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Projects\TankaDocs\BOM\"/>
    </mc:Choice>
  </mc:AlternateContent>
  <xr:revisionPtr revIDLastSave="0" documentId="13_ncr:1_{FE091869-3138-4547-BFBC-43861DDBC390}" xr6:coauthVersionLast="47" xr6:coauthVersionMax="47" xr10:uidLastSave="{00000000-0000-0000-0000-000000000000}"/>
  <bookViews>
    <workbookView xWindow="-110" yWindow="-110" windowWidth="30940" windowHeight="18700" tabRatio="865" activeTab="7" xr2:uid="{00000000-000D-0000-FFFF-FFFF00000000}"/>
  </bookViews>
  <sheets>
    <sheet name="ThongTinChung" sheetId="1" r:id="rId1"/>
    <sheet name="NhatKyBaoGia" sheetId="89" r:id="rId2"/>
    <sheet name="DuToan" sheetId="84" state="hidden" r:id="rId3"/>
    <sheet name="DanhMuc" sheetId="2" r:id="rId4"/>
    <sheet name="NVLSX" sheetId="3" r:id="rId5"/>
    <sheet name="TongVTSX" sheetId="5" r:id="rId6"/>
    <sheet name="TinhGiaGuiKhachHang" sheetId="88" r:id="rId7"/>
    <sheet name="TinhGia" sheetId="6" r:id="rId8"/>
    <sheet name="QTDot" sheetId="87" r:id="rId9"/>
    <sheet name="PO" sheetId="23" r:id="rId10"/>
    <sheet name="XKNVLSX" sheetId="69" r:id="rId11"/>
    <sheet name="MauKoXoa" sheetId="83" r:id="rId12"/>
  </sheets>
  <externalReferences>
    <externalReference r:id="rId13"/>
  </externalReferences>
  <definedNames>
    <definedName name="_xlnm._FilterDatabase" localSheetId="2" hidden="1">DuToan!$A$2:$J$81</definedName>
    <definedName name="_xlnm._FilterDatabase" localSheetId="11" hidden="1">MauKoXoa!$A$13:$AF$177</definedName>
    <definedName name="_xlnm._FilterDatabase" localSheetId="4" hidden="1">NVLSX!$A$3:$AC$6974</definedName>
    <definedName name="_xlnm._FilterDatabase" localSheetId="9" hidden="1">PO!$A$2:$T$351</definedName>
    <definedName name="_xlnm._FilterDatabase" localSheetId="8" hidden="1">QTDot!$A$9:$M$97</definedName>
    <definedName name="_xlnm._FilterDatabase" localSheetId="7" hidden="1">TinhGia!$A$9:$BD$97</definedName>
    <definedName name="_xlnm._FilterDatabase" localSheetId="6" hidden="1">TinhGiaGuiKhachHang!$A$9:$N$97</definedName>
    <definedName name="_xlnm._FilterDatabase" localSheetId="5" hidden="1">TongVTSX!$A$2:$V$1501</definedName>
    <definedName name="_xlnm._FilterDatabase" localSheetId="10" hidden="1">XKNVLSX!$A$2:$U$205</definedName>
    <definedName name="D1TH2" localSheetId="11">MauKoXoa!$C$108:$N$174</definedName>
    <definedName name="Get_WB">GET.WORKBOOK(1)&amp;T(NOW())</definedName>
    <definedName name="H3HBLBX" localSheetId="6">Table25[[#All],[2D]]</definedName>
    <definedName name="H3HBLBX">Table25[[#All],[2D]]</definedName>
    <definedName name="H3HCMTN" localSheetId="6">Table65[[#All],[cài]]</definedName>
    <definedName name="H3HCMTN">Table65[[#All],[cài]]</definedName>
    <definedName name="H3HTKG" localSheetId="6">Table19[[#All],[đơn điểm]]</definedName>
    <definedName name="H3HTKG">Table19[[#All],[đơn điểm]]</definedName>
    <definedName name="HANBLBX" localSheetId="6">Table62[[#All],[chữ A08'''']]</definedName>
    <definedName name="HANBLBX">Table62[[#All],[chữ A08'''']]</definedName>
    <definedName name="HANTKG" localSheetId="6">Table58[[#All],[đơn điểm]]</definedName>
    <definedName name="HANTKG">Table58[[#All],[đơn điểm]]</definedName>
    <definedName name="HDRBLBX" localSheetId="6">Table2586[[#All],[2D]]</definedName>
    <definedName name="HDRBLBX">Table2586[[#All],[2D]]</definedName>
    <definedName name="HDRCMTN">DanhMuc!$F$299:$F$303</definedName>
    <definedName name="HDRTKG">DanhMuc!$F$304:$F$306</definedName>
    <definedName name="HGQBLBX" localSheetId="6">Table44[[#All],[chữ A08'''']]</definedName>
    <definedName name="HGQBLBX">Table44[[#All],[chữ A08'''']]</definedName>
    <definedName name="HGQTKG" localSheetId="6">Table39[[#All],[đơn điểm]]</definedName>
    <definedName name="HGQTKG">Table39[[#All],[đơn điểm]]</definedName>
    <definedName name="HKLBLBX" localSheetId="6">Table35[[#All],[2D]]</definedName>
    <definedName name="HKLBLBX">Table35[[#All],[2D]]</definedName>
    <definedName name="HKLTKG" localSheetId="6">Table29[[#All],[đơn điểm]]</definedName>
    <definedName name="HKLTKG">Table29[[#All],[đơn điểm]]</definedName>
    <definedName name="HỞ_NỀN">NVLSX!$D$2</definedName>
    <definedName name="HRTBLBX" localSheetId="6">Table53[[#All],[chữ A08'''']]</definedName>
    <definedName name="HRTBLBX">Table53[[#All],[chữ A08'''']]</definedName>
    <definedName name="HRTTKG" localSheetId="6">Table48[[#All],[đơn điểm]]</definedName>
    <definedName name="HRTTKG">Table48[[#All],[đơn điểm]]</definedName>
    <definedName name="HXFKC" localSheetId="6">Table71[[#All],[vĩnh cửu]]</definedName>
    <definedName name="HXFKC">Table71[[#All],[vĩnh cửu]]</definedName>
    <definedName name="HXFKK" localSheetId="6">Table70[[#All],[vĩnh cửu]]</definedName>
    <definedName name="HXFKK">Table70[[#All],[vĩnh cửu]]</definedName>
    <definedName name="HXWCMTN" localSheetId="6">Table67[[#All],[cài]]</definedName>
    <definedName name="HXWCMTN">Table67[[#All],[cài]]</definedName>
    <definedName name="HXWKC" localSheetId="6">Table75[[#All],[vĩnh cửu]]</definedName>
    <definedName name="HXWKC">Table75[[#All],[vĩnh cửu]]</definedName>
    <definedName name="HXWKK" localSheetId="6">Table74[[#All],[vĩnh cửu]]</definedName>
    <definedName name="HXWKK">Table74[[#All],[vĩnh cửu]]</definedName>
    <definedName name="KÍNH" localSheetId="4">NVLSX!$D$4</definedName>
    <definedName name="KXFKK" localSheetId="6">Table97[[#All],[vĩnh cửu]]</definedName>
    <definedName name="KXFKK">Table97[[#All],[vĩnh cửu]]</definedName>
    <definedName name="KXWKK" localSheetId="6">Table98[[#All],[vĩnh cửu]]</definedName>
    <definedName name="KXWKK">Table98[[#All],[vĩnh cửu]]</definedName>
    <definedName name="Lay_Ten_Sheet">REPLACE(GET.WORKBOOK(1),1,FIND("]",GET.WORKBOOK(1)),"")&amp;T(NOW())</definedName>
    <definedName name="LayHinhCua">INDEX(DanhMuc!$E$3:$E$151,MATCH(MauKoXoa!$K$1,DanhMuc!$B$3:$B$151,0))</definedName>
    <definedName name="_xlnm.Print_Area" localSheetId="11">MauKoXoa!$A$1:$L$106</definedName>
    <definedName name="_xlnm.Print_Area" localSheetId="4">NVLSX!$B$4656:$K$4710</definedName>
    <definedName name="_xlnm.Print_Area" localSheetId="9">PO!$A$1:$H$201</definedName>
    <definedName name="_xlnm.Print_Area" localSheetId="8">QTDot!$A$3:$M$99</definedName>
    <definedName name="_xlnm.Print_Area" localSheetId="7">TinhGia!$A$3:$N$99</definedName>
    <definedName name="_xlnm.Print_Area" localSheetId="6">TinhGiaGuiKhachHang!$A$3:$N$99</definedName>
    <definedName name="_xlnm.Print_Area" localSheetId="5">TongVTSX!$A$1:$K$1501</definedName>
    <definedName name="_xlnm.Print_Area" localSheetId="10">XKNVLSX!$A$1:$N$205</definedName>
    <definedName name="_xlnm.Print_Titles" localSheetId="11">MauKoXoa!$107:$107</definedName>
    <definedName name="_xlnm.Print_Titles" localSheetId="9">PO!$2:$2</definedName>
    <definedName name="_xlnm.Print_Titles" localSheetId="5">TongVTSX!$2:$2</definedName>
    <definedName name="_xlnm.Print_Titles" localSheetId="10">XKNVLSX!$2:$2</definedName>
    <definedName name="Q3HBLBX" localSheetId="6">Table22[[#All],[3D]]</definedName>
    <definedName name="Q3HBLBX">Table22[[#All],[3D]]</definedName>
    <definedName name="Q3HCMTN" localSheetId="6">Table1[[#All],[cài]]</definedName>
    <definedName name="Q3HCMTN">Table1[[#All],[cài]]</definedName>
    <definedName name="Q3HLK" localSheetId="6">Table20[[#All],[2 đầu chìa]]</definedName>
    <definedName name="Q3HLK">Table20[[#All],[2 đầu chìa]]</definedName>
    <definedName name="Q3HTKG" localSheetId="6">Table18[[#All],[đơn điểm]]</definedName>
    <definedName name="Q3HTKG">Table18[[#All],[đơn điểm]]</definedName>
    <definedName name="Q7TBLBX" localSheetId="6">Table7[[#All],[góc]]</definedName>
    <definedName name="Q7TBLBX">Table7[[#All],[góc]]</definedName>
    <definedName name="Q7TCMTN" localSheetId="6">Table123[[#All],[tròn NEO]]</definedName>
    <definedName name="Q7TCMTN">Table123[[#All],[tròn NEO]]</definedName>
    <definedName name="QANBLBX" localSheetId="6">Table60[[#All],[chữ A08'''']]</definedName>
    <definedName name="QANBLBX">Table60[[#All],[chữ A08'''']]</definedName>
    <definedName name="QANLK" localSheetId="6">Table59[[#All],[2 đầu chìa]]</definedName>
    <definedName name="QANLK">Table59[[#All],[2 đầu chìa]]</definedName>
    <definedName name="QANTKG" localSheetId="6">Table56[[#All],[đơn điểm]]</definedName>
    <definedName name="QANTKG">Table56[[#All],[đơn điểm]]</definedName>
    <definedName name="QDRBLBX" localSheetId="6">Table2283[[#All],[3D]]</definedName>
    <definedName name="QDRBLBX">Table2283[[#All],[3D]]</definedName>
    <definedName name="QDRCMTN">DanhMuc!$C$299:$C$303</definedName>
    <definedName name="QDRLK" localSheetId="6">Table2081[[#All],[2 đầu chìa]]</definedName>
    <definedName name="QDRLK">Table2081[[#All],[2 đầu chìa]]</definedName>
    <definedName name="QDRTKG">DanhMuc!$C$304:$C$306</definedName>
    <definedName name="QGQBLBX" localSheetId="6">Table42[[#All],[3D-80]]</definedName>
    <definedName name="QGQBLBX">Table42[[#All],[3D-80]]</definedName>
    <definedName name="QGQLK" localSheetId="6">Table40[[#All],[2 đầu chìa]]</definedName>
    <definedName name="QGQLK">Table40[[#All],[2 đầu chìa]]</definedName>
    <definedName name="QGQTKG" localSheetId="6">Table37[[#All],[đơn điểm]]</definedName>
    <definedName name="QGQTKG">Table37[[#All],[đơn điểm]]</definedName>
    <definedName name="QKLBLBX" localSheetId="6">Table32[[#All],[3D]]</definedName>
    <definedName name="QKLBLBX">Table32[[#All],[3D]]</definedName>
    <definedName name="QKLLK" localSheetId="6">Table30[[#All],[2 đầu chìa]]</definedName>
    <definedName name="QKLLK">Table30[[#All],[2 đầu chìa]]</definedName>
    <definedName name="QKLTKG" localSheetId="6">Table28[[#All],[đơn điểm]]</definedName>
    <definedName name="QKLTKG">Table28[[#All],[đơn điểm]]</definedName>
    <definedName name="QLVCMTN" localSheetId="6">Table15[[#All],[quay trong]]</definedName>
    <definedName name="QLVCMTN">Table15[[#All],[quay trong]]</definedName>
    <definedName name="QLVNHN" localSheetId="6">Table14[[#All],[hở nền ốp đáy]]</definedName>
    <definedName name="QLVNHN">Table14[[#All],[hở nền ốp đáy]]</definedName>
    <definedName name="QRHCMTN" localSheetId="6">Table12[[#All],[quay trong]]</definedName>
    <definedName name="QRHCMTN">Table12[[#All],[quay trong]]</definedName>
    <definedName name="QRHNHN" localSheetId="6">Table9[[#All],[hở nền]]</definedName>
    <definedName name="QRHNHN">Table9[[#All],[hở nền]]</definedName>
    <definedName name="QRTBLBX" localSheetId="6">Table50[[#All],[3D-80]]</definedName>
    <definedName name="QRTBLBX">Table50[[#All],[3D-80]]</definedName>
    <definedName name="QRTLK" localSheetId="6">Table49[[#All],[2 đầu chìa]]</definedName>
    <definedName name="QRTLK">Table49[[#All],[2 đầu chìa]]</definedName>
    <definedName name="QRTTKG" localSheetId="6">Table46[[#All],[đơn điểm]]</definedName>
    <definedName name="QRTTKG">Table46[[#All],[đơn điểm]]</definedName>
    <definedName name="QSLCMTN" localSheetId="6">Table8[[#All],[quay trong]]</definedName>
    <definedName name="QSLCMTN">Table8[[#All],[quay trong]]</definedName>
    <definedName name="QSLNHN">#REF!</definedName>
    <definedName name="QVNCMTN" localSheetId="6">Table123125[[#All],[tròn NEO]]</definedName>
    <definedName name="QVNCMTN">Table123125[[#All],[tròn NEO]]</definedName>
    <definedName name="QVNHN" localSheetId="6">Table391[[#All],[hở nền ốp đáy]]</definedName>
    <definedName name="QVNHN">Table391[[#All],[hở nền ốp đáy]]</definedName>
    <definedName name="QVNNHN" localSheetId="6">Table391[[#All],[hở nền ốp đáy]]</definedName>
    <definedName name="QVNNHN">Table391[[#All],[hở nền ốp đáy]]</definedName>
    <definedName name="QXFCMTN" localSheetId="6">Table4[[#All],[quay trong]]</definedName>
    <definedName name="QXFCMTN">Table4[[#All],[quay trong]]</definedName>
    <definedName name="QXFKC" localSheetId="6">Table69[[#All],[vĩnh cửu]]</definedName>
    <definedName name="QXFKC">Table69[[#All],[vĩnh cửu]]</definedName>
    <definedName name="QXFKK" localSheetId="6">Table68[[#All],[vĩnh cửu]]</definedName>
    <definedName name="QXFKK">Table68[[#All],[vĩnh cửu]]</definedName>
    <definedName name="QXFNHN" localSheetId="6">Table3[[#All],[hở nền ốp đáy]]</definedName>
    <definedName name="QXFNHN">Table3[[#All],[hở nền ốp đáy]]</definedName>
    <definedName name="QXWCMTN" localSheetId="6">Table6[[#All],[quay trong]]</definedName>
    <definedName name="QXWCMTN">Table6[[#All],[quay trong]]</definedName>
    <definedName name="QXWKC" localSheetId="6">Table73[[#All],[vĩnh cửu]]</definedName>
    <definedName name="QXWKC">Table73[[#All],[vĩnh cửu]]</definedName>
    <definedName name="QXWKK" localSheetId="6">Table72[[#All],[vĩnh cửu]]</definedName>
    <definedName name="QXWKK">Table72[[#All],[vĩnh cửu]]</definedName>
    <definedName name="QXWNHN" localSheetId="6">Table5[[#All],[hở nền ốp đáy]]</definedName>
    <definedName name="QXWNHN">Table5[[#All],[hở nền ốp đáy]]</definedName>
    <definedName name="T3HBLBX" localSheetId="6">Table23[[#All],[đơn]]</definedName>
    <definedName name="T3HBLBX">Table23[[#All],[đơn]]</definedName>
    <definedName name="T3HCMTN" localSheetId="6">Table16[[#All],[chữ D]]</definedName>
    <definedName name="T3HCMTN">Table16[[#All],[chữ D]]</definedName>
    <definedName name="TANBLBX" localSheetId="6">Table61[[#All],[đơn]]</definedName>
    <definedName name="TANBLBX">Table61[[#All],[đơn]]</definedName>
    <definedName name="TANCMTN" localSheetId="6">Table55[[#All],[âm]]</definedName>
    <definedName name="TANCMTN">Table55[[#All],[âm]]</definedName>
    <definedName name="TANTKG" localSheetId="6">Table57[[#All],[đa điểm]]</definedName>
    <definedName name="TANTKG">Table57[[#All],[đa điểm]]</definedName>
    <definedName name="TDRBLBX" localSheetId="6">Table2384[[#All],[đơn]]</definedName>
    <definedName name="TDRBLBX">Table2384[[#All],[đơn]]</definedName>
    <definedName name="TDRCMTN" localSheetId="6">Table1677[[#All],[chữ D đơn điểm]]</definedName>
    <definedName name="TDRCMTN">Table1677[[#All],[chữ D đơn điểm]]</definedName>
    <definedName name="TGQBLBX" localSheetId="6">Table43[[#All],[đơn]]</definedName>
    <definedName name="TGQBLBX">Table43[[#All],[đơn]]</definedName>
    <definedName name="TGQCMTN" localSheetId="6">Table36[[#All],[chữ D]]</definedName>
    <definedName name="TGQCMTN">Table36[[#All],[chữ D]]</definedName>
    <definedName name="TGQLK" localSheetId="6">Table41[[#All],[2 đầu chìa]]</definedName>
    <definedName name="TGQLK">Table41[[#All],[2 đầu chìa]]</definedName>
    <definedName name="TGQTKG" localSheetId="6">Table38[[#All],[có khóa]]</definedName>
    <definedName name="TGQTKG">Table38[[#All],[có khóa]]</definedName>
    <definedName name="TinhCT" localSheetId="11">EVALUATE(MauKoXoa!$S1)</definedName>
    <definedName name="TinhCTSL">EVALUATE(MauKoXoa!$W1)</definedName>
    <definedName name="TinhDTK1" localSheetId="11">EVALUATE(MauKoXoa!$U1)</definedName>
    <definedName name="TinhDTK2" localSheetId="11">EVALUATE(MauKoXoa!$V1)</definedName>
    <definedName name="TKLBLBX" localSheetId="6">Table33[[#All],[đơn]]</definedName>
    <definedName name="TKLBLBX">Table33[[#All],[đơn]]</definedName>
    <definedName name="TKLCMTN" localSheetId="6">Table26[[#All],[chữ D]]</definedName>
    <definedName name="TKLCMTN">Table26[[#All],[chữ D]]</definedName>
    <definedName name="TRHNHN" localSheetId="6">Table10[[#All],[ray trượt nhôm RH]]</definedName>
    <definedName name="TRHNHN">Table10[[#All],[ray trượt nhôm RH]]</definedName>
    <definedName name="TRTBLBX" localSheetId="6">Table51[[#All],[đơn]]</definedName>
    <definedName name="TRTBLBX">Table51[[#All],[đơn]]</definedName>
    <definedName name="TRTCMTN" localSheetId="6">Table45[[#All],[chữ D có khóa]]</definedName>
    <definedName name="TRTCMTN">Table45[[#All],[chữ D có khóa]]</definedName>
    <definedName name="TRTTKG" localSheetId="6">Table47[[#All],[có khóa]]</definedName>
    <definedName name="TRTTKG">Table47[[#All],[có khóa]]</definedName>
    <definedName name="TXFKC" localSheetId="6">Table93[[#All],[vĩnh cửu]]</definedName>
    <definedName name="TXFKC">Table93[[#All],[vĩnh cửu]]</definedName>
    <definedName name="TXFKK" localSheetId="6">Table92[[#All],[vĩnh cửu]]</definedName>
    <definedName name="TXFKK">Table92[[#All],[vĩnh cửu]]</definedName>
    <definedName name="TXWKC" localSheetId="6">Table95[[#All],[vĩnh cửu]]</definedName>
    <definedName name="TXWKC">Table95[[#All],[vĩnh cửu]]</definedName>
    <definedName name="TXWKK" localSheetId="6">Table94[[#All],[vĩnh cửu]]</definedName>
    <definedName name="TXWKK">Table94[[#All],[vĩnh cửu]]</definedName>
    <definedName name="VXFKK" localSheetId="6">Table99[[#All],[vĩnh cửu]]</definedName>
    <definedName name="VXFKK">Table99[[#All],[vĩnh cửu]]</definedName>
    <definedName name="VXWKK" localSheetId="6">Table100[[#All],[vĩnh cửu]]</definedName>
    <definedName name="VXWKK">Table100[[#All],[vĩnh cửu]]</definedName>
    <definedName name="X3HBLBX" localSheetId="6">Table24[[#All],[xếp trượt]]</definedName>
    <definedName name="X3HBLBX">Table24[[#All],[xếp trượt]]</definedName>
    <definedName name="X3HCMTN" localSheetId="6">Table17[[#All],[quay trong]]</definedName>
    <definedName name="X3HCMTN">Table17[[#All],[quay trong]]</definedName>
    <definedName name="X3HLK" localSheetId="6">Table21[[#All],[2 đầu chìa]]</definedName>
    <definedName name="X3HLK">Table21[[#All],[2 đầu chìa]]</definedName>
    <definedName name="X3HTKG" localSheetId="6">Table64[[#All],[đơn điểm]]</definedName>
    <definedName name="X3HTKG">Table64[[#All],[đơn điểm]]</definedName>
    <definedName name="XDRBLBX" localSheetId="6">Table2485[[#All],[xếp trượt]]</definedName>
    <definedName name="XDRBLBX">Table2485[[#All],[xếp trượt]]</definedName>
    <definedName name="XDRCMTN">DanhMuc!$E$299:$E$303</definedName>
    <definedName name="XDRLK" localSheetId="6">Table2182[[#All],[2 đầu chìa]]</definedName>
    <definedName name="XDRLK">Table2182[[#All],[2 đầu chìa]]</definedName>
    <definedName name="XDRTKG" localSheetId="6">Table6487[[#All],[đơn điểm]]</definedName>
    <definedName name="XDRTKG">Table6487[[#All],[đơn điểm]]</definedName>
    <definedName name="XKLBLBX" localSheetId="6">Table34[[#All],[xếp trượt]]</definedName>
    <definedName name="XKLBLBX">Table34[[#All],[xếp trượt]]</definedName>
    <definedName name="XKLCMTN" localSheetId="6">Table27[[#All],[quay trong]]</definedName>
    <definedName name="XKLCMTN">Table27[[#All],[quay trong]]</definedName>
    <definedName name="XKLLK" localSheetId="6">Table31[[#All],[2 đầu chìa]]</definedName>
    <definedName name="XKLLK">Table31[[#All],[2 đầu chìa]]</definedName>
    <definedName name="XRHCMTN" localSheetId="6">Table13[[#All],[quay trong]]</definedName>
    <definedName name="XRHCMTN">Table13[[#All],[quay trong]]</definedName>
    <definedName name="XRHNHN" localSheetId="6">Table11[[#All],[hở nền]]</definedName>
    <definedName name="XRHNHN">Table11[[#All],[hở nền]]</definedName>
    <definedName name="XRTBLBX" localSheetId="6">Table52[[#All],[xếp trượt]]</definedName>
    <definedName name="XRTBLBX">Table52[[#All],[xếp trượt]]</definedName>
    <definedName name="XXFCMTN" localSheetId="6">Table54[[#All],[quay trong]]</definedName>
    <definedName name="XXFCMTN">Table54[[#All],[quay trong]]</definedName>
    <definedName name="XXFNHN" localSheetId="6">Table2[[#All],[Âm ray]]</definedName>
    <definedName name="XXFNHN">Table2[[#All],[Âm ray]]</definedName>
    <definedName name="XXWCMTN" localSheetId="6">Table63[[#All],[quay trong]]</definedName>
    <definedName name="XXWCMTN">Table63[[#All],[quay trong]]</definedName>
    <definedName name="XXWNHN" localSheetId="6">Table66[[#All],[Âm ray]]</definedName>
    <definedName name="XXWNHN">Table66[[#All],[Âm ray]]</definedName>
    <definedName name="Z_377C5417_F784_4821_BB1F_BBB56ED30DDB_.wvu.PrintArea" localSheetId="11" hidden="1">MauKoXoa!$D$1:$N$174</definedName>
    <definedName name="Z_377C5417_F784_4821_BB1F_BBB56ED30DDB_.wvu.PrintArea" localSheetId="0" hidden="1">ThongTinChung!$A$1:$E$7</definedName>
    <definedName name="Z_377C5417_F784_4821_BB1F_BBB56ED30DDB_.wvu.Rows" localSheetId="11" hidden="1">MauKoXoa!$20:$177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64" i="3" l="1"/>
  <c r="D2064" i="3"/>
  <c r="N2064" i="3"/>
  <c r="U2064" i="3" s="1"/>
  <c r="A2048" i="3"/>
  <c r="D2048" i="3"/>
  <c r="N2048" i="3"/>
  <c r="X2048" i="3" s="1"/>
  <c r="A2032" i="3"/>
  <c r="D2032" i="3"/>
  <c r="N2032" i="3"/>
  <c r="X2032" i="3" s="1"/>
  <c r="U2032" i="3"/>
  <c r="A2013" i="3"/>
  <c r="D2013" i="3"/>
  <c r="N2013" i="3"/>
  <c r="X2013" i="3" s="1"/>
  <c r="A1978" i="3"/>
  <c r="D1978" i="3"/>
  <c r="N1978" i="3"/>
  <c r="X1978" i="3" s="1"/>
  <c r="A1994" i="3"/>
  <c r="D1994" i="3"/>
  <c r="N1994" i="3"/>
  <c r="X1994" i="3" s="1"/>
  <c r="I4743" i="3"/>
  <c r="R99" i="83"/>
  <c r="R100" i="83" s="1"/>
  <c r="R101" i="83" s="1"/>
  <c r="R102" i="83" s="1"/>
  <c r="R103" i="83" s="1"/>
  <c r="R104" i="83" s="1"/>
  <c r="R105" i="83" s="1"/>
  <c r="R106" i="83" s="1"/>
  <c r="R79" i="83"/>
  <c r="R80" i="83" s="1"/>
  <c r="R81" i="83" s="1"/>
  <c r="R82" i="83" s="1"/>
  <c r="R83" i="83" s="1"/>
  <c r="R84" i="83" s="1"/>
  <c r="R85" i="83" s="1"/>
  <c r="R86" i="83" s="1"/>
  <c r="R87" i="83" s="1"/>
  <c r="R88" i="83" s="1"/>
  <c r="R89" i="83" s="1"/>
  <c r="R90" i="83" s="1"/>
  <c r="R91" i="83" s="1"/>
  <c r="R92" i="83" s="1"/>
  <c r="R93" i="83" s="1"/>
  <c r="R94" i="83" s="1"/>
  <c r="R95" i="83" s="1"/>
  <c r="R96" i="83" s="1"/>
  <c r="R97" i="83" s="1"/>
  <c r="R98" i="83" s="1"/>
  <c r="R43" i="83"/>
  <c r="R44" i="83" s="1"/>
  <c r="R45" i="83" s="1"/>
  <c r="R46" i="83" s="1"/>
  <c r="R47" i="83" s="1"/>
  <c r="R48" i="83" s="1"/>
  <c r="R49" i="83" s="1"/>
  <c r="R50" i="83" s="1"/>
  <c r="R51" i="83" s="1"/>
  <c r="R52" i="83" s="1"/>
  <c r="R53" i="83" s="1"/>
  <c r="R54" i="83" s="1"/>
  <c r="R55" i="83" s="1"/>
  <c r="R56" i="83" s="1"/>
  <c r="R57" i="83" s="1"/>
  <c r="R58" i="83" s="1"/>
  <c r="R59" i="83" s="1"/>
  <c r="R60" i="83" s="1"/>
  <c r="R61" i="83" s="1"/>
  <c r="R62" i="83" s="1"/>
  <c r="R63" i="83" s="1"/>
  <c r="R64" i="83" s="1"/>
  <c r="R65" i="83" s="1"/>
  <c r="R66" i="83" s="1"/>
  <c r="R67" i="83" s="1"/>
  <c r="R68" i="83" s="1"/>
  <c r="R69" i="83" s="1"/>
  <c r="R70" i="83" s="1"/>
  <c r="R71" i="83" s="1"/>
  <c r="R72" i="83" s="1"/>
  <c r="R73" i="83" s="1"/>
  <c r="R20" i="83"/>
  <c r="R21" i="83" s="1"/>
  <c r="R22" i="83" s="1"/>
  <c r="R23" i="83" s="1"/>
  <c r="R24" i="83" s="1"/>
  <c r="R25" i="83" s="1"/>
  <c r="R26" i="83" s="1"/>
  <c r="R27" i="83" s="1"/>
  <c r="R28" i="83" s="1"/>
  <c r="R29" i="83" s="1"/>
  <c r="R30" i="83" s="1"/>
  <c r="R31" i="83" s="1"/>
  <c r="R32" i="83" s="1"/>
  <c r="R33" i="83" s="1"/>
  <c r="R34" i="83" s="1"/>
  <c r="R35" i="83" s="1"/>
  <c r="R36" i="83" s="1"/>
  <c r="R37" i="83" s="1"/>
  <c r="R38" i="83" s="1"/>
  <c r="R39" i="83" s="1"/>
  <c r="R40" i="83" s="1"/>
  <c r="R41" i="83" s="1"/>
  <c r="R42" i="83" s="1"/>
  <c r="X9" i="3"/>
  <c r="N9" i="3"/>
  <c r="L9" i="3"/>
  <c r="D9" i="3"/>
  <c r="A9" i="3"/>
  <c r="N2224" i="3"/>
  <c r="X2224" i="3" s="1"/>
  <c r="D2224" i="3"/>
  <c r="A2224" i="3"/>
  <c r="N2223" i="3"/>
  <c r="X2223" i="3" s="1"/>
  <c r="D2223" i="3"/>
  <c r="A2223" i="3"/>
  <c r="A2206" i="3"/>
  <c r="D2206" i="3"/>
  <c r="N2206" i="3"/>
  <c r="U2206" i="3" s="1"/>
  <c r="N2205" i="3"/>
  <c r="X2205" i="3" s="1"/>
  <c r="D2205" i="3"/>
  <c r="A2205" i="3"/>
  <c r="A1593" i="3"/>
  <c r="D1593" i="3"/>
  <c r="N1593" i="3"/>
  <c r="X1593" i="3" s="1"/>
  <c r="A1574" i="3"/>
  <c r="D1574" i="3"/>
  <c r="N1574" i="3"/>
  <c r="U1574" i="3" s="1"/>
  <c r="N1592" i="3"/>
  <c r="X1592" i="3" s="1"/>
  <c r="D1592" i="3"/>
  <c r="A1592" i="3"/>
  <c r="N1573" i="3"/>
  <c r="X1573" i="3" s="1"/>
  <c r="D1573" i="3"/>
  <c r="A1573" i="3"/>
  <c r="D2979" i="3"/>
  <c r="N2979" i="3"/>
  <c r="U2979" i="3" s="1"/>
  <c r="D2980" i="3"/>
  <c r="N2980" i="3"/>
  <c r="U2980" i="3" s="1"/>
  <c r="D2981" i="3"/>
  <c r="N2981" i="3"/>
  <c r="U2981" i="3" s="1"/>
  <c r="N2991" i="3"/>
  <c r="X2991" i="3" s="1"/>
  <c r="D2991" i="3"/>
  <c r="A2991" i="3"/>
  <c r="N2990" i="3"/>
  <c r="X2990" i="3" s="1"/>
  <c r="D2990" i="3"/>
  <c r="A2990" i="3"/>
  <c r="N2989" i="3"/>
  <c r="X2989" i="3" s="1"/>
  <c r="D2989" i="3"/>
  <c r="A2989" i="3"/>
  <c r="N2988" i="3"/>
  <c r="U2988" i="3" s="1"/>
  <c r="L2988" i="3"/>
  <c r="D2988" i="3"/>
  <c r="A2988" i="3"/>
  <c r="N2987" i="3"/>
  <c r="X2987" i="3" s="1"/>
  <c r="D2987" i="3"/>
  <c r="A2987" i="3"/>
  <c r="X2986" i="3"/>
  <c r="U2986" i="3"/>
  <c r="D2986" i="3"/>
  <c r="A2986" i="3"/>
  <c r="X2985" i="3"/>
  <c r="U2985" i="3"/>
  <c r="D2985" i="3"/>
  <c r="A2985" i="3"/>
  <c r="N2984" i="3"/>
  <c r="X2984" i="3" s="1"/>
  <c r="D2984" i="3"/>
  <c r="A2984" i="3"/>
  <c r="N2983" i="3"/>
  <c r="X2983" i="3" s="1"/>
  <c r="D2983" i="3"/>
  <c r="A2983" i="3"/>
  <c r="N2982" i="3"/>
  <c r="X2982" i="3" s="1"/>
  <c r="D2982" i="3"/>
  <c r="A2982" i="3"/>
  <c r="N2978" i="3"/>
  <c r="X2978" i="3" s="1"/>
  <c r="D2978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6920" i="3"/>
  <c r="D6921" i="3"/>
  <c r="N6909" i="3"/>
  <c r="U6909" i="3" s="1"/>
  <c r="O6909" i="3"/>
  <c r="N6910" i="3"/>
  <c r="U6910" i="3" s="1"/>
  <c r="O6910" i="3"/>
  <c r="N6911" i="3"/>
  <c r="U6911" i="3" s="1"/>
  <c r="O6911" i="3"/>
  <c r="N6912" i="3"/>
  <c r="U6912" i="3" s="1"/>
  <c r="O6912" i="3"/>
  <c r="N6913" i="3"/>
  <c r="U6913" i="3" s="1"/>
  <c r="O6913" i="3"/>
  <c r="N6914" i="3"/>
  <c r="U6914" i="3" s="1"/>
  <c r="O6914" i="3"/>
  <c r="N6915" i="3"/>
  <c r="U6915" i="3" s="1"/>
  <c r="O6915" i="3"/>
  <c r="N6916" i="3"/>
  <c r="U6916" i="3" s="1"/>
  <c r="O6916" i="3"/>
  <c r="N6917" i="3"/>
  <c r="U6917" i="3" s="1"/>
  <c r="O6917" i="3"/>
  <c r="N6918" i="3"/>
  <c r="U6918" i="3" s="1"/>
  <c r="O6918" i="3"/>
  <c r="N6919" i="3"/>
  <c r="U6919" i="3" s="1"/>
  <c r="O6919" i="3"/>
  <c r="N6920" i="3"/>
  <c r="U6920" i="3" s="1"/>
  <c r="O6920" i="3"/>
  <c r="N6921" i="3"/>
  <c r="U6921" i="3" s="1"/>
  <c r="O6921" i="3"/>
  <c r="U6478" i="3"/>
  <c r="U6479" i="3"/>
  <c r="U6480" i="3"/>
  <c r="U6481" i="3"/>
  <c r="U6482" i="3"/>
  <c r="U6483" i="3"/>
  <c r="U6484" i="3"/>
  <c r="U6485" i="3"/>
  <c r="U6486" i="3"/>
  <c r="U6487" i="3"/>
  <c r="U6488" i="3"/>
  <c r="U6489" i="3"/>
  <c r="U6490" i="3"/>
  <c r="U6491" i="3"/>
  <c r="A6470" i="3"/>
  <c r="A6472" i="3"/>
  <c r="A6473" i="3"/>
  <c r="A6474" i="3"/>
  <c r="A6475" i="3"/>
  <c r="A6476" i="3"/>
  <c r="A6477" i="3"/>
  <c r="A6490" i="3"/>
  <c r="A6491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7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A3294" i="3"/>
  <c r="A3295" i="3"/>
  <c r="A3296" i="3"/>
  <c r="A3297" i="3"/>
  <c r="A3298" i="3"/>
  <c r="A3299" i="3"/>
  <c r="A3300" i="3"/>
  <c r="A3302" i="3"/>
  <c r="A3303" i="3"/>
  <c r="A3304" i="3"/>
  <c r="A3305" i="3"/>
  <c r="A3306" i="3"/>
  <c r="A3307" i="3"/>
  <c r="A3308" i="3"/>
  <c r="A3309" i="3"/>
  <c r="A3311" i="3"/>
  <c r="A3312" i="3"/>
  <c r="A3313" i="3"/>
  <c r="A3314" i="3"/>
  <c r="A3315" i="3"/>
  <c r="A3316" i="3"/>
  <c r="A3317" i="3"/>
  <c r="A3318" i="3"/>
  <c r="A3319" i="3"/>
  <c r="A3320" i="3"/>
  <c r="A3321" i="3"/>
  <c r="A3323" i="3"/>
  <c r="A3324" i="3"/>
  <c r="A3325" i="3"/>
  <c r="A3326" i="3"/>
  <c r="A3327" i="3"/>
  <c r="A3328" i="3"/>
  <c r="A3329" i="3"/>
  <c r="A3330" i="3"/>
  <c r="A3331" i="3"/>
  <c r="A3332" i="3"/>
  <c r="A3334" i="3"/>
  <c r="A3335" i="3"/>
  <c r="A3336" i="3"/>
  <c r="A3337" i="3"/>
  <c r="A3338" i="3"/>
  <c r="A3339" i="3"/>
  <c r="A3340" i="3"/>
  <c r="A3341" i="3"/>
  <c r="A3342" i="3"/>
  <c r="A3344" i="3"/>
  <c r="A3345" i="3"/>
  <c r="A3346" i="3"/>
  <c r="A3347" i="3"/>
  <c r="A3348" i="3"/>
  <c r="A3349" i="3"/>
  <c r="A3350" i="3"/>
  <c r="A3351" i="3"/>
  <c r="A3352" i="3"/>
  <c r="A3354" i="3"/>
  <c r="A3355" i="3"/>
  <c r="A3356" i="3"/>
  <c r="A3357" i="3"/>
  <c r="A3358" i="3"/>
  <c r="A3359" i="3"/>
  <c r="A3360" i="3"/>
  <c r="A3361" i="3"/>
  <c r="A3362" i="3"/>
  <c r="A3363" i="3"/>
  <c r="A3365" i="3"/>
  <c r="A3366" i="3"/>
  <c r="A3367" i="3"/>
  <c r="A3368" i="3"/>
  <c r="A3369" i="3"/>
  <c r="A3370" i="3"/>
  <c r="A3371" i="3"/>
  <c r="A3372" i="3"/>
  <c r="A3373" i="3"/>
  <c r="A3374" i="3"/>
  <c r="A3376" i="3"/>
  <c r="A3377" i="3"/>
  <c r="A3378" i="3"/>
  <c r="A3379" i="3"/>
  <c r="A3380" i="3"/>
  <c r="A3382" i="3"/>
  <c r="A3383" i="3"/>
  <c r="A3384" i="3"/>
  <c r="A3385" i="3"/>
  <c r="A3386" i="3"/>
  <c r="A3387" i="3"/>
  <c r="A3388" i="3"/>
  <c r="A3389" i="3"/>
  <c r="A3390" i="3"/>
  <c r="A3391" i="3"/>
  <c r="A3393" i="3"/>
  <c r="A3394" i="3"/>
  <c r="A3395" i="3"/>
  <c r="A3396" i="3"/>
  <c r="A3397" i="3"/>
  <c r="A3398" i="3"/>
  <c r="A3399" i="3"/>
  <c r="A3400" i="3"/>
  <c r="A3401" i="3"/>
  <c r="A3402" i="3"/>
  <c r="A3403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8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112" i="3"/>
  <c r="A4113" i="3"/>
  <c r="A4114" i="3"/>
  <c r="A4116" i="3"/>
  <c r="A4117" i="3"/>
  <c r="A4118" i="3"/>
  <c r="A4119" i="3"/>
  <c r="A4120" i="3"/>
  <c r="A4121" i="3"/>
  <c r="A4122" i="3"/>
  <c r="A4123" i="3"/>
  <c r="A4124" i="3"/>
  <c r="A4125" i="3"/>
  <c r="A4126" i="3"/>
  <c r="A4127" i="3"/>
  <c r="A4128" i="3"/>
  <c r="A4129" i="3"/>
  <c r="A4130" i="3"/>
  <c r="A4131" i="3"/>
  <c r="A4132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1" i="3"/>
  <c r="A4152" i="3"/>
  <c r="A4153" i="3"/>
  <c r="A4154" i="3"/>
  <c r="A4155" i="3"/>
  <c r="A4156" i="3"/>
  <c r="A4157" i="3"/>
  <c r="A4158" i="3"/>
  <c r="A4159" i="3"/>
  <c r="A4160" i="3"/>
  <c r="A4161" i="3"/>
  <c r="A4162" i="3"/>
  <c r="A4163" i="3"/>
  <c r="A4164" i="3"/>
  <c r="A4165" i="3"/>
  <c r="A4166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2" i="3"/>
  <c r="A4203" i="3"/>
  <c r="A4204" i="3"/>
  <c r="A4205" i="3"/>
  <c r="A4206" i="3"/>
  <c r="A4207" i="3"/>
  <c r="A4208" i="3"/>
  <c r="A4209" i="3"/>
  <c r="A4210" i="3"/>
  <c r="A4211" i="3"/>
  <c r="A4212" i="3"/>
  <c r="A4213" i="3"/>
  <c r="A4214" i="3"/>
  <c r="A4215" i="3"/>
  <c r="A4216" i="3"/>
  <c r="A4217" i="3"/>
  <c r="A4219" i="3"/>
  <c r="A4220" i="3"/>
  <c r="A4221" i="3"/>
  <c r="A4222" i="3"/>
  <c r="A4223" i="3"/>
  <c r="A4224" i="3"/>
  <c r="A4225" i="3"/>
  <c r="A4226" i="3"/>
  <c r="A4228" i="3"/>
  <c r="A4229" i="3"/>
  <c r="A4230" i="3"/>
  <c r="A4231" i="3"/>
  <c r="A4232" i="3"/>
  <c r="A4233" i="3"/>
  <c r="A4234" i="3"/>
  <c r="A4235" i="3"/>
  <c r="A4236" i="3"/>
  <c r="A4237" i="3"/>
  <c r="A4238" i="3"/>
  <c r="A4239" i="3"/>
  <c r="A4240" i="3"/>
  <c r="A4241" i="3"/>
  <c r="A4242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8" i="3"/>
  <c r="A4279" i="3"/>
  <c r="A4280" i="3"/>
  <c r="A4281" i="3"/>
  <c r="A4282" i="3"/>
  <c r="A4283" i="3"/>
  <c r="A4284" i="3"/>
  <c r="A4285" i="3"/>
  <c r="A4286" i="3"/>
  <c r="A4287" i="3"/>
  <c r="A4289" i="3"/>
  <c r="A4290" i="3"/>
  <c r="A4291" i="3"/>
  <c r="A4292" i="3"/>
  <c r="A4293" i="3"/>
  <c r="A4294" i="3"/>
  <c r="A4295" i="3"/>
  <c r="A4296" i="3"/>
  <c r="A4297" i="3"/>
  <c r="A4298" i="3"/>
  <c r="A4300" i="3"/>
  <c r="A4301" i="3"/>
  <c r="A4302" i="3"/>
  <c r="A4303" i="3"/>
  <c r="A4304" i="3"/>
  <c r="A4305" i="3"/>
  <c r="A4306" i="3"/>
  <c r="A4307" i="3"/>
  <c r="A4308" i="3"/>
  <c r="A4309" i="3"/>
  <c r="A4311" i="3"/>
  <c r="A4312" i="3"/>
  <c r="A4313" i="3"/>
  <c r="A4314" i="3"/>
  <c r="A4315" i="3"/>
  <c r="A4316" i="3"/>
  <c r="A4317" i="3"/>
  <c r="A4318" i="3"/>
  <c r="A4319" i="3"/>
  <c r="A4320" i="3"/>
  <c r="A4322" i="3"/>
  <c r="A4323" i="3"/>
  <c r="A4324" i="3"/>
  <c r="A4325" i="3"/>
  <c r="A4326" i="3"/>
  <c r="A4327" i="3"/>
  <c r="A4328" i="3"/>
  <c r="A4329" i="3"/>
  <c r="A4330" i="3"/>
  <c r="A4331" i="3"/>
  <c r="A4333" i="3"/>
  <c r="A4334" i="3"/>
  <c r="A4335" i="3"/>
  <c r="A4336" i="3"/>
  <c r="A4337" i="3"/>
  <c r="A4338" i="3"/>
  <c r="A4339" i="3"/>
  <c r="A4340" i="3"/>
  <c r="A4341" i="3"/>
  <c r="A4342" i="3"/>
  <c r="A4344" i="3"/>
  <c r="A4345" i="3"/>
  <c r="A4346" i="3"/>
  <c r="A4347" i="3"/>
  <c r="A4348" i="3"/>
  <c r="A4349" i="3"/>
  <c r="A4350" i="3"/>
  <c r="A4351" i="3"/>
  <c r="A4352" i="3"/>
  <c r="A4353" i="3"/>
  <c r="A4354" i="3"/>
  <c r="A4355" i="3"/>
  <c r="A4358" i="3"/>
  <c r="A4359" i="3"/>
  <c r="A4360" i="3"/>
  <c r="A4361" i="3"/>
  <c r="A4362" i="3"/>
  <c r="A4363" i="3"/>
  <c r="A4364" i="3"/>
  <c r="A4365" i="3"/>
  <c r="A4367" i="3"/>
  <c r="A4368" i="3"/>
  <c r="A4369" i="3"/>
  <c r="A4370" i="3"/>
  <c r="A4371" i="3"/>
  <c r="A4372" i="3"/>
  <c r="A4373" i="3"/>
  <c r="A4374" i="3"/>
  <c r="A4375" i="3"/>
  <c r="A4376" i="3"/>
  <c r="A4377" i="3"/>
  <c r="A4378" i="3"/>
  <c r="A4380" i="3"/>
  <c r="A4381" i="3"/>
  <c r="A4382" i="3"/>
  <c r="A4383" i="3"/>
  <c r="A4384" i="3"/>
  <c r="A4385" i="3"/>
  <c r="A4386" i="3"/>
  <c r="A4387" i="3"/>
  <c r="A4388" i="3"/>
  <c r="A4389" i="3"/>
  <c r="A4390" i="3"/>
  <c r="A4391" i="3"/>
  <c r="A4392" i="3"/>
  <c r="A4394" i="3"/>
  <c r="A4395" i="3"/>
  <c r="A4396" i="3"/>
  <c r="A4397" i="3"/>
  <c r="A4398" i="3"/>
  <c r="A4399" i="3"/>
  <c r="A4400" i="3"/>
  <c r="A4401" i="3"/>
  <c r="A4402" i="3"/>
  <c r="A4403" i="3"/>
  <c r="A4404" i="3"/>
  <c r="A4405" i="3"/>
  <c r="A4406" i="3"/>
  <c r="A4408" i="3"/>
  <c r="A4409" i="3"/>
  <c r="A4410" i="3"/>
  <c r="A4411" i="3"/>
  <c r="A4412" i="3"/>
  <c r="A4413" i="3"/>
  <c r="A4414" i="3"/>
  <c r="A4416" i="3"/>
  <c r="A4417" i="3"/>
  <c r="A4418" i="3"/>
  <c r="A4419" i="3"/>
  <c r="A4420" i="3"/>
  <c r="A4421" i="3"/>
  <c r="A4422" i="3"/>
  <c r="A4424" i="3"/>
  <c r="A4425" i="3"/>
  <c r="A4426" i="3"/>
  <c r="A4427" i="3"/>
  <c r="A4428" i="3"/>
  <c r="A4429" i="3"/>
  <c r="A4430" i="3"/>
  <c r="A4432" i="3"/>
  <c r="A4433" i="3"/>
  <c r="A4434" i="3"/>
  <c r="A4435" i="3"/>
  <c r="A4436" i="3"/>
  <c r="A4437" i="3"/>
  <c r="A4438" i="3"/>
  <c r="A4439" i="3"/>
  <c r="A4440" i="3"/>
  <c r="A4442" i="3"/>
  <c r="A4443" i="3"/>
  <c r="A4444" i="3"/>
  <c r="A4445" i="3"/>
  <c r="A4446" i="3"/>
  <c r="A4447" i="3"/>
  <c r="A4448" i="3"/>
  <c r="A4449" i="3"/>
  <c r="A4450" i="3"/>
  <c r="A4451" i="3"/>
  <c r="A4452" i="3"/>
  <c r="A4453" i="3"/>
  <c r="A4454" i="3"/>
  <c r="A4456" i="3"/>
  <c r="A4457" i="3"/>
  <c r="A4458" i="3"/>
  <c r="A4459" i="3"/>
  <c r="A4460" i="3"/>
  <c r="A4461" i="3"/>
  <c r="A4462" i="3"/>
  <c r="A4463" i="3"/>
  <c r="A4464" i="3"/>
  <c r="A4465" i="3"/>
  <c r="A4466" i="3"/>
  <c r="A4467" i="3"/>
  <c r="A4468" i="3"/>
  <c r="A4469" i="3"/>
  <c r="A4471" i="3"/>
  <c r="A4472" i="3"/>
  <c r="A4473" i="3"/>
  <c r="A4474" i="3"/>
  <c r="A4475" i="3"/>
  <c r="A4476" i="3"/>
  <c r="A4477" i="3"/>
  <c r="A4478" i="3"/>
  <c r="A4479" i="3"/>
  <c r="A4480" i="3"/>
  <c r="A4481" i="3"/>
  <c r="A4482" i="3"/>
  <c r="A4483" i="3"/>
  <c r="A4484" i="3"/>
  <c r="A4486" i="3"/>
  <c r="A4487" i="3"/>
  <c r="A4488" i="3"/>
  <c r="A4489" i="3"/>
  <c r="A4490" i="3"/>
  <c r="A4491" i="3"/>
  <c r="A4492" i="3"/>
  <c r="A4493" i="3"/>
  <c r="A4494" i="3"/>
  <c r="A4495" i="3"/>
  <c r="A4497" i="3"/>
  <c r="A4498" i="3"/>
  <c r="A4499" i="3"/>
  <c r="A4500" i="3"/>
  <c r="A4501" i="3"/>
  <c r="A4502" i="3"/>
  <c r="A4504" i="3"/>
  <c r="A4505" i="3"/>
  <c r="A4506" i="3"/>
  <c r="A4507" i="3"/>
  <c r="A4508" i="3"/>
  <c r="A4509" i="3"/>
  <c r="A4511" i="3"/>
  <c r="A4512" i="3"/>
  <c r="A4513" i="3"/>
  <c r="A4514" i="3"/>
  <c r="A4515" i="3"/>
  <c r="A4516" i="3"/>
  <c r="A4517" i="3"/>
  <c r="A4518" i="3"/>
  <c r="A4519" i="3"/>
  <c r="A4520" i="3"/>
  <c r="A4521" i="3"/>
  <c r="A4524" i="3"/>
  <c r="A4525" i="3"/>
  <c r="A4526" i="3"/>
  <c r="A4527" i="3"/>
  <c r="A4528" i="3"/>
  <c r="A4529" i="3"/>
  <c r="A4530" i="3"/>
  <c r="A4531" i="3"/>
  <c r="A4532" i="3"/>
  <c r="A4533" i="3"/>
  <c r="A4534" i="3"/>
  <c r="A4535" i="3"/>
  <c r="A4536" i="3"/>
  <c r="A4537" i="3"/>
  <c r="A4538" i="3"/>
  <c r="A4540" i="3"/>
  <c r="A4541" i="3"/>
  <c r="A4542" i="3"/>
  <c r="A4543" i="3"/>
  <c r="A4544" i="3"/>
  <c r="A4545" i="3"/>
  <c r="A4546" i="3"/>
  <c r="A4547" i="3"/>
  <c r="A4548" i="3"/>
  <c r="A4549" i="3"/>
  <c r="A4550" i="3"/>
  <c r="A4551" i="3"/>
  <c r="A4552" i="3"/>
  <c r="A4553" i="3"/>
  <c r="A4555" i="3"/>
  <c r="A4556" i="3"/>
  <c r="A4557" i="3"/>
  <c r="A4558" i="3"/>
  <c r="A4559" i="3"/>
  <c r="A4560" i="3"/>
  <c r="A4561" i="3"/>
  <c r="A4562" i="3"/>
  <c r="A4563" i="3"/>
  <c r="A4564" i="3"/>
  <c r="A4565" i="3"/>
  <c r="A4566" i="3"/>
  <c r="A4567" i="3"/>
  <c r="A4569" i="3"/>
  <c r="A4570" i="3"/>
  <c r="A4571" i="3"/>
  <c r="A4572" i="3"/>
  <c r="A4573" i="3"/>
  <c r="A4574" i="3"/>
  <c r="A4575" i="3"/>
  <c r="A4576" i="3"/>
  <c r="A4577" i="3"/>
  <c r="A4578" i="3"/>
  <c r="A4579" i="3"/>
  <c r="A4580" i="3"/>
  <c r="A4581" i="3"/>
  <c r="A4582" i="3"/>
  <c r="A4583" i="3"/>
  <c r="A4584" i="3"/>
  <c r="A4586" i="3"/>
  <c r="A4587" i="3"/>
  <c r="A4588" i="3"/>
  <c r="A4589" i="3"/>
  <c r="A4590" i="3"/>
  <c r="A4591" i="3"/>
  <c r="A4592" i="3"/>
  <c r="A4593" i="3"/>
  <c r="A4594" i="3"/>
  <c r="A4595" i="3"/>
  <c r="A4596" i="3"/>
  <c r="A4597" i="3"/>
  <c r="A4598" i="3"/>
  <c r="A4599" i="3"/>
  <c r="A4601" i="3"/>
  <c r="A4602" i="3"/>
  <c r="A4603" i="3"/>
  <c r="A4604" i="3"/>
  <c r="A4605" i="3"/>
  <c r="A4606" i="3"/>
  <c r="A4607" i="3"/>
  <c r="A4608" i="3"/>
  <c r="A4609" i="3"/>
  <c r="A4610" i="3"/>
  <c r="A4611" i="3"/>
  <c r="A4612" i="3"/>
  <c r="A4613" i="3"/>
  <c r="A4614" i="3"/>
  <c r="A4615" i="3"/>
  <c r="A4616" i="3"/>
  <c r="A4618" i="3"/>
  <c r="A4619" i="3"/>
  <c r="A4620" i="3"/>
  <c r="A4621" i="3"/>
  <c r="A4622" i="3"/>
  <c r="A4623" i="3"/>
  <c r="A4624" i="3"/>
  <c r="A4625" i="3"/>
  <c r="A4626" i="3"/>
  <c r="A4627" i="3"/>
  <c r="A4628" i="3"/>
  <c r="A4629" i="3"/>
  <c r="A4630" i="3"/>
  <c r="A4631" i="3"/>
  <c r="A4632" i="3"/>
  <c r="A4633" i="3"/>
  <c r="A4634" i="3"/>
  <c r="A4637" i="3"/>
  <c r="A4638" i="3"/>
  <c r="A4639" i="3"/>
  <c r="A4640" i="3"/>
  <c r="A4641" i="3"/>
  <c r="A4642" i="3"/>
  <c r="A4644" i="3"/>
  <c r="A4645" i="3"/>
  <c r="A4646" i="3"/>
  <c r="A4647" i="3"/>
  <c r="A4648" i="3"/>
  <c r="A4649" i="3"/>
  <c r="A4650" i="3"/>
  <c r="A4651" i="3"/>
  <c r="A4652" i="3"/>
  <c r="A4653" i="3"/>
  <c r="A4654" i="3"/>
  <c r="N3416" i="3"/>
  <c r="U3416" i="3" s="1"/>
  <c r="N3415" i="3"/>
  <c r="U3415" i="3" s="1"/>
  <c r="N3414" i="3"/>
  <c r="U3414" i="3" s="1"/>
  <c r="N3413" i="3"/>
  <c r="U3413" i="3" s="1"/>
  <c r="N3412" i="3"/>
  <c r="U3412" i="3" s="1"/>
  <c r="N3411" i="3"/>
  <c r="U3411" i="3" s="1"/>
  <c r="N3410" i="3"/>
  <c r="U3410" i="3" s="1"/>
  <c r="N3409" i="3"/>
  <c r="U3409" i="3" s="1"/>
  <c r="N3408" i="3"/>
  <c r="U3408" i="3" s="1"/>
  <c r="N3407" i="3"/>
  <c r="U3407" i="3" s="1"/>
  <c r="N3406" i="3"/>
  <c r="U3406" i="3" s="1"/>
  <c r="N3405" i="3"/>
  <c r="U3405" i="3" s="1"/>
  <c r="N3404" i="3"/>
  <c r="U3404" i="3" s="1"/>
  <c r="N3403" i="3"/>
  <c r="U3403" i="3" s="1"/>
  <c r="N3402" i="3"/>
  <c r="U3402" i="3" s="1"/>
  <c r="N3401" i="3"/>
  <c r="U3401" i="3" s="1"/>
  <c r="N3400" i="3"/>
  <c r="U3400" i="3" s="1"/>
  <c r="N3399" i="3"/>
  <c r="U3399" i="3" s="1"/>
  <c r="N3398" i="3"/>
  <c r="U3398" i="3" s="1"/>
  <c r="N3397" i="3"/>
  <c r="U3397" i="3" s="1"/>
  <c r="N3396" i="3"/>
  <c r="U3396" i="3" s="1"/>
  <c r="N3395" i="3"/>
  <c r="U3395" i="3" s="1"/>
  <c r="N3394" i="3"/>
  <c r="U3394" i="3" s="1"/>
  <c r="N3393" i="3"/>
  <c r="U3393" i="3" s="1"/>
  <c r="N3392" i="3"/>
  <c r="U3392" i="3" s="1"/>
  <c r="N3391" i="3"/>
  <c r="U3391" i="3" s="1"/>
  <c r="N3390" i="3"/>
  <c r="U3390" i="3" s="1"/>
  <c r="N3389" i="3"/>
  <c r="U3389" i="3" s="1"/>
  <c r="N3388" i="3"/>
  <c r="U3388" i="3" s="1"/>
  <c r="N3387" i="3"/>
  <c r="U3387" i="3" s="1"/>
  <c r="N3386" i="3"/>
  <c r="U3386" i="3" s="1"/>
  <c r="N3385" i="3"/>
  <c r="U3385" i="3" s="1"/>
  <c r="N3384" i="3"/>
  <c r="U3384" i="3" s="1"/>
  <c r="N3383" i="3"/>
  <c r="U3383" i="3" s="1"/>
  <c r="N3382" i="3"/>
  <c r="U3382" i="3" s="1"/>
  <c r="N3381" i="3"/>
  <c r="U3381" i="3" s="1"/>
  <c r="N3380" i="3"/>
  <c r="U3380" i="3" s="1"/>
  <c r="N3379" i="3"/>
  <c r="U3379" i="3" s="1"/>
  <c r="N3378" i="3"/>
  <c r="U3378" i="3" s="1"/>
  <c r="N3377" i="3"/>
  <c r="U3377" i="3" s="1"/>
  <c r="N3376" i="3"/>
  <c r="U3376" i="3" s="1"/>
  <c r="N3375" i="3"/>
  <c r="U3375" i="3" s="1"/>
  <c r="N3374" i="3"/>
  <c r="U3374" i="3" s="1"/>
  <c r="N3373" i="3"/>
  <c r="U3373" i="3" s="1"/>
  <c r="N3372" i="3"/>
  <c r="U3372" i="3" s="1"/>
  <c r="N3371" i="3"/>
  <c r="U3371" i="3" s="1"/>
  <c r="N3370" i="3"/>
  <c r="U3370" i="3" s="1"/>
  <c r="N3369" i="3"/>
  <c r="U3369" i="3" s="1"/>
  <c r="N3368" i="3"/>
  <c r="U3368" i="3" s="1"/>
  <c r="N3367" i="3"/>
  <c r="U3367" i="3" s="1"/>
  <c r="N3366" i="3"/>
  <c r="U3366" i="3" s="1"/>
  <c r="N3365" i="3"/>
  <c r="U3365" i="3" s="1"/>
  <c r="N3364" i="3"/>
  <c r="U3364" i="3" s="1"/>
  <c r="N3363" i="3"/>
  <c r="U3363" i="3" s="1"/>
  <c r="N3362" i="3"/>
  <c r="U3362" i="3" s="1"/>
  <c r="N3361" i="3"/>
  <c r="U3361" i="3" s="1"/>
  <c r="N3360" i="3"/>
  <c r="U3360" i="3" s="1"/>
  <c r="N3359" i="3"/>
  <c r="U3359" i="3" s="1"/>
  <c r="N3358" i="3"/>
  <c r="U3358" i="3" s="1"/>
  <c r="N3357" i="3"/>
  <c r="U3357" i="3" s="1"/>
  <c r="N3356" i="3"/>
  <c r="U3356" i="3" s="1"/>
  <c r="N3355" i="3"/>
  <c r="U3355" i="3" s="1"/>
  <c r="N3354" i="3"/>
  <c r="U3354" i="3" s="1"/>
  <c r="N3353" i="3"/>
  <c r="U3353" i="3" s="1"/>
  <c r="N3352" i="3"/>
  <c r="U3352" i="3" s="1"/>
  <c r="N3351" i="3"/>
  <c r="U3351" i="3" s="1"/>
  <c r="N3350" i="3"/>
  <c r="U3350" i="3" s="1"/>
  <c r="N3349" i="3"/>
  <c r="U3349" i="3" s="1"/>
  <c r="N3348" i="3"/>
  <c r="U3348" i="3" s="1"/>
  <c r="N3347" i="3"/>
  <c r="U3347" i="3" s="1"/>
  <c r="N3346" i="3"/>
  <c r="U3346" i="3" s="1"/>
  <c r="N3345" i="3"/>
  <c r="U3345" i="3" s="1"/>
  <c r="N3344" i="3"/>
  <c r="U3344" i="3" s="1"/>
  <c r="N3343" i="3"/>
  <c r="U3343" i="3" s="1"/>
  <c r="N3342" i="3"/>
  <c r="U3342" i="3" s="1"/>
  <c r="N3341" i="3"/>
  <c r="U3341" i="3" s="1"/>
  <c r="N3340" i="3"/>
  <c r="U3340" i="3" s="1"/>
  <c r="N3339" i="3"/>
  <c r="U3339" i="3" s="1"/>
  <c r="N3338" i="3"/>
  <c r="U3338" i="3" s="1"/>
  <c r="N3337" i="3"/>
  <c r="U3337" i="3" s="1"/>
  <c r="N3336" i="3"/>
  <c r="U3336" i="3" s="1"/>
  <c r="N3335" i="3"/>
  <c r="U3335" i="3" s="1"/>
  <c r="N3334" i="3"/>
  <c r="U3334" i="3" s="1"/>
  <c r="N3333" i="3"/>
  <c r="U3333" i="3" s="1"/>
  <c r="N3332" i="3"/>
  <c r="U3332" i="3" s="1"/>
  <c r="N3331" i="3"/>
  <c r="U3331" i="3" s="1"/>
  <c r="N3330" i="3"/>
  <c r="U3330" i="3" s="1"/>
  <c r="N3329" i="3"/>
  <c r="U3329" i="3" s="1"/>
  <c r="N3328" i="3"/>
  <c r="U3328" i="3" s="1"/>
  <c r="N3327" i="3"/>
  <c r="U3327" i="3" s="1"/>
  <c r="N3326" i="3"/>
  <c r="U3326" i="3" s="1"/>
  <c r="N3325" i="3"/>
  <c r="U3325" i="3" s="1"/>
  <c r="N3324" i="3"/>
  <c r="U3324" i="3" s="1"/>
  <c r="N3323" i="3"/>
  <c r="U3323" i="3" s="1"/>
  <c r="N3322" i="3"/>
  <c r="U3322" i="3" s="1"/>
  <c r="N3321" i="3"/>
  <c r="U3321" i="3" s="1"/>
  <c r="N3320" i="3"/>
  <c r="U3320" i="3" s="1"/>
  <c r="N3319" i="3"/>
  <c r="U3319" i="3" s="1"/>
  <c r="N3318" i="3"/>
  <c r="U3318" i="3" s="1"/>
  <c r="N3317" i="3"/>
  <c r="U3317" i="3" s="1"/>
  <c r="N3316" i="3"/>
  <c r="U3316" i="3" s="1"/>
  <c r="N3315" i="3"/>
  <c r="U3315" i="3" s="1"/>
  <c r="N3314" i="3"/>
  <c r="U3314" i="3" s="1"/>
  <c r="N3313" i="3"/>
  <c r="U3313" i="3" s="1"/>
  <c r="N3312" i="3"/>
  <c r="U3312" i="3" s="1"/>
  <c r="N3311" i="3"/>
  <c r="U3311" i="3" s="1"/>
  <c r="N3310" i="3"/>
  <c r="U3310" i="3" s="1"/>
  <c r="N3309" i="3"/>
  <c r="U3309" i="3" s="1"/>
  <c r="N3308" i="3"/>
  <c r="U3308" i="3" s="1"/>
  <c r="N3307" i="3"/>
  <c r="U3307" i="3" s="1"/>
  <c r="N3306" i="3"/>
  <c r="U3306" i="3" s="1"/>
  <c r="N3305" i="3"/>
  <c r="U3305" i="3" s="1"/>
  <c r="N3304" i="3"/>
  <c r="U3304" i="3" s="1"/>
  <c r="N3303" i="3"/>
  <c r="U3303" i="3" s="1"/>
  <c r="N3302" i="3"/>
  <c r="U3302" i="3" s="1"/>
  <c r="N3301" i="3"/>
  <c r="U3301" i="3" s="1"/>
  <c r="A1541" i="3"/>
  <c r="A1554" i="3"/>
  <c r="W1554" i="3" s="1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U1542" i="3"/>
  <c r="N1543" i="3"/>
  <c r="U1543" i="3" s="1"/>
  <c r="N1544" i="3"/>
  <c r="U1544" i="3" s="1"/>
  <c r="N1545" i="3"/>
  <c r="U1545" i="3" s="1"/>
  <c r="N1546" i="3"/>
  <c r="U1546" i="3" s="1"/>
  <c r="N1547" i="3"/>
  <c r="U1547" i="3" s="1"/>
  <c r="N1548" i="3"/>
  <c r="U1548" i="3" s="1"/>
  <c r="N1549" i="3"/>
  <c r="U1549" i="3" s="1"/>
  <c r="N1550" i="3"/>
  <c r="U1550" i="3" s="1"/>
  <c r="N1551" i="3"/>
  <c r="U1551" i="3" s="1"/>
  <c r="N1552" i="3"/>
  <c r="U1552" i="3" s="1"/>
  <c r="N1553" i="3"/>
  <c r="U1553" i="3" s="1"/>
  <c r="D1541" i="3"/>
  <c r="D1542" i="3"/>
  <c r="U2048" i="3" l="1"/>
  <c r="X2064" i="3"/>
  <c r="U2013" i="3"/>
  <c r="U1978" i="3"/>
  <c r="U1994" i="3"/>
  <c r="X2206" i="3"/>
  <c r="U2223" i="3"/>
  <c r="U2224" i="3"/>
  <c r="U2205" i="3"/>
  <c r="X1574" i="3"/>
  <c r="U1593" i="3"/>
  <c r="X2979" i="3"/>
  <c r="U1573" i="3"/>
  <c r="U1592" i="3"/>
  <c r="X2988" i="3"/>
  <c r="U2989" i="3"/>
  <c r="X2981" i="3"/>
  <c r="X2980" i="3"/>
  <c r="U2983" i="3"/>
  <c r="U2984" i="3"/>
  <c r="U2978" i="3"/>
  <c r="U2987" i="3"/>
  <c r="U2990" i="3"/>
  <c r="U2982" i="3"/>
  <c r="U2991" i="3"/>
  <c r="D4653" i="3"/>
  <c r="N4653" i="3"/>
  <c r="U4653" i="3" s="1"/>
  <c r="D4651" i="3"/>
  <c r="N4651" i="3"/>
  <c r="U4651" i="3" s="1"/>
  <c r="D4652" i="3"/>
  <c r="N4652" i="3"/>
  <c r="U4652" i="3" s="1"/>
  <c r="D4654" i="3"/>
  <c r="N4654" i="3"/>
  <c r="U4654" i="3" s="1"/>
  <c r="O6723" i="3"/>
  <c r="O6626" i="3"/>
  <c r="O6627" i="3"/>
  <c r="O6628" i="3"/>
  <c r="O6629" i="3"/>
  <c r="O6630" i="3"/>
  <c r="O6631" i="3"/>
  <c r="O6632" i="3"/>
  <c r="O6633" i="3"/>
  <c r="O6634" i="3"/>
  <c r="O6635" i="3"/>
  <c r="O6636" i="3"/>
  <c r="O6637" i="3"/>
  <c r="O6638" i="3"/>
  <c r="O6639" i="3"/>
  <c r="O6640" i="3"/>
  <c r="O6641" i="3"/>
  <c r="O6642" i="3"/>
  <c r="O6643" i="3"/>
  <c r="O6644" i="3"/>
  <c r="O6645" i="3"/>
  <c r="O6646" i="3"/>
  <c r="O6647" i="3"/>
  <c r="O6648" i="3"/>
  <c r="O6649" i="3"/>
  <c r="O6650" i="3"/>
  <c r="O6651" i="3"/>
  <c r="O6652" i="3"/>
  <c r="O6653" i="3"/>
  <c r="O6654" i="3"/>
  <c r="O6655" i="3"/>
  <c r="O6656" i="3"/>
  <c r="O6657" i="3"/>
  <c r="O6658" i="3"/>
  <c r="O6659" i="3"/>
  <c r="O6660" i="3"/>
  <c r="O6661" i="3"/>
  <c r="O6662" i="3"/>
  <c r="O6663" i="3"/>
  <c r="O6664" i="3"/>
  <c r="O6665" i="3"/>
  <c r="O6666" i="3"/>
  <c r="O6667" i="3"/>
  <c r="O6668" i="3"/>
  <c r="O6669" i="3"/>
  <c r="O6670" i="3"/>
  <c r="O6671" i="3"/>
  <c r="O6672" i="3"/>
  <c r="O6673" i="3"/>
  <c r="O6674" i="3"/>
  <c r="O6675" i="3"/>
  <c r="O6676" i="3"/>
  <c r="O6677" i="3"/>
  <c r="O6678" i="3"/>
  <c r="O6679" i="3"/>
  <c r="O6680" i="3"/>
  <c r="O6681" i="3"/>
  <c r="O6682" i="3"/>
  <c r="O6683" i="3"/>
  <c r="O6684" i="3"/>
  <c r="O6685" i="3"/>
  <c r="O6686" i="3"/>
  <c r="O6687" i="3"/>
  <c r="O6688" i="3"/>
  <c r="O6689" i="3"/>
  <c r="O6690" i="3"/>
  <c r="O6691" i="3"/>
  <c r="O6692" i="3"/>
  <c r="O6693" i="3"/>
  <c r="O6694" i="3"/>
  <c r="O6695" i="3"/>
  <c r="O6696" i="3"/>
  <c r="O6697" i="3"/>
  <c r="O6698" i="3"/>
  <c r="O6699" i="3"/>
  <c r="O6700" i="3"/>
  <c r="O6701" i="3"/>
  <c r="O6702" i="3"/>
  <c r="O6703" i="3"/>
  <c r="O6704" i="3"/>
  <c r="O6705" i="3"/>
  <c r="O6706" i="3"/>
  <c r="O6707" i="3"/>
  <c r="O6708" i="3"/>
  <c r="O6709" i="3"/>
  <c r="O6710" i="3"/>
  <c r="O6711" i="3"/>
  <c r="O6712" i="3"/>
  <c r="O6713" i="3"/>
  <c r="O6714" i="3"/>
  <c r="O6715" i="3"/>
  <c r="O6716" i="3"/>
  <c r="O6717" i="3"/>
  <c r="O6718" i="3"/>
  <c r="O6719" i="3"/>
  <c r="O6720" i="3"/>
  <c r="O6721" i="3"/>
  <c r="O6722" i="3"/>
  <c r="O6724" i="3"/>
  <c r="O6725" i="3"/>
  <c r="O6726" i="3"/>
  <c r="O6727" i="3"/>
  <c r="O6728" i="3"/>
  <c r="O6729" i="3"/>
  <c r="O6730" i="3"/>
  <c r="O6731" i="3"/>
  <c r="O6732" i="3"/>
  <c r="O6733" i="3"/>
  <c r="O6734" i="3"/>
  <c r="O6735" i="3"/>
  <c r="O6736" i="3"/>
  <c r="O6737" i="3"/>
  <c r="O6738" i="3"/>
  <c r="O6739" i="3"/>
  <c r="O6740" i="3"/>
  <c r="O6741" i="3"/>
  <c r="O6742" i="3"/>
  <c r="O6743" i="3"/>
  <c r="O6744" i="3"/>
  <c r="O6745" i="3"/>
  <c r="O6746" i="3"/>
  <c r="O6747" i="3"/>
  <c r="O6748" i="3"/>
  <c r="O6749" i="3"/>
  <c r="O6750" i="3"/>
  <c r="O6751" i="3"/>
  <c r="O6752" i="3"/>
  <c r="O6753" i="3"/>
  <c r="O6754" i="3"/>
  <c r="O6755" i="3"/>
  <c r="P6624" i="3"/>
  <c r="P6625" i="3"/>
  <c r="P6514" i="3"/>
  <c r="P6515" i="3"/>
  <c r="P6516" i="3"/>
  <c r="A6588" i="3" l="1"/>
  <c r="K6588" i="3"/>
  <c r="N6588" i="3"/>
  <c r="O6588" i="3"/>
  <c r="P6588" i="3"/>
  <c r="Q6588" i="3"/>
  <c r="R6588" i="3"/>
  <c r="S6588" i="3"/>
  <c r="T6588" i="3"/>
  <c r="V6588" i="3"/>
  <c r="W6588" i="3"/>
  <c r="A6584" i="3"/>
  <c r="K6584" i="3"/>
  <c r="N6584" i="3"/>
  <c r="O6584" i="3"/>
  <c r="P6584" i="3"/>
  <c r="Q6584" i="3"/>
  <c r="R6584" i="3"/>
  <c r="S6584" i="3"/>
  <c r="T6584" i="3"/>
  <c r="V6584" i="3"/>
  <c r="W6584" i="3"/>
  <c r="A6580" i="3"/>
  <c r="K6580" i="3"/>
  <c r="N6580" i="3"/>
  <c r="O6580" i="3"/>
  <c r="P6580" i="3"/>
  <c r="Q6580" i="3"/>
  <c r="R6580" i="3"/>
  <c r="S6580" i="3"/>
  <c r="T6580" i="3"/>
  <c r="V6580" i="3"/>
  <c r="W6580" i="3"/>
  <c r="A6748" i="3"/>
  <c r="N6748" i="3"/>
  <c r="A6749" i="3"/>
  <c r="N6749" i="3"/>
  <c r="A6750" i="3"/>
  <c r="N6750" i="3"/>
  <c r="A6744" i="3"/>
  <c r="N6744" i="3"/>
  <c r="A6745" i="3"/>
  <c r="N6745" i="3"/>
  <c r="A6746" i="3"/>
  <c r="N6746" i="3"/>
  <c r="A6747" i="3"/>
  <c r="N6747" i="3"/>
  <c r="A6740" i="3"/>
  <c r="N6740" i="3"/>
  <c r="A6741" i="3"/>
  <c r="N6741" i="3"/>
  <c r="A6742" i="3"/>
  <c r="N6742" i="3"/>
  <c r="A6743" i="3"/>
  <c r="N6743" i="3"/>
  <c r="A6739" i="3"/>
  <c r="N6739" i="3"/>
  <c r="A6751" i="3"/>
  <c r="K6751" i="3"/>
  <c r="N6751" i="3"/>
  <c r="A6712" i="3"/>
  <c r="N6712" i="3"/>
  <c r="A6713" i="3"/>
  <c r="N6713" i="3"/>
  <c r="A6714" i="3"/>
  <c r="N6714" i="3"/>
  <c r="A6715" i="3"/>
  <c r="N6715" i="3"/>
  <c r="A6703" i="3"/>
  <c r="K6703" i="3"/>
  <c r="N6703" i="3"/>
  <c r="A6704" i="3"/>
  <c r="K6704" i="3"/>
  <c r="N6704" i="3"/>
  <c r="A6705" i="3"/>
  <c r="K6705" i="3"/>
  <c r="N6705" i="3"/>
  <c r="A6700" i="3"/>
  <c r="K6700" i="3"/>
  <c r="N6700" i="3"/>
  <c r="A6701" i="3"/>
  <c r="K6701" i="3"/>
  <c r="N6701" i="3"/>
  <c r="A6709" i="3"/>
  <c r="N6709" i="3"/>
  <c r="A6710" i="3"/>
  <c r="N6710" i="3"/>
  <c r="A6711" i="3"/>
  <c r="N6711" i="3"/>
  <c r="A6730" i="3"/>
  <c r="N6730" i="3"/>
  <c r="A6731" i="3"/>
  <c r="N6731" i="3"/>
  <c r="A6732" i="3"/>
  <c r="N6732" i="3"/>
  <c r="A6733" i="3"/>
  <c r="N6733" i="3"/>
  <c r="A6734" i="3"/>
  <c r="N6734" i="3"/>
  <c r="A6735" i="3"/>
  <c r="N6735" i="3"/>
  <c r="A6729" i="3"/>
  <c r="N6729" i="3"/>
  <c r="A6728" i="3"/>
  <c r="N6728" i="3"/>
  <c r="A6727" i="3"/>
  <c r="N6727" i="3"/>
  <c r="A6725" i="3"/>
  <c r="N6725" i="3"/>
  <c r="A6726" i="3"/>
  <c r="N6726" i="3"/>
  <c r="A6723" i="3"/>
  <c r="N6723" i="3"/>
  <c r="A6724" i="3"/>
  <c r="N6724" i="3"/>
  <c r="A6685" i="3"/>
  <c r="N6685" i="3"/>
  <c r="P6685" i="3"/>
  <c r="Q6685" i="3"/>
  <c r="R6685" i="3"/>
  <c r="S6685" i="3"/>
  <c r="T6685" i="3"/>
  <c r="V6685" i="3"/>
  <c r="W6685" i="3"/>
  <c r="A6686" i="3"/>
  <c r="N6686" i="3"/>
  <c r="P6686" i="3"/>
  <c r="Q6686" i="3"/>
  <c r="R6686" i="3"/>
  <c r="S6686" i="3"/>
  <c r="T6686" i="3"/>
  <c r="V6686" i="3"/>
  <c r="W6686" i="3"/>
  <c r="A6687" i="3"/>
  <c r="N6687" i="3"/>
  <c r="P6687" i="3"/>
  <c r="Q6687" i="3"/>
  <c r="R6687" i="3"/>
  <c r="S6687" i="3"/>
  <c r="T6687" i="3"/>
  <c r="V6687" i="3"/>
  <c r="W6687" i="3"/>
  <c r="A6688" i="3"/>
  <c r="N6688" i="3"/>
  <c r="P6688" i="3"/>
  <c r="Q6688" i="3"/>
  <c r="R6688" i="3"/>
  <c r="S6688" i="3"/>
  <c r="T6688" i="3"/>
  <c r="V6688" i="3"/>
  <c r="W6688" i="3"/>
  <c r="A6689" i="3"/>
  <c r="N6689" i="3"/>
  <c r="P6689" i="3"/>
  <c r="Q6689" i="3"/>
  <c r="R6689" i="3"/>
  <c r="S6689" i="3"/>
  <c r="T6689" i="3"/>
  <c r="V6689" i="3"/>
  <c r="W6689" i="3"/>
  <c r="A6690" i="3"/>
  <c r="N6690" i="3"/>
  <c r="P6690" i="3"/>
  <c r="Q6690" i="3"/>
  <c r="R6690" i="3"/>
  <c r="S6690" i="3"/>
  <c r="T6690" i="3"/>
  <c r="V6690" i="3"/>
  <c r="W6690" i="3"/>
  <c r="A6691" i="3"/>
  <c r="N6691" i="3"/>
  <c r="P6691" i="3"/>
  <c r="Q6691" i="3"/>
  <c r="R6691" i="3"/>
  <c r="S6691" i="3"/>
  <c r="T6691" i="3"/>
  <c r="V6691" i="3"/>
  <c r="W6691" i="3"/>
  <c r="A6692" i="3"/>
  <c r="N6692" i="3"/>
  <c r="P6692" i="3"/>
  <c r="Q6692" i="3"/>
  <c r="R6692" i="3"/>
  <c r="S6692" i="3"/>
  <c r="T6692" i="3"/>
  <c r="V6692" i="3"/>
  <c r="W6692" i="3"/>
  <c r="A6693" i="3"/>
  <c r="N6693" i="3"/>
  <c r="P6693" i="3"/>
  <c r="Q6693" i="3"/>
  <c r="R6693" i="3"/>
  <c r="S6693" i="3"/>
  <c r="T6693" i="3"/>
  <c r="V6693" i="3"/>
  <c r="W6693" i="3"/>
  <c r="A6682" i="3" l="1"/>
  <c r="K6682" i="3"/>
  <c r="N6682" i="3"/>
  <c r="P6682" i="3"/>
  <c r="Q6682" i="3"/>
  <c r="R6682" i="3"/>
  <c r="S6682" i="3"/>
  <c r="T6682" i="3"/>
  <c r="V6682" i="3"/>
  <c r="W6682" i="3"/>
  <c r="A6683" i="3"/>
  <c r="K6683" i="3"/>
  <c r="N6683" i="3"/>
  <c r="P6683" i="3"/>
  <c r="Q6683" i="3"/>
  <c r="R6683" i="3"/>
  <c r="S6683" i="3"/>
  <c r="T6683" i="3"/>
  <c r="V6683" i="3"/>
  <c r="W6683" i="3"/>
  <c r="A6579" i="3" l="1"/>
  <c r="K6579" i="3"/>
  <c r="N6579" i="3"/>
  <c r="O6579" i="3"/>
  <c r="P6579" i="3"/>
  <c r="Q6579" i="3"/>
  <c r="R6579" i="3"/>
  <c r="S6579" i="3"/>
  <c r="T6579" i="3"/>
  <c r="V6579" i="3"/>
  <c r="W6579" i="3"/>
  <c r="A6581" i="3"/>
  <c r="K6581" i="3"/>
  <c r="N6581" i="3"/>
  <c r="O6581" i="3"/>
  <c r="P6581" i="3"/>
  <c r="Q6581" i="3"/>
  <c r="R6581" i="3"/>
  <c r="S6581" i="3"/>
  <c r="T6581" i="3"/>
  <c r="V6581" i="3"/>
  <c r="W6581" i="3"/>
  <c r="A6582" i="3"/>
  <c r="K6582" i="3"/>
  <c r="N6582" i="3"/>
  <c r="O6582" i="3"/>
  <c r="P6582" i="3"/>
  <c r="Q6582" i="3"/>
  <c r="R6582" i="3"/>
  <c r="S6582" i="3"/>
  <c r="T6582" i="3"/>
  <c r="V6582" i="3"/>
  <c r="W6582" i="3"/>
  <c r="A6583" i="3"/>
  <c r="K6583" i="3"/>
  <c r="N6583" i="3"/>
  <c r="O6583" i="3"/>
  <c r="P6583" i="3"/>
  <c r="Q6583" i="3"/>
  <c r="R6583" i="3"/>
  <c r="S6583" i="3"/>
  <c r="T6583" i="3"/>
  <c r="V6583" i="3"/>
  <c r="W6583" i="3"/>
  <c r="A6585" i="3"/>
  <c r="K6585" i="3"/>
  <c r="N6585" i="3"/>
  <c r="O6585" i="3"/>
  <c r="P6585" i="3"/>
  <c r="Q6585" i="3"/>
  <c r="R6585" i="3"/>
  <c r="S6585" i="3"/>
  <c r="T6585" i="3"/>
  <c r="V6585" i="3"/>
  <c r="W6585" i="3"/>
  <c r="A6586" i="3"/>
  <c r="K6586" i="3"/>
  <c r="N6586" i="3"/>
  <c r="O6586" i="3"/>
  <c r="P6586" i="3"/>
  <c r="Q6586" i="3"/>
  <c r="R6586" i="3"/>
  <c r="S6586" i="3"/>
  <c r="T6586" i="3"/>
  <c r="V6586" i="3"/>
  <c r="W6586" i="3"/>
  <c r="A6587" i="3"/>
  <c r="K6587" i="3"/>
  <c r="N6587" i="3"/>
  <c r="O6587" i="3"/>
  <c r="P6587" i="3"/>
  <c r="Q6587" i="3"/>
  <c r="R6587" i="3"/>
  <c r="S6587" i="3"/>
  <c r="T6587" i="3"/>
  <c r="V6587" i="3"/>
  <c r="W6587" i="3"/>
  <c r="A6589" i="3"/>
  <c r="K6589" i="3"/>
  <c r="N6589" i="3"/>
  <c r="O6589" i="3"/>
  <c r="P6589" i="3"/>
  <c r="Q6589" i="3"/>
  <c r="R6589" i="3"/>
  <c r="S6589" i="3"/>
  <c r="T6589" i="3"/>
  <c r="V6589" i="3"/>
  <c r="W6589" i="3"/>
  <c r="A6590" i="3"/>
  <c r="K6590" i="3"/>
  <c r="N6590" i="3"/>
  <c r="O6590" i="3"/>
  <c r="P6590" i="3"/>
  <c r="Q6590" i="3"/>
  <c r="R6590" i="3"/>
  <c r="S6590" i="3"/>
  <c r="T6590" i="3"/>
  <c r="V6590" i="3"/>
  <c r="W6590" i="3"/>
  <c r="L6571" i="3"/>
  <c r="L6572" i="3"/>
  <c r="L6573" i="3"/>
  <c r="L6574" i="3"/>
  <c r="L6575" i="3"/>
  <c r="L6576" i="3"/>
  <c r="L6577" i="3"/>
  <c r="L6578" i="3"/>
  <c r="L6570" i="3"/>
  <c r="A6561" i="3"/>
  <c r="K6561" i="3"/>
  <c r="N6561" i="3"/>
  <c r="O6561" i="3"/>
  <c r="P6561" i="3"/>
  <c r="Q6561" i="3"/>
  <c r="R6561" i="3"/>
  <c r="S6561" i="3"/>
  <c r="T6561" i="3"/>
  <c r="V6561" i="3"/>
  <c r="W6561" i="3"/>
  <c r="A6562" i="3"/>
  <c r="K6562" i="3"/>
  <c r="N6562" i="3"/>
  <c r="O6562" i="3"/>
  <c r="P6562" i="3"/>
  <c r="Q6562" i="3"/>
  <c r="R6562" i="3"/>
  <c r="S6562" i="3"/>
  <c r="T6562" i="3"/>
  <c r="V6562" i="3"/>
  <c r="W6562" i="3"/>
  <c r="A6563" i="3"/>
  <c r="K6563" i="3"/>
  <c r="N6563" i="3"/>
  <c r="O6563" i="3"/>
  <c r="P6563" i="3"/>
  <c r="Q6563" i="3"/>
  <c r="R6563" i="3"/>
  <c r="S6563" i="3"/>
  <c r="T6563" i="3"/>
  <c r="V6563" i="3"/>
  <c r="W6563" i="3"/>
  <c r="A6564" i="3"/>
  <c r="K6564" i="3"/>
  <c r="N6564" i="3"/>
  <c r="O6564" i="3"/>
  <c r="P6564" i="3"/>
  <c r="Q6564" i="3"/>
  <c r="R6564" i="3"/>
  <c r="S6564" i="3"/>
  <c r="T6564" i="3"/>
  <c r="V6564" i="3"/>
  <c r="W6564" i="3"/>
  <c r="A6565" i="3"/>
  <c r="K6565" i="3"/>
  <c r="N6565" i="3"/>
  <c r="O6565" i="3"/>
  <c r="P6565" i="3"/>
  <c r="Q6565" i="3"/>
  <c r="R6565" i="3"/>
  <c r="S6565" i="3"/>
  <c r="T6565" i="3"/>
  <c r="V6565" i="3"/>
  <c r="W6565" i="3"/>
  <c r="A6566" i="3"/>
  <c r="K6566" i="3"/>
  <c r="N6566" i="3"/>
  <c r="O6566" i="3"/>
  <c r="P6566" i="3"/>
  <c r="Q6566" i="3"/>
  <c r="R6566" i="3"/>
  <c r="S6566" i="3"/>
  <c r="T6566" i="3"/>
  <c r="V6566" i="3"/>
  <c r="W6566" i="3"/>
  <c r="A6567" i="3"/>
  <c r="K6567" i="3"/>
  <c r="N6567" i="3"/>
  <c r="O6567" i="3"/>
  <c r="P6567" i="3"/>
  <c r="Q6567" i="3"/>
  <c r="R6567" i="3"/>
  <c r="S6567" i="3"/>
  <c r="T6567" i="3"/>
  <c r="V6567" i="3"/>
  <c r="W6567" i="3"/>
  <c r="A6568" i="3"/>
  <c r="K6568" i="3"/>
  <c r="N6568" i="3"/>
  <c r="O6568" i="3"/>
  <c r="P6568" i="3"/>
  <c r="Q6568" i="3"/>
  <c r="R6568" i="3"/>
  <c r="S6568" i="3"/>
  <c r="T6568" i="3"/>
  <c r="V6568" i="3"/>
  <c r="W6568" i="3"/>
  <c r="A6569" i="3"/>
  <c r="K6569" i="3"/>
  <c r="N6569" i="3"/>
  <c r="O6569" i="3"/>
  <c r="P6569" i="3"/>
  <c r="Q6569" i="3"/>
  <c r="R6569" i="3"/>
  <c r="S6569" i="3"/>
  <c r="T6569" i="3"/>
  <c r="V6569" i="3"/>
  <c r="W6569" i="3"/>
  <c r="A6591" i="3"/>
  <c r="K6591" i="3"/>
  <c r="N6591" i="3"/>
  <c r="O6591" i="3"/>
  <c r="P6591" i="3"/>
  <c r="Q6591" i="3"/>
  <c r="R6591" i="3"/>
  <c r="S6591" i="3"/>
  <c r="T6591" i="3"/>
  <c r="V6591" i="3"/>
  <c r="W6591" i="3"/>
  <c r="A6592" i="3"/>
  <c r="K6592" i="3"/>
  <c r="N6592" i="3"/>
  <c r="O6592" i="3"/>
  <c r="P6592" i="3"/>
  <c r="Q6592" i="3"/>
  <c r="R6592" i="3"/>
  <c r="S6592" i="3"/>
  <c r="T6592" i="3"/>
  <c r="V6592" i="3"/>
  <c r="W6592" i="3"/>
  <c r="A6593" i="3"/>
  <c r="K6593" i="3"/>
  <c r="N6593" i="3"/>
  <c r="O6593" i="3"/>
  <c r="P6593" i="3"/>
  <c r="Q6593" i="3"/>
  <c r="R6593" i="3"/>
  <c r="S6593" i="3"/>
  <c r="T6593" i="3"/>
  <c r="V6593" i="3"/>
  <c r="W6593" i="3"/>
  <c r="A6594" i="3"/>
  <c r="K6594" i="3"/>
  <c r="N6594" i="3"/>
  <c r="O6594" i="3"/>
  <c r="P6594" i="3"/>
  <c r="Q6594" i="3"/>
  <c r="R6594" i="3"/>
  <c r="S6594" i="3"/>
  <c r="T6594" i="3"/>
  <c r="V6594" i="3"/>
  <c r="W6594" i="3"/>
  <c r="A6595" i="3"/>
  <c r="K6595" i="3"/>
  <c r="N6595" i="3"/>
  <c r="O6595" i="3"/>
  <c r="P6595" i="3"/>
  <c r="Q6595" i="3"/>
  <c r="R6595" i="3"/>
  <c r="S6595" i="3"/>
  <c r="T6595" i="3"/>
  <c r="V6595" i="3"/>
  <c r="W6595" i="3"/>
  <c r="A6596" i="3"/>
  <c r="K6596" i="3"/>
  <c r="N6596" i="3"/>
  <c r="O6596" i="3"/>
  <c r="P6596" i="3"/>
  <c r="Q6596" i="3"/>
  <c r="R6596" i="3"/>
  <c r="S6596" i="3"/>
  <c r="T6596" i="3"/>
  <c r="V6596" i="3"/>
  <c r="W6596" i="3"/>
  <c r="A6597" i="3"/>
  <c r="K6597" i="3"/>
  <c r="N6597" i="3"/>
  <c r="O6597" i="3"/>
  <c r="P6597" i="3"/>
  <c r="Q6597" i="3"/>
  <c r="R6597" i="3"/>
  <c r="S6597" i="3"/>
  <c r="T6597" i="3"/>
  <c r="V6597" i="3"/>
  <c r="W6597" i="3"/>
  <c r="A6598" i="3"/>
  <c r="K6598" i="3"/>
  <c r="N6598" i="3"/>
  <c r="O6598" i="3"/>
  <c r="P6598" i="3"/>
  <c r="Q6598" i="3"/>
  <c r="R6598" i="3"/>
  <c r="S6598" i="3"/>
  <c r="T6598" i="3"/>
  <c r="V6598" i="3"/>
  <c r="W6598" i="3"/>
  <c r="A6599" i="3"/>
  <c r="K6599" i="3"/>
  <c r="N6599" i="3"/>
  <c r="O6599" i="3"/>
  <c r="P6599" i="3"/>
  <c r="Q6599" i="3"/>
  <c r="R6599" i="3"/>
  <c r="S6599" i="3"/>
  <c r="T6599" i="3"/>
  <c r="V6599" i="3"/>
  <c r="W6599" i="3"/>
  <c r="A6571" i="3"/>
  <c r="K6571" i="3"/>
  <c r="N6571" i="3"/>
  <c r="O6571" i="3"/>
  <c r="P6571" i="3"/>
  <c r="Q6571" i="3"/>
  <c r="R6571" i="3"/>
  <c r="S6571" i="3"/>
  <c r="T6571" i="3"/>
  <c r="V6571" i="3"/>
  <c r="W6571" i="3"/>
  <c r="A6572" i="3"/>
  <c r="K6572" i="3"/>
  <c r="N6572" i="3"/>
  <c r="O6572" i="3"/>
  <c r="P6572" i="3"/>
  <c r="Q6572" i="3"/>
  <c r="R6572" i="3"/>
  <c r="S6572" i="3"/>
  <c r="T6572" i="3"/>
  <c r="V6572" i="3"/>
  <c r="W6572" i="3"/>
  <c r="A6573" i="3"/>
  <c r="K6573" i="3"/>
  <c r="N6573" i="3"/>
  <c r="O6573" i="3"/>
  <c r="P6573" i="3"/>
  <c r="Q6573" i="3"/>
  <c r="R6573" i="3"/>
  <c r="S6573" i="3"/>
  <c r="T6573" i="3"/>
  <c r="V6573" i="3"/>
  <c r="W6573" i="3"/>
  <c r="A6574" i="3"/>
  <c r="K6574" i="3"/>
  <c r="N6574" i="3"/>
  <c r="O6574" i="3"/>
  <c r="P6574" i="3"/>
  <c r="Q6574" i="3"/>
  <c r="R6574" i="3"/>
  <c r="S6574" i="3"/>
  <c r="T6574" i="3"/>
  <c r="V6574" i="3"/>
  <c r="W6574" i="3"/>
  <c r="A6575" i="3"/>
  <c r="K6575" i="3"/>
  <c r="N6575" i="3"/>
  <c r="O6575" i="3"/>
  <c r="P6575" i="3"/>
  <c r="Q6575" i="3"/>
  <c r="R6575" i="3"/>
  <c r="S6575" i="3"/>
  <c r="T6575" i="3"/>
  <c r="V6575" i="3"/>
  <c r="W6575" i="3"/>
  <c r="A6576" i="3"/>
  <c r="K6576" i="3"/>
  <c r="N6576" i="3"/>
  <c r="O6576" i="3"/>
  <c r="P6576" i="3"/>
  <c r="Q6576" i="3"/>
  <c r="R6576" i="3"/>
  <c r="S6576" i="3"/>
  <c r="T6576" i="3"/>
  <c r="V6576" i="3"/>
  <c r="W6576" i="3"/>
  <c r="A6577" i="3"/>
  <c r="K6577" i="3"/>
  <c r="N6577" i="3"/>
  <c r="O6577" i="3"/>
  <c r="P6577" i="3"/>
  <c r="Q6577" i="3"/>
  <c r="R6577" i="3"/>
  <c r="S6577" i="3"/>
  <c r="T6577" i="3"/>
  <c r="V6577" i="3"/>
  <c r="W6577" i="3"/>
  <c r="A6578" i="3"/>
  <c r="K6578" i="3"/>
  <c r="N6578" i="3"/>
  <c r="O6578" i="3"/>
  <c r="P6578" i="3"/>
  <c r="Q6578" i="3"/>
  <c r="R6578" i="3"/>
  <c r="S6578" i="3"/>
  <c r="T6578" i="3"/>
  <c r="V6578" i="3"/>
  <c r="W6578" i="3"/>
  <c r="A6543" i="3"/>
  <c r="K6543" i="3"/>
  <c r="N6543" i="3"/>
  <c r="O6543" i="3"/>
  <c r="P6543" i="3"/>
  <c r="Q6543" i="3"/>
  <c r="R6543" i="3"/>
  <c r="S6543" i="3"/>
  <c r="T6543" i="3"/>
  <c r="V6543" i="3"/>
  <c r="W6543" i="3"/>
  <c r="A6544" i="3"/>
  <c r="K6544" i="3"/>
  <c r="N6544" i="3"/>
  <c r="O6544" i="3"/>
  <c r="P6544" i="3"/>
  <c r="Q6544" i="3"/>
  <c r="R6544" i="3"/>
  <c r="S6544" i="3"/>
  <c r="T6544" i="3"/>
  <c r="V6544" i="3"/>
  <c r="W6544" i="3"/>
  <c r="A6545" i="3"/>
  <c r="K6545" i="3"/>
  <c r="N6545" i="3"/>
  <c r="O6545" i="3"/>
  <c r="P6545" i="3"/>
  <c r="Q6545" i="3"/>
  <c r="R6545" i="3"/>
  <c r="S6545" i="3"/>
  <c r="T6545" i="3"/>
  <c r="V6545" i="3"/>
  <c r="W6545" i="3"/>
  <c r="A6546" i="3"/>
  <c r="K6546" i="3"/>
  <c r="N6546" i="3"/>
  <c r="O6546" i="3"/>
  <c r="P6546" i="3"/>
  <c r="Q6546" i="3"/>
  <c r="R6546" i="3"/>
  <c r="S6546" i="3"/>
  <c r="T6546" i="3"/>
  <c r="V6546" i="3"/>
  <c r="W6546" i="3"/>
  <c r="A6547" i="3"/>
  <c r="K6547" i="3"/>
  <c r="N6547" i="3"/>
  <c r="O6547" i="3"/>
  <c r="P6547" i="3"/>
  <c r="Q6547" i="3"/>
  <c r="R6547" i="3"/>
  <c r="S6547" i="3"/>
  <c r="T6547" i="3"/>
  <c r="V6547" i="3"/>
  <c r="W6547" i="3"/>
  <c r="A6548" i="3"/>
  <c r="K6548" i="3"/>
  <c r="N6548" i="3"/>
  <c r="O6548" i="3"/>
  <c r="P6548" i="3"/>
  <c r="Q6548" i="3"/>
  <c r="R6548" i="3"/>
  <c r="S6548" i="3"/>
  <c r="T6548" i="3"/>
  <c r="V6548" i="3"/>
  <c r="W6548" i="3"/>
  <c r="A6549" i="3"/>
  <c r="K6549" i="3"/>
  <c r="N6549" i="3"/>
  <c r="O6549" i="3"/>
  <c r="P6549" i="3"/>
  <c r="Q6549" i="3"/>
  <c r="R6549" i="3"/>
  <c r="S6549" i="3"/>
  <c r="T6549" i="3"/>
  <c r="V6549" i="3"/>
  <c r="W6549" i="3"/>
  <c r="A6550" i="3"/>
  <c r="K6550" i="3"/>
  <c r="N6550" i="3"/>
  <c r="O6550" i="3"/>
  <c r="P6550" i="3"/>
  <c r="Q6550" i="3"/>
  <c r="R6550" i="3"/>
  <c r="S6550" i="3"/>
  <c r="T6550" i="3"/>
  <c r="V6550" i="3"/>
  <c r="W6550" i="3"/>
  <c r="A6551" i="3"/>
  <c r="K6551" i="3"/>
  <c r="N6551" i="3"/>
  <c r="O6551" i="3"/>
  <c r="P6551" i="3"/>
  <c r="Q6551" i="3"/>
  <c r="R6551" i="3"/>
  <c r="S6551" i="3"/>
  <c r="T6551" i="3"/>
  <c r="V6551" i="3"/>
  <c r="W6551" i="3"/>
  <c r="A6552" i="3"/>
  <c r="K6552" i="3"/>
  <c r="N6552" i="3"/>
  <c r="O6552" i="3"/>
  <c r="P6552" i="3"/>
  <c r="Q6552" i="3"/>
  <c r="R6552" i="3"/>
  <c r="S6552" i="3"/>
  <c r="T6552" i="3"/>
  <c r="V6552" i="3"/>
  <c r="W6552" i="3"/>
  <c r="A6553" i="3"/>
  <c r="K6553" i="3"/>
  <c r="N6553" i="3"/>
  <c r="O6553" i="3"/>
  <c r="P6553" i="3"/>
  <c r="Q6553" i="3"/>
  <c r="R6553" i="3"/>
  <c r="S6553" i="3"/>
  <c r="T6553" i="3"/>
  <c r="V6553" i="3"/>
  <c r="W6553" i="3"/>
  <c r="A6554" i="3"/>
  <c r="K6554" i="3"/>
  <c r="N6554" i="3"/>
  <c r="O6554" i="3"/>
  <c r="P6554" i="3"/>
  <c r="Q6554" i="3"/>
  <c r="R6554" i="3"/>
  <c r="S6554" i="3"/>
  <c r="T6554" i="3"/>
  <c r="V6554" i="3"/>
  <c r="W6554" i="3"/>
  <c r="A6555" i="3"/>
  <c r="K6555" i="3"/>
  <c r="N6555" i="3"/>
  <c r="O6555" i="3"/>
  <c r="P6555" i="3"/>
  <c r="Q6555" i="3"/>
  <c r="R6555" i="3"/>
  <c r="S6555" i="3"/>
  <c r="T6555" i="3"/>
  <c r="V6555" i="3"/>
  <c r="W6555" i="3"/>
  <c r="A6556" i="3"/>
  <c r="K6556" i="3"/>
  <c r="N6556" i="3"/>
  <c r="O6556" i="3"/>
  <c r="P6556" i="3"/>
  <c r="Q6556" i="3"/>
  <c r="R6556" i="3"/>
  <c r="S6556" i="3"/>
  <c r="T6556" i="3"/>
  <c r="V6556" i="3"/>
  <c r="W6556" i="3"/>
  <c r="A6557" i="3"/>
  <c r="K6557" i="3"/>
  <c r="N6557" i="3"/>
  <c r="O6557" i="3"/>
  <c r="P6557" i="3"/>
  <c r="Q6557" i="3"/>
  <c r="R6557" i="3"/>
  <c r="S6557" i="3"/>
  <c r="T6557" i="3"/>
  <c r="V6557" i="3"/>
  <c r="W6557" i="3"/>
  <c r="A6558" i="3"/>
  <c r="K6558" i="3"/>
  <c r="N6558" i="3"/>
  <c r="O6558" i="3"/>
  <c r="P6558" i="3"/>
  <c r="Q6558" i="3"/>
  <c r="R6558" i="3"/>
  <c r="S6558" i="3"/>
  <c r="T6558" i="3"/>
  <c r="V6558" i="3"/>
  <c r="W6558" i="3"/>
  <c r="A6559" i="3"/>
  <c r="K6559" i="3"/>
  <c r="N6559" i="3"/>
  <c r="O6559" i="3"/>
  <c r="P6559" i="3"/>
  <c r="Q6559" i="3"/>
  <c r="R6559" i="3"/>
  <c r="S6559" i="3"/>
  <c r="T6559" i="3"/>
  <c r="V6559" i="3"/>
  <c r="W6559" i="3"/>
  <c r="A6560" i="3"/>
  <c r="K6560" i="3"/>
  <c r="N6560" i="3"/>
  <c r="O6560" i="3"/>
  <c r="P6560" i="3"/>
  <c r="Q6560" i="3"/>
  <c r="R6560" i="3"/>
  <c r="S6560" i="3"/>
  <c r="T6560" i="3"/>
  <c r="V6560" i="3"/>
  <c r="W6560" i="3"/>
  <c r="A6570" i="3"/>
  <c r="K6570" i="3"/>
  <c r="N6570" i="3"/>
  <c r="O6570" i="3"/>
  <c r="P6570" i="3"/>
  <c r="Q6570" i="3"/>
  <c r="R6570" i="3"/>
  <c r="S6570" i="3"/>
  <c r="T6570" i="3"/>
  <c r="V6570" i="3"/>
  <c r="W6570" i="3"/>
  <c r="A6535" i="3"/>
  <c r="K6535" i="3"/>
  <c r="N6535" i="3"/>
  <c r="O6535" i="3"/>
  <c r="P6535" i="3"/>
  <c r="Q6535" i="3"/>
  <c r="R6535" i="3"/>
  <c r="S6535" i="3"/>
  <c r="T6535" i="3"/>
  <c r="V6535" i="3"/>
  <c r="W6535" i="3"/>
  <c r="A6536" i="3"/>
  <c r="K6536" i="3"/>
  <c r="N6536" i="3"/>
  <c r="O6536" i="3"/>
  <c r="P6536" i="3"/>
  <c r="Q6536" i="3"/>
  <c r="R6536" i="3"/>
  <c r="S6536" i="3"/>
  <c r="T6536" i="3"/>
  <c r="V6536" i="3"/>
  <c r="W6536" i="3"/>
  <c r="A6537" i="3"/>
  <c r="K6537" i="3"/>
  <c r="N6537" i="3"/>
  <c r="O6537" i="3"/>
  <c r="P6537" i="3"/>
  <c r="Q6537" i="3"/>
  <c r="R6537" i="3"/>
  <c r="S6537" i="3"/>
  <c r="T6537" i="3"/>
  <c r="V6537" i="3"/>
  <c r="W6537" i="3"/>
  <c r="A6538" i="3"/>
  <c r="K6538" i="3"/>
  <c r="N6538" i="3"/>
  <c r="O6538" i="3"/>
  <c r="P6538" i="3"/>
  <c r="Q6538" i="3"/>
  <c r="R6538" i="3"/>
  <c r="S6538" i="3"/>
  <c r="T6538" i="3"/>
  <c r="V6538" i="3"/>
  <c r="W6538" i="3"/>
  <c r="A6539" i="3"/>
  <c r="K6539" i="3"/>
  <c r="N6539" i="3"/>
  <c r="O6539" i="3"/>
  <c r="P6539" i="3"/>
  <c r="Q6539" i="3"/>
  <c r="R6539" i="3"/>
  <c r="S6539" i="3"/>
  <c r="T6539" i="3"/>
  <c r="V6539" i="3"/>
  <c r="W6539" i="3"/>
  <c r="A6540" i="3"/>
  <c r="K6540" i="3"/>
  <c r="N6540" i="3"/>
  <c r="O6540" i="3"/>
  <c r="P6540" i="3"/>
  <c r="Q6540" i="3"/>
  <c r="R6540" i="3"/>
  <c r="S6540" i="3"/>
  <c r="T6540" i="3"/>
  <c r="V6540" i="3"/>
  <c r="W6540" i="3"/>
  <c r="A6541" i="3"/>
  <c r="K6541" i="3"/>
  <c r="N6541" i="3"/>
  <c r="O6541" i="3"/>
  <c r="P6541" i="3"/>
  <c r="Q6541" i="3"/>
  <c r="R6541" i="3"/>
  <c r="S6541" i="3"/>
  <c r="T6541" i="3"/>
  <c r="V6541" i="3"/>
  <c r="W6541" i="3"/>
  <c r="A6542" i="3"/>
  <c r="K6542" i="3"/>
  <c r="N6542" i="3"/>
  <c r="O6542" i="3"/>
  <c r="P6542" i="3"/>
  <c r="Q6542" i="3"/>
  <c r="R6542" i="3"/>
  <c r="S6542" i="3"/>
  <c r="T6542" i="3"/>
  <c r="V6542" i="3"/>
  <c r="W6542" i="3"/>
  <c r="A6530" i="3"/>
  <c r="K6530" i="3"/>
  <c r="N6530" i="3"/>
  <c r="O6530" i="3"/>
  <c r="P6530" i="3"/>
  <c r="Q6530" i="3"/>
  <c r="R6530" i="3"/>
  <c r="S6530" i="3"/>
  <c r="T6530" i="3"/>
  <c r="V6530" i="3"/>
  <c r="W6530" i="3"/>
  <c r="A6531" i="3"/>
  <c r="K6531" i="3"/>
  <c r="N6531" i="3"/>
  <c r="O6531" i="3"/>
  <c r="P6531" i="3"/>
  <c r="Q6531" i="3"/>
  <c r="R6531" i="3"/>
  <c r="S6531" i="3"/>
  <c r="T6531" i="3"/>
  <c r="V6531" i="3"/>
  <c r="W6531" i="3"/>
  <c r="A6532" i="3"/>
  <c r="K6532" i="3"/>
  <c r="N6532" i="3"/>
  <c r="O6532" i="3"/>
  <c r="P6532" i="3"/>
  <c r="Q6532" i="3"/>
  <c r="R6532" i="3"/>
  <c r="S6532" i="3"/>
  <c r="T6532" i="3"/>
  <c r="V6532" i="3"/>
  <c r="W6532" i="3"/>
  <c r="A6533" i="3"/>
  <c r="K6533" i="3"/>
  <c r="N6533" i="3"/>
  <c r="O6533" i="3"/>
  <c r="P6533" i="3"/>
  <c r="Q6533" i="3"/>
  <c r="R6533" i="3"/>
  <c r="S6533" i="3"/>
  <c r="T6533" i="3"/>
  <c r="V6533" i="3"/>
  <c r="W6533" i="3"/>
  <c r="A6534" i="3"/>
  <c r="K6534" i="3"/>
  <c r="N6534" i="3"/>
  <c r="O6534" i="3"/>
  <c r="P6534" i="3"/>
  <c r="Q6534" i="3"/>
  <c r="R6534" i="3"/>
  <c r="S6534" i="3"/>
  <c r="T6534" i="3"/>
  <c r="V6534" i="3"/>
  <c r="W6534" i="3"/>
  <c r="A6526" i="3"/>
  <c r="K6526" i="3"/>
  <c r="N6526" i="3"/>
  <c r="O6526" i="3"/>
  <c r="P6526" i="3"/>
  <c r="Q6526" i="3"/>
  <c r="R6526" i="3"/>
  <c r="S6526" i="3"/>
  <c r="T6526" i="3"/>
  <c r="V6526" i="3"/>
  <c r="W6526" i="3"/>
  <c r="A6527" i="3"/>
  <c r="K6527" i="3"/>
  <c r="N6527" i="3"/>
  <c r="O6527" i="3"/>
  <c r="P6527" i="3"/>
  <c r="Q6527" i="3"/>
  <c r="R6527" i="3"/>
  <c r="S6527" i="3"/>
  <c r="T6527" i="3"/>
  <c r="V6527" i="3"/>
  <c r="W6527" i="3"/>
  <c r="A6528" i="3"/>
  <c r="K6528" i="3"/>
  <c r="N6528" i="3"/>
  <c r="O6528" i="3"/>
  <c r="P6528" i="3"/>
  <c r="Q6528" i="3"/>
  <c r="R6528" i="3"/>
  <c r="S6528" i="3"/>
  <c r="T6528" i="3"/>
  <c r="V6528" i="3"/>
  <c r="W6528" i="3"/>
  <c r="A6529" i="3"/>
  <c r="K6529" i="3"/>
  <c r="N6529" i="3"/>
  <c r="O6529" i="3"/>
  <c r="P6529" i="3"/>
  <c r="Q6529" i="3"/>
  <c r="R6529" i="3"/>
  <c r="S6529" i="3"/>
  <c r="T6529" i="3"/>
  <c r="V6529" i="3"/>
  <c r="W6529" i="3"/>
  <c r="L6517" i="3"/>
  <c r="L6518" i="3"/>
  <c r="L6519" i="3"/>
  <c r="L6520" i="3"/>
  <c r="L6516" i="3"/>
  <c r="L6509" i="3"/>
  <c r="L6510" i="3"/>
  <c r="L6511" i="3"/>
  <c r="L6512" i="3"/>
  <c r="L6513" i="3"/>
  <c r="L6514" i="3"/>
  <c r="L6508" i="3"/>
  <c r="A6501" i="3"/>
  <c r="K6501" i="3"/>
  <c r="N6501" i="3"/>
  <c r="O6501" i="3"/>
  <c r="P6501" i="3"/>
  <c r="Q6501" i="3"/>
  <c r="R6501" i="3"/>
  <c r="S6501" i="3"/>
  <c r="T6501" i="3"/>
  <c r="V6501" i="3"/>
  <c r="W6501" i="3"/>
  <c r="J184" i="2"/>
  <c r="J185" i="2"/>
  <c r="J186" i="2"/>
  <c r="J183" i="2"/>
  <c r="J182" i="2"/>
  <c r="J181" i="2"/>
  <c r="BR82" i="6"/>
  <c r="BQ82" i="6"/>
  <c r="BU82" i="6"/>
  <c r="BT82" i="6"/>
  <c r="BS82" i="6"/>
  <c r="AK82" i="6"/>
  <c r="AE82" i="6"/>
  <c r="AD82" i="6"/>
  <c r="BD82" i="6"/>
  <c r="BA82" i="6"/>
  <c r="AH82" i="6" s="1"/>
  <c r="AZ82" i="6"/>
  <c r="AG82" i="6" s="1"/>
  <c r="AV82" i="6"/>
  <c r="AC82" i="6" s="1"/>
  <c r="AU82" i="6"/>
  <c r="AB82" i="6" s="1"/>
  <c r="AT82" i="6"/>
  <c r="AA82" i="6" s="1"/>
  <c r="AS82" i="6"/>
  <c r="Z82" i="6" s="1"/>
  <c r="AR82" i="6"/>
  <c r="Y82" i="6" s="1"/>
  <c r="AQ82" i="6"/>
  <c r="X82" i="6" s="1"/>
  <c r="AP82" i="6"/>
  <c r="W82" i="6" s="1"/>
  <c r="AO82" i="6"/>
  <c r="V82" i="6" s="1"/>
  <c r="AN82" i="6"/>
  <c r="U82" i="6" s="1"/>
  <c r="AM82" i="6"/>
  <c r="T82" i="6" s="1"/>
  <c r="AL82" i="6"/>
  <c r="Q82" i="6" s="1"/>
  <c r="AF8" i="83"/>
  <c r="AF9" i="83"/>
  <c r="AF10" i="83"/>
  <c r="AM9" i="83"/>
  <c r="AL7" i="83"/>
  <c r="AL6" i="83"/>
  <c r="AM8" i="83"/>
  <c r="AM6" i="83"/>
  <c r="AL5" i="83"/>
  <c r="AL4" i="83"/>
  <c r="AL2" i="83"/>
  <c r="AL1" i="83"/>
  <c r="AK9" i="83"/>
  <c r="AJ7" i="83"/>
  <c r="AJ6" i="83"/>
  <c r="AH1" i="83"/>
  <c r="AI8" i="83" s="1"/>
  <c r="AF6" i="83"/>
  <c r="G7" i="1"/>
  <c r="G8" i="1"/>
  <c r="G9" i="1"/>
  <c r="G10" i="1"/>
  <c r="G11" i="1"/>
  <c r="G12" i="1"/>
  <c r="G13" i="1"/>
  <c r="G14" i="1"/>
  <c r="J6931" i="3"/>
  <c r="I6931" i="3"/>
  <c r="H6931" i="3"/>
  <c r="J6930" i="3"/>
  <c r="I6930" i="3"/>
  <c r="H6930" i="3"/>
  <c r="J6929" i="3"/>
  <c r="I6929" i="3"/>
  <c r="H6929" i="3"/>
  <c r="E6931" i="3"/>
  <c r="U6931" i="3"/>
  <c r="A1" i="69"/>
  <c r="N99" i="88"/>
  <c r="Q80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Y11" i="88"/>
  <c r="Q11" i="88"/>
  <c r="M8" i="88"/>
  <c r="L8" i="88"/>
  <c r="A6" i="88"/>
  <c r="L5" i="88"/>
  <c r="L4" i="88"/>
  <c r="A3" i="88"/>
  <c r="E4" i="88" s="1"/>
  <c r="AF100" i="83"/>
  <c r="AF101" i="83"/>
  <c r="AF102" i="83"/>
  <c r="AF103" i="83"/>
  <c r="AF104" i="83"/>
  <c r="AF105" i="83"/>
  <c r="AF106" i="83"/>
  <c r="AF99" i="83"/>
  <c r="U5806" i="3"/>
  <c r="D5806" i="3"/>
  <c r="A5806" i="3"/>
  <c r="U5805" i="3"/>
  <c r="D5805" i="3"/>
  <c r="A5805" i="3"/>
  <c r="U5804" i="3"/>
  <c r="D5804" i="3"/>
  <c r="A5804" i="3"/>
  <c r="U5803" i="3"/>
  <c r="L5803" i="3"/>
  <c r="D5803" i="3"/>
  <c r="A5803" i="3"/>
  <c r="U5802" i="3"/>
  <c r="D5802" i="3"/>
  <c r="A5802" i="3"/>
  <c r="U5801" i="3"/>
  <c r="D5801" i="3"/>
  <c r="A5801" i="3"/>
  <c r="U5800" i="3"/>
  <c r="D5800" i="3"/>
  <c r="A5800" i="3"/>
  <c r="U5799" i="3"/>
  <c r="D5799" i="3"/>
  <c r="A5799" i="3"/>
  <c r="U5798" i="3"/>
  <c r="D5798" i="3"/>
  <c r="A5798" i="3"/>
  <c r="U5797" i="3"/>
  <c r="L5797" i="3"/>
  <c r="D5797" i="3"/>
  <c r="A5797" i="3"/>
  <c r="U5796" i="3"/>
  <c r="I5796" i="3"/>
  <c r="D5796" i="3"/>
  <c r="A5796" i="3"/>
  <c r="U5795" i="3"/>
  <c r="I5795" i="3"/>
  <c r="D5795" i="3"/>
  <c r="A5795" i="3"/>
  <c r="U5794" i="3"/>
  <c r="I5794" i="3"/>
  <c r="D5794" i="3"/>
  <c r="A5794" i="3"/>
  <c r="U5793" i="3"/>
  <c r="D5793" i="3"/>
  <c r="A5793" i="3"/>
  <c r="U5792" i="3"/>
  <c r="I5792" i="3"/>
  <c r="D5792" i="3"/>
  <c r="A5792" i="3"/>
  <c r="U5791" i="3"/>
  <c r="D5791" i="3"/>
  <c r="A5791" i="3"/>
  <c r="U5790" i="3"/>
  <c r="D5790" i="3"/>
  <c r="A5790" i="3"/>
  <c r="U5789" i="3"/>
  <c r="I5789" i="3"/>
  <c r="D5789" i="3"/>
  <c r="A5789" i="3"/>
  <c r="U5788" i="3"/>
  <c r="D5788" i="3"/>
  <c r="U5787" i="3"/>
  <c r="D5787" i="3"/>
  <c r="A5787" i="3"/>
  <c r="U5786" i="3"/>
  <c r="D5786" i="3"/>
  <c r="A5786" i="3"/>
  <c r="U5785" i="3"/>
  <c r="D5785" i="3"/>
  <c r="A5785" i="3"/>
  <c r="U5784" i="3"/>
  <c r="L5784" i="3"/>
  <c r="D5784" i="3"/>
  <c r="A5784" i="3"/>
  <c r="U5783" i="3"/>
  <c r="D5783" i="3"/>
  <c r="A5783" i="3"/>
  <c r="U5782" i="3"/>
  <c r="D5782" i="3"/>
  <c r="A5782" i="3"/>
  <c r="U5781" i="3"/>
  <c r="D5781" i="3"/>
  <c r="A5781" i="3"/>
  <c r="U5780" i="3"/>
  <c r="D5780" i="3"/>
  <c r="A5780" i="3"/>
  <c r="U5779" i="3"/>
  <c r="D5779" i="3"/>
  <c r="A5779" i="3"/>
  <c r="U5778" i="3"/>
  <c r="L5778" i="3"/>
  <c r="D5778" i="3"/>
  <c r="A5778" i="3"/>
  <c r="U5777" i="3"/>
  <c r="I5777" i="3"/>
  <c r="D5777" i="3"/>
  <c r="A5777" i="3"/>
  <c r="U5776" i="3"/>
  <c r="I5776" i="3"/>
  <c r="D5776" i="3"/>
  <c r="A5776" i="3"/>
  <c r="U5775" i="3"/>
  <c r="I5775" i="3"/>
  <c r="D5775" i="3"/>
  <c r="A5775" i="3"/>
  <c r="U5774" i="3"/>
  <c r="D5774" i="3"/>
  <c r="A5774" i="3"/>
  <c r="U5773" i="3"/>
  <c r="I5773" i="3"/>
  <c r="D5773" i="3"/>
  <c r="A5773" i="3"/>
  <c r="U5772" i="3"/>
  <c r="D5772" i="3"/>
  <c r="A5772" i="3"/>
  <c r="U5771" i="3"/>
  <c r="D5771" i="3"/>
  <c r="A5771" i="3"/>
  <c r="U5770" i="3"/>
  <c r="I5770" i="3"/>
  <c r="D5770" i="3"/>
  <c r="A5770" i="3"/>
  <c r="U5769" i="3"/>
  <c r="D5769" i="3"/>
  <c r="N6838" i="3"/>
  <c r="U6838" i="3" s="1"/>
  <c r="O6838" i="3"/>
  <c r="A701" i="3"/>
  <c r="W701" i="3" s="1"/>
  <c r="D701" i="3"/>
  <c r="L701" i="3"/>
  <c r="N701" i="3"/>
  <c r="U701" i="3" s="1"/>
  <c r="X701" i="3"/>
  <c r="A700" i="3"/>
  <c r="W700" i="3" s="1"/>
  <c r="D700" i="3"/>
  <c r="L700" i="3"/>
  <c r="N700" i="3"/>
  <c r="U700" i="3" s="1"/>
  <c r="X700" i="3"/>
  <c r="X699" i="3"/>
  <c r="N699" i="3"/>
  <c r="U699" i="3" s="1"/>
  <c r="L699" i="3"/>
  <c r="D699" i="3"/>
  <c r="A699" i="3"/>
  <c r="W699" i="3" s="1"/>
  <c r="X677" i="3"/>
  <c r="N677" i="3"/>
  <c r="U677" i="3" s="1"/>
  <c r="D677" i="3"/>
  <c r="A677" i="3"/>
  <c r="W677" i="3" s="1"/>
  <c r="A692" i="3"/>
  <c r="W692" i="3" s="1"/>
  <c r="D692" i="3"/>
  <c r="N692" i="3"/>
  <c r="U692" i="3" s="1"/>
  <c r="X692" i="3"/>
  <c r="X707" i="3"/>
  <c r="N707" i="3"/>
  <c r="U707" i="3" s="1"/>
  <c r="L707" i="3"/>
  <c r="D707" i="3"/>
  <c r="A707" i="3"/>
  <c r="W707" i="3" s="1"/>
  <c r="X706" i="3"/>
  <c r="N706" i="3"/>
  <c r="U706" i="3" s="1"/>
  <c r="L706" i="3"/>
  <c r="D706" i="3"/>
  <c r="A706" i="3"/>
  <c r="W706" i="3" s="1"/>
  <c r="X705" i="3"/>
  <c r="N705" i="3"/>
  <c r="U705" i="3" s="1"/>
  <c r="L705" i="3"/>
  <c r="D705" i="3"/>
  <c r="A705" i="3"/>
  <c r="W705" i="3" s="1"/>
  <c r="X704" i="3"/>
  <c r="N704" i="3"/>
  <c r="U704" i="3" s="1"/>
  <c r="L704" i="3"/>
  <c r="D704" i="3"/>
  <c r="A704" i="3"/>
  <c r="W704" i="3" s="1"/>
  <c r="X703" i="3"/>
  <c r="N703" i="3"/>
  <c r="U703" i="3" s="1"/>
  <c r="L703" i="3"/>
  <c r="D703" i="3"/>
  <c r="A703" i="3"/>
  <c r="W703" i="3" s="1"/>
  <c r="X702" i="3"/>
  <c r="N702" i="3"/>
  <c r="U702" i="3" s="1"/>
  <c r="L702" i="3"/>
  <c r="D702" i="3"/>
  <c r="A702" i="3"/>
  <c r="W702" i="3" s="1"/>
  <c r="X698" i="3"/>
  <c r="N698" i="3"/>
  <c r="U698" i="3" s="1"/>
  <c r="D698" i="3"/>
  <c r="A698" i="3"/>
  <c r="W698" i="3" s="1"/>
  <c r="X697" i="3"/>
  <c r="N697" i="3"/>
  <c r="U697" i="3" s="1"/>
  <c r="L697" i="3"/>
  <c r="D697" i="3"/>
  <c r="A697" i="3"/>
  <c r="W697" i="3" s="1"/>
  <c r="X696" i="3"/>
  <c r="N696" i="3"/>
  <c r="U696" i="3" s="1"/>
  <c r="L696" i="3"/>
  <c r="D696" i="3"/>
  <c r="A696" i="3"/>
  <c r="W696" i="3" s="1"/>
  <c r="X695" i="3"/>
  <c r="N695" i="3"/>
  <c r="U695" i="3" s="1"/>
  <c r="L695" i="3"/>
  <c r="D695" i="3"/>
  <c r="A695" i="3"/>
  <c r="W695" i="3" s="1"/>
  <c r="X694" i="3"/>
  <c r="N694" i="3"/>
  <c r="U694" i="3" s="1"/>
  <c r="L694" i="3"/>
  <c r="D694" i="3"/>
  <c r="A694" i="3"/>
  <c r="W694" i="3" s="1"/>
  <c r="X693" i="3"/>
  <c r="N693" i="3"/>
  <c r="U693" i="3" s="1"/>
  <c r="L693" i="3"/>
  <c r="D693" i="3"/>
  <c r="A693" i="3"/>
  <c r="W693" i="3" s="1"/>
  <c r="X691" i="3"/>
  <c r="N691" i="3"/>
  <c r="U691" i="3" s="1"/>
  <c r="L691" i="3"/>
  <c r="D691" i="3"/>
  <c r="A691" i="3"/>
  <c r="W691" i="3" s="1"/>
  <c r="X690" i="3"/>
  <c r="N690" i="3"/>
  <c r="U690" i="3" s="1"/>
  <c r="L690" i="3"/>
  <c r="D690" i="3"/>
  <c r="F162" i="2"/>
  <c r="L676" i="3"/>
  <c r="L678" i="3"/>
  <c r="L679" i="3"/>
  <c r="L680" i="3"/>
  <c r="L681" i="3"/>
  <c r="L682" i="3"/>
  <c r="L684" i="3"/>
  <c r="L685" i="3"/>
  <c r="L686" i="3"/>
  <c r="L687" i="3"/>
  <c r="L688" i="3"/>
  <c r="L689" i="3"/>
  <c r="L675" i="3"/>
  <c r="O6837" i="3"/>
  <c r="N6837" i="3"/>
  <c r="U6837" i="3" s="1"/>
  <c r="G161" i="2"/>
  <c r="G162" i="2"/>
  <c r="H59" i="88"/>
  <c r="H45" i="88"/>
  <c r="H30" i="88"/>
  <c r="H36" i="88"/>
  <c r="H25" i="88"/>
  <c r="H70" i="88"/>
  <c r="H79" i="88"/>
  <c r="H12" i="88"/>
  <c r="H22" i="88"/>
  <c r="H80" i="88"/>
  <c r="H42" i="88"/>
  <c r="H34" i="88"/>
  <c r="H18" i="88"/>
  <c r="H69" i="88"/>
  <c r="H71" i="88"/>
  <c r="H74" i="88"/>
  <c r="H20" i="88"/>
  <c r="H58" i="88"/>
  <c r="H49" i="88"/>
  <c r="H46" i="88"/>
  <c r="H76" i="88"/>
  <c r="H63" i="88"/>
  <c r="H15" i="88"/>
  <c r="H60" i="88"/>
  <c r="H29" i="88"/>
  <c r="H68" i="88"/>
  <c r="H16" i="88"/>
  <c r="H35" i="88"/>
  <c r="Y10" i="88"/>
  <c r="H27" i="88"/>
  <c r="H37" i="88"/>
  <c r="H40" i="88"/>
  <c r="H26" i="88"/>
  <c r="H38" i="88"/>
  <c r="H54" i="88"/>
  <c r="H50" i="88"/>
  <c r="H61" i="88"/>
  <c r="H48" i="88"/>
  <c r="H57" i="88"/>
  <c r="H77" i="88"/>
  <c r="H14" i="88"/>
  <c r="H11" i="88"/>
  <c r="H64" i="88"/>
  <c r="H47" i="88"/>
  <c r="H43" i="88"/>
  <c r="H55" i="88"/>
  <c r="H44" i="88"/>
  <c r="H51" i="88"/>
  <c r="H72" i="88"/>
  <c r="Z11" i="88"/>
  <c r="H66" i="88"/>
  <c r="H75" i="88"/>
  <c r="H28" i="88"/>
  <c r="H65" i="88"/>
  <c r="H62" i="88"/>
  <c r="H19" i="88"/>
  <c r="H67" i="88"/>
  <c r="H32" i="88"/>
  <c r="H21" i="88"/>
  <c r="H52" i="88"/>
  <c r="H53" i="88"/>
  <c r="H33" i="88"/>
  <c r="H78" i="88"/>
  <c r="H39" i="88"/>
  <c r="H73" i="88"/>
  <c r="H56" i="88"/>
  <c r="H41" i="88"/>
  <c r="H17" i="88"/>
  <c r="H24" i="88"/>
  <c r="H31" i="88"/>
  <c r="H13" i="88"/>
  <c r="H23" i="88"/>
  <c r="AI6" i="83" l="1"/>
  <c r="AN10" i="83"/>
  <c r="AN7" i="83"/>
  <c r="AN4" i="83"/>
  <c r="AN5" i="83"/>
  <c r="AH4" i="83"/>
  <c r="AH2" i="83"/>
  <c r="AH5" i="83"/>
  <c r="Y12" i="88"/>
  <c r="AF98" i="83"/>
  <c r="B4686" i="3"/>
  <c r="N4686" i="3"/>
  <c r="U4686" i="3" s="1"/>
  <c r="D9" i="1"/>
  <c r="I6445" i="3"/>
  <c r="T1519" i="3"/>
  <c r="L1519" i="3" s="1"/>
  <c r="X1519" i="3"/>
  <c r="N1519" i="3"/>
  <c r="U1519" i="3" s="1"/>
  <c r="D1519" i="3"/>
  <c r="C16" i="83"/>
  <c r="A4732" i="3"/>
  <c r="D4732" i="3"/>
  <c r="U4732" i="3"/>
  <c r="T26" i="3"/>
  <c r="L26" i="3" s="1"/>
  <c r="X26" i="3"/>
  <c r="N26" i="3"/>
  <c r="U26" i="3" s="1"/>
  <c r="D26" i="3"/>
  <c r="O6823" i="3"/>
  <c r="N6823" i="3"/>
  <c r="U6823" i="3" s="1"/>
  <c r="O6822" i="3"/>
  <c r="N6822" i="3"/>
  <c r="U6822" i="3" s="1"/>
  <c r="U5508" i="3"/>
  <c r="D5508" i="3"/>
  <c r="A5508" i="3"/>
  <c r="U5507" i="3"/>
  <c r="D5507" i="3"/>
  <c r="A5507" i="3"/>
  <c r="U5506" i="3"/>
  <c r="D5506" i="3"/>
  <c r="A5506" i="3"/>
  <c r="U5505" i="3"/>
  <c r="L5505" i="3"/>
  <c r="D5505" i="3"/>
  <c r="A5505" i="3"/>
  <c r="U5504" i="3"/>
  <c r="D5504" i="3"/>
  <c r="A5504" i="3"/>
  <c r="U5503" i="3"/>
  <c r="D5503" i="3"/>
  <c r="A5503" i="3"/>
  <c r="U5502" i="3"/>
  <c r="D5502" i="3"/>
  <c r="A5502" i="3"/>
  <c r="U5501" i="3"/>
  <c r="D5501" i="3"/>
  <c r="A5501" i="3"/>
  <c r="U5500" i="3"/>
  <c r="L5500" i="3"/>
  <c r="D5500" i="3"/>
  <c r="A5500" i="3"/>
  <c r="U5499" i="3"/>
  <c r="I5499" i="3"/>
  <c r="D5499" i="3"/>
  <c r="A5499" i="3"/>
  <c r="U5498" i="3"/>
  <c r="D5498" i="3"/>
  <c r="A5498" i="3"/>
  <c r="U5497" i="3"/>
  <c r="I5497" i="3"/>
  <c r="D5497" i="3"/>
  <c r="A5497" i="3"/>
  <c r="U5496" i="3"/>
  <c r="D5496" i="3"/>
  <c r="A5496" i="3"/>
  <c r="U5495" i="3"/>
  <c r="D5495" i="3"/>
  <c r="U5494" i="3"/>
  <c r="D5494" i="3"/>
  <c r="A5494" i="3"/>
  <c r="U5493" i="3"/>
  <c r="D5493" i="3"/>
  <c r="A5493" i="3"/>
  <c r="U5492" i="3"/>
  <c r="D5492" i="3"/>
  <c r="A5492" i="3"/>
  <c r="U5491" i="3"/>
  <c r="L5491" i="3"/>
  <c r="D5491" i="3"/>
  <c r="A5491" i="3"/>
  <c r="U5490" i="3"/>
  <c r="D5490" i="3"/>
  <c r="A5490" i="3"/>
  <c r="U5489" i="3"/>
  <c r="D5489" i="3"/>
  <c r="A5489" i="3"/>
  <c r="U5488" i="3"/>
  <c r="D5488" i="3"/>
  <c r="A5488" i="3"/>
  <c r="U5487" i="3"/>
  <c r="D5487" i="3"/>
  <c r="A5487" i="3"/>
  <c r="U5486" i="3"/>
  <c r="L5486" i="3"/>
  <c r="D5486" i="3"/>
  <c r="A5486" i="3"/>
  <c r="U5485" i="3"/>
  <c r="I5485" i="3"/>
  <c r="D5485" i="3"/>
  <c r="A5485" i="3"/>
  <c r="U5484" i="3"/>
  <c r="D5484" i="3"/>
  <c r="A5484" i="3"/>
  <c r="U5483" i="3"/>
  <c r="I5483" i="3"/>
  <c r="D5483" i="3"/>
  <c r="A5483" i="3"/>
  <c r="U5482" i="3"/>
  <c r="D5482" i="3"/>
  <c r="A5482" i="3"/>
  <c r="U5481" i="3"/>
  <c r="D5481" i="3"/>
  <c r="N2413" i="3"/>
  <c r="X2413" i="3" s="1"/>
  <c r="D2413" i="3"/>
  <c r="A2413" i="3"/>
  <c r="N2412" i="3"/>
  <c r="X2412" i="3" s="1"/>
  <c r="D2412" i="3"/>
  <c r="A2412" i="3"/>
  <c r="N2411" i="3"/>
  <c r="U2411" i="3" s="1"/>
  <c r="D2411" i="3"/>
  <c r="A2411" i="3"/>
  <c r="N2410" i="3"/>
  <c r="U2410" i="3" s="1"/>
  <c r="L2410" i="3"/>
  <c r="D2410" i="3"/>
  <c r="A2410" i="3"/>
  <c r="N2409" i="3"/>
  <c r="X2409" i="3" s="1"/>
  <c r="D2409" i="3"/>
  <c r="A2409" i="3"/>
  <c r="X2408" i="3"/>
  <c r="U2408" i="3"/>
  <c r="D2408" i="3"/>
  <c r="A2408" i="3"/>
  <c r="X2407" i="3"/>
  <c r="U2407" i="3"/>
  <c r="D2407" i="3"/>
  <c r="A2407" i="3"/>
  <c r="N2406" i="3"/>
  <c r="X2406" i="3" s="1"/>
  <c r="D2406" i="3"/>
  <c r="A2406" i="3"/>
  <c r="N2405" i="3"/>
  <c r="X2405" i="3" s="1"/>
  <c r="L2405" i="3"/>
  <c r="D2405" i="3"/>
  <c r="N2401" i="3"/>
  <c r="X2401" i="3" s="1"/>
  <c r="L2401" i="3"/>
  <c r="D2401" i="3"/>
  <c r="A2401" i="3"/>
  <c r="N2400" i="3"/>
  <c r="X2400" i="3" s="1"/>
  <c r="D2400" i="3"/>
  <c r="A2400" i="3"/>
  <c r="N2404" i="3"/>
  <c r="U2404" i="3" s="1"/>
  <c r="D2404" i="3"/>
  <c r="A2404" i="3"/>
  <c r="N2403" i="3"/>
  <c r="X2403" i="3" s="1"/>
  <c r="D2403" i="3"/>
  <c r="A2403" i="3"/>
  <c r="N2402" i="3"/>
  <c r="X2402" i="3" s="1"/>
  <c r="D2402" i="3"/>
  <c r="A2402" i="3"/>
  <c r="X2399" i="3"/>
  <c r="U2399" i="3"/>
  <c r="D2399" i="3"/>
  <c r="A2399" i="3"/>
  <c r="X2398" i="3"/>
  <c r="U2398" i="3"/>
  <c r="D2398" i="3"/>
  <c r="A2398" i="3"/>
  <c r="N2397" i="3"/>
  <c r="U2397" i="3" s="1"/>
  <c r="D2397" i="3"/>
  <c r="A2397" i="3"/>
  <c r="N2396" i="3"/>
  <c r="U2396" i="3" s="1"/>
  <c r="L2396" i="3"/>
  <c r="D2396" i="3"/>
  <c r="X516" i="3"/>
  <c r="N516" i="3"/>
  <c r="L516" i="3"/>
  <c r="D516" i="3"/>
  <c r="A516" i="3"/>
  <c r="W516" i="3" s="1"/>
  <c r="X515" i="3"/>
  <c r="N515" i="3"/>
  <c r="L515" i="3"/>
  <c r="D515" i="3"/>
  <c r="A515" i="3"/>
  <c r="W515" i="3" s="1"/>
  <c r="X514" i="3"/>
  <c r="N514" i="3"/>
  <c r="L514" i="3"/>
  <c r="D514" i="3"/>
  <c r="A514" i="3"/>
  <c r="W514" i="3" s="1"/>
  <c r="X513" i="3"/>
  <c r="N513" i="3"/>
  <c r="L513" i="3"/>
  <c r="D513" i="3"/>
  <c r="X512" i="3"/>
  <c r="N512" i="3"/>
  <c r="L512" i="3"/>
  <c r="D512" i="3"/>
  <c r="A512" i="3"/>
  <c r="W512" i="3" s="1"/>
  <c r="X511" i="3"/>
  <c r="N511" i="3"/>
  <c r="L511" i="3"/>
  <c r="D511" i="3"/>
  <c r="A511" i="3"/>
  <c r="W511" i="3" s="1"/>
  <c r="X510" i="3"/>
  <c r="N510" i="3"/>
  <c r="L510" i="3"/>
  <c r="D510" i="3"/>
  <c r="A510" i="3"/>
  <c r="W510" i="3" s="1"/>
  <c r="X509" i="3"/>
  <c r="N509" i="3"/>
  <c r="L509" i="3"/>
  <c r="D509" i="3"/>
  <c r="A509" i="3"/>
  <c r="W509" i="3" s="1"/>
  <c r="X508" i="3"/>
  <c r="N508" i="3"/>
  <c r="L508" i="3"/>
  <c r="D508" i="3"/>
  <c r="G3" i="83"/>
  <c r="A11" i="88" l="1"/>
  <c r="S11" i="88"/>
  <c r="Y13" i="88"/>
  <c r="X2411" i="3"/>
  <c r="X2410" i="3"/>
  <c r="U2405" i="3"/>
  <c r="U2406" i="3"/>
  <c r="U2409" i="3"/>
  <c r="U2412" i="3"/>
  <c r="X2396" i="3"/>
  <c r="U2400" i="3"/>
  <c r="U2413" i="3"/>
  <c r="U2403" i="3"/>
  <c r="X2404" i="3"/>
  <c r="X2397" i="3"/>
  <c r="U2402" i="3"/>
  <c r="U2401" i="3"/>
  <c r="N4649" i="3"/>
  <c r="X4649" i="3" s="1"/>
  <c r="D4649" i="3"/>
  <c r="N4648" i="3"/>
  <c r="X4648" i="3" s="1"/>
  <c r="D4648" i="3"/>
  <c r="N4647" i="3"/>
  <c r="X4647" i="3" s="1"/>
  <c r="D4647" i="3"/>
  <c r="N4646" i="3"/>
  <c r="X4646" i="3" s="1"/>
  <c r="D4646" i="3"/>
  <c r="N4645" i="3"/>
  <c r="U4645" i="3" s="1"/>
  <c r="D4645" i="3"/>
  <c r="N4644" i="3"/>
  <c r="X4644" i="3" s="1"/>
  <c r="D4644" i="3"/>
  <c r="N4643" i="3"/>
  <c r="X4643" i="3" s="1"/>
  <c r="D4643" i="3"/>
  <c r="I6454" i="3"/>
  <c r="I6455" i="3" s="1"/>
  <c r="U6463" i="3"/>
  <c r="D6463" i="3"/>
  <c r="A6463" i="3"/>
  <c r="U6462" i="3"/>
  <c r="D6462" i="3"/>
  <c r="A6462" i="3"/>
  <c r="U6461" i="3"/>
  <c r="D6461" i="3"/>
  <c r="A6461" i="3"/>
  <c r="U6460" i="3"/>
  <c r="L6460" i="3"/>
  <c r="D6460" i="3"/>
  <c r="A6460" i="3"/>
  <c r="U6459" i="3"/>
  <c r="D6459" i="3"/>
  <c r="A6459" i="3"/>
  <c r="U6458" i="3"/>
  <c r="D6458" i="3"/>
  <c r="A6458" i="3"/>
  <c r="U6457" i="3"/>
  <c r="L6457" i="3"/>
  <c r="D6457" i="3"/>
  <c r="A6457" i="3"/>
  <c r="U6456" i="3"/>
  <c r="L6456" i="3"/>
  <c r="D6456" i="3"/>
  <c r="A6456" i="3"/>
  <c r="U6455" i="3"/>
  <c r="D6455" i="3"/>
  <c r="A6455" i="3"/>
  <c r="U6454" i="3"/>
  <c r="D6454" i="3"/>
  <c r="U6470" i="3"/>
  <c r="D6470" i="3"/>
  <c r="U6469" i="3"/>
  <c r="D6469" i="3"/>
  <c r="A6469" i="3"/>
  <c r="U6468" i="3"/>
  <c r="D6468" i="3"/>
  <c r="A6468" i="3"/>
  <c r="U6467" i="3"/>
  <c r="L6467" i="3"/>
  <c r="D6467" i="3"/>
  <c r="A6467" i="3"/>
  <c r="U6466" i="3"/>
  <c r="D6466" i="3"/>
  <c r="A6466" i="3"/>
  <c r="U6465" i="3"/>
  <c r="D6465" i="3"/>
  <c r="A6465" i="3"/>
  <c r="U6464" i="3"/>
  <c r="L6464" i="3"/>
  <c r="D6464" i="3"/>
  <c r="U6448" i="3"/>
  <c r="D6448" i="3"/>
  <c r="A6448" i="3"/>
  <c r="A6447" i="3"/>
  <c r="D6447" i="3"/>
  <c r="L6447" i="3"/>
  <c r="U6447" i="3"/>
  <c r="U6453" i="3"/>
  <c r="D6453" i="3"/>
  <c r="A6453" i="3"/>
  <c r="U6452" i="3"/>
  <c r="D6452" i="3"/>
  <c r="A6452" i="3"/>
  <c r="U6451" i="3"/>
  <c r="D6451" i="3"/>
  <c r="A6451" i="3"/>
  <c r="U6450" i="3"/>
  <c r="L6450" i="3"/>
  <c r="D6450" i="3"/>
  <c r="A6450" i="3"/>
  <c r="U6449" i="3"/>
  <c r="D6449" i="3"/>
  <c r="A6449" i="3"/>
  <c r="U6446" i="3"/>
  <c r="L6446" i="3"/>
  <c r="D6446" i="3"/>
  <c r="A6446" i="3"/>
  <c r="U6445" i="3"/>
  <c r="D6445" i="3"/>
  <c r="A6445" i="3"/>
  <c r="U6444" i="3"/>
  <c r="D6444" i="3"/>
  <c r="L4683" i="3"/>
  <c r="L4685" i="3"/>
  <c r="B4683" i="3"/>
  <c r="B4684" i="3"/>
  <c r="B4685" i="3"/>
  <c r="N4685" i="3"/>
  <c r="U4685" i="3" s="1"/>
  <c r="N4684" i="3"/>
  <c r="U4684" i="3" s="1"/>
  <c r="N4683" i="3"/>
  <c r="U4683" i="3" s="1"/>
  <c r="D4641" i="3"/>
  <c r="N4641" i="3"/>
  <c r="U4641" i="3" s="1"/>
  <c r="D4642" i="3"/>
  <c r="N4642" i="3"/>
  <c r="U4642" i="3" s="1"/>
  <c r="D4637" i="3"/>
  <c r="N4637" i="3"/>
  <c r="U4637" i="3" s="1"/>
  <c r="D4638" i="3"/>
  <c r="N4638" i="3"/>
  <c r="U4638" i="3" s="1"/>
  <c r="D4639" i="3"/>
  <c r="N4639" i="3"/>
  <c r="X4639" i="3" s="1"/>
  <c r="D4640" i="3"/>
  <c r="N4640" i="3"/>
  <c r="U4640" i="3" s="1"/>
  <c r="N4636" i="3"/>
  <c r="X4636" i="3" s="1"/>
  <c r="D4636" i="3"/>
  <c r="N4635" i="3"/>
  <c r="X4635" i="3" s="1"/>
  <c r="G160" i="2"/>
  <c r="AF11" i="88"/>
  <c r="Z12" i="88"/>
  <c r="AE11" i="88"/>
  <c r="AD11" i="88"/>
  <c r="AC11" i="88"/>
  <c r="U11" i="88"/>
  <c r="AA11" i="88"/>
  <c r="T11" i="88"/>
  <c r="X11" i="88" l="1"/>
  <c r="V11" i="88"/>
  <c r="W11" i="88"/>
  <c r="Y14" i="88"/>
  <c r="X4645" i="3"/>
  <c r="U4646" i="3"/>
  <c r="U4643" i="3"/>
  <c r="U4647" i="3"/>
  <c r="U4644" i="3"/>
  <c r="U4648" i="3"/>
  <c r="U4649" i="3"/>
  <c r="X4637" i="3"/>
  <c r="X4640" i="3"/>
  <c r="U4639" i="3"/>
  <c r="X4641" i="3"/>
  <c r="X4642" i="3"/>
  <c r="X4638" i="3"/>
  <c r="U4635" i="3"/>
  <c r="U4636" i="3"/>
  <c r="Z13" i="88"/>
  <c r="Y15" i="88" l="1"/>
  <c r="A12" i="88"/>
  <c r="S12" i="88"/>
  <c r="R12" i="88"/>
  <c r="X178" i="3"/>
  <c r="N178" i="3"/>
  <c r="L178" i="3"/>
  <c r="D178" i="3"/>
  <c r="A178" i="3"/>
  <c r="W178" i="3" s="1"/>
  <c r="T1535" i="3"/>
  <c r="T1536" i="3"/>
  <c r="T1537" i="3"/>
  <c r="T1534" i="3"/>
  <c r="T1533" i="3"/>
  <c r="T1532" i="3"/>
  <c r="T1531" i="3"/>
  <c r="T1530" i="3"/>
  <c r="T1529" i="3"/>
  <c r="T1528" i="3"/>
  <c r="T1527" i="3"/>
  <c r="T1526" i="3"/>
  <c r="T1525" i="3"/>
  <c r="T1524" i="3"/>
  <c r="T1523" i="3"/>
  <c r="T1522" i="3"/>
  <c r="T1521" i="3"/>
  <c r="T1520" i="3"/>
  <c r="A682" i="3"/>
  <c r="W682" i="3" s="1"/>
  <c r="D682" i="3"/>
  <c r="N682" i="3"/>
  <c r="U682" i="3" s="1"/>
  <c r="X682" i="3"/>
  <c r="AE12" i="88"/>
  <c r="AF12" i="88"/>
  <c r="AA12" i="88"/>
  <c r="AC12" i="88"/>
  <c r="U12" i="88"/>
  <c r="AD12" i="88"/>
  <c r="AB12" i="88"/>
  <c r="Z14" i="88"/>
  <c r="T12" i="88"/>
  <c r="X12" i="88" l="1"/>
  <c r="V12" i="88"/>
  <c r="W12" i="88"/>
  <c r="Y16" i="88"/>
  <c r="S13" i="88"/>
  <c r="R13" i="88"/>
  <c r="A13" i="88"/>
  <c r="X689" i="3"/>
  <c r="N689" i="3"/>
  <c r="U689" i="3" s="1"/>
  <c r="D689" i="3"/>
  <c r="A689" i="3"/>
  <c r="W689" i="3" s="1"/>
  <c r="X688" i="3"/>
  <c r="N688" i="3"/>
  <c r="U688" i="3" s="1"/>
  <c r="D688" i="3"/>
  <c r="A688" i="3"/>
  <c r="W688" i="3" s="1"/>
  <c r="X687" i="3"/>
  <c r="N687" i="3"/>
  <c r="U687" i="3" s="1"/>
  <c r="D687" i="3"/>
  <c r="A687" i="3"/>
  <c r="W687" i="3" s="1"/>
  <c r="X686" i="3"/>
  <c r="N686" i="3"/>
  <c r="U686" i="3" s="1"/>
  <c r="D686" i="3"/>
  <c r="A686" i="3"/>
  <c r="W686" i="3" s="1"/>
  <c r="X685" i="3"/>
  <c r="N685" i="3"/>
  <c r="U685" i="3" s="1"/>
  <c r="D685" i="3"/>
  <c r="A685" i="3"/>
  <c r="W685" i="3" s="1"/>
  <c r="X684" i="3"/>
  <c r="N684" i="3"/>
  <c r="U684" i="3" s="1"/>
  <c r="D684" i="3"/>
  <c r="A684" i="3"/>
  <c r="W684" i="3" s="1"/>
  <c r="X683" i="3"/>
  <c r="N683" i="3"/>
  <c r="U683" i="3" s="1"/>
  <c r="D683" i="3"/>
  <c r="A683" i="3"/>
  <c r="W683" i="3" s="1"/>
  <c r="X681" i="3"/>
  <c r="N681" i="3"/>
  <c r="U681" i="3" s="1"/>
  <c r="D681" i="3"/>
  <c r="A681" i="3"/>
  <c r="W681" i="3" s="1"/>
  <c r="X680" i="3"/>
  <c r="N680" i="3"/>
  <c r="U680" i="3" s="1"/>
  <c r="D680" i="3"/>
  <c r="A680" i="3"/>
  <c r="W680" i="3" s="1"/>
  <c r="X679" i="3"/>
  <c r="N679" i="3"/>
  <c r="U679" i="3" s="1"/>
  <c r="D679" i="3"/>
  <c r="A679" i="3"/>
  <c r="W679" i="3" s="1"/>
  <c r="X678" i="3"/>
  <c r="N678" i="3"/>
  <c r="U678" i="3" s="1"/>
  <c r="D678" i="3"/>
  <c r="A678" i="3"/>
  <c r="W678" i="3" s="1"/>
  <c r="X676" i="3"/>
  <c r="N676" i="3"/>
  <c r="U676" i="3" s="1"/>
  <c r="D676" i="3"/>
  <c r="A676" i="3"/>
  <c r="W676" i="3" s="1"/>
  <c r="X675" i="3"/>
  <c r="N675" i="3"/>
  <c r="U675" i="3" s="1"/>
  <c r="D675" i="3"/>
  <c r="X674" i="3"/>
  <c r="U674" i="3"/>
  <c r="A6905" i="3"/>
  <c r="N6905" i="3"/>
  <c r="U6905" i="3" s="1"/>
  <c r="O6905" i="3"/>
  <c r="N6903" i="3"/>
  <c r="U6903" i="3" s="1"/>
  <c r="O6903" i="3"/>
  <c r="O6906" i="3"/>
  <c r="N6906" i="3"/>
  <c r="U6906" i="3" s="1"/>
  <c r="O6904" i="3"/>
  <c r="N6904" i="3"/>
  <c r="U6904" i="3" s="1"/>
  <c r="O6902" i="3"/>
  <c r="N6902" i="3"/>
  <c r="U6902" i="3" s="1"/>
  <c r="X1533" i="3"/>
  <c r="N1533" i="3"/>
  <c r="U1533" i="3" s="1"/>
  <c r="L1533" i="3"/>
  <c r="D1533" i="3"/>
  <c r="A1533" i="3"/>
  <c r="W1533" i="3" s="1"/>
  <c r="X1532" i="3"/>
  <c r="N1532" i="3"/>
  <c r="U1532" i="3" s="1"/>
  <c r="L1532" i="3"/>
  <c r="D1532" i="3"/>
  <c r="X1531" i="3"/>
  <c r="N1531" i="3"/>
  <c r="U1531" i="3" s="1"/>
  <c r="L1531" i="3"/>
  <c r="D1531" i="3"/>
  <c r="A1531" i="3"/>
  <c r="W1531" i="3" s="1"/>
  <c r="X1530" i="3"/>
  <c r="N1530" i="3"/>
  <c r="U1530" i="3" s="1"/>
  <c r="L1530" i="3"/>
  <c r="D1530" i="3"/>
  <c r="A1530" i="3"/>
  <c r="W1530" i="3" s="1"/>
  <c r="X1529" i="3"/>
  <c r="N1529" i="3"/>
  <c r="U1529" i="3" s="1"/>
  <c r="L1529" i="3"/>
  <c r="D1529" i="3"/>
  <c r="A1529" i="3"/>
  <c r="W1529" i="3" s="1"/>
  <c r="X1528" i="3"/>
  <c r="N1528" i="3"/>
  <c r="U1528" i="3" s="1"/>
  <c r="L1528" i="3"/>
  <c r="D1528" i="3"/>
  <c r="A1528" i="3"/>
  <c r="W1528" i="3" s="1"/>
  <c r="X1527" i="3"/>
  <c r="N1527" i="3"/>
  <c r="U1527" i="3" s="1"/>
  <c r="L1527" i="3"/>
  <c r="D1527" i="3"/>
  <c r="A1527" i="3"/>
  <c r="W1527" i="3" s="1"/>
  <c r="X1526" i="3"/>
  <c r="N1526" i="3"/>
  <c r="U1526" i="3" s="1"/>
  <c r="L1526" i="3"/>
  <c r="D1526" i="3"/>
  <c r="X1525" i="3"/>
  <c r="N1525" i="3"/>
  <c r="U1525" i="3" s="1"/>
  <c r="L1525" i="3"/>
  <c r="D1525" i="3"/>
  <c r="A1525" i="3"/>
  <c r="W1525" i="3" s="1"/>
  <c r="X1524" i="3"/>
  <c r="N1524" i="3"/>
  <c r="U1524" i="3" s="1"/>
  <c r="L1524" i="3"/>
  <c r="D1524" i="3"/>
  <c r="A1524" i="3"/>
  <c r="W1524" i="3" s="1"/>
  <c r="X1523" i="3"/>
  <c r="N1523" i="3"/>
  <c r="U1523" i="3" s="1"/>
  <c r="L1523" i="3"/>
  <c r="D1523" i="3"/>
  <c r="A1523" i="3"/>
  <c r="W1523" i="3" s="1"/>
  <c r="X1522" i="3"/>
  <c r="N1522" i="3"/>
  <c r="U1522" i="3" s="1"/>
  <c r="L1522" i="3"/>
  <c r="D1522" i="3"/>
  <c r="A1522" i="3"/>
  <c r="W1522" i="3" s="1"/>
  <c r="X1521" i="3"/>
  <c r="N1521" i="3"/>
  <c r="U1521" i="3" s="1"/>
  <c r="L1521" i="3"/>
  <c r="D1521" i="3"/>
  <c r="A1521" i="3"/>
  <c r="W1521" i="3" s="1"/>
  <c r="X1520" i="3"/>
  <c r="N1520" i="3"/>
  <c r="U1520" i="3" s="1"/>
  <c r="L1520" i="3"/>
  <c r="D1520" i="3"/>
  <c r="AB13" i="88"/>
  <c r="AF13" i="88"/>
  <c r="U13" i="88"/>
  <c r="T13" i="88"/>
  <c r="AC13" i="88"/>
  <c r="AE13" i="88"/>
  <c r="AA13" i="88"/>
  <c r="AD13" i="88"/>
  <c r="Z15" i="88"/>
  <c r="V13" i="88" l="1"/>
  <c r="X13" i="88"/>
  <c r="W13" i="88"/>
  <c r="R14" i="88"/>
  <c r="A14" i="88"/>
  <c r="S14" i="88"/>
  <c r="Y17" i="88"/>
  <c r="X1842" i="3"/>
  <c r="U1842" i="3"/>
  <c r="D1842" i="3"/>
  <c r="A1842" i="3"/>
  <c r="X1841" i="3"/>
  <c r="U1841" i="3"/>
  <c r="D1841" i="3"/>
  <c r="A1841" i="3"/>
  <c r="N6780" i="3"/>
  <c r="U6780" i="3" s="1"/>
  <c r="O6780" i="3"/>
  <c r="U4964" i="3"/>
  <c r="D4964" i="3"/>
  <c r="A4964" i="3"/>
  <c r="U4963" i="3"/>
  <c r="D4963" i="3"/>
  <c r="A4963" i="3"/>
  <c r="U4962" i="3"/>
  <c r="D4962" i="3"/>
  <c r="A4962" i="3"/>
  <c r="U4961" i="3"/>
  <c r="L4961" i="3"/>
  <c r="D4961" i="3"/>
  <c r="A4961" i="3"/>
  <c r="U4960" i="3"/>
  <c r="D4960" i="3"/>
  <c r="A4960" i="3"/>
  <c r="U4959" i="3"/>
  <c r="D4959" i="3"/>
  <c r="A4959" i="3"/>
  <c r="U4958" i="3"/>
  <c r="D4958" i="3"/>
  <c r="A4958" i="3"/>
  <c r="U4957" i="3"/>
  <c r="D4957" i="3"/>
  <c r="A4957" i="3"/>
  <c r="U4956" i="3"/>
  <c r="L4956" i="3"/>
  <c r="D4956" i="3"/>
  <c r="A4956" i="3"/>
  <c r="U4955" i="3"/>
  <c r="I4955" i="3"/>
  <c r="D4955" i="3"/>
  <c r="A4955" i="3"/>
  <c r="U4954" i="3"/>
  <c r="D4954" i="3"/>
  <c r="A4954" i="3"/>
  <c r="U4953" i="3"/>
  <c r="I4953" i="3"/>
  <c r="D4953" i="3"/>
  <c r="A4953" i="3"/>
  <c r="U4952" i="3"/>
  <c r="D4952" i="3"/>
  <c r="A4952" i="3"/>
  <c r="U4951" i="3"/>
  <c r="D4951" i="3"/>
  <c r="A2175" i="3"/>
  <c r="D2175" i="3"/>
  <c r="N2175" i="3"/>
  <c r="U2175" i="3" s="1"/>
  <c r="N1847" i="3"/>
  <c r="X1847" i="3" s="1"/>
  <c r="D1847" i="3"/>
  <c r="A1847" i="3"/>
  <c r="N1846" i="3"/>
  <c r="X1846" i="3" s="1"/>
  <c r="D1846" i="3"/>
  <c r="A1846" i="3"/>
  <c r="N1845" i="3"/>
  <c r="X1845" i="3" s="1"/>
  <c r="D1845" i="3"/>
  <c r="A1845" i="3"/>
  <c r="N1844" i="3"/>
  <c r="X1844" i="3" s="1"/>
  <c r="L1844" i="3"/>
  <c r="D1844" i="3"/>
  <c r="A1844" i="3"/>
  <c r="N1843" i="3"/>
  <c r="X1843" i="3" s="1"/>
  <c r="D1843" i="3"/>
  <c r="A1843" i="3"/>
  <c r="N1840" i="3"/>
  <c r="U1840" i="3" s="1"/>
  <c r="D1840" i="3"/>
  <c r="A1840" i="3"/>
  <c r="N1839" i="3"/>
  <c r="X1839" i="3" s="1"/>
  <c r="D1839" i="3"/>
  <c r="A1839" i="3"/>
  <c r="N1838" i="3"/>
  <c r="X1838" i="3" s="1"/>
  <c r="D1838" i="3"/>
  <c r="A1838" i="3"/>
  <c r="N1837" i="3"/>
  <c r="X1837" i="3" s="1"/>
  <c r="D1837" i="3"/>
  <c r="X177" i="3"/>
  <c r="N177" i="3"/>
  <c r="L177" i="3"/>
  <c r="D177" i="3"/>
  <c r="A177" i="3"/>
  <c r="W177" i="3" s="1"/>
  <c r="X176" i="3"/>
  <c r="N176" i="3"/>
  <c r="L176" i="3"/>
  <c r="D176" i="3"/>
  <c r="A176" i="3"/>
  <c r="W176" i="3" s="1"/>
  <c r="X175" i="3"/>
  <c r="N175" i="3"/>
  <c r="L175" i="3"/>
  <c r="D175" i="3"/>
  <c r="AA14" i="88"/>
  <c r="AF14" i="88"/>
  <c r="U14" i="88"/>
  <c r="AB14" i="88"/>
  <c r="AE14" i="88"/>
  <c r="T14" i="88"/>
  <c r="AC14" i="88"/>
  <c r="AD14" i="88"/>
  <c r="Z16" i="88"/>
  <c r="X14" i="88" l="1"/>
  <c r="V14" i="88"/>
  <c r="W14" i="88"/>
  <c r="Y18" i="88"/>
  <c r="A15" i="88"/>
  <c r="S15" i="88"/>
  <c r="R15" i="88"/>
  <c r="X2175" i="3"/>
  <c r="U1838" i="3"/>
  <c r="U1839" i="3"/>
  <c r="U1844" i="3"/>
  <c r="U1845" i="3"/>
  <c r="U1837" i="3"/>
  <c r="X1840" i="3"/>
  <c r="U1843" i="3"/>
  <c r="U1846" i="3"/>
  <c r="U1847" i="3"/>
  <c r="Z17" i="88"/>
  <c r="AA15" i="88"/>
  <c r="AF15" i="88"/>
  <c r="AE15" i="88"/>
  <c r="U15" i="88"/>
  <c r="AD15" i="88"/>
  <c r="AB15" i="88"/>
  <c r="AC15" i="88"/>
  <c r="T15" i="88"/>
  <c r="V15" i="88" l="1"/>
  <c r="X15" i="88"/>
  <c r="W15" i="88"/>
  <c r="Y19" i="88"/>
  <c r="A16" i="88"/>
  <c r="R16" i="88"/>
  <c r="S16" i="88"/>
  <c r="L1833" i="3"/>
  <c r="A1833" i="3"/>
  <c r="D1833" i="3"/>
  <c r="N1833" i="3"/>
  <c r="U1833" i="3" s="1"/>
  <c r="N1836" i="3"/>
  <c r="X1836" i="3" s="1"/>
  <c r="D1836" i="3"/>
  <c r="A1836" i="3"/>
  <c r="N1835" i="3"/>
  <c r="X1835" i="3" s="1"/>
  <c r="D1835" i="3"/>
  <c r="A1835" i="3"/>
  <c r="N1834" i="3"/>
  <c r="X1834" i="3" s="1"/>
  <c r="D1834" i="3"/>
  <c r="A1834" i="3"/>
  <c r="N1832" i="3"/>
  <c r="X1832" i="3" s="1"/>
  <c r="D1832" i="3"/>
  <c r="A1832" i="3"/>
  <c r="X1831" i="3"/>
  <c r="U1831" i="3"/>
  <c r="D1831" i="3"/>
  <c r="A1831" i="3"/>
  <c r="X1830" i="3"/>
  <c r="U1830" i="3"/>
  <c r="D1830" i="3"/>
  <c r="A1830" i="3"/>
  <c r="N1829" i="3"/>
  <c r="X1829" i="3" s="1"/>
  <c r="D1829" i="3"/>
  <c r="A1829" i="3"/>
  <c r="N1828" i="3"/>
  <c r="X1828" i="3" s="1"/>
  <c r="D1828" i="3"/>
  <c r="A1828" i="3"/>
  <c r="N1827" i="3"/>
  <c r="X1827" i="3" s="1"/>
  <c r="D1827" i="3"/>
  <c r="A1827" i="3"/>
  <c r="N1826" i="3"/>
  <c r="X1826" i="3" s="1"/>
  <c r="D1826" i="3"/>
  <c r="U5172" i="3"/>
  <c r="D5172" i="3"/>
  <c r="A5172" i="3"/>
  <c r="U5171" i="3"/>
  <c r="D5171" i="3"/>
  <c r="A5171" i="3"/>
  <c r="U5170" i="3"/>
  <c r="D5170" i="3"/>
  <c r="A5170" i="3"/>
  <c r="U5169" i="3"/>
  <c r="L5169" i="3"/>
  <c r="D5169" i="3"/>
  <c r="A5169" i="3"/>
  <c r="U5168" i="3"/>
  <c r="D5168" i="3"/>
  <c r="A5168" i="3"/>
  <c r="U5167" i="3"/>
  <c r="D5167" i="3"/>
  <c r="A5167" i="3"/>
  <c r="U5166" i="3"/>
  <c r="D5166" i="3"/>
  <c r="A5166" i="3"/>
  <c r="U5165" i="3"/>
  <c r="D5165" i="3"/>
  <c r="A5165" i="3"/>
  <c r="U5164" i="3"/>
  <c r="D5164" i="3"/>
  <c r="A5164" i="3"/>
  <c r="U5163" i="3"/>
  <c r="L5163" i="3"/>
  <c r="D5163" i="3"/>
  <c r="U5162" i="3"/>
  <c r="D5162" i="3"/>
  <c r="A5162" i="3"/>
  <c r="U5161" i="3"/>
  <c r="D5161" i="3"/>
  <c r="A5161" i="3"/>
  <c r="U5160" i="3"/>
  <c r="D5160" i="3"/>
  <c r="A5160" i="3"/>
  <c r="U5159" i="3"/>
  <c r="L5159" i="3"/>
  <c r="D5159" i="3"/>
  <c r="A5159" i="3"/>
  <c r="U5158" i="3"/>
  <c r="D5158" i="3"/>
  <c r="A5158" i="3"/>
  <c r="U5157" i="3"/>
  <c r="D5157" i="3"/>
  <c r="A5157" i="3"/>
  <c r="U5156" i="3"/>
  <c r="D5156" i="3"/>
  <c r="A5156" i="3"/>
  <c r="U5155" i="3"/>
  <c r="D5155" i="3"/>
  <c r="A5155" i="3"/>
  <c r="U5154" i="3"/>
  <c r="D5154" i="3"/>
  <c r="A5154" i="3"/>
  <c r="U5153" i="3"/>
  <c r="L5153" i="3"/>
  <c r="D5153" i="3"/>
  <c r="U5152" i="3"/>
  <c r="D5152" i="3"/>
  <c r="A5152" i="3"/>
  <c r="U5151" i="3"/>
  <c r="D5151" i="3"/>
  <c r="A5151" i="3"/>
  <c r="U5150" i="3"/>
  <c r="D5150" i="3"/>
  <c r="A5150" i="3"/>
  <c r="U5149" i="3"/>
  <c r="L5149" i="3"/>
  <c r="D5149" i="3"/>
  <c r="A5149" i="3"/>
  <c r="U5148" i="3"/>
  <c r="D5148" i="3"/>
  <c r="A5148" i="3"/>
  <c r="U5147" i="3"/>
  <c r="D5147" i="3"/>
  <c r="A5147" i="3"/>
  <c r="U5146" i="3"/>
  <c r="D5146" i="3"/>
  <c r="A5146" i="3"/>
  <c r="U5145" i="3"/>
  <c r="D5145" i="3"/>
  <c r="A5145" i="3"/>
  <c r="U5144" i="3"/>
  <c r="D5144" i="3"/>
  <c r="A5144" i="3"/>
  <c r="U5143" i="3"/>
  <c r="L5143" i="3"/>
  <c r="D5143" i="3"/>
  <c r="U5142" i="3"/>
  <c r="D5142" i="3"/>
  <c r="A5142" i="3"/>
  <c r="U5141" i="3"/>
  <c r="D5141" i="3"/>
  <c r="A5141" i="3"/>
  <c r="U5140" i="3"/>
  <c r="D5140" i="3"/>
  <c r="A5140" i="3"/>
  <c r="U5139" i="3"/>
  <c r="L5139" i="3"/>
  <c r="D5139" i="3"/>
  <c r="A5139" i="3"/>
  <c r="U5138" i="3"/>
  <c r="D5138" i="3"/>
  <c r="A5138" i="3"/>
  <c r="U5137" i="3"/>
  <c r="D5137" i="3"/>
  <c r="A5137" i="3"/>
  <c r="U5136" i="3"/>
  <c r="D5136" i="3"/>
  <c r="A5136" i="3"/>
  <c r="U5135" i="3"/>
  <c r="D5135" i="3"/>
  <c r="A5135" i="3"/>
  <c r="U5134" i="3"/>
  <c r="D5134" i="3"/>
  <c r="A5134" i="3"/>
  <c r="U5133" i="3"/>
  <c r="L5133" i="3"/>
  <c r="D5133" i="3"/>
  <c r="X351" i="3"/>
  <c r="N351" i="3"/>
  <c r="L351" i="3"/>
  <c r="D351" i="3"/>
  <c r="A351" i="3"/>
  <c r="W351" i="3" s="1"/>
  <c r="X350" i="3"/>
  <c r="N350" i="3"/>
  <c r="L350" i="3"/>
  <c r="D350" i="3"/>
  <c r="A350" i="3"/>
  <c r="W350" i="3" s="1"/>
  <c r="X349" i="3"/>
  <c r="N349" i="3"/>
  <c r="L349" i="3"/>
  <c r="D349" i="3"/>
  <c r="A349" i="3"/>
  <c r="W349" i="3" s="1"/>
  <c r="X348" i="3"/>
  <c r="N348" i="3"/>
  <c r="L348" i="3"/>
  <c r="D348" i="3"/>
  <c r="A348" i="3"/>
  <c r="W348" i="3" s="1"/>
  <c r="X347" i="3"/>
  <c r="N347" i="3"/>
  <c r="L347" i="3"/>
  <c r="D347" i="3"/>
  <c r="A347" i="3"/>
  <c r="W347" i="3" s="1"/>
  <c r="X346" i="3"/>
  <c r="N346" i="3"/>
  <c r="L346" i="3"/>
  <c r="D346" i="3"/>
  <c r="A346" i="3"/>
  <c r="W346" i="3" s="1"/>
  <c r="X345" i="3"/>
  <c r="N345" i="3"/>
  <c r="L345" i="3"/>
  <c r="D345" i="3"/>
  <c r="A345" i="3"/>
  <c r="W345" i="3" s="1"/>
  <c r="X344" i="3"/>
  <c r="N344" i="3"/>
  <c r="L344" i="3"/>
  <c r="D344" i="3"/>
  <c r="A344" i="3"/>
  <c r="W344" i="3" s="1"/>
  <c r="X343" i="3"/>
  <c r="N343" i="3"/>
  <c r="L343" i="3"/>
  <c r="D343" i="3"/>
  <c r="O6792" i="3"/>
  <c r="N6792" i="3"/>
  <c r="U6792" i="3" s="1"/>
  <c r="A6792" i="3"/>
  <c r="O6791" i="3"/>
  <c r="N6791" i="3"/>
  <c r="U6791" i="3" s="1"/>
  <c r="O6798" i="3"/>
  <c r="N6798" i="3"/>
  <c r="U6798" i="3" s="1"/>
  <c r="A6798" i="3"/>
  <c r="O6797" i="3"/>
  <c r="N6797" i="3"/>
  <c r="U6797" i="3" s="1"/>
  <c r="L4947" i="3"/>
  <c r="L4942" i="3"/>
  <c r="I4941" i="3"/>
  <c r="I4939" i="3"/>
  <c r="U4950" i="3"/>
  <c r="D4950" i="3"/>
  <c r="A4950" i="3"/>
  <c r="U4949" i="3"/>
  <c r="D4949" i="3"/>
  <c r="A4949" i="3"/>
  <c r="U4948" i="3"/>
  <c r="D4948" i="3"/>
  <c r="A4948" i="3"/>
  <c r="U4947" i="3"/>
  <c r="D4947" i="3"/>
  <c r="A4947" i="3"/>
  <c r="U4946" i="3"/>
  <c r="D4946" i="3"/>
  <c r="A4946" i="3"/>
  <c r="U4945" i="3"/>
  <c r="D4945" i="3"/>
  <c r="A4945" i="3"/>
  <c r="U4944" i="3"/>
  <c r="D4944" i="3"/>
  <c r="A4944" i="3"/>
  <c r="U4943" i="3"/>
  <c r="D4943" i="3"/>
  <c r="A4943" i="3"/>
  <c r="U4942" i="3"/>
  <c r="D4942" i="3"/>
  <c r="A4942" i="3"/>
  <c r="U4941" i="3"/>
  <c r="D4941" i="3"/>
  <c r="A4941" i="3"/>
  <c r="U4940" i="3"/>
  <c r="D4940" i="3"/>
  <c r="A4940" i="3"/>
  <c r="U4939" i="3"/>
  <c r="D4939" i="3"/>
  <c r="A4939" i="3"/>
  <c r="U4938" i="3"/>
  <c r="D4938" i="3"/>
  <c r="A4938" i="3"/>
  <c r="U4937" i="3"/>
  <c r="D4937" i="3"/>
  <c r="N6779" i="3"/>
  <c r="U6779" i="3" s="1"/>
  <c r="O6779" i="3"/>
  <c r="A174" i="3"/>
  <c r="W174" i="3" s="1"/>
  <c r="D174" i="3"/>
  <c r="L174" i="3"/>
  <c r="N174" i="3"/>
  <c r="X174" i="3"/>
  <c r="X173" i="3"/>
  <c r="N173" i="3"/>
  <c r="L173" i="3"/>
  <c r="D173" i="3"/>
  <c r="A173" i="3"/>
  <c r="W173" i="3" s="1"/>
  <c r="X172" i="3"/>
  <c r="N172" i="3"/>
  <c r="L172" i="3"/>
  <c r="D172" i="3"/>
  <c r="A172" i="3"/>
  <c r="W172" i="3" s="1"/>
  <c r="X171" i="3"/>
  <c r="N171" i="3"/>
  <c r="L171" i="3"/>
  <c r="D171" i="3"/>
  <c r="A171" i="3"/>
  <c r="W171" i="3" s="1"/>
  <c r="X170" i="3"/>
  <c r="N170" i="3"/>
  <c r="L170" i="3"/>
  <c r="D170" i="3"/>
  <c r="O6782" i="3"/>
  <c r="N6782" i="3"/>
  <c r="U6782" i="3" s="1"/>
  <c r="A6782" i="3"/>
  <c r="O6781" i="3"/>
  <c r="N6781" i="3"/>
  <c r="U6781" i="3" s="1"/>
  <c r="U5544" i="3"/>
  <c r="D5544" i="3"/>
  <c r="A5544" i="3"/>
  <c r="U5543" i="3"/>
  <c r="D5543" i="3"/>
  <c r="A5543" i="3"/>
  <c r="U5542" i="3"/>
  <c r="D5542" i="3"/>
  <c r="A5542" i="3"/>
  <c r="U5541" i="3"/>
  <c r="L5541" i="3"/>
  <c r="D5541" i="3"/>
  <c r="A5541" i="3"/>
  <c r="U5540" i="3"/>
  <c r="D5540" i="3"/>
  <c r="A5540" i="3"/>
  <c r="U5539" i="3"/>
  <c r="D5539" i="3"/>
  <c r="A5539" i="3"/>
  <c r="U5538" i="3"/>
  <c r="D5538" i="3"/>
  <c r="A5538" i="3"/>
  <c r="U5537" i="3"/>
  <c r="D5537" i="3"/>
  <c r="A5537" i="3"/>
  <c r="U5536" i="3"/>
  <c r="L5536" i="3"/>
  <c r="D5536" i="3"/>
  <c r="A5536" i="3"/>
  <c r="U5535" i="3"/>
  <c r="I5535" i="3"/>
  <c r="D5535" i="3"/>
  <c r="A5535" i="3"/>
  <c r="U5534" i="3"/>
  <c r="I5534" i="3"/>
  <c r="D5534" i="3"/>
  <c r="A5534" i="3"/>
  <c r="U5533" i="3"/>
  <c r="D5533" i="3"/>
  <c r="A5533" i="3"/>
  <c r="U5532" i="3"/>
  <c r="I5532" i="3"/>
  <c r="D5532" i="3"/>
  <c r="A5532" i="3"/>
  <c r="U5531" i="3"/>
  <c r="D5531" i="3"/>
  <c r="A5531" i="3"/>
  <c r="U5530" i="3"/>
  <c r="D5530" i="3"/>
  <c r="A5530" i="3"/>
  <c r="U5529" i="3"/>
  <c r="I5529" i="3"/>
  <c r="D5529" i="3"/>
  <c r="A5529" i="3"/>
  <c r="U5528" i="3"/>
  <c r="D5528" i="3"/>
  <c r="A5528" i="3"/>
  <c r="U5527" i="3"/>
  <c r="D5527" i="3"/>
  <c r="U5526" i="3"/>
  <c r="D5526" i="3"/>
  <c r="A5526" i="3"/>
  <c r="U5525" i="3"/>
  <c r="D5525" i="3"/>
  <c r="A5525" i="3"/>
  <c r="U5524" i="3"/>
  <c r="D5524" i="3"/>
  <c r="A5524" i="3"/>
  <c r="U5523" i="3"/>
  <c r="L5523" i="3"/>
  <c r="D5523" i="3"/>
  <c r="A5523" i="3"/>
  <c r="U5522" i="3"/>
  <c r="D5522" i="3"/>
  <c r="A5522" i="3"/>
  <c r="U5521" i="3"/>
  <c r="D5521" i="3"/>
  <c r="A5521" i="3"/>
  <c r="U5520" i="3"/>
  <c r="D5520" i="3"/>
  <c r="A5520" i="3"/>
  <c r="U5519" i="3"/>
  <c r="D5519" i="3"/>
  <c r="A5519" i="3"/>
  <c r="U5518" i="3"/>
  <c r="L5518" i="3"/>
  <c r="D5518" i="3"/>
  <c r="A5518" i="3"/>
  <c r="U5517" i="3"/>
  <c r="I5517" i="3"/>
  <c r="D5517" i="3"/>
  <c r="A5517" i="3"/>
  <c r="U5516" i="3"/>
  <c r="I5516" i="3"/>
  <c r="D5516" i="3"/>
  <c r="A5516" i="3"/>
  <c r="U5515" i="3"/>
  <c r="D5515" i="3"/>
  <c r="A5515" i="3"/>
  <c r="U5514" i="3"/>
  <c r="I5514" i="3"/>
  <c r="D5514" i="3"/>
  <c r="A5514" i="3"/>
  <c r="U5513" i="3"/>
  <c r="D5513" i="3"/>
  <c r="A5513" i="3"/>
  <c r="U5512" i="3"/>
  <c r="D5512" i="3"/>
  <c r="A5512" i="3"/>
  <c r="U5511" i="3"/>
  <c r="I5511" i="3"/>
  <c r="D5511" i="3"/>
  <c r="A5511" i="3"/>
  <c r="U5510" i="3"/>
  <c r="D5510" i="3"/>
  <c r="A5510" i="3"/>
  <c r="U5509" i="3"/>
  <c r="D5509" i="3"/>
  <c r="U5444" i="3"/>
  <c r="D5444" i="3"/>
  <c r="A5444" i="3"/>
  <c r="U5443" i="3"/>
  <c r="D5443" i="3"/>
  <c r="A5443" i="3"/>
  <c r="U5442" i="3"/>
  <c r="D5442" i="3"/>
  <c r="A5442" i="3"/>
  <c r="U5441" i="3"/>
  <c r="L5441" i="3"/>
  <c r="D5441" i="3"/>
  <c r="A5441" i="3"/>
  <c r="U5440" i="3"/>
  <c r="D5440" i="3"/>
  <c r="A5440" i="3"/>
  <c r="U5439" i="3"/>
  <c r="D5439" i="3"/>
  <c r="A5439" i="3"/>
  <c r="U5438" i="3"/>
  <c r="D5438" i="3"/>
  <c r="A5438" i="3"/>
  <c r="U5437" i="3"/>
  <c r="D5437" i="3"/>
  <c r="A5437" i="3"/>
  <c r="U5436" i="3"/>
  <c r="L5436" i="3"/>
  <c r="D5436" i="3"/>
  <c r="U5435" i="3"/>
  <c r="D5435" i="3"/>
  <c r="A5435" i="3"/>
  <c r="U5434" i="3"/>
  <c r="D5434" i="3"/>
  <c r="A5434" i="3"/>
  <c r="U5433" i="3"/>
  <c r="D5433" i="3"/>
  <c r="A5433" i="3"/>
  <c r="U5432" i="3"/>
  <c r="L5432" i="3"/>
  <c r="D5432" i="3"/>
  <c r="A5432" i="3"/>
  <c r="U5431" i="3"/>
  <c r="D5431" i="3"/>
  <c r="A5431" i="3"/>
  <c r="U5430" i="3"/>
  <c r="D5430" i="3"/>
  <c r="A5430" i="3"/>
  <c r="U5429" i="3"/>
  <c r="D5429" i="3"/>
  <c r="A5429" i="3"/>
  <c r="U5428" i="3"/>
  <c r="D5428" i="3"/>
  <c r="A5428" i="3"/>
  <c r="U5427" i="3"/>
  <c r="L5427" i="3"/>
  <c r="D5427" i="3"/>
  <c r="U5229" i="3"/>
  <c r="D5229" i="3"/>
  <c r="A5229" i="3"/>
  <c r="U5228" i="3"/>
  <c r="D5228" i="3"/>
  <c r="A5228" i="3"/>
  <c r="U5227" i="3"/>
  <c r="D5227" i="3"/>
  <c r="A5227" i="3"/>
  <c r="U5226" i="3"/>
  <c r="L5226" i="3"/>
  <c r="D5226" i="3"/>
  <c r="A5226" i="3"/>
  <c r="U5225" i="3"/>
  <c r="D5225" i="3"/>
  <c r="A5225" i="3"/>
  <c r="U5224" i="3"/>
  <c r="D5224" i="3"/>
  <c r="A5224" i="3"/>
  <c r="U5223" i="3"/>
  <c r="D5223" i="3"/>
  <c r="A5223" i="3"/>
  <c r="U5222" i="3"/>
  <c r="D5222" i="3"/>
  <c r="A5222" i="3"/>
  <c r="U5221" i="3"/>
  <c r="D5221" i="3"/>
  <c r="A5221" i="3"/>
  <c r="U5220" i="3"/>
  <c r="L5220" i="3"/>
  <c r="D5220" i="3"/>
  <c r="A5220" i="3"/>
  <c r="U5219" i="3"/>
  <c r="I5219" i="3"/>
  <c r="D5219" i="3"/>
  <c r="A5219" i="3"/>
  <c r="U5218" i="3"/>
  <c r="I5218" i="3"/>
  <c r="D5218" i="3"/>
  <c r="A5218" i="3"/>
  <c r="U5217" i="3"/>
  <c r="D5217" i="3"/>
  <c r="A5217" i="3"/>
  <c r="U5216" i="3"/>
  <c r="I5216" i="3"/>
  <c r="D5216" i="3"/>
  <c r="A5216" i="3"/>
  <c r="U5215" i="3"/>
  <c r="D5215" i="3"/>
  <c r="A5215" i="3"/>
  <c r="U5214" i="3"/>
  <c r="D5214" i="3"/>
  <c r="A5214" i="3"/>
  <c r="U5213" i="3"/>
  <c r="I5213" i="3"/>
  <c r="D5213" i="3"/>
  <c r="A5213" i="3"/>
  <c r="U5212" i="3"/>
  <c r="D5212" i="3"/>
  <c r="A5212" i="3"/>
  <c r="U5211" i="3"/>
  <c r="D5211" i="3"/>
  <c r="U5210" i="3"/>
  <c r="D5210" i="3"/>
  <c r="A5210" i="3"/>
  <c r="U5209" i="3"/>
  <c r="D5209" i="3"/>
  <c r="A5209" i="3"/>
  <c r="U5208" i="3"/>
  <c r="D5208" i="3"/>
  <c r="A5208" i="3"/>
  <c r="U5207" i="3"/>
  <c r="L5207" i="3"/>
  <c r="D5207" i="3"/>
  <c r="A5207" i="3"/>
  <c r="U5206" i="3"/>
  <c r="D5206" i="3"/>
  <c r="A5206" i="3"/>
  <c r="U5205" i="3"/>
  <c r="D5205" i="3"/>
  <c r="A5205" i="3"/>
  <c r="U5204" i="3"/>
  <c r="D5204" i="3"/>
  <c r="A5204" i="3"/>
  <c r="U5203" i="3"/>
  <c r="D5203" i="3"/>
  <c r="A5203" i="3"/>
  <c r="U5202" i="3"/>
  <c r="D5202" i="3"/>
  <c r="A5202" i="3"/>
  <c r="U5201" i="3"/>
  <c r="L5201" i="3"/>
  <c r="D5201" i="3"/>
  <c r="A5201" i="3"/>
  <c r="U5200" i="3"/>
  <c r="I5200" i="3"/>
  <c r="D5200" i="3"/>
  <c r="A5200" i="3"/>
  <c r="U5199" i="3"/>
  <c r="I5199" i="3"/>
  <c r="D5199" i="3"/>
  <c r="A5199" i="3"/>
  <c r="U5198" i="3"/>
  <c r="D5198" i="3"/>
  <c r="A5198" i="3"/>
  <c r="U5197" i="3"/>
  <c r="I5197" i="3"/>
  <c r="D5197" i="3"/>
  <c r="A5197" i="3"/>
  <c r="U5196" i="3"/>
  <c r="D5196" i="3"/>
  <c r="A5196" i="3"/>
  <c r="U5195" i="3"/>
  <c r="D5195" i="3"/>
  <c r="A5195" i="3"/>
  <c r="U5194" i="3"/>
  <c r="I5194" i="3"/>
  <c r="D5194" i="3"/>
  <c r="A5194" i="3"/>
  <c r="U5193" i="3"/>
  <c r="D5193" i="3"/>
  <c r="A5193" i="3"/>
  <c r="U5192" i="3"/>
  <c r="D5192" i="3"/>
  <c r="U5000" i="3"/>
  <c r="D5000" i="3"/>
  <c r="A5000" i="3"/>
  <c r="U4999" i="3"/>
  <c r="D4999" i="3"/>
  <c r="A4999" i="3"/>
  <c r="U4998" i="3"/>
  <c r="D4998" i="3"/>
  <c r="A4998" i="3"/>
  <c r="U4997" i="3"/>
  <c r="L4997" i="3"/>
  <c r="D4997" i="3"/>
  <c r="A4997" i="3"/>
  <c r="U4996" i="3"/>
  <c r="D4996" i="3"/>
  <c r="A4996" i="3"/>
  <c r="U4995" i="3"/>
  <c r="D4995" i="3"/>
  <c r="A4995" i="3"/>
  <c r="U4994" i="3"/>
  <c r="D4994" i="3"/>
  <c r="A4994" i="3"/>
  <c r="U4993" i="3"/>
  <c r="D4993" i="3"/>
  <c r="A4993" i="3"/>
  <c r="U4992" i="3"/>
  <c r="L4992" i="3"/>
  <c r="D4992" i="3"/>
  <c r="A4992" i="3"/>
  <c r="U4991" i="3"/>
  <c r="I4991" i="3"/>
  <c r="D4991" i="3"/>
  <c r="A4991" i="3"/>
  <c r="U4990" i="3"/>
  <c r="I4990" i="3"/>
  <c r="D4990" i="3"/>
  <c r="A4990" i="3"/>
  <c r="U4989" i="3"/>
  <c r="D4989" i="3"/>
  <c r="A4989" i="3"/>
  <c r="U4988" i="3"/>
  <c r="I4988" i="3"/>
  <c r="D4988" i="3"/>
  <c r="A4988" i="3"/>
  <c r="U4987" i="3"/>
  <c r="D4987" i="3"/>
  <c r="A4987" i="3"/>
  <c r="U4986" i="3"/>
  <c r="D4986" i="3"/>
  <c r="A4986" i="3"/>
  <c r="U4985" i="3"/>
  <c r="I4985" i="3"/>
  <c r="D4985" i="3"/>
  <c r="A4985" i="3"/>
  <c r="U4984" i="3"/>
  <c r="D4984" i="3"/>
  <c r="A4984" i="3"/>
  <c r="U4983" i="3"/>
  <c r="D4983" i="3"/>
  <c r="U4982" i="3"/>
  <c r="D4982" i="3"/>
  <c r="A4982" i="3"/>
  <c r="U4981" i="3"/>
  <c r="D4981" i="3"/>
  <c r="A4981" i="3"/>
  <c r="U4980" i="3"/>
  <c r="D4980" i="3"/>
  <c r="A4980" i="3"/>
  <c r="U4979" i="3"/>
  <c r="L4979" i="3"/>
  <c r="D4979" i="3"/>
  <c r="A4979" i="3"/>
  <c r="U4978" i="3"/>
  <c r="D4978" i="3"/>
  <c r="A4978" i="3"/>
  <c r="U4977" i="3"/>
  <c r="D4977" i="3"/>
  <c r="A4977" i="3"/>
  <c r="U4976" i="3"/>
  <c r="D4976" i="3"/>
  <c r="A4976" i="3"/>
  <c r="U4975" i="3"/>
  <c r="D4975" i="3"/>
  <c r="A4975" i="3"/>
  <c r="U4974" i="3"/>
  <c r="L4974" i="3"/>
  <c r="D4974" i="3"/>
  <c r="A4974" i="3"/>
  <c r="U4973" i="3"/>
  <c r="I4973" i="3"/>
  <c r="D4973" i="3"/>
  <c r="A4973" i="3"/>
  <c r="U4972" i="3"/>
  <c r="I4972" i="3"/>
  <c r="D4972" i="3"/>
  <c r="A4972" i="3"/>
  <c r="U4971" i="3"/>
  <c r="D4971" i="3"/>
  <c r="A4971" i="3"/>
  <c r="U4970" i="3"/>
  <c r="I4970" i="3"/>
  <c r="D4970" i="3"/>
  <c r="A4970" i="3"/>
  <c r="U4969" i="3"/>
  <c r="D4969" i="3"/>
  <c r="A4969" i="3"/>
  <c r="U4968" i="3"/>
  <c r="D4968" i="3"/>
  <c r="A4968" i="3"/>
  <c r="U4967" i="3"/>
  <c r="I4967" i="3"/>
  <c r="D4967" i="3"/>
  <c r="A4967" i="3"/>
  <c r="U4966" i="3"/>
  <c r="D4966" i="3"/>
  <c r="A4966" i="3"/>
  <c r="U4965" i="3"/>
  <c r="D4965" i="3"/>
  <c r="N3292" i="3"/>
  <c r="X3292" i="3" s="1"/>
  <c r="D3292" i="3"/>
  <c r="A3292" i="3"/>
  <c r="N3291" i="3"/>
  <c r="X3291" i="3" s="1"/>
  <c r="D3291" i="3"/>
  <c r="A3291" i="3"/>
  <c r="N3290" i="3"/>
  <c r="X3290" i="3" s="1"/>
  <c r="D3290" i="3"/>
  <c r="A3290" i="3"/>
  <c r="X3289" i="3"/>
  <c r="U3289" i="3"/>
  <c r="D3289" i="3"/>
  <c r="A3289" i="3"/>
  <c r="X3288" i="3"/>
  <c r="U3288" i="3"/>
  <c r="D3288" i="3"/>
  <c r="A3288" i="3"/>
  <c r="X3287" i="3"/>
  <c r="U3287" i="3"/>
  <c r="D3287" i="3"/>
  <c r="A3287" i="3"/>
  <c r="N3286" i="3"/>
  <c r="U3286" i="3" s="1"/>
  <c r="D3286" i="3"/>
  <c r="A3286" i="3"/>
  <c r="N3285" i="3"/>
  <c r="X3285" i="3" s="1"/>
  <c r="D3285" i="3"/>
  <c r="N3284" i="3"/>
  <c r="X3284" i="3" s="1"/>
  <c r="D3284" i="3"/>
  <c r="A3284" i="3"/>
  <c r="N3283" i="3"/>
  <c r="X3283" i="3" s="1"/>
  <c r="D3283" i="3"/>
  <c r="A3283" i="3"/>
  <c r="N3282" i="3"/>
  <c r="X3282" i="3" s="1"/>
  <c r="D3282" i="3"/>
  <c r="A3282" i="3"/>
  <c r="X3281" i="3"/>
  <c r="U3281" i="3"/>
  <c r="D3281" i="3"/>
  <c r="A3281" i="3"/>
  <c r="X3280" i="3"/>
  <c r="U3280" i="3"/>
  <c r="D3280" i="3"/>
  <c r="A3280" i="3"/>
  <c r="X3279" i="3"/>
  <c r="U3279" i="3"/>
  <c r="D3279" i="3"/>
  <c r="A3279" i="3"/>
  <c r="N3278" i="3"/>
  <c r="U3278" i="3" s="1"/>
  <c r="D3278" i="3"/>
  <c r="A3278" i="3"/>
  <c r="N3277" i="3"/>
  <c r="X3277" i="3" s="1"/>
  <c r="D3277" i="3"/>
  <c r="N2964" i="3"/>
  <c r="X2964" i="3" s="1"/>
  <c r="D2964" i="3"/>
  <c r="A2964" i="3"/>
  <c r="N2963" i="3"/>
  <c r="X2963" i="3" s="1"/>
  <c r="D2963" i="3"/>
  <c r="A2963" i="3"/>
  <c r="N2962" i="3"/>
  <c r="X2962" i="3" s="1"/>
  <c r="D2962" i="3"/>
  <c r="A2962" i="3"/>
  <c r="N2961" i="3"/>
  <c r="U2961" i="3" s="1"/>
  <c r="D2961" i="3"/>
  <c r="A2961" i="3"/>
  <c r="X2960" i="3"/>
  <c r="U2960" i="3"/>
  <c r="D2960" i="3"/>
  <c r="A2960" i="3"/>
  <c r="X2959" i="3"/>
  <c r="U2959" i="3"/>
  <c r="D2959" i="3"/>
  <c r="A2959" i="3"/>
  <c r="X2958" i="3"/>
  <c r="U2958" i="3"/>
  <c r="D2958" i="3"/>
  <c r="A2958" i="3"/>
  <c r="X2957" i="3"/>
  <c r="U2957" i="3"/>
  <c r="D2957" i="3"/>
  <c r="A2957" i="3"/>
  <c r="N2956" i="3"/>
  <c r="X2956" i="3" s="1"/>
  <c r="D2956" i="3"/>
  <c r="A2956" i="3"/>
  <c r="N2955" i="3"/>
  <c r="X2955" i="3" s="1"/>
  <c r="D2955" i="3"/>
  <c r="A2955" i="3"/>
  <c r="N2954" i="3"/>
  <c r="U2954" i="3" s="1"/>
  <c r="D2954" i="3"/>
  <c r="A2954" i="3"/>
  <c r="N2953" i="3"/>
  <c r="U2953" i="3" s="1"/>
  <c r="D2953" i="3"/>
  <c r="A2953" i="3"/>
  <c r="N2952" i="3"/>
  <c r="X2952" i="3" s="1"/>
  <c r="D2952" i="3"/>
  <c r="N2951" i="3"/>
  <c r="X2951" i="3" s="1"/>
  <c r="D2951" i="3"/>
  <c r="A2951" i="3"/>
  <c r="N2950" i="3"/>
  <c r="X2950" i="3" s="1"/>
  <c r="D2950" i="3"/>
  <c r="A2950" i="3"/>
  <c r="N2949" i="3"/>
  <c r="X2949" i="3" s="1"/>
  <c r="D2949" i="3"/>
  <c r="A2949" i="3"/>
  <c r="N2948" i="3"/>
  <c r="U2948" i="3" s="1"/>
  <c r="D2948" i="3"/>
  <c r="A2948" i="3"/>
  <c r="X2947" i="3"/>
  <c r="U2947" i="3"/>
  <c r="D2947" i="3"/>
  <c r="A2947" i="3"/>
  <c r="X2946" i="3"/>
  <c r="U2946" i="3"/>
  <c r="D2946" i="3"/>
  <c r="A2946" i="3"/>
  <c r="X2945" i="3"/>
  <c r="U2945" i="3"/>
  <c r="D2945" i="3"/>
  <c r="A2945" i="3"/>
  <c r="X2944" i="3"/>
  <c r="U2944" i="3"/>
  <c r="D2944" i="3"/>
  <c r="A2944" i="3"/>
  <c r="N2943" i="3"/>
  <c r="X2943" i="3" s="1"/>
  <c r="D2943" i="3"/>
  <c r="A2943" i="3"/>
  <c r="N2942" i="3"/>
  <c r="X2942" i="3" s="1"/>
  <c r="D2942" i="3"/>
  <c r="A2942" i="3"/>
  <c r="N2941" i="3"/>
  <c r="X2941" i="3" s="1"/>
  <c r="D2941" i="3"/>
  <c r="A2941" i="3"/>
  <c r="N2940" i="3"/>
  <c r="U2940" i="3" s="1"/>
  <c r="D2940" i="3"/>
  <c r="A2940" i="3"/>
  <c r="N2939" i="3"/>
  <c r="X2939" i="3" s="1"/>
  <c r="D2939" i="3"/>
  <c r="N2351" i="3"/>
  <c r="X2351" i="3" s="1"/>
  <c r="D2351" i="3"/>
  <c r="A2351" i="3"/>
  <c r="N2350" i="3"/>
  <c r="X2350" i="3" s="1"/>
  <c r="D2350" i="3"/>
  <c r="A2350" i="3"/>
  <c r="N2349" i="3"/>
  <c r="X2349" i="3" s="1"/>
  <c r="D2349" i="3"/>
  <c r="A2349" i="3"/>
  <c r="N2348" i="3"/>
  <c r="U2348" i="3" s="1"/>
  <c r="D2348" i="3"/>
  <c r="A2348" i="3"/>
  <c r="N2347" i="3"/>
  <c r="X2347" i="3" s="1"/>
  <c r="D2347" i="3"/>
  <c r="A2347" i="3"/>
  <c r="N2346" i="3"/>
  <c r="X2346" i="3" s="1"/>
  <c r="D2346" i="3"/>
  <c r="A2346" i="3"/>
  <c r="N2345" i="3"/>
  <c r="X2345" i="3" s="1"/>
  <c r="D2345" i="3"/>
  <c r="A2345" i="3"/>
  <c r="N2344" i="3"/>
  <c r="U2344" i="3" s="1"/>
  <c r="D2344" i="3"/>
  <c r="A2344" i="3"/>
  <c r="N2343" i="3"/>
  <c r="X2343" i="3" s="1"/>
  <c r="D2343" i="3"/>
  <c r="A2343" i="3"/>
  <c r="N2342" i="3"/>
  <c r="X2342" i="3" s="1"/>
  <c r="D2342" i="3"/>
  <c r="A2342" i="3"/>
  <c r="N2341" i="3"/>
  <c r="X2341" i="3" s="1"/>
  <c r="D2341" i="3"/>
  <c r="A2341" i="3"/>
  <c r="N2340" i="3"/>
  <c r="U2340" i="3" s="1"/>
  <c r="D2340" i="3"/>
  <c r="A2340" i="3"/>
  <c r="N2339" i="3"/>
  <c r="X2339" i="3" s="1"/>
  <c r="D2339" i="3"/>
  <c r="A2339" i="3"/>
  <c r="N2338" i="3"/>
  <c r="X2338" i="3" s="1"/>
  <c r="D2338" i="3"/>
  <c r="A2338" i="3"/>
  <c r="N2337" i="3"/>
  <c r="X2337" i="3" s="1"/>
  <c r="D2337" i="3"/>
  <c r="A2337" i="3"/>
  <c r="N2336" i="3"/>
  <c r="U2336" i="3" s="1"/>
  <c r="D2336" i="3"/>
  <c r="A2336" i="3"/>
  <c r="N2335" i="3"/>
  <c r="X2335" i="3" s="1"/>
  <c r="D2335" i="3"/>
  <c r="A2335" i="3"/>
  <c r="N2334" i="3"/>
  <c r="X2334" i="3" s="1"/>
  <c r="D2334" i="3"/>
  <c r="N2333" i="3"/>
  <c r="X2333" i="3" s="1"/>
  <c r="D2333" i="3"/>
  <c r="A2333" i="3"/>
  <c r="N2332" i="3"/>
  <c r="X2332" i="3" s="1"/>
  <c r="D2332" i="3"/>
  <c r="A2332" i="3"/>
  <c r="N2331" i="3"/>
  <c r="X2331" i="3" s="1"/>
  <c r="D2331" i="3"/>
  <c r="A2331" i="3"/>
  <c r="N2330" i="3"/>
  <c r="X2330" i="3" s="1"/>
  <c r="D2330" i="3"/>
  <c r="A2330" i="3"/>
  <c r="N2329" i="3"/>
  <c r="X2329" i="3" s="1"/>
  <c r="D2329" i="3"/>
  <c r="A2329" i="3"/>
  <c r="N2328" i="3"/>
  <c r="X2328" i="3" s="1"/>
  <c r="D2328" i="3"/>
  <c r="A2328" i="3"/>
  <c r="N2327" i="3"/>
  <c r="X2327" i="3" s="1"/>
  <c r="D2327" i="3"/>
  <c r="A2327" i="3"/>
  <c r="N2326" i="3"/>
  <c r="X2326" i="3" s="1"/>
  <c r="D2326" i="3"/>
  <c r="A2326" i="3"/>
  <c r="N2325" i="3"/>
  <c r="X2325" i="3" s="1"/>
  <c r="D2325" i="3"/>
  <c r="A2325" i="3"/>
  <c r="N2324" i="3"/>
  <c r="X2324" i="3" s="1"/>
  <c r="D2324" i="3"/>
  <c r="A2324" i="3"/>
  <c r="N2323" i="3"/>
  <c r="X2323" i="3" s="1"/>
  <c r="D2323" i="3"/>
  <c r="A2323" i="3"/>
  <c r="N2322" i="3"/>
  <c r="X2322" i="3" s="1"/>
  <c r="D2322" i="3"/>
  <c r="A2322" i="3"/>
  <c r="N2321" i="3"/>
  <c r="X2321" i="3" s="1"/>
  <c r="D2321" i="3"/>
  <c r="A2321" i="3"/>
  <c r="N2320" i="3"/>
  <c r="X2320" i="3" s="1"/>
  <c r="D2320" i="3"/>
  <c r="A2320" i="3"/>
  <c r="N2319" i="3"/>
  <c r="X2319" i="3" s="1"/>
  <c r="D2319" i="3"/>
  <c r="A2319" i="3"/>
  <c r="N2318" i="3"/>
  <c r="U2318" i="3" s="1"/>
  <c r="D2318" i="3"/>
  <c r="A2318" i="3"/>
  <c r="N2317" i="3"/>
  <c r="X2317" i="3" s="1"/>
  <c r="D2317" i="3"/>
  <c r="A2317" i="3"/>
  <c r="N2316" i="3"/>
  <c r="X2316" i="3" s="1"/>
  <c r="D2316" i="3"/>
  <c r="N2421" i="3"/>
  <c r="X2421" i="3" s="1"/>
  <c r="D2421" i="3"/>
  <c r="A2421" i="3"/>
  <c r="N2420" i="3"/>
  <c r="X2420" i="3" s="1"/>
  <c r="D2420" i="3"/>
  <c r="A2420" i="3"/>
  <c r="N2419" i="3"/>
  <c r="X2419" i="3" s="1"/>
  <c r="D2419" i="3"/>
  <c r="A2419" i="3"/>
  <c r="N2418" i="3"/>
  <c r="X2418" i="3" s="1"/>
  <c r="D2418" i="3"/>
  <c r="A2418" i="3"/>
  <c r="X2417" i="3"/>
  <c r="U2417" i="3"/>
  <c r="D2417" i="3"/>
  <c r="A2417" i="3"/>
  <c r="X2416" i="3"/>
  <c r="U2416" i="3"/>
  <c r="D2416" i="3"/>
  <c r="A2416" i="3"/>
  <c r="N2415" i="3"/>
  <c r="X2415" i="3" s="1"/>
  <c r="D2415" i="3"/>
  <c r="A2415" i="3"/>
  <c r="N2414" i="3"/>
  <c r="X2414" i="3" s="1"/>
  <c r="L2414" i="3"/>
  <c r="D2414" i="3"/>
  <c r="N2429" i="3"/>
  <c r="X2429" i="3" s="1"/>
  <c r="D2429" i="3"/>
  <c r="A2429" i="3"/>
  <c r="N2428" i="3"/>
  <c r="X2428" i="3" s="1"/>
  <c r="D2428" i="3"/>
  <c r="A2428" i="3"/>
  <c r="N2427" i="3"/>
  <c r="X2427" i="3" s="1"/>
  <c r="D2427" i="3"/>
  <c r="A2427" i="3"/>
  <c r="N2426" i="3"/>
  <c r="X2426" i="3" s="1"/>
  <c r="D2426" i="3"/>
  <c r="A2426" i="3"/>
  <c r="X2425" i="3"/>
  <c r="U2425" i="3"/>
  <c r="D2425" i="3"/>
  <c r="A2425" i="3"/>
  <c r="X2424" i="3"/>
  <c r="U2424" i="3"/>
  <c r="D2424" i="3"/>
  <c r="A2424" i="3"/>
  <c r="N2423" i="3"/>
  <c r="X2423" i="3" s="1"/>
  <c r="D2423" i="3"/>
  <c r="A2423" i="3"/>
  <c r="N2422" i="3"/>
  <c r="X2422" i="3" s="1"/>
  <c r="L2422" i="3"/>
  <c r="D2422" i="3"/>
  <c r="N2177" i="3"/>
  <c r="X2177" i="3" s="1"/>
  <c r="D2177" i="3"/>
  <c r="A2177" i="3"/>
  <c r="N2176" i="3"/>
  <c r="X2176" i="3" s="1"/>
  <c r="D2176" i="3"/>
  <c r="A2176" i="3"/>
  <c r="X2174" i="3"/>
  <c r="U2174" i="3"/>
  <c r="D2174" i="3"/>
  <c r="A2174" i="3"/>
  <c r="X2173" i="3"/>
  <c r="U2173" i="3"/>
  <c r="D2173" i="3"/>
  <c r="A2173" i="3"/>
  <c r="X2172" i="3"/>
  <c r="U2172" i="3"/>
  <c r="D2172" i="3"/>
  <c r="A2172" i="3"/>
  <c r="N2171" i="3"/>
  <c r="U2171" i="3" s="1"/>
  <c r="D2171" i="3"/>
  <c r="A2171" i="3"/>
  <c r="N2170" i="3"/>
  <c r="X2170" i="3" s="1"/>
  <c r="D2170" i="3"/>
  <c r="A2170" i="3"/>
  <c r="N2169" i="3"/>
  <c r="X2169" i="3" s="1"/>
  <c r="D2169" i="3"/>
  <c r="A2169" i="3"/>
  <c r="N2168" i="3"/>
  <c r="X2168" i="3" s="1"/>
  <c r="D2168" i="3"/>
  <c r="N1857" i="3"/>
  <c r="X1857" i="3" s="1"/>
  <c r="D1857" i="3"/>
  <c r="A1857" i="3"/>
  <c r="N1856" i="3"/>
  <c r="X1856" i="3" s="1"/>
  <c r="D1856" i="3"/>
  <c r="A1856" i="3"/>
  <c r="N1855" i="3"/>
  <c r="X1855" i="3" s="1"/>
  <c r="D1855" i="3"/>
  <c r="A1855" i="3"/>
  <c r="N1854" i="3"/>
  <c r="U1854" i="3" s="1"/>
  <c r="D1854" i="3"/>
  <c r="A1854" i="3"/>
  <c r="X1853" i="3"/>
  <c r="U1853" i="3"/>
  <c r="D1853" i="3"/>
  <c r="A1853" i="3"/>
  <c r="X1852" i="3"/>
  <c r="U1852" i="3"/>
  <c r="D1852" i="3"/>
  <c r="A1852" i="3"/>
  <c r="N1851" i="3"/>
  <c r="X1851" i="3" s="1"/>
  <c r="D1851" i="3"/>
  <c r="A1851" i="3"/>
  <c r="N1850" i="3"/>
  <c r="X1850" i="3" s="1"/>
  <c r="D1850" i="3"/>
  <c r="A1850" i="3"/>
  <c r="N1849" i="3"/>
  <c r="U1849" i="3" s="1"/>
  <c r="D1849" i="3"/>
  <c r="A1849" i="3"/>
  <c r="N1848" i="3"/>
  <c r="U1848" i="3" s="1"/>
  <c r="D1848" i="3"/>
  <c r="X169" i="3"/>
  <c r="N169" i="3"/>
  <c r="L169" i="3"/>
  <c r="D169" i="3"/>
  <c r="A169" i="3"/>
  <c r="W169" i="3" s="1"/>
  <c r="X168" i="3"/>
  <c r="N168" i="3"/>
  <c r="L168" i="3"/>
  <c r="D168" i="3"/>
  <c r="A168" i="3"/>
  <c r="W168" i="3" s="1"/>
  <c r="X167" i="3"/>
  <c r="N167" i="3"/>
  <c r="L167" i="3"/>
  <c r="D167" i="3"/>
  <c r="A167" i="3"/>
  <c r="W167" i="3" s="1"/>
  <c r="X166" i="3"/>
  <c r="N166" i="3"/>
  <c r="L166" i="3"/>
  <c r="D166" i="3"/>
  <c r="A166" i="3"/>
  <c r="W166" i="3" s="1"/>
  <c r="X165" i="3"/>
  <c r="N165" i="3"/>
  <c r="L165" i="3"/>
  <c r="D165" i="3"/>
  <c r="A165" i="3"/>
  <c r="W165" i="3" s="1"/>
  <c r="X164" i="3"/>
  <c r="N164" i="3"/>
  <c r="L164" i="3"/>
  <c r="D164" i="3"/>
  <c r="A182" i="3"/>
  <c r="W182" i="3" s="1"/>
  <c r="D182" i="3"/>
  <c r="L182" i="3"/>
  <c r="N182" i="3"/>
  <c r="X182" i="3"/>
  <c r="N3247" i="3"/>
  <c r="X3247" i="3" s="1"/>
  <c r="D3247" i="3"/>
  <c r="A3247" i="3"/>
  <c r="N3246" i="3"/>
  <c r="X3246" i="3" s="1"/>
  <c r="D3246" i="3"/>
  <c r="A3246" i="3"/>
  <c r="N3245" i="3"/>
  <c r="X3245" i="3" s="1"/>
  <c r="D3245" i="3"/>
  <c r="A3245" i="3"/>
  <c r="N3244" i="3"/>
  <c r="X3244" i="3" s="1"/>
  <c r="D3244" i="3"/>
  <c r="A3244" i="3"/>
  <c r="N3243" i="3"/>
  <c r="X3243" i="3" s="1"/>
  <c r="D3243" i="3"/>
  <c r="A3243" i="3"/>
  <c r="N3242" i="3"/>
  <c r="X3242" i="3" s="1"/>
  <c r="D3242" i="3"/>
  <c r="A3242" i="3"/>
  <c r="N3241" i="3"/>
  <c r="X3241" i="3" s="1"/>
  <c r="D3241" i="3"/>
  <c r="A3241" i="3"/>
  <c r="N3240" i="3"/>
  <c r="U3240" i="3" s="1"/>
  <c r="D3240" i="3"/>
  <c r="A3240" i="3"/>
  <c r="N3239" i="3"/>
  <c r="X3239" i="3" s="1"/>
  <c r="D3239" i="3"/>
  <c r="A3239" i="3"/>
  <c r="X3238" i="3"/>
  <c r="U3238" i="3"/>
  <c r="D3238" i="3"/>
  <c r="A3238" i="3"/>
  <c r="X3237" i="3"/>
  <c r="U3237" i="3"/>
  <c r="D3237" i="3"/>
  <c r="A3237" i="3"/>
  <c r="X3236" i="3"/>
  <c r="U3236" i="3"/>
  <c r="D3236" i="3"/>
  <c r="A3236" i="3"/>
  <c r="X3235" i="3"/>
  <c r="U3235" i="3"/>
  <c r="D3235" i="3"/>
  <c r="A3235" i="3"/>
  <c r="X3234" i="3"/>
  <c r="U3234" i="3"/>
  <c r="D3234" i="3"/>
  <c r="A3234" i="3"/>
  <c r="X3233" i="3"/>
  <c r="U3233" i="3"/>
  <c r="D3233" i="3"/>
  <c r="A3233" i="3"/>
  <c r="X3232" i="3"/>
  <c r="U3232" i="3"/>
  <c r="D3232" i="3"/>
  <c r="A3232" i="3"/>
  <c r="X3231" i="3"/>
  <c r="U3231" i="3"/>
  <c r="D3231" i="3"/>
  <c r="A3231" i="3"/>
  <c r="X3230" i="3"/>
  <c r="U3230" i="3"/>
  <c r="D3230" i="3"/>
  <c r="A3230" i="3"/>
  <c r="X3229" i="3"/>
  <c r="U3229" i="3"/>
  <c r="D3229" i="3"/>
  <c r="A3229" i="3"/>
  <c r="X3228" i="3"/>
  <c r="U3228" i="3"/>
  <c r="D3228" i="3"/>
  <c r="A3228" i="3"/>
  <c r="X3227" i="3"/>
  <c r="U3227" i="3"/>
  <c r="D3227" i="3"/>
  <c r="N2134" i="3"/>
  <c r="X2134" i="3" s="1"/>
  <c r="D2134" i="3"/>
  <c r="A2134" i="3"/>
  <c r="N2133" i="3"/>
  <c r="X2133" i="3" s="1"/>
  <c r="D2133" i="3"/>
  <c r="A2133" i="3"/>
  <c r="N2132" i="3"/>
  <c r="X2132" i="3" s="1"/>
  <c r="D2132" i="3"/>
  <c r="A2132" i="3"/>
  <c r="N2131" i="3"/>
  <c r="X2131" i="3" s="1"/>
  <c r="D2131" i="3"/>
  <c r="A2131" i="3"/>
  <c r="N2130" i="3"/>
  <c r="X2130" i="3" s="1"/>
  <c r="D2130" i="3"/>
  <c r="A2130" i="3"/>
  <c r="N2129" i="3"/>
  <c r="X2129" i="3" s="1"/>
  <c r="D2129" i="3"/>
  <c r="A2129" i="3"/>
  <c r="N2128" i="3"/>
  <c r="X2128" i="3" s="1"/>
  <c r="D2128" i="3"/>
  <c r="A2128" i="3"/>
  <c r="N2127" i="3"/>
  <c r="U2127" i="3" s="1"/>
  <c r="D2127" i="3"/>
  <c r="A2127" i="3"/>
  <c r="N2126" i="3"/>
  <c r="X2126" i="3" s="1"/>
  <c r="D2126" i="3"/>
  <c r="A2126" i="3"/>
  <c r="X2125" i="3"/>
  <c r="U2125" i="3"/>
  <c r="D2125" i="3"/>
  <c r="A2125" i="3"/>
  <c r="X2124" i="3"/>
  <c r="U2124" i="3"/>
  <c r="D2124" i="3"/>
  <c r="A2124" i="3"/>
  <c r="X2123" i="3"/>
  <c r="U2123" i="3"/>
  <c r="D2123" i="3"/>
  <c r="A2123" i="3"/>
  <c r="X2122" i="3"/>
  <c r="U2122" i="3"/>
  <c r="D2122" i="3"/>
  <c r="A2122" i="3"/>
  <c r="X2121" i="3"/>
  <c r="U2121" i="3"/>
  <c r="D2121" i="3"/>
  <c r="A2121" i="3"/>
  <c r="X2120" i="3"/>
  <c r="U2120" i="3"/>
  <c r="D2120" i="3"/>
  <c r="A2120" i="3"/>
  <c r="X2119" i="3"/>
  <c r="U2119" i="3"/>
  <c r="D2119" i="3"/>
  <c r="A2119" i="3"/>
  <c r="X2118" i="3"/>
  <c r="U2118" i="3"/>
  <c r="D2118" i="3"/>
  <c r="A2118" i="3"/>
  <c r="X2117" i="3"/>
  <c r="U2117" i="3"/>
  <c r="D2117" i="3"/>
  <c r="A2117" i="3"/>
  <c r="X2116" i="3"/>
  <c r="U2116" i="3"/>
  <c r="D2116" i="3"/>
  <c r="A2116" i="3"/>
  <c r="N2115" i="3"/>
  <c r="X2115" i="3" s="1"/>
  <c r="D2115" i="3"/>
  <c r="A2115" i="3"/>
  <c r="N2114" i="3"/>
  <c r="X2114" i="3" s="1"/>
  <c r="D2114" i="3"/>
  <c r="A2114" i="3"/>
  <c r="X2113" i="3"/>
  <c r="U2113" i="3"/>
  <c r="D2113" i="3"/>
  <c r="A2113" i="3"/>
  <c r="X2112" i="3"/>
  <c r="U2112" i="3"/>
  <c r="D2112" i="3"/>
  <c r="N2875" i="3"/>
  <c r="X2875" i="3" s="1"/>
  <c r="D2875" i="3"/>
  <c r="A2875" i="3"/>
  <c r="N2874" i="3"/>
  <c r="X2874" i="3" s="1"/>
  <c r="D2874" i="3"/>
  <c r="A2874" i="3"/>
  <c r="N2873" i="3"/>
  <c r="X2873" i="3" s="1"/>
  <c r="D2873" i="3"/>
  <c r="A2873" i="3"/>
  <c r="N2872" i="3"/>
  <c r="X2872" i="3" s="1"/>
  <c r="D2872" i="3"/>
  <c r="A2872" i="3"/>
  <c r="N2871" i="3"/>
  <c r="X2871" i="3" s="1"/>
  <c r="D2871" i="3"/>
  <c r="A2871" i="3"/>
  <c r="N2870" i="3"/>
  <c r="X2870" i="3" s="1"/>
  <c r="D2870" i="3"/>
  <c r="A2870" i="3"/>
  <c r="N2869" i="3"/>
  <c r="X2869" i="3" s="1"/>
  <c r="D2869" i="3"/>
  <c r="A2869" i="3"/>
  <c r="N2868" i="3"/>
  <c r="X2868" i="3" s="1"/>
  <c r="D2868" i="3"/>
  <c r="A2868" i="3"/>
  <c r="N2867" i="3"/>
  <c r="X2867" i="3" s="1"/>
  <c r="D2867" i="3"/>
  <c r="A2867" i="3"/>
  <c r="X2866" i="3"/>
  <c r="U2866" i="3"/>
  <c r="D2866" i="3"/>
  <c r="A2866" i="3"/>
  <c r="X2865" i="3"/>
  <c r="U2865" i="3"/>
  <c r="D2865" i="3"/>
  <c r="A2865" i="3"/>
  <c r="X2864" i="3"/>
  <c r="U2864" i="3"/>
  <c r="D2864" i="3"/>
  <c r="A2864" i="3"/>
  <c r="X2863" i="3"/>
  <c r="U2863" i="3"/>
  <c r="D2863" i="3"/>
  <c r="A2863" i="3"/>
  <c r="X2862" i="3"/>
  <c r="U2862" i="3"/>
  <c r="D2862" i="3"/>
  <c r="A2862" i="3"/>
  <c r="X2861" i="3"/>
  <c r="U2861" i="3"/>
  <c r="D2861" i="3"/>
  <c r="A2861" i="3"/>
  <c r="X2860" i="3"/>
  <c r="U2860" i="3"/>
  <c r="D2860" i="3"/>
  <c r="A2860" i="3"/>
  <c r="X2859" i="3"/>
  <c r="U2859" i="3"/>
  <c r="D2859" i="3"/>
  <c r="A2859" i="3"/>
  <c r="X2858" i="3"/>
  <c r="U2858" i="3"/>
  <c r="D2858" i="3"/>
  <c r="A2858" i="3"/>
  <c r="X2857" i="3"/>
  <c r="U2857" i="3"/>
  <c r="D2857" i="3"/>
  <c r="A2857" i="3"/>
  <c r="X2856" i="3"/>
  <c r="U2856" i="3"/>
  <c r="D2856" i="3"/>
  <c r="A2856" i="3"/>
  <c r="N2855" i="3"/>
  <c r="X2855" i="3" s="1"/>
  <c r="D2855" i="3"/>
  <c r="A2855" i="3"/>
  <c r="N2854" i="3"/>
  <c r="U2854" i="3" s="1"/>
  <c r="D2854" i="3"/>
  <c r="A2854" i="3"/>
  <c r="N2853" i="3"/>
  <c r="X2853" i="3" s="1"/>
  <c r="D2853" i="3"/>
  <c r="A2853" i="3"/>
  <c r="N2852" i="3"/>
  <c r="X2852" i="3" s="1"/>
  <c r="D2852" i="3"/>
  <c r="A2852" i="3"/>
  <c r="N2851" i="3"/>
  <c r="X2851" i="3" s="1"/>
  <c r="D2851" i="3"/>
  <c r="O6774" i="3"/>
  <c r="N6774" i="3"/>
  <c r="U6774" i="3" s="1"/>
  <c r="A6774" i="3"/>
  <c r="O6773" i="3"/>
  <c r="N6773" i="3"/>
  <c r="U6773" i="3" s="1"/>
  <c r="U4918" i="3"/>
  <c r="D4918" i="3"/>
  <c r="A4918" i="3"/>
  <c r="U4917" i="3"/>
  <c r="D4917" i="3"/>
  <c r="A4917" i="3"/>
  <c r="U4916" i="3"/>
  <c r="D4916" i="3"/>
  <c r="A4916" i="3"/>
  <c r="U4915" i="3"/>
  <c r="L4915" i="3"/>
  <c r="D4915" i="3"/>
  <c r="A4915" i="3"/>
  <c r="U4914" i="3"/>
  <c r="D4914" i="3"/>
  <c r="A4914" i="3"/>
  <c r="U4913" i="3"/>
  <c r="D4913" i="3"/>
  <c r="A4913" i="3"/>
  <c r="U4912" i="3"/>
  <c r="D4912" i="3"/>
  <c r="A4912" i="3"/>
  <c r="U4911" i="3"/>
  <c r="D4911" i="3"/>
  <c r="A4911" i="3"/>
  <c r="U4910" i="3"/>
  <c r="L4910" i="3"/>
  <c r="D4910" i="3"/>
  <c r="A1790" i="3"/>
  <c r="N1761" i="3"/>
  <c r="X1761" i="3" s="1"/>
  <c r="D1761" i="3"/>
  <c r="A1761" i="3"/>
  <c r="N1760" i="3"/>
  <c r="X1760" i="3" s="1"/>
  <c r="D1760" i="3"/>
  <c r="A1760" i="3"/>
  <c r="N1759" i="3"/>
  <c r="X1759" i="3" s="1"/>
  <c r="D1759" i="3"/>
  <c r="A1759" i="3"/>
  <c r="N1758" i="3"/>
  <c r="X1758" i="3" s="1"/>
  <c r="D1758" i="3"/>
  <c r="A1758" i="3"/>
  <c r="N1757" i="3"/>
  <c r="U1757" i="3" s="1"/>
  <c r="D1757" i="3"/>
  <c r="A1757" i="3"/>
  <c r="N1756" i="3"/>
  <c r="X1756" i="3" s="1"/>
  <c r="D1756" i="3"/>
  <c r="A1756" i="3"/>
  <c r="N1755" i="3"/>
  <c r="X1755" i="3" s="1"/>
  <c r="D1755" i="3"/>
  <c r="A1755" i="3"/>
  <c r="N1754" i="3"/>
  <c r="X1754" i="3" s="1"/>
  <c r="D1754" i="3"/>
  <c r="A1754" i="3"/>
  <c r="N1753" i="3"/>
  <c r="U1753" i="3" s="1"/>
  <c r="D1753" i="3"/>
  <c r="A1753" i="3"/>
  <c r="X1752" i="3"/>
  <c r="U1752" i="3"/>
  <c r="D1752" i="3"/>
  <c r="A1752" i="3"/>
  <c r="X1751" i="3"/>
  <c r="U1751" i="3"/>
  <c r="D1751" i="3"/>
  <c r="A1751" i="3"/>
  <c r="X1750" i="3"/>
  <c r="U1750" i="3"/>
  <c r="D1750" i="3"/>
  <c r="A1750" i="3"/>
  <c r="X1749" i="3"/>
  <c r="U1749" i="3"/>
  <c r="D1749" i="3"/>
  <c r="A1749" i="3"/>
  <c r="X1748" i="3"/>
  <c r="U1748" i="3"/>
  <c r="D1748" i="3"/>
  <c r="A1748" i="3"/>
  <c r="N1747" i="3"/>
  <c r="X1747" i="3" s="1"/>
  <c r="D1747" i="3"/>
  <c r="A1747" i="3"/>
  <c r="N1746" i="3"/>
  <c r="X1746" i="3" s="1"/>
  <c r="D1746" i="3"/>
  <c r="A1746" i="3"/>
  <c r="N1745" i="3"/>
  <c r="X1745" i="3" s="1"/>
  <c r="D1745" i="3"/>
  <c r="A1745" i="3"/>
  <c r="N1744" i="3"/>
  <c r="U1744" i="3" s="1"/>
  <c r="D1744" i="3"/>
  <c r="A1744" i="3"/>
  <c r="N1743" i="3"/>
  <c r="X1743" i="3" s="1"/>
  <c r="D1743" i="3"/>
  <c r="A1743" i="3"/>
  <c r="N1742" i="3"/>
  <c r="X1742" i="3" s="1"/>
  <c r="D1742" i="3"/>
  <c r="A1742" i="3"/>
  <c r="X1741" i="3"/>
  <c r="U1741" i="3"/>
  <c r="D1741" i="3"/>
  <c r="A1741" i="3"/>
  <c r="X1740" i="3"/>
  <c r="U1740" i="3"/>
  <c r="D1740" i="3"/>
  <c r="A1740" i="3"/>
  <c r="N1739" i="3"/>
  <c r="U1739" i="3" s="1"/>
  <c r="D1739" i="3"/>
  <c r="A1739" i="3"/>
  <c r="N1738" i="3"/>
  <c r="X1738" i="3" s="1"/>
  <c r="D1738" i="3"/>
  <c r="A1738" i="3"/>
  <c r="N1737" i="3"/>
  <c r="X1737" i="3" s="1"/>
  <c r="D1737" i="3"/>
  <c r="A1737" i="3"/>
  <c r="N1736" i="3"/>
  <c r="X1736" i="3" s="1"/>
  <c r="D1736" i="3"/>
  <c r="A1736" i="3"/>
  <c r="N1735" i="3"/>
  <c r="U1735" i="3" s="1"/>
  <c r="D1735" i="3"/>
  <c r="AA16" i="88"/>
  <c r="U16" i="88"/>
  <c r="AD16" i="88"/>
  <c r="AF16" i="88"/>
  <c r="T16" i="88"/>
  <c r="AC16" i="88"/>
  <c r="Z18" i="88"/>
  <c r="AB16" i="88"/>
  <c r="AE16" i="88"/>
  <c r="X16" i="88" l="1"/>
  <c r="V16" i="88"/>
  <c r="W16" i="88"/>
  <c r="Y20" i="88"/>
  <c r="S17" i="88"/>
  <c r="R17" i="88"/>
  <c r="A17" i="88"/>
  <c r="U1832" i="3"/>
  <c r="X1833" i="3"/>
  <c r="U1826" i="3"/>
  <c r="U1827" i="3"/>
  <c r="U1834" i="3"/>
  <c r="U1828" i="3"/>
  <c r="U1835" i="3"/>
  <c r="U1829" i="3"/>
  <c r="U1836" i="3"/>
  <c r="X2940" i="3"/>
  <c r="U2941" i="3"/>
  <c r="X2954" i="3"/>
  <c r="U3277" i="3"/>
  <c r="U3282" i="3"/>
  <c r="U3285" i="3"/>
  <c r="X3286" i="3"/>
  <c r="U3290" i="3"/>
  <c r="X2344" i="3"/>
  <c r="U2345" i="3"/>
  <c r="X2948" i="3"/>
  <c r="U2949" i="3"/>
  <c r="X2953" i="3"/>
  <c r="U3291" i="3"/>
  <c r="U3292" i="3"/>
  <c r="U2962" i="3"/>
  <c r="X2961" i="3"/>
  <c r="X3278" i="3"/>
  <c r="U3283" i="3"/>
  <c r="U3284" i="3"/>
  <c r="U2955" i="3"/>
  <c r="U2963" i="3"/>
  <c r="U2321" i="3"/>
  <c r="U2952" i="3"/>
  <c r="U2956" i="3"/>
  <c r="U2964" i="3"/>
  <c r="U2329" i="3"/>
  <c r="X2348" i="3"/>
  <c r="U2349" i="3"/>
  <c r="U2421" i="3"/>
  <c r="X2318" i="3"/>
  <c r="U2319" i="3"/>
  <c r="U2322" i="3"/>
  <c r="U2325" i="3"/>
  <c r="X2340" i="3"/>
  <c r="U2341" i="3"/>
  <c r="U2942" i="3"/>
  <c r="U2950" i="3"/>
  <c r="U2323" i="3"/>
  <c r="U2326" i="3"/>
  <c r="X2336" i="3"/>
  <c r="U2337" i="3"/>
  <c r="U2939" i="3"/>
  <c r="U2943" i="3"/>
  <c r="U2951" i="3"/>
  <c r="U2331" i="3"/>
  <c r="U2334" i="3"/>
  <c r="U2338" i="3"/>
  <c r="U2342" i="3"/>
  <c r="U2346" i="3"/>
  <c r="U2350" i="3"/>
  <c r="U2418" i="3"/>
  <c r="U2317" i="3"/>
  <c r="U2327" i="3"/>
  <c r="U2330" i="3"/>
  <c r="U2335" i="3"/>
  <c r="U2339" i="3"/>
  <c r="U2343" i="3"/>
  <c r="U2347" i="3"/>
  <c r="U2351" i="3"/>
  <c r="U2419" i="3"/>
  <c r="U2316" i="3"/>
  <c r="U2320" i="3"/>
  <c r="U2324" i="3"/>
  <c r="U2328" i="3"/>
  <c r="U2332" i="3"/>
  <c r="U2333" i="3"/>
  <c r="X1849" i="3"/>
  <c r="U2426" i="3"/>
  <c r="U2414" i="3"/>
  <c r="U2420" i="3"/>
  <c r="U2427" i="3"/>
  <c r="U2415" i="3"/>
  <c r="X1854" i="3"/>
  <c r="U1855" i="3"/>
  <c r="U2170" i="3"/>
  <c r="U2422" i="3"/>
  <c r="U2428" i="3"/>
  <c r="U2168" i="3"/>
  <c r="X2171" i="3"/>
  <c r="U2423" i="3"/>
  <c r="U2429" i="3"/>
  <c r="U2169" i="3"/>
  <c r="U2176" i="3"/>
  <c r="U2177" i="3"/>
  <c r="X1848" i="3"/>
  <c r="X2127" i="3"/>
  <c r="U2128" i="3"/>
  <c r="U1850" i="3"/>
  <c r="U1856" i="3"/>
  <c r="U1851" i="3"/>
  <c r="U1857" i="3"/>
  <c r="X2854" i="3"/>
  <c r="U2134" i="3"/>
  <c r="U2869" i="3"/>
  <c r="U3243" i="3"/>
  <c r="U3239" i="3"/>
  <c r="X3240" i="3"/>
  <c r="U3241" i="3"/>
  <c r="U3244" i="3"/>
  <c r="U3245" i="3"/>
  <c r="U2873" i="3"/>
  <c r="U3242" i="3"/>
  <c r="U3246" i="3"/>
  <c r="U2114" i="3"/>
  <c r="U2131" i="3"/>
  <c r="U3247" i="3"/>
  <c r="U2132" i="3"/>
  <c r="U2853" i="3"/>
  <c r="U2868" i="3"/>
  <c r="U2872" i="3"/>
  <c r="U2115" i="3"/>
  <c r="U2129" i="3"/>
  <c r="U2133" i="3"/>
  <c r="U2126" i="3"/>
  <c r="U2130" i="3"/>
  <c r="U2851" i="3"/>
  <c r="U2855" i="3"/>
  <c r="U2870" i="3"/>
  <c r="U2874" i="3"/>
  <c r="U2852" i="3"/>
  <c r="U2867" i="3"/>
  <c r="U2871" i="3"/>
  <c r="U2875" i="3"/>
  <c r="U1738" i="3"/>
  <c r="X1744" i="3"/>
  <c r="U1745" i="3"/>
  <c r="X1753" i="3"/>
  <c r="U1754" i="3"/>
  <c r="X1757" i="3"/>
  <c r="U1758" i="3"/>
  <c r="X1735" i="3"/>
  <c r="U1736" i="3"/>
  <c r="X1739" i="3"/>
  <c r="U1742" i="3"/>
  <c r="U1746" i="3"/>
  <c r="U1755" i="3"/>
  <c r="U1759" i="3"/>
  <c r="U1737" i="3"/>
  <c r="U1743" i="3"/>
  <c r="U1747" i="3"/>
  <c r="U1756" i="3"/>
  <c r="U1760" i="3"/>
  <c r="U1761" i="3"/>
  <c r="AA17" i="88"/>
  <c r="U17" i="88"/>
  <c r="AC17" i="88"/>
  <c r="AF17" i="88"/>
  <c r="AB17" i="88"/>
  <c r="Z19" i="88"/>
  <c r="T17" i="88"/>
  <c r="AD17" i="88"/>
  <c r="AE17" i="88"/>
  <c r="W17" i="88" l="1"/>
  <c r="X17" i="88"/>
  <c r="V17" i="88"/>
  <c r="Y21" i="88"/>
  <c r="A18" i="88"/>
  <c r="R18" i="88"/>
  <c r="S18" i="88"/>
  <c r="X141" i="3"/>
  <c r="N141" i="3"/>
  <c r="L141" i="3"/>
  <c r="D141" i="3"/>
  <c r="A141" i="3"/>
  <c r="W141" i="3" s="1"/>
  <c r="X140" i="3"/>
  <c r="N140" i="3"/>
  <c r="L140" i="3"/>
  <c r="D140" i="3"/>
  <c r="A140" i="3"/>
  <c r="W140" i="3" s="1"/>
  <c r="X139" i="3"/>
  <c r="N139" i="3"/>
  <c r="L139" i="3"/>
  <c r="D139" i="3"/>
  <c r="A139" i="3"/>
  <c r="W139" i="3" s="1"/>
  <c r="X138" i="3"/>
  <c r="N138" i="3"/>
  <c r="L138" i="3"/>
  <c r="D138" i="3"/>
  <c r="A138" i="3"/>
  <c r="W138" i="3" s="1"/>
  <c r="X137" i="3"/>
  <c r="N137" i="3"/>
  <c r="L137" i="3"/>
  <c r="D137" i="3"/>
  <c r="A137" i="3"/>
  <c r="W137" i="3" s="1"/>
  <c r="X136" i="3"/>
  <c r="N136" i="3"/>
  <c r="L136" i="3"/>
  <c r="D136" i="3"/>
  <c r="A136" i="3"/>
  <c r="W136" i="3" s="1"/>
  <c r="X135" i="3"/>
  <c r="N135" i="3"/>
  <c r="L135" i="3"/>
  <c r="D135" i="3"/>
  <c r="A135" i="3"/>
  <c r="W135" i="3" s="1"/>
  <c r="X134" i="3"/>
  <c r="N134" i="3"/>
  <c r="L134" i="3"/>
  <c r="D134" i="3"/>
  <c r="A134" i="3"/>
  <c r="W134" i="3" s="1"/>
  <c r="X133" i="3"/>
  <c r="N133" i="3"/>
  <c r="L133" i="3"/>
  <c r="D133" i="3"/>
  <c r="AB18" i="88"/>
  <c r="U18" i="88"/>
  <c r="AD18" i="88"/>
  <c r="AC18" i="88"/>
  <c r="AF18" i="88"/>
  <c r="T18" i="88"/>
  <c r="AA18" i="88"/>
  <c r="Z20" i="88"/>
  <c r="AE18" i="88"/>
  <c r="V18" i="88" l="1"/>
  <c r="X18" i="88"/>
  <c r="W18" i="88"/>
  <c r="Y22" i="88"/>
  <c r="A19" i="88"/>
  <c r="S19" i="88"/>
  <c r="R19" i="88"/>
  <c r="N1801" i="3"/>
  <c r="X1801" i="3" s="1"/>
  <c r="D1801" i="3"/>
  <c r="A1801" i="3"/>
  <c r="N1800" i="3"/>
  <c r="X1800" i="3" s="1"/>
  <c r="D1800" i="3"/>
  <c r="A1800" i="3"/>
  <c r="N1799" i="3"/>
  <c r="X1799" i="3" s="1"/>
  <c r="D1799" i="3"/>
  <c r="A1799" i="3"/>
  <c r="N1798" i="3"/>
  <c r="U1798" i="3" s="1"/>
  <c r="D1798" i="3"/>
  <c r="A1798" i="3"/>
  <c r="N1797" i="3"/>
  <c r="X1797" i="3" s="1"/>
  <c r="D1797" i="3"/>
  <c r="A1797" i="3"/>
  <c r="N1796" i="3"/>
  <c r="X1796" i="3" s="1"/>
  <c r="D1796" i="3"/>
  <c r="A1796" i="3"/>
  <c r="N1774" i="3"/>
  <c r="X1774" i="3" s="1"/>
  <c r="D1774" i="3"/>
  <c r="A1774" i="3"/>
  <c r="N1773" i="3"/>
  <c r="X1773" i="3" s="1"/>
  <c r="D1773" i="3"/>
  <c r="A1773" i="3"/>
  <c r="N1772" i="3"/>
  <c r="X1772" i="3" s="1"/>
  <c r="D1772" i="3"/>
  <c r="A1772" i="3"/>
  <c r="N1771" i="3"/>
  <c r="U1771" i="3" s="1"/>
  <c r="D1771" i="3"/>
  <c r="A1771" i="3"/>
  <c r="N1770" i="3"/>
  <c r="X1770" i="3" s="1"/>
  <c r="D1770" i="3"/>
  <c r="A1770" i="3"/>
  <c r="N1769" i="3"/>
  <c r="X1769" i="3" s="1"/>
  <c r="D1769" i="3"/>
  <c r="A1769" i="3"/>
  <c r="N1720" i="3"/>
  <c r="X1720" i="3" s="1"/>
  <c r="D1720" i="3"/>
  <c r="A1720" i="3"/>
  <c r="N1719" i="3"/>
  <c r="X1719" i="3" s="1"/>
  <c r="D1719" i="3"/>
  <c r="A1719" i="3"/>
  <c r="N1718" i="3"/>
  <c r="X1718" i="3" s="1"/>
  <c r="D1718" i="3"/>
  <c r="A1718" i="3"/>
  <c r="N1717" i="3"/>
  <c r="X1717" i="3" s="1"/>
  <c r="D1717" i="3"/>
  <c r="A1717" i="3"/>
  <c r="N1716" i="3"/>
  <c r="X1716" i="3" s="1"/>
  <c r="D1716" i="3"/>
  <c r="A1716" i="3"/>
  <c r="N1715" i="3"/>
  <c r="X1715" i="3" s="1"/>
  <c r="D1715" i="3"/>
  <c r="A1715" i="3"/>
  <c r="N1693" i="3"/>
  <c r="X1693" i="3" s="1"/>
  <c r="D1693" i="3"/>
  <c r="A1693" i="3"/>
  <c r="N1692" i="3"/>
  <c r="X1692" i="3" s="1"/>
  <c r="D1692" i="3"/>
  <c r="A1692" i="3"/>
  <c r="N1691" i="3"/>
  <c r="X1691" i="3" s="1"/>
  <c r="D1691" i="3"/>
  <c r="A1691" i="3"/>
  <c r="N1690" i="3"/>
  <c r="U1690" i="3" s="1"/>
  <c r="D1690" i="3"/>
  <c r="A1690" i="3"/>
  <c r="N1689" i="3"/>
  <c r="X1689" i="3" s="1"/>
  <c r="D1689" i="3"/>
  <c r="A1689" i="3"/>
  <c r="N1688" i="3"/>
  <c r="X1688" i="3" s="1"/>
  <c r="D1688" i="3"/>
  <c r="A1688" i="3"/>
  <c r="A1662" i="3"/>
  <c r="D1662" i="3"/>
  <c r="N1662" i="3"/>
  <c r="X1662" i="3" s="1"/>
  <c r="A1666" i="3"/>
  <c r="D1666" i="3"/>
  <c r="N1666" i="3"/>
  <c r="U1666" i="3" s="1"/>
  <c r="A1663" i="3"/>
  <c r="D1663" i="3"/>
  <c r="N1663" i="3"/>
  <c r="U1663" i="3" s="1"/>
  <c r="A1664" i="3"/>
  <c r="D1664" i="3"/>
  <c r="N1664" i="3"/>
  <c r="X1664" i="3" s="1"/>
  <c r="A1665" i="3"/>
  <c r="D1665" i="3"/>
  <c r="N1665" i="3"/>
  <c r="U1665" i="3" s="1"/>
  <c r="N1661" i="3"/>
  <c r="X1661" i="3" s="1"/>
  <c r="D1661" i="3"/>
  <c r="A1661" i="3"/>
  <c r="AF19" i="88"/>
  <c r="T19" i="88"/>
  <c r="AD19" i="88"/>
  <c r="AA19" i="88"/>
  <c r="U19" i="88"/>
  <c r="Z21" i="88"/>
  <c r="AE19" i="88"/>
  <c r="AB19" i="88"/>
  <c r="AC19" i="88"/>
  <c r="W19" i="88" l="1"/>
  <c r="X19" i="88"/>
  <c r="V19" i="88"/>
  <c r="A20" i="88"/>
  <c r="R20" i="88"/>
  <c r="S20" i="88"/>
  <c r="Y23" i="88"/>
  <c r="X1798" i="3"/>
  <c r="U1799" i="3"/>
  <c r="U1770" i="3"/>
  <c r="X1771" i="3"/>
  <c r="U1772" i="3"/>
  <c r="U1796" i="3"/>
  <c r="U1800" i="3"/>
  <c r="U1718" i="3"/>
  <c r="U1797" i="3"/>
  <c r="U1801" i="3"/>
  <c r="U1769" i="3"/>
  <c r="U1773" i="3"/>
  <c r="X1690" i="3"/>
  <c r="U1691" i="3"/>
  <c r="U1717" i="3"/>
  <c r="U1774" i="3"/>
  <c r="U1715" i="3"/>
  <c r="U1719" i="3"/>
  <c r="U1716" i="3"/>
  <c r="U1720" i="3"/>
  <c r="U1692" i="3"/>
  <c r="X1666" i="3"/>
  <c r="U1688" i="3"/>
  <c r="U1664" i="3"/>
  <c r="U1662" i="3"/>
  <c r="U1689" i="3"/>
  <c r="U1693" i="3"/>
  <c r="X1665" i="3"/>
  <c r="X1663" i="3"/>
  <c r="U1661" i="3"/>
  <c r="N2973" i="3"/>
  <c r="X2973" i="3" s="1"/>
  <c r="D2973" i="3"/>
  <c r="A2973" i="3"/>
  <c r="N2972" i="3"/>
  <c r="U2972" i="3" s="1"/>
  <c r="D2972" i="3"/>
  <c r="A2972" i="3"/>
  <c r="X2934" i="3"/>
  <c r="U2934" i="3"/>
  <c r="D2934" i="3"/>
  <c r="A2934" i="3"/>
  <c r="X2933" i="3"/>
  <c r="U2933" i="3"/>
  <c r="D2933" i="3"/>
  <c r="A2933" i="3"/>
  <c r="A2966" i="3"/>
  <c r="D2966" i="3"/>
  <c r="N2966" i="3"/>
  <c r="X2966" i="3" s="1"/>
  <c r="A2967" i="3"/>
  <c r="D2967" i="3"/>
  <c r="N2967" i="3"/>
  <c r="U2967" i="3" s="1"/>
  <c r="A2968" i="3"/>
  <c r="D2968" i="3"/>
  <c r="N2968" i="3"/>
  <c r="X2968" i="3" s="1"/>
  <c r="AF20" i="88"/>
  <c r="Z22" i="88"/>
  <c r="AA20" i="88"/>
  <c r="AE20" i="88"/>
  <c r="T20" i="88"/>
  <c r="AB20" i="88"/>
  <c r="AD20" i="88"/>
  <c r="U20" i="88"/>
  <c r="AC20" i="88"/>
  <c r="V20" i="88" l="1"/>
  <c r="X20" i="88"/>
  <c r="W20" i="88"/>
  <c r="S21" i="88"/>
  <c r="A21" i="88"/>
  <c r="R21" i="88"/>
  <c r="Y24" i="88"/>
  <c r="U2966" i="3"/>
  <c r="X2972" i="3"/>
  <c r="U2973" i="3"/>
  <c r="U2968" i="3"/>
  <c r="X2967" i="3"/>
  <c r="D2927" i="3"/>
  <c r="N2927" i="3"/>
  <c r="X2927" i="3" s="1"/>
  <c r="D2928" i="3"/>
  <c r="N2928" i="3"/>
  <c r="U2928" i="3" s="1"/>
  <c r="D2929" i="3"/>
  <c r="N2929" i="3"/>
  <c r="X2929" i="3" s="1"/>
  <c r="N2977" i="3"/>
  <c r="X2977" i="3" s="1"/>
  <c r="D2977" i="3"/>
  <c r="A2977" i="3"/>
  <c r="N2976" i="3"/>
  <c r="X2976" i="3" s="1"/>
  <c r="D2976" i="3"/>
  <c r="A2976" i="3"/>
  <c r="N2975" i="3"/>
  <c r="X2975" i="3" s="1"/>
  <c r="D2975" i="3"/>
  <c r="A2975" i="3"/>
  <c r="N2974" i="3"/>
  <c r="U2974" i="3" s="1"/>
  <c r="D2974" i="3"/>
  <c r="A2974" i="3"/>
  <c r="N2971" i="3"/>
  <c r="X2971" i="3" s="1"/>
  <c r="D2971" i="3"/>
  <c r="A2971" i="3"/>
  <c r="N2970" i="3"/>
  <c r="X2970" i="3" s="1"/>
  <c r="D2970" i="3"/>
  <c r="A2970" i="3"/>
  <c r="N2969" i="3"/>
  <c r="X2969" i="3" s="1"/>
  <c r="D2969" i="3"/>
  <c r="A2969" i="3"/>
  <c r="N2965" i="3"/>
  <c r="U2965" i="3" s="1"/>
  <c r="D2965" i="3"/>
  <c r="N2938" i="3"/>
  <c r="X2938" i="3" s="1"/>
  <c r="D2938" i="3"/>
  <c r="A2938" i="3"/>
  <c r="N2937" i="3"/>
  <c r="X2937" i="3" s="1"/>
  <c r="D2937" i="3"/>
  <c r="A2937" i="3"/>
  <c r="N2936" i="3"/>
  <c r="X2936" i="3" s="1"/>
  <c r="D2936" i="3"/>
  <c r="A2936" i="3"/>
  <c r="N2935" i="3"/>
  <c r="U2935" i="3" s="1"/>
  <c r="D2935" i="3"/>
  <c r="A2935" i="3"/>
  <c r="X2932" i="3"/>
  <c r="U2932" i="3"/>
  <c r="D2932" i="3"/>
  <c r="A2932" i="3"/>
  <c r="X2931" i="3"/>
  <c r="U2931" i="3"/>
  <c r="D2931" i="3"/>
  <c r="A2931" i="3"/>
  <c r="N2930" i="3"/>
  <c r="X2930" i="3" s="1"/>
  <c r="D2930" i="3"/>
  <c r="A2930" i="3"/>
  <c r="N2926" i="3"/>
  <c r="U2926" i="3" s="1"/>
  <c r="D2926" i="3"/>
  <c r="N2181" i="3"/>
  <c r="X2181" i="3" s="1"/>
  <c r="D2181" i="3"/>
  <c r="A2181" i="3"/>
  <c r="N2180" i="3"/>
  <c r="X2180" i="3" s="1"/>
  <c r="D2180" i="3"/>
  <c r="A2180" i="3"/>
  <c r="N2161" i="3"/>
  <c r="X2161" i="3" s="1"/>
  <c r="D2161" i="3"/>
  <c r="A2161" i="3"/>
  <c r="N2160" i="3"/>
  <c r="X2160" i="3" s="1"/>
  <c r="D2160" i="3"/>
  <c r="A2160" i="3"/>
  <c r="N2138" i="3"/>
  <c r="X2138" i="3" s="1"/>
  <c r="D2138" i="3"/>
  <c r="A2138" i="3"/>
  <c r="N2137" i="3"/>
  <c r="X2137" i="3" s="1"/>
  <c r="D2137" i="3"/>
  <c r="A2137" i="3"/>
  <c r="N2092" i="3"/>
  <c r="X2092" i="3" s="1"/>
  <c r="D2092" i="3"/>
  <c r="A2092" i="3"/>
  <c r="N2091" i="3"/>
  <c r="X2091" i="3" s="1"/>
  <c r="D2091" i="3"/>
  <c r="A2091" i="3"/>
  <c r="N2069" i="3"/>
  <c r="X2069" i="3" s="1"/>
  <c r="D2069" i="3"/>
  <c r="A2069" i="3"/>
  <c r="N2068" i="3"/>
  <c r="X2068" i="3" s="1"/>
  <c r="D2068" i="3"/>
  <c r="A2068" i="3"/>
  <c r="N1861" i="3"/>
  <c r="X1861" i="3" s="1"/>
  <c r="D1861" i="3"/>
  <c r="A1861" i="3"/>
  <c r="N1860" i="3"/>
  <c r="X1860" i="3" s="1"/>
  <c r="D1860" i="3"/>
  <c r="A1860" i="3"/>
  <c r="N1819" i="3"/>
  <c r="X1819" i="3" s="1"/>
  <c r="D1819" i="3"/>
  <c r="A1819" i="3"/>
  <c r="N1818" i="3"/>
  <c r="X1818" i="3" s="1"/>
  <c r="D1818" i="3"/>
  <c r="A1818" i="3"/>
  <c r="N1793" i="3"/>
  <c r="X1793" i="3" s="1"/>
  <c r="D1793" i="3"/>
  <c r="A1793" i="3"/>
  <c r="N1792" i="3"/>
  <c r="X1792" i="3" s="1"/>
  <c r="D1792" i="3"/>
  <c r="A1792" i="3"/>
  <c r="N1766" i="3"/>
  <c r="X1766" i="3" s="1"/>
  <c r="D1766" i="3"/>
  <c r="A1766" i="3"/>
  <c r="N1765" i="3"/>
  <c r="X1765" i="3" s="1"/>
  <c r="D1765" i="3"/>
  <c r="A1765" i="3"/>
  <c r="N1712" i="3"/>
  <c r="X1712" i="3" s="1"/>
  <c r="D1712" i="3"/>
  <c r="A1712" i="3"/>
  <c r="N1711" i="3"/>
  <c r="X1711" i="3" s="1"/>
  <c r="D1711" i="3"/>
  <c r="A1711" i="3"/>
  <c r="N1685" i="3"/>
  <c r="X1685" i="3" s="1"/>
  <c r="D1685" i="3"/>
  <c r="A1685" i="3"/>
  <c r="N1684" i="3"/>
  <c r="X1684" i="3" s="1"/>
  <c r="D1684" i="3"/>
  <c r="A1684" i="3"/>
  <c r="N1658" i="3"/>
  <c r="X1658" i="3" s="1"/>
  <c r="D1658" i="3"/>
  <c r="A1658" i="3"/>
  <c r="N1657" i="3"/>
  <c r="X1657" i="3" s="1"/>
  <c r="D1657" i="3"/>
  <c r="A1657" i="3"/>
  <c r="Q6494" i="3"/>
  <c r="R6494" i="3"/>
  <c r="S6494" i="3"/>
  <c r="T6494" i="3"/>
  <c r="V6494" i="3"/>
  <c r="W6494" i="3"/>
  <c r="Q6495" i="3"/>
  <c r="R6495" i="3"/>
  <c r="S6495" i="3"/>
  <c r="T6495" i="3"/>
  <c r="V6495" i="3"/>
  <c r="W6495" i="3"/>
  <c r="Q6496" i="3"/>
  <c r="R6496" i="3"/>
  <c r="S6496" i="3"/>
  <c r="T6496" i="3"/>
  <c r="V6496" i="3"/>
  <c r="W6496" i="3"/>
  <c r="Q6497" i="3"/>
  <c r="R6497" i="3"/>
  <c r="S6497" i="3"/>
  <c r="T6497" i="3"/>
  <c r="V6497" i="3"/>
  <c r="W6497" i="3"/>
  <c r="Q6498" i="3"/>
  <c r="R6498" i="3"/>
  <c r="S6498" i="3"/>
  <c r="T6498" i="3"/>
  <c r="V6498" i="3"/>
  <c r="W6498" i="3"/>
  <c r="Q6499" i="3"/>
  <c r="R6499" i="3"/>
  <c r="S6499" i="3"/>
  <c r="T6499" i="3"/>
  <c r="V6499" i="3"/>
  <c r="W6499" i="3"/>
  <c r="Q6500" i="3"/>
  <c r="R6500" i="3"/>
  <c r="S6500" i="3"/>
  <c r="T6500" i="3"/>
  <c r="V6500" i="3"/>
  <c r="W6500" i="3"/>
  <c r="Q6502" i="3"/>
  <c r="R6502" i="3"/>
  <c r="S6502" i="3"/>
  <c r="T6502" i="3"/>
  <c r="V6502" i="3"/>
  <c r="W6502" i="3"/>
  <c r="Q6503" i="3"/>
  <c r="R6503" i="3"/>
  <c r="S6503" i="3"/>
  <c r="T6503" i="3"/>
  <c r="V6503" i="3"/>
  <c r="W6503" i="3"/>
  <c r="Q6504" i="3"/>
  <c r="R6504" i="3"/>
  <c r="S6504" i="3"/>
  <c r="T6504" i="3"/>
  <c r="V6504" i="3"/>
  <c r="W6504" i="3"/>
  <c r="Q6505" i="3"/>
  <c r="R6505" i="3"/>
  <c r="S6505" i="3"/>
  <c r="T6505" i="3"/>
  <c r="V6505" i="3"/>
  <c r="W6505" i="3"/>
  <c r="Q6506" i="3"/>
  <c r="R6506" i="3"/>
  <c r="S6506" i="3"/>
  <c r="T6506" i="3"/>
  <c r="V6506" i="3"/>
  <c r="W6506" i="3"/>
  <c r="Q6507" i="3"/>
  <c r="R6507" i="3"/>
  <c r="S6507" i="3"/>
  <c r="T6507" i="3"/>
  <c r="V6507" i="3"/>
  <c r="W6507" i="3"/>
  <c r="Q6508" i="3"/>
  <c r="R6508" i="3"/>
  <c r="S6508" i="3"/>
  <c r="T6508" i="3"/>
  <c r="V6508" i="3"/>
  <c r="W6508" i="3"/>
  <c r="Q6509" i="3"/>
  <c r="R6509" i="3"/>
  <c r="S6509" i="3"/>
  <c r="T6509" i="3"/>
  <c r="V6509" i="3"/>
  <c r="W6509" i="3"/>
  <c r="Q6510" i="3"/>
  <c r="R6510" i="3"/>
  <c r="S6510" i="3"/>
  <c r="T6510" i="3"/>
  <c r="V6510" i="3"/>
  <c r="W6510" i="3"/>
  <c r="Q6511" i="3"/>
  <c r="R6511" i="3"/>
  <c r="S6511" i="3"/>
  <c r="T6511" i="3"/>
  <c r="V6511" i="3"/>
  <c r="W6511" i="3"/>
  <c r="Q6512" i="3"/>
  <c r="R6512" i="3"/>
  <c r="S6512" i="3"/>
  <c r="T6512" i="3"/>
  <c r="V6512" i="3"/>
  <c r="W6512" i="3"/>
  <c r="Q6513" i="3"/>
  <c r="R6513" i="3"/>
  <c r="S6513" i="3"/>
  <c r="T6513" i="3"/>
  <c r="V6513" i="3"/>
  <c r="W6513" i="3"/>
  <c r="Q6514" i="3"/>
  <c r="R6514" i="3"/>
  <c r="S6514" i="3"/>
  <c r="T6514" i="3"/>
  <c r="V6514" i="3"/>
  <c r="W6514" i="3"/>
  <c r="Q6515" i="3"/>
  <c r="R6515" i="3"/>
  <c r="S6515" i="3"/>
  <c r="T6515" i="3"/>
  <c r="V6515" i="3"/>
  <c r="W6515" i="3"/>
  <c r="Q6516" i="3"/>
  <c r="R6516" i="3"/>
  <c r="S6516" i="3"/>
  <c r="T6516" i="3"/>
  <c r="V6516" i="3"/>
  <c r="W6516" i="3"/>
  <c r="Q6517" i="3"/>
  <c r="R6517" i="3"/>
  <c r="S6517" i="3"/>
  <c r="T6517" i="3"/>
  <c r="V6517" i="3"/>
  <c r="W6517" i="3"/>
  <c r="Q6518" i="3"/>
  <c r="R6518" i="3"/>
  <c r="S6518" i="3"/>
  <c r="T6518" i="3"/>
  <c r="V6518" i="3"/>
  <c r="W6518" i="3"/>
  <c r="Q6519" i="3"/>
  <c r="R6519" i="3"/>
  <c r="S6519" i="3"/>
  <c r="T6519" i="3"/>
  <c r="V6519" i="3"/>
  <c r="W6519" i="3"/>
  <c r="Q6520" i="3"/>
  <c r="R6520" i="3"/>
  <c r="S6520" i="3"/>
  <c r="T6520" i="3"/>
  <c r="V6520" i="3"/>
  <c r="W6520" i="3"/>
  <c r="Q6521" i="3"/>
  <c r="R6521" i="3"/>
  <c r="S6521" i="3"/>
  <c r="T6521" i="3"/>
  <c r="V6521" i="3"/>
  <c r="W6521" i="3"/>
  <c r="Q6522" i="3"/>
  <c r="R6522" i="3"/>
  <c r="S6522" i="3"/>
  <c r="T6522" i="3"/>
  <c r="V6522" i="3"/>
  <c r="W6522" i="3"/>
  <c r="Q6523" i="3"/>
  <c r="R6523" i="3"/>
  <c r="S6523" i="3"/>
  <c r="T6523" i="3"/>
  <c r="V6523" i="3"/>
  <c r="W6523" i="3"/>
  <c r="Q6524" i="3"/>
  <c r="R6524" i="3"/>
  <c r="S6524" i="3"/>
  <c r="T6524" i="3"/>
  <c r="V6524" i="3"/>
  <c r="W6524" i="3"/>
  <c r="Q6525" i="3"/>
  <c r="R6525" i="3"/>
  <c r="S6525" i="3"/>
  <c r="T6525" i="3"/>
  <c r="V6525" i="3"/>
  <c r="W6525" i="3"/>
  <c r="Q6601" i="3"/>
  <c r="R6601" i="3"/>
  <c r="S6601" i="3"/>
  <c r="T6601" i="3"/>
  <c r="V6601" i="3"/>
  <c r="W6601" i="3"/>
  <c r="Q6602" i="3"/>
  <c r="R6602" i="3"/>
  <c r="S6602" i="3"/>
  <c r="T6602" i="3"/>
  <c r="V6602" i="3"/>
  <c r="W6602" i="3"/>
  <c r="Q6603" i="3"/>
  <c r="R6603" i="3"/>
  <c r="S6603" i="3"/>
  <c r="T6603" i="3"/>
  <c r="V6603" i="3"/>
  <c r="W6603" i="3"/>
  <c r="Q6604" i="3"/>
  <c r="R6604" i="3"/>
  <c r="S6604" i="3"/>
  <c r="T6604" i="3"/>
  <c r="V6604" i="3"/>
  <c r="W6604" i="3"/>
  <c r="Q6605" i="3"/>
  <c r="R6605" i="3"/>
  <c r="S6605" i="3"/>
  <c r="T6605" i="3"/>
  <c r="V6605" i="3"/>
  <c r="W6605" i="3"/>
  <c r="Q6606" i="3"/>
  <c r="R6606" i="3"/>
  <c r="S6606" i="3"/>
  <c r="T6606" i="3"/>
  <c r="V6606" i="3"/>
  <c r="W6606" i="3"/>
  <c r="Q6607" i="3"/>
  <c r="R6607" i="3"/>
  <c r="S6607" i="3"/>
  <c r="T6607" i="3"/>
  <c r="V6607" i="3"/>
  <c r="W6607" i="3"/>
  <c r="Q6608" i="3"/>
  <c r="R6608" i="3"/>
  <c r="S6608" i="3"/>
  <c r="T6608" i="3"/>
  <c r="V6608" i="3"/>
  <c r="W6608" i="3"/>
  <c r="Q6609" i="3"/>
  <c r="R6609" i="3"/>
  <c r="S6609" i="3"/>
  <c r="T6609" i="3"/>
  <c r="V6609" i="3"/>
  <c r="W6609" i="3"/>
  <c r="Q6610" i="3"/>
  <c r="R6610" i="3"/>
  <c r="S6610" i="3"/>
  <c r="T6610" i="3"/>
  <c r="V6610" i="3"/>
  <c r="W6610" i="3"/>
  <c r="Q6611" i="3"/>
  <c r="R6611" i="3"/>
  <c r="S6611" i="3"/>
  <c r="T6611" i="3"/>
  <c r="V6611" i="3"/>
  <c r="W6611" i="3"/>
  <c r="Q6612" i="3"/>
  <c r="R6612" i="3"/>
  <c r="S6612" i="3"/>
  <c r="T6612" i="3"/>
  <c r="V6612" i="3"/>
  <c r="W6612" i="3"/>
  <c r="Q6613" i="3"/>
  <c r="R6613" i="3"/>
  <c r="S6613" i="3"/>
  <c r="T6613" i="3"/>
  <c r="V6613" i="3"/>
  <c r="W6613" i="3"/>
  <c r="Q6614" i="3"/>
  <c r="R6614" i="3"/>
  <c r="S6614" i="3"/>
  <c r="T6614" i="3"/>
  <c r="V6614" i="3"/>
  <c r="W6614" i="3"/>
  <c r="Q6615" i="3"/>
  <c r="R6615" i="3"/>
  <c r="S6615" i="3"/>
  <c r="T6615" i="3"/>
  <c r="V6615" i="3"/>
  <c r="W6615" i="3"/>
  <c r="Q6616" i="3"/>
  <c r="R6616" i="3"/>
  <c r="S6616" i="3"/>
  <c r="T6616" i="3"/>
  <c r="V6616" i="3"/>
  <c r="W6616" i="3"/>
  <c r="Q6617" i="3"/>
  <c r="R6617" i="3"/>
  <c r="S6617" i="3"/>
  <c r="T6617" i="3"/>
  <c r="V6617" i="3"/>
  <c r="W6617" i="3"/>
  <c r="Q6618" i="3"/>
  <c r="R6618" i="3"/>
  <c r="S6618" i="3"/>
  <c r="T6618" i="3"/>
  <c r="V6618" i="3"/>
  <c r="W6618" i="3"/>
  <c r="Q6619" i="3"/>
  <c r="R6619" i="3"/>
  <c r="S6619" i="3"/>
  <c r="T6619" i="3"/>
  <c r="V6619" i="3"/>
  <c r="W6619" i="3"/>
  <c r="Q6620" i="3"/>
  <c r="R6620" i="3"/>
  <c r="S6620" i="3"/>
  <c r="T6620" i="3"/>
  <c r="V6620" i="3"/>
  <c r="W6620" i="3"/>
  <c r="Q6621" i="3"/>
  <c r="R6621" i="3"/>
  <c r="S6621" i="3"/>
  <c r="T6621" i="3"/>
  <c r="V6621" i="3"/>
  <c r="W6621" i="3"/>
  <c r="Q6622" i="3"/>
  <c r="R6622" i="3"/>
  <c r="S6622" i="3"/>
  <c r="T6622" i="3"/>
  <c r="V6622" i="3"/>
  <c r="W6622" i="3"/>
  <c r="Q6623" i="3"/>
  <c r="R6623" i="3"/>
  <c r="S6623" i="3"/>
  <c r="T6623" i="3"/>
  <c r="V6623" i="3"/>
  <c r="W6623" i="3"/>
  <c r="Q6624" i="3"/>
  <c r="R6624" i="3"/>
  <c r="S6624" i="3"/>
  <c r="T6624" i="3"/>
  <c r="V6624" i="3"/>
  <c r="W6624" i="3"/>
  <c r="Q6625" i="3"/>
  <c r="R6625" i="3"/>
  <c r="S6625" i="3"/>
  <c r="T6625" i="3"/>
  <c r="V6625" i="3"/>
  <c r="W6625" i="3"/>
  <c r="Q6626" i="3"/>
  <c r="R6626" i="3"/>
  <c r="S6626" i="3"/>
  <c r="T6626" i="3"/>
  <c r="V6626" i="3"/>
  <c r="W6626" i="3"/>
  <c r="Q6627" i="3"/>
  <c r="R6627" i="3"/>
  <c r="S6627" i="3"/>
  <c r="T6627" i="3"/>
  <c r="V6627" i="3"/>
  <c r="W6627" i="3"/>
  <c r="Q6628" i="3"/>
  <c r="R6628" i="3"/>
  <c r="S6628" i="3"/>
  <c r="T6628" i="3"/>
  <c r="V6628" i="3"/>
  <c r="W6628" i="3"/>
  <c r="Q6629" i="3"/>
  <c r="R6629" i="3"/>
  <c r="S6629" i="3"/>
  <c r="T6629" i="3"/>
  <c r="V6629" i="3"/>
  <c r="W6629" i="3"/>
  <c r="Q6630" i="3"/>
  <c r="R6630" i="3"/>
  <c r="S6630" i="3"/>
  <c r="T6630" i="3"/>
  <c r="V6630" i="3"/>
  <c r="W6630" i="3"/>
  <c r="Q6631" i="3"/>
  <c r="R6631" i="3"/>
  <c r="S6631" i="3"/>
  <c r="T6631" i="3"/>
  <c r="V6631" i="3"/>
  <c r="W6631" i="3"/>
  <c r="Q6632" i="3"/>
  <c r="R6632" i="3"/>
  <c r="S6632" i="3"/>
  <c r="T6632" i="3"/>
  <c r="V6632" i="3"/>
  <c r="W6632" i="3"/>
  <c r="Q6633" i="3"/>
  <c r="R6633" i="3"/>
  <c r="S6633" i="3"/>
  <c r="T6633" i="3"/>
  <c r="V6633" i="3"/>
  <c r="W6633" i="3"/>
  <c r="Q6634" i="3"/>
  <c r="R6634" i="3"/>
  <c r="S6634" i="3"/>
  <c r="T6634" i="3"/>
  <c r="V6634" i="3"/>
  <c r="W6634" i="3"/>
  <c r="Q6635" i="3"/>
  <c r="R6635" i="3"/>
  <c r="S6635" i="3"/>
  <c r="T6635" i="3"/>
  <c r="V6635" i="3"/>
  <c r="W6635" i="3"/>
  <c r="Q6636" i="3"/>
  <c r="R6636" i="3"/>
  <c r="S6636" i="3"/>
  <c r="T6636" i="3"/>
  <c r="V6636" i="3"/>
  <c r="W6636" i="3"/>
  <c r="Q6637" i="3"/>
  <c r="R6637" i="3"/>
  <c r="S6637" i="3"/>
  <c r="T6637" i="3"/>
  <c r="V6637" i="3"/>
  <c r="W6637" i="3"/>
  <c r="Q6638" i="3"/>
  <c r="R6638" i="3"/>
  <c r="S6638" i="3"/>
  <c r="T6638" i="3"/>
  <c r="V6638" i="3"/>
  <c r="W6638" i="3"/>
  <c r="Q6639" i="3"/>
  <c r="R6639" i="3"/>
  <c r="S6639" i="3"/>
  <c r="T6639" i="3"/>
  <c r="V6639" i="3"/>
  <c r="W6639" i="3"/>
  <c r="Q6640" i="3"/>
  <c r="R6640" i="3"/>
  <c r="S6640" i="3"/>
  <c r="T6640" i="3"/>
  <c r="V6640" i="3"/>
  <c r="W6640" i="3"/>
  <c r="Q6641" i="3"/>
  <c r="R6641" i="3"/>
  <c r="S6641" i="3"/>
  <c r="T6641" i="3"/>
  <c r="V6641" i="3"/>
  <c r="W6641" i="3"/>
  <c r="Q6642" i="3"/>
  <c r="R6642" i="3"/>
  <c r="S6642" i="3"/>
  <c r="T6642" i="3"/>
  <c r="V6642" i="3"/>
  <c r="W6642" i="3"/>
  <c r="Q6643" i="3"/>
  <c r="R6643" i="3"/>
  <c r="S6643" i="3"/>
  <c r="T6643" i="3"/>
  <c r="V6643" i="3"/>
  <c r="W6643" i="3"/>
  <c r="Q6644" i="3"/>
  <c r="R6644" i="3"/>
  <c r="S6644" i="3"/>
  <c r="T6644" i="3"/>
  <c r="V6644" i="3"/>
  <c r="W6644" i="3"/>
  <c r="Q6645" i="3"/>
  <c r="R6645" i="3"/>
  <c r="S6645" i="3"/>
  <c r="T6645" i="3"/>
  <c r="V6645" i="3"/>
  <c r="W6645" i="3"/>
  <c r="Q6646" i="3"/>
  <c r="R6646" i="3"/>
  <c r="S6646" i="3"/>
  <c r="T6646" i="3"/>
  <c r="V6646" i="3"/>
  <c r="W6646" i="3"/>
  <c r="Q6647" i="3"/>
  <c r="R6647" i="3"/>
  <c r="S6647" i="3"/>
  <c r="T6647" i="3"/>
  <c r="V6647" i="3"/>
  <c r="W6647" i="3"/>
  <c r="Q6648" i="3"/>
  <c r="R6648" i="3"/>
  <c r="S6648" i="3"/>
  <c r="T6648" i="3"/>
  <c r="V6648" i="3"/>
  <c r="W6648" i="3"/>
  <c r="Q6649" i="3"/>
  <c r="R6649" i="3"/>
  <c r="S6649" i="3"/>
  <c r="T6649" i="3"/>
  <c r="V6649" i="3"/>
  <c r="W6649" i="3"/>
  <c r="Q6650" i="3"/>
  <c r="R6650" i="3"/>
  <c r="S6650" i="3"/>
  <c r="T6650" i="3"/>
  <c r="V6650" i="3"/>
  <c r="W6650" i="3"/>
  <c r="Q6651" i="3"/>
  <c r="R6651" i="3"/>
  <c r="S6651" i="3"/>
  <c r="T6651" i="3"/>
  <c r="V6651" i="3"/>
  <c r="W6651" i="3"/>
  <c r="Q6652" i="3"/>
  <c r="R6652" i="3"/>
  <c r="S6652" i="3"/>
  <c r="T6652" i="3"/>
  <c r="V6652" i="3"/>
  <c r="W6652" i="3"/>
  <c r="Q6653" i="3"/>
  <c r="R6653" i="3"/>
  <c r="S6653" i="3"/>
  <c r="T6653" i="3"/>
  <c r="V6653" i="3"/>
  <c r="W6653" i="3"/>
  <c r="Q6654" i="3"/>
  <c r="R6654" i="3"/>
  <c r="S6654" i="3"/>
  <c r="T6654" i="3"/>
  <c r="V6654" i="3"/>
  <c r="W6654" i="3"/>
  <c r="Q6655" i="3"/>
  <c r="R6655" i="3"/>
  <c r="S6655" i="3"/>
  <c r="T6655" i="3"/>
  <c r="V6655" i="3"/>
  <c r="W6655" i="3"/>
  <c r="Q6656" i="3"/>
  <c r="R6656" i="3"/>
  <c r="S6656" i="3"/>
  <c r="T6656" i="3"/>
  <c r="V6656" i="3"/>
  <c r="W6656" i="3"/>
  <c r="Q6657" i="3"/>
  <c r="R6657" i="3"/>
  <c r="S6657" i="3"/>
  <c r="T6657" i="3"/>
  <c r="V6657" i="3"/>
  <c r="W6657" i="3"/>
  <c r="Q6658" i="3"/>
  <c r="R6658" i="3"/>
  <c r="S6658" i="3"/>
  <c r="T6658" i="3"/>
  <c r="V6658" i="3"/>
  <c r="W6658" i="3"/>
  <c r="Q6659" i="3"/>
  <c r="R6659" i="3"/>
  <c r="S6659" i="3"/>
  <c r="T6659" i="3"/>
  <c r="V6659" i="3"/>
  <c r="W6659" i="3"/>
  <c r="Q6660" i="3"/>
  <c r="R6660" i="3"/>
  <c r="S6660" i="3"/>
  <c r="T6660" i="3"/>
  <c r="V6660" i="3"/>
  <c r="W6660" i="3"/>
  <c r="Q6661" i="3"/>
  <c r="R6661" i="3"/>
  <c r="S6661" i="3"/>
  <c r="T6661" i="3"/>
  <c r="V6661" i="3"/>
  <c r="W6661" i="3"/>
  <c r="Q6662" i="3"/>
  <c r="R6662" i="3"/>
  <c r="S6662" i="3"/>
  <c r="T6662" i="3"/>
  <c r="V6662" i="3"/>
  <c r="W6662" i="3"/>
  <c r="Q6663" i="3"/>
  <c r="R6663" i="3"/>
  <c r="S6663" i="3"/>
  <c r="T6663" i="3"/>
  <c r="V6663" i="3"/>
  <c r="W6663" i="3"/>
  <c r="Q6664" i="3"/>
  <c r="R6664" i="3"/>
  <c r="S6664" i="3"/>
  <c r="T6664" i="3"/>
  <c r="V6664" i="3"/>
  <c r="W6664" i="3"/>
  <c r="Q6665" i="3"/>
  <c r="R6665" i="3"/>
  <c r="S6665" i="3"/>
  <c r="T6665" i="3"/>
  <c r="V6665" i="3"/>
  <c r="W6665" i="3"/>
  <c r="Q6666" i="3"/>
  <c r="R6666" i="3"/>
  <c r="S6666" i="3"/>
  <c r="T6666" i="3"/>
  <c r="V6666" i="3"/>
  <c r="W6666" i="3"/>
  <c r="Q6667" i="3"/>
  <c r="R6667" i="3"/>
  <c r="S6667" i="3"/>
  <c r="T6667" i="3"/>
  <c r="V6667" i="3"/>
  <c r="W6667" i="3"/>
  <c r="Q6668" i="3"/>
  <c r="R6668" i="3"/>
  <c r="S6668" i="3"/>
  <c r="T6668" i="3"/>
  <c r="V6668" i="3"/>
  <c r="W6668" i="3"/>
  <c r="Q6669" i="3"/>
  <c r="R6669" i="3"/>
  <c r="S6669" i="3"/>
  <c r="T6669" i="3"/>
  <c r="V6669" i="3"/>
  <c r="W6669" i="3"/>
  <c r="Q6670" i="3"/>
  <c r="R6670" i="3"/>
  <c r="S6670" i="3"/>
  <c r="T6670" i="3"/>
  <c r="V6670" i="3"/>
  <c r="W6670" i="3"/>
  <c r="Q6671" i="3"/>
  <c r="R6671" i="3"/>
  <c r="S6671" i="3"/>
  <c r="T6671" i="3"/>
  <c r="V6671" i="3"/>
  <c r="W6671" i="3"/>
  <c r="Q6672" i="3"/>
  <c r="R6672" i="3"/>
  <c r="S6672" i="3"/>
  <c r="T6672" i="3"/>
  <c r="V6672" i="3"/>
  <c r="W6672" i="3"/>
  <c r="Q6673" i="3"/>
  <c r="R6673" i="3"/>
  <c r="S6673" i="3"/>
  <c r="T6673" i="3"/>
  <c r="V6673" i="3"/>
  <c r="W6673" i="3"/>
  <c r="Q6674" i="3"/>
  <c r="R6674" i="3"/>
  <c r="S6674" i="3"/>
  <c r="T6674" i="3"/>
  <c r="V6674" i="3"/>
  <c r="W6674" i="3"/>
  <c r="Q6675" i="3"/>
  <c r="R6675" i="3"/>
  <c r="S6675" i="3"/>
  <c r="T6675" i="3"/>
  <c r="V6675" i="3"/>
  <c r="W6675" i="3"/>
  <c r="Q6676" i="3"/>
  <c r="R6676" i="3"/>
  <c r="S6676" i="3"/>
  <c r="T6676" i="3"/>
  <c r="V6676" i="3"/>
  <c r="W6676" i="3"/>
  <c r="Q6677" i="3"/>
  <c r="R6677" i="3"/>
  <c r="S6677" i="3"/>
  <c r="T6677" i="3"/>
  <c r="V6677" i="3"/>
  <c r="W6677" i="3"/>
  <c r="Q6678" i="3"/>
  <c r="R6678" i="3"/>
  <c r="S6678" i="3"/>
  <c r="T6678" i="3"/>
  <c r="V6678" i="3"/>
  <c r="W6678" i="3"/>
  <c r="Q6679" i="3"/>
  <c r="R6679" i="3"/>
  <c r="S6679" i="3"/>
  <c r="T6679" i="3"/>
  <c r="V6679" i="3"/>
  <c r="W6679" i="3"/>
  <c r="Q6680" i="3"/>
  <c r="R6680" i="3"/>
  <c r="S6680" i="3"/>
  <c r="T6680" i="3"/>
  <c r="V6680" i="3"/>
  <c r="W6680" i="3"/>
  <c r="Q6681" i="3"/>
  <c r="R6681" i="3"/>
  <c r="S6681" i="3"/>
  <c r="T6681" i="3"/>
  <c r="V6681" i="3"/>
  <c r="W6681" i="3"/>
  <c r="Q6684" i="3"/>
  <c r="R6684" i="3"/>
  <c r="S6684" i="3"/>
  <c r="T6684" i="3"/>
  <c r="V6684" i="3"/>
  <c r="W6684" i="3"/>
  <c r="W6493" i="3"/>
  <c r="V6493" i="3"/>
  <c r="T6493" i="3"/>
  <c r="S6493" i="3"/>
  <c r="R6493" i="3"/>
  <c r="Q6493" i="3"/>
  <c r="A6680" i="3"/>
  <c r="K6680" i="3"/>
  <c r="N6680" i="3"/>
  <c r="P6680" i="3"/>
  <c r="A6681" i="3"/>
  <c r="K6681" i="3"/>
  <c r="N6681" i="3"/>
  <c r="P6681" i="3"/>
  <c r="A6684" i="3"/>
  <c r="N6684" i="3"/>
  <c r="P6684" i="3"/>
  <c r="A6679" i="3"/>
  <c r="K6679" i="3"/>
  <c r="N6679" i="3"/>
  <c r="P6679" i="3"/>
  <c r="A6674" i="3"/>
  <c r="K6674" i="3"/>
  <c r="N6674" i="3"/>
  <c r="P6674" i="3"/>
  <c r="A6675" i="3"/>
  <c r="K6675" i="3"/>
  <c r="N6675" i="3"/>
  <c r="P6675" i="3"/>
  <c r="A6676" i="3"/>
  <c r="K6676" i="3"/>
  <c r="N6676" i="3"/>
  <c r="P6676" i="3"/>
  <c r="A6677" i="3"/>
  <c r="K6677" i="3"/>
  <c r="N6677" i="3"/>
  <c r="P6677" i="3"/>
  <c r="A6678" i="3"/>
  <c r="K6678" i="3"/>
  <c r="N6678" i="3"/>
  <c r="P6678" i="3"/>
  <c r="P6673" i="3"/>
  <c r="N6673" i="3"/>
  <c r="K6673" i="3"/>
  <c r="A6673" i="3"/>
  <c r="P6672" i="3"/>
  <c r="N6672" i="3"/>
  <c r="K6672" i="3"/>
  <c r="A6672" i="3"/>
  <c r="P6671" i="3"/>
  <c r="N6671" i="3"/>
  <c r="K6671" i="3"/>
  <c r="A6671" i="3"/>
  <c r="P6670" i="3"/>
  <c r="N6670" i="3"/>
  <c r="K6670" i="3"/>
  <c r="A6670" i="3"/>
  <c r="P6669" i="3"/>
  <c r="N6669" i="3"/>
  <c r="K6669" i="3"/>
  <c r="A6669" i="3"/>
  <c r="A6666" i="3"/>
  <c r="K6666" i="3"/>
  <c r="N6666" i="3"/>
  <c r="P6666" i="3"/>
  <c r="A6667" i="3"/>
  <c r="K6667" i="3"/>
  <c r="N6667" i="3"/>
  <c r="P6667" i="3"/>
  <c r="A6668" i="3"/>
  <c r="K6668" i="3"/>
  <c r="N6668" i="3"/>
  <c r="P6668" i="3"/>
  <c r="P6665" i="3"/>
  <c r="N6665" i="3"/>
  <c r="K6665" i="3"/>
  <c r="A6665" i="3"/>
  <c r="P6664" i="3"/>
  <c r="N6664" i="3"/>
  <c r="K6664" i="3"/>
  <c r="A6664" i="3"/>
  <c r="P6663" i="3"/>
  <c r="N6663" i="3"/>
  <c r="K6663" i="3"/>
  <c r="A6663" i="3"/>
  <c r="P6662" i="3"/>
  <c r="N6662" i="3"/>
  <c r="K6662" i="3"/>
  <c r="A6662" i="3"/>
  <c r="P6661" i="3"/>
  <c r="N6661" i="3"/>
  <c r="K6661" i="3"/>
  <c r="A6661" i="3"/>
  <c r="A6658" i="3"/>
  <c r="K6658" i="3"/>
  <c r="N6658" i="3"/>
  <c r="P6658" i="3"/>
  <c r="A6659" i="3"/>
  <c r="K6659" i="3"/>
  <c r="N6659" i="3"/>
  <c r="P6659" i="3"/>
  <c r="A6660" i="3"/>
  <c r="K6660" i="3"/>
  <c r="N6660" i="3"/>
  <c r="P6660" i="3"/>
  <c r="P6657" i="3"/>
  <c r="N6657" i="3"/>
  <c r="K6657" i="3"/>
  <c r="A6657" i="3"/>
  <c r="A6654" i="3"/>
  <c r="K6654" i="3"/>
  <c r="N6654" i="3"/>
  <c r="P6654" i="3"/>
  <c r="A6655" i="3"/>
  <c r="K6655" i="3"/>
  <c r="N6655" i="3"/>
  <c r="P6655" i="3"/>
  <c r="A6656" i="3"/>
  <c r="K6656" i="3"/>
  <c r="N6656" i="3"/>
  <c r="P6656" i="3"/>
  <c r="P6653" i="3"/>
  <c r="N6653" i="3"/>
  <c r="K6653" i="3"/>
  <c r="A6653" i="3"/>
  <c r="A6652" i="3"/>
  <c r="K6652" i="3"/>
  <c r="N6652" i="3"/>
  <c r="P6652" i="3"/>
  <c r="A6651" i="3"/>
  <c r="K6651" i="3"/>
  <c r="N6651" i="3"/>
  <c r="P6651" i="3"/>
  <c r="A6650" i="3"/>
  <c r="K6650" i="3"/>
  <c r="N6650" i="3"/>
  <c r="P6650" i="3"/>
  <c r="A6649" i="3"/>
  <c r="K6649" i="3"/>
  <c r="N6649" i="3"/>
  <c r="P6649" i="3"/>
  <c r="P6647" i="3"/>
  <c r="N6647" i="3"/>
  <c r="K6647" i="3"/>
  <c r="A6647" i="3"/>
  <c r="A6646" i="3"/>
  <c r="K6646" i="3"/>
  <c r="N6646" i="3"/>
  <c r="P6646" i="3"/>
  <c r="P6645" i="3"/>
  <c r="N6645" i="3"/>
  <c r="K6645" i="3"/>
  <c r="A6645" i="3"/>
  <c r="A6643" i="3"/>
  <c r="K6643" i="3"/>
  <c r="N6643" i="3"/>
  <c r="P6643" i="3"/>
  <c r="A6644" i="3"/>
  <c r="K6644" i="3"/>
  <c r="N6644" i="3"/>
  <c r="P6644" i="3"/>
  <c r="P6642" i="3"/>
  <c r="N6642" i="3"/>
  <c r="K6642" i="3"/>
  <c r="A6642" i="3"/>
  <c r="P6641" i="3"/>
  <c r="N6641" i="3"/>
  <c r="K6641" i="3"/>
  <c r="A6641" i="3"/>
  <c r="P6640" i="3"/>
  <c r="N6640" i="3"/>
  <c r="K6640" i="3"/>
  <c r="A6640" i="3"/>
  <c r="P6639" i="3"/>
  <c r="N6639" i="3"/>
  <c r="K6639" i="3"/>
  <c r="A6639" i="3"/>
  <c r="P6638" i="3"/>
  <c r="N6638" i="3"/>
  <c r="K6638" i="3"/>
  <c r="A6638" i="3"/>
  <c r="P6637" i="3"/>
  <c r="N6637" i="3"/>
  <c r="K6637" i="3"/>
  <c r="A6637" i="3"/>
  <c r="P6636" i="3"/>
  <c r="N6636" i="3"/>
  <c r="K6636" i="3"/>
  <c r="A6636" i="3"/>
  <c r="P6635" i="3"/>
  <c r="N6635" i="3"/>
  <c r="K6635" i="3"/>
  <c r="A6635" i="3"/>
  <c r="P6634" i="3"/>
  <c r="N6634" i="3"/>
  <c r="K6634" i="3"/>
  <c r="A6634" i="3"/>
  <c r="P6633" i="3"/>
  <c r="N6633" i="3"/>
  <c r="K6633" i="3"/>
  <c r="A6633" i="3"/>
  <c r="P6632" i="3"/>
  <c r="N6632" i="3"/>
  <c r="K6632" i="3"/>
  <c r="A6632" i="3"/>
  <c r="P6631" i="3"/>
  <c r="N6631" i="3"/>
  <c r="K6631" i="3"/>
  <c r="A6631" i="3"/>
  <c r="P6630" i="3"/>
  <c r="N6630" i="3"/>
  <c r="K6630" i="3"/>
  <c r="A6630" i="3"/>
  <c r="P6629" i="3"/>
  <c r="N6629" i="3"/>
  <c r="K6629" i="3"/>
  <c r="A6629" i="3"/>
  <c r="P6628" i="3"/>
  <c r="N6628" i="3"/>
  <c r="K6628" i="3"/>
  <c r="A6628" i="3"/>
  <c r="P6627" i="3"/>
  <c r="N6627" i="3"/>
  <c r="K6627" i="3"/>
  <c r="A6627" i="3"/>
  <c r="P6626" i="3"/>
  <c r="N6626" i="3"/>
  <c r="K6626" i="3"/>
  <c r="A6626" i="3"/>
  <c r="A6623" i="3"/>
  <c r="K6623" i="3"/>
  <c r="N6623" i="3"/>
  <c r="O6623" i="3"/>
  <c r="P6623" i="3"/>
  <c r="A6622" i="3"/>
  <c r="K6622" i="3"/>
  <c r="N6622" i="3"/>
  <c r="O6622" i="3"/>
  <c r="P6622" i="3"/>
  <c r="P6621" i="3"/>
  <c r="O6621" i="3"/>
  <c r="N6621" i="3"/>
  <c r="K6621" i="3"/>
  <c r="A6621" i="3"/>
  <c r="P6620" i="3"/>
  <c r="O6620" i="3"/>
  <c r="N6620" i="3"/>
  <c r="K6620" i="3"/>
  <c r="A6620" i="3"/>
  <c r="P6615" i="3"/>
  <c r="O6615" i="3"/>
  <c r="N6615" i="3"/>
  <c r="K6615" i="3"/>
  <c r="A6615" i="3"/>
  <c r="P6614" i="3"/>
  <c r="O6614" i="3"/>
  <c r="N6614" i="3"/>
  <c r="K6614" i="3"/>
  <c r="A6614" i="3"/>
  <c r="P6613" i="3"/>
  <c r="O6613" i="3"/>
  <c r="N6613" i="3"/>
  <c r="K6613" i="3"/>
  <c r="A6613" i="3"/>
  <c r="P6618" i="3"/>
  <c r="O6618" i="3"/>
  <c r="N6618" i="3"/>
  <c r="K6618" i="3"/>
  <c r="A6618" i="3"/>
  <c r="P6617" i="3"/>
  <c r="O6617" i="3"/>
  <c r="N6617" i="3"/>
  <c r="K6617" i="3"/>
  <c r="A6617" i="3"/>
  <c r="P6616" i="3"/>
  <c r="O6616" i="3"/>
  <c r="N6616" i="3"/>
  <c r="K6616" i="3"/>
  <c r="A6616" i="3"/>
  <c r="P6612" i="3"/>
  <c r="O6612" i="3"/>
  <c r="N6612" i="3"/>
  <c r="K6612" i="3"/>
  <c r="A6612" i="3"/>
  <c r="P6611" i="3"/>
  <c r="O6611" i="3"/>
  <c r="N6611" i="3"/>
  <c r="K6611" i="3"/>
  <c r="A6611" i="3"/>
  <c r="P6610" i="3"/>
  <c r="O6610" i="3"/>
  <c r="N6610" i="3"/>
  <c r="K6610" i="3"/>
  <c r="A6610" i="3"/>
  <c r="A6608" i="3"/>
  <c r="K6608" i="3"/>
  <c r="N6608" i="3"/>
  <c r="O6608" i="3"/>
  <c r="P6608" i="3"/>
  <c r="A6609" i="3"/>
  <c r="K6609" i="3"/>
  <c r="N6609" i="3"/>
  <c r="O6609" i="3"/>
  <c r="P6609" i="3"/>
  <c r="P6607" i="3"/>
  <c r="O6607" i="3"/>
  <c r="N6607" i="3"/>
  <c r="K6607" i="3"/>
  <c r="A6607" i="3"/>
  <c r="P6606" i="3"/>
  <c r="O6606" i="3"/>
  <c r="N6606" i="3"/>
  <c r="K6606" i="3"/>
  <c r="A6606" i="3"/>
  <c r="P6605" i="3"/>
  <c r="O6605" i="3"/>
  <c r="N6605" i="3"/>
  <c r="K6605" i="3"/>
  <c r="A6605" i="3"/>
  <c r="P6604" i="3"/>
  <c r="O6604" i="3"/>
  <c r="N6604" i="3"/>
  <c r="K6604" i="3"/>
  <c r="A6604" i="3"/>
  <c r="P6603" i="3"/>
  <c r="O6603" i="3"/>
  <c r="N6603" i="3"/>
  <c r="K6603" i="3"/>
  <c r="A6603" i="3"/>
  <c r="A6602" i="3"/>
  <c r="K6602" i="3"/>
  <c r="N6602" i="3"/>
  <c r="O6602" i="3"/>
  <c r="P6602" i="3"/>
  <c r="P6601" i="3"/>
  <c r="O6601" i="3"/>
  <c r="N6601" i="3"/>
  <c r="K6601" i="3"/>
  <c r="A6601" i="3"/>
  <c r="P6525" i="3"/>
  <c r="O6525" i="3"/>
  <c r="N6525" i="3"/>
  <c r="K6525" i="3"/>
  <c r="A6525" i="3"/>
  <c r="P6524" i="3"/>
  <c r="O6524" i="3"/>
  <c r="N6524" i="3"/>
  <c r="K6524" i="3"/>
  <c r="A6524" i="3"/>
  <c r="P6523" i="3"/>
  <c r="O6523" i="3"/>
  <c r="N6523" i="3"/>
  <c r="K6523" i="3"/>
  <c r="A6523" i="3"/>
  <c r="P6522" i="3"/>
  <c r="O6522" i="3"/>
  <c r="N6522" i="3"/>
  <c r="K6522" i="3"/>
  <c r="A6522" i="3"/>
  <c r="A6519" i="3"/>
  <c r="K6519" i="3"/>
  <c r="N6519" i="3"/>
  <c r="O6519" i="3"/>
  <c r="P6519" i="3"/>
  <c r="A6520" i="3"/>
  <c r="K6520" i="3"/>
  <c r="N6520" i="3"/>
  <c r="O6520" i="3"/>
  <c r="P6520" i="3"/>
  <c r="A6521" i="3"/>
  <c r="K6521" i="3"/>
  <c r="N6521" i="3"/>
  <c r="O6521" i="3"/>
  <c r="P6521" i="3"/>
  <c r="A6517" i="3"/>
  <c r="K6517" i="3"/>
  <c r="N6517" i="3"/>
  <c r="O6517" i="3"/>
  <c r="P6517" i="3"/>
  <c r="A6513" i="3"/>
  <c r="K6513" i="3"/>
  <c r="N6513" i="3"/>
  <c r="O6513" i="3"/>
  <c r="P6513" i="3"/>
  <c r="A6514" i="3"/>
  <c r="K6514" i="3"/>
  <c r="N6514" i="3"/>
  <c r="O6514" i="3"/>
  <c r="A6515" i="3"/>
  <c r="K6515" i="3"/>
  <c r="N6515" i="3"/>
  <c r="O6515" i="3"/>
  <c r="A6511" i="3"/>
  <c r="K6511" i="3"/>
  <c r="N6511" i="3"/>
  <c r="O6511" i="3"/>
  <c r="P6511" i="3"/>
  <c r="P6509" i="3"/>
  <c r="O6509" i="3"/>
  <c r="N6509" i="3"/>
  <c r="K6509" i="3"/>
  <c r="A6509" i="3"/>
  <c r="P6508" i="3"/>
  <c r="O6508" i="3"/>
  <c r="N6508" i="3"/>
  <c r="K6508" i="3"/>
  <c r="A6508" i="3"/>
  <c r="N2762" i="3"/>
  <c r="X2762" i="3" s="1"/>
  <c r="D2762" i="3"/>
  <c r="A2762" i="3"/>
  <c r="N2761" i="3"/>
  <c r="X2761" i="3" s="1"/>
  <c r="D2761" i="3"/>
  <c r="A2761" i="3"/>
  <c r="N2736" i="3"/>
  <c r="X2736" i="3" s="1"/>
  <c r="D2736" i="3"/>
  <c r="A2736" i="3"/>
  <c r="N2735" i="3"/>
  <c r="X2735" i="3" s="1"/>
  <c r="D2735" i="3"/>
  <c r="A2735" i="3"/>
  <c r="A2719" i="3"/>
  <c r="D2719" i="3"/>
  <c r="N2719" i="3"/>
  <c r="U2719" i="3" s="1"/>
  <c r="Z23" i="88"/>
  <c r="T21" i="88"/>
  <c r="U21" i="88"/>
  <c r="AF21" i="88"/>
  <c r="AD21" i="88"/>
  <c r="AE21" i="88"/>
  <c r="AA21" i="88"/>
  <c r="AC21" i="88"/>
  <c r="AB21" i="88"/>
  <c r="V21" i="88" l="1"/>
  <c r="X21" i="88"/>
  <c r="W21" i="88"/>
  <c r="A22" i="88"/>
  <c r="R22" i="88"/>
  <c r="S22" i="88"/>
  <c r="Y25" i="88"/>
  <c r="X2935" i="3"/>
  <c r="U2936" i="3"/>
  <c r="U2927" i="3"/>
  <c r="U2929" i="3"/>
  <c r="X2928" i="3"/>
  <c r="X2926" i="3"/>
  <c r="U2930" i="3"/>
  <c r="X2974" i="3"/>
  <c r="U2975" i="3"/>
  <c r="X2965" i="3"/>
  <c r="U2969" i="3"/>
  <c r="U2937" i="3"/>
  <c r="U2970" i="3"/>
  <c r="U2976" i="3"/>
  <c r="U2938" i="3"/>
  <c r="U2971" i="3"/>
  <c r="U2977" i="3"/>
  <c r="U2180" i="3"/>
  <c r="U2181" i="3"/>
  <c r="U2160" i="3"/>
  <c r="U2161" i="3"/>
  <c r="U2137" i="3"/>
  <c r="U2138" i="3"/>
  <c r="U2091" i="3"/>
  <c r="U2092" i="3"/>
  <c r="U2068" i="3"/>
  <c r="U2069" i="3"/>
  <c r="U1819" i="3"/>
  <c r="U1860" i="3"/>
  <c r="U1861" i="3"/>
  <c r="U1818" i="3"/>
  <c r="U1792" i="3"/>
  <c r="U1793" i="3"/>
  <c r="U1765" i="3"/>
  <c r="U1766" i="3"/>
  <c r="U1711" i="3"/>
  <c r="U1712" i="3"/>
  <c r="U1684" i="3"/>
  <c r="U1685" i="3"/>
  <c r="U1657" i="3"/>
  <c r="U1658" i="3"/>
  <c r="U2761" i="3"/>
  <c r="U2762" i="3"/>
  <c r="X2719" i="3"/>
  <c r="U2735" i="3"/>
  <c r="U2736" i="3"/>
  <c r="A2680" i="3"/>
  <c r="D2680" i="3"/>
  <c r="N2680" i="3"/>
  <c r="U2680" i="3" s="1"/>
  <c r="A2671" i="3"/>
  <c r="D2671" i="3"/>
  <c r="N2671" i="3"/>
  <c r="U2671" i="3" s="1"/>
  <c r="A2652" i="3"/>
  <c r="D2652" i="3"/>
  <c r="N2652" i="3"/>
  <c r="U2652" i="3" s="1"/>
  <c r="A2633" i="3"/>
  <c r="D2633" i="3"/>
  <c r="N2633" i="3"/>
  <c r="U2633" i="3" s="1"/>
  <c r="A2614" i="3"/>
  <c r="D2614" i="3"/>
  <c r="N2614" i="3"/>
  <c r="U2614" i="3" s="1"/>
  <c r="A2595" i="3"/>
  <c r="D2595" i="3"/>
  <c r="N2595" i="3"/>
  <c r="U2595" i="3" s="1"/>
  <c r="A3251" i="3"/>
  <c r="D3251" i="3"/>
  <c r="U3251" i="3"/>
  <c r="X3251" i="3"/>
  <c r="A3209" i="3"/>
  <c r="D3209" i="3"/>
  <c r="U3209" i="3"/>
  <c r="X3209" i="3"/>
  <c r="A2140" i="3"/>
  <c r="D2140" i="3"/>
  <c r="U2140" i="3"/>
  <c r="X2140" i="3"/>
  <c r="A2094" i="3"/>
  <c r="D2094" i="3"/>
  <c r="U2094" i="3"/>
  <c r="X2094" i="3"/>
  <c r="U22" i="88"/>
  <c r="Z24" i="88"/>
  <c r="AB22" i="88"/>
  <c r="AA22" i="88"/>
  <c r="T22" i="88"/>
  <c r="AC22" i="88"/>
  <c r="AD22" i="88"/>
  <c r="AF22" i="88"/>
  <c r="AE22" i="88"/>
  <c r="X22" i="88" l="1"/>
  <c r="V22" i="88"/>
  <c r="W22" i="88"/>
  <c r="Y26" i="88"/>
  <c r="A23" i="88"/>
  <c r="S23" i="88"/>
  <c r="R23" i="88"/>
  <c r="X2680" i="3"/>
  <c r="X2671" i="3"/>
  <c r="X2652" i="3"/>
  <c r="X2633" i="3"/>
  <c r="X2614" i="3"/>
  <c r="X2595" i="3"/>
  <c r="A3172" i="3"/>
  <c r="D3172" i="3"/>
  <c r="N3172" i="3"/>
  <c r="X3172" i="3" s="1"/>
  <c r="A3173" i="3"/>
  <c r="D3173" i="3"/>
  <c r="N3173" i="3"/>
  <c r="U3173" i="3" s="1"/>
  <c r="D3157" i="3"/>
  <c r="N3157" i="3"/>
  <c r="U3157" i="3" s="1"/>
  <c r="D3139" i="3"/>
  <c r="N3139" i="3"/>
  <c r="U3139" i="3" s="1"/>
  <c r="A3121" i="3"/>
  <c r="D3121" i="3"/>
  <c r="N3121" i="3"/>
  <c r="X3121" i="3" s="1"/>
  <c r="D3104" i="3"/>
  <c r="N3104" i="3"/>
  <c r="U3104" i="3" s="1"/>
  <c r="D3091" i="3"/>
  <c r="N3091" i="3"/>
  <c r="U3091" i="3" s="1"/>
  <c r="X3192" i="3"/>
  <c r="U3192" i="3"/>
  <c r="D3192" i="3"/>
  <c r="A3192" i="3"/>
  <c r="A3072" i="3"/>
  <c r="D3072" i="3"/>
  <c r="N3072" i="3"/>
  <c r="X3072" i="3" s="1"/>
  <c r="A3049" i="3"/>
  <c r="D3049" i="3"/>
  <c r="N3049" i="3"/>
  <c r="X3049" i="3" s="1"/>
  <c r="A3011" i="3"/>
  <c r="D3011" i="3"/>
  <c r="N3011" i="3"/>
  <c r="X3011" i="3" s="1"/>
  <c r="A3037" i="3"/>
  <c r="D3037" i="3"/>
  <c r="N3037" i="3"/>
  <c r="U3037" i="3" s="1"/>
  <c r="A3023" i="3"/>
  <c r="D3023" i="3"/>
  <c r="N3023" i="3"/>
  <c r="X3023" i="3" s="1"/>
  <c r="A3000" i="3"/>
  <c r="D3000" i="3"/>
  <c r="N3000" i="3"/>
  <c r="X3000" i="3" s="1"/>
  <c r="X2911" i="3"/>
  <c r="U2911" i="3"/>
  <c r="D2911" i="3"/>
  <c r="A2911" i="3"/>
  <c r="X2910" i="3"/>
  <c r="U2910" i="3"/>
  <c r="D2910" i="3"/>
  <c r="A2910" i="3"/>
  <c r="X2909" i="3"/>
  <c r="U2909" i="3"/>
  <c r="D2909" i="3"/>
  <c r="A2909" i="3"/>
  <c r="X2908" i="3"/>
  <c r="U2908" i="3"/>
  <c r="D2908" i="3"/>
  <c r="A2908" i="3"/>
  <c r="A2904" i="3"/>
  <c r="D2904" i="3"/>
  <c r="N2904" i="3"/>
  <c r="X2904" i="3" s="1"/>
  <c r="A2902" i="3"/>
  <c r="D2902" i="3"/>
  <c r="N2902" i="3"/>
  <c r="X2902" i="3" s="1"/>
  <c r="X2886" i="3"/>
  <c r="U2886" i="3"/>
  <c r="D2886" i="3"/>
  <c r="A2886" i="3"/>
  <c r="X2885" i="3"/>
  <c r="U2885" i="3"/>
  <c r="D2885" i="3"/>
  <c r="A2885" i="3"/>
  <c r="X2884" i="3"/>
  <c r="U2884" i="3"/>
  <c r="D2884" i="3"/>
  <c r="A2884" i="3"/>
  <c r="X2883" i="3"/>
  <c r="U2883" i="3"/>
  <c r="D2883" i="3"/>
  <c r="A2883" i="3"/>
  <c r="A2879" i="3"/>
  <c r="D2879" i="3"/>
  <c r="N2879" i="3"/>
  <c r="X2879" i="3" s="1"/>
  <c r="A2877" i="3"/>
  <c r="D2877" i="3"/>
  <c r="N2877" i="3"/>
  <c r="X2877" i="3" s="1"/>
  <c r="X2836" i="3"/>
  <c r="U2836" i="3"/>
  <c r="D2836" i="3"/>
  <c r="A2836" i="3"/>
  <c r="X2835" i="3"/>
  <c r="U2835" i="3"/>
  <c r="D2835" i="3"/>
  <c r="A2835" i="3"/>
  <c r="X2834" i="3"/>
  <c r="U2834" i="3"/>
  <c r="D2834" i="3"/>
  <c r="A2834" i="3"/>
  <c r="X2833" i="3"/>
  <c r="U2833" i="3"/>
  <c r="D2833" i="3"/>
  <c r="A2833" i="3"/>
  <c r="A2829" i="3"/>
  <c r="D2829" i="3"/>
  <c r="N2829" i="3"/>
  <c r="X2829" i="3" s="1"/>
  <c r="D2827" i="3"/>
  <c r="N2827" i="3"/>
  <c r="X2827" i="3" s="1"/>
  <c r="X2811" i="3"/>
  <c r="U2811" i="3"/>
  <c r="D2811" i="3"/>
  <c r="A2811" i="3"/>
  <c r="X2810" i="3"/>
  <c r="U2810" i="3"/>
  <c r="D2810" i="3"/>
  <c r="A2810" i="3"/>
  <c r="X2809" i="3"/>
  <c r="U2809" i="3"/>
  <c r="D2809" i="3"/>
  <c r="A2809" i="3"/>
  <c r="X2808" i="3"/>
  <c r="U2808" i="3"/>
  <c r="D2808" i="3"/>
  <c r="A2808" i="3"/>
  <c r="X2786" i="3"/>
  <c r="U2786" i="3"/>
  <c r="D2786" i="3"/>
  <c r="A2786" i="3"/>
  <c r="X2785" i="3"/>
  <c r="U2785" i="3"/>
  <c r="D2785" i="3"/>
  <c r="A2785" i="3"/>
  <c r="X2784" i="3"/>
  <c r="U2784" i="3"/>
  <c r="D2784" i="3"/>
  <c r="A2784" i="3"/>
  <c r="X2783" i="3"/>
  <c r="U2783" i="3"/>
  <c r="D2783" i="3"/>
  <c r="A2783" i="3"/>
  <c r="A2804" i="3"/>
  <c r="D2804" i="3"/>
  <c r="N2804" i="3"/>
  <c r="X2804" i="3" s="1"/>
  <c r="A2802" i="3"/>
  <c r="D2802" i="3"/>
  <c r="N2802" i="3"/>
  <c r="X2802" i="3" s="1"/>
  <c r="AF23" i="88"/>
  <c r="Z25" i="88"/>
  <c r="T23" i="88"/>
  <c r="AD23" i="88"/>
  <c r="AE23" i="88"/>
  <c r="AB23" i="88"/>
  <c r="AA23" i="88"/>
  <c r="U23" i="88"/>
  <c r="AC23" i="88"/>
  <c r="X23" i="88" l="1"/>
  <c r="V23" i="88"/>
  <c r="W23" i="88"/>
  <c r="Y27" i="88"/>
  <c r="S24" i="88"/>
  <c r="A24" i="88"/>
  <c r="R24" i="88"/>
  <c r="U3172" i="3"/>
  <c r="X3157" i="3"/>
  <c r="X3173" i="3"/>
  <c r="U3121" i="3"/>
  <c r="X3139" i="3"/>
  <c r="X3104" i="3"/>
  <c r="X3091" i="3"/>
  <c r="U3072" i="3"/>
  <c r="U3049" i="3"/>
  <c r="U3011" i="3"/>
  <c r="X3037" i="3"/>
  <c r="U3023" i="3"/>
  <c r="U3000" i="3"/>
  <c r="U2904" i="3"/>
  <c r="U2902" i="3"/>
  <c r="U2827" i="3"/>
  <c r="U2829" i="3"/>
  <c r="U2877" i="3"/>
  <c r="U2879" i="3"/>
  <c r="U2804" i="3"/>
  <c r="U2802" i="3"/>
  <c r="AD24" i="88"/>
  <c r="T24" i="88"/>
  <c r="AB24" i="88"/>
  <c r="AF24" i="88"/>
  <c r="U24" i="88"/>
  <c r="AE24" i="88"/>
  <c r="AC24" i="88"/>
  <c r="Z26" i="88"/>
  <c r="AA24" i="88"/>
  <c r="X24" i="88" l="1"/>
  <c r="V24" i="88"/>
  <c r="W24" i="88"/>
  <c r="R25" i="88"/>
  <c r="S25" i="88"/>
  <c r="A25" i="88"/>
  <c r="Y28" i="88"/>
  <c r="A2779" i="3"/>
  <c r="D2779" i="3"/>
  <c r="N2779" i="3"/>
  <c r="U2779" i="3" s="1"/>
  <c r="A2777" i="3"/>
  <c r="D2777" i="3"/>
  <c r="N2777" i="3"/>
  <c r="X2777" i="3" s="1"/>
  <c r="AB25" i="88"/>
  <c r="AA25" i="88"/>
  <c r="AF25" i="88"/>
  <c r="U25" i="88"/>
  <c r="Z27" i="88"/>
  <c r="AD25" i="88"/>
  <c r="AE25" i="88"/>
  <c r="AC25" i="88"/>
  <c r="T25" i="88"/>
  <c r="X25" i="88" l="1"/>
  <c r="V25" i="88"/>
  <c r="W25" i="88"/>
  <c r="Y29" i="88"/>
  <c r="R26" i="88"/>
  <c r="S26" i="88"/>
  <c r="A26" i="88"/>
  <c r="U2777" i="3"/>
  <c r="X2779" i="3"/>
  <c r="N3417" i="3"/>
  <c r="X3417" i="3" s="1"/>
  <c r="N3300" i="3"/>
  <c r="X3300" i="3" s="1"/>
  <c r="N3299" i="3"/>
  <c r="X3299" i="3" s="1"/>
  <c r="D3299" i="3"/>
  <c r="N3298" i="3"/>
  <c r="X3298" i="3" s="1"/>
  <c r="D3298" i="3"/>
  <c r="X3297" i="3"/>
  <c r="U3297" i="3"/>
  <c r="D3297" i="3"/>
  <c r="X3296" i="3"/>
  <c r="U3296" i="3"/>
  <c r="D3296" i="3"/>
  <c r="X3295" i="3"/>
  <c r="U3295" i="3"/>
  <c r="D3295" i="3"/>
  <c r="N3294" i="3"/>
  <c r="X3294" i="3" s="1"/>
  <c r="D3294" i="3"/>
  <c r="N3293" i="3"/>
  <c r="X3293" i="3" s="1"/>
  <c r="D3293" i="3"/>
  <c r="N3276" i="3"/>
  <c r="X3276" i="3" s="1"/>
  <c r="D3276" i="3"/>
  <c r="A3276" i="3"/>
  <c r="N3275" i="3"/>
  <c r="U3275" i="3" s="1"/>
  <c r="D3275" i="3"/>
  <c r="A3275" i="3"/>
  <c r="N3274" i="3"/>
  <c r="X3274" i="3" s="1"/>
  <c r="D3274" i="3"/>
  <c r="A3274" i="3"/>
  <c r="X3273" i="3"/>
  <c r="U3273" i="3"/>
  <c r="D3273" i="3"/>
  <c r="A3273" i="3"/>
  <c r="X3272" i="3"/>
  <c r="U3272" i="3"/>
  <c r="D3272" i="3"/>
  <c r="A3272" i="3"/>
  <c r="X3271" i="3"/>
  <c r="U3271" i="3"/>
  <c r="D3271" i="3"/>
  <c r="A3271" i="3"/>
  <c r="N3270" i="3"/>
  <c r="X3270" i="3" s="1"/>
  <c r="D3270" i="3"/>
  <c r="A3270" i="3"/>
  <c r="N3269" i="3"/>
  <c r="U3269" i="3" s="1"/>
  <c r="D3269" i="3"/>
  <c r="N3268" i="3"/>
  <c r="U3268" i="3" s="1"/>
  <c r="D3268" i="3"/>
  <c r="A3268" i="3"/>
  <c r="N3267" i="3"/>
  <c r="X3267" i="3" s="1"/>
  <c r="D3267" i="3"/>
  <c r="A3267" i="3"/>
  <c r="N3266" i="3"/>
  <c r="X3266" i="3" s="1"/>
  <c r="D3266" i="3"/>
  <c r="A3266" i="3"/>
  <c r="N3265" i="3"/>
  <c r="U3265" i="3" s="1"/>
  <c r="D3265" i="3"/>
  <c r="A3265" i="3"/>
  <c r="N3264" i="3"/>
  <c r="U3264" i="3" s="1"/>
  <c r="D3264" i="3"/>
  <c r="A3264" i="3"/>
  <c r="N3263" i="3"/>
  <c r="X3263" i="3" s="1"/>
  <c r="D3263" i="3"/>
  <c r="A3263" i="3"/>
  <c r="N3262" i="3"/>
  <c r="X3262" i="3" s="1"/>
  <c r="D3262" i="3"/>
  <c r="A3262" i="3"/>
  <c r="N3261" i="3"/>
  <c r="X3261" i="3" s="1"/>
  <c r="D3261" i="3"/>
  <c r="A3261" i="3"/>
  <c r="N3260" i="3"/>
  <c r="U3260" i="3" s="1"/>
  <c r="D3260" i="3"/>
  <c r="A3260" i="3"/>
  <c r="X3259" i="3"/>
  <c r="U3259" i="3"/>
  <c r="D3259" i="3"/>
  <c r="A3259" i="3"/>
  <c r="X3258" i="3"/>
  <c r="U3258" i="3"/>
  <c r="D3258" i="3"/>
  <c r="A3258" i="3"/>
  <c r="X3257" i="3"/>
  <c r="U3257" i="3"/>
  <c r="D3257" i="3"/>
  <c r="A3257" i="3"/>
  <c r="X3256" i="3"/>
  <c r="U3256" i="3"/>
  <c r="D3256" i="3"/>
  <c r="A3256" i="3"/>
  <c r="X3255" i="3"/>
  <c r="U3255" i="3"/>
  <c r="D3255" i="3"/>
  <c r="A3255" i="3"/>
  <c r="X3254" i="3"/>
  <c r="U3254" i="3"/>
  <c r="D3254" i="3"/>
  <c r="A3254" i="3"/>
  <c r="X3253" i="3"/>
  <c r="U3253" i="3"/>
  <c r="D3253" i="3"/>
  <c r="A3253" i="3"/>
  <c r="X3252" i="3"/>
  <c r="U3252" i="3"/>
  <c r="D3252" i="3"/>
  <c r="A3252" i="3"/>
  <c r="X3250" i="3"/>
  <c r="U3250" i="3"/>
  <c r="D3250" i="3"/>
  <c r="A3250" i="3"/>
  <c r="X3249" i="3"/>
  <c r="U3249" i="3"/>
  <c r="D3249" i="3"/>
  <c r="A3249" i="3"/>
  <c r="X3248" i="3"/>
  <c r="U3248" i="3"/>
  <c r="D3248" i="3"/>
  <c r="N3226" i="3"/>
  <c r="X3226" i="3" s="1"/>
  <c r="D3226" i="3"/>
  <c r="A3226" i="3"/>
  <c r="N3225" i="3"/>
  <c r="X3225" i="3" s="1"/>
  <c r="D3225" i="3"/>
  <c r="A3225" i="3"/>
  <c r="N3224" i="3"/>
  <c r="X3224" i="3" s="1"/>
  <c r="D3224" i="3"/>
  <c r="A3224" i="3"/>
  <c r="N3223" i="3"/>
  <c r="U3223" i="3" s="1"/>
  <c r="D3223" i="3"/>
  <c r="A3223" i="3"/>
  <c r="N3222" i="3"/>
  <c r="X3222" i="3" s="1"/>
  <c r="D3222" i="3"/>
  <c r="A3222" i="3"/>
  <c r="N3221" i="3"/>
  <c r="X3221" i="3" s="1"/>
  <c r="D3221" i="3"/>
  <c r="A3221" i="3"/>
  <c r="N3220" i="3"/>
  <c r="X3220" i="3" s="1"/>
  <c r="D3220" i="3"/>
  <c r="A3220" i="3"/>
  <c r="N3219" i="3"/>
  <c r="U3219" i="3" s="1"/>
  <c r="D3219" i="3"/>
  <c r="A3219" i="3"/>
  <c r="N3218" i="3"/>
  <c r="X3218" i="3" s="1"/>
  <c r="D3218" i="3"/>
  <c r="A3218" i="3"/>
  <c r="X3217" i="3"/>
  <c r="U3217" i="3"/>
  <c r="D3217" i="3"/>
  <c r="A3217" i="3"/>
  <c r="X3216" i="3"/>
  <c r="U3216" i="3"/>
  <c r="D3216" i="3"/>
  <c r="A3216" i="3"/>
  <c r="X3215" i="3"/>
  <c r="U3215" i="3"/>
  <c r="D3215" i="3"/>
  <c r="A3215" i="3"/>
  <c r="X3214" i="3"/>
  <c r="U3214" i="3"/>
  <c r="D3214" i="3"/>
  <c r="A3214" i="3"/>
  <c r="X3213" i="3"/>
  <c r="U3213" i="3"/>
  <c r="D3213" i="3"/>
  <c r="A3213" i="3"/>
  <c r="X3212" i="3"/>
  <c r="U3212" i="3"/>
  <c r="D3212" i="3"/>
  <c r="A3212" i="3"/>
  <c r="X3211" i="3"/>
  <c r="U3211" i="3"/>
  <c r="D3211" i="3"/>
  <c r="A3211" i="3"/>
  <c r="X3210" i="3"/>
  <c r="U3210" i="3"/>
  <c r="D3210" i="3"/>
  <c r="A3210" i="3"/>
  <c r="X3208" i="3"/>
  <c r="U3208" i="3"/>
  <c r="D3208" i="3"/>
  <c r="A3208" i="3"/>
  <c r="X3207" i="3"/>
  <c r="U3207" i="3"/>
  <c r="D3207" i="3"/>
  <c r="A3207" i="3"/>
  <c r="X3206" i="3"/>
  <c r="U3206" i="3"/>
  <c r="D3206" i="3"/>
  <c r="N3205" i="3"/>
  <c r="X3205" i="3" s="1"/>
  <c r="D3205" i="3"/>
  <c r="A3205" i="3"/>
  <c r="N3204" i="3"/>
  <c r="U3204" i="3" s="1"/>
  <c r="D3204" i="3"/>
  <c r="A3204" i="3"/>
  <c r="N3203" i="3"/>
  <c r="U3203" i="3" s="1"/>
  <c r="D3203" i="3"/>
  <c r="A3203" i="3"/>
  <c r="N3202" i="3"/>
  <c r="X3202" i="3" s="1"/>
  <c r="D3202" i="3"/>
  <c r="A3202" i="3"/>
  <c r="N3201" i="3"/>
  <c r="X3201" i="3" s="1"/>
  <c r="D3201" i="3"/>
  <c r="A3201" i="3"/>
  <c r="N3200" i="3"/>
  <c r="X3200" i="3" s="1"/>
  <c r="D3200" i="3"/>
  <c r="A3200" i="3"/>
  <c r="N3199" i="3"/>
  <c r="U3199" i="3" s="1"/>
  <c r="D3199" i="3"/>
  <c r="A3199" i="3"/>
  <c r="N3198" i="3"/>
  <c r="X3198" i="3" s="1"/>
  <c r="D3198" i="3"/>
  <c r="A3198" i="3"/>
  <c r="N3197" i="3"/>
  <c r="X3197" i="3" s="1"/>
  <c r="D3197" i="3"/>
  <c r="A3197" i="3"/>
  <c r="X3196" i="3"/>
  <c r="U3196" i="3"/>
  <c r="D3196" i="3"/>
  <c r="A3196" i="3"/>
  <c r="X3195" i="3"/>
  <c r="U3195" i="3"/>
  <c r="D3195" i="3"/>
  <c r="A3195" i="3"/>
  <c r="X3194" i="3"/>
  <c r="U3194" i="3"/>
  <c r="D3194" i="3"/>
  <c r="A3194" i="3"/>
  <c r="X3193" i="3"/>
  <c r="U3193" i="3"/>
  <c r="D3193" i="3"/>
  <c r="A3193" i="3"/>
  <c r="X3191" i="3"/>
  <c r="U3191" i="3"/>
  <c r="D3191" i="3"/>
  <c r="A3191" i="3"/>
  <c r="X3190" i="3"/>
  <c r="U3190" i="3"/>
  <c r="D3190" i="3"/>
  <c r="A3190" i="3"/>
  <c r="X3189" i="3"/>
  <c r="U3189" i="3"/>
  <c r="D3189" i="3"/>
  <c r="A3189" i="3"/>
  <c r="X3188" i="3"/>
  <c r="U3188" i="3"/>
  <c r="D3188" i="3"/>
  <c r="A3188" i="3"/>
  <c r="X3187" i="3"/>
  <c r="U3187" i="3"/>
  <c r="D3187" i="3"/>
  <c r="A3187" i="3"/>
  <c r="X3186" i="3"/>
  <c r="U3186" i="3"/>
  <c r="D3186" i="3"/>
  <c r="A3186" i="3"/>
  <c r="X3185" i="3"/>
  <c r="U3185" i="3"/>
  <c r="D3185" i="3"/>
  <c r="N3184" i="3"/>
  <c r="X3184" i="3" s="1"/>
  <c r="D3184" i="3"/>
  <c r="A3184" i="3"/>
  <c r="N3183" i="3"/>
  <c r="X3183" i="3" s="1"/>
  <c r="D3183" i="3"/>
  <c r="A3183" i="3"/>
  <c r="N3182" i="3"/>
  <c r="X3182" i="3" s="1"/>
  <c r="D3182" i="3"/>
  <c r="A3182" i="3"/>
  <c r="N3181" i="3"/>
  <c r="X3181" i="3" s="1"/>
  <c r="D3181" i="3"/>
  <c r="A3181" i="3"/>
  <c r="N3180" i="3"/>
  <c r="X3180" i="3" s="1"/>
  <c r="D3180" i="3"/>
  <c r="A3180" i="3"/>
  <c r="N3179" i="3"/>
  <c r="X3179" i="3" s="1"/>
  <c r="D3179" i="3"/>
  <c r="A3179" i="3"/>
  <c r="N3178" i="3"/>
  <c r="X3178" i="3" s="1"/>
  <c r="D3178" i="3"/>
  <c r="A3178" i="3"/>
  <c r="X3177" i="3"/>
  <c r="U3177" i="3"/>
  <c r="L3177" i="3"/>
  <c r="D3177" i="3"/>
  <c r="A3177" i="3"/>
  <c r="N3176" i="3"/>
  <c r="X3176" i="3" s="1"/>
  <c r="D3176" i="3"/>
  <c r="A3176" i="3"/>
  <c r="N3175" i="3"/>
  <c r="U3175" i="3" s="1"/>
  <c r="D3175" i="3"/>
  <c r="A3175" i="3"/>
  <c r="N3174" i="3"/>
  <c r="X3174" i="3" s="1"/>
  <c r="D3174" i="3"/>
  <c r="A3174" i="3"/>
  <c r="N3171" i="3"/>
  <c r="U3171" i="3" s="1"/>
  <c r="D3171" i="3"/>
  <c r="N3170" i="3"/>
  <c r="X3170" i="3" s="1"/>
  <c r="D3170" i="3"/>
  <c r="A3170" i="3"/>
  <c r="N3169" i="3"/>
  <c r="X3169" i="3" s="1"/>
  <c r="D3169" i="3"/>
  <c r="A3169" i="3"/>
  <c r="N3168" i="3"/>
  <c r="X3168" i="3" s="1"/>
  <c r="D3168" i="3"/>
  <c r="A3168" i="3"/>
  <c r="N3167" i="3"/>
  <c r="X3167" i="3" s="1"/>
  <c r="D3167" i="3"/>
  <c r="A3167" i="3"/>
  <c r="N3166" i="3"/>
  <c r="X3166" i="3" s="1"/>
  <c r="D3166" i="3"/>
  <c r="A3166" i="3"/>
  <c r="N3165" i="3"/>
  <c r="X3165" i="3" s="1"/>
  <c r="D3165" i="3"/>
  <c r="A3165" i="3"/>
  <c r="N3164" i="3"/>
  <c r="X3164" i="3" s="1"/>
  <c r="D3164" i="3"/>
  <c r="A3164" i="3"/>
  <c r="N3163" i="3"/>
  <c r="U3163" i="3" s="1"/>
  <c r="D3163" i="3"/>
  <c r="A3163" i="3"/>
  <c r="X3162" i="3"/>
  <c r="U3162" i="3"/>
  <c r="L3162" i="3"/>
  <c r="D3162" i="3"/>
  <c r="A3162" i="3"/>
  <c r="N3161" i="3"/>
  <c r="X3161" i="3" s="1"/>
  <c r="D3161" i="3"/>
  <c r="A3161" i="3"/>
  <c r="N3160" i="3"/>
  <c r="U3160" i="3" s="1"/>
  <c r="D3160" i="3"/>
  <c r="A3160" i="3"/>
  <c r="N3159" i="3"/>
  <c r="X3159" i="3" s="1"/>
  <c r="D3159" i="3"/>
  <c r="A3159" i="3"/>
  <c r="N3158" i="3"/>
  <c r="X3158" i="3" s="1"/>
  <c r="D3158" i="3"/>
  <c r="A3158" i="3"/>
  <c r="N3156" i="3"/>
  <c r="U3156" i="3" s="1"/>
  <c r="D3156" i="3"/>
  <c r="N3155" i="3"/>
  <c r="U3155" i="3" s="1"/>
  <c r="D3155" i="3"/>
  <c r="A3155" i="3"/>
  <c r="N3154" i="3"/>
  <c r="X3154" i="3" s="1"/>
  <c r="D3154" i="3"/>
  <c r="A3154" i="3"/>
  <c r="N3153" i="3"/>
  <c r="X3153" i="3" s="1"/>
  <c r="D3153" i="3"/>
  <c r="A3153" i="3"/>
  <c r="N3152" i="3"/>
  <c r="U3152" i="3" s="1"/>
  <c r="D3152" i="3"/>
  <c r="A3152" i="3"/>
  <c r="N3151" i="3"/>
  <c r="U3151" i="3" s="1"/>
  <c r="D3151" i="3"/>
  <c r="A3151" i="3"/>
  <c r="N3150" i="3"/>
  <c r="X3150" i="3" s="1"/>
  <c r="D3150" i="3"/>
  <c r="A3150" i="3"/>
  <c r="N3149" i="3"/>
  <c r="D3149" i="3"/>
  <c r="A3149" i="3"/>
  <c r="N3148" i="3"/>
  <c r="X3148" i="3" s="1"/>
  <c r="D3148" i="3"/>
  <c r="A3148" i="3"/>
  <c r="N3147" i="3"/>
  <c r="U3147" i="3" s="1"/>
  <c r="D3147" i="3"/>
  <c r="A3147" i="3"/>
  <c r="N3146" i="3"/>
  <c r="X3146" i="3" s="1"/>
  <c r="D3146" i="3"/>
  <c r="A3146" i="3"/>
  <c r="X3145" i="3"/>
  <c r="U3145" i="3"/>
  <c r="L3145" i="3"/>
  <c r="D3145" i="3"/>
  <c r="A3145" i="3"/>
  <c r="N3144" i="3"/>
  <c r="X3144" i="3" s="1"/>
  <c r="D3144" i="3"/>
  <c r="A3144" i="3"/>
  <c r="N3143" i="3"/>
  <c r="X3143" i="3" s="1"/>
  <c r="D3143" i="3"/>
  <c r="A3143" i="3"/>
  <c r="N3142" i="3"/>
  <c r="X3142" i="3" s="1"/>
  <c r="D3142" i="3"/>
  <c r="A3142" i="3"/>
  <c r="N3141" i="3"/>
  <c r="D3141" i="3"/>
  <c r="A3141" i="3"/>
  <c r="N3140" i="3"/>
  <c r="X3140" i="3" s="1"/>
  <c r="D3140" i="3"/>
  <c r="A3140" i="3"/>
  <c r="N3138" i="3"/>
  <c r="X3138" i="3" s="1"/>
  <c r="D3138" i="3"/>
  <c r="N3137" i="3"/>
  <c r="D3137" i="3"/>
  <c r="A3137" i="3"/>
  <c r="N3136" i="3"/>
  <c r="U3136" i="3" s="1"/>
  <c r="D3136" i="3"/>
  <c r="A3136" i="3"/>
  <c r="N3135" i="3"/>
  <c r="X3135" i="3" s="1"/>
  <c r="D3135" i="3"/>
  <c r="A3135" i="3"/>
  <c r="N3134" i="3"/>
  <c r="X3134" i="3" s="1"/>
  <c r="D3134" i="3"/>
  <c r="A3134" i="3"/>
  <c r="N3133" i="3"/>
  <c r="D3133" i="3"/>
  <c r="A3133" i="3"/>
  <c r="N3132" i="3"/>
  <c r="U3132" i="3" s="1"/>
  <c r="D3132" i="3"/>
  <c r="A3132" i="3"/>
  <c r="N3131" i="3"/>
  <c r="X3131" i="3" s="1"/>
  <c r="D3131" i="3"/>
  <c r="A3131" i="3"/>
  <c r="N3130" i="3"/>
  <c r="X3130" i="3" s="1"/>
  <c r="D3130" i="3"/>
  <c r="A3130" i="3"/>
  <c r="N3129" i="3"/>
  <c r="D3129" i="3"/>
  <c r="A3129" i="3"/>
  <c r="N3128" i="3"/>
  <c r="U3128" i="3" s="1"/>
  <c r="D3128" i="3"/>
  <c r="A3128" i="3"/>
  <c r="X3127" i="3"/>
  <c r="U3127" i="3"/>
  <c r="L3127" i="3"/>
  <c r="D3127" i="3"/>
  <c r="A3127" i="3"/>
  <c r="N3126" i="3"/>
  <c r="X3126" i="3" s="1"/>
  <c r="D3126" i="3"/>
  <c r="A3126" i="3"/>
  <c r="N3125" i="3"/>
  <c r="D3125" i="3"/>
  <c r="A3125" i="3"/>
  <c r="N3124" i="3"/>
  <c r="U3124" i="3" s="1"/>
  <c r="D3124" i="3"/>
  <c r="A3124" i="3"/>
  <c r="N3123" i="3"/>
  <c r="X3123" i="3" s="1"/>
  <c r="D3123" i="3"/>
  <c r="A3123" i="3"/>
  <c r="N3122" i="3"/>
  <c r="X3122" i="3" s="1"/>
  <c r="D3122" i="3"/>
  <c r="A3122" i="3"/>
  <c r="N3120" i="3"/>
  <c r="U3120" i="3" s="1"/>
  <c r="D3120" i="3"/>
  <c r="N3119" i="3"/>
  <c r="U3119" i="3" s="1"/>
  <c r="D3119" i="3"/>
  <c r="A3119" i="3"/>
  <c r="N3118" i="3"/>
  <c r="D3118" i="3"/>
  <c r="A3118" i="3"/>
  <c r="N3117" i="3"/>
  <c r="X3117" i="3" s="1"/>
  <c r="D3117" i="3"/>
  <c r="A3117" i="3"/>
  <c r="N3116" i="3"/>
  <c r="X3116" i="3" s="1"/>
  <c r="D3116" i="3"/>
  <c r="A3116" i="3"/>
  <c r="N3115" i="3"/>
  <c r="U3115" i="3" s="1"/>
  <c r="D3115" i="3"/>
  <c r="A3115" i="3"/>
  <c r="N3114" i="3"/>
  <c r="D3114" i="3"/>
  <c r="A3114" i="3"/>
  <c r="N3113" i="3"/>
  <c r="X3113" i="3" s="1"/>
  <c r="D3113" i="3"/>
  <c r="A3113" i="3"/>
  <c r="N3112" i="3"/>
  <c r="U3112" i="3" s="1"/>
  <c r="D3112" i="3"/>
  <c r="A3112" i="3"/>
  <c r="N3111" i="3"/>
  <c r="X3111" i="3" s="1"/>
  <c r="D3111" i="3"/>
  <c r="A3111" i="3"/>
  <c r="N3110" i="3"/>
  <c r="D3110" i="3"/>
  <c r="A3110" i="3"/>
  <c r="X3109" i="3"/>
  <c r="U3109" i="3"/>
  <c r="L3109" i="3"/>
  <c r="D3109" i="3"/>
  <c r="A3109" i="3"/>
  <c r="N3108" i="3"/>
  <c r="X3108" i="3" s="1"/>
  <c r="D3108" i="3"/>
  <c r="A3108" i="3"/>
  <c r="N3107" i="3"/>
  <c r="X3107" i="3" s="1"/>
  <c r="D3107" i="3"/>
  <c r="A3107" i="3"/>
  <c r="N3106" i="3"/>
  <c r="D3106" i="3"/>
  <c r="A3106" i="3"/>
  <c r="N3105" i="3"/>
  <c r="X3105" i="3" s="1"/>
  <c r="D3105" i="3"/>
  <c r="A3105" i="3"/>
  <c r="N3103" i="3"/>
  <c r="X3103" i="3" s="1"/>
  <c r="D3103" i="3"/>
  <c r="N3102" i="3"/>
  <c r="D3102" i="3"/>
  <c r="A3102" i="3"/>
  <c r="N3101" i="3"/>
  <c r="X3101" i="3" s="1"/>
  <c r="D3101" i="3"/>
  <c r="A3101" i="3"/>
  <c r="N3100" i="3"/>
  <c r="X3100" i="3" s="1"/>
  <c r="D3100" i="3"/>
  <c r="A3100" i="3"/>
  <c r="N3099" i="3"/>
  <c r="X3099" i="3" s="1"/>
  <c r="D3099" i="3"/>
  <c r="A3099" i="3"/>
  <c r="N3098" i="3"/>
  <c r="D3098" i="3"/>
  <c r="A3098" i="3"/>
  <c r="N3097" i="3"/>
  <c r="X3097" i="3" s="1"/>
  <c r="D3097" i="3"/>
  <c r="A3097" i="3"/>
  <c r="X3096" i="3"/>
  <c r="U3096" i="3"/>
  <c r="L3096" i="3"/>
  <c r="D3096" i="3"/>
  <c r="A3096" i="3"/>
  <c r="N3095" i="3"/>
  <c r="U3095" i="3" s="1"/>
  <c r="D3095" i="3"/>
  <c r="A3095" i="3"/>
  <c r="N3094" i="3"/>
  <c r="U3094" i="3" s="1"/>
  <c r="D3094" i="3"/>
  <c r="A3094" i="3"/>
  <c r="N3093" i="3"/>
  <c r="X3093" i="3" s="1"/>
  <c r="D3093" i="3"/>
  <c r="A3093" i="3"/>
  <c r="N3092" i="3"/>
  <c r="X3092" i="3" s="1"/>
  <c r="D3092" i="3"/>
  <c r="A3092" i="3"/>
  <c r="N3090" i="3"/>
  <c r="U3090" i="3" s="1"/>
  <c r="D3090" i="3"/>
  <c r="N3089" i="3"/>
  <c r="X3089" i="3" s="1"/>
  <c r="D3089" i="3"/>
  <c r="A3089" i="3"/>
  <c r="N3088" i="3"/>
  <c r="X3088" i="3" s="1"/>
  <c r="D3088" i="3"/>
  <c r="A3088" i="3"/>
  <c r="N3087" i="3"/>
  <c r="X3087" i="3" s="1"/>
  <c r="D3087" i="3"/>
  <c r="A3087" i="3"/>
  <c r="N3086" i="3"/>
  <c r="U3086" i="3" s="1"/>
  <c r="D3086" i="3"/>
  <c r="A3086" i="3"/>
  <c r="N3085" i="3"/>
  <c r="X3085" i="3" s="1"/>
  <c r="D3085" i="3"/>
  <c r="A3085" i="3"/>
  <c r="X3084" i="3"/>
  <c r="U3084" i="3"/>
  <c r="L3084" i="3"/>
  <c r="D3084" i="3"/>
  <c r="A3084" i="3"/>
  <c r="N3083" i="3"/>
  <c r="X3083" i="3" s="1"/>
  <c r="D3083" i="3"/>
  <c r="A3083" i="3"/>
  <c r="N3082" i="3"/>
  <c r="U3082" i="3" s="1"/>
  <c r="D3082" i="3"/>
  <c r="A3082" i="3"/>
  <c r="N3081" i="3"/>
  <c r="X3081" i="3" s="1"/>
  <c r="D3081" i="3"/>
  <c r="A3081" i="3"/>
  <c r="X3080" i="3"/>
  <c r="U3080" i="3"/>
  <c r="L3080" i="3"/>
  <c r="D3080" i="3"/>
  <c r="A3080" i="3"/>
  <c r="N3079" i="3"/>
  <c r="X3079" i="3" s="1"/>
  <c r="D3079" i="3"/>
  <c r="A3079" i="3"/>
  <c r="N3078" i="3"/>
  <c r="U3078" i="3" s="1"/>
  <c r="D3078" i="3"/>
  <c r="A3078" i="3"/>
  <c r="N3077" i="3"/>
  <c r="U3077" i="3" s="1"/>
  <c r="D3077" i="3"/>
  <c r="A3077" i="3"/>
  <c r="N3076" i="3"/>
  <c r="X3076" i="3" s="1"/>
  <c r="D3076" i="3"/>
  <c r="A3076" i="3"/>
  <c r="N3075" i="3"/>
  <c r="X3075" i="3" s="1"/>
  <c r="D3075" i="3"/>
  <c r="A3075" i="3"/>
  <c r="N3074" i="3"/>
  <c r="X3074" i="3" s="1"/>
  <c r="D3074" i="3"/>
  <c r="A3074" i="3"/>
  <c r="N3073" i="3"/>
  <c r="U3073" i="3" s="1"/>
  <c r="D3073" i="3"/>
  <c r="A3073" i="3"/>
  <c r="N3071" i="3"/>
  <c r="X3071" i="3" s="1"/>
  <c r="D3071" i="3"/>
  <c r="A3071" i="3"/>
  <c r="N3070" i="3"/>
  <c r="X3070" i="3" s="1"/>
  <c r="D3070" i="3"/>
  <c r="A3070" i="3"/>
  <c r="N3069" i="3"/>
  <c r="X3069" i="3" s="1"/>
  <c r="D3069" i="3"/>
  <c r="A3069" i="3"/>
  <c r="N3068" i="3"/>
  <c r="U3068" i="3" s="1"/>
  <c r="D3068" i="3"/>
  <c r="A3068" i="3"/>
  <c r="N3067" i="3"/>
  <c r="X3067" i="3" s="1"/>
  <c r="D3067" i="3"/>
  <c r="A3067" i="3"/>
  <c r="N3066" i="3"/>
  <c r="X3066" i="3" s="1"/>
  <c r="D3066" i="3"/>
  <c r="A3066" i="3"/>
  <c r="N3065" i="3"/>
  <c r="X3065" i="3" s="1"/>
  <c r="D3065" i="3"/>
  <c r="A3065" i="3"/>
  <c r="N3064" i="3"/>
  <c r="U3064" i="3" s="1"/>
  <c r="D3064" i="3"/>
  <c r="N3063" i="3"/>
  <c r="X3063" i="3" s="1"/>
  <c r="D3063" i="3"/>
  <c r="A3063" i="3"/>
  <c r="N3062" i="3"/>
  <c r="X3062" i="3" s="1"/>
  <c r="D3062" i="3"/>
  <c r="A3062" i="3"/>
  <c r="N3061" i="3"/>
  <c r="U3061" i="3" s="1"/>
  <c r="D3061" i="3"/>
  <c r="A3061" i="3"/>
  <c r="N3060" i="3"/>
  <c r="U3060" i="3" s="1"/>
  <c r="D3060" i="3"/>
  <c r="A3060" i="3"/>
  <c r="N3059" i="3"/>
  <c r="X3059" i="3" s="1"/>
  <c r="D3059" i="3"/>
  <c r="A3059" i="3"/>
  <c r="X3058" i="3"/>
  <c r="U3058" i="3"/>
  <c r="L3058" i="3"/>
  <c r="D3058" i="3"/>
  <c r="A3058" i="3"/>
  <c r="N3057" i="3"/>
  <c r="X3057" i="3" s="1"/>
  <c r="D3057" i="3"/>
  <c r="A3057" i="3"/>
  <c r="N3056" i="3"/>
  <c r="U3056" i="3" s="1"/>
  <c r="D3056" i="3"/>
  <c r="A3056" i="3"/>
  <c r="N3055" i="3"/>
  <c r="X3055" i="3" s="1"/>
  <c r="D3055" i="3"/>
  <c r="A3055" i="3"/>
  <c r="X3054" i="3"/>
  <c r="U3054" i="3"/>
  <c r="L3054" i="3"/>
  <c r="D3054" i="3"/>
  <c r="A3054" i="3"/>
  <c r="N3053" i="3"/>
  <c r="U3053" i="3" s="1"/>
  <c r="D3053" i="3"/>
  <c r="A3053" i="3"/>
  <c r="N3052" i="3"/>
  <c r="U3052" i="3" s="1"/>
  <c r="D3052" i="3"/>
  <c r="A3052" i="3"/>
  <c r="N3051" i="3"/>
  <c r="X3051" i="3" s="1"/>
  <c r="D3051" i="3"/>
  <c r="A3051" i="3"/>
  <c r="N3050" i="3"/>
  <c r="X3050" i="3" s="1"/>
  <c r="D3050" i="3"/>
  <c r="A3050" i="3"/>
  <c r="N3048" i="3"/>
  <c r="U3048" i="3" s="1"/>
  <c r="D3048" i="3"/>
  <c r="A3048" i="3"/>
  <c r="N3047" i="3"/>
  <c r="U3047" i="3" s="1"/>
  <c r="D3047" i="3"/>
  <c r="A3047" i="3"/>
  <c r="N3046" i="3"/>
  <c r="X3046" i="3" s="1"/>
  <c r="D3046" i="3"/>
  <c r="A3046" i="3"/>
  <c r="N3045" i="3"/>
  <c r="X3045" i="3" s="1"/>
  <c r="D3045" i="3"/>
  <c r="A3045" i="3"/>
  <c r="N3044" i="3"/>
  <c r="U3044" i="3" s="1"/>
  <c r="D3044" i="3"/>
  <c r="A3044" i="3"/>
  <c r="N3043" i="3"/>
  <c r="U3043" i="3" s="1"/>
  <c r="D3043" i="3"/>
  <c r="A3043" i="3"/>
  <c r="N3042" i="3"/>
  <c r="X3042" i="3" s="1"/>
  <c r="D3042" i="3"/>
  <c r="A3042" i="3"/>
  <c r="N3041" i="3"/>
  <c r="X3041" i="3" s="1"/>
  <c r="D3041" i="3"/>
  <c r="N3040" i="3"/>
  <c r="U3040" i="3" s="1"/>
  <c r="D3040" i="3"/>
  <c r="A3040" i="3"/>
  <c r="N3039" i="3"/>
  <c r="U3039" i="3" s="1"/>
  <c r="D3039" i="3"/>
  <c r="A3039" i="3"/>
  <c r="N3038" i="3"/>
  <c r="X3038" i="3" s="1"/>
  <c r="D3038" i="3"/>
  <c r="A3038" i="3"/>
  <c r="N3036" i="3"/>
  <c r="U3036" i="3" s="1"/>
  <c r="D3036" i="3"/>
  <c r="A3036" i="3"/>
  <c r="X3035" i="3"/>
  <c r="U3035" i="3"/>
  <c r="L3035" i="3"/>
  <c r="D3035" i="3"/>
  <c r="A3035" i="3"/>
  <c r="N3034" i="3"/>
  <c r="X3034" i="3" s="1"/>
  <c r="D3034" i="3"/>
  <c r="A3034" i="3"/>
  <c r="N3033" i="3"/>
  <c r="X3033" i="3" s="1"/>
  <c r="D3033" i="3"/>
  <c r="A3033" i="3"/>
  <c r="N3032" i="3"/>
  <c r="U3032" i="3" s="1"/>
  <c r="D3032" i="3"/>
  <c r="A3032" i="3"/>
  <c r="X3031" i="3"/>
  <c r="U3031" i="3"/>
  <c r="L3031" i="3"/>
  <c r="D3031" i="3"/>
  <c r="A3031" i="3"/>
  <c r="N3030" i="3"/>
  <c r="X3030" i="3" s="1"/>
  <c r="D3030" i="3"/>
  <c r="A3030" i="3"/>
  <c r="N3029" i="3"/>
  <c r="X3029" i="3" s="1"/>
  <c r="D3029" i="3"/>
  <c r="A3029" i="3"/>
  <c r="N3028" i="3"/>
  <c r="X3028" i="3" s="1"/>
  <c r="D3028" i="3"/>
  <c r="A3028" i="3"/>
  <c r="N3027" i="3"/>
  <c r="X3027" i="3" s="1"/>
  <c r="D3027" i="3"/>
  <c r="A3027" i="3"/>
  <c r="N3026" i="3"/>
  <c r="U3026" i="3" s="1"/>
  <c r="D3026" i="3"/>
  <c r="A3026" i="3"/>
  <c r="N3025" i="3"/>
  <c r="X3025" i="3" s="1"/>
  <c r="D3025" i="3"/>
  <c r="A3025" i="3"/>
  <c r="N3024" i="3"/>
  <c r="X3024" i="3" s="1"/>
  <c r="D3024" i="3"/>
  <c r="A3024" i="3"/>
  <c r="N3022" i="3"/>
  <c r="X3022" i="3" s="1"/>
  <c r="D3022" i="3"/>
  <c r="A3022" i="3"/>
  <c r="N3021" i="3"/>
  <c r="U3021" i="3" s="1"/>
  <c r="D3021" i="3"/>
  <c r="A3021" i="3"/>
  <c r="N3020" i="3"/>
  <c r="X3020" i="3" s="1"/>
  <c r="D3020" i="3"/>
  <c r="A3020" i="3"/>
  <c r="N3019" i="3"/>
  <c r="X3019" i="3" s="1"/>
  <c r="D3019" i="3"/>
  <c r="A3019" i="3"/>
  <c r="N3018" i="3"/>
  <c r="X3018" i="3" s="1"/>
  <c r="D3018" i="3"/>
  <c r="A3018" i="3"/>
  <c r="N3017" i="3"/>
  <c r="U3017" i="3" s="1"/>
  <c r="D3017" i="3"/>
  <c r="A3017" i="3"/>
  <c r="N3016" i="3"/>
  <c r="X3016" i="3" s="1"/>
  <c r="D3016" i="3"/>
  <c r="A3016" i="3"/>
  <c r="N3015" i="3"/>
  <c r="X3015" i="3" s="1"/>
  <c r="D3015" i="3"/>
  <c r="N3014" i="3"/>
  <c r="D3014" i="3"/>
  <c r="A3014" i="3"/>
  <c r="N3013" i="3"/>
  <c r="D3013" i="3"/>
  <c r="A3013" i="3"/>
  <c r="N3012" i="3"/>
  <c r="D3012" i="3"/>
  <c r="A3012" i="3"/>
  <c r="N3010" i="3"/>
  <c r="X3010" i="3" s="1"/>
  <c r="D3010" i="3"/>
  <c r="A3010" i="3"/>
  <c r="X3009" i="3"/>
  <c r="U3009" i="3"/>
  <c r="L3009" i="3"/>
  <c r="D3009" i="3"/>
  <c r="A3009" i="3"/>
  <c r="N3008" i="3"/>
  <c r="D3008" i="3"/>
  <c r="A3008" i="3"/>
  <c r="N3007" i="3"/>
  <c r="X3007" i="3" s="1"/>
  <c r="D3007" i="3"/>
  <c r="A3007" i="3"/>
  <c r="N3006" i="3"/>
  <c r="X3006" i="3" s="1"/>
  <c r="D3006" i="3"/>
  <c r="A3006" i="3"/>
  <c r="X3005" i="3"/>
  <c r="U3005" i="3"/>
  <c r="L3005" i="3"/>
  <c r="D3005" i="3"/>
  <c r="A3005" i="3"/>
  <c r="N3004" i="3"/>
  <c r="D3004" i="3"/>
  <c r="A3004" i="3"/>
  <c r="N3003" i="3"/>
  <c r="X3003" i="3" s="1"/>
  <c r="D3003" i="3"/>
  <c r="A3003" i="3"/>
  <c r="N3002" i="3"/>
  <c r="X3002" i="3" s="1"/>
  <c r="D3002" i="3"/>
  <c r="A3002" i="3"/>
  <c r="N3001" i="3"/>
  <c r="U3001" i="3" s="1"/>
  <c r="D3001" i="3"/>
  <c r="A3001" i="3"/>
  <c r="N2999" i="3"/>
  <c r="X2999" i="3" s="1"/>
  <c r="D2999" i="3"/>
  <c r="A2999" i="3"/>
  <c r="N2998" i="3"/>
  <c r="X2998" i="3" s="1"/>
  <c r="D2998" i="3"/>
  <c r="A2998" i="3"/>
  <c r="N2997" i="3"/>
  <c r="X2997" i="3" s="1"/>
  <c r="D2997" i="3"/>
  <c r="A2997" i="3"/>
  <c r="N2996" i="3"/>
  <c r="U2996" i="3" s="1"/>
  <c r="D2996" i="3"/>
  <c r="A2996" i="3"/>
  <c r="N2995" i="3"/>
  <c r="X2995" i="3" s="1"/>
  <c r="D2995" i="3"/>
  <c r="A2995" i="3"/>
  <c r="N2994" i="3"/>
  <c r="X2994" i="3" s="1"/>
  <c r="D2994" i="3"/>
  <c r="A2994" i="3"/>
  <c r="N2993" i="3"/>
  <c r="X2993" i="3" s="1"/>
  <c r="D2993" i="3"/>
  <c r="A2993" i="3"/>
  <c r="N2992" i="3"/>
  <c r="U2992" i="3" s="1"/>
  <c r="D2992" i="3"/>
  <c r="N2925" i="3"/>
  <c r="X2925" i="3" s="1"/>
  <c r="D2925" i="3"/>
  <c r="A2925" i="3"/>
  <c r="N2924" i="3"/>
  <c r="X2924" i="3" s="1"/>
  <c r="D2924" i="3"/>
  <c r="A2924" i="3"/>
  <c r="N2923" i="3"/>
  <c r="X2923" i="3" s="1"/>
  <c r="D2923" i="3"/>
  <c r="A2923" i="3"/>
  <c r="N2922" i="3"/>
  <c r="U2922" i="3" s="1"/>
  <c r="D2922" i="3"/>
  <c r="A2922" i="3"/>
  <c r="N2921" i="3"/>
  <c r="X2921" i="3" s="1"/>
  <c r="D2921" i="3"/>
  <c r="A2921" i="3"/>
  <c r="N2920" i="3"/>
  <c r="X2920" i="3" s="1"/>
  <c r="D2920" i="3"/>
  <c r="A2920" i="3"/>
  <c r="N2919" i="3"/>
  <c r="D2919" i="3"/>
  <c r="A2919" i="3"/>
  <c r="N2918" i="3"/>
  <c r="D2918" i="3"/>
  <c r="A2918" i="3"/>
  <c r="N2917" i="3"/>
  <c r="D2917" i="3"/>
  <c r="A2917" i="3"/>
  <c r="X2916" i="3"/>
  <c r="U2916" i="3"/>
  <c r="D2916" i="3"/>
  <c r="A2916" i="3"/>
  <c r="X2915" i="3"/>
  <c r="U2915" i="3"/>
  <c r="D2915" i="3"/>
  <c r="A2915" i="3"/>
  <c r="X2914" i="3"/>
  <c r="U2914" i="3"/>
  <c r="D2914" i="3"/>
  <c r="A2914" i="3"/>
  <c r="X2913" i="3"/>
  <c r="U2913" i="3"/>
  <c r="D2913" i="3"/>
  <c r="A2913" i="3"/>
  <c r="X2912" i="3"/>
  <c r="U2912" i="3"/>
  <c r="D2912" i="3"/>
  <c r="A2912" i="3"/>
  <c r="X2907" i="3"/>
  <c r="U2907" i="3"/>
  <c r="D2907" i="3"/>
  <c r="A2907" i="3"/>
  <c r="X2906" i="3"/>
  <c r="U2906" i="3"/>
  <c r="D2906" i="3"/>
  <c r="A2906" i="3"/>
  <c r="N2905" i="3"/>
  <c r="D2905" i="3"/>
  <c r="A2905" i="3"/>
  <c r="N2903" i="3"/>
  <c r="X2903" i="3" s="1"/>
  <c r="D2903" i="3"/>
  <c r="A2903" i="3"/>
  <c r="N2901" i="3"/>
  <c r="U2901" i="3" s="1"/>
  <c r="D2901" i="3"/>
  <c r="N2900" i="3"/>
  <c r="X2900" i="3" s="1"/>
  <c r="D2900" i="3"/>
  <c r="A2900" i="3"/>
  <c r="N2899" i="3"/>
  <c r="D2899" i="3"/>
  <c r="A2899" i="3"/>
  <c r="N2898" i="3"/>
  <c r="X2898" i="3" s="1"/>
  <c r="D2898" i="3"/>
  <c r="A2898" i="3"/>
  <c r="N2897" i="3"/>
  <c r="U2897" i="3" s="1"/>
  <c r="D2897" i="3"/>
  <c r="A2897" i="3"/>
  <c r="N2896" i="3"/>
  <c r="X2896" i="3" s="1"/>
  <c r="D2896" i="3"/>
  <c r="A2896" i="3"/>
  <c r="N2895" i="3"/>
  <c r="D2895" i="3"/>
  <c r="A2895" i="3"/>
  <c r="N2894" i="3"/>
  <c r="D2894" i="3"/>
  <c r="A2894" i="3"/>
  <c r="N2893" i="3"/>
  <c r="D2893" i="3"/>
  <c r="A2893" i="3"/>
  <c r="N2892" i="3"/>
  <c r="X2892" i="3" s="1"/>
  <c r="D2892" i="3"/>
  <c r="A2892" i="3"/>
  <c r="X2891" i="3"/>
  <c r="U2891" i="3"/>
  <c r="D2891" i="3"/>
  <c r="A2891" i="3"/>
  <c r="X2890" i="3"/>
  <c r="U2890" i="3"/>
  <c r="D2890" i="3"/>
  <c r="A2890" i="3"/>
  <c r="X2889" i="3"/>
  <c r="U2889" i="3"/>
  <c r="D2889" i="3"/>
  <c r="A2889" i="3"/>
  <c r="X2888" i="3"/>
  <c r="U2888" i="3"/>
  <c r="D2888" i="3"/>
  <c r="A2888" i="3"/>
  <c r="X2887" i="3"/>
  <c r="U2887" i="3"/>
  <c r="D2887" i="3"/>
  <c r="A2887" i="3"/>
  <c r="X2882" i="3"/>
  <c r="U2882" i="3"/>
  <c r="D2882" i="3"/>
  <c r="A2882" i="3"/>
  <c r="X2881" i="3"/>
  <c r="U2881" i="3"/>
  <c r="D2881" i="3"/>
  <c r="A2881" i="3"/>
  <c r="N2880" i="3"/>
  <c r="D2880" i="3"/>
  <c r="A2880" i="3"/>
  <c r="N2878" i="3"/>
  <c r="D2878" i="3"/>
  <c r="A2878" i="3"/>
  <c r="N2876" i="3"/>
  <c r="D2876" i="3"/>
  <c r="N2850" i="3"/>
  <c r="D2850" i="3"/>
  <c r="A2850" i="3"/>
  <c r="N2849" i="3"/>
  <c r="D2849" i="3"/>
  <c r="A2849" i="3"/>
  <c r="N2848" i="3"/>
  <c r="X2848" i="3" s="1"/>
  <c r="D2848" i="3"/>
  <c r="A2848" i="3"/>
  <c r="N2847" i="3"/>
  <c r="U2847" i="3" s="1"/>
  <c r="D2847" i="3"/>
  <c r="A2847" i="3"/>
  <c r="N2846" i="3"/>
  <c r="D2846" i="3"/>
  <c r="A2846" i="3"/>
  <c r="N2845" i="3"/>
  <c r="D2845" i="3"/>
  <c r="A2845" i="3"/>
  <c r="N2844" i="3"/>
  <c r="X2844" i="3" s="1"/>
  <c r="D2844" i="3"/>
  <c r="A2844" i="3"/>
  <c r="N2843" i="3"/>
  <c r="U2843" i="3" s="1"/>
  <c r="D2843" i="3"/>
  <c r="A2843" i="3"/>
  <c r="N2842" i="3"/>
  <c r="D2842" i="3"/>
  <c r="A2842" i="3"/>
  <c r="X2841" i="3"/>
  <c r="U2841" i="3"/>
  <c r="D2841" i="3"/>
  <c r="A2841" i="3"/>
  <c r="X2840" i="3"/>
  <c r="U2840" i="3"/>
  <c r="D2840" i="3"/>
  <c r="A2840" i="3"/>
  <c r="X2839" i="3"/>
  <c r="U2839" i="3"/>
  <c r="D2839" i="3"/>
  <c r="A2839" i="3"/>
  <c r="X2838" i="3"/>
  <c r="U2838" i="3"/>
  <c r="D2838" i="3"/>
  <c r="A2838" i="3"/>
  <c r="X2837" i="3"/>
  <c r="U2837" i="3"/>
  <c r="D2837" i="3"/>
  <c r="A2837" i="3"/>
  <c r="X2832" i="3"/>
  <c r="U2832" i="3"/>
  <c r="D2832" i="3"/>
  <c r="A2832" i="3"/>
  <c r="X2831" i="3"/>
  <c r="U2831" i="3"/>
  <c r="D2831" i="3"/>
  <c r="A2831" i="3"/>
  <c r="N2830" i="3"/>
  <c r="D2830" i="3"/>
  <c r="A2830" i="3"/>
  <c r="N2828" i="3"/>
  <c r="X2828" i="3" s="1"/>
  <c r="D2828" i="3"/>
  <c r="A2828" i="3"/>
  <c r="N2826" i="3"/>
  <c r="U2826" i="3" s="1"/>
  <c r="D2826" i="3"/>
  <c r="N2825" i="3"/>
  <c r="X2825" i="3" s="1"/>
  <c r="D2825" i="3"/>
  <c r="A2825" i="3"/>
  <c r="N2824" i="3"/>
  <c r="D2824" i="3"/>
  <c r="A2824" i="3"/>
  <c r="N2823" i="3"/>
  <c r="X2823" i="3" s="1"/>
  <c r="D2823" i="3"/>
  <c r="A2823" i="3"/>
  <c r="N2822" i="3"/>
  <c r="U2822" i="3" s="1"/>
  <c r="D2822" i="3"/>
  <c r="A2822" i="3"/>
  <c r="N2821" i="3"/>
  <c r="X2821" i="3" s="1"/>
  <c r="D2821" i="3"/>
  <c r="A2821" i="3"/>
  <c r="N2820" i="3"/>
  <c r="D2820" i="3"/>
  <c r="A2820" i="3"/>
  <c r="N2819" i="3"/>
  <c r="X2819" i="3" s="1"/>
  <c r="D2819" i="3"/>
  <c r="A2819" i="3"/>
  <c r="N2818" i="3"/>
  <c r="U2818" i="3" s="1"/>
  <c r="D2818" i="3"/>
  <c r="A2818" i="3"/>
  <c r="N2817" i="3"/>
  <c r="X2817" i="3" s="1"/>
  <c r="D2817" i="3"/>
  <c r="A2817" i="3"/>
  <c r="X2816" i="3"/>
  <c r="U2816" i="3"/>
  <c r="D2816" i="3"/>
  <c r="A2816" i="3"/>
  <c r="X2815" i="3"/>
  <c r="U2815" i="3"/>
  <c r="D2815" i="3"/>
  <c r="A2815" i="3"/>
  <c r="X2814" i="3"/>
  <c r="U2814" i="3"/>
  <c r="D2814" i="3"/>
  <c r="A2814" i="3"/>
  <c r="X2813" i="3"/>
  <c r="U2813" i="3"/>
  <c r="D2813" i="3"/>
  <c r="A2813" i="3"/>
  <c r="X2812" i="3"/>
  <c r="U2812" i="3"/>
  <c r="D2812" i="3"/>
  <c r="A2812" i="3"/>
  <c r="X2807" i="3"/>
  <c r="U2807" i="3"/>
  <c r="D2807" i="3"/>
  <c r="A2807" i="3"/>
  <c r="X2806" i="3"/>
  <c r="U2806" i="3"/>
  <c r="D2806" i="3"/>
  <c r="A2806" i="3"/>
  <c r="N2805" i="3"/>
  <c r="D2805" i="3"/>
  <c r="A2805" i="3"/>
  <c r="N2803" i="3"/>
  <c r="X2803" i="3" s="1"/>
  <c r="D2803" i="3"/>
  <c r="A2803" i="3"/>
  <c r="N2801" i="3"/>
  <c r="U2801" i="3" s="1"/>
  <c r="D2801" i="3"/>
  <c r="N2800" i="3"/>
  <c r="U2800" i="3" s="1"/>
  <c r="D2800" i="3"/>
  <c r="A2800" i="3"/>
  <c r="N2799" i="3"/>
  <c r="D2799" i="3"/>
  <c r="A2799" i="3"/>
  <c r="N2798" i="3"/>
  <c r="X2798" i="3" s="1"/>
  <c r="D2798" i="3"/>
  <c r="A2798" i="3"/>
  <c r="N2797" i="3"/>
  <c r="U2797" i="3" s="1"/>
  <c r="D2797" i="3"/>
  <c r="A2797" i="3"/>
  <c r="N2796" i="3"/>
  <c r="U2796" i="3" s="1"/>
  <c r="D2796" i="3"/>
  <c r="A2796" i="3"/>
  <c r="N2795" i="3"/>
  <c r="D2795" i="3"/>
  <c r="A2795" i="3"/>
  <c r="N2794" i="3"/>
  <c r="X2794" i="3" s="1"/>
  <c r="D2794" i="3"/>
  <c r="A2794" i="3"/>
  <c r="N2793" i="3"/>
  <c r="U2793" i="3" s="1"/>
  <c r="D2793" i="3"/>
  <c r="A2793" i="3"/>
  <c r="N2792" i="3"/>
  <c r="X2792" i="3" s="1"/>
  <c r="D2792" i="3"/>
  <c r="A2792" i="3"/>
  <c r="X2791" i="3"/>
  <c r="U2791" i="3"/>
  <c r="D2791" i="3"/>
  <c r="A2791" i="3"/>
  <c r="X2790" i="3"/>
  <c r="U2790" i="3"/>
  <c r="D2790" i="3"/>
  <c r="A2790" i="3"/>
  <c r="X2789" i="3"/>
  <c r="U2789" i="3"/>
  <c r="D2789" i="3"/>
  <c r="A2789" i="3"/>
  <c r="X2788" i="3"/>
  <c r="U2788" i="3"/>
  <c r="D2788" i="3"/>
  <c r="A2788" i="3"/>
  <c r="X2787" i="3"/>
  <c r="U2787" i="3"/>
  <c r="D2787" i="3"/>
  <c r="A2787" i="3"/>
  <c r="X2782" i="3"/>
  <c r="U2782" i="3"/>
  <c r="D2782" i="3"/>
  <c r="A2782" i="3"/>
  <c r="X2781" i="3"/>
  <c r="U2781" i="3"/>
  <c r="D2781" i="3"/>
  <c r="A2781" i="3"/>
  <c r="N2780" i="3"/>
  <c r="U2780" i="3" s="1"/>
  <c r="D2780" i="3"/>
  <c r="A2780" i="3"/>
  <c r="N2778" i="3"/>
  <c r="X2778" i="3" s="1"/>
  <c r="D2778" i="3"/>
  <c r="A2778" i="3"/>
  <c r="N2776" i="3"/>
  <c r="U2776" i="3" s="1"/>
  <c r="D2776" i="3"/>
  <c r="N2775" i="3"/>
  <c r="X2775" i="3" s="1"/>
  <c r="D2775" i="3"/>
  <c r="A2775" i="3"/>
  <c r="N2774" i="3"/>
  <c r="U2774" i="3" s="1"/>
  <c r="D2774" i="3"/>
  <c r="A2774" i="3"/>
  <c r="N2773" i="3"/>
  <c r="D2773" i="3"/>
  <c r="A2773" i="3"/>
  <c r="N2772" i="3"/>
  <c r="U2772" i="3" s="1"/>
  <c r="D2772" i="3"/>
  <c r="A2772" i="3"/>
  <c r="N2771" i="3"/>
  <c r="U2771" i="3" s="1"/>
  <c r="D2771" i="3"/>
  <c r="A2771" i="3"/>
  <c r="N2770" i="3"/>
  <c r="D2770" i="3"/>
  <c r="A2770" i="3"/>
  <c r="N2769" i="3"/>
  <c r="D2769" i="3"/>
  <c r="A2769" i="3"/>
  <c r="N2768" i="3"/>
  <c r="D2768" i="3"/>
  <c r="A2768" i="3"/>
  <c r="N2767" i="3"/>
  <c r="X2767" i="3" s="1"/>
  <c r="D2767" i="3"/>
  <c r="A2767" i="3"/>
  <c r="N2766" i="3"/>
  <c r="U2766" i="3" s="1"/>
  <c r="D2766" i="3"/>
  <c r="A2766" i="3"/>
  <c r="N2765" i="3"/>
  <c r="X2765" i="3" s="1"/>
  <c r="D2765" i="3"/>
  <c r="A2765" i="3"/>
  <c r="N2764" i="3"/>
  <c r="U2764" i="3" s="1"/>
  <c r="D2764" i="3"/>
  <c r="A2764" i="3"/>
  <c r="X2763" i="3"/>
  <c r="U2763" i="3"/>
  <c r="L2763" i="3"/>
  <c r="D2763" i="3"/>
  <c r="A2763" i="3"/>
  <c r="N2760" i="3"/>
  <c r="U2760" i="3" s="1"/>
  <c r="D2760" i="3"/>
  <c r="A2760" i="3"/>
  <c r="N2759" i="3"/>
  <c r="U2759" i="3" s="1"/>
  <c r="D2759" i="3"/>
  <c r="A2759" i="3"/>
  <c r="X2758" i="3"/>
  <c r="U2758" i="3"/>
  <c r="L2758" i="3"/>
  <c r="D2758" i="3"/>
  <c r="A2758" i="3"/>
  <c r="N2757" i="3"/>
  <c r="D2757" i="3"/>
  <c r="A2757" i="3"/>
  <c r="N2756" i="3"/>
  <c r="D2756" i="3"/>
  <c r="A2756" i="3"/>
  <c r="N2755" i="3"/>
  <c r="D2755" i="3"/>
  <c r="A2755" i="3"/>
  <c r="N2754" i="3"/>
  <c r="D2754" i="3"/>
  <c r="A2754" i="3"/>
  <c r="N2753" i="3"/>
  <c r="D2753" i="3"/>
  <c r="A2753" i="3"/>
  <c r="N2752" i="3"/>
  <c r="U2752" i="3" s="1"/>
  <c r="D2752" i="3"/>
  <c r="A2752" i="3"/>
  <c r="N2751" i="3"/>
  <c r="U2751" i="3" s="1"/>
  <c r="D2751" i="3"/>
  <c r="A2751" i="3"/>
  <c r="N2750" i="3"/>
  <c r="D2750" i="3"/>
  <c r="N2749" i="3"/>
  <c r="X2749" i="3" s="1"/>
  <c r="D2749" i="3"/>
  <c r="A2749" i="3"/>
  <c r="N2748" i="3"/>
  <c r="U2748" i="3" s="1"/>
  <c r="D2748" i="3"/>
  <c r="A2748" i="3"/>
  <c r="N2747" i="3"/>
  <c r="U2747" i="3" s="1"/>
  <c r="D2747" i="3"/>
  <c r="A2747" i="3"/>
  <c r="N2746" i="3"/>
  <c r="U2746" i="3" s="1"/>
  <c r="D2746" i="3"/>
  <c r="A2746" i="3"/>
  <c r="N2745" i="3"/>
  <c r="X2745" i="3" s="1"/>
  <c r="D2745" i="3"/>
  <c r="A2745" i="3"/>
  <c r="N2744" i="3"/>
  <c r="U2744" i="3" s="1"/>
  <c r="D2744" i="3"/>
  <c r="A2744" i="3"/>
  <c r="N2743" i="3"/>
  <c r="X2743" i="3" s="1"/>
  <c r="D2743" i="3"/>
  <c r="A2743" i="3"/>
  <c r="N2742" i="3"/>
  <c r="U2742" i="3" s="1"/>
  <c r="D2742" i="3"/>
  <c r="A2742" i="3"/>
  <c r="N2741" i="3"/>
  <c r="X2741" i="3" s="1"/>
  <c r="D2741" i="3"/>
  <c r="A2741" i="3"/>
  <c r="N2740" i="3"/>
  <c r="U2740" i="3" s="1"/>
  <c r="D2740" i="3"/>
  <c r="A2740" i="3"/>
  <c r="N2739" i="3"/>
  <c r="X2739" i="3" s="1"/>
  <c r="D2739" i="3"/>
  <c r="A2739" i="3"/>
  <c r="N2738" i="3"/>
  <c r="U2738" i="3" s="1"/>
  <c r="D2738" i="3"/>
  <c r="A2738" i="3"/>
  <c r="X2737" i="3"/>
  <c r="U2737" i="3"/>
  <c r="L2737" i="3"/>
  <c r="D2737" i="3"/>
  <c r="A2737" i="3"/>
  <c r="N2734" i="3"/>
  <c r="U2734" i="3" s="1"/>
  <c r="D2734" i="3"/>
  <c r="A2734" i="3"/>
  <c r="N2733" i="3"/>
  <c r="X2733" i="3" s="1"/>
  <c r="D2733" i="3"/>
  <c r="A2733" i="3"/>
  <c r="X2732" i="3"/>
  <c r="U2732" i="3"/>
  <c r="L2732" i="3"/>
  <c r="D2732" i="3"/>
  <c r="A2732" i="3"/>
  <c r="N2731" i="3"/>
  <c r="X2731" i="3" s="1"/>
  <c r="D2731" i="3"/>
  <c r="A2731" i="3"/>
  <c r="N2730" i="3"/>
  <c r="U2730" i="3" s="1"/>
  <c r="D2730" i="3"/>
  <c r="A2730" i="3"/>
  <c r="N2729" i="3"/>
  <c r="X2729" i="3" s="1"/>
  <c r="D2729" i="3"/>
  <c r="A2729" i="3"/>
  <c r="N2728" i="3"/>
  <c r="U2728" i="3" s="1"/>
  <c r="D2728" i="3"/>
  <c r="A2728" i="3"/>
  <c r="N2727" i="3"/>
  <c r="X2727" i="3" s="1"/>
  <c r="D2727" i="3"/>
  <c r="A2727" i="3"/>
  <c r="N2726" i="3"/>
  <c r="U2726" i="3" s="1"/>
  <c r="D2726" i="3"/>
  <c r="A2726" i="3"/>
  <c r="N2725" i="3"/>
  <c r="X2725" i="3" s="1"/>
  <c r="D2725" i="3"/>
  <c r="A2725" i="3"/>
  <c r="N2724" i="3"/>
  <c r="U2724" i="3" s="1"/>
  <c r="D2724" i="3"/>
  <c r="N2723" i="3"/>
  <c r="X2723" i="3" s="1"/>
  <c r="D2723" i="3"/>
  <c r="A2723" i="3"/>
  <c r="N2722" i="3"/>
  <c r="U2722" i="3" s="1"/>
  <c r="D2722" i="3"/>
  <c r="A2722" i="3"/>
  <c r="N2721" i="3"/>
  <c r="X2721" i="3" s="1"/>
  <c r="D2721" i="3"/>
  <c r="A2721" i="3"/>
  <c r="X2720" i="3"/>
  <c r="U2720" i="3"/>
  <c r="L2720" i="3"/>
  <c r="D2720" i="3"/>
  <c r="A2720" i="3"/>
  <c r="N2718" i="3"/>
  <c r="X2718" i="3" s="1"/>
  <c r="D2718" i="3"/>
  <c r="A2718" i="3"/>
  <c r="N2717" i="3"/>
  <c r="U2717" i="3" s="1"/>
  <c r="D2717" i="3"/>
  <c r="A2717" i="3"/>
  <c r="N2716" i="3"/>
  <c r="X2716" i="3" s="1"/>
  <c r="D2716" i="3"/>
  <c r="A2716" i="3"/>
  <c r="N2715" i="3"/>
  <c r="U2715" i="3" s="1"/>
  <c r="D2715" i="3"/>
  <c r="A2715" i="3"/>
  <c r="N2714" i="3"/>
  <c r="X2714" i="3" s="1"/>
  <c r="D2714" i="3"/>
  <c r="A2714" i="3"/>
  <c r="N2713" i="3"/>
  <c r="U2713" i="3" s="1"/>
  <c r="D2713" i="3"/>
  <c r="A2713" i="3"/>
  <c r="N2712" i="3"/>
  <c r="U2712" i="3" s="1"/>
  <c r="D2712" i="3"/>
  <c r="A2712" i="3"/>
  <c r="X2711" i="3"/>
  <c r="U2711" i="3"/>
  <c r="L2711" i="3"/>
  <c r="D2711" i="3"/>
  <c r="A2711" i="3"/>
  <c r="N2710" i="3"/>
  <c r="X2710" i="3" s="1"/>
  <c r="D2710" i="3"/>
  <c r="A2710" i="3"/>
  <c r="N2709" i="3"/>
  <c r="U2709" i="3" s="1"/>
  <c r="D2709" i="3"/>
  <c r="A2709" i="3"/>
  <c r="N2708" i="3"/>
  <c r="X2708" i="3" s="1"/>
  <c r="D2708" i="3"/>
  <c r="A2708" i="3"/>
  <c r="N2707" i="3"/>
  <c r="U2707" i="3" s="1"/>
  <c r="D2707" i="3"/>
  <c r="A2707" i="3"/>
  <c r="N2706" i="3"/>
  <c r="U2706" i="3" s="1"/>
  <c r="D2706" i="3"/>
  <c r="A2706" i="3"/>
  <c r="N2705" i="3"/>
  <c r="U2705" i="3" s="1"/>
  <c r="D2705" i="3"/>
  <c r="A2705" i="3"/>
  <c r="N2704" i="3"/>
  <c r="X2704" i="3" s="1"/>
  <c r="D2704" i="3"/>
  <c r="A2704" i="3"/>
  <c r="N2703" i="3"/>
  <c r="X2703" i="3" s="1"/>
  <c r="D2703" i="3"/>
  <c r="N2702" i="3"/>
  <c r="X2702" i="3" s="1"/>
  <c r="D2702" i="3"/>
  <c r="A2702" i="3"/>
  <c r="N2701" i="3"/>
  <c r="U2701" i="3" s="1"/>
  <c r="D2701" i="3"/>
  <c r="A2701" i="3"/>
  <c r="N2700" i="3"/>
  <c r="X2700" i="3" s="1"/>
  <c r="D2700" i="3"/>
  <c r="A2700" i="3"/>
  <c r="N2699" i="3"/>
  <c r="U2699" i="3" s="1"/>
  <c r="D2699" i="3"/>
  <c r="A2699" i="3"/>
  <c r="N2698" i="3"/>
  <c r="U2698" i="3" s="1"/>
  <c r="D2698" i="3"/>
  <c r="A2698" i="3"/>
  <c r="N2697" i="3"/>
  <c r="U2697" i="3" s="1"/>
  <c r="D2697" i="3"/>
  <c r="A2697" i="3"/>
  <c r="X2696" i="3"/>
  <c r="U2696" i="3"/>
  <c r="L2696" i="3"/>
  <c r="D2696" i="3"/>
  <c r="A2696" i="3"/>
  <c r="N2695" i="3"/>
  <c r="X2695" i="3" s="1"/>
  <c r="D2695" i="3"/>
  <c r="A2695" i="3"/>
  <c r="N2694" i="3"/>
  <c r="U2694" i="3" s="1"/>
  <c r="D2694" i="3"/>
  <c r="A2694" i="3"/>
  <c r="N2693" i="3"/>
  <c r="U2693" i="3" s="1"/>
  <c r="D2693" i="3"/>
  <c r="A2693" i="3"/>
  <c r="N2692" i="3"/>
  <c r="X2692" i="3" s="1"/>
  <c r="D2692" i="3"/>
  <c r="A2692" i="3"/>
  <c r="N2691" i="3"/>
  <c r="U2691" i="3" s="1"/>
  <c r="D2691" i="3"/>
  <c r="A2691" i="3"/>
  <c r="N2690" i="3"/>
  <c r="X2690" i="3" s="1"/>
  <c r="D2690" i="3"/>
  <c r="A2690" i="3"/>
  <c r="N2689" i="3"/>
  <c r="X2689" i="3" s="1"/>
  <c r="D2689" i="3"/>
  <c r="A2689" i="3"/>
  <c r="N2688" i="3"/>
  <c r="U2688" i="3" s="1"/>
  <c r="D2688" i="3"/>
  <c r="N2687" i="3"/>
  <c r="U2687" i="3" s="1"/>
  <c r="U5276" i="3"/>
  <c r="I5276" i="3"/>
  <c r="D5276" i="3"/>
  <c r="A5276" i="3"/>
  <c r="A5273" i="3"/>
  <c r="D5273" i="3"/>
  <c r="U5273" i="3"/>
  <c r="I5253" i="3"/>
  <c r="U5253" i="3"/>
  <c r="D5253" i="3"/>
  <c r="A5253" i="3"/>
  <c r="A5250" i="3"/>
  <c r="D5250" i="3"/>
  <c r="U5250" i="3"/>
  <c r="U5760" i="3"/>
  <c r="I5760" i="3"/>
  <c r="D5760" i="3"/>
  <c r="A5760" i="3"/>
  <c r="A5757" i="3"/>
  <c r="D5757" i="3"/>
  <c r="U5757" i="3"/>
  <c r="I5737" i="3"/>
  <c r="U5737" i="3"/>
  <c r="D5737" i="3"/>
  <c r="A5737" i="3"/>
  <c r="A5734" i="3"/>
  <c r="D5734" i="3"/>
  <c r="U5734" i="3"/>
  <c r="U5692" i="3"/>
  <c r="I5692" i="3"/>
  <c r="D5692" i="3"/>
  <c r="A5692" i="3"/>
  <c r="U5691" i="3"/>
  <c r="I5691" i="3"/>
  <c r="D5691" i="3"/>
  <c r="A5691" i="3"/>
  <c r="U5689" i="3"/>
  <c r="I5689" i="3"/>
  <c r="D5689" i="3"/>
  <c r="A5689" i="3"/>
  <c r="U5688" i="3"/>
  <c r="D5688" i="3"/>
  <c r="A5688" i="3"/>
  <c r="U5687" i="3"/>
  <c r="D5687" i="3"/>
  <c r="A5687" i="3"/>
  <c r="U5686" i="3"/>
  <c r="I5686" i="3"/>
  <c r="D5686" i="3"/>
  <c r="A5686" i="3"/>
  <c r="U5685" i="3"/>
  <c r="D5685" i="3"/>
  <c r="A5685" i="3"/>
  <c r="U5684" i="3"/>
  <c r="D5684" i="3"/>
  <c r="U5673" i="3"/>
  <c r="I5673" i="3"/>
  <c r="D5673" i="3"/>
  <c r="A5673" i="3"/>
  <c r="U5672" i="3"/>
  <c r="I5672" i="3"/>
  <c r="D5672" i="3"/>
  <c r="A5672" i="3"/>
  <c r="U5670" i="3"/>
  <c r="I5670" i="3"/>
  <c r="D5670" i="3"/>
  <c r="A5670" i="3"/>
  <c r="U5669" i="3"/>
  <c r="D5669" i="3"/>
  <c r="A5669" i="3"/>
  <c r="U5668" i="3"/>
  <c r="D5668" i="3"/>
  <c r="A5668" i="3"/>
  <c r="U5667" i="3"/>
  <c r="I5667" i="3"/>
  <c r="D5667" i="3"/>
  <c r="A5667" i="3"/>
  <c r="U5666" i="3"/>
  <c r="D5666" i="3"/>
  <c r="A5666" i="3"/>
  <c r="U5665" i="3"/>
  <c r="D5665" i="3"/>
  <c r="U5553" i="3"/>
  <c r="I5553" i="3"/>
  <c r="D5553" i="3"/>
  <c r="A5553" i="3"/>
  <c r="U5552" i="3"/>
  <c r="I5552" i="3"/>
  <c r="D5552" i="3"/>
  <c r="A5552" i="3"/>
  <c r="U5550" i="3"/>
  <c r="I5550" i="3"/>
  <c r="D5550" i="3"/>
  <c r="A5550" i="3"/>
  <c r="U5549" i="3"/>
  <c r="D5549" i="3"/>
  <c r="A5549" i="3"/>
  <c r="U5548" i="3"/>
  <c r="D5548" i="3"/>
  <c r="A5548" i="3"/>
  <c r="U5547" i="3"/>
  <c r="I5547" i="3"/>
  <c r="D5547" i="3"/>
  <c r="A5547" i="3"/>
  <c r="U5546" i="3"/>
  <c r="D5546" i="3"/>
  <c r="A5546" i="3"/>
  <c r="U5545" i="3"/>
  <c r="D5545" i="3"/>
  <c r="U5471" i="3"/>
  <c r="I5471" i="3"/>
  <c r="D5471" i="3"/>
  <c r="A5471" i="3"/>
  <c r="U5470" i="3"/>
  <c r="I5470" i="3"/>
  <c r="D5470" i="3"/>
  <c r="A5470" i="3"/>
  <c r="U5468" i="3"/>
  <c r="I5468" i="3"/>
  <c r="D5468" i="3"/>
  <c r="A5468" i="3"/>
  <c r="U5467" i="3"/>
  <c r="D5467" i="3"/>
  <c r="A5467" i="3"/>
  <c r="U5466" i="3"/>
  <c r="D5466" i="3"/>
  <c r="A5466" i="3"/>
  <c r="U5465" i="3"/>
  <c r="I5465" i="3"/>
  <c r="D5465" i="3"/>
  <c r="A5465" i="3"/>
  <c r="U5464" i="3"/>
  <c r="D5464" i="3"/>
  <c r="A5464" i="3"/>
  <c r="U5463" i="3"/>
  <c r="D5463" i="3"/>
  <c r="U5238" i="3"/>
  <c r="I5238" i="3"/>
  <c r="D5238" i="3"/>
  <c r="A5238" i="3"/>
  <c r="U5237" i="3"/>
  <c r="I5237" i="3"/>
  <c r="D5237" i="3"/>
  <c r="A5237" i="3"/>
  <c r="U5235" i="3"/>
  <c r="I5235" i="3"/>
  <c r="D5235" i="3"/>
  <c r="A5235" i="3"/>
  <c r="U5234" i="3"/>
  <c r="D5234" i="3"/>
  <c r="A5234" i="3"/>
  <c r="U5233" i="3"/>
  <c r="D5233" i="3"/>
  <c r="A5233" i="3"/>
  <c r="U5232" i="3"/>
  <c r="I5232" i="3"/>
  <c r="D5232" i="3"/>
  <c r="A5232" i="3"/>
  <c r="U5231" i="3"/>
  <c r="D5231" i="3"/>
  <c r="A5231" i="3"/>
  <c r="U5230" i="3"/>
  <c r="D5230" i="3"/>
  <c r="U5181" i="3"/>
  <c r="I5181" i="3"/>
  <c r="D5181" i="3"/>
  <c r="A5181" i="3"/>
  <c r="U5180" i="3"/>
  <c r="I5180" i="3"/>
  <c r="D5180" i="3"/>
  <c r="A5180" i="3"/>
  <c r="U5178" i="3"/>
  <c r="I5178" i="3"/>
  <c r="D5178" i="3"/>
  <c r="A5178" i="3"/>
  <c r="U5177" i="3"/>
  <c r="D5177" i="3"/>
  <c r="A5177" i="3"/>
  <c r="U5176" i="3"/>
  <c r="D5176" i="3"/>
  <c r="A5176" i="3"/>
  <c r="U5175" i="3"/>
  <c r="I5175" i="3"/>
  <c r="D5175" i="3"/>
  <c r="A5175" i="3"/>
  <c r="U5174" i="3"/>
  <c r="D5174" i="3"/>
  <c r="A5174" i="3"/>
  <c r="U5173" i="3"/>
  <c r="D5173" i="3"/>
  <c r="I5006" i="3"/>
  <c r="U5009" i="3"/>
  <c r="I5009" i="3"/>
  <c r="D5009" i="3"/>
  <c r="A5009" i="3"/>
  <c r="U5008" i="3"/>
  <c r="I5008" i="3"/>
  <c r="D5008" i="3"/>
  <c r="A5008" i="3"/>
  <c r="A5005" i="3"/>
  <c r="D5005" i="3"/>
  <c r="U5005" i="3"/>
  <c r="U5003" i="3"/>
  <c r="I5003" i="3"/>
  <c r="D5003" i="3"/>
  <c r="A5003" i="3"/>
  <c r="A5002" i="3"/>
  <c r="D5002" i="3"/>
  <c r="U5002" i="3"/>
  <c r="I4927" i="3"/>
  <c r="I4926" i="3"/>
  <c r="U4927" i="3"/>
  <c r="D4927" i="3"/>
  <c r="A4927" i="3"/>
  <c r="U4926" i="3"/>
  <c r="D4926" i="3"/>
  <c r="A4926" i="3"/>
  <c r="I4924" i="3"/>
  <c r="I4921" i="3"/>
  <c r="A4923" i="3"/>
  <c r="D4923" i="3"/>
  <c r="U4923" i="3"/>
  <c r="U4921" i="3"/>
  <c r="D4921" i="3"/>
  <c r="A4921" i="3"/>
  <c r="A4920" i="3"/>
  <c r="D4920" i="3"/>
  <c r="U4920" i="3"/>
  <c r="X2143" i="3"/>
  <c r="U2143" i="3"/>
  <c r="D2143" i="3"/>
  <c r="A2143" i="3"/>
  <c r="X2142" i="3"/>
  <c r="U2142" i="3"/>
  <c r="D2142" i="3"/>
  <c r="X2097" i="3"/>
  <c r="U2097" i="3"/>
  <c r="D2097" i="3"/>
  <c r="A2097" i="3"/>
  <c r="X2096" i="3"/>
  <c r="U2096" i="3"/>
  <c r="D2096" i="3"/>
  <c r="X2074" i="3"/>
  <c r="U2074" i="3"/>
  <c r="D2074" i="3"/>
  <c r="A2074" i="3"/>
  <c r="X2073" i="3"/>
  <c r="U2073" i="3"/>
  <c r="D2073" i="3"/>
  <c r="N4353" i="3"/>
  <c r="X4353" i="3" s="1"/>
  <c r="D4353" i="3"/>
  <c r="N4352" i="3"/>
  <c r="X4352" i="3" s="1"/>
  <c r="D4352" i="3"/>
  <c r="N4351" i="3"/>
  <c r="X4351" i="3" s="1"/>
  <c r="D4351" i="3"/>
  <c r="N4350" i="3"/>
  <c r="U4350" i="3" s="1"/>
  <c r="D4350" i="3"/>
  <c r="N4349" i="3"/>
  <c r="X4349" i="3" s="1"/>
  <c r="D4349" i="3"/>
  <c r="N4348" i="3"/>
  <c r="U4348" i="3" s="1"/>
  <c r="D4348" i="3"/>
  <c r="N4347" i="3"/>
  <c r="X4347" i="3" s="1"/>
  <c r="D4347" i="3"/>
  <c r="N4346" i="3"/>
  <c r="U4346" i="3" s="1"/>
  <c r="D4346" i="3"/>
  <c r="N4345" i="3"/>
  <c r="X4345" i="3" s="1"/>
  <c r="D4345" i="3"/>
  <c r="N4344" i="3"/>
  <c r="U4344" i="3" s="1"/>
  <c r="D4344" i="3"/>
  <c r="N4343" i="3"/>
  <c r="X4343" i="3" s="1"/>
  <c r="D4343" i="3"/>
  <c r="N4342" i="3"/>
  <c r="U4342" i="3" s="1"/>
  <c r="D4342" i="3"/>
  <c r="N4341" i="3"/>
  <c r="X4341" i="3" s="1"/>
  <c r="D4341" i="3"/>
  <c r="N4340" i="3"/>
  <c r="X4340" i="3" s="1"/>
  <c r="D4340" i="3"/>
  <c r="N4339" i="3"/>
  <c r="U4339" i="3" s="1"/>
  <c r="D4339" i="3"/>
  <c r="N4338" i="3"/>
  <c r="X4338" i="3" s="1"/>
  <c r="D4338" i="3"/>
  <c r="N4337" i="3"/>
  <c r="U4337" i="3" s="1"/>
  <c r="D4337" i="3"/>
  <c r="N4336" i="3"/>
  <c r="X4336" i="3" s="1"/>
  <c r="D4336" i="3"/>
  <c r="N4335" i="3"/>
  <c r="U4335" i="3" s="1"/>
  <c r="D4335" i="3"/>
  <c r="N4334" i="3"/>
  <c r="X4334" i="3" s="1"/>
  <c r="D4334" i="3"/>
  <c r="N4333" i="3"/>
  <c r="U4333" i="3" s="1"/>
  <c r="D4333" i="3"/>
  <c r="N4332" i="3"/>
  <c r="X4332" i="3" s="1"/>
  <c r="D4332" i="3"/>
  <c r="N4331" i="3"/>
  <c r="U4331" i="3" s="1"/>
  <c r="D4331" i="3"/>
  <c r="N4330" i="3"/>
  <c r="X4330" i="3" s="1"/>
  <c r="D4330" i="3"/>
  <c r="N4329" i="3"/>
  <c r="X4329" i="3" s="1"/>
  <c r="D4329" i="3"/>
  <c r="N4328" i="3"/>
  <c r="U4328" i="3" s="1"/>
  <c r="D4328" i="3"/>
  <c r="N4327" i="3"/>
  <c r="X4327" i="3" s="1"/>
  <c r="D4327" i="3"/>
  <c r="N4326" i="3"/>
  <c r="U4326" i="3" s="1"/>
  <c r="D4326" i="3"/>
  <c r="N4325" i="3"/>
  <c r="X4325" i="3" s="1"/>
  <c r="D4325" i="3"/>
  <c r="N4324" i="3"/>
  <c r="U4324" i="3" s="1"/>
  <c r="D4324" i="3"/>
  <c r="N4323" i="3"/>
  <c r="X4323" i="3" s="1"/>
  <c r="D4323" i="3"/>
  <c r="N4322" i="3"/>
  <c r="U4322" i="3" s="1"/>
  <c r="D4322" i="3"/>
  <c r="N4321" i="3"/>
  <c r="X4321" i="3" s="1"/>
  <c r="D4321" i="3"/>
  <c r="N4132" i="3"/>
  <c r="X4132" i="3" s="1"/>
  <c r="D4132" i="3"/>
  <c r="N4131" i="3"/>
  <c r="X4131" i="3" s="1"/>
  <c r="D4131" i="3"/>
  <c r="N4130" i="3"/>
  <c r="X4130" i="3" s="1"/>
  <c r="D4130" i="3"/>
  <c r="N4129" i="3"/>
  <c r="U4129" i="3" s="1"/>
  <c r="D4129" i="3"/>
  <c r="N4128" i="3"/>
  <c r="X4128" i="3" s="1"/>
  <c r="D4128" i="3"/>
  <c r="N4127" i="3"/>
  <c r="X4127" i="3" s="1"/>
  <c r="D4127" i="3"/>
  <c r="N4126" i="3"/>
  <c r="X4126" i="3" s="1"/>
  <c r="D4126" i="3"/>
  <c r="N4125" i="3"/>
  <c r="X4125" i="3" s="1"/>
  <c r="D4125" i="3"/>
  <c r="N4124" i="3"/>
  <c r="X4124" i="3" s="1"/>
  <c r="D4124" i="3"/>
  <c r="N4123" i="3"/>
  <c r="X4123" i="3" s="1"/>
  <c r="D4123" i="3"/>
  <c r="N4122" i="3"/>
  <c r="X4122" i="3" s="1"/>
  <c r="D4122" i="3"/>
  <c r="N4121" i="3"/>
  <c r="X4121" i="3" s="1"/>
  <c r="D4121" i="3"/>
  <c r="N4120" i="3"/>
  <c r="X4120" i="3" s="1"/>
  <c r="D4120" i="3"/>
  <c r="N4119" i="3"/>
  <c r="X4119" i="3" s="1"/>
  <c r="D4119" i="3"/>
  <c r="N4118" i="3"/>
  <c r="X4118" i="3" s="1"/>
  <c r="D4118" i="3"/>
  <c r="N4117" i="3"/>
  <c r="X4117" i="3" s="1"/>
  <c r="D4117" i="3"/>
  <c r="N4116" i="3"/>
  <c r="X4116" i="3" s="1"/>
  <c r="D4116" i="3"/>
  <c r="N4115" i="3"/>
  <c r="X4115" i="3" s="1"/>
  <c r="D4115" i="3"/>
  <c r="N4114" i="3"/>
  <c r="X4114" i="3" s="1"/>
  <c r="D4114" i="3"/>
  <c r="N4113" i="3"/>
  <c r="X4113" i="3" s="1"/>
  <c r="D4113" i="3"/>
  <c r="N4112" i="3"/>
  <c r="X4112" i="3" s="1"/>
  <c r="D4112" i="3"/>
  <c r="N4111" i="3"/>
  <c r="U4111" i="3" s="1"/>
  <c r="D4111" i="3"/>
  <c r="N4110" i="3"/>
  <c r="X4110" i="3" s="1"/>
  <c r="D4110" i="3"/>
  <c r="N4109" i="3"/>
  <c r="U4109" i="3" s="1"/>
  <c r="D4109" i="3"/>
  <c r="N4108" i="3"/>
  <c r="X4108" i="3" s="1"/>
  <c r="D4108" i="3"/>
  <c r="N4107" i="3"/>
  <c r="U4107" i="3" s="1"/>
  <c r="D4107" i="3"/>
  <c r="N4106" i="3"/>
  <c r="X4106" i="3" s="1"/>
  <c r="D4106" i="3"/>
  <c r="N4105" i="3"/>
  <c r="U4105" i="3" s="1"/>
  <c r="D4105" i="3"/>
  <c r="N4104" i="3"/>
  <c r="X4104" i="3" s="1"/>
  <c r="D4104" i="3"/>
  <c r="N4103" i="3"/>
  <c r="U4103" i="3" s="1"/>
  <c r="D4103" i="3"/>
  <c r="N4102" i="3"/>
  <c r="X4102" i="3" s="1"/>
  <c r="D4102" i="3"/>
  <c r="N4101" i="3"/>
  <c r="U4101" i="3" s="1"/>
  <c r="D4101" i="3"/>
  <c r="N4100" i="3"/>
  <c r="X4100" i="3" s="1"/>
  <c r="D4100" i="3"/>
  <c r="N4099" i="3"/>
  <c r="U4099" i="3" s="1"/>
  <c r="D4099" i="3"/>
  <c r="N4098" i="3"/>
  <c r="X4098" i="3" s="1"/>
  <c r="D4098" i="3"/>
  <c r="N4097" i="3"/>
  <c r="U4097" i="3" s="1"/>
  <c r="D4097" i="3"/>
  <c r="N4096" i="3"/>
  <c r="X4096" i="3" s="1"/>
  <c r="D4096" i="3"/>
  <c r="N4095" i="3"/>
  <c r="U4095" i="3" s="1"/>
  <c r="D4095" i="3"/>
  <c r="N4094" i="3"/>
  <c r="U4094" i="3" s="1"/>
  <c r="D4094" i="3"/>
  <c r="N4093" i="3"/>
  <c r="X4093" i="3" s="1"/>
  <c r="D4093" i="3"/>
  <c r="N4092" i="3"/>
  <c r="U4092" i="3" s="1"/>
  <c r="D4092" i="3"/>
  <c r="N4091" i="3"/>
  <c r="X4091" i="3" s="1"/>
  <c r="D4091" i="3"/>
  <c r="N4090" i="3"/>
  <c r="U4090" i="3" s="1"/>
  <c r="D4090" i="3"/>
  <c r="N4089" i="3"/>
  <c r="X4089" i="3" s="1"/>
  <c r="D4089" i="3"/>
  <c r="N4088" i="3"/>
  <c r="U4088" i="3" s="1"/>
  <c r="D4088" i="3"/>
  <c r="N4087" i="3"/>
  <c r="X4087" i="3" s="1"/>
  <c r="D4087" i="3"/>
  <c r="N4086" i="3"/>
  <c r="U4086" i="3" s="1"/>
  <c r="D4086" i="3"/>
  <c r="N4085" i="3"/>
  <c r="X4085" i="3" s="1"/>
  <c r="D4085" i="3"/>
  <c r="N4084" i="3"/>
  <c r="U4084" i="3" s="1"/>
  <c r="D4084" i="3"/>
  <c r="N4083" i="3"/>
  <c r="X4083" i="3" s="1"/>
  <c r="D4083" i="3"/>
  <c r="N4082" i="3"/>
  <c r="U4082" i="3" s="1"/>
  <c r="D4082" i="3"/>
  <c r="N4081" i="3"/>
  <c r="X4081" i="3" s="1"/>
  <c r="D4081" i="3"/>
  <c r="N4080" i="3"/>
  <c r="U4080" i="3" s="1"/>
  <c r="D4080" i="3"/>
  <c r="N4079" i="3"/>
  <c r="X4079" i="3" s="1"/>
  <c r="D4079" i="3"/>
  <c r="N4024" i="3"/>
  <c r="X4024" i="3" s="1"/>
  <c r="D4024" i="3"/>
  <c r="N4023" i="3"/>
  <c r="X4023" i="3" s="1"/>
  <c r="D4023" i="3"/>
  <c r="N4022" i="3"/>
  <c r="U4022" i="3" s="1"/>
  <c r="D4022" i="3"/>
  <c r="N4021" i="3"/>
  <c r="D4021" i="3"/>
  <c r="N4020" i="3"/>
  <c r="X4020" i="3" s="1"/>
  <c r="D4020" i="3"/>
  <c r="N4019" i="3"/>
  <c r="D4019" i="3"/>
  <c r="N4018" i="3"/>
  <c r="X4018" i="3" s="1"/>
  <c r="D4018" i="3"/>
  <c r="N4017" i="3"/>
  <c r="U4017" i="3" s="1"/>
  <c r="D4017" i="3"/>
  <c r="N4016" i="3"/>
  <c r="X4016" i="3" s="1"/>
  <c r="D4016" i="3"/>
  <c r="N4015" i="3"/>
  <c r="U4015" i="3" s="1"/>
  <c r="D4015" i="3"/>
  <c r="N4014" i="3"/>
  <c r="X4014" i="3" s="1"/>
  <c r="D4014" i="3"/>
  <c r="N4013" i="3"/>
  <c r="U4013" i="3" s="1"/>
  <c r="D4013" i="3"/>
  <c r="N4012" i="3"/>
  <c r="X4012" i="3" s="1"/>
  <c r="D4012" i="3"/>
  <c r="N4011" i="3"/>
  <c r="U4011" i="3" s="1"/>
  <c r="D4011" i="3"/>
  <c r="N4010" i="3"/>
  <c r="U4010" i="3" s="1"/>
  <c r="D4010" i="3"/>
  <c r="N4009" i="3"/>
  <c r="U4009" i="3" s="1"/>
  <c r="D4009" i="3"/>
  <c r="N4008" i="3"/>
  <c r="X4008" i="3" s="1"/>
  <c r="D4008" i="3"/>
  <c r="N4007" i="3"/>
  <c r="U4007" i="3" s="1"/>
  <c r="D4007" i="3"/>
  <c r="N4006" i="3"/>
  <c r="U4006" i="3" s="1"/>
  <c r="D4006" i="3"/>
  <c r="N4005" i="3"/>
  <c r="U4005" i="3" s="1"/>
  <c r="D4005" i="3"/>
  <c r="N4004" i="3"/>
  <c r="X4004" i="3" s="1"/>
  <c r="D4004" i="3"/>
  <c r="N4003" i="3"/>
  <c r="U4003" i="3" s="1"/>
  <c r="D4003" i="3"/>
  <c r="N4002" i="3"/>
  <c r="X4002" i="3" s="1"/>
  <c r="D4002" i="3"/>
  <c r="N4001" i="3"/>
  <c r="X4001" i="3" s="1"/>
  <c r="D4001" i="3"/>
  <c r="N4000" i="3"/>
  <c r="U4000" i="3" s="1"/>
  <c r="D4000" i="3"/>
  <c r="N3999" i="3"/>
  <c r="X3999" i="3" s="1"/>
  <c r="D3999" i="3"/>
  <c r="N3998" i="3"/>
  <c r="U3998" i="3" s="1"/>
  <c r="D3998" i="3"/>
  <c r="N3997" i="3"/>
  <c r="X3997" i="3" s="1"/>
  <c r="D3997" i="3"/>
  <c r="N3996" i="3"/>
  <c r="U3996" i="3" s="1"/>
  <c r="D3996" i="3"/>
  <c r="N3995" i="3"/>
  <c r="X3995" i="3" s="1"/>
  <c r="D3995" i="3"/>
  <c r="N3994" i="3"/>
  <c r="U3994" i="3" s="1"/>
  <c r="D3994" i="3"/>
  <c r="N3993" i="3"/>
  <c r="U3993" i="3" s="1"/>
  <c r="D3993" i="3"/>
  <c r="N3992" i="3"/>
  <c r="U3992" i="3" s="1"/>
  <c r="D3992" i="3"/>
  <c r="N3991" i="3"/>
  <c r="X3991" i="3" s="1"/>
  <c r="D3991" i="3"/>
  <c r="N3990" i="3"/>
  <c r="U3990" i="3" s="1"/>
  <c r="D3990" i="3"/>
  <c r="N3989" i="3"/>
  <c r="U3989" i="3" s="1"/>
  <c r="D3989" i="3"/>
  <c r="N3988" i="3"/>
  <c r="U3988" i="3" s="1"/>
  <c r="D3988" i="3"/>
  <c r="N3987" i="3"/>
  <c r="X3987" i="3" s="1"/>
  <c r="D3987" i="3"/>
  <c r="N3986" i="3"/>
  <c r="U3986" i="3" s="1"/>
  <c r="D3986" i="3"/>
  <c r="N3985" i="3"/>
  <c r="X3985" i="3" s="1"/>
  <c r="D3985" i="3"/>
  <c r="N3984" i="3"/>
  <c r="U3984" i="3" s="1"/>
  <c r="D3984" i="3"/>
  <c r="N3983" i="3"/>
  <c r="X3983" i="3" s="1"/>
  <c r="D3983" i="3"/>
  <c r="N3982" i="3"/>
  <c r="U3982" i="3" s="1"/>
  <c r="D3982" i="3"/>
  <c r="N3981" i="3"/>
  <c r="X3981" i="3" s="1"/>
  <c r="D3981" i="3"/>
  <c r="N3980" i="3"/>
  <c r="X3980" i="3" s="1"/>
  <c r="D3980" i="3"/>
  <c r="N3979" i="3"/>
  <c r="U3979" i="3" s="1"/>
  <c r="D3979" i="3"/>
  <c r="N3978" i="3"/>
  <c r="U3978" i="3" s="1"/>
  <c r="D3978" i="3"/>
  <c r="N3977" i="3"/>
  <c r="U3977" i="3" s="1"/>
  <c r="D3977" i="3"/>
  <c r="N3976" i="3"/>
  <c r="X3976" i="3" s="1"/>
  <c r="D3976" i="3"/>
  <c r="N3975" i="3"/>
  <c r="U3975" i="3" s="1"/>
  <c r="D3975" i="3"/>
  <c r="N3974" i="3"/>
  <c r="U3974" i="3" s="1"/>
  <c r="D3974" i="3"/>
  <c r="N3973" i="3"/>
  <c r="U3973" i="3" s="1"/>
  <c r="D3973" i="3"/>
  <c r="N3972" i="3"/>
  <c r="X3972" i="3" s="1"/>
  <c r="D3972" i="3"/>
  <c r="N3971" i="3"/>
  <c r="U3971" i="3" s="1"/>
  <c r="D3971" i="3"/>
  <c r="N3970" i="3"/>
  <c r="U3970" i="3" s="1"/>
  <c r="D3970" i="3"/>
  <c r="N3969" i="3"/>
  <c r="U3969" i="3" s="1"/>
  <c r="D3969" i="3"/>
  <c r="N3968" i="3"/>
  <c r="X3968" i="3" s="1"/>
  <c r="D3968" i="3"/>
  <c r="N3967" i="3"/>
  <c r="U3967" i="3" s="1"/>
  <c r="D3967" i="3"/>
  <c r="N3966" i="3"/>
  <c r="U3966" i="3" s="1"/>
  <c r="D3966" i="3"/>
  <c r="N3965" i="3"/>
  <c r="U3965" i="3" s="1"/>
  <c r="D3965" i="3"/>
  <c r="N3964" i="3"/>
  <c r="X3964" i="3" s="1"/>
  <c r="D3964" i="3"/>
  <c r="N3963" i="3"/>
  <c r="U3963" i="3" s="1"/>
  <c r="D3963" i="3"/>
  <c r="N3962" i="3"/>
  <c r="X3962" i="3" s="1"/>
  <c r="D3962" i="3"/>
  <c r="N3961" i="3"/>
  <c r="U3961" i="3" s="1"/>
  <c r="D3961" i="3"/>
  <c r="N3960" i="3"/>
  <c r="X3960" i="3" s="1"/>
  <c r="D3960" i="3"/>
  <c r="N3959" i="3"/>
  <c r="U3959" i="3" s="1"/>
  <c r="D3959" i="3"/>
  <c r="N3958" i="3"/>
  <c r="U3958" i="3" s="1"/>
  <c r="D3958" i="3"/>
  <c r="N3957" i="3"/>
  <c r="U3957" i="3" s="1"/>
  <c r="D3957" i="3"/>
  <c r="N3956" i="3"/>
  <c r="X3956" i="3" s="1"/>
  <c r="D3956" i="3"/>
  <c r="N3955" i="3"/>
  <c r="U3955" i="3" s="1"/>
  <c r="D3955" i="3"/>
  <c r="N3954" i="3"/>
  <c r="U3954" i="3" s="1"/>
  <c r="D3954" i="3"/>
  <c r="N3953" i="3"/>
  <c r="U3953" i="3" s="1"/>
  <c r="D3953" i="3"/>
  <c r="N3952" i="3"/>
  <c r="X3952" i="3" s="1"/>
  <c r="D3952" i="3"/>
  <c r="N3951" i="3"/>
  <c r="D3951" i="3"/>
  <c r="N3950" i="3"/>
  <c r="X3950" i="3" s="1"/>
  <c r="D3950" i="3"/>
  <c r="N3949" i="3"/>
  <c r="X3949" i="3" s="1"/>
  <c r="D3949" i="3"/>
  <c r="N3948" i="3"/>
  <c r="D3948" i="3"/>
  <c r="N3947" i="3"/>
  <c r="D3947" i="3"/>
  <c r="N3946" i="3"/>
  <c r="D3946" i="3"/>
  <c r="N3945" i="3"/>
  <c r="D3945" i="3"/>
  <c r="N3944" i="3"/>
  <c r="D3944" i="3"/>
  <c r="N3943" i="3"/>
  <c r="D3943" i="3"/>
  <c r="N3942" i="3"/>
  <c r="D3942" i="3"/>
  <c r="N3941" i="3"/>
  <c r="D3941" i="3"/>
  <c r="N3940" i="3"/>
  <c r="D3940" i="3"/>
  <c r="N3939" i="3"/>
  <c r="D3939" i="3"/>
  <c r="N3938" i="3"/>
  <c r="D3938" i="3"/>
  <c r="N3937" i="3"/>
  <c r="D3937" i="3"/>
  <c r="N3936" i="3"/>
  <c r="D3936" i="3"/>
  <c r="N3935" i="3"/>
  <c r="U3935" i="3" s="1"/>
  <c r="D3935" i="3"/>
  <c r="N3934" i="3"/>
  <c r="X3934" i="3" s="1"/>
  <c r="D3934" i="3"/>
  <c r="N3933" i="3"/>
  <c r="X3933" i="3" s="1"/>
  <c r="D3933" i="3"/>
  <c r="N3932" i="3"/>
  <c r="X3932" i="3" s="1"/>
  <c r="D3932" i="3"/>
  <c r="N3931" i="3"/>
  <c r="U3931" i="3" s="1"/>
  <c r="D3931" i="3"/>
  <c r="N3930" i="3"/>
  <c r="X3930" i="3" s="1"/>
  <c r="D3930" i="3"/>
  <c r="N3929" i="3"/>
  <c r="X3929" i="3" s="1"/>
  <c r="D3929" i="3"/>
  <c r="N3928" i="3"/>
  <c r="U3928" i="3" s="1"/>
  <c r="D3928" i="3"/>
  <c r="N3927" i="3"/>
  <c r="X3927" i="3" s="1"/>
  <c r="D3927" i="3"/>
  <c r="N3926" i="3"/>
  <c r="U3926" i="3" s="1"/>
  <c r="D3926" i="3"/>
  <c r="N3925" i="3"/>
  <c r="X3925" i="3" s="1"/>
  <c r="D3925" i="3"/>
  <c r="N3924" i="3"/>
  <c r="U3924" i="3" s="1"/>
  <c r="D3924" i="3"/>
  <c r="N3923" i="3"/>
  <c r="X3923" i="3" s="1"/>
  <c r="D3923" i="3"/>
  <c r="N3922" i="3"/>
  <c r="U3922" i="3" s="1"/>
  <c r="D3922" i="3"/>
  <c r="N3921" i="3"/>
  <c r="X3921" i="3" s="1"/>
  <c r="D3921" i="3"/>
  <c r="N3920" i="3"/>
  <c r="U3920" i="3" s="1"/>
  <c r="D3920" i="3"/>
  <c r="N3919" i="3"/>
  <c r="X3919" i="3" s="1"/>
  <c r="D3919" i="3"/>
  <c r="N3918" i="3"/>
  <c r="U3918" i="3" s="1"/>
  <c r="D3918" i="3"/>
  <c r="N3917" i="3"/>
  <c r="X3917" i="3" s="1"/>
  <c r="D3917" i="3"/>
  <c r="N3916" i="3"/>
  <c r="U3916" i="3" s="1"/>
  <c r="D3916" i="3"/>
  <c r="N3915" i="3"/>
  <c r="X3915" i="3" s="1"/>
  <c r="D3915" i="3"/>
  <c r="N3914" i="3"/>
  <c r="U3914" i="3" s="1"/>
  <c r="D3914" i="3"/>
  <c r="N3913" i="3"/>
  <c r="X3913" i="3" s="1"/>
  <c r="D3913" i="3"/>
  <c r="N3912" i="3"/>
  <c r="U3912" i="3" s="1"/>
  <c r="D3912" i="3"/>
  <c r="N3911" i="3"/>
  <c r="X3911" i="3" s="1"/>
  <c r="D3911" i="3"/>
  <c r="N3910" i="3"/>
  <c r="U3910" i="3" s="1"/>
  <c r="D3910" i="3"/>
  <c r="N3909" i="3"/>
  <c r="X3909" i="3" s="1"/>
  <c r="D3909" i="3"/>
  <c r="N3908" i="3"/>
  <c r="X3908" i="3" s="1"/>
  <c r="D3908" i="3"/>
  <c r="N3907" i="3"/>
  <c r="U3907" i="3" s="1"/>
  <c r="D3907" i="3"/>
  <c r="N3906" i="3"/>
  <c r="X3906" i="3" s="1"/>
  <c r="D3906" i="3"/>
  <c r="N3905" i="3"/>
  <c r="U3905" i="3" s="1"/>
  <c r="D3905" i="3"/>
  <c r="N3904" i="3"/>
  <c r="X3904" i="3" s="1"/>
  <c r="D3904" i="3"/>
  <c r="N3903" i="3"/>
  <c r="U3903" i="3" s="1"/>
  <c r="D3903" i="3"/>
  <c r="N3902" i="3"/>
  <c r="X3902" i="3" s="1"/>
  <c r="D3902" i="3"/>
  <c r="N3901" i="3"/>
  <c r="U3901" i="3" s="1"/>
  <c r="D3901" i="3"/>
  <c r="N3900" i="3"/>
  <c r="X3900" i="3" s="1"/>
  <c r="D3900" i="3"/>
  <c r="N3899" i="3"/>
  <c r="U3899" i="3" s="1"/>
  <c r="D3899" i="3"/>
  <c r="N3898" i="3"/>
  <c r="X3898" i="3" s="1"/>
  <c r="D3898" i="3"/>
  <c r="N3897" i="3"/>
  <c r="U3897" i="3" s="1"/>
  <c r="D3897" i="3"/>
  <c r="N3896" i="3"/>
  <c r="X3896" i="3" s="1"/>
  <c r="D3896" i="3"/>
  <c r="N3895" i="3"/>
  <c r="U3895" i="3" s="1"/>
  <c r="D3895" i="3"/>
  <c r="N3894" i="3"/>
  <c r="X3894" i="3" s="1"/>
  <c r="D3894" i="3"/>
  <c r="N3893" i="3"/>
  <c r="U3893" i="3" s="1"/>
  <c r="D3893" i="3"/>
  <c r="N3892" i="3"/>
  <c r="X3892" i="3" s="1"/>
  <c r="D3892" i="3"/>
  <c r="N3891" i="3"/>
  <c r="U3891" i="3" s="1"/>
  <c r="D3891" i="3"/>
  <c r="N3890" i="3"/>
  <c r="X3890" i="3" s="1"/>
  <c r="D3890" i="3"/>
  <c r="N3889" i="3"/>
  <c r="U3889" i="3" s="1"/>
  <c r="D3889" i="3"/>
  <c r="N3888" i="3"/>
  <c r="X3888" i="3" s="1"/>
  <c r="D3888" i="3"/>
  <c r="N3887" i="3"/>
  <c r="U3887" i="3" s="1"/>
  <c r="D3887" i="3"/>
  <c r="N3886" i="3"/>
  <c r="X3886" i="3" s="1"/>
  <c r="D3886" i="3"/>
  <c r="N3885" i="3"/>
  <c r="U3885" i="3" s="1"/>
  <c r="D3885" i="3"/>
  <c r="N3884" i="3"/>
  <c r="X3884" i="3" s="1"/>
  <c r="D3884" i="3"/>
  <c r="N3883" i="3"/>
  <c r="U3883" i="3" s="1"/>
  <c r="D3883" i="3"/>
  <c r="N3882" i="3"/>
  <c r="X3882" i="3" s="1"/>
  <c r="D3882" i="3"/>
  <c r="N3881" i="3"/>
  <c r="U3881" i="3" s="1"/>
  <c r="D3881" i="3"/>
  <c r="A2302" i="3"/>
  <c r="A2303" i="3"/>
  <c r="A2304" i="3"/>
  <c r="A2305" i="3"/>
  <c r="U5758" i="3"/>
  <c r="I5758" i="3"/>
  <c r="D5758" i="3"/>
  <c r="A5758" i="3"/>
  <c r="I5735" i="3"/>
  <c r="U5735" i="3"/>
  <c r="D5735" i="3"/>
  <c r="A5735" i="3"/>
  <c r="U5397" i="3"/>
  <c r="I5397" i="3"/>
  <c r="D5397" i="3"/>
  <c r="A5397" i="3"/>
  <c r="U5383" i="3"/>
  <c r="I5383" i="3"/>
  <c r="D5383" i="3"/>
  <c r="A5383" i="3"/>
  <c r="U5369" i="3"/>
  <c r="I5369" i="3"/>
  <c r="D5369" i="3"/>
  <c r="A5369" i="3"/>
  <c r="U5355" i="3"/>
  <c r="I5355" i="3"/>
  <c r="D5355" i="3"/>
  <c r="A5355" i="3"/>
  <c r="U5274" i="3"/>
  <c r="I5274" i="3"/>
  <c r="D5274" i="3"/>
  <c r="A5274" i="3"/>
  <c r="I5251" i="3"/>
  <c r="U5251" i="3"/>
  <c r="D5251" i="3"/>
  <c r="A5251" i="3"/>
  <c r="U5006" i="3"/>
  <c r="D5006" i="3"/>
  <c r="A5006" i="3"/>
  <c r="U4924" i="3"/>
  <c r="D4924" i="3"/>
  <c r="A4924" i="3"/>
  <c r="N2667" i="3"/>
  <c r="X2667" i="3" s="1"/>
  <c r="D2667" i="3"/>
  <c r="A2667" i="3"/>
  <c r="N2648" i="3"/>
  <c r="X2648" i="3" s="1"/>
  <c r="D2648" i="3"/>
  <c r="A2648" i="3"/>
  <c r="N2629" i="3"/>
  <c r="X2629" i="3" s="1"/>
  <c r="D2629" i="3"/>
  <c r="A2629" i="3"/>
  <c r="N2610" i="3"/>
  <c r="U2610" i="3" s="1"/>
  <c r="D2610" i="3"/>
  <c r="A2610" i="3"/>
  <c r="N2153" i="3"/>
  <c r="X2153" i="3" s="1"/>
  <c r="D2153" i="3"/>
  <c r="A2153" i="3"/>
  <c r="N2106" i="3"/>
  <c r="X2106" i="3" s="1"/>
  <c r="D2106" i="3"/>
  <c r="A2106" i="3"/>
  <c r="N2084" i="3"/>
  <c r="X2084" i="3" s="1"/>
  <c r="D2084" i="3"/>
  <c r="A2084" i="3"/>
  <c r="Z11" i="83"/>
  <c r="Z9" i="83"/>
  <c r="A4736" i="3"/>
  <c r="D4736" i="3"/>
  <c r="U4736" i="3"/>
  <c r="A4733" i="3"/>
  <c r="D4733" i="3"/>
  <c r="U4733" i="3"/>
  <c r="A4734" i="3"/>
  <c r="D4734" i="3"/>
  <c r="U4734" i="3"/>
  <c r="A4735" i="3"/>
  <c r="D4735" i="3"/>
  <c r="U4735" i="3"/>
  <c r="I5654" i="3"/>
  <c r="I5652" i="3"/>
  <c r="I5649" i="3"/>
  <c r="U5652" i="3"/>
  <c r="D5652" i="3"/>
  <c r="A5652" i="3"/>
  <c r="U5651" i="3"/>
  <c r="D5651" i="3"/>
  <c r="A5651" i="3"/>
  <c r="D5649" i="3"/>
  <c r="U5649" i="3"/>
  <c r="D5650" i="3"/>
  <c r="U5650" i="3"/>
  <c r="I5637" i="3"/>
  <c r="I5635" i="3"/>
  <c r="I5632" i="3"/>
  <c r="U5635" i="3"/>
  <c r="D5635" i="3"/>
  <c r="A5635" i="3"/>
  <c r="U5634" i="3"/>
  <c r="D5634" i="3"/>
  <c r="A5634" i="3"/>
  <c r="A5632" i="3"/>
  <c r="A5633" i="3" s="1"/>
  <c r="D5632" i="3"/>
  <c r="U5632" i="3"/>
  <c r="D5633" i="3"/>
  <c r="U5633" i="3"/>
  <c r="I5620" i="3"/>
  <c r="I5618" i="3"/>
  <c r="I5615" i="3"/>
  <c r="U5618" i="3"/>
  <c r="D5618" i="3"/>
  <c r="A5618" i="3"/>
  <c r="U5617" i="3"/>
  <c r="D5617" i="3"/>
  <c r="A5617" i="3"/>
  <c r="A5615" i="3"/>
  <c r="D5615" i="3"/>
  <c r="U5615" i="3"/>
  <c r="A5616" i="3"/>
  <c r="D5616" i="3"/>
  <c r="U5616" i="3"/>
  <c r="I5603" i="3"/>
  <c r="I5601" i="3"/>
  <c r="I5598" i="3"/>
  <c r="U5601" i="3"/>
  <c r="D5601" i="3"/>
  <c r="A5601" i="3"/>
  <c r="U5600" i="3"/>
  <c r="D5600" i="3"/>
  <c r="A5600" i="3"/>
  <c r="D5598" i="3"/>
  <c r="U5598" i="3"/>
  <c r="D5599" i="3"/>
  <c r="U5599" i="3"/>
  <c r="I5586" i="3"/>
  <c r="I5584" i="3"/>
  <c r="I5581" i="3"/>
  <c r="U5584" i="3"/>
  <c r="D5584" i="3"/>
  <c r="A5584" i="3"/>
  <c r="U5583" i="3"/>
  <c r="D5583" i="3"/>
  <c r="A5583" i="3"/>
  <c r="D5581" i="3"/>
  <c r="U5581" i="3"/>
  <c r="D5582" i="3"/>
  <c r="U5582" i="3"/>
  <c r="I5569" i="3"/>
  <c r="I5567" i="3"/>
  <c r="I5564" i="3"/>
  <c r="U5567" i="3"/>
  <c r="D5567" i="3"/>
  <c r="A5567" i="3"/>
  <c r="U5566" i="3"/>
  <c r="D5566" i="3"/>
  <c r="A5566" i="3"/>
  <c r="A5564" i="3"/>
  <c r="D5564" i="3"/>
  <c r="U5564" i="3"/>
  <c r="A5565" i="3"/>
  <c r="D5565" i="3"/>
  <c r="U5565" i="3"/>
  <c r="I5342" i="3"/>
  <c r="I5340" i="3"/>
  <c r="I5337" i="3"/>
  <c r="U5340" i="3"/>
  <c r="D5340" i="3"/>
  <c r="A5340" i="3"/>
  <c r="U5339" i="3"/>
  <c r="D5339" i="3"/>
  <c r="A5339" i="3"/>
  <c r="A5337" i="3"/>
  <c r="D5337" i="3"/>
  <c r="U5337" i="3"/>
  <c r="A5338" i="3"/>
  <c r="D5338" i="3"/>
  <c r="U5338" i="3"/>
  <c r="I5325" i="3"/>
  <c r="I5323" i="3"/>
  <c r="I5320" i="3"/>
  <c r="U5323" i="3"/>
  <c r="D5323" i="3"/>
  <c r="A5323" i="3"/>
  <c r="U5322" i="3"/>
  <c r="D5322" i="3"/>
  <c r="A5322" i="3"/>
  <c r="A5320" i="3"/>
  <c r="D5320" i="3"/>
  <c r="U5320" i="3"/>
  <c r="A5321" i="3"/>
  <c r="D5321" i="3"/>
  <c r="U5321" i="3"/>
  <c r="I5308" i="3"/>
  <c r="I5306" i="3"/>
  <c r="I5303" i="3"/>
  <c r="A5304" i="3"/>
  <c r="D5304" i="3"/>
  <c r="U5304" i="3"/>
  <c r="A5305" i="3"/>
  <c r="D5305" i="3"/>
  <c r="U5305" i="3"/>
  <c r="A5306" i="3"/>
  <c r="D5306" i="3"/>
  <c r="U5306" i="3"/>
  <c r="A5307" i="3"/>
  <c r="D5307" i="3"/>
  <c r="U5307" i="3"/>
  <c r="U5290" i="3"/>
  <c r="D5290" i="3"/>
  <c r="A5290" i="3"/>
  <c r="U5289" i="3"/>
  <c r="I5289" i="3"/>
  <c r="D5289" i="3"/>
  <c r="A5289" i="3"/>
  <c r="U5286" i="3"/>
  <c r="I5286" i="3"/>
  <c r="D5286" i="3"/>
  <c r="A5286" i="3"/>
  <c r="A5287" i="3"/>
  <c r="D5287" i="3"/>
  <c r="U5287" i="3"/>
  <c r="U5118" i="3"/>
  <c r="I5118" i="3"/>
  <c r="D5118" i="3"/>
  <c r="A5118" i="3"/>
  <c r="U5115" i="3"/>
  <c r="I5115" i="3"/>
  <c r="D5115" i="3"/>
  <c r="A5115" i="3"/>
  <c r="U5099" i="3"/>
  <c r="I5099" i="3"/>
  <c r="D5099" i="3"/>
  <c r="A5099" i="3"/>
  <c r="U5096" i="3"/>
  <c r="I5096" i="3"/>
  <c r="D5096" i="3"/>
  <c r="A5096" i="3"/>
  <c r="U5080" i="3"/>
  <c r="I5080" i="3"/>
  <c r="D5080" i="3"/>
  <c r="A5080" i="3"/>
  <c r="U5077" i="3"/>
  <c r="I5077" i="3"/>
  <c r="D5077" i="3"/>
  <c r="A5077" i="3"/>
  <c r="U5061" i="3"/>
  <c r="I5061" i="3"/>
  <c r="D5061" i="3"/>
  <c r="A5061" i="3"/>
  <c r="U5058" i="3"/>
  <c r="I5058" i="3"/>
  <c r="D5058" i="3"/>
  <c r="A5058" i="3"/>
  <c r="U5042" i="3"/>
  <c r="I5042" i="3"/>
  <c r="D5042" i="3"/>
  <c r="A5042" i="3"/>
  <c r="U5039" i="3"/>
  <c r="I5039" i="3"/>
  <c r="D5039" i="3"/>
  <c r="A5039" i="3"/>
  <c r="U5023" i="3"/>
  <c r="I5023" i="3"/>
  <c r="D5023" i="3"/>
  <c r="A5023" i="3"/>
  <c r="U5020" i="3"/>
  <c r="I5020" i="3"/>
  <c r="D5020" i="3"/>
  <c r="A5020" i="3"/>
  <c r="U4798" i="3"/>
  <c r="I4798" i="3"/>
  <c r="D4798" i="3"/>
  <c r="A4798" i="3"/>
  <c r="U4795" i="3"/>
  <c r="I4795" i="3"/>
  <c r="D4795" i="3"/>
  <c r="A4795" i="3"/>
  <c r="U4779" i="3"/>
  <c r="I4779" i="3"/>
  <c r="D4779" i="3"/>
  <c r="A4779" i="3"/>
  <c r="U4776" i="3"/>
  <c r="I4776" i="3"/>
  <c r="D4776" i="3"/>
  <c r="A4776" i="3"/>
  <c r="U4760" i="3"/>
  <c r="I4760" i="3"/>
  <c r="D4760" i="3"/>
  <c r="A4760" i="3"/>
  <c r="I4757" i="3"/>
  <c r="U4757" i="3"/>
  <c r="D4757" i="3"/>
  <c r="A4757" i="3"/>
  <c r="U4741" i="3"/>
  <c r="I4741" i="3"/>
  <c r="D4741" i="3"/>
  <c r="A4741" i="3"/>
  <c r="I4738" i="3"/>
  <c r="A4738" i="3"/>
  <c r="D4738" i="3"/>
  <c r="U4738" i="3"/>
  <c r="A2050" i="3"/>
  <c r="D2050" i="3"/>
  <c r="N2050" i="3"/>
  <c r="X2050" i="3" s="1"/>
  <c r="I5122" i="3"/>
  <c r="I5121" i="3"/>
  <c r="D5116" i="3"/>
  <c r="U5116" i="3"/>
  <c r="A5119" i="3"/>
  <c r="D5119" i="3"/>
  <c r="U5119" i="3"/>
  <c r="A5122" i="3"/>
  <c r="D5122" i="3"/>
  <c r="U5122" i="3"/>
  <c r="I5103" i="3"/>
  <c r="I5102" i="3"/>
  <c r="A5103" i="3"/>
  <c r="D5103" i="3"/>
  <c r="U5103" i="3"/>
  <c r="A5100" i="3"/>
  <c r="D5100" i="3"/>
  <c r="U5100" i="3"/>
  <c r="D5097" i="3"/>
  <c r="U5097" i="3"/>
  <c r="I5084" i="3"/>
  <c r="I5083" i="3"/>
  <c r="A5084" i="3"/>
  <c r="D5084" i="3"/>
  <c r="U5084" i="3"/>
  <c r="A5081" i="3"/>
  <c r="D5081" i="3"/>
  <c r="U5081" i="3"/>
  <c r="D5078" i="3"/>
  <c r="U5078" i="3"/>
  <c r="I5065" i="3"/>
  <c r="I5064" i="3"/>
  <c r="A5065" i="3"/>
  <c r="D5065" i="3"/>
  <c r="U5065" i="3"/>
  <c r="A5062" i="3"/>
  <c r="D5062" i="3"/>
  <c r="U5062" i="3"/>
  <c r="D5059" i="3"/>
  <c r="U5059" i="3"/>
  <c r="I5046" i="3"/>
  <c r="I5045" i="3"/>
  <c r="A5043" i="3"/>
  <c r="D5043" i="3"/>
  <c r="U5043" i="3"/>
  <c r="D5040" i="3"/>
  <c r="U5040" i="3"/>
  <c r="A5046" i="3"/>
  <c r="D5046" i="3"/>
  <c r="U5046" i="3"/>
  <c r="I5027" i="3"/>
  <c r="I5026" i="3"/>
  <c r="A5027" i="3"/>
  <c r="D5027" i="3"/>
  <c r="U5027" i="3"/>
  <c r="A5024" i="3"/>
  <c r="D5024" i="3"/>
  <c r="U5024" i="3"/>
  <c r="D5021" i="3"/>
  <c r="U5021" i="3"/>
  <c r="AC26" i="88"/>
  <c r="AB26" i="88"/>
  <c r="U26" i="88"/>
  <c r="T26" i="88"/>
  <c r="AD26" i="88"/>
  <c r="AF26" i="88"/>
  <c r="Z28" i="88"/>
  <c r="AA26" i="88"/>
  <c r="AE26" i="88"/>
  <c r="W26" i="88" l="1"/>
  <c r="V26" i="88"/>
  <c r="X26" i="88"/>
  <c r="Y30" i="88"/>
  <c r="S27" i="88"/>
  <c r="R27" i="88"/>
  <c r="A27" i="88"/>
  <c r="X3260" i="3"/>
  <c r="U3261" i="3"/>
  <c r="U3105" i="3"/>
  <c r="X3115" i="3"/>
  <c r="U3116" i="3"/>
  <c r="X3124" i="3"/>
  <c r="X2747" i="3"/>
  <c r="X2748" i="3"/>
  <c r="U2749" i="3"/>
  <c r="X2843" i="3"/>
  <c r="U2844" i="3"/>
  <c r="X2759" i="3"/>
  <c r="X2760" i="3"/>
  <c r="U2725" i="3"/>
  <c r="X3090" i="3"/>
  <c r="U3092" i="3"/>
  <c r="X2796" i="3"/>
  <c r="X2797" i="3"/>
  <c r="U2798" i="3"/>
  <c r="X2826" i="3"/>
  <c r="U2828" i="3"/>
  <c r="U2892" i="3"/>
  <c r="U2925" i="3"/>
  <c r="X3039" i="3"/>
  <c r="X3047" i="3"/>
  <c r="X3048" i="3"/>
  <c r="U3050" i="3"/>
  <c r="U3099" i="3"/>
  <c r="X3152" i="3"/>
  <c r="X3268" i="3"/>
  <c r="X3061" i="3"/>
  <c r="U3081" i="3"/>
  <c r="X3082" i="3"/>
  <c r="U3083" i="3"/>
  <c r="X3136" i="3"/>
  <c r="X3265" i="3"/>
  <c r="X2706" i="3"/>
  <c r="U2794" i="3"/>
  <c r="X2992" i="3"/>
  <c r="U2993" i="3"/>
  <c r="X3095" i="3"/>
  <c r="X3132" i="3"/>
  <c r="X3151" i="3"/>
  <c r="X3163" i="3"/>
  <c r="X3219" i="3"/>
  <c r="U3220" i="3"/>
  <c r="X3269" i="3"/>
  <c r="X2800" i="3"/>
  <c r="U2825" i="3"/>
  <c r="X3119" i="3"/>
  <c r="X3223" i="3"/>
  <c r="U3224" i="3"/>
  <c r="X3264" i="3"/>
  <c r="X3275" i="3"/>
  <c r="U3276" i="3"/>
  <c r="X2707" i="3"/>
  <c r="U2708" i="3"/>
  <c r="X2726" i="3"/>
  <c r="U2727" i="3"/>
  <c r="U2739" i="3"/>
  <c r="U2689" i="3"/>
  <c r="U2695" i="3"/>
  <c r="U2703" i="3"/>
  <c r="X2709" i="3"/>
  <c r="U2710" i="3"/>
  <c r="X2713" i="3"/>
  <c r="U2714" i="3"/>
  <c r="X2715" i="3"/>
  <c r="U2716" i="3"/>
  <c r="U2723" i="3"/>
  <c r="X2728" i="3"/>
  <c r="U2729" i="3"/>
  <c r="X2730" i="3"/>
  <c r="U2731" i="3"/>
  <c r="X2740" i="3"/>
  <c r="U2741" i="3"/>
  <c r="X2742" i="3"/>
  <c r="U2743" i="3"/>
  <c r="U2745" i="3"/>
  <c r="U2775" i="3"/>
  <c r="U2817" i="3"/>
  <c r="U2821" i="3"/>
  <c r="X2847" i="3"/>
  <c r="U2848" i="3"/>
  <c r="U2900" i="3"/>
  <c r="U2921" i="3"/>
  <c r="X2922" i="3"/>
  <c r="U2923" i="3"/>
  <c r="X3043" i="3"/>
  <c r="X3044" i="3"/>
  <c r="U3045" i="3"/>
  <c r="U3097" i="3"/>
  <c r="U3100" i="3"/>
  <c r="U3107" i="3"/>
  <c r="X3112" i="3"/>
  <c r="U3113" i="3"/>
  <c r="U3140" i="3"/>
  <c r="X3147" i="3"/>
  <c r="U3148" i="3"/>
  <c r="U3167" i="3"/>
  <c r="X3175" i="3"/>
  <c r="U3176" i="3"/>
  <c r="X3199" i="3"/>
  <c r="U3200" i="3"/>
  <c r="X2698" i="3"/>
  <c r="X2699" i="3"/>
  <c r="U2700" i="3"/>
  <c r="X2701" i="3"/>
  <c r="U2702" i="3"/>
  <c r="X2717" i="3"/>
  <c r="U2718" i="3"/>
  <c r="U2733" i="3"/>
  <c r="X2801" i="3"/>
  <c r="U2803" i="3"/>
  <c r="X2818" i="3"/>
  <c r="U2819" i="3"/>
  <c r="X2822" i="3"/>
  <c r="U2823" i="3"/>
  <c r="U2898" i="3"/>
  <c r="U3041" i="3"/>
  <c r="X3053" i="3"/>
  <c r="U3103" i="3"/>
  <c r="U3108" i="3"/>
  <c r="X3120" i="3"/>
  <c r="X3128" i="3"/>
  <c r="U3143" i="3"/>
  <c r="X3156" i="3"/>
  <c r="X3171" i="3"/>
  <c r="X3155" i="3"/>
  <c r="X3160" i="3"/>
  <c r="X3204" i="3"/>
  <c r="X2688" i="3"/>
  <c r="X2694" i="3"/>
  <c r="X2712" i="3"/>
  <c r="X2753" i="3"/>
  <c r="U2753" i="3"/>
  <c r="U2756" i="3"/>
  <c r="X2756" i="3"/>
  <c r="X2769" i="3"/>
  <c r="U2769" i="3"/>
  <c r="X2846" i="3"/>
  <c r="U2846" i="3"/>
  <c r="U2876" i="3"/>
  <c r="X2876" i="3"/>
  <c r="X2894" i="3"/>
  <c r="U2894" i="3"/>
  <c r="U2918" i="3"/>
  <c r="X2918" i="3"/>
  <c r="U3013" i="3"/>
  <c r="X3013" i="3"/>
  <c r="U2690" i="3"/>
  <c r="X2691" i="3"/>
  <c r="X2755" i="3"/>
  <c r="U2755" i="3"/>
  <c r="U2768" i="3"/>
  <c r="X2768" i="3"/>
  <c r="X2773" i="3"/>
  <c r="U2773" i="3"/>
  <c r="U2893" i="3"/>
  <c r="X2893" i="3"/>
  <c r="X2917" i="3"/>
  <c r="U2917" i="3"/>
  <c r="X3004" i="3"/>
  <c r="U3004" i="3"/>
  <c r="X3012" i="3"/>
  <c r="U3012" i="3"/>
  <c r="U2721" i="3"/>
  <c r="U2750" i="3"/>
  <c r="X2750" i="3"/>
  <c r="X2751" i="3"/>
  <c r="U2754" i="3"/>
  <c r="X2754" i="3"/>
  <c r="X2764" i="3"/>
  <c r="U2765" i="3"/>
  <c r="X2766" i="3"/>
  <c r="U2767" i="3"/>
  <c r="X2842" i="3"/>
  <c r="U2842" i="3"/>
  <c r="X2850" i="3"/>
  <c r="U2850" i="3"/>
  <c r="X2757" i="3"/>
  <c r="U2757" i="3"/>
  <c r="U2770" i="3"/>
  <c r="X2770" i="3"/>
  <c r="X2771" i="3"/>
  <c r="X2776" i="3"/>
  <c r="U2778" i="3"/>
  <c r="X2780" i="3"/>
  <c r="U2792" i="3"/>
  <c r="X2878" i="3"/>
  <c r="U2878" i="3"/>
  <c r="U2896" i="3"/>
  <c r="X2897" i="3"/>
  <c r="X2919" i="3"/>
  <c r="U2919" i="3"/>
  <c r="X3008" i="3"/>
  <c r="U3008" i="3"/>
  <c r="X3014" i="3"/>
  <c r="U3014" i="3"/>
  <c r="U3025" i="3"/>
  <c r="X3026" i="3"/>
  <c r="U3027" i="3"/>
  <c r="U3029" i="3"/>
  <c r="X3032" i="3"/>
  <c r="U3033" i="3"/>
  <c r="X3036" i="3"/>
  <c r="X3040" i="3"/>
  <c r="U3055" i="3"/>
  <c r="X3056" i="3"/>
  <c r="U3057" i="3"/>
  <c r="U3164" i="3"/>
  <c r="U3168" i="3"/>
  <c r="U3179" i="3"/>
  <c r="U3183" i="3"/>
  <c r="U3298" i="3"/>
  <c r="U2999" i="3"/>
  <c r="X3001" i="3"/>
  <c r="U3002" i="3"/>
  <c r="U3006" i="3"/>
  <c r="U3010" i="3"/>
  <c r="U3020" i="3"/>
  <c r="X3021" i="3"/>
  <c r="U3022" i="3"/>
  <c r="X3064" i="3"/>
  <c r="U3065" i="3"/>
  <c r="U3067" i="3"/>
  <c r="X3068" i="3"/>
  <c r="U3069" i="3"/>
  <c r="U3071" i="3"/>
  <c r="X3073" i="3"/>
  <c r="U3074" i="3"/>
  <c r="U3076" i="3"/>
  <c r="X3077" i="3"/>
  <c r="X3078" i="3"/>
  <c r="U3079" i="3"/>
  <c r="U3085" i="3"/>
  <c r="X3086" i="3"/>
  <c r="U3087" i="3"/>
  <c r="U3089" i="3"/>
  <c r="U3101" i="3"/>
  <c r="U3111" i="3"/>
  <c r="U3123" i="3"/>
  <c r="U3131" i="3"/>
  <c r="U3135" i="3"/>
  <c r="U3144" i="3"/>
  <c r="U3159" i="3"/>
  <c r="U3180" i="3"/>
  <c r="U3184" i="3"/>
  <c r="U3221" i="3"/>
  <c r="U3225" i="3"/>
  <c r="U3299" i="3"/>
  <c r="X2901" i="3"/>
  <c r="U2903" i="3"/>
  <c r="U2995" i="3"/>
  <c r="X2996" i="3"/>
  <c r="U2997" i="3"/>
  <c r="U3016" i="3"/>
  <c r="X3017" i="3"/>
  <c r="U3018" i="3"/>
  <c r="X3052" i="3"/>
  <c r="U3059" i="3"/>
  <c r="X3060" i="3"/>
  <c r="U3063" i="3"/>
  <c r="X3203" i="3"/>
  <c r="X2738" i="3"/>
  <c r="X2752" i="3"/>
  <c r="X2793" i="3"/>
  <c r="X2905" i="3"/>
  <c r="U2905" i="3"/>
  <c r="X2697" i="3"/>
  <c r="U2704" i="3"/>
  <c r="X2705" i="3"/>
  <c r="X2722" i="3"/>
  <c r="X2724" i="3"/>
  <c r="X2734" i="3"/>
  <c r="X2744" i="3"/>
  <c r="X2746" i="3"/>
  <c r="X2772" i="3"/>
  <c r="X2774" i="3"/>
  <c r="X2899" i="3"/>
  <c r="U2899" i="3"/>
  <c r="X2687" i="3"/>
  <c r="U2692" i="3"/>
  <c r="X2693" i="3"/>
  <c r="X2795" i="3"/>
  <c r="U2795" i="3"/>
  <c r="X2799" i="3"/>
  <c r="U2799" i="3"/>
  <c r="X2805" i="3"/>
  <c r="U2805" i="3"/>
  <c r="X2820" i="3"/>
  <c r="U2820" i="3"/>
  <c r="X2824" i="3"/>
  <c r="U2824" i="3"/>
  <c r="X2830" i="3"/>
  <c r="U2830" i="3"/>
  <c r="X2845" i="3"/>
  <c r="U2845" i="3"/>
  <c r="X2849" i="3"/>
  <c r="U2849" i="3"/>
  <c r="X2880" i="3"/>
  <c r="U2880" i="3"/>
  <c r="X2895" i="3"/>
  <c r="U2895" i="3"/>
  <c r="U2920" i="3"/>
  <c r="U2924" i="3"/>
  <c r="U2994" i="3"/>
  <c r="U2998" i="3"/>
  <c r="U3003" i="3"/>
  <c r="U3007" i="3"/>
  <c r="U3015" i="3"/>
  <c r="U3019" i="3"/>
  <c r="U3024" i="3"/>
  <c r="U3028" i="3"/>
  <c r="U3062" i="3"/>
  <c r="U3070" i="3"/>
  <c r="X3106" i="3"/>
  <c r="U3106" i="3"/>
  <c r="X3118" i="3"/>
  <c r="U3118" i="3"/>
  <c r="U3093" i="3"/>
  <c r="X3094" i="3"/>
  <c r="U3117" i="3"/>
  <c r="X3141" i="3"/>
  <c r="U3141" i="3"/>
  <c r="U3030" i="3"/>
  <c r="U3034" i="3"/>
  <c r="U3038" i="3"/>
  <c r="U3042" i="3"/>
  <c r="U3046" i="3"/>
  <c r="U3051" i="3"/>
  <c r="U3066" i="3"/>
  <c r="U3075" i="3"/>
  <c r="U3088" i="3"/>
  <c r="X3098" i="3"/>
  <c r="U3098" i="3"/>
  <c r="X3110" i="3"/>
  <c r="U3110" i="3"/>
  <c r="U3122" i="3"/>
  <c r="X3125" i="3"/>
  <c r="U3125" i="3"/>
  <c r="X3129" i="3"/>
  <c r="U3129" i="3"/>
  <c r="X3133" i="3"/>
  <c r="U3133" i="3"/>
  <c r="X3137" i="3"/>
  <c r="U3137" i="3"/>
  <c r="X3102" i="3"/>
  <c r="U3102" i="3"/>
  <c r="X3114" i="3"/>
  <c r="U3114" i="3"/>
  <c r="X3149" i="3"/>
  <c r="U3149" i="3"/>
  <c r="U3153" i="3"/>
  <c r="U3158" i="3"/>
  <c r="U3161" i="3"/>
  <c r="U3165" i="3"/>
  <c r="U3169" i="3"/>
  <c r="U3181" i="3"/>
  <c r="U3197" i="3"/>
  <c r="U3201" i="3"/>
  <c r="U3205" i="3"/>
  <c r="U3262" i="3"/>
  <c r="U3266" i="3"/>
  <c r="U3270" i="3"/>
  <c r="U3293" i="3"/>
  <c r="U3300" i="3"/>
  <c r="U3126" i="3"/>
  <c r="U3130" i="3"/>
  <c r="U3134" i="3"/>
  <c r="U3138" i="3"/>
  <c r="U3142" i="3"/>
  <c r="U3146" i="3"/>
  <c r="U3150" i="3"/>
  <c r="U3154" i="3"/>
  <c r="U3166" i="3"/>
  <c r="U3170" i="3"/>
  <c r="U3174" i="3"/>
  <c r="U3178" i="3"/>
  <c r="U3182" i="3"/>
  <c r="U3198" i="3"/>
  <c r="U3202" i="3"/>
  <c r="U3218" i="3"/>
  <c r="U3222" i="3"/>
  <c r="U3226" i="3"/>
  <c r="U3263" i="3"/>
  <c r="U3267" i="3"/>
  <c r="U3274" i="3"/>
  <c r="U3294" i="3"/>
  <c r="U3417" i="3"/>
  <c r="X4010" i="3"/>
  <c r="X4103" i="3"/>
  <c r="X3961" i="3"/>
  <c r="U3962" i="3"/>
  <c r="X3978" i="3"/>
  <c r="X3979" i="3"/>
  <c r="U3980" i="3"/>
  <c r="X3984" i="3"/>
  <c r="U3985" i="3"/>
  <c r="X4326" i="3"/>
  <c r="X4324" i="3"/>
  <c r="X4017" i="3"/>
  <c r="U4018" i="3"/>
  <c r="X4094" i="3"/>
  <c r="U4128" i="3"/>
  <c r="X4129" i="3"/>
  <c r="U4130" i="3"/>
  <c r="X4339" i="3"/>
  <c r="U4340" i="3"/>
  <c r="X4082" i="3"/>
  <c r="X3958" i="3"/>
  <c r="X4000" i="3"/>
  <c r="U4001" i="3"/>
  <c r="X4099" i="3"/>
  <c r="U4124" i="3"/>
  <c r="X4342" i="3"/>
  <c r="X3993" i="3"/>
  <c r="X4022" i="3"/>
  <c r="U4023" i="3"/>
  <c r="X4086" i="3"/>
  <c r="X4107" i="3"/>
  <c r="X4322" i="3"/>
  <c r="U4330" i="3"/>
  <c r="X4331" i="3"/>
  <c r="X4337" i="3"/>
  <c r="X4090" i="3"/>
  <c r="X4111" i="3"/>
  <c r="U4112" i="3"/>
  <c r="U4120" i="3"/>
  <c r="X4328" i="3"/>
  <c r="X4335" i="3"/>
  <c r="U4343" i="3"/>
  <c r="X4344" i="3"/>
  <c r="U4345" i="3"/>
  <c r="X4346" i="3"/>
  <c r="U4347" i="3"/>
  <c r="X4348" i="3"/>
  <c r="U4349" i="3"/>
  <c r="X4350" i="3"/>
  <c r="U4351" i="3"/>
  <c r="X3914" i="3"/>
  <c r="X4333" i="3"/>
  <c r="X3922" i="3"/>
  <c r="X3992" i="3"/>
  <c r="X4009" i="3"/>
  <c r="X4084" i="3"/>
  <c r="X4092" i="3"/>
  <c r="X4095" i="3"/>
  <c r="X4101" i="3"/>
  <c r="X4109" i="3"/>
  <c r="U4126" i="3"/>
  <c r="U4131" i="3"/>
  <c r="U4321" i="3"/>
  <c r="U4323" i="3"/>
  <c r="U4325" i="3"/>
  <c r="U4327" i="3"/>
  <c r="U4329" i="3"/>
  <c r="U4332" i="3"/>
  <c r="U4334" i="3"/>
  <c r="U4336" i="3"/>
  <c r="U4338" i="3"/>
  <c r="U4341" i="3"/>
  <c r="U4352" i="3"/>
  <c r="X3887" i="3"/>
  <c r="X3903" i="3"/>
  <c r="X3966" i="3"/>
  <c r="X3970" i="3"/>
  <c r="X3971" i="3"/>
  <c r="U3972" i="3"/>
  <c r="X3989" i="3"/>
  <c r="X4006" i="3"/>
  <c r="U4020" i="3"/>
  <c r="X4080" i="3"/>
  <c r="X4088" i="3"/>
  <c r="X4097" i="3"/>
  <c r="X4105" i="3"/>
  <c r="U4122" i="3"/>
  <c r="U4353" i="3"/>
  <c r="X3885" i="3"/>
  <c r="X3899" i="3"/>
  <c r="X3918" i="3"/>
  <c r="U3932" i="3"/>
  <c r="X3965" i="3"/>
  <c r="X3967" i="3"/>
  <c r="U3968" i="3"/>
  <c r="X3988" i="3"/>
  <c r="X4005" i="3"/>
  <c r="U4114" i="3"/>
  <c r="U4116" i="3"/>
  <c r="U4118" i="3"/>
  <c r="X3893" i="3"/>
  <c r="X3907" i="3"/>
  <c r="X3926" i="3"/>
  <c r="X3954" i="3"/>
  <c r="X3974" i="3"/>
  <c r="X3975" i="3"/>
  <c r="U3976" i="3"/>
  <c r="X3996" i="3"/>
  <c r="U3997" i="3"/>
  <c r="U4002" i="3"/>
  <c r="X4013" i="3"/>
  <c r="U4014" i="3"/>
  <c r="U4079" i="3"/>
  <c r="U4081" i="3"/>
  <c r="U4083" i="3"/>
  <c r="U4085" i="3"/>
  <c r="U4087" i="3"/>
  <c r="U4089" i="3"/>
  <c r="U4091" i="3"/>
  <c r="U4093" i="3"/>
  <c r="U4096" i="3"/>
  <c r="U4098" i="3"/>
  <c r="U4100" i="3"/>
  <c r="U4102" i="3"/>
  <c r="U4104" i="3"/>
  <c r="U4106" i="3"/>
  <c r="U4108" i="3"/>
  <c r="U4110" i="3"/>
  <c r="U4113" i="3"/>
  <c r="U4115" i="3"/>
  <c r="U4117" i="3"/>
  <c r="U4119" i="3"/>
  <c r="U4121" i="3"/>
  <c r="U4123" i="3"/>
  <c r="U4125" i="3"/>
  <c r="U4127" i="3"/>
  <c r="U4132" i="3"/>
  <c r="X3946" i="3"/>
  <c r="U3946" i="3"/>
  <c r="X3883" i="3"/>
  <c r="X3891" i="3"/>
  <c r="X3897" i="3"/>
  <c r="X3905" i="3"/>
  <c r="X3912" i="3"/>
  <c r="X3920" i="3"/>
  <c r="X3928" i="3"/>
  <c r="U3929" i="3"/>
  <c r="X3931" i="3"/>
  <c r="U3937" i="3"/>
  <c r="X3937" i="3"/>
  <c r="U3941" i="3"/>
  <c r="X3941" i="3"/>
  <c r="U3945" i="3"/>
  <c r="X3945" i="3"/>
  <c r="U3950" i="3"/>
  <c r="X3955" i="3"/>
  <c r="U3956" i="3"/>
  <c r="X3959" i="3"/>
  <c r="U3960" i="3"/>
  <c r="X3963" i="3"/>
  <c r="U3964" i="3"/>
  <c r="U3981" i="3"/>
  <c r="X3982" i="3"/>
  <c r="U3983" i="3"/>
  <c r="X3986" i="3"/>
  <c r="U3987" i="3"/>
  <c r="X3990" i="3"/>
  <c r="U3991" i="3"/>
  <c r="X3994" i="3"/>
  <c r="U3995" i="3"/>
  <c r="X3998" i="3"/>
  <c r="U3999" i="3"/>
  <c r="X4019" i="3"/>
  <c r="U4019" i="3"/>
  <c r="X3942" i="3"/>
  <c r="U3942" i="3"/>
  <c r="X3951" i="3"/>
  <c r="U3951" i="3"/>
  <c r="X3881" i="3"/>
  <c r="X3889" i="3"/>
  <c r="X3895" i="3"/>
  <c r="X3936" i="3"/>
  <c r="U3936" i="3"/>
  <c r="X3940" i="3"/>
  <c r="U3940" i="3"/>
  <c r="X3944" i="3"/>
  <c r="U3944" i="3"/>
  <c r="X3948" i="3"/>
  <c r="U3948" i="3"/>
  <c r="X3969" i="3"/>
  <c r="X3973" i="3"/>
  <c r="X3977" i="3"/>
  <c r="X4003" i="3"/>
  <c r="U4004" i="3"/>
  <c r="X4007" i="3"/>
  <c r="U4008" i="3"/>
  <c r="X4011" i="3"/>
  <c r="U4012" i="3"/>
  <c r="X4015" i="3"/>
  <c r="U4016" i="3"/>
  <c r="X4021" i="3"/>
  <c r="U4021" i="3"/>
  <c r="X3938" i="3"/>
  <c r="U3938" i="3"/>
  <c r="X3901" i="3"/>
  <c r="U3909" i="3"/>
  <c r="X3910" i="3"/>
  <c r="X3916" i="3"/>
  <c r="X3924" i="3"/>
  <c r="U3934" i="3"/>
  <c r="X3935" i="3"/>
  <c r="U3939" i="3"/>
  <c r="X3939" i="3"/>
  <c r="U3943" i="3"/>
  <c r="X3943" i="3"/>
  <c r="U3947" i="3"/>
  <c r="X3947" i="3"/>
  <c r="X3953" i="3"/>
  <c r="X3957" i="3"/>
  <c r="U4024" i="3"/>
  <c r="U3882" i="3"/>
  <c r="U3884" i="3"/>
  <c r="U3886" i="3"/>
  <c r="U3888" i="3"/>
  <c r="U3890" i="3"/>
  <c r="U3892" i="3"/>
  <c r="U3894" i="3"/>
  <c r="U3896" i="3"/>
  <c r="U3898" i="3"/>
  <c r="U3900" i="3"/>
  <c r="U3902" i="3"/>
  <c r="U3904" i="3"/>
  <c r="U3906" i="3"/>
  <c r="U3908" i="3"/>
  <c r="U3911" i="3"/>
  <c r="U3913" i="3"/>
  <c r="U3915" i="3"/>
  <c r="U3917" i="3"/>
  <c r="U3919" i="3"/>
  <c r="U3921" i="3"/>
  <c r="U3923" i="3"/>
  <c r="U3925" i="3"/>
  <c r="U3927" i="3"/>
  <c r="U3930" i="3"/>
  <c r="U3933" i="3"/>
  <c r="U3949" i="3"/>
  <c r="U3952" i="3"/>
  <c r="U2667" i="3"/>
  <c r="U2648" i="3"/>
  <c r="X2610" i="3"/>
  <c r="U2629" i="3"/>
  <c r="U2153" i="3"/>
  <c r="U2106" i="3"/>
  <c r="U2084" i="3"/>
  <c r="U2050" i="3"/>
  <c r="I4802" i="3"/>
  <c r="I4801" i="3"/>
  <c r="A4802" i="3"/>
  <c r="D4802" i="3"/>
  <c r="U4802" i="3"/>
  <c r="A4799" i="3"/>
  <c r="D4799" i="3"/>
  <c r="U4799" i="3"/>
  <c r="A4796" i="3"/>
  <c r="D4796" i="3"/>
  <c r="U4796" i="3"/>
  <c r="I4783" i="3"/>
  <c r="A4783" i="3"/>
  <c r="D4783" i="3"/>
  <c r="U4783" i="3"/>
  <c r="A4780" i="3"/>
  <c r="D4780" i="3"/>
  <c r="U4780" i="3"/>
  <c r="A4778" i="3"/>
  <c r="D4778" i="3"/>
  <c r="U4778" i="3"/>
  <c r="U4754" i="3"/>
  <c r="U4755" i="3"/>
  <c r="U4756" i="3"/>
  <c r="U4758" i="3"/>
  <c r="U4759" i="3"/>
  <c r="U4761" i="3"/>
  <c r="U4762" i="3"/>
  <c r="U4763" i="3"/>
  <c r="U4764" i="3"/>
  <c r="U4765" i="3"/>
  <c r="U4766" i="3"/>
  <c r="U4767" i="3"/>
  <c r="U4768" i="3"/>
  <c r="I4764" i="3"/>
  <c r="A4764" i="3"/>
  <c r="D4764" i="3"/>
  <c r="I4763" i="3"/>
  <c r="D4763" i="3"/>
  <c r="A4763" i="3"/>
  <c r="A4761" i="3"/>
  <c r="D4761" i="3"/>
  <c r="A4758" i="3"/>
  <c r="D4758" i="3"/>
  <c r="I4745" i="3"/>
  <c r="A4745" i="3"/>
  <c r="D4745" i="3"/>
  <c r="U4745" i="3"/>
  <c r="I4744" i="3"/>
  <c r="U4744" i="3"/>
  <c r="D4744" i="3"/>
  <c r="A4744" i="3"/>
  <c r="A4742" i="3"/>
  <c r="D4742" i="3"/>
  <c r="U4742" i="3"/>
  <c r="A4739" i="3"/>
  <c r="D4739" i="3"/>
  <c r="U4739" i="3"/>
  <c r="I4782" i="3"/>
  <c r="I188" i="2"/>
  <c r="I182" i="2"/>
  <c r="I183" i="2"/>
  <c r="I184" i="2"/>
  <c r="I185" i="2"/>
  <c r="I186" i="2"/>
  <c r="I187" i="2"/>
  <c r="I181" i="2"/>
  <c r="L4678" i="3"/>
  <c r="L4668" i="3"/>
  <c r="L643" i="3"/>
  <c r="L636" i="3"/>
  <c r="L495" i="3"/>
  <c r="L485" i="3"/>
  <c r="L475" i="3"/>
  <c r="L642" i="3"/>
  <c r="L635" i="3"/>
  <c r="L494" i="3"/>
  <c r="L484" i="3"/>
  <c r="L474" i="3"/>
  <c r="L641" i="3"/>
  <c r="L634" i="3"/>
  <c r="L493" i="3"/>
  <c r="L483" i="3"/>
  <c r="L473" i="3"/>
  <c r="L640" i="3"/>
  <c r="L633" i="3"/>
  <c r="L492" i="3"/>
  <c r="L482" i="3"/>
  <c r="L472" i="3"/>
  <c r="L639" i="3"/>
  <c r="L632" i="3"/>
  <c r="L491" i="3"/>
  <c r="L481" i="3"/>
  <c r="L471" i="3"/>
  <c r="L638" i="3"/>
  <c r="L631" i="3"/>
  <c r="L488" i="3"/>
  <c r="L480" i="3"/>
  <c r="L468" i="3"/>
  <c r="L489" i="3"/>
  <c r="L469" i="3"/>
  <c r="L460" i="3"/>
  <c r="L4727" i="3"/>
  <c r="L4725" i="3"/>
  <c r="L4723" i="3"/>
  <c r="L4721" i="3"/>
  <c r="L4719" i="3"/>
  <c r="L4716" i="3"/>
  <c r="L4697" i="3"/>
  <c r="L4691" i="3"/>
  <c r="L4689" i="3"/>
  <c r="L4687" i="3"/>
  <c r="L2451" i="3"/>
  <c r="L644" i="3"/>
  <c r="L496" i="3"/>
  <c r="L25" i="3"/>
  <c r="L4681" i="3"/>
  <c r="L4664" i="3"/>
  <c r="L4661" i="3"/>
  <c r="L4657" i="3"/>
  <c r="L4671" i="3"/>
  <c r="L4663" i="3"/>
  <c r="L4660" i="3"/>
  <c r="L4656" i="3"/>
  <c r="L4696" i="3"/>
  <c r="L4694" i="3"/>
  <c r="L4679" i="3"/>
  <c r="L4669" i="3"/>
  <c r="L4676" i="3"/>
  <c r="L4666" i="3"/>
  <c r="Y2" i="83"/>
  <c r="Y1" i="83"/>
  <c r="U7" i="83"/>
  <c r="U6" i="83"/>
  <c r="U5" i="83"/>
  <c r="U4" i="83"/>
  <c r="U2" i="83"/>
  <c r="U1" i="83"/>
  <c r="T10" i="83"/>
  <c r="T9" i="83"/>
  <c r="T8" i="83"/>
  <c r="T6" i="83"/>
  <c r="T5" i="83"/>
  <c r="T4" i="83"/>
  <c r="A2053" i="3"/>
  <c r="D2053" i="3"/>
  <c r="N2053" i="3"/>
  <c r="U2053" i="3" s="1"/>
  <c r="A2037" i="3"/>
  <c r="D2037" i="3"/>
  <c r="N2037" i="3"/>
  <c r="X2037" i="3" s="1"/>
  <c r="A2018" i="3"/>
  <c r="D2018" i="3"/>
  <c r="N2018" i="3"/>
  <c r="X2018" i="3" s="1"/>
  <c r="A2017" i="3"/>
  <c r="D2017" i="3"/>
  <c r="N2017" i="3"/>
  <c r="X2017" i="3" s="1"/>
  <c r="A1999" i="3"/>
  <c r="D1999" i="3"/>
  <c r="N1999" i="3"/>
  <c r="X1999" i="3" s="1"/>
  <c r="D1998" i="3"/>
  <c r="N1998" i="3"/>
  <c r="U1998" i="3" s="1"/>
  <c r="A1981" i="3"/>
  <c r="D1981" i="3"/>
  <c r="N1981" i="3"/>
  <c r="X1981" i="3" s="1"/>
  <c r="A1980" i="3"/>
  <c r="D1980" i="3"/>
  <c r="N1980" i="3"/>
  <c r="X1980" i="3" s="1"/>
  <c r="A1967" i="3"/>
  <c r="D1967" i="3"/>
  <c r="N1967" i="3"/>
  <c r="X1967" i="3" s="1"/>
  <c r="A1966" i="3"/>
  <c r="D1966" i="3"/>
  <c r="N1966" i="3"/>
  <c r="X1966" i="3" s="1"/>
  <c r="Z3" i="83"/>
  <c r="N1" i="69"/>
  <c r="U5462" i="3"/>
  <c r="D5462" i="3"/>
  <c r="A5462" i="3"/>
  <c r="U5461" i="3"/>
  <c r="D5461" i="3"/>
  <c r="A5461" i="3"/>
  <c r="U5460" i="3"/>
  <c r="D5460" i="3"/>
  <c r="A5460" i="3"/>
  <c r="U5459" i="3"/>
  <c r="L5459" i="3"/>
  <c r="D5459" i="3"/>
  <c r="A5459" i="3"/>
  <c r="U5458" i="3"/>
  <c r="D5458" i="3"/>
  <c r="A5458" i="3"/>
  <c r="U5457" i="3"/>
  <c r="D5457" i="3"/>
  <c r="A5457" i="3"/>
  <c r="U5456" i="3"/>
  <c r="D5456" i="3"/>
  <c r="A5456" i="3"/>
  <c r="U5455" i="3"/>
  <c r="D5455" i="3"/>
  <c r="A5455" i="3"/>
  <c r="U5454" i="3"/>
  <c r="L5454" i="3"/>
  <c r="D5454" i="3"/>
  <c r="U5426" i="3"/>
  <c r="D5426" i="3"/>
  <c r="A5426" i="3"/>
  <c r="U5425" i="3"/>
  <c r="D5425" i="3"/>
  <c r="A5425" i="3"/>
  <c r="U5424" i="3"/>
  <c r="D5424" i="3"/>
  <c r="A5424" i="3"/>
  <c r="U5423" i="3"/>
  <c r="L5423" i="3"/>
  <c r="D5423" i="3"/>
  <c r="A5423" i="3"/>
  <c r="U5422" i="3"/>
  <c r="D5422" i="3"/>
  <c r="A5422" i="3"/>
  <c r="U5421" i="3"/>
  <c r="D5421" i="3"/>
  <c r="A5421" i="3"/>
  <c r="U5420" i="3"/>
  <c r="D5420" i="3"/>
  <c r="A5420" i="3"/>
  <c r="U5419" i="3"/>
  <c r="D5419" i="3"/>
  <c r="A5419" i="3"/>
  <c r="U5418" i="3"/>
  <c r="L5418" i="3"/>
  <c r="D5418" i="3"/>
  <c r="A2565" i="3"/>
  <c r="D2565" i="3"/>
  <c r="N2565" i="3"/>
  <c r="U2565" i="3" s="1"/>
  <c r="A2549" i="3"/>
  <c r="D2549" i="3"/>
  <c r="N2549" i="3"/>
  <c r="X2549" i="3" s="1"/>
  <c r="A2533" i="3"/>
  <c r="D2533" i="3"/>
  <c r="N2533" i="3"/>
  <c r="X2533" i="3" s="1"/>
  <c r="A2520" i="3"/>
  <c r="D2520" i="3"/>
  <c r="N2520" i="3"/>
  <c r="X2520" i="3" s="1"/>
  <c r="X254" i="3"/>
  <c r="N254" i="3"/>
  <c r="L254" i="3"/>
  <c r="D254" i="3"/>
  <c r="A254" i="3"/>
  <c r="W254" i="3" s="1"/>
  <c r="X253" i="3"/>
  <c r="N253" i="3"/>
  <c r="L253" i="3"/>
  <c r="D253" i="3"/>
  <c r="A253" i="3"/>
  <c r="W253" i="3" s="1"/>
  <c r="X237" i="3"/>
  <c r="N237" i="3"/>
  <c r="L237" i="3"/>
  <c r="D237" i="3"/>
  <c r="A237" i="3"/>
  <c r="W237" i="3" s="1"/>
  <c r="X236" i="3"/>
  <c r="N236" i="3"/>
  <c r="L236" i="3"/>
  <c r="D236" i="3"/>
  <c r="A236" i="3"/>
  <c r="W236" i="3" s="1"/>
  <c r="X220" i="3"/>
  <c r="N220" i="3"/>
  <c r="L220" i="3"/>
  <c r="D220" i="3"/>
  <c r="A220" i="3"/>
  <c r="W220" i="3" s="1"/>
  <c r="X219" i="3"/>
  <c r="N219" i="3"/>
  <c r="L219" i="3"/>
  <c r="D219" i="3"/>
  <c r="A219" i="3"/>
  <c r="W219" i="3" s="1"/>
  <c r="X203" i="3"/>
  <c r="N203" i="3"/>
  <c r="L203" i="3"/>
  <c r="D203" i="3"/>
  <c r="A203" i="3"/>
  <c r="W203" i="3" s="1"/>
  <c r="X202" i="3"/>
  <c r="N202" i="3"/>
  <c r="L202" i="3"/>
  <c r="D202" i="3"/>
  <c r="A202" i="3"/>
  <c r="W202" i="3" s="1"/>
  <c r="A197" i="3"/>
  <c r="A198" i="3"/>
  <c r="A199" i="3"/>
  <c r="A200" i="3"/>
  <c r="W200" i="3" s="1"/>
  <c r="A201" i="3"/>
  <c r="W201" i="3" s="1"/>
  <c r="A204" i="3"/>
  <c r="A205" i="3"/>
  <c r="A213" i="3"/>
  <c r="A214" i="3"/>
  <c r="A215" i="3"/>
  <c r="A216" i="3"/>
  <c r="A217" i="3"/>
  <c r="W217" i="3" s="1"/>
  <c r="A218" i="3"/>
  <c r="W218" i="3" s="1"/>
  <c r="A221" i="3"/>
  <c r="A229" i="3"/>
  <c r="A230" i="3"/>
  <c r="A231" i="3"/>
  <c r="A232" i="3"/>
  <c r="A233" i="3"/>
  <c r="A234" i="3"/>
  <c r="W234" i="3" s="1"/>
  <c r="A235" i="3"/>
  <c r="W235" i="3" s="1"/>
  <c r="A238" i="3"/>
  <c r="A239" i="3"/>
  <c r="A247" i="3"/>
  <c r="A248" i="3"/>
  <c r="A249" i="3"/>
  <c r="A250" i="3"/>
  <c r="A251" i="3"/>
  <c r="W251" i="3" s="1"/>
  <c r="A252" i="3"/>
  <c r="W252" i="3" s="1"/>
  <c r="A255" i="3"/>
  <c r="A256" i="3"/>
  <c r="X252" i="3"/>
  <c r="N252" i="3"/>
  <c r="L252" i="3"/>
  <c r="D252" i="3"/>
  <c r="X251" i="3"/>
  <c r="N251" i="3"/>
  <c r="L251" i="3"/>
  <c r="D251" i="3"/>
  <c r="X235" i="3"/>
  <c r="N235" i="3"/>
  <c r="L235" i="3"/>
  <c r="D235" i="3"/>
  <c r="X234" i="3"/>
  <c r="N234" i="3"/>
  <c r="L234" i="3"/>
  <c r="D234" i="3"/>
  <c r="X218" i="3"/>
  <c r="N218" i="3"/>
  <c r="L218" i="3"/>
  <c r="D218" i="3"/>
  <c r="X217" i="3"/>
  <c r="N217" i="3"/>
  <c r="L217" i="3"/>
  <c r="D217" i="3"/>
  <c r="X201" i="3"/>
  <c r="N201" i="3"/>
  <c r="L201" i="3"/>
  <c r="D201" i="3"/>
  <c r="X200" i="3"/>
  <c r="N200" i="3"/>
  <c r="L200" i="3"/>
  <c r="D200" i="3"/>
  <c r="X1959" i="3"/>
  <c r="U1959" i="3"/>
  <c r="L1959" i="3"/>
  <c r="D1959" i="3"/>
  <c r="A1959" i="3"/>
  <c r="N1958" i="3"/>
  <c r="X1958" i="3" s="1"/>
  <c r="D1958" i="3"/>
  <c r="A1958" i="3"/>
  <c r="N1957" i="3"/>
  <c r="X1957" i="3" s="1"/>
  <c r="D1957" i="3"/>
  <c r="A1957" i="3"/>
  <c r="N1956" i="3"/>
  <c r="U1956" i="3" s="1"/>
  <c r="D1956" i="3"/>
  <c r="A1956" i="3"/>
  <c r="X1955" i="3"/>
  <c r="U1955" i="3"/>
  <c r="L1955" i="3"/>
  <c r="D1955" i="3"/>
  <c r="A1955" i="3"/>
  <c r="N1954" i="3"/>
  <c r="X1954" i="3" s="1"/>
  <c r="D1954" i="3"/>
  <c r="A1954" i="3"/>
  <c r="X1931" i="3"/>
  <c r="U1931" i="3"/>
  <c r="L1931" i="3"/>
  <c r="D1931" i="3"/>
  <c r="A1931" i="3"/>
  <c r="N1930" i="3"/>
  <c r="X1930" i="3" s="1"/>
  <c r="D1930" i="3"/>
  <c r="A1930" i="3"/>
  <c r="N1929" i="3"/>
  <c r="X1929" i="3" s="1"/>
  <c r="D1929" i="3"/>
  <c r="A1929" i="3"/>
  <c r="N1928" i="3"/>
  <c r="X1928" i="3" s="1"/>
  <c r="D1928" i="3"/>
  <c r="A1928" i="3"/>
  <c r="X1927" i="3"/>
  <c r="U1927" i="3"/>
  <c r="L1927" i="3"/>
  <c r="D1927" i="3"/>
  <c r="A1927" i="3"/>
  <c r="N1926" i="3"/>
  <c r="X1926" i="3" s="1"/>
  <c r="D1926" i="3"/>
  <c r="A1926" i="3"/>
  <c r="X1880" i="3"/>
  <c r="U1880" i="3"/>
  <c r="L1880" i="3"/>
  <c r="D1880" i="3"/>
  <c r="A1880" i="3"/>
  <c r="A1905" i="3"/>
  <c r="D1905" i="3"/>
  <c r="L1905" i="3"/>
  <c r="U1905" i="3"/>
  <c r="X1905" i="3"/>
  <c r="AF27" i="88"/>
  <c r="Z29" i="88"/>
  <c r="U27" i="88"/>
  <c r="T27" i="88"/>
  <c r="AD27" i="88"/>
  <c r="AE27" i="88"/>
  <c r="AB27" i="88"/>
  <c r="AA27" i="88"/>
  <c r="AC27" i="88"/>
  <c r="A203" i="69" l="1"/>
  <c r="X27" i="88"/>
  <c r="V27" i="88"/>
  <c r="W27" i="88"/>
  <c r="S28" i="88"/>
  <c r="A28" i="88"/>
  <c r="R28" i="88"/>
  <c r="Y31" i="88"/>
  <c r="U1981" i="3"/>
  <c r="U1999" i="3"/>
  <c r="U2017" i="3"/>
  <c r="U2018" i="3"/>
  <c r="U2037" i="3"/>
  <c r="X2053" i="3"/>
  <c r="X1998" i="3"/>
  <c r="U1980" i="3"/>
  <c r="U1967" i="3"/>
  <c r="U1966" i="3"/>
  <c r="A201" i="69"/>
  <c r="A202" i="69"/>
  <c r="U2533" i="3"/>
  <c r="U2549" i="3"/>
  <c r="X2565" i="3"/>
  <c r="U2520" i="3"/>
  <c r="U1928" i="3"/>
  <c r="X1956" i="3"/>
  <c r="U1957" i="3"/>
  <c r="U1929" i="3"/>
  <c r="U1954" i="3"/>
  <c r="U1958" i="3"/>
  <c r="U1926" i="3"/>
  <c r="U1930" i="3"/>
  <c r="X1909" i="3"/>
  <c r="U1909" i="3"/>
  <c r="L1909" i="3"/>
  <c r="D1909" i="3"/>
  <c r="A1909" i="3"/>
  <c r="N1908" i="3"/>
  <c r="X1908" i="3" s="1"/>
  <c r="D1908" i="3"/>
  <c r="A1908" i="3"/>
  <c r="N1907" i="3"/>
  <c r="X1907" i="3" s="1"/>
  <c r="D1907" i="3"/>
  <c r="A1907" i="3"/>
  <c r="N1906" i="3"/>
  <c r="X1906" i="3" s="1"/>
  <c r="D1906" i="3"/>
  <c r="A1906" i="3"/>
  <c r="N1904" i="3"/>
  <c r="X1904" i="3" s="1"/>
  <c r="D1904" i="3"/>
  <c r="A1904" i="3"/>
  <c r="K5" i="87"/>
  <c r="E83" i="87"/>
  <c r="E84" i="87"/>
  <c r="E85" i="87"/>
  <c r="E86" i="87"/>
  <c r="E87" i="87"/>
  <c r="E88" i="87"/>
  <c r="E89" i="87"/>
  <c r="E82" i="87"/>
  <c r="A83" i="87"/>
  <c r="A84" i="87"/>
  <c r="A85" i="87"/>
  <c r="A86" i="87"/>
  <c r="A87" i="87"/>
  <c r="A88" i="87"/>
  <c r="A89" i="87"/>
  <c r="A82" i="87"/>
  <c r="A1879" i="3"/>
  <c r="D1879" i="3"/>
  <c r="N1879" i="3"/>
  <c r="X1879" i="3" s="1"/>
  <c r="L1884" i="3"/>
  <c r="N1883" i="3"/>
  <c r="X1883" i="3" s="1"/>
  <c r="N1882" i="3"/>
  <c r="U1882" i="3" s="1"/>
  <c r="N1881" i="3"/>
  <c r="U1881" i="3" s="1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883" i="3"/>
  <c r="D1883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881" i="3"/>
  <c r="D1881" i="3"/>
  <c r="A1882" i="3"/>
  <c r="D1882" i="3"/>
  <c r="A1884" i="3"/>
  <c r="D1884" i="3"/>
  <c r="U1884" i="3"/>
  <c r="A1582" i="3"/>
  <c r="Z6" i="83"/>
  <c r="Z5" i="83"/>
  <c r="Z4" i="83"/>
  <c r="Z7" i="83"/>
  <c r="L3640" i="3"/>
  <c r="L3639" i="3"/>
  <c r="L3615" i="3"/>
  <c r="L3614" i="3"/>
  <c r="L3590" i="3"/>
  <c r="L3589" i="3"/>
  <c r="L3586" i="3"/>
  <c r="Y3" i="83"/>
  <c r="R2" i="83"/>
  <c r="T498" i="3"/>
  <c r="L498" i="3" s="1"/>
  <c r="T497" i="3"/>
  <c r="T501" i="3"/>
  <c r="L501" i="3" s="1"/>
  <c r="T500" i="3"/>
  <c r="L500" i="3" s="1"/>
  <c r="T499" i="3"/>
  <c r="L499" i="3" s="1"/>
  <c r="T490" i="3"/>
  <c r="L490" i="3" s="1"/>
  <c r="A490" i="3"/>
  <c r="W490" i="3" s="1"/>
  <c r="D490" i="3"/>
  <c r="N490" i="3"/>
  <c r="X490" i="3"/>
  <c r="T487" i="3"/>
  <c r="T467" i="3"/>
  <c r="AE28" i="88"/>
  <c r="T28" i="88"/>
  <c r="AF28" i="88"/>
  <c r="AA28" i="88"/>
  <c r="AC28" i="88"/>
  <c r="U28" i="88"/>
  <c r="Z30" i="88"/>
  <c r="AB28" i="88"/>
  <c r="AD28" i="88"/>
  <c r="X28" i="88" l="1"/>
  <c r="V28" i="88"/>
  <c r="W28" i="88"/>
  <c r="Y32" i="88"/>
  <c r="S29" i="88"/>
  <c r="R29" i="88"/>
  <c r="A29" i="88"/>
  <c r="U1906" i="3"/>
  <c r="U1907" i="3"/>
  <c r="U1904" i="3"/>
  <c r="U1908" i="3"/>
  <c r="U1879" i="3"/>
  <c r="U1883" i="3"/>
  <c r="X1884" i="3"/>
  <c r="X1881" i="3"/>
  <c r="X1882" i="3"/>
  <c r="X501" i="3"/>
  <c r="N501" i="3"/>
  <c r="D501" i="3"/>
  <c r="A501" i="3"/>
  <c r="W501" i="3" s="1"/>
  <c r="X500" i="3"/>
  <c r="N500" i="3"/>
  <c r="D500" i="3"/>
  <c r="A500" i="3"/>
  <c r="W500" i="3" s="1"/>
  <c r="X499" i="3"/>
  <c r="N499" i="3"/>
  <c r="D499" i="3"/>
  <c r="A499" i="3"/>
  <c r="W499" i="3" s="1"/>
  <c r="X498" i="3"/>
  <c r="N498" i="3"/>
  <c r="D498" i="3"/>
  <c r="A498" i="3"/>
  <c r="W498" i="3" s="1"/>
  <c r="X497" i="3"/>
  <c r="N497" i="3"/>
  <c r="L497" i="3"/>
  <c r="D497" i="3"/>
  <c r="A497" i="3"/>
  <c r="W497" i="3" s="1"/>
  <c r="X496" i="3"/>
  <c r="N496" i="3"/>
  <c r="D496" i="3"/>
  <c r="A496" i="3"/>
  <c r="W496" i="3" s="1"/>
  <c r="X495" i="3"/>
  <c r="N495" i="3"/>
  <c r="D495" i="3"/>
  <c r="A495" i="3"/>
  <c r="W495" i="3" s="1"/>
  <c r="X494" i="3"/>
  <c r="N494" i="3"/>
  <c r="D494" i="3"/>
  <c r="A494" i="3"/>
  <c r="W494" i="3" s="1"/>
  <c r="X493" i="3"/>
  <c r="N493" i="3"/>
  <c r="D493" i="3"/>
  <c r="A493" i="3"/>
  <c r="W493" i="3" s="1"/>
  <c r="X492" i="3"/>
  <c r="N492" i="3"/>
  <c r="D492" i="3"/>
  <c r="A492" i="3"/>
  <c r="W492" i="3" s="1"/>
  <c r="X491" i="3"/>
  <c r="N491" i="3"/>
  <c r="D491" i="3"/>
  <c r="A491" i="3"/>
  <c r="W491" i="3" s="1"/>
  <c r="X489" i="3"/>
  <c r="N489" i="3"/>
  <c r="D489" i="3"/>
  <c r="A489" i="3"/>
  <c r="W489" i="3" s="1"/>
  <c r="X488" i="3"/>
  <c r="N488" i="3"/>
  <c r="D488" i="3"/>
  <c r="A488" i="3"/>
  <c r="W488" i="3" s="1"/>
  <c r="X487" i="3"/>
  <c r="N487" i="3"/>
  <c r="L487" i="3"/>
  <c r="D487" i="3"/>
  <c r="O6814" i="3"/>
  <c r="N6814" i="3"/>
  <c r="U6814" i="3" s="1"/>
  <c r="A6814" i="3"/>
  <c r="O6813" i="3"/>
  <c r="N6813" i="3"/>
  <c r="U6813" i="3" s="1"/>
  <c r="T478" i="3"/>
  <c r="L478" i="3" s="1"/>
  <c r="T477" i="3"/>
  <c r="L477" i="3" s="1"/>
  <c r="T470" i="3"/>
  <c r="L470" i="3" s="1"/>
  <c r="T476" i="3"/>
  <c r="L476" i="3" s="1"/>
  <c r="A470" i="3"/>
  <c r="W470" i="3" s="1"/>
  <c r="D470" i="3"/>
  <c r="N470" i="3"/>
  <c r="X470" i="3"/>
  <c r="X478" i="3"/>
  <c r="N478" i="3"/>
  <c r="D478" i="3"/>
  <c r="A478" i="3"/>
  <c r="W478" i="3" s="1"/>
  <c r="X477" i="3"/>
  <c r="N477" i="3"/>
  <c r="D477" i="3"/>
  <c r="A477" i="3"/>
  <c r="W477" i="3" s="1"/>
  <c r="X476" i="3"/>
  <c r="N476" i="3"/>
  <c r="D476" i="3"/>
  <c r="A476" i="3"/>
  <c r="W476" i="3" s="1"/>
  <c r="X475" i="3"/>
  <c r="N475" i="3"/>
  <c r="D475" i="3"/>
  <c r="A475" i="3"/>
  <c r="W475" i="3" s="1"/>
  <c r="X474" i="3"/>
  <c r="N474" i="3"/>
  <c r="D474" i="3"/>
  <c r="A474" i="3"/>
  <c r="W474" i="3" s="1"/>
  <c r="X473" i="3"/>
  <c r="N473" i="3"/>
  <c r="D473" i="3"/>
  <c r="A473" i="3"/>
  <c r="W473" i="3" s="1"/>
  <c r="X472" i="3"/>
  <c r="N472" i="3"/>
  <c r="D472" i="3"/>
  <c r="A472" i="3"/>
  <c r="W472" i="3" s="1"/>
  <c r="X471" i="3"/>
  <c r="N471" i="3"/>
  <c r="D471" i="3"/>
  <c r="A471" i="3"/>
  <c r="W471" i="3" s="1"/>
  <c r="X469" i="3"/>
  <c r="N469" i="3"/>
  <c r="D469" i="3"/>
  <c r="A469" i="3"/>
  <c r="W469" i="3" s="1"/>
  <c r="X468" i="3"/>
  <c r="N468" i="3"/>
  <c r="D468" i="3"/>
  <c r="A468" i="3"/>
  <c r="W468" i="3" s="1"/>
  <c r="X467" i="3"/>
  <c r="N467" i="3"/>
  <c r="L467" i="3"/>
  <c r="D467" i="3"/>
  <c r="L5" i="6"/>
  <c r="X3" i="83"/>
  <c r="X2" i="83"/>
  <c r="N1632" i="3"/>
  <c r="X1632" i="3" s="1"/>
  <c r="D1632" i="3"/>
  <c r="N1605" i="3"/>
  <c r="X1605" i="3" s="1"/>
  <c r="D1605" i="3"/>
  <c r="N1581" i="3"/>
  <c r="X1581" i="3" s="1"/>
  <c r="D1581" i="3"/>
  <c r="A1581" i="3"/>
  <c r="A1562" i="3"/>
  <c r="D1562" i="3"/>
  <c r="N1562" i="3"/>
  <c r="X1562" i="3" s="1"/>
  <c r="L6625" i="3"/>
  <c r="L6624" i="3"/>
  <c r="A6695" i="3"/>
  <c r="K6695" i="3"/>
  <c r="N6695" i="3"/>
  <c r="A6696" i="3"/>
  <c r="K6696" i="3"/>
  <c r="N6696" i="3"/>
  <c r="A6697" i="3"/>
  <c r="K6697" i="3"/>
  <c r="N6697" i="3"/>
  <c r="A6698" i="3"/>
  <c r="K6698" i="3"/>
  <c r="N6698" i="3"/>
  <c r="A6699" i="3"/>
  <c r="K6699" i="3"/>
  <c r="N6699" i="3"/>
  <c r="A6702" i="3"/>
  <c r="K6702" i="3"/>
  <c r="N6702" i="3"/>
  <c r="A6706" i="3"/>
  <c r="K6706" i="3"/>
  <c r="N6706" i="3"/>
  <c r="A6707" i="3"/>
  <c r="K6707" i="3"/>
  <c r="N6707" i="3"/>
  <c r="A6708" i="3"/>
  <c r="N6708" i="3"/>
  <c r="A6694" i="3"/>
  <c r="K6694" i="3"/>
  <c r="N6694" i="3"/>
  <c r="A6716" i="3"/>
  <c r="K6716" i="3"/>
  <c r="N6716" i="3"/>
  <c r="A6717" i="3"/>
  <c r="K6717" i="3"/>
  <c r="N6717" i="3"/>
  <c r="A6718" i="3"/>
  <c r="K6718" i="3"/>
  <c r="N6718" i="3"/>
  <c r="A6719" i="3"/>
  <c r="K6719" i="3"/>
  <c r="N6719" i="3"/>
  <c r="A6720" i="3"/>
  <c r="K6720" i="3"/>
  <c r="N6720" i="3"/>
  <c r="A6721" i="3"/>
  <c r="K6721" i="3"/>
  <c r="N6721" i="3"/>
  <c r="A6722" i="3"/>
  <c r="K6722" i="3"/>
  <c r="N6722" i="3"/>
  <c r="A6736" i="3"/>
  <c r="K6736" i="3"/>
  <c r="N6736" i="3"/>
  <c r="A6737" i="3"/>
  <c r="K6737" i="3"/>
  <c r="N6737" i="3"/>
  <c r="A6738" i="3"/>
  <c r="N6738" i="3"/>
  <c r="L1540" i="3"/>
  <c r="U1539" i="3"/>
  <c r="N6908" i="3"/>
  <c r="U6908" i="3" s="1"/>
  <c r="O6908" i="3"/>
  <c r="D6478" i="3"/>
  <c r="N1540" i="3"/>
  <c r="U1540" i="3" s="1"/>
  <c r="D1540" i="3"/>
  <c r="L2256" i="3"/>
  <c r="L2231" i="3"/>
  <c r="L2209" i="3"/>
  <c r="L2191" i="3"/>
  <c r="K4" i="87"/>
  <c r="E4" i="87"/>
  <c r="A3" i="87"/>
  <c r="O11" i="87"/>
  <c r="BO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AC29" i="88"/>
  <c r="Z31" i="88"/>
  <c r="T29" i="88"/>
  <c r="U29" i="88"/>
  <c r="AB29" i="88"/>
  <c r="AE29" i="88"/>
  <c r="AA29" i="88"/>
  <c r="AF29" i="88"/>
  <c r="AD29" i="88"/>
  <c r="V29" i="88" l="1"/>
  <c r="X29" i="88"/>
  <c r="W29" i="88"/>
  <c r="R30" i="88"/>
  <c r="S30" i="88"/>
  <c r="A30" i="88"/>
  <c r="Y33" i="88"/>
  <c r="U1632" i="3"/>
  <c r="U1605" i="3"/>
  <c r="U1581" i="3"/>
  <c r="U1562" i="3"/>
  <c r="N11" i="87"/>
  <c r="O12" i="87"/>
  <c r="C12" i="87" s="1"/>
  <c r="E11" i="87"/>
  <c r="M99" i="87"/>
  <c r="L8" i="87"/>
  <c r="K8" i="87"/>
  <c r="A6" i="87"/>
  <c r="L2505" i="3"/>
  <c r="L2487" i="3"/>
  <c r="L2469" i="3"/>
  <c r="AB99" i="83"/>
  <c r="AB98" i="83"/>
  <c r="L2263" i="3"/>
  <c r="L2238" i="3"/>
  <c r="L2216" i="3"/>
  <c r="L2198" i="3"/>
  <c r="O6907" i="3"/>
  <c r="N6907" i="3"/>
  <c r="U6907" i="3" s="1"/>
  <c r="U6477" i="3"/>
  <c r="D6477" i="3"/>
  <c r="U6476" i="3"/>
  <c r="D6476" i="3"/>
  <c r="U6475" i="3"/>
  <c r="D6475" i="3"/>
  <c r="U6474" i="3"/>
  <c r="L6474" i="3"/>
  <c r="D6474" i="3"/>
  <c r="U6473" i="3"/>
  <c r="D6473" i="3"/>
  <c r="U6472" i="3"/>
  <c r="D6472" i="3"/>
  <c r="U6471" i="3"/>
  <c r="L6471" i="3"/>
  <c r="D6471" i="3"/>
  <c r="L1535" i="3"/>
  <c r="L1536" i="3"/>
  <c r="L1537" i="3"/>
  <c r="L1538" i="3"/>
  <c r="L1541" i="3"/>
  <c r="L1554" i="3"/>
  <c r="L1534" i="3"/>
  <c r="A1536" i="3"/>
  <c r="W1536" i="3" s="1"/>
  <c r="D1536" i="3"/>
  <c r="N1536" i="3"/>
  <c r="U1536" i="3" s="1"/>
  <c r="X1536" i="3"/>
  <c r="A1537" i="3"/>
  <c r="D1537" i="3"/>
  <c r="N1537" i="3"/>
  <c r="U1537" i="3" s="1"/>
  <c r="A1538" i="3"/>
  <c r="W1538" i="3" s="1"/>
  <c r="D1538" i="3"/>
  <c r="N1538" i="3"/>
  <c r="U1538" i="3" s="1"/>
  <c r="W1541" i="3"/>
  <c r="N1541" i="3"/>
  <c r="U1541" i="3" s="1"/>
  <c r="N1554" i="3"/>
  <c r="U1554" i="3" s="1"/>
  <c r="X1534" i="3"/>
  <c r="N1534" i="3"/>
  <c r="U1534" i="3" s="1"/>
  <c r="D1534" i="3"/>
  <c r="X1518" i="3"/>
  <c r="U1518" i="3"/>
  <c r="N2371" i="3"/>
  <c r="N2370" i="3"/>
  <c r="A2372" i="3"/>
  <c r="D2372" i="3"/>
  <c r="N2372" i="3"/>
  <c r="X2372" i="3" s="1"/>
  <c r="N2353" i="3"/>
  <c r="N2352" i="3"/>
  <c r="A2354" i="3"/>
  <c r="D2354" i="3"/>
  <c r="N2354" i="3"/>
  <c r="X2354" i="3" s="1"/>
  <c r="N2299" i="3"/>
  <c r="N2298" i="3"/>
  <c r="A2300" i="3"/>
  <c r="D2300" i="3"/>
  <c r="N2300" i="3"/>
  <c r="X2300" i="3" s="1"/>
  <c r="A2282" i="3"/>
  <c r="D2282" i="3"/>
  <c r="N2282" i="3"/>
  <c r="X2282" i="3" s="1"/>
  <c r="N1790" i="3"/>
  <c r="N1789" i="3"/>
  <c r="A1791" i="3"/>
  <c r="D1791" i="3"/>
  <c r="N1791" i="3"/>
  <c r="X1791" i="3" s="1"/>
  <c r="A1764" i="3"/>
  <c r="D1764" i="3"/>
  <c r="N1764" i="3"/>
  <c r="X1764" i="3" s="1"/>
  <c r="A1710" i="3"/>
  <c r="D1710" i="3"/>
  <c r="N1710" i="3"/>
  <c r="X1710" i="3" s="1"/>
  <c r="A1683" i="3"/>
  <c r="D1683" i="3"/>
  <c r="N1683" i="3"/>
  <c r="X1683" i="3" s="1"/>
  <c r="A1656" i="3"/>
  <c r="D1656" i="3"/>
  <c r="N1656" i="3"/>
  <c r="X1656" i="3" s="1"/>
  <c r="L4" i="6"/>
  <c r="U5741" i="3"/>
  <c r="D5741" i="3"/>
  <c r="A5741" i="3"/>
  <c r="U5740" i="3"/>
  <c r="D5740" i="3"/>
  <c r="A5740" i="3"/>
  <c r="I6433" i="3"/>
  <c r="I6406" i="3"/>
  <c r="I6392" i="3"/>
  <c r="I6378" i="3"/>
  <c r="I6364" i="3"/>
  <c r="I6350" i="3"/>
  <c r="I6336" i="3"/>
  <c r="I6322" i="3"/>
  <c r="I6294" i="3"/>
  <c r="I6280" i="3"/>
  <c r="I6266" i="3"/>
  <c r="I6252" i="3"/>
  <c r="I6238" i="3"/>
  <c r="I6224" i="3"/>
  <c r="AA30" i="88"/>
  <c r="AF30" i="88"/>
  <c r="AB30" i="88"/>
  <c r="U30" i="88"/>
  <c r="AD30" i="88"/>
  <c r="AE30" i="88"/>
  <c r="AC30" i="88"/>
  <c r="Z32" i="88"/>
  <c r="T30" i="88"/>
  <c r="W1537" i="3" l="1"/>
  <c r="W30" i="88"/>
  <c r="V30" i="88"/>
  <c r="X30" i="88"/>
  <c r="Y34" i="88"/>
  <c r="A31" i="88"/>
  <c r="R31" i="88"/>
  <c r="S31" i="88"/>
  <c r="E12" i="87"/>
  <c r="N12" i="87"/>
  <c r="O13" i="87"/>
  <c r="C13" i="87" s="1"/>
  <c r="U2300" i="3"/>
  <c r="U2372" i="3"/>
  <c r="U2354" i="3"/>
  <c r="U2282" i="3"/>
  <c r="U1791" i="3"/>
  <c r="U1764" i="3"/>
  <c r="U1683" i="3"/>
  <c r="U1710" i="3"/>
  <c r="U1656" i="3"/>
  <c r="A5258" i="3"/>
  <c r="A5257" i="3"/>
  <c r="D5257" i="3"/>
  <c r="U5257" i="3"/>
  <c r="K6" i="83"/>
  <c r="A5256" i="3"/>
  <c r="D5256" i="3"/>
  <c r="U5256" i="3"/>
  <c r="N1631" i="3"/>
  <c r="X1631" i="3" s="1"/>
  <c r="D1631" i="3"/>
  <c r="N1604" i="3"/>
  <c r="X1604" i="3" s="1"/>
  <c r="D1604" i="3"/>
  <c r="N1580" i="3"/>
  <c r="X1580" i="3" s="1"/>
  <c r="D1580" i="3"/>
  <c r="A1580" i="3"/>
  <c r="A1561" i="3"/>
  <c r="D1561" i="3"/>
  <c r="N1561" i="3"/>
  <c r="X1561" i="3" s="1"/>
  <c r="A8" i="3"/>
  <c r="D8" i="3"/>
  <c r="L8" i="3"/>
  <c r="N8" i="3"/>
  <c r="X8" i="3"/>
  <c r="A10" i="3"/>
  <c r="D10" i="3"/>
  <c r="L10" i="3"/>
  <c r="N10" i="3"/>
  <c r="X10" i="3"/>
  <c r="L6753" i="3"/>
  <c r="O6796" i="3"/>
  <c r="N6796" i="3"/>
  <c r="U6796" i="3" s="1"/>
  <c r="A6796" i="3"/>
  <c r="O6795" i="3"/>
  <c r="N6795" i="3"/>
  <c r="U6795" i="3" s="1"/>
  <c r="I62" i="84"/>
  <c r="I63" i="84"/>
  <c r="I64" i="84"/>
  <c r="I65" i="84"/>
  <c r="I61" i="84"/>
  <c r="I43" i="84"/>
  <c r="I44" i="84"/>
  <c r="I45" i="84"/>
  <c r="I46" i="84"/>
  <c r="I47" i="84"/>
  <c r="I68" i="84"/>
  <c r="I69" i="84"/>
  <c r="I70" i="84"/>
  <c r="I67" i="84"/>
  <c r="J70" i="84"/>
  <c r="J69" i="84"/>
  <c r="E69" i="84" s="1"/>
  <c r="J68" i="84"/>
  <c r="J67" i="84"/>
  <c r="E67" i="84" s="1"/>
  <c r="J61" i="84"/>
  <c r="J65" i="84"/>
  <c r="J64" i="84"/>
  <c r="J63" i="84"/>
  <c r="J62" i="84"/>
  <c r="J51" i="84"/>
  <c r="J50" i="84"/>
  <c r="J49" i="84"/>
  <c r="J43" i="84"/>
  <c r="J47" i="84"/>
  <c r="J46" i="84"/>
  <c r="J45" i="84"/>
  <c r="J44" i="84"/>
  <c r="BG70" i="6"/>
  <c r="BG71" i="6"/>
  <c r="BG72" i="6"/>
  <c r="BG73" i="6"/>
  <c r="BG74" i="6"/>
  <c r="BG75" i="6"/>
  <c r="BG76" i="6"/>
  <c r="BG77" i="6"/>
  <c r="BG78" i="6"/>
  <c r="BG79" i="6"/>
  <c r="BG80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65" i="6"/>
  <c r="BG66" i="6"/>
  <c r="BG67" i="6"/>
  <c r="BG68" i="6"/>
  <c r="BG69" i="6"/>
  <c r="I50" i="84"/>
  <c r="I51" i="84"/>
  <c r="I49" i="84"/>
  <c r="I54" i="84"/>
  <c r="E54" i="84" s="1"/>
  <c r="I55" i="84"/>
  <c r="E55" i="84" s="1"/>
  <c r="I56" i="84"/>
  <c r="E56" i="84" s="1"/>
  <c r="I57" i="84"/>
  <c r="E57" i="84" s="1"/>
  <c r="I58" i="84"/>
  <c r="E58" i="84" s="1"/>
  <c r="I53" i="84"/>
  <c r="E53" i="84" s="1"/>
  <c r="I36" i="84"/>
  <c r="E36" i="84" s="1"/>
  <c r="I37" i="84"/>
  <c r="E37" i="84" s="1"/>
  <c r="I38" i="84"/>
  <c r="E38" i="84" s="1"/>
  <c r="I39" i="84"/>
  <c r="E39" i="84" s="1"/>
  <c r="I40" i="84"/>
  <c r="E40" i="84" s="1"/>
  <c r="I35" i="84"/>
  <c r="E35" i="84" s="1"/>
  <c r="L1330" i="3"/>
  <c r="L556" i="3"/>
  <c r="L557" i="3"/>
  <c r="L558" i="3"/>
  <c r="L546" i="3"/>
  <c r="L547" i="3"/>
  <c r="L548" i="3"/>
  <c r="L536" i="3"/>
  <c r="L537" i="3"/>
  <c r="L538" i="3"/>
  <c r="L526" i="3"/>
  <c r="L527" i="3"/>
  <c r="L528" i="3"/>
  <c r="J31" i="84"/>
  <c r="E31" i="84" s="1"/>
  <c r="J30" i="84"/>
  <c r="E30" i="84" s="1"/>
  <c r="AE31" i="88"/>
  <c r="T31" i="88"/>
  <c r="AC31" i="88"/>
  <c r="Z33" i="88"/>
  <c r="AF31" i="88"/>
  <c r="U31" i="88"/>
  <c r="AD31" i="88"/>
  <c r="AB31" i="88"/>
  <c r="AA31" i="88"/>
  <c r="E44" i="84" l="1"/>
  <c r="W31" i="88"/>
  <c r="X31" i="88"/>
  <c r="V31" i="88"/>
  <c r="A32" i="88"/>
  <c r="S32" i="88"/>
  <c r="R32" i="88"/>
  <c r="Y35" i="88"/>
  <c r="O14" i="87"/>
  <c r="N13" i="87"/>
  <c r="I13" i="87"/>
  <c r="E13" i="87"/>
  <c r="U1631" i="3"/>
  <c r="U1604" i="3"/>
  <c r="U1580" i="3"/>
  <c r="U1561" i="3"/>
  <c r="E65" i="84"/>
  <c r="E47" i="84"/>
  <c r="E46" i="84"/>
  <c r="E64" i="84"/>
  <c r="E50" i="84"/>
  <c r="E68" i="84"/>
  <c r="E51" i="84"/>
  <c r="E43" i="84"/>
  <c r="E62" i="84"/>
  <c r="E61" i="84"/>
  <c r="E70" i="84"/>
  <c r="E49" i="84"/>
  <c r="E63" i="84"/>
  <c r="E45" i="84"/>
  <c r="J66" i="84"/>
  <c r="AF32" i="88"/>
  <c r="AB32" i="88"/>
  <c r="AE32" i="88"/>
  <c r="Z34" i="88"/>
  <c r="AD32" i="88"/>
  <c r="T32" i="88"/>
  <c r="AC32" i="88"/>
  <c r="AA32" i="88"/>
  <c r="U32" i="88"/>
  <c r="E14" i="87" l="1"/>
  <c r="C14" i="87"/>
  <c r="W32" i="88"/>
  <c r="X32" i="88"/>
  <c r="V32" i="88"/>
  <c r="S33" i="88"/>
  <c r="R33" i="88"/>
  <c r="A33" i="88"/>
  <c r="Y36" i="88"/>
  <c r="O15" i="87"/>
  <c r="D14" i="87"/>
  <c r="K14" i="87"/>
  <c r="F14" i="87"/>
  <c r="M14" i="87"/>
  <c r="L14" i="87"/>
  <c r="G14" i="87"/>
  <c r="I14" i="87"/>
  <c r="H14" i="87"/>
  <c r="J14" i="87"/>
  <c r="N14" i="87"/>
  <c r="B14" i="87"/>
  <c r="E42" i="84"/>
  <c r="E66" i="84"/>
  <c r="E48" i="84"/>
  <c r="E60" i="84"/>
  <c r="E59" i="84" s="1"/>
  <c r="E52" i="84" s="1"/>
  <c r="X1567" i="3"/>
  <c r="X1586" i="3"/>
  <c r="X1596" i="3"/>
  <c r="X1610" i="3"/>
  <c r="X1614" i="3"/>
  <c r="X1637" i="3"/>
  <c r="X1641" i="3"/>
  <c r="X1659" i="3"/>
  <c r="X1660" i="3"/>
  <c r="X1667" i="3"/>
  <c r="X1668" i="3"/>
  <c r="X1669" i="3"/>
  <c r="X1670" i="3"/>
  <c r="X1671" i="3"/>
  <c r="X1686" i="3"/>
  <c r="X1687" i="3"/>
  <c r="X1694" i="3"/>
  <c r="X1695" i="3"/>
  <c r="X1696" i="3"/>
  <c r="X1697" i="3"/>
  <c r="X1698" i="3"/>
  <c r="X1713" i="3"/>
  <c r="X1714" i="3"/>
  <c r="X1721" i="3"/>
  <c r="X1722" i="3"/>
  <c r="X1723" i="3"/>
  <c r="X1724" i="3"/>
  <c r="X1725" i="3"/>
  <c r="X1767" i="3"/>
  <c r="X1768" i="3"/>
  <c r="X1775" i="3"/>
  <c r="X1776" i="3"/>
  <c r="X1777" i="3"/>
  <c r="X1778" i="3"/>
  <c r="X1779" i="3"/>
  <c r="X1794" i="3"/>
  <c r="X1795" i="3"/>
  <c r="X1802" i="3"/>
  <c r="X1803" i="3"/>
  <c r="X1804" i="3"/>
  <c r="X1805" i="3"/>
  <c r="X1806" i="3"/>
  <c r="X1820" i="3"/>
  <c r="X1821" i="3"/>
  <c r="X1862" i="3"/>
  <c r="X1863" i="3"/>
  <c r="X1971" i="3"/>
  <c r="X1985" i="3"/>
  <c r="X2004" i="3"/>
  <c r="X2023" i="3"/>
  <c r="X2041" i="3"/>
  <c r="X2057" i="3"/>
  <c r="X2066" i="3"/>
  <c r="X2067" i="3"/>
  <c r="X2070" i="3"/>
  <c r="X2071" i="3"/>
  <c r="X2072" i="3"/>
  <c r="X2075" i="3"/>
  <c r="X2076" i="3"/>
  <c r="X2077" i="3"/>
  <c r="X2078" i="3"/>
  <c r="X2079" i="3"/>
  <c r="X2089" i="3"/>
  <c r="X2090" i="3"/>
  <c r="X2093" i="3"/>
  <c r="X2095" i="3"/>
  <c r="X2098" i="3"/>
  <c r="X2099" i="3"/>
  <c r="X2100" i="3"/>
  <c r="X2101" i="3"/>
  <c r="X2102" i="3"/>
  <c r="X2135" i="3"/>
  <c r="X2136" i="3"/>
  <c r="X2139" i="3"/>
  <c r="X2141" i="3"/>
  <c r="X2144" i="3"/>
  <c r="X2145" i="3"/>
  <c r="X2146" i="3"/>
  <c r="X2147" i="3"/>
  <c r="X2148" i="3"/>
  <c r="X2162" i="3"/>
  <c r="X2163" i="3"/>
  <c r="X2164" i="3"/>
  <c r="X2182" i="3"/>
  <c r="X2183" i="3"/>
  <c r="X2184" i="3"/>
  <c r="X2197" i="3"/>
  <c r="X2215" i="3"/>
  <c r="X2237" i="3"/>
  <c r="X2262" i="3"/>
  <c r="X2390" i="3"/>
  <c r="X2391" i="3"/>
  <c r="X2432" i="3"/>
  <c r="X2433" i="3"/>
  <c r="X2514" i="3"/>
  <c r="X2525" i="3"/>
  <c r="X2541" i="3"/>
  <c r="X2557" i="3"/>
  <c r="X2573" i="3"/>
  <c r="X2585" i="3"/>
  <c r="X2668" i="3"/>
  <c r="X2669" i="3"/>
  <c r="X2677" i="3"/>
  <c r="X2678" i="3"/>
  <c r="X4527" i="3"/>
  <c r="X4532" i="3"/>
  <c r="X4566" i="3"/>
  <c r="X4578" i="3"/>
  <c r="X4579" i="3"/>
  <c r="X4592" i="3"/>
  <c r="X4604" i="3"/>
  <c r="X4607" i="3"/>
  <c r="X4620" i="3"/>
  <c r="X4624" i="3"/>
  <c r="X4625" i="3"/>
  <c r="X4630" i="3"/>
  <c r="X5" i="3"/>
  <c r="X6" i="3"/>
  <c r="X7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79" i="3"/>
  <c r="X180" i="3"/>
  <c r="X181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79" i="3"/>
  <c r="X480" i="3"/>
  <c r="X481" i="3"/>
  <c r="X482" i="3"/>
  <c r="X483" i="3"/>
  <c r="X484" i="3"/>
  <c r="X485" i="3"/>
  <c r="X486" i="3"/>
  <c r="X502" i="3"/>
  <c r="X503" i="3"/>
  <c r="X504" i="3"/>
  <c r="X505" i="3"/>
  <c r="X506" i="3"/>
  <c r="X507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35" i="3"/>
  <c r="X4" i="3"/>
  <c r="M1501" i="5"/>
  <c r="V10" i="83"/>
  <c r="V9" i="83"/>
  <c r="V8" i="83"/>
  <c r="V7" i="83"/>
  <c r="V5" i="83"/>
  <c r="V4" i="83"/>
  <c r="V6" i="83"/>
  <c r="AE33" i="88"/>
  <c r="AF33" i="88"/>
  <c r="Z35" i="88"/>
  <c r="BO10" i="6"/>
  <c r="T33" i="88"/>
  <c r="AB33" i="88"/>
  <c r="AA33" i="88"/>
  <c r="AC33" i="88"/>
  <c r="AD33" i="88"/>
  <c r="U33" i="88"/>
  <c r="G15" i="87" l="1"/>
  <c r="C15" i="87"/>
  <c r="W33" i="88"/>
  <c r="X33" i="88"/>
  <c r="V33" i="88"/>
  <c r="R34" i="88"/>
  <c r="S34" i="88"/>
  <c r="A34" i="88"/>
  <c r="Y37" i="88"/>
  <c r="H15" i="87"/>
  <c r="M15" i="87"/>
  <c r="D15" i="87"/>
  <c r="B15" i="87"/>
  <c r="J15" i="87"/>
  <c r="I15" i="87"/>
  <c r="F15" i="87"/>
  <c r="E15" i="87"/>
  <c r="K15" i="87"/>
  <c r="O16" i="87"/>
  <c r="N15" i="87"/>
  <c r="L15" i="87"/>
  <c r="E41" i="84"/>
  <c r="E34" i="84" s="1"/>
  <c r="E29" i="84"/>
  <c r="AF34" i="88"/>
  <c r="AE34" i="88"/>
  <c r="U34" i="88"/>
  <c r="AD34" i="88"/>
  <c r="AC34" i="88"/>
  <c r="Z36" i="88"/>
  <c r="AA34" i="88"/>
  <c r="T34" i="88"/>
  <c r="AB34" i="88"/>
  <c r="G16" i="87" l="1"/>
  <c r="C16" i="87"/>
  <c r="V34" i="88"/>
  <c r="X34" i="88"/>
  <c r="W34" i="88"/>
  <c r="S35" i="88"/>
  <c r="A35" i="88"/>
  <c r="R35" i="88"/>
  <c r="Y38" i="88"/>
  <c r="O17" i="87"/>
  <c r="I16" i="87"/>
  <c r="F16" i="87"/>
  <c r="D16" i="87"/>
  <c r="M16" i="87"/>
  <c r="H16" i="87"/>
  <c r="E16" i="87"/>
  <c r="B16" i="87"/>
  <c r="K16" i="87"/>
  <c r="N16" i="87"/>
  <c r="J16" i="87"/>
  <c r="L16" i="87"/>
  <c r="G18" i="1"/>
  <c r="G17" i="1"/>
  <c r="E6939" i="3"/>
  <c r="E6938" i="3"/>
  <c r="AC35" i="88"/>
  <c r="AB35" i="88"/>
  <c r="Z37" i="88"/>
  <c r="U35" i="88"/>
  <c r="AE35" i="88"/>
  <c r="T35" i="88"/>
  <c r="AF35" i="88"/>
  <c r="AA35" i="88"/>
  <c r="AD35" i="88"/>
  <c r="B17" i="87" l="1"/>
  <c r="C17" i="87"/>
  <c r="W35" i="88"/>
  <c r="X35" i="88"/>
  <c r="V35" i="88"/>
  <c r="Y39" i="88"/>
  <c r="S36" i="88"/>
  <c r="R36" i="88"/>
  <c r="A36" i="88"/>
  <c r="N17" i="87"/>
  <c r="G17" i="87"/>
  <c r="J17" i="87"/>
  <c r="M17" i="87"/>
  <c r="E17" i="87"/>
  <c r="H17" i="87"/>
  <c r="D17" i="87"/>
  <c r="K17" i="87"/>
  <c r="I17" i="87"/>
  <c r="O18" i="87"/>
  <c r="F17" i="87"/>
  <c r="L17" i="87"/>
  <c r="A14" i="87"/>
  <c r="U36" i="88"/>
  <c r="AE36" i="88"/>
  <c r="T36" i="88"/>
  <c r="AB36" i="88"/>
  <c r="Z38" i="88"/>
  <c r="AC36" i="88"/>
  <c r="AA36" i="88"/>
  <c r="AF36" i="88"/>
  <c r="AD36" i="88"/>
  <c r="E18" i="87" l="1"/>
  <c r="C18" i="87"/>
  <c r="X36" i="88"/>
  <c r="V36" i="88"/>
  <c r="W36" i="88"/>
  <c r="Y40" i="88"/>
  <c r="R37" i="88"/>
  <c r="S37" i="88"/>
  <c r="A37" i="88"/>
  <c r="D18" i="87"/>
  <c r="F18" i="87"/>
  <c r="O19" i="87"/>
  <c r="K18" i="87"/>
  <c r="M18" i="87"/>
  <c r="B18" i="87"/>
  <c r="L18" i="87"/>
  <c r="G18" i="87"/>
  <c r="I18" i="87"/>
  <c r="N18" i="87"/>
  <c r="H18" i="87"/>
  <c r="J18" i="87"/>
  <c r="A15" i="87"/>
  <c r="G6" i="1"/>
  <c r="U6932" i="3"/>
  <c r="AB37" i="88"/>
  <c r="AA37" i="88"/>
  <c r="AE37" i="88"/>
  <c r="AC37" i="88"/>
  <c r="U37" i="88"/>
  <c r="AD37" i="88"/>
  <c r="AF37" i="88"/>
  <c r="Z39" i="88"/>
  <c r="T37" i="88"/>
  <c r="B19" i="87" l="1"/>
  <c r="C19" i="87"/>
  <c r="V37" i="88"/>
  <c r="X37" i="88"/>
  <c r="W37" i="88"/>
  <c r="Y41" i="88"/>
  <c r="R38" i="88"/>
  <c r="A38" i="88"/>
  <c r="S38" i="88"/>
  <c r="I19" i="87"/>
  <c r="K19" i="87"/>
  <c r="E19" i="87"/>
  <c r="H19" i="87"/>
  <c r="J19" i="87"/>
  <c r="N19" i="87"/>
  <c r="M19" i="87"/>
  <c r="D19" i="87"/>
  <c r="F19" i="87"/>
  <c r="O20" i="87"/>
  <c r="L19" i="87"/>
  <c r="G19" i="87"/>
  <c r="A16" i="87"/>
  <c r="S102" i="83"/>
  <c r="AD38" i="88"/>
  <c r="U38" i="88"/>
  <c r="T38" i="88"/>
  <c r="AA38" i="88"/>
  <c r="AF38" i="88"/>
  <c r="Z40" i="88"/>
  <c r="AB38" i="88"/>
  <c r="AC38" i="88"/>
  <c r="AE38" i="88"/>
  <c r="N20" i="87" l="1"/>
  <c r="C20" i="87"/>
  <c r="W38" i="88"/>
  <c r="X38" i="88"/>
  <c r="V38" i="88"/>
  <c r="Y42" i="88"/>
  <c r="A39" i="88"/>
  <c r="R39" i="88"/>
  <c r="S39" i="88"/>
  <c r="F20" i="87"/>
  <c r="I20" i="87"/>
  <c r="D20" i="87"/>
  <c r="K20" i="87"/>
  <c r="E20" i="87"/>
  <c r="G20" i="87"/>
  <c r="J20" i="87"/>
  <c r="L20" i="87"/>
  <c r="B20" i="87"/>
  <c r="M20" i="87"/>
  <c r="H20" i="87"/>
  <c r="O21" i="87"/>
  <c r="A17" i="87"/>
  <c r="S103" i="83"/>
  <c r="T39" i="88"/>
  <c r="U39" i="88"/>
  <c r="AE39" i="88"/>
  <c r="AC39" i="88"/>
  <c r="AA39" i="88"/>
  <c r="AD39" i="88"/>
  <c r="Z41" i="88"/>
  <c r="AB39" i="88"/>
  <c r="AF39" i="88"/>
  <c r="B21" i="87" l="1"/>
  <c r="C21" i="87"/>
  <c r="W39" i="88"/>
  <c r="X39" i="88"/>
  <c r="V39" i="88"/>
  <c r="S40" i="88"/>
  <c r="A40" i="88"/>
  <c r="R40" i="88"/>
  <c r="Y43" i="88"/>
  <c r="G103" i="83"/>
  <c r="J21" i="87"/>
  <c r="E21" i="87"/>
  <c r="O22" i="87"/>
  <c r="K21" i="87"/>
  <c r="M21" i="87"/>
  <c r="H21" i="87"/>
  <c r="N21" i="87"/>
  <c r="G21" i="87"/>
  <c r="I21" i="87"/>
  <c r="D21" i="87"/>
  <c r="F21" i="87"/>
  <c r="L21" i="87"/>
  <c r="A18" i="87"/>
  <c r="S104" i="83"/>
  <c r="L2057" i="3"/>
  <c r="L2041" i="3"/>
  <c r="L2023" i="3"/>
  <c r="L2004" i="3"/>
  <c r="L1985" i="3"/>
  <c r="L1971" i="3"/>
  <c r="L1641" i="3"/>
  <c r="L1637" i="3"/>
  <c r="L1614" i="3"/>
  <c r="L1610" i="3"/>
  <c r="L1596" i="3"/>
  <c r="L1586" i="3"/>
  <c r="L1567" i="3"/>
  <c r="BG12" i="6"/>
  <c r="O6836" i="3"/>
  <c r="N6836" i="3"/>
  <c r="U6836" i="3" s="1"/>
  <c r="U5755" i="3"/>
  <c r="D5755" i="3"/>
  <c r="A5755" i="3"/>
  <c r="U5754" i="3"/>
  <c r="D5754" i="3"/>
  <c r="A5754" i="3"/>
  <c r="U5753" i="3"/>
  <c r="D5753" i="3"/>
  <c r="A5753" i="3"/>
  <c r="U5752" i="3"/>
  <c r="L5752" i="3"/>
  <c r="D5752" i="3"/>
  <c r="A5752" i="3"/>
  <c r="U5751" i="3"/>
  <c r="D5751" i="3"/>
  <c r="A5751" i="3"/>
  <c r="U5750" i="3"/>
  <c r="D5750" i="3"/>
  <c r="A5750" i="3"/>
  <c r="U5749" i="3"/>
  <c r="D5749" i="3"/>
  <c r="A5749" i="3"/>
  <c r="U5748" i="3"/>
  <c r="L5748" i="3"/>
  <c r="D5748" i="3"/>
  <c r="O6801" i="3"/>
  <c r="N6801" i="3"/>
  <c r="U6801" i="3" s="1"/>
  <c r="U5271" i="3"/>
  <c r="D5271" i="3"/>
  <c r="A5271" i="3"/>
  <c r="U5270" i="3"/>
  <c r="D5270" i="3"/>
  <c r="A5270" i="3"/>
  <c r="U5269" i="3"/>
  <c r="D5269" i="3"/>
  <c r="A5269" i="3"/>
  <c r="U5268" i="3"/>
  <c r="L5268" i="3"/>
  <c r="D5268" i="3"/>
  <c r="A5268" i="3"/>
  <c r="U5267" i="3"/>
  <c r="D5267" i="3"/>
  <c r="A5267" i="3"/>
  <c r="U5266" i="3"/>
  <c r="D5266" i="3"/>
  <c r="A5266" i="3"/>
  <c r="U5265" i="3"/>
  <c r="D5265" i="3"/>
  <c r="A5265" i="3"/>
  <c r="U5264" i="3"/>
  <c r="L5264" i="3"/>
  <c r="D5264" i="3"/>
  <c r="L401" i="3"/>
  <c r="L402" i="3"/>
  <c r="L403" i="3"/>
  <c r="L404" i="3"/>
  <c r="L405" i="3"/>
  <c r="L406" i="3"/>
  <c r="L407" i="3"/>
  <c r="L408" i="3"/>
  <c r="L409" i="3"/>
  <c r="L410" i="3"/>
  <c r="L411" i="3"/>
  <c r="L400" i="3"/>
  <c r="L393" i="3"/>
  <c r="L394" i="3"/>
  <c r="L395" i="3"/>
  <c r="L396" i="3"/>
  <c r="L397" i="3"/>
  <c r="L398" i="3"/>
  <c r="L665" i="3"/>
  <c r="T669" i="3"/>
  <c r="L669" i="3" s="1"/>
  <c r="T668" i="3"/>
  <c r="L668" i="3" s="1"/>
  <c r="T667" i="3"/>
  <c r="L667" i="3" s="1"/>
  <c r="T666" i="3"/>
  <c r="L666" i="3" s="1"/>
  <c r="AD40" i="88"/>
  <c r="U40" i="88"/>
  <c r="AE40" i="88"/>
  <c r="AB40" i="88"/>
  <c r="Z42" i="88"/>
  <c r="AF40" i="88"/>
  <c r="AA40" i="88"/>
  <c r="T40" i="88"/>
  <c r="AC40" i="88"/>
  <c r="N22" i="87" l="1"/>
  <c r="C22" i="87"/>
  <c r="V40" i="88"/>
  <c r="X40" i="88"/>
  <c r="W40" i="88"/>
  <c r="R41" i="88"/>
  <c r="A41" i="88"/>
  <c r="S41" i="88"/>
  <c r="Y44" i="88"/>
  <c r="G104" i="83"/>
  <c r="J22" i="87"/>
  <c r="L22" i="87"/>
  <c r="E22" i="87"/>
  <c r="F22" i="87"/>
  <c r="H22" i="87"/>
  <c r="O23" i="87"/>
  <c r="K22" i="87"/>
  <c r="M22" i="87"/>
  <c r="B22" i="87"/>
  <c r="D22" i="87"/>
  <c r="G22" i="87"/>
  <c r="I22" i="87"/>
  <c r="A19" i="87"/>
  <c r="S105" i="83"/>
  <c r="N669" i="3"/>
  <c r="D669" i="3"/>
  <c r="A669" i="3"/>
  <c r="W669" i="3" s="1"/>
  <c r="N668" i="3"/>
  <c r="D668" i="3"/>
  <c r="A668" i="3"/>
  <c r="W668" i="3" s="1"/>
  <c r="N667" i="3"/>
  <c r="D667" i="3"/>
  <c r="A667" i="3"/>
  <c r="W667" i="3" s="1"/>
  <c r="N666" i="3"/>
  <c r="D666" i="3"/>
  <c r="AA41" i="88"/>
  <c r="AB41" i="88"/>
  <c r="AF41" i="88"/>
  <c r="Z43" i="88"/>
  <c r="AE41" i="88"/>
  <c r="T41" i="88"/>
  <c r="AD41" i="88"/>
  <c r="U41" i="88"/>
  <c r="AC41" i="88"/>
  <c r="O24" i="87" l="1"/>
  <c r="C24" i="87" s="1"/>
  <c r="C23" i="87"/>
  <c r="W41" i="88"/>
  <c r="V41" i="88"/>
  <c r="X41" i="88"/>
  <c r="Y45" i="88"/>
  <c r="A42" i="88"/>
  <c r="S42" i="88"/>
  <c r="R42" i="88"/>
  <c r="G105" i="83"/>
  <c r="E23" i="87"/>
  <c r="L23" i="87"/>
  <c r="D23" i="87"/>
  <c r="I23" i="87"/>
  <c r="J23" i="87"/>
  <c r="M23" i="87"/>
  <c r="F23" i="87"/>
  <c r="H23" i="87"/>
  <c r="B23" i="87"/>
  <c r="G23" i="87"/>
  <c r="N23" i="87"/>
  <c r="K23" i="87"/>
  <c r="A20" i="87"/>
  <c r="S106" i="83"/>
  <c r="N384" i="3"/>
  <c r="L384" i="3"/>
  <c r="D384" i="3"/>
  <c r="A384" i="3"/>
  <c r="W384" i="3" s="1"/>
  <c r="N383" i="3"/>
  <c r="L383" i="3"/>
  <c r="D383" i="3"/>
  <c r="A383" i="3"/>
  <c r="W383" i="3" s="1"/>
  <c r="N382" i="3"/>
  <c r="L382" i="3"/>
  <c r="D382" i="3"/>
  <c r="A382" i="3"/>
  <c r="W382" i="3" s="1"/>
  <c r="N381" i="3"/>
  <c r="L381" i="3"/>
  <c r="D381" i="3"/>
  <c r="Z44" i="88"/>
  <c r="AA42" i="88"/>
  <c r="U42" i="88"/>
  <c r="AB42" i="88"/>
  <c r="AC42" i="88"/>
  <c r="AE42" i="88"/>
  <c r="T42" i="88"/>
  <c r="AF42" i="88"/>
  <c r="AD42" i="88"/>
  <c r="O25" i="87" l="1"/>
  <c r="C25" i="87" s="1"/>
  <c r="B24" i="87"/>
  <c r="N24" i="87"/>
  <c r="J24" i="87"/>
  <c r="I24" i="87"/>
  <c r="L24" i="87"/>
  <c r="M24" i="87"/>
  <c r="E24" i="87"/>
  <c r="H24" i="87"/>
  <c r="D24" i="87"/>
  <c r="K24" i="87"/>
  <c r="F24" i="87"/>
  <c r="G24" i="87"/>
  <c r="W42" i="88"/>
  <c r="V42" i="88"/>
  <c r="X42" i="88"/>
  <c r="A43" i="88"/>
  <c r="S43" i="88"/>
  <c r="R43" i="88"/>
  <c r="Y46" i="88"/>
  <c r="G106" i="83"/>
  <c r="A21" i="87"/>
  <c r="K1038" i="3"/>
  <c r="L13" i="83"/>
  <c r="K13" i="83"/>
  <c r="AA43" i="88"/>
  <c r="AD43" i="88"/>
  <c r="U43" i="88"/>
  <c r="AF43" i="88"/>
  <c r="AB43" i="88"/>
  <c r="Z45" i="88"/>
  <c r="AE43" i="88"/>
  <c r="AC43" i="88"/>
  <c r="T43" i="88"/>
  <c r="G25" i="87" l="1"/>
  <c r="D25" i="87"/>
  <c r="O26" i="87"/>
  <c r="C26" i="87" s="1"/>
  <c r="B25" i="87"/>
  <c r="F25" i="87"/>
  <c r="E25" i="87"/>
  <c r="L25" i="87"/>
  <c r="J25" i="87"/>
  <c r="M25" i="87"/>
  <c r="N25" i="87"/>
  <c r="I25" i="87"/>
  <c r="K25" i="87"/>
  <c r="H25" i="87"/>
  <c r="X43" i="88"/>
  <c r="V43" i="88"/>
  <c r="W43" i="88"/>
  <c r="Y47" i="88"/>
  <c r="S44" i="88"/>
  <c r="R44" i="88"/>
  <c r="A44" i="88"/>
  <c r="A22" i="87"/>
  <c r="A6756" i="3"/>
  <c r="N6756" i="3"/>
  <c r="U6756" i="3" s="1"/>
  <c r="O6756" i="3"/>
  <c r="U5" i="3"/>
  <c r="U37" i="3"/>
  <c r="U391" i="3"/>
  <c r="U708" i="3"/>
  <c r="U1038" i="3"/>
  <c r="U1329" i="3"/>
  <c r="U1555" i="3"/>
  <c r="U1567" i="3"/>
  <c r="U1586" i="3"/>
  <c r="U1596" i="3"/>
  <c r="U1610" i="3"/>
  <c r="U1614" i="3"/>
  <c r="U1637" i="3"/>
  <c r="U1641" i="3"/>
  <c r="U1659" i="3"/>
  <c r="U1660" i="3"/>
  <c r="U1667" i="3"/>
  <c r="U1668" i="3"/>
  <c r="U1669" i="3"/>
  <c r="U1670" i="3"/>
  <c r="U1671" i="3"/>
  <c r="U1686" i="3"/>
  <c r="U1687" i="3"/>
  <c r="U1694" i="3"/>
  <c r="U1695" i="3"/>
  <c r="U1696" i="3"/>
  <c r="U1697" i="3"/>
  <c r="U1698" i="3"/>
  <c r="U1713" i="3"/>
  <c r="U1714" i="3"/>
  <c r="U1721" i="3"/>
  <c r="U1722" i="3"/>
  <c r="U1723" i="3"/>
  <c r="U1724" i="3"/>
  <c r="U1725" i="3"/>
  <c r="U1767" i="3"/>
  <c r="U1768" i="3"/>
  <c r="U1775" i="3"/>
  <c r="U1776" i="3"/>
  <c r="U1777" i="3"/>
  <c r="U1778" i="3"/>
  <c r="U1779" i="3"/>
  <c r="U1794" i="3"/>
  <c r="U1795" i="3"/>
  <c r="U1802" i="3"/>
  <c r="U1803" i="3"/>
  <c r="U1804" i="3"/>
  <c r="U1805" i="3"/>
  <c r="U1806" i="3"/>
  <c r="U1820" i="3"/>
  <c r="U1821" i="3"/>
  <c r="U1862" i="3"/>
  <c r="U1863" i="3"/>
  <c r="U1971" i="3"/>
  <c r="U1985" i="3"/>
  <c r="U2004" i="3"/>
  <c r="U2023" i="3"/>
  <c r="U2041" i="3"/>
  <c r="U2057" i="3"/>
  <c r="U2066" i="3"/>
  <c r="U2067" i="3"/>
  <c r="U2070" i="3"/>
  <c r="U2071" i="3"/>
  <c r="U2072" i="3"/>
  <c r="U2075" i="3"/>
  <c r="U2076" i="3"/>
  <c r="U2077" i="3"/>
  <c r="U2078" i="3"/>
  <c r="U2079" i="3"/>
  <c r="U2089" i="3"/>
  <c r="U2090" i="3"/>
  <c r="U2093" i="3"/>
  <c r="U2095" i="3"/>
  <c r="U2098" i="3"/>
  <c r="U2099" i="3"/>
  <c r="U2100" i="3"/>
  <c r="U2101" i="3"/>
  <c r="U2102" i="3"/>
  <c r="U2135" i="3"/>
  <c r="U2136" i="3"/>
  <c r="U2139" i="3"/>
  <c r="U2141" i="3"/>
  <c r="U2144" i="3"/>
  <c r="U2145" i="3"/>
  <c r="U2146" i="3"/>
  <c r="U2147" i="3"/>
  <c r="U2148" i="3"/>
  <c r="U2162" i="3"/>
  <c r="U2163" i="3"/>
  <c r="U2164" i="3"/>
  <c r="U2182" i="3"/>
  <c r="U2183" i="3"/>
  <c r="U2184" i="3"/>
  <c r="U2197" i="3"/>
  <c r="U2215" i="3"/>
  <c r="U2237" i="3"/>
  <c r="U2262" i="3"/>
  <c r="U2390" i="3"/>
  <c r="U2391" i="3"/>
  <c r="U2432" i="3"/>
  <c r="U2433" i="3"/>
  <c r="U2514" i="3"/>
  <c r="U2525" i="3"/>
  <c r="U2541" i="3"/>
  <c r="U2557" i="3"/>
  <c r="U2573" i="3"/>
  <c r="U2585" i="3"/>
  <c r="U2668" i="3"/>
  <c r="U2669" i="3"/>
  <c r="U2677" i="3"/>
  <c r="U2678" i="3"/>
  <c r="U4527" i="3"/>
  <c r="U4532" i="3"/>
  <c r="U4566" i="3"/>
  <c r="U4578" i="3"/>
  <c r="U4579" i="3"/>
  <c r="U4592" i="3"/>
  <c r="U4604" i="3"/>
  <c r="U4607" i="3"/>
  <c r="U4620" i="3"/>
  <c r="U4624" i="3"/>
  <c r="U4625" i="3"/>
  <c r="U4630" i="3"/>
  <c r="U4655" i="3"/>
  <c r="U4730" i="3"/>
  <c r="U6492" i="3"/>
  <c r="L12" i="83"/>
  <c r="K12" i="83"/>
  <c r="U44" i="88"/>
  <c r="T44" i="88"/>
  <c r="AA44" i="88"/>
  <c r="AF44" i="88"/>
  <c r="AD44" i="88"/>
  <c r="Z46" i="88"/>
  <c r="AC44" i="88"/>
  <c r="AB44" i="88"/>
  <c r="AE44" i="88"/>
  <c r="O27" i="87" l="1"/>
  <c r="C27" i="87" s="1"/>
  <c r="E26" i="87"/>
  <c r="H26" i="87"/>
  <c r="D26" i="87"/>
  <c r="N26" i="87"/>
  <c r="L26" i="87"/>
  <c r="B26" i="87"/>
  <c r="K26" i="87"/>
  <c r="G26" i="87"/>
  <c r="J26" i="87"/>
  <c r="F26" i="87"/>
  <c r="I26" i="87"/>
  <c r="M26" i="87"/>
  <c r="W44" i="88"/>
  <c r="V44" i="88"/>
  <c r="X44" i="88"/>
  <c r="R45" i="88"/>
  <c r="S45" i="88"/>
  <c r="A45" i="88"/>
  <c r="Y48" i="88"/>
  <c r="A23" i="87"/>
  <c r="N1649" i="3"/>
  <c r="D1649" i="3"/>
  <c r="A1649" i="3"/>
  <c r="N1648" i="3"/>
  <c r="D1648" i="3"/>
  <c r="A1648" i="3"/>
  <c r="N1647" i="3"/>
  <c r="D1647" i="3"/>
  <c r="A1647" i="3"/>
  <c r="N1646" i="3"/>
  <c r="D1646" i="3"/>
  <c r="A1646" i="3"/>
  <c r="N1622" i="3"/>
  <c r="D1622" i="3"/>
  <c r="A1622" i="3"/>
  <c r="N1621" i="3"/>
  <c r="D1621" i="3"/>
  <c r="A1621" i="3"/>
  <c r="N1620" i="3"/>
  <c r="D1620" i="3"/>
  <c r="A1620" i="3"/>
  <c r="N1619" i="3"/>
  <c r="D1619" i="3"/>
  <c r="A1619" i="3"/>
  <c r="N1591" i="3"/>
  <c r="D1591" i="3"/>
  <c r="A1591" i="3"/>
  <c r="N1590" i="3"/>
  <c r="D1590" i="3"/>
  <c r="A1590" i="3"/>
  <c r="N1572" i="3"/>
  <c r="D1572" i="3"/>
  <c r="A1572" i="3"/>
  <c r="N1571" i="3"/>
  <c r="D1571" i="3"/>
  <c r="A1571" i="3"/>
  <c r="I183" i="83"/>
  <c r="C183" i="83"/>
  <c r="C10" i="1"/>
  <c r="F183" i="83" s="1"/>
  <c r="A6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11" i="6"/>
  <c r="AF45" i="88"/>
  <c r="T45" i="88"/>
  <c r="U45" i="88"/>
  <c r="AE45" i="88"/>
  <c r="AC45" i="88"/>
  <c r="AD45" i="88"/>
  <c r="AA45" i="88"/>
  <c r="Z47" i="88"/>
  <c r="AB45" i="88"/>
  <c r="F27" i="87" l="1"/>
  <c r="J27" i="87"/>
  <c r="B27" i="87"/>
  <c r="O28" i="87"/>
  <c r="C28" i="87" s="1"/>
  <c r="N27" i="87"/>
  <c r="M27" i="87"/>
  <c r="I27" i="87"/>
  <c r="E27" i="87"/>
  <c r="L27" i="87"/>
  <c r="K27" i="87"/>
  <c r="H27" i="87"/>
  <c r="D27" i="87"/>
  <c r="G27" i="87"/>
  <c r="W45" i="88"/>
  <c r="V45" i="88"/>
  <c r="X45" i="88"/>
  <c r="A46" i="88"/>
  <c r="R46" i="88"/>
  <c r="S46" i="88"/>
  <c r="Y49" i="88"/>
  <c r="A24" i="87"/>
  <c r="U1619" i="3"/>
  <c r="X1619" i="3"/>
  <c r="U1591" i="3"/>
  <c r="X1591" i="3"/>
  <c r="U1622" i="3"/>
  <c r="X1622" i="3"/>
  <c r="U1649" i="3"/>
  <c r="X1649" i="3"/>
  <c r="U1571" i="3"/>
  <c r="X1571" i="3"/>
  <c r="U1590" i="3"/>
  <c r="X1590" i="3"/>
  <c r="U1621" i="3"/>
  <c r="X1621" i="3"/>
  <c r="U1648" i="3"/>
  <c r="X1648" i="3"/>
  <c r="U1646" i="3"/>
  <c r="X1646" i="3"/>
  <c r="U1572" i="3"/>
  <c r="X1572" i="3"/>
  <c r="U1620" i="3"/>
  <c r="X1620" i="3"/>
  <c r="U1647" i="3"/>
  <c r="X1647" i="3"/>
  <c r="AC46" i="88"/>
  <c r="U46" i="88"/>
  <c r="AB46" i="88"/>
  <c r="AD46" i="88"/>
  <c r="AA46" i="88"/>
  <c r="AF46" i="88"/>
  <c r="AE46" i="88"/>
  <c r="Z48" i="88"/>
  <c r="T46" i="88"/>
  <c r="E28" i="87" l="1"/>
  <c r="J28" i="87"/>
  <c r="N28" i="87"/>
  <c r="K28" i="87"/>
  <c r="H28" i="87"/>
  <c r="L28" i="87"/>
  <c r="D28" i="87"/>
  <c r="F28" i="87"/>
  <c r="G28" i="87"/>
  <c r="M28" i="87"/>
  <c r="O29" i="87"/>
  <c r="C29" i="87" s="1"/>
  <c r="I28" i="87"/>
  <c r="B28" i="87"/>
  <c r="W46" i="88"/>
  <c r="X46" i="88"/>
  <c r="V46" i="88"/>
  <c r="Y50" i="88"/>
  <c r="A47" i="88"/>
  <c r="S47" i="88"/>
  <c r="R47" i="88"/>
  <c r="A25" i="87"/>
  <c r="T878" i="3"/>
  <c r="T877" i="3"/>
  <c r="T861" i="3"/>
  <c r="T860" i="3"/>
  <c r="T859" i="3"/>
  <c r="T840" i="3"/>
  <c r="T839" i="3"/>
  <c r="T963" i="3"/>
  <c r="T962" i="3"/>
  <c r="T948" i="3"/>
  <c r="T947" i="3"/>
  <c r="T929" i="3"/>
  <c r="T928" i="3"/>
  <c r="T911" i="3"/>
  <c r="T910" i="3"/>
  <c r="T894" i="3"/>
  <c r="T893" i="3"/>
  <c r="T1017" i="3"/>
  <c r="T1016" i="3"/>
  <c r="T1000" i="3"/>
  <c r="T999" i="3"/>
  <c r="T998" i="3"/>
  <c r="T979" i="3"/>
  <c r="T978" i="3"/>
  <c r="T824" i="3"/>
  <c r="T823" i="3"/>
  <c r="T803" i="3"/>
  <c r="T802" i="3"/>
  <c r="T782" i="3"/>
  <c r="T781" i="3"/>
  <c r="T763" i="3"/>
  <c r="T762" i="3"/>
  <c r="T744" i="3"/>
  <c r="T743" i="3"/>
  <c r="T726" i="3"/>
  <c r="T725" i="3"/>
  <c r="T949" i="3"/>
  <c r="T930" i="3"/>
  <c r="T32" i="3"/>
  <c r="T1037" i="3"/>
  <c r="T1036" i="3"/>
  <c r="T822" i="3"/>
  <c r="T821" i="3"/>
  <c r="T801" i="3"/>
  <c r="T800" i="3"/>
  <c r="T761" i="3"/>
  <c r="T760" i="3"/>
  <c r="T724" i="3"/>
  <c r="T723" i="3"/>
  <c r="T1015" i="3"/>
  <c r="T1014" i="3"/>
  <c r="T997" i="3"/>
  <c r="T996" i="3"/>
  <c r="T977" i="3"/>
  <c r="T976" i="3"/>
  <c r="T876" i="3"/>
  <c r="T875" i="3"/>
  <c r="T858" i="3"/>
  <c r="T857" i="3"/>
  <c r="T838" i="3"/>
  <c r="T837" i="3"/>
  <c r="T31" i="3"/>
  <c r="T1027" i="3"/>
  <c r="T1026" i="3"/>
  <c r="T961" i="3"/>
  <c r="T960" i="3"/>
  <c r="T946" i="3"/>
  <c r="T945" i="3"/>
  <c r="T927" i="3"/>
  <c r="T926" i="3"/>
  <c r="T909" i="3"/>
  <c r="T908" i="3"/>
  <c r="T892" i="3"/>
  <c r="T891" i="3"/>
  <c r="T780" i="3"/>
  <c r="T779" i="3"/>
  <c r="T742" i="3"/>
  <c r="T741" i="3"/>
  <c r="T1319" i="3"/>
  <c r="L1319" i="3" s="1"/>
  <c r="T1318" i="3"/>
  <c r="L1318" i="3" s="1"/>
  <c r="T1271" i="3"/>
  <c r="L1271" i="3" s="1"/>
  <c r="T1258" i="3"/>
  <c r="L1258" i="3" s="1"/>
  <c r="T1222" i="3"/>
  <c r="L1222" i="3" s="1"/>
  <c r="T1221" i="3"/>
  <c r="L1221" i="3" s="1"/>
  <c r="T1205" i="3"/>
  <c r="L1205" i="3" s="1"/>
  <c r="T1204" i="3"/>
  <c r="L1204" i="3" s="1"/>
  <c r="T1188" i="3"/>
  <c r="L1188" i="3" s="1"/>
  <c r="T1187" i="3"/>
  <c r="L1187" i="3" s="1"/>
  <c r="T1171" i="3"/>
  <c r="L1171" i="3" s="1"/>
  <c r="T1170" i="3"/>
  <c r="L1170" i="3" s="1"/>
  <c r="T1154" i="3"/>
  <c r="L1154" i="3" s="1"/>
  <c r="T1153" i="3"/>
  <c r="L1153" i="3" s="1"/>
  <c r="T1095" i="3"/>
  <c r="L1095" i="3" s="1"/>
  <c r="T1094" i="3"/>
  <c r="L1094" i="3" s="1"/>
  <c r="T1079" i="3"/>
  <c r="L1079" i="3" s="1"/>
  <c r="T1078" i="3"/>
  <c r="L1078" i="3" s="1"/>
  <c r="T1063" i="3"/>
  <c r="L1063" i="3" s="1"/>
  <c r="T1062" i="3"/>
  <c r="L1062" i="3" s="1"/>
  <c r="T1049" i="3"/>
  <c r="L1049" i="3" s="1"/>
  <c r="T1048" i="3"/>
  <c r="T1313" i="3"/>
  <c r="L1313" i="3" s="1"/>
  <c r="T1312" i="3"/>
  <c r="L1312" i="3" s="1"/>
  <c r="T1280" i="3"/>
  <c r="L1280" i="3" s="1"/>
  <c r="T1279" i="3"/>
  <c r="L1279" i="3" s="1"/>
  <c r="T1268" i="3"/>
  <c r="L1268" i="3" s="1"/>
  <c r="T1267" i="3"/>
  <c r="L1267" i="3" s="1"/>
  <c r="T1255" i="3"/>
  <c r="L1255" i="3" s="1"/>
  <c r="T1254" i="3"/>
  <c r="L1254" i="3" s="1"/>
  <c r="T1243" i="3"/>
  <c r="L1243" i="3" s="1"/>
  <c r="T1242" i="3"/>
  <c r="L1242" i="3" s="1"/>
  <c r="T1232" i="3"/>
  <c r="L1232" i="3" s="1"/>
  <c r="T1231" i="3"/>
  <c r="L1231" i="3" s="1"/>
  <c r="T1282" i="3"/>
  <c r="L1282" i="3" s="1"/>
  <c r="T1281" i="3"/>
  <c r="L1281" i="3" s="1"/>
  <c r="T1270" i="3"/>
  <c r="L1270" i="3" s="1"/>
  <c r="T1269" i="3"/>
  <c r="L1269" i="3" s="1"/>
  <c r="T1257" i="3"/>
  <c r="L1257" i="3" s="1"/>
  <c r="T1256" i="3"/>
  <c r="L1256" i="3" s="1"/>
  <c r="T1245" i="3"/>
  <c r="L1245" i="3" s="1"/>
  <c r="T1244" i="3"/>
  <c r="L1244" i="3" s="1"/>
  <c r="T1234" i="3"/>
  <c r="L1234" i="3" s="1"/>
  <c r="T1233" i="3"/>
  <c r="L1233" i="3" s="1"/>
  <c r="T1224" i="3"/>
  <c r="L1224" i="3" s="1"/>
  <c r="T1223" i="3"/>
  <c r="L1223" i="3" s="1"/>
  <c r="T1207" i="3"/>
  <c r="L1207" i="3" s="1"/>
  <c r="T1206" i="3"/>
  <c r="L1206" i="3" s="1"/>
  <c r="T1190" i="3"/>
  <c r="L1190" i="3" s="1"/>
  <c r="T1189" i="3"/>
  <c r="L1189" i="3" s="1"/>
  <c r="T1173" i="3"/>
  <c r="L1173" i="3" s="1"/>
  <c r="T1172" i="3"/>
  <c r="L1172" i="3" s="1"/>
  <c r="T1156" i="3"/>
  <c r="L1156" i="3" s="1"/>
  <c r="T1155" i="3"/>
  <c r="L1155" i="3" s="1"/>
  <c r="T1097" i="3"/>
  <c r="L1097" i="3" s="1"/>
  <c r="T1096" i="3"/>
  <c r="L1096" i="3" s="1"/>
  <c r="T1081" i="3"/>
  <c r="L1081" i="3" s="1"/>
  <c r="T1080" i="3"/>
  <c r="L1080" i="3" s="1"/>
  <c r="T1065" i="3"/>
  <c r="L1065" i="3" s="1"/>
  <c r="T1064" i="3"/>
  <c r="L1064" i="3" s="1"/>
  <c r="T1051" i="3"/>
  <c r="L1051" i="3" s="1"/>
  <c r="T1050" i="3"/>
  <c r="L1050" i="3" s="1"/>
  <c r="T34" i="3"/>
  <c r="L34" i="3" s="1"/>
  <c r="T1139" i="3"/>
  <c r="L1139" i="3" s="1"/>
  <c r="T1138" i="3"/>
  <c r="L1138" i="3" s="1"/>
  <c r="T1137" i="3"/>
  <c r="L1137" i="3" s="1"/>
  <c r="T1117" i="3"/>
  <c r="L1117" i="3" s="1"/>
  <c r="T1116" i="3"/>
  <c r="L1116" i="3" s="1"/>
  <c r="T1115" i="3"/>
  <c r="L1115" i="3" s="1"/>
  <c r="T1307" i="3"/>
  <c r="L1307" i="3" s="1"/>
  <c r="T1306" i="3"/>
  <c r="L1306" i="3" s="1"/>
  <c r="T1294" i="3"/>
  <c r="L1294" i="3" s="1"/>
  <c r="T1293" i="3"/>
  <c r="L1293" i="3" s="1"/>
  <c r="T1305" i="3"/>
  <c r="L1305" i="3" s="1"/>
  <c r="T1304" i="3"/>
  <c r="L1304" i="3" s="1"/>
  <c r="T1292" i="3"/>
  <c r="L1292" i="3" s="1"/>
  <c r="T1291" i="3"/>
  <c r="L1291" i="3" s="1"/>
  <c r="T1136" i="3"/>
  <c r="L1136" i="3" s="1"/>
  <c r="T1135" i="3"/>
  <c r="L1135" i="3" s="1"/>
  <c r="T1134" i="3"/>
  <c r="L1134" i="3" s="1"/>
  <c r="T1114" i="3"/>
  <c r="L1114" i="3" s="1"/>
  <c r="T1113" i="3"/>
  <c r="L1113" i="3" s="1"/>
  <c r="T1112" i="3"/>
  <c r="L1112" i="3" s="1"/>
  <c r="L33" i="3"/>
  <c r="Z49" i="88"/>
  <c r="U47" i="88"/>
  <c r="AA47" i="88"/>
  <c r="T47" i="88"/>
  <c r="AC47" i="88"/>
  <c r="AE47" i="88"/>
  <c r="AD47" i="88"/>
  <c r="AB47" i="88"/>
  <c r="AF47" i="88"/>
  <c r="M29" i="87" l="1"/>
  <c r="F29" i="87"/>
  <c r="I29" i="87"/>
  <c r="B29" i="87"/>
  <c r="N29" i="87"/>
  <c r="L29" i="87"/>
  <c r="G29" i="87"/>
  <c r="H29" i="87"/>
  <c r="K29" i="87"/>
  <c r="D29" i="87"/>
  <c r="E29" i="87"/>
  <c r="J29" i="87"/>
  <c r="O30" i="87"/>
  <c r="C30" i="87" s="1"/>
  <c r="X47" i="88"/>
  <c r="V47" i="88"/>
  <c r="W47" i="88"/>
  <c r="Y51" i="88"/>
  <c r="S48" i="88"/>
  <c r="R48" i="88"/>
  <c r="A48" i="88"/>
  <c r="A26" i="87"/>
  <c r="L1048" i="3"/>
  <c r="D3" i="83"/>
  <c r="T48" i="88"/>
  <c r="AF48" i="88"/>
  <c r="AB48" i="88"/>
  <c r="AD48" i="88"/>
  <c r="AE48" i="88"/>
  <c r="Z50" i="88"/>
  <c r="AA48" i="88"/>
  <c r="AC48" i="88"/>
  <c r="U48" i="88"/>
  <c r="M30" i="87" l="1"/>
  <c r="O31" i="87"/>
  <c r="C31" i="87" s="1"/>
  <c r="H30" i="87"/>
  <c r="E30" i="87"/>
  <c r="K30" i="87"/>
  <c r="B30" i="87"/>
  <c r="D30" i="87"/>
  <c r="N30" i="87"/>
  <c r="G30" i="87"/>
  <c r="F30" i="87"/>
  <c r="J30" i="87"/>
  <c r="L30" i="87"/>
  <c r="I30" i="87"/>
  <c r="X48" i="88"/>
  <c r="V48" i="88"/>
  <c r="W48" i="88"/>
  <c r="R49" i="88"/>
  <c r="S49" i="88"/>
  <c r="A49" i="88"/>
  <c r="Y52" i="88"/>
  <c r="A27" i="87"/>
  <c r="N2681" i="3"/>
  <c r="D2681" i="3"/>
  <c r="A2681" i="3"/>
  <c r="N2679" i="3"/>
  <c r="L2679" i="3"/>
  <c r="L2680" i="3" s="1"/>
  <c r="D2679" i="3"/>
  <c r="A2679" i="3"/>
  <c r="N2672" i="3"/>
  <c r="D2672" i="3"/>
  <c r="A2672" i="3"/>
  <c r="N2670" i="3"/>
  <c r="L2670" i="3"/>
  <c r="L2671" i="3" s="1"/>
  <c r="D2670" i="3"/>
  <c r="A2670" i="3"/>
  <c r="N2653" i="3"/>
  <c r="D2653" i="3"/>
  <c r="A2653" i="3"/>
  <c r="N2651" i="3"/>
  <c r="L2651" i="3"/>
  <c r="L2652" i="3" s="1"/>
  <c r="D2651" i="3"/>
  <c r="A2651" i="3"/>
  <c r="N2634" i="3"/>
  <c r="D2634" i="3"/>
  <c r="A2634" i="3"/>
  <c r="N2632" i="3"/>
  <c r="L2632" i="3"/>
  <c r="L2633" i="3" s="1"/>
  <c r="D2632" i="3"/>
  <c r="A2632" i="3"/>
  <c r="N2615" i="3"/>
  <c r="D2615" i="3"/>
  <c r="A2615" i="3"/>
  <c r="N2613" i="3"/>
  <c r="L2613" i="3"/>
  <c r="L2614" i="3" s="1"/>
  <c r="D2613" i="3"/>
  <c r="A2613" i="3"/>
  <c r="L2594" i="3"/>
  <c r="L2595" i="3" s="1"/>
  <c r="A2596" i="3"/>
  <c r="D2596" i="3"/>
  <c r="N2596" i="3"/>
  <c r="AE49" i="88"/>
  <c r="AB49" i="88"/>
  <c r="T49" i="88"/>
  <c r="AF49" i="88"/>
  <c r="AA49" i="88"/>
  <c r="AD49" i="88"/>
  <c r="AC49" i="88"/>
  <c r="Z51" i="88"/>
  <c r="U49" i="88"/>
  <c r="F31" i="87" l="1"/>
  <c r="B31" i="87"/>
  <c r="O32" i="87"/>
  <c r="C32" i="87" s="1"/>
  <c r="N31" i="87"/>
  <c r="E31" i="87"/>
  <c r="I31" i="87"/>
  <c r="H31" i="87"/>
  <c r="L31" i="87"/>
  <c r="D31" i="87"/>
  <c r="K31" i="87"/>
  <c r="G31" i="87"/>
  <c r="M31" i="87"/>
  <c r="J31" i="87"/>
  <c r="W49" i="88"/>
  <c r="V49" i="88"/>
  <c r="X49" i="88"/>
  <c r="A50" i="88"/>
  <c r="S50" i="88"/>
  <c r="R50" i="88"/>
  <c r="Y53" i="88"/>
  <c r="A28" i="87"/>
  <c r="U2615" i="3"/>
  <c r="X2615" i="3"/>
  <c r="U2632" i="3"/>
  <c r="X2632" i="3"/>
  <c r="U2613" i="3"/>
  <c r="X2613" i="3"/>
  <c r="U2672" i="3"/>
  <c r="X2672" i="3"/>
  <c r="U2679" i="3"/>
  <c r="X2679" i="3"/>
  <c r="U2596" i="3"/>
  <c r="X2596" i="3"/>
  <c r="U2653" i="3"/>
  <c r="X2653" i="3"/>
  <c r="U2670" i="3"/>
  <c r="X2670" i="3"/>
  <c r="U2634" i="3"/>
  <c r="X2634" i="3"/>
  <c r="U2651" i="3"/>
  <c r="X2651" i="3"/>
  <c r="U2681" i="3"/>
  <c r="X2681" i="3"/>
  <c r="A2594" i="3"/>
  <c r="D2594" i="3"/>
  <c r="N2594" i="3"/>
  <c r="N2685" i="3"/>
  <c r="D2685" i="3"/>
  <c r="A2685" i="3"/>
  <c r="N2684" i="3"/>
  <c r="D2684" i="3"/>
  <c r="A2684" i="3"/>
  <c r="N2683" i="3"/>
  <c r="D2683" i="3"/>
  <c r="A2683" i="3"/>
  <c r="N2682" i="3"/>
  <c r="D2682" i="3"/>
  <c r="A2682" i="3"/>
  <c r="D2678" i="3"/>
  <c r="A2678" i="3"/>
  <c r="D2677" i="3"/>
  <c r="N2676" i="3"/>
  <c r="D2676" i="3"/>
  <c r="A2676" i="3"/>
  <c r="N2675" i="3"/>
  <c r="D2675" i="3"/>
  <c r="A2675" i="3"/>
  <c r="N2674" i="3"/>
  <c r="D2674" i="3"/>
  <c r="A2674" i="3"/>
  <c r="N2673" i="3"/>
  <c r="D2673" i="3"/>
  <c r="A2673" i="3"/>
  <c r="D2669" i="3"/>
  <c r="A2669" i="3"/>
  <c r="D2668" i="3"/>
  <c r="L2430" i="3"/>
  <c r="AE50" i="88"/>
  <c r="AF50" i="88"/>
  <c r="AB50" i="88"/>
  <c r="AD50" i="88"/>
  <c r="U50" i="88"/>
  <c r="Z52" i="88"/>
  <c r="AC50" i="88"/>
  <c r="AA50" i="88"/>
  <c r="T50" i="88"/>
  <c r="D32" i="87" l="1"/>
  <c r="G32" i="87"/>
  <c r="O33" i="87"/>
  <c r="C33" i="87" s="1"/>
  <c r="B32" i="87"/>
  <c r="M32" i="87"/>
  <c r="I32" i="87"/>
  <c r="H32" i="87"/>
  <c r="J32" i="87"/>
  <c r="F32" i="87"/>
  <c r="K32" i="87"/>
  <c r="E32" i="87"/>
  <c r="N32" i="87"/>
  <c r="L32" i="87"/>
  <c r="W50" i="88"/>
  <c r="V50" i="88"/>
  <c r="X50" i="88"/>
  <c r="Y54" i="88"/>
  <c r="A51" i="88"/>
  <c r="S51" i="88"/>
  <c r="R51" i="88"/>
  <c r="A29" i="87"/>
  <c r="U2674" i="3"/>
  <c r="X2674" i="3"/>
  <c r="U2682" i="3"/>
  <c r="X2682" i="3"/>
  <c r="U2594" i="3"/>
  <c r="X2594" i="3"/>
  <c r="U2673" i="3"/>
  <c r="X2673" i="3"/>
  <c r="U2685" i="3"/>
  <c r="X2685" i="3"/>
  <c r="U2676" i="3"/>
  <c r="X2676" i="3"/>
  <c r="U2684" i="3"/>
  <c r="X2684" i="3"/>
  <c r="U2675" i="3"/>
  <c r="X2675" i="3"/>
  <c r="U2683" i="3"/>
  <c r="X2683" i="3"/>
  <c r="L2388" i="3"/>
  <c r="AA51" i="88"/>
  <c r="AF51" i="88"/>
  <c r="AE51" i="88"/>
  <c r="AB51" i="88"/>
  <c r="Z53" i="88"/>
  <c r="AD51" i="88"/>
  <c r="BP11" i="6"/>
  <c r="T51" i="88"/>
  <c r="AC51" i="88"/>
  <c r="U51" i="88"/>
  <c r="G33" i="87" l="1"/>
  <c r="O34" i="87"/>
  <c r="C34" i="87" s="1"/>
  <c r="B33" i="87"/>
  <c r="J33" i="87"/>
  <c r="F33" i="87"/>
  <c r="D33" i="87"/>
  <c r="N33" i="87"/>
  <c r="K33" i="87"/>
  <c r="I33" i="87"/>
  <c r="M33" i="87"/>
  <c r="H33" i="87"/>
  <c r="E33" i="87"/>
  <c r="L33" i="87"/>
  <c r="W51" i="88"/>
  <c r="X51" i="88"/>
  <c r="V51" i="88"/>
  <c r="Y55" i="88"/>
  <c r="S52" i="88"/>
  <c r="A52" i="88"/>
  <c r="R52" i="88"/>
  <c r="A30" i="87"/>
  <c r="BO12" i="6"/>
  <c r="BO13" i="6" s="1"/>
  <c r="N2437" i="3"/>
  <c r="D2437" i="3"/>
  <c r="A2437" i="3"/>
  <c r="N2436" i="3"/>
  <c r="D2436" i="3"/>
  <c r="A2436" i="3"/>
  <c r="N2435" i="3"/>
  <c r="D2435" i="3"/>
  <c r="A2435" i="3"/>
  <c r="N2434" i="3"/>
  <c r="D2434" i="3"/>
  <c r="A2434" i="3"/>
  <c r="D2433" i="3"/>
  <c r="A2433" i="3"/>
  <c r="D2432" i="3"/>
  <c r="A2432" i="3"/>
  <c r="N2431" i="3"/>
  <c r="D2431" i="3"/>
  <c r="A2431" i="3"/>
  <c r="N2430" i="3"/>
  <c r="D2430" i="3"/>
  <c r="N2395" i="3"/>
  <c r="D2395" i="3"/>
  <c r="A2395" i="3"/>
  <c r="N2394" i="3"/>
  <c r="D2394" i="3"/>
  <c r="A2394" i="3"/>
  <c r="N2393" i="3"/>
  <c r="D2393" i="3"/>
  <c r="A2393" i="3"/>
  <c r="N2392" i="3"/>
  <c r="D2392" i="3"/>
  <c r="A2392" i="3"/>
  <c r="D2391" i="3"/>
  <c r="A2391" i="3"/>
  <c r="D2390" i="3"/>
  <c r="A2390" i="3"/>
  <c r="N2389" i="3"/>
  <c r="D2389" i="3"/>
  <c r="A2389" i="3"/>
  <c r="N2388" i="3"/>
  <c r="D2388" i="3"/>
  <c r="I6293" i="3"/>
  <c r="I6405" i="3"/>
  <c r="U6416" i="3"/>
  <c r="D6416" i="3"/>
  <c r="A6416" i="3"/>
  <c r="U6415" i="3"/>
  <c r="D6415" i="3"/>
  <c r="A6415" i="3"/>
  <c r="U6414" i="3"/>
  <c r="D6414" i="3"/>
  <c r="A6414" i="3"/>
  <c r="U6413" i="3"/>
  <c r="L6413" i="3"/>
  <c r="D6413" i="3"/>
  <c r="A6413" i="3"/>
  <c r="U6412" i="3"/>
  <c r="D6412" i="3"/>
  <c r="A6412" i="3"/>
  <c r="U6411" i="3"/>
  <c r="D6411" i="3"/>
  <c r="A6411" i="3"/>
  <c r="U6410" i="3"/>
  <c r="D6410" i="3"/>
  <c r="A6410" i="3"/>
  <c r="U6409" i="3"/>
  <c r="D6409" i="3"/>
  <c r="A6409" i="3"/>
  <c r="U6408" i="3"/>
  <c r="D6408" i="3"/>
  <c r="A6408" i="3"/>
  <c r="U6407" i="3"/>
  <c r="L6407" i="3"/>
  <c r="D6407" i="3"/>
  <c r="A6407" i="3"/>
  <c r="U6406" i="3"/>
  <c r="D6406" i="3"/>
  <c r="A6406" i="3"/>
  <c r="U6405" i="3"/>
  <c r="D6405" i="3"/>
  <c r="A6405" i="3"/>
  <c r="U6404" i="3"/>
  <c r="D6404" i="3"/>
  <c r="A6404" i="3"/>
  <c r="U6403" i="3"/>
  <c r="D6403" i="3"/>
  <c r="U6304" i="3"/>
  <c r="D6304" i="3"/>
  <c r="A6304" i="3"/>
  <c r="U6303" i="3"/>
  <c r="D6303" i="3"/>
  <c r="A6303" i="3"/>
  <c r="U6302" i="3"/>
  <c r="D6302" i="3"/>
  <c r="A6302" i="3"/>
  <c r="U6301" i="3"/>
  <c r="L6301" i="3"/>
  <c r="D6301" i="3"/>
  <c r="A6301" i="3"/>
  <c r="U6300" i="3"/>
  <c r="D6300" i="3"/>
  <c r="A6300" i="3"/>
  <c r="U6299" i="3"/>
  <c r="D6299" i="3"/>
  <c r="A6299" i="3"/>
  <c r="U6298" i="3"/>
  <c r="D6298" i="3"/>
  <c r="A6298" i="3"/>
  <c r="U6297" i="3"/>
  <c r="D6297" i="3"/>
  <c r="A6297" i="3"/>
  <c r="U6296" i="3"/>
  <c r="D6296" i="3"/>
  <c r="A6296" i="3"/>
  <c r="U6295" i="3"/>
  <c r="L6295" i="3"/>
  <c r="D6295" i="3"/>
  <c r="A6295" i="3"/>
  <c r="U6294" i="3"/>
  <c r="D6294" i="3"/>
  <c r="A6294" i="3"/>
  <c r="U6293" i="3"/>
  <c r="D6293" i="3"/>
  <c r="A6293" i="3"/>
  <c r="U6292" i="3"/>
  <c r="D6292" i="3"/>
  <c r="A6292" i="3"/>
  <c r="U6291" i="3"/>
  <c r="D6291" i="3"/>
  <c r="O6890" i="3"/>
  <c r="N6890" i="3"/>
  <c r="U6890" i="3" s="1"/>
  <c r="A6890" i="3"/>
  <c r="O6889" i="3"/>
  <c r="N6889" i="3"/>
  <c r="U6889" i="3" s="1"/>
  <c r="A6899" i="3"/>
  <c r="N6899" i="3"/>
  <c r="U6899" i="3" s="1"/>
  <c r="O6899" i="3"/>
  <c r="N6898" i="3"/>
  <c r="U6898" i="3" s="1"/>
  <c r="O6898" i="3"/>
  <c r="N1498" i="3"/>
  <c r="L1498" i="3"/>
  <c r="D1498" i="3"/>
  <c r="A1498" i="3"/>
  <c r="W1498" i="3" s="1"/>
  <c r="N1497" i="3"/>
  <c r="L1497" i="3"/>
  <c r="D1497" i="3"/>
  <c r="A1497" i="3"/>
  <c r="W1497" i="3" s="1"/>
  <c r="N1496" i="3"/>
  <c r="L1496" i="3"/>
  <c r="D1496" i="3"/>
  <c r="A1496" i="3"/>
  <c r="W1496" i="3" s="1"/>
  <c r="N1495" i="3"/>
  <c r="L1495" i="3"/>
  <c r="D1495" i="3"/>
  <c r="A1495" i="3"/>
  <c r="W1495" i="3" s="1"/>
  <c r="N1494" i="3"/>
  <c r="L1494" i="3"/>
  <c r="D1494" i="3"/>
  <c r="A1494" i="3"/>
  <c r="W1494" i="3" s="1"/>
  <c r="N1493" i="3"/>
  <c r="L1493" i="3"/>
  <c r="D1493" i="3"/>
  <c r="A1493" i="3"/>
  <c r="W1493" i="3" s="1"/>
  <c r="N1492" i="3"/>
  <c r="L1492" i="3"/>
  <c r="D1492" i="3"/>
  <c r="A1492" i="3"/>
  <c r="W1492" i="3" s="1"/>
  <c r="N1491" i="3"/>
  <c r="L1491" i="3"/>
  <c r="D1491" i="3"/>
  <c r="A1491" i="3"/>
  <c r="W1491" i="3" s="1"/>
  <c r="N1490" i="3"/>
  <c r="L1490" i="3"/>
  <c r="D1490" i="3"/>
  <c r="A1490" i="3"/>
  <c r="W1490" i="3" s="1"/>
  <c r="N1489" i="3"/>
  <c r="L1489" i="3"/>
  <c r="D1489" i="3"/>
  <c r="A1489" i="3"/>
  <c r="W1489" i="3" s="1"/>
  <c r="N1488" i="3"/>
  <c r="L1488" i="3"/>
  <c r="D1488" i="3"/>
  <c r="A1488" i="3"/>
  <c r="W1488" i="3" s="1"/>
  <c r="N1487" i="3"/>
  <c r="L1487" i="3"/>
  <c r="D1487" i="3"/>
  <c r="A1487" i="3"/>
  <c r="W1487" i="3" s="1"/>
  <c r="N1486" i="3"/>
  <c r="L1486" i="3"/>
  <c r="D1486" i="3"/>
  <c r="A1486" i="3"/>
  <c r="W1486" i="3" s="1"/>
  <c r="N1485" i="3"/>
  <c r="L1485" i="3"/>
  <c r="D1485" i="3"/>
  <c r="A1485" i="3"/>
  <c r="W1485" i="3" s="1"/>
  <c r="N1484" i="3"/>
  <c r="L1484" i="3"/>
  <c r="D1484" i="3"/>
  <c r="A1403" i="3"/>
  <c r="W1403" i="3" s="1"/>
  <c r="A1404" i="3"/>
  <c r="A1405" i="3"/>
  <c r="W1405" i="3" s="1"/>
  <c r="A1406" i="3"/>
  <c r="W1406" i="3" s="1"/>
  <c r="A1407" i="3"/>
  <c r="W1407" i="3" s="1"/>
  <c r="A1408" i="3"/>
  <c r="W1408" i="3" s="1"/>
  <c r="A1409" i="3"/>
  <c r="W1409" i="3" s="1"/>
  <c r="A1410" i="3"/>
  <c r="W1410" i="3" s="1"/>
  <c r="A1411" i="3"/>
  <c r="W1411" i="3" s="1"/>
  <c r="A1412" i="3"/>
  <c r="W1412" i="3" s="1"/>
  <c r="A1413" i="3"/>
  <c r="W1413" i="3" s="1"/>
  <c r="D1412" i="3"/>
  <c r="L1412" i="3"/>
  <c r="N1412" i="3"/>
  <c r="D1409" i="3"/>
  <c r="L1409" i="3"/>
  <c r="N1409" i="3"/>
  <c r="D1406" i="3"/>
  <c r="L1406" i="3"/>
  <c r="N1406" i="3"/>
  <c r="N1413" i="3"/>
  <c r="L1413" i="3"/>
  <c r="D1413" i="3"/>
  <c r="N1411" i="3"/>
  <c r="L1411" i="3"/>
  <c r="D1411" i="3"/>
  <c r="N1410" i="3"/>
  <c r="L1410" i="3"/>
  <c r="D1410" i="3"/>
  <c r="N1408" i="3"/>
  <c r="L1408" i="3"/>
  <c r="D1408" i="3"/>
  <c r="N1407" i="3"/>
  <c r="L1407" i="3"/>
  <c r="D1407" i="3"/>
  <c r="N1405" i="3"/>
  <c r="L1405" i="3"/>
  <c r="D1405" i="3"/>
  <c r="N1404" i="3"/>
  <c r="L1404" i="3"/>
  <c r="D1404" i="3"/>
  <c r="W1404" i="3"/>
  <c r="N1403" i="3"/>
  <c r="L1403" i="3"/>
  <c r="D1403" i="3"/>
  <c r="N1402" i="3"/>
  <c r="L1402" i="3"/>
  <c r="D1402" i="3"/>
  <c r="A1402" i="3"/>
  <c r="W1402" i="3" s="1"/>
  <c r="N1401" i="3"/>
  <c r="L1401" i="3"/>
  <c r="D1401" i="3"/>
  <c r="A1401" i="3"/>
  <c r="W1401" i="3" s="1"/>
  <c r="N1400" i="3"/>
  <c r="L1400" i="3"/>
  <c r="D1400" i="3"/>
  <c r="A1400" i="3"/>
  <c r="W1400" i="3" s="1"/>
  <c r="N1399" i="3"/>
  <c r="L1399" i="3"/>
  <c r="D1399" i="3"/>
  <c r="N4509" i="3"/>
  <c r="D4509" i="3"/>
  <c r="N4508" i="3"/>
  <c r="D4508" i="3"/>
  <c r="N4507" i="3"/>
  <c r="D4507" i="3"/>
  <c r="N4506" i="3"/>
  <c r="D4506" i="3"/>
  <c r="N4505" i="3"/>
  <c r="D4505" i="3"/>
  <c r="N4504" i="3"/>
  <c r="D4504" i="3"/>
  <c r="N4503" i="3"/>
  <c r="D4503" i="3"/>
  <c r="N4422" i="3"/>
  <c r="D4422" i="3"/>
  <c r="N4421" i="3"/>
  <c r="D4421" i="3"/>
  <c r="N4420" i="3"/>
  <c r="D4420" i="3"/>
  <c r="N4419" i="3"/>
  <c r="D4419" i="3"/>
  <c r="N4418" i="3"/>
  <c r="D4418" i="3"/>
  <c r="N4417" i="3"/>
  <c r="D4417" i="3"/>
  <c r="N4416" i="3"/>
  <c r="D4416" i="3"/>
  <c r="N4415" i="3"/>
  <c r="D4415" i="3"/>
  <c r="U6360" i="3"/>
  <c r="D6360" i="3"/>
  <c r="A6360" i="3"/>
  <c r="U6359" i="3"/>
  <c r="D6359" i="3"/>
  <c r="A6359" i="3"/>
  <c r="U6358" i="3"/>
  <c r="D6358" i="3"/>
  <c r="A6358" i="3"/>
  <c r="U6357" i="3"/>
  <c r="L6357" i="3"/>
  <c r="D6357" i="3"/>
  <c r="A6357" i="3"/>
  <c r="U6356" i="3"/>
  <c r="D6356" i="3"/>
  <c r="A6356" i="3"/>
  <c r="U6355" i="3"/>
  <c r="D6355" i="3"/>
  <c r="A6355" i="3"/>
  <c r="U6354" i="3"/>
  <c r="D6354" i="3"/>
  <c r="A6354" i="3"/>
  <c r="U6353" i="3"/>
  <c r="D6353" i="3"/>
  <c r="A6353" i="3"/>
  <c r="U6352" i="3"/>
  <c r="D6352" i="3"/>
  <c r="A6352" i="3"/>
  <c r="U6351" i="3"/>
  <c r="L6351" i="3"/>
  <c r="D6351" i="3"/>
  <c r="A6351" i="3"/>
  <c r="U6350" i="3"/>
  <c r="D6350" i="3"/>
  <c r="A6350" i="3"/>
  <c r="U6349" i="3"/>
  <c r="I6349" i="3"/>
  <c r="D6349" i="3"/>
  <c r="A6349" i="3"/>
  <c r="U6348" i="3"/>
  <c r="D6348" i="3"/>
  <c r="A6348" i="3"/>
  <c r="U6347" i="3"/>
  <c r="D6347" i="3"/>
  <c r="U6262" i="3"/>
  <c r="D6262" i="3"/>
  <c r="A6262" i="3"/>
  <c r="U6261" i="3"/>
  <c r="D6261" i="3"/>
  <c r="A6261" i="3"/>
  <c r="U6260" i="3"/>
  <c r="D6260" i="3"/>
  <c r="A6260" i="3"/>
  <c r="U6259" i="3"/>
  <c r="L6259" i="3"/>
  <c r="D6259" i="3"/>
  <c r="A6259" i="3"/>
  <c r="U6258" i="3"/>
  <c r="D6258" i="3"/>
  <c r="A6258" i="3"/>
  <c r="U6257" i="3"/>
  <c r="D6257" i="3"/>
  <c r="A6257" i="3"/>
  <c r="U6256" i="3"/>
  <c r="D6256" i="3"/>
  <c r="A6256" i="3"/>
  <c r="U6255" i="3"/>
  <c r="D6255" i="3"/>
  <c r="A6255" i="3"/>
  <c r="U6254" i="3"/>
  <c r="D6254" i="3"/>
  <c r="A6254" i="3"/>
  <c r="U6253" i="3"/>
  <c r="L6253" i="3"/>
  <c r="D6253" i="3"/>
  <c r="A6253" i="3"/>
  <c r="U6252" i="3"/>
  <c r="D6252" i="3"/>
  <c r="A6252" i="3"/>
  <c r="U6251" i="3"/>
  <c r="I6251" i="3"/>
  <c r="D6251" i="3"/>
  <c r="A6251" i="3"/>
  <c r="U6250" i="3"/>
  <c r="D6250" i="3"/>
  <c r="A6250" i="3"/>
  <c r="U6249" i="3"/>
  <c r="D6249" i="3"/>
  <c r="O6894" i="3"/>
  <c r="N6894" i="3"/>
  <c r="U6894" i="3" s="1"/>
  <c r="N4469" i="3"/>
  <c r="D4469" i="3"/>
  <c r="N4468" i="3"/>
  <c r="D4468" i="3"/>
  <c r="N4467" i="3"/>
  <c r="D4467" i="3"/>
  <c r="N4466" i="3"/>
  <c r="D4466" i="3"/>
  <c r="N4465" i="3"/>
  <c r="D4465" i="3"/>
  <c r="N4464" i="3"/>
  <c r="D4464" i="3"/>
  <c r="N4463" i="3"/>
  <c r="D4463" i="3"/>
  <c r="N4462" i="3"/>
  <c r="D4462" i="3"/>
  <c r="N4461" i="3"/>
  <c r="D4461" i="3"/>
  <c r="N4460" i="3"/>
  <c r="D4460" i="3"/>
  <c r="N4459" i="3"/>
  <c r="D4459" i="3"/>
  <c r="N4458" i="3"/>
  <c r="D4458" i="3"/>
  <c r="N4457" i="3"/>
  <c r="D4457" i="3"/>
  <c r="N4456" i="3"/>
  <c r="D4456" i="3"/>
  <c r="N4455" i="3"/>
  <c r="D4455" i="3"/>
  <c r="N1453" i="3"/>
  <c r="L1453" i="3"/>
  <c r="D1453" i="3"/>
  <c r="A1453" i="3"/>
  <c r="W1453" i="3" s="1"/>
  <c r="N1452" i="3"/>
  <c r="L1452" i="3"/>
  <c r="D1452" i="3"/>
  <c r="A1452" i="3"/>
  <c r="W1452" i="3" s="1"/>
  <c r="N1451" i="3"/>
  <c r="L1451" i="3"/>
  <c r="D1451" i="3"/>
  <c r="A1451" i="3"/>
  <c r="W1451" i="3" s="1"/>
  <c r="N1450" i="3"/>
  <c r="L1450" i="3"/>
  <c r="D1450" i="3"/>
  <c r="A1450" i="3"/>
  <c r="W1450" i="3" s="1"/>
  <c r="N1449" i="3"/>
  <c r="L1449" i="3"/>
  <c r="D1449" i="3"/>
  <c r="A1449" i="3"/>
  <c r="W1449" i="3" s="1"/>
  <c r="N1448" i="3"/>
  <c r="L1448" i="3"/>
  <c r="D1448" i="3"/>
  <c r="A1448" i="3"/>
  <c r="W1448" i="3" s="1"/>
  <c r="N1447" i="3"/>
  <c r="L1447" i="3"/>
  <c r="D1447" i="3"/>
  <c r="A1447" i="3"/>
  <c r="W1447" i="3" s="1"/>
  <c r="N1446" i="3"/>
  <c r="L1446" i="3"/>
  <c r="D1446" i="3"/>
  <c r="A1446" i="3"/>
  <c r="W1446" i="3" s="1"/>
  <c r="N1445" i="3"/>
  <c r="L1445" i="3"/>
  <c r="D1445" i="3"/>
  <c r="A1445" i="3"/>
  <c r="W1445" i="3" s="1"/>
  <c r="N1444" i="3"/>
  <c r="L1444" i="3"/>
  <c r="D1444" i="3"/>
  <c r="AA52" i="88"/>
  <c r="AE52" i="88"/>
  <c r="AD52" i="88"/>
  <c r="U52" i="88"/>
  <c r="T52" i="88"/>
  <c r="AC52" i="88"/>
  <c r="AB52" i="88"/>
  <c r="AF52" i="88"/>
  <c r="BP13" i="6"/>
  <c r="Z54" i="88"/>
  <c r="E34" i="87" l="1"/>
  <c r="K34" i="87"/>
  <c r="O35" i="87"/>
  <c r="C35" i="87" s="1"/>
  <c r="B34" i="87"/>
  <c r="N34" i="87"/>
  <c r="H34" i="87"/>
  <c r="D34" i="87"/>
  <c r="J34" i="87"/>
  <c r="G34" i="87"/>
  <c r="M34" i="87"/>
  <c r="F34" i="87"/>
  <c r="L34" i="87"/>
  <c r="I34" i="87"/>
  <c r="V52" i="88"/>
  <c r="X52" i="88"/>
  <c r="W52" i="88"/>
  <c r="Y56" i="88"/>
  <c r="R53" i="88"/>
  <c r="S53" i="88"/>
  <c r="A53" i="88"/>
  <c r="A31" i="87"/>
  <c r="U4458" i="3"/>
  <c r="X4458" i="3"/>
  <c r="U4456" i="3"/>
  <c r="X4456" i="3"/>
  <c r="U4460" i="3"/>
  <c r="X4460" i="3"/>
  <c r="U4464" i="3"/>
  <c r="X4464" i="3"/>
  <c r="U4468" i="3"/>
  <c r="X4468" i="3"/>
  <c r="U4416" i="3"/>
  <c r="X4416" i="3"/>
  <c r="U4420" i="3"/>
  <c r="X4420" i="3"/>
  <c r="U4503" i="3"/>
  <c r="X4503" i="3"/>
  <c r="U4507" i="3"/>
  <c r="X4507" i="3"/>
  <c r="U2393" i="3"/>
  <c r="X2393" i="3"/>
  <c r="U2430" i="3"/>
  <c r="X2430" i="3"/>
  <c r="U2436" i="3"/>
  <c r="X2436" i="3"/>
  <c r="U4457" i="3"/>
  <c r="X4457" i="3"/>
  <c r="U4455" i="3"/>
  <c r="X4455" i="3"/>
  <c r="U4459" i="3"/>
  <c r="X4459" i="3"/>
  <c r="U4463" i="3"/>
  <c r="X4463" i="3"/>
  <c r="U4467" i="3"/>
  <c r="X4467" i="3"/>
  <c r="U4415" i="3"/>
  <c r="X4415" i="3"/>
  <c r="U4419" i="3"/>
  <c r="X4419" i="3"/>
  <c r="U4506" i="3"/>
  <c r="X4506" i="3"/>
  <c r="U2392" i="3"/>
  <c r="X2392" i="3"/>
  <c r="U2435" i="3"/>
  <c r="X2435" i="3"/>
  <c r="U4462" i="3"/>
  <c r="X4462" i="3"/>
  <c r="U4466" i="3"/>
  <c r="X4466" i="3"/>
  <c r="U4418" i="3"/>
  <c r="X4418" i="3"/>
  <c r="U4422" i="3"/>
  <c r="X4422" i="3"/>
  <c r="U4505" i="3"/>
  <c r="X4505" i="3"/>
  <c r="U4509" i="3"/>
  <c r="X4509" i="3"/>
  <c r="U2389" i="3"/>
  <c r="X2389" i="3"/>
  <c r="U2395" i="3"/>
  <c r="X2395" i="3"/>
  <c r="U2434" i="3"/>
  <c r="X2434" i="3"/>
  <c r="U4461" i="3"/>
  <c r="X4461" i="3"/>
  <c r="U4465" i="3"/>
  <c r="X4465" i="3"/>
  <c r="U4469" i="3"/>
  <c r="X4469" i="3"/>
  <c r="U4417" i="3"/>
  <c r="X4417" i="3"/>
  <c r="U4421" i="3"/>
  <c r="X4421" i="3"/>
  <c r="U4504" i="3"/>
  <c r="X4504" i="3"/>
  <c r="U4508" i="3"/>
  <c r="X4508" i="3"/>
  <c r="U2388" i="3"/>
  <c r="X2388" i="3"/>
  <c r="U2394" i="3"/>
  <c r="X2394" i="3"/>
  <c r="U2431" i="3"/>
  <c r="X2431" i="3"/>
  <c r="U2437" i="3"/>
  <c r="X2437" i="3"/>
  <c r="B11" i="6"/>
  <c r="B13" i="6"/>
  <c r="D13" i="6" s="1"/>
  <c r="BO14" i="6"/>
  <c r="O6885" i="3"/>
  <c r="N6885" i="3"/>
  <c r="U6885" i="3" s="1"/>
  <c r="A6885" i="3"/>
  <c r="O6884" i="3"/>
  <c r="N6884" i="3"/>
  <c r="U6884" i="3" s="1"/>
  <c r="N1369" i="3"/>
  <c r="L1369" i="3"/>
  <c r="D1369" i="3"/>
  <c r="A1369" i="3"/>
  <c r="W1369" i="3" s="1"/>
  <c r="N1368" i="3"/>
  <c r="L1368" i="3"/>
  <c r="D1368" i="3"/>
  <c r="A1368" i="3"/>
  <c r="W1368" i="3" s="1"/>
  <c r="N1367" i="3"/>
  <c r="L1367" i="3"/>
  <c r="D1367" i="3"/>
  <c r="A1367" i="3"/>
  <c r="W1367" i="3" s="1"/>
  <c r="N1366" i="3"/>
  <c r="L1366" i="3"/>
  <c r="D1366" i="3"/>
  <c r="A1366" i="3"/>
  <c r="W1366" i="3" s="1"/>
  <c r="N1365" i="3"/>
  <c r="L1365" i="3"/>
  <c r="D1365" i="3"/>
  <c r="A1365" i="3"/>
  <c r="W1365" i="3" s="1"/>
  <c r="N1364" i="3"/>
  <c r="L1364" i="3"/>
  <c r="D1364" i="3"/>
  <c r="A1364" i="3"/>
  <c r="W1364" i="3" s="1"/>
  <c r="N1363" i="3"/>
  <c r="L1363" i="3"/>
  <c r="D1363" i="3"/>
  <c r="A1363" i="3"/>
  <c r="W1363" i="3" s="1"/>
  <c r="N1362" i="3"/>
  <c r="L1362" i="3"/>
  <c r="D1362" i="3"/>
  <c r="A1362" i="3"/>
  <c r="W1362" i="3" s="1"/>
  <c r="N1361" i="3"/>
  <c r="L1361" i="3"/>
  <c r="D1361" i="3"/>
  <c r="A1361" i="3"/>
  <c r="W1361" i="3" s="1"/>
  <c r="N1360" i="3"/>
  <c r="L1360" i="3"/>
  <c r="D1360" i="3"/>
  <c r="A1360" i="3"/>
  <c r="W1360" i="3" s="1"/>
  <c r="N1359" i="3"/>
  <c r="L1359" i="3"/>
  <c r="D1359" i="3"/>
  <c r="A1359" i="3"/>
  <c r="W1359" i="3" s="1"/>
  <c r="N1358" i="3"/>
  <c r="L1358" i="3"/>
  <c r="D1358" i="3"/>
  <c r="A1358" i="3"/>
  <c r="W1358" i="3" s="1"/>
  <c r="N1357" i="3"/>
  <c r="L1357" i="3"/>
  <c r="D1357" i="3"/>
  <c r="A1357" i="3"/>
  <c r="W1357" i="3" s="1"/>
  <c r="N1356" i="3"/>
  <c r="L1356" i="3"/>
  <c r="D1356" i="3"/>
  <c r="A1356" i="3"/>
  <c r="W1356" i="3" s="1"/>
  <c r="N1355" i="3"/>
  <c r="L1355" i="3"/>
  <c r="D1355" i="3"/>
  <c r="A1355" i="3"/>
  <c r="W1355" i="3" s="1"/>
  <c r="N1354" i="3"/>
  <c r="L1354" i="3"/>
  <c r="D1354" i="3"/>
  <c r="A1354" i="3"/>
  <c r="W1354" i="3" s="1"/>
  <c r="N1353" i="3"/>
  <c r="L1353" i="3"/>
  <c r="D1353" i="3"/>
  <c r="D4380" i="3"/>
  <c r="N4380" i="3"/>
  <c r="T53" i="88"/>
  <c r="AE53" i="88"/>
  <c r="AB53" i="88"/>
  <c r="AA53" i="88"/>
  <c r="C11" i="6"/>
  <c r="U53" i="88"/>
  <c r="AF53" i="88"/>
  <c r="AD53" i="88"/>
  <c r="AC53" i="88"/>
  <c r="BP12" i="6"/>
  <c r="Z55" i="88"/>
  <c r="BP14" i="6"/>
  <c r="H35" i="87" l="1"/>
  <c r="J35" i="87"/>
  <c r="F35" i="87"/>
  <c r="E35" i="87"/>
  <c r="M35" i="87"/>
  <c r="N35" i="87"/>
  <c r="B35" i="87"/>
  <c r="L35" i="87"/>
  <c r="K35" i="87"/>
  <c r="G35" i="87"/>
  <c r="I35" i="87"/>
  <c r="O36" i="87"/>
  <c r="C36" i="87" s="1"/>
  <c r="D35" i="87"/>
  <c r="C11" i="87"/>
  <c r="W53" i="88"/>
  <c r="V53" i="88"/>
  <c r="X53" i="88"/>
  <c r="Y57" i="88"/>
  <c r="A54" i="88"/>
  <c r="S54" i="88"/>
  <c r="R54" i="88"/>
  <c r="B13" i="87"/>
  <c r="B11" i="87"/>
  <c r="A32" i="87"/>
  <c r="U4380" i="3"/>
  <c r="X4380" i="3"/>
  <c r="B12" i="6"/>
  <c r="B14" i="6"/>
  <c r="D14" i="6" s="1"/>
  <c r="BO15" i="6"/>
  <c r="BI13" i="6"/>
  <c r="N4392" i="3"/>
  <c r="D4392" i="3"/>
  <c r="N4391" i="3"/>
  <c r="D4391" i="3"/>
  <c r="N4390" i="3"/>
  <c r="D4390" i="3"/>
  <c r="N4389" i="3"/>
  <c r="D4389" i="3"/>
  <c r="N4388" i="3"/>
  <c r="D4388" i="3"/>
  <c r="N4387" i="3"/>
  <c r="D4387" i="3"/>
  <c r="N4386" i="3"/>
  <c r="D4386" i="3"/>
  <c r="N4385" i="3"/>
  <c r="D4385" i="3"/>
  <c r="N4384" i="3"/>
  <c r="D4384" i="3"/>
  <c r="N4383" i="3"/>
  <c r="D4383" i="3"/>
  <c r="N4382" i="3"/>
  <c r="D4382" i="3"/>
  <c r="N4381" i="3"/>
  <c r="D4381" i="3"/>
  <c r="N4379" i="3"/>
  <c r="D4379" i="3"/>
  <c r="N2591" i="3"/>
  <c r="D2591" i="3"/>
  <c r="A2591" i="3"/>
  <c r="N2590" i="3"/>
  <c r="D2590" i="3"/>
  <c r="A2590" i="3"/>
  <c r="N2589" i="3"/>
  <c r="D2589" i="3"/>
  <c r="A2589" i="3"/>
  <c r="N2588" i="3"/>
  <c r="D2588" i="3"/>
  <c r="A2588" i="3"/>
  <c r="N2587" i="3"/>
  <c r="D2587" i="3"/>
  <c r="A2587" i="3"/>
  <c r="N2586" i="3"/>
  <c r="D2586" i="3"/>
  <c r="A2586" i="3"/>
  <c r="L2585" i="3"/>
  <c r="D2585" i="3"/>
  <c r="A2585" i="3"/>
  <c r="N2584" i="3"/>
  <c r="D2584" i="3"/>
  <c r="A2584" i="3"/>
  <c r="N2583" i="3"/>
  <c r="D2583" i="3"/>
  <c r="A2583" i="3"/>
  <c r="N2582" i="3"/>
  <c r="D2582" i="3"/>
  <c r="A2582" i="3"/>
  <c r="N2581" i="3"/>
  <c r="D2581" i="3"/>
  <c r="A2581" i="3"/>
  <c r="N2580" i="3"/>
  <c r="D2580" i="3"/>
  <c r="N2579" i="3"/>
  <c r="D2579" i="3"/>
  <c r="A2579" i="3"/>
  <c r="N2578" i="3"/>
  <c r="D2578" i="3"/>
  <c r="A2578" i="3"/>
  <c r="N2577" i="3"/>
  <c r="D2577" i="3"/>
  <c r="A2577" i="3"/>
  <c r="N2576" i="3"/>
  <c r="D2576" i="3"/>
  <c r="A2576" i="3"/>
  <c r="N2575" i="3"/>
  <c r="D2575" i="3"/>
  <c r="A2575" i="3"/>
  <c r="N2574" i="3"/>
  <c r="D2574" i="3"/>
  <c r="A2574" i="3"/>
  <c r="L2573" i="3"/>
  <c r="D2573" i="3"/>
  <c r="A2573" i="3"/>
  <c r="N2572" i="3"/>
  <c r="D2572" i="3"/>
  <c r="A2572" i="3"/>
  <c r="N2571" i="3"/>
  <c r="D2571" i="3"/>
  <c r="A2571" i="3"/>
  <c r="N2570" i="3"/>
  <c r="D2570" i="3"/>
  <c r="A2570" i="3"/>
  <c r="N2569" i="3"/>
  <c r="D2569" i="3"/>
  <c r="A2569" i="3"/>
  <c r="N2568" i="3"/>
  <c r="D2568" i="3"/>
  <c r="N2567" i="3"/>
  <c r="D2567" i="3"/>
  <c r="A2567" i="3"/>
  <c r="N2566" i="3"/>
  <c r="D2566" i="3"/>
  <c r="A2566" i="3"/>
  <c r="N2564" i="3"/>
  <c r="D2564" i="3"/>
  <c r="A2564" i="3"/>
  <c r="N2563" i="3"/>
  <c r="D2563" i="3"/>
  <c r="A2563" i="3"/>
  <c r="N2562" i="3"/>
  <c r="D2562" i="3"/>
  <c r="A2562" i="3"/>
  <c r="N2561" i="3"/>
  <c r="D2561" i="3"/>
  <c r="A2561" i="3"/>
  <c r="N2560" i="3"/>
  <c r="D2560" i="3"/>
  <c r="A2560" i="3"/>
  <c r="N2559" i="3"/>
  <c r="D2559" i="3"/>
  <c r="A2559" i="3"/>
  <c r="N2558" i="3"/>
  <c r="D2558" i="3"/>
  <c r="A2558" i="3"/>
  <c r="L2557" i="3"/>
  <c r="D2557" i="3"/>
  <c r="A2557" i="3"/>
  <c r="N2556" i="3"/>
  <c r="D2556" i="3"/>
  <c r="A2556" i="3"/>
  <c r="N2555" i="3"/>
  <c r="D2555" i="3"/>
  <c r="A2555" i="3"/>
  <c r="N2554" i="3"/>
  <c r="D2554" i="3"/>
  <c r="A2554" i="3"/>
  <c r="N2553" i="3"/>
  <c r="D2553" i="3"/>
  <c r="A2553" i="3"/>
  <c r="N2552" i="3"/>
  <c r="D2552" i="3"/>
  <c r="N2551" i="3"/>
  <c r="D2551" i="3"/>
  <c r="A2551" i="3"/>
  <c r="N2550" i="3"/>
  <c r="D2550" i="3"/>
  <c r="A2550" i="3"/>
  <c r="N2548" i="3"/>
  <c r="D2548" i="3"/>
  <c r="A2548" i="3"/>
  <c r="N2547" i="3"/>
  <c r="D2547" i="3"/>
  <c r="A2547" i="3"/>
  <c r="N2546" i="3"/>
  <c r="D2546" i="3"/>
  <c r="A2546" i="3"/>
  <c r="N2545" i="3"/>
  <c r="D2545" i="3"/>
  <c r="A2545" i="3"/>
  <c r="N2544" i="3"/>
  <c r="D2544" i="3"/>
  <c r="A2544" i="3"/>
  <c r="N2543" i="3"/>
  <c r="D2543" i="3"/>
  <c r="A2543" i="3"/>
  <c r="N2542" i="3"/>
  <c r="D2542" i="3"/>
  <c r="A2542" i="3"/>
  <c r="L2541" i="3"/>
  <c r="D2541" i="3"/>
  <c r="A2541" i="3"/>
  <c r="N2540" i="3"/>
  <c r="D2540" i="3"/>
  <c r="A2540" i="3"/>
  <c r="N2539" i="3"/>
  <c r="D2539" i="3"/>
  <c r="A2539" i="3"/>
  <c r="N2538" i="3"/>
  <c r="D2538" i="3"/>
  <c r="A2538" i="3"/>
  <c r="N2537" i="3"/>
  <c r="D2537" i="3"/>
  <c r="A2537" i="3"/>
  <c r="N2536" i="3"/>
  <c r="D2536" i="3"/>
  <c r="R13" i="6"/>
  <c r="R11" i="6"/>
  <c r="C13" i="6"/>
  <c r="G13" i="6"/>
  <c r="H11" i="6"/>
  <c r="Z56" i="88"/>
  <c r="BJ13" i="6"/>
  <c r="BP15" i="6"/>
  <c r="T54" i="88"/>
  <c r="BS13" i="6"/>
  <c r="I13" i="6"/>
  <c r="X13" i="6"/>
  <c r="AB54" i="88"/>
  <c r="AB13" i="6"/>
  <c r="AD54" i="88"/>
  <c r="AE13" i="6"/>
  <c r="H13" i="6"/>
  <c r="AE54" i="88"/>
  <c r="BR13" i="6"/>
  <c r="BQ13" i="6"/>
  <c r="BV13" i="6"/>
  <c r="Y13" i="6"/>
  <c r="AA54" i="88"/>
  <c r="Z13" i="6"/>
  <c r="BT13" i="6"/>
  <c r="F13" i="6"/>
  <c r="U54" i="88"/>
  <c r="AC13" i="6"/>
  <c r="AC54" i="88"/>
  <c r="BK13" i="6"/>
  <c r="AF54" i="88"/>
  <c r="W13" i="6"/>
  <c r="T13" i="6"/>
  <c r="F36" i="87" l="1"/>
  <c r="B36" i="87"/>
  <c r="M36" i="87"/>
  <c r="K36" i="87"/>
  <c r="O37" i="87"/>
  <c r="C37" i="87" s="1"/>
  <c r="I36" i="87"/>
  <c r="N36" i="87"/>
  <c r="E36" i="87"/>
  <c r="L36" i="87"/>
  <c r="H36" i="87"/>
  <c r="J36" i="87"/>
  <c r="G36" i="87"/>
  <c r="D36" i="87"/>
  <c r="K13" i="6"/>
  <c r="W54" i="88"/>
  <c r="X54" i="88"/>
  <c r="V54" i="88"/>
  <c r="A55" i="88"/>
  <c r="S55" i="88"/>
  <c r="R55" i="88"/>
  <c r="Y58" i="88"/>
  <c r="R14" i="6"/>
  <c r="B12" i="87"/>
  <c r="G13" i="87"/>
  <c r="F13" i="87"/>
  <c r="H13" i="87"/>
  <c r="A11" i="87"/>
  <c r="A33" i="87"/>
  <c r="BI12" i="6"/>
  <c r="U2543" i="3"/>
  <c r="X2543" i="3"/>
  <c r="U2536" i="3"/>
  <c r="X2536" i="3"/>
  <c r="U2540" i="3"/>
  <c r="X2540" i="3"/>
  <c r="U2544" i="3"/>
  <c r="X2544" i="3"/>
  <c r="U2548" i="3"/>
  <c r="X2548" i="3"/>
  <c r="U2552" i="3"/>
  <c r="X2552" i="3"/>
  <c r="U2556" i="3"/>
  <c r="X2556" i="3"/>
  <c r="U2560" i="3"/>
  <c r="X2560" i="3"/>
  <c r="U2564" i="3"/>
  <c r="X2564" i="3"/>
  <c r="U2568" i="3"/>
  <c r="X2568" i="3"/>
  <c r="U2572" i="3"/>
  <c r="X2572" i="3"/>
  <c r="U2576" i="3"/>
  <c r="X2576" i="3"/>
  <c r="U2583" i="3"/>
  <c r="X2583" i="3"/>
  <c r="U2587" i="3"/>
  <c r="X2587" i="3"/>
  <c r="U2591" i="3"/>
  <c r="X2591" i="3"/>
  <c r="U4382" i="3"/>
  <c r="X4382" i="3"/>
  <c r="U4386" i="3"/>
  <c r="X4386" i="3"/>
  <c r="U4390" i="3"/>
  <c r="X4390" i="3"/>
  <c r="U2547" i="3"/>
  <c r="X2547" i="3"/>
  <c r="U2555" i="3"/>
  <c r="X2555" i="3"/>
  <c r="U2559" i="3"/>
  <c r="X2559" i="3"/>
  <c r="U2563" i="3"/>
  <c r="X2563" i="3"/>
  <c r="U2571" i="3"/>
  <c r="X2571" i="3"/>
  <c r="U2575" i="3"/>
  <c r="X2575" i="3"/>
  <c r="U2579" i="3"/>
  <c r="X2579" i="3"/>
  <c r="U2582" i="3"/>
  <c r="X2582" i="3"/>
  <c r="U2586" i="3"/>
  <c r="X2586" i="3"/>
  <c r="U2590" i="3"/>
  <c r="X2590" i="3"/>
  <c r="U4381" i="3"/>
  <c r="X4381" i="3"/>
  <c r="U4385" i="3"/>
  <c r="X4385" i="3"/>
  <c r="U4389" i="3"/>
  <c r="X4389" i="3"/>
  <c r="U2538" i="3"/>
  <c r="X2538" i="3"/>
  <c r="U2542" i="3"/>
  <c r="X2542" i="3"/>
  <c r="U2546" i="3"/>
  <c r="X2546" i="3"/>
  <c r="U2551" i="3"/>
  <c r="X2551" i="3"/>
  <c r="U2554" i="3"/>
  <c r="X2554" i="3"/>
  <c r="U2558" i="3"/>
  <c r="X2558" i="3"/>
  <c r="U2562" i="3"/>
  <c r="X2562" i="3"/>
  <c r="U2567" i="3"/>
  <c r="X2567" i="3"/>
  <c r="U2570" i="3"/>
  <c r="X2570" i="3"/>
  <c r="U2574" i="3"/>
  <c r="X2574" i="3"/>
  <c r="U2578" i="3"/>
  <c r="X2578" i="3"/>
  <c r="U2581" i="3"/>
  <c r="X2581" i="3"/>
  <c r="U2589" i="3"/>
  <c r="X2589" i="3"/>
  <c r="U4379" i="3"/>
  <c r="X4379" i="3"/>
  <c r="U4384" i="3"/>
  <c r="X4384" i="3"/>
  <c r="U4388" i="3"/>
  <c r="X4388" i="3"/>
  <c r="U4392" i="3"/>
  <c r="X4392" i="3"/>
  <c r="U2539" i="3"/>
  <c r="X2539" i="3"/>
  <c r="U2537" i="3"/>
  <c r="X2537" i="3"/>
  <c r="U2545" i="3"/>
  <c r="X2545" i="3"/>
  <c r="U2550" i="3"/>
  <c r="X2550" i="3"/>
  <c r="U2553" i="3"/>
  <c r="X2553" i="3"/>
  <c r="U2561" i="3"/>
  <c r="X2561" i="3"/>
  <c r="U2566" i="3"/>
  <c r="X2566" i="3"/>
  <c r="U2569" i="3"/>
  <c r="X2569" i="3"/>
  <c r="U2577" i="3"/>
  <c r="X2577" i="3"/>
  <c r="U2580" i="3"/>
  <c r="X2580" i="3"/>
  <c r="U2584" i="3"/>
  <c r="X2584" i="3"/>
  <c r="U2588" i="3"/>
  <c r="X2588" i="3"/>
  <c r="U4383" i="3"/>
  <c r="X4383" i="3"/>
  <c r="U4387" i="3"/>
  <c r="X4387" i="3"/>
  <c r="U4391" i="3"/>
  <c r="X4391" i="3"/>
  <c r="BN13" i="6"/>
  <c r="B15" i="6"/>
  <c r="BO16" i="6"/>
  <c r="BI14" i="6"/>
  <c r="N2535" i="3"/>
  <c r="D2535" i="3"/>
  <c r="A2535" i="3"/>
  <c r="N2534" i="3"/>
  <c r="D2534" i="3"/>
  <c r="A2534" i="3"/>
  <c r="N2532" i="3"/>
  <c r="D2532" i="3"/>
  <c r="A2532" i="3"/>
  <c r="N2531" i="3"/>
  <c r="D2531" i="3"/>
  <c r="A2531" i="3"/>
  <c r="N2530" i="3"/>
  <c r="D2530" i="3"/>
  <c r="A2530" i="3"/>
  <c r="N2529" i="3"/>
  <c r="D2529" i="3"/>
  <c r="A2529" i="3"/>
  <c r="N2528" i="3"/>
  <c r="D2528" i="3"/>
  <c r="A2528" i="3"/>
  <c r="N2527" i="3"/>
  <c r="D2527" i="3"/>
  <c r="A2527" i="3"/>
  <c r="N2526" i="3"/>
  <c r="D2526" i="3"/>
  <c r="A2526" i="3"/>
  <c r="L2525" i="3"/>
  <c r="D2525" i="3"/>
  <c r="A2525" i="3"/>
  <c r="N2524" i="3"/>
  <c r="D2524" i="3"/>
  <c r="A2524" i="3"/>
  <c r="N2523" i="3"/>
  <c r="D2523" i="3"/>
  <c r="A2523" i="3"/>
  <c r="N2522" i="3"/>
  <c r="D2522" i="3"/>
  <c r="A2522" i="3"/>
  <c r="N2521" i="3"/>
  <c r="D2521" i="3"/>
  <c r="R12" i="6"/>
  <c r="BT14" i="6"/>
  <c r="C12" i="6"/>
  <c r="AD55" i="88"/>
  <c r="BK12" i="6"/>
  <c r="BS14" i="6"/>
  <c r="G12" i="6"/>
  <c r="BJ14" i="6"/>
  <c r="BU12" i="6"/>
  <c r="AU13" i="6"/>
  <c r="AA55" i="88"/>
  <c r="AW13" i="6"/>
  <c r="BV14" i="6"/>
  <c r="AC55" i="88"/>
  <c r="BR14" i="6"/>
  <c r="Z57" i="88"/>
  <c r="BS12" i="6"/>
  <c r="AX13" i="6"/>
  <c r="BK14" i="6"/>
  <c r="I12" i="6"/>
  <c r="H14" i="6"/>
  <c r="O14" i="6"/>
  <c r="BJ12" i="6"/>
  <c r="BQ14" i="6"/>
  <c r="C14" i="6"/>
  <c r="AA13" i="6"/>
  <c r="BV12" i="6"/>
  <c r="U55" i="88"/>
  <c r="AS13" i="6"/>
  <c r="BQ12" i="6"/>
  <c r="I14" i="6"/>
  <c r="AT13" i="6"/>
  <c r="AD13" i="6"/>
  <c r="AQ13" i="6"/>
  <c r="AB55" i="88"/>
  <c r="AU14" i="6"/>
  <c r="F12" i="6"/>
  <c r="G14" i="6"/>
  <c r="H12" i="6"/>
  <c r="AD14" i="6"/>
  <c r="AV13" i="6"/>
  <c r="AE55" i="88"/>
  <c r="T55" i="88"/>
  <c r="AF55" i="88"/>
  <c r="AQ14" i="6"/>
  <c r="AR13" i="6"/>
  <c r="F14" i="6"/>
  <c r="AP14" i="6"/>
  <c r="AC14" i="6"/>
  <c r="AB14" i="6"/>
  <c r="BU14" i="6"/>
  <c r="BP16" i="6"/>
  <c r="AX14" i="6"/>
  <c r="AM14" i="6"/>
  <c r="AW14" i="6"/>
  <c r="AS14" i="6"/>
  <c r="Q14" i="6"/>
  <c r="U14" i="6"/>
  <c r="Z14" i="6"/>
  <c r="AL14" i="6"/>
  <c r="AE14" i="6"/>
  <c r="AR14" i="6"/>
  <c r="W14" i="6"/>
  <c r="Y14" i="6"/>
  <c r="T14" i="6"/>
  <c r="AA14" i="6"/>
  <c r="F37" i="87" l="1"/>
  <c r="L37" i="87"/>
  <c r="K37" i="87"/>
  <c r="H37" i="87"/>
  <c r="G37" i="87"/>
  <c r="D37" i="87"/>
  <c r="J37" i="87"/>
  <c r="O38" i="87"/>
  <c r="C38" i="87" s="1"/>
  <c r="M37" i="87"/>
  <c r="B37" i="87"/>
  <c r="I37" i="87"/>
  <c r="N37" i="87"/>
  <c r="E37" i="87"/>
  <c r="C29" i="88"/>
  <c r="C21" i="88"/>
  <c r="C13" i="88"/>
  <c r="C45" i="88"/>
  <c r="C37" i="88"/>
  <c r="C53" i="88"/>
  <c r="C14" i="88"/>
  <c r="C32" i="88"/>
  <c r="C47" i="88"/>
  <c r="C48" i="88"/>
  <c r="C31" i="88"/>
  <c r="C15" i="88"/>
  <c r="C38" i="88"/>
  <c r="C16" i="88"/>
  <c r="C23" i="88"/>
  <c r="C24" i="88"/>
  <c r="C30" i="88"/>
  <c r="C39" i="88"/>
  <c r="C46" i="88"/>
  <c r="C22" i="88"/>
  <c r="C40" i="88"/>
  <c r="C54" i="88"/>
  <c r="C19" i="88"/>
  <c r="C42" i="88"/>
  <c r="C25" i="88"/>
  <c r="C27" i="88"/>
  <c r="C50" i="88"/>
  <c r="C34" i="88"/>
  <c r="C44" i="88"/>
  <c r="C18" i="88"/>
  <c r="C28" i="88"/>
  <c r="C33" i="88"/>
  <c r="C35" i="88"/>
  <c r="C12" i="88"/>
  <c r="C17" i="88"/>
  <c r="C26" i="88"/>
  <c r="C52" i="88"/>
  <c r="C49" i="88"/>
  <c r="C36" i="88"/>
  <c r="C51" i="88"/>
  <c r="C41" i="88"/>
  <c r="C43" i="88"/>
  <c r="C20" i="88"/>
  <c r="D15" i="6"/>
  <c r="C55" i="88"/>
  <c r="K14" i="6"/>
  <c r="K12" i="6"/>
  <c r="X55" i="88"/>
  <c r="V55" i="88"/>
  <c r="W55" i="88"/>
  <c r="S56" i="88"/>
  <c r="R56" i="88"/>
  <c r="A56" i="88"/>
  <c r="C56" i="88" s="1"/>
  <c r="Y59" i="88"/>
  <c r="R15" i="6"/>
  <c r="S14" i="6"/>
  <c r="J13" i="87"/>
  <c r="A12" i="87"/>
  <c r="A13" i="87" s="1"/>
  <c r="H12" i="87"/>
  <c r="G12" i="87"/>
  <c r="F12" i="87"/>
  <c r="A34" i="87"/>
  <c r="I12" i="87"/>
  <c r="U2522" i="3"/>
  <c r="X2522" i="3"/>
  <c r="U2530" i="3"/>
  <c r="X2530" i="3"/>
  <c r="U2535" i="3"/>
  <c r="X2535" i="3"/>
  <c r="U2526" i="3"/>
  <c r="X2526" i="3"/>
  <c r="U2521" i="3"/>
  <c r="X2521" i="3"/>
  <c r="U2529" i="3"/>
  <c r="X2529" i="3"/>
  <c r="U2534" i="3"/>
  <c r="X2534" i="3"/>
  <c r="U2524" i="3"/>
  <c r="X2524" i="3"/>
  <c r="U2528" i="3"/>
  <c r="X2528" i="3"/>
  <c r="U2532" i="3"/>
  <c r="X2532" i="3"/>
  <c r="U2523" i="3"/>
  <c r="X2523" i="3"/>
  <c r="U2527" i="3"/>
  <c r="X2527" i="3"/>
  <c r="U2531" i="3"/>
  <c r="X2531" i="3"/>
  <c r="BN12" i="6"/>
  <c r="P14" i="6"/>
  <c r="BN14" i="6"/>
  <c r="B16" i="6"/>
  <c r="BO17" i="6"/>
  <c r="BI15" i="6"/>
  <c r="N2509" i="3"/>
  <c r="D2509" i="3"/>
  <c r="A2509" i="3"/>
  <c r="N2491" i="3"/>
  <c r="D2491" i="3"/>
  <c r="A2491" i="3"/>
  <c r="N2473" i="3"/>
  <c r="D2473" i="3"/>
  <c r="A2473" i="3"/>
  <c r="N2455" i="3"/>
  <c r="D2455" i="3"/>
  <c r="A2455" i="3"/>
  <c r="Z58" i="88"/>
  <c r="AS12" i="6"/>
  <c r="AA56" i="88"/>
  <c r="AC56" i="88"/>
  <c r="AE56" i="88"/>
  <c r="BT15" i="6"/>
  <c r="H16" i="6"/>
  <c r="AE12" i="6"/>
  <c r="BU13" i="6"/>
  <c r="AD56" i="88"/>
  <c r="AX12" i="6"/>
  <c r="AT12" i="6"/>
  <c r="U56" i="88"/>
  <c r="AU12" i="6"/>
  <c r="AW12" i="6"/>
  <c r="AB56" i="88"/>
  <c r="BV15" i="6"/>
  <c r="AA12" i="6"/>
  <c r="F15" i="6"/>
  <c r="X12" i="6"/>
  <c r="BQ15" i="6"/>
  <c r="AF56" i="88"/>
  <c r="BT12" i="6"/>
  <c r="X14" i="6"/>
  <c r="AQ12" i="6"/>
  <c r="C15" i="6"/>
  <c r="T56" i="88"/>
  <c r="G15" i="6"/>
  <c r="AB12" i="6"/>
  <c r="Z12" i="6"/>
  <c r="AN14" i="6"/>
  <c r="AV14" i="6"/>
  <c r="AT14" i="6"/>
  <c r="AR12" i="6"/>
  <c r="BS15" i="6"/>
  <c r="H15" i="6"/>
  <c r="Y12" i="6"/>
  <c r="AD12" i="6"/>
  <c r="I15" i="6"/>
  <c r="AS15" i="6"/>
  <c r="AX15" i="6"/>
  <c r="AV15" i="6"/>
  <c r="T15" i="6"/>
  <c r="AU15" i="6"/>
  <c r="V15" i="6"/>
  <c r="AQ15" i="6"/>
  <c r="AL15" i="6"/>
  <c r="AC15" i="6"/>
  <c r="AO15" i="6"/>
  <c r="AB15" i="6"/>
  <c r="AD15" i="6"/>
  <c r="AN15" i="6"/>
  <c r="Z15" i="6"/>
  <c r="AE15" i="6"/>
  <c r="Q15" i="6"/>
  <c r="U15" i="6"/>
  <c r="AP15" i="6"/>
  <c r="AA15" i="6"/>
  <c r="W15" i="6"/>
  <c r="AM15" i="6"/>
  <c r="B38" i="87" l="1"/>
  <c r="J38" i="87"/>
  <c r="F38" i="87"/>
  <c r="M38" i="87"/>
  <c r="E38" i="87"/>
  <c r="O39" i="87"/>
  <c r="C39" i="87" s="1"/>
  <c r="L38" i="87"/>
  <c r="H38" i="87"/>
  <c r="K38" i="87"/>
  <c r="D38" i="87"/>
  <c r="I38" i="87"/>
  <c r="N38" i="87"/>
  <c r="G38" i="87"/>
  <c r="D16" i="6"/>
  <c r="K15" i="6"/>
  <c r="W56" i="88"/>
  <c r="X56" i="88"/>
  <c r="V56" i="88"/>
  <c r="R57" i="88"/>
  <c r="A57" i="88"/>
  <c r="C57" i="88" s="1"/>
  <c r="S57" i="88"/>
  <c r="Y60" i="88"/>
  <c r="R16" i="6"/>
  <c r="S15" i="6"/>
  <c r="J12" i="87"/>
  <c r="A35" i="87"/>
  <c r="U2491" i="3"/>
  <c r="X2491" i="3"/>
  <c r="U2455" i="3"/>
  <c r="X2455" i="3"/>
  <c r="U2473" i="3"/>
  <c r="X2473" i="3"/>
  <c r="U2509" i="3"/>
  <c r="X2509" i="3"/>
  <c r="AW15" i="6"/>
  <c r="I16" i="6"/>
  <c r="Z59" i="88"/>
  <c r="AT15" i="6"/>
  <c r="U57" i="88"/>
  <c r="C16" i="6"/>
  <c r="AE57" i="88"/>
  <c r="AR15" i="6"/>
  <c r="T57" i="88"/>
  <c r="BU16" i="6"/>
  <c r="AB57" i="88"/>
  <c r="F16" i="6"/>
  <c r="BQ16" i="6"/>
  <c r="AD57" i="88"/>
  <c r="BJ15" i="6"/>
  <c r="J39" i="87" l="1"/>
  <c r="I39" i="87"/>
  <c r="L39" i="87"/>
  <c r="E39" i="87"/>
  <c r="F39" i="87"/>
  <c r="M39" i="87"/>
  <c r="O40" i="87"/>
  <c r="C40" i="87" s="1"/>
  <c r="H39" i="87"/>
  <c r="B39" i="87"/>
  <c r="N39" i="87"/>
  <c r="D39" i="87"/>
  <c r="K39" i="87"/>
  <c r="G39" i="87"/>
  <c r="AY15" i="6"/>
  <c r="X15" i="6"/>
  <c r="AA57" i="88"/>
  <c r="AC57" i="88"/>
  <c r="AF57" i="88"/>
  <c r="W57" i="88" l="1"/>
  <c r="V57" i="88"/>
  <c r="X57" i="88"/>
  <c r="A58" i="88"/>
  <c r="C58" i="88" s="1"/>
  <c r="S58" i="88"/>
  <c r="R58" i="88"/>
  <c r="Y61" i="88"/>
  <c r="AX16" i="6"/>
  <c r="AN16" i="6"/>
  <c r="AA58" i="88"/>
  <c r="Y15" i="6"/>
  <c r="T58" i="88"/>
  <c r="AF15" i="6" l="1"/>
  <c r="BV16" i="6"/>
  <c r="AQ16" i="6"/>
  <c r="AU16" i="6"/>
  <c r="AB58" i="88"/>
  <c r="Z60" i="88"/>
  <c r="V16" i="6"/>
  <c r="W16" i="6"/>
  <c r="AZ15" i="6"/>
  <c r="AC58" i="88"/>
  <c r="T16" i="6"/>
  <c r="AA16" i="6"/>
  <c r="AR16" i="6"/>
  <c r="AM16" i="6"/>
  <c r="AG15" i="6"/>
  <c r="BR15" i="6"/>
  <c r="BS16" i="6"/>
  <c r="AT16" i="6"/>
  <c r="U16" i="6"/>
  <c r="AD16" i="6"/>
  <c r="U58" i="88"/>
  <c r="AW16" i="6"/>
  <c r="AL16" i="6"/>
  <c r="AP16" i="6"/>
  <c r="BU15" i="6"/>
  <c r="G16" i="6"/>
  <c r="AE16" i="6"/>
  <c r="AD58" i="88"/>
  <c r="AV16" i="6"/>
  <c r="Q16" i="6"/>
  <c r="AH15" i="6"/>
  <c r="BP17" i="6"/>
  <c r="Y16" i="6"/>
  <c r="AS16" i="6"/>
  <c r="BR16" i="6"/>
  <c r="AF58" i="88"/>
  <c r="BT16" i="6"/>
  <c r="AE58" i="88"/>
  <c r="BA15" i="6"/>
  <c r="AB16" i="6"/>
  <c r="X16" i="6"/>
  <c r="BK15" i="6"/>
  <c r="AO16" i="6"/>
  <c r="Z16" i="6"/>
  <c r="K16" i="6" l="1"/>
  <c r="X58" i="88"/>
  <c r="V58" i="88"/>
  <c r="W58" i="88"/>
  <c r="A59" i="88"/>
  <c r="C59" i="88" s="1"/>
  <c r="S59" i="88"/>
  <c r="R59" i="88"/>
  <c r="Y62" i="88"/>
  <c r="S16" i="6"/>
  <c r="AI15" i="6"/>
  <c r="AJ15" i="6" s="1"/>
  <c r="AY16" i="6"/>
  <c r="BC15" i="6"/>
  <c r="N40" i="87"/>
  <c r="B40" i="87"/>
  <c r="O41" i="87"/>
  <c r="C41" i="87" s="1"/>
  <c r="G40" i="87"/>
  <c r="K40" i="87"/>
  <c r="D40" i="87"/>
  <c r="H40" i="87"/>
  <c r="L40" i="87"/>
  <c r="E40" i="87"/>
  <c r="I40" i="87"/>
  <c r="M40" i="87"/>
  <c r="F40" i="87"/>
  <c r="J40" i="87"/>
  <c r="A36" i="87"/>
  <c r="BN15" i="6"/>
  <c r="B17" i="6"/>
  <c r="BO18" i="6"/>
  <c r="A16" i="6"/>
  <c r="BH16" i="6"/>
  <c r="BI16" i="6"/>
  <c r="N2519" i="3"/>
  <c r="D2519" i="3"/>
  <c r="A2519" i="3"/>
  <c r="N2518" i="3"/>
  <c r="D2518" i="3"/>
  <c r="A2518" i="3"/>
  <c r="N2517" i="3"/>
  <c r="D2517" i="3"/>
  <c r="A2517" i="3"/>
  <c r="N2516" i="3"/>
  <c r="D2516" i="3"/>
  <c r="A2516" i="3"/>
  <c r="N2515" i="3"/>
  <c r="D2515" i="3"/>
  <c r="A2515" i="3"/>
  <c r="L2514" i="3"/>
  <c r="D2514" i="3"/>
  <c r="A2514" i="3"/>
  <c r="N2513" i="3"/>
  <c r="D2513" i="3"/>
  <c r="A2513" i="3"/>
  <c r="N2512" i="3"/>
  <c r="D2512" i="3"/>
  <c r="A2512" i="3"/>
  <c r="N2511" i="3"/>
  <c r="D2511" i="3"/>
  <c r="A2511" i="3"/>
  <c r="N2510" i="3"/>
  <c r="D2510" i="3"/>
  <c r="N2666" i="3"/>
  <c r="D2666" i="3"/>
  <c r="A2666" i="3"/>
  <c r="N2665" i="3"/>
  <c r="D2665" i="3"/>
  <c r="A2665" i="3"/>
  <c r="N2664" i="3"/>
  <c r="D2664" i="3"/>
  <c r="A2664" i="3"/>
  <c r="N2663" i="3"/>
  <c r="D2663" i="3"/>
  <c r="A2663" i="3"/>
  <c r="N2662" i="3"/>
  <c r="D2662" i="3"/>
  <c r="A2662" i="3"/>
  <c r="N2661" i="3"/>
  <c r="D2661" i="3"/>
  <c r="A2661" i="3"/>
  <c r="N2660" i="3"/>
  <c r="D2660" i="3"/>
  <c r="A2660" i="3"/>
  <c r="N2659" i="3"/>
  <c r="D2659" i="3"/>
  <c r="A2659" i="3"/>
  <c r="N2658" i="3"/>
  <c r="D2658" i="3"/>
  <c r="A2658" i="3"/>
  <c r="N2657" i="3"/>
  <c r="D2657" i="3"/>
  <c r="A2657" i="3"/>
  <c r="N2656" i="3"/>
  <c r="D2656" i="3"/>
  <c r="A2656" i="3"/>
  <c r="N2655" i="3"/>
  <c r="D2655" i="3"/>
  <c r="A2655" i="3"/>
  <c r="N2654" i="3"/>
  <c r="D2654" i="3"/>
  <c r="A2654" i="3"/>
  <c r="N2650" i="3"/>
  <c r="D2650" i="3"/>
  <c r="A2650" i="3"/>
  <c r="N2649" i="3"/>
  <c r="D2649" i="3"/>
  <c r="N2647" i="3"/>
  <c r="D2647" i="3"/>
  <c r="A2647" i="3"/>
  <c r="N2646" i="3"/>
  <c r="D2646" i="3"/>
  <c r="A2646" i="3"/>
  <c r="N2645" i="3"/>
  <c r="D2645" i="3"/>
  <c r="A2645" i="3"/>
  <c r="N2644" i="3"/>
  <c r="D2644" i="3"/>
  <c r="A2644" i="3"/>
  <c r="N2643" i="3"/>
  <c r="D2643" i="3"/>
  <c r="A2643" i="3"/>
  <c r="N2642" i="3"/>
  <c r="D2642" i="3"/>
  <c r="A2642" i="3"/>
  <c r="N2641" i="3"/>
  <c r="D2641" i="3"/>
  <c r="A2641" i="3"/>
  <c r="N2640" i="3"/>
  <c r="D2640" i="3"/>
  <c r="A2640" i="3"/>
  <c r="N2639" i="3"/>
  <c r="D2639" i="3"/>
  <c r="A2639" i="3"/>
  <c r="N2638" i="3"/>
  <c r="D2638" i="3"/>
  <c r="A2638" i="3"/>
  <c r="N2637" i="3"/>
  <c r="D2637" i="3"/>
  <c r="A2637" i="3"/>
  <c r="N2636" i="3"/>
  <c r="D2636" i="3"/>
  <c r="A2636" i="3"/>
  <c r="N2635" i="3"/>
  <c r="D2635" i="3"/>
  <c r="A2635" i="3"/>
  <c r="N2631" i="3"/>
  <c r="D2631" i="3"/>
  <c r="A2631" i="3"/>
  <c r="N2630" i="3"/>
  <c r="D2630" i="3"/>
  <c r="N2628" i="3"/>
  <c r="D2628" i="3"/>
  <c r="A2628" i="3"/>
  <c r="N2627" i="3"/>
  <c r="D2627" i="3"/>
  <c r="A2627" i="3"/>
  <c r="N2626" i="3"/>
  <c r="D2626" i="3"/>
  <c r="A2626" i="3"/>
  <c r="N2625" i="3"/>
  <c r="D2625" i="3"/>
  <c r="A2625" i="3"/>
  <c r="N2624" i="3"/>
  <c r="D2624" i="3"/>
  <c r="A2624" i="3"/>
  <c r="N2623" i="3"/>
  <c r="D2623" i="3"/>
  <c r="A2623" i="3"/>
  <c r="N2622" i="3"/>
  <c r="D2622" i="3"/>
  <c r="A2622" i="3"/>
  <c r="N2621" i="3"/>
  <c r="D2621" i="3"/>
  <c r="A2621" i="3"/>
  <c r="N2620" i="3"/>
  <c r="D2620" i="3"/>
  <c r="A2620" i="3"/>
  <c r="N2619" i="3"/>
  <c r="D2619" i="3"/>
  <c r="A2619" i="3"/>
  <c r="N2618" i="3"/>
  <c r="D2618" i="3"/>
  <c r="A2618" i="3"/>
  <c r="N2617" i="3"/>
  <c r="D2617" i="3"/>
  <c r="A2617" i="3"/>
  <c r="N2616" i="3"/>
  <c r="D2616" i="3"/>
  <c r="A2616" i="3"/>
  <c r="N2612" i="3"/>
  <c r="D2612" i="3"/>
  <c r="A2612" i="3"/>
  <c r="N2611" i="3"/>
  <c r="D2611" i="3"/>
  <c r="N2609" i="3"/>
  <c r="D2609" i="3"/>
  <c r="A2609" i="3"/>
  <c r="N2608" i="3"/>
  <c r="D2608" i="3"/>
  <c r="A2608" i="3"/>
  <c r="N2607" i="3"/>
  <c r="D2607" i="3"/>
  <c r="A2607" i="3"/>
  <c r="N2606" i="3"/>
  <c r="D2606" i="3"/>
  <c r="A2606" i="3"/>
  <c r="N2605" i="3"/>
  <c r="D2605" i="3"/>
  <c r="A2605" i="3"/>
  <c r="N2604" i="3"/>
  <c r="D2604" i="3"/>
  <c r="A2604" i="3"/>
  <c r="N2603" i="3"/>
  <c r="D2603" i="3"/>
  <c r="A2603" i="3"/>
  <c r="N2602" i="3"/>
  <c r="D2602" i="3"/>
  <c r="A2602" i="3"/>
  <c r="N2601" i="3"/>
  <c r="D2601" i="3"/>
  <c r="A2601" i="3"/>
  <c r="N2600" i="3"/>
  <c r="D2600" i="3"/>
  <c r="A2600" i="3"/>
  <c r="N2599" i="3"/>
  <c r="D2599" i="3"/>
  <c r="A2599" i="3"/>
  <c r="N2598" i="3"/>
  <c r="D2598" i="3"/>
  <c r="A2598" i="3"/>
  <c r="N2597" i="3"/>
  <c r="D2597" i="3"/>
  <c r="A2597" i="3"/>
  <c r="N2593" i="3"/>
  <c r="D2593" i="3"/>
  <c r="A2593" i="3"/>
  <c r="N2592" i="3"/>
  <c r="D2592" i="3"/>
  <c r="D1863" i="3"/>
  <c r="A1863" i="3"/>
  <c r="D1862" i="3"/>
  <c r="A1862" i="3"/>
  <c r="D1821" i="3"/>
  <c r="A1821" i="3"/>
  <c r="D1820" i="3"/>
  <c r="A1820" i="3"/>
  <c r="N2489" i="3"/>
  <c r="D2489" i="3"/>
  <c r="A2489" i="3"/>
  <c r="N2507" i="3"/>
  <c r="D2507" i="3"/>
  <c r="A2507" i="3"/>
  <c r="N2471" i="3"/>
  <c r="D2471" i="3"/>
  <c r="A2471" i="3"/>
  <c r="A2453" i="3"/>
  <c r="D2453" i="3"/>
  <c r="N2453" i="3"/>
  <c r="N2387" i="3"/>
  <c r="D2387" i="3"/>
  <c r="A2387" i="3"/>
  <c r="N2386" i="3"/>
  <c r="D2386" i="3"/>
  <c r="A2386" i="3"/>
  <c r="N2385" i="3"/>
  <c r="D2385" i="3"/>
  <c r="A2385" i="3"/>
  <c r="N2384" i="3"/>
  <c r="D2384" i="3"/>
  <c r="A2384" i="3"/>
  <c r="N2383" i="3"/>
  <c r="D2383" i="3"/>
  <c r="A2383" i="3"/>
  <c r="N2382" i="3"/>
  <c r="D2382" i="3"/>
  <c r="A2382" i="3"/>
  <c r="N2381" i="3"/>
  <c r="D2381" i="3"/>
  <c r="A2381" i="3"/>
  <c r="N2380" i="3"/>
  <c r="D2380" i="3"/>
  <c r="A2380" i="3"/>
  <c r="N2379" i="3"/>
  <c r="D2379" i="3"/>
  <c r="A2379" i="3"/>
  <c r="N2378" i="3"/>
  <c r="D2378" i="3"/>
  <c r="A2378" i="3"/>
  <c r="N2377" i="3"/>
  <c r="D2377" i="3"/>
  <c r="A2377" i="3"/>
  <c r="N2376" i="3"/>
  <c r="D2376" i="3"/>
  <c r="A2376" i="3"/>
  <c r="N2375" i="3"/>
  <c r="D2375" i="3"/>
  <c r="A2375" i="3"/>
  <c r="N2374" i="3"/>
  <c r="D2374" i="3"/>
  <c r="A2374" i="3"/>
  <c r="N2373" i="3"/>
  <c r="D2373" i="3"/>
  <c r="A2373" i="3"/>
  <c r="D2371" i="3"/>
  <c r="A2371" i="3"/>
  <c r="D2370" i="3"/>
  <c r="N2315" i="3"/>
  <c r="D2315" i="3"/>
  <c r="A2315" i="3"/>
  <c r="N2314" i="3"/>
  <c r="D2314" i="3"/>
  <c r="A2314" i="3"/>
  <c r="N2313" i="3"/>
  <c r="D2313" i="3"/>
  <c r="A2313" i="3"/>
  <c r="N2312" i="3"/>
  <c r="D2312" i="3"/>
  <c r="A2312" i="3"/>
  <c r="N2311" i="3"/>
  <c r="D2311" i="3"/>
  <c r="A2311" i="3"/>
  <c r="N2310" i="3"/>
  <c r="D2310" i="3"/>
  <c r="A2310" i="3"/>
  <c r="N2309" i="3"/>
  <c r="D2309" i="3"/>
  <c r="A2309" i="3"/>
  <c r="N2308" i="3"/>
  <c r="D2308" i="3"/>
  <c r="A2308" i="3"/>
  <c r="N2307" i="3"/>
  <c r="D2307" i="3"/>
  <c r="A2307" i="3"/>
  <c r="N2306" i="3"/>
  <c r="D2306" i="3"/>
  <c r="A2306" i="3"/>
  <c r="N2305" i="3"/>
  <c r="D2305" i="3"/>
  <c r="N2304" i="3"/>
  <c r="D2304" i="3"/>
  <c r="N2303" i="3"/>
  <c r="D2303" i="3"/>
  <c r="N2302" i="3"/>
  <c r="D2302" i="3"/>
  <c r="N2301" i="3"/>
  <c r="D2301" i="3"/>
  <c r="A2301" i="3"/>
  <c r="D2299" i="3"/>
  <c r="A2299" i="3"/>
  <c r="D2298" i="3"/>
  <c r="A2286" i="3"/>
  <c r="D2286" i="3"/>
  <c r="N2286" i="3"/>
  <c r="A2358" i="3"/>
  <c r="D2358" i="3"/>
  <c r="N2358" i="3"/>
  <c r="N2369" i="3"/>
  <c r="D2369" i="3"/>
  <c r="A2369" i="3"/>
  <c r="N2368" i="3"/>
  <c r="D2368" i="3"/>
  <c r="A2368" i="3"/>
  <c r="N2367" i="3"/>
  <c r="D2367" i="3"/>
  <c r="A2367" i="3"/>
  <c r="N2366" i="3"/>
  <c r="D2366" i="3"/>
  <c r="A2366" i="3"/>
  <c r="N2365" i="3"/>
  <c r="D2365" i="3"/>
  <c r="A2365" i="3"/>
  <c r="N2364" i="3"/>
  <c r="D2364" i="3"/>
  <c r="A2364" i="3"/>
  <c r="N2363" i="3"/>
  <c r="D2363" i="3"/>
  <c r="A2363" i="3"/>
  <c r="N2362" i="3"/>
  <c r="D2362" i="3"/>
  <c r="A2362" i="3"/>
  <c r="N2361" i="3"/>
  <c r="D2361" i="3"/>
  <c r="A2361" i="3"/>
  <c r="N2360" i="3"/>
  <c r="D2360" i="3"/>
  <c r="A2360" i="3"/>
  <c r="N2359" i="3"/>
  <c r="D2359" i="3"/>
  <c r="A2359" i="3"/>
  <c r="N2357" i="3"/>
  <c r="D2357" i="3"/>
  <c r="A2357" i="3"/>
  <c r="N2356" i="3"/>
  <c r="D2356" i="3"/>
  <c r="A2356" i="3"/>
  <c r="N2355" i="3"/>
  <c r="D2355" i="3"/>
  <c r="A2355" i="3"/>
  <c r="D2353" i="3"/>
  <c r="A2353" i="3"/>
  <c r="D2352" i="3"/>
  <c r="A2285" i="3"/>
  <c r="D2285" i="3"/>
  <c r="N2285" i="3"/>
  <c r="A2281" i="3"/>
  <c r="A2283" i="3"/>
  <c r="A2284" i="3"/>
  <c r="A2287" i="3"/>
  <c r="A2288" i="3"/>
  <c r="A2289" i="3"/>
  <c r="A2290" i="3"/>
  <c r="A2291" i="3"/>
  <c r="A2292" i="3"/>
  <c r="A2293" i="3"/>
  <c r="AB59" i="88"/>
  <c r="O15" i="6"/>
  <c r="U59" i="88"/>
  <c r="AA59" i="88"/>
  <c r="AD59" i="88"/>
  <c r="AE59" i="88"/>
  <c r="T59" i="88"/>
  <c r="AF59" i="88"/>
  <c r="AC59" i="88"/>
  <c r="AC16" i="6"/>
  <c r="Z61" i="88"/>
  <c r="D17" i="6" l="1"/>
  <c r="X59" i="88"/>
  <c r="V59" i="88"/>
  <c r="W59" i="88"/>
  <c r="Y63" i="88"/>
  <c r="S60" i="88"/>
  <c r="A60" i="88"/>
  <c r="C60" i="88" s="1"/>
  <c r="R60" i="88"/>
  <c r="AF16" i="6"/>
  <c r="AC60" i="88"/>
  <c r="AB60" i="88"/>
  <c r="U60" i="88"/>
  <c r="AF60" i="88"/>
  <c r="AZ16" i="6"/>
  <c r="BD15" i="6"/>
  <c r="BJ16" i="6"/>
  <c r="Z62" i="88"/>
  <c r="U13" i="6"/>
  <c r="C17" i="6"/>
  <c r="AE60" i="88"/>
  <c r="AA60" i="88"/>
  <c r="BA16" i="6"/>
  <c r="AH16" i="6"/>
  <c r="H17" i="6"/>
  <c r="AG16" i="6"/>
  <c r="O16" i="6"/>
  <c r="T60" i="88"/>
  <c r="AD60" i="88"/>
  <c r="V60" i="88" l="1"/>
  <c r="X60" i="88"/>
  <c r="W60" i="88"/>
  <c r="R61" i="88"/>
  <c r="S61" i="88"/>
  <c r="A61" i="88"/>
  <c r="C61" i="88" s="1"/>
  <c r="Y64" i="88"/>
  <c r="R17" i="6"/>
  <c r="AI16" i="6"/>
  <c r="AJ16" i="6" s="1"/>
  <c r="BC16" i="6"/>
  <c r="P15" i="6"/>
  <c r="AA61" i="88"/>
  <c r="AK15" i="6"/>
  <c r="U61" i="88"/>
  <c r="Z63" i="88"/>
  <c r="AD61" i="88"/>
  <c r="AF61" i="88"/>
  <c r="BP18" i="6"/>
  <c r="T61" i="88"/>
  <c r="AB61" i="88"/>
  <c r="AC61" i="88"/>
  <c r="BK16" i="6"/>
  <c r="AE61" i="88"/>
  <c r="BD16" i="6"/>
  <c r="W61" i="88" l="1"/>
  <c r="V61" i="88"/>
  <c r="X61" i="88"/>
  <c r="Y65" i="88"/>
  <c r="A62" i="88"/>
  <c r="C62" i="88" s="1"/>
  <c r="S62" i="88"/>
  <c r="R62" i="88"/>
  <c r="N41" i="87"/>
  <c r="B41" i="87"/>
  <c r="O42" i="87"/>
  <c r="C42" i="87" s="1"/>
  <c r="D41" i="87"/>
  <c r="H41" i="87"/>
  <c r="L41" i="87"/>
  <c r="E41" i="87"/>
  <c r="I41" i="87"/>
  <c r="F41" i="87"/>
  <c r="J41" i="87"/>
  <c r="G41" i="87"/>
  <c r="K41" i="87"/>
  <c r="M41" i="87"/>
  <c r="A37" i="87"/>
  <c r="U2355" i="3"/>
  <c r="X2355" i="3"/>
  <c r="U2359" i="3"/>
  <c r="X2359" i="3"/>
  <c r="U2363" i="3"/>
  <c r="X2363" i="3"/>
  <c r="U2367" i="3"/>
  <c r="X2367" i="3"/>
  <c r="U2299" i="3"/>
  <c r="X2299" i="3"/>
  <c r="U2304" i="3"/>
  <c r="X2304" i="3"/>
  <c r="U2307" i="3"/>
  <c r="X2307" i="3"/>
  <c r="U2311" i="3"/>
  <c r="X2311" i="3"/>
  <c r="U2315" i="3"/>
  <c r="X2315" i="3"/>
  <c r="U2374" i="3"/>
  <c r="X2374" i="3"/>
  <c r="U2377" i="3"/>
  <c r="X2377" i="3"/>
  <c r="U2381" i="3"/>
  <c r="X2381" i="3"/>
  <c r="U2385" i="3"/>
  <c r="X2385" i="3"/>
  <c r="U2471" i="3"/>
  <c r="X2471" i="3"/>
  <c r="U2592" i="3"/>
  <c r="X2592" i="3"/>
  <c r="U2599" i="3"/>
  <c r="X2599" i="3"/>
  <c r="U2603" i="3"/>
  <c r="X2603" i="3"/>
  <c r="U2607" i="3"/>
  <c r="X2607" i="3"/>
  <c r="U2611" i="3"/>
  <c r="X2611" i="3"/>
  <c r="U2618" i="3"/>
  <c r="X2618" i="3"/>
  <c r="U2622" i="3"/>
  <c r="X2622" i="3"/>
  <c r="U2626" i="3"/>
  <c r="X2626" i="3"/>
  <c r="U2630" i="3"/>
  <c r="X2630" i="3"/>
  <c r="U2637" i="3"/>
  <c r="X2637" i="3"/>
  <c r="U2641" i="3"/>
  <c r="X2641" i="3"/>
  <c r="U2645" i="3"/>
  <c r="X2645" i="3"/>
  <c r="U2649" i="3"/>
  <c r="X2649" i="3"/>
  <c r="U2656" i="3"/>
  <c r="X2656" i="3"/>
  <c r="U2660" i="3"/>
  <c r="X2660" i="3"/>
  <c r="U2664" i="3"/>
  <c r="X2664" i="3"/>
  <c r="U2510" i="3"/>
  <c r="X2510" i="3"/>
  <c r="U2518" i="3"/>
  <c r="X2518" i="3"/>
  <c r="U2352" i="3"/>
  <c r="X2352" i="3"/>
  <c r="U2285" i="3"/>
  <c r="X2285" i="3"/>
  <c r="U2353" i="3"/>
  <c r="X2353" i="3"/>
  <c r="U2362" i="3"/>
  <c r="X2362" i="3"/>
  <c r="U2366" i="3"/>
  <c r="X2366" i="3"/>
  <c r="U2298" i="3"/>
  <c r="X2298" i="3"/>
  <c r="U2303" i="3"/>
  <c r="X2303" i="3"/>
  <c r="U2306" i="3"/>
  <c r="X2306" i="3"/>
  <c r="U2310" i="3"/>
  <c r="X2310" i="3"/>
  <c r="U2314" i="3"/>
  <c r="X2314" i="3"/>
  <c r="U2373" i="3"/>
  <c r="X2373" i="3"/>
  <c r="U2380" i="3"/>
  <c r="X2380" i="3"/>
  <c r="U2384" i="3"/>
  <c r="X2384" i="3"/>
  <c r="U2598" i="3"/>
  <c r="X2598" i="3"/>
  <c r="U2602" i="3"/>
  <c r="X2602" i="3"/>
  <c r="U2606" i="3"/>
  <c r="X2606" i="3"/>
  <c r="U2617" i="3"/>
  <c r="X2617" i="3"/>
  <c r="U2621" i="3"/>
  <c r="X2621" i="3"/>
  <c r="U2625" i="3"/>
  <c r="X2625" i="3"/>
  <c r="U2636" i="3"/>
  <c r="X2636" i="3"/>
  <c r="U2640" i="3"/>
  <c r="X2640" i="3"/>
  <c r="U2644" i="3"/>
  <c r="X2644" i="3"/>
  <c r="U2655" i="3"/>
  <c r="X2655" i="3"/>
  <c r="U2659" i="3"/>
  <c r="X2659" i="3"/>
  <c r="U2663" i="3"/>
  <c r="X2663" i="3"/>
  <c r="U2513" i="3"/>
  <c r="X2513" i="3"/>
  <c r="U2517" i="3"/>
  <c r="X2517" i="3"/>
  <c r="U2357" i="3"/>
  <c r="X2357" i="3"/>
  <c r="U2361" i="3"/>
  <c r="X2361" i="3"/>
  <c r="U2365" i="3"/>
  <c r="X2365" i="3"/>
  <c r="U2369" i="3"/>
  <c r="X2369" i="3"/>
  <c r="U2302" i="3"/>
  <c r="X2302" i="3"/>
  <c r="U2305" i="3"/>
  <c r="X2305" i="3"/>
  <c r="U2309" i="3"/>
  <c r="X2309" i="3"/>
  <c r="U2313" i="3"/>
  <c r="X2313" i="3"/>
  <c r="U2371" i="3"/>
  <c r="X2371" i="3"/>
  <c r="U2376" i="3"/>
  <c r="X2376" i="3"/>
  <c r="U2379" i="3"/>
  <c r="X2379" i="3"/>
  <c r="U2383" i="3"/>
  <c r="X2383" i="3"/>
  <c r="U2387" i="3"/>
  <c r="X2387" i="3"/>
  <c r="U2489" i="3"/>
  <c r="X2489" i="3"/>
  <c r="U2597" i="3"/>
  <c r="X2597" i="3"/>
  <c r="U2601" i="3"/>
  <c r="X2601" i="3"/>
  <c r="U2605" i="3"/>
  <c r="X2605" i="3"/>
  <c r="U2609" i="3"/>
  <c r="X2609" i="3"/>
  <c r="U2616" i="3"/>
  <c r="X2616" i="3"/>
  <c r="U2620" i="3"/>
  <c r="X2620" i="3"/>
  <c r="U2624" i="3"/>
  <c r="X2624" i="3"/>
  <c r="U2628" i="3"/>
  <c r="X2628" i="3"/>
  <c r="U2635" i="3"/>
  <c r="X2635" i="3"/>
  <c r="U2639" i="3"/>
  <c r="X2639" i="3"/>
  <c r="U2643" i="3"/>
  <c r="X2643" i="3"/>
  <c r="U2647" i="3"/>
  <c r="X2647" i="3"/>
  <c r="U2654" i="3"/>
  <c r="X2654" i="3"/>
  <c r="U2658" i="3"/>
  <c r="X2658" i="3"/>
  <c r="U2662" i="3"/>
  <c r="X2662" i="3"/>
  <c r="U2666" i="3"/>
  <c r="X2666" i="3"/>
  <c r="U2512" i="3"/>
  <c r="X2512" i="3"/>
  <c r="U2516" i="3"/>
  <c r="X2516" i="3"/>
  <c r="U2356" i="3"/>
  <c r="X2356" i="3"/>
  <c r="U2360" i="3"/>
  <c r="X2360" i="3"/>
  <c r="U2364" i="3"/>
  <c r="X2364" i="3"/>
  <c r="U2368" i="3"/>
  <c r="X2368" i="3"/>
  <c r="U2358" i="3"/>
  <c r="X2358" i="3"/>
  <c r="U2286" i="3"/>
  <c r="X2286" i="3"/>
  <c r="U2301" i="3"/>
  <c r="X2301" i="3"/>
  <c r="U2308" i="3"/>
  <c r="X2308" i="3"/>
  <c r="U2312" i="3"/>
  <c r="X2312" i="3"/>
  <c r="U2370" i="3"/>
  <c r="X2370" i="3"/>
  <c r="U2375" i="3"/>
  <c r="X2375" i="3"/>
  <c r="U2378" i="3"/>
  <c r="X2378" i="3"/>
  <c r="U2382" i="3"/>
  <c r="X2382" i="3"/>
  <c r="U2386" i="3"/>
  <c r="X2386" i="3"/>
  <c r="U2453" i="3"/>
  <c r="X2453" i="3"/>
  <c r="U2507" i="3"/>
  <c r="X2507" i="3"/>
  <c r="U2593" i="3"/>
  <c r="X2593" i="3"/>
  <c r="U2600" i="3"/>
  <c r="X2600" i="3"/>
  <c r="U2604" i="3"/>
  <c r="X2604" i="3"/>
  <c r="U2608" i="3"/>
  <c r="X2608" i="3"/>
  <c r="U2612" i="3"/>
  <c r="X2612" i="3"/>
  <c r="U2619" i="3"/>
  <c r="X2619" i="3"/>
  <c r="U2623" i="3"/>
  <c r="X2623" i="3"/>
  <c r="U2627" i="3"/>
  <c r="X2627" i="3"/>
  <c r="U2631" i="3"/>
  <c r="X2631" i="3"/>
  <c r="U2638" i="3"/>
  <c r="X2638" i="3"/>
  <c r="U2642" i="3"/>
  <c r="X2642" i="3"/>
  <c r="U2646" i="3"/>
  <c r="X2646" i="3"/>
  <c r="U2650" i="3"/>
  <c r="X2650" i="3"/>
  <c r="U2657" i="3"/>
  <c r="X2657" i="3"/>
  <c r="U2661" i="3"/>
  <c r="X2661" i="3"/>
  <c r="U2665" i="3"/>
  <c r="X2665" i="3"/>
  <c r="U2511" i="3"/>
  <c r="X2511" i="3"/>
  <c r="U2515" i="3"/>
  <c r="X2515" i="3"/>
  <c r="U2519" i="3"/>
  <c r="X2519" i="3"/>
  <c r="P16" i="6"/>
  <c r="BN16" i="6"/>
  <c r="B18" i="6"/>
  <c r="BO19" i="6"/>
  <c r="A17" i="6"/>
  <c r="BH17" i="6"/>
  <c r="BI17" i="6"/>
  <c r="D2292" i="3"/>
  <c r="N2292" i="3"/>
  <c r="N2296" i="3"/>
  <c r="D2296" i="3"/>
  <c r="A2296" i="3"/>
  <c r="N2295" i="3"/>
  <c r="D2295" i="3"/>
  <c r="A2295" i="3"/>
  <c r="N2294" i="3"/>
  <c r="D2294" i="3"/>
  <c r="A2294" i="3"/>
  <c r="N2293" i="3"/>
  <c r="D2293" i="3"/>
  <c r="AD62" i="88"/>
  <c r="AE62" i="88"/>
  <c r="AC62" i="88"/>
  <c r="AA62" i="88"/>
  <c r="AF62" i="88"/>
  <c r="AB62" i="88"/>
  <c r="Z64" i="88"/>
  <c r="O17" i="6"/>
  <c r="F17" i="6"/>
  <c r="BU17" i="6"/>
  <c r="U62" i="88"/>
  <c r="AK16" i="6"/>
  <c r="T62" i="88"/>
  <c r="BV17" i="6"/>
  <c r="BP19" i="6"/>
  <c r="D18" i="6" l="1"/>
  <c r="V62" i="88"/>
  <c r="X62" i="88"/>
  <c r="W62" i="88"/>
  <c r="Y66" i="88"/>
  <c r="A63" i="88"/>
  <c r="C63" i="88" s="1"/>
  <c r="S63" i="88"/>
  <c r="R63" i="88"/>
  <c r="R18" i="6"/>
  <c r="N42" i="87"/>
  <c r="B42" i="87"/>
  <c r="O43" i="87"/>
  <c r="C43" i="87" s="1"/>
  <c r="E42" i="87"/>
  <c r="I42" i="87"/>
  <c r="G42" i="87"/>
  <c r="K42" i="87"/>
  <c r="F42" i="87"/>
  <c r="M42" i="87"/>
  <c r="H42" i="87"/>
  <c r="J42" i="87"/>
  <c r="D42" i="87"/>
  <c r="L42" i="87"/>
  <c r="A38" i="87"/>
  <c r="U2294" i="3"/>
  <c r="X2294" i="3"/>
  <c r="U2293" i="3"/>
  <c r="X2293" i="3"/>
  <c r="U2296" i="3"/>
  <c r="X2296" i="3"/>
  <c r="U2295" i="3"/>
  <c r="X2295" i="3"/>
  <c r="U2292" i="3"/>
  <c r="X2292" i="3"/>
  <c r="T63" i="88"/>
  <c r="Z65" i="88"/>
  <c r="C18" i="6"/>
  <c r="BJ17" i="6"/>
  <c r="I17" i="6"/>
  <c r="AV17" i="6"/>
  <c r="AH14" i="6"/>
  <c r="BV18" i="6"/>
  <c r="BS17" i="6"/>
  <c r="BK17" i="6"/>
  <c r="U63" i="88"/>
  <c r="AX17" i="6"/>
  <c r="AF63" i="88"/>
  <c r="AR17" i="6"/>
  <c r="AH13" i="6"/>
  <c r="AQ17" i="6"/>
  <c r="BT17" i="6"/>
  <c r="Y17" i="6"/>
  <c r="T17" i="6"/>
  <c r="U17" i="6"/>
  <c r="G17" i="6"/>
  <c r="BQ17" i="6"/>
  <c r="AD63" i="88"/>
  <c r="AE63" i="88"/>
  <c r="BR17" i="6"/>
  <c r="AS17" i="6"/>
  <c r="AE17" i="6"/>
  <c r="AB63" i="88"/>
  <c r="AB17" i="6"/>
  <c r="AC17" i="6"/>
  <c r="AA63" i="88"/>
  <c r="Z17" i="6"/>
  <c r="H18" i="6"/>
  <c r="AC63" i="88"/>
  <c r="BA14" i="6"/>
  <c r="W17" i="6"/>
  <c r="AL17" i="6"/>
  <c r="AN17" i="6"/>
  <c r="AT17" i="6"/>
  <c r="K17" i="6" l="1"/>
  <c r="W63" i="88"/>
  <c r="X63" i="88"/>
  <c r="V63" i="88"/>
  <c r="A64" i="88"/>
  <c r="C64" i="88" s="1"/>
  <c r="R64" i="88"/>
  <c r="S64" i="88"/>
  <c r="Y67" i="88"/>
  <c r="AI14" i="6"/>
  <c r="AI13" i="6"/>
  <c r="L15" i="6"/>
  <c r="N43" i="87"/>
  <c r="B43" i="87"/>
  <c r="O44" i="87"/>
  <c r="C44" i="87" s="1"/>
  <c r="F43" i="87"/>
  <c r="J43" i="87"/>
  <c r="G43" i="87"/>
  <c r="K43" i="87"/>
  <c r="D43" i="87"/>
  <c r="H43" i="87"/>
  <c r="L43" i="87"/>
  <c r="M43" i="87"/>
  <c r="I43" i="87"/>
  <c r="E43" i="87"/>
  <c r="A39" i="87"/>
  <c r="M16" i="6"/>
  <c r="P17" i="6"/>
  <c r="BN17" i="6"/>
  <c r="B19" i="6"/>
  <c r="BO20" i="6"/>
  <c r="A18" i="6"/>
  <c r="BI18" i="6"/>
  <c r="BH18" i="6"/>
  <c r="AB64" i="88"/>
  <c r="Z66" i="88"/>
  <c r="AD17" i="6"/>
  <c r="AA64" i="88"/>
  <c r="T64" i="88"/>
  <c r="AF64" i="88"/>
  <c r="X17" i="6"/>
  <c r="AP17" i="6"/>
  <c r="AE64" i="88"/>
  <c r="AM17" i="6"/>
  <c r="AA17" i="6"/>
  <c r="V17" i="6"/>
  <c r="AW17" i="6"/>
  <c r="BS18" i="6"/>
  <c r="Q17" i="6"/>
  <c r="AC64" i="88"/>
  <c r="AU17" i="6"/>
  <c r="AD64" i="88"/>
  <c r="U64" i="88"/>
  <c r="S17" i="6" l="1"/>
  <c r="AF17" i="6" s="1"/>
  <c r="D19" i="6"/>
  <c r="W64" i="88"/>
  <c r="V64" i="88"/>
  <c r="X64" i="88"/>
  <c r="A65" i="88"/>
  <c r="C65" i="88" s="1"/>
  <c r="S65" i="88"/>
  <c r="R65" i="88"/>
  <c r="Y68" i="88"/>
  <c r="Z67" i="88"/>
  <c r="H19" i="6"/>
  <c r="T65" i="88"/>
  <c r="U65" i="88"/>
  <c r="G18" i="6"/>
  <c r="AA65" i="88"/>
  <c r="O18" i="6"/>
  <c r="AC65" i="88"/>
  <c r="AE65" i="88"/>
  <c r="BQ18" i="6"/>
  <c r="AB65" i="88"/>
  <c r="BP20" i="6"/>
  <c r="AZ17" i="6"/>
  <c r="F18" i="6"/>
  <c r="BA17" i="6"/>
  <c r="AH17" i="6"/>
  <c r="AG17" i="6"/>
  <c r="BJ18" i="6"/>
  <c r="C19" i="6"/>
  <c r="AF65" i="88"/>
  <c r="I18" i="6"/>
  <c r="BU18" i="6"/>
  <c r="AA18" i="6"/>
  <c r="AD65" i="88"/>
  <c r="AU18" i="6"/>
  <c r="BT18" i="6"/>
  <c r="AC18" i="6"/>
  <c r="BR18" i="6"/>
  <c r="U18" i="6"/>
  <c r="AO17" i="6"/>
  <c r="AE18" i="6"/>
  <c r="BK18" i="6"/>
  <c r="AS18" i="6"/>
  <c r="AM18" i="6"/>
  <c r="W18" i="6"/>
  <c r="Q18" i="6"/>
  <c r="AT18" i="6"/>
  <c r="T18" i="6"/>
  <c r="AW18" i="6"/>
  <c r="AO18" i="6"/>
  <c r="AV18" i="6"/>
  <c r="AP18" i="6"/>
  <c r="AL18" i="6"/>
  <c r="AQ18" i="6"/>
  <c r="Y18" i="6"/>
  <c r="AN18" i="6"/>
  <c r="K18" i="6" l="1"/>
  <c r="W65" i="88"/>
  <c r="X65" i="88"/>
  <c r="V65" i="88"/>
  <c r="Y69" i="88"/>
  <c r="S66" i="88"/>
  <c r="R66" i="88"/>
  <c r="A66" i="88"/>
  <c r="C66" i="88" s="1"/>
  <c r="R19" i="6"/>
  <c r="S18" i="6"/>
  <c r="AI17" i="6"/>
  <c r="AJ17" i="6" s="1"/>
  <c r="AY17" i="6"/>
  <c r="BC17" i="6"/>
  <c r="L16" i="6"/>
  <c r="N16" i="6" s="1"/>
  <c r="N44" i="87"/>
  <c r="B44" i="87"/>
  <c r="O45" i="87"/>
  <c r="C45" i="87" s="1"/>
  <c r="G44" i="87"/>
  <c r="K44" i="87"/>
  <c r="D44" i="87"/>
  <c r="H44" i="87"/>
  <c r="L44" i="87"/>
  <c r="E44" i="87"/>
  <c r="I44" i="87"/>
  <c r="M44" i="87"/>
  <c r="F44" i="87"/>
  <c r="J44" i="87"/>
  <c r="A40" i="87"/>
  <c r="P18" i="6"/>
  <c r="BN18" i="6"/>
  <c r="B20" i="6"/>
  <c r="D20" i="6" s="1"/>
  <c r="BO21" i="6"/>
  <c r="A19" i="6"/>
  <c r="BH19" i="6"/>
  <c r="BI19" i="6"/>
  <c r="N3572" i="3"/>
  <c r="D3572" i="3"/>
  <c r="N1964" i="3"/>
  <c r="D1964" i="3"/>
  <c r="A1964" i="3"/>
  <c r="N1936" i="3"/>
  <c r="D1936" i="3"/>
  <c r="A1936" i="3"/>
  <c r="N1914" i="3"/>
  <c r="D1914" i="3"/>
  <c r="A1914" i="3"/>
  <c r="N1889" i="3"/>
  <c r="D1889" i="3"/>
  <c r="A1889" i="3"/>
  <c r="N1626" i="3"/>
  <c r="D1626" i="3"/>
  <c r="A1626" i="3"/>
  <c r="AX18" i="6"/>
  <c r="T66" i="88"/>
  <c r="Z18" i="6"/>
  <c r="AD18" i="6"/>
  <c r="AB18" i="6"/>
  <c r="X18" i="6"/>
  <c r="V18" i="6"/>
  <c r="AF18" i="6" l="1"/>
  <c r="BA18" i="6"/>
  <c r="AE66" i="88"/>
  <c r="G19" i="6"/>
  <c r="F19" i="6"/>
  <c r="AZ18" i="6"/>
  <c r="AG13" i="6"/>
  <c r="AG18" i="6"/>
  <c r="AF66" i="88"/>
  <c r="AH18" i="6"/>
  <c r="AC66" i="88"/>
  <c r="AZ14" i="6"/>
  <c r="AG14" i="6"/>
  <c r="AB66" i="88"/>
  <c r="I19" i="6"/>
  <c r="X19" i="6"/>
  <c r="BD17" i="6"/>
  <c r="C20" i="6"/>
  <c r="H20" i="6"/>
  <c r="Z68" i="88"/>
  <c r="AA66" i="88"/>
  <c r="AR18" i="6"/>
  <c r="BQ19" i="6"/>
  <c r="U66" i="88"/>
  <c r="BV19" i="6"/>
  <c r="AD66" i="88"/>
  <c r="AN19" i="6"/>
  <c r="AR19" i="6"/>
  <c r="Y19" i="6"/>
  <c r="Q19" i="6"/>
  <c r="AM19" i="6"/>
  <c r="V19" i="6"/>
  <c r="U19" i="6"/>
  <c r="AV19" i="6"/>
  <c r="K19" i="6" l="1"/>
  <c r="W66" i="88"/>
  <c r="V66" i="88"/>
  <c r="X66" i="88"/>
  <c r="Y70" i="88"/>
  <c r="R67" i="88"/>
  <c r="A67" i="88"/>
  <c r="C67" i="88" s="1"/>
  <c r="S67" i="88"/>
  <c r="AY18" i="6"/>
  <c r="R20" i="6"/>
  <c r="BC14" i="6"/>
  <c r="AJ14" i="6"/>
  <c r="AJ13" i="6"/>
  <c r="S19" i="6"/>
  <c r="AI18" i="6"/>
  <c r="AJ18" i="6" s="1"/>
  <c r="M17" i="6"/>
  <c r="BC18" i="6"/>
  <c r="L17" i="6"/>
  <c r="N45" i="87"/>
  <c r="B45" i="87"/>
  <c r="O46" i="87"/>
  <c r="C46" i="87" s="1"/>
  <c r="D45" i="87"/>
  <c r="H45" i="87"/>
  <c r="L45" i="87"/>
  <c r="E45" i="87"/>
  <c r="I45" i="87"/>
  <c r="M45" i="87"/>
  <c r="F45" i="87"/>
  <c r="J45" i="87"/>
  <c r="G45" i="87"/>
  <c r="K45" i="87"/>
  <c r="A41" i="87"/>
  <c r="M15" i="6"/>
  <c r="N15" i="6" s="1"/>
  <c r="U3572" i="3"/>
  <c r="X3572" i="3"/>
  <c r="U1914" i="3"/>
  <c r="X1914" i="3"/>
  <c r="U1889" i="3"/>
  <c r="X1889" i="3"/>
  <c r="U1964" i="3"/>
  <c r="X1964" i="3"/>
  <c r="U1626" i="3"/>
  <c r="X1626" i="3"/>
  <c r="U1936" i="3"/>
  <c r="X1936" i="3"/>
  <c r="AB19" i="6"/>
  <c r="AT19" i="6"/>
  <c r="AA67" i="88"/>
  <c r="AU19" i="6"/>
  <c r="AF67" i="88"/>
  <c r="AX19" i="6"/>
  <c r="AD67" i="88"/>
  <c r="AB67" i="88"/>
  <c r="Z19" i="6"/>
  <c r="T19" i="6"/>
  <c r="W19" i="6"/>
  <c r="AC67" i="88"/>
  <c r="Z69" i="88"/>
  <c r="AS19" i="6"/>
  <c r="BQ20" i="6"/>
  <c r="AQ19" i="6"/>
  <c r="T67" i="88"/>
  <c r="AD19" i="6"/>
  <c r="AL19" i="6"/>
  <c r="AE67" i="88"/>
  <c r="U67" i="88"/>
  <c r="AC19" i="6"/>
  <c r="AE19" i="6"/>
  <c r="AW19" i="6"/>
  <c r="AO19" i="6"/>
  <c r="BD18" i="6"/>
  <c r="N17" i="6" l="1"/>
  <c r="W67" i="88"/>
  <c r="V67" i="88"/>
  <c r="X67" i="88"/>
  <c r="S68" i="88"/>
  <c r="R68" i="88"/>
  <c r="A68" i="88"/>
  <c r="C68" i="88" s="1"/>
  <c r="Y71" i="88"/>
  <c r="AP19" i="6"/>
  <c r="AD68" i="88"/>
  <c r="AA19" i="6"/>
  <c r="AY19" i="6" l="1"/>
  <c r="AF19" i="6"/>
  <c r="U68" i="88"/>
  <c r="AH19" i="6"/>
  <c r="AO14" i="6"/>
  <c r="F20" i="6"/>
  <c r="AK17" i="6"/>
  <c r="BT19" i="6"/>
  <c r="AG19" i="6"/>
  <c r="Z70" i="88"/>
  <c r="AA68" i="88"/>
  <c r="BU19" i="6"/>
  <c r="V13" i="6"/>
  <c r="AB68" i="88"/>
  <c r="AC68" i="88"/>
  <c r="AZ19" i="6"/>
  <c r="T68" i="88"/>
  <c r="AF68" i="88"/>
  <c r="AE68" i="88"/>
  <c r="X68" i="88" l="1"/>
  <c r="V68" i="88"/>
  <c r="W68" i="88"/>
  <c r="Y72" i="88"/>
  <c r="R69" i="88"/>
  <c r="S69" i="88"/>
  <c r="A69" i="88"/>
  <c r="C69" i="88" s="1"/>
  <c r="AY14" i="6"/>
  <c r="AI19" i="6"/>
  <c r="AJ19" i="6" s="1"/>
  <c r="N46" i="87"/>
  <c r="B46" i="87"/>
  <c r="O47" i="87"/>
  <c r="C47" i="87" s="1"/>
  <c r="E46" i="87"/>
  <c r="I46" i="87"/>
  <c r="M46" i="87"/>
  <c r="F46" i="87"/>
  <c r="J46" i="87"/>
  <c r="G46" i="87"/>
  <c r="K46" i="87"/>
  <c r="L46" i="87"/>
  <c r="H46" i="87"/>
  <c r="D46" i="87"/>
  <c r="A42" i="87"/>
  <c r="G20" i="6"/>
  <c r="BR19" i="6"/>
  <c r="Z71" i="88"/>
  <c r="BA19" i="6"/>
  <c r="AC69" i="88"/>
  <c r="V14" i="6"/>
  <c r="AB69" i="88"/>
  <c r="AD69" i="88"/>
  <c r="I20" i="6"/>
  <c r="BT20" i="6"/>
  <c r="BS19" i="6"/>
  <c r="T69" i="88"/>
  <c r="AE69" i="88"/>
  <c r="U69" i="88"/>
  <c r="AA69" i="88"/>
  <c r="BR20" i="6"/>
  <c r="AK18" i="6"/>
  <c r="AF69" i="88"/>
  <c r="K20" i="6" l="1"/>
  <c r="X69" i="88"/>
  <c r="V69" i="88"/>
  <c r="W69" i="88"/>
  <c r="Y73" i="88"/>
  <c r="A70" i="88"/>
  <c r="C70" i="88" s="1"/>
  <c r="S70" i="88"/>
  <c r="R70" i="88"/>
  <c r="BC19" i="6"/>
  <c r="AF14" i="6"/>
  <c r="AU20" i="6"/>
  <c r="BU20" i="6"/>
  <c r="AA70" i="88"/>
  <c r="U70" i="88"/>
  <c r="AA20" i="6"/>
  <c r="AW20" i="6"/>
  <c r="AB70" i="88"/>
  <c r="BV20" i="6"/>
  <c r="AE20" i="6"/>
  <c r="Q20" i="6"/>
  <c r="AM20" i="6"/>
  <c r="AC70" i="88"/>
  <c r="T20" i="6"/>
  <c r="AN20" i="6"/>
  <c r="AS20" i="6"/>
  <c r="Z72" i="88"/>
  <c r="AD70" i="88"/>
  <c r="AK14" i="6"/>
  <c r="AL20" i="6"/>
  <c r="U20" i="6"/>
  <c r="AE70" i="88"/>
  <c r="AX20" i="6"/>
  <c r="Y20" i="6"/>
  <c r="BK19" i="6"/>
  <c r="AF70" i="88"/>
  <c r="AB20" i="6"/>
  <c r="T70" i="88"/>
  <c r="AO20" i="6"/>
  <c r="W20" i="6"/>
  <c r="AD20" i="6"/>
  <c r="BD19" i="6"/>
  <c r="W70" i="88" l="1"/>
  <c r="V70" i="88"/>
  <c r="X70" i="88"/>
  <c r="A71" i="88"/>
  <c r="C71" i="88" s="1"/>
  <c r="S71" i="88"/>
  <c r="R71" i="88"/>
  <c r="Y74" i="88"/>
  <c r="L14" i="6"/>
  <c r="S20" i="6"/>
  <c r="L18" i="6"/>
  <c r="N47" i="87"/>
  <c r="B47" i="87"/>
  <c r="O48" i="87"/>
  <c r="C48" i="87" s="1"/>
  <c r="F47" i="87"/>
  <c r="J47" i="87"/>
  <c r="G47" i="87"/>
  <c r="K47" i="87"/>
  <c r="D47" i="87"/>
  <c r="H47" i="87"/>
  <c r="L47" i="87"/>
  <c r="E47" i="87"/>
  <c r="M47" i="87"/>
  <c r="I47" i="87"/>
  <c r="A43" i="87"/>
  <c r="M14" i="6"/>
  <c r="M18" i="6"/>
  <c r="BJ19" i="6"/>
  <c r="AE71" i="88"/>
  <c r="AK19" i="6"/>
  <c r="AF71" i="88"/>
  <c r="AD71" i="88"/>
  <c r="AQ20" i="6"/>
  <c r="AT20" i="6"/>
  <c r="U71" i="88"/>
  <c r="T71" i="88"/>
  <c r="AV20" i="6"/>
  <c r="X20" i="6"/>
  <c r="Z73" i="88"/>
  <c r="AR20" i="6"/>
  <c r="AC71" i="88"/>
  <c r="BS20" i="6"/>
  <c r="V20" i="6"/>
  <c r="AA71" i="88"/>
  <c r="AB71" i="88"/>
  <c r="AC20" i="6"/>
  <c r="N18" i="6" l="1"/>
  <c r="N14" i="6"/>
  <c r="W71" i="88"/>
  <c r="X71" i="88"/>
  <c r="V71" i="88"/>
  <c r="A72" i="88"/>
  <c r="C72" i="88" s="1"/>
  <c r="S72" i="88"/>
  <c r="R72" i="88"/>
  <c r="Y75" i="88"/>
  <c r="U72" i="88"/>
  <c r="AF72" i="88"/>
  <c r="AP20" i="6"/>
  <c r="Z20" i="6"/>
  <c r="AD72" i="88"/>
  <c r="AY20" i="6" l="1"/>
  <c r="AF20" i="6"/>
  <c r="T72" i="88"/>
  <c r="AC72" i="88"/>
  <c r="Z74" i="88"/>
  <c r="AB72" i="88"/>
  <c r="AE72" i="88"/>
  <c r="BP21" i="6"/>
  <c r="AA72" i="88"/>
  <c r="BA20" i="6"/>
  <c r="X72" i="88" l="1"/>
  <c r="V72" i="88"/>
  <c r="W72" i="88"/>
  <c r="Y76" i="88"/>
  <c r="S73" i="88"/>
  <c r="R73" i="88"/>
  <c r="A73" i="88"/>
  <c r="C73" i="88" s="1"/>
  <c r="N48" i="87"/>
  <c r="B48" i="87"/>
  <c r="O49" i="87"/>
  <c r="C49" i="87" s="1"/>
  <c r="G48" i="87"/>
  <c r="K48" i="87"/>
  <c r="D48" i="87"/>
  <c r="H48" i="87"/>
  <c r="L48" i="87"/>
  <c r="E48" i="87"/>
  <c r="I48" i="87"/>
  <c r="M48" i="87"/>
  <c r="F48" i="87"/>
  <c r="J48" i="87"/>
  <c r="A44" i="87"/>
  <c r="AC73" i="88"/>
  <c r="AB73" i="88"/>
  <c r="AH20" i="6"/>
  <c r="U73" i="88"/>
  <c r="AA73" i="88"/>
  <c r="AF73" i="88"/>
  <c r="Z75" i="88"/>
  <c r="O20" i="6"/>
  <c r="AD73" i="88"/>
  <c r="AZ20" i="6"/>
  <c r="AG20" i="6"/>
  <c r="T73" i="88"/>
  <c r="AE73" i="88"/>
  <c r="X73" i="88" l="1"/>
  <c r="V73" i="88"/>
  <c r="W73" i="88"/>
  <c r="Y77" i="88"/>
  <c r="S74" i="88"/>
  <c r="R74" i="88"/>
  <c r="A74" i="88"/>
  <c r="C74" i="88" s="1"/>
  <c r="BC20" i="6"/>
  <c r="AI20" i="6"/>
  <c r="AJ20" i="6" s="1"/>
  <c r="N49" i="87"/>
  <c r="B49" i="87"/>
  <c r="O50" i="87"/>
  <c r="C50" i="87" s="1"/>
  <c r="D49" i="87"/>
  <c r="H49" i="87"/>
  <c r="L49" i="87"/>
  <c r="E49" i="87"/>
  <c r="I49" i="87"/>
  <c r="M49" i="87"/>
  <c r="F49" i="87"/>
  <c r="J49" i="87"/>
  <c r="K49" i="87"/>
  <c r="G49" i="87"/>
  <c r="A45" i="87"/>
  <c r="BN19" i="6"/>
  <c r="B21" i="6"/>
  <c r="D21" i="6" s="1"/>
  <c r="BO22" i="6"/>
  <c r="A20" i="6"/>
  <c r="BH20" i="6"/>
  <c r="BI20" i="6"/>
  <c r="N1940" i="3"/>
  <c r="D1940" i="3"/>
  <c r="A1940" i="3"/>
  <c r="N1918" i="3"/>
  <c r="D1918" i="3"/>
  <c r="A1918" i="3"/>
  <c r="N1893" i="3"/>
  <c r="D1893" i="3"/>
  <c r="A1893" i="3"/>
  <c r="N2254" i="3"/>
  <c r="D2254" i="3"/>
  <c r="A2254" i="3"/>
  <c r="AB74" i="88"/>
  <c r="T74" i="88"/>
  <c r="AF74" i="88"/>
  <c r="U74" i="88"/>
  <c r="AD74" i="88"/>
  <c r="BD20" i="6"/>
  <c r="AE74" i="88"/>
  <c r="AK20" i="6"/>
  <c r="Z76" i="88"/>
  <c r="AA74" i="88"/>
  <c r="AC74" i="88"/>
  <c r="BP22" i="6"/>
  <c r="O19" i="6"/>
  <c r="V74" i="88" l="1"/>
  <c r="X74" i="88"/>
  <c r="W74" i="88"/>
  <c r="Y78" i="88"/>
  <c r="S75" i="88"/>
  <c r="A75" i="88"/>
  <c r="C75" i="88" s="1"/>
  <c r="R75" i="88"/>
  <c r="R21" i="6"/>
  <c r="N50" i="87"/>
  <c r="B50" i="87"/>
  <c r="O51" i="87"/>
  <c r="C51" i="87" s="1"/>
  <c r="E50" i="87"/>
  <c r="I50" i="87"/>
  <c r="M50" i="87"/>
  <c r="F50" i="87"/>
  <c r="J50" i="87"/>
  <c r="G50" i="87"/>
  <c r="K50" i="87"/>
  <c r="D50" i="87"/>
  <c r="L50" i="87"/>
  <c r="H50" i="87"/>
  <c r="A46" i="87"/>
  <c r="U2254" i="3"/>
  <c r="X2254" i="3"/>
  <c r="U1940" i="3"/>
  <c r="X1940" i="3"/>
  <c r="U1918" i="3"/>
  <c r="X1918" i="3"/>
  <c r="U1893" i="3"/>
  <c r="X1893" i="3"/>
  <c r="P19" i="6"/>
  <c r="AE75" i="88"/>
  <c r="BU21" i="6"/>
  <c r="BJ20" i="6"/>
  <c r="AB75" i="88"/>
  <c r="U75" i="88"/>
  <c r="AC75" i="88"/>
  <c r="BR21" i="6"/>
  <c r="BV21" i="6"/>
  <c r="G21" i="6"/>
  <c r="BQ21" i="6"/>
  <c r="AD75" i="88"/>
  <c r="F21" i="6"/>
  <c r="T75" i="88"/>
  <c r="AF75" i="88"/>
  <c r="Z77" i="88"/>
  <c r="BK20" i="6"/>
  <c r="AA75" i="88"/>
  <c r="BS21" i="6"/>
  <c r="BJ11" i="6"/>
  <c r="BT21" i="6"/>
  <c r="C21" i="6"/>
  <c r="I21" i="6"/>
  <c r="H21" i="6"/>
  <c r="Q21" i="6"/>
  <c r="AB21" i="6"/>
  <c r="Z21" i="6"/>
  <c r="AU21" i="6"/>
  <c r="V21" i="6"/>
  <c r="AQ21" i="6"/>
  <c r="AO21" i="6"/>
  <c r="AW21" i="6"/>
  <c r="X21" i="6"/>
  <c r="T21" i="6"/>
  <c r="AA21" i="6"/>
  <c r="W21" i="6"/>
  <c r="AX21" i="6"/>
  <c r="AV21" i="6"/>
  <c r="AM21" i="6"/>
  <c r="AC21" i="6"/>
  <c r="U21" i="6"/>
  <c r="AE21" i="6"/>
  <c r="AS21" i="6"/>
  <c r="Y21" i="6"/>
  <c r="AD21" i="6"/>
  <c r="AP21" i="6"/>
  <c r="AN21" i="6"/>
  <c r="AR21" i="6"/>
  <c r="AL21" i="6"/>
  <c r="K21" i="6" l="1"/>
  <c r="V75" i="88"/>
  <c r="X75" i="88"/>
  <c r="W75" i="88"/>
  <c r="A76" i="88"/>
  <c r="C76" i="88" s="1"/>
  <c r="R76" i="88"/>
  <c r="S76" i="88"/>
  <c r="Y79" i="88"/>
  <c r="S21" i="6"/>
  <c r="AF21" i="6" s="1"/>
  <c r="L19" i="6"/>
  <c r="N51" i="87"/>
  <c r="B51" i="87"/>
  <c r="O52" i="87"/>
  <c r="C52" i="87" s="1"/>
  <c r="F51" i="87"/>
  <c r="J51" i="87"/>
  <c r="G51" i="87"/>
  <c r="K51" i="87"/>
  <c r="D51" i="87"/>
  <c r="H51" i="87"/>
  <c r="L51" i="87"/>
  <c r="E51" i="87"/>
  <c r="I51" i="87"/>
  <c r="M51" i="87"/>
  <c r="A47" i="87"/>
  <c r="M19" i="6"/>
  <c r="P20" i="6"/>
  <c r="BN20" i="6"/>
  <c r="B22" i="6"/>
  <c r="D22" i="6" s="1"/>
  <c r="BO23" i="6"/>
  <c r="A21" i="6"/>
  <c r="BH21" i="6"/>
  <c r="BI21" i="6"/>
  <c r="BN11" i="6"/>
  <c r="BL11" i="6"/>
  <c r="AT21" i="6"/>
  <c r="AZ21" i="6"/>
  <c r="BA21" i="6"/>
  <c r="AE76" i="88"/>
  <c r="AH21" i="6"/>
  <c r="T76" i="88"/>
  <c r="AC76" i="88"/>
  <c r="AD76" i="88"/>
  <c r="AF76" i="88"/>
  <c r="U76" i="88"/>
  <c r="AA76" i="88"/>
  <c r="AB76" i="88"/>
  <c r="AG21" i="6"/>
  <c r="Z78" i="88"/>
  <c r="N19" i="6" l="1"/>
  <c r="AY21" i="6"/>
  <c r="X76" i="88"/>
  <c r="V76" i="88"/>
  <c r="W76" i="88"/>
  <c r="A77" i="88"/>
  <c r="C77" i="88" s="1"/>
  <c r="S77" i="88"/>
  <c r="R77" i="88"/>
  <c r="Y80" i="88"/>
  <c r="R22" i="6"/>
  <c r="AI21" i="6"/>
  <c r="AJ21" i="6" s="1"/>
  <c r="BC21" i="6"/>
  <c r="N52" i="87"/>
  <c r="B52" i="87"/>
  <c r="O53" i="87"/>
  <c r="C53" i="87" s="1"/>
  <c r="G52" i="87"/>
  <c r="K52" i="87"/>
  <c r="D52" i="87"/>
  <c r="H52" i="87"/>
  <c r="L52" i="87"/>
  <c r="E52" i="87"/>
  <c r="I52" i="87"/>
  <c r="M52" i="87"/>
  <c r="J52" i="87"/>
  <c r="F52" i="87"/>
  <c r="A48" i="87"/>
  <c r="BS22" i="6"/>
  <c r="BU22" i="6"/>
  <c r="U77" i="88"/>
  <c r="AF77" i="88"/>
  <c r="C22" i="6"/>
  <c r="AA77" i="88"/>
  <c r="BJ21" i="6"/>
  <c r="AB77" i="88"/>
  <c r="G22" i="6"/>
  <c r="H22" i="6"/>
  <c r="BV22" i="6"/>
  <c r="BP23" i="6"/>
  <c r="I22" i="6"/>
  <c r="AD22" i="6"/>
  <c r="O21" i="6"/>
  <c r="X22" i="6"/>
  <c r="AB22" i="6"/>
  <c r="BR22" i="6"/>
  <c r="BQ22" i="6"/>
  <c r="AW22" i="6"/>
  <c r="AD77" i="88"/>
  <c r="Z22" i="6"/>
  <c r="Z79" i="88"/>
  <c r="T22" i="6"/>
  <c r="AN22" i="6"/>
  <c r="BT22" i="6"/>
  <c r="AL22" i="6"/>
  <c r="V22" i="6"/>
  <c r="BK21" i="6"/>
  <c r="AM22" i="6"/>
  <c r="AV22" i="6"/>
  <c r="AC77" i="88"/>
  <c r="Y22" i="6"/>
  <c r="T77" i="88"/>
  <c r="U22" i="6"/>
  <c r="Z80" i="88"/>
  <c r="AR22" i="6"/>
  <c r="AE77" i="88"/>
  <c r="W22" i="6"/>
  <c r="F22" i="6"/>
  <c r="AO22" i="6"/>
  <c r="AX22" i="6"/>
  <c r="BD21" i="6"/>
  <c r="AT22" i="6"/>
  <c r="AC22" i="6"/>
  <c r="AE22" i="6"/>
  <c r="AA22" i="6"/>
  <c r="Q22" i="6"/>
  <c r="AQ22" i="6"/>
  <c r="AS22" i="6"/>
  <c r="K22" i="6" l="1"/>
  <c r="W77" i="88"/>
  <c r="X77" i="88"/>
  <c r="V77" i="88"/>
  <c r="R78" i="88"/>
  <c r="A78" i="88"/>
  <c r="C78" i="88" s="1"/>
  <c r="S78" i="88"/>
  <c r="S22" i="6"/>
  <c r="AF22" i="6" s="1"/>
  <c r="L20" i="6"/>
  <c r="N53" i="87"/>
  <c r="B53" i="87"/>
  <c r="O54" i="87"/>
  <c r="C54" i="87" s="1"/>
  <c r="D53" i="87"/>
  <c r="H53" i="87"/>
  <c r="L53" i="87"/>
  <c r="E53" i="87"/>
  <c r="I53" i="87"/>
  <c r="M53" i="87"/>
  <c r="F53" i="87"/>
  <c r="J53" i="87"/>
  <c r="K53" i="87"/>
  <c r="G53" i="87"/>
  <c r="A49" i="87"/>
  <c r="M20" i="6"/>
  <c r="P21" i="6"/>
  <c r="BN21" i="6"/>
  <c r="B23" i="6"/>
  <c r="D23" i="6" s="1"/>
  <c r="BL12" i="6"/>
  <c r="BL13" i="6" s="1"/>
  <c r="BO24" i="6"/>
  <c r="A22" i="6"/>
  <c r="BH22" i="6"/>
  <c r="BI22" i="6"/>
  <c r="L12" i="3"/>
  <c r="L670" i="3"/>
  <c r="L662" i="3"/>
  <c r="L658" i="3"/>
  <c r="L654" i="3"/>
  <c r="L650" i="3"/>
  <c r="L646" i="3"/>
  <c r="L630" i="3"/>
  <c r="L626" i="3"/>
  <c r="L622" i="3"/>
  <c r="L618" i="3"/>
  <c r="L614" i="3"/>
  <c r="L610" i="3"/>
  <c r="L606" i="3"/>
  <c r="L602" i="3"/>
  <c r="L598" i="3"/>
  <c r="L594" i="3"/>
  <c r="L590" i="3"/>
  <c r="L586" i="3"/>
  <c r="L582" i="3"/>
  <c r="L578" i="3"/>
  <c r="L574" i="3"/>
  <c r="L570" i="3"/>
  <c r="L566" i="3"/>
  <c r="L562" i="3"/>
  <c r="L555" i="3"/>
  <c r="L551" i="3"/>
  <c r="L544" i="3"/>
  <c r="L540" i="3"/>
  <c r="L533" i="3"/>
  <c r="L529" i="3"/>
  <c r="L522" i="3"/>
  <c r="L518" i="3"/>
  <c r="L505" i="3"/>
  <c r="L486" i="3"/>
  <c r="L466" i="3"/>
  <c r="L462" i="3"/>
  <c r="L458" i="3"/>
  <c r="L454" i="3"/>
  <c r="L450" i="3"/>
  <c r="L445" i="3"/>
  <c r="L441" i="3"/>
  <c r="L437" i="3"/>
  <c r="L433" i="3"/>
  <c r="L429" i="3"/>
  <c r="L424" i="3"/>
  <c r="L420" i="3"/>
  <c r="L416" i="3"/>
  <c r="L651" i="3"/>
  <c r="L627" i="3"/>
  <c r="L615" i="3"/>
  <c r="L603" i="3"/>
  <c r="L591" i="3"/>
  <c r="L583" i="3"/>
  <c r="L575" i="3"/>
  <c r="L559" i="3"/>
  <c r="L541" i="3"/>
  <c r="L530" i="3"/>
  <c r="L506" i="3"/>
  <c r="L479" i="3"/>
  <c r="L455" i="3"/>
  <c r="L442" i="3"/>
  <c r="L430" i="3"/>
  <c r="L417" i="3"/>
  <c r="L24" i="3"/>
  <c r="L673" i="3"/>
  <c r="L661" i="3"/>
  <c r="L657" i="3"/>
  <c r="L653" i="3"/>
  <c r="L649" i="3"/>
  <c r="L645" i="3"/>
  <c r="L637" i="3"/>
  <c r="L629" i="3"/>
  <c r="L625" i="3"/>
  <c r="L621" i="3"/>
  <c r="L617" i="3"/>
  <c r="L613" i="3"/>
  <c r="L609" i="3"/>
  <c r="L605" i="3"/>
  <c r="L601" i="3"/>
  <c r="L597" i="3"/>
  <c r="L593" i="3"/>
  <c r="L589" i="3"/>
  <c r="L585" i="3"/>
  <c r="L581" i="3"/>
  <c r="L577" i="3"/>
  <c r="L573" i="3"/>
  <c r="L569" i="3"/>
  <c r="L565" i="3"/>
  <c r="L561" i="3"/>
  <c r="L554" i="3"/>
  <c r="L550" i="3"/>
  <c r="L543" i="3"/>
  <c r="L539" i="3"/>
  <c r="L532" i="3"/>
  <c r="L525" i="3"/>
  <c r="L521" i="3"/>
  <c r="L517" i="3"/>
  <c r="L504" i="3"/>
  <c r="L465" i="3"/>
  <c r="L461" i="3"/>
  <c r="L457" i="3"/>
  <c r="L453" i="3"/>
  <c r="L448" i="3"/>
  <c r="L444" i="3"/>
  <c r="L440" i="3"/>
  <c r="L436" i="3"/>
  <c r="L432" i="3"/>
  <c r="L427" i="3"/>
  <c r="L423" i="3"/>
  <c r="L419" i="3"/>
  <c r="L415" i="3"/>
  <c r="L655" i="3"/>
  <c r="L619" i="3"/>
  <c r="L607" i="3"/>
  <c r="L599" i="3"/>
  <c r="L587" i="3"/>
  <c r="L571" i="3"/>
  <c r="L563" i="3"/>
  <c r="L545" i="3"/>
  <c r="L523" i="3"/>
  <c r="L502" i="3"/>
  <c r="L463" i="3"/>
  <c r="L451" i="3"/>
  <c r="L438" i="3"/>
  <c r="L425" i="3"/>
  <c r="L412" i="3"/>
  <c r="L14" i="3"/>
  <c r="L672" i="3"/>
  <c r="L664" i="3"/>
  <c r="L660" i="3"/>
  <c r="L656" i="3"/>
  <c r="L652" i="3"/>
  <c r="L648" i="3"/>
  <c r="L628" i="3"/>
  <c r="L624" i="3"/>
  <c r="L620" i="3"/>
  <c r="L616" i="3"/>
  <c r="L612" i="3"/>
  <c r="L608" i="3"/>
  <c r="L604" i="3"/>
  <c r="L600" i="3"/>
  <c r="L596" i="3"/>
  <c r="L592" i="3"/>
  <c r="L588" i="3"/>
  <c r="L584" i="3"/>
  <c r="L580" i="3"/>
  <c r="L576" i="3"/>
  <c r="L572" i="3"/>
  <c r="L568" i="3"/>
  <c r="L564" i="3"/>
  <c r="L560" i="3"/>
  <c r="L553" i="3"/>
  <c r="L549" i="3"/>
  <c r="L542" i="3"/>
  <c r="L535" i="3"/>
  <c r="L531" i="3"/>
  <c r="L524" i="3"/>
  <c r="L520" i="3"/>
  <c r="L507" i="3"/>
  <c r="L503" i="3"/>
  <c r="L464" i="3"/>
  <c r="L456" i="3"/>
  <c r="L452" i="3"/>
  <c r="L447" i="3"/>
  <c r="L443" i="3"/>
  <c r="L439" i="3"/>
  <c r="L435" i="3"/>
  <c r="L431" i="3"/>
  <c r="L426" i="3"/>
  <c r="L422" i="3"/>
  <c r="L418" i="3"/>
  <c r="L414" i="3"/>
  <c r="L392" i="3"/>
  <c r="L13" i="3"/>
  <c r="L671" i="3"/>
  <c r="L663" i="3"/>
  <c r="L659" i="3"/>
  <c r="L647" i="3"/>
  <c r="L623" i="3"/>
  <c r="L611" i="3"/>
  <c r="L595" i="3"/>
  <c r="L579" i="3"/>
  <c r="L567" i="3"/>
  <c r="L552" i="3"/>
  <c r="L534" i="3"/>
  <c r="L519" i="3"/>
  <c r="L459" i="3"/>
  <c r="L446" i="3"/>
  <c r="L434" i="3"/>
  <c r="L421" i="3"/>
  <c r="L4625" i="3"/>
  <c r="L4624" i="3"/>
  <c r="L4607" i="3"/>
  <c r="L4592" i="3"/>
  <c r="L4579" i="3"/>
  <c r="L4578" i="3"/>
  <c r="L4566" i="3"/>
  <c r="L4532" i="3"/>
  <c r="L4527" i="3"/>
  <c r="L2262" i="3"/>
  <c r="L2237" i="3"/>
  <c r="L2215" i="3"/>
  <c r="L2197" i="3"/>
  <c r="A2052" i="3"/>
  <c r="D2052" i="3"/>
  <c r="N2052" i="3"/>
  <c r="A2036" i="3"/>
  <c r="D2036" i="3"/>
  <c r="N2036" i="3"/>
  <c r="AA78" i="88"/>
  <c r="T78" i="88"/>
  <c r="BA22" i="6"/>
  <c r="AE78" i="88"/>
  <c r="AF78" i="88"/>
  <c r="U78" i="88"/>
  <c r="AC78" i="88"/>
  <c r="AD78" i="88"/>
  <c r="BK22" i="6"/>
  <c r="AP22" i="6"/>
  <c r="AB78" i="88"/>
  <c r="N20" i="6" l="1"/>
  <c r="V78" i="88"/>
  <c r="X78" i="88"/>
  <c r="W78" i="88"/>
  <c r="A80" i="88"/>
  <c r="C80" i="88" s="1"/>
  <c r="S80" i="88"/>
  <c r="R80" i="88"/>
  <c r="R79" i="88"/>
  <c r="A79" i="88"/>
  <c r="C79" i="88" s="1"/>
  <c r="S79" i="88"/>
  <c r="BJ22" i="6"/>
  <c r="T79" i="88"/>
  <c r="AU22" i="6"/>
  <c r="T80" i="88"/>
  <c r="C23" i="6"/>
  <c r="AH22" i="6"/>
  <c r="AC79" i="88"/>
  <c r="AK21" i="6"/>
  <c r="H23" i="6"/>
  <c r="AY22" i="6" l="1"/>
  <c r="AD79" i="88"/>
  <c r="BP24" i="6"/>
  <c r="AB80" i="88"/>
  <c r="AB79" i="88"/>
  <c r="U79" i="88"/>
  <c r="AE79" i="88"/>
  <c r="AG22" i="6"/>
  <c r="AC80" i="88"/>
  <c r="AF80" i="88"/>
  <c r="AD80" i="88"/>
  <c r="AA80" i="88"/>
  <c r="U80" i="88"/>
  <c r="AE80" i="88"/>
  <c r="AA79" i="88"/>
  <c r="AF79" i="88"/>
  <c r="AZ22" i="6"/>
  <c r="AF81" i="88" l="1"/>
  <c r="AD81" i="88"/>
  <c r="AC81" i="88"/>
  <c r="AA81" i="88"/>
  <c r="X80" i="88"/>
  <c r="W79" i="88"/>
  <c r="W80" i="88" s="1"/>
  <c r="A95" i="88" s="1"/>
  <c r="AE81" i="88"/>
  <c r="V79" i="88"/>
  <c r="V80" i="88" s="1"/>
  <c r="X79" i="88"/>
  <c r="R23" i="6"/>
  <c r="AI22" i="6"/>
  <c r="AJ22" i="6" s="1"/>
  <c r="BC22" i="6"/>
  <c r="N54" i="87"/>
  <c r="B54" i="87"/>
  <c r="O55" i="87"/>
  <c r="C55" i="87" s="1"/>
  <c r="E54" i="87"/>
  <c r="I54" i="87"/>
  <c r="M54" i="87"/>
  <c r="F54" i="87"/>
  <c r="J54" i="87"/>
  <c r="G54" i="87"/>
  <c r="K54" i="87"/>
  <c r="D54" i="87"/>
  <c r="H54" i="87"/>
  <c r="L54" i="87"/>
  <c r="A50" i="87"/>
  <c r="U2052" i="3"/>
  <c r="X2052" i="3"/>
  <c r="U2036" i="3"/>
  <c r="X2036" i="3"/>
  <c r="M21" i="6"/>
  <c r="BD22" i="6"/>
  <c r="O22" i="6"/>
  <c r="I23" i="6"/>
  <c r="AE23" i="6"/>
  <c r="Y23" i="6"/>
  <c r="Q23" i="6"/>
  <c r="BV23" i="6"/>
  <c r="O23" i="6"/>
  <c r="AB23" i="6"/>
  <c r="T23" i="6"/>
  <c r="BS23" i="6"/>
  <c r="U23" i="6"/>
  <c r="AA23" i="6"/>
  <c r="AU23" i="6"/>
  <c r="AQ23" i="6"/>
  <c r="V23" i="6"/>
  <c r="BT23" i="6"/>
  <c r="AL23" i="6"/>
  <c r="AO23" i="6"/>
  <c r="AC23" i="6"/>
  <c r="AD23" i="6"/>
  <c r="AP23" i="6"/>
  <c r="AX23" i="6"/>
  <c r="AW23" i="6"/>
  <c r="AR23" i="6"/>
  <c r="AS23" i="6"/>
  <c r="X8" i="88" l="1"/>
  <c r="A94" i="88" s="1"/>
  <c r="S23" i="6"/>
  <c r="P22" i="6"/>
  <c r="AV23" i="6"/>
  <c r="W23" i="6"/>
  <c r="AK22" i="6"/>
  <c r="AM23" i="6"/>
  <c r="BA23" i="6"/>
  <c r="AT23" i="6"/>
  <c r="AZ23" i="6"/>
  <c r="X23" i="6"/>
  <c r="Z23" i="6"/>
  <c r="AF23" i="6" l="1"/>
  <c r="AN23" i="6"/>
  <c r="AY23" i="6" l="1"/>
  <c r="BR23" i="6"/>
  <c r="AH23" i="6"/>
  <c r="AI23" i="6" l="1"/>
  <c r="BC23" i="6"/>
  <c r="N55" i="87"/>
  <c r="B55" i="87"/>
  <c r="O56" i="87"/>
  <c r="C56" i="87" s="1"/>
  <c r="F55" i="87"/>
  <c r="J55" i="87"/>
  <c r="G55" i="87"/>
  <c r="K55" i="87"/>
  <c r="D55" i="87"/>
  <c r="H55" i="87"/>
  <c r="L55" i="87"/>
  <c r="I55" i="87"/>
  <c r="E55" i="87"/>
  <c r="M55" i="87"/>
  <c r="A51" i="87"/>
  <c r="G23" i="6"/>
  <c r="BQ23" i="6"/>
  <c r="F23" i="6"/>
  <c r="BD23" i="6"/>
  <c r="K23" i="6" l="1"/>
  <c r="L21" i="6"/>
  <c r="N21" i="6" s="1"/>
  <c r="N56" i="87"/>
  <c r="B56" i="87"/>
  <c r="O57" i="87"/>
  <c r="C57" i="87" s="1"/>
  <c r="G56" i="87"/>
  <c r="K56" i="87"/>
  <c r="D56" i="87"/>
  <c r="H56" i="87"/>
  <c r="L56" i="87"/>
  <c r="E56" i="87"/>
  <c r="I56" i="87"/>
  <c r="M56" i="87"/>
  <c r="J56" i="87"/>
  <c r="F56" i="87"/>
  <c r="A52" i="87"/>
  <c r="M22" i="6"/>
  <c r="BN22" i="6"/>
  <c r="B24" i="6"/>
  <c r="D24" i="6" s="1"/>
  <c r="BO25" i="6"/>
  <c r="BL14" i="6"/>
  <c r="A23" i="6"/>
  <c r="BH23" i="6"/>
  <c r="BI23" i="6"/>
  <c r="AG23" i="6"/>
  <c r="BK23" i="6"/>
  <c r="AJ23" i="6" l="1"/>
  <c r="R24" i="6"/>
  <c r="N57" i="87"/>
  <c r="B57" i="87"/>
  <c r="O58" i="87"/>
  <c r="C58" i="87" s="1"/>
  <c r="D57" i="87"/>
  <c r="H57" i="87"/>
  <c r="L57" i="87"/>
  <c r="E57" i="87"/>
  <c r="I57" i="87"/>
  <c r="M57" i="87"/>
  <c r="F57" i="87"/>
  <c r="J57" i="87"/>
  <c r="G57" i="87"/>
  <c r="K57" i="87"/>
  <c r="A53" i="87"/>
  <c r="BP25" i="6"/>
  <c r="BJ23" i="6"/>
  <c r="BU23" i="6"/>
  <c r="C24" i="6"/>
  <c r="BV24" i="6"/>
  <c r="AK23" i="6"/>
  <c r="H24" i="6"/>
  <c r="L22" i="6" l="1"/>
  <c r="N22" i="6" s="1"/>
  <c r="N58" i="87"/>
  <c r="B58" i="87"/>
  <c r="O59" i="87"/>
  <c r="C59" i="87" s="1"/>
  <c r="E58" i="87"/>
  <c r="I58" i="87"/>
  <c r="M58" i="87"/>
  <c r="F58" i="87"/>
  <c r="J58" i="87"/>
  <c r="G58" i="87"/>
  <c r="K58" i="87"/>
  <c r="H58" i="87"/>
  <c r="D58" i="87"/>
  <c r="L58" i="87"/>
  <c r="A54" i="87"/>
  <c r="P23" i="6"/>
  <c r="BN23" i="6"/>
  <c r="B25" i="6"/>
  <c r="D25" i="6" s="1"/>
  <c r="BL15" i="6"/>
  <c r="BO26" i="6"/>
  <c r="A24" i="6"/>
  <c r="BH24" i="6"/>
  <c r="BI24" i="6"/>
  <c r="BQ24" i="6"/>
  <c r="F24" i="6"/>
  <c r="BT24" i="6"/>
  <c r="G24" i="6"/>
  <c r="I24" i="6"/>
  <c r="X24" i="6"/>
  <c r="T24" i="6"/>
  <c r="AR24" i="6"/>
  <c r="V24" i="6"/>
  <c r="AX24" i="6"/>
  <c r="AS24" i="6"/>
  <c r="AU24" i="6"/>
  <c r="AD24" i="6"/>
  <c r="W24" i="6"/>
  <c r="BU24" i="6"/>
  <c r="BS24" i="6"/>
  <c r="U24" i="6"/>
  <c r="BP26" i="6"/>
  <c r="AW24" i="6"/>
  <c r="AP24" i="6"/>
  <c r="AE24" i="6"/>
  <c r="K24" i="6" l="1"/>
  <c r="R25" i="6"/>
  <c r="N59" i="87"/>
  <c r="B59" i="87"/>
  <c r="O60" i="87"/>
  <c r="C60" i="87" s="1"/>
  <c r="F59" i="87"/>
  <c r="J59" i="87"/>
  <c r="G59" i="87"/>
  <c r="K59" i="87"/>
  <c r="D59" i="87"/>
  <c r="H59" i="87"/>
  <c r="L59" i="87"/>
  <c r="M59" i="87"/>
  <c r="I59" i="87"/>
  <c r="E59" i="87"/>
  <c r="A55" i="87"/>
  <c r="AN24" i="6"/>
  <c r="BU25" i="6"/>
  <c r="AQ24" i="6"/>
  <c r="AV24" i="6"/>
  <c r="BT25" i="6"/>
  <c r="AA24" i="6"/>
  <c r="AM24" i="6"/>
  <c r="BJ24" i="6"/>
  <c r="I25" i="6"/>
  <c r="AB24" i="6"/>
  <c r="C25" i="6"/>
  <c r="AC24" i="6"/>
  <c r="Z24" i="6"/>
  <c r="Y24" i="6"/>
  <c r="H25" i="6"/>
  <c r="Q24" i="6"/>
  <c r="S24" i="6" l="1"/>
  <c r="AF24" i="6" s="1"/>
  <c r="AO24" i="6"/>
  <c r="Y25" i="6"/>
  <c r="BS25" i="6"/>
  <c r="F25" i="6"/>
  <c r="AL24" i="6"/>
  <c r="AT24" i="6"/>
  <c r="AH24" i="6"/>
  <c r="AP25" i="6"/>
  <c r="AS25" i="6"/>
  <c r="AY24" i="6" l="1"/>
  <c r="U25" i="6"/>
  <c r="AA25" i="6"/>
  <c r="W25" i="6"/>
  <c r="AE25" i="6"/>
  <c r="AO25" i="6"/>
  <c r="T25" i="6"/>
  <c r="AR25" i="6"/>
  <c r="AG24" i="6"/>
  <c r="AW25" i="6"/>
  <c r="BA24" i="6"/>
  <c r="AB25" i="6"/>
  <c r="BK24" i="6"/>
  <c r="G25" i="6"/>
  <c r="BV25" i="6"/>
  <c r="Q25" i="6"/>
  <c r="AQ25" i="6"/>
  <c r="AM25" i="6"/>
  <c r="AC25" i="6"/>
  <c r="O24" i="6"/>
  <c r="AV25" i="6"/>
  <c r="AZ24" i="6"/>
  <c r="BR24" i="6"/>
  <c r="AL25" i="6"/>
  <c r="AX25" i="6"/>
  <c r="BR25" i="6"/>
  <c r="K25" i="6" l="1"/>
  <c r="S25" i="6"/>
  <c r="AI24" i="6"/>
  <c r="AJ24" i="6" s="1"/>
  <c r="BC24" i="6"/>
  <c r="L23" i="6"/>
  <c r="N60" i="87"/>
  <c r="B60" i="87"/>
  <c r="O61" i="87"/>
  <c r="C61" i="87" s="1"/>
  <c r="G60" i="87"/>
  <c r="K60" i="87"/>
  <c r="D60" i="87"/>
  <c r="H60" i="87"/>
  <c r="L60" i="87"/>
  <c r="E60" i="87"/>
  <c r="I60" i="87"/>
  <c r="M60" i="87"/>
  <c r="F60" i="87"/>
  <c r="J60" i="87"/>
  <c r="A56" i="87"/>
  <c r="P24" i="6"/>
  <c r="BN24" i="6"/>
  <c r="B26" i="6"/>
  <c r="D26" i="6" s="1"/>
  <c r="BO27" i="6"/>
  <c r="BL16" i="6"/>
  <c r="A25" i="6"/>
  <c r="BH25" i="6"/>
  <c r="BI25" i="6"/>
  <c r="A6752" i="3"/>
  <c r="A6753" i="3"/>
  <c r="A6754" i="3"/>
  <c r="A6755" i="3"/>
  <c r="P6506" i="3"/>
  <c r="O6506" i="3"/>
  <c r="BQ25" i="6"/>
  <c r="AH25" i="6"/>
  <c r="AZ25" i="6"/>
  <c r="BD24" i="6"/>
  <c r="V25" i="6"/>
  <c r="AU25" i="6"/>
  <c r="AG25" i="6"/>
  <c r="AD25" i="6"/>
  <c r="Z25" i="6"/>
  <c r="AN25" i="6"/>
  <c r="AT25" i="6"/>
  <c r="BA25" i="6"/>
  <c r="AY25" i="6" l="1"/>
  <c r="R26" i="6"/>
  <c r="AI25" i="6"/>
  <c r="AJ25" i="6" s="1"/>
  <c r="BC25" i="6"/>
  <c r="M23" i="6"/>
  <c r="N23" i="6" s="1"/>
  <c r="N61" i="87"/>
  <c r="B61" i="87"/>
  <c r="O62" i="87"/>
  <c r="C62" i="87" s="1"/>
  <c r="D61" i="87"/>
  <c r="H61" i="87"/>
  <c r="L61" i="87"/>
  <c r="E61" i="87"/>
  <c r="I61" i="87"/>
  <c r="M61" i="87"/>
  <c r="F61" i="87"/>
  <c r="J61" i="87"/>
  <c r="G61" i="87"/>
  <c r="K61" i="87"/>
  <c r="A57" i="87"/>
  <c r="I26" i="6"/>
  <c r="BP27" i="6"/>
  <c r="H26" i="6"/>
  <c r="F26" i="6"/>
  <c r="X25" i="6"/>
  <c r="C26" i="6"/>
  <c r="AF25" i="6" l="1"/>
  <c r="AP26" i="6"/>
  <c r="Z26" i="6"/>
  <c r="AE26" i="6"/>
  <c r="U26" i="6"/>
  <c r="AU26" i="6"/>
  <c r="G26" i="6"/>
  <c r="AL26" i="6"/>
  <c r="AT26" i="6"/>
  <c r="AK24" i="6"/>
  <c r="AA26" i="6"/>
  <c r="O25" i="6"/>
  <c r="AX26" i="6"/>
  <c r="BK25" i="6"/>
  <c r="AB26" i="6"/>
  <c r="BJ25" i="6"/>
  <c r="X26" i="6"/>
  <c r="BV26" i="6"/>
  <c r="AS26" i="6"/>
  <c r="AM26" i="6"/>
  <c r="Q26" i="6"/>
  <c r="AR26" i="6"/>
  <c r="T26" i="6"/>
  <c r="V26" i="6"/>
  <c r="AD26" i="6"/>
  <c r="BU26" i="6"/>
  <c r="AW26" i="6"/>
  <c r="AC26" i="6"/>
  <c r="BD25" i="6"/>
  <c r="K26" i="6" l="1"/>
  <c r="S26" i="6"/>
  <c r="L24" i="6"/>
  <c r="N62" i="87"/>
  <c r="B62" i="87"/>
  <c r="O63" i="87"/>
  <c r="C63" i="87" s="1"/>
  <c r="E62" i="87"/>
  <c r="I62" i="87"/>
  <c r="M62" i="87"/>
  <c r="F62" i="87"/>
  <c r="G62" i="87"/>
  <c r="K62" i="87"/>
  <c r="J62" i="87"/>
  <c r="L62" i="87"/>
  <c r="H62" i="87"/>
  <c r="D62" i="87"/>
  <c r="A58" i="87"/>
  <c r="P25" i="6"/>
  <c r="BN25" i="6"/>
  <c r="B27" i="6"/>
  <c r="D27" i="6" s="1"/>
  <c r="BL17" i="6"/>
  <c r="BO28" i="6"/>
  <c r="A26" i="6"/>
  <c r="BH26" i="6"/>
  <c r="BI26" i="6"/>
  <c r="N3849" i="3"/>
  <c r="D3849" i="3"/>
  <c r="N3870" i="3"/>
  <c r="D3870" i="3"/>
  <c r="N1006" i="3"/>
  <c r="D1006" i="3"/>
  <c r="A1006" i="3"/>
  <c r="W1006" i="3" s="1"/>
  <c r="N867" i="3"/>
  <c r="D867" i="3"/>
  <c r="A867" i="3"/>
  <c r="W867" i="3" s="1"/>
  <c r="D2184" i="3"/>
  <c r="A2184" i="3"/>
  <c r="D2183" i="3"/>
  <c r="A2183" i="3"/>
  <c r="D2182" i="3"/>
  <c r="A2182" i="3"/>
  <c r="D2164" i="3"/>
  <c r="A2164" i="3"/>
  <c r="D2163" i="3"/>
  <c r="A2163" i="3"/>
  <c r="D2162" i="3"/>
  <c r="A2162" i="3"/>
  <c r="A2071" i="3"/>
  <c r="D2071" i="3"/>
  <c r="D2139" i="3"/>
  <c r="A2139" i="3"/>
  <c r="D2141" i="3"/>
  <c r="A2141" i="3"/>
  <c r="D2095" i="3"/>
  <c r="A2095" i="3"/>
  <c r="D2093" i="3"/>
  <c r="A2093" i="3"/>
  <c r="D2072" i="3"/>
  <c r="A2072" i="3"/>
  <c r="D2070" i="3"/>
  <c r="A2070" i="3"/>
  <c r="Y26" i="6"/>
  <c r="AO26" i="6"/>
  <c r="BT26" i="6"/>
  <c r="BP28" i="6"/>
  <c r="AQ26" i="6"/>
  <c r="AH26" i="6"/>
  <c r="AV26" i="6"/>
  <c r="AZ26" i="6"/>
  <c r="BS26" i="6"/>
  <c r="O26" i="6"/>
  <c r="W26" i="6"/>
  <c r="AN26" i="6"/>
  <c r="AY26" i="6" l="1"/>
  <c r="AF26" i="6"/>
  <c r="BQ26" i="6"/>
  <c r="C27" i="6"/>
  <c r="BR26" i="6"/>
  <c r="AK25" i="6"/>
  <c r="BA26" i="6"/>
  <c r="H27" i="6"/>
  <c r="AG26" i="6"/>
  <c r="R27" i="6" l="1"/>
  <c r="AI26" i="6"/>
  <c r="AJ26" i="6" s="1"/>
  <c r="BC26" i="6"/>
  <c r="N63" i="87"/>
  <c r="B63" i="87"/>
  <c r="O64" i="87"/>
  <c r="C64" i="87" s="1"/>
  <c r="F63" i="87"/>
  <c r="J63" i="87"/>
  <c r="D63" i="87"/>
  <c r="H63" i="87"/>
  <c r="L63" i="87"/>
  <c r="G63" i="87"/>
  <c r="E63" i="87"/>
  <c r="I63" i="87"/>
  <c r="M63" i="87"/>
  <c r="K63" i="87"/>
  <c r="A59" i="87"/>
  <c r="U3870" i="3"/>
  <c r="X3870" i="3"/>
  <c r="U3849" i="3"/>
  <c r="X3849" i="3"/>
  <c r="BV27" i="6"/>
  <c r="BJ26" i="6"/>
  <c r="BD26" i="6"/>
  <c r="M24" i="6" l="1"/>
  <c r="N24" i="6" s="1"/>
  <c r="N64" i="87"/>
  <c r="B64" i="87"/>
  <c r="O65" i="87"/>
  <c r="C65" i="87" s="1"/>
  <c r="G64" i="87"/>
  <c r="K64" i="87"/>
  <c r="E64" i="87"/>
  <c r="I64" i="87"/>
  <c r="M64" i="87"/>
  <c r="D64" i="87"/>
  <c r="L64" i="87"/>
  <c r="J64" i="87"/>
  <c r="F64" i="87"/>
  <c r="H64" i="87"/>
  <c r="A60" i="87"/>
  <c r="P26" i="6"/>
  <c r="BT27" i="6"/>
  <c r="AK26" i="6"/>
  <c r="G27" i="6"/>
  <c r="BR27" i="6"/>
  <c r="N65" i="87" l="1"/>
  <c r="B65" i="87"/>
  <c r="O66" i="87"/>
  <c r="C66" i="87" s="1"/>
  <c r="D65" i="87"/>
  <c r="H65" i="87"/>
  <c r="L65" i="87"/>
  <c r="F65" i="87"/>
  <c r="J65" i="87"/>
  <c r="I65" i="87"/>
  <c r="K65" i="87"/>
  <c r="G65" i="87"/>
  <c r="E65" i="87"/>
  <c r="M65" i="87"/>
  <c r="A61" i="87"/>
  <c r="BS27" i="6"/>
  <c r="BU27" i="6"/>
  <c r="F27" i="6"/>
  <c r="I27" i="6"/>
  <c r="AD27" i="6"/>
  <c r="T27" i="6"/>
  <c r="AB27" i="6"/>
  <c r="U27" i="6"/>
  <c r="AO27" i="6"/>
  <c r="Y27" i="6"/>
  <c r="AN27" i="6"/>
  <c r="AV27" i="6"/>
  <c r="AA27" i="6"/>
  <c r="Q27" i="6"/>
  <c r="AE27" i="6"/>
  <c r="AS27" i="6"/>
  <c r="X27" i="6"/>
  <c r="V27" i="6"/>
  <c r="Z27" i="6"/>
  <c r="AC27" i="6"/>
  <c r="K27" i="6" l="1"/>
  <c r="S27" i="6"/>
  <c r="L25" i="6"/>
  <c r="N66" i="87"/>
  <c r="B66" i="87"/>
  <c r="O67" i="87"/>
  <c r="C67" i="87" s="1"/>
  <c r="D66" i="87"/>
  <c r="H66" i="87"/>
  <c r="L66" i="87"/>
  <c r="K66" i="87"/>
  <c r="E66" i="87"/>
  <c r="I66" i="87"/>
  <c r="M66" i="87"/>
  <c r="G66" i="87"/>
  <c r="F66" i="87"/>
  <c r="J66" i="87"/>
  <c r="A62" i="87"/>
  <c r="M25" i="6"/>
  <c r="AL27" i="6"/>
  <c r="W27" i="6"/>
  <c r="BK26" i="6"/>
  <c r="AU27" i="6"/>
  <c r="AP27" i="6"/>
  <c r="AM27" i="6"/>
  <c r="AX27" i="6"/>
  <c r="AW27" i="6"/>
  <c r="AT27" i="6"/>
  <c r="AQ27" i="6"/>
  <c r="AR27" i="6"/>
  <c r="N25" i="6" l="1"/>
  <c r="AF27" i="6"/>
  <c r="BA27" i="6"/>
  <c r="AY27" i="6" l="1"/>
  <c r="W71" i="83"/>
  <c r="N67" i="87"/>
  <c r="B67" i="87"/>
  <c r="O68" i="87"/>
  <c r="C68" i="87" s="1"/>
  <c r="E67" i="87"/>
  <c r="I67" i="87"/>
  <c r="M67" i="87"/>
  <c r="H67" i="87"/>
  <c r="F67" i="87"/>
  <c r="J67" i="87"/>
  <c r="D67" i="87"/>
  <c r="L67" i="87"/>
  <c r="G67" i="87"/>
  <c r="K67" i="87"/>
  <c r="A63" i="87"/>
  <c r="G71" i="83"/>
  <c r="BQ27" i="6"/>
  <c r="O27" i="6"/>
  <c r="AG27" i="6"/>
  <c r="C71" i="83" l="1"/>
  <c r="W72" i="83"/>
  <c r="L26" i="6"/>
  <c r="N68" i="87"/>
  <c r="B68" i="87"/>
  <c r="O69" i="87"/>
  <c r="C69" i="87" s="1"/>
  <c r="F68" i="87"/>
  <c r="J68" i="87"/>
  <c r="E68" i="87"/>
  <c r="M68" i="87"/>
  <c r="G68" i="87"/>
  <c r="K68" i="87"/>
  <c r="I68" i="87"/>
  <c r="D68" i="87"/>
  <c r="H68" i="87"/>
  <c r="L68" i="87"/>
  <c r="A64" i="87"/>
  <c r="M26" i="6"/>
  <c r="BN26" i="6"/>
  <c r="B28" i="6"/>
  <c r="D28" i="6" s="1"/>
  <c r="BO29" i="6"/>
  <c r="BL18" i="6"/>
  <c r="BL19" i="6" s="1"/>
  <c r="BL20" i="6" s="1"/>
  <c r="A27" i="6"/>
  <c r="BH27" i="6"/>
  <c r="BI27" i="6"/>
  <c r="BK27" i="6"/>
  <c r="BJ27" i="6"/>
  <c r="BP29" i="6"/>
  <c r="AZ27" i="6"/>
  <c r="G72" i="83"/>
  <c r="AH27" i="6"/>
  <c r="N26" i="6" l="1"/>
  <c r="BC27" i="6"/>
  <c r="AI27" i="6"/>
  <c r="AJ27" i="6" s="1"/>
  <c r="R28" i="6"/>
  <c r="C72" i="83"/>
  <c r="W73" i="83"/>
  <c r="E71" i="83"/>
  <c r="P71" i="83"/>
  <c r="M71" i="83"/>
  <c r="N69" i="87"/>
  <c r="B69" i="87"/>
  <c r="O70" i="87"/>
  <c r="C70" i="87" s="1"/>
  <c r="G69" i="87"/>
  <c r="K69" i="87"/>
  <c r="F69" i="87"/>
  <c r="D69" i="87"/>
  <c r="H69" i="87"/>
  <c r="L69" i="87"/>
  <c r="J69" i="87"/>
  <c r="E69" i="87"/>
  <c r="I69" i="87"/>
  <c r="M69" i="87"/>
  <c r="A65" i="87"/>
  <c r="P27" i="6"/>
  <c r="BN27" i="6"/>
  <c r="B29" i="6"/>
  <c r="D29" i="6" s="1"/>
  <c r="BL21" i="6"/>
  <c r="BL22" i="6" s="1"/>
  <c r="BL23" i="6" s="1"/>
  <c r="BO30" i="6"/>
  <c r="A28" i="6"/>
  <c r="BH28" i="6"/>
  <c r="BI28" i="6"/>
  <c r="N17" i="3"/>
  <c r="D17" i="3"/>
  <c r="N20" i="3"/>
  <c r="D20" i="3"/>
  <c r="N19" i="3"/>
  <c r="D19" i="3"/>
  <c r="A19" i="3"/>
  <c r="N18" i="3"/>
  <c r="D18" i="3"/>
  <c r="U6028" i="3"/>
  <c r="D6028" i="3"/>
  <c r="A6028" i="3"/>
  <c r="U6027" i="3"/>
  <c r="D6027" i="3"/>
  <c r="A6027" i="3"/>
  <c r="U6026" i="3"/>
  <c r="D6026" i="3"/>
  <c r="A6026" i="3"/>
  <c r="U6025" i="3"/>
  <c r="L6025" i="3"/>
  <c r="D6025" i="3"/>
  <c r="A6025" i="3"/>
  <c r="U6024" i="3"/>
  <c r="D6024" i="3"/>
  <c r="A6024" i="3"/>
  <c r="U6023" i="3"/>
  <c r="D6023" i="3"/>
  <c r="A6023" i="3"/>
  <c r="U6022" i="3"/>
  <c r="D6022" i="3"/>
  <c r="A6022" i="3"/>
  <c r="U6021" i="3"/>
  <c r="D6021" i="3"/>
  <c r="A6021" i="3"/>
  <c r="U6020" i="3"/>
  <c r="D6020" i="3"/>
  <c r="A6020" i="3"/>
  <c r="U6019" i="3"/>
  <c r="D6019" i="3"/>
  <c r="A6019" i="3"/>
  <c r="U6018" i="3"/>
  <c r="L6018" i="3"/>
  <c r="D6018" i="3"/>
  <c r="N3880" i="3"/>
  <c r="D3880" i="3"/>
  <c r="D3859" i="3"/>
  <c r="N3859" i="3"/>
  <c r="O28" i="6"/>
  <c r="H28" i="6"/>
  <c r="BT28" i="6"/>
  <c r="BS28" i="6"/>
  <c r="BR28" i="6"/>
  <c r="G73" i="83"/>
  <c r="F28" i="6"/>
  <c r="I28" i="6"/>
  <c r="V28" i="6"/>
  <c r="BK28" i="6"/>
  <c r="BD27" i="6"/>
  <c r="BU28" i="6"/>
  <c r="T28" i="6"/>
  <c r="G28" i="6"/>
  <c r="Z28" i="6"/>
  <c r="AL28" i="6"/>
  <c r="C28" i="6"/>
  <c r="BQ28" i="6"/>
  <c r="Y28" i="6"/>
  <c r="BV28" i="6"/>
  <c r="AO28" i="6"/>
  <c r="AW28" i="6"/>
  <c r="AC28" i="6"/>
  <c r="AK27" i="6"/>
  <c r="AM28" i="6"/>
  <c r="U28" i="6"/>
  <c r="AT28" i="6"/>
  <c r="AD28" i="6"/>
  <c r="AB28" i="6"/>
  <c r="X28" i="6"/>
  <c r="AS28" i="6"/>
  <c r="AE28" i="6"/>
  <c r="Q28" i="6"/>
  <c r="K28" i="6" l="1"/>
  <c r="R29" i="6"/>
  <c r="S28" i="6"/>
  <c r="C73" i="83"/>
  <c r="E72" i="83"/>
  <c r="P72" i="83"/>
  <c r="M72" i="83"/>
  <c r="Q72" i="83"/>
  <c r="J72" i="83" s="1"/>
  <c r="N70" i="87"/>
  <c r="B70" i="87"/>
  <c r="O71" i="87"/>
  <c r="C71" i="87" s="1"/>
  <c r="D70" i="87"/>
  <c r="H70" i="87"/>
  <c r="L70" i="87"/>
  <c r="K70" i="87"/>
  <c r="E70" i="87"/>
  <c r="I70" i="87"/>
  <c r="M70" i="87"/>
  <c r="G70" i="87"/>
  <c r="F70" i="87"/>
  <c r="J70" i="87"/>
  <c r="A66" i="87"/>
  <c r="U3880" i="3"/>
  <c r="X3880" i="3"/>
  <c r="U3859" i="3"/>
  <c r="X3859" i="3"/>
  <c r="AG28" i="6"/>
  <c r="AX28" i="6"/>
  <c r="AZ28" i="6"/>
  <c r="C29" i="6"/>
  <c r="AH28" i="6"/>
  <c r="AR28" i="6"/>
  <c r="H29" i="6"/>
  <c r="AQ28" i="6"/>
  <c r="F29" i="6"/>
  <c r="AN28" i="6"/>
  <c r="BA28" i="6"/>
  <c r="AA28" i="6"/>
  <c r="AV28" i="6"/>
  <c r="W28" i="6"/>
  <c r="AP28" i="6"/>
  <c r="AU28" i="6"/>
  <c r="AF28" i="6" l="1"/>
  <c r="AY28" i="6"/>
  <c r="AI28" i="6"/>
  <c r="AJ28" i="6" s="1"/>
  <c r="BC28" i="6"/>
  <c r="E73" i="83"/>
  <c r="P73" i="83"/>
  <c r="M73" i="83"/>
  <c r="BP30" i="6"/>
  <c r="BT29" i="6"/>
  <c r="I29" i="6"/>
  <c r="AA29" i="6"/>
  <c r="AS29" i="6"/>
  <c r="AV29" i="6"/>
  <c r="AE29" i="6"/>
  <c r="U29" i="6"/>
  <c r="AL29" i="6"/>
  <c r="Q29" i="6"/>
  <c r="BJ28" i="6"/>
  <c r="G29" i="6"/>
  <c r="BD28" i="6"/>
  <c r="Z29" i="6"/>
  <c r="AM29" i="6"/>
  <c r="Y29" i="6"/>
  <c r="AC29" i="6"/>
  <c r="T29" i="6"/>
  <c r="AB29" i="6"/>
  <c r="V29" i="6"/>
  <c r="AP29" i="6"/>
  <c r="W29" i="6"/>
  <c r="AD29" i="6"/>
  <c r="AN29" i="6"/>
  <c r="AW29" i="6"/>
  <c r="AQ29" i="6"/>
  <c r="AX29" i="6"/>
  <c r="AU29" i="6"/>
  <c r="X29" i="6"/>
  <c r="K29" i="6" l="1"/>
  <c r="S29" i="6"/>
  <c r="AF29" i="6" s="1"/>
  <c r="L27" i="6"/>
  <c r="N71" i="87"/>
  <c r="B71" i="87"/>
  <c r="O72" i="87"/>
  <c r="C72" i="87" s="1"/>
  <c r="E71" i="87"/>
  <c r="I71" i="87"/>
  <c r="M71" i="87"/>
  <c r="H71" i="87"/>
  <c r="F71" i="87"/>
  <c r="J71" i="87"/>
  <c r="D71" i="87"/>
  <c r="L71" i="87"/>
  <c r="G71" i="87"/>
  <c r="K71" i="87"/>
  <c r="A67" i="87"/>
  <c r="M27" i="6"/>
  <c r="P28" i="6"/>
  <c r="BN28" i="6"/>
  <c r="B30" i="6"/>
  <c r="D30" i="6" s="1"/>
  <c r="BO31" i="6"/>
  <c r="BL24" i="6"/>
  <c r="A29" i="6"/>
  <c r="BH29" i="6"/>
  <c r="BI29" i="6"/>
  <c r="N3848" i="3"/>
  <c r="D3848" i="3"/>
  <c r="D3869" i="3"/>
  <c r="N3869" i="3"/>
  <c r="O6862" i="3"/>
  <c r="N6862" i="3"/>
  <c r="U6862" i="3" s="1"/>
  <c r="N1081" i="3"/>
  <c r="D1081" i="3"/>
  <c r="A1081" i="3"/>
  <c r="W1081" i="3" s="1"/>
  <c r="N1080" i="3"/>
  <c r="D1080" i="3"/>
  <c r="A1080" i="3"/>
  <c r="W1080" i="3" s="1"/>
  <c r="N1079" i="3"/>
  <c r="D1079" i="3"/>
  <c r="A1079" i="3"/>
  <c r="W1079" i="3" s="1"/>
  <c r="N1078" i="3"/>
  <c r="D1078" i="3"/>
  <c r="A1078" i="3"/>
  <c r="W1078" i="3" s="1"/>
  <c r="N1077" i="3"/>
  <c r="D1077" i="3"/>
  <c r="A1077" i="3"/>
  <c r="W1077" i="3" s="1"/>
  <c r="N1076" i="3"/>
  <c r="D1076" i="3"/>
  <c r="A1076" i="3"/>
  <c r="W1076" i="3" s="1"/>
  <c r="N1075" i="3"/>
  <c r="D1075" i="3"/>
  <c r="A1075" i="3"/>
  <c r="W1075" i="3" s="1"/>
  <c r="N1074" i="3"/>
  <c r="D1074" i="3"/>
  <c r="A1074" i="3"/>
  <c r="W1074" i="3" s="1"/>
  <c r="N1073" i="3"/>
  <c r="D1073" i="3"/>
  <c r="A1073" i="3"/>
  <c r="W1073" i="3" s="1"/>
  <c r="N1072" i="3"/>
  <c r="D1072" i="3"/>
  <c r="A1072" i="3"/>
  <c r="W1072" i="3" s="1"/>
  <c r="N1071" i="3"/>
  <c r="D1071" i="3"/>
  <c r="A1071" i="3"/>
  <c r="W1071" i="3" s="1"/>
  <c r="N1070" i="3"/>
  <c r="D1070" i="3"/>
  <c r="A1070" i="3"/>
  <c r="W1070" i="3" s="1"/>
  <c r="N1069" i="3"/>
  <c r="D1069" i="3"/>
  <c r="A1069" i="3"/>
  <c r="W1069" i="3" s="1"/>
  <c r="N1068" i="3"/>
  <c r="D1068" i="3"/>
  <c r="A1068" i="3"/>
  <c r="W1068" i="3" s="1"/>
  <c r="N1067" i="3"/>
  <c r="D1067" i="3"/>
  <c r="A1067" i="3"/>
  <c r="W1067" i="3" s="1"/>
  <c r="N1066" i="3"/>
  <c r="D1066" i="3"/>
  <c r="N3858" i="3"/>
  <c r="D3858" i="3"/>
  <c r="N3857" i="3"/>
  <c r="D3857" i="3"/>
  <c r="N3856" i="3"/>
  <c r="D3856" i="3"/>
  <c r="N3855" i="3"/>
  <c r="D3855" i="3"/>
  <c r="N3854" i="3"/>
  <c r="D3854" i="3"/>
  <c r="N3853" i="3"/>
  <c r="D3853" i="3"/>
  <c r="N3852" i="3"/>
  <c r="D3852" i="3"/>
  <c r="N3851" i="3"/>
  <c r="D3851" i="3"/>
  <c r="N3850" i="3"/>
  <c r="D3850" i="3"/>
  <c r="N3847" i="3"/>
  <c r="D3847" i="3"/>
  <c r="N3846" i="3"/>
  <c r="D3846" i="3"/>
  <c r="N3845" i="3"/>
  <c r="D3845" i="3"/>
  <c r="N3844" i="3"/>
  <c r="D3844" i="3"/>
  <c r="N3843" i="3"/>
  <c r="D3843" i="3"/>
  <c r="N3842" i="3"/>
  <c r="D3842" i="3"/>
  <c r="N3841" i="3"/>
  <c r="D3841" i="3"/>
  <c r="N3840" i="3"/>
  <c r="D3840" i="3"/>
  <c r="N3839" i="3"/>
  <c r="D3839" i="3"/>
  <c r="N6844" i="3"/>
  <c r="U6844" i="3" s="1"/>
  <c r="O6844" i="3"/>
  <c r="U5866" i="3"/>
  <c r="D5866" i="3"/>
  <c r="A5866" i="3"/>
  <c r="U5865" i="3"/>
  <c r="D5865" i="3"/>
  <c r="A5865" i="3"/>
  <c r="U5864" i="3"/>
  <c r="D5864" i="3"/>
  <c r="A5864" i="3"/>
  <c r="U5863" i="3"/>
  <c r="L5863" i="3"/>
  <c r="D5863" i="3"/>
  <c r="A5863" i="3"/>
  <c r="U5862" i="3"/>
  <c r="D5862" i="3"/>
  <c r="A5862" i="3"/>
  <c r="U5861" i="3"/>
  <c r="D5861" i="3"/>
  <c r="A5861" i="3"/>
  <c r="U5860" i="3"/>
  <c r="D5860" i="3"/>
  <c r="A5860" i="3"/>
  <c r="U5859" i="3"/>
  <c r="D5859" i="3"/>
  <c r="A5859" i="3"/>
  <c r="U5858" i="3"/>
  <c r="D5858" i="3"/>
  <c r="A5858" i="3"/>
  <c r="U5857" i="3"/>
  <c r="L5857" i="3"/>
  <c r="D5857" i="3"/>
  <c r="N824" i="3"/>
  <c r="L824" i="3"/>
  <c r="D824" i="3"/>
  <c r="A824" i="3"/>
  <c r="W824" i="3" s="1"/>
  <c r="N823" i="3"/>
  <c r="L823" i="3"/>
  <c r="D823" i="3"/>
  <c r="A823" i="3"/>
  <c r="W823" i="3" s="1"/>
  <c r="N822" i="3"/>
  <c r="L822" i="3"/>
  <c r="D822" i="3"/>
  <c r="A822" i="3"/>
  <c r="W822" i="3" s="1"/>
  <c r="N821" i="3"/>
  <c r="L821" i="3"/>
  <c r="D821" i="3"/>
  <c r="A821" i="3"/>
  <c r="W821" i="3" s="1"/>
  <c r="N820" i="3"/>
  <c r="D820" i="3"/>
  <c r="A820" i="3"/>
  <c r="W820" i="3" s="1"/>
  <c r="N819" i="3"/>
  <c r="D819" i="3"/>
  <c r="A819" i="3"/>
  <c r="W819" i="3" s="1"/>
  <c r="N818" i="3"/>
  <c r="D818" i="3"/>
  <c r="A818" i="3"/>
  <c r="W818" i="3" s="1"/>
  <c r="N817" i="3"/>
  <c r="D817" i="3"/>
  <c r="A817" i="3"/>
  <c r="W817" i="3" s="1"/>
  <c r="N816" i="3"/>
  <c r="D816" i="3"/>
  <c r="A816" i="3"/>
  <c r="W816" i="3" s="1"/>
  <c r="N815" i="3"/>
  <c r="D815" i="3"/>
  <c r="A815" i="3"/>
  <c r="W815" i="3" s="1"/>
  <c r="N814" i="3"/>
  <c r="L814" i="3"/>
  <c r="D814" i="3"/>
  <c r="A814" i="3"/>
  <c r="W814" i="3" s="1"/>
  <c r="N813" i="3"/>
  <c r="D813" i="3"/>
  <c r="A813" i="3"/>
  <c r="W813" i="3" s="1"/>
  <c r="N812" i="3"/>
  <c r="D812" i="3"/>
  <c r="A812" i="3"/>
  <c r="W812" i="3" s="1"/>
  <c r="N811" i="3"/>
  <c r="D811" i="3"/>
  <c r="A811" i="3"/>
  <c r="W811" i="3" s="1"/>
  <c r="N810" i="3"/>
  <c r="D810" i="3"/>
  <c r="A810" i="3"/>
  <c r="W810" i="3" s="1"/>
  <c r="N809" i="3"/>
  <c r="D809" i="3"/>
  <c r="A809" i="3"/>
  <c r="W809" i="3" s="1"/>
  <c r="N808" i="3"/>
  <c r="D808" i="3"/>
  <c r="A808" i="3"/>
  <c r="W808" i="3" s="1"/>
  <c r="N807" i="3"/>
  <c r="D807" i="3"/>
  <c r="A807" i="3"/>
  <c r="W807" i="3" s="1"/>
  <c r="N806" i="3"/>
  <c r="D806" i="3"/>
  <c r="A806" i="3"/>
  <c r="W806" i="3" s="1"/>
  <c r="N805" i="3"/>
  <c r="D805" i="3"/>
  <c r="A805" i="3"/>
  <c r="W805" i="3" s="1"/>
  <c r="N804" i="3"/>
  <c r="D804" i="3"/>
  <c r="U5856" i="3"/>
  <c r="D5856" i="3"/>
  <c r="A5856" i="3"/>
  <c r="U5855" i="3"/>
  <c r="D5855" i="3"/>
  <c r="A5855" i="3"/>
  <c r="U5854" i="3"/>
  <c r="D5854" i="3"/>
  <c r="A5854" i="3"/>
  <c r="U5853" i="3"/>
  <c r="L5853" i="3"/>
  <c r="D5853" i="3"/>
  <c r="A5853" i="3"/>
  <c r="U5852" i="3"/>
  <c r="D5852" i="3"/>
  <c r="A5852" i="3"/>
  <c r="U5851" i="3"/>
  <c r="D5851" i="3"/>
  <c r="A5851" i="3"/>
  <c r="U5850" i="3"/>
  <c r="D5850" i="3"/>
  <c r="A5850" i="3"/>
  <c r="U5849" i="3"/>
  <c r="D5849" i="3"/>
  <c r="A5849" i="3"/>
  <c r="U5848" i="3"/>
  <c r="D5848" i="3"/>
  <c r="A5848" i="3"/>
  <c r="U5847" i="3"/>
  <c r="L5847" i="3"/>
  <c r="D5847" i="3"/>
  <c r="N3547" i="3"/>
  <c r="D3547" i="3"/>
  <c r="N3522" i="3"/>
  <c r="D3522" i="3"/>
  <c r="N3515" i="3"/>
  <c r="D3515" i="3"/>
  <c r="AH29" i="6"/>
  <c r="AK28" i="6"/>
  <c r="BU29" i="6"/>
  <c r="BS29" i="6"/>
  <c r="BA29" i="6"/>
  <c r="BR29" i="6"/>
  <c r="AO29" i="6"/>
  <c r="AT29" i="6"/>
  <c r="BQ29" i="6"/>
  <c r="AR29" i="6"/>
  <c r="BV29" i="6"/>
  <c r="N27" i="6" l="1"/>
  <c r="R30" i="6"/>
  <c r="AI29" i="6"/>
  <c r="AY29" i="6"/>
  <c r="N72" i="87"/>
  <c r="B72" i="87"/>
  <c r="O73" i="87"/>
  <c r="C73" i="87" s="1"/>
  <c r="F72" i="87"/>
  <c r="J72" i="87"/>
  <c r="E72" i="87"/>
  <c r="M72" i="87"/>
  <c r="G72" i="87"/>
  <c r="K72" i="87"/>
  <c r="I72" i="87"/>
  <c r="D72" i="87"/>
  <c r="H72" i="87"/>
  <c r="L72" i="87"/>
  <c r="A68" i="87"/>
  <c r="U3522" i="3"/>
  <c r="X3522" i="3"/>
  <c r="U3841" i="3"/>
  <c r="X3841" i="3"/>
  <c r="U3845" i="3"/>
  <c r="X3845" i="3"/>
  <c r="U3851" i="3"/>
  <c r="X3851" i="3"/>
  <c r="U3855" i="3"/>
  <c r="X3855" i="3"/>
  <c r="U3848" i="3"/>
  <c r="X3848" i="3"/>
  <c r="U3840" i="3"/>
  <c r="X3840" i="3"/>
  <c r="U3844" i="3"/>
  <c r="X3844" i="3"/>
  <c r="U3850" i="3"/>
  <c r="X3850" i="3"/>
  <c r="U3854" i="3"/>
  <c r="X3854" i="3"/>
  <c r="U3858" i="3"/>
  <c r="X3858" i="3"/>
  <c r="U3515" i="3"/>
  <c r="X3515" i="3"/>
  <c r="U3839" i="3"/>
  <c r="X3839" i="3"/>
  <c r="U3843" i="3"/>
  <c r="X3843" i="3"/>
  <c r="U3847" i="3"/>
  <c r="X3847" i="3"/>
  <c r="U3853" i="3"/>
  <c r="X3853" i="3"/>
  <c r="U3857" i="3"/>
  <c r="X3857" i="3"/>
  <c r="U3547" i="3"/>
  <c r="X3547" i="3"/>
  <c r="U3842" i="3"/>
  <c r="X3842" i="3"/>
  <c r="U3846" i="3"/>
  <c r="X3846" i="3"/>
  <c r="U3852" i="3"/>
  <c r="X3852" i="3"/>
  <c r="U3856" i="3"/>
  <c r="X3856" i="3"/>
  <c r="U3869" i="3"/>
  <c r="X3869" i="3"/>
  <c r="F30" i="6"/>
  <c r="I30" i="6"/>
  <c r="BK29" i="6"/>
  <c r="AZ29" i="6"/>
  <c r="H30" i="6"/>
  <c r="C30" i="6"/>
  <c r="BC29" i="6" l="1"/>
  <c r="AG29" i="6"/>
  <c r="T30" i="6"/>
  <c r="AE30" i="6"/>
  <c r="BD29" i="6"/>
  <c r="AJ29" i="6" l="1"/>
  <c r="AR30" i="6"/>
  <c r="BP31" i="6"/>
  <c r="AX30" i="6"/>
  <c r="BJ29" i="6"/>
  <c r="AM30" i="6"/>
  <c r="AD30" i="6"/>
  <c r="AP30" i="6"/>
  <c r="BV30" i="6"/>
  <c r="Y30" i="6"/>
  <c r="AW30" i="6"/>
  <c r="Z30" i="6"/>
  <c r="U30" i="6"/>
  <c r="BS30" i="6"/>
  <c r="AS30" i="6"/>
  <c r="AQ30" i="6"/>
  <c r="AC30" i="6"/>
  <c r="AA30" i="6"/>
  <c r="Q30" i="6"/>
  <c r="AV30" i="6"/>
  <c r="G30" i="6"/>
  <c r="BU30" i="6"/>
  <c r="AL30" i="6"/>
  <c r="O29" i="6"/>
  <c r="BR30" i="6"/>
  <c r="AN30" i="6"/>
  <c r="W30" i="6"/>
  <c r="X30" i="6"/>
  <c r="BQ30" i="6"/>
  <c r="AT30" i="6"/>
  <c r="V30" i="6"/>
  <c r="K30" i="6" l="1"/>
  <c r="S30" i="6"/>
  <c r="L28" i="6"/>
  <c r="N73" i="87"/>
  <c r="B73" i="87"/>
  <c r="O74" i="87"/>
  <c r="C74" i="87" s="1"/>
  <c r="G73" i="87"/>
  <c r="K73" i="87"/>
  <c r="J73" i="87"/>
  <c r="D73" i="87"/>
  <c r="H73" i="87"/>
  <c r="L73" i="87"/>
  <c r="F73" i="87"/>
  <c r="E73" i="87"/>
  <c r="I73" i="87"/>
  <c r="M73" i="87"/>
  <c r="A69" i="87"/>
  <c r="AB30" i="6"/>
  <c r="AH30" i="6"/>
  <c r="BT30" i="6"/>
  <c r="AK29" i="6"/>
  <c r="AG30" i="6"/>
  <c r="AF30" i="6" l="1"/>
  <c r="AU30" i="6"/>
  <c r="AZ30" i="6"/>
  <c r="AO30" i="6"/>
  <c r="BA30" i="6"/>
  <c r="AY30" i="6" l="1"/>
  <c r="AI30" i="6"/>
  <c r="AJ30" i="6" s="1"/>
  <c r="BC30" i="6"/>
  <c r="N74" i="87"/>
  <c r="B74" i="87"/>
  <c r="O75" i="87"/>
  <c r="C75" i="87" s="1"/>
  <c r="D74" i="87"/>
  <c r="H74" i="87"/>
  <c r="L74" i="87"/>
  <c r="K74" i="87"/>
  <c r="E74" i="87"/>
  <c r="I74" i="87"/>
  <c r="M74" i="87"/>
  <c r="G74" i="87"/>
  <c r="F74" i="87"/>
  <c r="J74" i="87"/>
  <c r="A70" i="87"/>
  <c r="P29" i="6"/>
  <c r="BN29" i="6"/>
  <c r="B31" i="6"/>
  <c r="D31" i="6" s="1"/>
  <c r="BL25" i="6"/>
  <c r="BO32" i="6"/>
  <c r="A30" i="6"/>
  <c r="BH30" i="6"/>
  <c r="BI30" i="6"/>
  <c r="N3521" i="3"/>
  <c r="D3521" i="3"/>
  <c r="N3520" i="3"/>
  <c r="D3520" i="3"/>
  <c r="N3519" i="3"/>
  <c r="D3519" i="3"/>
  <c r="N3518" i="3"/>
  <c r="D3518" i="3"/>
  <c r="N3517" i="3"/>
  <c r="D3517" i="3"/>
  <c r="N3516" i="3"/>
  <c r="D3516" i="3"/>
  <c r="N3514" i="3"/>
  <c r="D3514" i="3"/>
  <c r="N3513" i="3"/>
  <c r="D3513" i="3"/>
  <c r="N3512" i="3"/>
  <c r="D3512" i="3"/>
  <c r="N3511" i="3"/>
  <c r="D3511" i="3"/>
  <c r="N3510" i="3"/>
  <c r="D3510" i="3"/>
  <c r="N3509" i="3"/>
  <c r="D3509" i="3"/>
  <c r="N3508" i="3"/>
  <c r="D3508" i="3"/>
  <c r="N3507" i="3"/>
  <c r="D3507" i="3"/>
  <c r="N3506" i="3"/>
  <c r="D3506" i="3"/>
  <c r="N3505" i="3"/>
  <c r="D3505" i="3"/>
  <c r="N3504" i="3"/>
  <c r="D3504" i="3"/>
  <c r="N3503" i="3"/>
  <c r="D3503" i="3"/>
  <c r="N3502" i="3"/>
  <c r="D3502" i="3"/>
  <c r="N3501" i="3"/>
  <c r="D3501" i="3"/>
  <c r="N3500" i="3"/>
  <c r="D3500" i="3"/>
  <c r="N3499" i="3"/>
  <c r="D3499" i="3"/>
  <c r="N3498" i="3"/>
  <c r="D3498" i="3"/>
  <c r="O6843" i="3"/>
  <c r="N6843" i="3"/>
  <c r="U6843" i="3" s="1"/>
  <c r="A787" i="3"/>
  <c r="W787" i="3" s="1"/>
  <c r="A788" i="3"/>
  <c r="W788" i="3" s="1"/>
  <c r="A789" i="3"/>
  <c r="W789" i="3" s="1"/>
  <c r="A790" i="3"/>
  <c r="W790" i="3" s="1"/>
  <c r="A791" i="3"/>
  <c r="W791" i="3" s="1"/>
  <c r="A792" i="3"/>
  <c r="W792" i="3" s="1"/>
  <c r="A793" i="3"/>
  <c r="W793" i="3" s="1"/>
  <c r="A794" i="3"/>
  <c r="W794" i="3" s="1"/>
  <c r="A795" i="3"/>
  <c r="W795" i="3" s="1"/>
  <c r="A796" i="3"/>
  <c r="W796" i="3" s="1"/>
  <c r="N791" i="3"/>
  <c r="D791" i="3"/>
  <c r="N786" i="3"/>
  <c r="D786" i="3"/>
  <c r="A786" i="3"/>
  <c r="W786" i="3" s="1"/>
  <c r="N789" i="3"/>
  <c r="D789" i="3"/>
  <c r="N803" i="3"/>
  <c r="L803" i="3"/>
  <c r="D803" i="3"/>
  <c r="A803" i="3"/>
  <c r="W803" i="3" s="1"/>
  <c r="N802" i="3"/>
  <c r="L802" i="3"/>
  <c r="D802" i="3"/>
  <c r="A802" i="3"/>
  <c r="W802" i="3" s="1"/>
  <c r="N801" i="3"/>
  <c r="L801" i="3"/>
  <c r="D801" i="3"/>
  <c r="A801" i="3"/>
  <c r="W801" i="3" s="1"/>
  <c r="N800" i="3"/>
  <c r="L800" i="3"/>
  <c r="D800" i="3"/>
  <c r="A800" i="3"/>
  <c r="W800" i="3" s="1"/>
  <c r="N799" i="3"/>
  <c r="D799" i="3"/>
  <c r="A799" i="3"/>
  <c r="W799" i="3" s="1"/>
  <c r="N798" i="3"/>
  <c r="D798" i="3"/>
  <c r="A798" i="3"/>
  <c r="W798" i="3" s="1"/>
  <c r="N797" i="3"/>
  <c r="D797" i="3"/>
  <c r="A797" i="3"/>
  <c r="W797" i="3" s="1"/>
  <c r="N796" i="3"/>
  <c r="D796" i="3"/>
  <c r="N795" i="3"/>
  <c r="D795" i="3"/>
  <c r="N794" i="3"/>
  <c r="D794" i="3"/>
  <c r="N793" i="3"/>
  <c r="L793" i="3"/>
  <c r="D793" i="3"/>
  <c r="N792" i="3"/>
  <c r="D792" i="3"/>
  <c r="N790" i="3"/>
  <c r="D790" i="3"/>
  <c r="N788" i="3"/>
  <c r="D788" i="3"/>
  <c r="N787" i="3"/>
  <c r="D787" i="3"/>
  <c r="N785" i="3"/>
  <c r="D785" i="3"/>
  <c r="A785" i="3"/>
  <c r="W785" i="3" s="1"/>
  <c r="N784" i="3"/>
  <c r="D784" i="3"/>
  <c r="A784" i="3"/>
  <c r="W784" i="3" s="1"/>
  <c r="N783" i="3"/>
  <c r="D783" i="3"/>
  <c r="BK30" i="6"/>
  <c r="BD30" i="6"/>
  <c r="BP32" i="6"/>
  <c r="R31" i="6" l="1"/>
  <c r="M28" i="6"/>
  <c r="N28" i="6" s="1"/>
  <c r="N75" i="87"/>
  <c r="B75" i="87"/>
  <c r="O76" i="87"/>
  <c r="C76" i="87" s="1"/>
  <c r="E75" i="87"/>
  <c r="I75" i="87"/>
  <c r="M75" i="87"/>
  <c r="H75" i="87"/>
  <c r="F75" i="87"/>
  <c r="J75" i="87"/>
  <c r="D75" i="87"/>
  <c r="G75" i="87"/>
  <c r="K75" i="87"/>
  <c r="L75" i="87"/>
  <c r="A71" i="87"/>
  <c r="U3520" i="3"/>
  <c r="X3520" i="3"/>
  <c r="U3499" i="3"/>
  <c r="X3499" i="3"/>
  <c r="U3501" i="3"/>
  <c r="X3501" i="3"/>
  <c r="U3503" i="3"/>
  <c r="X3503" i="3"/>
  <c r="U3505" i="3"/>
  <c r="X3505" i="3"/>
  <c r="U3507" i="3"/>
  <c r="X3507" i="3"/>
  <c r="U3509" i="3"/>
  <c r="X3509" i="3"/>
  <c r="U3511" i="3"/>
  <c r="X3511" i="3"/>
  <c r="U3513" i="3"/>
  <c r="X3513" i="3"/>
  <c r="U3516" i="3"/>
  <c r="X3516" i="3"/>
  <c r="U3519" i="3"/>
  <c r="X3519" i="3"/>
  <c r="U3518" i="3"/>
  <c r="X3518" i="3"/>
  <c r="U3498" i="3"/>
  <c r="X3498" i="3"/>
  <c r="U3500" i="3"/>
  <c r="X3500" i="3"/>
  <c r="U3502" i="3"/>
  <c r="X3502" i="3"/>
  <c r="U3504" i="3"/>
  <c r="X3504" i="3"/>
  <c r="U3506" i="3"/>
  <c r="X3506" i="3"/>
  <c r="U3508" i="3"/>
  <c r="X3508" i="3"/>
  <c r="U3510" i="3"/>
  <c r="X3510" i="3"/>
  <c r="U3512" i="3"/>
  <c r="X3512" i="3"/>
  <c r="U3514" i="3"/>
  <c r="X3514" i="3"/>
  <c r="U3517" i="3"/>
  <c r="X3517" i="3"/>
  <c r="U3521" i="3"/>
  <c r="X3521" i="3"/>
  <c r="BR31" i="6"/>
  <c r="AK30" i="6"/>
  <c r="BQ31" i="6"/>
  <c r="G31" i="6"/>
  <c r="H31" i="6"/>
  <c r="BT31" i="6"/>
  <c r="BS31" i="6"/>
  <c r="C31" i="6"/>
  <c r="F31" i="6"/>
  <c r="BU31" i="6"/>
  <c r="O30" i="6"/>
  <c r="I31" i="6"/>
  <c r="AL31" i="6"/>
  <c r="AT31" i="6"/>
  <c r="AA31" i="6"/>
  <c r="AE31" i="6"/>
  <c r="AX31" i="6"/>
  <c r="BV31" i="6"/>
  <c r="U31" i="6"/>
  <c r="AC31" i="6"/>
  <c r="BJ30" i="6"/>
  <c r="AD31" i="6"/>
  <c r="AU31" i="6"/>
  <c r="W31" i="6"/>
  <c r="AV31" i="6"/>
  <c r="AM31" i="6"/>
  <c r="T31" i="6"/>
  <c r="AS31" i="6"/>
  <c r="AB31" i="6"/>
  <c r="AP31" i="6"/>
  <c r="Q31" i="6"/>
  <c r="K31" i="6" l="1"/>
  <c r="S31" i="6"/>
  <c r="L29" i="6"/>
  <c r="N76" i="87"/>
  <c r="B76" i="87"/>
  <c r="O77" i="87"/>
  <c r="C77" i="87" s="1"/>
  <c r="F76" i="87"/>
  <c r="J76" i="87"/>
  <c r="G76" i="87"/>
  <c r="K76" i="87"/>
  <c r="D76" i="87"/>
  <c r="H76" i="87"/>
  <c r="L76" i="87"/>
  <c r="E76" i="87"/>
  <c r="M76" i="87"/>
  <c r="I76" i="87"/>
  <c r="A72" i="87"/>
  <c r="P30" i="6"/>
  <c r="BN30" i="6"/>
  <c r="B32" i="6"/>
  <c r="D32" i="6" s="1"/>
  <c r="BL26" i="6"/>
  <c r="BO33" i="6"/>
  <c r="A31" i="6"/>
  <c r="BH31" i="6"/>
  <c r="BI31" i="6"/>
  <c r="L3808" i="3"/>
  <c r="U5768" i="3"/>
  <c r="D5768" i="3"/>
  <c r="A5768" i="3"/>
  <c r="U5767" i="3"/>
  <c r="D5767" i="3"/>
  <c r="A5767" i="3"/>
  <c r="U5766" i="3"/>
  <c r="D5766" i="3"/>
  <c r="A5766" i="3"/>
  <c r="U5765" i="3"/>
  <c r="L5765" i="3"/>
  <c r="D5765" i="3"/>
  <c r="A5765" i="3"/>
  <c r="U5764" i="3"/>
  <c r="D5764" i="3"/>
  <c r="A5764" i="3"/>
  <c r="U5763" i="3"/>
  <c r="D5763" i="3"/>
  <c r="A5763" i="3"/>
  <c r="U5762" i="3"/>
  <c r="D5762" i="3"/>
  <c r="A5762" i="3"/>
  <c r="U5761" i="3"/>
  <c r="L5761" i="3"/>
  <c r="D5761" i="3"/>
  <c r="A5761" i="3"/>
  <c r="U5759" i="3"/>
  <c r="D5759" i="3"/>
  <c r="A5759" i="3"/>
  <c r="U5756" i="3"/>
  <c r="D5756" i="3"/>
  <c r="U5747" i="3"/>
  <c r="D5747" i="3"/>
  <c r="A5747" i="3"/>
  <c r="U5746" i="3"/>
  <c r="D5746" i="3"/>
  <c r="A5746" i="3"/>
  <c r="U5745" i="3"/>
  <c r="D5745" i="3"/>
  <c r="A5745" i="3"/>
  <c r="U5744" i="3"/>
  <c r="L5744" i="3"/>
  <c r="D5744" i="3"/>
  <c r="A5744" i="3"/>
  <c r="U5743" i="3"/>
  <c r="D5743" i="3"/>
  <c r="A5743" i="3"/>
  <c r="U5742" i="3"/>
  <c r="D5742" i="3"/>
  <c r="A5742" i="3"/>
  <c r="U5739" i="3"/>
  <c r="D5739" i="3"/>
  <c r="A5739" i="3"/>
  <c r="U5738" i="3"/>
  <c r="L5738" i="3"/>
  <c r="D5738" i="3"/>
  <c r="A5738" i="3"/>
  <c r="U5736" i="3"/>
  <c r="D5736" i="3"/>
  <c r="A5736" i="3"/>
  <c r="U5733" i="3"/>
  <c r="D5733" i="3"/>
  <c r="U5732" i="3"/>
  <c r="D5732" i="3"/>
  <c r="A5732" i="3"/>
  <c r="U5731" i="3"/>
  <c r="D5731" i="3"/>
  <c r="A5731" i="3"/>
  <c r="U5730" i="3"/>
  <c r="D5730" i="3"/>
  <c r="A5730" i="3"/>
  <c r="U5729" i="3"/>
  <c r="L5729" i="3"/>
  <c r="D5729" i="3"/>
  <c r="A5729" i="3"/>
  <c r="U5728" i="3"/>
  <c r="D5728" i="3"/>
  <c r="A5728" i="3"/>
  <c r="U5727" i="3"/>
  <c r="D5727" i="3"/>
  <c r="A5727" i="3"/>
  <c r="U5726" i="3"/>
  <c r="D5726" i="3"/>
  <c r="A5726" i="3"/>
  <c r="U5725" i="3"/>
  <c r="D5725" i="3"/>
  <c r="A5725" i="3"/>
  <c r="U5724" i="3"/>
  <c r="D5724" i="3"/>
  <c r="A5724" i="3"/>
  <c r="U5723" i="3"/>
  <c r="L5723" i="3"/>
  <c r="D5723" i="3"/>
  <c r="U5722" i="3"/>
  <c r="D5722" i="3"/>
  <c r="A5722" i="3"/>
  <c r="U5721" i="3"/>
  <c r="D5721" i="3"/>
  <c r="A5721" i="3"/>
  <c r="U5720" i="3"/>
  <c r="D5720" i="3"/>
  <c r="A5720" i="3"/>
  <c r="U5719" i="3"/>
  <c r="L5719" i="3"/>
  <c r="D5719" i="3"/>
  <c r="A5719" i="3"/>
  <c r="U5718" i="3"/>
  <c r="D5718" i="3"/>
  <c r="A5718" i="3"/>
  <c r="U5717" i="3"/>
  <c r="D5717" i="3"/>
  <c r="A5717" i="3"/>
  <c r="U5716" i="3"/>
  <c r="D5716" i="3"/>
  <c r="A5716" i="3"/>
  <c r="U5715" i="3"/>
  <c r="D5715" i="3"/>
  <c r="A5715" i="3"/>
  <c r="U5714" i="3"/>
  <c r="D5714" i="3"/>
  <c r="A5714" i="3"/>
  <c r="U5713" i="3"/>
  <c r="L5713" i="3"/>
  <c r="D5713" i="3"/>
  <c r="U5712" i="3"/>
  <c r="D5712" i="3"/>
  <c r="A5712" i="3"/>
  <c r="U5711" i="3"/>
  <c r="D5711" i="3"/>
  <c r="A5711" i="3"/>
  <c r="U5710" i="3"/>
  <c r="D5710" i="3"/>
  <c r="A5710" i="3"/>
  <c r="U5709" i="3"/>
  <c r="L5709" i="3"/>
  <c r="D5709" i="3"/>
  <c r="A5709" i="3"/>
  <c r="U5708" i="3"/>
  <c r="D5708" i="3"/>
  <c r="A5708" i="3"/>
  <c r="U5707" i="3"/>
  <c r="D5707" i="3"/>
  <c r="A5707" i="3"/>
  <c r="U5706" i="3"/>
  <c r="D5706" i="3"/>
  <c r="A5706" i="3"/>
  <c r="U5705" i="3"/>
  <c r="D5705" i="3"/>
  <c r="A5705" i="3"/>
  <c r="U5704" i="3"/>
  <c r="D5704" i="3"/>
  <c r="A5704" i="3"/>
  <c r="U5703" i="3"/>
  <c r="L5703" i="3"/>
  <c r="D5703" i="3"/>
  <c r="U5702" i="3"/>
  <c r="D5702" i="3"/>
  <c r="A5702" i="3"/>
  <c r="U5701" i="3"/>
  <c r="D5701" i="3"/>
  <c r="A5701" i="3"/>
  <c r="U5700" i="3"/>
  <c r="D5700" i="3"/>
  <c r="A5700" i="3"/>
  <c r="U5699" i="3"/>
  <c r="L5699" i="3"/>
  <c r="D5699" i="3"/>
  <c r="A5699" i="3"/>
  <c r="U5698" i="3"/>
  <c r="D5698" i="3"/>
  <c r="A5698" i="3"/>
  <c r="U5697" i="3"/>
  <c r="D5697" i="3"/>
  <c r="A5697" i="3"/>
  <c r="U5696" i="3"/>
  <c r="D5696" i="3"/>
  <c r="A5696" i="3"/>
  <c r="U5695" i="3"/>
  <c r="D5695" i="3"/>
  <c r="A5695" i="3"/>
  <c r="U5694" i="3"/>
  <c r="D5694" i="3"/>
  <c r="A5694" i="3"/>
  <c r="U5693" i="3"/>
  <c r="L5693" i="3"/>
  <c r="D5693" i="3"/>
  <c r="A5693" i="3"/>
  <c r="U5690" i="3"/>
  <c r="D5690" i="3"/>
  <c r="A5690" i="3"/>
  <c r="U5683" i="3"/>
  <c r="D5683" i="3"/>
  <c r="A5683" i="3"/>
  <c r="U5682" i="3"/>
  <c r="D5682" i="3"/>
  <c r="A5682" i="3"/>
  <c r="U5681" i="3"/>
  <c r="D5681" i="3"/>
  <c r="A5681" i="3"/>
  <c r="U5680" i="3"/>
  <c r="L5680" i="3"/>
  <c r="D5680" i="3"/>
  <c r="A5680" i="3"/>
  <c r="U5679" i="3"/>
  <c r="D5679" i="3"/>
  <c r="A5679" i="3"/>
  <c r="U5678" i="3"/>
  <c r="D5678" i="3"/>
  <c r="A5678" i="3"/>
  <c r="U5677" i="3"/>
  <c r="D5677" i="3"/>
  <c r="A5677" i="3"/>
  <c r="U5676" i="3"/>
  <c r="D5676" i="3"/>
  <c r="A5676" i="3"/>
  <c r="U5675" i="3"/>
  <c r="D5675" i="3"/>
  <c r="A5675" i="3"/>
  <c r="U5674" i="3"/>
  <c r="L5674" i="3"/>
  <c r="D5674" i="3"/>
  <c r="A5674" i="3"/>
  <c r="U5671" i="3"/>
  <c r="D5671" i="3"/>
  <c r="A5671" i="3"/>
  <c r="U5664" i="3"/>
  <c r="D5664" i="3"/>
  <c r="A5664" i="3"/>
  <c r="U5663" i="3"/>
  <c r="D5663" i="3"/>
  <c r="A5663" i="3"/>
  <c r="U5662" i="3"/>
  <c r="D5662" i="3"/>
  <c r="A5662" i="3"/>
  <c r="U5661" i="3"/>
  <c r="L5661" i="3"/>
  <c r="D5661" i="3"/>
  <c r="A5661" i="3"/>
  <c r="U5660" i="3"/>
  <c r="D5660" i="3"/>
  <c r="A5660" i="3"/>
  <c r="U5659" i="3"/>
  <c r="D5659" i="3"/>
  <c r="A5659" i="3"/>
  <c r="U5658" i="3"/>
  <c r="D5658" i="3"/>
  <c r="A5658" i="3"/>
  <c r="U5657" i="3"/>
  <c r="D5657" i="3"/>
  <c r="A5657" i="3"/>
  <c r="U5656" i="3"/>
  <c r="D5656" i="3"/>
  <c r="A5656" i="3"/>
  <c r="U5655" i="3"/>
  <c r="L5655" i="3"/>
  <c r="D5655" i="3"/>
  <c r="A5655" i="3"/>
  <c r="U5654" i="3"/>
  <c r="D5654" i="3"/>
  <c r="A5654" i="3"/>
  <c r="U5653" i="3"/>
  <c r="D5653" i="3"/>
  <c r="A5653" i="3"/>
  <c r="U5648" i="3"/>
  <c r="D5648" i="3"/>
  <c r="U5647" i="3"/>
  <c r="D5647" i="3"/>
  <c r="A5647" i="3"/>
  <c r="U5646" i="3"/>
  <c r="D5646" i="3"/>
  <c r="A5646" i="3"/>
  <c r="U5645" i="3"/>
  <c r="D5645" i="3"/>
  <c r="A5645" i="3"/>
  <c r="U5644" i="3"/>
  <c r="L5644" i="3"/>
  <c r="D5644" i="3"/>
  <c r="A5644" i="3"/>
  <c r="U5643" i="3"/>
  <c r="D5643" i="3"/>
  <c r="A5643" i="3"/>
  <c r="U5642" i="3"/>
  <c r="D5642" i="3"/>
  <c r="A5642" i="3"/>
  <c r="U5641" i="3"/>
  <c r="D5641" i="3"/>
  <c r="A5641" i="3"/>
  <c r="U5640" i="3"/>
  <c r="D5640" i="3"/>
  <c r="A5640" i="3"/>
  <c r="U5639" i="3"/>
  <c r="D5639" i="3"/>
  <c r="A5639" i="3"/>
  <c r="U5638" i="3"/>
  <c r="L5638" i="3"/>
  <c r="D5638" i="3"/>
  <c r="A5638" i="3"/>
  <c r="U5637" i="3"/>
  <c r="D5637" i="3"/>
  <c r="A5637" i="3"/>
  <c r="U5636" i="3"/>
  <c r="D5636" i="3"/>
  <c r="A5636" i="3"/>
  <c r="U5631" i="3"/>
  <c r="D5631" i="3"/>
  <c r="U5630" i="3"/>
  <c r="D5630" i="3"/>
  <c r="A5630" i="3"/>
  <c r="U5629" i="3"/>
  <c r="D5629" i="3"/>
  <c r="A5629" i="3"/>
  <c r="U5628" i="3"/>
  <c r="D5628" i="3"/>
  <c r="A5628" i="3"/>
  <c r="U5627" i="3"/>
  <c r="L5627" i="3"/>
  <c r="D5627" i="3"/>
  <c r="A5627" i="3"/>
  <c r="U5626" i="3"/>
  <c r="D5626" i="3"/>
  <c r="A5626" i="3"/>
  <c r="U5625" i="3"/>
  <c r="D5625" i="3"/>
  <c r="A5625" i="3"/>
  <c r="U5624" i="3"/>
  <c r="D5624" i="3"/>
  <c r="A5624" i="3"/>
  <c r="U5623" i="3"/>
  <c r="D5623" i="3"/>
  <c r="A5623" i="3"/>
  <c r="U5622" i="3"/>
  <c r="D5622" i="3"/>
  <c r="A5622" i="3"/>
  <c r="U5621" i="3"/>
  <c r="L5621" i="3"/>
  <c r="D5621" i="3"/>
  <c r="A5621" i="3"/>
  <c r="U5620" i="3"/>
  <c r="D5620" i="3"/>
  <c r="A5620" i="3"/>
  <c r="U5619" i="3"/>
  <c r="D5619" i="3"/>
  <c r="A5619" i="3"/>
  <c r="U5614" i="3"/>
  <c r="D5614" i="3"/>
  <c r="U5613" i="3"/>
  <c r="D5613" i="3"/>
  <c r="A5613" i="3"/>
  <c r="U5612" i="3"/>
  <c r="D5612" i="3"/>
  <c r="A5612" i="3"/>
  <c r="U5611" i="3"/>
  <c r="D5611" i="3"/>
  <c r="A5611" i="3"/>
  <c r="U5610" i="3"/>
  <c r="L5610" i="3"/>
  <c r="D5610" i="3"/>
  <c r="A5610" i="3"/>
  <c r="U5609" i="3"/>
  <c r="D5609" i="3"/>
  <c r="A5609" i="3"/>
  <c r="U5608" i="3"/>
  <c r="D5608" i="3"/>
  <c r="A5608" i="3"/>
  <c r="U5607" i="3"/>
  <c r="D5607" i="3"/>
  <c r="A5607" i="3"/>
  <c r="U5606" i="3"/>
  <c r="D5606" i="3"/>
  <c r="A5606" i="3"/>
  <c r="U5605" i="3"/>
  <c r="D5605" i="3"/>
  <c r="A5605" i="3"/>
  <c r="U5604" i="3"/>
  <c r="L5604" i="3"/>
  <c r="D5604" i="3"/>
  <c r="A5604" i="3"/>
  <c r="U5603" i="3"/>
  <c r="D5603" i="3"/>
  <c r="A5603" i="3"/>
  <c r="U5602" i="3"/>
  <c r="D5602" i="3"/>
  <c r="A5602" i="3"/>
  <c r="U5597" i="3"/>
  <c r="D5597" i="3"/>
  <c r="U5596" i="3"/>
  <c r="D5596" i="3"/>
  <c r="A5596" i="3"/>
  <c r="U5595" i="3"/>
  <c r="D5595" i="3"/>
  <c r="A5595" i="3"/>
  <c r="U5594" i="3"/>
  <c r="D5594" i="3"/>
  <c r="A5594" i="3"/>
  <c r="U5593" i="3"/>
  <c r="L5593" i="3"/>
  <c r="D5593" i="3"/>
  <c r="A5593" i="3"/>
  <c r="U5592" i="3"/>
  <c r="D5592" i="3"/>
  <c r="A5592" i="3"/>
  <c r="U5591" i="3"/>
  <c r="D5591" i="3"/>
  <c r="A5591" i="3"/>
  <c r="U5590" i="3"/>
  <c r="D5590" i="3"/>
  <c r="A5590" i="3"/>
  <c r="U5589" i="3"/>
  <c r="D5589" i="3"/>
  <c r="A5589" i="3"/>
  <c r="U5588" i="3"/>
  <c r="D5588" i="3"/>
  <c r="A5588" i="3"/>
  <c r="U5587" i="3"/>
  <c r="L5587" i="3"/>
  <c r="D5587" i="3"/>
  <c r="A5587" i="3"/>
  <c r="U5586" i="3"/>
  <c r="D5586" i="3"/>
  <c r="A5586" i="3"/>
  <c r="U5585" i="3"/>
  <c r="D5585" i="3"/>
  <c r="A5585" i="3"/>
  <c r="U5580" i="3"/>
  <c r="D5580" i="3"/>
  <c r="U5579" i="3"/>
  <c r="D5579" i="3"/>
  <c r="A5579" i="3"/>
  <c r="U5578" i="3"/>
  <c r="D5578" i="3"/>
  <c r="A5578" i="3"/>
  <c r="U5577" i="3"/>
  <c r="D5577" i="3"/>
  <c r="A5577" i="3"/>
  <c r="U5576" i="3"/>
  <c r="L5576" i="3"/>
  <c r="D5576" i="3"/>
  <c r="A5576" i="3"/>
  <c r="U5575" i="3"/>
  <c r="D5575" i="3"/>
  <c r="A5575" i="3"/>
  <c r="U5574" i="3"/>
  <c r="D5574" i="3"/>
  <c r="A5574" i="3"/>
  <c r="U5573" i="3"/>
  <c r="D5573" i="3"/>
  <c r="A5573" i="3"/>
  <c r="U5572" i="3"/>
  <c r="D5572" i="3"/>
  <c r="A5572" i="3"/>
  <c r="U5571" i="3"/>
  <c r="D5571" i="3"/>
  <c r="A5571" i="3"/>
  <c r="U5570" i="3"/>
  <c r="L5570" i="3"/>
  <c r="D5570" i="3"/>
  <c r="A5570" i="3"/>
  <c r="U5569" i="3"/>
  <c r="D5569" i="3"/>
  <c r="A5569" i="3"/>
  <c r="U5568" i="3"/>
  <c r="D5568" i="3"/>
  <c r="A5568" i="3"/>
  <c r="U5563" i="3"/>
  <c r="D5563" i="3"/>
  <c r="U5562" i="3"/>
  <c r="D5562" i="3"/>
  <c r="A5562" i="3"/>
  <c r="U5561" i="3"/>
  <c r="D5561" i="3"/>
  <c r="A5561" i="3"/>
  <c r="U5560" i="3"/>
  <c r="D5560" i="3"/>
  <c r="A5560" i="3"/>
  <c r="U5559" i="3"/>
  <c r="L5559" i="3"/>
  <c r="D5559" i="3"/>
  <c r="A5559" i="3"/>
  <c r="U5558" i="3"/>
  <c r="D5558" i="3"/>
  <c r="A5558" i="3"/>
  <c r="U5557" i="3"/>
  <c r="D5557" i="3"/>
  <c r="A5557" i="3"/>
  <c r="U5556" i="3"/>
  <c r="D5556" i="3"/>
  <c r="A5556" i="3"/>
  <c r="U5555" i="3"/>
  <c r="D5555" i="3"/>
  <c r="A5555" i="3"/>
  <c r="U5554" i="3"/>
  <c r="L5554" i="3"/>
  <c r="D5554" i="3"/>
  <c r="A5554" i="3"/>
  <c r="U5551" i="3"/>
  <c r="D5551" i="3"/>
  <c r="A5551" i="3"/>
  <c r="U5480" i="3"/>
  <c r="D5480" i="3"/>
  <c r="A5480" i="3"/>
  <c r="U5479" i="3"/>
  <c r="D5479" i="3"/>
  <c r="A5479" i="3"/>
  <c r="U5478" i="3"/>
  <c r="D5478" i="3"/>
  <c r="A5478" i="3"/>
  <c r="U5477" i="3"/>
  <c r="L5477" i="3"/>
  <c r="D5477" i="3"/>
  <c r="A5477" i="3"/>
  <c r="U5476" i="3"/>
  <c r="D5476" i="3"/>
  <c r="A5476" i="3"/>
  <c r="U5475" i="3"/>
  <c r="D5475" i="3"/>
  <c r="A5475" i="3"/>
  <c r="U5474" i="3"/>
  <c r="D5474" i="3"/>
  <c r="A5474" i="3"/>
  <c r="U5473" i="3"/>
  <c r="D5473" i="3"/>
  <c r="A5473" i="3"/>
  <c r="U5472" i="3"/>
  <c r="L5472" i="3"/>
  <c r="D5472" i="3"/>
  <c r="A5472" i="3"/>
  <c r="U5469" i="3"/>
  <c r="D5469" i="3"/>
  <c r="A5469" i="3"/>
  <c r="U5453" i="3"/>
  <c r="D5453" i="3"/>
  <c r="A5453" i="3"/>
  <c r="U5452" i="3"/>
  <c r="D5452" i="3"/>
  <c r="A5452" i="3"/>
  <c r="U5451" i="3"/>
  <c r="D5451" i="3"/>
  <c r="A5451" i="3"/>
  <c r="U5450" i="3"/>
  <c r="L5450" i="3"/>
  <c r="D5450" i="3"/>
  <c r="A5450" i="3"/>
  <c r="U5449" i="3"/>
  <c r="D5449" i="3"/>
  <c r="A5449" i="3"/>
  <c r="U5448" i="3"/>
  <c r="D5448" i="3"/>
  <c r="A5448" i="3"/>
  <c r="U5447" i="3"/>
  <c r="D5447" i="3"/>
  <c r="A5447" i="3"/>
  <c r="U5446" i="3"/>
  <c r="D5446" i="3"/>
  <c r="A5446" i="3"/>
  <c r="U5445" i="3"/>
  <c r="L5445" i="3"/>
  <c r="D5445" i="3"/>
  <c r="U5417" i="3"/>
  <c r="D5417" i="3"/>
  <c r="A5417" i="3"/>
  <c r="U5416" i="3"/>
  <c r="D5416" i="3"/>
  <c r="A5416" i="3"/>
  <c r="U5415" i="3"/>
  <c r="D5415" i="3"/>
  <c r="A5415" i="3"/>
  <c r="U5414" i="3"/>
  <c r="L5414" i="3"/>
  <c r="D5414" i="3"/>
  <c r="A5414" i="3"/>
  <c r="U5413" i="3"/>
  <c r="D5413" i="3"/>
  <c r="A5413" i="3"/>
  <c r="U5412" i="3"/>
  <c r="D5412" i="3"/>
  <c r="A5412" i="3"/>
  <c r="U5411" i="3"/>
  <c r="D5411" i="3"/>
  <c r="A5411" i="3"/>
  <c r="U5410" i="3"/>
  <c r="D5410" i="3"/>
  <c r="A5410" i="3"/>
  <c r="U5409" i="3"/>
  <c r="L5409" i="3"/>
  <c r="D5409" i="3"/>
  <c r="U5408" i="3"/>
  <c r="D5408" i="3"/>
  <c r="A5408" i="3"/>
  <c r="U5407" i="3"/>
  <c r="D5407" i="3"/>
  <c r="A5407" i="3"/>
  <c r="U5406" i="3"/>
  <c r="D5406" i="3"/>
  <c r="A5406" i="3"/>
  <c r="U5405" i="3"/>
  <c r="L5405" i="3"/>
  <c r="D5405" i="3"/>
  <c r="A5405" i="3"/>
  <c r="U5404" i="3"/>
  <c r="D5404" i="3"/>
  <c r="A5404" i="3"/>
  <c r="U5403" i="3"/>
  <c r="D5403" i="3"/>
  <c r="A5403" i="3"/>
  <c r="U5402" i="3"/>
  <c r="D5402" i="3"/>
  <c r="A5402" i="3"/>
  <c r="U5401" i="3"/>
  <c r="D5401" i="3"/>
  <c r="A5401" i="3"/>
  <c r="U5400" i="3"/>
  <c r="D5400" i="3"/>
  <c r="A5400" i="3"/>
  <c r="U5399" i="3"/>
  <c r="L5399" i="3"/>
  <c r="D5399" i="3"/>
  <c r="A5399" i="3"/>
  <c r="U5398" i="3"/>
  <c r="D5398" i="3"/>
  <c r="A5398" i="3"/>
  <c r="U5396" i="3"/>
  <c r="D5396" i="3"/>
  <c r="A5396" i="3"/>
  <c r="U5395" i="3"/>
  <c r="D5395" i="3"/>
  <c r="U5394" i="3"/>
  <c r="D5394" i="3"/>
  <c r="A5394" i="3"/>
  <c r="U5393" i="3"/>
  <c r="D5393" i="3"/>
  <c r="A5393" i="3"/>
  <c r="U5392" i="3"/>
  <c r="D5392" i="3"/>
  <c r="A5392" i="3"/>
  <c r="U5391" i="3"/>
  <c r="L5391" i="3"/>
  <c r="D5391" i="3"/>
  <c r="A5391" i="3"/>
  <c r="U5390" i="3"/>
  <c r="D5390" i="3"/>
  <c r="A5390" i="3"/>
  <c r="U5389" i="3"/>
  <c r="D5389" i="3"/>
  <c r="A5389" i="3"/>
  <c r="U5388" i="3"/>
  <c r="D5388" i="3"/>
  <c r="A5388" i="3"/>
  <c r="U5387" i="3"/>
  <c r="D5387" i="3"/>
  <c r="A5387" i="3"/>
  <c r="U5386" i="3"/>
  <c r="D5386" i="3"/>
  <c r="A5386" i="3"/>
  <c r="U5385" i="3"/>
  <c r="L5385" i="3"/>
  <c r="D5385" i="3"/>
  <c r="A5385" i="3"/>
  <c r="U5384" i="3"/>
  <c r="D5384" i="3"/>
  <c r="A5384" i="3"/>
  <c r="U5382" i="3"/>
  <c r="D5382" i="3"/>
  <c r="A5382" i="3"/>
  <c r="U5381" i="3"/>
  <c r="D5381" i="3"/>
  <c r="U5380" i="3"/>
  <c r="D5380" i="3"/>
  <c r="A5380" i="3"/>
  <c r="U5379" i="3"/>
  <c r="D5379" i="3"/>
  <c r="A5379" i="3"/>
  <c r="U5378" i="3"/>
  <c r="D5378" i="3"/>
  <c r="A5378" i="3"/>
  <c r="U5377" i="3"/>
  <c r="L5377" i="3"/>
  <c r="D5377" i="3"/>
  <c r="A5377" i="3"/>
  <c r="U5376" i="3"/>
  <c r="D5376" i="3"/>
  <c r="A5376" i="3"/>
  <c r="U5375" i="3"/>
  <c r="D5375" i="3"/>
  <c r="A5375" i="3"/>
  <c r="U5374" i="3"/>
  <c r="D5374" i="3"/>
  <c r="A5374" i="3"/>
  <c r="U5373" i="3"/>
  <c r="D5373" i="3"/>
  <c r="A5373" i="3"/>
  <c r="U5372" i="3"/>
  <c r="D5372" i="3"/>
  <c r="A5372" i="3"/>
  <c r="U5371" i="3"/>
  <c r="L5371" i="3"/>
  <c r="D5371" i="3"/>
  <c r="A5371" i="3"/>
  <c r="U5370" i="3"/>
  <c r="D5370" i="3"/>
  <c r="A5370" i="3"/>
  <c r="U5368" i="3"/>
  <c r="D5368" i="3"/>
  <c r="A5368" i="3"/>
  <c r="U5367" i="3"/>
  <c r="D5367" i="3"/>
  <c r="U5366" i="3"/>
  <c r="D5366" i="3"/>
  <c r="A5366" i="3"/>
  <c r="U5365" i="3"/>
  <c r="D5365" i="3"/>
  <c r="A5365" i="3"/>
  <c r="U5364" i="3"/>
  <c r="D5364" i="3"/>
  <c r="A5364" i="3"/>
  <c r="U5363" i="3"/>
  <c r="L5363" i="3"/>
  <c r="D5363" i="3"/>
  <c r="A5363" i="3"/>
  <c r="U5362" i="3"/>
  <c r="D5362" i="3"/>
  <c r="A5362" i="3"/>
  <c r="U5361" i="3"/>
  <c r="D5361" i="3"/>
  <c r="A5361" i="3"/>
  <c r="U5360" i="3"/>
  <c r="D5360" i="3"/>
  <c r="A5360" i="3"/>
  <c r="U5359" i="3"/>
  <c r="D5359" i="3"/>
  <c r="A5359" i="3"/>
  <c r="U5358" i="3"/>
  <c r="D5358" i="3"/>
  <c r="A5358" i="3"/>
  <c r="U5357" i="3"/>
  <c r="L5357" i="3"/>
  <c r="D5357" i="3"/>
  <c r="A5357" i="3"/>
  <c r="U5356" i="3"/>
  <c r="D5356" i="3"/>
  <c r="A5356" i="3"/>
  <c r="U5354" i="3"/>
  <c r="D5354" i="3"/>
  <c r="A5354" i="3"/>
  <c r="U5353" i="3"/>
  <c r="D5353" i="3"/>
  <c r="U5352" i="3"/>
  <c r="D5352" i="3"/>
  <c r="A5352" i="3"/>
  <c r="U5351" i="3"/>
  <c r="D5351" i="3"/>
  <c r="A5351" i="3"/>
  <c r="U5350" i="3"/>
  <c r="D5350" i="3"/>
  <c r="A5350" i="3"/>
  <c r="U5349" i="3"/>
  <c r="L5349" i="3"/>
  <c r="D5349" i="3"/>
  <c r="A5349" i="3"/>
  <c r="U5348" i="3"/>
  <c r="D5348" i="3"/>
  <c r="A5348" i="3"/>
  <c r="U5347" i="3"/>
  <c r="D5347" i="3"/>
  <c r="A5347" i="3"/>
  <c r="U5346" i="3"/>
  <c r="D5346" i="3"/>
  <c r="A5346" i="3"/>
  <c r="U5345" i="3"/>
  <c r="D5345" i="3"/>
  <c r="A5345" i="3"/>
  <c r="U5344" i="3"/>
  <c r="D5344" i="3"/>
  <c r="A5344" i="3"/>
  <c r="U5343" i="3"/>
  <c r="L5343" i="3"/>
  <c r="D5343" i="3"/>
  <c r="A5343" i="3"/>
  <c r="U5342" i="3"/>
  <c r="D5342" i="3"/>
  <c r="A5342" i="3"/>
  <c r="U5341" i="3"/>
  <c r="D5341" i="3"/>
  <c r="A5341" i="3"/>
  <c r="U5336" i="3"/>
  <c r="D5336" i="3"/>
  <c r="U5335" i="3"/>
  <c r="D5335" i="3"/>
  <c r="A5335" i="3"/>
  <c r="U5334" i="3"/>
  <c r="D5334" i="3"/>
  <c r="A5334" i="3"/>
  <c r="U5333" i="3"/>
  <c r="D5333" i="3"/>
  <c r="A5333" i="3"/>
  <c r="U5332" i="3"/>
  <c r="L5332" i="3"/>
  <c r="D5332" i="3"/>
  <c r="A5332" i="3"/>
  <c r="U5331" i="3"/>
  <c r="D5331" i="3"/>
  <c r="A5331" i="3"/>
  <c r="U5330" i="3"/>
  <c r="D5330" i="3"/>
  <c r="A5330" i="3"/>
  <c r="U5329" i="3"/>
  <c r="D5329" i="3"/>
  <c r="A5329" i="3"/>
  <c r="U5328" i="3"/>
  <c r="D5328" i="3"/>
  <c r="A5328" i="3"/>
  <c r="U5327" i="3"/>
  <c r="D5327" i="3"/>
  <c r="A5327" i="3"/>
  <c r="U5326" i="3"/>
  <c r="L5326" i="3"/>
  <c r="D5326" i="3"/>
  <c r="A5326" i="3"/>
  <c r="U5325" i="3"/>
  <c r="D5325" i="3"/>
  <c r="A5325" i="3"/>
  <c r="U5324" i="3"/>
  <c r="D5324" i="3"/>
  <c r="A5324" i="3"/>
  <c r="U5319" i="3"/>
  <c r="D5319" i="3"/>
  <c r="U5318" i="3"/>
  <c r="D5318" i="3"/>
  <c r="A5318" i="3"/>
  <c r="U5317" i="3"/>
  <c r="D5317" i="3"/>
  <c r="A5317" i="3"/>
  <c r="U5316" i="3"/>
  <c r="D5316" i="3"/>
  <c r="A5316" i="3"/>
  <c r="U5315" i="3"/>
  <c r="L5315" i="3"/>
  <c r="D5315" i="3"/>
  <c r="A5315" i="3"/>
  <c r="U5314" i="3"/>
  <c r="D5314" i="3"/>
  <c r="A5314" i="3"/>
  <c r="U5313" i="3"/>
  <c r="D5313" i="3"/>
  <c r="A5313" i="3"/>
  <c r="U5312" i="3"/>
  <c r="D5312" i="3"/>
  <c r="A5312" i="3"/>
  <c r="U5311" i="3"/>
  <c r="D5311" i="3"/>
  <c r="A5311" i="3"/>
  <c r="U5310" i="3"/>
  <c r="D5310" i="3"/>
  <c r="A5310" i="3"/>
  <c r="U5309" i="3"/>
  <c r="L5309" i="3"/>
  <c r="D5309" i="3"/>
  <c r="A5309" i="3"/>
  <c r="U5308" i="3"/>
  <c r="D5308" i="3"/>
  <c r="A5308" i="3"/>
  <c r="U5303" i="3"/>
  <c r="D5303" i="3"/>
  <c r="A5303" i="3"/>
  <c r="U5302" i="3"/>
  <c r="D5302" i="3"/>
  <c r="U5301" i="3"/>
  <c r="D5301" i="3"/>
  <c r="A5301" i="3"/>
  <c r="U5300" i="3"/>
  <c r="D5300" i="3"/>
  <c r="A5300" i="3"/>
  <c r="U5299" i="3"/>
  <c r="D5299" i="3"/>
  <c r="A5299" i="3"/>
  <c r="U5298" i="3"/>
  <c r="L5298" i="3"/>
  <c r="D5298" i="3"/>
  <c r="A5298" i="3"/>
  <c r="U5297" i="3"/>
  <c r="D5297" i="3"/>
  <c r="A5297" i="3"/>
  <c r="U5296" i="3"/>
  <c r="D5296" i="3"/>
  <c r="A5296" i="3"/>
  <c r="U5295" i="3"/>
  <c r="D5295" i="3"/>
  <c r="A5295" i="3"/>
  <c r="U5294" i="3"/>
  <c r="D5294" i="3"/>
  <c r="A5294" i="3"/>
  <c r="U5293" i="3"/>
  <c r="D5293" i="3"/>
  <c r="A5293" i="3"/>
  <c r="U5292" i="3"/>
  <c r="L5292" i="3"/>
  <c r="D5292" i="3"/>
  <c r="A5292" i="3"/>
  <c r="U5291" i="3"/>
  <c r="I5291" i="3"/>
  <c r="D5291" i="3"/>
  <c r="A5291" i="3"/>
  <c r="U5288" i="3"/>
  <c r="D5288" i="3"/>
  <c r="A5288" i="3"/>
  <c r="U5285" i="3"/>
  <c r="D5285" i="3"/>
  <c r="O6835" i="3"/>
  <c r="N6835" i="3"/>
  <c r="U6835" i="3" s="1"/>
  <c r="O6834" i="3"/>
  <c r="N6834" i="3"/>
  <c r="U6834" i="3" s="1"/>
  <c r="O6833" i="3"/>
  <c r="N6833" i="3"/>
  <c r="U6833" i="3" s="1"/>
  <c r="O6832" i="3"/>
  <c r="N6832" i="3"/>
  <c r="U6832" i="3" s="1"/>
  <c r="O6831" i="3"/>
  <c r="N6831" i="3"/>
  <c r="U6831" i="3" s="1"/>
  <c r="O6830" i="3"/>
  <c r="N6830" i="3"/>
  <c r="U6830" i="3" s="1"/>
  <c r="O6829" i="3"/>
  <c r="N6829" i="3"/>
  <c r="U6829" i="3" s="1"/>
  <c r="O6828" i="3"/>
  <c r="N6828" i="3"/>
  <c r="U6828" i="3" s="1"/>
  <c r="O6827" i="3"/>
  <c r="N6827" i="3"/>
  <c r="U6827" i="3" s="1"/>
  <c r="O6826" i="3"/>
  <c r="N6826" i="3"/>
  <c r="U6826" i="3" s="1"/>
  <c r="O6825" i="3"/>
  <c r="N6825" i="3"/>
  <c r="U6825" i="3" s="1"/>
  <c r="O6824" i="3"/>
  <c r="N6824" i="3"/>
  <c r="U6824" i="3" s="1"/>
  <c r="O6821" i="3"/>
  <c r="N6821" i="3"/>
  <c r="U6821" i="3" s="1"/>
  <c r="O6820" i="3"/>
  <c r="N6820" i="3"/>
  <c r="U6820" i="3" s="1"/>
  <c r="A6820" i="3"/>
  <c r="O6819" i="3"/>
  <c r="N6819" i="3"/>
  <c r="U6819" i="3" s="1"/>
  <c r="A6819" i="3"/>
  <c r="O6818" i="3"/>
  <c r="N6818" i="3"/>
  <c r="U6818" i="3" s="1"/>
  <c r="O6817" i="3"/>
  <c r="N6817" i="3"/>
  <c r="U6817" i="3" s="1"/>
  <c r="A6817" i="3"/>
  <c r="O6816" i="3"/>
  <c r="N6816" i="3"/>
  <c r="U6816" i="3" s="1"/>
  <c r="O6815" i="3"/>
  <c r="N6815" i="3"/>
  <c r="U6815" i="3" s="1"/>
  <c r="O6812" i="3"/>
  <c r="N6812" i="3"/>
  <c r="U6812" i="3" s="1"/>
  <c r="O6811" i="3"/>
  <c r="N6811" i="3"/>
  <c r="U6811" i="3" s="1"/>
  <c r="O6810" i="3"/>
  <c r="N6810" i="3"/>
  <c r="U6810" i="3" s="1"/>
  <c r="O6809" i="3"/>
  <c r="N6809" i="3"/>
  <c r="U6809" i="3" s="1"/>
  <c r="O6808" i="3"/>
  <c r="N6808" i="3"/>
  <c r="U6808" i="3" s="1"/>
  <c r="O6807" i="3"/>
  <c r="N6807" i="3"/>
  <c r="U6807" i="3" s="1"/>
  <c r="A6807" i="3"/>
  <c r="O6806" i="3"/>
  <c r="N6806" i="3"/>
  <c r="U6806" i="3" s="1"/>
  <c r="O6805" i="3"/>
  <c r="N6805" i="3"/>
  <c r="U6805" i="3" s="1"/>
  <c r="A6805" i="3"/>
  <c r="O6804" i="3"/>
  <c r="N6804" i="3"/>
  <c r="U6804" i="3" s="1"/>
  <c r="O6803" i="3"/>
  <c r="N6803" i="3"/>
  <c r="U6803" i="3" s="1"/>
  <c r="O6802" i="3"/>
  <c r="N6802" i="3"/>
  <c r="U6802" i="3" s="1"/>
  <c r="AN31" i="6"/>
  <c r="Y31" i="6"/>
  <c r="AH31" i="6"/>
  <c r="AQ31" i="6"/>
  <c r="X31" i="6"/>
  <c r="AW31" i="6"/>
  <c r="Z31" i="6"/>
  <c r="AZ31" i="6"/>
  <c r="AG31" i="6"/>
  <c r="AO31" i="6"/>
  <c r="AR31" i="6"/>
  <c r="V31" i="6"/>
  <c r="BA31" i="6"/>
  <c r="AY31" i="6" l="1"/>
  <c r="L4351" i="3"/>
  <c r="L4349" i="3"/>
  <c r="L4347" i="3"/>
  <c r="L4345" i="3"/>
  <c r="L4343" i="3"/>
  <c r="L4340" i="3"/>
  <c r="L4338" i="3"/>
  <c r="L4336" i="3"/>
  <c r="L4334" i="3"/>
  <c r="L4332" i="3"/>
  <c r="L4329" i="3"/>
  <c r="L4327" i="3"/>
  <c r="L4325" i="3"/>
  <c r="L4323" i="3"/>
  <c r="L4321" i="3"/>
  <c r="L4350" i="3"/>
  <c r="L4348" i="3"/>
  <c r="L4346" i="3"/>
  <c r="L4344" i="3"/>
  <c r="L4339" i="3"/>
  <c r="L4337" i="3"/>
  <c r="L4335" i="3"/>
  <c r="L4333" i="3"/>
  <c r="L4328" i="3"/>
  <c r="L4326" i="3"/>
  <c r="L4324" i="3"/>
  <c r="L4322" i="3"/>
  <c r="L4128" i="3"/>
  <c r="L4126" i="3"/>
  <c r="L4124" i="3"/>
  <c r="L4122" i="3"/>
  <c r="L4120" i="3"/>
  <c r="L4118" i="3"/>
  <c r="L4116" i="3"/>
  <c r="L4114" i="3"/>
  <c r="L4111" i="3"/>
  <c r="L4109" i="3"/>
  <c r="L4107" i="3"/>
  <c r="L4105" i="3"/>
  <c r="L4103" i="3"/>
  <c r="L4101" i="3"/>
  <c r="L4099" i="3"/>
  <c r="L4097" i="3"/>
  <c r="L4092" i="3"/>
  <c r="L4090" i="3"/>
  <c r="L4088" i="3"/>
  <c r="L4086" i="3"/>
  <c r="L4084" i="3"/>
  <c r="L4082" i="3"/>
  <c r="L4080" i="3"/>
  <c r="L4132" i="3"/>
  <c r="L4129" i="3"/>
  <c r="L4127" i="3"/>
  <c r="L4125" i="3"/>
  <c r="L4123" i="3"/>
  <c r="L4121" i="3"/>
  <c r="L4119" i="3"/>
  <c r="L4117" i="3"/>
  <c r="L4115" i="3"/>
  <c r="L4110" i="3"/>
  <c r="L4108" i="3"/>
  <c r="L4106" i="3"/>
  <c r="L4104" i="3"/>
  <c r="L4102" i="3"/>
  <c r="L4100" i="3"/>
  <c r="L4098" i="3"/>
  <c r="L4096" i="3"/>
  <c r="L4093" i="3"/>
  <c r="L4091" i="3"/>
  <c r="L4089" i="3"/>
  <c r="L4087" i="3"/>
  <c r="L4085" i="3"/>
  <c r="L4083" i="3"/>
  <c r="L4081" i="3"/>
  <c r="L4079" i="3"/>
  <c r="L4020" i="3"/>
  <c r="L4018" i="3"/>
  <c r="L4016" i="3"/>
  <c r="L4014" i="3"/>
  <c r="L4012" i="3"/>
  <c r="L4010" i="3"/>
  <c r="L4008" i="3"/>
  <c r="L4006" i="3"/>
  <c r="L4004" i="3"/>
  <c r="L3999" i="3"/>
  <c r="L3997" i="3"/>
  <c r="L3995" i="3"/>
  <c r="L3993" i="3"/>
  <c r="L3991" i="3"/>
  <c r="L3989" i="3"/>
  <c r="L3987" i="3"/>
  <c r="L3985" i="3"/>
  <c r="L3983" i="3"/>
  <c r="L3980" i="3"/>
  <c r="L3978" i="3"/>
  <c r="L3976" i="3"/>
  <c r="L3974" i="3"/>
  <c r="L3972" i="3"/>
  <c r="L3970" i="3"/>
  <c r="L3968" i="3"/>
  <c r="L3966" i="3"/>
  <c r="L3964" i="3"/>
  <c r="L3962" i="3"/>
  <c r="L3960" i="3"/>
  <c r="L3958" i="3"/>
  <c r="L3956" i="3"/>
  <c r="L3954" i="3"/>
  <c r="L3998" i="3"/>
  <c r="L3994" i="3"/>
  <c r="L3990" i="3"/>
  <c r="L3986" i="3"/>
  <c r="L3963" i="3"/>
  <c r="L3959" i="3"/>
  <c r="L3955" i="3"/>
  <c r="L4011" i="3"/>
  <c r="L3973" i="3"/>
  <c r="L3969" i="3"/>
  <c r="L4024" i="3"/>
  <c r="L4017" i="3"/>
  <c r="L4013" i="3"/>
  <c r="L4009" i="3"/>
  <c r="L4005" i="3"/>
  <c r="L3979" i="3"/>
  <c r="L3975" i="3"/>
  <c r="L3971" i="3"/>
  <c r="L3967" i="3"/>
  <c r="L4015" i="3"/>
  <c r="L4003" i="3"/>
  <c r="L3977" i="3"/>
  <c r="L4021" i="3"/>
  <c r="L4000" i="3"/>
  <c r="L3996" i="3"/>
  <c r="L3992" i="3"/>
  <c r="L3988" i="3"/>
  <c r="L3984" i="3"/>
  <c r="L3965" i="3"/>
  <c r="L3961" i="3"/>
  <c r="L3957" i="3"/>
  <c r="L3953" i="3"/>
  <c r="L4019" i="3"/>
  <c r="L4007" i="3"/>
  <c r="L3948" i="3"/>
  <c r="L3946" i="3"/>
  <c r="L3944" i="3"/>
  <c r="L3942" i="3"/>
  <c r="L3940" i="3"/>
  <c r="L3938" i="3"/>
  <c r="L3936" i="3"/>
  <c r="L3934" i="3"/>
  <c r="L3932" i="3"/>
  <c r="L3927" i="3"/>
  <c r="L3925" i="3"/>
  <c r="L3923" i="3"/>
  <c r="L3921" i="3"/>
  <c r="L3919" i="3"/>
  <c r="L3917" i="3"/>
  <c r="L3915" i="3"/>
  <c r="L3913" i="3"/>
  <c r="L3911" i="3"/>
  <c r="L3908" i="3"/>
  <c r="L3906" i="3"/>
  <c r="L3904" i="3"/>
  <c r="L3902" i="3"/>
  <c r="L3900" i="3"/>
  <c r="L3898" i="3"/>
  <c r="L3896" i="3"/>
  <c r="L3894" i="3"/>
  <c r="L3892" i="3"/>
  <c r="L3890" i="3"/>
  <c r="L3888" i="3"/>
  <c r="L3886" i="3"/>
  <c r="L3884" i="3"/>
  <c r="L3882" i="3"/>
  <c r="L3952" i="3"/>
  <c r="L3949" i="3"/>
  <c r="L3947" i="3"/>
  <c r="L3945" i="3"/>
  <c r="L3943" i="3"/>
  <c r="L3941" i="3"/>
  <c r="L3939" i="3"/>
  <c r="L3937" i="3"/>
  <c r="L3935" i="3"/>
  <c r="L3933" i="3"/>
  <c r="L3931" i="3"/>
  <c r="L3928" i="3"/>
  <c r="L3926" i="3"/>
  <c r="L3924" i="3"/>
  <c r="L3922" i="3"/>
  <c r="L3920" i="3"/>
  <c r="L3918" i="3"/>
  <c r="L3916" i="3"/>
  <c r="L3914" i="3"/>
  <c r="L3912" i="3"/>
  <c r="L3907" i="3"/>
  <c r="L3905" i="3"/>
  <c r="L3903" i="3"/>
  <c r="L3901" i="3"/>
  <c r="L3899" i="3"/>
  <c r="L3897" i="3"/>
  <c r="L3895" i="3"/>
  <c r="L3893" i="3"/>
  <c r="L3891" i="3"/>
  <c r="L3889" i="3"/>
  <c r="L3887" i="3"/>
  <c r="L3885" i="3"/>
  <c r="L3883" i="3"/>
  <c r="L3881" i="3"/>
  <c r="AF31" i="6"/>
  <c r="L3865" i="3"/>
  <c r="L4216" i="3"/>
  <c r="L4148" i="3"/>
  <c r="L4163" i="3"/>
  <c r="L4178" i="3"/>
  <c r="L4199" i="3"/>
  <c r="L4214" i="3"/>
  <c r="L4146" i="3"/>
  <c r="L4161" i="3"/>
  <c r="L4182" i="3"/>
  <c r="L4197" i="3"/>
  <c r="L4212" i="3"/>
  <c r="L4144" i="3"/>
  <c r="L4165" i="3"/>
  <c r="L4180" i="3"/>
  <c r="L4195" i="3"/>
  <c r="R32" i="6"/>
  <c r="AI31" i="6"/>
  <c r="AJ31" i="6" s="1"/>
  <c r="BC31" i="6"/>
  <c r="N77" i="87"/>
  <c r="B77" i="87"/>
  <c r="O78" i="87"/>
  <c r="C78" i="87" s="1"/>
  <c r="G77" i="87"/>
  <c r="K77" i="87"/>
  <c r="H77" i="87"/>
  <c r="D77" i="87"/>
  <c r="L77" i="87"/>
  <c r="E77" i="87"/>
  <c r="I77" i="87"/>
  <c r="M77" i="87"/>
  <c r="F77" i="87"/>
  <c r="J77" i="87"/>
  <c r="A73" i="87"/>
  <c r="BS32" i="6"/>
  <c r="BK31" i="6"/>
  <c r="G32" i="6"/>
  <c r="H32" i="6"/>
  <c r="BQ32" i="6"/>
  <c r="BR32" i="6"/>
  <c r="BT32" i="6"/>
  <c r="I32" i="6"/>
  <c r="AU32" i="6"/>
  <c r="Y32" i="6"/>
  <c r="AO32" i="6"/>
  <c r="AC32" i="6"/>
  <c r="AV32" i="6"/>
  <c r="AL32" i="6"/>
  <c r="AR32" i="6"/>
  <c r="U32" i="6"/>
  <c r="BJ31" i="6"/>
  <c r="AX32" i="6"/>
  <c r="AT32" i="6"/>
  <c r="F32" i="6"/>
  <c r="AM32" i="6"/>
  <c r="AE32" i="6"/>
  <c r="O31" i="6"/>
  <c r="C32" i="6"/>
  <c r="AS32" i="6"/>
  <c r="W32" i="6"/>
  <c r="T32" i="6"/>
  <c r="AA32" i="6"/>
  <c r="AD32" i="6"/>
  <c r="AP32" i="6"/>
  <c r="AW32" i="6"/>
  <c r="BV32" i="6"/>
  <c r="BD31" i="6"/>
  <c r="AB32" i="6"/>
  <c r="Q32" i="6"/>
  <c r="V32" i="6"/>
  <c r="K32" i="6" l="1"/>
  <c r="S32" i="6"/>
  <c r="M29" i="6"/>
  <c r="N29" i="6" s="1"/>
  <c r="L30" i="6"/>
  <c r="N78" i="87"/>
  <c r="B78" i="87"/>
  <c r="O79" i="87"/>
  <c r="C79" i="87" s="1"/>
  <c r="D78" i="87"/>
  <c r="H78" i="87"/>
  <c r="L78" i="87"/>
  <c r="I78" i="87"/>
  <c r="E78" i="87"/>
  <c r="M78" i="87"/>
  <c r="F78" i="87"/>
  <c r="J78" i="87"/>
  <c r="K78" i="87"/>
  <c r="G78" i="87"/>
  <c r="A74" i="87"/>
  <c r="M30" i="6"/>
  <c r="P31" i="6"/>
  <c r="BU32" i="6"/>
  <c r="X32" i="6"/>
  <c r="Z32" i="6"/>
  <c r="AQ32" i="6"/>
  <c r="AN32" i="6"/>
  <c r="N30" i="6" l="1"/>
  <c r="AY32" i="6"/>
  <c r="AF32" i="6"/>
  <c r="BP33" i="6"/>
  <c r="AK31" i="6"/>
  <c r="AH32" i="6"/>
  <c r="O32" i="6"/>
  <c r="AZ32" i="6"/>
  <c r="AI32" i="6" l="1"/>
  <c r="N79" i="87"/>
  <c r="B79" i="87"/>
  <c r="O80" i="87"/>
  <c r="C80" i="87" s="1"/>
  <c r="E79" i="87"/>
  <c r="I79" i="87"/>
  <c r="M79" i="87"/>
  <c r="F79" i="87"/>
  <c r="J79" i="87"/>
  <c r="G79" i="87"/>
  <c r="K79" i="87"/>
  <c r="L79" i="87"/>
  <c r="D79" i="87"/>
  <c r="H79" i="87"/>
  <c r="A75" i="87"/>
  <c r="AG32" i="6"/>
  <c r="BA32" i="6"/>
  <c r="BC32" i="6" l="1"/>
  <c r="AJ32" i="6"/>
  <c r="N80" i="87"/>
  <c r="B80" i="87"/>
  <c r="F80" i="87"/>
  <c r="J80" i="87"/>
  <c r="K80" i="87"/>
  <c r="G80" i="87"/>
  <c r="D80" i="87"/>
  <c r="H80" i="87"/>
  <c r="L80" i="87"/>
  <c r="E80" i="87"/>
  <c r="I80" i="87"/>
  <c r="M80" i="87"/>
  <c r="A76" i="87"/>
  <c r="M31" i="6"/>
  <c r="P32" i="6"/>
  <c r="BN31" i="6"/>
  <c r="B33" i="6"/>
  <c r="D33" i="6" s="1"/>
  <c r="BL27" i="6"/>
  <c r="BL28" i="6" s="1"/>
  <c r="BO34" i="6"/>
  <c r="A32" i="6"/>
  <c r="BH32" i="6"/>
  <c r="BI32" i="6"/>
  <c r="L3870" i="3"/>
  <c r="L3845" i="3"/>
  <c r="L3867" i="3"/>
  <c r="L3848" i="3"/>
  <c r="L3844" i="3"/>
  <c r="L3866" i="3"/>
  <c r="L3846" i="3"/>
  <c r="L3868" i="3"/>
  <c r="L3849" i="3"/>
  <c r="L3847" i="3"/>
  <c r="L3869" i="3"/>
  <c r="L3880" i="3"/>
  <c r="L3859" i="3"/>
  <c r="L3856" i="3"/>
  <c r="L3855" i="3"/>
  <c r="L3854" i="3"/>
  <c r="L3853" i="3"/>
  <c r="L3852" i="3"/>
  <c r="L3851" i="3"/>
  <c r="L3850" i="3"/>
  <c r="L3843" i="3"/>
  <c r="L3842" i="3"/>
  <c r="L3841" i="3"/>
  <c r="L3840" i="3"/>
  <c r="L3839" i="3"/>
  <c r="N2281" i="3"/>
  <c r="D2281" i="3"/>
  <c r="N2280" i="3"/>
  <c r="D2280" i="3"/>
  <c r="N2283" i="3"/>
  <c r="N2284" i="3"/>
  <c r="N2287" i="3"/>
  <c r="N2288" i="3"/>
  <c r="N2289" i="3"/>
  <c r="N2290" i="3"/>
  <c r="N2291" i="3"/>
  <c r="N2297" i="3"/>
  <c r="D2297" i="3"/>
  <c r="A2297" i="3"/>
  <c r="D2291" i="3"/>
  <c r="D2290" i="3"/>
  <c r="D2289" i="3"/>
  <c r="D2288" i="3"/>
  <c r="D2287" i="3"/>
  <c r="D2284" i="3"/>
  <c r="D2283" i="3"/>
  <c r="N2508" i="3"/>
  <c r="D2508" i="3"/>
  <c r="A2508" i="3"/>
  <c r="N2506" i="3"/>
  <c r="D2506" i="3"/>
  <c r="A2506" i="3"/>
  <c r="N2505" i="3"/>
  <c r="D2505" i="3"/>
  <c r="A2505" i="3"/>
  <c r="N2504" i="3"/>
  <c r="D2504" i="3"/>
  <c r="A2504" i="3"/>
  <c r="N2503" i="3"/>
  <c r="D2503" i="3"/>
  <c r="A2503" i="3"/>
  <c r="N2502" i="3"/>
  <c r="D2502" i="3"/>
  <c r="A2502" i="3"/>
  <c r="N2501" i="3"/>
  <c r="D2501" i="3"/>
  <c r="A2501" i="3"/>
  <c r="N2500" i="3"/>
  <c r="D2500" i="3"/>
  <c r="A2500" i="3"/>
  <c r="N2499" i="3"/>
  <c r="D2499" i="3"/>
  <c r="A2499" i="3"/>
  <c r="N2498" i="3"/>
  <c r="D2498" i="3"/>
  <c r="A2498" i="3"/>
  <c r="N2497" i="3"/>
  <c r="D2497" i="3"/>
  <c r="A2497" i="3"/>
  <c r="N2496" i="3"/>
  <c r="D2496" i="3"/>
  <c r="A2496" i="3"/>
  <c r="N2495" i="3"/>
  <c r="D2495" i="3"/>
  <c r="A2495" i="3"/>
  <c r="N2494" i="3"/>
  <c r="D2494" i="3"/>
  <c r="A2494" i="3"/>
  <c r="N2493" i="3"/>
  <c r="D2493" i="3"/>
  <c r="A2493" i="3"/>
  <c r="N2492" i="3"/>
  <c r="D2492" i="3"/>
  <c r="N2490" i="3"/>
  <c r="D2490" i="3"/>
  <c r="A2490" i="3"/>
  <c r="N2488" i="3"/>
  <c r="D2488" i="3"/>
  <c r="A2488" i="3"/>
  <c r="N2487" i="3"/>
  <c r="D2487" i="3"/>
  <c r="A2487" i="3"/>
  <c r="N2486" i="3"/>
  <c r="D2486" i="3"/>
  <c r="A2486" i="3"/>
  <c r="N2485" i="3"/>
  <c r="D2485" i="3"/>
  <c r="A2485" i="3"/>
  <c r="N2484" i="3"/>
  <c r="D2484" i="3"/>
  <c r="A2484" i="3"/>
  <c r="N2483" i="3"/>
  <c r="D2483" i="3"/>
  <c r="A2483" i="3"/>
  <c r="N2482" i="3"/>
  <c r="D2482" i="3"/>
  <c r="A2482" i="3"/>
  <c r="N2481" i="3"/>
  <c r="D2481" i="3"/>
  <c r="A2481" i="3"/>
  <c r="N2480" i="3"/>
  <c r="D2480" i="3"/>
  <c r="A2480" i="3"/>
  <c r="N2479" i="3"/>
  <c r="D2479" i="3"/>
  <c r="A2479" i="3"/>
  <c r="N2478" i="3"/>
  <c r="D2478" i="3"/>
  <c r="A2478" i="3"/>
  <c r="N2477" i="3"/>
  <c r="D2477" i="3"/>
  <c r="A2477" i="3"/>
  <c r="N2476" i="3"/>
  <c r="D2476" i="3"/>
  <c r="A2476" i="3"/>
  <c r="N2475" i="3"/>
  <c r="D2475" i="3"/>
  <c r="A2475" i="3"/>
  <c r="N2474" i="3"/>
  <c r="D2474" i="3"/>
  <c r="N2472" i="3"/>
  <c r="D2472" i="3"/>
  <c r="A2472" i="3"/>
  <c r="N2470" i="3"/>
  <c r="D2470" i="3"/>
  <c r="A2470" i="3"/>
  <c r="N2469" i="3"/>
  <c r="D2469" i="3"/>
  <c r="A2469" i="3"/>
  <c r="N2468" i="3"/>
  <c r="D2468" i="3"/>
  <c r="A2468" i="3"/>
  <c r="N2467" i="3"/>
  <c r="D2467" i="3"/>
  <c r="A2467" i="3"/>
  <c r="N2466" i="3"/>
  <c r="D2466" i="3"/>
  <c r="A2466" i="3"/>
  <c r="N2465" i="3"/>
  <c r="D2465" i="3"/>
  <c r="A2465" i="3"/>
  <c r="N2464" i="3"/>
  <c r="D2464" i="3"/>
  <c r="A2464" i="3"/>
  <c r="N2463" i="3"/>
  <c r="D2463" i="3"/>
  <c r="A2463" i="3"/>
  <c r="N2462" i="3"/>
  <c r="D2462" i="3"/>
  <c r="A2462" i="3"/>
  <c r="N2461" i="3"/>
  <c r="D2461" i="3"/>
  <c r="A2461" i="3"/>
  <c r="N2460" i="3"/>
  <c r="D2460" i="3"/>
  <c r="A2460" i="3"/>
  <c r="N2459" i="3"/>
  <c r="D2459" i="3"/>
  <c r="A2459" i="3"/>
  <c r="N2458" i="3"/>
  <c r="D2458" i="3"/>
  <c r="A2458" i="3"/>
  <c r="N2457" i="3"/>
  <c r="D2457" i="3"/>
  <c r="A2457" i="3"/>
  <c r="N2456" i="3"/>
  <c r="D2456" i="3"/>
  <c r="A2441" i="3"/>
  <c r="D2441" i="3"/>
  <c r="N2441" i="3"/>
  <c r="D2438" i="3"/>
  <c r="N2438" i="3"/>
  <c r="A2439" i="3"/>
  <c r="D2439" i="3"/>
  <c r="N2439" i="3"/>
  <c r="A2440" i="3"/>
  <c r="D2440" i="3"/>
  <c r="N2440" i="3"/>
  <c r="A2442" i="3"/>
  <c r="D2442" i="3"/>
  <c r="N2442" i="3"/>
  <c r="A2443" i="3"/>
  <c r="D2443" i="3"/>
  <c r="N2443" i="3"/>
  <c r="A2444" i="3"/>
  <c r="D2444" i="3"/>
  <c r="N2444" i="3"/>
  <c r="A2445" i="3"/>
  <c r="D2445" i="3"/>
  <c r="N2445" i="3"/>
  <c r="A2446" i="3"/>
  <c r="D2446" i="3"/>
  <c r="N2446" i="3"/>
  <c r="A2447" i="3"/>
  <c r="D2447" i="3"/>
  <c r="N2447" i="3"/>
  <c r="A2448" i="3"/>
  <c r="D2448" i="3"/>
  <c r="N2448" i="3"/>
  <c r="A2449" i="3"/>
  <c r="D2449" i="3"/>
  <c r="N2449" i="3"/>
  <c r="A2450" i="3"/>
  <c r="D2450" i="3"/>
  <c r="N2450" i="3"/>
  <c r="A2451" i="3"/>
  <c r="D2451" i="3"/>
  <c r="N2451" i="3"/>
  <c r="A2452" i="3"/>
  <c r="D2452" i="3"/>
  <c r="N2452" i="3"/>
  <c r="A2454" i="3"/>
  <c r="D2454" i="3"/>
  <c r="N2454" i="3"/>
  <c r="A2686" i="3"/>
  <c r="D2686" i="3"/>
  <c r="N2686" i="3"/>
  <c r="N2279" i="3"/>
  <c r="D2279" i="3"/>
  <c r="A2279" i="3"/>
  <c r="N2278" i="3"/>
  <c r="D2278" i="3"/>
  <c r="A2278" i="3"/>
  <c r="N2277" i="3"/>
  <c r="D2277" i="3"/>
  <c r="A2277" i="3"/>
  <c r="N2276" i="3"/>
  <c r="D2276" i="3"/>
  <c r="A2276" i="3"/>
  <c r="N2275" i="3"/>
  <c r="D2275" i="3"/>
  <c r="A2275" i="3"/>
  <c r="N2274" i="3"/>
  <c r="D2274" i="3"/>
  <c r="A2274" i="3"/>
  <c r="N2273" i="3"/>
  <c r="D2273" i="3"/>
  <c r="A2273" i="3"/>
  <c r="N2272" i="3"/>
  <c r="D2272" i="3"/>
  <c r="A2272" i="3"/>
  <c r="N2271" i="3"/>
  <c r="D2271" i="3"/>
  <c r="A2271" i="3"/>
  <c r="N2270" i="3"/>
  <c r="D2270" i="3"/>
  <c r="A2270" i="3"/>
  <c r="N2269" i="3"/>
  <c r="D2269" i="3"/>
  <c r="A2269" i="3"/>
  <c r="N2268" i="3"/>
  <c r="D2268" i="3"/>
  <c r="A2268" i="3"/>
  <c r="N2267" i="3"/>
  <c r="D2267" i="3"/>
  <c r="A2267" i="3"/>
  <c r="N2266" i="3"/>
  <c r="D2266" i="3"/>
  <c r="A2266" i="3"/>
  <c r="N2265" i="3"/>
  <c r="D2265" i="3"/>
  <c r="A2265" i="3"/>
  <c r="N2264" i="3"/>
  <c r="D2264" i="3"/>
  <c r="A2264" i="3"/>
  <c r="N2263" i="3"/>
  <c r="D2263" i="3"/>
  <c r="A2263" i="3"/>
  <c r="D2262" i="3"/>
  <c r="A2262" i="3"/>
  <c r="N2261" i="3"/>
  <c r="D2261" i="3"/>
  <c r="A2261" i="3"/>
  <c r="N2260" i="3"/>
  <c r="D2260" i="3"/>
  <c r="A2260" i="3"/>
  <c r="N2259" i="3"/>
  <c r="D2259" i="3"/>
  <c r="A2259" i="3"/>
  <c r="N2258" i="3"/>
  <c r="D2258" i="3"/>
  <c r="A2258" i="3"/>
  <c r="N2257" i="3"/>
  <c r="D2257" i="3"/>
  <c r="A2257" i="3"/>
  <c r="N2256" i="3"/>
  <c r="D2256" i="3"/>
  <c r="A2256" i="3"/>
  <c r="N2255" i="3"/>
  <c r="D2255" i="3"/>
  <c r="N2248" i="3"/>
  <c r="D2248" i="3"/>
  <c r="A2248" i="3"/>
  <c r="N2247" i="3"/>
  <c r="D2247" i="3"/>
  <c r="A2247" i="3"/>
  <c r="A2243" i="3"/>
  <c r="D2243" i="3"/>
  <c r="N2243" i="3"/>
  <c r="A2244" i="3"/>
  <c r="D2244" i="3"/>
  <c r="N2244" i="3"/>
  <c r="N2253" i="3"/>
  <c r="D2253" i="3"/>
  <c r="A2253" i="3"/>
  <c r="N2252" i="3"/>
  <c r="D2252" i="3"/>
  <c r="A2252" i="3"/>
  <c r="N2251" i="3"/>
  <c r="D2251" i="3"/>
  <c r="A2251" i="3"/>
  <c r="N2250" i="3"/>
  <c r="D2250" i="3"/>
  <c r="A2250" i="3"/>
  <c r="N2249" i="3"/>
  <c r="D2249" i="3"/>
  <c r="A2249" i="3"/>
  <c r="N2246" i="3"/>
  <c r="D2246" i="3"/>
  <c r="A2246" i="3"/>
  <c r="N2245" i="3"/>
  <c r="D2245" i="3"/>
  <c r="A2245" i="3"/>
  <c r="N2242" i="3"/>
  <c r="D2242" i="3"/>
  <c r="A2242" i="3"/>
  <c r="N2241" i="3"/>
  <c r="D2241" i="3"/>
  <c r="A2241" i="3"/>
  <c r="N2240" i="3"/>
  <c r="D2240" i="3"/>
  <c r="A2240" i="3"/>
  <c r="N2239" i="3"/>
  <c r="D2239" i="3"/>
  <c r="A2239" i="3"/>
  <c r="N2238" i="3"/>
  <c r="D2238" i="3"/>
  <c r="A2238" i="3"/>
  <c r="D2237" i="3"/>
  <c r="A2237" i="3"/>
  <c r="N2236" i="3"/>
  <c r="D2236" i="3"/>
  <c r="A2236" i="3"/>
  <c r="N2235" i="3"/>
  <c r="D2235" i="3"/>
  <c r="A2235" i="3"/>
  <c r="N2234" i="3"/>
  <c r="D2234" i="3"/>
  <c r="A2234" i="3"/>
  <c r="N2233" i="3"/>
  <c r="D2233" i="3"/>
  <c r="A2233" i="3"/>
  <c r="N2232" i="3"/>
  <c r="D2232" i="3"/>
  <c r="A2232" i="3"/>
  <c r="N2231" i="3"/>
  <c r="D2231" i="3"/>
  <c r="A2231" i="3"/>
  <c r="N2230" i="3"/>
  <c r="D2230" i="3"/>
  <c r="A2218" i="3"/>
  <c r="A2219" i="3"/>
  <c r="A2220" i="3"/>
  <c r="A2221" i="3"/>
  <c r="A2222" i="3"/>
  <c r="A2225" i="3"/>
  <c r="A2226" i="3"/>
  <c r="A2227" i="3"/>
  <c r="A2228" i="3"/>
  <c r="A2229" i="3"/>
  <c r="BD32" i="6"/>
  <c r="AK32" i="6"/>
  <c r="R33" i="6" l="1"/>
  <c r="L31" i="6"/>
  <c r="N31" i="6" s="1"/>
  <c r="A77" i="87"/>
  <c r="U2246" i="3"/>
  <c r="X2246" i="3"/>
  <c r="U2252" i="3"/>
  <c r="X2252" i="3"/>
  <c r="U2244" i="3"/>
  <c r="X2244" i="3"/>
  <c r="U2247" i="3"/>
  <c r="X2247" i="3"/>
  <c r="U2256" i="3"/>
  <c r="X2256" i="3"/>
  <c r="U2260" i="3"/>
  <c r="X2260" i="3"/>
  <c r="U2263" i="3"/>
  <c r="X2263" i="3"/>
  <c r="U2267" i="3"/>
  <c r="X2267" i="3"/>
  <c r="U2271" i="3"/>
  <c r="X2271" i="3"/>
  <c r="U2275" i="3"/>
  <c r="X2275" i="3"/>
  <c r="U2279" i="3"/>
  <c r="X2279" i="3"/>
  <c r="U2454" i="3"/>
  <c r="X2454" i="3"/>
  <c r="U2449" i="3"/>
  <c r="X2449" i="3"/>
  <c r="U2445" i="3"/>
  <c r="X2445" i="3"/>
  <c r="U2440" i="3"/>
  <c r="X2440" i="3"/>
  <c r="U2441" i="3"/>
  <c r="X2441" i="3"/>
  <c r="U2456" i="3"/>
  <c r="X2456" i="3"/>
  <c r="U2460" i="3"/>
  <c r="X2460" i="3"/>
  <c r="U2464" i="3"/>
  <c r="X2464" i="3"/>
  <c r="U2468" i="3"/>
  <c r="X2468" i="3"/>
  <c r="U2477" i="3"/>
  <c r="X2477" i="3"/>
  <c r="U2481" i="3"/>
  <c r="X2481" i="3"/>
  <c r="U2485" i="3"/>
  <c r="X2485" i="3"/>
  <c r="U2490" i="3"/>
  <c r="X2490" i="3"/>
  <c r="U2494" i="3"/>
  <c r="X2494" i="3"/>
  <c r="U2498" i="3"/>
  <c r="X2498" i="3"/>
  <c r="U2502" i="3"/>
  <c r="X2502" i="3"/>
  <c r="U2506" i="3"/>
  <c r="X2506" i="3"/>
  <c r="U2289" i="3"/>
  <c r="X2289" i="3"/>
  <c r="U2283" i="3"/>
  <c r="X2283" i="3"/>
  <c r="U2281" i="3"/>
  <c r="X2281" i="3"/>
  <c r="U2233" i="3"/>
  <c r="X2233" i="3"/>
  <c r="U2232" i="3"/>
  <c r="X2232" i="3"/>
  <c r="U2239" i="3"/>
  <c r="X2239" i="3"/>
  <c r="U2245" i="3"/>
  <c r="X2245" i="3"/>
  <c r="U2251" i="3"/>
  <c r="X2251" i="3"/>
  <c r="U2255" i="3"/>
  <c r="X2255" i="3"/>
  <c r="U2259" i="3"/>
  <c r="X2259" i="3"/>
  <c r="U2266" i="3"/>
  <c r="X2266" i="3"/>
  <c r="U2270" i="3"/>
  <c r="X2270" i="3"/>
  <c r="U2274" i="3"/>
  <c r="X2274" i="3"/>
  <c r="U2278" i="3"/>
  <c r="X2278" i="3"/>
  <c r="U2686" i="3"/>
  <c r="X2686" i="3"/>
  <c r="U2450" i="3"/>
  <c r="X2450" i="3"/>
  <c r="U2446" i="3"/>
  <c r="X2446" i="3"/>
  <c r="U2442" i="3"/>
  <c r="X2442" i="3"/>
  <c r="U2459" i="3"/>
  <c r="X2459" i="3"/>
  <c r="U2463" i="3"/>
  <c r="X2463" i="3"/>
  <c r="U2467" i="3"/>
  <c r="X2467" i="3"/>
  <c r="U2472" i="3"/>
  <c r="X2472" i="3"/>
  <c r="U2476" i="3"/>
  <c r="X2476" i="3"/>
  <c r="U2480" i="3"/>
  <c r="X2480" i="3"/>
  <c r="U2484" i="3"/>
  <c r="X2484" i="3"/>
  <c r="U2488" i="3"/>
  <c r="X2488" i="3"/>
  <c r="U2493" i="3"/>
  <c r="X2493" i="3"/>
  <c r="U2497" i="3"/>
  <c r="X2497" i="3"/>
  <c r="U2501" i="3"/>
  <c r="X2501" i="3"/>
  <c r="U2505" i="3"/>
  <c r="X2505" i="3"/>
  <c r="U2297" i="3"/>
  <c r="X2297" i="3"/>
  <c r="U2288" i="3"/>
  <c r="X2288" i="3"/>
  <c r="U2240" i="3"/>
  <c r="X2240" i="3"/>
  <c r="U2236" i="3"/>
  <c r="X2236" i="3"/>
  <c r="U2231" i="3"/>
  <c r="X2231" i="3"/>
  <c r="U2235" i="3"/>
  <c r="X2235" i="3"/>
  <c r="U2238" i="3"/>
  <c r="X2238" i="3"/>
  <c r="U2242" i="3"/>
  <c r="X2242" i="3"/>
  <c r="U2250" i="3"/>
  <c r="X2250" i="3"/>
  <c r="U2258" i="3"/>
  <c r="X2258" i="3"/>
  <c r="U2265" i="3"/>
  <c r="X2265" i="3"/>
  <c r="U2269" i="3"/>
  <c r="X2269" i="3"/>
  <c r="U2273" i="3"/>
  <c r="X2273" i="3"/>
  <c r="U2277" i="3"/>
  <c r="X2277" i="3"/>
  <c r="U2451" i="3"/>
  <c r="X2451" i="3"/>
  <c r="U2447" i="3"/>
  <c r="X2447" i="3"/>
  <c r="U2443" i="3"/>
  <c r="X2443" i="3"/>
  <c r="U2438" i="3"/>
  <c r="X2438" i="3"/>
  <c r="U2458" i="3"/>
  <c r="X2458" i="3"/>
  <c r="U2462" i="3"/>
  <c r="X2462" i="3"/>
  <c r="U2466" i="3"/>
  <c r="X2466" i="3"/>
  <c r="U2470" i="3"/>
  <c r="X2470" i="3"/>
  <c r="U2475" i="3"/>
  <c r="X2475" i="3"/>
  <c r="U2479" i="3"/>
  <c r="X2479" i="3"/>
  <c r="U2483" i="3"/>
  <c r="X2483" i="3"/>
  <c r="U2487" i="3"/>
  <c r="X2487" i="3"/>
  <c r="U2492" i="3"/>
  <c r="X2492" i="3"/>
  <c r="U2496" i="3"/>
  <c r="X2496" i="3"/>
  <c r="U2500" i="3"/>
  <c r="X2500" i="3"/>
  <c r="U2504" i="3"/>
  <c r="X2504" i="3"/>
  <c r="U2291" i="3"/>
  <c r="X2291" i="3"/>
  <c r="U2287" i="3"/>
  <c r="X2287" i="3"/>
  <c r="U2280" i="3"/>
  <c r="X2280" i="3"/>
  <c r="U2230" i="3"/>
  <c r="X2230" i="3"/>
  <c r="U2234" i="3"/>
  <c r="X2234" i="3"/>
  <c r="U2241" i="3"/>
  <c r="X2241" i="3"/>
  <c r="U2249" i="3"/>
  <c r="X2249" i="3"/>
  <c r="U2253" i="3"/>
  <c r="X2253" i="3"/>
  <c r="U2243" i="3"/>
  <c r="X2243" i="3"/>
  <c r="U2248" i="3"/>
  <c r="X2248" i="3"/>
  <c r="U2257" i="3"/>
  <c r="X2257" i="3"/>
  <c r="U2261" i="3"/>
  <c r="X2261" i="3"/>
  <c r="U2264" i="3"/>
  <c r="X2264" i="3"/>
  <c r="U2268" i="3"/>
  <c r="X2268" i="3"/>
  <c r="U2272" i="3"/>
  <c r="X2272" i="3"/>
  <c r="U2276" i="3"/>
  <c r="X2276" i="3"/>
  <c r="U2452" i="3"/>
  <c r="X2452" i="3"/>
  <c r="U2448" i="3"/>
  <c r="X2448" i="3"/>
  <c r="U2444" i="3"/>
  <c r="X2444" i="3"/>
  <c r="U2439" i="3"/>
  <c r="X2439" i="3"/>
  <c r="U2457" i="3"/>
  <c r="X2457" i="3"/>
  <c r="U2461" i="3"/>
  <c r="X2461" i="3"/>
  <c r="U2465" i="3"/>
  <c r="X2465" i="3"/>
  <c r="U2469" i="3"/>
  <c r="X2469" i="3"/>
  <c r="U2474" i="3"/>
  <c r="X2474" i="3"/>
  <c r="U2478" i="3"/>
  <c r="X2478" i="3"/>
  <c r="U2482" i="3"/>
  <c r="X2482" i="3"/>
  <c r="U2486" i="3"/>
  <c r="X2486" i="3"/>
  <c r="U2495" i="3"/>
  <c r="X2495" i="3"/>
  <c r="U2499" i="3"/>
  <c r="X2499" i="3"/>
  <c r="U2503" i="3"/>
  <c r="X2503" i="3"/>
  <c r="U2508" i="3"/>
  <c r="X2508" i="3"/>
  <c r="U2290" i="3"/>
  <c r="X2290" i="3"/>
  <c r="U2284" i="3"/>
  <c r="X2284" i="3"/>
  <c r="M32" i="6"/>
  <c r="G33" i="6"/>
  <c r="F33" i="6"/>
  <c r="BQ33" i="6"/>
  <c r="H33" i="6"/>
  <c r="C33" i="6"/>
  <c r="BV33" i="6"/>
  <c r="BT33" i="6"/>
  <c r="I33" i="6"/>
  <c r="AN33" i="6"/>
  <c r="AM33" i="6"/>
  <c r="Z33" i="6"/>
  <c r="AD33" i="6"/>
  <c r="Y33" i="6"/>
  <c r="U33" i="6"/>
  <c r="AA33" i="6"/>
  <c r="AR33" i="6"/>
  <c r="BU33" i="6"/>
  <c r="AU33" i="6"/>
  <c r="BR33" i="6"/>
  <c r="AV33" i="6"/>
  <c r="Q33" i="6"/>
  <c r="AQ33" i="6"/>
  <c r="AW33" i="6"/>
  <c r="AL33" i="6"/>
  <c r="AS33" i="6"/>
  <c r="K33" i="6" l="1"/>
  <c r="S33" i="6"/>
  <c r="L32" i="6"/>
  <c r="N32" i="6" s="1"/>
  <c r="A78" i="87"/>
  <c r="AO33" i="6"/>
  <c r="AC33" i="6"/>
  <c r="BP34" i="6"/>
  <c r="T33" i="6"/>
  <c r="AE33" i="6"/>
  <c r="AX33" i="6"/>
  <c r="AP33" i="6"/>
  <c r="AB33" i="6"/>
  <c r="W33" i="6"/>
  <c r="V33" i="6"/>
  <c r="BJ32" i="6"/>
  <c r="AT33" i="6"/>
  <c r="AY33" i="6" l="1"/>
  <c r="BS33" i="6"/>
  <c r="BK32" i="6"/>
  <c r="AH33" i="6"/>
  <c r="AG33" i="6"/>
  <c r="AZ33" i="6"/>
  <c r="AI33" i="6" l="1"/>
  <c r="AJ33" i="6" s="1"/>
  <c r="A79" i="87"/>
  <c r="A80" i="87"/>
  <c r="BN32" i="6"/>
  <c r="B34" i="6"/>
  <c r="D34" i="6" s="1"/>
  <c r="BL29" i="6"/>
  <c r="BL30" i="6" s="1"/>
  <c r="BO35" i="6"/>
  <c r="A33" i="6"/>
  <c r="BH33" i="6"/>
  <c r="BI33" i="6"/>
  <c r="D2226" i="3"/>
  <c r="N2226" i="3"/>
  <c r="BK33" i="6"/>
  <c r="BP35" i="6"/>
  <c r="BA33" i="6"/>
  <c r="BJ33" i="6"/>
  <c r="O33" i="6"/>
  <c r="X33" i="6"/>
  <c r="BC33" i="6" l="1"/>
  <c r="AF33" i="6"/>
  <c r="R34" i="6"/>
  <c r="U2226" i="3"/>
  <c r="X2226" i="3"/>
  <c r="P33" i="6"/>
  <c r="BN33" i="6"/>
  <c r="B35" i="6"/>
  <c r="D35" i="6" s="1"/>
  <c r="BO36" i="6"/>
  <c r="BL31" i="6"/>
  <c r="BL32" i="6" s="1"/>
  <c r="A34" i="6"/>
  <c r="BI34" i="6"/>
  <c r="BH34" i="6"/>
  <c r="N25" i="3"/>
  <c r="D25" i="3"/>
  <c r="A25" i="3"/>
  <c r="N24" i="3"/>
  <c r="D24" i="3"/>
  <c r="L771" i="3"/>
  <c r="L752" i="3"/>
  <c r="L734" i="3"/>
  <c r="L716" i="3"/>
  <c r="L449" i="3"/>
  <c r="L428" i="3"/>
  <c r="L413" i="3"/>
  <c r="L399" i="3"/>
  <c r="N673" i="3"/>
  <c r="D673" i="3"/>
  <c r="A673" i="3"/>
  <c r="W673" i="3" s="1"/>
  <c r="N672" i="3"/>
  <c r="D672" i="3"/>
  <c r="A672" i="3"/>
  <c r="W672" i="3" s="1"/>
  <c r="N671" i="3"/>
  <c r="D671" i="3"/>
  <c r="A671" i="3"/>
  <c r="W671" i="3" s="1"/>
  <c r="N670" i="3"/>
  <c r="D670" i="3"/>
  <c r="N665" i="3"/>
  <c r="D665" i="3"/>
  <c r="A665" i="3"/>
  <c r="W665" i="3" s="1"/>
  <c r="N664" i="3"/>
  <c r="D664" i="3"/>
  <c r="A664" i="3"/>
  <c r="W664" i="3" s="1"/>
  <c r="N663" i="3"/>
  <c r="D663" i="3"/>
  <c r="A663" i="3"/>
  <c r="W663" i="3" s="1"/>
  <c r="N662" i="3"/>
  <c r="D662" i="3"/>
  <c r="A662" i="3"/>
  <c r="W662" i="3" s="1"/>
  <c r="N661" i="3"/>
  <c r="D661" i="3"/>
  <c r="A661" i="3"/>
  <c r="W661" i="3" s="1"/>
  <c r="N660" i="3"/>
  <c r="D660" i="3"/>
  <c r="A660" i="3"/>
  <c r="W660" i="3" s="1"/>
  <c r="N659" i="3"/>
  <c r="D659" i="3"/>
  <c r="A659" i="3"/>
  <c r="W659" i="3" s="1"/>
  <c r="N658" i="3"/>
  <c r="D658" i="3"/>
  <c r="N657" i="3"/>
  <c r="D657" i="3"/>
  <c r="A657" i="3"/>
  <c r="W657" i="3" s="1"/>
  <c r="N656" i="3"/>
  <c r="D656" i="3"/>
  <c r="A656" i="3"/>
  <c r="W656" i="3" s="1"/>
  <c r="N655" i="3"/>
  <c r="D655" i="3"/>
  <c r="A655" i="3"/>
  <c r="W655" i="3" s="1"/>
  <c r="N654" i="3"/>
  <c r="D654" i="3"/>
  <c r="A654" i="3"/>
  <c r="W654" i="3" s="1"/>
  <c r="N653" i="3"/>
  <c r="D653" i="3"/>
  <c r="A653" i="3"/>
  <c r="W653" i="3" s="1"/>
  <c r="N652" i="3"/>
  <c r="D652" i="3"/>
  <c r="A652" i="3"/>
  <c r="W652" i="3" s="1"/>
  <c r="N651" i="3"/>
  <c r="D651" i="3"/>
  <c r="N650" i="3"/>
  <c r="D650" i="3"/>
  <c r="A650" i="3"/>
  <c r="W650" i="3" s="1"/>
  <c r="N649" i="3"/>
  <c r="D649" i="3"/>
  <c r="A649" i="3"/>
  <c r="W649" i="3" s="1"/>
  <c r="N648" i="3"/>
  <c r="D648" i="3"/>
  <c r="A648" i="3"/>
  <c r="W648" i="3" s="1"/>
  <c r="N647" i="3"/>
  <c r="D647" i="3"/>
  <c r="A647" i="3"/>
  <c r="W647" i="3" s="1"/>
  <c r="N646" i="3"/>
  <c r="D646" i="3"/>
  <c r="A646" i="3"/>
  <c r="W646" i="3" s="1"/>
  <c r="N645" i="3"/>
  <c r="D645" i="3"/>
  <c r="N644" i="3"/>
  <c r="D644" i="3"/>
  <c r="A644" i="3"/>
  <c r="W644" i="3" s="1"/>
  <c r="N643" i="3"/>
  <c r="D643" i="3"/>
  <c r="A643" i="3"/>
  <c r="W643" i="3" s="1"/>
  <c r="N642" i="3"/>
  <c r="D642" i="3"/>
  <c r="A642" i="3"/>
  <c r="W642" i="3" s="1"/>
  <c r="N641" i="3"/>
  <c r="D641" i="3"/>
  <c r="A641" i="3"/>
  <c r="W641" i="3" s="1"/>
  <c r="N640" i="3"/>
  <c r="D640" i="3"/>
  <c r="A640" i="3"/>
  <c r="W640" i="3" s="1"/>
  <c r="N639" i="3"/>
  <c r="D639" i="3"/>
  <c r="A639" i="3"/>
  <c r="W639" i="3" s="1"/>
  <c r="N638" i="3"/>
  <c r="D638" i="3"/>
  <c r="A638" i="3"/>
  <c r="W638" i="3" s="1"/>
  <c r="N637" i="3"/>
  <c r="D637" i="3"/>
  <c r="N636" i="3"/>
  <c r="D636" i="3"/>
  <c r="A636" i="3"/>
  <c r="W636" i="3" s="1"/>
  <c r="N635" i="3"/>
  <c r="D635" i="3"/>
  <c r="A635" i="3"/>
  <c r="W635" i="3" s="1"/>
  <c r="N634" i="3"/>
  <c r="D634" i="3"/>
  <c r="A634" i="3"/>
  <c r="W634" i="3" s="1"/>
  <c r="N633" i="3"/>
  <c r="D633" i="3"/>
  <c r="A633" i="3"/>
  <c r="W633" i="3" s="1"/>
  <c r="N632" i="3"/>
  <c r="D632" i="3"/>
  <c r="A632" i="3"/>
  <c r="W632" i="3" s="1"/>
  <c r="N631" i="3"/>
  <c r="D631" i="3"/>
  <c r="A631" i="3"/>
  <c r="W631" i="3" s="1"/>
  <c r="N630" i="3"/>
  <c r="D630" i="3"/>
  <c r="N629" i="3"/>
  <c r="D629" i="3"/>
  <c r="A629" i="3"/>
  <c r="W629" i="3" s="1"/>
  <c r="N628" i="3"/>
  <c r="D628" i="3"/>
  <c r="A628" i="3"/>
  <c r="W628" i="3" s="1"/>
  <c r="N627" i="3"/>
  <c r="D627" i="3"/>
  <c r="A627" i="3"/>
  <c r="W627" i="3" s="1"/>
  <c r="N626" i="3"/>
  <c r="D626" i="3"/>
  <c r="A626" i="3"/>
  <c r="W626" i="3" s="1"/>
  <c r="N625" i="3"/>
  <c r="D625" i="3"/>
  <c r="A625" i="3"/>
  <c r="W625" i="3" s="1"/>
  <c r="N624" i="3"/>
  <c r="D624" i="3"/>
  <c r="A624" i="3"/>
  <c r="W624" i="3" s="1"/>
  <c r="N623" i="3"/>
  <c r="D623" i="3"/>
  <c r="A623" i="3"/>
  <c r="W623" i="3" s="1"/>
  <c r="N622" i="3"/>
  <c r="D622" i="3"/>
  <c r="A622" i="3"/>
  <c r="W622" i="3" s="1"/>
  <c r="N621" i="3"/>
  <c r="D621" i="3"/>
  <c r="A621" i="3"/>
  <c r="W621" i="3" s="1"/>
  <c r="N620" i="3"/>
  <c r="D620" i="3"/>
  <c r="A620" i="3"/>
  <c r="W620" i="3" s="1"/>
  <c r="N619" i="3"/>
  <c r="D619" i="3"/>
  <c r="N618" i="3"/>
  <c r="D618" i="3"/>
  <c r="A618" i="3"/>
  <c r="W618" i="3" s="1"/>
  <c r="N617" i="3"/>
  <c r="D617" i="3"/>
  <c r="A617" i="3"/>
  <c r="W617" i="3" s="1"/>
  <c r="N616" i="3"/>
  <c r="D616" i="3"/>
  <c r="A616" i="3"/>
  <c r="W616" i="3" s="1"/>
  <c r="N615" i="3"/>
  <c r="D615" i="3"/>
  <c r="A615" i="3"/>
  <c r="W615" i="3" s="1"/>
  <c r="N614" i="3"/>
  <c r="D614" i="3"/>
  <c r="A614" i="3"/>
  <c r="W614" i="3" s="1"/>
  <c r="N613" i="3"/>
  <c r="D613" i="3"/>
  <c r="A613" i="3"/>
  <c r="W613" i="3" s="1"/>
  <c r="N612" i="3"/>
  <c r="D612" i="3"/>
  <c r="A612" i="3"/>
  <c r="W612" i="3" s="1"/>
  <c r="N611" i="3"/>
  <c r="D611" i="3"/>
  <c r="A611" i="3"/>
  <c r="W611" i="3" s="1"/>
  <c r="N610" i="3"/>
  <c r="D610" i="3"/>
  <c r="A610" i="3"/>
  <c r="W610" i="3" s="1"/>
  <c r="N609" i="3"/>
  <c r="D609" i="3"/>
  <c r="N608" i="3"/>
  <c r="D608" i="3"/>
  <c r="A608" i="3"/>
  <c r="W608" i="3" s="1"/>
  <c r="N607" i="3"/>
  <c r="D607" i="3"/>
  <c r="A607" i="3"/>
  <c r="W607" i="3" s="1"/>
  <c r="N606" i="3"/>
  <c r="D606" i="3"/>
  <c r="A606" i="3"/>
  <c r="W606" i="3" s="1"/>
  <c r="N605" i="3"/>
  <c r="D605" i="3"/>
  <c r="A605" i="3"/>
  <c r="W605" i="3" s="1"/>
  <c r="N604" i="3"/>
  <c r="D604" i="3"/>
  <c r="A604" i="3"/>
  <c r="W604" i="3" s="1"/>
  <c r="N603" i="3"/>
  <c r="D603" i="3"/>
  <c r="A603" i="3"/>
  <c r="W603" i="3" s="1"/>
  <c r="N602" i="3"/>
  <c r="D602" i="3"/>
  <c r="A602" i="3"/>
  <c r="W602" i="3" s="1"/>
  <c r="N601" i="3"/>
  <c r="D601" i="3"/>
  <c r="A601" i="3"/>
  <c r="W601" i="3" s="1"/>
  <c r="N600" i="3"/>
  <c r="D600" i="3"/>
  <c r="A600" i="3"/>
  <c r="W600" i="3" s="1"/>
  <c r="N599" i="3"/>
  <c r="D599" i="3"/>
  <c r="A599" i="3"/>
  <c r="W599" i="3" s="1"/>
  <c r="N598" i="3"/>
  <c r="D598" i="3"/>
  <c r="A598" i="3"/>
  <c r="W598" i="3" s="1"/>
  <c r="N597" i="3"/>
  <c r="D597" i="3"/>
  <c r="N596" i="3"/>
  <c r="D596" i="3"/>
  <c r="A596" i="3"/>
  <c r="W596" i="3" s="1"/>
  <c r="N595" i="3"/>
  <c r="D595" i="3"/>
  <c r="A595" i="3"/>
  <c r="W595" i="3" s="1"/>
  <c r="N594" i="3"/>
  <c r="D594" i="3"/>
  <c r="A594" i="3"/>
  <c r="W594" i="3" s="1"/>
  <c r="N593" i="3"/>
  <c r="D593" i="3"/>
  <c r="A593" i="3"/>
  <c r="W593" i="3" s="1"/>
  <c r="N592" i="3"/>
  <c r="D592" i="3"/>
  <c r="A592" i="3"/>
  <c r="W592" i="3" s="1"/>
  <c r="N591" i="3"/>
  <c r="D591" i="3"/>
  <c r="A591" i="3"/>
  <c r="W591" i="3" s="1"/>
  <c r="N590" i="3"/>
  <c r="D590" i="3"/>
  <c r="A590" i="3"/>
  <c r="W590" i="3" s="1"/>
  <c r="N589" i="3"/>
  <c r="D589" i="3"/>
  <c r="A589" i="3"/>
  <c r="W589" i="3" s="1"/>
  <c r="N588" i="3"/>
  <c r="D588" i="3"/>
  <c r="A588" i="3"/>
  <c r="W588" i="3" s="1"/>
  <c r="N587" i="3"/>
  <c r="D587" i="3"/>
  <c r="A587" i="3"/>
  <c r="W587" i="3" s="1"/>
  <c r="N586" i="3"/>
  <c r="D586" i="3"/>
  <c r="A586" i="3"/>
  <c r="W586" i="3" s="1"/>
  <c r="N585" i="3"/>
  <c r="D585" i="3"/>
  <c r="N584" i="3"/>
  <c r="D584" i="3"/>
  <c r="A584" i="3"/>
  <c r="W584" i="3" s="1"/>
  <c r="N583" i="3"/>
  <c r="D583" i="3"/>
  <c r="A583" i="3"/>
  <c r="W583" i="3" s="1"/>
  <c r="N582" i="3"/>
  <c r="D582" i="3"/>
  <c r="A582" i="3"/>
  <c r="W582" i="3" s="1"/>
  <c r="N581" i="3"/>
  <c r="D581" i="3"/>
  <c r="A581" i="3"/>
  <c r="W581" i="3" s="1"/>
  <c r="N580" i="3"/>
  <c r="D580" i="3"/>
  <c r="A580" i="3"/>
  <c r="W580" i="3" s="1"/>
  <c r="N579" i="3"/>
  <c r="D579" i="3"/>
  <c r="A579" i="3"/>
  <c r="W579" i="3" s="1"/>
  <c r="N578" i="3"/>
  <c r="D578" i="3"/>
  <c r="A578" i="3"/>
  <c r="W578" i="3" s="1"/>
  <c r="N577" i="3"/>
  <c r="D577" i="3"/>
  <c r="A577" i="3"/>
  <c r="W577" i="3" s="1"/>
  <c r="N576" i="3"/>
  <c r="D576" i="3"/>
  <c r="A576" i="3"/>
  <c r="W576" i="3" s="1"/>
  <c r="N575" i="3"/>
  <c r="D575" i="3"/>
  <c r="A575" i="3"/>
  <c r="W575" i="3" s="1"/>
  <c r="N574" i="3"/>
  <c r="D574" i="3"/>
  <c r="N573" i="3"/>
  <c r="D573" i="3"/>
  <c r="A573" i="3"/>
  <c r="W573" i="3" s="1"/>
  <c r="N572" i="3"/>
  <c r="D572" i="3"/>
  <c r="A572" i="3"/>
  <c r="W572" i="3" s="1"/>
  <c r="N571" i="3"/>
  <c r="D571" i="3"/>
  <c r="A571" i="3"/>
  <c r="W571" i="3" s="1"/>
  <c r="N570" i="3"/>
  <c r="D570" i="3"/>
  <c r="A570" i="3"/>
  <c r="W570" i="3" s="1"/>
  <c r="N569" i="3"/>
  <c r="D569" i="3"/>
  <c r="A569" i="3"/>
  <c r="W569" i="3" s="1"/>
  <c r="N568" i="3"/>
  <c r="D568" i="3"/>
  <c r="A568" i="3"/>
  <c r="W568" i="3" s="1"/>
  <c r="N567" i="3"/>
  <c r="D567" i="3"/>
  <c r="A567" i="3"/>
  <c r="W567" i="3" s="1"/>
  <c r="N566" i="3"/>
  <c r="D566" i="3"/>
  <c r="A566" i="3"/>
  <c r="W566" i="3" s="1"/>
  <c r="N565" i="3"/>
  <c r="D565" i="3"/>
  <c r="A565" i="3"/>
  <c r="W565" i="3" s="1"/>
  <c r="N564" i="3"/>
  <c r="D564" i="3"/>
  <c r="N563" i="3"/>
  <c r="D563" i="3"/>
  <c r="A563" i="3"/>
  <c r="W563" i="3" s="1"/>
  <c r="N562" i="3"/>
  <c r="D562" i="3"/>
  <c r="A562" i="3"/>
  <c r="W562" i="3" s="1"/>
  <c r="N561" i="3"/>
  <c r="D561" i="3"/>
  <c r="A561" i="3"/>
  <c r="W561" i="3" s="1"/>
  <c r="N560" i="3"/>
  <c r="D560" i="3"/>
  <c r="A560" i="3"/>
  <c r="W560" i="3" s="1"/>
  <c r="N559" i="3"/>
  <c r="D559" i="3"/>
  <c r="A559" i="3"/>
  <c r="W559" i="3" s="1"/>
  <c r="N558" i="3"/>
  <c r="D558" i="3"/>
  <c r="A558" i="3"/>
  <c r="W558" i="3" s="1"/>
  <c r="N557" i="3"/>
  <c r="D557" i="3"/>
  <c r="A557" i="3"/>
  <c r="W557" i="3" s="1"/>
  <c r="N556" i="3"/>
  <c r="D556" i="3"/>
  <c r="A556" i="3"/>
  <c r="W556" i="3" s="1"/>
  <c r="N555" i="3"/>
  <c r="D555" i="3"/>
  <c r="A555" i="3"/>
  <c r="W555" i="3" s="1"/>
  <c r="N554" i="3"/>
  <c r="D554" i="3"/>
  <c r="N553" i="3"/>
  <c r="D553" i="3"/>
  <c r="A553" i="3"/>
  <c r="W553" i="3" s="1"/>
  <c r="N552" i="3"/>
  <c r="D552" i="3"/>
  <c r="A552" i="3"/>
  <c r="W552" i="3" s="1"/>
  <c r="N551" i="3"/>
  <c r="D551" i="3"/>
  <c r="A551" i="3"/>
  <c r="W551" i="3" s="1"/>
  <c r="N550" i="3"/>
  <c r="D550" i="3"/>
  <c r="A550" i="3"/>
  <c r="W550" i="3" s="1"/>
  <c r="N549" i="3"/>
  <c r="D549" i="3"/>
  <c r="A549" i="3"/>
  <c r="W549" i="3" s="1"/>
  <c r="N548" i="3"/>
  <c r="D548" i="3"/>
  <c r="A548" i="3"/>
  <c r="W548" i="3" s="1"/>
  <c r="N547" i="3"/>
  <c r="D547" i="3"/>
  <c r="A547" i="3"/>
  <c r="W547" i="3" s="1"/>
  <c r="N546" i="3"/>
  <c r="D546" i="3"/>
  <c r="A546" i="3"/>
  <c r="W546" i="3" s="1"/>
  <c r="N545" i="3"/>
  <c r="D545" i="3"/>
  <c r="A545" i="3"/>
  <c r="W545" i="3" s="1"/>
  <c r="N544" i="3"/>
  <c r="D544" i="3"/>
  <c r="N543" i="3"/>
  <c r="D543" i="3"/>
  <c r="A543" i="3"/>
  <c r="W543" i="3" s="1"/>
  <c r="N542" i="3"/>
  <c r="D542" i="3"/>
  <c r="A542" i="3"/>
  <c r="W542" i="3" s="1"/>
  <c r="N541" i="3"/>
  <c r="D541" i="3"/>
  <c r="A541" i="3"/>
  <c r="W541" i="3" s="1"/>
  <c r="N540" i="3"/>
  <c r="D540" i="3"/>
  <c r="A540" i="3"/>
  <c r="W540" i="3" s="1"/>
  <c r="N539" i="3"/>
  <c r="D539" i="3"/>
  <c r="A539" i="3"/>
  <c r="W539" i="3" s="1"/>
  <c r="N538" i="3"/>
  <c r="D538" i="3"/>
  <c r="A538" i="3"/>
  <c r="W538" i="3" s="1"/>
  <c r="N537" i="3"/>
  <c r="D537" i="3"/>
  <c r="A537" i="3"/>
  <c r="W537" i="3" s="1"/>
  <c r="N536" i="3"/>
  <c r="D536" i="3"/>
  <c r="A536" i="3"/>
  <c r="W536" i="3" s="1"/>
  <c r="N535" i="3"/>
  <c r="D535" i="3"/>
  <c r="A535" i="3"/>
  <c r="W535" i="3" s="1"/>
  <c r="N534" i="3"/>
  <c r="D534" i="3"/>
  <c r="N533" i="3"/>
  <c r="D533" i="3"/>
  <c r="A533" i="3"/>
  <c r="W533" i="3" s="1"/>
  <c r="N532" i="3"/>
  <c r="D532" i="3"/>
  <c r="A532" i="3"/>
  <c r="W532" i="3" s="1"/>
  <c r="N531" i="3"/>
  <c r="D531" i="3"/>
  <c r="A531" i="3"/>
  <c r="W531" i="3" s="1"/>
  <c r="N530" i="3"/>
  <c r="D530" i="3"/>
  <c r="A530" i="3"/>
  <c r="W530" i="3" s="1"/>
  <c r="N529" i="3"/>
  <c r="D529" i="3"/>
  <c r="A529" i="3"/>
  <c r="W529" i="3" s="1"/>
  <c r="N528" i="3"/>
  <c r="D528" i="3"/>
  <c r="A528" i="3"/>
  <c r="W528" i="3" s="1"/>
  <c r="N527" i="3"/>
  <c r="D527" i="3"/>
  <c r="A527" i="3"/>
  <c r="W527" i="3" s="1"/>
  <c r="N526" i="3"/>
  <c r="D526" i="3"/>
  <c r="A526" i="3"/>
  <c r="W526" i="3" s="1"/>
  <c r="N525" i="3"/>
  <c r="D525" i="3"/>
  <c r="A525" i="3"/>
  <c r="W525" i="3" s="1"/>
  <c r="N524" i="3"/>
  <c r="D524" i="3"/>
  <c r="N523" i="3"/>
  <c r="D523" i="3"/>
  <c r="A523" i="3"/>
  <c r="W523" i="3" s="1"/>
  <c r="N522" i="3"/>
  <c r="D522" i="3"/>
  <c r="A522" i="3"/>
  <c r="W522" i="3" s="1"/>
  <c r="N521" i="3"/>
  <c r="D521" i="3"/>
  <c r="A521" i="3"/>
  <c r="W521" i="3" s="1"/>
  <c r="N520" i="3"/>
  <c r="D520" i="3"/>
  <c r="A520" i="3"/>
  <c r="W520" i="3" s="1"/>
  <c r="N519" i="3"/>
  <c r="D519" i="3"/>
  <c r="A519" i="3"/>
  <c r="W519" i="3" s="1"/>
  <c r="N518" i="3"/>
  <c r="D518" i="3"/>
  <c r="A518" i="3"/>
  <c r="W518" i="3" s="1"/>
  <c r="N517" i="3"/>
  <c r="D517" i="3"/>
  <c r="N507" i="3"/>
  <c r="D507" i="3"/>
  <c r="A507" i="3"/>
  <c r="W507" i="3" s="1"/>
  <c r="N506" i="3"/>
  <c r="D506" i="3"/>
  <c r="A506" i="3"/>
  <c r="W506" i="3" s="1"/>
  <c r="N505" i="3"/>
  <c r="D505" i="3"/>
  <c r="A505" i="3"/>
  <c r="W505" i="3" s="1"/>
  <c r="N504" i="3"/>
  <c r="D504" i="3"/>
  <c r="A504" i="3"/>
  <c r="W504" i="3" s="1"/>
  <c r="N503" i="3"/>
  <c r="D503" i="3"/>
  <c r="A503" i="3"/>
  <c r="W503" i="3" s="1"/>
  <c r="N502" i="3"/>
  <c r="D502" i="3"/>
  <c r="N486" i="3"/>
  <c r="D486" i="3"/>
  <c r="A486" i="3"/>
  <c r="W486" i="3" s="1"/>
  <c r="N485" i="3"/>
  <c r="D485" i="3"/>
  <c r="A485" i="3"/>
  <c r="W485" i="3" s="1"/>
  <c r="N484" i="3"/>
  <c r="D484" i="3"/>
  <c r="A484" i="3"/>
  <c r="W484" i="3" s="1"/>
  <c r="N483" i="3"/>
  <c r="D483" i="3"/>
  <c r="A483" i="3"/>
  <c r="W483" i="3" s="1"/>
  <c r="N482" i="3"/>
  <c r="D482" i="3"/>
  <c r="A482" i="3"/>
  <c r="W482" i="3" s="1"/>
  <c r="N481" i="3"/>
  <c r="D481" i="3"/>
  <c r="A481" i="3"/>
  <c r="W481" i="3" s="1"/>
  <c r="N480" i="3"/>
  <c r="D480" i="3"/>
  <c r="A480" i="3"/>
  <c r="W480" i="3" s="1"/>
  <c r="N479" i="3"/>
  <c r="D479" i="3"/>
  <c r="N466" i="3"/>
  <c r="D466" i="3"/>
  <c r="A466" i="3"/>
  <c r="W466" i="3" s="1"/>
  <c r="N465" i="3"/>
  <c r="D465" i="3"/>
  <c r="A465" i="3"/>
  <c r="W465" i="3" s="1"/>
  <c r="N464" i="3"/>
  <c r="D464" i="3"/>
  <c r="A464" i="3"/>
  <c r="W464" i="3" s="1"/>
  <c r="N463" i="3"/>
  <c r="D463" i="3"/>
  <c r="A463" i="3"/>
  <c r="W463" i="3" s="1"/>
  <c r="N462" i="3"/>
  <c r="D462" i="3"/>
  <c r="A462" i="3"/>
  <c r="W462" i="3" s="1"/>
  <c r="N461" i="3"/>
  <c r="D461" i="3"/>
  <c r="A461" i="3"/>
  <c r="W461" i="3" s="1"/>
  <c r="N460" i="3"/>
  <c r="D460" i="3"/>
  <c r="N459" i="3"/>
  <c r="D459" i="3"/>
  <c r="A459" i="3"/>
  <c r="W459" i="3" s="1"/>
  <c r="N458" i="3"/>
  <c r="D458" i="3"/>
  <c r="A458" i="3"/>
  <c r="W458" i="3" s="1"/>
  <c r="N457" i="3"/>
  <c r="D457" i="3"/>
  <c r="A457" i="3"/>
  <c r="W457" i="3" s="1"/>
  <c r="N456" i="3"/>
  <c r="D456" i="3"/>
  <c r="A456" i="3"/>
  <c r="W456" i="3" s="1"/>
  <c r="N455" i="3"/>
  <c r="D455" i="3"/>
  <c r="A455" i="3"/>
  <c r="W455" i="3" s="1"/>
  <c r="N454" i="3"/>
  <c r="D454" i="3"/>
  <c r="A454" i="3"/>
  <c r="W454" i="3" s="1"/>
  <c r="N453" i="3"/>
  <c r="D453" i="3"/>
  <c r="A453" i="3"/>
  <c r="W453" i="3" s="1"/>
  <c r="N452" i="3"/>
  <c r="D452" i="3"/>
  <c r="A452" i="3"/>
  <c r="W452" i="3" s="1"/>
  <c r="N451" i="3"/>
  <c r="D451" i="3"/>
  <c r="A451" i="3"/>
  <c r="W451" i="3" s="1"/>
  <c r="N450" i="3"/>
  <c r="D450" i="3"/>
  <c r="A450" i="3"/>
  <c r="W450" i="3" s="1"/>
  <c r="N449" i="3"/>
  <c r="D449" i="3"/>
  <c r="A449" i="3"/>
  <c r="W449" i="3" s="1"/>
  <c r="N448" i="3"/>
  <c r="D448" i="3"/>
  <c r="A448" i="3"/>
  <c r="W448" i="3" s="1"/>
  <c r="N447" i="3"/>
  <c r="D447" i="3"/>
  <c r="A447" i="3"/>
  <c r="W447" i="3" s="1"/>
  <c r="N446" i="3"/>
  <c r="D446" i="3"/>
  <c r="A446" i="3"/>
  <c r="W446" i="3" s="1"/>
  <c r="N445" i="3"/>
  <c r="D445" i="3"/>
  <c r="A445" i="3"/>
  <c r="W445" i="3" s="1"/>
  <c r="N444" i="3"/>
  <c r="D444" i="3"/>
  <c r="A444" i="3"/>
  <c r="W444" i="3" s="1"/>
  <c r="N443" i="3"/>
  <c r="D443" i="3"/>
  <c r="A443" i="3"/>
  <c r="W443" i="3" s="1"/>
  <c r="N442" i="3"/>
  <c r="D442" i="3"/>
  <c r="A442" i="3"/>
  <c r="W442" i="3" s="1"/>
  <c r="N441" i="3"/>
  <c r="D441" i="3"/>
  <c r="A441" i="3"/>
  <c r="W441" i="3" s="1"/>
  <c r="N440" i="3"/>
  <c r="D440" i="3"/>
  <c r="A440" i="3"/>
  <c r="W440" i="3" s="1"/>
  <c r="N439" i="3"/>
  <c r="D439" i="3"/>
  <c r="N438" i="3"/>
  <c r="D438" i="3"/>
  <c r="A438" i="3"/>
  <c r="W438" i="3" s="1"/>
  <c r="N437" i="3"/>
  <c r="D437" i="3"/>
  <c r="A437" i="3"/>
  <c r="W437" i="3" s="1"/>
  <c r="N436" i="3"/>
  <c r="D436" i="3"/>
  <c r="A436" i="3"/>
  <c r="W436" i="3" s="1"/>
  <c r="N435" i="3"/>
  <c r="D435" i="3"/>
  <c r="A435" i="3"/>
  <c r="W435" i="3" s="1"/>
  <c r="N434" i="3"/>
  <c r="D434" i="3"/>
  <c r="A434" i="3"/>
  <c r="W434" i="3" s="1"/>
  <c r="N433" i="3"/>
  <c r="D433" i="3"/>
  <c r="A433" i="3"/>
  <c r="W433" i="3" s="1"/>
  <c r="N432" i="3"/>
  <c r="D432" i="3"/>
  <c r="A432" i="3"/>
  <c r="W432" i="3" s="1"/>
  <c r="N431" i="3"/>
  <c r="D431" i="3"/>
  <c r="A431" i="3"/>
  <c r="W431" i="3" s="1"/>
  <c r="N430" i="3"/>
  <c r="D430" i="3"/>
  <c r="A430" i="3"/>
  <c r="W430" i="3" s="1"/>
  <c r="N429" i="3"/>
  <c r="D429" i="3"/>
  <c r="A429" i="3"/>
  <c r="W429" i="3" s="1"/>
  <c r="N428" i="3"/>
  <c r="D428" i="3"/>
  <c r="A428" i="3"/>
  <c r="W428" i="3" s="1"/>
  <c r="N427" i="3"/>
  <c r="D427" i="3"/>
  <c r="A427" i="3"/>
  <c r="W427" i="3" s="1"/>
  <c r="N426" i="3"/>
  <c r="D426" i="3"/>
  <c r="A426" i="3"/>
  <c r="W426" i="3" s="1"/>
  <c r="N425" i="3"/>
  <c r="D425" i="3"/>
  <c r="A425" i="3"/>
  <c r="W425" i="3" s="1"/>
  <c r="N424" i="3"/>
  <c r="D424" i="3"/>
  <c r="A424" i="3"/>
  <c r="W424" i="3" s="1"/>
  <c r="N423" i="3"/>
  <c r="D423" i="3"/>
  <c r="A423" i="3"/>
  <c r="W423" i="3" s="1"/>
  <c r="N422" i="3"/>
  <c r="D422" i="3"/>
  <c r="A422" i="3"/>
  <c r="W422" i="3" s="1"/>
  <c r="N421" i="3"/>
  <c r="D421" i="3"/>
  <c r="N420" i="3"/>
  <c r="D420" i="3"/>
  <c r="A420" i="3"/>
  <c r="W420" i="3" s="1"/>
  <c r="N419" i="3"/>
  <c r="D419" i="3"/>
  <c r="A419" i="3"/>
  <c r="W419" i="3" s="1"/>
  <c r="N418" i="3"/>
  <c r="D418" i="3"/>
  <c r="A418" i="3"/>
  <c r="W418" i="3" s="1"/>
  <c r="N417" i="3"/>
  <c r="D417" i="3"/>
  <c r="A417" i="3"/>
  <c r="W417" i="3" s="1"/>
  <c r="N416" i="3"/>
  <c r="D416" i="3"/>
  <c r="A416" i="3"/>
  <c r="W416" i="3" s="1"/>
  <c r="N415" i="3"/>
  <c r="D415" i="3"/>
  <c r="A415" i="3"/>
  <c r="W415" i="3" s="1"/>
  <c r="N414" i="3"/>
  <c r="D414" i="3"/>
  <c r="A414" i="3"/>
  <c r="W414" i="3" s="1"/>
  <c r="N413" i="3"/>
  <c r="D413" i="3"/>
  <c r="A413" i="3"/>
  <c r="W413" i="3" s="1"/>
  <c r="N412" i="3"/>
  <c r="D412" i="3"/>
  <c r="A412" i="3"/>
  <c r="W412" i="3" s="1"/>
  <c r="N411" i="3"/>
  <c r="D411" i="3"/>
  <c r="A411" i="3"/>
  <c r="W411" i="3" s="1"/>
  <c r="N410" i="3"/>
  <c r="D410" i="3"/>
  <c r="A410" i="3"/>
  <c r="W410" i="3" s="1"/>
  <c r="N409" i="3"/>
  <c r="D409" i="3"/>
  <c r="A409" i="3"/>
  <c r="W409" i="3" s="1"/>
  <c r="N408" i="3"/>
  <c r="D408" i="3"/>
  <c r="A408" i="3"/>
  <c r="W408" i="3" s="1"/>
  <c r="N407" i="3"/>
  <c r="D407" i="3"/>
  <c r="A407" i="3"/>
  <c r="W407" i="3" s="1"/>
  <c r="N406" i="3"/>
  <c r="D406" i="3"/>
  <c r="N405" i="3"/>
  <c r="D405" i="3"/>
  <c r="A405" i="3"/>
  <c r="W405" i="3" s="1"/>
  <c r="N404" i="3"/>
  <c r="D404" i="3"/>
  <c r="A404" i="3"/>
  <c r="W404" i="3" s="1"/>
  <c r="N403" i="3"/>
  <c r="D403" i="3"/>
  <c r="A403" i="3"/>
  <c r="W403" i="3" s="1"/>
  <c r="N402" i="3"/>
  <c r="D402" i="3"/>
  <c r="A402" i="3"/>
  <c r="W402" i="3" s="1"/>
  <c r="N401" i="3"/>
  <c r="D401" i="3"/>
  <c r="A401" i="3"/>
  <c r="W401" i="3" s="1"/>
  <c r="N400" i="3"/>
  <c r="D400" i="3"/>
  <c r="A400" i="3"/>
  <c r="W400" i="3" s="1"/>
  <c r="N399" i="3"/>
  <c r="D399" i="3"/>
  <c r="A399" i="3"/>
  <c r="W399" i="3" s="1"/>
  <c r="N398" i="3"/>
  <c r="D398" i="3"/>
  <c r="A398" i="3"/>
  <c r="W398" i="3" s="1"/>
  <c r="N397" i="3"/>
  <c r="D397" i="3"/>
  <c r="A397" i="3"/>
  <c r="W397" i="3" s="1"/>
  <c r="N396" i="3"/>
  <c r="D396" i="3"/>
  <c r="A396" i="3"/>
  <c r="W396" i="3" s="1"/>
  <c r="N395" i="3"/>
  <c r="D395" i="3"/>
  <c r="A395" i="3"/>
  <c r="W395" i="3" s="1"/>
  <c r="N394" i="3"/>
  <c r="D394" i="3"/>
  <c r="A394" i="3"/>
  <c r="W394" i="3" s="1"/>
  <c r="N393" i="3"/>
  <c r="D393" i="3"/>
  <c r="A393" i="3"/>
  <c r="W393" i="3" s="1"/>
  <c r="N392" i="3"/>
  <c r="D392" i="3"/>
  <c r="I34" i="6"/>
  <c r="AC34" i="6" s="1"/>
  <c r="AN34" i="6"/>
  <c r="AQ34" i="6"/>
  <c r="X34" i="6"/>
  <c r="BV34" i="6"/>
  <c r="BU34" i="6"/>
  <c r="F34" i="6"/>
  <c r="BS34" i="6"/>
  <c r="H34" i="6"/>
  <c r="BD33" i="6"/>
  <c r="AK33" i="6"/>
  <c r="BQ34" i="6"/>
  <c r="AP34" i="6"/>
  <c r="AV34" i="6"/>
  <c r="BJ34" i="6"/>
  <c r="G34" i="6"/>
  <c r="C34" i="6"/>
  <c r="K34" i="6" l="1"/>
  <c r="R35" i="6"/>
  <c r="BN34" i="6"/>
  <c r="AB34" i="6"/>
  <c r="AW34" i="6"/>
  <c r="AG34" i="6"/>
  <c r="V34" i="6"/>
  <c r="BT34" i="6"/>
  <c r="AX34" i="6"/>
  <c r="AU34" i="6"/>
  <c r="U34" i="6"/>
  <c r="AS34" i="6"/>
  <c r="H35" i="6"/>
  <c r="AM34" i="6"/>
  <c r="AL34" i="6"/>
  <c r="Y34" i="6"/>
  <c r="AD34" i="6"/>
  <c r="C35" i="6"/>
  <c r="AO34" i="6"/>
  <c r="Z34" i="6"/>
  <c r="T34" i="6"/>
  <c r="BR34" i="6"/>
  <c r="AA34" i="6"/>
  <c r="O34" i="6"/>
  <c r="AR34" i="6"/>
  <c r="AE34" i="6"/>
  <c r="AT34" i="6"/>
  <c r="W34" i="6"/>
  <c r="Q34" i="6"/>
  <c r="S34" i="6" l="1"/>
  <c r="AF34" i="6" s="1"/>
  <c r="AZ34" i="6"/>
  <c r="BT35" i="6"/>
  <c r="BV35" i="6"/>
  <c r="BA34" i="6"/>
  <c r="I35" i="6"/>
  <c r="F35" i="6"/>
  <c r="AE35" i="6"/>
  <c r="AL35" i="6"/>
  <c r="AX35" i="6"/>
  <c r="AD35" i="6"/>
  <c r="AN35" i="6"/>
  <c r="G35" i="6"/>
  <c r="AH34" i="6"/>
  <c r="AU35" i="6"/>
  <c r="BS35" i="6"/>
  <c r="V35" i="6"/>
  <c r="Z35" i="6"/>
  <c r="AC35" i="6"/>
  <c r="Q35" i="6"/>
  <c r="K35" i="6" l="1"/>
  <c r="AY34" i="6"/>
  <c r="S35" i="6"/>
  <c r="AI34" i="6"/>
  <c r="AJ34" i="6" s="1"/>
  <c r="BC34" i="6"/>
  <c r="L33" i="6"/>
  <c r="AT35" i="6"/>
  <c r="AP35" i="6"/>
  <c r="AM35" i="6"/>
  <c r="AA35" i="6"/>
  <c r="AS35" i="6"/>
  <c r="AR35" i="6"/>
  <c r="BU35" i="6"/>
  <c r="X35" i="6"/>
  <c r="AV35" i="6"/>
  <c r="AO35" i="6"/>
  <c r="AQ35" i="6"/>
  <c r="T35" i="6"/>
  <c r="W35" i="6"/>
  <c r="AW35" i="6"/>
  <c r="Y35" i="6"/>
  <c r="U35" i="6"/>
  <c r="AB35" i="6"/>
  <c r="AY35" i="6" l="1"/>
  <c r="AF35" i="6"/>
  <c r="BA35" i="6"/>
  <c r="AZ35" i="6"/>
  <c r="BD34" i="6"/>
  <c r="BR35" i="6"/>
  <c r="BP36" i="6"/>
  <c r="AH35" i="6"/>
  <c r="BQ35" i="6"/>
  <c r="AG35" i="6"/>
  <c r="AI35" i="6" l="1"/>
  <c r="AJ35" i="6" s="1"/>
  <c r="BC35" i="6"/>
  <c r="M33" i="6"/>
  <c r="N33" i="6" s="1"/>
  <c r="AK34" i="6"/>
  <c r="BK34" i="6"/>
  <c r="BD35" i="6"/>
  <c r="AK35" i="6"/>
  <c r="P34" i="6" l="1"/>
  <c r="B36" i="6"/>
  <c r="D36" i="6" s="1"/>
  <c r="BO37" i="6"/>
  <c r="BL33" i="6"/>
  <c r="BL34" i="6" s="1"/>
  <c r="A35" i="6"/>
  <c r="BH35" i="6"/>
  <c r="BI35" i="6"/>
  <c r="U6436" i="3"/>
  <c r="D6436" i="3"/>
  <c r="A6436" i="3"/>
  <c r="U6435" i="3"/>
  <c r="D6435" i="3"/>
  <c r="A6435" i="3"/>
  <c r="U6423" i="3"/>
  <c r="D6423" i="3"/>
  <c r="A6423" i="3"/>
  <c r="U6422" i="3"/>
  <c r="D6422" i="3"/>
  <c r="A6422" i="3"/>
  <c r="U6395" i="3"/>
  <c r="D6395" i="3"/>
  <c r="A6395" i="3"/>
  <c r="U6394" i="3"/>
  <c r="D6394" i="3"/>
  <c r="A6394" i="3"/>
  <c r="U6381" i="3"/>
  <c r="D6381" i="3"/>
  <c r="A6381" i="3"/>
  <c r="U6380" i="3"/>
  <c r="D6380" i="3"/>
  <c r="A6380" i="3"/>
  <c r="U6367" i="3"/>
  <c r="D6367" i="3"/>
  <c r="A6367" i="3"/>
  <c r="U6366" i="3"/>
  <c r="D6366" i="3"/>
  <c r="A6366" i="3"/>
  <c r="U6339" i="3"/>
  <c r="D6339" i="3"/>
  <c r="A6339" i="3"/>
  <c r="U6338" i="3"/>
  <c r="D6338" i="3"/>
  <c r="A6338" i="3"/>
  <c r="U6325" i="3"/>
  <c r="D6325" i="3"/>
  <c r="A6325" i="3"/>
  <c r="U6324" i="3"/>
  <c r="D6324" i="3"/>
  <c r="A6324" i="3"/>
  <c r="U6311" i="3"/>
  <c r="D6311" i="3"/>
  <c r="A6311" i="3"/>
  <c r="U6310" i="3"/>
  <c r="D6310" i="3"/>
  <c r="A6310" i="3"/>
  <c r="U6283" i="3"/>
  <c r="D6283" i="3"/>
  <c r="A6283" i="3"/>
  <c r="U6282" i="3"/>
  <c r="D6282" i="3"/>
  <c r="A6282" i="3"/>
  <c r="U5240" i="3"/>
  <c r="D5240" i="3"/>
  <c r="A5240" i="3"/>
  <c r="A5182" i="3"/>
  <c r="A5183" i="3"/>
  <c r="A5184" i="3"/>
  <c r="A5185" i="3"/>
  <c r="A5186" i="3"/>
  <c r="U5183" i="3"/>
  <c r="D5183" i="3"/>
  <c r="U6269" i="3"/>
  <c r="D6269" i="3"/>
  <c r="A6269" i="3"/>
  <c r="U6268" i="3"/>
  <c r="D6268" i="3"/>
  <c r="A6268" i="3"/>
  <c r="U6241" i="3"/>
  <c r="D6241" i="3"/>
  <c r="A6241" i="3"/>
  <c r="U6240" i="3"/>
  <c r="D6240" i="3"/>
  <c r="A6240" i="3"/>
  <c r="U6227" i="3"/>
  <c r="D6227" i="3"/>
  <c r="A6227" i="3"/>
  <c r="U6226" i="3"/>
  <c r="D6226" i="3"/>
  <c r="A6226" i="3"/>
  <c r="N3817" i="3"/>
  <c r="L3817" i="3"/>
  <c r="D3817" i="3"/>
  <c r="N3816" i="3"/>
  <c r="L3816" i="3"/>
  <c r="D3816" i="3"/>
  <c r="N4488" i="3"/>
  <c r="D4488" i="3"/>
  <c r="N4487" i="3"/>
  <c r="D4487" i="3"/>
  <c r="N4486" i="3"/>
  <c r="D4486" i="3"/>
  <c r="N4473" i="3"/>
  <c r="D4473" i="3"/>
  <c r="N4472" i="3"/>
  <c r="D4472" i="3"/>
  <c r="N4471" i="3"/>
  <c r="D4471" i="3"/>
  <c r="N4443" i="3"/>
  <c r="D4443" i="3"/>
  <c r="N4442" i="3"/>
  <c r="D4442" i="3"/>
  <c r="A6872" i="3"/>
  <c r="N6872" i="3"/>
  <c r="U6872" i="3" s="1"/>
  <c r="A1119" i="3"/>
  <c r="W1119" i="3" s="1"/>
  <c r="A1120" i="3"/>
  <c r="A1121" i="3"/>
  <c r="W1121" i="3" s="1"/>
  <c r="A1122" i="3"/>
  <c r="A1123" i="3"/>
  <c r="W1123" i="3" s="1"/>
  <c r="A1124" i="3"/>
  <c r="A1125" i="3"/>
  <c r="A1126" i="3"/>
  <c r="W1126" i="3" s="1"/>
  <c r="A1127" i="3"/>
  <c r="A1128" i="3"/>
  <c r="W1128" i="3" s="1"/>
  <c r="A1129" i="3"/>
  <c r="A1130" i="3"/>
  <c r="W1130" i="3" s="1"/>
  <c r="A1131" i="3"/>
  <c r="A1132" i="3"/>
  <c r="A1133" i="3"/>
  <c r="W1133" i="3" s="1"/>
  <c r="A1134" i="3"/>
  <c r="A1135" i="3"/>
  <c r="W1135" i="3" s="1"/>
  <c r="A1136" i="3"/>
  <c r="A1137" i="3"/>
  <c r="A1138" i="3"/>
  <c r="A1139" i="3"/>
  <c r="W1139" i="3" s="1"/>
  <c r="N1135" i="3"/>
  <c r="D1135" i="3"/>
  <c r="N1133" i="3"/>
  <c r="D1133" i="3"/>
  <c r="N1130" i="3"/>
  <c r="D1130" i="3"/>
  <c r="N1128" i="3"/>
  <c r="D1128" i="3"/>
  <c r="N1126" i="3"/>
  <c r="D1126" i="3"/>
  <c r="N1123" i="3"/>
  <c r="D1123" i="3"/>
  <c r="N1121" i="3"/>
  <c r="D1121" i="3"/>
  <c r="N1119" i="3"/>
  <c r="D1119" i="3"/>
  <c r="A1141" i="3"/>
  <c r="A1142" i="3"/>
  <c r="A1143" i="3"/>
  <c r="A1144" i="3"/>
  <c r="A1145" i="3"/>
  <c r="A1146" i="3"/>
  <c r="N1139" i="3"/>
  <c r="D1139" i="3"/>
  <c r="A6870" i="3"/>
  <c r="N6870" i="3"/>
  <c r="U6870" i="3" s="1"/>
  <c r="A1106" i="3"/>
  <c r="W1106" i="3" s="1"/>
  <c r="A1107" i="3"/>
  <c r="A1108" i="3"/>
  <c r="W1108" i="3" s="1"/>
  <c r="A1109" i="3"/>
  <c r="A1110" i="3"/>
  <c r="A1111" i="3"/>
  <c r="W1111" i="3" s="1"/>
  <c r="A1112" i="3"/>
  <c r="A1113" i="3"/>
  <c r="W1113" i="3" s="1"/>
  <c r="A1114" i="3"/>
  <c r="A1115" i="3"/>
  <c r="A1116" i="3"/>
  <c r="A1117" i="3"/>
  <c r="W1117" i="3" s="1"/>
  <c r="D1117" i="3"/>
  <c r="N1117" i="3"/>
  <c r="D1113" i="3"/>
  <c r="N1113" i="3"/>
  <c r="D1111" i="3"/>
  <c r="N1111" i="3"/>
  <c r="D1108" i="3"/>
  <c r="N1108" i="3"/>
  <c r="A1100" i="3"/>
  <c r="W1100" i="3" s="1"/>
  <c r="A1101" i="3"/>
  <c r="W1101" i="3" s="1"/>
  <c r="A1102" i="3"/>
  <c r="A1103" i="3"/>
  <c r="W1103" i="3" s="1"/>
  <c r="A1104" i="3"/>
  <c r="A1105" i="3"/>
  <c r="D1101" i="3"/>
  <c r="N1101" i="3"/>
  <c r="N1100" i="3"/>
  <c r="D1100" i="3"/>
  <c r="D1106" i="3"/>
  <c r="N1106" i="3"/>
  <c r="D1103" i="3"/>
  <c r="N1103" i="3"/>
  <c r="A1099" i="3"/>
  <c r="W1099" i="3" s="1"/>
  <c r="D1099" i="3"/>
  <c r="N1099" i="3"/>
  <c r="H36" i="6"/>
  <c r="O35" i="6"/>
  <c r="BK35" i="6"/>
  <c r="BP37" i="6"/>
  <c r="BJ35" i="6"/>
  <c r="R36" i="6" l="1"/>
  <c r="U4471" i="3"/>
  <c r="X4471" i="3"/>
  <c r="U4487" i="3"/>
  <c r="X4487" i="3"/>
  <c r="U4442" i="3"/>
  <c r="X4442" i="3"/>
  <c r="U4486" i="3"/>
  <c r="X4486" i="3"/>
  <c r="U4473" i="3"/>
  <c r="X4473" i="3"/>
  <c r="U4443" i="3"/>
  <c r="X4443" i="3"/>
  <c r="U4472" i="3"/>
  <c r="X4472" i="3"/>
  <c r="U4488" i="3"/>
  <c r="X4488" i="3"/>
  <c r="U3816" i="3"/>
  <c r="X3816" i="3"/>
  <c r="U3817" i="3"/>
  <c r="X3817" i="3"/>
  <c r="G36" i="6"/>
  <c r="F36" i="6"/>
  <c r="C36" i="6"/>
  <c r="BR36" i="6"/>
  <c r="BV36" i="6"/>
  <c r="BQ36" i="6"/>
  <c r="I36" i="6"/>
  <c r="Q36" i="6"/>
  <c r="AA36" i="6"/>
  <c r="AS36" i="6"/>
  <c r="AX36" i="6"/>
  <c r="AP36" i="6"/>
  <c r="AR36" i="6"/>
  <c r="AM36" i="6"/>
  <c r="U36" i="6"/>
  <c r="T36" i="6"/>
  <c r="AO36" i="6"/>
  <c r="V36" i="6"/>
  <c r="AE36" i="6"/>
  <c r="Y36" i="6"/>
  <c r="AL36" i="6"/>
  <c r="AT36" i="6"/>
  <c r="AN36" i="6"/>
  <c r="AB36" i="6"/>
  <c r="AQ36" i="6"/>
  <c r="AC36" i="6"/>
  <c r="AW36" i="6"/>
  <c r="K36" i="6" l="1"/>
  <c r="S36" i="6"/>
  <c r="L34" i="6"/>
  <c r="M34" i="6"/>
  <c r="P35" i="6"/>
  <c r="BN35" i="6"/>
  <c r="BL35" i="6"/>
  <c r="B37" i="6"/>
  <c r="D37" i="6" s="1"/>
  <c r="BO38" i="6"/>
  <c r="A36" i="6"/>
  <c r="BI36" i="6"/>
  <c r="BH36" i="6"/>
  <c r="D12" i="3"/>
  <c r="N12" i="3"/>
  <c r="A13" i="3"/>
  <c r="D13" i="3"/>
  <c r="N13" i="3"/>
  <c r="D14" i="3"/>
  <c r="N14" i="3"/>
  <c r="G155" i="2"/>
  <c r="G156" i="2"/>
  <c r="G159" i="2"/>
  <c r="BA36" i="6"/>
  <c r="BU36" i="6"/>
  <c r="Z36" i="6"/>
  <c r="BJ36" i="6"/>
  <c r="AV36" i="6"/>
  <c r="AD36" i="6"/>
  <c r="BS36" i="6"/>
  <c r="X36" i="6"/>
  <c r="AU36" i="6"/>
  <c r="AZ36" i="6"/>
  <c r="AH36" i="6"/>
  <c r="W36" i="6"/>
  <c r="N34" i="6" l="1"/>
  <c r="AF36" i="6"/>
  <c r="AY36" i="6"/>
  <c r="AG36" i="6"/>
  <c r="BT36" i="6"/>
  <c r="C37" i="6"/>
  <c r="H37" i="6"/>
  <c r="R37" i="6" l="1"/>
  <c r="AI36" i="6"/>
  <c r="AJ36" i="6" s="1"/>
  <c r="BC36" i="6"/>
  <c r="BK36" i="6"/>
  <c r="BP38" i="6"/>
  <c r="BD36" i="6"/>
  <c r="O36" i="6"/>
  <c r="BV37" i="6"/>
  <c r="L35" i="6" l="1"/>
  <c r="P36" i="6"/>
  <c r="BN36" i="6"/>
  <c r="BL36" i="6"/>
  <c r="B38" i="6"/>
  <c r="D38" i="6" s="1"/>
  <c r="BO39" i="6"/>
  <c r="BO40" i="6" s="1"/>
  <c r="A37" i="6"/>
  <c r="BH37" i="6"/>
  <c r="BI37" i="6"/>
  <c r="AK36" i="6"/>
  <c r="F37" i="6"/>
  <c r="R38" i="6" l="1"/>
  <c r="BO41" i="6"/>
  <c r="G37" i="6"/>
  <c r="H38" i="6"/>
  <c r="I37" i="6"/>
  <c r="T37" i="6"/>
  <c r="BV38" i="6"/>
  <c r="BQ37" i="6"/>
  <c r="BT37" i="6"/>
  <c r="AV37" i="6"/>
  <c r="AE37" i="6"/>
  <c r="BR37" i="6"/>
  <c r="Z37" i="6"/>
  <c r="AR37" i="6"/>
  <c r="BS37" i="6"/>
  <c r="C38" i="6"/>
  <c r="AA37" i="6"/>
  <c r="BP40" i="6"/>
  <c r="AX37" i="6"/>
  <c r="AP37" i="6"/>
  <c r="K37" i="6" l="1"/>
  <c r="M35" i="6"/>
  <c r="N35" i="6" s="1"/>
  <c r="B40" i="6"/>
  <c r="D40" i="6" s="1"/>
  <c r="BO42" i="6"/>
  <c r="AO37" i="6"/>
  <c r="V37" i="6"/>
  <c r="AW37" i="6"/>
  <c r="AT37" i="6"/>
  <c r="BS38" i="6"/>
  <c r="Q37" i="6"/>
  <c r="AU37" i="6"/>
  <c r="Y37" i="6"/>
  <c r="AL37" i="6"/>
  <c r="AH37" i="6"/>
  <c r="AB37" i="6"/>
  <c r="AC37" i="6"/>
  <c r="AQ37" i="6"/>
  <c r="AD37" i="6"/>
  <c r="W37" i="6"/>
  <c r="U37" i="6"/>
  <c r="BP41" i="6"/>
  <c r="AM37" i="6"/>
  <c r="AS37" i="6"/>
  <c r="BU37" i="6"/>
  <c r="X37" i="6"/>
  <c r="AN37" i="6"/>
  <c r="S37" i="6" l="1"/>
  <c r="AF37" i="6" s="1"/>
  <c r="AY37" i="6"/>
  <c r="BU38" i="6"/>
  <c r="G38" i="6"/>
  <c r="AZ37" i="6"/>
  <c r="H40" i="6"/>
  <c r="BA37" i="6"/>
  <c r="C40" i="6"/>
  <c r="R40" i="6" l="1"/>
  <c r="AI37" i="6"/>
  <c r="BC37" i="6"/>
  <c r="B41" i="6"/>
  <c r="D41" i="6" s="1"/>
  <c r="BO43" i="6"/>
  <c r="A40" i="6"/>
  <c r="BI40" i="6"/>
  <c r="BH40" i="6"/>
  <c r="AG37" i="6"/>
  <c r="I38" i="6"/>
  <c r="BJ40" i="6"/>
  <c r="AJ37" i="6" l="1"/>
  <c r="T38" i="6"/>
  <c r="W38" i="6"/>
  <c r="AA38" i="6"/>
  <c r="BT40" i="6"/>
  <c r="F40" i="6"/>
  <c r="BD37" i="6"/>
  <c r="AS38" i="6"/>
  <c r="BK40" i="6"/>
  <c r="G40" i="6"/>
  <c r="BV40" i="6"/>
  <c r="O37" i="6"/>
  <c r="AN38" i="6"/>
  <c r="AM38" i="6"/>
  <c r="O40" i="6"/>
  <c r="Z38" i="6"/>
  <c r="U38" i="6"/>
  <c r="C41" i="6"/>
  <c r="BP42" i="6"/>
  <c r="AE38" i="6"/>
  <c r="BR40" i="6"/>
  <c r="AT38" i="6"/>
  <c r="AD38" i="6"/>
  <c r="Q38" i="6"/>
  <c r="AP38" i="6"/>
  <c r="AX38" i="6"/>
  <c r="Y38" i="6"/>
  <c r="F38" i="6"/>
  <c r="BS40" i="6"/>
  <c r="AW38" i="6"/>
  <c r="V38" i="6"/>
  <c r="I40" i="6"/>
  <c r="AL38" i="6"/>
  <c r="AM40" i="6"/>
  <c r="AQ38" i="6"/>
  <c r="BQ40" i="6"/>
  <c r="X38" i="6"/>
  <c r="AO38" i="6"/>
  <c r="AV38" i="6"/>
  <c r="AB38" i="6"/>
  <c r="AU40" i="6"/>
  <c r="H41" i="6"/>
  <c r="AU38" i="6"/>
  <c r="BU40" i="6"/>
  <c r="AC38" i="6"/>
  <c r="AR38" i="6"/>
  <c r="V40" i="6"/>
  <c r="AV40" i="6"/>
  <c r="AD40" i="6"/>
  <c r="AT40" i="6"/>
  <c r="AC40" i="6"/>
  <c r="AQ40" i="6"/>
  <c r="Z40" i="6"/>
  <c r="AO40" i="6"/>
  <c r="AA40" i="6"/>
  <c r="W40" i="6"/>
  <c r="AB40" i="6"/>
  <c r="AS40" i="6"/>
  <c r="X40" i="6"/>
  <c r="T40" i="6"/>
  <c r="AW40" i="6"/>
  <c r="U40" i="6"/>
  <c r="AN40" i="6"/>
  <c r="Q40" i="6"/>
  <c r="AX40" i="6"/>
  <c r="AE40" i="6"/>
  <c r="Y40" i="6"/>
  <c r="AL40" i="6"/>
  <c r="AP40" i="6"/>
  <c r="K40" i="6" l="1"/>
  <c r="K38" i="6"/>
  <c r="R41" i="6"/>
  <c r="S40" i="6"/>
  <c r="AF40" i="6" s="1"/>
  <c r="S38" i="6"/>
  <c r="AF38" i="6" s="1"/>
  <c r="AY38" i="6"/>
  <c r="L36" i="6"/>
  <c r="P40" i="6"/>
  <c r="B42" i="6"/>
  <c r="D42" i="6" s="1"/>
  <c r="BN40" i="6"/>
  <c r="BO44" i="6"/>
  <c r="BH41" i="6"/>
  <c r="A41" i="6"/>
  <c r="BI41" i="6"/>
  <c r="M36" i="6"/>
  <c r="BP43" i="6"/>
  <c r="AR40" i="6"/>
  <c r="AG40" i="6"/>
  <c r="AK37" i="6"/>
  <c r="BA40" i="6"/>
  <c r="AH40" i="6"/>
  <c r="BA38" i="6"/>
  <c r="AZ38" i="6"/>
  <c r="N36" i="6" l="1"/>
  <c r="AY40" i="6"/>
  <c r="R42" i="6"/>
  <c r="AI40" i="6"/>
  <c r="AJ40" i="6" s="1"/>
  <c r="BC38" i="6"/>
  <c r="AH38" i="6"/>
  <c r="O38" i="6"/>
  <c r="BR41" i="6"/>
  <c r="BK37" i="6"/>
  <c r="C42" i="6"/>
  <c r="H42" i="6"/>
  <c r="BJ38" i="6"/>
  <c r="F41" i="6"/>
  <c r="BJ37" i="6"/>
  <c r="BQ38" i="6"/>
  <c r="BQ41" i="6"/>
  <c r="BJ41" i="6"/>
  <c r="BT41" i="6"/>
  <c r="BV41" i="6"/>
  <c r="O41" i="6"/>
  <c r="BU41" i="6"/>
  <c r="AZ40" i="6"/>
  <c r="I41" i="6"/>
  <c r="BS41" i="6"/>
  <c r="BK41" i="6"/>
  <c r="BT38" i="6"/>
  <c r="G41" i="6"/>
  <c r="BP39" i="6"/>
  <c r="BR38" i="6"/>
  <c r="AG38" i="6"/>
  <c r="K41" i="6" l="1"/>
  <c r="AI38" i="6"/>
  <c r="AJ38" i="6" s="1"/>
  <c r="BC40" i="6"/>
  <c r="W41" i="6"/>
  <c r="AE41" i="6"/>
  <c r="Z41" i="6"/>
  <c r="AN41" i="6"/>
  <c r="AB41" i="6"/>
  <c r="Q41" i="6"/>
  <c r="AS41" i="6"/>
  <c r="AR41" i="6"/>
  <c r="Y41" i="6"/>
  <c r="AW41" i="6"/>
  <c r="AD41" i="6"/>
  <c r="AX41" i="6"/>
  <c r="AM41" i="6"/>
  <c r="AO41" i="6"/>
  <c r="T41" i="6"/>
  <c r="X41" i="6"/>
  <c r="AU41" i="6"/>
  <c r="U41" i="6"/>
  <c r="BD40" i="6"/>
  <c r="AQ41" i="6"/>
  <c r="AL41" i="6"/>
  <c r="BD38" i="6"/>
  <c r="S41" i="6" l="1"/>
  <c r="M40" i="6"/>
  <c r="L40" i="6"/>
  <c r="BN41" i="6"/>
  <c r="P41" i="6"/>
  <c r="B43" i="6"/>
  <c r="D43" i="6" s="1"/>
  <c r="BO45" i="6"/>
  <c r="A42" i="6"/>
  <c r="BH42" i="6"/>
  <c r="BI42" i="6"/>
  <c r="P37" i="6"/>
  <c r="BL37" i="6"/>
  <c r="BN37" i="6"/>
  <c r="B39" i="6"/>
  <c r="D39" i="6" s="1"/>
  <c r="BN38" i="6"/>
  <c r="A38" i="6"/>
  <c r="BI38" i="6"/>
  <c r="BH38" i="6"/>
  <c r="AV41" i="6"/>
  <c r="G42" i="6"/>
  <c r="AP41" i="6"/>
  <c r="AC41" i="6"/>
  <c r="AA41" i="6"/>
  <c r="AZ41" i="6"/>
  <c r="V41" i="6"/>
  <c r="AH41" i="6"/>
  <c r="AT41" i="6"/>
  <c r="N40" i="6" l="1"/>
  <c r="AY41" i="6"/>
  <c r="AF41" i="6"/>
  <c r="C43" i="6"/>
  <c r="AK38" i="6"/>
  <c r="BA41" i="6"/>
  <c r="H39" i="6"/>
  <c r="C39" i="6"/>
  <c r="H43" i="6"/>
  <c r="R39" i="6" l="1"/>
  <c r="R43" i="6"/>
  <c r="AI41" i="6"/>
  <c r="BC41" i="6"/>
  <c r="BT42" i="6"/>
  <c r="AG41" i="6"/>
  <c r="BR42" i="6"/>
  <c r="BP44" i="6"/>
  <c r="BS42" i="6"/>
  <c r="I42" i="6"/>
  <c r="BQ42" i="6"/>
  <c r="BU42" i="6"/>
  <c r="O42" i="6"/>
  <c r="BK42" i="6"/>
  <c r="F42" i="6"/>
  <c r="BJ42" i="6"/>
  <c r="BV42" i="6"/>
  <c r="BV39" i="6"/>
  <c r="AK40" i="6"/>
  <c r="K42" i="6" l="1"/>
  <c r="AJ41" i="6"/>
  <c r="AL42" i="6"/>
  <c r="V42" i="6"/>
  <c r="AR42" i="6"/>
  <c r="X42" i="6"/>
  <c r="BD41" i="6"/>
  <c r="AN42" i="6"/>
  <c r="Q42" i="6"/>
  <c r="Z42" i="6"/>
  <c r="AC42" i="6"/>
  <c r="AW42" i="6"/>
  <c r="AQ42" i="6"/>
  <c r="AS42" i="6"/>
  <c r="Y42" i="6"/>
  <c r="T42" i="6"/>
  <c r="U42" i="6"/>
  <c r="AD42" i="6"/>
  <c r="AE42" i="6"/>
  <c r="AV42" i="6"/>
  <c r="W42" i="6"/>
  <c r="AM42" i="6"/>
  <c r="AA42" i="6"/>
  <c r="AO42" i="6"/>
  <c r="AU42" i="6"/>
  <c r="AB42" i="6"/>
  <c r="AT42" i="6"/>
  <c r="S42" i="6" l="1"/>
  <c r="AF42" i="6" s="1"/>
  <c r="L41" i="6"/>
  <c r="P42" i="6"/>
  <c r="BN42" i="6"/>
  <c r="B44" i="6"/>
  <c r="D44" i="6" s="1"/>
  <c r="BL38" i="6"/>
  <c r="BO46" i="6"/>
  <c r="BH43" i="6"/>
  <c r="A43" i="6"/>
  <c r="BI43" i="6"/>
  <c r="M37" i="6"/>
  <c r="BA42" i="6"/>
  <c r="AH42" i="6"/>
  <c r="BP45" i="6"/>
  <c r="AK41" i="6"/>
  <c r="AX42" i="6"/>
  <c r="AP42" i="6"/>
  <c r="AZ42" i="6"/>
  <c r="AG42" i="6"/>
  <c r="AY42" i="6" l="1"/>
  <c r="R44" i="6"/>
  <c r="AI42" i="6"/>
  <c r="AJ42" i="6" s="1"/>
  <c r="M41" i="6"/>
  <c r="N41" i="6" s="1"/>
  <c r="BC42" i="6"/>
  <c r="L37" i="6"/>
  <c r="N37" i="6" s="1"/>
  <c r="G43" i="6"/>
  <c r="BR43" i="6"/>
  <c r="I39" i="6"/>
  <c r="V39" i="6"/>
  <c r="AX39" i="6"/>
  <c r="BJ43" i="6"/>
  <c r="U39" i="6"/>
  <c r="O43" i="6"/>
  <c r="BD42" i="6"/>
  <c r="T39" i="6"/>
  <c r="Z39" i="6"/>
  <c r="C44" i="6"/>
  <c r="F39" i="6"/>
  <c r="BV43" i="6"/>
  <c r="BK43" i="6"/>
  <c r="Q39" i="6"/>
  <c r="AL39" i="6"/>
  <c r="AQ39" i="6"/>
  <c r="BT43" i="6"/>
  <c r="F43" i="6"/>
  <c r="AS39" i="6"/>
  <c r="I43" i="6"/>
  <c r="BT39" i="6"/>
  <c r="AM43" i="6"/>
  <c r="AO39" i="6"/>
  <c r="AO43" i="6"/>
  <c r="AE39" i="6"/>
  <c r="AQ43" i="6"/>
  <c r="AP39" i="6"/>
  <c r="AD39" i="6"/>
  <c r="BU43" i="6"/>
  <c r="AW43" i="6"/>
  <c r="AU43" i="6"/>
  <c r="AE43" i="6"/>
  <c r="AN43" i="6"/>
  <c r="U43" i="6"/>
  <c r="BK38" i="6"/>
  <c r="BR39" i="6"/>
  <c r="W39" i="6"/>
  <c r="AU39" i="6"/>
  <c r="BQ43" i="6"/>
  <c r="Y43" i="6"/>
  <c r="AT43" i="6"/>
  <c r="H44" i="6"/>
  <c r="G39" i="6"/>
  <c r="V43" i="6"/>
  <c r="AD43" i="6"/>
  <c r="T43" i="6"/>
  <c r="Y39" i="6"/>
  <c r="AB39" i="6"/>
  <c r="AW39" i="6"/>
  <c r="AA39" i="6"/>
  <c r="AV39" i="6"/>
  <c r="AB43" i="6"/>
  <c r="AR43" i="6"/>
  <c r="W43" i="6"/>
  <c r="AC43" i="6"/>
  <c r="Q43" i="6"/>
  <c r="X43" i="6"/>
  <c r="AX43" i="6"/>
  <c r="Z43" i="6"/>
  <c r="AL43" i="6"/>
  <c r="AS43" i="6"/>
  <c r="AV43" i="6"/>
  <c r="AP43" i="6"/>
  <c r="AA43" i="6"/>
  <c r="K43" i="6" l="1"/>
  <c r="K39" i="6"/>
  <c r="S39" i="6"/>
  <c r="S43" i="6"/>
  <c r="AF43" i="6" s="1"/>
  <c r="AY43" i="6"/>
  <c r="L42" i="6"/>
  <c r="BN43" i="6"/>
  <c r="P43" i="6"/>
  <c r="B45" i="6"/>
  <c r="D45" i="6" s="1"/>
  <c r="BO47" i="6"/>
  <c r="BI44" i="6"/>
  <c r="A44" i="6"/>
  <c r="BH44" i="6"/>
  <c r="P38" i="6"/>
  <c r="A39" i="6"/>
  <c r="BH39" i="6"/>
  <c r="BI39" i="6"/>
  <c r="R10" i="83"/>
  <c r="X39" i="6"/>
  <c r="AN39" i="6"/>
  <c r="G44" i="6"/>
  <c r="AC39" i="6"/>
  <c r="AT39" i="6"/>
  <c r="BU44" i="6"/>
  <c r="AM39" i="6"/>
  <c r="AZ39" i="6"/>
  <c r="AR39" i="6"/>
  <c r="I44" i="6"/>
  <c r="AF39" i="6" l="1"/>
  <c r="AY39" i="6"/>
  <c r="AW44" i="6"/>
  <c r="Z44" i="6"/>
  <c r="AH39" i="6"/>
  <c r="AX44" i="6"/>
  <c r="BK44" i="6"/>
  <c r="AL44" i="6"/>
  <c r="BA39" i="6"/>
  <c r="AP44" i="6"/>
  <c r="BQ44" i="6"/>
  <c r="BV44" i="6"/>
  <c r="AV44" i="6"/>
  <c r="C45" i="6"/>
  <c r="U44" i="6"/>
  <c r="AA44" i="6"/>
  <c r="BS43" i="6"/>
  <c r="AN44" i="6"/>
  <c r="X44" i="6"/>
  <c r="Y44" i="6"/>
  <c r="AU44" i="6"/>
  <c r="BJ39" i="6"/>
  <c r="BS39" i="6"/>
  <c r="AC44" i="6"/>
  <c r="AK42" i="6"/>
  <c r="AG43" i="6"/>
  <c r="AO44" i="6"/>
  <c r="BJ44" i="6"/>
  <c r="T44" i="6"/>
  <c r="AH43" i="6"/>
  <c r="BU39" i="6"/>
  <c r="AD44" i="6"/>
  <c r="Q44" i="6"/>
  <c r="AZ43" i="6"/>
  <c r="BQ39" i="6"/>
  <c r="BP46" i="6"/>
  <c r="AS44" i="6"/>
  <c r="AM44" i="6"/>
  <c r="AE44" i="6"/>
  <c r="BT44" i="6"/>
  <c r="W44" i="6"/>
  <c r="BA43" i="6"/>
  <c r="H45" i="6"/>
  <c r="F44" i="6"/>
  <c r="V44" i="6"/>
  <c r="AG39" i="6"/>
  <c r="K44" i="6" l="1"/>
  <c r="R45" i="6"/>
  <c r="S44" i="6"/>
  <c r="AI43" i="6"/>
  <c r="AJ43" i="6" s="1"/>
  <c r="AI39" i="6"/>
  <c r="AJ39" i="6" s="1"/>
  <c r="BC39" i="6"/>
  <c r="BC43" i="6"/>
  <c r="L43" i="6"/>
  <c r="B46" i="6"/>
  <c r="D46" i="6" s="1"/>
  <c r="BN44" i="6"/>
  <c r="M42" i="6"/>
  <c r="N42" i="6" s="1"/>
  <c r="BI45" i="6"/>
  <c r="A45" i="6"/>
  <c r="BH45" i="6"/>
  <c r="BO48" i="6"/>
  <c r="AQ44" i="6"/>
  <c r="BV45" i="6"/>
  <c r="AR44" i="6"/>
  <c r="BR44" i="6"/>
  <c r="AT44" i="6"/>
  <c r="AY44" i="6" l="1"/>
  <c r="AB44" i="6"/>
  <c r="C46" i="6"/>
  <c r="H46" i="6"/>
  <c r="O44" i="6"/>
  <c r="AF44" i="6" l="1"/>
  <c r="AZ44" i="6"/>
  <c r="BS44" i="6"/>
  <c r="AG44" i="6"/>
  <c r="BD43" i="6"/>
  <c r="BD39" i="6"/>
  <c r="BD14" i="6"/>
  <c r="BP47" i="6"/>
  <c r="AH44" i="6"/>
  <c r="R46" i="6" l="1"/>
  <c r="AI44" i="6"/>
  <c r="AJ44" i="6" s="1"/>
  <c r="P44" i="6"/>
  <c r="I45" i="6"/>
  <c r="BA44" i="6"/>
  <c r="BC44" i="6" l="1"/>
  <c r="AU45" i="6"/>
  <c r="AM45" i="6"/>
  <c r="T45" i="6"/>
  <c r="AN45" i="6"/>
  <c r="BD44" i="6"/>
  <c r="Q45" i="6"/>
  <c r="Z45" i="6"/>
  <c r="BK45" i="6"/>
  <c r="W45" i="6"/>
  <c r="G45" i="6"/>
  <c r="AW45" i="6"/>
  <c r="AX45" i="6"/>
  <c r="V45" i="6"/>
  <c r="AL45" i="6"/>
  <c r="AP45" i="6"/>
  <c r="BS45" i="6"/>
  <c r="AE45" i="6"/>
  <c r="AK39" i="6"/>
  <c r="AC45" i="6"/>
  <c r="O45" i="6"/>
  <c r="AT45" i="6"/>
  <c r="BU45" i="6"/>
  <c r="X45" i="6"/>
  <c r="O39" i="6"/>
  <c r="AK43" i="6"/>
  <c r="U45" i="6"/>
  <c r="BQ45" i="6"/>
  <c r="F45" i="6"/>
  <c r="BJ45" i="6"/>
  <c r="BR45" i="6"/>
  <c r="AR45" i="6"/>
  <c r="AS45" i="6"/>
  <c r="AV45" i="6"/>
  <c r="AB45" i="6"/>
  <c r="BT45" i="6"/>
  <c r="K45" i="6" l="1"/>
  <c r="S45" i="6"/>
  <c r="M43" i="6"/>
  <c r="N43" i="6" s="1"/>
  <c r="L44" i="6"/>
  <c r="B47" i="6"/>
  <c r="D47" i="6" s="1"/>
  <c r="BN45" i="6"/>
  <c r="P45" i="6"/>
  <c r="BO49" i="6"/>
  <c r="BH46" i="6"/>
  <c r="A46" i="6"/>
  <c r="BI46" i="6"/>
  <c r="AK44" i="6"/>
  <c r="AD45" i="6"/>
  <c r="AQ45" i="6"/>
  <c r="Y45" i="6"/>
  <c r="AO45" i="6"/>
  <c r="AY45" i="6" l="1"/>
  <c r="C47" i="6"/>
  <c r="AZ45" i="6"/>
  <c r="BA45" i="6"/>
  <c r="H47" i="6"/>
  <c r="BP48" i="6"/>
  <c r="AA45" i="6"/>
  <c r="AF45" i="6" l="1"/>
  <c r="R47" i="6"/>
  <c r="BC45" i="6"/>
  <c r="L38" i="6"/>
  <c r="BJ46" i="6"/>
  <c r="BD45" i="6"/>
  <c r="AH45" i="6"/>
  <c r="I46" i="6"/>
  <c r="G46" i="6"/>
  <c r="AI45" i="6" l="1"/>
  <c r="AG45" i="6"/>
  <c r="AJ45" i="6" l="1"/>
  <c r="BQ46" i="6"/>
  <c r="AT46" i="6"/>
  <c r="F46" i="6"/>
  <c r="AB46" i="6"/>
  <c r="BT46" i="6"/>
  <c r="T46" i="6"/>
  <c r="AS46" i="6"/>
  <c r="AU46" i="6"/>
  <c r="AD46" i="6"/>
  <c r="AM46" i="6"/>
  <c r="BS46" i="6"/>
  <c r="AQ46" i="6"/>
  <c r="Y46" i="6"/>
  <c r="BV46" i="6"/>
  <c r="Z46" i="6"/>
  <c r="BK46" i="6"/>
  <c r="U46" i="6"/>
  <c r="BU46" i="6"/>
  <c r="AR46" i="6"/>
  <c r="AW46" i="6"/>
  <c r="AP46" i="6"/>
  <c r="AN46" i="6"/>
  <c r="AE46" i="6"/>
  <c r="AV46" i="6"/>
  <c r="W46" i="6"/>
  <c r="Q46" i="6"/>
  <c r="K46" i="6" l="1"/>
  <c r="S46" i="6"/>
  <c r="M45" i="6"/>
  <c r="L45" i="6"/>
  <c r="BN46" i="6"/>
  <c r="B48" i="6"/>
  <c r="D48" i="6" s="1"/>
  <c r="M44" i="6"/>
  <c r="N44" i="6" s="1"/>
  <c r="BO50" i="6"/>
  <c r="A47" i="6"/>
  <c r="BH47" i="6"/>
  <c r="BI47" i="6"/>
  <c r="V46" i="6"/>
  <c r="O46" i="6"/>
  <c r="BR46" i="6"/>
  <c r="AX46" i="6"/>
  <c r="AL46" i="6"/>
  <c r="BU47" i="6"/>
  <c r="AA46" i="6"/>
  <c r="AO46" i="6"/>
  <c r="N45" i="6" l="1"/>
  <c r="AY46" i="6"/>
  <c r="C48" i="6"/>
  <c r="H48" i="6"/>
  <c r="AC46" i="6"/>
  <c r="X46" i="6"/>
  <c r="AF46" i="6" l="1"/>
  <c r="AG46" i="6"/>
  <c r="AK45" i="6"/>
  <c r="BJ47" i="6"/>
  <c r="R48" i="6" l="1"/>
  <c r="P46" i="6"/>
  <c r="AH46" i="6"/>
  <c r="BA46" i="6"/>
  <c r="AZ46" i="6"/>
  <c r="AI46" i="6" l="1"/>
  <c r="AJ46" i="6" s="1"/>
  <c r="BC46" i="6"/>
  <c r="BK47" i="6"/>
  <c r="BD46" i="6"/>
  <c r="G47" i="6"/>
  <c r="BR47" i="6"/>
  <c r="BK39" i="6"/>
  <c r="BT47" i="6"/>
  <c r="BP49" i="6"/>
  <c r="BS47" i="6"/>
  <c r="AK46" i="6"/>
  <c r="BV47" i="6"/>
  <c r="F47" i="6"/>
  <c r="BQ47" i="6"/>
  <c r="O47" i="6"/>
  <c r="I47" i="6"/>
  <c r="AT47" i="6"/>
  <c r="AD47" i="6"/>
  <c r="AV47" i="6"/>
  <c r="W47" i="6"/>
  <c r="AO47" i="6"/>
  <c r="AB47" i="6"/>
  <c r="AS47" i="6"/>
  <c r="X47" i="6"/>
  <c r="U47" i="6"/>
  <c r="AP47" i="6"/>
  <c r="AA47" i="6"/>
  <c r="V47" i="6"/>
  <c r="Z47" i="6"/>
  <c r="Q47" i="6"/>
  <c r="AE47" i="6"/>
  <c r="AX47" i="6"/>
  <c r="AU47" i="6"/>
  <c r="AC47" i="6"/>
  <c r="Y47" i="6"/>
  <c r="AW47" i="6"/>
  <c r="AM47" i="6"/>
  <c r="AQ47" i="6"/>
  <c r="T47" i="6"/>
  <c r="AN47" i="6"/>
  <c r="AL47" i="6"/>
  <c r="K47" i="6" l="1"/>
  <c r="S47" i="6"/>
  <c r="AF47" i="6" s="1"/>
  <c r="L46" i="6"/>
  <c r="P47" i="6"/>
  <c r="B49" i="6"/>
  <c r="D49" i="6" s="1"/>
  <c r="BN47" i="6"/>
  <c r="BO51" i="6"/>
  <c r="A48" i="6"/>
  <c r="BI48" i="6"/>
  <c r="BH48" i="6"/>
  <c r="BP50" i="6"/>
  <c r="AR47" i="6"/>
  <c r="AY47" i="6" l="1"/>
  <c r="H49" i="6"/>
  <c r="BR48" i="6"/>
  <c r="C49" i="6"/>
  <c r="AG47" i="6"/>
  <c r="AH47" i="6"/>
  <c r="R49" i="6" l="1"/>
  <c r="AI47" i="6"/>
  <c r="AJ47" i="6" s="1"/>
  <c r="M38" i="6"/>
  <c r="N38" i="6" s="1"/>
  <c r="F48" i="6"/>
  <c r="AZ47" i="6"/>
  <c r="BQ48" i="6"/>
  <c r="I48" i="6"/>
  <c r="BA47" i="6"/>
  <c r="BU48" i="6"/>
  <c r="BJ48" i="6"/>
  <c r="BC47" i="6" l="1"/>
  <c r="Q48" i="6"/>
  <c r="U48" i="6"/>
  <c r="AP48" i="6"/>
  <c r="AC48" i="6"/>
  <c r="AM48" i="6"/>
  <c r="BD47" i="6"/>
  <c r="G48" i="6"/>
  <c r="T48" i="6"/>
  <c r="Y48" i="6"/>
  <c r="Z48" i="6"/>
  <c r="AV48" i="6"/>
  <c r="W48" i="6"/>
  <c r="AW48" i="6"/>
  <c r="X48" i="6"/>
  <c r="AN48" i="6"/>
  <c r="AU48" i="6"/>
  <c r="AT48" i="6"/>
  <c r="AD48" i="6"/>
  <c r="AE48" i="6"/>
  <c r="BK48" i="6"/>
  <c r="AO48" i="6"/>
  <c r="AX48" i="6"/>
  <c r="AB48" i="6"/>
  <c r="AS48" i="6"/>
  <c r="AQ48" i="6"/>
  <c r="AR48" i="6"/>
  <c r="K48" i="6" l="1"/>
  <c r="S48" i="6"/>
  <c r="L47" i="6"/>
  <c r="BN48" i="6"/>
  <c r="B50" i="6"/>
  <c r="D50" i="6" s="1"/>
  <c r="M46" i="6"/>
  <c r="N46" i="6" s="1"/>
  <c r="BH49" i="6"/>
  <c r="A49" i="6"/>
  <c r="BI49" i="6"/>
  <c r="BO52" i="6"/>
  <c r="P39" i="6"/>
  <c r="BL39" i="6"/>
  <c r="BN39" i="6"/>
  <c r="U5284" i="3"/>
  <c r="D5284" i="3"/>
  <c r="A5284" i="3"/>
  <c r="U5283" i="3"/>
  <c r="D5283" i="3"/>
  <c r="A5283" i="3"/>
  <c r="U5282" i="3"/>
  <c r="D5282" i="3"/>
  <c r="A5282" i="3"/>
  <c r="U5281" i="3"/>
  <c r="L5281" i="3"/>
  <c r="D5281" i="3"/>
  <c r="A5281" i="3"/>
  <c r="U5280" i="3"/>
  <c r="D5280" i="3"/>
  <c r="A5280" i="3"/>
  <c r="U5279" i="3"/>
  <c r="D5279" i="3"/>
  <c r="A5279" i="3"/>
  <c r="U5278" i="3"/>
  <c r="D5278" i="3"/>
  <c r="A5278" i="3"/>
  <c r="U5277" i="3"/>
  <c r="L5277" i="3"/>
  <c r="D5277" i="3"/>
  <c r="A5277" i="3"/>
  <c r="U5275" i="3"/>
  <c r="D5275" i="3"/>
  <c r="A5275" i="3"/>
  <c r="U5272" i="3"/>
  <c r="D5272" i="3"/>
  <c r="A387" i="3"/>
  <c r="W387" i="3" s="1"/>
  <c r="D387" i="3"/>
  <c r="L387" i="3"/>
  <c r="N387" i="3"/>
  <c r="A388" i="3"/>
  <c r="W388" i="3" s="1"/>
  <c r="D388" i="3"/>
  <c r="L388" i="3"/>
  <c r="N388" i="3"/>
  <c r="N386" i="3"/>
  <c r="L386" i="3"/>
  <c r="D386" i="3"/>
  <c r="A386" i="3"/>
  <c r="W386" i="3" s="1"/>
  <c r="N385" i="3"/>
  <c r="L385" i="3"/>
  <c r="D385" i="3"/>
  <c r="AL48" i="6"/>
  <c r="V48" i="6"/>
  <c r="BV48" i="6"/>
  <c r="AA48" i="6"/>
  <c r="AY48" i="6" l="1"/>
  <c r="AF48" i="6"/>
  <c r="H50" i="6"/>
  <c r="O48" i="6"/>
  <c r="AH48" i="6"/>
  <c r="BA48" i="6"/>
  <c r="AG48" i="6"/>
  <c r="BS48" i="6"/>
  <c r="AK47" i="6"/>
  <c r="AZ48" i="6"/>
  <c r="C50" i="6"/>
  <c r="BT48" i="6"/>
  <c r="F49" i="6"/>
  <c r="R50" i="6" l="1"/>
  <c r="AI48" i="6"/>
  <c r="AJ48" i="6" s="1"/>
  <c r="BC48" i="6"/>
  <c r="P48" i="6"/>
  <c r="BR49" i="6"/>
  <c r="BU49" i="6"/>
  <c r="BS49" i="6"/>
  <c r="BJ49" i="6"/>
  <c r="I49" i="6"/>
  <c r="AR49" i="6"/>
  <c r="AW49" i="6"/>
  <c r="AP49" i="6"/>
  <c r="BV49" i="6"/>
  <c r="U49" i="6"/>
  <c r="BP51" i="6"/>
  <c r="AA49" i="6"/>
  <c r="Q49" i="6"/>
  <c r="BD48" i="6"/>
  <c r="AO49" i="6"/>
  <c r="BK49" i="6"/>
  <c r="O49" i="6"/>
  <c r="G49" i="6"/>
  <c r="AE49" i="6"/>
  <c r="V49" i="6"/>
  <c r="X49" i="6"/>
  <c r="K49" i="6" l="1"/>
  <c r="S49" i="6"/>
  <c r="M48" i="6"/>
  <c r="L48" i="6"/>
  <c r="B51" i="6"/>
  <c r="D51" i="6" s="1"/>
  <c r="BN49" i="6"/>
  <c r="P49" i="6"/>
  <c r="M47" i="6"/>
  <c r="N47" i="6" s="1"/>
  <c r="BO53" i="6"/>
  <c r="BL40" i="6"/>
  <c r="BL41" i="6" s="1"/>
  <c r="BH50" i="6"/>
  <c r="BI50" i="6"/>
  <c r="A50" i="6"/>
  <c r="AD49" i="6"/>
  <c r="AL49" i="6"/>
  <c r="Y49" i="6"/>
  <c r="G50" i="6"/>
  <c r="AB49" i="6"/>
  <c r="BK50" i="6"/>
  <c r="W49" i="6"/>
  <c r="T49" i="6"/>
  <c r="AS49" i="6"/>
  <c r="AC49" i="6"/>
  <c r="AN49" i="6"/>
  <c r="Z49" i="6"/>
  <c r="AV49" i="6"/>
  <c r="AT49" i="6"/>
  <c r="AU49" i="6"/>
  <c r="AQ49" i="6"/>
  <c r="BT49" i="6"/>
  <c r="AZ49" i="6"/>
  <c r="AX49" i="6"/>
  <c r="AM49" i="6"/>
  <c r="N48" i="6" l="1"/>
  <c r="AF49" i="6"/>
  <c r="AY49" i="6"/>
  <c r="AH49" i="6"/>
  <c r="BQ49" i="6"/>
  <c r="BA49" i="6"/>
  <c r="AG49" i="6"/>
  <c r="H51" i="6"/>
  <c r="C51" i="6"/>
  <c r="R51" i="6" l="1"/>
  <c r="AI49" i="6"/>
  <c r="AJ49" i="6" s="1"/>
  <c r="BC49" i="6"/>
  <c r="BS50" i="6"/>
  <c r="BV50" i="6"/>
  <c r="BP52" i="6"/>
  <c r="BJ50" i="6"/>
  <c r="I50" i="6"/>
  <c r="BD49" i="6"/>
  <c r="V50" i="6"/>
  <c r="F50" i="6"/>
  <c r="AA50" i="6"/>
  <c r="AC50" i="6"/>
  <c r="AR50" i="6"/>
  <c r="AO50" i="6"/>
  <c r="AV50" i="6"/>
  <c r="AM50" i="6"/>
  <c r="AL50" i="6"/>
  <c r="BT50" i="6"/>
  <c r="AD50" i="6"/>
  <c r="AP50" i="6"/>
  <c r="AB50" i="6"/>
  <c r="BR50" i="6"/>
  <c r="O50" i="6"/>
  <c r="AE50" i="6"/>
  <c r="AK48" i="6"/>
  <c r="T50" i="6"/>
  <c r="W50" i="6"/>
  <c r="AS50" i="6"/>
  <c r="AT50" i="6"/>
  <c r="AQ50" i="6"/>
  <c r="AN50" i="6"/>
  <c r="AW50" i="6"/>
  <c r="AU50" i="6"/>
  <c r="U50" i="6"/>
  <c r="X50" i="6"/>
  <c r="AX50" i="6"/>
  <c r="K50" i="6" l="1"/>
  <c r="AY50" i="6"/>
  <c r="L49" i="6"/>
  <c r="BL42" i="6"/>
  <c r="BL43" i="6" s="1"/>
  <c r="BL44" i="6" s="1"/>
  <c r="P50" i="6"/>
  <c r="B52" i="6"/>
  <c r="D52" i="6" s="1"/>
  <c r="BN50" i="6"/>
  <c r="BH51" i="6"/>
  <c r="A51" i="6"/>
  <c r="BI51" i="6"/>
  <c r="BO54" i="6"/>
  <c r="Y50" i="6"/>
  <c r="Q50" i="6"/>
  <c r="AK49" i="6"/>
  <c r="BR51" i="6"/>
  <c r="Z50" i="6"/>
  <c r="AG50" i="6"/>
  <c r="S50" i="6" l="1"/>
  <c r="AF50" i="6" s="1"/>
  <c r="AH50" i="6"/>
  <c r="BQ50" i="6"/>
  <c r="BA50" i="6"/>
  <c r="H52" i="6"/>
  <c r="BU50" i="6"/>
  <c r="F51" i="6"/>
  <c r="C52" i="6"/>
  <c r="AZ50" i="6"/>
  <c r="R52" i="6" l="1"/>
  <c r="AI50" i="6"/>
  <c r="AJ50" i="6" s="1"/>
  <c r="BC50" i="6"/>
  <c r="L39" i="6"/>
  <c r="BK51" i="6"/>
  <c r="BT51" i="6"/>
  <c r="BV51" i="6"/>
  <c r="I51" i="6"/>
  <c r="AM51" i="6"/>
  <c r="W51" i="6"/>
  <c r="G51" i="6"/>
  <c r="U51" i="6"/>
  <c r="AR51" i="6"/>
  <c r="Q51" i="6"/>
  <c r="Y51" i="6"/>
  <c r="Z51" i="6"/>
  <c r="T51" i="6"/>
  <c r="X51" i="6"/>
  <c r="BP53" i="6"/>
  <c r="BJ51" i="6"/>
  <c r="AX51" i="6"/>
  <c r="AW51" i="6"/>
  <c r="AU51" i="6"/>
  <c r="BU51" i="6"/>
  <c r="BS51" i="6"/>
  <c r="BQ51" i="6"/>
  <c r="AD51" i="6"/>
  <c r="AP51" i="6"/>
  <c r="BD50" i="6"/>
  <c r="AQ51" i="6"/>
  <c r="AA51" i="6"/>
  <c r="AV51" i="6"/>
  <c r="AE51" i="6"/>
  <c r="K51" i="6" l="1"/>
  <c r="S51" i="6"/>
  <c r="L50" i="6"/>
  <c r="BN51" i="6"/>
  <c r="B53" i="6"/>
  <c r="D53" i="6" s="1"/>
  <c r="M49" i="6"/>
  <c r="N49" i="6" s="1"/>
  <c r="BO55" i="6"/>
  <c r="BL45" i="6"/>
  <c r="BH52" i="6"/>
  <c r="A52" i="6"/>
  <c r="BI52" i="6"/>
  <c r="D4433" i="3"/>
  <c r="N4433" i="3"/>
  <c r="D4434" i="3"/>
  <c r="N4434" i="3"/>
  <c r="AO51" i="6"/>
  <c r="AT51" i="6"/>
  <c r="AC51" i="6"/>
  <c r="AS51" i="6"/>
  <c r="AB51" i="6"/>
  <c r="AL51" i="6"/>
  <c r="AK50" i="6"/>
  <c r="V51" i="6"/>
  <c r="AN51" i="6"/>
  <c r="AY51" i="6" l="1"/>
  <c r="AF51" i="6"/>
  <c r="AH51" i="6"/>
  <c r="O51" i="6"/>
  <c r="H53" i="6"/>
  <c r="AG51" i="6"/>
  <c r="F52" i="6"/>
  <c r="AZ51" i="6"/>
  <c r="C53" i="6"/>
  <c r="BA51" i="6"/>
  <c r="R53" i="6" l="1"/>
  <c r="AI51" i="6"/>
  <c r="AJ51" i="6" s="1"/>
  <c r="BC51" i="6"/>
  <c r="M50" i="6"/>
  <c r="N50" i="6" s="1"/>
  <c r="P51" i="6"/>
  <c r="BT52" i="6"/>
  <c r="BV52" i="6"/>
  <c r="BQ52" i="6"/>
  <c r="BD51" i="6"/>
  <c r="M39" i="6" l="1"/>
  <c r="N39" i="6" s="1"/>
  <c r="U4433" i="3"/>
  <c r="X4433" i="3"/>
  <c r="U4434" i="3"/>
  <c r="X4434" i="3"/>
  <c r="O52" i="6"/>
  <c r="I52" i="6"/>
  <c r="T52" i="6"/>
  <c r="BP54" i="6"/>
  <c r="G52" i="6"/>
  <c r="BR52" i="6"/>
  <c r="AN52" i="6"/>
  <c r="BJ52" i="6"/>
  <c r="Z52" i="6"/>
  <c r="BS52" i="6"/>
  <c r="AK51" i="6"/>
  <c r="Q52" i="6"/>
  <c r="BK52" i="6"/>
  <c r="BU52" i="6"/>
  <c r="V52" i="6"/>
  <c r="K52" i="6" l="1"/>
  <c r="S52" i="6"/>
  <c r="L51" i="6"/>
  <c r="P52" i="6"/>
  <c r="B54" i="6"/>
  <c r="D54" i="6" s="1"/>
  <c r="BN52" i="6"/>
  <c r="BL46" i="6"/>
  <c r="BH53" i="6"/>
  <c r="BI53" i="6"/>
  <c r="A53" i="6"/>
  <c r="BO56" i="6"/>
  <c r="N2228" i="3"/>
  <c r="D2228" i="3"/>
  <c r="N2227" i="3"/>
  <c r="D2227" i="3"/>
  <c r="N2225" i="3"/>
  <c r="D2225" i="3"/>
  <c r="N2229" i="3"/>
  <c r="D2229" i="3"/>
  <c r="N2222" i="3"/>
  <c r="D2222" i="3"/>
  <c r="N2221" i="3"/>
  <c r="D2221" i="3"/>
  <c r="N2220" i="3"/>
  <c r="D2220" i="3"/>
  <c r="N2219" i="3"/>
  <c r="D2219" i="3"/>
  <c r="N2218" i="3"/>
  <c r="D2218" i="3"/>
  <c r="N2217" i="3"/>
  <c r="D2217" i="3"/>
  <c r="A2217" i="3"/>
  <c r="N2216" i="3"/>
  <c r="D2216" i="3"/>
  <c r="A2216" i="3"/>
  <c r="D2215" i="3"/>
  <c r="A2215" i="3"/>
  <c r="N2214" i="3"/>
  <c r="D2214" i="3"/>
  <c r="A2214" i="3"/>
  <c r="N2213" i="3"/>
  <c r="D2213" i="3"/>
  <c r="A2213" i="3"/>
  <c r="N2212" i="3"/>
  <c r="D2212" i="3"/>
  <c r="A2212" i="3"/>
  <c r="N2211" i="3"/>
  <c r="D2211" i="3"/>
  <c r="A2211" i="3"/>
  <c r="N2210" i="3"/>
  <c r="D2210" i="3"/>
  <c r="A2210" i="3"/>
  <c r="N2209" i="3"/>
  <c r="D2209" i="3"/>
  <c r="A2209" i="3"/>
  <c r="N2208" i="3"/>
  <c r="D2208" i="3"/>
  <c r="A2204" i="3"/>
  <c r="D2204" i="3"/>
  <c r="N2204" i="3"/>
  <c r="A2203" i="3"/>
  <c r="D2203" i="3"/>
  <c r="N2203" i="3"/>
  <c r="N2200" i="3"/>
  <c r="D2200" i="3"/>
  <c r="A2200" i="3"/>
  <c r="N2199" i="3"/>
  <c r="D2199" i="3"/>
  <c r="A2199" i="3"/>
  <c r="N2198" i="3"/>
  <c r="D2198" i="3"/>
  <c r="A2198" i="3"/>
  <c r="N2207" i="3"/>
  <c r="D2207" i="3"/>
  <c r="A2207" i="3"/>
  <c r="D2197" i="3"/>
  <c r="A2197" i="3"/>
  <c r="N2196" i="3"/>
  <c r="D2196" i="3"/>
  <c r="A2196" i="3"/>
  <c r="N2195" i="3"/>
  <c r="D2195" i="3"/>
  <c r="A2202" i="3"/>
  <c r="D2202" i="3"/>
  <c r="N2202" i="3"/>
  <c r="AO52" i="6"/>
  <c r="AX52" i="6"/>
  <c r="AQ52" i="6"/>
  <c r="U52" i="6"/>
  <c r="AT52" i="6"/>
  <c r="AL52" i="6"/>
  <c r="I53" i="6"/>
  <c r="Y52" i="6"/>
  <c r="AP52" i="6"/>
  <c r="AW52" i="6"/>
  <c r="AC52" i="6"/>
  <c r="X52" i="6"/>
  <c r="W52" i="6"/>
  <c r="AS52" i="6"/>
  <c r="AV52" i="6"/>
  <c r="AD52" i="6"/>
  <c r="AU52" i="6"/>
  <c r="AM52" i="6"/>
  <c r="AE52" i="6"/>
  <c r="AA52" i="6"/>
  <c r="AB52" i="6"/>
  <c r="AR52" i="6"/>
  <c r="AY52" i="6" l="1"/>
  <c r="AF52" i="6"/>
  <c r="W53" i="6"/>
  <c r="AE53" i="6"/>
  <c r="X53" i="6"/>
  <c r="AL53" i="6"/>
  <c r="Z53" i="6"/>
  <c r="AW53" i="6"/>
  <c r="AZ52" i="6"/>
  <c r="Y53" i="6"/>
  <c r="AV53" i="6"/>
  <c r="H54" i="6"/>
  <c r="AN53" i="6"/>
  <c r="AQ53" i="6"/>
  <c r="AO53" i="6"/>
  <c r="AD53" i="6"/>
  <c r="AA53" i="6"/>
  <c r="AP53" i="6"/>
  <c r="AX53" i="6"/>
  <c r="U53" i="6"/>
  <c r="Q53" i="6"/>
  <c r="AB53" i="6"/>
  <c r="V53" i="6"/>
  <c r="AT53" i="6"/>
  <c r="C54" i="6"/>
  <c r="T53" i="6"/>
  <c r="AU53" i="6"/>
  <c r="AG52" i="6"/>
  <c r="AH52" i="6"/>
  <c r="R54" i="6" l="1"/>
  <c r="S53" i="6"/>
  <c r="AI52" i="6"/>
  <c r="AJ52" i="6" s="1"/>
  <c r="U2213" i="3"/>
  <c r="X2213" i="3"/>
  <c r="U2216" i="3"/>
  <c r="X2216" i="3"/>
  <c r="U2200" i="3"/>
  <c r="X2200" i="3"/>
  <c r="U2204" i="3"/>
  <c r="X2204" i="3"/>
  <c r="U2208" i="3"/>
  <c r="X2208" i="3"/>
  <c r="U2212" i="3"/>
  <c r="X2212" i="3"/>
  <c r="U2218" i="3"/>
  <c r="X2218" i="3"/>
  <c r="U2220" i="3"/>
  <c r="X2220" i="3"/>
  <c r="U2222" i="3"/>
  <c r="X2222" i="3"/>
  <c r="U2225" i="3"/>
  <c r="X2225" i="3"/>
  <c r="U2228" i="3"/>
  <c r="X2228" i="3"/>
  <c r="U2211" i="3"/>
  <c r="X2211" i="3"/>
  <c r="U2196" i="3"/>
  <c r="X2196" i="3"/>
  <c r="U2198" i="3"/>
  <c r="X2198" i="3"/>
  <c r="U2210" i="3"/>
  <c r="X2210" i="3"/>
  <c r="U2214" i="3"/>
  <c r="X2214" i="3"/>
  <c r="U2217" i="3"/>
  <c r="X2217" i="3"/>
  <c r="U2219" i="3"/>
  <c r="X2219" i="3"/>
  <c r="U2221" i="3"/>
  <c r="X2221" i="3"/>
  <c r="U2229" i="3"/>
  <c r="X2229" i="3"/>
  <c r="U2227" i="3"/>
  <c r="X2227" i="3"/>
  <c r="U2199" i="3"/>
  <c r="X2199" i="3"/>
  <c r="U2203" i="3"/>
  <c r="X2203" i="3"/>
  <c r="U2202" i="3"/>
  <c r="X2202" i="3"/>
  <c r="U2195" i="3"/>
  <c r="X2195" i="3"/>
  <c r="U2207" i="3"/>
  <c r="X2207" i="3"/>
  <c r="U2209" i="3"/>
  <c r="X2209" i="3"/>
  <c r="AS53" i="6"/>
  <c r="AM53" i="6"/>
  <c r="BK53" i="6"/>
  <c r="BQ53" i="6"/>
  <c r="AC53" i="6"/>
  <c r="BA52" i="6"/>
  <c r="BC52" i="6" l="1"/>
  <c r="AF53" i="6"/>
  <c r="AR53" i="6"/>
  <c r="BR53" i="6"/>
  <c r="AY53" i="6" l="1"/>
  <c r="G53" i="6"/>
  <c r="BD52" i="6"/>
  <c r="AG53" i="6"/>
  <c r="BJ53" i="6"/>
  <c r="AZ53" i="6"/>
  <c r="O53" i="6"/>
  <c r="BP55" i="6"/>
  <c r="BV53" i="6"/>
  <c r="BU53" i="6"/>
  <c r="F53" i="6"/>
  <c r="BS53" i="6"/>
  <c r="AH53" i="6"/>
  <c r="BT53" i="6"/>
  <c r="K53" i="6" l="1"/>
  <c r="AI53" i="6"/>
  <c r="AJ53" i="6" s="1"/>
  <c r="M52" i="6"/>
  <c r="L52" i="6"/>
  <c r="P53" i="6"/>
  <c r="B55" i="6"/>
  <c r="D55" i="6" s="1"/>
  <c r="BN53" i="6"/>
  <c r="M51" i="6"/>
  <c r="N51" i="6" s="1"/>
  <c r="BO57" i="6"/>
  <c r="BH54" i="6"/>
  <c r="A54" i="6"/>
  <c r="BI54" i="6"/>
  <c r="BL47" i="6"/>
  <c r="BL48" i="6" s="1"/>
  <c r="BL49" i="6" s="1"/>
  <c r="BL50" i="6" s="1"/>
  <c r="D2193" i="3"/>
  <c r="N2193" i="3"/>
  <c r="D2191" i="3"/>
  <c r="N2191" i="3"/>
  <c r="D2192" i="3"/>
  <c r="N2192" i="3"/>
  <c r="D2194" i="3"/>
  <c r="N2194" i="3"/>
  <c r="A2201" i="3"/>
  <c r="D2201" i="3"/>
  <c r="N2201" i="3"/>
  <c r="N3418" i="3"/>
  <c r="G157" i="2"/>
  <c r="BA53" i="6"/>
  <c r="I54" i="6"/>
  <c r="N52" i="6" l="1"/>
  <c r="BC53" i="6"/>
  <c r="AQ54" i="6"/>
  <c r="AV54" i="6"/>
  <c r="AT54" i="6"/>
  <c r="BD53" i="6"/>
  <c r="T54" i="6"/>
  <c r="O54" i="6"/>
  <c r="AP54" i="6"/>
  <c r="AM54" i="6"/>
  <c r="AE54" i="6"/>
  <c r="U54" i="6"/>
  <c r="AK52" i="6"/>
  <c r="C55" i="6"/>
  <c r="AA54" i="6"/>
  <c r="Z54" i="6"/>
  <c r="G54" i="6"/>
  <c r="AC54" i="6"/>
  <c r="Y54" i="6"/>
  <c r="AX54" i="6"/>
  <c r="Q54" i="6"/>
  <c r="AB54" i="6"/>
  <c r="H55" i="6"/>
  <c r="R55" i="6" l="1"/>
  <c r="S54" i="6"/>
  <c r="L53" i="6"/>
  <c r="U2192" i="3"/>
  <c r="X2192" i="3"/>
  <c r="U2193" i="3"/>
  <c r="X2193" i="3"/>
  <c r="U3418" i="3"/>
  <c r="X3418" i="3"/>
  <c r="U2201" i="3"/>
  <c r="X2201" i="3"/>
  <c r="U2194" i="3"/>
  <c r="X2194" i="3"/>
  <c r="U2191" i="3"/>
  <c r="X2191" i="3"/>
  <c r="AW54" i="6"/>
  <c r="AD54" i="6"/>
  <c r="BS54" i="6"/>
  <c r="AS54" i="6"/>
  <c r="AR54" i="6"/>
  <c r="AU54" i="6"/>
  <c r="X54" i="6"/>
  <c r="AO54" i="6"/>
  <c r="BV54" i="6"/>
  <c r="AN54" i="6"/>
  <c r="AL54" i="6"/>
  <c r="AY54" i="6" l="1"/>
  <c r="W54" i="6"/>
  <c r="F54" i="6"/>
  <c r="V54" i="6"/>
  <c r="BP56" i="6"/>
  <c r="AK53" i="6"/>
  <c r="K54" i="6" l="1"/>
  <c r="AF54" i="6"/>
  <c r="BQ54" i="6"/>
  <c r="BA54" i="6"/>
  <c r="BJ54" i="6"/>
  <c r="BR54" i="6"/>
  <c r="AH54" i="6"/>
  <c r="BK54" i="6"/>
  <c r="BT54" i="6"/>
  <c r="AG54" i="6"/>
  <c r="AI54" i="6" l="1"/>
  <c r="AJ54" i="6" s="1"/>
  <c r="B56" i="6"/>
  <c r="D56" i="6" s="1"/>
  <c r="BN54" i="6"/>
  <c r="P54" i="6"/>
  <c r="BL51" i="6"/>
  <c r="BO58" i="6"/>
  <c r="BH55" i="6"/>
  <c r="BI55" i="6"/>
  <c r="A55" i="6"/>
  <c r="I6432" i="3"/>
  <c r="I55" i="6"/>
  <c r="AZ54" i="6"/>
  <c r="H56" i="6"/>
  <c r="BJ55" i="6"/>
  <c r="BQ55" i="6"/>
  <c r="BC54" i="6" l="1"/>
  <c r="U55" i="6"/>
  <c r="Q55" i="6"/>
  <c r="AU55" i="6"/>
  <c r="AE55" i="6"/>
  <c r="AB55" i="6"/>
  <c r="T55" i="6"/>
  <c r="BK55" i="6"/>
  <c r="AC55" i="6"/>
  <c r="AP55" i="6"/>
  <c r="BP57" i="6"/>
  <c r="AR55" i="6"/>
  <c r="BS55" i="6"/>
  <c r="BU54" i="6"/>
  <c r="AA55" i="6"/>
  <c r="Z55" i="6"/>
  <c r="AT55" i="6"/>
  <c r="W55" i="6"/>
  <c r="C56" i="6"/>
  <c r="F55" i="6"/>
  <c r="AN55" i="6"/>
  <c r="AM55" i="6"/>
  <c r="BD54" i="6"/>
  <c r="AX55" i="6"/>
  <c r="G55" i="6"/>
  <c r="Y55" i="6"/>
  <c r="AV55" i="6"/>
  <c r="O55" i="6"/>
  <c r="K55" i="6" l="1"/>
  <c r="R56" i="6"/>
  <c r="S55" i="6"/>
  <c r="M53" i="6"/>
  <c r="N53" i="6" s="1"/>
  <c r="L54" i="6"/>
  <c r="BN55" i="6"/>
  <c r="P55" i="6"/>
  <c r="B57" i="6"/>
  <c r="D57" i="6" s="1"/>
  <c r="BL52" i="6"/>
  <c r="BL53" i="6" s="1"/>
  <c r="BL54" i="6" s="1"/>
  <c r="A56" i="6"/>
  <c r="BH56" i="6"/>
  <c r="BI56" i="6"/>
  <c r="BO59" i="6"/>
  <c r="U6443" i="3"/>
  <c r="D6443" i="3"/>
  <c r="A6443" i="3"/>
  <c r="U6442" i="3"/>
  <c r="D6442" i="3"/>
  <c r="A6442" i="3"/>
  <c r="U6441" i="3"/>
  <c r="D6441" i="3"/>
  <c r="A6441" i="3"/>
  <c r="U6440" i="3"/>
  <c r="L6440" i="3"/>
  <c r="D6440" i="3"/>
  <c r="A6440" i="3"/>
  <c r="U6439" i="3"/>
  <c r="D6439" i="3"/>
  <c r="A6439" i="3"/>
  <c r="U6438" i="3"/>
  <c r="D6438" i="3"/>
  <c r="A6438" i="3"/>
  <c r="U6437" i="3"/>
  <c r="D6437" i="3"/>
  <c r="A6437" i="3"/>
  <c r="U6434" i="3"/>
  <c r="L6434" i="3"/>
  <c r="D6434" i="3"/>
  <c r="A6434" i="3"/>
  <c r="U6433" i="3"/>
  <c r="D6433" i="3"/>
  <c r="A6433" i="3"/>
  <c r="U6432" i="3"/>
  <c r="D6432" i="3"/>
  <c r="A6432" i="3"/>
  <c r="U6431" i="3"/>
  <c r="D6431" i="3"/>
  <c r="B4728" i="3"/>
  <c r="N4728" i="3"/>
  <c r="U4728" i="3" s="1"/>
  <c r="B4727" i="3"/>
  <c r="N4727" i="3"/>
  <c r="U4727" i="3" s="1"/>
  <c r="N6901" i="3"/>
  <c r="U6901" i="3" s="1"/>
  <c r="O6901" i="3"/>
  <c r="N1517" i="3"/>
  <c r="L1517" i="3"/>
  <c r="D1517" i="3"/>
  <c r="A1517" i="3"/>
  <c r="W1517" i="3" s="1"/>
  <c r="N1516" i="3"/>
  <c r="L1516" i="3"/>
  <c r="D1516" i="3"/>
  <c r="A1516" i="3"/>
  <c r="W1516" i="3" s="1"/>
  <c r="N1515" i="3"/>
  <c r="L1515" i="3"/>
  <c r="D1515" i="3"/>
  <c r="A1515" i="3"/>
  <c r="W1515" i="3" s="1"/>
  <c r="N1514" i="3"/>
  <c r="L1514" i="3"/>
  <c r="D1514" i="3"/>
  <c r="A1514" i="3"/>
  <c r="W1514" i="3" s="1"/>
  <c r="N1513" i="3"/>
  <c r="L1513" i="3"/>
  <c r="D1513" i="3"/>
  <c r="A1513" i="3"/>
  <c r="W1513" i="3" s="1"/>
  <c r="N1512" i="3"/>
  <c r="L1512" i="3"/>
  <c r="D1512" i="3"/>
  <c r="BP58" i="6"/>
  <c r="AL55" i="6"/>
  <c r="AD55" i="6"/>
  <c r="AW55" i="6"/>
  <c r="I56" i="6"/>
  <c r="V55" i="6"/>
  <c r="X55" i="6"/>
  <c r="AQ55" i="6"/>
  <c r="BT55" i="6"/>
  <c r="BT56" i="6"/>
  <c r="AS55" i="6"/>
  <c r="AO55" i="6"/>
  <c r="AK54" i="6"/>
  <c r="AY55" i="6" l="1"/>
  <c r="AF55" i="6"/>
  <c r="AW56" i="6"/>
  <c r="BK56" i="6"/>
  <c r="H57" i="6"/>
  <c r="U56" i="6"/>
  <c r="BU55" i="6"/>
  <c r="AB56" i="6"/>
  <c r="AT56" i="6"/>
  <c r="AN56" i="6"/>
  <c r="F56" i="6"/>
  <c r="BS56" i="6"/>
  <c r="AQ56" i="6"/>
  <c r="AP56" i="6"/>
  <c r="AD56" i="6"/>
  <c r="AU56" i="6"/>
  <c r="V56" i="6"/>
  <c r="C57" i="6"/>
  <c r="AV56" i="6"/>
  <c r="BV56" i="6"/>
  <c r="AH55" i="6"/>
  <c r="AZ55" i="6"/>
  <c r="T56" i="6"/>
  <c r="AX56" i="6"/>
  <c r="BA55" i="6"/>
  <c r="Q56" i="6"/>
  <c r="Z56" i="6"/>
  <c r="X56" i="6"/>
  <c r="BR55" i="6"/>
  <c r="AO56" i="6"/>
  <c r="AL56" i="6"/>
  <c r="W56" i="6"/>
  <c r="BJ56" i="6"/>
  <c r="AC56" i="6"/>
  <c r="BR56" i="6"/>
  <c r="BV55" i="6"/>
  <c r="G56" i="6"/>
  <c r="AG55" i="6"/>
  <c r="AE56" i="6"/>
  <c r="K56" i="6" l="1"/>
  <c r="R57" i="6"/>
  <c r="S56" i="6"/>
  <c r="AI55" i="6"/>
  <c r="AJ55" i="6" s="1"/>
  <c r="BC55" i="6"/>
  <c r="M54" i="6"/>
  <c r="N54" i="6" s="1"/>
  <c r="L55" i="6"/>
  <c r="BL55" i="6"/>
  <c r="BL56" i="6" s="1"/>
  <c r="BN56" i="6"/>
  <c r="B58" i="6"/>
  <c r="D58" i="6" s="1"/>
  <c r="BO60" i="6"/>
  <c r="BH57" i="6"/>
  <c r="BI57" i="6"/>
  <c r="A57" i="6"/>
  <c r="N4516" i="3"/>
  <c r="D4516" i="3"/>
  <c r="N4515" i="3"/>
  <c r="D4515" i="3"/>
  <c r="N4514" i="3"/>
  <c r="D4514" i="3"/>
  <c r="N4513" i="3"/>
  <c r="D4513" i="3"/>
  <c r="N4512" i="3"/>
  <c r="D4512" i="3"/>
  <c r="N4511" i="3"/>
  <c r="D4511" i="3"/>
  <c r="N4510" i="3"/>
  <c r="D4510" i="3"/>
  <c r="N4502" i="3"/>
  <c r="D4502" i="3"/>
  <c r="N4501" i="3"/>
  <c r="D4501" i="3"/>
  <c r="N4500" i="3"/>
  <c r="D4500" i="3"/>
  <c r="N4499" i="3"/>
  <c r="D4499" i="3"/>
  <c r="N4498" i="3"/>
  <c r="D4498" i="3"/>
  <c r="N4497" i="3"/>
  <c r="D4497" i="3"/>
  <c r="N4496" i="3"/>
  <c r="D4496" i="3"/>
  <c r="A1505" i="3"/>
  <c r="W1505" i="3" s="1"/>
  <c r="A1506" i="3"/>
  <c r="W1506" i="3" s="1"/>
  <c r="A1507" i="3"/>
  <c r="W1507" i="3" s="1"/>
  <c r="A1508" i="3"/>
  <c r="W1508" i="3" s="1"/>
  <c r="A1509" i="3"/>
  <c r="W1509" i="3" s="1"/>
  <c r="A1510" i="3"/>
  <c r="W1510" i="3" s="1"/>
  <c r="A1511" i="3"/>
  <c r="W1511" i="3" s="1"/>
  <c r="A1535" i="3"/>
  <c r="W1535" i="3" s="1"/>
  <c r="N1511" i="3"/>
  <c r="L1511" i="3"/>
  <c r="D1511" i="3"/>
  <c r="N1510" i="3"/>
  <c r="L1510" i="3"/>
  <c r="D1510" i="3"/>
  <c r="N1509" i="3"/>
  <c r="L1509" i="3"/>
  <c r="D1509" i="3"/>
  <c r="N1508" i="3"/>
  <c r="L1508" i="3"/>
  <c r="D1508" i="3"/>
  <c r="N1507" i="3"/>
  <c r="L1507" i="3"/>
  <c r="D1507" i="3"/>
  <c r="N1506" i="3"/>
  <c r="L1506" i="3"/>
  <c r="D1506" i="3"/>
  <c r="N1505" i="3"/>
  <c r="L1505" i="3"/>
  <c r="D1505" i="3"/>
  <c r="N1504" i="3"/>
  <c r="L1504" i="3"/>
  <c r="D1504" i="3"/>
  <c r="A1504" i="3"/>
  <c r="W1504" i="3" s="1"/>
  <c r="N1503" i="3"/>
  <c r="L1503" i="3"/>
  <c r="D1503" i="3"/>
  <c r="A1503" i="3"/>
  <c r="W1503" i="3" s="1"/>
  <c r="N1502" i="3"/>
  <c r="L1502" i="3"/>
  <c r="D1502" i="3"/>
  <c r="A1502" i="3"/>
  <c r="W1502" i="3" s="1"/>
  <c r="N1501" i="3"/>
  <c r="L1501" i="3"/>
  <c r="D1501" i="3"/>
  <c r="A1501" i="3"/>
  <c r="W1501" i="3" s="1"/>
  <c r="N1500" i="3"/>
  <c r="L1500" i="3"/>
  <c r="D1500" i="3"/>
  <c r="A1500" i="3"/>
  <c r="W1500" i="3" s="1"/>
  <c r="N1499" i="3"/>
  <c r="L1499" i="3"/>
  <c r="D1499" i="3"/>
  <c r="N1483" i="3"/>
  <c r="L1483" i="3"/>
  <c r="D1483" i="3"/>
  <c r="A1483" i="3"/>
  <c r="W1483" i="3" s="1"/>
  <c r="N1482" i="3"/>
  <c r="L1482" i="3"/>
  <c r="D1482" i="3"/>
  <c r="A1482" i="3"/>
  <c r="W1482" i="3" s="1"/>
  <c r="N1481" i="3"/>
  <c r="L1481" i="3"/>
  <c r="D1481" i="3"/>
  <c r="A1481" i="3"/>
  <c r="W1481" i="3" s="1"/>
  <c r="N1480" i="3"/>
  <c r="L1480" i="3"/>
  <c r="D1480" i="3"/>
  <c r="A1480" i="3"/>
  <c r="W1480" i="3" s="1"/>
  <c r="N1479" i="3"/>
  <c r="L1479" i="3"/>
  <c r="D1479" i="3"/>
  <c r="A1479" i="3"/>
  <c r="W1479" i="3" s="1"/>
  <c r="N1478" i="3"/>
  <c r="L1478" i="3"/>
  <c r="D1478" i="3"/>
  <c r="A1478" i="3"/>
  <c r="W1478" i="3" s="1"/>
  <c r="N1477" i="3"/>
  <c r="L1477" i="3"/>
  <c r="D1477" i="3"/>
  <c r="A1477" i="3"/>
  <c r="W1477" i="3" s="1"/>
  <c r="N1476" i="3"/>
  <c r="L1476" i="3"/>
  <c r="D1476" i="3"/>
  <c r="A1476" i="3"/>
  <c r="W1476" i="3" s="1"/>
  <c r="N1475" i="3"/>
  <c r="L1475" i="3"/>
  <c r="D1475" i="3"/>
  <c r="A1475" i="3"/>
  <c r="W1475" i="3" s="1"/>
  <c r="N1474" i="3"/>
  <c r="L1474" i="3"/>
  <c r="D1474" i="3"/>
  <c r="A1474" i="3"/>
  <c r="W1474" i="3" s="1"/>
  <c r="N1473" i="3"/>
  <c r="L1473" i="3"/>
  <c r="D1473" i="3"/>
  <c r="A1473" i="3"/>
  <c r="W1473" i="3" s="1"/>
  <c r="N1472" i="3"/>
  <c r="L1472" i="3"/>
  <c r="D1472" i="3"/>
  <c r="L1422" i="3"/>
  <c r="A1422" i="3"/>
  <c r="W1422" i="3" s="1"/>
  <c r="D1422" i="3"/>
  <c r="N1422" i="3"/>
  <c r="D1426" i="3"/>
  <c r="N1426" i="3"/>
  <c r="L1426" i="3"/>
  <c r="A1426" i="3"/>
  <c r="N1425" i="3"/>
  <c r="L1425" i="3"/>
  <c r="A1425" i="3"/>
  <c r="N1424" i="3"/>
  <c r="L1424" i="3"/>
  <c r="A1424" i="3"/>
  <c r="N1423" i="3"/>
  <c r="L1423" i="3"/>
  <c r="A1423" i="3"/>
  <c r="N1421" i="3"/>
  <c r="L1421" i="3"/>
  <c r="D1421" i="3"/>
  <c r="A1421" i="3"/>
  <c r="W1421" i="3" s="1"/>
  <c r="N1420" i="3"/>
  <c r="L1420" i="3"/>
  <c r="D1420" i="3"/>
  <c r="A1420" i="3"/>
  <c r="W1420" i="3" s="1"/>
  <c r="N1419" i="3"/>
  <c r="L1419" i="3"/>
  <c r="D1419" i="3"/>
  <c r="A1419" i="3"/>
  <c r="W1419" i="3" s="1"/>
  <c r="N1418" i="3"/>
  <c r="L1418" i="3"/>
  <c r="D1418" i="3"/>
  <c r="A1418" i="3"/>
  <c r="W1418" i="3" s="1"/>
  <c r="N1417" i="3"/>
  <c r="L1417" i="3"/>
  <c r="D1417" i="3"/>
  <c r="A1417" i="3"/>
  <c r="W1417" i="3" s="1"/>
  <c r="N1416" i="3"/>
  <c r="L1416" i="3"/>
  <c r="D1416" i="3"/>
  <c r="A1416" i="3"/>
  <c r="W1416" i="3" s="1"/>
  <c r="N1415" i="3"/>
  <c r="L1415" i="3"/>
  <c r="D1415" i="3"/>
  <c r="A1415" i="3"/>
  <c r="W1415" i="3" s="1"/>
  <c r="N1414" i="3"/>
  <c r="L1414" i="3"/>
  <c r="D1414" i="3"/>
  <c r="AG56" i="6"/>
  <c r="BD55" i="6"/>
  <c r="AH56" i="6"/>
  <c r="AZ56" i="6"/>
  <c r="G57" i="6"/>
  <c r="Y56" i="6"/>
  <c r="AR56" i="6"/>
  <c r="BA56" i="6"/>
  <c r="AA56" i="6"/>
  <c r="AS56" i="6"/>
  <c r="AM56" i="6"/>
  <c r="AF56" i="6" l="1"/>
  <c r="AY56" i="6"/>
  <c r="R58" i="6"/>
  <c r="AI56" i="6"/>
  <c r="AJ56" i="6" s="1"/>
  <c r="M55" i="6"/>
  <c r="N55" i="6" s="1"/>
  <c r="BC56" i="6"/>
  <c r="U4499" i="3"/>
  <c r="X4499" i="3"/>
  <c r="U4513" i="3"/>
  <c r="X4513" i="3"/>
  <c r="U4498" i="3"/>
  <c r="X4498" i="3"/>
  <c r="U4502" i="3"/>
  <c r="X4502" i="3"/>
  <c r="U4512" i="3"/>
  <c r="X4512" i="3"/>
  <c r="U4516" i="3"/>
  <c r="X4516" i="3"/>
  <c r="U4497" i="3"/>
  <c r="X4497" i="3"/>
  <c r="U4501" i="3"/>
  <c r="X4501" i="3"/>
  <c r="U4511" i="3"/>
  <c r="X4511" i="3"/>
  <c r="U4515" i="3"/>
  <c r="X4515" i="3"/>
  <c r="U4496" i="3"/>
  <c r="X4496" i="3"/>
  <c r="U4500" i="3"/>
  <c r="X4500" i="3"/>
  <c r="U4510" i="3"/>
  <c r="X4510" i="3"/>
  <c r="U4514" i="3"/>
  <c r="X4514" i="3"/>
  <c r="BT57" i="6"/>
  <c r="BU57" i="6"/>
  <c r="BQ56" i="6"/>
  <c r="C58" i="6"/>
  <c r="BQ57" i="6"/>
  <c r="AK55" i="6"/>
  <c r="H58" i="6"/>
  <c r="F57" i="6"/>
  <c r="BU56" i="6"/>
  <c r="O57" i="6"/>
  <c r="BP59" i="6"/>
  <c r="BK57" i="6"/>
  <c r="I57" i="6"/>
  <c r="O56" i="6"/>
  <c r="BR57" i="6"/>
  <c r="BD56" i="6"/>
  <c r="K57" i="6" l="1"/>
  <c r="P56" i="6"/>
  <c r="T57" i="6"/>
  <c r="AV57" i="6"/>
  <c r="AL57" i="6"/>
  <c r="AP57" i="6"/>
  <c r="X57" i="6"/>
  <c r="AX57" i="6"/>
  <c r="AQ57" i="6"/>
  <c r="AU57" i="6"/>
  <c r="AM57" i="6"/>
  <c r="U57" i="6"/>
  <c r="AB57" i="6"/>
  <c r="AA57" i="6"/>
  <c r="AR57" i="6"/>
  <c r="AN57" i="6"/>
  <c r="AT57" i="6"/>
  <c r="AW57" i="6"/>
  <c r="V57" i="6"/>
  <c r="W57" i="6"/>
  <c r="Q57" i="6"/>
  <c r="AS57" i="6"/>
  <c r="AO57" i="6"/>
  <c r="AD57" i="6"/>
  <c r="AC57" i="6"/>
  <c r="AE57" i="6"/>
  <c r="Y57" i="6"/>
  <c r="AK56" i="6"/>
  <c r="Z57" i="6"/>
  <c r="S57" i="6" l="1"/>
  <c r="AF57" i="6" s="1"/>
  <c r="AY57" i="6"/>
  <c r="BJ57" i="6"/>
  <c r="BV57" i="6"/>
  <c r="AZ57" i="6"/>
  <c r="AH57" i="6"/>
  <c r="BS57" i="6"/>
  <c r="AI57" i="6" l="1"/>
  <c r="L56" i="6"/>
  <c r="BL57" i="6"/>
  <c r="BN57" i="6"/>
  <c r="B59" i="6"/>
  <c r="D59" i="6" s="1"/>
  <c r="P57" i="6"/>
  <c r="BO61" i="6"/>
  <c r="BH58" i="6"/>
  <c r="BI58" i="6"/>
  <c r="A58" i="6"/>
  <c r="W1423" i="3"/>
  <c r="W1424" i="3"/>
  <c r="W1425" i="3"/>
  <c r="D1424" i="3"/>
  <c r="W1426" i="3"/>
  <c r="D1423" i="3"/>
  <c r="D1425" i="3"/>
  <c r="AG57" i="6"/>
  <c r="BU58" i="6"/>
  <c r="BA57" i="6"/>
  <c r="I58" i="6"/>
  <c r="BC57" i="6" l="1"/>
  <c r="AJ57" i="6"/>
  <c r="Z58" i="6"/>
  <c r="BR58" i="6"/>
  <c r="V58" i="6"/>
  <c r="T58" i="6"/>
  <c r="AE58" i="6"/>
  <c r="U58" i="6"/>
  <c r="F58" i="6"/>
  <c r="AS58" i="6"/>
  <c r="AR58" i="6"/>
  <c r="BJ58" i="6"/>
  <c r="AV58" i="6"/>
  <c r="C59" i="6"/>
  <c r="AC58" i="6"/>
  <c r="AU58" i="6"/>
  <c r="G58" i="6"/>
  <c r="BT58" i="6"/>
  <c r="AW58" i="6"/>
  <c r="AA58" i="6"/>
  <c r="AB58" i="6"/>
  <c r="Q58" i="6"/>
  <c r="Y58" i="6"/>
  <c r="AT58" i="6"/>
  <c r="AO58" i="6"/>
  <c r="BP60" i="6"/>
  <c r="AP58" i="6"/>
  <c r="AL58" i="6"/>
  <c r="AQ58" i="6"/>
  <c r="H59" i="6"/>
  <c r="X58" i="6"/>
  <c r="AM58" i="6"/>
  <c r="BD57" i="6"/>
  <c r="AD58" i="6"/>
  <c r="AX58" i="6"/>
  <c r="BK58" i="6"/>
  <c r="W58" i="6"/>
  <c r="K58" i="6" l="1"/>
  <c r="R59" i="6"/>
  <c r="S58" i="6"/>
  <c r="AF58" i="6" s="1"/>
  <c r="L57" i="6"/>
  <c r="B60" i="6"/>
  <c r="D60" i="6" s="1"/>
  <c r="BN58" i="6"/>
  <c r="BL58" i="6"/>
  <c r="M56" i="6"/>
  <c r="N56" i="6" s="1"/>
  <c r="A59" i="6"/>
  <c r="BH59" i="6"/>
  <c r="BI59" i="6"/>
  <c r="BO62" i="6"/>
  <c r="N4430" i="3"/>
  <c r="D4430" i="3"/>
  <c r="N4429" i="3"/>
  <c r="D4429" i="3"/>
  <c r="N4428" i="3"/>
  <c r="D4428" i="3"/>
  <c r="N4427" i="3"/>
  <c r="D4427" i="3"/>
  <c r="N4426" i="3"/>
  <c r="D4426" i="3"/>
  <c r="N4425" i="3"/>
  <c r="D4425" i="3"/>
  <c r="N4424" i="3"/>
  <c r="D4424" i="3"/>
  <c r="N4423" i="3"/>
  <c r="D4423" i="3"/>
  <c r="AN58" i="6"/>
  <c r="I59" i="6"/>
  <c r="AN59" i="6"/>
  <c r="BQ58" i="6"/>
  <c r="AT59" i="6"/>
  <c r="AE59" i="6"/>
  <c r="BA58" i="6"/>
  <c r="AZ58" i="6"/>
  <c r="AG58" i="6"/>
  <c r="T59" i="6"/>
  <c r="AH58" i="6"/>
  <c r="O58" i="6"/>
  <c r="AK57" i="6"/>
  <c r="BS58" i="6"/>
  <c r="U59" i="6"/>
  <c r="AX59" i="6"/>
  <c r="X59" i="6"/>
  <c r="AM59" i="6"/>
  <c r="AP59" i="6"/>
  <c r="AA59" i="6"/>
  <c r="Z59" i="6"/>
  <c r="Y59" i="6"/>
  <c r="Q59" i="6"/>
  <c r="AY58" i="6" l="1"/>
  <c r="R60" i="6"/>
  <c r="S59" i="6"/>
  <c r="AI58" i="6"/>
  <c r="AJ58" i="6" s="1"/>
  <c r="BC58" i="6"/>
  <c r="P58" i="6"/>
  <c r="AL59" i="6"/>
  <c r="AS59" i="6"/>
  <c r="AC59" i="6"/>
  <c r="BD58" i="6"/>
  <c r="V59" i="6"/>
  <c r="C60" i="6"/>
  <c r="AD59" i="6"/>
  <c r="H60" i="6"/>
  <c r="AB59" i="6"/>
  <c r="AW59" i="6"/>
  <c r="AR59" i="6"/>
  <c r="AQ59" i="6"/>
  <c r="W59" i="6"/>
  <c r="AF59" i="6" l="1"/>
  <c r="AV59" i="6"/>
  <c r="AU59" i="6"/>
  <c r="BV58" i="6"/>
  <c r="AO59" i="6"/>
  <c r="AY59" i="6" l="1"/>
  <c r="AZ59" i="6"/>
  <c r="BA59" i="6"/>
  <c r="AG59" i="6"/>
  <c r="BC59" i="6" l="1"/>
  <c r="U4428" i="3"/>
  <c r="X4428" i="3"/>
  <c r="U4423" i="3"/>
  <c r="X4423" i="3"/>
  <c r="U4427" i="3"/>
  <c r="X4427" i="3"/>
  <c r="U4430" i="3"/>
  <c r="X4430" i="3"/>
  <c r="U4426" i="3"/>
  <c r="X4426" i="3"/>
  <c r="U4425" i="3"/>
  <c r="X4425" i="3"/>
  <c r="U4429" i="3"/>
  <c r="X4429" i="3"/>
  <c r="U4424" i="3"/>
  <c r="X4424" i="3"/>
  <c r="AH59" i="6"/>
  <c r="AK58" i="6"/>
  <c r="BK59" i="6"/>
  <c r="F59" i="6"/>
  <c r="BT59" i="6"/>
  <c r="BD59" i="6"/>
  <c r="O59" i="6"/>
  <c r="BS59" i="6"/>
  <c r="BQ59" i="6"/>
  <c r="BR59" i="6"/>
  <c r="BP61" i="6"/>
  <c r="BJ59" i="6"/>
  <c r="G59" i="6"/>
  <c r="K59" i="6" l="1"/>
  <c r="AI59" i="6"/>
  <c r="AJ59" i="6" s="1"/>
  <c r="L58" i="6"/>
  <c r="BL59" i="6"/>
  <c r="BN59" i="6"/>
  <c r="P59" i="6"/>
  <c r="B61" i="6"/>
  <c r="D61" i="6" s="1"/>
  <c r="M57" i="6"/>
  <c r="N57" i="6" s="1"/>
  <c r="BO63" i="6"/>
  <c r="A60" i="6"/>
  <c r="BI60" i="6"/>
  <c r="BH60" i="6"/>
  <c r="N4414" i="3"/>
  <c r="D4414" i="3"/>
  <c r="N4413" i="3"/>
  <c r="D4413" i="3"/>
  <c r="N4412" i="3"/>
  <c r="D4412" i="3"/>
  <c r="N4411" i="3"/>
  <c r="D4411" i="3"/>
  <c r="N4410" i="3"/>
  <c r="D4410" i="3"/>
  <c r="N4409" i="3"/>
  <c r="D4409" i="3"/>
  <c r="N4408" i="3"/>
  <c r="D4408" i="3"/>
  <c r="N4407" i="3"/>
  <c r="D4407" i="3"/>
  <c r="BU60" i="6"/>
  <c r="AK59" i="6"/>
  <c r="G60" i="6"/>
  <c r="BU59" i="6"/>
  <c r="BV59" i="6"/>
  <c r="I60" i="6"/>
  <c r="AA60" i="6"/>
  <c r="AC60" i="6"/>
  <c r="W60" i="6"/>
  <c r="U60" i="6"/>
  <c r="AD60" i="6"/>
  <c r="Q60" i="6"/>
  <c r="T60" i="6"/>
  <c r="X60" i="6"/>
  <c r="AR60" i="6"/>
  <c r="AW60" i="6"/>
  <c r="AS60" i="6"/>
  <c r="AO60" i="6"/>
  <c r="AL60" i="6"/>
  <c r="AB60" i="6"/>
  <c r="AT60" i="6"/>
  <c r="V60" i="6"/>
  <c r="R61" i="6" l="1"/>
  <c r="S60" i="6"/>
  <c r="U4413" i="3"/>
  <c r="X4413" i="3"/>
  <c r="U4409" i="3"/>
  <c r="X4409" i="3"/>
  <c r="U4408" i="3"/>
  <c r="X4408" i="3"/>
  <c r="U4412" i="3"/>
  <c r="X4412" i="3"/>
  <c r="U4411" i="3"/>
  <c r="X4411" i="3"/>
  <c r="U4407" i="3"/>
  <c r="X4407" i="3"/>
  <c r="U4410" i="3"/>
  <c r="X4410" i="3"/>
  <c r="U4414" i="3"/>
  <c r="X4414" i="3"/>
  <c r="Z60" i="6"/>
  <c r="H61" i="6"/>
  <c r="AQ60" i="6"/>
  <c r="AE60" i="6"/>
  <c r="Y60" i="6"/>
  <c r="C61" i="6"/>
  <c r="AP60" i="6"/>
  <c r="O60" i="6"/>
  <c r="AF60" i="6" l="1"/>
  <c r="AX60" i="6"/>
  <c r="BQ60" i="6"/>
  <c r="AU60" i="6"/>
  <c r="BV60" i="6"/>
  <c r="BJ60" i="6"/>
  <c r="AV60" i="6"/>
  <c r="BK60" i="6"/>
  <c r="AM60" i="6"/>
  <c r="BA60" i="6"/>
  <c r="AN60" i="6"/>
  <c r="AY60" i="6" l="1"/>
  <c r="F60" i="6"/>
  <c r="BT60" i="6"/>
  <c r="AG60" i="6"/>
  <c r="AH60" i="6"/>
  <c r="BS60" i="6"/>
  <c r="AZ60" i="6"/>
  <c r="BR60" i="6"/>
  <c r="BP62" i="6"/>
  <c r="K60" i="6" l="1"/>
  <c r="AI60" i="6"/>
  <c r="AJ60" i="6" s="1"/>
  <c r="BC60" i="6"/>
  <c r="L59" i="6"/>
  <c r="M59" i="6"/>
  <c r="B62" i="6"/>
  <c r="D62" i="6" s="1"/>
  <c r="P60" i="6"/>
  <c r="BN60" i="6"/>
  <c r="BL60" i="6"/>
  <c r="M58" i="6"/>
  <c r="N58" i="6" s="1"/>
  <c r="BO64" i="6"/>
  <c r="BH61" i="6"/>
  <c r="A61" i="6"/>
  <c r="BI61" i="6"/>
  <c r="B4726" i="3"/>
  <c r="B4725" i="3"/>
  <c r="N4726" i="3"/>
  <c r="U4726" i="3" s="1"/>
  <c r="N4725" i="3"/>
  <c r="U4725" i="3" s="1"/>
  <c r="B4724" i="3"/>
  <c r="B4723" i="3"/>
  <c r="N4724" i="3"/>
  <c r="U4724" i="3" s="1"/>
  <c r="N4723" i="3"/>
  <c r="U4723" i="3" s="1"/>
  <c r="O6900" i="3"/>
  <c r="N6900" i="3"/>
  <c r="U6900" i="3" s="1"/>
  <c r="N6891" i="3"/>
  <c r="U6891" i="3" s="1"/>
  <c r="O6891" i="3"/>
  <c r="O6897" i="3"/>
  <c r="N6897" i="3"/>
  <c r="U6897" i="3" s="1"/>
  <c r="U6430" i="3"/>
  <c r="D6430" i="3"/>
  <c r="A6430" i="3"/>
  <c r="U6429" i="3"/>
  <c r="D6429" i="3"/>
  <c r="A6429" i="3"/>
  <c r="U6428" i="3"/>
  <c r="D6428" i="3"/>
  <c r="A6428" i="3"/>
  <c r="U6427" i="3"/>
  <c r="L6427" i="3"/>
  <c r="D6427" i="3"/>
  <c r="A6427" i="3"/>
  <c r="U6426" i="3"/>
  <c r="D6426" i="3"/>
  <c r="A6426" i="3"/>
  <c r="U6425" i="3"/>
  <c r="D6425" i="3"/>
  <c r="A6425" i="3"/>
  <c r="U6424" i="3"/>
  <c r="D6424" i="3"/>
  <c r="A6424" i="3"/>
  <c r="U6421" i="3"/>
  <c r="L6421" i="3"/>
  <c r="D6421" i="3"/>
  <c r="A6421" i="3"/>
  <c r="U6420" i="3"/>
  <c r="D6420" i="3"/>
  <c r="A6420" i="3"/>
  <c r="U6419" i="3"/>
  <c r="D6419" i="3"/>
  <c r="A6419" i="3"/>
  <c r="U6418" i="3"/>
  <c r="I6418" i="3"/>
  <c r="I6420" i="3" s="1"/>
  <c r="D6418" i="3"/>
  <c r="A6418" i="3"/>
  <c r="U6417" i="3"/>
  <c r="D6417" i="3"/>
  <c r="U6402" i="3"/>
  <c r="D6402" i="3"/>
  <c r="A6402" i="3"/>
  <c r="U6401" i="3"/>
  <c r="D6401" i="3"/>
  <c r="A6401" i="3"/>
  <c r="U6400" i="3"/>
  <c r="D6400" i="3"/>
  <c r="A6400" i="3"/>
  <c r="U6399" i="3"/>
  <c r="L6399" i="3"/>
  <c r="D6399" i="3"/>
  <c r="A6399" i="3"/>
  <c r="U6398" i="3"/>
  <c r="D6398" i="3"/>
  <c r="A6398" i="3"/>
  <c r="U6397" i="3"/>
  <c r="D6397" i="3"/>
  <c r="A6397" i="3"/>
  <c r="U6396" i="3"/>
  <c r="D6396" i="3"/>
  <c r="A6396" i="3"/>
  <c r="U6393" i="3"/>
  <c r="L6393" i="3"/>
  <c r="D6393" i="3"/>
  <c r="A6393" i="3"/>
  <c r="U6392" i="3"/>
  <c r="D6392" i="3"/>
  <c r="A6392" i="3"/>
  <c r="U6391" i="3"/>
  <c r="I6391" i="3"/>
  <c r="D6391" i="3"/>
  <c r="A6391" i="3"/>
  <c r="U6390" i="3"/>
  <c r="D6390" i="3"/>
  <c r="A6390" i="3"/>
  <c r="U6389" i="3"/>
  <c r="D6389" i="3"/>
  <c r="I6306" i="3"/>
  <c r="I6308" i="3" s="1"/>
  <c r="U6318" i="3"/>
  <c r="D6318" i="3"/>
  <c r="A6318" i="3"/>
  <c r="U6317" i="3"/>
  <c r="D6317" i="3"/>
  <c r="A6317" i="3"/>
  <c r="U6316" i="3"/>
  <c r="D6316" i="3"/>
  <c r="A6316" i="3"/>
  <c r="U6315" i="3"/>
  <c r="L6315" i="3"/>
  <c r="D6315" i="3"/>
  <c r="A6315" i="3"/>
  <c r="U6314" i="3"/>
  <c r="D6314" i="3"/>
  <c r="A6314" i="3"/>
  <c r="U6313" i="3"/>
  <c r="D6313" i="3"/>
  <c r="A6313" i="3"/>
  <c r="U6312" i="3"/>
  <c r="D6312" i="3"/>
  <c r="A6312" i="3"/>
  <c r="U6309" i="3"/>
  <c r="L6309" i="3"/>
  <c r="D6309" i="3"/>
  <c r="A6309" i="3"/>
  <c r="U6308" i="3"/>
  <c r="D6308" i="3"/>
  <c r="A6308" i="3"/>
  <c r="U6307" i="3"/>
  <c r="D6307" i="3"/>
  <c r="A6307" i="3"/>
  <c r="U6306" i="3"/>
  <c r="D6306" i="3"/>
  <c r="A6306" i="3"/>
  <c r="U6305" i="3"/>
  <c r="D6305" i="3"/>
  <c r="I6279" i="3"/>
  <c r="U6290" i="3"/>
  <c r="D6290" i="3"/>
  <c r="A6290" i="3"/>
  <c r="U6289" i="3"/>
  <c r="D6289" i="3"/>
  <c r="A6289" i="3"/>
  <c r="U6288" i="3"/>
  <c r="D6288" i="3"/>
  <c r="A6288" i="3"/>
  <c r="U6287" i="3"/>
  <c r="L6287" i="3"/>
  <c r="D6287" i="3"/>
  <c r="A6287" i="3"/>
  <c r="U6286" i="3"/>
  <c r="D6286" i="3"/>
  <c r="A6286" i="3"/>
  <c r="U6285" i="3"/>
  <c r="D6285" i="3"/>
  <c r="A6285" i="3"/>
  <c r="U6284" i="3"/>
  <c r="D6284" i="3"/>
  <c r="A6284" i="3"/>
  <c r="U6281" i="3"/>
  <c r="L6281" i="3"/>
  <c r="D6281" i="3"/>
  <c r="A6281" i="3"/>
  <c r="U6280" i="3"/>
  <c r="D6280" i="3"/>
  <c r="A6280" i="3"/>
  <c r="U6279" i="3"/>
  <c r="D6279" i="3"/>
  <c r="A6279" i="3"/>
  <c r="U6278" i="3"/>
  <c r="D6278" i="3"/>
  <c r="A6278" i="3"/>
  <c r="U6277" i="3"/>
  <c r="D6277" i="3"/>
  <c r="O6888" i="3"/>
  <c r="N6888" i="3"/>
  <c r="U6888" i="3" s="1"/>
  <c r="L1398" i="3"/>
  <c r="L1397" i="3"/>
  <c r="L1396" i="3"/>
  <c r="L1395" i="3"/>
  <c r="H62" i="6"/>
  <c r="BD60" i="6"/>
  <c r="BQ61" i="6"/>
  <c r="BJ61" i="6"/>
  <c r="N59" i="6" l="1"/>
  <c r="R62" i="6"/>
  <c r="BV61" i="6"/>
  <c r="BR61" i="6"/>
  <c r="BK61" i="6"/>
  <c r="O61" i="6"/>
  <c r="I61" i="6"/>
  <c r="AO61" i="6" s="1"/>
  <c r="AP61" i="6"/>
  <c r="AR61" i="6"/>
  <c r="AT61" i="6"/>
  <c r="W61" i="6"/>
  <c r="Y61" i="6"/>
  <c r="AV61" i="6"/>
  <c r="AK60" i="6"/>
  <c r="AE61" i="6"/>
  <c r="BT61" i="6"/>
  <c r="BP63" i="6"/>
  <c r="Z61" i="6"/>
  <c r="Q61" i="6"/>
  <c r="X61" i="6"/>
  <c r="AX61" i="6"/>
  <c r="V61" i="6"/>
  <c r="U61" i="6"/>
  <c r="AD61" i="6"/>
  <c r="F61" i="6"/>
  <c r="C62" i="6"/>
  <c r="AW61" i="6"/>
  <c r="G61" i="6"/>
  <c r="T61" i="6"/>
  <c r="BS61" i="6"/>
  <c r="K61" i="6" l="1"/>
  <c r="S61" i="6"/>
  <c r="L60" i="6"/>
  <c r="P61" i="6"/>
  <c r="B63" i="6"/>
  <c r="D63" i="6" s="1"/>
  <c r="BL61" i="6"/>
  <c r="BN61" i="6"/>
  <c r="BO65" i="6"/>
  <c r="A62" i="6"/>
  <c r="BI62" i="6"/>
  <c r="BH62" i="6"/>
  <c r="I6419" i="3"/>
  <c r="I6307" i="3"/>
  <c r="O62" i="6"/>
  <c r="AL61" i="6"/>
  <c r="AA61" i="6"/>
  <c r="AU61" i="6"/>
  <c r="BK62" i="6"/>
  <c r="G62" i="6"/>
  <c r="BQ62" i="6"/>
  <c r="AC61" i="6"/>
  <c r="AN61" i="6"/>
  <c r="AB61" i="6"/>
  <c r="AQ61" i="6"/>
  <c r="AS61" i="6"/>
  <c r="F62" i="6"/>
  <c r="AF61" i="6" l="1"/>
  <c r="C63" i="6"/>
  <c r="BP64" i="6"/>
  <c r="AG61" i="6"/>
  <c r="BV62" i="6"/>
  <c r="BJ62" i="6"/>
  <c r="BA61" i="6"/>
  <c r="BU61" i="6"/>
  <c r="H63" i="6"/>
  <c r="BU62" i="6"/>
  <c r="BS62" i="6"/>
  <c r="AM61" i="6"/>
  <c r="AH61" i="6"/>
  <c r="AZ61" i="6"/>
  <c r="I62" i="6"/>
  <c r="T62" i="6"/>
  <c r="AV62" i="6"/>
  <c r="V62" i="6"/>
  <c r="AN62" i="6"/>
  <c r="X62" i="6"/>
  <c r="AS62" i="6"/>
  <c r="Q62" i="6"/>
  <c r="AD62" i="6"/>
  <c r="AB62" i="6"/>
  <c r="AE62" i="6"/>
  <c r="AX62" i="6"/>
  <c r="U62" i="6"/>
  <c r="Y62" i="6"/>
  <c r="AT62" i="6"/>
  <c r="K62" i="6" l="1"/>
  <c r="AY61" i="6"/>
  <c r="R63" i="6"/>
  <c r="S62" i="6"/>
  <c r="AI61" i="6"/>
  <c r="AJ61" i="6" s="1"/>
  <c r="L61" i="6"/>
  <c r="BC61" i="6"/>
  <c r="B64" i="6"/>
  <c r="D64" i="6" s="1"/>
  <c r="BN62" i="6"/>
  <c r="BL62" i="6"/>
  <c r="P62" i="6"/>
  <c r="M60" i="6"/>
  <c r="N60" i="6" s="1"/>
  <c r="BO66" i="6"/>
  <c r="BH63" i="6"/>
  <c r="A63" i="6"/>
  <c r="BI63" i="6"/>
  <c r="L1394" i="3"/>
  <c r="O63" i="6"/>
  <c r="AU62" i="6"/>
  <c r="AL62" i="6"/>
  <c r="W62" i="6"/>
  <c r="Z62" i="6"/>
  <c r="BT62" i="6"/>
  <c r="AO62" i="6"/>
  <c r="AP62" i="6"/>
  <c r="AA62" i="6"/>
  <c r="AC62" i="6"/>
  <c r="AR62" i="6"/>
  <c r="AQ62" i="6"/>
  <c r="AM62" i="6"/>
  <c r="BU63" i="6"/>
  <c r="AW62" i="6"/>
  <c r="AF62" i="6" l="1"/>
  <c r="AY62" i="6"/>
  <c r="H64" i="6"/>
  <c r="G63" i="6"/>
  <c r="C64" i="6"/>
  <c r="BR63" i="6"/>
  <c r="BD61" i="6"/>
  <c r="BA62" i="6"/>
  <c r="AZ62" i="6"/>
  <c r="AG62" i="6"/>
  <c r="AH62" i="6"/>
  <c r="BR62" i="6"/>
  <c r="R64" i="6" l="1"/>
  <c r="AI62" i="6"/>
  <c r="AJ62" i="6" s="1"/>
  <c r="BC62" i="6"/>
  <c r="BT63" i="6"/>
  <c r="BQ63" i="6"/>
  <c r="BS63" i="6"/>
  <c r="F63" i="6"/>
  <c r="BJ63" i="6"/>
  <c r="BP65" i="6"/>
  <c r="I63" i="6"/>
  <c r="AC63" i="6"/>
  <c r="BK63" i="6"/>
  <c r="BD62" i="6"/>
  <c r="AD63" i="6"/>
  <c r="AX63" i="6"/>
  <c r="AA63" i="6"/>
  <c r="AR63" i="6"/>
  <c r="AP63" i="6"/>
  <c r="AM63" i="6"/>
  <c r="U63" i="6"/>
  <c r="K63" i="6" l="1"/>
  <c r="M62" i="6"/>
  <c r="M61" i="6"/>
  <c r="N61" i="6" s="1"/>
  <c r="L62" i="6"/>
  <c r="BL63" i="6"/>
  <c r="BN63" i="6"/>
  <c r="B65" i="6"/>
  <c r="D65" i="6" s="1"/>
  <c r="P63" i="6"/>
  <c r="BO67" i="6"/>
  <c r="BH64" i="6"/>
  <c r="BI64" i="6"/>
  <c r="A64" i="6"/>
  <c r="L1393" i="3"/>
  <c r="L1392" i="3"/>
  <c r="L1391" i="3"/>
  <c r="L1390" i="3"/>
  <c r="L1389" i="3"/>
  <c r="L1388" i="3"/>
  <c r="L1387" i="3"/>
  <c r="I64" i="6"/>
  <c r="BP66" i="6"/>
  <c r="X63" i="6"/>
  <c r="AW63" i="6"/>
  <c r="AU63" i="6"/>
  <c r="AV63" i="6"/>
  <c r="AQ63" i="6"/>
  <c r="Q63" i="6"/>
  <c r="AL63" i="6"/>
  <c r="AB63" i="6"/>
  <c r="Y63" i="6"/>
  <c r="AE63" i="6"/>
  <c r="V63" i="6"/>
  <c r="AK61" i="6"/>
  <c r="W63" i="6"/>
  <c r="AT63" i="6"/>
  <c r="T63" i="6"/>
  <c r="Z63" i="6"/>
  <c r="BA63" i="6"/>
  <c r="AN63" i="6"/>
  <c r="S63" i="6" l="1"/>
  <c r="AF63" i="6" s="1"/>
  <c r="N62" i="6"/>
  <c r="AO63" i="6"/>
  <c r="C65" i="6"/>
  <c r="Q64" i="6"/>
  <c r="AZ63" i="6"/>
  <c r="AS63" i="6"/>
  <c r="H65" i="6"/>
  <c r="AY63" i="6" l="1"/>
  <c r="AE64" i="6"/>
  <c r="AO64" i="6"/>
  <c r="AL64" i="6"/>
  <c r="AQ64" i="6"/>
  <c r="U64" i="6"/>
  <c r="AT64" i="6"/>
  <c r="AM64" i="6"/>
  <c r="AP64" i="6"/>
  <c r="AN64" i="6"/>
  <c r="AW64" i="6"/>
  <c r="AX64" i="6"/>
  <c r="AG63" i="6"/>
  <c r="V64" i="6"/>
  <c r="AB64" i="6"/>
  <c r="Z64" i="6"/>
  <c r="T64" i="6"/>
  <c r="X64" i="6"/>
  <c r="AV64" i="6"/>
  <c r="AA64" i="6"/>
  <c r="AC64" i="6"/>
  <c r="AR64" i="6"/>
  <c r="AH63" i="6"/>
  <c r="R65" i="6" l="1"/>
  <c r="S64" i="6"/>
  <c r="AI63" i="6"/>
  <c r="AJ63" i="6" s="1"/>
  <c r="BC63" i="6"/>
  <c r="AU64" i="6"/>
  <c r="BV64" i="6"/>
  <c r="W64" i="6"/>
  <c r="F64" i="6"/>
  <c r="AD64" i="6"/>
  <c r="AS64" i="6"/>
  <c r="BT64" i="6"/>
  <c r="Y64" i="6"/>
  <c r="BD63" i="6"/>
  <c r="AY64" i="6" l="1"/>
  <c r="AF64" i="6"/>
  <c r="AG64" i="6"/>
  <c r="AH64" i="6"/>
  <c r="G64" i="6"/>
  <c r="BS64" i="6"/>
  <c r="BV63" i="6"/>
  <c r="BU64" i="6"/>
  <c r="BJ64" i="6"/>
  <c r="BA64" i="6"/>
  <c r="O64" i="6"/>
  <c r="BK64" i="6"/>
  <c r="BQ64" i="6"/>
  <c r="AK62" i="6"/>
  <c r="K64" i="6" l="1"/>
  <c r="AI64" i="6"/>
  <c r="AJ64" i="6" s="1"/>
  <c r="M63" i="6"/>
  <c r="L63" i="6"/>
  <c r="P64" i="6"/>
  <c r="BN64" i="6"/>
  <c r="BL64" i="6"/>
  <c r="B66" i="6"/>
  <c r="D66" i="6" s="1"/>
  <c r="BO68" i="6"/>
  <c r="BI65" i="6"/>
  <c r="BH65" i="6"/>
  <c r="A65" i="6"/>
  <c r="N1398" i="3"/>
  <c r="D1398" i="3"/>
  <c r="A1398" i="3"/>
  <c r="W1398" i="3" s="1"/>
  <c r="N1397" i="3"/>
  <c r="D1397" i="3"/>
  <c r="A1397" i="3"/>
  <c r="W1397" i="3" s="1"/>
  <c r="N1396" i="3"/>
  <c r="D1396" i="3"/>
  <c r="A1396" i="3"/>
  <c r="W1396" i="3" s="1"/>
  <c r="N1395" i="3"/>
  <c r="D1395" i="3"/>
  <c r="A1395" i="3"/>
  <c r="W1395" i="3" s="1"/>
  <c r="N1394" i="3"/>
  <c r="D1394" i="3"/>
  <c r="A1394" i="3"/>
  <c r="W1394" i="3" s="1"/>
  <c r="N1393" i="3"/>
  <c r="D1393" i="3"/>
  <c r="A1393" i="3"/>
  <c r="W1393" i="3" s="1"/>
  <c r="N1392" i="3"/>
  <c r="D1392" i="3"/>
  <c r="A1392" i="3"/>
  <c r="W1392" i="3" s="1"/>
  <c r="N1391" i="3"/>
  <c r="D1391" i="3"/>
  <c r="A1391" i="3"/>
  <c r="W1391" i="3" s="1"/>
  <c r="N1390" i="3"/>
  <c r="D1390" i="3"/>
  <c r="A1390" i="3"/>
  <c r="W1390" i="3" s="1"/>
  <c r="N1389" i="3"/>
  <c r="D1389" i="3"/>
  <c r="A1389" i="3"/>
  <c r="W1389" i="3" s="1"/>
  <c r="N1388" i="3"/>
  <c r="D1388" i="3"/>
  <c r="A1388" i="3"/>
  <c r="W1388" i="3" s="1"/>
  <c r="N1387" i="3"/>
  <c r="D1387" i="3"/>
  <c r="N1471" i="3"/>
  <c r="L1471" i="3"/>
  <c r="D1471" i="3"/>
  <c r="A1471" i="3"/>
  <c r="W1471" i="3" s="1"/>
  <c r="N1470" i="3"/>
  <c r="L1470" i="3"/>
  <c r="D1470" i="3"/>
  <c r="A1470" i="3"/>
  <c r="W1470" i="3" s="1"/>
  <c r="N1469" i="3"/>
  <c r="L1469" i="3"/>
  <c r="D1469" i="3"/>
  <c r="A1469" i="3"/>
  <c r="W1469" i="3" s="1"/>
  <c r="N1468" i="3"/>
  <c r="L1468" i="3"/>
  <c r="D1468" i="3"/>
  <c r="A1468" i="3"/>
  <c r="W1468" i="3" s="1"/>
  <c r="N1467" i="3"/>
  <c r="L1467" i="3"/>
  <c r="D1467" i="3"/>
  <c r="A1467" i="3"/>
  <c r="W1467" i="3" s="1"/>
  <c r="N1466" i="3"/>
  <c r="L1466" i="3"/>
  <c r="D1466" i="3"/>
  <c r="A1466" i="3"/>
  <c r="W1466" i="3" s="1"/>
  <c r="N1465" i="3"/>
  <c r="L1465" i="3"/>
  <c r="D1465" i="3"/>
  <c r="A1465" i="3"/>
  <c r="W1465" i="3" s="1"/>
  <c r="N1464" i="3"/>
  <c r="L1464" i="3"/>
  <c r="D1464" i="3"/>
  <c r="B4722" i="3"/>
  <c r="B4721" i="3"/>
  <c r="N4722" i="3"/>
  <c r="U4722" i="3" s="1"/>
  <c r="N4721" i="3"/>
  <c r="U4721" i="3" s="1"/>
  <c r="N4494" i="3"/>
  <c r="D4494" i="3"/>
  <c r="N4493" i="3"/>
  <c r="D4493" i="3"/>
  <c r="N4492" i="3"/>
  <c r="D4492" i="3"/>
  <c r="N4491" i="3"/>
  <c r="D4491" i="3"/>
  <c r="N4490" i="3"/>
  <c r="D4490" i="3"/>
  <c r="N4489" i="3"/>
  <c r="D4489" i="3"/>
  <c r="N4485" i="3"/>
  <c r="D4485" i="3"/>
  <c r="U6388" i="3"/>
  <c r="D6388" i="3"/>
  <c r="A6388" i="3"/>
  <c r="U6387" i="3"/>
  <c r="D6387" i="3"/>
  <c r="A6387" i="3"/>
  <c r="U6386" i="3"/>
  <c r="D6386" i="3"/>
  <c r="A6386" i="3"/>
  <c r="U6385" i="3"/>
  <c r="L6385" i="3"/>
  <c r="D6385" i="3"/>
  <c r="A6385" i="3"/>
  <c r="U6384" i="3"/>
  <c r="D6384" i="3"/>
  <c r="A6384" i="3"/>
  <c r="U6383" i="3"/>
  <c r="D6383" i="3"/>
  <c r="A6383" i="3"/>
  <c r="U6382" i="3"/>
  <c r="D6382" i="3"/>
  <c r="A6382" i="3"/>
  <c r="U6379" i="3"/>
  <c r="L6379" i="3"/>
  <c r="D6379" i="3"/>
  <c r="A6379" i="3"/>
  <c r="U6378" i="3"/>
  <c r="D6378" i="3"/>
  <c r="A6378" i="3"/>
  <c r="U6377" i="3"/>
  <c r="I6377" i="3"/>
  <c r="D6377" i="3"/>
  <c r="A6377" i="3"/>
  <c r="U6376" i="3"/>
  <c r="D6376" i="3"/>
  <c r="A6376" i="3"/>
  <c r="U6375" i="3"/>
  <c r="D6375" i="3"/>
  <c r="O6896" i="3"/>
  <c r="N6896" i="3"/>
  <c r="U6896" i="3" s="1"/>
  <c r="N4483" i="3"/>
  <c r="D4483" i="3"/>
  <c r="N4482" i="3"/>
  <c r="D4482" i="3"/>
  <c r="N4481" i="3"/>
  <c r="D4481" i="3"/>
  <c r="N4480" i="3"/>
  <c r="D4480" i="3"/>
  <c r="N4479" i="3"/>
  <c r="D4479" i="3"/>
  <c r="N4478" i="3"/>
  <c r="D4478" i="3"/>
  <c r="N4477" i="3"/>
  <c r="D4477" i="3"/>
  <c r="N4476" i="3"/>
  <c r="D4476" i="3"/>
  <c r="N4475" i="3"/>
  <c r="D4475" i="3"/>
  <c r="N4474" i="3"/>
  <c r="D4474" i="3"/>
  <c r="N4470" i="3"/>
  <c r="D4470" i="3"/>
  <c r="U6374" i="3"/>
  <c r="D6374" i="3"/>
  <c r="A6374" i="3"/>
  <c r="U6373" i="3"/>
  <c r="D6373" i="3"/>
  <c r="A6373" i="3"/>
  <c r="U6372" i="3"/>
  <c r="D6372" i="3"/>
  <c r="A6372" i="3"/>
  <c r="U6371" i="3"/>
  <c r="L6371" i="3"/>
  <c r="D6371" i="3"/>
  <c r="A6371" i="3"/>
  <c r="U6370" i="3"/>
  <c r="D6370" i="3"/>
  <c r="A6370" i="3"/>
  <c r="U6369" i="3"/>
  <c r="D6369" i="3"/>
  <c r="A6369" i="3"/>
  <c r="U6368" i="3"/>
  <c r="D6368" i="3"/>
  <c r="A6368" i="3"/>
  <c r="U6365" i="3"/>
  <c r="L6365" i="3"/>
  <c r="D6365" i="3"/>
  <c r="A6365" i="3"/>
  <c r="U6364" i="3"/>
  <c r="D6364" i="3"/>
  <c r="A6364" i="3"/>
  <c r="U6363" i="3"/>
  <c r="I6363" i="3"/>
  <c r="D6363" i="3"/>
  <c r="A6363" i="3"/>
  <c r="U6362" i="3"/>
  <c r="D6362" i="3"/>
  <c r="A6362" i="3"/>
  <c r="U6361" i="3"/>
  <c r="D6361" i="3"/>
  <c r="N6895" i="3"/>
  <c r="U6895" i="3" s="1"/>
  <c r="O6895" i="3"/>
  <c r="L1458" i="3"/>
  <c r="A1455" i="3"/>
  <c r="W1455" i="3" s="1"/>
  <c r="A1456" i="3"/>
  <c r="W1456" i="3" s="1"/>
  <c r="A1457" i="3"/>
  <c r="W1457" i="3" s="1"/>
  <c r="A1458" i="3"/>
  <c r="W1458" i="3" s="1"/>
  <c r="A1459" i="3"/>
  <c r="W1459" i="3" s="1"/>
  <c r="A1460" i="3"/>
  <c r="W1460" i="3" s="1"/>
  <c r="A1461" i="3"/>
  <c r="W1461" i="3" s="1"/>
  <c r="A1462" i="3"/>
  <c r="W1462" i="3" s="1"/>
  <c r="A1463" i="3"/>
  <c r="W1463" i="3" s="1"/>
  <c r="D1459" i="3"/>
  <c r="L1459" i="3"/>
  <c r="N1459" i="3"/>
  <c r="N1463" i="3"/>
  <c r="L1463" i="3"/>
  <c r="D1463" i="3"/>
  <c r="N1462" i="3"/>
  <c r="L1462" i="3"/>
  <c r="D1462" i="3"/>
  <c r="N1461" i="3"/>
  <c r="L1461" i="3"/>
  <c r="D1461" i="3"/>
  <c r="N1460" i="3"/>
  <c r="L1460" i="3"/>
  <c r="D1460" i="3"/>
  <c r="N1458" i="3"/>
  <c r="D1458" i="3"/>
  <c r="N1457" i="3"/>
  <c r="L1457" i="3"/>
  <c r="D1457" i="3"/>
  <c r="N1456" i="3"/>
  <c r="L1456" i="3"/>
  <c r="D1456" i="3"/>
  <c r="N1455" i="3"/>
  <c r="L1455" i="3"/>
  <c r="D1455" i="3"/>
  <c r="N1454" i="3"/>
  <c r="L1454" i="3"/>
  <c r="D1454" i="3"/>
  <c r="A6341" i="3"/>
  <c r="A6342" i="3"/>
  <c r="A6343" i="3"/>
  <c r="A6344" i="3"/>
  <c r="A6345" i="3"/>
  <c r="A6346" i="3"/>
  <c r="U6346" i="3"/>
  <c r="D6346" i="3"/>
  <c r="U6345" i="3"/>
  <c r="D6345" i="3"/>
  <c r="U6344" i="3"/>
  <c r="D6344" i="3"/>
  <c r="U6343" i="3"/>
  <c r="L6343" i="3"/>
  <c r="D6343" i="3"/>
  <c r="U6342" i="3"/>
  <c r="D6342" i="3"/>
  <c r="U6341" i="3"/>
  <c r="D6341" i="3"/>
  <c r="U6340" i="3"/>
  <c r="D6340" i="3"/>
  <c r="A6340" i="3"/>
  <c r="U6337" i="3"/>
  <c r="L6337" i="3"/>
  <c r="D6337" i="3"/>
  <c r="A6337" i="3"/>
  <c r="U6336" i="3"/>
  <c r="D6336" i="3"/>
  <c r="A6336" i="3"/>
  <c r="U6335" i="3"/>
  <c r="I6335" i="3"/>
  <c r="D6335" i="3"/>
  <c r="A6335" i="3"/>
  <c r="U6334" i="3"/>
  <c r="D6334" i="3"/>
  <c r="A6334" i="3"/>
  <c r="U6333" i="3"/>
  <c r="D6333" i="3"/>
  <c r="N6893" i="3"/>
  <c r="U6893" i="3" s="1"/>
  <c r="O6893" i="3"/>
  <c r="A1439" i="3"/>
  <c r="W1439" i="3" s="1"/>
  <c r="A1440" i="3"/>
  <c r="W1440" i="3" s="1"/>
  <c r="A1441" i="3"/>
  <c r="W1441" i="3" s="1"/>
  <c r="A1442" i="3"/>
  <c r="W1442" i="3" s="1"/>
  <c r="N1439" i="3"/>
  <c r="L1439" i="3"/>
  <c r="D1439" i="3"/>
  <c r="N1443" i="3"/>
  <c r="L1443" i="3"/>
  <c r="D1443" i="3"/>
  <c r="A1443" i="3"/>
  <c r="W1443" i="3" s="1"/>
  <c r="N1442" i="3"/>
  <c r="L1442" i="3"/>
  <c r="D1442" i="3"/>
  <c r="N1441" i="3"/>
  <c r="L1441" i="3"/>
  <c r="D1441" i="3"/>
  <c r="N1440" i="3"/>
  <c r="L1440" i="3"/>
  <c r="D1440" i="3"/>
  <c r="N1438" i="3"/>
  <c r="L1438" i="3"/>
  <c r="D1438" i="3"/>
  <c r="A1438" i="3"/>
  <c r="W1438" i="3" s="1"/>
  <c r="N1437" i="3"/>
  <c r="L1437" i="3"/>
  <c r="D1437" i="3"/>
  <c r="A1437" i="3"/>
  <c r="W1437" i="3" s="1"/>
  <c r="N1436" i="3"/>
  <c r="L1436" i="3"/>
  <c r="D1436" i="3"/>
  <c r="A1436" i="3"/>
  <c r="W1436" i="3" s="1"/>
  <c r="N1435" i="3"/>
  <c r="L1435" i="3"/>
  <c r="D1435" i="3"/>
  <c r="N4450" i="3"/>
  <c r="D4450" i="3"/>
  <c r="N4449" i="3"/>
  <c r="D4449" i="3"/>
  <c r="N4448" i="3"/>
  <c r="D4448" i="3"/>
  <c r="N4447" i="3"/>
  <c r="D4447" i="3"/>
  <c r="N4446" i="3"/>
  <c r="D4446" i="3"/>
  <c r="N4445" i="3"/>
  <c r="D4445" i="3"/>
  <c r="N4444" i="3"/>
  <c r="D4444" i="3"/>
  <c r="N4441" i="3"/>
  <c r="D4441" i="3"/>
  <c r="B4720" i="3"/>
  <c r="B4719" i="3"/>
  <c r="N4720" i="3"/>
  <c r="U4720" i="3" s="1"/>
  <c r="N4719" i="3"/>
  <c r="U4719" i="3" s="1"/>
  <c r="L1428" i="3"/>
  <c r="L1427" i="3"/>
  <c r="U6332" i="3"/>
  <c r="D6332" i="3"/>
  <c r="A6332" i="3"/>
  <c r="U6331" i="3"/>
  <c r="D6331" i="3"/>
  <c r="A6331" i="3"/>
  <c r="U6330" i="3"/>
  <c r="D6330" i="3"/>
  <c r="A6330" i="3"/>
  <c r="U6329" i="3"/>
  <c r="L6329" i="3"/>
  <c r="D6329" i="3"/>
  <c r="A6329" i="3"/>
  <c r="U6328" i="3"/>
  <c r="D6328" i="3"/>
  <c r="A6328" i="3"/>
  <c r="U6327" i="3"/>
  <c r="D6327" i="3"/>
  <c r="A6327" i="3"/>
  <c r="U6326" i="3"/>
  <c r="D6326" i="3"/>
  <c r="A6326" i="3"/>
  <c r="U6323" i="3"/>
  <c r="L6323" i="3"/>
  <c r="D6323" i="3"/>
  <c r="A6323" i="3"/>
  <c r="U6322" i="3"/>
  <c r="D6322" i="3"/>
  <c r="A6322" i="3"/>
  <c r="U6321" i="3"/>
  <c r="I6321" i="3"/>
  <c r="D6321" i="3"/>
  <c r="A6321" i="3"/>
  <c r="U6320" i="3"/>
  <c r="D6320" i="3"/>
  <c r="A6320" i="3"/>
  <c r="U6319" i="3"/>
  <c r="D6319" i="3"/>
  <c r="AZ64" i="6"/>
  <c r="BR64" i="6"/>
  <c r="I65" i="6"/>
  <c r="AK63" i="6"/>
  <c r="N63" i="6" l="1"/>
  <c r="BC64" i="6"/>
  <c r="X65" i="6"/>
  <c r="AB65" i="6"/>
  <c r="H66" i="6"/>
  <c r="AQ65" i="6"/>
  <c r="AE65" i="6"/>
  <c r="AD65" i="6"/>
  <c r="T65" i="6"/>
  <c r="AN65" i="6"/>
  <c r="AV65" i="6"/>
  <c r="AR65" i="6"/>
  <c r="AW65" i="6"/>
  <c r="AC65" i="6"/>
  <c r="Q65" i="6"/>
  <c r="AU65" i="6"/>
  <c r="U65" i="6"/>
  <c r="AA65" i="6"/>
  <c r="C66" i="6"/>
  <c r="BD64" i="6"/>
  <c r="R66" i="6" l="1"/>
  <c r="S65" i="6"/>
  <c r="L64" i="6"/>
  <c r="U4441" i="3"/>
  <c r="X4441" i="3"/>
  <c r="U4445" i="3"/>
  <c r="X4445" i="3"/>
  <c r="U4447" i="3"/>
  <c r="X4447" i="3"/>
  <c r="U4449" i="3"/>
  <c r="X4449" i="3"/>
  <c r="U4474" i="3"/>
  <c r="X4474" i="3"/>
  <c r="U4478" i="3"/>
  <c r="X4478" i="3"/>
  <c r="U4490" i="3"/>
  <c r="X4490" i="3"/>
  <c r="U4470" i="3"/>
  <c r="X4470" i="3"/>
  <c r="U4477" i="3"/>
  <c r="X4477" i="3"/>
  <c r="U4481" i="3"/>
  <c r="X4481" i="3"/>
  <c r="U4483" i="3"/>
  <c r="X4483" i="3"/>
  <c r="U4489" i="3"/>
  <c r="X4489" i="3"/>
  <c r="U4493" i="3"/>
  <c r="X4493" i="3"/>
  <c r="U4444" i="3"/>
  <c r="X4444" i="3"/>
  <c r="U4446" i="3"/>
  <c r="X4446" i="3"/>
  <c r="U4448" i="3"/>
  <c r="X4448" i="3"/>
  <c r="U4450" i="3"/>
  <c r="X4450" i="3"/>
  <c r="U4476" i="3"/>
  <c r="X4476" i="3"/>
  <c r="U4480" i="3"/>
  <c r="X4480" i="3"/>
  <c r="U4485" i="3"/>
  <c r="X4485" i="3"/>
  <c r="U4492" i="3"/>
  <c r="X4492" i="3"/>
  <c r="U4475" i="3"/>
  <c r="X4475" i="3"/>
  <c r="U4479" i="3"/>
  <c r="X4479" i="3"/>
  <c r="U4482" i="3"/>
  <c r="X4482" i="3"/>
  <c r="U4491" i="3"/>
  <c r="X4491" i="3"/>
  <c r="U4494" i="3"/>
  <c r="X4494" i="3"/>
  <c r="AL65" i="6"/>
  <c r="AT65" i="6"/>
  <c r="AO65" i="6"/>
  <c r="W65" i="6"/>
  <c r="V65" i="6"/>
  <c r="AP65" i="6"/>
  <c r="AX65" i="6"/>
  <c r="Z65" i="6"/>
  <c r="AM65" i="6"/>
  <c r="Y65" i="6"/>
  <c r="AS65" i="6"/>
  <c r="BQ65" i="6"/>
  <c r="AF65" i="6" l="1"/>
  <c r="AY65" i="6"/>
  <c r="BK65" i="6"/>
  <c r="BJ65" i="6"/>
  <c r="BA65" i="6"/>
  <c r="O65" i="6"/>
  <c r="G65" i="6"/>
  <c r="F65" i="6"/>
  <c r="BR65" i="6"/>
  <c r="BT65" i="6"/>
  <c r="BV65" i="6"/>
  <c r="AH65" i="6"/>
  <c r="BU65" i="6"/>
  <c r="BS65" i="6"/>
  <c r="BP67" i="6"/>
  <c r="AG65" i="6"/>
  <c r="AK64" i="6"/>
  <c r="AZ65" i="6"/>
  <c r="K65" i="6" l="1"/>
  <c r="AI65" i="6"/>
  <c r="AJ65" i="6" s="1"/>
  <c r="BC65" i="6"/>
  <c r="B67" i="6"/>
  <c r="D67" i="6" s="1"/>
  <c r="P65" i="6"/>
  <c r="BN65" i="6"/>
  <c r="BL65" i="6"/>
  <c r="BO69" i="6"/>
  <c r="BO70" i="6" s="1"/>
  <c r="BH66" i="6"/>
  <c r="A66" i="6"/>
  <c r="BI66" i="6"/>
  <c r="L8" i="6"/>
  <c r="M8" i="6"/>
  <c r="BT66" i="6"/>
  <c r="BU66" i="6"/>
  <c r="F66" i="6"/>
  <c r="BQ66" i="6"/>
  <c r="G66" i="6"/>
  <c r="BD65" i="6"/>
  <c r="I66" i="6"/>
  <c r="U66" i="6"/>
  <c r="AW66" i="6"/>
  <c r="AT66" i="6"/>
  <c r="AE66" i="6"/>
  <c r="X66" i="6"/>
  <c r="AO66" i="6"/>
  <c r="AX66" i="6"/>
  <c r="AD66" i="6"/>
  <c r="AA66" i="6"/>
  <c r="V66" i="6"/>
  <c r="AS66" i="6"/>
  <c r="AU66" i="6"/>
  <c r="Z66" i="6"/>
  <c r="AR66" i="6"/>
  <c r="T66" i="6"/>
  <c r="AP66" i="6"/>
  <c r="Y66" i="6"/>
  <c r="Q66" i="6"/>
  <c r="K66" i="6" l="1"/>
  <c r="R67" i="6"/>
  <c r="S66" i="6"/>
  <c r="M64" i="6"/>
  <c r="N64" i="6" s="1"/>
  <c r="BO71" i="6"/>
  <c r="W66" i="6"/>
  <c r="AQ66" i="6"/>
  <c r="O66" i="6"/>
  <c r="AC66" i="6"/>
  <c r="AM66" i="6"/>
  <c r="AB66" i="6"/>
  <c r="AN66" i="6"/>
  <c r="AV66" i="6"/>
  <c r="AH66" i="6"/>
  <c r="BV66" i="6"/>
  <c r="C67" i="6"/>
  <c r="BK66" i="6"/>
  <c r="AL66" i="6"/>
  <c r="H67" i="6"/>
  <c r="AK65" i="6"/>
  <c r="AY66" i="6" l="1"/>
  <c r="AF66" i="6"/>
  <c r="BJ66" i="6"/>
  <c r="AG66" i="6"/>
  <c r="BP70" i="6"/>
  <c r="BP68" i="6"/>
  <c r="AI66" i="6" l="1"/>
  <c r="AJ66" i="6" s="1"/>
  <c r="L65" i="6"/>
  <c r="B70" i="6"/>
  <c r="D70" i="6" s="1"/>
  <c r="BO72" i="6"/>
  <c r="P66" i="6"/>
  <c r="B68" i="6"/>
  <c r="D68" i="6" s="1"/>
  <c r="BL66" i="6"/>
  <c r="BN66" i="6"/>
  <c r="A67" i="6"/>
  <c r="BH67" i="6"/>
  <c r="BI67" i="6"/>
  <c r="G6" i="83"/>
  <c r="N4495" i="3"/>
  <c r="D4495" i="3"/>
  <c r="N4484" i="3"/>
  <c r="D4484" i="3"/>
  <c r="N4454" i="3"/>
  <c r="D4454" i="3"/>
  <c r="N4453" i="3"/>
  <c r="D4453" i="3"/>
  <c r="N4452" i="3"/>
  <c r="D4452" i="3"/>
  <c r="N4451" i="3"/>
  <c r="D4451" i="3"/>
  <c r="N4440" i="3"/>
  <c r="D4440" i="3"/>
  <c r="N4439" i="3"/>
  <c r="D4439" i="3"/>
  <c r="N4438" i="3"/>
  <c r="D4438" i="3"/>
  <c r="N4437" i="3"/>
  <c r="D4437" i="3"/>
  <c r="N4436" i="3"/>
  <c r="D4436" i="3"/>
  <c r="N4435" i="3"/>
  <c r="D4435" i="3"/>
  <c r="N4432" i="3"/>
  <c r="D4432" i="3"/>
  <c r="N4431" i="3"/>
  <c r="D4431" i="3"/>
  <c r="O6892" i="3"/>
  <c r="N6892" i="3"/>
  <c r="U6892" i="3" s="1"/>
  <c r="L1430" i="3"/>
  <c r="L1429" i="3"/>
  <c r="N1434" i="3"/>
  <c r="L1434" i="3"/>
  <c r="D1434" i="3"/>
  <c r="A1434" i="3"/>
  <c r="W1434" i="3" s="1"/>
  <c r="N1433" i="3"/>
  <c r="L1433" i="3"/>
  <c r="D1433" i="3"/>
  <c r="A1433" i="3"/>
  <c r="W1433" i="3" s="1"/>
  <c r="N1432" i="3"/>
  <c r="L1432" i="3"/>
  <c r="D1432" i="3"/>
  <c r="A1432" i="3"/>
  <c r="W1432" i="3" s="1"/>
  <c r="N1431" i="3"/>
  <c r="L1431" i="3"/>
  <c r="D1431" i="3"/>
  <c r="A1431" i="3"/>
  <c r="W1431" i="3" s="1"/>
  <c r="N1430" i="3"/>
  <c r="D1430" i="3"/>
  <c r="A1430" i="3"/>
  <c r="W1430" i="3" s="1"/>
  <c r="N1429" i="3"/>
  <c r="D1429" i="3"/>
  <c r="A1429" i="3"/>
  <c r="W1429" i="3" s="1"/>
  <c r="N1428" i="3"/>
  <c r="D1428" i="3"/>
  <c r="A1428" i="3"/>
  <c r="N1427" i="3"/>
  <c r="D1427" i="3"/>
  <c r="N4399" i="3"/>
  <c r="D4399" i="3"/>
  <c r="N4397" i="3"/>
  <c r="D4397" i="3"/>
  <c r="D4394" i="3"/>
  <c r="N4394" i="3"/>
  <c r="D4395" i="3"/>
  <c r="N4395" i="3"/>
  <c r="D4396" i="3"/>
  <c r="N4396" i="3"/>
  <c r="D4398" i="3"/>
  <c r="N4398" i="3"/>
  <c r="D4400" i="3"/>
  <c r="N4400" i="3"/>
  <c r="D4401" i="3"/>
  <c r="N4401" i="3"/>
  <c r="D4402" i="3"/>
  <c r="N4402" i="3"/>
  <c r="D4403" i="3"/>
  <c r="N4403" i="3"/>
  <c r="D4404" i="3"/>
  <c r="N4404" i="3"/>
  <c r="D4405" i="3"/>
  <c r="N4405" i="3"/>
  <c r="D4406" i="3"/>
  <c r="N4406" i="3"/>
  <c r="D4517" i="3"/>
  <c r="N4517" i="3"/>
  <c r="D4518" i="3"/>
  <c r="N4518" i="3"/>
  <c r="D4519" i="3"/>
  <c r="N4519" i="3"/>
  <c r="D4520" i="3"/>
  <c r="N4520" i="3"/>
  <c r="D4521" i="3"/>
  <c r="N4521" i="3"/>
  <c r="U6276" i="3"/>
  <c r="D6276" i="3"/>
  <c r="A6276" i="3"/>
  <c r="U6275" i="3"/>
  <c r="D6275" i="3"/>
  <c r="A6275" i="3"/>
  <c r="U6274" i="3"/>
  <c r="D6274" i="3"/>
  <c r="A6274" i="3"/>
  <c r="U6273" i="3"/>
  <c r="L6273" i="3"/>
  <c r="D6273" i="3"/>
  <c r="A6273" i="3"/>
  <c r="U6272" i="3"/>
  <c r="D6272" i="3"/>
  <c r="A6272" i="3"/>
  <c r="U6271" i="3"/>
  <c r="D6271" i="3"/>
  <c r="A6271" i="3"/>
  <c r="U6270" i="3"/>
  <c r="D6270" i="3"/>
  <c r="A6270" i="3"/>
  <c r="U6267" i="3"/>
  <c r="L6267" i="3"/>
  <c r="D6267" i="3"/>
  <c r="A6267" i="3"/>
  <c r="U6266" i="3"/>
  <c r="D6266" i="3"/>
  <c r="A6266" i="3"/>
  <c r="U6265" i="3"/>
  <c r="I6265" i="3"/>
  <c r="D6265" i="3"/>
  <c r="A6265" i="3"/>
  <c r="U6264" i="3"/>
  <c r="D6264" i="3"/>
  <c r="A6264" i="3"/>
  <c r="U6263" i="3"/>
  <c r="D6263" i="3"/>
  <c r="A6887" i="3"/>
  <c r="N6887" i="3"/>
  <c r="U6887" i="3" s="1"/>
  <c r="O6887" i="3"/>
  <c r="O6886" i="3"/>
  <c r="N6886" i="3"/>
  <c r="U6886" i="3" s="1"/>
  <c r="A1374" i="3"/>
  <c r="W1374" i="3" s="1"/>
  <c r="A1375" i="3"/>
  <c r="W1375" i="3" s="1"/>
  <c r="A1376" i="3"/>
  <c r="W1376" i="3" s="1"/>
  <c r="A1377" i="3"/>
  <c r="W1377" i="3" s="1"/>
  <c r="A1378" i="3"/>
  <c r="W1378" i="3" s="1"/>
  <c r="A1379" i="3"/>
  <c r="W1379" i="3" s="1"/>
  <c r="A1380" i="3"/>
  <c r="W1380" i="3" s="1"/>
  <c r="A1381" i="3"/>
  <c r="W1381" i="3" s="1"/>
  <c r="A1382" i="3"/>
  <c r="W1382" i="3" s="1"/>
  <c r="A1383" i="3"/>
  <c r="W1383" i="3" s="1"/>
  <c r="A1384" i="3"/>
  <c r="W1384" i="3" s="1"/>
  <c r="A1385" i="3"/>
  <c r="W1385" i="3" s="1"/>
  <c r="A1386" i="3"/>
  <c r="W1386" i="3" s="1"/>
  <c r="D1379" i="3"/>
  <c r="L1379" i="3"/>
  <c r="N1379" i="3"/>
  <c r="D1385" i="3"/>
  <c r="L1385" i="3"/>
  <c r="N1385" i="3"/>
  <c r="D1382" i="3"/>
  <c r="L1382" i="3"/>
  <c r="N1382" i="3"/>
  <c r="D1376" i="3"/>
  <c r="L1376" i="3"/>
  <c r="N1376" i="3"/>
  <c r="A1373" i="3"/>
  <c r="W1373" i="3" s="1"/>
  <c r="D1373" i="3"/>
  <c r="L1373" i="3"/>
  <c r="N1373" i="3"/>
  <c r="N1535" i="3"/>
  <c r="U1535" i="3" s="1"/>
  <c r="D1535" i="3"/>
  <c r="N1386" i="3"/>
  <c r="L1386" i="3"/>
  <c r="D1386" i="3"/>
  <c r="N1384" i="3"/>
  <c r="L1384" i="3"/>
  <c r="D1384" i="3"/>
  <c r="N1383" i="3"/>
  <c r="L1383" i="3"/>
  <c r="D1383" i="3"/>
  <c r="N1381" i="3"/>
  <c r="L1381" i="3"/>
  <c r="D1381" i="3"/>
  <c r="N1380" i="3"/>
  <c r="L1380" i="3"/>
  <c r="D1380" i="3"/>
  <c r="N1378" i="3"/>
  <c r="L1378" i="3"/>
  <c r="D1378" i="3"/>
  <c r="N1377" i="3"/>
  <c r="L1377" i="3"/>
  <c r="D1377" i="3"/>
  <c r="N1375" i="3"/>
  <c r="L1375" i="3"/>
  <c r="D1375" i="3"/>
  <c r="N1374" i="3"/>
  <c r="L1374" i="3"/>
  <c r="D1374" i="3"/>
  <c r="N1372" i="3"/>
  <c r="L1372" i="3"/>
  <c r="D1372" i="3"/>
  <c r="A1372" i="3"/>
  <c r="W1372" i="3" s="1"/>
  <c r="N1371" i="3"/>
  <c r="L1371" i="3"/>
  <c r="D1371" i="3"/>
  <c r="A1371" i="3"/>
  <c r="W1371" i="3" s="1"/>
  <c r="N1370" i="3"/>
  <c r="L1370" i="3"/>
  <c r="D1370" i="3"/>
  <c r="A1340" i="3"/>
  <c r="A1342" i="3"/>
  <c r="A1343" i="3"/>
  <c r="A1344" i="3"/>
  <c r="A1345" i="3"/>
  <c r="A1346" i="3"/>
  <c r="A1347" i="3"/>
  <c r="A1348" i="3"/>
  <c r="A1349" i="3"/>
  <c r="A1350" i="3"/>
  <c r="A1351" i="3"/>
  <c r="N4370" i="3"/>
  <c r="D4370" i="3"/>
  <c r="N4369" i="3"/>
  <c r="D4369" i="3"/>
  <c r="D4393" i="3"/>
  <c r="N4393" i="3"/>
  <c r="D4378" i="3"/>
  <c r="N4378" i="3"/>
  <c r="N4376" i="3"/>
  <c r="D4376" i="3"/>
  <c r="N4375" i="3"/>
  <c r="D4375" i="3"/>
  <c r="N4374" i="3"/>
  <c r="D4374" i="3"/>
  <c r="N4373" i="3"/>
  <c r="D4373" i="3"/>
  <c r="N4372" i="3"/>
  <c r="D4372" i="3"/>
  <c r="N4371" i="3"/>
  <c r="D4371" i="3"/>
  <c r="N4368" i="3"/>
  <c r="D4368" i="3"/>
  <c r="N4367" i="3"/>
  <c r="D4367" i="3"/>
  <c r="N4366" i="3"/>
  <c r="D4366" i="3"/>
  <c r="BR67" i="6"/>
  <c r="BP71" i="6"/>
  <c r="BK67" i="6"/>
  <c r="AZ66" i="6"/>
  <c r="BS66" i="6"/>
  <c r="H70" i="6"/>
  <c r="BA66" i="6"/>
  <c r="BC66" i="6" l="1"/>
  <c r="R68" i="6"/>
  <c r="R70" i="6"/>
  <c r="U4368" i="3"/>
  <c r="X4368" i="3"/>
  <c r="U4372" i="3"/>
  <c r="X4372" i="3"/>
  <c r="U4374" i="3"/>
  <c r="X4374" i="3"/>
  <c r="U4376" i="3"/>
  <c r="X4376" i="3"/>
  <c r="U4378" i="3"/>
  <c r="X4378" i="3"/>
  <c r="U4369" i="3"/>
  <c r="X4369" i="3"/>
  <c r="U4405" i="3"/>
  <c r="X4405" i="3"/>
  <c r="U4431" i="3"/>
  <c r="X4431" i="3"/>
  <c r="U4435" i="3"/>
  <c r="X4435" i="3"/>
  <c r="U4437" i="3"/>
  <c r="X4437" i="3"/>
  <c r="U4439" i="3"/>
  <c r="X4439" i="3"/>
  <c r="U4451" i="3"/>
  <c r="X4451" i="3"/>
  <c r="U4453" i="3"/>
  <c r="X4453" i="3"/>
  <c r="U4484" i="3"/>
  <c r="X4484" i="3"/>
  <c r="U4393" i="3"/>
  <c r="X4393" i="3"/>
  <c r="U4520" i="3"/>
  <c r="X4520" i="3"/>
  <c r="U4518" i="3"/>
  <c r="X4518" i="3"/>
  <c r="U4406" i="3"/>
  <c r="X4406" i="3"/>
  <c r="U4402" i="3"/>
  <c r="X4402" i="3"/>
  <c r="U4400" i="3"/>
  <c r="X4400" i="3"/>
  <c r="U4396" i="3"/>
  <c r="X4396" i="3"/>
  <c r="U4366" i="3"/>
  <c r="X4366" i="3"/>
  <c r="U4367" i="3"/>
  <c r="X4367" i="3"/>
  <c r="U4371" i="3"/>
  <c r="X4371" i="3"/>
  <c r="U4373" i="3"/>
  <c r="X4373" i="3"/>
  <c r="U4375" i="3"/>
  <c r="X4375" i="3"/>
  <c r="U4370" i="3"/>
  <c r="X4370" i="3"/>
  <c r="U4403" i="3"/>
  <c r="X4403" i="3"/>
  <c r="U4394" i="3"/>
  <c r="X4394" i="3"/>
  <c r="U4397" i="3"/>
  <c r="X4397" i="3"/>
  <c r="U4432" i="3"/>
  <c r="X4432" i="3"/>
  <c r="U4436" i="3"/>
  <c r="X4436" i="3"/>
  <c r="U4438" i="3"/>
  <c r="X4438" i="3"/>
  <c r="U4440" i="3"/>
  <c r="X4440" i="3"/>
  <c r="U4452" i="3"/>
  <c r="X4452" i="3"/>
  <c r="U4454" i="3"/>
  <c r="X4454" i="3"/>
  <c r="U4495" i="3"/>
  <c r="X4495" i="3"/>
  <c r="U4521" i="3"/>
  <c r="X4521" i="3"/>
  <c r="U4519" i="3"/>
  <c r="X4519" i="3"/>
  <c r="U4517" i="3"/>
  <c r="X4517" i="3"/>
  <c r="U4404" i="3"/>
  <c r="X4404" i="3"/>
  <c r="U4401" i="3"/>
  <c r="X4401" i="3"/>
  <c r="U4398" i="3"/>
  <c r="X4398" i="3"/>
  <c r="U4395" i="3"/>
  <c r="X4395" i="3"/>
  <c r="U4399" i="3"/>
  <c r="X4399" i="3"/>
  <c r="B71" i="6"/>
  <c r="D71" i="6" s="1"/>
  <c r="BO73" i="6"/>
  <c r="A70" i="6"/>
  <c r="BI70" i="6"/>
  <c r="BH70" i="6"/>
  <c r="BP69" i="6"/>
  <c r="BQ67" i="6"/>
  <c r="H68" i="6"/>
  <c r="C68" i="6"/>
  <c r="BR70" i="6"/>
  <c r="F70" i="6"/>
  <c r="C70" i="6"/>
  <c r="G67" i="6"/>
  <c r="G70" i="6"/>
  <c r="BK70" i="6"/>
  <c r="BD66" i="6"/>
  <c r="I70" i="6"/>
  <c r="W70" i="6"/>
  <c r="BS70" i="6"/>
  <c r="AS70" i="6"/>
  <c r="BP72" i="6"/>
  <c r="BJ67" i="6"/>
  <c r="T70" i="6"/>
  <c r="AM70" i="6"/>
  <c r="AR70" i="6"/>
  <c r="BR66" i="6"/>
  <c r="F67" i="6"/>
  <c r="BQ70" i="6"/>
  <c r="AV70" i="6"/>
  <c r="AO70" i="6"/>
  <c r="BV67" i="6"/>
  <c r="AB70" i="6"/>
  <c r="BU67" i="6"/>
  <c r="AC70" i="6"/>
  <c r="AK66" i="6"/>
  <c r="AQ70" i="6"/>
  <c r="BU70" i="6"/>
  <c r="V70" i="6"/>
  <c r="AL70" i="6"/>
  <c r="I67" i="6"/>
  <c r="AL67" i="6"/>
  <c r="Y70" i="6"/>
  <c r="AV67" i="6"/>
  <c r="W67" i="6"/>
  <c r="X70" i="6"/>
  <c r="AE67" i="6"/>
  <c r="AA67" i="6"/>
  <c r="AU70" i="6"/>
  <c r="BJ70" i="6"/>
  <c r="Q67" i="6"/>
  <c r="AT70" i="6"/>
  <c r="AA70" i="6"/>
  <c r="AE70" i="6"/>
  <c r="U70" i="6"/>
  <c r="AX70" i="6"/>
  <c r="Q70" i="6"/>
  <c r="AP70" i="6"/>
  <c r="AN70" i="6"/>
  <c r="AP67" i="6"/>
  <c r="T67" i="6"/>
  <c r="AM67" i="6"/>
  <c r="Y67" i="6"/>
  <c r="AB67" i="6"/>
  <c r="AD67" i="6"/>
  <c r="AS67" i="6"/>
  <c r="AU67" i="6"/>
  <c r="AX67" i="6"/>
  <c r="AO67" i="6"/>
  <c r="AW67" i="6"/>
  <c r="V67" i="6"/>
  <c r="AR67" i="6"/>
  <c r="U67" i="6"/>
  <c r="Z67" i="6"/>
  <c r="X67" i="6"/>
  <c r="AC67" i="6"/>
  <c r="AN67" i="6"/>
  <c r="K70" i="6" l="1"/>
  <c r="K67" i="6"/>
  <c r="R71" i="6"/>
  <c r="S70" i="6"/>
  <c r="S67" i="6"/>
  <c r="AF67" i="6" s="1"/>
  <c r="AY70" i="6"/>
  <c r="L66" i="6"/>
  <c r="B72" i="6"/>
  <c r="D72" i="6" s="1"/>
  <c r="BN70" i="6"/>
  <c r="BO74" i="6"/>
  <c r="BH71" i="6"/>
  <c r="A71" i="6"/>
  <c r="BI71" i="6"/>
  <c r="BN67" i="6"/>
  <c r="BL67" i="6"/>
  <c r="B69" i="6"/>
  <c r="D69" i="6" s="1"/>
  <c r="M65" i="6"/>
  <c r="N65" i="6" s="1"/>
  <c r="BH68" i="6"/>
  <c r="A68" i="6"/>
  <c r="BI68" i="6"/>
  <c r="W1428" i="3"/>
  <c r="L4718" i="3"/>
  <c r="B4718" i="3"/>
  <c r="U6248" i="3"/>
  <c r="D6248" i="3"/>
  <c r="A6248" i="3"/>
  <c r="U6247" i="3"/>
  <c r="D6247" i="3"/>
  <c r="A6247" i="3"/>
  <c r="U6246" i="3"/>
  <c r="D6246" i="3"/>
  <c r="A6246" i="3"/>
  <c r="U6245" i="3"/>
  <c r="L6245" i="3"/>
  <c r="D6245" i="3"/>
  <c r="A6245" i="3"/>
  <c r="U6244" i="3"/>
  <c r="D6244" i="3"/>
  <c r="A6244" i="3"/>
  <c r="U6243" i="3"/>
  <c r="D6243" i="3"/>
  <c r="A6243" i="3"/>
  <c r="U6242" i="3"/>
  <c r="D6242" i="3"/>
  <c r="A6242" i="3"/>
  <c r="U6239" i="3"/>
  <c r="L6239" i="3"/>
  <c r="D6239" i="3"/>
  <c r="A6239" i="3"/>
  <c r="U6238" i="3"/>
  <c r="D6238" i="3"/>
  <c r="A6238" i="3"/>
  <c r="U6237" i="3"/>
  <c r="I6237" i="3"/>
  <c r="D6237" i="3"/>
  <c r="A6237" i="3"/>
  <c r="U6236" i="3"/>
  <c r="D6236" i="3"/>
  <c r="A6236" i="3"/>
  <c r="U6235" i="3"/>
  <c r="D6235" i="3"/>
  <c r="N6883" i="3"/>
  <c r="U6883" i="3" s="1"/>
  <c r="O6883" i="3"/>
  <c r="L1348" i="3"/>
  <c r="W1348" i="3"/>
  <c r="D1348" i="3"/>
  <c r="N1348" i="3"/>
  <c r="N1352" i="3"/>
  <c r="L1352" i="3"/>
  <c r="D1352" i="3"/>
  <c r="A1352" i="3"/>
  <c r="W1352" i="3" s="1"/>
  <c r="N1351" i="3"/>
  <c r="L1351" i="3"/>
  <c r="D1351" i="3"/>
  <c r="W1351" i="3"/>
  <c r="N1350" i="3"/>
  <c r="L1350" i="3"/>
  <c r="D1350" i="3"/>
  <c r="W1350" i="3"/>
  <c r="N1349" i="3"/>
  <c r="L1349" i="3"/>
  <c r="D1349" i="3"/>
  <c r="W1349" i="3"/>
  <c r="N1347" i="3"/>
  <c r="L1347" i="3"/>
  <c r="D1347" i="3"/>
  <c r="W1347" i="3"/>
  <c r="N1346" i="3"/>
  <c r="L1346" i="3"/>
  <c r="D1346" i="3"/>
  <c r="W1346" i="3"/>
  <c r="N1345" i="3"/>
  <c r="L1345" i="3"/>
  <c r="D1345" i="3"/>
  <c r="W1345" i="3"/>
  <c r="N1344" i="3"/>
  <c r="L1344" i="3"/>
  <c r="D1344" i="3"/>
  <c r="W1344" i="3"/>
  <c r="N1343" i="3"/>
  <c r="L1343" i="3"/>
  <c r="D1343" i="3"/>
  <c r="W1343" i="3"/>
  <c r="N1342" i="3"/>
  <c r="L1342" i="3"/>
  <c r="D1342" i="3"/>
  <c r="W1342" i="3"/>
  <c r="N1341" i="3"/>
  <c r="L1341" i="3"/>
  <c r="D1341" i="3"/>
  <c r="O6882" i="3"/>
  <c r="N6882" i="3"/>
  <c r="U6882" i="3" s="1"/>
  <c r="B4717" i="3"/>
  <c r="B4716" i="3"/>
  <c r="N4717" i="3"/>
  <c r="U4717" i="3" s="1"/>
  <c r="N4716" i="3"/>
  <c r="U4716" i="3" s="1"/>
  <c r="L1340" i="3"/>
  <c r="L1339" i="3"/>
  <c r="L1338" i="3"/>
  <c r="L1337" i="3"/>
  <c r="L1336" i="3"/>
  <c r="L1335" i="3"/>
  <c r="L1334" i="3"/>
  <c r="L1333" i="3"/>
  <c r="L1332" i="3"/>
  <c r="L1331" i="3"/>
  <c r="N4360" i="3"/>
  <c r="D4360" i="3"/>
  <c r="N4362" i="3"/>
  <c r="D4362" i="3"/>
  <c r="C71" i="6"/>
  <c r="BQ71" i="6"/>
  <c r="AQ67" i="6"/>
  <c r="Z70" i="6"/>
  <c r="BT70" i="6"/>
  <c r="AD70" i="6"/>
  <c r="AW70" i="6"/>
  <c r="BT67" i="6"/>
  <c r="H71" i="6"/>
  <c r="AF70" i="6" l="1"/>
  <c r="AH67" i="6"/>
  <c r="BA67" i="6"/>
  <c r="AG70" i="6"/>
  <c r="AG67" i="6"/>
  <c r="O70" i="6"/>
  <c r="H72" i="6"/>
  <c r="C69" i="6"/>
  <c r="BA70" i="6"/>
  <c r="C72" i="6"/>
  <c r="H69" i="6"/>
  <c r="BS67" i="6"/>
  <c r="BK71" i="6"/>
  <c r="AZ67" i="6"/>
  <c r="AT67" i="6"/>
  <c r="BV70" i="6"/>
  <c r="AH70" i="6"/>
  <c r="R69" i="6" l="1"/>
  <c r="R72" i="6"/>
  <c r="AI67" i="6"/>
  <c r="AJ67" i="6" s="1"/>
  <c r="AI70" i="6"/>
  <c r="AJ70" i="6" s="1"/>
  <c r="AY67" i="6"/>
  <c r="BC67" i="6"/>
  <c r="P70" i="6"/>
  <c r="M66" i="6"/>
  <c r="N66" i="6" s="1"/>
  <c r="BU71" i="6"/>
  <c r="F68" i="6"/>
  <c r="F71" i="6"/>
  <c r="BJ71" i="6"/>
  <c r="I71" i="6"/>
  <c r="BR71" i="6"/>
  <c r="BS71" i="6"/>
  <c r="G71" i="6"/>
  <c r="BD67" i="6"/>
  <c r="AZ70" i="6"/>
  <c r="BP73" i="6"/>
  <c r="K71" i="6" l="1"/>
  <c r="BC70" i="6"/>
  <c r="V71" i="6"/>
  <c r="AE71" i="6"/>
  <c r="O71" i="6"/>
  <c r="AB71" i="6"/>
  <c r="U71" i="6"/>
  <c r="Q71" i="6"/>
  <c r="AQ71" i="6"/>
  <c r="Y71" i="6"/>
  <c r="BD70" i="6"/>
  <c r="T71" i="6"/>
  <c r="AW71" i="6"/>
  <c r="AL71" i="6"/>
  <c r="AO71" i="6"/>
  <c r="BT71" i="6"/>
  <c r="AR71" i="6"/>
  <c r="AP71" i="6"/>
  <c r="AA71" i="6"/>
  <c r="Z71" i="6"/>
  <c r="S71" i="6" l="1"/>
  <c r="M70" i="6"/>
  <c r="L70" i="6"/>
  <c r="U4360" i="3"/>
  <c r="X4360" i="3"/>
  <c r="U4362" i="3"/>
  <c r="X4362" i="3"/>
  <c r="BN71" i="6"/>
  <c r="P71" i="6"/>
  <c r="B73" i="6"/>
  <c r="D73" i="6" s="1"/>
  <c r="BO75" i="6"/>
  <c r="A72" i="6"/>
  <c r="BI72" i="6"/>
  <c r="BH72" i="6"/>
  <c r="AU71" i="6"/>
  <c r="BP74" i="6"/>
  <c r="AN71" i="6"/>
  <c r="BV71" i="6"/>
  <c r="AM71" i="6"/>
  <c r="AV71" i="6"/>
  <c r="AZ71" i="6"/>
  <c r="AT71" i="6"/>
  <c r="F72" i="6"/>
  <c r="O67" i="6"/>
  <c r="W71" i="6"/>
  <c r="AC71" i="6"/>
  <c r="X71" i="6"/>
  <c r="AX71" i="6"/>
  <c r="AD71" i="6"/>
  <c r="AG71" i="6"/>
  <c r="AS71" i="6"/>
  <c r="BJ72" i="6"/>
  <c r="O68" i="6"/>
  <c r="N70" i="6" l="1"/>
  <c r="AF71" i="6"/>
  <c r="AY71" i="6"/>
  <c r="H73" i="6"/>
  <c r="AH71" i="6"/>
  <c r="AK67" i="6"/>
  <c r="C73" i="6"/>
  <c r="R73" i="6" l="1"/>
  <c r="AI71" i="6"/>
  <c r="AJ71" i="6" s="1"/>
  <c r="P67" i="6"/>
  <c r="BJ68" i="6"/>
  <c r="BA71" i="6"/>
  <c r="O72" i="6"/>
  <c r="I72" i="6"/>
  <c r="BC71" i="6" l="1"/>
  <c r="BK68" i="6"/>
  <c r="AN72" i="6"/>
  <c r="BR72" i="6"/>
  <c r="Q72" i="6"/>
  <c r="AX72" i="6"/>
  <c r="G72" i="6"/>
  <c r="AC72" i="6"/>
  <c r="AL72" i="6"/>
  <c r="W72" i="6"/>
  <c r="V72" i="6"/>
  <c r="AM72" i="6"/>
  <c r="AP72" i="6"/>
  <c r="G68" i="6"/>
  <c r="AT72" i="6"/>
  <c r="BK72" i="6"/>
  <c r="I68" i="6"/>
  <c r="AO72" i="6"/>
  <c r="Y68" i="6"/>
  <c r="AD68" i="6"/>
  <c r="U72" i="6"/>
  <c r="BU72" i="6"/>
  <c r="U68" i="6"/>
  <c r="T68" i="6"/>
  <c r="X72" i="6"/>
  <c r="X68" i="6"/>
  <c r="AX68" i="6"/>
  <c r="T72" i="6"/>
  <c r="W68" i="6"/>
  <c r="AS72" i="6"/>
  <c r="AB72" i="6"/>
  <c r="AR72" i="6"/>
  <c r="BT72" i="6"/>
  <c r="Z72" i="6"/>
  <c r="AV72" i="6"/>
  <c r="AU68" i="6"/>
  <c r="AQ72" i="6"/>
  <c r="AD72" i="6"/>
  <c r="Y72" i="6"/>
  <c r="AV68" i="6"/>
  <c r="AE68" i="6"/>
  <c r="BV72" i="6"/>
  <c r="AU72" i="6"/>
  <c r="AA72" i="6"/>
  <c r="AR68" i="6"/>
  <c r="AK70" i="6"/>
  <c r="AB68" i="6"/>
  <c r="AE72" i="6"/>
  <c r="AW72" i="6"/>
  <c r="Z68" i="6"/>
  <c r="BD71" i="6"/>
  <c r="V68" i="6"/>
  <c r="AQ68" i="6"/>
  <c r="AS68" i="6"/>
  <c r="AN68" i="6"/>
  <c r="AC68" i="6"/>
  <c r="AA68" i="6"/>
  <c r="AM68" i="6"/>
  <c r="AP68" i="6"/>
  <c r="Q68" i="6"/>
  <c r="AT68" i="6"/>
  <c r="AW68" i="6"/>
  <c r="K68" i="6" l="1"/>
  <c r="K72" i="6"/>
  <c r="S68" i="6"/>
  <c r="AF68" i="6" s="1"/>
  <c r="S72" i="6"/>
  <c r="AF72" i="6" s="1"/>
  <c r="AY72" i="6"/>
  <c r="L67" i="6"/>
  <c r="B74" i="6"/>
  <c r="D74" i="6" s="1"/>
  <c r="P72" i="6"/>
  <c r="BN72" i="6"/>
  <c r="BO76" i="6"/>
  <c r="BH73" i="6"/>
  <c r="BI73" i="6"/>
  <c r="A73" i="6"/>
  <c r="BL68" i="6"/>
  <c r="BN68" i="6"/>
  <c r="P68" i="6"/>
  <c r="BH69" i="6"/>
  <c r="BI69" i="6"/>
  <c r="A69" i="6"/>
  <c r="D4359" i="3"/>
  <c r="D4361" i="3"/>
  <c r="D4363" i="3"/>
  <c r="D4364" i="3"/>
  <c r="D4365" i="3"/>
  <c r="D4377" i="3"/>
  <c r="N4377" i="3"/>
  <c r="N4365" i="3"/>
  <c r="N4364" i="3"/>
  <c r="N4363" i="3"/>
  <c r="N4361" i="3"/>
  <c r="N4359" i="3"/>
  <c r="N4358" i="3"/>
  <c r="D4358" i="3"/>
  <c r="N4357" i="3"/>
  <c r="D4357" i="3"/>
  <c r="N2190" i="3"/>
  <c r="D2190" i="3"/>
  <c r="N2189" i="3"/>
  <c r="AO68" i="6"/>
  <c r="AL68" i="6"/>
  <c r="BT73" i="6"/>
  <c r="AY68" i="6" l="1"/>
  <c r="BA68" i="6"/>
  <c r="C74" i="6"/>
  <c r="AH68" i="6"/>
  <c r="AH72" i="6"/>
  <c r="AZ68" i="6"/>
  <c r="BA72" i="6"/>
  <c r="BJ73" i="6"/>
  <c r="BU68" i="6"/>
  <c r="BQ72" i="6"/>
  <c r="BS72" i="6"/>
  <c r="AZ72" i="6"/>
  <c r="AG72" i="6"/>
  <c r="H74" i="6"/>
  <c r="AK71" i="6"/>
  <c r="R74" i="6" l="1"/>
  <c r="AI72" i="6"/>
  <c r="AJ72" i="6" s="1"/>
  <c r="AI68" i="6"/>
  <c r="BC68" i="6"/>
  <c r="BC72" i="6"/>
  <c r="L71" i="6"/>
  <c r="M71" i="6"/>
  <c r="BS68" i="6"/>
  <c r="G69" i="6"/>
  <c r="G73" i="6"/>
  <c r="BV73" i="6"/>
  <c r="BR68" i="6"/>
  <c r="F73" i="6"/>
  <c r="BR69" i="6"/>
  <c r="BT68" i="6"/>
  <c r="BD72" i="6"/>
  <c r="I73" i="6"/>
  <c r="F69" i="6"/>
  <c r="BD68" i="6"/>
  <c r="O73" i="6"/>
  <c r="BQ73" i="6"/>
  <c r="BP75" i="6"/>
  <c r="BU73" i="6"/>
  <c r="BK73" i="6"/>
  <c r="AG68" i="6"/>
  <c r="N71" i="6" l="1"/>
  <c r="K73" i="6"/>
  <c r="AJ68" i="6"/>
  <c r="AL73" i="6"/>
  <c r="AQ73" i="6"/>
  <c r="Z73" i="6"/>
  <c r="AD73" i="6"/>
  <c r="W73" i="6"/>
  <c r="Q73" i="6"/>
  <c r="AW73" i="6"/>
  <c r="AE73" i="6"/>
  <c r="AM73" i="6"/>
  <c r="AA73" i="6"/>
  <c r="U73" i="6"/>
  <c r="T73" i="6"/>
  <c r="AS73" i="6"/>
  <c r="AU73" i="6"/>
  <c r="AR73" i="6"/>
  <c r="AC73" i="6"/>
  <c r="Y73" i="6"/>
  <c r="AP73" i="6"/>
  <c r="V73" i="6"/>
  <c r="AV73" i="6"/>
  <c r="AT73" i="6"/>
  <c r="S73" i="6" l="1"/>
  <c r="U4358" i="3"/>
  <c r="X4358" i="3"/>
  <c r="U4364" i="3"/>
  <c r="X4364" i="3"/>
  <c r="U4363" i="3"/>
  <c r="X4363" i="3"/>
  <c r="U2189" i="3"/>
  <c r="X2189" i="3"/>
  <c r="U4357" i="3"/>
  <c r="X4357" i="3"/>
  <c r="U4359" i="3"/>
  <c r="X4359" i="3"/>
  <c r="U4365" i="3"/>
  <c r="X4365" i="3"/>
  <c r="U4361" i="3"/>
  <c r="X4361" i="3"/>
  <c r="U4377" i="3"/>
  <c r="X4377" i="3"/>
  <c r="U2190" i="3"/>
  <c r="X2190" i="3"/>
  <c r="B75" i="6"/>
  <c r="D75" i="6" s="1"/>
  <c r="BN73" i="6"/>
  <c r="P73" i="6"/>
  <c r="A74" i="6"/>
  <c r="BH74" i="6"/>
  <c r="BI74" i="6"/>
  <c r="BO77" i="6"/>
  <c r="X73" i="6"/>
  <c r="AO73" i="6"/>
  <c r="AK68" i="6"/>
  <c r="AB73" i="6"/>
  <c r="AX73" i="6"/>
  <c r="AF73" i="6" l="1"/>
  <c r="H75" i="6"/>
  <c r="C75" i="6"/>
  <c r="AN73" i="6"/>
  <c r="BS73" i="6"/>
  <c r="BA73" i="6"/>
  <c r="AY73" i="6" l="1"/>
  <c r="AK72" i="6"/>
  <c r="BQ68" i="6"/>
  <c r="AG73" i="6"/>
  <c r="BT74" i="6"/>
  <c r="I74" i="6"/>
  <c r="AE74" i="6"/>
  <c r="BV68" i="6"/>
  <c r="AZ73" i="6"/>
  <c r="AP74" i="6"/>
  <c r="AV74" i="6"/>
  <c r="BR73" i="6"/>
  <c r="Y74" i="6"/>
  <c r="BR74" i="6"/>
  <c r="AN74" i="6"/>
  <c r="W74" i="6"/>
  <c r="AR74" i="6"/>
  <c r="T74" i="6"/>
  <c r="AH73" i="6"/>
  <c r="X74" i="6"/>
  <c r="AQ74" i="6"/>
  <c r="U74" i="6"/>
  <c r="Q74" i="6"/>
  <c r="AA74" i="6"/>
  <c r="R75" i="6" l="1"/>
  <c r="S74" i="6"/>
  <c r="AI73" i="6"/>
  <c r="AJ73" i="6" s="1"/>
  <c r="BC73" i="6"/>
  <c r="L72" i="6"/>
  <c r="AW74" i="6"/>
  <c r="BV69" i="6"/>
  <c r="AC74" i="6"/>
  <c r="O69" i="6"/>
  <c r="BQ74" i="6"/>
  <c r="AM74" i="6"/>
  <c r="V74" i="6"/>
  <c r="F74" i="6"/>
  <c r="BJ74" i="6"/>
  <c r="AS74" i="6"/>
  <c r="BP76" i="6"/>
  <c r="AU74" i="6"/>
  <c r="AD74" i="6"/>
  <c r="AO74" i="6"/>
  <c r="BU74" i="6"/>
  <c r="G74" i="6"/>
  <c r="Z74" i="6"/>
  <c r="AL74" i="6"/>
  <c r="AB74" i="6"/>
  <c r="K74" i="6" l="1"/>
  <c r="AF74" i="6"/>
  <c r="BK74" i="6"/>
  <c r="BD73" i="6"/>
  <c r="AG74" i="6"/>
  <c r="O74" i="6"/>
  <c r="I69" i="6"/>
  <c r="Y69" i="6"/>
  <c r="AL69" i="6"/>
  <c r="AT74" i="6"/>
  <c r="BQ69" i="6"/>
  <c r="AH74" i="6"/>
  <c r="AD69" i="6"/>
  <c r="AX74" i="6"/>
  <c r="T69" i="6"/>
  <c r="AX69" i="6"/>
  <c r="BA74" i="6"/>
  <c r="AU69" i="6"/>
  <c r="AZ74" i="6"/>
  <c r="BK69" i="6"/>
  <c r="AN69" i="6"/>
  <c r="Z69" i="6"/>
  <c r="BJ69" i="6"/>
  <c r="AS69" i="6"/>
  <c r="Q69" i="6"/>
  <c r="AC69" i="6"/>
  <c r="AW69" i="6"/>
  <c r="U69" i="6"/>
  <c r="AP69" i="6"/>
  <c r="AR69" i="6"/>
  <c r="X69" i="6"/>
  <c r="AM69" i="6"/>
  <c r="AO69" i="6"/>
  <c r="AT69" i="6"/>
  <c r="AQ69" i="6"/>
  <c r="W69" i="6"/>
  <c r="AV69" i="6"/>
  <c r="AA69" i="6"/>
  <c r="AE69" i="6"/>
  <c r="AB69" i="6"/>
  <c r="K69" i="6" l="1"/>
  <c r="S69" i="6"/>
  <c r="AI74" i="6"/>
  <c r="AJ74" i="6" s="1"/>
  <c r="AY74" i="6"/>
  <c r="M73" i="6"/>
  <c r="AY69" i="6"/>
  <c r="BC74" i="6"/>
  <c r="L73" i="6"/>
  <c r="L68" i="6"/>
  <c r="P74" i="6"/>
  <c r="B76" i="6"/>
  <c r="D76" i="6" s="1"/>
  <c r="BN74" i="6"/>
  <c r="M72" i="6"/>
  <c r="N72" i="6" s="1"/>
  <c r="BH75" i="6"/>
  <c r="A75" i="6"/>
  <c r="BI75" i="6"/>
  <c r="BO78" i="6"/>
  <c r="BN69" i="6"/>
  <c r="BL69" i="6"/>
  <c r="P69" i="6"/>
  <c r="M67" i="6"/>
  <c r="N67" i="6" s="1"/>
  <c r="BI11" i="6"/>
  <c r="BA69" i="6"/>
  <c r="BV75" i="6"/>
  <c r="V69" i="6"/>
  <c r="AH69" i="6"/>
  <c r="BT69" i="6"/>
  <c r="BR75" i="6"/>
  <c r="BQ75" i="6"/>
  <c r="BJ75" i="6"/>
  <c r="BT75" i="6"/>
  <c r="F75" i="6"/>
  <c r="BV74" i="6"/>
  <c r="AK73" i="6"/>
  <c r="G75" i="6"/>
  <c r="AG69" i="6"/>
  <c r="BK75" i="6"/>
  <c r="BS75" i="6"/>
  <c r="BP77" i="6"/>
  <c r="I75" i="6"/>
  <c r="AZ69" i="6"/>
  <c r="BS74" i="6"/>
  <c r="AT75" i="6"/>
  <c r="W75" i="6"/>
  <c r="BD74" i="6"/>
  <c r="AW75" i="6"/>
  <c r="AQ75" i="6"/>
  <c r="U75" i="6"/>
  <c r="AD75" i="6"/>
  <c r="AC75" i="6"/>
  <c r="T75" i="6"/>
  <c r="AN75" i="6"/>
  <c r="AO75" i="6"/>
  <c r="AE75" i="6"/>
  <c r="AB75" i="6"/>
  <c r="Q75" i="6"/>
  <c r="X75" i="6"/>
  <c r="AP75" i="6"/>
  <c r="N73" i="6" l="1"/>
  <c r="K75" i="6"/>
  <c r="AF69" i="6"/>
  <c r="R76" i="6"/>
  <c r="S75" i="6"/>
  <c r="AI69" i="6"/>
  <c r="AJ69" i="6" s="1"/>
  <c r="BC69" i="6"/>
  <c r="BN75" i="6"/>
  <c r="B77" i="6"/>
  <c r="D77" i="6" s="1"/>
  <c r="BO79" i="6"/>
  <c r="BH76" i="6"/>
  <c r="BI76" i="6"/>
  <c r="A76" i="6"/>
  <c r="BL70" i="6"/>
  <c r="M68" i="6"/>
  <c r="N68" i="6" s="1"/>
  <c r="A1871" i="3"/>
  <c r="D1871" i="3"/>
  <c r="N1871" i="3"/>
  <c r="A1872" i="3"/>
  <c r="D1872" i="3"/>
  <c r="N1872" i="3"/>
  <c r="Z75" i="6"/>
  <c r="AV75" i="6"/>
  <c r="H76" i="6"/>
  <c r="AM75" i="6"/>
  <c r="AH75" i="6"/>
  <c r="BU69" i="6"/>
  <c r="Y75" i="6"/>
  <c r="AL75" i="6"/>
  <c r="AX75" i="6"/>
  <c r="AS75" i="6"/>
  <c r="BS69" i="6"/>
  <c r="C76" i="6"/>
  <c r="AR75" i="6"/>
  <c r="AU75" i="6"/>
  <c r="AY75" i="6" l="1"/>
  <c r="BD69" i="6"/>
  <c r="O75" i="6"/>
  <c r="C77" i="6"/>
  <c r="H77" i="6"/>
  <c r="V75" i="6"/>
  <c r="AA75" i="6"/>
  <c r="AF75" i="6" l="1"/>
  <c r="AK74" i="6"/>
  <c r="F76" i="6"/>
  <c r="BU75" i="6"/>
  <c r="AG75" i="6"/>
  <c r="R77" i="6" l="1"/>
  <c r="AI75" i="6"/>
  <c r="AJ75" i="6" s="1"/>
  <c r="P75" i="6"/>
  <c r="L74" i="6"/>
  <c r="BP78" i="6"/>
  <c r="BQ76" i="6"/>
  <c r="I76" i="6"/>
  <c r="BK76" i="6"/>
  <c r="BS76" i="6"/>
  <c r="BJ76" i="6"/>
  <c r="BA75" i="6"/>
  <c r="BU76" i="6"/>
  <c r="AZ75" i="6"/>
  <c r="O76" i="6"/>
  <c r="BC75" i="6" l="1"/>
  <c r="AO76" i="6"/>
  <c r="AU76" i="6"/>
  <c r="AE76" i="6"/>
  <c r="AW76" i="6"/>
  <c r="AK69" i="6"/>
  <c r="AT76" i="6"/>
  <c r="AQ76" i="6"/>
  <c r="AN76" i="6"/>
  <c r="AX76" i="6"/>
  <c r="AD76" i="6"/>
  <c r="AM76" i="6"/>
  <c r="G76" i="6"/>
  <c r="AV76" i="6"/>
  <c r="W76" i="6"/>
  <c r="AC76" i="6"/>
  <c r="AA76" i="6"/>
  <c r="U76" i="6"/>
  <c r="X76" i="6"/>
  <c r="T76" i="6"/>
  <c r="Z76" i="6"/>
  <c r="Y76" i="6"/>
  <c r="Q76" i="6"/>
  <c r="BD75" i="6"/>
  <c r="K76" i="6" l="1"/>
  <c r="S76" i="6"/>
  <c r="L75" i="6"/>
  <c r="L69" i="6"/>
  <c r="U1872" i="3"/>
  <c r="X1872" i="3"/>
  <c r="U1871" i="3"/>
  <c r="X1871" i="3"/>
  <c r="BN76" i="6"/>
  <c r="B78" i="6"/>
  <c r="D78" i="6" s="1"/>
  <c r="P76" i="6"/>
  <c r="M74" i="6"/>
  <c r="N74" i="6" s="1"/>
  <c r="BL71" i="6"/>
  <c r="BL72" i="6" s="1"/>
  <c r="BO80" i="6"/>
  <c r="BI77" i="6"/>
  <c r="A77" i="6"/>
  <c r="BH77" i="6"/>
  <c r="M69" i="6"/>
  <c r="A6220" i="3"/>
  <c r="A6222" i="3"/>
  <c r="A6223" i="3"/>
  <c r="A6224" i="3"/>
  <c r="A6225" i="3"/>
  <c r="A6228" i="3"/>
  <c r="A6229" i="3"/>
  <c r="A6230" i="3"/>
  <c r="A6231" i="3"/>
  <c r="A6232" i="3"/>
  <c r="BK77" i="6"/>
  <c r="AL76" i="6"/>
  <c r="AS76" i="6"/>
  <c r="BS77" i="6"/>
  <c r="H78" i="6"/>
  <c r="AB76" i="6"/>
  <c r="AP76" i="6"/>
  <c r="V76" i="6"/>
  <c r="O77" i="6"/>
  <c r="AR76" i="6"/>
  <c r="N69" i="6" l="1"/>
  <c r="AY76" i="6"/>
  <c r="AF76" i="6"/>
  <c r="BP80" i="6"/>
  <c r="AZ76" i="6"/>
  <c r="BV76" i="6"/>
  <c r="AG76" i="6"/>
  <c r="AK75" i="6"/>
  <c r="BR76" i="6"/>
  <c r="BR77" i="6"/>
  <c r="C78" i="6"/>
  <c r="BT77" i="6"/>
  <c r="G77" i="6"/>
  <c r="BJ77" i="6"/>
  <c r="BQ77" i="6"/>
  <c r="AH76" i="6"/>
  <c r="BU77" i="6"/>
  <c r="BT76" i="6"/>
  <c r="BP79" i="6"/>
  <c r="F77" i="6"/>
  <c r="BV77" i="6"/>
  <c r="I77" i="6"/>
  <c r="T77" i="6"/>
  <c r="X77" i="6"/>
  <c r="AU77" i="6"/>
  <c r="Q77" i="6"/>
  <c r="AR77" i="6"/>
  <c r="AV77" i="6"/>
  <c r="AQ77" i="6"/>
  <c r="BA76" i="6"/>
  <c r="Y77" i="6"/>
  <c r="AT77" i="6"/>
  <c r="AA77" i="6"/>
  <c r="AS77" i="6"/>
  <c r="AP77" i="6"/>
  <c r="AE77" i="6"/>
  <c r="AB77" i="6"/>
  <c r="AM77" i="6"/>
  <c r="U77" i="6"/>
  <c r="AL77" i="6"/>
  <c r="AC77" i="6"/>
  <c r="Z77" i="6"/>
  <c r="AD77" i="6"/>
  <c r="AW77" i="6"/>
  <c r="AX77" i="6"/>
  <c r="AN77" i="6"/>
  <c r="V77" i="6"/>
  <c r="W77" i="6"/>
  <c r="K77" i="6" l="1"/>
  <c r="R78" i="6"/>
  <c r="S77" i="6"/>
  <c r="AF77" i="6" s="1"/>
  <c r="AI76" i="6"/>
  <c r="AJ76" i="6" s="1"/>
  <c r="BC76" i="6"/>
  <c r="L76" i="6"/>
  <c r="BN77" i="6"/>
  <c r="B80" i="6"/>
  <c r="D80" i="6" s="1"/>
  <c r="B79" i="6"/>
  <c r="D79" i="6" s="1"/>
  <c r="P77" i="6"/>
  <c r="M75" i="6"/>
  <c r="N75" i="6" s="1"/>
  <c r="BL73" i="6"/>
  <c r="BL74" i="6" s="1"/>
  <c r="BH78" i="6"/>
  <c r="A78" i="6"/>
  <c r="BI78" i="6"/>
  <c r="U6224" i="3"/>
  <c r="D6224" i="3"/>
  <c r="U6223" i="3"/>
  <c r="I6223" i="3"/>
  <c r="D6223" i="3"/>
  <c r="U6222" i="3"/>
  <c r="D6222" i="3"/>
  <c r="U6221" i="3"/>
  <c r="D6221" i="3"/>
  <c r="U6234" i="3"/>
  <c r="D6234" i="3"/>
  <c r="A6234" i="3"/>
  <c r="U6233" i="3"/>
  <c r="D6233" i="3"/>
  <c r="A6233" i="3"/>
  <c r="U6232" i="3"/>
  <c r="D6232" i="3"/>
  <c r="U6231" i="3"/>
  <c r="L6231" i="3"/>
  <c r="D6231" i="3"/>
  <c r="U6230" i="3"/>
  <c r="D6230" i="3"/>
  <c r="U6229" i="3"/>
  <c r="D6229" i="3"/>
  <c r="U6228" i="3"/>
  <c r="D6228" i="3"/>
  <c r="U6225" i="3"/>
  <c r="L6225" i="3"/>
  <c r="D6225" i="3"/>
  <c r="BT78" i="6"/>
  <c r="AO77" i="6"/>
  <c r="H79" i="6"/>
  <c r="AY77" i="6" l="1"/>
  <c r="BK78" i="6"/>
  <c r="H80" i="6"/>
  <c r="C79" i="6"/>
  <c r="AH77" i="6"/>
  <c r="AG77" i="6"/>
  <c r="O78" i="6"/>
  <c r="BA77" i="6"/>
  <c r="I78" i="6"/>
  <c r="BJ78" i="6"/>
  <c r="Y78" i="6"/>
  <c r="AZ77" i="6"/>
  <c r="T78" i="6"/>
  <c r="BS78" i="6"/>
  <c r="G78" i="6"/>
  <c r="U78" i="6"/>
  <c r="AT78" i="6"/>
  <c r="BD76" i="6"/>
  <c r="BQ78" i="6"/>
  <c r="Z78" i="6"/>
  <c r="AX78" i="6"/>
  <c r="AA78" i="6"/>
  <c r="AV78" i="6"/>
  <c r="F78" i="6"/>
  <c r="AR78" i="6"/>
  <c r="AO78" i="6"/>
  <c r="V78" i="6"/>
  <c r="AC78" i="6"/>
  <c r="W78" i="6"/>
  <c r="AW78" i="6"/>
  <c r="BU78" i="6"/>
  <c r="Q78" i="6"/>
  <c r="AP78" i="6"/>
  <c r="AE78" i="6"/>
  <c r="BV78" i="6"/>
  <c r="C80" i="6"/>
  <c r="K78" i="6" l="1"/>
  <c r="R79" i="6"/>
  <c r="R80" i="6"/>
  <c r="S78" i="6"/>
  <c r="AI77" i="6"/>
  <c r="AJ77" i="6" s="1"/>
  <c r="M76" i="6"/>
  <c r="N76" i="6" s="1"/>
  <c r="BC77" i="6"/>
  <c r="BL75" i="6"/>
  <c r="BL76" i="6" s="1"/>
  <c r="BL77" i="6" s="1"/>
  <c r="BL78" i="6" s="1"/>
  <c r="BN78" i="6"/>
  <c r="P78" i="6"/>
  <c r="BH80" i="6"/>
  <c r="A80" i="6"/>
  <c r="BI80" i="6"/>
  <c r="A79" i="6"/>
  <c r="BI79" i="6"/>
  <c r="BH79" i="6"/>
  <c r="K6494" i="3"/>
  <c r="K6495" i="3"/>
  <c r="K6496" i="3"/>
  <c r="K6497" i="3"/>
  <c r="K6498" i="3"/>
  <c r="K6499" i="3"/>
  <c r="K6500" i="3"/>
  <c r="K6502" i="3"/>
  <c r="K6503" i="3"/>
  <c r="K6504" i="3"/>
  <c r="K6505" i="3"/>
  <c r="K6506" i="3"/>
  <c r="K6507" i="3"/>
  <c r="K6510" i="3"/>
  <c r="K6512" i="3"/>
  <c r="K6516" i="3"/>
  <c r="K6518" i="3"/>
  <c r="K6619" i="3"/>
  <c r="K6624" i="3"/>
  <c r="K6625" i="3"/>
  <c r="K6648" i="3"/>
  <c r="K6493" i="3"/>
  <c r="N1340" i="3"/>
  <c r="D1340" i="3"/>
  <c r="W1340" i="3"/>
  <c r="N1339" i="3"/>
  <c r="D1339" i="3"/>
  <c r="A1339" i="3"/>
  <c r="W1339" i="3" s="1"/>
  <c r="N1338" i="3"/>
  <c r="D1338" i="3"/>
  <c r="A1338" i="3"/>
  <c r="W1338" i="3" s="1"/>
  <c r="N1337" i="3"/>
  <c r="D1337" i="3"/>
  <c r="A1337" i="3"/>
  <c r="W1337" i="3" s="1"/>
  <c r="N1336" i="3"/>
  <c r="D1336" i="3"/>
  <c r="A1336" i="3"/>
  <c r="W1336" i="3" s="1"/>
  <c r="N1335" i="3"/>
  <c r="D1335" i="3"/>
  <c r="A1335" i="3"/>
  <c r="W1335" i="3" s="1"/>
  <c r="N1334" i="3"/>
  <c r="D1334" i="3"/>
  <c r="A1334" i="3"/>
  <c r="W1334" i="3" s="1"/>
  <c r="N1333" i="3"/>
  <c r="D1333" i="3"/>
  <c r="A1333" i="3"/>
  <c r="W1333" i="3" s="1"/>
  <c r="N1332" i="3"/>
  <c r="D1332" i="3"/>
  <c r="A1332" i="3"/>
  <c r="W1332" i="3" s="1"/>
  <c r="N1331" i="3"/>
  <c r="D1331" i="3"/>
  <c r="A1331" i="3"/>
  <c r="W1331" i="3" s="1"/>
  <c r="N1330" i="3"/>
  <c r="D1330" i="3"/>
  <c r="AU78" i="6"/>
  <c r="AL78" i="6"/>
  <c r="AB78" i="6"/>
  <c r="AD78" i="6"/>
  <c r="AQ78" i="6"/>
  <c r="BK80" i="6"/>
  <c r="X78" i="6"/>
  <c r="AN78" i="6"/>
  <c r="AM78" i="6"/>
  <c r="AF78" i="6" l="1"/>
  <c r="BV79" i="6"/>
  <c r="AS78" i="6"/>
  <c r="BK79" i="6"/>
  <c r="I80" i="6"/>
  <c r="AY78" i="6" l="1"/>
  <c r="AG78" i="6"/>
  <c r="Y80" i="6"/>
  <c r="AN80" i="6"/>
  <c r="F80" i="6"/>
  <c r="Q80" i="6"/>
  <c r="O79" i="6"/>
  <c r="AM80" i="6"/>
  <c r="BR79" i="6"/>
  <c r="BJ79" i="6"/>
  <c r="AB80" i="6"/>
  <c r="BU80" i="6"/>
  <c r="BR80" i="6"/>
  <c r="AV80" i="6"/>
  <c r="AT80" i="6"/>
  <c r="BS80" i="6"/>
  <c r="BJ80" i="6"/>
  <c r="G79" i="6"/>
  <c r="BA78" i="6"/>
  <c r="AO80" i="6"/>
  <c r="BQ80" i="6"/>
  <c r="AR80" i="6"/>
  <c r="BQ79" i="6"/>
  <c r="G80" i="6"/>
  <c r="F79" i="6"/>
  <c r="AA80" i="6"/>
  <c r="Z80" i="6"/>
  <c r="BR78" i="6"/>
  <c r="AD80" i="6"/>
  <c r="AH78" i="6"/>
  <c r="AQ80" i="6"/>
  <c r="BV80" i="6"/>
  <c r="AU80" i="6"/>
  <c r="AS80" i="6"/>
  <c r="V80" i="6"/>
  <c r="AC80" i="6"/>
  <c r="BD77" i="6"/>
  <c r="O80" i="6"/>
  <c r="U80" i="6"/>
  <c r="AZ78" i="6"/>
  <c r="BT79" i="6"/>
  <c r="I79" i="6"/>
  <c r="T80" i="6"/>
  <c r="T79" i="6"/>
  <c r="AE80" i="6"/>
  <c r="X80" i="6"/>
  <c r="BS79" i="6"/>
  <c r="AL80" i="6"/>
  <c r="BU79" i="6"/>
  <c r="AX80" i="6"/>
  <c r="W80" i="6"/>
  <c r="AO79" i="6"/>
  <c r="AM79" i="6"/>
  <c r="AU79" i="6"/>
  <c r="AP80" i="6"/>
  <c r="AW80" i="6"/>
  <c r="BT80" i="6"/>
  <c r="W79" i="6"/>
  <c r="U79" i="6"/>
  <c r="AL79" i="6"/>
  <c r="AX79" i="6"/>
  <c r="AT79" i="6"/>
  <c r="Q79" i="6"/>
  <c r="AV79" i="6"/>
  <c r="AD79" i="6"/>
  <c r="AB79" i="6"/>
  <c r="Z79" i="6"/>
  <c r="AP79" i="6"/>
  <c r="AN79" i="6"/>
  <c r="AQ79" i="6"/>
  <c r="K80" i="6" l="1"/>
  <c r="K79" i="6"/>
  <c r="S80" i="6"/>
  <c r="AF80" i="6" s="1"/>
  <c r="S79" i="6"/>
  <c r="AI78" i="6"/>
  <c r="AJ78" i="6" s="1"/>
  <c r="M77" i="6"/>
  <c r="AY80" i="6"/>
  <c r="BC78" i="6"/>
  <c r="L78" i="6"/>
  <c r="R81" i="6"/>
  <c r="L77" i="6"/>
  <c r="P79" i="6"/>
  <c r="BN79" i="6"/>
  <c r="BL79" i="6"/>
  <c r="BL80" i="6" s="1"/>
  <c r="BN80" i="6"/>
  <c r="P80" i="6"/>
  <c r="U6089" i="3"/>
  <c r="D6089" i="3"/>
  <c r="A6089" i="3"/>
  <c r="U6088" i="3"/>
  <c r="D6088" i="3"/>
  <c r="A6088" i="3"/>
  <c r="U6087" i="3"/>
  <c r="D6087" i="3"/>
  <c r="A6087" i="3"/>
  <c r="U6086" i="3"/>
  <c r="L6086" i="3"/>
  <c r="D6086" i="3"/>
  <c r="A6086" i="3"/>
  <c r="U6085" i="3"/>
  <c r="D6085" i="3"/>
  <c r="A6085" i="3"/>
  <c r="U6084" i="3"/>
  <c r="D6084" i="3"/>
  <c r="A6084" i="3"/>
  <c r="U6083" i="3"/>
  <c r="D6083" i="3"/>
  <c r="A6083" i="3"/>
  <c r="U6082" i="3"/>
  <c r="D6082" i="3"/>
  <c r="A6082" i="3"/>
  <c r="U6081" i="3"/>
  <c r="D6081" i="3"/>
  <c r="A6081" i="3"/>
  <c r="U6080" i="3"/>
  <c r="L6080" i="3"/>
  <c r="D6080" i="3"/>
  <c r="N4217" i="3"/>
  <c r="L4217" i="3"/>
  <c r="D4217" i="3"/>
  <c r="N4216" i="3"/>
  <c r="D4216" i="3"/>
  <c r="N4215" i="3"/>
  <c r="L4215" i="3"/>
  <c r="D4215" i="3"/>
  <c r="N4214" i="3"/>
  <c r="D4214" i="3"/>
  <c r="N4213" i="3"/>
  <c r="L4213" i="3"/>
  <c r="D4213" i="3"/>
  <c r="N4212" i="3"/>
  <c r="D4212" i="3"/>
  <c r="N4211" i="3"/>
  <c r="L4211" i="3"/>
  <c r="D4211" i="3"/>
  <c r="N4210" i="3"/>
  <c r="L4210" i="3"/>
  <c r="D4210" i="3"/>
  <c r="N4209" i="3"/>
  <c r="L4209" i="3"/>
  <c r="D4209" i="3"/>
  <c r="N4208" i="3"/>
  <c r="L4208" i="3"/>
  <c r="D4208" i="3"/>
  <c r="N4207" i="3"/>
  <c r="L4207" i="3"/>
  <c r="D4207" i="3"/>
  <c r="N4206" i="3"/>
  <c r="L4206" i="3"/>
  <c r="D4206" i="3"/>
  <c r="N4205" i="3"/>
  <c r="L4205" i="3"/>
  <c r="D4205" i="3"/>
  <c r="N4204" i="3"/>
  <c r="L4204" i="3"/>
  <c r="D4204" i="3"/>
  <c r="N4203" i="3"/>
  <c r="L4203" i="3"/>
  <c r="D4203" i="3"/>
  <c r="N4202" i="3"/>
  <c r="L4202" i="3"/>
  <c r="D4202" i="3"/>
  <c r="N4201" i="3"/>
  <c r="L4201" i="3"/>
  <c r="D4201" i="3"/>
  <c r="N4200" i="3"/>
  <c r="L4200" i="3"/>
  <c r="D4200" i="3"/>
  <c r="N4199" i="3"/>
  <c r="D4199" i="3"/>
  <c r="N4198" i="3"/>
  <c r="L4198" i="3"/>
  <c r="D4198" i="3"/>
  <c r="N4197" i="3"/>
  <c r="D4197" i="3"/>
  <c r="N4196" i="3"/>
  <c r="L4196" i="3"/>
  <c r="D4196" i="3"/>
  <c r="N4195" i="3"/>
  <c r="D4195" i="3"/>
  <c r="N4194" i="3"/>
  <c r="L4194" i="3"/>
  <c r="D4194" i="3"/>
  <c r="N4193" i="3"/>
  <c r="L4193" i="3"/>
  <c r="D4193" i="3"/>
  <c r="N4192" i="3"/>
  <c r="L4192" i="3"/>
  <c r="D4192" i="3"/>
  <c r="N4191" i="3"/>
  <c r="L4191" i="3"/>
  <c r="D4191" i="3"/>
  <c r="N4190" i="3"/>
  <c r="L4190" i="3"/>
  <c r="D4190" i="3"/>
  <c r="N4189" i="3"/>
  <c r="L4189" i="3"/>
  <c r="D4189" i="3"/>
  <c r="N4188" i="3"/>
  <c r="L4188" i="3"/>
  <c r="D4188" i="3"/>
  <c r="N4187" i="3"/>
  <c r="L4187" i="3"/>
  <c r="D4187" i="3"/>
  <c r="N4186" i="3"/>
  <c r="L4186" i="3"/>
  <c r="D4186" i="3"/>
  <c r="N4185" i="3"/>
  <c r="L4185" i="3"/>
  <c r="D4185" i="3"/>
  <c r="N4184" i="3"/>
  <c r="L4184" i="3"/>
  <c r="D4184" i="3"/>
  <c r="N4183" i="3"/>
  <c r="L4183" i="3"/>
  <c r="D4183" i="3"/>
  <c r="N4182" i="3"/>
  <c r="D4182" i="3"/>
  <c r="L4181" i="3"/>
  <c r="N4181" i="3"/>
  <c r="D4181" i="3"/>
  <c r="N4180" i="3"/>
  <c r="D4180" i="3"/>
  <c r="L4179" i="3"/>
  <c r="N4179" i="3"/>
  <c r="D4179" i="3"/>
  <c r="N4178" i="3"/>
  <c r="D4178" i="3"/>
  <c r="L4177" i="3"/>
  <c r="N4177" i="3"/>
  <c r="D4177" i="3"/>
  <c r="N4176" i="3"/>
  <c r="L4176" i="3"/>
  <c r="D4176" i="3"/>
  <c r="N4175" i="3"/>
  <c r="L4175" i="3"/>
  <c r="D4175" i="3"/>
  <c r="N4174" i="3"/>
  <c r="L4174" i="3"/>
  <c r="D4174" i="3"/>
  <c r="L4173" i="3"/>
  <c r="N4173" i="3"/>
  <c r="D4173" i="3"/>
  <c r="N4172" i="3"/>
  <c r="L4172" i="3"/>
  <c r="D4172" i="3"/>
  <c r="L4171" i="3"/>
  <c r="N4171" i="3"/>
  <c r="D4171" i="3"/>
  <c r="N4170" i="3"/>
  <c r="L4170" i="3"/>
  <c r="D4170" i="3"/>
  <c r="L4169" i="3"/>
  <c r="N4169" i="3"/>
  <c r="D4169" i="3"/>
  <c r="N4168" i="3"/>
  <c r="L4168" i="3"/>
  <c r="D4168" i="3"/>
  <c r="N4167" i="3"/>
  <c r="L4167" i="3"/>
  <c r="D4167" i="3"/>
  <c r="L4166" i="3"/>
  <c r="N4166" i="3"/>
  <c r="D4166" i="3"/>
  <c r="N4165" i="3"/>
  <c r="D4165" i="3"/>
  <c r="L4164" i="3"/>
  <c r="N4164" i="3"/>
  <c r="D4164" i="3"/>
  <c r="N4163" i="3"/>
  <c r="D4163" i="3"/>
  <c r="N4162" i="3"/>
  <c r="L4162" i="3"/>
  <c r="D4162" i="3"/>
  <c r="N4161" i="3"/>
  <c r="D4161" i="3"/>
  <c r="L4160" i="3"/>
  <c r="N4160" i="3"/>
  <c r="D4160" i="3"/>
  <c r="L4159" i="3"/>
  <c r="N4159" i="3"/>
  <c r="D4159" i="3"/>
  <c r="L4158" i="3"/>
  <c r="N4158" i="3"/>
  <c r="D4158" i="3"/>
  <c r="L4157" i="3"/>
  <c r="N4157" i="3"/>
  <c r="D4157" i="3"/>
  <c r="L4156" i="3"/>
  <c r="N4156" i="3"/>
  <c r="D4156" i="3"/>
  <c r="N4155" i="3"/>
  <c r="L4155" i="3"/>
  <c r="D4155" i="3"/>
  <c r="N4154" i="3"/>
  <c r="L4154" i="3"/>
  <c r="D4154" i="3"/>
  <c r="L4153" i="3"/>
  <c r="N4153" i="3"/>
  <c r="D4153" i="3"/>
  <c r="L4152" i="3"/>
  <c r="N4152" i="3"/>
  <c r="D4152" i="3"/>
  <c r="N4151" i="3"/>
  <c r="L4151" i="3"/>
  <c r="D4151" i="3"/>
  <c r="L4150" i="3"/>
  <c r="N4150" i="3"/>
  <c r="D4150" i="3"/>
  <c r="L4134" i="3"/>
  <c r="L4136" i="3"/>
  <c r="L4138" i="3"/>
  <c r="L4142" i="3"/>
  <c r="L4145" i="3"/>
  <c r="L4133" i="3"/>
  <c r="L4147" i="3"/>
  <c r="L4143" i="3"/>
  <c r="L4139" i="3"/>
  <c r="L4135" i="3"/>
  <c r="L4140" i="3"/>
  <c r="L4141" i="3"/>
  <c r="L4149" i="3"/>
  <c r="N4149" i="3"/>
  <c r="D4149" i="3"/>
  <c r="N4148" i="3"/>
  <c r="D4148" i="3"/>
  <c r="N4147" i="3"/>
  <c r="D4147" i="3"/>
  <c r="N4146" i="3"/>
  <c r="D4146" i="3"/>
  <c r="N4145" i="3"/>
  <c r="D4145" i="3"/>
  <c r="N4144" i="3"/>
  <c r="D4144" i="3"/>
  <c r="N4143" i="3"/>
  <c r="D4143" i="3"/>
  <c r="N4142" i="3"/>
  <c r="D4142" i="3"/>
  <c r="N4141" i="3"/>
  <c r="D4141" i="3"/>
  <c r="N4140" i="3"/>
  <c r="D4140" i="3"/>
  <c r="N4139" i="3"/>
  <c r="D4139" i="3"/>
  <c r="N4138" i="3"/>
  <c r="D4138" i="3"/>
  <c r="N4137" i="3"/>
  <c r="L4137" i="3"/>
  <c r="D4137" i="3"/>
  <c r="N4136" i="3"/>
  <c r="D4136" i="3"/>
  <c r="N4135" i="3"/>
  <c r="D4135" i="3"/>
  <c r="N4134" i="3"/>
  <c r="D4134" i="3"/>
  <c r="N4133" i="3"/>
  <c r="D4133" i="3"/>
  <c r="AE79" i="6"/>
  <c r="Y79" i="6"/>
  <c r="AR79" i="6"/>
  <c r="AK77" i="6"/>
  <c r="AS79" i="6"/>
  <c r="AC79" i="6"/>
  <c r="AA79" i="6"/>
  <c r="N77" i="6" l="1"/>
  <c r="AY79" i="6"/>
  <c r="BD78" i="6"/>
  <c r="BA79" i="6"/>
  <c r="AZ79" i="6"/>
  <c r="AZ80" i="6"/>
  <c r="AK76" i="6"/>
  <c r="AH80" i="6"/>
  <c r="BA80" i="6"/>
  <c r="AH79" i="6"/>
  <c r="X79" i="6"/>
  <c r="AG80" i="6"/>
  <c r="AG79" i="6"/>
  <c r="V79" i="6"/>
  <c r="AW79" i="6"/>
  <c r="AF79" i="6" l="1"/>
  <c r="AI79" i="6"/>
  <c r="AJ79" i="6" s="1"/>
  <c r="AI80" i="6"/>
  <c r="AJ80" i="6" s="1"/>
  <c r="BC79" i="6"/>
  <c r="BC80" i="6"/>
  <c r="L80" i="6"/>
  <c r="BN8" i="6"/>
  <c r="A94" i="6" s="1"/>
  <c r="A94" i="87" s="1"/>
  <c r="U4136" i="3"/>
  <c r="X4136" i="3"/>
  <c r="U4137" i="3"/>
  <c r="X4137" i="3"/>
  <c r="U4135" i="3"/>
  <c r="X4135" i="3"/>
  <c r="U4140" i="3"/>
  <c r="X4140" i="3"/>
  <c r="U4144" i="3"/>
  <c r="X4144" i="3"/>
  <c r="U4148" i="3"/>
  <c r="X4148" i="3"/>
  <c r="U4169" i="3"/>
  <c r="X4169" i="3"/>
  <c r="U4171" i="3"/>
  <c r="X4171" i="3"/>
  <c r="U4173" i="3"/>
  <c r="X4173" i="3"/>
  <c r="U4177" i="3"/>
  <c r="X4177" i="3"/>
  <c r="U4179" i="3"/>
  <c r="X4179" i="3"/>
  <c r="U4181" i="3"/>
  <c r="X4181" i="3"/>
  <c r="U4184" i="3"/>
  <c r="X4184" i="3"/>
  <c r="U4185" i="3"/>
  <c r="X4185" i="3"/>
  <c r="U4186" i="3"/>
  <c r="X4186" i="3"/>
  <c r="U4187" i="3"/>
  <c r="X4187" i="3"/>
  <c r="U4188" i="3"/>
  <c r="X4188" i="3"/>
  <c r="U4189" i="3"/>
  <c r="X4189" i="3"/>
  <c r="U4190" i="3"/>
  <c r="X4190" i="3"/>
  <c r="U4191" i="3"/>
  <c r="X4191" i="3"/>
  <c r="U4192" i="3"/>
  <c r="X4192" i="3"/>
  <c r="U4193" i="3"/>
  <c r="X4193" i="3"/>
  <c r="U4194" i="3"/>
  <c r="X4194" i="3"/>
  <c r="U4195" i="3"/>
  <c r="X4195" i="3"/>
  <c r="U4196" i="3"/>
  <c r="X4196" i="3"/>
  <c r="U4197" i="3"/>
  <c r="X4197" i="3"/>
  <c r="U4198" i="3"/>
  <c r="X4198" i="3"/>
  <c r="U4199" i="3"/>
  <c r="X4199" i="3"/>
  <c r="U4200" i="3"/>
  <c r="X4200" i="3"/>
  <c r="U4133" i="3"/>
  <c r="X4133" i="3"/>
  <c r="U4141" i="3"/>
  <c r="X4141" i="3"/>
  <c r="U4134" i="3"/>
  <c r="X4134" i="3"/>
  <c r="U4139" i="3"/>
  <c r="X4139" i="3"/>
  <c r="U4143" i="3"/>
  <c r="X4143" i="3"/>
  <c r="U4147" i="3"/>
  <c r="X4147" i="3"/>
  <c r="U4150" i="3"/>
  <c r="X4150" i="3"/>
  <c r="U4152" i="3"/>
  <c r="X4152" i="3"/>
  <c r="U4153" i="3"/>
  <c r="X4153" i="3"/>
  <c r="U4156" i="3"/>
  <c r="X4156" i="3"/>
  <c r="U4157" i="3"/>
  <c r="X4157" i="3"/>
  <c r="U4158" i="3"/>
  <c r="X4158" i="3"/>
  <c r="U4159" i="3"/>
  <c r="X4159" i="3"/>
  <c r="U4160" i="3"/>
  <c r="X4160" i="3"/>
  <c r="U4161" i="3"/>
  <c r="X4161" i="3"/>
  <c r="U4164" i="3"/>
  <c r="X4164" i="3"/>
  <c r="U4165" i="3"/>
  <c r="X4165" i="3"/>
  <c r="U4166" i="3"/>
  <c r="X4166" i="3"/>
  <c r="U4167" i="3"/>
  <c r="X4167" i="3"/>
  <c r="U4168" i="3"/>
  <c r="X4168" i="3"/>
  <c r="U4170" i="3"/>
  <c r="X4170" i="3"/>
  <c r="U4172" i="3"/>
  <c r="X4172" i="3"/>
  <c r="U4174" i="3"/>
  <c r="X4174" i="3"/>
  <c r="U4175" i="3"/>
  <c r="X4175" i="3"/>
  <c r="U4176" i="3"/>
  <c r="X4176" i="3"/>
  <c r="U4178" i="3"/>
  <c r="X4178" i="3"/>
  <c r="U4180" i="3"/>
  <c r="X4180" i="3"/>
  <c r="U4182" i="3"/>
  <c r="X4182" i="3"/>
  <c r="U4183" i="3"/>
  <c r="X4183" i="3"/>
  <c r="U4142" i="3"/>
  <c r="X4142" i="3"/>
  <c r="U4146" i="3"/>
  <c r="X4146" i="3"/>
  <c r="U4151" i="3"/>
  <c r="X4151" i="3"/>
  <c r="U4154" i="3"/>
  <c r="X4154" i="3"/>
  <c r="U4155" i="3"/>
  <c r="X4155" i="3"/>
  <c r="U4162" i="3"/>
  <c r="X4162" i="3"/>
  <c r="U4163" i="3"/>
  <c r="X4163" i="3"/>
  <c r="U4138" i="3"/>
  <c r="X4138" i="3"/>
  <c r="U4145" i="3"/>
  <c r="X4145" i="3"/>
  <c r="U4149" i="3"/>
  <c r="X4149" i="3"/>
  <c r="U4201" i="3"/>
  <c r="X4201" i="3"/>
  <c r="U4202" i="3"/>
  <c r="X4202" i="3"/>
  <c r="U4203" i="3"/>
  <c r="X4203" i="3"/>
  <c r="U4204" i="3"/>
  <c r="X4204" i="3"/>
  <c r="U4205" i="3"/>
  <c r="X4205" i="3"/>
  <c r="U4206" i="3"/>
  <c r="X4206" i="3"/>
  <c r="U4207" i="3"/>
  <c r="X4207" i="3"/>
  <c r="U4208" i="3"/>
  <c r="X4208" i="3"/>
  <c r="U4209" i="3"/>
  <c r="X4209" i="3"/>
  <c r="U4210" i="3"/>
  <c r="X4210" i="3"/>
  <c r="U4211" i="3"/>
  <c r="X4211" i="3"/>
  <c r="U4212" i="3"/>
  <c r="X4212" i="3"/>
  <c r="U4213" i="3"/>
  <c r="X4213" i="3"/>
  <c r="U4214" i="3"/>
  <c r="X4214" i="3"/>
  <c r="U4215" i="3"/>
  <c r="X4215" i="3"/>
  <c r="U4216" i="3"/>
  <c r="X4216" i="3"/>
  <c r="U4217" i="3"/>
  <c r="X4217" i="3"/>
  <c r="N6868" i="3"/>
  <c r="U6868" i="3" s="1"/>
  <c r="O6868" i="3"/>
  <c r="N1224" i="3"/>
  <c r="D1224" i="3"/>
  <c r="A1224" i="3"/>
  <c r="W1224" i="3" s="1"/>
  <c r="N1223" i="3"/>
  <c r="D1223" i="3"/>
  <c r="A1223" i="3"/>
  <c r="W1223" i="3" s="1"/>
  <c r="N1222" i="3"/>
  <c r="D1222" i="3"/>
  <c r="A1222" i="3"/>
  <c r="W1222" i="3" s="1"/>
  <c r="N1221" i="3"/>
  <c r="D1221" i="3"/>
  <c r="A1221" i="3"/>
  <c r="W1221" i="3" s="1"/>
  <c r="N1220" i="3"/>
  <c r="D1220" i="3"/>
  <c r="A1220" i="3"/>
  <c r="W1220" i="3" s="1"/>
  <c r="N1219" i="3"/>
  <c r="D1219" i="3"/>
  <c r="A1219" i="3"/>
  <c r="W1219" i="3" s="1"/>
  <c r="N1218" i="3"/>
  <c r="D1218" i="3"/>
  <c r="A1218" i="3"/>
  <c r="W1218" i="3" s="1"/>
  <c r="N1217" i="3"/>
  <c r="D1217" i="3"/>
  <c r="A1217" i="3"/>
  <c r="W1217" i="3" s="1"/>
  <c r="N1216" i="3"/>
  <c r="D1216" i="3"/>
  <c r="A1216" i="3"/>
  <c r="W1216" i="3" s="1"/>
  <c r="N1215" i="3"/>
  <c r="D1215" i="3"/>
  <c r="A1215" i="3"/>
  <c r="W1215" i="3" s="1"/>
  <c r="N1214" i="3"/>
  <c r="D1214" i="3"/>
  <c r="A1214" i="3"/>
  <c r="W1214" i="3" s="1"/>
  <c r="N1213" i="3"/>
  <c r="D1213" i="3"/>
  <c r="A1213" i="3"/>
  <c r="W1213" i="3" s="1"/>
  <c r="N1212" i="3"/>
  <c r="D1212" i="3"/>
  <c r="A1212" i="3"/>
  <c r="W1212" i="3" s="1"/>
  <c r="N1211" i="3"/>
  <c r="D1211" i="3"/>
  <c r="A1211" i="3"/>
  <c r="W1211" i="3" s="1"/>
  <c r="N1210" i="3"/>
  <c r="D1210" i="3"/>
  <c r="A1210" i="3"/>
  <c r="W1210" i="3" s="1"/>
  <c r="N1209" i="3"/>
  <c r="D1209" i="3"/>
  <c r="A1209" i="3"/>
  <c r="W1209" i="3" s="1"/>
  <c r="N1208" i="3"/>
  <c r="D1208" i="3"/>
  <c r="BD80" i="6"/>
  <c r="BD79" i="6"/>
  <c r="M80" i="6" l="1"/>
  <c r="N80" i="6" s="1"/>
  <c r="C11" i="88" s="1"/>
  <c r="M79" i="6"/>
  <c r="M78" i="6"/>
  <c r="N78" i="6" s="1"/>
  <c r="L79" i="6"/>
  <c r="C200" i="2"/>
  <c r="C201" i="2"/>
  <c r="AK79" i="6"/>
  <c r="AK78" i="6"/>
  <c r="D58" i="88" l="1"/>
  <c r="D40" i="88"/>
  <c r="D20" i="88"/>
  <c r="D50" i="88"/>
  <c r="D78" i="88"/>
  <c r="D55" i="88"/>
  <c r="D72" i="88"/>
  <c r="D37" i="88"/>
  <c r="D44" i="88"/>
  <c r="D27" i="88"/>
  <c r="D18" i="88"/>
  <c r="D35" i="88"/>
  <c r="D51" i="88"/>
  <c r="D74" i="88"/>
  <c r="D69" i="88"/>
  <c r="D59" i="88"/>
  <c r="D71" i="88"/>
  <c r="D42" i="88"/>
  <c r="D24" i="88"/>
  <c r="D67" i="88"/>
  <c r="D36" i="88"/>
  <c r="D19" i="88"/>
  <c r="D62" i="88"/>
  <c r="D45" i="88"/>
  <c r="D63" i="88"/>
  <c r="D65" i="88"/>
  <c r="D41" i="88"/>
  <c r="D54" i="88"/>
  <c r="D28" i="88"/>
  <c r="D47" i="88"/>
  <c r="D31" i="88"/>
  <c r="D16" i="88"/>
  <c r="D29" i="88"/>
  <c r="D52" i="88"/>
  <c r="D46" i="88"/>
  <c r="D68" i="88"/>
  <c r="D34" i="88"/>
  <c r="D39" i="88"/>
  <c r="D56" i="88"/>
  <c r="D13" i="88"/>
  <c r="D30" i="88"/>
  <c r="D33" i="88"/>
  <c r="D48" i="88"/>
  <c r="D38" i="88"/>
  <c r="D22" i="88"/>
  <c r="D21" i="88"/>
  <c r="D77" i="88"/>
  <c r="D14" i="88"/>
  <c r="D73" i="88"/>
  <c r="D79" i="88"/>
  <c r="D61" i="88"/>
  <c r="D80" i="88"/>
  <c r="D53" i="88"/>
  <c r="D15" i="88"/>
  <c r="D12" i="88"/>
  <c r="D70" i="88"/>
  <c r="D17" i="88"/>
  <c r="D75" i="88"/>
  <c r="D43" i="88"/>
  <c r="D23" i="88"/>
  <c r="D66" i="88"/>
  <c r="D25" i="88"/>
  <c r="D26" i="88"/>
  <c r="D32" i="88"/>
  <c r="D64" i="88"/>
  <c r="D49" i="88"/>
  <c r="D60" i="88"/>
  <c r="D57" i="88"/>
  <c r="D76" i="88"/>
  <c r="E11" i="88"/>
  <c r="M79" i="88"/>
  <c r="F14" i="88"/>
  <c r="F80" i="88"/>
  <c r="F66" i="88"/>
  <c r="M20" i="88"/>
  <c r="I24" i="88"/>
  <c r="G52" i="88"/>
  <c r="L27" i="88"/>
  <c r="E74" i="88"/>
  <c r="F65" i="88"/>
  <c r="L16" i="88"/>
  <c r="M74" i="88"/>
  <c r="L64" i="88"/>
  <c r="I32" i="88"/>
  <c r="L69" i="88"/>
  <c r="E42" i="88"/>
  <c r="L37" i="88"/>
  <c r="L66" i="88"/>
  <c r="E40" i="88"/>
  <c r="G33" i="88"/>
  <c r="E19" i="88"/>
  <c r="M46" i="88"/>
  <c r="F62" i="88"/>
  <c r="I60" i="88"/>
  <c r="G80" i="88"/>
  <c r="I58" i="88"/>
  <c r="L34" i="88"/>
  <c r="M56" i="88"/>
  <c r="M25" i="88"/>
  <c r="M49" i="88"/>
  <c r="I51" i="88"/>
  <c r="G28" i="88"/>
  <c r="F75" i="88"/>
  <c r="E23" i="88"/>
  <c r="M35" i="88"/>
  <c r="L24" i="88"/>
  <c r="G60" i="88"/>
  <c r="G58" i="88"/>
  <c r="M37" i="88"/>
  <c r="G78" i="88"/>
  <c r="M24" i="88"/>
  <c r="L65" i="88"/>
  <c r="G35" i="88"/>
  <c r="M70" i="88"/>
  <c r="E45" i="88"/>
  <c r="F46" i="88"/>
  <c r="E41" i="88"/>
  <c r="L35" i="88"/>
  <c r="I69" i="88"/>
  <c r="G54" i="88"/>
  <c r="M19" i="88"/>
  <c r="I65" i="88"/>
  <c r="L75" i="88"/>
  <c r="G13" i="88"/>
  <c r="F21" i="88"/>
  <c r="F25" i="88"/>
  <c r="I68" i="88"/>
  <c r="I23" i="88"/>
  <c r="I15" i="88"/>
  <c r="G72" i="88"/>
  <c r="E71" i="88"/>
  <c r="E29" i="88"/>
  <c r="E13" i="88"/>
  <c r="L49" i="88"/>
  <c r="G49" i="88"/>
  <c r="L72" i="88"/>
  <c r="G29" i="88"/>
  <c r="L67" i="88"/>
  <c r="L48" i="88"/>
  <c r="M18" i="88"/>
  <c r="G15" i="88"/>
  <c r="L55" i="88"/>
  <c r="G70" i="88"/>
  <c r="F24" i="88"/>
  <c r="G45" i="88"/>
  <c r="F35" i="88"/>
  <c r="E15" i="88"/>
  <c r="F37" i="88"/>
  <c r="I71" i="88"/>
  <c r="L50" i="88"/>
  <c r="E24" i="88"/>
  <c r="E50" i="88"/>
  <c r="L25" i="88"/>
  <c r="G63" i="88"/>
  <c r="F56" i="88"/>
  <c r="E78" i="88"/>
  <c r="G38" i="88"/>
  <c r="E52" i="88"/>
  <c r="G48" i="88"/>
  <c r="E60" i="88"/>
  <c r="L40" i="88"/>
  <c r="L58" i="88"/>
  <c r="G51" i="88"/>
  <c r="E77" i="88"/>
  <c r="G73" i="88"/>
  <c r="M27" i="88"/>
  <c r="L47" i="88"/>
  <c r="G16" i="88"/>
  <c r="L71" i="88"/>
  <c r="F76" i="88"/>
  <c r="G14" i="88"/>
  <c r="E36" i="88"/>
  <c r="L15" i="88"/>
  <c r="E53" i="88"/>
  <c r="L62" i="88"/>
  <c r="M57" i="88"/>
  <c r="M26" i="88"/>
  <c r="G37" i="88"/>
  <c r="I59" i="88"/>
  <c r="F71" i="88"/>
  <c r="M61" i="88"/>
  <c r="M58" i="88"/>
  <c r="L44" i="88"/>
  <c r="F44" i="88"/>
  <c r="F72" i="88"/>
  <c r="G71" i="88"/>
  <c r="G77" i="88"/>
  <c r="I76" i="88"/>
  <c r="M45" i="88"/>
  <c r="M36" i="88"/>
  <c r="G31" i="88"/>
  <c r="F45" i="88"/>
  <c r="M64" i="88"/>
  <c r="L74" i="88"/>
  <c r="L45" i="88"/>
  <c r="L59" i="88"/>
  <c r="L52" i="88"/>
  <c r="I78" i="88"/>
  <c r="M54" i="88"/>
  <c r="E68" i="88"/>
  <c r="I73" i="88"/>
  <c r="F22" i="88"/>
  <c r="E80" i="88"/>
  <c r="M17" i="88"/>
  <c r="L19" i="88"/>
  <c r="I77" i="88"/>
  <c r="L18" i="88"/>
  <c r="L33" i="88"/>
  <c r="M78" i="88"/>
  <c r="F16" i="88"/>
  <c r="F79" i="88"/>
  <c r="G18" i="88"/>
  <c r="G40" i="88"/>
  <c r="I47" i="88"/>
  <c r="E64" i="88"/>
  <c r="L41" i="88"/>
  <c r="I42" i="88"/>
  <c r="L57" i="88"/>
  <c r="E16" i="88"/>
  <c r="L32" i="88"/>
  <c r="I56" i="88"/>
  <c r="G20" i="88"/>
  <c r="F39" i="88"/>
  <c r="M12" i="88"/>
  <c r="G42" i="88"/>
  <c r="M52" i="88"/>
  <c r="E44" i="88"/>
  <c r="L61" i="88"/>
  <c r="F55" i="88"/>
  <c r="F32" i="88"/>
  <c r="I13" i="88"/>
  <c r="G74" i="88"/>
  <c r="F38" i="88"/>
  <c r="E39" i="88"/>
  <c r="F53" i="88"/>
  <c r="L54" i="88"/>
  <c r="G69" i="88"/>
  <c r="E47" i="88"/>
  <c r="L78" i="88"/>
  <c r="I29" i="88"/>
  <c r="F60" i="88"/>
  <c r="I19" i="88"/>
  <c r="M47" i="88"/>
  <c r="E51" i="88"/>
  <c r="E12" i="88"/>
  <c r="L51" i="88"/>
  <c r="G56" i="88"/>
  <c r="I41" i="88"/>
  <c r="G59" i="88"/>
  <c r="F59" i="88"/>
  <c r="I21" i="88"/>
  <c r="E14" i="88"/>
  <c r="M77" i="88"/>
  <c r="I26" i="88"/>
  <c r="I34" i="88"/>
  <c r="F69" i="88"/>
  <c r="F61" i="88"/>
  <c r="I66" i="88"/>
  <c r="G27" i="88"/>
  <c r="M68" i="88"/>
  <c r="E48" i="88"/>
  <c r="I33" i="88"/>
  <c r="E72" i="88"/>
  <c r="G47" i="88"/>
  <c r="G66" i="88"/>
  <c r="M39" i="88"/>
  <c r="F67" i="88"/>
  <c r="G62" i="88"/>
  <c r="F43" i="88"/>
  <c r="I45" i="88"/>
  <c r="E17" i="88"/>
  <c r="I67" i="88"/>
  <c r="E30" i="88"/>
  <c r="F50" i="88"/>
  <c r="M73" i="88"/>
  <c r="F23" i="88"/>
  <c r="F78" i="88"/>
  <c r="L13" i="88"/>
  <c r="L77" i="88"/>
  <c r="L21" i="88"/>
  <c r="L42" i="88"/>
  <c r="I54" i="88"/>
  <c r="F12" i="88"/>
  <c r="L26" i="88"/>
  <c r="G34" i="88"/>
  <c r="M14" i="88"/>
  <c r="G46" i="88"/>
  <c r="G22" i="88"/>
  <c r="F33" i="88"/>
  <c r="G12" i="88"/>
  <c r="F28" i="88"/>
  <c r="L46" i="88"/>
  <c r="G67" i="88"/>
  <c r="G57" i="88"/>
  <c r="I27" i="88"/>
  <c r="G32" i="88"/>
  <c r="L30" i="88"/>
  <c r="F54" i="88"/>
  <c r="G65" i="88"/>
  <c r="L39" i="88"/>
  <c r="E73" i="88"/>
  <c r="F51" i="88"/>
  <c r="I25" i="88"/>
  <c r="I48" i="88"/>
  <c r="E67" i="88"/>
  <c r="M55" i="88"/>
  <c r="F42" i="88"/>
  <c r="M75" i="88"/>
  <c r="G41" i="88"/>
  <c r="M51" i="88"/>
  <c r="L28" i="88"/>
  <c r="G75" i="88"/>
  <c r="F13" i="88"/>
  <c r="F19" i="88"/>
  <c r="M23" i="88"/>
  <c r="L14" i="88"/>
  <c r="E56" i="88"/>
  <c r="M42" i="88"/>
  <c r="G21" i="88"/>
  <c r="G44" i="88"/>
  <c r="G19" i="88"/>
  <c r="E18" i="88"/>
  <c r="M63" i="88"/>
  <c r="M34" i="88"/>
  <c r="L56" i="88"/>
  <c r="F34" i="88"/>
  <c r="G53" i="88"/>
  <c r="F63" i="88"/>
  <c r="E25" i="88"/>
  <c r="M48" i="88"/>
  <c r="F77" i="88"/>
  <c r="G64" i="88"/>
  <c r="L43" i="88"/>
  <c r="E57" i="88"/>
  <c r="E55" i="88"/>
  <c r="I12" i="88"/>
  <c r="E66" i="88"/>
  <c r="M40" i="88"/>
  <c r="L22" i="88"/>
  <c r="I75" i="88"/>
  <c r="F48" i="88"/>
  <c r="M21" i="88"/>
  <c r="F73" i="88"/>
  <c r="F29" i="88"/>
  <c r="E34" i="88"/>
  <c r="E59" i="88"/>
  <c r="I63" i="88"/>
  <c r="M71" i="88"/>
  <c r="M72" i="88"/>
  <c r="M53" i="88"/>
  <c r="I38" i="88"/>
  <c r="I57" i="88"/>
  <c r="G17" i="88"/>
  <c r="L80" i="88"/>
  <c r="M13" i="88"/>
  <c r="M59" i="88"/>
  <c r="F36" i="88"/>
  <c r="I22" i="88"/>
  <c r="F40" i="88"/>
  <c r="I70" i="88"/>
  <c r="I35" i="88"/>
  <c r="I36" i="88"/>
  <c r="I72" i="88"/>
  <c r="G68" i="88"/>
  <c r="M28" i="88"/>
  <c r="M30" i="88"/>
  <c r="I39" i="88"/>
  <c r="F74" i="88"/>
  <c r="E65" i="88"/>
  <c r="M44" i="88"/>
  <c r="F20" i="88"/>
  <c r="M50" i="88"/>
  <c r="M62" i="88"/>
  <c r="I28" i="88"/>
  <c r="G79" i="88"/>
  <c r="M43" i="88"/>
  <c r="G55" i="88"/>
  <c r="I52" i="88"/>
  <c r="E62" i="88"/>
  <c r="L53" i="88"/>
  <c r="F47" i="88"/>
  <c r="E37" i="88"/>
  <c r="E46" i="88"/>
  <c r="F68" i="88"/>
  <c r="F58" i="88"/>
  <c r="I62" i="88"/>
  <c r="I55" i="88"/>
  <c r="E63" i="88"/>
  <c r="M80" i="88"/>
  <c r="E26" i="88"/>
  <c r="G61" i="88"/>
  <c r="I16" i="88"/>
  <c r="I31" i="88"/>
  <c r="L17" i="88"/>
  <c r="I20" i="88"/>
  <c r="F64" i="88"/>
  <c r="L68" i="88"/>
  <c r="E21" i="88"/>
  <c r="E58" i="88"/>
  <c r="I37" i="88"/>
  <c r="E31" i="88"/>
  <c r="M76" i="88"/>
  <c r="E20" i="88"/>
  <c r="E28" i="88"/>
  <c r="L36" i="88"/>
  <c r="M22" i="88"/>
  <c r="E22" i="88"/>
  <c r="L20" i="88"/>
  <c r="L12" i="88"/>
  <c r="G36" i="88"/>
  <c r="M69" i="88"/>
  <c r="M33" i="88"/>
  <c r="F41" i="88"/>
  <c r="L73" i="88"/>
  <c r="E75" i="88"/>
  <c r="M65" i="88"/>
  <c r="G39" i="88"/>
  <c r="F52" i="88"/>
  <c r="E76" i="88"/>
  <c r="I80" i="88"/>
  <c r="L31" i="88"/>
  <c r="I14" i="88"/>
  <c r="I46" i="88"/>
  <c r="F26" i="88"/>
  <c r="E38" i="88"/>
  <c r="L70" i="88"/>
  <c r="E69" i="88"/>
  <c r="G23" i="88"/>
  <c r="E70" i="88"/>
  <c r="L60" i="88"/>
  <c r="F70" i="88"/>
  <c r="E35" i="88"/>
  <c r="G25" i="88"/>
  <c r="I18" i="88"/>
  <c r="G30" i="88"/>
  <c r="I50" i="88"/>
  <c r="M31" i="88"/>
  <c r="F30" i="88"/>
  <c r="G26" i="88"/>
  <c r="G43" i="88"/>
  <c r="I64" i="88"/>
  <c r="L76" i="88"/>
  <c r="I30" i="88"/>
  <c r="E49" i="88"/>
  <c r="G24" i="88"/>
  <c r="E79" i="88"/>
  <c r="I53" i="88"/>
  <c r="I61" i="88"/>
  <c r="M32" i="88"/>
  <c r="F17" i="88"/>
  <c r="L63" i="88"/>
  <c r="G50" i="88"/>
  <c r="E33" i="88"/>
  <c r="E43" i="88"/>
  <c r="I43" i="88"/>
  <c r="M38" i="88"/>
  <c r="I49" i="88"/>
  <c r="L29" i="88"/>
  <c r="E27" i="88"/>
  <c r="M15" i="88"/>
  <c r="F49" i="88"/>
  <c r="F57" i="88"/>
  <c r="F27" i="88"/>
  <c r="L79" i="88"/>
  <c r="I74" i="88"/>
  <c r="M67" i="88"/>
  <c r="I40" i="88"/>
  <c r="E61" i="88"/>
  <c r="L38" i="88"/>
  <c r="F18" i="88"/>
  <c r="L23" i="88"/>
  <c r="G76" i="88"/>
  <c r="E54" i="88"/>
  <c r="I79" i="88"/>
  <c r="M41" i="88"/>
  <c r="M29" i="88"/>
  <c r="F31" i="88"/>
  <c r="M66" i="88"/>
  <c r="E32" i="88"/>
  <c r="I44" i="88"/>
  <c r="M16" i="88"/>
  <c r="I17" i="88"/>
  <c r="F15" i="88"/>
  <c r="M60" i="88"/>
  <c r="N79" i="6"/>
  <c r="A1270" i="3"/>
  <c r="A1271" i="3"/>
  <c r="W1271" i="3" s="1"/>
  <c r="N1271" i="3"/>
  <c r="D1271" i="3"/>
  <c r="AK80" i="6"/>
  <c r="K70" i="88" l="1"/>
  <c r="K41" i="88"/>
  <c r="K74" i="88"/>
  <c r="K57" i="88"/>
  <c r="K51" i="88"/>
  <c r="K29" i="88"/>
  <c r="K17" i="88"/>
  <c r="K35" i="88"/>
  <c r="K54" i="88"/>
  <c r="K33" i="88"/>
  <c r="K40" i="88"/>
  <c r="K73" i="88"/>
  <c r="K78" i="88"/>
  <c r="K20" i="88"/>
  <c r="K49" i="88"/>
  <c r="K38" i="88"/>
  <c r="K13" i="88"/>
  <c r="K47" i="88"/>
  <c r="K43" i="88"/>
  <c r="K60" i="88"/>
  <c r="K72" i="88"/>
  <c r="K76" i="88"/>
  <c r="K56" i="88"/>
  <c r="K48" i="88"/>
  <c r="K50" i="88"/>
  <c r="K79" i="88"/>
  <c r="K45" i="88"/>
  <c r="K69" i="88"/>
  <c r="K68" i="88"/>
  <c r="K12" i="88"/>
  <c r="K67" i="88"/>
  <c r="K77" i="88"/>
  <c r="K44" i="88"/>
  <c r="K66" i="88"/>
  <c r="K64" i="88"/>
  <c r="K71" i="88"/>
  <c r="K34" i="88"/>
  <c r="J48" i="88"/>
  <c r="N48" i="88"/>
  <c r="J16" i="88"/>
  <c r="N16" i="88"/>
  <c r="N58" i="88"/>
  <c r="J58" i="88"/>
  <c r="J32" i="88"/>
  <c r="N32" i="88"/>
  <c r="N69" i="88"/>
  <c r="J69" i="88"/>
  <c r="N22" i="88"/>
  <c r="J22" i="88"/>
  <c r="J56" i="88"/>
  <c r="N56" i="88"/>
  <c r="J30" i="88"/>
  <c r="N30" i="88"/>
  <c r="K27" i="88"/>
  <c r="K58" i="88"/>
  <c r="J60" i="88"/>
  <c r="N60" i="88"/>
  <c r="K31" i="88"/>
  <c r="N38" i="88"/>
  <c r="J38" i="88"/>
  <c r="J76" i="88"/>
  <c r="N76" i="88"/>
  <c r="N26" i="88"/>
  <c r="J26" i="88"/>
  <c r="N55" i="88"/>
  <c r="J55" i="88"/>
  <c r="N25" i="88"/>
  <c r="J25" i="88"/>
  <c r="J18" i="88"/>
  <c r="N18" i="88"/>
  <c r="N73" i="88"/>
  <c r="J73" i="88"/>
  <c r="K61" i="88"/>
  <c r="J14" i="88"/>
  <c r="N14" i="88"/>
  <c r="J51" i="88"/>
  <c r="N51" i="88"/>
  <c r="K55" i="88"/>
  <c r="K39" i="88"/>
  <c r="J80" i="88"/>
  <c r="N80" i="88"/>
  <c r="N24" i="88"/>
  <c r="J24" i="88"/>
  <c r="K24" i="88"/>
  <c r="K21" i="88"/>
  <c r="J42" i="88"/>
  <c r="N42" i="88"/>
  <c r="K65" i="88"/>
  <c r="K80" i="88"/>
  <c r="N54" i="88"/>
  <c r="J54" i="88"/>
  <c r="N75" i="88"/>
  <c r="J75" i="88"/>
  <c r="J59" i="88"/>
  <c r="N59" i="88"/>
  <c r="J68" i="88"/>
  <c r="N68" i="88"/>
  <c r="J34" i="88"/>
  <c r="N34" i="88"/>
  <c r="J13" i="88"/>
  <c r="N13" i="88"/>
  <c r="J62" i="88"/>
  <c r="N62" i="88"/>
  <c r="J29" i="88"/>
  <c r="N29" i="88"/>
  <c r="K18" i="88"/>
  <c r="J31" i="88"/>
  <c r="N31" i="88"/>
  <c r="J47" i="88"/>
  <c r="N47" i="88"/>
  <c r="K16" i="88"/>
  <c r="N53" i="88"/>
  <c r="J53" i="88"/>
  <c r="N71" i="88"/>
  <c r="J71" i="88"/>
  <c r="K62" i="88"/>
  <c r="J43" i="88"/>
  <c r="N43" i="88"/>
  <c r="N79" i="88"/>
  <c r="J79" i="88"/>
  <c r="K30" i="88"/>
  <c r="K52" i="88"/>
  <c r="J46" i="88"/>
  <c r="N46" i="88"/>
  <c r="K36" i="88"/>
  <c r="N57" i="88"/>
  <c r="J57" i="88"/>
  <c r="K63" i="88"/>
  <c r="K19" i="88"/>
  <c r="J64" i="88"/>
  <c r="N64" i="88"/>
  <c r="K22" i="88"/>
  <c r="J52" i="88"/>
  <c r="N52" i="88"/>
  <c r="N41" i="88"/>
  <c r="J41" i="88"/>
  <c r="N23" i="88"/>
  <c r="J23" i="88"/>
  <c r="N19" i="88"/>
  <c r="J19" i="88"/>
  <c r="J74" i="88"/>
  <c r="N74" i="88"/>
  <c r="K14" i="88"/>
  <c r="N67" i="88"/>
  <c r="J67" i="88"/>
  <c r="N66" i="88"/>
  <c r="J66" i="88"/>
  <c r="J15" i="88"/>
  <c r="N15" i="88"/>
  <c r="J35" i="88"/>
  <c r="N35" i="88"/>
  <c r="N21" i="88"/>
  <c r="J21" i="88"/>
  <c r="J12" i="88"/>
  <c r="N12" i="88"/>
  <c r="K32" i="88"/>
  <c r="J50" i="88"/>
  <c r="N50" i="88"/>
  <c r="K25" i="88"/>
  <c r="K15" i="88"/>
  <c r="J61" i="88"/>
  <c r="N61" i="88"/>
  <c r="J33" i="88"/>
  <c r="N33" i="88"/>
  <c r="K26" i="88"/>
  <c r="J28" i="88"/>
  <c r="N28" i="88"/>
  <c r="N37" i="88"/>
  <c r="J37" i="88"/>
  <c r="K42" i="88"/>
  <c r="J17" i="88"/>
  <c r="N17" i="88"/>
  <c r="J72" i="88"/>
  <c r="N72" i="88"/>
  <c r="K59" i="88"/>
  <c r="K53" i="88"/>
  <c r="J36" i="88"/>
  <c r="N36" i="88"/>
  <c r="N77" i="88"/>
  <c r="J77" i="88"/>
  <c r="K46" i="88"/>
  <c r="K75" i="88"/>
  <c r="J27" i="88"/>
  <c r="N27" i="88"/>
  <c r="J49" i="88"/>
  <c r="N49" i="88"/>
  <c r="J70" i="88"/>
  <c r="N70" i="88"/>
  <c r="J20" i="88"/>
  <c r="N20" i="88"/>
  <c r="N63" i="88"/>
  <c r="J63" i="88"/>
  <c r="J65" i="88"/>
  <c r="N65" i="88"/>
  <c r="K28" i="88"/>
  <c r="K23" i="88"/>
  <c r="N39" i="88"/>
  <c r="J39" i="88"/>
  <c r="N44" i="88"/>
  <c r="J44" i="88"/>
  <c r="J78" i="88"/>
  <c r="N78" i="88"/>
  <c r="K37" i="88"/>
  <c r="J45" i="88"/>
  <c r="N45" i="88"/>
  <c r="J40" i="88"/>
  <c r="N40" i="88"/>
  <c r="N4266" i="3"/>
  <c r="L4266" i="3"/>
  <c r="D4266" i="3"/>
  <c r="N4254" i="3"/>
  <c r="L4254" i="3"/>
  <c r="D4254" i="3"/>
  <c r="A1258" i="3"/>
  <c r="W1258" i="3" s="1"/>
  <c r="D1258" i="3"/>
  <c r="N1258" i="3"/>
  <c r="A6154" i="3"/>
  <c r="A6155" i="3"/>
  <c r="A6156" i="3"/>
  <c r="A6157" i="3"/>
  <c r="A6158" i="3"/>
  <c r="U6155" i="3"/>
  <c r="D6155" i="3"/>
  <c r="A6143" i="3"/>
  <c r="A6144" i="3"/>
  <c r="A6145" i="3"/>
  <c r="A6146" i="3"/>
  <c r="A6147" i="3"/>
  <c r="U6144" i="3"/>
  <c r="D6144" i="3"/>
  <c r="A6133" i="3"/>
  <c r="A6134" i="3"/>
  <c r="A6135" i="3"/>
  <c r="A6136" i="3"/>
  <c r="U6133" i="3"/>
  <c r="D6133" i="3"/>
  <c r="N4276" i="3"/>
  <c r="D4276" i="3"/>
  <c r="N4275" i="3"/>
  <c r="D4275" i="3"/>
  <c r="N4259" i="3"/>
  <c r="D4259" i="3"/>
  <c r="N4258" i="3"/>
  <c r="D4258" i="3"/>
  <c r="N4242" i="3"/>
  <c r="D4242" i="3"/>
  <c r="N4241" i="3"/>
  <c r="D4241" i="3"/>
  <c r="N3879" i="3"/>
  <c r="D3879" i="3"/>
  <c r="N3878" i="3"/>
  <c r="D3878" i="3"/>
  <c r="U6013" i="3"/>
  <c r="U6014" i="3"/>
  <c r="U6015" i="3"/>
  <c r="U6016" i="3"/>
  <c r="U6017" i="3"/>
  <c r="U6029" i="3"/>
  <c r="U6030" i="3"/>
  <c r="U6031" i="3"/>
  <c r="U6032" i="3"/>
  <c r="U6033" i="3"/>
  <c r="U6034" i="3"/>
  <c r="U6035" i="3"/>
  <c r="U6036" i="3"/>
  <c r="U6037" i="3"/>
  <c r="U6038" i="3"/>
  <c r="U6039" i="3"/>
  <c r="U6040" i="3"/>
  <c r="U6041" i="3"/>
  <c r="U6042" i="3"/>
  <c r="U6043" i="3"/>
  <c r="U6010" i="3"/>
  <c r="U6011" i="3"/>
  <c r="D6010" i="3"/>
  <c r="D6011" i="3"/>
  <c r="D6012" i="3"/>
  <c r="D6013" i="3"/>
  <c r="D6014" i="3"/>
  <c r="D6015" i="3"/>
  <c r="D6016" i="3"/>
  <c r="D6017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4" i="3"/>
  <c r="D6135" i="3"/>
  <c r="D6136" i="3"/>
  <c r="D6137" i="3"/>
  <c r="D6138" i="3"/>
  <c r="D6139" i="3"/>
  <c r="D6140" i="3"/>
  <c r="D6141" i="3"/>
  <c r="D6142" i="3"/>
  <c r="D6143" i="3"/>
  <c r="D6145" i="3"/>
  <c r="D6146" i="3"/>
  <c r="D6147" i="3"/>
  <c r="D6148" i="3"/>
  <c r="D6149" i="3"/>
  <c r="D6150" i="3"/>
  <c r="D6151" i="3"/>
  <c r="D6152" i="3"/>
  <c r="D6153" i="3"/>
  <c r="D6154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A6010" i="3"/>
  <c r="A6011" i="3"/>
  <c r="A6012" i="3"/>
  <c r="A6013" i="3"/>
  <c r="A6014" i="3"/>
  <c r="A6015" i="3"/>
  <c r="A6016" i="3"/>
  <c r="A6017" i="3"/>
  <c r="A6030" i="3"/>
  <c r="A6031" i="3"/>
  <c r="A6032" i="3"/>
  <c r="A6033" i="3"/>
  <c r="A6034" i="3"/>
  <c r="A6035" i="3"/>
  <c r="A6036" i="3"/>
  <c r="A6037" i="3"/>
  <c r="A6038" i="3"/>
  <c r="A6039" i="3"/>
  <c r="A6041" i="3"/>
  <c r="A6042" i="3"/>
  <c r="A6043" i="3"/>
  <c r="A6044" i="3"/>
  <c r="A6045" i="3"/>
  <c r="A6046" i="3"/>
  <c r="A6047" i="3"/>
  <c r="A6048" i="3"/>
  <c r="A6049" i="3"/>
  <c r="A6051" i="3"/>
  <c r="A6052" i="3"/>
  <c r="A6053" i="3"/>
  <c r="A6054" i="3"/>
  <c r="A6055" i="3"/>
  <c r="A6056" i="3"/>
  <c r="A6057" i="3"/>
  <c r="A6058" i="3"/>
  <c r="A6059" i="3"/>
  <c r="A6061" i="3"/>
  <c r="A6062" i="3"/>
  <c r="A6063" i="3"/>
  <c r="A6064" i="3"/>
  <c r="A6065" i="3"/>
  <c r="A6066" i="3"/>
  <c r="A6067" i="3"/>
  <c r="A6068" i="3"/>
  <c r="A6069" i="3"/>
  <c r="A6071" i="3"/>
  <c r="A6072" i="3"/>
  <c r="A6073" i="3"/>
  <c r="A6074" i="3"/>
  <c r="A6075" i="3"/>
  <c r="A6076" i="3"/>
  <c r="A6077" i="3"/>
  <c r="A6078" i="3"/>
  <c r="A6079" i="3"/>
  <c r="A6091" i="3"/>
  <c r="A6092" i="3"/>
  <c r="A6093" i="3"/>
  <c r="A6094" i="3"/>
  <c r="A6095" i="3"/>
  <c r="A6096" i="3"/>
  <c r="A6097" i="3"/>
  <c r="A6098" i="3"/>
  <c r="A6099" i="3"/>
  <c r="A6101" i="3"/>
  <c r="A6102" i="3"/>
  <c r="A6103" i="3"/>
  <c r="A6104" i="3"/>
  <c r="A6105" i="3"/>
  <c r="A6106" i="3"/>
  <c r="A6107" i="3"/>
  <c r="A6108" i="3"/>
  <c r="A6109" i="3"/>
  <c r="A6111" i="3"/>
  <c r="A6112" i="3"/>
  <c r="A6113" i="3"/>
  <c r="A6114" i="3"/>
  <c r="A6115" i="3"/>
  <c r="A6116" i="3"/>
  <c r="A6117" i="3"/>
  <c r="A6118" i="3"/>
  <c r="A6119" i="3"/>
  <c r="A6121" i="3"/>
  <c r="A6122" i="3"/>
  <c r="A6123" i="3"/>
  <c r="A6124" i="3"/>
  <c r="A6125" i="3"/>
  <c r="A6126" i="3"/>
  <c r="A6127" i="3"/>
  <c r="A6128" i="3"/>
  <c r="A6129" i="3"/>
  <c r="A6131" i="3"/>
  <c r="A6132" i="3"/>
  <c r="A6137" i="3"/>
  <c r="A6138" i="3"/>
  <c r="A6139" i="3"/>
  <c r="A6140" i="3"/>
  <c r="A6142" i="3"/>
  <c r="A6148" i="3"/>
  <c r="A6149" i="3"/>
  <c r="A6150" i="3"/>
  <c r="A6151" i="3"/>
  <c r="A6153" i="3"/>
  <c r="A6159" i="3"/>
  <c r="A6160" i="3"/>
  <c r="A6161" i="3"/>
  <c r="A6162" i="3"/>
  <c r="A6164" i="3"/>
  <c r="A6165" i="3"/>
  <c r="A6166" i="3"/>
  <c r="A6167" i="3"/>
  <c r="A6168" i="3"/>
  <c r="A6169" i="3"/>
  <c r="A6170" i="3"/>
  <c r="A6171" i="3"/>
  <c r="A6172" i="3"/>
  <c r="A6174" i="3"/>
  <c r="A6175" i="3"/>
  <c r="A6176" i="3"/>
  <c r="A6177" i="3"/>
  <c r="A6178" i="3"/>
  <c r="A6179" i="3"/>
  <c r="A6180" i="3"/>
  <c r="A6181" i="3"/>
  <c r="A6182" i="3"/>
  <c r="A6184" i="3"/>
  <c r="A6185" i="3"/>
  <c r="A6186" i="3"/>
  <c r="A6187" i="3"/>
  <c r="A6188" i="3"/>
  <c r="A6189" i="3"/>
  <c r="A6190" i="3"/>
  <c r="A6191" i="3"/>
  <c r="A6192" i="3"/>
  <c r="A6194" i="3"/>
  <c r="A6195" i="3"/>
  <c r="A6196" i="3"/>
  <c r="A6197" i="3"/>
  <c r="A6198" i="3"/>
  <c r="A6199" i="3"/>
  <c r="A6200" i="3"/>
  <c r="A6201" i="3"/>
  <c r="A6202" i="3"/>
  <c r="A6204" i="3"/>
  <c r="A6205" i="3"/>
  <c r="A6206" i="3"/>
  <c r="A6207" i="3"/>
  <c r="A6208" i="3"/>
  <c r="A6209" i="3"/>
  <c r="A6210" i="3"/>
  <c r="A6211" i="3"/>
  <c r="A6213" i="3"/>
  <c r="A6214" i="3"/>
  <c r="A6215" i="3"/>
  <c r="A6216" i="3"/>
  <c r="A6217" i="3"/>
  <c r="A6218" i="3"/>
  <c r="A6219" i="3"/>
  <c r="U3878" i="3" l="1"/>
  <c r="X3878" i="3"/>
  <c r="U3879" i="3"/>
  <c r="X3879" i="3"/>
  <c r="U4241" i="3"/>
  <c r="X4241" i="3"/>
  <c r="U4242" i="3"/>
  <c r="X4242" i="3"/>
  <c r="U4258" i="3"/>
  <c r="X4258" i="3"/>
  <c r="U4259" i="3"/>
  <c r="X4259" i="3"/>
  <c r="U4275" i="3"/>
  <c r="X4275" i="3"/>
  <c r="U4276" i="3"/>
  <c r="X4276" i="3"/>
  <c r="U4254" i="3"/>
  <c r="X4254" i="3"/>
  <c r="U4266" i="3"/>
  <c r="X4266" i="3"/>
  <c r="D3837" i="3"/>
  <c r="N3837" i="3"/>
  <c r="D3838" i="3"/>
  <c r="N3838" i="3"/>
  <c r="U3838" i="3" l="1"/>
  <c r="X3838" i="3"/>
  <c r="U3837" i="3"/>
  <c r="X3837" i="3"/>
  <c r="L6217" i="3"/>
  <c r="L6212" i="3"/>
  <c r="L6208" i="3"/>
  <c r="L6203" i="3"/>
  <c r="L6199" i="3"/>
  <c r="L6193" i="3"/>
  <c r="L6189" i="3"/>
  <c r="L6183" i="3"/>
  <c r="L6179" i="3"/>
  <c r="L6173" i="3"/>
  <c r="L6169" i="3"/>
  <c r="L6163" i="3"/>
  <c r="L6159" i="3"/>
  <c r="L6152" i="3"/>
  <c r="L6148" i="3"/>
  <c r="L6141" i="3"/>
  <c r="L6137" i="3"/>
  <c r="L6130" i="3"/>
  <c r="L6126" i="3"/>
  <c r="L6120" i="3"/>
  <c r="L6116" i="3"/>
  <c r="L6110" i="3"/>
  <c r="L6106" i="3"/>
  <c r="L6100" i="3"/>
  <c r="L6096" i="3"/>
  <c r="L6090" i="3"/>
  <c r="L6076" i="3"/>
  <c r="L6070" i="3"/>
  <c r="L6066" i="3"/>
  <c r="L6060" i="3"/>
  <c r="L6056" i="3"/>
  <c r="L6050" i="3"/>
  <c r="L6046" i="3"/>
  <c r="L6040" i="3"/>
  <c r="L6036" i="3"/>
  <c r="L6029" i="3"/>
  <c r="L6014" i="3"/>
  <c r="L6007" i="3"/>
  <c r="L6003" i="3"/>
  <c r="L5997" i="3"/>
  <c r="L5993" i="3"/>
  <c r="L5987" i="3"/>
  <c r="L5983" i="3"/>
  <c r="L5977" i="3"/>
  <c r="L5973" i="3"/>
  <c r="L5967" i="3"/>
  <c r="L5963" i="3"/>
  <c r="L5957" i="3"/>
  <c r="L5953" i="3"/>
  <c r="L5947" i="3"/>
  <c r="L5943" i="3"/>
  <c r="L5937" i="3"/>
  <c r="L5933" i="3"/>
  <c r="L5927" i="3"/>
  <c r="L5923" i="3"/>
  <c r="L5917" i="3"/>
  <c r="L5913" i="3"/>
  <c r="L5907" i="3"/>
  <c r="L5903" i="3"/>
  <c r="L5897" i="3"/>
  <c r="L5893" i="3"/>
  <c r="L5887" i="3"/>
  <c r="L5883" i="3"/>
  <c r="L5877" i="3"/>
  <c r="L5873" i="3"/>
  <c r="L5867" i="3"/>
  <c r="L5843" i="3"/>
  <c r="L5837" i="3"/>
  <c r="L5833" i="3"/>
  <c r="L5827" i="3"/>
  <c r="L5823" i="3"/>
  <c r="L5817" i="3"/>
  <c r="L5813" i="3"/>
  <c r="L5807" i="3"/>
  <c r="L5260" i="3"/>
  <c r="L5254" i="3"/>
  <c r="L5245" i="3"/>
  <c r="L5239" i="3"/>
  <c r="L5188" i="3"/>
  <c r="L5182" i="3"/>
  <c r="L5129" i="3"/>
  <c r="L5123" i="3"/>
  <c r="L5110" i="3"/>
  <c r="L5104" i="3"/>
  <c r="L5091" i="3"/>
  <c r="L5085" i="3"/>
  <c r="L5072" i="3"/>
  <c r="L5066" i="3"/>
  <c r="L5053" i="3"/>
  <c r="L5047" i="3"/>
  <c r="L5034" i="3"/>
  <c r="L5028" i="3"/>
  <c r="L5015" i="3"/>
  <c r="L5010" i="3"/>
  <c r="L4933" i="3"/>
  <c r="L4928" i="3"/>
  <c r="L4906" i="3"/>
  <c r="L4901" i="3"/>
  <c r="L4897" i="3"/>
  <c r="L4892" i="3"/>
  <c r="L4888" i="3"/>
  <c r="L4883" i="3"/>
  <c r="L4879" i="3"/>
  <c r="L4874" i="3"/>
  <c r="L4870" i="3"/>
  <c r="L4865" i="3"/>
  <c r="L4861" i="3"/>
  <c r="L4855" i="3"/>
  <c r="L4848" i="3"/>
  <c r="L4842" i="3"/>
  <c r="L4835" i="3"/>
  <c r="L4829" i="3"/>
  <c r="L4822" i="3"/>
  <c r="L4816" i="3"/>
  <c r="L4809" i="3"/>
  <c r="L4803" i="3"/>
  <c r="L4790" i="3"/>
  <c r="L4784" i="3"/>
  <c r="L4771" i="3"/>
  <c r="L4765" i="3"/>
  <c r="L4752" i="3"/>
  <c r="L4746" i="3" l="1"/>
  <c r="A1653" i="3" l="1"/>
  <c r="D1653" i="3"/>
  <c r="N1653" i="3"/>
  <c r="L4659" i="3"/>
  <c r="L4698" i="3"/>
  <c r="L4695" i="3"/>
  <c r="L4693" i="3"/>
  <c r="L4690" i="3"/>
  <c r="L4692" i="3"/>
  <c r="L4688" i="3"/>
  <c r="U1653" i="3" l="1"/>
  <c r="X1653" i="3"/>
  <c r="A770" i="3"/>
  <c r="A771" i="3"/>
  <c r="A772" i="3"/>
  <c r="W772" i="3" s="1"/>
  <c r="A773" i="3"/>
  <c r="A774" i="3"/>
  <c r="A775" i="3"/>
  <c r="A776" i="3"/>
  <c r="A777" i="3"/>
  <c r="N772" i="3"/>
  <c r="D772" i="3"/>
  <c r="A751" i="3"/>
  <c r="A752" i="3"/>
  <c r="A753" i="3"/>
  <c r="W753" i="3" s="1"/>
  <c r="A754" i="3"/>
  <c r="A755" i="3"/>
  <c r="A756" i="3"/>
  <c r="A757" i="3"/>
  <c r="A758" i="3"/>
  <c r="N753" i="3"/>
  <c r="D753" i="3"/>
  <c r="L32" i="3" l="1"/>
  <c r="L31" i="3"/>
  <c r="N35" i="3"/>
  <c r="U35" i="3" s="1"/>
  <c r="D35" i="3"/>
  <c r="A35" i="3"/>
  <c r="N34" i="3"/>
  <c r="D34" i="3"/>
  <c r="A34" i="3"/>
  <c r="N33" i="3"/>
  <c r="D33" i="3"/>
  <c r="A30" i="3"/>
  <c r="D30" i="3"/>
  <c r="N30" i="3"/>
  <c r="U30" i="3" s="1"/>
  <c r="N28" i="3"/>
  <c r="D28" i="3"/>
  <c r="L3810" i="3" l="1"/>
  <c r="L3811" i="3"/>
  <c r="L3812" i="3"/>
  <c r="L3813" i="3"/>
  <c r="L3818" i="3"/>
  <c r="L3819" i="3"/>
  <c r="L3820" i="3"/>
  <c r="L3821" i="3"/>
  <c r="L3822" i="3"/>
  <c r="L3825" i="3"/>
  <c r="L3826" i="3"/>
  <c r="L3827" i="3"/>
  <c r="L3828" i="3"/>
  <c r="L3829" i="3"/>
  <c r="L3830" i="3"/>
  <c r="L3831" i="3"/>
  <c r="L3832" i="3"/>
  <c r="L3833" i="3"/>
  <c r="L3834" i="3"/>
  <c r="L3835" i="3"/>
  <c r="L3836" i="3"/>
  <c r="L3860" i="3"/>
  <c r="L3862" i="3"/>
  <c r="L3863" i="3"/>
  <c r="L3864" i="3"/>
  <c r="L3871" i="3"/>
  <c r="L3872" i="3"/>
  <c r="L3874" i="3"/>
  <c r="L3875" i="3"/>
  <c r="L3876" i="3"/>
  <c r="L3877" i="3"/>
  <c r="L4025" i="3"/>
  <c r="L4026" i="3"/>
  <c r="L4027" i="3"/>
  <c r="L4028" i="3"/>
  <c r="L4029" i="3"/>
  <c r="L4030" i="3"/>
  <c r="L4031" i="3"/>
  <c r="L4032" i="3"/>
  <c r="L4033" i="3"/>
  <c r="L4034" i="3"/>
  <c r="L4035" i="3"/>
  <c r="L4036" i="3"/>
  <c r="L4037" i="3"/>
  <c r="L4038" i="3"/>
  <c r="L4039" i="3"/>
  <c r="L4042" i="3"/>
  <c r="L4043" i="3"/>
  <c r="L4044" i="3"/>
  <c r="L4045" i="3"/>
  <c r="L4046" i="3"/>
  <c r="L4047" i="3"/>
  <c r="L4048" i="3"/>
  <c r="L4051" i="3"/>
  <c r="L4052" i="3"/>
  <c r="L4053" i="3"/>
  <c r="L4054" i="3"/>
  <c r="L4055" i="3"/>
  <c r="L4056" i="3"/>
  <c r="L4057" i="3"/>
  <c r="L4060" i="3"/>
  <c r="L4061" i="3"/>
  <c r="L4062" i="3"/>
  <c r="L4063" i="3"/>
  <c r="L4064" i="3"/>
  <c r="L4065" i="3"/>
  <c r="L4067" i="3"/>
  <c r="L4068" i="3"/>
  <c r="L4069" i="3"/>
  <c r="L4070" i="3"/>
  <c r="L4071" i="3"/>
  <c r="L4072" i="3"/>
  <c r="L4073" i="3"/>
  <c r="L4074" i="3"/>
  <c r="L4075" i="3"/>
  <c r="L4078" i="3"/>
  <c r="L4218" i="3"/>
  <c r="L4219" i="3"/>
  <c r="L4220" i="3"/>
  <c r="L4221" i="3"/>
  <c r="L4222" i="3"/>
  <c r="L4224" i="3"/>
  <c r="L4225" i="3"/>
  <c r="L4226" i="3"/>
  <c r="L4227" i="3"/>
  <c r="L4228" i="3"/>
  <c r="L4229" i="3"/>
  <c r="L4230" i="3"/>
  <c r="L4231" i="3"/>
  <c r="L4232" i="3"/>
  <c r="L4233" i="3"/>
  <c r="L4234" i="3"/>
  <c r="L4235" i="3"/>
  <c r="L4236" i="3"/>
  <c r="L4237" i="3"/>
  <c r="L4238" i="3"/>
  <c r="L4239" i="3"/>
  <c r="L4240" i="3"/>
  <c r="L4243" i="3"/>
  <c r="L4244" i="3"/>
  <c r="L4245" i="3"/>
  <c r="L4246" i="3"/>
  <c r="L4247" i="3"/>
  <c r="L4248" i="3"/>
  <c r="L4249" i="3"/>
  <c r="L4250" i="3"/>
  <c r="L4251" i="3"/>
  <c r="L4252" i="3"/>
  <c r="L4253" i="3"/>
  <c r="L4255" i="3"/>
  <c r="L4256" i="3"/>
  <c r="L4257" i="3"/>
  <c r="L4260" i="3"/>
  <c r="L4261" i="3"/>
  <c r="L4262" i="3"/>
  <c r="L4263" i="3"/>
  <c r="L4264" i="3"/>
  <c r="L4265" i="3"/>
  <c r="L4268" i="3"/>
  <c r="L4269" i="3"/>
  <c r="L4270" i="3"/>
  <c r="L4271" i="3"/>
  <c r="L4272" i="3"/>
  <c r="L4273" i="3"/>
  <c r="L4274" i="3"/>
  <c r="L4277" i="3"/>
  <c r="L4278" i="3"/>
  <c r="L4279" i="3"/>
  <c r="L4280" i="3"/>
  <c r="L4282" i="3"/>
  <c r="L4283" i="3"/>
  <c r="L4284" i="3"/>
  <c r="L4285" i="3"/>
  <c r="L4287" i="3"/>
  <c r="L4288" i="3"/>
  <c r="L4289" i="3"/>
  <c r="L4290" i="3"/>
  <c r="L4291" i="3"/>
  <c r="L4292" i="3"/>
  <c r="L4293" i="3"/>
  <c r="L4294" i="3"/>
  <c r="L4295" i="3"/>
  <c r="L4296" i="3"/>
  <c r="L4299" i="3"/>
  <c r="L4300" i="3"/>
  <c r="L4301" i="3"/>
  <c r="L4302" i="3"/>
  <c r="L4303" i="3"/>
  <c r="L4304" i="3"/>
  <c r="L4305" i="3"/>
  <c r="L4306" i="3"/>
  <c r="L4307" i="3"/>
  <c r="L4310" i="3"/>
  <c r="L4311" i="3"/>
  <c r="L4312" i="3"/>
  <c r="L4313" i="3"/>
  <c r="L4314" i="3"/>
  <c r="L4315" i="3"/>
  <c r="L4316" i="3"/>
  <c r="L4317" i="3"/>
  <c r="L4318" i="3"/>
  <c r="L3814" i="3"/>
  <c r="L3815" i="3"/>
  <c r="L3823" i="3"/>
  <c r="L3824" i="3"/>
  <c r="L3861" i="3"/>
  <c r="L3873" i="3"/>
  <c r="L4049" i="3"/>
  <c r="L4050" i="3"/>
  <c r="L4066" i="3"/>
  <c r="L4223" i="3"/>
  <c r="L4267" i="3"/>
  <c r="L4281" i="3"/>
  <c r="L3809" i="3"/>
  <c r="A1963" i="3" l="1"/>
  <c r="A1968" i="3"/>
  <c r="A1969" i="3"/>
  <c r="A1970" i="3"/>
  <c r="A1971" i="3"/>
  <c r="A1972" i="3"/>
  <c r="A1973" i="3"/>
  <c r="A1974" i="3"/>
  <c r="A1975" i="3"/>
  <c r="A1976" i="3"/>
  <c r="A1977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5" i="3"/>
  <c r="A1996" i="3"/>
  <c r="A2000" i="3"/>
  <c r="A2001" i="3"/>
  <c r="N1963" i="3"/>
  <c r="D1963" i="3"/>
  <c r="N1962" i="3"/>
  <c r="D1962" i="3"/>
  <c r="A1962" i="3"/>
  <c r="N1961" i="3"/>
  <c r="D1961" i="3"/>
  <c r="A1961" i="3"/>
  <c r="N1960" i="3"/>
  <c r="D1960" i="3"/>
  <c r="A1960" i="3"/>
  <c r="N1953" i="3"/>
  <c r="D1953" i="3"/>
  <c r="A1953" i="3"/>
  <c r="N1952" i="3"/>
  <c r="D1952" i="3"/>
  <c r="A1952" i="3"/>
  <c r="N1951" i="3"/>
  <c r="D1951" i="3"/>
  <c r="A1951" i="3"/>
  <c r="N1950" i="3"/>
  <c r="D1950" i="3"/>
  <c r="A1950" i="3"/>
  <c r="N1949" i="3"/>
  <c r="D1949" i="3"/>
  <c r="A1949" i="3"/>
  <c r="N1948" i="3"/>
  <c r="D1948" i="3"/>
  <c r="A1948" i="3"/>
  <c r="N1947" i="3"/>
  <c r="D1947" i="3"/>
  <c r="A1947" i="3"/>
  <c r="N1946" i="3"/>
  <c r="D1946" i="3"/>
  <c r="A1946" i="3"/>
  <c r="N1945" i="3"/>
  <c r="D1945" i="3"/>
  <c r="A1945" i="3"/>
  <c r="N1944" i="3"/>
  <c r="D1944" i="3"/>
  <c r="A1944" i="3"/>
  <c r="N1943" i="3"/>
  <c r="D1943" i="3"/>
  <c r="A1943" i="3"/>
  <c r="N1942" i="3"/>
  <c r="D1942" i="3"/>
  <c r="A1942" i="3"/>
  <c r="N1941" i="3"/>
  <c r="D1941" i="3"/>
  <c r="A1941" i="3"/>
  <c r="N1939" i="3"/>
  <c r="D1939" i="3"/>
  <c r="A1939" i="3"/>
  <c r="N1938" i="3"/>
  <c r="D1938" i="3"/>
  <c r="A1938" i="3"/>
  <c r="N1937" i="3"/>
  <c r="D1937" i="3"/>
  <c r="N1935" i="3"/>
  <c r="D1935" i="3"/>
  <c r="A1935" i="3"/>
  <c r="N1934" i="3"/>
  <c r="D1934" i="3"/>
  <c r="A1934" i="3"/>
  <c r="N1933" i="3"/>
  <c r="D1933" i="3"/>
  <c r="A1933" i="3"/>
  <c r="N1932" i="3"/>
  <c r="D1932" i="3"/>
  <c r="A1932" i="3"/>
  <c r="N1925" i="3"/>
  <c r="D1925" i="3"/>
  <c r="A1925" i="3"/>
  <c r="N1924" i="3"/>
  <c r="D1924" i="3"/>
  <c r="A1924" i="3"/>
  <c r="N1923" i="3"/>
  <c r="D1923" i="3"/>
  <c r="A1923" i="3"/>
  <c r="N1922" i="3"/>
  <c r="D1922" i="3"/>
  <c r="A1922" i="3"/>
  <c r="N1921" i="3"/>
  <c r="D1921" i="3"/>
  <c r="A1921" i="3"/>
  <c r="N1920" i="3"/>
  <c r="D1920" i="3"/>
  <c r="A1920" i="3"/>
  <c r="N1919" i="3"/>
  <c r="D1919" i="3"/>
  <c r="A1919" i="3"/>
  <c r="N1917" i="3"/>
  <c r="D1917" i="3"/>
  <c r="A1917" i="3"/>
  <c r="N1916" i="3"/>
  <c r="D1916" i="3"/>
  <c r="A1916" i="3"/>
  <c r="N1915" i="3"/>
  <c r="D1915" i="3"/>
  <c r="N1913" i="3"/>
  <c r="D1913" i="3"/>
  <c r="A1913" i="3"/>
  <c r="N1912" i="3"/>
  <c r="D1912" i="3"/>
  <c r="A1912" i="3"/>
  <c r="N1911" i="3"/>
  <c r="D1911" i="3"/>
  <c r="A1911" i="3"/>
  <c r="N1910" i="3"/>
  <c r="D1910" i="3"/>
  <c r="A1910" i="3"/>
  <c r="N1903" i="3"/>
  <c r="D1903" i="3"/>
  <c r="A1903" i="3"/>
  <c r="N1902" i="3"/>
  <c r="D1902" i="3"/>
  <c r="A1902" i="3"/>
  <c r="N1901" i="3"/>
  <c r="D1901" i="3"/>
  <c r="A1901" i="3"/>
  <c r="N1900" i="3"/>
  <c r="D1900" i="3"/>
  <c r="A1900" i="3"/>
  <c r="N1899" i="3"/>
  <c r="D1899" i="3"/>
  <c r="A1899" i="3"/>
  <c r="N1898" i="3"/>
  <c r="D1898" i="3"/>
  <c r="A1898" i="3"/>
  <c r="N1897" i="3"/>
  <c r="D1897" i="3"/>
  <c r="A1897" i="3"/>
  <c r="N1896" i="3"/>
  <c r="D1896" i="3"/>
  <c r="A1896" i="3"/>
  <c r="N1895" i="3"/>
  <c r="D1895" i="3"/>
  <c r="A1895" i="3"/>
  <c r="N1894" i="3"/>
  <c r="D1894" i="3"/>
  <c r="A1894" i="3"/>
  <c r="N1892" i="3"/>
  <c r="D1892" i="3"/>
  <c r="A1892" i="3"/>
  <c r="N1891" i="3"/>
  <c r="D1891" i="3"/>
  <c r="A1891" i="3"/>
  <c r="N1890" i="3"/>
  <c r="D1890" i="3"/>
  <c r="N1888" i="3"/>
  <c r="D1888" i="3"/>
  <c r="A1888" i="3"/>
  <c r="N1887" i="3"/>
  <c r="D1887" i="3"/>
  <c r="A1887" i="3"/>
  <c r="N1886" i="3"/>
  <c r="D1886" i="3"/>
  <c r="A1886" i="3"/>
  <c r="N1885" i="3"/>
  <c r="D1885" i="3"/>
  <c r="A1885" i="3"/>
  <c r="N1878" i="3"/>
  <c r="D1878" i="3"/>
  <c r="A1878" i="3"/>
  <c r="N1877" i="3"/>
  <c r="D1877" i="3"/>
  <c r="A1877" i="3"/>
  <c r="N1876" i="3"/>
  <c r="D1876" i="3"/>
  <c r="A1876" i="3"/>
  <c r="N1875" i="3"/>
  <c r="D1875" i="3"/>
  <c r="A1875" i="3"/>
  <c r="N1874" i="3"/>
  <c r="D1874" i="3"/>
  <c r="A1874" i="3"/>
  <c r="N1873" i="3"/>
  <c r="D1873" i="3"/>
  <c r="A1873" i="3"/>
  <c r="N1870" i="3"/>
  <c r="D1870" i="3"/>
  <c r="A1870" i="3"/>
  <c r="N1869" i="3"/>
  <c r="D1869" i="3"/>
  <c r="A1869" i="3"/>
  <c r="N1868" i="3"/>
  <c r="D1868" i="3"/>
  <c r="N1207" i="3"/>
  <c r="D1207" i="3"/>
  <c r="A1207" i="3"/>
  <c r="W1207" i="3" s="1"/>
  <c r="N1206" i="3"/>
  <c r="D1206" i="3"/>
  <c r="A1206" i="3"/>
  <c r="W1206" i="3" s="1"/>
  <c r="N1205" i="3"/>
  <c r="D1205" i="3"/>
  <c r="A1205" i="3"/>
  <c r="W1205" i="3" s="1"/>
  <c r="N1204" i="3"/>
  <c r="D1204" i="3"/>
  <c r="A1204" i="3"/>
  <c r="W1204" i="3" s="1"/>
  <c r="N1203" i="3"/>
  <c r="D1203" i="3"/>
  <c r="A1203" i="3"/>
  <c r="W1203" i="3" s="1"/>
  <c r="N1202" i="3"/>
  <c r="D1202" i="3"/>
  <c r="A1202" i="3"/>
  <c r="W1202" i="3" s="1"/>
  <c r="N1201" i="3"/>
  <c r="D1201" i="3"/>
  <c r="A1201" i="3"/>
  <c r="W1201" i="3" s="1"/>
  <c r="N1200" i="3"/>
  <c r="D1200" i="3"/>
  <c r="A1200" i="3"/>
  <c r="W1200" i="3" s="1"/>
  <c r="N1199" i="3"/>
  <c r="D1199" i="3"/>
  <c r="A1199" i="3"/>
  <c r="W1199" i="3" s="1"/>
  <c r="N1198" i="3"/>
  <c r="D1198" i="3"/>
  <c r="A1198" i="3"/>
  <c r="W1198" i="3" s="1"/>
  <c r="N1197" i="3"/>
  <c r="D1197" i="3"/>
  <c r="A1197" i="3"/>
  <c r="W1197" i="3" s="1"/>
  <c r="N1196" i="3"/>
  <c r="D1196" i="3"/>
  <c r="A1196" i="3"/>
  <c r="W1196" i="3" s="1"/>
  <c r="N1195" i="3"/>
  <c r="D1195" i="3"/>
  <c r="A1195" i="3"/>
  <c r="W1195" i="3" s="1"/>
  <c r="N1194" i="3"/>
  <c r="D1194" i="3"/>
  <c r="A1194" i="3"/>
  <c r="W1194" i="3" s="1"/>
  <c r="N1193" i="3"/>
  <c r="D1193" i="3"/>
  <c r="A1193" i="3"/>
  <c r="W1193" i="3" s="1"/>
  <c r="N1192" i="3"/>
  <c r="D1192" i="3"/>
  <c r="A1192" i="3"/>
  <c r="W1192" i="3" s="1"/>
  <c r="N1191" i="3"/>
  <c r="D1191" i="3"/>
  <c r="N1190" i="3"/>
  <c r="D1190" i="3"/>
  <c r="A1190" i="3"/>
  <c r="W1190" i="3" s="1"/>
  <c r="N1189" i="3"/>
  <c r="D1189" i="3"/>
  <c r="A1189" i="3"/>
  <c r="W1189" i="3" s="1"/>
  <c r="N1188" i="3"/>
  <c r="D1188" i="3"/>
  <c r="A1188" i="3"/>
  <c r="W1188" i="3" s="1"/>
  <c r="N1187" i="3"/>
  <c r="D1187" i="3"/>
  <c r="A1187" i="3"/>
  <c r="W1187" i="3" s="1"/>
  <c r="N1186" i="3"/>
  <c r="D1186" i="3"/>
  <c r="A1186" i="3"/>
  <c r="W1186" i="3" s="1"/>
  <c r="N1185" i="3"/>
  <c r="D1185" i="3"/>
  <c r="A1185" i="3"/>
  <c r="W1185" i="3" s="1"/>
  <c r="N1184" i="3"/>
  <c r="D1184" i="3"/>
  <c r="A1184" i="3"/>
  <c r="W1184" i="3" s="1"/>
  <c r="N1183" i="3"/>
  <c r="D1183" i="3"/>
  <c r="A1183" i="3"/>
  <c r="W1183" i="3" s="1"/>
  <c r="N1182" i="3"/>
  <c r="D1182" i="3"/>
  <c r="A1182" i="3"/>
  <c r="W1182" i="3" s="1"/>
  <c r="N1181" i="3"/>
  <c r="D1181" i="3"/>
  <c r="A1181" i="3"/>
  <c r="W1181" i="3" s="1"/>
  <c r="N1180" i="3"/>
  <c r="D1180" i="3"/>
  <c r="A1180" i="3"/>
  <c r="W1180" i="3" s="1"/>
  <c r="N1179" i="3"/>
  <c r="D1179" i="3"/>
  <c r="A1179" i="3"/>
  <c r="W1179" i="3" s="1"/>
  <c r="N1178" i="3"/>
  <c r="D1178" i="3"/>
  <c r="A1178" i="3"/>
  <c r="W1178" i="3" s="1"/>
  <c r="N1177" i="3"/>
  <c r="D1177" i="3"/>
  <c r="A1177" i="3"/>
  <c r="W1177" i="3" s="1"/>
  <c r="N1176" i="3"/>
  <c r="D1176" i="3"/>
  <c r="A1176" i="3"/>
  <c r="W1176" i="3" s="1"/>
  <c r="N1175" i="3"/>
  <c r="D1175" i="3"/>
  <c r="A1175" i="3"/>
  <c r="W1175" i="3" s="1"/>
  <c r="N1174" i="3"/>
  <c r="D1174" i="3"/>
  <c r="N1173" i="3"/>
  <c r="D1173" i="3"/>
  <c r="A1173" i="3"/>
  <c r="W1173" i="3" s="1"/>
  <c r="N1172" i="3"/>
  <c r="D1172" i="3"/>
  <c r="A1172" i="3"/>
  <c r="W1172" i="3" s="1"/>
  <c r="N1171" i="3"/>
  <c r="D1171" i="3"/>
  <c r="A1171" i="3"/>
  <c r="W1171" i="3" s="1"/>
  <c r="N1170" i="3"/>
  <c r="D1170" i="3"/>
  <c r="A1170" i="3"/>
  <c r="W1170" i="3" s="1"/>
  <c r="N1169" i="3"/>
  <c r="D1169" i="3"/>
  <c r="A1169" i="3"/>
  <c r="W1169" i="3" s="1"/>
  <c r="N1168" i="3"/>
  <c r="D1168" i="3"/>
  <c r="A1168" i="3"/>
  <c r="W1168" i="3" s="1"/>
  <c r="N1167" i="3"/>
  <c r="D1167" i="3"/>
  <c r="A1167" i="3"/>
  <c r="W1167" i="3" s="1"/>
  <c r="N1166" i="3"/>
  <c r="D1166" i="3"/>
  <c r="A1166" i="3"/>
  <c r="W1166" i="3" s="1"/>
  <c r="N1165" i="3"/>
  <c r="D1165" i="3"/>
  <c r="A1165" i="3"/>
  <c r="W1165" i="3" s="1"/>
  <c r="N1164" i="3"/>
  <c r="D1164" i="3"/>
  <c r="A1164" i="3"/>
  <c r="W1164" i="3" s="1"/>
  <c r="N1163" i="3"/>
  <c r="D1163" i="3"/>
  <c r="A1163" i="3"/>
  <c r="W1163" i="3" s="1"/>
  <c r="N1162" i="3"/>
  <c r="D1162" i="3"/>
  <c r="A1162" i="3"/>
  <c r="W1162" i="3" s="1"/>
  <c r="N1161" i="3"/>
  <c r="D1161" i="3"/>
  <c r="A1161" i="3"/>
  <c r="W1161" i="3" s="1"/>
  <c r="N1160" i="3"/>
  <c r="D1160" i="3"/>
  <c r="A1160" i="3"/>
  <c r="W1160" i="3" s="1"/>
  <c r="N1159" i="3"/>
  <c r="D1159" i="3"/>
  <c r="A1159" i="3"/>
  <c r="W1159" i="3" s="1"/>
  <c r="N1158" i="3"/>
  <c r="D1158" i="3"/>
  <c r="A1158" i="3"/>
  <c r="W1158" i="3" s="1"/>
  <c r="N1157" i="3"/>
  <c r="D1157" i="3"/>
  <c r="N1156" i="3"/>
  <c r="D1156" i="3"/>
  <c r="A1156" i="3"/>
  <c r="W1156" i="3" s="1"/>
  <c r="N1155" i="3"/>
  <c r="D1155" i="3"/>
  <c r="A1155" i="3"/>
  <c r="W1155" i="3" s="1"/>
  <c r="N1154" i="3"/>
  <c r="D1154" i="3"/>
  <c r="A1154" i="3"/>
  <c r="W1154" i="3" s="1"/>
  <c r="N1153" i="3"/>
  <c r="D1153" i="3"/>
  <c r="A1153" i="3"/>
  <c r="W1153" i="3" s="1"/>
  <c r="N1152" i="3"/>
  <c r="D1152" i="3"/>
  <c r="A1152" i="3"/>
  <c r="W1152" i="3" s="1"/>
  <c r="N1151" i="3"/>
  <c r="D1151" i="3"/>
  <c r="A1151" i="3"/>
  <c r="W1151" i="3" s="1"/>
  <c r="N1150" i="3"/>
  <c r="D1150" i="3"/>
  <c r="A1150" i="3"/>
  <c r="W1150" i="3" s="1"/>
  <c r="N1149" i="3"/>
  <c r="D1149" i="3"/>
  <c r="A1149" i="3"/>
  <c r="W1149" i="3" s="1"/>
  <c r="N1148" i="3"/>
  <c r="D1148" i="3"/>
  <c r="A1148" i="3"/>
  <c r="W1148" i="3" s="1"/>
  <c r="N1147" i="3"/>
  <c r="D1147" i="3"/>
  <c r="A1147" i="3"/>
  <c r="W1147" i="3" s="1"/>
  <c r="N1146" i="3"/>
  <c r="D1146" i="3"/>
  <c r="W1146" i="3"/>
  <c r="N1145" i="3"/>
  <c r="D1145" i="3"/>
  <c r="W1145" i="3"/>
  <c r="N1144" i="3"/>
  <c r="D1144" i="3"/>
  <c r="W1144" i="3"/>
  <c r="N1143" i="3"/>
  <c r="D1143" i="3"/>
  <c r="W1143" i="3"/>
  <c r="N1142" i="3"/>
  <c r="D1142" i="3"/>
  <c r="W1142" i="3"/>
  <c r="N1141" i="3"/>
  <c r="D1141" i="3"/>
  <c r="W1141" i="3"/>
  <c r="N1140" i="3"/>
  <c r="D1140" i="3"/>
  <c r="N342" i="3"/>
  <c r="L342" i="3"/>
  <c r="D342" i="3"/>
  <c r="A342" i="3"/>
  <c r="W342" i="3" s="1"/>
  <c r="N341" i="3"/>
  <c r="L341" i="3"/>
  <c r="D341" i="3"/>
  <c r="A341" i="3"/>
  <c r="W341" i="3" s="1"/>
  <c r="N340" i="3"/>
  <c r="L340" i="3"/>
  <c r="D340" i="3"/>
  <c r="A340" i="3"/>
  <c r="W340" i="3" s="1"/>
  <c r="N339" i="3"/>
  <c r="L339" i="3"/>
  <c r="D339" i="3"/>
  <c r="A339" i="3"/>
  <c r="W339" i="3" s="1"/>
  <c r="N338" i="3"/>
  <c r="L338" i="3"/>
  <c r="D338" i="3"/>
  <c r="A338" i="3"/>
  <c r="W338" i="3" s="1"/>
  <c r="N337" i="3"/>
  <c r="L337" i="3"/>
  <c r="D337" i="3"/>
  <c r="A337" i="3"/>
  <c r="W337" i="3" s="1"/>
  <c r="N336" i="3"/>
  <c r="L336" i="3"/>
  <c r="D336" i="3"/>
  <c r="A336" i="3"/>
  <c r="W336" i="3" s="1"/>
  <c r="N335" i="3"/>
  <c r="L335" i="3"/>
  <c r="D335" i="3"/>
  <c r="A335" i="3"/>
  <c r="W335" i="3" s="1"/>
  <c r="N334" i="3"/>
  <c r="L334" i="3"/>
  <c r="D334" i="3"/>
  <c r="N192" i="3"/>
  <c r="L192" i="3"/>
  <c r="D192" i="3"/>
  <c r="A192" i="3"/>
  <c r="W192" i="3" s="1"/>
  <c r="N191" i="3"/>
  <c r="L191" i="3"/>
  <c r="D191" i="3"/>
  <c r="A191" i="3"/>
  <c r="W191" i="3" s="1"/>
  <c r="N190" i="3"/>
  <c r="L190" i="3"/>
  <c r="D190" i="3"/>
  <c r="A190" i="3"/>
  <c r="W190" i="3" s="1"/>
  <c r="N189" i="3"/>
  <c r="L189" i="3"/>
  <c r="D189" i="3"/>
  <c r="A189" i="3"/>
  <c r="W189" i="3" s="1"/>
  <c r="N188" i="3"/>
  <c r="L188" i="3"/>
  <c r="D188" i="3"/>
  <c r="A188" i="3"/>
  <c r="W188" i="3" s="1"/>
  <c r="N187" i="3"/>
  <c r="L187" i="3"/>
  <c r="D187" i="3"/>
  <c r="A187" i="3"/>
  <c r="W187" i="3" s="1"/>
  <c r="N186" i="3"/>
  <c r="L186" i="3"/>
  <c r="D186" i="3"/>
  <c r="N185" i="3"/>
  <c r="L185" i="3"/>
  <c r="D185" i="3"/>
  <c r="A185" i="3"/>
  <c r="W185" i="3" s="1"/>
  <c r="N184" i="3"/>
  <c r="L184" i="3"/>
  <c r="D184" i="3"/>
  <c r="A184" i="3"/>
  <c r="W184" i="3" s="1"/>
  <c r="N183" i="3"/>
  <c r="L183" i="3"/>
  <c r="D183" i="3"/>
  <c r="A183" i="3"/>
  <c r="W183" i="3" s="1"/>
  <c r="N181" i="3"/>
  <c r="L181" i="3"/>
  <c r="D181" i="3"/>
  <c r="A181" i="3"/>
  <c r="W181" i="3" s="1"/>
  <c r="N180" i="3"/>
  <c r="L180" i="3"/>
  <c r="D180" i="3"/>
  <c r="N179" i="3"/>
  <c r="L179" i="3"/>
  <c r="D179" i="3"/>
  <c r="N163" i="3"/>
  <c r="L163" i="3"/>
  <c r="D163" i="3"/>
  <c r="A163" i="3"/>
  <c r="W163" i="3" s="1"/>
  <c r="N162" i="3"/>
  <c r="L162" i="3"/>
  <c r="D162" i="3"/>
  <c r="A162" i="3"/>
  <c r="W162" i="3" s="1"/>
  <c r="N161" i="3"/>
  <c r="L161" i="3"/>
  <c r="D161" i="3"/>
  <c r="A161" i="3"/>
  <c r="W161" i="3" s="1"/>
  <c r="N160" i="3"/>
  <c r="L160" i="3"/>
  <c r="D160" i="3"/>
  <c r="A160" i="3"/>
  <c r="W160" i="3" s="1"/>
  <c r="N159" i="3"/>
  <c r="L159" i="3"/>
  <c r="D159" i="3"/>
  <c r="A159" i="3"/>
  <c r="W159" i="3" s="1"/>
  <c r="N158" i="3"/>
  <c r="L158" i="3"/>
  <c r="D158" i="3"/>
  <c r="A158" i="3"/>
  <c r="W158" i="3" s="1"/>
  <c r="N157" i="3"/>
  <c r="L157" i="3"/>
  <c r="D157" i="3"/>
  <c r="A157" i="3"/>
  <c r="W157" i="3" s="1"/>
  <c r="N156" i="3"/>
  <c r="L156" i="3"/>
  <c r="D156" i="3"/>
  <c r="A156" i="3"/>
  <c r="W156" i="3" s="1"/>
  <c r="N155" i="3"/>
  <c r="L155" i="3"/>
  <c r="D155" i="3"/>
  <c r="A155" i="3"/>
  <c r="W155" i="3" s="1"/>
  <c r="N154" i="3"/>
  <c r="L154" i="3"/>
  <c r="D154" i="3"/>
  <c r="A154" i="3"/>
  <c r="W154" i="3" s="1"/>
  <c r="N153" i="3"/>
  <c r="L153" i="3"/>
  <c r="D153" i="3"/>
  <c r="A153" i="3"/>
  <c r="W153" i="3" s="1"/>
  <c r="N152" i="3"/>
  <c r="L152" i="3"/>
  <c r="D152" i="3"/>
  <c r="A152" i="3"/>
  <c r="W152" i="3" s="1"/>
  <c r="N151" i="3"/>
  <c r="L151" i="3"/>
  <c r="D151" i="3"/>
  <c r="A151" i="3"/>
  <c r="W151" i="3" s="1"/>
  <c r="N150" i="3"/>
  <c r="L150" i="3"/>
  <c r="D150" i="3"/>
  <c r="N149" i="3"/>
  <c r="L149" i="3"/>
  <c r="D149" i="3"/>
  <c r="A149" i="3"/>
  <c r="W149" i="3" s="1"/>
  <c r="N148" i="3"/>
  <c r="L148" i="3"/>
  <c r="D148" i="3"/>
  <c r="A148" i="3"/>
  <c r="W148" i="3" s="1"/>
  <c r="N147" i="3"/>
  <c r="L147" i="3"/>
  <c r="D147" i="3"/>
  <c r="A147" i="3"/>
  <c r="W147" i="3" s="1"/>
  <c r="N146" i="3"/>
  <c r="L146" i="3"/>
  <c r="D146" i="3"/>
  <c r="A146" i="3"/>
  <c r="W146" i="3" s="1"/>
  <c r="N145" i="3"/>
  <c r="L145" i="3"/>
  <c r="D145" i="3"/>
  <c r="A145" i="3"/>
  <c r="W145" i="3" s="1"/>
  <c r="N144" i="3"/>
  <c r="L144" i="3"/>
  <c r="D144" i="3"/>
  <c r="A144" i="3"/>
  <c r="W144" i="3" s="1"/>
  <c r="N143" i="3"/>
  <c r="L143" i="3"/>
  <c r="D143" i="3"/>
  <c r="A143" i="3"/>
  <c r="W143" i="3" s="1"/>
  <c r="N142" i="3"/>
  <c r="L142" i="3"/>
  <c r="D142" i="3"/>
  <c r="N132" i="3"/>
  <c r="L132" i="3"/>
  <c r="D132" i="3"/>
  <c r="A132" i="3"/>
  <c r="W132" i="3" s="1"/>
  <c r="N131" i="3"/>
  <c r="L131" i="3"/>
  <c r="D131" i="3"/>
  <c r="A131" i="3"/>
  <c r="W131" i="3" s="1"/>
  <c r="N130" i="3"/>
  <c r="L130" i="3"/>
  <c r="D130" i="3"/>
  <c r="A130" i="3"/>
  <c r="W130" i="3" s="1"/>
  <c r="N129" i="3"/>
  <c r="L129" i="3"/>
  <c r="D129" i="3"/>
  <c r="A129" i="3"/>
  <c r="W129" i="3" s="1"/>
  <c r="N128" i="3"/>
  <c r="L128" i="3"/>
  <c r="D128" i="3"/>
  <c r="A128" i="3"/>
  <c r="W128" i="3" s="1"/>
  <c r="N127" i="3"/>
  <c r="L127" i="3"/>
  <c r="D127" i="3"/>
  <c r="A127" i="3"/>
  <c r="W127" i="3" s="1"/>
  <c r="N126" i="3"/>
  <c r="L126" i="3"/>
  <c r="D126" i="3"/>
  <c r="A126" i="3"/>
  <c r="W126" i="3" s="1"/>
  <c r="N125" i="3"/>
  <c r="L125" i="3"/>
  <c r="D125" i="3"/>
  <c r="A125" i="3"/>
  <c r="W125" i="3" s="1"/>
  <c r="N124" i="3"/>
  <c r="L124" i="3"/>
  <c r="D124" i="3"/>
  <c r="N123" i="3"/>
  <c r="L123" i="3"/>
  <c r="D123" i="3"/>
  <c r="A123" i="3"/>
  <c r="W123" i="3" s="1"/>
  <c r="N122" i="3"/>
  <c r="L122" i="3"/>
  <c r="D122" i="3"/>
  <c r="A122" i="3"/>
  <c r="W122" i="3" s="1"/>
  <c r="N121" i="3"/>
  <c r="L121" i="3"/>
  <c r="D121" i="3"/>
  <c r="A121" i="3"/>
  <c r="W121" i="3" s="1"/>
  <c r="N120" i="3"/>
  <c r="L120" i="3"/>
  <c r="D120" i="3"/>
  <c r="A120" i="3"/>
  <c r="W120" i="3" s="1"/>
  <c r="N119" i="3"/>
  <c r="L119" i="3"/>
  <c r="D119" i="3"/>
  <c r="A119" i="3"/>
  <c r="W119" i="3" s="1"/>
  <c r="N118" i="3"/>
  <c r="L118" i="3"/>
  <c r="D118" i="3"/>
  <c r="A118" i="3"/>
  <c r="W118" i="3" s="1"/>
  <c r="N117" i="3"/>
  <c r="L117" i="3"/>
  <c r="D117" i="3"/>
  <c r="A117" i="3"/>
  <c r="W117" i="3" s="1"/>
  <c r="N116" i="3"/>
  <c r="L116" i="3"/>
  <c r="D116" i="3"/>
  <c r="A116" i="3"/>
  <c r="W116" i="3" s="1"/>
  <c r="N115" i="3"/>
  <c r="L115" i="3"/>
  <c r="D115" i="3"/>
  <c r="A115" i="3"/>
  <c r="W115" i="3" s="1"/>
  <c r="N114" i="3"/>
  <c r="L114" i="3"/>
  <c r="D114" i="3"/>
  <c r="A114" i="3"/>
  <c r="W114" i="3" s="1"/>
  <c r="N113" i="3"/>
  <c r="L113" i="3"/>
  <c r="D113" i="3"/>
  <c r="N112" i="3"/>
  <c r="L112" i="3"/>
  <c r="D112" i="3"/>
  <c r="A112" i="3"/>
  <c r="W112" i="3" s="1"/>
  <c r="N111" i="3"/>
  <c r="L111" i="3"/>
  <c r="D111" i="3"/>
  <c r="A111" i="3"/>
  <c r="W111" i="3" s="1"/>
  <c r="N110" i="3"/>
  <c r="L110" i="3"/>
  <c r="D110" i="3"/>
  <c r="A110" i="3"/>
  <c r="W110" i="3" s="1"/>
  <c r="N109" i="3"/>
  <c r="L109" i="3"/>
  <c r="D109" i="3"/>
  <c r="A109" i="3"/>
  <c r="W109" i="3" s="1"/>
  <c r="N108" i="3"/>
  <c r="L108" i="3"/>
  <c r="D108" i="3"/>
  <c r="A108" i="3"/>
  <c r="W108" i="3" s="1"/>
  <c r="N107" i="3"/>
  <c r="L107" i="3"/>
  <c r="D107" i="3"/>
  <c r="A107" i="3"/>
  <c r="W107" i="3" s="1"/>
  <c r="N106" i="3"/>
  <c r="L106" i="3"/>
  <c r="D106" i="3"/>
  <c r="U1868" i="3" l="1"/>
  <c r="X1868" i="3"/>
  <c r="U1869" i="3"/>
  <c r="X1869" i="3"/>
  <c r="U1870" i="3"/>
  <c r="X1870" i="3"/>
  <c r="U1873" i="3"/>
  <c r="X1873" i="3"/>
  <c r="U1874" i="3"/>
  <c r="X1874" i="3"/>
  <c r="U1875" i="3"/>
  <c r="X1875" i="3"/>
  <c r="U1876" i="3"/>
  <c r="X1876" i="3"/>
  <c r="U1877" i="3"/>
  <c r="X1877" i="3"/>
  <c r="U1878" i="3"/>
  <c r="X1878" i="3"/>
  <c r="U1885" i="3"/>
  <c r="X1885" i="3"/>
  <c r="U1886" i="3"/>
  <c r="X1886" i="3"/>
  <c r="U1887" i="3"/>
  <c r="X1887" i="3"/>
  <c r="U1888" i="3"/>
  <c r="X1888" i="3"/>
  <c r="U1890" i="3"/>
  <c r="X1890" i="3"/>
  <c r="U1891" i="3"/>
  <c r="X1891" i="3"/>
  <c r="U1892" i="3"/>
  <c r="X1892" i="3"/>
  <c r="U1894" i="3"/>
  <c r="X1894" i="3"/>
  <c r="U1895" i="3"/>
  <c r="X1895" i="3"/>
  <c r="U1896" i="3"/>
  <c r="X1896" i="3"/>
  <c r="U1897" i="3"/>
  <c r="X1897" i="3"/>
  <c r="U1898" i="3"/>
  <c r="X1898" i="3"/>
  <c r="U1899" i="3"/>
  <c r="X1899" i="3"/>
  <c r="U1900" i="3"/>
  <c r="X1900" i="3"/>
  <c r="U1901" i="3"/>
  <c r="X1901" i="3"/>
  <c r="U1902" i="3"/>
  <c r="X1902" i="3"/>
  <c r="U1903" i="3"/>
  <c r="X1903" i="3"/>
  <c r="U1910" i="3"/>
  <c r="X1910" i="3"/>
  <c r="U1911" i="3"/>
  <c r="X1911" i="3"/>
  <c r="U1912" i="3"/>
  <c r="X1912" i="3"/>
  <c r="U1913" i="3"/>
  <c r="X1913" i="3"/>
  <c r="U1915" i="3"/>
  <c r="X1915" i="3"/>
  <c r="U1916" i="3"/>
  <c r="X1916" i="3"/>
  <c r="U1917" i="3"/>
  <c r="X1917" i="3"/>
  <c r="U1919" i="3"/>
  <c r="X1919" i="3"/>
  <c r="U1920" i="3"/>
  <c r="X1920" i="3"/>
  <c r="U1921" i="3"/>
  <c r="X1921" i="3"/>
  <c r="U1922" i="3"/>
  <c r="X1922" i="3"/>
  <c r="U1923" i="3"/>
  <c r="X1923" i="3"/>
  <c r="U1924" i="3"/>
  <c r="X1924" i="3"/>
  <c r="U1925" i="3"/>
  <c r="X1925" i="3"/>
  <c r="U1932" i="3"/>
  <c r="X1932" i="3"/>
  <c r="U1933" i="3"/>
  <c r="X1933" i="3"/>
  <c r="U1934" i="3"/>
  <c r="X1934" i="3"/>
  <c r="U1935" i="3"/>
  <c r="X1935" i="3"/>
  <c r="U1937" i="3"/>
  <c r="X1937" i="3"/>
  <c r="U1938" i="3"/>
  <c r="X1938" i="3"/>
  <c r="U1939" i="3"/>
  <c r="X1939" i="3"/>
  <c r="U1941" i="3"/>
  <c r="X1941" i="3"/>
  <c r="U1942" i="3"/>
  <c r="X1942" i="3"/>
  <c r="U1943" i="3"/>
  <c r="X1943" i="3"/>
  <c r="U1944" i="3"/>
  <c r="X1944" i="3"/>
  <c r="U1945" i="3"/>
  <c r="X1945" i="3"/>
  <c r="U1946" i="3"/>
  <c r="X1946" i="3"/>
  <c r="U1947" i="3"/>
  <c r="X1947" i="3"/>
  <c r="U1948" i="3"/>
  <c r="X1948" i="3"/>
  <c r="U1949" i="3"/>
  <c r="X1949" i="3"/>
  <c r="U1950" i="3"/>
  <c r="X1950" i="3"/>
  <c r="U1951" i="3"/>
  <c r="X1951" i="3"/>
  <c r="U1952" i="3"/>
  <c r="X1952" i="3"/>
  <c r="U1953" i="3"/>
  <c r="X1953" i="3"/>
  <c r="U1960" i="3"/>
  <c r="X1960" i="3"/>
  <c r="U1961" i="3"/>
  <c r="X1961" i="3"/>
  <c r="U1962" i="3"/>
  <c r="X1962" i="3"/>
  <c r="U1963" i="3"/>
  <c r="X1963" i="3"/>
  <c r="B4682" i="3"/>
  <c r="N4682" i="3"/>
  <c r="U4682" i="3" s="1"/>
  <c r="N2111" i="3"/>
  <c r="D2111" i="3"/>
  <c r="A2111" i="3"/>
  <c r="N2110" i="3"/>
  <c r="D2110" i="3"/>
  <c r="A2110" i="3"/>
  <c r="N2109" i="3"/>
  <c r="D2109" i="3"/>
  <c r="A2109" i="3"/>
  <c r="N2108" i="3"/>
  <c r="D2108" i="3"/>
  <c r="A2108" i="3"/>
  <c r="N2107" i="3"/>
  <c r="D2107" i="3"/>
  <c r="A2107" i="3"/>
  <c r="N2105" i="3"/>
  <c r="D2105" i="3"/>
  <c r="A2105" i="3"/>
  <c r="N2104" i="3"/>
  <c r="D2104" i="3"/>
  <c r="A2104" i="3"/>
  <c r="N2103" i="3"/>
  <c r="D2103" i="3"/>
  <c r="A2103" i="3"/>
  <c r="D2102" i="3"/>
  <c r="A2102" i="3"/>
  <c r="D2101" i="3"/>
  <c r="A2101" i="3"/>
  <c r="D2100" i="3"/>
  <c r="A2100" i="3"/>
  <c r="D2099" i="3"/>
  <c r="A2099" i="3"/>
  <c r="D2098" i="3"/>
  <c r="A2098" i="3"/>
  <c r="D2090" i="3"/>
  <c r="A2090" i="3"/>
  <c r="D2089" i="3"/>
  <c r="N2187" i="3"/>
  <c r="D2187" i="3"/>
  <c r="A2187" i="3"/>
  <c r="N2186" i="3"/>
  <c r="D2186" i="3"/>
  <c r="A2186" i="3"/>
  <c r="N2185" i="3"/>
  <c r="D2185" i="3"/>
  <c r="A2185" i="3"/>
  <c r="N2179" i="3"/>
  <c r="D2179" i="3"/>
  <c r="A2179" i="3"/>
  <c r="N2178" i="3"/>
  <c r="D2178" i="3"/>
  <c r="N2167" i="3"/>
  <c r="D2167" i="3"/>
  <c r="A2167" i="3"/>
  <c r="N2166" i="3"/>
  <c r="D2166" i="3"/>
  <c r="A2166" i="3"/>
  <c r="N2165" i="3"/>
  <c r="D2165" i="3"/>
  <c r="A2165" i="3"/>
  <c r="N2159" i="3"/>
  <c r="D2159" i="3"/>
  <c r="A2159" i="3"/>
  <c r="N2158" i="3"/>
  <c r="D2158" i="3"/>
  <c r="B4677" i="3"/>
  <c r="N4677" i="3"/>
  <c r="U4677" i="3" s="1"/>
  <c r="B4667" i="3"/>
  <c r="N4667" i="3"/>
  <c r="U4667" i="3" s="1"/>
  <c r="U5018" i="3"/>
  <c r="D5018" i="3"/>
  <c r="A5018" i="3"/>
  <c r="U5017" i="3"/>
  <c r="D5017" i="3"/>
  <c r="A5017" i="3"/>
  <c r="U5016" i="3"/>
  <c r="D5016" i="3"/>
  <c r="A5016" i="3"/>
  <c r="U5015" i="3"/>
  <c r="D5015" i="3"/>
  <c r="A5015" i="3"/>
  <c r="U5014" i="3"/>
  <c r="D5014" i="3"/>
  <c r="A5014" i="3"/>
  <c r="U5013" i="3"/>
  <c r="D5013" i="3"/>
  <c r="A5013" i="3"/>
  <c r="U5012" i="3"/>
  <c r="D5012" i="3"/>
  <c r="A5012" i="3"/>
  <c r="U5011" i="3"/>
  <c r="D5011" i="3"/>
  <c r="A5011" i="3"/>
  <c r="U5010" i="3"/>
  <c r="D5010" i="3"/>
  <c r="A5010" i="3"/>
  <c r="U5007" i="3"/>
  <c r="D5007" i="3"/>
  <c r="A5007" i="3"/>
  <c r="U5004" i="3"/>
  <c r="D5004" i="3"/>
  <c r="A5004" i="3"/>
  <c r="U5001" i="3"/>
  <c r="D5001" i="3"/>
  <c r="U4936" i="3"/>
  <c r="D4936" i="3"/>
  <c r="A4936" i="3"/>
  <c r="U4935" i="3"/>
  <c r="D4935" i="3"/>
  <c r="A4935" i="3"/>
  <c r="U4934" i="3"/>
  <c r="D4934" i="3"/>
  <c r="A4934" i="3"/>
  <c r="U4933" i="3"/>
  <c r="D4933" i="3"/>
  <c r="A4933" i="3"/>
  <c r="U4932" i="3"/>
  <c r="D4932" i="3"/>
  <c r="A4932" i="3"/>
  <c r="U4931" i="3"/>
  <c r="D4931" i="3"/>
  <c r="A4931" i="3"/>
  <c r="U4930" i="3"/>
  <c r="D4930" i="3"/>
  <c r="A4930" i="3"/>
  <c r="U4929" i="3"/>
  <c r="D4929" i="3"/>
  <c r="A4929" i="3"/>
  <c r="U4928" i="3"/>
  <c r="D4928" i="3"/>
  <c r="A4928" i="3"/>
  <c r="U4925" i="3"/>
  <c r="D4925" i="3"/>
  <c r="A4925" i="3"/>
  <c r="U4922" i="3"/>
  <c r="D4922" i="3"/>
  <c r="A4922" i="3"/>
  <c r="U4919" i="3"/>
  <c r="D4919" i="3"/>
  <c r="N1867" i="3"/>
  <c r="D1867" i="3"/>
  <c r="A1867" i="3"/>
  <c r="N1866" i="3"/>
  <c r="D1866" i="3"/>
  <c r="A1866" i="3"/>
  <c r="N1865" i="3"/>
  <c r="D1865" i="3"/>
  <c r="A1865" i="3"/>
  <c r="N1864" i="3"/>
  <c r="D1864" i="3"/>
  <c r="A1864" i="3"/>
  <c r="N1859" i="3"/>
  <c r="D1859" i="3"/>
  <c r="A1859" i="3"/>
  <c r="N1858" i="3"/>
  <c r="D1858" i="3"/>
  <c r="N1825" i="3"/>
  <c r="D1825" i="3"/>
  <c r="A1825" i="3"/>
  <c r="N1824" i="3"/>
  <c r="D1824" i="3"/>
  <c r="A1824" i="3"/>
  <c r="N1823" i="3"/>
  <c r="D1823" i="3"/>
  <c r="A1823" i="3"/>
  <c r="N1822" i="3"/>
  <c r="D1822" i="3"/>
  <c r="A1822" i="3"/>
  <c r="N1817" i="3"/>
  <c r="D1817" i="3"/>
  <c r="A1817" i="3"/>
  <c r="N1816" i="3"/>
  <c r="D1816" i="3"/>
  <c r="N1734" i="3"/>
  <c r="D1734" i="3"/>
  <c r="A1734" i="3"/>
  <c r="N1733" i="3"/>
  <c r="D1733" i="3"/>
  <c r="A1733" i="3"/>
  <c r="N1732" i="3"/>
  <c r="D1732" i="3"/>
  <c r="A1732" i="3"/>
  <c r="N1731" i="3"/>
  <c r="D1731" i="3"/>
  <c r="A1731" i="3"/>
  <c r="N1730" i="3"/>
  <c r="D1730" i="3"/>
  <c r="A1730" i="3"/>
  <c r="N1729" i="3"/>
  <c r="D1729" i="3"/>
  <c r="A1729" i="3"/>
  <c r="N1728" i="3"/>
  <c r="D1728" i="3"/>
  <c r="A1728" i="3"/>
  <c r="N1727" i="3"/>
  <c r="D1727" i="3"/>
  <c r="A1727" i="3"/>
  <c r="N1726" i="3"/>
  <c r="D1726" i="3"/>
  <c r="A1726" i="3"/>
  <c r="D1725" i="3"/>
  <c r="A1725" i="3"/>
  <c r="D1724" i="3"/>
  <c r="A1724" i="3"/>
  <c r="D1723" i="3"/>
  <c r="A1723" i="3"/>
  <c r="D1722" i="3"/>
  <c r="A1722" i="3"/>
  <c r="D1721" i="3"/>
  <c r="A1721" i="3"/>
  <c r="D1714" i="3"/>
  <c r="A1714" i="3"/>
  <c r="D1713" i="3"/>
  <c r="A1713" i="3"/>
  <c r="N1709" i="3"/>
  <c r="D1709" i="3"/>
  <c r="A1709" i="3"/>
  <c r="N1708" i="3"/>
  <c r="D1708" i="3"/>
  <c r="U1708" i="3" l="1"/>
  <c r="X1708" i="3"/>
  <c r="U1709" i="3"/>
  <c r="X1709" i="3"/>
  <c r="U1726" i="3"/>
  <c r="X1726" i="3"/>
  <c r="U1727" i="3"/>
  <c r="X1727" i="3"/>
  <c r="U1728" i="3"/>
  <c r="X1728" i="3"/>
  <c r="U1729" i="3"/>
  <c r="X1729" i="3"/>
  <c r="U1730" i="3"/>
  <c r="X1730" i="3"/>
  <c r="U1731" i="3"/>
  <c r="X1731" i="3"/>
  <c r="U1732" i="3"/>
  <c r="X1732" i="3"/>
  <c r="U1733" i="3"/>
  <c r="X1733" i="3"/>
  <c r="U1734" i="3"/>
  <c r="X1734" i="3"/>
  <c r="U1816" i="3"/>
  <c r="X1816" i="3"/>
  <c r="U1817" i="3"/>
  <c r="X1817" i="3"/>
  <c r="U1822" i="3"/>
  <c r="X1822" i="3"/>
  <c r="U1823" i="3"/>
  <c r="X1823" i="3"/>
  <c r="U1824" i="3"/>
  <c r="X1824" i="3"/>
  <c r="U1825" i="3"/>
  <c r="X1825" i="3"/>
  <c r="U1858" i="3"/>
  <c r="X1858" i="3"/>
  <c r="U1859" i="3"/>
  <c r="X1859" i="3"/>
  <c r="U1864" i="3"/>
  <c r="X1864" i="3"/>
  <c r="U1865" i="3"/>
  <c r="X1865" i="3"/>
  <c r="U1866" i="3"/>
  <c r="X1866" i="3"/>
  <c r="U1867" i="3"/>
  <c r="X1867" i="3"/>
  <c r="U2158" i="3"/>
  <c r="X2158" i="3"/>
  <c r="U2159" i="3"/>
  <c r="X2159" i="3"/>
  <c r="U2165" i="3"/>
  <c r="X2165" i="3"/>
  <c r="U2166" i="3"/>
  <c r="X2166" i="3"/>
  <c r="U2167" i="3"/>
  <c r="X2167" i="3"/>
  <c r="U2178" i="3"/>
  <c r="X2178" i="3"/>
  <c r="U2179" i="3"/>
  <c r="X2179" i="3"/>
  <c r="U2185" i="3"/>
  <c r="X2185" i="3"/>
  <c r="U2186" i="3"/>
  <c r="X2186" i="3"/>
  <c r="U2187" i="3"/>
  <c r="X2187" i="3"/>
  <c r="U2103" i="3"/>
  <c r="X2103" i="3"/>
  <c r="U2104" i="3"/>
  <c r="X2104" i="3"/>
  <c r="U2105" i="3"/>
  <c r="X2105" i="3"/>
  <c r="U2107" i="3"/>
  <c r="X2107" i="3"/>
  <c r="U2108" i="3"/>
  <c r="X2108" i="3"/>
  <c r="U2109" i="3"/>
  <c r="X2109" i="3"/>
  <c r="U2110" i="3"/>
  <c r="X2110" i="3"/>
  <c r="U2111" i="3"/>
  <c r="X2111" i="3"/>
  <c r="A1670" i="3"/>
  <c r="A1671" i="3"/>
  <c r="A1672" i="3"/>
  <c r="A1673" i="3"/>
  <c r="A1674" i="3"/>
  <c r="A1675" i="3"/>
  <c r="A1676" i="3"/>
  <c r="A1677" i="3"/>
  <c r="A1678" i="3"/>
  <c r="A1679" i="3"/>
  <c r="A1680" i="3"/>
  <c r="N4320" i="3" l="1"/>
  <c r="D4320" i="3"/>
  <c r="N4319" i="3"/>
  <c r="D4319" i="3"/>
  <c r="N4309" i="3"/>
  <c r="D4309" i="3"/>
  <c r="N4308" i="3"/>
  <c r="D4308" i="3"/>
  <c r="N4298" i="3"/>
  <c r="D4298" i="3"/>
  <c r="N4297" i="3"/>
  <c r="D4297" i="3"/>
  <c r="U4297" i="3" l="1"/>
  <c r="X4297" i="3"/>
  <c r="U4298" i="3"/>
  <c r="X4298" i="3"/>
  <c r="U4308" i="3"/>
  <c r="X4308" i="3"/>
  <c r="U4309" i="3"/>
  <c r="X4309" i="3"/>
  <c r="U4319" i="3"/>
  <c r="X4319" i="3"/>
  <c r="U4320" i="3"/>
  <c r="X4320" i="3"/>
  <c r="N4077" i="3"/>
  <c r="D4077" i="3"/>
  <c r="N4076" i="3"/>
  <c r="D4076" i="3"/>
  <c r="N4059" i="3"/>
  <c r="D4059" i="3"/>
  <c r="N4058" i="3"/>
  <c r="D4058" i="3"/>
  <c r="N4041" i="3"/>
  <c r="D4041" i="3"/>
  <c r="N4040" i="3"/>
  <c r="D4040" i="3"/>
  <c r="U4040" i="3" l="1"/>
  <c r="X4040" i="3"/>
  <c r="U4041" i="3"/>
  <c r="X4041" i="3"/>
  <c r="U4058" i="3"/>
  <c r="X4058" i="3"/>
  <c r="U4059" i="3"/>
  <c r="X4059" i="3"/>
  <c r="U4076" i="3"/>
  <c r="X4076" i="3"/>
  <c r="U4077" i="3"/>
  <c r="X4077" i="3"/>
  <c r="N3861" i="3"/>
  <c r="D3861" i="3"/>
  <c r="N3824" i="3"/>
  <c r="D3824" i="3"/>
  <c r="D3810" i="3"/>
  <c r="N3810" i="3"/>
  <c r="U3810" i="3" l="1"/>
  <c r="X3810" i="3"/>
  <c r="U3824" i="3"/>
  <c r="X3824" i="3"/>
  <c r="U3861" i="3"/>
  <c r="X3861" i="3"/>
  <c r="U5996" i="3"/>
  <c r="D5996" i="3"/>
  <c r="A5996" i="3"/>
  <c r="U5995" i="3"/>
  <c r="D5995" i="3"/>
  <c r="A5995" i="3"/>
  <c r="U5994" i="3"/>
  <c r="D5994" i="3"/>
  <c r="A5994" i="3"/>
  <c r="U5993" i="3"/>
  <c r="D5993" i="3"/>
  <c r="A5993" i="3"/>
  <c r="U5992" i="3"/>
  <c r="D5992" i="3"/>
  <c r="A5992" i="3"/>
  <c r="U5991" i="3"/>
  <c r="D5991" i="3"/>
  <c r="A5991" i="3"/>
  <c r="U5990" i="3"/>
  <c r="D5990" i="3"/>
  <c r="A5990" i="3"/>
  <c r="U5989" i="3"/>
  <c r="D5989" i="3"/>
  <c r="A5989" i="3"/>
  <c r="U5988" i="3"/>
  <c r="D5988" i="3"/>
  <c r="A5988" i="3"/>
  <c r="U5987" i="3"/>
  <c r="D5987" i="3"/>
  <c r="U5986" i="3"/>
  <c r="D5986" i="3"/>
  <c r="A5986" i="3"/>
  <c r="U5985" i="3"/>
  <c r="D5985" i="3"/>
  <c r="A5985" i="3"/>
  <c r="U5984" i="3"/>
  <c r="D5984" i="3"/>
  <c r="A5984" i="3"/>
  <c r="U5983" i="3"/>
  <c r="D5983" i="3"/>
  <c r="A5983" i="3"/>
  <c r="U5982" i="3"/>
  <c r="D5982" i="3"/>
  <c r="A5982" i="3"/>
  <c r="U5981" i="3"/>
  <c r="D5981" i="3"/>
  <c r="A5981" i="3"/>
  <c r="U5980" i="3"/>
  <c r="D5980" i="3"/>
  <c r="A5980" i="3"/>
  <c r="U5979" i="3"/>
  <c r="D5979" i="3"/>
  <c r="A5979" i="3"/>
  <c r="U5978" i="3"/>
  <c r="D5978" i="3"/>
  <c r="A5978" i="3"/>
  <c r="U5977" i="3"/>
  <c r="D5977" i="3"/>
  <c r="U6220" i="3"/>
  <c r="U6219" i="3"/>
  <c r="U6218" i="3"/>
  <c r="U6217" i="3"/>
  <c r="U6216" i="3"/>
  <c r="U6215" i="3"/>
  <c r="U6214" i="3"/>
  <c r="U6213" i="3"/>
  <c r="U6212" i="3"/>
  <c r="U6211" i="3"/>
  <c r="U6210" i="3"/>
  <c r="U6209" i="3"/>
  <c r="U6208" i="3"/>
  <c r="U6207" i="3"/>
  <c r="U6206" i="3"/>
  <c r="U6205" i="3"/>
  <c r="U6204" i="3"/>
  <c r="U6203" i="3"/>
  <c r="N4274" i="3"/>
  <c r="D4274" i="3"/>
  <c r="N4273" i="3"/>
  <c r="D4273" i="3"/>
  <c r="N4272" i="3"/>
  <c r="D4272" i="3"/>
  <c r="N4271" i="3"/>
  <c r="D4271" i="3"/>
  <c r="N4270" i="3"/>
  <c r="D4270" i="3"/>
  <c r="N4269" i="3"/>
  <c r="D4269" i="3"/>
  <c r="N4268" i="3"/>
  <c r="D4268" i="3"/>
  <c r="N4267" i="3"/>
  <c r="D4267" i="3"/>
  <c r="N4265" i="3"/>
  <c r="D4265" i="3"/>
  <c r="N4264" i="3"/>
  <c r="D4264" i="3"/>
  <c r="N4263" i="3"/>
  <c r="D4263" i="3"/>
  <c r="N4262" i="3"/>
  <c r="D4262" i="3"/>
  <c r="N4261" i="3"/>
  <c r="D4261" i="3"/>
  <c r="N4260" i="3"/>
  <c r="D4260" i="3"/>
  <c r="N4257" i="3"/>
  <c r="D4257" i="3"/>
  <c r="N4256" i="3"/>
  <c r="D4256" i="3"/>
  <c r="N4255" i="3"/>
  <c r="D4255" i="3"/>
  <c r="N4253" i="3"/>
  <c r="D4253" i="3"/>
  <c r="N4252" i="3"/>
  <c r="D4252" i="3"/>
  <c r="N4251" i="3"/>
  <c r="D4251" i="3"/>
  <c r="N4250" i="3"/>
  <c r="D4250" i="3"/>
  <c r="N4249" i="3"/>
  <c r="D4249" i="3"/>
  <c r="N4248" i="3"/>
  <c r="D4248" i="3"/>
  <c r="N4247" i="3"/>
  <c r="D4247" i="3"/>
  <c r="N4246" i="3"/>
  <c r="D4246" i="3"/>
  <c r="N4245" i="3"/>
  <c r="D4245" i="3"/>
  <c r="N4244" i="3"/>
  <c r="D4244" i="3"/>
  <c r="N4243" i="3"/>
  <c r="D4243" i="3"/>
  <c r="U4243" i="3" l="1"/>
  <c r="X4243" i="3"/>
  <c r="U4244" i="3"/>
  <c r="X4244" i="3"/>
  <c r="U4245" i="3"/>
  <c r="X4245" i="3"/>
  <c r="U4246" i="3"/>
  <c r="X4246" i="3"/>
  <c r="U4247" i="3"/>
  <c r="X4247" i="3"/>
  <c r="U4248" i="3"/>
  <c r="X4248" i="3"/>
  <c r="U4249" i="3"/>
  <c r="X4249" i="3"/>
  <c r="U4250" i="3"/>
  <c r="X4250" i="3"/>
  <c r="U4251" i="3"/>
  <c r="X4251" i="3"/>
  <c r="U4252" i="3"/>
  <c r="X4252" i="3"/>
  <c r="U4253" i="3"/>
  <c r="X4253" i="3"/>
  <c r="U4255" i="3"/>
  <c r="X4255" i="3"/>
  <c r="U4256" i="3"/>
  <c r="X4256" i="3"/>
  <c r="U4257" i="3"/>
  <c r="X4257" i="3"/>
  <c r="U4260" i="3"/>
  <c r="X4260" i="3"/>
  <c r="U4261" i="3"/>
  <c r="X4261" i="3"/>
  <c r="U4262" i="3"/>
  <c r="X4262" i="3"/>
  <c r="U4263" i="3"/>
  <c r="X4263" i="3"/>
  <c r="U4264" i="3"/>
  <c r="X4264" i="3"/>
  <c r="U4265" i="3"/>
  <c r="X4265" i="3"/>
  <c r="U4267" i="3"/>
  <c r="X4267" i="3"/>
  <c r="U4268" i="3"/>
  <c r="X4268" i="3"/>
  <c r="U4269" i="3"/>
  <c r="X4269" i="3"/>
  <c r="U4270" i="3"/>
  <c r="X4270" i="3"/>
  <c r="U4271" i="3"/>
  <c r="X4271" i="3"/>
  <c r="U4272" i="3"/>
  <c r="X4272" i="3"/>
  <c r="U4273" i="3"/>
  <c r="X4273" i="3"/>
  <c r="U4274" i="3"/>
  <c r="X4274" i="3"/>
  <c r="N3736" i="3"/>
  <c r="D3736" i="3"/>
  <c r="N3735" i="3"/>
  <c r="D3735" i="3"/>
  <c r="N3710" i="3"/>
  <c r="D3710" i="3"/>
  <c r="N3709" i="3"/>
  <c r="D3709" i="3"/>
  <c r="N3684" i="3"/>
  <c r="D3684" i="3"/>
  <c r="N3683" i="3"/>
  <c r="D3683" i="3"/>
  <c r="U3683" i="3" l="1"/>
  <c r="X3683" i="3"/>
  <c r="U3684" i="3"/>
  <c r="X3684" i="3"/>
  <c r="U3709" i="3"/>
  <c r="X3709" i="3"/>
  <c r="U3710" i="3"/>
  <c r="X3710" i="3"/>
  <c r="U3735" i="3"/>
  <c r="X3735" i="3"/>
  <c r="U3736" i="3"/>
  <c r="X3736" i="3"/>
  <c r="N3791" i="3"/>
  <c r="D3791" i="3"/>
  <c r="N3790" i="3"/>
  <c r="D3790" i="3"/>
  <c r="N3789" i="3"/>
  <c r="D3789" i="3"/>
  <c r="N3788" i="3"/>
  <c r="D3788" i="3"/>
  <c r="N3787" i="3"/>
  <c r="D3787" i="3"/>
  <c r="N3786" i="3"/>
  <c r="D3786" i="3"/>
  <c r="N3785" i="3"/>
  <c r="D3785" i="3"/>
  <c r="N3784" i="3"/>
  <c r="D3784" i="3"/>
  <c r="N3783" i="3"/>
  <c r="D3783" i="3"/>
  <c r="N3782" i="3"/>
  <c r="D3782" i="3"/>
  <c r="N3781" i="3"/>
  <c r="D3781" i="3"/>
  <c r="N3780" i="3"/>
  <c r="D3780" i="3"/>
  <c r="N3779" i="3"/>
  <c r="D3779" i="3"/>
  <c r="N3778" i="3"/>
  <c r="D3778" i="3"/>
  <c r="N3777" i="3"/>
  <c r="D3777" i="3"/>
  <c r="N3742" i="3"/>
  <c r="D3742" i="3"/>
  <c r="N3741" i="3"/>
  <c r="D3741" i="3"/>
  <c r="N3740" i="3"/>
  <c r="D3740" i="3"/>
  <c r="N3739" i="3"/>
  <c r="D3739" i="3"/>
  <c r="N3738" i="3"/>
  <c r="D3738" i="3"/>
  <c r="N3737" i="3"/>
  <c r="D3737" i="3"/>
  <c r="N3734" i="3"/>
  <c r="D3734" i="3"/>
  <c r="N3733" i="3"/>
  <c r="D3733" i="3"/>
  <c r="N3732" i="3"/>
  <c r="D3732" i="3"/>
  <c r="N3731" i="3"/>
  <c r="D3731" i="3"/>
  <c r="N3730" i="3"/>
  <c r="D3730" i="3"/>
  <c r="N3729" i="3"/>
  <c r="D3729" i="3"/>
  <c r="N3728" i="3"/>
  <c r="D3728" i="3"/>
  <c r="N3727" i="3"/>
  <c r="D3727" i="3"/>
  <c r="N3726" i="3"/>
  <c r="D3726" i="3"/>
  <c r="N3725" i="3"/>
  <c r="D3725" i="3"/>
  <c r="N3724" i="3"/>
  <c r="D3724" i="3"/>
  <c r="N3723" i="3"/>
  <c r="D3723" i="3"/>
  <c r="N3722" i="3"/>
  <c r="D3722" i="3"/>
  <c r="N3721" i="3"/>
  <c r="D3721" i="3"/>
  <c r="N3720" i="3"/>
  <c r="D3720" i="3"/>
  <c r="N3719" i="3"/>
  <c r="D3719" i="3"/>
  <c r="N3718" i="3"/>
  <c r="D3718" i="3"/>
  <c r="N3717" i="3"/>
  <c r="D3717" i="3"/>
  <c r="N3716" i="3"/>
  <c r="D3716" i="3"/>
  <c r="N3715" i="3"/>
  <c r="D3715" i="3"/>
  <c r="N3714" i="3"/>
  <c r="D3714" i="3"/>
  <c r="N3713" i="3"/>
  <c r="D3713" i="3"/>
  <c r="N3712" i="3"/>
  <c r="D3712" i="3"/>
  <c r="N3711" i="3"/>
  <c r="D3711" i="3"/>
  <c r="N3708" i="3"/>
  <c r="D3708" i="3"/>
  <c r="N3707" i="3"/>
  <c r="D3707" i="3"/>
  <c r="N3706" i="3"/>
  <c r="D3706" i="3"/>
  <c r="N3705" i="3"/>
  <c r="D3705" i="3"/>
  <c r="N3704" i="3"/>
  <c r="D3704" i="3"/>
  <c r="N3703" i="3"/>
  <c r="D3703" i="3"/>
  <c r="N3702" i="3"/>
  <c r="D3702" i="3"/>
  <c r="N3701" i="3"/>
  <c r="D3701" i="3"/>
  <c r="N3700" i="3"/>
  <c r="D3700" i="3"/>
  <c r="N3699" i="3"/>
  <c r="D3699" i="3"/>
  <c r="N3698" i="3"/>
  <c r="D3698" i="3"/>
  <c r="N3697" i="3"/>
  <c r="D3697" i="3"/>
  <c r="N3696" i="3"/>
  <c r="D3696" i="3"/>
  <c r="N3695" i="3"/>
  <c r="D3695" i="3"/>
  <c r="N3694" i="3"/>
  <c r="D3694" i="3"/>
  <c r="N3693" i="3"/>
  <c r="D3693" i="3"/>
  <c r="N3692" i="3"/>
  <c r="D3692" i="3"/>
  <c r="N3691" i="3"/>
  <c r="D3691" i="3"/>
  <c r="L11" i="3"/>
  <c r="L7" i="3"/>
  <c r="L6" i="3"/>
  <c r="L23" i="3"/>
  <c r="L22" i="3"/>
  <c r="L930" i="3"/>
  <c r="U3691" i="3" l="1"/>
  <c r="X3691" i="3"/>
  <c r="U3692" i="3"/>
  <c r="X3692" i="3"/>
  <c r="U3693" i="3"/>
  <c r="X3693" i="3"/>
  <c r="U3694" i="3"/>
  <c r="X3694" i="3"/>
  <c r="U3695" i="3"/>
  <c r="X3695" i="3"/>
  <c r="U3696" i="3"/>
  <c r="X3696" i="3"/>
  <c r="U3697" i="3"/>
  <c r="X3697" i="3"/>
  <c r="U3698" i="3"/>
  <c r="X3698" i="3"/>
  <c r="U3699" i="3"/>
  <c r="X3699" i="3"/>
  <c r="U3700" i="3"/>
  <c r="X3700" i="3"/>
  <c r="U3701" i="3"/>
  <c r="X3701" i="3"/>
  <c r="U3702" i="3"/>
  <c r="X3702" i="3"/>
  <c r="U3703" i="3"/>
  <c r="X3703" i="3"/>
  <c r="U3704" i="3"/>
  <c r="X3704" i="3"/>
  <c r="U3705" i="3"/>
  <c r="X3705" i="3"/>
  <c r="U3706" i="3"/>
  <c r="X3706" i="3"/>
  <c r="U3707" i="3"/>
  <c r="X3707" i="3"/>
  <c r="U3708" i="3"/>
  <c r="X3708" i="3"/>
  <c r="U3711" i="3"/>
  <c r="X3711" i="3"/>
  <c r="U3712" i="3"/>
  <c r="X3712" i="3"/>
  <c r="U3713" i="3"/>
  <c r="X3713" i="3"/>
  <c r="U3714" i="3"/>
  <c r="X3714" i="3"/>
  <c r="U3715" i="3"/>
  <c r="X3715" i="3"/>
  <c r="U3716" i="3"/>
  <c r="X3716" i="3"/>
  <c r="U3717" i="3"/>
  <c r="X3717" i="3"/>
  <c r="U3718" i="3"/>
  <c r="X3718" i="3"/>
  <c r="U3719" i="3"/>
  <c r="X3719" i="3"/>
  <c r="U3720" i="3"/>
  <c r="X3720" i="3"/>
  <c r="U3721" i="3"/>
  <c r="X3721" i="3"/>
  <c r="U3722" i="3"/>
  <c r="X3722" i="3"/>
  <c r="U3723" i="3"/>
  <c r="X3723" i="3"/>
  <c r="U3724" i="3"/>
  <c r="X3724" i="3"/>
  <c r="U3725" i="3"/>
  <c r="X3725" i="3"/>
  <c r="U3726" i="3"/>
  <c r="X3726" i="3"/>
  <c r="U3727" i="3"/>
  <c r="X3727" i="3"/>
  <c r="U3728" i="3"/>
  <c r="X3728" i="3"/>
  <c r="U3729" i="3"/>
  <c r="X3729" i="3"/>
  <c r="U3730" i="3"/>
  <c r="X3730" i="3"/>
  <c r="U3731" i="3"/>
  <c r="X3731" i="3"/>
  <c r="U3732" i="3"/>
  <c r="X3732" i="3"/>
  <c r="U3733" i="3"/>
  <c r="X3733" i="3"/>
  <c r="U3734" i="3"/>
  <c r="X3734" i="3"/>
  <c r="U3737" i="3"/>
  <c r="X3737" i="3"/>
  <c r="U3738" i="3"/>
  <c r="X3738" i="3"/>
  <c r="U3739" i="3"/>
  <c r="X3739" i="3"/>
  <c r="U3740" i="3"/>
  <c r="X3740" i="3"/>
  <c r="U3741" i="3"/>
  <c r="X3741" i="3"/>
  <c r="U3742" i="3"/>
  <c r="X3742" i="3"/>
  <c r="U3777" i="3"/>
  <c r="X3777" i="3"/>
  <c r="U3778" i="3"/>
  <c r="X3778" i="3"/>
  <c r="U3779" i="3"/>
  <c r="X3779" i="3"/>
  <c r="U3780" i="3"/>
  <c r="X3780" i="3"/>
  <c r="U3781" i="3"/>
  <c r="X3781" i="3"/>
  <c r="U3782" i="3"/>
  <c r="X3782" i="3"/>
  <c r="U3783" i="3"/>
  <c r="X3783" i="3"/>
  <c r="U3784" i="3"/>
  <c r="X3784" i="3"/>
  <c r="U3785" i="3"/>
  <c r="X3785" i="3"/>
  <c r="U3786" i="3"/>
  <c r="X3786" i="3"/>
  <c r="U3787" i="3"/>
  <c r="X3787" i="3"/>
  <c r="U3788" i="3"/>
  <c r="X3788" i="3"/>
  <c r="U3789" i="3"/>
  <c r="X3789" i="3"/>
  <c r="U3790" i="3"/>
  <c r="X3790" i="3"/>
  <c r="U3791" i="3"/>
  <c r="X3791" i="3"/>
  <c r="N3622" i="3"/>
  <c r="D3622" i="3"/>
  <c r="N3621" i="3"/>
  <c r="D3621" i="3"/>
  <c r="N3620" i="3"/>
  <c r="D3620" i="3"/>
  <c r="N3619" i="3"/>
  <c r="D3619" i="3"/>
  <c r="N3618" i="3"/>
  <c r="D3618" i="3"/>
  <c r="N3617" i="3"/>
  <c r="D3617" i="3"/>
  <c r="N3616" i="3"/>
  <c r="D3616" i="3"/>
  <c r="N3615" i="3"/>
  <c r="D3615" i="3"/>
  <c r="N3614" i="3"/>
  <c r="D3614" i="3"/>
  <c r="N3613" i="3"/>
  <c r="D3613" i="3"/>
  <c r="N3612" i="3"/>
  <c r="D3612" i="3"/>
  <c r="N3611" i="3"/>
  <c r="D3611" i="3"/>
  <c r="N3610" i="3"/>
  <c r="D3610" i="3"/>
  <c r="N3609" i="3"/>
  <c r="D3609" i="3"/>
  <c r="N3608" i="3"/>
  <c r="D3608" i="3"/>
  <c r="N3607" i="3"/>
  <c r="D3607" i="3"/>
  <c r="N3606" i="3"/>
  <c r="D3606" i="3"/>
  <c r="N3605" i="3"/>
  <c r="D3605" i="3"/>
  <c r="N3604" i="3"/>
  <c r="D3604" i="3"/>
  <c r="N3603" i="3"/>
  <c r="D3603" i="3"/>
  <c r="N3602" i="3"/>
  <c r="D3602" i="3"/>
  <c r="N3601" i="3"/>
  <c r="D3601" i="3"/>
  <c r="N3600" i="3"/>
  <c r="D3600" i="3"/>
  <c r="N3599" i="3"/>
  <c r="D3599" i="3"/>
  <c r="N3598" i="3"/>
  <c r="D3598" i="3"/>
  <c r="U3598" i="3" l="1"/>
  <c r="X3598" i="3"/>
  <c r="U3599" i="3"/>
  <c r="X3599" i="3"/>
  <c r="U3600" i="3"/>
  <c r="X3600" i="3"/>
  <c r="U3601" i="3"/>
  <c r="X3601" i="3"/>
  <c r="U3602" i="3"/>
  <c r="X3602" i="3"/>
  <c r="U3603" i="3"/>
  <c r="X3603" i="3"/>
  <c r="U3604" i="3"/>
  <c r="X3604" i="3"/>
  <c r="U3605" i="3"/>
  <c r="X3605" i="3"/>
  <c r="U3606" i="3"/>
  <c r="X3606" i="3"/>
  <c r="U3607" i="3"/>
  <c r="X3607" i="3"/>
  <c r="U3608" i="3"/>
  <c r="X3608" i="3"/>
  <c r="U3609" i="3"/>
  <c r="X3609" i="3"/>
  <c r="U3610" i="3"/>
  <c r="X3610" i="3"/>
  <c r="U3611" i="3"/>
  <c r="X3611" i="3"/>
  <c r="U3612" i="3"/>
  <c r="X3612" i="3"/>
  <c r="U3613" i="3"/>
  <c r="X3613" i="3"/>
  <c r="U3614" i="3"/>
  <c r="X3614" i="3"/>
  <c r="U3615" i="3"/>
  <c r="X3615" i="3"/>
  <c r="U3616" i="3"/>
  <c r="X3616" i="3"/>
  <c r="U3617" i="3"/>
  <c r="X3617" i="3"/>
  <c r="U3618" i="3"/>
  <c r="X3618" i="3"/>
  <c r="U3619" i="3"/>
  <c r="X3619" i="3"/>
  <c r="U3620" i="3"/>
  <c r="X3620" i="3"/>
  <c r="U3621" i="3"/>
  <c r="X3621" i="3"/>
  <c r="U3622" i="3"/>
  <c r="X3622" i="3"/>
  <c r="U6079" i="3" l="1"/>
  <c r="U6078" i="3"/>
  <c r="U6077" i="3"/>
  <c r="U6076" i="3"/>
  <c r="U6075" i="3"/>
  <c r="U6074" i="3"/>
  <c r="U6073" i="3"/>
  <c r="U6072" i="3"/>
  <c r="U6071" i="3"/>
  <c r="U6070" i="3"/>
  <c r="U6069" i="3"/>
  <c r="U6068" i="3"/>
  <c r="U6067" i="3"/>
  <c r="U6066" i="3"/>
  <c r="U6065" i="3"/>
  <c r="U6064" i="3"/>
  <c r="U6063" i="3"/>
  <c r="U6062" i="3"/>
  <c r="U6061" i="3"/>
  <c r="U6060" i="3"/>
  <c r="U6049" i="3"/>
  <c r="U6048" i="3"/>
  <c r="U6047" i="3"/>
  <c r="U6046" i="3"/>
  <c r="U6045" i="3"/>
  <c r="U6044" i="3"/>
  <c r="U6059" i="3"/>
  <c r="U6058" i="3"/>
  <c r="U6057" i="3"/>
  <c r="U6056" i="3"/>
  <c r="U6055" i="3"/>
  <c r="U6054" i="3"/>
  <c r="U6053" i="3"/>
  <c r="U6052" i="3"/>
  <c r="U6051" i="3"/>
  <c r="U6050" i="3"/>
  <c r="A6009" i="3"/>
  <c r="D6009" i="3"/>
  <c r="U6009" i="3"/>
  <c r="U4900" i="3" l="1"/>
  <c r="D4900" i="3"/>
  <c r="A4900" i="3"/>
  <c r="U4899" i="3"/>
  <c r="D4899" i="3"/>
  <c r="A4899" i="3"/>
  <c r="U4898" i="3"/>
  <c r="D4898" i="3"/>
  <c r="A4898" i="3"/>
  <c r="U4897" i="3"/>
  <c r="D4897" i="3"/>
  <c r="A4897" i="3"/>
  <c r="U4896" i="3"/>
  <c r="D4896" i="3"/>
  <c r="A4896" i="3"/>
  <c r="U4895" i="3"/>
  <c r="D4895" i="3"/>
  <c r="A4895" i="3"/>
  <c r="U4894" i="3"/>
  <c r="D4894" i="3"/>
  <c r="A4894" i="3"/>
  <c r="U4893" i="3"/>
  <c r="D4893" i="3"/>
  <c r="A4893" i="3"/>
  <c r="U4892" i="3"/>
  <c r="D4892" i="3"/>
  <c r="N1815" i="3" l="1"/>
  <c r="D1815" i="3"/>
  <c r="A1815" i="3"/>
  <c r="N1814" i="3"/>
  <c r="D1814" i="3"/>
  <c r="A1814" i="3"/>
  <c r="N1813" i="3"/>
  <c r="D1813" i="3"/>
  <c r="A1813" i="3"/>
  <c r="N1812" i="3"/>
  <c r="D1812" i="3"/>
  <c r="A1812" i="3"/>
  <c r="N1811" i="3"/>
  <c r="D1811" i="3"/>
  <c r="A1811" i="3"/>
  <c r="N1810" i="3"/>
  <c r="D1810" i="3"/>
  <c r="A1810" i="3"/>
  <c r="N1809" i="3"/>
  <c r="D1809" i="3"/>
  <c r="A1809" i="3"/>
  <c r="N1808" i="3"/>
  <c r="D1808" i="3"/>
  <c r="A1808" i="3"/>
  <c r="N1807" i="3"/>
  <c r="D1807" i="3"/>
  <c r="A1807" i="3"/>
  <c r="D1806" i="3"/>
  <c r="A1806" i="3"/>
  <c r="D1805" i="3"/>
  <c r="A1805" i="3"/>
  <c r="D1804" i="3"/>
  <c r="A1804" i="3"/>
  <c r="D1803" i="3"/>
  <c r="A1803" i="3"/>
  <c r="D1802" i="3"/>
  <c r="A1802" i="3"/>
  <c r="D1795" i="3"/>
  <c r="A1795" i="3"/>
  <c r="D1794" i="3"/>
  <c r="A1794" i="3"/>
  <c r="D1790" i="3"/>
  <c r="D1789" i="3"/>
  <c r="N1707" i="3"/>
  <c r="D1707" i="3"/>
  <c r="A1707" i="3"/>
  <c r="N1706" i="3"/>
  <c r="D1706" i="3"/>
  <c r="A1706" i="3"/>
  <c r="N1705" i="3"/>
  <c r="D1705" i="3"/>
  <c r="A1705" i="3"/>
  <c r="N1704" i="3"/>
  <c r="D1704" i="3"/>
  <c r="A1704" i="3"/>
  <c r="N1703" i="3"/>
  <c r="D1703" i="3"/>
  <c r="A1703" i="3"/>
  <c r="N1702" i="3"/>
  <c r="D1702" i="3"/>
  <c r="A1702" i="3"/>
  <c r="N1701" i="3"/>
  <c r="D1701" i="3"/>
  <c r="A1701" i="3"/>
  <c r="N1700" i="3"/>
  <c r="D1700" i="3"/>
  <c r="A1700" i="3"/>
  <c r="N1699" i="3"/>
  <c r="D1699" i="3"/>
  <c r="A1699" i="3"/>
  <c r="D1698" i="3"/>
  <c r="A1698" i="3"/>
  <c r="D1697" i="3"/>
  <c r="A1697" i="3"/>
  <c r="D1696" i="3"/>
  <c r="A1696" i="3"/>
  <c r="D1695" i="3"/>
  <c r="A1695" i="3"/>
  <c r="D1694" i="3"/>
  <c r="A1694" i="3"/>
  <c r="D1687" i="3"/>
  <c r="A1687" i="3"/>
  <c r="D1686" i="3"/>
  <c r="A1686" i="3"/>
  <c r="N1682" i="3"/>
  <c r="D1682" i="3"/>
  <c r="A1682" i="3"/>
  <c r="N1681" i="3"/>
  <c r="D1681" i="3"/>
  <c r="U1681" i="3" l="1"/>
  <c r="X1681" i="3"/>
  <c r="U1682" i="3"/>
  <c r="X1682" i="3"/>
  <c r="U1699" i="3"/>
  <c r="X1699" i="3"/>
  <c r="U1700" i="3"/>
  <c r="X1700" i="3"/>
  <c r="U1701" i="3"/>
  <c r="X1701" i="3"/>
  <c r="U1702" i="3"/>
  <c r="X1702" i="3"/>
  <c r="U1703" i="3"/>
  <c r="X1703" i="3"/>
  <c r="U1704" i="3"/>
  <c r="X1704" i="3"/>
  <c r="U1705" i="3"/>
  <c r="X1705" i="3"/>
  <c r="U1706" i="3"/>
  <c r="X1706" i="3"/>
  <c r="U1707" i="3"/>
  <c r="X1707" i="3"/>
  <c r="U1789" i="3"/>
  <c r="X1789" i="3"/>
  <c r="U1790" i="3"/>
  <c r="X1790" i="3"/>
  <c r="U1807" i="3"/>
  <c r="X1807" i="3"/>
  <c r="U1808" i="3"/>
  <c r="X1808" i="3"/>
  <c r="U1809" i="3"/>
  <c r="X1809" i="3"/>
  <c r="U1810" i="3"/>
  <c r="X1810" i="3"/>
  <c r="U1811" i="3"/>
  <c r="X1811" i="3"/>
  <c r="U1812" i="3"/>
  <c r="X1812" i="3"/>
  <c r="U1813" i="3"/>
  <c r="X1813" i="3"/>
  <c r="U1814" i="3"/>
  <c r="X1814" i="3"/>
  <c r="U1815" i="3"/>
  <c r="X1815" i="3"/>
  <c r="A6777" i="3"/>
  <c r="N6777" i="3"/>
  <c r="O6777" i="3"/>
  <c r="O6776" i="3"/>
  <c r="N6776" i="3"/>
  <c r="A6776" i="3"/>
  <c r="O6775" i="3"/>
  <c r="N6775" i="3"/>
  <c r="U6777" i="3" l="1"/>
  <c r="U6776" i="3"/>
  <c r="U6775" i="3"/>
  <c r="N372" i="3" l="1"/>
  <c r="L372" i="3"/>
  <c r="D372" i="3"/>
  <c r="A372" i="3"/>
  <c r="W372" i="3" s="1"/>
  <c r="N371" i="3"/>
  <c r="L371" i="3"/>
  <c r="D371" i="3"/>
  <c r="A371" i="3"/>
  <c r="W371" i="3" s="1"/>
  <c r="N370" i="3"/>
  <c r="L370" i="3"/>
  <c r="D370" i="3"/>
  <c r="A370" i="3"/>
  <c r="W370" i="3" s="1"/>
  <c r="N369" i="3"/>
  <c r="L369" i="3"/>
  <c r="D369" i="3"/>
  <c r="A369" i="3"/>
  <c r="W369" i="3" s="1"/>
  <c r="N368" i="3"/>
  <c r="L368" i="3"/>
  <c r="D368" i="3"/>
  <c r="A368" i="3"/>
  <c r="W368" i="3" s="1"/>
  <c r="N367" i="3"/>
  <c r="L367" i="3"/>
  <c r="D367" i="3"/>
  <c r="A367" i="3"/>
  <c r="W367" i="3" s="1"/>
  <c r="N366" i="3"/>
  <c r="L366" i="3"/>
  <c r="D366" i="3"/>
  <c r="N6783" i="3"/>
  <c r="U6783" i="3" s="1"/>
  <c r="O6783" i="3"/>
  <c r="O6778" i="3"/>
  <c r="N6778" i="3"/>
  <c r="U6778" i="3" s="1"/>
  <c r="N6871" i="3" l="1"/>
  <c r="U6871" i="3" s="1"/>
  <c r="N6879" i="3"/>
  <c r="U6879" i="3" s="1"/>
  <c r="O6879" i="3"/>
  <c r="N1116" i="3"/>
  <c r="D1116" i="3"/>
  <c r="W1116" i="3"/>
  <c r="N1115" i="3"/>
  <c r="D1115" i="3"/>
  <c r="W1115" i="3"/>
  <c r="N1114" i="3"/>
  <c r="D1114" i="3"/>
  <c r="W1114" i="3"/>
  <c r="N1112" i="3"/>
  <c r="D1112" i="3"/>
  <c r="W1112" i="3"/>
  <c r="N1110" i="3"/>
  <c r="D1110" i="3"/>
  <c r="W1110" i="3"/>
  <c r="N1109" i="3"/>
  <c r="D1109" i="3"/>
  <c r="W1109" i="3"/>
  <c r="N1107" i="3"/>
  <c r="D1107" i="3"/>
  <c r="W1107" i="3"/>
  <c r="N1105" i="3"/>
  <c r="D1105" i="3"/>
  <c r="W1105" i="3"/>
  <c r="N1104" i="3"/>
  <c r="D1104" i="3"/>
  <c r="W1104" i="3"/>
  <c r="N1102" i="3"/>
  <c r="D1102" i="3"/>
  <c r="W1102" i="3"/>
  <c r="N1098" i="3"/>
  <c r="D1098" i="3"/>
  <c r="N1307" i="3"/>
  <c r="D1307" i="3"/>
  <c r="A1307" i="3"/>
  <c r="W1307" i="3" s="1"/>
  <c r="N1306" i="3"/>
  <c r="D1306" i="3"/>
  <c r="A1306" i="3"/>
  <c r="W1306" i="3" s="1"/>
  <c r="N1305" i="3"/>
  <c r="D1305" i="3"/>
  <c r="A1305" i="3"/>
  <c r="W1305" i="3" s="1"/>
  <c r="N1304" i="3"/>
  <c r="D1304" i="3"/>
  <c r="A1304" i="3"/>
  <c r="W1304" i="3" s="1"/>
  <c r="N1303" i="3"/>
  <c r="D1303" i="3"/>
  <c r="A1303" i="3"/>
  <c r="W1303" i="3" s="1"/>
  <c r="N1302" i="3"/>
  <c r="D1302" i="3"/>
  <c r="A1302" i="3"/>
  <c r="W1302" i="3" s="1"/>
  <c r="N1301" i="3"/>
  <c r="D1301" i="3"/>
  <c r="A1301" i="3"/>
  <c r="W1301" i="3" s="1"/>
  <c r="N1300" i="3"/>
  <c r="D1300" i="3"/>
  <c r="A1300" i="3"/>
  <c r="W1300" i="3" s="1"/>
  <c r="N1299" i="3"/>
  <c r="D1299" i="3"/>
  <c r="A1299" i="3"/>
  <c r="W1299" i="3" s="1"/>
  <c r="N1298" i="3"/>
  <c r="D1298" i="3"/>
  <c r="A1298" i="3"/>
  <c r="W1298" i="3" s="1"/>
  <c r="N1297" i="3"/>
  <c r="D1297" i="3"/>
  <c r="A1297" i="3"/>
  <c r="W1297" i="3" s="1"/>
  <c r="N1296" i="3"/>
  <c r="D1296" i="3"/>
  <c r="A1296" i="3"/>
  <c r="W1296" i="3" s="1"/>
  <c r="N1295" i="3"/>
  <c r="D1295" i="3"/>
  <c r="W1129" i="3"/>
  <c r="A1226" i="3"/>
  <c r="A1227" i="3"/>
  <c r="A1228" i="3"/>
  <c r="D1129" i="3"/>
  <c r="N1129" i="3"/>
  <c r="A6760" i="3" l="1"/>
  <c r="A6762" i="3"/>
  <c r="A6769" i="3"/>
  <c r="A6772" i="3"/>
  <c r="A6847" i="3"/>
  <c r="A6856" i="3"/>
  <c r="N6869" i="3"/>
  <c r="U6869" i="3" s="1"/>
  <c r="N6878" i="3"/>
  <c r="U6878" i="3" s="1"/>
  <c r="O6878" i="3"/>
  <c r="N1138" i="3"/>
  <c r="D1138" i="3"/>
  <c r="W1138" i="3"/>
  <c r="N1137" i="3"/>
  <c r="D1137" i="3"/>
  <c r="W1137" i="3"/>
  <c r="N1136" i="3"/>
  <c r="D1136" i="3"/>
  <c r="W1136" i="3"/>
  <c r="N1134" i="3"/>
  <c r="D1134" i="3"/>
  <c r="W1134" i="3"/>
  <c r="N1132" i="3"/>
  <c r="D1132" i="3"/>
  <c r="W1132" i="3"/>
  <c r="N1131" i="3"/>
  <c r="D1131" i="3"/>
  <c r="W1131" i="3"/>
  <c r="N1127" i="3"/>
  <c r="D1127" i="3"/>
  <c r="W1127" i="3"/>
  <c r="N1125" i="3"/>
  <c r="D1125" i="3"/>
  <c r="W1125" i="3"/>
  <c r="N1124" i="3"/>
  <c r="D1124" i="3"/>
  <c r="W1124" i="3"/>
  <c r="N1122" i="3"/>
  <c r="D1122" i="3"/>
  <c r="W1122" i="3"/>
  <c r="N1120" i="3"/>
  <c r="D1120" i="3"/>
  <c r="W1120" i="3"/>
  <c r="N1118" i="3"/>
  <c r="D1118" i="3"/>
  <c r="N365" i="3" l="1"/>
  <c r="L365" i="3"/>
  <c r="D365" i="3"/>
  <c r="A365" i="3"/>
  <c r="W365" i="3" s="1"/>
  <c r="N364" i="3"/>
  <c r="L364" i="3"/>
  <c r="D364" i="3"/>
  <c r="A364" i="3"/>
  <c r="W364" i="3" s="1"/>
  <c r="N363" i="3"/>
  <c r="L363" i="3"/>
  <c r="D363" i="3"/>
  <c r="A363" i="3"/>
  <c r="W363" i="3" s="1"/>
  <c r="N362" i="3"/>
  <c r="L362" i="3"/>
  <c r="D362" i="3"/>
  <c r="A362" i="3"/>
  <c r="W362" i="3" s="1"/>
  <c r="N361" i="3"/>
  <c r="L361" i="3"/>
  <c r="D361" i="3"/>
  <c r="A361" i="3"/>
  <c r="W361" i="3" s="1"/>
  <c r="N360" i="3"/>
  <c r="L360" i="3"/>
  <c r="D360" i="3"/>
  <c r="BH15" i="6"/>
  <c r="BH14" i="6"/>
  <c r="N6864" i="3" l="1"/>
  <c r="U6864" i="3" s="1"/>
  <c r="O6864" i="3"/>
  <c r="N6865" i="3"/>
  <c r="U6865" i="3" s="1"/>
  <c r="O6865" i="3"/>
  <c r="N6866" i="3"/>
  <c r="U6866" i="3" s="1"/>
  <c r="O6866" i="3"/>
  <c r="N6867" i="3"/>
  <c r="U6867" i="3" s="1"/>
  <c r="O6867" i="3"/>
  <c r="A1097" i="3" l="1"/>
  <c r="A1085" i="3" l="1"/>
  <c r="W1085" i="3" s="1"/>
  <c r="A1086" i="3"/>
  <c r="W1086" i="3" s="1"/>
  <c r="A1087" i="3"/>
  <c r="W1087" i="3" s="1"/>
  <c r="A1088" i="3"/>
  <c r="W1088" i="3" s="1"/>
  <c r="A1089" i="3"/>
  <c r="W1089" i="3" s="1"/>
  <c r="A1090" i="3"/>
  <c r="W1090" i="3" s="1"/>
  <c r="A1091" i="3"/>
  <c r="W1091" i="3" s="1"/>
  <c r="A1092" i="3"/>
  <c r="W1092" i="3" s="1"/>
  <c r="A1093" i="3"/>
  <c r="W1093" i="3" s="1"/>
  <c r="A1094" i="3"/>
  <c r="W1094" i="3" s="1"/>
  <c r="A1095" i="3"/>
  <c r="W1095" i="3" s="1"/>
  <c r="N1089" i="3"/>
  <c r="D1089" i="3"/>
  <c r="N1086" i="3"/>
  <c r="D1086" i="3"/>
  <c r="A1064" i="3"/>
  <c r="W1064" i="3" s="1"/>
  <c r="A1065" i="3"/>
  <c r="W1065" i="3" s="1"/>
  <c r="A1083" i="3"/>
  <c r="W1083" i="3" s="1"/>
  <c r="A1084" i="3"/>
  <c r="W1084" i="3" s="1"/>
  <c r="A1096" i="3"/>
  <c r="W1097" i="3"/>
  <c r="A1229" i="3"/>
  <c r="A1230" i="3"/>
  <c r="A1231" i="3"/>
  <c r="N1097" i="3"/>
  <c r="D1097" i="3"/>
  <c r="N1096" i="3"/>
  <c r="D1096" i="3"/>
  <c r="N1095" i="3"/>
  <c r="D1095" i="3"/>
  <c r="N1094" i="3"/>
  <c r="D1094" i="3"/>
  <c r="N1093" i="3"/>
  <c r="D1093" i="3"/>
  <c r="N1092" i="3"/>
  <c r="D1092" i="3"/>
  <c r="N1091" i="3"/>
  <c r="D1091" i="3"/>
  <c r="N1090" i="3"/>
  <c r="D1090" i="3"/>
  <c r="N1088" i="3"/>
  <c r="D1088" i="3"/>
  <c r="N1087" i="3"/>
  <c r="D1087" i="3"/>
  <c r="N1085" i="3"/>
  <c r="D1085" i="3"/>
  <c r="N1084" i="3"/>
  <c r="D1084" i="3"/>
  <c r="N1083" i="3"/>
  <c r="D1083" i="3"/>
  <c r="N1082" i="3"/>
  <c r="D1082" i="3"/>
  <c r="N6861" i="3"/>
  <c r="U6861" i="3" s="1"/>
  <c r="O6861" i="3"/>
  <c r="N6863" i="3"/>
  <c r="U6863" i="3" s="1"/>
  <c r="O6863" i="3"/>
  <c r="A1057" i="3"/>
  <c r="W1057" i="3" s="1"/>
  <c r="A1058" i="3"/>
  <c r="W1058" i="3" s="1"/>
  <c r="A1059" i="3"/>
  <c r="W1059" i="3" s="1"/>
  <c r="A1060" i="3"/>
  <c r="W1060" i="3" s="1"/>
  <c r="A1061" i="3"/>
  <c r="W1061" i="3" s="1"/>
  <c r="A1062" i="3"/>
  <c r="W1062" i="3" s="1"/>
  <c r="A1063" i="3"/>
  <c r="W1063" i="3" s="1"/>
  <c r="D1060" i="3"/>
  <c r="N1060" i="3"/>
  <c r="N1065" i="3"/>
  <c r="D1065" i="3"/>
  <c r="N1064" i="3"/>
  <c r="D1064" i="3"/>
  <c r="N1063" i="3"/>
  <c r="D1063" i="3"/>
  <c r="N1062" i="3"/>
  <c r="D1062" i="3"/>
  <c r="N1061" i="3"/>
  <c r="D1061" i="3"/>
  <c r="N1059" i="3"/>
  <c r="D1059" i="3"/>
  <c r="N1058" i="3"/>
  <c r="D1058" i="3"/>
  <c r="N1057" i="3"/>
  <c r="D1057" i="3"/>
  <c r="N1056" i="3"/>
  <c r="D1056" i="3"/>
  <c r="A1056" i="3"/>
  <c r="W1056" i="3" s="1"/>
  <c r="N1055" i="3"/>
  <c r="D1055" i="3"/>
  <c r="A1055" i="3"/>
  <c r="W1055" i="3" s="1"/>
  <c r="N1054" i="3"/>
  <c r="D1054" i="3"/>
  <c r="A1054" i="3"/>
  <c r="W1054" i="3" s="1"/>
  <c r="N1053" i="3"/>
  <c r="D1053" i="3"/>
  <c r="A1053" i="3"/>
  <c r="W1053" i="3" s="1"/>
  <c r="N1052" i="3"/>
  <c r="D1052" i="3"/>
  <c r="O6860" i="3"/>
  <c r="N6860" i="3"/>
  <c r="U6860" i="3" s="1"/>
  <c r="A1044" i="3"/>
  <c r="W1044" i="3" s="1"/>
  <c r="A1045" i="3"/>
  <c r="W1045" i="3" s="1"/>
  <c r="A1046" i="3"/>
  <c r="W1046" i="3" s="1"/>
  <c r="A1047" i="3"/>
  <c r="W1047" i="3" s="1"/>
  <c r="A1048" i="3"/>
  <c r="W1048" i="3" s="1"/>
  <c r="A1049" i="3"/>
  <c r="W1049" i="3" s="1"/>
  <c r="A1050" i="3"/>
  <c r="W1050" i="3" s="1"/>
  <c r="A1051" i="3"/>
  <c r="W1051" i="3" s="1"/>
  <c r="D1047" i="3"/>
  <c r="N1047" i="3"/>
  <c r="A1030" i="3"/>
  <c r="A1031" i="3"/>
  <c r="A1032" i="3"/>
  <c r="A1033" i="3"/>
  <c r="A1034" i="3"/>
  <c r="A1035" i="3"/>
  <c r="A1036" i="3"/>
  <c r="A1037" i="3"/>
  <c r="A1040" i="3"/>
  <c r="W1040" i="3" s="1"/>
  <c r="A1041" i="3"/>
  <c r="W1041" i="3" s="1"/>
  <c r="A1042" i="3"/>
  <c r="W1042" i="3" s="1"/>
  <c r="A1043" i="3"/>
  <c r="W1043" i="3" s="1"/>
  <c r="D1043" i="3"/>
  <c r="N1043" i="3"/>
  <c r="D1044" i="3"/>
  <c r="N1044" i="3"/>
  <c r="N1051" i="3"/>
  <c r="D1051" i="3"/>
  <c r="N1050" i="3"/>
  <c r="D1050" i="3"/>
  <c r="N1049" i="3"/>
  <c r="D1049" i="3"/>
  <c r="N1048" i="3"/>
  <c r="D1048" i="3"/>
  <c r="N1046" i="3"/>
  <c r="D1046" i="3"/>
  <c r="N1045" i="3"/>
  <c r="D1045" i="3"/>
  <c r="N1042" i="3"/>
  <c r="D1042" i="3"/>
  <c r="N1041" i="3"/>
  <c r="D1041" i="3"/>
  <c r="N1040" i="3"/>
  <c r="D1040" i="3"/>
  <c r="N1039" i="3"/>
  <c r="D1039" i="3"/>
  <c r="W1096" i="3" l="1"/>
  <c r="N3761" i="3"/>
  <c r="D3761" i="3"/>
  <c r="N3760" i="3"/>
  <c r="D3760" i="3"/>
  <c r="N3759" i="3"/>
  <c r="D3759" i="3"/>
  <c r="N3758" i="3"/>
  <c r="D3758" i="3"/>
  <c r="N3757" i="3"/>
  <c r="D3757" i="3"/>
  <c r="N3756" i="3"/>
  <c r="D3756" i="3"/>
  <c r="N3755" i="3"/>
  <c r="D3755" i="3"/>
  <c r="N3754" i="3"/>
  <c r="D3754" i="3"/>
  <c r="N3753" i="3"/>
  <c r="D3753" i="3"/>
  <c r="N3752" i="3"/>
  <c r="D3752" i="3"/>
  <c r="N3751" i="3"/>
  <c r="D3751" i="3"/>
  <c r="N3750" i="3"/>
  <c r="D3750" i="3"/>
  <c r="N3749" i="3"/>
  <c r="D3749" i="3"/>
  <c r="N3748" i="3"/>
  <c r="D3748" i="3"/>
  <c r="N3747" i="3"/>
  <c r="D3747" i="3"/>
  <c r="N3746" i="3"/>
  <c r="D3746" i="3"/>
  <c r="N3745" i="3"/>
  <c r="D3745" i="3"/>
  <c r="N3744" i="3"/>
  <c r="D3744" i="3"/>
  <c r="N3743" i="3"/>
  <c r="D3743" i="3"/>
  <c r="D3688" i="3"/>
  <c r="N3688" i="3"/>
  <c r="D3682" i="3"/>
  <c r="D3685" i="3"/>
  <c r="D3686" i="3"/>
  <c r="D3687" i="3"/>
  <c r="D3689" i="3"/>
  <c r="D3690" i="3"/>
  <c r="N3687" i="3"/>
  <c r="N3686" i="3"/>
  <c r="N3685" i="3"/>
  <c r="D3681" i="3"/>
  <c r="N3690" i="3"/>
  <c r="N3689" i="3"/>
  <c r="D3675" i="3"/>
  <c r="D3676" i="3"/>
  <c r="D3677" i="3"/>
  <c r="D3678" i="3"/>
  <c r="D3679" i="3"/>
  <c r="D3680" i="3"/>
  <c r="N3676" i="3"/>
  <c r="N3675" i="3"/>
  <c r="N3682" i="3"/>
  <c r="N3681" i="3"/>
  <c r="N3680" i="3"/>
  <c r="N3679" i="3"/>
  <c r="N3678" i="3"/>
  <c r="N3677" i="3"/>
  <c r="N3674" i="3"/>
  <c r="D3674" i="3"/>
  <c r="N3673" i="3"/>
  <c r="D3673" i="3"/>
  <c r="N3672" i="3"/>
  <c r="D3672" i="3"/>
  <c r="N3671" i="3"/>
  <c r="D3671" i="3"/>
  <c r="N3670" i="3"/>
  <c r="D3670" i="3"/>
  <c r="N3669" i="3"/>
  <c r="D3669" i="3"/>
  <c r="N3668" i="3"/>
  <c r="D3668" i="3"/>
  <c r="N3667" i="3"/>
  <c r="D3667" i="3"/>
  <c r="N3666" i="3"/>
  <c r="D3666" i="3"/>
  <c r="N3665" i="3"/>
  <c r="D3665" i="3"/>
  <c r="D3664" i="3"/>
  <c r="N3664" i="3"/>
  <c r="U3664" i="3" l="1"/>
  <c r="X3664" i="3"/>
  <c r="U3665" i="3"/>
  <c r="X3665" i="3"/>
  <c r="U3666" i="3"/>
  <c r="X3666" i="3"/>
  <c r="U3667" i="3"/>
  <c r="X3667" i="3"/>
  <c r="U3668" i="3"/>
  <c r="X3668" i="3"/>
  <c r="U3669" i="3"/>
  <c r="X3669" i="3"/>
  <c r="U3670" i="3"/>
  <c r="X3670" i="3"/>
  <c r="U3671" i="3"/>
  <c r="X3671" i="3"/>
  <c r="U3672" i="3"/>
  <c r="X3672" i="3"/>
  <c r="U3673" i="3"/>
  <c r="X3673" i="3"/>
  <c r="U3674" i="3"/>
  <c r="X3674" i="3"/>
  <c r="U3677" i="3"/>
  <c r="X3677" i="3"/>
  <c r="U3678" i="3"/>
  <c r="X3678" i="3"/>
  <c r="U3679" i="3"/>
  <c r="X3679" i="3"/>
  <c r="U3680" i="3"/>
  <c r="X3680" i="3"/>
  <c r="U3681" i="3"/>
  <c r="X3681" i="3"/>
  <c r="U3682" i="3"/>
  <c r="X3682" i="3"/>
  <c r="U3675" i="3"/>
  <c r="X3675" i="3"/>
  <c r="U3676" i="3"/>
  <c r="X3676" i="3"/>
  <c r="U3689" i="3"/>
  <c r="X3689" i="3"/>
  <c r="U3690" i="3"/>
  <c r="X3690" i="3"/>
  <c r="U3685" i="3"/>
  <c r="X3685" i="3"/>
  <c r="U3686" i="3"/>
  <c r="X3686" i="3"/>
  <c r="U3687" i="3"/>
  <c r="X3687" i="3"/>
  <c r="U3688" i="3"/>
  <c r="X3688" i="3"/>
  <c r="U3743" i="3"/>
  <c r="X3743" i="3"/>
  <c r="U3744" i="3"/>
  <c r="X3744" i="3"/>
  <c r="U3745" i="3"/>
  <c r="X3745" i="3"/>
  <c r="U3746" i="3"/>
  <c r="X3746" i="3"/>
  <c r="U3747" i="3"/>
  <c r="X3747" i="3"/>
  <c r="U3748" i="3"/>
  <c r="X3748" i="3"/>
  <c r="U3749" i="3"/>
  <c r="X3749" i="3"/>
  <c r="U3750" i="3"/>
  <c r="X3750" i="3"/>
  <c r="U3751" i="3"/>
  <c r="X3751" i="3"/>
  <c r="U3752" i="3"/>
  <c r="X3752" i="3"/>
  <c r="U3753" i="3"/>
  <c r="X3753" i="3"/>
  <c r="U3754" i="3"/>
  <c r="X3754" i="3"/>
  <c r="U3755" i="3"/>
  <c r="X3755" i="3"/>
  <c r="U3756" i="3"/>
  <c r="X3756" i="3"/>
  <c r="U3757" i="3"/>
  <c r="X3757" i="3"/>
  <c r="U3758" i="3"/>
  <c r="X3758" i="3"/>
  <c r="U3759" i="3"/>
  <c r="X3759" i="3"/>
  <c r="U3760" i="3"/>
  <c r="X3760" i="3"/>
  <c r="U3761" i="3"/>
  <c r="X3761" i="3"/>
  <c r="D3657" i="3"/>
  <c r="N3657" i="3"/>
  <c r="D3653" i="3"/>
  <c r="N3653" i="3"/>
  <c r="D3654" i="3"/>
  <c r="N3654" i="3"/>
  <c r="D3655" i="3"/>
  <c r="N3655" i="3"/>
  <c r="D3656" i="3"/>
  <c r="N3656" i="3"/>
  <c r="N3571" i="3"/>
  <c r="D3571" i="3"/>
  <c r="N3570" i="3"/>
  <c r="D3570" i="3"/>
  <c r="N3569" i="3"/>
  <c r="D3569" i="3"/>
  <c r="N3568" i="3"/>
  <c r="D3568" i="3"/>
  <c r="N3567" i="3"/>
  <c r="D3567" i="3"/>
  <c r="N3566" i="3"/>
  <c r="D3566" i="3"/>
  <c r="N3565" i="3"/>
  <c r="D3565" i="3"/>
  <c r="N3564" i="3"/>
  <c r="D3564" i="3"/>
  <c r="N3563" i="3"/>
  <c r="D3563" i="3"/>
  <c r="N3562" i="3"/>
  <c r="D3562" i="3"/>
  <c r="N3561" i="3"/>
  <c r="D3561" i="3"/>
  <c r="N3560" i="3"/>
  <c r="D3560" i="3"/>
  <c r="N3559" i="3"/>
  <c r="D3559" i="3"/>
  <c r="N3558" i="3"/>
  <c r="D3558" i="3"/>
  <c r="N3557" i="3"/>
  <c r="D3557" i="3"/>
  <c r="N3556" i="3"/>
  <c r="D3556" i="3"/>
  <c r="N3555" i="3"/>
  <c r="D3555" i="3"/>
  <c r="N3554" i="3"/>
  <c r="D3554" i="3"/>
  <c r="N3553" i="3"/>
  <c r="D3553" i="3"/>
  <c r="N3552" i="3"/>
  <c r="D3552" i="3"/>
  <c r="N3551" i="3"/>
  <c r="D3551" i="3"/>
  <c r="N3550" i="3"/>
  <c r="D3550" i="3"/>
  <c r="N3549" i="3"/>
  <c r="D3549" i="3"/>
  <c r="N3548" i="3"/>
  <c r="D3548" i="3"/>
  <c r="D3546" i="3"/>
  <c r="N3546" i="3"/>
  <c r="D3497" i="3"/>
  <c r="N3497" i="3"/>
  <c r="D3474" i="3"/>
  <c r="N3474" i="3"/>
  <c r="N3540" i="3"/>
  <c r="D3540" i="3"/>
  <c r="N3545" i="3"/>
  <c r="D3545" i="3"/>
  <c r="N3544" i="3"/>
  <c r="D3544" i="3"/>
  <c r="N3543" i="3"/>
  <c r="D3543" i="3"/>
  <c r="N3542" i="3"/>
  <c r="D3542" i="3"/>
  <c r="N3541" i="3"/>
  <c r="D3541" i="3"/>
  <c r="N3539" i="3"/>
  <c r="D3539" i="3"/>
  <c r="N3538" i="3"/>
  <c r="D3538" i="3"/>
  <c r="N3537" i="3"/>
  <c r="D3537" i="3"/>
  <c r="N3536" i="3"/>
  <c r="D3536" i="3"/>
  <c r="N3535" i="3"/>
  <c r="D3535" i="3"/>
  <c r="N3534" i="3"/>
  <c r="D3534" i="3"/>
  <c r="N3533" i="3"/>
  <c r="D3533" i="3"/>
  <c r="N3532" i="3"/>
  <c r="D3532" i="3"/>
  <c r="N3531" i="3"/>
  <c r="D3531" i="3"/>
  <c r="N3530" i="3"/>
  <c r="D3530" i="3"/>
  <c r="N3529" i="3"/>
  <c r="D3529" i="3"/>
  <c r="N3528" i="3"/>
  <c r="D3528" i="3"/>
  <c r="N3527" i="3"/>
  <c r="D3527" i="3"/>
  <c r="N3526" i="3"/>
  <c r="D3526" i="3"/>
  <c r="N3525" i="3"/>
  <c r="D3525" i="3"/>
  <c r="N3524" i="3"/>
  <c r="D3524" i="3"/>
  <c r="N3523" i="3"/>
  <c r="D3523" i="3"/>
  <c r="N3496" i="3"/>
  <c r="D3496" i="3"/>
  <c r="N3495" i="3"/>
  <c r="D3495" i="3"/>
  <c r="N3494" i="3"/>
  <c r="D3494" i="3"/>
  <c r="N3493" i="3"/>
  <c r="D3493" i="3"/>
  <c r="N3492" i="3"/>
  <c r="D3492" i="3"/>
  <c r="N3491" i="3"/>
  <c r="D3491" i="3"/>
  <c r="N3490" i="3"/>
  <c r="D3490" i="3"/>
  <c r="N3489" i="3"/>
  <c r="D3489" i="3"/>
  <c r="N3488" i="3"/>
  <c r="D3488" i="3"/>
  <c r="N3487" i="3"/>
  <c r="D3487" i="3"/>
  <c r="N3486" i="3"/>
  <c r="D3486" i="3"/>
  <c r="N3485" i="3"/>
  <c r="D3485" i="3"/>
  <c r="N3484" i="3"/>
  <c r="D3484" i="3"/>
  <c r="N3483" i="3"/>
  <c r="D3483" i="3"/>
  <c r="N3482" i="3"/>
  <c r="D3482" i="3"/>
  <c r="N3481" i="3"/>
  <c r="D3481" i="3"/>
  <c r="N3480" i="3"/>
  <c r="D3480" i="3"/>
  <c r="N3479" i="3"/>
  <c r="D3479" i="3"/>
  <c r="N3478" i="3"/>
  <c r="D3478" i="3"/>
  <c r="N3477" i="3"/>
  <c r="D3477" i="3"/>
  <c r="N3476" i="3"/>
  <c r="D3476" i="3"/>
  <c r="N3475" i="3"/>
  <c r="D3475" i="3"/>
  <c r="D3473" i="3"/>
  <c r="N3473" i="3"/>
  <c r="D3468" i="3"/>
  <c r="D3469" i="3"/>
  <c r="D3470" i="3"/>
  <c r="D3471" i="3"/>
  <c r="D3472" i="3"/>
  <c r="N3472" i="3"/>
  <c r="N3471" i="3"/>
  <c r="N3470" i="3"/>
  <c r="N3469" i="3"/>
  <c r="D3465" i="3"/>
  <c r="D3466" i="3"/>
  <c r="D3467" i="3"/>
  <c r="N3466" i="3"/>
  <c r="N3465" i="3"/>
  <c r="N3468" i="3"/>
  <c r="N3467" i="3"/>
  <c r="N3464" i="3"/>
  <c r="D3464" i="3"/>
  <c r="N3463" i="3"/>
  <c r="D3463" i="3"/>
  <c r="N3462" i="3"/>
  <c r="D3462" i="3"/>
  <c r="N3461" i="3"/>
  <c r="D3461" i="3"/>
  <c r="N3460" i="3"/>
  <c r="D3460" i="3"/>
  <c r="N3459" i="3"/>
  <c r="D3459" i="3"/>
  <c r="N3458" i="3"/>
  <c r="D3458" i="3"/>
  <c r="N3457" i="3"/>
  <c r="D3457" i="3"/>
  <c r="N3456" i="3"/>
  <c r="D3456" i="3"/>
  <c r="N3455" i="3"/>
  <c r="D3455" i="3"/>
  <c r="N3454" i="3"/>
  <c r="D3454" i="3"/>
  <c r="N3453" i="3"/>
  <c r="D3453" i="3"/>
  <c r="N3452" i="3"/>
  <c r="D3452" i="3"/>
  <c r="N3451" i="3"/>
  <c r="D3451" i="3"/>
  <c r="N3450" i="3"/>
  <c r="D3450" i="3"/>
  <c r="N3449" i="3"/>
  <c r="D3449" i="3"/>
  <c r="N3448" i="3"/>
  <c r="D3448" i="3"/>
  <c r="N3447" i="3"/>
  <c r="D3447" i="3"/>
  <c r="N3446" i="3"/>
  <c r="D3446" i="3"/>
  <c r="N3445" i="3"/>
  <c r="D3445" i="3"/>
  <c r="N3444" i="3"/>
  <c r="D3444" i="3"/>
  <c r="N3443" i="3"/>
  <c r="D3443" i="3"/>
  <c r="N3442" i="3"/>
  <c r="D3442" i="3"/>
  <c r="N3441" i="3"/>
  <c r="D3441" i="3"/>
  <c r="N3440" i="3"/>
  <c r="D3440" i="3"/>
  <c r="N3439" i="3"/>
  <c r="D3439" i="3"/>
  <c r="N3438" i="3"/>
  <c r="D3438" i="3"/>
  <c r="N3437" i="3"/>
  <c r="D3437" i="3"/>
  <c r="N3436" i="3"/>
  <c r="D3436" i="3"/>
  <c r="N3433" i="3"/>
  <c r="D3433" i="3"/>
  <c r="U3433" i="3" l="1"/>
  <c r="X3433" i="3"/>
  <c r="U3436" i="3"/>
  <c r="X3436" i="3"/>
  <c r="U3437" i="3"/>
  <c r="X3437" i="3"/>
  <c r="U3438" i="3"/>
  <c r="X3438" i="3"/>
  <c r="U3439" i="3"/>
  <c r="X3439" i="3"/>
  <c r="U3440" i="3"/>
  <c r="X3440" i="3"/>
  <c r="U3441" i="3"/>
  <c r="X3441" i="3"/>
  <c r="U3442" i="3"/>
  <c r="X3442" i="3"/>
  <c r="U3443" i="3"/>
  <c r="X3443" i="3"/>
  <c r="U3444" i="3"/>
  <c r="X3444" i="3"/>
  <c r="U3445" i="3"/>
  <c r="X3445" i="3"/>
  <c r="U3446" i="3"/>
  <c r="X3446" i="3"/>
  <c r="U3447" i="3"/>
  <c r="X3447" i="3"/>
  <c r="U3448" i="3"/>
  <c r="X3448" i="3"/>
  <c r="U3449" i="3"/>
  <c r="X3449" i="3"/>
  <c r="U3450" i="3"/>
  <c r="X3450" i="3"/>
  <c r="U3451" i="3"/>
  <c r="X3451" i="3"/>
  <c r="U3452" i="3"/>
  <c r="X3452" i="3"/>
  <c r="U3453" i="3"/>
  <c r="X3453" i="3"/>
  <c r="U3454" i="3"/>
  <c r="X3454" i="3"/>
  <c r="U3455" i="3"/>
  <c r="X3455" i="3"/>
  <c r="U3456" i="3"/>
  <c r="X3456" i="3"/>
  <c r="U3457" i="3"/>
  <c r="X3457" i="3"/>
  <c r="U3458" i="3"/>
  <c r="X3458" i="3"/>
  <c r="U3459" i="3"/>
  <c r="X3459" i="3"/>
  <c r="U3460" i="3"/>
  <c r="X3460" i="3"/>
  <c r="U3461" i="3"/>
  <c r="X3461" i="3"/>
  <c r="U3462" i="3"/>
  <c r="X3462" i="3"/>
  <c r="U3463" i="3"/>
  <c r="X3463" i="3"/>
  <c r="U3464" i="3"/>
  <c r="X3464" i="3"/>
  <c r="U3467" i="3"/>
  <c r="X3467" i="3"/>
  <c r="U3468" i="3"/>
  <c r="X3468" i="3"/>
  <c r="U3465" i="3"/>
  <c r="X3465" i="3"/>
  <c r="U3466" i="3"/>
  <c r="X3466" i="3"/>
  <c r="U3469" i="3"/>
  <c r="X3469" i="3"/>
  <c r="U3470" i="3"/>
  <c r="X3470" i="3"/>
  <c r="U3471" i="3"/>
  <c r="X3471" i="3"/>
  <c r="U3472" i="3"/>
  <c r="X3472" i="3"/>
  <c r="U3473" i="3"/>
  <c r="X3473" i="3"/>
  <c r="U3475" i="3"/>
  <c r="X3475" i="3"/>
  <c r="U3476" i="3"/>
  <c r="X3476" i="3"/>
  <c r="U3477" i="3"/>
  <c r="X3477" i="3"/>
  <c r="U3478" i="3"/>
  <c r="X3478" i="3"/>
  <c r="U3479" i="3"/>
  <c r="X3479" i="3"/>
  <c r="U3480" i="3"/>
  <c r="X3480" i="3"/>
  <c r="U3481" i="3"/>
  <c r="X3481" i="3"/>
  <c r="U3482" i="3"/>
  <c r="X3482" i="3"/>
  <c r="U3483" i="3"/>
  <c r="X3483" i="3"/>
  <c r="U3484" i="3"/>
  <c r="X3484" i="3"/>
  <c r="U3485" i="3"/>
  <c r="X3485" i="3"/>
  <c r="U3486" i="3"/>
  <c r="X3486" i="3"/>
  <c r="U3487" i="3"/>
  <c r="X3487" i="3"/>
  <c r="U3488" i="3"/>
  <c r="X3488" i="3"/>
  <c r="U3489" i="3"/>
  <c r="X3489" i="3"/>
  <c r="U3490" i="3"/>
  <c r="X3490" i="3"/>
  <c r="U3491" i="3"/>
  <c r="X3491" i="3"/>
  <c r="U3492" i="3"/>
  <c r="X3492" i="3"/>
  <c r="U3493" i="3"/>
  <c r="X3493" i="3"/>
  <c r="U3494" i="3"/>
  <c r="X3494" i="3"/>
  <c r="U3495" i="3"/>
  <c r="X3495" i="3"/>
  <c r="U3496" i="3"/>
  <c r="X3496" i="3"/>
  <c r="U3523" i="3"/>
  <c r="X3523" i="3"/>
  <c r="U3524" i="3"/>
  <c r="X3524" i="3"/>
  <c r="U3525" i="3"/>
  <c r="X3525" i="3"/>
  <c r="U3526" i="3"/>
  <c r="X3526" i="3"/>
  <c r="U3527" i="3"/>
  <c r="X3527" i="3"/>
  <c r="U3528" i="3"/>
  <c r="X3528" i="3"/>
  <c r="U3529" i="3"/>
  <c r="X3529" i="3"/>
  <c r="U3530" i="3"/>
  <c r="X3530" i="3"/>
  <c r="U3531" i="3"/>
  <c r="X3531" i="3"/>
  <c r="U3532" i="3"/>
  <c r="X3532" i="3"/>
  <c r="U3533" i="3"/>
  <c r="X3533" i="3"/>
  <c r="U3534" i="3"/>
  <c r="X3534" i="3"/>
  <c r="U3535" i="3"/>
  <c r="X3535" i="3"/>
  <c r="U3536" i="3"/>
  <c r="X3536" i="3"/>
  <c r="U3537" i="3"/>
  <c r="X3537" i="3"/>
  <c r="U3538" i="3"/>
  <c r="X3538" i="3"/>
  <c r="U3539" i="3"/>
  <c r="X3539" i="3"/>
  <c r="U3541" i="3"/>
  <c r="X3541" i="3"/>
  <c r="U3542" i="3"/>
  <c r="X3542" i="3"/>
  <c r="U3543" i="3"/>
  <c r="X3543" i="3"/>
  <c r="U3544" i="3"/>
  <c r="X3544" i="3"/>
  <c r="U3545" i="3"/>
  <c r="X3545" i="3"/>
  <c r="U3540" i="3"/>
  <c r="X3540" i="3"/>
  <c r="U3474" i="3"/>
  <c r="X3474" i="3"/>
  <c r="U3497" i="3"/>
  <c r="X3497" i="3"/>
  <c r="U3546" i="3"/>
  <c r="X3546" i="3"/>
  <c r="U3548" i="3"/>
  <c r="X3548" i="3"/>
  <c r="U3549" i="3"/>
  <c r="X3549" i="3"/>
  <c r="U3550" i="3"/>
  <c r="X3550" i="3"/>
  <c r="U3551" i="3"/>
  <c r="X3551" i="3"/>
  <c r="U3552" i="3"/>
  <c r="X3552" i="3"/>
  <c r="U3553" i="3"/>
  <c r="X3553" i="3"/>
  <c r="U3554" i="3"/>
  <c r="X3554" i="3"/>
  <c r="U3555" i="3"/>
  <c r="X3555" i="3"/>
  <c r="U3556" i="3"/>
  <c r="X3556" i="3"/>
  <c r="U3557" i="3"/>
  <c r="X3557" i="3"/>
  <c r="U3558" i="3"/>
  <c r="X3558" i="3"/>
  <c r="U3559" i="3"/>
  <c r="X3559" i="3"/>
  <c r="U3560" i="3"/>
  <c r="X3560" i="3"/>
  <c r="U3561" i="3"/>
  <c r="X3561" i="3"/>
  <c r="U3562" i="3"/>
  <c r="X3562" i="3"/>
  <c r="U3563" i="3"/>
  <c r="X3563" i="3"/>
  <c r="U3564" i="3"/>
  <c r="X3564" i="3"/>
  <c r="U3565" i="3"/>
  <c r="X3565" i="3"/>
  <c r="U3566" i="3"/>
  <c r="X3566" i="3"/>
  <c r="U3567" i="3"/>
  <c r="X3567" i="3"/>
  <c r="U3568" i="3"/>
  <c r="X3568" i="3"/>
  <c r="U3569" i="3"/>
  <c r="X3569" i="3"/>
  <c r="U3570" i="3"/>
  <c r="X3570" i="3"/>
  <c r="U3571" i="3"/>
  <c r="X3571" i="3"/>
  <c r="U3656" i="3"/>
  <c r="X3656" i="3"/>
  <c r="U3655" i="3"/>
  <c r="X3655" i="3"/>
  <c r="U3654" i="3"/>
  <c r="X3654" i="3"/>
  <c r="U3653" i="3"/>
  <c r="X3653" i="3"/>
  <c r="U3657" i="3"/>
  <c r="X3657" i="3"/>
  <c r="N3647" i="3"/>
  <c r="D3647" i="3"/>
  <c r="N3646" i="3"/>
  <c r="D3646" i="3"/>
  <c r="N3645" i="3"/>
  <c r="D3645" i="3"/>
  <c r="N3644" i="3"/>
  <c r="D3644" i="3"/>
  <c r="N3643" i="3"/>
  <c r="D3643" i="3"/>
  <c r="N3642" i="3"/>
  <c r="D3642" i="3"/>
  <c r="N3641" i="3"/>
  <c r="D3641" i="3"/>
  <c r="N3640" i="3"/>
  <c r="D3640" i="3"/>
  <c r="N3639" i="3"/>
  <c r="D3639" i="3"/>
  <c r="N3638" i="3"/>
  <c r="D3638" i="3"/>
  <c r="N3637" i="3"/>
  <c r="D3637" i="3"/>
  <c r="N3636" i="3"/>
  <c r="D3636" i="3"/>
  <c r="N3635" i="3"/>
  <c r="D3635" i="3"/>
  <c r="N3634" i="3"/>
  <c r="D3634" i="3"/>
  <c r="N3633" i="3"/>
  <c r="D3633" i="3"/>
  <c r="N3632" i="3"/>
  <c r="D3632" i="3"/>
  <c r="N3631" i="3"/>
  <c r="D3631" i="3"/>
  <c r="N3630" i="3"/>
  <c r="D3630" i="3"/>
  <c r="N3629" i="3"/>
  <c r="D3629" i="3"/>
  <c r="N3628" i="3"/>
  <c r="D3628" i="3"/>
  <c r="N3627" i="3"/>
  <c r="D3627" i="3"/>
  <c r="N3626" i="3"/>
  <c r="D3626" i="3"/>
  <c r="N3625" i="3"/>
  <c r="D3625" i="3"/>
  <c r="N3624" i="3"/>
  <c r="D3624" i="3"/>
  <c r="N3623" i="3"/>
  <c r="D3623" i="3"/>
  <c r="N3597" i="3"/>
  <c r="D3597" i="3"/>
  <c r="N3596" i="3"/>
  <c r="D3596" i="3"/>
  <c r="N3595" i="3"/>
  <c r="D3595" i="3"/>
  <c r="N3594" i="3"/>
  <c r="D3594" i="3"/>
  <c r="N3593" i="3"/>
  <c r="D3593" i="3"/>
  <c r="N3592" i="3"/>
  <c r="D3592" i="3"/>
  <c r="N3591" i="3"/>
  <c r="D3591" i="3"/>
  <c r="N3590" i="3"/>
  <c r="D3590" i="3"/>
  <c r="N3589" i="3"/>
  <c r="D3589" i="3"/>
  <c r="N3588" i="3"/>
  <c r="D3588" i="3"/>
  <c r="N3587" i="3"/>
  <c r="D3587" i="3"/>
  <c r="N3586" i="3"/>
  <c r="D3586" i="3"/>
  <c r="N3585" i="3"/>
  <c r="D3585" i="3"/>
  <c r="N3584" i="3"/>
  <c r="D3584" i="3"/>
  <c r="N3583" i="3"/>
  <c r="D3583" i="3"/>
  <c r="N3582" i="3"/>
  <c r="D3582" i="3"/>
  <c r="N3581" i="3"/>
  <c r="D3581" i="3"/>
  <c r="N3580" i="3"/>
  <c r="D3580" i="3"/>
  <c r="N3579" i="3"/>
  <c r="D3579" i="3"/>
  <c r="N3578" i="3"/>
  <c r="D3578" i="3"/>
  <c r="N3577" i="3"/>
  <c r="D3577" i="3"/>
  <c r="N3576" i="3"/>
  <c r="D3576" i="3"/>
  <c r="N3575" i="3"/>
  <c r="D3575" i="3"/>
  <c r="N3574" i="3"/>
  <c r="D3574" i="3"/>
  <c r="N3573" i="3"/>
  <c r="D3573" i="3"/>
  <c r="N3806" i="3"/>
  <c r="D3806" i="3"/>
  <c r="N3805" i="3"/>
  <c r="D3805" i="3"/>
  <c r="N3804" i="3"/>
  <c r="D3804" i="3"/>
  <c r="N3803" i="3"/>
  <c r="D3803" i="3"/>
  <c r="N3802" i="3"/>
  <c r="D3802" i="3"/>
  <c r="N3801" i="3"/>
  <c r="D3801" i="3"/>
  <c r="N3800" i="3"/>
  <c r="D3800" i="3"/>
  <c r="N3799" i="3"/>
  <c r="D3799" i="3"/>
  <c r="N3798" i="3"/>
  <c r="D3798" i="3"/>
  <c r="N3797" i="3"/>
  <c r="D3797" i="3"/>
  <c r="N3796" i="3"/>
  <c r="D3796" i="3"/>
  <c r="N3795" i="3"/>
  <c r="D3795" i="3"/>
  <c r="N3794" i="3"/>
  <c r="D3794" i="3"/>
  <c r="N3793" i="3"/>
  <c r="D3793" i="3"/>
  <c r="N3792" i="3"/>
  <c r="D3792" i="3"/>
  <c r="D3776" i="3"/>
  <c r="N3776" i="3"/>
  <c r="U3776" i="3" l="1"/>
  <c r="X3776" i="3"/>
  <c r="U3792" i="3"/>
  <c r="X3792" i="3"/>
  <c r="U3793" i="3"/>
  <c r="X3793" i="3"/>
  <c r="U3794" i="3"/>
  <c r="X3794" i="3"/>
  <c r="U3795" i="3"/>
  <c r="X3795" i="3"/>
  <c r="U3796" i="3"/>
  <c r="X3796" i="3"/>
  <c r="U3797" i="3"/>
  <c r="X3797" i="3"/>
  <c r="U3798" i="3"/>
  <c r="X3798" i="3"/>
  <c r="U3799" i="3"/>
  <c r="X3799" i="3"/>
  <c r="U3800" i="3"/>
  <c r="X3800" i="3"/>
  <c r="U3801" i="3"/>
  <c r="X3801" i="3"/>
  <c r="U3802" i="3"/>
  <c r="X3802" i="3"/>
  <c r="U3803" i="3"/>
  <c r="X3803" i="3"/>
  <c r="U3804" i="3"/>
  <c r="X3804" i="3"/>
  <c r="U3805" i="3"/>
  <c r="X3805" i="3"/>
  <c r="U3806" i="3"/>
  <c r="X3806" i="3"/>
  <c r="U3573" i="3"/>
  <c r="X3573" i="3"/>
  <c r="U3574" i="3"/>
  <c r="X3574" i="3"/>
  <c r="U3575" i="3"/>
  <c r="X3575" i="3"/>
  <c r="U3576" i="3"/>
  <c r="X3576" i="3"/>
  <c r="U3577" i="3"/>
  <c r="X3577" i="3"/>
  <c r="U3578" i="3"/>
  <c r="X3578" i="3"/>
  <c r="U3579" i="3"/>
  <c r="X3579" i="3"/>
  <c r="U3580" i="3"/>
  <c r="X3580" i="3"/>
  <c r="U3581" i="3"/>
  <c r="X3581" i="3"/>
  <c r="U3582" i="3"/>
  <c r="X3582" i="3"/>
  <c r="U3583" i="3"/>
  <c r="X3583" i="3"/>
  <c r="U3584" i="3"/>
  <c r="X3584" i="3"/>
  <c r="U3585" i="3"/>
  <c r="X3585" i="3"/>
  <c r="U3586" i="3"/>
  <c r="X3586" i="3"/>
  <c r="U3587" i="3"/>
  <c r="X3587" i="3"/>
  <c r="U3588" i="3"/>
  <c r="X3588" i="3"/>
  <c r="U3589" i="3"/>
  <c r="X3589" i="3"/>
  <c r="U3590" i="3"/>
  <c r="X3590" i="3"/>
  <c r="U3591" i="3"/>
  <c r="X3591" i="3"/>
  <c r="U3592" i="3"/>
  <c r="X3592" i="3"/>
  <c r="U3593" i="3"/>
  <c r="X3593" i="3"/>
  <c r="U3594" i="3"/>
  <c r="X3594" i="3"/>
  <c r="U3595" i="3"/>
  <c r="X3595" i="3"/>
  <c r="U3596" i="3"/>
  <c r="X3596" i="3"/>
  <c r="U3597" i="3"/>
  <c r="X3597" i="3"/>
  <c r="U3623" i="3"/>
  <c r="X3623" i="3"/>
  <c r="U3624" i="3"/>
  <c r="X3624" i="3"/>
  <c r="U3625" i="3"/>
  <c r="X3625" i="3"/>
  <c r="U3626" i="3"/>
  <c r="X3626" i="3"/>
  <c r="U3627" i="3"/>
  <c r="X3627" i="3"/>
  <c r="U3628" i="3"/>
  <c r="X3628" i="3"/>
  <c r="U3629" i="3"/>
  <c r="X3629" i="3"/>
  <c r="U3630" i="3"/>
  <c r="X3630" i="3"/>
  <c r="U3631" i="3"/>
  <c r="X3631" i="3"/>
  <c r="U3632" i="3"/>
  <c r="X3632" i="3"/>
  <c r="U3633" i="3"/>
  <c r="X3633" i="3"/>
  <c r="U3634" i="3"/>
  <c r="X3634" i="3"/>
  <c r="U3635" i="3"/>
  <c r="X3635" i="3"/>
  <c r="U3636" i="3"/>
  <c r="X3636" i="3"/>
  <c r="U3637" i="3"/>
  <c r="X3637" i="3"/>
  <c r="U3638" i="3"/>
  <c r="X3638" i="3"/>
  <c r="U3639" i="3"/>
  <c r="X3639" i="3"/>
  <c r="U3640" i="3"/>
  <c r="X3640" i="3"/>
  <c r="U3641" i="3"/>
  <c r="X3641" i="3"/>
  <c r="U3642" i="3"/>
  <c r="X3642" i="3"/>
  <c r="U3643" i="3"/>
  <c r="X3643" i="3"/>
  <c r="U3644" i="3"/>
  <c r="X3644" i="3"/>
  <c r="U3645" i="3"/>
  <c r="X3645" i="3"/>
  <c r="U3646" i="3"/>
  <c r="X3646" i="3"/>
  <c r="U3647" i="3"/>
  <c r="X3647" i="3"/>
  <c r="D3775" i="3"/>
  <c r="N3775" i="3"/>
  <c r="U3775" i="3" l="1"/>
  <c r="X3775" i="3"/>
  <c r="N3774" i="3"/>
  <c r="D3774" i="3"/>
  <c r="U3774" i="3" l="1"/>
  <c r="X3774" i="3"/>
  <c r="N3765" i="3"/>
  <c r="D3765" i="3"/>
  <c r="N3764" i="3"/>
  <c r="D3764" i="3"/>
  <c r="U3764" i="3" l="1"/>
  <c r="X3764" i="3"/>
  <c r="U3765" i="3"/>
  <c r="X3765" i="3"/>
  <c r="L723" i="3"/>
  <c r="L724" i="3"/>
  <c r="L725" i="3"/>
  <c r="L726" i="3"/>
  <c r="L741" i="3"/>
  <c r="L742" i="3"/>
  <c r="L743" i="3"/>
  <c r="L744" i="3"/>
  <c r="L760" i="3"/>
  <c r="L761" i="3"/>
  <c r="L762" i="3"/>
  <c r="L763" i="3"/>
  <c r="L779" i="3"/>
  <c r="L780" i="3"/>
  <c r="L781" i="3"/>
  <c r="L782" i="3"/>
  <c r="L837" i="3"/>
  <c r="L838" i="3"/>
  <c r="L839" i="3"/>
  <c r="L840" i="3"/>
  <c r="L857" i="3"/>
  <c r="L858" i="3"/>
  <c r="L859" i="3"/>
  <c r="L860" i="3"/>
  <c r="L861" i="3"/>
  <c r="L875" i="3"/>
  <c r="L876" i="3"/>
  <c r="L877" i="3"/>
  <c r="L878" i="3"/>
  <c r="L891" i="3"/>
  <c r="L892" i="3"/>
  <c r="L893" i="3"/>
  <c r="L894" i="3"/>
  <c r="L908" i="3"/>
  <c r="L909" i="3"/>
  <c r="L910" i="3"/>
  <c r="L911" i="3"/>
  <c r="L926" i="3"/>
  <c r="L927" i="3"/>
  <c r="L928" i="3"/>
  <c r="L929" i="3"/>
  <c r="L945" i="3"/>
  <c r="L946" i="3"/>
  <c r="L947" i="3"/>
  <c r="L948" i="3"/>
  <c r="L949" i="3"/>
  <c r="L960" i="3"/>
  <c r="L961" i="3"/>
  <c r="L962" i="3"/>
  <c r="L963" i="3"/>
  <c r="L976" i="3"/>
  <c r="L977" i="3"/>
  <c r="L978" i="3"/>
  <c r="L979" i="3"/>
  <c r="L996" i="3"/>
  <c r="L997" i="3"/>
  <c r="L998" i="3"/>
  <c r="L999" i="3"/>
  <c r="L1000" i="3"/>
  <c r="L1014" i="3"/>
  <c r="L1015" i="3"/>
  <c r="L1016" i="3"/>
  <c r="L1017" i="3"/>
  <c r="L1026" i="3"/>
  <c r="L1027" i="3"/>
  <c r="L1036" i="3"/>
  <c r="L1037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93" i="3"/>
  <c r="L194" i="3"/>
  <c r="L195" i="3"/>
  <c r="L196" i="3"/>
  <c r="L197" i="3"/>
  <c r="L198" i="3"/>
  <c r="L199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52" i="3"/>
  <c r="L353" i="3"/>
  <c r="L354" i="3"/>
  <c r="L355" i="3"/>
  <c r="L356" i="3"/>
  <c r="L357" i="3"/>
  <c r="L358" i="3"/>
  <c r="L359" i="3"/>
  <c r="L373" i="3"/>
  <c r="L374" i="3"/>
  <c r="L375" i="3"/>
  <c r="L376" i="3"/>
  <c r="L377" i="3"/>
  <c r="L378" i="3"/>
  <c r="L379" i="3"/>
  <c r="L380" i="3"/>
  <c r="L389" i="3"/>
  <c r="L390" i="3"/>
  <c r="L38" i="3"/>
  <c r="L6754" i="3" l="1"/>
  <c r="L6752" i="3"/>
  <c r="D11" i="3" l="1"/>
  <c r="N11" i="3"/>
  <c r="D4286" i="3" l="1"/>
  <c r="N4286" i="3"/>
  <c r="D4287" i="3"/>
  <c r="N4287" i="3"/>
  <c r="N4285" i="3"/>
  <c r="D4285" i="3"/>
  <c r="N4284" i="3"/>
  <c r="D4284" i="3"/>
  <c r="N4283" i="3"/>
  <c r="D4283" i="3"/>
  <c r="N4282" i="3"/>
  <c r="D4282" i="3"/>
  <c r="N4281" i="3"/>
  <c r="D4281" i="3"/>
  <c r="N4280" i="3"/>
  <c r="D4280" i="3"/>
  <c r="N4279" i="3"/>
  <c r="D4279" i="3"/>
  <c r="N4278" i="3"/>
  <c r="D4278" i="3"/>
  <c r="N4277" i="3"/>
  <c r="D4277" i="3"/>
  <c r="N4226" i="3"/>
  <c r="D4226" i="3"/>
  <c r="N4225" i="3"/>
  <c r="D4225" i="3"/>
  <c r="N4224" i="3"/>
  <c r="D4224" i="3"/>
  <c r="N4223" i="3"/>
  <c r="D4223" i="3"/>
  <c r="N4222" i="3"/>
  <c r="D4222" i="3"/>
  <c r="N4221" i="3"/>
  <c r="D4221" i="3"/>
  <c r="N4220" i="3"/>
  <c r="D4220" i="3"/>
  <c r="N4219" i="3"/>
  <c r="D4219" i="3"/>
  <c r="N4218" i="3"/>
  <c r="D4218" i="3"/>
  <c r="U4218" i="3" l="1"/>
  <c r="X4218" i="3"/>
  <c r="U4219" i="3"/>
  <c r="X4219" i="3"/>
  <c r="U4220" i="3"/>
  <c r="X4220" i="3"/>
  <c r="U4221" i="3"/>
  <c r="X4221" i="3"/>
  <c r="U4222" i="3"/>
  <c r="X4222" i="3"/>
  <c r="U4223" i="3"/>
  <c r="X4223" i="3"/>
  <c r="U4224" i="3"/>
  <c r="X4224" i="3"/>
  <c r="U4225" i="3"/>
  <c r="X4225" i="3"/>
  <c r="U4226" i="3"/>
  <c r="X4226" i="3"/>
  <c r="U4277" i="3"/>
  <c r="X4277" i="3"/>
  <c r="U4278" i="3"/>
  <c r="X4278" i="3"/>
  <c r="U4279" i="3"/>
  <c r="X4279" i="3"/>
  <c r="U4280" i="3"/>
  <c r="X4280" i="3"/>
  <c r="U4281" i="3"/>
  <c r="X4281" i="3"/>
  <c r="U4282" i="3"/>
  <c r="X4282" i="3"/>
  <c r="U4283" i="3"/>
  <c r="X4283" i="3"/>
  <c r="U4284" i="3"/>
  <c r="X4284" i="3"/>
  <c r="U4285" i="3"/>
  <c r="X4285" i="3"/>
  <c r="U4287" i="3"/>
  <c r="X4287" i="3"/>
  <c r="U4286" i="3"/>
  <c r="X4286" i="3"/>
  <c r="N4228" i="3"/>
  <c r="N4229" i="3"/>
  <c r="N4230" i="3"/>
  <c r="N4231" i="3"/>
  <c r="N4232" i="3"/>
  <c r="N4233" i="3"/>
  <c r="N4234" i="3"/>
  <c r="N4235" i="3"/>
  <c r="N4236" i="3"/>
  <c r="N4237" i="3"/>
  <c r="N4238" i="3"/>
  <c r="N4239" i="3"/>
  <c r="N4240" i="3"/>
  <c r="D4239" i="3"/>
  <c r="D4240" i="3"/>
  <c r="D4238" i="3"/>
  <c r="D4237" i="3"/>
  <c r="D4236" i="3"/>
  <c r="D4235" i="3"/>
  <c r="D4234" i="3"/>
  <c r="D4233" i="3"/>
  <c r="D4232" i="3"/>
  <c r="D4231" i="3"/>
  <c r="D4230" i="3"/>
  <c r="D4229" i="3"/>
  <c r="D4228" i="3"/>
  <c r="N4227" i="3"/>
  <c r="D4227" i="3"/>
  <c r="U4227" i="3" l="1"/>
  <c r="X4227" i="3"/>
  <c r="U4240" i="3"/>
  <c r="X4240" i="3"/>
  <c r="U4239" i="3"/>
  <c r="X4239" i="3"/>
  <c r="U4238" i="3"/>
  <c r="X4238" i="3"/>
  <c r="U4237" i="3"/>
  <c r="X4237" i="3"/>
  <c r="U4236" i="3"/>
  <c r="X4236" i="3"/>
  <c r="U4235" i="3"/>
  <c r="X4235" i="3"/>
  <c r="U4234" i="3"/>
  <c r="X4234" i="3"/>
  <c r="U4233" i="3"/>
  <c r="X4233" i="3"/>
  <c r="U4232" i="3"/>
  <c r="X4232" i="3"/>
  <c r="U4231" i="3"/>
  <c r="X4231" i="3"/>
  <c r="U4230" i="3"/>
  <c r="X4230" i="3"/>
  <c r="U4229" i="3"/>
  <c r="X4229" i="3"/>
  <c r="U4228" i="3"/>
  <c r="X4228" i="3"/>
  <c r="N4318" i="3"/>
  <c r="D4318" i="3"/>
  <c r="N4317" i="3"/>
  <c r="D4317" i="3"/>
  <c r="N4316" i="3"/>
  <c r="D4316" i="3"/>
  <c r="N4315" i="3"/>
  <c r="D4315" i="3"/>
  <c r="N4314" i="3"/>
  <c r="D4314" i="3"/>
  <c r="N4313" i="3"/>
  <c r="D4313" i="3"/>
  <c r="N4312" i="3"/>
  <c r="D4312" i="3"/>
  <c r="N4311" i="3"/>
  <c r="D4311" i="3"/>
  <c r="N4310" i="3"/>
  <c r="D4310" i="3"/>
  <c r="N4307" i="3"/>
  <c r="D4307" i="3"/>
  <c r="N4306" i="3"/>
  <c r="D4306" i="3"/>
  <c r="N4305" i="3"/>
  <c r="D4305" i="3"/>
  <c r="N4304" i="3"/>
  <c r="D4304" i="3"/>
  <c r="N4303" i="3"/>
  <c r="D4303" i="3"/>
  <c r="N4302" i="3"/>
  <c r="D4302" i="3"/>
  <c r="N4301" i="3"/>
  <c r="D4301" i="3"/>
  <c r="N4300" i="3"/>
  <c r="D4300" i="3"/>
  <c r="N4299" i="3"/>
  <c r="D4299" i="3"/>
  <c r="N4354" i="3"/>
  <c r="D4354" i="3"/>
  <c r="N4296" i="3"/>
  <c r="D4296" i="3"/>
  <c r="N4295" i="3"/>
  <c r="D4295" i="3"/>
  <c r="N4294" i="3"/>
  <c r="D4294" i="3"/>
  <c r="N4293" i="3"/>
  <c r="D4293" i="3"/>
  <c r="N4292" i="3"/>
  <c r="D4292" i="3"/>
  <c r="N4291" i="3"/>
  <c r="D4291" i="3"/>
  <c r="N4290" i="3"/>
  <c r="D4290" i="3"/>
  <c r="N4289" i="3"/>
  <c r="D4289" i="3"/>
  <c r="N4288" i="3"/>
  <c r="D4288" i="3"/>
  <c r="U4288" i="3" l="1"/>
  <c r="X4288" i="3"/>
  <c r="U4289" i="3"/>
  <c r="X4289" i="3"/>
  <c r="U4290" i="3"/>
  <c r="X4290" i="3"/>
  <c r="U4291" i="3"/>
  <c r="X4291" i="3"/>
  <c r="U4292" i="3"/>
  <c r="X4292" i="3"/>
  <c r="U4293" i="3"/>
  <c r="X4293" i="3"/>
  <c r="U4294" i="3"/>
  <c r="X4294" i="3"/>
  <c r="U4295" i="3"/>
  <c r="X4295" i="3"/>
  <c r="U4296" i="3"/>
  <c r="X4296" i="3"/>
  <c r="U4354" i="3"/>
  <c r="X4354" i="3"/>
  <c r="U4299" i="3"/>
  <c r="X4299" i="3"/>
  <c r="U4300" i="3"/>
  <c r="X4300" i="3"/>
  <c r="U4301" i="3"/>
  <c r="X4301" i="3"/>
  <c r="U4302" i="3"/>
  <c r="X4302" i="3"/>
  <c r="U4303" i="3"/>
  <c r="X4303" i="3"/>
  <c r="U4304" i="3"/>
  <c r="X4304" i="3"/>
  <c r="U4305" i="3"/>
  <c r="X4305" i="3"/>
  <c r="U4306" i="3"/>
  <c r="X4306" i="3"/>
  <c r="U4307" i="3"/>
  <c r="X4307" i="3"/>
  <c r="U4310" i="3"/>
  <c r="X4310" i="3"/>
  <c r="U4311" i="3"/>
  <c r="X4311" i="3"/>
  <c r="U4312" i="3"/>
  <c r="X4312" i="3"/>
  <c r="U4313" i="3"/>
  <c r="X4313" i="3"/>
  <c r="U4314" i="3"/>
  <c r="X4314" i="3"/>
  <c r="U4315" i="3"/>
  <c r="X4315" i="3"/>
  <c r="U4316" i="3"/>
  <c r="X4316" i="3"/>
  <c r="U4317" i="3"/>
  <c r="X4317" i="3"/>
  <c r="U4318" i="3"/>
  <c r="X4318" i="3"/>
  <c r="N4039" i="3"/>
  <c r="D4039" i="3"/>
  <c r="N4038" i="3"/>
  <c r="D4038" i="3"/>
  <c r="N4057" i="3"/>
  <c r="D4057" i="3"/>
  <c r="N4056" i="3"/>
  <c r="D4056" i="3"/>
  <c r="D4075" i="3"/>
  <c r="N4075" i="3"/>
  <c r="N4078" i="3"/>
  <c r="D4078" i="3"/>
  <c r="N4074" i="3"/>
  <c r="D4074" i="3"/>
  <c r="N4073" i="3"/>
  <c r="D4073" i="3"/>
  <c r="N4072" i="3"/>
  <c r="D4072" i="3"/>
  <c r="N4071" i="3"/>
  <c r="D4071" i="3"/>
  <c r="N4070" i="3"/>
  <c r="D4070" i="3"/>
  <c r="N4069" i="3"/>
  <c r="D4069" i="3"/>
  <c r="N4068" i="3"/>
  <c r="D4068" i="3"/>
  <c r="N4067" i="3"/>
  <c r="D4067" i="3"/>
  <c r="N4066" i="3"/>
  <c r="D4066" i="3"/>
  <c r="N4065" i="3"/>
  <c r="D4065" i="3"/>
  <c r="N4064" i="3"/>
  <c r="D4064" i="3"/>
  <c r="N4063" i="3"/>
  <c r="D4063" i="3"/>
  <c r="N4062" i="3"/>
  <c r="D4062" i="3"/>
  <c r="N4061" i="3"/>
  <c r="D4061" i="3"/>
  <c r="N4060" i="3"/>
  <c r="D4060" i="3"/>
  <c r="N4055" i="3"/>
  <c r="D4055" i="3"/>
  <c r="N4054" i="3"/>
  <c r="D4054" i="3"/>
  <c r="N4053" i="3"/>
  <c r="D4053" i="3"/>
  <c r="N4052" i="3"/>
  <c r="D4052" i="3"/>
  <c r="N4051" i="3"/>
  <c r="D4051" i="3"/>
  <c r="N4050" i="3"/>
  <c r="D4050" i="3"/>
  <c r="N4049" i="3"/>
  <c r="D4049" i="3"/>
  <c r="N4048" i="3"/>
  <c r="D4048" i="3"/>
  <c r="N4047" i="3"/>
  <c r="D4047" i="3"/>
  <c r="N4046" i="3"/>
  <c r="D4046" i="3"/>
  <c r="N4045" i="3"/>
  <c r="D4045" i="3"/>
  <c r="N4044" i="3"/>
  <c r="D4044" i="3"/>
  <c r="N4043" i="3"/>
  <c r="D4043" i="3"/>
  <c r="U4043" i="3" l="1"/>
  <c r="X4043" i="3"/>
  <c r="U4044" i="3"/>
  <c r="X4044" i="3"/>
  <c r="U4045" i="3"/>
  <c r="X4045" i="3"/>
  <c r="U4046" i="3"/>
  <c r="X4046" i="3"/>
  <c r="U4047" i="3"/>
  <c r="X4047" i="3"/>
  <c r="U4048" i="3"/>
  <c r="X4048" i="3"/>
  <c r="U4049" i="3"/>
  <c r="X4049" i="3"/>
  <c r="U4050" i="3"/>
  <c r="X4050" i="3"/>
  <c r="U4051" i="3"/>
  <c r="X4051" i="3"/>
  <c r="U4052" i="3"/>
  <c r="X4052" i="3"/>
  <c r="U4053" i="3"/>
  <c r="X4053" i="3"/>
  <c r="U4054" i="3"/>
  <c r="X4054" i="3"/>
  <c r="U4055" i="3"/>
  <c r="X4055" i="3"/>
  <c r="U4060" i="3"/>
  <c r="X4060" i="3"/>
  <c r="U4061" i="3"/>
  <c r="X4061" i="3"/>
  <c r="U4062" i="3"/>
  <c r="X4062" i="3"/>
  <c r="U4063" i="3"/>
  <c r="X4063" i="3"/>
  <c r="U4064" i="3"/>
  <c r="X4064" i="3"/>
  <c r="U4065" i="3"/>
  <c r="X4065" i="3"/>
  <c r="U4066" i="3"/>
  <c r="X4066" i="3"/>
  <c r="U4067" i="3"/>
  <c r="X4067" i="3"/>
  <c r="U4068" i="3"/>
  <c r="X4068" i="3"/>
  <c r="U4069" i="3"/>
  <c r="X4069" i="3"/>
  <c r="U4070" i="3"/>
  <c r="X4070" i="3"/>
  <c r="U4071" i="3"/>
  <c r="X4071" i="3"/>
  <c r="U4072" i="3"/>
  <c r="X4072" i="3"/>
  <c r="U4073" i="3"/>
  <c r="X4073" i="3"/>
  <c r="U4074" i="3"/>
  <c r="X4074" i="3"/>
  <c r="U4078" i="3"/>
  <c r="X4078" i="3"/>
  <c r="U4075" i="3"/>
  <c r="X4075" i="3"/>
  <c r="U4056" i="3"/>
  <c r="X4056" i="3"/>
  <c r="U4057" i="3"/>
  <c r="X4057" i="3"/>
  <c r="U4038" i="3"/>
  <c r="X4038" i="3"/>
  <c r="U4039" i="3"/>
  <c r="X4039" i="3"/>
  <c r="N4042" i="3"/>
  <c r="D4042" i="3"/>
  <c r="N4037" i="3"/>
  <c r="D4037" i="3"/>
  <c r="N4036" i="3"/>
  <c r="D4036" i="3"/>
  <c r="N4035" i="3"/>
  <c r="D4035" i="3"/>
  <c r="N4034" i="3"/>
  <c r="D4034" i="3"/>
  <c r="N4033" i="3"/>
  <c r="D4033" i="3"/>
  <c r="N4032" i="3"/>
  <c r="D4032" i="3"/>
  <c r="N4031" i="3"/>
  <c r="D4031" i="3"/>
  <c r="N4030" i="3"/>
  <c r="D4030" i="3"/>
  <c r="N4029" i="3"/>
  <c r="D4029" i="3"/>
  <c r="N4028" i="3"/>
  <c r="D4028" i="3"/>
  <c r="N4027" i="3"/>
  <c r="D4027" i="3"/>
  <c r="N4026" i="3"/>
  <c r="D4026" i="3"/>
  <c r="N4025" i="3"/>
  <c r="D4025" i="3"/>
  <c r="D3866" i="3"/>
  <c r="N3866" i="3"/>
  <c r="D3867" i="3"/>
  <c r="N3867" i="3"/>
  <c r="D3868" i="3"/>
  <c r="N3868" i="3"/>
  <c r="N3877" i="3"/>
  <c r="D3877" i="3"/>
  <c r="N3876" i="3"/>
  <c r="D3876" i="3"/>
  <c r="N3875" i="3"/>
  <c r="D3875" i="3"/>
  <c r="N3874" i="3"/>
  <c r="D3874" i="3"/>
  <c r="N3873" i="3"/>
  <c r="D3873" i="3"/>
  <c r="N3872" i="3"/>
  <c r="D3872" i="3"/>
  <c r="N3871" i="3"/>
  <c r="D3871" i="3"/>
  <c r="N3865" i="3"/>
  <c r="D3865" i="3"/>
  <c r="N3864" i="3"/>
  <c r="D3864" i="3"/>
  <c r="N3863" i="3"/>
  <c r="D3863" i="3"/>
  <c r="N3862" i="3"/>
  <c r="D3862" i="3"/>
  <c r="N3860" i="3"/>
  <c r="D3860" i="3"/>
  <c r="D3830" i="3"/>
  <c r="D3831" i="3"/>
  <c r="D3832" i="3"/>
  <c r="D3833" i="3"/>
  <c r="D3834" i="3"/>
  <c r="D3835" i="3"/>
  <c r="D3836" i="3"/>
  <c r="N3832" i="3"/>
  <c r="N3831" i="3"/>
  <c r="N3830" i="3"/>
  <c r="N3829" i="3"/>
  <c r="D3829" i="3"/>
  <c r="N3828" i="3"/>
  <c r="D3828" i="3"/>
  <c r="N3827" i="3"/>
  <c r="D3827" i="3"/>
  <c r="N3826" i="3"/>
  <c r="D3826" i="3"/>
  <c r="N3825" i="3"/>
  <c r="D3825" i="3"/>
  <c r="N3823" i="3"/>
  <c r="D3823" i="3"/>
  <c r="U3823" i="3" l="1"/>
  <c r="X3823" i="3"/>
  <c r="U3825" i="3"/>
  <c r="X3825" i="3"/>
  <c r="U3826" i="3"/>
  <c r="X3826" i="3"/>
  <c r="U3827" i="3"/>
  <c r="X3827" i="3"/>
  <c r="U3828" i="3"/>
  <c r="X3828" i="3"/>
  <c r="U3829" i="3"/>
  <c r="X3829" i="3"/>
  <c r="U3830" i="3"/>
  <c r="X3830" i="3"/>
  <c r="U3831" i="3"/>
  <c r="X3831" i="3"/>
  <c r="U3832" i="3"/>
  <c r="X3832" i="3"/>
  <c r="U3860" i="3"/>
  <c r="X3860" i="3"/>
  <c r="U3862" i="3"/>
  <c r="X3862" i="3"/>
  <c r="U3863" i="3"/>
  <c r="X3863" i="3"/>
  <c r="U3864" i="3"/>
  <c r="X3864" i="3"/>
  <c r="U3865" i="3"/>
  <c r="X3865" i="3"/>
  <c r="U3871" i="3"/>
  <c r="X3871" i="3"/>
  <c r="U3872" i="3"/>
  <c r="X3872" i="3"/>
  <c r="U3873" i="3"/>
  <c r="X3873" i="3"/>
  <c r="U3874" i="3"/>
  <c r="X3874" i="3"/>
  <c r="U3875" i="3"/>
  <c r="X3875" i="3"/>
  <c r="U3876" i="3"/>
  <c r="X3876" i="3"/>
  <c r="U3877" i="3"/>
  <c r="X3877" i="3"/>
  <c r="U3868" i="3"/>
  <c r="X3868" i="3"/>
  <c r="U3867" i="3"/>
  <c r="X3867" i="3"/>
  <c r="U3866" i="3"/>
  <c r="X3866" i="3"/>
  <c r="U4025" i="3"/>
  <c r="X4025" i="3"/>
  <c r="U4026" i="3"/>
  <c r="X4026" i="3"/>
  <c r="U4027" i="3"/>
  <c r="X4027" i="3"/>
  <c r="U4028" i="3"/>
  <c r="X4028" i="3"/>
  <c r="U4029" i="3"/>
  <c r="X4029" i="3"/>
  <c r="U4030" i="3"/>
  <c r="X4030" i="3"/>
  <c r="U4031" i="3"/>
  <c r="X4031" i="3"/>
  <c r="U4032" i="3"/>
  <c r="X4032" i="3"/>
  <c r="U4033" i="3"/>
  <c r="X4033" i="3"/>
  <c r="U4034" i="3"/>
  <c r="X4034" i="3"/>
  <c r="U4035" i="3"/>
  <c r="X4035" i="3"/>
  <c r="U4036" i="3"/>
  <c r="X4036" i="3"/>
  <c r="U4037" i="3"/>
  <c r="X4037" i="3"/>
  <c r="U4042" i="3"/>
  <c r="X4042" i="3"/>
  <c r="N4355" i="3"/>
  <c r="D4355" i="3"/>
  <c r="N3836" i="3"/>
  <c r="N3835" i="3"/>
  <c r="N3834" i="3"/>
  <c r="N3833" i="3"/>
  <c r="N3822" i="3"/>
  <c r="D3822" i="3"/>
  <c r="N3821" i="3"/>
  <c r="D3821" i="3"/>
  <c r="N3820" i="3"/>
  <c r="D3820" i="3"/>
  <c r="N3819" i="3"/>
  <c r="D3819" i="3"/>
  <c r="N3818" i="3"/>
  <c r="D3818" i="3"/>
  <c r="N3815" i="3"/>
  <c r="D3815" i="3"/>
  <c r="N3814" i="3"/>
  <c r="D3814" i="3"/>
  <c r="N3813" i="3"/>
  <c r="D3813" i="3"/>
  <c r="N3812" i="3"/>
  <c r="D3812" i="3"/>
  <c r="N3811" i="3"/>
  <c r="D3811" i="3"/>
  <c r="N3809" i="3"/>
  <c r="D3809" i="3"/>
  <c r="N3808" i="3"/>
  <c r="U3808" i="3" l="1"/>
  <c r="X3808" i="3"/>
  <c r="U3809" i="3"/>
  <c r="X3809" i="3"/>
  <c r="U3811" i="3"/>
  <c r="X3811" i="3"/>
  <c r="U3812" i="3"/>
  <c r="X3812" i="3"/>
  <c r="U3813" i="3"/>
  <c r="X3813" i="3"/>
  <c r="U3814" i="3"/>
  <c r="X3814" i="3"/>
  <c r="U3815" i="3"/>
  <c r="X3815" i="3"/>
  <c r="U3818" i="3"/>
  <c r="X3818" i="3"/>
  <c r="U3819" i="3"/>
  <c r="X3819" i="3"/>
  <c r="U3820" i="3"/>
  <c r="X3820" i="3"/>
  <c r="U3821" i="3"/>
  <c r="X3821" i="3"/>
  <c r="U3822" i="3"/>
  <c r="X3822" i="3"/>
  <c r="U3833" i="3"/>
  <c r="X3833" i="3"/>
  <c r="U3834" i="3"/>
  <c r="X3834" i="3"/>
  <c r="U3835" i="3"/>
  <c r="X3835" i="3"/>
  <c r="U3836" i="3"/>
  <c r="X3836" i="3"/>
  <c r="U4355" i="3"/>
  <c r="X4355" i="3"/>
  <c r="D3428" i="3"/>
  <c r="N3428" i="3"/>
  <c r="A2145" i="3"/>
  <c r="A2146" i="3"/>
  <c r="A2147" i="3"/>
  <c r="A2148" i="3"/>
  <c r="A2149" i="3"/>
  <c r="A2150" i="3"/>
  <c r="A2151" i="3"/>
  <c r="A2152" i="3"/>
  <c r="A2154" i="3"/>
  <c r="D2148" i="3"/>
  <c r="D2147" i="3"/>
  <c r="D2146" i="3"/>
  <c r="D2145" i="3"/>
  <c r="A2076" i="3"/>
  <c r="A2077" i="3"/>
  <c r="A2078" i="3"/>
  <c r="A2079" i="3"/>
  <c r="A2080" i="3"/>
  <c r="A2081" i="3"/>
  <c r="A2082" i="3"/>
  <c r="A2083" i="3"/>
  <c r="A2085" i="3"/>
  <c r="D2079" i="3"/>
  <c r="D2078" i="3"/>
  <c r="D2077" i="3"/>
  <c r="D2076" i="3"/>
  <c r="A1775" i="3"/>
  <c r="A1776" i="3"/>
  <c r="A1777" i="3"/>
  <c r="A1778" i="3"/>
  <c r="A1779" i="3"/>
  <c r="A1780" i="3"/>
  <c r="A1781" i="3"/>
  <c r="A1782" i="3"/>
  <c r="A1783" i="3"/>
  <c r="A1784" i="3"/>
  <c r="A1785" i="3"/>
  <c r="D1779" i="3"/>
  <c r="D1778" i="3"/>
  <c r="D1777" i="3"/>
  <c r="D1776" i="3"/>
  <c r="U3428" i="3" l="1"/>
  <c r="X3428" i="3"/>
  <c r="D1671" i="3"/>
  <c r="A1669" i="3"/>
  <c r="D1669" i="3"/>
  <c r="D1670" i="3"/>
  <c r="R3" i="83" l="1"/>
  <c r="D3766" i="3" l="1"/>
  <c r="N3766" i="3"/>
  <c r="D3767" i="3"/>
  <c r="N3767" i="3"/>
  <c r="D3768" i="3"/>
  <c r="N3768" i="3"/>
  <c r="D3769" i="3"/>
  <c r="N3769" i="3"/>
  <c r="D3770" i="3"/>
  <c r="N3770" i="3"/>
  <c r="D3771" i="3"/>
  <c r="N3771" i="3"/>
  <c r="D3772" i="3"/>
  <c r="N3772" i="3"/>
  <c r="D3773" i="3"/>
  <c r="N3773" i="3"/>
  <c r="U3773" i="3" l="1"/>
  <c r="X3773" i="3"/>
  <c r="U3772" i="3"/>
  <c r="X3772" i="3"/>
  <c r="U3771" i="3"/>
  <c r="X3771" i="3"/>
  <c r="U3770" i="3"/>
  <c r="X3770" i="3"/>
  <c r="U3769" i="3"/>
  <c r="X3769" i="3"/>
  <c r="U3768" i="3"/>
  <c r="X3768" i="3"/>
  <c r="U3767" i="3"/>
  <c r="X3767" i="3"/>
  <c r="U3766" i="3"/>
  <c r="X3766" i="3"/>
  <c r="U5236" i="3"/>
  <c r="D5236" i="3"/>
  <c r="A5236" i="3"/>
  <c r="A5179" i="3"/>
  <c r="D5179" i="3"/>
  <c r="U5179" i="3"/>
  <c r="D5182" i="3"/>
  <c r="U5182" i="3"/>
  <c r="N3763" i="3" l="1"/>
  <c r="D3763" i="3"/>
  <c r="N3762" i="3"/>
  <c r="D3762" i="3"/>
  <c r="D3658" i="3"/>
  <c r="N3658" i="3"/>
  <c r="N3807" i="3"/>
  <c r="D3807" i="3"/>
  <c r="N3663" i="3"/>
  <c r="D3663" i="3"/>
  <c r="N3662" i="3"/>
  <c r="D3662" i="3"/>
  <c r="N3661" i="3"/>
  <c r="D3661" i="3"/>
  <c r="N3660" i="3"/>
  <c r="D3660" i="3"/>
  <c r="N3659" i="3"/>
  <c r="D3659" i="3"/>
  <c r="N3652" i="3"/>
  <c r="D3652" i="3"/>
  <c r="N3651" i="3"/>
  <c r="D3651" i="3"/>
  <c r="N3650" i="3"/>
  <c r="D3650" i="3"/>
  <c r="N3649" i="3"/>
  <c r="D3649" i="3"/>
  <c r="N3648" i="3"/>
  <c r="D3648" i="3"/>
  <c r="U3648" i="3" l="1"/>
  <c r="X3648" i="3"/>
  <c r="U3649" i="3"/>
  <c r="X3649" i="3"/>
  <c r="U3650" i="3"/>
  <c r="X3650" i="3"/>
  <c r="U3651" i="3"/>
  <c r="X3651" i="3"/>
  <c r="U3652" i="3"/>
  <c r="X3652" i="3"/>
  <c r="U3659" i="3"/>
  <c r="X3659" i="3"/>
  <c r="U3660" i="3"/>
  <c r="X3660" i="3"/>
  <c r="U3661" i="3"/>
  <c r="X3661" i="3"/>
  <c r="U3662" i="3"/>
  <c r="X3662" i="3"/>
  <c r="U3663" i="3"/>
  <c r="X3663" i="3"/>
  <c r="U3807" i="3"/>
  <c r="X3807" i="3"/>
  <c r="U3658" i="3"/>
  <c r="X3658" i="3"/>
  <c r="U3762" i="3"/>
  <c r="X3762" i="3"/>
  <c r="U3763" i="3"/>
  <c r="X3763" i="3"/>
  <c r="U4864" i="3"/>
  <c r="D4864" i="3"/>
  <c r="A4864" i="3"/>
  <c r="U4863" i="3"/>
  <c r="D4863" i="3"/>
  <c r="A4863" i="3"/>
  <c r="U4862" i="3"/>
  <c r="D4862" i="3"/>
  <c r="A4862" i="3"/>
  <c r="U4861" i="3"/>
  <c r="D4861" i="3"/>
  <c r="A4861" i="3"/>
  <c r="U4860" i="3"/>
  <c r="D4860" i="3"/>
  <c r="A4860" i="3"/>
  <c r="U4859" i="3"/>
  <c r="D4859" i="3"/>
  <c r="A4859" i="3"/>
  <c r="U4858" i="3"/>
  <c r="D4858" i="3"/>
  <c r="A4858" i="3"/>
  <c r="U4857" i="3"/>
  <c r="D4857" i="3"/>
  <c r="A4857" i="3"/>
  <c r="U4856" i="3"/>
  <c r="D4856" i="3"/>
  <c r="A4856" i="3"/>
  <c r="U4855" i="3"/>
  <c r="D4855" i="3"/>
  <c r="A4855" i="3"/>
  <c r="U4854" i="3"/>
  <c r="D4854" i="3"/>
  <c r="A4854" i="3"/>
  <c r="U4853" i="3"/>
  <c r="D4853" i="3"/>
  <c r="A4853" i="3"/>
  <c r="U4852" i="3"/>
  <c r="D4852" i="3"/>
  <c r="U4851" i="3"/>
  <c r="D4851" i="3"/>
  <c r="A4851" i="3"/>
  <c r="U4850" i="3"/>
  <c r="D4850" i="3"/>
  <c r="A4850" i="3"/>
  <c r="U4849" i="3"/>
  <c r="D4849" i="3"/>
  <c r="A4849" i="3"/>
  <c r="U4848" i="3"/>
  <c r="D4848" i="3"/>
  <c r="A4848" i="3"/>
  <c r="U4847" i="3"/>
  <c r="D4847" i="3"/>
  <c r="A4847" i="3"/>
  <c r="U4846" i="3"/>
  <c r="D4846" i="3"/>
  <c r="A4846" i="3"/>
  <c r="U4845" i="3"/>
  <c r="D4845" i="3"/>
  <c r="A4845" i="3"/>
  <c r="U4844" i="3"/>
  <c r="D4844" i="3"/>
  <c r="A4844" i="3"/>
  <c r="U4843" i="3"/>
  <c r="D4843" i="3"/>
  <c r="A4843" i="3"/>
  <c r="U4842" i="3"/>
  <c r="D4842" i="3"/>
  <c r="A4842" i="3"/>
  <c r="U4841" i="3"/>
  <c r="D4841" i="3"/>
  <c r="A4841" i="3"/>
  <c r="U4840" i="3"/>
  <c r="D4840" i="3"/>
  <c r="A4840" i="3"/>
  <c r="U4839" i="3"/>
  <c r="D4839" i="3"/>
  <c r="U4838" i="3"/>
  <c r="D4838" i="3"/>
  <c r="A4838" i="3"/>
  <c r="U4837" i="3"/>
  <c r="D4837" i="3"/>
  <c r="A4837" i="3"/>
  <c r="U4836" i="3"/>
  <c r="D4836" i="3"/>
  <c r="A4836" i="3"/>
  <c r="U4835" i="3"/>
  <c r="D4835" i="3"/>
  <c r="A4835" i="3"/>
  <c r="U4834" i="3"/>
  <c r="D4834" i="3"/>
  <c r="A4834" i="3"/>
  <c r="U4833" i="3"/>
  <c r="D4833" i="3"/>
  <c r="A4833" i="3"/>
  <c r="U4832" i="3"/>
  <c r="D4832" i="3"/>
  <c r="A4832" i="3"/>
  <c r="U4831" i="3"/>
  <c r="D4831" i="3"/>
  <c r="A4831" i="3"/>
  <c r="U4830" i="3"/>
  <c r="D4830" i="3"/>
  <c r="A4830" i="3"/>
  <c r="U4829" i="3"/>
  <c r="D4829" i="3"/>
  <c r="A4829" i="3"/>
  <c r="U4828" i="3"/>
  <c r="D4828" i="3"/>
  <c r="A4828" i="3"/>
  <c r="U4827" i="3"/>
  <c r="D4827" i="3"/>
  <c r="A4827" i="3"/>
  <c r="U4826" i="3"/>
  <c r="D4826" i="3"/>
  <c r="U4825" i="3" l="1"/>
  <c r="D4825" i="3"/>
  <c r="A4825" i="3"/>
  <c r="U4824" i="3"/>
  <c r="D4824" i="3"/>
  <c r="A4824" i="3"/>
  <c r="U4823" i="3"/>
  <c r="D4823" i="3"/>
  <c r="A4823" i="3"/>
  <c r="U4822" i="3"/>
  <c r="D4822" i="3"/>
  <c r="A4822" i="3"/>
  <c r="U4821" i="3"/>
  <c r="D4821" i="3"/>
  <c r="A4821" i="3"/>
  <c r="U4820" i="3"/>
  <c r="D4820" i="3"/>
  <c r="A4820" i="3"/>
  <c r="U4819" i="3"/>
  <c r="D4819" i="3"/>
  <c r="A4819" i="3"/>
  <c r="U4818" i="3"/>
  <c r="D4818" i="3"/>
  <c r="A4818" i="3"/>
  <c r="U4817" i="3"/>
  <c r="D4817" i="3"/>
  <c r="A4817" i="3"/>
  <c r="U4816" i="3"/>
  <c r="D4816" i="3"/>
  <c r="A4816" i="3"/>
  <c r="U4815" i="3"/>
  <c r="D4815" i="3"/>
  <c r="A4815" i="3"/>
  <c r="U4814" i="3"/>
  <c r="D4814" i="3"/>
  <c r="A4814" i="3"/>
  <c r="U4813" i="3"/>
  <c r="D4813" i="3"/>
  <c r="U4740" i="3"/>
  <c r="U4769" i="3"/>
  <c r="U4770" i="3"/>
  <c r="U4771" i="3"/>
  <c r="U4772" i="3"/>
  <c r="U4773" i="3"/>
  <c r="U4774" i="3"/>
  <c r="U4775" i="3"/>
  <c r="U4777" i="3"/>
  <c r="U4781" i="3"/>
  <c r="U4782" i="3"/>
  <c r="U4784" i="3"/>
  <c r="U4785" i="3"/>
  <c r="U4786" i="3"/>
  <c r="U4787" i="3"/>
  <c r="U4788" i="3"/>
  <c r="U4789" i="3"/>
  <c r="U4790" i="3"/>
  <c r="U4791" i="3"/>
  <c r="U4792" i="3"/>
  <c r="U4793" i="3"/>
  <c r="U4794" i="3"/>
  <c r="U4797" i="3"/>
  <c r="U4800" i="3"/>
  <c r="U4801" i="3"/>
  <c r="U4803" i="3"/>
  <c r="U4804" i="3"/>
  <c r="U4805" i="3"/>
  <c r="U4806" i="3"/>
  <c r="U4807" i="3"/>
  <c r="U4808" i="3"/>
  <c r="U4809" i="3"/>
  <c r="U4810" i="3"/>
  <c r="U4811" i="3"/>
  <c r="U4812" i="3"/>
  <c r="U4865" i="3"/>
  <c r="U4866" i="3"/>
  <c r="U4867" i="3"/>
  <c r="U4868" i="3"/>
  <c r="U4869" i="3"/>
  <c r="U4870" i="3"/>
  <c r="U4871" i="3"/>
  <c r="U4872" i="3"/>
  <c r="U4873" i="3"/>
  <c r="U4874" i="3"/>
  <c r="U4875" i="3"/>
  <c r="U4876" i="3"/>
  <c r="U4877" i="3"/>
  <c r="U4878" i="3"/>
  <c r="U4879" i="3"/>
  <c r="U4880" i="3"/>
  <c r="U4881" i="3"/>
  <c r="U4882" i="3"/>
  <c r="U4883" i="3"/>
  <c r="U4884" i="3"/>
  <c r="U4885" i="3"/>
  <c r="U4886" i="3"/>
  <c r="U4887" i="3"/>
  <c r="U4888" i="3"/>
  <c r="U4889" i="3"/>
  <c r="U4890" i="3"/>
  <c r="U4891" i="3"/>
  <c r="U4901" i="3"/>
  <c r="U4902" i="3"/>
  <c r="U4903" i="3"/>
  <c r="U4904" i="3"/>
  <c r="U4905" i="3"/>
  <c r="U4906" i="3"/>
  <c r="U4907" i="3"/>
  <c r="U4908" i="3"/>
  <c r="U4909" i="3"/>
  <c r="U5019" i="3"/>
  <c r="U5022" i="3"/>
  <c r="U5025" i="3"/>
  <c r="U5026" i="3"/>
  <c r="U5028" i="3"/>
  <c r="U5029" i="3"/>
  <c r="U5030" i="3"/>
  <c r="U5031" i="3"/>
  <c r="U5032" i="3"/>
  <c r="U5033" i="3"/>
  <c r="U5034" i="3"/>
  <c r="U5035" i="3"/>
  <c r="U5036" i="3"/>
  <c r="U5037" i="3"/>
  <c r="U5038" i="3"/>
  <c r="U5041" i="3"/>
  <c r="U5044" i="3"/>
  <c r="U5045" i="3"/>
  <c r="U5047" i="3"/>
  <c r="U5048" i="3"/>
  <c r="U5049" i="3"/>
  <c r="U5050" i="3"/>
  <c r="U5051" i="3"/>
  <c r="U5052" i="3"/>
  <c r="U5053" i="3"/>
  <c r="U5054" i="3"/>
  <c r="U5055" i="3"/>
  <c r="U5056" i="3"/>
  <c r="U5057" i="3"/>
  <c r="U5060" i="3"/>
  <c r="U5063" i="3"/>
  <c r="U5064" i="3"/>
  <c r="U5066" i="3"/>
  <c r="U5067" i="3"/>
  <c r="U5068" i="3"/>
  <c r="U5069" i="3"/>
  <c r="U5070" i="3"/>
  <c r="U5071" i="3"/>
  <c r="U5072" i="3"/>
  <c r="U5073" i="3"/>
  <c r="U5074" i="3"/>
  <c r="U5075" i="3"/>
  <c r="U5076" i="3"/>
  <c r="U5079" i="3"/>
  <c r="U5082" i="3"/>
  <c r="U5083" i="3"/>
  <c r="U5085" i="3"/>
  <c r="U5086" i="3"/>
  <c r="U5087" i="3"/>
  <c r="U5088" i="3"/>
  <c r="U5089" i="3"/>
  <c r="U5090" i="3"/>
  <c r="U5091" i="3"/>
  <c r="U5092" i="3"/>
  <c r="U5093" i="3"/>
  <c r="U5094" i="3"/>
  <c r="U5095" i="3"/>
  <c r="U5098" i="3"/>
  <c r="U5101" i="3"/>
  <c r="U5102" i="3"/>
  <c r="U5104" i="3"/>
  <c r="U5105" i="3"/>
  <c r="U5106" i="3"/>
  <c r="U5107" i="3"/>
  <c r="U5108" i="3"/>
  <c r="U5109" i="3"/>
  <c r="U5110" i="3"/>
  <c r="U5111" i="3"/>
  <c r="U5112" i="3"/>
  <c r="U5113" i="3"/>
  <c r="U5114" i="3"/>
  <c r="U5117" i="3"/>
  <c r="U5120" i="3"/>
  <c r="U5121" i="3"/>
  <c r="U5123" i="3"/>
  <c r="U5124" i="3"/>
  <c r="U5125" i="3"/>
  <c r="U5126" i="3"/>
  <c r="U5127" i="3"/>
  <c r="U5128" i="3"/>
  <c r="U5129" i="3"/>
  <c r="U5130" i="3"/>
  <c r="U5131" i="3"/>
  <c r="U5132" i="3"/>
  <c r="U5184" i="3"/>
  <c r="U5185" i="3"/>
  <c r="U5186" i="3"/>
  <c r="U5187" i="3"/>
  <c r="U5188" i="3"/>
  <c r="U5189" i="3"/>
  <c r="U5190" i="3"/>
  <c r="U5191" i="3"/>
  <c r="U5239" i="3"/>
  <c r="U5241" i="3"/>
  <c r="U5242" i="3"/>
  <c r="U5243" i="3"/>
  <c r="U5244" i="3"/>
  <c r="U5245" i="3"/>
  <c r="U5246" i="3"/>
  <c r="U5247" i="3"/>
  <c r="U5248" i="3"/>
  <c r="U5249" i="3"/>
  <c r="U5252" i="3"/>
  <c r="U5254" i="3"/>
  <c r="U5255" i="3"/>
  <c r="U5258" i="3"/>
  <c r="U5259" i="3"/>
  <c r="U5260" i="3"/>
  <c r="U5261" i="3"/>
  <c r="U5262" i="3"/>
  <c r="U5263" i="3"/>
  <c r="U5807" i="3"/>
  <c r="U5808" i="3"/>
  <c r="U5809" i="3"/>
  <c r="U5810" i="3"/>
  <c r="U5811" i="3"/>
  <c r="U5812" i="3"/>
  <c r="U5813" i="3"/>
  <c r="U5814" i="3"/>
  <c r="U5815" i="3"/>
  <c r="U5816" i="3"/>
  <c r="U5817" i="3"/>
  <c r="U5818" i="3"/>
  <c r="U5819" i="3"/>
  <c r="U5820" i="3"/>
  <c r="U5821" i="3"/>
  <c r="U5822" i="3"/>
  <c r="U5823" i="3"/>
  <c r="U5824" i="3"/>
  <c r="U5825" i="3"/>
  <c r="U5826" i="3"/>
  <c r="U5827" i="3"/>
  <c r="U5828" i="3"/>
  <c r="U5829" i="3"/>
  <c r="U5830" i="3"/>
  <c r="U5831" i="3"/>
  <c r="U5832" i="3"/>
  <c r="U5833" i="3"/>
  <c r="U5834" i="3"/>
  <c r="U5835" i="3"/>
  <c r="U5836" i="3"/>
  <c r="U5837" i="3"/>
  <c r="U5838" i="3"/>
  <c r="U5839" i="3"/>
  <c r="U5840" i="3"/>
  <c r="U5841" i="3"/>
  <c r="U5842" i="3"/>
  <c r="U5843" i="3"/>
  <c r="U5844" i="3"/>
  <c r="U5845" i="3"/>
  <c r="U5846" i="3"/>
  <c r="U5867" i="3"/>
  <c r="U5868" i="3"/>
  <c r="U5869" i="3"/>
  <c r="U5870" i="3"/>
  <c r="U5871" i="3"/>
  <c r="U5872" i="3"/>
  <c r="U5873" i="3"/>
  <c r="U5874" i="3"/>
  <c r="U5875" i="3"/>
  <c r="U5876" i="3"/>
  <c r="U5877" i="3"/>
  <c r="U5878" i="3"/>
  <c r="U5879" i="3"/>
  <c r="U5880" i="3"/>
  <c r="U5881" i="3"/>
  <c r="U5882" i="3"/>
  <c r="U5883" i="3"/>
  <c r="U5884" i="3"/>
  <c r="U5885" i="3"/>
  <c r="U5886" i="3"/>
  <c r="U5887" i="3"/>
  <c r="U5888" i="3"/>
  <c r="U5889" i="3"/>
  <c r="U5890" i="3"/>
  <c r="U5891" i="3"/>
  <c r="U5892" i="3"/>
  <c r="U5893" i="3"/>
  <c r="U5894" i="3"/>
  <c r="U5895" i="3"/>
  <c r="U5896" i="3"/>
  <c r="U5897" i="3"/>
  <c r="U5898" i="3"/>
  <c r="U5899" i="3"/>
  <c r="U5900" i="3"/>
  <c r="U5901" i="3"/>
  <c r="U5902" i="3"/>
  <c r="U5903" i="3"/>
  <c r="U5904" i="3"/>
  <c r="U5905" i="3"/>
  <c r="U5906" i="3"/>
  <c r="U5907" i="3"/>
  <c r="U5908" i="3"/>
  <c r="U5909" i="3"/>
  <c r="U5910" i="3"/>
  <c r="U5911" i="3"/>
  <c r="U5912" i="3"/>
  <c r="U5913" i="3"/>
  <c r="U5914" i="3"/>
  <c r="U5915" i="3"/>
  <c r="U5916" i="3"/>
  <c r="U5917" i="3"/>
  <c r="U5918" i="3"/>
  <c r="U5919" i="3"/>
  <c r="U5920" i="3"/>
  <c r="U5921" i="3"/>
  <c r="U5922" i="3"/>
  <c r="U5923" i="3"/>
  <c r="U5924" i="3"/>
  <c r="U5925" i="3"/>
  <c r="U5926" i="3"/>
  <c r="U5927" i="3"/>
  <c r="U5928" i="3"/>
  <c r="U5929" i="3"/>
  <c r="U5930" i="3"/>
  <c r="U5931" i="3"/>
  <c r="U5932" i="3"/>
  <c r="U5933" i="3"/>
  <c r="U5934" i="3"/>
  <c r="U5935" i="3"/>
  <c r="U5936" i="3"/>
  <c r="U5937" i="3"/>
  <c r="U5938" i="3"/>
  <c r="U5939" i="3"/>
  <c r="U5940" i="3"/>
  <c r="U5941" i="3"/>
  <c r="U5942" i="3"/>
  <c r="U5943" i="3"/>
  <c r="U5944" i="3"/>
  <c r="U5945" i="3"/>
  <c r="U5946" i="3"/>
  <c r="U5947" i="3"/>
  <c r="U5948" i="3"/>
  <c r="U5949" i="3"/>
  <c r="U5950" i="3"/>
  <c r="U5951" i="3"/>
  <c r="U5952" i="3"/>
  <c r="U5953" i="3"/>
  <c r="U5954" i="3"/>
  <c r="U5955" i="3"/>
  <c r="U5956" i="3"/>
  <c r="U5957" i="3"/>
  <c r="U5958" i="3"/>
  <c r="U5959" i="3"/>
  <c r="U5960" i="3"/>
  <c r="U5961" i="3"/>
  <c r="U5962" i="3"/>
  <c r="U5963" i="3"/>
  <c r="U5964" i="3"/>
  <c r="U5965" i="3"/>
  <c r="U5966" i="3"/>
  <c r="U5967" i="3"/>
  <c r="U5968" i="3"/>
  <c r="U5969" i="3"/>
  <c r="U5970" i="3"/>
  <c r="U5971" i="3"/>
  <c r="U5972" i="3"/>
  <c r="U5973" i="3"/>
  <c r="U5974" i="3"/>
  <c r="U5975" i="3"/>
  <c r="U5976" i="3"/>
  <c r="U5997" i="3"/>
  <c r="U5998" i="3"/>
  <c r="U5999" i="3"/>
  <c r="U6000" i="3"/>
  <c r="U6001" i="3"/>
  <c r="U6002" i="3"/>
  <c r="U6003" i="3"/>
  <c r="U6004" i="3"/>
  <c r="U6005" i="3"/>
  <c r="U6006" i="3"/>
  <c r="U6007" i="3"/>
  <c r="U6008" i="3"/>
  <c r="U6012" i="3"/>
  <c r="U6090" i="3"/>
  <c r="U6091" i="3"/>
  <c r="U6092" i="3"/>
  <c r="U6093" i="3"/>
  <c r="U6094" i="3"/>
  <c r="U6095" i="3"/>
  <c r="U6096" i="3"/>
  <c r="U6097" i="3"/>
  <c r="U6098" i="3"/>
  <c r="U6099" i="3"/>
  <c r="U6100" i="3"/>
  <c r="U6101" i="3"/>
  <c r="U6102" i="3"/>
  <c r="U6103" i="3"/>
  <c r="U6104" i="3"/>
  <c r="U6105" i="3"/>
  <c r="U6106" i="3"/>
  <c r="U6107" i="3"/>
  <c r="U6108" i="3"/>
  <c r="U6109" i="3"/>
  <c r="U6110" i="3"/>
  <c r="U6111" i="3"/>
  <c r="U6112" i="3"/>
  <c r="U6113" i="3"/>
  <c r="U6114" i="3"/>
  <c r="U6115" i="3"/>
  <c r="U6116" i="3"/>
  <c r="U6117" i="3"/>
  <c r="U6118" i="3"/>
  <c r="U6119" i="3"/>
  <c r="U6120" i="3"/>
  <c r="U6121" i="3"/>
  <c r="U6122" i="3"/>
  <c r="U6123" i="3"/>
  <c r="U6124" i="3"/>
  <c r="U6125" i="3"/>
  <c r="U6126" i="3"/>
  <c r="U6127" i="3"/>
  <c r="U6128" i="3"/>
  <c r="U6129" i="3"/>
  <c r="U6130" i="3"/>
  <c r="U6131" i="3"/>
  <c r="U6132" i="3"/>
  <c r="U6134" i="3"/>
  <c r="U6135" i="3"/>
  <c r="U6136" i="3"/>
  <c r="U6137" i="3"/>
  <c r="U6138" i="3"/>
  <c r="U6139" i="3"/>
  <c r="U6140" i="3"/>
  <c r="U6141" i="3"/>
  <c r="U6142" i="3"/>
  <c r="U6143" i="3"/>
  <c r="U6145" i="3"/>
  <c r="U6146" i="3"/>
  <c r="U6147" i="3"/>
  <c r="U6148" i="3"/>
  <c r="U6149" i="3"/>
  <c r="U6150" i="3"/>
  <c r="U6151" i="3"/>
  <c r="U6152" i="3"/>
  <c r="U6153" i="3"/>
  <c r="U6154" i="3"/>
  <c r="U6156" i="3"/>
  <c r="U6157" i="3"/>
  <c r="U6158" i="3"/>
  <c r="U6159" i="3"/>
  <c r="U6160" i="3"/>
  <c r="U6161" i="3"/>
  <c r="U6162" i="3"/>
  <c r="U6163" i="3"/>
  <c r="U6164" i="3"/>
  <c r="U6165" i="3"/>
  <c r="U6166" i="3"/>
  <c r="U6167" i="3"/>
  <c r="U6168" i="3"/>
  <c r="U6169" i="3"/>
  <c r="U6170" i="3"/>
  <c r="U6171" i="3"/>
  <c r="U6172" i="3"/>
  <c r="U6173" i="3"/>
  <c r="U6174" i="3"/>
  <c r="U6175" i="3"/>
  <c r="U6176" i="3"/>
  <c r="U6177" i="3"/>
  <c r="U6178" i="3"/>
  <c r="U6179" i="3"/>
  <c r="U6180" i="3"/>
  <c r="U6181" i="3"/>
  <c r="U6182" i="3"/>
  <c r="U6183" i="3"/>
  <c r="U6184" i="3"/>
  <c r="U6185" i="3"/>
  <c r="U6186" i="3"/>
  <c r="U6187" i="3"/>
  <c r="U6188" i="3"/>
  <c r="U6189" i="3"/>
  <c r="U6190" i="3"/>
  <c r="U6191" i="3"/>
  <c r="U6192" i="3"/>
  <c r="U6193" i="3"/>
  <c r="U6194" i="3"/>
  <c r="U6195" i="3"/>
  <c r="U6196" i="3"/>
  <c r="U6197" i="3"/>
  <c r="U6198" i="3"/>
  <c r="U6199" i="3"/>
  <c r="U6200" i="3"/>
  <c r="U6201" i="3"/>
  <c r="U6202" i="3"/>
  <c r="D5263" i="3"/>
  <c r="A5263" i="3"/>
  <c r="D5262" i="3"/>
  <c r="A5262" i="3"/>
  <c r="D5261" i="3"/>
  <c r="A5261" i="3"/>
  <c r="D5260" i="3"/>
  <c r="A5260" i="3"/>
  <c r="D5259" i="3"/>
  <c r="A5259" i="3"/>
  <c r="D5258" i="3"/>
  <c r="D5255" i="3"/>
  <c r="A5255" i="3"/>
  <c r="D5254" i="3"/>
  <c r="A5254" i="3"/>
  <c r="D5252" i="3"/>
  <c r="A5252" i="3"/>
  <c r="D5249" i="3"/>
  <c r="U4753" i="3" l="1"/>
  <c r="U4752" i="3"/>
  <c r="U4751" i="3"/>
  <c r="U4750" i="3"/>
  <c r="U4749" i="3"/>
  <c r="U4748" i="3"/>
  <c r="U4747" i="3"/>
  <c r="U4746" i="3"/>
  <c r="U4743" i="3"/>
  <c r="U4737" i="3"/>
  <c r="A1" i="5"/>
  <c r="N4673" i="3" l="1"/>
  <c r="U4673" i="3" s="1"/>
  <c r="L4673" i="3"/>
  <c r="B4673" i="3"/>
  <c r="N260" i="3" l="1"/>
  <c r="D260" i="3"/>
  <c r="A260" i="3"/>
  <c r="W260" i="3" s="1"/>
  <c r="N259" i="3"/>
  <c r="D259" i="3"/>
  <c r="A259" i="3"/>
  <c r="W259" i="3" s="1"/>
  <c r="N258" i="3"/>
  <c r="D258" i="3"/>
  <c r="A258" i="3"/>
  <c r="W258" i="3" s="1"/>
  <c r="N257" i="3"/>
  <c r="D257" i="3"/>
  <c r="A257" i="3"/>
  <c r="W257" i="3" s="1"/>
  <c r="N256" i="3"/>
  <c r="D256" i="3"/>
  <c r="W256" i="3"/>
  <c r="N255" i="3"/>
  <c r="D255" i="3"/>
  <c r="W255" i="3"/>
  <c r="N250" i="3"/>
  <c r="D250" i="3"/>
  <c r="W250" i="3"/>
  <c r="N249" i="3"/>
  <c r="D249" i="3"/>
  <c r="W249" i="3"/>
  <c r="N248" i="3"/>
  <c r="D248" i="3"/>
  <c r="W248" i="3"/>
  <c r="N247" i="3"/>
  <c r="D247" i="3"/>
  <c r="W247" i="3"/>
  <c r="N246" i="3"/>
  <c r="D246" i="3"/>
  <c r="A246" i="3"/>
  <c r="W246" i="3" s="1"/>
  <c r="N245" i="3"/>
  <c r="D245" i="3"/>
  <c r="A245" i="3"/>
  <c r="W245" i="3" s="1"/>
  <c r="N244" i="3"/>
  <c r="D244" i="3"/>
  <c r="N243" i="3"/>
  <c r="D243" i="3"/>
  <c r="A243" i="3"/>
  <c r="W243" i="3" s="1"/>
  <c r="N242" i="3"/>
  <c r="D242" i="3"/>
  <c r="A242" i="3"/>
  <c r="W242" i="3" s="1"/>
  <c r="N241" i="3"/>
  <c r="D241" i="3"/>
  <c r="A241" i="3"/>
  <c r="W241" i="3" s="1"/>
  <c r="N240" i="3"/>
  <c r="D240" i="3"/>
  <c r="A240" i="3"/>
  <c r="W240" i="3" s="1"/>
  <c r="N239" i="3"/>
  <c r="D239" i="3"/>
  <c r="W239" i="3"/>
  <c r="N238" i="3"/>
  <c r="D238" i="3"/>
  <c r="W238" i="3"/>
  <c r="N233" i="3"/>
  <c r="D233" i="3"/>
  <c r="W233" i="3"/>
  <c r="N232" i="3"/>
  <c r="D232" i="3"/>
  <c r="W232" i="3"/>
  <c r="N231" i="3"/>
  <c r="D231" i="3"/>
  <c r="W231" i="3"/>
  <c r="N230" i="3"/>
  <c r="D230" i="3"/>
  <c r="W230" i="3"/>
  <c r="N229" i="3"/>
  <c r="D229" i="3"/>
  <c r="W229" i="3"/>
  <c r="N228" i="3"/>
  <c r="D228" i="3"/>
  <c r="A228" i="3"/>
  <c r="W228" i="3" s="1"/>
  <c r="N227" i="3"/>
  <c r="D227" i="3"/>
  <c r="N226" i="3"/>
  <c r="D226" i="3"/>
  <c r="A226" i="3"/>
  <c r="W226" i="3" s="1"/>
  <c r="N225" i="3"/>
  <c r="D225" i="3"/>
  <c r="A225" i="3"/>
  <c r="W225" i="3" s="1"/>
  <c r="N224" i="3"/>
  <c r="D224" i="3"/>
  <c r="A224" i="3"/>
  <c r="W224" i="3" s="1"/>
  <c r="N223" i="3"/>
  <c r="D223" i="3"/>
  <c r="A223" i="3"/>
  <c r="W223" i="3" s="1"/>
  <c r="N222" i="3"/>
  <c r="D222" i="3"/>
  <c r="A222" i="3"/>
  <c r="W222" i="3" s="1"/>
  <c r="N221" i="3"/>
  <c r="D221" i="3"/>
  <c r="W221" i="3"/>
  <c r="N216" i="3"/>
  <c r="D216" i="3"/>
  <c r="W216" i="3"/>
  <c r="N215" i="3"/>
  <c r="D215" i="3"/>
  <c r="W215" i="3"/>
  <c r="N214" i="3"/>
  <c r="D214" i="3"/>
  <c r="W214" i="3"/>
  <c r="N213" i="3"/>
  <c r="D213" i="3"/>
  <c r="W213" i="3"/>
  <c r="N212" i="3"/>
  <c r="D212" i="3"/>
  <c r="A212" i="3"/>
  <c r="W212" i="3" s="1"/>
  <c r="N211" i="3"/>
  <c r="D211" i="3"/>
  <c r="A211" i="3"/>
  <c r="W211" i="3" s="1"/>
  <c r="N210" i="3"/>
  <c r="D210" i="3"/>
  <c r="N196" i="3" l="1"/>
  <c r="D196" i="3"/>
  <c r="A196" i="3"/>
  <c r="W196" i="3" s="1"/>
  <c r="W197" i="3"/>
  <c r="D197" i="3"/>
  <c r="N197" i="3"/>
  <c r="N7" i="3" l="1"/>
  <c r="N1652" i="3"/>
  <c r="D1652" i="3"/>
  <c r="A1652" i="3"/>
  <c r="N1625" i="3"/>
  <c r="D1625" i="3"/>
  <c r="A1625" i="3"/>
  <c r="N1599" i="3"/>
  <c r="D1599" i="3"/>
  <c r="A1599" i="3"/>
  <c r="U1599" i="3" l="1"/>
  <c r="X1599" i="3"/>
  <c r="U1625" i="3"/>
  <c r="X1625" i="3"/>
  <c r="U1652" i="3"/>
  <c r="X1652" i="3"/>
  <c r="A1575" i="3"/>
  <c r="D1575" i="3"/>
  <c r="N1575" i="3"/>
  <c r="X1575" i="3" s="1"/>
  <c r="D1576" i="3"/>
  <c r="N1576" i="3"/>
  <c r="U1576" i="3" l="1"/>
  <c r="X1576" i="3"/>
  <c r="U1575" i="3"/>
  <c r="C15" i="83"/>
  <c r="E156" i="2"/>
  <c r="E157" i="2"/>
  <c r="E158" i="2"/>
  <c r="E159" i="2"/>
  <c r="E155" i="2"/>
  <c r="U9" i="3" s="1"/>
  <c r="U178" i="3" l="1"/>
  <c r="U509" i="3"/>
  <c r="U512" i="3"/>
  <c r="U516" i="3"/>
  <c r="U514" i="3"/>
  <c r="U513" i="3"/>
  <c r="U515" i="3"/>
  <c r="U510" i="3"/>
  <c r="U508" i="3"/>
  <c r="U511" i="3"/>
  <c r="U177" i="3"/>
  <c r="U175" i="3"/>
  <c r="U176" i="3"/>
  <c r="U164" i="3"/>
  <c r="U343" i="3"/>
  <c r="U169" i="3"/>
  <c r="U348" i="3"/>
  <c r="U345" i="3"/>
  <c r="U166" i="3"/>
  <c r="U346" i="3"/>
  <c r="U168" i="3"/>
  <c r="U170" i="3"/>
  <c r="U171" i="3"/>
  <c r="U347" i="3"/>
  <c r="U172" i="3"/>
  <c r="U173" i="3"/>
  <c r="U349" i="3"/>
  <c r="U167" i="3"/>
  <c r="U350" i="3"/>
  <c r="U351" i="3"/>
  <c r="U165" i="3"/>
  <c r="U344" i="3"/>
  <c r="U182" i="3"/>
  <c r="U174" i="3"/>
  <c r="U136" i="3"/>
  <c r="U141" i="3"/>
  <c r="U139" i="3"/>
  <c r="U135" i="3"/>
  <c r="U140" i="3"/>
  <c r="U134" i="3"/>
  <c r="U133" i="3"/>
  <c r="U138" i="3"/>
  <c r="U137" i="3"/>
  <c r="N12" i="83"/>
  <c r="U201" i="3"/>
  <c r="U219" i="3"/>
  <c r="U200" i="3"/>
  <c r="U251" i="3"/>
  <c r="U237" i="3"/>
  <c r="U217" i="3"/>
  <c r="U253" i="3"/>
  <c r="U235" i="3"/>
  <c r="U252" i="3"/>
  <c r="U236" i="3"/>
  <c r="U218" i="3"/>
  <c r="U203" i="3"/>
  <c r="U220" i="3"/>
  <c r="U202" i="3"/>
  <c r="U234" i="3"/>
  <c r="U254" i="3"/>
  <c r="U490" i="3"/>
  <c r="U471" i="3"/>
  <c r="U500" i="3"/>
  <c r="U501" i="3"/>
  <c r="U489" i="3"/>
  <c r="U492" i="3"/>
  <c r="U497" i="3"/>
  <c r="U495" i="3"/>
  <c r="U487" i="3"/>
  <c r="U473" i="3"/>
  <c r="U477" i="3"/>
  <c r="U474" i="3"/>
  <c r="U496" i="3"/>
  <c r="U478" i="3"/>
  <c r="U475" i="3"/>
  <c r="U476" i="3"/>
  <c r="U472" i="3"/>
  <c r="U468" i="3"/>
  <c r="U494" i="3"/>
  <c r="U467" i="3"/>
  <c r="U469" i="3"/>
  <c r="U499" i="3"/>
  <c r="U470" i="3"/>
  <c r="U498" i="3"/>
  <c r="U488" i="3"/>
  <c r="U493" i="3"/>
  <c r="U491" i="3"/>
  <c r="U8" i="3"/>
  <c r="U10" i="3"/>
  <c r="U1006" i="3"/>
  <c r="U867" i="3"/>
  <c r="U17" i="3"/>
  <c r="U813" i="3"/>
  <c r="U804" i="3"/>
  <c r="U809" i="3"/>
  <c r="U820" i="3"/>
  <c r="U824" i="3"/>
  <c r="U819" i="3"/>
  <c r="U814" i="3"/>
  <c r="U808" i="3"/>
  <c r="U807" i="3"/>
  <c r="U821" i="3"/>
  <c r="U806" i="3"/>
  <c r="U805" i="3"/>
  <c r="U812" i="3"/>
  <c r="U811" i="3"/>
  <c r="U822" i="3"/>
  <c r="U810" i="3"/>
  <c r="U818" i="3"/>
  <c r="U817" i="3"/>
  <c r="U816" i="3"/>
  <c r="U823" i="3"/>
  <c r="U815" i="3"/>
  <c r="U793" i="3"/>
  <c r="U788" i="3"/>
  <c r="U784" i="3"/>
  <c r="U783" i="3"/>
  <c r="U800" i="3"/>
  <c r="U791" i="3"/>
  <c r="U795" i="3"/>
  <c r="U792" i="3"/>
  <c r="U786" i="3"/>
  <c r="U787" i="3"/>
  <c r="U801" i="3"/>
  <c r="U798" i="3"/>
  <c r="U797" i="3"/>
  <c r="U794" i="3"/>
  <c r="U790" i="3"/>
  <c r="U802" i="3"/>
  <c r="U785" i="3"/>
  <c r="U789" i="3"/>
  <c r="U796" i="3"/>
  <c r="U799" i="3"/>
  <c r="U803" i="3"/>
  <c r="U753" i="3"/>
  <c r="U772" i="3"/>
  <c r="U28" i="3"/>
  <c r="U668" i="3"/>
  <c r="U667" i="3"/>
  <c r="U669" i="3"/>
  <c r="U666" i="3"/>
  <c r="U6755" i="3"/>
  <c r="U395" i="3"/>
  <c r="U394" i="3"/>
  <c r="U432" i="3"/>
  <c r="U447" i="3"/>
  <c r="U462" i="3"/>
  <c r="U503" i="3"/>
  <c r="U526" i="3"/>
  <c r="U544" i="3"/>
  <c r="U559" i="3"/>
  <c r="U577" i="3"/>
  <c r="U596" i="3"/>
  <c r="U610" i="3"/>
  <c r="U625" i="3"/>
  <c r="U639" i="3"/>
  <c r="U653" i="3"/>
  <c r="U671" i="3"/>
  <c r="U401" i="3"/>
  <c r="U416" i="3"/>
  <c r="U431" i="3"/>
  <c r="U450" i="3"/>
  <c r="U465" i="3"/>
  <c r="U506" i="3"/>
  <c r="U529" i="3"/>
  <c r="U547" i="3"/>
  <c r="U562" i="3"/>
  <c r="U576" i="3"/>
  <c r="U591" i="3"/>
  <c r="U606" i="3"/>
  <c r="U620" i="3"/>
  <c r="U635" i="3"/>
  <c r="U649" i="3"/>
  <c r="U663" i="3"/>
  <c r="U414" i="3"/>
  <c r="U404" i="3"/>
  <c r="U419" i="3"/>
  <c r="U434" i="3"/>
  <c r="U464" i="3"/>
  <c r="U517" i="3"/>
  <c r="U532" i="3"/>
  <c r="U546" i="3"/>
  <c r="U564" i="3"/>
  <c r="U579" i="3"/>
  <c r="U594" i="3"/>
  <c r="U612" i="3"/>
  <c r="U627" i="3"/>
  <c r="U641" i="3"/>
  <c r="U658" i="3"/>
  <c r="U425" i="3"/>
  <c r="U440" i="3"/>
  <c r="U456" i="3"/>
  <c r="U504" i="3"/>
  <c r="U534" i="3"/>
  <c r="U549" i="3"/>
  <c r="U567" i="3"/>
  <c r="U582" i="3"/>
  <c r="U600" i="3"/>
  <c r="U615" i="3"/>
  <c r="U640" i="3"/>
  <c r="U661" i="3"/>
  <c r="U403" i="3"/>
  <c r="U398" i="3"/>
  <c r="U417" i="3"/>
  <c r="U436" i="3"/>
  <c r="U451" i="3"/>
  <c r="U466" i="3"/>
  <c r="U507" i="3"/>
  <c r="U530" i="3"/>
  <c r="U548" i="3"/>
  <c r="U563" i="3"/>
  <c r="U581" i="3"/>
  <c r="U599" i="3"/>
  <c r="U614" i="3"/>
  <c r="U629" i="3"/>
  <c r="U643" i="3"/>
  <c r="U657" i="3"/>
  <c r="U24" i="3"/>
  <c r="U405" i="3"/>
  <c r="U420" i="3"/>
  <c r="U435" i="3"/>
  <c r="U454" i="3"/>
  <c r="U480" i="3"/>
  <c r="U518" i="3"/>
  <c r="U533" i="3"/>
  <c r="U551" i="3"/>
  <c r="U565" i="3"/>
  <c r="U580" i="3"/>
  <c r="U595" i="3"/>
  <c r="U609" i="3"/>
  <c r="U624" i="3"/>
  <c r="U638" i="3"/>
  <c r="U652" i="3"/>
  <c r="U670" i="3"/>
  <c r="U392" i="3"/>
  <c r="U407" i="3"/>
  <c r="U422" i="3"/>
  <c r="U438" i="3"/>
  <c r="U453" i="3"/>
  <c r="U479" i="3"/>
  <c r="U521" i="3"/>
  <c r="U535" i="3"/>
  <c r="U550" i="3"/>
  <c r="U568" i="3"/>
  <c r="U583" i="3"/>
  <c r="U597" i="3"/>
  <c r="U616" i="3"/>
  <c r="U630" i="3"/>
  <c r="U648" i="3"/>
  <c r="U662" i="3"/>
  <c r="U429" i="3"/>
  <c r="U444" i="3"/>
  <c r="U463" i="3"/>
  <c r="U520" i="3"/>
  <c r="U538" i="3"/>
  <c r="U553" i="3"/>
  <c r="U571" i="3"/>
  <c r="U585" i="3"/>
  <c r="U604" i="3"/>
  <c r="U622" i="3"/>
  <c r="U644" i="3"/>
  <c r="U665" i="3"/>
  <c r="U409" i="3"/>
  <c r="U443" i="3"/>
  <c r="U485" i="3"/>
  <c r="U541" i="3"/>
  <c r="U570" i="3"/>
  <c r="U607" i="3"/>
  <c r="U636" i="3"/>
  <c r="U664" i="3"/>
  <c r="U412" i="3"/>
  <c r="U446" i="3"/>
  <c r="U502" i="3"/>
  <c r="U540" i="3"/>
  <c r="U573" i="3"/>
  <c r="U410" i="3"/>
  <c r="U402" i="3"/>
  <c r="U424" i="3"/>
  <c r="U439" i="3"/>
  <c r="U455" i="3"/>
  <c r="U481" i="3"/>
  <c r="U519" i="3"/>
  <c r="U537" i="3"/>
  <c r="U552" i="3"/>
  <c r="U566" i="3"/>
  <c r="U588" i="3"/>
  <c r="U603" i="3"/>
  <c r="U618" i="3"/>
  <c r="U632" i="3"/>
  <c r="U646" i="3"/>
  <c r="U660" i="3"/>
  <c r="U393" i="3"/>
  <c r="U408" i="3"/>
  <c r="U423" i="3"/>
  <c r="U442" i="3"/>
  <c r="U458" i="3"/>
  <c r="U484" i="3"/>
  <c r="U522" i="3"/>
  <c r="U536" i="3"/>
  <c r="U554" i="3"/>
  <c r="U569" i="3"/>
  <c r="U584" i="3"/>
  <c r="U598" i="3"/>
  <c r="U613" i="3"/>
  <c r="U628" i="3"/>
  <c r="U642" i="3"/>
  <c r="U656" i="3"/>
  <c r="U396" i="3"/>
  <c r="U411" i="3"/>
  <c r="U426" i="3"/>
  <c r="U441" i="3"/>
  <c r="U457" i="3"/>
  <c r="U483" i="3"/>
  <c r="U524" i="3"/>
  <c r="U539" i="3"/>
  <c r="U557" i="3"/>
  <c r="U572" i="3"/>
  <c r="U586" i="3"/>
  <c r="U601" i="3"/>
  <c r="U619" i="3"/>
  <c r="U634" i="3"/>
  <c r="U651" i="3"/>
  <c r="U673" i="3"/>
  <c r="U433" i="3"/>
  <c r="U448" i="3"/>
  <c r="U482" i="3"/>
  <c r="U527" i="3"/>
  <c r="U542" i="3"/>
  <c r="U556" i="3"/>
  <c r="U574" i="3"/>
  <c r="U589" i="3"/>
  <c r="U608" i="3"/>
  <c r="U626" i="3"/>
  <c r="U647" i="3"/>
  <c r="U672" i="3"/>
  <c r="U421" i="3"/>
  <c r="U459" i="3"/>
  <c r="U523" i="3"/>
  <c r="U555" i="3"/>
  <c r="U592" i="3"/>
  <c r="U621" i="3"/>
  <c r="U650" i="3"/>
  <c r="U397" i="3"/>
  <c r="U427" i="3"/>
  <c r="U461" i="3"/>
  <c r="U525" i="3"/>
  <c r="U558" i="3"/>
  <c r="U587" i="3"/>
  <c r="U602" i="3"/>
  <c r="U659" i="3"/>
  <c r="U430" i="3"/>
  <c r="U528" i="3"/>
  <c r="U590" i="3"/>
  <c r="U655" i="3"/>
  <c r="U486" i="3"/>
  <c r="U578" i="3"/>
  <c r="U654" i="3"/>
  <c r="U617" i="3"/>
  <c r="U406" i="3"/>
  <c r="U445" i="3"/>
  <c r="U543" i="3"/>
  <c r="U605" i="3"/>
  <c r="U418" i="3"/>
  <c r="U531" i="3"/>
  <c r="U593" i="3"/>
  <c r="U25" i="3"/>
  <c r="U631" i="3"/>
  <c r="U400" i="3"/>
  <c r="U460" i="3"/>
  <c r="U561" i="3"/>
  <c r="U623" i="3"/>
  <c r="U437" i="3"/>
  <c r="U545" i="3"/>
  <c r="U611" i="3"/>
  <c r="U645" i="3"/>
  <c r="U415" i="3"/>
  <c r="U505" i="3"/>
  <c r="U575" i="3"/>
  <c r="U637" i="3"/>
  <c r="U452" i="3"/>
  <c r="U560" i="3"/>
  <c r="U633" i="3"/>
  <c r="U12" i="3"/>
  <c r="U14" i="3"/>
  <c r="U13" i="3"/>
  <c r="U20" i="3"/>
  <c r="U19" i="3"/>
  <c r="U18" i="3"/>
  <c r="U1076" i="3"/>
  <c r="U1067" i="3"/>
  <c r="U1078" i="3"/>
  <c r="U1081" i="3"/>
  <c r="U1080" i="3"/>
  <c r="U1071" i="3"/>
  <c r="U1066" i="3"/>
  <c r="U1069" i="3"/>
  <c r="U1068" i="3"/>
  <c r="U1075" i="3"/>
  <c r="U1070" i="3"/>
  <c r="U1073" i="3"/>
  <c r="U1072" i="3"/>
  <c r="U1079" i="3"/>
  <c r="U1074" i="3"/>
  <c r="U1077" i="3"/>
  <c r="U1099" i="3"/>
  <c r="U1100" i="3"/>
  <c r="U1128" i="3"/>
  <c r="U1113" i="3"/>
  <c r="U1130" i="3"/>
  <c r="U1103" i="3"/>
  <c r="U1139" i="3"/>
  <c r="U1133" i="3"/>
  <c r="U1108" i="3"/>
  <c r="U1135" i="3"/>
  <c r="U1111" i="3"/>
  <c r="U1119" i="3"/>
  <c r="U1106" i="3"/>
  <c r="U1121" i="3"/>
  <c r="U1117" i="3"/>
  <c r="U1123" i="3"/>
  <c r="U1101" i="3"/>
  <c r="U1126" i="3"/>
  <c r="U1221" i="3"/>
  <c r="U1220" i="3"/>
  <c r="U1215" i="3"/>
  <c r="U1208" i="3"/>
  <c r="U1222" i="3"/>
  <c r="U1213" i="3"/>
  <c r="U1224" i="3"/>
  <c r="U1219" i="3"/>
  <c r="U1210" i="3"/>
  <c r="U1212" i="3"/>
  <c r="U1209" i="3"/>
  <c r="U1223" i="3"/>
  <c r="U1214" i="3"/>
  <c r="U1216" i="3"/>
  <c r="U1211" i="3"/>
  <c r="U1217" i="3"/>
  <c r="U1218" i="3"/>
  <c r="U1271" i="3"/>
  <c r="U1258" i="3"/>
  <c r="U1143" i="3"/>
  <c r="U1158" i="3"/>
  <c r="U1177" i="3"/>
  <c r="U1192" i="3"/>
  <c r="U1142" i="3"/>
  <c r="U1157" i="3"/>
  <c r="U1173" i="3"/>
  <c r="U1188" i="3"/>
  <c r="U1203" i="3"/>
  <c r="U1149" i="3"/>
  <c r="U1168" i="3"/>
  <c r="U1183" i="3"/>
  <c r="U1202" i="3"/>
  <c r="U1148" i="3"/>
  <c r="U1163" i="3"/>
  <c r="U1178" i="3"/>
  <c r="U1193" i="3"/>
  <c r="U1147" i="3"/>
  <c r="U1162" i="3"/>
  <c r="U1181" i="3"/>
  <c r="U1196" i="3"/>
  <c r="U1146" i="3"/>
  <c r="U1161" i="3"/>
  <c r="U1176" i="3"/>
  <c r="U1191" i="3"/>
  <c r="U1207" i="3"/>
  <c r="U1153" i="3"/>
  <c r="U1172" i="3"/>
  <c r="U1187" i="3"/>
  <c r="U1206" i="3"/>
  <c r="U1152" i="3"/>
  <c r="U1167" i="3"/>
  <c r="U1182" i="3"/>
  <c r="U1197" i="3"/>
  <c r="U1151" i="3"/>
  <c r="U1166" i="3"/>
  <c r="U1185" i="3"/>
  <c r="U1200" i="3"/>
  <c r="U1150" i="3"/>
  <c r="U1165" i="3"/>
  <c r="U1180" i="3"/>
  <c r="U1195" i="3"/>
  <c r="U1141" i="3"/>
  <c r="U1160" i="3"/>
  <c r="U1175" i="3"/>
  <c r="U1194" i="3"/>
  <c r="U1140" i="3"/>
  <c r="U1156" i="3"/>
  <c r="U1171" i="3"/>
  <c r="U1186" i="3"/>
  <c r="U1201" i="3"/>
  <c r="U1155" i="3"/>
  <c r="U1170" i="3"/>
  <c r="U1189" i="3"/>
  <c r="U1204" i="3"/>
  <c r="U1154" i="3"/>
  <c r="U1169" i="3"/>
  <c r="U1184" i="3"/>
  <c r="U1199" i="3"/>
  <c r="U1145" i="3"/>
  <c r="U1164" i="3"/>
  <c r="U1179" i="3"/>
  <c r="U1198" i="3"/>
  <c r="U1144" i="3"/>
  <c r="U1159" i="3"/>
  <c r="U1174" i="3"/>
  <c r="U1190" i="3"/>
  <c r="U1205" i="3"/>
  <c r="U1295" i="3"/>
  <c r="U1104" i="3"/>
  <c r="U1298" i="3"/>
  <c r="U1109" i="3"/>
  <c r="U1305" i="3"/>
  <c r="U1296" i="3"/>
  <c r="U1112" i="3"/>
  <c r="U1299" i="3"/>
  <c r="U1110" i="3"/>
  <c r="U1302" i="3"/>
  <c r="U1115" i="3"/>
  <c r="U1098" i="3"/>
  <c r="U1300" i="3"/>
  <c r="U1303" i="3"/>
  <c r="U1116" i="3"/>
  <c r="U1306" i="3"/>
  <c r="U1297" i="3"/>
  <c r="U1107" i="3"/>
  <c r="U1304" i="3"/>
  <c r="U1307" i="3"/>
  <c r="U1129" i="3"/>
  <c r="U1102" i="3"/>
  <c r="U1301" i="3"/>
  <c r="U1114" i="3"/>
  <c r="U1105" i="3"/>
  <c r="U1124" i="3"/>
  <c r="U1131" i="3"/>
  <c r="U1120" i="3"/>
  <c r="U1132" i="3"/>
  <c r="U1137" i="3"/>
  <c r="U1118" i="3"/>
  <c r="U1138" i="3"/>
  <c r="U1127" i="3"/>
  <c r="U1125" i="3"/>
  <c r="U1122" i="3"/>
  <c r="U1136" i="3"/>
  <c r="U1134" i="3"/>
  <c r="U1041" i="3"/>
  <c r="U1042" i="3"/>
  <c r="U1054" i="3"/>
  <c r="U1064" i="3"/>
  <c r="U1053" i="3"/>
  <c r="U1090" i="3"/>
  <c r="U1039" i="3"/>
  <c r="U1058" i="3"/>
  <c r="U1086" i="3"/>
  <c r="U1083" i="3"/>
  <c r="U1093" i="3"/>
  <c r="U1048" i="3"/>
  <c r="U1046" i="3"/>
  <c r="U1057" i="3"/>
  <c r="U1089" i="3"/>
  <c r="U1082" i="3"/>
  <c r="U1092" i="3"/>
  <c r="U1045" i="3"/>
  <c r="U1061" i="3"/>
  <c r="U1043" i="3"/>
  <c r="U1085" i="3"/>
  <c r="U1095" i="3"/>
  <c r="U1050" i="3"/>
  <c r="U1049" i="3"/>
  <c r="U1059" i="3"/>
  <c r="U1044" i="3"/>
  <c r="U1084" i="3"/>
  <c r="U1094" i="3"/>
  <c r="U1052" i="3"/>
  <c r="U1063" i="3"/>
  <c r="U1055" i="3"/>
  <c r="U1088" i="3"/>
  <c r="U1097" i="3"/>
  <c r="U1040" i="3"/>
  <c r="U1051" i="3"/>
  <c r="U1062" i="3"/>
  <c r="U1047" i="3"/>
  <c r="U1087" i="3"/>
  <c r="U1096" i="3"/>
  <c r="U1056" i="3"/>
  <c r="U1065" i="3"/>
  <c r="U1060" i="3"/>
  <c r="U1091" i="3"/>
  <c r="U1407" i="3"/>
  <c r="U1411" i="3"/>
  <c r="U1446" i="3"/>
  <c r="U1450" i="3"/>
  <c r="U1403" i="3"/>
  <c r="U1400" i="3"/>
  <c r="U1412" i="3"/>
  <c r="U1487" i="3"/>
  <c r="U1491" i="3"/>
  <c r="U1495" i="3"/>
  <c r="U1413" i="3"/>
  <c r="U1406" i="3"/>
  <c r="U1447" i="3"/>
  <c r="U1451" i="3"/>
  <c r="U1404" i="3"/>
  <c r="U1401" i="3"/>
  <c r="U1484" i="3"/>
  <c r="U1488" i="3"/>
  <c r="U1492" i="3"/>
  <c r="U1496" i="3"/>
  <c r="U1409" i="3"/>
  <c r="U1444" i="3"/>
  <c r="U1448" i="3"/>
  <c r="U1452" i="3"/>
  <c r="U1410" i="3"/>
  <c r="U1402" i="3"/>
  <c r="U1485" i="3"/>
  <c r="U1489" i="3"/>
  <c r="U1493" i="3"/>
  <c r="U1497" i="3"/>
  <c r="U1405" i="3"/>
  <c r="U1445" i="3"/>
  <c r="U1449" i="3"/>
  <c r="U1453" i="3"/>
  <c r="U1399" i="3"/>
  <c r="U1408" i="3"/>
  <c r="U1486" i="3"/>
  <c r="U1490" i="3"/>
  <c r="U1494" i="3"/>
  <c r="U1498" i="3"/>
  <c r="U1353" i="3"/>
  <c r="U1357" i="3"/>
  <c r="U1361" i="3"/>
  <c r="U1365" i="3"/>
  <c r="U1369" i="3"/>
  <c r="U1354" i="3"/>
  <c r="U1358" i="3"/>
  <c r="U1362" i="3"/>
  <c r="U1366" i="3"/>
  <c r="U1355" i="3"/>
  <c r="U1359" i="3"/>
  <c r="U1363" i="3"/>
  <c r="U1367" i="3"/>
  <c r="U1356" i="3"/>
  <c r="U1360" i="3"/>
  <c r="U1364" i="3"/>
  <c r="U1368" i="3"/>
  <c r="U1512" i="3"/>
  <c r="U1516" i="3"/>
  <c r="U1513" i="3"/>
  <c r="U1517" i="3"/>
  <c r="U1514" i="3"/>
  <c r="U1515" i="3"/>
  <c r="U1425" i="3"/>
  <c r="U1501" i="3"/>
  <c r="U1508" i="3"/>
  <c r="U1417" i="3"/>
  <c r="U1421" i="3"/>
  <c r="U1474" i="3"/>
  <c r="U1478" i="3"/>
  <c r="U1482" i="3"/>
  <c r="U1506" i="3"/>
  <c r="U1505" i="3"/>
  <c r="U1423" i="3"/>
  <c r="U1502" i="3"/>
  <c r="U1414" i="3"/>
  <c r="U1418" i="3"/>
  <c r="U1426" i="3"/>
  <c r="U1475" i="3"/>
  <c r="U1479" i="3"/>
  <c r="U1483" i="3"/>
  <c r="U1510" i="3"/>
  <c r="U1509" i="3"/>
  <c r="U1499" i="3"/>
  <c r="U1503" i="3"/>
  <c r="U1415" i="3"/>
  <c r="U1419" i="3"/>
  <c r="U1472" i="3"/>
  <c r="U1476" i="3"/>
  <c r="U1480" i="3"/>
  <c r="U1507" i="3"/>
  <c r="U1424" i="3"/>
  <c r="U1500" i="3"/>
  <c r="U1504" i="3"/>
  <c r="U1416" i="3"/>
  <c r="U1420" i="3"/>
  <c r="U1473" i="3"/>
  <c r="U1477" i="3"/>
  <c r="U1481" i="3"/>
  <c r="U1511" i="3"/>
  <c r="U1422" i="3"/>
  <c r="U1442" i="3"/>
  <c r="U1459" i="3"/>
  <c r="U1467" i="3"/>
  <c r="U1471" i="3"/>
  <c r="U1457" i="3"/>
  <c r="U1396" i="3"/>
  <c r="U1460" i="3"/>
  <c r="U1435" i="3"/>
  <c r="U1439" i="3"/>
  <c r="U1390" i="3"/>
  <c r="U1443" i="3"/>
  <c r="U1464" i="3"/>
  <c r="U1468" i="3"/>
  <c r="U1389" i="3"/>
  <c r="U1461" i="3"/>
  <c r="U1441" i="3"/>
  <c r="U1387" i="3"/>
  <c r="U1436" i="3"/>
  <c r="U1455" i="3"/>
  <c r="U1394" i="3"/>
  <c r="U1454" i="3"/>
  <c r="U1465" i="3"/>
  <c r="U1469" i="3"/>
  <c r="U1393" i="3"/>
  <c r="U1388" i="3"/>
  <c r="U1440" i="3"/>
  <c r="U1391" i="3"/>
  <c r="U1437" i="3"/>
  <c r="U1458" i="3"/>
  <c r="U1398" i="3"/>
  <c r="U1462" i="3"/>
  <c r="U1466" i="3"/>
  <c r="U1470" i="3"/>
  <c r="U1397" i="3"/>
  <c r="U1392" i="3"/>
  <c r="U1456" i="3"/>
  <c r="U1395" i="3"/>
  <c r="U1438" i="3"/>
  <c r="U1463" i="3"/>
  <c r="U1374" i="3"/>
  <c r="U1371" i="3"/>
  <c r="U1379" i="3"/>
  <c r="U1385" i="3"/>
  <c r="U1382" i="3"/>
  <c r="U1433" i="3"/>
  <c r="U1429" i="3"/>
  <c r="U1373" i="3"/>
  <c r="U1372" i="3"/>
  <c r="U1428" i="3"/>
  <c r="U1427" i="3"/>
  <c r="U1430" i="3"/>
  <c r="U1434" i="3"/>
  <c r="U1376" i="3"/>
  <c r="U1378" i="3"/>
  <c r="U1377" i="3"/>
  <c r="U1375" i="3"/>
  <c r="U1431" i="3"/>
  <c r="U1380" i="3"/>
  <c r="U1370" i="3"/>
  <c r="U1384" i="3"/>
  <c r="U1383" i="3"/>
  <c r="U1381" i="3"/>
  <c r="U1432" i="3"/>
  <c r="U1386" i="3"/>
  <c r="U1341" i="3"/>
  <c r="U1345" i="3"/>
  <c r="U1350" i="3"/>
  <c r="U1342" i="3"/>
  <c r="U1346" i="3"/>
  <c r="U1351" i="3"/>
  <c r="U1343" i="3"/>
  <c r="U1347" i="3"/>
  <c r="U1352" i="3"/>
  <c r="U1344" i="3"/>
  <c r="U1349" i="3"/>
  <c r="U1348" i="3"/>
  <c r="U1330" i="3"/>
  <c r="U1337" i="3"/>
  <c r="U1331" i="3"/>
  <c r="U1334" i="3"/>
  <c r="U1332" i="3"/>
  <c r="U1335" i="3"/>
  <c r="U1338" i="3"/>
  <c r="U1336" i="3"/>
  <c r="U1339" i="3"/>
  <c r="U1333" i="3"/>
  <c r="U1340" i="3"/>
  <c r="U382" i="3"/>
  <c r="U381" i="3"/>
  <c r="U384" i="3"/>
  <c r="U383" i="3"/>
  <c r="U6752" i="3"/>
  <c r="U6753" i="3"/>
  <c r="U6754" i="3"/>
  <c r="U385" i="3"/>
  <c r="U386" i="3"/>
  <c r="U388" i="3"/>
  <c r="U387" i="3"/>
  <c r="U106" i="3"/>
  <c r="U112" i="3"/>
  <c r="U153" i="3"/>
  <c r="U157" i="3"/>
  <c r="U161" i="3"/>
  <c r="U142" i="3"/>
  <c r="U146" i="3"/>
  <c r="U334" i="3"/>
  <c r="U338" i="3"/>
  <c r="U342" i="3"/>
  <c r="U126" i="3"/>
  <c r="U130" i="3"/>
  <c r="U187" i="3"/>
  <c r="U191" i="3"/>
  <c r="U115" i="3"/>
  <c r="U119" i="3"/>
  <c r="U123" i="3"/>
  <c r="U183" i="3"/>
  <c r="U109" i="3"/>
  <c r="U150" i="3"/>
  <c r="U154" i="3"/>
  <c r="U158" i="3"/>
  <c r="U162" i="3"/>
  <c r="U143" i="3"/>
  <c r="U147" i="3"/>
  <c r="U335" i="3"/>
  <c r="U339" i="3"/>
  <c r="U108" i="3"/>
  <c r="U127" i="3"/>
  <c r="U131" i="3"/>
  <c r="U188" i="3"/>
  <c r="U192" i="3"/>
  <c r="U116" i="3"/>
  <c r="U120" i="3"/>
  <c r="U179" i="3"/>
  <c r="U184" i="3"/>
  <c r="U110" i="3"/>
  <c r="U151" i="3"/>
  <c r="U155" i="3"/>
  <c r="U159" i="3"/>
  <c r="U163" i="3"/>
  <c r="U144" i="3"/>
  <c r="U148" i="3"/>
  <c r="U336" i="3"/>
  <c r="U340" i="3"/>
  <c r="U124" i="3"/>
  <c r="U128" i="3"/>
  <c r="U132" i="3"/>
  <c r="U189" i="3"/>
  <c r="U113" i="3"/>
  <c r="U117" i="3"/>
  <c r="U121" i="3"/>
  <c r="U180" i="3"/>
  <c r="U185" i="3"/>
  <c r="U111" i="3"/>
  <c r="U152" i="3"/>
  <c r="U156" i="3"/>
  <c r="U160" i="3"/>
  <c r="U107" i="3"/>
  <c r="U145" i="3"/>
  <c r="U149" i="3"/>
  <c r="U337" i="3"/>
  <c r="U341" i="3"/>
  <c r="U125" i="3"/>
  <c r="U129" i="3"/>
  <c r="U186" i="3"/>
  <c r="U190" i="3"/>
  <c r="U114" i="3"/>
  <c r="U118" i="3"/>
  <c r="U122" i="3"/>
  <c r="U181" i="3"/>
  <c r="U367" i="3"/>
  <c r="U366" i="3"/>
  <c r="U370" i="3"/>
  <c r="U368" i="3"/>
  <c r="U369" i="3"/>
  <c r="U372" i="3"/>
  <c r="U371" i="3"/>
  <c r="U363" i="3"/>
  <c r="U362" i="3"/>
  <c r="U361" i="3"/>
  <c r="U365" i="3"/>
  <c r="U360" i="3"/>
  <c r="U364" i="3"/>
  <c r="U11" i="3"/>
  <c r="U213" i="3"/>
  <c r="U232" i="3"/>
  <c r="U259" i="3"/>
  <c r="U227" i="3"/>
  <c r="U246" i="3"/>
  <c r="U215" i="3"/>
  <c r="U242" i="3"/>
  <c r="U210" i="3"/>
  <c r="U229" i="3"/>
  <c r="U248" i="3"/>
  <c r="U256" i="3"/>
  <c r="U221" i="3"/>
  <c r="U240" i="3"/>
  <c r="U212" i="3"/>
  <c r="U231" i="3"/>
  <c r="U250" i="3"/>
  <c r="U223" i="3"/>
  <c r="U245" i="3"/>
  <c r="U214" i="3"/>
  <c r="U233" i="3"/>
  <c r="U225" i="3"/>
  <c r="U247" i="3"/>
  <c r="U216" i="3"/>
  <c r="U239" i="3"/>
  <c r="U258" i="3"/>
  <c r="U230" i="3"/>
  <c r="U249" i="3"/>
  <c r="U222" i="3"/>
  <c r="U241" i="3"/>
  <c r="U260" i="3"/>
  <c r="U244" i="3"/>
  <c r="U228" i="3"/>
  <c r="U255" i="3"/>
  <c r="U224" i="3"/>
  <c r="U243" i="3"/>
  <c r="U211" i="3"/>
  <c r="U238" i="3"/>
  <c r="U257" i="3"/>
  <c r="U226" i="3"/>
  <c r="U196" i="3"/>
  <c r="U197" i="3"/>
  <c r="U7" i="3"/>
  <c r="G15" i="83"/>
  <c r="P15" i="83"/>
  <c r="A1596" i="3"/>
  <c r="D1596" i="3"/>
  <c r="A1" i="23" l="1"/>
  <c r="B4666" i="3"/>
  <c r="N4666" i="3"/>
  <c r="U4666" i="3" s="1"/>
  <c r="N4670" i="3"/>
  <c r="U4670" i="3" s="1"/>
  <c r="B4670" i="3"/>
  <c r="N4669" i="3"/>
  <c r="B4669" i="3"/>
  <c r="N4668" i="3"/>
  <c r="B4668" i="3"/>
  <c r="U4668" i="3" l="1"/>
  <c r="U4669" i="3"/>
  <c r="D6008" i="3"/>
  <c r="A6008" i="3"/>
  <c r="D6007" i="3"/>
  <c r="D6006" i="3"/>
  <c r="A6006" i="3"/>
  <c r="D6005" i="3"/>
  <c r="A6005" i="3"/>
  <c r="D6004" i="3"/>
  <c r="A6004" i="3"/>
  <c r="D6003" i="3"/>
  <c r="A6003" i="3"/>
  <c r="D6002" i="3"/>
  <c r="A6002" i="3"/>
  <c r="D6001" i="3"/>
  <c r="A6001" i="3"/>
  <c r="D6000" i="3"/>
  <c r="A6000" i="3"/>
  <c r="D5999" i="3"/>
  <c r="A5999" i="3"/>
  <c r="D5998" i="3"/>
  <c r="A5998" i="3"/>
  <c r="D5997" i="3"/>
  <c r="D5248" i="3"/>
  <c r="A5248" i="3"/>
  <c r="D5247" i="3"/>
  <c r="A5247" i="3"/>
  <c r="D5246" i="3"/>
  <c r="A5246" i="3"/>
  <c r="D5245" i="3"/>
  <c r="A5245" i="3"/>
  <c r="D5244" i="3"/>
  <c r="A5244" i="3"/>
  <c r="D5243" i="3"/>
  <c r="A5243" i="3"/>
  <c r="D5242" i="3"/>
  <c r="A5242" i="3"/>
  <c r="D5241" i="3"/>
  <c r="A5241" i="3"/>
  <c r="D5239" i="3"/>
  <c r="D5191" i="3"/>
  <c r="A5191" i="3"/>
  <c r="D5190" i="3"/>
  <c r="A5190" i="3"/>
  <c r="D5189" i="3"/>
  <c r="A5189" i="3"/>
  <c r="D5188" i="3"/>
  <c r="A5188" i="3"/>
  <c r="D5187" i="3"/>
  <c r="A5187" i="3"/>
  <c r="D5186" i="3"/>
  <c r="D5185" i="3"/>
  <c r="D5184" i="3"/>
  <c r="Q13" i="6"/>
  <c r="S13" i="6" l="1"/>
  <c r="AF13" i="6" s="1"/>
  <c r="A2188" i="3"/>
  <c r="R4" i="83"/>
  <c r="R5" i="83"/>
  <c r="D3432" i="3"/>
  <c r="N3432" i="3"/>
  <c r="N3431" i="3"/>
  <c r="D3431" i="3"/>
  <c r="U3431" i="3" l="1"/>
  <c r="X3431" i="3"/>
  <c r="U3432" i="3"/>
  <c r="X3432" i="3"/>
  <c r="D3425" i="3"/>
  <c r="N3425" i="3"/>
  <c r="D3430" i="3"/>
  <c r="N3430" i="3"/>
  <c r="D3424" i="3"/>
  <c r="N3424" i="3"/>
  <c r="U3424" i="3" l="1"/>
  <c r="X3424" i="3"/>
  <c r="U3430" i="3"/>
  <c r="X3430" i="3"/>
  <c r="U3425" i="3"/>
  <c r="X3425" i="3"/>
  <c r="N198" i="3"/>
  <c r="U198" i="3" s="1"/>
  <c r="D198" i="3"/>
  <c r="W198" i="3"/>
  <c r="N195" i="3"/>
  <c r="U195" i="3" s="1"/>
  <c r="D195" i="3"/>
  <c r="A39" i="3" l="1"/>
  <c r="A40" i="3"/>
  <c r="A41" i="3"/>
  <c r="A42" i="3"/>
  <c r="A43" i="3"/>
  <c r="A44" i="3"/>
  <c r="A45" i="3"/>
  <c r="A46" i="3"/>
  <c r="A47" i="3"/>
  <c r="A48" i="3"/>
  <c r="A49" i="3"/>
  <c r="A50" i="3"/>
  <c r="A51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94" i="3"/>
  <c r="A206" i="3"/>
  <c r="A207" i="3"/>
  <c r="A208" i="3"/>
  <c r="A209" i="3"/>
  <c r="A262" i="3"/>
  <c r="A263" i="3"/>
  <c r="A264" i="3"/>
  <c r="A265" i="3"/>
  <c r="A266" i="3"/>
  <c r="A267" i="3"/>
  <c r="A268" i="3"/>
  <c r="A269" i="3"/>
  <c r="A270" i="3"/>
  <c r="A272" i="3"/>
  <c r="A273" i="3"/>
  <c r="A274" i="3"/>
  <c r="A275" i="3"/>
  <c r="A276" i="3"/>
  <c r="A277" i="3"/>
  <c r="A278" i="3"/>
  <c r="A279" i="3"/>
  <c r="A280" i="3"/>
  <c r="A281" i="3"/>
  <c r="A283" i="3"/>
  <c r="A284" i="3"/>
  <c r="A285" i="3"/>
  <c r="A286" i="3"/>
  <c r="A287" i="3"/>
  <c r="A288" i="3"/>
  <c r="A289" i="3"/>
  <c r="A290" i="3"/>
  <c r="A291" i="3"/>
  <c r="A292" i="3"/>
  <c r="A293" i="3"/>
  <c r="A295" i="3"/>
  <c r="A296" i="3"/>
  <c r="A297" i="3"/>
  <c r="A298" i="3"/>
  <c r="A299" i="3"/>
  <c r="A300" i="3"/>
  <c r="A301" i="3"/>
  <c r="A302" i="3"/>
  <c r="A303" i="3"/>
  <c r="A304" i="3"/>
  <c r="A305" i="3"/>
  <c r="A307" i="3"/>
  <c r="A308" i="3"/>
  <c r="A309" i="3"/>
  <c r="A310" i="3"/>
  <c r="A311" i="3"/>
  <c r="A312" i="3"/>
  <c r="A313" i="3"/>
  <c r="A314" i="3"/>
  <c r="A315" i="3"/>
  <c r="A317" i="3"/>
  <c r="A318" i="3"/>
  <c r="A319" i="3"/>
  <c r="A320" i="3"/>
  <c r="A321" i="3"/>
  <c r="A322" i="3"/>
  <c r="A323" i="3"/>
  <c r="A324" i="3"/>
  <c r="A325" i="3"/>
  <c r="A326" i="3"/>
  <c r="A328" i="3"/>
  <c r="A329" i="3"/>
  <c r="A330" i="3"/>
  <c r="A331" i="3"/>
  <c r="A332" i="3"/>
  <c r="A333" i="3"/>
  <c r="A353" i="3"/>
  <c r="A354" i="3"/>
  <c r="A355" i="3"/>
  <c r="A356" i="3"/>
  <c r="A357" i="3"/>
  <c r="A358" i="3"/>
  <c r="A359" i="3"/>
  <c r="A374" i="3"/>
  <c r="A375" i="3"/>
  <c r="A376" i="3"/>
  <c r="A377" i="3"/>
  <c r="A378" i="3"/>
  <c r="A379" i="3"/>
  <c r="A380" i="3"/>
  <c r="A389" i="3"/>
  <c r="A390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6" i="3"/>
  <c r="A747" i="3"/>
  <c r="A748" i="3"/>
  <c r="A749" i="3"/>
  <c r="A750" i="3"/>
  <c r="A759" i="3"/>
  <c r="A760" i="3"/>
  <c r="A761" i="3"/>
  <c r="A762" i="3"/>
  <c r="A763" i="3"/>
  <c r="A765" i="3"/>
  <c r="A766" i="3"/>
  <c r="A767" i="3"/>
  <c r="A768" i="3"/>
  <c r="A769" i="3"/>
  <c r="A778" i="3"/>
  <c r="A779" i="3"/>
  <c r="A780" i="3"/>
  <c r="A781" i="3"/>
  <c r="A782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3" i="3"/>
  <c r="A864" i="3"/>
  <c r="A865" i="3"/>
  <c r="A866" i="3"/>
  <c r="A868" i="3"/>
  <c r="A869" i="3"/>
  <c r="A870" i="3"/>
  <c r="A871" i="3"/>
  <c r="A872" i="3"/>
  <c r="A873" i="3"/>
  <c r="A874" i="3"/>
  <c r="A875" i="3"/>
  <c r="A876" i="3"/>
  <c r="A877" i="3"/>
  <c r="A878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2" i="3"/>
  <c r="A1003" i="3"/>
  <c r="A1004" i="3"/>
  <c r="A1005" i="3"/>
  <c r="A1007" i="3"/>
  <c r="A1008" i="3"/>
  <c r="A1009" i="3"/>
  <c r="A1010" i="3"/>
  <c r="A1011" i="3"/>
  <c r="A1012" i="3"/>
  <c r="A1013" i="3"/>
  <c r="A1014" i="3"/>
  <c r="A1015" i="3"/>
  <c r="A1016" i="3"/>
  <c r="A1017" i="3"/>
  <c r="A1019" i="3"/>
  <c r="A1020" i="3"/>
  <c r="A1021" i="3"/>
  <c r="A1022" i="3"/>
  <c r="A1023" i="3"/>
  <c r="A1024" i="3"/>
  <c r="A1025" i="3"/>
  <c r="A1026" i="3"/>
  <c r="A1027" i="3"/>
  <c r="A1029" i="3"/>
  <c r="A1232" i="3"/>
  <c r="A1233" i="3"/>
  <c r="A1234" i="3"/>
  <c r="A1236" i="3"/>
  <c r="A1237" i="3"/>
  <c r="A1238" i="3"/>
  <c r="A1239" i="3"/>
  <c r="A1240" i="3"/>
  <c r="A1241" i="3"/>
  <c r="A1242" i="3"/>
  <c r="A1243" i="3"/>
  <c r="A1244" i="3"/>
  <c r="A1245" i="3"/>
  <c r="A1247" i="3"/>
  <c r="A1248" i="3"/>
  <c r="A1249" i="3"/>
  <c r="A1250" i="3"/>
  <c r="A1251" i="3"/>
  <c r="A1252" i="3"/>
  <c r="A1253" i="3"/>
  <c r="A1254" i="3"/>
  <c r="A1255" i="3"/>
  <c r="A1256" i="3"/>
  <c r="A1257" i="3"/>
  <c r="A1260" i="3"/>
  <c r="A1261" i="3"/>
  <c r="A1262" i="3"/>
  <c r="A1263" i="3"/>
  <c r="A1264" i="3"/>
  <c r="A1265" i="3"/>
  <c r="A1266" i="3"/>
  <c r="A1267" i="3"/>
  <c r="A1268" i="3"/>
  <c r="A1269" i="3"/>
  <c r="A1273" i="3"/>
  <c r="A1274" i="3"/>
  <c r="A1275" i="3"/>
  <c r="A1276" i="3"/>
  <c r="A1277" i="3"/>
  <c r="A1278" i="3"/>
  <c r="A1279" i="3"/>
  <c r="A1280" i="3"/>
  <c r="A1281" i="3"/>
  <c r="A1282" i="3"/>
  <c r="A1284" i="3"/>
  <c r="A1285" i="3"/>
  <c r="A1286" i="3"/>
  <c r="A1287" i="3"/>
  <c r="A1288" i="3"/>
  <c r="A1289" i="3"/>
  <c r="A1290" i="3"/>
  <c r="A1291" i="3"/>
  <c r="A1292" i="3"/>
  <c r="A1293" i="3"/>
  <c r="A1294" i="3"/>
  <c r="A1309" i="3"/>
  <c r="A1310" i="3"/>
  <c r="A1311" i="3"/>
  <c r="A1312" i="3"/>
  <c r="A1313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95" i="3" l="1"/>
  <c r="W195" i="3" s="1"/>
  <c r="G18" i="83"/>
  <c r="H18" i="83" s="1"/>
  <c r="N21" i="3" l="1"/>
  <c r="U21" i="3" s="1"/>
  <c r="D21" i="3"/>
  <c r="N16" i="3"/>
  <c r="U16" i="3" s="1"/>
  <c r="D16" i="3"/>
  <c r="N15" i="3"/>
  <c r="U15" i="3" s="1"/>
  <c r="D15" i="3"/>
  <c r="D22" i="3"/>
  <c r="N22" i="3"/>
  <c r="U22" i="3" l="1"/>
  <c r="D32" i="3"/>
  <c r="D31" i="3"/>
  <c r="D29" i="3"/>
  <c r="D27" i="3"/>
  <c r="D23" i="3"/>
  <c r="D7" i="3"/>
  <c r="D6" i="3"/>
  <c r="B4711" i="3" l="1"/>
  <c r="N4711" i="3"/>
  <c r="U4711" i="3" s="1"/>
  <c r="B4698" i="3"/>
  <c r="B4697" i="3"/>
  <c r="N4698" i="3"/>
  <c r="U4698" i="3" s="1"/>
  <c r="N4697" i="3"/>
  <c r="U4697" i="3" s="1"/>
  <c r="Q12" i="83"/>
  <c r="B4681" i="3"/>
  <c r="N4681" i="3"/>
  <c r="U4681" i="3" s="1"/>
  <c r="S101" i="83" l="1"/>
  <c r="S68" i="83"/>
  <c r="S69" i="83"/>
  <c r="S70" i="83"/>
  <c r="S71" i="83"/>
  <c r="F71" i="83" s="1"/>
  <c r="S72" i="83"/>
  <c r="F72" i="83" s="1"/>
  <c r="S73" i="83"/>
  <c r="F73" i="83" s="1"/>
  <c r="O6881" i="3"/>
  <c r="N6881" i="3"/>
  <c r="U6881" i="3" s="1"/>
  <c r="O6880" i="3"/>
  <c r="N6880" i="3"/>
  <c r="U6880" i="3" s="1"/>
  <c r="N6859" i="3"/>
  <c r="U6859" i="3" s="1"/>
  <c r="O6859" i="3"/>
  <c r="O6858" i="3"/>
  <c r="N6858" i="3"/>
  <c r="U6858" i="3" s="1"/>
  <c r="N1319" i="3"/>
  <c r="U1319" i="3" s="1"/>
  <c r="D1319" i="3"/>
  <c r="W1319" i="3"/>
  <c r="N1318" i="3"/>
  <c r="U1318" i="3" s="1"/>
  <c r="D1318" i="3"/>
  <c r="W1318" i="3"/>
  <c r="N1317" i="3"/>
  <c r="U1317" i="3" s="1"/>
  <c r="D1317" i="3"/>
  <c r="W1317" i="3"/>
  <c r="N1316" i="3"/>
  <c r="U1316" i="3" s="1"/>
  <c r="D1316" i="3"/>
  <c r="W1316" i="3"/>
  <c r="N1315" i="3"/>
  <c r="U1315" i="3" s="1"/>
  <c r="D1315" i="3"/>
  <c r="W1315" i="3"/>
  <c r="N1314" i="3"/>
  <c r="U1314" i="3" s="1"/>
  <c r="D1314" i="3"/>
  <c r="N1313" i="3"/>
  <c r="U1313" i="3" s="1"/>
  <c r="D1313" i="3"/>
  <c r="W1313" i="3"/>
  <c r="N1312" i="3"/>
  <c r="U1312" i="3" s="1"/>
  <c r="D1312" i="3"/>
  <c r="W1312" i="3"/>
  <c r="N1311" i="3"/>
  <c r="U1311" i="3" s="1"/>
  <c r="D1311" i="3"/>
  <c r="W1311" i="3"/>
  <c r="N1310" i="3"/>
  <c r="U1310" i="3" s="1"/>
  <c r="D1310" i="3"/>
  <c r="W1310" i="3"/>
  <c r="N1309" i="3"/>
  <c r="U1309" i="3" s="1"/>
  <c r="D1309" i="3"/>
  <c r="W1309" i="3"/>
  <c r="N1308" i="3"/>
  <c r="U1308" i="3" s="1"/>
  <c r="D1308" i="3"/>
  <c r="N1037" i="3"/>
  <c r="U1037" i="3" s="1"/>
  <c r="D1037" i="3"/>
  <c r="W1037" i="3"/>
  <c r="N1036" i="3"/>
  <c r="U1036" i="3" s="1"/>
  <c r="D1036" i="3"/>
  <c r="W1036" i="3"/>
  <c r="N1027" i="3"/>
  <c r="U1027" i="3" s="1"/>
  <c r="D1027" i="3"/>
  <c r="W1027" i="3"/>
  <c r="N1026" i="3"/>
  <c r="U1026" i="3" s="1"/>
  <c r="D1026" i="3"/>
  <c r="W1026" i="3"/>
  <c r="N1035" i="3"/>
  <c r="U1035" i="3" s="1"/>
  <c r="D1035" i="3"/>
  <c r="W1035" i="3"/>
  <c r="N1034" i="3"/>
  <c r="U1034" i="3" s="1"/>
  <c r="D1034" i="3"/>
  <c r="W1034" i="3"/>
  <c r="N1033" i="3"/>
  <c r="U1033" i="3" s="1"/>
  <c r="D1033" i="3"/>
  <c r="W1033" i="3"/>
  <c r="N1032" i="3"/>
  <c r="U1032" i="3" s="1"/>
  <c r="D1032" i="3"/>
  <c r="W1032" i="3"/>
  <c r="N1031" i="3"/>
  <c r="U1031" i="3" s="1"/>
  <c r="D1031" i="3"/>
  <c r="W1031" i="3"/>
  <c r="N1030" i="3"/>
  <c r="U1030" i="3" s="1"/>
  <c r="D1030" i="3"/>
  <c r="W1030" i="3"/>
  <c r="N1029" i="3"/>
  <c r="U1029" i="3" s="1"/>
  <c r="D1029" i="3"/>
  <c r="W1029" i="3"/>
  <c r="N1028" i="3"/>
  <c r="U1028" i="3" s="1"/>
  <c r="D1028" i="3"/>
  <c r="N1025" i="3"/>
  <c r="U1025" i="3" s="1"/>
  <c r="D1025" i="3"/>
  <c r="W1025" i="3"/>
  <c r="N1024" i="3"/>
  <c r="U1024" i="3" s="1"/>
  <c r="D1024" i="3"/>
  <c r="W1024" i="3"/>
  <c r="N1023" i="3"/>
  <c r="U1023" i="3" s="1"/>
  <c r="D1023" i="3"/>
  <c r="W1023" i="3"/>
  <c r="N1022" i="3"/>
  <c r="U1022" i="3" s="1"/>
  <c r="D1022" i="3"/>
  <c r="W1022" i="3"/>
  <c r="N1021" i="3"/>
  <c r="U1021" i="3" s="1"/>
  <c r="D1021" i="3"/>
  <c r="W1021" i="3"/>
  <c r="N1020" i="3"/>
  <c r="U1020" i="3" s="1"/>
  <c r="D1020" i="3"/>
  <c r="W1020" i="3"/>
  <c r="N1019" i="3"/>
  <c r="U1019" i="3" s="1"/>
  <c r="D1019" i="3"/>
  <c r="W1019" i="3"/>
  <c r="N1018" i="3"/>
  <c r="U1018" i="3" s="1"/>
  <c r="D1018" i="3"/>
  <c r="W1273" i="3"/>
  <c r="W1274" i="3"/>
  <c r="W1275" i="3"/>
  <c r="W1276" i="3"/>
  <c r="W1277" i="3"/>
  <c r="W1278" i="3"/>
  <c r="W1279" i="3"/>
  <c r="W1280" i="3"/>
  <c r="W1281" i="3"/>
  <c r="W1282" i="3"/>
  <c r="N1282" i="3"/>
  <c r="U1282" i="3" s="1"/>
  <c r="D1282" i="3"/>
  <c r="N1281" i="3"/>
  <c r="U1281" i="3" s="1"/>
  <c r="D1281" i="3"/>
  <c r="N1280" i="3"/>
  <c r="U1280" i="3" s="1"/>
  <c r="D1280" i="3"/>
  <c r="N1279" i="3"/>
  <c r="U1279" i="3" s="1"/>
  <c r="D1279" i="3"/>
  <c r="N1278" i="3"/>
  <c r="U1278" i="3" s="1"/>
  <c r="D1278" i="3"/>
  <c r="N1277" i="3"/>
  <c r="U1277" i="3" s="1"/>
  <c r="D1277" i="3"/>
  <c r="N1276" i="3"/>
  <c r="U1276" i="3" s="1"/>
  <c r="D1276" i="3"/>
  <c r="N1275" i="3"/>
  <c r="U1275" i="3" s="1"/>
  <c r="D1275" i="3"/>
  <c r="N1274" i="3"/>
  <c r="U1274" i="3" s="1"/>
  <c r="D1274" i="3"/>
  <c r="N1273" i="3"/>
  <c r="U1273" i="3" s="1"/>
  <c r="D1273" i="3"/>
  <c r="N1272" i="3"/>
  <c r="U1272" i="3" s="1"/>
  <c r="D1272" i="3"/>
  <c r="N4695" i="3"/>
  <c r="U4695" i="3" s="1"/>
  <c r="B4695" i="3"/>
  <c r="N4693" i="3"/>
  <c r="U4693" i="3" s="1"/>
  <c r="B4693" i="3"/>
  <c r="A4712" i="3"/>
  <c r="N4709" i="3"/>
  <c r="U4709" i="3" s="1"/>
  <c r="B4709" i="3"/>
  <c r="A4709" i="3" s="1"/>
  <c r="N4707" i="3"/>
  <c r="U4707" i="3" s="1"/>
  <c r="B4707" i="3"/>
  <c r="A4707" i="3" s="1"/>
  <c r="H72" i="83" l="1"/>
  <c r="N72" i="83" s="1"/>
  <c r="O72" i="83"/>
  <c r="B4710" i="3"/>
  <c r="A4710" i="3" s="1"/>
  <c r="N4708" i="3"/>
  <c r="U4708" i="3" s="1"/>
  <c r="B4708" i="3"/>
  <c r="A4708" i="3" s="1"/>
  <c r="B4696" i="3"/>
  <c r="N4696" i="3"/>
  <c r="U4696" i="3" s="1"/>
  <c r="W1285" i="3" l="1"/>
  <c r="D1285" i="3"/>
  <c r="N1285" i="3"/>
  <c r="U1285" i="3" s="1"/>
  <c r="N1294" i="3"/>
  <c r="U1294" i="3" s="1"/>
  <c r="D1294" i="3"/>
  <c r="W1294" i="3"/>
  <c r="N1293" i="3"/>
  <c r="U1293" i="3" s="1"/>
  <c r="D1293" i="3"/>
  <c r="W1293" i="3"/>
  <c r="N1292" i="3"/>
  <c r="U1292" i="3" s="1"/>
  <c r="D1292" i="3"/>
  <c r="W1292" i="3"/>
  <c r="N1291" i="3"/>
  <c r="U1291" i="3" s="1"/>
  <c r="D1291" i="3"/>
  <c r="W1291" i="3"/>
  <c r="N1290" i="3"/>
  <c r="U1290" i="3" s="1"/>
  <c r="D1290" i="3"/>
  <c r="W1290" i="3"/>
  <c r="N1289" i="3"/>
  <c r="U1289" i="3" s="1"/>
  <c r="D1289" i="3"/>
  <c r="W1289" i="3"/>
  <c r="N1288" i="3"/>
  <c r="U1288" i="3" s="1"/>
  <c r="D1288" i="3"/>
  <c r="W1288" i="3"/>
  <c r="N1287" i="3"/>
  <c r="U1287" i="3" s="1"/>
  <c r="D1287" i="3"/>
  <c r="W1287" i="3"/>
  <c r="N1286" i="3"/>
  <c r="U1286" i="3" s="1"/>
  <c r="D1286" i="3"/>
  <c r="W1286" i="3"/>
  <c r="N1284" i="3"/>
  <c r="U1284" i="3" s="1"/>
  <c r="D1284" i="3"/>
  <c r="W1284" i="3"/>
  <c r="N1283" i="3"/>
  <c r="U1283" i="3" s="1"/>
  <c r="D1283" i="3"/>
  <c r="W1260" i="3"/>
  <c r="W1262" i="3"/>
  <c r="W1263" i="3"/>
  <c r="W1264" i="3"/>
  <c r="W1265" i="3"/>
  <c r="W1266" i="3"/>
  <c r="W1267" i="3"/>
  <c r="W1268" i="3"/>
  <c r="W1269" i="3"/>
  <c r="W1270" i="3"/>
  <c r="N1270" i="3"/>
  <c r="U1270" i="3" s="1"/>
  <c r="D1270" i="3"/>
  <c r="N1269" i="3"/>
  <c r="U1269" i="3" s="1"/>
  <c r="D1269" i="3"/>
  <c r="N1268" i="3"/>
  <c r="U1268" i="3" s="1"/>
  <c r="D1268" i="3"/>
  <c r="N1267" i="3"/>
  <c r="U1267" i="3" s="1"/>
  <c r="D1267" i="3"/>
  <c r="N1266" i="3"/>
  <c r="U1266" i="3" s="1"/>
  <c r="D1266" i="3"/>
  <c r="N1265" i="3"/>
  <c r="U1265" i="3" s="1"/>
  <c r="D1265" i="3"/>
  <c r="N1264" i="3"/>
  <c r="U1264" i="3" s="1"/>
  <c r="D1264" i="3"/>
  <c r="N1263" i="3"/>
  <c r="U1263" i="3" s="1"/>
  <c r="D1263" i="3"/>
  <c r="N1262" i="3"/>
  <c r="U1262" i="3" s="1"/>
  <c r="D1262" i="3"/>
  <c r="N1261" i="3"/>
  <c r="U1261" i="3" s="1"/>
  <c r="D1261" i="3"/>
  <c r="W1261" i="3"/>
  <c r="N1260" i="3"/>
  <c r="U1260" i="3" s="1"/>
  <c r="D1260" i="3"/>
  <c r="N1259" i="3"/>
  <c r="U1259" i="3" s="1"/>
  <c r="D1259" i="3"/>
  <c r="N6876" i="3" l="1"/>
  <c r="U6876" i="3" s="1"/>
  <c r="O6876" i="3"/>
  <c r="D1251" i="3"/>
  <c r="N1251" i="3"/>
  <c r="U1251" i="3" s="1"/>
  <c r="W1251" i="3"/>
  <c r="N1257" i="3"/>
  <c r="U1257" i="3" s="1"/>
  <c r="D1257" i="3"/>
  <c r="W1257" i="3"/>
  <c r="N1256" i="3"/>
  <c r="U1256" i="3" s="1"/>
  <c r="D1256" i="3"/>
  <c r="W1256" i="3"/>
  <c r="N1255" i="3"/>
  <c r="U1255" i="3" s="1"/>
  <c r="D1255" i="3"/>
  <c r="W1255" i="3"/>
  <c r="N1254" i="3"/>
  <c r="U1254" i="3" s="1"/>
  <c r="D1254" i="3"/>
  <c r="W1254" i="3"/>
  <c r="N1253" i="3"/>
  <c r="U1253" i="3" s="1"/>
  <c r="D1253" i="3"/>
  <c r="W1253" i="3"/>
  <c r="N1252" i="3"/>
  <c r="U1252" i="3" s="1"/>
  <c r="D1252" i="3"/>
  <c r="W1252" i="3"/>
  <c r="N1250" i="3"/>
  <c r="U1250" i="3" s="1"/>
  <c r="D1250" i="3"/>
  <c r="W1250" i="3"/>
  <c r="N1249" i="3"/>
  <c r="U1249" i="3" s="1"/>
  <c r="D1249" i="3"/>
  <c r="W1249" i="3"/>
  <c r="N1248" i="3"/>
  <c r="U1248" i="3" s="1"/>
  <c r="D1248" i="3"/>
  <c r="W1248" i="3"/>
  <c r="N1247" i="3"/>
  <c r="U1247" i="3" s="1"/>
  <c r="D1247" i="3"/>
  <c r="W1247" i="3"/>
  <c r="N1246" i="3"/>
  <c r="U1246" i="3" s="1"/>
  <c r="D1246" i="3"/>
  <c r="O6875" i="3"/>
  <c r="N6875" i="3"/>
  <c r="U6875" i="3" s="1"/>
  <c r="O6874" i="3"/>
  <c r="N6874" i="3"/>
  <c r="U6874" i="3" s="1"/>
  <c r="W1239" i="3"/>
  <c r="D1239" i="3"/>
  <c r="N1239" i="3"/>
  <c r="U1239" i="3" s="1"/>
  <c r="N1245" i="3" l="1"/>
  <c r="U1245" i="3" s="1"/>
  <c r="D1245" i="3"/>
  <c r="W1245" i="3"/>
  <c r="N1244" i="3"/>
  <c r="U1244" i="3" s="1"/>
  <c r="D1244" i="3"/>
  <c r="W1244" i="3"/>
  <c r="N1243" i="3"/>
  <c r="U1243" i="3" s="1"/>
  <c r="D1243" i="3"/>
  <c r="W1243" i="3"/>
  <c r="N1242" i="3"/>
  <c r="U1242" i="3" s="1"/>
  <c r="D1242" i="3"/>
  <c r="W1242" i="3"/>
  <c r="N1241" i="3"/>
  <c r="U1241" i="3" s="1"/>
  <c r="D1241" i="3"/>
  <c r="W1241" i="3"/>
  <c r="N1240" i="3"/>
  <c r="U1240" i="3" s="1"/>
  <c r="D1240" i="3"/>
  <c r="W1240" i="3"/>
  <c r="N1238" i="3"/>
  <c r="U1238" i="3" s="1"/>
  <c r="D1238" i="3"/>
  <c r="W1238" i="3"/>
  <c r="N1237" i="3"/>
  <c r="U1237" i="3" s="1"/>
  <c r="D1237" i="3"/>
  <c r="W1237" i="3"/>
  <c r="N1236" i="3"/>
  <c r="U1236" i="3" s="1"/>
  <c r="D1236" i="3"/>
  <c r="W1236" i="3"/>
  <c r="N1235" i="3"/>
  <c r="U1235" i="3" s="1"/>
  <c r="D1235" i="3"/>
  <c r="N6877" i="3"/>
  <c r="U6877" i="3" s="1"/>
  <c r="O6877" i="3"/>
  <c r="O6873" i="3"/>
  <c r="N6873" i="3"/>
  <c r="U6873" i="3" s="1"/>
  <c r="A4713" i="3"/>
  <c r="A4714" i="3"/>
  <c r="A4715" i="3"/>
  <c r="A4729" i="3"/>
  <c r="B4692" i="3"/>
  <c r="B4691" i="3"/>
  <c r="N4692" i="3"/>
  <c r="U4692" i="3" s="1"/>
  <c r="N4691" i="3"/>
  <c r="U4691" i="3" s="1"/>
  <c r="B4704" i="3"/>
  <c r="B4703" i="3"/>
  <c r="N4704" i="3"/>
  <c r="U4704" i="3" s="1"/>
  <c r="N4703" i="3"/>
  <c r="U4703" i="3" s="1"/>
  <c r="D4713" i="3" l="1"/>
  <c r="N4713" i="3"/>
  <c r="U4713" i="3" s="1"/>
  <c r="D4714" i="3"/>
  <c r="N4714" i="3"/>
  <c r="U4714" i="3" s="1"/>
  <c r="D4715" i="3"/>
  <c r="N4715" i="3"/>
  <c r="U4715" i="3" s="1"/>
  <c r="N4718" i="3"/>
  <c r="U4718" i="3" s="1"/>
  <c r="D4729" i="3"/>
  <c r="N4729" i="3"/>
  <c r="U4729" i="3" s="1"/>
  <c r="W1321" i="3"/>
  <c r="D1321" i="3"/>
  <c r="N1321" i="3"/>
  <c r="U1321" i="3" s="1"/>
  <c r="W1322" i="3"/>
  <c r="D1322" i="3"/>
  <c r="N1322" i="3"/>
  <c r="U1322" i="3" s="1"/>
  <c r="W1323" i="3"/>
  <c r="D1323" i="3"/>
  <c r="N1323" i="3"/>
  <c r="U1323" i="3" s="1"/>
  <c r="W1324" i="3"/>
  <c r="D1324" i="3"/>
  <c r="N1324" i="3"/>
  <c r="U1324" i="3" s="1"/>
  <c r="W1325" i="3"/>
  <c r="D1325" i="3"/>
  <c r="N1325" i="3"/>
  <c r="U1325" i="3" s="1"/>
  <c r="W1326" i="3"/>
  <c r="D1326" i="3"/>
  <c r="N1326" i="3"/>
  <c r="U1326" i="3" s="1"/>
  <c r="W1327" i="3"/>
  <c r="D1327" i="3"/>
  <c r="N1327" i="3"/>
  <c r="U1327" i="3" s="1"/>
  <c r="W1328" i="3"/>
  <c r="D1328" i="3"/>
  <c r="N1328" i="3"/>
  <c r="U1328" i="3" s="1"/>
  <c r="U6922" i="3"/>
  <c r="U6923" i="3"/>
  <c r="U6924" i="3"/>
  <c r="U6925" i="3"/>
  <c r="U6926" i="3"/>
  <c r="U6927" i="3"/>
  <c r="U6928" i="3"/>
  <c r="U6929" i="3"/>
  <c r="U6930" i="3"/>
  <c r="U6937" i="3"/>
  <c r="U6940" i="3"/>
  <c r="B4702" i="3" l="1"/>
  <c r="B4701" i="3"/>
  <c r="N4702" i="3"/>
  <c r="U4702" i="3" s="1"/>
  <c r="N4701" i="3"/>
  <c r="U4701" i="3" s="1"/>
  <c r="P6494" i="3" l="1"/>
  <c r="P6495" i="3"/>
  <c r="P6496" i="3"/>
  <c r="P6497" i="3"/>
  <c r="P6498" i="3"/>
  <c r="P6499" i="3"/>
  <c r="P6500" i="3"/>
  <c r="P6502" i="3"/>
  <c r="P6503" i="3"/>
  <c r="P6504" i="3"/>
  <c r="P6505" i="3"/>
  <c r="P6507" i="3"/>
  <c r="P6510" i="3"/>
  <c r="P6512" i="3"/>
  <c r="P6518" i="3"/>
  <c r="P6619" i="3"/>
  <c r="P6648" i="3"/>
  <c r="P6493" i="3"/>
  <c r="N874" i="3"/>
  <c r="U874" i="3" s="1"/>
  <c r="D874" i="3"/>
  <c r="W874" i="3"/>
  <c r="N873" i="3"/>
  <c r="U873" i="3" s="1"/>
  <c r="D873" i="3"/>
  <c r="W873" i="3"/>
  <c r="N836" i="3" l="1"/>
  <c r="U836" i="3" s="1"/>
  <c r="D836" i="3"/>
  <c r="W836" i="3"/>
  <c r="N835" i="3"/>
  <c r="U835" i="3" s="1"/>
  <c r="D835" i="3"/>
  <c r="W835" i="3"/>
  <c r="N6624" i="3" l="1"/>
  <c r="O6624" i="3"/>
  <c r="O6619" i="3"/>
  <c r="N6619" i="3"/>
  <c r="O6625" i="3"/>
  <c r="N6625" i="3"/>
  <c r="N6507" i="3"/>
  <c r="O6507" i="3"/>
  <c r="N6500" i="3"/>
  <c r="O6500" i="3"/>
  <c r="N95" i="3" l="1"/>
  <c r="D95" i="3"/>
  <c r="W95" i="3"/>
  <c r="N74" i="3"/>
  <c r="D74" i="3"/>
  <c r="W74" i="3"/>
  <c r="N59" i="3"/>
  <c r="D59" i="3"/>
  <c r="W59" i="3"/>
  <c r="W45" i="3"/>
  <c r="D45" i="3"/>
  <c r="N45" i="3"/>
  <c r="N1234" i="3" l="1"/>
  <c r="U1234" i="3" s="1"/>
  <c r="D1234" i="3"/>
  <c r="W1234" i="3"/>
  <c r="N1233" i="3"/>
  <c r="U1233" i="3" s="1"/>
  <c r="D1233" i="3"/>
  <c r="W1233" i="3"/>
  <c r="N1232" i="3"/>
  <c r="U1232" i="3" s="1"/>
  <c r="D1232" i="3"/>
  <c r="W1232" i="3"/>
  <c r="N1231" i="3"/>
  <c r="U1231" i="3" s="1"/>
  <c r="D1231" i="3"/>
  <c r="W1231" i="3"/>
  <c r="N1230" i="3"/>
  <c r="U1230" i="3" s="1"/>
  <c r="D1230" i="3"/>
  <c r="W1230" i="3"/>
  <c r="N1229" i="3"/>
  <c r="U1229" i="3" s="1"/>
  <c r="D1229" i="3"/>
  <c r="W1229" i="3"/>
  <c r="N1228" i="3"/>
  <c r="U1228" i="3" s="1"/>
  <c r="D1228" i="3"/>
  <c r="W1228" i="3"/>
  <c r="N1227" i="3"/>
  <c r="U1227" i="3" s="1"/>
  <c r="D1227" i="3"/>
  <c r="W1227" i="3"/>
  <c r="N1226" i="3"/>
  <c r="U1226" i="3" s="1"/>
  <c r="D1226" i="3"/>
  <c r="W1226" i="3"/>
  <c r="N1225" i="3"/>
  <c r="U1225" i="3" s="1"/>
  <c r="D1225" i="3"/>
  <c r="N1320" i="3"/>
  <c r="U1320" i="3" s="1"/>
  <c r="D1320" i="3"/>
  <c r="W1320" i="3"/>
  <c r="B4694" i="3"/>
  <c r="B4690" i="3" l="1"/>
  <c r="B4689" i="3"/>
  <c r="N4690" i="3"/>
  <c r="U4690" i="3" s="1"/>
  <c r="N4689" i="3"/>
  <c r="U4689" i="3" s="1"/>
  <c r="D5896" i="3" l="1"/>
  <c r="A5896" i="3"/>
  <c r="D5895" i="3"/>
  <c r="A5895" i="3"/>
  <c r="D5894" i="3"/>
  <c r="A5894" i="3"/>
  <c r="D5893" i="3"/>
  <c r="A5893" i="3"/>
  <c r="D5892" i="3"/>
  <c r="A5892" i="3"/>
  <c r="D5891" i="3"/>
  <c r="A5891" i="3"/>
  <c r="D5890" i="3"/>
  <c r="A5890" i="3"/>
  <c r="D5889" i="3"/>
  <c r="A5889" i="3"/>
  <c r="D5888" i="3"/>
  <c r="A5888" i="3"/>
  <c r="D5887" i="3"/>
  <c r="D5886" i="3"/>
  <c r="A5886" i="3"/>
  <c r="D5885" i="3"/>
  <c r="A5885" i="3"/>
  <c r="D5884" i="3"/>
  <c r="A5884" i="3"/>
  <c r="D5883" i="3"/>
  <c r="A5883" i="3"/>
  <c r="D5882" i="3"/>
  <c r="A5882" i="3"/>
  <c r="D5881" i="3"/>
  <c r="A5881" i="3"/>
  <c r="D5880" i="3"/>
  <c r="A5880" i="3"/>
  <c r="D5879" i="3"/>
  <c r="A5879" i="3"/>
  <c r="D5878" i="3"/>
  <c r="A5878" i="3"/>
  <c r="D5877" i="3"/>
  <c r="D5876" i="3"/>
  <c r="A5876" i="3"/>
  <c r="D5875" i="3"/>
  <c r="A5875" i="3"/>
  <c r="D5874" i="3"/>
  <c r="A5874" i="3"/>
  <c r="D5873" i="3"/>
  <c r="A5873" i="3"/>
  <c r="D5872" i="3"/>
  <c r="A5872" i="3"/>
  <c r="D5871" i="3"/>
  <c r="A5871" i="3"/>
  <c r="D5870" i="3"/>
  <c r="A5870" i="3"/>
  <c r="D5869" i="3"/>
  <c r="A5869" i="3"/>
  <c r="D5868" i="3"/>
  <c r="A5868" i="3"/>
  <c r="D5867" i="3"/>
  <c r="D5846" i="3"/>
  <c r="A5846" i="3"/>
  <c r="D5845" i="3"/>
  <c r="A5845" i="3"/>
  <c r="D5844" i="3"/>
  <c r="A5844" i="3"/>
  <c r="D5843" i="3"/>
  <c r="A5843" i="3"/>
  <c r="D5842" i="3"/>
  <c r="A5842" i="3"/>
  <c r="D5841" i="3"/>
  <c r="A5841" i="3"/>
  <c r="D5840" i="3"/>
  <c r="A5840" i="3"/>
  <c r="D5839" i="3"/>
  <c r="A5839" i="3"/>
  <c r="D5838" i="3"/>
  <c r="A5838" i="3"/>
  <c r="D5837" i="3"/>
  <c r="D5836" i="3"/>
  <c r="A5836" i="3"/>
  <c r="D5835" i="3"/>
  <c r="A5835" i="3"/>
  <c r="D5834" i="3"/>
  <c r="A5834" i="3"/>
  <c r="D5833" i="3"/>
  <c r="A5833" i="3"/>
  <c r="D5832" i="3"/>
  <c r="A5832" i="3"/>
  <c r="D5831" i="3"/>
  <c r="A5831" i="3"/>
  <c r="D5830" i="3"/>
  <c r="A5830" i="3"/>
  <c r="D5829" i="3"/>
  <c r="A5829" i="3"/>
  <c r="D5828" i="3"/>
  <c r="A5828" i="3"/>
  <c r="D5827" i="3"/>
  <c r="D5826" i="3"/>
  <c r="A5826" i="3"/>
  <c r="D5825" i="3"/>
  <c r="A5825" i="3"/>
  <c r="D5824" i="3"/>
  <c r="A5824" i="3"/>
  <c r="D5823" i="3"/>
  <c r="A5823" i="3"/>
  <c r="D5822" i="3"/>
  <c r="A5822" i="3"/>
  <c r="D5821" i="3"/>
  <c r="A5821" i="3"/>
  <c r="D5820" i="3"/>
  <c r="A5820" i="3"/>
  <c r="D5819" i="3"/>
  <c r="A5819" i="3"/>
  <c r="D5818" i="3"/>
  <c r="A5818" i="3"/>
  <c r="D5817" i="3"/>
  <c r="D5816" i="3"/>
  <c r="A5816" i="3"/>
  <c r="D5815" i="3"/>
  <c r="A5815" i="3"/>
  <c r="D5814" i="3"/>
  <c r="A5814" i="3"/>
  <c r="D5813" i="3"/>
  <c r="A5813" i="3"/>
  <c r="D5812" i="3"/>
  <c r="A5812" i="3"/>
  <c r="D5811" i="3"/>
  <c r="A5811" i="3"/>
  <c r="D5810" i="3"/>
  <c r="A5810" i="3"/>
  <c r="D5809" i="3"/>
  <c r="A5809" i="3"/>
  <c r="D5808" i="3"/>
  <c r="A5808" i="3"/>
  <c r="D5807" i="3"/>
  <c r="D5976" i="3"/>
  <c r="A5976" i="3"/>
  <c r="D5975" i="3"/>
  <c r="A5975" i="3"/>
  <c r="D5974" i="3"/>
  <c r="A5974" i="3"/>
  <c r="D5973" i="3"/>
  <c r="A5973" i="3"/>
  <c r="D5972" i="3"/>
  <c r="A5972" i="3"/>
  <c r="D5971" i="3"/>
  <c r="A5971" i="3"/>
  <c r="D5970" i="3"/>
  <c r="A5970" i="3"/>
  <c r="D5969" i="3"/>
  <c r="A5969" i="3"/>
  <c r="D5968" i="3"/>
  <c r="A5968" i="3"/>
  <c r="D5967" i="3"/>
  <c r="D5966" i="3"/>
  <c r="A5966" i="3"/>
  <c r="D5965" i="3"/>
  <c r="A5965" i="3"/>
  <c r="D5964" i="3"/>
  <c r="A5964" i="3"/>
  <c r="D5963" i="3"/>
  <c r="A5963" i="3"/>
  <c r="D5962" i="3"/>
  <c r="A5962" i="3"/>
  <c r="D5961" i="3"/>
  <c r="A5961" i="3"/>
  <c r="D5960" i="3"/>
  <c r="A5960" i="3"/>
  <c r="D5959" i="3"/>
  <c r="A5959" i="3"/>
  <c r="D5958" i="3"/>
  <c r="A5958" i="3"/>
  <c r="D5957" i="3"/>
  <c r="D5956" i="3"/>
  <c r="A5956" i="3"/>
  <c r="D5955" i="3"/>
  <c r="A5955" i="3"/>
  <c r="D5954" i="3"/>
  <c r="A5954" i="3"/>
  <c r="D5953" i="3"/>
  <c r="A5953" i="3"/>
  <c r="D5952" i="3"/>
  <c r="A5952" i="3"/>
  <c r="D5951" i="3"/>
  <c r="A5951" i="3"/>
  <c r="D5950" i="3"/>
  <c r="A5950" i="3"/>
  <c r="D5949" i="3"/>
  <c r="A5949" i="3"/>
  <c r="D5948" i="3"/>
  <c r="A5948" i="3"/>
  <c r="D5947" i="3"/>
  <c r="D5946" i="3"/>
  <c r="A5946" i="3"/>
  <c r="D5945" i="3"/>
  <c r="A5945" i="3"/>
  <c r="D5944" i="3"/>
  <c r="A5944" i="3"/>
  <c r="D5943" i="3"/>
  <c r="A5943" i="3"/>
  <c r="D5942" i="3"/>
  <c r="A5942" i="3"/>
  <c r="D5941" i="3"/>
  <c r="A5941" i="3"/>
  <c r="D5940" i="3"/>
  <c r="A5940" i="3"/>
  <c r="D5939" i="3"/>
  <c r="A5939" i="3"/>
  <c r="D5938" i="3"/>
  <c r="A5938" i="3"/>
  <c r="D5937" i="3"/>
  <c r="D5936" i="3"/>
  <c r="A5936" i="3"/>
  <c r="D5935" i="3"/>
  <c r="A5935" i="3"/>
  <c r="D5934" i="3"/>
  <c r="A5934" i="3"/>
  <c r="D5933" i="3"/>
  <c r="A5933" i="3"/>
  <c r="D5932" i="3"/>
  <c r="A5932" i="3"/>
  <c r="D5931" i="3"/>
  <c r="A5931" i="3"/>
  <c r="D5930" i="3"/>
  <c r="A5930" i="3"/>
  <c r="D5929" i="3"/>
  <c r="A5929" i="3"/>
  <c r="D5928" i="3"/>
  <c r="A5928" i="3"/>
  <c r="D5927" i="3"/>
  <c r="D5926" i="3"/>
  <c r="A5926" i="3"/>
  <c r="D5925" i="3"/>
  <c r="A5925" i="3"/>
  <c r="D5924" i="3"/>
  <c r="A5924" i="3"/>
  <c r="D5923" i="3"/>
  <c r="A5923" i="3"/>
  <c r="D5922" i="3"/>
  <c r="A5922" i="3"/>
  <c r="D5921" i="3"/>
  <c r="A5921" i="3"/>
  <c r="D5920" i="3"/>
  <c r="A5920" i="3"/>
  <c r="D5919" i="3"/>
  <c r="A5919" i="3"/>
  <c r="D5918" i="3"/>
  <c r="A5918" i="3"/>
  <c r="D5917" i="3"/>
  <c r="D5916" i="3"/>
  <c r="A5916" i="3"/>
  <c r="D5915" i="3"/>
  <c r="A5915" i="3"/>
  <c r="D5914" i="3"/>
  <c r="A5914" i="3"/>
  <c r="D5913" i="3"/>
  <c r="A5913" i="3"/>
  <c r="D5912" i="3"/>
  <c r="A5912" i="3"/>
  <c r="D5911" i="3"/>
  <c r="A5911" i="3"/>
  <c r="D5910" i="3"/>
  <c r="A5910" i="3"/>
  <c r="D5909" i="3"/>
  <c r="A5909" i="3"/>
  <c r="D5908" i="3"/>
  <c r="A5908" i="3"/>
  <c r="D5907" i="3"/>
  <c r="D5906" i="3"/>
  <c r="A5906" i="3"/>
  <c r="D5905" i="3"/>
  <c r="A5905" i="3"/>
  <c r="D5904" i="3"/>
  <c r="A5904" i="3"/>
  <c r="D5903" i="3"/>
  <c r="A5903" i="3"/>
  <c r="D5902" i="3"/>
  <c r="A5902" i="3"/>
  <c r="D5901" i="3"/>
  <c r="A5901" i="3"/>
  <c r="D5900" i="3"/>
  <c r="A5900" i="3"/>
  <c r="D5899" i="3"/>
  <c r="A5899" i="3"/>
  <c r="D5898" i="3"/>
  <c r="A5898" i="3"/>
  <c r="D5897" i="3"/>
  <c r="O6853" i="3"/>
  <c r="N6853" i="3"/>
  <c r="U6853" i="3" s="1"/>
  <c r="N963" i="3"/>
  <c r="U963" i="3" s="1"/>
  <c r="D963" i="3"/>
  <c r="W963" i="3"/>
  <c r="N962" i="3"/>
  <c r="U962" i="3" s="1"/>
  <c r="D962" i="3"/>
  <c r="W962" i="3"/>
  <c r="N961" i="3"/>
  <c r="U961" i="3" s="1"/>
  <c r="D961" i="3"/>
  <c r="W961" i="3"/>
  <c r="N960" i="3"/>
  <c r="U960" i="3" s="1"/>
  <c r="D960" i="3"/>
  <c r="W960" i="3"/>
  <c r="N959" i="3"/>
  <c r="U959" i="3" s="1"/>
  <c r="D959" i="3"/>
  <c r="W959" i="3"/>
  <c r="N958" i="3"/>
  <c r="U958" i="3" s="1"/>
  <c r="D958" i="3"/>
  <c r="W958" i="3"/>
  <c r="N957" i="3"/>
  <c r="U957" i="3" s="1"/>
  <c r="D957" i="3"/>
  <c r="W957" i="3"/>
  <c r="N956" i="3"/>
  <c r="U956" i="3" s="1"/>
  <c r="D956" i="3"/>
  <c r="W956" i="3"/>
  <c r="N955" i="3"/>
  <c r="U955" i="3" s="1"/>
  <c r="D955" i="3"/>
  <c r="W955" i="3"/>
  <c r="N954" i="3"/>
  <c r="U954" i="3" s="1"/>
  <c r="D954" i="3"/>
  <c r="W954" i="3"/>
  <c r="N953" i="3"/>
  <c r="U953" i="3" s="1"/>
  <c r="D953" i="3"/>
  <c r="W953" i="3"/>
  <c r="N952" i="3"/>
  <c r="U952" i="3" s="1"/>
  <c r="D952" i="3"/>
  <c r="W952" i="3"/>
  <c r="N951" i="3"/>
  <c r="U951" i="3" s="1"/>
  <c r="D951" i="3"/>
  <c r="W951" i="3"/>
  <c r="N950" i="3"/>
  <c r="U950" i="3" s="1"/>
  <c r="D950" i="3"/>
  <c r="O6848" i="3"/>
  <c r="N6848" i="3"/>
  <c r="U6848" i="3" s="1"/>
  <c r="N878" i="3"/>
  <c r="U878" i="3" s="1"/>
  <c r="D878" i="3"/>
  <c r="W878" i="3"/>
  <c r="N877" i="3"/>
  <c r="U877" i="3" s="1"/>
  <c r="D877" i="3"/>
  <c r="W877" i="3"/>
  <c r="N876" i="3"/>
  <c r="U876" i="3" s="1"/>
  <c r="D876" i="3"/>
  <c r="W876" i="3"/>
  <c r="N875" i="3"/>
  <c r="U875" i="3" s="1"/>
  <c r="D875" i="3"/>
  <c r="W875" i="3"/>
  <c r="N872" i="3"/>
  <c r="U872" i="3" s="1"/>
  <c r="D872" i="3"/>
  <c r="W872" i="3"/>
  <c r="N871" i="3"/>
  <c r="U871" i="3" s="1"/>
  <c r="D871" i="3"/>
  <c r="W871" i="3"/>
  <c r="N870" i="3"/>
  <c r="U870" i="3" s="1"/>
  <c r="D870" i="3"/>
  <c r="W870" i="3"/>
  <c r="N869" i="3"/>
  <c r="U869" i="3" s="1"/>
  <c r="D869" i="3"/>
  <c r="W869" i="3"/>
  <c r="N868" i="3"/>
  <c r="U868" i="3" s="1"/>
  <c r="D868" i="3"/>
  <c r="W868" i="3"/>
  <c r="N866" i="3"/>
  <c r="U866" i="3" s="1"/>
  <c r="D866" i="3"/>
  <c r="W866" i="3"/>
  <c r="N865" i="3"/>
  <c r="U865" i="3" s="1"/>
  <c r="D865" i="3"/>
  <c r="W865" i="3"/>
  <c r="N864" i="3"/>
  <c r="U864" i="3" s="1"/>
  <c r="D864" i="3"/>
  <c r="W864" i="3"/>
  <c r="N863" i="3"/>
  <c r="U863" i="3" s="1"/>
  <c r="D863" i="3"/>
  <c r="W863" i="3"/>
  <c r="N862" i="3"/>
  <c r="U862" i="3" s="1"/>
  <c r="D862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D860" i="3"/>
  <c r="N860" i="3"/>
  <c r="U860" i="3" s="1"/>
  <c r="D855" i="3"/>
  <c r="N855" i="3"/>
  <c r="U855" i="3" s="1"/>
  <c r="D852" i="3"/>
  <c r="N852" i="3"/>
  <c r="U852" i="3" s="1"/>
  <c r="D849" i="3"/>
  <c r="N849" i="3"/>
  <c r="U849" i="3" s="1"/>
  <c r="D845" i="3"/>
  <c r="N845" i="3"/>
  <c r="U845" i="3" s="1"/>
  <c r="N861" i="3"/>
  <c r="U861" i="3" s="1"/>
  <c r="D861" i="3"/>
  <c r="W861" i="3"/>
  <c r="N859" i="3"/>
  <c r="U859" i="3" s="1"/>
  <c r="D859" i="3"/>
  <c r="N858" i="3"/>
  <c r="U858" i="3" s="1"/>
  <c r="D858" i="3"/>
  <c r="N857" i="3"/>
  <c r="U857" i="3" s="1"/>
  <c r="D857" i="3"/>
  <c r="N856" i="3"/>
  <c r="U856" i="3" s="1"/>
  <c r="D856" i="3"/>
  <c r="N854" i="3"/>
  <c r="U854" i="3" s="1"/>
  <c r="D854" i="3"/>
  <c r="N853" i="3"/>
  <c r="U853" i="3" s="1"/>
  <c r="D853" i="3"/>
  <c r="N851" i="3"/>
  <c r="U851" i="3" s="1"/>
  <c r="D851" i="3"/>
  <c r="N850" i="3"/>
  <c r="U850" i="3" s="1"/>
  <c r="D850" i="3"/>
  <c r="N848" i="3"/>
  <c r="U848" i="3" s="1"/>
  <c r="D848" i="3"/>
  <c r="N847" i="3"/>
  <c r="U847" i="3" s="1"/>
  <c r="D847" i="3"/>
  <c r="N846" i="3"/>
  <c r="U846" i="3" s="1"/>
  <c r="D846" i="3"/>
  <c r="N844" i="3"/>
  <c r="U844" i="3" s="1"/>
  <c r="D844" i="3"/>
  <c r="W844" i="3"/>
  <c r="N843" i="3"/>
  <c r="U843" i="3" s="1"/>
  <c r="D843" i="3"/>
  <c r="W843" i="3"/>
  <c r="N842" i="3"/>
  <c r="U842" i="3" s="1"/>
  <c r="D842" i="3"/>
  <c r="W842" i="3"/>
  <c r="N841" i="3"/>
  <c r="U841" i="3" s="1"/>
  <c r="D841" i="3"/>
  <c r="N6847" i="3"/>
  <c r="U6847" i="3" s="1"/>
  <c r="O6847" i="3"/>
  <c r="N6846" i="3"/>
  <c r="U6846" i="3" s="1"/>
  <c r="O6846" i="3"/>
  <c r="N6845" i="3"/>
  <c r="U6845" i="3" s="1"/>
  <c r="O6845" i="3"/>
  <c r="N840" i="3" l="1"/>
  <c r="U840" i="3" s="1"/>
  <c r="D840" i="3"/>
  <c r="W840" i="3"/>
  <c r="N839" i="3"/>
  <c r="U839" i="3" s="1"/>
  <c r="D839" i="3"/>
  <c r="W839" i="3"/>
  <c r="N838" i="3"/>
  <c r="U838" i="3" s="1"/>
  <c r="D838" i="3"/>
  <c r="W838" i="3"/>
  <c r="N837" i="3"/>
  <c r="U837" i="3" s="1"/>
  <c r="D837" i="3"/>
  <c r="W837" i="3"/>
  <c r="N834" i="3"/>
  <c r="U834" i="3" s="1"/>
  <c r="D834" i="3"/>
  <c r="W834" i="3"/>
  <c r="N833" i="3"/>
  <c r="U833" i="3" s="1"/>
  <c r="D833" i="3"/>
  <c r="W833" i="3"/>
  <c r="N832" i="3"/>
  <c r="U832" i="3" s="1"/>
  <c r="D832" i="3"/>
  <c r="W832" i="3"/>
  <c r="N831" i="3"/>
  <c r="U831" i="3" s="1"/>
  <c r="D831" i="3"/>
  <c r="W831" i="3"/>
  <c r="N830" i="3"/>
  <c r="U830" i="3" s="1"/>
  <c r="D830" i="3"/>
  <c r="W830" i="3"/>
  <c r="N829" i="3"/>
  <c r="U829" i="3" s="1"/>
  <c r="D829" i="3"/>
  <c r="W829" i="3"/>
  <c r="N828" i="3"/>
  <c r="U828" i="3" s="1"/>
  <c r="D828" i="3"/>
  <c r="W828" i="3"/>
  <c r="N827" i="3"/>
  <c r="U827" i="3" s="1"/>
  <c r="D827" i="3"/>
  <c r="W827" i="3"/>
  <c r="N826" i="3"/>
  <c r="U826" i="3" s="1"/>
  <c r="D826" i="3"/>
  <c r="W826" i="3"/>
  <c r="N825" i="3"/>
  <c r="U825" i="3" s="1"/>
  <c r="D825" i="3"/>
  <c r="N782" i="3"/>
  <c r="U782" i="3" s="1"/>
  <c r="D782" i="3"/>
  <c r="W782" i="3"/>
  <c r="N781" i="3"/>
  <c r="U781" i="3" s="1"/>
  <c r="D781" i="3"/>
  <c r="W781" i="3"/>
  <c r="N780" i="3"/>
  <c r="U780" i="3" s="1"/>
  <c r="D780" i="3"/>
  <c r="W780" i="3"/>
  <c r="N779" i="3"/>
  <c r="U779" i="3" s="1"/>
  <c r="D779" i="3"/>
  <c r="W779" i="3"/>
  <c r="N778" i="3"/>
  <c r="U778" i="3" s="1"/>
  <c r="D778" i="3"/>
  <c r="W778" i="3"/>
  <c r="N777" i="3"/>
  <c r="U777" i="3" s="1"/>
  <c r="D777" i="3"/>
  <c r="W777" i="3"/>
  <c r="N776" i="3"/>
  <c r="U776" i="3" s="1"/>
  <c r="D776" i="3"/>
  <c r="W776" i="3"/>
  <c r="N775" i="3"/>
  <c r="U775" i="3" s="1"/>
  <c r="D775" i="3"/>
  <c r="W775" i="3"/>
  <c r="N774" i="3"/>
  <c r="U774" i="3" s="1"/>
  <c r="D774" i="3"/>
  <c r="W774" i="3"/>
  <c r="N773" i="3"/>
  <c r="U773" i="3" s="1"/>
  <c r="D773" i="3"/>
  <c r="W773" i="3"/>
  <c r="N771" i="3"/>
  <c r="U771" i="3" s="1"/>
  <c r="D771" i="3"/>
  <c r="W771" i="3"/>
  <c r="N770" i="3"/>
  <c r="U770" i="3" s="1"/>
  <c r="D770" i="3"/>
  <c r="W770" i="3"/>
  <c r="N769" i="3"/>
  <c r="U769" i="3" s="1"/>
  <c r="D769" i="3"/>
  <c r="W769" i="3"/>
  <c r="N768" i="3"/>
  <c r="U768" i="3" s="1"/>
  <c r="D768" i="3"/>
  <c r="W768" i="3"/>
  <c r="N767" i="3"/>
  <c r="U767" i="3" s="1"/>
  <c r="D767" i="3"/>
  <c r="W767" i="3"/>
  <c r="N766" i="3"/>
  <c r="U766" i="3" s="1"/>
  <c r="D766" i="3"/>
  <c r="W766" i="3"/>
  <c r="N765" i="3"/>
  <c r="U765" i="3" s="1"/>
  <c r="D765" i="3"/>
  <c r="W765" i="3"/>
  <c r="N764" i="3"/>
  <c r="U764" i="3" s="1"/>
  <c r="D764" i="3"/>
  <c r="N763" i="3"/>
  <c r="U763" i="3" s="1"/>
  <c r="D763" i="3"/>
  <c r="W763" i="3"/>
  <c r="N762" i="3"/>
  <c r="U762" i="3" s="1"/>
  <c r="D762" i="3"/>
  <c r="W762" i="3"/>
  <c r="N761" i="3"/>
  <c r="U761" i="3" s="1"/>
  <c r="D761" i="3"/>
  <c r="W761" i="3"/>
  <c r="N760" i="3"/>
  <c r="U760" i="3" s="1"/>
  <c r="D760" i="3"/>
  <c r="W760" i="3"/>
  <c r="N759" i="3"/>
  <c r="U759" i="3" s="1"/>
  <c r="D759" i="3"/>
  <c r="W759" i="3"/>
  <c r="N758" i="3"/>
  <c r="U758" i="3" s="1"/>
  <c r="D758" i="3"/>
  <c r="W758" i="3"/>
  <c r="N757" i="3"/>
  <c r="U757" i="3" s="1"/>
  <c r="D757" i="3"/>
  <c r="W757" i="3"/>
  <c r="N756" i="3"/>
  <c r="U756" i="3" s="1"/>
  <c r="D756" i="3"/>
  <c r="W756" i="3"/>
  <c r="N755" i="3"/>
  <c r="U755" i="3" s="1"/>
  <c r="D755" i="3"/>
  <c r="W755" i="3"/>
  <c r="N754" i="3"/>
  <c r="U754" i="3" s="1"/>
  <c r="D754" i="3"/>
  <c r="W754" i="3"/>
  <c r="N752" i="3"/>
  <c r="U752" i="3" s="1"/>
  <c r="D752" i="3"/>
  <c r="W752" i="3"/>
  <c r="N751" i="3"/>
  <c r="U751" i="3" s="1"/>
  <c r="D751" i="3"/>
  <c r="W751" i="3"/>
  <c r="N750" i="3"/>
  <c r="U750" i="3" s="1"/>
  <c r="D750" i="3"/>
  <c r="W750" i="3"/>
  <c r="N749" i="3"/>
  <c r="U749" i="3" s="1"/>
  <c r="D749" i="3"/>
  <c r="W749" i="3"/>
  <c r="N748" i="3"/>
  <c r="U748" i="3" s="1"/>
  <c r="D748" i="3"/>
  <c r="W748" i="3"/>
  <c r="N747" i="3"/>
  <c r="U747" i="3" s="1"/>
  <c r="D747" i="3"/>
  <c r="W747" i="3"/>
  <c r="N746" i="3"/>
  <c r="U746" i="3" s="1"/>
  <c r="D746" i="3"/>
  <c r="W746" i="3"/>
  <c r="N745" i="3"/>
  <c r="U745" i="3" s="1"/>
  <c r="D745" i="3"/>
  <c r="N744" i="3"/>
  <c r="U744" i="3" s="1"/>
  <c r="D744" i="3"/>
  <c r="W744" i="3"/>
  <c r="N743" i="3"/>
  <c r="U743" i="3" s="1"/>
  <c r="D743" i="3"/>
  <c r="W743" i="3"/>
  <c r="N742" i="3"/>
  <c r="U742" i="3" s="1"/>
  <c r="D742" i="3"/>
  <c r="W742" i="3"/>
  <c r="N741" i="3"/>
  <c r="U741" i="3" s="1"/>
  <c r="D741" i="3"/>
  <c r="W741" i="3"/>
  <c r="N740" i="3"/>
  <c r="U740" i="3" s="1"/>
  <c r="D740" i="3"/>
  <c r="W740" i="3"/>
  <c r="N739" i="3"/>
  <c r="U739" i="3" s="1"/>
  <c r="D739" i="3"/>
  <c r="W739" i="3"/>
  <c r="N738" i="3"/>
  <c r="U738" i="3" s="1"/>
  <c r="D738" i="3"/>
  <c r="W738" i="3"/>
  <c r="N737" i="3"/>
  <c r="U737" i="3" s="1"/>
  <c r="D737" i="3"/>
  <c r="W737" i="3"/>
  <c r="N736" i="3"/>
  <c r="U736" i="3" s="1"/>
  <c r="D736" i="3"/>
  <c r="W736" i="3"/>
  <c r="N735" i="3"/>
  <c r="U735" i="3" s="1"/>
  <c r="D735" i="3"/>
  <c r="W735" i="3"/>
  <c r="N734" i="3"/>
  <c r="U734" i="3" s="1"/>
  <c r="D734" i="3"/>
  <c r="W734" i="3"/>
  <c r="N733" i="3"/>
  <c r="U733" i="3" s="1"/>
  <c r="D733" i="3"/>
  <c r="W733" i="3"/>
  <c r="N732" i="3"/>
  <c r="U732" i="3" s="1"/>
  <c r="D732" i="3"/>
  <c r="W732" i="3"/>
  <c r="N731" i="3"/>
  <c r="U731" i="3" s="1"/>
  <c r="D731" i="3"/>
  <c r="W731" i="3"/>
  <c r="N730" i="3"/>
  <c r="U730" i="3" s="1"/>
  <c r="D730" i="3"/>
  <c r="W730" i="3"/>
  <c r="N729" i="3"/>
  <c r="U729" i="3" s="1"/>
  <c r="D729" i="3"/>
  <c r="W729" i="3"/>
  <c r="N728" i="3"/>
  <c r="U728" i="3" s="1"/>
  <c r="D728" i="3"/>
  <c r="W728" i="3"/>
  <c r="N727" i="3"/>
  <c r="U727" i="3" s="1"/>
  <c r="D727" i="3"/>
  <c r="N6842" i="3" l="1"/>
  <c r="U6842" i="3" s="1"/>
  <c r="O6842" i="3"/>
  <c r="N6840" i="3"/>
  <c r="U6840" i="3" s="1"/>
  <c r="O6840" i="3"/>
  <c r="N6841" i="3"/>
  <c r="O6841" i="3"/>
  <c r="N6849" i="3"/>
  <c r="U6849" i="3" s="1"/>
  <c r="O6849" i="3"/>
  <c r="U6841" i="3" l="1"/>
  <c r="W1011" i="3"/>
  <c r="W1013" i="3"/>
  <c r="W1014" i="3"/>
  <c r="W1015" i="3"/>
  <c r="W1016" i="3"/>
  <c r="W1017" i="3"/>
  <c r="N1017" i="3"/>
  <c r="U1017" i="3" s="1"/>
  <c r="D1017" i="3"/>
  <c r="N1016" i="3"/>
  <c r="U1016" i="3" s="1"/>
  <c r="D1016" i="3"/>
  <c r="N1015" i="3"/>
  <c r="U1015" i="3" s="1"/>
  <c r="D1015" i="3"/>
  <c r="N1014" i="3"/>
  <c r="U1014" i="3" s="1"/>
  <c r="D1014" i="3"/>
  <c r="N1013" i="3"/>
  <c r="U1013" i="3" s="1"/>
  <c r="D1013" i="3"/>
  <c r="N1012" i="3"/>
  <c r="U1012" i="3" s="1"/>
  <c r="D1012" i="3"/>
  <c r="W1012" i="3"/>
  <c r="N1011" i="3"/>
  <c r="U1011" i="3" s="1"/>
  <c r="D1011" i="3"/>
  <c r="N1010" i="3"/>
  <c r="U1010" i="3" s="1"/>
  <c r="D1010" i="3"/>
  <c r="W1010" i="3"/>
  <c r="N1009" i="3"/>
  <c r="U1009" i="3" s="1"/>
  <c r="D1009" i="3"/>
  <c r="W1009" i="3"/>
  <c r="N1008" i="3"/>
  <c r="U1008" i="3" s="1"/>
  <c r="D1008" i="3"/>
  <c r="W1008" i="3"/>
  <c r="N1007" i="3"/>
  <c r="U1007" i="3" s="1"/>
  <c r="D1007" i="3"/>
  <c r="W1007" i="3"/>
  <c r="N1005" i="3"/>
  <c r="U1005" i="3" s="1"/>
  <c r="D1005" i="3"/>
  <c r="W1005" i="3"/>
  <c r="N1004" i="3"/>
  <c r="U1004" i="3" s="1"/>
  <c r="D1004" i="3"/>
  <c r="W1004" i="3"/>
  <c r="N1003" i="3"/>
  <c r="U1003" i="3" s="1"/>
  <c r="D1003" i="3"/>
  <c r="W1003" i="3"/>
  <c r="N1002" i="3"/>
  <c r="U1002" i="3" s="1"/>
  <c r="D1002" i="3"/>
  <c r="W1002" i="3"/>
  <c r="N1001" i="3"/>
  <c r="U1001" i="3" s="1"/>
  <c r="D1001" i="3"/>
  <c r="O6857" i="3"/>
  <c r="N6857" i="3"/>
  <c r="U6857" i="3" s="1"/>
  <c r="N6855" i="3"/>
  <c r="U6855" i="3" s="1"/>
  <c r="W992" i="3"/>
  <c r="W993" i="3"/>
  <c r="W994" i="3"/>
  <c r="W995" i="3"/>
  <c r="W996" i="3"/>
  <c r="W997" i="3"/>
  <c r="W998" i="3"/>
  <c r="W999" i="3"/>
  <c r="W1000" i="3"/>
  <c r="D999" i="3"/>
  <c r="N999" i="3"/>
  <c r="U999" i="3" s="1"/>
  <c r="W981" i="3"/>
  <c r="W982" i="3"/>
  <c r="W983" i="3"/>
  <c r="W984" i="3"/>
  <c r="W985" i="3"/>
  <c r="W987" i="3"/>
  <c r="W988" i="3"/>
  <c r="W989" i="3"/>
  <c r="W990" i="3"/>
  <c r="W991" i="3"/>
  <c r="D994" i="3"/>
  <c r="N994" i="3"/>
  <c r="U994" i="3" s="1"/>
  <c r="D991" i="3"/>
  <c r="N991" i="3"/>
  <c r="U991" i="3" s="1"/>
  <c r="D988" i="3"/>
  <c r="N988" i="3"/>
  <c r="U988" i="3" s="1"/>
  <c r="D984" i="3"/>
  <c r="N984" i="3"/>
  <c r="U984" i="3" s="1"/>
  <c r="N1000" i="3"/>
  <c r="U1000" i="3" s="1"/>
  <c r="D1000" i="3"/>
  <c r="N998" i="3"/>
  <c r="U998" i="3" s="1"/>
  <c r="D998" i="3"/>
  <c r="N997" i="3"/>
  <c r="U997" i="3" s="1"/>
  <c r="D997" i="3"/>
  <c r="N996" i="3"/>
  <c r="U996" i="3" s="1"/>
  <c r="D996" i="3"/>
  <c r="N995" i="3"/>
  <c r="U995" i="3" s="1"/>
  <c r="D995" i="3"/>
  <c r="N993" i="3"/>
  <c r="U993" i="3" s="1"/>
  <c r="D993" i="3"/>
  <c r="N992" i="3"/>
  <c r="U992" i="3" s="1"/>
  <c r="D992" i="3"/>
  <c r="N990" i="3"/>
  <c r="U990" i="3" s="1"/>
  <c r="D990" i="3"/>
  <c r="N989" i="3"/>
  <c r="U989" i="3" s="1"/>
  <c r="D989" i="3"/>
  <c r="N987" i="3"/>
  <c r="U987" i="3" s="1"/>
  <c r="D987" i="3"/>
  <c r="N986" i="3"/>
  <c r="U986" i="3" s="1"/>
  <c r="D986" i="3"/>
  <c r="W986" i="3"/>
  <c r="N985" i="3"/>
  <c r="U985" i="3" s="1"/>
  <c r="D985" i="3"/>
  <c r="N983" i="3"/>
  <c r="U983" i="3" s="1"/>
  <c r="D983" i="3"/>
  <c r="N982" i="3"/>
  <c r="U982" i="3" s="1"/>
  <c r="D982" i="3"/>
  <c r="N981" i="3"/>
  <c r="U981" i="3" s="1"/>
  <c r="D981" i="3"/>
  <c r="N980" i="3"/>
  <c r="U980" i="3" s="1"/>
  <c r="D980" i="3"/>
  <c r="W965" i="3" l="1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D966" i="3"/>
  <c r="N966" i="3"/>
  <c r="U966" i="3" s="1"/>
  <c r="W966" i="3"/>
  <c r="N979" i="3"/>
  <c r="U979" i="3" s="1"/>
  <c r="D979" i="3"/>
  <c r="N978" i="3"/>
  <c r="U978" i="3" s="1"/>
  <c r="D978" i="3"/>
  <c r="N977" i="3"/>
  <c r="U977" i="3" s="1"/>
  <c r="D977" i="3"/>
  <c r="N976" i="3"/>
  <c r="U976" i="3" s="1"/>
  <c r="D976" i="3"/>
  <c r="N975" i="3"/>
  <c r="U975" i="3" s="1"/>
  <c r="D975" i="3"/>
  <c r="N974" i="3"/>
  <c r="U974" i="3" s="1"/>
  <c r="D974" i="3"/>
  <c r="N973" i="3"/>
  <c r="U973" i="3" s="1"/>
  <c r="D973" i="3"/>
  <c r="N972" i="3"/>
  <c r="U972" i="3" s="1"/>
  <c r="D972" i="3"/>
  <c r="N971" i="3"/>
  <c r="U971" i="3" s="1"/>
  <c r="D971" i="3"/>
  <c r="N970" i="3"/>
  <c r="U970" i="3" s="1"/>
  <c r="D970" i="3"/>
  <c r="N969" i="3"/>
  <c r="U969" i="3" s="1"/>
  <c r="D969" i="3"/>
  <c r="N968" i="3"/>
  <c r="U968" i="3" s="1"/>
  <c r="D968" i="3"/>
  <c r="N967" i="3"/>
  <c r="U967" i="3" s="1"/>
  <c r="D967" i="3"/>
  <c r="N965" i="3"/>
  <c r="U965" i="3" s="1"/>
  <c r="D965" i="3"/>
  <c r="N964" i="3"/>
  <c r="U964" i="3" s="1"/>
  <c r="D964" i="3"/>
  <c r="O6854" i="3" l="1"/>
  <c r="N6854" i="3"/>
  <c r="N6852" i="3"/>
  <c r="U6852" i="3" s="1"/>
  <c r="O6852" i="3"/>
  <c r="U6854" i="3" l="1"/>
  <c r="N949" i="3"/>
  <c r="U949" i="3" s="1"/>
  <c r="D949" i="3"/>
  <c r="W949" i="3"/>
  <c r="N948" i="3"/>
  <c r="U948" i="3" s="1"/>
  <c r="D948" i="3"/>
  <c r="W948" i="3"/>
  <c r="N947" i="3"/>
  <c r="U947" i="3" s="1"/>
  <c r="D947" i="3"/>
  <c r="W947" i="3"/>
  <c r="N946" i="3"/>
  <c r="U946" i="3" s="1"/>
  <c r="D946" i="3"/>
  <c r="W946" i="3"/>
  <c r="N945" i="3"/>
  <c r="U945" i="3" s="1"/>
  <c r="D945" i="3"/>
  <c r="W945" i="3"/>
  <c r="N944" i="3"/>
  <c r="U944" i="3" s="1"/>
  <c r="D944" i="3"/>
  <c r="W944" i="3"/>
  <c r="N943" i="3"/>
  <c r="U943" i="3" s="1"/>
  <c r="D943" i="3"/>
  <c r="W943" i="3"/>
  <c r="N942" i="3"/>
  <c r="U942" i="3" s="1"/>
  <c r="D942" i="3"/>
  <c r="W942" i="3"/>
  <c r="N941" i="3"/>
  <c r="U941" i="3" s="1"/>
  <c r="D941" i="3"/>
  <c r="W941" i="3"/>
  <c r="N940" i="3"/>
  <c r="U940" i="3" s="1"/>
  <c r="D940" i="3"/>
  <c r="W940" i="3"/>
  <c r="N939" i="3"/>
  <c r="U939" i="3" s="1"/>
  <c r="D939" i="3"/>
  <c r="W939" i="3"/>
  <c r="N938" i="3"/>
  <c r="U938" i="3" s="1"/>
  <c r="D938" i="3"/>
  <c r="W938" i="3"/>
  <c r="N937" i="3"/>
  <c r="U937" i="3" s="1"/>
  <c r="D937" i="3"/>
  <c r="W937" i="3"/>
  <c r="N936" i="3"/>
  <c r="U936" i="3" s="1"/>
  <c r="D936" i="3"/>
  <c r="W936" i="3"/>
  <c r="N935" i="3"/>
  <c r="U935" i="3" s="1"/>
  <c r="D935" i="3"/>
  <c r="W935" i="3"/>
  <c r="N934" i="3"/>
  <c r="U934" i="3" s="1"/>
  <c r="D934" i="3"/>
  <c r="W934" i="3"/>
  <c r="N933" i="3"/>
  <c r="U933" i="3" s="1"/>
  <c r="D933" i="3"/>
  <c r="W933" i="3"/>
  <c r="N932" i="3"/>
  <c r="U932" i="3" s="1"/>
  <c r="D932" i="3"/>
  <c r="W932" i="3"/>
  <c r="N931" i="3"/>
  <c r="U931" i="3" s="1"/>
  <c r="D931" i="3"/>
  <c r="N930" i="3"/>
  <c r="U930" i="3" s="1"/>
  <c r="D930" i="3"/>
  <c r="W930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N918" i="3"/>
  <c r="U918" i="3" s="1"/>
  <c r="D918" i="3"/>
  <c r="N929" i="3"/>
  <c r="U929" i="3" s="1"/>
  <c r="D929" i="3"/>
  <c r="N928" i="3"/>
  <c r="U928" i="3" s="1"/>
  <c r="D928" i="3"/>
  <c r="N927" i="3"/>
  <c r="U927" i="3" s="1"/>
  <c r="D927" i="3"/>
  <c r="N926" i="3"/>
  <c r="U926" i="3" s="1"/>
  <c r="D926" i="3"/>
  <c r="N925" i="3"/>
  <c r="U925" i="3" s="1"/>
  <c r="D925" i="3"/>
  <c r="N924" i="3"/>
  <c r="U924" i="3" s="1"/>
  <c r="D924" i="3"/>
  <c r="N923" i="3"/>
  <c r="U923" i="3" s="1"/>
  <c r="D923" i="3"/>
  <c r="N922" i="3"/>
  <c r="U922" i="3" s="1"/>
  <c r="D922" i="3"/>
  <c r="N921" i="3"/>
  <c r="U921" i="3" s="1"/>
  <c r="D921" i="3"/>
  <c r="N920" i="3"/>
  <c r="U920" i="3" s="1"/>
  <c r="D920" i="3"/>
  <c r="N919" i="3"/>
  <c r="U919" i="3" s="1"/>
  <c r="D919" i="3"/>
  <c r="N917" i="3"/>
  <c r="U917" i="3" s="1"/>
  <c r="D917" i="3"/>
  <c r="N916" i="3"/>
  <c r="U916" i="3" s="1"/>
  <c r="D916" i="3"/>
  <c r="N915" i="3"/>
  <c r="U915" i="3" s="1"/>
  <c r="D915" i="3"/>
  <c r="N914" i="3"/>
  <c r="U914" i="3" s="1"/>
  <c r="D914" i="3"/>
  <c r="N913" i="3"/>
  <c r="U913" i="3" s="1"/>
  <c r="D913" i="3"/>
  <c r="N912" i="3"/>
  <c r="U912" i="3" s="1"/>
  <c r="D912" i="3"/>
  <c r="N6851" i="3"/>
  <c r="U6851" i="3" s="1"/>
  <c r="O6851" i="3"/>
  <c r="N901" i="3" l="1"/>
  <c r="U901" i="3" s="1"/>
  <c r="D901" i="3"/>
  <c r="W901" i="3"/>
  <c r="N911" i="3"/>
  <c r="U911" i="3" s="1"/>
  <c r="D911" i="3"/>
  <c r="W911" i="3"/>
  <c r="N910" i="3"/>
  <c r="U910" i="3" s="1"/>
  <c r="D910" i="3"/>
  <c r="W910" i="3"/>
  <c r="N909" i="3"/>
  <c r="U909" i="3" s="1"/>
  <c r="D909" i="3"/>
  <c r="W909" i="3"/>
  <c r="N908" i="3"/>
  <c r="U908" i="3" s="1"/>
  <c r="D908" i="3"/>
  <c r="W908" i="3"/>
  <c r="N907" i="3"/>
  <c r="U907" i="3" s="1"/>
  <c r="D907" i="3"/>
  <c r="W907" i="3"/>
  <c r="N906" i="3"/>
  <c r="U906" i="3" s="1"/>
  <c r="D906" i="3"/>
  <c r="W906" i="3"/>
  <c r="N905" i="3"/>
  <c r="U905" i="3" s="1"/>
  <c r="D905" i="3"/>
  <c r="W905" i="3"/>
  <c r="N904" i="3"/>
  <c r="U904" i="3" s="1"/>
  <c r="D904" i="3"/>
  <c r="W904" i="3"/>
  <c r="N903" i="3"/>
  <c r="U903" i="3" s="1"/>
  <c r="D903" i="3"/>
  <c r="W903" i="3"/>
  <c r="N902" i="3"/>
  <c r="U902" i="3" s="1"/>
  <c r="D902" i="3"/>
  <c r="W902" i="3"/>
  <c r="N900" i="3"/>
  <c r="U900" i="3" s="1"/>
  <c r="D900" i="3"/>
  <c r="W900" i="3"/>
  <c r="N899" i="3"/>
  <c r="U899" i="3" s="1"/>
  <c r="D899" i="3"/>
  <c r="W899" i="3"/>
  <c r="N898" i="3"/>
  <c r="U898" i="3" s="1"/>
  <c r="D898" i="3"/>
  <c r="W898" i="3"/>
  <c r="N897" i="3"/>
  <c r="U897" i="3" s="1"/>
  <c r="D897" i="3"/>
  <c r="W897" i="3"/>
  <c r="N896" i="3"/>
  <c r="U896" i="3" s="1"/>
  <c r="D896" i="3"/>
  <c r="W896" i="3"/>
  <c r="N895" i="3"/>
  <c r="U895" i="3" s="1"/>
  <c r="D895" i="3"/>
  <c r="N6839" i="3" l="1"/>
  <c r="U6839" i="3" s="1"/>
  <c r="O6839" i="3"/>
  <c r="N6772" i="3" l="1"/>
  <c r="U6772" i="3" s="1"/>
  <c r="O6772" i="3"/>
  <c r="O6771" i="3"/>
  <c r="N6771" i="3"/>
  <c r="U6771" i="3" s="1"/>
  <c r="D4909" i="3"/>
  <c r="A4909" i="3"/>
  <c r="D4908" i="3"/>
  <c r="A4908" i="3"/>
  <c r="D4907" i="3"/>
  <c r="A4907" i="3"/>
  <c r="D4906" i="3"/>
  <c r="A4906" i="3"/>
  <c r="D4905" i="3"/>
  <c r="A4905" i="3"/>
  <c r="D4904" i="3"/>
  <c r="A4904" i="3"/>
  <c r="D4903" i="3"/>
  <c r="A4903" i="3"/>
  <c r="D4902" i="3"/>
  <c r="A4902" i="3"/>
  <c r="D4901" i="3"/>
  <c r="W328" i="3" l="1"/>
  <c r="W330" i="3"/>
  <c r="W331" i="3"/>
  <c r="W332" i="3"/>
  <c r="W353" i="3"/>
  <c r="W354" i="3"/>
  <c r="W355" i="3"/>
  <c r="W356" i="3"/>
  <c r="W357" i="3"/>
  <c r="W358" i="3"/>
  <c r="W359" i="3"/>
  <c r="D4882" i="3"/>
  <c r="A4882" i="3"/>
  <c r="D4881" i="3"/>
  <c r="A4881" i="3"/>
  <c r="D4880" i="3"/>
  <c r="A4880" i="3"/>
  <c r="D4879" i="3"/>
  <c r="A4879" i="3"/>
  <c r="D4878" i="3"/>
  <c r="A4878" i="3"/>
  <c r="D4877" i="3"/>
  <c r="A4877" i="3"/>
  <c r="D4876" i="3"/>
  <c r="A4876" i="3"/>
  <c r="D4875" i="3"/>
  <c r="A4875" i="3"/>
  <c r="D4874" i="3"/>
  <c r="O6799" i="3"/>
  <c r="N6799" i="3"/>
  <c r="U6799" i="3" s="1"/>
  <c r="O6794" i="3"/>
  <c r="N6794" i="3"/>
  <c r="U6794" i="3" s="1"/>
  <c r="N2157" i="3"/>
  <c r="D2157" i="3"/>
  <c r="A2157" i="3"/>
  <c r="N2156" i="3"/>
  <c r="D2156" i="3"/>
  <c r="A2156" i="3"/>
  <c r="N2155" i="3"/>
  <c r="D2155" i="3"/>
  <c r="A2155" i="3"/>
  <c r="N2154" i="3"/>
  <c r="D2154" i="3"/>
  <c r="N2152" i="3"/>
  <c r="D2152" i="3"/>
  <c r="N2151" i="3"/>
  <c r="D2151" i="3"/>
  <c r="N2150" i="3"/>
  <c r="D2150" i="3"/>
  <c r="N2149" i="3"/>
  <c r="D2149" i="3"/>
  <c r="D2144" i="3"/>
  <c r="A2144" i="3"/>
  <c r="D2136" i="3"/>
  <c r="A2136" i="3"/>
  <c r="D2135" i="3"/>
  <c r="N2088" i="3"/>
  <c r="D2088" i="3"/>
  <c r="A2088" i="3"/>
  <c r="N2087" i="3"/>
  <c r="D2087" i="3"/>
  <c r="A2087" i="3"/>
  <c r="N2086" i="3"/>
  <c r="D2086" i="3"/>
  <c r="A2086" i="3"/>
  <c r="N2085" i="3"/>
  <c r="D2085" i="3"/>
  <c r="N2083" i="3"/>
  <c r="D2083" i="3"/>
  <c r="N2082" i="3"/>
  <c r="D2082" i="3"/>
  <c r="N2081" i="3"/>
  <c r="D2081" i="3"/>
  <c r="N2080" i="3"/>
  <c r="D2080" i="3"/>
  <c r="D2075" i="3"/>
  <c r="A2075" i="3"/>
  <c r="D2067" i="3"/>
  <c r="A2067" i="3"/>
  <c r="D2066" i="3"/>
  <c r="N359" i="3"/>
  <c r="U359" i="3" s="1"/>
  <c r="D359" i="3"/>
  <c r="N358" i="3"/>
  <c r="U358" i="3" s="1"/>
  <c r="D358" i="3"/>
  <c r="N357" i="3"/>
  <c r="U357" i="3" s="1"/>
  <c r="D357" i="3"/>
  <c r="N356" i="3"/>
  <c r="U356" i="3" s="1"/>
  <c r="D356" i="3"/>
  <c r="N355" i="3"/>
  <c r="U355" i="3" s="1"/>
  <c r="D355" i="3"/>
  <c r="N354" i="3"/>
  <c r="U354" i="3" s="1"/>
  <c r="D354" i="3"/>
  <c r="N353" i="3"/>
  <c r="U353" i="3" s="1"/>
  <c r="D353" i="3"/>
  <c r="N352" i="3"/>
  <c r="U352" i="3" s="1"/>
  <c r="D352" i="3"/>
  <c r="N333" i="3"/>
  <c r="U333" i="3" s="1"/>
  <c r="D333" i="3"/>
  <c r="W333" i="3"/>
  <c r="N332" i="3"/>
  <c r="U332" i="3" s="1"/>
  <c r="D332" i="3"/>
  <c r="N331" i="3"/>
  <c r="U331" i="3" s="1"/>
  <c r="D331" i="3"/>
  <c r="N330" i="3"/>
  <c r="U330" i="3" s="1"/>
  <c r="D330" i="3"/>
  <c r="N329" i="3"/>
  <c r="U329" i="3" s="1"/>
  <c r="D329" i="3"/>
  <c r="W329" i="3"/>
  <c r="N328" i="3"/>
  <c r="U328" i="3" s="1"/>
  <c r="D328" i="3"/>
  <c r="N327" i="3"/>
  <c r="U327" i="3" s="1"/>
  <c r="D327" i="3"/>
  <c r="U2080" i="3" l="1"/>
  <c r="X2080" i="3"/>
  <c r="U2081" i="3"/>
  <c r="X2081" i="3"/>
  <c r="U2082" i="3"/>
  <c r="X2082" i="3"/>
  <c r="U2083" i="3"/>
  <c r="X2083" i="3"/>
  <c r="U2085" i="3"/>
  <c r="X2085" i="3"/>
  <c r="U2086" i="3"/>
  <c r="X2086" i="3"/>
  <c r="U2087" i="3"/>
  <c r="X2087" i="3"/>
  <c r="U2088" i="3"/>
  <c r="X2088" i="3"/>
  <c r="U2149" i="3"/>
  <c r="X2149" i="3"/>
  <c r="U2150" i="3"/>
  <c r="X2150" i="3"/>
  <c r="U2151" i="3"/>
  <c r="X2151" i="3"/>
  <c r="U2152" i="3"/>
  <c r="X2152" i="3"/>
  <c r="U2154" i="3"/>
  <c r="X2154" i="3"/>
  <c r="U2155" i="3"/>
  <c r="X2155" i="3"/>
  <c r="U2156" i="3"/>
  <c r="X2156" i="3"/>
  <c r="U2157" i="3"/>
  <c r="X2157" i="3"/>
  <c r="D4891" i="3"/>
  <c r="A4891" i="3"/>
  <c r="D4890" i="3"/>
  <c r="A4890" i="3"/>
  <c r="D4889" i="3"/>
  <c r="A4889" i="3"/>
  <c r="D4888" i="3"/>
  <c r="A4888" i="3"/>
  <c r="D4887" i="3"/>
  <c r="A4887" i="3"/>
  <c r="D4886" i="3"/>
  <c r="A4886" i="3"/>
  <c r="D4885" i="3"/>
  <c r="A4885" i="3"/>
  <c r="D4884" i="3"/>
  <c r="A4884" i="3"/>
  <c r="D4883" i="3"/>
  <c r="N1788" i="3"/>
  <c r="D1788" i="3"/>
  <c r="A1788" i="3"/>
  <c r="N1787" i="3"/>
  <c r="D1787" i="3"/>
  <c r="A1787" i="3"/>
  <c r="N1786" i="3"/>
  <c r="D1786" i="3"/>
  <c r="A1786" i="3"/>
  <c r="N1785" i="3"/>
  <c r="D1785" i="3"/>
  <c r="N1784" i="3"/>
  <c r="D1784" i="3"/>
  <c r="N1783" i="3"/>
  <c r="D1783" i="3"/>
  <c r="N1782" i="3"/>
  <c r="D1782" i="3"/>
  <c r="N1781" i="3"/>
  <c r="D1781" i="3"/>
  <c r="N1780" i="3"/>
  <c r="D1780" i="3"/>
  <c r="D1775" i="3"/>
  <c r="D1768" i="3"/>
  <c r="A1768" i="3"/>
  <c r="D1767" i="3"/>
  <c r="A1767" i="3"/>
  <c r="N1763" i="3"/>
  <c r="D1763" i="3"/>
  <c r="A1763" i="3"/>
  <c r="N1762" i="3"/>
  <c r="D1762" i="3"/>
  <c r="A1655" i="3"/>
  <c r="A1659" i="3"/>
  <c r="A1660" i="3"/>
  <c r="A1667" i="3"/>
  <c r="A1668" i="3"/>
  <c r="U1762" i="3" l="1"/>
  <c r="X1762" i="3"/>
  <c r="U1763" i="3"/>
  <c r="X1763" i="3"/>
  <c r="U1780" i="3"/>
  <c r="X1780" i="3"/>
  <c r="U1781" i="3"/>
  <c r="X1781" i="3"/>
  <c r="U1782" i="3"/>
  <c r="X1782" i="3"/>
  <c r="U1783" i="3"/>
  <c r="X1783" i="3"/>
  <c r="U1784" i="3"/>
  <c r="X1784" i="3"/>
  <c r="U1785" i="3"/>
  <c r="X1785" i="3"/>
  <c r="U1786" i="3"/>
  <c r="X1786" i="3"/>
  <c r="U1787" i="3"/>
  <c r="X1787" i="3"/>
  <c r="U1788" i="3"/>
  <c r="X1788" i="3"/>
  <c r="D1668" i="3"/>
  <c r="N1675" i="3"/>
  <c r="D1675" i="3"/>
  <c r="U1675" i="3" l="1"/>
  <c r="X1675" i="3"/>
  <c r="D1672" i="3"/>
  <c r="N1672" i="3"/>
  <c r="D1667" i="3"/>
  <c r="U1672" i="3" l="1"/>
  <c r="X1672" i="3"/>
  <c r="D4873" i="3"/>
  <c r="A4873" i="3"/>
  <c r="D4872" i="3"/>
  <c r="A4872" i="3"/>
  <c r="D4871" i="3"/>
  <c r="A4871" i="3"/>
  <c r="D4870" i="3"/>
  <c r="A4870" i="3"/>
  <c r="D4869" i="3"/>
  <c r="A4869" i="3"/>
  <c r="D4868" i="3"/>
  <c r="A4868" i="3"/>
  <c r="D4867" i="3"/>
  <c r="A4867" i="3"/>
  <c r="D4866" i="3"/>
  <c r="A4866" i="3"/>
  <c r="D4865" i="3"/>
  <c r="B4679" i="3"/>
  <c r="B4680" i="3"/>
  <c r="B4678" i="3"/>
  <c r="B4676" i="3"/>
  <c r="N6789" i="3" l="1"/>
  <c r="U6789" i="3" s="1"/>
  <c r="O6789" i="3"/>
  <c r="N2065" i="3"/>
  <c r="D2065" i="3"/>
  <c r="A2065" i="3"/>
  <c r="N2063" i="3"/>
  <c r="D2063" i="3"/>
  <c r="A2063" i="3"/>
  <c r="N2062" i="3"/>
  <c r="D2062" i="3"/>
  <c r="A2062" i="3"/>
  <c r="N2061" i="3"/>
  <c r="D2061" i="3"/>
  <c r="A2061" i="3"/>
  <c r="N2060" i="3"/>
  <c r="D2060" i="3"/>
  <c r="A2060" i="3"/>
  <c r="N2059" i="3"/>
  <c r="D2059" i="3"/>
  <c r="A2059" i="3"/>
  <c r="N2058" i="3"/>
  <c r="D2058" i="3"/>
  <c r="A2058" i="3"/>
  <c r="D2057" i="3"/>
  <c r="A2057" i="3"/>
  <c r="N2056" i="3"/>
  <c r="D2056" i="3"/>
  <c r="A2056" i="3"/>
  <c r="N2055" i="3"/>
  <c r="D2055" i="3"/>
  <c r="A2055" i="3"/>
  <c r="N2054" i="3"/>
  <c r="D2054" i="3"/>
  <c r="A2054" i="3"/>
  <c r="N2051" i="3"/>
  <c r="D2051" i="3"/>
  <c r="D5132" i="3"/>
  <c r="A5132" i="3"/>
  <c r="D5131" i="3"/>
  <c r="A5131" i="3"/>
  <c r="D5130" i="3"/>
  <c r="A5130" i="3"/>
  <c r="D5129" i="3"/>
  <c r="A5129" i="3"/>
  <c r="D5128" i="3"/>
  <c r="A5128" i="3"/>
  <c r="D5127" i="3"/>
  <c r="A5127" i="3"/>
  <c r="D5126" i="3"/>
  <c r="A5126" i="3"/>
  <c r="D5125" i="3"/>
  <c r="A5125" i="3"/>
  <c r="D5124" i="3"/>
  <c r="A5124" i="3"/>
  <c r="D5123" i="3"/>
  <c r="A5123" i="3"/>
  <c r="D5121" i="3"/>
  <c r="A5121" i="3"/>
  <c r="I5120" i="3"/>
  <c r="D5120" i="3"/>
  <c r="A5120" i="3"/>
  <c r="D5117" i="3"/>
  <c r="A5117" i="3"/>
  <c r="D5114" i="3"/>
  <c r="N320" i="3"/>
  <c r="U320" i="3" s="1"/>
  <c r="D320" i="3"/>
  <c r="W320" i="3"/>
  <c r="U2051" i="3" l="1"/>
  <c r="X2051" i="3"/>
  <c r="U2054" i="3"/>
  <c r="X2054" i="3"/>
  <c r="U2055" i="3"/>
  <c r="X2055" i="3"/>
  <c r="U2056" i="3"/>
  <c r="X2056" i="3"/>
  <c r="U2058" i="3"/>
  <c r="X2058" i="3"/>
  <c r="U2059" i="3"/>
  <c r="X2059" i="3"/>
  <c r="U2060" i="3"/>
  <c r="X2060" i="3"/>
  <c r="U2061" i="3"/>
  <c r="X2061" i="3"/>
  <c r="U2062" i="3"/>
  <c r="X2062" i="3"/>
  <c r="U2063" i="3"/>
  <c r="X2063" i="3"/>
  <c r="U2065" i="3"/>
  <c r="X2065" i="3"/>
  <c r="N326" i="3"/>
  <c r="U326" i="3" s="1"/>
  <c r="D326" i="3"/>
  <c r="W326" i="3"/>
  <c r="N325" i="3"/>
  <c r="U325" i="3" s="1"/>
  <c r="D325" i="3"/>
  <c r="W325" i="3"/>
  <c r="N324" i="3"/>
  <c r="U324" i="3" s="1"/>
  <c r="D324" i="3"/>
  <c r="W324" i="3"/>
  <c r="N323" i="3"/>
  <c r="U323" i="3" s="1"/>
  <c r="D323" i="3"/>
  <c r="W323" i="3"/>
  <c r="N322" i="3"/>
  <c r="U322" i="3" s="1"/>
  <c r="D322" i="3"/>
  <c r="W322" i="3"/>
  <c r="N321" i="3"/>
  <c r="U321" i="3" s="1"/>
  <c r="D321" i="3"/>
  <c r="W321" i="3"/>
  <c r="N319" i="3"/>
  <c r="U319" i="3" s="1"/>
  <c r="D319" i="3"/>
  <c r="W319" i="3"/>
  <c r="N318" i="3"/>
  <c r="U318" i="3" s="1"/>
  <c r="D318" i="3"/>
  <c r="W318" i="3"/>
  <c r="N317" i="3"/>
  <c r="U317" i="3" s="1"/>
  <c r="D317" i="3"/>
  <c r="W317" i="3"/>
  <c r="N316" i="3"/>
  <c r="U316" i="3" s="1"/>
  <c r="D316" i="3"/>
  <c r="B4664" i="3" l="1"/>
  <c r="B4665" i="3"/>
  <c r="B4663" i="3"/>
  <c r="N4665" i="3"/>
  <c r="U4665" i="3" s="1"/>
  <c r="N4664" i="3"/>
  <c r="U4664" i="3" s="1"/>
  <c r="N4663" i="3"/>
  <c r="U4663" i="3" s="1"/>
  <c r="B4661" i="3"/>
  <c r="B4662" i="3"/>
  <c r="B4660" i="3"/>
  <c r="N4662" i="3"/>
  <c r="U4662" i="3" s="1"/>
  <c r="N4661" i="3"/>
  <c r="U4661" i="3" s="1"/>
  <c r="N4660" i="3"/>
  <c r="U4660" i="3" s="1"/>
  <c r="B4706" i="3"/>
  <c r="B4705" i="3"/>
  <c r="B4700" i="3"/>
  <c r="B4699" i="3"/>
  <c r="B4688" i="3"/>
  <c r="B4687" i="3"/>
  <c r="B4672" i="3"/>
  <c r="B4674" i="3"/>
  <c r="B4675" i="3"/>
  <c r="B4671" i="3"/>
  <c r="B4659" i="3"/>
  <c r="B4657" i="3"/>
  <c r="B4658" i="3"/>
  <c r="B4656" i="3"/>
  <c r="D6910" i="3" l="1"/>
  <c r="D6914" i="3"/>
  <c r="D6918" i="3"/>
  <c r="D6911" i="3"/>
  <c r="D6915" i="3"/>
  <c r="D6919" i="3"/>
  <c r="D6908" i="3"/>
  <c r="D6912" i="3"/>
  <c r="D6916" i="3"/>
  <c r="D6909" i="3"/>
  <c r="D6913" i="3"/>
  <c r="D6917" i="3"/>
  <c r="D6837" i="3"/>
  <c r="D6838" i="3"/>
  <c r="D4686" i="3"/>
  <c r="D6822" i="3"/>
  <c r="D6823" i="3"/>
  <c r="D4684" i="3"/>
  <c r="D4685" i="3"/>
  <c r="D4683" i="3"/>
  <c r="D6903" i="3"/>
  <c r="D6905" i="3"/>
  <c r="D6904" i="3"/>
  <c r="D6902" i="3"/>
  <c r="D6906" i="3"/>
  <c r="D6780" i="3"/>
  <c r="D6791" i="3"/>
  <c r="D6792" i="3"/>
  <c r="D6797" i="3"/>
  <c r="D6798" i="3"/>
  <c r="D6779" i="3"/>
  <c r="D6781" i="3"/>
  <c r="D6782" i="3"/>
  <c r="D6773" i="3"/>
  <c r="D6774" i="3"/>
  <c r="D6814" i="3"/>
  <c r="D6813" i="3"/>
  <c r="D6760" i="3"/>
  <c r="D6764" i="3"/>
  <c r="D6768" i="3"/>
  <c r="D6772" i="3"/>
  <c r="D6778" i="3"/>
  <c r="D6786" i="3"/>
  <c r="D6790" i="3"/>
  <c r="D6796" i="3"/>
  <c r="D6802" i="3"/>
  <c r="D6806" i="3"/>
  <c r="D6810" i="3"/>
  <c r="D6818" i="3"/>
  <c r="D6824" i="3"/>
  <c r="D6828" i="3"/>
  <c r="D6832" i="3"/>
  <c r="D6836" i="3"/>
  <c r="D6842" i="3"/>
  <c r="D6846" i="3"/>
  <c r="D6850" i="3"/>
  <c r="D6854" i="3"/>
  <c r="D6858" i="3"/>
  <c r="D6862" i="3"/>
  <c r="D6866" i="3"/>
  <c r="D6870" i="3"/>
  <c r="D6874" i="3"/>
  <c r="D6878" i="3"/>
  <c r="D6882" i="3"/>
  <c r="D6886" i="3"/>
  <c r="D6890" i="3"/>
  <c r="D6894" i="3"/>
  <c r="D6898" i="3"/>
  <c r="D6907" i="3"/>
  <c r="D6757" i="3"/>
  <c r="D6761" i="3"/>
  <c r="D6765" i="3"/>
  <c r="D6769" i="3"/>
  <c r="D6775" i="3"/>
  <c r="D6783" i="3"/>
  <c r="D6787" i="3"/>
  <c r="D6793" i="3"/>
  <c r="D6799" i="3"/>
  <c r="D6803" i="3"/>
  <c r="D6807" i="3"/>
  <c r="D6811" i="3"/>
  <c r="D6815" i="3"/>
  <c r="D6819" i="3"/>
  <c r="D6825" i="3"/>
  <c r="D6829" i="3"/>
  <c r="D6833" i="3"/>
  <c r="D6839" i="3"/>
  <c r="D6843" i="3"/>
  <c r="D6847" i="3"/>
  <c r="D6851" i="3"/>
  <c r="D6855" i="3"/>
  <c r="D6859" i="3"/>
  <c r="D6863" i="3"/>
  <c r="D6867" i="3"/>
  <c r="D6871" i="3"/>
  <c r="D6875" i="3"/>
  <c r="D6879" i="3"/>
  <c r="D6883" i="3"/>
  <c r="D6887" i="3"/>
  <c r="D6891" i="3"/>
  <c r="D6895" i="3"/>
  <c r="D6899" i="3"/>
  <c r="D6853" i="3"/>
  <c r="D6861" i="3"/>
  <c r="D6869" i="3"/>
  <c r="D6881" i="3"/>
  <c r="D6889" i="3"/>
  <c r="D6901" i="3"/>
  <c r="D6758" i="3"/>
  <c r="D6762" i="3"/>
  <c r="D6766" i="3"/>
  <c r="D6770" i="3"/>
  <c r="D6776" i="3"/>
  <c r="D6784" i="3"/>
  <c r="D6788" i="3"/>
  <c r="D6794" i="3"/>
  <c r="D6800" i="3"/>
  <c r="D6804" i="3"/>
  <c r="D6808" i="3"/>
  <c r="D6812" i="3"/>
  <c r="D6816" i="3"/>
  <c r="D6820" i="3"/>
  <c r="D6826" i="3"/>
  <c r="D6830" i="3"/>
  <c r="D6834" i="3"/>
  <c r="D6840" i="3"/>
  <c r="D6844" i="3"/>
  <c r="D6848" i="3"/>
  <c r="D6852" i="3"/>
  <c r="D6856" i="3"/>
  <c r="D6860" i="3"/>
  <c r="D6864" i="3"/>
  <c r="D6868" i="3"/>
  <c r="D6872" i="3"/>
  <c r="D6876" i="3"/>
  <c r="D6880" i="3"/>
  <c r="D6884" i="3"/>
  <c r="D6888" i="3"/>
  <c r="D6892" i="3"/>
  <c r="D6896" i="3"/>
  <c r="D6900" i="3"/>
  <c r="D6835" i="3"/>
  <c r="D6845" i="3"/>
  <c r="D6849" i="3"/>
  <c r="D6857" i="3"/>
  <c r="D6865" i="3"/>
  <c r="D6873" i="3"/>
  <c r="D6877" i="3"/>
  <c r="D6893" i="3"/>
  <c r="D6759" i="3"/>
  <c r="D6763" i="3"/>
  <c r="D6767" i="3"/>
  <c r="D6771" i="3"/>
  <c r="D6777" i="3"/>
  <c r="D6785" i="3"/>
  <c r="D6789" i="3"/>
  <c r="D6795" i="3"/>
  <c r="D6801" i="3"/>
  <c r="D6805" i="3"/>
  <c r="D6809" i="3"/>
  <c r="D6817" i="3"/>
  <c r="D6821" i="3"/>
  <c r="D6827" i="3"/>
  <c r="D6831" i="3"/>
  <c r="D6841" i="3"/>
  <c r="D6885" i="3"/>
  <c r="D6897" i="3"/>
  <c r="D4727" i="3"/>
  <c r="D4728" i="3"/>
  <c r="D4726" i="3"/>
  <c r="D4725" i="3"/>
  <c r="D4723" i="3"/>
  <c r="D4724" i="3"/>
  <c r="D4722" i="3"/>
  <c r="D4721" i="3"/>
  <c r="D4720" i="3"/>
  <c r="D4719" i="3"/>
  <c r="D4718" i="3"/>
  <c r="D4716" i="3"/>
  <c r="D4717" i="3"/>
  <c r="D4682" i="3"/>
  <c r="D4667" i="3"/>
  <c r="D4677" i="3"/>
  <c r="D4666" i="3"/>
  <c r="D4673" i="3"/>
  <c r="D4668" i="3"/>
  <c r="D4670" i="3"/>
  <c r="D4669" i="3"/>
  <c r="D4711" i="3"/>
  <c r="D4698" i="3"/>
  <c r="D4697" i="3"/>
  <c r="D4681" i="3"/>
  <c r="D4693" i="3"/>
  <c r="D4695" i="3"/>
  <c r="D4707" i="3"/>
  <c r="D4709" i="3"/>
  <c r="D4708" i="3"/>
  <c r="D4696" i="3"/>
  <c r="D4691" i="3"/>
  <c r="D4692" i="3"/>
  <c r="D4703" i="3"/>
  <c r="D4704" i="3"/>
  <c r="D4701" i="3"/>
  <c r="D4702" i="3"/>
  <c r="D4689" i="3"/>
  <c r="D4690" i="3"/>
  <c r="D4663" i="3"/>
  <c r="D4664" i="3"/>
  <c r="D4665" i="3"/>
  <c r="D4660" i="3"/>
  <c r="D4661" i="3"/>
  <c r="D4662" i="3"/>
  <c r="D5113" i="3"/>
  <c r="A5113" i="3"/>
  <c r="D5112" i="3"/>
  <c r="A5112" i="3"/>
  <c r="D5111" i="3"/>
  <c r="A5111" i="3"/>
  <c r="D5110" i="3"/>
  <c r="A5110" i="3"/>
  <c r="D5109" i="3"/>
  <c r="A5109" i="3"/>
  <c r="D5108" i="3"/>
  <c r="A5108" i="3"/>
  <c r="D5107" i="3"/>
  <c r="A5107" i="3"/>
  <c r="D5106" i="3"/>
  <c r="A5106" i="3"/>
  <c r="D5105" i="3"/>
  <c r="A5105" i="3"/>
  <c r="D5104" i="3"/>
  <c r="A5104" i="3"/>
  <c r="D5102" i="3"/>
  <c r="A5102" i="3"/>
  <c r="I5101" i="3"/>
  <c r="D5101" i="3"/>
  <c r="A5101" i="3"/>
  <c r="D5098" i="3"/>
  <c r="A5098" i="3"/>
  <c r="D5095" i="3"/>
  <c r="N2049" i="3" l="1"/>
  <c r="D2049" i="3"/>
  <c r="A2049" i="3"/>
  <c r="N2047" i="3"/>
  <c r="D2047" i="3"/>
  <c r="A2047" i="3"/>
  <c r="N2046" i="3"/>
  <c r="D2046" i="3"/>
  <c r="A2046" i="3"/>
  <c r="N2045" i="3"/>
  <c r="D2045" i="3"/>
  <c r="A2045" i="3"/>
  <c r="N2044" i="3"/>
  <c r="D2044" i="3"/>
  <c r="A2044" i="3"/>
  <c r="N2043" i="3"/>
  <c r="D2043" i="3"/>
  <c r="A2043" i="3"/>
  <c r="N2042" i="3"/>
  <c r="D2042" i="3"/>
  <c r="A2042" i="3"/>
  <c r="D2041" i="3"/>
  <c r="A2041" i="3"/>
  <c r="N2040" i="3"/>
  <c r="D2040" i="3"/>
  <c r="A2040" i="3"/>
  <c r="N2039" i="3"/>
  <c r="D2039" i="3"/>
  <c r="A2039" i="3"/>
  <c r="N2038" i="3"/>
  <c r="D2038" i="3"/>
  <c r="A2038" i="3"/>
  <c r="N2035" i="3"/>
  <c r="D2035" i="3"/>
  <c r="N315" i="3"/>
  <c r="U315" i="3" s="1"/>
  <c r="D315" i="3"/>
  <c r="W315" i="3"/>
  <c r="N314" i="3"/>
  <c r="U314" i="3" s="1"/>
  <c r="D314" i="3"/>
  <c r="W314" i="3"/>
  <c r="N313" i="3"/>
  <c r="U313" i="3" s="1"/>
  <c r="D313" i="3"/>
  <c r="W313" i="3"/>
  <c r="N312" i="3"/>
  <c r="U312" i="3" s="1"/>
  <c r="D312" i="3"/>
  <c r="W312" i="3"/>
  <c r="N311" i="3"/>
  <c r="U311" i="3" s="1"/>
  <c r="D311" i="3"/>
  <c r="W311" i="3"/>
  <c r="N310" i="3"/>
  <c r="U310" i="3" s="1"/>
  <c r="D310" i="3"/>
  <c r="W310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3" i="3"/>
  <c r="A2034" i="3"/>
  <c r="D5094" i="3"/>
  <c r="A5094" i="3"/>
  <c r="D5093" i="3"/>
  <c r="A5093" i="3"/>
  <c r="D5092" i="3"/>
  <c r="A5092" i="3"/>
  <c r="D5091" i="3"/>
  <c r="A5091" i="3"/>
  <c r="D5090" i="3"/>
  <c r="A5090" i="3"/>
  <c r="D5089" i="3"/>
  <c r="A5089" i="3"/>
  <c r="D5088" i="3"/>
  <c r="A5088" i="3"/>
  <c r="D5087" i="3"/>
  <c r="A5087" i="3"/>
  <c r="D5086" i="3"/>
  <c r="A5086" i="3"/>
  <c r="D5085" i="3"/>
  <c r="A5085" i="3"/>
  <c r="D5083" i="3"/>
  <c r="A5083" i="3"/>
  <c r="I5082" i="3"/>
  <c r="D5082" i="3"/>
  <c r="A5082" i="3"/>
  <c r="D5079" i="3"/>
  <c r="A5079" i="3"/>
  <c r="D5076" i="3"/>
  <c r="N2034" i="3"/>
  <c r="D2034" i="3"/>
  <c r="N2033" i="3"/>
  <c r="D2033" i="3"/>
  <c r="N2025" i="3"/>
  <c r="D2025" i="3"/>
  <c r="N2024" i="3"/>
  <c r="D2024" i="3"/>
  <c r="N2021" i="3"/>
  <c r="D2021" i="3"/>
  <c r="N305" i="3"/>
  <c r="U305" i="3" s="1"/>
  <c r="D305" i="3"/>
  <c r="W305" i="3"/>
  <c r="N304" i="3"/>
  <c r="U304" i="3" s="1"/>
  <c r="D304" i="3"/>
  <c r="W304" i="3"/>
  <c r="N303" i="3"/>
  <c r="U303" i="3" s="1"/>
  <c r="D303" i="3"/>
  <c r="W303" i="3"/>
  <c r="N302" i="3"/>
  <c r="U302" i="3" s="1"/>
  <c r="D302" i="3"/>
  <c r="W302" i="3"/>
  <c r="N301" i="3"/>
  <c r="U301" i="3" s="1"/>
  <c r="D301" i="3"/>
  <c r="W301" i="3"/>
  <c r="N300" i="3"/>
  <c r="U300" i="3" s="1"/>
  <c r="D300" i="3"/>
  <c r="W300" i="3"/>
  <c r="N299" i="3"/>
  <c r="U299" i="3" s="1"/>
  <c r="D299" i="3"/>
  <c r="W299" i="3"/>
  <c r="N298" i="3"/>
  <c r="U298" i="3" s="1"/>
  <c r="D298" i="3"/>
  <c r="W298" i="3"/>
  <c r="N297" i="3"/>
  <c r="U297" i="3" s="1"/>
  <c r="D297" i="3"/>
  <c r="W297" i="3"/>
  <c r="N296" i="3"/>
  <c r="U296" i="3" s="1"/>
  <c r="D296" i="3"/>
  <c r="W296" i="3"/>
  <c r="N295" i="3"/>
  <c r="U295" i="3" s="1"/>
  <c r="D295" i="3"/>
  <c r="W295" i="3"/>
  <c r="N294" i="3"/>
  <c r="U294" i="3" s="1"/>
  <c r="D294" i="3"/>
  <c r="N6786" i="3"/>
  <c r="U6786" i="3" s="1"/>
  <c r="O6786" i="3"/>
  <c r="N2005" i="3"/>
  <c r="D2005" i="3"/>
  <c r="A2005" i="3"/>
  <c r="N2006" i="3"/>
  <c r="D2006" i="3"/>
  <c r="A2006" i="3"/>
  <c r="N1987" i="3"/>
  <c r="D1987" i="3"/>
  <c r="N1986" i="3"/>
  <c r="D1986" i="3"/>
  <c r="N1970" i="3"/>
  <c r="D1970" i="3"/>
  <c r="N2002" i="3"/>
  <c r="D2002" i="3"/>
  <c r="A2002" i="3"/>
  <c r="U2002" i="3" l="1"/>
  <c r="X2002" i="3"/>
  <c r="U1970" i="3"/>
  <c r="X1970" i="3"/>
  <c r="U1986" i="3"/>
  <c r="X1986" i="3"/>
  <c r="U1987" i="3"/>
  <c r="X1987" i="3"/>
  <c r="U2006" i="3"/>
  <c r="X2006" i="3"/>
  <c r="U2005" i="3"/>
  <c r="X2005" i="3"/>
  <c r="U2021" i="3"/>
  <c r="X2021" i="3"/>
  <c r="U2024" i="3"/>
  <c r="X2024" i="3"/>
  <c r="U2025" i="3"/>
  <c r="X2025" i="3"/>
  <c r="U2033" i="3"/>
  <c r="X2033" i="3"/>
  <c r="U2034" i="3"/>
  <c r="X2034" i="3"/>
  <c r="U2035" i="3"/>
  <c r="X2035" i="3"/>
  <c r="U2038" i="3"/>
  <c r="X2038" i="3"/>
  <c r="U2039" i="3"/>
  <c r="X2039" i="3"/>
  <c r="U2040" i="3"/>
  <c r="X2040" i="3"/>
  <c r="U2042" i="3"/>
  <c r="X2042" i="3"/>
  <c r="U2043" i="3"/>
  <c r="X2043" i="3"/>
  <c r="U2044" i="3"/>
  <c r="X2044" i="3"/>
  <c r="U2045" i="3"/>
  <c r="X2045" i="3"/>
  <c r="U2046" i="3"/>
  <c r="X2046" i="3"/>
  <c r="U2047" i="3"/>
  <c r="X2047" i="3"/>
  <c r="U2049" i="3"/>
  <c r="X2049" i="3"/>
  <c r="W286" i="3"/>
  <c r="D286" i="3"/>
  <c r="N286" i="3"/>
  <c r="U286" i="3" s="1"/>
  <c r="N2015" i="3" l="1"/>
  <c r="D2015" i="3"/>
  <c r="A2015" i="3"/>
  <c r="N2014" i="3"/>
  <c r="D2014" i="3"/>
  <c r="A2014" i="3"/>
  <c r="N2012" i="3"/>
  <c r="D2012" i="3"/>
  <c r="A2012" i="3"/>
  <c r="N2011" i="3"/>
  <c r="D2011" i="3"/>
  <c r="A2011" i="3"/>
  <c r="N2010" i="3"/>
  <c r="D2010" i="3"/>
  <c r="A2010" i="3"/>
  <c r="N2009" i="3"/>
  <c r="D2009" i="3"/>
  <c r="A2009" i="3"/>
  <c r="N2008" i="3"/>
  <c r="D2008" i="3"/>
  <c r="A2008" i="3"/>
  <c r="N2007" i="3"/>
  <c r="D2007" i="3"/>
  <c r="A2007" i="3"/>
  <c r="D2004" i="3"/>
  <c r="A2004" i="3"/>
  <c r="N2003" i="3"/>
  <c r="D2003" i="3"/>
  <c r="A2003" i="3"/>
  <c r="N2001" i="3"/>
  <c r="D2001" i="3"/>
  <c r="N2000" i="3"/>
  <c r="D2000" i="3"/>
  <c r="N1997" i="3"/>
  <c r="D1997" i="3"/>
  <c r="D285" i="3"/>
  <c r="N285" i="3"/>
  <c r="U285" i="3" s="1"/>
  <c r="W285" i="3"/>
  <c r="N293" i="3"/>
  <c r="U293" i="3" s="1"/>
  <c r="D293" i="3"/>
  <c r="W293" i="3"/>
  <c r="N292" i="3"/>
  <c r="U292" i="3" s="1"/>
  <c r="D292" i="3"/>
  <c r="W292" i="3"/>
  <c r="N291" i="3"/>
  <c r="U291" i="3" s="1"/>
  <c r="D291" i="3"/>
  <c r="W291" i="3"/>
  <c r="N290" i="3"/>
  <c r="U290" i="3" s="1"/>
  <c r="D290" i="3"/>
  <c r="W290" i="3"/>
  <c r="N289" i="3"/>
  <c r="U289" i="3" s="1"/>
  <c r="D289" i="3"/>
  <c r="W289" i="3"/>
  <c r="N288" i="3"/>
  <c r="U288" i="3" s="1"/>
  <c r="D288" i="3"/>
  <c r="W288" i="3"/>
  <c r="N287" i="3"/>
  <c r="U287" i="3" s="1"/>
  <c r="D287" i="3"/>
  <c r="W287" i="3"/>
  <c r="N284" i="3"/>
  <c r="U284" i="3" s="1"/>
  <c r="D284" i="3"/>
  <c r="W284" i="3"/>
  <c r="N283" i="3"/>
  <c r="U283" i="3" s="1"/>
  <c r="D283" i="3"/>
  <c r="W283" i="3"/>
  <c r="N282" i="3"/>
  <c r="U282" i="3" s="1"/>
  <c r="D282" i="3"/>
  <c r="I5063" i="3"/>
  <c r="I5044" i="3"/>
  <c r="I5025" i="3"/>
  <c r="I4800" i="3"/>
  <c r="I4781" i="3"/>
  <c r="I4762" i="3"/>
  <c r="D5075" i="3"/>
  <c r="A5075" i="3"/>
  <c r="D5074" i="3"/>
  <c r="A5074" i="3"/>
  <c r="D5073" i="3"/>
  <c r="A5073" i="3"/>
  <c r="D5072" i="3"/>
  <c r="A5072" i="3"/>
  <c r="D5071" i="3"/>
  <c r="A5071" i="3"/>
  <c r="D5070" i="3"/>
  <c r="A5070" i="3"/>
  <c r="D5069" i="3"/>
  <c r="A5069" i="3"/>
  <c r="D5068" i="3"/>
  <c r="A5068" i="3"/>
  <c r="D5067" i="3"/>
  <c r="A5067" i="3"/>
  <c r="D5066" i="3"/>
  <c r="A5066" i="3"/>
  <c r="D5064" i="3"/>
  <c r="A5064" i="3"/>
  <c r="D5063" i="3"/>
  <c r="A5063" i="3"/>
  <c r="D5060" i="3"/>
  <c r="A5060" i="3"/>
  <c r="D5057" i="3"/>
  <c r="D5056" i="3"/>
  <c r="A5056" i="3"/>
  <c r="D5055" i="3"/>
  <c r="A5055" i="3"/>
  <c r="D5054" i="3"/>
  <c r="A5054" i="3"/>
  <c r="D5053" i="3"/>
  <c r="A5053" i="3"/>
  <c r="D5052" i="3"/>
  <c r="A5052" i="3"/>
  <c r="D5051" i="3"/>
  <c r="A5051" i="3"/>
  <c r="D5050" i="3"/>
  <c r="A5050" i="3"/>
  <c r="D5049" i="3"/>
  <c r="A5049" i="3"/>
  <c r="D5048" i="3"/>
  <c r="A5048" i="3"/>
  <c r="D5047" i="3"/>
  <c r="A5047" i="3"/>
  <c r="D5045" i="3"/>
  <c r="A5045" i="3"/>
  <c r="N1996" i="3"/>
  <c r="D1996" i="3"/>
  <c r="N1995" i="3"/>
  <c r="D1995" i="3"/>
  <c r="U1995" i="3" l="1"/>
  <c r="X1995" i="3"/>
  <c r="U1996" i="3"/>
  <c r="X1996" i="3"/>
  <c r="U1997" i="3"/>
  <c r="X1997" i="3"/>
  <c r="U2000" i="3"/>
  <c r="X2000" i="3"/>
  <c r="U2001" i="3"/>
  <c r="X2001" i="3"/>
  <c r="U2003" i="3"/>
  <c r="X2003" i="3"/>
  <c r="U2007" i="3"/>
  <c r="X2007" i="3"/>
  <c r="U2008" i="3"/>
  <c r="X2008" i="3"/>
  <c r="U2009" i="3"/>
  <c r="X2009" i="3"/>
  <c r="U2010" i="3"/>
  <c r="X2010" i="3"/>
  <c r="U2011" i="3"/>
  <c r="X2011" i="3"/>
  <c r="U2012" i="3"/>
  <c r="X2012" i="3"/>
  <c r="U2014" i="3"/>
  <c r="X2014" i="3"/>
  <c r="U2015" i="3"/>
  <c r="X2015" i="3"/>
  <c r="D5037" i="3"/>
  <c r="A5037" i="3"/>
  <c r="D5036" i="3"/>
  <c r="A5036" i="3"/>
  <c r="D5035" i="3"/>
  <c r="A5035" i="3"/>
  <c r="D5034" i="3"/>
  <c r="A5034" i="3"/>
  <c r="D5033" i="3"/>
  <c r="A5033" i="3"/>
  <c r="D5032" i="3"/>
  <c r="A5032" i="3"/>
  <c r="D5031" i="3"/>
  <c r="A5031" i="3"/>
  <c r="D5030" i="3"/>
  <c r="A5030" i="3"/>
  <c r="D5029" i="3"/>
  <c r="A5029" i="3"/>
  <c r="D5028" i="3"/>
  <c r="A5028" i="3"/>
  <c r="D5026" i="3"/>
  <c r="A5026" i="3"/>
  <c r="D1971" i="3" l="1"/>
  <c r="N57" i="3" l="1"/>
  <c r="U57" i="3" s="1"/>
  <c r="D57" i="3"/>
  <c r="W57" i="3"/>
  <c r="N56" i="3"/>
  <c r="U56" i="3" s="1"/>
  <c r="D56" i="3"/>
  <c r="W56" i="3"/>
  <c r="N4659" i="3"/>
  <c r="U4659" i="3" s="1"/>
  <c r="W12" i="6"/>
  <c r="A1618" i="3" l="1"/>
  <c r="D1618" i="3"/>
  <c r="N1618" i="3"/>
  <c r="R6" i="83"/>
  <c r="A1570" i="3"/>
  <c r="D1570" i="3"/>
  <c r="N1570" i="3"/>
  <c r="Q73" i="83" s="1"/>
  <c r="A1616" i="3"/>
  <c r="D1616" i="3"/>
  <c r="N1616" i="3"/>
  <c r="N1624" i="3"/>
  <c r="D1624" i="3"/>
  <c r="A1624" i="3"/>
  <c r="N1623" i="3"/>
  <c r="D1623" i="3"/>
  <c r="A1623" i="3"/>
  <c r="N1617" i="3"/>
  <c r="D1617" i="3"/>
  <c r="A1617" i="3"/>
  <c r="N1615" i="3"/>
  <c r="D1615" i="3"/>
  <c r="D1614" i="3"/>
  <c r="N1613" i="3"/>
  <c r="D1613" i="3"/>
  <c r="N1612" i="3"/>
  <c r="D1612" i="3"/>
  <c r="N1611" i="3"/>
  <c r="D1611" i="3"/>
  <c r="D1610" i="3"/>
  <c r="N1609" i="3"/>
  <c r="D1609" i="3"/>
  <c r="N1608" i="3"/>
  <c r="D1608" i="3"/>
  <c r="N1607" i="3"/>
  <c r="D1607" i="3"/>
  <c r="N1606" i="3"/>
  <c r="D1606" i="3"/>
  <c r="N1603" i="3"/>
  <c r="D1603" i="3"/>
  <c r="A1603" i="3"/>
  <c r="N1602" i="3"/>
  <c r="D1602" i="3"/>
  <c r="A1602" i="3"/>
  <c r="N1601" i="3"/>
  <c r="D1601" i="3"/>
  <c r="A1601" i="3"/>
  <c r="N1600" i="3"/>
  <c r="D1600" i="3"/>
  <c r="D4793" i="3"/>
  <c r="A4793" i="3"/>
  <c r="D4792" i="3"/>
  <c r="A4792" i="3"/>
  <c r="D4791" i="3"/>
  <c r="A4791" i="3"/>
  <c r="D4790" i="3"/>
  <c r="A4790" i="3"/>
  <c r="D4789" i="3"/>
  <c r="A4789" i="3"/>
  <c r="D4788" i="3"/>
  <c r="A4788" i="3"/>
  <c r="D4787" i="3"/>
  <c r="A4787" i="3"/>
  <c r="D4786" i="3"/>
  <c r="A4786" i="3"/>
  <c r="D4785" i="3"/>
  <c r="A4785" i="3"/>
  <c r="D4784" i="3"/>
  <c r="A4784" i="3"/>
  <c r="D4782" i="3"/>
  <c r="A4782" i="3"/>
  <c r="D4781" i="3"/>
  <c r="A4781" i="3"/>
  <c r="D4777" i="3"/>
  <c r="A4777" i="3"/>
  <c r="D4775" i="3"/>
  <c r="O6760" i="3"/>
  <c r="N6760" i="3"/>
  <c r="U6760" i="3" s="1"/>
  <c r="O6759" i="3"/>
  <c r="N6759" i="3"/>
  <c r="U6759" i="3" s="1"/>
  <c r="W83" i="3"/>
  <c r="D83" i="3"/>
  <c r="N83" i="3"/>
  <c r="U83" i="3" s="1"/>
  <c r="W80" i="3"/>
  <c r="D80" i="3"/>
  <c r="N80" i="3"/>
  <c r="U80" i="3" s="1"/>
  <c r="W77" i="3"/>
  <c r="D77" i="3"/>
  <c r="N77" i="3"/>
  <c r="U77" i="3" s="1"/>
  <c r="W73" i="3"/>
  <c r="D73" i="3"/>
  <c r="N73" i="3"/>
  <c r="U73" i="3" s="1"/>
  <c r="W70" i="3"/>
  <c r="D70" i="3"/>
  <c r="N70" i="3"/>
  <c r="U70" i="3" s="1"/>
  <c r="N84" i="3"/>
  <c r="U84" i="3" s="1"/>
  <c r="D84" i="3"/>
  <c r="W84" i="3"/>
  <c r="N82" i="3"/>
  <c r="U82" i="3" s="1"/>
  <c r="D82" i="3"/>
  <c r="W82" i="3"/>
  <c r="N81" i="3"/>
  <c r="U81" i="3" s="1"/>
  <c r="D81" i="3"/>
  <c r="W81" i="3"/>
  <c r="N79" i="3"/>
  <c r="U79" i="3" s="1"/>
  <c r="D79" i="3"/>
  <c r="W79" i="3"/>
  <c r="N78" i="3"/>
  <c r="U78" i="3" s="1"/>
  <c r="D78" i="3"/>
  <c r="W78" i="3"/>
  <c r="N76" i="3"/>
  <c r="U76" i="3" s="1"/>
  <c r="D76" i="3"/>
  <c r="W76" i="3"/>
  <c r="N75" i="3"/>
  <c r="U75" i="3" s="1"/>
  <c r="D75" i="3"/>
  <c r="W75" i="3"/>
  <c r="N72" i="3"/>
  <c r="U72" i="3" s="1"/>
  <c r="D72" i="3"/>
  <c r="W72" i="3"/>
  <c r="N71" i="3"/>
  <c r="U71" i="3" s="1"/>
  <c r="D71" i="3"/>
  <c r="W71" i="3"/>
  <c r="N69" i="3"/>
  <c r="U69" i="3" s="1"/>
  <c r="D69" i="3"/>
  <c r="W69" i="3"/>
  <c r="N68" i="3"/>
  <c r="U68" i="3" s="1"/>
  <c r="D68" i="3"/>
  <c r="W68" i="3"/>
  <c r="N67" i="3"/>
  <c r="U67" i="3" s="1"/>
  <c r="D67" i="3"/>
  <c r="J73" i="83" l="1"/>
  <c r="H73" i="83"/>
  <c r="W68" i="83"/>
  <c r="W69" i="83"/>
  <c r="W70" i="83"/>
  <c r="U1600" i="3"/>
  <c r="X1600" i="3"/>
  <c r="U1601" i="3"/>
  <c r="X1601" i="3"/>
  <c r="U1602" i="3"/>
  <c r="X1602" i="3"/>
  <c r="U1603" i="3"/>
  <c r="X1603" i="3"/>
  <c r="U1606" i="3"/>
  <c r="X1606" i="3"/>
  <c r="U1607" i="3"/>
  <c r="X1607" i="3"/>
  <c r="U1608" i="3"/>
  <c r="X1608" i="3"/>
  <c r="U1609" i="3"/>
  <c r="X1609" i="3"/>
  <c r="U1611" i="3"/>
  <c r="X1611" i="3"/>
  <c r="U1612" i="3"/>
  <c r="X1612" i="3"/>
  <c r="U1613" i="3"/>
  <c r="X1613" i="3"/>
  <c r="U1615" i="3"/>
  <c r="X1615" i="3"/>
  <c r="U1617" i="3"/>
  <c r="X1617" i="3"/>
  <c r="U1623" i="3"/>
  <c r="X1623" i="3"/>
  <c r="U1624" i="3"/>
  <c r="X1624" i="3"/>
  <c r="U1616" i="3"/>
  <c r="X1616" i="3"/>
  <c r="U1570" i="3"/>
  <c r="X1570" i="3"/>
  <c r="U1618" i="3"/>
  <c r="X1618" i="3"/>
  <c r="D4812" i="3"/>
  <c r="A4812" i="3"/>
  <c r="D4811" i="3"/>
  <c r="A4811" i="3"/>
  <c r="D4810" i="3"/>
  <c r="A4810" i="3"/>
  <c r="D4809" i="3"/>
  <c r="A4809" i="3"/>
  <c r="D4808" i="3"/>
  <c r="A4808" i="3"/>
  <c r="D4807" i="3"/>
  <c r="A4807" i="3"/>
  <c r="D4806" i="3"/>
  <c r="A4806" i="3"/>
  <c r="D4805" i="3"/>
  <c r="A4805" i="3"/>
  <c r="D4804" i="3"/>
  <c r="A4804" i="3"/>
  <c r="D4803" i="3"/>
  <c r="A4803" i="3"/>
  <c r="D4801" i="3"/>
  <c r="A4801" i="3"/>
  <c r="A1651" i="3"/>
  <c r="D1651" i="3"/>
  <c r="N1651" i="3"/>
  <c r="A1645" i="3"/>
  <c r="D1645" i="3"/>
  <c r="N1645" i="3"/>
  <c r="A1643" i="3"/>
  <c r="D1643" i="3"/>
  <c r="N1643" i="3"/>
  <c r="N1636" i="3"/>
  <c r="D1636" i="3"/>
  <c r="N1635" i="3"/>
  <c r="D1635" i="3"/>
  <c r="N1634" i="3"/>
  <c r="D1634" i="3"/>
  <c r="N1633" i="3"/>
  <c r="D1633" i="3"/>
  <c r="N1630" i="3"/>
  <c r="D1630" i="3"/>
  <c r="N1629" i="3"/>
  <c r="D1629" i="3"/>
  <c r="A1629" i="3"/>
  <c r="N1628" i="3"/>
  <c r="D1628" i="3"/>
  <c r="A1628" i="3"/>
  <c r="W104" i="3"/>
  <c r="D104" i="3"/>
  <c r="N104" i="3"/>
  <c r="U104" i="3" s="1"/>
  <c r="W101" i="3"/>
  <c r="D101" i="3"/>
  <c r="N101" i="3"/>
  <c r="U101" i="3" s="1"/>
  <c r="W98" i="3"/>
  <c r="D98" i="3"/>
  <c r="N98" i="3"/>
  <c r="U98" i="3" s="1"/>
  <c r="AP12" i="6"/>
  <c r="AP13" i="6"/>
  <c r="G70" i="83"/>
  <c r="G68" i="83"/>
  <c r="G69" i="83"/>
  <c r="N73" i="83" l="1"/>
  <c r="O73" i="83"/>
  <c r="C70" i="83"/>
  <c r="C69" i="83"/>
  <c r="F69" i="83"/>
  <c r="C68" i="83"/>
  <c r="F68" i="83"/>
  <c r="U1628" i="3"/>
  <c r="X1628" i="3"/>
  <c r="U1629" i="3"/>
  <c r="X1629" i="3"/>
  <c r="U1630" i="3"/>
  <c r="X1630" i="3"/>
  <c r="U1633" i="3"/>
  <c r="X1633" i="3"/>
  <c r="U1634" i="3"/>
  <c r="X1634" i="3"/>
  <c r="U1635" i="3"/>
  <c r="X1635" i="3"/>
  <c r="U1636" i="3"/>
  <c r="X1636" i="3"/>
  <c r="U1643" i="3"/>
  <c r="X1643" i="3"/>
  <c r="U1645" i="3"/>
  <c r="X1645" i="3"/>
  <c r="U1651" i="3"/>
  <c r="X1651" i="3"/>
  <c r="D4774" i="3"/>
  <c r="A4774" i="3"/>
  <c r="D4773" i="3"/>
  <c r="A4773" i="3"/>
  <c r="D4772" i="3"/>
  <c r="A4772" i="3"/>
  <c r="D4771" i="3"/>
  <c r="A4771" i="3"/>
  <c r="D4770" i="3"/>
  <c r="A4770" i="3"/>
  <c r="D4769" i="3"/>
  <c r="A4769" i="3"/>
  <c r="D4768" i="3"/>
  <c r="A4768" i="3"/>
  <c r="D4767" i="3"/>
  <c r="A4767" i="3"/>
  <c r="D4766" i="3"/>
  <c r="A4766" i="3"/>
  <c r="D4765" i="3"/>
  <c r="A4765" i="3"/>
  <c r="A1598" i="3"/>
  <c r="D1598" i="3"/>
  <c r="N1598" i="3"/>
  <c r="A1589" i="3"/>
  <c r="D1589" i="3"/>
  <c r="N1589" i="3"/>
  <c r="N1584" i="3"/>
  <c r="D1584" i="3"/>
  <c r="A1584" i="3"/>
  <c r="N1583" i="3"/>
  <c r="D1583" i="3"/>
  <c r="A1583" i="3"/>
  <c r="N1582" i="3"/>
  <c r="D1582" i="3"/>
  <c r="N1579" i="3"/>
  <c r="D1579" i="3"/>
  <c r="A1579" i="3"/>
  <c r="N1578" i="3"/>
  <c r="D1578" i="3"/>
  <c r="A1578" i="3"/>
  <c r="N1577" i="3"/>
  <c r="D1577" i="3"/>
  <c r="A1577" i="3"/>
  <c r="F70" i="83"/>
  <c r="E69" i="83" l="1"/>
  <c r="P69" i="83"/>
  <c r="P68" i="83"/>
  <c r="E68" i="83"/>
  <c r="M70" i="83"/>
  <c r="E70" i="83"/>
  <c r="Q70" i="83"/>
  <c r="P70" i="83"/>
  <c r="U1577" i="3"/>
  <c r="X1577" i="3"/>
  <c r="U1578" i="3"/>
  <c r="X1578" i="3"/>
  <c r="U1579" i="3"/>
  <c r="X1579" i="3"/>
  <c r="U1582" i="3"/>
  <c r="X1582" i="3"/>
  <c r="U1583" i="3"/>
  <c r="X1583" i="3"/>
  <c r="U1584" i="3"/>
  <c r="X1584" i="3"/>
  <c r="U1589" i="3"/>
  <c r="X1589" i="3"/>
  <c r="U1598" i="3"/>
  <c r="X1598" i="3"/>
  <c r="A4755" i="3"/>
  <c r="D4755" i="3"/>
  <c r="A4754" i="3"/>
  <c r="D4754" i="3"/>
  <c r="A4748" i="3"/>
  <c r="D4748" i="3"/>
  <c r="A4749" i="3"/>
  <c r="D4749" i="3"/>
  <c r="A4750" i="3"/>
  <c r="D4750" i="3"/>
  <c r="A4751" i="3"/>
  <c r="D4751" i="3"/>
  <c r="A4752" i="3"/>
  <c r="D4752" i="3"/>
  <c r="A4753" i="3"/>
  <c r="D4753" i="3"/>
  <c r="A4746" i="3"/>
  <c r="D4746" i="3"/>
  <c r="A4747" i="3"/>
  <c r="D4747" i="3"/>
  <c r="D94" i="3"/>
  <c r="N94" i="3"/>
  <c r="U94" i="3" s="1"/>
  <c r="W94" i="3"/>
  <c r="J70" i="83" l="1"/>
  <c r="H70" i="83"/>
  <c r="N50" i="3"/>
  <c r="U50" i="3" s="1"/>
  <c r="D50" i="3"/>
  <c r="W50" i="3"/>
  <c r="N48" i="3"/>
  <c r="U48" i="3" s="1"/>
  <c r="D48" i="3"/>
  <c r="W48" i="3"/>
  <c r="N47" i="3"/>
  <c r="U47" i="3" s="1"/>
  <c r="D47" i="3"/>
  <c r="W47" i="3"/>
  <c r="N43" i="3"/>
  <c r="U43" i="3" s="1"/>
  <c r="D43" i="3"/>
  <c r="W43" i="3"/>
  <c r="N41" i="3"/>
  <c r="U41" i="3" s="1"/>
  <c r="D41" i="3"/>
  <c r="W41" i="3"/>
  <c r="W39" i="3"/>
  <c r="D39" i="3"/>
  <c r="N39" i="3"/>
  <c r="U39" i="3" s="1"/>
  <c r="A1560" i="3"/>
  <c r="A1563" i="3"/>
  <c r="A1564" i="3"/>
  <c r="A1565" i="3"/>
  <c r="A1566" i="3"/>
  <c r="A1568" i="3"/>
  <c r="A1567" i="3"/>
  <c r="A1569" i="3"/>
  <c r="N1568" i="3"/>
  <c r="Q71" i="83" s="1"/>
  <c r="D1568" i="3"/>
  <c r="N1563" i="3"/>
  <c r="D1563" i="3"/>
  <c r="N1560" i="3"/>
  <c r="D1560" i="3"/>
  <c r="N1559" i="3"/>
  <c r="D1559" i="3"/>
  <c r="A1559" i="3"/>
  <c r="N1558" i="3"/>
  <c r="D1558" i="3"/>
  <c r="A1558" i="3"/>
  <c r="J71" i="83" l="1"/>
  <c r="H71" i="83"/>
  <c r="N70" i="83"/>
  <c r="O70" i="83"/>
  <c r="X1558" i="3"/>
  <c r="X1568" i="3"/>
  <c r="U1559" i="3"/>
  <c r="X1559" i="3"/>
  <c r="U1560" i="3"/>
  <c r="X1560" i="3"/>
  <c r="U1563" i="3"/>
  <c r="X1563" i="3"/>
  <c r="U1558" i="3"/>
  <c r="U1568" i="3"/>
  <c r="D2023" i="3"/>
  <c r="D1985" i="3"/>
  <c r="N71" i="83" l="1"/>
  <c r="O71" i="83"/>
  <c r="N894" i="3"/>
  <c r="U894" i="3" s="1"/>
  <c r="D894" i="3"/>
  <c r="W894" i="3"/>
  <c r="N893" i="3"/>
  <c r="U893" i="3" s="1"/>
  <c r="D893" i="3"/>
  <c r="W893" i="3"/>
  <c r="N892" i="3"/>
  <c r="U892" i="3" s="1"/>
  <c r="D892" i="3"/>
  <c r="W892" i="3"/>
  <c r="N891" i="3"/>
  <c r="U891" i="3" s="1"/>
  <c r="D891" i="3"/>
  <c r="W891" i="3"/>
  <c r="N890" i="3"/>
  <c r="U890" i="3" s="1"/>
  <c r="D890" i="3"/>
  <c r="W890" i="3"/>
  <c r="N889" i="3"/>
  <c r="U889" i="3" s="1"/>
  <c r="D889" i="3"/>
  <c r="W889" i="3"/>
  <c r="N888" i="3"/>
  <c r="U888" i="3" s="1"/>
  <c r="D888" i="3"/>
  <c r="W888" i="3"/>
  <c r="N887" i="3"/>
  <c r="U887" i="3" s="1"/>
  <c r="D887" i="3"/>
  <c r="W887" i="3"/>
  <c r="N886" i="3"/>
  <c r="U886" i="3" s="1"/>
  <c r="D886" i="3"/>
  <c r="W886" i="3"/>
  <c r="N885" i="3"/>
  <c r="U885" i="3" s="1"/>
  <c r="D885" i="3"/>
  <c r="W885" i="3"/>
  <c r="N884" i="3"/>
  <c r="U884" i="3" s="1"/>
  <c r="D884" i="3"/>
  <c r="W884" i="3"/>
  <c r="N883" i="3"/>
  <c r="U883" i="3" s="1"/>
  <c r="D883" i="3"/>
  <c r="W883" i="3"/>
  <c r="N882" i="3"/>
  <c r="U882" i="3" s="1"/>
  <c r="D882" i="3"/>
  <c r="W882" i="3"/>
  <c r="N881" i="3"/>
  <c r="U881" i="3" s="1"/>
  <c r="D881" i="3"/>
  <c r="W881" i="3"/>
  <c r="N880" i="3"/>
  <c r="U880" i="3" s="1"/>
  <c r="D880" i="3"/>
  <c r="W880" i="3"/>
  <c r="N879" i="3"/>
  <c r="U879" i="3" s="1"/>
  <c r="D879" i="3"/>
  <c r="N31" i="3"/>
  <c r="U31" i="3" s="1"/>
  <c r="N32" i="3"/>
  <c r="U32" i="3" s="1"/>
  <c r="D36" i="3"/>
  <c r="N36" i="3"/>
  <c r="U36" i="3" s="1"/>
  <c r="N29" i="3"/>
  <c r="U29" i="3" s="1"/>
  <c r="N6769" i="3" l="1"/>
  <c r="U6769" i="3" s="1"/>
  <c r="O6769" i="3"/>
  <c r="N6768" i="3"/>
  <c r="U6768" i="3" s="1"/>
  <c r="O6768" i="3"/>
  <c r="D4712" i="3" l="1"/>
  <c r="C199" i="2" l="1"/>
  <c r="B12" i="83" l="1"/>
  <c r="S100" i="83" s="1"/>
  <c r="D11" i="1"/>
  <c r="S99" i="83" l="1"/>
  <c r="A3" i="6"/>
  <c r="E4" i="6" l="1"/>
  <c r="L4675" i="3"/>
  <c r="L4674" i="3"/>
  <c r="L4672" i="3"/>
  <c r="W87" i="3"/>
  <c r="W88" i="3"/>
  <c r="W89" i="3"/>
  <c r="W90" i="3"/>
  <c r="W91" i="3"/>
  <c r="W92" i="3"/>
  <c r="W93" i="3"/>
  <c r="W96" i="3"/>
  <c r="W97" i="3"/>
  <c r="W99" i="3"/>
  <c r="W100" i="3"/>
  <c r="W102" i="3"/>
  <c r="W103" i="3"/>
  <c r="W105" i="3"/>
  <c r="N1" i="83"/>
  <c r="U4" i="3" l="1"/>
  <c r="N4676" i="3" l="1"/>
  <c r="U4676" i="3" s="1"/>
  <c r="N4671" i="3"/>
  <c r="U4671" i="3" s="1"/>
  <c r="F156" i="2" l="1"/>
  <c r="V74" i="83" l="1"/>
  <c r="D4659" i="3"/>
  <c r="D4658" i="3"/>
  <c r="D4678" i="3"/>
  <c r="D4688" i="3"/>
  <c r="D4657" i="3"/>
  <c r="D4710" i="3"/>
  <c r="D4671" i="3"/>
  <c r="D4676" i="3"/>
  <c r="D4679" i="3"/>
  <c r="D4672" i="3"/>
  <c r="D4674" i="3"/>
  <c r="D4675" i="3"/>
  <c r="D4687" i="3"/>
  <c r="D4699" i="3"/>
  <c r="D4705" i="3"/>
  <c r="D4694" i="3"/>
  <c r="D4680" i="3"/>
  <c r="D4706" i="3"/>
  <c r="D4700" i="3"/>
  <c r="N4680" i="3"/>
  <c r="U4680" i="3" s="1"/>
  <c r="V75" i="83" l="1"/>
  <c r="U74" i="83"/>
  <c r="R74" i="83" s="1"/>
  <c r="N4688" i="3"/>
  <c r="N4694" i="3"/>
  <c r="U4694" i="3" s="1"/>
  <c r="N4699" i="3"/>
  <c r="U4699" i="3" s="1"/>
  <c r="N4700" i="3"/>
  <c r="U4700" i="3" s="1"/>
  <c r="N4705" i="3"/>
  <c r="U4705" i="3" s="1"/>
  <c r="N4706" i="3"/>
  <c r="U4706" i="3" s="1"/>
  <c r="N4710" i="3"/>
  <c r="U4710" i="3" s="1"/>
  <c r="N4712" i="3"/>
  <c r="U4712" i="3" s="1"/>
  <c r="V76" i="83" l="1"/>
  <c r="U76" i="83" s="1"/>
  <c r="U75" i="83"/>
  <c r="R75" i="83" s="1"/>
  <c r="U4688" i="3"/>
  <c r="Q175" i="83"/>
  <c r="R76" i="83" l="1"/>
  <c r="V77" i="83"/>
  <c r="N6762" i="3"/>
  <c r="U6762" i="3" s="1"/>
  <c r="O6762" i="3"/>
  <c r="V78" i="83" l="1"/>
  <c r="U78" i="83" s="1"/>
  <c r="U77" i="83"/>
  <c r="R77" i="83" s="1"/>
  <c r="R78" i="83" l="1"/>
  <c r="U101" i="83"/>
  <c r="V101" i="83" s="1"/>
  <c r="H103" i="83" l="1"/>
  <c r="U102" i="83"/>
  <c r="N6764" i="3"/>
  <c r="U6764" i="3" s="1"/>
  <c r="O6764" i="3"/>
  <c r="N6765" i="3"/>
  <c r="O6765" i="3"/>
  <c r="N6766" i="3"/>
  <c r="U6766" i="3" s="1"/>
  <c r="O6766" i="3"/>
  <c r="N6767" i="3"/>
  <c r="O6767" i="3"/>
  <c r="N6770" i="3"/>
  <c r="O6770" i="3"/>
  <c r="N6784" i="3"/>
  <c r="U6784" i="3" s="1"/>
  <c r="O6784" i="3"/>
  <c r="N6785" i="3"/>
  <c r="U6785" i="3" s="1"/>
  <c r="O6785" i="3"/>
  <c r="N6787" i="3"/>
  <c r="U6787" i="3" s="1"/>
  <c r="O6787" i="3"/>
  <c r="N6788" i="3"/>
  <c r="O6788" i="3"/>
  <c r="N6790" i="3"/>
  <c r="O6790" i="3"/>
  <c r="N6793" i="3"/>
  <c r="U6793" i="3" s="1"/>
  <c r="O6793" i="3"/>
  <c r="N6800" i="3"/>
  <c r="O6800" i="3"/>
  <c r="N6850" i="3"/>
  <c r="U6850" i="3" s="1"/>
  <c r="O6850" i="3"/>
  <c r="O6855" i="3"/>
  <c r="N6856" i="3"/>
  <c r="U6856" i="3" s="1"/>
  <c r="O6856" i="3"/>
  <c r="F103" i="83" l="1"/>
  <c r="H104" i="83"/>
  <c r="C103" i="83"/>
  <c r="U103" i="83"/>
  <c r="V103" i="83"/>
  <c r="U6790" i="3"/>
  <c r="U6788" i="3"/>
  <c r="U6770" i="3"/>
  <c r="U6800" i="3"/>
  <c r="U6767" i="3"/>
  <c r="U6765" i="3"/>
  <c r="V102" i="83"/>
  <c r="U104" i="83"/>
  <c r="V104" i="83"/>
  <c r="D92" i="3"/>
  <c r="N92" i="3"/>
  <c r="U92" i="3" s="1"/>
  <c r="D88" i="3"/>
  <c r="N88" i="3"/>
  <c r="U88" i="3" s="1"/>
  <c r="E103" i="83" l="1"/>
  <c r="J103" i="83"/>
  <c r="N103" i="83"/>
  <c r="O103" i="83"/>
  <c r="P103" i="83"/>
  <c r="F104" i="83"/>
  <c r="C104" i="83"/>
  <c r="T103" i="83"/>
  <c r="U105" i="83"/>
  <c r="H105" i="83"/>
  <c r="Y103" i="83"/>
  <c r="Q103" i="83"/>
  <c r="V106" i="83"/>
  <c r="V105" i="83"/>
  <c r="X105" i="83"/>
  <c r="W105" i="83"/>
  <c r="X106" i="83"/>
  <c r="AE103" i="83" l="1"/>
  <c r="Z105" i="83"/>
  <c r="E104" i="83"/>
  <c r="J104" i="83"/>
  <c r="N104" i="83"/>
  <c r="O104" i="83"/>
  <c r="P104" i="83"/>
  <c r="T104" i="83"/>
  <c r="Q104" i="83"/>
  <c r="Y104" i="83"/>
  <c r="F105" i="83"/>
  <c r="I105" i="83"/>
  <c r="U106" i="83"/>
  <c r="C105" i="83"/>
  <c r="H106" i="83"/>
  <c r="B1" i="83"/>
  <c r="B2" i="83"/>
  <c r="W106" i="83"/>
  <c r="D105" i="83" l="1"/>
  <c r="Z106" i="83"/>
  <c r="E105" i="83"/>
  <c r="M105" i="83"/>
  <c r="J105" i="83"/>
  <c r="N105" i="83"/>
  <c r="O105" i="83"/>
  <c r="P105" i="83"/>
  <c r="F106" i="83"/>
  <c r="C106" i="83"/>
  <c r="I106" i="83"/>
  <c r="Y105" i="83"/>
  <c r="T105" i="83"/>
  <c r="B105" i="83"/>
  <c r="Q105" i="83"/>
  <c r="D106" i="83" l="1"/>
  <c r="E106" i="83"/>
  <c r="M106" i="83"/>
  <c r="J106" i="83"/>
  <c r="N106" i="83"/>
  <c r="O106" i="83"/>
  <c r="AE105" i="83"/>
  <c r="P106" i="83"/>
  <c r="Q106" i="83"/>
  <c r="Y106" i="83"/>
  <c r="T106" i="83"/>
  <c r="B106" i="83"/>
  <c r="N2031" i="3"/>
  <c r="D2031" i="3"/>
  <c r="N1993" i="3"/>
  <c r="D1993" i="3"/>
  <c r="N1977" i="3"/>
  <c r="D1977" i="3"/>
  <c r="U1977" i="3" l="1"/>
  <c r="X1977" i="3"/>
  <c r="U1993" i="3"/>
  <c r="X1993" i="3"/>
  <c r="U2031" i="3"/>
  <c r="X2031" i="3"/>
  <c r="AE106" i="83"/>
  <c r="D4592" i="3"/>
  <c r="N4590" i="3"/>
  <c r="N4591" i="3"/>
  <c r="N4593" i="3"/>
  <c r="N4594" i="3"/>
  <c r="N4595" i="3"/>
  <c r="N4596" i="3"/>
  <c r="N4597" i="3"/>
  <c r="N4598" i="3"/>
  <c r="N4599" i="3"/>
  <c r="D4599" i="3"/>
  <c r="D4598" i="3"/>
  <c r="D4597" i="3"/>
  <c r="D4596" i="3"/>
  <c r="D4595" i="3"/>
  <c r="D4594" i="3"/>
  <c r="D4593" i="3"/>
  <c r="D4591" i="3"/>
  <c r="D4590" i="3"/>
  <c r="N4589" i="3"/>
  <c r="D4589" i="3"/>
  <c r="N4588" i="3"/>
  <c r="D4588" i="3"/>
  <c r="N4587" i="3"/>
  <c r="D4587" i="3"/>
  <c r="N4586" i="3"/>
  <c r="D4586" i="3"/>
  <c r="N4585" i="3"/>
  <c r="D4585" i="3"/>
  <c r="N4561" i="3"/>
  <c r="N4562" i="3"/>
  <c r="N4563" i="3"/>
  <c r="N4564" i="3"/>
  <c r="N4565" i="3"/>
  <c r="A1585" i="3"/>
  <c r="A1586" i="3"/>
  <c r="A1587" i="3"/>
  <c r="A1588" i="3"/>
  <c r="A1594" i="3"/>
  <c r="A1595" i="3"/>
  <c r="A1597" i="3"/>
  <c r="A1642" i="3"/>
  <c r="A1644" i="3"/>
  <c r="A1650" i="3"/>
  <c r="W40" i="3"/>
  <c r="W42" i="3"/>
  <c r="W44" i="3"/>
  <c r="W46" i="3"/>
  <c r="W49" i="3"/>
  <c r="W51" i="3"/>
  <c r="W53" i="3"/>
  <c r="W54" i="3"/>
  <c r="W55" i="3"/>
  <c r="W58" i="3"/>
  <c r="W60" i="3"/>
  <c r="W61" i="3"/>
  <c r="W62" i="3"/>
  <c r="W63" i="3"/>
  <c r="W64" i="3"/>
  <c r="W65" i="3"/>
  <c r="W66" i="3"/>
  <c r="W86" i="3"/>
  <c r="W194" i="3"/>
  <c r="W199" i="3"/>
  <c r="W204" i="3"/>
  <c r="W205" i="3"/>
  <c r="W206" i="3"/>
  <c r="W207" i="3"/>
  <c r="W208" i="3"/>
  <c r="W209" i="3"/>
  <c r="W262" i="3"/>
  <c r="W263" i="3"/>
  <c r="W264" i="3"/>
  <c r="W265" i="3"/>
  <c r="W266" i="3"/>
  <c r="W267" i="3"/>
  <c r="W268" i="3"/>
  <c r="W269" i="3"/>
  <c r="W270" i="3"/>
  <c r="W272" i="3"/>
  <c r="W273" i="3"/>
  <c r="W274" i="3"/>
  <c r="W275" i="3"/>
  <c r="W276" i="3"/>
  <c r="W277" i="3"/>
  <c r="W278" i="3"/>
  <c r="W279" i="3"/>
  <c r="W280" i="3"/>
  <c r="W281" i="3"/>
  <c r="W307" i="3"/>
  <c r="W308" i="3"/>
  <c r="W309" i="3"/>
  <c r="W374" i="3"/>
  <c r="W375" i="3"/>
  <c r="W376" i="3"/>
  <c r="W377" i="3"/>
  <c r="W378" i="3"/>
  <c r="W379" i="3"/>
  <c r="W380" i="3"/>
  <c r="W389" i="3"/>
  <c r="W390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D4566" i="3"/>
  <c r="N4567" i="3"/>
  <c r="D4567" i="3"/>
  <c r="D4565" i="3"/>
  <c r="D4564" i="3"/>
  <c r="D4563" i="3"/>
  <c r="D4562" i="3"/>
  <c r="D4561" i="3"/>
  <c r="N4560" i="3"/>
  <c r="D4560" i="3"/>
  <c r="N4559" i="3"/>
  <c r="D4559" i="3"/>
  <c r="N4558" i="3"/>
  <c r="D4558" i="3"/>
  <c r="N4557" i="3"/>
  <c r="D4557" i="3"/>
  <c r="N4556" i="3"/>
  <c r="D4556" i="3"/>
  <c r="N4555" i="3"/>
  <c r="D4555" i="3"/>
  <c r="N4554" i="3"/>
  <c r="D4554" i="3"/>
  <c r="D4625" i="3"/>
  <c r="D4624" i="3"/>
  <c r="D4632" i="3"/>
  <c r="D4633" i="3"/>
  <c r="D4634" i="3"/>
  <c r="D4618" i="3"/>
  <c r="D4619" i="3"/>
  <c r="D4620" i="3"/>
  <c r="D4621" i="3"/>
  <c r="D4622" i="3"/>
  <c r="D4623" i="3"/>
  <c r="D4626" i="3"/>
  <c r="D4627" i="3"/>
  <c r="D4628" i="3"/>
  <c r="D4629" i="3"/>
  <c r="D4630" i="3"/>
  <c r="D4631" i="3"/>
  <c r="N4631" i="3"/>
  <c r="N4629" i="3"/>
  <c r="N4628" i="3"/>
  <c r="N4627" i="3"/>
  <c r="N4626" i="3"/>
  <c r="N4623" i="3"/>
  <c r="N4622" i="3"/>
  <c r="N4621" i="3"/>
  <c r="N4619" i="3"/>
  <c r="N4618" i="3"/>
  <c r="N4617" i="3"/>
  <c r="D4617" i="3"/>
  <c r="D4607" i="3"/>
  <c r="N4613" i="3"/>
  <c r="D4613" i="3"/>
  <c r="N4612" i="3"/>
  <c r="D4612" i="3"/>
  <c r="N4611" i="3"/>
  <c r="D4611" i="3"/>
  <c r="N4610" i="3"/>
  <c r="D4610" i="3"/>
  <c r="N4609" i="3"/>
  <c r="D4609" i="3"/>
  <c r="N4608" i="3"/>
  <c r="D4608" i="3"/>
  <c r="N4606" i="3"/>
  <c r="D4606" i="3"/>
  <c r="N4605" i="3"/>
  <c r="D4605" i="3"/>
  <c r="D4604" i="3"/>
  <c r="N4603" i="3"/>
  <c r="D4603" i="3"/>
  <c r="N4602" i="3"/>
  <c r="D4602" i="3"/>
  <c r="N4601" i="3"/>
  <c r="D4601" i="3"/>
  <c r="N4600" i="3"/>
  <c r="D4600" i="3"/>
  <c r="D4576" i="3"/>
  <c r="N4576" i="3"/>
  <c r="D4578" i="3"/>
  <c r="D4579" i="3"/>
  <c r="D4581" i="3"/>
  <c r="N4581" i="3"/>
  <c r="D4582" i="3"/>
  <c r="N4582" i="3"/>
  <c r="D4583" i="3"/>
  <c r="N4583" i="3"/>
  <c r="D4584" i="3"/>
  <c r="N4584" i="3"/>
  <c r="D4614" i="3"/>
  <c r="N4614" i="3"/>
  <c r="D4615" i="3"/>
  <c r="N4615" i="3"/>
  <c r="D4616" i="3"/>
  <c r="N4616" i="3"/>
  <c r="N4632" i="3"/>
  <c r="N4633" i="3"/>
  <c r="N4634" i="3"/>
  <c r="D4650" i="3"/>
  <c r="N4650" i="3"/>
  <c r="N4580" i="3"/>
  <c r="D4580" i="3"/>
  <c r="N4577" i="3"/>
  <c r="D4577" i="3"/>
  <c r="N4575" i="3"/>
  <c r="D4575" i="3"/>
  <c r="N4574" i="3"/>
  <c r="D4574" i="3"/>
  <c r="N4573" i="3"/>
  <c r="D4573" i="3"/>
  <c r="N4572" i="3"/>
  <c r="D4572" i="3"/>
  <c r="N4571" i="3"/>
  <c r="D4571" i="3"/>
  <c r="N4570" i="3"/>
  <c r="D4570" i="3"/>
  <c r="N4569" i="3"/>
  <c r="D4569" i="3"/>
  <c r="N4568" i="3"/>
  <c r="D4568" i="3"/>
  <c r="U4568" i="3" l="1"/>
  <c r="X4568" i="3"/>
  <c r="U4569" i="3"/>
  <c r="X4569" i="3"/>
  <c r="U4570" i="3"/>
  <c r="X4570" i="3"/>
  <c r="U4571" i="3"/>
  <c r="X4571" i="3"/>
  <c r="U4572" i="3"/>
  <c r="X4572" i="3"/>
  <c r="U4573" i="3"/>
  <c r="X4573" i="3"/>
  <c r="U4574" i="3"/>
  <c r="X4574" i="3"/>
  <c r="U4575" i="3"/>
  <c r="X4575" i="3"/>
  <c r="U4577" i="3"/>
  <c r="X4577" i="3"/>
  <c r="U4580" i="3"/>
  <c r="X4580" i="3"/>
  <c r="U4650" i="3"/>
  <c r="X4650" i="3"/>
  <c r="U4634" i="3"/>
  <c r="X4634" i="3"/>
  <c r="U4633" i="3"/>
  <c r="X4633" i="3"/>
  <c r="U4632" i="3"/>
  <c r="X4632" i="3"/>
  <c r="U4616" i="3"/>
  <c r="X4616" i="3"/>
  <c r="U4615" i="3"/>
  <c r="X4615" i="3"/>
  <c r="U4614" i="3"/>
  <c r="X4614" i="3"/>
  <c r="U4584" i="3"/>
  <c r="X4584" i="3"/>
  <c r="U4583" i="3"/>
  <c r="X4583" i="3"/>
  <c r="U4582" i="3"/>
  <c r="X4582" i="3"/>
  <c r="U4581" i="3"/>
  <c r="X4581" i="3"/>
  <c r="U4576" i="3"/>
  <c r="X4576" i="3"/>
  <c r="U4600" i="3"/>
  <c r="X4600" i="3"/>
  <c r="U4601" i="3"/>
  <c r="X4601" i="3"/>
  <c r="U4602" i="3"/>
  <c r="X4602" i="3"/>
  <c r="U4603" i="3"/>
  <c r="X4603" i="3"/>
  <c r="U4605" i="3"/>
  <c r="X4605" i="3"/>
  <c r="U4606" i="3"/>
  <c r="X4606" i="3"/>
  <c r="U4608" i="3"/>
  <c r="X4608" i="3"/>
  <c r="U4609" i="3"/>
  <c r="X4609" i="3"/>
  <c r="U4610" i="3"/>
  <c r="X4610" i="3"/>
  <c r="U4611" i="3"/>
  <c r="X4611" i="3"/>
  <c r="U4612" i="3"/>
  <c r="X4612" i="3"/>
  <c r="U4613" i="3"/>
  <c r="X4613" i="3"/>
  <c r="U4617" i="3"/>
  <c r="X4617" i="3"/>
  <c r="U4618" i="3"/>
  <c r="X4618" i="3"/>
  <c r="U4619" i="3"/>
  <c r="X4619" i="3"/>
  <c r="U4621" i="3"/>
  <c r="X4621" i="3"/>
  <c r="U4622" i="3"/>
  <c r="X4622" i="3"/>
  <c r="U4623" i="3"/>
  <c r="X4623" i="3"/>
  <c r="U4626" i="3"/>
  <c r="X4626" i="3"/>
  <c r="U4627" i="3"/>
  <c r="X4627" i="3"/>
  <c r="U4628" i="3"/>
  <c r="X4628" i="3"/>
  <c r="U4629" i="3"/>
  <c r="X4629" i="3"/>
  <c r="U4631" i="3"/>
  <c r="X4631" i="3"/>
  <c r="U4554" i="3"/>
  <c r="X4554" i="3"/>
  <c r="U4555" i="3"/>
  <c r="X4555" i="3"/>
  <c r="U4556" i="3"/>
  <c r="X4556" i="3"/>
  <c r="U4557" i="3"/>
  <c r="X4557" i="3"/>
  <c r="U4558" i="3"/>
  <c r="X4558" i="3"/>
  <c r="U4559" i="3"/>
  <c r="X4559" i="3"/>
  <c r="U4560" i="3"/>
  <c r="X4560" i="3"/>
  <c r="U4567" i="3"/>
  <c r="X4567" i="3"/>
  <c r="U4565" i="3"/>
  <c r="X4565" i="3"/>
  <c r="U4564" i="3"/>
  <c r="X4564" i="3"/>
  <c r="U4563" i="3"/>
  <c r="X4563" i="3"/>
  <c r="U4562" i="3"/>
  <c r="X4562" i="3"/>
  <c r="U4561" i="3"/>
  <c r="X4561" i="3"/>
  <c r="U4585" i="3"/>
  <c r="X4585" i="3"/>
  <c r="U4586" i="3"/>
  <c r="X4586" i="3"/>
  <c r="U4587" i="3"/>
  <c r="X4587" i="3"/>
  <c r="U4588" i="3"/>
  <c r="X4588" i="3"/>
  <c r="U4589" i="3"/>
  <c r="X4589" i="3"/>
  <c r="U4599" i="3"/>
  <c r="X4599" i="3"/>
  <c r="U4598" i="3"/>
  <c r="X4598" i="3"/>
  <c r="U4597" i="3"/>
  <c r="X4597" i="3"/>
  <c r="U4596" i="3"/>
  <c r="X4596" i="3"/>
  <c r="U4595" i="3"/>
  <c r="X4595" i="3"/>
  <c r="U4594" i="3"/>
  <c r="X4594" i="3"/>
  <c r="U4593" i="3"/>
  <c r="X4593" i="3"/>
  <c r="U4591" i="3"/>
  <c r="X4591" i="3"/>
  <c r="U4590" i="3"/>
  <c r="X4590" i="3"/>
  <c r="N6494" i="3"/>
  <c r="O6494" i="3"/>
  <c r="N6495" i="3"/>
  <c r="O6495" i="3"/>
  <c r="D4527" i="3" l="1"/>
  <c r="D4532" i="3"/>
  <c r="D2188" i="3" l="1"/>
  <c r="D3435" i="3" l="1"/>
  <c r="N3435" i="3"/>
  <c r="U3435" i="3" l="1"/>
  <c r="X3435" i="3"/>
  <c r="D716" i="3" l="1"/>
  <c r="N716" i="3"/>
  <c r="U716" i="3" s="1"/>
  <c r="W20" i="83" l="1"/>
  <c r="G12" i="83"/>
  <c r="G11" i="83"/>
  <c r="G10" i="83"/>
  <c r="G9" i="83"/>
  <c r="G8" i="83"/>
  <c r="M7" i="83"/>
  <c r="M6" i="83"/>
  <c r="M5" i="83"/>
  <c r="M4" i="83"/>
  <c r="M3" i="83"/>
  <c r="M2" i="83"/>
  <c r="AF2" i="83" s="1"/>
  <c r="R1" i="83"/>
  <c r="M1" i="83"/>
  <c r="A1" i="83"/>
  <c r="G20" i="83"/>
  <c r="AF4" i="83" l="1"/>
  <c r="AF5" i="83"/>
  <c r="AF7" i="83"/>
  <c r="Q3" i="83"/>
  <c r="AF3" i="83"/>
  <c r="G7" i="83"/>
  <c r="AF1" i="83"/>
  <c r="AG1" i="83" s="1"/>
  <c r="S20" i="83"/>
  <c r="G4" i="83"/>
  <c r="T1" i="83"/>
  <c r="P2" i="83"/>
  <c r="W43" i="83"/>
  <c r="F18" i="83"/>
  <c r="C18" i="83"/>
  <c r="S43" i="83"/>
  <c r="AB8" i="83"/>
  <c r="I15" i="83"/>
  <c r="E4" i="83"/>
  <c r="E15" i="83"/>
  <c r="F15" i="83"/>
  <c r="O1" i="83"/>
  <c r="H15" i="83"/>
  <c r="V15" i="83"/>
  <c r="D3434" i="3"/>
  <c r="N3434" i="3"/>
  <c r="D3427" i="3"/>
  <c r="N3427" i="3"/>
  <c r="D3429" i="3"/>
  <c r="N3429" i="3"/>
  <c r="BQ11" i="6"/>
  <c r="S21" i="83" l="1"/>
  <c r="W21" i="83"/>
  <c r="T7" i="83"/>
  <c r="U3429" i="3"/>
  <c r="X3429" i="3"/>
  <c r="U3427" i="3"/>
  <c r="X3427" i="3"/>
  <c r="U3434" i="3"/>
  <c r="X3434" i="3"/>
  <c r="P18" i="83"/>
  <c r="W44" i="83"/>
  <c r="C19" i="83"/>
  <c r="P16" i="83"/>
  <c r="I16" i="83"/>
  <c r="I18" i="83"/>
  <c r="S44" i="83"/>
  <c r="F11" i="83"/>
  <c r="F12" i="83"/>
  <c r="U100" i="83"/>
  <c r="U99" i="83"/>
  <c r="W99" i="83"/>
  <c r="G21" i="83"/>
  <c r="N6" i="83" l="1"/>
  <c r="N7" i="83"/>
  <c r="N4" i="83"/>
  <c r="N5" i="83"/>
  <c r="E19" i="83"/>
  <c r="W81" i="83"/>
  <c r="AG6" i="83"/>
  <c r="S22" i="83"/>
  <c r="W79" i="83"/>
  <c r="W80" i="83"/>
  <c r="M19" i="83"/>
  <c r="AG5" i="83"/>
  <c r="AG4" i="83"/>
  <c r="AG7" i="83"/>
  <c r="S79" i="83"/>
  <c r="S80" i="83"/>
  <c r="W1" i="83"/>
  <c r="S81" i="83"/>
  <c r="W45" i="83"/>
  <c r="P19" i="83"/>
  <c r="Q19" i="83"/>
  <c r="S45" i="83"/>
  <c r="G19" i="83"/>
  <c r="H19" i="83" s="1"/>
  <c r="F19" i="83"/>
  <c r="V99" i="83"/>
  <c r="V100" i="83"/>
  <c r="W82" i="83"/>
  <c r="L201" i="69"/>
  <c r="X99" i="83"/>
  <c r="G79" i="83"/>
  <c r="BV11" i="6"/>
  <c r="G81" i="83"/>
  <c r="G80" i="83"/>
  <c r="O7" i="83" l="1"/>
  <c r="S23" i="83"/>
  <c r="Z99" i="83"/>
  <c r="BV81" i="6"/>
  <c r="F71" i="84" s="1"/>
  <c r="C80" i="83"/>
  <c r="M80" i="83" s="1"/>
  <c r="C79" i="83"/>
  <c r="M79" i="83" s="1"/>
  <c r="C81" i="83"/>
  <c r="M81" i="83" s="1"/>
  <c r="S82" i="83"/>
  <c r="O4" i="83"/>
  <c r="O5" i="83"/>
  <c r="W46" i="83"/>
  <c r="S46" i="83"/>
  <c r="W83" i="83"/>
  <c r="D1586" i="3"/>
  <c r="D1567" i="3"/>
  <c r="G82" i="83"/>
  <c r="BU11" i="6"/>
  <c r="S24" i="83" l="1"/>
  <c r="D80" i="83"/>
  <c r="D81" i="83"/>
  <c r="Q80" i="83"/>
  <c r="J80" i="83" s="1"/>
  <c r="E80" i="83"/>
  <c r="P80" i="83"/>
  <c r="E79" i="83"/>
  <c r="Q79" i="83"/>
  <c r="J79" i="83" s="1"/>
  <c r="D79" i="83"/>
  <c r="P79" i="83"/>
  <c r="E81" i="83"/>
  <c r="C82" i="83"/>
  <c r="M82" i="83" s="1"/>
  <c r="P81" i="83"/>
  <c r="Q81" i="83"/>
  <c r="J81" i="83" s="1"/>
  <c r="S83" i="83"/>
  <c r="W47" i="83"/>
  <c r="S47" i="83"/>
  <c r="W84" i="83"/>
  <c r="G83" i="83"/>
  <c r="S25" i="83" l="1"/>
  <c r="D82" i="83"/>
  <c r="E82" i="83"/>
  <c r="P82" i="83"/>
  <c r="Q82" i="83"/>
  <c r="J82" i="83" s="1"/>
  <c r="C83" i="83"/>
  <c r="M83" i="83" s="1"/>
  <c r="S84" i="83"/>
  <c r="W48" i="83"/>
  <c r="S48" i="83"/>
  <c r="W85" i="83"/>
  <c r="G84" i="83"/>
  <c r="S26" i="83" l="1"/>
  <c r="D83" i="83"/>
  <c r="Q83" i="83"/>
  <c r="J83" i="83" s="1"/>
  <c r="E83" i="83"/>
  <c r="P83" i="83"/>
  <c r="C84" i="83"/>
  <c r="M84" i="83" s="1"/>
  <c r="S85" i="83"/>
  <c r="W49" i="83"/>
  <c r="S49" i="83"/>
  <c r="W86" i="83"/>
  <c r="G85" i="83"/>
  <c r="S27" i="83" l="1"/>
  <c r="D84" i="83"/>
  <c r="C85" i="83"/>
  <c r="M85" i="83" s="1"/>
  <c r="Q84" i="83"/>
  <c r="J84" i="83" s="1"/>
  <c r="P84" i="83"/>
  <c r="E84" i="83"/>
  <c r="S86" i="83"/>
  <c r="W50" i="83"/>
  <c r="S50" i="83"/>
  <c r="W87" i="83"/>
  <c r="G86" i="83"/>
  <c r="S28" i="83" l="1"/>
  <c r="D85" i="83"/>
  <c r="Q85" i="83"/>
  <c r="J85" i="83" s="1"/>
  <c r="C86" i="83"/>
  <c r="M86" i="83" s="1"/>
  <c r="E85" i="83"/>
  <c r="P85" i="83"/>
  <c r="W88" i="83"/>
  <c r="S87" i="83"/>
  <c r="W51" i="83"/>
  <c r="S51" i="83"/>
  <c r="N209" i="3"/>
  <c r="U209" i="3" s="1"/>
  <c r="D209" i="3"/>
  <c r="N208" i="3"/>
  <c r="U208" i="3" s="1"/>
  <c r="D208" i="3"/>
  <c r="N207" i="3"/>
  <c r="U207" i="3" s="1"/>
  <c r="D207" i="3"/>
  <c r="N206" i="3"/>
  <c r="U206" i="3" s="1"/>
  <c r="D206" i="3"/>
  <c r="N205" i="3"/>
  <c r="U205" i="3" s="1"/>
  <c r="D205" i="3"/>
  <c r="N204" i="3"/>
  <c r="U204" i="3" s="1"/>
  <c r="D204" i="3"/>
  <c r="N199" i="3"/>
  <c r="U199" i="3" s="1"/>
  <c r="D199" i="3"/>
  <c r="N194" i="3"/>
  <c r="U194" i="3" s="1"/>
  <c r="D194" i="3"/>
  <c r="N193" i="3"/>
  <c r="U193" i="3" s="1"/>
  <c r="D193" i="3"/>
  <c r="D4740" i="3"/>
  <c r="D4743" i="3"/>
  <c r="D4756" i="3"/>
  <c r="D4759" i="3"/>
  <c r="D4762" i="3"/>
  <c r="D4794" i="3"/>
  <c r="D4797" i="3"/>
  <c r="D4800" i="3"/>
  <c r="D5019" i="3"/>
  <c r="D5022" i="3"/>
  <c r="D5025" i="3"/>
  <c r="D5038" i="3"/>
  <c r="D5041" i="3"/>
  <c r="D5044" i="3"/>
  <c r="D4737" i="3"/>
  <c r="A4740" i="3"/>
  <c r="A4743" i="3"/>
  <c r="A4759" i="3"/>
  <c r="A4762" i="3"/>
  <c r="A4797" i="3"/>
  <c r="A4800" i="3"/>
  <c r="A5022" i="3"/>
  <c r="A5025" i="3"/>
  <c r="A5041" i="3"/>
  <c r="A5044" i="3"/>
  <c r="G87" i="83"/>
  <c r="S29" i="83" l="1"/>
  <c r="D86" i="83"/>
  <c r="E86" i="83"/>
  <c r="P86" i="83"/>
  <c r="Q86" i="83"/>
  <c r="J86" i="83" s="1"/>
  <c r="C87" i="83"/>
  <c r="M87" i="83" s="1"/>
  <c r="W89" i="83"/>
  <c r="S88" i="83"/>
  <c r="W52" i="83"/>
  <c r="S52" i="83"/>
  <c r="G88" i="83"/>
  <c r="S30" i="83" l="1"/>
  <c r="D87" i="83"/>
  <c r="Q87" i="83"/>
  <c r="J87" i="83" s="1"/>
  <c r="E87" i="83"/>
  <c r="C88" i="83"/>
  <c r="M88" i="83" s="1"/>
  <c r="P87" i="83"/>
  <c r="W90" i="83"/>
  <c r="S89" i="83"/>
  <c r="W53" i="83"/>
  <c r="S53" i="83"/>
  <c r="B104" i="83"/>
  <c r="AE104" i="83"/>
  <c r="G89" i="83"/>
  <c r="S31" i="83" l="1"/>
  <c r="D88" i="83"/>
  <c r="P88" i="83"/>
  <c r="C89" i="83"/>
  <c r="M89" i="83" s="1"/>
  <c r="E88" i="83"/>
  <c r="Q88" i="83"/>
  <c r="J88" i="83" s="1"/>
  <c r="S90" i="83"/>
  <c r="W91" i="83"/>
  <c r="W54" i="83"/>
  <c r="S54" i="83"/>
  <c r="G90" i="83"/>
  <c r="S32" i="83" l="1"/>
  <c r="D89" i="83"/>
  <c r="Q89" i="83"/>
  <c r="J89" i="83" s="1"/>
  <c r="E89" i="83"/>
  <c r="C90" i="83"/>
  <c r="M90" i="83" s="1"/>
  <c r="P89" i="83"/>
  <c r="S91" i="83"/>
  <c r="W92" i="83"/>
  <c r="W55" i="83"/>
  <c r="S55" i="83"/>
  <c r="G91" i="83"/>
  <c r="S33" i="83" l="1"/>
  <c r="D90" i="83"/>
  <c r="E90" i="83"/>
  <c r="C91" i="83"/>
  <c r="M91" i="83" s="1"/>
  <c r="P90" i="83"/>
  <c r="Q90" i="83"/>
  <c r="J90" i="83" s="1"/>
  <c r="S92" i="83"/>
  <c r="W56" i="83"/>
  <c r="S56" i="83"/>
  <c r="G92" i="83"/>
  <c r="S34" i="83" l="1"/>
  <c r="W93" i="83"/>
  <c r="D91" i="83"/>
  <c r="Q91" i="83"/>
  <c r="J91" i="83" s="1"/>
  <c r="P91" i="83"/>
  <c r="E91" i="83"/>
  <c r="C92" i="83"/>
  <c r="M92" i="83" s="1"/>
  <c r="S93" i="83"/>
  <c r="W57" i="83"/>
  <c r="S57" i="83"/>
  <c r="G93" i="83"/>
  <c r="S35" i="83" l="1"/>
  <c r="W94" i="83"/>
  <c r="S94" i="83"/>
  <c r="D92" i="83"/>
  <c r="C93" i="83"/>
  <c r="M93" i="83" s="1"/>
  <c r="Q92" i="83"/>
  <c r="J92" i="83" s="1"/>
  <c r="E92" i="83"/>
  <c r="P92" i="83"/>
  <c r="W58" i="83"/>
  <c r="S58" i="83"/>
  <c r="G94" i="83"/>
  <c r="S36" i="83" l="1"/>
  <c r="W96" i="83"/>
  <c r="S96" i="83"/>
  <c r="H94" i="83"/>
  <c r="C94" i="83"/>
  <c r="M94" i="83" s="1"/>
  <c r="F94" i="83"/>
  <c r="W95" i="83"/>
  <c r="S95" i="83"/>
  <c r="D93" i="83"/>
  <c r="Q93" i="83"/>
  <c r="J93" i="83" s="1"/>
  <c r="P93" i="83"/>
  <c r="E93" i="83"/>
  <c r="W59" i="83"/>
  <c r="S59" i="83"/>
  <c r="G96" i="83"/>
  <c r="G95" i="83"/>
  <c r="S37" i="83" l="1"/>
  <c r="H96" i="83"/>
  <c r="C96" i="83"/>
  <c r="M96" i="83" s="1"/>
  <c r="F96" i="83"/>
  <c r="S97" i="83"/>
  <c r="W97" i="83"/>
  <c r="H95" i="83"/>
  <c r="C95" i="83"/>
  <c r="M95" i="83" s="1"/>
  <c r="Q94" i="83"/>
  <c r="E94" i="83"/>
  <c r="P94" i="83"/>
  <c r="D94" i="83"/>
  <c r="F95" i="83"/>
  <c r="W60" i="83"/>
  <c r="S60" i="83"/>
  <c r="G97" i="83"/>
  <c r="S38" i="83" l="1"/>
  <c r="H97" i="83"/>
  <c r="C97" i="83"/>
  <c r="M97" i="83" s="1"/>
  <c r="F97" i="83"/>
  <c r="W98" i="83"/>
  <c r="S98" i="83"/>
  <c r="Q96" i="83"/>
  <c r="J96" i="83" s="1"/>
  <c r="N96" i="83" s="1"/>
  <c r="P96" i="83"/>
  <c r="D96" i="83"/>
  <c r="E96" i="83"/>
  <c r="J94" i="83"/>
  <c r="D95" i="83"/>
  <c r="E95" i="83"/>
  <c r="P95" i="83"/>
  <c r="Q95" i="83"/>
  <c r="W61" i="83"/>
  <c r="S61" i="83"/>
  <c r="G98" i="83"/>
  <c r="S39" i="83" l="1"/>
  <c r="O96" i="83"/>
  <c r="H98" i="83"/>
  <c r="C98" i="83"/>
  <c r="M98" i="83" s="1"/>
  <c r="F98" i="83"/>
  <c r="D97" i="83"/>
  <c r="E97" i="83"/>
  <c r="P97" i="83"/>
  <c r="Q97" i="83"/>
  <c r="J95" i="83"/>
  <c r="N94" i="83"/>
  <c r="O94" i="83"/>
  <c r="W62" i="83"/>
  <c r="S62" i="83"/>
  <c r="S40" i="83" l="1"/>
  <c r="J97" i="83"/>
  <c r="Q98" i="83"/>
  <c r="J98" i="83" s="1"/>
  <c r="P98" i="83"/>
  <c r="D98" i="83"/>
  <c r="E98" i="83"/>
  <c r="N95" i="83"/>
  <c r="O95" i="83"/>
  <c r="W63" i="83"/>
  <c r="S63" i="83"/>
  <c r="D1637" i="3"/>
  <c r="N98" i="83" l="1"/>
  <c r="O98" i="83"/>
  <c r="S41" i="83"/>
  <c r="O97" i="83"/>
  <c r="N97" i="83"/>
  <c r="W64" i="83"/>
  <c r="S64" i="83"/>
  <c r="A6" i="3"/>
  <c r="W100" i="83"/>
  <c r="X100" i="83"/>
  <c r="X102" i="83"/>
  <c r="W102" i="83"/>
  <c r="W104" i="83"/>
  <c r="X103" i="83"/>
  <c r="W101" i="83"/>
  <c r="X104" i="83"/>
  <c r="X101" i="83"/>
  <c r="W103" i="83"/>
  <c r="A1519" i="3" l="1"/>
  <c r="W1519" i="3" s="1"/>
  <c r="S42" i="83"/>
  <c r="Z102" i="83"/>
  <c r="Z101" i="83"/>
  <c r="Z100" i="83"/>
  <c r="Z104" i="83"/>
  <c r="D104" i="83" s="1"/>
  <c r="Z103" i="83"/>
  <c r="D103" i="83" s="1"/>
  <c r="I103" i="83"/>
  <c r="I104" i="83"/>
  <c r="W65" i="83"/>
  <c r="S65" i="83"/>
  <c r="A7" i="3"/>
  <c r="A23" i="3" s="1"/>
  <c r="N380" i="3"/>
  <c r="U380" i="3" s="1"/>
  <c r="D380" i="3"/>
  <c r="N379" i="3"/>
  <c r="U379" i="3" s="1"/>
  <c r="D379" i="3"/>
  <c r="N378" i="3"/>
  <c r="U378" i="3" s="1"/>
  <c r="D378" i="3"/>
  <c r="N377" i="3"/>
  <c r="U377" i="3" s="1"/>
  <c r="D377" i="3"/>
  <c r="M103" i="83" l="1"/>
  <c r="M104" i="83"/>
  <c r="BU81" i="6"/>
  <c r="BQ81" i="6"/>
  <c r="W66" i="83"/>
  <c r="S66" i="83"/>
  <c r="A11" i="3"/>
  <c r="A22" i="3"/>
  <c r="F27" i="84" l="1"/>
  <c r="W67" i="83"/>
  <c r="A12" i="3"/>
  <c r="A17" i="3" s="1"/>
  <c r="S67" i="83"/>
  <c r="A15" i="3"/>
  <c r="N91" i="3"/>
  <c r="U91" i="3" s="1"/>
  <c r="D91" i="3"/>
  <c r="N90" i="3"/>
  <c r="U90" i="3" s="1"/>
  <c r="D90" i="3"/>
  <c r="A14" i="3" l="1"/>
  <c r="A26" i="3" s="1"/>
  <c r="A24" i="3"/>
  <c r="A36" i="3"/>
  <c r="A16" i="3"/>
  <c r="A18" i="3" l="1"/>
  <c r="A20" i="3" s="1"/>
  <c r="A21" i="3"/>
  <c r="A28" i="3"/>
  <c r="A27" i="3" l="1"/>
  <c r="A29" i="3" s="1"/>
  <c r="N281" i="3"/>
  <c r="U281" i="3" s="1"/>
  <c r="D281" i="3"/>
  <c r="N280" i="3"/>
  <c r="U280" i="3" s="1"/>
  <c r="D280" i="3"/>
  <c r="N279" i="3"/>
  <c r="U279" i="3" s="1"/>
  <c r="D279" i="3"/>
  <c r="N278" i="3"/>
  <c r="U278" i="3" s="1"/>
  <c r="D278" i="3"/>
  <c r="N270" i="3"/>
  <c r="U270" i="3" s="1"/>
  <c r="D270" i="3"/>
  <c r="N269" i="3"/>
  <c r="U269" i="3" s="1"/>
  <c r="D269" i="3"/>
  <c r="N268" i="3"/>
  <c r="U268" i="3" s="1"/>
  <c r="D268" i="3"/>
  <c r="N267" i="3"/>
  <c r="U267" i="3" s="1"/>
  <c r="D267" i="3"/>
  <c r="D63" i="3"/>
  <c r="D64" i="3"/>
  <c r="D65" i="3"/>
  <c r="D66" i="3"/>
  <c r="N66" i="3"/>
  <c r="U66" i="3" s="1"/>
  <c r="N65" i="3"/>
  <c r="U65" i="3" s="1"/>
  <c r="N64" i="3"/>
  <c r="U64" i="3" s="1"/>
  <c r="N63" i="3"/>
  <c r="U63" i="3" s="1"/>
  <c r="N105" i="3"/>
  <c r="U105" i="3" s="1"/>
  <c r="D105" i="3"/>
  <c r="N103" i="3"/>
  <c r="U103" i="3" s="1"/>
  <c r="D103" i="3"/>
  <c r="N102" i="3"/>
  <c r="U102" i="3" s="1"/>
  <c r="D102" i="3"/>
  <c r="N100" i="3"/>
  <c r="U100" i="3" s="1"/>
  <c r="D100" i="3"/>
  <c r="O6496" i="3"/>
  <c r="O6497" i="3"/>
  <c r="O6498" i="3"/>
  <c r="O6499" i="3"/>
  <c r="O6502" i="3"/>
  <c r="O6503" i="3"/>
  <c r="O6504" i="3"/>
  <c r="O6505" i="3"/>
  <c r="O6510" i="3"/>
  <c r="O6512" i="3"/>
  <c r="O6516" i="3"/>
  <c r="O6518" i="3"/>
  <c r="O6757" i="3"/>
  <c r="G99" i="83" s="1"/>
  <c r="O6758" i="3"/>
  <c r="O6761" i="3"/>
  <c r="O6763" i="3"/>
  <c r="O6493" i="3"/>
  <c r="D49" i="3"/>
  <c r="N49" i="3"/>
  <c r="U49" i="3" s="1"/>
  <c r="D51" i="3"/>
  <c r="N51" i="3"/>
  <c r="U51" i="3" s="1"/>
  <c r="R9" i="83"/>
  <c r="W35" i="83" l="1"/>
  <c r="W34" i="83"/>
  <c r="W36" i="83"/>
  <c r="W37" i="83"/>
  <c r="W38" i="83"/>
  <c r="W39" i="83"/>
  <c r="W40" i="83"/>
  <c r="W41" i="83"/>
  <c r="W42" i="83"/>
  <c r="W22" i="83"/>
  <c r="W23" i="83"/>
  <c r="W24" i="83"/>
  <c r="W25" i="83"/>
  <c r="W26" i="83"/>
  <c r="W27" i="83"/>
  <c r="W28" i="83"/>
  <c r="W29" i="83"/>
  <c r="W30" i="83"/>
  <c r="W31" i="83"/>
  <c r="W32" i="83"/>
  <c r="W33" i="83"/>
  <c r="A31" i="3"/>
  <c r="A33" i="3"/>
  <c r="G39" i="83"/>
  <c r="G34" i="83"/>
  <c r="G38" i="83"/>
  <c r="G41" i="83"/>
  <c r="G29" i="83"/>
  <c r="G26" i="83"/>
  <c r="G27" i="83"/>
  <c r="G36" i="83"/>
  <c r="G22" i="83"/>
  <c r="G33" i="83"/>
  <c r="G35" i="83"/>
  <c r="G37" i="83"/>
  <c r="G40" i="83"/>
  <c r="G24" i="83"/>
  <c r="G25" i="83"/>
  <c r="G28" i="83"/>
  <c r="G32" i="83"/>
  <c r="G23" i="83"/>
  <c r="G31" i="83"/>
  <c r="G42" i="83"/>
  <c r="G30" i="83"/>
  <c r="A32" i="3" l="1"/>
  <c r="A38" i="3" s="1"/>
  <c r="W38" i="3" s="1"/>
  <c r="C20" i="83"/>
  <c r="H20" i="83"/>
  <c r="H41" i="83"/>
  <c r="C41" i="83"/>
  <c r="H42" i="83"/>
  <c r="C42" i="83"/>
  <c r="H40" i="83"/>
  <c r="C40" i="83"/>
  <c r="H39" i="83"/>
  <c r="C39" i="83"/>
  <c r="C21" i="83"/>
  <c r="H21" i="83"/>
  <c r="C22" i="83"/>
  <c r="D42" i="3"/>
  <c r="N42" i="3"/>
  <c r="U42" i="3" s="1"/>
  <c r="F20" i="83"/>
  <c r="F21" i="83"/>
  <c r="F22" i="83"/>
  <c r="V39" i="83" l="1"/>
  <c r="V42" i="83"/>
  <c r="V40" i="83"/>
  <c r="V41" i="83"/>
  <c r="F41" i="83"/>
  <c r="P20" i="83"/>
  <c r="V20" i="83"/>
  <c r="P22" i="83"/>
  <c r="V22" i="83"/>
  <c r="P21" i="83"/>
  <c r="V21" i="83"/>
  <c r="P39" i="83"/>
  <c r="P42" i="83"/>
  <c r="P40" i="83"/>
  <c r="P41" i="83"/>
  <c r="M39" i="83"/>
  <c r="M42" i="83"/>
  <c r="M40" i="83"/>
  <c r="M41" i="83"/>
  <c r="O41" i="83"/>
  <c r="J41" i="83"/>
  <c r="N41" i="83"/>
  <c r="A52" i="3"/>
  <c r="W52" i="3" s="1"/>
  <c r="Q41" i="83"/>
  <c r="E41" i="83"/>
  <c r="I41" i="83"/>
  <c r="Q42" i="83"/>
  <c r="J42" i="83" s="1"/>
  <c r="I42" i="83"/>
  <c r="E42" i="83"/>
  <c r="I39" i="83"/>
  <c r="E39" i="83"/>
  <c r="E40" i="83"/>
  <c r="I40" i="83"/>
  <c r="E21" i="83"/>
  <c r="I21" i="83"/>
  <c r="C24" i="83"/>
  <c r="F24" i="83" s="1"/>
  <c r="C26" i="83"/>
  <c r="C23" i="83"/>
  <c r="C36" i="83"/>
  <c r="C32" i="83"/>
  <c r="C35" i="83"/>
  <c r="C34" i="83"/>
  <c r="C30" i="83"/>
  <c r="C28" i="83"/>
  <c r="C27" i="83"/>
  <c r="C31" i="83"/>
  <c r="C37" i="83"/>
  <c r="C33" i="83"/>
  <c r="C29" i="83"/>
  <c r="C25" i="83"/>
  <c r="F25" i="83" s="1"/>
  <c r="C38" i="83"/>
  <c r="H38" i="83"/>
  <c r="H37" i="83"/>
  <c r="H36" i="83"/>
  <c r="H35" i="83"/>
  <c r="H34" i="83"/>
  <c r="H27" i="83"/>
  <c r="H26" i="83"/>
  <c r="H31" i="83"/>
  <c r="H25" i="83"/>
  <c r="H30" i="83"/>
  <c r="H24" i="83"/>
  <c r="H33" i="83"/>
  <c r="H29" i="83"/>
  <c r="H23" i="83"/>
  <c r="H32" i="83"/>
  <c r="H28" i="83"/>
  <c r="H22" i="83"/>
  <c r="N3426" i="3"/>
  <c r="D3426" i="3"/>
  <c r="N3423" i="3"/>
  <c r="D3423" i="3"/>
  <c r="N3422" i="3"/>
  <c r="D3422" i="3"/>
  <c r="N3421" i="3"/>
  <c r="D3421" i="3"/>
  <c r="N3420" i="3"/>
  <c r="D3420" i="3"/>
  <c r="N3419" i="3"/>
  <c r="F42" i="83"/>
  <c r="F40" i="83"/>
  <c r="F39" i="83"/>
  <c r="F23" i="83"/>
  <c r="O42" i="83" l="1"/>
  <c r="N42" i="83"/>
  <c r="V31" i="83"/>
  <c r="V29" i="83"/>
  <c r="V26" i="83"/>
  <c r="V34" i="83"/>
  <c r="V35" i="83"/>
  <c r="V33" i="83"/>
  <c r="V28" i="83"/>
  <c r="V32" i="83"/>
  <c r="V27" i="83"/>
  <c r="V38" i="83"/>
  <c r="V37" i="83"/>
  <c r="V30" i="83"/>
  <c r="V36" i="83"/>
  <c r="P24" i="83"/>
  <c r="V24" i="83"/>
  <c r="P23" i="83"/>
  <c r="V23" i="83"/>
  <c r="P25" i="83"/>
  <c r="V25" i="83"/>
  <c r="P26" i="83"/>
  <c r="P31" i="83"/>
  <c r="P29" i="83"/>
  <c r="P27" i="83"/>
  <c r="P35" i="83"/>
  <c r="P34" i="83"/>
  <c r="P33" i="83"/>
  <c r="P28" i="83"/>
  <c r="P32" i="83"/>
  <c r="P38" i="83"/>
  <c r="P37" i="83"/>
  <c r="P30" i="83"/>
  <c r="P36" i="83"/>
  <c r="M37" i="83"/>
  <c r="M35" i="83"/>
  <c r="M33" i="83"/>
  <c r="M32" i="83"/>
  <c r="M38" i="83"/>
  <c r="M36" i="83"/>
  <c r="M34" i="83"/>
  <c r="M27" i="83"/>
  <c r="A67" i="3"/>
  <c r="A85" i="3" s="1"/>
  <c r="U3419" i="3"/>
  <c r="X3419" i="3"/>
  <c r="U3420" i="3"/>
  <c r="X3420" i="3"/>
  <c r="U3421" i="3"/>
  <c r="X3421" i="3"/>
  <c r="U3422" i="3"/>
  <c r="X3422" i="3"/>
  <c r="U3423" i="3"/>
  <c r="X3423" i="3"/>
  <c r="U3426" i="3"/>
  <c r="X3426" i="3"/>
  <c r="L867" i="3"/>
  <c r="L1006" i="3"/>
  <c r="L17" i="3"/>
  <c r="L804" i="3"/>
  <c r="L820" i="3"/>
  <c r="L817" i="3"/>
  <c r="L816" i="3"/>
  <c r="L812" i="3"/>
  <c r="L811" i="3"/>
  <c r="L809" i="3"/>
  <c r="L807" i="3"/>
  <c r="L805" i="3"/>
  <c r="L819" i="3"/>
  <c r="L818" i="3"/>
  <c r="L815" i="3"/>
  <c r="L813" i="3"/>
  <c r="L810" i="3"/>
  <c r="L808" i="3"/>
  <c r="L806" i="3"/>
  <c r="L799" i="3"/>
  <c r="L798" i="3"/>
  <c r="L797" i="3"/>
  <c r="L796" i="3"/>
  <c r="L795" i="3"/>
  <c r="L794" i="3"/>
  <c r="L792" i="3"/>
  <c r="L790" i="3"/>
  <c r="L788" i="3"/>
  <c r="L787" i="3"/>
  <c r="L785" i="3"/>
  <c r="L784" i="3"/>
  <c r="L783" i="3"/>
  <c r="L791" i="3"/>
  <c r="L786" i="3"/>
  <c r="L789" i="3"/>
  <c r="L772" i="3"/>
  <c r="L753" i="3"/>
  <c r="L21" i="3"/>
  <c r="L16" i="3"/>
  <c r="L28" i="3"/>
  <c r="L15" i="3"/>
  <c r="L27" i="3"/>
  <c r="L713" i="3"/>
  <c r="L717" i="3"/>
  <c r="L721" i="3"/>
  <c r="L729" i="3"/>
  <c r="L733" i="3"/>
  <c r="M26" i="83" s="1"/>
  <c r="L737" i="3"/>
  <c r="M30" i="83" s="1"/>
  <c r="L745" i="3"/>
  <c r="L749" i="3"/>
  <c r="L754" i="3"/>
  <c r="L758" i="3"/>
  <c r="L766" i="3"/>
  <c r="L770" i="3"/>
  <c r="L775" i="3"/>
  <c r="L825" i="3"/>
  <c r="L829" i="3"/>
  <c r="L833" i="3"/>
  <c r="L835" i="3"/>
  <c r="L843" i="3"/>
  <c r="L847" i="3"/>
  <c r="L851" i="3"/>
  <c r="L855" i="3"/>
  <c r="L863" i="3"/>
  <c r="L868" i="3"/>
  <c r="L872" i="3"/>
  <c r="L874" i="3"/>
  <c r="L882" i="3"/>
  <c r="L886" i="3"/>
  <c r="L890" i="3"/>
  <c r="L898" i="3"/>
  <c r="L902" i="3"/>
  <c r="L906" i="3"/>
  <c r="L914" i="3"/>
  <c r="L918" i="3"/>
  <c r="L922" i="3"/>
  <c r="L934" i="3"/>
  <c r="L938" i="3"/>
  <c r="L942" i="3"/>
  <c r="L950" i="3"/>
  <c r="L954" i="3"/>
  <c r="L958" i="3"/>
  <c r="L966" i="3"/>
  <c r="L970" i="3"/>
  <c r="L974" i="3"/>
  <c r="L982" i="3"/>
  <c r="L986" i="3"/>
  <c r="L990" i="3"/>
  <c r="L710" i="3"/>
  <c r="L714" i="3"/>
  <c r="L718" i="3"/>
  <c r="L722" i="3"/>
  <c r="L730" i="3"/>
  <c r="L738" i="3"/>
  <c r="M31" i="83" s="1"/>
  <c r="L746" i="3"/>
  <c r="L750" i="3"/>
  <c r="L755" i="3"/>
  <c r="L759" i="3"/>
  <c r="L767" i="3"/>
  <c r="L776" i="3"/>
  <c r="L826" i="3"/>
  <c r="L830" i="3"/>
  <c r="L834" i="3"/>
  <c r="L836" i="3"/>
  <c r="L844" i="3"/>
  <c r="L848" i="3"/>
  <c r="L852" i="3"/>
  <c r="L856" i="3"/>
  <c r="L864" i="3"/>
  <c r="L869" i="3"/>
  <c r="L879" i="3"/>
  <c r="L883" i="3"/>
  <c r="L887" i="3"/>
  <c r="L895" i="3"/>
  <c r="L899" i="3"/>
  <c r="L903" i="3"/>
  <c r="L907" i="3"/>
  <c r="L915" i="3"/>
  <c r="L919" i="3"/>
  <c r="L923" i="3"/>
  <c r="L931" i="3"/>
  <c r="L935" i="3"/>
  <c r="L939" i="3"/>
  <c r="L943" i="3"/>
  <c r="L951" i="3"/>
  <c r="L955" i="3"/>
  <c r="L959" i="3"/>
  <c r="L967" i="3"/>
  <c r="L971" i="3"/>
  <c r="L975" i="3"/>
  <c r="L983" i="3"/>
  <c r="L987" i="3"/>
  <c r="L991" i="3"/>
  <c r="L995" i="3"/>
  <c r="L1003" i="3"/>
  <c r="L1008" i="3"/>
  <c r="L1012" i="3"/>
  <c r="L1020" i="3"/>
  <c r="L1024" i="3"/>
  <c r="L1028" i="3"/>
  <c r="L1032" i="3"/>
  <c r="L1013" i="3"/>
  <c r="L1033" i="3"/>
  <c r="L712" i="3"/>
  <c r="L736" i="3"/>
  <c r="L740" i="3"/>
  <c r="L757" i="3"/>
  <c r="L774" i="3"/>
  <c r="L832" i="3"/>
  <c r="L711" i="3"/>
  <c r="L715" i="3"/>
  <c r="L719" i="3"/>
  <c r="L727" i="3"/>
  <c r="L731" i="3"/>
  <c r="L735" i="3"/>
  <c r="L739" i="3"/>
  <c r="L747" i="3"/>
  <c r="L751" i="3"/>
  <c r="L756" i="3"/>
  <c r="L764" i="3"/>
  <c r="L768" i="3"/>
  <c r="L773" i="3"/>
  <c r="L777" i="3"/>
  <c r="L827" i="3"/>
  <c r="L831" i="3"/>
  <c r="L841" i="3"/>
  <c r="L845" i="3"/>
  <c r="L849" i="3"/>
  <c r="L853" i="3"/>
  <c r="L865" i="3"/>
  <c r="L870" i="3"/>
  <c r="L880" i="3"/>
  <c r="L884" i="3"/>
  <c r="L888" i="3"/>
  <c r="L896" i="3"/>
  <c r="L900" i="3"/>
  <c r="L904" i="3"/>
  <c r="L912" i="3"/>
  <c r="L916" i="3"/>
  <c r="L920" i="3"/>
  <c r="L924" i="3"/>
  <c r="L932" i="3"/>
  <c r="L936" i="3"/>
  <c r="L940" i="3"/>
  <c r="L944" i="3"/>
  <c r="L952" i="3"/>
  <c r="L956" i="3"/>
  <c r="L964" i="3"/>
  <c r="L968" i="3"/>
  <c r="L972" i="3"/>
  <c r="M28" i="83" s="1"/>
  <c r="L980" i="3"/>
  <c r="L984" i="3"/>
  <c r="L988" i="3"/>
  <c r="L992" i="3"/>
  <c r="L1004" i="3"/>
  <c r="L1009" i="3"/>
  <c r="L1021" i="3"/>
  <c r="L1025" i="3"/>
  <c r="L1029" i="3"/>
  <c r="L732" i="3"/>
  <c r="L765" i="3"/>
  <c r="L778" i="3"/>
  <c r="L720" i="3"/>
  <c r="L728" i="3"/>
  <c r="L748" i="3"/>
  <c r="L769" i="3"/>
  <c r="L828" i="3"/>
  <c r="L842" i="3"/>
  <c r="L846" i="3"/>
  <c r="L862" i="3"/>
  <c r="L881" i="3"/>
  <c r="L901" i="3"/>
  <c r="L921" i="3"/>
  <c r="L937" i="3"/>
  <c r="L957" i="3"/>
  <c r="L981" i="3"/>
  <c r="L994" i="3"/>
  <c r="L1005" i="3"/>
  <c r="L1018" i="3"/>
  <c r="L1034" i="3"/>
  <c r="L850" i="3"/>
  <c r="L866" i="3"/>
  <c r="L885" i="3"/>
  <c r="L905" i="3"/>
  <c r="L925" i="3"/>
  <c r="L941" i="3"/>
  <c r="L965" i="3"/>
  <c r="L985" i="3"/>
  <c r="L1007" i="3"/>
  <c r="L1019" i="3"/>
  <c r="L1035" i="3"/>
  <c r="L1002" i="3"/>
  <c r="L1023" i="3"/>
  <c r="L1031" i="3"/>
  <c r="L854" i="3"/>
  <c r="L871" i="3"/>
  <c r="L889" i="3"/>
  <c r="L913" i="3"/>
  <c r="L969" i="3"/>
  <c r="L989" i="3"/>
  <c r="L1001" i="3"/>
  <c r="L1010" i="3"/>
  <c r="L1022" i="3"/>
  <c r="L1030" i="3"/>
  <c r="L873" i="3"/>
  <c r="L897" i="3"/>
  <c r="L917" i="3"/>
  <c r="L933" i="3"/>
  <c r="L953" i="3"/>
  <c r="L973" i="3"/>
  <c r="M29" i="83" s="1"/>
  <c r="L993" i="3"/>
  <c r="L1011" i="3"/>
  <c r="L709" i="3"/>
  <c r="E38" i="83"/>
  <c r="I38" i="83"/>
  <c r="E36" i="83"/>
  <c r="I36" i="83"/>
  <c r="E37" i="83"/>
  <c r="I37" i="83"/>
  <c r="E33" i="83"/>
  <c r="I33" i="83"/>
  <c r="E30" i="83"/>
  <c r="I30" i="83"/>
  <c r="E31" i="83"/>
  <c r="I31" i="83"/>
  <c r="E27" i="83"/>
  <c r="I27" i="83"/>
  <c r="E35" i="83"/>
  <c r="I35" i="83"/>
  <c r="E23" i="83"/>
  <c r="I23" i="83"/>
  <c r="E29" i="83"/>
  <c r="I29" i="83"/>
  <c r="E24" i="83"/>
  <c r="I24" i="83"/>
  <c r="E25" i="83"/>
  <c r="I25" i="83"/>
  <c r="E34" i="83"/>
  <c r="I34" i="83"/>
  <c r="E28" i="83"/>
  <c r="I28" i="83"/>
  <c r="E22" i="83"/>
  <c r="I22" i="83"/>
  <c r="E32" i="83"/>
  <c r="I32" i="83"/>
  <c r="E26" i="83"/>
  <c r="I26" i="83"/>
  <c r="D718" i="3"/>
  <c r="N718" i="3"/>
  <c r="U718" i="3" s="1"/>
  <c r="F27" i="83"/>
  <c r="F33" i="83"/>
  <c r="F34" i="83"/>
  <c r="F35" i="83"/>
  <c r="F37" i="83"/>
  <c r="F30" i="83"/>
  <c r="F36" i="83"/>
  <c r="F32" i="83"/>
  <c r="F38" i="83"/>
  <c r="F31" i="83"/>
  <c r="F26" i="83"/>
  <c r="F28" i="83"/>
  <c r="F29" i="83"/>
  <c r="W67" i="3" l="1"/>
  <c r="M23" i="83"/>
  <c r="M22" i="83"/>
  <c r="M24" i="83"/>
  <c r="M20" i="83"/>
  <c r="M21" i="83"/>
  <c r="M25" i="83"/>
  <c r="A106" i="3"/>
  <c r="A113" i="3" s="1"/>
  <c r="A133" i="3" s="1"/>
  <c r="W133" i="3" s="1"/>
  <c r="W85" i="3"/>
  <c r="A193" i="3"/>
  <c r="W193" i="3" s="1"/>
  <c r="D723" i="3"/>
  <c r="N723" i="3"/>
  <c r="D724" i="3"/>
  <c r="N724" i="3"/>
  <c r="U724" i="3" s="1"/>
  <c r="D725" i="3"/>
  <c r="N725" i="3"/>
  <c r="D726" i="3"/>
  <c r="N726" i="3"/>
  <c r="U726" i="3" s="1"/>
  <c r="D714" i="3"/>
  <c r="N714" i="3"/>
  <c r="U714" i="3" s="1"/>
  <c r="D712" i="3"/>
  <c r="N712" i="3"/>
  <c r="U712" i="3" s="1"/>
  <c r="U725" i="3" l="1"/>
  <c r="U723" i="3"/>
  <c r="Q40" i="83"/>
  <c r="J40" i="83" s="1"/>
  <c r="Q39" i="83"/>
  <c r="J39" i="83" s="1"/>
  <c r="Q38" i="83"/>
  <c r="J38" i="83" s="1"/>
  <c r="Q37" i="83"/>
  <c r="J37" i="83" s="1"/>
  <c r="Q35" i="83"/>
  <c r="J35" i="83" s="1"/>
  <c r="Q36" i="83"/>
  <c r="J36" i="83" s="1"/>
  <c r="A124" i="3"/>
  <c r="W124" i="3" s="1"/>
  <c r="W113" i="3"/>
  <c r="A142" i="3"/>
  <c r="W142" i="3" s="1"/>
  <c r="W106" i="3"/>
  <c r="N719" i="3"/>
  <c r="D719" i="3"/>
  <c r="N717" i="3"/>
  <c r="U717" i="3" s="1"/>
  <c r="D717" i="3"/>
  <c r="N715" i="3"/>
  <c r="U715" i="3" s="1"/>
  <c r="D715" i="3"/>
  <c r="N713" i="3"/>
  <c r="U713" i="3" s="1"/>
  <c r="D713" i="3"/>
  <c r="N711" i="3"/>
  <c r="D711" i="3"/>
  <c r="N710" i="3"/>
  <c r="U710" i="3" s="1"/>
  <c r="D710" i="3"/>
  <c r="N709" i="3"/>
  <c r="D709" i="3"/>
  <c r="O39" i="83" l="1"/>
  <c r="N39" i="83"/>
  <c r="O40" i="83"/>
  <c r="N40" i="83"/>
  <c r="O38" i="83"/>
  <c r="N38" i="83"/>
  <c r="O35" i="83"/>
  <c r="N35" i="83"/>
  <c r="N36" i="83"/>
  <c r="O36" i="83"/>
  <c r="O37" i="83"/>
  <c r="N37" i="83"/>
  <c r="U711" i="3"/>
  <c r="U719" i="3"/>
  <c r="U709" i="3"/>
  <c r="A150" i="3"/>
  <c r="D1655" i="3"/>
  <c r="N1655" i="3"/>
  <c r="W150" i="3" l="1"/>
  <c r="A164" i="3"/>
  <c r="U1655" i="3"/>
  <c r="X1655" i="3"/>
  <c r="A179" i="3"/>
  <c r="W164" i="3" l="1"/>
  <c r="A170" i="3"/>
  <c r="A180" i="3"/>
  <c r="W180" i="3" s="1"/>
  <c r="W179" i="3"/>
  <c r="W170" i="3" l="1"/>
  <c r="A175" i="3"/>
  <c r="W175" i="3" s="1"/>
  <c r="A186" i="3" l="1"/>
  <c r="W186" i="3" s="1"/>
  <c r="E6924" i="3"/>
  <c r="E6925" i="3"/>
  <c r="E6926" i="3"/>
  <c r="E6927" i="3"/>
  <c r="E6937" i="3"/>
  <c r="E6923" i="3"/>
  <c r="A210" i="3" l="1"/>
  <c r="W210" i="3" s="1"/>
  <c r="C14" i="83"/>
  <c r="A227" i="3" l="1"/>
  <c r="W227" i="3" s="1"/>
  <c r="M14" i="83"/>
  <c r="B14" i="83"/>
  <c r="B15" i="83" s="1"/>
  <c r="E14" i="83"/>
  <c r="F14" i="83"/>
  <c r="Q14" i="83"/>
  <c r="J14" i="83" s="1"/>
  <c r="I14" i="83"/>
  <c r="P14" i="83"/>
  <c r="G14" i="83"/>
  <c r="H14" i="83" s="1"/>
  <c r="A244" i="3" l="1"/>
  <c r="W244" i="3" s="1"/>
  <c r="O14" i="83"/>
  <c r="N14" i="83"/>
  <c r="T14" i="83"/>
  <c r="B16" i="83"/>
  <c r="B18" i="83" s="1"/>
  <c r="A261" i="3" l="1"/>
  <c r="W261" i="3" s="1"/>
  <c r="A271" i="3" l="1"/>
  <c r="A282" i="3" s="1"/>
  <c r="W282" i="3" s="1"/>
  <c r="E6930" i="3"/>
  <c r="E6928" i="3"/>
  <c r="N27" i="3"/>
  <c r="A294" i="3" l="1"/>
  <c r="W294" i="3" s="1"/>
  <c r="W271" i="3"/>
  <c r="U27" i="3"/>
  <c r="Q18" i="83"/>
  <c r="J18" i="83" s="1"/>
  <c r="A306" i="3" l="1"/>
  <c r="W306" i="3" s="1"/>
  <c r="A316" i="3" l="1"/>
  <c r="W316" i="3" s="1"/>
  <c r="A327" i="3" l="1"/>
  <c r="A352" i="3" s="1"/>
  <c r="W352" i="3" s="1"/>
  <c r="D1641" i="3"/>
  <c r="A343" i="3" l="1"/>
  <c r="W343" i="3" s="1"/>
  <c r="A334" i="3"/>
  <c r="W334" i="3" s="1"/>
  <c r="W327" i="3"/>
  <c r="D1659" i="3"/>
  <c r="D1660" i="3"/>
  <c r="D1673" i="3"/>
  <c r="D1674" i="3"/>
  <c r="D1676" i="3"/>
  <c r="D1677" i="3"/>
  <c r="D1678" i="3"/>
  <c r="D1679" i="3"/>
  <c r="D1680" i="3"/>
  <c r="A373" i="3" l="1"/>
  <c r="W373" i="3" s="1"/>
  <c r="A360" i="3"/>
  <c r="W360" i="3" s="1"/>
  <c r="N4679" i="3"/>
  <c r="U4679" i="3" s="1"/>
  <c r="A366" i="3" l="1"/>
  <c r="W366" i="3" s="1"/>
  <c r="N44" i="3"/>
  <c r="D44" i="3"/>
  <c r="N58" i="3"/>
  <c r="U58" i="3" s="1"/>
  <c r="D58" i="3"/>
  <c r="U44" i="3" l="1"/>
  <c r="D93" i="3"/>
  <c r="N93" i="3"/>
  <c r="U93" i="3" s="1"/>
  <c r="A381" i="3" l="1"/>
  <c r="W381" i="3" s="1"/>
  <c r="A385" i="3"/>
  <c r="W385" i="3" s="1"/>
  <c r="A392" i="3" l="1"/>
  <c r="W392" i="3" s="1"/>
  <c r="A708" i="3"/>
  <c r="W708" i="3" s="1"/>
  <c r="N4538" i="3"/>
  <c r="D4538" i="3"/>
  <c r="N4537" i="3"/>
  <c r="D4537" i="3"/>
  <c r="N4536" i="3"/>
  <c r="D4536" i="3"/>
  <c r="N4535" i="3"/>
  <c r="D4535" i="3"/>
  <c r="N4534" i="3"/>
  <c r="D4534" i="3"/>
  <c r="N4533" i="3"/>
  <c r="D4533" i="3"/>
  <c r="N4531" i="3"/>
  <c r="D4531" i="3"/>
  <c r="N4530" i="3"/>
  <c r="D4530" i="3"/>
  <c r="N4529" i="3"/>
  <c r="D4529" i="3"/>
  <c r="N4528" i="3"/>
  <c r="D4528" i="3"/>
  <c r="N4526" i="3"/>
  <c r="D4526" i="3"/>
  <c r="N4525" i="3"/>
  <c r="D4525" i="3"/>
  <c r="N4524" i="3"/>
  <c r="D4524" i="3"/>
  <c r="N4523" i="3"/>
  <c r="D4523" i="3"/>
  <c r="A406" i="3" l="1"/>
  <c r="W406" i="3" s="1"/>
  <c r="U4523" i="3"/>
  <c r="X4523" i="3"/>
  <c r="U4524" i="3"/>
  <c r="X4524" i="3"/>
  <c r="U4525" i="3"/>
  <c r="X4525" i="3"/>
  <c r="U4526" i="3"/>
  <c r="X4526" i="3"/>
  <c r="U4528" i="3"/>
  <c r="X4528" i="3"/>
  <c r="U4529" i="3"/>
  <c r="X4529" i="3"/>
  <c r="U4530" i="3"/>
  <c r="X4530" i="3"/>
  <c r="U4531" i="3"/>
  <c r="X4531" i="3"/>
  <c r="U4533" i="3"/>
  <c r="X4533" i="3"/>
  <c r="U4534" i="3"/>
  <c r="X4534" i="3"/>
  <c r="U4535" i="3"/>
  <c r="X4535" i="3"/>
  <c r="U4536" i="3"/>
  <c r="X4536" i="3"/>
  <c r="U4537" i="3"/>
  <c r="X4537" i="3"/>
  <c r="U4538" i="3"/>
  <c r="X4538" i="3"/>
  <c r="D4540" i="3"/>
  <c r="N4540" i="3"/>
  <c r="D4541" i="3"/>
  <c r="N4541" i="3"/>
  <c r="D4542" i="3"/>
  <c r="N4542" i="3"/>
  <c r="D4543" i="3"/>
  <c r="N4543" i="3"/>
  <c r="D4544" i="3"/>
  <c r="N4544" i="3"/>
  <c r="D4545" i="3"/>
  <c r="N4545" i="3"/>
  <c r="D4546" i="3"/>
  <c r="N4546" i="3"/>
  <c r="D4547" i="3"/>
  <c r="N4547" i="3"/>
  <c r="D4548" i="3"/>
  <c r="N4548" i="3"/>
  <c r="D4549" i="3"/>
  <c r="N4549" i="3"/>
  <c r="D4550" i="3"/>
  <c r="N4550" i="3"/>
  <c r="D4551" i="3"/>
  <c r="N4551" i="3"/>
  <c r="D4552" i="3"/>
  <c r="N4552" i="3"/>
  <c r="D4553" i="3"/>
  <c r="N4553" i="3"/>
  <c r="A421" i="3" l="1"/>
  <c r="W421" i="3" s="1"/>
  <c r="U4553" i="3"/>
  <c r="X4553" i="3"/>
  <c r="U4552" i="3"/>
  <c r="X4552" i="3"/>
  <c r="U4551" i="3"/>
  <c r="X4551" i="3"/>
  <c r="U4550" i="3"/>
  <c r="X4550" i="3"/>
  <c r="U4549" i="3"/>
  <c r="X4549" i="3"/>
  <c r="U4548" i="3"/>
  <c r="X4548" i="3"/>
  <c r="U4547" i="3"/>
  <c r="X4547" i="3"/>
  <c r="U4546" i="3"/>
  <c r="X4546" i="3"/>
  <c r="U4545" i="3"/>
  <c r="X4545" i="3"/>
  <c r="U4544" i="3"/>
  <c r="X4544" i="3"/>
  <c r="U4543" i="3"/>
  <c r="X4543" i="3"/>
  <c r="U4542" i="3"/>
  <c r="X4542" i="3"/>
  <c r="U4541" i="3"/>
  <c r="X4541" i="3"/>
  <c r="U4540" i="3"/>
  <c r="X4540" i="3"/>
  <c r="N4356" i="3"/>
  <c r="A439" i="3" l="1"/>
  <c r="W439" i="3" s="1"/>
  <c r="U4356" i="3"/>
  <c r="X4356" i="3"/>
  <c r="A460" i="3" l="1"/>
  <c r="W460" i="3" s="1"/>
  <c r="A524" i="3"/>
  <c r="W524" i="3" s="1"/>
  <c r="A467" i="3" l="1"/>
  <c r="W467" i="3" s="1"/>
  <c r="A479" i="3"/>
  <c r="W479" i="3" s="1"/>
  <c r="A487" i="3" l="1"/>
  <c r="W487" i="3" s="1"/>
  <c r="A502" i="3"/>
  <c r="D8" i="1"/>
  <c r="D10" i="1"/>
  <c r="D12" i="1"/>
  <c r="D7" i="1"/>
  <c r="W502" i="3" l="1"/>
  <c r="A508" i="3"/>
  <c r="A517" i="3"/>
  <c r="W508" i="3" l="1"/>
  <c r="A513" i="3"/>
  <c r="W513" i="3" s="1"/>
  <c r="W517" i="3"/>
  <c r="A534" i="3" l="1"/>
  <c r="N1650" i="3"/>
  <c r="D1650" i="3"/>
  <c r="W534" i="3" l="1"/>
  <c r="A544" i="3"/>
  <c r="U1650" i="3"/>
  <c r="X1650" i="3"/>
  <c r="N1639" i="3"/>
  <c r="D1639" i="3"/>
  <c r="N1585" i="3"/>
  <c r="D1585" i="3"/>
  <c r="N1565" i="3"/>
  <c r="D1565" i="3"/>
  <c r="W544" i="3" l="1"/>
  <c r="A554" i="3"/>
  <c r="W554" i="3" s="1"/>
  <c r="X1565" i="3"/>
  <c r="U1585" i="3"/>
  <c r="X1585" i="3"/>
  <c r="U1639" i="3"/>
  <c r="X1639" i="3"/>
  <c r="U1565" i="3"/>
  <c r="D6940" i="3"/>
  <c r="A564" i="3" l="1"/>
  <c r="A574" i="3" s="1"/>
  <c r="W574" i="3" s="1"/>
  <c r="N1680" i="3"/>
  <c r="M69" i="83" s="1"/>
  <c r="N1679" i="3"/>
  <c r="N1678" i="3"/>
  <c r="N1677" i="3"/>
  <c r="N1676" i="3"/>
  <c r="N1674" i="3"/>
  <c r="N1673" i="3"/>
  <c r="N1654" i="3"/>
  <c r="D1654" i="3"/>
  <c r="N309" i="3"/>
  <c r="U309" i="3" s="1"/>
  <c r="D309" i="3"/>
  <c r="N308" i="3"/>
  <c r="U308" i="3" s="1"/>
  <c r="D308" i="3"/>
  <c r="N307" i="3"/>
  <c r="U307" i="3" s="1"/>
  <c r="D307" i="3"/>
  <c r="N306" i="3"/>
  <c r="U306" i="3" s="1"/>
  <c r="D306" i="3"/>
  <c r="W564" i="3" l="1"/>
  <c r="A585" i="3"/>
  <c r="W585" i="3" s="1"/>
  <c r="M68" i="83"/>
  <c r="Q68" i="83"/>
  <c r="U1654" i="3"/>
  <c r="X1654" i="3"/>
  <c r="U1673" i="3"/>
  <c r="X1673" i="3"/>
  <c r="U1674" i="3"/>
  <c r="X1674" i="3"/>
  <c r="U1676" i="3"/>
  <c r="X1676" i="3"/>
  <c r="U1677" i="3"/>
  <c r="X1677" i="3"/>
  <c r="U1678" i="3"/>
  <c r="X1678" i="3"/>
  <c r="U1679" i="3"/>
  <c r="X1679" i="3"/>
  <c r="U1680" i="3"/>
  <c r="X1680" i="3"/>
  <c r="N6510" i="3"/>
  <c r="N6512" i="3"/>
  <c r="N6516" i="3"/>
  <c r="N6518" i="3"/>
  <c r="N6648" i="3"/>
  <c r="N6757" i="3"/>
  <c r="U6757" i="3" s="1"/>
  <c r="N6758" i="3"/>
  <c r="N6761" i="3"/>
  <c r="U6761" i="3" s="1"/>
  <c r="N6763" i="3"/>
  <c r="A597" i="3" l="1"/>
  <c r="W597" i="3" s="1"/>
  <c r="J68" i="83"/>
  <c r="H68" i="83"/>
  <c r="U6763" i="3"/>
  <c r="U6758" i="3"/>
  <c r="A609" i="3" l="1"/>
  <c r="O68" i="83"/>
  <c r="N68" i="83"/>
  <c r="N2030" i="3"/>
  <c r="D2030" i="3"/>
  <c r="N2029" i="3"/>
  <c r="D2029" i="3"/>
  <c r="N2028" i="3"/>
  <c r="D2028" i="3"/>
  <c r="N2027" i="3"/>
  <c r="D2027" i="3"/>
  <c r="N1992" i="3"/>
  <c r="D1992" i="3"/>
  <c r="N1991" i="3"/>
  <c r="D1991" i="3"/>
  <c r="N1990" i="3"/>
  <c r="D1990" i="3"/>
  <c r="N1989" i="3"/>
  <c r="D1989" i="3"/>
  <c r="N1976" i="3"/>
  <c r="D1976" i="3"/>
  <c r="N1975" i="3"/>
  <c r="D1975" i="3"/>
  <c r="N1974" i="3"/>
  <c r="D1974" i="3"/>
  <c r="N1973" i="3"/>
  <c r="D1973" i="3"/>
  <c r="W609" i="3" l="1"/>
  <c r="A619" i="3"/>
  <c r="U1973" i="3"/>
  <c r="X1973" i="3"/>
  <c r="U1974" i="3"/>
  <c r="X1974" i="3"/>
  <c r="U1975" i="3"/>
  <c r="X1975" i="3"/>
  <c r="U1976" i="3"/>
  <c r="X1976" i="3"/>
  <c r="U1989" i="3"/>
  <c r="X1989" i="3"/>
  <c r="U1990" i="3"/>
  <c r="X1990" i="3"/>
  <c r="U1991" i="3"/>
  <c r="X1991" i="3"/>
  <c r="U1992" i="3"/>
  <c r="X1992" i="3"/>
  <c r="U2027" i="3"/>
  <c r="X2027" i="3"/>
  <c r="U2028" i="3"/>
  <c r="X2028" i="3"/>
  <c r="U2029" i="3"/>
  <c r="X2029" i="3"/>
  <c r="U2030" i="3"/>
  <c r="X2030" i="3"/>
  <c r="N40" i="3"/>
  <c r="N46" i="3"/>
  <c r="N52" i="3"/>
  <c r="U52" i="3" s="1"/>
  <c r="N53" i="3"/>
  <c r="U53" i="3" s="1"/>
  <c r="N54" i="3"/>
  <c r="U54" i="3" s="1"/>
  <c r="N55" i="3"/>
  <c r="U55" i="3" s="1"/>
  <c r="N60" i="3"/>
  <c r="U60" i="3" s="1"/>
  <c r="N61" i="3"/>
  <c r="U61" i="3" s="1"/>
  <c r="N62" i="3"/>
  <c r="U62" i="3" s="1"/>
  <c r="N85" i="3"/>
  <c r="U85" i="3" s="1"/>
  <c r="N86" i="3"/>
  <c r="U86" i="3" s="1"/>
  <c r="N87" i="3"/>
  <c r="U87" i="3" s="1"/>
  <c r="N89" i="3"/>
  <c r="U89" i="3" s="1"/>
  <c r="N96" i="3"/>
  <c r="U96" i="3" s="1"/>
  <c r="N97" i="3"/>
  <c r="U97" i="3" s="1"/>
  <c r="N99" i="3"/>
  <c r="U99" i="3" s="1"/>
  <c r="N261" i="3"/>
  <c r="N262" i="3"/>
  <c r="U262" i="3" s="1"/>
  <c r="N263" i="3"/>
  <c r="N264" i="3"/>
  <c r="U264" i="3" s="1"/>
  <c r="N265" i="3"/>
  <c r="U265" i="3" s="1"/>
  <c r="N266" i="3"/>
  <c r="U266" i="3" s="1"/>
  <c r="N271" i="3"/>
  <c r="U271" i="3" s="1"/>
  <c r="N272" i="3"/>
  <c r="U272" i="3" s="1"/>
  <c r="N273" i="3"/>
  <c r="U273" i="3" s="1"/>
  <c r="N274" i="3"/>
  <c r="U274" i="3" s="1"/>
  <c r="N275" i="3"/>
  <c r="U275" i="3" s="1"/>
  <c r="N276" i="3"/>
  <c r="U276" i="3" s="1"/>
  <c r="N277" i="3"/>
  <c r="U277" i="3" s="1"/>
  <c r="N373" i="3"/>
  <c r="U373" i="3" s="1"/>
  <c r="N374" i="3"/>
  <c r="U374" i="3" s="1"/>
  <c r="N375" i="3"/>
  <c r="U375" i="3" s="1"/>
  <c r="N376" i="3"/>
  <c r="U376" i="3" s="1"/>
  <c r="N389" i="3"/>
  <c r="U389" i="3" s="1"/>
  <c r="N390" i="3"/>
  <c r="U390" i="3" s="1"/>
  <c r="N720" i="3"/>
  <c r="U720" i="3" s="1"/>
  <c r="N721" i="3"/>
  <c r="U721" i="3" s="1"/>
  <c r="N722" i="3"/>
  <c r="U722" i="3" s="1"/>
  <c r="N38" i="3"/>
  <c r="N23" i="3"/>
  <c r="N6" i="3"/>
  <c r="N1564" i="3"/>
  <c r="N1566" i="3"/>
  <c r="Q69" i="83" s="1"/>
  <c r="N1569" i="3"/>
  <c r="X1569" i="3" s="1"/>
  <c r="N1587" i="3"/>
  <c r="N1588" i="3"/>
  <c r="N1594" i="3"/>
  <c r="N1595" i="3"/>
  <c r="N1597" i="3"/>
  <c r="N1627" i="3"/>
  <c r="N1638" i="3"/>
  <c r="N1640" i="3"/>
  <c r="N1642" i="3"/>
  <c r="N1644" i="3"/>
  <c r="N1965" i="3"/>
  <c r="N1968" i="3"/>
  <c r="N1969" i="3"/>
  <c r="N1972" i="3"/>
  <c r="N1979" i="3"/>
  <c r="N1982" i="3"/>
  <c r="N1983" i="3"/>
  <c r="N1984" i="3"/>
  <c r="N1988" i="3"/>
  <c r="N2016" i="3"/>
  <c r="N2019" i="3"/>
  <c r="N2020" i="3"/>
  <c r="N2022" i="3"/>
  <c r="N2026" i="3"/>
  <c r="N2188" i="3"/>
  <c r="N4522" i="3"/>
  <c r="N4539" i="3"/>
  <c r="N1557" i="3"/>
  <c r="N1556" i="3"/>
  <c r="N4657" i="3"/>
  <c r="N4658" i="3"/>
  <c r="N4672" i="3"/>
  <c r="U4672" i="3" s="1"/>
  <c r="N4674" i="3"/>
  <c r="U4674" i="3" s="1"/>
  <c r="N4675" i="3"/>
  <c r="U4675" i="3" s="1"/>
  <c r="N4678" i="3"/>
  <c r="U4678" i="3" s="1"/>
  <c r="N4687" i="3"/>
  <c r="N4656" i="3"/>
  <c r="N6496" i="3"/>
  <c r="N6497" i="3"/>
  <c r="N6498" i="3"/>
  <c r="N6499" i="3"/>
  <c r="N6502" i="3"/>
  <c r="N6503" i="3"/>
  <c r="N6504" i="3"/>
  <c r="N6505" i="3"/>
  <c r="N6506" i="3"/>
  <c r="N6493" i="3"/>
  <c r="W619" i="3" l="1"/>
  <c r="A630" i="3"/>
  <c r="W630" i="3" s="1"/>
  <c r="J69" i="83"/>
  <c r="H69" i="83"/>
  <c r="U263" i="3"/>
  <c r="U261" i="3"/>
  <c r="Q27" i="83"/>
  <c r="J27" i="83" s="1"/>
  <c r="X1557" i="3"/>
  <c r="X1566" i="3"/>
  <c r="X1564" i="3"/>
  <c r="U4687" i="3"/>
  <c r="U1556" i="3"/>
  <c r="X1556" i="3"/>
  <c r="U4539" i="3"/>
  <c r="X4539" i="3"/>
  <c r="U4522" i="3"/>
  <c r="X4522" i="3"/>
  <c r="U2188" i="3"/>
  <c r="X2188" i="3"/>
  <c r="U2026" i="3"/>
  <c r="X2026" i="3"/>
  <c r="U2022" i="3"/>
  <c r="X2022" i="3"/>
  <c r="U2020" i="3"/>
  <c r="X2020" i="3"/>
  <c r="U2019" i="3"/>
  <c r="X2019" i="3"/>
  <c r="U2016" i="3"/>
  <c r="X2016" i="3"/>
  <c r="U1988" i="3"/>
  <c r="X1988" i="3"/>
  <c r="U1984" i="3"/>
  <c r="X1984" i="3"/>
  <c r="U1983" i="3"/>
  <c r="X1983" i="3"/>
  <c r="U1982" i="3"/>
  <c r="X1982" i="3"/>
  <c r="U1979" i="3"/>
  <c r="X1979" i="3"/>
  <c r="U1972" i="3"/>
  <c r="X1972" i="3"/>
  <c r="U1969" i="3"/>
  <c r="X1969" i="3"/>
  <c r="U1968" i="3"/>
  <c r="X1968" i="3"/>
  <c r="U1965" i="3"/>
  <c r="X1965" i="3"/>
  <c r="U1644" i="3"/>
  <c r="X1644" i="3"/>
  <c r="U1642" i="3"/>
  <c r="X1642" i="3"/>
  <c r="U1640" i="3"/>
  <c r="X1640" i="3"/>
  <c r="U1638" i="3"/>
  <c r="X1638" i="3"/>
  <c r="U1627" i="3"/>
  <c r="X1627" i="3"/>
  <c r="U1597" i="3"/>
  <c r="X1597" i="3"/>
  <c r="U1595" i="3"/>
  <c r="X1595" i="3"/>
  <c r="U1594" i="3"/>
  <c r="X1594" i="3"/>
  <c r="U1588" i="3"/>
  <c r="X1588" i="3"/>
  <c r="U1587" i="3"/>
  <c r="X1587" i="3"/>
  <c r="U40" i="3"/>
  <c r="U4731" i="3"/>
  <c r="U4656" i="3"/>
  <c r="U4658" i="3"/>
  <c r="U4657" i="3"/>
  <c r="U1557" i="3"/>
  <c r="U1569" i="3"/>
  <c r="U1566" i="3"/>
  <c r="U1564" i="3"/>
  <c r="U38" i="3"/>
  <c r="Q26" i="83"/>
  <c r="J26" i="83" s="1"/>
  <c r="U46" i="3"/>
  <c r="Q15" i="83"/>
  <c r="J15" i="83" s="1"/>
  <c r="U6" i="3"/>
  <c r="Q30" i="83"/>
  <c r="J30" i="83" s="1"/>
  <c r="U23" i="3"/>
  <c r="Q32" i="83"/>
  <c r="J32" i="83" s="1"/>
  <c r="Q25" i="83"/>
  <c r="J25" i="83" s="1"/>
  <c r="Q24" i="83"/>
  <c r="J24" i="83" s="1"/>
  <c r="Q31" i="83"/>
  <c r="J31" i="83" s="1"/>
  <c r="Q34" i="83"/>
  <c r="J34" i="83" s="1"/>
  <c r="Q33" i="83"/>
  <c r="J33" i="83" s="1"/>
  <c r="Q20" i="83"/>
  <c r="J20" i="83" s="1"/>
  <c r="Q21" i="83"/>
  <c r="J21" i="83" s="1"/>
  <c r="Q29" i="83"/>
  <c r="J29" i="83" s="1"/>
  <c r="Q28" i="83"/>
  <c r="J28" i="83" s="1"/>
  <c r="Q22" i="83"/>
  <c r="J22" i="83" s="1"/>
  <c r="Q23" i="83"/>
  <c r="J23" i="83" s="1"/>
  <c r="Q16" i="83"/>
  <c r="J16" i="83" s="1"/>
  <c r="D1566" i="3"/>
  <c r="A637" i="3" l="1"/>
  <c r="A658" i="3" s="1"/>
  <c r="W658" i="3" s="1"/>
  <c r="O69" i="83"/>
  <c r="N69" i="83"/>
  <c r="O30" i="83"/>
  <c r="N30" i="83"/>
  <c r="O31" i="83"/>
  <c r="N31" i="83"/>
  <c r="O32" i="83"/>
  <c r="N32" i="83"/>
  <c r="N33" i="83"/>
  <c r="O33" i="83"/>
  <c r="O34" i="83"/>
  <c r="N34" i="83"/>
  <c r="O25" i="83"/>
  <c r="N25" i="83"/>
  <c r="O24" i="83"/>
  <c r="N24" i="83"/>
  <c r="T16" i="83"/>
  <c r="T15" i="83"/>
  <c r="D2026" i="3"/>
  <c r="D2022" i="3"/>
  <c r="D2020" i="3"/>
  <c r="D2019" i="3"/>
  <c r="D2016" i="3"/>
  <c r="W637" i="3" l="1"/>
  <c r="A645" i="3"/>
  <c r="A651" i="3" s="1"/>
  <c r="A6493" i="3"/>
  <c r="A4731" i="3"/>
  <c r="A1557" i="3"/>
  <c r="D1982" i="3"/>
  <c r="D1983" i="3"/>
  <c r="D1984" i="3"/>
  <c r="D1988" i="3"/>
  <c r="U12" i="6"/>
  <c r="A2979" i="3" l="1"/>
  <c r="A2980" i="3"/>
  <c r="A2981" i="3"/>
  <c r="A6903" i="3"/>
  <c r="A666" i="3"/>
  <c r="W666" i="3" s="1"/>
  <c r="W651" i="3"/>
  <c r="W645" i="3"/>
  <c r="A670" i="3"/>
  <c r="A2927" i="3"/>
  <c r="A2928" i="3"/>
  <c r="A2929" i="3"/>
  <c r="A3139" i="3"/>
  <c r="A3157" i="3"/>
  <c r="A3091" i="3"/>
  <c r="A2096" i="3"/>
  <c r="A5649" i="3"/>
  <c r="A5650" i="3"/>
  <c r="A5116" i="3"/>
  <c r="A5040" i="3"/>
  <c r="A6494" i="3"/>
  <c r="A1576" i="3"/>
  <c r="A1627" i="3" s="1"/>
  <c r="A1600" i="3"/>
  <c r="A4737" i="3"/>
  <c r="A4775" i="3" s="1"/>
  <c r="D1968" i="3"/>
  <c r="D1969" i="3"/>
  <c r="D1972" i="3"/>
  <c r="BA13" i="6"/>
  <c r="AL13" i="6"/>
  <c r="BA12" i="6"/>
  <c r="AH12" i="6"/>
  <c r="AN13" i="6"/>
  <c r="A675" i="3" l="1"/>
  <c r="W670" i="3"/>
  <c r="AI12" i="6"/>
  <c r="A6495" i="3"/>
  <c r="A6496" i="3"/>
  <c r="A4756" i="3"/>
  <c r="A4813" i="3" s="1"/>
  <c r="W675" i="3" l="1"/>
  <c r="A690" i="3"/>
  <c r="W690" i="3" s="1"/>
  <c r="A6497" i="3"/>
  <c r="A4794" i="3"/>
  <c r="AZ12" i="6"/>
  <c r="AZ13" i="6"/>
  <c r="AG12" i="6"/>
  <c r="AJ12" i="6" l="1"/>
  <c r="BC12" i="6"/>
  <c r="BC13" i="6"/>
  <c r="M13" i="6"/>
  <c r="L13" i="87" s="1"/>
  <c r="A4826" i="3"/>
  <c r="A4839" i="3"/>
  <c r="A1654" i="3"/>
  <c r="AO13" i="6"/>
  <c r="AO12" i="6"/>
  <c r="V12" i="6"/>
  <c r="A6498" i="3" l="1"/>
  <c r="A1681" i="3"/>
  <c r="A1789" i="3" s="1"/>
  <c r="A1708" i="3"/>
  <c r="A4852" i="3"/>
  <c r="A1735" i="3" l="1"/>
  <c r="A6499" i="3"/>
  <c r="A1762" i="3"/>
  <c r="A4865" i="3"/>
  <c r="A4874" i="3" s="1"/>
  <c r="A5021" i="3" s="1"/>
  <c r="A1826" i="3" l="1"/>
  <c r="A1837" i="3"/>
  <c r="A1848" i="3"/>
  <c r="A1816" i="3"/>
  <c r="A1858" i="3"/>
  <c r="A4901" i="3"/>
  <c r="A4883" i="3"/>
  <c r="A5019" i="3"/>
  <c r="A4892" i="3" l="1"/>
  <c r="A4919" i="3" s="1"/>
  <c r="A4910" i="3"/>
  <c r="A1868" i="3"/>
  <c r="A1890" i="3" s="1"/>
  <c r="A6500" i="3"/>
  <c r="A4951" i="3" l="1"/>
  <c r="A4983" i="3"/>
  <c r="A4937" i="3"/>
  <c r="A5001" i="3"/>
  <c r="A4965" i="3"/>
  <c r="A5059" i="3"/>
  <c r="A5078" i="3" s="1"/>
  <c r="A1915" i="3"/>
  <c r="A1937" i="3" s="1"/>
  <c r="A1965" i="3" s="1"/>
  <c r="A1979" i="3" s="1"/>
  <c r="A1997" i="3" s="1"/>
  <c r="A1998" i="3" s="1"/>
  <c r="A6502" i="3"/>
  <c r="A6503" i="3" s="1"/>
  <c r="A6504" i="3" s="1"/>
  <c r="A6505" i="3" s="1"/>
  <c r="A6506" i="3" s="1"/>
  <c r="A6507" i="3" s="1"/>
  <c r="A5133" i="3" l="1"/>
  <c r="A5038" i="3"/>
  <c r="A6510" i="3"/>
  <c r="A6512" i="3" s="1"/>
  <c r="A6516" i="3" s="1"/>
  <c r="A6518" i="3" s="1"/>
  <c r="A6619" i="3" s="1"/>
  <c r="A6624" i="3" s="1"/>
  <c r="A6625" i="3" s="1"/>
  <c r="A2016" i="3"/>
  <c r="A2035" i="3" s="1"/>
  <c r="A2051" i="3" s="1"/>
  <c r="A5239" i="3"/>
  <c r="A11" i="6"/>
  <c r="A3" i="5"/>
  <c r="A5057" i="3" l="1"/>
  <c r="A5076" i="3" s="1"/>
  <c r="A5095" i="3" s="1"/>
  <c r="A5097" i="3" s="1"/>
  <c r="A5143" i="3" s="1"/>
  <c r="A5153" i="3"/>
  <c r="R3" i="5"/>
  <c r="S3" i="5" s="1"/>
  <c r="A12" i="6"/>
  <c r="A13" i="6" s="1"/>
  <c r="A14" i="6" s="1"/>
  <c r="A6648" i="3"/>
  <c r="A2066" i="3"/>
  <c r="A2073" i="3" s="1"/>
  <c r="A2089" i="3" s="1"/>
  <c r="B3" i="5"/>
  <c r="N99" i="6"/>
  <c r="D4731" i="3"/>
  <c r="D4656" i="3"/>
  <c r="A4656" i="3"/>
  <c r="D4539" i="3"/>
  <c r="D1979" i="3"/>
  <c r="D1965" i="3"/>
  <c r="D1644" i="3"/>
  <c r="D1642" i="3"/>
  <c r="D1640" i="3"/>
  <c r="D1638" i="3"/>
  <c r="D1627" i="3"/>
  <c r="D1597" i="3"/>
  <c r="D1595" i="3"/>
  <c r="D1594" i="3"/>
  <c r="D1588" i="3"/>
  <c r="D1587" i="3"/>
  <c r="D1569" i="3"/>
  <c r="D1564" i="3"/>
  <c r="D1557" i="3"/>
  <c r="D722" i="3"/>
  <c r="D721" i="3"/>
  <c r="D720" i="3"/>
  <c r="D390" i="3"/>
  <c r="D389" i="3"/>
  <c r="D376" i="3"/>
  <c r="D375" i="3"/>
  <c r="D374" i="3"/>
  <c r="D373" i="3"/>
  <c r="D277" i="3"/>
  <c r="D276" i="3"/>
  <c r="D275" i="3"/>
  <c r="D274" i="3"/>
  <c r="D273" i="3"/>
  <c r="D272" i="3"/>
  <c r="D271" i="3"/>
  <c r="D266" i="3"/>
  <c r="D265" i="3"/>
  <c r="D264" i="3"/>
  <c r="D263" i="3"/>
  <c r="D262" i="3"/>
  <c r="D261" i="3"/>
  <c r="D99" i="3"/>
  <c r="D97" i="3"/>
  <c r="D96" i="3"/>
  <c r="D89" i="3"/>
  <c r="D87" i="3"/>
  <c r="D86" i="3"/>
  <c r="D85" i="3"/>
  <c r="D62" i="3"/>
  <c r="D61" i="3"/>
  <c r="D60" i="3"/>
  <c r="D55" i="3"/>
  <c r="D54" i="3"/>
  <c r="D53" i="3"/>
  <c r="D52" i="3"/>
  <c r="D46" i="3"/>
  <c r="D40" i="3"/>
  <c r="D38" i="3"/>
  <c r="B3" i="3"/>
  <c r="A5114" i="3" l="1"/>
  <c r="A5163" i="3" s="1"/>
  <c r="A2142" i="3"/>
  <c r="A2112" i="3"/>
  <c r="C3" i="3"/>
  <c r="A15" i="6"/>
  <c r="D16" i="83"/>
  <c r="D18" i="83"/>
  <c r="A4657" i="3"/>
  <c r="D15" i="83"/>
  <c r="A5173" i="3" l="1"/>
  <c r="D3" i="3"/>
  <c r="E3" i="3" s="1"/>
  <c r="D27" i="83" s="1"/>
  <c r="D42" i="83"/>
  <c r="D39" i="83"/>
  <c r="A2135" i="3"/>
  <c r="A2178" i="3" s="1"/>
  <c r="D40" i="83"/>
  <c r="D41" i="83"/>
  <c r="Y15" i="83"/>
  <c r="D32" i="83"/>
  <c r="D34" i="83"/>
  <c r="D33" i="83"/>
  <c r="D36" i="83"/>
  <c r="D38" i="83"/>
  <c r="D37" i="83"/>
  <c r="D35" i="83"/>
  <c r="Y18" i="83"/>
  <c r="D30" i="83"/>
  <c r="D31" i="83"/>
  <c r="A4658" i="3"/>
  <c r="D22" i="83"/>
  <c r="D29" i="83"/>
  <c r="D28" i="83"/>
  <c r="D26" i="83"/>
  <c r="D14" i="83"/>
  <c r="M18" i="83" l="1"/>
  <c r="D21" i="83"/>
  <c r="U21" i="83" s="1"/>
  <c r="D25" i="83"/>
  <c r="Y25" i="83" s="1"/>
  <c r="A5192" i="3"/>
  <c r="D24" i="83"/>
  <c r="X24" i="83" s="1"/>
  <c r="A5230" i="3"/>
  <c r="D23" i="83"/>
  <c r="X23" i="83" s="1"/>
  <c r="A5211" i="3"/>
  <c r="Z21" i="83"/>
  <c r="D72" i="83"/>
  <c r="U72" i="83" s="1"/>
  <c r="AE72" i="83" s="1"/>
  <c r="F3" i="3"/>
  <c r="G3" i="3" s="1"/>
  <c r="D20" i="83"/>
  <c r="X20" i="83" s="1"/>
  <c r="M15" i="83"/>
  <c r="O15" i="83" s="1"/>
  <c r="AE15" i="83" s="1"/>
  <c r="D71" i="83"/>
  <c r="U71" i="83" s="1"/>
  <c r="AE71" i="83" s="1"/>
  <c r="D73" i="83"/>
  <c r="U73" i="83" s="1"/>
  <c r="AE73" i="83" s="1"/>
  <c r="D69" i="83"/>
  <c r="U69" i="83" s="1"/>
  <c r="AE69" i="83" s="1"/>
  <c r="D68" i="83"/>
  <c r="U68" i="83" s="1"/>
  <c r="AE68" i="83" s="1"/>
  <c r="D70" i="83"/>
  <c r="U70" i="83" s="1"/>
  <c r="AE70" i="83" s="1"/>
  <c r="Z23" i="83"/>
  <c r="Z27" i="83"/>
  <c r="Z14" i="83"/>
  <c r="Z28" i="83"/>
  <c r="Z26" i="83"/>
  <c r="Z38" i="83"/>
  <c r="Z19" i="83"/>
  <c r="Z25" i="83"/>
  <c r="Z32" i="83"/>
  <c r="Z29" i="83"/>
  <c r="Z24" i="83"/>
  <c r="Z34" i="83"/>
  <c r="Z33" i="83"/>
  <c r="Z40" i="83"/>
  <c r="Z30" i="83"/>
  <c r="Z42" i="83"/>
  <c r="Z22" i="83"/>
  <c r="Z18" i="83"/>
  <c r="M16" i="83"/>
  <c r="Z36" i="83"/>
  <c r="Z31" i="83"/>
  <c r="Z37" i="83"/>
  <c r="Z35" i="83"/>
  <c r="Z39" i="83"/>
  <c r="Z41" i="83"/>
  <c r="Z15" i="83"/>
  <c r="O26" i="83"/>
  <c r="N26" i="83"/>
  <c r="O27" i="83"/>
  <c r="N27" i="83"/>
  <c r="N18" i="83"/>
  <c r="N22" i="83"/>
  <c r="O22" i="83"/>
  <c r="N21" i="83"/>
  <c r="O21" i="83"/>
  <c r="N29" i="83"/>
  <c r="O29" i="83"/>
  <c r="N23" i="83"/>
  <c r="O23" i="83"/>
  <c r="N28" i="83"/>
  <c r="O28" i="83"/>
  <c r="X28" i="83"/>
  <c r="X22" i="83"/>
  <c r="X37" i="83"/>
  <c r="X41" i="83"/>
  <c r="X33" i="83"/>
  <c r="X40" i="83"/>
  <c r="X27" i="83"/>
  <c r="X31" i="83"/>
  <c r="X38" i="83"/>
  <c r="X34" i="83"/>
  <c r="X26" i="83"/>
  <c r="X29" i="83"/>
  <c r="X30" i="83"/>
  <c r="X35" i="83"/>
  <c r="X36" i="83"/>
  <c r="X32" i="83"/>
  <c r="X42" i="83"/>
  <c r="Y42" i="83"/>
  <c r="U42" i="83"/>
  <c r="Y39" i="83"/>
  <c r="X39" i="83"/>
  <c r="A2158" i="3"/>
  <c r="A6757" i="3"/>
  <c r="U39" i="83"/>
  <c r="Y41" i="83"/>
  <c r="U41" i="83"/>
  <c r="AE41" i="83" s="1"/>
  <c r="U40" i="83"/>
  <c r="AE40" i="83" s="1"/>
  <c r="Y40" i="83"/>
  <c r="A4659" i="3"/>
  <c r="A4660" i="3" s="1"/>
  <c r="Y38" i="83"/>
  <c r="U38" i="83"/>
  <c r="Y36" i="83"/>
  <c r="U36" i="83"/>
  <c r="Y37" i="83"/>
  <c r="U37" i="83"/>
  <c r="Y14" i="83"/>
  <c r="Y27" i="83"/>
  <c r="Y35" i="83"/>
  <c r="Y22" i="83"/>
  <c r="Y34" i="83"/>
  <c r="Y31" i="83"/>
  <c r="Y28" i="83"/>
  <c r="Y29" i="83"/>
  <c r="Y30" i="83"/>
  <c r="Y26" i="83"/>
  <c r="Y32" i="83"/>
  <c r="U32" i="83"/>
  <c r="Y33" i="83"/>
  <c r="U33" i="83"/>
  <c r="U35" i="83"/>
  <c r="U22" i="83"/>
  <c r="U34" i="83"/>
  <c r="U31" i="83"/>
  <c r="U29" i="83"/>
  <c r="U30" i="83"/>
  <c r="AE14" i="83"/>
  <c r="U28" i="83"/>
  <c r="U26" i="83"/>
  <c r="U27" i="83"/>
  <c r="O13" i="6"/>
  <c r="N15" i="83" l="1"/>
  <c r="X25" i="83"/>
  <c r="U25" i="83"/>
  <c r="AE25" i="83" s="1"/>
  <c r="Y21" i="83"/>
  <c r="X21" i="83"/>
  <c r="Y23" i="83"/>
  <c r="U23" i="83"/>
  <c r="AE23" i="83" s="1"/>
  <c r="U24" i="83"/>
  <c r="AE24" i="83" s="1"/>
  <c r="Y24" i="83"/>
  <c r="A2168" i="3"/>
  <c r="P13" i="6"/>
  <c r="AE29" i="83"/>
  <c r="AE21" i="83"/>
  <c r="AE31" i="83"/>
  <c r="AE32" i="83"/>
  <c r="AE35" i="83"/>
  <c r="AE26" i="83"/>
  <c r="AE28" i="83"/>
  <c r="AE30" i="83"/>
  <c r="AE33" i="83"/>
  <c r="AE27" i="83"/>
  <c r="AE36" i="83"/>
  <c r="AE34" i="83"/>
  <c r="AE22" i="83"/>
  <c r="AE38" i="83"/>
  <c r="AE42" i="83"/>
  <c r="AE39" i="83"/>
  <c r="AE37" i="83"/>
  <c r="A6758" i="3"/>
  <c r="A4661" i="3"/>
  <c r="I3" i="3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H3" i="3"/>
  <c r="AM13" i="6"/>
  <c r="X12" i="83" l="1"/>
  <c r="X13" i="83" s="1"/>
  <c r="A5817" i="3"/>
  <c r="A5807" i="3"/>
  <c r="A5249" i="3"/>
  <c r="A5897" i="3"/>
  <c r="AY13" i="6"/>
  <c r="A6759" i="3"/>
  <c r="A4662" i="3"/>
  <c r="AL12" i="6"/>
  <c r="T12" i="6"/>
  <c r="Q12" i="6"/>
  <c r="AK13" i="6"/>
  <c r="A5272" i="3" l="1"/>
  <c r="A5264" i="3"/>
  <c r="S12" i="6"/>
  <c r="L13" i="6"/>
  <c r="N13" i="6" s="1"/>
  <c r="A6761" i="3"/>
  <c r="A4663" i="3"/>
  <c r="A4664" i="3" s="1"/>
  <c r="A4665" i="3" s="1"/>
  <c r="A4666" i="3" s="1"/>
  <c r="A4667" i="3" s="1"/>
  <c r="AM12" i="6"/>
  <c r="AN12" i="6"/>
  <c r="A5285" i="3" l="1"/>
  <c r="A5319" i="3" s="1"/>
  <c r="M13" i="87"/>
  <c r="K13" i="87"/>
  <c r="A6763" i="3"/>
  <c r="A6764" i="3" s="1"/>
  <c r="A4671" i="3"/>
  <c r="A4668" i="3"/>
  <c r="A4669" i="3" s="1"/>
  <c r="A4670" i="3" s="1"/>
  <c r="D4" i="2"/>
  <c r="D5" i="2" s="1"/>
  <c r="A5302" i="3" l="1"/>
  <c r="A5353" i="3" s="1"/>
  <c r="A6765" i="3"/>
  <c r="A6766" i="3" s="1"/>
  <c r="A6767" i="3" s="1"/>
  <c r="A6768" i="3" s="1"/>
  <c r="A6770" i="3" s="1"/>
  <c r="A4673" i="3"/>
  <c r="A4672" i="3"/>
  <c r="C5" i="2"/>
  <c r="D6" i="2"/>
  <c r="D7" i="2" s="1"/>
  <c r="B5" i="2"/>
  <c r="B4" i="2"/>
  <c r="C4" i="2"/>
  <c r="A5336" i="3" l="1"/>
  <c r="A5381" i="3" s="1"/>
  <c r="A6771" i="3"/>
  <c r="A4674" i="3"/>
  <c r="D8" i="2"/>
  <c r="B7" i="2"/>
  <c r="C7" i="2"/>
  <c r="A4" i="2"/>
  <c r="A5" i="2" s="1"/>
  <c r="B6" i="2"/>
  <c r="C6" i="2"/>
  <c r="A5367" i="3" l="1"/>
  <c r="A5409" i="3" s="1"/>
  <c r="A6778" i="3"/>
  <c r="A6773" i="3"/>
  <c r="A5582" i="3"/>
  <c r="A5581" i="3"/>
  <c r="A6775" i="3"/>
  <c r="A6784" i="3"/>
  <c r="A4675" i="3"/>
  <c r="D9" i="2"/>
  <c r="D10" i="2" s="1"/>
  <c r="D11" i="2" s="1"/>
  <c r="D12" i="2" s="1"/>
  <c r="D13" i="2" s="1"/>
  <c r="D14" i="2" s="1"/>
  <c r="D15" i="2" s="1"/>
  <c r="D16" i="2" s="1"/>
  <c r="D17" i="2" s="1"/>
  <c r="D18" i="2" s="1"/>
  <c r="B8" i="2"/>
  <c r="C8" i="2"/>
  <c r="A6" i="2"/>
  <c r="A7" i="2" s="1"/>
  <c r="A6779" i="3" l="1"/>
  <c r="A6780" i="3"/>
  <c r="A6781" i="3"/>
  <c r="A5395" i="3"/>
  <c r="A5445" i="3" s="1"/>
  <c r="A6783" i="3"/>
  <c r="A5598" i="3"/>
  <c r="A5599" i="3"/>
  <c r="A4676" i="3"/>
  <c r="A4677" i="3" s="1"/>
  <c r="B18" i="2"/>
  <c r="C18" i="2"/>
  <c r="D19" i="2"/>
  <c r="A8" i="2"/>
  <c r="C9" i="2"/>
  <c r="B9" i="2"/>
  <c r="B10" i="2"/>
  <c r="C10" i="2"/>
  <c r="A6785" i="3" l="1"/>
  <c r="A6786" i="3" s="1"/>
  <c r="A5418" i="3"/>
  <c r="A5436" i="3" s="1"/>
  <c r="A5427" i="3"/>
  <c r="A5563" i="3"/>
  <c r="A4678" i="3"/>
  <c r="B19" i="2"/>
  <c r="D20" i="2"/>
  <c r="C19" i="2"/>
  <c r="A9" i="2"/>
  <c r="A10" i="2" s="1"/>
  <c r="B11" i="2"/>
  <c r="C11" i="2"/>
  <c r="A5454" i="3" l="1"/>
  <c r="A6787" i="3"/>
  <c r="A6788" i="3" s="1"/>
  <c r="A6789" i="3" s="1"/>
  <c r="A6790" i="3" s="1"/>
  <c r="A5463" i="3"/>
  <c r="A4679" i="3"/>
  <c r="B20" i="2"/>
  <c r="D21" i="2"/>
  <c r="C20" i="2"/>
  <c r="A11" i="2"/>
  <c r="B12" i="2"/>
  <c r="C12" i="2"/>
  <c r="A5481" i="3" l="1"/>
  <c r="A5495" i="3" s="1"/>
  <c r="A6791" i="3"/>
  <c r="A6793" i="3"/>
  <c r="A5545" i="3"/>
  <c r="A5509" i="3"/>
  <c r="A4680" i="3"/>
  <c r="B21" i="2"/>
  <c r="C21" i="2"/>
  <c r="D22" i="2"/>
  <c r="A12" i="2"/>
  <c r="B13" i="2"/>
  <c r="C13" i="2"/>
  <c r="A5527" i="3" l="1"/>
  <c r="A709" i="3"/>
  <c r="W709" i="3" s="1"/>
  <c r="A6794" i="3"/>
  <c r="A6795" i="3" s="1"/>
  <c r="A6797" i="3" s="1"/>
  <c r="A5580" i="3"/>
  <c r="A4687" i="3"/>
  <c r="D23" i="2"/>
  <c r="B22" i="2"/>
  <c r="C22" i="2"/>
  <c r="A13" i="2"/>
  <c r="C14" i="2"/>
  <c r="B14" i="2"/>
  <c r="A727" i="3" l="1"/>
  <c r="W727" i="3" s="1"/>
  <c r="A6799" i="3"/>
  <c r="A6800" i="3" s="1"/>
  <c r="A6839" i="3" s="1"/>
  <c r="A5597" i="3"/>
  <c r="A5614" i="3" s="1"/>
  <c r="A5631" i="3" s="1"/>
  <c r="A5648" i="3" s="1"/>
  <c r="A4681" i="3"/>
  <c r="B23" i="2"/>
  <c r="C23" i="2"/>
  <c r="D24" i="2"/>
  <c r="A14" i="2"/>
  <c r="B15" i="2"/>
  <c r="C15" i="2"/>
  <c r="A745" i="3" l="1"/>
  <c r="W745" i="3" s="1"/>
  <c r="A6801" i="3"/>
  <c r="A6802" i="3"/>
  <c r="A5703" i="3"/>
  <c r="A5665" i="3"/>
  <c r="A5684" i="3" s="1"/>
  <c r="A4682" i="3"/>
  <c r="D25" i="2"/>
  <c r="B24" i="2"/>
  <c r="C24" i="2"/>
  <c r="A15" i="2"/>
  <c r="B16" i="2"/>
  <c r="C16" i="2"/>
  <c r="A6803" i="3" l="1"/>
  <c r="A6804" i="3" s="1"/>
  <c r="A6806" i="3" s="1"/>
  <c r="A6808" i="3" s="1"/>
  <c r="A4683" i="3"/>
  <c r="A4684" i="3" s="1"/>
  <c r="A4685" i="3" s="1"/>
  <c r="A4686" i="3" s="1"/>
  <c r="A764" i="3"/>
  <c r="W764" i="3" s="1"/>
  <c r="A5723" i="3"/>
  <c r="A5713" i="3"/>
  <c r="B25" i="2"/>
  <c r="D26" i="2"/>
  <c r="C25" i="2"/>
  <c r="A16" i="2"/>
  <c r="B17" i="2"/>
  <c r="C17" i="2"/>
  <c r="A6809" i="3" l="1"/>
  <c r="A6810" i="3" s="1"/>
  <c r="A6811" i="3" s="1"/>
  <c r="A6812" i="3" s="1"/>
  <c r="A6813" i="3" s="1"/>
  <c r="A4688" i="3"/>
  <c r="A4689" i="3" s="1"/>
  <c r="A4690" i="3" s="1"/>
  <c r="A4691" i="3" s="1"/>
  <c r="A4692" i="3" s="1"/>
  <c r="A783" i="3"/>
  <c r="W783" i="3" s="1"/>
  <c r="A825" i="3"/>
  <c r="W825" i="3" s="1"/>
  <c r="A5733" i="3"/>
  <c r="A5748" i="3" s="1"/>
  <c r="B26" i="2"/>
  <c r="C26" i="2"/>
  <c r="A17" i="2"/>
  <c r="A18" i="2" s="1"/>
  <c r="A19" i="2" s="1"/>
  <c r="A20" i="2" s="1"/>
  <c r="A21" i="2" s="1"/>
  <c r="A22" i="2" s="1"/>
  <c r="A23" i="2" s="1"/>
  <c r="A804" i="3" l="1"/>
  <c r="W804" i="3" s="1"/>
  <c r="A5756" i="3"/>
  <c r="A6815" i="3"/>
  <c r="A6816" i="3" s="1"/>
  <c r="A4697" i="3"/>
  <c r="A4693" i="3"/>
  <c r="A4694" i="3" s="1"/>
  <c r="A4695" i="3" s="1"/>
  <c r="A4696" i="3" s="1"/>
  <c r="A4699" i="3" s="1"/>
  <c r="A24" i="2"/>
  <c r="A6823" i="3" l="1"/>
  <c r="A6822" i="3"/>
  <c r="A841" i="3"/>
  <c r="W841" i="3" s="1"/>
  <c r="A6818" i="3"/>
  <c r="A6821" i="3"/>
  <c r="A6825" i="3"/>
  <c r="A4698" i="3"/>
  <c r="A4700" i="3" s="1"/>
  <c r="A4701" i="3" s="1"/>
  <c r="A4702" i="3" s="1"/>
  <c r="A4703" i="3" s="1"/>
  <c r="A4704" i="3" s="1"/>
  <c r="A4705" i="3" s="1"/>
  <c r="A4706" i="3" s="1"/>
  <c r="A4711" i="3" s="1"/>
  <c r="A25" i="2"/>
  <c r="A26" i="2" s="1"/>
  <c r="A5769" i="3" l="1"/>
  <c r="A5788" i="3" s="1"/>
  <c r="A862" i="3"/>
  <c r="W862" i="3" s="1"/>
  <c r="A6824" i="3"/>
  <c r="A6826" i="3" s="1"/>
  <c r="A6827" i="3" s="1"/>
  <c r="A6828" i="3" s="1"/>
  <c r="A6829" i="3" s="1"/>
  <c r="A6830" i="3" s="1"/>
  <c r="A6831" i="3" s="1"/>
  <c r="A6832" i="3" s="1"/>
  <c r="A6833" i="3" s="1"/>
  <c r="A6834" i="3" s="1"/>
  <c r="A4716" i="3"/>
  <c r="A4717" i="3" s="1"/>
  <c r="A4718" i="3"/>
  <c r="A5837" i="3" l="1"/>
  <c r="A5877" i="3" s="1"/>
  <c r="A5827" i="3"/>
  <c r="A6835" i="3"/>
  <c r="A6838" i="3" s="1"/>
  <c r="A6837" i="3"/>
  <c r="A879" i="3"/>
  <c r="W879" i="3" s="1"/>
  <c r="A4719" i="3"/>
  <c r="A4720" i="3" s="1"/>
  <c r="A4721" i="3" s="1"/>
  <c r="A4722" i="3" s="1"/>
  <c r="A4723" i="3" s="1"/>
  <c r="A4724" i="3" s="1"/>
  <c r="A4725" i="3" s="1"/>
  <c r="A4726" i="3" s="1"/>
  <c r="A4727" i="3" s="1"/>
  <c r="A4728" i="3" s="1"/>
  <c r="A6836" i="3" l="1"/>
  <c r="A5847" i="3"/>
  <c r="A5857" i="3"/>
  <c r="A5867" i="3"/>
  <c r="A6840" i="3"/>
  <c r="A6841" i="3" s="1"/>
  <c r="A6842" i="3" s="1"/>
  <c r="A6843" i="3" s="1"/>
  <c r="A6844" i="3" s="1"/>
  <c r="A895" i="3"/>
  <c r="W895" i="3" s="1"/>
  <c r="D27" i="2"/>
  <c r="A5887" i="3" l="1"/>
  <c r="A5977" i="3"/>
  <c r="A5987" i="3"/>
  <c r="A6845" i="3"/>
  <c r="A6846" i="3" s="1"/>
  <c r="A6848" i="3" s="1"/>
  <c r="A6849" i="3" s="1"/>
  <c r="A6850" i="3" s="1"/>
  <c r="A6851" i="3" s="1"/>
  <c r="A6852" i="3" s="1"/>
  <c r="A6853" i="3" s="1"/>
  <c r="A6854" i="3" s="1"/>
  <c r="A6855" i="3" s="1"/>
  <c r="A6857" i="3" s="1"/>
  <c r="A6858" i="3" s="1"/>
  <c r="A6859" i="3" s="1"/>
  <c r="A6860" i="3" s="1"/>
  <c r="A6862" i="3" s="1"/>
  <c r="A912" i="3"/>
  <c r="W912" i="3" s="1"/>
  <c r="B27" i="2"/>
  <c r="A27" i="2" s="1"/>
  <c r="C27" i="2"/>
  <c r="D28" i="2"/>
  <c r="A5907" i="3" l="1"/>
  <c r="A6861" i="3"/>
  <c r="A6863" i="3" s="1"/>
  <c r="A6864" i="3" s="1"/>
  <c r="A6865" i="3" s="1"/>
  <c r="A6866" i="3" s="1"/>
  <c r="A6867" i="3" s="1"/>
  <c r="A6869" i="3" s="1"/>
  <c r="A931" i="3"/>
  <c r="W931" i="3" s="1"/>
  <c r="C28" i="2"/>
  <c r="B28" i="2"/>
  <c r="A28" i="2" s="1"/>
  <c r="D29" i="2"/>
  <c r="A5917" i="3" l="1"/>
  <c r="A6868" i="3"/>
  <c r="A6871" i="3" s="1"/>
  <c r="A950" i="3"/>
  <c r="W950" i="3" s="1"/>
  <c r="B29" i="2"/>
  <c r="A29" i="2" s="1"/>
  <c r="C29" i="2"/>
  <c r="D30" i="2"/>
  <c r="A5927" i="3" l="1"/>
  <c r="A6873" i="3"/>
  <c r="A6874" i="3" s="1"/>
  <c r="A6875" i="3" s="1"/>
  <c r="A6876" i="3" s="1"/>
  <c r="A6877" i="3" s="1"/>
  <c r="A6878" i="3" s="1"/>
  <c r="A964" i="3"/>
  <c r="W964" i="3" s="1"/>
  <c r="D31" i="2"/>
  <c r="B30" i="2"/>
  <c r="A30" i="2" s="1"/>
  <c r="C30" i="2"/>
  <c r="A5937" i="3" l="1"/>
  <c r="A6880" i="3"/>
  <c r="A6879" i="3"/>
  <c r="A6884" i="3"/>
  <c r="A980" i="3"/>
  <c r="W980" i="3" s="1"/>
  <c r="B31" i="2"/>
  <c r="A31" i="2" s="1"/>
  <c r="C31" i="2"/>
  <c r="D32" i="2"/>
  <c r="D33" i="2" s="1"/>
  <c r="A6881" i="3" l="1"/>
  <c r="A6882" i="3" s="1"/>
  <c r="A6883" i="3" s="1"/>
  <c r="A6886" i="3"/>
  <c r="A5947" i="3"/>
  <c r="A1001" i="3"/>
  <c r="W1001" i="3" s="1"/>
  <c r="B33" i="2"/>
  <c r="D34" i="2"/>
  <c r="C33" i="2"/>
  <c r="B32" i="2"/>
  <c r="A32" i="2" s="1"/>
  <c r="C32" i="2"/>
  <c r="A6888" i="3" l="1"/>
  <c r="A6891" i="3" s="1"/>
  <c r="A6892" i="3"/>
  <c r="A5957" i="3"/>
  <c r="A1018" i="3"/>
  <c r="W1018" i="3" s="1"/>
  <c r="B34" i="2"/>
  <c r="D35" i="2"/>
  <c r="C34" i="2"/>
  <c r="A33" i="2"/>
  <c r="A6889" i="3" l="1"/>
  <c r="A6894" i="3" s="1"/>
  <c r="A5967" i="3"/>
  <c r="A1028" i="3"/>
  <c r="W1028" i="3" s="1"/>
  <c r="A34" i="2"/>
  <c r="B35" i="2"/>
  <c r="D36" i="2"/>
  <c r="C35" i="2"/>
  <c r="A6893" i="3" l="1"/>
  <c r="A6895" i="3" s="1"/>
  <c r="A5997" i="3"/>
  <c r="A1038" i="3"/>
  <c r="W1038" i="3" s="1"/>
  <c r="A35" i="2"/>
  <c r="B36" i="2"/>
  <c r="C36" i="2"/>
  <c r="D37" i="2"/>
  <c r="A6896" i="3" l="1"/>
  <c r="A6897" i="3" s="1"/>
  <c r="A6898" i="3" s="1"/>
  <c r="A6018" i="3"/>
  <c r="A6007" i="3"/>
  <c r="A1039" i="3"/>
  <c r="A1066" i="3" s="1"/>
  <c r="W1066" i="3" s="1"/>
  <c r="A6904" i="3"/>
  <c r="A6902" i="3"/>
  <c r="A6900" i="3"/>
  <c r="A36" i="2"/>
  <c r="B37" i="2"/>
  <c r="D38" i="2"/>
  <c r="C37" i="2"/>
  <c r="A6029" i="3" l="1"/>
  <c r="A1052" i="3"/>
  <c r="W1052" i="3" s="1"/>
  <c r="W1039" i="3"/>
  <c r="A6901" i="3"/>
  <c r="A6907" i="3" s="1"/>
  <c r="A6906" i="3"/>
  <c r="A37" i="2"/>
  <c r="B38" i="2"/>
  <c r="C38" i="2"/>
  <c r="D39" i="2"/>
  <c r="A6040" i="3" l="1"/>
  <c r="A1082" i="3"/>
  <c r="W1082" i="3" s="1"/>
  <c r="A6908" i="3"/>
  <c r="A6909" i="3" s="1"/>
  <c r="A6910" i="3" s="1"/>
  <c r="A6911" i="3" s="1"/>
  <c r="A6912" i="3" s="1"/>
  <c r="A6913" i="3" s="1"/>
  <c r="A6914" i="3" s="1"/>
  <c r="A6915" i="3" s="1"/>
  <c r="A6916" i="3" s="1"/>
  <c r="A6917" i="3" s="1"/>
  <c r="A6918" i="3" s="1"/>
  <c r="A6919" i="3" s="1"/>
  <c r="A6920" i="3" s="1"/>
  <c r="A6921" i="3" s="1"/>
  <c r="A38" i="2"/>
  <c r="B39" i="2"/>
  <c r="D40" i="2"/>
  <c r="C39" i="2"/>
  <c r="A6050" i="3" l="1"/>
  <c r="A1098" i="3"/>
  <c r="W1098" i="3" s="1"/>
  <c r="A2195" i="3"/>
  <c r="A2191" i="3"/>
  <c r="A2192" i="3"/>
  <c r="A2194" i="3"/>
  <c r="A2193" i="3"/>
  <c r="A39" i="2"/>
  <c r="B40" i="2"/>
  <c r="C40" i="2"/>
  <c r="D41" i="2"/>
  <c r="A6060" i="3" l="1"/>
  <c r="A1118" i="3"/>
  <c r="W1118" i="3" s="1"/>
  <c r="A40" i="2"/>
  <c r="B41" i="2"/>
  <c r="D42" i="2"/>
  <c r="C41" i="2"/>
  <c r="A6070" i="3" l="1"/>
  <c r="A1225" i="3"/>
  <c r="W1225" i="3" s="1"/>
  <c r="A1140" i="3"/>
  <c r="W1140" i="3" s="1"/>
  <c r="A41" i="2"/>
  <c r="B42" i="2"/>
  <c r="D43" i="2"/>
  <c r="C42" i="2"/>
  <c r="A6080" i="3" l="1"/>
  <c r="A6090" i="3"/>
  <c r="A1157" i="3"/>
  <c r="W1157" i="3" s="1"/>
  <c r="A42" i="2"/>
  <c r="B43" i="2"/>
  <c r="C43" i="2"/>
  <c r="D44" i="2"/>
  <c r="A6100" i="3" l="1"/>
  <c r="A6110" i="3" s="1"/>
  <c r="A6120" i="3" s="1"/>
  <c r="A6130" i="3" s="1"/>
  <c r="A6141" i="3" s="1"/>
  <c r="A6152" i="3" s="1"/>
  <c r="A6163" i="3" s="1"/>
  <c r="A6173" i="3" s="1"/>
  <c r="A6183" i="3" s="1"/>
  <c r="A6193" i="3" s="1"/>
  <c r="A6203" i="3" s="1"/>
  <c r="A6212" i="3" s="1"/>
  <c r="A6221" i="3" s="1"/>
  <c r="A1174" i="3"/>
  <c r="W1174" i="3" s="1"/>
  <c r="A43" i="2"/>
  <c r="B44" i="2"/>
  <c r="D45" i="2"/>
  <c r="C44" i="2"/>
  <c r="A6235" i="3" l="1"/>
  <c r="A6263" i="3" s="1"/>
  <c r="A6249" i="3"/>
  <c r="A1191" i="3"/>
  <c r="W1191" i="3" s="1"/>
  <c r="A44" i="2"/>
  <c r="B45" i="2"/>
  <c r="C45" i="2"/>
  <c r="D46" i="2"/>
  <c r="A6277" i="3" l="1"/>
  <c r="A6305" i="3" s="1"/>
  <c r="A6319" i="3"/>
  <c r="A6291" i="3"/>
  <c r="A1208" i="3"/>
  <c r="A1235" i="3" s="1"/>
  <c r="W1235" i="3" s="1"/>
  <c r="A45" i="2"/>
  <c r="B46" i="2"/>
  <c r="D47" i="2"/>
  <c r="C46" i="2"/>
  <c r="A6333" i="3" l="1"/>
  <c r="A6361" i="3" s="1"/>
  <c r="A6347" i="3"/>
  <c r="W1208" i="3"/>
  <c r="A1246" i="3"/>
  <c r="W1246" i="3" s="1"/>
  <c r="A46" i="2"/>
  <c r="B47" i="2"/>
  <c r="C47" i="2"/>
  <c r="D48" i="2"/>
  <c r="A6375" i="3" l="1"/>
  <c r="A6403" i="3" s="1"/>
  <c r="A1259" i="3"/>
  <c r="W1259" i="3" s="1"/>
  <c r="A47" i="2"/>
  <c r="B48" i="2"/>
  <c r="D49" i="2"/>
  <c r="C48" i="2"/>
  <c r="A6389" i="3" l="1"/>
  <c r="A6417" i="3" s="1"/>
  <c r="A1272" i="3"/>
  <c r="W1272" i="3" s="1"/>
  <c r="A48" i="2"/>
  <c r="B49" i="2"/>
  <c r="C49" i="2"/>
  <c r="D50" i="2"/>
  <c r="A6431" i="3" l="1"/>
  <c r="A6444" i="3" s="1"/>
  <c r="A6454" i="3" s="1"/>
  <c r="A1283" i="3"/>
  <c r="A1308" i="3" s="1"/>
  <c r="A49" i="2"/>
  <c r="B50" i="2"/>
  <c r="D51" i="2"/>
  <c r="C50" i="2"/>
  <c r="A6464" i="3" l="1"/>
  <c r="A6471" i="3" s="1"/>
  <c r="A6478" i="3" s="1"/>
  <c r="A6479" i="3" s="1"/>
  <c r="A6480" i="3" s="1"/>
  <c r="A6481" i="3" s="1"/>
  <c r="A6482" i="3" s="1"/>
  <c r="A6483" i="3" s="1"/>
  <c r="A6484" i="3" s="1"/>
  <c r="A6485" i="3" s="1"/>
  <c r="A6486" i="3" s="1"/>
  <c r="A1295" i="3"/>
  <c r="W1295" i="3" s="1"/>
  <c r="W1283" i="3"/>
  <c r="W1308" i="3"/>
  <c r="A50" i="2"/>
  <c r="B51" i="2"/>
  <c r="C51" i="2"/>
  <c r="D52" i="2"/>
  <c r="A6487" i="3" l="1"/>
  <c r="A6488" i="3" s="1"/>
  <c r="A6489" i="3" s="1"/>
  <c r="A1314" i="3"/>
  <c r="W1314" i="3" s="1"/>
  <c r="A51" i="2"/>
  <c r="B52" i="2"/>
  <c r="D53" i="2"/>
  <c r="C52" i="2"/>
  <c r="A1329" i="3" l="1"/>
  <c r="W1329" i="3" s="1"/>
  <c r="A52" i="2"/>
  <c r="B53" i="2"/>
  <c r="C53" i="2"/>
  <c r="D54" i="2"/>
  <c r="A1330" i="3" l="1"/>
  <c r="A1353" i="3" s="1"/>
  <c r="W1353" i="3" s="1"/>
  <c r="A2827" i="3"/>
  <c r="A53" i="2"/>
  <c r="B54" i="2"/>
  <c r="D55" i="2"/>
  <c r="C54" i="2"/>
  <c r="A1341" i="3" l="1"/>
  <c r="W1341" i="3" s="1"/>
  <c r="W1330" i="3"/>
  <c r="A54" i="2"/>
  <c r="B55" i="2"/>
  <c r="C55" i="2"/>
  <c r="D56" i="2"/>
  <c r="A1370" i="3" l="1"/>
  <c r="W1370" i="3" s="1"/>
  <c r="A55" i="2"/>
  <c r="B56" i="2"/>
  <c r="D57" i="2"/>
  <c r="C56" i="2"/>
  <c r="A1387" i="3" l="1"/>
  <c r="A1399" i="3" s="1"/>
  <c r="W1399" i="3" s="1"/>
  <c r="A1427" i="3"/>
  <c r="W1427" i="3" s="1"/>
  <c r="A56" i="2"/>
  <c r="B57" i="2"/>
  <c r="C57" i="2"/>
  <c r="D58" i="2"/>
  <c r="BH13" i="6"/>
  <c r="A1414" i="3" l="1"/>
  <c r="W1414" i="3" s="1"/>
  <c r="W1387" i="3"/>
  <c r="A57" i="2"/>
  <c r="B58" i="2"/>
  <c r="D59" i="2"/>
  <c r="C58" i="2"/>
  <c r="A1444" i="3" l="1"/>
  <c r="W1444" i="3" s="1"/>
  <c r="A1435" i="3"/>
  <c r="A58" i="2"/>
  <c r="B59" i="2"/>
  <c r="C59" i="2"/>
  <c r="D60" i="2"/>
  <c r="W1435" i="3" l="1"/>
  <c r="A1454" i="3"/>
  <c r="A59" i="2"/>
  <c r="B60" i="2"/>
  <c r="D61" i="2"/>
  <c r="C60" i="2"/>
  <c r="BD13" i="6"/>
  <c r="W1454" i="3" l="1"/>
  <c r="A1464" i="3"/>
  <c r="A60" i="2"/>
  <c r="B61" i="2"/>
  <c r="C61" i="2"/>
  <c r="D62" i="2"/>
  <c r="W1464" i="3" l="1"/>
  <c r="A1472" i="3"/>
  <c r="A61" i="2"/>
  <c r="B62" i="2"/>
  <c r="D63" i="2"/>
  <c r="C62" i="2"/>
  <c r="A1484" i="3" l="1"/>
  <c r="W1472" i="3"/>
  <c r="A1499" i="3"/>
  <c r="W1499" i="3" s="1"/>
  <c r="A62" i="2"/>
  <c r="B63" i="2"/>
  <c r="C63" i="2"/>
  <c r="D64" i="2"/>
  <c r="W1484" i="3" l="1"/>
  <c r="A1512" i="3"/>
  <c r="A63" i="2"/>
  <c r="B64" i="2"/>
  <c r="D65" i="2"/>
  <c r="C64" i="2"/>
  <c r="W1512" i="3" l="1"/>
  <c r="A1518" i="3"/>
  <c r="A1532" i="3"/>
  <c r="W1532" i="3" s="1"/>
  <c r="A1539" i="3"/>
  <c r="A64" i="2"/>
  <c r="B65" i="2"/>
  <c r="C65" i="2"/>
  <c r="D66" i="2"/>
  <c r="W1518" i="3" l="1"/>
  <c r="A1534" i="3"/>
  <c r="W1534" i="3" s="1"/>
  <c r="A1520" i="3"/>
  <c r="W1539" i="3"/>
  <c r="A65" i="2"/>
  <c r="B66" i="2"/>
  <c r="D67" i="2"/>
  <c r="C66" i="2"/>
  <c r="W1520" i="3" l="1"/>
  <c r="A1526" i="3"/>
  <c r="A1540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66" i="2"/>
  <c r="B67" i="2"/>
  <c r="C67" i="2"/>
  <c r="D68" i="2"/>
  <c r="A1551" i="3" l="1"/>
  <c r="W1550" i="3"/>
  <c r="W1526" i="3"/>
  <c r="A67" i="2"/>
  <c r="B68" i="2"/>
  <c r="D69" i="2"/>
  <c r="C68" i="2"/>
  <c r="A1552" i="3" l="1"/>
  <c r="A1553" i="3" s="1"/>
  <c r="W1551" i="3"/>
  <c r="W1540" i="3"/>
  <c r="A68" i="2"/>
  <c r="B69" i="2"/>
  <c r="C69" i="2"/>
  <c r="D70" i="2"/>
  <c r="D71" i="2" s="1"/>
  <c r="W1542" i="3" l="1"/>
  <c r="D72" i="2"/>
  <c r="B71" i="2"/>
  <c r="C71" i="2"/>
  <c r="A69" i="2"/>
  <c r="B70" i="2"/>
  <c r="C70" i="2"/>
  <c r="W1543" i="3" l="1"/>
  <c r="C72" i="2"/>
  <c r="D73" i="2"/>
  <c r="B72" i="2"/>
  <c r="A70" i="2"/>
  <c r="A71" i="2" s="1"/>
  <c r="W1544" i="3" l="1"/>
  <c r="A72" i="2"/>
  <c r="B73" i="2"/>
  <c r="C73" i="2"/>
  <c r="D74" i="2"/>
  <c r="W1545" i="3" l="1"/>
  <c r="Z20" i="83"/>
  <c r="A73" i="2"/>
  <c r="D75" i="2"/>
  <c r="B74" i="2"/>
  <c r="C74" i="2"/>
  <c r="E20" i="83"/>
  <c r="N20" i="83"/>
  <c r="I20" i="83"/>
  <c r="W1546" i="3" l="1"/>
  <c r="O20" i="83"/>
  <c r="P4" i="83" s="1"/>
  <c r="A74" i="2"/>
  <c r="B75" i="2"/>
  <c r="C75" i="2"/>
  <c r="D76" i="2"/>
  <c r="Y20" i="83"/>
  <c r="U20" i="83"/>
  <c r="W1547" i="3" l="1"/>
  <c r="W3" i="83"/>
  <c r="AE20" i="83"/>
  <c r="C17" i="83"/>
  <c r="T42" i="83"/>
  <c r="T41" i="83"/>
  <c r="A75" i="2"/>
  <c r="C76" i="2"/>
  <c r="D77" i="2"/>
  <c r="B76" i="2"/>
  <c r="T36" i="83"/>
  <c r="T37" i="83"/>
  <c r="W1548" i="3" l="1"/>
  <c r="G17" i="83"/>
  <c r="H17" i="83" s="1"/>
  <c r="F17" i="83"/>
  <c r="T29" i="83" s="1"/>
  <c r="T27" i="83"/>
  <c r="T30" i="83"/>
  <c r="T32" i="83"/>
  <c r="T38" i="83"/>
  <c r="T33" i="83"/>
  <c r="T40" i="83"/>
  <c r="T35" i="83"/>
  <c r="M17" i="83"/>
  <c r="T31" i="83"/>
  <c r="T34" i="83"/>
  <c r="I17" i="83"/>
  <c r="T19" i="83"/>
  <c r="T23" i="83"/>
  <c r="T39" i="83"/>
  <c r="B17" i="83"/>
  <c r="B19" i="83" s="1"/>
  <c r="B20" i="83" s="1"/>
  <c r="T18" i="83"/>
  <c r="T25" i="83"/>
  <c r="D17" i="83"/>
  <c r="Q17" i="83"/>
  <c r="J17" i="83" s="1"/>
  <c r="T20" i="83"/>
  <c r="T24" i="83"/>
  <c r="T22" i="83"/>
  <c r="P17" i="83"/>
  <c r="T26" i="83"/>
  <c r="T21" i="83"/>
  <c r="A76" i="2"/>
  <c r="B77" i="2"/>
  <c r="C77" i="2"/>
  <c r="D78" i="2"/>
  <c r="O12" i="6"/>
  <c r="W1549" i="3" l="1"/>
  <c r="T28" i="83"/>
  <c r="Z17" i="83"/>
  <c r="Y17" i="83"/>
  <c r="P12" i="6"/>
  <c r="N17" i="83"/>
  <c r="T17" i="83"/>
  <c r="A77" i="2"/>
  <c r="C78" i="2"/>
  <c r="D79" i="2"/>
  <c r="B78" i="2"/>
  <c r="B21" i="83"/>
  <c r="G43" i="83"/>
  <c r="G58" i="83"/>
  <c r="G67" i="83"/>
  <c r="G65" i="83"/>
  <c r="G62" i="83"/>
  <c r="G48" i="83"/>
  <c r="G54" i="83"/>
  <c r="G55" i="83"/>
  <c r="G61" i="83"/>
  <c r="G57" i="83"/>
  <c r="G59" i="83"/>
  <c r="G66" i="83"/>
  <c r="G60" i="83"/>
  <c r="G63" i="83"/>
  <c r="G51" i="83"/>
  <c r="G45" i="83"/>
  <c r="G49" i="83"/>
  <c r="G56" i="83"/>
  <c r="G44" i="83"/>
  <c r="G53" i="83"/>
  <c r="G50" i="83"/>
  <c r="G46" i="83"/>
  <c r="G64" i="83"/>
  <c r="G47" i="83"/>
  <c r="G52" i="83"/>
  <c r="C43" i="83" l="1"/>
  <c r="A78" i="2"/>
  <c r="B79" i="2"/>
  <c r="C79" i="2"/>
  <c r="D80" i="2"/>
  <c r="C49" i="83"/>
  <c r="M49" i="83" s="1"/>
  <c r="C67" i="83"/>
  <c r="M67" i="83" s="1"/>
  <c r="F67" i="83"/>
  <c r="C62" i="83"/>
  <c r="M62" i="83" s="1"/>
  <c r="C57" i="83"/>
  <c r="M57" i="83" s="1"/>
  <c r="C52" i="83"/>
  <c r="M52" i="83" s="1"/>
  <c r="C47" i="83"/>
  <c r="M47" i="83" s="1"/>
  <c r="F65" i="83"/>
  <c r="C65" i="83"/>
  <c r="M65" i="83" s="1"/>
  <c r="C60" i="83"/>
  <c r="M60" i="83" s="1"/>
  <c r="C55" i="83"/>
  <c r="M55" i="83" s="1"/>
  <c r="C50" i="83"/>
  <c r="M50" i="83" s="1"/>
  <c r="C63" i="83"/>
  <c r="M63" i="83" s="1"/>
  <c r="F63" i="83"/>
  <c r="C58" i="83"/>
  <c r="M58" i="83" s="1"/>
  <c r="C53" i="83"/>
  <c r="M53" i="83" s="1"/>
  <c r="C48" i="83"/>
  <c r="M48" i="83" s="1"/>
  <c r="C66" i="83"/>
  <c r="M66" i="83" s="1"/>
  <c r="C61" i="83"/>
  <c r="M61" i="83" s="1"/>
  <c r="C56" i="83"/>
  <c r="M56" i="83" s="1"/>
  <c r="C51" i="83"/>
  <c r="M51" i="83" s="1"/>
  <c r="C46" i="83"/>
  <c r="M46" i="83" s="1"/>
  <c r="C64" i="83"/>
  <c r="M64" i="83" s="1"/>
  <c r="F64" i="83"/>
  <c r="C59" i="83"/>
  <c r="M59" i="83" s="1"/>
  <c r="C54" i="83"/>
  <c r="M54" i="83" s="1"/>
  <c r="C45" i="83"/>
  <c r="M45" i="83" s="1"/>
  <c r="B22" i="83"/>
  <c r="B23" i="83" s="1"/>
  <c r="C44" i="83"/>
  <c r="F46" i="83"/>
  <c r="F44" i="83"/>
  <c r="F43" i="83"/>
  <c r="F60" i="83"/>
  <c r="F62" i="83"/>
  <c r="F54" i="83"/>
  <c r="F45" i="83"/>
  <c r="F56" i="83"/>
  <c r="F57" i="83"/>
  <c r="F52" i="83"/>
  <c r="F66" i="83"/>
  <c r="F55" i="83"/>
  <c r="F48" i="83"/>
  <c r="F47" i="83"/>
  <c r="F50" i="83"/>
  <c r="F58" i="83"/>
  <c r="F49" i="83"/>
  <c r="F59" i="83"/>
  <c r="F61" i="83"/>
  <c r="F51" i="83"/>
  <c r="F53" i="83"/>
  <c r="T72" i="83" l="1"/>
  <c r="B72" i="83"/>
  <c r="T73" i="83"/>
  <c r="T71" i="83"/>
  <c r="T69" i="83"/>
  <c r="M43" i="83"/>
  <c r="T70" i="83"/>
  <c r="T68" i="83"/>
  <c r="M44" i="83"/>
  <c r="P59" i="83"/>
  <c r="P51" i="83"/>
  <c r="P53" i="83"/>
  <c r="P60" i="83"/>
  <c r="P52" i="83"/>
  <c r="P67" i="83"/>
  <c r="P46" i="83"/>
  <c r="P61" i="83"/>
  <c r="P56" i="83"/>
  <c r="P66" i="83"/>
  <c r="P58" i="83"/>
  <c r="P65" i="83"/>
  <c r="P57" i="83"/>
  <c r="P44" i="83"/>
  <c r="P45" i="83"/>
  <c r="P64" i="83"/>
  <c r="P48" i="83"/>
  <c r="P50" i="83"/>
  <c r="P62" i="83"/>
  <c r="P49" i="83"/>
  <c r="P54" i="83"/>
  <c r="P63" i="83"/>
  <c r="P55" i="83"/>
  <c r="P47" i="83"/>
  <c r="P43" i="83"/>
  <c r="A79" i="2"/>
  <c r="C80" i="2"/>
  <c r="D81" i="2"/>
  <c r="B80" i="2"/>
  <c r="Q51" i="83"/>
  <c r="J51" i="83" s="1"/>
  <c r="Q49" i="83"/>
  <c r="J49" i="83" s="1"/>
  <c r="Q45" i="83"/>
  <c r="J45" i="83" s="1"/>
  <c r="Q46" i="83"/>
  <c r="J46" i="83" s="1"/>
  <c r="Q53" i="83"/>
  <c r="J53" i="83" s="1"/>
  <c r="Q50" i="83"/>
  <c r="J50" i="83" s="1"/>
  <c r="Q48" i="83"/>
  <c r="J48" i="83" s="1"/>
  <c r="Q47" i="83"/>
  <c r="J47" i="83" s="1"/>
  <c r="Q61" i="83"/>
  <c r="J61" i="83" s="1"/>
  <c r="Q62" i="83"/>
  <c r="J62" i="83" s="1"/>
  <c r="Q58" i="83"/>
  <c r="J58" i="83" s="1"/>
  <c r="Q60" i="83"/>
  <c r="J60" i="83" s="1"/>
  <c r="Q64" i="83"/>
  <c r="J64" i="83" s="1"/>
  <c r="Q56" i="83"/>
  <c r="Q63" i="83"/>
  <c r="J63" i="83" s="1"/>
  <c r="Q65" i="83"/>
  <c r="J65" i="83" s="1"/>
  <c r="Q52" i="83"/>
  <c r="J52" i="83" s="1"/>
  <c r="Q59" i="83"/>
  <c r="J59" i="83" s="1"/>
  <c r="Q44" i="83"/>
  <c r="J44" i="83" s="1"/>
  <c r="Q54" i="83"/>
  <c r="Q43" i="83"/>
  <c r="J43" i="83" s="1"/>
  <c r="Q66" i="83"/>
  <c r="J66" i="83" s="1"/>
  <c r="Q55" i="83"/>
  <c r="Q57" i="83"/>
  <c r="J57" i="83" s="1"/>
  <c r="Q67" i="83"/>
  <c r="J67" i="83" s="1"/>
  <c r="D45" i="83"/>
  <c r="E45" i="83"/>
  <c r="D66" i="83"/>
  <c r="U66" i="83" s="1"/>
  <c r="E66" i="83"/>
  <c r="E64" i="83"/>
  <c r="D64" i="83"/>
  <c r="U64" i="83" s="1"/>
  <c r="E61" i="83"/>
  <c r="D61" i="83"/>
  <c r="U61" i="83" s="1"/>
  <c r="D48" i="83"/>
  <c r="E48" i="83"/>
  <c r="D58" i="83"/>
  <c r="U58" i="83" s="1"/>
  <c r="E58" i="83"/>
  <c r="E52" i="83"/>
  <c r="D52" i="83"/>
  <c r="U52" i="83" s="1"/>
  <c r="E62" i="83"/>
  <c r="D62" i="83"/>
  <c r="U62" i="83" s="1"/>
  <c r="E56" i="83"/>
  <c r="D60" i="83"/>
  <c r="U60" i="83" s="1"/>
  <c r="E60" i="83"/>
  <c r="E57" i="83"/>
  <c r="D57" i="83"/>
  <c r="U57" i="83" s="1"/>
  <c r="E46" i="83"/>
  <c r="D46" i="83"/>
  <c r="E53" i="83"/>
  <c r="D53" i="83"/>
  <c r="U53" i="83" s="1"/>
  <c r="E63" i="83"/>
  <c r="D63" i="83"/>
  <c r="U63" i="83" s="1"/>
  <c r="E50" i="83"/>
  <c r="D50" i="83"/>
  <c r="E47" i="83"/>
  <c r="D47" i="83"/>
  <c r="D67" i="83"/>
  <c r="U67" i="83" s="1"/>
  <c r="E67" i="83"/>
  <c r="E55" i="83"/>
  <c r="D65" i="83"/>
  <c r="U65" i="83" s="1"/>
  <c r="E65" i="83"/>
  <c r="D59" i="83"/>
  <c r="U59" i="83" s="1"/>
  <c r="E59" i="83"/>
  <c r="E54" i="83"/>
  <c r="D51" i="83"/>
  <c r="U51" i="83" s="1"/>
  <c r="E51" i="83"/>
  <c r="D49" i="83"/>
  <c r="E49" i="83"/>
  <c r="B24" i="83"/>
  <c r="B25" i="83" s="1"/>
  <c r="B26" i="83" s="1"/>
  <c r="E43" i="83"/>
  <c r="D43" i="83"/>
  <c r="U43" i="83" s="1"/>
  <c r="D44" i="83"/>
  <c r="E44" i="83"/>
  <c r="W1552" i="3" l="1"/>
  <c r="W1553" i="3"/>
  <c r="H43" i="83"/>
  <c r="H55" i="83"/>
  <c r="H54" i="83"/>
  <c r="H65" i="83"/>
  <c r="H60" i="83"/>
  <c r="T62" i="83"/>
  <c r="H50" i="83"/>
  <c r="O50" i="83" s="1"/>
  <c r="H49" i="83"/>
  <c r="O49" i="83" s="1"/>
  <c r="T44" i="83"/>
  <c r="H63" i="83"/>
  <c r="H58" i="83"/>
  <c r="H61" i="83"/>
  <c r="H53" i="83"/>
  <c r="H51" i="83"/>
  <c r="H67" i="83"/>
  <c r="H66" i="83"/>
  <c r="H59" i="83"/>
  <c r="H56" i="83"/>
  <c r="T47" i="83"/>
  <c r="H46" i="83"/>
  <c r="H57" i="83"/>
  <c r="H52" i="83"/>
  <c r="O52" i="83" s="1"/>
  <c r="H64" i="83"/>
  <c r="H48" i="83"/>
  <c r="H45" i="83"/>
  <c r="U45" i="83"/>
  <c r="U46" i="83"/>
  <c r="U47" i="83"/>
  <c r="U50" i="83"/>
  <c r="U49" i="83"/>
  <c r="U44" i="83"/>
  <c r="U48" i="83"/>
  <c r="A80" i="2"/>
  <c r="B81" i="2"/>
  <c r="C81" i="2"/>
  <c r="D82" i="2"/>
  <c r="H62" i="83"/>
  <c r="T64" i="83"/>
  <c r="T65" i="83"/>
  <c r="T66" i="83"/>
  <c r="T67" i="83"/>
  <c r="T63" i="83"/>
  <c r="T50" i="83"/>
  <c r="T51" i="83"/>
  <c r="T53" i="83"/>
  <c r="T49" i="83"/>
  <c r="T46" i="83"/>
  <c r="T48" i="83"/>
  <c r="T45" i="83"/>
  <c r="H47" i="83"/>
  <c r="T52" i="83"/>
  <c r="T57" i="83"/>
  <c r="T43" i="83"/>
  <c r="T54" i="83"/>
  <c r="T55" i="83"/>
  <c r="T61" i="83"/>
  <c r="T59" i="83"/>
  <c r="T58" i="83"/>
  <c r="T60" i="83"/>
  <c r="T56" i="83"/>
  <c r="B27" i="83"/>
  <c r="H44" i="83"/>
  <c r="O64" i="83" l="1"/>
  <c r="AE64" i="83" s="1"/>
  <c r="N64" i="83"/>
  <c r="O63" i="83"/>
  <c r="AE63" i="83" s="1"/>
  <c r="N63" i="83"/>
  <c r="N65" i="83"/>
  <c r="O65" i="83"/>
  <c r="AE65" i="83" s="1"/>
  <c r="N45" i="83"/>
  <c r="O45" i="83"/>
  <c r="AE45" i="83" s="1"/>
  <c r="N48" i="83"/>
  <c r="O48" i="83"/>
  <c r="AE48" i="83" s="1"/>
  <c r="N66" i="83"/>
  <c r="O66" i="83"/>
  <c r="AE66" i="83" s="1"/>
  <c r="O67" i="83"/>
  <c r="AE67" i="83" s="1"/>
  <c r="N67" i="83"/>
  <c r="N47" i="83"/>
  <c r="O47" i="83"/>
  <c r="AE47" i="83" s="1"/>
  <c r="N46" i="83"/>
  <c r="O46" i="83"/>
  <c r="AE46" i="83" s="1"/>
  <c r="O59" i="83"/>
  <c r="AE59" i="83" s="1"/>
  <c r="N59" i="83"/>
  <c r="O61" i="83"/>
  <c r="AE61" i="83" s="1"/>
  <c r="N61" i="83"/>
  <c r="O57" i="83"/>
  <c r="AE57" i="83" s="1"/>
  <c r="N57" i="83"/>
  <c r="O58" i="83"/>
  <c r="AE58" i="83" s="1"/>
  <c r="N58" i="83"/>
  <c r="N60" i="83"/>
  <c r="O60" i="83"/>
  <c r="AE60" i="83" s="1"/>
  <c r="N62" i="83"/>
  <c r="O62" i="83"/>
  <c r="AE62" i="83" s="1"/>
  <c r="N43" i="83"/>
  <c r="O43" i="83"/>
  <c r="AE43" i="83" s="1"/>
  <c r="N53" i="83"/>
  <c r="O53" i="83"/>
  <c r="AE53" i="83" s="1"/>
  <c r="N44" i="83"/>
  <c r="O44" i="83"/>
  <c r="N51" i="83"/>
  <c r="O51" i="83"/>
  <c r="AE51" i="83" s="1"/>
  <c r="N50" i="83"/>
  <c r="AE52" i="83"/>
  <c r="N52" i="83"/>
  <c r="AE49" i="83"/>
  <c r="N49" i="83"/>
  <c r="AE50" i="83"/>
  <c r="A81" i="2"/>
  <c r="C82" i="2"/>
  <c r="D83" i="2"/>
  <c r="B82" i="2"/>
  <c r="B28" i="83"/>
  <c r="B29" i="83" s="1"/>
  <c r="AE44" i="83" l="1"/>
  <c r="A82" i="2"/>
  <c r="B83" i="2"/>
  <c r="C83" i="2"/>
  <c r="D84" i="2"/>
  <c r="B30" i="83"/>
  <c r="B31" i="83" s="1"/>
  <c r="B32" i="83" s="1"/>
  <c r="B33" i="83" s="1"/>
  <c r="B34" i="83" s="1"/>
  <c r="B35" i="83" s="1"/>
  <c r="B36" i="83" s="1"/>
  <c r="B37" i="83" s="1"/>
  <c r="B38" i="83" s="1"/>
  <c r="BB81" i="6" l="1"/>
  <c r="A83" i="2"/>
  <c r="B39" i="83"/>
  <c r="B40" i="83" s="1"/>
  <c r="B41" i="83" s="1"/>
  <c r="B42" i="83" s="1"/>
  <c r="C84" i="2"/>
  <c r="B84" i="2"/>
  <c r="D85" i="2"/>
  <c r="A84" i="2" l="1"/>
  <c r="B43" i="83"/>
  <c r="B44" i="83" s="1"/>
  <c r="B45" i="83" s="1"/>
  <c r="B46" i="83" s="1"/>
  <c r="D86" i="2"/>
  <c r="B85" i="2"/>
  <c r="C85" i="2"/>
  <c r="A85" i="2" l="1"/>
  <c r="C86" i="2"/>
  <c r="D87" i="2"/>
  <c r="B86" i="2"/>
  <c r="B47" i="83"/>
  <c r="B48" i="83" s="1"/>
  <c r="B49" i="83" s="1"/>
  <c r="A86" i="2" l="1"/>
  <c r="D88" i="2"/>
  <c r="B87" i="2"/>
  <c r="C87" i="2"/>
  <c r="B50" i="83"/>
  <c r="B51" i="83" s="1"/>
  <c r="A87" i="2" l="1"/>
  <c r="C88" i="2"/>
  <c r="D89" i="2"/>
  <c r="B88" i="2"/>
  <c r="B52" i="83"/>
  <c r="B53" i="83" s="1"/>
  <c r="B54" i="83" s="1"/>
  <c r="A88" i="2" l="1"/>
  <c r="D90" i="2"/>
  <c r="B89" i="2"/>
  <c r="C89" i="2"/>
  <c r="B55" i="83"/>
  <c r="B56" i="83" s="1"/>
  <c r="B57" i="83" s="1"/>
  <c r="B58" i="83" s="1"/>
  <c r="A89" i="2" l="1"/>
  <c r="C90" i="2"/>
  <c r="D91" i="2"/>
  <c r="B90" i="2"/>
  <c r="B59" i="83"/>
  <c r="B60" i="83" s="1"/>
  <c r="B61" i="83" s="1"/>
  <c r="B62" i="83" s="1"/>
  <c r="A90" i="2" l="1"/>
  <c r="D92" i="2"/>
  <c r="B91" i="2"/>
  <c r="C91" i="2"/>
  <c r="B63" i="83"/>
  <c r="A91" i="2" l="1"/>
  <c r="C92" i="2"/>
  <c r="D93" i="2"/>
  <c r="B92" i="2"/>
  <c r="B64" i="83"/>
  <c r="A92" i="2" l="1"/>
  <c r="D94" i="2"/>
  <c r="B93" i="2"/>
  <c r="C93" i="2"/>
  <c r="B65" i="83"/>
  <c r="A93" i="2" l="1"/>
  <c r="C94" i="2"/>
  <c r="D95" i="2"/>
  <c r="B94" i="2"/>
  <c r="B66" i="83"/>
  <c r="B67" i="83" s="1"/>
  <c r="B68" i="83" s="1"/>
  <c r="B69" i="83" l="1"/>
  <c r="B70" i="83" s="1"/>
  <c r="B71" i="83" s="1"/>
  <c r="B73" i="83" s="1"/>
  <c r="A94" i="2"/>
  <c r="D96" i="2"/>
  <c r="B95" i="2"/>
  <c r="C95" i="2"/>
  <c r="A95" i="2" l="1"/>
  <c r="C96" i="2"/>
  <c r="D97" i="2"/>
  <c r="B96" i="2"/>
  <c r="A96" i="2" l="1"/>
  <c r="D98" i="2"/>
  <c r="B97" i="2"/>
  <c r="C97" i="2"/>
  <c r="A97" i="2" l="1"/>
  <c r="C98" i="2"/>
  <c r="D99" i="2"/>
  <c r="D100" i="2" s="1"/>
  <c r="D101" i="2" s="1"/>
  <c r="B98" i="2"/>
  <c r="B101" i="2" l="1"/>
  <c r="C101" i="2"/>
  <c r="D102" i="2"/>
  <c r="B100" i="2"/>
  <c r="C100" i="2"/>
  <c r="A98" i="2"/>
  <c r="B99" i="2"/>
  <c r="C99" i="2"/>
  <c r="C102" i="2" l="1"/>
  <c r="D103" i="2"/>
  <c r="B102" i="2"/>
  <c r="A99" i="2"/>
  <c r="A100" i="2" s="1"/>
  <c r="A101" i="2" s="1"/>
  <c r="B103" i="2" l="1"/>
  <c r="C103" i="2"/>
  <c r="D104" i="2"/>
  <c r="A102" i="2"/>
  <c r="B104" i="2" l="1"/>
  <c r="C104" i="2"/>
  <c r="D105" i="2"/>
  <c r="A103" i="2"/>
  <c r="A104" i="2" l="1"/>
  <c r="B105" i="2"/>
  <c r="A105" i="2" s="1"/>
  <c r="C105" i="2"/>
  <c r="D106" i="2"/>
  <c r="C106" i="2" l="1"/>
  <c r="D107" i="2"/>
  <c r="B106" i="2"/>
  <c r="A106" i="2" s="1"/>
  <c r="B107" i="2" l="1"/>
  <c r="A107" i="2" s="1"/>
  <c r="C107" i="2"/>
  <c r="D108" i="2"/>
  <c r="B108" i="2" l="1"/>
  <c r="A108" i="2" s="1"/>
  <c r="C108" i="2"/>
  <c r="D109" i="2"/>
  <c r="B109" i="2" l="1"/>
  <c r="A109" i="2" s="1"/>
  <c r="C109" i="2"/>
  <c r="D110" i="2"/>
  <c r="C110" i="2" l="1"/>
  <c r="D111" i="2"/>
  <c r="D112" i="2" s="1"/>
  <c r="D113" i="2" s="1"/>
  <c r="D114" i="2" s="1"/>
  <c r="D115" i="2" s="1"/>
  <c r="B110" i="2"/>
  <c r="A110" i="2" s="1"/>
  <c r="D116" i="2" l="1"/>
  <c r="D117" i="2" s="1"/>
  <c r="D118" i="2" s="1"/>
  <c r="B115" i="2"/>
  <c r="C115" i="2"/>
  <c r="B114" i="2"/>
  <c r="C114" i="2"/>
  <c r="B113" i="2"/>
  <c r="C113" i="2"/>
  <c r="B112" i="2"/>
  <c r="C112" i="2"/>
  <c r="B111" i="2"/>
  <c r="A111" i="2" s="1"/>
  <c r="C111" i="2"/>
  <c r="D119" i="2" l="1"/>
  <c r="B118" i="2"/>
  <c r="C118" i="2"/>
  <c r="B117" i="2"/>
  <c r="C117" i="2"/>
  <c r="C116" i="2"/>
  <c r="B116" i="2"/>
  <c r="A112" i="2"/>
  <c r="A113" i="2" s="1"/>
  <c r="B119" i="2" l="1"/>
  <c r="D120" i="2"/>
  <c r="C119" i="2"/>
  <c r="A114" i="2"/>
  <c r="A115" i="2" s="1"/>
  <c r="A116" i="2" s="1"/>
  <c r="B120" i="2" l="1"/>
  <c r="D121" i="2"/>
  <c r="D122" i="2" s="1"/>
  <c r="D123" i="2" s="1"/>
  <c r="C120" i="2"/>
  <c r="A117" i="2"/>
  <c r="A118" i="2" s="1"/>
  <c r="A119" i="2" s="1"/>
  <c r="D124" i="2" l="1"/>
  <c r="B123" i="2"/>
  <c r="C123" i="2"/>
  <c r="B122" i="2"/>
  <c r="C122" i="2"/>
  <c r="B121" i="2"/>
  <c r="C121" i="2"/>
  <c r="A120" i="2"/>
  <c r="N201" i="69"/>
  <c r="B124" i="2" l="1"/>
  <c r="D125" i="2"/>
  <c r="C124" i="2"/>
  <c r="A121" i="2"/>
  <c r="A122" i="2" s="1"/>
  <c r="E6929" i="3"/>
  <c r="R19" i="83" l="1"/>
  <c r="R18" i="83"/>
  <c r="R16" i="83"/>
  <c r="W16" i="83" s="1"/>
  <c r="R17" i="83"/>
  <c r="A123" i="2"/>
  <c r="A124" i="2" s="1"/>
  <c r="D126" i="2"/>
  <c r="B125" i="2"/>
  <c r="C125" i="2"/>
  <c r="J19" i="83"/>
  <c r="O19" i="83" s="1"/>
  <c r="D54" i="83"/>
  <c r="U54" i="83" s="1"/>
  <c r="D56" i="83"/>
  <c r="U56" i="83" s="1"/>
  <c r="D55" i="83"/>
  <c r="U55" i="83" s="1"/>
  <c r="J56" i="83"/>
  <c r="J55" i="83"/>
  <c r="J54" i="83"/>
  <c r="D19" i="83"/>
  <c r="Y19" i="83" s="1"/>
  <c r="G16" i="83"/>
  <c r="W18" i="83" l="1"/>
  <c r="V18" i="83"/>
  <c r="O18" i="83" s="1"/>
  <c r="AE18" i="83" s="1"/>
  <c r="H16" i="83"/>
  <c r="N16" i="83" s="1"/>
  <c r="Y16" i="83"/>
  <c r="Y12" i="83" s="1"/>
  <c r="Z16" i="83"/>
  <c r="Z12" i="83" s="1"/>
  <c r="V19" i="83"/>
  <c r="W17" i="83"/>
  <c r="V17" i="83"/>
  <c r="O17" i="83" s="1"/>
  <c r="AE17" i="83" s="1"/>
  <c r="W19" i="83"/>
  <c r="A125" i="2"/>
  <c r="B126" i="2"/>
  <c r="C126" i="2"/>
  <c r="D127" i="2"/>
  <c r="N19" i="83"/>
  <c r="O55" i="83"/>
  <c r="AE55" i="83" s="1"/>
  <c r="N55" i="83"/>
  <c r="O56" i="83"/>
  <c r="AE56" i="83" s="1"/>
  <c r="N56" i="83"/>
  <c r="O54" i="83"/>
  <c r="N54" i="83"/>
  <c r="L6" i="83"/>
  <c r="AE19" i="83"/>
  <c r="O11" i="6"/>
  <c r="O16" i="83" l="1"/>
  <c r="AE16" i="83" s="1"/>
  <c r="O81" i="6"/>
  <c r="Q2" i="83"/>
  <c r="A126" i="2"/>
  <c r="D128" i="2"/>
  <c r="B127" i="2"/>
  <c r="C127" i="2"/>
  <c r="N2" i="83"/>
  <c r="AE54" i="83"/>
  <c r="P5" i="83"/>
  <c r="BR12" i="6"/>
  <c r="BS11" i="6"/>
  <c r="AB11" i="88"/>
  <c r="O2" i="83" l="1"/>
  <c r="BS81" i="6"/>
  <c r="AG2" i="83"/>
  <c r="AB81" i="88"/>
  <c r="A127" i="2"/>
  <c r="B128" i="2"/>
  <c r="C128" i="2"/>
  <c r="D129" i="2"/>
  <c r="U96" i="83"/>
  <c r="AE96" i="83" s="1"/>
  <c r="U98" i="83"/>
  <c r="AE98" i="83" s="1"/>
  <c r="U97" i="83"/>
  <c r="AE97" i="83" s="1"/>
  <c r="U94" i="83"/>
  <c r="AE94" i="83" s="1"/>
  <c r="U95" i="83"/>
  <c r="AE95" i="83" s="1"/>
  <c r="U80" i="83"/>
  <c r="U84" i="83"/>
  <c r="U88" i="83"/>
  <c r="U92" i="83"/>
  <c r="U91" i="83"/>
  <c r="U81" i="83"/>
  <c r="U85" i="83"/>
  <c r="U89" i="83"/>
  <c r="U93" i="83"/>
  <c r="U87" i="83"/>
  <c r="U82" i="83"/>
  <c r="U86" i="83"/>
  <c r="U90" i="83"/>
  <c r="U83" i="83"/>
  <c r="W2" i="83"/>
  <c r="U79" i="83"/>
  <c r="BR11" i="6"/>
  <c r="AC12" i="6"/>
  <c r="AV12" i="6"/>
  <c r="BR81" i="6" l="1"/>
  <c r="F26" i="84" s="1"/>
  <c r="A128" i="2"/>
  <c r="D130" i="2"/>
  <c r="B129" i="2"/>
  <c r="C129" i="2"/>
  <c r="AY12" i="6"/>
  <c r="AF12" i="6"/>
  <c r="BD12" i="6"/>
  <c r="AK12" i="6"/>
  <c r="A129" i="2" l="1"/>
  <c r="B130" i="2"/>
  <c r="C130" i="2"/>
  <c r="D131" i="2"/>
  <c r="H79" i="83"/>
  <c r="F79" i="83"/>
  <c r="A130" i="2" l="1"/>
  <c r="B131" i="2"/>
  <c r="D132" i="2"/>
  <c r="C131" i="2"/>
  <c r="O79" i="83"/>
  <c r="N79" i="83"/>
  <c r="H93" i="83"/>
  <c r="F93" i="83"/>
  <c r="H92" i="83"/>
  <c r="F92" i="83"/>
  <c r="F91" i="83"/>
  <c r="H91" i="83"/>
  <c r="H90" i="83"/>
  <c r="H89" i="83"/>
  <c r="H88" i="83"/>
  <c r="H87" i="83"/>
  <c r="H86" i="83"/>
  <c r="H85" i="83"/>
  <c r="H84" i="83"/>
  <c r="H83" i="83"/>
  <c r="H82" i="83"/>
  <c r="H81" i="83"/>
  <c r="F80" i="83"/>
  <c r="H80" i="83"/>
  <c r="F83" i="83"/>
  <c r="F90" i="83"/>
  <c r="F88" i="83"/>
  <c r="F86" i="83"/>
  <c r="F82" i="83"/>
  <c r="F81" i="83"/>
  <c r="F89" i="83"/>
  <c r="F87" i="83"/>
  <c r="F85" i="83"/>
  <c r="F84" i="83"/>
  <c r="A131" i="2" l="1"/>
  <c r="D133" i="2"/>
  <c r="B132" i="2"/>
  <c r="C132" i="2"/>
  <c r="N93" i="83"/>
  <c r="O93" i="83"/>
  <c r="AE93" i="83" s="1"/>
  <c r="O85" i="83"/>
  <c r="AE85" i="83" s="1"/>
  <c r="O91" i="83"/>
  <c r="AE91" i="83" s="1"/>
  <c r="O84" i="83"/>
  <c r="AE84" i="83" s="1"/>
  <c r="N81" i="83"/>
  <c r="O81" i="83"/>
  <c r="AE81" i="83" s="1"/>
  <c r="O90" i="83"/>
  <c r="AE90" i="83" s="1"/>
  <c r="O92" i="83"/>
  <c r="AE92" i="83" s="1"/>
  <c r="N89" i="83"/>
  <c r="O89" i="83"/>
  <c r="AE89" i="83" s="1"/>
  <c r="N80" i="83"/>
  <c r="O80" i="83"/>
  <c r="N82" i="83"/>
  <c r="O82" i="83"/>
  <c r="AE82" i="83" s="1"/>
  <c r="N83" i="83"/>
  <c r="O83" i="83"/>
  <c r="AE83" i="83" s="1"/>
  <c r="N87" i="83"/>
  <c r="O87" i="83"/>
  <c r="AE87" i="83" s="1"/>
  <c r="O86" i="83"/>
  <c r="AE86" i="83" s="1"/>
  <c r="N88" i="83"/>
  <c r="O88" i="83"/>
  <c r="AE88" i="83" s="1"/>
  <c r="N91" i="83"/>
  <c r="N85" i="83"/>
  <c r="N90" i="83"/>
  <c r="N84" i="83"/>
  <c r="N92" i="83"/>
  <c r="N86" i="83"/>
  <c r="AE79" i="83"/>
  <c r="A132" i="2" l="1"/>
  <c r="B133" i="2"/>
  <c r="C133" i="2"/>
  <c r="D134" i="2"/>
  <c r="P10" i="83"/>
  <c r="P9" i="83"/>
  <c r="AN9" i="83" s="1"/>
  <c r="AE80" i="83"/>
  <c r="A133" i="2" l="1"/>
  <c r="D135" i="2"/>
  <c r="B134" i="2"/>
  <c r="C134" i="2"/>
  <c r="M12" i="6"/>
  <c r="L12" i="87" s="1"/>
  <c r="P8" i="83"/>
  <c r="AN8" i="83" s="1"/>
  <c r="A134" i="2" l="1"/>
  <c r="B135" i="2"/>
  <c r="C135" i="2"/>
  <c r="D136" i="2"/>
  <c r="W74" i="83"/>
  <c r="G74" i="83"/>
  <c r="A135" i="2" l="1"/>
  <c r="B136" i="2"/>
  <c r="D137" i="2"/>
  <c r="C136" i="2"/>
  <c r="S74" i="83"/>
  <c r="F74" i="83" s="1"/>
  <c r="W75" i="83"/>
  <c r="G75" i="83"/>
  <c r="A136" i="2" l="1"/>
  <c r="B137" i="2"/>
  <c r="C137" i="2"/>
  <c r="D138" i="2"/>
  <c r="H75" i="83"/>
  <c r="H74" i="83"/>
  <c r="C74" i="83"/>
  <c r="M74" i="83" s="1"/>
  <c r="S75" i="83"/>
  <c r="F75" i="83" s="1"/>
  <c r="A137" i="2" l="1"/>
  <c r="D139" i="2"/>
  <c r="B138" i="2"/>
  <c r="C138" i="2"/>
  <c r="W76" i="83"/>
  <c r="D74" i="83"/>
  <c r="E74" i="83"/>
  <c r="Q74" i="83"/>
  <c r="J74" i="83" s="1"/>
  <c r="P74" i="83"/>
  <c r="B74" i="83"/>
  <c r="I74" i="83"/>
  <c r="C75" i="83"/>
  <c r="S76" i="83"/>
  <c r="W77" i="83"/>
  <c r="G76" i="83"/>
  <c r="G77" i="83"/>
  <c r="A138" i="2" l="1"/>
  <c r="B139" i="2"/>
  <c r="C139" i="2"/>
  <c r="D140" i="2"/>
  <c r="M75" i="83"/>
  <c r="H76" i="83"/>
  <c r="D75" i="83"/>
  <c r="E75" i="83"/>
  <c r="H77" i="83"/>
  <c r="N74" i="83"/>
  <c r="O74" i="83"/>
  <c r="AE74" i="83" s="1"/>
  <c r="Q75" i="83"/>
  <c r="J75" i="83" s="1"/>
  <c r="P75" i="83"/>
  <c r="C76" i="83"/>
  <c r="M76" i="83" s="1"/>
  <c r="B75" i="83"/>
  <c r="I75" i="83"/>
  <c r="T74" i="83"/>
  <c r="S77" i="83"/>
  <c r="W78" i="83"/>
  <c r="F76" i="83"/>
  <c r="G78" i="83"/>
  <c r="A139" i="2" l="1"/>
  <c r="D141" i="2"/>
  <c r="B140" i="2"/>
  <c r="A140" i="2" s="1"/>
  <c r="C140" i="2"/>
  <c r="E76" i="83"/>
  <c r="D76" i="83"/>
  <c r="H78" i="83"/>
  <c r="F77" i="83"/>
  <c r="N75" i="83"/>
  <c r="O75" i="83"/>
  <c r="AE75" i="83" s="1"/>
  <c r="T75" i="83"/>
  <c r="Q76" i="83"/>
  <c r="J76" i="83" s="1"/>
  <c r="B76" i="83"/>
  <c r="I76" i="83"/>
  <c r="P76" i="83"/>
  <c r="C77" i="83"/>
  <c r="S78" i="83"/>
  <c r="B141" i="2" l="1"/>
  <c r="A141" i="2" s="1"/>
  <c r="D142" i="2"/>
  <c r="C141" i="2"/>
  <c r="M77" i="83"/>
  <c r="D77" i="83"/>
  <c r="E77" i="83"/>
  <c r="F78" i="83"/>
  <c r="N76" i="83"/>
  <c r="O76" i="83"/>
  <c r="AE76" i="83" s="1"/>
  <c r="Q77" i="83"/>
  <c r="J77" i="83" s="1"/>
  <c r="T76" i="83"/>
  <c r="B77" i="83"/>
  <c r="I77" i="83"/>
  <c r="P77" i="83"/>
  <c r="C78" i="83"/>
  <c r="B142" i="2" l="1"/>
  <c r="A142" i="2" s="1"/>
  <c r="C142" i="2"/>
  <c r="D143" i="2"/>
  <c r="M78" i="83"/>
  <c r="T98" i="83"/>
  <c r="I3" i="83"/>
  <c r="E78" i="83"/>
  <c r="T96" i="83"/>
  <c r="T97" i="83"/>
  <c r="T94" i="83"/>
  <c r="T95" i="83"/>
  <c r="T93" i="83"/>
  <c r="N77" i="83"/>
  <c r="O77" i="83"/>
  <c r="AE77" i="83" s="1"/>
  <c r="T77" i="83"/>
  <c r="T92" i="83"/>
  <c r="T81" i="83"/>
  <c r="T83" i="83"/>
  <c r="T91" i="83"/>
  <c r="T89" i="83"/>
  <c r="T90" i="83"/>
  <c r="I78" i="83"/>
  <c r="P78" i="83"/>
  <c r="T86" i="83"/>
  <c r="B78" i="83"/>
  <c r="B79" i="83" s="1"/>
  <c r="T79" i="83"/>
  <c r="D78" i="83"/>
  <c r="T84" i="83"/>
  <c r="Q78" i="83"/>
  <c r="T82" i="83"/>
  <c r="T85" i="83"/>
  <c r="T80" i="83"/>
  <c r="T88" i="83"/>
  <c r="T87" i="83"/>
  <c r="D144" i="2" l="1"/>
  <c r="B143" i="2"/>
  <c r="A143" i="2" s="1"/>
  <c r="C143" i="2"/>
  <c r="T78" i="83"/>
  <c r="J78" i="83"/>
  <c r="N78" i="83" s="1"/>
  <c r="B80" i="83"/>
  <c r="B144" i="2" l="1"/>
  <c r="A144" i="2" s="1"/>
  <c r="D145" i="2"/>
  <c r="C144" i="2"/>
  <c r="L12" i="6"/>
  <c r="N12" i="6" s="1"/>
  <c r="O78" i="83"/>
  <c r="B81" i="83"/>
  <c r="B145" i="2" l="1"/>
  <c r="A145" i="2" s="1"/>
  <c r="C145" i="2"/>
  <c r="D146" i="2"/>
  <c r="P6" i="83"/>
  <c r="AN6" i="83" s="1"/>
  <c r="AG9" i="83" s="1"/>
  <c r="AG10" i="83" s="1"/>
  <c r="AE78" i="83"/>
  <c r="M12" i="87"/>
  <c r="K12" i="87"/>
  <c r="B82" i="83"/>
  <c r="AN11" i="83" l="1"/>
  <c r="AG3" i="83"/>
  <c r="D147" i="2"/>
  <c r="B146" i="2"/>
  <c r="A146" i="2" s="1"/>
  <c r="C146" i="2"/>
  <c r="B83" i="83"/>
  <c r="B84" i="83" s="1"/>
  <c r="B85" i="83" s="1"/>
  <c r="B86" i="83" s="1"/>
  <c r="B87" i="83" s="1"/>
  <c r="B88" i="83" s="1"/>
  <c r="B89" i="83" s="1"/>
  <c r="B90" i="83" s="1"/>
  <c r="AG8" i="83" l="1"/>
  <c r="B147" i="2"/>
  <c r="A147" i="2" s="1"/>
  <c r="D148" i="2"/>
  <c r="C147" i="2"/>
  <c r="B91" i="83"/>
  <c r="B148" i="2" l="1"/>
  <c r="A148" i="2" s="1"/>
  <c r="C148" i="2"/>
  <c r="D149" i="2"/>
  <c r="B92" i="83"/>
  <c r="B93" i="83" s="1"/>
  <c r="BH12" i="6"/>
  <c r="I11" i="6"/>
  <c r="I11" i="88" l="1"/>
  <c r="I81" i="88" s="1"/>
  <c r="D150" i="2"/>
  <c r="B149" i="2"/>
  <c r="A149" i="2" s="1"/>
  <c r="C149" i="2"/>
  <c r="B94" i="83"/>
  <c r="B95" i="83" s="1"/>
  <c r="B96" i="83" s="1"/>
  <c r="B97" i="83" s="1"/>
  <c r="B98" i="83" s="1"/>
  <c r="H11" i="87"/>
  <c r="H81" i="87" s="1"/>
  <c r="I81" i="6"/>
  <c r="P11" i="6"/>
  <c r="AH11" i="6"/>
  <c r="AZ11" i="6"/>
  <c r="AG11" i="6"/>
  <c r="B150" i="2" l="1"/>
  <c r="A150" i="2" s="1"/>
  <c r="C150" i="2"/>
  <c r="AI11" i="6"/>
  <c r="P81" i="6"/>
  <c r="AG81" i="6"/>
  <c r="AZ81" i="6"/>
  <c r="D12" i="6"/>
  <c r="B4" i="83" l="1"/>
  <c r="AI81" i="6"/>
  <c r="AH81" i="6"/>
  <c r="D12" i="87" l="1"/>
  <c r="D13" i="87"/>
  <c r="J11" i="88"/>
  <c r="AJ11" i="6"/>
  <c r="BA11" i="6"/>
  <c r="BC11" i="6" l="1"/>
  <c r="BC81" i="6" s="1"/>
  <c r="BA81" i="6"/>
  <c r="M11" i="6"/>
  <c r="M11" i="88" s="1"/>
  <c r="AJ81" i="6"/>
  <c r="F11" i="6"/>
  <c r="F11" i="88" l="1"/>
  <c r="L11" i="87"/>
  <c r="J81" i="88"/>
  <c r="J11" i="6"/>
  <c r="F11" i="87"/>
  <c r="BK11" i="6"/>
  <c r="I11" i="87" l="1"/>
  <c r="I81" i="87" s="1"/>
  <c r="J81" i="6"/>
  <c r="BM11" i="6"/>
  <c r="BM12" i="6" l="1"/>
  <c r="BM13" i="6" l="1"/>
  <c r="G11" i="6"/>
  <c r="G11" i="88" l="1"/>
  <c r="K11" i="88" s="1"/>
  <c r="K81" i="88" s="1"/>
  <c r="K11" i="6"/>
  <c r="G11" i="87"/>
  <c r="BM14" i="6"/>
  <c r="U11" i="6"/>
  <c r="AP11" i="6"/>
  <c r="AT11" i="6"/>
  <c r="AQ11" i="6"/>
  <c r="AD11" i="6"/>
  <c r="X11" i="6"/>
  <c r="AW11" i="6"/>
  <c r="AX11" i="6"/>
  <c r="AO11" i="6"/>
  <c r="Y11" i="6"/>
  <c r="AB11" i="6"/>
  <c r="AR11" i="6"/>
  <c r="Q11" i="6"/>
  <c r="AU11" i="6"/>
  <c r="AA11" i="6"/>
  <c r="AL11" i="6"/>
  <c r="AV11" i="6"/>
  <c r="W11" i="6"/>
  <c r="AC11" i="6"/>
  <c r="AE11" i="6"/>
  <c r="AE7" i="6" l="1"/>
  <c r="Q81" i="6"/>
  <c r="S11" i="6"/>
  <c r="S81" i="6" s="1"/>
  <c r="J11" i="87"/>
  <c r="J81" i="87" s="1"/>
  <c r="AL81" i="6"/>
  <c r="U81" i="6"/>
  <c r="AO81" i="6"/>
  <c r="AD81" i="6"/>
  <c r="AB81" i="6"/>
  <c r="Y81" i="6"/>
  <c r="X81" i="6"/>
  <c r="AX81" i="6"/>
  <c r="AW81" i="6"/>
  <c r="AQ81" i="6"/>
  <c r="AR81" i="6"/>
  <c r="AE81" i="6"/>
  <c r="BM15" i="6"/>
  <c r="BM16" i="6" s="1"/>
  <c r="K81" i="6"/>
  <c r="D34" i="84" s="1"/>
  <c r="D11" i="6"/>
  <c r="AN11" i="6"/>
  <c r="V11" i="6"/>
  <c r="D11" i="88" l="1"/>
  <c r="AN81" i="6"/>
  <c r="D11" i="87"/>
  <c r="AA81" i="6"/>
  <c r="AC81" i="6"/>
  <c r="AP81" i="6"/>
  <c r="W81" i="6"/>
  <c r="AT81" i="6"/>
  <c r="AV81" i="6"/>
  <c r="AU81" i="6"/>
  <c r="V81" i="6"/>
  <c r="D52" i="84"/>
  <c r="D60" i="84" s="1"/>
  <c r="D42" i="84"/>
  <c r="D41" i="84"/>
  <c r="D48" i="84"/>
  <c r="D46" i="84"/>
  <c r="F46" i="84" s="1"/>
  <c r="D38" i="84"/>
  <c r="F38" i="84" s="1"/>
  <c r="D39" i="84"/>
  <c r="F39" i="84" s="1"/>
  <c r="D51" i="84"/>
  <c r="F51" i="84" s="1"/>
  <c r="D45" i="84"/>
  <c r="F45" i="84" s="1"/>
  <c r="D47" i="84"/>
  <c r="F47" i="84" s="1"/>
  <c r="D37" i="84"/>
  <c r="F37" i="84" s="1"/>
  <c r="D44" i="84"/>
  <c r="F44" i="84" s="1"/>
  <c r="D43" i="84"/>
  <c r="F43" i="84" s="1"/>
  <c r="D40" i="84"/>
  <c r="F40" i="84" s="1"/>
  <c r="D35" i="84"/>
  <c r="F35" i="84" s="1"/>
  <c r="D49" i="84"/>
  <c r="F49" i="84" s="1"/>
  <c r="D50" i="84"/>
  <c r="F50" i="84" s="1"/>
  <c r="D36" i="84"/>
  <c r="F36" i="84" s="1"/>
  <c r="D28" i="84"/>
  <c r="D32" i="84"/>
  <c r="D30" i="84"/>
  <c r="D31" i="84"/>
  <c r="F31" i="84" s="1"/>
  <c r="D71" i="84"/>
  <c r="E71" i="84" s="1"/>
  <c r="BM17" i="6"/>
  <c r="D69" i="84" l="1"/>
  <c r="F69" i="84" s="1"/>
  <c r="D57" i="84"/>
  <c r="F57" i="84" s="1"/>
  <c r="D56" i="84"/>
  <c r="F56" i="84" s="1"/>
  <c r="D63" i="84"/>
  <c r="F63" i="84" s="1"/>
  <c r="D62" i="84"/>
  <c r="F62" i="84" s="1"/>
  <c r="D64" i="84"/>
  <c r="F64" i="84" s="1"/>
  <c r="D54" i="84"/>
  <c r="F54" i="84" s="1"/>
  <c r="D68" i="84"/>
  <c r="F68" i="84" s="1"/>
  <c r="D65" i="84"/>
  <c r="F65" i="84" s="1"/>
  <c r="D55" i="84"/>
  <c r="F55" i="84" s="1"/>
  <c r="D70" i="84"/>
  <c r="F70" i="84" s="1"/>
  <c r="D53" i="84"/>
  <c r="F53" i="84" s="1"/>
  <c r="D58" i="84"/>
  <c r="F58" i="84" s="1"/>
  <c r="D67" i="84"/>
  <c r="F67" i="84" s="1"/>
  <c r="D61" i="84"/>
  <c r="F61" i="84" s="1"/>
  <c r="D66" i="84"/>
  <c r="D59" i="84"/>
  <c r="BM18" i="6"/>
  <c r="F42" i="84"/>
  <c r="F30" i="84"/>
  <c r="D29" i="84"/>
  <c r="F48" i="84"/>
  <c r="F66" i="84" l="1"/>
  <c r="F29" i="84"/>
  <c r="F60" i="84"/>
  <c r="F41" i="84"/>
  <c r="F34" i="84" s="1"/>
  <c r="BM19" i="6"/>
  <c r="F59" i="84" l="1"/>
  <c r="F52" i="84" s="1"/>
  <c r="BM20" i="6"/>
  <c r="BM21" i="6" s="1"/>
  <c r="BM22" i="6" s="1"/>
  <c r="BM23" i="6" s="1"/>
  <c r="BM24" i="6" s="1"/>
  <c r="BM25" i="6" s="1"/>
  <c r="BM26" i="6" s="1"/>
  <c r="BM27" i="6" s="1"/>
  <c r="BM28" i="6" s="1"/>
  <c r="BM29" i="6" s="1"/>
  <c r="BM30" i="6" s="1"/>
  <c r="BM31" i="6" s="1"/>
  <c r="BM32" i="6" s="1"/>
  <c r="BM33" i="6" s="1"/>
  <c r="BM34" i="6" s="1"/>
  <c r="BM35" i="6" s="1"/>
  <c r="BM36" i="6" s="1"/>
  <c r="BM37" i="6" s="1"/>
  <c r="BM38" i="6" s="1"/>
  <c r="BM39" i="6" s="1"/>
  <c r="BM40" i="6" s="1"/>
  <c r="BM41" i="6" s="1"/>
  <c r="BM42" i="6" s="1"/>
  <c r="BM43" i="6" s="1"/>
  <c r="BM44" i="6" s="1"/>
  <c r="BM45" i="6" s="1"/>
  <c r="BM46" i="6" s="1"/>
  <c r="BM47" i="6" s="1"/>
  <c r="BM48" i="6" s="1"/>
  <c r="BM49" i="6" s="1"/>
  <c r="BM50" i="6" s="1"/>
  <c r="BM51" i="6" s="1"/>
  <c r="BM52" i="6" s="1"/>
  <c r="BM53" i="6" s="1"/>
  <c r="BM54" i="6" s="1"/>
  <c r="BM55" i="6" s="1"/>
  <c r="BM56" i="6" s="1"/>
  <c r="BM57" i="6" s="1"/>
  <c r="BM58" i="6" s="1"/>
  <c r="BM59" i="6" s="1"/>
  <c r="BM60" i="6" s="1"/>
  <c r="BM61" i="6" s="1"/>
  <c r="BM62" i="6" s="1"/>
  <c r="BM63" i="6" s="1"/>
  <c r="BM64" i="6" s="1"/>
  <c r="BM65" i="6" s="1"/>
  <c r="BM66" i="6" s="1"/>
  <c r="BM67" i="6" s="1"/>
  <c r="BM68" i="6" s="1"/>
  <c r="BM69" i="6" s="1"/>
  <c r="BM70" i="6" s="1"/>
  <c r="BM71" i="6" s="1"/>
  <c r="BM72" i="6" s="1"/>
  <c r="BM73" i="6" s="1"/>
  <c r="BM74" i="6" s="1"/>
  <c r="BM75" i="6" s="1"/>
  <c r="BM76" i="6" s="1"/>
  <c r="BM77" i="6" s="1"/>
  <c r="BM78" i="6" s="1"/>
  <c r="BM79" i="6" s="1"/>
  <c r="BM80" i="6" s="1"/>
  <c r="A95" i="6" s="1"/>
  <c r="A95" i="87" s="1"/>
  <c r="I99" i="83" l="1"/>
  <c r="H99" i="83"/>
  <c r="C99" i="83"/>
  <c r="F99" i="83"/>
  <c r="M99" i="83" l="1"/>
  <c r="D99" i="83"/>
  <c r="E99" i="83"/>
  <c r="P99" i="83"/>
  <c r="Q99" i="83"/>
  <c r="Y99" i="83"/>
  <c r="B99" i="83"/>
  <c r="J99" i="83" l="1"/>
  <c r="N99" i="83" s="1"/>
  <c r="T99" i="83"/>
  <c r="O99" i="83" l="1"/>
  <c r="AE99" i="83" s="1"/>
  <c r="M3" i="5"/>
  <c r="E3" i="5"/>
  <c r="G3" i="5"/>
  <c r="C3" i="5"/>
  <c r="P3" i="5" l="1"/>
  <c r="T3" i="5" s="1"/>
  <c r="B103" i="83"/>
  <c r="L3" i="5"/>
  <c r="J3" i="5"/>
  <c r="Q3" i="5" l="1"/>
  <c r="U3" i="5"/>
  <c r="G100" i="83"/>
  <c r="F3" i="5"/>
  <c r="I100" i="83" l="1"/>
  <c r="C100" i="83"/>
  <c r="D100" i="83" s="1"/>
  <c r="F100" i="83"/>
  <c r="M100" i="83" l="1"/>
  <c r="Q100" i="83"/>
  <c r="T100" i="83" l="1"/>
  <c r="Y100" i="83" l="1"/>
  <c r="H100" i="83" l="1"/>
  <c r="J100" i="83" l="1"/>
  <c r="N100" i="83" s="1"/>
  <c r="E100" i="83"/>
  <c r="B100" i="83"/>
  <c r="P100" i="83"/>
  <c r="O100" i="83" l="1"/>
  <c r="AE100" i="83" s="1"/>
  <c r="G101" i="83" l="1"/>
  <c r="C101" i="83" l="1"/>
  <c r="D101" i="83" s="1"/>
  <c r="I101" i="83"/>
  <c r="H101" i="83"/>
  <c r="F101" i="83"/>
  <c r="P101" i="83" l="1"/>
  <c r="M101" i="83"/>
  <c r="Q101" i="83"/>
  <c r="T101" i="83" s="1"/>
  <c r="Y101" i="83"/>
  <c r="B101" i="83"/>
  <c r="E101" i="83"/>
  <c r="J101" i="83" l="1"/>
  <c r="G102" i="83"/>
  <c r="C102" i="83" s="1"/>
  <c r="D102" i="83" s="1"/>
  <c r="O101" i="83" l="1"/>
  <c r="AE101" i="83" s="1"/>
  <c r="N101" i="83"/>
  <c r="B102" i="83"/>
  <c r="M102" i="83"/>
  <c r="I102" i="83"/>
  <c r="P102" i="83"/>
  <c r="H102" i="83"/>
  <c r="E102" i="83"/>
  <c r="Q102" i="83"/>
  <c r="F102" i="83"/>
  <c r="Y102" i="83" l="1"/>
  <c r="Y107" i="83" s="1"/>
  <c r="Y11" i="83" s="1"/>
  <c r="T102" i="83"/>
  <c r="J102" i="83"/>
  <c r="O102" i="83" s="1"/>
  <c r="O3" i="83" s="1"/>
  <c r="AC7" i="83" l="1"/>
  <c r="L2" i="83"/>
  <c r="R108" i="83"/>
  <c r="AE102" i="83"/>
  <c r="P7" i="83"/>
  <c r="N102" i="83"/>
  <c r="N3" i="83" s="1"/>
  <c r="T11" i="6"/>
  <c r="AM11" i="6"/>
  <c r="F108" i="83" l="1"/>
  <c r="M108" i="83"/>
  <c r="E108" i="83"/>
  <c r="C108" i="83"/>
  <c r="D108" i="83"/>
  <c r="B108" i="83"/>
  <c r="P108" i="83"/>
  <c r="R109" i="83"/>
  <c r="AM81" i="6"/>
  <c r="T81" i="6"/>
  <c r="D3" i="5"/>
  <c r="R110" i="83" l="1"/>
  <c r="P109" i="83"/>
  <c r="C109" i="83"/>
  <c r="E109" i="83"/>
  <c r="B109" i="83"/>
  <c r="M109" i="83"/>
  <c r="F109" i="83"/>
  <c r="D109" i="83"/>
  <c r="J108" i="83"/>
  <c r="Q108" i="83"/>
  <c r="K108" i="83" s="1"/>
  <c r="I108" i="83"/>
  <c r="G108" i="83"/>
  <c r="O108" i="83"/>
  <c r="O3" i="5"/>
  <c r="H3" i="5"/>
  <c r="H108" i="83" l="1"/>
  <c r="L108" i="83"/>
  <c r="I109" i="83"/>
  <c r="Q109" i="83"/>
  <c r="K109" i="83" s="1"/>
  <c r="J109" i="83"/>
  <c r="M110" i="83"/>
  <c r="B110" i="83"/>
  <c r="C110" i="83"/>
  <c r="E110" i="83"/>
  <c r="D110" i="83"/>
  <c r="R111" i="83"/>
  <c r="F110" i="83"/>
  <c r="P110" i="83"/>
  <c r="I3" i="5"/>
  <c r="K3" i="5"/>
  <c r="N108" i="83" l="1"/>
  <c r="Q110" i="83"/>
  <c r="K110" i="83" s="1"/>
  <c r="J110" i="83"/>
  <c r="I110" i="83"/>
  <c r="G110" i="83" s="1"/>
  <c r="H110" i="83" s="1"/>
  <c r="F111" i="83"/>
  <c r="B111" i="83"/>
  <c r="M111" i="83"/>
  <c r="R112" i="83"/>
  <c r="P111" i="83"/>
  <c r="C111" i="83"/>
  <c r="D111" i="83"/>
  <c r="E111" i="83"/>
  <c r="O109" i="83"/>
  <c r="G109" i="83"/>
  <c r="H109" i="83" s="1"/>
  <c r="L109" i="83" s="1"/>
  <c r="N109" i="83" s="1"/>
  <c r="D90" i="88"/>
  <c r="N3" i="5"/>
  <c r="O110" i="83" l="1"/>
  <c r="L110" i="83"/>
  <c r="N110" i="83" s="1"/>
  <c r="Q111" i="83"/>
  <c r="K111" i="83" s="1"/>
  <c r="I111" i="83"/>
  <c r="G111" i="83" s="1"/>
  <c r="H111" i="83" s="1"/>
  <c r="J111" i="83"/>
  <c r="C112" i="83"/>
  <c r="R113" i="83"/>
  <c r="M112" i="83"/>
  <c r="B112" i="83"/>
  <c r="E112" i="83"/>
  <c r="F112" i="83"/>
  <c r="D112" i="83"/>
  <c r="P112" i="83"/>
  <c r="C90" i="6"/>
  <c r="O111" i="83" l="1"/>
  <c r="L111" i="83"/>
  <c r="N111" i="83" s="1"/>
  <c r="J112" i="83"/>
  <c r="I112" i="83"/>
  <c r="G112" i="83" s="1"/>
  <c r="H112" i="83" s="1"/>
  <c r="Q112" i="83"/>
  <c r="K112" i="83" s="1"/>
  <c r="B113" i="83"/>
  <c r="E113" i="83"/>
  <c r="R114" i="83"/>
  <c r="C113" i="83"/>
  <c r="D113" i="83"/>
  <c r="F113" i="83"/>
  <c r="M113" i="83"/>
  <c r="P113" i="83"/>
  <c r="D90" i="87"/>
  <c r="O112" i="83" l="1"/>
  <c r="L112" i="83"/>
  <c r="N112" i="83" s="1"/>
  <c r="F114" i="83"/>
  <c r="R115" i="83"/>
  <c r="C114" i="83"/>
  <c r="D114" i="83"/>
  <c r="B114" i="83"/>
  <c r="E114" i="83"/>
  <c r="P114" i="83"/>
  <c r="M114" i="83"/>
  <c r="J113" i="83"/>
  <c r="I113" i="83"/>
  <c r="G113" i="83" s="1"/>
  <c r="H113" i="83" s="1"/>
  <c r="Q113" i="83"/>
  <c r="K113" i="83" s="1"/>
  <c r="O113" i="83" l="1"/>
  <c r="L113" i="83"/>
  <c r="N113" i="83" s="1"/>
  <c r="Q114" i="83"/>
  <c r="K114" i="83" s="1"/>
  <c r="J114" i="83"/>
  <c r="I114" i="83"/>
  <c r="G114" i="83" s="1"/>
  <c r="H114" i="83" s="1"/>
  <c r="P115" i="83"/>
  <c r="B115" i="83"/>
  <c r="C115" i="83"/>
  <c r="M115" i="83"/>
  <c r="E115" i="83"/>
  <c r="D115" i="83"/>
  <c r="R116" i="83"/>
  <c r="F115" i="83"/>
  <c r="L114" i="83" l="1"/>
  <c r="N114" i="83" s="1"/>
  <c r="O114" i="83"/>
  <c r="P116" i="83"/>
  <c r="C116" i="83"/>
  <c r="M116" i="83"/>
  <c r="E116" i="83"/>
  <c r="D116" i="83"/>
  <c r="R117" i="83"/>
  <c r="B116" i="83"/>
  <c r="F116" i="83"/>
  <c r="J115" i="83"/>
  <c r="Q115" i="83"/>
  <c r="K115" i="83" s="1"/>
  <c r="I115" i="83"/>
  <c r="O115" i="83" s="1"/>
  <c r="G115" i="83" l="1"/>
  <c r="H115" i="83" s="1"/>
  <c r="L115" i="83" s="1"/>
  <c r="N115" i="83" s="1"/>
  <c r="E117" i="83"/>
  <c r="R118" i="83"/>
  <c r="C117" i="83"/>
  <c r="F117" i="83"/>
  <c r="B117" i="83"/>
  <c r="P117" i="83"/>
  <c r="M117" i="83"/>
  <c r="D117" i="83"/>
  <c r="J116" i="83"/>
  <c r="Q116" i="83"/>
  <c r="K116" i="83" s="1"/>
  <c r="I116" i="83"/>
  <c r="O116" i="83" s="1"/>
  <c r="G116" i="83" l="1"/>
  <c r="H116" i="83" s="1"/>
  <c r="L116" i="83" s="1"/>
  <c r="N116" i="83" s="1"/>
  <c r="I117" i="83"/>
  <c r="G117" i="83" s="1"/>
  <c r="H117" i="83" s="1"/>
  <c r="J117" i="83"/>
  <c r="L117" i="83" s="1"/>
  <c r="N117" i="83" s="1"/>
  <c r="Q117" i="83"/>
  <c r="K117" i="83" s="1"/>
  <c r="R119" i="83"/>
  <c r="C118" i="83"/>
  <c r="P118" i="83"/>
  <c r="B118" i="83"/>
  <c r="F118" i="83"/>
  <c r="M118" i="83"/>
  <c r="D118" i="83"/>
  <c r="E118" i="83"/>
  <c r="O117" i="83" l="1"/>
  <c r="I118" i="83"/>
  <c r="O118" i="83" s="1"/>
  <c r="Q118" i="83"/>
  <c r="K118" i="83" s="1"/>
  <c r="J118" i="83"/>
  <c r="B119" i="83"/>
  <c r="P119" i="83"/>
  <c r="D119" i="83"/>
  <c r="C119" i="83"/>
  <c r="R120" i="83"/>
  <c r="F119" i="83"/>
  <c r="E119" i="83"/>
  <c r="M119" i="83"/>
  <c r="G118" i="83" l="1"/>
  <c r="H118" i="83" s="1"/>
  <c r="L118" i="83" s="1"/>
  <c r="N118" i="83" s="1"/>
  <c r="Q119" i="83"/>
  <c r="K119" i="83" s="1"/>
  <c r="J119" i="83"/>
  <c r="I119" i="83"/>
  <c r="O119" i="83" s="1"/>
  <c r="M120" i="83"/>
  <c r="B120" i="83"/>
  <c r="F120" i="83"/>
  <c r="R121" i="83"/>
  <c r="D120" i="83"/>
  <c r="E120" i="83"/>
  <c r="P120" i="83"/>
  <c r="C120" i="83"/>
  <c r="G119" i="83" l="1"/>
  <c r="H119" i="83" s="1"/>
  <c r="L119" i="83" s="1"/>
  <c r="N119" i="83" s="1"/>
  <c r="Q120" i="83"/>
  <c r="K120" i="83" s="1"/>
  <c r="I120" i="83"/>
  <c r="G120" i="83" s="1"/>
  <c r="H120" i="83" s="1"/>
  <c r="J120" i="83"/>
  <c r="O120" i="83"/>
  <c r="D121" i="83"/>
  <c r="B121" i="83"/>
  <c r="F121" i="83"/>
  <c r="E121" i="83"/>
  <c r="M121" i="83"/>
  <c r="R122" i="83"/>
  <c r="C121" i="83"/>
  <c r="P121" i="83"/>
  <c r="L120" i="83" l="1"/>
  <c r="N120" i="83" s="1"/>
  <c r="I121" i="83"/>
  <c r="G121" i="83" s="1"/>
  <c r="H121" i="83" s="1"/>
  <c r="Q121" i="83"/>
  <c r="K121" i="83" s="1"/>
  <c r="J121" i="83"/>
  <c r="M122" i="83"/>
  <c r="R123" i="83"/>
  <c r="D122" i="83"/>
  <c r="C122" i="83"/>
  <c r="E122" i="83"/>
  <c r="P122" i="83"/>
  <c r="F122" i="83"/>
  <c r="B122" i="83"/>
  <c r="O121" i="83" l="1"/>
  <c r="L121" i="83"/>
  <c r="N121" i="83" s="1"/>
  <c r="I122" i="83"/>
  <c r="G122" i="83" s="1"/>
  <c r="H122" i="83" s="1"/>
  <c r="J122" i="83"/>
  <c r="Q122" i="83"/>
  <c r="K122" i="83" s="1"/>
  <c r="M123" i="83"/>
  <c r="R124" i="83"/>
  <c r="B123" i="83"/>
  <c r="P123" i="83"/>
  <c r="D123" i="83"/>
  <c r="C123" i="83"/>
  <c r="F123" i="83"/>
  <c r="E123" i="83"/>
  <c r="O122" i="83" l="1"/>
  <c r="L122" i="83"/>
  <c r="N122" i="83" s="1"/>
  <c r="I123" i="83"/>
  <c r="G123" i="83" s="1"/>
  <c r="H123" i="83" s="1"/>
  <c r="J123" i="83"/>
  <c r="Q123" i="83"/>
  <c r="K123" i="83" s="1"/>
  <c r="O123" i="83"/>
  <c r="C124" i="83"/>
  <c r="E124" i="83"/>
  <c r="M124" i="83"/>
  <c r="F124" i="83"/>
  <c r="B124" i="83"/>
  <c r="D124" i="83"/>
  <c r="P124" i="83"/>
  <c r="R125" i="83"/>
  <c r="L123" i="83" l="1"/>
  <c r="N123" i="83" s="1"/>
  <c r="F125" i="83"/>
  <c r="D125" i="83"/>
  <c r="P125" i="83"/>
  <c r="E125" i="83"/>
  <c r="B125" i="83"/>
  <c r="C125" i="83"/>
  <c r="R126" i="83"/>
  <c r="M125" i="83"/>
  <c r="Q124" i="83"/>
  <c r="K124" i="83" s="1"/>
  <c r="J124" i="83"/>
  <c r="I124" i="83"/>
  <c r="G124" i="83" s="1"/>
  <c r="H124" i="83" s="1"/>
  <c r="O124" i="83" l="1"/>
  <c r="L124" i="83"/>
  <c r="N124" i="83" s="1"/>
  <c r="D126" i="83"/>
  <c r="B126" i="83"/>
  <c r="P126" i="83"/>
  <c r="M126" i="83"/>
  <c r="E126" i="83"/>
  <c r="C126" i="83"/>
  <c r="R127" i="83"/>
  <c r="F126" i="83"/>
  <c r="Q125" i="83"/>
  <c r="K125" i="83" s="1"/>
  <c r="J125" i="83"/>
  <c r="I125" i="83"/>
  <c r="O125" i="83" s="1"/>
  <c r="G125" i="83" l="1"/>
  <c r="H125" i="83" s="1"/>
  <c r="L125" i="83" s="1"/>
  <c r="N125" i="83" s="1"/>
  <c r="D127" i="83"/>
  <c r="M127" i="83"/>
  <c r="C127" i="83"/>
  <c r="F127" i="83"/>
  <c r="B127" i="83"/>
  <c r="P127" i="83"/>
  <c r="R128" i="83"/>
  <c r="E127" i="83"/>
  <c r="Q126" i="83"/>
  <c r="K126" i="83" s="1"/>
  <c r="I126" i="83"/>
  <c r="G126" i="83" s="1"/>
  <c r="H126" i="83" s="1"/>
  <c r="J126" i="83"/>
  <c r="L126" i="83" s="1"/>
  <c r="N126" i="83" s="1"/>
  <c r="O126" i="83" l="1"/>
  <c r="E128" i="83"/>
  <c r="R129" i="83"/>
  <c r="C128" i="83"/>
  <c r="B128" i="83"/>
  <c r="M128" i="83"/>
  <c r="F128" i="83"/>
  <c r="P128" i="83"/>
  <c r="D128" i="83"/>
  <c r="J127" i="83"/>
  <c r="I127" i="83"/>
  <c r="G127" i="83" s="1"/>
  <c r="H127" i="83" s="1"/>
  <c r="Q127" i="83"/>
  <c r="K127" i="83" s="1"/>
  <c r="O127" i="83" l="1"/>
  <c r="L127" i="83"/>
  <c r="N127" i="83" s="1"/>
  <c r="J128" i="83"/>
  <c r="I128" i="83"/>
  <c r="G128" i="83" s="1"/>
  <c r="H128" i="83" s="1"/>
  <c r="Q128" i="83"/>
  <c r="K128" i="83" s="1"/>
  <c r="P129" i="83"/>
  <c r="C129" i="83"/>
  <c r="E129" i="83"/>
  <c r="B129" i="83"/>
  <c r="M129" i="83"/>
  <c r="F129" i="83"/>
  <c r="R130" i="83"/>
  <c r="D129" i="83"/>
  <c r="O128" i="83" l="1"/>
  <c r="L128" i="83"/>
  <c r="N128" i="83" s="1"/>
  <c r="B130" i="83"/>
  <c r="F130" i="83"/>
  <c r="D130" i="83"/>
  <c r="P130" i="83"/>
  <c r="C130" i="83"/>
  <c r="R131" i="83"/>
  <c r="E130" i="83"/>
  <c r="M130" i="83"/>
  <c r="J129" i="83"/>
  <c r="Q129" i="83"/>
  <c r="K129" i="83" s="1"/>
  <c r="I129" i="83"/>
  <c r="G129" i="83" s="1"/>
  <c r="H129" i="83" s="1"/>
  <c r="O129" i="83" l="1"/>
  <c r="L129" i="83"/>
  <c r="N129" i="83" s="1"/>
  <c r="M131" i="83"/>
  <c r="R132" i="83"/>
  <c r="E131" i="83"/>
  <c r="P131" i="83"/>
  <c r="F131" i="83"/>
  <c r="D131" i="83"/>
  <c r="B131" i="83"/>
  <c r="C131" i="83"/>
  <c r="J130" i="83"/>
  <c r="Q130" i="83"/>
  <c r="K130" i="83" s="1"/>
  <c r="I130" i="83"/>
  <c r="G130" i="83" s="1"/>
  <c r="H130" i="83" s="1"/>
  <c r="L130" i="83" l="1"/>
  <c r="N130" i="83" s="1"/>
  <c r="O130" i="83"/>
  <c r="Q131" i="83"/>
  <c r="K131" i="83" s="1"/>
  <c r="I131" i="83"/>
  <c r="G131" i="83" s="1"/>
  <c r="H131" i="83" s="1"/>
  <c r="J131" i="83"/>
  <c r="B132" i="83"/>
  <c r="C132" i="83"/>
  <c r="D132" i="83"/>
  <c r="E132" i="83"/>
  <c r="P132" i="83"/>
  <c r="R133" i="83"/>
  <c r="M132" i="83"/>
  <c r="F132" i="83"/>
  <c r="O131" i="83" l="1"/>
  <c r="L131" i="83"/>
  <c r="N131" i="83" s="1"/>
  <c r="M133" i="83"/>
  <c r="F133" i="83"/>
  <c r="D133" i="83"/>
  <c r="B133" i="83"/>
  <c r="R134" i="83"/>
  <c r="C133" i="83"/>
  <c r="P133" i="83"/>
  <c r="E133" i="83"/>
  <c r="J132" i="83"/>
  <c r="Q132" i="83"/>
  <c r="K132" i="83" s="1"/>
  <c r="I132" i="83"/>
  <c r="G132" i="83" s="1"/>
  <c r="H132" i="83" s="1"/>
  <c r="O132" i="83" l="1"/>
  <c r="L132" i="83"/>
  <c r="N132" i="83" s="1"/>
  <c r="J133" i="83"/>
  <c r="Q133" i="83"/>
  <c r="K133" i="83" s="1"/>
  <c r="I133" i="83"/>
  <c r="O133" i="83" s="1"/>
  <c r="P134" i="83"/>
  <c r="D134" i="83"/>
  <c r="C134" i="83"/>
  <c r="E134" i="83"/>
  <c r="M134" i="83"/>
  <c r="R135" i="83"/>
  <c r="B134" i="83"/>
  <c r="F134" i="83"/>
  <c r="G133" i="83" l="1"/>
  <c r="H133" i="83" s="1"/>
  <c r="L133" i="83" s="1"/>
  <c r="N133" i="83" s="1"/>
  <c r="J134" i="83"/>
  <c r="I134" i="83"/>
  <c r="O134" i="83" s="1"/>
  <c r="Q134" i="83"/>
  <c r="K134" i="83" s="1"/>
  <c r="C135" i="83"/>
  <c r="M135" i="83"/>
  <c r="P135" i="83"/>
  <c r="R136" i="83"/>
  <c r="E135" i="83"/>
  <c r="F135" i="83"/>
  <c r="B135" i="83"/>
  <c r="D135" i="83"/>
  <c r="G134" i="83" l="1"/>
  <c r="H134" i="83" s="1"/>
  <c r="L134" i="83" s="1"/>
  <c r="N134" i="83" s="1"/>
  <c r="C136" i="83"/>
  <c r="E136" i="83"/>
  <c r="B136" i="83"/>
  <c r="F136" i="83"/>
  <c r="M136" i="83"/>
  <c r="D136" i="83"/>
  <c r="R137" i="83"/>
  <c r="P136" i="83"/>
  <c r="J135" i="83"/>
  <c r="I135" i="83"/>
  <c r="G135" i="83" s="1"/>
  <c r="H135" i="83" s="1"/>
  <c r="Q135" i="83"/>
  <c r="K135" i="83" s="1"/>
  <c r="O135" i="83"/>
  <c r="L135" i="83" l="1"/>
  <c r="N135" i="83" s="1"/>
  <c r="E137" i="83"/>
  <c r="M137" i="83"/>
  <c r="B137" i="83"/>
  <c r="R138" i="83"/>
  <c r="C137" i="83"/>
  <c r="P137" i="83"/>
  <c r="D137" i="83"/>
  <c r="F137" i="83"/>
  <c r="J136" i="83"/>
  <c r="I136" i="83"/>
  <c r="G136" i="83" s="1"/>
  <c r="H136" i="83" s="1"/>
  <c r="Q136" i="83"/>
  <c r="K136" i="83" s="1"/>
  <c r="O136" i="83"/>
  <c r="L136" i="83" l="1"/>
  <c r="N136" i="83" s="1"/>
  <c r="R139" i="83"/>
  <c r="D138" i="83"/>
  <c r="B138" i="83"/>
  <c r="F138" i="83"/>
  <c r="C138" i="83"/>
  <c r="E138" i="83"/>
  <c r="M138" i="83"/>
  <c r="P138" i="83"/>
  <c r="I137" i="83"/>
  <c r="O137" i="83" s="1"/>
  <c r="Q137" i="83"/>
  <c r="K137" i="83" s="1"/>
  <c r="J137" i="83"/>
  <c r="G137" i="83"/>
  <c r="H137" i="83" s="1"/>
  <c r="L137" i="83" l="1"/>
  <c r="N137" i="83" s="1"/>
  <c r="I138" i="83"/>
  <c r="O138" i="83" s="1"/>
  <c r="Q138" i="83"/>
  <c r="K138" i="83" s="1"/>
  <c r="J138" i="83"/>
  <c r="D139" i="83"/>
  <c r="F139" i="83"/>
  <c r="C139" i="83"/>
  <c r="M139" i="83"/>
  <c r="B139" i="83"/>
  <c r="E139" i="83"/>
  <c r="P139" i="83"/>
  <c r="R140" i="83"/>
  <c r="G138" i="83" l="1"/>
  <c r="H138" i="83" s="1"/>
  <c r="L138" i="83" s="1"/>
  <c r="N138" i="83" s="1"/>
  <c r="D140" i="83"/>
  <c r="B140" i="83"/>
  <c r="F140" i="83"/>
  <c r="P140" i="83"/>
  <c r="R141" i="83"/>
  <c r="E140" i="83"/>
  <c r="C140" i="83"/>
  <c r="M140" i="83"/>
  <c r="J139" i="83"/>
  <c r="I139" i="83"/>
  <c r="G139" i="83" s="1"/>
  <c r="H139" i="83" s="1"/>
  <c r="Q139" i="83"/>
  <c r="K139" i="83" s="1"/>
  <c r="O139" i="83"/>
  <c r="L139" i="83" l="1"/>
  <c r="N139" i="83" s="1"/>
  <c r="J140" i="83"/>
  <c r="L140" i="83" s="1"/>
  <c r="N140" i="83" s="1"/>
  <c r="I140" i="83"/>
  <c r="G140" i="83" s="1"/>
  <c r="H140" i="83" s="1"/>
  <c r="Q140" i="83"/>
  <c r="K140" i="83" s="1"/>
  <c r="O140" i="83"/>
  <c r="D141" i="83"/>
  <c r="P141" i="83"/>
  <c r="C141" i="83"/>
  <c r="F141" i="83"/>
  <c r="E141" i="83"/>
  <c r="B141" i="83"/>
  <c r="M141" i="83"/>
  <c r="R142" i="83"/>
  <c r="J141" i="83" l="1"/>
  <c r="Q141" i="83"/>
  <c r="K141" i="83" s="1"/>
  <c r="I141" i="83"/>
  <c r="O141" i="83" s="1"/>
  <c r="C142" i="83"/>
  <c r="M142" i="83"/>
  <c r="B142" i="83"/>
  <c r="P142" i="83"/>
  <c r="E142" i="83"/>
  <c r="D142" i="83"/>
  <c r="R143" i="83"/>
  <c r="F142" i="83"/>
  <c r="G141" i="83" l="1"/>
  <c r="H141" i="83" s="1"/>
  <c r="L141" i="83" s="1"/>
  <c r="N141" i="83" s="1"/>
  <c r="P143" i="83"/>
  <c r="E143" i="83"/>
  <c r="D143" i="83"/>
  <c r="R144" i="83"/>
  <c r="C143" i="83"/>
  <c r="F143" i="83"/>
  <c r="B143" i="83"/>
  <c r="M143" i="83"/>
  <c r="Q142" i="83"/>
  <c r="K142" i="83" s="1"/>
  <c r="J142" i="83"/>
  <c r="I142" i="83"/>
  <c r="O142" i="83" s="1"/>
  <c r="G142" i="83"/>
  <c r="H142" i="83" s="1"/>
  <c r="L142" i="83" s="1"/>
  <c r="N142" i="83" s="1"/>
  <c r="P144" i="83" l="1"/>
  <c r="R145" i="83"/>
  <c r="C144" i="83"/>
  <c r="D144" i="83"/>
  <c r="F144" i="83"/>
  <c r="M144" i="83"/>
  <c r="E144" i="83"/>
  <c r="B144" i="83"/>
  <c r="I143" i="83"/>
  <c r="G143" i="83" s="1"/>
  <c r="H143" i="83" s="1"/>
  <c r="J143" i="83"/>
  <c r="Q143" i="83"/>
  <c r="K143" i="83" s="1"/>
  <c r="O143" i="83"/>
  <c r="L143" i="83"/>
  <c r="N143" i="83" s="1"/>
  <c r="Q144" i="83" l="1"/>
  <c r="K144" i="83" s="1"/>
  <c r="I144" i="83"/>
  <c r="G144" i="83" s="1"/>
  <c r="H144" i="83" s="1"/>
  <c r="J144" i="83"/>
  <c r="O144" i="83"/>
  <c r="L144" i="83"/>
  <c r="N144" i="83" s="1"/>
  <c r="R146" i="83"/>
  <c r="P145" i="83"/>
  <c r="M145" i="83"/>
  <c r="D145" i="83"/>
  <c r="E145" i="83"/>
  <c r="F145" i="83"/>
  <c r="C145" i="83"/>
  <c r="B145" i="83"/>
  <c r="I145" i="83" l="1"/>
  <c r="O145" i="83" s="1"/>
  <c r="Q145" i="83"/>
  <c r="K145" i="83" s="1"/>
  <c r="J145" i="83"/>
  <c r="P146" i="83"/>
  <c r="E146" i="83"/>
  <c r="R147" i="83"/>
  <c r="M146" i="83"/>
  <c r="F146" i="83"/>
  <c r="D146" i="83"/>
  <c r="B146" i="83"/>
  <c r="C146" i="83"/>
  <c r="G145" i="83" l="1"/>
  <c r="H145" i="83" s="1"/>
  <c r="L145" i="83" s="1"/>
  <c r="N145" i="83" s="1"/>
  <c r="Q146" i="83"/>
  <c r="K146" i="83" s="1"/>
  <c r="J146" i="83"/>
  <c r="I146" i="83"/>
  <c r="O146" i="83" s="1"/>
  <c r="G146" i="83"/>
  <c r="H146" i="83" s="1"/>
  <c r="L146" i="83" s="1"/>
  <c r="N146" i="83" s="1"/>
  <c r="D147" i="83"/>
  <c r="F147" i="83"/>
  <c r="P147" i="83"/>
  <c r="M147" i="83"/>
  <c r="E147" i="83"/>
  <c r="B147" i="83"/>
  <c r="C147" i="83"/>
  <c r="R148" i="83"/>
  <c r="F148" i="83" l="1"/>
  <c r="R149" i="83"/>
  <c r="D148" i="83"/>
  <c r="C148" i="83"/>
  <c r="M148" i="83"/>
  <c r="P148" i="83"/>
  <c r="B148" i="83"/>
  <c r="E148" i="83"/>
  <c r="I147" i="83"/>
  <c r="G147" i="83" s="1"/>
  <c r="H147" i="83" s="1"/>
  <c r="J147" i="83"/>
  <c r="Q147" i="83"/>
  <c r="K147" i="83" s="1"/>
  <c r="O147" i="83"/>
  <c r="L147" i="83"/>
  <c r="N147" i="83" s="1"/>
  <c r="J148" i="83" l="1"/>
  <c r="I148" i="83"/>
  <c r="G148" i="83" s="1"/>
  <c r="H148" i="83" s="1"/>
  <c r="Q148" i="83"/>
  <c r="K148" i="83" s="1"/>
  <c r="O148" i="83"/>
  <c r="L148" i="83"/>
  <c r="N148" i="83" s="1"/>
  <c r="C149" i="83"/>
  <c r="R150" i="83"/>
  <c r="E149" i="83"/>
  <c r="D149" i="83"/>
  <c r="B149" i="83"/>
  <c r="F149" i="83"/>
  <c r="P149" i="83"/>
  <c r="M149" i="83"/>
  <c r="I149" i="83" l="1"/>
  <c r="G149" i="83" s="1"/>
  <c r="H149" i="83" s="1"/>
  <c r="J149" i="83"/>
  <c r="O149" i="83"/>
  <c r="Q149" i="83"/>
  <c r="K149" i="83" s="1"/>
  <c r="L149" i="83"/>
  <c r="N149" i="83" s="1"/>
  <c r="D150" i="83"/>
  <c r="P150" i="83"/>
  <c r="F150" i="83"/>
  <c r="C150" i="83"/>
  <c r="R151" i="83"/>
  <c r="E150" i="83"/>
  <c r="M150" i="83"/>
  <c r="B150" i="83"/>
  <c r="N150" i="83" l="1"/>
  <c r="O150" i="83"/>
  <c r="Q150" i="83"/>
  <c r="K150" i="83" s="1"/>
  <c r="J150" i="83"/>
  <c r="I150" i="83"/>
  <c r="G150" i="83"/>
  <c r="H150" i="83" s="1"/>
  <c r="L150" i="83"/>
  <c r="R152" i="83"/>
  <c r="D151" i="83"/>
  <c r="P151" i="83"/>
  <c r="F151" i="83"/>
  <c r="M151" i="83"/>
  <c r="C151" i="83"/>
  <c r="E151" i="83"/>
  <c r="B151" i="83"/>
  <c r="D152" i="83" l="1"/>
  <c r="B152" i="83"/>
  <c r="F152" i="83"/>
  <c r="R153" i="83"/>
  <c r="P152" i="83"/>
  <c r="C152" i="83"/>
  <c r="M152" i="83"/>
  <c r="E152" i="83"/>
  <c r="Q151" i="83"/>
  <c r="K151" i="83" s="1"/>
  <c r="I151" i="83"/>
  <c r="G151" i="83" s="1"/>
  <c r="H151" i="83" s="1"/>
  <c r="J151" i="83"/>
  <c r="N151" i="83"/>
  <c r="O151" i="83"/>
  <c r="L151" i="83"/>
  <c r="M153" i="83" l="1"/>
  <c r="D153" i="83"/>
  <c r="B153" i="83"/>
  <c r="F153" i="83"/>
  <c r="C153" i="83"/>
  <c r="R154" i="83"/>
  <c r="P153" i="83"/>
  <c r="E153" i="83"/>
  <c r="N152" i="83"/>
  <c r="J152" i="83"/>
  <c r="I152" i="83"/>
  <c r="G152" i="83" s="1"/>
  <c r="H152" i="83" s="1"/>
  <c r="Q152" i="83"/>
  <c r="K152" i="83" s="1"/>
  <c r="O152" i="83"/>
  <c r="L152" i="83"/>
  <c r="B154" i="83" l="1"/>
  <c r="D154" i="83"/>
  <c r="C154" i="83"/>
  <c r="E154" i="83"/>
  <c r="F154" i="83"/>
  <c r="P154" i="83"/>
  <c r="M154" i="83"/>
  <c r="R155" i="83"/>
  <c r="J153" i="83"/>
  <c r="Q153" i="83"/>
  <c r="K153" i="83" s="1"/>
  <c r="I153" i="83"/>
  <c r="G153" i="83" s="1"/>
  <c r="H153" i="83" s="1"/>
  <c r="L153" i="83" s="1"/>
  <c r="N153" i="83"/>
  <c r="O153" i="83"/>
  <c r="F155" i="83" l="1"/>
  <c r="M155" i="83"/>
  <c r="P155" i="83"/>
  <c r="C155" i="83"/>
  <c r="R156" i="83"/>
  <c r="B155" i="83"/>
  <c r="E155" i="83"/>
  <c r="D155" i="83"/>
  <c r="J154" i="83"/>
  <c r="I154" i="83"/>
  <c r="G154" i="83" s="1"/>
  <c r="H154" i="83" s="1"/>
  <c r="N154" i="83"/>
  <c r="O154" i="83"/>
  <c r="Q154" i="83"/>
  <c r="K154" i="83" s="1"/>
  <c r="L154" i="83"/>
  <c r="J155" i="83" l="1"/>
  <c r="Q155" i="83"/>
  <c r="K155" i="83" s="1"/>
  <c r="I155" i="83"/>
  <c r="O155" i="83" s="1"/>
  <c r="N155" i="83"/>
  <c r="G155" i="83"/>
  <c r="H155" i="83" s="1"/>
  <c r="L155" i="83" s="1"/>
  <c r="E156" i="83"/>
  <c r="D156" i="83"/>
  <c r="F156" i="83"/>
  <c r="P156" i="83"/>
  <c r="M156" i="83"/>
  <c r="R157" i="83"/>
  <c r="C156" i="83"/>
  <c r="B156" i="83"/>
  <c r="O156" i="83" l="1"/>
  <c r="I156" i="83"/>
  <c r="G156" i="83" s="1"/>
  <c r="H156" i="83" s="1"/>
  <c r="N156" i="83"/>
  <c r="Q156" i="83"/>
  <c r="K156" i="83" s="1"/>
  <c r="L156" i="83"/>
  <c r="J156" i="83"/>
  <c r="D157" i="83"/>
  <c r="F157" i="83"/>
  <c r="M157" i="83"/>
  <c r="P157" i="83"/>
  <c r="E157" i="83"/>
  <c r="B157" i="83"/>
  <c r="R158" i="83"/>
  <c r="C157" i="83"/>
  <c r="N157" i="83" l="1"/>
  <c r="J157" i="83"/>
  <c r="O157" i="83"/>
  <c r="L157" i="83"/>
  <c r="I157" i="83"/>
  <c r="G157" i="83" s="1"/>
  <c r="H157" i="83" s="1"/>
  <c r="Q157" i="83"/>
  <c r="K157" i="83" s="1"/>
  <c r="P158" i="83"/>
  <c r="R159" i="83"/>
  <c r="C158" i="83"/>
  <c r="M158" i="83"/>
  <c r="F158" i="83"/>
  <c r="B158" i="83"/>
  <c r="E158" i="83"/>
  <c r="D158" i="83"/>
  <c r="M159" i="83" l="1"/>
  <c r="C159" i="83"/>
  <c r="R160" i="83"/>
  <c r="E159" i="83"/>
  <c r="P159" i="83"/>
  <c r="F159" i="83"/>
  <c r="B159" i="83"/>
  <c r="D159" i="83"/>
  <c r="N158" i="83"/>
  <c r="Q158" i="83"/>
  <c r="K158" i="83" s="1"/>
  <c r="O158" i="83"/>
  <c r="J158" i="83"/>
  <c r="L158" i="83"/>
  <c r="I158" i="83"/>
  <c r="G158" i="83" s="1"/>
  <c r="H158" i="83" s="1"/>
  <c r="R161" i="83" l="1"/>
  <c r="C160" i="83"/>
  <c r="D160" i="83"/>
  <c r="F160" i="83"/>
  <c r="B160" i="83"/>
  <c r="M160" i="83"/>
  <c r="P160" i="83"/>
  <c r="E160" i="83"/>
  <c r="O159" i="83"/>
  <c r="N159" i="83"/>
  <c r="Q159" i="83"/>
  <c r="K159" i="83" s="1"/>
  <c r="I159" i="83"/>
  <c r="G159" i="83" s="1"/>
  <c r="H159" i="83" s="1"/>
  <c r="J159" i="83"/>
  <c r="L159" i="83"/>
  <c r="L160" i="83" l="1"/>
  <c r="N160" i="83"/>
  <c r="Q160" i="83"/>
  <c r="K160" i="83" s="1"/>
  <c r="O160" i="83"/>
  <c r="J160" i="83"/>
  <c r="I160" i="83"/>
  <c r="G160" i="83" s="1"/>
  <c r="H160" i="83" s="1"/>
  <c r="M161" i="83"/>
  <c r="P161" i="83"/>
  <c r="F161" i="83"/>
  <c r="C161" i="83"/>
  <c r="E161" i="83"/>
  <c r="B161" i="83"/>
  <c r="R162" i="83"/>
  <c r="D161" i="83"/>
  <c r="I161" i="83" l="1"/>
  <c r="G161" i="83" s="1"/>
  <c r="H161" i="83" s="1"/>
  <c r="O161" i="83"/>
  <c r="L161" i="83"/>
  <c r="Q161" i="83"/>
  <c r="K161" i="83" s="1"/>
  <c r="J161" i="83"/>
  <c r="N161" i="83"/>
  <c r="F162" i="83"/>
  <c r="D162" i="83"/>
  <c r="E162" i="83"/>
  <c r="B162" i="83"/>
  <c r="M162" i="83"/>
  <c r="C162" i="83"/>
  <c r="P162" i="83"/>
  <c r="R163" i="83"/>
  <c r="L162" i="83" l="1"/>
  <c r="Q162" i="83"/>
  <c r="K162" i="83" s="1"/>
  <c r="N162" i="83"/>
  <c r="J162" i="83"/>
  <c r="I162" i="83"/>
  <c r="G162" i="83" s="1"/>
  <c r="H162" i="83" s="1"/>
  <c r="O162" i="83"/>
  <c r="C163" i="83"/>
  <c r="F163" i="83"/>
  <c r="D163" i="83"/>
  <c r="B163" i="83"/>
  <c r="M163" i="83"/>
  <c r="R164" i="83"/>
  <c r="P163" i="83"/>
  <c r="E163" i="83"/>
  <c r="E164" i="83" l="1"/>
  <c r="P164" i="83"/>
  <c r="B164" i="83"/>
  <c r="F164" i="83"/>
  <c r="R165" i="83"/>
  <c r="C164" i="83"/>
  <c r="D164" i="83"/>
  <c r="M164" i="83"/>
  <c r="N163" i="83"/>
  <c r="O163" i="83"/>
  <c r="L163" i="83"/>
  <c r="Q163" i="83"/>
  <c r="K163" i="83" s="1"/>
  <c r="J163" i="83"/>
  <c r="I163" i="83"/>
  <c r="G163" i="83" s="1"/>
  <c r="H163" i="83" s="1"/>
  <c r="O164" i="83" l="1"/>
  <c r="N164" i="83"/>
  <c r="J164" i="83"/>
  <c r="Q164" i="83"/>
  <c r="K164" i="83" s="1"/>
  <c r="L164" i="83"/>
  <c r="I164" i="83"/>
  <c r="G164" i="83" s="1"/>
  <c r="H164" i="83" s="1"/>
  <c r="M165" i="83"/>
  <c r="P165" i="83"/>
  <c r="B165" i="83"/>
  <c r="E165" i="83"/>
  <c r="C165" i="83"/>
  <c r="F165" i="83"/>
  <c r="R166" i="83"/>
  <c r="D165" i="83"/>
  <c r="O165" i="83" l="1"/>
  <c r="N165" i="83"/>
  <c r="L165" i="83"/>
  <c r="Q165" i="83"/>
  <c r="K165" i="83" s="1"/>
  <c r="J165" i="83"/>
  <c r="I165" i="83"/>
  <c r="G165" i="83" s="1"/>
  <c r="H165" i="83" s="1"/>
  <c r="B166" i="83"/>
  <c r="P166" i="83"/>
  <c r="M166" i="83"/>
  <c r="F166" i="83"/>
  <c r="C166" i="83"/>
  <c r="D166" i="83"/>
  <c r="R167" i="83"/>
  <c r="E166" i="83"/>
  <c r="O166" i="83" l="1"/>
  <c r="N166" i="83"/>
  <c r="Q166" i="83"/>
  <c r="K166" i="83" s="1"/>
  <c r="I166" i="83"/>
  <c r="G166" i="83" s="1"/>
  <c r="H166" i="83" s="1"/>
  <c r="J166" i="83"/>
  <c r="L166" i="83"/>
  <c r="B167" i="83"/>
  <c r="F167" i="83"/>
  <c r="P167" i="83"/>
  <c r="D167" i="83"/>
  <c r="E167" i="83"/>
  <c r="C167" i="83"/>
  <c r="R168" i="83"/>
  <c r="M167" i="83"/>
  <c r="O167" i="83" l="1"/>
  <c r="N167" i="83"/>
  <c r="Q167" i="83"/>
  <c r="K167" i="83" s="1"/>
  <c r="J167" i="83"/>
  <c r="L167" i="83"/>
  <c r="I167" i="83"/>
  <c r="G167" i="83" s="1"/>
  <c r="H167" i="83" s="1"/>
  <c r="C168" i="83"/>
  <c r="P168" i="83"/>
  <c r="M168" i="83"/>
  <c r="R169" i="83"/>
  <c r="D168" i="83"/>
  <c r="B168" i="83"/>
  <c r="E168" i="83"/>
  <c r="F168" i="83"/>
  <c r="J168" i="83" l="1"/>
  <c r="N168" i="83"/>
  <c r="L168" i="83"/>
  <c r="O168" i="83"/>
  <c r="I168" i="83"/>
  <c r="G168" i="83" s="1"/>
  <c r="H168" i="83" s="1"/>
  <c r="Q168" i="83"/>
  <c r="K168" i="83" s="1"/>
  <c r="F169" i="83"/>
  <c r="C169" i="83"/>
  <c r="R170" i="83"/>
  <c r="P169" i="83"/>
  <c r="M169" i="83"/>
  <c r="D169" i="83"/>
  <c r="E169" i="83"/>
  <c r="B169" i="83"/>
  <c r="M170" i="83" l="1"/>
  <c r="F170" i="83"/>
  <c r="P170" i="83"/>
  <c r="D170" i="83"/>
  <c r="R171" i="83"/>
  <c r="E170" i="83"/>
  <c r="C170" i="83"/>
  <c r="B170" i="83"/>
  <c r="L169" i="83"/>
  <c r="I169" i="83"/>
  <c r="G169" i="83" s="1"/>
  <c r="H169" i="83" s="1"/>
  <c r="Q169" i="83"/>
  <c r="K169" i="83" s="1"/>
  <c r="J169" i="83"/>
  <c r="N169" i="83"/>
  <c r="O169" i="83"/>
  <c r="Q170" i="83" l="1"/>
  <c r="K170" i="83" s="1"/>
  <c r="N170" i="83"/>
  <c r="J170" i="83"/>
  <c r="L170" i="83"/>
  <c r="I170" i="83"/>
  <c r="G170" i="83" s="1"/>
  <c r="H170" i="83" s="1"/>
  <c r="O170" i="83"/>
  <c r="E171" i="83"/>
  <c r="C171" i="83"/>
  <c r="F171" i="83"/>
  <c r="R172" i="83"/>
  <c r="P171" i="83"/>
  <c r="B171" i="83"/>
  <c r="M171" i="83"/>
  <c r="D171" i="83"/>
  <c r="R11" i="88"/>
  <c r="J171" i="83" l="1"/>
  <c r="Q171" i="83"/>
  <c r="K171" i="83" s="1"/>
  <c r="N171" i="83"/>
  <c r="I171" i="83"/>
  <c r="G171" i="83" s="1"/>
  <c r="H171" i="83" s="1"/>
  <c r="L171" i="83"/>
  <c r="O171" i="83"/>
  <c r="R173" i="83"/>
  <c r="M172" i="83"/>
  <c r="B172" i="83"/>
  <c r="E172" i="83"/>
  <c r="C172" i="83"/>
  <c r="D172" i="83"/>
  <c r="P172" i="83"/>
  <c r="F172" i="83"/>
  <c r="B173" i="83" l="1"/>
  <c r="C173" i="83"/>
  <c r="D173" i="83"/>
  <c r="M173" i="83"/>
  <c r="F173" i="83"/>
  <c r="R174" i="83"/>
  <c r="E173" i="83"/>
  <c r="P173" i="83"/>
  <c r="J172" i="83"/>
  <c r="I172" i="83"/>
  <c r="G172" i="83" s="1"/>
  <c r="H172" i="83" s="1"/>
  <c r="N172" i="83"/>
  <c r="O172" i="83"/>
  <c r="Q172" i="83"/>
  <c r="K172" i="83" s="1"/>
  <c r="L172" i="83"/>
  <c r="E174" i="83" l="1"/>
  <c r="R175" i="83"/>
  <c r="B174" i="83"/>
  <c r="M174" i="83"/>
  <c r="M175" i="83" s="1"/>
  <c r="D174" i="83"/>
  <c r="F174" i="83"/>
  <c r="F175" i="83" s="1"/>
  <c r="P174" i="83"/>
  <c r="P175" i="83" s="1"/>
  <c r="C174" i="83"/>
  <c r="O173" i="83"/>
  <c r="N173" i="83"/>
  <c r="J173" i="83"/>
  <c r="L173" i="83"/>
  <c r="I173" i="83"/>
  <c r="G173" i="83" s="1"/>
  <c r="H173" i="83" s="1"/>
  <c r="Q173" i="83"/>
  <c r="K173" i="83" s="1"/>
  <c r="P3" i="83"/>
  <c r="N8" i="83"/>
  <c r="O6" i="83"/>
  <c r="O8" i="83" s="1"/>
  <c r="N9" i="83"/>
  <c r="BH11" i="6"/>
  <c r="BT11" i="6"/>
  <c r="Z11" i="6"/>
  <c r="AS11" i="6"/>
  <c r="A4" i="5" l="1"/>
  <c r="Q174" i="83"/>
  <c r="K174" i="83" s="1"/>
  <c r="K175" i="83" s="1"/>
  <c r="O174" i="83"/>
  <c r="O175" i="83" s="1"/>
  <c r="J174" i="83"/>
  <c r="J175" i="83" s="1"/>
  <c r="N174" i="83"/>
  <c r="N175" i="83" s="1"/>
  <c r="I174" i="83"/>
  <c r="I175" i="83" s="1"/>
  <c r="L174" i="83"/>
  <c r="L175" i="83" s="1"/>
  <c r="N10" i="83"/>
  <c r="BT81" i="6"/>
  <c r="F32" i="84" s="1"/>
  <c r="E32" i="84" s="1"/>
  <c r="E28" i="84" s="1"/>
  <c r="F28" i="84" s="1"/>
  <c r="Z81" i="6"/>
  <c r="AF11" i="6"/>
  <c r="AS81" i="6"/>
  <c r="AY11" i="6"/>
  <c r="O9" i="83"/>
  <c r="AK11" i="6"/>
  <c r="BD11" i="6"/>
  <c r="A5" i="5" l="1"/>
  <c r="R4" i="5"/>
  <c r="S4" i="5" s="1"/>
  <c r="B4" i="5"/>
  <c r="G174" i="83"/>
  <c r="G175" i="83" s="1"/>
  <c r="O10" i="83"/>
  <c r="AK81" i="6"/>
  <c r="BD81" i="6"/>
  <c r="E77" i="84" s="1"/>
  <c r="AY81" i="6"/>
  <c r="L11" i="6"/>
  <c r="L11" i="88" s="1"/>
  <c r="N11" i="88" s="1"/>
  <c r="N81" i="88" s="1"/>
  <c r="N82" i="88" s="1"/>
  <c r="N83" i="88" s="1"/>
  <c r="N87" i="88" s="1"/>
  <c r="N88" i="88" s="1"/>
  <c r="N89" i="88" s="1"/>
  <c r="AF81" i="6"/>
  <c r="D4" i="5"/>
  <c r="H4" i="5"/>
  <c r="L4" i="5"/>
  <c r="I4" i="5"/>
  <c r="E4" i="5"/>
  <c r="K4" i="5"/>
  <c r="C4" i="5"/>
  <c r="G4" i="5"/>
  <c r="M4" i="5"/>
  <c r="O4" i="5"/>
  <c r="J4" i="5"/>
  <c r="N4" i="5"/>
  <c r="P4" i="5" l="1"/>
  <c r="T4" i="5" s="1"/>
  <c r="R5" i="5"/>
  <c r="S5" i="5" s="1"/>
  <c r="A6" i="5"/>
  <c r="B5" i="5"/>
  <c r="H174" i="83"/>
  <c r="H175" i="83" s="1"/>
  <c r="N11" i="6"/>
  <c r="K11" i="87"/>
  <c r="F4" i="5"/>
  <c r="N5" i="5"/>
  <c r="H5" i="5"/>
  <c r="O5" i="5"/>
  <c r="E5" i="5"/>
  <c r="D5" i="5"/>
  <c r="I5" i="5"/>
  <c r="M5" i="5"/>
  <c r="J5" i="5"/>
  <c r="L5" i="5"/>
  <c r="K5" i="5"/>
  <c r="G5" i="5"/>
  <c r="C5" i="5"/>
  <c r="P5" i="5" l="1"/>
  <c r="T5" i="5" s="1"/>
  <c r="R6" i="5"/>
  <c r="S6" i="5" s="1"/>
  <c r="A7" i="5"/>
  <c r="B6" i="5"/>
  <c r="U4" i="5"/>
  <c r="Q4" i="5"/>
  <c r="N81" i="6"/>
  <c r="M11" i="87"/>
  <c r="M81" i="87" s="1"/>
  <c r="M82" i="87" s="1"/>
  <c r="M83" i="87" s="1"/>
  <c r="M87" i="87" s="1"/>
  <c r="M88" i="87" s="1"/>
  <c r="M89" i="87" s="1"/>
  <c r="F5" i="5"/>
  <c r="D6" i="5"/>
  <c r="K6" i="5"/>
  <c r="L6" i="5"/>
  <c r="E6" i="5"/>
  <c r="I6" i="5"/>
  <c r="H6" i="5"/>
  <c r="J6" i="5"/>
  <c r="N6" i="5"/>
  <c r="M6" i="5"/>
  <c r="G6" i="5"/>
  <c r="O6" i="5"/>
  <c r="C6" i="5"/>
  <c r="P6" i="5" l="1"/>
  <c r="T6" i="5" s="1"/>
  <c r="R7" i="5"/>
  <c r="S7" i="5" s="1"/>
  <c r="A8" i="5"/>
  <c r="B7" i="5"/>
  <c r="U5" i="5"/>
  <c r="Q5" i="5"/>
  <c r="BD83" i="6"/>
  <c r="I78" i="84"/>
  <c r="N82" i="6"/>
  <c r="N83" i="6" s="1"/>
  <c r="N87" i="6" s="1"/>
  <c r="AK83" i="6"/>
  <c r="F6" i="5"/>
  <c r="E7" i="5"/>
  <c r="H7" i="5"/>
  <c r="L7" i="5"/>
  <c r="I7" i="5"/>
  <c r="C7" i="5"/>
  <c r="G7" i="5"/>
  <c r="O7" i="5"/>
  <c r="D7" i="5"/>
  <c r="K7" i="5"/>
  <c r="N7" i="5"/>
  <c r="M7" i="5"/>
  <c r="J7" i="5"/>
  <c r="P7" i="5" l="1"/>
  <c r="T7" i="5" s="1"/>
  <c r="R8" i="5"/>
  <c r="S8" i="5" s="1"/>
  <c r="A9" i="5"/>
  <c r="B8" i="5"/>
  <c r="U6" i="5"/>
  <c r="Q6" i="5"/>
  <c r="E78" i="84"/>
  <c r="F78" i="84"/>
  <c r="F79" i="84"/>
  <c r="F80" i="84" s="1"/>
  <c r="F81" i="84" s="1"/>
  <c r="E79" i="84"/>
  <c r="E80" i="84" s="1"/>
  <c r="E81" i="84" s="1"/>
  <c r="N88" i="6"/>
  <c r="N89" i="6" s="1"/>
  <c r="F7" i="5"/>
  <c r="H8" i="5"/>
  <c r="L8" i="5"/>
  <c r="N8" i="5"/>
  <c r="J8" i="5"/>
  <c r="E8" i="5"/>
  <c r="M8" i="5"/>
  <c r="I8" i="5"/>
  <c r="K8" i="5"/>
  <c r="G8" i="5"/>
  <c r="O8" i="5"/>
  <c r="C8" i="5"/>
  <c r="D8" i="5"/>
  <c r="P8" i="5" l="1"/>
  <c r="T8" i="5" s="1"/>
  <c r="R9" i="5"/>
  <c r="S9" i="5" s="1"/>
  <c r="B9" i="5"/>
  <c r="A10" i="5"/>
  <c r="U7" i="5"/>
  <c r="Q7" i="5"/>
  <c r="F8" i="5"/>
  <c r="L9" i="5"/>
  <c r="O9" i="5"/>
  <c r="J9" i="5"/>
  <c r="H9" i="5"/>
  <c r="G9" i="5"/>
  <c r="D9" i="5"/>
  <c r="N9" i="5"/>
  <c r="M9" i="5"/>
  <c r="E9" i="5"/>
  <c r="C9" i="5"/>
  <c r="I9" i="5"/>
  <c r="K9" i="5"/>
  <c r="P9" i="5" l="1"/>
  <c r="T9" i="5" s="1"/>
  <c r="R10" i="5"/>
  <c r="S10" i="5" s="1"/>
  <c r="A11" i="5"/>
  <c r="B10" i="5"/>
  <c r="U8" i="5"/>
  <c r="Q8" i="5"/>
  <c r="F9" i="5"/>
  <c r="M10" i="5"/>
  <c r="G10" i="5"/>
  <c r="C10" i="5"/>
  <c r="H10" i="5"/>
  <c r="K10" i="5"/>
  <c r="J10" i="5"/>
  <c r="L10" i="5"/>
  <c r="D10" i="5"/>
  <c r="N10" i="5"/>
  <c r="E10" i="5"/>
  <c r="O10" i="5"/>
  <c r="I10" i="5"/>
  <c r="P10" i="5" l="1"/>
  <c r="T10" i="5" s="1"/>
  <c r="R11" i="5"/>
  <c r="S11" i="5" s="1"/>
  <c r="A12" i="5"/>
  <c r="B11" i="5"/>
  <c r="U9" i="5"/>
  <c r="Q9" i="5"/>
  <c r="F10" i="5"/>
  <c r="D11" i="5"/>
  <c r="O11" i="5"/>
  <c r="I11" i="5"/>
  <c r="M11" i="5"/>
  <c r="G11" i="5"/>
  <c r="C11" i="5"/>
  <c r="E11" i="5"/>
  <c r="H11" i="5"/>
  <c r="N11" i="5"/>
  <c r="K11" i="5"/>
  <c r="L11" i="5"/>
  <c r="J11" i="5"/>
  <c r="P11" i="5" l="1"/>
  <c r="T11" i="5" s="1"/>
  <c r="B12" i="5"/>
  <c r="R12" i="5"/>
  <c r="S12" i="5" s="1"/>
  <c r="A13" i="5"/>
  <c r="U10" i="5"/>
  <c r="Q10" i="5"/>
  <c r="F11" i="5"/>
  <c r="C12" i="5"/>
  <c r="G12" i="5"/>
  <c r="J12" i="5"/>
  <c r="M12" i="5"/>
  <c r="D12" i="5"/>
  <c r="L12" i="5"/>
  <c r="H12" i="5"/>
  <c r="N12" i="5"/>
  <c r="E12" i="5"/>
  <c r="I12" i="5"/>
  <c r="K12" i="5"/>
  <c r="O12" i="5"/>
  <c r="P12" i="5" l="1"/>
  <c r="T12" i="5" s="1"/>
  <c r="R13" i="5"/>
  <c r="S13" i="5" s="1"/>
  <c r="A14" i="5"/>
  <c r="B13" i="5"/>
  <c r="U11" i="5"/>
  <c r="Q11" i="5"/>
  <c r="Q12" i="5" s="1"/>
  <c r="F12" i="5"/>
  <c r="G13" i="5"/>
  <c r="E13" i="5"/>
  <c r="M13" i="5"/>
  <c r="C13" i="5"/>
  <c r="H13" i="5"/>
  <c r="L13" i="5"/>
  <c r="O13" i="5"/>
  <c r="K13" i="5"/>
  <c r="I13" i="5"/>
  <c r="D13" i="5"/>
  <c r="J13" i="5"/>
  <c r="N13" i="5"/>
  <c r="P13" i="5" l="1"/>
  <c r="T13" i="5" s="1"/>
  <c r="B14" i="5"/>
  <c r="A15" i="5"/>
  <c r="R14" i="5"/>
  <c r="S14" i="5" s="1"/>
  <c r="U12" i="5"/>
  <c r="E14" i="5"/>
  <c r="C14" i="5"/>
  <c r="L14" i="5"/>
  <c r="M14" i="5"/>
  <c r="H14" i="5"/>
  <c r="I14" i="5"/>
  <c r="K14" i="5"/>
  <c r="D14" i="5"/>
  <c r="N14" i="5"/>
  <c r="O14" i="5"/>
  <c r="G14" i="5"/>
  <c r="J14" i="5"/>
  <c r="F13" i="5"/>
  <c r="P14" i="5" l="1"/>
  <c r="T14" i="5" s="1"/>
  <c r="B15" i="5"/>
  <c r="R15" i="5"/>
  <c r="S15" i="5" s="1"/>
  <c r="A16" i="5"/>
  <c r="U13" i="5"/>
  <c r="Q13" i="5"/>
  <c r="F14" i="5"/>
  <c r="M15" i="5"/>
  <c r="D15" i="5"/>
  <c r="C15" i="5"/>
  <c r="I15" i="5"/>
  <c r="O15" i="5"/>
  <c r="J15" i="5"/>
  <c r="H15" i="5"/>
  <c r="G15" i="5"/>
  <c r="N15" i="5"/>
  <c r="L15" i="5"/>
  <c r="K15" i="5"/>
  <c r="E15" i="5"/>
  <c r="P15" i="5" l="1"/>
  <c r="T15" i="5" s="1"/>
  <c r="B16" i="5"/>
  <c r="A17" i="5"/>
  <c r="R16" i="5"/>
  <c r="S16" i="5" s="1"/>
  <c r="U14" i="5"/>
  <c r="Q14" i="5"/>
  <c r="F15" i="5"/>
  <c r="L16" i="5"/>
  <c r="H16" i="5"/>
  <c r="K16" i="5"/>
  <c r="E16" i="5"/>
  <c r="G16" i="5"/>
  <c r="I16" i="5"/>
  <c r="O16" i="5"/>
  <c r="J16" i="5"/>
  <c r="N16" i="5"/>
  <c r="D16" i="5"/>
  <c r="M16" i="5"/>
  <c r="C16" i="5"/>
  <c r="P16" i="5" l="1"/>
  <c r="T16" i="5" s="1"/>
  <c r="A18" i="5"/>
  <c r="B17" i="5"/>
  <c r="R17" i="5"/>
  <c r="S17" i="5" s="1"/>
  <c r="U15" i="5"/>
  <c r="Q15" i="5"/>
  <c r="F16" i="5"/>
  <c r="M17" i="5"/>
  <c r="O17" i="5"/>
  <c r="H17" i="5"/>
  <c r="D17" i="5"/>
  <c r="C17" i="5"/>
  <c r="L17" i="5"/>
  <c r="E17" i="5"/>
  <c r="G17" i="5"/>
  <c r="N17" i="5"/>
  <c r="J17" i="5"/>
  <c r="I17" i="5"/>
  <c r="K17" i="5"/>
  <c r="P17" i="5" l="1"/>
  <c r="T17" i="5" s="1"/>
  <c r="R18" i="5"/>
  <c r="S18" i="5" s="1"/>
  <c r="B18" i="5"/>
  <c r="A19" i="5"/>
  <c r="U16" i="5"/>
  <c r="Q16" i="5"/>
  <c r="F17" i="5"/>
  <c r="I18" i="5"/>
  <c r="C18" i="5"/>
  <c r="H18" i="5"/>
  <c r="J18" i="5"/>
  <c r="K18" i="5"/>
  <c r="N18" i="5"/>
  <c r="G18" i="5"/>
  <c r="D18" i="5"/>
  <c r="E18" i="5"/>
  <c r="M18" i="5"/>
  <c r="O18" i="5"/>
  <c r="L18" i="5"/>
  <c r="P18" i="5" l="1"/>
  <c r="T18" i="5" s="1"/>
  <c r="B19" i="5"/>
  <c r="A20" i="5"/>
  <c r="R19" i="5"/>
  <c r="S19" i="5" s="1"/>
  <c r="U17" i="5"/>
  <c r="Q17" i="5"/>
  <c r="F18" i="5"/>
  <c r="K19" i="5"/>
  <c r="C19" i="5"/>
  <c r="O19" i="5"/>
  <c r="L19" i="5"/>
  <c r="N19" i="5"/>
  <c r="M19" i="5"/>
  <c r="D19" i="5"/>
  <c r="J19" i="5"/>
  <c r="I19" i="5"/>
  <c r="H19" i="5"/>
  <c r="G19" i="5"/>
  <c r="E19" i="5"/>
  <c r="P19" i="5" l="1"/>
  <c r="T19" i="5" s="1"/>
  <c r="R20" i="5"/>
  <c r="S20" i="5" s="1"/>
  <c r="B20" i="5"/>
  <c r="A21" i="5"/>
  <c r="U18" i="5"/>
  <c r="Q18" i="5"/>
  <c r="F19" i="5"/>
  <c r="I20" i="5"/>
  <c r="K20" i="5"/>
  <c r="N20" i="5"/>
  <c r="D20" i="5"/>
  <c r="J20" i="5"/>
  <c r="C20" i="5"/>
  <c r="M20" i="5"/>
  <c r="H20" i="5"/>
  <c r="E20" i="5"/>
  <c r="G20" i="5"/>
  <c r="L20" i="5"/>
  <c r="O20" i="5"/>
  <c r="P20" i="5" l="1"/>
  <c r="T20" i="5" s="1"/>
  <c r="A22" i="5"/>
  <c r="B21" i="5"/>
  <c r="R21" i="5"/>
  <c r="S21" i="5" s="1"/>
  <c r="U19" i="5"/>
  <c r="Q19" i="5"/>
  <c r="G21" i="5"/>
  <c r="K21" i="5"/>
  <c r="O21" i="5"/>
  <c r="E21" i="5"/>
  <c r="D21" i="5"/>
  <c r="C21" i="5"/>
  <c r="M21" i="5"/>
  <c r="J21" i="5"/>
  <c r="N21" i="5"/>
  <c r="H21" i="5"/>
  <c r="I21" i="5"/>
  <c r="L21" i="5"/>
  <c r="F20" i="5"/>
  <c r="P21" i="5" l="1"/>
  <c r="T21" i="5" s="1"/>
  <c r="B22" i="5"/>
  <c r="A23" i="5"/>
  <c r="R22" i="5"/>
  <c r="S22" i="5" s="1"/>
  <c r="U20" i="5"/>
  <c r="Q20" i="5"/>
  <c r="F21" i="5"/>
  <c r="D22" i="5"/>
  <c r="E22" i="5"/>
  <c r="N22" i="5"/>
  <c r="I22" i="5"/>
  <c r="G22" i="5"/>
  <c r="O22" i="5"/>
  <c r="K22" i="5"/>
  <c r="M22" i="5"/>
  <c r="J22" i="5"/>
  <c r="C22" i="5"/>
  <c r="H22" i="5"/>
  <c r="L22" i="5"/>
  <c r="P22" i="5" l="1"/>
  <c r="T22" i="5" s="1"/>
  <c r="B23" i="5"/>
  <c r="R23" i="5"/>
  <c r="S23" i="5" s="1"/>
  <c r="A24" i="5"/>
  <c r="U21" i="5"/>
  <c r="Q21" i="5"/>
  <c r="E23" i="5"/>
  <c r="G23" i="5"/>
  <c r="N23" i="5"/>
  <c r="M23" i="5"/>
  <c r="J23" i="5"/>
  <c r="K23" i="5"/>
  <c r="I23" i="5"/>
  <c r="C23" i="5"/>
  <c r="O23" i="5"/>
  <c r="D23" i="5"/>
  <c r="L23" i="5"/>
  <c r="H23" i="5"/>
  <c r="F22" i="5"/>
  <c r="P23" i="5" l="1"/>
  <c r="T23" i="5" s="1"/>
  <c r="B24" i="5"/>
  <c r="A25" i="5"/>
  <c r="R24" i="5"/>
  <c r="S24" i="5" s="1"/>
  <c r="U22" i="5"/>
  <c r="Q22" i="5"/>
  <c r="F23" i="5"/>
  <c r="J24" i="5"/>
  <c r="H24" i="5"/>
  <c r="G24" i="5"/>
  <c r="I24" i="5"/>
  <c r="O24" i="5"/>
  <c r="K24" i="5"/>
  <c r="L24" i="5"/>
  <c r="N24" i="5"/>
  <c r="E24" i="5"/>
  <c r="C24" i="5"/>
  <c r="D24" i="5"/>
  <c r="M24" i="5"/>
  <c r="P24" i="5" l="1"/>
  <c r="T24" i="5" s="1"/>
  <c r="A26" i="5"/>
  <c r="B25" i="5"/>
  <c r="R25" i="5"/>
  <c r="S25" i="5" s="1"/>
  <c r="U23" i="5"/>
  <c r="Q23" i="5"/>
  <c r="F24" i="5"/>
  <c r="J25" i="5"/>
  <c r="H25" i="5"/>
  <c r="D25" i="5"/>
  <c r="C25" i="5"/>
  <c r="I25" i="5"/>
  <c r="G25" i="5"/>
  <c r="O25" i="5"/>
  <c r="L25" i="5"/>
  <c r="N25" i="5"/>
  <c r="K25" i="5"/>
  <c r="M25" i="5"/>
  <c r="E25" i="5"/>
  <c r="P25" i="5" l="1"/>
  <c r="T25" i="5" s="1"/>
  <c r="A27" i="5"/>
  <c r="B26" i="5"/>
  <c r="R26" i="5"/>
  <c r="S26" i="5" s="1"/>
  <c r="U24" i="5"/>
  <c r="Q24" i="5"/>
  <c r="F25" i="5"/>
  <c r="D26" i="5"/>
  <c r="M26" i="5"/>
  <c r="N26" i="5"/>
  <c r="H26" i="5"/>
  <c r="C26" i="5"/>
  <c r="I26" i="5"/>
  <c r="O26" i="5"/>
  <c r="J26" i="5"/>
  <c r="E26" i="5"/>
  <c r="G26" i="5"/>
  <c r="L26" i="5"/>
  <c r="K26" i="5"/>
  <c r="P26" i="5" l="1"/>
  <c r="T26" i="5" s="1"/>
  <c r="B27" i="5"/>
  <c r="R27" i="5"/>
  <c r="S27" i="5" s="1"/>
  <c r="A28" i="5"/>
  <c r="U25" i="5"/>
  <c r="Q25" i="5"/>
  <c r="F26" i="5"/>
  <c r="E27" i="5"/>
  <c r="G27" i="5"/>
  <c r="I27" i="5"/>
  <c r="N27" i="5"/>
  <c r="K27" i="5"/>
  <c r="J27" i="5"/>
  <c r="O27" i="5"/>
  <c r="C27" i="5"/>
  <c r="M27" i="5"/>
  <c r="D27" i="5"/>
  <c r="H27" i="5"/>
  <c r="L27" i="5"/>
  <c r="P27" i="5" l="1"/>
  <c r="T27" i="5" s="1"/>
  <c r="A29" i="5"/>
  <c r="R28" i="5"/>
  <c r="S28" i="5" s="1"/>
  <c r="B28" i="5"/>
  <c r="U26" i="5"/>
  <c r="Q26" i="5"/>
  <c r="F27" i="5"/>
  <c r="N28" i="5"/>
  <c r="O28" i="5"/>
  <c r="J28" i="5"/>
  <c r="D28" i="5"/>
  <c r="M28" i="5"/>
  <c r="E28" i="5"/>
  <c r="K28" i="5"/>
  <c r="L28" i="5"/>
  <c r="C28" i="5"/>
  <c r="I28" i="5"/>
  <c r="G28" i="5"/>
  <c r="H28" i="5"/>
  <c r="P28" i="5" l="1"/>
  <c r="T28" i="5" s="1"/>
  <c r="A30" i="5"/>
  <c r="R29" i="5"/>
  <c r="S29" i="5" s="1"/>
  <c r="B29" i="5"/>
  <c r="U27" i="5"/>
  <c r="Q27" i="5"/>
  <c r="F28" i="5"/>
  <c r="G29" i="5"/>
  <c r="E29" i="5"/>
  <c r="N29" i="5"/>
  <c r="I29" i="5"/>
  <c r="D29" i="5"/>
  <c r="J29" i="5"/>
  <c r="C29" i="5"/>
  <c r="K29" i="5"/>
  <c r="M29" i="5"/>
  <c r="O29" i="5"/>
  <c r="H29" i="5"/>
  <c r="L29" i="5"/>
  <c r="P29" i="5" l="1"/>
  <c r="T29" i="5" s="1"/>
  <c r="A31" i="5"/>
  <c r="B30" i="5"/>
  <c r="R30" i="5"/>
  <c r="S30" i="5" s="1"/>
  <c r="U28" i="5"/>
  <c r="Q28" i="5"/>
  <c r="F29" i="5"/>
  <c r="G30" i="5"/>
  <c r="I30" i="5"/>
  <c r="N30" i="5"/>
  <c r="L30" i="5"/>
  <c r="D30" i="5"/>
  <c r="E30" i="5"/>
  <c r="J30" i="5"/>
  <c r="M30" i="5"/>
  <c r="H30" i="5"/>
  <c r="C30" i="5"/>
  <c r="K30" i="5"/>
  <c r="O30" i="5"/>
  <c r="P30" i="5" l="1"/>
  <c r="T30" i="5" s="1"/>
  <c r="B31" i="5"/>
  <c r="A32" i="5"/>
  <c r="R31" i="5"/>
  <c r="S31" i="5" s="1"/>
  <c r="U29" i="5"/>
  <c r="Q29" i="5"/>
  <c r="J31" i="5"/>
  <c r="O31" i="5"/>
  <c r="D31" i="5"/>
  <c r="E31" i="5"/>
  <c r="K31" i="5"/>
  <c r="M31" i="5"/>
  <c r="C31" i="5"/>
  <c r="G31" i="5"/>
  <c r="I31" i="5"/>
  <c r="N31" i="5"/>
  <c r="L31" i="5"/>
  <c r="H31" i="5"/>
  <c r="F30" i="5"/>
  <c r="P31" i="5" l="1"/>
  <c r="T31" i="5" s="1"/>
  <c r="B32" i="5"/>
  <c r="R32" i="5"/>
  <c r="S32" i="5" s="1"/>
  <c r="A33" i="5"/>
  <c r="U30" i="5"/>
  <c r="Q30" i="5"/>
  <c r="F31" i="5"/>
  <c r="O32" i="5"/>
  <c r="H32" i="5"/>
  <c r="L32" i="5"/>
  <c r="I32" i="5"/>
  <c r="C32" i="5"/>
  <c r="D32" i="5"/>
  <c r="K32" i="5"/>
  <c r="G32" i="5"/>
  <c r="J32" i="5"/>
  <c r="N32" i="5"/>
  <c r="M32" i="5"/>
  <c r="E32" i="5"/>
  <c r="P32" i="5" l="1"/>
  <c r="T32" i="5" s="1"/>
  <c r="B33" i="5"/>
  <c r="R33" i="5"/>
  <c r="S33" i="5" s="1"/>
  <c r="A34" i="5"/>
  <c r="U31" i="5"/>
  <c r="Q31" i="5"/>
  <c r="F32" i="5"/>
  <c r="D33" i="5"/>
  <c r="C33" i="5"/>
  <c r="N33" i="5"/>
  <c r="K33" i="5"/>
  <c r="M33" i="5"/>
  <c r="O33" i="5"/>
  <c r="I33" i="5"/>
  <c r="E33" i="5"/>
  <c r="L33" i="5"/>
  <c r="G33" i="5"/>
  <c r="J33" i="5"/>
  <c r="H33" i="5"/>
  <c r="P33" i="5" l="1"/>
  <c r="T33" i="5" s="1"/>
  <c r="A35" i="5"/>
  <c r="R34" i="5"/>
  <c r="S34" i="5" s="1"/>
  <c r="B34" i="5"/>
  <c r="U32" i="5"/>
  <c r="Q32" i="5"/>
  <c r="F33" i="5"/>
  <c r="I34" i="5"/>
  <c r="O34" i="5"/>
  <c r="H34" i="5"/>
  <c r="C34" i="5"/>
  <c r="J34" i="5"/>
  <c r="N34" i="5"/>
  <c r="E34" i="5"/>
  <c r="K34" i="5"/>
  <c r="L34" i="5"/>
  <c r="M34" i="5"/>
  <c r="D34" i="5"/>
  <c r="G34" i="5"/>
  <c r="P34" i="5" l="1"/>
  <c r="T34" i="5" s="1"/>
  <c r="R35" i="5"/>
  <c r="S35" i="5" s="1"/>
  <c r="B35" i="5"/>
  <c r="A36" i="5"/>
  <c r="U33" i="5"/>
  <c r="Q33" i="5"/>
  <c r="F34" i="5"/>
  <c r="E35" i="5"/>
  <c r="K35" i="5"/>
  <c r="L35" i="5"/>
  <c r="N35" i="5"/>
  <c r="D35" i="5"/>
  <c r="J35" i="5"/>
  <c r="I35" i="5"/>
  <c r="M35" i="5"/>
  <c r="H35" i="5"/>
  <c r="C35" i="5"/>
  <c r="O35" i="5"/>
  <c r="G35" i="5"/>
  <c r="P35" i="5" l="1"/>
  <c r="T35" i="5" s="1"/>
  <c r="B36" i="5"/>
  <c r="A37" i="5"/>
  <c r="R36" i="5"/>
  <c r="S36" i="5" s="1"/>
  <c r="U34" i="5"/>
  <c r="Q34" i="5"/>
  <c r="Q36" i="5"/>
  <c r="F35" i="5"/>
  <c r="D36" i="5"/>
  <c r="L36" i="5"/>
  <c r="M36" i="5"/>
  <c r="G36" i="5"/>
  <c r="N36" i="5"/>
  <c r="C36" i="5"/>
  <c r="O36" i="5"/>
  <c r="J36" i="5"/>
  <c r="I36" i="5"/>
  <c r="H36" i="5"/>
  <c r="E36" i="5"/>
  <c r="K36" i="5"/>
  <c r="P36" i="5" l="1"/>
  <c r="T36" i="5"/>
  <c r="A38" i="5"/>
  <c r="B37" i="5"/>
  <c r="R37" i="5"/>
  <c r="S37" i="5" s="1"/>
  <c r="U35" i="5"/>
  <c r="Q35" i="5"/>
  <c r="Q37" i="5"/>
  <c r="F36" i="5"/>
  <c r="I37" i="5"/>
  <c r="G37" i="5"/>
  <c r="H37" i="5"/>
  <c r="K37" i="5"/>
  <c r="C37" i="5"/>
  <c r="O37" i="5"/>
  <c r="E37" i="5"/>
  <c r="J37" i="5"/>
  <c r="M37" i="5"/>
  <c r="L37" i="5"/>
  <c r="D37" i="5"/>
  <c r="N37" i="5"/>
  <c r="P37" i="5" l="1"/>
  <c r="U37" i="5" s="1"/>
  <c r="T37" i="5"/>
  <c r="A39" i="5"/>
  <c r="R38" i="5"/>
  <c r="S38" i="5" s="1"/>
  <c r="B38" i="5"/>
  <c r="U36" i="5"/>
  <c r="Q38" i="5"/>
  <c r="K38" i="5"/>
  <c r="E38" i="5"/>
  <c r="D38" i="5"/>
  <c r="O38" i="5"/>
  <c r="M38" i="5"/>
  <c r="I38" i="5"/>
  <c r="N38" i="5"/>
  <c r="H38" i="5"/>
  <c r="C38" i="5"/>
  <c r="J38" i="5"/>
  <c r="L38" i="5"/>
  <c r="G38" i="5"/>
  <c r="F37" i="5"/>
  <c r="P38" i="5" l="1"/>
  <c r="T38" i="5"/>
  <c r="A40" i="5"/>
  <c r="R39" i="5"/>
  <c r="S39" i="5" s="1"/>
  <c r="B39" i="5"/>
  <c r="Q39" i="5"/>
  <c r="F38" i="5"/>
  <c r="H39" i="5"/>
  <c r="L39" i="5"/>
  <c r="I39" i="5"/>
  <c r="N39" i="5"/>
  <c r="M39" i="5"/>
  <c r="O39" i="5"/>
  <c r="D39" i="5"/>
  <c r="K39" i="5"/>
  <c r="E39" i="5"/>
  <c r="G39" i="5"/>
  <c r="C39" i="5"/>
  <c r="J39" i="5"/>
  <c r="P39" i="5" l="1"/>
  <c r="T39" i="5"/>
  <c r="A41" i="5"/>
  <c r="R40" i="5"/>
  <c r="S40" i="5" s="1"/>
  <c r="B40" i="5"/>
  <c r="U38" i="5"/>
  <c r="Q40" i="5"/>
  <c r="F39" i="5"/>
  <c r="K40" i="5"/>
  <c r="G40" i="5"/>
  <c r="L40" i="5"/>
  <c r="C40" i="5"/>
  <c r="O40" i="5"/>
  <c r="N40" i="5"/>
  <c r="D40" i="5"/>
  <c r="M40" i="5"/>
  <c r="E40" i="5"/>
  <c r="I40" i="5"/>
  <c r="H40" i="5"/>
  <c r="J40" i="5"/>
  <c r="P40" i="5" l="1"/>
  <c r="T40" i="5"/>
  <c r="R41" i="5"/>
  <c r="S41" i="5" s="1"/>
  <c r="A42" i="5"/>
  <c r="B41" i="5"/>
  <c r="U39" i="5"/>
  <c r="Q41" i="5"/>
  <c r="F40" i="5"/>
  <c r="K41" i="5"/>
  <c r="M41" i="5"/>
  <c r="I41" i="5"/>
  <c r="C41" i="5"/>
  <c r="H41" i="5"/>
  <c r="O41" i="5"/>
  <c r="D41" i="5"/>
  <c r="N41" i="5"/>
  <c r="L41" i="5"/>
  <c r="J41" i="5"/>
  <c r="G41" i="5"/>
  <c r="E41" i="5"/>
  <c r="P41" i="5" l="1"/>
  <c r="T41" i="5"/>
  <c r="B42" i="5"/>
  <c r="R42" i="5"/>
  <c r="S42" i="5" s="1"/>
  <c r="A43" i="5"/>
  <c r="U40" i="5"/>
  <c r="Q42" i="5"/>
  <c r="F41" i="5"/>
  <c r="G42" i="5"/>
  <c r="N42" i="5"/>
  <c r="J42" i="5"/>
  <c r="K42" i="5"/>
  <c r="L42" i="5"/>
  <c r="E42" i="5"/>
  <c r="D42" i="5"/>
  <c r="I42" i="5"/>
  <c r="C42" i="5"/>
  <c r="M42" i="5"/>
  <c r="H42" i="5"/>
  <c r="O42" i="5"/>
  <c r="P42" i="5" l="1"/>
  <c r="T42" i="5"/>
  <c r="A44" i="5"/>
  <c r="R43" i="5"/>
  <c r="S43" i="5" s="1"/>
  <c r="B43" i="5"/>
  <c r="U41" i="5"/>
  <c r="Q43" i="5"/>
  <c r="F42" i="5"/>
  <c r="H43" i="5"/>
  <c r="E43" i="5"/>
  <c r="O43" i="5"/>
  <c r="N43" i="5"/>
  <c r="J43" i="5"/>
  <c r="M43" i="5"/>
  <c r="D43" i="5"/>
  <c r="I43" i="5"/>
  <c r="K43" i="5"/>
  <c r="C43" i="5"/>
  <c r="L43" i="5"/>
  <c r="G43" i="5"/>
  <c r="P43" i="5" l="1"/>
  <c r="T43" i="5"/>
  <c r="A45" i="5"/>
  <c r="B44" i="5"/>
  <c r="R44" i="5"/>
  <c r="S44" i="5" s="1"/>
  <c r="U42" i="5"/>
  <c r="Q44" i="5"/>
  <c r="F43" i="5"/>
  <c r="E44" i="5"/>
  <c r="N44" i="5"/>
  <c r="O44" i="5"/>
  <c r="G44" i="5"/>
  <c r="D44" i="5"/>
  <c r="J44" i="5"/>
  <c r="I44" i="5"/>
  <c r="C44" i="5"/>
  <c r="M44" i="5"/>
  <c r="K44" i="5"/>
  <c r="H44" i="5"/>
  <c r="L44" i="5"/>
  <c r="P44" i="5" l="1"/>
  <c r="T44" i="5"/>
  <c r="A46" i="5"/>
  <c r="B45" i="5"/>
  <c r="R45" i="5"/>
  <c r="S45" i="5" s="1"/>
  <c r="U43" i="5"/>
  <c r="Q45" i="5"/>
  <c r="F44" i="5"/>
  <c r="E45" i="5"/>
  <c r="C45" i="5"/>
  <c r="K45" i="5"/>
  <c r="H45" i="5"/>
  <c r="J45" i="5"/>
  <c r="N45" i="5"/>
  <c r="M45" i="5"/>
  <c r="L45" i="5"/>
  <c r="I45" i="5"/>
  <c r="D45" i="5"/>
  <c r="G45" i="5"/>
  <c r="O45" i="5"/>
  <c r="P45" i="5" l="1"/>
  <c r="U45" i="5" s="1"/>
  <c r="T45" i="5"/>
  <c r="A47" i="5"/>
  <c r="R46" i="5"/>
  <c r="S46" i="5" s="1"/>
  <c r="B46" i="5"/>
  <c r="U44" i="5"/>
  <c r="Q46" i="5"/>
  <c r="G46" i="5"/>
  <c r="D46" i="5"/>
  <c r="I46" i="5"/>
  <c r="H46" i="5"/>
  <c r="N46" i="5"/>
  <c r="C46" i="5"/>
  <c r="O46" i="5"/>
  <c r="M46" i="5"/>
  <c r="E46" i="5"/>
  <c r="J46" i="5"/>
  <c r="K46" i="5"/>
  <c r="L46" i="5"/>
  <c r="F45" i="5"/>
  <c r="P46" i="5" l="1"/>
  <c r="T46" i="5"/>
  <c r="B47" i="5"/>
  <c r="A48" i="5"/>
  <c r="R47" i="5"/>
  <c r="S47" i="5" s="1"/>
  <c r="Q47" i="5"/>
  <c r="F46" i="5"/>
  <c r="H47" i="5"/>
  <c r="C47" i="5"/>
  <c r="N47" i="5"/>
  <c r="E47" i="5"/>
  <c r="I47" i="5"/>
  <c r="D47" i="5"/>
  <c r="O47" i="5"/>
  <c r="M47" i="5"/>
  <c r="K47" i="5"/>
  <c r="J47" i="5"/>
  <c r="G47" i="5"/>
  <c r="L47" i="5"/>
  <c r="P47" i="5" l="1"/>
  <c r="T47" i="5"/>
  <c r="B48" i="5"/>
  <c r="A49" i="5"/>
  <c r="R48" i="5"/>
  <c r="S48" i="5" s="1"/>
  <c r="U46" i="5"/>
  <c r="Q48" i="5"/>
  <c r="F47" i="5"/>
  <c r="I48" i="5"/>
  <c r="H48" i="5"/>
  <c r="L48" i="5"/>
  <c r="O48" i="5"/>
  <c r="N48" i="5"/>
  <c r="K48" i="5"/>
  <c r="E48" i="5"/>
  <c r="D48" i="5"/>
  <c r="M48" i="5"/>
  <c r="C48" i="5"/>
  <c r="J48" i="5"/>
  <c r="G48" i="5"/>
  <c r="P48" i="5" l="1"/>
  <c r="T48" i="5"/>
  <c r="B49" i="5"/>
  <c r="R49" i="5"/>
  <c r="S49" i="5" s="1"/>
  <c r="A50" i="5"/>
  <c r="U47" i="5"/>
  <c r="Q49" i="5"/>
  <c r="F48" i="5"/>
  <c r="K49" i="5"/>
  <c r="C49" i="5"/>
  <c r="I49" i="5"/>
  <c r="L49" i="5"/>
  <c r="G49" i="5"/>
  <c r="D49" i="5"/>
  <c r="E49" i="5"/>
  <c r="O49" i="5"/>
  <c r="H49" i="5"/>
  <c r="N49" i="5"/>
  <c r="M49" i="5"/>
  <c r="J49" i="5"/>
  <c r="P49" i="5" l="1"/>
  <c r="T49" i="5"/>
  <c r="R50" i="5"/>
  <c r="S50" i="5" s="1"/>
  <c r="B50" i="5"/>
  <c r="A51" i="5"/>
  <c r="U48" i="5"/>
  <c r="Q50" i="5"/>
  <c r="F49" i="5"/>
  <c r="E50" i="5"/>
  <c r="K50" i="5"/>
  <c r="D50" i="5"/>
  <c r="J50" i="5"/>
  <c r="N50" i="5"/>
  <c r="C50" i="5"/>
  <c r="O50" i="5"/>
  <c r="M50" i="5"/>
  <c r="H50" i="5"/>
  <c r="G50" i="5"/>
  <c r="I50" i="5"/>
  <c r="L50" i="5"/>
  <c r="P50" i="5" l="1"/>
  <c r="T50" i="5"/>
  <c r="A52" i="5"/>
  <c r="B51" i="5"/>
  <c r="R51" i="5"/>
  <c r="S51" i="5" s="1"/>
  <c r="U49" i="5"/>
  <c r="Q51" i="5"/>
  <c r="F50" i="5"/>
  <c r="D51" i="5"/>
  <c r="C51" i="5"/>
  <c r="J51" i="5"/>
  <c r="O51" i="5"/>
  <c r="G51" i="5"/>
  <c r="N51" i="5"/>
  <c r="E51" i="5"/>
  <c r="M51" i="5"/>
  <c r="H51" i="5"/>
  <c r="L51" i="5"/>
  <c r="I51" i="5"/>
  <c r="K51" i="5"/>
  <c r="P51" i="5" l="1"/>
  <c r="T51" i="5"/>
  <c r="B52" i="5"/>
  <c r="A53" i="5"/>
  <c r="R52" i="5"/>
  <c r="S52" i="5" s="1"/>
  <c r="U50" i="5"/>
  <c r="Q52" i="5"/>
  <c r="F51" i="5"/>
  <c r="J52" i="5"/>
  <c r="N52" i="5"/>
  <c r="O52" i="5"/>
  <c r="H52" i="5"/>
  <c r="E52" i="5"/>
  <c r="G52" i="5"/>
  <c r="M52" i="5"/>
  <c r="I52" i="5"/>
  <c r="L52" i="5"/>
  <c r="D52" i="5"/>
  <c r="C52" i="5"/>
  <c r="K52" i="5"/>
  <c r="P52" i="5" l="1"/>
  <c r="T52" i="5"/>
  <c r="R53" i="5"/>
  <c r="S53" i="5" s="1"/>
  <c r="B53" i="5"/>
  <c r="A54" i="5"/>
  <c r="U51" i="5"/>
  <c r="Q53" i="5"/>
  <c r="F52" i="5"/>
  <c r="I53" i="5"/>
  <c r="N53" i="5"/>
  <c r="E53" i="5"/>
  <c r="C53" i="5"/>
  <c r="G53" i="5"/>
  <c r="O53" i="5"/>
  <c r="J53" i="5"/>
  <c r="D53" i="5"/>
  <c r="H53" i="5"/>
  <c r="L53" i="5"/>
  <c r="M53" i="5"/>
  <c r="K53" i="5"/>
  <c r="P53" i="5" l="1"/>
  <c r="T53" i="5"/>
  <c r="B54" i="5"/>
  <c r="A55" i="5"/>
  <c r="R54" i="5"/>
  <c r="S54" i="5" s="1"/>
  <c r="U52" i="5"/>
  <c r="Q54" i="5"/>
  <c r="F53" i="5"/>
  <c r="H54" i="5"/>
  <c r="G54" i="5"/>
  <c r="O54" i="5"/>
  <c r="M54" i="5"/>
  <c r="L54" i="5"/>
  <c r="E54" i="5"/>
  <c r="K54" i="5"/>
  <c r="D54" i="5"/>
  <c r="C54" i="5"/>
  <c r="J54" i="5"/>
  <c r="N54" i="5"/>
  <c r="I54" i="5"/>
  <c r="P54" i="5" l="1"/>
  <c r="T54" i="5"/>
  <c r="A56" i="5"/>
  <c r="R55" i="5"/>
  <c r="S55" i="5" s="1"/>
  <c r="B55" i="5"/>
  <c r="U53" i="5"/>
  <c r="Q55" i="5"/>
  <c r="F54" i="5"/>
  <c r="I55" i="5"/>
  <c r="C55" i="5"/>
  <c r="M55" i="5"/>
  <c r="L55" i="5"/>
  <c r="E55" i="5"/>
  <c r="O55" i="5"/>
  <c r="K55" i="5"/>
  <c r="J55" i="5"/>
  <c r="H55" i="5"/>
  <c r="N55" i="5"/>
  <c r="G55" i="5"/>
  <c r="D55" i="5"/>
  <c r="P55" i="5" l="1"/>
  <c r="T55" i="5"/>
  <c r="B56" i="5"/>
  <c r="R56" i="5"/>
  <c r="S56" i="5" s="1"/>
  <c r="A57" i="5"/>
  <c r="U54" i="5"/>
  <c r="Q56" i="5"/>
  <c r="F55" i="5"/>
  <c r="I56" i="5"/>
  <c r="N56" i="5"/>
  <c r="H56" i="5"/>
  <c r="E56" i="5"/>
  <c r="D56" i="5"/>
  <c r="J56" i="5"/>
  <c r="O56" i="5"/>
  <c r="C56" i="5"/>
  <c r="L56" i="5"/>
  <c r="M56" i="5"/>
  <c r="K56" i="5"/>
  <c r="G56" i="5"/>
  <c r="P56" i="5" l="1"/>
  <c r="T56" i="5"/>
  <c r="R57" i="5"/>
  <c r="B57" i="5"/>
  <c r="A58" i="5"/>
  <c r="U55" i="5"/>
  <c r="F56" i="5"/>
  <c r="C57" i="5"/>
  <c r="M57" i="5"/>
  <c r="D57" i="5"/>
  <c r="K57" i="5"/>
  <c r="N57" i="5"/>
  <c r="J57" i="5"/>
  <c r="G57" i="5"/>
  <c r="L57" i="5"/>
  <c r="I57" i="5"/>
  <c r="O57" i="5"/>
  <c r="H57" i="5"/>
  <c r="E57" i="5"/>
  <c r="P57" i="5" l="1"/>
  <c r="T57" i="5"/>
  <c r="A59" i="5"/>
  <c r="B58" i="5"/>
  <c r="R58" i="5"/>
  <c r="S58" i="5" s="1"/>
  <c r="S57" i="5"/>
  <c r="Q57" i="5"/>
  <c r="U56" i="5"/>
  <c r="Q58" i="5"/>
  <c r="F57" i="5"/>
  <c r="M58" i="5"/>
  <c r="E58" i="5"/>
  <c r="C58" i="5"/>
  <c r="L58" i="5"/>
  <c r="I58" i="5"/>
  <c r="G58" i="5"/>
  <c r="H58" i="5"/>
  <c r="J58" i="5"/>
  <c r="K58" i="5"/>
  <c r="O58" i="5"/>
  <c r="N58" i="5"/>
  <c r="D58" i="5"/>
  <c r="P58" i="5" l="1"/>
  <c r="T58" i="5"/>
  <c r="B59" i="5"/>
  <c r="A60" i="5"/>
  <c r="R59" i="5"/>
  <c r="S59" i="5" s="1"/>
  <c r="U57" i="5"/>
  <c r="Q59" i="5"/>
  <c r="F58" i="5"/>
  <c r="D59" i="5"/>
  <c r="C59" i="5"/>
  <c r="O59" i="5"/>
  <c r="G59" i="5"/>
  <c r="N59" i="5"/>
  <c r="E59" i="5"/>
  <c r="J59" i="5"/>
  <c r="K59" i="5"/>
  <c r="M59" i="5"/>
  <c r="H59" i="5"/>
  <c r="I59" i="5"/>
  <c r="L59" i="5"/>
  <c r="P59" i="5" l="1"/>
  <c r="T59" i="5"/>
  <c r="R60" i="5"/>
  <c r="S60" i="5" s="1"/>
  <c r="A61" i="5"/>
  <c r="B60" i="5"/>
  <c r="U58" i="5"/>
  <c r="Q60" i="5"/>
  <c r="F59" i="5"/>
  <c r="G60" i="5"/>
  <c r="O60" i="5"/>
  <c r="H60" i="5"/>
  <c r="N60" i="5"/>
  <c r="E60" i="5"/>
  <c r="C60" i="5"/>
  <c r="L60" i="5"/>
  <c r="M60" i="5"/>
  <c r="I60" i="5"/>
  <c r="K60" i="5"/>
  <c r="D60" i="5"/>
  <c r="J60" i="5"/>
  <c r="P60" i="5" l="1"/>
  <c r="T60" i="5"/>
  <c r="B61" i="5"/>
  <c r="R61" i="5"/>
  <c r="S61" i="5" s="1"/>
  <c r="A62" i="5"/>
  <c r="U59" i="5"/>
  <c r="Q61" i="5"/>
  <c r="F60" i="5"/>
  <c r="N61" i="5"/>
  <c r="G61" i="5"/>
  <c r="O61" i="5"/>
  <c r="H61" i="5"/>
  <c r="L61" i="5"/>
  <c r="K61" i="5"/>
  <c r="D61" i="5"/>
  <c r="J61" i="5"/>
  <c r="M61" i="5"/>
  <c r="E61" i="5"/>
  <c r="I61" i="5"/>
  <c r="C61" i="5"/>
  <c r="P61" i="5" l="1"/>
  <c r="T61" i="5"/>
  <c r="R62" i="5"/>
  <c r="S62" i="5" s="1"/>
  <c r="B62" i="5"/>
  <c r="A63" i="5"/>
  <c r="U60" i="5"/>
  <c r="Q62" i="5"/>
  <c r="F61" i="5"/>
  <c r="D62" i="5"/>
  <c r="J62" i="5"/>
  <c r="G62" i="5"/>
  <c r="C62" i="5"/>
  <c r="K62" i="5"/>
  <c r="O62" i="5"/>
  <c r="N62" i="5"/>
  <c r="E62" i="5"/>
  <c r="M62" i="5"/>
  <c r="I62" i="5"/>
  <c r="L62" i="5"/>
  <c r="H62" i="5"/>
  <c r="P62" i="5" l="1"/>
  <c r="T62" i="5"/>
  <c r="B63" i="5"/>
  <c r="R63" i="5"/>
  <c r="S63" i="5" s="1"/>
  <c r="A64" i="5"/>
  <c r="U61" i="5"/>
  <c r="Q63" i="5"/>
  <c r="F62" i="5"/>
  <c r="O63" i="5"/>
  <c r="J63" i="5"/>
  <c r="K63" i="5"/>
  <c r="N63" i="5"/>
  <c r="C63" i="5"/>
  <c r="M63" i="5"/>
  <c r="I63" i="5"/>
  <c r="D63" i="5"/>
  <c r="E63" i="5"/>
  <c r="G63" i="5"/>
  <c r="L63" i="5"/>
  <c r="H63" i="5"/>
  <c r="P63" i="5" l="1"/>
  <c r="T63" i="5"/>
  <c r="A65" i="5"/>
  <c r="R64" i="5"/>
  <c r="S64" i="5" s="1"/>
  <c r="B64" i="5"/>
  <c r="U62" i="5"/>
  <c r="Q64" i="5"/>
  <c r="F63" i="5"/>
  <c r="O64" i="5"/>
  <c r="D64" i="5"/>
  <c r="G64" i="5"/>
  <c r="J64" i="5"/>
  <c r="M64" i="5"/>
  <c r="I64" i="5"/>
  <c r="E64" i="5"/>
  <c r="C64" i="5"/>
  <c r="N64" i="5"/>
  <c r="H64" i="5"/>
  <c r="K64" i="5"/>
  <c r="L64" i="5"/>
  <c r="P64" i="5" l="1"/>
  <c r="T64" i="5"/>
  <c r="A66" i="5"/>
  <c r="R65" i="5"/>
  <c r="S65" i="5" s="1"/>
  <c r="B65" i="5"/>
  <c r="U63" i="5"/>
  <c r="Q65" i="5"/>
  <c r="F64" i="5"/>
  <c r="H65" i="5"/>
  <c r="D65" i="5"/>
  <c r="K65" i="5"/>
  <c r="L65" i="5"/>
  <c r="J65" i="5"/>
  <c r="O65" i="5"/>
  <c r="G65" i="5"/>
  <c r="N65" i="5"/>
  <c r="M65" i="5"/>
  <c r="C65" i="5"/>
  <c r="I65" i="5"/>
  <c r="E65" i="5"/>
  <c r="P65" i="5" l="1"/>
  <c r="T65" i="5"/>
  <c r="B66" i="5"/>
  <c r="R66" i="5"/>
  <c r="S66" i="5" s="1"/>
  <c r="A67" i="5"/>
  <c r="U64" i="5"/>
  <c r="Q66" i="5"/>
  <c r="F65" i="5"/>
  <c r="G66" i="5"/>
  <c r="I66" i="5"/>
  <c r="D66" i="5"/>
  <c r="O66" i="5"/>
  <c r="H66" i="5"/>
  <c r="M66" i="5"/>
  <c r="L66" i="5"/>
  <c r="K66" i="5"/>
  <c r="E66" i="5"/>
  <c r="C66" i="5"/>
  <c r="J66" i="5"/>
  <c r="N66" i="5"/>
  <c r="P66" i="5" l="1"/>
  <c r="T66" i="5"/>
  <c r="B67" i="5"/>
  <c r="R67" i="5"/>
  <c r="S67" i="5" s="1"/>
  <c r="A68" i="5"/>
  <c r="U65" i="5"/>
  <c r="Q67" i="5"/>
  <c r="F66" i="5"/>
  <c r="L67" i="5"/>
  <c r="E67" i="5"/>
  <c r="O67" i="5"/>
  <c r="J67" i="5"/>
  <c r="N67" i="5"/>
  <c r="I67" i="5"/>
  <c r="C67" i="5"/>
  <c r="M67" i="5"/>
  <c r="G67" i="5"/>
  <c r="H67" i="5"/>
  <c r="D67" i="5"/>
  <c r="K67" i="5"/>
  <c r="P67" i="5" l="1"/>
  <c r="T67" i="5"/>
  <c r="B68" i="5"/>
  <c r="R68" i="5"/>
  <c r="S68" i="5" s="1"/>
  <c r="A69" i="5"/>
  <c r="U66" i="5"/>
  <c r="Q68" i="5"/>
  <c r="F67" i="5"/>
  <c r="K68" i="5"/>
  <c r="G68" i="5"/>
  <c r="M68" i="5"/>
  <c r="E68" i="5"/>
  <c r="O68" i="5"/>
  <c r="C68" i="5"/>
  <c r="N68" i="5"/>
  <c r="I68" i="5"/>
  <c r="L68" i="5"/>
  <c r="D68" i="5"/>
  <c r="J68" i="5"/>
  <c r="H68" i="5"/>
  <c r="P68" i="5" l="1"/>
  <c r="T68" i="5"/>
  <c r="B69" i="5"/>
  <c r="A70" i="5"/>
  <c r="R69" i="5"/>
  <c r="S69" i="5" s="1"/>
  <c r="U67" i="5"/>
  <c r="Q69" i="5"/>
  <c r="F68" i="5"/>
  <c r="O69" i="5"/>
  <c r="K69" i="5"/>
  <c r="M69" i="5"/>
  <c r="J69" i="5"/>
  <c r="E69" i="5"/>
  <c r="C69" i="5"/>
  <c r="D69" i="5"/>
  <c r="I69" i="5"/>
  <c r="N69" i="5"/>
  <c r="H69" i="5"/>
  <c r="L69" i="5"/>
  <c r="G69" i="5"/>
  <c r="P69" i="5" l="1"/>
  <c r="T69" i="5"/>
  <c r="B70" i="5"/>
  <c r="A71" i="5"/>
  <c r="R70" i="5"/>
  <c r="S70" i="5" s="1"/>
  <c r="U68" i="5"/>
  <c r="Q70" i="5"/>
  <c r="F69" i="5"/>
  <c r="J70" i="5"/>
  <c r="E70" i="5"/>
  <c r="D70" i="5"/>
  <c r="I70" i="5"/>
  <c r="C70" i="5"/>
  <c r="M70" i="5"/>
  <c r="N70" i="5"/>
  <c r="H70" i="5"/>
  <c r="G70" i="5"/>
  <c r="O70" i="5"/>
  <c r="L70" i="5"/>
  <c r="K70" i="5"/>
  <c r="P70" i="5" l="1"/>
  <c r="T70" i="5"/>
  <c r="R71" i="5"/>
  <c r="S71" i="5" s="1"/>
  <c r="B71" i="5"/>
  <c r="A72" i="5"/>
  <c r="U69" i="5"/>
  <c r="Q71" i="5"/>
  <c r="F70" i="5"/>
  <c r="D71" i="5"/>
  <c r="E71" i="5"/>
  <c r="K71" i="5"/>
  <c r="L71" i="5"/>
  <c r="C71" i="5"/>
  <c r="M71" i="5"/>
  <c r="H71" i="5"/>
  <c r="G71" i="5"/>
  <c r="N71" i="5"/>
  <c r="O71" i="5"/>
  <c r="I71" i="5"/>
  <c r="J71" i="5"/>
  <c r="P71" i="5" l="1"/>
  <c r="U71" i="5" s="1"/>
  <c r="T71" i="5"/>
  <c r="A73" i="5"/>
  <c r="R72" i="5"/>
  <c r="S72" i="5" s="1"/>
  <c r="B72" i="5"/>
  <c r="U70" i="5"/>
  <c r="Q72" i="5"/>
  <c r="G72" i="5"/>
  <c r="C72" i="5"/>
  <c r="H72" i="5"/>
  <c r="E72" i="5"/>
  <c r="I72" i="5"/>
  <c r="K72" i="5"/>
  <c r="J72" i="5"/>
  <c r="D72" i="5"/>
  <c r="M72" i="5"/>
  <c r="N72" i="5"/>
  <c r="L72" i="5"/>
  <c r="O72" i="5"/>
  <c r="F71" i="5"/>
  <c r="P72" i="5" l="1"/>
  <c r="U72" i="5" s="1"/>
  <c r="T72" i="5"/>
  <c r="R73" i="5"/>
  <c r="S73" i="5" s="1"/>
  <c r="A74" i="5"/>
  <c r="B73" i="5"/>
  <c r="Q73" i="5"/>
  <c r="J73" i="5"/>
  <c r="I73" i="5"/>
  <c r="D73" i="5"/>
  <c r="N73" i="5"/>
  <c r="H73" i="5"/>
  <c r="K73" i="5"/>
  <c r="E73" i="5"/>
  <c r="L73" i="5"/>
  <c r="G73" i="5"/>
  <c r="C73" i="5"/>
  <c r="M73" i="5"/>
  <c r="O73" i="5"/>
  <c r="F72" i="5"/>
  <c r="P73" i="5" l="1"/>
  <c r="U73" i="5" s="1"/>
  <c r="T73" i="5"/>
  <c r="R74" i="5"/>
  <c r="S74" i="5" s="1"/>
  <c r="A75" i="5"/>
  <c r="B74" i="5"/>
  <c r="Q74" i="5"/>
  <c r="O74" i="5"/>
  <c r="G74" i="5"/>
  <c r="K74" i="5"/>
  <c r="C74" i="5"/>
  <c r="N74" i="5"/>
  <c r="E74" i="5"/>
  <c r="H74" i="5"/>
  <c r="M74" i="5"/>
  <c r="L74" i="5"/>
  <c r="J74" i="5"/>
  <c r="D74" i="5"/>
  <c r="I74" i="5"/>
  <c r="F73" i="5"/>
  <c r="P74" i="5" l="1"/>
  <c r="T74" i="5"/>
  <c r="A76" i="5"/>
  <c r="R75" i="5"/>
  <c r="S75" i="5" s="1"/>
  <c r="B75" i="5"/>
  <c r="Q75" i="5"/>
  <c r="F74" i="5"/>
  <c r="I75" i="5"/>
  <c r="G75" i="5"/>
  <c r="O75" i="5"/>
  <c r="N75" i="5"/>
  <c r="M75" i="5"/>
  <c r="L75" i="5"/>
  <c r="J75" i="5"/>
  <c r="D75" i="5"/>
  <c r="K75" i="5"/>
  <c r="C75" i="5"/>
  <c r="E75" i="5"/>
  <c r="H75" i="5"/>
  <c r="P75" i="5" l="1"/>
  <c r="T75" i="5"/>
  <c r="B76" i="5"/>
  <c r="R76" i="5"/>
  <c r="S76" i="5" s="1"/>
  <c r="A77" i="5"/>
  <c r="U74" i="5"/>
  <c r="Q76" i="5"/>
  <c r="F75" i="5"/>
  <c r="H76" i="5"/>
  <c r="L76" i="5"/>
  <c r="O76" i="5"/>
  <c r="N76" i="5"/>
  <c r="K76" i="5"/>
  <c r="D76" i="5"/>
  <c r="G76" i="5"/>
  <c r="M76" i="5"/>
  <c r="I76" i="5"/>
  <c r="J76" i="5"/>
  <c r="C76" i="5"/>
  <c r="E76" i="5"/>
  <c r="P76" i="5" l="1"/>
  <c r="T76" i="5"/>
  <c r="A78" i="5"/>
  <c r="R77" i="5"/>
  <c r="S77" i="5" s="1"/>
  <c r="B77" i="5"/>
  <c r="U75" i="5"/>
  <c r="Q77" i="5"/>
  <c r="F76" i="5"/>
  <c r="H77" i="5"/>
  <c r="K77" i="5"/>
  <c r="I77" i="5"/>
  <c r="D77" i="5"/>
  <c r="L77" i="5"/>
  <c r="J77" i="5"/>
  <c r="G77" i="5"/>
  <c r="M77" i="5"/>
  <c r="N77" i="5"/>
  <c r="C77" i="5"/>
  <c r="E77" i="5"/>
  <c r="O77" i="5"/>
  <c r="P77" i="5" l="1"/>
  <c r="T77" i="5"/>
  <c r="A79" i="5"/>
  <c r="R78" i="5"/>
  <c r="S78" i="5" s="1"/>
  <c r="B78" i="5"/>
  <c r="U76" i="5"/>
  <c r="Q78" i="5"/>
  <c r="F77" i="5"/>
  <c r="J78" i="5"/>
  <c r="K78" i="5"/>
  <c r="O78" i="5"/>
  <c r="G78" i="5"/>
  <c r="C78" i="5"/>
  <c r="M78" i="5"/>
  <c r="L78" i="5"/>
  <c r="D78" i="5"/>
  <c r="N78" i="5"/>
  <c r="I78" i="5"/>
  <c r="E78" i="5"/>
  <c r="H78" i="5"/>
  <c r="P78" i="5" l="1"/>
  <c r="U78" i="5" s="1"/>
  <c r="T78" i="5"/>
  <c r="A80" i="5"/>
  <c r="R79" i="5"/>
  <c r="B79" i="5"/>
  <c r="U77" i="5"/>
  <c r="C79" i="5"/>
  <c r="K79" i="5"/>
  <c r="I79" i="5"/>
  <c r="L79" i="5"/>
  <c r="D79" i="5"/>
  <c r="J79" i="5"/>
  <c r="O79" i="5"/>
  <c r="H79" i="5"/>
  <c r="M79" i="5"/>
  <c r="E79" i="5"/>
  <c r="G79" i="5"/>
  <c r="N79" i="5"/>
  <c r="F78" i="5"/>
  <c r="P79" i="5" l="1"/>
  <c r="T79" i="5"/>
  <c r="A81" i="5"/>
  <c r="R80" i="5"/>
  <c r="S80" i="5" s="1"/>
  <c r="B80" i="5"/>
  <c r="S79" i="5"/>
  <c r="Q79" i="5"/>
  <c r="Q80" i="5"/>
  <c r="F79" i="5"/>
  <c r="K80" i="5"/>
  <c r="D80" i="5"/>
  <c r="L80" i="5"/>
  <c r="O80" i="5"/>
  <c r="E80" i="5"/>
  <c r="M80" i="5"/>
  <c r="C80" i="5"/>
  <c r="I80" i="5"/>
  <c r="J80" i="5"/>
  <c r="H80" i="5"/>
  <c r="G80" i="5"/>
  <c r="N80" i="5"/>
  <c r="P80" i="5" l="1"/>
  <c r="T80" i="5"/>
  <c r="B81" i="5"/>
  <c r="R81" i="5"/>
  <c r="S81" i="5" s="1"/>
  <c r="A82" i="5"/>
  <c r="U79" i="5"/>
  <c r="Q81" i="5"/>
  <c r="F80" i="5"/>
  <c r="D81" i="5"/>
  <c r="C81" i="5"/>
  <c r="N81" i="5"/>
  <c r="H81" i="5"/>
  <c r="J81" i="5"/>
  <c r="M81" i="5"/>
  <c r="O81" i="5"/>
  <c r="E81" i="5"/>
  <c r="L81" i="5"/>
  <c r="K81" i="5"/>
  <c r="I81" i="5"/>
  <c r="G81" i="5"/>
  <c r="P81" i="5" l="1"/>
  <c r="T81" i="5"/>
  <c r="R82" i="5"/>
  <c r="S82" i="5" s="1"/>
  <c r="A83" i="5"/>
  <c r="B82" i="5"/>
  <c r="U80" i="5"/>
  <c r="Q82" i="5"/>
  <c r="F81" i="5"/>
  <c r="G82" i="5"/>
  <c r="H82" i="5"/>
  <c r="K82" i="5"/>
  <c r="D82" i="5"/>
  <c r="M82" i="5"/>
  <c r="L82" i="5"/>
  <c r="E82" i="5"/>
  <c r="J82" i="5"/>
  <c r="N82" i="5"/>
  <c r="C82" i="5"/>
  <c r="I82" i="5"/>
  <c r="O82" i="5"/>
  <c r="P82" i="5" l="1"/>
  <c r="T82" i="5"/>
  <c r="B83" i="5"/>
  <c r="A84" i="5"/>
  <c r="R83" i="5"/>
  <c r="S83" i="5" s="1"/>
  <c r="U81" i="5"/>
  <c r="Q83" i="5"/>
  <c r="F82" i="5"/>
  <c r="I83" i="5"/>
  <c r="D83" i="5"/>
  <c r="M83" i="5"/>
  <c r="N83" i="5"/>
  <c r="C83" i="5"/>
  <c r="E83" i="5"/>
  <c r="L83" i="5"/>
  <c r="K83" i="5"/>
  <c r="J83" i="5"/>
  <c r="O83" i="5"/>
  <c r="G83" i="5"/>
  <c r="H83" i="5"/>
  <c r="P83" i="5" l="1"/>
  <c r="T83" i="5"/>
  <c r="A85" i="5"/>
  <c r="R84" i="5"/>
  <c r="S84" i="5" s="1"/>
  <c r="B84" i="5"/>
  <c r="U82" i="5"/>
  <c r="Q84" i="5"/>
  <c r="F83" i="5"/>
  <c r="O84" i="5"/>
  <c r="J84" i="5"/>
  <c r="D84" i="5"/>
  <c r="C84" i="5"/>
  <c r="G84" i="5"/>
  <c r="N84" i="5"/>
  <c r="M84" i="5"/>
  <c r="I84" i="5"/>
  <c r="L84" i="5"/>
  <c r="H84" i="5"/>
  <c r="E84" i="5"/>
  <c r="K84" i="5"/>
  <c r="P84" i="5" l="1"/>
  <c r="T84" i="5"/>
  <c r="A86" i="5"/>
  <c r="R85" i="5"/>
  <c r="S85" i="5" s="1"/>
  <c r="B85" i="5"/>
  <c r="U83" i="5"/>
  <c r="Q85" i="5"/>
  <c r="F84" i="5"/>
  <c r="M85" i="5"/>
  <c r="D85" i="5"/>
  <c r="C85" i="5"/>
  <c r="H85" i="5"/>
  <c r="L85" i="5"/>
  <c r="O85" i="5"/>
  <c r="K85" i="5"/>
  <c r="I85" i="5"/>
  <c r="G85" i="5"/>
  <c r="N85" i="5"/>
  <c r="J85" i="5"/>
  <c r="E85" i="5"/>
  <c r="P85" i="5" l="1"/>
  <c r="T85" i="5"/>
  <c r="A87" i="5"/>
  <c r="R86" i="5"/>
  <c r="S86" i="5" s="1"/>
  <c r="B86" i="5"/>
  <c r="U84" i="5"/>
  <c r="Q86" i="5"/>
  <c r="F85" i="5"/>
  <c r="K86" i="5"/>
  <c r="N86" i="5"/>
  <c r="E86" i="5"/>
  <c r="G86" i="5"/>
  <c r="D86" i="5"/>
  <c r="M86" i="5"/>
  <c r="O86" i="5"/>
  <c r="J86" i="5"/>
  <c r="C86" i="5"/>
  <c r="L86" i="5"/>
  <c r="H86" i="5"/>
  <c r="I86" i="5"/>
  <c r="P86" i="5" l="1"/>
  <c r="T86" i="5"/>
  <c r="B87" i="5"/>
  <c r="A88" i="5"/>
  <c r="R87" i="5"/>
  <c r="S87" i="5" s="1"/>
  <c r="U85" i="5"/>
  <c r="Q87" i="5"/>
  <c r="F86" i="5"/>
  <c r="L87" i="5"/>
  <c r="E87" i="5"/>
  <c r="H87" i="5"/>
  <c r="G87" i="5"/>
  <c r="K87" i="5"/>
  <c r="C87" i="5"/>
  <c r="J87" i="5"/>
  <c r="O87" i="5"/>
  <c r="N87" i="5"/>
  <c r="M87" i="5"/>
  <c r="I87" i="5"/>
  <c r="D87" i="5"/>
  <c r="P87" i="5" l="1"/>
  <c r="T87" i="5"/>
  <c r="A89" i="5"/>
  <c r="B88" i="5"/>
  <c r="R88" i="5"/>
  <c r="S88" i="5" s="1"/>
  <c r="U86" i="5"/>
  <c r="Q88" i="5"/>
  <c r="F87" i="5"/>
  <c r="D88" i="5"/>
  <c r="J88" i="5"/>
  <c r="E88" i="5"/>
  <c r="K88" i="5"/>
  <c r="M88" i="5"/>
  <c r="L88" i="5"/>
  <c r="H88" i="5"/>
  <c r="G88" i="5"/>
  <c r="I88" i="5"/>
  <c r="N88" i="5"/>
  <c r="C88" i="5"/>
  <c r="O88" i="5"/>
  <c r="P88" i="5" l="1"/>
  <c r="T88" i="5"/>
  <c r="B89" i="5"/>
  <c r="R89" i="5"/>
  <c r="S89" i="5" s="1"/>
  <c r="A90" i="5"/>
  <c r="U87" i="5"/>
  <c r="Q89" i="5"/>
  <c r="F88" i="5"/>
  <c r="J89" i="5"/>
  <c r="O89" i="5"/>
  <c r="H89" i="5"/>
  <c r="G89" i="5"/>
  <c r="C89" i="5"/>
  <c r="L89" i="5"/>
  <c r="I89" i="5"/>
  <c r="E89" i="5"/>
  <c r="D89" i="5"/>
  <c r="N89" i="5"/>
  <c r="M89" i="5"/>
  <c r="K89" i="5"/>
  <c r="P89" i="5" l="1"/>
  <c r="T89" i="5"/>
  <c r="B90" i="5"/>
  <c r="R90" i="5"/>
  <c r="S90" i="5" s="1"/>
  <c r="A91" i="5"/>
  <c r="U88" i="5"/>
  <c r="Q90" i="5"/>
  <c r="F89" i="5"/>
  <c r="M90" i="5"/>
  <c r="I90" i="5"/>
  <c r="C90" i="5"/>
  <c r="H90" i="5"/>
  <c r="L90" i="5"/>
  <c r="E90" i="5"/>
  <c r="K90" i="5"/>
  <c r="D90" i="5"/>
  <c r="J90" i="5"/>
  <c r="G90" i="5"/>
  <c r="O90" i="5"/>
  <c r="N90" i="5"/>
  <c r="P90" i="5" l="1"/>
  <c r="T90" i="5"/>
  <c r="A92" i="5"/>
  <c r="R91" i="5"/>
  <c r="S91" i="5" s="1"/>
  <c r="B91" i="5"/>
  <c r="U89" i="5"/>
  <c r="Q91" i="5"/>
  <c r="F90" i="5"/>
  <c r="J91" i="5"/>
  <c r="K91" i="5"/>
  <c r="H91" i="5"/>
  <c r="D91" i="5"/>
  <c r="O91" i="5"/>
  <c r="L91" i="5"/>
  <c r="I91" i="5"/>
  <c r="E91" i="5"/>
  <c r="C91" i="5"/>
  <c r="G91" i="5"/>
  <c r="N91" i="5"/>
  <c r="M91" i="5"/>
  <c r="P91" i="5" l="1"/>
  <c r="T91" i="5"/>
  <c r="B92" i="5"/>
  <c r="A93" i="5"/>
  <c r="R92" i="5"/>
  <c r="S92" i="5" s="1"/>
  <c r="U90" i="5"/>
  <c r="Q92" i="5"/>
  <c r="F91" i="5"/>
  <c r="N92" i="5"/>
  <c r="K92" i="5"/>
  <c r="J92" i="5"/>
  <c r="C92" i="5"/>
  <c r="G92" i="5"/>
  <c r="L92" i="5"/>
  <c r="D92" i="5"/>
  <c r="M92" i="5"/>
  <c r="O92" i="5"/>
  <c r="I92" i="5"/>
  <c r="E92" i="5"/>
  <c r="H92" i="5"/>
  <c r="P92" i="5" l="1"/>
  <c r="T92" i="5"/>
  <c r="B93" i="5"/>
  <c r="R93" i="5"/>
  <c r="S93" i="5" s="1"/>
  <c r="A94" i="5"/>
  <c r="U91" i="5"/>
  <c r="Q93" i="5"/>
  <c r="F92" i="5"/>
  <c r="I93" i="5"/>
  <c r="G93" i="5"/>
  <c r="D93" i="5"/>
  <c r="O93" i="5"/>
  <c r="C93" i="5"/>
  <c r="K93" i="5"/>
  <c r="M93" i="5"/>
  <c r="J93" i="5"/>
  <c r="L93" i="5"/>
  <c r="H93" i="5"/>
  <c r="E93" i="5"/>
  <c r="N93" i="5"/>
  <c r="P93" i="5" l="1"/>
  <c r="T93" i="5"/>
  <c r="B94" i="5"/>
  <c r="R94" i="5"/>
  <c r="S94" i="5" s="1"/>
  <c r="A95" i="5"/>
  <c r="U92" i="5"/>
  <c r="Q94" i="5"/>
  <c r="F93" i="5"/>
  <c r="G94" i="5"/>
  <c r="N94" i="5"/>
  <c r="C94" i="5"/>
  <c r="O94" i="5"/>
  <c r="H94" i="5"/>
  <c r="J94" i="5"/>
  <c r="I94" i="5"/>
  <c r="K94" i="5"/>
  <c r="L94" i="5"/>
  <c r="E94" i="5"/>
  <c r="D94" i="5"/>
  <c r="M94" i="5"/>
  <c r="P94" i="5" l="1"/>
  <c r="T94" i="5"/>
  <c r="A96" i="5"/>
  <c r="B95" i="5"/>
  <c r="R95" i="5"/>
  <c r="S95" i="5" s="1"/>
  <c r="U93" i="5"/>
  <c r="Q95" i="5"/>
  <c r="F94" i="5"/>
  <c r="I95" i="5"/>
  <c r="O95" i="5"/>
  <c r="D95" i="5"/>
  <c r="M95" i="5"/>
  <c r="K95" i="5"/>
  <c r="G95" i="5"/>
  <c r="J95" i="5"/>
  <c r="N95" i="5"/>
  <c r="L95" i="5"/>
  <c r="C95" i="5"/>
  <c r="E95" i="5"/>
  <c r="H95" i="5"/>
  <c r="P95" i="5" l="1"/>
  <c r="U95" i="5" s="1"/>
  <c r="T95" i="5"/>
  <c r="R96" i="5"/>
  <c r="S96" i="5" s="1"/>
  <c r="A97" i="5"/>
  <c r="B96" i="5"/>
  <c r="U94" i="5"/>
  <c r="Q96" i="5"/>
  <c r="J96" i="5"/>
  <c r="K96" i="5"/>
  <c r="I96" i="5"/>
  <c r="C96" i="5"/>
  <c r="M96" i="5"/>
  <c r="E96" i="5"/>
  <c r="O96" i="5"/>
  <c r="G96" i="5"/>
  <c r="H96" i="5"/>
  <c r="L96" i="5"/>
  <c r="N96" i="5"/>
  <c r="D96" i="5"/>
  <c r="F95" i="5"/>
  <c r="P96" i="5" l="1"/>
  <c r="T96" i="5"/>
  <c r="B97" i="5"/>
  <c r="A98" i="5"/>
  <c r="R97" i="5"/>
  <c r="S97" i="5" s="1"/>
  <c r="Q97" i="5"/>
  <c r="F96" i="5"/>
  <c r="L97" i="5"/>
  <c r="I97" i="5"/>
  <c r="M97" i="5"/>
  <c r="E97" i="5"/>
  <c r="D97" i="5"/>
  <c r="K97" i="5"/>
  <c r="J97" i="5"/>
  <c r="G97" i="5"/>
  <c r="O97" i="5"/>
  <c r="N97" i="5"/>
  <c r="H97" i="5"/>
  <c r="C97" i="5"/>
  <c r="P97" i="5" l="1"/>
  <c r="T97" i="5"/>
  <c r="B98" i="5"/>
  <c r="R98" i="5"/>
  <c r="S98" i="5" s="1"/>
  <c r="A99" i="5"/>
  <c r="U96" i="5"/>
  <c r="Q98" i="5"/>
  <c r="F97" i="5"/>
  <c r="G98" i="5"/>
  <c r="C98" i="5"/>
  <c r="J98" i="5"/>
  <c r="I98" i="5"/>
  <c r="N98" i="5"/>
  <c r="D98" i="5"/>
  <c r="E98" i="5"/>
  <c r="O98" i="5"/>
  <c r="H98" i="5"/>
  <c r="K98" i="5"/>
  <c r="M98" i="5"/>
  <c r="L98" i="5"/>
  <c r="P98" i="5" l="1"/>
  <c r="T98" i="5"/>
  <c r="A100" i="5"/>
  <c r="R99" i="5"/>
  <c r="S99" i="5" s="1"/>
  <c r="B99" i="5"/>
  <c r="U97" i="5"/>
  <c r="Q99" i="5"/>
  <c r="F98" i="5"/>
  <c r="L99" i="5"/>
  <c r="C99" i="5"/>
  <c r="G99" i="5"/>
  <c r="H99" i="5"/>
  <c r="K99" i="5"/>
  <c r="D99" i="5"/>
  <c r="N99" i="5"/>
  <c r="J99" i="5"/>
  <c r="O99" i="5"/>
  <c r="M99" i="5"/>
  <c r="I99" i="5"/>
  <c r="E99" i="5"/>
  <c r="P99" i="5" l="1"/>
  <c r="T99" i="5"/>
  <c r="A101" i="5"/>
  <c r="R100" i="5"/>
  <c r="S100" i="5" s="1"/>
  <c r="B100" i="5"/>
  <c r="U98" i="5"/>
  <c r="Q100" i="5"/>
  <c r="F99" i="5"/>
  <c r="G100" i="5"/>
  <c r="M100" i="5"/>
  <c r="K100" i="5"/>
  <c r="C100" i="5"/>
  <c r="D100" i="5"/>
  <c r="E100" i="5"/>
  <c r="J100" i="5"/>
  <c r="O100" i="5"/>
  <c r="H100" i="5"/>
  <c r="L100" i="5"/>
  <c r="I100" i="5"/>
  <c r="N100" i="5"/>
  <c r="P100" i="5" l="1"/>
  <c r="T100" i="5"/>
  <c r="A102" i="5"/>
  <c r="B101" i="5"/>
  <c r="R101" i="5"/>
  <c r="S101" i="5" s="1"/>
  <c r="U99" i="5"/>
  <c r="Q101" i="5"/>
  <c r="F100" i="5"/>
  <c r="D101" i="5"/>
  <c r="H101" i="5"/>
  <c r="G101" i="5"/>
  <c r="E101" i="5"/>
  <c r="N101" i="5"/>
  <c r="O101" i="5"/>
  <c r="C101" i="5"/>
  <c r="L101" i="5"/>
  <c r="J101" i="5"/>
  <c r="I101" i="5"/>
  <c r="M101" i="5"/>
  <c r="K101" i="5"/>
  <c r="P101" i="5" l="1"/>
  <c r="T101" i="5"/>
  <c r="B102" i="5"/>
  <c r="A103" i="5"/>
  <c r="R102" i="5"/>
  <c r="U100" i="5"/>
  <c r="F101" i="5"/>
  <c r="I102" i="5"/>
  <c r="H102" i="5"/>
  <c r="D102" i="5"/>
  <c r="C102" i="5"/>
  <c r="M102" i="5"/>
  <c r="L102" i="5"/>
  <c r="K102" i="5"/>
  <c r="O102" i="5"/>
  <c r="J102" i="5"/>
  <c r="E102" i="5"/>
  <c r="N102" i="5"/>
  <c r="G102" i="5"/>
  <c r="T102" i="5" l="1"/>
  <c r="P102" i="5"/>
  <c r="R103" i="5"/>
  <c r="S103" i="5" s="1"/>
  <c r="A104" i="5"/>
  <c r="B103" i="5"/>
  <c r="S102" i="5"/>
  <c r="Q102" i="5"/>
  <c r="U101" i="5"/>
  <c r="Q103" i="5"/>
  <c r="F102" i="5"/>
  <c r="L103" i="5"/>
  <c r="I103" i="5"/>
  <c r="N103" i="5"/>
  <c r="K103" i="5"/>
  <c r="G103" i="5"/>
  <c r="D103" i="5"/>
  <c r="E103" i="5"/>
  <c r="C103" i="5"/>
  <c r="J103" i="5"/>
  <c r="H103" i="5"/>
  <c r="M103" i="5"/>
  <c r="O103" i="5"/>
  <c r="P103" i="5" l="1"/>
  <c r="T103" i="5"/>
  <c r="B104" i="5"/>
  <c r="A105" i="5"/>
  <c r="R104" i="5"/>
  <c r="S104" i="5" s="1"/>
  <c r="U102" i="5"/>
  <c r="Q104" i="5"/>
  <c r="F103" i="5"/>
  <c r="H104" i="5"/>
  <c r="J104" i="5"/>
  <c r="N104" i="5"/>
  <c r="E104" i="5"/>
  <c r="K104" i="5"/>
  <c r="D104" i="5"/>
  <c r="G104" i="5"/>
  <c r="L104" i="5"/>
  <c r="I104" i="5"/>
  <c r="C104" i="5"/>
  <c r="O104" i="5"/>
  <c r="M104" i="5"/>
  <c r="P104" i="5" l="1"/>
  <c r="T104" i="5"/>
  <c r="B105" i="5"/>
  <c r="R105" i="5"/>
  <c r="S105" i="5" s="1"/>
  <c r="A106" i="5"/>
  <c r="U103" i="5"/>
  <c r="Q105" i="5"/>
  <c r="F104" i="5"/>
  <c r="O105" i="5"/>
  <c r="G105" i="5"/>
  <c r="H105" i="5"/>
  <c r="C105" i="5"/>
  <c r="M105" i="5"/>
  <c r="E105" i="5"/>
  <c r="L105" i="5"/>
  <c r="J105" i="5"/>
  <c r="D105" i="5"/>
  <c r="I105" i="5"/>
  <c r="N105" i="5"/>
  <c r="K105" i="5"/>
  <c r="P105" i="5" l="1"/>
  <c r="T105" i="5"/>
  <c r="A107" i="5"/>
  <c r="R106" i="5"/>
  <c r="S106" i="5" s="1"/>
  <c r="B106" i="5"/>
  <c r="U104" i="5"/>
  <c r="Q106" i="5"/>
  <c r="F105" i="5"/>
  <c r="K106" i="5"/>
  <c r="H106" i="5"/>
  <c r="G106" i="5"/>
  <c r="O106" i="5"/>
  <c r="M106" i="5"/>
  <c r="I106" i="5"/>
  <c r="E106" i="5"/>
  <c r="J106" i="5"/>
  <c r="N106" i="5"/>
  <c r="L106" i="5"/>
  <c r="C106" i="5"/>
  <c r="D106" i="5"/>
  <c r="P106" i="5" l="1"/>
  <c r="B107" i="5"/>
  <c r="R107" i="5"/>
  <c r="S107" i="5" s="1"/>
  <c r="A108" i="5"/>
  <c r="U105" i="5"/>
  <c r="Q107" i="5"/>
  <c r="F106" i="5"/>
  <c r="K107" i="5"/>
  <c r="G107" i="5"/>
  <c r="O107" i="5"/>
  <c r="H107" i="5"/>
  <c r="D107" i="5"/>
  <c r="I107" i="5"/>
  <c r="N107" i="5"/>
  <c r="L107" i="5"/>
  <c r="M107" i="5"/>
  <c r="E107" i="5"/>
  <c r="J107" i="5"/>
  <c r="C107" i="5"/>
  <c r="P107" i="5" l="1"/>
  <c r="T107" i="5"/>
  <c r="B108" i="5"/>
  <c r="R108" i="5"/>
  <c r="S108" i="5" s="1"/>
  <c r="A109" i="5"/>
  <c r="T106" i="5"/>
  <c r="U106" i="5"/>
  <c r="Q108" i="5"/>
  <c r="F107" i="5"/>
  <c r="G108" i="5"/>
  <c r="E108" i="5"/>
  <c r="J108" i="5"/>
  <c r="I108" i="5"/>
  <c r="N108" i="5"/>
  <c r="H108" i="5"/>
  <c r="C108" i="5"/>
  <c r="M108" i="5"/>
  <c r="L108" i="5"/>
  <c r="K108" i="5"/>
  <c r="D108" i="5"/>
  <c r="O108" i="5"/>
  <c r="P108" i="5" l="1"/>
  <c r="T108" i="5"/>
  <c r="A110" i="5"/>
  <c r="R109" i="5"/>
  <c r="S109" i="5" s="1"/>
  <c r="B109" i="5"/>
  <c r="U107" i="5"/>
  <c r="Q109" i="5"/>
  <c r="F108" i="5"/>
  <c r="L109" i="5"/>
  <c r="H109" i="5"/>
  <c r="N109" i="5"/>
  <c r="J109" i="5"/>
  <c r="I109" i="5"/>
  <c r="K109" i="5"/>
  <c r="M109" i="5"/>
  <c r="D109" i="5"/>
  <c r="O109" i="5"/>
  <c r="C109" i="5"/>
  <c r="G109" i="5"/>
  <c r="E109" i="5"/>
  <c r="P109" i="5" l="1"/>
  <c r="B110" i="5"/>
  <c r="R110" i="5"/>
  <c r="S110" i="5" s="1"/>
  <c r="A111" i="5"/>
  <c r="U108" i="5"/>
  <c r="Q110" i="5"/>
  <c r="F109" i="5"/>
  <c r="I110" i="5"/>
  <c r="L110" i="5"/>
  <c r="O110" i="5"/>
  <c r="J110" i="5"/>
  <c r="C110" i="5"/>
  <c r="K110" i="5"/>
  <c r="N110" i="5"/>
  <c r="H110" i="5"/>
  <c r="E110" i="5"/>
  <c r="D110" i="5"/>
  <c r="M110" i="5"/>
  <c r="G110" i="5"/>
  <c r="P110" i="5" l="1"/>
  <c r="A112" i="5"/>
  <c r="R111" i="5"/>
  <c r="S111" i="5" s="1"/>
  <c r="B111" i="5"/>
  <c r="T109" i="5"/>
  <c r="U109" i="5"/>
  <c r="Q111" i="5"/>
  <c r="F110" i="5"/>
  <c r="E111" i="5"/>
  <c r="C111" i="5"/>
  <c r="O111" i="5"/>
  <c r="J111" i="5"/>
  <c r="M111" i="5"/>
  <c r="K111" i="5"/>
  <c r="G111" i="5"/>
  <c r="I111" i="5"/>
  <c r="L111" i="5"/>
  <c r="H111" i="5"/>
  <c r="N111" i="5"/>
  <c r="D111" i="5"/>
  <c r="P111" i="5" l="1"/>
  <c r="T111" i="5"/>
  <c r="A113" i="5"/>
  <c r="R112" i="5"/>
  <c r="S112" i="5" s="1"/>
  <c r="B112" i="5"/>
  <c r="T110" i="5"/>
  <c r="U110" i="5"/>
  <c r="Q112" i="5"/>
  <c r="F111" i="5"/>
  <c r="L112" i="5"/>
  <c r="I112" i="5"/>
  <c r="K112" i="5"/>
  <c r="G112" i="5"/>
  <c r="M112" i="5"/>
  <c r="N112" i="5"/>
  <c r="E112" i="5"/>
  <c r="D112" i="5"/>
  <c r="J112" i="5"/>
  <c r="H112" i="5"/>
  <c r="O112" i="5"/>
  <c r="C112" i="5"/>
  <c r="P112" i="5" l="1"/>
  <c r="A114" i="5"/>
  <c r="R113" i="5"/>
  <c r="B113" i="5"/>
  <c r="U111" i="5"/>
  <c r="F112" i="5"/>
  <c r="C113" i="5"/>
  <c r="K113" i="5"/>
  <c r="D113" i="5"/>
  <c r="O113" i="5"/>
  <c r="H113" i="5"/>
  <c r="J113" i="5"/>
  <c r="N113" i="5"/>
  <c r="G113" i="5"/>
  <c r="I113" i="5"/>
  <c r="L113" i="5"/>
  <c r="M113" i="5"/>
  <c r="E113" i="5"/>
  <c r="P113" i="5" l="1"/>
  <c r="T113" i="5"/>
  <c r="S113" i="5"/>
  <c r="Q113" i="5"/>
  <c r="A115" i="5"/>
  <c r="R114" i="5"/>
  <c r="S114" i="5" s="1"/>
  <c r="B114" i="5"/>
  <c r="T112" i="5"/>
  <c r="U112" i="5"/>
  <c r="Q114" i="5"/>
  <c r="F113" i="5"/>
  <c r="D114" i="5"/>
  <c r="J114" i="5"/>
  <c r="L114" i="5"/>
  <c r="G114" i="5"/>
  <c r="K114" i="5"/>
  <c r="N114" i="5"/>
  <c r="O114" i="5"/>
  <c r="I114" i="5"/>
  <c r="M114" i="5"/>
  <c r="H114" i="5"/>
  <c r="C114" i="5"/>
  <c r="E114" i="5"/>
  <c r="P114" i="5" l="1"/>
  <c r="T114" i="5"/>
  <c r="A116" i="5"/>
  <c r="R115" i="5"/>
  <c r="S115" i="5" s="1"/>
  <c r="B115" i="5"/>
  <c r="U113" i="5"/>
  <c r="Q115" i="5"/>
  <c r="F114" i="5"/>
  <c r="D115" i="5"/>
  <c r="M115" i="5"/>
  <c r="N115" i="5"/>
  <c r="L115" i="5"/>
  <c r="C115" i="5"/>
  <c r="E115" i="5"/>
  <c r="O115" i="5"/>
  <c r="K115" i="5"/>
  <c r="G115" i="5"/>
  <c r="H115" i="5"/>
  <c r="I115" i="5"/>
  <c r="J115" i="5"/>
  <c r="P115" i="5" l="1"/>
  <c r="T115" i="5"/>
  <c r="A117" i="5"/>
  <c r="R116" i="5"/>
  <c r="S116" i="5" s="1"/>
  <c r="B116" i="5"/>
  <c r="U114" i="5"/>
  <c r="Q116" i="5"/>
  <c r="F115" i="5"/>
  <c r="I116" i="5"/>
  <c r="L116" i="5"/>
  <c r="J116" i="5"/>
  <c r="M116" i="5"/>
  <c r="G116" i="5"/>
  <c r="N116" i="5"/>
  <c r="D116" i="5"/>
  <c r="O116" i="5"/>
  <c r="K116" i="5"/>
  <c r="H116" i="5"/>
  <c r="E116" i="5"/>
  <c r="C116" i="5"/>
  <c r="P116" i="5" l="1"/>
  <c r="T116" i="5"/>
  <c r="A118" i="5"/>
  <c r="B117" i="5"/>
  <c r="R117" i="5"/>
  <c r="S117" i="5" s="1"/>
  <c r="U115" i="5"/>
  <c r="Q117" i="5"/>
  <c r="F116" i="5"/>
  <c r="L117" i="5"/>
  <c r="O117" i="5"/>
  <c r="E117" i="5"/>
  <c r="J117" i="5"/>
  <c r="K117" i="5"/>
  <c r="I117" i="5"/>
  <c r="M117" i="5"/>
  <c r="D117" i="5"/>
  <c r="N117" i="5"/>
  <c r="H117" i="5"/>
  <c r="G117" i="5"/>
  <c r="C117" i="5"/>
  <c r="P117" i="5" l="1"/>
  <c r="T117" i="5"/>
  <c r="B118" i="5"/>
  <c r="R118" i="5"/>
  <c r="S118" i="5" s="1"/>
  <c r="A119" i="5"/>
  <c r="U116" i="5"/>
  <c r="Q118" i="5"/>
  <c r="F117" i="5"/>
  <c r="G118" i="5"/>
  <c r="K118" i="5"/>
  <c r="M118" i="5"/>
  <c r="I118" i="5"/>
  <c r="D118" i="5"/>
  <c r="N118" i="5"/>
  <c r="O118" i="5"/>
  <c r="C118" i="5"/>
  <c r="E118" i="5"/>
  <c r="J118" i="5"/>
  <c r="L118" i="5"/>
  <c r="H118" i="5"/>
  <c r="P118" i="5" l="1"/>
  <c r="B119" i="5"/>
  <c r="R119" i="5"/>
  <c r="S119" i="5" s="1"/>
  <c r="A120" i="5"/>
  <c r="U117" i="5"/>
  <c r="Q119" i="5"/>
  <c r="F118" i="5"/>
  <c r="O119" i="5"/>
  <c r="D119" i="5"/>
  <c r="N119" i="5"/>
  <c r="C119" i="5"/>
  <c r="E119" i="5"/>
  <c r="K119" i="5"/>
  <c r="I119" i="5"/>
  <c r="M119" i="5"/>
  <c r="G119" i="5"/>
  <c r="J119" i="5"/>
  <c r="H119" i="5"/>
  <c r="L119" i="5"/>
  <c r="P119" i="5" l="1"/>
  <c r="B120" i="5"/>
  <c r="R120" i="5"/>
  <c r="S120" i="5" s="1"/>
  <c r="A121" i="5"/>
  <c r="T118" i="5"/>
  <c r="U118" i="5"/>
  <c r="Q120" i="5"/>
  <c r="F119" i="5"/>
  <c r="M120" i="5"/>
  <c r="E120" i="5"/>
  <c r="H120" i="5"/>
  <c r="G120" i="5"/>
  <c r="J120" i="5"/>
  <c r="O120" i="5"/>
  <c r="I120" i="5"/>
  <c r="N120" i="5"/>
  <c r="K120" i="5"/>
  <c r="L120" i="5"/>
  <c r="C120" i="5"/>
  <c r="D120" i="5"/>
  <c r="P120" i="5" l="1"/>
  <c r="T120" i="5"/>
  <c r="A122" i="5"/>
  <c r="R121" i="5"/>
  <c r="S121" i="5" s="1"/>
  <c r="B121" i="5"/>
  <c r="T119" i="5"/>
  <c r="U119" i="5"/>
  <c r="Q121" i="5"/>
  <c r="F120" i="5"/>
  <c r="N121" i="5"/>
  <c r="M121" i="5"/>
  <c r="H121" i="5"/>
  <c r="I121" i="5"/>
  <c r="L121" i="5"/>
  <c r="E121" i="5"/>
  <c r="G121" i="5"/>
  <c r="C121" i="5"/>
  <c r="J121" i="5"/>
  <c r="O121" i="5"/>
  <c r="K121" i="5"/>
  <c r="D121" i="5"/>
  <c r="P121" i="5" l="1"/>
  <c r="T121" i="5"/>
  <c r="B122" i="5"/>
  <c r="R122" i="5"/>
  <c r="S122" i="5" s="1"/>
  <c r="A123" i="5"/>
  <c r="U120" i="5"/>
  <c r="Q122" i="5"/>
  <c r="F121" i="5"/>
  <c r="M122" i="5"/>
  <c r="L122" i="5"/>
  <c r="D122" i="5"/>
  <c r="E122" i="5"/>
  <c r="G122" i="5"/>
  <c r="I122" i="5"/>
  <c r="K122" i="5"/>
  <c r="O122" i="5"/>
  <c r="H122" i="5"/>
  <c r="J122" i="5"/>
  <c r="N122" i="5"/>
  <c r="C122" i="5"/>
  <c r="P122" i="5" l="1"/>
  <c r="T122" i="5"/>
  <c r="A124" i="5"/>
  <c r="R123" i="5"/>
  <c r="S123" i="5" s="1"/>
  <c r="B123" i="5"/>
  <c r="U121" i="5"/>
  <c r="Q123" i="5"/>
  <c r="F122" i="5"/>
  <c r="D123" i="5"/>
  <c r="L123" i="5"/>
  <c r="I123" i="5"/>
  <c r="J123" i="5"/>
  <c r="C123" i="5"/>
  <c r="K123" i="5"/>
  <c r="O123" i="5"/>
  <c r="H123" i="5"/>
  <c r="E123" i="5"/>
  <c r="G123" i="5"/>
  <c r="M123" i="5"/>
  <c r="N123" i="5"/>
  <c r="P123" i="5" l="1"/>
  <c r="T123" i="5"/>
  <c r="A125" i="5"/>
  <c r="R124" i="5"/>
  <c r="S124" i="5" s="1"/>
  <c r="B124" i="5"/>
  <c r="U122" i="5"/>
  <c r="Q124" i="5"/>
  <c r="F123" i="5"/>
  <c r="N124" i="5"/>
  <c r="G124" i="5"/>
  <c r="E124" i="5"/>
  <c r="D124" i="5"/>
  <c r="H124" i="5"/>
  <c r="J124" i="5"/>
  <c r="K124" i="5"/>
  <c r="C124" i="5"/>
  <c r="O124" i="5"/>
  <c r="L124" i="5"/>
  <c r="M124" i="5"/>
  <c r="I124" i="5"/>
  <c r="P124" i="5" l="1"/>
  <c r="T124" i="5"/>
  <c r="A126" i="5"/>
  <c r="R125" i="5"/>
  <c r="S125" i="5" s="1"/>
  <c r="B125" i="5"/>
  <c r="U123" i="5"/>
  <c r="Q125" i="5"/>
  <c r="F124" i="5"/>
  <c r="L125" i="5"/>
  <c r="M125" i="5"/>
  <c r="N125" i="5"/>
  <c r="H125" i="5"/>
  <c r="D125" i="5"/>
  <c r="I125" i="5"/>
  <c r="C125" i="5"/>
  <c r="O125" i="5"/>
  <c r="K125" i="5"/>
  <c r="J125" i="5"/>
  <c r="G125" i="5"/>
  <c r="E125" i="5"/>
  <c r="P125" i="5" l="1"/>
  <c r="T125" i="5"/>
  <c r="S126" i="5"/>
  <c r="B126" i="5"/>
  <c r="R126" i="5"/>
  <c r="Q126" i="5" s="1"/>
  <c r="A127" i="5"/>
  <c r="U124" i="5"/>
  <c r="F125" i="5"/>
  <c r="C126" i="5"/>
  <c r="D126" i="5"/>
  <c r="L126" i="5"/>
  <c r="H126" i="5"/>
  <c r="O126" i="5"/>
  <c r="N126" i="5"/>
  <c r="E126" i="5"/>
  <c r="K126" i="5"/>
  <c r="J126" i="5"/>
  <c r="M126" i="5"/>
  <c r="G126" i="5"/>
  <c r="I126" i="5"/>
  <c r="T126" i="5" l="1"/>
  <c r="P126" i="5"/>
  <c r="S127" i="5"/>
  <c r="R127" i="5"/>
  <c r="Q127" i="5" s="1"/>
  <c r="A128" i="5"/>
  <c r="B127" i="5"/>
  <c r="U125" i="5"/>
  <c r="F126" i="5"/>
  <c r="D127" i="5"/>
  <c r="I127" i="5"/>
  <c r="K127" i="5"/>
  <c r="H127" i="5"/>
  <c r="M127" i="5"/>
  <c r="G127" i="5"/>
  <c r="C127" i="5"/>
  <c r="N127" i="5"/>
  <c r="L127" i="5"/>
  <c r="E127" i="5"/>
  <c r="O127" i="5"/>
  <c r="J127" i="5"/>
  <c r="T127" i="5" l="1"/>
  <c r="P127" i="5"/>
  <c r="S128" i="5"/>
  <c r="A129" i="5"/>
  <c r="B128" i="5"/>
  <c r="R128" i="5"/>
  <c r="Q128" i="5" s="1"/>
  <c r="U126" i="5"/>
  <c r="F127" i="5"/>
  <c r="J128" i="5"/>
  <c r="H128" i="5"/>
  <c r="M128" i="5"/>
  <c r="K128" i="5"/>
  <c r="C128" i="5"/>
  <c r="O128" i="5"/>
  <c r="L128" i="5"/>
  <c r="G128" i="5"/>
  <c r="D128" i="5"/>
  <c r="I128" i="5"/>
  <c r="E128" i="5"/>
  <c r="N128" i="5"/>
  <c r="T128" i="5" l="1"/>
  <c r="P128" i="5"/>
  <c r="S129" i="5"/>
  <c r="B129" i="5"/>
  <c r="R129" i="5"/>
  <c r="Q129" i="5" s="1"/>
  <c r="A130" i="5"/>
  <c r="U127" i="5"/>
  <c r="F128" i="5"/>
  <c r="O129" i="5"/>
  <c r="C129" i="5"/>
  <c r="D129" i="5"/>
  <c r="L129" i="5"/>
  <c r="J129" i="5"/>
  <c r="M129" i="5"/>
  <c r="H129" i="5"/>
  <c r="G129" i="5"/>
  <c r="E129" i="5"/>
  <c r="N129" i="5"/>
  <c r="I129" i="5"/>
  <c r="K129" i="5"/>
  <c r="T129" i="5" l="1"/>
  <c r="P129" i="5"/>
  <c r="S130" i="5"/>
  <c r="B130" i="5"/>
  <c r="R130" i="5"/>
  <c r="Q130" i="5" s="1"/>
  <c r="A131" i="5"/>
  <c r="U128" i="5"/>
  <c r="F129" i="5"/>
  <c r="H130" i="5"/>
  <c r="L130" i="5"/>
  <c r="K130" i="5"/>
  <c r="D130" i="5"/>
  <c r="M130" i="5"/>
  <c r="E130" i="5"/>
  <c r="N130" i="5"/>
  <c r="J130" i="5"/>
  <c r="O130" i="5"/>
  <c r="G130" i="5"/>
  <c r="C130" i="5"/>
  <c r="I130" i="5"/>
  <c r="T130" i="5" l="1"/>
  <c r="P130" i="5"/>
  <c r="S131" i="5"/>
  <c r="B131" i="5"/>
  <c r="R131" i="5"/>
  <c r="Q131" i="5" s="1"/>
  <c r="A132" i="5"/>
  <c r="U129" i="5"/>
  <c r="F130" i="5"/>
  <c r="L131" i="5"/>
  <c r="J131" i="5"/>
  <c r="M131" i="5"/>
  <c r="G131" i="5"/>
  <c r="K131" i="5"/>
  <c r="O131" i="5"/>
  <c r="H131" i="5"/>
  <c r="C131" i="5"/>
  <c r="E131" i="5"/>
  <c r="I131" i="5"/>
  <c r="N131" i="5"/>
  <c r="D131" i="5"/>
  <c r="T131" i="5" l="1"/>
  <c r="P131" i="5"/>
  <c r="S132" i="5"/>
  <c r="B132" i="5"/>
  <c r="R132" i="5"/>
  <c r="Q132" i="5" s="1"/>
  <c r="A133" i="5"/>
  <c r="U130" i="5"/>
  <c r="D132" i="5"/>
  <c r="H132" i="5"/>
  <c r="J132" i="5"/>
  <c r="L132" i="5"/>
  <c r="K132" i="5"/>
  <c r="O132" i="5"/>
  <c r="E132" i="5"/>
  <c r="M132" i="5"/>
  <c r="C132" i="5"/>
  <c r="G132" i="5"/>
  <c r="N132" i="5"/>
  <c r="I132" i="5"/>
  <c r="F131" i="5"/>
  <c r="T132" i="5" l="1"/>
  <c r="P132" i="5"/>
  <c r="S133" i="5"/>
  <c r="B133" i="5"/>
  <c r="R133" i="5"/>
  <c r="Q133" i="5" s="1"/>
  <c r="A134" i="5"/>
  <c r="U131" i="5"/>
  <c r="F132" i="5"/>
  <c r="K133" i="5"/>
  <c r="N133" i="5"/>
  <c r="E133" i="5"/>
  <c r="J133" i="5"/>
  <c r="M133" i="5"/>
  <c r="I133" i="5"/>
  <c r="O133" i="5"/>
  <c r="G133" i="5"/>
  <c r="L133" i="5"/>
  <c r="C133" i="5"/>
  <c r="D133" i="5"/>
  <c r="H133" i="5"/>
  <c r="T133" i="5" l="1"/>
  <c r="P133" i="5"/>
  <c r="S134" i="5"/>
  <c r="B134" i="5"/>
  <c r="R134" i="5"/>
  <c r="Q134" i="5" s="1"/>
  <c r="A135" i="5"/>
  <c r="U132" i="5"/>
  <c r="O134" i="5"/>
  <c r="H134" i="5"/>
  <c r="I134" i="5"/>
  <c r="G134" i="5"/>
  <c r="E134" i="5"/>
  <c r="C134" i="5"/>
  <c r="M134" i="5"/>
  <c r="L134" i="5"/>
  <c r="J134" i="5"/>
  <c r="K134" i="5"/>
  <c r="N134" i="5"/>
  <c r="D134" i="5"/>
  <c r="F133" i="5"/>
  <c r="T134" i="5" l="1"/>
  <c r="P134" i="5"/>
  <c r="U134" i="5" s="1"/>
  <c r="S135" i="5"/>
  <c r="B135" i="5"/>
  <c r="R135" i="5"/>
  <c r="Q135" i="5" s="1"/>
  <c r="A136" i="5"/>
  <c r="U133" i="5"/>
  <c r="H135" i="5"/>
  <c r="N135" i="5"/>
  <c r="E135" i="5"/>
  <c r="C135" i="5"/>
  <c r="L135" i="5"/>
  <c r="K135" i="5"/>
  <c r="O135" i="5"/>
  <c r="G135" i="5"/>
  <c r="J135" i="5"/>
  <c r="I135" i="5"/>
  <c r="D135" i="5"/>
  <c r="M135" i="5"/>
  <c r="F134" i="5"/>
  <c r="T135" i="5" l="1"/>
  <c r="P135" i="5"/>
  <c r="U135" i="5" s="1"/>
  <c r="S136" i="5"/>
  <c r="B136" i="5"/>
  <c r="R136" i="5"/>
  <c r="Q136" i="5" s="1"/>
  <c r="A137" i="5"/>
  <c r="L136" i="5"/>
  <c r="K136" i="5"/>
  <c r="J136" i="5"/>
  <c r="E136" i="5"/>
  <c r="I136" i="5"/>
  <c r="H136" i="5"/>
  <c r="D136" i="5"/>
  <c r="C136" i="5"/>
  <c r="N136" i="5"/>
  <c r="O136" i="5"/>
  <c r="M136" i="5"/>
  <c r="G136" i="5"/>
  <c r="F135" i="5"/>
  <c r="T136" i="5" l="1"/>
  <c r="P136" i="5"/>
  <c r="S137" i="5"/>
  <c r="B137" i="5"/>
  <c r="R137" i="5"/>
  <c r="Q137" i="5" s="1"/>
  <c r="A138" i="5"/>
  <c r="F136" i="5"/>
  <c r="G137" i="5"/>
  <c r="N137" i="5"/>
  <c r="J137" i="5"/>
  <c r="K137" i="5"/>
  <c r="D137" i="5"/>
  <c r="M137" i="5"/>
  <c r="H137" i="5"/>
  <c r="C137" i="5"/>
  <c r="E137" i="5"/>
  <c r="L137" i="5"/>
  <c r="I137" i="5"/>
  <c r="O137" i="5"/>
  <c r="T137" i="5" l="1"/>
  <c r="P137" i="5"/>
  <c r="S138" i="5"/>
  <c r="R138" i="5"/>
  <c r="Q138" i="5" s="1"/>
  <c r="B138" i="5"/>
  <c r="A139" i="5"/>
  <c r="U136" i="5"/>
  <c r="F137" i="5"/>
  <c r="J138" i="5"/>
  <c r="L138" i="5"/>
  <c r="N138" i="5"/>
  <c r="O138" i="5"/>
  <c r="G138" i="5"/>
  <c r="H138" i="5"/>
  <c r="I138" i="5"/>
  <c r="K138" i="5"/>
  <c r="M138" i="5"/>
  <c r="D138" i="5"/>
  <c r="E138" i="5"/>
  <c r="C138" i="5"/>
  <c r="P138" i="5" l="1"/>
  <c r="T138" i="5"/>
  <c r="S139" i="5"/>
  <c r="B139" i="5"/>
  <c r="R139" i="5"/>
  <c r="Q139" i="5" s="1"/>
  <c r="A140" i="5"/>
  <c r="U137" i="5"/>
  <c r="F138" i="5"/>
  <c r="N139" i="5"/>
  <c r="E139" i="5"/>
  <c r="L139" i="5"/>
  <c r="H139" i="5"/>
  <c r="J139" i="5"/>
  <c r="O139" i="5"/>
  <c r="D139" i="5"/>
  <c r="C139" i="5"/>
  <c r="G139" i="5"/>
  <c r="K139" i="5"/>
  <c r="I139" i="5"/>
  <c r="M139" i="5"/>
  <c r="T139" i="5" l="1"/>
  <c r="P139" i="5"/>
  <c r="S140" i="5"/>
  <c r="B140" i="5"/>
  <c r="R140" i="5"/>
  <c r="Q140" i="5" s="1"/>
  <c r="A141" i="5"/>
  <c r="U138" i="5"/>
  <c r="F139" i="5"/>
  <c r="J140" i="5"/>
  <c r="G140" i="5"/>
  <c r="N140" i="5"/>
  <c r="E140" i="5"/>
  <c r="O140" i="5"/>
  <c r="M140" i="5"/>
  <c r="D140" i="5"/>
  <c r="C140" i="5"/>
  <c r="I140" i="5"/>
  <c r="L140" i="5"/>
  <c r="H140" i="5"/>
  <c r="K140" i="5"/>
  <c r="T140" i="5" l="1"/>
  <c r="P140" i="5"/>
  <c r="S141" i="5"/>
  <c r="B141" i="5"/>
  <c r="R141" i="5"/>
  <c r="Q141" i="5" s="1"/>
  <c r="A142" i="5"/>
  <c r="U139" i="5"/>
  <c r="F140" i="5"/>
  <c r="N141" i="5"/>
  <c r="D141" i="5"/>
  <c r="K141" i="5"/>
  <c r="M141" i="5"/>
  <c r="I141" i="5"/>
  <c r="G141" i="5"/>
  <c r="H141" i="5"/>
  <c r="J141" i="5"/>
  <c r="L141" i="5"/>
  <c r="C141" i="5"/>
  <c r="E141" i="5"/>
  <c r="O141" i="5"/>
  <c r="T141" i="5" l="1"/>
  <c r="P141" i="5"/>
  <c r="S142" i="5"/>
  <c r="B142" i="5"/>
  <c r="R142" i="5"/>
  <c r="Q142" i="5" s="1"/>
  <c r="A143" i="5"/>
  <c r="U140" i="5"/>
  <c r="F141" i="5"/>
  <c r="E142" i="5"/>
  <c r="K142" i="5"/>
  <c r="C142" i="5"/>
  <c r="G142" i="5"/>
  <c r="L142" i="5"/>
  <c r="I142" i="5"/>
  <c r="H142" i="5"/>
  <c r="M142" i="5"/>
  <c r="D142" i="5"/>
  <c r="O142" i="5"/>
  <c r="J142" i="5"/>
  <c r="N142" i="5"/>
  <c r="T142" i="5" l="1"/>
  <c r="P142" i="5"/>
  <c r="S143" i="5"/>
  <c r="B143" i="5"/>
  <c r="R143" i="5"/>
  <c r="Q143" i="5" s="1"/>
  <c r="A144" i="5"/>
  <c r="U141" i="5"/>
  <c r="F142" i="5"/>
  <c r="G143" i="5"/>
  <c r="H143" i="5"/>
  <c r="L143" i="5"/>
  <c r="I143" i="5"/>
  <c r="M143" i="5"/>
  <c r="K143" i="5"/>
  <c r="E143" i="5"/>
  <c r="N143" i="5"/>
  <c r="C143" i="5"/>
  <c r="J143" i="5"/>
  <c r="D143" i="5"/>
  <c r="O143" i="5"/>
  <c r="T143" i="5" l="1"/>
  <c r="P143" i="5"/>
  <c r="S144" i="5"/>
  <c r="B144" i="5"/>
  <c r="R144" i="5"/>
  <c r="Q144" i="5" s="1"/>
  <c r="A145" i="5"/>
  <c r="U142" i="5"/>
  <c r="F143" i="5"/>
  <c r="C144" i="5"/>
  <c r="H144" i="5"/>
  <c r="E144" i="5"/>
  <c r="G144" i="5"/>
  <c r="M144" i="5"/>
  <c r="I144" i="5"/>
  <c r="L144" i="5"/>
  <c r="N144" i="5"/>
  <c r="K144" i="5"/>
  <c r="O144" i="5"/>
  <c r="J144" i="5"/>
  <c r="D144" i="5"/>
  <c r="T144" i="5" l="1"/>
  <c r="P144" i="5"/>
  <c r="S145" i="5"/>
  <c r="B145" i="5"/>
  <c r="R145" i="5"/>
  <c r="Q145" i="5" s="1"/>
  <c r="A146" i="5"/>
  <c r="U143" i="5"/>
  <c r="F144" i="5"/>
  <c r="I145" i="5"/>
  <c r="J145" i="5"/>
  <c r="K145" i="5"/>
  <c r="N145" i="5"/>
  <c r="H145" i="5"/>
  <c r="E145" i="5"/>
  <c r="G145" i="5"/>
  <c r="O145" i="5"/>
  <c r="M145" i="5"/>
  <c r="D145" i="5"/>
  <c r="L145" i="5"/>
  <c r="C145" i="5"/>
  <c r="T145" i="5" l="1"/>
  <c r="P145" i="5"/>
  <c r="S146" i="5"/>
  <c r="B146" i="5"/>
  <c r="A147" i="5"/>
  <c r="R146" i="5"/>
  <c r="Q146" i="5" s="1"/>
  <c r="U144" i="5"/>
  <c r="F145" i="5"/>
  <c r="M146" i="5"/>
  <c r="C146" i="5"/>
  <c r="J146" i="5"/>
  <c r="N146" i="5"/>
  <c r="E146" i="5"/>
  <c r="K146" i="5"/>
  <c r="I146" i="5"/>
  <c r="H146" i="5"/>
  <c r="G146" i="5"/>
  <c r="L146" i="5"/>
  <c r="D146" i="5"/>
  <c r="O146" i="5"/>
  <c r="T146" i="5" l="1"/>
  <c r="P146" i="5"/>
  <c r="S147" i="5"/>
  <c r="R147" i="5"/>
  <c r="Q147" i="5" s="1"/>
  <c r="A148" i="5"/>
  <c r="B147" i="5"/>
  <c r="U145" i="5"/>
  <c r="F146" i="5"/>
  <c r="L147" i="5"/>
  <c r="E147" i="5"/>
  <c r="H147" i="5"/>
  <c r="C147" i="5"/>
  <c r="J147" i="5"/>
  <c r="D147" i="5"/>
  <c r="I147" i="5"/>
  <c r="O147" i="5"/>
  <c r="N147" i="5"/>
  <c r="M147" i="5"/>
  <c r="K147" i="5"/>
  <c r="G147" i="5"/>
  <c r="T147" i="5" l="1"/>
  <c r="P147" i="5"/>
  <c r="S148" i="5"/>
  <c r="B148" i="5"/>
  <c r="R148" i="5"/>
  <c r="Q148" i="5" s="1"/>
  <c r="A149" i="5"/>
  <c r="U146" i="5"/>
  <c r="F147" i="5"/>
  <c r="N148" i="5"/>
  <c r="K148" i="5"/>
  <c r="E148" i="5"/>
  <c r="D148" i="5"/>
  <c r="I148" i="5"/>
  <c r="C148" i="5"/>
  <c r="O148" i="5"/>
  <c r="G148" i="5"/>
  <c r="H148" i="5"/>
  <c r="L148" i="5"/>
  <c r="M148" i="5"/>
  <c r="J148" i="5"/>
  <c r="T148" i="5" l="1"/>
  <c r="P148" i="5"/>
  <c r="S149" i="5"/>
  <c r="B149" i="5"/>
  <c r="R149" i="5"/>
  <c r="Q149" i="5" s="1"/>
  <c r="A150" i="5"/>
  <c r="U147" i="5"/>
  <c r="F148" i="5"/>
  <c r="G149" i="5"/>
  <c r="I149" i="5"/>
  <c r="N149" i="5"/>
  <c r="J149" i="5"/>
  <c r="D149" i="5"/>
  <c r="H149" i="5"/>
  <c r="E149" i="5"/>
  <c r="M149" i="5"/>
  <c r="O149" i="5"/>
  <c r="K149" i="5"/>
  <c r="L149" i="5"/>
  <c r="C149" i="5"/>
  <c r="T149" i="5" l="1"/>
  <c r="P149" i="5"/>
  <c r="S150" i="5"/>
  <c r="A151" i="5"/>
  <c r="B150" i="5"/>
  <c r="R150" i="5"/>
  <c r="Q150" i="5" s="1"/>
  <c r="U148" i="5"/>
  <c r="F149" i="5"/>
  <c r="K150" i="5"/>
  <c r="D150" i="5"/>
  <c r="M150" i="5"/>
  <c r="G150" i="5"/>
  <c r="O150" i="5"/>
  <c r="H150" i="5"/>
  <c r="L150" i="5"/>
  <c r="E150" i="5"/>
  <c r="N150" i="5"/>
  <c r="I150" i="5"/>
  <c r="C150" i="5"/>
  <c r="J150" i="5"/>
  <c r="T150" i="5" l="1"/>
  <c r="P150" i="5"/>
  <c r="S151" i="5"/>
  <c r="A152" i="5"/>
  <c r="B151" i="5"/>
  <c r="R151" i="5"/>
  <c r="Q151" i="5" s="1"/>
  <c r="U149" i="5"/>
  <c r="F150" i="5"/>
  <c r="O151" i="5"/>
  <c r="K151" i="5"/>
  <c r="E151" i="5"/>
  <c r="D151" i="5"/>
  <c r="H151" i="5"/>
  <c r="L151" i="5"/>
  <c r="C151" i="5"/>
  <c r="G151" i="5"/>
  <c r="M151" i="5"/>
  <c r="N151" i="5"/>
  <c r="J151" i="5"/>
  <c r="I151" i="5"/>
  <c r="T151" i="5" l="1"/>
  <c r="P151" i="5"/>
  <c r="S152" i="5"/>
  <c r="B152" i="5"/>
  <c r="R152" i="5"/>
  <c r="Q152" i="5" s="1"/>
  <c r="A153" i="5"/>
  <c r="U150" i="5"/>
  <c r="F151" i="5"/>
  <c r="G152" i="5"/>
  <c r="O152" i="5"/>
  <c r="E152" i="5"/>
  <c r="K152" i="5"/>
  <c r="D152" i="5"/>
  <c r="N152" i="5"/>
  <c r="C152" i="5"/>
  <c r="H152" i="5"/>
  <c r="I152" i="5"/>
  <c r="M152" i="5"/>
  <c r="J152" i="5"/>
  <c r="L152" i="5"/>
  <c r="T152" i="5" l="1"/>
  <c r="P152" i="5"/>
  <c r="U152" i="5" s="1"/>
  <c r="S153" i="5"/>
  <c r="R153" i="5"/>
  <c r="Q153" i="5" s="1"/>
  <c r="A154" i="5"/>
  <c r="B153" i="5"/>
  <c r="U151" i="5"/>
  <c r="E153" i="5"/>
  <c r="J153" i="5"/>
  <c r="M153" i="5"/>
  <c r="G153" i="5"/>
  <c r="K153" i="5"/>
  <c r="D153" i="5"/>
  <c r="O153" i="5"/>
  <c r="C153" i="5"/>
  <c r="H153" i="5"/>
  <c r="L153" i="5"/>
  <c r="I153" i="5"/>
  <c r="N153" i="5"/>
  <c r="F152" i="5"/>
  <c r="T153" i="5" l="1"/>
  <c r="P153" i="5"/>
  <c r="S154" i="5"/>
  <c r="B154" i="5"/>
  <c r="R154" i="5"/>
  <c r="Q154" i="5" s="1"/>
  <c r="A155" i="5"/>
  <c r="F153" i="5"/>
  <c r="D154" i="5"/>
  <c r="H154" i="5"/>
  <c r="J154" i="5"/>
  <c r="I154" i="5"/>
  <c r="G154" i="5"/>
  <c r="C154" i="5"/>
  <c r="M154" i="5"/>
  <c r="K154" i="5"/>
  <c r="O154" i="5"/>
  <c r="L154" i="5"/>
  <c r="E154" i="5"/>
  <c r="N154" i="5"/>
  <c r="P154" i="5" l="1"/>
  <c r="T154" i="5"/>
  <c r="S155" i="5"/>
  <c r="B155" i="5"/>
  <c r="R155" i="5"/>
  <c r="Q155" i="5" s="1"/>
  <c r="A156" i="5"/>
  <c r="U153" i="5"/>
  <c r="F154" i="5"/>
  <c r="M155" i="5"/>
  <c r="E155" i="5"/>
  <c r="O155" i="5"/>
  <c r="J155" i="5"/>
  <c r="C155" i="5"/>
  <c r="D155" i="5"/>
  <c r="L155" i="5"/>
  <c r="G155" i="5"/>
  <c r="N155" i="5"/>
  <c r="K155" i="5"/>
  <c r="I155" i="5"/>
  <c r="H155" i="5"/>
  <c r="T155" i="5" l="1"/>
  <c r="P155" i="5"/>
  <c r="S156" i="5"/>
  <c r="R156" i="5"/>
  <c r="Q156" i="5" s="1"/>
  <c r="B156" i="5"/>
  <c r="A157" i="5"/>
  <c r="U154" i="5"/>
  <c r="F155" i="5"/>
  <c r="C156" i="5"/>
  <c r="J156" i="5"/>
  <c r="H156" i="5"/>
  <c r="I156" i="5"/>
  <c r="O156" i="5"/>
  <c r="E156" i="5"/>
  <c r="L156" i="5"/>
  <c r="D156" i="5"/>
  <c r="G156" i="5"/>
  <c r="N156" i="5"/>
  <c r="M156" i="5"/>
  <c r="K156" i="5"/>
  <c r="T156" i="5" l="1"/>
  <c r="P156" i="5"/>
  <c r="S157" i="5"/>
  <c r="R157" i="5"/>
  <c r="Q157" i="5" s="1"/>
  <c r="A158" i="5"/>
  <c r="B157" i="5"/>
  <c r="U155" i="5"/>
  <c r="F156" i="5"/>
  <c r="D157" i="5"/>
  <c r="I157" i="5"/>
  <c r="E157" i="5"/>
  <c r="C157" i="5"/>
  <c r="H157" i="5"/>
  <c r="O157" i="5"/>
  <c r="K157" i="5"/>
  <c r="M157" i="5"/>
  <c r="G157" i="5"/>
  <c r="L157" i="5"/>
  <c r="J157" i="5"/>
  <c r="N157" i="5"/>
  <c r="T157" i="5" l="1"/>
  <c r="P157" i="5"/>
  <c r="S158" i="5"/>
  <c r="R158" i="5"/>
  <c r="Q158" i="5" s="1"/>
  <c r="A159" i="5"/>
  <c r="B158" i="5"/>
  <c r="U156" i="5"/>
  <c r="F157" i="5"/>
  <c r="I158" i="5"/>
  <c r="L158" i="5"/>
  <c r="D158" i="5"/>
  <c r="N158" i="5"/>
  <c r="O158" i="5"/>
  <c r="C158" i="5"/>
  <c r="M158" i="5"/>
  <c r="H158" i="5"/>
  <c r="G158" i="5"/>
  <c r="K158" i="5"/>
  <c r="J158" i="5"/>
  <c r="E158" i="5"/>
  <c r="T158" i="5" l="1"/>
  <c r="P158" i="5"/>
  <c r="S159" i="5"/>
  <c r="R159" i="5"/>
  <c r="Q159" i="5" s="1"/>
  <c r="A160" i="5"/>
  <c r="B159" i="5"/>
  <c r="U157" i="5"/>
  <c r="F158" i="5"/>
  <c r="J159" i="5"/>
  <c r="G159" i="5"/>
  <c r="C159" i="5"/>
  <c r="H159" i="5"/>
  <c r="M159" i="5"/>
  <c r="L159" i="5"/>
  <c r="E159" i="5"/>
  <c r="D159" i="5"/>
  <c r="I159" i="5"/>
  <c r="O159" i="5"/>
  <c r="N159" i="5"/>
  <c r="K159" i="5"/>
  <c r="T159" i="5" l="1"/>
  <c r="P159" i="5"/>
  <c r="U158" i="5"/>
  <c r="S160" i="5"/>
  <c r="A161" i="5"/>
  <c r="B160" i="5"/>
  <c r="R160" i="5"/>
  <c r="Q160" i="5" s="1"/>
  <c r="F159" i="5"/>
  <c r="L160" i="5"/>
  <c r="N160" i="5"/>
  <c r="I160" i="5"/>
  <c r="H160" i="5"/>
  <c r="C160" i="5"/>
  <c r="O160" i="5"/>
  <c r="G160" i="5"/>
  <c r="D160" i="5"/>
  <c r="K160" i="5"/>
  <c r="E160" i="5"/>
  <c r="J160" i="5"/>
  <c r="M160" i="5"/>
  <c r="T160" i="5" l="1"/>
  <c r="P160" i="5"/>
  <c r="S161" i="5"/>
  <c r="A162" i="5"/>
  <c r="B161" i="5"/>
  <c r="R161" i="5"/>
  <c r="Q161" i="5" s="1"/>
  <c r="U159" i="5"/>
  <c r="F160" i="5"/>
  <c r="K161" i="5"/>
  <c r="J161" i="5"/>
  <c r="E161" i="5"/>
  <c r="G161" i="5"/>
  <c r="M161" i="5"/>
  <c r="I161" i="5"/>
  <c r="H161" i="5"/>
  <c r="D161" i="5"/>
  <c r="O161" i="5"/>
  <c r="L161" i="5"/>
  <c r="C161" i="5"/>
  <c r="N161" i="5"/>
  <c r="T161" i="5" l="1"/>
  <c r="P161" i="5"/>
  <c r="S162" i="5"/>
  <c r="A163" i="5"/>
  <c r="R162" i="5"/>
  <c r="Q162" i="5" s="1"/>
  <c r="B162" i="5"/>
  <c r="U160" i="5"/>
  <c r="F161" i="5"/>
  <c r="J162" i="5"/>
  <c r="O162" i="5"/>
  <c r="M162" i="5"/>
  <c r="E162" i="5"/>
  <c r="L162" i="5"/>
  <c r="I162" i="5"/>
  <c r="C162" i="5"/>
  <c r="D162" i="5"/>
  <c r="H162" i="5"/>
  <c r="K162" i="5"/>
  <c r="N162" i="5"/>
  <c r="G162" i="5"/>
  <c r="T162" i="5" l="1"/>
  <c r="P162" i="5"/>
  <c r="S163" i="5"/>
  <c r="B163" i="5"/>
  <c r="A164" i="5"/>
  <c r="R163" i="5"/>
  <c r="Q163" i="5" s="1"/>
  <c r="U161" i="5"/>
  <c r="F162" i="5"/>
  <c r="O163" i="5"/>
  <c r="G163" i="5"/>
  <c r="D163" i="5"/>
  <c r="J163" i="5"/>
  <c r="C163" i="5"/>
  <c r="E163" i="5"/>
  <c r="L163" i="5"/>
  <c r="N163" i="5"/>
  <c r="I163" i="5"/>
  <c r="H163" i="5"/>
  <c r="K163" i="5"/>
  <c r="M163" i="5"/>
  <c r="T163" i="5" l="1"/>
  <c r="P163" i="5"/>
  <c r="S164" i="5"/>
  <c r="A165" i="5"/>
  <c r="R164" i="5"/>
  <c r="Q164" i="5" s="1"/>
  <c r="B164" i="5"/>
  <c r="U162" i="5"/>
  <c r="F163" i="5"/>
  <c r="K164" i="5"/>
  <c r="O164" i="5"/>
  <c r="N164" i="5"/>
  <c r="I164" i="5"/>
  <c r="L164" i="5"/>
  <c r="G164" i="5"/>
  <c r="M164" i="5"/>
  <c r="E164" i="5"/>
  <c r="H164" i="5"/>
  <c r="C164" i="5"/>
  <c r="D164" i="5"/>
  <c r="J164" i="5"/>
  <c r="T164" i="5" l="1"/>
  <c r="P164" i="5"/>
  <c r="S165" i="5"/>
  <c r="A166" i="5"/>
  <c r="B165" i="5"/>
  <c r="R165" i="5"/>
  <c r="Q165" i="5" s="1"/>
  <c r="U163" i="5"/>
  <c r="F164" i="5"/>
  <c r="M165" i="5"/>
  <c r="K165" i="5"/>
  <c r="I165" i="5"/>
  <c r="G165" i="5"/>
  <c r="C165" i="5"/>
  <c r="H165" i="5"/>
  <c r="D165" i="5"/>
  <c r="L165" i="5"/>
  <c r="E165" i="5"/>
  <c r="O165" i="5"/>
  <c r="N165" i="5"/>
  <c r="J165" i="5"/>
  <c r="T165" i="5" l="1"/>
  <c r="P165" i="5"/>
  <c r="S166" i="5"/>
  <c r="A167" i="5"/>
  <c r="R166" i="5"/>
  <c r="Q166" i="5" s="1"/>
  <c r="B166" i="5"/>
  <c r="U164" i="5"/>
  <c r="F165" i="5"/>
  <c r="L166" i="5"/>
  <c r="G166" i="5"/>
  <c r="N166" i="5"/>
  <c r="K166" i="5"/>
  <c r="I166" i="5"/>
  <c r="C166" i="5"/>
  <c r="O166" i="5"/>
  <c r="J166" i="5"/>
  <c r="D166" i="5"/>
  <c r="M166" i="5"/>
  <c r="H166" i="5"/>
  <c r="E166" i="5"/>
  <c r="T166" i="5" l="1"/>
  <c r="P166" i="5"/>
  <c r="S167" i="5"/>
  <c r="A168" i="5"/>
  <c r="R167" i="5"/>
  <c r="Q167" i="5" s="1"/>
  <c r="B167" i="5"/>
  <c r="U165" i="5"/>
  <c r="F166" i="5"/>
  <c r="I167" i="5"/>
  <c r="C167" i="5"/>
  <c r="L167" i="5"/>
  <c r="O167" i="5"/>
  <c r="K167" i="5"/>
  <c r="N167" i="5"/>
  <c r="G167" i="5"/>
  <c r="H167" i="5"/>
  <c r="D167" i="5"/>
  <c r="E167" i="5"/>
  <c r="M167" i="5"/>
  <c r="J167" i="5"/>
  <c r="T167" i="5" l="1"/>
  <c r="P167" i="5"/>
  <c r="S168" i="5"/>
  <c r="A169" i="5"/>
  <c r="B168" i="5"/>
  <c r="R168" i="5"/>
  <c r="Q168" i="5" s="1"/>
  <c r="U166" i="5"/>
  <c r="F167" i="5"/>
  <c r="J168" i="5"/>
  <c r="K168" i="5"/>
  <c r="H168" i="5"/>
  <c r="D168" i="5"/>
  <c r="I168" i="5"/>
  <c r="E168" i="5"/>
  <c r="M168" i="5"/>
  <c r="N168" i="5"/>
  <c r="C168" i="5"/>
  <c r="L168" i="5"/>
  <c r="G168" i="5"/>
  <c r="O168" i="5"/>
  <c r="T168" i="5" l="1"/>
  <c r="P168" i="5"/>
  <c r="S169" i="5"/>
  <c r="B169" i="5"/>
  <c r="R169" i="5"/>
  <c r="Q169" i="5" s="1"/>
  <c r="A170" i="5"/>
  <c r="U167" i="5"/>
  <c r="F168" i="5"/>
  <c r="J169" i="5"/>
  <c r="D169" i="5"/>
  <c r="M169" i="5"/>
  <c r="K169" i="5"/>
  <c r="G169" i="5"/>
  <c r="C169" i="5"/>
  <c r="I169" i="5"/>
  <c r="E169" i="5"/>
  <c r="H169" i="5"/>
  <c r="N169" i="5"/>
  <c r="L169" i="5"/>
  <c r="O169" i="5"/>
  <c r="P169" i="5" l="1"/>
  <c r="T169" i="5"/>
  <c r="S170" i="5"/>
  <c r="B170" i="5"/>
  <c r="R170" i="5"/>
  <c r="Q170" i="5" s="1"/>
  <c r="A171" i="5"/>
  <c r="U168" i="5"/>
  <c r="F169" i="5"/>
  <c r="L170" i="5"/>
  <c r="E170" i="5"/>
  <c r="M170" i="5"/>
  <c r="I170" i="5"/>
  <c r="N170" i="5"/>
  <c r="H170" i="5"/>
  <c r="O170" i="5"/>
  <c r="D170" i="5"/>
  <c r="G170" i="5"/>
  <c r="C170" i="5"/>
  <c r="J170" i="5"/>
  <c r="K170" i="5"/>
  <c r="T170" i="5" l="1"/>
  <c r="P170" i="5"/>
  <c r="S171" i="5"/>
  <c r="B171" i="5"/>
  <c r="R171" i="5"/>
  <c r="Q171" i="5" s="1"/>
  <c r="A172" i="5"/>
  <c r="U169" i="5"/>
  <c r="F170" i="5"/>
  <c r="M171" i="5"/>
  <c r="J171" i="5"/>
  <c r="D171" i="5"/>
  <c r="G171" i="5"/>
  <c r="E171" i="5"/>
  <c r="N171" i="5"/>
  <c r="H171" i="5"/>
  <c r="K171" i="5"/>
  <c r="C171" i="5"/>
  <c r="L171" i="5"/>
  <c r="I171" i="5"/>
  <c r="O171" i="5"/>
  <c r="T171" i="5" l="1"/>
  <c r="P171" i="5"/>
  <c r="S172" i="5"/>
  <c r="B172" i="5"/>
  <c r="R172" i="5"/>
  <c r="Q172" i="5" s="1"/>
  <c r="A173" i="5"/>
  <c r="U170" i="5"/>
  <c r="F171" i="5"/>
  <c r="H172" i="5"/>
  <c r="G172" i="5"/>
  <c r="D172" i="5"/>
  <c r="L172" i="5"/>
  <c r="E172" i="5"/>
  <c r="N172" i="5"/>
  <c r="C172" i="5"/>
  <c r="J172" i="5"/>
  <c r="O172" i="5"/>
  <c r="K172" i="5"/>
  <c r="I172" i="5"/>
  <c r="M172" i="5"/>
  <c r="T172" i="5" l="1"/>
  <c r="P172" i="5"/>
  <c r="S173" i="5"/>
  <c r="B173" i="5"/>
  <c r="R173" i="5"/>
  <c r="Q173" i="5" s="1"/>
  <c r="A174" i="5"/>
  <c r="U171" i="5"/>
  <c r="F172" i="5"/>
  <c r="J173" i="5"/>
  <c r="O173" i="5"/>
  <c r="L173" i="5"/>
  <c r="M173" i="5"/>
  <c r="H173" i="5"/>
  <c r="E173" i="5"/>
  <c r="C173" i="5"/>
  <c r="N173" i="5"/>
  <c r="G173" i="5"/>
  <c r="I173" i="5"/>
  <c r="K173" i="5"/>
  <c r="D173" i="5"/>
  <c r="T173" i="5" l="1"/>
  <c r="P173" i="5"/>
  <c r="S174" i="5"/>
  <c r="B174" i="5"/>
  <c r="R174" i="5"/>
  <c r="Q174" i="5" s="1"/>
  <c r="A175" i="5"/>
  <c r="U172" i="5"/>
  <c r="F173" i="5"/>
  <c r="O174" i="5"/>
  <c r="G174" i="5"/>
  <c r="M174" i="5"/>
  <c r="C174" i="5"/>
  <c r="K174" i="5"/>
  <c r="H174" i="5"/>
  <c r="N174" i="5"/>
  <c r="J174" i="5"/>
  <c r="D174" i="5"/>
  <c r="L174" i="5"/>
  <c r="E174" i="5"/>
  <c r="I174" i="5"/>
  <c r="T174" i="5" l="1"/>
  <c r="P174" i="5"/>
  <c r="S175" i="5"/>
  <c r="B175" i="5"/>
  <c r="R175" i="5"/>
  <c r="Q175" i="5" s="1"/>
  <c r="A176" i="5"/>
  <c r="U173" i="5"/>
  <c r="F174" i="5"/>
  <c r="N175" i="5"/>
  <c r="H175" i="5"/>
  <c r="K175" i="5"/>
  <c r="L175" i="5"/>
  <c r="I175" i="5"/>
  <c r="D175" i="5"/>
  <c r="G175" i="5"/>
  <c r="O175" i="5"/>
  <c r="C175" i="5"/>
  <c r="M175" i="5"/>
  <c r="E175" i="5"/>
  <c r="J175" i="5"/>
  <c r="T175" i="5" l="1"/>
  <c r="P175" i="5"/>
  <c r="S176" i="5"/>
  <c r="B176" i="5"/>
  <c r="R176" i="5"/>
  <c r="Q176" i="5" s="1"/>
  <c r="A177" i="5"/>
  <c r="U174" i="5"/>
  <c r="F175" i="5"/>
  <c r="H176" i="5"/>
  <c r="O176" i="5"/>
  <c r="N176" i="5"/>
  <c r="L176" i="5"/>
  <c r="D176" i="5"/>
  <c r="G176" i="5"/>
  <c r="I176" i="5"/>
  <c r="K176" i="5"/>
  <c r="E176" i="5"/>
  <c r="M176" i="5"/>
  <c r="J176" i="5"/>
  <c r="C176" i="5"/>
  <c r="T176" i="5" l="1"/>
  <c r="P176" i="5"/>
  <c r="S177" i="5"/>
  <c r="B177" i="5"/>
  <c r="R177" i="5"/>
  <c r="Q177" i="5" s="1"/>
  <c r="A178" i="5"/>
  <c r="U175" i="5"/>
  <c r="F176" i="5"/>
  <c r="E177" i="5"/>
  <c r="M177" i="5"/>
  <c r="O177" i="5"/>
  <c r="D177" i="5"/>
  <c r="N177" i="5"/>
  <c r="I177" i="5"/>
  <c r="K177" i="5"/>
  <c r="H177" i="5"/>
  <c r="C177" i="5"/>
  <c r="J177" i="5"/>
  <c r="L177" i="5"/>
  <c r="G177" i="5"/>
  <c r="T177" i="5" l="1"/>
  <c r="P177" i="5"/>
  <c r="S178" i="5"/>
  <c r="B178" i="5"/>
  <c r="R178" i="5"/>
  <c r="Q178" i="5" s="1"/>
  <c r="A179" i="5"/>
  <c r="U176" i="5"/>
  <c r="F177" i="5"/>
  <c r="K178" i="5"/>
  <c r="O178" i="5"/>
  <c r="D178" i="5"/>
  <c r="M178" i="5"/>
  <c r="C178" i="5"/>
  <c r="L178" i="5"/>
  <c r="E178" i="5"/>
  <c r="J178" i="5"/>
  <c r="G178" i="5"/>
  <c r="H178" i="5"/>
  <c r="I178" i="5"/>
  <c r="N178" i="5"/>
  <c r="T178" i="5" l="1"/>
  <c r="P178" i="5"/>
  <c r="S179" i="5"/>
  <c r="B179" i="5"/>
  <c r="R179" i="5"/>
  <c r="Q179" i="5" s="1"/>
  <c r="A180" i="5"/>
  <c r="U177" i="5"/>
  <c r="F178" i="5"/>
  <c r="O179" i="5"/>
  <c r="C179" i="5"/>
  <c r="E179" i="5"/>
  <c r="H179" i="5"/>
  <c r="N179" i="5"/>
  <c r="J179" i="5"/>
  <c r="L179" i="5"/>
  <c r="I179" i="5"/>
  <c r="M179" i="5"/>
  <c r="G179" i="5"/>
  <c r="D179" i="5"/>
  <c r="K179" i="5"/>
  <c r="T179" i="5" l="1"/>
  <c r="P179" i="5"/>
  <c r="S180" i="5"/>
  <c r="B180" i="5"/>
  <c r="R180" i="5"/>
  <c r="Q180" i="5" s="1"/>
  <c r="A181" i="5"/>
  <c r="U178" i="5"/>
  <c r="F179" i="5"/>
  <c r="I180" i="5"/>
  <c r="D180" i="5"/>
  <c r="K180" i="5"/>
  <c r="N180" i="5"/>
  <c r="L180" i="5"/>
  <c r="M180" i="5"/>
  <c r="C180" i="5"/>
  <c r="H180" i="5"/>
  <c r="O180" i="5"/>
  <c r="G180" i="5"/>
  <c r="E180" i="5"/>
  <c r="J180" i="5"/>
  <c r="T180" i="5" l="1"/>
  <c r="P180" i="5"/>
  <c r="U180" i="5" s="1"/>
  <c r="S181" i="5"/>
  <c r="B181" i="5"/>
  <c r="R181" i="5"/>
  <c r="Q181" i="5" s="1"/>
  <c r="A182" i="5"/>
  <c r="U179" i="5"/>
  <c r="G181" i="5"/>
  <c r="N181" i="5"/>
  <c r="K181" i="5"/>
  <c r="I181" i="5"/>
  <c r="O181" i="5"/>
  <c r="D181" i="5"/>
  <c r="H181" i="5"/>
  <c r="J181" i="5"/>
  <c r="M181" i="5"/>
  <c r="L181" i="5"/>
  <c r="E181" i="5"/>
  <c r="C181" i="5"/>
  <c r="F180" i="5"/>
  <c r="T181" i="5" l="1"/>
  <c r="P181" i="5"/>
  <c r="S182" i="5"/>
  <c r="B182" i="5"/>
  <c r="R182" i="5"/>
  <c r="Q182" i="5" s="1"/>
  <c r="A183" i="5"/>
  <c r="F181" i="5"/>
  <c r="L182" i="5"/>
  <c r="J182" i="5"/>
  <c r="E182" i="5"/>
  <c r="C182" i="5"/>
  <c r="I182" i="5"/>
  <c r="K182" i="5"/>
  <c r="M182" i="5"/>
  <c r="D182" i="5"/>
  <c r="G182" i="5"/>
  <c r="O182" i="5"/>
  <c r="H182" i="5"/>
  <c r="N182" i="5"/>
  <c r="T182" i="5" l="1"/>
  <c r="P182" i="5"/>
  <c r="S183" i="5"/>
  <c r="A184" i="5"/>
  <c r="R183" i="5"/>
  <c r="Q183" i="5" s="1"/>
  <c r="B183" i="5"/>
  <c r="U181" i="5"/>
  <c r="F182" i="5"/>
  <c r="M183" i="5"/>
  <c r="G183" i="5"/>
  <c r="O183" i="5"/>
  <c r="H183" i="5"/>
  <c r="I183" i="5"/>
  <c r="K183" i="5"/>
  <c r="E183" i="5"/>
  <c r="D183" i="5"/>
  <c r="J183" i="5"/>
  <c r="N183" i="5"/>
  <c r="C183" i="5"/>
  <c r="L183" i="5"/>
  <c r="T183" i="5" l="1"/>
  <c r="P183" i="5"/>
  <c r="S184" i="5"/>
  <c r="B184" i="5"/>
  <c r="R184" i="5"/>
  <c r="Q184" i="5" s="1"/>
  <c r="A185" i="5"/>
  <c r="U182" i="5"/>
  <c r="F183" i="5"/>
  <c r="D184" i="5"/>
  <c r="I184" i="5"/>
  <c r="K184" i="5"/>
  <c r="M184" i="5"/>
  <c r="C184" i="5"/>
  <c r="N184" i="5"/>
  <c r="L184" i="5"/>
  <c r="J184" i="5"/>
  <c r="H184" i="5"/>
  <c r="O184" i="5"/>
  <c r="E184" i="5"/>
  <c r="G184" i="5"/>
  <c r="T184" i="5" l="1"/>
  <c r="P184" i="5"/>
  <c r="U184" i="5" s="1"/>
  <c r="S185" i="5"/>
  <c r="R185" i="5"/>
  <c r="Q185" i="5" s="1"/>
  <c r="B185" i="5"/>
  <c r="A186" i="5"/>
  <c r="U183" i="5"/>
  <c r="O185" i="5"/>
  <c r="E185" i="5"/>
  <c r="N185" i="5"/>
  <c r="L185" i="5"/>
  <c r="G185" i="5"/>
  <c r="D185" i="5"/>
  <c r="J185" i="5"/>
  <c r="M185" i="5"/>
  <c r="C185" i="5"/>
  <c r="K185" i="5"/>
  <c r="H185" i="5"/>
  <c r="I185" i="5"/>
  <c r="F184" i="5"/>
  <c r="T185" i="5" l="1"/>
  <c r="P185" i="5"/>
  <c r="S186" i="5"/>
  <c r="B186" i="5"/>
  <c r="R186" i="5"/>
  <c r="Q186" i="5" s="1"/>
  <c r="A187" i="5"/>
  <c r="F185" i="5"/>
  <c r="G186" i="5"/>
  <c r="I186" i="5"/>
  <c r="M186" i="5"/>
  <c r="N186" i="5"/>
  <c r="J186" i="5"/>
  <c r="H186" i="5"/>
  <c r="O186" i="5"/>
  <c r="K186" i="5"/>
  <c r="D186" i="5"/>
  <c r="C186" i="5"/>
  <c r="E186" i="5"/>
  <c r="L186" i="5"/>
  <c r="P186" i="5" l="1"/>
  <c r="T186" i="5"/>
  <c r="S187" i="5"/>
  <c r="B187" i="5"/>
  <c r="R187" i="5"/>
  <c r="Q187" i="5" s="1"/>
  <c r="A188" i="5"/>
  <c r="U185" i="5"/>
  <c r="F186" i="5"/>
  <c r="E187" i="5"/>
  <c r="I187" i="5"/>
  <c r="N187" i="5"/>
  <c r="O187" i="5"/>
  <c r="D187" i="5"/>
  <c r="L187" i="5"/>
  <c r="C187" i="5"/>
  <c r="G187" i="5"/>
  <c r="K187" i="5"/>
  <c r="H187" i="5"/>
  <c r="M187" i="5"/>
  <c r="J187" i="5"/>
  <c r="T187" i="5" l="1"/>
  <c r="P187" i="5"/>
  <c r="S188" i="5"/>
  <c r="R188" i="5"/>
  <c r="Q188" i="5" s="1"/>
  <c r="B188" i="5"/>
  <c r="A189" i="5"/>
  <c r="U186" i="5"/>
  <c r="F187" i="5"/>
  <c r="M188" i="5"/>
  <c r="J188" i="5"/>
  <c r="G188" i="5"/>
  <c r="H188" i="5"/>
  <c r="I188" i="5"/>
  <c r="E188" i="5"/>
  <c r="C188" i="5"/>
  <c r="K188" i="5"/>
  <c r="N188" i="5"/>
  <c r="O188" i="5"/>
  <c r="D188" i="5"/>
  <c r="L188" i="5"/>
  <c r="T188" i="5" l="1"/>
  <c r="P188" i="5"/>
  <c r="S189" i="5"/>
  <c r="A190" i="5"/>
  <c r="B189" i="5"/>
  <c r="R189" i="5"/>
  <c r="Q189" i="5" s="1"/>
  <c r="U187" i="5"/>
  <c r="F188" i="5"/>
  <c r="C189" i="5"/>
  <c r="J189" i="5"/>
  <c r="I189" i="5"/>
  <c r="G189" i="5"/>
  <c r="L189" i="5"/>
  <c r="O189" i="5"/>
  <c r="H189" i="5"/>
  <c r="K189" i="5"/>
  <c r="E189" i="5"/>
  <c r="N189" i="5"/>
  <c r="M189" i="5"/>
  <c r="D189" i="5"/>
  <c r="T189" i="5" l="1"/>
  <c r="P189" i="5"/>
  <c r="S190" i="5"/>
  <c r="B190" i="5"/>
  <c r="R190" i="5"/>
  <c r="Q190" i="5" s="1"/>
  <c r="A191" i="5"/>
  <c r="U188" i="5"/>
  <c r="F189" i="5"/>
  <c r="L190" i="5"/>
  <c r="O190" i="5"/>
  <c r="D190" i="5"/>
  <c r="E190" i="5"/>
  <c r="K190" i="5"/>
  <c r="I190" i="5"/>
  <c r="M190" i="5"/>
  <c r="N190" i="5"/>
  <c r="J190" i="5"/>
  <c r="H190" i="5"/>
  <c r="G190" i="5"/>
  <c r="C190" i="5"/>
  <c r="T190" i="5" l="1"/>
  <c r="P190" i="5"/>
  <c r="S191" i="5"/>
  <c r="B191" i="5"/>
  <c r="R191" i="5"/>
  <c r="Q191" i="5" s="1"/>
  <c r="A192" i="5"/>
  <c r="U189" i="5"/>
  <c r="F190" i="5"/>
  <c r="M191" i="5"/>
  <c r="G191" i="5"/>
  <c r="O191" i="5"/>
  <c r="K191" i="5"/>
  <c r="C191" i="5"/>
  <c r="D191" i="5"/>
  <c r="N191" i="5"/>
  <c r="I191" i="5"/>
  <c r="H191" i="5"/>
  <c r="J191" i="5"/>
  <c r="E191" i="5"/>
  <c r="L191" i="5"/>
  <c r="T191" i="5" l="1"/>
  <c r="P191" i="5"/>
  <c r="U191" i="5" s="1"/>
  <c r="S192" i="5"/>
  <c r="B192" i="5"/>
  <c r="R192" i="5"/>
  <c r="Q192" i="5" s="1"/>
  <c r="A193" i="5"/>
  <c r="U190" i="5"/>
  <c r="K192" i="5"/>
  <c r="C192" i="5"/>
  <c r="D192" i="5"/>
  <c r="J192" i="5"/>
  <c r="E192" i="5"/>
  <c r="H192" i="5"/>
  <c r="N192" i="5"/>
  <c r="M192" i="5"/>
  <c r="O192" i="5"/>
  <c r="I192" i="5"/>
  <c r="L192" i="5"/>
  <c r="G192" i="5"/>
  <c r="F191" i="5"/>
  <c r="T192" i="5" l="1"/>
  <c r="P192" i="5"/>
  <c r="S193" i="5"/>
  <c r="B193" i="5"/>
  <c r="R193" i="5"/>
  <c r="Q193" i="5" s="1"/>
  <c r="A194" i="5"/>
  <c r="F192" i="5"/>
  <c r="K193" i="5"/>
  <c r="M193" i="5"/>
  <c r="C193" i="5"/>
  <c r="E193" i="5"/>
  <c r="L193" i="5"/>
  <c r="D193" i="5"/>
  <c r="H193" i="5"/>
  <c r="N193" i="5"/>
  <c r="O193" i="5"/>
  <c r="J193" i="5"/>
  <c r="G193" i="5"/>
  <c r="I193" i="5"/>
  <c r="P193" i="5" l="1"/>
  <c r="T193" i="5"/>
  <c r="S194" i="5"/>
  <c r="A195" i="5"/>
  <c r="R194" i="5"/>
  <c r="Q194" i="5" s="1"/>
  <c r="B194" i="5"/>
  <c r="U192" i="5"/>
  <c r="F193" i="5"/>
  <c r="I194" i="5"/>
  <c r="C194" i="5"/>
  <c r="M194" i="5"/>
  <c r="N194" i="5"/>
  <c r="J194" i="5"/>
  <c r="K194" i="5"/>
  <c r="D194" i="5"/>
  <c r="H194" i="5"/>
  <c r="O194" i="5"/>
  <c r="E194" i="5"/>
  <c r="L194" i="5"/>
  <c r="G194" i="5"/>
  <c r="T194" i="5" l="1"/>
  <c r="P194" i="5"/>
  <c r="S195" i="5"/>
  <c r="B195" i="5"/>
  <c r="A196" i="5"/>
  <c r="R195" i="5"/>
  <c r="Q195" i="5" s="1"/>
  <c r="U193" i="5"/>
  <c r="F194" i="5"/>
  <c r="N195" i="5"/>
  <c r="I195" i="5"/>
  <c r="E195" i="5"/>
  <c r="K195" i="5"/>
  <c r="C195" i="5"/>
  <c r="O195" i="5"/>
  <c r="J195" i="5"/>
  <c r="D195" i="5"/>
  <c r="H195" i="5"/>
  <c r="L195" i="5"/>
  <c r="G195" i="5"/>
  <c r="M195" i="5"/>
  <c r="T195" i="5" l="1"/>
  <c r="P195" i="5"/>
  <c r="S196" i="5"/>
  <c r="B196" i="5"/>
  <c r="A197" i="5"/>
  <c r="R196" i="5"/>
  <c r="Q196" i="5" s="1"/>
  <c r="U194" i="5"/>
  <c r="F195" i="5"/>
  <c r="D196" i="5"/>
  <c r="M196" i="5"/>
  <c r="N196" i="5"/>
  <c r="G196" i="5"/>
  <c r="E196" i="5"/>
  <c r="J196" i="5"/>
  <c r="H196" i="5"/>
  <c r="C196" i="5"/>
  <c r="I196" i="5"/>
  <c r="L196" i="5"/>
  <c r="O196" i="5"/>
  <c r="K196" i="5"/>
  <c r="T196" i="5" l="1"/>
  <c r="P196" i="5"/>
  <c r="S197" i="5"/>
  <c r="A198" i="5"/>
  <c r="R197" i="5"/>
  <c r="Q197" i="5" s="1"/>
  <c r="B197" i="5"/>
  <c r="U195" i="5"/>
  <c r="F196" i="5"/>
  <c r="D197" i="5"/>
  <c r="N197" i="5"/>
  <c r="J197" i="5"/>
  <c r="K197" i="5"/>
  <c r="L197" i="5"/>
  <c r="G197" i="5"/>
  <c r="M197" i="5"/>
  <c r="O197" i="5"/>
  <c r="H197" i="5"/>
  <c r="E197" i="5"/>
  <c r="I197" i="5"/>
  <c r="C197" i="5"/>
  <c r="T197" i="5" l="1"/>
  <c r="P197" i="5"/>
  <c r="S198" i="5"/>
  <c r="A199" i="5"/>
  <c r="R198" i="5"/>
  <c r="Q198" i="5" s="1"/>
  <c r="B198" i="5"/>
  <c r="U196" i="5"/>
  <c r="F197" i="5"/>
  <c r="M198" i="5"/>
  <c r="I198" i="5"/>
  <c r="K198" i="5"/>
  <c r="G198" i="5"/>
  <c r="L198" i="5"/>
  <c r="D198" i="5"/>
  <c r="E198" i="5"/>
  <c r="C198" i="5"/>
  <c r="H198" i="5"/>
  <c r="J198" i="5"/>
  <c r="O198" i="5"/>
  <c r="N198" i="5"/>
  <c r="T198" i="5" l="1"/>
  <c r="P198" i="5"/>
  <c r="S199" i="5"/>
  <c r="A200" i="5"/>
  <c r="R199" i="5"/>
  <c r="Q199" i="5" s="1"/>
  <c r="B199" i="5"/>
  <c r="U197" i="5"/>
  <c r="F198" i="5"/>
  <c r="K199" i="5"/>
  <c r="M199" i="5"/>
  <c r="J199" i="5"/>
  <c r="I199" i="5"/>
  <c r="H199" i="5"/>
  <c r="N199" i="5"/>
  <c r="L199" i="5"/>
  <c r="G199" i="5"/>
  <c r="D199" i="5"/>
  <c r="E199" i="5"/>
  <c r="C199" i="5"/>
  <c r="O199" i="5"/>
  <c r="T199" i="5" l="1"/>
  <c r="P199" i="5"/>
  <c r="S200" i="5"/>
  <c r="A201" i="5"/>
  <c r="R200" i="5"/>
  <c r="Q200" i="5" s="1"/>
  <c r="B200" i="5"/>
  <c r="U198" i="5"/>
  <c r="F199" i="5"/>
  <c r="M200" i="5"/>
  <c r="O200" i="5"/>
  <c r="J200" i="5"/>
  <c r="C200" i="5"/>
  <c r="N200" i="5"/>
  <c r="E200" i="5"/>
  <c r="L200" i="5"/>
  <c r="K200" i="5"/>
  <c r="G200" i="5"/>
  <c r="D200" i="5"/>
  <c r="H200" i="5"/>
  <c r="I200" i="5"/>
  <c r="T200" i="5" l="1"/>
  <c r="P200" i="5"/>
  <c r="S201" i="5"/>
  <c r="A202" i="5"/>
  <c r="R201" i="5"/>
  <c r="Q201" i="5" s="1"/>
  <c r="B201" i="5"/>
  <c r="U199" i="5"/>
  <c r="F200" i="5"/>
  <c r="D201" i="5"/>
  <c r="M201" i="5"/>
  <c r="H201" i="5"/>
  <c r="C201" i="5"/>
  <c r="O201" i="5"/>
  <c r="K201" i="5"/>
  <c r="E201" i="5"/>
  <c r="N201" i="5"/>
  <c r="I201" i="5"/>
  <c r="G201" i="5"/>
  <c r="J201" i="5"/>
  <c r="L201" i="5"/>
  <c r="T201" i="5" l="1"/>
  <c r="P201" i="5"/>
  <c r="S202" i="5"/>
  <c r="B202" i="5"/>
  <c r="A203" i="5"/>
  <c r="R202" i="5"/>
  <c r="Q202" i="5" s="1"/>
  <c r="U200" i="5"/>
  <c r="F201" i="5"/>
  <c r="M202" i="5"/>
  <c r="G202" i="5"/>
  <c r="I202" i="5"/>
  <c r="D202" i="5"/>
  <c r="E202" i="5"/>
  <c r="O202" i="5"/>
  <c r="L202" i="5"/>
  <c r="J202" i="5"/>
  <c r="N202" i="5"/>
  <c r="H202" i="5"/>
  <c r="K202" i="5"/>
  <c r="C202" i="5"/>
  <c r="T202" i="5" l="1"/>
  <c r="P202" i="5"/>
  <c r="S203" i="5"/>
  <c r="A204" i="5"/>
  <c r="R203" i="5"/>
  <c r="Q203" i="5" s="1"/>
  <c r="B203" i="5"/>
  <c r="U201" i="5"/>
  <c r="F202" i="5"/>
  <c r="E203" i="5"/>
  <c r="M203" i="5"/>
  <c r="O203" i="5"/>
  <c r="H203" i="5"/>
  <c r="L203" i="5"/>
  <c r="D203" i="5"/>
  <c r="G203" i="5"/>
  <c r="K203" i="5"/>
  <c r="I203" i="5"/>
  <c r="C203" i="5"/>
  <c r="N203" i="5"/>
  <c r="J203" i="5"/>
  <c r="T203" i="5" l="1"/>
  <c r="P203" i="5"/>
  <c r="S204" i="5"/>
  <c r="A205" i="5"/>
  <c r="R204" i="5"/>
  <c r="Q204" i="5" s="1"/>
  <c r="B204" i="5"/>
  <c r="U202" i="5"/>
  <c r="F203" i="5"/>
  <c r="N204" i="5"/>
  <c r="M204" i="5"/>
  <c r="I204" i="5"/>
  <c r="O204" i="5"/>
  <c r="D204" i="5"/>
  <c r="K204" i="5"/>
  <c r="H204" i="5"/>
  <c r="E204" i="5"/>
  <c r="J204" i="5"/>
  <c r="L204" i="5"/>
  <c r="C204" i="5"/>
  <c r="G204" i="5"/>
  <c r="T204" i="5" l="1"/>
  <c r="P204" i="5"/>
  <c r="S205" i="5"/>
  <c r="A206" i="5"/>
  <c r="R205" i="5"/>
  <c r="Q205" i="5" s="1"/>
  <c r="B205" i="5"/>
  <c r="U203" i="5"/>
  <c r="I205" i="5"/>
  <c r="G205" i="5"/>
  <c r="N205" i="5"/>
  <c r="K205" i="5"/>
  <c r="H205" i="5"/>
  <c r="E205" i="5"/>
  <c r="L205" i="5"/>
  <c r="J205" i="5"/>
  <c r="O205" i="5"/>
  <c r="D205" i="5"/>
  <c r="C205" i="5"/>
  <c r="M205" i="5"/>
  <c r="F204" i="5"/>
  <c r="P205" i="5" l="1"/>
  <c r="T205" i="5"/>
  <c r="S206" i="5"/>
  <c r="B206" i="5"/>
  <c r="R206" i="5"/>
  <c r="Q206" i="5" s="1"/>
  <c r="A207" i="5"/>
  <c r="U204" i="5"/>
  <c r="F205" i="5"/>
  <c r="H206" i="5"/>
  <c r="L206" i="5"/>
  <c r="N206" i="5"/>
  <c r="D206" i="5"/>
  <c r="O206" i="5"/>
  <c r="M206" i="5"/>
  <c r="G206" i="5"/>
  <c r="K206" i="5"/>
  <c r="E206" i="5"/>
  <c r="J206" i="5"/>
  <c r="C206" i="5"/>
  <c r="I206" i="5"/>
  <c r="T206" i="5" l="1"/>
  <c r="P206" i="5"/>
  <c r="S207" i="5"/>
  <c r="A208" i="5"/>
  <c r="R207" i="5"/>
  <c r="Q207" i="5" s="1"/>
  <c r="B207" i="5"/>
  <c r="U205" i="5"/>
  <c r="F206" i="5"/>
  <c r="E207" i="5"/>
  <c r="H207" i="5"/>
  <c r="N207" i="5"/>
  <c r="D207" i="5"/>
  <c r="M207" i="5"/>
  <c r="K207" i="5"/>
  <c r="G207" i="5"/>
  <c r="L207" i="5"/>
  <c r="C207" i="5"/>
  <c r="I207" i="5"/>
  <c r="J207" i="5"/>
  <c r="O207" i="5"/>
  <c r="T207" i="5" l="1"/>
  <c r="P207" i="5"/>
  <c r="S208" i="5"/>
  <c r="A209" i="5"/>
  <c r="R208" i="5"/>
  <c r="Q208" i="5" s="1"/>
  <c r="B208" i="5"/>
  <c r="U206" i="5"/>
  <c r="F207" i="5"/>
  <c r="D208" i="5"/>
  <c r="N208" i="5"/>
  <c r="G208" i="5"/>
  <c r="J208" i="5"/>
  <c r="I208" i="5"/>
  <c r="L208" i="5"/>
  <c r="O208" i="5"/>
  <c r="H208" i="5"/>
  <c r="C208" i="5"/>
  <c r="E208" i="5"/>
  <c r="K208" i="5"/>
  <c r="M208" i="5"/>
  <c r="T208" i="5" l="1"/>
  <c r="P208" i="5"/>
  <c r="S209" i="5"/>
  <c r="A210" i="5"/>
  <c r="R209" i="5"/>
  <c r="Q209" i="5" s="1"/>
  <c r="B209" i="5"/>
  <c r="U207" i="5"/>
  <c r="F208" i="5"/>
  <c r="E209" i="5"/>
  <c r="K209" i="5"/>
  <c r="M209" i="5"/>
  <c r="J209" i="5"/>
  <c r="L209" i="5"/>
  <c r="O209" i="5"/>
  <c r="C209" i="5"/>
  <c r="D209" i="5"/>
  <c r="H209" i="5"/>
  <c r="G209" i="5"/>
  <c r="I209" i="5"/>
  <c r="N209" i="5"/>
  <c r="T209" i="5" l="1"/>
  <c r="P209" i="5"/>
  <c r="S210" i="5"/>
  <c r="B210" i="5"/>
  <c r="R210" i="5"/>
  <c r="Q210" i="5" s="1"/>
  <c r="A211" i="5"/>
  <c r="U208" i="5"/>
  <c r="F209" i="5"/>
  <c r="C210" i="5"/>
  <c r="G210" i="5"/>
  <c r="L210" i="5"/>
  <c r="K210" i="5"/>
  <c r="M210" i="5"/>
  <c r="D210" i="5"/>
  <c r="I210" i="5"/>
  <c r="O210" i="5"/>
  <c r="E210" i="5"/>
  <c r="H210" i="5"/>
  <c r="J210" i="5"/>
  <c r="N210" i="5"/>
  <c r="T210" i="5" l="1"/>
  <c r="P210" i="5"/>
  <c r="S211" i="5"/>
  <c r="B211" i="5"/>
  <c r="R211" i="5"/>
  <c r="Q211" i="5" s="1"/>
  <c r="A212" i="5"/>
  <c r="U209" i="5"/>
  <c r="F210" i="5"/>
  <c r="N211" i="5"/>
  <c r="D211" i="5"/>
  <c r="O211" i="5"/>
  <c r="E211" i="5"/>
  <c r="M211" i="5"/>
  <c r="J211" i="5"/>
  <c r="G211" i="5"/>
  <c r="H211" i="5"/>
  <c r="C211" i="5"/>
  <c r="L211" i="5"/>
  <c r="K211" i="5"/>
  <c r="I211" i="5"/>
  <c r="P211" i="5" l="1"/>
  <c r="T211" i="5"/>
  <c r="S212" i="5"/>
  <c r="B212" i="5"/>
  <c r="R212" i="5"/>
  <c r="Q212" i="5" s="1"/>
  <c r="A213" i="5"/>
  <c r="U210" i="5"/>
  <c r="F211" i="5"/>
  <c r="I212" i="5"/>
  <c r="H212" i="5"/>
  <c r="G212" i="5"/>
  <c r="N212" i="5"/>
  <c r="K212" i="5"/>
  <c r="J212" i="5"/>
  <c r="D212" i="5"/>
  <c r="O212" i="5"/>
  <c r="L212" i="5"/>
  <c r="C212" i="5"/>
  <c r="M212" i="5"/>
  <c r="E212" i="5"/>
  <c r="T212" i="5" l="1"/>
  <c r="P212" i="5"/>
  <c r="S213" i="5"/>
  <c r="B213" i="5"/>
  <c r="R213" i="5"/>
  <c r="Q213" i="5" s="1"/>
  <c r="A214" i="5"/>
  <c r="U211" i="5"/>
  <c r="F212" i="5"/>
  <c r="C213" i="5"/>
  <c r="O213" i="5"/>
  <c r="E213" i="5"/>
  <c r="I213" i="5"/>
  <c r="G213" i="5"/>
  <c r="K213" i="5"/>
  <c r="M213" i="5"/>
  <c r="J213" i="5"/>
  <c r="N213" i="5"/>
  <c r="H213" i="5"/>
  <c r="D213" i="5"/>
  <c r="L213" i="5"/>
  <c r="T213" i="5" l="1"/>
  <c r="P213" i="5"/>
  <c r="S214" i="5"/>
  <c r="B214" i="5"/>
  <c r="R214" i="5"/>
  <c r="Q214" i="5" s="1"/>
  <c r="A215" i="5"/>
  <c r="U212" i="5"/>
  <c r="F213" i="5"/>
  <c r="M214" i="5"/>
  <c r="H214" i="5"/>
  <c r="K214" i="5"/>
  <c r="C214" i="5"/>
  <c r="I214" i="5"/>
  <c r="G214" i="5"/>
  <c r="D214" i="5"/>
  <c r="N214" i="5"/>
  <c r="J214" i="5"/>
  <c r="E214" i="5"/>
  <c r="O214" i="5"/>
  <c r="L214" i="5"/>
  <c r="T214" i="5" l="1"/>
  <c r="P214" i="5"/>
  <c r="S215" i="5"/>
  <c r="B215" i="5"/>
  <c r="R215" i="5"/>
  <c r="Q215" i="5" s="1"/>
  <c r="A216" i="5"/>
  <c r="U213" i="5"/>
  <c r="F214" i="5"/>
  <c r="M215" i="5"/>
  <c r="N215" i="5"/>
  <c r="D215" i="5"/>
  <c r="E215" i="5"/>
  <c r="O215" i="5"/>
  <c r="G215" i="5"/>
  <c r="H215" i="5"/>
  <c r="L215" i="5"/>
  <c r="C215" i="5"/>
  <c r="J215" i="5"/>
  <c r="I215" i="5"/>
  <c r="K215" i="5"/>
  <c r="T215" i="5" l="1"/>
  <c r="P215" i="5"/>
  <c r="S216" i="5"/>
  <c r="B216" i="5"/>
  <c r="R216" i="5"/>
  <c r="Q216" i="5" s="1"/>
  <c r="A217" i="5"/>
  <c r="U214" i="5"/>
  <c r="F215" i="5"/>
  <c r="M216" i="5"/>
  <c r="C216" i="5"/>
  <c r="D216" i="5"/>
  <c r="H216" i="5"/>
  <c r="K216" i="5"/>
  <c r="O216" i="5"/>
  <c r="L216" i="5"/>
  <c r="E216" i="5"/>
  <c r="I216" i="5"/>
  <c r="G216" i="5"/>
  <c r="J216" i="5"/>
  <c r="N216" i="5"/>
  <c r="T216" i="5" l="1"/>
  <c r="P216" i="5"/>
  <c r="S217" i="5"/>
  <c r="B217" i="5"/>
  <c r="R217" i="5"/>
  <c r="Q217" i="5" s="1"/>
  <c r="A218" i="5"/>
  <c r="U215" i="5"/>
  <c r="F216" i="5"/>
  <c r="K217" i="5"/>
  <c r="O217" i="5"/>
  <c r="L217" i="5"/>
  <c r="I217" i="5"/>
  <c r="M217" i="5"/>
  <c r="D217" i="5"/>
  <c r="H217" i="5"/>
  <c r="N217" i="5"/>
  <c r="C217" i="5"/>
  <c r="E217" i="5"/>
  <c r="J217" i="5"/>
  <c r="G217" i="5"/>
  <c r="T217" i="5" l="1"/>
  <c r="P217" i="5"/>
  <c r="S218" i="5"/>
  <c r="B218" i="5"/>
  <c r="R218" i="5"/>
  <c r="Q218" i="5" s="1"/>
  <c r="A219" i="5"/>
  <c r="U216" i="5"/>
  <c r="F217" i="5"/>
  <c r="J218" i="5"/>
  <c r="E218" i="5"/>
  <c r="O218" i="5"/>
  <c r="K218" i="5"/>
  <c r="G218" i="5"/>
  <c r="H218" i="5"/>
  <c r="I218" i="5"/>
  <c r="L218" i="5"/>
  <c r="M218" i="5"/>
  <c r="N218" i="5"/>
  <c r="D218" i="5"/>
  <c r="C218" i="5"/>
  <c r="T218" i="5" l="1"/>
  <c r="P218" i="5"/>
  <c r="S219" i="5"/>
  <c r="B219" i="5"/>
  <c r="R219" i="5"/>
  <c r="Q219" i="5" s="1"/>
  <c r="A220" i="5"/>
  <c r="U217" i="5"/>
  <c r="F218" i="5"/>
  <c r="L219" i="5"/>
  <c r="C219" i="5"/>
  <c r="N219" i="5"/>
  <c r="G219" i="5"/>
  <c r="I219" i="5"/>
  <c r="J219" i="5"/>
  <c r="E219" i="5"/>
  <c r="M219" i="5"/>
  <c r="H219" i="5"/>
  <c r="D219" i="5"/>
  <c r="O219" i="5"/>
  <c r="K219" i="5"/>
  <c r="T219" i="5" l="1"/>
  <c r="P219" i="5"/>
  <c r="S220" i="5"/>
  <c r="B220" i="5"/>
  <c r="R220" i="5"/>
  <c r="Q220" i="5" s="1"/>
  <c r="A221" i="5"/>
  <c r="U218" i="5"/>
  <c r="F219" i="5"/>
  <c r="G220" i="5"/>
  <c r="D220" i="5"/>
  <c r="I220" i="5"/>
  <c r="J220" i="5"/>
  <c r="M220" i="5"/>
  <c r="L220" i="5"/>
  <c r="O220" i="5"/>
  <c r="N220" i="5"/>
  <c r="K220" i="5"/>
  <c r="E220" i="5"/>
  <c r="H220" i="5"/>
  <c r="C220" i="5"/>
  <c r="T220" i="5" l="1"/>
  <c r="P220" i="5"/>
  <c r="S221" i="5"/>
  <c r="B221" i="5"/>
  <c r="R221" i="5"/>
  <c r="Q221" i="5" s="1"/>
  <c r="A222" i="5"/>
  <c r="U219" i="5"/>
  <c r="F220" i="5"/>
  <c r="K221" i="5"/>
  <c r="M221" i="5"/>
  <c r="D221" i="5"/>
  <c r="J221" i="5"/>
  <c r="O221" i="5"/>
  <c r="N221" i="5"/>
  <c r="C221" i="5"/>
  <c r="H221" i="5"/>
  <c r="G221" i="5"/>
  <c r="E221" i="5"/>
  <c r="I221" i="5"/>
  <c r="L221" i="5"/>
  <c r="T221" i="5" l="1"/>
  <c r="P221" i="5"/>
  <c r="S222" i="5"/>
  <c r="B222" i="5"/>
  <c r="R222" i="5"/>
  <c r="Q222" i="5" s="1"/>
  <c r="A223" i="5"/>
  <c r="U220" i="5"/>
  <c r="F221" i="5"/>
  <c r="N222" i="5"/>
  <c r="J222" i="5"/>
  <c r="D222" i="5"/>
  <c r="C222" i="5"/>
  <c r="H222" i="5"/>
  <c r="I222" i="5"/>
  <c r="O222" i="5"/>
  <c r="G222" i="5"/>
  <c r="L222" i="5"/>
  <c r="M222" i="5"/>
  <c r="E222" i="5"/>
  <c r="K222" i="5"/>
  <c r="P222" i="5" l="1"/>
  <c r="T222" i="5"/>
  <c r="S223" i="5"/>
  <c r="B223" i="5"/>
  <c r="R223" i="5"/>
  <c r="Q223" i="5" s="1"/>
  <c r="A224" i="5"/>
  <c r="U221" i="5"/>
  <c r="F222" i="5"/>
  <c r="E223" i="5"/>
  <c r="J223" i="5"/>
  <c r="K223" i="5"/>
  <c r="L223" i="5"/>
  <c r="D223" i="5"/>
  <c r="M223" i="5"/>
  <c r="O223" i="5"/>
  <c r="G223" i="5"/>
  <c r="I223" i="5"/>
  <c r="N223" i="5"/>
  <c r="H223" i="5"/>
  <c r="C223" i="5"/>
  <c r="T223" i="5" l="1"/>
  <c r="P223" i="5"/>
  <c r="S224" i="5"/>
  <c r="A225" i="5"/>
  <c r="B224" i="5"/>
  <c r="R224" i="5"/>
  <c r="Q224" i="5" s="1"/>
  <c r="U222" i="5"/>
  <c r="F223" i="5"/>
  <c r="E224" i="5"/>
  <c r="J224" i="5"/>
  <c r="D224" i="5"/>
  <c r="K224" i="5"/>
  <c r="I224" i="5"/>
  <c r="G224" i="5"/>
  <c r="C224" i="5"/>
  <c r="H224" i="5"/>
  <c r="N224" i="5"/>
  <c r="M224" i="5"/>
  <c r="L224" i="5"/>
  <c r="O224" i="5"/>
  <c r="T224" i="5" l="1"/>
  <c r="P224" i="5"/>
  <c r="S225" i="5"/>
  <c r="B225" i="5"/>
  <c r="R225" i="5"/>
  <c r="Q225" i="5" s="1"/>
  <c r="A226" i="5"/>
  <c r="U223" i="5"/>
  <c r="F224" i="5"/>
  <c r="C225" i="5"/>
  <c r="N225" i="5"/>
  <c r="L225" i="5"/>
  <c r="O225" i="5"/>
  <c r="D225" i="5"/>
  <c r="H225" i="5"/>
  <c r="G225" i="5"/>
  <c r="E225" i="5"/>
  <c r="I225" i="5"/>
  <c r="K225" i="5"/>
  <c r="M225" i="5"/>
  <c r="J225" i="5"/>
  <c r="T225" i="5" l="1"/>
  <c r="P225" i="5"/>
  <c r="S226" i="5"/>
  <c r="B226" i="5"/>
  <c r="R226" i="5"/>
  <c r="Q226" i="5" s="1"/>
  <c r="A227" i="5"/>
  <c r="U224" i="5"/>
  <c r="F225" i="5"/>
  <c r="C226" i="5"/>
  <c r="O226" i="5"/>
  <c r="J226" i="5"/>
  <c r="K226" i="5"/>
  <c r="I226" i="5"/>
  <c r="G226" i="5"/>
  <c r="H226" i="5"/>
  <c r="L226" i="5"/>
  <c r="D226" i="5"/>
  <c r="N226" i="5"/>
  <c r="E226" i="5"/>
  <c r="M226" i="5"/>
  <c r="T226" i="5" l="1"/>
  <c r="P226" i="5"/>
  <c r="S227" i="5"/>
  <c r="B227" i="5"/>
  <c r="R227" i="5"/>
  <c r="Q227" i="5" s="1"/>
  <c r="A228" i="5"/>
  <c r="U225" i="5"/>
  <c r="F226" i="5"/>
  <c r="C227" i="5"/>
  <c r="L227" i="5"/>
  <c r="D227" i="5"/>
  <c r="K227" i="5"/>
  <c r="N227" i="5"/>
  <c r="G227" i="5"/>
  <c r="E227" i="5"/>
  <c r="H227" i="5"/>
  <c r="J227" i="5"/>
  <c r="I227" i="5"/>
  <c r="O227" i="5"/>
  <c r="M227" i="5"/>
  <c r="T227" i="5" l="1"/>
  <c r="P227" i="5"/>
  <c r="S228" i="5"/>
  <c r="B228" i="5"/>
  <c r="R228" i="5"/>
  <c r="Q228" i="5" s="1"/>
  <c r="A229" i="5"/>
  <c r="U226" i="5"/>
  <c r="F227" i="5"/>
  <c r="O228" i="5"/>
  <c r="H228" i="5"/>
  <c r="C228" i="5"/>
  <c r="D228" i="5"/>
  <c r="N228" i="5"/>
  <c r="J228" i="5"/>
  <c r="M228" i="5"/>
  <c r="G228" i="5"/>
  <c r="I228" i="5"/>
  <c r="L228" i="5"/>
  <c r="K228" i="5"/>
  <c r="E228" i="5"/>
  <c r="T228" i="5" l="1"/>
  <c r="P228" i="5"/>
  <c r="S229" i="5"/>
  <c r="B229" i="5"/>
  <c r="R229" i="5"/>
  <c r="Q229" i="5" s="1"/>
  <c r="A230" i="5"/>
  <c r="U227" i="5"/>
  <c r="F228" i="5"/>
  <c r="I229" i="5"/>
  <c r="H229" i="5"/>
  <c r="J229" i="5"/>
  <c r="L229" i="5"/>
  <c r="D229" i="5"/>
  <c r="C229" i="5"/>
  <c r="N229" i="5"/>
  <c r="G229" i="5"/>
  <c r="O229" i="5"/>
  <c r="M229" i="5"/>
  <c r="E229" i="5"/>
  <c r="K229" i="5"/>
  <c r="T229" i="5" l="1"/>
  <c r="P229" i="5"/>
  <c r="S230" i="5"/>
  <c r="B230" i="5"/>
  <c r="R230" i="5"/>
  <c r="Q230" i="5" s="1"/>
  <c r="A231" i="5"/>
  <c r="U228" i="5"/>
  <c r="F229" i="5"/>
  <c r="E230" i="5"/>
  <c r="N230" i="5"/>
  <c r="I230" i="5"/>
  <c r="H230" i="5"/>
  <c r="D230" i="5"/>
  <c r="K230" i="5"/>
  <c r="J230" i="5"/>
  <c r="O230" i="5"/>
  <c r="M230" i="5"/>
  <c r="L230" i="5"/>
  <c r="G230" i="5"/>
  <c r="C230" i="5"/>
  <c r="T230" i="5" l="1"/>
  <c r="P230" i="5"/>
  <c r="U230" i="5" s="1"/>
  <c r="S231" i="5"/>
  <c r="B231" i="5"/>
  <c r="R231" i="5"/>
  <c r="Q231" i="5" s="1"/>
  <c r="A232" i="5"/>
  <c r="U229" i="5"/>
  <c r="K231" i="5"/>
  <c r="H231" i="5"/>
  <c r="G231" i="5"/>
  <c r="D231" i="5"/>
  <c r="L231" i="5"/>
  <c r="M231" i="5"/>
  <c r="C231" i="5"/>
  <c r="J231" i="5"/>
  <c r="O231" i="5"/>
  <c r="E231" i="5"/>
  <c r="I231" i="5"/>
  <c r="N231" i="5"/>
  <c r="F230" i="5"/>
  <c r="T231" i="5" l="1"/>
  <c r="P231" i="5"/>
  <c r="S232" i="5"/>
  <c r="A233" i="5"/>
  <c r="R232" i="5"/>
  <c r="Q232" i="5" s="1"/>
  <c r="B232" i="5"/>
  <c r="F231" i="5"/>
  <c r="M232" i="5"/>
  <c r="O232" i="5"/>
  <c r="D232" i="5"/>
  <c r="L232" i="5"/>
  <c r="I232" i="5"/>
  <c r="K232" i="5"/>
  <c r="J232" i="5"/>
  <c r="G232" i="5"/>
  <c r="C232" i="5"/>
  <c r="E232" i="5"/>
  <c r="H232" i="5"/>
  <c r="N232" i="5"/>
  <c r="T232" i="5" l="1"/>
  <c r="P232" i="5"/>
  <c r="S233" i="5"/>
  <c r="A234" i="5"/>
  <c r="R233" i="5"/>
  <c r="Q233" i="5" s="1"/>
  <c r="B233" i="5"/>
  <c r="U231" i="5"/>
  <c r="F232" i="5"/>
  <c r="I233" i="5"/>
  <c r="E233" i="5"/>
  <c r="C233" i="5"/>
  <c r="M233" i="5"/>
  <c r="D233" i="5"/>
  <c r="K233" i="5"/>
  <c r="O233" i="5"/>
  <c r="L233" i="5"/>
  <c r="N233" i="5"/>
  <c r="H233" i="5"/>
  <c r="J233" i="5"/>
  <c r="G233" i="5"/>
  <c r="T233" i="5" l="1"/>
  <c r="P233" i="5"/>
  <c r="S234" i="5"/>
  <c r="R234" i="5"/>
  <c r="Q234" i="5" s="1"/>
  <c r="A235" i="5"/>
  <c r="B234" i="5"/>
  <c r="U232" i="5"/>
  <c r="F233" i="5"/>
  <c r="O234" i="5"/>
  <c r="K234" i="5"/>
  <c r="H234" i="5"/>
  <c r="L234" i="5"/>
  <c r="G234" i="5"/>
  <c r="E234" i="5"/>
  <c r="J234" i="5"/>
  <c r="C234" i="5"/>
  <c r="I234" i="5"/>
  <c r="N234" i="5"/>
  <c r="D234" i="5"/>
  <c r="M234" i="5"/>
  <c r="T234" i="5" l="1"/>
  <c r="P234" i="5"/>
  <c r="S235" i="5"/>
  <c r="R235" i="5"/>
  <c r="Q235" i="5" s="1"/>
  <c r="B235" i="5"/>
  <c r="A236" i="5"/>
  <c r="U233" i="5"/>
  <c r="F234" i="5"/>
  <c r="O235" i="5"/>
  <c r="H235" i="5"/>
  <c r="K235" i="5"/>
  <c r="C235" i="5"/>
  <c r="E235" i="5"/>
  <c r="D235" i="5"/>
  <c r="N235" i="5"/>
  <c r="G235" i="5"/>
  <c r="I235" i="5"/>
  <c r="L235" i="5"/>
  <c r="M235" i="5"/>
  <c r="J235" i="5"/>
  <c r="T235" i="5" l="1"/>
  <c r="P235" i="5"/>
  <c r="S236" i="5"/>
  <c r="A237" i="5"/>
  <c r="R236" i="5"/>
  <c r="Q236" i="5" s="1"/>
  <c r="B236" i="5"/>
  <c r="U234" i="5"/>
  <c r="F235" i="5"/>
  <c r="E236" i="5"/>
  <c r="J236" i="5"/>
  <c r="M236" i="5"/>
  <c r="I236" i="5"/>
  <c r="H236" i="5"/>
  <c r="C236" i="5"/>
  <c r="N236" i="5"/>
  <c r="O236" i="5"/>
  <c r="G236" i="5"/>
  <c r="K236" i="5"/>
  <c r="L236" i="5"/>
  <c r="D236" i="5"/>
  <c r="T236" i="5" l="1"/>
  <c r="P236" i="5"/>
  <c r="S237" i="5"/>
  <c r="A238" i="5"/>
  <c r="R237" i="5"/>
  <c r="Q237" i="5" s="1"/>
  <c r="B237" i="5"/>
  <c r="U235" i="5"/>
  <c r="F236" i="5"/>
  <c r="M237" i="5"/>
  <c r="L237" i="5"/>
  <c r="I237" i="5"/>
  <c r="O237" i="5"/>
  <c r="J237" i="5"/>
  <c r="C237" i="5"/>
  <c r="G237" i="5"/>
  <c r="E237" i="5"/>
  <c r="H237" i="5"/>
  <c r="D237" i="5"/>
  <c r="N237" i="5"/>
  <c r="K237" i="5"/>
  <c r="T237" i="5" l="1"/>
  <c r="P237" i="5"/>
  <c r="S238" i="5"/>
  <c r="A239" i="5"/>
  <c r="R238" i="5"/>
  <c r="Q238" i="5" s="1"/>
  <c r="B238" i="5"/>
  <c r="U236" i="5"/>
  <c r="F237" i="5"/>
  <c r="N238" i="5"/>
  <c r="E238" i="5"/>
  <c r="H238" i="5"/>
  <c r="O238" i="5"/>
  <c r="J238" i="5"/>
  <c r="I238" i="5"/>
  <c r="K238" i="5"/>
  <c r="L238" i="5"/>
  <c r="G238" i="5"/>
  <c r="C238" i="5"/>
  <c r="D238" i="5"/>
  <c r="M238" i="5"/>
  <c r="T238" i="5" l="1"/>
  <c r="P238" i="5"/>
  <c r="S239" i="5"/>
  <c r="A240" i="5"/>
  <c r="R239" i="5"/>
  <c r="Q239" i="5" s="1"/>
  <c r="B239" i="5"/>
  <c r="U237" i="5"/>
  <c r="F238" i="5"/>
  <c r="I239" i="5"/>
  <c r="C239" i="5"/>
  <c r="M239" i="5"/>
  <c r="H239" i="5"/>
  <c r="J239" i="5"/>
  <c r="K239" i="5"/>
  <c r="N239" i="5"/>
  <c r="D239" i="5"/>
  <c r="G239" i="5"/>
  <c r="O239" i="5"/>
  <c r="E239" i="5"/>
  <c r="L239" i="5"/>
  <c r="T239" i="5" l="1"/>
  <c r="P239" i="5"/>
  <c r="S240" i="5"/>
  <c r="A241" i="5"/>
  <c r="R240" i="5"/>
  <c r="Q240" i="5" s="1"/>
  <c r="B240" i="5"/>
  <c r="U238" i="5"/>
  <c r="F239" i="5"/>
  <c r="M240" i="5"/>
  <c r="O240" i="5"/>
  <c r="J240" i="5"/>
  <c r="N240" i="5"/>
  <c r="K240" i="5"/>
  <c r="E240" i="5"/>
  <c r="C240" i="5"/>
  <c r="H240" i="5"/>
  <c r="G240" i="5"/>
  <c r="I240" i="5"/>
  <c r="L240" i="5"/>
  <c r="D240" i="5"/>
  <c r="T240" i="5" l="1"/>
  <c r="P240" i="5"/>
  <c r="S241" i="5"/>
  <c r="A242" i="5"/>
  <c r="R241" i="5"/>
  <c r="Q241" i="5" s="1"/>
  <c r="B241" i="5"/>
  <c r="U239" i="5"/>
  <c r="F240" i="5"/>
  <c r="H241" i="5"/>
  <c r="G241" i="5"/>
  <c r="L241" i="5"/>
  <c r="M241" i="5"/>
  <c r="O241" i="5"/>
  <c r="J241" i="5"/>
  <c r="D241" i="5"/>
  <c r="C241" i="5"/>
  <c r="E241" i="5"/>
  <c r="I241" i="5"/>
  <c r="K241" i="5"/>
  <c r="N241" i="5"/>
  <c r="T241" i="5" l="1"/>
  <c r="P241" i="5"/>
  <c r="S242" i="5"/>
  <c r="A243" i="5"/>
  <c r="R242" i="5"/>
  <c r="Q242" i="5" s="1"/>
  <c r="B242" i="5"/>
  <c r="U240" i="5"/>
  <c r="F241" i="5"/>
  <c r="J242" i="5"/>
  <c r="N242" i="5"/>
  <c r="G242" i="5"/>
  <c r="K242" i="5"/>
  <c r="C242" i="5"/>
  <c r="L242" i="5"/>
  <c r="O242" i="5"/>
  <c r="D242" i="5"/>
  <c r="H242" i="5"/>
  <c r="I242" i="5"/>
  <c r="M242" i="5"/>
  <c r="E242" i="5"/>
  <c r="T242" i="5" l="1"/>
  <c r="P242" i="5"/>
  <c r="S243" i="5"/>
  <c r="A244" i="5"/>
  <c r="R243" i="5"/>
  <c r="Q243" i="5" s="1"/>
  <c r="B243" i="5"/>
  <c r="U241" i="5"/>
  <c r="F242" i="5"/>
  <c r="C243" i="5"/>
  <c r="N243" i="5"/>
  <c r="D243" i="5"/>
  <c r="H243" i="5"/>
  <c r="I243" i="5"/>
  <c r="E243" i="5"/>
  <c r="O243" i="5"/>
  <c r="J243" i="5"/>
  <c r="M243" i="5"/>
  <c r="L243" i="5"/>
  <c r="K243" i="5"/>
  <c r="G243" i="5"/>
  <c r="T243" i="5" l="1"/>
  <c r="P243" i="5"/>
  <c r="S244" i="5"/>
  <c r="A245" i="5"/>
  <c r="R244" i="5"/>
  <c r="Q244" i="5" s="1"/>
  <c r="B244" i="5"/>
  <c r="U242" i="5"/>
  <c r="F243" i="5"/>
  <c r="D244" i="5"/>
  <c r="I244" i="5"/>
  <c r="E244" i="5"/>
  <c r="K244" i="5"/>
  <c r="O244" i="5"/>
  <c r="G244" i="5"/>
  <c r="L244" i="5"/>
  <c r="J244" i="5"/>
  <c r="H244" i="5"/>
  <c r="C244" i="5"/>
  <c r="M244" i="5"/>
  <c r="N244" i="5"/>
  <c r="T244" i="5" l="1"/>
  <c r="P244" i="5"/>
  <c r="S245" i="5"/>
  <c r="A246" i="5"/>
  <c r="R245" i="5"/>
  <c r="Q245" i="5" s="1"/>
  <c r="B245" i="5"/>
  <c r="U243" i="5"/>
  <c r="F244" i="5"/>
  <c r="D245" i="5"/>
  <c r="O245" i="5"/>
  <c r="K245" i="5"/>
  <c r="H245" i="5"/>
  <c r="C245" i="5"/>
  <c r="J245" i="5"/>
  <c r="G245" i="5"/>
  <c r="I245" i="5"/>
  <c r="E245" i="5"/>
  <c r="M245" i="5"/>
  <c r="L245" i="5"/>
  <c r="N245" i="5"/>
  <c r="T245" i="5" l="1"/>
  <c r="P245" i="5"/>
  <c r="S246" i="5"/>
  <c r="A247" i="5"/>
  <c r="R246" i="5"/>
  <c r="Q246" i="5" s="1"/>
  <c r="B246" i="5"/>
  <c r="U244" i="5"/>
  <c r="F245" i="5"/>
  <c r="C246" i="5"/>
  <c r="O246" i="5"/>
  <c r="M246" i="5"/>
  <c r="G246" i="5"/>
  <c r="D246" i="5"/>
  <c r="H246" i="5"/>
  <c r="K246" i="5"/>
  <c r="J246" i="5"/>
  <c r="N246" i="5"/>
  <c r="I246" i="5"/>
  <c r="L246" i="5"/>
  <c r="E246" i="5"/>
  <c r="T246" i="5" l="1"/>
  <c r="P246" i="5"/>
  <c r="S247" i="5"/>
  <c r="A248" i="5"/>
  <c r="R247" i="5"/>
  <c r="Q247" i="5" s="1"/>
  <c r="B247" i="5"/>
  <c r="U245" i="5"/>
  <c r="F246" i="5"/>
  <c r="L247" i="5"/>
  <c r="D247" i="5"/>
  <c r="E247" i="5"/>
  <c r="H247" i="5"/>
  <c r="K247" i="5"/>
  <c r="O247" i="5"/>
  <c r="N247" i="5"/>
  <c r="I247" i="5"/>
  <c r="M247" i="5"/>
  <c r="J247" i="5"/>
  <c r="G247" i="5"/>
  <c r="C247" i="5"/>
  <c r="T247" i="5" l="1"/>
  <c r="P247" i="5"/>
  <c r="S248" i="5"/>
  <c r="A249" i="5"/>
  <c r="R248" i="5"/>
  <c r="Q248" i="5" s="1"/>
  <c r="B248" i="5"/>
  <c r="U246" i="5"/>
  <c r="F247" i="5"/>
  <c r="C248" i="5"/>
  <c r="I248" i="5"/>
  <c r="G248" i="5"/>
  <c r="O248" i="5"/>
  <c r="L248" i="5"/>
  <c r="D248" i="5"/>
  <c r="M248" i="5"/>
  <c r="J248" i="5"/>
  <c r="N248" i="5"/>
  <c r="H248" i="5"/>
  <c r="E248" i="5"/>
  <c r="K248" i="5"/>
  <c r="T248" i="5" l="1"/>
  <c r="P248" i="5"/>
  <c r="S249" i="5"/>
  <c r="B249" i="5"/>
  <c r="A250" i="5"/>
  <c r="R249" i="5"/>
  <c r="Q249" i="5" s="1"/>
  <c r="U247" i="5"/>
  <c r="F248" i="5"/>
  <c r="J249" i="5"/>
  <c r="N249" i="5"/>
  <c r="D249" i="5"/>
  <c r="C249" i="5"/>
  <c r="H249" i="5"/>
  <c r="O249" i="5"/>
  <c r="G249" i="5"/>
  <c r="K249" i="5"/>
  <c r="I249" i="5"/>
  <c r="L249" i="5"/>
  <c r="M249" i="5"/>
  <c r="E249" i="5"/>
  <c r="T249" i="5" l="1"/>
  <c r="P249" i="5"/>
  <c r="S250" i="5"/>
  <c r="A251" i="5"/>
  <c r="R250" i="5"/>
  <c r="Q250" i="5" s="1"/>
  <c r="B250" i="5"/>
  <c r="U248" i="5"/>
  <c r="F249" i="5"/>
  <c r="G250" i="5"/>
  <c r="I250" i="5"/>
  <c r="L250" i="5"/>
  <c r="J250" i="5"/>
  <c r="E250" i="5"/>
  <c r="C250" i="5"/>
  <c r="H250" i="5"/>
  <c r="K250" i="5"/>
  <c r="M250" i="5"/>
  <c r="O250" i="5"/>
  <c r="N250" i="5"/>
  <c r="D250" i="5"/>
  <c r="T250" i="5" l="1"/>
  <c r="P250" i="5"/>
  <c r="S251" i="5"/>
  <c r="A252" i="5"/>
  <c r="R251" i="5"/>
  <c r="Q251" i="5" s="1"/>
  <c r="B251" i="5"/>
  <c r="U249" i="5"/>
  <c r="F250" i="5"/>
  <c r="I251" i="5"/>
  <c r="N251" i="5"/>
  <c r="H251" i="5"/>
  <c r="C251" i="5"/>
  <c r="D251" i="5"/>
  <c r="G251" i="5"/>
  <c r="M251" i="5"/>
  <c r="L251" i="5"/>
  <c r="J251" i="5"/>
  <c r="E251" i="5"/>
  <c r="K251" i="5"/>
  <c r="O251" i="5"/>
  <c r="T251" i="5" l="1"/>
  <c r="P251" i="5"/>
  <c r="S252" i="5"/>
  <c r="A253" i="5"/>
  <c r="R252" i="5"/>
  <c r="Q252" i="5" s="1"/>
  <c r="B252" i="5"/>
  <c r="U250" i="5"/>
  <c r="F251" i="5"/>
  <c r="C252" i="5"/>
  <c r="K252" i="5"/>
  <c r="E252" i="5"/>
  <c r="J252" i="5"/>
  <c r="N252" i="5"/>
  <c r="H252" i="5"/>
  <c r="D252" i="5"/>
  <c r="M252" i="5"/>
  <c r="O252" i="5"/>
  <c r="G252" i="5"/>
  <c r="I252" i="5"/>
  <c r="L252" i="5"/>
  <c r="T252" i="5" l="1"/>
  <c r="P252" i="5"/>
  <c r="S253" i="5"/>
  <c r="B253" i="5"/>
  <c r="A254" i="5"/>
  <c r="R253" i="5"/>
  <c r="Q253" i="5" s="1"/>
  <c r="U251" i="5"/>
  <c r="F252" i="5"/>
  <c r="N253" i="5"/>
  <c r="C253" i="5"/>
  <c r="M253" i="5"/>
  <c r="O253" i="5"/>
  <c r="G253" i="5"/>
  <c r="H253" i="5"/>
  <c r="K253" i="5"/>
  <c r="D253" i="5"/>
  <c r="J253" i="5"/>
  <c r="E253" i="5"/>
  <c r="I253" i="5"/>
  <c r="L253" i="5"/>
  <c r="T253" i="5" l="1"/>
  <c r="P253" i="5"/>
  <c r="S254" i="5"/>
  <c r="B254" i="5"/>
  <c r="A255" i="5"/>
  <c r="R254" i="5"/>
  <c r="Q254" i="5" s="1"/>
  <c r="U252" i="5"/>
  <c r="F253" i="5"/>
  <c r="C254" i="5"/>
  <c r="E254" i="5"/>
  <c r="D254" i="5"/>
  <c r="M254" i="5"/>
  <c r="L254" i="5"/>
  <c r="H254" i="5"/>
  <c r="J254" i="5"/>
  <c r="I254" i="5"/>
  <c r="G254" i="5"/>
  <c r="O254" i="5"/>
  <c r="K254" i="5"/>
  <c r="N254" i="5"/>
  <c r="T254" i="5" l="1"/>
  <c r="P254" i="5"/>
  <c r="S255" i="5"/>
  <c r="B255" i="5"/>
  <c r="R255" i="5"/>
  <c r="Q255" i="5" s="1"/>
  <c r="A256" i="5"/>
  <c r="U253" i="5"/>
  <c r="F254" i="5"/>
  <c r="D255" i="5"/>
  <c r="K255" i="5"/>
  <c r="L255" i="5"/>
  <c r="N255" i="5"/>
  <c r="I255" i="5"/>
  <c r="J255" i="5"/>
  <c r="M255" i="5"/>
  <c r="C255" i="5"/>
  <c r="O255" i="5"/>
  <c r="G255" i="5"/>
  <c r="H255" i="5"/>
  <c r="E255" i="5"/>
  <c r="T255" i="5" l="1"/>
  <c r="P255" i="5"/>
  <c r="S256" i="5"/>
  <c r="B256" i="5"/>
  <c r="R256" i="5"/>
  <c r="Q256" i="5" s="1"/>
  <c r="A257" i="5"/>
  <c r="U254" i="5"/>
  <c r="F255" i="5"/>
  <c r="K256" i="5"/>
  <c r="H256" i="5"/>
  <c r="L256" i="5"/>
  <c r="N256" i="5"/>
  <c r="C256" i="5"/>
  <c r="I256" i="5"/>
  <c r="E256" i="5"/>
  <c r="J256" i="5"/>
  <c r="G256" i="5"/>
  <c r="M256" i="5"/>
  <c r="D256" i="5"/>
  <c r="O256" i="5"/>
  <c r="T256" i="5" l="1"/>
  <c r="P256" i="5"/>
  <c r="S257" i="5"/>
  <c r="A258" i="5"/>
  <c r="B257" i="5"/>
  <c r="R257" i="5"/>
  <c r="Q257" i="5" s="1"/>
  <c r="U255" i="5"/>
  <c r="F256" i="5"/>
  <c r="D257" i="5"/>
  <c r="I257" i="5"/>
  <c r="O257" i="5"/>
  <c r="J257" i="5"/>
  <c r="H257" i="5"/>
  <c r="C257" i="5"/>
  <c r="N257" i="5"/>
  <c r="K257" i="5"/>
  <c r="M257" i="5"/>
  <c r="L257" i="5"/>
  <c r="E257" i="5"/>
  <c r="G257" i="5"/>
  <c r="T257" i="5" l="1"/>
  <c r="P257" i="5"/>
  <c r="S258" i="5"/>
  <c r="A259" i="5"/>
  <c r="B258" i="5"/>
  <c r="R258" i="5"/>
  <c r="Q258" i="5" s="1"/>
  <c r="U256" i="5"/>
  <c r="F257" i="5"/>
  <c r="D258" i="5"/>
  <c r="N258" i="5"/>
  <c r="L258" i="5"/>
  <c r="I258" i="5"/>
  <c r="G258" i="5"/>
  <c r="K258" i="5"/>
  <c r="O258" i="5"/>
  <c r="H258" i="5"/>
  <c r="E258" i="5"/>
  <c r="J258" i="5"/>
  <c r="C258" i="5"/>
  <c r="M258" i="5"/>
  <c r="T258" i="5" l="1"/>
  <c r="P258" i="5"/>
  <c r="S259" i="5"/>
  <c r="B259" i="5"/>
  <c r="R259" i="5"/>
  <c r="Q259" i="5" s="1"/>
  <c r="A260" i="5"/>
  <c r="U257" i="5"/>
  <c r="F258" i="5"/>
  <c r="C259" i="5"/>
  <c r="E259" i="5"/>
  <c r="D259" i="5"/>
  <c r="J259" i="5"/>
  <c r="K259" i="5"/>
  <c r="O259" i="5"/>
  <c r="G259" i="5"/>
  <c r="H259" i="5"/>
  <c r="N259" i="5"/>
  <c r="M259" i="5"/>
  <c r="L259" i="5"/>
  <c r="I259" i="5"/>
  <c r="T259" i="5" l="1"/>
  <c r="P259" i="5"/>
  <c r="S260" i="5"/>
  <c r="B260" i="5"/>
  <c r="R260" i="5"/>
  <c r="Q260" i="5" s="1"/>
  <c r="A261" i="5"/>
  <c r="U258" i="5"/>
  <c r="F259" i="5"/>
  <c r="G260" i="5"/>
  <c r="J260" i="5"/>
  <c r="C260" i="5"/>
  <c r="K260" i="5"/>
  <c r="L260" i="5"/>
  <c r="H260" i="5"/>
  <c r="D260" i="5"/>
  <c r="N260" i="5"/>
  <c r="M260" i="5"/>
  <c r="O260" i="5"/>
  <c r="E260" i="5"/>
  <c r="I260" i="5"/>
  <c r="T260" i="5" l="1"/>
  <c r="P260" i="5"/>
  <c r="S261" i="5"/>
  <c r="B261" i="5"/>
  <c r="R261" i="5"/>
  <c r="Q261" i="5" s="1"/>
  <c r="A262" i="5"/>
  <c r="U259" i="5"/>
  <c r="F260" i="5"/>
  <c r="D261" i="5"/>
  <c r="C261" i="5"/>
  <c r="I261" i="5"/>
  <c r="N261" i="5"/>
  <c r="J261" i="5"/>
  <c r="G261" i="5"/>
  <c r="K261" i="5"/>
  <c r="M261" i="5"/>
  <c r="E261" i="5"/>
  <c r="O261" i="5"/>
  <c r="H261" i="5"/>
  <c r="L261" i="5"/>
  <c r="T261" i="5" l="1"/>
  <c r="P261" i="5"/>
  <c r="S262" i="5"/>
  <c r="B262" i="5"/>
  <c r="R262" i="5"/>
  <c r="Q262" i="5" s="1"/>
  <c r="A263" i="5"/>
  <c r="U260" i="5"/>
  <c r="F261" i="5"/>
  <c r="M262" i="5"/>
  <c r="E262" i="5"/>
  <c r="D262" i="5"/>
  <c r="L262" i="5"/>
  <c r="N262" i="5"/>
  <c r="I262" i="5"/>
  <c r="G262" i="5"/>
  <c r="K262" i="5"/>
  <c r="J262" i="5"/>
  <c r="C262" i="5"/>
  <c r="O262" i="5"/>
  <c r="H262" i="5"/>
  <c r="T262" i="5" l="1"/>
  <c r="P262" i="5"/>
  <c r="S263" i="5"/>
  <c r="B263" i="5"/>
  <c r="R263" i="5"/>
  <c r="Q263" i="5" s="1"/>
  <c r="A264" i="5"/>
  <c r="U261" i="5"/>
  <c r="F262" i="5"/>
  <c r="E263" i="5"/>
  <c r="I263" i="5"/>
  <c r="M263" i="5"/>
  <c r="H263" i="5"/>
  <c r="O263" i="5"/>
  <c r="L263" i="5"/>
  <c r="J263" i="5"/>
  <c r="K263" i="5"/>
  <c r="C263" i="5"/>
  <c r="D263" i="5"/>
  <c r="N263" i="5"/>
  <c r="G263" i="5"/>
  <c r="T263" i="5" l="1"/>
  <c r="P263" i="5"/>
  <c r="S264" i="5"/>
  <c r="B264" i="5"/>
  <c r="R264" i="5"/>
  <c r="Q264" i="5" s="1"/>
  <c r="A265" i="5"/>
  <c r="U262" i="5"/>
  <c r="F263" i="5"/>
  <c r="J264" i="5"/>
  <c r="M264" i="5"/>
  <c r="K264" i="5"/>
  <c r="C264" i="5"/>
  <c r="G264" i="5"/>
  <c r="O264" i="5"/>
  <c r="E264" i="5"/>
  <c r="H264" i="5"/>
  <c r="I264" i="5"/>
  <c r="L264" i="5"/>
  <c r="N264" i="5"/>
  <c r="D264" i="5"/>
  <c r="T264" i="5" l="1"/>
  <c r="P264" i="5"/>
  <c r="S265" i="5"/>
  <c r="B265" i="5"/>
  <c r="R265" i="5"/>
  <c r="Q265" i="5" s="1"/>
  <c r="A266" i="5"/>
  <c r="U263" i="5"/>
  <c r="F264" i="5"/>
  <c r="E265" i="5"/>
  <c r="C265" i="5"/>
  <c r="K265" i="5"/>
  <c r="O265" i="5"/>
  <c r="D265" i="5"/>
  <c r="H265" i="5"/>
  <c r="J265" i="5"/>
  <c r="G265" i="5"/>
  <c r="M265" i="5"/>
  <c r="I265" i="5"/>
  <c r="N265" i="5"/>
  <c r="L265" i="5"/>
  <c r="T265" i="5" l="1"/>
  <c r="P265" i="5"/>
  <c r="S266" i="5"/>
  <c r="B266" i="5"/>
  <c r="R266" i="5"/>
  <c r="Q266" i="5" s="1"/>
  <c r="A267" i="5"/>
  <c r="U264" i="5"/>
  <c r="F265" i="5"/>
  <c r="K266" i="5"/>
  <c r="L266" i="5"/>
  <c r="O266" i="5"/>
  <c r="N266" i="5"/>
  <c r="H266" i="5"/>
  <c r="I266" i="5"/>
  <c r="D266" i="5"/>
  <c r="M266" i="5"/>
  <c r="J266" i="5"/>
  <c r="G266" i="5"/>
  <c r="C266" i="5"/>
  <c r="E266" i="5"/>
  <c r="T266" i="5" l="1"/>
  <c r="P266" i="5"/>
  <c r="S267" i="5"/>
  <c r="B267" i="5"/>
  <c r="R267" i="5"/>
  <c r="Q267" i="5" s="1"/>
  <c r="A268" i="5"/>
  <c r="U265" i="5"/>
  <c r="F266" i="5"/>
  <c r="O267" i="5"/>
  <c r="I267" i="5"/>
  <c r="C267" i="5"/>
  <c r="D267" i="5"/>
  <c r="L267" i="5"/>
  <c r="J267" i="5"/>
  <c r="H267" i="5"/>
  <c r="K267" i="5"/>
  <c r="N267" i="5"/>
  <c r="E267" i="5"/>
  <c r="M267" i="5"/>
  <c r="G267" i="5"/>
  <c r="P267" i="5" l="1"/>
  <c r="T267" i="5"/>
  <c r="S268" i="5"/>
  <c r="B268" i="5"/>
  <c r="R268" i="5"/>
  <c r="Q268" i="5" s="1"/>
  <c r="A269" i="5"/>
  <c r="U266" i="5"/>
  <c r="F267" i="5"/>
  <c r="D268" i="5"/>
  <c r="L268" i="5"/>
  <c r="M268" i="5"/>
  <c r="G268" i="5"/>
  <c r="E268" i="5"/>
  <c r="K268" i="5"/>
  <c r="O268" i="5"/>
  <c r="N268" i="5"/>
  <c r="I268" i="5"/>
  <c r="C268" i="5"/>
  <c r="H268" i="5"/>
  <c r="J268" i="5"/>
  <c r="P268" i="5" l="1"/>
  <c r="T268" i="5"/>
  <c r="S269" i="5"/>
  <c r="A270" i="5"/>
  <c r="R269" i="5"/>
  <c r="Q269" i="5" s="1"/>
  <c r="B269" i="5"/>
  <c r="U267" i="5"/>
  <c r="F268" i="5"/>
  <c r="L269" i="5"/>
  <c r="G269" i="5"/>
  <c r="C269" i="5"/>
  <c r="D269" i="5"/>
  <c r="N269" i="5"/>
  <c r="H269" i="5"/>
  <c r="E269" i="5"/>
  <c r="I269" i="5"/>
  <c r="O269" i="5"/>
  <c r="K269" i="5"/>
  <c r="M269" i="5"/>
  <c r="J269" i="5"/>
  <c r="T269" i="5" l="1"/>
  <c r="P269" i="5"/>
  <c r="S270" i="5"/>
  <c r="A271" i="5"/>
  <c r="R270" i="5"/>
  <c r="Q270" i="5" s="1"/>
  <c r="B270" i="5"/>
  <c r="U268" i="5"/>
  <c r="F269" i="5"/>
  <c r="K270" i="5"/>
  <c r="C270" i="5"/>
  <c r="O270" i="5"/>
  <c r="E270" i="5"/>
  <c r="D270" i="5"/>
  <c r="L270" i="5"/>
  <c r="H270" i="5"/>
  <c r="N270" i="5"/>
  <c r="M270" i="5"/>
  <c r="J270" i="5"/>
  <c r="G270" i="5"/>
  <c r="I270" i="5"/>
  <c r="T270" i="5" l="1"/>
  <c r="P270" i="5"/>
  <c r="S271" i="5"/>
  <c r="A272" i="5"/>
  <c r="R271" i="5"/>
  <c r="Q271" i="5" s="1"/>
  <c r="B271" i="5"/>
  <c r="U269" i="5"/>
  <c r="F270" i="5"/>
  <c r="O271" i="5"/>
  <c r="G271" i="5"/>
  <c r="J271" i="5"/>
  <c r="I271" i="5"/>
  <c r="E271" i="5"/>
  <c r="M271" i="5"/>
  <c r="L271" i="5"/>
  <c r="C271" i="5"/>
  <c r="D271" i="5"/>
  <c r="H271" i="5"/>
  <c r="K271" i="5"/>
  <c r="N271" i="5"/>
  <c r="T271" i="5" l="1"/>
  <c r="P271" i="5"/>
  <c r="S272" i="5"/>
  <c r="A273" i="5"/>
  <c r="R272" i="5"/>
  <c r="Q272" i="5" s="1"/>
  <c r="B272" i="5"/>
  <c r="U270" i="5"/>
  <c r="F271" i="5"/>
  <c r="J272" i="5"/>
  <c r="N272" i="5"/>
  <c r="D272" i="5"/>
  <c r="L272" i="5"/>
  <c r="G272" i="5"/>
  <c r="K272" i="5"/>
  <c r="I272" i="5"/>
  <c r="H272" i="5"/>
  <c r="O272" i="5"/>
  <c r="M272" i="5"/>
  <c r="E272" i="5"/>
  <c r="C272" i="5"/>
  <c r="T272" i="5" l="1"/>
  <c r="P272" i="5"/>
  <c r="S273" i="5"/>
  <c r="A274" i="5"/>
  <c r="R273" i="5"/>
  <c r="Q273" i="5" s="1"/>
  <c r="B273" i="5"/>
  <c r="U271" i="5"/>
  <c r="F272" i="5"/>
  <c r="H273" i="5"/>
  <c r="C273" i="5"/>
  <c r="O273" i="5"/>
  <c r="G273" i="5"/>
  <c r="E273" i="5"/>
  <c r="D273" i="5"/>
  <c r="L273" i="5"/>
  <c r="J273" i="5"/>
  <c r="M273" i="5"/>
  <c r="N273" i="5"/>
  <c r="I273" i="5"/>
  <c r="K273" i="5"/>
  <c r="T273" i="5" l="1"/>
  <c r="P273" i="5"/>
  <c r="S274" i="5"/>
  <c r="B274" i="5"/>
  <c r="A275" i="5"/>
  <c r="R274" i="5"/>
  <c r="Q274" i="5" s="1"/>
  <c r="U272" i="5"/>
  <c r="F273" i="5"/>
  <c r="C274" i="5"/>
  <c r="G274" i="5"/>
  <c r="I274" i="5"/>
  <c r="D274" i="5"/>
  <c r="N274" i="5"/>
  <c r="M274" i="5"/>
  <c r="K274" i="5"/>
  <c r="J274" i="5"/>
  <c r="H274" i="5"/>
  <c r="L274" i="5"/>
  <c r="O274" i="5"/>
  <c r="E274" i="5"/>
  <c r="T274" i="5" l="1"/>
  <c r="P274" i="5"/>
  <c r="S275" i="5"/>
  <c r="R275" i="5"/>
  <c r="Q275" i="5" s="1"/>
  <c r="B275" i="5"/>
  <c r="A276" i="5"/>
  <c r="U273" i="5"/>
  <c r="F274" i="5"/>
  <c r="N275" i="5"/>
  <c r="K275" i="5"/>
  <c r="L275" i="5"/>
  <c r="H275" i="5"/>
  <c r="G275" i="5"/>
  <c r="E275" i="5"/>
  <c r="I275" i="5"/>
  <c r="J275" i="5"/>
  <c r="O275" i="5"/>
  <c r="D275" i="5"/>
  <c r="M275" i="5"/>
  <c r="C275" i="5"/>
  <c r="T275" i="5" l="1"/>
  <c r="P275" i="5"/>
  <c r="S276" i="5"/>
  <c r="A277" i="5"/>
  <c r="R276" i="5"/>
  <c r="Q276" i="5" s="1"/>
  <c r="B276" i="5"/>
  <c r="U274" i="5"/>
  <c r="F275" i="5"/>
  <c r="I276" i="5"/>
  <c r="N276" i="5"/>
  <c r="O276" i="5"/>
  <c r="H276" i="5"/>
  <c r="C276" i="5"/>
  <c r="L276" i="5"/>
  <c r="J276" i="5"/>
  <c r="E276" i="5"/>
  <c r="D276" i="5"/>
  <c r="M276" i="5"/>
  <c r="K276" i="5"/>
  <c r="G276" i="5"/>
  <c r="T276" i="5" l="1"/>
  <c r="P276" i="5"/>
  <c r="S277" i="5"/>
  <c r="B277" i="5"/>
  <c r="R277" i="5"/>
  <c r="Q277" i="5" s="1"/>
  <c r="A278" i="5"/>
  <c r="U275" i="5"/>
  <c r="F276" i="5"/>
  <c r="H277" i="5"/>
  <c r="O277" i="5"/>
  <c r="I277" i="5"/>
  <c r="L277" i="5"/>
  <c r="N277" i="5"/>
  <c r="C277" i="5"/>
  <c r="G277" i="5"/>
  <c r="K277" i="5"/>
  <c r="E277" i="5"/>
  <c r="D277" i="5"/>
  <c r="M277" i="5"/>
  <c r="J277" i="5"/>
  <c r="T277" i="5" l="1"/>
  <c r="P277" i="5"/>
  <c r="S278" i="5"/>
  <c r="A279" i="5"/>
  <c r="B278" i="5"/>
  <c r="R278" i="5"/>
  <c r="Q278" i="5" s="1"/>
  <c r="U276" i="5"/>
  <c r="F277" i="5"/>
  <c r="M278" i="5"/>
  <c r="I278" i="5"/>
  <c r="D278" i="5"/>
  <c r="N278" i="5"/>
  <c r="H278" i="5"/>
  <c r="J278" i="5"/>
  <c r="G278" i="5"/>
  <c r="O278" i="5"/>
  <c r="E278" i="5"/>
  <c r="C278" i="5"/>
  <c r="L278" i="5"/>
  <c r="K278" i="5"/>
  <c r="T278" i="5" l="1"/>
  <c r="P278" i="5"/>
  <c r="S279" i="5"/>
  <c r="R279" i="5"/>
  <c r="Q279" i="5" s="1"/>
  <c r="A280" i="5"/>
  <c r="B279" i="5"/>
  <c r="U277" i="5"/>
  <c r="F278" i="5"/>
  <c r="G279" i="5"/>
  <c r="O279" i="5"/>
  <c r="C279" i="5"/>
  <c r="I279" i="5"/>
  <c r="M279" i="5"/>
  <c r="N279" i="5"/>
  <c r="L279" i="5"/>
  <c r="D279" i="5"/>
  <c r="H279" i="5"/>
  <c r="E279" i="5"/>
  <c r="K279" i="5"/>
  <c r="J279" i="5"/>
  <c r="T279" i="5" l="1"/>
  <c r="P279" i="5"/>
  <c r="S280" i="5"/>
  <c r="B280" i="5"/>
  <c r="R280" i="5"/>
  <c r="Q280" i="5" s="1"/>
  <c r="A281" i="5"/>
  <c r="U278" i="5"/>
  <c r="F279" i="5"/>
  <c r="L280" i="5"/>
  <c r="O280" i="5"/>
  <c r="E280" i="5"/>
  <c r="G280" i="5"/>
  <c r="D280" i="5"/>
  <c r="J280" i="5"/>
  <c r="C280" i="5"/>
  <c r="K280" i="5"/>
  <c r="I280" i="5"/>
  <c r="M280" i="5"/>
  <c r="N280" i="5"/>
  <c r="H280" i="5"/>
  <c r="T280" i="5" l="1"/>
  <c r="P280" i="5"/>
  <c r="S281" i="5"/>
  <c r="R281" i="5"/>
  <c r="Q281" i="5" s="1"/>
  <c r="A282" i="5"/>
  <c r="B281" i="5"/>
  <c r="U279" i="5"/>
  <c r="F280" i="5"/>
  <c r="D281" i="5"/>
  <c r="L281" i="5"/>
  <c r="J281" i="5"/>
  <c r="G281" i="5"/>
  <c r="H281" i="5"/>
  <c r="I281" i="5"/>
  <c r="E281" i="5"/>
  <c r="O281" i="5"/>
  <c r="K281" i="5"/>
  <c r="C281" i="5"/>
  <c r="N281" i="5"/>
  <c r="M281" i="5"/>
  <c r="T281" i="5" l="1"/>
  <c r="P281" i="5"/>
  <c r="S282" i="5"/>
  <c r="B282" i="5"/>
  <c r="R282" i="5"/>
  <c r="Q282" i="5" s="1"/>
  <c r="A283" i="5"/>
  <c r="U280" i="5"/>
  <c r="F281" i="5"/>
  <c r="K282" i="5"/>
  <c r="I282" i="5"/>
  <c r="G282" i="5"/>
  <c r="O282" i="5"/>
  <c r="M282" i="5"/>
  <c r="L282" i="5"/>
  <c r="H282" i="5"/>
  <c r="E282" i="5"/>
  <c r="J282" i="5"/>
  <c r="C282" i="5"/>
  <c r="D282" i="5"/>
  <c r="N282" i="5"/>
  <c r="T282" i="5" l="1"/>
  <c r="P282" i="5"/>
  <c r="S283" i="5"/>
  <c r="A284" i="5"/>
  <c r="B283" i="5"/>
  <c r="R283" i="5"/>
  <c r="Q283" i="5" s="1"/>
  <c r="U281" i="5"/>
  <c r="F282" i="5"/>
  <c r="O283" i="5"/>
  <c r="K283" i="5"/>
  <c r="N283" i="5"/>
  <c r="E283" i="5"/>
  <c r="G283" i="5"/>
  <c r="C283" i="5"/>
  <c r="L283" i="5"/>
  <c r="M283" i="5"/>
  <c r="H283" i="5"/>
  <c r="I283" i="5"/>
  <c r="J283" i="5"/>
  <c r="D283" i="5"/>
  <c r="T283" i="5" l="1"/>
  <c r="P283" i="5"/>
  <c r="S284" i="5"/>
  <c r="B284" i="5"/>
  <c r="R284" i="5"/>
  <c r="Q284" i="5" s="1"/>
  <c r="A285" i="5"/>
  <c r="U282" i="5"/>
  <c r="F283" i="5"/>
  <c r="G284" i="5"/>
  <c r="L284" i="5"/>
  <c r="O284" i="5"/>
  <c r="N284" i="5"/>
  <c r="E284" i="5"/>
  <c r="K284" i="5"/>
  <c r="C284" i="5"/>
  <c r="I284" i="5"/>
  <c r="M284" i="5"/>
  <c r="H284" i="5"/>
  <c r="D284" i="5"/>
  <c r="J284" i="5"/>
  <c r="T284" i="5" l="1"/>
  <c r="P284" i="5"/>
  <c r="S285" i="5"/>
  <c r="A286" i="5"/>
  <c r="B285" i="5"/>
  <c r="R285" i="5"/>
  <c r="Q285" i="5" s="1"/>
  <c r="U283" i="5"/>
  <c r="F284" i="5"/>
  <c r="D285" i="5"/>
  <c r="N285" i="5"/>
  <c r="K285" i="5"/>
  <c r="L285" i="5"/>
  <c r="C285" i="5"/>
  <c r="E285" i="5"/>
  <c r="G285" i="5"/>
  <c r="H285" i="5"/>
  <c r="J285" i="5"/>
  <c r="O285" i="5"/>
  <c r="I285" i="5"/>
  <c r="M285" i="5"/>
  <c r="T285" i="5" l="1"/>
  <c r="P285" i="5"/>
  <c r="S286" i="5"/>
  <c r="B286" i="5"/>
  <c r="R286" i="5"/>
  <c r="Q286" i="5" s="1"/>
  <c r="A287" i="5"/>
  <c r="U284" i="5"/>
  <c r="F285" i="5"/>
  <c r="J286" i="5"/>
  <c r="O286" i="5"/>
  <c r="H286" i="5"/>
  <c r="I286" i="5"/>
  <c r="L286" i="5"/>
  <c r="G286" i="5"/>
  <c r="C286" i="5"/>
  <c r="E286" i="5"/>
  <c r="D286" i="5"/>
  <c r="M286" i="5"/>
  <c r="K286" i="5"/>
  <c r="N286" i="5"/>
  <c r="T286" i="5" l="1"/>
  <c r="P286" i="5"/>
  <c r="S287" i="5"/>
  <c r="B287" i="5"/>
  <c r="R287" i="5"/>
  <c r="Q287" i="5" s="1"/>
  <c r="A288" i="5"/>
  <c r="U285" i="5"/>
  <c r="F286" i="5"/>
  <c r="G287" i="5"/>
  <c r="E287" i="5"/>
  <c r="I287" i="5"/>
  <c r="C287" i="5"/>
  <c r="K287" i="5"/>
  <c r="N287" i="5"/>
  <c r="J287" i="5"/>
  <c r="H287" i="5"/>
  <c r="L287" i="5"/>
  <c r="O287" i="5"/>
  <c r="D287" i="5"/>
  <c r="M287" i="5"/>
  <c r="T287" i="5" l="1"/>
  <c r="P287" i="5"/>
  <c r="S288" i="5"/>
  <c r="B288" i="5"/>
  <c r="R288" i="5"/>
  <c r="Q288" i="5" s="1"/>
  <c r="A289" i="5"/>
  <c r="U286" i="5"/>
  <c r="I288" i="5"/>
  <c r="C288" i="5"/>
  <c r="N288" i="5"/>
  <c r="J288" i="5"/>
  <c r="O288" i="5"/>
  <c r="D288" i="5"/>
  <c r="M288" i="5"/>
  <c r="K288" i="5"/>
  <c r="H288" i="5"/>
  <c r="E288" i="5"/>
  <c r="G288" i="5"/>
  <c r="L288" i="5"/>
  <c r="F287" i="5"/>
  <c r="T288" i="5" l="1"/>
  <c r="P288" i="5"/>
  <c r="S289" i="5"/>
  <c r="A290" i="5"/>
  <c r="R289" i="5"/>
  <c r="Q289" i="5" s="1"/>
  <c r="B289" i="5"/>
  <c r="U287" i="5"/>
  <c r="F288" i="5"/>
  <c r="G289" i="5"/>
  <c r="K289" i="5"/>
  <c r="O289" i="5"/>
  <c r="D289" i="5"/>
  <c r="J289" i="5"/>
  <c r="E289" i="5"/>
  <c r="H289" i="5"/>
  <c r="L289" i="5"/>
  <c r="I289" i="5"/>
  <c r="N289" i="5"/>
  <c r="C289" i="5"/>
  <c r="M289" i="5"/>
  <c r="T289" i="5" l="1"/>
  <c r="P289" i="5"/>
  <c r="S290" i="5"/>
  <c r="A291" i="5"/>
  <c r="R290" i="5"/>
  <c r="Q290" i="5" s="1"/>
  <c r="B290" i="5"/>
  <c r="U288" i="5"/>
  <c r="F289" i="5"/>
  <c r="M290" i="5"/>
  <c r="E290" i="5"/>
  <c r="H290" i="5"/>
  <c r="C290" i="5"/>
  <c r="J290" i="5"/>
  <c r="I290" i="5"/>
  <c r="K290" i="5"/>
  <c r="L290" i="5"/>
  <c r="G290" i="5"/>
  <c r="D290" i="5"/>
  <c r="O290" i="5"/>
  <c r="N290" i="5"/>
  <c r="T290" i="5" l="1"/>
  <c r="P290" i="5"/>
  <c r="S291" i="5"/>
  <c r="A292" i="5"/>
  <c r="R291" i="5"/>
  <c r="Q291" i="5" s="1"/>
  <c r="B291" i="5"/>
  <c r="U289" i="5"/>
  <c r="F290" i="5"/>
  <c r="I291" i="5"/>
  <c r="J291" i="5"/>
  <c r="K291" i="5"/>
  <c r="L291" i="5"/>
  <c r="M291" i="5"/>
  <c r="N291" i="5"/>
  <c r="H291" i="5"/>
  <c r="O291" i="5"/>
  <c r="D291" i="5"/>
  <c r="C291" i="5"/>
  <c r="E291" i="5"/>
  <c r="G291" i="5"/>
  <c r="T291" i="5" l="1"/>
  <c r="P291" i="5"/>
  <c r="S292" i="5"/>
  <c r="A293" i="5"/>
  <c r="R292" i="5"/>
  <c r="Q292" i="5" s="1"/>
  <c r="B292" i="5"/>
  <c r="U290" i="5"/>
  <c r="F291" i="5"/>
  <c r="N292" i="5"/>
  <c r="O292" i="5"/>
  <c r="K292" i="5"/>
  <c r="M292" i="5"/>
  <c r="J292" i="5"/>
  <c r="E292" i="5"/>
  <c r="L292" i="5"/>
  <c r="G292" i="5"/>
  <c r="D292" i="5"/>
  <c r="I292" i="5"/>
  <c r="H292" i="5"/>
  <c r="C292" i="5"/>
  <c r="T292" i="5" l="1"/>
  <c r="P292" i="5"/>
  <c r="S293" i="5"/>
  <c r="A294" i="5"/>
  <c r="R293" i="5"/>
  <c r="Q293" i="5" s="1"/>
  <c r="B293" i="5"/>
  <c r="U291" i="5"/>
  <c r="F292" i="5"/>
  <c r="C293" i="5"/>
  <c r="N293" i="5"/>
  <c r="D293" i="5"/>
  <c r="M293" i="5"/>
  <c r="O293" i="5"/>
  <c r="H293" i="5"/>
  <c r="K293" i="5"/>
  <c r="L293" i="5"/>
  <c r="G293" i="5"/>
  <c r="E293" i="5"/>
  <c r="J293" i="5"/>
  <c r="I293" i="5"/>
  <c r="T293" i="5" l="1"/>
  <c r="P293" i="5"/>
  <c r="S294" i="5"/>
  <c r="A295" i="5"/>
  <c r="R294" i="5"/>
  <c r="Q294" i="5" s="1"/>
  <c r="B294" i="5"/>
  <c r="U292" i="5"/>
  <c r="F293" i="5"/>
  <c r="J294" i="5"/>
  <c r="C294" i="5"/>
  <c r="L294" i="5"/>
  <c r="H294" i="5"/>
  <c r="M294" i="5"/>
  <c r="E294" i="5"/>
  <c r="I294" i="5"/>
  <c r="N294" i="5"/>
  <c r="G294" i="5"/>
  <c r="O294" i="5"/>
  <c r="K294" i="5"/>
  <c r="D294" i="5"/>
  <c r="T294" i="5" l="1"/>
  <c r="P294" i="5"/>
  <c r="S295" i="5"/>
  <c r="A296" i="5"/>
  <c r="R295" i="5"/>
  <c r="Q295" i="5" s="1"/>
  <c r="B295" i="5"/>
  <c r="U293" i="5"/>
  <c r="F294" i="5"/>
  <c r="D295" i="5"/>
  <c r="K295" i="5"/>
  <c r="L295" i="5"/>
  <c r="C295" i="5"/>
  <c r="H295" i="5"/>
  <c r="J295" i="5"/>
  <c r="G295" i="5"/>
  <c r="E295" i="5"/>
  <c r="O295" i="5"/>
  <c r="I295" i="5"/>
  <c r="M295" i="5"/>
  <c r="N295" i="5"/>
  <c r="T295" i="5" l="1"/>
  <c r="P295" i="5"/>
  <c r="S296" i="5"/>
  <c r="B296" i="5"/>
  <c r="R296" i="5"/>
  <c r="Q296" i="5" s="1"/>
  <c r="A297" i="5"/>
  <c r="U294" i="5"/>
  <c r="F295" i="5"/>
  <c r="L296" i="5"/>
  <c r="J296" i="5"/>
  <c r="C296" i="5"/>
  <c r="O296" i="5"/>
  <c r="I296" i="5"/>
  <c r="D296" i="5"/>
  <c r="M296" i="5"/>
  <c r="K296" i="5"/>
  <c r="H296" i="5"/>
  <c r="N296" i="5"/>
  <c r="E296" i="5"/>
  <c r="G296" i="5"/>
  <c r="T296" i="5" l="1"/>
  <c r="P296" i="5"/>
  <c r="S297" i="5"/>
  <c r="B297" i="5"/>
  <c r="A298" i="5"/>
  <c r="R297" i="5"/>
  <c r="Q297" i="5" s="1"/>
  <c r="U295" i="5"/>
  <c r="F296" i="5"/>
  <c r="M297" i="5"/>
  <c r="G297" i="5"/>
  <c r="D297" i="5"/>
  <c r="C297" i="5"/>
  <c r="I297" i="5"/>
  <c r="K297" i="5"/>
  <c r="J297" i="5"/>
  <c r="L297" i="5"/>
  <c r="O297" i="5"/>
  <c r="N297" i="5"/>
  <c r="H297" i="5"/>
  <c r="E297" i="5"/>
  <c r="T297" i="5" l="1"/>
  <c r="P297" i="5"/>
  <c r="S298" i="5"/>
  <c r="B298" i="5"/>
  <c r="A299" i="5"/>
  <c r="R298" i="5"/>
  <c r="Q298" i="5" s="1"/>
  <c r="U296" i="5"/>
  <c r="F297" i="5"/>
  <c r="O298" i="5"/>
  <c r="L298" i="5"/>
  <c r="K298" i="5"/>
  <c r="M298" i="5"/>
  <c r="H298" i="5"/>
  <c r="N298" i="5"/>
  <c r="G298" i="5"/>
  <c r="D298" i="5"/>
  <c r="I298" i="5"/>
  <c r="C298" i="5"/>
  <c r="E298" i="5"/>
  <c r="J298" i="5"/>
  <c r="T298" i="5" l="1"/>
  <c r="P298" i="5"/>
  <c r="S299" i="5"/>
  <c r="A300" i="5"/>
  <c r="B299" i="5"/>
  <c r="R299" i="5"/>
  <c r="Q299" i="5" s="1"/>
  <c r="U297" i="5"/>
  <c r="F298" i="5"/>
  <c r="C299" i="5"/>
  <c r="E299" i="5"/>
  <c r="N299" i="5"/>
  <c r="I299" i="5"/>
  <c r="M299" i="5"/>
  <c r="D299" i="5"/>
  <c r="K299" i="5"/>
  <c r="H299" i="5"/>
  <c r="J299" i="5"/>
  <c r="L299" i="5"/>
  <c r="O299" i="5"/>
  <c r="G299" i="5"/>
  <c r="T299" i="5" l="1"/>
  <c r="P299" i="5"/>
  <c r="S300" i="5"/>
  <c r="A301" i="5"/>
  <c r="R300" i="5"/>
  <c r="Q300" i="5" s="1"/>
  <c r="B300" i="5"/>
  <c r="U298" i="5"/>
  <c r="F299" i="5"/>
  <c r="O300" i="5"/>
  <c r="C300" i="5"/>
  <c r="G300" i="5"/>
  <c r="I300" i="5"/>
  <c r="H300" i="5"/>
  <c r="D300" i="5"/>
  <c r="L300" i="5"/>
  <c r="E300" i="5"/>
  <c r="K300" i="5"/>
  <c r="J300" i="5"/>
  <c r="N300" i="5"/>
  <c r="M300" i="5"/>
  <c r="T300" i="5" l="1"/>
  <c r="P300" i="5"/>
  <c r="S301" i="5"/>
  <c r="B301" i="5"/>
  <c r="A302" i="5"/>
  <c r="R301" i="5"/>
  <c r="Q301" i="5" s="1"/>
  <c r="U299" i="5"/>
  <c r="F300" i="5"/>
  <c r="K301" i="5"/>
  <c r="L301" i="5"/>
  <c r="E301" i="5"/>
  <c r="O301" i="5"/>
  <c r="N301" i="5"/>
  <c r="D301" i="5"/>
  <c r="J301" i="5"/>
  <c r="C301" i="5"/>
  <c r="H301" i="5"/>
  <c r="G301" i="5"/>
  <c r="M301" i="5"/>
  <c r="I301" i="5"/>
  <c r="T301" i="5" l="1"/>
  <c r="P301" i="5"/>
  <c r="S302" i="5"/>
  <c r="B302" i="5"/>
  <c r="A303" i="5"/>
  <c r="R302" i="5"/>
  <c r="Q302" i="5" s="1"/>
  <c r="U300" i="5"/>
  <c r="F301" i="5"/>
  <c r="M302" i="5"/>
  <c r="J302" i="5"/>
  <c r="E302" i="5"/>
  <c r="L302" i="5"/>
  <c r="C302" i="5"/>
  <c r="G302" i="5"/>
  <c r="D302" i="5"/>
  <c r="K302" i="5"/>
  <c r="N302" i="5"/>
  <c r="O302" i="5"/>
  <c r="H302" i="5"/>
  <c r="I302" i="5"/>
  <c r="T302" i="5" l="1"/>
  <c r="P302" i="5"/>
  <c r="S303" i="5"/>
  <c r="A304" i="5"/>
  <c r="R303" i="5"/>
  <c r="Q303" i="5" s="1"/>
  <c r="B303" i="5"/>
  <c r="U301" i="5"/>
  <c r="F302" i="5"/>
  <c r="K303" i="5"/>
  <c r="C303" i="5"/>
  <c r="E303" i="5"/>
  <c r="M303" i="5"/>
  <c r="J303" i="5"/>
  <c r="L303" i="5"/>
  <c r="G303" i="5"/>
  <c r="O303" i="5"/>
  <c r="D303" i="5"/>
  <c r="H303" i="5"/>
  <c r="I303" i="5"/>
  <c r="N303" i="5"/>
  <c r="T303" i="5" l="1"/>
  <c r="P303" i="5"/>
  <c r="S304" i="5"/>
  <c r="B304" i="5"/>
  <c r="R304" i="5"/>
  <c r="Q304" i="5" s="1"/>
  <c r="A305" i="5"/>
  <c r="U302" i="5"/>
  <c r="F303" i="5"/>
  <c r="H304" i="5"/>
  <c r="O304" i="5"/>
  <c r="C304" i="5"/>
  <c r="D304" i="5"/>
  <c r="K304" i="5"/>
  <c r="E304" i="5"/>
  <c r="J304" i="5"/>
  <c r="L304" i="5"/>
  <c r="G304" i="5"/>
  <c r="M304" i="5"/>
  <c r="I304" i="5"/>
  <c r="N304" i="5"/>
  <c r="T304" i="5" l="1"/>
  <c r="P304" i="5"/>
  <c r="S305" i="5"/>
  <c r="B305" i="5"/>
  <c r="A306" i="5"/>
  <c r="R305" i="5"/>
  <c r="Q305" i="5" s="1"/>
  <c r="U303" i="5"/>
  <c r="F304" i="5"/>
  <c r="M305" i="5"/>
  <c r="N305" i="5"/>
  <c r="E305" i="5"/>
  <c r="L305" i="5"/>
  <c r="C305" i="5"/>
  <c r="G305" i="5"/>
  <c r="J305" i="5"/>
  <c r="I305" i="5"/>
  <c r="K305" i="5"/>
  <c r="D305" i="5"/>
  <c r="O305" i="5"/>
  <c r="H305" i="5"/>
  <c r="T305" i="5" l="1"/>
  <c r="P305" i="5"/>
  <c r="S306" i="5"/>
  <c r="B306" i="5"/>
  <c r="A307" i="5"/>
  <c r="R306" i="5"/>
  <c r="Q306" i="5" s="1"/>
  <c r="U304" i="5"/>
  <c r="F305" i="5"/>
  <c r="D306" i="5"/>
  <c r="N306" i="5"/>
  <c r="H306" i="5"/>
  <c r="K306" i="5"/>
  <c r="O306" i="5"/>
  <c r="J306" i="5"/>
  <c r="C306" i="5"/>
  <c r="E306" i="5"/>
  <c r="G306" i="5"/>
  <c r="M306" i="5"/>
  <c r="I306" i="5"/>
  <c r="L306" i="5"/>
  <c r="T306" i="5" l="1"/>
  <c r="P306" i="5"/>
  <c r="S307" i="5"/>
  <c r="A308" i="5"/>
  <c r="R307" i="5"/>
  <c r="Q307" i="5" s="1"/>
  <c r="B307" i="5"/>
  <c r="U305" i="5"/>
  <c r="F306" i="5"/>
  <c r="G307" i="5"/>
  <c r="M307" i="5"/>
  <c r="E307" i="5"/>
  <c r="L307" i="5"/>
  <c r="J307" i="5"/>
  <c r="N307" i="5"/>
  <c r="C307" i="5"/>
  <c r="K307" i="5"/>
  <c r="I307" i="5"/>
  <c r="O307" i="5"/>
  <c r="D307" i="5"/>
  <c r="H307" i="5"/>
  <c r="P307" i="5" l="1"/>
  <c r="T307" i="5"/>
  <c r="S308" i="5"/>
  <c r="A309" i="5"/>
  <c r="B308" i="5"/>
  <c r="R308" i="5"/>
  <c r="Q308" i="5" s="1"/>
  <c r="U306" i="5"/>
  <c r="F307" i="5"/>
  <c r="E308" i="5"/>
  <c r="L308" i="5"/>
  <c r="H308" i="5"/>
  <c r="M308" i="5"/>
  <c r="G308" i="5"/>
  <c r="O308" i="5"/>
  <c r="N308" i="5"/>
  <c r="I308" i="5"/>
  <c r="C308" i="5"/>
  <c r="J308" i="5"/>
  <c r="D308" i="5"/>
  <c r="K308" i="5"/>
  <c r="T308" i="5" l="1"/>
  <c r="P308" i="5"/>
  <c r="S309" i="5"/>
  <c r="B309" i="5"/>
  <c r="A310" i="5"/>
  <c r="R309" i="5"/>
  <c r="Q309" i="5" s="1"/>
  <c r="U307" i="5"/>
  <c r="F308" i="5"/>
  <c r="N309" i="5"/>
  <c r="M309" i="5"/>
  <c r="C309" i="5"/>
  <c r="H309" i="5"/>
  <c r="O309" i="5"/>
  <c r="L309" i="5"/>
  <c r="E309" i="5"/>
  <c r="K309" i="5"/>
  <c r="J309" i="5"/>
  <c r="G309" i="5"/>
  <c r="I309" i="5"/>
  <c r="D309" i="5"/>
  <c r="T309" i="5" l="1"/>
  <c r="P309" i="5"/>
  <c r="S310" i="5"/>
  <c r="B310" i="5"/>
  <c r="A311" i="5"/>
  <c r="R310" i="5"/>
  <c r="Q310" i="5" s="1"/>
  <c r="U308" i="5"/>
  <c r="F309" i="5"/>
  <c r="E310" i="5"/>
  <c r="H310" i="5"/>
  <c r="J310" i="5"/>
  <c r="M310" i="5"/>
  <c r="D310" i="5"/>
  <c r="L310" i="5"/>
  <c r="K310" i="5"/>
  <c r="G310" i="5"/>
  <c r="C310" i="5"/>
  <c r="N310" i="5"/>
  <c r="I310" i="5"/>
  <c r="O310" i="5"/>
  <c r="T310" i="5" l="1"/>
  <c r="P310" i="5"/>
  <c r="S311" i="5"/>
  <c r="A312" i="5"/>
  <c r="B311" i="5"/>
  <c r="R311" i="5"/>
  <c r="Q311" i="5" s="1"/>
  <c r="U309" i="5"/>
  <c r="F310" i="5"/>
  <c r="C311" i="5"/>
  <c r="G311" i="5"/>
  <c r="J311" i="5"/>
  <c r="H311" i="5"/>
  <c r="E311" i="5"/>
  <c r="L311" i="5"/>
  <c r="K311" i="5"/>
  <c r="N311" i="5"/>
  <c r="M311" i="5"/>
  <c r="O311" i="5"/>
  <c r="D311" i="5"/>
  <c r="I311" i="5"/>
  <c r="T311" i="5" l="1"/>
  <c r="P311" i="5"/>
  <c r="S312" i="5"/>
  <c r="B312" i="5"/>
  <c r="A313" i="5"/>
  <c r="R312" i="5"/>
  <c r="Q312" i="5" s="1"/>
  <c r="U310" i="5"/>
  <c r="F311" i="5"/>
  <c r="E312" i="5"/>
  <c r="J312" i="5"/>
  <c r="K312" i="5"/>
  <c r="N312" i="5"/>
  <c r="I312" i="5"/>
  <c r="C312" i="5"/>
  <c r="H312" i="5"/>
  <c r="O312" i="5"/>
  <c r="M312" i="5"/>
  <c r="G312" i="5"/>
  <c r="L312" i="5"/>
  <c r="D312" i="5"/>
  <c r="T312" i="5" l="1"/>
  <c r="P312" i="5"/>
  <c r="S313" i="5"/>
  <c r="B313" i="5"/>
  <c r="A314" i="5"/>
  <c r="R313" i="5"/>
  <c r="Q313" i="5" s="1"/>
  <c r="U311" i="5"/>
  <c r="F312" i="5"/>
  <c r="K313" i="5"/>
  <c r="N313" i="5"/>
  <c r="I313" i="5"/>
  <c r="O313" i="5"/>
  <c r="E313" i="5"/>
  <c r="L313" i="5"/>
  <c r="M313" i="5"/>
  <c r="C313" i="5"/>
  <c r="D313" i="5"/>
  <c r="J313" i="5"/>
  <c r="G313" i="5"/>
  <c r="H313" i="5"/>
  <c r="T313" i="5" l="1"/>
  <c r="P313" i="5"/>
  <c r="S314" i="5"/>
  <c r="A315" i="5"/>
  <c r="R314" i="5"/>
  <c r="Q314" i="5" s="1"/>
  <c r="B314" i="5"/>
  <c r="U312" i="5"/>
  <c r="F313" i="5"/>
  <c r="D314" i="5"/>
  <c r="J314" i="5"/>
  <c r="E314" i="5"/>
  <c r="H314" i="5"/>
  <c r="N314" i="5"/>
  <c r="I314" i="5"/>
  <c r="K314" i="5"/>
  <c r="C314" i="5"/>
  <c r="O314" i="5"/>
  <c r="M314" i="5"/>
  <c r="L314" i="5"/>
  <c r="G314" i="5"/>
  <c r="T314" i="5" l="1"/>
  <c r="P314" i="5"/>
  <c r="S315" i="5"/>
  <c r="A316" i="5"/>
  <c r="R315" i="5"/>
  <c r="Q315" i="5" s="1"/>
  <c r="B315" i="5"/>
  <c r="U313" i="5"/>
  <c r="F314" i="5"/>
  <c r="L315" i="5"/>
  <c r="O315" i="5"/>
  <c r="E315" i="5"/>
  <c r="D315" i="5"/>
  <c r="J315" i="5"/>
  <c r="I315" i="5"/>
  <c r="C315" i="5"/>
  <c r="G315" i="5"/>
  <c r="H315" i="5"/>
  <c r="K315" i="5"/>
  <c r="N315" i="5"/>
  <c r="M315" i="5"/>
  <c r="T315" i="5" l="1"/>
  <c r="P315" i="5"/>
  <c r="S316" i="5"/>
  <c r="A317" i="5"/>
  <c r="B316" i="5"/>
  <c r="R316" i="5"/>
  <c r="Q316" i="5" s="1"/>
  <c r="U314" i="5"/>
  <c r="F315" i="5"/>
  <c r="I316" i="5"/>
  <c r="H316" i="5"/>
  <c r="C316" i="5"/>
  <c r="O316" i="5"/>
  <c r="L316" i="5"/>
  <c r="G316" i="5"/>
  <c r="J316" i="5"/>
  <c r="M316" i="5"/>
  <c r="N316" i="5"/>
  <c r="D316" i="5"/>
  <c r="K316" i="5"/>
  <c r="E316" i="5"/>
  <c r="T316" i="5" l="1"/>
  <c r="P316" i="5"/>
  <c r="S317" i="5"/>
  <c r="A318" i="5"/>
  <c r="R317" i="5"/>
  <c r="Q317" i="5" s="1"/>
  <c r="B317" i="5"/>
  <c r="U315" i="5"/>
  <c r="F316" i="5"/>
  <c r="D317" i="5"/>
  <c r="O317" i="5"/>
  <c r="E317" i="5"/>
  <c r="N317" i="5"/>
  <c r="C317" i="5"/>
  <c r="H317" i="5"/>
  <c r="J317" i="5"/>
  <c r="G317" i="5"/>
  <c r="K317" i="5"/>
  <c r="L317" i="5"/>
  <c r="M317" i="5"/>
  <c r="I317" i="5"/>
  <c r="T317" i="5" l="1"/>
  <c r="P317" i="5"/>
  <c r="S318" i="5"/>
  <c r="A319" i="5"/>
  <c r="B318" i="5"/>
  <c r="R318" i="5"/>
  <c r="Q318" i="5" s="1"/>
  <c r="U316" i="5"/>
  <c r="F317" i="5"/>
  <c r="C318" i="5"/>
  <c r="E318" i="5"/>
  <c r="L318" i="5"/>
  <c r="I318" i="5"/>
  <c r="J318" i="5"/>
  <c r="D318" i="5"/>
  <c r="K318" i="5"/>
  <c r="G318" i="5"/>
  <c r="O318" i="5"/>
  <c r="N318" i="5"/>
  <c r="M318" i="5"/>
  <c r="H318" i="5"/>
  <c r="T318" i="5" l="1"/>
  <c r="P318" i="5"/>
  <c r="S319" i="5"/>
  <c r="A320" i="5"/>
  <c r="R319" i="5"/>
  <c r="Q319" i="5" s="1"/>
  <c r="B319" i="5"/>
  <c r="U317" i="5"/>
  <c r="F318" i="5"/>
  <c r="H319" i="5"/>
  <c r="M319" i="5"/>
  <c r="K319" i="5"/>
  <c r="O319" i="5"/>
  <c r="G319" i="5"/>
  <c r="J319" i="5"/>
  <c r="D319" i="5"/>
  <c r="I319" i="5"/>
  <c r="E319" i="5"/>
  <c r="L319" i="5"/>
  <c r="N319" i="5"/>
  <c r="C319" i="5"/>
  <c r="T319" i="5" l="1"/>
  <c r="P319" i="5"/>
  <c r="S320" i="5"/>
  <c r="A321" i="5"/>
  <c r="B320" i="5"/>
  <c r="R320" i="5"/>
  <c r="Q320" i="5" s="1"/>
  <c r="U318" i="5"/>
  <c r="F319" i="5"/>
  <c r="D320" i="5"/>
  <c r="N320" i="5"/>
  <c r="M320" i="5"/>
  <c r="O320" i="5"/>
  <c r="L320" i="5"/>
  <c r="K320" i="5"/>
  <c r="H320" i="5"/>
  <c r="E320" i="5"/>
  <c r="G320" i="5"/>
  <c r="J320" i="5"/>
  <c r="I320" i="5"/>
  <c r="C320" i="5"/>
  <c r="T320" i="5" l="1"/>
  <c r="P320" i="5"/>
  <c r="S321" i="5"/>
  <c r="A322" i="5"/>
  <c r="B321" i="5"/>
  <c r="R321" i="5"/>
  <c r="Q321" i="5" s="1"/>
  <c r="U319" i="5"/>
  <c r="F320" i="5"/>
  <c r="H321" i="5"/>
  <c r="I321" i="5"/>
  <c r="C321" i="5"/>
  <c r="G321" i="5"/>
  <c r="M321" i="5"/>
  <c r="L321" i="5"/>
  <c r="O321" i="5"/>
  <c r="J321" i="5"/>
  <c r="N321" i="5"/>
  <c r="K321" i="5"/>
  <c r="E321" i="5"/>
  <c r="D321" i="5"/>
  <c r="T321" i="5" l="1"/>
  <c r="P321" i="5"/>
  <c r="S322" i="5"/>
  <c r="A323" i="5"/>
  <c r="R322" i="5"/>
  <c r="Q322" i="5" s="1"/>
  <c r="B322" i="5"/>
  <c r="U320" i="5"/>
  <c r="F321" i="5"/>
  <c r="N322" i="5"/>
  <c r="G322" i="5"/>
  <c r="E322" i="5"/>
  <c r="C322" i="5"/>
  <c r="L322" i="5"/>
  <c r="D322" i="5"/>
  <c r="I322" i="5"/>
  <c r="K322" i="5"/>
  <c r="M322" i="5"/>
  <c r="H322" i="5"/>
  <c r="O322" i="5"/>
  <c r="J322" i="5"/>
  <c r="P322" i="5" l="1"/>
  <c r="T322" i="5"/>
  <c r="S323" i="5"/>
  <c r="R323" i="5"/>
  <c r="Q323" i="5" s="1"/>
  <c r="A324" i="5"/>
  <c r="B323" i="5"/>
  <c r="U321" i="5"/>
  <c r="F322" i="5"/>
  <c r="G323" i="5"/>
  <c r="H323" i="5"/>
  <c r="C323" i="5"/>
  <c r="K323" i="5"/>
  <c r="J323" i="5"/>
  <c r="D323" i="5"/>
  <c r="I323" i="5"/>
  <c r="L323" i="5"/>
  <c r="N323" i="5"/>
  <c r="M323" i="5"/>
  <c r="E323" i="5"/>
  <c r="O323" i="5"/>
  <c r="P323" i="5" l="1"/>
  <c r="T323" i="5"/>
  <c r="S324" i="5"/>
  <c r="R324" i="5"/>
  <c r="Q324" i="5" s="1"/>
  <c r="A325" i="5"/>
  <c r="B324" i="5"/>
  <c r="U322" i="5"/>
  <c r="F323" i="5"/>
  <c r="M324" i="5"/>
  <c r="G324" i="5"/>
  <c r="I324" i="5"/>
  <c r="L324" i="5"/>
  <c r="N324" i="5"/>
  <c r="J324" i="5"/>
  <c r="H324" i="5"/>
  <c r="C324" i="5"/>
  <c r="K324" i="5"/>
  <c r="E324" i="5"/>
  <c r="D324" i="5"/>
  <c r="O324" i="5"/>
  <c r="T324" i="5" l="1"/>
  <c r="P324" i="5"/>
  <c r="S325" i="5"/>
  <c r="B325" i="5"/>
  <c r="A326" i="5"/>
  <c r="R325" i="5"/>
  <c r="Q325" i="5" s="1"/>
  <c r="U323" i="5"/>
  <c r="F324" i="5"/>
  <c r="E325" i="5"/>
  <c r="J325" i="5"/>
  <c r="H325" i="5"/>
  <c r="M325" i="5"/>
  <c r="I325" i="5"/>
  <c r="G325" i="5"/>
  <c r="K325" i="5"/>
  <c r="O325" i="5"/>
  <c r="N325" i="5"/>
  <c r="L325" i="5"/>
  <c r="C325" i="5"/>
  <c r="D325" i="5"/>
  <c r="T325" i="5" l="1"/>
  <c r="P325" i="5"/>
  <c r="S326" i="5"/>
  <c r="A327" i="5"/>
  <c r="R326" i="5"/>
  <c r="Q326" i="5" s="1"/>
  <c r="B326" i="5"/>
  <c r="U324" i="5"/>
  <c r="F325" i="5"/>
  <c r="M326" i="5"/>
  <c r="H326" i="5"/>
  <c r="D326" i="5"/>
  <c r="K326" i="5"/>
  <c r="J326" i="5"/>
  <c r="E326" i="5"/>
  <c r="C326" i="5"/>
  <c r="G326" i="5"/>
  <c r="I326" i="5"/>
  <c r="L326" i="5"/>
  <c r="O326" i="5"/>
  <c r="N326" i="5"/>
  <c r="T326" i="5" l="1"/>
  <c r="P326" i="5"/>
  <c r="S327" i="5"/>
  <c r="A328" i="5"/>
  <c r="R327" i="5"/>
  <c r="Q327" i="5" s="1"/>
  <c r="B327" i="5"/>
  <c r="U325" i="5"/>
  <c r="F326" i="5"/>
  <c r="D327" i="5"/>
  <c r="G327" i="5"/>
  <c r="O327" i="5"/>
  <c r="C327" i="5"/>
  <c r="L327" i="5"/>
  <c r="E327" i="5"/>
  <c r="J327" i="5"/>
  <c r="H327" i="5"/>
  <c r="N327" i="5"/>
  <c r="M327" i="5"/>
  <c r="I327" i="5"/>
  <c r="K327" i="5"/>
  <c r="P327" i="5" l="1"/>
  <c r="T327" i="5"/>
  <c r="S328" i="5"/>
  <c r="B328" i="5"/>
  <c r="A329" i="5"/>
  <c r="R328" i="5"/>
  <c r="Q328" i="5" s="1"/>
  <c r="U326" i="5"/>
  <c r="F327" i="5"/>
  <c r="M328" i="5"/>
  <c r="C328" i="5"/>
  <c r="E328" i="5"/>
  <c r="K328" i="5"/>
  <c r="J328" i="5"/>
  <c r="D328" i="5"/>
  <c r="L328" i="5"/>
  <c r="O328" i="5"/>
  <c r="H328" i="5"/>
  <c r="N328" i="5"/>
  <c r="I328" i="5"/>
  <c r="G328" i="5"/>
  <c r="P328" i="5" l="1"/>
  <c r="T328" i="5"/>
  <c r="S329" i="5"/>
  <c r="A330" i="5"/>
  <c r="R329" i="5"/>
  <c r="Q329" i="5" s="1"/>
  <c r="B329" i="5"/>
  <c r="U327" i="5"/>
  <c r="F328" i="5"/>
  <c r="K329" i="5"/>
  <c r="M329" i="5"/>
  <c r="D329" i="5"/>
  <c r="O329" i="5"/>
  <c r="N329" i="5"/>
  <c r="C329" i="5"/>
  <c r="J329" i="5"/>
  <c r="L329" i="5"/>
  <c r="H329" i="5"/>
  <c r="I329" i="5"/>
  <c r="G329" i="5"/>
  <c r="E329" i="5"/>
  <c r="T329" i="5" l="1"/>
  <c r="P329" i="5"/>
  <c r="S330" i="5"/>
  <c r="A331" i="5"/>
  <c r="B330" i="5"/>
  <c r="R330" i="5"/>
  <c r="Q330" i="5" s="1"/>
  <c r="U328" i="5"/>
  <c r="F329" i="5"/>
  <c r="O330" i="5"/>
  <c r="L330" i="5"/>
  <c r="N330" i="5"/>
  <c r="D330" i="5"/>
  <c r="K330" i="5"/>
  <c r="M330" i="5"/>
  <c r="C330" i="5"/>
  <c r="J330" i="5"/>
  <c r="H330" i="5"/>
  <c r="E330" i="5"/>
  <c r="I330" i="5"/>
  <c r="G330" i="5"/>
  <c r="T330" i="5" l="1"/>
  <c r="P330" i="5"/>
  <c r="S331" i="5"/>
  <c r="A332" i="5"/>
  <c r="R331" i="5"/>
  <c r="Q331" i="5" s="1"/>
  <c r="B331" i="5"/>
  <c r="U329" i="5"/>
  <c r="F330" i="5"/>
  <c r="I331" i="5"/>
  <c r="O331" i="5"/>
  <c r="N331" i="5"/>
  <c r="M331" i="5"/>
  <c r="H331" i="5"/>
  <c r="L331" i="5"/>
  <c r="K331" i="5"/>
  <c r="D331" i="5"/>
  <c r="G331" i="5"/>
  <c r="E331" i="5"/>
  <c r="C331" i="5"/>
  <c r="J331" i="5"/>
  <c r="P331" i="5" l="1"/>
  <c r="T331" i="5"/>
  <c r="S332" i="5"/>
  <c r="B332" i="5"/>
  <c r="A333" i="5"/>
  <c r="R332" i="5"/>
  <c r="Q332" i="5" s="1"/>
  <c r="U330" i="5"/>
  <c r="F331" i="5"/>
  <c r="D332" i="5"/>
  <c r="H332" i="5"/>
  <c r="M332" i="5"/>
  <c r="G332" i="5"/>
  <c r="I332" i="5"/>
  <c r="N332" i="5"/>
  <c r="C332" i="5"/>
  <c r="O332" i="5"/>
  <c r="L332" i="5"/>
  <c r="E332" i="5"/>
  <c r="K332" i="5"/>
  <c r="J332" i="5"/>
  <c r="T332" i="5" l="1"/>
  <c r="P332" i="5"/>
  <c r="S333" i="5"/>
  <c r="R333" i="5"/>
  <c r="Q333" i="5" s="1"/>
  <c r="B333" i="5"/>
  <c r="A334" i="5"/>
  <c r="U331" i="5"/>
  <c r="F332" i="5"/>
  <c r="M333" i="5"/>
  <c r="L333" i="5"/>
  <c r="I333" i="5"/>
  <c r="H333" i="5"/>
  <c r="J333" i="5"/>
  <c r="G333" i="5"/>
  <c r="K333" i="5"/>
  <c r="D333" i="5"/>
  <c r="O333" i="5"/>
  <c r="C333" i="5"/>
  <c r="E333" i="5"/>
  <c r="N333" i="5"/>
  <c r="T333" i="5" l="1"/>
  <c r="P333" i="5"/>
  <c r="S334" i="5"/>
  <c r="A335" i="5"/>
  <c r="R334" i="5"/>
  <c r="Q334" i="5" s="1"/>
  <c r="B334" i="5"/>
  <c r="U332" i="5"/>
  <c r="F333" i="5"/>
  <c r="L334" i="5"/>
  <c r="J334" i="5"/>
  <c r="I334" i="5"/>
  <c r="K334" i="5"/>
  <c r="E334" i="5"/>
  <c r="M334" i="5"/>
  <c r="G334" i="5"/>
  <c r="H334" i="5"/>
  <c r="O334" i="5"/>
  <c r="D334" i="5"/>
  <c r="C334" i="5"/>
  <c r="N334" i="5"/>
  <c r="T334" i="5" l="1"/>
  <c r="P334" i="5"/>
  <c r="S335" i="5"/>
  <c r="A336" i="5"/>
  <c r="R335" i="5"/>
  <c r="Q335" i="5" s="1"/>
  <c r="B335" i="5"/>
  <c r="U333" i="5"/>
  <c r="F334" i="5"/>
  <c r="E335" i="5"/>
  <c r="I335" i="5"/>
  <c r="G335" i="5"/>
  <c r="M335" i="5"/>
  <c r="N335" i="5"/>
  <c r="L335" i="5"/>
  <c r="K335" i="5"/>
  <c r="C335" i="5"/>
  <c r="J335" i="5"/>
  <c r="O335" i="5"/>
  <c r="D335" i="5"/>
  <c r="H335" i="5"/>
  <c r="T335" i="5" l="1"/>
  <c r="P335" i="5"/>
  <c r="S336" i="5"/>
  <c r="A337" i="5"/>
  <c r="R336" i="5"/>
  <c r="Q336" i="5" s="1"/>
  <c r="B336" i="5"/>
  <c r="U334" i="5"/>
  <c r="F335" i="5"/>
  <c r="G336" i="5"/>
  <c r="D336" i="5"/>
  <c r="O336" i="5"/>
  <c r="I336" i="5"/>
  <c r="C336" i="5"/>
  <c r="M336" i="5"/>
  <c r="J336" i="5"/>
  <c r="H336" i="5"/>
  <c r="K336" i="5"/>
  <c r="L336" i="5"/>
  <c r="E336" i="5"/>
  <c r="N336" i="5"/>
  <c r="P336" i="5" l="1"/>
  <c r="T336" i="5"/>
  <c r="S337" i="5"/>
  <c r="A338" i="5"/>
  <c r="R337" i="5"/>
  <c r="Q337" i="5" s="1"/>
  <c r="B337" i="5"/>
  <c r="U335" i="5"/>
  <c r="F336" i="5"/>
  <c r="I337" i="5"/>
  <c r="K337" i="5"/>
  <c r="L337" i="5"/>
  <c r="H337" i="5"/>
  <c r="N337" i="5"/>
  <c r="J337" i="5"/>
  <c r="M337" i="5"/>
  <c r="E337" i="5"/>
  <c r="G337" i="5"/>
  <c r="C337" i="5"/>
  <c r="O337" i="5"/>
  <c r="D337" i="5"/>
  <c r="T337" i="5" l="1"/>
  <c r="P337" i="5"/>
  <c r="S338" i="5"/>
  <c r="R338" i="5"/>
  <c r="Q338" i="5" s="1"/>
  <c r="A339" i="5"/>
  <c r="B338" i="5"/>
  <c r="U336" i="5"/>
  <c r="F337" i="5"/>
  <c r="C338" i="5"/>
  <c r="D338" i="5"/>
  <c r="M338" i="5"/>
  <c r="E338" i="5"/>
  <c r="O338" i="5"/>
  <c r="J338" i="5"/>
  <c r="N338" i="5"/>
  <c r="H338" i="5"/>
  <c r="L338" i="5"/>
  <c r="K338" i="5"/>
  <c r="I338" i="5"/>
  <c r="G338" i="5"/>
  <c r="T338" i="5" l="1"/>
  <c r="P338" i="5"/>
  <c r="S339" i="5"/>
  <c r="B339" i="5"/>
  <c r="R339" i="5"/>
  <c r="Q339" i="5" s="1"/>
  <c r="A340" i="5"/>
  <c r="U337" i="5"/>
  <c r="F338" i="5"/>
  <c r="D339" i="5"/>
  <c r="C339" i="5"/>
  <c r="G339" i="5"/>
  <c r="E339" i="5"/>
  <c r="H339" i="5"/>
  <c r="J339" i="5"/>
  <c r="M339" i="5"/>
  <c r="K339" i="5"/>
  <c r="O339" i="5"/>
  <c r="L339" i="5"/>
  <c r="I339" i="5"/>
  <c r="N339" i="5"/>
  <c r="T339" i="5" l="1"/>
  <c r="P339" i="5"/>
  <c r="S340" i="5"/>
  <c r="A341" i="5"/>
  <c r="B340" i="5"/>
  <c r="R340" i="5"/>
  <c r="Q340" i="5" s="1"/>
  <c r="U338" i="5"/>
  <c r="F339" i="5"/>
  <c r="G340" i="5"/>
  <c r="H340" i="5"/>
  <c r="I340" i="5"/>
  <c r="L340" i="5"/>
  <c r="J340" i="5"/>
  <c r="E340" i="5"/>
  <c r="M340" i="5"/>
  <c r="D340" i="5"/>
  <c r="O340" i="5"/>
  <c r="N340" i="5"/>
  <c r="K340" i="5"/>
  <c r="C340" i="5"/>
  <c r="T340" i="5" l="1"/>
  <c r="P340" i="5"/>
  <c r="S341" i="5"/>
  <c r="B341" i="5"/>
  <c r="R341" i="5"/>
  <c r="Q341" i="5" s="1"/>
  <c r="A342" i="5"/>
  <c r="U339" i="5"/>
  <c r="F340" i="5"/>
  <c r="K341" i="5"/>
  <c r="H341" i="5"/>
  <c r="I341" i="5"/>
  <c r="D341" i="5"/>
  <c r="C341" i="5"/>
  <c r="L341" i="5"/>
  <c r="M341" i="5"/>
  <c r="E341" i="5"/>
  <c r="J341" i="5"/>
  <c r="G341" i="5"/>
  <c r="N341" i="5"/>
  <c r="O341" i="5"/>
  <c r="T341" i="5" l="1"/>
  <c r="P341" i="5"/>
  <c r="S342" i="5"/>
  <c r="B342" i="5"/>
  <c r="R342" i="5"/>
  <c r="Q342" i="5" s="1"/>
  <c r="A343" i="5"/>
  <c r="U340" i="5"/>
  <c r="K342" i="5"/>
  <c r="M342" i="5"/>
  <c r="L342" i="5"/>
  <c r="N342" i="5"/>
  <c r="C342" i="5"/>
  <c r="I342" i="5"/>
  <c r="G342" i="5"/>
  <c r="J342" i="5"/>
  <c r="O342" i="5"/>
  <c r="D342" i="5"/>
  <c r="E342" i="5"/>
  <c r="H342" i="5"/>
  <c r="F341" i="5"/>
  <c r="T342" i="5" l="1"/>
  <c r="P342" i="5"/>
  <c r="S343" i="5"/>
  <c r="R343" i="5"/>
  <c r="Q343" i="5" s="1"/>
  <c r="B343" i="5"/>
  <c r="A344" i="5"/>
  <c r="U341" i="5"/>
  <c r="F342" i="5"/>
  <c r="D343" i="5"/>
  <c r="K343" i="5"/>
  <c r="N343" i="5"/>
  <c r="C343" i="5"/>
  <c r="I343" i="5"/>
  <c r="H343" i="5"/>
  <c r="J343" i="5"/>
  <c r="O343" i="5"/>
  <c r="G343" i="5"/>
  <c r="E343" i="5"/>
  <c r="L343" i="5"/>
  <c r="M343" i="5"/>
  <c r="T343" i="5" l="1"/>
  <c r="P343" i="5"/>
  <c r="S344" i="5"/>
  <c r="B344" i="5"/>
  <c r="R344" i="5"/>
  <c r="Q344" i="5" s="1"/>
  <c r="A345" i="5"/>
  <c r="U342" i="5"/>
  <c r="F343" i="5"/>
  <c r="H344" i="5"/>
  <c r="D344" i="5"/>
  <c r="L344" i="5"/>
  <c r="N344" i="5"/>
  <c r="C344" i="5"/>
  <c r="M344" i="5"/>
  <c r="K344" i="5"/>
  <c r="G344" i="5"/>
  <c r="E344" i="5"/>
  <c r="J344" i="5"/>
  <c r="I344" i="5"/>
  <c r="O344" i="5"/>
  <c r="T344" i="5" l="1"/>
  <c r="P344" i="5"/>
  <c r="S345" i="5"/>
  <c r="R345" i="5"/>
  <c r="Q345" i="5" s="1"/>
  <c r="A346" i="5"/>
  <c r="B345" i="5"/>
  <c r="U343" i="5"/>
  <c r="F344" i="5"/>
  <c r="C345" i="5"/>
  <c r="K345" i="5"/>
  <c r="G345" i="5"/>
  <c r="H345" i="5"/>
  <c r="J345" i="5"/>
  <c r="N345" i="5"/>
  <c r="L345" i="5"/>
  <c r="D345" i="5"/>
  <c r="O345" i="5"/>
  <c r="I345" i="5"/>
  <c r="M345" i="5"/>
  <c r="E345" i="5"/>
  <c r="T345" i="5" l="1"/>
  <c r="P345" i="5"/>
  <c r="S346" i="5"/>
  <c r="B346" i="5"/>
  <c r="R346" i="5"/>
  <c r="Q346" i="5" s="1"/>
  <c r="A347" i="5"/>
  <c r="U344" i="5"/>
  <c r="F345" i="5"/>
  <c r="C346" i="5"/>
  <c r="M346" i="5"/>
  <c r="N346" i="5"/>
  <c r="H346" i="5"/>
  <c r="J346" i="5"/>
  <c r="O346" i="5"/>
  <c r="K346" i="5"/>
  <c r="G346" i="5"/>
  <c r="I346" i="5"/>
  <c r="L346" i="5"/>
  <c r="E346" i="5"/>
  <c r="D346" i="5"/>
  <c r="T346" i="5" l="1"/>
  <c r="P346" i="5"/>
  <c r="S347" i="5"/>
  <c r="B347" i="5"/>
  <c r="R347" i="5"/>
  <c r="Q347" i="5" s="1"/>
  <c r="A348" i="5"/>
  <c r="U345" i="5"/>
  <c r="F346" i="5"/>
  <c r="N347" i="5"/>
  <c r="C347" i="5"/>
  <c r="D347" i="5"/>
  <c r="I347" i="5"/>
  <c r="L347" i="5"/>
  <c r="M347" i="5"/>
  <c r="K347" i="5"/>
  <c r="H347" i="5"/>
  <c r="J347" i="5"/>
  <c r="E347" i="5"/>
  <c r="G347" i="5"/>
  <c r="O347" i="5"/>
  <c r="T347" i="5" l="1"/>
  <c r="P347" i="5"/>
  <c r="S348" i="5"/>
  <c r="B348" i="5"/>
  <c r="R348" i="5"/>
  <c r="Q348" i="5" s="1"/>
  <c r="A349" i="5"/>
  <c r="U346" i="5"/>
  <c r="F347" i="5"/>
  <c r="G348" i="5"/>
  <c r="O348" i="5"/>
  <c r="M348" i="5"/>
  <c r="J348" i="5"/>
  <c r="C348" i="5"/>
  <c r="K348" i="5"/>
  <c r="H348" i="5"/>
  <c r="I348" i="5"/>
  <c r="L348" i="5"/>
  <c r="N348" i="5"/>
  <c r="E348" i="5"/>
  <c r="D348" i="5"/>
  <c r="T348" i="5" l="1"/>
  <c r="P348" i="5"/>
  <c r="S349" i="5"/>
  <c r="A350" i="5"/>
  <c r="B349" i="5"/>
  <c r="R349" i="5"/>
  <c r="Q349" i="5" s="1"/>
  <c r="U347" i="5"/>
  <c r="F348" i="5"/>
  <c r="I349" i="5"/>
  <c r="N349" i="5"/>
  <c r="L349" i="5"/>
  <c r="O349" i="5"/>
  <c r="H349" i="5"/>
  <c r="K349" i="5"/>
  <c r="M349" i="5"/>
  <c r="J349" i="5"/>
  <c r="G349" i="5"/>
  <c r="E349" i="5"/>
  <c r="D349" i="5"/>
  <c r="C349" i="5"/>
  <c r="T349" i="5" l="1"/>
  <c r="P349" i="5"/>
  <c r="S350" i="5"/>
  <c r="B350" i="5"/>
  <c r="R350" i="5"/>
  <c r="Q350" i="5" s="1"/>
  <c r="A351" i="5"/>
  <c r="U348" i="5"/>
  <c r="F349" i="5"/>
  <c r="K350" i="5"/>
  <c r="N350" i="5"/>
  <c r="C350" i="5"/>
  <c r="G350" i="5"/>
  <c r="M350" i="5"/>
  <c r="H350" i="5"/>
  <c r="I350" i="5"/>
  <c r="L350" i="5"/>
  <c r="D350" i="5"/>
  <c r="J350" i="5"/>
  <c r="E350" i="5"/>
  <c r="O350" i="5"/>
  <c r="T350" i="5" l="1"/>
  <c r="P350" i="5"/>
  <c r="S351" i="5"/>
  <c r="B351" i="5"/>
  <c r="R351" i="5"/>
  <c r="Q351" i="5" s="1"/>
  <c r="A352" i="5"/>
  <c r="U349" i="5"/>
  <c r="F350" i="5"/>
  <c r="I351" i="5"/>
  <c r="K351" i="5"/>
  <c r="C351" i="5"/>
  <c r="E351" i="5"/>
  <c r="G351" i="5"/>
  <c r="H351" i="5"/>
  <c r="M351" i="5"/>
  <c r="J351" i="5"/>
  <c r="D351" i="5"/>
  <c r="N351" i="5"/>
  <c r="O351" i="5"/>
  <c r="L351" i="5"/>
  <c r="T351" i="5" l="1"/>
  <c r="P351" i="5"/>
  <c r="S352" i="5"/>
  <c r="B352" i="5"/>
  <c r="R352" i="5"/>
  <c r="Q352" i="5" s="1"/>
  <c r="A353" i="5"/>
  <c r="U350" i="5"/>
  <c r="F351" i="5"/>
  <c r="I352" i="5"/>
  <c r="L352" i="5"/>
  <c r="M352" i="5"/>
  <c r="H352" i="5"/>
  <c r="E352" i="5"/>
  <c r="D352" i="5"/>
  <c r="N352" i="5"/>
  <c r="K352" i="5"/>
  <c r="C352" i="5"/>
  <c r="G352" i="5"/>
  <c r="J352" i="5"/>
  <c r="O352" i="5"/>
  <c r="T352" i="5" l="1"/>
  <c r="P352" i="5"/>
  <c r="S353" i="5"/>
  <c r="R353" i="5"/>
  <c r="Q353" i="5" s="1"/>
  <c r="A354" i="5"/>
  <c r="B353" i="5"/>
  <c r="U351" i="5"/>
  <c r="F352" i="5"/>
  <c r="K353" i="5"/>
  <c r="H353" i="5"/>
  <c r="I353" i="5"/>
  <c r="L353" i="5"/>
  <c r="J353" i="5"/>
  <c r="E353" i="5"/>
  <c r="G353" i="5"/>
  <c r="O353" i="5"/>
  <c r="N353" i="5"/>
  <c r="M353" i="5"/>
  <c r="D353" i="5"/>
  <c r="C353" i="5"/>
  <c r="T353" i="5" l="1"/>
  <c r="P353" i="5"/>
  <c r="S354" i="5"/>
  <c r="R354" i="5"/>
  <c r="Q354" i="5" s="1"/>
  <c r="A355" i="5"/>
  <c r="B354" i="5"/>
  <c r="U352" i="5"/>
  <c r="F353" i="5"/>
  <c r="I354" i="5"/>
  <c r="O354" i="5"/>
  <c r="J354" i="5"/>
  <c r="N354" i="5"/>
  <c r="H354" i="5"/>
  <c r="C354" i="5"/>
  <c r="K354" i="5"/>
  <c r="M354" i="5"/>
  <c r="G354" i="5"/>
  <c r="E354" i="5"/>
  <c r="D354" i="5"/>
  <c r="L354" i="5"/>
  <c r="T354" i="5" l="1"/>
  <c r="P354" i="5"/>
  <c r="S355" i="5"/>
  <c r="B355" i="5"/>
  <c r="R355" i="5"/>
  <c r="Q355" i="5" s="1"/>
  <c r="A356" i="5"/>
  <c r="U353" i="5"/>
  <c r="F354" i="5"/>
  <c r="O355" i="5"/>
  <c r="I355" i="5"/>
  <c r="H355" i="5"/>
  <c r="N355" i="5"/>
  <c r="J355" i="5"/>
  <c r="D355" i="5"/>
  <c r="L355" i="5"/>
  <c r="K355" i="5"/>
  <c r="C355" i="5"/>
  <c r="M355" i="5"/>
  <c r="G355" i="5"/>
  <c r="E355" i="5"/>
  <c r="T355" i="5" l="1"/>
  <c r="P355" i="5"/>
  <c r="S356" i="5"/>
  <c r="B356" i="5"/>
  <c r="R356" i="5"/>
  <c r="Q356" i="5" s="1"/>
  <c r="A357" i="5"/>
  <c r="U354" i="5"/>
  <c r="F355" i="5"/>
  <c r="O356" i="5"/>
  <c r="I356" i="5"/>
  <c r="H356" i="5"/>
  <c r="L356" i="5"/>
  <c r="K356" i="5"/>
  <c r="D356" i="5"/>
  <c r="G356" i="5"/>
  <c r="E356" i="5"/>
  <c r="M356" i="5"/>
  <c r="N356" i="5"/>
  <c r="J356" i="5"/>
  <c r="C356" i="5"/>
  <c r="T356" i="5" l="1"/>
  <c r="P356" i="5"/>
  <c r="S357" i="5"/>
  <c r="A358" i="5"/>
  <c r="B357" i="5"/>
  <c r="R357" i="5"/>
  <c r="Q357" i="5" s="1"/>
  <c r="U355" i="5"/>
  <c r="F356" i="5"/>
  <c r="J357" i="5"/>
  <c r="H357" i="5"/>
  <c r="C357" i="5"/>
  <c r="M357" i="5"/>
  <c r="K357" i="5"/>
  <c r="N357" i="5"/>
  <c r="O357" i="5"/>
  <c r="D357" i="5"/>
  <c r="E357" i="5"/>
  <c r="G357" i="5"/>
  <c r="L357" i="5"/>
  <c r="I357" i="5"/>
  <c r="T357" i="5" l="1"/>
  <c r="P357" i="5"/>
  <c r="S358" i="5"/>
  <c r="A359" i="5"/>
  <c r="B358" i="5"/>
  <c r="R358" i="5"/>
  <c r="Q358" i="5" s="1"/>
  <c r="U356" i="5"/>
  <c r="F357" i="5"/>
  <c r="M358" i="5"/>
  <c r="J358" i="5"/>
  <c r="O358" i="5"/>
  <c r="E358" i="5"/>
  <c r="D358" i="5"/>
  <c r="L358" i="5"/>
  <c r="N358" i="5"/>
  <c r="C358" i="5"/>
  <c r="K358" i="5"/>
  <c r="H358" i="5"/>
  <c r="G358" i="5"/>
  <c r="I358" i="5"/>
  <c r="T358" i="5" l="1"/>
  <c r="P358" i="5"/>
  <c r="S359" i="5"/>
  <c r="B359" i="5"/>
  <c r="R359" i="5"/>
  <c r="Q359" i="5" s="1"/>
  <c r="A360" i="5"/>
  <c r="U357" i="5"/>
  <c r="F358" i="5"/>
  <c r="O359" i="5"/>
  <c r="L359" i="5"/>
  <c r="M359" i="5"/>
  <c r="C359" i="5"/>
  <c r="H359" i="5"/>
  <c r="K359" i="5"/>
  <c r="N359" i="5"/>
  <c r="G359" i="5"/>
  <c r="I359" i="5"/>
  <c r="J359" i="5"/>
  <c r="E359" i="5"/>
  <c r="D359" i="5"/>
  <c r="T359" i="5" l="1"/>
  <c r="P359" i="5"/>
  <c r="S360" i="5"/>
  <c r="B360" i="5"/>
  <c r="R360" i="5"/>
  <c r="Q360" i="5" s="1"/>
  <c r="A361" i="5"/>
  <c r="U358" i="5"/>
  <c r="F359" i="5"/>
  <c r="G360" i="5"/>
  <c r="I360" i="5"/>
  <c r="C360" i="5"/>
  <c r="O360" i="5"/>
  <c r="E360" i="5"/>
  <c r="L360" i="5"/>
  <c r="M360" i="5"/>
  <c r="J360" i="5"/>
  <c r="D360" i="5"/>
  <c r="K360" i="5"/>
  <c r="N360" i="5"/>
  <c r="H360" i="5"/>
  <c r="T360" i="5" l="1"/>
  <c r="P360" i="5"/>
  <c r="S361" i="5"/>
  <c r="B361" i="5"/>
  <c r="R361" i="5"/>
  <c r="Q361" i="5" s="1"/>
  <c r="A362" i="5"/>
  <c r="U359" i="5"/>
  <c r="F360" i="5"/>
  <c r="C361" i="5"/>
  <c r="N361" i="5"/>
  <c r="E361" i="5"/>
  <c r="O361" i="5"/>
  <c r="I361" i="5"/>
  <c r="J361" i="5"/>
  <c r="G361" i="5"/>
  <c r="H361" i="5"/>
  <c r="L361" i="5"/>
  <c r="M361" i="5"/>
  <c r="K361" i="5"/>
  <c r="D361" i="5"/>
  <c r="T361" i="5" l="1"/>
  <c r="P361" i="5"/>
  <c r="S362" i="5"/>
  <c r="B362" i="5"/>
  <c r="R362" i="5"/>
  <c r="Q362" i="5" s="1"/>
  <c r="A363" i="5"/>
  <c r="U360" i="5"/>
  <c r="F361" i="5"/>
  <c r="D362" i="5"/>
  <c r="E362" i="5"/>
  <c r="M362" i="5"/>
  <c r="G362" i="5"/>
  <c r="C362" i="5"/>
  <c r="H362" i="5"/>
  <c r="N362" i="5"/>
  <c r="K362" i="5"/>
  <c r="O362" i="5"/>
  <c r="L362" i="5"/>
  <c r="J362" i="5"/>
  <c r="I362" i="5"/>
  <c r="T362" i="5" l="1"/>
  <c r="P362" i="5"/>
  <c r="S363" i="5"/>
  <c r="B363" i="5"/>
  <c r="R363" i="5"/>
  <c r="Q363" i="5" s="1"/>
  <c r="A364" i="5"/>
  <c r="U361" i="5"/>
  <c r="F362" i="5"/>
  <c r="O363" i="5"/>
  <c r="M363" i="5"/>
  <c r="C363" i="5"/>
  <c r="D363" i="5"/>
  <c r="G363" i="5"/>
  <c r="K363" i="5"/>
  <c r="I363" i="5"/>
  <c r="H363" i="5"/>
  <c r="N363" i="5"/>
  <c r="E363" i="5"/>
  <c r="J363" i="5"/>
  <c r="L363" i="5"/>
  <c r="T363" i="5" l="1"/>
  <c r="P363" i="5"/>
  <c r="S364" i="5"/>
  <c r="B364" i="5"/>
  <c r="R364" i="5"/>
  <c r="Q364" i="5" s="1"/>
  <c r="A365" i="5"/>
  <c r="U362" i="5"/>
  <c r="F363" i="5"/>
  <c r="N364" i="5"/>
  <c r="M364" i="5"/>
  <c r="C364" i="5"/>
  <c r="O364" i="5"/>
  <c r="I364" i="5"/>
  <c r="G364" i="5"/>
  <c r="L364" i="5"/>
  <c r="H364" i="5"/>
  <c r="E364" i="5"/>
  <c r="K364" i="5"/>
  <c r="J364" i="5"/>
  <c r="D364" i="5"/>
  <c r="T364" i="5" l="1"/>
  <c r="P364" i="5"/>
  <c r="S365" i="5"/>
  <c r="B365" i="5"/>
  <c r="R365" i="5"/>
  <c r="Q365" i="5" s="1"/>
  <c r="A366" i="5"/>
  <c r="U363" i="5"/>
  <c r="F364" i="5"/>
  <c r="E365" i="5"/>
  <c r="N365" i="5"/>
  <c r="C365" i="5"/>
  <c r="O365" i="5"/>
  <c r="M365" i="5"/>
  <c r="L365" i="5"/>
  <c r="K365" i="5"/>
  <c r="G365" i="5"/>
  <c r="J365" i="5"/>
  <c r="H365" i="5"/>
  <c r="I365" i="5"/>
  <c r="D365" i="5"/>
  <c r="T365" i="5" l="1"/>
  <c r="P365" i="5"/>
  <c r="S366" i="5"/>
  <c r="B366" i="5"/>
  <c r="R366" i="5"/>
  <c r="Q366" i="5" s="1"/>
  <c r="A367" i="5"/>
  <c r="U364" i="5"/>
  <c r="F365" i="5"/>
  <c r="K366" i="5"/>
  <c r="E366" i="5"/>
  <c r="M366" i="5"/>
  <c r="J366" i="5"/>
  <c r="G366" i="5"/>
  <c r="I366" i="5"/>
  <c r="H366" i="5"/>
  <c r="D366" i="5"/>
  <c r="O366" i="5"/>
  <c r="N366" i="5"/>
  <c r="C366" i="5"/>
  <c r="L366" i="5"/>
  <c r="T366" i="5" l="1"/>
  <c r="P366" i="5"/>
  <c r="S367" i="5"/>
  <c r="B367" i="5"/>
  <c r="R367" i="5"/>
  <c r="Q367" i="5" s="1"/>
  <c r="A368" i="5"/>
  <c r="U365" i="5"/>
  <c r="F366" i="5"/>
  <c r="E367" i="5"/>
  <c r="L367" i="5"/>
  <c r="H367" i="5"/>
  <c r="I367" i="5"/>
  <c r="N367" i="5"/>
  <c r="M367" i="5"/>
  <c r="G367" i="5"/>
  <c r="K367" i="5"/>
  <c r="O367" i="5"/>
  <c r="D367" i="5"/>
  <c r="C367" i="5"/>
  <c r="J367" i="5"/>
  <c r="T367" i="5" l="1"/>
  <c r="P367" i="5"/>
  <c r="S368" i="5"/>
  <c r="B368" i="5"/>
  <c r="R368" i="5"/>
  <c r="Q368" i="5" s="1"/>
  <c r="A369" i="5"/>
  <c r="U366" i="5"/>
  <c r="F367" i="5"/>
  <c r="L368" i="5"/>
  <c r="C368" i="5"/>
  <c r="E368" i="5"/>
  <c r="K368" i="5"/>
  <c r="N368" i="5"/>
  <c r="H368" i="5"/>
  <c r="D368" i="5"/>
  <c r="O368" i="5"/>
  <c r="J368" i="5"/>
  <c r="G368" i="5"/>
  <c r="M368" i="5"/>
  <c r="I368" i="5"/>
  <c r="T368" i="5" l="1"/>
  <c r="P368" i="5"/>
  <c r="S369" i="5"/>
  <c r="B369" i="5"/>
  <c r="R369" i="5"/>
  <c r="Q369" i="5" s="1"/>
  <c r="A370" i="5"/>
  <c r="U367" i="5"/>
  <c r="F368" i="5"/>
  <c r="G369" i="5"/>
  <c r="D369" i="5"/>
  <c r="N369" i="5"/>
  <c r="E369" i="5"/>
  <c r="L369" i="5"/>
  <c r="H369" i="5"/>
  <c r="K369" i="5"/>
  <c r="C369" i="5"/>
  <c r="M369" i="5"/>
  <c r="I369" i="5"/>
  <c r="J369" i="5"/>
  <c r="O369" i="5"/>
  <c r="T369" i="5" l="1"/>
  <c r="P369" i="5"/>
  <c r="S370" i="5"/>
  <c r="B370" i="5"/>
  <c r="R370" i="5"/>
  <c r="Q370" i="5" s="1"/>
  <c r="A371" i="5"/>
  <c r="U368" i="5"/>
  <c r="F369" i="5"/>
  <c r="H370" i="5"/>
  <c r="O370" i="5"/>
  <c r="G370" i="5"/>
  <c r="N370" i="5"/>
  <c r="J370" i="5"/>
  <c r="L370" i="5"/>
  <c r="I370" i="5"/>
  <c r="C370" i="5"/>
  <c r="E370" i="5"/>
  <c r="D370" i="5"/>
  <c r="M370" i="5"/>
  <c r="K370" i="5"/>
  <c r="T370" i="5" l="1"/>
  <c r="P370" i="5"/>
  <c r="S371" i="5"/>
  <c r="B371" i="5"/>
  <c r="R371" i="5"/>
  <c r="Q371" i="5" s="1"/>
  <c r="A372" i="5"/>
  <c r="U369" i="5"/>
  <c r="F370" i="5"/>
  <c r="O371" i="5"/>
  <c r="I371" i="5"/>
  <c r="G371" i="5"/>
  <c r="M371" i="5"/>
  <c r="L371" i="5"/>
  <c r="H371" i="5"/>
  <c r="D371" i="5"/>
  <c r="J371" i="5"/>
  <c r="N371" i="5"/>
  <c r="C371" i="5"/>
  <c r="E371" i="5"/>
  <c r="K371" i="5"/>
  <c r="T371" i="5" l="1"/>
  <c r="P371" i="5"/>
  <c r="U371" i="5" s="1"/>
  <c r="S372" i="5"/>
  <c r="B372" i="5"/>
  <c r="R372" i="5"/>
  <c r="Q372" i="5" s="1"/>
  <c r="A373" i="5"/>
  <c r="U370" i="5"/>
  <c r="E372" i="5"/>
  <c r="H372" i="5"/>
  <c r="K372" i="5"/>
  <c r="C372" i="5"/>
  <c r="N372" i="5"/>
  <c r="M372" i="5"/>
  <c r="G372" i="5"/>
  <c r="O372" i="5"/>
  <c r="I372" i="5"/>
  <c r="L372" i="5"/>
  <c r="D372" i="5"/>
  <c r="J372" i="5"/>
  <c r="F371" i="5"/>
  <c r="T372" i="5" l="1"/>
  <c r="P372" i="5"/>
  <c r="S373" i="5"/>
  <c r="B373" i="5"/>
  <c r="R373" i="5"/>
  <c r="Q373" i="5" s="1"/>
  <c r="A374" i="5"/>
  <c r="F372" i="5"/>
  <c r="O373" i="5"/>
  <c r="C373" i="5"/>
  <c r="N373" i="5"/>
  <c r="K373" i="5"/>
  <c r="H373" i="5"/>
  <c r="M373" i="5"/>
  <c r="G373" i="5"/>
  <c r="I373" i="5"/>
  <c r="D373" i="5"/>
  <c r="E373" i="5"/>
  <c r="L373" i="5"/>
  <c r="J373" i="5"/>
  <c r="T373" i="5" l="1"/>
  <c r="P373" i="5"/>
  <c r="S374" i="5"/>
  <c r="B374" i="5"/>
  <c r="R374" i="5"/>
  <c r="Q374" i="5" s="1"/>
  <c r="A375" i="5"/>
  <c r="U372" i="5"/>
  <c r="F373" i="5"/>
  <c r="C374" i="5"/>
  <c r="M374" i="5"/>
  <c r="E374" i="5"/>
  <c r="O374" i="5"/>
  <c r="D374" i="5"/>
  <c r="K374" i="5"/>
  <c r="N374" i="5"/>
  <c r="G374" i="5"/>
  <c r="L374" i="5"/>
  <c r="I374" i="5"/>
  <c r="J374" i="5"/>
  <c r="H374" i="5"/>
  <c r="T374" i="5" l="1"/>
  <c r="P374" i="5"/>
  <c r="S375" i="5"/>
  <c r="B375" i="5"/>
  <c r="R375" i="5"/>
  <c r="Q375" i="5" s="1"/>
  <c r="A376" i="5"/>
  <c r="U373" i="5"/>
  <c r="F374" i="5"/>
  <c r="M375" i="5"/>
  <c r="J375" i="5"/>
  <c r="G375" i="5"/>
  <c r="D375" i="5"/>
  <c r="N375" i="5"/>
  <c r="E375" i="5"/>
  <c r="O375" i="5"/>
  <c r="C375" i="5"/>
  <c r="L375" i="5"/>
  <c r="H375" i="5"/>
  <c r="I375" i="5"/>
  <c r="K375" i="5"/>
  <c r="T375" i="5" l="1"/>
  <c r="P375" i="5"/>
  <c r="S376" i="5"/>
  <c r="B376" i="5"/>
  <c r="R376" i="5"/>
  <c r="Q376" i="5" s="1"/>
  <c r="A377" i="5"/>
  <c r="U374" i="5"/>
  <c r="F375" i="5"/>
  <c r="H376" i="5"/>
  <c r="O376" i="5"/>
  <c r="C376" i="5"/>
  <c r="M376" i="5"/>
  <c r="N376" i="5"/>
  <c r="E376" i="5"/>
  <c r="G376" i="5"/>
  <c r="I376" i="5"/>
  <c r="D376" i="5"/>
  <c r="K376" i="5"/>
  <c r="L376" i="5"/>
  <c r="J376" i="5"/>
  <c r="T376" i="5" l="1"/>
  <c r="P376" i="5"/>
  <c r="S377" i="5"/>
  <c r="A378" i="5"/>
  <c r="R377" i="5"/>
  <c r="Q377" i="5" s="1"/>
  <c r="B377" i="5"/>
  <c r="U375" i="5"/>
  <c r="F376" i="5"/>
  <c r="D377" i="5"/>
  <c r="M377" i="5"/>
  <c r="C377" i="5"/>
  <c r="K377" i="5"/>
  <c r="E377" i="5"/>
  <c r="J377" i="5"/>
  <c r="H377" i="5"/>
  <c r="L377" i="5"/>
  <c r="O377" i="5"/>
  <c r="N377" i="5"/>
  <c r="I377" i="5"/>
  <c r="G377" i="5"/>
  <c r="T377" i="5" l="1"/>
  <c r="P377" i="5"/>
  <c r="U377" i="5" s="1"/>
  <c r="S378" i="5"/>
  <c r="B378" i="5"/>
  <c r="R378" i="5"/>
  <c r="Q378" i="5" s="1"/>
  <c r="A379" i="5"/>
  <c r="U376" i="5"/>
  <c r="L378" i="5"/>
  <c r="J378" i="5"/>
  <c r="D378" i="5"/>
  <c r="M378" i="5"/>
  <c r="G378" i="5"/>
  <c r="N378" i="5"/>
  <c r="H378" i="5"/>
  <c r="K378" i="5"/>
  <c r="C378" i="5"/>
  <c r="O378" i="5"/>
  <c r="E378" i="5"/>
  <c r="I378" i="5"/>
  <c r="F377" i="5"/>
  <c r="T378" i="5" l="1"/>
  <c r="P378" i="5"/>
  <c r="S379" i="5"/>
  <c r="B379" i="5"/>
  <c r="R379" i="5"/>
  <c r="Q379" i="5" s="1"/>
  <c r="A380" i="5"/>
  <c r="F378" i="5"/>
  <c r="N379" i="5"/>
  <c r="O379" i="5"/>
  <c r="H379" i="5"/>
  <c r="G379" i="5"/>
  <c r="E379" i="5"/>
  <c r="D379" i="5"/>
  <c r="J379" i="5"/>
  <c r="L379" i="5"/>
  <c r="I379" i="5"/>
  <c r="K379" i="5"/>
  <c r="C379" i="5"/>
  <c r="M379" i="5"/>
  <c r="T379" i="5" l="1"/>
  <c r="P379" i="5"/>
  <c r="S380" i="5"/>
  <c r="A381" i="5"/>
  <c r="R380" i="5"/>
  <c r="Q380" i="5" s="1"/>
  <c r="B380" i="5"/>
  <c r="U378" i="5"/>
  <c r="F379" i="5"/>
  <c r="L380" i="5"/>
  <c r="O380" i="5"/>
  <c r="K380" i="5"/>
  <c r="I380" i="5"/>
  <c r="H380" i="5"/>
  <c r="M380" i="5"/>
  <c r="J380" i="5"/>
  <c r="D380" i="5"/>
  <c r="G380" i="5"/>
  <c r="N380" i="5"/>
  <c r="E380" i="5"/>
  <c r="C380" i="5"/>
  <c r="T380" i="5" l="1"/>
  <c r="P380" i="5"/>
  <c r="S381" i="5"/>
  <c r="A382" i="5"/>
  <c r="R381" i="5"/>
  <c r="Q381" i="5" s="1"/>
  <c r="B381" i="5"/>
  <c r="U379" i="5"/>
  <c r="F380" i="5"/>
  <c r="D381" i="5"/>
  <c r="E381" i="5"/>
  <c r="G381" i="5"/>
  <c r="L381" i="5"/>
  <c r="H381" i="5"/>
  <c r="N381" i="5"/>
  <c r="K381" i="5"/>
  <c r="M381" i="5"/>
  <c r="O381" i="5"/>
  <c r="C381" i="5"/>
  <c r="I381" i="5"/>
  <c r="J381" i="5"/>
  <c r="T381" i="5" l="1"/>
  <c r="P381" i="5"/>
  <c r="S382" i="5"/>
  <c r="B382" i="5"/>
  <c r="R382" i="5"/>
  <c r="Q382" i="5" s="1"/>
  <c r="A383" i="5"/>
  <c r="U380" i="5"/>
  <c r="F381" i="5"/>
  <c r="E382" i="5"/>
  <c r="L382" i="5"/>
  <c r="O382" i="5"/>
  <c r="N382" i="5"/>
  <c r="M382" i="5"/>
  <c r="I382" i="5"/>
  <c r="G382" i="5"/>
  <c r="C382" i="5"/>
  <c r="H382" i="5"/>
  <c r="D382" i="5"/>
  <c r="J382" i="5"/>
  <c r="K382" i="5"/>
  <c r="T382" i="5" l="1"/>
  <c r="P382" i="5"/>
  <c r="S383" i="5"/>
  <c r="B383" i="5"/>
  <c r="R383" i="5"/>
  <c r="Q383" i="5" s="1"/>
  <c r="A384" i="5"/>
  <c r="U381" i="5"/>
  <c r="F382" i="5"/>
  <c r="K383" i="5"/>
  <c r="L383" i="5"/>
  <c r="D383" i="5"/>
  <c r="J383" i="5"/>
  <c r="C383" i="5"/>
  <c r="G383" i="5"/>
  <c r="E383" i="5"/>
  <c r="O383" i="5"/>
  <c r="I383" i="5"/>
  <c r="H383" i="5"/>
  <c r="M383" i="5"/>
  <c r="N383" i="5"/>
  <c r="T383" i="5" l="1"/>
  <c r="P383" i="5"/>
  <c r="S384" i="5"/>
  <c r="B384" i="5"/>
  <c r="R384" i="5"/>
  <c r="Q384" i="5" s="1"/>
  <c r="A385" i="5"/>
  <c r="U382" i="5"/>
  <c r="F383" i="5"/>
  <c r="G384" i="5"/>
  <c r="J384" i="5"/>
  <c r="N384" i="5"/>
  <c r="M384" i="5"/>
  <c r="E384" i="5"/>
  <c r="L384" i="5"/>
  <c r="D384" i="5"/>
  <c r="C384" i="5"/>
  <c r="H384" i="5"/>
  <c r="K384" i="5"/>
  <c r="I384" i="5"/>
  <c r="O384" i="5"/>
  <c r="T384" i="5" l="1"/>
  <c r="P384" i="5"/>
  <c r="S385" i="5"/>
  <c r="B385" i="5"/>
  <c r="R385" i="5"/>
  <c r="Q385" i="5" s="1"/>
  <c r="A386" i="5"/>
  <c r="U383" i="5"/>
  <c r="F384" i="5"/>
  <c r="K385" i="5"/>
  <c r="M385" i="5"/>
  <c r="L385" i="5"/>
  <c r="C385" i="5"/>
  <c r="H385" i="5"/>
  <c r="I385" i="5"/>
  <c r="G385" i="5"/>
  <c r="J385" i="5"/>
  <c r="N385" i="5"/>
  <c r="E385" i="5"/>
  <c r="D385" i="5"/>
  <c r="O385" i="5"/>
  <c r="T385" i="5" l="1"/>
  <c r="P385" i="5"/>
  <c r="S386" i="5"/>
  <c r="A387" i="5"/>
  <c r="B386" i="5"/>
  <c r="R386" i="5"/>
  <c r="Q386" i="5" s="1"/>
  <c r="U384" i="5"/>
  <c r="F385" i="5"/>
  <c r="N386" i="5"/>
  <c r="G386" i="5"/>
  <c r="E386" i="5"/>
  <c r="C386" i="5"/>
  <c r="D386" i="5"/>
  <c r="L386" i="5"/>
  <c r="O386" i="5"/>
  <c r="I386" i="5"/>
  <c r="M386" i="5"/>
  <c r="K386" i="5"/>
  <c r="J386" i="5"/>
  <c r="H386" i="5"/>
  <c r="T386" i="5" l="1"/>
  <c r="P386" i="5"/>
  <c r="S387" i="5"/>
  <c r="B387" i="5"/>
  <c r="R387" i="5"/>
  <c r="Q387" i="5" s="1"/>
  <c r="A388" i="5"/>
  <c r="U385" i="5"/>
  <c r="F386" i="5"/>
  <c r="H387" i="5"/>
  <c r="C387" i="5"/>
  <c r="O387" i="5"/>
  <c r="M387" i="5"/>
  <c r="G387" i="5"/>
  <c r="J387" i="5"/>
  <c r="I387" i="5"/>
  <c r="D387" i="5"/>
  <c r="E387" i="5"/>
  <c r="N387" i="5"/>
  <c r="L387" i="5"/>
  <c r="K387" i="5"/>
  <c r="T387" i="5" l="1"/>
  <c r="P387" i="5"/>
  <c r="S388" i="5"/>
  <c r="B388" i="5"/>
  <c r="R388" i="5"/>
  <c r="Q388" i="5" s="1"/>
  <c r="A389" i="5"/>
  <c r="U386" i="5"/>
  <c r="H388" i="5"/>
  <c r="J388" i="5"/>
  <c r="I388" i="5"/>
  <c r="N388" i="5"/>
  <c r="L388" i="5"/>
  <c r="K388" i="5"/>
  <c r="C388" i="5"/>
  <c r="E388" i="5"/>
  <c r="D388" i="5"/>
  <c r="M388" i="5"/>
  <c r="O388" i="5"/>
  <c r="G388" i="5"/>
  <c r="F387" i="5"/>
  <c r="T388" i="5" l="1"/>
  <c r="P388" i="5"/>
  <c r="U387" i="5"/>
  <c r="S389" i="5"/>
  <c r="B389" i="5"/>
  <c r="R389" i="5"/>
  <c r="Q389" i="5" s="1"/>
  <c r="A390" i="5"/>
  <c r="G389" i="5"/>
  <c r="O389" i="5"/>
  <c r="D389" i="5"/>
  <c r="J389" i="5"/>
  <c r="E389" i="5"/>
  <c r="C389" i="5"/>
  <c r="N389" i="5"/>
  <c r="K389" i="5"/>
  <c r="H389" i="5"/>
  <c r="M389" i="5"/>
  <c r="L389" i="5"/>
  <c r="I389" i="5"/>
  <c r="F388" i="5"/>
  <c r="T389" i="5" l="1"/>
  <c r="P389" i="5"/>
  <c r="S390" i="5"/>
  <c r="B390" i="5"/>
  <c r="R390" i="5"/>
  <c r="Q390" i="5" s="1"/>
  <c r="A391" i="5"/>
  <c r="U388" i="5"/>
  <c r="F389" i="5"/>
  <c r="N390" i="5"/>
  <c r="O390" i="5"/>
  <c r="M390" i="5"/>
  <c r="E390" i="5"/>
  <c r="L390" i="5"/>
  <c r="G390" i="5"/>
  <c r="J390" i="5"/>
  <c r="H390" i="5"/>
  <c r="I390" i="5"/>
  <c r="C390" i="5"/>
  <c r="K390" i="5"/>
  <c r="D390" i="5"/>
  <c r="T390" i="5" l="1"/>
  <c r="P390" i="5"/>
  <c r="S391" i="5"/>
  <c r="B391" i="5"/>
  <c r="R391" i="5"/>
  <c r="Q391" i="5" s="1"/>
  <c r="A392" i="5"/>
  <c r="U389" i="5"/>
  <c r="F390" i="5"/>
  <c r="K391" i="5"/>
  <c r="I391" i="5"/>
  <c r="C391" i="5"/>
  <c r="M391" i="5"/>
  <c r="O391" i="5"/>
  <c r="H391" i="5"/>
  <c r="L391" i="5"/>
  <c r="D391" i="5"/>
  <c r="E391" i="5"/>
  <c r="G391" i="5"/>
  <c r="N391" i="5"/>
  <c r="J391" i="5"/>
  <c r="T391" i="5" l="1"/>
  <c r="P391" i="5"/>
  <c r="S392" i="5"/>
  <c r="B392" i="5"/>
  <c r="R392" i="5"/>
  <c r="Q392" i="5" s="1"/>
  <c r="A393" i="5"/>
  <c r="U390" i="5"/>
  <c r="F391" i="5"/>
  <c r="C392" i="5"/>
  <c r="H392" i="5"/>
  <c r="D392" i="5"/>
  <c r="G392" i="5"/>
  <c r="O392" i="5"/>
  <c r="M392" i="5"/>
  <c r="L392" i="5"/>
  <c r="I392" i="5"/>
  <c r="E392" i="5"/>
  <c r="J392" i="5"/>
  <c r="N392" i="5"/>
  <c r="K392" i="5"/>
  <c r="T392" i="5" l="1"/>
  <c r="P392" i="5"/>
  <c r="S393" i="5"/>
  <c r="B393" i="5"/>
  <c r="R393" i="5"/>
  <c r="Q393" i="5" s="1"/>
  <c r="A394" i="5"/>
  <c r="U391" i="5"/>
  <c r="F392" i="5"/>
  <c r="I393" i="5"/>
  <c r="C393" i="5"/>
  <c r="M393" i="5"/>
  <c r="K393" i="5"/>
  <c r="G393" i="5"/>
  <c r="H393" i="5"/>
  <c r="L393" i="5"/>
  <c r="O393" i="5"/>
  <c r="J393" i="5"/>
  <c r="N393" i="5"/>
  <c r="D393" i="5"/>
  <c r="E393" i="5"/>
  <c r="T393" i="5" l="1"/>
  <c r="P393" i="5"/>
  <c r="S394" i="5"/>
  <c r="B394" i="5"/>
  <c r="R394" i="5"/>
  <c r="Q394" i="5" s="1"/>
  <c r="A395" i="5"/>
  <c r="U392" i="5"/>
  <c r="F393" i="5"/>
  <c r="H394" i="5"/>
  <c r="K394" i="5"/>
  <c r="I394" i="5"/>
  <c r="G394" i="5"/>
  <c r="L394" i="5"/>
  <c r="O394" i="5"/>
  <c r="E394" i="5"/>
  <c r="D394" i="5"/>
  <c r="J394" i="5"/>
  <c r="C394" i="5"/>
  <c r="N394" i="5"/>
  <c r="M394" i="5"/>
  <c r="T394" i="5" l="1"/>
  <c r="P394" i="5"/>
  <c r="S395" i="5"/>
  <c r="B395" i="5"/>
  <c r="R395" i="5"/>
  <c r="Q395" i="5" s="1"/>
  <c r="A396" i="5"/>
  <c r="U393" i="5"/>
  <c r="F394" i="5"/>
  <c r="D395" i="5"/>
  <c r="I395" i="5"/>
  <c r="L395" i="5"/>
  <c r="G395" i="5"/>
  <c r="E395" i="5"/>
  <c r="J395" i="5"/>
  <c r="M395" i="5"/>
  <c r="K395" i="5"/>
  <c r="C395" i="5"/>
  <c r="O395" i="5"/>
  <c r="H395" i="5"/>
  <c r="N395" i="5"/>
  <c r="T395" i="5" l="1"/>
  <c r="P395" i="5"/>
  <c r="S396" i="5"/>
  <c r="B396" i="5"/>
  <c r="R396" i="5"/>
  <c r="Q396" i="5" s="1"/>
  <c r="A397" i="5"/>
  <c r="U394" i="5"/>
  <c r="F395" i="5"/>
  <c r="K396" i="5"/>
  <c r="E396" i="5"/>
  <c r="I396" i="5"/>
  <c r="L396" i="5"/>
  <c r="J396" i="5"/>
  <c r="C396" i="5"/>
  <c r="N396" i="5"/>
  <c r="H396" i="5"/>
  <c r="O396" i="5"/>
  <c r="G396" i="5"/>
  <c r="M396" i="5"/>
  <c r="D396" i="5"/>
  <c r="T396" i="5" l="1"/>
  <c r="P396" i="5"/>
  <c r="S397" i="5"/>
  <c r="B397" i="5"/>
  <c r="R397" i="5"/>
  <c r="Q397" i="5" s="1"/>
  <c r="A398" i="5"/>
  <c r="U395" i="5"/>
  <c r="F396" i="5"/>
  <c r="O397" i="5"/>
  <c r="M397" i="5"/>
  <c r="G397" i="5"/>
  <c r="J397" i="5"/>
  <c r="N397" i="5"/>
  <c r="I397" i="5"/>
  <c r="E397" i="5"/>
  <c r="D397" i="5"/>
  <c r="L397" i="5"/>
  <c r="K397" i="5"/>
  <c r="C397" i="5"/>
  <c r="H397" i="5"/>
  <c r="T397" i="5" l="1"/>
  <c r="P397" i="5"/>
  <c r="U397" i="5" s="1"/>
  <c r="S398" i="5"/>
  <c r="A399" i="5"/>
  <c r="B398" i="5"/>
  <c r="R398" i="5"/>
  <c r="Q398" i="5" s="1"/>
  <c r="U396" i="5"/>
  <c r="J398" i="5"/>
  <c r="L398" i="5"/>
  <c r="C398" i="5"/>
  <c r="K398" i="5"/>
  <c r="H398" i="5"/>
  <c r="D398" i="5"/>
  <c r="E398" i="5"/>
  <c r="M398" i="5"/>
  <c r="G398" i="5"/>
  <c r="N398" i="5"/>
  <c r="O398" i="5"/>
  <c r="I398" i="5"/>
  <c r="F397" i="5"/>
  <c r="T398" i="5" l="1"/>
  <c r="P398" i="5"/>
  <c r="S399" i="5"/>
  <c r="B399" i="5"/>
  <c r="R399" i="5"/>
  <c r="Q399" i="5" s="1"/>
  <c r="A400" i="5"/>
  <c r="G399" i="5"/>
  <c r="K399" i="5"/>
  <c r="O399" i="5"/>
  <c r="H399" i="5"/>
  <c r="I399" i="5"/>
  <c r="J399" i="5"/>
  <c r="D399" i="5"/>
  <c r="L399" i="5"/>
  <c r="N399" i="5"/>
  <c r="C399" i="5"/>
  <c r="E399" i="5"/>
  <c r="M399" i="5"/>
  <c r="F398" i="5"/>
  <c r="T399" i="5" l="1"/>
  <c r="P399" i="5"/>
  <c r="S400" i="5"/>
  <c r="B400" i="5"/>
  <c r="R400" i="5"/>
  <c r="Q400" i="5" s="1"/>
  <c r="A401" i="5"/>
  <c r="U398" i="5"/>
  <c r="F399" i="5"/>
  <c r="G400" i="5"/>
  <c r="D400" i="5"/>
  <c r="O400" i="5"/>
  <c r="J400" i="5"/>
  <c r="L400" i="5"/>
  <c r="N400" i="5"/>
  <c r="E400" i="5"/>
  <c r="I400" i="5"/>
  <c r="C400" i="5"/>
  <c r="H400" i="5"/>
  <c r="M400" i="5"/>
  <c r="K400" i="5"/>
  <c r="T400" i="5" l="1"/>
  <c r="P400" i="5"/>
  <c r="S401" i="5"/>
  <c r="B401" i="5"/>
  <c r="R401" i="5"/>
  <c r="Q401" i="5" s="1"/>
  <c r="A402" i="5"/>
  <c r="U399" i="5"/>
  <c r="F400" i="5"/>
  <c r="N401" i="5"/>
  <c r="J401" i="5"/>
  <c r="G401" i="5"/>
  <c r="O401" i="5"/>
  <c r="L401" i="5"/>
  <c r="D401" i="5"/>
  <c r="I401" i="5"/>
  <c r="H401" i="5"/>
  <c r="M401" i="5"/>
  <c r="C401" i="5"/>
  <c r="E401" i="5"/>
  <c r="K401" i="5"/>
  <c r="T401" i="5" l="1"/>
  <c r="P401" i="5"/>
  <c r="S402" i="5"/>
  <c r="B402" i="5"/>
  <c r="A403" i="5"/>
  <c r="R402" i="5"/>
  <c r="Q402" i="5" s="1"/>
  <c r="U400" i="5"/>
  <c r="F401" i="5"/>
  <c r="I402" i="5"/>
  <c r="L402" i="5"/>
  <c r="O402" i="5"/>
  <c r="M402" i="5"/>
  <c r="N402" i="5"/>
  <c r="G402" i="5"/>
  <c r="J402" i="5"/>
  <c r="H402" i="5"/>
  <c r="C402" i="5"/>
  <c r="D402" i="5"/>
  <c r="K402" i="5"/>
  <c r="E402" i="5"/>
  <c r="T402" i="5" l="1"/>
  <c r="P402" i="5"/>
  <c r="S403" i="5"/>
  <c r="B403" i="5"/>
  <c r="R403" i="5"/>
  <c r="Q403" i="5" s="1"/>
  <c r="A404" i="5"/>
  <c r="U401" i="5"/>
  <c r="J403" i="5"/>
  <c r="O403" i="5"/>
  <c r="C403" i="5"/>
  <c r="E403" i="5"/>
  <c r="D403" i="5"/>
  <c r="H403" i="5"/>
  <c r="G403" i="5"/>
  <c r="N403" i="5"/>
  <c r="K403" i="5"/>
  <c r="L403" i="5"/>
  <c r="I403" i="5"/>
  <c r="M403" i="5"/>
  <c r="F402" i="5"/>
  <c r="T403" i="5" l="1"/>
  <c r="P403" i="5"/>
  <c r="S404" i="5"/>
  <c r="B404" i="5"/>
  <c r="R404" i="5"/>
  <c r="Q404" i="5" s="1"/>
  <c r="A405" i="5"/>
  <c r="U402" i="5"/>
  <c r="F403" i="5"/>
  <c r="C404" i="5"/>
  <c r="M404" i="5"/>
  <c r="H404" i="5"/>
  <c r="K404" i="5"/>
  <c r="D404" i="5"/>
  <c r="G404" i="5"/>
  <c r="E404" i="5"/>
  <c r="N404" i="5"/>
  <c r="I404" i="5"/>
  <c r="L404" i="5"/>
  <c r="O404" i="5"/>
  <c r="J404" i="5"/>
  <c r="T404" i="5" l="1"/>
  <c r="P404" i="5"/>
  <c r="S405" i="5"/>
  <c r="R405" i="5"/>
  <c r="Q405" i="5" s="1"/>
  <c r="B405" i="5"/>
  <c r="A406" i="5"/>
  <c r="U403" i="5"/>
  <c r="F404" i="5"/>
  <c r="G405" i="5"/>
  <c r="N405" i="5"/>
  <c r="M405" i="5"/>
  <c r="C405" i="5"/>
  <c r="L405" i="5"/>
  <c r="I405" i="5"/>
  <c r="H405" i="5"/>
  <c r="E405" i="5"/>
  <c r="K405" i="5"/>
  <c r="D405" i="5"/>
  <c r="J405" i="5"/>
  <c r="O405" i="5"/>
  <c r="P405" i="5" l="1"/>
  <c r="T405" i="5"/>
  <c r="S406" i="5"/>
  <c r="B406" i="5"/>
  <c r="R406" i="5"/>
  <c r="Q406" i="5" s="1"/>
  <c r="A407" i="5"/>
  <c r="U404" i="5"/>
  <c r="F405" i="5"/>
  <c r="N406" i="5"/>
  <c r="O406" i="5"/>
  <c r="J406" i="5"/>
  <c r="I406" i="5"/>
  <c r="C406" i="5"/>
  <c r="M406" i="5"/>
  <c r="E406" i="5"/>
  <c r="H406" i="5"/>
  <c r="L406" i="5"/>
  <c r="D406" i="5"/>
  <c r="G406" i="5"/>
  <c r="K406" i="5"/>
  <c r="T406" i="5" l="1"/>
  <c r="P406" i="5"/>
  <c r="S407" i="5"/>
  <c r="B407" i="5"/>
  <c r="R407" i="5"/>
  <c r="Q407" i="5" s="1"/>
  <c r="A408" i="5"/>
  <c r="U405" i="5"/>
  <c r="F406" i="5"/>
  <c r="K407" i="5"/>
  <c r="I407" i="5"/>
  <c r="C407" i="5"/>
  <c r="M407" i="5"/>
  <c r="G407" i="5"/>
  <c r="J407" i="5"/>
  <c r="L407" i="5"/>
  <c r="N407" i="5"/>
  <c r="O407" i="5"/>
  <c r="D407" i="5"/>
  <c r="E407" i="5"/>
  <c r="H407" i="5"/>
  <c r="T407" i="5" l="1"/>
  <c r="P407" i="5"/>
  <c r="S408" i="5"/>
  <c r="B408" i="5"/>
  <c r="R408" i="5"/>
  <c r="Q408" i="5" s="1"/>
  <c r="A409" i="5"/>
  <c r="U406" i="5"/>
  <c r="F407" i="5"/>
  <c r="K408" i="5"/>
  <c r="G408" i="5"/>
  <c r="I408" i="5"/>
  <c r="J408" i="5"/>
  <c r="C408" i="5"/>
  <c r="N408" i="5"/>
  <c r="L408" i="5"/>
  <c r="D408" i="5"/>
  <c r="M408" i="5"/>
  <c r="H408" i="5"/>
  <c r="O408" i="5"/>
  <c r="E408" i="5"/>
  <c r="T408" i="5" l="1"/>
  <c r="P408" i="5"/>
  <c r="S409" i="5"/>
  <c r="B409" i="5"/>
  <c r="R409" i="5"/>
  <c r="Q409" i="5" s="1"/>
  <c r="A410" i="5"/>
  <c r="U407" i="5"/>
  <c r="F408" i="5"/>
  <c r="C409" i="5"/>
  <c r="M409" i="5"/>
  <c r="I409" i="5"/>
  <c r="J409" i="5"/>
  <c r="L409" i="5"/>
  <c r="N409" i="5"/>
  <c r="E409" i="5"/>
  <c r="K409" i="5"/>
  <c r="G409" i="5"/>
  <c r="D409" i="5"/>
  <c r="O409" i="5"/>
  <c r="H409" i="5"/>
  <c r="T409" i="5" l="1"/>
  <c r="P409" i="5"/>
  <c r="S410" i="5"/>
  <c r="B410" i="5"/>
  <c r="R410" i="5"/>
  <c r="Q410" i="5" s="1"/>
  <c r="A411" i="5"/>
  <c r="U408" i="5"/>
  <c r="F409" i="5"/>
  <c r="K410" i="5"/>
  <c r="L410" i="5"/>
  <c r="J410" i="5"/>
  <c r="I410" i="5"/>
  <c r="N410" i="5"/>
  <c r="C410" i="5"/>
  <c r="M410" i="5"/>
  <c r="D410" i="5"/>
  <c r="H410" i="5"/>
  <c r="O410" i="5"/>
  <c r="E410" i="5"/>
  <c r="G410" i="5"/>
  <c r="T410" i="5" l="1"/>
  <c r="P410" i="5"/>
  <c r="S411" i="5"/>
  <c r="B411" i="5"/>
  <c r="R411" i="5"/>
  <c r="Q411" i="5" s="1"/>
  <c r="A412" i="5"/>
  <c r="U409" i="5"/>
  <c r="F410" i="5"/>
  <c r="O411" i="5"/>
  <c r="K411" i="5"/>
  <c r="J411" i="5"/>
  <c r="C411" i="5"/>
  <c r="H411" i="5"/>
  <c r="N411" i="5"/>
  <c r="E411" i="5"/>
  <c r="D411" i="5"/>
  <c r="L411" i="5"/>
  <c r="I411" i="5"/>
  <c r="G411" i="5"/>
  <c r="M411" i="5"/>
  <c r="T411" i="5" l="1"/>
  <c r="P411" i="5"/>
  <c r="S412" i="5"/>
  <c r="B412" i="5"/>
  <c r="R412" i="5"/>
  <c r="Q412" i="5" s="1"/>
  <c r="A413" i="5"/>
  <c r="U410" i="5"/>
  <c r="F411" i="5"/>
  <c r="M412" i="5"/>
  <c r="L412" i="5"/>
  <c r="K412" i="5"/>
  <c r="E412" i="5"/>
  <c r="J412" i="5"/>
  <c r="H412" i="5"/>
  <c r="N412" i="5"/>
  <c r="O412" i="5"/>
  <c r="I412" i="5"/>
  <c r="C412" i="5"/>
  <c r="D412" i="5"/>
  <c r="G412" i="5"/>
  <c r="T412" i="5" l="1"/>
  <c r="P412" i="5"/>
  <c r="S413" i="5"/>
  <c r="B413" i="5"/>
  <c r="R413" i="5"/>
  <c r="Q413" i="5" s="1"/>
  <c r="A414" i="5"/>
  <c r="U411" i="5"/>
  <c r="F412" i="5"/>
  <c r="H413" i="5"/>
  <c r="J413" i="5"/>
  <c r="N413" i="5"/>
  <c r="O413" i="5"/>
  <c r="C413" i="5"/>
  <c r="M413" i="5"/>
  <c r="I413" i="5"/>
  <c r="K413" i="5"/>
  <c r="G413" i="5"/>
  <c r="D413" i="5"/>
  <c r="E413" i="5"/>
  <c r="L413" i="5"/>
  <c r="T413" i="5" l="1"/>
  <c r="P413" i="5"/>
  <c r="S414" i="5"/>
  <c r="B414" i="5"/>
  <c r="R414" i="5"/>
  <c r="Q414" i="5" s="1"/>
  <c r="A415" i="5"/>
  <c r="U412" i="5"/>
  <c r="F413" i="5"/>
  <c r="D414" i="5"/>
  <c r="H414" i="5"/>
  <c r="G414" i="5"/>
  <c r="N414" i="5"/>
  <c r="C414" i="5"/>
  <c r="E414" i="5"/>
  <c r="M414" i="5"/>
  <c r="L414" i="5"/>
  <c r="O414" i="5"/>
  <c r="K414" i="5"/>
  <c r="J414" i="5"/>
  <c r="I414" i="5"/>
  <c r="T414" i="5" l="1"/>
  <c r="P414" i="5"/>
  <c r="S415" i="5"/>
  <c r="B415" i="5"/>
  <c r="R415" i="5"/>
  <c r="Q415" i="5" s="1"/>
  <c r="A416" i="5"/>
  <c r="U413" i="5"/>
  <c r="F414" i="5"/>
  <c r="K415" i="5"/>
  <c r="O415" i="5"/>
  <c r="G415" i="5"/>
  <c r="E415" i="5"/>
  <c r="H415" i="5"/>
  <c r="D415" i="5"/>
  <c r="C415" i="5"/>
  <c r="L415" i="5"/>
  <c r="I415" i="5"/>
  <c r="J415" i="5"/>
  <c r="N415" i="5"/>
  <c r="M415" i="5"/>
  <c r="T415" i="5" l="1"/>
  <c r="P415" i="5"/>
  <c r="U414" i="5"/>
  <c r="S416" i="5"/>
  <c r="B416" i="5"/>
  <c r="R416" i="5"/>
  <c r="Q416" i="5" s="1"/>
  <c r="A417" i="5"/>
  <c r="F415" i="5"/>
  <c r="D416" i="5"/>
  <c r="I416" i="5"/>
  <c r="J416" i="5"/>
  <c r="N416" i="5"/>
  <c r="L416" i="5"/>
  <c r="M416" i="5"/>
  <c r="C416" i="5"/>
  <c r="E416" i="5"/>
  <c r="O416" i="5"/>
  <c r="K416" i="5"/>
  <c r="G416" i="5"/>
  <c r="H416" i="5"/>
  <c r="T416" i="5" l="1"/>
  <c r="P416" i="5"/>
  <c r="S417" i="5"/>
  <c r="B417" i="5"/>
  <c r="R417" i="5"/>
  <c r="Q417" i="5" s="1"/>
  <c r="A418" i="5"/>
  <c r="U415" i="5"/>
  <c r="E417" i="5"/>
  <c r="H417" i="5"/>
  <c r="O417" i="5"/>
  <c r="J417" i="5"/>
  <c r="D417" i="5"/>
  <c r="K417" i="5"/>
  <c r="C417" i="5"/>
  <c r="N417" i="5"/>
  <c r="M417" i="5"/>
  <c r="L417" i="5"/>
  <c r="I417" i="5"/>
  <c r="G417" i="5"/>
  <c r="F416" i="5"/>
  <c r="T417" i="5" l="1"/>
  <c r="P417" i="5"/>
  <c r="S418" i="5"/>
  <c r="B418" i="5"/>
  <c r="R418" i="5"/>
  <c r="Q418" i="5" s="1"/>
  <c r="A419" i="5"/>
  <c r="U416" i="5"/>
  <c r="F417" i="5"/>
  <c r="D418" i="5"/>
  <c r="C418" i="5"/>
  <c r="M418" i="5"/>
  <c r="I418" i="5"/>
  <c r="E418" i="5"/>
  <c r="O418" i="5"/>
  <c r="N418" i="5"/>
  <c r="J418" i="5"/>
  <c r="H418" i="5"/>
  <c r="L418" i="5"/>
  <c r="K418" i="5"/>
  <c r="G418" i="5"/>
  <c r="T418" i="5" l="1"/>
  <c r="P418" i="5"/>
  <c r="S419" i="5"/>
  <c r="B419" i="5"/>
  <c r="R419" i="5"/>
  <c r="Q419" i="5" s="1"/>
  <c r="A420" i="5"/>
  <c r="U417" i="5"/>
  <c r="G419" i="5"/>
  <c r="N419" i="5"/>
  <c r="H419" i="5"/>
  <c r="I419" i="5"/>
  <c r="C419" i="5"/>
  <c r="L419" i="5"/>
  <c r="E419" i="5"/>
  <c r="O419" i="5"/>
  <c r="J419" i="5"/>
  <c r="D419" i="5"/>
  <c r="K419" i="5"/>
  <c r="M419" i="5"/>
  <c r="F418" i="5"/>
  <c r="T419" i="5" l="1"/>
  <c r="P419" i="5"/>
  <c r="S420" i="5"/>
  <c r="B420" i="5"/>
  <c r="A421" i="5"/>
  <c r="R420" i="5"/>
  <c r="Q420" i="5" s="1"/>
  <c r="U418" i="5"/>
  <c r="F419" i="5"/>
  <c r="C420" i="5"/>
  <c r="L420" i="5"/>
  <c r="M420" i="5"/>
  <c r="I420" i="5"/>
  <c r="O420" i="5"/>
  <c r="H420" i="5"/>
  <c r="J420" i="5"/>
  <c r="D420" i="5"/>
  <c r="E420" i="5"/>
  <c r="K420" i="5"/>
  <c r="G420" i="5"/>
  <c r="N420" i="5"/>
  <c r="T420" i="5" l="1"/>
  <c r="P420" i="5"/>
  <c r="S421" i="5"/>
  <c r="A422" i="5"/>
  <c r="R421" i="5"/>
  <c r="Q421" i="5" s="1"/>
  <c r="B421" i="5"/>
  <c r="U419" i="5"/>
  <c r="F420" i="5"/>
  <c r="G421" i="5"/>
  <c r="M421" i="5"/>
  <c r="C421" i="5"/>
  <c r="D421" i="5"/>
  <c r="J421" i="5"/>
  <c r="I421" i="5"/>
  <c r="L421" i="5"/>
  <c r="E421" i="5"/>
  <c r="H421" i="5"/>
  <c r="K421" i="5"/>
  <c r="N421" i="5"/>
  <c r="O421" i="5"/>
  <c r="T421" i="5" l="1"/>
  <c r="P421" i="5"/>
  <c r="U420" i="5"/>
  <c r="S422" i="5"/>
  <c r="A423" i="5"/>
  <c r="R422" i="5"/>
  <c r="Q422" i="5" s="1"/>
  <c r="B422" i="5"/>
  <c r="F421" i="5"/>
  <c r="N422" i="5"/>
  <c r="K422" i="5"/>
  <c r="E422" i="5"/>
  <c r="H422" i="5"/>
  <c r="J422" i="5"/>
  <c r="L422" i="5"/>
  <c r="M422" i="5"/>
  <c r="I422" i="5"/>
  <c r="C422" i="5"/>
  <c r="D422" i="5"/>
  <c r="G422" i="5"/>
  <c r="O422" i="5"/>
  <c r="T422" i="5" l="1"/>
  <c r="P422" i="5"/>
  <c r="S423" i="5"/>
  <c r="A424" i="5"/>
  <c r="R423" i="5"/>
  <c r="Q423" i="5" s="1"/>
  <c r="B423" i="5"/>
  <c r="U421" i="5"/>
  <c r="F422" i="5"/>
  <c r="C423" i="5"/>
  <c r="D423" i="5"/>
  <c r="K423" i="5"/>
  <c r="O423" i="5"/>
  <c r="G423" i="5"/>
  <c r="M423" i="5"/>
  <c r="H423" i="5"/>
  <c r="N423" i="5"/>
  <c r="I423" i="5"/>
  <c r="J423" i="5"/>
  <c r="L423" i="5"/>
  <c r="E423" i="5"/>
  <c r="T423" i="5" l="1"/>
  <c r="P423" i="5"/>
  <c r="S424" i="5"/>
  <c r="B424" i="5"/>
  <c r="A425" i="5"/>
  <c r="R424" i="5"/>
  <c r="Q424" i="5" s="1"/>
  <c r="U422" i="5"/>
  <c r="F423" i="5"/>
  <c r="J424" i="5"/>
  <c r="I424" i="5"/>
  <c r="D424" i="5"/>
  <c r="H424" i="5"/>
  <c r="E424" i="5"/>
  <c r="M424" i="5"/>
  <c r="K424" i="5"/>
  <c r="O424" i="5"/>
  <c r="N424" i="5"/>
  <c r="L424" i="5"/>
  <c r="G424" i="5"/>
  <c r="C424" i="5"/>
  <c r="T424" i="5" l="1"/>
  <c r="P424" i="5"/>
  <c r="S425" i="5"/>
  <c r="B425" i="5"/>
  <c r="A426" i="5"/>
  <c r="R425" i="5"/>
  <c r="Q425" i="5" s="1"/>
  <c r="U423" i="5"/>
  <c r="F424" i="5"/>
  <c r="H425" i="5"/>
  <c r="G425" i="5"/>
  <c r="E425" i="5"/>
  <c r="D425" i="5"/>
  <c r="C425" i="5"/>
  <c r="M425" i="5"/>
  <c r="L425" i="5"/>
  <c r="I425" i="5"/>
  <c r="K425" i="5"/>
  <c r="J425" i="5"/>
  <c r="N425" i="5"/>
  <c r="O425" i="5"/>
  <c r="T425" i="5" l="1"/>
  <c r="P425" i="5"/>
  <c r="S426" i="5"/>
  <c r="B426" i="5"/>
  <c r="R426" i="5"/>
  <c r="Q426" i="5" s="1"/>
  <c r="A427" i="5"/>
  <c r="U424" i="5"/>
  <c r="F425" i="5"/>
  <c r="N426" i="5"/>
  <c r="M426" i="5"/>
  <c r="D426" i="5"/>
  <c r="C426" i="5"/>
  <c r="O426" i="5"/>
  <c r="K426" i="5"/>
  <c r="E426" i="5"/>
  <c r="L426" i="5"/>
  <c r="I426" i="5"/>
  <c r="J426" i="5"/>
  <c r="G426" i="5"/>
  <c r="H426" i="5"/>
  <c r="T426" i="5" l="1"/>
  <c r="P426" i="5"/>
  <c r="S427" i="5"/>
  <c r="B427" i="5"/>
  <c r="A428" i="5"/>
  <c r="R427" i="5"/>
  <c r="Q427" i="5" s="1"/>
  <c r="U425" i="5"/>
  <c r="F426" i="5"/>
  <c r="O427" i="5"/>
  <c r="J427" i="5"/>
  <c r="H427" i="5"/>
  <c r="L427" i="5"/>
  <c r="M427" i="5"/>
  <c r="I427" i="5"/>
  <c r="N427" i="5"/>
  <c r="E427" i="5"/>
  <c r="C427" i="5"/>
  <c r="K427" i="5"/>
  <c r="D427" i="5"/>
  <c r="G427" i="5"/>
  <c r="T427" i="5" l="1"/>
  <c r="P427" i="5"/>
  <c r="S428" i="5"/>
  <c r="B428" i="5"/>
  <c r="R428" i="5"/>
  <c r="Q428" i="5" s="1"/>
  <c r="A429" i="5"/>
  <c r="U426" i="5"/>
  <c r="F427" i="5"/>
  <c r="K428" i="5"/>
  <c r="H428" i="5"/>
  <c r="E428" i="5"/>
  <c r="M428" i="5"/>
  <c r="O428" i="5"/>
  <c r="I428" i="5"/>
  <c r="J428" i="5"/>
  <c r="C428" i="5"/>
  <c r="L428" i="5"/>
  <c r="D428" i="5"/>
  <c r="N428" i="5"/>
  <c r="G428" i="5"/>
  <c r="T428" i="5" l="1"/>
  <c r="P428" i="5"/>
  <c r="S429" i="5"/>
  <c r="B429" i="5"/>
  <c r="A430" i="5"/>
  <c r="R429" i="5"/>
  <c r="Q429" i="5" s="1"/>
  <c r="U427" i="5"/>
  <c r="F428" i="5"/>
  <c r="M429" i="5"/>
  <c r="K429" i="5"/>
  <c r="H429" i="5"/>
  <c r="O429" i="5"/>
  <c r="D429" i="5"/>
  <c r="E429" i="5"/>
  <c r="I429" i="5"/>
  <c r="J429" i="5"/>
  <c r="C429" i="5"/>
  <c r="N429" i="5"/>
  <c r="L429" i="5"/>
  <c r="G429" i="5"/>
  <c r="T429" i="5" l="1"/>
  <c r="P429" i="5"/>
  <c r="U429" i="5" s="1"/>
  <c r="S430" i="5"/>
  <c r="B430" i="5"/>
  <c r="R430" i="5"/>
  <c r="Q430" i="5" s="1"/>
  <c r="A431" i="5"/>
  <c r="U428" i="5"/>
  <c r="I430" i="5"/>
  <c r="C430" i="5"/>
  <c r="M430" i="5"/>
  <c r="N430" i="5"/>
  <c r="E430" i="5"/>
  <c r="L430" i="5"/>
  <c r="O430" i="5"/>
  <c r="H430" i="5"/>
  <c r="D430" i="5"/>
  <c r="K430" i="5"/>
  <c r="J430" i="5"/>
  <c r="G430" i="5"/>
  <c r="F429" i="5"/>
  <c r="T430" i="5" l="1"/>
  <c r="P430" i="5"/>
  <c r="S431" i="5"/>
  <c r="B431" i="5"/>
  <c r="A432" i="5"/>
  <c r="R431" i="5"/>
  <c r="Q431" i="5" s="1"/>
  <c r="F430" i="5"/>
  <c r="I431" i="5"/>
  <c r="D431" i="5"/>
  <c r="C431" i="5"/>
  <c r="K431" i="5"/>
  <c r="H431" i="5"/>
  <c r="N431" i="5"/>
  <c r="E431" i="5"/>
  <c r="L431" i="5"/>
  <c r="O431" i="5"/>
  <c r="G431" i="5"/>
  <c r="J431" i="5"/>
  <c r="M431" i="5"/>
  <c r="T431" i="5" l="1"/>
  <c r="P431" i="5"/>
  <c r="S432" i="5"/>
  <c r="A433" i="5"/>
  <c r="R432" i="5"/>
  <c r="Q432" i="5" s="1"/>
  <c r="B432" i="5"/>
  <c r="U430" i="5"/>
  <c r="F431" i="5"/>
  <c r="O432" i="5"/>
  <c r="D432" i="5"/>
  <c r="G432" i="5"/>
  <c r="J432" i="5"/>
  <c r="K432" i="5"/>
  <c r="M432" i="5"/>
  <c r="I432" i="5"/>
  <c r="L432" i="5"/>
  <c r="H432" i="5"/>
  <c r="E432" i="5"/>
  <c r="N432" i="5"/>
  <c r="C432" i="5"/>
  <c r="T432" i="5" l="1"/>
  <c r="P432" i="5"/>
  <c r="U431" i="5"/>
  <c r="S433" i="5"/>
  <c r="B433" i="5"/>
  <c r="A434" i="5"/>
  <c r="R433" i="5"/>
  <c r="Q433" i="5" s="1"/>
  <c r="F432" i="5"/>
  <c r="O433" i="5"/>
  <c r="J433" i="5"/>
  <c r="C433" i="5"/>
  <c r="I433" i="5"/>
  <c r="G433" i="5"/>
  <c r="D433" i="5"/>
  <c r="K433" i="5"/>
  <c r="E433" i="5"/>
  <c r="N433" i="5"/>
  <c r="L433" i="5"/>
  <c r="M433" i="5"/>
  <c r="H433" i="5"/>
  <c r="T433" i="5" l="1"/>
  <c r="P433" i="5"/>
  <c r="S434" i="5"/>
  <c r="A435" i="5"/>
  <c r="B434" i="5"/>
  <c r="R434" i="5"/>
  <c r="Q434" i="5" s="1"/>
  <c r="U432" i="5"/>
  <c r="F433" i="5"/>
  <c r="C434" i="5"/>
  <c r="D434" i="5"/>
  <c r="M434" i="5"/>
  <c r="E434" i="5"/>
  <c r="L434" i="5"/>
  <c r="G434" i="5"/>
  <c r="K434" i="5"/>
  <c r="N434" i="5"/>
  <c r="O434" i="5"/>
  <c r="J434" i="5"/>
  <c r="H434" i="5"/>
  <c r="I434" i="5"/>
  <c r="T434" i="5" l="1"/>
  <c r="P434" i="5"/>
  <c r="S435" i="5"/>
  <c r="B435" i="5"/>
  <c r="A436" i="5"/>
  <c r="R435" i="5"/>
  <c r="Q435" i="5" s="1"/>
  <c r="U433" i="5"/>
  <c r="F434" i="5"/>
  <c r="O435" i="5"/>
  <c r="G435" i="5"/>
  <c r="E435" i="5"/>
  <c r="I435" i="5"/>
  <c r="C435" i="5"/>
  <c r="J435" i="5"/>
  <c r="D435" i="5"/>
  <c r="K435" i="5"/>
  <c r="L435" i="5"/>
  <c r="M435" i="5"/>
  <c r="N435" i="5"/>
  <c r="H435" i="5"/>
  <c r="T435" i="5" l="1"/>
  <c r="P435" i="5"/>
  <c r="S436" i="5"/>
  <c r="A437" i="5"/>
  <c r="R436" i="5"/>
  <c r="Q436" i="5" s="1"/>
  <c r="B436" i="5"/>
  <c r="U434" i="5"/>
  <c r="F435" i="5"/>
  <c r="H436" i="5"/>
  <c r="L436" i="5"/>
  <c r="C436" i="5"/>
  <c r="E436" i="5"/>
  <c r="D436" i="5"/>
  <c r="N436" i="5"/>
  <c r="M436" i="5"/>
  <c r="G436" i="5"/>
  <c r="O436" i="5"/>
  <c r="J436" i="5"/>
  <c r="K436" i="5"/>
  <c r="I436" i="5"/>
  <c r="T436" i="5" l="1"/>
  <c r="P436" i="5"/>
  <c r="S437" i="5"/>
  <c r="B437" i="5"/>
  <c r="A438" i="5"/>
  <c r="R437" i="5"/>
  <c r="Q437" i="5" s="1"/>
  <c r="U435" i="5"/>
  <c r="N437" i="5"/>
  <c r="H437" i="5"/>
  <c r="O437" i="5"/>
  <c r="J437" i="5"/>
  <c r="I437" i="5"/>
  <c r="E437" i="5"/>
  <c r="G437" i="5"/>
  <c r="D437" i="5"/>
  <c r="M437" i="5"/>
  <c r="L437" i="5"/>
  <c r="K437" i="5"/>
  <c r="C437" i="5"/>
  <c r="F436" i="5"/>
  <c r="T437" i="5" l="1"/>
  <c r="P437" i="5"/>
  <c r="U436" i="5"/>
  <c r="S438" i="5"/>
  <c r="B438" i="5"/>
  <c r="R438" i="5"/>
  <c r="Q438" i="5" s="1"/>
  <c r="A439" i="5"/>
  <c r="F437" i="5"/>
  <c r="N438" i="5"/>
  <c r="H438" i="5"/>
  <c r="O438" i="5"/>
  <c r="K438" i="5"/>
  <c r="L438" i="5"/>
  <c r="C438" i="5"/>
  <c r="D438" i="5"/>
  <c r="I438" i="5"/>
  <c r="J438" i="5"/>
  <c r="M438" i="5"/>
  <c r="E438" i="5"/>
  <c r="G438" i="5"/>
  <c r="T438" i="5" l="1"/>
  <c r="P438" i="5"/>
  <c r="S439" i="5"/>
  <c r="A440" i="5"/>
  <c r="B439" i="5"/>
  <c r="R439" i="5"/>
  <c r="Q439" i="5" s="1"/>
  <c r="U437" i="5"/>
  <c r="F438" i="5"/>
  <c r="G439" i="5"/>
  <c r="K439" i="5"/>
  <c r="O439" i="5"/>
  <c r="J439" i="5"/>
  <c r="H439" i="5"/>
  <c r="I439" i="5"/>
  <c r="D439" i="5"/>
  <c r="E439" i="5"/>
  <c r="L439" i="5"/>
  <c r="M439" i="5"/>
  <c r="N439" i="5"/>
  <c r="C439" i="5"/>
  <c r="T439" i="5" l="1"/>
  <c r="P439" i="5"/>
  <c r="S440" i="5"/>
  <c r="A441" i="5"/>
  <c r="R440" i="5"/>
  <c r="Q440" i="5" s="1"/>
  <c r="B440" i="5"/>
  <c r="U438" i="5"/>
  <c r="F439" i="5"/>
  <c r="M440" i="5"/>
  <c r="H440" i="5"/>
  <c r="K440" i="5"/>
  <c r="C440" i="5"/>
  <c r="G440" i="5"/>
  <c r="J440" i="5"/>
  <c r="N440" i="5"/>
  <c r="D440" i="5"/>
  <c r="I440" i="5"/>
  <c r="O440" i="5"/>
  <c r="L440" i="5"/>
  <c r="E440" i="5"/>
  <c r="T440" i="5" l="1"/>
  <c r="P440" i="5"/>
  <c r="S441" i="5"/>
  <c r="A442" i="5"/>
  <c r="B441" i="5"/>
  <c r="R441" i="5"/>
  <c r="Q441" i="5" s="1"/>
  <c r="U439" i="5"/>
  <c r="F440" i="5"/>
  <c r="N441" i="5"/>
  <c r="O441" i="5"/>
  <c r="C441" i="5"/>
  <c r="I441" i="5"/>
  <c r="M441" i="5"/>
  <c r="J441" i="5"/>
  <c r="D441" i="5"/>
  <c r="L441" i="5"/>
  <c r="K441" i="5"/>
  <c r="E441" i="5"/>
  <c r="G441" i="5"/>
  <c r="H441" i="5"/>
  <c r="T441" i="5" l="1"/>
  <c r="P441" i="5"/>
  <c r="S442" i="5"/>
  <c r="B442" i="5"/>
  <c r="R442" i="5"/>
  <c r="Q442" i="5" s="1"/>
  <c r="A443" i="5"/>
  <c r="U440" i="5"/>
  <c r="F441" i="5"/>
  <c r="J442" i="5"/>
  <c r="L442" i="5"/>
  <c r="M442" i="5"/>
  <c r="N442" i="5"/>
  <c r="H442" i="5"/>
  <c r="K442" i="5"/>
  <c r="G442" i="5"/>
  <c r="E442" i="5"/>
  <c r="O442" i="5"/>
  <c r="I442" i="5"/>
  <c r="D442" i="5"/>
  <c r="C442" i="5"/>
  <c r="T442" i="5" l="1"/>
  <c r="P442" i="5"/>
  <c r="S443" i="5"/>
  <c r="B443" i="5"/>
  <c r="R443" i="5"/>
  <c r="Q443" i="5" s="1"/>
  <c r="A444" i="5"/>
  <c r="U441" i="5"/>
  <c r="F442" i="5"/>
  <c r="E443" i="5"/>
  <c r="I443" i="5"/>
  <c r="M443" i="5"/>
  <c r="C443" i="5"/>
  <c r="L443" i="5"/>
  <c r="G443" i="5"/>
  <c r="O443" i="5"/>
  <c r="H443" i="5"/>
  <c r="D443" i="5"/>
  <c r="N443" i="5"/>
  <c r="J443" i="5"/>
  <c r="K443" i="5"/>
  <c r="T443" i="5" l="1"/>
  <c r="P443" i="5"/>
  <c r="S444" i="5"/>
  <c r="B444" i="5"/>
  <c r="R444" i="5"/>
  <c r="Q444" i="5" s="1"/>
  <c r="A445" i="5"/>
  <c r="U442" i="5"/>
  <c r="K444" i="5"/>
  <c r="J444" i="5"/>
  <c r="E444" i="5"/>
  <c r="G444" i="5"/>
  <c r="C444" i="5"/>
  <c r="D444" i="5"/>
  <c r="M444" i="5"/>
  <c r="N444" i="5"/>
  <c r="H444" i="5"/>
  <c r="I444" i="5"/>
  <c r="L444" i="5"/>
  <c r="O444" i="5"/>
  <c r="F443" i="5"/>
  <c r="T444" i="5" l="1"/>
  <c r="P444" i="5"/>
  <c r="S445" i="5"/>
  <c r="B445" i="5"/>
  <c r="R445" i="5"/>
  <c r="Q445" i="5" s="1"/>
  <c r="A446" i="5"/>
  <c r="U443" i="5"/>
  <c r="F444" i="5"/>
  <c r="N445" i="5"/>
  <c r="K445" i="5"/>
  <c r="J445" i="5"/>
  <c r="M445" i="5"/>
  <c r="O445" i="5"/>
  <c r="C445" i="5"/>
  <c r="E445" i="5"/>
  <c r="I445" i="5"/>
  <c r="H445" i="5"/>
  <c r="L445" i="5"/>
  <c r="D445" i="5"/>
  <c r="G445" i="5"/>
  <c r="T445" i="5" l="1"/>
  <c r="P445" i="5"/>
  <c r="S446" i="5"/>
  <c r="B446" i="5"/>
  <c r="R446" i="5"/>
  <c r="Q446" i="5" s="1"/>
  <c r="A447" i="5"/>
  <c r="U444" i="5"/>
  <c r="F445" i="5"/>
  <c r="J446" i="5"/>
  <c r="L446" i="5"/>
  <c r="K446" i="5"/>
  <c r="G446" i="5"/>
  <c r="E446" i="5"/>
  <c r="H446" i="5"/>
  <c r="D446" i="5"/>
  <c r="O446" i="5"/>
  <c r="I446" i="5"/>
  <c r="M446" i="5"/>
  <c r="C446" i="5"/>
  <c r="N446" i="5"/>
  <c r="P446" i="5" l="1"/>
  <c r="T446" i="5"/>
  <c r="S447" i="5"/>
  <c r="B447" i="5"/>
  <c r="R447" i="5"/>
  <c r="Q447" i="5" s="1"/>
  <c r="A448" i="5"/>
  <c r="U445" i="5"/>
  <c r="F446" i="5"/>
  <c r="C447" i="5"/>
  <c r="E447" i="5"/>
  <c r="L447" i="5"/>
  <c r="N447" i="5"/>
  <c r="D447" i="5"/>
  <c r="K447" i="5"/>
  <c r="I447" i="5"/>
  <c r="O447" i="5"/>
  <c r="J447" i="5"/>
  <c r="M447" i="5"/>
  <c r="G447" i="5"/>
  <c r="H447" i="5"/>
  <c r="T447" i="5" l="1"/>
  <c r="P447" i="5"/>
  <c r="S448" i="5"/>
  <c r="B448" i="5"/>
  <c r="R448" i="5"/>
  <c r="Q448" i="5" s="1"/>
  <c r="A449" i="5"/>
  <c r="U446" i="5"/>
  <c r="F447" i="5"/>
  <c r="E448" i="5"/>
  <c r="K448" i="5"/>
  <c r="G448" i="5"/>
  <c r="C448" i="5"/>
  <c r="L448" i="5"/>
  <c r="J448" i="5"/>
  <c r="N448" i="5"/>
  <c r="I448" i="5"/>
  <c r="H448" i="5"/>
  <c r="M448" i="5"/>
  <c r="O448" i="5"/>
  <c r="D448" i="5"/>
  <c r="T448" i="5" l="1"/>
  <c r="P448" i="5"/>
  <c r="S449" i="5"/>
  <c r="B449" i="5"/>
  <c r="R449" i="5"/>
  <c r="Q449" i="5" s="1"/>
  <c r="A450" i="5"/>
  <c r="U447" i="5"/>
  <c r="F448" i="5"/>
  <c r="I449" i="5"/>
  <c r="O449" i="5"/>
  <c r="E449" i="5"/>
  <c r="N449" i="5"/>
  <c r="D449" i="5"/>
  <c r="C449" i="5"/>
  <c r="L449" i="5"/>
  <c r="J449" i="5"/>
  <c r="K449" i="5"/>
  <c r="H449" i="5"/>
  <c r="G449" i="5"/>
  <c r="M449" i="5"/>
  <c r="T449" i="5" l="1"/>
  <c r="P449" i="5"/>
  <c r="S450" i="5"/>
  <c r="B450" i="5"/>
  <c r="R450" i="5"/>
  <c r="Q450" i="5" s="1"/>
  <c r="A451" i="5"/>
  <c r="U448" i="5"/>
  <c r="F449" i="5"/>
  <c r="J450" i="5"/>
  <c r="M450" i="5"/>
  <c r="H450" i="5"/>
  <c r="I450" i="5"/>
  <c r="D450" i="5"/>
  <c r="L450" i="5"/>
  <c r="G450" i="5"/>
  <c r="N450" i="5"/>
  <c r="C450" i="5"/>
  <c r="E450" i="5"/>
  <c r="K450" i="5"/>
  <c r="O450" i="5"/>
  <c r="T450" i="5" l="1"/>
  <c r="P450" i="5"/>
  <c r="S451" i="5"/>
  <c r="B451" i="5"/>
  <c r="R451" i="5"/>
  <c r="Q451" i="5" s="1"/>
  <c r="A452" i="5"/>
  <c r="U449" i="5"/>
  <c r="F450" i="5"/>
  <c r="K451" i="5"/>
  <c r="M451" i="5"/>
  <c r="L451" i="5"/>
  <c r="C451" i="5"/>
  <c r="J451" i="5"/>
  <c r="O451" i="5"/>
  <c r="I451" i="5"/>
  <c r="G451" i="5"/>
  <c r="D451" i="5"/>
  <c r="E451" i="5"/>
  <c r="H451" i="5"/>
  <c r="N451" i="5"/>
  <c r="T451" i="5" l="1"/>
  <c r="P451" i="5"/>
  <c r="S452" i="5"/>
  <c r="B452" i="5"/>
  <c r="R452" i="5"/>
  <c r="Q452" i="5" s="1"/>
  <c r="A453" i="5"/>
  <c r="U450" i="5"/>
  <c r="F451" i="5"/>
  <c r="M452" i="5"/>
  <c r="O452" i="5"/>
  <c r="K452" i="5"/>
  <c r="G452" i="5"/>
  <c r="D452" i="5"/>
  <c r="L452" i="5"/>
  <c r="N452" i="5"/>
  <c r="J452" i="5"/>
  <c r="E452" i="5"/>
  <c r="I452" i="5"/>
  <c r="C452" i="5"/>
  <c r="H452" i="5"/>
  <c r="T452" i="5" l="1"/>
  <c r="P452" i="5"/>
  <c r="U452" i="5" s="1"/>
  <c r="S453" i="5"/>
  <c r="B453" i="5"/>
  <c r="R453" i="5"/>
  <c r="Q453" i="5" s="1"/>
  <c r="A454" i="5"/>
  <c r="U451" i="5"/>
  <c r="O453" i="5"/>
  <c r="H453" i="5"/>
  <c r="L453" i="5"/>
  <c r="G453" i="5"/>
  <c r="J453" i="5"/>
  <c r="I453" i="5"/>
  <c r="N453" i="5"/>
  <c r="C453" i="5"/>
  <c r="E453" i="5"/>
  <c r="D453" i="5"/>
  <c r="K453" i="5"/>
  <c r="M453" i="5"/>
  <c r="F452" i="5"/>
  <c r="T453" i="5" l="1"/>
  <c r="P453" i="5"/>
  <c r="S454" i="5"/>
  <c r="B454" i="5"/>
  <c r="R454" i="5"/>
  <c r="Q454" i="5" s="1"/>
  <c r="A455" i="5"/>
  <c r="F453" i="5"/>
  <c r="G454" i="5"/>
  <c r="H454" i="5"/>
  <c r="M454" i="5"/>
  <c r="L454" i="5"/>
  <c r="C454" i="5"/>
  <c r="O454" i="5"/>
  <c r="E454" i="5"/>
  <c r="I454" i="5"/>
  <c r="K454" i="5"/>
  <c r="N454" i="5"/>
  <c r="D454" i="5"/>
  <c r="J454" i="5"/>
  <c r="T454" i="5" l="1"/>
  <c r="P454" i="5"/>
  <c r="S455" i="5"/>
  <c r="A456" i="5"/>
  <c r="R455" i="5"/>
  <c r="Q455" i="5" s="1"/>
  <c r="B455" i="5"/>
  <c r="U453" i="5"/>
  <c r="F454" i="5"/>
  <c r="L455" i="5"/>
  <c r="K455" i="5"/>
  <c r="J455" i="5"/>
  <c r="N455" i="5"/>
  <c r="H455" i="5"/>
  <c r="I455" i="5"/>
  <c r="E455" i="5"/>
  <c r="C455" i="5"/>
  <c r="M455" i="5"/>
  <c r="D455" i="5"/>
  <c r="G455" i="5"/>
  <c r="O455" i="5"/>
  <c r="T455" i="5" l="1"/>
  <c r="P455" i="5"/>
  <c r="S456" i="5"/>
  <c r="B456" i="5"/>
  <c r="R456" i="5"/>
  <c r="Q456" i="5" s="1"/>
  <c r="A457" i="5"/>
  <c r="U454" i="5"/>
  <c r="F455" i="5"/>
  <c r="G456" i="5"/>
  <c r="M456" i="5"/>
  <c r="K456" i="5"/>
  <c r="H456" i="5"/>
  <c r="I456" i="5"/>
  <c r="J456" i="5"/>
  <c r="D456" i="5"/>
  <c r="L456" i="5"/>
  <c r="N456" i="5"/>
  <c r="E456" i="5"/>
  <c r="C456" i="5"/>
  <c r="O456" i="5"/>
  <c r="P456" i="5" l="1"/>
  <c r="T456" i="5"/>
  <c r="S457" i="5"/>
  <c r="A458" i="5"/>
  <c r="R457" i="5"/>
  <c r="Q457" i="5" s="1"/>
  <c r="B457" i="5"/>
  <c r="U455" i="5"/>
  <c r="F456" i="5"/>
  <c r="C457" i="5"/>
  <c r="D457" i="5"/>
  <c r="I457" i="5"/>
  <c r="N457" i="5"/>
  <c r="G457" i="5"/>
  <c r="M457" i="5"/>
  <c r="H457" i="5"/>
  <c r="E457" i="5"/>
  <c r="J457" i="5"/>
  <c r="O457" i="5"/>
  <c r="L457" i="5"/>
  <c r="K457" i="5"/>
  <c r="P457" i="5" l="1"/>
  <c r="T457" i="5"/>
  <c r="S458" i="5"/>
  <c r="B458" i="5"/>
  <c r="R458" i="5"/>
  <c r="Q458" i="5" s="1"/>
  <c r="A459" i="5"/>
  <c r="U456" i="5"/>
  <c r="F457" i="5"/>
  <c r="J458" i="5"/>
  <c r="O458" i="5"/>
  <c r="G458" i="5"/>
  <c r="M458" i="5"/>
  <c r="I458" i="5"/>
  <c r="D458" i="5"/>
  <c r="H458" i="5"/>
  <c r="N458" i="5"/>
  <c r="C458" i="5"/>
  <c r="E458" i="5"/>
  <c r="L458" i="5"/>
  <c r="K458" i="5"/>
  <c r="P458" i="5" l="1"/>
  <c r="T458" i="5"/>
  <c r="S459" i="5"/>
  <c r="A460" i="5"/>
  <c r="R459" i="5"/>
  <c r="Q459" i="5" s="1"/>
  <c r="B459" i="5"/>
  <c r="U457" i="5"/>
  <c r="F458" i="5"/>
  <c r="H459" i="5"/>
  <c r="M459" i="5"/>
  <c r="O459" i="5"/>
  <c r="C459" i="5"/>
  <c r="D459" i="5"/>
  <c r="J459" i="5"/>
  <c r="G459" i="5"/>
  <c r="E459" i="5"/>
  <c r="K459" i="5"/>
  <c r="N459" i="5"/>
  <c r="I459" i="5"/>
  <c r="L459" i="5"/>
  <c r="T459" i="5" l="1"/>
  <c r="P459" i="5"/>
  <c r="S460" i="5"/>
  <c r="B460" i="5"/>
  <c r="R460" i="5"/>
  <c r="Q460" i="5" s="1"/>
  <c r="A461" i="5"/>
  <c r="U458" i="5"/>
  <c r="F459" i="5"/>
  <c r="O460" i="5"/>
  <c r="M460" i="5"/>
  <c r="C460" i="5"/>
  <c r="J460" i="5"/>
  <c r="G460" i="5"/>
  <c r="D460" i="5"/>
  <c r="K460" i="5"/>
  <c r="I460" i="5"/>
  <c r="H460" i="5"/>
  <c r="E460" i="5"/>
  <c r="L460" i="5"/>
  <c r="N460" i="5"/>
  <c r="T460" i="5" l="1"/>
  <c r="P460" i="5"/>
  <c r="S461" i="5"/>
  <c r="B461" i="5"/>
  <c r="R461" i="5"/>
  <c r="Q461" i="5" s="1"/>
  <c r="A462" i="5"/>
  <c r="U459" i="5"/>
  <c r="F460" i="5"/>
  <c r="D461" i="5"/>
  <c r="N461" i="5"/>
  <c r="J461" i="5"/>
  <c r="H461" i="5"/>
  <c r="C461" i="5"/>
  <c r="G461" i="5"/>
  <c r="E461" i="5"/>
  <c r="I461" i="5"/>
  <c r="O461" i="5"/>
  <c r="L461" i="5"/>
  <c r="M461" i="5"/>
  <c r="K461" i="5"/>
  <c r="T461" i="5" l="1"/>
  <c r="P461" i="5"/>
  <c r="S462" i="5"/>
  <c r="B462" i="5"/>
  <c r="R462" i="5"/>
  <c r="Q462" i="5" s="1"/>
  <c r="A463" i="5"/>
  <c r="U460" i="5"/>
  <c r="F461" i="5"/>
  <c r="O462" i="5"/>
  <c r="M462" i="5"/>
  <c r="L462" i="5"/>
  <c r="E462" i="5"/>
  <c r="C462" i="5"/>
  <c r="N462" i="5"/>
  <c r="K462" i="5"/>
  <c r="H462" i="5"/>
  <c r="I462" i="5"/>
  <c r="D462" i="5"/>
  <c r="J462" i="5"/>
  <c r="G462" i="5"/>
  <c r="T462" i="5" l="1"/>
  <c r="P462" i="5"/>
  <c r="S463" i="5"/>
  <c r="A464" i="5"/>
  <c r="R463" i="5"/>
  <c r="Q463" i="5" s="1"/>
  <c r="B463" i="5"/>
  <c r="U461" i="5"/>
  <c r="F462" i="5"/>
  <c r="E463" i="5"/>
  <c r="O463" i="5"/>
  <c r="N463" i="5"/>
  <c r="G463" i="5"/>
  <c r="J463" i="5"/>
  <c r="I463" i="5"/>
  <c r="K463" i="5"/>
  <c r="D463" i="5"/>
  <c r="H463" i="5"/>
  <c r="L463" i="5"/>
  <c r="M463" i="5"/>
  <c r="C463" i="5"/>
  <c r="T463" i="5" l="1"/>
  <c r="P463" i="5"/>
  <c r="S464" i="5"/>
  <c r="B464" i="5"/>
  <c r="R464" i="5"/>
  <c r="Q464" i="5" s="1"/>
  <c r="A465" i="5"/>
  <c r="U462" i="5"/>
  <c r="F463" i="5"/>
  <c r="J464" i="5"/>
  <c r="O464" i="5"/>
  <c r="M464" i="5"/>
  <c r="K464" i="5"/>
  <c r="I464" i="5"/>
  <c r="N464" i="5"/>
  <c r="H464" i="5"/>
  <c r="L464" i="5"/>
  <c r="E464" i="5"/>
  <c r="D464" i="5"/>
  <c r="G464" i="5"/>
  <c r="C464" i="5"/>
  <c r="T464" i="5" l="1"/>
  <c r="P464" i="5"/>
  <c r="S465" i="5"/>
  <c r="R465" i="5"/>
  <c r="Q465" i="5" s="1"/>
  <c r="A466" i="5"/>
  <c r="B465" i="5"/>
  <c r="U463" i="5"/>
  <c r="F464" i="5"/>
  <c r="M465" i="5"/>
  <c r="D465" i="5"/>
  <c r="I465" i="5"/>
  <c r="N465" i="5"/>
  <c r="K465" i="5"/>
  <c r="E465" i="5"/>
  <c r="H465" i="5"/>
  <c r="G465" i="5"/>
  <c r="O465" i="5"/>
  <c r="J465" i="5"/>
  <c r="L465" i="5"/>
  <c r="C465" i="5"/>
  <c r="T465" i="5" l="1"/>
  <c r="P465" i="5"/>
  <c r="S466" i="5"/>
  <c r="B466" i="5"/>
  <c r="R466" i="5"/>
  <c r="Q466" i="5" s="1"/>
  <c r="A467" i="5"/>
  <c r="U464" i="5"/>
  <c r="F465" i="5"/>
  <c r="H466" i="5"/>
  <c r="O466" i="5"/>
  <c r="L466" i="5"/>
  <c r="M466" i="5"/>
  <c r="G466" i="5"/>
  <c r="N466" i="5"/>
  <c r="K466" i="5"/>
  <c r="J466" i="5"/>
  <c r="I466" i="5"/>
  <c r="C466" i="5"/>
  <c r="E466" i="5"/>
  <c r="D466" i="5"/>
  <c r="T466" i="5" l="1"/>
  <c r="P466" i="5"/>
  <c r="U466" i="5" s="1"/>
  <c r="S467" i="5"/>
  <c r="A468" i="5"/>
  <c r="B467" i="5"/>
  <c r="R467" i="5"/>
  <c r="Q467" i="5" s="1"/>
  <c r="U465" i="5"/>
  <c r="G467" i="5"/>
  <c r="L467" i="5"/>
  <c r="C467" i="5"/>
  <c r="E467" i="5"/>
  <c r="H467" i="5"/>
  <c r="M467" i="5"/>
  <c r="D467" i="5"/>
  <c r="N467" i="5"/>
  <c r="K467" i="5"/>
  <c r="O467" i="5"/>
  <c r="J467" i="5"/>
  <c r="I467" i="5"/>
  <c r="F466" i="5"/>
  <c r="T467" i="5" l="1"/>
  <c r="P467" i="5"/>
  <c r="S468" i="5"/>
  <c r="R468" i="5"/>
  <c r="Q468" i="5" s="1"/>
  <c r="A469" i="5"/>
  <c r="B468" i="5"/>
  <c r="F467" i="5"/>
  <c r="J468" i="5"/>
  <c r="H468" i="5"/>
  <c r="E468" i="5"/>
  <c r="G468" i="5"/>
  <c r="M468" i="5"/>
  <c r="O468" i="5"/>
  <c r="K468" i="5"/>
  <c r="L468" i="5"/>
  <c r="C468" i="5"/>
  <c r="D468" i="5"/>
  <c r="N468" i="5"/>
  <c r="I468" i="5"/>
  <c r="T468" i="5" l="1"/>
  <c r="P468" i="5"/>
  <c r="S469" i="5"/>
  <c r="B469" i="5"/>
  <c r="R469" i="5"/>
  <c r="Q469" i="5" s="1"/>
  <c r="A470" i="5"/>
  <c r="U467" i="5"/>
  <c r="F468" i="5"/>
  <c r="E469" i="5"/>
  <c r="O469" i="5"/>
  <c r="M469" i="5"/>
  <c r="K469" i="5"/>
  <c r="N469" i="5"/>
  <c r="G469" i="5"/>
  <c r="L469" i="5"/>
  <c r="I469" i="5"/>
  <c r="D469" i="5"/>
  <c r="H469" i="5"/>
  <c r="C469" i="5"/>
  <c r="J469" i="5"/>
  <c r="T469" i="5" l="1"/>
  <c r="P469" i="5"/>
  <c r="S470" i="5"/>
  <c r="B470" i="5"/>
  <c r="R470" i="5"/>
  <c r="Q470" i="5" s="1"/>
  <c r="A471" i="5"/>
  <c r="U468" i="5"/>
  <c r="F469" i="5"/>
  <c r="M470" i="5"/>
  <c r="J470" i="5"/>
  <c r="G470" i="5"/>
  <c r="H470" i="5"/>
  <c r="C470" i="5"/>
  <c r="L470" i="5"/>
  <c r="N470" i="5"/>
  <c r="I470" i="5"/>
  <c r="D470" i="5"/>
  <c r="O470" i="5"/>
  <c r="K470" i="5"/>
  <c r="E470" i="5"/>
  <c r="T470" i="5" l="1"/>
  <c r="P470" i="5"/>
  <c r="S471" i="5"/>
  <c r="B471" i="5"/>
  <c r="R471" i="5"/>
  <c r="Q471" i="5" s="1"/>
  <c r="A472" i="5"/>
  <c r="U469" i="5"/>
  <c r="F470" i="5"/>
  <c r="J471" i="5"/>
  <c r="M471" i="5"/>
  <c r="H471" i="5"/>
  <c r="D471" i="5"/>
  <c r="E471" i="5"/>
  <c r="C471" i="5"/>
  <c r="N471" i="5"/>
  <c r="I471" i="5"/>
  <c r="K471" i="5"/>
  <c r="O471" i="5"/>
  <c r="G471" i="5"/>
  <c r="L471" i="5"/>
  <c r="T471" i="5" l="1"/>
  <c r="P471" i="5"/>
  <c r="S472" i="5"/>
  <c r="B472" i="5"/>
  <c r="R472" i="5"/>
  <c r="Q472" i="5" s="1"/>
  <c r="A473" i="5"/>
  <c r="U470" i="5"/>
  <c r="F471" i="5"/>
  <c r="J472" i="5"/>
  <c r="H472" i="5"/>
  <c r="I472" i="5"/>
  <c r="N472" i="5"/>
  <c r="O472" i="5"/>
  <c r="L472" i="5"/>
  <c r="K472" i="5"/>
  <c r="C472" i="5"/>
  <c r="G472" i="5"/>
  <c r="M472" i="5"/>
  <c r="D472" i="5"/>
  <c r="E472" i="5"/>
  <c r="T472" i="5" l="1"/>
  <c r="P472" i="5"/>
  <c r="S473" i="5"/>
  <c r="B473" i="5"/>
  <c r="R473" i="5"/>
  <c r="Q473" i="5" s="1"/>
  <c r="A474" i="5"/>
  <c r="U471" i="5"/>
  <c r="F472" i="5"/>
  <c r="O473" i="5"/>
  <c r="C473" i="5"/>
  <c r="J473" i="5"/>
  <c r="G473" i="5"/>
  <c r="I473" i="5"/>
  <c r="N473" i="5"/>
  <c r="M473" i="5"/>
  <c r="E473" i="5"/>
  <c r="L473" i="5"/>
  <c r="D473" i="5"/>
  <c r="K473" i="5"/>
  <c r="H473" i="5"/>
  <c r="T473" i="5" l="1"/>
  <c r="P473" i="5"/>
  <c r="S474" i="5"/>
  <c r="B474" i="5"/>
  <c r="R474" i="5"/>
  <c r="Q474" i="5" s="1"/>
  <c r="A475" i="5"/>
  <c r="U472" i="5"/>
  <c r="F473" i="5"/>
  <c r="K474" i="5"/>
  <c r="J474" i="5"/>
  <c r="G474" i="5"/>
  <c r="M474" i="5"/>
  <c r="D474" i="5"/>
  <c r="H474" i="5"/>
  <c r="E474" i="5"/>
  <c r="N474" i="5"/>
  <c r="I474" i="5"/>
  <c r="O474" i="5"/>
  <c r="L474" i="5"/>
  <c r="C474" i="5"/>
  <c r="T474" i="5" l="1"/>
  <c r="P474" i="5"/>
  <c r="S475" i="5"/>
  <c r="B475" i="5"/>
  <c r="R475" i="5"/>
  <c r="Q475" i="5" s="1"/>
  <c r="A476" i="5"/>
  <c r="U473" i="5"/>
  <c r="F474" i="5"/>
  <c r="G475" i="5"/>
  <c r="J475" i="5"/>
  <c r="K475" i="5"/>
  <c r="L475" i="5"/>
  <c r="M475" i="5"/>
  <c r="N475" i="5"/>
  <c r="H475" i="5"/>
  <c r="E475" i="5"/>
  <c r="I475" i="5"/>
  <c r="O475" i="5"/>
  <c r="C475" i="5"/>
  <c r="D475" i="5"/>
  <c r="T475" i="5" l="1"/>
  <c r="P475" i="5"/>
  <c r="S476" i="5"/>
  <c r="B476" i="5"/>
  <c r="R476" i="5"/>
  <c r="Q476" i="5" s="1"/>
  <c r="A477" i="5"/>
  <c r="U474" i="5"/>
  <c r="F475" i="5"/>
  <c r="N476" i="5"/>
  <c r="H476" i="5"/>
  <c r="M476" i="5"/>
  <c r="D476" i="5"/>
  <c r="E476" i="5"/>
  <c r="I476" i="5"/>
  <c r="J476" i="5"/>
  <c r="C476" i="5"/>
  <c r="K476" i="5"/>
  <c r="G476" i="5"/>
  <c r="O476" i="5"/>
  <c r="L476" i="5"/>
  <c r="T476" i="5" l="1"/>
  <c r="P476" i="5"/>
  <c r="S477" i="5"/>
  <c r="B477" i="5"/>
  <c r="R477" i="5"/>
  <c r="Q477" i="5" s="1"/>
  <c r="A478" i="5"/>
  <c r="U475" i="5"/>
  <c r="F476" i="5"/>
  <c r="K477" i="5"/>
  <c r="O477" i="5"/>
  <c r="M477" i="5"/>
  <c r="G477" i="5"/>
  <c r="E477" i="5"/>
  <c r="I477" i="5"/>
  <c r="J477" i="5"/>
  <c r="N477" i="5"/>
  <c r="C477" i="5"/>
  <c r="L477" i="5"/>
  <c r="D477" i="5"/>
  <c r="H477" i="5"/>
  <c r="T477" i="5" l="1"/>
  <c r="P477" i="5"/>
  <c r="S478" i="5"/>
  <c r="R478" i="5"/>
  <c r="Q478" i="5" s="1"/>
  <c r="A479" i="5"/>
  <c r="B478" i="5"/>
  <c r="U476" i="5"/>
  <c r="F477" i="5"/>
  <c r="D478" i="5"/>
  <c r="K478" i="5"/>
  <c r="G478" i="5"/>
  <c r="N478" i="5"/>
  <c r="O478" i="5"/>
  <c r="I478" i="5"/>
  <c r="H478" i="5"/>
  <c r="L478" i="5"/>
  <c r="J478" i="5"/>
  <c r="M478" i="5"/>
  <c r="E478" i="5"/>
  <c r="C478" i="5"/>
  <c r="T478" i="5" l="1"/>
  <c r="P478" i="5"/>
  <c r="S479" i="5"/>
  <c r="R479" i="5"/>
  <c r="Q479" i="5" s="1"/>
  <c r="A480" i="5"/>
  <c r="B479" i="5"/>
  <c r="U477" i="5"/>
  <c r="F478" i="5"/>
  <c r="G479" i="5"/>
  <c r="N479" i="5"/>
  <c r="D479" i="5"/>
  <c r="L479" i="5"/>
  <c r="O479" i="5"/>
  <c r="C479" i="5"/>
  <c r="K479" i="5"/>
  <c r="I479" i="5"/>
  <c r="E479" i="5"/>
  <c r="H479" i="5"/>
  <c r="M479" i="5"/>
  <c r="J479" i="5"/>
  <c r="T479" i="5" l="1"/>
  <c r="P479" i="5"/>
  <c r="S480" i="5"/>
  <c r="R480" i="5"/>
  <c r="Q480" i="5" s="1"/>
  <c r="B480" i="5"/>
  <c r="A481" i="5"/>
  <c r="U478" i="5"/>
  <c r="F479" i="5"/>
  <c r="D480" i="5"/>
  <c r="O480" i="5"/>
  <c r="N480" i="5"/>
  <c r="H480" i="5"/>
  <c r="L480" i="5"/>
  <c r="I480" i="5"/>
  <c r="K480" i="5"/>
  <c r="M480" i="5"/>
  <c r="C480" i="5"/>
  <c r="G480" i="5"/>
  <c r="J480" i="5"/>
  <c r="E480" i="5"/>
  <c r="T480" i="5" l="1"/>
  <c r="P480" i="5"/>
  <c r="S481" i="5"/>
  <c r="A482" i="5"/>
  <c r="R481" i="5"/>
  <c r="Q481" i="5" s="1"/>
  <c r="B481" i="5"/>
  <c r="U479" i="5"/>
  <c r="F480" i="5"/>
  <c r="C481" i="5"/>
  <c r="L481" i="5"/>
  <c r="O481" i="5"/>
  <c r="N481" i="5"/>
  <c r="K481" i="5"/>
  <c r="G481" i="5"/>
  <c r="D481" i="5"/>
  <c r="J481" i="5"/>
  <c r="E481" i="5"/>
  <c r="I481" i="5"/>
  <c r="H481" i="5"/>
  <c r="M481" i="5"/>
  <c r="T481" i="5" l="1"/>
  <c r="P481" i="5"/>
  <c r="S482" i="5"/>
  <c r="B482" i="5"/>
  <c r="A483" i="5"/>
  <c r="R482" i="5"/>
  <c r="Q482" i="5" s="1"/>
  <c r="U480" i="5"/>
  <c r="F481" i="5"/>
  <c r="N482" i="5"/>
  <c r="G482" i="5"/>
  <c r="E482" i="5"/>
  <c r="D482" i="5"/>
  <c r="K482" i="5"/>
  <c r="J482" i="5"/>
  <c r="I482" i="5"/>
  <c r="L482" i="5"/>
  <c r="H482" i="5"/>
  <c r="C482" i="5"/>
  <c r="M482" i="5"/>
  <c r="O482" i="5"/>
  <c r="T482" i="5" l="1"/>
  <c r="P482" i="5"/>
  <c r="S483" i="5"/>
  <c r="B483" i="5"/>
  <c r="A484" i="5"/>
  <c r="R483" i="5"/>
  <c r="Q483" i="5" s="1"/>
  <c r="U481" i="5"/>
  <c r="F482" i="5"/>
  <c r="I483" i="5"/>
  <c r="M483" i="5"/>
  <c r="C483" i="5"/>
  <c r="O483" i="5"/>
  <c r="D483" i="5"/>
  <c r="N483" i="5"/>
  <c r="K483" i="5"/>
  <c r="L483" i="5"/>
  <c r="J483" i="5"/>
  <c r="G483" i="5"/>
  <c r="E483" i="5"/>
  <c r="H483" i="5"/>
  <c r="T483" i="5" l="1"/>
  <c r="P483" i="5"/>
  <c r="S484" i="5"/>
  <c r="A485" i="5"/>
  <c r="R484" i="5"/>
  <c r="Q484" i="5" s="1"/>
  <c r="B484" i="5"/>
  <c r="U482" i="5"/>
  <c r="F483" i="5"/>
  <c r="M484" i="5"/>
  <c r="C484" i="5"/>
  <c r="H484" i="5"/>
  <c r="L484" i="5"/>
  <c r="K484" i="5"/>
  <c r="N484" i="5"/>
  <c r="I484" i="5"/>
  <c r="D484" i="5"/>
  <c r="E484" i="5"/>
  <c r="O484" i="5"/>
  <c r="J484" i="5"/>
  <c r="G484" i="5"/>
  <c r="T484" i="5" l="1"/>
  <c r="P484" i="5"/>
  <c r="S485" i="5"/>
  <c r="B485" i="5"/>
  <c r="A486" i="5"/>
  <c r="R485" i="5"/>
  <c r="Q485" i="5" s="1"/>
  <c r="U483" i="5"/>
  <c r="F484" i="5"/>
  <c r="E485" i="5"/>
  <c r="L485" i="5"/>
  <c r="I485" i="5"/>
  <c r="M485" i="5"/>
  <c r="G485" i="5"/>
  <c r="C485" i="5"/>
  <c r="O485" i="5"/>
  <c r="J485" i="5"/>
  <c r="D485" i="5"/>
  <c r="N485" i="5"/>
  <c r="K485" i="5"/>
  <c r="H485" i="5"/>
  <c r="T485" i="5" l="1"/>
  <c r="P485" i="5"/>
  <c r="S486" i="5"/>
  <c r="A487" i="5"/>
  <c r="R486" i="5"/>
  <c r="Q486" i="5" s="1"/>
  <c r="B486" i="5"/>
  <c r="U484" i="5"/>
  <c r="F485" i="5"/>
  <c r="E486" i="5"/>
  <c r="D486" i="5"/>
  <c r="I486" i="5"/>
  <c r="K486" i="5"/>
  <c r="G486" i="5"/>
  <c r="O486" i="5"/>
  <c r="M486" i="5"/>
  <c r="J486" i="5"/>
  <c r="N486" i="5"/>
  <c r="L486" i="5"/>
  <c r="H486" i="5"/>
  <c r="C486" i="5"/>
  <c r="T486" i="5" l="1"/>
  <c r="P486" i="5"/>
  <c r="S487" i="5"/>
  <c r="A488" i="5"/>
  <c r="R487" i="5"/>
  <c r="Q487" i="5" s="1"/>
  <c r="B487" i="5"/>
  <c r="U485" i="5"/>
  <c r="F486" i="5"/>
  <c r="K487" i="5"/>
  <c r="O487" i="5"/>
  <c r="C487" i="5"/>
  <c r="I487" i="5"/>
  <c r="M487" i="5"/>
  <c r="J487" i="5"/>
  <c r="H487" i="5"/>
  <c r="G487" i="5"/>
  <c r="N487" i="5"/>
  <c r="E487" i="5"/>
  <c r="L487" i="5"/>
  <c r="D487" i="5"/>
  <c r="T487" i="5" l="1"/>
  <c r="P487" i="5"/>
  <c r="S488" i="5"/>
  <c r="B488" i="5"/>
  <c r="R488" i="5"/>
  <c r="Q488" i="5" s="1"/>
  <c r="A489" i="5"/>
  <c r="U486" i="5"/>
  <c r="F487" i="5"/>
  <c r="I488" i="5"/>
  <c r="G488" i="5"/>
  <c r="D488" i="5"/>
  <c r="O488" i="5"/>
  <c r="N488" i="5"/>
  <c r="C488" i="5"/>
  <c r="K488" i="5"/>
  <c r="L488" i="5"/>
  <c r="J488" i="5"/>
  <c r="M488" i="5"/>
  <c r="E488" i="5"/>
  <c r="H488" i="5"/>
  <c r="T488" i="5" l="1"/>
  <c r="P488" i="5"/>
  <c r="S489" i="5"/>
  <c r="B489" i="5"/>
  <c r="A490" i="5"/>
  <c r="R489" i="5"/>
  <c r="Q489" i="5" s="1"/>
  <c r="U487" i="5"/>
  <c r="F488" i="5"/>
  <c r="G489" i="5"/>
  <c r="M489" i="5"/>
  <c r="J489" i="5"/>
  <c r="L489" i="5"/>
  <c r="D489" i="5"/>
  <c r="N489" i="5"/>
  <c r="H489" i="5"/>
  <c r="O489" i="5"/>
  <c r="K489" i="5"/>
  <c r="E489" i="5"/>
  <c r="C489" i="5"/>
  <c r="I489" i="5"/>
  <c r="T489" i="5" l="1"/>
  <c r="P489" i="5"/>
  <c r="S490" i="5"/>
  <c r="A491" i="5"/>
  <c r="R490" i="5"/>
  <c r="Q490" i="5" s="1"/>
  <c r="B490" i="5"/>
  <c r="U488" i="5"/>
  <c r="F489" i="5"/>
  <c r="E490" i="5"/>
  <c r="C490" i="5"/>
  <c r="I490" i="5"/>
  <c r="M490" i="5"/>
  <c r="G490" i="5"/>
  <c r="O490" i="5"/>
  <c r="D490" i="5"/>
  <c r="N490" i="5"/>
  <c r="K490" i="5"/>
  <c r="L490" i="5"/>
  <c r="J490" i="5"/>
  <c r="H490" i="5"/>
  <c r="T490" i="5" l="1"/>
  <c r="P490" i="5"/>
  <c r="S491" i="5"/>
  <c r="A492" i="5"/>
  <c r="B491" i="5"/>
  <c r="R491" i="5"/>
  <c r="Q491" i="5" s="1"/>
  <c r="U489" i="5"/>
  <c r="F490" i="5"/>
  <c r="J491" i="5"/>
  <c r="I491" i="5"/>
  <c r="O491" i="5"/>
  <c r="L491" i="5"/>
  <c r="M491" i="5"/>
  <c r="E491" i="5"/>
  <c r="H491" i="5"/>
  <c r="G491" i="5"/>
  <c r="C491" i="5"/>
  <c r="K491" i="5"/>
  <c r="N491" i="5"/>
  <c r="D491" i="5"/>
  <c r="T491" i="5" l="1"/>
  <c r="P491" i="5"/>
  <c r="S492" i="5"/>
  <c r="A493" i="5"/>
  <c r="R492" i="5"/>
  <c r="Q492" i="5" s="1"/>
  <c r="B492" i="5"/>
  <c r="U490" i="5"/>
  <c r="F491" i="5"/>
  <c r="E492" i="5"/>
  <c r="J492" i="5"/>
  <c r="K492" i="5"/>
  <c r="O492" i="5"/>
  <c r="M492" i="5"/>
  <c r="L492" i="5"/>
  <c r="N492" i="5"/>
  <c r="H492" i="5"/>
  <c r="G492" i="5"/>
  <c r="C492" i="5"/>
  <c r="I492" i="5"/>
  <c r="D492" i="5"/>
  <c r="T492" i="5" l="1"/>
  <c r="P492" i="5"/>
  <c r="S493" i="5"/>
  <c r="A494" i="5"/>
  <c r="R493" i="5"/>
  <c r="Q493" i="5" s="1"/>
  <c r="B493" i="5"/>
  <c r="U491" i="5"/>
  <c r="F492" i="5"/>
  <c r="G493" i="5"/>
  <c r="M493" i="5"/>
  <c r="L493" i="5"/>
  <c r="D493" i="5"/>
  <c r="O493" i="5"/>
  <c r="C493" i="5"/>
  <c r="N493" i="5"/>
  <c r="E493" i="5"/>
  <c r="K493" i="5"/>
  <c r="J493" i="5"/>
  <c r="H493" i="5"/>
  <c r="I493" i="5"/>
  <c r="T493" i="5" l="1"/>
  <c r="P493" i="5"/>
  <c r="S494" i="5"/>
  <c r="A495" i="5"/>
  <c r="R494" i="5"/>
  <c r="Q494" i="5" s="1"/>
  <c r="B494" i="5"/>
  <c r="U492" i="5"/>
  <c r="F493" i="5"/>
  <c r="I494" i="5"/>
  <c r="K494" i="5"/>
  <c r="H494" i="5"/>
  <c r="J494" i="5"/>
  <c r="M494" i="5"/>
  <c r="C494" i="5"/>
  <c r="N494" i="5"/>
  <c r="G494" i="5"/>
  <c r="D494" i="5"/>
  <c r="E494" i="5"/>
  <c r="L494" i="5"/>
  <c r="O494" i="5"/>
  <c r="T494" i="5" l="1"/>
  <c r="P494" i="5"/>
  <c r="S495" i="5"/>
  <c r="A496" i="5"/>
  <c r="B495" i="5"/>
  <c r="R495" i="5"/>
  <c r="Q495" i="5" s="1"/>
  <c r="U493" i="5"/>
  <c r="F494" i="5"/>
  <c r="M495" i="5"/>
  <c r="N495" i="5"/>
  <c r="G495" i="5"/>
  <c r="D495" i="5"/>
  <c r="L495" i="5"/>
  <c r="C495" i="5"/>
  <c r="J495" i="5"/>
  <c r="E495" i="5"/>
  <c r="O495" i="5"/>
  <c r="K495" i="5"/>
  <c r="H495" i="5"/>
  <c r="I495" i="5"/>
  <c r="T495" i="5" l="1"/>
  <c r="P495" i="5"/>
  <c r="S496" i="5"/>
  <c r="A497" i="5"/>
  <c r="B496" i="5"/>
  <c r="R496" i="5"/>
  <c r="Q496" i="5" s="1"/>
  <c r="U494" i="5"/>
  <c r="F495" i="5"/>
  <c r="M496" i="5"/>
  <c r="O496" i="5"/>
  <c r="D496" i="5"/>
  <c r="K496" i="5"/>
  <c r="E496" i="5"/>
  <c r="L496" i="5"/>
  <c r="I496" i="5"/>
  <c r="N496" i="5"/>
  <c r="H496" i="5"/>
  <c r="G496" i="5"/>
  <c r="J496" i="5"/>
  <c r="C496" i="5"/>
  <c r="T496" i="5" l="1"/>
  <c r="P496" i="5"/>
  <c r="S497" i="5"/>
  <c r="A498" i="5"/>
  <c r="B497" i="5"/>
  <c r="R497" i="5"/>
  <c r="Q497" i="5" s="1"/>
  <c r="U495" i="5"/>
  <c r="F496" i="5"/>
  <c r="L497" i="5"/>
  <c r="K497" i="5"/>
  <c r="D497" i="5"/>
  <c r="E497" i="5"/>
  <c r="M497" i="5"/>
  <c r="N497" i="5"/>
  <c r="I497" i="5"/>
  <c r="H497" i="5"/>
  <c r="J497" i="5"/>
  <c r="G497" i="5"/>
  <c r="C497" i="5"/>
  <c r="O497" i="5"/>
  <c r="T497" i="5" l="1"/>
  <c r="P497" i="5"/>
  <c r="S498" i="5"/>
  <c r="A499" i="5"/>
  <c r="B498" i="5"/>
  <c r="R498" i="5"/>
  <c r="Q498" i="5" s="1"/>
  <c r="U496" i="5"/>
  <c r="F497" i="5"/>
  <c r="O498" i="5"/>
  <c r="I498" i="5"/>
  <c r="D498" i="5"/>
  <c r="E498" i="5"/>
  <c r="C498" i="5"/>
  <c r="L498" i="5"/>
  <c r="J498" i="5"/>
  <c r="G498" i="5"/>
  <c r="K498" i="5"/>
  <c r="N498" i="5"/>
  <c r="M498" i="5"/>
  <c r="H498" i="5"/>
  <c r="T498" i="5" l="1"/>
  <c r="P498" i="5"/>
  <c r="S499" i="5"/>
  <c r="A500" i="5"/>
  <c r="R499" i="5"/>
  <c r="Q499" i="5" s="1"/>
  <c r="B499" i="5"/>
  <c r="U497" i="5"/>
  <c r="F498" i="5"/>
  <c r="H499" i="5"/>
  <c r="J499" i="5"/>
  <c r="I499" i="5"/>
  <c r="E499" i="5"/>
  <c r="C499" i="5"/>
  <c r="L499" i="5"/>
  <c r="N499" i="5"/>
  <c r="G499" i="5"/>
  <c r="D499" i="5"/>
  <c r="K499" i="5"/>
  <c r="M499" i="5"/>
  <c r="O499" i="5"/>
  <c r="T499" i="5" l="1"/>
  <c r="P499" i="5"/>
  <c r="S500" i="5"/>
  <c r="A501" i="5"/>
  <c r="B500" i="5"/>
  <c r="R500" i="5"/>
  <c r="Q500" i="5" s="1"/>
  <c r="U498" i="5"/>
  <c r="F499" i="5"/>
  <c r="O500" i="5"/>
  <c r="K500" i="5"/>
  <c r="I500" i="5"/>
  <c r="L500" i="5"/>
  <c r="D500" i="5"/>
  <c r="E500" i="5"/>
  <c r="H500" i="5"/>
  <c r="M500" i="5"/>
  <c r="N500" i="5"/>
  <c r="C500" i="5"/>
  <c r="J500" i="5"/>
  <c r="G500" i="5"/>
  <c r="T500" i="5" l="1"/>
  <c r="P500" i="5"/>
  <c r="S501" i="5"/>
  <c r="B501" i="5"/>
  <c r="A502" i="5"/>
  <c r="R501" i="5"/>
  <c r="Q501" i="5" s="1"/>
  <c r="U499" i="5"/>
  <c r="F500" i="5"/>
  <c r="J501" i="5"/>
  <c r="H501" i="5"/>
  <c r="G501" i="5"/>
  <c r="C501" i="5"/>
  <c r="K501" i="5"/>
  <c r="O501" i="5"/>
  <c r="I501" i="5"/>
  <c r="N501" i="5"/>
  <c r="M501" i="5"/>
  <c r="D501" i="5"/>
  <c r="E501" i="5"/>
  <c r="L501" i="5"/>
  <c r="T501" i="5" l="1"/>
  <c r="P501" i="5"/>
  <c r="S502" i="5"/>
  <c r="A503" i="5"/>
  <c r="B502" i="5"/>
  <c r="R502" i="5"/>
  <c r="Q502" i="5" s="1"/>
  <c r="U500" i="5"/>
  <c r="F501" i="5"/>
  <c r="H502" i="5"/>
  <c r="M502" i="5"/>
  <c r="L502" i="5"/>
  <c r="J502" i="5"/>
  <c r="N502" i="5"/>
  <c r="I502" i="5"/>
  <c r="K502" i="5"/>
  <c r="C502" i="5"/>
  <c r="G502" i="5"/>
  <c r="O502" i="5"/>
  <c r="D502" i="5"/>
  <c r="E502" i="5"/>
  <c r="T502" i="5" l="1"/>
  <c r="P502" i="5"/>
  <c r="S503" i="5"/>
  <c r="A504" i="5"/>
  <c r="B503" i="5"/>
  <c r="R503" i="5"/>
  <c r="Q503" i="5" s="1"/>
  <c r="U501" i="5"/>
  <c r="F502" i="5"/>
  <c r="H503" i="5"/>
  <c r="C503" i="5"/>
  <c r="I503" i="5"/>
  <c r="E503" i="5"/>
  <c r="G503" i="5"/>
  <c r="K503" i="5"/>
  <c r="N503" i="5"/>
  <c r="L503" i="5"/>
  <c r="J503" i="5"/>
  <c r="D503" i="5"/>
  <c r="O503" i="5"/>
  <c r="M503" i="5"/>
  <c r="T503" i="5" l="1"/>
  <c r="P503" i="5"/>
  <c r="S504" i="5"/>
  <c r="A505" i="5"/>
  <c r="B504" i="5"/>
  <c r="R504" i="5"/>
  <c r="Q504" i="5" s="1"/>
  <c r="U502" i="5"/>
  <c r="F503" i="5"/>
  <c r="C504" i="5"/>
  <c r="D504" i="5"/>
  <c r="H504" i="5"/>
  <c r="J504" i="5"/>
  <c r="E504" i="5"/>
  <c r="G504" i="5"/>
  <c r="O504" i="5"/>
  <c r="K504" i="5"/>
  <c r="M504" i="5"/>
  <c r="I504" i="5"/>
  <c r="N504" i="5"/>
  <c r="L504" i="5"/>
  <c r="T504" i="5" l="1"/>
  <c r="P504" i="5"/>
  <c r="S505" i="5"/>
  <c r="B505" i="5"/>
  <c r="R505" i="5"/>
  <c r="Q505" i="5" s="1"/>
  <c r="A506" i="5"/>
  <c r="U503" i="5"/>
  <c r="F504" i="5"/>
  <c r="O505" i="5"/>
  <c r="I505" i="5"/>
  <c r="G505" i="5"/>
  <c r="M505" i="5"/>
  <c r="D505" i="5"/>
  <c r="N505" i="5"/>
  <c r="C505" i="5"/>
  <c r="E505" i="5"/>
  <c r="H505" i="5"/>
  <c r="L505" i="5"/>
  <c r="K505" i="5"/>
  <c r="J505" i="5"/>
  <c r="T505" i="5" l="1"/>
  <c r="P505" i="5"/>
  <c r="S506" i="5"/>
  <c r="A507" i="5"/>
  <c r="R506" i="5"/>
  <c r="Q506" i="5" s="1"/>
  <c r="B506" i="5"/>
  <c r="U504" i="5"/>
  <c r="F505" i="5"/>
  <c r="C506" i="5"/>
  <c r="H506" i="5"/>
  <c r="D506" i="5"/>
  <c r="O506" i="5"/>
  <c r="E506" i="5"/>
  <c r="M506" i="5"/>
  <c r="I506" i="5"/>
  <c r="N506" i="5"/>
  <c r="J506" i="5"/>
  <c r="G506" i="5"/>
  <c r="K506" i="5"/>
  <c r="L506" i="5"/>
  <c r="T506" i="5" l="1"/>
  <c r="P506" i="5"/>
  <c r="S507" i="5"/>
  <c r="A508" i="5"/>
  <c r="B507" i="5"/>
  <c r="R507" i="5"/>
  <c r="Q507" i="5" s="1"/>
  <c r="U505" i="5"/>
  <c r="F506" i="5"/>
  <c r="K507" i="5"/>
  <c r="N507" i="5"/>
  <c r="J507" i="5"/>
  <c r="G507" i="5"/>
  <c r="L507" i="5"/>
  <c r="E507" i="5"/>
  <c r="H507" i="5"/>
  <c r="O507" i="5"/>
  <c r="I507" i="5"/>
  <c r="M507" i="5"/>
  <c r="C507" i="5"/>
  <c r="D507" i="5"/>
  <c r="T507" i="5" l="1"/>
  <c r="P507" i="5"/>
  <c r="S508" i="5"/>
  <c r="A509" i="5"/>
  <c r="B508" i="5"/>
  <c r="R508" i="5"/>
  <c r="Q508" i="5" s="1"/>
  <c r="U506" i="5"/>
  <c r="F507" i="5"/>
  <c r="O508" i="5"/>
  <c r="D508" i="5"/>
  <c r="N508" i="5"/>
  <c r="L508" i="5"/>
  <c r="J508" i="5"/>
  <c r="E508" i="5"/>
  <c r="I508" i="5"/>
  <c r="C508" i="5"/>
  <c r="M508" i="5"/>
  <c r="G508" i="5"/>
  <c r="H508" i="5"/>
  <c r="K508" i="5"/>
  <c r="T508" i="5" l="1"/>
  <c r="P508" i="5"/>
  <c r="S509" i="5"/>
  <c r="A510" i="5"/>
  <c r="B509" i="5"/>
  <c r="R509" i="5"/>
  <c r="Q509" i="5" s="1"/>
  <c r="U507" i="5"/>
  <c r="F508" i="5"/>
  <c r="H509" i="5"/>
  <c r="E509" i="5"/>
  <c r="M509" i="5"/>
  <c r="C509" i="5"/>
  <c r="O509" i="5"/>
  <c r="L509" i="5"/>
  <c r="I509" i="5"/>
  <c r="G509" i="5"/>
  <c r="D509" i="5"/>
  <c r="K509" i="5"/>
  <c r="N509" i="5"/>
  <c r="J509" i="5"/>
  <c r="T509" i="5" l="1"/>
  <c r="P509" i="5"/>
  <c r="S510" i="5"/>
  <c r="A511" i="5"/>
  <c r="R510" i="5"/>
  <c r="Q510" i="5" s="1"/>
  <c r="B510" i="5"/>
  <c r="U508" i="5"/>
  <c r="F509" i="5"/>
  <c r="G510" i="5"/>
  <c r="J510" i="5"/>
  <c r="C510" i="5"/>
  <c r="E510" i="5"/>
  <c r="H510" i="5"/>
  <c r="O510" i="5"/>
  <c r="D510" i="5"/>
  <c r="L510" i="5"/>
  <c r="I510" i="5"/>
  <c r="K510" i="5"/>
  <c r="N510" i="5"/>
  <c r="M510" i="5"/>
  <c r="T510" i="5" l="1"/>
  <c r="P510" i="5"/>
  <c r="S511" i="5"/>
  <c r="B511" i="5"/>
  <c r="A512" i="5"/>
  <c r="R511" i="5"/>
  <c r="Q511" i="5" s="1"/>
  <c r="U509" i="5"/>
  <c r="F510" i="5"/>
  <c r="G511" i="5"/>
  <c r="H511" i="5"/>
  <c r="I511" i="5"/>
  <c r="D511" i="5"/>
  <c r="M511" i="5"/>
  <c r="E511" i="5"/>
  <c r="K511" i="5"/>
  <c r="L511" i="5"/>
  <c r="O511" i="5"/>
  <c r="C511" i="5"/>
  <c r="J511" i="5"/>
  <c r="N511" i="5"/>
  <c r="T511" i="5" l="1"/>
  <c r="P511" i="5"/>
  <c r="S512" i="5"/>
  <c r="B512" i="5"/>
  <c r="A513" i="5"/>
  <c r="R512" i="5"/>
  <c r="Q512" i="5" s="1"/>
  <c r="U510" i="5"/>
  <c r="F511" i="5"/>
  <c r="O512" i="5"/>
  <c r="I512" i="5"/>
  <c r="K512" i="5"/>
  <c r="L512" i="5"/>
  <c r="H512" i="5"/>
  <c r="C512" i="5"/>
  <c r="M512" i="5"/>
  <c r="D512" i="5"/>
  <c r="E512" i="5"/>
  <c r="G512" i="5"/>
  <c r="N512" i="5"/>
  <c r="J512" i="5"/>
  <c r="T512" i="5" l="1"/>
  <c r="P512" i="5"/>
  <c r="S513" i="5"/>
  <c r="A514" i="5"/>
  <c r="B513" i="5"/>
  <c r="R513" i="5"/>
  <c r="Q513" i="5" s="1"/>
  <c r="U511" i="5"/>
  <c r="F512" i="5"/>
  <c r="G513" i="5"/>
  <c r="N513" i="5"/>
  <c r="D513" i="5"/>
  <c r="E513" i="5"/>
  <c r="K513" i="5"/>
  <c r="C513" i="5"/>
  <c r="I513" i="5"/>
  <c r="M513" i="5"/>
  <c r="L513" i="5"/>
  <c r="H513" i="5"/>
  <c r="J513" i="5"/>
  <c r="O513" i="5"/>
  <c r="T513" i="5" l="1"/>
  <c r="P513" i="5"/>
  <c r="S514" i="5"/>
  <c r="B514" i="5"/>
  <c r="A515" i="5"/>
  <c r="R514" i="5"/>
  <c r="Q514" i="5" s="1"/>
  <c r="U512" i="5"/>
  <c r="F513" i="5"/>
  <c r="E514" i="5"/>
  <c r="H514" i="5"/>
  <c r="D514" i="5"/>
  <c r="J514" i="5"/>
  <c r="G514" i="5"/>
  <c r="I514" i="5"/>
  <c r="L514" i="5"/>
  <c r="O514" i="5"/>
  <c r="C514" i="5"/>
  <c r="N514" i="5"/>
  <c r="M514" i="5"/>
  <c r="K514" i="5"/>
  <c r="T514" i="5" l="1"/>
  <c r="P514" i="5"/>
  <c r="S515" i="5"/>
  <c r="A516" i="5"/>
  <c r="R515" i="5"/>
  <c r="Q515" i="5" s="1"/>
  <c r="B515" i="5"/>
  <c r="U513" i="5"/>
  <c r="F514" i="5"/>
  <c r="C515" i="5"/>
  <c r="K515" i="5"/>
  <c r="E515" i="5"/>
  <c r="J515" i="5"/>
  <c r="G515" i="5"/>
  <c r="I515" i="5"/>
  <c r="L515" i="5"/>
  <c r="D515" i="5"/>
  <c r="N515" i="5"/>
  <c r="H515" i="5"/>
  <c r="O515" i="5"/>
  <c r="M515" i="5"/>
  <c r="T515" i="5" l="1"/>
  <c r="P515" i="5"/>
  <c r="S516" i="5"/>
  <c r="A517" i="5"/>
  <c r="B516" i="5"/>
  <c r="R516" i="5"/>
  <c r="Q516" i="5" s="1"/>
  <c r="U514" i="5"/>
  <c r="F515" i="5"/>
  <c r="K516" i="5"/>
  <c r="E516" i="5"/>
  <c r="G516" i="5"/>
  <c r="J516" i="5"/>
  <c r="N516" i="5"/>
  <c r="D516" i="5"/>
  <c r="H516" i="5"/>
  <c r="L516" i="5"/>
  <c r="O516" i="5"/>
  <c r="I516" i="5"/>
  <c r="C516" i="5"/>
  <c r="M516" i="5"/>
  <c r="T516" i="5" l="1"/>
  <c r="P516" i="5"/>
  <c r="S517" i="5"/>
  <c r="A518" i="5"/>
  <c r="R517" i="5"/>
  <c r="Q517" i="5" s="1"/>
  <c r="B517" i="5"/>
  <c r="U515" i="5"/>
  <c r="F516" i="5"/>
  <c r="M517" i="5"/>
  <c r="E517" i="5"/>
  <c r="I517" i="5"/>
  <c r="O517" i="5"/>
  <c r="K517" i="5"/>
  <c r="G517" i="5"/>
  <c r="H517" i="5"/>
  <c r="J517" i="5"/>
  <c r="D517" i="5"/>
  <c r="C517" i="5"/>
  <c r="N517" i="5"/>
  <c r="L517" i="5"/>
  <c r="T517" i="5" l="1"/>
  <c r="P517" i="5"/>
  <c r="S518" i="5"/>
  <c r="R518" i="5"/>
  <c r="Q518" i="5" s="1"/>
  <c r="B518" i="5"/>
  <c r="A519" i="5"/>
  <c r="U516" i="5"/>
  <c r="F517" i="5"/>
  <c r="L518" i="5"/>
  <c r="C518" i="5"/>
  <c r="K518" i="5"/>
  <c r="N518" i="5"/>
  <c r="J518" i="5"/>
  <c r="D518" i="5"/>
  <c r="O518" i="5"/>
  <c r="I518" i="5"/>
  <c r="E518" i="5"/>
  <c r="H518" i="5"/>
  <c r="M518" i="5"/>
  <c r="G518" i="5"/>
  <c r="T518" i="5" l="1"/>
  <c r="P518" i="5"/>
  <c r="S519" i="5"/>
  <c r="B519" i="5"/>
  <c r="A520" i="5"/>
  <c r="R519" i="5"/>
  <c r="Q519" i="5" s="1"/>
  <c r="U517" i="5"/>
  <c r="F518" i="5"/>
  <c r="L519" i="5"/>
  <c r="I519" i="5"/>
  <c r="D519" i="5"/>
  <c r="H519" i="5"/>
  <c r="C519" i="5"/>
  <c r="N519" i="5"/>
  <c r="K519" i="5"/>
  <c r="G519" i="5"/>
  <c r="M519" i="5"/>
  <c r="O519" i="5"/>
  <c r="E519" i="5"/>
  <c r="J519" i="5"/>
  <c r="T519" i="5" l="1"/>
  <c r="P519" i="5"/>
  <c r="S520" i="5"/>
  <c r="B520" i="5"/>
  <c r="A521" i="5"/>
  <c r="R520" i="5"/>
  <c r="Q520" i="5" s="1"/>
  <c r="U518" i="5"/>
  <c r="F519" i="5"/>
  <c r="M520" i="5"/>
  <c r="G520" i="5"/>
  <c r="K520" i="5"/>
  <c r="E520" i="5"/>
  <c r="O520" i="5"/>
  <c r="H520" i="5"/>
  <c r="D520" i="5"/>
  <c r="J520" i="5"/>
  <c r="I520" i="5"/>
  <c r="N520" i="5"/>
  <c r="L520" i="5"/>
  <c r="C520" i="5"/>
  <c r="T520" i="5" l="1"/>
  <c r="P520" i="5"/>
  <c r="S521" i="5"/>
  <c r="B521" i="5"/>
  <c r="R521" i="5"/>
  <c r="Q521" i="5" s="1"/>
  <c r="A522" i="5"/>
  <c r="U519" i="5"/>
  <c r="F520" i="5"/>
  <c r="C521" i="5"/>
  <c r="M521" i="5"/>
  <c r="G521" i="5"/>
  <c r="E521" i="5"/>
  <c r="K521" i="5"/>
  <c r="O521" i="5"/>
  <c r="H521" i="5"/>
  <c r="I521" i="5"/>
  <c r="N521" i="5"/>
  <c r="D521" i="5"/>
  <c r="J521" i="5"/>
  <c r="L521" i="5"/>
  <c r="T521" i="5" l="1"/>
  <c r="P521" i="5"/>
  <c r="S522" i="5"/>
  <c r="R522" i="5"/>
  <c r="Q522" i="5" s="1"/>
  <c r="B522" i="5"/>
  <c r="A523" i="5"/>
  <c r="U520" i="5"/>
  <c r="F521" i="5"/>
  <c r="G522" i="5"/>
  <c r="H522" i="5"/>
  <c r="K522" i="5"/>
  <c r="J522" i="5"/>
  <c r="C522" i="5"/>
  <c r="E522" i="5"/>
  <c r="M522" i="5"/>
  <c r="L522" i="5"/>
  <c r="D522" i="5"/>
  <c r="O522" i="5"/>
  <c r="I522" i="5"/>
  <c r="N522" i="5"/>
  <c r="T522" i="5" l="1"/>
  <c r="P522" i="5"/>
  <c r="S523" i="5"/>
  <c r="B523" i="5"/>
  <c r="A524" i="5"/>
  <c r="R523" i="5"/>
  <c r="Q523" i="5" s="1"/>
  <c r="U521" i="5"/>
  <c r="F522" i="5"/>
  <c r="C523" i="5"/>
  <c r="I523" i="5"/>
  <c r="D523" i="5"/>
  <c r="K523" i="5"/>
  <c r="J523" i="5"/>
  <c r="M523" i="5"/>
  <c r="N523" i="5"/>
  <c r="H523" i="5"/>
  <c r="O523" i="5"/>
  <c r="G523" i="5"/>
  <c r="L523" i="5"/>
  <c r="E523" i="5"/>
  <c r="T523" i="5" l="1"/>
  <c r="P523" i="5"/>
  <c r="S524" i="5"/>
  <c r="R524" i="5"/>
  <c r="Q524" i="5" s="1"/>
  <c r="B524" i="5"/>
  <c r="A525" i="5"/>
  <c r="U522" i="5"/>
  <c r="F523" i="5"/>
  <c r="C524" i="5"/>
  <c r="M524" i="5"/>
  <c r="N524" i="5"/>
  <c r="G524" i="5"/>
  <c r="H524" i="5"/>
  <c r="L524" i="5"/>
  <c r="I524" i="5"/>
  <c r="O524" i="5"/>
  <c r="D524" i="5"/>
  <c r="J524" i="5"/>
  <c r="E524" i="5"/>
  <c r="K524" i="5"/>
  <c r="T524" i="5" l="1"/>
  <c r="P524" i="5"/>
  <c r="S525" i="5"/>
  <c r="B525" i="5"/>
  <c r="A526" i="5"/>
  <c r="R525" i="5"/>
  <c r="Q525" i="5" s="1"/>
  <c r="U523" i="5"/>
  <c r="F524" i="5"/>
  <c r="O525" i="5"/>
  <c r="E525" i="5"/>
  <c r="J525" i="5"/>
  <c r="L525" i="5"/>
  <c r="D525" i="5"/>
  <c r="C525" i="5"/>
  <c r="I525" i="5"/>
  <c r="M525" i="5"/>
  <c r="K525" i="5"/>
  <c r="H525" i="5"/>
  <c r="N525" i="5"/>
  <c r="G525" i="5"/>
  <c r="T525" i="5" l="1"/>
  <c r="P525" i="5"/>
  <c r="S526" i="5"/>
  <c r="R526" i="5"/>
  <c r="Q526" i="5" s="1"/>
  <c r="B526" i="5"/>
  <c r="A527" i="5"/>
  <c r="U524" i="5"/>
  <c r="F525" i="5"/>
  <c r="E526" i="5"/>
  <c r="M526" i="5"/>
  <c r="K526" i="5"/>
  <c r="D526" i="5"/>
  <c r="N526" i="5"/>
  <c r="J526" i="5"/>
  <c r="G526" i="5"/>
  <c r="I526" i="5"/>
  <c r="H526" i="5"/>
  <c r="O526" i="5"/>
  <c r="C526" i="5"/>
  <c r="L526" i="5"/>
  <c r="T526" i="5" l="1"/>
  <c r="P526" i="5"/>
  <c r="S527" i="5"/>
  <c r="B527" i="5"/>
  <c r="A528" i="5"/>
  <c r="R527" i="5"/>
  <c r="Q527" i="5" s="1"/>
  <c r="U525" i="5"/>
  <c r="F526" i="5"/>
  <c r="J527" i="5"/>
  <c r="H527" i="5"/>
  <c r="G527" i="5"/>
  <c r="K527" i="5"/>
  <c r="M527" i="5"/>
  <c r="O527" i="5"/>
  <c r="N527" i="5"/>
  <c r="L527" i="5"/>
  <c r="D527" i="5"/>
  <c r="E527" i="5"/>
  <c r="C527" i="5"/>
  <c r="I527" i="5"/>
  <c r="T527" i="5" l="1"/>
  <c r="P527" i="5"/>
  <c r="S528" i="5"/>
  <c r="B528" i="5"/>
  <c r="A529" i="5"/>
  <c r="R528" i="5"/>
  <c r="Q528" i="5" s="1"/>
  <c r="U526" i="5"/>
  <c r="F527" i="5"/>
  <c r="C528" i="5"/>
  <c r="E528" i="5"/>
  <c r="L528" i="5"/>
  <c r="I528" i="5"/>
  <c r="O528" i="5"/>
  <c r="D528" i="5"/>
  <c r="H528" i="5"/>
  <c r="K528" i="5"/>
  <c r="N528" i="5"/>
  <c r="M528" i="5"/>
  <c r="J528" i="5"/>
  <c r="G528" i="5"/>
  <c r="T528" i="5" l="1"/>
  <c r="P528" i="5"/>
  <c r="S529" i="5"/>
  <c r="B529" i="5"/>
  <c r="R529" i="5"/>
  <c r="Q529" i="5" s="1"/>
  <c r="A530" i="5"/>
  <c r="U527" i="5"/>
  <c r="F528" i="5"/>
  <c r="L529" i="5"/>
  <c r="E529" i="5"/>
  <c r="M529" i="5"/>
  <c r="K529" i="5"/>
  <c r="O529" i="5"/>
  <c r="I529" i="5"/>
  <c r="D529" i="5"/>
  <c r="H529" i="5"/>
  <c r="G529" i="5"/>
  <c r="C529" i="5"/>
  <c r="N529" i="5"/>
  <c r="J529" i="5"/>
  <c r="T529" i="5" l="1"/>
  <c r="P529" i="5"/>
  <c r="S530" i="5"/>
  <c r="B530" i="5"/>
  <c r="R530" i="5"/>
  <c r="Q530" i="5" s="1"/>
  <c r="A531" i="5"/>
  <c r="U528" i="5"/>
  <c r="F529" i="5"/>
  <c r="M530" i="5"/>
  <c r="G530" i="5"/>
  <c r="O530" i="5"/>
  <c r="D530" i="5"/>
  <c r="H530" i="5"/>
  <c r="E530" i="5"/>
  <c r="K530" i="5"/>
  <c r="C530" i="5"/>
  <c r="N530" i="5"/>
  <c r="L530" i="5"/>
  <c r="I530" i="5"/>
  <c r="J530" i="5"/>
  <c r="T530" i="5" l="1"/>
  <c r="P530" i="5"/>
  <c r="S531" i="5"/>
  <c r="B531" i="5"/>
  <c r="A532" i="5"/>
  <c r="R531" i="5"/>
  <c r="Q531" i="5" s="1"/>
  <c r="U529" i="5"/>
  <c r="F530" i="5"/>
  <c r="O531" i="5"/>
  <c r="L531" i="5"/>
  <c r="J531" i="5"/>
  <c r="D531" i="5"/>
  <c r="G531" i="5"/>
  <c r="I531" i="5"/>
  <c r="C531" i="5"/>
  <c r="N531" i="5"/>
  <c r="M531" i="5"/>
  <c r="E531" i="5"/>
  <c r="K531" i="5"/>
  <c r="H531" i="5"/>
  <c r="T531" i="5" l="1"/>
  <c r="P531" i="5"/>
  <c r="U530" i="5"/>
  <c r="S532" i="5"/>
  <c r="R532" i="5"/>
  <c r="Q532" i="5" s="1"/>
  <c r="B532" i="5"/>
  <c r="A533" i="5"/>
  <c r="F531" i="5"/>
  <c r="O532" i="5"/>
  <c r="H532" i="5"/>
  <c r="J532" i="5"/>
  <c r="G532" i="5"/>
  <c r="C532" i="5"/>
  <c r="K532" i="5"/>
  <c r="N532" i="5"/>
  <c r="I532" i="5"/>
  <c r="M532" i="5"/>
  <c r="E532" i="5"/>
  <c r="L532" i="5"/>
  <c r="D532" i="5"/>
  <c r="T532" i="5" l="1"/>
  <c r="P532" i="5"/>
  <c r="S533" i="5"/>
  <c r="B533" i="5"/>
  <c r="A534" i="5"/>
  <c r="R533" i="5"/>
  <c r="Q533" i="5" s="1"/>
  <c r="U531" i="5"/>
  <c r="F532" i="5"/>
  <c r="L533" i="5"/>
  <c r="K533" i="5"/>
  <c r="I533" i="5"/>
  <c r="M533" i="5"/>
  <c r="D533" i="5"/>
  <c r="E533" i="5"/>
  <c r="G533" i="5"/>
  <c r="J533" i="5"/>
  <c r="N533" i="5"/>
  <c r="H533" i="5"/>
  <c r="C533" i="5"/>
  <c r="O533" i="5"/>
  <c r="T533" i="5" l="1"/>
  <c r="P533" i="5"/>
  <c r="S534" i="5"/>
  <c r="B534" i="5"/>
  <c r="R534" i="5"/>
  <c r="Q534" i="5" s="1"/>
  <c r="A535" i="5"/>
  <c r="U532" i="5"/>
  <c r="F533" i="5"/>
  <c r="O534" i="5"/>
  <c r="I534" i="5"/>
  <c r="G534" i="5"/>
  <c r="D534" i="5"/>
  <c r="J534" i="5"/>
  <c r="E534" i="5"/>
  <c r="N534" i="5"/>
  <c r="C534" i="5"/>
  <c r="K534" i="5"/>
  <c r="L534" i="5"/>
  <c r="H534" i="5"/>
  <c r="M534" i="5"/>
  <c r="T534" i="5" l="1"/>
  <c r="P534" i="5"/>
  <c r="S535" i="5"/>
  <c r="B535" i="5"/>
  <c r="A536" i="5"/>
  <c r="R535" i="5"/>
  <c r="Q535" i="5" s="1"/>
  <c r="U533" i="5"/>
  <c r="F534" i="5"/>
  <c r="G535" i="5"/>
  <c r="E535" i="5"/>
  <c r="M535" i="5"/>
  <c r="J535" i="5"/>
  <c r="I535" i="5"/>
  <c r="D535" i="5"/>
  <c r="H535" i="5"/>
  <c r="N535" i="5"/>
  <c r="L535" i="5"/>
  <c r="O535" i="5"/>
  <c r="K535" i="5"/>
  <c r="C535" i="5"/>
  <c r="T535" i="5" l="1"/>
  <c r="P535" i="5"/>
  <c r="S536" i="5"/>
  <c r="B536" i="5"/>
  <c r="R536" i="5"/>
  <c r="Q536" i="5" s="1"/>
  <c r="A537" i="5"/>
  <c r="U534" i="5"/>
  <c r="F535" i="5"/>
  <c r="E536" i="5"/>
  <c r="H536" i="5"/>
  <c r="K536" i="5"/>
  <c r="M536" i="5"/>
  <c r="C536" i="5"/>
  <c r="G536" i="5"/>
  <c r="N536" i="5"/>
  <c r="D536" i="5"/>
  <c r="L536" i="5"/>
  <c r="J536" i="5"/>
  <c r="O536" i="5"/>
  <c r="I536" i="5"/>
  <c r="T536" i="5" l="1"/>
  <c r="P536" i="5"/>
  <c r="S537" i="5"/>
  <c r="R537" i="5"/>
  <c r="Q537" i="5" s="1"/>
  <c r="B537" i="5"/>
  <c r="A538" i="5"/>
  <c r="U535" i="5"/>
  <c r="F536" i="5"/>
  <c r="C537" i="5"/>
  <c r="H537" i="5"/>
  <c r="D537" i="5"/>
  <c r="O537" i="5"/>
  <c r="N537" i="5"/>
  <c r="E537" i="5"/>
  <c r="L537" i="5"/>
  <c r="M537" i="5"/>
  <c r="G537" i="5"/>
  <c r="J537" i="5"/>
  <c r="K537" i="5"/>
  <c r="I537" i="5"/>
  <c r="T537" i="5" l="1"/>
  <c r="P537" i="5"/>
  <c r="S538" i="5"/>
  <c r="B538" i="5"/>
  <c r="R538" i="5"/>
  <c r="Q538" i="5" s="1"/>
  <c r="A539" i="5"/>
  <c r="U536" i="5"/>
  <c r="F537" i="5"/>
  <c r="L538" i="5"/>
  <c r="J538" i="5"/>
  <c r="I538" i="5"/>
  <c r="G538" i="5"/>
  <c r="D538" i="5"/>
  <c r="C538" i="5"/>
  <c r="N538" i="5"/>
  <c r="O538" i="5"/>
  <c r="K538" i="5"/>
  <c r="M538" i="5"/>
  <c r="E538" i="5"/>
  <c r="H538" i="5"/>
  <c r="T538" i="5" l="1"/>
  <c r="P538" i="5"/>
  <c r="S539" i="5"/>
  <c r="R539" i="5"/>
  <c r="Q539" i="5" s="1"/>
  <c r="B539" i="5"/>
  <c r="A540" i="5"/>
  <c r="U537" i="5"/>
  <c r="F538" i="5"/>
  <c r="J539" i="5"/>
  <c r="C539" i="5"/>
  <c r="N539" i="5"/>
  <c r="M539" i="5"/>
  <c r="D539" i="5"/>
  <c r="K539" i="5"/>
  <c r="L539" i="5"/>
  <c r="I539" i="5"/>
  <c r="E539" i="5"/>
  <c r="G539" i="5"/>
  <c r="H539" i="5"/>
  <c r="O539" i="5"/>
  <c r="T539" i="5" l="1"/>
  <c r="P539" i="5"/>
  <c r="S540" i="5"/>
  <c r="B540" i="5"/>
  <c r="R540" i="5"/>
  <c r="Q540" i="5" s="1"/>
  <c r="A541" i="5"/>
  <c r="U538" i="5"/>
  <c r="F539" i="5"/>
  <c r="N540" i="5"/>
  <c r="J540" i="5"/>
  <c r="E540" i="5"/>
  <c r="I540" i="5"/>
  <c r="G540" i="5"/>
  <c r="H540" i="5"/>
  <c r="L540" i="5"/>
  <c r="C540" i="5"/>
  <c r="K540" i="5"/>
  <c r="D540" i="5"/>
  <c r="O540" i="5"/>
  <c r="M540" i="5"/>
  <c r="T540" i="5" l="1"/>
  <c r="P540" i="5"/>
  <c r="S541" i="5"/>
  <c r="B541" i="5"/>
  <c r="R541" i="5"/>
  <c r="Q541" i="5" s="1"/>
  <c r="A542" i="5"/>
  <c r="U539" i="5"/>
  <c r="F540" i="5"/>
  <c r="K541" i="5"/>
  <c r="L541" i="5"/>
  <c r="J541" i="5"/>
  <c r="O541" i="5"/>
  <c r="H541" i="5"/>
  <c r="N541" i="5"/>
  <c r="M541" i="5"/>
  <c r="G541" i="5"/>
  <c r="D541" i="5"/>
  <c r="E541" i="5"/>
  <c r="C541" i="5"/>
  <c r="I541" i="5"/>
  <c r="T541" i="5" l="1"/>
  <c r="P541" i="5"/>
  <c r="S542" i="5"/>
  <c r="B542" i="5"/>
  <c r="A543" i="5"/>
  <c r="R542" i="5"/>
  <c r="Q542" i="5" s="1"/>
  <c r="U540" i="5"/>
  <c r="F541" i="5"/>
  <c r="D542" i="5"/>
  <c r="C542" i="5"/>
  <c r="H542" i="5"/>
  <c r="M542" i="5"/>
  <c r="J542" i="5"/>
  <c r="E542" i="5"/>
  <c r="L542" i="5"/>
  <c r="N542" i="5"/>
  <c r="K542" i="5"/>
  <c r="G542" i="5"/>
  <c r="O542" i="5"/>
  <c r="I542" i="5"/>
  <c r="T542" i="5" l="1"/>
  <c r="P542" i="5"/>
  <c r="S543" i="5"/>
  <c r="B543" i="5"/>
  <c r="R543" i="5"/>
  <c r="Q543" i="5" s="1"/>
  <c r="A544" i="5"/>
  <c r="U541" i="5"/>
  <c r="F542" i="5"/>
  <c r="J543" i="5"/>
  <c r="G543" i="5"/>
  <c r="C543" i="5"/>
  <c r="I543" i="5"/>
  <c r="L543" i="5"/>
  <c r="K543" i="5"/>
  <c r="M543" i="5"/>
  <c r="D543" i="5"/>
  <c r="E543" i="5"/>
  <c r="H543" i="5"/>
  <c r="N543" i="5"/>
  <c r="O543" i="5"/>
  <c r="T543" i="5" l="1"/>
  <c r="P543" i="5"/>
  <c r="S544" i="5"/>
  <c r="B544" i="5"/>
  <c r="A545" i="5"/>
  <c r="R544" i="5"/>
  <c r="Q544" i="5" s="1"/>
  <c r="U542" i="5"/>
  <c r="F543" i="5"/>
  <c r="N544" i="5"/>
  <c r="E544" i="5"/>
  <c r="D544" i="5"/>
  <c r="I544" i="5"/>
  <c r="O544" i="5"/>
  <c r="K544" i="5"/>
  <c r="J544" i="5"/>
  <c r="L544" i="5"/>
  <c r="H544" i="5"/>
  <c r="M544" i="5"/>
  <c r="C544" i="5"/>
  <c r="G544" i="5"/>
  <c r="T544" i="5" l="1"/>
  <c r="P544" i="5"/>
  <c r="S545" i="5"/>
  <c r="B545" i="5"/>
  <c r="R545" i="5"/>
  <c r="Q545" i="5" s="1"/>
  <c r="A546" i="5"/>
  <c r="U543" i="5"/>
  <c r="F544" i="5"/>
  <c r="N545" i="5"/>
  <c r="J545" i="5"/>
  <c r="O545" i="5"/>
  <c r="L545" i="5"/>
  <c r="E545" i="5"/>
  <c r="C545" i="5"/>
  <c r="G545" i="5"/>
  <c r="H545" i="5"/>
  <c r="D545" i="5"/>
  <c r="I545" i="5"/>
  <c r="M545" i="5"/>
  <c r="K545" i="5"/>
  <c r="T545" i="5" l="1"/>
  <c r="P545" i="5"/>
  <c r="S546" i="5"/>
  <c r="B546" i="5"/>
  <c r="A547" i="5"/>
  <c r="R546" i="5"/>
  <c r="Q546" i="5" s="1"/>
  <c r="U544" i="5"/>
  <c r="F545" i="5"/>
  <c r="N546" i="5"/>
  <c r="H546" i="5"/>
  <c r="G546" i="5"/>
  <c r="K546" i="5"/>
  <c r="D546" i="5"/>
  <c r="M546" i="5"/>
  <c r="J546" i="5"/>
  <c r="O546" i="5"/>
  <c r="I546" i="5"/>
  <c r="E546" i="5"/>
  <c r="L546" i="5"/>
  <c r="C546" i="5"/>
  <c r="T546" i="5" l="1"/>
  <c r="P546" i="5"/>
  <c r="S547" i="5"/>
  <c r="B547" i="5"/>
  <c r="R547" i="5"/>
  <c r="Q547" i="5" s="1"/>
  <c r="A548" i="5"/>
  <c r="U545" i="5"/>
  <c r="F546" i="5"/>
  <c r="J547" i="5"/>
  <c r="O547" i="5"/>
  <c r="E547" i="5"/>
  <c r="K547" i="5"/>
  <c r="C547" i="5"/>
  <c r="H547" i="5"/>
  <c r="M547" i="5"/>
  <c r="N547" i="5"/>
  <c r="D547" i="5"/>
  <c r="L547" i="5"/>
  <c r="I547" i="5"/>
  <c r="G547" i="5"/>
  <c r="P547" i="5" l="1"/>
  <c r="T547" i="5"/>
  <c r="S548" i="5"/>
  <c r="B548" i="5"/>
  <c r="A549" i="5"/>
  <c r="R548" i="5"/>
  <c r="Q548" i="5" s="1"/>
  <c r="U546" i="5"/>
  <c r="F547" i="5"/>
  <c r="O548" i="5"/>
  <c r="H548" i="5"/>
  <c r="D548" i="5"/>
  <c r="G548" i="5"/>
  <c r="C548" i="5"/>
  <c r="I548" i="5"/>
  <c r="L548" i="5"/>
  <c r="K548" i="5"/>
  <c r="M548" i="5"/>
  <c r="J548" i="5"/>
  <c r="N548" i="5"/>
  <c r="E548" i="5"/>
  <c r="T548" i="5" l="1"/>
  <c r="P548" i="5"/>
  <c r="S549" i="5"/>
  <c r="B549" i="5"/>
  <c r="R549" i="5"/>
  <c r="Q549" i="5" s="1"/>
  <c r="A550" i="5"/>
  <c r="U547" i="5"/>
  <c r="F548" i="5"/>
  <c r="M549" i="5"/>
  <c r="J549" i="5"/>
  <c r="H549" i="5"/>
  <c r="O549" i="5"/>
  <c r="C549" i="5"/>
  <c r="G549" i="5"/>
  <c r="L549" i="5"/>
  <c r="E549" i="5"/>
  <c r="N549" i="5"/>
  <c r="D549" i="5"/>
  <c r="I549" i="5"/>
  <c r="K549" i="5"/>
  <c r="T549" i="5" l="1"/>
  <c r="P549" i="5"/>
  <c r="S550" i="5"/>
  <c r="R550" i="5"/>
  <c r="Q550" i="5" s="1"/>
  <c r="B550" i="5"/>
  <c r="A551" i="5"/>
  <c r="U548" i="5"/>
  <c r="F549" i="5"/>
  <c r="D550" i="5"/>
  <c r="N550" i="5"/>
  <c r="O550" i="5"/>
  <c r="J550" i="5"/>
  <c r="G550" i="5"/>
  <c r="K550" i="5"/>
  <c r="H550" i="5"/>
  <c r="L550" i="5"/>
  <c r="I550" i="5"/>
  <c r="C550" i="5"/>
  <c r="E550" i="5"/>
  <c r="M550" i="5"/>
  <c r="T550" i="5" l="1"/>
  <c r="P550" i="5"/>
  <c r="S551" i="5"/>
  <c r="B551" i="5"/>
  <c r="R551" i="5"/>
  <c r="Q551" i="5" s="1"/>
  <c r="A552" i="5"/>
  <c r="U549" i="5"/>
  <c r="F550" i="5"/>
  <c r="D551" i="5"/>
  <c r="I551" i="5"/>
  <c r="G551" i="5"/>
  <c r="H551" i="5"/>
  <c r="L551" i="5"/>
  <c r="M551" i="5"/>
  <c r="O551" i="5"/>
  <c r="N551" i="5"/>
  <c r="K551" i="5"/>
  <c r="E551" i="5"/>
  <c r="J551" i="5"/>
  <c r="C551" i="5"/>
  <c r="T551" i="5" l="1"/>
  <c r="P551" i="5"/>
  <c r="S552" i="5"/>
  <c r="R552" i="5"/>
  <c r="Q552" i="5" s="1"/>
  <c r="B552" i="5"/>
  <c r="A553" i="5"/>
  <c r="U550" i="5"/>
  <c r="F551" i="5"/>
  <c r="D552" i="5"/>
  <c r="K552" i="5"/>
  <c r="G552" i="5"/>
  <c r="H552" i="5"/>
  <c r="I552" i="5"/>
  <c r="O552" i="5"/>
  <c r="E552" i="5"/>
  <c r="C552" i="5"/>
  <c r="M552" i="5"/>
  <c r="J552" i="5"/>
  <c r="L552" i="5"/>
  <c r="N552" i="5"/>
  <c r="T552" i="5" l="1"/>
  <c r="P552" i="5"/>
  <c r="U552" i="5" s="1"/>
  <c r="S553" i="5"/>
  <c r="B553" i="5"/>
  <c r="R553" i="5"/>
  <c r="Q553" i="5" s="1"/>
  <c r="A554" i="5"/>
  <c r="U551" i="5"/>
  <c r="D553" i="5"/>
  <c r="O553" i="5"/>
  <c r="L553" i="5"/>
  <c r="G553" i="5"/>
  <c r="I553" i="5"/>
  <c r="H553" i="5"/>
  <c r="J553" i="5"/>
  <c r="E553" i="5"/>
  <c r="K553" i="5"/>
  <c r="C553" i="5"/>
  <c r="N553" i="5"/>
  <c r="M553" i="5"/>
  <c r="F552" i="5"/>
  <c r="T553" i="5" l="1"/>
  <c r="P553" i="5"/>
  <c r="S554" i="5"/>
  <c r="B554" i="5"/>
  <c r="A555" i="5"/>
  <c r="R554" i="5"/>
  <c r="Q554" i="5" s="1"/>
  <c r="F553" i="5"/>
  <c r="J554" i="5"/>
  <c r="O554" i="5"/>
  <c r="H554" i="5"/>
  <c r="G554" i="5"/>
  <c r="I554" i="5"/>
  <c r="D554" i="5"/>
  <c r="M554" i="5"/>
  <c r="N554" i="5"/>
  <c r="L554" i="5"/>
  <c r="E554" i="5"/>
  <c r="C554" i="5"/>
  <c r="K554" i="5"/>
  <c r="T554" i="5" l="1"/>
  <c r="P554" i="5"/>
  <c r="S555" i="5"/>
  <c r="B555" i="5"/>
  <c r="A556" i="5"/>
  <c r="R555" i="5"/>
  <c r="Q555" i="5" s="1"/>
  <c r="U553" i="5"/>
  <c r="F554" i="5"/>
  <c r="H555" i="5"/>
  <c r="D555" i="5"/>
  <c r="E555" i="5"/>
  <c r="J555" i="5"/>
  <c r="O555" i="5"/>
  <c r="C555" i="5"/>
  <c r="N555" i="5"/>
  <c r="I555" i="5"/>
  <c r="K555" i="5"/>
  <c r="G555" i="5"/>
  <c r="L555" i="5"/>
  <c r="M555" i="5"/>
  <c r="T555" i="5" l="1"/>
  <c r="P555" i="5"/>
  <c r="S556" i="5"/>
  <c r="B556" i="5"/>
  <c r="A557" i="5"/>
  <c r="R556" i="5"/>
  <c r="Q556" i="5" s="1"/>
  <c r="U554" i="5"/>
  <c r="F555" i="5"/>
  <c r="D556" i="5"/>
  <c r="K556" i="5"/>
  <c r="C556" i="5"/>
  <c r="G556" i="5"/>
  <c r="N556" i="5"/>
  <c r="O556" i="5"/>
  <c r="I556" i="5"/>
  <c r="H556" i="5"/>
  <c r="E556" i="5"/>
  <c r="M556" i="5"/>
  <c r="L556" i="5"/>
  <c r="J556" i="5"/>
  <c r="T556" i="5" l="1"/>
  <c r="P556" i="5"/>
  <c r="S557" i="5"/>
  <c r="B557" i="5"/>
  <c r="R557" i="5"/>
  <c r="Q557" i="5" s="1"/>
  <c r="A558" i="5"/>
  <c r="U555" i="5"/>
  <c r="F556" i="5"/>
  <c r="N557" i="5"/>
  <c r="K557" i="5"/>
  <c r="L557" i="5"/>
  <c r="M557" i="5"/>
  <c r="C557" i="5"/>
  <c r="I557" i="5"/>
  <c r="D557" i="5"/>
  <c r="E557" i="5"/>
  <c r="O557" i="5"/>
  <c r="G557" i="5"/>
  <c r="J557" i="5"/>
  <c r="H557" i="5"/>
  <c r="T557" i="5" l="1"/>
  <c r="P557" i="5"/>
  <c r="S558" i="5"/>
  <c r="R558" i="5"/>
  <c r="Q558" i="5" s="1"/>
  <c r="A559" i="5"/>
  <c r="B558" i="5"/>
  <c r="U556" i="5"/>
  <c r="F557" i="5"/>
  <c r="L558" i="5"/>
  <c r="M558" i="5"/>
  <c r="I558" i="5"/>
  <c r="D558" i="5"/>
  <c r="N558" i="5"/>
  <c r="K558" i="5"/>
  <c r="C558" i="5"/>
  <c r="O558" i="5"/>
  <c r="E558" i="5"/>
  <c r="H558" i="5"/>
  <c r="G558" i="5"/>
  <c r="J558" i="5"/>
  <c r="T558" i="5" l="1"/>
  <c r="P558" i="5"/>
  <c r="S559" i="5"/>
  <c r="R559" i="5"/>
  <c r="Q559" i="5" s="1"/>
  <c r="B559" i="5"/>
  <c r="A560" i="5"/>
  <c r="U557" i="5"/>
  <c r="F558" i="5"/>
  <c r="M559" i="5"/>
  <c r="N559" i="5"/>
  <c r="G559" i="5"/>
  <c r="H559" i="5"/>
  <c r="L559" i="5"/>
  <c r="O559" i="5"/>
  <c r="D559" i="5"/>
  <c r="I559" i="5"/>
  <c r="K559" i="5"/>
  <c r="J559" i="5"/>
  <c r="C559" i="5"/>
  <c r="E559" i="5"/>
  <c r="T559" i="5" l="1"/>
  <c r="P559" i="5"/>
  <c r="S560" i="5"/>
  <c r="R560" i="5"/>
  <c r="Q560" i="5" s="1"/>
  <c r="B560" i="5"/>
  <c r="A561" i="5"/>
  <c r="U558" i="5"/>
  <c r="F559" i="5"/>
  <c r="K560" i="5"/>
  <c r="L560" i="5"/>
  <c r="I560" i="5"/>
  <c r="G560" i="5"/>
  <c r="H560" i="5"/>
  <c r="D560" i="5"/>
  <c r="E560" i="5"/>
  <c r="M560" i="5"/>
  <c r="O560" i="5"/>
  <c r="J560" i="5"/>
  <c r="N560" i="5"/>
  <c r="C560" i="5"/>
  <c r="T560" i="5" l="1"/>
  <c r="P560" i="5"/>
  <c r="S561" i="5"/>
  <c r="R561" i="5"/>
  <c r="Q561" i="5" s="1"/>
  <c r="B561" i="5"/>
  <c r="A562" i="5"/>
  <c r="U559" i="5"/>
  <c r="F560" i="5"/>
  <c r="O561" i="5"/>
  <c r="N561" i="5"/>
  <c r="I561" i="5"/>
  <c r="G561" i="5"/>
  <c r="D561" i="5"/>
  <c r="E561" i="5"/>
  <c r="C561" i="5"/>
  <c r="L561" i="5"/>
  <c r="M561" i="5"/>
  <c r="J561" i="5"/>
  <c r="K561" i="5"/>
  <c r="H561" i="5"/>
  <c r="T561" i="5" l="1"/>
  <c r="P561" i="5"/>
  <c r="S562" i="5"/>
  <c r="R562" i="5"/>
  <c r="Q562" i="5" s="1"/>
  <c r="B562" i="5"/>
  <c r="A563" i="5"/>
  <c r="U560" i="5"/>
  <c r="F561" i="5"/>
  <c r="E562" i="5"/>
  <c r="C562" i="5"/>
  <c r="I562" i="5"/>
  <c r="M562" i="5"/>
  <c r="H562" i="5"/>
  <c r="N562" i="5"/>
  <c r="O562" i="5"/>
  <c r="D562" i="5"/>
  <c r="J562" i="5"/>
  <c r="L562" i="5"/>
  <c r="G562" i="5"/>
  <c r="K562" i="5"/>
  <c r="T562" i="5" l="1"/>
  <c r="P562" i="5"/>
  <c r="S563" i="5"/>
  <c r="B563" i="5"/>
  <c r="A564" i="5"/>
  <c r="R563" i="5"/>
  <c r="Q563" i="5" s="1"/>
  <c r="U561" i="5"/>
  <c r="F562" i="5"/>
  <c r="I563" i="5"/>
  <c r="K563" i="5"/>
  <c r="M563" i="5"/>
  <c r="D563" i="5"/>
  <c r="H563" i="5"/>
  <c r="G563" i="5"/>
  <c r="C563" i="5"/>
  <c r="E563" i="5"/>
  <c r="L563" i="5"/>
  <c r="J563" i="5"/>
  <c r="N563" i="5"/>
  <c r="O563" i="5"/>
  <c r="T563" i="5" l="1"/>
  <c r="P563" i="5"/>
  <c r="S564" i="5"/>
  <c r="R564" i="5"/>
  <c r="Q564" i="5" s="1"/>
  <c r="B564" i="5"/>
  <c r="A565" i="5"/>
  <c r="U562" i="5"/>
  <c r="F563" i="5"/>
  <c r="C564" i="5"/>
  <c r="G564" i="5"/>
  <c r="N564" i="5"/>
  <c r="E564" i="5"/>
  <c r="H564" i="5"/>
  <c r="D564" i="5"/>
  <c r="I564" i="5"/>
  <c r="O564" i="5"/>
  <c r="K564" i="5"/>
  <c r="J564" i="5"/>
  <c r="M564" i="5"/>
  <c r="L564" i="5"/>
  <c r="T564" i="5" l="1"/>
  <c r="P564" i="5"/>
  <c r="S565" i="5"/>
  <c r="A566" i="5"/>
  <c r="R565" i="5"/>
  <c r="Q565" i="5" s="1"/>
  <c r="B565" i="5"/>
  <c r="U563" i="5"/>
  <c r="F564" i="5"/>
  <c r="J565" i="5"/>
  <c r="D565" i="5"/>
  <c r="L565" i="5"/>
  <c r="M565" i="5"/>
  <c r="G565" i="5"/>
  <c r="I565" i="5"/>
  <c r="E565" i="5"/>
  <c r="H565" i="5"/>
  <c r="C565" i="5"/>
  <c r="O565" i="5"/>
  <c r="N565" i="5"/>
  <c r="K565" i="5"/>
  <c r="P565" i="5" l="1"/>
  <c r="T565" i="5"/>
  <c r="S566" i="5"/>
  <c r="R566" i="5"/>
  <c r="Q566" i="5" s="1"/>
  <c r="B566" i="5"/>
  <c r="A567" i="5"/>
  <c r="U564" i="5"/>
  <c r="F565" i="5"/>
  <c r="H566" i="5"/>
  <c r="D566" i="5"/>
  <c r="K566" i="5"/>
  <c r="C566" i="5"/>
  <c r="G566" i="5"/>
  <c r="O566" i="5"/>
  <c r="I566" i="5"/>
  <c r="M566" i="5"/>
  <c r="J566" i="5"/>
  <c r="L566" i="5"/>
  <c r="E566" i="5"/>
  <c r="N566" i="5"/>
  <c r="T566" i="5" l="1"/>
  <c r="P566" i="5"/>
  <c r="S567" i="5"/>
  <c r="B567" i="5"/>
  <c r="A568" i="5"/>
  <c r="R567" i="5"/>
  <c r="Q567" i="5" s="1"/>
  <c r="U565" i="5"/>
  <c r="F566" i="5"/>
  <c r="I567" i="5"/>
  <c r="L567" i="5"/>
  <c r="M567" i="5"/>
  <c r="O567" i="5"/>
  <c r="D567" i="5"/>
  <c r="K567" i="5"/>
  <c r="N567" i="5"/>
  <c r="E567" i="5"/>
  <c r="C567" i="5"/>
  <c r="G567" i="5"/>
  <c r="J567" i="5"/>
  <c r="H567" i="5"/>
  <c r="T567" i="5" l="1"/>
  <c r="P567" i="5"/>
  <c r="S568" i="5"/>
  <c r="R568" i="5"/>
  <c r="Q568" i="5" s="1"/>
  <c r="B568" i="5"/>
  <c r="A569" i="5"/>
  <c r="U566" i="5"/>
  <c r="F567" i="5"/>
  <c r="G568" i="5"/>
  <c r="K568" i="5"/>
  <c r="J568" i="5"/>
  <c r="H568" i="5"/>
  <c r="I568" i="5"/>
  <c r="D568" i="5"/>
  <c r="N568" i="5"/>
  <c r="C568" i="5"/>
  <c r="M568" i="5"/>
  <c r="E568" i="5"/>
  <c r="L568" i="5"/>
  <c r="O568" i="5"/>
  <c r="T568" i="5" l="1"/>
  <c r="P568" i="5"/>
  <c r="S569" i="5"/>
  <c r="A570" i="5"/>
  <c r="R569" i="5"/>
  <c r="Q569" i="5" s="1"/>
  <c r="B569" i="5"/>
  <c r="U567" i="5"/>
  <c r="F568" i="5"/>
  <c r="I569" i="5"/>
  <c r="H569" i="5"/>
  <c r="D569" i="5"/>
  <c r="L569" i="5"/>
  <c r="G569" i="5"/>
  <c r="J569" i="5"/>
  <c r="E569" i="5"/>
  <c r="M569" i="5"/>
  <c r="C569" i="5"/>
  <c r="K569" i="5"/>
  <c r="N569" i="5"/>
  <c r="O569" i="5"/>
  <c r="T569" i="5" l="1"/>
  <c r="P569" i="5"/>
  <c r="S570" i="5"/>
  <c r="R570" i="5"/>
  <c r="Q570" i="5" s="1"/>
  <c r="B570" i="5"/>
  <c r="A571" i="5"/>
  <c r="U568" i="5"/>
  <c r="F569" i="5"/>
  <c r="E570" i="5"/>
  <c r="C570" i="5"/>
  <c r="I570" i="5"/>
  <c r="K570" i="5"/>
  <c r="J570" i="5"/>
  <c r="N570" i="5"/>
  <c r="G570" i="5"/>
  <c r="D570" i="5"/>
  <c r="M570" i="5"/>
  <c r="O570" i="5"/>
  <c r="L570" i="5"/>
  <c r="H570" i="5"/>
  <c r="T570" i="5" l="1"/>
  <c r="P570" i="5"/>
  <c r="S571" i="5"/>
  <c r="B571" i="5"/>
  <c r="A572" i="5"/>
  <c r="R571" i="5"/>
  <c r="Q571" i="5" s="1"/>
  <c r="U569" i="5"/>
  <c r="F570" i="5"/>
  <c r="O571" i="5"/>
  <c r="C571" i="5"/>
  <c r="J571" i="5"/>
  <c r="E571" i="5"/>
  <c r="M571" i="5"/>
  <c r="N571" i="5"/>
  <c r="I571" i="5"/>
  <c r="D571" i="5"/>
  <c r="G571" i="5"/>
  <c r="K571" i="5"/>
  <c r="H571" i="5"/>
  <c r="L571" i="5"/>
  <c r="T571" i="5" l="1"/>
  <c r="P571" i="5"/>
  <c r="S572" i="5"/>
  <c r="A573" i="5"/>
  <c r="R572" i="5"/>
  <c r="Q572" i="5" s="1"/>
  <c r="B572" i="5"/>
  <c r="U570" i="5"/>
  <c r="F571" i="5"/>
  <c r="E572" i="5"/>
  <c r="G572" i="5"/>
  <c r="J572" i="5"/>
  <c r="L572" i="5"/>
  <c r="M572" i="5"/>
  <c r="O572" i="5"/>
  <c r="D572" i="5"/>
  <c r="N572" i="5"/>
  <c r="H572" i="5"/>
  <c r="K572" i="5"/>
  <c r="I572" i="5"/>
  <c r="C572" i="5"/>
  <c r="T572" i="5" l="1"/>
  <c r="P572" i="5"/>
  <c r="S573" i="5"/>
  <c r="A574" i="5"/>
  <c r="R573" i="5"/>
  <c r="Q573" i="5" s="1"/>
  <c r="B573" i="5"/>
  <c r="U571" i="5"/>
  <c r="F572" i="5"/>
  <c r="J573" i="5"/>
  <c r="C573" i="5"/>
  <c r="L573" i="5"/>
  <c r="D573" i="5"/>
  <c r="N573" i="5"/>
  <c r="M573" i="5"/>
  <c r="E573" i="5"/>
  <c r="H573" i="5"/>
  <c r="I573" i="5"/>
  <c r="K573" i="5"/>
  <c r="O573" i="5"/>
  <c r="G573" i="5"/>
  <c r="T573" i="5" l="1"/>
  <c r="P573" i="5"/>
  <c r="S574" i="5"/>
  <c r="A575" i="5"/>
  <c r="R574" i="5"/>
  <c r="Q574" i="5" s="1"/>
  <c r="B574" i="5"/>
  <c r="U572" i="5"/>
  <c r="F573" i="5"/>
  <c r="M574" i="5"/>
  <c r="J574" i="5"/>
  <c r="E574" i="5"/>
  <c r="K574" i="5"/>
  <c r="D574" i="5"/>
  <c r="N574" i="5"/>
  <c r="G574" i="5"/>
  <c r="L574" i="5"/>
  <c r="C574" i="5"/>
  <c r="I574" i="5"/>
  <c r="O574" i="5"/>
  <c r="H574" i="5"/>
  <c r="P574" i="5" l="1"/>
  <c r="T574" i="5"/>
  <c r="S575" i="5"/>
  <c r="B575" i="5"/>
  <c r="A576" i="5"/>
  <c r="R575" i="5"/>
  <c r="Q575" i="5" s="1"/>
  <c r="U573" i="5"/>
  <c r="F574" i="5"/>
  <c r="N575" i="5"/>
  <c r="C575" i="5"/>
  <c r="L575" i="5"/>
  <c r="E575" i="5"/>
  <c r="M575" i="5"/>
  <c r="I575" i="5"/>
  <c r="J575" i="5"/>
  <c r="D575" i="5"/>
  <c r="H575" i="5"/>
  <c r="G575" i="5"/>
  <c r="K575" i="5"/>
  <c r="O575" i="5"/>
  <c r="T575" i="5" l="1"/>
  <c r="P575" i="5"/>
  <c r="S576" i="5"/>
  <c r="A577" i="5"/>
  <c r="R576" i="5"/>
  <c r="Q576" i="5" s="1"/>
  <c r="B576" i="5"/>
  <c r="U574" i="5"/>
  <c r="F575" i="5"/>
  <c r="N576" i="5"/>
  <c r="I576" i="5"/>
  <c r="G576" i="5"/>
  <c r="M576" i="5"/>
  <c r="H576" i="5"/>
  <c r="D576" i="5"/>
  <c r="C576" i="5"/>
  <c r="J576" i="5"/>
  <c r="E576" i="5"/>
  <c r="O576" i="5"/>
  <c r="L576" i="5"/>
  <c r="K576" i="5"/>
  <c r="T576" i="5" l="1"/>
  <c r="P576" i="5"/>
  <c r="S577" i="5"/>
  <c r="A578" i="5"/>
  <c r="R577" i="5"/>
  <c r="Q577" i="5" s="1"/>
  <c r="B577" i="5"/>
  <c r="U575" i="5"/>
  <c r="F576" i="5"/>
  <c r="I577" i="5"/>
  <c r="M577" i="5"/>
  <c r="D577" i="5"/>
  <c r="G577" i="5"/>
  <c r="J577" i="5"/>
  <c r="E577" i="5"/>
  <c r="C577" i="5"/>
  <c r="L577" i="5"/>
  <c r="K577" i="5"/>
  <c r="H577" i="5"/>
  <c r="O577" i="5"/>
  <c r="N577" i="5"/>
  <c r="T577" i="5" l="1"/>
  <c r="P577" i="5"/>
  <c r="S578" i="5"/>
  <c r="A579" i="5"/>
  <c r="R578" i="5"/>
  <c r="Q578" i="5" s="1"/>
  <c r="B578" i="5"/>
  <c r="U576" i="5"/>
  <c r="F577" i="5"/>
  <c r="H578" i="5"/>
  <c r="O578" i="5"/>
  <c r="E578" i="5"/>
  <c r="M578" i="5"/>
  <c r="G578" i="5"/>
  <c r="C578" i="5"/>
  <c r="N578" i="5"/>
  <c r="J578" i="5"/>
  <c r="K578" i="5"/>
  <c r="I578" i="5"/>
  <c r="L578" i="5"/>
  <c r="D578" i="5"/>
  <c r="T578" i="5" l="1"/>
  <c r="P578" i="5"/>
  <c r="S579" i="5"/>
  <c r="R579" i="5"/>
  <c r="Q579" i="5" s="1"/>
  <c r="B579" i="5"/>
  <c r="A580" i="5"/>
  <c r="U577" i="5"/>
  <c r="F578" i="5"/>
  <c r="I579" i="5"/>
  <c r="E579" i="5"/>
  <c r="N579" i="5"/>
  <c r="C579" i="5"/>
  <c r="K579" i="5"/>
  <c r="O579" i="5"/>
  <c r="J579" i="5"/>
  <c r="H579" i="5"/>
  <c r="M579" i="5"/>
  <c r="D579" i="5"/>
  <c r="L579" i="5"/>
  <c r="G579" i="5"/>
  <c r="T579" i="5" l="1"/>
  <c r="P579" i="5"/>
  <c r="S580" i="5"/>
  <c r="A581" i="5"/>
  <c r="R580" i="5"/>
  <c r="Q580" i="5" s="1"/>
  <c r="B580" i="5"/>
  <c r="U578" i="5"/>
  <c r="F579" i="5"/>
  <c r="E580" i="5"/>
  <c r="C580" i="5"/>
  <c r="H580" i="5"/>
  <c r="O580" i="5"/>
  <c r="K580" i="5"/>
  <c r="D580" i="5"/>
  <c r="G580" i="5"/>
  <c r="M580" i="5"/>
  <c r="L580" i="5"/>
  <c r="I580" i="5"/>
  <c r="N580" i="5"/>
  <c r="J580" i="5"/>
  <c r="T580" i="5" l="1"/>
  <c r="P580" i="5"/>
  <c r="S581" i="5"/>
  <c r="A582" i="5"/>
  <c r="B581" i="5"/>
  <c r="R581" i="5"/>
  <c r="Q581" i="5" s="1"/>
  <c r="U579" i="5"/>
  <c r="F580" i="5"/>
  <c r="K581" i="5"/>
  <c r="N581" i="5"/>
  <c r="M581" i="5"/>
  <c r="D581" i="5"/>
  <c r="I581" i="5"/>
  <c r="H581" i="5"/>
  <c r="J581" i="5"/>
  <c r="G581" i="5"/>
  <c r="E581" i="5"/>
  <c r="L581" i="5"/>
  <c r="C581" i="5"/>
  <c r="O581" i="5"/>
  <c r="T581" i="5" l="1"/>
  <c r="P581" i="5"/>
  <c r="S582" i="5"/>
  <c r="R582" i="5"/>
  <c r="Q582" i="5" s="1"/>
  <c r="B582" i="5"/>
  <c r="A583" i="5"/>
  <c r="U580" i="5"/>
  <c r="F581" i="5"/>
  <c r="L582" i="5"/>
  <c r="C582" i="5"/>
  <c r="K582" i="5"/>
  <c r="M582" i="5"/>
  <c r="N582" i="5"/>
  <c r="J582" i="5"/>
  <c r="G582" i="5"/>
  <c r="O582" i="5"/>
  <c r="D582" i="5"/>
  <c r="I582" i="5"/>
  <c r="E582" i="5"/>
  <c r="H582" i="5"/>
  <c r="T582" i="5" l="1"/>
  <c r="P582" i="5"/>
  <c r="S583" i="5"/>
  <c r="B583" i="5"/>
  <c r="A584" i="5"/>
  <c r="R583" i="5"/>
  <c r="Q583" i="5" s="1"/>
  <c r="U581" i="5"/>
  <c r="F582" i="5"/>
  <c r="K583" i="5"/>
  <c r="H583" i="5"/>
  <c r="O583" i="5"/>
  <c r="C583" i="5"/>
  <c r="L583" i="5"/>
  <c r="G583" i="5"/>
  <c r="E583" i="5"/>
  <c r="D583" i="5"/>
  <c r="I583" i="5"/>
  <c r="N583" i="5"/>
  <c r="M583" i="5"/>
  <c r="J583" i="5"/>
  <c r="T583" i="5" l="1"/>
  <c r="P583" i="5"/>
  <c r="S584" i="5"/>
  <c r="R584" i="5"/>
  <c r="Q584" i="5" s="1"/>
  <c r="B584" i="5"/>
  <c r="A585" i="5"/>
  <c r="U582" i="5"/>
  <c r="F583" i="5"/>
  <c r="O584" i="5"/>
  <c r="C584" i="5"/>
  <c r="I584" i="5"/>
  <c r="D584" i="5"/>
  <c r="H584" i="5"/>
  <c r="M584" i="5"/>
  <c r="K584" i="5"/>
  <c r="G584" i="5"/>
  <c r="N584" i="5"/>
  <c r="E584" i="5"/>
  <c r="L584" i="5"/>
  <c r="J584" i="5"/>
  <c r="T584" i="5" l="1"/>
  <c r="P584" i="5"/>
  <c r="S585" i="5"/>
  <c r="A586" i="5"/>
  <c r="B585" i="5"/>
  <c r="R585" i="5"/>
  <c r="Q585" i="5" s="1"/>
  <c r="U583" i="5"/>
  <c r="F584" i="5"/>
  <c r="N585" i="5"/>
  <c r="K585" i="5"/>
  <c r="H585" i="5"/>
  <c r="J585" i="5"/>
  <c r="I585" i="5"/>
  <c r="E585" i="5"/>
  <c r="M585" i="5"/>
  <c r="G585" i="5"/>
  <c r="L585" i="5"/>
  <c r="O585" i="5"/>
  <c r="C585" i="5"/>
  <c r="D585" i="5"/>
  <c r="T585" i="5" l="1"/>
  <c r="P585" i="5"/>
  <c r="S586" i="5"/>
  <c r="R586" i="5"/>
  <c r="Q586" i="5" s="1"/>
  <c r="B586" i="5"/>
  <c r="A587" i="5"/>
  <c r="U584" i="5"/>
  <c r="F585" i="5"/>
  <c r="M586" i="5"/>
  <c r="D586" i="5"/>
  <c r="O586" i="5"/>
  <c r="L586" i="5"/>
  <c r="H586" i="5"/>
  <c r="J586" i="5"/>
  <c r="C586" i="5"/>
  <c r="I586" i="5"/>
  <c r="N586" i="5"/>
  <c r="K586" i="5"/>
  <c r="E586" i="5"/>
  <c r="G586" i="5"/>
  <c r="T586" i="5" l="1"/>
  <c r="P586" i="5"/>
  <c r="S587" i="5"/>
  <c r="A588" i="5"/>
  <c r="R587" i="5"/>
  <c r="Q587" i="5" s="1"/>
  <c r="B587" i="5"/>
  <c r="U585" i="5"/>
  <c r="F586" i="5"/>
  <c r="M587" i="5"/>
  <c r="N587" i="5"/>
  <c r="D587" i="5"/>
  <c r="K587" i="5"/>
  <c r="E587" i="5"/>
  <c r="L587" i="5"/>
  <c r="J587" i="5"/>
  <c r="O587" i="5"/>
  <c r="C587" i="5"/>
  <c r="I587" i="5"/>
  <c r="G587" i="5"/>
  <c r="H587" i="5"/>
  <c r="T587" i="5" l="1"/>
  <c r="P587" i="5"/>
  <c r="S588" i="5"/>
  <c r="R588" i="5"/>
  <c r="Q588" i="5" s="1"/>
  <c r="B588" i="5"/>
  <c r="A589" i="5"/>
  <c r="U586" i="5"/>
  <c r="F587" i="5"/>
  <c r="E588" i="5"/>
  <c r="M588" i="5"/>
  <c r="C588" i="5"/>
  <c r="G588" i="5"/>
  <c r="D588" i="5"/>
  <c r="N588" i="5"/>
  <c r="L588" i="5"/>
  <c r="I588" i="5"/>
  <c r="K588" i="5"/>
  <c r="H588" i="5"/>
  <c r="J588" i="5"/>
  <c r="O588" i="5"/>
  <c r="T588" i="5" l="1"/>
  <c r="P588" i="5"/>
  <c r="S589" i="5"/>
  <c r="B589" i="5"/>
  <c r="A590" i="5"/>
  <c r="R589" i="5"/>
  <c r="Q589" i="5" s="1"/>
  <c r="U587" i="5"/>
  <c r="F588" i="5"/>
  <c r="E589" i="5"/>
  <c r="J589" i="5"/>
  <c r="O589" i="5"/>
  <c r="N589" i="5"/>
  <c r="I589" i="5"/>
  <c r="C589" i="5"/>
  <c r="H589" i="5"/>
  <c r="G589" i="5"/>
  <c r="D589" i="5"/>
  <c r="M589" i="5"/>
  <c r="K589" i="5"/>
  <c r="L589" i="5"/>
  <c r="T589" i="5" l="1"/>
  <c r="P589" i="5"/>
  <c r="S590" i="5"/>
  <c r="R590" i="5"/>
  <c r="Q590" i="5" s="1"/>
  <c r="B590" i="5"/>
  <c r="A591" i="5"/>
  <c r="U588" i="5"/>
  <c r="F589" i="5"/>
  <c r="N590" i="5"/>
  <c r="I590" i="5"/>
  <c r="O590" i="5"/>
  <c r="K590" i="5"/>
  <c r="E590" i="5"/>
  <c r="C590" i="5"/>
  <c r="H590" i="5"/>
  <c r="L590" i="5"/>
  <c r="G590" i="5"/>
  <c r="J590" i="5"/>
  <c r="D590" i="5"/>
  <c r="M590" i="5"/>
  <c r="T590" i="5" l="1"/>
  <c r="P590" i="5"/>
  <c r="S591" i="5"/>
  <c r="A592" i="5"/>
  <c r="R591" i="5"/>
  <c r="Q591" i="5" s="1"/>
  <c r="B591" i="5"/>
  <c r="U589" i="5"/>
  <c r="F590" i="5"/>
  <c r="M591" i="5"/>
  <c r="D591" i="5"/>
  <c r="J591" i="5"/>
  <c r="O591" i="5"/>
  <c r="E591" i="5"/>
  <c r="I591" i="5"/>
  <c r="K591" i="5"/>
  <c r="C591" i="5"/>
  <c r="L591" i="5"/>
  <c r="H591" i="5"/>
  <c r="N591" i="5"/>
  <c r="G591" i="5"/>
  <c r="T591" i="5" l="1"/>
  <c r="P591" i="5"/>
  <c r="U591" i="5" s="1"/>
  <c r="S592" i="5"/>
  <c r="R592" i="5"/>
  <c r="Q592" i="5" s="1"/>
  <c r="B592" i="5"/>
  <c r="A593" i="5"/>
  <c r="U590" i="5"/>
  <c r="J592" i="5"/>
  <c r="D592" i="5"/>
  <c r="C592" i="5"/>
  <c r="I592" i="5"/>
  <c r="O592" i="5"/>
  <c r="H592" i="5"/>
  <c r="E592" i="5"/>
  <c r="K592" i="5"/>
  <c r="L592" i="5"/>
  <c r="N592" i="5"/>
  <c r="G592" i="5"/>
  <c r="M592" i="5"/>
  <c r="F591" i="5"/>
  <c r="T592" i="5" l="1"/>
  <c r="P592" i="5"/>
  <c r="S593" i="5"/>
  <c r="B593" i="5"/>
  <c r="R593" i="5"/>
  <c r="Q593" i="5" s="1"/>
  <c r="A594" i="5"/>
  <c r="F592" i="5"/>
  <c r="K593" i="5"/>
  <c r="E593" i="5"/>
  <c r="D593" i="5"/>
  <c r="C593" i="5"/>
  <c r="M593" i="5"/>
  <c r="J593" i="5"/>
  <c r="H593" i="5"/>
  <c r="G593" i="5"/>
  <c r="N593" i="5"/>
  <c r="L593" i="5"/>
  <c r="O593" i="5"/>
  <c r="I593" i="5"/>
  <c r="T593" i="5" l="1"/>
  <c r="P593" i="5"/>
  <c r="S594" i="5"/>
  <c r="A595" i="5"/>
  <c r="R594" i="5"/>
  <c r="Q594" i="5" s="1"/>
  <c r="B594" i="5"/>
  <c r="U592" i="5"/>
  <c r="F593" i="5"/>
  <c r="E594" i="5"/>
  <c r="I594" i="5"/>
  <c r="H594" i="5"/>
  <c r="D594" i="5"/>
  <c r="N594" i="5"/>
  <c r="K594" i="5"/>
  <c r="L594" i="5"/>
  <c r="J594" i="5"/>
  <c r="M594" i="5"/>
  <c r="O594" i="5"/>
  <c r="G594" i="5"/>
  <c r="C594" i="5"/>
  <c r="T594" i="5" l="1"/>
  <c r="P594" i="5"/>
  <c r="S595" i="5"/>
  <c r="A596" i="5"/>
  <c r="R595" i="5"/>
  <c r="Q595" i="5" s="1"/>
  <c r="B595" i="5"/>
  <c r="U593" i="5"/>
  <c r="F594" i="5"/>
  <c r="O595" i="5"/>
  <c r="E595" i="5"/>
  <c r="L595" i="5"/>
  <c r="G595" i="5"/>
  <c r="I595" i="5"/>
  <c r="H595" i="5"/>
  <c r="C595" i="5"/>
  <c r="K595" i="5"/>
  <c r="M595" i="5"/>
  <c r="J595" i="5"/>
  <c r="D595" i="5"/>
  <c r="N595" i="5"/>
  <c r="T595" i="5" l="1"/>
  <c r="P595" i="5"/>
  <c r="S596" i="5"/>
  <c r="B596" i="5"/>
  <c r="R596" i="5"/>
  <c r="Q596" i="5" s="1"/>
  <c r="A597" i="5"/>
  <c r="U594" i="5"/>
  <c r="F595" i="5"/>
  <c r="I596" i="5"/>
  <c r="L596" i="5"/>
  <c r="J596" i="5"/>
  <c r="E596" i="5"/>
  <c r="D596" i="5"/>
  <c r="H596" i="5"/>
  <c r="N596" i="5"/>
  <c r="O596" i="5"/>
  <c r="K596" i="5"/>
  <c r="C596" i="5"/>
  <c r="M596" i="5"/>
  <c r="G596" i="5"/>
  <c r="T596" i="5" l="1"/>
  <c r="P596" i="5"/>
  <c r="S597" i="5"/>
  <c r="A598" i="5"/>
  <c r="R597" i="5"/>
  <c r="Q597" i="5" s="1"/>
  <c r="B597" i="5"/>
  <c r="U595" i="5"/>
  <c r="F596" i="5"/>
  <c r="I597" i="5"/>
  <c r="H597" i="5"/>
  <c r="K597" i="5"/>
  <c r="O597" i="5"/>
  <c r="C597" i="5"/>
  <c r="N597" i="5"/>
  <c r="E597" i="5"/>
  <c r="J597" i="5"/>
  <c r="M597" i="5"/>
  <c r="G597" i="5"/>
  <c r="D597" i="5"/>
  <c r="L597" i="5"/>
  <c r="T597" i="5" l="1"/>
  <c r="P597" i="5"/>
  <c r="S598" i="5"/>
  <c r="A599" i="5"/>
  <c r="R598" i="5"/>
  <c r="Q598" i="5" s="1"/>
  <c r="B598" i="5"/>
  <c r="U596" i="5"/>
  <c r="F597" i="5"/>
  <c r="I598" i="5"/>
  <c r="L598" i="5"/>
  <c r="G598" i="5"/>
  <c r="N598" i="5"/>
  <c r="O598" i="5"/>
  <c r="D598" i="5"/>
  <c r="J598" i="5"/>
  <c r="H598" i="5"/>
  <c r="K598" i="5"/>
  <c r="M598" i="5"/>
  <c r="E598" i="5"/>
  <c r="C598" i="5"/>
  <c r="T598" i="5" l="1"/>
  <c r="P598" i="5"/>
  <c r="S599" i="5"/>
  <c r="B599" i="5"/>
  <c r="R599" i="5"/>
  <c r="Q599" i="5" s="1"/>
  <c r="A600" i="5"/>
  <c r="U597" i="5"/>
  <c r="F598" i="5"/>
  <c r="M599" i="5"/>
  <c r="O599" i="5"/>
  <c r="K599" i="5"/>
  <c r="E599" i="5"/>
  <c r="D599" i="5"/>
  <c r="N599" i="5"/>
  <c r="G599" i="5"/>
  <c r="C599" i="5"/>
  <c r="J599" i="5"/>
  <c r="H599" i="5"/>
  <c r="I599" i="5"/>
  <c r="L599" i="5"/>
  <c r="T599" i="5" l="1"/>
  <c r="P599" i="5"/>
  <c r="S600" i="5"/>
  <c r="A601" i="5"/>
  <c r="R600" i="5"/>
  <c r="Q600" i="5" s="1"/>
  <c r="B600" i="5"/>
  <c r="U598" i="5"/>
  <c r="F599" i="5"/>
  <c r="O600" i="5"/>
  <c r="H600" i="5"/>
  <c r="M600" i="5"/>
  <c r="J600" i="5"/>
  <c r="I600" i="5"/>
  <c r="L600" i="5"/>
  <c r="G600" i="5"/>
  <c r="N600" i="5"/>
  <c r="C600" i="5"/>
  <c r="K600" i="5"/>
  <c r="E600" i="5"/>
  <c r="D600" i="5"/>
  <c r="T600" i="5" l="1"/>
  <c r="P600" i="5"/>
  <c r="S601" i="5"/>
  <c r="B601" i="5"/>
  <c r="A602" i="5"/>
  <c r="R601" i="5"/>
  <c r="Q601" i="5" s="1"/>
  <c r="U599" i="5"/>
  <c r="F600" i="5"/>
  <c r="E601" i="5"/>
  <c r="K601" i="5"/>
  <c r="M601" i="5"/>
  <c r="O601" i="5"/>
  <c r="D601" i="5"/>
  <c r="J601" i="5"/>
  <c r="N601" i="5"/>
  <c r="H601" i="5"/>
  <c r="G601" i="5"/>
  <c r="C601" i="5"/>
  <c r="L601" i="5"/>
  <c r="I601" i="5"/>
  <c r="T601" i="5" l="1"/>
  <c r="P601" i="5"/>
  <c r="S602" i="5"/>
  <c r="A603" i="5"/>
  <c r="R602" i="5"/>
  <c r="Q602" i="5" s="1"/>
  <c r="B602" i="5"/>
  <c r="U600" i="5"/>
  <c r="F601" i="5"/>
  <c r="O602" i="5"/>
  <c r="D602" i="5"/>
  <c r="I602" i="5"/>
  <c r="K602" i="5"/>
  <c r="N602" i="5"/>
  <c r="J602" i="5"/>
  <c r="H602" i="5"/>
  <c r="C602" i="5"/>
  <c r="M602" i="5"/>
  <c r="G602" i="5"/>
  <c r="E602" i="5"/>
  <c r="L602" i="5"/>
  <c r="T602" i="5" l="1"/>
  <c r="P602" i="5"/>
  <c r="S603" i="5"/>
  <c r="A604" i="5"/>
  <c r="R603" i="5"/>
  <c r="Q603" i="5" s="1"/>
  <c r="B603" i="5"/>
  <c r="U601" i="5"/>
  <c r="F602" i="5"/>
  <c r="I603" i="5"/>
  <c r="D603" i="5"/>
  <c r="O603" i="5"/>
  <c r="J603" i="5"/>
  <c r="G603" i="5"/>
  <c r="M603" i="5"/>
  <c r="H603" i="5"/>
  <c r="L603" i="5"/>
  <c r="E603" i="5"/>
  <c r="C603" i="5"/>
  <c r="K603" i="5"/>
  <c r="N603" i="5"/>
  <c r="T603" i="5" l="1"/>
  <c r="P603" i="5"/>
  <c r="S604" i="5"/>
  <c r="A605" i="5"/>
  <c r="R604" i="5"/>
  <c r="Q604" i="5" s="1"/>
  <c r="B604" i="5"/>
  <c r="U602" i="5"/>
  <c r="F603" i="5"/>
  <c r="K604" i="5"/>
  <c r="N604" i="5"/>
  <c r="M604" i="5"/>
  <c r="O604" i="5"/>
  <c r="H604" i="5"/>
  <c r="C604" i="5"/>
  <c r="I604" i="5"/>
  <c r="G604" i="5"/>
  <c r="D604" i="5"/>
  <c r="E604" i="5"/>
  <c r="J604" i="5"/>
  <c r="L604" i="5"/>
  <c r="T604" i="5" l="1"/>
  <c r="P604" i="5"/>
  <c r="S605" i="5"/>
  <c r="B605" i="5"/>
  <c r="A606" i="5"/>
  <c r="R605" i="5"/>
  <c r="Q605" i="5" s="1"/>
  <c r="U603" i="5"/>
  <c r="F604" i="5"/>
  <c r="I605" i="5"/>
  <c r="G605" i="5"/>
  <c r="M605" i="5"/>
  <c r="L605" i="5"/>
  <c r="O605" i="5"/>
  <c r="H605" i="5"/>
  <c r="D605" i="5"/>
  <c r="N605" i="5"/>
  <c r="E605" i="5"/>
  <c r="J605" i="5"/>
  <c r="C605" i="5"/>
  <c r="K605" i="5"/>
  <c r="T605" i="5" l="1"/>
  <c r="P605" i="5"/>
  <c r="S606" i="5"/>
  <c r="A607" i="5"/>
  <c r="R606" i="5"/>
  <c r="Q606" i="5" s="1"/>
  <c r="B606" i="5"/>
  <c r="U604" i="5"/>
  <c r="F605" i="5"/>
  <c r="C606" i="5"/>
  <c r="D606" i="5"/>
  <c r="J606" i="5"/>
  <c r="G606" i="5"/>
  <c r="K606" i="5"/>
  <c r="M606" i="5"/>
  <c r="L606" i="5"/>
  <c r="H606" i="5"/>
  <c r="E606" i="5"/>
  <c r="N606" i="5"/>
  <c r="O606" i="5"/>
  <c r="I606" i="5"/>
  <c r="T606" i="5" l="1"/>
  <c r="P606" i="5"/>
  <c r="S607" i="5"/>
  <c r="B607" i="5"/>
  <c r="R607" i="5"/>
  <c r="Q607" i="5" s="1"/>
  <c r="A608" i="5"/>
  <c r="U605" i="5"/>
  <c r="F606" i="5"/>
  <c r="C607" i="5"/>
  <c r="D607" i="5"/>
  <c r="G607" i="5"/>
  <c r="H607" i="5"/>
  <c r="L607" i="5"/>
  <c r="E607" i="5"/>
  <c r="N607" i="5"/>
  <c r="M607" i="5"/>
  <c r="K607" i="5"/>
  <c r="I607" i="5"/>
  <c r="O607" i="5"/>
  <c r="J607" i="5"/>
  <c r="T607" i="5" l="1"/>
  <c r="P607" i="5"/>
  <c r="S608" i="5"/>
  <c r="B608" i="5"/>
  <c r="A609" i="5"/>
  <c r="R608" i="5"/>
  <c r="Q608" i="5" s="1"/>
  <c r="U606" i="5"/>
  <c r="F607" i="5"/>
  <c r="N608" i="5"/>
  <c r="D608" i="5"/>
  <c r="K608" i="5"/>
  <c r="E608" i="5"/>
  <c r="M608" i="5"/>
  <c r="I608" i="5"/>
  <c r="C608" i="5"/>
  <c r="O608" i="5"/>
  <c r="L608" i="5"/>
  <c r="J608" i="5"/>
  <c r="H608" i="5"/>
  <c r="G608" i="5"/>
  <c r="T608" i="5" l="1"/>
  <c r="P608" i="5"/>
  <c r="S609" i="5"/>
  <c r="B609" i="5"/>
  <c r="A610" i="5"/>
  <c r="R609" i="5"/>
  <c r="Q609" i="5" s="1"/>
  <c r="U607" i="5"/>
  <c r="F608" i="5"/>
  <c r="K609" i="5"/>
  <c r="E609" i="5"/>
  <c r="G609" i="5"/>
  <c r="O609" i="5"/>
  <c r="N609" i="5"/>
  <c r="D609" i="5"/>
  <c r="J609" i="5"/>
  <c r="H609" i="5"/>
  <c r="M609" i="5"/>
  <c r="L609" i="5"/>
  <c r="C609" i="5"/>
  <c r="I609" i="5"/>
  <c r="T609" i="5" l="1"/>
  <c r="P609" i="5"/>
  <c r="S610" i="5"/>
  <c r="R610" i="5"/>
  <c r="Q610" i="5" s="1"/>
  <c r="B610" i="5"/>
  <c r="A611" i="5"/>
  <c r="U608" i="5"/>
  <c r="F609" i="5"/>
  <c r="E610" i="5"/>
  <c r="J610" i="5"/>
  <c r="L610" i="5"/>
  <c r="D610" i="5"/>
  <c r="I610" i="5"/>
  <c r="M610" i="5"/>
  <c r="G610" i="5"/>
  <c r="O610" i="5"/>
  <c r="H610" i="5"/>
  <c r="C610" i="5"/>
  <c r="N610" i="5"/>
  <c r="K610" i="5"/>
  <c r="T610" i="5" l="1"/>
  <c r="P610" i="5"/>
  <c r="S611" i="5"/>
  <c r="A612" i="5"/>
  <c r="R611" i="5"/>
  <c r="Q611" i="5" s="1"/>
  <c r="B611" i="5"/>
  <c r="U609" i="5"/>
  <c r="F610" i="5"/>
  <c r="H611" i="5"/>
  <c r="I611" i="5"/>
  <c r="C611" i="5"/>
  <c r="N611" i="5"/>
  <c r="L611" i="5"/>
  <c r="G611" i="5"/>
  <c r="D611" i="5"/>
  <c r="O611" i="5"/>
  <c r="M611" i="5"/>
  <c r="J611" i="5"/>
  <c r="K611" i="5"/>
  <c r="E611" i="5"/>
  <c r="T611" i="5" l="1"/>
  <c r="P611" i="5"/>
  <c r="S612" i="5"/>
  <c r="B612" i="5"/>
  <c r="A613" i="5"/>
  <c r="R612" i="5"/>
  <c r="Q612" i="5" s="1"/>
  <c r="U610" i="5"/>
  <c r="F611" i="5"/>
  <c r="N612" i="5"/>
  <c r="J612" i="5"/>
  <c r="L612" i="5"/>
  <c r="K612" i="5"/>
  <c r="G612" i="5"/>
  <c r="H612" i="5"/>
  <c r="E612" i="5"/>
  <c r="C612" i="5"/>
  <c r="D612" i="5"/>
  <c r="I612" i="5"/>
  <c r="M612" i="5"/>
  <c r="O612" i="5"/>
  <c r="T612" i="5" l="1"/>
  <c r="P612" i="5"/>
  <c r="S613" i="5"/>
  <c r="B613" i="5"/>
  <c r="A614" i="5"/>
  <c r="R613" i="5"/>
  <c r="Q613" i="5" s="1"/>
  <c r="U611" i="5"/>
  <c r="F612" i="5"/>
  <c r="O613" i="5"/>
  <c r="G613" i="5"/>
  <c r="M613" i="5"/>
  <c r="J613" i="5"/>
  <c r="H613" i="5"/>
  <c r="C613" i="5"/>
  <c r="N613" i="5"/>
  <c r="K613" i="5"/>
  <c r="I613" i="5"/>
  <c r="L613" i="5"/>
  <c r="D613" i="5"/>
  <c r="E613" i="5"/>
  <c r="T613" i="5" l="1"/>
  <c r="P613" i="5"/>
  <c r="S614" i="5"/>
  <c r="R614" i="5"/>
  <c r="Q614" i="5" s="1"/>
  <c r="B614" i="5"/>
  <c r="A615" i="5"/>
  <c r="U612" i="5"/>
  <c r="F613" i="5"/>
  <c r="L614" i="5"/>
  <c r="O614" i="5"/>
  <c r="E614" i="5"/>
  <c r="C614" i="5"/>
  <c r="J614" i="5"/>
  <c r="I614" i="5"/>
  <c r="D614" i="5"/>
  <c r="N614" i="5"/>
  <c r="M614" i="5"/>
  <c r="H614" i="5"/>
  <c r="G614" i="5"/>
  <c r="K614" i="5"/>
  <c r="T614" i="5" l="1"/>
  <c r="P614" i="5"/>
  <c r="S615" i="5"/>
  <c r="A616" i="5"/>
  <c r="R615" i="5"/>
  <c r="Q615" i="5" s="1"/>
  <c r="B615" i="5"/>
  <c r="U613" i="5"/>
  <c r="F614" i="5"/>
  <c r="L615" i="5"/>
  <c r="K615" i="5"/>
  <c r="E615" i="5"/>
  <c r="D615" i="5"/>
  <c r="N615" i="5"/>
  <c r="M615" i="5"/>
  <c r="C615" i="5"/>
  <c r="H615" i="5"/>
  <c r="I615" i="5"/>
  <c r="O615" i="5"/>
  <c r="G615" i="5"/>
  <c r="J615" i="5"/>
  <c r="T615" i="5" l="1"/>
  <c r="P615" i="5"/>
  <c r="S616" i="5"/>
  <c r="A617" i="5"/>
  <c r="B616" i="5"/>
  <c r="R616" i="5"/>
  <c r="Q616" i="5" s="1"/>
  <c r="U614" i="5"/>
  <c r="F615" i="5"/>
  <c r="N616" i="5"/>
  <c r="D616" i="5"/>
  <c r="J616" i="5"/>
  <c r="H616" i="5"/>
  <c r="I616" i="5"/>
  <c r="L616" i="5"/>
  <c r="G616" i="5"/>
  <c r="M616" i="5"/>
  <c r="O616" i="5"/>
  <c r="C616" i="5"/>
  <c r="E616" i="5"/>
  <c r="K616" i="5"/>
  <c r="T616" i="5" l="1"/>
  <c r="P616" i="5"/>
  <c r="S617" i="5"/>
  <c r="B617" i="5"/>
  <c r="A618" i="5"/>
  <c r="R617" i="5"/>
  <c r="Q617" i="5" s="1"/>
  <c r="U615" i="5"/>
  <c r="F616" i="5"/>
  <c r="D617" i="5"/>
  <c r="O617" i="5"/>
  <c r="C617" i="5"/>
  <c r="H617" i="5"/>
  <c r="I617" i="5"/>
  <c r="N617" i="5"/>
  <c r="J617" i="5"/>
  <c r="E617" i="5"/>
  <c r="G617" i="5"/>
  <c r="L617" i="5"/>
  <c r="K617" i="5"/>
  <c r="M617" i="5"/>
  <c r="T617" i="5" l="1"/>
  <c r="P617" i="5"/>
  <c r="S618" i="5"/>
  <c r="A619" i="5"/>
  <c r="R618" i="5"/>
  <c r="Q618" i="5" s="1"/>
  <c r="B618" i="5"/>
  <c r="U616" i="5"/>
  <c r="F617" i="5"/>
  <c r="N618" i="5"/>
  <c r="J618" i="5"/>
  <c r="O618" i="5"/>
  <c r="M618" i="5"/>
  <c r="D618" i="5"/>
  <c r="H618" i="5"/>
  <c r="I618" i="5"/>
  <c r="L618" i="5"/>
  <c r="K618" i="5"/>
  <c r="E618" i="5"/>
  <c r="G618" i="5"/>
  <c r="C618" i="5"/>
  <c r="T618" i="5" l="1"/>
  <c r="P618" i="5"/>
  <c r="S619" i="5"/>
  <c r="B619" i="5"/>
  <c r="R619" i="5"/>
  <c r="Q619" i="5" s="1"/>
  <c r="A620" i="5"/>
  <c r="U617" i="5"/>
  <c r="F618" i="5"/>
  <c r="J619" i="5"/>
  <c r="M619" i="5"/>
  <c r="E619" i="5"/>
  <c r="O619" i="5"/>
  <c r="N619" i="5"/>
  <c r="I619" i="5"/>
  <c r="K619" i="5"/>
  <c r="C619" i="5"/>
  <c r="D619" i="5"/>
  <c r="G619" i="5"/>
  <c r="H619" i="5"/>
  <c r="L619" i="5"/>
  <c r="T619" i="5" l="1"/>
  <c r="P619" i="5"/>
  <c r="S620" i="5"/>
  <c r="B620" i="5"/>
  <c r="A621" i="5"/>
  <c r="R620" i="5"/>
  <c r="Q620" i="5" s="1"/>
  <c r="U618" i="5"/>
  <c r="F619" i="5"/>
  <c r="I620" i="5"/>
  <c r="J620" i="5"/>
  <c r="D620" i="5"/>
  <c r="K620" i="5"/>
  <c r="C620" i="5"/>
  <c r="O620" i="5"/>
  <c r="M620" i="5"/>
  <c r="L620" i="5"/>
  <c r="N620" i="5"/>
  <c r="E620" i="5"/>
  <c r="G620" i="5"/>
  <c r="H620" i="5"/>
  <c r="T620" i="5" l="1"/>
  <c r="P620" i="5"/>
  <c r="S621" i="5"/>
  <c r="A622" i="5"/>
  <c r="R621" i="5"/>
  <c r="Q621" i="5" s="1"/>
  <c r="B621" i="5"/>
  <c r="U619" i="5"/>
  <c r="F620" i="5"/>
  <c r="M621" i="5"/>
  <c r="I621" i="5"/>
  <c r="O621" i="5"/>
  <c r="L621" i="5"/>
  <c r="D621" i="5"/>
  <c r="K621" i="5"/>
  <c r="J621" i="5"/>
  <c r="C621" i="5"/>
  <c r="N621" i="5"/>
  <c r="E621" i="5"/>
  <c r="G621" i="5"/>
  <c r="H621" i="5"/>
  <c r="T621" i="5" l="1"/>
  <c r="P621" i="5"/>
  <c r="S622" i="5"/>
  <c r="A623" i="5"/>
  <c r="R622" i="5"/>
  <c r="Q622" i="5" s="1"/>
  <c r="B622" i="5"/>
  <c r="U620" i="5"/>
  <c r="F621" i="5"/>
  <c r="N622" i="5"/>
  <c r="D622" i="5"/>
  <c r="M622" i="5"/>
  <c r="G622" i="5"/>
  <c r="E622" i="5"/>
  <c r="J622" i="5"/>
  <c r="I622" i="5"/>
  <c r="O622" i="5"/>
  <c r="K622" i="5"/>
  <c r="C622" i="5"/>
  <c r="L622" i="5"/>
  <c r="H622" i="5"/>
  <c r="T622" i="5" l="1"/>
  <c r="P622" i="5"/>
  <c r="S623" i="5"/>
  <c r="R623" i="5"/>
  <c r="Q623" i="5" s="1"/>
  <c r="B623" i="5"/>
  <c r="A624" i="5"/>
  <c r="U621" i="5"/>
  <c r="F622" i="5"/>
  <c r="I623" i="5"/>
  <c r="G623" i="5"/>
  <c r="C623" i="5"/>
  <c r="K623" i="5"/>
  <c r="D623" i="5"/>
  <c r="N623" i="5"/>
  <c r="H623" i="5"/>
  <c r="E623" i="5"/>
  <c r="L623" i="5"/>
  <c r="J623" i="5"/>
  <c r="M623" i="5"/>
  <c r="O623" i="5"/>
  <c r="T623" i="5" l="1"/>
  <c r="P623" i="5"/>
  <c r="S624" i="5"/>
  <c r="A625" i="5"/>
  <c r="R624" i="5"/>
  <c r="Q624" i="5" s="1"/>
  <c r="B624" i="5"/>
  <c r="U622" i="5"/>
  <c r="F623" i="5"/>
  <c r="K624" i="5"/>
  <c r="J624" i="5"/>
  <c r="N624" i="5"/>
  <c r="D624" i="5"/>
  <c r="I624" i="5"/>
  <c r="M624" i="5"/>
  <c r="L624" i="5"/>
  <c r="O624" i="5"/>
  <c r="E624" i="5"/>
  <c r="C624" i="5"/>
  <c r="G624" i="5"/>
  <c r="H624" i="5"/>
  <c r="T624" i="5" l="1"/>
  <c r="P624" i="5"/>
  <c r="S625" i="5"/>
  <c r="R625" i="5"/>
  <c r="Q625" i="5" s="1"/>
  <c r="B625" i="5"/>
  <c r="A626" i="5"/>
  <c r="U623" i="5"/>
  <c r="F624" i="5"/>
  <c r="J625" i="5"/>
  <c r="O625" i="5"/>
  <c r="E625" i="5"/>
  <c r="L625" i="5"/>
  <c r="C625" i="5"/>
  <c r="D625" i="5"/>
  <c r="I625" i="5"/>
  <c r="H625" i="5"/>
  <c r="N625" i="5"/>
  <c r="G625" i="5"/>
  <c r="M625" i="5"/>
  <c r="K625" i="5"/>
  <c r="T625" i="5" l="1"/>
  <c r="P625" i="5"/>
  <c r="S626" i="5"/>
  <c r="R626" i="5"/>
  <c r="Q626" i="5" s="1"/>
  <c r="B626" i="5"/>
  <c r="A627" i="5"/>
  <c r="U624" i="5"/>
  <c r="F625" i="5"/>
  <c r="L626" i="5"/>
  <c r="E626" i="5"/>
  <c r="I626" i="5"/>
  <c r="C626" i="5"/>
  <c r="M626" i="5"/>
  <c r="G626" i="5"/>
  <c r="D626" i="5"/>
  <c r="H626" i="5"/>
  <c r="J626" i="5"/>
  <c r="K626" i="5"/>
  <c r="N626" i="5"/>
  <c r="O626" i="5"/>
  <c r="T626" i="5" l="1"/>
  <c r="P626" i="5"/>
  <c r="S627" i="5"/>
  <c r="R627" i="5"/>
  <c r="Q627" i="5" s="1"/>
  <c r="B627" i="5"/>
  <c r="A628" i="5"/>
  <c r="U625" i="5"/>
  <c r="F626" i="5"/>
  <c r="L627" i="5"/>
  <c r="M627" i="5"/>
  <c r="E627" i="5"/>
  <c r="J627" i="5"/>
  <c r="D627" i="5"/>
  <c r="H627" i="5"/>
  <c r="O627" i="5"/>
  <c r="N627" i="5"/>
  <c r="K627" i="5"/>
  <c r="G627" i="5"/>
  <c r="I627" i="5"/>
  <c r="C627" i="5"/>
  <c r="T627" i="5" l="1"/>
  <c r="P627" i="5"/>
  <c r="S628" i="5"/>
  <c r="R628" i="5"/>
  <c r="Q628" i="5" s="1"/>
  <c r="B628" i="5"/>
  <c r="A629" i="5"/>
  <c r="U626" i="5"/>
  <c r="F627" i="5"/>
  <c r="O628" i="5"/>
  <c r="M628" i="5"/>
  <c r="L628" i="5"/>
  <c r="K628" i="5"/>
  <c r="G628" i="5"/>
  <c r="J628" i="5"/>
  <c r="H628" i="5"/>
  <c r="N628" i="5"/>
  <c r="I628" i="5"/>
  <c r="C628" i="5"/>
  <c r="D628" i="5"/>
  <c r="E628" i="5"/>
  <c r="T628" i="5" l="1"/>
  <c r="P628" i="5"/>
  <c r="S629" i="5"/>
  <c r="R629" i="5"/>
  <c r="Q629" i="5" s="1"/>
  <c r="B629" i="5"/>
  <c r="A630" i="5"/>
  <c r="U627" i="5"/>
  <c r="F628" i="5"/>
  <c r="C629" i="5"/>
  <c r="N629" i="5"/>
  <c r="M629" i="5"/>
  <c r="E629" i="5"/>
  <c r="L629" i="5"/>
  <c r="D629" i="5"/>
  <c r="H629" i="5"/>
  <c r="J629" i="5"/>
  <c r="G629" i="5"/>
  <c r="K629" i="5"/>
  <c r="I629" i="5"/>
  <c r="O629" i="5"/>
  <c r="T629" i="5" l="1"/>
  <c r="P629" i="5"/>
  <c r="S630" i="5"/>
  <c r="B630" i="5"/>
  <c r="A631" i="5"/>
  <c r="R630" i="5"/>
  <c r="Q630" i="5" s="1"/>
  <c r="U628" i="5"/>
  <c r="F629" i="5"/>
  <c r="C630" i="5"/>
  <c r="D630" i="5"/>
  <c r="H630" i="5"/>
  <c r="G630" i="5"/>
  <c r="N630" i="5"/>
  <c r="E630" i="5"/>
  <c r="J630" i="5"/>
  <c r="O630" i="5"/>
  <c r="M630" i="5"/>
  <c r="I630" i="5"/>
  <c r="L630" i="5"/>
  <c r="K630" i="5"/>
  <c r="T630" i="5" l="1"/>
  <c r="P630" i="5"/>
  <c r="S631" i="5"/>
  <c r="B631" i="5"/>
  <c r="A632" i="5"/>
  <c r="R631" i="5"/>
  <c r="Q631" i="5" s="1"/>
  <c r="U629" i="5"/>
  <c r="F630" i="5"/>
  <c r="E631" i="5"/>
  <c r="D631" i="5"/>
  <c r="G631" i="5"/>
  <c r="J631" i="5"/>
  <c r="H631" i="5"/>
  <c r="C631" i="5"/>
  <c r="L631" i="5"/>
  <c r="K631" i="5"/>
  <c r="N631" i="5"/>
  <c r="O631" i="5"/>
  <c r="I631" i="5"/>
  <c r="M631" i="5"/>
  <c r="T631" i="5" l="1"/>
  <c r="P631" i="5"/>
  <c r="S632" i="5"/>
  <c r="B632" i="5"/>
  <c r="A633" i="5"/>
  <c r="R632" i="5"/>
  <c r="Q632" i="5" s="1"/>
  <c r="U630" i="5"/>
  <c r="F631" i="5"/>
  <c r="M632" i="5"/>
  <c r="J632" i="5"/>
  <c r="E632" i="5"/>
  <c r="G632" i="5"/>
  <c r="N632" i="5"/>
  <c r="L632" i="5"/>
  <c r="H632" i="5"/>
  <c r="C632" i="5"/>
  <c r="K632" i="5"/>
  <c r="D632" i="5"/>
  <c r="I632" i="5"/>
  <c r="O632" i="5"/>
  <c r="T632" i="5" l="1"/>
  <c r="P632" i="5"/>
  <c r="S633" i="5"/>
  <c r="B633" i="5"/>
  <c r="A634" i="5"/>
  <c r="R633" i="5"/>
  <c r="Q633" i="5" s="1"/>
  <c r="U631" i="5"/>
  <c r="F632" i="5"/>
  <c r="N633" i="5"/>
  <c r="E633" i="5"/>
  <c r="K633" i="5"/>
  <c r="D633" i="5"/>
  <c r="O633" i="5"/>
  <c r="H633" i="5"/>
  <c r="G633" i="5"/>
  <c r="J633" i="5"/>
  <c r="L633" i="5"/>
  <c r="I633" i="5"/>
  <c r="M633" i="5"/>
  <c r="C633" i="5"/>
  <c r="T633" i="5" l="1"/>
  <c r="P633" i="5"/>
  <c r="S634" i="5"/>
  <c r="A635" i="5"/>
  <c r="R634" i="5"/>
  <c r="Q634" i="5" s="1"/>
  <c r="B634" i="5"/>
  <c r="U632" i="5"/>
  <c r="F633" i="5"/>
  <c r="E634" i="5"/>
  <c r="N634" i="5"/>
  <c r="D634" i="5"/>
  <c r="I634" i="5"/>
  <c r="L634" i="5"/>
  <c r="H634" i="5"/>
  <c r="M634" i="5"/>
  <c r="J634" i="5"/>
  <c r="K634" i="5"/>
  <c r="O634" i="5"/>
  <c r="C634" i="5"/>
  <c r="G634" i="5"/>
  <c r="T634" i="5" l="1"/>
  <c r="P634" i="5"/>
  <c r="S635" i="5"/>
  <c r="A636" i="5"/>
  <c r="B635" i="5"/>
  <c r="R635" i="5"/>
  <c r="Q635" i="5" s="1"/>
  <c r="U633" i="5"/>
  <c r="F634" i="5"/>
  <c r="N635" i="5"/>
  <c r="D635" i="5"/>
  <c r="O635" i="5"/>
  <c r="K635" i="5"/>
  <c r="J635" i="5"/>
  <c r="C635" i="5"/>
  <c r="H635" i="5"/>
  <c r="L635" i="5"/>
  <c r="E635" i="5"/>
  <c r="G635" i="5"/>
  <c r="M635" i="5"/>
  <c r="I635" i="5"/>
  <c r="T635" i="5" l="1"/>
  <c r="P635" i="5"/>
  <c r="S636" i="5"/>
  <c r="A637" i="5"/>
  <c r="R636" i="5"/>
  <c r="Q636" i="5" s="1"/>
  <c r="B636" i="5"/>
  <c r="U634" i="5"/>
  <c r="F635" i="5"/>
  <c r="M636" i="5"/>
  <c r="G636" i="5"/>
  <c r="D636" i="5"/>
  <c r="E636" i="5"/>
  <c r="O636" i="5"/>
  <c r="L636" i="5"/>
  <c r="I636" i="5"/>
  <c r="N636" i="5"/>
  <c r="H636" i="5"/>
  <c r="J636" i="5"/>
  <c r="C636" i="5"/>
  <c r="K636" i="5"/>
  <c r="T636" i="5" l="1"/>
  <c r="P636" i="5"/>
  <c r="S637" i="5"/>
  <c r="A638" i="5"/>
  <c r="R637" i="5"/>
  <c r="Q637" i="5" s="1"/>
  <c r="B637" i="5"/>
  <c r="U635" i="5"/>
  <c r="F636" i="5"/>
  <c r="I637" i="5"/>
  <c r="N637" i="5"/>
  <c r="J637" i="5"/>
  <c r="L637" i="5"/>
  <c r="O637" i="5"/>
  <c r="M637" i="5"/>
  <c r="K637" i="5"/>
  <c r="G637" i="5"/>
  <c r="C637" i="5"/>
  <c r="H637" i="5"/>
  <c r="D637" i="5"/>
  <c r="E637" i="5"/>
  <c r="T637" i="5" l="1"/>
  <c r="P637" i="5"/>
  <c r="S638" i="5"/>
  <c r="A639" i="5"/>
  <c r="R638" i="5"/>
  <c r="Q638" i="5" s="1"/>
  <c r="B638" i="5"/>
  <c r="U636" i="5"/>
  <c r="F637" i="5"/>
  <c r="D638" i="5"/>
  <c r="M638" i="5"/>
  <c r="O638" i="5"/>
  <c r="E638" i="5"/>
  <c r="G638" i="5"/>
  <c r="J638" i="5"/>
  <c r="N638" i="5"/>
  <c r="K638" i="5"/>
  <c r="L638" i="5"/>
  <c r="H638" i="5"/>
  <c r="I638" i="5"/>
  <c r="C638" i="5"/>
  <c r="T638" i="5" l="1"/>
  <c r="P638" i="5"/>
  <c r="S639" i="5"/>
  <c r="A640" i="5"/>
  <c r="B639" i="5"/>
  <c r="R639" i="5"/>
  <c r="Q639" i="5" s="1"/>
  <c r="U637" i="5"/>
  <c r="F638" i="5"/>
  <c r="H639" i="5"/>
  <c r="G639" i="5"/>
  <c r="O639" i="5"/>
  <c r="E639" i="5"/>
  <c r="J639" i="5"/>
  <c r="C639" i="5"/>
  <c r="D639" i="5"/>
  <c r="K639" i="5"/>
  <c r="M639" i="5"/>
  <c r="L639" i="5"/>
  <c r="I639" i="5"/>
  <c r="N639" i="5"/>
  <c r="T639" i="5" l="1"/>
  <c r="P639" i="5"/>
  <c r="S640" i="5"/>
  <c r="A641" i="5"/>
  <c r="R640" i="5"/>
  <c r="Q640" i="5" s="1"/>
  <c r="B640" i="5"/>
  <c r="U638" i="5"/>
  <c r="F639" i="5"/>
  <c r="N640" i="5"/>
  <c r="C640" i="5"/>
  <c r="L640" i="5"/>
  <c r="K640" i="5"/>
  <c r="G640" i="5"/>
  <c r="H640" i="5"/>
  <c r="O640" i="5"/>
  <c r="J640" i="5"/>
  <c r="M640" i="5"/>
  <c r="D640" i="5"/>
  <c r="E640" i="5"/>
  <c r="I640" i="5"/>
  <c r="T640" i="5" l="1"/>
  <c r="P640" i="5"/>
  <c r="S641" i="5"/>
  <c r="A642" i="5"/>
  <c r="R641" i="5"/>
  <c r="Q641" i="5" s="1"/>
  <c r="B641" i="5"/>
  <c r="U639" i="5"/>
  <c r="F640" i="5"/>
  <c r="G641" i="5"/>
  <c r="I641" i="5"/>
  <c r="C641" i="5"/>
  <c r="M641" i="5"/>
  <c r="O641" i="5"/>
  <c r="N641" i="5"/>
  <c r="L641" i="5"/>
  <c r="E641" i="5"/>
  <c r="J641" i="5"/>
  <c r="D641" i="5"/>
  <c r="H641" i="5"/>
  <c r="K641" i="5"/>
  <c r="T641" i="5" l="1"/>
  <c r="P641" i="5"/>
  <c r="S642" i="5"/>
  <c r="A643" i="5"/>
  <c r="R642" i="5"/>
  <c r="Q642" i="5" s="1"/>
  <c r="B642" i="5"/>
  <c r="U640" i="5"/>
  <c r="F641" i="5"/>
  <c r="M642" i="5"/>
  <c r="J642" i="5"/>
  <c r="D642" i="5"/>
  <c r="G642" i="5"/>
  <c r="N642" i="5"/>
  <c r="L642" i="5"/>
  <c r="O642" i="5"/>
  <c r="H642" i="5"/>
  <c r="I642" i="5"/>
  <c r="C642" i="5"/>
  <c r="E642" i="5"/>
  <c r="K642" i="5"/>
  <c r="T642" i="5" l="1"/>
  <c r="P642" i="5"/>
  <c r="S643" i="5"/>
  <c r="A644" i="5"/>
  <c r="R643" i="5"/>
  <c r="Q643" i="5" s="1"/>
  <c r="B643" i="5"/>
  <c r="U641" i="5"/>
  <c r="F642" i="5"/>
  <c r="L643" i="5"/>
  <c r="N643" i="5"/>
  <c r="C643" i="5"/>
  <c r="G643" i="5"/>
  <c r="M643" i="5"/>
  <c r="E643" i="5"/>
  <c r="I643" i="5"/>
  <c r="D643" i="5"/>
  <c r="K643" i="5"/>
  <c r="H643" i="5"/>
  <c r="O643" i="5"/>
  <c r="J643" i="5"/>
  <c r="T643" i="5" l="1"/>
  <c r="P643" i="5"/>
  <c r="S644" i="5"/>
  <c r="A645" i="5"/>
  <c r="R644" i="5"/>
  <c r="Q644" i="5" s="1"/>
  <c r="B644" i="5"/>
  <c r="U642" i="5"/>
  <c r="F643" i="5"/>
  <c r="M644" i="5"/>
  <c r="I644" i="5"/>
  <c r="J644" i="5"/>
  <c r="D644" i="5"/>
  <c r="K644" i="5"/>
  <c r="H644" i="5"/>
  <c r="C644" i="5"/>
  <c r="N644" i="5"/>
  <c r="O644" i="5"/>
  <c r="G644" i="5"/>
  <c r="E644" i="5"/>
  <c r="L644" i="5"/>
  <c r="T644" i="5" l="1"/>
  <c r="P644" i="5"/>
  <c r="S645" i="5"/>
  <c r="R645" i="5"/>
  <c r="Q645" i="5" s="1"/>
  <c r="B645" i="5"/>
  <c r="A646" i="5"/>
  <c r="U643" i="5"/>
  <c r="F644" i="5"/>
  <c r="H645" i="5"/>
  <c r="G645" i="5"/>
  <c r="J645" i="5"/>
  <c r="L645" i="5"/>
  <c r="I645" i="5"/>
  <c r="E645" i="5"/>
  <c r="O645" i="5"/>
  <c r="N645" i="5"/>
  <c r="D645" i="5"/>
  <c r="M645" i="5"/>
  <c r="K645" i="5"/>
  <c r="C645" i="5"/>
  <c r="T645" i="5" l="1"/>
  <c r="P645" i="5"/>
  <c r="S646" i="5"/>
  <c r="A647" i="5"/>
  <c r="R646" i="5"/>
  <c r="Q646" i="5" s="1"/>
  <c r="B646" i="5"/>
  <c r="U644" i="5"/>
  <c r="F645" i="5"/>
  <c r="J646" i="5"/>
  <c r="K646" i="5"/>
  <c r="M646" i="5"/>
  <c r="D646" i="5"/>
  <c r="N646" i="5"/>
  <c r="G646" i="5"/>
  <c r="L646" i="5"/>
  <c r="H646" i="5"/>
  <c r="C646" i="5"/>
  <c r="I646" i="5"/>
  <c r="O646" i="5"/>
  <c r="E646" i="5"/>
  <c r="T646" i="5" l="1"/>
  <c r="P646" i="5"/>
  <c r="U645" i="5"/>
  <c r="S647" i="5"/>
  <c r="A648" i="5"/>
  <c r="B647" i="5"/>
  <c r="R647" i="5"/>
  <c r="Q647" i="5" s="1"/>
  <c r="F646" i="5"/>
  <c r="H647" i="5"/>
  <c r="J647" i="5"/>
  <c r="K647" i="5"/>
  <c r="C647" i="5"/>
  <c r="G647" i="5"/>
  <c r="D647" i="5"/>
  <c r="E647" i="5"/>
  <c r="I647" i="5"/>
  <c r="L647" i="5"/>
  <c r="M647" i="5"/>
  <c r="N647" i="5"/>
  <c r="O647" i="5"/>
  <c r="T647" i="5" l="1"/>
  <c r="P647" i="5"/>
  <c r="S648" i="5"/>
  <c r="R648" i="5"/>
  <c r="Q648" i="5" s="1"/>
  <c r="B648" i="5"/>
  <c r="A649" i="5"/>
  <c r="U646" i="5"/>
  <c r="F647" i="5"/>
  <c r="J648" i="5"/>
  <c r="N648" i="5"/>
  <c r="L648" i="5"/>
  <c r="M648" i="5"/>
  <c r="G648" i="5"/>
  <c r="O648" i="5"/>
  <c r="E648" i="5"/>
  <c r="H648" i="5"/>
  <c r="C648" i="5"/>
  <c r="I648" i="5"/>
  <c r="K648" i="5"/>
  <c r="D648" i="5"/>
  <c r="T648" i="5" l="1"/>
  <c r="P648" i="5"/>
  <c r="S649" i="5"/>
  <c r="R649" i="5"/>
  <c r="Q649" i="5" s="1"/>
  <c r="B649" i="5"/>
  <c r="A650" i="5"/>
  <c r="U647" i="5"/>
  <c r="F648" i="5"/>
  <c r="D649" i="5"/>
  <c r="O649" i="5"/>
  <c r="L649" i="5"/>
  <c r="N649" i="5"/>
  <c r="I649" i="5"/>
  <c r="M649" i="5"/>
  <c r="H649" i="5"/>
  <c r="G649" i="5"/>
  <c r="C649" i="5"/>
  <c r="K649" i="5"/>
  <c r="E649" i="5"/>
  <c r="J649" i="5"/>
  <c r="T649" i="5" l="1"/>
  <c r="P649" i="5"/>
  <c r="S650" i="5"/>
  <c r="R650" i="5"/>
  <c r="Q650" i="5" s="1"/>
  <c r="B650" i="5"/>
  <c r="A651" i="5"/>
  <c r="U648" i="5"/>
  <c r="F649" i="5"/>
  <c r="O650" i="5"/>
  <c r="J650" i="5"/>
  <c r="E650" i="5"/>
  <c r="H650" i="5"/>
  <c r="C650" i="5"/>
  <c r="N650" i="5"/>
  <c r="I650" i="5"/>
  <c r="K650" i="5"/>
  <c r="M650" i="5"/>
  <c r="L650" i="5"/>
  <c r="G650" i="5"/>
  <c r="D650" i="5"/>
  <c r="T650" i="5" l="1"/>
  <c r="P650" i="5"/>
  <c r="S651" i="5"/>
  <c r="A652" i="5"/>
  <c r="B651" i="5"/>
  <c r="R651" i="5"/>
  <c r="Q651" i="5" s="1"/>
  <c r="U649" i="5"/>
  <c r="F650" i="5"/>
  <c r="N651" i="5"/>
  <c r="K651" i="5"/>
  <c r="G651" i="5"/>
  <c r="H651" i="5"/>
  <c r="J651" i="5"/>
  <c r="D651" i="5"/>
  <c r="M651" i="5"/>
  <c r="E651" i="5"/>
  <c r="C651" i="5"/>
  <c r="L651" i="5"/>
  <c r="O651" i="5"/>
  <c r="I651" i="5"/>
  <c r="T651" i="5" l="1"/>
  <c r="P651" i="5"/>
  <c r="S652" i="5"/>
  <c r="R652" i="5"/>
  <c r="Q652" i="5" s="1"/>
  <c r="B652" i="5"/>
  <c r="A653" i="5"/>
  <c r="U650" i="5"/>
  <c r="F651" i="5"/>
  <c r="O652" i="5"/>
  <c r="D652" i="5"/>
  <c r="M652" i="5"/>
  <c r="C652" i="5"/>
  <c r="G652" i="5"/>
  <c r="N652" i="5"/>
  <c r="J652" i="5"/>
  <c r="L652" i="5"/>
  <c r="H652" i="5"/>
  <c r="I652" i="5"/>
  <c r="E652" i="5"/>
  <c r="K652" i="5"/>
  <c r="T652" i="5" l="1"/>
  <c r="P652" i="5"/>
  <c r="S653" i="5"/>
  <c r="R653" i="5"/>
  <c r="Q653" i="5" s="1"/>
  <c r="B653" i="5"/>
  <c r="A654" i="5"/>
  <c r="U651" i="5"/>
  <c r="F652" i="5"/>
  <c r="O653" i="5"/>
  <c r="L653" i="5"/>
  <c r="D653" i="5"/>
  <c r="K653" i="5"/>
  <c r="N653" i="5"/>
  <c r="E653" i="5"/>
  <c r="I653" i="5"/>
  <c r="G653" i="5"/>
  <c r="M653" i="5"/>
  <c r="H653" i="5"/>
  <c r="J653" i="5"/>
  <c r="C653" i="5"/>
  <c r="T653" i="5" l="1"/>
  <c r="P653" i="5"/>
  <c r="S654" i="5"/>
  <c r="R654" i="5"/>
  <c r="Q654" i="5" s="1"/>
  <c r="B654" i="5"/>
  <c r="A655" i="5"/>
  <c r="U652" i="5"/>
  <c r="F653" i="5"/>
  <c r="L654" i="5"/>
  <c r="O654" i="5"/>
  <c r="E654" i="5"/>
  <c r="H654" i="5"/>
  <c r="N654" i="5"/>
  <c r="J654" i="5"/>
  <c r="G654" i="5"/>
  <c r="I654" i="5"/>
  <c r="D654" i="5"/>
  <c r="C654" i="5"/>
  <c r="K654" i="5"/>
  <c r="M654" i="5"/>
  <c r="T654" i="5" l="1"/>
  <c r="P654" i="5"/>
  <c r="S655" i="5"/>
  <c r="A656" i="5"/>
  <c r="B655" i="5"/>
  <c r="R655" i="5"/>
  <c r="Q655" i="5" s="1"/>
  <c r="U653" i="5"/>
  <c r="F654" i="5"/>
  <c r="G655" i="5"/>
  <c r="C655" i="5"/>
  <c r="O655" i="5"/>
  <c r="L655" i="5"/>
  <c r="D655" i="5"/>
  <c r="K655" i="5"/>
  <c r="I655" i="5"/>
  <c r="N655" i="5"/>
  <c r="E655" i="5"/>
  <c r="H655" i="5"/>
  <c r="J655" i="5"/>
  <c r="M655" i="5"/>
  <c r="T655" i="5" l="1"/>
  <c r="P655" i="5"/>
  <c r="S656" i="5"/>
  <c r="B656" i="5"/>
  <c r="A657" i="5"/>
  <c r="R656" i="5"/>
  <c r="Q656" i="5" s="1"/>
  <c r="U654" i="5"/>
  <c r="F655" i="5"/>
  <c r="N656" i="5"/>
  <c r="D656" i="5"/>
  <c r="O656" i="5"/>
  <c r="K656" i="5"/>
  <c r="C656" i="5"/>
  <c r="H656" i="5"/>
  <c r="I656" i="5"/>
  <c r="L656" i="5"/>
  <c r="M656" i="5"/>
  <c r="E656" i="5"/>
  <c r="G656" i="5"/>
  <c r="J656" i="5"/>
  <c r="T656" i="5" l="1"/>
  <c r="P656" i="5"/>
  <c r="S657" i="5"/>
  <c r="R657" i="5"/>
  <c r="Q657" i="5" s="1"/>
  <c r="B657" i="5"/>
  <c r="A658" i="5"/>
  <c r="U655" i="5"/>
  <c r="F656" i="5"/>
  <c r="H657" i="5"/>
  <c r="L657" i="5"/>
  <c r="K657" i="5"/>
  <c r="I657" i="5"/>
  <c r="J657" i="5"/>
  <c r="D657" i="5"/>
  <c r="M657" i="5"/>
  <c r="N657" i="5"/>
  <c r="C657" i="5"/>
  <c r="E657" i="5"/>
  <c r="O657" i="5"/>
  <c r="G657" i="5"/>
  <c r="T657" i="5" l="1"/>
  <c r="P657" i="5"/>
  <c r="S658" i="5"/>
  <c r="B658" i="5"/>
  <c r="A659" i="5"/>
  <c r="R658" i="5"/>
  <c r="Q658" i="5" s="1"/>
  <c r="U656" i="5"/>
  <c r="F657" i="5"/>
  <c r="G658" i="5"/>
  <c r="J658" i="5"/>
  <c r="H658" i="5"/>
  <c r="O658" i="5"/>
  <c r="I658" i="5"/>
  <c r="M658" i="5"/>
  <c r="N658" i="5"/>
  <c r="K658" i="5"/>
  <c r="E658" i="5"/>
  <c r="C658" i="5"/>
  <c r="L658" i="5"/>
  <c r="D658" i="5"/>
  <c r="T658" i="5" l="1"/>
  <c r="P658" i="5"/>
  <c r="S659" i="5"/>
  <c r="A660" i="5"/>
  <c r="B659" i="5"/>
  <c r="R659" i="5"/>
  <c r="Q659" i="5" s="1"/>
  <c r="U657" i="5"/>
  <c r="F658" i="5"/>
  <c r="N659" i="5"/>
  <c r="M659" i="5"/>
  <c r="H659" i="5"/>
  <c r="J659" i="5"/>
  <c r="L659" i="5"/>
  <c r="E659" i="5"/>
  <c r="K659" i="5"/>
  <c r="C659" i="5"/>
  <c r="I659" i="5"/>
  <c r="O659" i="5"/>
  <c r="G659" i="5"/>
  <c r="D659" i="5"/>
  <c r="T659" i="5" l="1"/>
  <c r="P659" i="5"/>
  <c r="S660" i="5"/>
  <c r="A661" i="5"/>
  <c r="R660" i="5"/>
  <c r="Q660" i="5" s="1"/>
  <c r="B660" i="5"/>
  <c r="U658" i="5"/>
  <c r="F659" i="5"/>
  <c r="E660" i="5"/>
  <c r="G660" i="5"/>
  <c r="O660" i="5"/>
  <c r="I660" i="5"/>
  <c r="L660" i="5"/>
  <c r="M660" i="5"/>
  <c r="D660" i="5"/>
  <c r="C660" i="5"/>
  <c r="H660" i="5"/>
  <c r="K660" i="5"/>
  <c r="J660" i="5"/>
  <c r="N660" i="5"/>
  <c r="T660" i="5" l="1"/>
  <c r="P660" i="5"/>
  <c r="S661" i="5"/>
  <c r="B661" i="5"/>
  <c r="A662" i="5"/>
  <c r="R661" i="5"/>
  <c r="Q661" i="5" s="1"/>
  <c r="U659" i="5"/>
  <c r="F660" i="5"/>
  <c r="D661" i="5"/>
  <c r="K661" i="5"/>
  <c r="N661" i="5"/>
  <c r="C661" i="5"/>
  <c r="O661" i="5"/>
  <c r="E661" i="5"/>
  <c r="L661" i="5"/>
  <c r="J661" i="5"/>
  <c r="M661" i="5"/>
  <c r="G661" i="5"/>
  <c r="H661" i="5"/>
  <c r="I661" i="5"/>
  <c r="P661" i="5" l="1"/>
  <c r="T661" i="5"/>
  <c r="S662" i="5"/>
  <c r="A663" i="5"/>
  <c r="B662" i="5"/>
  <c r="R662" i="5"/>
  <c r="Q662" i="5" s="1"/>
  <c r="U660" i="5"/>
  <c r="F661" i="5"/>
  <c r="D662" i="5"/>
  <c r="C662" i="5"/>
  <c r="L662" i="5"/>
  <c r="M662" i="5"/>
  <c r="J662" i="5"/>
  <c r="O662" i="5"/>
  <c r="K662" i="5"/>
  <c r="H662" i="5"/>
  <c r="E662" i="5"/>
  <c r="I662" i="5"/>
  <c r="N662" i="5"/>
  <c r="G662" i="5"/>
  <c r="T662" i="5" l="1"/>
  <c r="P662" i="5"/>
  <c r="S663" i="5"/>
  <c r="A664" i="5"/>
  <c r="B663" i="5"/>
  <c r="R663" i="5"/>
  <c r="Q663" i="5" s="1"/>
  <c r="U661" i="5"/>
  <c r="F662" i="5"/>
  <c r="I663" i="5"/>
  <c r="E663" i="5"/>
  <c r="C663" i="5"/>
  <c r="H663" i="5"/>
  <c r="D663" i="5"/>
  <c r="O663" i="5"/>
  <c r="M663" i="5"/>
  <c r="K663" i="5"/>
  <c r="J663" i="5"/>
  <c r="N663" i="5"/>
  <c r="G663" i="5"/>
  <c r="L663" i="5"/>
  <c r="T663" i="5" l="1"/>
  <c r="P663" i="5"/>
  <c r="S664" i="5"/>
  <c r="B664" i="5"/>
  <c r="A665" i="5"/>
  <c r="R664" i="5"/>
  <c r="Q664" i="5" s="1"/>
  <c r="U662" i="5"/>
  <c r="F663" i="5"/>
  <c r="E664" i="5"/>
  <c r="O664" i="5"/>
  <c r="H664" i="5"/>
  <c r="N664" i="5"/>
  <c r="K664" i="5"/>
  <c r="J664" i="5"/>
  <c r="C664" i="5"/>
  <c r="G664" i="5"/>
  <c r="D664" i="5"/>
  <c r="M664" i="5"/>
  <c r="I664" i="5"/>
  <c r="L664" i="5"/>
  <c r="T664" i="5" l="1"/>
  <c r="P664" i="5"/>
  <c r="S665" i="5"/>
  <c r="A666" i="5"/>
  <c r="R665" i="5"/>
  <c r="Q665" i="5" s="1"/>
  <c r="B665" i="5"/>
  <c r="U663" i="5"/>
  <c r="F664" i="5"/>
  <c r="I665" i="5"/>
  <c r="K665" i="5"/>
  <c r="E665" i="5"/>
  <c r="D665" i="5"/>
  <c r="J665" i="5"/>
  <c r="C665" i="5"/>
  <c r="M665" i="5"/>
  <c r="G665" i="5"/>
  <c r="L665" i="5"/>
  <c r="O665" i="5"/>
  <c r="N665" i="5"/>
  <c r="H665" i="5"/>
  <c r="T665" i="5" l="1"/>
  <c r="P665" i="5"/>
  <c r="S666" i="5"/>
  <c r="B666" i="5"/>
  <c r="A667" i="5"/>
  <c r="R666" i="5"/>
  <c r="Q666" i="5" s="1"/>
  <c r="U664" i="5"/>
  <c r="F665" i="5"/>
  <c r="I666" i="5"/>
  <c r="H666" i="5"/>
  <c r="O666" i="5"/>
  <c r="E666" i="5"/>
  <c r="L666" i="5"/>
  <c r="G666" i="5"/>
  <c r="K666" i="5"/>
  <c r="C666" i="5"/>
  <c r="D666" i="5"/>
  <c r="M666" i="5"/>
  <c r="N666" i="5"/>
  <c r="J666" i="5"/>
  <c r="T666" i="5" l="1"/>
  <c r="P666" i="5"/>
  <c r="S667" i="5"/>
  <c r="R667" i="5"/>
  <c r="Q667" i="5" s="1"/>
  <c r="B667" i="5"/>
  <c r="A668" i="5"/>
  <c r="U665" i="5"/>
  <c r="F666" i="5"/>
  <c r="O667" i="5"/>
  <c r="E667" i="5"/>
  <c r="D667" i="5"/>
  <c r="C667" i="5"/>
  <c r="I667" i="5"/>
  <c r="L667" i="5"/>
  <c r="H667" i="5"/>
  <c r="N667" i="5"/>
  <c r="K667" i="5"/>
  <c r="M667" i="5"/>
  <c r="G667" i="5"/>
  <c r="J667" i="5"/>
  <c r="T667" i="5" l="1"/>
  <c r="P667" i="5"/>
  <c r="S668" i="5"/>
  <c r="A669" i="5"/>
  <c r="R668" i="5"/>
  <c r="Q668" i="5" s="1"/>
  <c r="B668" i="5"/>
  <c r="U666" i="5"/>
  <c r="F667" i="5"/>
  <c r="N668" i="5"/>
  <c r="K668" i="5"/>
  <c r="E668" i="5"/>
  <c r="L668" i="5"/>
  <c r="O668" i="5"/>
  <c r="M668" i="5"/>
  <c r="C668" i="5"/>
  <c r="I668" i="5"/>
  <c r="D668" i="5"/>
  <c r="G668" i="5"/>
  <c r="J668" i="5"/>
  <c r="H668" i="5"/>
  <c r="T668" i="5" l="1"/>
  <c r="P668" i="5"/>
  <c r="S669" i="5"/>
  <c r="A670" i="5"/>
  <c r="R669" i="5"/>
  <c r="Q669" i="5" s="1"/>
  <c r="B669" i="5"/>
  <c r="U667" i="5"/>
  <c r="F668" i="5"/>
  <c r="O669" i="5"/>
  <c r="E669" i="5"/>
  <c r="M669" i="5"/>
  <c r="D669" i="5"/>
  <c r="J669" i="5"/>
  <c r="N669" i="5"/>
  <c r="G669" i="5"/>
  <c r="C669" i="5"/>
  <c r="I669" i="5"/>
  <c r="L669" i="5"/>
  <c r="K669" i="5"/>
  <c r="H669" i="5"/>
  <c r="T669" i="5" l="1"/>
  <c r="P669" i="5"/>
  <c r="S670" i="5"/>
  <c r="A671" i="5"/>
  <c r="R670" i="5"/>
  <c r="Q670" i="5" s="1"/>
  <c r="B670" i="5"/>
  <c r="U668" i="5"/>
  <c r="F669" i="5"/>
  <c r="E670" i="5"/>
  <c r="L670" i="5"/>
  <c r="C670" i="5"/>
  <c r="H670" i="5"/>
  <c r="I670" i="5"/>
  <c r="N670" i="5"/>
  <c r="D670" i="5"/>
  <c r="M670" i="5"/>
  <c r="J670" i="5"/>
  <c r="G670" i="5"/>
  <c r="O670" i="5"/>
  <c r="K670" i="5"/>
  <c r="T670" i="5" l="1"/>
  <c r="P670" i="5"/>
  <c r="S671" i="5"/>
  <c r="B671" i="5"/>
  <c r="A672" i="5"/>
  <c r="R671" i="5"/>
  <c r="Q671" i="5" s="1"/>
  <c r="U669" i="5"/>
  <c r="F670" i="5"/>
  <c r="I671" i="5"/>
  <c r="N671" i="5"/>
  <c r="E671" i="5"/>
  <c r="K671" i="5"/>
  <c r="L671" i="5"/>
  <c r="M671" i="5"/>
  <c r="D671" i="5"/>
  <c r="G671" i="5"/>
  <c r="H671" i="5"/>
  <c r="O671" i="5"/>
  <c r="C671" i="5"/>
  <c r="J671" i="5"/>
  <c r="T671" i="5" l="1"/>
  <c r="P671" i="5"/>
  <c r="S672" i="5"/>
  <c r="R672" i="5"/>
  <c r="Q672" i="5" s="1"/>
  <c r="B672" i="5"/>
  <c r="A673" i="5"/>
  <c r="U670" i="5"/>
  <c r="F671" i="5"/>
  <c r="J672" i="5"/>
  <c r="M672" i="5"/>
  <c r="L672" i="5"/>
  <c r="K672" i="5"/>
  <c r="I672" i="5"/>
  <c r="O672" i="5"/>
  <c r="N672" i="5"/>
  <c r="E672" i="5"/>
  <c r="H672" i="5"/>
  <c r="C672" i="5"/>
  <c r="D672" i="5"/>
  <c r="G672" i="5"/>
  <c r="T672" i="5" l="1"/>
  <c r="P672" i="5"/>
  <c r="S673" i="5"/>
  <c r="R673" i="5"/>
  <c r="Q673" i="5" s="1"/>
  <c r="B673" i="5"/>
  <c r="A674" i="5"/>
  <c r="U671" i="5"/>
  <c r="F672" i="5"/>
  <c r="N673" i="5"/>
  <c r="O673" i="5"/>
  <c r="J673" i="5"/>
  <c r="M673" i="5"/>
  <c r="C673" i="5"/>
  <c r="H673" i="5"/>
  <c r="G673" i="5"/>
  <c r="D673" i="5"/>
  <c r="E673" i="5"/>
  <c r="I673" i="5"/>
  <c r="L673" i="5"/>
  <c r="K673" i="5"/>
  <c r="T673" i="5" l="1"/>
  <c r="P673" i="5"/>
  <c r="S674" i="5"/>
  <c r="B674" i="5"/>
  <c r="A675" i="5"/>
  <c r="R674" i="5"/>
  <c r="Q674" i="5" s="1"/>
  <c r="U672" i="5"/>
  <c r="F673" i="5"/>
  <c r="N674" i="5"/>
  <c r="I674" i="5"/>
  <c r="H674" i="5"/>
  <c r="G674" i="5"/>
  <c r="O674" i="5"/>
  <c r="E674" i="5"/>
  <c r="C674" i="5"/>
  <c r="M674" i="5"/>
  <c r="J674" i="5"/>
  <c r="D674" i="5"/>
  <c r="L674" i="5"/>
  <c r="K674" i="5"/>
  <c r="T674" i="5" l="1"/>
  <c r="P674" i="5"/>
  <c r="S675" i="5"/>
  <c r="A676" i="5"/>
  <c r="R675" i="5"/>
  <c r="Q675" i="5" s="1"/>
  <c r="B675" i="5"/>
  <c r="U673" i="5"/>
  <c r="F674" i="5"/>
  <c r="H675" i="5"/>
  <c r="L675" i="5"/>
  <c r="G675" i="5"/>
  <c r="I675" i="5"/>
  <c r="N675" i="5"/>
  <c r="J675" i="5"/>
  <c r="C675" i="5"/>
  <c r="O675" i="5"/>
  <c r="D675" i="5"/>
  <c r="E675" i="5"/>
  <c r="M675" i="5"/>
  <c r="K675" i="5"/>
  <c r="T675" i="5" l="1"/>
  <c r="P675" i="5"/>
  <c r="S676" i="5"/>
  <c r="R676" i="5"/>
  <c r="Q676" i="5" s="1"/>
  <c r="B676" i="5"/>
  <c r="A677" i="5"/>
  <c r="U674" i="5"/>
  <c r="F675" i="5"/>
  <c r="K676" i="5"/>
  <c r="H676" i="5"/>
  <c r="G676" i="5"/>
  <c r="J676" i="5"/>
  <c r="O676" i="5"/>
  <c r="D676" i="5"/>
  <c r="I676" i="5"/>
  <c r="C676" i="5"/>
  <c r="L676" i="5"/>
  <c r="E676" i="5"/>
  <c r="N676" i="5"/>
  <c r="M676" i="5"/>
  <c r="T676" i="5" l="1"/>
  <c r="P676" i="5"/>
  <c r="S677" i="5"/>
  <c r="R677" i="5"/>
  <c r="Q677" i="5" s="1"/>
  <c r="B677" i="5"/>
  <c r="A678" i="5"/>
  <c r="U675" i="5"/>
  <c r="F676" i="5"/>
  <c r="J677" i="5"/>
  <c r="K677" i="5"/>
  <c r="D677" i="5"/>
  <c r="C677" i="5"/>
  <c r="L677" i="5"/>
  <c r="M677" i="5"/>
  <c r="G677" i="5"/>
  <c r="H677" i="5"/>
  <c r="N677" i="5"/>
  <c r="I677" i="5"/>
  <c r="E677" i="5"/>
  <c r="O677" i="5"/>
  <c r="T677" i="5" l="1"/>
  <c r="P677" i="5"/>
  <c r="S678" i="5"/>
  <c r="A679" i="5"/>
  <c r="R678" i="5"/>
  <c r="Q678" i="5" s="1"/>
  <c r="B678" i="5"/>
  <c r="U676" i="5"/>
  <c r="F677" i="5"/>
  <c r="D678" i="5"/>
  <c r="J678" i="5"/>
  <c r="O678" i="5"/>
  <c r="G678" i="5"/>
  <c r="C678" i="5"/>
  <c r="I678" i="5"/>
  <c r="L678" i="5"/>
  <c r="H678" i="5"/>
  <c r="M678" i="5"/>
  <c r="K678" i="5"/>
  <c r="N678" i="5"/>
  <c r="E678" i="5"/>
  <c r="T678" i="5" l="1"/>
  <c r="P678" i="5"/>
  <c r="S679" i="5"/>
  <c r="R679" i="5"/>
  <c r="Q679" i="5" s="1"/>
  <c r="B679" i="5"/>
  <c r="A680" i="5"/>
  <c r="U677" i="5"/>
  <c r="F678" i="5"/>
  <c r="J679" i="5"/>
  <c r="M679" i="5"/>
  <c r="I679" i="5"/>
  <c r="L679" i="5"/>
  <c r="E679" i="5"/>
  <c r="N679" i="5"/>
  <c r="H679" i="5"/>
  <c r="C679" i="5"/>
  <c r="O679" i="5"/>
  <c r="G679" i="5"/>
  <c r="K679" i="5"/>
  <c r="D679" i="5"/>
  <c r="T679" i="5" l="1"/>
  <c r="P679" i="5"/>
  <c r="S680" i="5"/>
  <c r="B680" i="5"/>
  <c r="A681" i="5"/>
  <c r="R680" i="5"/>
  <c r="Q680" i="5" s="1"/>
  <c r="U678" i="5"/>
  <c r="F679" i="5"/>
  <c r="E680" i="5"/>
  <c r="H680" i="5"/>
  <c r="K680" i="5"/>
  <c r="N680" i="5"/>
  <c r="O680" i="5"/>
  <c r="I680" i="5"/>
  <c r="L680" i="5"/>
  <c r="C680" i="5"/>
  <c r="M680" i="5"/>
  <c r="D680" i="5"/>
  <c r="G680" i="5"/>
  <c r="J680" i="5"/>
  <c r="T680" i="5" l="1"/>
  <c r="P680" i="5"/>
  <c r="S681" i="5"/>
  <c r="R681" i="5"/>
  <c r="Q681" i="5" s="1"/>
  <c r="B681" i="5"/>
  <c r="A682" i="5"/>
  <c r="U679" i="5"/>
  <c r="K681" i="5"/>
  <c r="D681" i="5"/>
  <c r="E681" i="5"/>
  <c r="O681" i="5"/>
  <c r="N681" i="5"/>
  <c r="G681" i="5"/>
  <c r="I681" i="5"/>
  <c r="C681" i="5"/>
  <c r="L681" i="5"/>
  <c r="M681" i="5"/>
  <c r="J681" i="5"/>
  <c r="H681" i="5"/>
  <c r="F680" i="5"/>
  <c r="T681" i="5" l="1"/>
  <c r="P681" i="5"/>
  <c r="U680" i="5"/>
  <c r="S682" i="5"/>
  <c r="A683" i="5"/>
  <c r="B682" i="5"/>
  <c r="R682" i="5"/>
  <c r="Q682" i="5" s="1"/>
  <c r="F681" i="5"/>
  <c r="H682" i="5"/>
  <c r="C682" i="5"/>
  <c r="G682" i="5"/>
  <c r="K682" i="5"/>
  <c r="O682" i="5"/>
  <c r="J682" i="5"/>
  <c r="I682" i="5"/>
  <c r="E682" i="5"/>
  <c r="L682" i="5"/>
  <c r="M682" i="5"/>
  <c r="N682" i="5"/>
  <c r="D682" i="5"/>
  <c r="T682" i="5" l="1"/>
  <c r="P682" i="5"/>
  <c r="S683" i="5"/>
  <c r="A684" i="5"/>
  <c r="R683" i="5"/>
  <c r="Q683" i="5" s="1"/>
  <c r="B683" i="5"/>
  <c r="U681" i="5"/>
  <c r="F682" i="5"/>
  <c r="C683" i="5"/>
  <c r="I683" i="5"/>
  <c r="L683" i="5"/>
  <c r="M683" i="5"/>
  <c r="G683" i="5"/>
  <c r="K683" i="5"/>
  <c r="E683" i="5"/>
  <c r="O683" i="5"/>
  <c r="D683" i="5"/>
  <c r="J683" i="5"/>
  <c r="N683" i="5"/>
  <c r="H683" i="5"/>
  <c r="T683" i="5" l="1"/>
  <c r="P683" i="5"/>
  <c r="S684" i="5"/>
  <c r="R684" i="5"/>
  <c r="Q684" i="5" s="1"/>
  <c r="B684" i="5"/>
  <c r="A685" i="5"/>
  <c r="U682" i="5"/>
  <c r="F683" i="5"/>
  <c r="N684" i="5"/>
  <c r="E684" i="5"/>
  <c r="D684" i="5"/>
  <c r="M684" i="5"/>
  <c r="H684" i="5"/>
  <c r="J684" i="5"/>
  <c r="L684" i="5"/>
  <c r="G684" i="5"/>
  <c r="I684" i="5"/>
  <c r="O684" i="5"/>
  <c r="K684" i="5"/>
  <c r="C684" i="5"/>
  <c r="T684" i="5" l="1"/>
  <c r="P684" i="5"/>
  <c r="S685" i="5"/>
  <c r="A686" i="5"/>
  <c r="B685" i="5"/>
  <c r="R685" i="5"/>
  <c r="Q685" i="5" s="1"/>
  <c r="U683" i="5"/>
  <c r="F684" i="5"/>
  <c r="J685" i="5"/>
  <c r="M685" i="5"/>
  <c r="K685" i="5"/>
  <c r="G685" i="5"/>
  <c r="I685" i="5"/>
  <c r="N685" i="5"/>
  <c r="D685" i="5"/>
  <c r="L685" i="5"/>
  <c r="E685" i="5"/>
  <c r="H685" i="5"/>
  <c r="C685" i="5"/>
  <c r="O685" i="5"/>
  <c r="T685" i="5" l="1"/>
  <c r="P685" i="5"/>
  <c r="S686" i="5"/>
  <c r="B686" i="5"/>
  <c r="R686" i="5"/>
  <c r="Q686" i="5" s="1"/>
  <c r="A687" i="5"/>
  <c r="U684" i="5"/>
  <c r="F685" i="5"/>
  <c r="L686" i="5"/>
  <c r="M686" i="5"/>
  <c r="G686" i="5"/>
  <c r="O686" i="5"/>
  <c r="C686" i="5"/>
  <c r="H686" i="5"/>
  <c r="E686" i="5"/>
  <c r="D686" i="5"/>
  <c r="I686" i="5"/>
  <c r="K686" i="5"/>
  <c r="N686" i="5"/>
  <c r="J686" i="5"/>
  <c r="T686" i="5" l="1"/>
  <c r="P686" i="5"/>
  <c r="S687" i="5"/>
  <c r="A688" i="5"/>
  <c r="R687" i="5"/>
  <c r="Q687" i="5" s="1"/>
  <c r="B687" i="5"/>
  <c r="U685" i="5"/>
  <c r="F686" i="5"/>
  <c r="K687" i="5"/>
  <c r="D687" i="5"/>
  <c r="N687" i="5"/>
  <c r="C687" i="5"/>
  <c r="I687" i="5"/>
  <c r="G687" i="5"/>
  <c r="L687" i="5"/>
  <c r="H687" i="5"/>
  <c r="M687" i="5"/>
  <c r="J687" i="5"/>
  <c r="E687" i="5"/>
  <c r="O687" i="5"/>
  <c r="T687" i="5" l="1"/>
  <c r="P687" i="5"/>
  <c r="S688" i="5"/>
  <c r="R688" i="5"/>
  <c r="Q688" i="5" s="1"/>
  <c r="B688" i="5"/>
  <c r="A689" i="5"/>
  <c r="U686" i="5"/>
  <c r="F687" i="5"/>
  <c r="E688" i="5"/>
  <c r="M688" i="5"/>
  <c r="K688" i="5"/>
  <c r="G688" i="5"/>
  <c r="D688" i="5"/>
  <c r="J688" i="5"/>
  <c r="C688" i="5"/>
  <c r="O688" i="5"/>
  <c r="L688" i="5"/>
  <c r="I688" i="5"/>
  <c r="N688" i="5"/>
  <c r="H688" i="5"/>
  <c r="P688" i="5" l="1"/>
  <c r="T688" i="5"/>
  <c r="S689" i="5"/>
  <c r="R689" i="5"/>
  <c r="Q689" i="5" s="1"/>
  <c r="B689" i="5"/>
  <c r="A690" i="5"/>
  <c r="U687" i="5"/>
  <c r="F688" i="5"/>
  <c r="E689" i="5"/>
  <c r="I689" i="5"/>
  <c r="D689" i="5"/>
  <c r="L689" i="5"/>
  <c r="M689" i="5"/>
  <c r="C689" i="5"/>
  <c r="H689" i="5"/>
  <c r="O689" i="5"/>
  <c r="K689" i="5"/>
  <c r="G689" i="5"/>
  <c r="J689" i="5"/>
  <c r="N689" i="5"/>
  <c r="T689" i="5" l="1"/>
  <c r="P689" i="5"/>
  <c r="S690" i="5"/>
  <c r="R690" i="5"/>
  <c r="Q690" i="5" s="1"/>
  <c r="B690" i="5"/>
  <c r="A691" i="5"/>
  <c r="U688" i="5"/>
  <c r="F689" i="5"/>
  <c r="O690" i="5"/>
  <c r="D690" i="5"/>
  <c r="M690" i="5"/>
  <c r="N690" i="5"/>
  <c r="K690" i="5"/>
  <c r="E690" i="5"/>
  <c r="L690" i="5"/>
  <c r="H690" i="5"/>
  <c r="C690" i="5"/>
  <c r="I690" i="5"/>
  <c r="J690" i="5"/>
  <c r="G690" i="5"/>
  <c r="T690" i="5" l="1"/>
  <c r="P690" i="5"/>
  <c r="S691" i="5"/>
  <c r="R691" i="5"/>
  <c r="Q691" i="5" s="1"/>
  <c r="B691" i="5"/>
  <c r="A692" i="5"/>
  <c r="U689" i="5"/>
  <c r="F690" i="5"/>
  <c r="C691" i="5"/>
  <c r="G691" i="5"/>
  <c r="L691" i="5"/>
  <c r="H691" i="5"/>
  <c r="O691" i="5"/>
  <c r="M691" i="5"/>
  <c r="K691" i="5"/>
  <c r="D691" i="5"/>
  <c r="J691" i="5"/>
  <c r="I691" i="5"/>
  <c r="E691" i="5"/>
  <c r="N691" i="5"/>
  <c r="T691" i="5" l="1"/>
  <c r="P691" i="5"/>
  <c r="S692" i="5"/>
  <c r="R692" i="5"/>
  <c r="Q692" i="5" s="1"/>
  <c r="B692" i="5"/>
  <c r="A693" i="5"/>
  <c r="U690" i="5"/>
  <c r="C692" i="5"/>
  <c r="M692" i="5"/>
  <c r="D692" i="5"/>
  <c r="O692" i="5"/>
  <c r="E692" i="5"/>
  <c r="G692" i="5"/>
  <c r="L692" i="5"/>
  <c r="J692" i="5"/>
  <c r="N692" i="5"/>
  <c r="K692" i="5"/>
  <c r="H692" i="5"/>
  <c r="I692" i="5"/>
  <c r="F691" i="5"/>
  <c r="T692" i="5" l="1"/>
  <c r="P692" i="5"/>
  <c r="S693" i="5"/>
  <c r="R693" i="5"/>
  <c r="Q693" i="5" s="1"/>
  <c r="B693" i="5"/>
  <c r="A694" i="5"/>
  <c r="U691" i="5"/>
  <c r="F692" i="5"/>
  <c r="E693" i="5"/>
  <c r="C693" i="5"/>
  <c r="D693" i="5"/>
  <c r="H693" i="5"/>
  <c r="O693" i="5"/>
  <c r="N693" i="5"/>
  <c r="K693" i="5"/>
  <c r="G693" i="5"/>
  <c r="M693" i="5"/>
  <c r="J693" i="5"/>
  <c r="I693" i="5"/>
  <c r="L693" i="5"/>
  <c r="T693" i="5" l="1"/>
  <c r="P693" i="5"/>
  <c r="S694" i="5"/>
  <c r="R694" i="5"/>
  <c r="Q694" i="5" s="1"/>
  <c r="B694" i="5"/>
  <c r="A695" i="5"/>
  <c r="U692" i="5"/>
  <c r="F693" i="5"/>
  <c r="K694" i="5"/>
  <c r="J694" i="5"/>
  <c r="G694" i="5"/>
  <c r="L694" i="5"/>
  <c r="M694" i="5"/>
  <c r="O694" i="5"/>
  <c r="D694" i="5"/>
  <c r="C694" i="5"/>
  <c r="E694" i="5"/>
  <c r="N694" i="5"/>
  <c r="I694" i="5"/>
  <c r="H694" i="5"/>
  <c r="T694" i="5" l="1"/>
  <c r="P694" i="5"/>
  <c r="S695" i="5"/>
  <c r="B695" i="5"/>
  <c r="A696" i="5"/>
  <c r="R695" i="5"/>
  <c r="Q695" i="5" s="1"/>
  <c r="U693" i="5"/>
  <c r="H695" i="5"/>
  <c r="D695" i="5"/>
  <c r="I695" i="5"/>
  <c r="C695" i="5"/>
  <c r="L695" i="5"/>
  <c r="E695" i="5"/>
  <c r="N695" i="5"/>
  <c r="J695" i="5"/>
  <c r="O695" i="5"/>
  <c r="G695" i="5"/>
  <c r="K695" i="5"/>
  <c r="M695" i="5"/>
  <c r="F694" i="5"/>
  <c r="T695" i="5" l="1"/>
  <c r="P695" i="5"/>
  <c r="U694" i="5"/>
  <c r="S696" i="5"/>
  <c r="R696" i="5"/>
  <c r="Q696" i="5" s="1"/>
  <c r="B696" i="5"/>
  <c r="A697" i="5"/>
  <c r="F695" i="5"/>
  <c r="J696" i="5"/>
  <c r="M696" i="5"/>
  <c r="H696" i="5"/>
  <c r="C696" i="5"/>
  <c r="E696" i="5"/>
  <c r="K696" i="5"/>
  <c r="O696" i="5"/>
  <c r="G696" i="5"/>
  <c r="I696" i="5"/>
  <c r="L696" i="5"/>
  <c r="D696" i="5"/>
  <c r="N696" i="5"/>
  <c r="T696" i="5" l="1"/>
  <c r="P696" i="5"/>
  <c r="U696" i="5" s="1"/>
  <c r="S697" i="5"/>
  <c r="B697" i="5"/>
  <c r="A698" i="5"/>
  <c r="R697" i="5"/>
  <c r="Q697" i="5" s="1"/>
  <c r="U695" i="5"/>
  <c r="K697" i="5"/>
  <c r="J697" i="5"/>
  <c r="O697" i="5"/>
  <c r="H697" i="5"/>
  <c r="D697" i="5"/>
  <c r="E697" i="5"/>
  <c r="I697" i="5"/>
  <c r="N697" i="5"/>
  <c r="M697" i="5"/>
  <c r="G697" i="5"/>
  <c r="L697" i="5"/>
  <c r="C697" i="5"/>
  <c r="F696" i="5"/>
  <c r="T697" i="5" l="1"/>
  <c r="P697" i="5"/>
  <c r="S698" i="5"/>
  <c r="R698" i="5"/>
  <c r="Q698" i="5" s="1"/>
  <c r="B698" i="5"/>
  <c r="A699" i="5"/>
  <c r="F697" i="5"/>
  <c r="M698" i="5"/>
  <c r="D698" i="5"/>
  <c r="L698" i="5"/>
  <c r="H698" i="5"/>
  <c r="C698" i="5"/>
  <c r="G698" i="5"/>
  <c r="K698" i="5"/>
  <c r="I698" i="5"/>
  <c r="J698" i="5"/>
  <c r="N698" i="5"/>
  <c r="E698" i="5"/>
  <c r="O698" i="5"/>
  <c r="T698" i="5" l="1"/>
  <c r="P698" i="5"/>
  <c r="S699" i="5"/>
  <c r="A700" i="5"/>
  <c r="R699" i="5"/>
  <c r="Q699" i="5" s="1"/>
  <c r="B699" i="5"/>
  <c r="U697" i="5"/>
  <c r="F698" i="5"/>
  <c r="C699" i="5"/>
  <c r="K699" i="5"/>
  <c r="I699" i="5"/>
  <c r="O699" i="5"/>
  <c r="E699" i="5"/>
  <c r="N699" i="5"/>
  <c r="G699" i="5"/>
  <c r="H699" i="5"/>
  <c r="M699" i="5"/>
  <c r="J699" i="5"/>
  <c r="L699" i="5"/>
  <c r="D699" i="5"/>
  <c r="T699" i="5" l="1"/>
  <c r="P699" i="5"/>
  <c r="S700" i="5"/>
  <c r="R700" i="5"/>
  <c r="Q700" i="5" s="1"/>
  <c r="B700" i="5"/>
  <c r="A701" i="5"/>
  <c r="U698" i="5"/>
  <c r="F699" i="5"/>
  <c r="O700" i="5"/>
  <c r="K700" i="5"/>
  <c r="G700" i="5"/>
  <c r="M700" i="5"/>
  <c r="E700" i="5"/>
  <c r="C700" i="5"/>
  <c r="D700" i="5"/>
  <c r="J700" i="5"/>
  <c r="H700" i="5"/>
  <c r="I700" i="5"/>
  <c r="N700" i="5"/>
  <c r="L700" i="5"/>
  <c r="T700" i="5" l="1"/>
  <c r="P700" i="5"/>
  <c r="S701" i="5"/>
  <c r="B701" i="5"/>
  <c r="R701" i="5"/>
  <c r="Q701" i="5" s="1"/>
  <c r="A702" i="5"/>
  <c r="U699" i="5"/>
  <c r="F700" i="5"/>
  <c r="C701" i="5"/>
  <c r="L701" i="5"/>
  <c r="E701" i="5"/>
  <c r="G701" i="5"/>
  <c r="H701" i="5"/>
  <c r="O701" i="5"/>
  <c r="J701" i="5"/>
  <c r="K701" i="5"/>
  <c r="I701" i="5"/>
  <c r="D701" i="5"/>
  <c r="M701" i="5"/>
  <c r="N701" i="5"/>
  <c r="T701" i="5" l="1"/>
  <c r="P701" i="5"/>
  <c r="S702" i="5"/>
  <c r="R702" i="5"/>
  <c r="Q702" i="5" s="1"/>
  <c r="B702" i="5"/>
  <c r="A703" i="5"/>
  <c r="U700" i="5"/>
  <c r="F701" i="5"/>
  <c r="H702" i="5"/>
  <c r="I702" i="5"/>
  <c r="M702" i="5"/>
  <c r="D702" i="5"/>
  <c r="E702" i="5"/>
  <c r="N702" i="5"/>
  <c r="O702" i="5"/>
  <c r="G702" i="5"/>
  <c r="L702" i="5"/>
  <c r="J702" i="5"/>
  <c r="K702" i="5"/>
  <c r="C702" i="5"/>
  <c r="T702" i="5" l="1"/>
  <c r="P702" i="5"/>
  <c r="U702" i="5" s="1"/>
  <c r="S703" i="5"/>
  <c r="A704" i="5"/>
  <c r="R703" i="5"/>
  <c r="Q703" i="5" s="1"/>
  <c r="B703" i="5"/>
  <c r="U701" i="5"/>
  <c r="G703" i="5"/>
  <c r="J703" i="5"/>
  <c r="M703" i="5"/>
  <c r="C703" i="5"/>
  <c r="K703" i="5"/>
  <c r="O703" i="5"/>
  <c r="N703" i="5"/>
  <c r="I703" i="5"/>
  <c r="E703" i="5"/>
  <c r="L703" i="5"/>
  <c r="H703" i="5"/>
  <c r="D703" i="5"/>
  <c r="F702" i="5"/>
  <c r="T703" i="5" l="1"/>
  <c r="P703" i="5"/>
  <c r="S704" i="5"/>
  <c r="R704" i="5"/>
  <c r="Q704" i="5" s="1"/>
  <c r="B704" i="5"/>
  <c r="A705" i="5"/>
  <c r="F703" i="5"/>
  <c r="L704" i="5"/>
  <c r="C704" i="5"/>
  <c r="G704" i="5"/>
  <c r="I704" i="5"/>
  <c r="K704" i="5"/>
  <c r="J704" i="5"/>
  <c r="H704" i="5"/>
  <c r="N704" i="5"/>
  <c r="E704" i="5"/>
  <c r="O704" i="5"/>
  <c r="M704" i="5"/>
  <c r="D704" i="5"/>
  <c r="T704" i="5" l="1"/>
  <c r="P704" i="5"/>
  <c r="U704" i="5" s="1"/>
  <c r="S705" i="5"/>
  <c r="A706" i="5"/>
  <c r="B705" i="5"/>
  <c r="R705" i="5"/>
  <c r="Q705" i="5" s="1"/>
  <c r="U703" i="5"/>
  <c r="G705" i="5"/>
  <c r="O705" i="5"/>
  <c r="J705" i="5"/>
  <c r="D705" i="5"/>
  <c r="I705" i="5"/>
  <c r="H705" i="5"/>
  <c r="M705" i="5"/>
  <c r="L705" i="5"/>
  <c r="C705" i="5"/>
  <c r="E705" i="5"/>
  <c r="N705" i="5"/>
  <c r="K705" i="5"/>
  <c r="F704" i="5"/>
  <c r="T705" i="5" l="1"/>
  <c r="P705" i="5"/>
  <c r="S706" i="5"/>
  <c r="R706" i="5"/>
  <c r="Q706" i="5" s="1"/>
  <c r="B706" i="5"/>
  <c r="A707" i="5"/>
  <c r="F705" i="5"/>
  <c r="G706" i="5"/>
  <c r="I706" i="5"/>
  <c r="J706" i="5"/>
  <c r="E706" i="5"/>
  <c r="D706" i="5"/>
  <c r="O706" i="5"/>
  <c r="M706" i="5"/>
  <c r="K706" i="5"/>
  <c r="N706" i="5"/>
  <c r="L706" i="5"/>
  <c r="H706" i="5"/>
  <c r="C706" i="5"/>
  <c r="T706" i="5" l="1"/>
  <c r="P706" i="5"/>
  <c r="S707" i="5"/>
  <c r="R707" i="5"/>
  <c r="Q707" i="5" s="1"/>
  <c r="B707" i="5"/>
  <c r="A708" i="5"/>
  <c r="U705" i="5"/>
  <c r="F706" i="5"/>
  <c r="D707" i="5"/>
  <c r="O707" i="5"/>
  <c r="E707" i="5"/>
  <c r="I707" i="5"/>
  <c r="H707" i="5"/>
  <c r="N707" i="5"/>
  <c r="J707" i="5"/>
  <c r="K707" i="5"/>
  <c r="L707" i="5"/>
  <c r="G707" i="5"/>
  <c r="C707" i="5"/>
  <c r="M707" i="5"/>
  <c r="P707" i="5" l="1"/>
  <c r="T707" i="5"/>
  <c r="S708" i="5"/>
  <c r="R708" i="5"/>
  <c r="Q708" i="5" s="1"/>
  <c r="B708" i="5"/>
  <c r="A709" i="5"/>
  <c r="U706" i="5"/>
  <c r="F707" i="5"/>
  <c r="G708" i="5"/>
  <c r="L708" i="5"/>
  <c r="I708" i="5"/>
  <c r="O708" i="5"/>
  <c r="N708" i="5"/>
  <c r="K708" i="5"/>
  <c r="E708" i="5"/>
  <c r="J708" i="5"/>
  <c r="D708" i="5"/>
  <c r="C708" i="5"/>
  <c r="M708" i="5"/>
  <c r="H708" i="5"/>
  <c r="T708" i="5" l="1"/>
  <c r="P708" i="5"/>
  <c r="S709" i="5"/>
  <c r="B709" i="5"/>
  <c r="R709" i="5"/>
  <c r="Q709" i="5" s="1"/>
  <c r="A710" i="5"/>
  <c r="U707" i="5"/>
  <c r="F708" i="5"/>
  <c r="G709" i="5"/>
  <c r="H709" i="5"/>
  <c r="K709" i="5"/>
  <c r="C709" i="5"/>
  <c r="I709" i="5"/>
  <c r="N709" i="5"/>
  <c r="L709" i="5"/>
  <c r="O709" i="5"/>
  <c r="E709" i="5"/>
  <c r="M709" i="5"/>
  <c r="J709" i="5"/>
  <c r="D709" i="5"/>
  <c r="T709" i="5" l="1"/>
  <c r="P709" i="5"/>
  <c r="S710" i="5"/>
  <c r="B710" i="5"/>
  <c r="A711" i="5"/>
  <c r="R710" i="5"/>
  <c r="Q710" i="5" s="1"/>
  <c r="U708" i="5"/>
  <c r="F709" i="5"/>
  <c r="J710" i="5"/>
  <c r="M710" i="5"/>
  <c r="I710" i="5"/>
  <c r="D710" i="5"/>
  <c r="K710" i="5"/>
  <c r="C710" i="5"/>
  <c r="N710" i="5"/>
  <c r="L710" i="5"/>
  <c r="H710" i="5"/>
  <c r="G710" i="5"/>
  <c r="O710" i="5"/>
  <c r="E710" i="5"/>
  <c r="T710" i="5" l="1"/>
  <c r="P710" i="5"/>
  <c r="S711" i="5"/>
  <c r="A712" i="5"/>
  <c r="R711" i="5"/>
  <c r="Q711" i="5" s="1"/>
  <c r="B711" i="5"/>
  <c r="U709" i="5"/>
  <c r="F710" i="5"/>
  <c r="H711" i="5"/>
  <c r="O711" i="5"/>
  <c r="J711" i="5"/>
  <c r="M711" i="5"/>
  <c r="L711" i="5"/>
  <c r="I711" i="5"/>
  <c r="N711" i="5"/>
  <c r="G711" i="5"/>
  <c r="D711" i="5"/>
  <c r="E711" i="5"/>
  <c r="C711" i="5"/>
  <c r="K711" i="5"/>
  <c r="T711" i="5" l="1"/>
  <c r="P711" i="5"/>
  <c r="S712" i="5"/>
  <c r="R712" i="5"/>
  <c r="Q712" i="5" s="1"/>
  <c r="B712" i="5"/>
  <c r="A713" i="5"/>
  <c r="U710" i="5"/>
  <c r="F711" i="5"/>
  <c r="H712" i="5"/>
  <c r="L712" i="5"/>
  <c r="G712" i="5"/>
  <c r="N712" i="5"/>
  <c r="C712" i="5"/>
  <c r="M712" i="5"/>
  <c r="D712" i="5"/>
  <c r="I712" i="5"/>
  <c r="J712" i="5"/>
  <c r="O712" i="5"/>
  <c r="E712" i="5"/>
  <c r="K712" i="5"/>
  <c r="T712" i="5" l="1"/>
  <c r="P712" i="5"/>
  <c r="S713" i="5"/>
  <c r="B713" i="5"/>
  <c r="A714" i="5"/>
  <c r="R713" i="5"/>
  <c r="Q713" i="5" s="1"/>
  <c r="U711" i="5"/>
  <c r="F712" i="5"/>
  <c r="J713" i="5"/>
  <c r="O713" i="5"/>
  <c r="C713" i="5"/>
  <c r="N713" i="5"/>
  <c r="I713" i="5"/>
  <c r="E713" i="5"/>
  <c r="H713" i="5"/>
  <c r="M713" i="5"/>
  <c r="K713" i="5"/>
  <c r="G713" i="5"/>
  <c r="L713" i="5"/>
  <c r="D713" i="5"/>
  <c r="T713" i="5" l="1"/>
  <c r="P713" i="5"/>
  <c r="S714" i="5"/>
  <c r="B714" i="5"/>
  <c r="R714" i="5"/>
  <c r="Q714" i="5" s="1"/>
  <c r="A715" i="5"/>
  <c r="U712" i="5"/>
  <c r="F713" i="5"/>
  <c r="M714" i="5"/>
  <c r="I714" i="5"/>
  <c r="D714" i="5"/>
  <c r="L714" i="5"/>
  <c r="K714" i="5"/>
  <c r="N714" i="5"/>
  <c r="E714" i="5"/>
  <c r="J714" i="5"/>
  <c r="O714" i="5"/>
  <c r="C714" i="5"/>
  <c r="G714" i="5"/>
  <c r="H714" i="5"/>
  <c r="T714" i="5" l="1"/>
  <c r="P714" i="5"/>
  <c r="S715" i="5"/>
  <c r="B715" i="5"/>
  <c r="A716" i="5"/>
  <c r="R715" i="5"/>
  <c r="Q715" i="5" s="1"/>
  <c r="U713" i="5"/>
  <c r="F714" i="5"/>
  <c r="M715" i="5"/>
  <c r="J715" i="5"/>
  <c r="G715" i="5"/>
  <c r="D715" i="5"/>
  <c r="H715" i="5"/>
  <c r="I715" i="5"/>
  <c r="K715" i="5"/>
  <c r="O715" i="5"/>
  <c r="L715" i="5"/>
  <c r="E715" i="5"/>
  <c r="C715" i="5"/>
  <c r="N715" i="5"/>
  <c r="T715" i="5" l="1"/>
  <c r="P715" i="5"/>
  <c r="S716" i="5"/>
  <c r="A717" i="5"/>
  <c r="R716" i="5"/>
  <c r="Q716" i="5" s="1"/>
  <c r="B716" i="5"/>
  <c r="U714" i="5"/>
  <c r="F715" i="5"/>
  <c r="H716" i="5"/>
  <c r="O716" i="5"/>
  <c r="D716" i="5"/>
  <c r="K716" i="5"/>
  <c r="L716" i="5"/>
  <c r="J716" i="5"/>
  <c r="G716" i="5"/>
  <c r="E716" i="5"/>
  <c r="C716" i="5"/>
  <c r="M716" i="5"/>
  <c r="I716" i="5"/>
  <c r="N716" i="5"/>
  <c r="T716" i="5" l="1"/>
  <c r="P716" i="5"/>
  <c r="U715" i="5"/>
  <c r="S717" i="5"/>
  <c r="B717" i="5"/>
  <c r="A718" i="5"/>
  <c r="R717" i="5"/>
  <c r="Q717" i="5" s="1"/>
  <c r="F716" i="5"/>
  <c r="J717" i="5"/>
  <c r="H717" i="5"/>
  <c r="I717" i="5"/>
  <c r="C717" i="5"/>
  <c r="G717" i="5"/>
  <c r="D717" i="5"/>
  <c r="O717" i="5"/>
  <c r="N717" i="5"/>
  <c r="M717" i="5"/>
  <c r="E717" i="5"/>
  <c r="L717" i="5"/>
  <c r="K717" i="5"/>
  <c r="T717" i="5" l="1"/>
  <c r="P717" i="5"/>
  <c r="S718" i="5"/>
  <c r="A719" i="5"/>
  <c r="B718" i="5"/>
  <c r="R718" i="5"/>
  <c r="Q718" i="5" s="1"/>
  <c r="U716" i="5"/>
  <c r="F717" i="5"/>
  <c r="D718" i="5"/>
  <c r="M718" i="5"/>
  <c r="O718" i="5"/>
  <c r="L718" i="5"/>
  <c r="I718" i="5"/>
  <c r="K718" i="5"/>
  <c r="J718" i="5"/>
  <c r="G718" i="5"/>
  <c r="E718" i="5"/>
  <c r="C718" i="5"/>
  <c r="H718" i="5"/>
  <c r="N718" i="5"/>
  <c r="T718" i="5" l="1"/>
  <c r="P718" i="5"/>
  <c r="S719" i="5"/>
  <c r="B719" i="5"/>
  <c r="R719" i="5"/>
  <c r="Q719" i="5" s="1"/>
  <c r="A720" i="5"/>
  <c r="U717" i="5"/>
  <c r="F718" i="5"/>
  <c r="J719" i="5"/>
  <c r="M719" i="5"/>
  <c r="G719" i="5"/>
  <c r="O719" i="5"/>
  <c r="K719" i="5"/>
  <c r="E719" i="5"/>
  <c r="D719" i="5"/>
  <c r="N719" i="5"/>
  <c r="L719" i="5"/>
  <c r="I719" i="5"/>
  <c r="C719" i="5"/>
  <c r="H719" i="5"/>
  <c r="T719" i="5" l="1"/>
  <c r="P719" i="5"/>
  <c r="S720" i="5"/>
  <c r="R720" i="5"/>
  <c r="Q720" i="5" s="1"/>
  <c r="B720" i="5"/>
  <c r="A721" i="5"/>
  <c r="U718" i="5"/>
  <c r="F719" i="5"/>
  <c r="G720" i="5"/>
  <c r="J720" i="5"/>
  <c r="N720" i="5"/>
  <c r="D720" i="5"/>
  <c r="K720" i="5"/>
  <c r="E720" i="5"/>
  <c r="C720" i="5"/>
  <c r="M720" i="5"/>
  <c r="O720" i="5"/>
  <c r="H720" i="5"/>
  <c r="I720" i="5"/>
  <c r="L720" i="5"/>
  <c r="T720" i="5" l="1"/>
  <c r="P720" i="5"/>
  <c r="S721" i="5"/>
  <c r="B721" i="5"/>
  <c r="R721" i="5"/>
  <c r="Q721" i="5" s="1"/>
  <c r="A722" i="5"/>
  <c r="U719" i="5"/>
  <c r="F720" i="5"/>
  <c r="J721" i="5"/>
  <c r="H721" i="5"/>
  <c r="O721" i="5"/>
  <c r="N721" i="5"/>
  <c r="E721" i="5"/>
  <c r="L721" i="5"/>
  <c r="I721" i="5"/>
  <c r="C721" i="5"/>
  <c r="K721" i="5"/>
  <c r="G721" i="5"/>
  <c r="M721" i="5"/>
  <c r="D721" i="5"/>
  <c r="T721" i="5" l="1"/>
  <c r="P721" i="5"/>
  <c r="S722" i="5"/>
  <c r="A723" i="5"/>
  <c r="R722" i="5"/>
  <c r="Q722" i="5" s="1"/>
  <c r="B722" i="5"/>
  <c r="U720" i="5"/>
  <c r="F721" i="5"/>
  <c r="M722" i="5"/>
  <c r="N722" i="5"/>
  <c r="H722" i="5"/>
  <c r="G722" i="5"/>
  <c r="I722" i="5"/>
  <c r="J722" i="5"/>
  <c r="E722" i="5"/>
  <c r="D722" i="5"/>
  <c r="K722" i="5"/>
  <c r="C722" i="5"/>
  <c r="O722" i="5"/>
  <c r="L722" i="5"/>
  <c r="T722" i="5" l="1"/>
  <c r="P722" i="5"/>
  <c r="S723" i="5"/>
  <c r="A724" i="5"/>
  <c r="R723" i="5"/>
  <c r="Q723" i="5" s="1"/>
  <c r="B723" i="5"/>
  <c r="U721" i="5"/>
  <c r="F722" i="5"/>
  <c r="O723" i="5"/>
  <c r="K723" i="5"/>
  <c r="D723" i="5"/>
  <c r="E723" i="5"/>
  <c r="I723" i="5"/>
  <c r="L723" i="5"/>
  <c r="J723" i="5"/>
  <c r="N723" i="5"/>
  <c r="G723" i="5"/>
  <c r="C723" i="5"/>
  <c r="H723" i="5"/>
  <c r="M723" i="5"/>
  <c r="T723" i="5" l="1"/>
  <c r="P723" i="5"/>
  <c r="S724" i="5"/>
  <c r="R724" i="5"/>
  <c r="Q724" i="5" s="1"/>
  <c r="B724" i="5"/>
  <c r="A725" i="5"/>
  <c r="U722" i="5"/>
  <c r="F723" i="5"/>
  <c r="M724" i="5"/>
  <c r="H724" i="5"/>
  <c r="C724" i="5"/>
  <c r="O724" i="5"/>
  <c r="J724" i="5"/>
  <c r="L724" i="5"/>
  <c r="I724" i="5"/>
  <c r="K724" i="5"/>
  <c r="G724" i="5"/>
  <c r="D724" i="5"/>
  <c r="N724" i="5"/>
  <c r="E724" i="5"/>
  <c r="T724" i="5" l="1"/>
  <c r="P724" i="5"/>
  <c r="S725" i="5"/>
  <c r="A726" i="5"/>
  <c r="R725" i="5"/>
  <c r="Q725" i="5" s="1"/>
  <c r="B725" i="5"/>
  <c r="U723" i="5"/>
  <c r="F724" i="5"/>
  <c r="G725" i="5"/>
  <c r="L725" i="5"/>
  <c r="I725" i="5"/>
  <c r="J725" i="5"/>
  <c r="O725" i="5"/>
  <c r="K725" i="5"/>
  <c r="M725" i="5"/>
  <c r="D725" i="5"/>
  <c r="N725" i="5"/>
  <c r="E725" i="5"/>
  <c r="H725" i="5"/>
  <c r="C725" i="5"/>
  <c r="T725" i="5" l="1"/>
  <c r="P725" i="5"/>
  <c r="S726" i="5"/>
  <c r="A727" i="5"/>
  <c r="R726" i="5"/>
  <c r="Q726" i="5" s="1"/>
  <c r="B726" i="5"/>
  <c r="U724" i="5"/>
  <c r="F725" i="5"/>
  <c r="N726" i="5"/>
  <c r="J726" i="5"/>
  <c r="I726" i="5"/>
  <c r="M726" i="5"/>
  <c r="L726" i="5"/>
  <c r="O726" i="5"/>
  <c r="K726" i="5"/>
  <c r="D726" i="5"/>
  <c r="G726" i="5"/>
  <c r="C726" i="5"/>
  <c r="E726" i="5"/>
  <c r="H726" i="5"/>
  <c r="T726" i="5" l="1"/>
  <c r="P726" i="5"/>
  <c r="S727" i="5"/>
  <c r="A728" i="5"/>
  <c r="R727" i="5"/>
  <c r="Q727" i="5" s="1"/>
  <c r="B727" i="5"/>
  <c r="U725" i="5"/>
  <c r="F726" i="5"/>
  <c r="K727" i="5"/>
  <c r="G727" i="5"/>
  <c r="O727" i="5"/>
  <c r="J727" i="5"/>
  <c r="I727" i="5"/>
  <c r="D727" i="5"/>
  <c r="H727" i="5"/>
  <c r="C727" i="5"/>
  <c r="L727" i="5"/>
  <c r="E727" i="5"/>
  <c r="M727" i="5"/>
  <c r="N727" i="5"/>
  <c r="T727" i="5" l="1"/>
  <c r="P727" i="5"/>
  <c r="S728" i="5"/>
  <c r="R728" i="5"/>
  <c r="Q728" i="5" s="1"/>
  <c r="B728" i="5"/>
  <c r="A729" i="5"/>
  <c r="U726" i="5"/>
  <c r="F727" i="5"/>
  <c r="M728" i="5"/>
  <c r="D728" i="5"/>
  <c r="C728" i="5"/>
  <c r="L728" i="5"/>
  <c r="H728" i="5"/>
  <c r="O728" i="5"/>
  <c r="E728" i="5"/>
  <c r="I728" i="5"/>
  <c r="K728" i="5"/>
  <c r="J728" i="5"/>
  <c r="N728" i="5"/>
  <c r="G728" i="5"/>
  <c r="T728" i="5" l="1"/>
  <c r="P728" i="5"/>
  <c r="S729" i="5"/>
  <c r="A730" i="5"/>
  <c r="B729" i="5"/>
  <c r="R729" i="5"/>
  <c r="Q729" i="5" s="1"/>
  <c r="U727" i="5"/>
  <c r="F728" i="5"/>
  <c r="D729" i="5"/>
  <c r="I729" i="5"/>
  <c r="K729" i="5"/>
  <c r="H729" i="5"/>
  <c r="E729" i="5"/>
  <c r="C729" i="5"/>
  <c r="J729" i="5"/>
  <c r="O729" i="5"/>
  <c r="M729" i="5"/>
  <c r="N729" i="5"/>
  <c r="L729" i="5"/>
  <c r="G729" i="5"/>
  <c r="T729" i="5" l="1"/>
  <c r="P729" i="5"/>
  <c r="S730" i="5"/>
  <c r="B730" i="5"/>
  <c r="R730" i="5"/>
  <c r="Q730" i="5" s="1"/>
  <c r="A731" i="5"/>
  <c r="U728" i="5"/>
  <c r="F729" i="5"/>
  <c r="E730" i="5"/>
  <c r="N730" i="5"/>
  <c r="J730" i="5"/>
  <c r="C730" i="5"/>
  <c r="I730" i="5"/>
  <c r="O730" i="5"/>
  <c r="K730" i="5"/>
  <c r="G730" i="5"/>
  <c r="H730" i="5"/>
  <c r="M730" i="5"/>
  <c r="L730" i="5"/>
  <c r="D730" i="5"/>
  <c r="T730" i="5" l="1"/>
  <c r="P730" i="5"/>
  <c r="U730" i="5" s="1"/>
  <c r="S731" i="5"/>
  <c r="A732" i="5"/>
  <c r="R731" i="5"/>
  <c r="Q731" i="5" s="1"/>
  <c r="B731" i="5"/>
  <c r="U729" i="5"/>
  <c r="G731" i="5"/>
  <c r="H731" i="5"/>
  <c r="O731" i="5"/>
  <c r="M731" i="5"/>
  <c r="E731" i="5"/>
  <c r="L731" i="5"/>
  <c r="J731" i="5"/>
  <c r="D731" i="5"/>
  <c r="C731" i="5"/>
  <c r="K731" i="5"/>
  <c r="I731" i="5"/>
  <c r="N731" i="5"/>
  <c r="F730" i="5"/>
  <c r="T731" i="5" l="1"/>
  <c r="P731" i="5"/>
  <c r="S732" i="5"/>
  <c r="R732" i="5"/>
  <c r="Q732" i="5" s="1"/>
  <c r="B732" i="5"/>
  <c r="A733" i="5"/>
  <c r="F731" i="5"/>
  <c r="E732" i="5"/>
  <c r="K732" i="5"/>
  <c r="L732" i="5"/>
  <c r="I732" i="5"/>
  <c r="D732" i="5"/>
  <c r="G732" i="5"/>
  <c r="J732" i="5"/>
  <c r="N732" i="5"/>
  <c r="O732" i="5"/>
  <c r="M732" i="5"/>
  <c r="H732" i="5"/>
  <c r="C732" i="5"/>
  <c r="T732" i="5" l="1"/>
  <c r="P732" i="5"/>
  <c r="S733" i="5"/>
  <c r="B733" i="5"/>
  <c r="R733" i="5"/>
  <c r="Q733" i="5" s="1"/>
  <c r="A734" i="5"/>
  <c r="U731" i="5"/>
  <c r="F732" i="5"/>
  <c r="K733" i="5"/>
  <c r="O733" i="5"/>
  <c r="G733" i="5"/>
  <c r="L733" i="5"/>
  <c r="E733" i="5"/>
  <c r="J733" i="5"/>
  <c r="C733" i="5"/>
  <c r="I733" i="5"/>
  <c r="N733" i="5"/>
  <c r="M733" i="5"/>
  <c r="H733" i="5"/>
  <c r="D733" i="5"/>
  <c r="T733" i="5" l="1"/>
  <c r="P733" i="5"/>
  <c r="S734" i="5"/>
  <c r="A735" i="5"/>
  <c r="R734" i="5"/>
  <c r="Q734" i="5" s="1"/>
  <c r="B734" i="5"/>
  <c r="U732" i="5"/>
  <c r="F733" i="5"/>
  <c r="H734" i="5"/>
  <c r="C734" i="5"/>
  <c r="J734" i="5"/>
  <c r="G734" i="5"/>
  <c r="I734" i="5"/>
  <c r="M734" i="5"/>
  <c r="E734" i="5"/>
  <c r="K734" i="5"/>
  <c r="D734" i="5"/>
  <c r="O734" i="5"/>
  <c r="L734" i="5"/>
  <c r="N734" i="5"/>
  <c r="T734" i="5" l="1"/>
  <c r="P734" i="5"/>
  <c r="S735" i="5"/>
  <c r="A736" i="5"/>
  <c r="R735" i="5"/>
  <c r="Q735" i="5" s="1"/>
  <c r="B735" i="5"/>
  <c r="U733" i="5"/>
  <c r="F734" i="5"/>
  <c r="L735" i="5"/>
  <c r="H735" i="5"/>
  <c r="D735" i="5"/>
  <c r="C735" i="5"/>
  <c r="K735" i="5"/>
  <c r="O735" i="5"/>
  <c r="G735" i="5"/>
  <c r="M735" i="5"/>
  <c r="N735" i="5"/>
  <c r="I735" i="5"/>
  <c r="J735" i="5"/>
  <c r="E735" i="5"/>
  <c r="T735" i="5" l="1"/>
  <c r="P735" i="5"/>
  <c r="S736" i="5"/>
  <c r="R736" i="5"/>
  <c r="Q736" i="5" s="1"/>
  <c r="B736" i="5"/>
  <c r="A737" i="5"/>
  <c r="U734" i="5"/>
  <c r="F735" i="5"/>
  <c r="O736" i="5"/>
  <c r="N736" i="5"/>
  <c r="E736" i="5"/>
  <c r="J736" i="5"/>
  <c r="L736" i="5"/>
  <c r="D736" i="5"/>
  <c r="G736" i="5"/>
  <c r="K736" i="5"/>
  <c r="C736" i="5"/>
  <c r="M736" i="5"/>
  <c r="I736" i="5"/>
  <c r="H736" i="5"/>
  <c r="T736" i="5" l="1"/>
  <c r="P736" i="5"/>
  <c r="S737" i="5"/>
  <c r="A738" i="5"/>
  <c r="R737" i="5"/>
  <c r="Q737" i="5" s="1"/>
  <c r="B737" i="5"/>
  <c r="U735" i="5"/>
  <c r="F736" i="5"/>
  <c r="H737" i="5"/>
  <c r="J737" i="5"/>
  <c r="N737" i="5"/>
  <c r="L737" i="5"/>
  <c r="D737" i="5"/>
  <c r="G737" i="5"/>
  <c r="E737" i="5"/>
  <c r="O737" i="5"/>
  <c r="C737" i="5"/>
  <c r="I737" i="5"/>
  <c r="K737" i="5"/>
  <c r="M737" i="5"/>
  <c r="T737" i="5" l="1"/>
  <c r="P737" i="5"/>
  <c r="S738" i="5"/>
  <c r="A739" i="5"/>
  <c r="R738" i="5"/>
  <c r="Q738" i="5" s="1"/>
  <c r="B738" i="5"/>
  <c r="U736" i="5"/>
  <c r="F737" i="5"/>
  <c r="H738" i="5"/>
  <c r="G738" i="5"/>
  <c r="K738" i="5"/>
  <c r="I738" i="5"/>
  <c r="J738" i="5"/>
  <c r="D738" i="5"/>
  <c r="L738" i="5"/>
  <c r="O738" i="5"/>
  <c r="C738" i="5"/>
  <c r="M738" i="5"/>
  <c r="N738" i="5"/>
  <c r="E738" i="5"/>
  <c r="T738" i="5" l="1"/>
  <c r="P738" i="5"/>
  <c r="S739" i="5"/>
  <c r="A740" i="5"/>
  <c r="R739" i="5"/>
  <c r="Q739" i="5" s="1"/>
  <c r="B739" i="5"/>
  <c r="U737" i="5"/>
  <c r="F738" i="5"/>
  <c r="I739" i="5"/>
  <c r="D739" i="5"/>
  <c r="E739" i="5"/>
  <c r="K739" i="5"/>
  <c r="N739" i="5"/>
  <c r="H739" i="5"/>
  <c r="J739" i="5"/>
  <c r="O739" i="5"/>
  <c r="G739" i="5"/>
  <c r="M739" i="5"/>
  <c r="C739" i="5"/>
  <c r="L739" i="5"/>
  <c r="T739" i="5" l="1"/>
  <c r="P739" i="5"/>
  <c r="S740" i="5"/>
  <c r="R740" i="5"/>
  <c r="Q740" i="5" s="1"/>
  <c r="B740" i="5"/>
  <c r="A741" i="5"/>
  <c r="U738" i="5"/>
  <c r="F739" i="5"/>
  <c r="J740" i="5"/>
  <c r="K740" i="5"/>
  <c r="M740" i="5"/>
  <c r="D740" i="5"/>
  <c r="N740" i="5"/>
  <c r="H740" i="5"/>
  <c r="I740" i="5"/>
  <c r="G740" i="5"/>
  <c r="L740" i="5"/>
  <c r="O740" i="5"/>
  <c r="E740" i="5"/>
  <c r="C740" i="5"/>
  <c r="T740" i="5" l="1"/>
  <c r="P740" i="5"/>
  <c r="S741" i="5"/>
  <c r="A742" i="5"/>
  <c r="R741" i="5"/>
  <c r="Q741" i="5" s="1"/>
  <c r="B741" i="5"/>
  <c r="U739" i="5"/>
  <c r="F740" i="5"/>
  <c r="O741" i="5"/>
  <c r="D741" i="5"/>
  <c r="J741" i="5"/>
  <c r="K741" i="5"/>
  <c r="M741" i="5"/>
  <c r="H741" i="5"/>
  <c r="N741" i="5"/>
  <c r="C741" i="5"/>
  <c r="I741" i="5"/>
  <c r="L741" i="5"/>
  <c r="E741" i="5"/>
  <c r="G741" i="5"/>
  <c r="T741" i="5" l="1"/>
  <c r="P741" i="5"/>
  <c r="S742" i="5"/>
  <c r="B742" i="5"/>
  <c r="R742" i="5"/>
  <c r="Q742" i="5" s="1"/>
  <c r="A743" i="5"/>
  <c r="U740" i="5"/>
  <c r="F741" i="5"/>
  <c r="M742" i="5"/>
  <c r="H742" i="5"/>
  <c r="C742" i="5"/>
  <c r="E742" i="5"/>
  <c r="I742" i="5"/>
  <c r="O742" i="5"/>
  <c r="G742" i="5"/>
  <c r="J742" i="5"/>
  <c r="K742" i="5"/>
  <c r="N742" i="5"/>
  <c r="D742" i="5"/>
  <c r="L742" i="5"/>
  <c r="T742" i="5" l="1"/>
  <c r="P742" i="5"/>
  <c r="S743" i="5"/>
  <c r="B743" i="5"/>
  <c r="A744" i="5"/>
  <c r="R743" i="5"/>
  <c r="Q743" i="5" s="1"/>
  <c r="U741" i="5"/>
  <c r="F742" i="5"/>
  <c r="L743" i="5"/>
  <c r="C743" i="5"/>
  <c r="D743" i="5"/>
  <c r="K743" i="5"/>
  <c r="G743" i="5"/>
  <c r="J743" i="5"/>
  <c r="N743" i="5"/>
  <c r="O743" i="5"/>
  <c r="I743" i="5"/>
  <c r="M743" i="5"/>
  <c r="E743" i="5"/>
  <c r="H743" i="5"/>
  <c r="T743" i="5" l="1"/>
  <c r="P743" i="5"/>
  <c r="S744" i="5"/>
  <c r="R744" i="5"/>
  <c r="Q744" i="5" s="1"/>
  <c r="B744" i="5"/>
  <c r="A745" i="5"/>
  <c r="U742" i="5"/>
  <c r="F743" i="5"/>
  <c r="H744" i="5"/>
  <c r="G744" i="5"/>
  <c r="J744" i="5"/>
  <c r="I744" i="5"/>
  <c r="C744" i="5"/>
  <c r="E744" i="5"/>
  <c r="O744" i="5"/>
  <c r="L744" i="5"/>
  <c r="N744" i="5"/>
  <c r="M744" i="5"/>
  <c r="D744" i="5"/>
  <c r="K744" i="5"/>
  <c r="T744" i="5" l="1"/>
  <c r="P744" i="5"/>
  <c r="S745" i="5"/>
  <c r="A746" i="5"/>
  <c r="R745" i="5"/>
  <c r="Q745" i="5" s="1"/>
  <c r="B745" i="5"/>
  <c r="U743" i="5"/>
  <c r="F744" i="5"/>
  <c r="I745" i="5"/>
  <c r="J745" i="5"/>
  <c r="K745" i="5"/>
  <c r="M745" i="5"/>
  <c r="D745" i="5"/>
  <c r="N745" i="5"/>
  <c r="H745" i="5"/>
  <c r="G745" i="5"/>
  <c r="L745" i="5"/>
  <c r="E745" i="5"/>
  <c r="O745" i="5"/>
  <c r="C745" i="5"/>
  <c r="T745" i="5" l="1"/>
  <c r="P745" i="5"/>
  <c r="S746" i="5"/>
  <c r="A747" i="5"/>
  <c r="R746" i="5"/>
  <c r="Q746" i="5" s="1"/>
  <c r="B746" i="5"/>
  <c r="U744" i="5"/>
  <c r="F745" i="5"/>
  <c r="G746" i="5"/>
  <c r="M746" i="5"/>
  <c r="K746" i="5"/>
  <c r="E746" i="5"/>
  <c r="L746" i="5"/>
  <c r="N746" i="5"/>
  <c r="C746" i="5"/>
  <c r="O746" i="5"/>
  <c r="J746" i="5"/>
  <c r="D746" i="5"/>
  <c r="I746" i="5"/>
  <c r="H746" i="5"/>
  <c r="T746" i="5" l="1"/>
  <c r="P746" i="5"/>
  <c r="U745" i="5"/>
  <c r="S747" i="5"/>
  <c r="B747" i="5"/>
  <c r="A748" i="5"/>
  <c r="R747" i="5"/>
  <c r="Q747" i="5" s="1"/>
  <c r="F746" i="5"/>
  <c r="N747" i="5"/>
  <c r="L747" i="5"/>
  <c r="M747" i="5"/>
  <c r="O747" i="5"/>
  <c r="C747" i="5"/>
  <c r="J747" i="5"/>
  <c r="E747" i="5"/>
  <c r="H747" i="5"/>
  <c r="G747" i="5"/>
  <c r="K747" i="5"/>
  <c r="D747" i="5"/>
  <c r="I747" i="5"/>
  <c r="T747" i="5" l="1"/>
  <c r="P747" i="5"/>
  <c r="S748" i="5"/>
  <c r="R748" i="5"/>
  <c r="Q748" i="5" s="1"/>
  <c r="B748" i="5"/>
  <c r="A749" i="5"/>
  <c r="U746" i="5"/>
  <c r="F747" i="5"/>
  <c r="E748" i="5"/>
  <c r="J748" i="5"/>
  <c r="I748" i="5"/>
  <c r="D748" i="5"/>
  <c r="N748" i="5"/>
  <c r="H748" i="5"/>
  <c r="C748" i="5"/>
  <c r="G748" i="5"/>
  <c r="K748" i="5"/>
  <c r="L748" i="5"/>
  <c r="M748" i="5"/>
  <c r="O748" i="5"/>
  <c r="T748" i="5" l="1"/>
  <c r="P748" i="5"/>
  <c r="S749" i="5"/>
  <c r="A750" i="5"/>
  <c r="R749" i="5"/>
  <c r="Q749" i="5" s="1"/>
  <c r="B749" i="5"/>
  <c r="U747" i="5"/>
  <c r="F748" i="5"/>
  <c r="C749" i="5"/>
  <c r="M749" i="5"/>
  <c r="O749" i="5"/>
  <c r="N749" i="5"/>
  <c r="J749" i="5"/>
  <c r="E749" i="5"/>
  <c r="L749" i="5"/>
  <c r="D749" i="5"/>
  <c r="H749" i="5"/>
  <c r="I749" i="5"/>
  <c r="G749" i="5"/>
  <c r="K749" i="5"/>
  <c r="T749" i="5" l="1"/>
  <c r="P749" i="5"/>
  <c r="U748" i="5"/>
  <c r="S750" i="5"/>
  <c r="A751" i="5"/>
  <c r="R750" i="5"/>
  <c r="Q750" i="5" s="1"/>
  <c r="B750" i="5"/>
  <c r="F749" i="5"/>
  <c r="E750" i="5"/>
  <c r="G750" i="5"/>
  <c r="J750" i="5"/>
  <c r="N750" i="5"/>
  <c r="C750" i="5"/>
  <c r="L750" i="5"/>
  <c r="O750" i="5"/>
  <c r="D750" i="5"/>
  <c r="I750" i="5"/>
  <c r="K750" i="5"/>
  <c r="H750" i="5"/>
  <c r="M750" i="5"/>
  <c r="T750" i="5" l="1"/>
  <c r="P750" i="5"/>
  <c r="S751" i="5"/>
  <c r="B751" i="5"/>
  <c r="R751" i="5"/>
  <c r="Q751" i="5" s="1"/>
  <c r="A752" i="5"/>
  <c r="U749" i="5"/>
  <c r="F750" i="5"/>
  <c r="D751" i="5"/>
  <c r="O751" i="5"/>
  <c r="N751" i="5"/>
  <c r="C751" i="5"/>
  <c r="E751" i="5"/>
  <c r="K751" i="5"/>
  <c r="L751" i="5"/>
  <c r="M751" i="5"/>
  <c r="G751" i="5"/>
  <c r="I751" i="5"/>
  <c r="H751" i="5"/>
  <c r="J751" i="5"/>
  <c r="T751" i="5" l="1"/>
  <c r="P751" i="5"/>
  <c r="S752" i="5"/>
  <c r="A753" i="5"/>
  <c r="R752" i="5"/>
  <c r="Q752" i="5" s="1"/>
  <c r="B752" i="5"/>
  <c r="U750" i="5"/>
  <c r="F751" i="5"/>
  <c r="G752" i="5"/>
  <c r="N752" i="5"/>
  <c r="E752" i="5"/>
  <c r="I752" i="5"/>
  <c r="K752" i="5"/>
  <c r="J752" i="5"/>
  <c r="H752" i="5"/>
  <c r="L752" i="5"/>
  <c r="C752" i="5"/>
  <c r="O752" i="5"/>
  <c r="M752" i="5"/>
  <c r="D752" i="5"/>
  <c r="P752" i="5" l="1"/>
  <c r="T752" i="5"/>
  <c r="U751" i="5"/>
  <c r="S753" i="5"/>
  <c r="A754" i="5"/>
  <c r="R753" i="5"/>
  <c r="Q753" i="5" s="1"/>
  <c r="B753" i="5"/>
  <c r="F752" i="5"/>
  <c r="O753" i="5"/>
  <c r="J753" i="5"/>
  <c r="N753" i="5"/>
  <c r="I753" i="5"/>
  <c r="G753" i="5"/>
  <c r="H753" i="5"/>
  <c r="M753" i="5"/>
  <c r="D753" i="5"/>
  <c r="K753" i="5"/>
  <c r="L753" i="5"/>
  <c r="C753" i="5"/>
  <c r="E753" i="5"/>
  <c r="T753" i="5" l="1"/>
  <c r="P753" i="5"/>
  <c r="S754" i="5"/>
  <c r="B754" i="5"/>
  <c r="A755" i="5"/>
  <c r="R754" i="5"/>
  <c r="Q754" i="5" s="1"/>
  <c r="U752" i="5"/>
  <c r="F753" i="5"/>
  <c r="O754" i="5"/>
  <c r="I754" i="5"/>
  <c r="E754" i="5"/>
  <c r="D754" i="5"/>
  <c r="J754" i="5"/>
  <c r="H754" i="5"/>
  <c r="G754" i="5"/>
  <c r="M754" i="5"/>
  <c r="L754" i="5"/>
  <c r="C754" i="5"/>
  <c r="N754" i="5"/>
  <c r="K754" i="5"/>
  <c r="T754" i="5" l="1"/>
  <c r="P754" i="5"/>
  <c r="S755" i="5"/>
  <c r="A756" i="5"/>
  <c r="R755" i="5"/>
  <c r="Q755" i="5" s="1"/>
  <c r="B755" i="5"/>
  <c r="U753" i="5"/>
  <c r="F754" i="5"/>
  <c r="J755" i="5"/>
  <c r="O755" i="5"/>
  <c r="M755" i="5"/>
  <c r="D755" i="5"/>
  <c r="N755" i="5"/>
  <c r="H755" i="5"/>
  <c r="L755" i="5"/>
  <c r="I755" i="5"/>
  <c r="G755" i="5"/>
  <c r="K755" i="5"/>
  <c r="E755" i="5"/>
  <c r="C755" i="5"/>
  <c r="T755" i="5" l="1"/>
  <c r="P755" i="5"/>
  <c r="S756" i="5"/>
  <c r="R756" i="5"/>
  <c r="Q756" i="5" s="1"/>
  <c r="B756" i="5"/>
  <c r="A757" i="5"/>
  <c r="U754" i="5"/>
  <c r="F755" i="5"/>
  <c r="D756" i="5"/>
  <c r="L756" i="5"/>
  <c r="I756" i="5"/>
  <c r="G756" i="5"/>
  <c r="H756" i="5"/>
  <c r="J756" i="5"/>
  <c r="N756" i="5"/>
  <c r="C756" i="5"/>
  <c r="O756" i="5"/>
  <c r="E756" i="5"/>
  <c r="K756" i="5"/>
  <c r="M756" i="5"/>
  <c r="T756" i="5" l="1"/>
  <c r="P756" i="5"/>
  <c r="S757" i="5"/>
  <c r="R757" i="5"/>
  <c r="Q757" i="5" s="1"/>
  <c r="B757" i="5"/>
  <c r="A758" i="5"/>
  <c r="U755" i="5"/>
  <c r="F756" i="5"/>
  <c r="K757" i="5"/>
  <c r="C757" i="5"/>
  <c r="D757" i="5"/>
  <c r="H757" i="5"/>
  <c r="N757" i="5"/>
  <c r="I757" i="5"/>
  <c r="E757" i="5"/>
  <c r="O757" i="5"/>
  <c r="L757" i="5"/>
  <c r="J757" i="5"/>
  <c r="G757" i="5"/>
  <c r="M757" i="5"/>
  <c r="T757" i="5" l="1"/>
  <c r="P757" i="5"/>
  <c r="S758" i="5"/>
  <c r="A759" i="5"/>
  <c r="R758" i="5"/>
  <c r="Q758" i="5" s="1"/>
  <c r="B758" i="5"/>
  <c r="U756" i="5"/>
  <c r="F757" i="5"/>
  <c r="H758" i="5"/>
  <c r="C758" i="5"/>
  <c r="O758" i="5"/>
  <c r="M758" i="5"/>
  <c r="G758" i="5"/>
  <c r="E758" i="5"/>
  <c r="K758" i="5"/>
  <c r="N758" i="5"/>
  <c r="I758" i="5"/>
  <c r="J758" i="5"/>
  <c r="L758" i="5"/>
  <c r="D758" i="5"/>
  <c r="T758" i="5" l="1"/>
  <c r="P758" i="5"/>
  <c r="S759" i="5"/>
  <c r="A760" i="5"/>
  <c r="R759" i="5"/>
  <c r="Q759" i="5" s="1"/>
  <c r="B759" i="5"/>
  <c r="U757" i="5"/>
  <c r="F758" i="5"/>
  <c r="I759" i="5"/>
  <c r="N759" i="5"/>
  <c r="E759" i="5"/>
  <c r="C759" i="5"/>
  <c r="L759" i="5"/>
  <c r="H759" i="5"/>
  <c r="O759" i="5"/>
  <c r="K759" i="5"/>
  <c r="G759" i="5"/>
  <c r="D759" i="5"/>
  <c r="J759" i="5"/>
  <c r="M759" i="5"/>
  <c r="T759" i="5" l="1"/>
  <c r="P759" i="5"/>
  <c r="S760" i="5"/>
  <c r="A761" i="5"/>
  <c r="R760" i="5"/>
  <c r="Q760" i="5" s="1"/>
  <c r="B760" i="5"/>
  <c r="U758" i="5"/>
  <c r="F759" i="5"/>
  <c r="N760" i="5"/>
  <c r="C760" i="5"/>
  <c r="I760" i="5"/>
  <c r="E760" i="5"/>
  <c r="J760" i="5"/>
  <c r="H760" i="5"/>
  <c r="G760" i="5"/>
  <c r="O760" i="5"/>
  <c r="D760" i="5"/>
  <c r="M760" i="5"/>
  <c r="K760" i="5"/>
  <c r="L760" i="5"/>
  <c r="T760" i="5" l="1"/>
  <c r="P760" i="5"/>
  <c r="S761" i="5"/>
  <c r="R761" i="5"/>
  <c r="Q761" i="5" s="1"/>
  <c r="B761" i="5"/>
  <c r="A762" i="5"/>
  <c r="U759" i="5"/>
  <c r="I761" i="5"/>
  <c r="C761" i="5"/>
  <c r="O761" i="5"/>
  <c r="G761" i="5"/>
  <c r="J761" i="5"/>
  <c r="E761" i="5"/>
  <c r="K761" i="5"/>
  <c r="D761" i="5"/>
  <c r="H761" i="5"/>
  <c r="M761" i="5"/>
  <c r="L761" i="5"/>
  <c r="N761" i="5"/>
  <c r="F760" i="5"/>
  <c r="T761" i="5" l="1"/>
  <c r="P761" i="5"/>
  <c r="S762" i="5"/>
  <c r="R762" i="5"/>
  <c r="Q762" i="5" s="1"/>
  <c r="B762" i="5"/>
  <c r="A763" i="5"/>
  <c r="U760" i="5"/>
  <c r="F761" i="5"/>
  <c r="J762" i="5"/>
  <c r="H762" i="5"/>
  <c r="M762" i="5"/>
  <c r="D762" i="5"/>
  <c r="L762" i="5"/>
  <c r="I762" i="5"/>
  <c r="G762" i="5"/>
  <c r="O762" i="5"/>
  <c r="K762" i="5"/>
  <c r="C762" i="5"/>
  <c r="E762" i="5"/>
  <c r="N762" i="5"/>
  <c r="T762" i="5" l="1"/>
  <c r="P762" i="5"/>
  <c r="S763" i="5"/>
  <c r="R763" i="5"/>
  <c r="Q763" i="5" s="1"/>
  <c r="B763" i="5"/>
  <c r="A764" i="5"/>
  <c r="U761" i="5"/>
  <c r="F762" i="5"/>
  <c r="J763" i="5"/>
  <c r="O763" i="5"/>
  <c r="L763" i="5"/>
  <c r="D763" i="5"/>
  <c r="N763" i="5"/>
  <c r="K763" i="5"/>
  <c r="H763" i="5"/>
  <c r="G763" i="5"/>
  <c r="I763" i="5"/>
  <c r="E763" i="5"/>
  <c r="M763" i="5"/>
  <c r="C763" i="5"/>
  <c r="T763" i="5" l="1"/>
  <c r="P763" i="5"/>
  <c r="S764" i="5"/>
  <c r="R764" i="5"/>
  <c r="Q764" i="5" s="1"/>
  <c r="B764" i="5"/>
  <c r="A765" i="5"/>
  <c r="U762" i="5"/>
  <c r="F763" i="5"/>
  <c r="M764" i="5"/>
  <c r="I764" i="5"/>
  <c r="L764" i="5"/>
  <c r="N764" i="5"/>
  <c r="K764" i="5"/>
  <c r="G764" i="5"/>
  <c r="H764" i="5"/>
  <c r="D764" i="5"/>
  <c r="O764" i="5"/>
  <c r="E764" i="5"/>
  <c r="C764" i="5"/>
  <c r="J764" i="5"/>
  <c r="T764" i="5" l="1"/>
  <c r="P764" i="5"/>
  <c r="S765" i="5"/>
  <c r="R765" i="5"/>
  <c r="Q765" i="5" s="1"/>
  <c r="B765" i="5"/>
  <c r="A766" i="5"/>
  <c r="U763" i="5"/>
  <c r="F764" i="5"/>
  <c r="I765" i="5"/>
  <c r="O765" i="5"/>
  <c r="H765" i="5"/>
  <c r="G765" i="5"/>
  <c r="D765" i="5"/>
  <c r="K765" i="5"/>
  <c r="J765" i="5"/>
  <c r="L765" i="5"/>
  <c r="E765" i="5"/>
  <c r="C765" i="5"/>
  <c r="N765" i="5"/>
  <c r="M765" i="5"/>
  <c r="T765" i="5" l="1"/>
  <c r="P765" i="5"/>
  <c r="S766" i="5"/>
  <c r="R766" i="5"/>
  <c r="Q766" i="5" s="1"/>
  <c r="B766" i="5"/>
  <c r="A767" i="5"/>
  <c r="U764" i="5"/>
  <c r="F765" i="5"/>
  <c r="N766" i="5"/>
  <c r="G766" i="5"/>
  <c r="K766" i="5"/>
  <c r="I766" i="5"/>
  <c r="O766" i="5"/>
  <c r="M766" i="5"/>
  <c r="H766" i="5"/>
  <c r="L766" i="5"/>
  <c r="D766" i="5"/>
  <c r="C766" i="5"/>
  <c r="E766" i="5"/>
  <c r="J766" i="5"/>
  <c r="P766" i="5" l="1"/>
  <c r="T766" i="5"/>
  <c r="S767" i="5"/>
  <c r="R767" i="5"/>
  <c r="Q767" i="5" s="1"/>
  <c r="B767" i="5"/>
  <c r="A768" i="5"/>
  <c r="U765" i="5"/>
  <c r="F766" i="5"/>
  <c r="C767" i="5"/>
  <c r="G767" i="5"/>
  <c r="I767" i="5"/>
  <c r="L767" i="5"/>
  <c r="N767" i="5"/>
  <c r="O767" i="5"/>
  <c r="J767" i="5"/>
  <c r="E767" i="5"/>
  <c r="D767" i="5"/>
  <c r="K767" i="5"/>
  <c r="H767" i="5"/>
  <c r="M767" i="5"/>
  <c r="T767" i="5" l="1"/>
  <c r="P767" i="5"/>
  <c r="S768" i="5"/>
  <c r="R768" i="5"/>
  <c r="Q768" i="5" s="1"/>
  <c r="B768" i="5"/>
  <c r="A769" i="5"/>
  <c r="U766" i="5"/>
  <c r="F767" i="5"/>
  <c r="I768" i="5"/>
  <c r="N768" i="5"/>
  <c r="E768" i="5"/>
  <c r="C768" i="5"/>
  <c r="H768" i="5"/>
  <c r="M768" i="5"/>
  <c r="L768" i="5"/>
  <c r="G768" i="5"/>
  <c r="K768" i="5"/>
  <c r="O768" i="5"/>
  <c r="D768" i="5"/>
  <c r="J768" i="5"/>
  <c r="P768" i="5" l="1"/>
  <c r="T768" i="5"/>
  <c r="S769" i="5"/>
  <c r="R769" i="5"/>
  <c r="Q769" i="5" s="1"/>
  <c r="B769" i="5"/>
  <c r="A770" i="5"/>
  <c r="U767" i="5"/>
  <c r="F768" i="5"/>
  <c r="I769" i="5"/>
  <c r="D769" i="5"/>
  <c r="M769" i="5"/>
  <c r="L769" i="5"/>
  <c r="H769" i="5"/>
  <c r="N769" i="5"/>
  <c r="E769" i="5"/>
  <c r="C769" i="5"/>
  <c r="G769" i="5"/>
  <c r="O769" i="5"/>
  <c r="K769" i="5"/>
  <c r="J769" i="5"/>
  <c r="T769" i="5" l="1"/>
  <c r="P769" i="5"/>
  <c r="S770" i="5"/>
  <c r="R770" i="5"/>
  <c r="Q770" i="5" s="1"/>
  <c r="B770" i="5"/>
  <c r="A771" i="5"/>
  <c r="U768" i="5"/>
  <c r="F769" i="5"/>
  <c r="H770" i="5"/>
  <c r="C770" i="5"/>
  <c r="O770" i="5"/>
  <c r="I770" i="5"/>
  <c r="E770" i="5"/>
  <c r="M770" i="5"/>
  <c r="K770" i="5"/>
  <c r="N770" i="5"/>
  <c r="D770" i="5"/>
  <c r="G770" i="5"/>
  <c r="J770" i="5"/>
  <c r="L770" i="5"/>
  <c r="T770" i="5" l="1"/>
  <c r="P770" i="5"/>
  <c r="S771" i="5"/>
  <c r="R771" i="5"/>
  <c r="Q771" i="5" s="1"/>
  <c r="B771" i="5"/>
  <c r="A772" i="5"/>
  <c r="U769" i="5"/>
  <c r="F770" i="5"/>
  <c r="J771" i="5"/>
  <c r="O771" i="5"/>
  <c r="D771" i="5"/>
  <c r="H771" i="5"/>
  <c r="M771" i="5"/>
  <c r="G771" i="5"/>
  <c r="E771" i="5"/>
  <c r="K771" i="5"/>
  <c r="L771" i="5"/>
  <c r="C771" i="5"/>
  <c r="I771" i="5"/>
  <c r="N771" i="5"/>
  <c r="T771" i="5" l="1"/>
  <c r="P771" i="5"/>
  <c r="S772" i="5"/>
  <c r="R772" i="5"/>
  <c r="Q772" i="5" s="1"/>
  <c r="B772" i="5"/>
  <c r="A773" i="5"/>
  <c r="U770" i="5"/>
  <c r="F771" i="5"/>
  <c r="O772" i="5"/>
  <c r="C772" i="5"/>
  <c r="G772" i="5"/>
  <c r="E772" i="5"/>
  <c r="K772" i="5"/>
  <c r="D772" i="5"/>
  <c r="M772" i="5"/>
  <c r="I772" i="5"/>
  <c r="L772" i="5"/>
  <c r="J772" i="5"/>
  <c r="H772" i="5"/>
  <c r="N772" i="5"/>
  <c r="T772" i="5" l="1"/>
  <c r="P772" i="5"/>
  <c r="S773" i="5"/>
  <c r="R773" i="5"/>
  <c r="Q773" i="5" s="1"/>
  <c r="B773" i="5"/>
  <c r="A774" i="5"/>
  <c r="U771" i="5"/>
  <c r="F772" i="5"/>
  <c r="I773" i="5"/>
  <c r="N773" i="5"/>
  <c r="E773" i="5"/>
  <c r="D773" i="5"/>
  <c r="J773" i="5"/>
  <c r="O773" i="5"/>
  <c r="C773" i="5"/>
  <c r="M773" i="5"/>
  <c r="H773" i="5"/>
  <c r="K773" i="5"/>
  <c r="L773" i="5"/>
  <c r="G773" i="5"/>
  <c r="P773" i="5" l="1"/>
  <c r="T773" i="5"/>
  <c r="S774" i="5"/>
  <c r="R774" i="5"/>
  <c r="Q774" i="5" s="1"/>
  <c r="B774" i="5"/>
  <c r="A775" i="5"/>
  <c r="U772" i="5"/>
  <c r="F773" i="5"/>
  <c r="K774" i="5"/>
  <c r="N774" i="5"/>
  <c r="E774" i="5"/>
  <c r="D774" i="5"/>
  <c r="O774" i="5"/>
  <c r="M774" i="5"/>
  <c r="J774" i="5"/>
  <c r="L774" i="5"/>
  <c r="H774" i="5"/>
  <c r="C774" i="5"/>
  <c r="G774" i="5"/>
  <c r="I774" i="5"/>
  <c r="T774" i="5" l="1"/>
  <c r="P774" i="5"/>
  <c r="S775" i="5"/>
  <c r="R775" i="5"/>
  <c r="Q775" i="5" s="1"/>
  <c r="B775" i="5"/>
  <c r="A776" i="5"/>
  <c r="U773" i="5"/>
  <c r="F774" i="5"/>
  <c r="I775" i="5"/>
  <c r="N775" i="5"/>
  <c r="H775" i="5"/>
  <c r="J775" i="5"/>
  <c r="O775" i="5"/>
  <c r="C775" i="5"/>
  <c r="K775" i="5"/>
  <c r="G775" i="5"/>
  <c r="D775" i="5"/>
  <c r="M775" i="5"/>
  <c r="L775" i="5"/>
  <c r="E775" i="5"/>
  <c r="T775" i="5" l="1"/>
  <c r="P775" i="5"/>
  <c r="S776" i="5"/>
  <c r="R776" i="5"/>
  <c r="Q776" i="5" s="1"/>
  <c r="B776" i="5"/>
  <c r="A777" i="5"/>
  <c r="U774" i="5"/>
  <c r="F775" i="5"/>
  <c r="N776" i="5"/>
  <c r="E776" i="5"/>
  <c r="L776" i="5"/>
  <c r="J776" i="5"/>
  <c r="K776" i="5"/>
  <c r="C776" i="5"/>
  <c r="M776" i="5"/>
  <c r="G776" i="5"/>
  <c r="O776" i="5"/>
  <c r="D776" i="5"/>
  <c r="H776" i="5"/>
  <c r="I776" i="5"/>
  <c r="T776" i="5" l="1"/>
  <c r="P776" i="5"/>
  <c r="S777" i="5"/>
  <c r="R777" i="5"/>
  <c r="Q777" i="5" s="1"/>
  <c r="B777" i="5"/>
  <c r="A778" i="5"/>
  <c r="U775" i="5"/>
  <c r="F776" i="5"/>
  <c r="M777" i="5"/>
  <c r="O777" i="5"/>
  <c r="C777" i="5"/>
  <c r="D777" i="5"/>
  <c r="K777" i="5"/>
  <c r="J777" i="5"/>
  <c r="H777" i="5"/>
  <c r="G777" i="5"/>
  <c r="I777" i="5"/>
  <c r="N777" i="5"/>
  <c r="E777" i="5"/>
  <c r="L777" i="5"/>
  <c r="T777" i="5" l="1"/>
  <c r="P777" i="5"/>
  <c r="S778" i="5"/>
  <c r="R778" i="5"/>
  <c r="Q778" i="5" s="1"/>
  <c r="B778" i="5"/>
  <c r="A779" i="5"/>
  <c r="U776" i="5"/>
  <c r="F777" i="5"/>
  <c r="G778" i="5"/>
  <c r="O778" i="5"/>
  <c r="K778" i="5"/>
  <c r="I778" i="5"/>
  <c r="D778" i="5"/>
  <c r="J778" i="5"/>
  <c r="M778" i="5"/>
  <c r="E778" i="5"/>
  <c r="C778" i="5"/>
  <c r="N778" i="5"/>
  <c r="L778" i="5"/>
  <c r="H778" i="5"/>
  <c r="T778" i="5" l="1"/>
  <c r="P778" i="5"/>
  <c r="S779" i="5"/>
  <c r="R779" i="5"/>
  <c r="Q779" i="5" s="1"/>
  <c r="B779" i="5"/>
  <c r="A780" i="5"/>
  <c r="U777" i="5"/>
  <c r="F778" i="5"/>
  <c r="H779" i="5"/>
  <c r="J779" i="5"/>
  <c r="E779" i="5"/>
  <c r="M779" i="5"/>
  <c r="O779" i="5"/>
  <c r="L779" i="5"/>
  <c r="K779" i="5"/>
  <c r="N779" i="5"/>
  <c r="D779" i="5"/>
  <c r="G779" i="5"/>
  <c r="I779" i="5"/>
  <c r="C779" i="5"/>
  <c r="T779" i="5" l="1"/>
  <c r="P779" i="5"/>
  <c r="S780" i="5"/>
  <c r="R780" i="5"/>
  <c r="Q780" i="5" s="1"/>
  <c r="B780" i="5"/>
  <c r="A781" i="5"/>
  <c r="U778" i="5"/>
  <c r="F779" i="5"/>
  <c r="C780" i="5"/>
  <c r="N780" i="5"/>
  <c r="D780" i="5"/>
  <c r="E780" i="5"/>
  <c r="M780" i="5"/>
  <c r="L780" i="5"/>
  <c r="G780" i="5"/>
  <c r="J780" i="5"/>
  <c r="H780" i="5"/>
  <c r="O780" i="5"/>
  <c r="I780" i="5"/>
  <c r="K780" i="5"/>
  <c r="T780" i="5" l="1"/>
  <c r="P780" i="5"/>
  <c r="S781" i="5"/>
  <c r="R781" i="5"/>
  <c r="Q781" i="5" s="1"/>
  <c r="B781" i="5"/>
  <c r="A782" i="5"/>
  <c r="U779" i="5"/>
  <c r="F780" i="5"/>
  <c r="J781" i="5"/>
  <c r="K781" i="5"/>
  <c r="H781" i="5"/>
  <c r="L781" i="5"/>
  <c r="N781" i="5"/>
  <c r="O781" i="5"/>
  <c r="G781" i="5"/>
  <c r="E781" i="5"/>
  <c r="C781" i="5"/>
  <c r="D781" i="5"/>
  <c r="M781" i="5"/>
  <c r="I781" i="5"/>
  <c r="T781" i="5" l="1"/>
  <c r="P781" i="5"/>
  <c r="S782" i="5"/>
  <c r="R782" i="5"/>
  <c r="Q782" i="5" s="1"/>
  <c r="B782" i="5"/>
  <c r="A783" i="5"/>
  <c r="U780" i="5"/>
  <c r="F781" i="5"/>
  <c r="D782" i="5"/>
  <c r="O782" i="5"/>
  <c r="L782" i="5"/>
  <c r="N782" i="5"/>
  <c r="J782" i="5"/>
  <c r="G782" i="5"/>
  <c r="I782" i="5"/>
  <c r="M782" i="5"/>
  <c r="C782" i="5"/>
  <c r="E782" i="5"/>
  <c r="K782" i="5"/>
  <c r="H782" i="5"/>
  <c r="T782" i="5" l="1"/>
  <c r="P782" i="5"/>
  <c r="S783" i="5"/>
  <c r="R783" i="5"/>
  <c r="Q783" i="5" s="1"/>
  <c r="B783" i="5"/>
  <c r="A784" i="5"/>
  <c r="U781" i="5"/>
  <c r="F782" i="5"/>
  <c r="D783" i="5"/>
  <c r="C783" i="5"/>
  <c r="M783" i="5"/>
  <c r="I783" i="5"/>
  <c r="L783" i="5"/>
  <c r="E783" i="5"/>
  <c r="H783" i="5"/>
  <c r="N783" i="5"/>
  <c r="K783" i="5"/>
  <c r="J783" i="5"/>
  <c r="G783" i="5"/>
  <c r="O783" i="5"/>
  <c r="T783" i="5" l="1"/>
  <c r="P783" i="5"/>
  <c r="S784" i="5"/>
  <c r="R784" i="5"/>
  <c r="Q784" i="5" s="1"/>
  <c r="B784" i="5"/>
  <c r="A785" i="5"/>
  <c r="U782" i="5"/>
  <c r="F783" i="5"/>
  <c r="I784" i="5"/>
  <c r="H784" i="5"/>
  <c r="N784" i="5"/>
  <c r="J784" i="5"/>
  <c r="M784" i="5"/>
  <c r="E784" i="5"/>
  <c r="C784" i="5"/>
  <c r="L784" i="5"/>
  <c r="O784" i="5"/>
  <c r="K784" i="5"/>
  <c r="G784" i="5"/>
  <c r="D784" i="5"/>
  <c r="T784" i="5" l="1"/>
  <c r="P784" i="5"/>
  <c r="S785" i="5"/>
  <c r="R785" i="5"/>
  <c r="Q785" i="5" s="1"/>
  <c r="B785" i="5"/>
  <c r="A786" i="5"/>
  <c r="U783" i="5"/>
  <c r="F784" i="5"/>
  <c r="H785" i="5"/>
  <c r="K785" i="5"/>
  <c r="D785" i="5"/>
  <c r="J785" i="5"/>
  <c r="M785" i="5"/>
  <c r="C785" i="5"/>
  <c r="E785" i="5"/>
  <c r="O785" i="5"/>
  <c r="N785" i="5"/>
  <c r="G785" i="5"/>
  <c r="I785" i="5"/>
  <c r="L785" i="5"/>
  <c r="T785" i="5" l="1"/>
  <c r="P785" i="5"/>
  <c r="S786" i="5"/>
  <c r="R786" i="5"/>
  <c r="Q786" i="5" s="1"/>
  <c r="B786" i="5"/>
  <c r="A787" i="5"/>
  <c r="U784" i="5"/>
  <c r="F785" i="5"/>
  <c r="H786" i="5"/>
  <c r="C786" i="5"/>
  <c r="G786" i="5"/>
  <c r="J786" i="5"/>
  <c r="M786" i="5"/>
  <c r="I786" i="5"/>
  <c r="O786" i="5"/>
  <c r="N786" i="5"/>
  <c r="K786" i="5"/>
  <c r="E786" i="5"/>
  <c r="D786" i="5"/>
  <c r="L786" i="5"/>
  <c r="T786" i="5" l="1"/>
  <c r="P786" i="5"/>
  <c r="U785" i="5"/>
  <c r="S787" i="5"/>
  <c r="R787" i="5"/>
  <c r="Q787" i="5" s="1"/>
  <c r="B787" i="5"/>
  <c r="A788" i="5"/>
  <c r="F786" i="5"/>
  <c r="H787" i="5"/>
  <c r="K787" i="5"/>
  <c r="G787" i="5"/>
  <c r="E787" i="5"/>
  <c r="N787" i="5"/>
  <c r="L787" i="5"/>
  <c r="J787" i="5"/>
  <c r="I787" i="5"/>
  <c r="O787" i="5"/>
  <c r="M787" i="5"/>
  <c r="D787" i="5"/>
  <c r="C787" i="5"/>
  <c r="T787" i="5" l="1"/>
  <c r="P787" i="5"/>
  <c r="S788" i="5"/>
  <c r="R788" i="5"/>
  <c r="Q788" i="5" s="1"/>
  <c r="B788" i="5"/>
  <c r="A789" i="5"/>
  <c r="U786" i="5"/>
  <c r="F787" i="5"/>
  <c r="K788" i="5"/>
  <c r="L788" i="5"/>
  <c r="D788" i="5"/>
  <c r="E788" i="5"/>
  <c r="I788" i="5"/>
  <c r="M788" i="5"/>
  <c r="J788" i="5"/>
  <c r="G788" i="5"/>
  <c r="N788" i="5"/>
  <c r="C788" i="5"/>
  <c r="O788" i="5"/>
  <c r="H788" i="5"/>
  <c r="T788" i="5" l="1"/>
  <c r="P788" i="5"/>
  <c r="S789" i="5"/>
  <c r="B789" i="5"/>
  <c r="A790" i="5"/>
  <c r="R789" i="5"/>
  <c r="Q789" i="5" s="1"/>
  <c r="U787" i="5"/>
  <c r="F788" i="5"/>
  <c r="E789" i="5"/>
  <c r="I789" i="5"/>
  <c r="H789" i="5"/>
  <c r="O789" i="5"/>
  <c r="C789" i="5"/>
  <c r="G789" i="5"/>
  <c r="D789" i="5"/>
  <c r="K789" i="5"/>
  <c r="L789" i="5"/>
  <c r="M789" i="5"/>
  <c r="J789" i="5"/>
  <c r="N789" i="5"/>
  <c r="T789" i="5" l="1"/>
  <c r="P789" i="5"/>
  <c r="S790" i="5"/>
  <c r="B790" i="5"/>
  <c r="A791" i="5"/>
  <c r="R790" i="5"/>
  <c r="Q790" i="5" s="1"/>
  <c r="U788" i="5"/>
  <c r="F789" i="5"/>
  <c r="E790" i="5"/>
  <c r="K790" i="5"/>
  <c r="M790" i="5"/>
  <c r="N790" i="5"/>
  <c r="I790" i="5"/>
  <c r="D790" i="5"/>
  <c r="J790" i="5"/>
  <c r="G790" i="5"/>
  <c r="O790" i="5"/>
  <c r="L790" i="5"/>
  <c r="H790" i="5"/>
  <c r="C790" i="5"/>
  <c r="T790" i="5" l="1"/>
  <c r="P790" i="5"/>
  <c r="S791" i="5"/>
  <c r="R791" i="5"/>
  <c r="Q791" i="5" s="1"/>
  <c r="B791" i="5"/>
  <c r="A792" i="5"/>
  <c r="U789" i="5"/>
  <c r="F790" i="5"/>
  <c r="J791" i="5"/>
  <c r="E791" i="5"/>
  <c r="C791" i="5"/>
  <c r="M791" i="5"/>
  <c r="K791" i="5"/>
  <c r="N791" i="5"/>
  <c r="I791" i="5"/>
  <c r="O791" i="5"/>
  <c r="H791" i="5"/>
  <c r="L791" i="5"/>
  <c r="G791" i="5"/>
  <c r="D791" i="5"/>
  <c r="P791" i="5" l="1"/>
  <c r="T791" i="5"/>
  <c r="S792" i="5"/>
  <c r="R792" i="5"/>
  <c r="Q792" i="5" s="1"/>
  <c r="B792" i="5"/>
  <c r="A793" i="5"/>
  <c r="U790" i="5"/>
  <c r="F791" i="5"/>
  <c r="E792" i="5"/>
  <c r="C792" i="5"/>
  <c r="M792" i="5"/>
  <c r="L792" i="5"/>
  <c r="N792" i="5"/>
  <c r="J792" i="5"/>
  <c r="D792" i="5"/>
  <c r="G792" i="5"/>
  <c r="I792" i="5"/>
  <c r="K792" i="5"/>
  <c r="O792" i="5"/>
  <c r="H792" i="5"/>
  <c r="T792" i="5" l="1"/>
  <c r="P792" i="5"/>
  <c r="S793" i="5"/>
  <c r="R793" i="5"/>
  <c r="Q793" i="5" s="1"/>
  <c r="B793" i="5"/>
  <c r="A794" i="5"/>
  <c r="U791" i="5"/>
  <c r="F792" i="5"/>
  <c r="L793" i="5"/>
  <c r="K793" i="5"/>
  <c r="N793" i="5"/>
  <c r="E793" i="5"/>
  <c r="C793" i="5"/>
  <c r="H793" i="5"/>
  <c r="J793" i="5"/>
  <c r="M793" i="5"/>
  <c r="D793" i="5"/>
  <c r="O793" i="5"/>
  <c r="I793" i="5"/>
  <c r="G793" i="5"/>
  <c r="T793" i="5" l="1"/>
  <c r="P793" i="5"/>
  <c r="S794" i="5"/>
  <c r="R794" i="5"/>
  <c r="Q794" i="5" s="1"/>
  <c r="B794" i="5"/>
  <c r="A795" i="5"/>
  <c r="U792" i="5"/>
  <c r="F793" i="5"/>
  <c r="I794" i="5"/>
  <c r="G794" i="5"/>
  <c r="E794" i="5"/>
  <c r="J794" i="5"/>
  <c r="N794" i="5"/>
  <c r="K794" i="5"/>
  <c r="C794" i="5"/>
  <c r="L794" i="5"/>
  <c r="M794" i="5"/>
  <c r="D794" i="5"/>
  <c r="O794" i="5"/>
  <c r="H794" i="5"/>
  <c r="T794" i="5" l="1"/>
  <c r="P794" i="5"/>
  <c r="S795" i="5"/>
  <c r="R795" i="5"/>
  <c r="Q795" i="5" s="1"/>
  <c r="B795" i="5"/>
  <c r="A796" i="5"/>
  <c r="U793" i="5"/>
  <c r="F794" i="5"/>
  <c r="H795" i="5"/>
  <c r="J795" i="5"/>
  <c r="M795" i="5"/>
  <c r="D795" i="5"/>
  <c r="K795" i="5"/>
  <c r="C795" i="5"/>
  <c r="I795" i="5"/>
  <c r="E795" i="5"/>
  <c r="G795" i="5"/>
  <c r="O795" i="5"/>
  <c r="N795" i="5"/>
  <c r="L795" i="5"/>
  <c r="T795" i="5" l="1"/>
  <c r="P795" i="5"/>
  <c r="S796" i="5"/>
  <c r="A797" i="5"/>
  <c r="R796" i="5"/>
  <c r="Q796" i="5" s="1"/>
  <c r="B796" i="5"/>
  <c r="U794" i="5"/>
  <c r="F795" i="5"/>
  <c r="L796" i="5"/>
  <c r="E796" i="5"/>
  <c r="C796" i="5"/>
  <c r="O796" i="5"/>
  <c r="N796" i="5"/>
  <c r="H796" i="5"/>
  <c r="K796" i="5"/>
  <c r="G796" i="5"/>
  <c r="D796" i="5"/>
  <c r="M796" i="5"/>
  <c r="I796" i="5"/>
  <c r="J796" i="5"/>
  <c r="T796" i="5" l="1"/>
  <c r="P796" i="5"/>
  <c r="S797" i="5"/>
  <c r="R797" i="5"/>
  <c r="Q797" i="5" s="1"/>
  <c r="B797" i="5"/>
  <c r="A798" i="5"/>
  <c r="U795" i="5"/>
  <c r="F796" i="5"/>
  <c r="J797" i="5"/>
  <c r="D797" i="5"/>
  <c r="L797" i="5"/>
  <c r="H797" i="5"/>
  <c r="O797" i="5"/>
  <c r="C797" i="5"/>
  <c r="E797" i="5"/>
  <c r="K797" i="5"/>
  <c r="M797" i="5"/>
  <c r="G797" i="5"/>
  <c r="I797" i="5"/>
  <c r="N797" i="5"/>
  <c r="T797" i="5" l="1"/>
  <c r="P797" i="5"/>
  <c r="S798" i="5"/>
  <c r="R798" i="5"/>
  <c r="Q798" i="5" s="1"/>
  <c r="B798" i="5"/>
  <c r="A799" i="5"/>
  <c r="U796" i="5"/>
  <c r="F797" i="5"/>
  <c r="H798" i="5"/>
  <c r="E798" i="5"/>
  <c r="O798" i="5"/>
  <c r="L798" i="5"/>
  <c r="K798" i="5"/>
  <c r="C798" i="5"/>
  <c r="I798" i="5"/>
  <c r="N798" i="5"/>
  <c r="J798" i="5"/>
  <c r="G798" i="5"/>
  <c r="D798" i="5"/>
  <c r="M798" i="5"/>
  <c r="T798" i="5" l="1"/>
  <c r="P798" i="5"/>
  <c r="S799" i="5"/>
  <c r="R799" i="5"/>
  <c r="Q799" i="5" s="1"/>
  <c r="B799" i="5"/>
  <c r="A800" i="5"/>
  <c r="U797" i="5"/>
  <c r="F798" i="5"/>
  <c r="L799" i="5"/>
  <c r="K799" i="5"/>
  <c r="N799" i="5"/>
  <c r="C799" i="5"/>
  <c r="O799" i="5"/>
  <c r="E799" i="5"/>
  <c r="J799" i="5"/>
  <c r="H799" i="5"/>
  <c r="D799" i="5"/>
  <c r="M799" i="5"/>
  <c r="G799" i="5"/>
  <c r="I799" i="5"/>
  <c r="T799" i="5" l="1"/>
  <c r="P799" i="5"/>
  <c r="S800" i="5"/>
  <c r="R800" i="5"/>
  <c r="Q800" i="5" s="1"/>
  <c r="B800" i="5"/>
  <c r="A801" i="5"/>
  <c r="U798" i="5"/>
  <c r="F799" i="5"/>
  <c r="K800" i="5"/>
  <c r="N800" i="5"/>
  <c r="I800" i="5"/>
  <c r="G800" i="5"/>
  <c r="J800" i="5"/>
  <c r="D800" i="5"/>
  <c r="E800" i="5"/>
  <c r="C800" i="5"/>
  <c r="L800" i="5"/>
  <c r="O800" i="5"/>
  <c r="H800" i="5"/>
  <c r="M800" i="5"/>
  <c r="T800" i="5" l="1"/>
  <c r="P800" i="5"/>
  <c r="S801" i="5"/>
  <c r="R801" i="5"/>
  <c r="Q801" i="5" s="1"/>
  <c r="B801" i="5"/>
  <c r="A802" i="5"/>
  <c r="U799" i="5"/>
  <c r="F800" i="5"/>
  <c r="K801" i="5"/>
  <c r="C801" i="5"/>
  <c r="M801" i="5"/>
  <c r="I801" i="5"/>
  <c r="J801" i="5"/>
  <c r="G801" i="5"/>
  <c r="L801" i="5"/>
  <c r="H801" i="5"/>
  <c r="D801" i="5"/>
  <c r="O801" i="5"/>
  <c r="N801" i="5"/>
  <c r="E801" i="5"/>
  <c r="T801" i="5" l="1"/>
  <c r="P801" i="5"/>
  <c r="S802" i="5"/>
  <c r="B802" i="5"/>
  <c r="A803" i="5"/>
  <c r="R802" i="5"/>
  <c r="Q802" i="5" s="1"/>
  <c r="U800" i="5"/>
  <c r="F801" i="5"/>
  <c r="L802" i="5"/>
  <c r="K802" i="5"/>
  <c r="J802" i="5"/>
  <c r="E802" i="5"/>
  <c r="D802" i="5"/>
  <c r="N802" i="5"/>
  <c r="I802" i="5"/>
  <c r="G802" i="5"/>
  <c r="M802" i="5"/>
  <c r="H802" i="5"/>
  <c r="O802" i="5"/>
  <c r="C802" i="5"/>
  <c r="T802" i="5" l="1"/>
  <c r="P802" i="5"/>
  <c r="S803" i="5"/>
  <c r="R803" i="5"/>
  <c r="Q803" i="5" s="1"/>
  <c r="B803" i="5"/>
  <c r="A804" i="5"/>
  <c r="U801" i="5"/>
  <c r="F802" i="5"/>
  <c r="K803" i="5"/>
  <c r="L803" i="5"/>
  <c r="D803" i="5"/>
  <c r="J803" i="5"/>
  <c r="H803" i="5"/>
  <c r="N803" i="5"/>
  <c r="C803" i="5"/>
  <c r="O803" i="5"/>
  <c r="I803" i="5"/>
  <c r="M803" i="5"/>
  <c r="G803" i="5"/>
  <c r="E803" i="5"/>
  <c r="T803" i="5" l="1"/>
  <c r="P803" i="5"/>
  <c r="S804" i="5"/>
  <c r="B804" i="5"/>
  <c r="A805" i="5"/>
  <c r="R804" i="5"/>
  <c r="Q804" i="5" s="1"/>
  <c r="U802" i="5"/>
  <c r="D804" i="5"/>
  <c r="G804" i="5"/>
  <c r="I804" i="5"/>
  <c r="M804" i="5"/>
  <c r="J804" i="5"/>
  <c r="N804" i="5"/>
  <c r="O804" i="5"/>
  <c r="K804" i="5"/>
  <c r="H804" i="5"/>
  <c r="E804" i="5"/>
  <c r="C804" i="5"/>
  <c r="L804" i="5"/>
  <c r="F803" i="5"/>
  <c r="T804" i="5" l="1"/>
  <c r="P804" i="5"/>
  <c r="S805" i="5"/>
  <c r="R805" i="5"/>
  <c r="Q805" i="5" s="1"/>
  <c r="B805" i="5"/>
  <c r="A806" i="5"/>
  <c r="U803" i="5"/>
  <c r="F804" i="5"/>
  <c r="K805" i="5"/>
  <c r="L805" i="5"/>
  <c r="C805" i="5"/>
  <c r="O805" i="5"/>
  <c r="J805" i="5"/>
  <c r="M805" i="5"/>
  <c r="E805" i="5"/>
  <c r="N805" i="5"/>
  <c r="H805" i="5"/>
  <c r="D805" i="5"/>
  <c r="I805" i="5"/>
  <c r="G805" i="5"/>
  <c r="T805" i="5" l="1"/>
  <c r="P805" i="5"/>
  <c r="S806" i="5"/>
  <c r="B806" i="5"/>
  <c r="R806" i="5"/>
  <c r="Q806" i="5" s="1"/>
  <c r="A807" i="5"/>
  <c r="U804" i="5"/>
  <c r="F805" i="5"/>
  <c r="G806" i="5"/>
  <c r="L806" i="5"/>
  <c r="I806" i="5"/>
  <c r="H806" i="5"/>
  <c r="N806" i="5"/>
  <c r="O806" i="5"/>
  <c r="E806" i="5"/>
  <c r="C806" i="5"/>
  <c r="D806" i="5"/>
  <c r="M806" i="5"/>
  <c r="J806" i="5"/>
  <c r="K806" i="5"/>
  <c r="T806" i="5" l="1"/>
  <c r="P806" i="5"/>
  <c r="S807" i="5"/>
  <c r="A808" i="5"/>
  <c r="R807" i="5"/>
  <c r="Q807" i="5" s="1"/>
  <c r="B807" i="5"/>
  <c r="U805" i="5"/>
  <c r="F806" i="5"/>
  <c r="M807" i="5"/>
  <c r="L807" i="5"/>
  <c r="O807" i="5"/>
  <c r="G807" i="5"/>
  <c r="K807" i="5"/>
  <c r="C807" i="5"/>
  <c r="J807" i="5"/>
  <c r="H807" i="5"/>
  <c r="D807" i="5"/>
  <c r="E807" i="5"/>
  <c r="N807" i="5"/>
  <c r="I807" i="5"/>
  <c r="T807" i="5" l="1"/>
  <c r="P807" i="5"/>
  <c r="S808" i="5"/>
  <c r="B808" i="5"/>
  <c r="R808" i="5"/>
  <c r="Q808" i="5" s="1"/>
  <c r="A809" i="5"/>
  <c r="U806" i="5"/>
  <c r="F807" i="5"/>
  <c r="L808" i="5"/>
  <c r="E808" i="5"/>
  <c r="I808" i="5"/>
  <c r="J808" i="5"/>
  <c r="O808" i="5"/>
  <c r="D808" i="5"/>
  <c r="K808" i="5"/>
  <c r="N808" i="5"/>
  <c r="H808" i="5"/>
  <c r="G808" i="5"/>
  <c r="M808" i="5"/>
  <c r="C808" i="5"/>
  <c r="T808" i="5" l="1"/>
  <c r="P808" i="5"/>
  <c r="S809" i="5"/>
  <c r="B809" i="5"/>
  <c r="A810" i="5"/>
  <c r="R809" i="5"/>
  <c r="Q809" i="5" s="1"/>
  <c r="U807" i="5"/>
  <c r="F808" i="5"/>
  <c r="K809" i="5"/>
  <c r="D809" i="5"/>
  <c r="G809" i="5"/>
  <c r="L809" i="5"/>
  <c r="N809" i="5"/>
  <c r="O809" i="5"/>
  <c r="E809" i="5"/>
  <c r="I809" i="5"/>
  <c r="M809" i="5"/>
  <c r="J809" i="5"/>
  <c r="C809" i="5"/>
  <c r="H809" i="5"/>
  <c r="T809" i="5" l="1"/>
  <c r="P809" i="5"/>
  <c r="S810" i="5"/>
  <c r="A811" i="5"/>
  <c r="B810" i="5"/>
  <c r="R810" i="5"/>
  <c r="Q810" i="5" s="1"/>
  <c r="U808" i="5"/>
  <c r="F809" i="5"/>
  <c r="N810" i="5"/>
  <c r="G810" i="5"/>
  <c r="I810" i="5"/>
  <c r="D810" i="5"/>
  <c r="C810" i="5"/>
  <c r="L810" i="5"/>
  <c r="E810" i="5"/>
  <c r="O810" i="5"/>
  <c r="H810" i="5"/>
  <c r="J810" i="5"/>
  <c r="K810" i="5"/>
  <c r="M810" i="5"/>
  <c r="T810" i="5" l="1"/>
  <c r="P810" i="5"/>
  <c r="S811" i="5"/>
  <c r="A812" i="5"/>
  <c r="R811" i="5"/>
  <c r="Q811" i="5" s="1"/>
  <c r="B811" i="5"/>
  <c r="U809" i="5"/>
  <c r="F810" i="5"/>
  <c r="G811" i="5"/>
  <c r="K811" i="5"/>
  <c r="D811" i="5"/>
  <c r="E811" i="5"/>
  <c r="H811" i="5"/>
  <c r="O811" i="5"/>
  <c r="N811" i="5"/>
  <c r="J811" i="5"/>
  <c r="C811" i="5"/>
  <c r="M811" i="5"/>
  <c r="L811" i="5"/>
  <c r="I811" i="5"/>
  <c r="T811" i="5" l="1"/>
  <c r="P811" i="5"/>
  <c r="S812" i="5"/>
  <c r="B812" i="5"/>
  <c r="A813" i="5"/>
  <c r="R812" i="5"/>
  <c r="Q812" i="5" s="1"/>
  <c r="U810" i="5"/>
  <c r="F811" i="5"/>
  <c r="K812" i="5"/>
  <c r="J812" i="5"/>
  <c r="L812" i="5"/>
  <c r="G812" i="5"/>
  <c r="M812" i="5"/>
  <c r="C812" i="5"/>
  <c r="N812" i="5"/>
  <c r="O812" i="5"/>
  <c r="E812" i="5"/>
  <c r="D812" i="5"/>
  <c r="I812" i="5"/>
  <c r="H812" i="5"/>
  <c r="T812" i="5" l="1"/>
  <c r="P812" i="5"/>
  <c r="S813" i="5"/>
  <c r="R813" i="5"/>
  <c r="Q813" i="5" s="1"/>
  <c r="B813" i="5"/>
  <c r="A814" i="5"/>
  <c r="U811" i="5"/>
  <c r="F812" i="5"/>
  <c r="C813" i="5"/>
  <c r="O813" i="5"/>
  <c r="K813" i="5"/>
  <c r="I813" i="5"/>
  <c r="N813" i="5"/>
  <c r="H813" i="5"/>
  <c r="M813" i="5"/>
  <c r="E813" i="5"/>
  <c r="J813" i="5"/>
  <c r="D813" i="5"/>
  <c r="G813" i="5"/>
  <c r="L813" i="5"/>
  <c r="T813" i="5" l="1"/>
  <c r="P813" i="5"/>
  <c r="S814" i="5"/>
  <c r="B814" i="5"/>
  <c r="A815" i="5"/>
  <c r="R814" i="5"/>
  <c r="Q814" i="5" s="1"/>
  <c r="U812" i="5"/>
  <c r="F813" i="5"/>
  <c r="L814" i="5"/>
  <c r="E814" i="5"/>
  <c r="H814" i="5"/>
  <c r="D814" i="5"/>
  <c r="K814" i="5"/>
  <c r="M814" i="5"/>
  <c r="I814" i="5"/>
  <c r="C814" i="5"/>
  <c r="J814" i="5"/>
  <c r="G814" i="5"/>
  <c r="O814" i="5"/>
  <c r="N814" i="5"/>
  <c r="T814" i="5" l="1"/>
  <c r="P814" i="5"/>
  <c r="S815" i="5"/>
  <c r="R815" i="5"/>
  <c r="Q815" i="5" s="1"/>
  <c r="B815" i="5"/>
  <c r="A816" i="5"/>
  <c r="U813" i="5"/>
  <c r="F814" i="5"/>
  <c r="K815" i="5"/>
  <c r="N815" i="5"/>
  <c r="O815" i="5"/>
  <c r="M815" i="5"/>
  <c r="H815" i="5"/>
  <c r="D815" i="5"/>
  <c r="E815" i="5"/>
  <c r="G815" i="5"/>
  <c r="C815" i="5"/>
  <c r="J815" i="5"/>
  <c r="I815" i="5"/>
  <c r="L815" i="5"/>
  <c r="T815" i="5" l="1"/>
  <c r="P815" i="5"/>
  <c r="S816" i="5"/>
  <c r="A817" i="5"/>
  <c r="R816" i="5"/>
  <c r="Q816" i="5" s="1"/>
  <c r="B816" i="5"/>
  <c r="U814" i="5"/>
  <c r="F815" i="5"/>
  <c r="N816" i="5"/>
  <c r="I816" i="5"/>
  <c r="L816" i="5"/>
  <c r="M816" i="5"/>
  <c r="D816" i="5"/>
  <c r="K816" i="5"/>
  <c r="O816" i="5"/>
  <c r="E816" i="5"/>
  <c r="H816" i="5"/>
  <c r="J816" i="5"/>
  <c r="C816" i="5"/>
  <c r="G816" i="5"/>
  <c r="T816" i="5" l="1"/>
  <c r="P816" i="5"/>
  <c r="S817" i="5"/>
  <c r="R817" i="5"/>
  <c r="Q817" i="5" s="1"/>
  <c r="B817" i="5"/>
  <c r="A818" i="5"/>
  <c r="U815" i="5"/>
  <c r="F816" i="5"/>
  <c r="J817" i="5"/>
  <c r="M817" i="5"/>
  <c r="N817" i="5"/>
  <c r="O817" i="5"/>
  <c r="I817" i="5"/>
  <c r="D817" i="5"/>
  <c r="K817" i="5"/>
  <c r="E817" i="5"/>
  <c r="C817" i="5"/>
  <c r="G817" i="5"/>
  <c r="H817" i="5"/>
  <c r="L817" i="5"/>
  <c r="T817" i="5" l="1"/>
  <c r="P817" i="5"/>
  <c r="S818" i="5"/>
  <c r="A819" i="5"/>
  <c r="R818" i="5"/>
  <c r="Q818" i="5" s="1"/>
  <c r="B818" i="5"/>
  <c r="U816" i="5"/>
  <c r="F817" i="5"/>
  <c r="O818" i="5"/>
  <c r="C818" i="5"/>
  <c r="L818" i="5"/>
  <c r="I818" i="5"/>
  <c r="H818" i="5"/>
  <c r="N818" i="5"/>
  <c r="G818" i="5"/>
  <c r="E818" i="5"/>
  <c r="M818" i="5"/>
  <c r="J818" i="5"/>
  <c r="K818" i="5"/>
  <c r="D818" i="5"/>
  <c r="T818" i="5" l="1"/>
  <c r="P818" i="5"/>
  <c r="S819" i="5"/>
  <c r="R819" i="5"/>
  <c r="Q819" i="5" s="1"/>
  <c r="B819" i="5"/>
  <c r="A820" i="5"/>
  <c r="U817" i="5"/>
  <c r="F818" i="5"/>
  <c r="K819" i="5"/>
  <c r="C819" i="5"/>
  <c r="N819" i="5"/>
  <c r="D819" i="5"/>
  <c r="L819" i="5"/>
  <c r="H819" i="5"/>
  <c r="I819" i="5"/>
  <c r="J819" i="5"/>
  <c r="G819" i="5"/>
  <c r="E819" i="5"/>
  <c r="O819" i="5"/>
  <c r="M819" i="5"/>
  <c r="T819" i="5" l="1"/>
  <c r="P819" i="5"/>
  <c r="S820" i="5"/>
  <c r="R820" i="5"/>
  <c r="Q820" i="5" s="1"/>
  <c r="B820" i="5"/>
  <c r="A821" i="5"/>
  <c r="U818" i="5"/>
  <c r="F819" i="5"/>
  <c r="J820" i="5"/>
  <c r="E820" i="5"/>
  <c r="L820" i="5"/>
  <c r="N820" i="5"/>
  <c r="I820" i="5"/>
  <c r="C820" i="5"/>
  <c r="O820" i="5"/>
  <c r="G820" i="5"/>
  <c r="M820" i="5"/>
  <c r="K820" i="5"/>
  <c r="H820" i="5"/>
  <c r="D820" i="5"/>
  <c r="T820" i="5" l="1"/>
  <c r="P820" i="5"/>
  <c r="S821" i="5"/>
  <c r="R821" i="5"/>
  <c r="Q821" i="5" s="1"/>
  <c r="B821" i="5"/>
  <c r="A822" i="5"/>
  <c r="U819" i="5"/>
  <c r="F820" i="5"/>
  <c r="E821" i="5"/>
  <c r="N821" i="5"/>
  <c r="I821" i="5"/>
  <c r="M821" i="5"/>
  <c r="J821" i="5"/>
  <c r="C821" i="5"/>
  <c r="K821" i="5"/>
  <c r="D821" i="5"/>
  <c r="L821" i="5"/>
  <c r="O821" i="5"/>
  <c r="H821" i="5"/>
  <c r="G821" i="5"/>
  <c r="T821" i="5" l="1"/>
  <c r="P821" i="5"/>
  <c r="S822" i="5"/>
  <c r="R822" i="5"/>
  <c r="Q822" i="5" s="1"/>
  <c r="B822" i="5"/>
  <c r="A823" i="5"/>
  <c r="U820" i="5"/>
  <c r="K822" i="5"/>
  <c r="N822" i="5"/>
  <c r="H822" i="5"/>
  <c r="M822" i="5"/>
  <c r="G822" i="5"/>
  <c r="J822" i="5"/>
  <c r="C822" i="5"/>
  <c r="D822" i="5"/>
  <c r="E822" i="5"/>
  <c r="I822" i="5"/>
  <c r="L822" i="5"/>
  <c r="O822" i="5"/>
  <c r="F821" i="5"/>
  <c r="T822" i="5" l="1"/>
  <c r="P822" i="5"/>
  <c r="S823" i="5"/>
  <c r="B823" i="5"/>
  <c r="A824" i="5"/>
  <c r="R823" i="5"/>
  <c r="Q823" i="5" s="1"/>
  <c r="U821" i="5"/>
  <c r="F822" i="5"/>
  <c r="H823" i="5"/>
  <c r="L823" i="5"/>
  <c r="N823" i="5"/>
  <c r="C823" i="5"/>
  <c r="D823" i="5"/>
  <c r="I823" i="5"/>
  <c r="O823" i="5"/>
  <c r="G823" i="5"/>
  <c r="E823" i="5"/>
  <c r="J823" i="5"/>
  <c r="M823" i="5"/>
  <c r="K823" i="5"/>
  <c r="T823" i="5" l="1"/>
  <c r="P823" i="5"/>
  <c r="S824" i="5"/>
  <c r="R824" i="5"/>
  <c r="Q824" i="5" s="1"/>
  <c r="B824" i="5"/>
  <c r="A825" i="5"/>
  <c r="U822" i="5"/>
  <c r="F823" i="5"/>
  <c r="O824" i="5"/>
  <c r="D824" i="5"/>
  <c r="M824" i="5"/>
  <c r="C824" i="5"/>
  <c r="K824" i="5"/>
  <c r="G824" i="5"/>
  <c r="N824" i="5"/>
  <c r="H824" i="5"/>
  <c r="E824" i="5"/>
  <c r="I824" i="5"/>
  <c r="L824" i="5"/>
  <c r="J824" i="5"/>
  <c r="T824" i="5" l="1"/>
  <c r="P824" i="5"/>
  <c r="S825" i="5"/>
  <c r="A826" i="5"/>
  <c r="R825" i="5"/>
  <c r="Q825" i="5" s="1"/>
  <c r="B825" i="5"/>
  <c r="U823" i="5"/>
  <c r="F824" i="5"/>
  <c r="N825" i="5"/>
  <c r="L825" i="5"/>
  <c r="C825" i="5"/>
  <c r="K825" i="5"/>
  <c r="I825" i="5"/>
  <c r="G825" i="5"/>
  <c r="J825" i="5"/>
  <c r="H825" i="5"/>
  <c r="O825" i="5"/>
  <c r="D825" i="5"/>
  <c r="E825" i="5"/>
  <c r="M825" i="5"/>
  <c r="T825" i="5" l="1"/>
  <c r="P825" i="5"/>
  <c r="S826" i="5"/>
  <c r="R826" i="5"/>
  <c r="Q826" i="5" s="1"/>
  <c r="B826" i="5"/>
  <c r="A827" i="5"/>
  <c r="U824" i="5"/>
  <c r="F825" i="5"/>
  <c r="J826" i="5"/>
  <c r="O826" i="5"/>
  <c r="G826" i="5"/>
  <c r="M826" i="5"/>
  <c r="I826" i="5"/>
  <c r="N826" i="5"/>
  <c r="C826" i="5"/>
  <c r="L826" i="5"/>
  <c r="K826" i="5"/>
  <c r="H826" i="5"/>
  <c r="D826" i="5"/>
  <c r="E826" i="5"/>
  <c r="T826" i="5" l="1"/>
  <c r="P826" i="5"/>
  <c r="S827" i="5"/>
  <c r="B827" i="5"/>
  <c r="R827" i="5"/>
  <c r="Q827" i="5" s="1"/>
  <c r="A828" i="5"/>
  <c r="U825" i="5"/>
  <c r="F826" i="5"/>
  <c r="H827" i="5"/>
  <c r="D827" i="5"/>
  <c r="O827" i="5"/>
  <c r="M827" i="5"/>
  <c r="K827" i="5"/>
  <c r="G827" i="5"/>
  <c r="N827" i="5"/>
  <c r="I827" i="5"/>
  <c r="J827" i="5"/>
  <c r="E827" i="5"/>
  <c r="L827" i="5"/>
  <c r="C827" i="5"/>
  <c r="T827" i="5" l="1"/>
  <c r="P827" i="5"/>
  <c r="S828" i="5"/>
  <c r="A829" i="5"/>
  <c r="R828" i="5"/>
  <c r="Q828" i="5" s="1"/>
  <c r="B828" i="5"/>
  <c r="U826" i="5"/>
  <c r="F827" i="5"/>
  <c r="E828" i="5"/>
  <c r="L828" i="5"/>
  <c r="H828" i="5"/>
  <c r="N828" i="5"/>
  <c r="I828" i="5"/>
  <c r="G828" i="5"/>
  <c r="O828" i="5"/>
  <c r="J828" i="5"/>
  <c r="C828" i="5"/>
  <c r="K828" i="5"/>
  <c r="D828" i="5"/>
  <c r="M828" i="5"/>
  <c r="T828" i="5" l="1"/>
  <c r="P828" i="5"/>
  <c r="S829" i="5"/>
  <c r="A830" i="5"/>
  <c r="R829" i="5"/>
  <c r="Q829" i="5" s="1"/>
  <c r="B829" i="5"/>
  <c r="U827" i="5"/>
  <c r="F828" i="5"/>
  <c r="J829" i="5"/>
  <c r="G829" i="5"/>
  <c r="N829" i="5"/>
  <c r="I829" i="5"/>
  <c r="D829" i="5"/>
  <c r="E829" i="5"/>
  <c r="M829" i="5"/>
  <c r="L829" i="5"/>
  <c r="H829" i="5"/>
  <c r="K829" i="5"/>
  <c r="C829" i="5"/>
  <c r="O829" i="5"/>
  <c r="T829" i="5" l="1"/>
  <c r="P829" i="5"/>
  <c r="S830" i="5"/>
  <c r="R830" i="5"/>
  <c r="Q830" i="5" s="1"/>
  <c r="B830" i="5"/>
  <c r="A831" i="5"/>
  <c r="U828" i="5"/>
  <c r="F829" i="5"/>
  <c r="G830" i="5"/>
  <c r="I830" i="5"/>
  <c r="N830" i="5"/>
  <c r="E830" i="5"/>
  <c r="J830" i="5"/>
  <c r="M830" i="5"/>
  <c r="C830" i="5"/>
  <c r="H830" i="5"/>
  <c r="K830" i="5"/>
  <c r="D830" i="5"/>
  <c r="L830" i="5"/>
  <c r="O830" i="5"/>
  <c r="T830" i="5" l="1"/>
  <c r="P830" i="5"/>
  <c r="S831" i="5"/>
  <c r="A832" i="5"/>
  <c r="R831" i="5"/>
  <c r="Q831" i="5" s="1"/>
  <c r="B831" i="5"/>
  <c r="U829" i="5"/>
  <c r="F830" i="5"/>
  <c r="C831" i="5"/>
  <c r="H831" i="5"/>
  <c r="J831" i="5"/>
  <c r="E831" i="5"/>
  <c r="L831" i="5"/>
  <c r="M831" i="5"/>
  <c r="O831" i="5"/>
  <c r="D831" i="5"/>
  <c r="N831" i="5"/>
  <c r="I831" i="5"/>
  <c r="G831" i="5"/>
  <c r="K831" i="5"/>
  <c r="T831" i="5" l="1"/>
  <c r="P831" i="5"/>
  <c r="S832" i="5"/>
  <c r="B832" i="5"/>
  <c r="R832" i="5"/>
  <c r="Q832" i="5" s="1"/>
  <c r="A833" i="5"/>
  <c r="U830" i="5"/>
  <c r="F831" i="5"/>
  <c r="E832" i="5"/>
  <c r="I832" i="5"/>
  <c r="D832" i="5"/>
  <c r="H832" i="5"/>
  <c r="G832" i="5"/>
  <c r="O832" i="5"/>
  <c r="K832" i="5"/>
  <c r="J832" i="5"/>
  <c r="L832" i="5"/>
  <c r="M832" i="5"/>
  <c r="N832" i="5"/>
  <c r="C832" i="5"/>
  <c r="T832" i="5" l="1"/>
  <c r="P832" i="5"/>
  <c r="S833" i="5"/>
  <c r="B833" i="5"/>
  <c r="A834" i="5"/>
  <c r="R833" i="5"/>
  <c r="Q833" i="5" s="1"/>
  <c r="U831" i="5"/>
  <c r="F832" i="5"/>
  <c r="I833" i="5"/>
  <c r="J833" i="5"/>
  <c r="N833" i="5"/>
  <c r="D833" i="5"/>
  <c r="E833" i="5"/>
  <c r="K833" i="5"/>
  <c r="G833" i="5"/>
  <c r="H833" i="5"/>
  <c r="O833" i="5"/>
  <c r="M833" i="5"/>
  <c r="C833" i="5"/>
  <c r="L833" i="5"/>
  <c r="T833" i="5" l="1"/>
  <c r="P833" i="5"/>
  <c r="S834" i="5"/>
  <c r="R834" i="5"/>
  <c r="Q834" i="5" s="1"/>
  <c r="B834" i="5"/>
  <c r="A835" i="5"/>
  <c r="U832" i="5"/>
  <c r="F833" i="5"/>
  <c r="C834" i="5"/>
  <c r="H834" i="5"/>
  <c r="E834" i="5"/>
  <c r="I834" i="5"/>
  <c r="J834" i="5"/>
  <c r="K834" i="5"/>
  <c r="G834" i="5"/>
  <c r="N834" i="5"/>
  <c r="D834" i="5"/>
  <c r="O834" i="5"/>
  <c r="M834" i="5"/>
  <c r="L834" i="5"/>
  <c r="T834" i="5" l="1"/>
  <c r="P834" i="5"/>
  <c r="S835" i="5"/>
  <c r="B835" i="5"/>
  <c r="R835" i="5"/>
  <c r="Q835" i="5" s="1"/>
  <c r="A836" i="5"/>
  <c r="U833" i="5"/>
  <c r="F834" i="5"/>
  <c r="C835" i="5"/>
  <c r="N835" i="5"/>
  <c r="J835" i="5"/>
  <c r="G835" i="5"/>
  <c r="O835" i="5"/>
  <c r="M835" i="5"/>
  <c r="H835" i="5"/>
  <c r="I835" i="5"/>
  <c r="D835" i="5"/>
  <c r="L835" i="5"/>
  <c r="K835" i="5"/>
  <c r="E835" i="5"/>
  <c r="T835" i="5" l="1"/>
  <c r="P835" i="5"/>
  <c r="S836" i="5"/>
  <c r="A837" i="5"/>
  <c r="R836" i="5"/>
  <c r="Q836" i="5" s="1"/>
  <c r="B836" i="5"/>
  <c r="U834" i="5"/>
  <c r="F835" i="5"/>
  <c r="E836" i="5"/>
  <c r="M836" i="5"/>
  <c r="N836" i="5"/>
  <c r="G836" i="5"/>
  <c r="K836" i="5"/>
  <c r="O836" i="5"/>
  <c r="L836" i="5"/>
  <c r="J836" i="5"/>
  <c r="C836" i="5"/>
  <c r="H836" i="5"/>
  <c r="D836" i="5"/>
  <c r="I836" i="5"/>
  <c r="T836" i="5" l="1"/>
  <c r="P836" i="5"/>
  <c r="S837" i="5"/>
  <c r="B837" i="5"/>
  <c r="A838" i="5"/>
  <c r="R837" i="5"/>
  <c r="Q837" i="5" s="1"/>
  <c r="U835" i="5"/>
  <c r="F836" i="5"/>
  <c r="G837" i="5"/>
  <c r="I837" i="5"/>
  <c r="H837" i="5"/>
  <c r="C837" i="5"/>
  <c r="D837" i="5"/>
  <c r="E837" i="5"/>
  <c r="L837" i="5"/>
  <c r="O837" i="5"/>
  <c r="K837" i="5"/>
  <c r="M837" i="5"/>
  <c r="N837" i="5"/>
  <c r="J837" i="5"/>
  <c r="T837" i="5" l="1"/>
  <c r="P837" i="5"/>
  <c r="S838" i="5"/>
  <c r="R838" i="5"/>
  <c r="Q838" i="5" s="1"/>
  <c r="B838" i="5"/>
  <c r="A839" i="5"/>
  <c r="U836" i="5"/>
  <c r="F837" i="5"/>
  <c r="E838" i="5"/>
  <c r="O838" i="5"/>
  <c r="M838" i="5"/>
  <c r="H838" i="5"/>
  <c r="C838" i="5"/>
  <c r="G838" i="5"/>
  <c r="I838" i="5"/>
  <c r="N838" i="5"/>
  <c r="L838" i="5"/>
  <c r="D838" i="5"/>
  <c r="J838" i="5"/>
  <c r="K838" i="5"/>
  <c r="T838" i="5" l="1"/>
  <c r="P838" i="5"/>
  <c r="S839" i="5"/>
  <c r="A840" i="5"/>
  <c r="R839" i="5"/>
  <c r="Q839" i="5" s="1"/>
  <c r="B839" i="5"/>
  <c r="U837" i="5"/>
  <c r="F838" i="5"/>
  <c r="G839" i="5"/>
  <c r="E839" i="5"/>
  <c r="J839" i="5"/>
  <c r="O839" i="5"/>
  <c r="K839" i="5"/>
  <c r="N839" i="5"/>
  <c r="H839" i="5"/>
  <c r="M839" i="5"/>
  <c r="I839" i="5"/>
  <c r="C839" i="5"/>
  <c r="L839" i="5"/>
  <c r="D839" i="5"/>
  <c r="T839" i="5" l="1"/>
  <c r="P839" i="5"/>
  <c r="S840" i="5"/>
  <c r="A841" i="5"/>
  <c r="R840" i="5"/>
  <c r="Q840" i="5" s="1"/>
  <c r="B840" i="5"/>
  <c r="U838" i="5"/>
  <c r="F839" i="5"/>
  <c r="G840" i="5"/>
  <c r="L840" i="5"/>
  <c r="J840" i="5"/>
  <c r="K840" i="5"/>
  <c r="C840" i="5"/>
  <c r="D840" i="5"/>
  <c r="E840" i="5"/>
  <c r="N840" i="5"/>
  <c r="M840" i="5"/>
  <c r="H840" i="5"/>
  <c r="O840" i="5"/>
  <c r="I840" i="5"/>
  <c r="T840" i="5" l="1"/>
  <c r="P840" i="5"/>
  <c r="S841" i="5"/>
  <c r="B841" i="5"/>
  <c r="R841" i="5"/>
  <c r="Q841" i="5" s="1"/>
  <c r="A842" i="5"/>
  <c r="U839" i="5"/>
  <c r="F840" i="5"/>
  <c r="O841" i="5"/>
  <c r="M841" i="5"/>
  <c r="E841" i="5"/>
  <c r="I841" i="5"/>
  <c r="D841" i="5"/>
  <c r="G841" i="5"/>
  <c r="N841" i="5"/>
  <c r="K841" i="5"/>
  <c r="J841" i="5"/>
  <c r="L841" i="5"/>
  <c r="H841" i="5"/>
  <c r="C841" i="5"/>
  <c r="T841" i="5" l="1"/>
  <c r="P841" i="5"/>
  <c r="S842" i="5"/>
  <c r="A843" i="5"/>
  <c r="R842" i="5"/>
  <c r="Q842" i="5" s="1"/>
  <c r="B842" i="5"/>
  <c r="U840" i="5"/>
  <c r="F841" i="5"/>
  <c r="H842" i="5"/>
  <c r="G842" i="5"/>
  <c r="K842" i="5"/>
  <c r="I842" i="5"/>
  <c r="D842" i="5"/>
  <c r="M842" i="5"/>
  <c r="N842" i="5"/>
  <c r="J842" i="5"/>
  <c r="C842" i="5"/>
  <c r="E842" i="5"/>
  <c r="O842" i="5"/>
  <c r="L842" i="5"/>
  <c r="T842" i="5" l="1"/>
  <c r="P842" i="5"/>
  <c r="S843" i="5"/>
  <c r="B843" i="5"/>
  <c r="A844" i="5"/>
  <c r="R843" i="5"/>
  <c r="Q843" i="5" s="1"/>
  <c r="U841" i="5"/>
  <c r="F842" i="5"/>
  <c r="I843" i="5"/>
  <c r="G843" i="5"/>
  <c r="L843" i="5"/>
  <c r="M843" i="5"/>
  <c r="E843" i="5"/>
  <c r="J843" i="5"/>
  <c r="H843" i="5"/>
  <c r="K843" i="5"/>
  <c r="N843" i="5"/>
  <c r="D843" i="5"/>
  <c r="C843" i="5"/>
  <c r="O843" i="5"/>
  <c r="T843" i="5" l="1"/>
  <c r="P843" i="5"/>
  <c r="S844" i="5"/>
  <c r="B844" i="5"/>
  <c r="R844" i="5"/>
  <c r="Q844" i="5" s="1"/>
  <c r="A845" i="5"/>
  <c r="U842" i="5"/>
  <c r="F843" i="5"/>
  <c r="C844" i="5"/>
  <c r="D844" i="5"/>
  <c r="I844" i="5"/>
  <c r="L844" i="5"/>
  <c r="J844" i="5"/>
  <c r="N844" i="5"/>
  <c r="H844" i="5"/>
  <c r="E844" i="5"/>
  <c r="M844" i="5"/>
  <c r="G844" i="5"/>
  <c r="K844" i="5"/>
  <c r="O844" i="5"/>
  <c r="T844" i="5" l="1"/>
  <c r="P844" i="5"/>
  <c r="S845" i="5"/>
  <c r="A846" i="5"/>
  <c r="R845" i="5"/>
  <c r="Q845" i="5" s="1"/>
  <c r="B845" i="5"/>
  <c r="U843" i="5"/>
  <c r="F844" i="5"/>
  <c r="L845" i="5"/>
  <c r="H845" i="5"/>
  <c r="M845" i="5"/>
  <c r="E845" i="5"/>
  <c r="C845" i="5"/>
  <c r="K845" i="5"/>
  <c r="O845" i="5"/>
  <c r="N845" i="5"/>
  <c r="I845" i="5"/>
  <c r="D845" i="5"/>
  <c r="J845" i="5"/>
  <c r="G845" i="5"/>
  <c r="T845" i="5" l="1"/>
  <c r="P845" i="5"/>
  <c r="S846" i="5"/>
  <c r="B846" i="5"/>
  <c r="A847" i="5"/>
  <c r="R846" i="5"/>
  <c r="Q846" i="5" s="1"/>
  <c r="U844" i="5"/>
  <c r="F845" i="5"/>
  <c r="G846" i="5"/>
  <c r="L846" i="5"/>
  <c r="K846" i="5"/>
  <c r="M846" i="5"/>
  <c r="J846" i="5"/>
  <c r="E846" i="5"/>
  <c r="O846" i="5"/>
  <c r="C846" i="5"/>
  <c r="I846" i="5"/>
  <c r="N846" i="5"/>
  <c r="H846" i="5"/>
  <c r="D846" i="5"/>
  <c r="T846" i="5" l="1"/>
  <c r="P846" i="5"/>
  <c r="S847" i="5"/>
  <c r="B847" i="5"/>
  <c r="R847" i="5"/>
  <c r="Q847" i="5" s="1"/>
  <c r="A848" i="5"/>
  <c r="U845" i="5"/>
  <c r="F846" i="5"/>
  <c r="H847" i="5"/>
  <c r="D847" i="5"/>
  <c r="N847" i="5"/>
  <c r="I847" i="5"/>
  <c r="C847" i="5"/>
  <c r="O847" i="5"/>
  <c r="E847" i="5"/>
  <c r="K847" i="5"/>
  <c r="J847" i="5"/>
  <c r="M847" i="5"/>
  <c r="L847" i="5"/>
  <c r="G847" i="5"/>
  <c r="P847" i="5" l="1"/>
  <c r="T847" i="5"/>
  <c r="S848" i="5"/>
  <c r="A849" i="5"/>
  <c r="R848" i="5"/>
  <c r="Q848" i="5" s="1"/>
  <c r="B848" i="5"/>
  <c r="U846" i="5"/>
  <c r="F847" i="5"/>
  <c r="J848" i="5"/>
  <c r="N848" i="5"/>
  <c r="G848" i="5"/>
  <c r="L848" i="5"/>
  <c r="O848" i="5"/>
  <c r="C848" i="5"/>
  <c r="E848" i="5"/>
  <c r="M848" i="5"/>
  <c r="K848" i="5"/>
  <c r="D848" i="5"/>
  <c r="H848" i="5"/>
  <c r="I848" i="5"/>
  <c r="T848" i="5" l="1"/>
  <c r="P848" i="5"/>
  <c r="S849" i="5"/>
  <c r="A850" i="5"/>
  <c r="R849" i="5"/>
  <c r="Q849" i="5" s="1"/>
  <c r="B849" i="5"/>
  <c r="U847" i="5"/>
  <c r="F848" i="5"/>
  <c r="G849" i="5"/>
  <c r="N849" i="5"/>
  <c r="M849" i="5"/>
  <c r="O849" i="5"/>
  <c r="K849" i="5"/>
  <c r="C849" i="5"/>
  <c r="I849" i="5"/>
  <c r="J849" i="5"/>
  <c r="D849" i="5"/>
  <c r="E849" i="5"/>
  <c r="L849" i="5"/>
  <c r="H849" i="5"/>
  <c r="T849" i="5" l="1"/>
  <c r="P849" i="5"/>
  <c r="S850" i="5"/>
  <c r="B850" i="5"/>
  <c r="R850" i="5"/>
  <c r="Q850" i="5" s="1"/>
  <c r="A851" i="5"/>
  <c r="U848" i="5"/>
  <c r="F849" i="5"/>
  <c r="D850" i="5"/>
  <c r="E850" i="5"/>
  <c r="O850" i="5"/>
  <c r="K850" i="5"/>
  <c r="C850" i="5"/>
  <c r="H850" i="5"/>
  <c r="M850" i="5"/>
  <c r="N850" i="5"/>
  <c r="J850" i="5"/>
  <c r="G850" i="5"/>
  <c r="I850" i="5"/>
  <c r="L850" i="5"/>
  <c r="T850" i="5" l="1"/>
  <c r="P850" i="5"/>
  <c r="S851" i="5"/>
  <c r="A852" i="5"/>
  <c r="R851" i="5"/>
  <c r="Q851" i="5" s="1"/>
  <c r="B851" i="5"/>
  <c r="U849" i="5"/>
  <c r="F850" i="5"/>
  <c r="L851" i="5"/>
  <c r="C851" i="5"/>
  <c r="D851" i="5"/>
  <c r="H851" i="5"/>
  <c r="E851" i="5"/>
  <c r="I851" i="5"/>
  <c r="M851" i="5"/>
  <c r="N851" i="5"/>
  <c r="G851" i="5"/>
  <c r="J851" i="5"/>
  <c r="K851" i="5"/>
  <c r="O851" i="5"/>
  <c r="T851" i="5" l="1"/>
  <c r="P851" i="5"/>
  <c r="S852" i="5"/>
  <c r="A853" i="5"/>
  <c r="R852" i="5"/>
  <c r="Q852" i="5" s="1"/>
  <c r="B852" i="5"/>
  <c r="U850" i="5"/>
  <c r="F851" i="5"/>
  <c r="D852" i="5"/>
  <c r="I852" i="5"/>
  <c r="M852" i="5"/>
  <c r="C852" i="5"/>
  <c r="K852" i="5"/>
  <c r="N852" i="5"/>
  <c r="H852" i="5"/>
  <c r="L852" i="5"/>
  <c r="G852" i="5"/>
  <c r="E852" i="5"/>
  <c r="O852" i="5"/>
  <c r="J852" i="5"/>
  <c r="T852" i="5" l="1"/>
  <c r="P852" i="5"/>
  <c r="S853" i="5"/>
  <c r="B853" i="5"/>
  <c r="A854" i="5"/>
  <c r="R853" i="5"/>
  <c r="Q853" i="5" s="1"/>
  <c r="U851" i="5"/>
  <c r="F852" i="5"/>
  <c r="J853" i="5"/>
  <c r="C853" i="5"/>
  <c r="K853" i="5"/>
  <c r="M853" i="5"/>
  <c r="G853" i="5"/>
  <c r="L853" i="5"/>
  <c r="D853" i="5"/>
  <c r="N853" i="5"/>
  <c r="E853" i="5"/>
  <c r="H853" i="5"/>
  <c r="I853" i="5"/>
  <c r="O853" i="5"/>
  <c r="T853" i="5" l="1"/>
  <c r="P853" i="5"/>
  <c r="S854" i="5"/>
  <c r="A855" i="5"/>
  <c r="R854" i="5"/>
  <c r="Q854" i="5" s="1"/>
  <c r="B854" i="5"/>
  <c r="U852" i="5"/>
  <c r="F853" i="5"/>
  <c r="O854" i="5"/>
  <c r="I854" i="5"/>
  <c r="D854" i="5"/>
  <c r="G854" i="5"/>
  <c r="L854" i="5"/>
  <c r="M854" i="5"/>
  <c r="C854" i="5"/>
  <c r="E854" i="5"/>
  <c r="H854" i="5"/>
  <c r="K854" i="5"/>
  <c r="J854" i="5"/>
  <c r="N854" i="5"/>
  <c r="T854" i="5" l="1"/>
  <c r="P854" i="5"/>
  <c r="S855" i="5"/>
  <c r="B855" i="5"/>
  <c r="R855" i="5"/>
  <c r="Q855" i="5" s="1"/>
  <c r="A856" i="5"/>
  <c r="U853" i="5"/>
  <c r="F854" i="5"/>
  <c r="J855" i="5"/>
  <c r="H855" i="5"/>
  <c r="D855" i="5"/>
  <c r="I855" i="5"/>
  <c r="G855" i="5"/>
  <c r="L855" i="5"/>
  <c r="O855" i="5"/>
  <c r="M855" i="5"/>
  <c r="E855" i="5"/>
  <c r="C855" i="5"/>
  <c r="K855" i="5"/>
  <c r="N855" i="5"/>
  <c r="T855" i="5" l="1"/>
  <c r="P855" i="5"/>
  <c r="S856" i="5"/>
  <c r="A857" i="5"/>
  <c r="R856" i="5"/>
  <c r="Q856" i="5" s="1"/>
  <c r="B856" i="5"/>
  <c r="U854" i="5"/>
  <c r="F855" i="5"/>
  <c r="M856" i="5"/>
  <c r="N856" i="5"/>
  <c r="O856" i="5"/>
  <c r="L856" i="5"/>
  <c r="C856" i="5"/>
  <c r="K856" i="5"/>
  <c r="D856" i="5"/>
  <c r="G856" i="5"/>
  <c r="H856" i="5"/>
  <c r="I856" i="5"/>
  <c r="J856" i="5"/>
  <c r="E856" i="5"/>
  <c r="T856" i="5" l="1"/>
  <c r="P856" i="5"/>
  <c r="S857" i="5"/>
  <c r="B857" i="5"/>
  <c r="A858" i="5"/>
  <c r="R857" i="5"/>
  <c r="Q857" i="5" s="1"/>
  <c r="U855" i="5"/>
  <c r="F856" i="5"/>
  <c r="G857" i="5"/>
  <c r="K857" i="5"/>
  <c r="E857" i="5"/>
  <c r="H857" i="5"/>
  <c r="N857" i="5"/>
  <c r="L857" i="5"/>
  <c r="D857" i="5"/>
  <c r="C857" i="5"/>
  <c r="O857" i="5"/>
  <c r="M857" i="5"/>
  <c r="I857" i="5"/>
  <c r="J857" i="5"/>
  <c r="T857" i="5" l="1"/>
  <c r="P857" i="5"/>
  <c r="S858" i="5"/>
  <c r="R858" i="5"/>
  <c r="Q858" i="5" s="1"/>
  <c r="B858" i="5"/>
  <c r="A859" i="5"/>
  <c r="U856" i="5"/>
  <c r="F857" i="5"/>
  <c r="H858" i="5"/>
  <c r="J858" i="5"/>
  <c r="D858" i="5"/>
  <c r="G858" i="5"/>
  <c r="E858" i="5"/>
  <c r="C858" i="5"/>
  <c r="L858" i="5"/>
  <c r="M858" i="5"/>
  <c r="O858" i="5"/>
  <c r="K858" i="5"/>
  <c r="I858" i="5"/>
  <c r="N858" i="5"/>
  <c r="T858" i="5" l="1"/>
  <c r="P858" i="5"/>
  <c r="S859" i="5"/>
  <c r="R859" i="5"/>
  <c r="Q859" i="5" s="1"/>
  <c r="B859" i="5"/>
  <c r="A860" i="5"/>
  <c r="U857" i="5"/>
  <c r="F858" i="5"/>
  <c r="I859" i="5"/>
  <c r="H859" i="5"/>
  <c r="C859" i="5"/>
  <c r="N859" i="5"/>
  <c r="M859" i="5"/>
  <c r="D859" i="5"/>
  <c r="E859" i="5"/>
  <c r="J859" i="5"/>
  <c r="G859" i="5"/>
  <c r="L859" i="5"/>
  <c r="O859" i="5"/>
  <c r="K859" i="5"/>
  <c r="T859" i="5" l="1"/>
  <c r="P859" i="5"/>
  <c r="S860" i="5"/>
  <c r="A861" i="5"/>
  <c r="R860" i="5"/>
  <c r="Q860" i="5" s="1"/>
  <c r="B860" i="5"/>
  <c r="U858" i="5"/>
  <c r="F859" i="5"/>
  <c r="I860" i="5"/>
  <c r="M860" i="5"/>
  <c r="O860" i="5"/>
  <c r="E860" i="5"/>
  <c r="K860" i="5"/>
  <c r="J860" i="5"/>
  <c r="H860" i="5"/>
  <c r="C860" i="5"/>
  <c r="N860" i="5"/>
  <c r="D860" i="5"/>
  <c r="L860" i="5"/>
  <c r="G860" i="5"/>
  <c r="T860" i="5" l="1"/>
  <c r="P860" i="5"/>
  <c r="S861" i="5"/>
  <c r="B861" i="5"/>
  <c r="A862" i="5"/>
  <c r="R861" i="5"/>
  <c r="Q861" i="5" s="1"/>
  <c r="U859" i="5"/>
  <c r="F860" i="5"/>
  <c r="K861" i="5"/>
  <c r="L861" i="5"/>
  <c r="C861" i="5"/>
  <c r="D861" i="5"/>
  <c r="M861" i="5"/>
  <c r="I861" i="5"/>
  <c r="H861" i="5"/>
  <c r="G861" i="5"/>
  <c r="N861" i="5"/>
  <c r="E861" i="5"/>
  <c r="J861" i="5"/>
  <c r="O861" i="5"/>
  <c r="T861" i="5" l="1"/>
  <c r="P861" i="5"/>
  <c r="S862" i="5"/>
  <c r="A863" i="5"/>
  <c r="R862" i="5"/>
  <c r="Q862" i="5" s="1"/>
  <c r="B862" i="5"/>
  <c r="U860" i="5"/>
  <c r="F861" i="5"/>
  <c r="J862" i="5"/>
  <c r="G862" i="5"/>
  <c r="E862" i="5"/>
  <c r="N862" i="5"/>
  <c r="D862" i="5"/>
  <c r="K862" i="5"/>
  <c r="M862" i="5"/>
  <c r="O862" i="5"/>
  <c r="C862" i="5"/>
  <c r="H862" i="5"/>
  <c r="L862" i="5"/>
  <c r="I862" i="5"/>
  <c r="T862" i="5" l="1"/>
  <c r="P862" i="5"/>
  <c r="S863" i="5"/>
  <c r="R863" i="5"/>
  <c r="Q863" i="5" s="1"/>
  <c r="B863" i="5"/>
  <c r="A864" i="5"/>
  <c r="U861" i="5"/>
  <c r="F862" i="5"/>
  <c r="K863" i="5"/>
  <c r="C863" i="5"/>
  <c r="J863" i="5"/>
  <c r="N863" i="5"/>
  <c r="I863" i="5"/>
  <c r="D863" i="5"/>
  <c r="E863" i="5"/>
  <c r="G863" i="5"/>
  <c r="O863" i="5"/>
  <c r="H863" i="5"/>
  <c r="L863" i="5"/>
  <c r="M863" i="5"/>
  <c r="T863" i="5" l="1"/>
  <c r="P863" i="5"/>
  <c r="S864" i="5"/>
  <c r="B864" i="5"/>
  <c r="A865" i="5"/>
  <c r="R864" i="5"/>
  <c r="Q864" i="5" s="1"/>
  <c r="U862" i="5"/>
  <c r="F863" i="5"/>
  <c r="H864" i="5"/>
  <c r="M864" i="5"/>
  <c r="C864" i="5"/>
  <c r="N864" i="5"/>
  <c r="D864" i="5"/>
  <c r="L864" i="5"/>
  <c r="K864" i="5"/>
  <c r="G864" i="5"/>
  <c r="I864" i="5"/>
  <c r="J864" i="5"/>
  <c r="E864" i="5"/>
  <c r="O864" i="5"/>
  <c r="T864" i="5" l="1"/>
  <c r="P864" i="5"/>
  <c r="S865" i="5"/>
  <c r="B865" i="5"/>
  <c r="A866" i="5"/>
  <c r="R865" i="5"/>
  <c r="Q865" i="5" s="1"/>
  <c r="U863" i="5"/>
  <c r="F864" i="5"/>
  <c r="M865" i="5"/>
  <c r="D865" i="5"/>
  <c r="N865" i="5"/>
  <c r="H865" i="5"/>
  <c r="J865" i="5"/>
  <c r="G865" i="5"/>
  <c r="O865" i="5"/>
  <c r="L865" i="5"/>
  <c r="C865" i="5"/>
  <c r="E865" i="5"/>
  <c r="K865" i="5"/>
  <c r="I865" i="5"/>
  <c r="T865" i="5" l="1"/>
  <c r="P865" i="5"/>
  <c r="S866" i="5"/>
  <c r="A867" i="5"/>
  <c r="R866" i="5"/>
  <c r="Q866" i="5" s="1"/>
  <c r="B866" i="5"/>
  <c r="U864" i="5"/>
  <c r="F865" i="5"/>
  <c r="D866" i="5"/>
  <c r="K866" i="5"/>
  <c r="O866" i="5"/>
  <c r="L866" i="5"/>
  <c r="E866" i="5"/>
  <c r="G866" i="5"/>
  <c r="N866" i="5"/>
  <c r="C866" i="5"/>
  <c r="I866" i="5"/>
  <c r="J866" i="5"/>
  <c r="M866" i="5"/>
  <c r="H866" i="5"/>
  <c r="T866" i="5" l="1"/>
  <c r="P866" i="5"/>
  <c r="S867" i="5"/>
  <c r="R867" i="5"/>
  <c r="Q867" i="5" s="1"/>
  <c r="B867" i="5"/>
  <c r="A868" i="5"/>
  <c r="U865" i="5"/>
  <c r="F866" i="5"/>
  <c r="D867" i="5"/>
  <c r="E867" i="5"/>
  <c r="L867" i="5"/>
  <c r="C867" i="5"/>
  <c r="K867" i="5"/>
  <c r="J867" i="5"/>
  <c r="N867" i="5"/>
  <c r="O867" i="5"/>
  <c r="I867" i="5"/>
  <c r="H867" i="5"/>
  <c r="M867" i="5"/>
  <c r="G867" i="5"/>
  <c r="T867" i="5" l="1"/>
  <c r="P867" i="5"/>
  <c r="S868" i="5"/>
  <c r="B868" i="5"/>
  <c r="A869" i="5"/>
  <c r="R868" i="5"/>
  <c r="Q868" i="5" s="1"/>
  <c r="U866" i="5"/>
  <c r="F867" i="5"/>
  <c r="I868" i="5"/>
  <c r="N868" i="5"/>
  <c r="D868" i="5"/>
  <c r="G868" i="5"/>
  <c r="C868" i="5"/>
  <c r="K868" i="5"/>
  <c r="O868" i="5"/>
  <c r="L868" i="5"/>
  <c r="J868" i="5"/>
  <c r="M868" i="5"/>
  <c r="E868" i="5"/>
  <c r="H868" i="5"/>
  <c r="T868" i="5" l="1"/>
  <c r="P868" i="5"/>
  <c r="S869" i="5"/>
  <c r="B869" i="5"/>
  <c r="A870" i="5"/>
  <c r="R869" i="5"/>
  <c r="Q869" i="5" s="1"/>
  <c r="U867" i="5"/>
  <c r="F868" i="5"/>
  <c r="G869" i="5"/>
  <c r="K869" i="5"/>
  <c r="M869" i="5"/>
  <c r="D869" i="5"/>
  <c r="J869" i="5"/>
  <c r="N869" i="5"/>
  <c r="H869" i="5"/>
  <c r="C869" i="5"/>
  <c r="O869" i="5"/>
  <c r="E869" i="5"/>
  <c r="L869" i="5"/>
  <c r="I869" i="5"/>
  <c r="T869" i="5" l="1"/>
  <c r="P869" i="5"/>
  <c r="S870" i="5"/>
  <c r="A871" i="5"/>
  <c r="R870" i="5"/>
  <c r="Q870" i="5" s="1"/>
  <c r="B870" i="5"/>
  <c r="U868" i="5"/>
  <c r="F869" i="5"/>
  <c r="L870" i="5"/>
  <c r="J870" i="5"/>
  <c r="C870" i="5"/>
  <c r="E870" i="5"/>
  <c r="O870" i="5"/>
  <c r="M870" i="5"/>
  <c r="I870" i="5"/>
  <c r="G870" i="5"/>
  <c r="D870" i="5"/>
  <c r="N870" i="5"/>
  <c r="K870" i="5"/>
  <c r="H870" i="5"/>
  <c r="T870" i="5" l="1"/>
  <c r="P870" i="5"/>
  <c r="S871" i="5"/>
  <c r="R871" i="5"/>
  <c r="Q871" i="5" s="1"/>
  <c r="B871" i="5"/>
  <c r="A872" i="5"/>
  <c r="U869" i="5"/>
  <c r="F870" i="5"/>
  <c r="E871" i="5"/>
  <c r="G871" i="5"/>
  <c r="H871" i="5"/>
  <c r="O871" i="5"/>
  <c r="L871" i="5"/>
  <c r="N871" i="5"/>
  <c r="C871" i="5"/>
  <c r="K871" i="5"/>
  <c r="M871" i="5"/>
  <c r="J871" i="5"/>
  <c r="I871" i="5"/>
  <c r="D871" i="5"/>
  <c r="T871" i="5" l="1"/>
  <c r="P871" i="5"/>
  <c r="S872" i="5"/>
  <c r="B872" i="5"/>
  <c r="R872" i="5"/>
  <c r="Q872" i="5" s="1"/>
  <c r="A873" i="5"/>
  <c r="U870" i="5"/>
  <c r="F871" i="5"/>
  <c r="M872" i="5"/>
  <c r="N872" i="5"/>
  <c r="E872" i="5"/>
  <c r="O872" i="5"/>
  <c r="C872" i="5"/>
  <c r="I872" i="5"/>
  <c r="J872" i="5"/>
  <c r="D872" i="5"/>
  <c r="L872" i="5"/>
  <c r="H872" i="5"/>
  <c r="G872" i="5"/>
  <c r="K872" i="5"/>
  <c r="T872" i="5" l="1"/>
  <c r="P872" i="5"/>
  <c r="S873" i="5"/>
  <c r="B873" i="5"/>
  <c r="A874" i="5"/>
  <c r="R873" i="5"/>
  <c r="Q873" i="5" s="1"/>
  <c r="U871" i="5"/>
  <c r="F872" i="5"/>
  <c r="C873" i="5"/>
  <c r="H873" i="5"/>
  <c r="E873" i="5"/>
  <c r="K873" i="5"/>
  <c r="N873" i="5"/>
  <c r="L873" i="5"/>
  <c r="D873" i="5"/>
  <c r="J873" i="5"/>
  <c r="G873" i="5"/>
  <c r="M873" i="5"/>
  <c r="O873" i="5"/>
  <c r="I873" i="5"/>
  <c r="T873" i="5" l="1"/>
  <c r="P873" i="5"/>
  <c r="S874" i="5"/>
  <c r="A875" i="5"/>
  <c r="R874" i="5"/>
  <c r="Q874" i="5" s="1"/>
  <c r="B874" i="5"/>
  <c r="U872" i="5"/>
  <c r="F873" i="5"/>
  <c r="G874" i="5"/>
  <c r="M874" i="5"/>
  <c r="I874" i="5"/>
  <c r="K874" i="5"/>
  <c r="E874" i="5"/>
  <c r="J874" i="5"/>
  <c r="H874" i="5"/>
  <c r="O874" i="5"/>
  <c r="N874" i="5"/>
  <c r="D874" i="5"/>
  <c r="C874" i="5"/>
  <c r="L874" i="5"/>
  <c r="T874" i="5" l="1"/>
  <c r="P874" i="5"/>
  <c r="S875" i="5"/>
  <c r="R875" i="5"/>
  <c r="Q875" i="5" s="1"/>
  <c r="B875" i="5"/>
  <c r="A876" i="5"/>
  <c r="U873" i="5"/>
  <c r="F874" i="5"/>
  <c r="O875" i="5"/>
  <c r="J875" i="5"/>
  <c r="N875" i="5"/>
  <c r="D875" i="5"/>
  <c r="L875" i="5"/>
  <c r="I875" i="5"/>
  <c r="H875" i="5"/>
  <c r="E875" i="5"/>
  <c r="G875" i="5"/>
  <c r="C875" i="5"/>
  <c r="K875" i="5"/>
  <c r="M875" i="5"/>
  <c r="T875" i="5" l="1"/>
  <c r="P875" i="5"/>
  <c r="S876" i="5"/>
  <c r="A877" i="5"/>
  <c r="R876" i="5"/>
  <c r="Q876" i="5" s="1"/>
  <c r="B876" i="5"/>
  <c r="U874" i="5"/>
  <c r="F875" i="5"/>
  <c r="H876" i="5"/>
  <c r="K876" i="5"/>
  <c r="D876" i="5"/>
  <c r="E876" i="5"/>
  <c r="G876" i="5"/>
  <c r="O876" i="5"/>
  <c r="I876" i="5"/>
  <c r="M876" i="5"/>
  <c r="L876" i="5"/>
  <c r="N876" i="5"/>
  <c r="J876" i="5"/>
  <c r="C876" i="5"/>
  <c r="T876" i="5" l="1"/>
  <c r="P876" i="5"/>
  <c r="U876" i="5" s="1"/>
  <c r="S877" i="5"/>
  <c r="B877" i="5"/>
  <c r="R877" i="5"/>
  <c r="Q877" i="5" s="1"/>
  <c r="A878" i="5"/>
  <c r="U875" i="5"/>
  <c r="G877" i="5"/>
  <c r="I877" i="5"/>
  <c r="C877" i="5"/>
  <c r="H877" i="5"/>
  <c r="K877" i="5"/>
  <c r="M877" i="5"/>
  <c r="D877" i="5"/>
  <c r="L877" i="5"/>
  <c r="N877" i="5"/>
  <c r="J877" i="5"/>
  <c r="E877" i="5"/>
  <c r="O877" i="5"/>
  <c r="F876" i="5"/>
  <c r="T877" i="5" l="1"/>
  <c r="P877" i="5"/>
  <c r="S878" i="5"/>
  <c r="B878" i="5"/>
  <c r="A879" i="5"/>
  <c r="R878" i="5"/>
  <c r="Q878" i="5" s="1"/>
  <c r="F877" i="5"/>
  <c r="I878" i="5"/>
  <c r="O878" i="5"/>
  <c r="D878" i="5"/>
  <c r="H878" i="5"/>
  <c r="N878" i="5"/>
  <c r="M878" i="5"/>
  <c r="K878" i="5"/>
  <c r="J878" i="5"/>
  <c r="C878" i="5"/>
  <c r="E878" i="5"/>
  <c r="G878" i="5"/>
  <c r="L878" i="5"/>
  <c r="T878" i="5" l="1"/>
  <c r="P878" i="5"/>
  <c r="S879" i="5"/>
  <c r="R879" i="5"/>
  <c r="Q879" i="5" s="1"/>
  <c r="B879" i="5"/>
  <c r="A880" i="5"/>
  <c r="U877" i="5"/>
  <c r="F878" i="5"/>
  <c r="N879" i="5"/>
  <c r="L879" i="5"/>
  <c r="K879" i="5"/>
  <c r="J879" i="5"/>
  <c r="D879" i="5"/>
  <c r="C879" i="5"/>
  <c r="M879" i="5"/>
  <c r="I879" i="5"/>
  <c r="H879" i="5"/>
  <c r="E879" i="5"/>
  <c r="O879" i="5"/>
  <c r="G879" i="5"/>
  <c r="T879" i="5" l="1"/>
  <c r="P879" i="5"/>
  <c r="S880" i="5"/>
  <c r="B880" i="5"/>
  <c r="R880" i="5"/>
  <c r="Q880" i="5" s="1"/>
  <c r="A881" i="5"/>
  <c r="U878" i="5"/>
  <c r="F879" i="5"/>
  <c r="L880" i="5"/>
  <c r="N880" i="5"/>
  <c r="M880" i="5"/>
  <c r="D880" i="5"/>
  <c r="G880" i="5"/>
  <c r="H880" i="5"/>
  <c r="J880" i="5"/>
  <c r="O880" i="5"/>
  <c r="C880" i="5"/>
  <c r="E880" i="5"/>
  <c r="K880" i="5"/>
  <c r="I880" i="5"/>
  <c r="T880" i="5" l="1"/>
  <c r="P880" i="5"/>
  <c r="S881" i="5"/>
  <c r="R881" i="5"/>
  <c r="Q881" i="5" s="1"/>
  <c r="A882" i="5"/>
  <c r="B881" i="5"/>
  <c r="U879" i="5"/>
  <c r="F880" i="5"/>
  <c r="K881" i="5"/>
  <c r="D881" i="5"/>
  <c r="N881" i="5"/>
  <c r="I881" i="5"/>
  <c r="O881" i="5"/>
  <c r="E881" i="5"/>
  <c r="L881" i="5"/>
  <c r="M881" i="5"/>
  <c r="H881" i="5"/>
  <c r="G881" i="5"/>
  <c r="J881" i="5"/>
  <c r="C881" i="5"/>
  <c r="T881" i="5" l="1"/>
  <c r="P881" i="5"/>
  <c r="S882" i="5"/>
  <c r="B882" i="5"/>
  <c r="A883" i="5"/>
  <c r="R882" i="5"/>
  <c r="Q882" i="5" s="1"/>
  <c r="U880" i="5"/>
  <c r="F881" i="5"/>
  <c r="J882" i="5"/>
  <c r="M882" i="5"/>
  <c r="L882" i="5"/>
  <c r="H882" i="5"/>
  <c r="K882" i="5"/>
  <c r="I882" i="5"/>
  <c r="G882" i="5"/>
  <c r="C882" i="5"/>
  <c r="D882" i="5"/>
  <c r="E882" i="5"/>
  <c r="N882" i="5"/>
  <c r="O882" i="5"/>
  <c r="T882" i="5" l="1"/>
  <c r="P882" i="5"/>
  <c r="S883" i="5"/>
  <c r="A884" i="5"/>
  <c r="R883" i="5"/>
  <c r="Q883" i="5" s="1"/>
  <c r="B883" i="5"/>
  <c r="U881" i="5"/>
  <c r="F882" i="5"/>
  <c r="M883" i="5"/>
  <c r="I883" i="5"/>
  <c r="K883" i="5"/>
  <c r="G883" i="5"/>
  <c r="C883" i="5"/>
  <c r="E883" i="5"/>
  <c r="D883" i="5"/>
  <c r="H883" i="5"/>
  <c r="N883" i="5"/>
  <c r="O883" i="5"/>
  <c r="L883" i="5"/>
  <c r="J883" i="5"/>
  <c r="T883" i="5" l="1"/>
  <c r="P883" i="5"/>
  <c r="S884" i="5"/>
  <c r="A885" i="5"/>
  <c r="R884" i="5"/>
  <c r="Q884" i="5" s="1"/>
  <c r="B884" i="5"/>
  <c r="U882" i="5"/>
  <c r="F883" i="5"/>
  <c r="C884" i="5"/>
  <c r="M884" i="5"/>
  <c r="N884" i="5"/>
  <c r="L884" i="5"/>
  <c r="O884" i="5"/>
  <c r="K884" i="5"/>
  <c r="I884" i="5"/>
  <c r="D884" i="5"/>
  <c r="J884" i="5"/>
  <c r="H884" i="5"/>
  <c r="E884" i="5"/>
  <c r="G884" i="5"/>
  <c r="T884" i="5" l="1"/>
  <c r="P884" i="5"/>
  <c r="S885" i="5"/>
  <c r="A886" i="5"/>
  <c r="R885" i="5"/>
  <c r="Q885" i="5" s="1"/>
  <c r="B885" i="5"/>
  <c r="U883" i="5"/>
  <c r="F884" i="5"/>
  <c r="O885" i="5"/>
  <c r="L885" i="5"/>
  <c r="K885" i="5"/>
  <c r="E885" i="5"/>
  <c r="C885" i="5"/>
  <c r="D885" i="5"/>
  <c r="J885" i="5"/>
  <c r="G885" i="5"/>
  <c r="M885" i="5"/>
  <c r="I885" i="5"/>
  <c r="H885" i="5"/>
  <c r="N885" i="5"/>
  <c r="P885" i="5" l="1"/>
  <c r="T885" i="5"/>
  <c r="S886" i="5"/>
  <c r="B886" i="5"/>
  <c r="R886" i="5"/>
  <c r="Q886" i="5" s="1"/>
  <c r="A887" i="5"/>
  <c r="U884" i="5"/>
  <c r="F885" i="5"/>
  <c r="E886" i="5"/>
  <c r="M886" i="5"/>
  <c r="D886" i="5"/>
  <c r="G886" i="5"/>
  <c r="H886" i="5"/>
  <c r="L886" i="5"/>
  <c r="N886" i="5"/>
  <c r="C886" i="5"/>
  <c r="O886" i="5"/>
  <c r="J886" i="5"/>
  <c r="K886" i="5"/>
  <c r="I886" i="5"/>
  <c r="T886" i="5" l="1"/>
  <c r="P886" i="5"/>
  <c r="S887" i="5"/>
  <c r="B887" i="5"/>
  <c r="A888" i="5"/>
  <c r="R887" i="5"/>
  <c r="Q887" i="5" s="1"/>
  <c r="U885" i="5"/>
  <c r="F886" i="5"/>
  <c r="L887" i="5"/>
  <c r="G887" i="5"/>
  <c r="I887" i="5"/>
  <c r="O887" i="5"/>
  <c r="K887" i="5"/>
  <c r="M887" i="5"/>
  <c r="H887" i="5"/>
  <c r="J887" i="5"/>
  <c r="C887" i="5"/>
  <c r="D887" i="5"/>
  <c r="N887" i="5"/>
  <c r="E887" i="5"/>
  <c r="T887" i="5" l="1"/>
  <c r="P887" i="5"/>
  <c r="S888" i="5"/>
  <c r="B888" i="5"/>
  <c r="R888" i="5"/>
  <c r="Q888" i="5" s="1"/>
  <c r="A889" i="5"/>
  <c r="U886" i="5"/>
  <c r="F887" i="5"/>
  <c r="K888" i="5"/>
  <c r="I888" i="5"/>
  <c r="G888" i="5"/>
  <c r="O888" i="5"/>
  <c r="M888" i="5"/>
  <c r="N888" i="5"/>
  <c r="J888" i="5"/>
  <c r="E888" i="5"/>
  <c r="C888" i="5"/>
  <c r="L888" i="5"/>
  <c r="D888" i="5"/>
  <c r="H888" i="5"/>
  <c r="T888" i="5" l="1"/>
  <c r="P888" i="5"/>
  <c r="U888" i="5" s="1"/>
  <c r="S889" i="5"/>
  <c r="R889" i="5"/>
  <c r="Q889" i="5" s="1"/>
  <c r="B889" i="5"/>
  <c r="A890" i="5"/>
  <c r="U887" i="5"/>
  <c r="G889" i="5"/>
  <c r="O889" i="5"/>
  <c r="E889" i="5"/>
  <c r="C889" i="5"/>
  <c r="K889" i="5"/>
  <c r="I889" i="5"/>
  <c r="D889" i="5"/>
  <c r="H889" i="5"/>
  <c r="J889" i="5"/>
  <c r="N889" i="5"/>
  <c r="L889" i="5"/>
  <c r="M889" i="5"/>
  <c r="F888" i="5"/>
  <c r="T889" i="5" l="1"/>
  <c r="P889" i="5"/>
  <c r="S890" i="5"/>
  <c r="R890" i="5"/>
  <c r="Q890" i="5" s="1"/>
  <c r="B890" i="5"/>
  <c r="A891" i="5"/>
  <c r="F889" i="5"/>
  <c r="K890" i="5"/>
  <c r="C890" i="5"/>
  <c r="E890" i="5"/>
  <c r="N890" i="5"/>
  <c r="O890" i="5"/>
  <c r="H890" i="5"/>
  <c r="I890" i="5"/>
  <c r="L890" i="5"/>
  <c r="J890" i="5"/>
  <c r="M890" i="5"/>
  <c r="D890" i="5"/>
  <c r="G890" i="5"/>
  <c r="T890" i="5" l="1"/>
  <c r="P890" i="5"/>
  <c r="S891" i="5"/>
  <c r="A892" i="5"/>
  <c r="R891" i="5"/>
  <c r="Q891" i="5" s="1"/>
  <c r="B891" i="5"/>
  <c r="U889" i="5"/>
  <c r="F890" i="5"/>
  <c r="E891" i="5"/>
  <c r="I891" i="5"/>
  <c r="O891" i="5"/>
  <c r="N891" i="5"/>
  <c r="K891" i="5"/>
  <c r="G891" i="5"/>
  <c r="J891" i="5"/>
  <c r="C891" i="5"/>
  <c r="H891" i="5"/>
  <c r="M891" i="5"/>
  <c r="D891" i="5"/>
  <c r="L891" i="5"/>
  <c r="P891" i="5" l="1"/>
  <c r="T891" i="5"/>
  <c r="S892" i="5"/>
  <c r="R892" i="5"/>
  <c r="Q892" i="5" s="1"/>
  <c r="B892" i="5"/>
  <c r="A893" i="5"/>
  <c r="U890" i="5"/>
  <c r="F891" i="5"/>
  <c r="K892" i="5"/>
  <c r="M892" i="5"/>
  <c r="C892" i="5"/>
  <c r="J892" i="5"/>
  <c r="D892" i="5"/>
  <c r="G892" i="5"/>
  <c r="I892" i="5"/>
  <c r="N892" i="5"/>
  <c r="E892" i="5"/>
  <c r="O892" i="5"/>
  <c r="L892" i="5"/>
  <c r="H892" i="5"/>
  <c r="T892" i="5" l="1"/>
  <c r="P892" i="5"/>
  <c r="S893" i="5"/>
  <c r="A894" i="5"/>
  <c r="R893" i="5"/>
  <c r="Q893" i="5" s="1"/>
  <c r="B893" i="5"/>
  <c r="U891" i="5"/>
  <c r="F892" i="5"/>
  <c r="C893" i="5"/>
  <c r="E893" i="5"/>
  <c r="I893" i="5"/>
  <c r="D893" i="5"/>
  <c r="K893" i="5"/>
  <c r="J893" i="5"/>
  <c r="N893" i="5"/>
  <c r="M893" i="5"/>
  <c r="H893" i="5"/>
  <c r="O893" i="5"/>
  <c r="G893" i="5"/>
  <c r="L893" i="5"/>
  <c r="T893" i="5" l="1"/>
  <c r="P893" i="5"/>
  <c r="S894" i="5"/>
  <c r="R894" i="5"/>
  <c r="Q894" i="5" s="1"/>
  <c r="B894" i="5"/>
  <c r="A895" i="5"/>
  <c r="U892" i="5"/>
  <c r="F893" i="5"/>
  <c r="M894" i="5"/>
  <c r="H894" i="5"/>
  <c r="I894" i="5"/>
  <c r="N894" i="5"/>
  <c r="K894" i="5"/>
  <c r="O894" i="5"/>
  <c r="D894" i="5"/>
  <c r="G894" i="5"/>
  <c r="J894" i="5"/>
  <c r="E894" i="5"/>
  <c r="L894" i="5"/>
  <c r="C894" i="5"/>
  <c r="T894" i="5" l="1"/>
  <c r="P894" i="5"/>
  <c r="S895" i="5"/>
  <c r="R895" i="5"/>
  <c r="Q895" i="5" s="1"/>
  <c r="B895" i="5"/>
  <c r="A896" i="5"/>
  <c r="U893" i="5"/>
  <c r="F894" i="5"/>
  <c r="J895" i="5"/>
  <c r="H895" i="5"/>
  <c r="O895" i="5"/>
  <c r="N895" i="5"/>
  <c r="L895" i="5"/>
  <c r="C895" i="5"/>
  <c r="E895" i="5"/>
  <c r="K895" i="5"/>
  <c r="G895" i="5"/>
  <c r="M895" i="5"/>
  <c r="D895" i="5"/>
  <c r="I895" i="5"/>
  <c r="T895" i="5" l="1"/>
  <c r="P895" i="5"/>
  <c r="S896" i="5"/>
  <c r="R896" i="5"/>
  <c r="Q896" i="5" s="1"/>
  <c r="B896" i="5"/>
  <c r="A897" i="5"/>
  <c r="U894" i="5"/>
  <c r="F895" i="5"/>
  <c r="M896" i="5"/>
  <c r="C896" i="5"/>
  <c r="K896" i="5"/>
  <c r="N896" i="5"/>
  <c r="O896" i="5"/>
  <c r="L896" i="5"/>
  <c r="G896" i="5"/>
  <c r="E896" i="5"/>
  <c r="D896" i="5"/>
  <c r="I896" i="5"/>
  <c r="H896" i="5"/>
  <c r="J896" i="5"/>
  <c r="T896" i="5" l="1"/>
  <c r="P896" i="5"/>
  <c r="S897" i="5"/>
  <c r="B897" i="5"/>
  <c r="A898" i="5"/>
  <c r="R897" i="5"/>
  <c r="Q897" i="5" s="1"/>
  <c r="U895" i="5"/>
  <c r="F896" i="5"/>
  <c r="O897" i="5"/>
  <c r="J897" i="5"/>
  <c r="G897" i="5"/>
  <c r="K897" i="5"/>
  <c r="M897" i="5"/>
  <c r="E897" i="5"/>
  <c r="C897" i="5"/>
  <c r="I897" i="5"/>
  <c r="L897" i="5"/>
  <c r="N897" i="5"/>
  <c r="D897" i="5"/>
  <c r="H897" i="5"/>
  <c r="T897" i="5" l="1"/>
  <c r="P897" i="5"/>
  <c r="S898" i="5"/>
  <c r="R898" i="5"/>
  <c r="Q898" i="5" s="1"/>
  <c r="B898" i="5"/>
  <c r="A899" i="5"/>
  <c r="U896" i="5"/>
  <c r="F897" i="5"/>
  <c r="M898" i="5"/>
  <c r="O898" i="5"/>
  <c r="N898" i="5"/>
  <c r="D898" i="5"/>
  <c r="C898" i="5"/>
  <c r="K898" i="5"/>
  <c r="H898" i="5"/>
  <c r="J898" i="5"/>
  <c r="L898" i="5"/>
  <c r="G898" i="5"/>
  <c r="E898" i="5"/>
  <c r="I898" i="5"/>
  <c r="T898" i="5" l="1"/>
  <c r="P898" i="5"/>
  <c r="S899" i="5"/>
  <c r="R899" i="5"/>
  <c r="Q899" i="5" s="1"/>
  <c r="A900" i="5"/>
  <c r="B899" i="5"/>
  <c r="U897" i="5"/>
  <c r="F898" i="5"/>
  <c r="J899" i="5"/>
  <c r="M899" i="5"/>
  <c r="C899" i="5"/>
  <c r="L899" i="5"/>
  <c r="N899" i="5"/>
  <c r="G899" i="5"/>
  <c r="H899" i="5"/>
  <c r="K899" i="5"/>
  <c r="D899" i="5"/>
  <c r="O899" i="5"/>
  <c r="E899" i="5"/>
  <c r="I899" i="5"/>
  <c r="T899" i="5" l="1"/>
  <c r="P899" i="5"/>
  <c r="S900" i="5"/>
  <c r="R900" i="5"/>
  <c r="Q900" i="5" s="1"/>
  <c r="B900" i="5"/>
  <c r="A901" i="5"/>
  <c r="U898" i="5"/>
  <c r="F899" i="5"/>
  <c r="J900" i="5"/>
  <c r="D900" i="5"/>
  <c r="I900" i="5"/>
  <c r="L900" i="5"/>
  <c r="H900" i="5"/>
  <c r="E900" i="5"/>
  <c r="K900" i="5"/>
  <c r="C900" i="5"/>
  <c r="N900" i="5"/>
  <c r="G900" i="5"/>
  <c r="M900" i="5"/>
  <c r="O900" i="5"/>
  <c r="T900" i="5" l="1"/>
  <c r="P900" i="5"/>
  <c r="S901" i="5"/>
  <c r="B901" i="5"/>
  <c r="A902" i="5"/>
  <c r="R901" i="5"/>
  <c r="Q901" i="5" s="1"/>
  <c r="U899" i="5"/>
  <c r="F900" i="5"/>
  <c r="C901" i="5"/>
  <c r="L901" i="5"/>
  <c r="E901" i="5"/>
  <c r="N901" i="5"/>
  <c r="O901" i="5"/>
  <c r="I901" i="5"/>
  <c r="G901" i="5"/>
  <c r="H901" i="5"/>
  <c r="D901" i="5"/>
  <c r="M901" i="5"/>
  <c r="J901" i="5"/>
  <c r="K901" i="5"/>
  <c r="T901" i="5" l="1"/>
  <c r="P901" i="5"/>
  <c r="S902" i="5"/>
  <c r="A903" i="5"/>
  <c r="R902" i="5"/>
  <c r="Q902" i="5" s="1"/>
  <c r="B902" i="5"/>
  <c r="U900" i="5"/>
  <c r="F901" i="5"/>
  <c r="K902" i="5"/>
  <c r="N902" i="5"/>
  <c r="O902" i="5"/>
  <c r="L902" i="5"/>
  <c r="H902" i="5"/>
  <c r="D902" i="5"/>
  <c r="G902" i="5"/>
  <c r="E902" i="5"/>
  <c r="J902" i="5"/>
  <c r="I902" i="5"/>
  <c r="C902" i="5"/>
  <c r="M902" i="5"/>
  <c r="T902" i="5" l="1"/>
  <c r="P902" i="5"/>
  <c r="S903" i="5"/>
  <c r="B903" i="5"/>
  <c r="A904" i="5"/>
  <c r="R903" i="5"/>
  <c r="Q903" i="5" s="1"/>
  <c r="U901" i="5"/>
  <c r="F902" i="5"/>
  <c r="O903" i="5"/>
  <c r="M903" i="5"/>
  <c r="N903" i="5"/>
  <c r="G903" i="5"/>
  <c r="I903" i="5"/>
  <c r="J903" i="5"/>
  <c r="L903" i="5"/>
  <c r="H903" i="5"/>
  <c r="E903" i="5"/>
  <c r="D903" i="5"/>
  <c r="C903" i="5"/>
  <c r="K903" i="5"/>
  <c r="T903" i="5" l="1"/>
  <c r="P903" i="5"/>
  <c r="S904" i="5"/>
  <c r="R904" i="5"/>
  <c r="Q904" i="5" s="1"/>
  <c r="B904" i="5"/>
  <c r="A905" i="5"/>
  <c r="U902" i="5"/>
  <c r="F903" i="5"/>
  <c r="G904" i="5"/>
  <c r="J904" i="5"/>
  <c r="E904" i="5"/>
  <c r="K904" i="5"/>
  <c r="N904" i="5"/>
  <c r="O904" i="5"/>
  <c r="C904" i="5"/>
  <c r="M904" i="5"/>
  <c r="L904" i="5"/>
  <c r="D904" i="5"/>
  <c r="I904" i="5"/>
  <c r="H904" i="5"/>
  <c r="T904" i="5" l="1"/>
  <c r="P904" i="5"/>
  <c r="S905" i="5"/>
  <c r="B905" i="5"/>
  <c r="R905" i="5"/>
  <c r="Q905" i="5" s="1"/>
  <c r="A906" i="5"/>
  <c r="U903" i="5"/>
  <c r="F904" i="5"/>
  <c r="D905" i="5"/>
  <c r="G905" i="5"/>
  <c r="I905" i="5"/>
  <c r="O905" i="5"/>
  <c r="L905" i="5"/>
  <c r="K905" i="5"/>
  <c r="C905" i="5"/>
  <c r="J905" i="5"/>
  <c r="M905" i="5"/>
  <c r="H905" i="5"/>
  <c r="N905" i="5"/>
  <c r="E905" i="5"/>
  <c r="T905" i="5" l="1"/>
  <c r="P905" i="5"/>
  <c r="S906" i="5"/>
  <c r="B906" i="5"/>
  <c r="A907" i="5"/>
  <c r="R906" i="5"/>
  <c r="Q906" i="5" s="1"/>
  <c r="U904" i="5"/>
  <c r="F905" i="5"/>
  <c r="G906" i="5"/>
  <c r="N906" i="5"/>
  <c r="O906" i="5"/>
  <c r="D906" i="5"/>
  <c r="C906" i="5"/>
  <c r="I906" i="5"/>
  <c r="J906" i="5"/>
  <c r="E906" i="5"/>
  <c r="L906" i="5"/>
  <c r="K906" i="5"/>
  <c r="M906" i="5"/>
  <c r="H906" i="5"/>
  <c r="T906" i="5" l="1"/>
  <c r="P906" i="5"/>
  <c r="S907" i="5"/>
  <c r="B907" i="5"/>
  <c r="A908" i="5"/>
  <c r="R907" i="5"/>
  <c r="Q907" i="5" s="1"/>
  <c r="U905" i="5"/>
  <c r="F906" i="5"/>
  <c r="D907" i="5"/>
  <c r="E907" i="5"/>
  <c r="G907" i="5"/>
  <c r="N907" i="5"/>
  <c r="L907" i="5"/>
  <c r="I907" i="5"/>
  <c r="H907" i="5"/>
  <c r="J907" i="5"/>
  <c r="M907" i="5"/>
  <c r="C907" i="5"/>
  <c r="O907" i="5"/>
  <c r="K907" i="5"/>
  <c r="T907" i="5" l="1"/>
  <c r="P907" i="5"/>
  <c r="S908" i="5"/>
  <c r="A909" i="5"/>
  <c r="R908" i="5"/>
  <c r="Q908" i="5" s="1"/>
  <c r="B908" i="5"/>
  <c r="U906" i="5"/>
  <c r="F907" i="5"/>
  <c r="I908" i="5"/>
  <c r="L908" i="5"/>
  <c r="H908" i="5"/>
  <c r="N908" i="5"/>
  <c r="J908" i="5"/>
  <c r="D908" i="5"/>
  <c r="E908" i="5"/>
  <c r="M908" i="5"/>
  <c r="C908" i="5"/>
  <c r="G908" i="5"/>
  <c r="K908" i="5"/>
  <c r="O908" i="5"/>
  <c r="T908" i="5" l="1"/>
  <c r="P908" i="5"/>
  <c r="S909" i="5"/>
  <c r="A910" i="5"/>
  <c r="R909" i="5"/>
  <c r="Q909" i="5" s="1"/>
  <c r="B909" i="5"/>
  <c r="U907" i="5"/>
  <c r="F908" i="5"/>
  <c r="N909" i="5"/>
  <c r="J909" i="5"/>
  <c r="E909" i="5"/>
  <c r="I909" i="5"/>
  <c r="D909" i="5"/>
  <c r="H909" i="5"/>
  <c r="G909" i="5"/>
  <c r="K909" i="5"/>
  <c r="O909" i="5"/>
  <c r="C909" i="5"/>
  <c r="M909" i="5"/>
  <c r="L909" i="5"/>
  <c r="T909" i="5" l="1"/>
  <c r="P909" i="5"/>
  <c r="U909" i="5" s="1"/>
  <c r="S910" i="5"/>
  <c r="B910" i="5"/>
  <c r="A911" i="5"/>
  <c r="R910" i="5"/>
  <c r="Q910" i="5" s="1"/>
  <c r="U908" i="5"/>
  <c r="M910" i="5"/>
  <c r="K910" i="5"/>
  <c r="C910" i="5"/>
  <c r="G910" i="5"/>
  <c r="D910" i="5"/>
  <c r="N910" i="5"/>
  <c r="O910" i="5"/>
  <c r="I910" i="5"/>
  <c r="J910" i="5"/>
  <c r="H910" i="5"/>
  <c r="E910" i="5"/>
  <c r="L910" i="5"/>
  <c r="F909" i="5"/>
  <c r="T910" i="5" l="1"/>
  <c r="P910" i="5"/>
  <c r="S911" i="5"/>
  <c r="B911" i="5"/>
  <c r="A912" i="5"/>
  <c r="R911" i="5"/>
  <c r="Q911" i="5" s="1"/>
  <c r="F910" i="5"/>
  <c r="O911" i="5"/>
  <c r="M911" i="5"/>
  <c r="L911" i="5"/>
  <c r="E911" i="5"/>
  <c r="I911" i="5"/>
  <c r="N911" i="5"/>
  <c r="D911" i="5"/>
  <c r="H911" i="5"/>
  <c r="G911" i="5"/>
  <c r="C911" i="5"/>
  <c r="J911" i="5"/>
  <c r="K911" i="5"/>
  <c r="T911" i="5" l="1"/>
  <c r="P911" i="5"/>
  <c r="S912" i="5"/>
  <c r="A913" i="5"/>
  <c r="R912" i="5"/>
  <c r="Q912" i="5" s="1"/>
  <c r="B912" i="5"/>
  <c r="U910" i="5"/>
  <c r="F911" i="5"/>
  <c r="H912" i="5"/>
  <c r="L912" i="5"/>
  <c r="J912" i="5"/>
  <c r="C912" i="5"/>
  <c r="E912" i="5"/>
  <c r="M912" i="5"/>
  <c r="D912" i="5"/>
  <c r="K912" i="5"/>
  <c r="N912" i="5"/>
  <c r="O912" i="5"/>
  <c r="I912" i="5"/>
  <c r="G912" i="5"/>
  <c r="T912" i="5" l="1"/>
  <c r="P912" i="5"/>
  <c r="S913" i="5"/>
  <c r="A914" i="5"/>
  <c r="R913" i="5"/>
  <c r="Q913" i="5" s="1"/>
  <c r="B913" i="5"/>
  <c r="U911" i="5"/>
  <c r="F912" i="5"/>
  <c r="J913" i="5"/>
  <c r="E913" i="5"/>
  <c r="L913" i="5"/>
  <c r="O913" i="5"/>
  <c r="K913" i="5"/>
  <c r="N913" i="5"/>
  <c r="M913" i="5"/>
  <c r="I913" i="5"/>
  <c r="D913" i="5"/>
  <c r="G913" i="5"/>
  <c r="H913" i="5"/>
  <c r="C913" i="5"/>
  <c r="T913" i="5" l="1"/>
  <c r="P913" i="5"/>
  <c r="S914" i="5"/>
  <c r="A915" i="5"/>
  <c r="B914" i="5"/>
  <c r="R914" i="5"/>
  <c r="Q914" i="5" s="1"/>
  <c r="U912" i="5"/>
  <c r="F913" i="5"/>
  <c r="K914" i="5"/>
  <c r="H914" i="5"/>
  <c r="G914" i="5"/>
  <c r="L914" i="5"/>
  <c r="J914" i="5"/>
  <c r="E914" i="5"/>
  <c r="M914" i="5"/>
  <c r="I914" i="5"/>
  <c r="O914" i="5"/>
  <c r="N914" i="5"/>
  <c r="D914" i="5"/>
  <c r="C914" i="5"/>
  <c r="T914" i="5" l="1"/>
  <c r="P914" i="5"/>
  <c r="S915" i="5"/>
  <c r="B915" i="5"/>
  <c r="A916" i="5"/>
  <c r="R915" i="5"/>
  <c r="Q915" i="5" s="1"/>
  <c r="U913" i="5"/>
  <c r="F914" i="5"/>
  <c r="C915" i="5"/>
  <c r="M915" i="5"/>
  <c r="O915" i="5"/>
  <c r="K915" i="5"/>
  <c r="J915" i="5"/>
  <c r="H915" i="5"/>
  <c r="L915" i="5"/>
  <c r="N915" i="5"/>
  <c r="I915" i="5"/>
  <c r="E915" i="5"/>
  <c r="G915" i="5"/>
  <c r="D915" i="5"/>
  <c r="T915" i="5" l="1"/>
  <c r="P915" i="5"/>
  <c r="S916" i="5"/>
  <c r="A917" i="5"/>
  <c r="R916" i="5"/>
  <c r="Q916" i="5" s="1"/>
  <c r="B916" i="5"/>
  <c r="U914" i="5"/>
  <c r="F915" i="5"/>
  <c r="E916" i="5"/>
  <c r="H916" i="5"/>
  <c r="C916" i="5"/>
  <c r="N916" i="5"/>
  <c r="G916" i="5"/>
  <c r="I916" i="5"/>
  <c r="J916" i="5"/>
  <c r="L916" i="5"/>
  <c r="D916" i="5"/>
  <c r="O916" i="5"/>
  <c r="K916" i="5"/>
  <c r="M916" i="5"/>
  <c r="T916" i="5" l="1"/>
  <c r="P916" i="5"/>
  <c r="S917" i="5"/>
  <c r="A918" i="5"/>
  <c r="R917" i="5"/>
  <c r="Q917" i="5" s="1"/>
  <c r="B917" i="5"/>
  <c r="U915" i="5"/>
  <c r="F916" i="5"/>
  <c r="K917" i="5"/>
  <c r="E917" i="5"/>
  <c r="M917" i="5"/>
  <c r="C917" i="5"/>
  <c r="D917" i="5"/>
  <c r="O917" i="5"/>
  <c r="I917" i="5"/>
  <c r="L917" i="5"/>
  <c r="J917" i="5"/>
  <c r="G917" i="5"/>
  <c r="N917" i="5"/>
  <c r="H917" i="5"/>
  <c r="T917" i="5" l="1"/>
  <c r="P917" i="5"/>
  <c r="S918" i="5"/>
  <c r="B918" i="5"/>
  <c r="R918" i="5"/>
  <c r="Q918" i="5" s="1"/>
  <c r="A919" i="5"/>
  <c r="U916" i="5"/>
  <c r="F917" i="5"/>
  <c r="K918" i="5"/>
  <c r="D918" i="5"/>
  <c r="M918" i="5"/>
  <c r="C918" i="5"/>
  <c r="H918" i="5"/>
  <c r="G918" i="5"/>
  <c r="O918" i="5"/>
  <c r="I918" i="5"/>
  <c r="L918" i="5"/>
  <c r="J918" i="5"/>
  <c r="N918" i="5"/>
  <c r="E918" i="5"/>
  <c r="P918" i="5" l="1"/>
  <c r="T918" i="5"/>
  <c r="S919" i="5"/>
  <c r="B919" i="5"/>
  <c r="R919" i="5"/>
  <c r="Q919" i="5" s="1"/>
  <c r="A920" i="5"/>
  <c r="U917" i="5"/>
  <c r="F918" i="5"/>
  <c r="H919" i="5"/>
  <c r="E919" i="5"/>
  <c r="O919" i="5"/>
  <c r="J919" i="5"/>
  <c r="G919" i="5"/>
  <c r="I919" i="5"/>
  <c r="M919" i="5"/>
  <c r="C919" i="5"/>
  <c r="N919" i="5"/>
  <c r="K919" i="5"/>
  <c r="D919" i="5"/>
  <c r="L919" i="5"/>
  <c r="T919" i="5" l="1"/>
  <c r="P919" i="5"/>
  <c r="S920" i="5"/>
  <c r="B920" i="5"/>
  <c r="A921" i="5"/>
  <c r="R920" i="5"/>
  <c r="Q920" i="5" s="1"/>
  <c r="U918" i="5"/>
  <c r="F919" i="5"/>
  <c r="O920" i="5"/>
  <c r="J920" i="5"/>
  <c r="H920" i="5"/>
  <c r="M920" i="5"/>
  <c r="K920" i="5"/>
  <c r="C920" i="5"/>
  <c r="E920" i="5"/>
  <c r="L920" i="5"/>
  <c r="I920" i="5"/>
  <c r="N920" i="5"/>
  <c r="G920" i="5"/>
  <c r="D920" i="5"/>
  <c r="T920" i="5" l="1"/>
  <c r="P920" i="5"/>
  <c r="S921" i="5"/>
  <c r="B921" i="5"/>
  <c r="A922" i="5"/>
  <c r="R921" i="5"/>
  <c r="Q921" i="5" s="1"/>
  <c r="U919" i="5"/>
  <c r="F920" i="5"/>
  <c r="O921" i="5"/>
  <c r="D921" i="5"/>
  <c r="H921" i="5"/>
  <c r="M921" i="5"/>
  <c r="L921" i="5"/>
  <c r="I921" i="5"/>
  <c r="J921" i="5"/>
  <c r="K921" i="5"/>
  <c r="C921" i="5"/>
  <c r="E921" i="5"/>
  <c r="N921" i="5"/>
  <c r="G921" i="5"/>
  <c r="P921" i="5" l="1"/>
  <c r="T921" i="5"/>
  <c r="S922" i="5"/>
  <c r="A923" i="5"/>
  <c r="R922" i="5"/>
  <c r="Q922" i="5" s="1"/>
  <c r="B922" i="5"/>
  <c r="U920" i="5"/>
  <c r="F921" i="5"/>
  <c r="O922" i="5"/>
  <c r="I922" i="5"/>
  <c r="J922" i="5"/>
  <c r="G922" i="5"/>
  <c r="N922" i="5"/>
  <c r="M922" i="5"/>
  <c r="D922" i="5"/>
  <c r="C922" i="5"/>
  <c r="H922" i="5"/>
  <c r="K922" i="5"/>
  <c r="L922" i="5"/>
  <c r="E922" i="5"/>
  <c r="T922" i="5" l="1"/>
  <c r="P922" i="5"/>
  <c r="S923" i="5"/>
  <c r="A924" i="5"/>
  <c r="R923" i="5"/>
  <c r="Q923" i="5" s="1"/>
  <c r="B923" i="5"/>
  <c r="U921" i="5"/>
  <c r="F922" i="5"/>
  <c r="C923" i="5"/>
  <c r="N923" i="5"/>
  <c r="J923" i="5"/>
  <c r="M923" i="5"/>
  <c r="G923" i="5"/>
  <c r="I923" i="5"/>
  <c r="D923" i="5"/>
  <c r="H923" i="5"/>
  <c r="L923" i="5"/>
  <c r="E923" i="5"/>
  <c r="O923" i="5"/>
  <c r="K923" i="5"/>
  <c r="T923" i="5" l="1"/>
  <c r="P923" i="5"/>
  <c r="S924" i="5"/>
  <c r="A925" i="5"/>
  <c r="R924" i="5"/>
  <c r="Q924" i="5" s="1"/>
  <c r="B924" i="5"/>
  <c r="U922" i="5"/>
  <c r="F923" i="5"/>
  <c r="E924" i="5"/>
  <c r="N924" i="5"/>
  <c r="O924" i="5"/>
  <c r="H924" i="5"/>
  <c r="G924" i="5"/>
  <c r="K924" i="5"/>
  <c r="C924" i="5"/>
  <c r="J924" i="5"/>
  <c r="M924" i="5"/>
  <c r="I924" i="5"/>
  <c r="D924" i="5"/>
  <c r="L924" i="5"/>
  <c r="T924" i="5" l="1"/>
  <c r="P924" i="5"/>
  <c r="S925" i="5"/>
  <c r="A926" i="5"/>
  <c r="R925" i="5"/>
  <c r="Q925" i="5" s="1"/>
  <c r="B925" i="5"/>
  <c r="U923" i="5"/>
  <c r="F924" i="5"/>
  <c r="G925" i="5"/>
  <c r="I925" i="5"/>
  <c r="E925" i="5"/>
  <c r="N925" i="5"/>
  <c r="D925" i="5"/>
  <c r="J925" i="5"/>
  <c r="L925" i="5"/>
  <c r="M925" i="5"/>
  <c r="C925" i="5"/>
  <c r="H925" i="5"/>
  <c r="O925" i="5"/>
  <c r="K925" i="5"/>
  <c r="T925" i="5" l="1"/>
  <c r="P925" i="5"/>
  <c r="S926" i="5"/>
  <c r="A927" i="5"/>
  <c r="R926" i="5"/>
  <c r="Q926" i="5" s="1"/>
  <c r="B926" i="5"/>
  <c r="U924" i="5"/>
  <c r="F925" i="5"/>
  <c r="I926" i="5"/>
  <c r="L926" i="5"/>
  <c r="H926" i="5"/>
  <c r="N926" i="5"/>
  <c r="J926" i="5"/>
  <c r="D926" i="5"/>
  <c r="K926" i="5"/>
  <c r="O926" i="5"/>
  <c r="E926" i="5"/>
  <c r="M926" i="5"/>
  <c r="C926" i="5"/>
  <c r="G926" i="5"/>
  <c r="T926" i="5" l="1"/>
  <c r="P926" i="5"/>
  <c r="S927" i="5"/>
  <c r="A928" i="5"/>
  <c r="B927" i="5"/>
  <c r="R927" i="5"/>
  <c r="Q927" i="5" s="1"/>
  <c r="U925" i="5"/>
  <c r="F926" i="5"/>
  <c r="G927" i="5"/>
  <c r="O927" i="5"/>
  <c r="C927" i="5"/>
  <c r="E927" i="5"/>
  <c r="N927" i="5"/>
  <c r="L927" i="5"/>
  <c r="J927" i="5"/>
  <c r="D927" i="5"/>
  <c r="M927" i="5"/>
  <c r="I927" i="5"/>
  <c r="K927" i="5"/>
  <c r="H927" i="5"/>
  <c r="T927" i="5" l="1"/>
  <c r="P927" i="5"/>
  <c r="S928" i="5"/>
  <c r="A929" i="5"/>
  <c r="R928" i="5"/>
  <c r="Q928" i="5" s="1"/>
  <c r="B928" i="5"/>
  <c r="U926" i="5"/>
  <c r="F927" i="5"/>
  <c r="N928" i="5"/>
  <c r="J928" i="5"/>
  <c r="E928" i="5"/>
  <c r="L928" i="5"/>
  <c r="K928" i="5"/>
  <c r="I928" i="5"/>
  <c r="D928" i="5"/>
  <c r="G928" i="5"/>
  <c r="H928" i="5"/>
  <c r="C928" i="5"/>
  <c r="M928" i="5"/>
  <c r="O928" i="5"/>
  <c r="T928" i="5" l="1"/>
  <c r="P928" i="5"/>
  <c r="U927" i="5"/>
  <c r="S929" i="5"/>
  <c r="A930" i="5"/>
  <c r="R929" i="5"/>
  <c r="Q929" i="5" s="1"/>
  <c r="B929" i="5"/>
  <c r="F928" i="5"/>
  <c r="J929" i="5"/>
  <c r="K929" i="5"/>
  <c r="G929" i="5"/>
  <c r="M929" i="5"/>
  <c r="L929" i="5"/>
  <c r="C929" i="5"/>
  <c r="N929" i="5"/>
  <c r="I929" i="5"/>
  <c r="H929" i="5"/>
  <c r="O929" i="5"/>
  <c r="D929" i="5"/>
  <c r="E929" i="5"/>
  <c r="T929" i="5" l="1"/>
  <c r="P929" i="5"/>
  <c r="S930" i="5"/>
  <c r="R930" i="5"/>
  <c r="Q930" i="5" s="1"/>
  <c r="B930" i="5"/>
  <c r="A931" i="5"/>
  <c r="U928" i="5"/>
  <c r="F929" i="5"/>
  <c r="I930" i="5"/>
  <c r="J930" i="5"/>
  <c r="H930" i="5"/>
  <c r="C930" i="5"/>
  <c r="G930" i="5"/>
  <c r="M930" i="5"/>
  <c r="O930" i="5"/>
  <c r="L930" i="5"/>
  <c r="D930" i="5"/>
  <c r="K930" i="5"/>
  <c r="N930" i="5"/>
  <c r="E930" i="5"/>
  <c r="T930" i="5" l="1"/>
  <c r="P930" i="5"/>
  <c r="S931" i="5"/>
  <c r="B931" i="5"/>
  <c r="A932" i="5"/>
  <c r="R931" i="5"/>
  <c r="Q931" i="5" s="1"/>
  <c r="U929" i="5"/>
  <c r="F930" i="5"/>
  <c r="G931" i="5"/>
  <c r="L931" i="5"/>
  <c r="K931" i="5"/>
  <c r="E931" i="5"/>
  <c r="J931" i="5"/>
  <c r="M931" i="5"/>
  <c r="H931" i="5"/>
  <c r="D931" i="5"/>
  <c r="O931" i="5"/>
  <c r="I931" i="5"/>
  <c r="N931" i="5"/>
  <c r="C931" i="5"/>
  <c r="T931" i="5" l="1"/>
  <c r="P931" i="5"/>
  <c r="S932" i="5"/>
  <c r="A933" i="5"/>
  <c r="R932" i="5"/>
  <c r="Q932" i="5" s="1"/>
  <c r="B932" i="5"/>
  <c r="U930" i="5"/>
  <c r="F931" i="5"/>
  <c r="H932" i="5"/>
  <c r="K932" i="5"/>
  <c r="D932" i="5"/>
  <c r="M932" i="5"/>
  <c r="L932" i="5"/>
  <c r="I932" i="5"/>
  <c r="E932" i="5"/>
  <c r="G932" i="5"/>
  <c r="O932" i="5"/>
  <c r="N932" i="5"/>
  <c r="J932" i="5"/>
  <c r="C932" i="5"/>
  <c r="T932" i="5" l="1"/>
  <c r="P932" i="5"/>
  <c r="S933" i="5"/>
  <c r="A934" i="5"/>
  <c r="B933" i="5"/>
  <c r="R933" i="5"/>
  <c r="Q933" i="5" s="1"/>
  <c r="U931" i="5"/>
  <c r="F932" i="5"/>
  <c r="N933" i="5"/>
  <c r="C933" i="5"/>
  <c r="L933" i="5"/>
  <c r="D933" i="5"/>
  <c r="I933" i="5"/>
  <c r="M933" i="5"/>
  <c r="J933" i="5"/>
  <c r="G933" i="5"/>
  <c r="K933" i="5"/>
  <c r="E933" i="5"/>
  <c r="H933" i="5"/>
  <c r="O933" i="5"/>
  <c r="T933" i="5" l="1"/>
  <c r="P933" i="5"/>
  <c r="S934" i="5"/>
  <c r="R934" i="5"/>
  <c r="Q934" i="5" s="1"/>
  <c r="B934" i="5"/>
  <c r="A935" i="5"/>
  <c r="U932" i="5"/>
  <c r="F933" i="5"/>
  <c r="E934" i="5"/>
  <c r="H934" i="5"/>
  <c r="I934" i="5"/>
  <c r="L934" i="5"/>
  <c r="J934" i="5"/>
  <c r="C934" i="5"/>
  <c r="O934" i="5"/>
  <c r="G934" i="5"/>
  <c r="M934" i="5"/>
  <c r="N934" i="5"/>
  <c r="D934" i="5"/>
  <c r="K934" i="5"/>
  <c r="T934" i="5" l="1"/>
  <c r="P934" i="5"/>
  <c r="S935" i="5"/>
  <c r="A936" i="5"/>
  <c r="R935" i="5"/>
  <c r="Q935" i="5" s="1"/>
  <c r="B935" i="5"/>
  <c r="U933" i="5"/>
  <c r="F934" i="5"/>
  <c r="K935" i="5"/>
  <c r="C935" i="5"/>
  <c r="G935" i="5"/>
  <c r="I935" i="5"/>
  <c r="E935" i="5"/>
  <c r="H935" i="5"/>
  <c r="O935" i="5"/>
  <c r="L935" i="5"/>
  <c r="D935" i="5"/>
  <c r="M935" i="5"/>
  <c r="N935" i="5"/>
  <c r="J935" i="5"/>
  <c r="T935" i="5" l="1"/>
  <c r="P935" i="5"/>
  <c r="S936" i="5"/>
  <c r="A937" i="5"/>
  <c r="R936" i="5"/>
  <c r="Q936" i="5" s="1"/>
  <c r="B936" i="5"/>
  <c r="U934" i="5"/>
  <c r="F935" i="5"/>
  <c r="H936" i="5"/>
  <c r="I936" i="5"/>
  <c r="L936" i="5"/>
  <c r="J936" i="5"/>
  <c r="M936" i="5"/>
  <c r="G936" i="5"/>
  <c r="N936" i="5"/>
  <c r="K936" i="5"/>
  <c r="E936" i="5"/>
  <c r="C936" i="5"/>
  <c r="D936" i="5"/>
  <c r="O936" i="5"/>
  <c r="P936" i="5" l="1"/>
  <c r="T936" i="5"/>
  <c r="S937" i="5"/>
  <c r="B937" i="5"/>
  <c r="R937" i="5"/>
  <c r="Q937" i="5" s="1"/>
  <c r="A938" i="5"/>
  <c r="U935" i="5"/>
  <c r="F936" i="5"/>
  <c r="D937" i="5"/>
  <c r="M937" i="5"/>
  <c r="L937" i="5"/>
  <c r="H937" i="5"/>
  <c r="I937" i="5"/>
  <c r="N937" i="5"/>
  <c r="G937" i="5"/>
  <c r="O937" i="5"/>
  <c r="J937" i="5"/>
  <c r="E937" i="5"/>
  <c r="K937" i="5"/>
  <c r="C937" i="5"/>
  <c r="T937" i="5" l="1"/>
  <c r="P937" i="5"/>
  <c r="S938" i="5"/>
  <c r="A939" i="5"/>
  <c r="R938" i="5"/>
  <c r="Q938" i="5" s="1"/>
  <c r="B938" i="5"/>
  <c r="U936" i="5"/>
  <c r="F937" i="5"/>
  <c r="G938" i="5"/>
  <c r="C938" i="5"/>
  <c r="K938" i="5"/>
  <c r="E938" i="5"/>
  <c r="I938" i="5"/>
  <c r="D938" i="5"/>
  <c r="L938" i="5"/>
  <c r="N938" i="5"/>
  <c r="M938" i="5"/>
  <c r="J938" i="5"/>
  <c r="H938" i="5"/>
  <c r="O938" i="5"/>
  <c r="T938" i="5" l="1"/>
  <c r="P938" i="5"/>
  <c r="S939" i="5"/>
  <c r="A940" i="5"/>
  <c r="R939" i="5"/>
  <c r="Q939" i="5" s="1"/>
  <c r="B939" i="5"/>
  <c r="U937" i="5"/>
  <c r="F938" i="5"/>
  <c r="I939" i="5"/>
  <c r="N939" i="5"/>
  <c r="E939" i="5"/>
  <c r="M939" i="5"/>
  <c r="D939" i="5"/>
  <c r="C939" i="5"/>
  <c r="L939" i="5"/>
  <c r="K939" i="5"/>
  <c r="G939" i="5"/>
  <c r="H939" i="5"/>
  <c r="J939" i="5"/>
  <c r="O939" i="5"/>
  <c r="T939" i="5" l="1"/>
  <c r="P939" i="5"/>
  <c r="S940" i="5"/>
  <c r="B940" i="5"/>
  <c r="A941" i="5"/>
  <c r="R940" i="5"/>
  <c r="Q940" i="5" s="1"/>
  <c r="U938" i="5"/>
  <c r="F939" i="5"/>
  <c r="O940" i="5"/>
  <c r="H940" i="5"/>
  <c r="K940" i="5"/>
  <c r="I940" i="5"/>
  <c r="E940" i="5"/>
  <c r="N940" i="5"/>
  <c r="J940" i="5"/>
  <c r="L940" i="5"/>
  <c r="C940" i="5"/>
  <c r="D940" i="5"/>
  <c r="M940" i="5"/>
  <c r="G940" i="5"/>
  <c r="T940" i="5" l="1"/>
  <c r="P940" i="5"/>
  <c r="S941" i="5"/>
  <c r="A942" i="5"/>
  <c r="R941" i="5"/>
  <c r="Q941" i="5" s="1"/>
  <c r="B941" i="5"/>
  <c r="U939" i="5"/>
  <c r="F940" i="5"/>
  <c r="N941" i="5"/>
  <c r="D941" i="5"/>
  <c r="L941" i="5"/>
  <c r="J941" i="5"/>
  <c r="M941" i="5"/>
  <c r="H941" i="5"/>
  <c r="E941" i="5"/>
  <c r="G941" i="5"/>
  <c r="K941" i="5"/>
  <c r="I941" i="5"/>
  <c r="C941" i="5"/>
  <c r="O941" i="5"/>
  <c r="T941" i="5" l="1"/>
  <c r="P941" i="5"/>
  <c r="S942" i="5"/>
  <c r="A943" i="5"/>
  <c r="R942" i="5"/>
  <c r="Q942" i="5" s="1"/>
  <c r="B942" i="5"/>
  <c r="U940" i="5"/>
  <c r="F941" i="5"/>
  <c r="D942" i="5"/>
  <c r="C942" i="5"/>
  <c r="L942" i="5"/>
  <c r="O942" i="5"/>
  <c r="M942" i="5"/>
  <c r="I942" i="5"/>
  <c r="J942" i="5"/>
  <c r="G942" i="5"/>
  <c r="K942" i="5"/>
  <c r="H942" i="5"/>
  <c r="E942" i="5"/>
  <c r="N942" i="5"/>
  <c r="T942" i="5" l="1"/>
  <c r="P942" i="5"/>
  <c r="S943" i="5"/>
  <c r="R943" i="5"/>
  <c r="Q943" i="5" s="1"/>
  <c r="B943" i="5"/>
  <c r="A944" i="5"/>
  <c r="U941" i="5"/>
  <c r="F942" i="5"/>
  <c r="K943" i="5"/>
  <c r="I943" i="5"/>
  <c r="O943" i="5"/>
  <c r="D943" i="5"/>
  <c r="M943" i="5"/>
  <c r="N943" i="5"/>
  <c r="H943" i="5"/>
  <c r="E943" i="5"/>
  <c r="G943" i="5"/>
  <c r="C943" i="5"/>
  <c r="L943" i="5"/>
  <c r="J943" i="5"/>
  <c r="T943" i="5" l="1"/>
  <c r="P943" i="5"/>
  <c r="S944" i="5"/>
  <c r="B944" i="5"/>
  <c r="R944" i="5"/>
  <c r="Q944" i="5" s="1"/>
  <c r="A945" i="5"/>
  <c r="U942" i="5"/>
  <c r="F943" i="5"/>
  <c r="O944" i="5"/>
  <c r="K944" i="5"/>
  <c r="C944" i="5"/>
  <c r="G944" i="5"/>
  <c r="I944" i="5"/>
  <c r="E944" i="5"/>
  <c r="J944" i="5"/>
  <c r="H944" i="5"/>
  <c r="M944" i="5"/>
  <c r="L944" i="5"/>
  <c r="N944" i="5"/>
  <c r="D944" i="5"/>
  <c r="T944" i="5" l="1"/>
  <c r="P944" i="5"/>
  <c r="S945" i="5"/>
  <c r="B945" i="5"/>
  <c r="A946" i="5"/>
  <c r="R945" i="5"/>
  <c r="Q945" i="5" s="1"/>
  <c r="U943" i="5"/>
  <c r="F944" i="5"/>
  <c r="L945" i="5"/>
  <c r="G945" i="5"/>
  <c r="K945" i="5"/>
  <c r="D945" i="5"/>
  <c r="N945" i="5"/>
  <c r="E945" i="5"/>
  <c r="I945" i="5"/>
  <c r="H945" i="5"/>
  <c r="M945" i="5"/>
  <c r="C945" i="5"/>
  <c r="O945" i="5"/>
  <c r="J945" i="5"/>
  <c r="T945" i="5" l="1"/>
  <c r="P945" i="5"/>
  <c r="S946" i="5"/>
  <c r="A947" i="5"/>
  <c r="R946" i="5"/>
  <c r="Q946" i="5" s="1"/>
  <c r="B946" i="5"/>
  <c r="U944" i="5"/>
  <c r="F945" i="5"/>
  <c r="K946" i="5"/>
  <c r="G946" i="5"/>
  <c r="L946" i="5"/>
  <c r="M946" i="5"/>
  <c r="E946" i="5"/>
  <c r="J946" i="5"/>
  <c r="O946" i="5"/>
  <c r="H946" i="5"/>
  <c r="N946" i="5"/>
  <c r="C946" i="5"/>
  <c r="D946" i="5"/>
  <c r="I946" i="5"/>
  <c r="P946" i="5" l="1"/>
  <c r="T946" i="5"/>
  <c r="U945" i="5"/>
  <c r="S947" i="5"/>
  <c r="R947" i="5"/>
  <c r="Q947" i="5" s="1"/>
  <c r="B947" i="5"/>
  <c r="A948" i="5"/>
  <c r="F946" i="5"/>
  <c r="K947" i="5"/>
  <c r="H947" i="5"/>
  <c r="L947" i="5"/>
  <c r="J947" i="5"/>
  <c r="D947" i="5"/>
  <c r="G947" i="5"/>
  <c r="I947" i="5"/>
  <c r="M947" i="5"/>
  <c r="E947" i="5"/>
  <c r="O947" i="5"/>
  <c r="C947" i="5"/>
  <c r="N947" i="5"/>
  <c r="T947" i="5" l="1"/>
  <c r="P947" i="5"/>
  <c r="S948" i="5"/>
  <c r="R948" i="5"/>
  <c r="Q948" i="5" s="1"/>
  <c r="B948" i="5"/>
  <c r="A949" i="5"/>
  <c r="U946" i="5"/>
  <c r="F947" i="5"/>
  <c r="L948" i="5"/>
  <c r="E948" i="5"/>
  <c r="H948" i="5"/>
  <c r="J948" i="5"/>
  <c r="I948" i="5"/>
  <c r="O948" i="5"/>
  <c r="K948" i="5"/>
  <c r="M948" i="5"/>
  <c r="N948" i="5"/>
  <c r="D948" i="5"/>
  <c r="G948" i="5"/>
  <c r="C948" i="5"/>
  <c r="T948" i="5" l="1"/>
  <c r="P948" i="5"/>
  <c r="S949" i="5"/>
  <c r="B949" i="5"/>
  <c r="A950" i="5"/>
  <c r="R949" i="5"/>
  <c r="Q949" i="5" s="1"/>
  <c r="U947" i="5"/>
  <c r="F948" i="5"/>
  <c r="K949" i="5"/>
  <c r="D949" i="5"/>
  <c r="I949" i="5"/>
  <c r="N949" i="5"/>
  <c r="L949" i="5"/>
  <c r="M949" i="5"/>
  <c r="H949" i="5"/>
  <c r="G949" i="5"/>
  <c r="E949" i="5"/>
  <c r="C949" i="5"/>
  <c r="J949" i="5"/>
  <c r="O949" i="5"/>
  <c r="T949" i="5" l="1"/>
  <c r="P949" i="5"/>
  <c r="S950" i="5"/>
  <c r="A951" i="5"/>
  <c r="R950" i="5"/>
  <c r="Q950" i="5" s="1"/>
  <c r="B950" i="5"/>
  <c r="U948" i="5"/>
  <c r="F949" i="5"/>
  <c r="M950" i="5"/>
  <c r="J950" i="5"/>
  <c r="D950" i="5"/>
  <c r="I950" i="5"/>
  <c r="O950" i="5"/>
  <c r="G950" i="5"/>
  <c r="N950" i="5"/>
  <c r="C950" i="5"/>
  <c r="H950" i="5"/>
  <c r="E950" i="5"/>
  <c r="K950" i="5"/>
  <c r="L950" i="5"/>
  <c r="P950" i="5" l="1"/>
  <c r="T950" i="5"/>
  <c r="S951" i="5"/>
  <c r="R951" i="5"/>
  <c r="Q951" i="5" s="1"/>
  <c r="B951" i="5"/>
  <c r="A952" i="5"/>
  <c r="U949" i="5"/>
  <c r="F950" i="5"/>
  <c r="C951" i="5"/>
  <c r="O951" i="5"/>
  <c r="J951" i="5"/>
  <c r="E951" i="5"/>
  <c r="N951" i="5"/>
  <c r="M951" i="5"/>
  <c r="G951" i="5"/>
  <c r="D951" i="5"/>
  <c r="I951" i="5"/>
  <c r="K951" i="5"/>
  <c r="L951" i="5"/>
  <c r="H951" i="5"/>
  <c r="T951" i="5" l="1"/>
  <c r="P951" i="5"/>
  <c r="S952" i="5"/>
  <c r="A953" i="5"/>
  <c r="R952" i="5"/>
  <c r="Q952" i="5" s="1"/>
  <c r="B952" i="5"/>
  <c r="U950" i="5"/>
  <c r="F951" i="5"/>
  <c r="C952" i="5"/>
  <c r="H952" i="5"/>
  <c r="M952" i="5"/>
  <c r="I952" i="5"/>
  <c r="L952" i="5"/>
  <c r="O952" i="5"/>
  <c r="D952" i="5"/>
  <c r="N952" i="5"/>
  <c r="G952" i="5"/>
  <c r="E952" i="5"/>
  <c r="K952" i="5"/>
  <c r="J952" i="5"/>
  <c r="T952" i="5" l="1"/>
  <c r="P952" i="5"/>
  <c r="S953" i="5"/>
  <c r="B953" i="5"/>
  <c r="R953" i="5"/>
  <c r="Q953" i="5" s="1"/>
  <c r="A954" i="5"/>
  <c r="U951" i="5"/>
  <c r="F952" i="5"/>
  <c r="C953" i="5"/>
  <c r="J953" i="5"/>
  <c r="E953" i="5"/>
  <c r="G953" i="5"/>
  <c r="D953" i="5"/>
  <c r="L953" i="5"/>
  <c r="O953" i="5"/>
  <c r="K953" i="5"/>
  <c r="I953" i="5"/>
  <c r="M953" i="5"/>
  <c r="H953" i="5"/>
  <c r="N953" i="5"/>
  <c r="T953" i="5" l="1"/>
  <c r="P953" i="5"/>
  <c r="S954" i="5"/>
  <c r="B954" i="5"/>
  <c r="A955" i="5"/>
  <c r="R954" i="5"/>
  <c r="Q954" i="5" s="1"/>
  <c r="U952" i="5"/>
  <c r="F953" i="5"/>
  <c r="L954" i="5"/>
  <c r="K954" i="5"/>
  <c r="G954" i="5"/>
  <c r="O954" i="5"/>
  <c r="J954" i="5"/>
  <c r="D954" i="5"/>
  <c r="I954" i="5"/>
  <c r="C954" i="5"/>
  <c r="M954" i="5"/>
  <c r="N954" i="5"/>
  <c r="E954" i="5"/>
  <c r="H954" i="5"/>
  <c r="T954" i="5" l="1"/>
  <c r="P954" i="5"/>
  <c r="S955" i="5"/>
  <c r="R955" i="5"/>
  <c r="Q955" i="5" s="1"/>
  <c r="B955" i="5"/>
  <c r="A956" i="5"/>
  <c r="U953" i="5"/>
  <c r="F954" i="5"/>
  <c r="J955" i="5"/>
  <c r="I955" i="5"/>
  <c r="E955" i="5"/>
  <c r="C955" i="5"/>
  <c r="M955" i="5"/>
  <c r="N955" i="5"/>
  <c r="H955" i="5"/>
  <c r="L955" i="5"/>
  <c r="K955" i="5"/>
  <c r="O955" i="5"/>
  <c r="G955" i="5"/>
  <c r="D955" i="5"/>
  <c r="T955" i="5" l="1"/>
  <c r="P955" i="5"/>
  <c r="S956" i="5"/>
  <c r="A957" i="5"/>
  <c r="R956" i="5"/>
  <c r="Q956" i="5" s="1"/>
  <c r="B956" i="5"/>
  <c r="U954" i="5"/>
  <c r="F955" i="5"/>
  <c r="E956" i="5"/>
  <c r="D956" i="5"/>
  <c r="G956" i="5"/>
  <c r="M956" i="5"/>
  <c r="O956" i="5"/>
  <c r="N956" i="5"/>
  <c r="J956" i="5"/>
  <c r="L956" i="5"/>
  <c r="H956" i="5"/>
  <c r="K956" i="5"/>
  <c r="I956" i="5"/>
  <c r="C956" i="5"/>
  <c r="T956" i="5" l="1"/>
  <c r="P956" i="5"/>
  <c r="S957" i="5"/>
  <c r="A958" i="5"/>
  <c r="R957" i="5"/>
  <c r="Q957" i="5" s="1"/>
  <c r="B957" i="5"/>
  <c r="U955" i="5"/>
  <c r="F956" i="5"/>
  <c r="H957" i="5"/>
  <c r="C957" i="5"/>
  <c r="M957" i="5"/>
  <c r="D957" i="5"/>
  <c r="N957" i="5"/>
  <c r="G957" i="5"/>
  <c r="E957" i="5"/>
  <c r="I957" i="5"/>
  <c r="O957" i="5"/>
  <c r="L957" i="5"/>
  <c r="J957" i="5"/>
  <c r="K957" i="5"/>
  <c r="T957" i="5" l="1"/>
  <c r="P957" i="5"/>
  <c r="S958" i="5"/>
  <c r="B958" i="5"/>
  <c r="A959" i="5"/>
  <c r="R958" i="5"/>
  <c r="Q958" i="5" s="1"/>
  <c r="U956" i="5"/>
  <c r="F957" i="5"/>
  <c r="D958" i="5"/>
  <c r="H958" i="5"/>
  <c r="N958" i="5"/>
  <c r="I958" i="5"/>
  <c r="L958" i="5"/>
  <c r="K958" i="5"/>
  <c r="J958" i="5"/>
  <c r="O958" i="5"/>
  <c r="E958" i="5"/>
  <c r="C958" i="5"/>
  <c r="G958" i="5"/>
  <c r="M958" i="5"/>
  <c r="T958" i="5" l="1"/>
  <c r="P958" i="5"/>
  <c r="S959" i="5"/>
  <c r="R959" i="5"/>
  <c r="Q959" i="5" s="1"/>
  <c r="B959" i="5"/>
  <c r="A960" i="5"/>
  <c r="U957" i="5"/>
  <c r="F958" i="5"/>
  <c r="I959" i="5"/>
  <c r="J959" i="5"/>
  <c r="E959" i="5"/>
  <c r="K959" i="5"/>
  <c r="G959" i="5"/>
  <c r="D959" i="5"/>
  <c r="L959" i="5"/>
  <c r="O959" i="5"/>
  <c r="M959" i="5"/>
  <c r="C959" i="5"/>
  <c r="H959" i="5"/>
  <c r="N959" i="5"/>
  <c r="T959" i="5" l="1"/>
  <c r="P959" i="5"/>
  <c r="S960" i="5"/>
  <c r="A961" i="5"/>
  <c r="R960" i="5"/>
  <c r="Q960" i="5" s="1"/>
  <c r="B960" i="5"/>
  <c r="U958" i="5"/>
  <c r="F959" i="5"/>
  <c r="C960" i="5"/>
  <c r="G960" i="5"/>
  <c r="H960" i="5"/>
  <c r="I960" i="5"/>
  <c r="D960" i="5"/>
  <c r="M960" i="5"/>
  <c r="J960" i="5"/>
  <c r="E960" i="5"/>
  <c r="O960" i="5"/>
  <c r="K960" i="5"/>
  <c r="N960" i="5"/>
  <c r="L960" i="5"/>
  <c r="T960" i="5" l="1"/>
  <c r="P960" i="5"/>
  <c r="S961" i="5"/>
  <c r="R961" i="5"/>
  <c r="Q961" i="5" s="1"/>
  <c r="B961" i="5"/>
  <c r="A962" i="5"/>
  <c r="U959" i="5"/>
  <c r="F960" i="5"/>
  <c r="C961" i="5"/>
  <c r="M961" i="5"/>
  <c r="L961" i="5"/>
  <c r="O961" i="5"/>
  <c r="N961" i="5"/>
  <c r="G961" i="5"/>
  <c r="K961" i="5"/>
  <c r="E961" i="5"/>
  <c r="D961" i="5"/>
  <c r="J961" i="5"/>
  <c r="H961" i="5"/>
  <c r="I961" i="5"/>
  <c r="T961" i="5" l="1"/>
  <c r="P961" i="5"/>
  <c r="S962" i="5"/>
  <c r="B962" i="5"/>
  <c r="A963" i="5"/>
  <c r="R962" i="5"/>
  <c r="Q962" i="5" s="1"/>
  <c r="U960" i="5"/>
  <c r="F961" i="5"/>
  <c r="H962" i="5"/>
  <c r="I962" i="5"/>
  <c r="L962" i="5"/>
  <c r="K962" i="5"/>
  <c r="G962" i="5"/>
  <c r="C962" i="5"/>
  <c r="M962" i="5"/>
  <c r="J962" i="5"/>
  <c r="O962" i="5"/>
  <c r="E962" i="5"/>
  <c r="N962" i="5"/>
  <c r="D962" i="5"/>
  <c r="T962" i="5" l="1"/>
  <c r="P962" i="5"/>
  <c r="S963" i="5"/>
  <c r="A964" i="5"/>
  <c r="R963" i="5"/>
  <c r="Q963" i="5" s="1"/>
  <c r="B963" i="5"/>
  <c r="U961" i="5"/>
  <c r="F962" i="5"/>
  <c r="N963" i="5"/>
  <c r="M963" i="5"/>
  <c r="D963" i="5"/>
  <c r="J963" i="5"/>
  <c r="O963" i="5"/>
  <c r="C963" i="5"/>
  <c r="L963" i="5"/>
  <c r="G963" i="5"/>
  <c r="H963" i="5"/>
  <c r="I963" i="5"/>
  <c r="E963" i="5"/>
  <c r="K963" i="5"/>
  <c r="T963" i="5" l="1"/>
  <c r="P963" i="5"/>
  <c r="S964" i="5"/>
  <c r="B964" i="5"/>
  <c r="R964" i="5"/>
  <c r="Q964" i="5" s="1"/>
  <c r="A965" i="5"/>
  <c r="U962" i="5"/>
  <c r="F963" i="5"/>
  <c r="C964" i="5"/>
  <c r="N964" i="5"/>
  <c r="I964" i="5"/>
  <c r="K964" i="5"/>
  <c r="D964" i="5"/>
  <c r="L964" i="5"/>
  <c r="J964" i="5"/>
  <c r="O964" i="5"/>
  <c r="M964" i="5"/>
  <c r="H964" i="5"/>
  <c r="G964" i="5"/>
  <c r="E964" i="5"/>
  <c r="T964" i="5" l="1"/>
  <c r="P964" i="5"/>
  <c r="S965" i="5"/>
  <c r="A966" i="5"/>
  <c r="R965" i="5"/>
  <c r="Q965" i="5" s="1"/>
  <c r="B965" i="5"/>
  <c r="U963" i="5"/>
  <c r="F964" i="5"/>
  <c r="D965" i="5"/>
  <c r="H965" i="5"/>
  <c r="L965" i="5"/>
  <c r="K965" i="5"/>
  <c r="J965" i="5"/>
  <c r="G965" i="5"/>
  <c r="E965" i="5"/>
  <c r="O965" i="5"/>
  <c r="N965" i="5"/>
  <c r="M965" i="5"/>
  <c r="I965" i="5"/>
  <c r="C965" i="5"/>
  <c r="T965" i="5" l="1"/>
  <c r="P965" i="5"/>
  <c r="S966" i="5"/>
  <c r="B966" i="5"/>
  <c r="A967" i="5"/>
  <c r="R966" i="5"/>
  <c r="Q966" i="5" s="1"/>
  <c r="U964" i="5"/>
  <c r="F965" i="5"/>
  <c r="K966" i="5"/>
  <c r="C966" i="5"/>
  <c r="I966" i="5"/>
  <c r="D966" i="5"/>
  <c r="J966" i="5"/>
  <c r="M966" i="5"/>
  <c r="G966" i="5"/>
  <c r="N966" i="5"/>
  <c r="E966" i="5"/>
  <c r="O966" i="5"/>
  <c r="L966" i="5"/>
  <c r="H966" i="5"/>
  <c r="T966" i="5" l="1"/>
  <c r="P966" i="5"/>
  <c r="S967" i="5"/>
  <c r="R967" i="5"/>
  <c r="Q967" i="5" s="1"/>
  <c r="B967" i="5"/>
  <c r="A968" i="5"/>
  <c r="U965" i="5"/>
  <c r="F966" i="5"/>
  <c r="J967" i="5"/>
  <c r="C967" i="5"/>
  <c r="L967" i="5"/>
  <c r="E967" i="5"/>
  <c r="O967" i="5"/>
  <c r="N967" i="5"/>
  <c r="H967" i="5"/>
  <c r="M967" i="5"/>
  <c r="D967" i="5"/>
  <c r="K967" i="5"/>
  <c r="I967" i="5"/>
  <c r="G967" i="5"/>
  <c r="T967" i="5" l="1"/>
  <c r="P967" i="5"/>
  <c r="S968" i="5"/>
  <c r="A969" i="5"/>
  <c r="R968" i="5"/>
  <c r="Q968" i="5" s="1"/>
  <c r="B968" i="5"/>
  <c r="U966" i="5"/>
  <c r="F967" i="5"/>
  <c r="G968" i="5"/>
  <c r="M968" i="5"/>
  <c r="N968" i="5"/>
  <c r="C968" i="5"/>
  <c r="H968" i="5"/>
  <c r="I968" i="5"/>
  <c r="O968" i="5"/>
  <c r="L968" i="5"/>
  <c r="D968" i="5"/>
  <c r="E968" i="5"/>
  <c r="K968" i="5"/>
  <c r="J968" i="5"/>
  <c r="T968" i="5" l="1"/>
  <c r="P968" i="5"/>
  <c r="S969" i="5"/>
  <c r="R969" i="5"/>
  <c r="Q969" i="5" s="1"/>
  <c r="B969" i="5"/>
  <c r="A970" i="5"/>
  <c r="U967" i="5"/>
  <c r="F968" i="5"/>
  <c r="D969" i="5"/>
  <c r="I969" i="5"/>
  <c r="G969" i="5"/>
  <c r="J969" i="5"/>
  <c r="H969" i="5"/>
  <c r="N969" i="5"/>
  <c r="L969" i="5"/>
  <c r="K969" i="5"/>
  <c r="M969" i="5"/>
  <c r="O969" i="5"/>
  <c r="E969" i="5"/>
  <c r="C969" i="5"/>
  <c r="T969" i="5" l="1"/>
  <c r="P969" i="5"/>
  <c r="S970" i="5"/>
  <c r="B970" i="5"/>
  <c r="R970" i="5"/>
  <c r="Q970" i="5" s="1"/>
  <c r="A971" i="5"/>
  <c r="U968" i="5"/>
  <c r="F969" i="5"/>
  <c r="K970" i="5"/>
  <c r="N970" i="5"/>
  <c r="C970" i="5"/>
  <c r="I970" i="5"/>
  <c r="L970" i="5"/>
  <c r="E970" i="5"/>
  <c r="D970" i="5"/>
  <c r="J970" i="5"/>
  <c r="G970" i="5"/>
  <c r="O970" i="5"/>
  <c r="H970" i="5"/>
  <c r="M970" i="5"/>
  <c r="T970" i="5" l="1"/>
  <c r="P970" i="5"/>
  <c r="S971" i="5"/>
  <c r="A972" i="5"/>
  <c r="R971" i="5"/>
  <c r="Q971" i="5" s="1"/>
  <c r="B971" i="5"/>
  <c r="U969" i="5"/>
  <c r="F970" i="5"/>
  <c r="M971" i="5"/>
  <c r="O971" i="5"/>
  <c r="H971" i="5"/>
  <c r="C971" i="5"/>
  <c r="L971" i="5"/>
  <c r="G971" i="5"/>
  <c r="K971" i="5"/>
  <c r="J971" i="5"/>
  <c r="I971" i="5"/>
  <c r="D971" i="5"/>
  <c r="E971" i="5"/>
  <c r="N971" i="5"/>
  <c r="T971" i="5" l="1"/>
  <c r="P971" i="5"/>
  <c r="S972" i="5"/>
  <c r="A973" i="5"/>
  <c r="R972" i="5"/>
  <c r="Q972" i="5" s="1"/>
  <c r="B972" i="5"/>
  <c r="U970" i="5"/>
  <c r="F971" i="5"/>
  <c r="K972" i="5"/>
  <c r="N972" i="5"/>
  <c r="I972" i="5"/>
  <c r="D972" i="5"/>
  <c r="C972" i="5"/>
  <c r="M972" i="5"/>
  <c r="E972" i="5"/>
  <c r="L972" i="5"/>
  <c r="H972" i="5"/>
  <c r="J972" i="5"/>
  <c r="G972" i="5"/>
  <c r="O972" i="5"/>
  <c r="T972" i="5" l="1"/>
  <c r="P972" i="5"/>
  <c r="S973" i="5"/>
  <c r="A974" i="5"/>
  <c r="R973" i="5"/>
  <c r="Q973" i="5" s="1"/>
  <c r="B973" i="5"/>
  <c r="U971" i="5"/>
  <c r="F972" i="5"/>
  <c r="I973" i="5"/>
  <c r="E973" i="5"/>
  <c r="K973" i="5"/>
  <c r="N973" i="5"/>
  <c r="M973" i="5"/>
  <c r="J973" i="5"/>
  <c r="H973" i="5"/>
  <c r="C973" i="5"/>
  <c r="G973" i="5"/>
  <c r="L973" i="5"/>
  <c r="D973" i="5"/>
  <c r="O973" i="5"/>
  <c r="P973" i="5" l="1"/>
  <c r="T973" i="5"/>
  <c r="S974" i="5"/>
  <c r="A975" i="5"/>
  <c r="R974" i="5"/>
  <c r="Q974" i="5" s="1"/>
  <c r="B974" i="5"/>
  <c r="U972" i="5"/>
  <c r="F973" i="5"/>
  <c r="D974" i="5"/>
  <c r="M974" i="5"/>
  <c r="G974" i="5"/>
  <c r="I974" i="5"/>
  <c r="C974" i="5"/>
  <c r="N974" i="5"/>
  <c r="J974" i="5"/>
  <c r="H974" i="5"/>
  <c r="O974" i="5"/>
  <c r="L974" i="5"/>
  <c r="E974" i="5"/>
  <c r="K974" i="5"/>
  <c r="T974" i="5" l="1"/>
  <c r="P974" i="5"/>
  <c r="S975" i="5"/>
  <c r="B975" i="5"/>
  <c r="A976" i="5"/>
  <c r="R975" i="5"/>
  <c r="Q975" i="5" s="1"/>
  <c r="U973" i="5"/>
  <c r="I975" i="5"/>
  <c r="G975" i="5"/>
  <c r="D975" i="5"/>
  <c r="O975" i="5"/>
  <c r="C975" i="5"/>
  <c r="H975" i="5"/>
  <c r="L975" i="5"/>
  <c r="E975" i="5"/>
  <c r="N975" i="5"/>
  <c r="K975" i="5"/>
  <c r="M975" i="5"/>
  <c r="J975" i="5"/>
  <c r="F974" i="5"/>
  <c r="T975" i="5" l="1"/>
  <c r="P975" i="5"/>
  <c r="S976" i="5"/>
  <c r="A977" i="5"/>
  <c r="R976" i="5"/>
  <c r="Q976" i="5" s="1"/>
  <c r="B976" i="5"/>
  <c r="U974" i="5"/>
  <c r="F975" i="5"/>
  <c r="J976" i="5"/>
  <c r="I976" i="5"/>
  <c r="C976" i="5"/>
  <c r="H976" i="5"/>
  <c r="M976" i="5"/>
  <c r="K976" i="5"/>
  <c r="O976" i="5"/>
  <c r="L976" i="5"/>
  <c r="G976" i="5"/>
  <c r="E976" i="5"/>
  <c r="D976" i="5"/>
  <c r="N976" i="5"/>
  <c r="T976" i="5" l="1"/>
  <c r="P976" i="5"/>
  <c r="S977" i="5"/>
  <c r="A978" i="5"/>
  <c r="B977" i="5"/>
  <c r="R977" i="5"/>
  <c r="Q977" i="5" s="1"/>
  <c r="U975" i="5"/>
  <c r="F976" i="5"/>
  <c r="G977" i="5"/>
  <c r="E977" i="5"/>
  <c r="K977" i="5"/>
  <c r="O977" i="5"/>
  <c r="M977" i="5"/>
  <c r="I977" i="5"/>
  <c r="H977" i="5"/>
  <c r="C977" i="5"/>
  <c r="L977" i="5"/>
  <c r="D977" i="5"/>
  <c r="N977" i="5"/>
  <c r="J977" i="5"/>
  <c r="T977" i="5" l="1"/>
  <c r="P977" i="5"/>
  <c r="S978" i="5"/>
  <c r="A979" i="5"/>
  <c r="B978" i="5"/>
  <c r="R978" i="5"/>
  <c r="Q978" i="5" s="1"/>
  <c r="U976" i="5"/>
  <c r="F977" i="5"/>
  <c r="K978" i="5"/>
  <c r="N978" i="5"/>
  <c r="H978" i="5"/>
  <c r="O978" i="5"/>
  <c r="L978" i="5"/>
  <c r="E978" i="5"/>
  <c r="G978" i="5"/>
  <c r="D978" i="5"/>
  <c r="C978" i="5"/>
  <c r="M978" i="5"/>
  <c r="I978" i="5"/>
  <c r="J978" i="5"/>
  <c r="T978" i="5" l="1"/>
  <c r="P978" i="5"/>
  <c r="S979" i="5"/>
  <c r="B979" i="5"/>
  <c r="A980" i="5"/>
  <c r="R979" i="5"/>
  <c r="Q979" i="5" s="1"/>
  <c r="U977" i="5"/>
  <c r="F978" i="5"/>
  <c r="D979" i="5"/>
  <c r="N979" i="5"/>
  <c r="I979" i="5"/>
  <c r="M979" i="5"/>
  <c r="C979" i="5"/>
  <c r="J979" i="5"/>
  <c r="E979" i="5"/>
  <c r="K979" i="5"/>
  <c r="O979" i="5"/>
  <c r="H979" i="5"/>
  <c r="G979" i="5"/>
  <c r="L979" i="5"/>
  <c r="T979" i="5" l="1"/>
  <c r="P979" i="5"/>
  <c r="S980" i="5"/>
  <c r="B980" i="5"/>
  <c r="A981" i="5"/>
  <c r="R980" i="5"/>
  <c r="Q980" i="5" s="1"/>
  <c r="U978" i="5"/>
  <c r="F979" i="5"/>
  <c r="M980" i="5"/>
  <c r="H980" i="5"/>
  <c r="G980" i="5"/>
  <c r="I980" i="5"/>
  <c r="J980" i="5"/>
  <c r="L980" i="5"/>
  <c r="C980" i="5"/>
  <c r="D980" i="5"/>
  <c r="O980" i="5"/>
  <c r="K980" i="5"/>
  <c r="N980" i="5"/>
  <c r="E980" i="5"/>
  <c r="T980" i="5" l="1"/>
  <c r="P980" i="5"/>
  <c r="S981" i="5"/>
  <c r="R981" i="5"/>
  <c r="Q981" i="5" s="1"/>
  <c r="B981" i="5"/>
  <c r="A982" i="5"/>
  <c r="U979" i="5"/>
  <c r="F980" i="5"/>
  <c r="G981" i="5"/>
  <c r="J981" i="5"/>
  <c r="K981" i="5"/>
  <c r="D981" i="5"/>
  <c r="E981" i="5"/>
  <c r="H981" i="5"/>
  <c r="L981" i="5"/>
  <c r="C981" i="5"/>
  <c r="I981" i="5"/>
  <c r="N981" i="5"/>
  <c r="O981" i="5"/>
  <c r="M981" i="5"/>
  <c r="T981" i="5" l="1"/>
  <c r="P981" i="5"/>
  <c r="S982" i="5"/>
  <c r="R982" i="5"/>
  <c r="Q982" i="5" s="1"/>
  <c r="B982" i="5"/>
  <c r="A983" i="5"/>
  <c r="U980" i="5"/>
  <c r="F981" i="5"/>
  <c r="M982" i="5"/>
  <c r="O982" i="5"/>
  <c r="G982" i="5"/>
  <c r="D982" i="5"/>
  <c r="H982" i="5"/>
  <c r="E982" i="5"/>
  <c r="N982" i="5"/>
  <c r="L982" i="5"/>
  <c r="I982" i="5"/>
  <c r="K982" i="5"/>
  <c r="J982" i="5"/>
  <c r="C982" i="5"/>
  <c r="T982" i="5" l="1"/>
  <c r="P982" i="5"/>
  <c r="S983" i="5"/>
  <c r="B983" i="5"/>
  <c r="R983" i="5"/>
  <c r="Q983" i="5" s="1"/>
  <c r="A984" i="5"/>
  <c r="U981" i="5"/>
  <c r="F982" i="5"/>
  <c r="K983" i="5"/>
  <c r="M983" i="5"/>
  <c r="I983" i="5"/>
  <c r="G983" i="5"/>
  <c r="O983" i="5"/>
  <c r="H983" i="5"/>
  <c r="J983" i="5"/>
  <c r="C983" i="5"/>
  <c r="N983" i="5"/>
  <c r="D983" i="5"/>
  <c r="E983" i="5"/>
  <c r="L983" i="5"/>
  <c r="T983" i="5" l="1"/>
  <c r="P983" i="5"/>
  <c r="S984" i="5"/>
  <c r="B984" i="5"/>
  <c r="A985" i="5"/>
  <c r="R984" i="5"/>
  <c r="Q984" i="5" s="1"/>
  <c r="U982" i="5"/>
  <c r="F983" i="5"/>
  <c r="E984" i="5"/>
  <c r="H984" i="5"/>
  <c r="G984" i="5"/>
  <c r="D984" i="5"/>
  <c r="C984" i="5"/>
  <c r="I984" i="5"/>
  <c r="J984" i="5"/>
  <c r="O984" i="5"/>
  <c r="L984" i="5"/>
  <c r="M984" i="5"/>
  <c r="K984" i="5"/>
  <c r="N984" i="5"/>
  <c r="T984" i="5" l="1"/>
  <c r="P984" i="5"/>
  <c r="S985" i="5"/>
  <c r="A986" i="5"/>
  <c r="R985" i="5"/>
  <c r="Q985" i="5" s="1"/>
  <c r="B985" i="5"/>
  <c r="U983" i="5"/>
  <c r="F984" i="5"/>
  <c r="M985" i="5"/>
  <c r="N985" i="5"/>
  <c r="K985" i="5"/>
  <c r="G985" i="5"/>
  <c r="J985" i="5"/>
  <c r="C985" i="5"/>
  <c r="E985" i="5"/>
  <c r="L985" i="5"/>
  <c r="H985" i="5"/>
  <c r="O985" i="5"/>
  <c r="D985" i="5"/>
  <c r="I985" i="5"/>
  <c r="T985" i="5" l="1"/>
  <c r="P985" i="5"/>
  <c r="S986" i="5"/>
  <c r="R986" i="5"/>
  <c r="Q986" i="5" s="1"/>
  <c r="B986" i="5"/>
  <c r="A987" i="5"/>
  <c r="U984" i="5"/>
  <c r="F985" i="5"/>
  <c r="L986" i="5"/>
  <c r="H986" i="5"/>
  <c r="M986" i="5"/>
  <c r="D986" i="5"/>
  <c r="K986" i="5"/>
  <c r="N986" i="5"/>
  <c r="J986" i="5"/>
  <c r="O986" i="5"/>
  <c r="G986" i="5"/>
  <c r="I986" i="5"/>
  <c r="C986" i="5"/>
  <c r="E986" i="5"/>
  <c r="T986" i="5" l="1"/>
  <c r="P986" i="5"/>
  <c r="S987" i="5"/>
  <c r="A988" i="5"/>
  <c r="R987" i="5"/>
  <c r="Q987" i="5" s="1"/>
  <c r="B987" i="5"/>
  <c r="U985" i="5"/>
  <c r="F986" i="5"/>
  <c r="K987" i="5"/>
  <c r="C987" i="5"/>
  <c r="L987" i="5"/>
  <c r="H987" i="5"/>
  <c r="M987" i="5"/>
  <c r="E987" i="5"/>
  <c r="O987" i="5"/>
  <c r="G987" i="5"/>
  <c r="J987" i="5"/>
  <c r="D987" i="5"/>
  <c r="N987" i="5"/>
  <c r="I987" i="5"/>
  <c r="T987" i="5" l="1"/>
  <c r="P987" i="5"/>
  <c r="S988" i="5"/>
  <c r="A989" i="5"/>
  <c r="R988" i="5"/>
  <c r="Q988" i="5" s="1"/>
  <c r="B988" i="5"/>
  <c r="U986" i="5"/>
  <c r="F987" i="5"/>
  <c r="O988" i="5"/>
  <c r="J988" i="5"/>
  <c r="I988" i="5"/>
  <c r="K988" i="5"/>
  <c r="D988" i="5"/>
  <c r="G988" i="5"/>
  <c r="L988" i="5"/>
  <c r="N988" i="5"/>
  <c r="M988" i="5"/>
  <c r="C988" i="5"/>
  <c r="H988" i="5"/>
  <c r="E988" i="5"/>
  <c r="T988" i="5" l="1"/>
  <c r="P988" i="5"/>
  <c r="S989" i="5"/>
  <c r="B989" i="5"/>
  <c r="A990" i="5"/>
  <c r="R989" i="5"/>
  <c r="Q989" i="5" s="1"/>
  <c r="U987" i="5"/>
  <c r="F988" i="5"/>
  <c r="M989" i="5"/>
  <c r="D989" i="5"/>
  <c r="N989" i="5"/>
  <c r="K989" i="5"/>
  <c r="L989" i="5"/>
  <c r="H989" i="5"/>
  <c r="E989" i="5"/>
  <c r="G989" i="5"/>
  <c r="O989" i="5"/>
  <c r="I989" i="5"/>
  <c r="C989" i="5"/>
  <c r="J989" i="5"/>
  <c r="T989" i="5" l="1"/>
  <c r="P989" i="5"/>
  <c r="S990" i="5"/>
  <c r="R990" i="5"/>
  <c r="Q990" i="5" s="1"/>
  <c r="B990" i="5"/>
  <c r="A991" i="5"/>
  <c r="U988" i="5"/>
  <c r="F989" i="5"/>
  <c r="O990" i="5"/>
  <c r="E990" i="5"/>
  <c r="H990" i="5"/>
  <c r="C990" i="5"/>
  <c r="J990" i="5"/>
  <c r="D990" i="5"/>
  <c r="L990" i="5"/>
  <c r="I990" i="5"/>
  <c r="M990" i="5"/>
  <c r="N990" i="5"/>
  <c r="K990" i="5"/>
  <c r="G990" i="5"/>
  <c r="P990" i="5" l="1"/>
  <c r="T990" i="5"/>
  <c r="S991" i="5"/>
  <c r="A992" i="5"/>
  <c r="R991" i="5"/>
  <c r="Q991" i="5" s="1"/>
  <c r="B991" i="5"/>
  <c r="U989" i="5"/>
  <c r="F990" i="5"/>
  <c r="D991" i="5"/>
  <c r="I991" i="5"/>
  <c r="N991" i="5"/>
  <c r="M991" i="5"/>
  <c r="L991" i="5"/>
  <c r="E991" i="5"/>
  <c r="C991" i="5"/>
  <c r="G991" i="5"/>
  <c r="H991" i="5"/>
  <c r="O991" i="5"/>
  <c r="J991" i="5"/>
  <c r="K991" i="5"/>
  <c r="T991" i="5" l="1"/>
  <c r="P991" i="5"/>
  <c r="S992" i="5"/>
  <c r="B992" i="5"/>
  <c r="R992" i="5"/>
  <c r="Q992" i="5" s="1"/>
  <c r="A993" i="5"/>
  <c r="U990" i="5"/>
  <c r="F991" i="5"/>
  <c r="C992" i="5"/>
  <c r="N992" i="5"/>
  <c r="I992" i="5"/>
  <c r="J992" i="5"/>
  <c r="O992" i="5"/>
  <c r="D992" i="5"/>
  <c r="E992" i="5"/>
  <c r="M992" i="5"/>
  <c r="K992" i="5"/>
  <c r="H992" i="5"/>
  <c r="L992" i="5"/>
  <c r="G992" i="5"/>
  <c r="T992" i="5" l="1"/>
  <c r="P992" i="5"/>
  <c r="S993" i="5"/>
  <c r="B993" i="5"/>
  <c r="A994" i="5"/>
  <c r="R993" i="5"/>
  <c r="Q993" i="5" s="1"/>
  <c r="U991" i="5"/>
  <c r="F992" i="5"/>
  <c r="L993" i="5"/>
  <c r="C993" i="5"/>
  <c r="D993" i="5"/>
  <c r="O993" i="5"/>
  <c r="E993" i="5"/>
  <c r="J993" i="5"/>
  <c r="H993" i="5"/>
  <c r="G993" i="5"/>
  <c r="K993" i="5"/>
  <c r="M993" i="5"/>
  <c r="N993" i="5"/>
  <c r="I993" i="5"/>
  <c r="T993" i="5" l="1"/>
  <c r="P993" i="5"/>
  <c r="S994" i="5"/>
  <c r="R994" i="5"/>
  <c r="Q994" i="5" s="1"/>
  <c r="B994" i="5"/>
  <c r="A995" i="5"/>
  <c r="U992" i="5"/>
  <c r="F993" i="5"/>
  <c r="N994" i="5"/>
  <c r="M994" i="5"/>
  <c r="O994" i="5"/>
  <c r="E994" i="5"/>
  <c r="C994" i="5"/>
  <c r="H994" i="5"/>
  <c r="J994" i="5"/>
  <c r="D994" i="5"/>
  <c r="L994" i="5"/>
  <c r="K994" i="5"/>
  <c r="G994" i="5"/>
  <c r="I994" i="5"/>
  <c r="T994" i="5" l="1"/>
  <c r="P994" i="5"/>
  <c r="S995" i="5"/>
  <c r="R995" i="5"/>
  <c r="Q995" i="5" s="1"/>
  <c r="B995" i="5"/>
  <c r="A996" i="5"/>
  <c r="U993" i="5"/>
  <c r="F994" i="5"/>
  <c r="L995" i="5"/>
  <c r="G995" i="5"/>
  <c r="C995" i="5"/>
  <c r="E995" i="5"/>
  <c r="D995" i="5"/>
  <c r="I995" i="5"/>
  <c r="M995" i="5"/>
  <c r="N995" i="5"/>
  <c r="O995" i="5"/>
  <c r="K995" i="5"/>
  <c r="J995" i="5"/>
  <c r="H995" i="5"/>
  <c r="P995" i="5" l="1"/>
  <c r="T995" i="5"/>
  <c r="S996" i="5"/>
  <c r="R996" i="5"/>
  <c r="Q996" i="5" s="1"/>
  <c r="B996" i="5"/>
  <c r="A997" i="5"/>
  <c r="U994" i="5"/>
  <c r="F995" i="5"/>
  <c r="C996" i="5"/>
  <c r="H996" i="5"/>
  <c r="K996" i="5"/>
  <c r="E996" i="5"/>
  <c r="D996" i="5"/>
  <c r="M996" i="5"/>
  <c r="O996" i="5"/>
  <c r="G996" i="5"/>
  <c r="N996" i="5"/>
  <c r="L996" i="5"/>
  <c r="J996" i="5"/>
  <c r="I996" i="5"/>
  <c r="T996" i="5" l="1"/>
  <c r="P996" i="5"/>
  <c r="S997" i="5"/>
  <c r="B997" i="5"/>
  <c r="R997" i="5"/>
  <c r="Q997" i="5" s="1"/>
  <c r="A998" i="5"/>
  <c r="U995" i="5"/>
  <c r="F996" i="5"/>
  <c r="C997" i="5"/>
  <c r="N997" i="5"/>
  <c r="E997" i="5"/>
  <c r="O997" i="5"/>
  <c r="M997" i="5"/>
  <c r="H997" i="5"/>
  <c r="K997" i="5"/>
  <c r="I997" i="5"/>
  <c r="G997" i="5"/>
  <c r="D997" i="5"/>
  <c r="J997" i="5"/>
  <c r="L997" i="5"/>
  <c r="T997" i="5" l="1"/>
  <c r="P997" i="5"/>
  <c r="S998" i="5"/>
  <c r="A999" i="5"/>
  <c r="R998" i="5"/>
  <c r="Q998" i="5" s="1"/>
  <c r="B998" i="5"/>
  <c r="U996" i="5"/>
  <c r="F997" i="5"/>
  <c r="M998" i="5"/>
  <c r="J998" i="5"/>
  <c r="N998" i="5"/>
  <c r="D998" i="5"/>
  <c r="I998" i="5"/>
  <c r="K998" i="5"/>
  <c r="E998" i="5"/>
  <c r="L998" i="5"/>
  <c r="C998" i="5"/>
  <c r="G998" i="5"/>
  <c r="H998" i="5"/>
  <c r="O998" i="5"/>
  <c r="T998" i="5" l="1"/>
  <c r="P998" i="5"/>
  <c r="S999" i="5"/>
  <c r="R999" i="5"/>
  <c r="Q999" i="5" s="1"/>
  <c r="A1000" i="5"/>
  <c r="B999" i="5"/>
  <c r="U997" i="5"/>
  <c r="F998" i="5"/>
  <c r="C999" i="5"/>
  <c r="N999" i="5"/>
  <c r="O999" i="5"/>
  <c r="G999" i="5"/>
  <c r="H999" i="5"/>
  <c r="L999" i="5"/>
  <c r="I999" i="5"/>
  <c r="D999" i="5"/>
  <c r="E999" i="5"/>
  <c r="J999" i="5"/>
  <c r="K999" i="5"/>
  <c r="M999" i="5"/>
  <c r="T999" i="5" l="1"/>
  <c r="P999" i="5"/>
  <c r="S1000" i="5"/>
  <c r="B1000" i="5"/>
  <c r="R1000" i="5"/>
  <c r="Q1000" i="5" s="1"/>
  <c r="A1001" i="5"/>
  <c r="U998" i="5"/>
  <c r="F999" i="5"/>
  <c r="N1000" i="5"/>
  <c r="M1000" i="5"/>
  <c r="C1000" i="5"/>
  <c r="D1000" i="5"/>
  <c r="O1000" i="5"/>
  <c r="G1000" i="5"/>
  <c r="K1000" i="5"/>
  <c r="L1000" i="5"/>
  <c r="H1000" i="5"/>
  <c r="J1000" i="5"/>
  <c r="E1000" i="5"/>
  <c r="I1000" i="5"/>
  <c r="T1000" i="5" l="1"/>
  <c r="P1000" i="5"/>
  <c r="S1001" i="5"/>
  <c r="A1002" i="5"/>
  <c r="B1001" i="5"/>
  <c r="R1001" i="5"/>
  <c r="Q1001" i="5" s="1"/>
  <c r="U999" i="5"/>
  <c r="F1000" i="5"/>
  <c r="C1001" i="5"/>
  <c r="O1001" i="5"/>
  <c r="D1001" i="5"/>
  <c r="L1001" i="5"/>
  <c r="K1001" i="5"/>
  <c r="M1001" i="5"/>
  <c r="E1001" i="5"/>
  <c r="J1001" i="5"/>
  <c r="H1001" i="5"/>
  <c r="G1001" i="5"/>
  <c r="N1001" i="5"/>
  <c r="I1001" i="5"/>
  <c r="T1001" i="5" l="1"/>
  <c r="P1001" i="5"/>
  <c r="U1000" i="5"/>
  <c r="S1002" i="5"/>
  <c r="A1003" i="5"/>
  <c r="R1002" i="5"/>
  <c r="Q1002" i="5" s="1"/>
  <c r="B1002" i="5"/>
  <c r="F1001" i="5"/>
  <c r="C1002" i="5"/>
  <c r="N1002" i="5"/>
  <c r="G1002" i="5"/>
  <c r="J1002" i="5"/>
  <c r="E1002" i="5"/>
  <c r="D1002" i="5"/>
  <c r="H1002" i="5"/>
  <c r="M1002" i="5"/>
  <c r="K1002" i="5"/>
  <c r="L1002" i="5"/>
  <c r="I1002" i="5"/>
  <c r="O1002" i="5"/>
  <c r="T1002" i="5" l="1"/>
  <c r="P1002" i="5"/>
  <c r="S1003" i="5"/>
  <c r="B1003" i="5"/>
  <c r="A1004" i="5"/>
  <c r="R1003" i="5"/>
  <c r="Q1003" i="5" s="1"/>
  <c r="U1001" i="5"/>
  <c r="F1002" i="5"/>
  <c r="D1003" i="5"/>
  <c r="H1003" i="5"/>
  <c r="N1003" i="5"/>
  <c r="M1003" i="5"/>
  <c r="K1003" i="5"/>
  <c r="O1003" i="5"/>
  <c r="L1003" i="5"/>
  <c r="E1003" i="5"/>
  <c r="I1003" i="5"/>
  <c r="J1003" i="5"/>
  <c r="C1003" i="5"/>
  <c r="G1003" i="5"/>
  <c r="T1003" i="5" l="1"/>
  <c r="P1003" i="5"/>
  <c r="S1004" i="5"/>
  <c r="A1005" i="5"/>
  <c r="B1004" i="5"/>
  <c r="R1004" i="5"/>
  <c r="Q1004" i="5" s="1"/>
  <c r="U1002" i="5"/>
  <c r="F1003" i="5"/>
  <c r="K1004" i="5"/>
  <c r="O1004" i="5"/>
  <c r="E1004" i="5"/>
  <c r="M1004" i="5"/>
  <c r="J1004" i="5"/>
  <c r="D1004" i="5"/>
  <c r="H1004" i="5"/>
  <c r="G1004" i="5"/>
  <c r="C1004" i="5"/>
  <c r="I1004" i="5"/>
  <c r="L1004" i="5"/>
  <c r="N1004" i="5"/>
  <c r="T1004" i="5" l="1"/>
  <c r="P1004" i="5"/>
  <c r="S1005" i="5"/>
  <c r="R1005" i="5"/>
  <c r="Q1005" i="5" s="1"/>
  <c r="B1005" i="5"/>
  <c r="A1006" i="5"/>
  <c r="U1003" i="5"/>
  <c r="F1004" i="5"/>
  <c r="M1005" i="5"/>
  <c r="L1005" i="5"/>
  <c r="H1005" i="5"/>
  <c r="E1005" i="5"/>
  <c r="C1005" i="5"/>
  <c r="O1005" i="5"/>
  <c r="K1005" i="5"/>
  <c r="J1005" i="5"/>
  <c r="N1005" i="5"/>
  <c r="I1005" i="5"/>
  <c r="G1005" i="5"/>
  <c r="D1005" i="5"/>
  <c r="T1005" i="5" l="1"/>
  <c r="P1005" i="5"/>
  <c r="S1006" i="5"/>
  <c r="R1006" i="5"/>
  <c r="Q1006" i="5" s="1"/>
  <c r="B1006" i="5"/>
  <c r="A1007" i="5"/>
  <c r="U1004" i="5"/>
  <c r="F1005" i="5"/>
  <c r="J1006" i="5"/>
  <c r="N1006" i="5"/>
  <c r="H1006" i="5"/>
  <c r="M1006" i="5"/>
  <c r="E1006" i="5"/>
  <c r="O1006" i="5"/>
  <c r="C1006" i="5"/>
  <c r="K1006" i="5"/>
  <c r="I1006" i="5"/>
  <c r="G1006" i="5"/>
  <c r="L1006" i="5"/>
  <c r="D1006" i="5"/>
  <c r="T1006" i="5" l="1"/>
  <c r="P1006" i="5"/>
  <c r="U1006" i="5" s="1"/>
  <c r="S1007" i="5"/>
  <c r="R1007" i="5"/>
  <c r="Q1007" i="5" s="1"/>
  <c r="B1007" i="5"/>
  <c r="A1008" i="5"/>
  <c r="U1005" i="5"/>
  <c r="O1007" i="5"/>
  <c r="N1007" i="5"/>
  <c r="L1007" i="5"/>
  <c r="G1007" i="5"/>
  <c r="H1007" i="5"/>
  <c r="E1007" i="5"/>
  <c r="K1007" i="5"/>
  <c r="M1007" i="5"/>
  <c r="D1007" i="5"/>
  <c r="J1007" i="5"/>
  <c r="I1007" i="5"/>
  <c r="C1007" i="5"/>
  <c r="F1006" i="5"/>
  <c r="T1007" i="5" l="1"/>
  <c r="P1007" i="5"/>
  <c r="S1008" i="5"/>
  <c r="B1008" i="5"/>
  <c r="R1008" i="5"/>
  <c r="Q1008" i="5" s="1"/>
  <c r="A1009" i="5"/>
  <c r="F1007" i="5"/>
  <c r="E1008" i="5"/>
  <c r="N1008" i="5"/>
  <c r="D1008" i="5"/>
  <c r="J1008" i="5"/>
  <c r="L1008" i="5"/>
  <c r="M1008" i="5"/>
  <c r="O1008" i="5"/>
  <c r="I1008" i="5"/>
  <c r="G1008" i="5"/>
  <c r="C1008" i="5"/>
  <c r="K1008" i="5"/>
  <c r="H1008" i="5"/>
  <c r="T1008" i="5" l="1"/>
  <c r="P1008" i="5"/>
  <c r="S1009" i="5"/>
  <c r="B1009" i="5"/>
  <c r="R1009" i="5"/>
  <c r="Q1009" i="5" s="1"/>
  <c r="A1010" i="5"/>
  <c r="U1007" i="5"/>
  <c r="F1008" i="5"/>
  <c r="J1009" i="5"/>
  <c r="I1009" i="5"/>
  <c r="N1009" i="5"/>
  <c r="M1009" i="5"/>
  <c r="E1009" i="5"/>
  <c r="O1009" i="5"/>
  <c r="D1009" i="5"/>
  <c r="H1009" i="5"/>
  <c r="K1009" i="5"/>
  <c r="G1009" i="5"/>
  <c r="L1009" i="5"/>
  <c r="C1009" i="5"/>
  <c r="T1009" i="5" l="1"/>
  <c r="P1009" i="5"/>
  <c r="S1010" i="5"/>
  <c r="A1011" i="5"/>
  <c r="B1010" i="5"/>
  <c r="R1010" i="5"/>
  <c r="Q1010" i="5" s="1"/>
  <c r="U1008" i="5"/>
  <c r="F1009" i="5"/>
  <c r="E1010" i="5"/>
  <c r="J1010" i="5"/>
  <c r="M1010" i="5"/>
  <c r="D1010" i="5"/>
  <c r="G1010" i="5"/>
  <c r="N1010" i="5"/>
  <c r="L1010" i="5"/>
  <c r="K1010" i="5"/>
  <c r="O1010" i="5"/>
  <c r="I1010" i="5"/>
  <c r="H1010" i="5"/>
  <c r="C1010" i="5"/>
  <c r="T1010" i="5" l="1"/>
  <c r="P1010" i="5"/>
  <c r="S1011" i="5"/>
  <c r="R1011" i="5"/>
  <c r="Q1011" i="5" s="1"/>
  <c r="B1011" i="5"/>
  <c r="A1012" i="5"/>
  <c r="U1009" i="5"/>
  <c r="F1010" i="5"/>
  <c r="C1011" i="5"/>
  <c r="L1011" i="5"/>
  <c r="N1011" i="5"/>
  <c r="O1011" i="5"/>
  <c r="I1011" i="5"/>
  <c r="M1011" i="5"/>
  <c r="D1011" i="5"/>
  <c r="H1011" i="5"/>
  <c r="E1011" i="5"/>
  <c r="G1011" i="5"/>
  <c r="K1011" i="5"/>
  <c r="J1011" i="5"/>
  <c r="T1011" i="5" l="1"/>
  <c r="P1011" i="5"/>
  <c r="S1012" i="5"/>
  <c r="A1013" i="5"/>
  <c r="R1012" i="5"/>
  <c r="Q1012" i="5" s="1"/>
  <c r="B1012" i="5"/>
  <c r="U1010" i="5"/>
  <c r="F1011" i="5"/>
  <c r="E1012" i="5"/>
  <c r="J1012" i="5"/>
  <c r="D1012" i="5"/>
  <c r="O1012" i="5"/>
  <c r="I1012" i="5"/>
  <c r="H1012" i="5"/>
  <c r="G1012" i="5"/>
  <c r="C1012" i="5"/>
  <c r="N1012" i="5"/>
  <c r="K1012" i="5"/>
  <c r="L1012" i="5"/>
  <c r="M1012" i="5"/>
  <c r="T1012" i="5" l="1"/>
  <c r="P1012" i="5"/>
  <c r="S1013" i="5"/>
  <c r="R1013" i="5"/>
  <c r="Q1013" i="5" s="1"/>
  <c r="B1013" i="5"/>
  <c r="A1014" i="5"/>
  <c r="U1011" i="5"/>
  <c r="F1012" i="5"/>
  <c r="G1013" i="5"/>
  <c r="D1013" i="5"/>
  <c r="C1013" i="5"/>
  <c r="H1013" i="5"/>
  <c r="M1013" i="5"/>
  <c r="I1013" i="5"/>
  <c r="K1013" i="5"/>
  <c r="N1013" i="5"/>
  <c r="O1013" i="5"/>
  <c r="E1013" i="5"/>
  <c r="L1013" i="5"/>
  <c r="J1013" i="5"/>
  <c r="T1013" i="5" l="1"/>
  <c r="P1013" i="5"/>
  <c r="S1014" i="5"/>
  <c r="B1014" i="5"/>
  <c r="A1015" i="5"/>
  <c r="R1014" i="5"/>
  <c r="Q1014" i="5" s="1"/>
  <c r="U1012" i="5"/>
  <c r="F1013" i="5"/>
  <c r="H1014" i="5"/>
  <c r="J1014" i="5"/>
  <c r="I1014" i="5"/>
  <c r="G1014" i="5"/>
  <c r="E1014" i="5"/>
  <c r="L1014" i="5"/>
  <c r="K1014" i="5"/>
  <c r="O1014" i="5"/>
  <c r="C1014" i="5"/>
  <c r="D1014" i="5"/>
  <c r="N1014" i="5"/>
  <c r="M1014" i="5"/>
  <c r="T1014" i="5" l="1"/>
  <c r="P1014" i="5"/>
  <c r="S1015" i="5"/>
  <c r="R1015" i="5"/>
  <c r="Q1015" i="5" s="1"/>
  <c r="A1016" i="5"/>
  <c r="B1015" i="5"/>
  <c r="U1013" i="5"/>
  <c r="F1014" i="5"/>
  <c r="G1015" i="5"/>
  <c r="J1015" i="5"/>
  <c r="K1015" i="5"/>
  <c r="N1015" i="5"/>
  <c r="I1015" i="5"/>
  <c r="L1015" i="5"/>
  <c r="E1015" i="5"/>
  <c r="H1015" i="5"/>
  <c r="O1015" i="5"/>
  <c r="M1015" i="5"/>
  <c r="C1015" i="5"/>
  <c r="D1015" i="5"/>
  <c r="T1015" i="5" l="1"/>
  <c r="P1015" i="5"/>
  <c r="S1016" i="5"/>
  <c r="A1017" i="5"/>
  <c r="R1016" i="5"/>
  <c r="Q1016" i="5" s="1"/>
  <c r="B1016" i="5"/>
  <c r="U1014" i="5"/>
  <c r="F1015" i="5"/>
  <c r="G1016" i="5"/>
  <c r="D1016" i="5"/>
  <c r="E1016" i="5"/>
  <c r="O1016" i="5"/>
  <c r="J1016" i="5"/>
  <c r="N1016" i="5"/>
  <c r="L1016" i="5"/>
  <c r="K1016" i="5"/>
  <c r="I1016" i="5"/>
  <c r="H1016" i="5"/>
  <c r="M1016" i="5"/>
  <c r="C1016" i="5"/>
  <c r="T1016" i="5" l="1"/>
  <c r="P1016" i="5"/>
  <c r="S1017" i="5"/>
  <c r="B1017" i="5"/>
  <c r="R1017" i="5"/>
  <c r="Q1017" i="5" s="1"/>
  <c r="A1018" i="5"/>
  <c r="U1015" i="5"/>
  <c r="F1016" i="5"/>
  <c r="C1017" i="5"/>
  <c r="N1017" i="5"/>
  <c r="K1017" i="5"/>
  <c r="M1017" i="5"/>
  <c r="L1017" i="5"/>
  <c r="O1017" i="5"/>
  <c r="H1017" i="5"/>
  <c r="D1017" i="5"/>
  <c r="I1017" i="5"/>
  <c r="E1017" i="5"/>
  <c r="G1017" i="5"/>
  <c r="J1017" i="5"/>
  <c r="T1017" i="5" l="1"/>
  <c r="P1017" i="5"/>
  <c r="S1018" i="5"/>
  <c r="B1018" i="5"/>
  <c r="A1019" i="5"/>
  <c r="R1018" i="5"/>
  <c r="Q1018" i="5" s="1"/>
  <c r="U1016" i="5"/>
  <c r="F1017" i="5"/>
  <c r="N1018" i="5"/>
  <c r="E1018" i="5"/>
  <c r="H1018" i="5"/>
  <c r="D1018" i="5"/>
  <c r="I1018" i="5"/>
  <c r="O1018" i="5"/>
  <c r="K1018" i="5"/>
  <c r="G1018" i="5"/>
  <c r="M1018" i="5"/>
  <c r="C1018" i="5"/>
  <c r="J1018" i="5"/>
  <c r="L1018" i="5"/>
  <c r="T1018" i="5" l="1"/>
  <c r="P1018" i="5"/>
  <c r="S1019" i="5"/>
  <c r="A1020" i="5"/>
  <c r="R1019" i="5"/>
  <c r="Q1019" i="5" s="1"/>
  <c r="B1019" i="5"/>
  <c r="U1017" i="5"/>
  <c r="F1018" i="5"/>
  <c r="I1019" i="5"/>
  <c r="G1019" i="5"/>
  <c r="D1019" i="5"/>
  <c r="H1019" i="5"/>
  <c r="O1019" i="5"/>
  <c r="K1019" i="5"/>
  <c r="E1019" i="5"/>
  <c r="C1019" i="5"/>
  <c r="L1019" i="5"/>
  <c r="N1019" i="5"/>
  <c r="J1019" i="5"/>
  <c r="M1019" i="5"/>
  <c r="T1019" i="5" l="1"/>
  <c r="P1019" i="5"/>
  <c r="S1020" i="5"/>
  <c r="B1020" i="5"/>
  <c r="A1021" i="5"/>
  <c r="R1020" i="5"/>
  <c r="Q1020" i="5" s="1"/>
  <c r="U1018" i="5"/>
  <c r="F1019" i="5"/>
  <c r="O1020" i="5"/>
  <c r="D1020" i="5"/>
  <c r="I1020" i="5"/>
  <c r="C1020" i="5"/>
  <c r="L1020" i="5"/>
  <c r="J1020" i="5"/>
  <c r="N1020" i="5"/>
  <c r="G1020" i="5"/>
  <c r="K1020" i="5"/>
  <c r="E1020" i="5"/>
  <c r="H1020" i="5"/>
  <c r="M1020" i="5"/>
  <c r="T1020" i="5" l="1"/>
  <c r="P1020" i="5"/>
  <c r="S1021" i="5"/>
  <c r="R1021" i="5"/>
  <c r="Q1021" i="5" s="1"/>
  <c r="B1021" i="5"/>
  <c r="A1022" i="5"/>
  <c r="U1019" i="5"/>
  <c r="F1020" i="5"/>
  <c r="O1021" i="5"/>
  <c r="I1021" i="5"/>
  <c r="E1021" i="5"/>
  <c r="L1021" i="5"/>
  <c r="G1021" i="5"/>
  <c r="N1021" i="5"/>
  <c r="D1021" i="5"/>
  <c r="C1021" i="5"/>
  <c r="K1021" i="5"/>
  <c r="J1021" i="5"/>
  <c r="H1021" i="5"/>
  <c r="M1021" i="5"/>
  <c r="T1021" i="5" l="1"/>
  <c r="P1021" i="5"/>
  <c r="S1022" i="5"/>
  <c r="B1022" i="5"/>
  <c r="A1023" i="5"/>
  <c r="R1022" i="5"/>
  <c r="Q1022" i="5" s="1"/>
  <c r="U1020" i="5"/>
  <c r="F1021" i="5"/>
  <c r="N1022" i="5"/>
  <c r="C1022" i="5"/>
  <c r="K1022" i="5"/>
  <c r="J1022" i="5"/>
  <c r="E1022" i="5"/>
  <c r="I1022" i="5"/>
  <c r="H1022" i="5"/>
  <c r="D1022" i="5"/>
  <c r="G1022" i="5"/>
  <c r="M1022" i="5"/>
  <c r="O1022" i="5"/>
  <c r="L1022" i="5"/>
  <c r="T1022" i="5" l="1"/>
  <c r="P1022" i="5"/>
  <c r="S1023" i="5"/>
  <c r="B1023" i="5"/>
  <c r="R1023" i="5"/>
  <c r="Q1023" i="5" s="1"/>
  <c r="A1024" i="5"/>
  <c r="U1021" i="5"/>
  <c r="F1022" i="5"/>
  <c r="C1023" i="5"/>
  <c r="O1023" i="5"/>
  <c r="M1023" i="5"/>
  <c r="D1023" i="5"/>
  <c r="L1023" i="5"/>
  <c r="I1023" i="5"/>
  <c r="K1023" i="5"/>
  <c r="H1023" i="5"/>
  <c r="J1023" i="5"/>
  <c r="N1023" i="5"/>
  <c r="G1023" i="5"/>
  <c r="E1023" i="5"/>
  <c r="T1023" i="5" l="1"/>
  <c r="P1023" i="5"/>
  <c r="S1024" i="5"/>
  <c r="R1024" i="5"/>
  <c r="Q1024" i="5" s="1"/>
  <c r="A1025" i="5"/>
  <c r="B1024" i="5"/>
  <c r="U1022" i="5"/>
  <c r="F1023" i="5"/>
  <c r="E1024" i="5"/>
  <c r="H1024" i="5"/>
  <c r="K1024" i="5"/>
  <c r="J1024" i="5"/>
  <c r="I1024" i="5"/>
  <c r="L1024" i="5"/>
  <c r="C1024" i="5"/>
  <c r="D1024" i="5"/>
  <c r="G1024" i="5"/>
  <c r="M1024" i="5"/>
  <c r="N1024" i="5"/>
  <c r="O1024" i="5"/>
  <c r="T1024" i="5" l="1"/>
  <c r="P1024" i="5"/>
  <c r="S1025" i="5"/>
  <c r="A1026" i="5"/>
  <c r="B1025" i="5"/>
  <c r="R1025" i="5"/>
  <c r="Q1025" i="5" s="1"/>
  <c r="U1023" i="5"/>
  <c r="F1024" i="5"/>
  <c r="L1025" i="5"/>
  <c r="M1025" i="5"/>
  <c r="C1025" i="5"/>
  <c r="G1025" i="5"/>
  <c r="O1025" i="5"/>
  <c r="H1025" i="5"/>
  <c r="J1025" i="5"/>
  <c r="I1025" i="5"/>
  <c r="N1025" i="5"/>
  <c r="K1025" i="5"/>
  <c r="E1025" i="5"/>
  <c r="D1025" i="5"/>
  <c r="T1025" i="5" l="1"/>
  <c r="P1025" i="5"/>
  <c r="S1026" i="5"/>
  <c r="A1027" i="5"/>
  <c r="R1026" i="5"/>
  <c r="Q1026" i="5" s="1"/>
  <c r="B1026" i="5"/>
  <c r="U1024" i="5"/>
  <c r="F1025" i="5"/>
  <c r="O1026" i="5"/>
  <c r="H1026" i="5"/>
  <c r="C1026" i="5"/>
  <c r="N1026" i="5"/>
  <c r="E1026" i="5"/>
  <c r="M1026" i="5"/>
  <c r="J1026" i="5"/>
  <c r="K1026" i="5"/>
  <c r="G1026" i="5"/>
  <c r="L1026" i="5"/>
  <c r="D1026" i="5"/>
  <c r="I1026" i="5"/>
  <c r="T1026" i="5" l="1"/>
  <c r="P1026" i="5"/>
  <c r="S1027" i="5"/>
  <c r="R1027" i="5"/>
  <c r="Q1027" i="5" s="1"/>
  <c r="B1027" i="5"/>
  <c r="A1028" i="5"/>
  <c r="U1025" i="5"/>
  <c r="F1026" i="5"/>
  <c r="C1027" i="5"/>
  <c r="N1027" i="5"/>
  <c r="E1027" i="5"/>
  <c r="O1027" i="5"/>
  <c r="K1027" i="5"/>
  <c r="H1027" i="5"/>
  <c r="L1027" i="5"/>
  <c r="I1027" i="5"/>
  <c r="M1027" i="5"/>
  <c r="D1027" i="5"/>
  <c r="J1027" i="5"/>
  <c r="G1027" i="5"/>
  <c r="T1027" i="5" l="1"/>
  <c r="P1027" i="5"/>
  <c r="S1028" i="5"/>
  <c r="R1028" i="5"/>
  <c r="Q1028" i="5" s="1"/>
  <c r="B1028" i="5"/>
  <c r="A1029" i="5"/>
  <c r="U1026" i="5"/>
  <c r="F1027" i="5"/>
  <c r="O1028" i="5"/>
  <c r="M1028" i="5"/>
  <c r="I1028" i="5"/>
  <c r="C1028" i="5"/>
  <c r="J1028" i="5"/>
  <c r="G1028" i="5"/>
  <c r="E1028" i="5"/>
  <c r="N1028" i="5"/>
  <c r="H1028" i="5"/>
  <c r="D1028" i="5"/>
  <c r="K1028" i="5"/>
  <c r="L1028" i="5"/>
  <c r="T1028" i="5" l="1"/>
  <c r="P1028" i="5"/>
  <c r="S1029" i="5"/>
  <c r="B1029" i="5"/>
  <c r="R1029" i="5"/>
  <c r="Q1029" i="5" s="1"/>
  <c r="A1030" i="5"/>
  <c r="U1027" i="5"/>
  <c r="F1028" i="5"/>
  <c r="K1029" i="5"/>
  <c r="N1029" i="5"/>
  <c r="I1029" i="5"/>
  <c r="C1029" i="5"/>
  <c r="M1029" i="5"/>
  <c r="O1029" i="5"/>
  <c r="G1029" i="5"/>
  <c r="J1029" i="5"/>
  <c r="D1029" i="5"/>
  <c r="H1029" i="5"/>
  <c r="L1029" i="5"/>
  <c r="E1029" i="5"/>
  <c r="T1029" i="5" l="1"/>
  <c r="P1029" i="5"/>
  <c r="S1030" i="5"/>
  <c r="A1031" i="5"/>
  <c r="R1030" i="5"/>
  <c r="Q1030" i="5" s="1"/>
  <c r="B1030" i="5"/>
  <c r="U1028" i="5"/>
  <c r="F1029" i="5"/>
  <c r="K1030" i="5"/>
  <c r="D1030" i="5"/>
  <c r="G1030" i="5"/>
  <c r="O1030" i="5"/>
  <c r="C1030" i="5"/>
  <c r="N1030" i="5"/>
  <c r="I1030" i="5"/>
  <c r="H1030" i="5"/>
  <c r="J1030" i="5"/>
  <c r="M1030" i="5"/>
  <c r="E1030" i="5"/>
  <c r="L1030" i="5"/>
  <c r="T1030" i="5" l="1"/>
  <c r="P1030" i="5"/>
  <c r="S1031" i="5"/>
  <c r="B1031" i="5"/>
  <c r="R1031" i="5"/>
  <c r="Q1031" i="5" s="1"/>
  <c r="A1032" i="5"/>
  <c r="U1029" i="5"/>
  <c r="F1030" i="5"/>
  <c r="K1031" i="5"/>
  <c r="O1031" i="5"/>
  <c r="C1031" i="5"/>
  <c r="N1031" i="5"/>
  <c r="G1031" i="5"/>
  <c r="J1031" i="5"/>
  <c r="L1031" i="5"/>
  <c r="H1031" i="5"/>
  <c r="E1031" i="5"/>
  <c r="M1031" i="5"/>
  <c r="D1031" i="5"/>
  <c r="I1031" i="5"/>
  <c r="T1031" i="5" l="1"/>
  <c r="P1031" i="5"/>
  <c r="S1032" i="5"/>
  <c r="R1032" i="5"/>
  <c r="Q1032" i="5" s="1"/>
  <c r="B1032" i="5"/>
  <c r="A1033" i="5"/>
  <c r="U1030" i="5"/>
  <c r="F1031" i="5"/>
  <c r="K1032" i="5"/>
  <c r="D1032" i="5"/>
  <c r="L1032" i="5"/>
  <c r="I1032" i="5"/>
  <c r="E1032" i="5"/>
  <c r="G1032" i="5"/>
  <c r="M1032" i="5"/>
  <c r="H1032" i="5"/>
  <c r="O1032" i="5"/>
  <c r="N1032" i="5"/>
  <c r="C1032" i="5"/>
  <c r="J1032" i="5"/>
  <c r="T1032" i="5" l="1"/>
  <c r="P1032" i="5"/>
  <c r="U1032" i="5" s="1"/>
  <c r="S1033" i="5"/>
  <c r="A1034" i="5"/>
  <c r="R1033" i="5"/>
  <c r="Q1033" i="5" s="1"/>
  <c r="B1033" i="5"/>
  <c r="U1031" i="5"/>
  <c r="H1033" i="5"/>
  <c r="C1033" i="5"/>
  <c r="E1033" i="5"/>
  <c r="M1033" i="5"/>
  <c r="J1033" i="5"/>
  <c r="L1033" i="5"/>
  <c r="D1033" i="5"/>
  <c r="N1033" i="5"/>
  <c r="G1033" i="5"/>
  <c r="O1033" i="5"/>
  <c r="I1033" i="5"/>
  <c r="K1033" i="5"/>
  <c r="F1032" i="5"/>
  <c r="T1033" i="5" l="1"/>
  <c r="P1033" i="5"/>
  <c r="S1034" i="5"/>
  <c r="B1034" i="5"/>
  <c r="R1034" i="5"/>
  <c r="Q1034" i="5" s="1"/>
  <c r="A1035" i="5"/>
  <c r="F1033" i="5"/>
  <c r="J1034" i="5"/>
  <c r="K1034" i="5"/>
  <c r="L1034" i="5"/>
  <c r="H1034" i="5"/>
  <c r="C1034" i="5"/>
  <c r="E1034" i="5"/>
  <c r="N1034" i="5"/>
  <c r="D1034" i="5"/>
  <c r="O1034" i="5"/>
  <c r="I1034" i="5"/>
  <c r="G1034" i="5"/>
  <c r="M1034" i="5"/>
  <c r="T1034" i="5" l="1"/>
  <c r="P1034" i="5"/>
  <c r="S1035" i="5"/>
  <c r="A1036" i="5"/>
  <c r="R1035" i="5"/>
  <c r="Q1035" i="5" s="1"/>
  <c r="B1035" i="5"/>
  <c r="U1033" i="5"/>
  <c r="F1034" i="5"/>
  <c r="H1035" i="5"/>
  <c r="E1035" i="5"/>
  <c r="C1035" i="5"/>
  <c r="G1035" i="5"/>
  <c r="D1035" i="5"/>
  <c r="M1035" i="5"/>
  <c r="I1035" i="5"/>
  <c r="J1035" i="5"/>
  <c r="O1035" i="5"/>
  <c r="L1035" i="5"/>
  <c r="K1035" i="5"/>
  <c r="N1035" i="5"/>
  <c r="P1035" i="5" l="1"/>
  <c r="T1035" i="5"/>
  <c r="S1036" i="5"/>
  <c r="R1036" i="5"/>
  <c r="Q1036" i="5" s="1"/>
  <c r="B1036" i="5"/>
  <c r="A1037" i="5"/>
  <c r="U1034" i="5"/>
  <c r="F1035" i="5"/>
  <c r="J1036" i="5"/>
  <c r="O1036" i="5"/>
  <c r="L1036" i="5"/>
  <c r="E1036" i="5"/>
  <c r="C1036" i="5"/>
  <c r="D1036" i="5"/>
  <c r="K1036" i="5"/>
  <c r="I1036" i="5"/>
  <c r="H1036" i="5"/>
  <c r="G1036" i="5"/>
  <c r="M1036" i="5"/>
  <c r="N1036" i="5"/>
  <c r="T1036" i="5" l="1"/>
  <c r="P1036" i="5"/>
  <c r="S1037" i="5"/>
  <c r="B1037" i="5"/>
  <c r="A1038" i="5"/>
  <c r="R1037" i="5"/>
  <c r="Q1037" i="5" s="1"/>
  <c r="U1035" i="5"/>
  <c r="F1036" i="5"/>
  <c r="I1037" i="5"/>
  <c r="L1037" i="5"/>
  <c r="O1037" i="5"/>
  <c r="M1037" i="5"/>
  <c r="H1037" i="5"/>
  <c r="C1037" i="5"/>
  <c r="J1037" i="5"/>
  <c r="D1037" i="5"/>
  <c r="E1037" i="5"/>
  <c r="G1037" i="5"/>
  <c r="N1037" i="5"/>
  <c r="K1037" i="5"/>
  <c r="T1037" i="5" l="1"/>
  <c r="P1037" i="5"/>
  <c r="S1038" i="5"/>
  <c r="R1038" i="5"/>
  <c r="Q1038" i="5" s="1"/>
  <c r="B1038" i="5"/>
  <c r="A1039" i="5"/>
  <c r="U1036" i="5"/>
  <c r="F1037" i="5"/>
  <c r="J1038" i="5"/>
  <c r="C1038" i="5"/>
  <c r="E1038" i="5"/>
  <c r="N1038" i="5"/>
  <c r="O1038" i="5"/>
  <c r="I1038" i="5"/>
  <c r="L1038" i="5"/>
  <c r="D1038" i="5"/>
  <c r="M1038" i="5"/>
  <c r="K1038" i="5"/>
  <c r="G1038" i="5"/>
  <c r="H1038" i="5"/>
  <c r="T1038" i="5" l="1"/>
  <c r="P1038" i="5"/>
  <c r="S1039" i="5"/>
  <c r="R1039" i="5"/>
  <c r="Q1039" i="5" s="1"/>
  <c r="A1040" i="5"/>
  <c r="B1039" i="5"/>
  <c r="U1037" i="5"/>
  <c r="F1038" i="5"/>
  <c r="J1039" i="5"/>
  <c r="C1039" i="5"/>
  <c r="M1039" i="5"/>
  <c r="H1039" i="5"/>
  <c r="I1039" i="5"/>
  <c r="G1039" i="5"/>
  <c r="D1039" i="5"/>
  <c r="K1039" i="5"/>
  <c r="O1039" i="5"/>
  <c r="E1039" i="5"/>
  <c r="N1039" i="5"/>
  <c r="L1039" i="5"/>
  <c r="T1039" i="5" l="1"/>
  <c r="P1039" i="5"/>
  <c r="S1040" i="5"/>
  <c r="A1041" i="5"/>
  <c r="R1040" i="5"/>
  <c r="Q1040" i="5" s="1"/>
  <c r="B1040" i="5"/>
  <c r="U1038" i="5"/>
  <c r="F1039" i="5"/>
  <c r="O1040" i="5"/>
  <c r="L1040" i="5"/>
  <c r="G1040" i="5"/>
  <c r="N1040" i="5"/>
  <c r="E1040" i="5"/>
  <c r="C1040" i="5"/>
  <c r="M1040" i="5"/>
  <c r="J1040" i="5"/>
  <c r="H1040" i="5"/>
  <c r="D1040" i="5"/>
  <c r="K1040" i="5"/>
  <c r="I1040" i="5"/>
  <c r="T1040" i="5" l="1"/>
  <c r="P1040" i="5"/>
  <c r="S1041" i="5"/>
  <c r="A1042" i="5"/>
  <c r="B1041" i="5"/>
  <c r="R1041" i="5"/>
  <c r="Q1041" i="5" s="1"/>
  <c r="U1039" i="5"/>
  <c r="F1040" i="5"/>
  <c r="J1041" i="5"/>
  <c r="C1041" i="5"/>
  <c r="L1041" i="5"/>
  <c r="K1041" i="5"/>
  <c r="D1041" i="5"/>
  <c r="E1041" i="5"/>
  <c r="O1041" i="5"/>
  <c r="G1041" i="5"/>
  <c r="I1041" i="5"/>
  <c r="H1041" i="5"/>
  <c r="M1041" i="5"/>
  <c r="N1041" i="5"/>
  <c r="T1041" i="5" l="1"/>
  <c r="P1041" i="5"/>
  <c r="S1042" i="5"/>
  <c r="A1043" i="5"/>
  <c r="B1042" i="5"/>
  <c r="R1042" i="5"/>
  <c r="Q1042" i="5" s="1"/>
  <c r="U1040" i="5"/>
  <c r="F1041" i="5"/>
  <c r="K1042" i="5"/>
  <c r="G1042" i="5"/>
  <c r="O1042" i="5"/>
  <c r="I1042" i="5"/>
  <c r="D1042" i="5"/>
  <c r="E1042" i="5"/>
  <c r="M1042" i="5"/>
  <c r="C1042" i="5"/>
  <c r="N1042" i="5"/>
  <c r="J1042" i="5"/>
  <c r="H1042" i="5"/>
  <c r="L1042" i="5"/>
  <c r="T1042" i="5" l="1"/>
  <c r="P1042" i="5"/>
  <c r="S1043" i="5"/>
  <c r="B1043" i="5"/>
  <c r="A1044" i="5"/>
  <c r="R1043" i="5"/>
  <c r="Q1043" i="5" s="1"/>
  <c r="U1041" i="5"/>
  <c r="F1042" i="5"/>
  <c r="G1043" i="5"/>
  <c r="O1043" i="5"/>
  <c r="N1043" i="5"/>
  <c r="C1043" i="5"/>
  <c r="E1043" i="5"/>
  <c r="J1043" i="5"/>
  <c r="L1043" i="5"/>
  <c r="H1043" i="5"/>
  <c r="D1043" i="5"/>
  <c r="I1043" i="5"/>
  <c r="K1043" i="5"/>
  <c r="M1043" i="5"/>
  <c r="T1043" i="5" l="1"/>
  <c r="P1043" i="5"/>
  <c r="S1044" i="5"/>
  <c r="A1045" i="5"/>
  <c r="R1044" i="5"/>
  <c r="Q1044" i="5" s="1"/>
  <c r="B1044" i="5"/>
  <c r="U1042" i="5"/>
  <c r="F1043" i="5"/>
  <c r="O1044" i="5"/>
  <c r="N1044" i="5"/>
  <c r="K1044" i="5"/>
  <c r="I1044" i="5"/>
  <c r="D1044" i="5"/>
  <c r="H1044" i="5"/>
  <c r="G1044" i="5"/>
  <c r="E1044" i="5"/>
  <c r="M1044" i="5"/>
  <c r="C1044" i="5"/>
  <c r="J1044" i="5"/>
  <c r="L1044" i="5"/>
  <c r="T1044" i="5" l="1"/>
  <c r="P1044" i="5"/>
  <c r="S1045" i="5"/>
  <c r="R1045" i="5"/>
  <c r="Q1045" i="5" s="1"/>
  <c r="B1045" i="5"/>
  <c r="A1046" i="5"/>
  <c r="U1043" i="5"/>
  <c r="I1045" i="5"/>
  <c r="E1045" i="5"/>
  <c r="H1045" i="5"/>
  <c r="K1045" i="5"/>
  <c r="O1045" i="5"/>
  <c r="G1045" i="5"/>
  <c r="L1045" i="5"/>
  <c r="N1045" i="5"/>
  <c r="M1045" i="5"/>
  <c r="J1045" i="5"/>
  <c r="C1045" i="5"/>
  <c r="D1045" i="5"/>
  <c r="F1044" i="5"/>
  <c r="T1045" i="5" l="1"/>
  <c r="P1045" i="5"/>
  <c r="U1045" i="5" s="1"/>
  <c r="S1046" i="5"/>
  <c r="R1046" i="5"/>
  <c r="Q1046" i="5" s="1"/>
  <c r="B1046" i="5"/>
  <c r="A1047" i="5"/>
  <c r="U1044" i="5"/>
  <c r="I1046" i="5"/>
  <c r="G1046" i="5"/>
  <c r="H1046" i="5"/>
  <c r="O1046" i="5"/>
  <c r="L1046" i="5"/>
  <c r="D1046" i="5"/>
  <c r="E1046" i="5"/>
  <c r="C1046" i="5"/>
  <c r="K1046" i="5"/>
  <c r="N1046" i="5"/>
  <c r="M1046" i="5"/>
  <c r="J1046" i="5"/>
  <c r="F1045" i="5"/>
  <c r="P1046" i="5" l="1"/>
  <c r="T1046" i="5"/>
  <c r="S1047" i="5"/>
  <c r="B1047" i="5"/>
  <c r="A1048" i="5"/>
  <c r="R1047" i="5"/>
  <c r="Q1047" i="5" s="1"/>
  <c r="F1046" i="5"/>
  <c r="L1047" i="5"/>
  <c r="H1047" i="5"/>
  <c r="O1047" i="5"/>
  <c r="G1047" i="5"/>
  <c r="M1047" i="5"/>
  <c r="E1047" i="5"/>
  <c r="J1047" i="5"/>
  <c r="C1047" i="5"/>
  <c r="N1047" i="5"/>
  <c r="D1047" i="5"/>
  <c r="I1047" i="5"/>
  <c r="K1047" i="5"/>
  <c r="T1047" i="5" l="1"/>
  <c r="P1047" i="5"/>
  <c r="S1048" i="5"/>
  <c r="A1049" i="5"/>
  <c r="R1048" i="5"/>
  <c r="Q1048" i="5" s="1"/>
  <c r="B1048" i="5"/>
  <c r="U1046" i="5"/>
  <c r="F1047" i="5"/>
  <c r="N1048" i="5"/>
  <c r="D1048" i="5"/>
  <c r="I1048" i="5"/>
  <c r="H1048" i="5"/>
  <c r="C1048" i="5"/>
  <c r="L1048" i="5"/>
  <c r="K1048" i="5"/>
  <c r="J1048" i="5"/>
  <c r="E1048" i="5"/>
  <c r="G1048" i="5"/>
  <c r="M1048" i="5"/>
  <c r="O1048" i="5"/>
  <c r="T1048" i="5" l="1"/>
  <c r="P1048" i="5"/>
  <c r="S1049" i="5"/>
  <c r="R1049" i="5"/>
  <c r="Q1049" i="5" s="1"/>
  <c r="B1049" i="5"/>
  <c r="A1050" i="5"/>
  <c r="U1047" i="5"/>
  <c r="F1048" i="5"/>
  <c r="G1049" i="5"/>
  <c r="L1049" i="5"/>
  <c r="J1049" i="5"/>
  <c r="D1049" i="5"/>
  <c r="H1049" i="5"/>
  <c r="O1049" i="5"/>
  <c r="C1049" i="5"/>
  <c r="N1049" i="5"/>
  <c r="E1049" i="5"/>
  <c r="M1049" i="5"/>
  <c r="K1049" i="5"/>
  <c r="I1049" i="5"/>
  <c r="T1049" i="5" l="1"/>
  <c r="P1049" i="5"/>
  <c r="U1049" i="5" s="1"/>
  <c r="S1050" i="5"/>
  <c r="R1050" i="5"/>
  <c r="Q1050" i="5" s="1"/>
  <c r="A1051" i="5"/>
  <c r="B1050" i="5"/>
  <c r="U1048" i="5"/>
  <c r="K1050" i="5"/>
  <c r="C1050" i="5"/>
  <c r="M1050" i="5"/>
  <c r="H1050" i="5"/>
  <c r="J1050" i="5"/>
  <c r="L1050" i="5"/>
  <c r="E1050" i="5"/>
  <c r="N1050" i="5"/>
  <c r="I1050" i="5"/>
  <c r="G1050" i="5"/>
  <c r="D1050" i="5"/>
  <c r="O1050" i="5"/>
  <c r="F1049" i="5"/>
  <c r="T1050" i="5" l="1"/>
  <c r="P1050" i="5"/>
  <c r="S1051" i="5"/>
  <c r="B1051" i="5"/>
  <c r="A1052" i="5"/>
  <c r="R1051" i="5"/>
  <c r="Q1051" i="5" s="1"/>
  <c r="F1050" i="5"/>
  <c r="D1051" i="5"/>
  <c r="N1051" i="5"/>
  <c r="K1051" i="5"/>
  <c r="H1051" i="5"/>
  <c r="L1051" i="5"/>
  <c r="E1051" i="5"/>
  <c r="C1051" i="5"/>
  <c r="M1051" i="5"/>
  <c r="J1051" i="5"/>
  <c r="I1051" i="5"/>
  <c r="G1051" i="5"/>
  <c r="O1051" i="5"/>
  <c r="T1051" i="5" l="1"/>
  <c r="P1051" i="5"/>
  <c r="S1052" i="5"/>
  <c r="A1053" i="5"/>
  <c r="R1052" i="5"/>
  <c r="Q1052" i="5" s="1"/>
  <c r="B1052" i="5"/>
  <c r="U1050" i="5"/>
  <c r="F1051" i="5"/>
  <c r="I1052" i="5"/>
  <c r="J1052" i="5"/>
  <c r="H1052" i="5"/>
  <c r="E1052" i="5"/>
  <c r="K1052" i="5"/>
  <c r="D1052" i="5"/>
  <c r="M1052" i="5"/>
  <c r="C1052" i="5"/>
  <c r="G1052" i="5"/>
  <c r="N1052" i="5"/>
  <c r="O1052" i="5"/>
  <c r="L1052" i="5"/>
  <c r="T1052" i="5" l="1"/>
  <c r="P1052" i="5"/>
  <c r="S1053" i="5"/>
  <c r="R1053" i="5"/>
  <c r="Q1053" i="5" s="1"/>
  <c r="B1053" i="5"/>
  <c r="A1054" i="5"/>
  <c r="U1051" i="5"/>
  <c r="F1052" i="5"/>
  <c r="K1053" i="5"/>
  <c r="J1053" i="5"/>
  <c r="L1053" i="5"/>
  <c r="N1053" i="5"/>
  <c r="M1053" i="5"/>
  <c r="G1053" i="5"/>
  <c r="I1053" i="5"/>
  <c r="C1053" i="5"/>
  <c r="H1053" i="5"/>
  <c r="E1053" i="5"/>
  <c r="D1053" i="5"/>
  <c r="O1053" i="5"/>
  <c r="T1053" i="5" l="1"/>
  <c r="P1053" i="5"/>
  <c r="U1053" i="5" s="1"/>
  <c r="S1054" i="5"/>
  <c r="A1055" i="5"/>
  <c r="B1054" i="5"/>
  <c r="R1054" i="5"/>
  <c r="Q1054" i="5" s="1"/>
  <c r="U1052" i="5"/>
  <c r="M1054" i="5"/>
  <c r="L1054" i="5"/>
  <c r="K1054" i="5"/>
  <c r="O1054" i="5"/>
  <c r="D1054" i="5"/>
  <c r="G1054" i="5"/>
  <c r="N1054" i="5"/>
  <c r="J1054" i="5"/>
  <c r="E1054" i="5"/>
  <c r="H1054" i="5"/>
  <c r="C1054" i="5"/>
  <c r="I1054" i="5"/>
  <c r="F1053" i="5"/>
  <c r="T1054" i="5" l="1"/>
  <c r="P1054" i="5"/>
  <c r="S1055" i="5"/>
  <c r="R1055" i="5"/>
  <c r="Q1055" i="5" s="1"/>
  <c r="B1055" i="5"/>
  <c r="A1056" i="5"/>
  <c r="F1054" i="5"/>
  <c r="O1055" i="5"/>
  <c r="H1055" i="5"/>
  <c r="M1055" i="5"/>
  <c r="K1055" i="5"/>
  <c r="L1055" i="5"/>
  <c r="N1055" i="5"/>
  <c r="C1055" i="5"/>
  <c r="G1055" i="5"/>
  <c r="E1055" i="5"/>
  <c r="I1055" i="5"/>
  <c r="D1055" i="5"/>
  <c r="J1055" i="5"/>
  <c r="T1055" i="5" l="1"/>
  <c r="P1055" i="5"/>
  <c r="S1056" i="5"/>
  <c r="R1056" i="5"/>
  <c r="Q1056" i="5" s="1"/>
  <c r="A1057" i="5"/>
  <c r="B1056" i="5"/>
  <c r="U1054" i="5"/>
  <c r="F1055" i="5"/>
  <c r="C1056" i="5"/>
  <c r="K1056" i="5"/>
  <c r="N1056" i="5"/>
  <c r="M1056" i="5"/>
  <c r="O1056" i="5"/>
  <c r="I1056" i="5"/>
  <c r="H1056" i="5"/>
  <c r="D1056" i="5"/>
  <c r="E1056" i="5"/>
  <c r="J1056" i="5"/>
  <c r="G1056" i="5"/>
  <c r="L1056" i="5"/>
  <c r="T1056" i="5" l="1"/>
  <c r="P1056" i="5"/>
  <c r="S1057" i="5"/>
  <c r="A1058" i="5"/>
  <c r="B1057" i="5"/>
  <c r="R1057" i="5"/>
  <c r="Q1057" i="5" s="1"/>
  <c r="U1055" i="5"/>
  <c r="F1056" i="5"/>
  <c r="J1057" i="5"/>
  <c r="H1057" i="5"/>
  <c r="I1057" i="5"/>
  <c r="L1057" i="5"/>
  <c r="C1057" i="5"/>
  <c r="D1057" i="5"/>
  <c r="O1057" i="5"/>
  <c r="M1057" i="5"/>
  <c r="K1057" i="5"/>
  <c r="E1057" i="5"/>
  <c r="G1057" i="5"/>
  <c r="N1057" i="5"/>
  <c r="T1057" i="5" l="1"/>
  <c r="P1057" i="5"/>
  <c r="S1058" i="5"/>
  <c r="B1058" i="5"/>
  <c r="A1059" i="5"/>
  <c r="R1058" i="5"/>
  <c r="Q1058" i="5" s="1"/>
  <c r="U1056" i="5"/>
  <c r="F1057" i="5"/>
  <c r="E1058" i="5"/>
  <c r="O1058" i="5"/>
  <c r="L1058" i="5"/>
  <c r="J1058" i="5"/>
  <c r="K1058" i="5"/>
  <c r="M1058" i="5"/>
  <c r="H1058" i="5"/>
  <c r="N1058" i="5"/>
  <c r="G1058" i="5"/>
  <c r="I1058" i="5"/>
  <c r="D1058" i="5"/>
  <c r="C1058" i="5"/>
  <c r="T1058" i="5" l="1"/>
  <c r="P1058" i="5"/>
  <c r="S1059" i="5"/>
  <c r="R1059" i="5"/>
  <c r="Q1059" i="5" s="1"/>
  <c r="B1059" i="5"/>
  <c r="A1060" i="5"/>
  <c r="U1057" i="5"/>
  <c r="F1058" i="5"/>
  <c r="G1059" i="5"/>
  <c r="M1059" i="5"/>
  <c r="J1059" i="5"/>
  <c r="N1059" i="5"/>
  <c r="L1059" i="5"/>
  <c r="C1059" i="5"/>
  <c r="E1059" i="5"/>
  <c r="O1059" i="5"/>
  <c r="H1059" i="5"/>
  <c r="D1059" i="5"/>
  <c r="I1059" i="5"/>
  <c r="K1059" i="5"/>
  <c r="T1059" i="5" l="1"/>
  <c r="P1059" i="5"/>
  <c r="S1060" i="5"/>
  <c r="B1060" i="5"/>
  <c r="A1061" i="5"/>
  <c r="R1060" i="5"/>
  <c r="Q1060" i="5" s="1"/>
  <c r="U1058" i="5"/>
  <c r="F1059" i="5"/>
  <c r="M1060" i="5"/>
  <c r="I1060" i="5"/>
  <c r="L1060" i="5"/>
  <c r="G1060" i="5"/>
  <c r="E1060" i="5"/>
  <c r="O1060" i="5"/>
  <c r="K1060" i="5"/>
  <c r="D1060" i="5"/>
  <c r="N1060" i="5"/>
  <c r="J1060" i="5"/>
  <c r="H1060" i="5"/>
  <c r="C1060" i="5"/>
  <c r="T1060" i="5" l="1"/>
  <c r="P1060" i="5"/>
  <c r="S1061" i="5"/>
  <c r="B1061" i="5"/>
  <c r="A1062" i="5"/>
  <c r="R1061" i="5"/>
  <c r="Q1061" i="5" s="1"/>
  <c r="U1059" i="5"/>
  <c r="F1060" i="5"/>
  <c r="C1061" i="5"/>
  <c r="G1061" i="5"/>
  <c r="E1061" i="5"/>
  <c r="H1061" i="5"/>
  <c r="I1061" i="5"/>
  <c r="L1061" i="5"/>
  <c r="M1061" i="5"/>
  <c r="O1061" i="5"/>
  <c r="K1061" i="5"/>
  <c r="D1061" i="5"/>
  <c r="J1061" i="5"/>
  <c r="N1061" i="5"/>
  <c r="T1061" i="5" l="1"/>
  <c r="P1061" i="5"/>
  <c r="S1062" i="5"/>
  <c r="B1062" i="5"/>
  <c r="A1063" i="5"/>
  <c r="R1062" i="5"/>
  <c r="Q1062" i="5" s="1"/>
  <c r="U1060" i="5"/>
  <c r="F1061" i="5"/>
  <c r="O1062" i="5"/>
  <c r="H1062" i="5"/>
  <c r="K1062" i="5"/>
  <c r="E1062" i="5"/>
  <c r="I1062" i="5"/>
  <c r="M1062" i="5"/>
  <c r="L1062" i="5"/>
  <c r="N1062" i="5"/>
  <c r="D1062" i="5"/>
  <c r="G1062" i="5"/>
  <c r="J1062" i="5"/>
  <c r="C1062" i="5"/>
  <c r="T1062" i="5" l="1"/>
  <c r="P1062" i="5"/>
  <c r="S1063" i="5"/>
  <c r="A1064" i="5"/>
  <c r="B1063" i="5"/>
  <c r="R1063" i="5"/>
  <c r="Q1063" i="5" s="1"/>
  <c r="U1061" i="5"/>
  <c r="F1062" i="5"/>
  <c r="L1063" i="5"/>
  <c r="J1063" i="5"/>
  <c r="N1063" i="5"/>
  <c r="H1063" i="5"/>
  <c r="K1063" i="5"/>
  <c r="E1063" i="5"/>
  <c r="M1063" i="5"/>
  <c r="C1063" i="5"/>
  <c r="G1063" i="5"/>
  <c r="O1063" i="5"/>
  <c r="D1063" i="5"/>
  <c r="I1063" i="5"/>
  <c r="T1063" i="5" l="1"/>
  <c r="P1063" i="5"/>
  <c r="S1064" i="5"/>
  <c r="B1064" i="5"/>
  <c r="A1065" i="5"/>
  <c r="R1064" i="5"/>
  <c r="Q1064" i="5" s="1"/>
  <c r="U1062" i="5"/>
  <c r="F1063" i="5"/>
  <c r="I1064" i="5"/>
  <c r="M1064" i="5"/>
  <c r="J1064" i="5"/>
  <c r="E1064" i="5"/>
  <c r="H1064" i="5"/>
  <c r="G1064" i="5"/>
  <c r="C1064" i="5"/>
  <c r="K1064" i="5"/>
  <c r="O1064" i="5"/>
  <c r="L1064" i="5"/>
  <c r="N1064" i="5"/>
  <c r="D1064" i="5"/>
  <c r="T1064" i="5" l="1"/>
  <c r="P1064" i="5"/>
  <c r="S1065" i="5"/>
  <c r="B1065" i="5"/>
  <c r="A1066" i="5"/>
  <c r="R1065" i="5"/>
  <c r="Q1065" i="5" s="1"/>
  <c r="U1063" i="5"/>
  <c r="F1064" i="5"/>
  <c r="C1065" i="5"/>
  <c r="I1065" i="5"/>
  <c r="E1065" i="5"/>
  <c r="G1065" i="5"/>
  <c r="N1065" i="5"/>
  <c r="H1065" i="5"/>
  <c r="M1065" i="5"/>
  <c r="O1065" i="5"/>
  <c r="D1065" i="5"/>
  <c r="K1065" i="5"/>
  <c r="J1065" i="5"/>
  <c r="L1065" i="5"/>
  <c r="T1065" i="5" l="1"/>
  <c r="P1065" i="5"/>
  <c r="S1066" i="5"/>
  <c r="B1066" i="5"/>
  <c r="A1067" i="5"/>
  <c r="R1066" i="5"/>
  <c r="Q1066" i="5" s="1"/>
  <c r="U1064" i="5"/>
  <c r="F1065" i="5"/>
  <c r="I1066" i="5"/>
  <c r="D1066" i="5"/>
  <c r="N1066" i="5"/>
  <c r="C1066" i="5"/>
  <c r="J1066" i="5"/>
  <c r="K1066" i="5"/>
  <c r="L1066" i="5"/>
  <c r="O1066" i="5"/>
  <c r="E1066" i="5"/>
  <c r="G1066" i="5"/>
  <c r="H1066" i="5"/>
  <c r="M1066" i="5"/>
  <c r="T1066" i="5" l="1"/>
  <c r="P1066" i="5"/>
  <c r="S1067" i="5"/>
  <c r="B1067" i="5"/>
  <c r="R1067" i="5"/>
  <c r="Q1067" i="5" s="1"/>
  <c r="A1068" i="5"/>
  <c r="U1065" i="5"/>
  <c r="F1066" i="5"/>
  <c r="N1067" i="5"/>
  <c r="D1067" i="5"/>
  <c r="O1067" i="5"/>
  <c r="K1067" i="5"/>
  <c r="L1067" i="5"/>
  <c r="C1067" i="5"/>
  <c r="G1067" i="5"/>
  <c r="M1067" i="5"/>
  <c r="E1067" i="5"/>
  <c r="I1067" i="5"/>
  <c r="H1067" i="5"/>
  <c r="J1067" i="5"/>
  <c r="T1067" i="5" l="1"/>
  <c r="P1067" i="5"/>
  <c r="S1068" i="5"/>
  <c r="B1068" i="5"/>
  <c r="A1069" i="5"/>
  <c r="R1068" i="5"/>
  <c r="Q1068" i="5" s="1"/>
  <c r="U1066" i="5"/>
  <c r="F1067" i="5"/>
  <c r="K1068" i="5"/>
  <c r="I1068" i="5"/>
  <c r="D1068" i="5"/>
  <c r="L1068" i="5"/>
  <c r="C1068" i="5"/>
  <c r="M1068" i="5"/>
  <c r="H1068" i="5"/>
  <c r="G1068" i="5"/>
  <c r="J1068" i="5"/>
  <c r="O1068" i="5"/>
  <c r="N1068" i="5"/>
  <c r="E1068" i="5"/>
  <c r="T1068" i="5" l="1"/>
  <c r="P1068" i="5"/>
  <c r="S1069" i="5"/>
  <c r="B1069" i="5"/>
  <c r="A1070" i="5"/>
  <c r="R1069" i="5"/>
  <c r="Q1069" i="5" s="1"/>
  <c r="U1067" i="5"/>
  <c r="F1068" i="5"/>
  <c r="E1069" i="5"/>
  <c r="M1069" i="5"/>
  <c r="G1069" i="5"/>
  <c r="D1069" i="5"/>
  <c r="N1069" i="5"/>
  <c r="K1069" i="5"/>
  <c r="O1069" i="5"/>
  <c r="H1069" i="5"/>
  <c r="C1069" i="5"/>
  <c r="L1069" i="5"/>
  <c r="I1069" i="5"/>
  <c r="J1069" i="5"/>
  <c r="T1069" i="5" l="1"/>
  <c r="P1069" i="5"/>
  <c r="S1070" i="5"/>
  <c r="B1070" i="5"/>
  <c r="A1071" i="5"/>
  <c r="R1070" i="5"/>
  <c r="Q1070" i="5" s="1"/>
  <c r="U1068" i="5"/>
  <c r="F1069" i="5"/>
  <c r="G1070" i="5"/>
  <c r="M1070" i="5"/>
  <c r="I1070" i="5"/>
  <c r="J1070" i="5"/>
  <c r="C1070" i="5"/>
  <c r="K1070" i="5"/>
  <c r="N1070" i="5"/>
  <c r="O1070" i="5"/>
  <c r="E1070" i="5"/>
  <c r="D1070" i="5"/>
  <c r="L1070" i="5"/>
  <c r="H1070" i="5"/>
  <c r="T1070" i="5" l="1"/>
  <c r="P1070" i="5"/>
  <c r="S1071" i="5"/>
  <c r="A1072" i="5"/>
  <c r="R1071" i="5"/>
  <c r="Q1071" i="5" s="1"/>
  <c r="B1071" i="5"/>
  <c r="U1069" i="5"/>
  <c r="F1070" i="5"/>
  <c r="D1071" i="5"/>
  <c r="L1071" i="5"/>
  <c r="O1071" i="5"/>
  <c r="N1071" i="5"/>
  <c r="K1071" i="5"/>
  <c r="J1071" i="5"/>
  <c r="E1071" i="5"/>
  <c r="H1071" i="5"/>
  <c r="G1071" i="5"/>
  <c r="I1071" i="5"/>
  <c r="C1071" i="5"/>
  <c r="M1071" i="5"/>
  <c r="T1071" i="5" l="1"/>
  <c r="P1071" i="5"/>
  <c r="S1072" i="5"/>
  <c r="B1072" i="5"/>
  <c r="R1072" i="5"/>
  <c r="Q1072" i="5" s="1"/>
  <c r="A1073" i="5"/>
  <c r="U1070" i="5"/>
  <c r="F1071" i="5"/>
  <c r="C1072" i="5"/>
  <c r="M1072" i="5"/>
  <c r="I1072" i="5"/>
  <c r="E1072" i="5"/>
  <c r="G1072" i="5"/>
  <c r="K1072" i="5"/>
  <c r="D1072" i="5"/>
  <c r="O1072" i="5"/>
  <c r="J1072" i="5"/>
  <c r="H1072" i="5"/>
  <c r="L1072" i="5"/>
  <c r="N1072" i="5"/>
  <c r="T1072" i="5" l="1"/>
  <c r="P1072" i="5"/>
  <c r="S1073" i="5"/>
  <c r="B1073" i="5"/>
  <c r="A1074" i="5"/>
  <c r="R1073" i="5"/>
  <c r="Q1073" i="5" s="1"/>
  <c r="U1071" i="5"/>
  <c r="F1072" i="5"/>
  <c r="O1073" i="5"/>
  <c r="K1073" i="5"/>
  <c r="M1073" i="5"/>
  <c r="I1073" i="5"/>
  <c r="H1073" i="5"/>
  <c r="C1073" i="5"/>
  <c r="E1073" i="5"/>
  <c r="G1073" i="5"/>
  <c r="N1073" i="5"/>
  <c r="D1073" i="5"/>
  <c r="J1073" i="5"/>
  <c r="L1073" i="5"/>
  <c r="T1073" i="5" l="1"/>
  <c r="P1073" i="5"/>
  <c r="S1074" i="5"/>
  <c r="B1074" i="5"/>
  <c r="R1074" i="5"/>
  <c r="Q1074" i="5" s="1"/>
  <c r="A1075" i="5"/>
  <c r="U1072" i="5"/>
  <c r="F1073" i="5"/>
  <c r="K1074" i="5"/>
  <c r="L1074" i="5"/>
  <c r="H1074" i="5"/>
  <c r="G1074" i="5"/>
  <c r="J1074" i="5"/>
  <c r="E1074" i="5"/>
  <c r="O1074" i="5"/>
  <c r="D1074" i="5"/>
  <c r="C1074" i="5"/>
  <c r="M1074" i="5"/>
  <c r="I1074" i="5"/>
  <c r="N1074" i="5"/>
  <c r="T1074" i="5" l="1"/>
  <c r="P1074" i="5"/>
  <c r="S1075" i="5"/>
  <c r="A1076" i="5"/>
  <c r="R1075" i="5"/>
  <c r="Q1075" i="5" s="1"/>
  <c r="B1075" i="5"/>
  <c r="U1073" i="5"/>
  <c r="F1074" i="5"/>
  <c r="I1075" i="5"/>
  <c r="N1075" i="5"/>
  <c r="O1075" i="5"/>
  <c r="H1075" i="5"/>
  <c r="D1075" i="5"/>
  <c r="G1075" i="5"/>
  <c r="L1075" i="5"/>
  <c r="C1075" i="5"/>
  <c r="K1075" i="5"/>
  <c r="J1075" i="5"/>
  <c r="E1075" i="5"/>
  <c r="M1075" i="5"/>
  <c r="T1075" i="5" l="1"/>
  <c r="P1075" i="5"/>
  <c r="S1076" i="5"/>
  <c r="A1077" i="5"/>
  <c r="R1076" i="5"/>
  <c r="Q1076" i="5" s="1"/>
  <c r="B1076" i="5"/>
  <c r="U1074" i="5"/>
  <c r="F1075" i="5"/>
  <c r="H1076" i="5"/>
  <c r="O1076" i="5"/>
  <c r="C1076" i="5"/>
  <c r="E1076" i="5"/>
  <c r="G1076" i="5"/>
  <c r="J1076" i="5"/>
  <c r="D1076" i="5"/>
  <c r="L1076" i="5"/>
  <c r="N1076" i="5"/>
  <c r="K1076" i="5"/>
  <c r="I1076" i="5"/>
  <c r="M1076" i="5"/>
  <c r="T1076" i="5" l="1"/>
  <c r="P1076" i="5"/>
  <c r="S1077" i="5"/>
  <c r="B1077" i="5"/>
  <c r="R1077" i="5"/>
  <c r="Q1077" i="5" s="1"/>
  <c r="A1078" i="5"/>
  <c r="U1075" i="5"/>
  <c r="F1076" i="5"/>
  <c r="K1077" i="5"/>
  <c r="H1077" i="5"/>
  <c r="E1077" i="5"/>
  <c r="M1077" i="5"/>
  <c r="J1077" i="5"/>
  <c r="G1077" i="5"/>
  <c r="L1077" i="5"/>
  <c r="N1077" i="5"/>
  <c r="C1077" i="5"/>
  <c r="I1077" i="5"/>
  <c r="O1077" i="5"/>
  <c r="D1077" i="5"/>
  <c r="T1077" i="5" l="1"/>
  <c r="P1077" i="5"/>
  <c r="S1078" i="5"/>
  <c r="A1079" i="5"/>
  <c r="B1078" i="5"/>
  <c r="R1078" i="5"/>
  <c r="Q1078" i="5" s="1"/>
  <c r="U1076" i="5"/>
  <c r="F1077" i="5"/>
  <c r="E1078" i="5"/>
  <c r="L1078" i="5"/>
  <c r="K1078" i="5"/>
  <c r="J1078" i="5"/>
  <c r="C1078" i="5"/>
  <c r="D1078" i="5"/>
  <c r="H1078" i="5"/>
  <c r="I1078" i="5"/>
  <c r="N1078" i="5"/>
  <c r="M1078" i="5"/>
  <c r="G1078" i="5"/>
  <c r="O1078" i="5"/>
  <c r="T1078" i="5" l="1"/>
  <c r="P1078" i="5"/>
  <c r="S1079" i="5"/>
  <c r="A1080" i="5"/>
  <c r="R1079" i="5"/>
  <c r="Q1079" i="5" s="1"/>
  <c r="B1079" i="5"/>
  <c r="U1077" i="5"/>
  <c r="F1078" i="5"/>
  <c r="J1079" i="5"/>
  <c r="K1079" i="5"/>
  <c r="D1079" i="5"/>
  <c r="G1079" i="5"/>
  <c r="N1079" i="5"/>
  <c r="C1079" i="5"/>
  <c r="O1079" i="5"/>
  <c r="E1079" i="5"/>
  <c r="M1079" i="5"/>
  <c r="L1079" i="5"/>
  <c r="I1079" i="5"/>
  <c r="H1079" i="5"/>
  <c r="T1079" i="5" l="1"/>
  <c r="P1079" i="5"/>
  <c r="S1080" i="5"/>
  <c r="B1080" i="5"/>
  <c r="R1080" i="5"/>
  <c r="Q1080" i="5" s="1"/>
  <c r="A1081" i="5"/>
  <c r="U1078" i="5"/>
  <c r="F1079" i="5"/>
  <c r="H1080" i="5"/>
  <c r="G1080" i="5"/>
  <c r="E1080" i="5"/>
  <c r="K1080" i="5"/>
  <c r="O1080" i="5"/>
  <c r="I1080" i="5"/>
  <c r="D1080" i="5"/>
  <c r="M1080" i="5"/>
  <c r="N1080" i="5"/>
  <c r="J1080" i="5"/>
  <c r="L1080" i="5"/>
  <c r="C1080" i="5"/>
  <c r="T1080" i="5" l="1"/>
  <c r="P1080" i="5"/>
  <c r="S1081" i="5"/>
  <c r="A1082" i="5"/>
  <c r="R1081" i="5"/>
  <c r="Q1081" i="5" s="1"/>
  <c r="B1081" i="5"/>
  <c r="U1079" i="5"/>
  <c r="F1080" i="5"/>
  <c r="I1081" i="5"/>
  <c r="D1081" i="5"/>
  <c r="G1081" i="5"/>
  <c r="K1081" i="5"/>
  <c r="M1081" i="5"/>
  <c r="L1081" i="5"/>
  <c r="O1081" i="5"/>
  <c r="C1081" i="5"/>
  <c r="J1081" i="5"/>
  <c r="H1081" i="5"/>
  <c r="E1081" i="5"/>
  <c r="N1081" i="5"/>
  <c r="T1081" i="5" l="1"/>
  <c r="P1081" i="5"/>
  <c r="S1082" i="5"/>
  <c r="R1082" i="5"/>
  <c r="Q1082" i="5" s="1"/>
  <c r="B1082" i="5"/>
  <c r="A1083" i="5"/>
  <c r="U1080" i="5"/>
  <c r="F1081" i="5"/>
  <c r="J1082" i="5"/>
  <c r="N1082" i="5"/>
  <c r="K1082" i="5"/>
  <c r="O1082" i="5"/>
  <c r="D1082" i="5"/>
  <c r="H1082" i="5"/>
  <c r="E1082" i="5"/>
  <c r="L1082" i="5"/>
  <c r="G1082" i="5"/>
  <c r="C1082" i="5"/>
  <c r="I1082" i="5"/>
  <c r="M1082" i="5"/>
  <c r="T1082" i="5" l="1"/>
  <c r="P1082" i="5"/>
  <c r="S1083" i="5"/>
  <c r="B1083" i="5"/>
  <c r="R1083" i="5"/>
  <c r="Q1083" i="5" s="1"/>
  <c r="A1084" i="5"/>
  <c r="U1081" i="5"/>
  <c r="F1082" i="5"/>
  <c r="E1083" i="5"/>
  <c r="G1083" i="5"/>
  <c r="C1083" i="5"/>
  <c r="M1083" i="5"/>
  <c r="D1083" i="5"/>
  <c r="J1083" i="5"/>
  <c r="L1083" i="5"/>
  <c r="O1083" i="5"/>
  <c r="H1083" i="5"/>
  <c r="I1083" i="5"/>
  <c r="N1083" i="5"/>
  <c r="K1083" i="5"/>
  <c r="T1083" i="5" l="1"/>
  <c r="P1083" i="5"/>
  <c r="S1084" i="5"/>
  <c r="A1085" i="5"/>
  <c r="B1084" i="5"/>
  <c r="R1084" i="5"/>
  <c r="Q1084" i="5" s="1"/>
  <c r="U1082" i="5"/>
  <c r="F1083" i="5"/>
  <c r="K1084" i="5"/>
  <c r="G1084" i="5"/>
  <c r="L1084" i="5"/>
  <c r="H1084" i="5"/>
  <c r="M1084" i="5"/>
  <c r="C1084" i="5"/>
  <c r="J1084" i="5"/>
  <c r="I1084" i="5"/>
  <c r="D1084" i="5"/>
  <c r="N1084" i="5"/>
  <c r="E1084" i="5"/>
  <c r="O1084" i="5"/>
  <c r="T1084" i="5" l="1"/>
  <c r="P1084" i="5"/>
  <c r="S1085" i="5"/>
  <c r="A1086" i="5"/>
  <c r="R1085" i="5"/>
  <c r="Q1085" i="5" s="1"/>
  <c r="B1085" i="5"/>
  <c r="U1083" i="5"/>
  <c r="F1084" i="5"/>
  <c r="M1085" i="5"/>
  <c r="N1085" i="5"/>
  <c r="O1085" i="5"/>
  <c r="K1085" i="5"/>
  <c r="H1085" i="5"/>
  <c r="D1085" i="5"/>
  <c r="E1085" i="5"/>
  <c r="I1085" i="5"/>
  <c r="G1085" i="5"/>
  <c r="C1085" i="5"/>
  <c r="L1085" i="5"/>
  <c r="J1085" i="5"/>
  <c r="T1085" i="5" l="1"/>
  <c r="P1085" i="5"/>
  <c r="S1086" i="5"/>
  <c r="R1086" i="5"/>
  <c r="Q1086" i="5" s="1"/>
  <c r="B1086" i="5"/>
  <c r="A1087" i="5"/>
  <c r="U1084" i="5"/>
  <c r="F1085" i="5"/>
  <c r="K1086" i="5"/>
  <c r="L1086" i="5"/>
  <c r="J1086" i="5"/>
  <c r="E1086" i="5"/>
  <c r="I1086" i="5"/>
  <c r="H1086" i="5"/>
  <c r="C1086" i="5"/>
  <c r="G1086" i="5"/>
  <c r="O1086" i="5"/>
  <c r="D1086" i="5"/>
  <c r="M1086" i="5"/>
  <c r="N1086" i="5"/>
  <c r="T1086" i="5" l="1"/>
  <c r="P1086" i="5"/>
  <c r="S1087" i="5"/>
  <c r="R1087" i="5"/>
  <c r="Q1087" i="5" s="1"/>
  <c r="B1087" i="5"/>
  <c r="A1088" i="5"/>
  <c r="U1085" i="5"/>
  <c r="F1086" i="5"/>
  <c r="L1087" i="5"/>
  <c r="D1087" i="5"/>
  <c r="J1087" i="5"/>
  <c r="N1087" i="5"/>
  <c r="I1087" i="5"/>
  <c r="H1087" i="5"/>
  <c r="G1087" i="5"/>
  <c r="M1087" i="5"/>
  <c r="C1087" i="5"/>
  <c r="O1087" i="5"/>
  <c r="K1087" i="5"/>
  <c r="E1087" i="5"/>
  <c r="T1087" i="5" l="1"/>
  <c r="P1087" i="5"/>
  <c r="S1088" i="5"/>
  <c r="R1088" i="5"/>
  <c r="Q1088" i="5" s="1"/>
  <c r="B1088" i="5"/>
  <c r="A1089" i="5"/>
  <c r="U1086" i="5"/>
  <c r="F1087" i="5"/>
  <c r="K1088" i="5"/>
  <c r="D1088" i="5"/>
  <c r="O1088" i="5"/>
  <c r="I1088" i="5"/>
  <c r="M1088" i="5"/>
  <c r="L1088" i="5"/>
  <c r="G1088" i="5"/>
  <c r="H1088" i="5"/>
  <c r="E1088" i="5"/>
  <c r="N1088" i="5"/>
  <c r="J1088" i="5"/>
  <c r="C1088" i="5"/>
  <c r="T1088" i="5" l="1"/>
  <c r="P1088" i="5"/>
  <c r="S1089" i="5"/>
  <c r="B1089" i="5"/>
  <c r="A1090" i="5"/>
  <c r="R1089" i="5"/>
  <c r="Q1089" i="5" s="1"/>
  <c r="U1087" i="5"/>
  <c r="F1088" i="5"/>
  <c r="K1089" i="5"/>
  <c r="H1089" i="5"/>
  <c r="I1089" i="5"/>
  <c r="D1089" i="5"/>
  <c r="J1089" i="5"/>
  <c r="G1089" i="5"/>
  <c r="C1089" i="5"/>
  <c r="N1089" i="5"/>
  <c r="E1089" i="5"/>
  <c r="M1089" i="5"/>
  <c r="L1089" i="5"/>
  <c r="O1089" i="5"/>
  <c r="T1089" i="5" l="1"/>
  <c r="P1089" i="5"/>
  <c r="S1090" i="5"/>
  <c r="R1090" i="5"/>
  <c r="Q1090" i="5" s="1"/>
  <c r="A1091" i="5"/>
  <c r="B1090" i="5"/>
  <c r="U1088" i="5"/>
  <c r="F1089" i="5"/>
  <c r="C1090" i="5"/>
  <c r="M1090" i="5"/>
  <c r="E1090" i="5"/>
  <c r="H1090" i="5"/>
  <c r="G1090" i="5"/>
  <c r="K1090" i="5"/>
  <c r="L1090" i="5"/>
  <c r="N1090" i="5"/>
  <c r="O1090" i="5"/>
  <c r="I1090" i="5"/>
  <c r="D1090" i="5"/>
  <c r="J1090" i="5"/>
  <c r="T1090" i="5" l="1"/>
  <c r="P1090" i="5"/>
  <c r="S1091" i="5"/>
  <c r="R1091" i="5"/>
  <c r="Q1091" i="5" s="1"/>
  <c r="B1091" i="5"/>
  <c r="A1092" i="5"/>
  <c r="U1089" i="5"/>
  <c r="F1090" i="5"/>
  <c r="K1091" i="5"/>
  <c r="O1091" i="5"/>
  <c r="C1091" i="5"/>
  <c r="L1091" i="5"/>
  <c r="G1091" i="5"/>
  <c r="M1091" i="5"/>
  <c r="I1091" i="5"/>
  <c r="D1091" i="5"/>
  <c r="N1091" i="5"/>
  <c r="J1091" i="5"/>
  <c r="H1091" i="5"/>
  <c r="E1091" i="5"/>
  <c r="T1091" i="5" l="1"/>
  <c r="P1091" i="5"/>
  <c r="S1092" i="5"/>
  <c r="B1092" i="5"/>
  <c r="R1092" i="5"/>
  <c r="Q1092" i="5" s="1"/>
  <c r="A1093" i="5"/>
  <c r="U1090" i="5"/>
  <c r="F1091" i="5"/>
  <c r="E1092" i="5"/>
  <c r="C1092" i="5"/>
  <c r="M1092" i="5"/>
  <c r="J1092" i="5"/>
  <c r="K1092" i="5"/>
  <c r="H1092" i="5"/>
  <c r="N1092" i="5"/>
  <c r="L1092" i="5"/>
  <c r="G1092" i="5"/>
  <c r="O1092" i="5"/>
  <c r="D1092" i="5"/>
  <c r="I1092" i="5"/>
  <c r="T1092" i="5" l="1"/>
  <c r="P1092" i="5"/>
  <c r="S1093" i="5"/>
  <c r="A1094" i="5"/>
  <c r="B1093" i="5"/>
  <c r="R1093" i="5"/>
  <c r="Q1093" i="5" s="1"/>
  <c r="U1091" i="5"/>
  <c r="F1092" i="5"/>
  <c r="E1093" i="5"/>
  <c r="H1093" i="5"/>
  <c r="J1093" i="5"/>
  <c r="C1093" i="5"/>
  <c r="M1093" i="5"/>
  <c r="D1093" i="5"/>
  <c r="O1093" i="5"/>
  <c r="I1093" i="5"/>
  <c r="N1093" i="5"/>
  <c r="G1093" i="5"/>
  <c r="K1093" i="5"/>
  <c r="L1093" i="5"/>
  <c r="T1093" i="5" l="1"/>
  <c r="P1093" i="5"/>
  <c r="S1094" i="5"/>
  <c r="B1094" i="5"/>
  <c r="A1095" i="5"/>
  <c r="R1094" i="5"/>
  <c r="Q1094" i="5" s="1"/>
  <c r="U1092" i="5"/>
  <c r="F1093" i="5"/>
  <c r="L1094" i="5"/>
  <c r="N1094" i="5"/>
  <c r="K1094" i="5"/>
  <c r="J1094" i="5"/>
  <c r="E1094" i="5"/>
  <c r="I1094" i="5"/>
  <c r="D1094" i="5"/>
  <c r="M1094" i="5"/>
  <c r="G1094" i="5"/>
  <c r="H1094" i="5"/>
  <c r="C1094" i="5"/>
  <c r="O1094" i="5"/>
  <c r="T1094" i="5" l="1"/>
  <c r="P1094" i="5"/>
  <c r="S1095" i="5"/>
  <c r="A1096" i="5"/>
  <c r="R1095" i="5"/>
  <c r="Q1095" i="5" s="1"/>
  <c r="B1095" i="5"/>
  <c r="U1093" i="5"/>
  <c r="F1094" i="5"/>
  <c r="I1095" i="5"/>
  <c r="L1095" i="5"/>
  <c r="G1095" i="5"/>
  <c r="J1095" i="5"/>
  <c r="O1095" i="5"/>
  <c r="C1095" i="5"/>
  <c r="D1095" i="5"/>
  <c r="E1095" i="5"/>
  <c r="K1095" i="5"/>
  <c r="M1095" i="5"/>
  <c r="H1095" i="5"/>
  <c r="N1095" i="5"/>
  <c r="T1095" i="5" l="1"/>
  <c r="P1095" i="5"/>
  <c r="S1096" i="5"/>
  <c r="A1097" i="5"/>
  <c r="R1096" i="5"/>
  <c r="Q1096" i="5" s="1"/>
  <c r="B1096" i="5"/>
  <c r="U1094" i="5"/>
  <c r="F1095" i="5"/>
  <c r="H1096" i="5"/>
  <c r="I1096" i="5"/>
  <c r="G1096" i="5"/>
  <c r="O1096" i="5"/>
  <c r="D1096" i="5"/>
  <c r="J1096" i="5"/>
  <c r="C1096" i="5"/>
  <c r="M1096" i="5"/>
  <c r="E1096" i="5"/>
  <c r="N1096" i="5"/>
  <c r="L1096" i="5"/>
  <c r="K1096" i="5"/>
  <c r="T1096" i="5" l="1"/>
  <c r="P1096" i="5"/>
  <c r="S1097" i="5"/>
  <c r="R1097" i="5"/>
  <c r="Q1097" i="5" s="1"/>
  <c r="B1097" i="5"/>
  <c r="A1098" i="5"/>
  <c r="U1095" i="5"/>
  <c r="F1096" i="5"/>
  <c r="G1097" i="5"/>
  <c r="J1097" i="5"/>
  <c r="D1097" i="5"/>
  <c r="H1097" i="5"/>
  <c r="O1097" i="5"/>
  <c r="I1097" i="5"/>
  <c r="C1097" i="5"/>
  <c r="N1097" i="5"/>
  <c r="L1097" i="5"/>
  <c r="E1097" i="5"/>
  <c r="K1097" i="5"/>
  <c r="M1097" i="5"/>
  <c r="T1097" i="5" l="1"/>
  <c r="P1097" i="5"/>
  <c r="S1098" i="5"/>
  <c r="B1098" i="5"/>
  <c r="A1099" i="5"/>
  <c r="R1098" i="5"/>
  <c r="Q1098" i="5" s="1"/>
  <c r="U1096" i="5"/>
  <c r="F1097" i="5"/>
  <c r="C1098" i="5"/>
  <c r="N1098" i="5"/>
  <c r="E1098" i="5"/>
  <c r="J1098" i="5"/>
  <c r="H1098" i="5"/>
  <c r="G1098" i="5"/>
  <c r="L1098" i="5"/>
  <c r="O1098" i="5"/>
  <c r="K1098" i="5"/>
  <c r="M1098" i="5"/>
  <c r="I1098" i="5"/>
  <c r="D1098" i="5"/>
  <c r="T1098" i="5" l="1"/>
  <c r="P1098" i="5"/>
  <c r="S1099" i="5"/>
  <c r="B1099" i="5"/>
  <c r="A1100" i="5"/>
  <c r="R1099" i="5"/>
  <c r="Q1099" i="5" s="1"/>
  <c r="U1097" i="5"/>
  <c r="F1098" i="5"/>
  <c r="M1099" i="5"/>
  <c r="H1099" i="5"/>
  <c r="J1099" i="5"/>
  <c r="G1099" i="5"/>
  <c r="C1099" i="5"/>
  <c r="L1099" i="5"/>
  <c r="O1099" i="5"/>
  <c r="I1099" i="5"/>
  <c r="D1099" i="5"/>
  <c r="N1099" i="5"/>
  <c r="E1099" i="5"/>
  <c r="K1099" i="5"/>
  <c r="T1099" i="5" l="1"/>
  <c r="P1099" i="5"/>
  <c r="S1100" i="5"/>
  <c r="R1100" i="5"/>
  <c r="Q1100" i="5" s="1"/>
  <c r="B1100" i="5"/>
  <c r="A1101" i="5"/>
  <c r="U1098" i="5"/>
  <c r="F1099" i="5"/>
  <c r="G1100" i="5"/>
  <c r="D1100" i="5"/>
  <c r="L1100" i="5"/>
  <c r="E1100" i="5"/>
  <c r="N1100" i="5"/>
  <c r="M1100" i="5"/>
  <c r="O1100" i="5"/>
  <c r="H1100" i="5"/>
  <c r="K1100" i="5"/>
  <c r="J1100" i="5"/>
  <c r="I1100" i="5"/>
  <c r="C1100" i="5"/>
  <c r="T1100" i="5" l="1"/>
  <c r="P1100" i="5"/>
  <c r="S1101" i="5"/>
  <c r="A1102" i="5"/>
  <c r="R1101" i="5"/>
  <c r="Q1101" i="5" s="1"/>
  <c r="B1101" i="5"/>
  <c r="U1099" i="5"/>
  <c r="F1100" i="5"/>
  <c r="C1101" i="5"/>
  <c r="K1101" i="5"/>
  <c r="J1101" i="5"/>
  <c r="E1101" i="5"/>
  <c r="M1101" i="5"/>
  <c r="H1101" i="5"/>
  <c r="I1101" i="5"/>
  <c r="L1101" i="5"/>
  <c r="N1101" i="5"/>
  <c r="D1101" i="5"/>
  <c r="G1101" i="5"/>
  <c r="O1101" i="5"/>
  <c r="T1101" i="5" l="1"/>
  <c r="P1101" i="5"/>
  <c r="S1102" i="5"/>
  <c r="A1103" i="5"/>
  <c r="R1102" i="5"/>
  <c r="Q1102" i="5" s="1"/>
  <c r="B1102" i="5"/>
  <c r="U1100" i="5"/>
  <c r="F1101" i="5"/>
  <c r="O1102" i="5"/>
  <c r="D1102" i="5"/>
  <c r="L1102" i="5"/>
  <c r="M1102" i="5"/>
  <c r="H1102" i="5"/>
  <c r="I1102" i="5"/>
  <c r="G1102" i="5"/>
  <c r="N1102" i="5"/>
  <c r="K1102" i="5"/>
  <c r="E1102" i="5"/>
  <c r="J1102" i="5"/>
  <c r="C1102" i="5"/>
  <c r="T1102" i="5" l="1"/>
  <c r="P1102" i="5"/>
  <c r="S1103" i="5"/>
  <c r="A1104" i="5"/>
  <c r="R1103" i="5"/>
  <c r="Q1103" i="5" s="1"/>
  <c r="B1103" i="5"/>
  <c r="U1101" i="5"/>
  <c r="F1102" i="5"/>
  <c r="I1103" i="5"/>
  <c r="H1103" i="5"/>
  <c r="M1103" i="5"/>
  <c r="K1103" i="5"/>
  <c r="O1103" i="5"/>
  <c r="N1103" i="5"/>
  <c r="C1103" i="5"/>
  <c r="G1103" i="5"/>
  <c r="D1103" i="5"/>
  <c r="J1103" i="5"/>
  <c r="L1103" i="5"/>
  <c r="E1103" i="5"/>
  <c r="T1103" i="5" l="1"/>
  <c r="P1103" i="5"/>
  <c r="S1104" i="5"/>
  <c r="A1105" i="5"/>
  <c r="R1104" i="5"/>
  <c r="Q1104" i="5" s="1"/>
  <c r="B1104" i="5"/>
  <c r="U1102" i="5"/>
  <c r="F1103" i="5"/>
  <c r="C1104" i="5"/>
  <c r="M1104" i="5"/>
  <c r="E1104" i="5"/>
  <c r="O1104" i="5"/>
  <c r="K1104" i="5"/>
  <c r="D1104" i="5"/>
  <c r="I1104" i="5"/>
  <c r="J1104" i="5"/>
  <c r="L1104" i="5"/>
  <c r="N1104" i="5"/>
  <c r="H1104" i="5"/>
  <c r="G1104" i="5"/>
  <c r="T1104" i="5" l="1"/>
  <c r="P1104" i="5"/>
  <c r="S1105" i="5"/>
  <c r="B1105" i="5"/>
  <c r="A1106" i="5"/>
  <c r="R1105" i="5"/>
  <c r="Q1105" i="5" s="1"/>
  <c r="U1103" i="5"/>
  <c r="F1104" i="5"/>
  <c r="D1105" i="5"/>
  <c r="J1105" i="5"/>
  <c r="H1105" i="5"/>
  <c r="K1105" i="5"/>
  <c r="E1105" i="5"/>
  <c r="M1105" i="5"/>
  <c r="O1105" i="5"/>
  <c r="N1105" i="5"/>
  <c r="G1105" i="5"/>
  <c r="L1105" i="5"/>
  <c r="C1105" i="5"/>
  <c r="I1105" i="5"/>
  <c r="T1105" i="5" l="1"/>
  <c r="P1105" i="5"/>
  <c r="S1106" i="5"/>
  <c r="A1107" i="5"/>
  <c r="B1106" i="5"/>
  <c r="R1106" i="5"/>
  <c r="Q1106" i="5" s="1"/>
  <c r="U1104" i="5"/>
  <c r="F1105" i="5"/>
  <c r="G1106" i="5"/>
  <c r="E1106" i="5"/>
  <c r="M1106" i="5"/>
  <c r="N1106" i="5"/>
  <c r="C1106" i="5"/>
  <c r="K1106" i="5"/>
  <c r="L1106" i="5"/>
  <c r="I1106" i="5"/>
  <c r="O1106" i="5"/>
  <c r="J1106" i="5"/>
  <c r="D1106" i="5"/>
  <c r="H1106" i="5"/>
  <c r="T1106" i="5" l="1"/>
  <c r="P1106" i="5"/>
  <c r="S1107" i="5"/>
  <c r="B1107" i="5"/>
  <c r="A1108" i="5"/>
  <c r="R1107" i="5"/>
  <c r="Q1107" i="5" s="1"/>
  <c r="U1105" i="5"/>
  <c r="F1106" i="5"/>
  <c r="G1107" i="5"/>
  <c r="J1107" i="5"/>
  <c r="O1107" i="5"/>
  <c r="L1107" i="5"/>
  <c r="K1107" i="5"/>
  <c r="N1107" i="5"/>
  <c r="E1107" i="5"/>
  <c r="I1107" i="5"/>
  <c r="H1107" i="5"/>
  <c r="D1107" i="5"/>
  <c r="M1107" i="5"/>
  <c r="C1107" i="5"/>
  <c r="T1107" i="5" l="1"/>
  <c r="P1107" i="5"/>
  <c r="S1108" i="5"/>
  <c r="A1109" i="5"/>
  <c r="R1108" i="5"/>
  <c r="Q1108" i="5" s="1"/>
  <c r="B1108" i="5"/>
  <c r="U1106" i="5"/>
  <c r="F1107" i="5"/>
  <c r="M1108" i="5"/>
  <c r="E1108" i="5"/>
  <c r="N1108" i="5"/>
  <c r="J1108" i="5"/>
  <c r="C1108" i="5"/>
  <c r="O1108" i="5"/>
  <c r="K1108" i="5"/>
  <c r="H1108" i="5"/>
  <c r="G1108" i="5"/>
  <c r="D1108" i="5"/>
  <c r="L1108" i="5"/>
  <c r="I1108" i="5"/>
  <c r="T1108" i="5" l="1"/>
  <c r="P1108" i="5"/>
  <c r="S1109" i="5"/>
  <c r="A1110" i="5"/>
  <c r="R1109" i="5"/>
  <c r="Q1109" i="5" s="1"/>
  <c r="B1109" i="5"/>
  <c r="U1107" i="5"/>
  <c r="F1108" i="5"/>
  <c r="L1109" i="5"/>
  <c r="O1109" i="5"/>
  <c r="H1109" i="5"/>
  <c r="K1109" i="5"/>
  <c r="G1109" i="5"/>
  <c r="N1109" i="5"/>
  <c r="D1109" i="5"/>
  <c r="J1109" i="5"/>
  <c r="E1109" i="5"/>
  <c r="I1109" i="5"/>
  <c r="C1109" i="5"/>
  <c r="M1109" i="5"/>
  <c r="T1109" i="5" l="1"/>
  <c r="P1109" i="5"/>
  <c r="S1110" i="5"/>
  <c r="R1110" i="5"/>
  <c r="Q1110" i="5" s="1"/>
  <c r="B1110" i="5"/>
  <c r="A1111" i="5"/>
  <c r="U1108" i="5"/>
  <c r="F1109" i="5"/>
  <c r="I1110" i="5"/>
  <c r="C1110" i="5"/>
  <c r="K1110" i="5"/>
  <c r="J1110" i="5"/>
  <c r="N1110" i="5"/>
  <c r="E1110" i="5"/>
  <c r="M1110" i="5"/>
  <c r="O1110" i="5"/>
  <c r="D1110" i="5"/>
  <c r="G1110" i="5"/>
  <c r="H1110" i="5"/>
  <c r="L1110" i="5"/>
  <c r="T1110" i="5" l="1"/>
  <c r="P1110" i="5"/>
  <c r="S1111" i="5"/>
  <c r="B1111" i="5"/>
  <c r="A1112" i="5"/>
  <c r="R1111" i="5"/>
  <c r="Q1111" i="5" s="1"/>
  <c r="U1109" i="5"/>
  <c r="F1110" i="5"/>
  <c r="K1111" i="5"/>
  <c r="L1111" i="5"/>
  <c r="J1111" i="5"/>
  <c r="H1111" i="5"/>
  <c r="N1111" i="5"/>
  <c r="I1111" i="5"/>
  <c r="G1111" i="5"/>
  <c r="C1111" i="5"/>
  <c r="D1111" i="5"/>
  <c r="E1111" i="5"/>
  <c r="M1111" i="5"/>
  <c r="O1111" i="5"/>
  <c r="T1111" i="5" l="1"/>
  <c r="P1111" i="5"/>
  <c r="S1112" i="5"/>
  <c r="A1113" i="5"/>
  <c r="R1112" i="5"/>
  <c r="Q1112" i="5" s="1"/>
  <c r="B1112" i="5"/>
  <c r="U1110" i="5"/>
  <c r="F1111" i="5"/>
  <c r="C1112" i="5"/>
  <c r="L1112" i="5"/>
  <c r="M1112" i="5"/>
  <c r="D1112" i="5"/>
  <c r="G1112" i="5"/>
  <c r="K1112" i="5"/>
  <c r="E1112" i="5"/>
  <c r="O1112" i="5"/>
  <c r="H1112" i="5"/>
  <c r="I1112" i="5"/>
  <c r="J1112" i="5"/>
  <c r="N1112" i="5"/>
  <c r="T1112" i="5" l="1"/>
  <c r="P1112" i="5"/>
  <c r="S1113" i="5"/>
  <c r="A1114" i="5"/>
  <c r="B1113" i="5"/>
  <c r="R1113" i="5"/>
  <c r="Q1113" i="5" s="1"/>
  <c r="U1111" i="5"/>
  <c r="F1112" i="5"/>
  <c r="C1113" i="5"/>
  <c r="D1113" i="5"/>
  <c r="G1113" i="5"/>
  <c r="K1113" i="5"/>
  <c r="N1113" i="5"/>
  <c r="I1113" i="5"/>
  <c r="H1113" i="5"/>
  <c r="O1113" i="5"/>
  <c r="J1113" i="5"/>
  <c r="E1113" i="5"/>
  <c r="L1113" i="5"/>
  <c r="M1113" i="5"/>
  <c r="T1113" i="5" l="1"/>
  <c r="P1113" i="5"/>
  <c r="S1114" i="5"/>
  <c r="A1115" i="5"/>
  <c r="B1114" i="5"/>
  <c r="R1114" i="5"/>
  <c r="Q1114" i="5" s="1"/>
  <c r="U1112" i="5"/>
  <c r="F1113" i="5"/>
  <c r="K1114" i="5"/>
  <c r="H1114" i="5"/>
  <c r="G1114" i="5"/>
  <c r="M1114" i="5"/>
  <c r="E1114" i="5"/>
  <c r="O1114" i="5"/>
  <c r="N1114" i="5"/>
  <c r="D1114" i="5"/>
  <c r="I1114" i="5"/>
  <c r="J1114" i="5"/>
  <c r="L1114" i="5"/>
  <c r="C1114" i="5"/>
  <c r="T1114" i="5" l="1"/>
  <c r="P1114" i="5"/>
  <c r="S1115" i="5"/>
  <c r="A1116" i="5"/>
  <c r="B1115" i="5"/>
  <c r="R1115" i="5"/>
  <c r="Q1115" i="5" s="1"/>
  <c r="U1113" i="5"/>
  <c r="F1114" i="5"/>
  <c r="O1115" i="5"/>
  <c r="E1115" i="5"/>
  <c r="L1115" i="5"/>
  <c r="D1115" i="5"/>
  <c r="M1115" i="5"/>
  <c r="H1115" i="5"/>
  <c r="C1115" i="5"/>
  <c r="G1115" i="5"/>
  <c r="J1115" i="5"/>
  <c r="K1115" i="5"/>
  <c r="I1115" i="5"/>
  <c r="N1115" i="5"/>
  <c r="T1115" i="5" l="1"/>
  <c r="P1115" i="5"/>
  <c r="S1116" i="5"/>
  <c r="R1116" i="5"/>
  <c r="Q1116" i="5" s="1"/>
  <c r="B1116" i="5"/>
  <c r="A1117" i="5"/>
  <c r="U1114" i="5"/>
  <c r="F1115" i="5"/>
  <c r="I1116" i="5"/>
  <c r="K1116" i="5"/>
  <c r="J1116" i="5"/>
  <c r="L1116" i="5"/>
  <c r="C1116" i="5"/>
  <c r="M1116" i="5"/>
  <c r="N1116" i="5"/>
  <c r="H1116" i="5"/>
  <c r="O1116" i="5"/>
  <c r="E1116" i="5"/>
  <c r="D1116" i="5"/>
  <c r="G1116" i="5"/>
  <c r="T1116" i="5" l="1"/>
  <c r="P1116" i="5"/>
  <c r="S1117" i="5"/>
  <c r="R1117" i="5"/>
  <c r="Q1117" i="5" s="1"/>
  <c r="B1117" i="5"/>
  <c r="A1118" i="5"/>
  <c r="U1115" i="5"/>
  <c r="F1116" i="5"/>
  <c r="E1117" i="5"/>
  <c r="J1117" i="5"/>
  <c r="N1117" i="5"/>
  <c r="D1117" i="5"/>
  <c r="O1117" i="5"/>
  <c r="M1117" i="5"/>
  <c r="L1117" i="5"/>
  <c r="I1117" i="5"/>
  <c r="C1117" i="5"/>
  <c r="G1117" i="5"/>
  <c r="H1117" i="5"/>
  <c r="K1117" i="5"/>
  <c r="P1117" i="5" l="1"/>
  <c r="T1117" i="5"/>
  <c r="S1118" i="5"/>
  <c r="B1118" i="5"/>
  <c r="A1119" i="5"/>
  <c r="R1118" i="5"/>
  <c r="Q1118" i="5" s="1"/>
  <c r="U1116" i="5"/>
  <c r="F1117" i="5"/>
  <c r="K1118" i="5"/>
  <c r="C1118" i="5"/>
  <c r="G1118" i="5"/>
  <c r="O1118" i="5"/>
  <c r="D1118" i="5"/>
  <c r="L1118" i="5"/>
  <c r="I1118" i="5"/>
  <c r="E1118" i="5"/>
  <c r="J1118" i="5"/>
  <c r="M1118" i="5"/>
  <c r="H1118" i="5"/>
  <c r="N1118" i="5"/>
  <c r="T1118" i="5" l="1"/>
  <c r="P1118" i="5"/>
  <c r="S1119" i="5"/>
  <c r="B1119" i="5"/>
  <c r="A1120" i="5"/>
  <c r="R1119" i="5"/>
  <c r="Q1119" i="5" s="1"/>
  <c r="U1117" i="5"/>
  <c r="F1118" i="5"/>
  <c r="L1119" i="5"/>
  <c r="N1119" i="5"/>
  <c r="O1119" i="5"/>
  <c r="G1119" i="5"/>
  <c r="K1119" i="5"/>
  <c r="M1119" i="5"/>
  <c r="E1119" i="5"/>
  <c r="H1119" i="5"/>
  <c r="D1119" i="5"/>
  <c r="J1119" i="5"/>
  <c r="C1119" i="5"/>
  <c r="I1119" i="5"/>
  <c r="T1119" i="5" l="1"/>
  <c r="P1119" i="5"/>
  <c r="S1120" i="5"/>
  <c r="B1120" i="5"/>
  <c r="A1121" i="5"/>
  <c r="R1120" i="5"/>
  <c r="Q1120" i="5" s="1"/>
  <c r="U1118" i="5"/>
  <c r="F1119" i="5"/>
  <c r="J1120" i="5"/>
  <c r="C1120" i="5"/>
  <c r="N1120" i="5"/>
  <c r="L1120" i="5"/>
  <c r="I1120" i="5"/>
  <c r="O1120" i="5"/>
  <c r="D1120" i="5"/>
  <c r="H1120" i="5"/>
  <c r="E1120" i="5"/>
  <c r="M1120" i="5"/>
  <c r="G1120" i="5"/>
  <c r="K1120" i="5"/>
  <c r="T1120" i="5" l="1"/>
  <c r="P1120" i="5"/>
  <c r="S1121" i="5"/>
  <c r="B1121" i="5"/>
  <c r="A1122" i="5"/>
  <c r="R1121" i="5"/>
  <c r="Q1121" i="5" s="1"/>
  <c r="U1119" i="5"/>
  <c r="F1120" i="5"/>
  <c r="N1121" i="5"/>
  <c r="O1121" i="5"/>
  <c r="C1121" i="5"/>
  <c r="M1121" i="5"/>
  <c r="D1121" i="5"/>
  <c r="J1121" i="5"/>
  <c r="L1121" i="5"/>
  <c r="E1121" i="5"/>
  <c r="K1121" i="5"/>
  <c r="I1121" i="5"/>
  <c r="G1121" i="5"/>
  <c r="H1121" i="5"/>
  <c r="T1121" i="5" l="1"/>
  <c r="P1121" i="5"/>
  <c r="S1122" i="5"/>
  <c r="A1123" i="5"/>
  <c r="B1122" i="5"/>
  <c r="R1122" i="5"/>
  <c r="Q1122" i="5" s="1"/>
  <c r="U1120" i="5"/>
  <c r="F1121" i="5"/>
  <c r="G1122" i="5"/>
  <c r="L1122" i="5"/>
  <c r="O1122" i="5"/>
  <c r="E1122" i="5"/>
  <c r="H1122" i="5"/>
  <c r="J1122" i="5"/>
  <c r="C1122" i="5"/>
  <c r="I1122" i="5"/>
  <c r="M1122" i="5"/>
  <c r="N1122" i="5"/>
  <c r="D1122" i="5"/>
  <c r="K1122" i="5"/>
  <c r="T1122" i="5" l="1"/>
  <c r="P1122" i="5"/>
  <c r="S1123" i="5"/>
  <c r="A1124" i="5"/>
  <c r="R1123" i="5"/>
  <c r="Q1123" i="5" s="1"/>
  <c r="B1123" i="5"/>
  <c r="U1121" i="5"/>
  <c r="F1122" i="5"/>
  <c r="E1123" i="5"/>
  <c r="I1123" i="5"/>
  <c r="K1123" i="5"/>
  <c r="D1123" i="5"/>
  <c r="G1123" i="5"/>
  <c r="M1123" i="5"/>
  <c r="O1123" i="5"/>
  <c r="J1123" i="5"/>
  <c r="C1123" i="5"/>
  <c r="L1123" i="5"/>
  <c r="H1123" i="5"/>
  <c r="N1123" i="5"/>
  <c r="T1123" i="5" l="1"/>
  <c r="P1123" i="5"/>
  <c r="S1124" i="5"/>
  <c r="A1125" i="5"/>
  <c r="B1124" i="5"/>
  <c r="R1124" i="5"/>
  <c r="Q1124" i="5" s="1"/>
  <c r="U1122" i="5"/>
  <c r="F1123" i="5"/>
  <c r="O1124" i="5"/>
  <c r="D1124" i="5"/>
  <c r="M1124" i="5"/>
  <c r="I1124" i="5"/>
  <c r="H1124" i="5"/>
  <c r="E1124" i="5"/>
  <c r="K1124" i="5"/>
  <c r="N1124" i="5"/>
  <c r="G1124" i="5"/>
  <c r="L1124" i="5"/>
  <c r="J1124" i="5"/>
  <c r="C1124" i="5"/>
  <c r="T1124" i="5" l="1"/>
  <c r="P1124" i="5"/>
  <c r="S1125" i="5"/>
  <c r="A1126" i="5"/>
  <c r="R1125" i="5"/>
  <c r="Q1125" i="5" s="1"/>
  <c r="B1125" i="5"/>
  <c r="U1123" i="5"/>
  <c r="F1124" i="5"/>
  <c r="D1125" i="5"/>
  <c r="G1125" i="5"/>
  <c r="M1125" i="5"/>
  <c r="O1125" i="5"/>
  <c r="K1125" i="5"/>
  <c r="N1125" i="5"/>
  <c r="E1125" i="5"/>
  <c r="I1125" i="5"/>
  <c r="C1125" i="5"/>
  <c r="J1125" i="5"/>
  <c r="H1125" i="5"/>
  <c r="L1125" i="5"/>
  <c r="T1125" i="5" l="1"/>
  <c r="P1125" i="5"/>
  <c r="S1126" i="5"/>
  <c r="A1127" i="5"/>
  <c r="B1126" i="5"/>
  <c r="R1126" i="5"/>
  <c r="Q1126" i="5" s="1"/>
  <c r="U1124" i="5"/>
  <c r="F1125" i="5"/>
  <c r="G1126" i="5"/>
  <c r="J1126" i="5"/>
  <c r="E1126" i="5"/>
  <c r="D1126" i="5"/>
  <c r="O1126" i="5"/>
  <c r="L1126" i="5"/>
  <c r="H1126" i="5"/>
  <c r="M1126" i="5"/>
  <c r="N1126" i="5"/>
  <c r="C1126" i="5"/>
  <c r="I1126" i="5"/>
  <c r="K1126" i="5"/>
  <c r="T1126" i="5" l="1"/>
  <c r="P1126" i="5"/>
  <c r="S1127" i="5"/>
  <c r="R1127" i="5"/>
  <c r="Q1127" i="5" s="1"/>
  <c r="B1127" i="5"/>
  <c r="A1128" i="5"/>
  <c r="U1125" i="5"/>
  <c r="F1126" i="5"/>
  <c r="C1127" i="5"/>
  <c r="I1127" i="5"/>
  <c r="D1127" i="5"/>
  <c r="E1127" i="5"/>
  <c r="G1127" i="5"/>
  <c r="L1127" i="5"/>
  <c r="M1127" i="5"/>
  <c r="N1127" i="5"/>
  <c r="K1127" i="5"/>
  <c r="J1127" i="5"/>
  <c r="O1127" i="5"/>
  <c r="H1127" i="5"/>
  <c r="T1127" i="5" l="1"/>
  <c r="P1127" i="5"/>
  <c r="S1128" i="5"/>
  <c r="B1128" i="5"/>
  <c r="A1129" i="5"/>
  <c r="R1128" i="5"/>
  <c r="Q1128" i="5" s="1"/>
  <c r="U1126" i="5"/>
  <c r="F1127" i="5"/>
  <c r="K1128" i="5"/>
  <c r="M1128" i="5"/>
  <c r="G1128" i="5"/>
  <c r="J1128" i="5"/>
  <c r="D1128" i="5"/>
  <c r="I1128" i="5"/>
  <c r="L1128" i="5"/>
  <c r="E1128" i="5"/>
  <c r="N1128" i="5"/>
  <c r="C1128" i="5"/>
  <c r="H1128" i="5"/>
  <c r="O1128" i="5"/>
  <c r="T1128" i="5" l="1"/>
  <c r="P1128" i="5"/>
  <c r="U1128" i="5" s="1"/>
  <c r="S1129" i="5"/>
  <c r="R1129" i="5"/>
  <c r="Q1129" i="5" s="1"/>
  <c r="B1129" i="5"/>
  <c r="A1130" i="5"/>
  <c r="U1127" i="5"/>
  <c r="G1129" i="5"/>
  <c r="N1129" i="5"/>
  <c r="D1129" i="5"/>
  <c r="M1129" i="5"/>
  <c r="I1129" i="5"/>
  <c r="H1129" i="5"/>
  <c r="O1129" i="5"/>
  <c r="L1129" i="5"/>
  <c r="K1129" i="5"/>
  <c r="C1129" i="5"/>
  <c r="J1129" i="5"/>
  <c r="E1129" i="5"/>
  <c r="F1128" i="5"/>
  <c r="T1129" i="5" l="1"/>
  <c r="P1129" i="5"/>
  <c r="U1129" i="5" s="1"/>
  <c r="S1130" i="5"/>
  <c r="B1130" i="5"/>
  <c r="A1131" i="5"/>
  <c r="R1130" i="5"/>
  <c r="Q1130" i="5" s="1"/>
  <c r="N1130" i="5"/>
  <c r="G1130" i="5"/>
  <c r="K1130" i="5"/>
  <c r="D1130" i="5"/>
  <c r="H1130" i="5"/>
  <c r="I1130" i="5"/>
  <c r="C1130" i="5"/>
  <c r="O1130" i="5"/>
  <c r="L1130" i="5"/>
  <c r="M1130" i="5"/>
  <c r="E1130" i="5"/>
  <c r="J1130" i="5"/>
  <c r="F1129" i="5"/>
  <c r="T1130" i="5" l="1"/>
  <c r="P1130" i="5"/>
  <c r="S1131" i="5"/>
  <c r="B1131" i="5"/>
  <c r="A1132" i="5"/>
  <c r="R1131" i="5"/>
  <c r="Q1131" i="5" s="1"/>
  <c r="F1130" i="5"/>
  <c r="J1131" i="5"/>
  <c r="M1131" i="5"/>
  <c r="O1131" i="5"/>
  <c r="C1131" i="5"/>
  <c r="D1131" i="5"/>
  <c r="H1131" i="5"/>
  <c r="L1131" i="5"/>
  <c r="G1131" i="5"/>
  <c r="K1131" i="5"/>
  <c r="I1131" i="5"/>
  <c r="N1131" i="5"/>
  <c r="E1131" i="5"/>
  <c r="T1131" i="5" l="1"/>
  <c r="P1131" i="5"/>
  <c r="S1132" i="5"/>
  <c r="A1133" i="5"/>
  <c r="B1132" i="5"/>
  <c r="R1132" i="5"/>
  <c r="Q1132" i="5" s="1"/>
  <c r="U1130" i="5"/>
  <c r="F1131" i="5"/>
  <c r="G1132" i="5"/>
  <c r="O1132" i="5"/>
  <c r="I1132" i="5"/>
  <c r="C1132" i="5"/>
  <c r="D1132" i="5"/>
  <c r="H1132" i="5"/>
  <c r="N1132" i="5"/>
  <c r="J1132" i="5"/>
  <c r="L1132" i="5"/>
  <c r="M1132" i="5"/>
  <c r="K1132" i="5"/>
  <c r="E1132" i="5"/>
  <c r="T1132" i="5" l="1"/>
  <c r="P1132" i="5"/>
  <c r="S1133" i="5"/>
  <c r="R1133" i="5"/>
  <c r="Q1133" i="5" s="1"/>
  <c r="B1133" i="5"/>
  <c r="A1134" i="5"/>
  <c r="U1131" i="5"/>
  <c r="F1132" i="5"/>
  <c r="I1133" i="5"/>
  <c r="G1133" i="5"/>
  <c r="D1133" i="5"/>
  <c r="H1133" i="5"/>
  <c r="O1133" i="5"/>
  <c r="K1133" i="5"/>
  <c r="M1133" i="5"/>
  <c r="N1133" i="5"/>
  <c r="E1133" i="5"/>
  <c r="C1133" i="5"/>
  <c r="L1133" i="5"/>
  <c r="J1133" i="5"/>
  <c r="T1133" i="5" l="1"/>
  <c r="P1133" i="5"/>
  <c r="S1134" i="5"/>
  <c r="R1134" i="5"/>
  <c r="Q1134" i="5" s="1"/>
  <c r="A1135" i="5"/>
  <c r="B1134" i="5"/>
  <c r="U1132" i="5"/>
  <c r="F1133" i="5"/>
  <c r="H1134" i="5"/>
  <c r="O1134" i="5"/>
  <c r="D1134" i="5"/>
  <c r="I1134" i="5"/>
  <c r="J1134" i="5"/>
  <c r="E1134" i="5"/>
  <c r="G1134" i="5"/>
  <c r="L1134" i="5"/>
  <c r="N1134" i="5"/>
  <c r="C1134" i="5"/>
  <c r="M1134" i="5"/>
  <c r="K1134" i="5"/>
  <c r="T1134" i="5" l="1"/>
  <c r="P1134" i="5"/>
  <c r="S1135" i="5"/>
  <c r="A1136" i="5"/>
  <c r="B1135" i="5"/>
  <c r="R1135" i="5"/>
  <c r="Q1135" i="5" s="1"/>
  <c r="U1133" i="5"/>
  <c r="F1134" i="5"/>
  <c r="D1135" i="5"/>
  <c r="L1135" i="5"/>
  <c r="I1135" i="5"/>
  <c r="K1135" i="5"/>
  <c r="H1135" i="5"/>
  <c r="E1135" i="5"/>
  <c r="J1135" i="5"/>
  <c r="O1135" i="5"/>
  <c r="G1135" i="5"/>
  <c r="C1135" i="5"/>
  <c r="N1135" i="5"/>
  <c r="M1135" i="5"/>
  <c r="T1135" i="5" l="1"/>
  <c r="P1135" i="5"/>
  <c r="S1136" i="5"/>
  <c r="A1137" i="5"/>
  <c r="R1136" i="5"/>
  <c r="Q1136" i="5" s="1"/>
  <c r="B1136" i="5"/>
  <c r="U1134" i="5"/>
  <c r="F1135" i="5"/>
  <c r="L1136" i="5"/>
  <c r="G1136" i="5"/>
  <c r="H1136" i="5"/>
  <c r="D1136" i="5"/>
  <c r="O1136" i="5"/>
  <c r="E1136" i="5"/>
  <c r="M1136" i="5"/>
  <c r="C1136" i="5"/>
  <c r="J1136" i="5"/>
  <c r="K1136" i="5"/>
  <c r="I1136" i="5"/>
  <c r="N1136" i="5"/>
  <c r="T1136" i="5" l="1"/>
  <c r="P1136" i="5"/>
  <c r="S1137" i="5"/>
  <c r="R1137" i="5"/>
  <c r="Q1137" i="5" s="1"/>
  <c r="B1137" i="5"/>
  <c r="A1138" i="5"/>
  <c r="U1135" i="5"/>
  <c r="F1136" i="5"/>
  <c r="O1137" i="5"/>
  <c r="C1137" i="5"/>
  <c r="I1137" i="5"/>
  <c r="D1137" i="5"/>
  <c r="E1137" i="5"/>
  <c r="M1137" i="5"/>
  <c r="K1137" i="5"/>
  <c r="N1137" i="5"/>
  <c r="J1137" i="5"/>
  <c r="L1137" i="5"/>
  <c r="G1137" i="5"/>
  <c r="H1137" i="5"/>
  <c r="T1137" i="5" l="1"/>
  <c r="P1137" i="5"/>
  <c r="S1138" i="5"/>
  <c r="A1139" i="5"/>
  <c r="B1138" i="5"/>
  <c r="R1138" i="5"/>
  <c r="Q1138" i="5" s="1"/>
  <c r="U1136" i="5"/>
  <c r="F1137" i="5"/>
  <c r="N1138" i="5"/>
  <c r="J1138" i="5"/>
  <c r="E1138" i="5"/>
  <c r="I1138" i="5"/>
  <c r="D1138" i="5"/>
  <c r="O1138" i="5"/>
  <c r="G1138" i="5"/>
  <c r="H1138" i="5"/>
  <c r="C1138" i="5"/>
  <c r="M1138" i="5"/>
  <c r="L1138" i="5"/>
  <c r="K1138" i="5"/>
  <c r="T1138" i="5" l="1"/>
  <c r="P1138" i="5"/>
  <c r="S1139" i="5"/>
  <c r="A1140" i="5"/>
  <c r="R1139" i="5"/>
  <c r="Q1139" i="5" s="1"/>
  <c r="B1139" i="5"/>
  <c r="U1137" i="5"/>
  <c r="F1138" i="5"/>
  <c r="N1139" i="5"/>
  <c r="J1139" i="5"/>
  <c r="H1139" i="5"/>
  <c r="E1139" i="5"/>
  <c r="I1139" i="5"/>
  <c r="M1139" i="5"/>
  <c r="K1139" i="5"/>
  <c r="C1139" i="5"/>
  <c r="L1139" i="5"/>
  <c r="D1139" i="5"/>
  <c r="G1139" i="5"/>
  <c r="O1139" i="5"/>
  <c r="T1139" i="5" l="1"/>
  <c r="P1139" i="5"/>
  <c r="S1140" i="5"/>
  <c r="R1140" i="5"/>
  <c r="Q1140" i="5" s="1"/>
  <c r="B1140" i="5"/>
  <c r="A1141" i="5"/>
  <c r="U1138" i="5"/>
  <c r="F1139" i="5"/>
  <c r="I1140" i="5"/>
  <c r="G1140" i="5"/>
  <c r="J1140" i="5"/>
  <c r="O1140" i="5"/>
  <c r="K1140" i="5"/>
  <c r="D1140" i="5"/>
  <c r="L1140" i="5"/>
  <c r="N1140" i="5"/>
  <c r="H1140" i="5"/>
  <c r="C1140" i="5"/>
  <c r="E1140" i="5"/>
  <c r="M1140" i="5"/>
  <c r="T1140" i="5" l="1"/>
  <c r="P1140" i="5"/>
  <c r="S1141" i="5"/>
  <c r="A1142" i="5"/>
  <c r="R1141" i="5"/>
  <c r="Q1141" i="5" s="1"/>
  <c r="B1141" i="5"/>
  <c r="U1139" i="5"/>
  <c r="F1140" i="5"/>
  <c r="I1141" i="5"/>
  <c r="C1141" i="5"/>
  <c r="H1141" i="5"/>
  <c r="E1141" i="5"/>
  <c r="N1141" i="5"/>
  <c r="O1141" i="5"/>
  <c r="G1141" i="5"/>
  <c r="L1141" i="5"/>
  <c r="D1141" i="5"/>
  <c r="J1141" i="5"/>
  <c r="M1141" i="5"/>
  <c r="K1141" i="5"/>
  <c r="T1141" i="5" l="1"/>
  <c r="P1141" i="5"/>
  <c r="S1142" i="5"/>
  <c r="R1142" i="5"/>
  <c r="Q1142" i="5" s="1"/>
  <c r="B1142" i="5"/>
  <c r="A1143" i="5"/>
  <c r="U1140" i="5"/>
  <c r="F1141" i="5"/>
  <c r="D1142" i="5"/>
  <c r="K1142" i="5"/>
  <c r="I1142" i="5"/>
  <c r="J1142" i="5"/>
  <c r="O1142" i="5"/>
  <c r="C1142" i="5"/>
  <c r="M1142" i="5"/>
  <c r="H1142" i="5"/>
  <c r="N1142" i="5"/>
  <c r="E1142" i="5"/>
  <c r="L1142" i="5"/>
  <c r="G1142" i="5"/>
  <c r="T1142" i="5" l="1"/>
  <c r="P1142" i="5"/>
  <c r="S1143" i="5"/>
  <c r="R1143" i="5"/>
  <c r="Q1143" i="5" s="1"/>
  <c r="B1143" i="5"/>
  <c r="A1144" i="5"/>
  <c r="U1141" i="5"/>
  <c r="F1142" i="5"/>
  <c r="M1143" i="5"/>
  <c r="L1143" i="5"/>
  <c r="O1143" i="5"/>
  <c r="E1143" i="5"/>
  <c r="D1143" i="5"/>
  <c r="N1143" i="5"/>
  <c r="C1143" i="5"/>
  <c r="I1143" i="5"/>
  <c r="G1143" i="5"/>
  <c r="K1143" i="5"/>
  <c r="J1143" i="5"/>
  <c r="H1143" i="5"/>
  <c r="T1143" i="5" l="1"/>
  <c r="P1143" i="5"/>
  <c r="S1144" i="5"/>
  <c r="B1144" i="5"/>
  <c r="A1145" i="5"/>
  <c r="R1144" i="5"/>
  <c r="Q1144" i="5" s="1"/>
  <c r="U1142" i="5"/>
  <c r="F1143" i="5"/>
  <c r="O1144" i="5"/>
  <c r="H1144" i="5"/>
  <c r="I1144" i="5"/>
  <c r="K1144" i="5"/>
  <c r="N1144" i="5"/>
  <c r="L1144" i="5"/>
  <c r="J1144" i="5"/>
  <c r="D1144" i="5"/>
  <c r="C1144" i="5"/>
  <c r="G1144" i="5"/>
  <c r="E1144" i="5"/>
  <c r="M1144" i="5"/>
  <c r="T1144" i="5" l="1"/>
  <c r="P1144" i="5"/>
  <c r="S1145" i="5"/>
  <c r="R1145" i="5"/>
  <c r="Q1145" i="5" s="1"/>
  <c r="B1145" i="5"/>
  <c r="A1146" i="5"/>
  <c r="U1143" i="5"/>
  <c r="F1144" i="5"/>
  <c r="I1145" i="5"/>
  <c r="M1145" i="5"/>
  <c r="O1145" i="5"/>
  <c r="C1145" i="5"/>
  <c r="D1145" i="5"/>
  <c r="G1145" i="5"/>
  <c r="J1145" i="5"/>
  <c r="L1145" i="5"/>
  <c r="K1145" i="5"/>
  <c r="H1145" i="5"/>
  <c r="N1145" i="5"/>
  <c r="E1145" i="5"/>
  <c r="T1145" i="5" l="1"/>
  <c r="P1145" i="5"/>
  <c r="S1146" i="5"/>
  <c r="B1146" i="5"/>
  <c r="A1147" i="5"/>
  <c r="R1146" i="5"/>
  <c r="Q1146" i="5" s="1"/>
  <c r="U1144" i="5"/>
  <c r="F1145" i="5"/>
  <c r="C1146" i="5"/>
  <c r="D1146" i="5"/>
  <c r="K1146" i="5"/>
  <c r="L1146" i="5"/>
  <c r="N1146" i="5"/>
  <c r="E1146" i="5"/>
  <c r="J1146" i="5"/>
  <c r="O1146" i="5"/>
  <c r="M1146" i="5"/>
  <c r="H1146" i="5"/>
  <c r="G1146" i="5"/>
  <c r="I1146" i="5"/>
  <c r="T1146" i="5" l="1"/>
  <c r="P1146" i="5"/>
  <c r="S1147" i="5"/>
  <c r="R1147" i="5"/>
  <c r="Q1147" i="5" s="1"/>
  <c r="B1147" i="5"/>
  <c r="A1148" i="5"/>
  <c r="U1145" i="5"/>
  <c r="F1146" i="5"/>
  <c r="M1147" i="5"/>
  <c r="G1147" i="5"/>
  <c r="C1147" i="5"/>
  <c r="L1147" i="5"/>
  <c r="D1147" i="5"/>
  <c r="J1147" i="5"/>
  <c r="E1147" i="5"/>
  <c r="N1147" i="5"/>
  <c r="O1147" i="5"/>
  <c r="H1147" i="5"/>
  <c r="I1147" i="5"/>
  <c r="K1147" i="5"/>
  <c r="T1147" i="5" l="1"/>
  <c r="P1147" i="5"/>
  <c r="S1148" i="5"/>
  <c r="A1149" i="5"/>
  <c r="R1148" i="5"/>
  <c r="Q1148" i="5" s="1"/>
  <c r="B1148" i="5"/>
  <c r="U1146" i="5"/>
  <c r="F1147" i="5"/>
  <c r="H1148" i="5"/>
  <c r="J1148" i="5"/>
  <c r="K1148" i="5"/>
  <c r="C1148" i="5"/>
  <c r="E1148" i="5"/>
  <c r="O1148" i="5"/>
  <c r="N1148" i="5"/>
  <c r="G1148" i="5"/>
  <c r="L1148" i="5"/>
  <c r="M1148" i="5"/>
  <c r="D1148" i="5"/>
  <c r="I1148" i="5"/>
  <c r="T1148" i="5" l="1"/>
  <c r="P1148" i="5"/>
  <c r="S1149" i="5"/>
  <c r="R1149" i="5"/>
  <c r="Q1149" i="5" s="1"/>
  <c r="B1149" i="5"/>
  <c r="A1150" i="5"/>
  <c r="U1147" i="5"/>
  <c r="F1148" i="5"/>
  <c r="C1149" i="5"/>
  <c r="O1149" i="5"/>
  <c r="N1149" i="5"/>
  <c r="H1149" i="5"/>
  <c r="G1149" i="5"/>
  <c r="D1149" i="5"/>
  <c r="J1149" i="5"/>
  <c r="I1149" i="5"/>
  <c r="M1149" i="5"/>
  <c r="L1149" i="5"/>
  <c r="K1149" i="5"/>
  <c r="E1149" i="5"/>
  <c r="T1149" i="5" l="1"/>
  <c r="P1149" i="5"/>
  <c r="S1150" i="5"/>
  <c r="A1151" i="5"/>
  <c r="R1150" i="5"/>
  <c r="Q1150" i="5" s="1"/>
  <c r="B1150" i="5"/>
  <c r="U1148" i="5"/>
  <c r="F1149" i="5"/>
  <c r="H1150" i="5"/>
  <c r="I1150" i="5"/>
  <c r="J1150" i="5"/>
  <c r="O1150" i="5"/>
  <c r="D1150" i="5"/>
  <c r="K1150" i="5"/>
  <c r="E1150" i="5"/>
  <c r="L1150" i="5"/>
  <c r="M1150" i="5"/>
  <c r="N1150" i="5"/>
  <c r="G1150" i="5"/>
  <c r="C1150" i="5"/>
  <c r="T1150" i="5" l="1"/>
  <c r="P1150" i="5"/>
  <c r="S1151" i="5"/>
  <c r="B1151" i="5"/>
  <c r="A1152" i="5"/>
  <c r="R1151" i="5"/>
  <c r="Q1151" i="5" s="1"/>
  <c r="U1149" i="5"/>
  <c r="F1150" i="5"/>
  <c r="L1151" i="5"/>
  <c r="M1151" i="5"/>
  <c r="E1151" i="5"/>
  <c r="K1151" i="5"/>
  <c r="D1151" i="5"/>
  <c r="C1151" i="5"/>
  <c r="H1151" i="5"/>
  <c r="O1151" i="5"/>
  <c r="G1151" i="5"/>
  <c r="J1151" i="5"/>
  <c r="I1151" i="5"/>
  <c r="N1151" i="5"/>
  <c r="T1151" i="5" l="1"/>
  <c r="P1151" i="5"/>
  <c r="S1152" i="5"/>
  <c r="R1152" i="5"/>
  <c r="Q1152" i="5" s="1"/>
  <c r="B1152" i="5"/>
  <c r="A1153" i="5"/>
  <c r="U1150" i="5"/>
  <c r="F1151" i="5"/>
  <c r="G1152" i="5"/>
  <c r="K1152" i="5"/>
  <c r="M1152" i="5"/>
  <c r="N1152" i="5"/>
  <c r="L1152" i="5"/>
  <c r="D1152" i="5"/>
  <c r="I1152" i="5"/>
  <c r="J1152" i="5"/>
  <c r="H1152" i="5"/>
  <c r="O1152" i="5"/>
  <c r="E1152" i="5"/>
  <c r="C1152" i="5"/>
  <c r="T1152" i="5" l="1"/>
  <c r="P1152" i="5"/>
  <c r="S1153" i="5"/>
  <c r="B1153" i="5"/>
  <c r="A1154" i="5"/>
  <c r="R1153" i="5"/>
  <c r="Q1153" i="5" s="1"/>
  <c r="U1151" i="5"/>
  <c r="F1152" i="5"/>
  <c r="N1153" i="5"/>
  <c r="E1153" i="5"/>
  <c r="H1153" i="5"/>
  <c r="O1153" i="5"/>
  <c r="C1153" i="5"/>
  <c r="I1153" i="5"/>
  <c r="D1153" i="5"/>
  <c r="J1153" i="5"/>
  <c r="M1153" i="5"/>
  <c r="L1153" i="5"/>
  <c r="G1153" i="5"/>
  <c r="K1153" i="5"/>
  <c r="T1153" i="5" l="1"/>
  <c r="P1153" i="5"/>
  <c r="S1154" i="5"/>
  <c r="A1155" i="5"/>
  <c r="R1154" i="5"/>
  <c r="Q1154" i="5" s="1"/>
  <c r="B1154" i="5"/>
  <c r="U1152" i="5"/>
  <c r="F1153" i="5"/>
  <c r="D1154" i="5"/>
  <c r="J1154" i="5"/>
  <c r="N1154" i="5"/>
  <c r="M1154" i="5"/>
  <c r="E1154" i="5"/>
  <c r="K1154" i="5"/>
  <c r="I1154" i="5"/>
  <c r="L1154" i="5"/>
  <c r="O1154" i="5"/>
  <c r="G1154" i="5"/>
  <c r="C1154" i="5"/>
  <c r="H1154" i="5"/>
  <c r="T1154" i="5" l="1"/>
  <c r="P1154" i="5"/>
  <c r="S1155" i="5"/>
  <c r="R1155" i="5"/>
  <c r="Q1155" i="5" s="1"/>
  <c r="B1155" i="5"/>
  <c r="A1156" i="5"/>
  <c r="U1153" i="5"/>
  <c r="F1154" i="5"/>
  <c r="N1155" i="5"/>
  <c r="D1155" i="5"/>
  <c r="I1155" i="5"/>
  <c r="H1155" i="5"/>
  <c r="G1155" i="5"/>
  <c r="M1155" i="5"/>
  <c r="O1155" i="5"/>
  <c r="J1155" i="5"/>
  <c r="E1155" i="5"/>
  <c r="L1155" i="5"/>
  <c r="K1155" i="5"/>
  <c r="C1155" i="5"/>
  <c r="T1155" i="5" l="1"/>
  <c r="P1155" i="5"/>
  <c r="S1156" i="5"/>
  <c r="R1156" i="5"/>
  <c r="Q1156" i="5" s="1"/>
  <c r="B1156" i="5"/>
  <c r="A1157" i="5"/>
  <c r="U1154" i="5"/>
  <c r="F1155" i="5"/>
  <c r="E1156" i="5"/>
  <c r="I1156" i="5"/>
  <c r="M1156" i="5"/>
  <c r="H1156" i="5"/>
  <c r="L1156" i="5"/>
  <c r="O1156" i="5"/>
  <c r="G1156" i="5"/>
  <c r="K1156" i="5"/>
  <c r="D1156" i="5"/>
  <c r="C1156" i="5"/>
  <c r="J1156" i="5"/>
  <c r="N1156" i="5"/>
  <c r="T1156" i="5" l="1"/>
  <c r="P1156" i="5"/>
  <c r="S1157" i="5"/>
  <c r="A1158" i="5"/>
  <c r="B1157" i="5"/>
  <c r="R1157" i="5"/>
  <c r="Q1157" i="5" s="1"/>
  <c r="U1155" i="5"/>
  <c r="F1156" i="5"/>
  <c r="K1157" i="5"/>
  <c r="H1157" i="5"/>
  <c r="O1157" i="5"/>
  <c r="N1157" i="5"/>
  <c r="D1157" i="5"/>
  <c r="M1157" i="5"/>
  <c r="J1157" i="5"/>
  <c r="G1157" i="5"/>
  <c r="I1157" i="5"/>
  <c r="C1157" i="5"/>
  <c r="L1157" i="5"/>
  <c r="E1157" i="5"/>
  <c r="T1157" i="5" l="1"/>
  <c r="P1157" i="5"/>
  <c r="S1158" i="5"/>
  <c r="R1158" i="5"/>
  <c r="Q1158" i="5" s="1"/>
  <c r="B1158" i="5"/>
  <c r="A1159" i="5"/>
  <c r="U1156" i="5"/>
  <c r="F1157" i="5"/>
  <c r="D1158" i="5"/>
  <c r="H1158" i="5"/>
  <c r="K1158" i="5"/>
  <c r="N1158" i="5"/>
  <c r="I1158" i="5"/>
  <c r="M1158" i="5"/>
  <c r="C1158" i="5"/>
  <c r="J1158" i="5"/>
  <c r="O1158" i="5"/>
  <c r="E1158" i="5"/>
  <c r="L1158" i="5"/>
  <c r="G1158" i="5"/>
  <c r="T1158" i="5" l="1"/>
  <c r="P1158" i="5"/>
  <c r="S1159" i="5"/>
  <c r="R1159" i="5"/>
  <c r="Q1159" i="5" s="1"/>
  <c r="B1159" i="5"/>
  <c r="A1160" i="5"/>
  <c r="U1157" i="5"/>
  <c r="F1158" i="5"/>
  <c r="H1159" i="5"/>
  <c r="J1159" i="5"/>
  <c r="G1159" i="5"/>
  <c r="C1159" i="5"/>
  <c r="M1159" i="5"/>
  <c r="I1159" i="5"/>
  <c r="L1159" i="5"/>
  <c r="E1159" i="5"/>
  <c r="K1159" i="5"/>
  <c r="D1159" i="5"/>
  <c r="N1159" i="5"/>
  <c r="O1159" i="5"/>
  <c r="T1159" i="5" l="1"/>
  <c r="P1159" i="5"/>
  <c r="S1160" i="5"/>
  <c r="A1161" i="5"/>
  <c r="R1160" i="5"/>
  <c r="Q1160" i="5" s="1"/>
  <c r="B1160" i="5"/>
  <c r="U1158" i="5"/>
  <c r="F1159" i="5"/>
  <c r="J1160" i="5"/>
  <c r="E1160" i="5"/>
  <c r="K1160" i="5"/>
  <c r="N1160" i="5"/>
  <c r="I1160" i="5"/>
  <c r="M1160" i="5"/>
  <c r="H1160" i="5"/>
  <c r="C1160" i="5"/>
  <c r="L1160" i="5"/>
  <c r="O1160" i="5"/>
  <c r="G1160" i="5"/>
  <c r="D1160" i="5"/>
  <c r="T1160" i="5" l="1"/>
  <c r="P1160" i="5"/>
  <c r="S1161" i="5"/>
  <c r="A1162" i="5"/>
  <c r="R1161" i="5"/>
  <c r="Q1161" i="5" s="1"/>
  <c r="B1161" i="5"/>
  <c r="U1159" i="5"/>
  <c r="F1160" i="5"/>
  <c r="L1161" i="5"/>
  <c r="J1161" i="5"/>
  <c r="K1161" i="5"/>
  <c r="E1161" i="5"/>
  <c r="G1161" i="5"/>
  <c r="I1161" i="5"/>
  <c r="O1161" i="5"/>
  <c r="M1161" i="5"/>
  <c r="H1161" i="5"/>
  <c r="C1161" i="5"/>
  <c r="D1161" i="5"/>
  <c r="N1161" i="5"/>
  <c r="T1161" i="5" l="1"/>
  <c r="P1161" i="5"/>
  <c r="S1162" i="5"/>
  <c r="R1162" i="5"/>
  <c r="Q1162" i="5" s="1"/>
  <c r="B1162" i="5"/>
  <c r="A1163" i="5"/>
  <c r="U1160" i="5"/>
  <c r="F1161" i="5"/>
  <c r="I1162" i="5"/>
  <c r="G1162" i="5"/>
  <c r="N1162" i="5"/>
  <c r="O1162" i="5"/>
  <c r="H1162" i="5"/>
  <c r="E1162" i="5"/>
  <c r="K1162" i="5"/>
  <c r="L1162" i="5"/>
  <c r="M1162" i="5"/>
  <c r="J1162" i="5"/>
  <c r="D1162" i="5"/>
  <c r="C1162" i="5"/>
  <c r="T1162" i="5" l="1"/>
  <c r="P1162" i="5"/>
  <c r="S1163" i="5"/>
  <c r="B1163" i="5"/>
  <c r="A1164" i="5"/>
  <c r="R1163" i="5"/>
  <c r="Q1163" i="5" s="1"/>
  <c r="U1161" i="5"/>
  <c r="F1162" i="5"/>
  <c r="M1163" i="5"/>
  <c r="L1163" i="5"/>
  <c r="J1163" i="5"/>
  <c r="E1163" i="5"/>
  <c r="N1163" i="5"/>
  <c r="K1163" i="5"/>
  <c r="H1163" i="5"/>
  <c r="O1163" i="5"/>
  <c r="G1163" i="5"/>
  <c r="D1163" i="5"/>
  <c r="C1163" i="5"/>
  <c r="I1163" i="5"/>
  <c r="T1163" i="5" l="1"/>
  <c r="P1163" i="5"/>
  <c r="S1164" i="5"/>
  <c r="R1164" i="5"/>
  <c r="Q1164" i="5" s="1"/>
  <c r="B1164" i="5"/>
  <c r="A1165" i="5"/>
  <c r="U1162" i="5"/>
  <c r="F1163" i="5"/>
  <c r="I1164" i="5"/>
  <c r="C1164" i="5"/>
  <c r="O1164" i="5"/>
  <c r="N1164" i="5"/>
  <c r="G1164" i="5"/>
  <c r="E1164" i="5"/>
  <c r="L1164" i="5"/>
  <c r="H1164" i="5"/>
  <c r="K1164" i="5"/>
  <c r="D1164" i="5"/>
  <c r="J1164" i="5"/>
  <c r="M1164" i="5"/>
  <c r="T1164" i="5" l="1"/>
  <c r="P1164" i="5"/>
  <c r="S1165" i="5"/>
  <c r="A1166" i="5"/>
  <c r="R1165" i="5"/>
  <c r="Q1165" i="5" s="1"/>
  <c r="B1165" i="5"/>
  <c r="U1163" i="5"/>
  <c r="F1164" i="5"/>
  <c r="L1165" i="5"/>
  <c r="C1165" i="5"/>
  <c r="G1165" i="5"/>
  <c r="E1165" i="5"/>
  <c r="M1165" i="5"/>
  <c r="N1165" i="5"/>
  <c r="O1165" i="5"/>
  <c r="K1165" i="5"/>
  <c r="J1165" i="5"/>
  <c r="I1165" i="5"/>
  <c r="H1165" i="5"/>
  <c r="D1165" i="5"/>
  <c r="T1165" i="5" l="1"/>
  <c r="P1165" i="5"/>
  <c r="S1166" i="5"/>
  <c r="R1166" i="5"/>
  <c r="Q1166" i="5" s="1"/>
  <c r="B1166" i="5"/>
  <c r="A1167" i="5"/>
  <c r="U1164" i="5"/>
  <c r="F1165" i="5"/>
  <c r="N1166" i="5"/>
  <c r="L1166" i="5"/>
  <c r="D1166" i="5"/>
  <c r="J1166" i="5"/>
  <c r="H1166" i="5"/>
  <c r="E1166" i="5"/>
  <c r="I1166" i="5"/>
  <c r="M1166" i="5"/>
  <c r="O1166" i="5"/>
  <c r="G1166" i="5"/>
  <c r="K1166" i="5"/>
  <c r="C1166" i="5"/>
  <c r="T1166" i="5" l="1"/>
  <c r="P1166" i="5"/>
  <c r="S1167" i="5"/>
  <c r="A1168" i="5"/>
  <c r="R1167" i="5"/>
  <c r="Q1167" i="5" s="1"/>
  <c r="B1167" i="5"/>
  <c r="U1165" i="5"/>
  <c r="F1166" i="5"/>
  <c r="L1167" i="5"/>
  <c r="N1167" i="5"/>
  <c r="I1167" i="5"/>
  <c r="M1167" i="5"/>
  <c r="G1167" i="5"/>
  <c r="C1167" i="5"/>
  <c r="E1167" i="5"/>
  <c r="J1167" i="5"/>
  <c r="O1167" i="5"/>
  <c r="D1167" i="5"/>
  <c r="H1167" i="5"/>
  <c r="K1167" i="5"/>
  <c r="P1167" i="5" l="1"/>
  <c r="T1167" i="5"/>
  <c r="S1168" i="5"/>
  <c r="B1168" i="5"/>
  <c r="A1169" i="5"/>
  <c r="R1168" i="5"/>
  <c r="Q1168" i="5" s="1"/>
  <c r="U1166" i="5"/>
  <c r="F1167" i="5"/>
  <c r="O1168" i="5"/>
  <c r="M1168" i="5"/>
  <c r="H1168" i="5"/>
  <c r="K1168" i="5"/>
  <c r="J1168" i="5"/>
  <c r="E1168" i="5"/>
  <c r="C1168" i="5"/>
  <c r="I1168" i="5"/>
  <c r="N1168" i="5"/>
  <c r="L1168" i="5"/>
  <c r="D1168" i="5"/>
  <c r="G1168" i="5"/>
  <c r="T1168" i="5" l="1"/>
  <c r="P1168" i="5"/>
  <c r="S1169" i="5"/>
  <c r="R1169" i="5"/>
  <c r="Q1169" i="5" s="1"/>
  <c r="A1170" i="5"/>
  <c r="B1169" i="5"/>
  <c r="U1167" i="5"/>
  <c r="F1168" i="5"/>
  <c r="H1169" i="5"/>
  <c r="E1169" i="5"/>
  <c r="O1169" i="5"/>
  <c r="D1169" i="5"/>
  <c r="M1169" i="5"/>
  <c r="K1169" i="5"/>
  <c r="I1169" i="5"/>
  <c r="N1169" i="5"/>
  <c r="J1169" i="5"/>
  <c r="L1169" i="5"/>
  <c r="C1169" i="5"/>
  <c r="G1169" i="5"/>
  <c r="T1169" i="5" l="1"/>
  <c r="P1169" i="5"/>
  <c r="U1169" i="5" s="1"/>
  <c r="S1170" i="5"/>
  <c r="B1170" i="5"/>
  <c r="A1171" i="5"/>
  <c r="R1170" i="5"/>
  <c r="Q1170" i="5" s="1"/>
  <c r="U1168" i="5"/>
  <c r="G1170" i="5"/>
  <c r="D1170" i="5"/>
  <c r="N1170" i="5"/>
  <c r="J1170" i="5"/>
  <c r="M1170" i="5"/>
  <c r="L1170" i="5"/>
  <c r="I1170" i="5"/>
  <c r="K1170" i="5"/>
  <c r="O1170" i="5"/>
  <c r="E1170" i="5"/>
  <c r="H1170" i="5"/>
  <c r="C1170" i="5"/>
  <c r="F1169" i="5"/>
  <c r="T1170" i="5" l="1"/>
  <c r="P1170" i="5"/>
  <c r="S1171" i="5"/>
  <c r="R1171" i="5"/>
  <c r="Q1171" i="5" s="1"/>
  <c r="B1171" i="5"/>
  <c r="A1172" i="5"/>
  <c r="F1170" i="5"/>
  <c r="N1171" i="5"/>
  <c r="G1171" i="5"/>
  <c r="O1171" i="5"/>
  <c r="I1171" i="5"/>
  <c r="J1171" i="5"/>
  <c r="K1171" i="5"/>
  <c r="E1171" i="5"/>
  <c r="M1171" i="5"/>
  <c r="D1171" i="5"/>
  <c r="H1171" i="5"/>
  <c r="L1171" i="5"/>
  <c r="C1171" i="5"/>
  <c r="T1171" i="5" l="1"/>
  <c r="P1171" i="5"/>
  <c r="S1172" i="5"/>
  <c r="A1173" i="5"/>
  <c r="B1172" i="5"/>
  <c r="R1172" i="5"/>
  <c r="Q1172" i="5" s="1"/>
  <c r="U1170" i="5"/>
  <c r="F1171" i="5"/>
  <c r="G1172" i="5"/>
  <c r="D1172" i="5"/>
  <c r="E1172" i="5"/>
  <c r="N1172" i="5"/>
  <c r="L1172" i="5"/>
  <c r="H1172" i="5"/>
  <c r="I1172" i="5"/>
  <c r="O1172" i="5"/>
  <c r="M1172" i="5"/>
  <c r="J1172" i="5"/>
  <c r="C1172" i="5"/>
  <c r="K1172" i="5"/>
  <c r="T1172" i="5" l="1"/>
  <c r="P1172" i="5"/>
  <c r="S1173" i="5"/>
  <c r="A1174" i="5"/>
  <c r="R1173" i="5"/>
  <c r="Q1173" i="5" s="1"/>
  <c r="B1173" i="5"/>
  <c r="U1171" i="5"/>
  <c r="F1172" i="5"/>
  <c r="E1173" i="5"/>
  <c r="C1173" i="5"/>
  <c r="M1173" i="5"/>
  <c r="O1173" i="5"/>
  <c r="G1173" i="5"/>
  <c r="K1173" i="5"/>
  <c r="H1173" i="5"/>
  <c r="L1173" i="5"/>
  <c r="D1173" i="5"/>
  <c r="N1173" i="5"/>
  <c r="J1173" i="5"/>
  <c r="I1173" i="5"/>
  <c r="T1173" i="5" l="1"/>
  <c r="P1173" i="5"/>
  <c r="S1174" i="5"/>
  <c r="B1174" i="5"/>
  <c r="A1175" i="5"/>
  <c r="R1174" i="5"/>
  <c r="Q1174" i="5" s="1"/>
  <c r="U1172" i="5"/>
  <c r="F1173" i="5"/>
  <c r="I1174" i="5"/>
  <c r="M1174" i="5"/>
  <c r="H1174" i="5"/>
  <c r="N1174" i="5"/>
  <c r="E1174" i="5"/>
  <c r="G1174" i="5"/>
  <c r="D1174" i="5"/>
  <c r="C1174" i="5"/>
  <c r="J1174" i="5"/>
  <c r="O1174" i="5"/>
  <c r="L1174" i="5"/>
  <c r="K1174" i="5"/>
  <c r="T1174" i="5" l="1"/>
  <c r="P1174" i="5"/>
  <c r="S1175" i="5"/>
  <c r="R1175" i="5"/>
  <c r="Q1175" i="5" s="1"/>
  <c r="B1175" i="5"/>
  <c r="A1176" i="5"/>
  <c r="U1173" i="5"/>
  <c r="F1174" i="5"/>
  <c r="L1175" i="5"/>
  <c r="O1175" i="5"/>
  <c r="E1175" i="5"/>
  <c r="N1175" i="5"/>
  <c r="C1175" i="5"/>
  <c r="G1175" i="5"/>
  <c r="M1175" i="5"/>
  <c r="I1175" i="5"/>
  <c r="J1175" i="5"/>
  <c r="K1175" i="5"/>
  <c r="H1175" i="5"/>
  <c r="D1175" i="5"/>
  <c r="T1175" i="5" l="1"/>
  <c r="P1175" i="5"/>
  <c r="S1176" i="5"/>
  <c r="R1176" i="5"/>
  <c r="Q1176" i="5" s="1"/>
  <c r="B1176" i="5"/>
  <c r="A1177" i="5"/>
  <c r="U1174" i="5"/>
  <c r="F1175" i="5"/>
  <c r="M1176" i="5"/>
  <c r="I1176" i="5"/>
  <c r="K1176" i="5"/>
  <c r="H1176" i="5"/>
  <c r="D1176" i="5"/>
  <c r="E1176" i="5"/>
  <c r="G1176" i="5"/>
  <c r="C1176" i="5"/>
  <c r="J1176" i="5"/>
  <c r="L1176" i="5"/>
  <c r="O1176" i="5"/>
  <c r="N1176" i="5"/>
  <c r="T1176" i="5" l="1"/>
  <c r="P1176" i="5"/>
  <c r="S1177" i="5"/>
  <c r="A1178" i="5"/>
  <c r="R1177" i="5"/>
  <c r="Q1177" i="5" s="1"/>
  <c r="B1177" i="5"/>
  <c r="U1175" i="5"/>
  <c r="F1176" i="5"/>
  <c r="C1177" i="5"/>
  <c r="N1177" i="5"/>
  <c r="I1177" i="5"/>
  <c r="K1177" i="5"/>
  <c r="E1177" i="5"/>
  <c r="M1177" i="5"/>
  <c r="G1177" i="5"/>
  <c r="H1177" i="5"/>
  <c r="J1177" i="5"/>
  <c r="L1177" i="5"/>
  <c r="O1177" i="5"/>
  <c r="D1177" i="5"/>
  <c r="T1177" i="5" l="1"/>
  <c r="P1177" i="5"/>
  <c r="U1176" i="5"/>
  <c r="S1178" i="5"/>
  <c r="A1179" i="5"/>
  <c r="B1178" i="5"/>
  <c r="R1178" i="5"/>
  <c r="Q1178" i="5" s="1"/>
  <c r="F1177" i="5"/>
  <c r="M1178" i="5"/>
  <c r="L1178" i="5"/>
  <c r="C1178" i="5"/>
  <c r="D1178" i="5"/>
  <c r="E1178" i="5"/>
  <c r="J1178" i="5"/>
  <c r="G1178" i="5"/>
  <c r="H1178" i="5"/>
  <c r="K1178" i="5"/>
  <c r="O1178" i="5"/>
  <c r="N1178" i="5"/>
  <c r="I1178" i="5"/>
  <c r="T1178" i="5" l="1"/>
  <c r="P1178" i="5"/>
  <c r="S1179" i="5"/>
  <c r="R1179" i="5"/>
  <c r="Q1179" i="5" s="1"/>
  <c r="B1179" i="5"/>
  <c r="A1180" i="5"/>
  <c r="U1177" i="5"/>
  <c r="F1178" i="5"/>
  <c r="J1179" i="5"/>
  <c r="K1179" i="5"/>
  <c r="M1179" i="5"/>
  <c r="G1179" i="5"/>
  <c r="C1179" i="5"/>
  <c r="N1179" i="5"/>
  <c r="E1179" i="5"/>
  <c r="D1179" i="5"/>
  <c r="O1179" i="5"/>
  <c r="I1179" i="5"/>
  <c r="L1179" i="5"/>
  <c r="H1179" i="5"/>
  <c r="T1179" i="5" l="1"/>
  <c r="P1179" i="5"/>
  <c r="S1180" i="5"/>
  <c r="R1180" i="5"/>
  <c r="Q1180" i="5" s="1"/>
  <c r="B1180" i="5"/>
  <c r="A1181" i="5"/>
  <c r="U1178" i="5"/>
  <c r="F1179" i="5"/>
  <c r="M1180" i="5"/>
  <c r="L1180" i="5"/>
  <c r="K1180" i="5"/>
  <c r="H1180" i="5"/>
  <c r="J1180" i="5"/>
  <c r="N1180" i="5"/>
  <c r="C1180" i="5"/>
  <c r="D1180" i="5"/>
  <c r="O1180" i="5"/>
  <c r="I1180" i="5"/>
  <c r="E1180" i="5"/>
  <c r="G1180" i="5"/>
  <c r="T1180" i="5" l="1"/>
  <c r="P1180" i="5"/>
  <c r="S1181" i="5"/>
  <c r="A1182" i="5"/>
  <c r="R1181" i="5"/>
  <c r="Q1181" i="5" s="1"/>
  <c r="B1181" i="5"/>
  <c r="U1179" i="5"/>
  <c r="F1180" i="5"/>
  <c r="C1181" i="5"/>
  <c r="M1181" i="5"/>
  <c r="I1181" i="5"/>
  <c r="L1181" i="5"/>
  <c r="E1181" i="5"/>
  <c r="O1181" i="5"/>
  <c r="D1181" i="5"/>
  <c r="H1181" i="5"/>
  <c r="J1181" i="5"/>
  <c r="G1181" i="5"/>
  <c r="N1181" i="5"/>
  <c r="K1181" i="5"/>
  <c r="T1181" i="5" l="1"/>
  <c r="P1181" i="5"/>
  <c r="S1182" i="5"/>
  <c r="A1183" i="5"/>
  <c r="B1182" i="5"/>
  <c r="R1182" i="5"/>
  <c r="Q1182" i="5" s="1"/>
  <c r="U1180" i="5"/>
  <c r="F1181" i="5"/>
  <c r="O1182" i="5"/>
  <c r="J1182" i="5"/>
  <c r="I1182" i="5"/>
  <c r="L1182" i="5"/>
  <c r="K1182" i="5"/>
  <c r="E1182" i="5"/>
  <c r="D1182" i="5"/>
  <c r="G1182" i="5"/>
  <c r="M1182" i="5"/>
  <c r="C1182" i="5"/>
  <c r="N1182" i="5"/>
  <c r="H1182" i="5"/>
  <c r="T1182" i="5" l="1"/>
  <c r="P1182" i="5"/>
  <c r="S1183" i="5"/>
  <c r="R1183" i="5"/>
  <c r="Q1183" i="5" s="1"/>
  <c r="B1183" i="5"/>
  <c r="A1184" i="5"/>
  <c r="U1181" i="5"/>
  <c r="F1182" i="5"/>
  <c r="G1183" i="5"/>
  <c r="N1183" i="5"/>
  <c r="I1183" i="5"/>
  <c r="H1183" i="5"/>
  <c r="K1183" i="5"/>
  <c r="M1183" i="5"/>
  <c r="E1183" i="5"/>
  <c r="C1183" i="5"/>
  <c r="L1183" i="5"/>
  <c r="D1183" i="5"/>
  <c r="O1183" i="5"/>
  <c r="J1183" i="5"/>
  <c r="T1183" i="5" l="1"/>
  <c r="P1183" i="5"/>
  <c r="S1184" i="5"/>
  <c r="R1184" i="5"/>
  <c r="Q1184" i="5" s="1"/>
  <c r="B1184" i="5"/>
  <c r="A1185" i="5"/>
  <c r="U1182" i="5"/>
  <c r="F1183" i="5"/>
  <c r="M1184" i="5"/>
  <c r="K1184" i="5"/>
  <c r="H1184" i="5"/>
  <c r="D1184" i="5"/>
  <c r="J1184" i="5"/>
  <c r="O1184" i="5"/>
  <c r="N1184" i="5"/>
  <c r="I1184" i="5"/>
  <c r="E1184" i="5"/>
  <c r="C1184" i="5"/>
  <c r="L1184" i="5"/>
  <c r="G1184" i="5"/>
  <c r="T1184" i="5" l="1"/>
  <c r="P1184" i="5"/>
  <c r="S1185" i="5"/>
  <c r="A1186" i="5"/>
  <c r="R1185" i="5"/>
  <c r="Q1185" i="5" s="1"/>
  <c r="B1185" i="5"/>
  <c r="U1183" i="5"/>
  <c r="F1184" i="5"/>
  <c r="L1185" i="5"/>
  <c r="E1185" i="5"/>
  <c r="H1185" i="5"/>
  <c r="C1185" i="5"/>
  <c r="D1185" i="5"/>
  <c r="G1185" i="5"/>
  <c r="O1185" i="5"/>
  <c r="K1185" i="5"/>
  <c r="J1185" i="5"/>
  <c r="N1185" i="5"/>
  <c r="M1185" i="5"/>
  <c r="I1185" i="5"/>
  <c r="T1185" i="5" l="1"/>
  <c r="P1185" i="5"/>
  <c r="S1186" i="5"/>
  <c r="R1186" i="5"/>
  <c r="Q1186" i="5" s="1"/>
  <c r="B1186" i="5"/>
  <c r="A1187" i="5"/>
  <c r="U1184" i="5"/>
  <c r="F1185" i="5"/>
  <c r="I1186" i="5"/>
  <c r="G1186" i="5"/>
  <c r="C1186" i="5"/>
  <c r="O1186" i="5"/>
  <c r="L1186" i="5"/>
  <c r="D1186" i="5"/>
  <c r="E1186" i="5"/>
  <c r="K1186" i="5"/>
  <c r="N1186" i="5"/>
  <c r="J1186" i="5"/>
  <c r="M1186" i="5"/>
  <c r="H1186" i="5"/>
  <c r="T1186" i="5" l="1"/>
  <c r="P1186" i="5"/>
  <c r="S1187" i="5"/>
  <c r="R1187" i="5"/>
  <c r="Q1187" i="5" s="1"/>
  <c r="B1187" i="5"/>
  <c r="A1188" i="5"/>
  <c r="U1185" i="5"/>
  <c r="F1186" i="5"/>
  <c r="G1187" i="5"/>
  <c r="D1187" i="5"/>
  <c r="E1187" i="5"/>
  <c r="K1187" i="5"/>
  <c r="L1187" i="5"/>
  <c r="M1187" i="5"/>
  <c r="O1187" i="5"/>
  <c r="C1187" i="5"/>
  <c r="N1187" i="5"/>
  <c r="I1187" i="5"/>
  <c r="J1187" i="5"/>
  <c r="H1187" i="5"/>
  <c r="T1187" i="5" l="1"/>
  <c r="P1187" i="5"/>
  <c r="S1188" i="5"/>
  <c r="R1188" i="5"/>
  <c r="Q1188" i="5" s="1"/>
  <c r="B1188" i="5"/>
  <c r="A1189" i="5"/>
  <c r="U1186" i="5"/>
  <c r="F1187" i="5"/>
  <c r="K1188" i="5"/>
  <c r="L1188" i="5"/>
  <c r="D1188" i="5"/>
  <c r="C1188" i="5"/>
  <c r="E1188" i="5"/>
  <c r="O1188" i="5"/>
  <c r="N1188" i="5"/>
  <c r="G1188" i="5"/>
  <c r="H1188" i="5"/>
  <c r="I1188" i="5"/>
  <c r="M1188" i="5"/>
  <c r="J1188" i="5"/>
  <c r="P1188" i="5" l="1"/>
  <c r="T1188" i="5"/>
  <c r="S1189" i="5"/>
  <c r="A1190" i="5"/>
  <c r="R1189" i="5"/>
  <c r="Q1189" i="5" s="1"/>
  <c r="B1189" i="5"/>
  <c r="U1187" i="5"/>
  <c r="F1188" i="5"/>
  <c r="D1189" i="5"/>
  <c r="H1189" i="5"/>
  <c r="O1189" i="5"/>
  <c r="G1189" i="5"/>
  <c r="M1189" i="5"/>
  <c r="L1189" i="5"/>
  <c r="I1189" i="5"/>
  <c r="K1189" i="5"/>
  <c r="N1189" i="5"/>
  <c r="E1189" i="5"/>
  <c r="J1189" i="5"/>
  <c r="C1189" i="5"/>
  <c r="T1189" i="5" l="1"/>
  <c r="P1189" i="5"/>
  <c r="S1190" i="5"/>
  <c r="R1190" i="5"/>
  <c r="Q1190" i="5" s="1"/>
  <c r="B1190" i="5"/>
  <c r="A1191" i="5"/>
  <c r="U1188" i="5"/>
  <c r="F1189" i="5"/>
  <c r="M1190" i="5"/>
  <c r="I1190" i="5"/>
  <c r="E1190" i="5"/>
  <c r="H1190" i="5"/>
  <c r="N1190" i="5"/>
  <c r="C1190" i="5"/>
  <c r="G1190" i="5"/>
  <c r="K1190" i="5"/>
  <c r="O1190" i="5"/>
  <c r="D1190" i="5"/>
  <c r="L1190" i="5"/>
  <c r="J1190" i="5"/>
  <c r="T1190" i="5" l="1"/>
  <c r="P1190" i="5"/>
  <c r="S1191" i="5"/>
  <c r="R1191" i="5"/>
  <c r="Q1191" i="5" s="1"/>
  <c r="B1191" i="5"/>
  <c r="A1192" i="5"/>
  <c r="U1189" i="5"/>
  <c r="F1190" i="5"/>
  <c r="O1191" i="5"/>
  <c r="J1191" i="5"/>
  <c r="G1191" i="5"/>
  <c r="M1191" i="5"/>
  <c r="C1191" i="5"/>
  <c r="D1191" i="5"/>
  <c r="N1191" i="5"/>
  <c r="L1191" i="5"/>
  <c r="E1191" i="5"/>
  <c r="I1191" i="5"/>
  <c r="H1191" i="5"/>
  <c r="K1191" i="5"/>
  <c r="T1191" i="5" l="1"/>
  <c r="P1191" i="5"/>
  <c r="S1192" i="5"/>
  <c r="R1192" i="5"/>
  <c r="Q1192" i="5" s="1"/>
  <c r="B1192" i="5"/>
  <c r="A1193" i="5"/>
  <c r="U1190" i="5"/>
  <c r="F1191" i="5"/>
  <c r="M1192" i="5"/>
  <c r="N1192" i="5"/>
  <c r="H1192" i="5"/>
  <c r="E1192" i="5"/>
  <c r="J1192" i="5"/>
  <c r="L1192" i="5"/>
  <c r="C1192" i="5"/>
  <c r="D1192" i="5"/>
  <c r="K1192" i="5"/>
  <c r="I1192" i="5"/>
  <c r="G1192" i="5"/>
  <c r="O1192" i="5"/>
  <c r="T1192" i="5" l="1"/>
  <c r="P1192" i="5"/>
  <c r="S1193" i="5"/>
  <c r="A1194" i="5"/>
  <c r="R1193" i="5"/>
  <c r="Q1193" i="5" s="1"/>
  <c r="B1193" i="5"/>
  <c r="U1191" i="5"/>
  <c r="F1192" i="5"/>
  <c r="O1193" i="5"/>
  <c r="D1193" i="5"/>
  <c r="C1193" i="5"/>
  <c r="L1193" i="5"/>
  <c r="E1193" i="5"/>
  <c r="H1193" i="5"/>
  <c r="K1193" i="5"/>
  <c r="J1193" i="5"/>
  <c r="M1193" i="5"/>
  <c r="N1193" i="5"/>
  <c r="I1193" i="5"/>
  <c r="G1193" i="5"/>
  <c r="T1193" i="5" l="1"/>
  <c r="P1193" i="5"/>
  <c r="S1194" i="5"/>
  <c r="B1194" i="5"/>
  <c r="A1195" i="5"/>
  <c r="R1194" i="5"/>
  <c r="Q1194" i="5" s="1"/>
  <c r="U1192" i="5"/>
  <c r="F1193" i="5"/>
  <c r="O1194" i="5"/>
  <c r="G1194" i="5"/>
  <c r="J1194" i="5"/>
  <c r="C1194" i="5"/>
  <c r="N1194" i="5"/>
  <c r="E1194" i="5"/>
  <c r="H1194" i="5"/>
  <c r="K1194" i="5"/>
  <c r="I1194" i="5"/>
  <c r="L1194" i="5"/>
  <c r="D1194" i="5"/>
  <c r="M1194" i="5"/>
  <c r="T1194" i="5" l="1"/>
  <c r="P1194" i="5"/>
  <c r="S1195" i="5"/>
  <c r="R1195" i="5"/>
  <c r="Q1195" i="5" s="1"/>
  <c r="B1195" i="5"/>
  <c r="A1196" i="5"/>
  <c r="U1193" i="5"/>
  <c r="F1194" i="5"/>
  <c r="D1195" i="5"/>
  <c r="C1195" i="5"/>
  <c r="K1195" i="5"/>
  <c r="E1195" i="5"/>
  <c r="M1195" i="5"/>
  <c r="J1195" i="5"/>
  <c r="G1195" i="5"/>
  <c r="N1195" i="5"/>
  <c r="O1195" i="5"/>
  <c r="I1195" i="5"/>
  <c r="L1195" i="5"/>
  <c r="H1195" i="5"/>
  <c r="P1195" i="5" l="1"/>
  <c r="T1195" i="5"/>
  <c r="S1196" i="5"/>
  <c r="B1196" i="5"/>
  <c r="A1197" i="5"/>
  <c r="R1196" i="5"/>
  <c r="Q1196" i="5" s="1"/>
  <c r="U1194" i="5"/>
  <c r="F1195" i="5"/>
  <c r="J1196" i="5"/>
  <c r="K1196" i="5"/>
  <c r="H1196" i="5"/>
  <c r="N1196" i="5"/>
  <c r="L1196" i="5"/>
  <c r="M1196" i="5"/>
  <c r="D1196" i="5"/>
  <c r="E1196" i="5"/>
  <c r="O1196" i="5"/>
  <c r="I1196" i="5"/>
  <c r="C1196" i="5"/>
  <c r="G1196" i="5"/>
  <c r="T1196" i="5" l="1"/>
  <c r="P1196" i="5"/>
  <c r="S1197" i="5"/>
  <c r="A1198" i="5"/>
  <c r="R1197" i="5"/>
  <c r="Q1197" i="5" s="1"/>
  <c r="B1197" i="5"/>
  <c r="U1195" i="5"/>
  <c r="F1196" i="5"/>
  <c r="I1197" i="5"/>
  <c r="J1197" i="5"/>
  <c r="D1197" i="5"/>
  <c r="G1197" i="5"/>
  <c r="K1197" i="5"/>
  <c r="O1197" i="5"/>
  <c r="C1197" i="5"/>
  <c r="L1197" i="5"/>
  <c r="E1197" i="5"/>
  <c r="H1197" i="5"/>
  <c r="N1197" i="5"/>
  <c r="M1197" i="5"/>
  <c r="T1197" i="5" l="1"/>
  <c r="P1197" i="5"/>
  <c r="S1198" i="5"/>
  <c r="A1199" i="5"/>
  <c r="R1198" i="5"/>
  <c r="Q1198" i="5" s="1"/>
  <c r="B1198" i="5"/>
  <c r="U1196" i="5"/>
  <c r="F1197" i="5"/>
  <c r="N1198" i="5"/>
  <c r="J1198" i="5"/>
  <c r="G1198" i="5"/>
  <c r="I1198" i="5"/>
  <c r="M1198" i="5"/>
  <c r="C1198" i="5"/>
  <c r="E1198" i="5"/>
  <c r="L1198" i="5"/>
  <c r="H1198" i="5"/>
  <c r="K1198" i="5"/>
  <c r="D1198" i="5"/>
  <c r="O1198" i="5"/>
  <c r="T1198" i="5" l="1"/>
  <c r="P1198" i="5"/>
  <c r="U1197" i="5"/>
  <c r="S1199" i="5"/>
  <c r="R1199" i="5"/>
  <c r="Q1199" i="5" s="1"/>
  <c r="B1199" i="5"/>
  <c r="A1200" i="5"/>
  <c r="F1198" i="5"/>
  <c r="G1199" i="5"/>
  <c r="E1199" i="5"/>
  <c r="N1199" i="5"/>
  <c r="C1199" i="5"/>
  <c r="I1199" i="5"/>
  <c r="D1199" i="5"/>
  <c r="L1199" i="5"/>
  <c r="M1199" i="5"/>
  <c r="H1199" i="5"/>
  <c r="O1199" i="5"/>
  <c r="J1199" i="5"/>
  <c r="K1199" i="5"/>
  <c r="T1199" i="5" l="1"/>
  <c r="P1199" i="5"/>
  <c r="S1200" i="5"/>
  <c r="A1201" i="5"/>
  <c r="B1200" i="5"/>
  <c r="R1200" i="5"/>
  <c r="Q1200" i="5" s="1"/>
  <c r="U1198" i="5"/>
  <c r="F1199" i="5"/>
  <c r="C1200" i="5"/>
  <c r="O1200" i="5"/>
  <c r="L1200" i="5"/>
  <c r="D1200" i="5"/>
  <c r="N1200" i="5"/>
  <c r="H1200" i="5"/>
  <c r="J1200" i="5"/>
  <c r="I1200" i="5"/>
  <c r="G1200" i="5"/>
  <c r="E1200" i="5"/>
  <c r="K1200" i="5"/>
  <c r="M1200" i="5"/>
  <c r="T1200" i="5" l="1"/>
  <c r="P1200" i="5"/>
  <c r="S1201" i="5"/>
  <c r="A1202" i="5"/>
  <c r="R1201" i="5"/>
  <c r="Q1201" i="5" s="1"/>
  <c r="B1201" i="5"/>
  <c r="U1199" i="5"/>
  <c r="F1200" i="5"/>
  <c r="I1201" i="5"/>
  <c r="H1201" i="5"/>
  <c r="C1201" i="5"/>
  <c r="J1201" i="5"/>
  <c r="O1201" i="5"/>
  <c r="E1201" i="5"/>
  <c r="N1201" i="5"/>
  <c r="D1201" i="5"/>
  <c r="K1201" i="5"/>
  <c r="M1201" i="5"/>
  <c r="G1201" i="5"/>
  <c r="L1201" i="5"/>
  <c r="T1201" i="5" l="1"/>
  <c r="P1201" i="5"/>
  <c r="U1200" i="5"/>
  <c r="S1202" i="5"/>
  <c r="R1202" i="5"/>
  <c r="Q1202" i="5" s="1"/>
  <c r="B1202" i="5"/>
  <c r="A1203" i="5"/>
  <c r="F1201" i="5"/>
  <c r="I1202" i="5"/>
  <c r="J1202" i="5"/>
  <c r="O1202" i="5"/>
  <c r="L1202" i="5"/>
  <c r="K1202" i="5"/>
  <c r="C1202" i="5"/>
  <c r="D1202" i="5"/>
  <c r="E1202" i="5"/>
  <c r="M1202" i="5"/>
  <c r="N1202" i="5"/>
  <c r="H1202" i="5"/>
  <c r="G1202" i="5"/>
  <c r="T1202" i="5" l="1"/>
  <c r="P1202" i="5"/>
  <c r="S1203" i="5"/>
  <c r="B1203" i="5"/>
  <c r="A1204" i="5"/>
  <c r="R1203" i="5"/>
  <c r="Q1203" i="5" s="1"/>
  <c r="U1201" i="5"/>
  <c r="F1202" i="5"/>
  <c r="G1203" i="5"/>
  <c r="E1203" i="5"/>
  <c r="K1203" i="5"/>
  <c r="D1203" i="5"/>
  <c r="H1203" i="5"/>
  <c r="J1203" i="5"/>
  <c r="O1203" i="5"/>
  <c r="L1203" i="5"/>
  <c r="I1203" i="5"/>
  <c r="M1203" i="5"/>
  <c r="C1203" i="5"/>
  <c r="N1203" i="5"/>
  <c r="T1203" i="5" l="1"/>
  <c r="P1203" i="5"/>
  <c r="S1204" i="5"/>
  <c r="B1204" i="5"/>
  <c r="R1204" i="5"/>
  <c r="Q1204" i="5" s="1"/>
  <c r="A1205" i="5"/>
  <c r="U1202" i="5"/>
  <c r="H1204" i="5"/>
  <c r="L1204" i="5"/>
  <c r="E1204" i="5"/>
  <c r="O1204" i="5"/>
  <c r="K1204" i="5"/>
  <c r="D1204" i="5"/>
  <c r="C1204" i="5"/>
  <c r="N1204" i="5"/>
  <c r="J1204" i="5"/>
  <c r="M1204" i="5"/>
  <c r="G1204" i="5"/>
  <c r="I1204" i="5"/>
  <c r="F1203" i="5"/>
  <c r="T1204" i="5" l="1"/>
  <c r="P1204" i="5"/>
  <c r="S1205" i="5"/>
  <c r="B1205" i="5"/>
  <c r="A1206" i="5"/>
  <c r="R1205" i="5"/>
  <c r="Q1205" i="5" s="1"/>
  <c r="U1203" i="5"/>
  <c r="F1204" i="5"/>
  <c r="N1205" i="5"/>
  <c r="J1205" i="5"/>
  <c r="I1205" i="5"/>
  <c r="L1205" i="5"/>
  <c r="C1205" i="5"/>
  <c r="O1205" i="5"/>
  <c r="E1205" i="5"/>
  <c r="K1205" i="5"/>
  <c r="D1205" i="5"/>
  <c r="M1205" i="5"/>
  <c r="G1205" i="5"/>
  <c r="H1205" i="5"/>
  <c r="T1205" i="5" l="1"/>
  <c r="P1205" i="5"/>
  <c r="S1206" i="5"/>
  <c r="R1206" i="5"/>
  <c r="Q1206" i="5" s="1"/>
  <c r="B1206" i="5"/>
  <c r="A1207" i="5"/>
  <c r="U1204" i="5"/>
  <c r="F1205" i="5"/>
  <c r="G1206" i="5"/>
  <c r="H1206" i="5"/>
  <c r="I1206" i="5"/>
  <c r="O1206" i="5"/>
  <c r="C1206" i="5"/>
  <c r="J1206" i="5"/>
  <c r="N1206" i="5"/>
  <c r="M1206" i="5"/>
  <c r="D1206" i="5"/>
  <c r="K1206" i="5"/>
  <c r="E1206" i="5"/>
  <c r="L1206" i="5"/>
  <c r="T1206" i="5" l="1"/>
  <c r="P1206" i="5"/>
  <c r="S1207" i="5"/>
  <c r="R1207" i="5"/>
  <c r="Q1207" i="5" s="1"/>
  <c r="B1207" i="5"/>
  <c r="A1208" i="5"/>
  <c r="U1205" i="5"/>
  <c r="L1207" i="5"/>
  <c r="O1207" i="5"/>
  <c r="C1207" i="5"/>
  <c r="M1207" i="5"/>
  <c r="N1207" i="5"/>
  <c r="K1207" i="5"/>
  <c r="J1207" i="5"/>
  <c r="G1207" i="5"/>
  <c r="H1207" i="5"/>
  <c r="E1207" i="5"/>
  <c r="D1207" i="5"/>
  <c r="I1207" i="5"/>
  <c r="F1206" i="5"/>
  <c r="T1207" i="5" l="1"/>
  <c r="P1207" i="5"/>
  <c r="S1208" i="5"/>
  <c r="A1209" i="5"/>
  <c r="R1208" i="5"/>
  <c r="Q1208" i="5" s="1"/>
  <c r="B1208" i="5"/>
  <c r="U1206" i="5"/>
  <c r="F1207" i="5"/>
  <c r="J1208" i="5"/>
  <c r="D1208" i="5"/>
  <c r="O1208" i="5"/>
  <c r="G1208" i="5"/>
  <c r="M1208" i="5"/>
  <c r="E1208" i="5"/>
  <c r="C1208" i="5"/>
  <c r="I1208" i="5"/>
  <c r="K1208" i="5"/>
  <c r="N1208" i="5"/>
  <c r="L1208" i="5"/>
  <c r="H1208" i="5"/>
  <c r="T1208" i="5" l="1"/>
  <c r="P1208" i="5"/>
  <c r="S1209" i="5"/>
  <c r="B1209" i="5"/>
  <c r="R1209" i="5"/>
  <c r="Q1209" i="5" s="1"/>
  <c r="A1210" i="5"/>
  <c r="U1207" i="5"/>
  <c r="M1209" i="5"/>
  <c r="I1209" i="5"/>
  <c r="C1209" i="5"/>
  <c r="K1209" i="5"/>
  <c r="N1209" i="5"/>
  <c r="H1209" i="5"/>
  <c r="D1209" i="5"/>
  <c r="L1209" i="5"/>
  <c r="J1209" i="5"/>
  <c r="G1209" i="5"/>
  <c r="O1209" i="5"/>
  <c r="E1209" i="5"/>
  <c r="F1208" i="5"/>
  <c r="P1209" i="5" l="1"/>
  <c r="T1209" i="5"/>
  <c r="U1208" i="5"/>
  <c r="S1210" i="5"/>
  <c r="R1210" i="5"/>
  <c r="Q1210" i="5" s="1"/>
  <c r="B1210" i="5"/>
  <c r="A1211" i="5"/>
  <c r="F1209" i="5"/>
  <c r="E1210" i="5"/>
  <c r="N1210" i="5"/>
  <c r="K1210" i="5"/>
  <c r="C1210" i="5"/>
  <c r="J1210" i="5"/>
  <c r="L1210" i="5"/>
  <c r="G1210" i="5"/>
  <c r="D1210" i="5"/>
  <c r="I1210" i="5"/>
  <c r="M1210" i="5"/>
  <c r="O1210" i="5"/>
  <c r="H1210" i="5"/>
  <c r="T1210" i="5" l="1"/>
  <c r="P1210" i="5"/>
  <c r="S1211" i="5"/>
  <c r="R1211" i="5"/>
  <c r="Q1211" i="5" s="1"/>
  <c r="B1211" i="5"/>
  <c r="A1212" i="5"/>
  <c r="U1209" i="5"/>
  <c r="F1210" i="5"/>
  <c r="G1211" i="5"/>
  <c r="H1211" i="5"/>
  <c r="D1211" i="5"/>
  <c r="O1211" i="5"/>
  <c r="N1211" i="5"/>
  <c r="L1211" i="5"/>
  <c r="I1211" i="5"/>
  <c r="K1211" i="5"/>
  <c r="E1211" i="5"/>
  <c r="C1211" i="5"/>
  <c r="M1211" i="5"/>
  <c r="J1211" i="5"/>
  <c r="T1211" i="5" l="1"/>
  <c r="P1211" i="5"/>
  <c r="S1212" i="5"/>
  <c r="B1212" i="5"/>
  <c r="R1212" i="5"/>
  <c r="Q1212" i="5" s="1"/>
  <c r="A1213" i="5"/>
  <c r="U1210" i="5"/>
  <c r="F1211" i="5"/>
  <c r="N1212" i="5"/>
  <c r="D1212" i="5"/>
  <c r="K1212" i="5"/>
  <c r="H1212" i="5"/>
  <c r="G1212" i="5"/>
  <c r="E1212" i="5"/>
  <c r="I1212" i="5"/>
  <c r="J1212" i="5"/>
  <c r="L1212" i="5"/>
  <c r="C1212" i="5"/>
  <c r="O1212" i="5"/>
  <c r="M1212" i="5"/>
  <c r="T1212" i="5" l="1"/>
  <c r="P1212" i="5"/>
  <c r="S1213" i="5"/>
  <c r="R1213" i="5"/>
  <c r="Q1213" i="5" s="1"/>
  <c r="A1214" i="5"/>
  <c r="B1213" i="5"/>
  <c r="U1211" i="5"/>
  <c r="F1212" i="5"/>
  <c r="I1213" i="5"/>
  <c r="K1213" i="5"/>
  <c r="E1213" i="5"/>
  <c r="C1213" i="5"/>
  <c r="G1213" i="5"/>
  <c r="J1213" i="5"/>
  <c r="N1213" i="5"/>
  <c r="M1213" i="5"/>
  <c r="O1213" i="5"/>
  <c r="L1213" i="5"/>
  <c r="D1213" i="5"/>
  <c r="H1213" i="5"/>
  <c r="T1213" i="5" l="1"/>
  <c r="P1213" i="5"/>
  <c r="S1214" i="5"/>
  <c r="B1214" i="5"/>
  <c r="A1215" i="5"/>
  <c r="R1214" i="5"/>
  <c r="Q1214" i="5" s="1"/>
  <c r="U1212" i="5"/>
  <c r="F1213" i="5"/>
  <c r="L1214" i="5"/>
  <c r="M1214" i="5"/>
  <c r="C1214" i="5"/>
  <c r="J1214" i="5"/>
  <c r="G1214" i="5"/>
  <c r="H1214" i="5"/>
  <c r="D1214" i="5"/>
  <c r="O1214" i="5"/>
  <c r="N1214" i="5"/>
  <c r="I1214" i="5"/>
  <c r="K1214" i="5"/>
  <c r="E1214" i="5"/>
  <c r="T1214" i="5" l="1"/>
  <c r="P1214" i="5"/>
  <c r="S1215" i="5"/>
  <c r="B1215" i="5"/>
  <c r="A1216" i="5"/>
  <c r="R1215" i="5"/>
  <c r="Q1215" i="5" s="1"/>
  <c r="U1213" i="5"/>
  <c r="F1214" i="5"/>
  <c r="D1215" i="5"/>
  <c r="I1215" i="5"/>
  <c r="L1215" i="5"/>
  <c r="C1215" i="5"/>
  <c r="E1215" i="5"/>
  <c r="H1215" i="5"/>
  <c r="J1215" i="5"/>
  <c r="K1215" i="5"/>
  <c r="M1215" i="5"/>
  <c r="G1215" i="5"/>
  <c r="O1215" i="5"/>
  <c r="N1215" i="5"/>
  <c r="T1215" i="5" l="1"/>
  <c r="P1215" i="5"/>
  <c r="S1216" i="5"/>
  <c r="R1216" i="5"/>
  <c r="Q1216" i="5" s="1"/>
  <c r="B1216" i="5"/>
  <c r="A1217" i="5"/>
  <c r="U1214" i="5"/>
  <c r="F1215" i="5"/>
  <c r="N1216" i="5"/>
  <c r="L1216" i="5"/>
  <c r="H1216" i="5"/>
  <c r="I1216" i="5"/>
  <c r="C1216" i="5"/>
  <c r="J1216" i="5"/>
  <c r="K1216" i="5"/>
  <c r="D1216" i="5"/>
  <c r="G1216" i="5"/>
  <c r="O1216" i="5"/>
  <c r="E1216" i="5"/>
  <c r="M1216" i="5"/>
  <c r="T1216" i="5" l="1"/>
  <c r="P1216" i="5"/>
  <c r="S1217" i="5"/>
  <c r="A1218" i="5"/>
  <c r="B1217" i="5"/>
  <c r="R1217" i="5"/>
  <c r="Q1217" i="5" s="1"/>
  <c r="U1215" i="5"/>
  <c r="F1216" i="5"/>
  <c r="I1217" i="5"/>
  <c r="C1217" i="5"/>
  <c r="K1217" i="5"/>
  <c r="D1217" i="5"/>
  <c r="M1217" i="5"/>
  <c r="O1217" i="5"/>
  <c r="G1217" i="5"/>
  <c r="L1217" i="5"/>
  <c r="E1217" i="5"/>
  <c r="H1217" i="5"/>
  <c r="N1217" i="5"/>
  <c r="J1217" i="5"/>
  <c r="T1217" i="5" l="1"/>
  <c r="P1217" i="5"/>
  <c r="S1218" i="5"/>
  <c r="A1219" i="5"/>
  <c r="R1218" i="5"/>
  <c r="Q1218" i="5" s="1"/>
  <c r="B1218" i="5"/>
  <c r="U1216" i="5"/>
  <c r="F1217" i="5"/>
  <c r="O1218" i="5"/>
  <c r="N1218" i="5"/>
  <c r="I1218" i="5"/>
  <c r="K1218" i="5"/>
  <c r="E1218" i="5"/>
  <c r="C1218" i="5"/>
  <c r="J1218" i="5"/>
  <c r="D1218" i="5"/>
  <c r="M1218" i="5"/>
  <c r="G1218" i="5"/>
  <c r="H1218" i="5"/>
  <c r="L1218" i="5"/>
  <c r="T1218" i="5" l="1"/>
  <c r="P1218" i="5"/>
  <c r="S1219" i="5"/>
  <c r="A1220" i="5"/>
  <c r="R1219" i="5"/>
  <c r="Q1219" i="5" s="1"/>
  <c r="B1219" i="5"/>
  <c r="U1217" i="5"/>
  <c r="F1218" i="5"/>
  <c r="C1219" i="5"/>
  <c r="E1219" i="5"/>
  <c r="D1219" i="5"/>
  <c r="H1219" i="5"/>
  <c r="M1219" i="5"/>
  <c r="N1219" i="5"/>
  <c r="L1219" i="5"/>
  <c r="K1219" i="5"/>
  <c r="I1219" i="5"/>
  <c r="O1219" i="5"/>
  <c r="G1219" i="5"/>
  <c r="J1219" i="5"/>
  <c r="T1219" i="5" l="1"/>
  <c r="P1219" i="5"/>
  <c r="U1218" i="5"/>
  <c r="S1220" i="5"/>
  <c r="R1220" i="5"/>
  <c r="Q1220" i="5" s="1"/>
  <c r="B1220" i="5"/>
  <c r="A1221" i="5"/>
  <c r="F1219" i="5"/>
  <c r="J1220" i="5"/>
  <c r="H1220" i="5"/>
  <c r="O1220" i="5"/>
  <c r="I1220" i="5"/>
  <c r="D1220" i="5"/>
  <c r="K1220" i="5"/>
  <c r="G1220" i="5"/>
  <c r="C1220" i="5"/>
  <c r="E1220" i="5"/>
  <c r="M1220" i="5"/>
  <c r="N1220" i="5"/>
  <c r="L1220" i="5"/>
  <c r="T1220" i="5" l="1"/>
  <c r="P1220" i="5"/>
  <c r="S1221" i="5"/>
  <c r="B1221" i="5"/>
  <c r="A1222" i="5"/>
  <c r="R1221" i="5"/>
  <c r="Q1221" i="5" s="1"/>
  <c r="U1219" i="5"/>
  <c r="F1220" i="5"/>
  <c r="J1221" i="5"/>
  <c r="L1221" i="5"/>
  <c r="K1221" i="5"/>
  <c r="I1221" i="5"/>
  <c r="O1221" i="5"/>
  <c r="D1221" i="5"/>
  <c r="E1221" i="5"/>
  <c r="G1221" i="5"/>
  <c r="H1221" i="5"/>
  <c r="M1221" i="5"/>
  <c r="C1221" i="5"/>
  <c r="N1221" i="5"/>
  <c r="T1221" i="5" l="1"/>
  <c r="P1221" i="5"/>
  <c r="S1222" i="5"/>
  <c r="R1222" i="5"/>
  <c r="Q1222" i="5" s="1"/>
  <c r="B1222" i="5"/>
  <c r="A1223" i="5"/>
  <c r="U1220" i="5"/>
  <c r="F1221" i="5"/>
  <c r="J1222" i="5"/>
  <c r="I1222" i="5"/>
  <c r="K1222" i="5"/>
  <c r="N1222" i="5"/>
  <c r="L1222" i="5"/>
  <c r="M1222" i="5"/>
  <c r="G1222" i="5"/>
  <c r="O1222" i="5"/>
  <c r="C1222" i="5"/>
  <c r="D1222" i="5"/>
  <c r="E1222" i="5"/>
  <c r="H1222" i="5"/>
  <c r="T1222" i="5" l="1"/>
  <c r="P1222" i="5"/>
  <c r="S1223" i="5"/>
  <c r="B1223" i="5"/>
  <c r="A1224" i="5"/>
  <c r="R1223" i="5"/>
  <c r="Q1223" i="5" s="1"/>
  <c r="U1221" i="5"/>
  <c r="F1222" i="5"/>
  <c r="C1223" i="5"/>
  <c r="L1223" i="5"/>
  <c r="O1223" i="5"/>
  <c r="G1223" i="5"/>
  <c r="M1223" i="5"/>
  <c r="D1223" i="5"/>
  <c r="J1223" i="5"/>
  <c r="N1223" i="5"/>
  <c r="K1223" i="5"/>
  <c r="E1223" i="5"/>
  <c r="I1223" i="5"/>
  <c r="H1223" i="5"/>
  <c r="T1223" i="5" l="1"/>
  <c r="P1223" i="5"/>
  <c r="S1224" i="5"/>
  <c r="B1224" i="5"/>
  <c r="A1225" i="5"/>
  <c r="R1224" i="5"/>
  <c r="Q1224" i="5" s="1"/>
  <c r="U1222" i="5"/>
  <c r="F1223" i="5"/>
  <c r="K1224" i="5"/>
  <c r="D1224" i="5"/>
  <c r="C1224" i="5"/>
  <c r="I1224" i="5"/>
  <c r="J1224" i="5"/>
  <c r="M1224" i="5"/>
  <c r="N1224" i="5"/>
  <c r="L1224" i="5"/>
  <c r="O1224" i="5"/>
  <c r="E1224" i="5"/>
  <c r="G1224" i="5"/>
  <c r="H1224" i="5"/>
  <c r="T1224" i="5" l="1"/>
  <c r="P1224" i="5"/>
  <c r="S1225" i="5"/>
  <c r="A1226" i="5"/>
  <c r="R1225" i="5"/>
  <c r="Q1225" i="5" s="1"/>
  <c r="B1225" i="5"/>
  <c r="U1223" i="5"/>
  <c r="F1224" i="5"/>
  <c r="G1225" i="5"/>
  <c r="N1225" i="5"/>
  <c r="J1225" i="5"/>
  <c r="I1225" i="5"/>
  <c r="L1225" i="5"/>
  <c r="K1225" i="5"/>
  <c r="D1225" i="5"/>
  <c r="H1225" i="5"/>
  <c r="M1225" i="5"/>
  <c r="E1225" i="5"/>
  <c r="C1225" i="5"/>
  <c r="O1225" i="5"/>
  <c r="T1225" i="5" l="1"/>
  <c r="P1225" i="5"/>
  <c r="S1226" i="5"/>
  <c r="R1226" i="5"/>
  <c r="Q1226" i="5" s="1"/>
  <c r="B1226" i="5"/>
  <c r="A1227" i="5"/>
  <c r="U1224" i="5"/>
  <c r="F1225" i="5"/>
  <c r="L1226" i="5"/>
  <c r="O1226" i="5"/>
  <c r="H1226" i="5"/>
  <c r="E1226" i="5"/>
  <c r="M1226" i="5"/>
  <c r="C1226" i="5"/>
  <c r="D1226" i="5"/>
  <c r="G1226" i="5"/>
  <c r="J1226" i="5"/>
  <c r="N1226" i="5"/>
  <c r="I1226" i="5"/>
  <c r="K1226" i="5"/>
  <c r="T1226" i="5" l="1"/>
  <c r="P1226" i="5"/>
  <c r="S1227" i="5"/>
  <c r="A1228" i="5"/>
  <c r="R1227" i="5"/>
  <c r="Q1227" i="5" s="1"/>
  <c r="B1227" i="5"/>
  <c r="U1225" i="5"/>
  <c r="F1226" i="5"/>
  <c r="K1227" i="5"/>
  <c r="E1227" i="5"/>
  <c r="G1227" i="5"/>
  <c r="L1227" i="5"/>
  <c r="M1227" i="5"/>
  <c r="I1227" i="5"/>
  <c r="C1227" i="5"/>
  <c r="H1227" i="5"/>
  <c r="O1227" i="5"/>
  <c r="J1227" i="5"/>
  <c r="D1227" i="5"/>
  <c r="N1227" i="5"/>
  <c r="T1227" i="5" l="1"/>
  <c r="P1227" i="5"/>
  <c r="S1228" i="5"/>
  <c r="A1229" i="5"/>
  <c r="R1228" i="5"/>
  <c r="Q1228" i="5" s="1"/>
  <c r="B1228" i="5"/>
  <c r="U1226" i="5"/>
  <c r="F1227" i="5"/>
  <c r="L1228" i="5"/>
  <c r="J1228" i="5"/>
  <c r="H1228" i="5"/>
  <c r="K1228" i="5"/>
  <c r="G1228" i="5"/>
  <c r="N1228" i="5"/>
  <c r="C1228" i="5"/>
  <c r="D1228" i="5"/>
  <c r="E1228" i="5"/>
  <c r="M1228" i="5"/>
  <c r="I1228" i="5"/>
  <c r="O1228" i="5"/>
  <c r="T1228" i="5" l="1"/>
  <c r="P1228" i="5"/>
  <c r="S1229" i="5"/>
  <c r="A1230" i="5"/>
  <c r="R1229" i="5"/>
  <c r="Q1229" i="5" s="1"/>
  <c r="B1229" i="5"/>
  <c r="U1227" i="5"/>
  <c r="F1228" i="5"/>
  <c r="L1229" i="5"/>
  <c r="M1229" i="5"/>
  <c r="J1229" i="5"/>
  <c r="O1229" i="5"/>
  <c r="N1229" i="5"/>
  <c r="E1229" i="5"/>
  <c r="C1229" i="5"/>
  <c r="K1229" i="5"/>
  <c r="D1229" i="5"/>
  <c r="I1229" i="5"/>
  <c r="G1229" i="5"/>
  <c r="H1229" i="5"/>
  <c r="T1229" i="5" l="1"/>
  <c r="P1229" i="5"/>
  <c r="S1230" i="5"/>
  <c r="R1230" i="5"/>
  <c r="Q1230" i="5" s="1"/>
  <c r="B1230" i="5"/>
  <c r="A1231" i="5"/>
  <c r="U1228" i="5"/>
  <c r="F1229" i="5"/>
  <c r="J1230" i="5"/>
  <c r="C1230" i="5"/>
  <c r="I1230" i="5"/>
  <c r="N1230" i="5"/>
  <c r="O1230" i="5"/>
  <c r="L1230" i="5"/>
  <c r="K1230" i="5"/>
  <c r="E1230" i="5"/>
  <c r="G1230" i="5"/>
  <c r="H1230" i="5"/>
  <c r="M1230" i="5"/>
  <c r="D1230" i="5"/>
  <c r="T1230" i="5" l="1"/>
  <c r="P1230" i="5"/>
  <c r="S1231" i="5"/>
  <c r="A1232" i="5"/>
  <c r="R1231" i="5"/>
  <c r="Q1231" i="5" s="1"/>
  <c r="B1231" i="5"/>
  <c r="U1229" i="5"/>
  <c r="F1230" i="5"/>
  <c r="E1231" i="5"/>
  <c r="O1231" i="5"/>
  <c r="K1231" i="5"/>
  <c r="H1231" i="5"/>
  <c r="D1231" i="5"/>
  <c r="G1231" i="5"/>
  <c r="M1231" i="5"/>
  <c r="L1231" i="5"/>
  <c r="J1231" i="5"/>
  <c r="I1231" i="5"/>
  <c r="N1231" i="5"/>
  <c r="C1231" i="5"/>
  <c r="T1231" i="5" l="1"/>
  <c r="P1231" i="5"/>
  <c r="U1230" i="5"/>
  <c r="S1232" i="5"/>
  <c r="A1233" i="5"/>
  <c r="R1232" i="5"/>
  <c r="Q1232" i="5" s="1"/>
  <c r="B1232" i="5"/>
  <c r="F1231" i="5"/>
  <c r="E1232" i="5"/>
  <c r="C1232" i="5"/>
  <c r="J1232" i="5"/>
  <c r="L1232" i="5"/>
  <c r="M1232" i="5"/>
  <c r="N1232" i="5"/>
  <c r="O1232" i="5"/>
  <c r="D1232" i="5"/>
  <c r="H1232" i="5"/>
  <c r="K1232" i="5"/>
  <c r="I1232" i="5"/>
  <c r="G1232" i="5"/>
  <c r="T1232" i="5" l="1"/>
  <c r="P1232" i="5"/>
  <c r="S1233" i="5"/>
  <c r="R1233" i="5"/>
  <c r="Q1233" i="5" s="1"/>
  <c r="B1233" i="5"/>
  <c r="A1234" i="5"/>
  <c r="U1231" i="5"/>
  <c r="F1232" i="5"/>
  <c r="O1233" i="5"/>
  <c r="C1233" i="5"/>
  <c r="N1233" i="5"/>
  <c r="M1233" i="5"/>
  <c r="K1233" i="5"/>
  <c r="J1233" i="5"/>
  <c r="L1233" i="5"/>
  <c r="I1233" i="5"/>
  <c r="E1233" i="5"/>
  <c r="G1233" i="5"/>
  <c r="D1233" i="5"/>
  <c r="H1233" i="5"/>
  <c r="T1233" i="5" l="1"/>
  <c r="P1233" i="5"/>
  <c r="S1234" i="5"/>
  <c r="B1234" i="5"/>
  <c r="A1235" i="5"/>
  <c r="R1234" i="5"/>
  <c r="Q1234" i="5" s="1"/>
  <c r="U1232" i="5"/>
  <c r="L1234" i="5"/>
  <c r="E1234" i="5"/>
  <c r="K1234" i="5"/>
  <c r="O1234" i="5"/>
  <c r="N1234" i="5"/>
  <c r="I1234" i="5"/>
  <c r="C1234" i="5"/>
  <c r="M1234" i="5"/>
  <c r="G1234" i="5"/>
  <c r="D1234" i="5"/>
  <c r="J1234" i="5"/>
  <c r="H1234" i="5"/>
  <c r="F1233" i="5"/>
  <c r="T1234" i="5" l="1"/>
  <c r="P1234" i="5"/>
  <c r="U1233" i="5"/>
  <c r="S1235" i="5"/>
  <c r="R1235" i="5"/>
  <c r="Q1235" i="5" s="1"/>
  <c r="B1235" i="5"/>
  <c r="A1236" i="5"/>
  <c r="F1234" i="5"/>
  <c r="M1235" i="5"/>
  <c r="N1235" i="5"/>
  <c r="O1235" i="5"/>
  <c r="L1235" i="5"/>
  <c r="K1235" i="5"/>
  <c r="E1235" i="5"/>
  <c r="D1235" i="5"/>
  <c r="C1235" i="5"/>
  <c r="J1235" i="5"/>
  <c r="G1235" i="5"/>
  <c r="H1235" i="5"/>
  <c r="I1235" i="5"/>
  <c r="T1235" i="5" l="1"/>
  <c r="P1235" i="5"/>
  <c r="S1236" i="5"/>
  <c r="B1236" i="5"/>
  <c r="A1237" i="5"/>
  <c r="R1236" i="5"/>
  <c r="Q1236" i="5" s="1"/>
  <c r="U1234" i="5"/>
  <c r="F1235" i="5"/>
  <c r="K1236" i="5"/>
  <c r="D1236" i="5"/>
  <c r="H1236" i="5"/>
  <c r="O1236" i="5"/>
  <c r="M1236" i="5"/>
  <c r="I1236" i="5"/>
  <c r="J1236" i="5"/>
  <c r="L1236" i="5"/>
  <c r="E1236" i="5"/>
  <c r="C1236" i="5"/>
  <c r="G1236" i="5"/>
  <c r="N1236" i="5"/>
  <c r="T1236" i="5" l="1"/>
  <c r="P1236" i="5"/>
  <c r="S1237" i="5"/>
  <c r="R1237" i="5"/>
  <c r="Q1237" i="5" s="1"/>
  <c r="B1237" i="5"/>
  <c r="A1238" i="5"/>
  <c r="U1235" i="5"/>
  <c r="F1236" i="5"/>
  <c r="E1237" i="5"/>
  <c r="J1237" i="5"/>
  <c r="H1237" i="5"/>
  <c r="N1237" i="5"/>
  <c r="K1237" i="5"/>
  <c r="M1237" i="5"/>
  <c r="C1237" i="5"/>
  <c r="O1237" i="5"/>
  <c r="L1237" i="5"/>
  <c r="D1237" i="5"/>
  <c r="G1237" i="5"/>
  <c r="I1237" i="5"/>
  <c r="T1237" i="5" l="1"/>
  <c r="P1237" i="5"/>
  <c r="S1238" i="5"/>
  <c r="A1239" i="5"/>
  <c r="R1238" i="5"/>
  <c r="Q1238" i="5" s="1"/>
  <c r="B1238" i="5"/>
  <c r="U1236" i="5"/>
  <c r="F1237" i="5"/>
  <c r="E1238" i="5"/>
  <c r="L1238" i="5"/>
  <c r="J1238" i="5"/>
  <c r="G1238" i="5"/>
  <c r="H1238" i="5"/>
  <c r="O1238" i="5"/>
  <c r="I1238" i="5"/>
  <c r="M1238" i="5"/>
  <c r="C1238" i="5"/>
  <c r="D1238" i="5"/>
  <c r="K1238" i="5"/>
  <c r="N1238" i="5"/>
  <c r="T1238" i="5" l="1"/>
  <c r="P1238" i="5"/>
  <c r="U1238" i="5" s="1"/>
  <c r="S1239" i="5"/>
  <c r="A1240" i="5"/>
  <c r="R1239" i="5"/>
  <c r="Q1239" i="5" s="1"/>
  <c r="B1239" i="5"/>
  <c r="U1237" i="5"/>
  <c r="G1239" i="5"/>
  <c r="D1239" i="5"/>
  <c r="C1239" i="5"/>
  <c r="O1239" i="5"/>
  <c r="I1239" i="5"/>
  <c r="M1239" i="5"/>
  <c r="H1239" i="5"/>
  <c r="E1239" i="5"/>
  <c r="N1239" i="5"/>
  <c r="L1239" i="5"/>
  <c r="J1239" i="5"/>
  <c r="K1239" i="5"/>
  <c r="F1238" i="5"/>
  <c r="T1239" i="5" l="1"/>
  <c r="P1239" i="5"/>
  <c r="S1240" i="5"/>
  <c r="B1240" i="5"/>
  <c r="A1241" i="5"/>
  <c r="R1240" i="5"/>
  <c r="Q1240" i="5" s="1"/>
  <c r="F1239" i="5"/>
  <c r="D1240" i="5"/>
  <c r="N1240" i="5"/>
  <c r="M1240" i="5"/>
  <c r="H1240" i="5"/>
  <c r="J1240" i="5"/>
  <c r="L1240" i="5"/>
  <c r="O1240" i="5"/>
  <c r="I1240" i="5"/>
  <c r="K1240" i="5"/>
  <c r="G1240" i="5"/>
  <c r="E1240" i="5"/>
  <c r="C1240" i="5"/>
  <c r="T1240" i="5" l="1"/>
  <c r="P1240" i="5"/>
  <c r="S1241" i="5"/>
  <c r="A1242" i="5"/>
  <c r="B1241" i="5"/>
  <c r="R1241" i="5"/>
  <c r="Q1241" i="5" s="1"/>
  <c r="U1239" i="5"/>
  <c r="F1240" i="5"/>
  <c r="E1241" i="5"/>
  <c r="C1241" i="5"/>
  <c r="M1241" i="5"/>
  <c r="K1241" i="5"/>
  <c r="I1241" i="5"/>
  <c r="H1241" i="5"/>
  <c r="J1241" i="5"/>
  <c r="O1241" i="5"/>
  <c r="D1241" i="5"/>
  <c r="L1241" i="5"/>
  <c r="G1241" i="5"/>
  <c r="N1241" i="5"/>
  <c r="T1241" i="5" l="1"/>
  <c r="P1241" i="5"/>
  <c r="S1242" i="5"/>
  <c r="A1243" i="5"/>
  <c r="B1242" i="5"/>
  <c r="R1242" i="5"/>
  <c r="Q1242" i="5" s="1"/>
  <c r="U1240" i="5"/>
  <c r="F1241" i="5"/>
  <c r="H1242" i="5"/>
  <c r="K1242" i="5"/>
  <c r="J1242" i="5"/>
  <c r="O1242" i="5"/>
  <c r="I1242" i="5"/>
  <c r="N1242" i="5"/>
  <c r="E1242" i="5"/>
  <c r="D1242" i="5"/>
  <c r="G1242" i="5"/>
  <c r="L1242" i="5"/>
  <c r="C1242" i="5"/>
  <c r="M1242" i="5"/>
  <c r="T1242" i="5" l="1"/>
  <c r="P1242" i="5"/>
  <c r="S1243" i="5"/>
  <c r="A1244" i="5"/>
  <c r="R1243" i="5"/>
  <c r="Q1243" i="5" s="1"/>
  <c r="B1243" i="5"/>
  <c r="U1241" i="5"/>
  <c r="F1242" i="5"/>
  <c r="D1243" i="5"/>
  <c r="L1243" i="5"/>
  <c r="N1243" i="5"/>
  <c r="K1243" i="5"/>
  <c r="M1243" i="5"/>
  <c r="E1243" i="5"/>
  <c r="G1243" i="5"/>
  <c r="I1243" i="5"/>
  <c r="C1243" i="5"/>
  <c r="J1243" i="5"/>
  <c r="O1243" i="5"/>
  <c r="H1243" i="5"/>
  <c r="T1243" i="5" l="1"/>
  <c r="P1243" i="5"/>
  <c r="S1244" i="5"/>
  <c r="A1245" i="5"/>
  <c r="R1244" i="5"/>
  <c r="Q1244" i="5" s="1"/>
  <c r="B1244" i="5"/>
  <c r="U1242" i="5"/>
  <c r="F1243" i="5"/>
  <c r="H1244" i="5"/>
  <c r="C1244" i="5"/>
  <c r="J1244" i="5"/>
  <c r="E1244" i="5"/>
  <c r="N1244" i="5"/>
  <c r="O1244" i="5"/>
  <c r="I1244" i="5"/>
  <c r="M1244" i="5"/>
  <c r="G1244" i="5"/>
  <c r="D1244" i="5"/>
  <c r="L1244" i="5"/>
  <c r="K1244" i="5"/>
  <c r="T1244" i="5" l="1"/>
  <c r="P1244" i="5"/>
  <c r="S1245" i="5"/>
  <c r="A1246" i="5"/>
  <c r="R1245" i="5"/>
  <c r="Q1245" i="5" s="1"/>
  <c r="B1245" i="5"/>
  <c r="U1243" i="5"/>
  <c r="F1244" i="5"/>
  <c r="M1245" i="5"/>
  <c r="I1245" i="5"/>
  <c r="O1245" i="5"/>
  <c r="K1245" i="5"/>
  <c r="E1245" i="5"/>
  <c r="N1245" i="5"/>
  <c r="H1245" i="5"/>
  <c r="D1245" i="5"/>
  <c r="G1245" i="5"/>
  <c r="J1245" i="5"/>
  <c r="C1245" i="5"/>
  <c r="L1245" i="5"/>
  <c r="T1245" i="5" l="1"/>
  <c r="P1245" i="5"/>
  <c r="S1246" i="5"/>
  <c r="A1247" i="5"/>
  <c r="R1246" i="5"/>
  <c r="Q1246" i="5" s="1"/>
  <c r="B1246" i="5"/>
  <c r="U1244" i="5"/>
  <c r="F1245" i="5"/>
  <c r="K1246" i="5"/>
  <c r="I1246" i="5"/>
  <c r="H1246" i="5"/>
  <c r="M1246" i="5"/>
  <c r="J1246" i="5"/>
  <c r="G1246" i="5"/>
  <c r="O1246" i="5"/>
  <c r="N1246" i="5"/>
  <c r="L1246" i="5"/>
  <c r="C1246" i="5"/>
  <c r="E1246" i="5"/>
  <c r="D1246" i="5"/>
  <c r="T1246" i="5" l="1"/>
  <c r="P1246" i="5"/>
  <c r="S1247" i="5"/>
  <c r="A1248" i="5"/>
  <c r="B1247" i="5"/>
  <c r="R1247" i="5"/>
  <c r="Q1247" i="5" s="1"/>
  <c r="U1245" i="5"/>
  <c r="F1246" i="5"/>
  <c r="K1247" i="5"/>
  <c r="M1247" i="5"/>
  <c r="C1247" i="5"/>
  <c r="N1247" i="5"/>
  <c r="H1247" i="5"/>
  <c r="D1247" i="5"/>
  <c r="I1247" i="5"/>
  <c r="E1247" i="5"/>
  <c r="G1247" i="5"/>
  <c r="L1247" i="5"/>
  <c r="O1247" i="5"/>
  <c r="J1247" i="5"/>
  <c r="T1247" i="5" l="1"/>
  <c r="P1247" i="5"/>
  <c r="U1247" i="5" s="1"/>
  <c r="S1248" i="5"/>
  <c r="A1249" i="5"/>
  <c r="R1248" i="5"/>
  <c r="Q1248" i="5" s="1"/>
  <c r="B1248" i="5"/>
  <c r="U1246" i="5"/>
  <c r="L1248" i="5"/>
  <c r="K1248" i="5"/>
  <c r="J1248" i="5"/>
  <c r="O1248" i="5"/>
  <c r="E1248" i="5"/>
  <c r="M1248" i="5"/>
  <c r="G1248" i="5"/>
  <c r="I1248" i="5"/>
  <c r="C1248" i="5"/>
  <c r="N1248" i="5"/>
  <c r="D1248" i="5"/>
  <c r="H1248" i="5"/>
  <c r="F1247" i="5"/>
  <c r="T1248" i="5" l="1"/>
  <c r="P1248" i="5"/>
  <c r="S1249" i="5"/>
  <c r="B1249" i="5"/>
  <c r="A1250" i="5"/>
  <c r="R1249" i="5"/>
  <c r="Q1249" i="5" s="1"/>
  <c r="L1249" i="5"/>
  <c r="E1249" i="5"/>
  <c r="C1249" i="5"/>
  <c r="D1249" i="5"/>
  <c r="I1249" i="5"/>
  <c r="M1249" i="5"/>
  <c r="K1249" i="5"/>
  <c r="O1249" i="5"/>
  <c r="G1249" i="5"/>
  <c r="N1249" i="5"/>
  <c r="H1249" i="5"/>
  <c r="J1249" i="5"/>
  <c r="F1248" i="5"/>
  <c r="T1249" i="5" l="1"/>
  <c r="P1249" i="5"/>
  <c r="S1250" i="5"/>
  <c r="B1250" i="5"/>
  <c r="R1250" i="5"/>
  <c r="Q1250" i="5" s="1"/>
  <c r="A1251" i="5"/>
  <c r="U1248" i="5"/>
  <c r="F1249" i="5"/>
  <c r="J1250" i="5"/>
  <c r="D1250" i="5"/>
  <c r="K1250" i="5"/>
  <c r="E1250" i="5"/>
  <c r="O1250" i="5"/>
  <c r="C1250" i="5"/>
  <c r="N1250" i="5"/>
  <c r="H1250" i="5"/>
  <c r="G1250" i="5"/>
  <c r="I1250" i="5"/>
  <c r="L1250" i="5"/>
  <c r="M1250" i="5"/>
  <c r="T1250" i="5" l="1"/>
  <c r="P1250" i="5"/>
  <c r="S1251" i="5"/>
  <c r="B1251" i="5"/>
  <c r="A1252" i="5"/>
  <c r="R1251" i="5"/>
  <c r="Q1251" i="5" s="1"/>
  <c r="U1249" i="5"/>
  <c r="F1250" i="5"/>
  <c r="J1251" i="5"/>
  <c r="M1251" i="5"/>
  <c r="C1251" i="5"/>
  <c r="G1251" i="5"/>
  <c r="E1251" i="5"/>
  <c r="D1251" i="5"/>
  <c r="H1251" i="5"/>
  <c r="L1251" i="5"/>
  <c r="N1251" i="5"/>
  <c r="O1251" i="5"/>
  <c r="I1251" i="5"/>
  <c r="K1251" i="5"/>
  <c r="T1251" i="5" l="1"/>
  <c r="P1251" i="5"/>
  <c r="S1252" i="5"/>
  <c r="B1252" i="5"/>
  <c r="A1253" i="5"/>
  <c r="R1252" i="5"/>
  <c r="Q1252" i="5" s="1"/>
  <c r="U1250" i="5"/>
  <c r="F1251" i="5"/>
  <c r="O1252" i="5"/>
  <c r="L1252" i="5"/>
  <c r="J1252" i="5"/>
  <c r="M1252" i="5"/>
  <c r="E1252" i="5"/>
  <c r="C1252" i="5"/>
  <c r="I1252" i="5"/>
  <c r="D1252" i="5"/>
  <c r="G1252" i="5"/>
  <c r="H1252" i="5"/>
  <c r="N1252" i="5"/>
  <c r="K1252" i="5"/>
  <c r="T1252" i="5" l="1"/>
  <c r="P1252" i="5"/>
  <c r="S1253" i="5"/>
  <c r="B1253" i="5"/>
  <c r="A1254" i="5"/>
  <c r="R1253" i="5"/>
  <c r="Q1253" i="5" s="1"/>
  <c r="U1251" i="5"/>
  <c r="F1252" i="5"/>
  <c r="K1253" i="5"/>
  <c r="N1253" i="5"/>
  <c r="D1253" i="5"/>
  <c r="E1253" i="5"/>
  <c r="M1253" i="5"/>
  <c r="O1253" i="5"/>
  <c r="C1253" i="5"/>
  <c r="H1253" i="5"/>
  <c r="J1253" i="5"/>
  <c r="G1253" i="5"/>
  <c r="I1253" i="5"/>
  <c r="L1253" i="5"/>
  <c r="T1253" i="5" l="1"/>
  <c r="P1253" i="5"/>
  <c r="U1252" i="5"/>
  <c r="S1254" i="5"/>
  <c r="A1255" i="5"/>
  <c r="R1254" i="5"/>
  <c r="Q1254" i="5" s="1"/>
  <c r="B1254" i="5"/>
  <c r="F1253" i="5"/>
  <c r="M1254" i="5"/>
  <c r="E1254" i="5"/>
  <c r="G1254" i="5"/>
  <c r="D1254" i="5"/>
  <c r="K1254" i="5"/>
  <c r="O1254" i="5"/>
  <c r="I1254" i="5"/>
  <c r="J1254" i="5"/>
  <c r="N1254" i="5"/>
  <c r="C1254" i="5"/>
  <c r="H1254" i="5"/>
  <c r="L1254" i="5"/>
  <c r="T1254" i="5" l="1"/>
  <c r="P1254" i="5"/>
  <c r="S1255" i="5"/>
  <c r="B1255" i="5"/>
  <c r="R1255" i="5"/>
  <c r="Q1255" i="5" s="1"/>
  <c r="A1256" i="5"/>
  <c r="U1253" i="5"/>
  <c r="F1254" i="5"/>
  <c r="D1255" i="5"/>
  <c r="G1255" i="5"/>
  <c r="K1255" i="5"/>
  <c r="E1255" i="5"/>
  <c r="C1255" i="5"/>
  <c r="H1255" i="5"/>
  <c r="N1255" i="5"/>
  <c r="M1255" i="5"/>
  <c r="I1255" i="5"/>
  <c r="L1255" i="5"/>
  <c r="O1255" i="5"/>
  <c r="J1255" i="5"/>
  <c r="T1255" i="5" l="1"/>
  <c r="P1255" i="5"/>
  <c r="S1256" i="5"/>
  <c r="B1256" i="5"/>
  <c r="A1257" i="5"/>
  <c r="R1256" i="5"/>
  <c r="Q1256" i="5" s="1"/>
  <c r="U1254" i="5"/>
  <c r="F1255" i="5"/>
  <c r="C1256" i="5"/>
  <c r="D1256" i="5"/>
  <c r="J1256" i="5"/>
  <c r="E1256" i="5"/>
  <c r="M1256" i="5"/>
  <c r="O1256" i="5"/>
  <c r="L1256" i="5"/>
  <c r="I1256" i="5"/>
  <c r="G1256" i="5"/>
  <c r="K1256" i="5"/>
  <c r="N1256" i="5"/>
  <c r="H1256" i="5"/>
  <c r="T1256" i="5" l="1"/>
  <c r="P1256" i="5"/>
  <c r="S1257" i="5"/>
  <c r="B1257" i="5"/>
  <c r="R1257" i="5"/>
  <c r="Q1257" i="5" s="1"/>
  <c r="A1258" i="5"/>
  <c r="U1255" i="5"/>
  <c r="F1256" i="5"/>
  <c r="D1257" i="5"/>
  <c r="C1257" i="5"/>
  <c r="N1257" i="5"/>
  <c r="E1257" i="5"/>
  <c r="O1257" i="5"/>
  <c r="M1257" i="5"/>
  <c r="I1257" i="5"/>
  <c r="G1257" i="5"/>
  <c r="J1257" i="5"/>
  <c r="H1257" i="5"/>
  <c r="K1257" i="5"/>
  <c r="L1257" i="5"/>
  <c r="T1257" i="5" l="1"/>
  <c r="P1257" i="5"/>
  <c r="S1258" i="5"/>
  <c r="B1258" i="5"/>
  <c r="A1259" i="5"/>
  <c r="R1258" i="5"/>
  <c r="Q1258" i="5" s="1"/>
  <c r="U1256" i="5"/>
  <c r="F1257" i="5"/>
  <c r="M1258" i="5"/>
  <c r="J1258" i="5"/>
  <c r="I1258" i="5"/>
  <c r="K1258" i="5"/>
  <c r="G1258" i="5"/>
  <c r="C1258" i="5"/>
  <c r="H1258" i="5"/>
  <c r="O1258" i="5"/>
  <c r="L1258" i="5"/>
  <c r="D1258" i="5"/>
  <c r="N1258" i="5"/>
  <c r="E1258" i="5"/>
  <c r="T1258" i="5" l="1"/>
  <c r="P1258" i="5"/>
  <c r="S1259" i="5"/>
  <c r="A1260" i="5"/>
  <c r="R1259" i="5"/>
  <c r="Q1259" i="5" s="1"/>
  <c r="B1259" i="5"/>
  <c r="U1257" i="5"/>
  <c r="F1258" i="5"/>
  <c r="C1259" i="5"/>
  <c r="H1259" i="5"/>
  <c r="K1259" i="5"/>
  <c r="M1259" i="5"/>
  <c r="E1259" i="5"/>
  <c r="J1259" i="5"/>
  <c r="G1259" i="5"/>
  <c r="D1259" i="5"/>
  <c r="I1259" i="5"/>
  <c r="O1259" i="5"/>
  <c r="L1259" i="5"/>
  <c r="N1259" i="5"/>
  <c r="T1259" i="5" l="1"/>
  <c r="P1259" i="5"/>
  <c r="S1260" i="5"/>
  <c r="B1260" i="5"/>
  <c r="A1261" i="5"/>
  <c r="R1260" i="5"/>
  <c r="Q1260" i="5" s="1"/>
  <c r="U1258" i="5"/>
  <c r="F1259" i="5"/>
  <c r="C1260" i="5"/>
  <c r="H1260" i="5"/>
  <c r="N1260" i="5"/>
  <c r="K1260" i="5"/>
  <c r="M1260" i="5"/>
  <c r="E1260" i="5"/>
  <c r="G1260" i="5"/>
  <c r="I1260" i="5"/>
  <c r="O1260" i="5"/>
  <c r="J1260" i="5"/>
  <c r="L1260" i="5"/>
  <c r="D1260" i="5"/>
  <c r="T1260" i="5" l="1"/>
  <c r="P1260" i="5"/>
  <c r="S1261" i="5"/>
  <c r="A1262" i="5"/>
  <c r="R1261" i="5"/>
  <c r="Q1261" i="5" s="1"/>
  <c r="B1261" i="5"/>
  <c r="U1259" i="5"/>
  <c r="F1260" i="5"/>
  <c r="N1261" i="5"/>
  <c r="C1261" i="5"/>
  <c r="H1261" i="5"/>
  <c r="O1261" i="5"/>
  <c r="J1261" i="5"/>
  <c r="L1261" i="5"/>
  <c r="K1261" i="5"/>
  <c r="G1261" i="5"/>
  <c r="E1261" i="5"/>
  <c r="I1261" i="5"/>
  <c r="M1261" i="5"/>
  <c r="D1261" i="5"/>
  <c r="T1261" i="5" l="1"/>
  <c r="P1261" i="5"/>
  <c r="S1262" i="5"/>
  <c r="B1262" i="5"/>
  <c r="A1263" i="5"/>
  <c r="R1262" i="5"/>
  <c r="Q1262" i="5" s="1"/>
  <c r="U1260" i="5"/>
  <c r="F1261" i="5"/>
  <c r="D1262" i="5"/>
  <c r="C1262" i="5"/>
  <c r="I1262" i="5"/>
  <c r="E1262" i="5"/>
  <c r="M1262" i="5"/>
  <c r="H1262" i="5"/>
  <c r="J1262" i="5"/>
  <c r="K1262" i="5"/>
  <c r="G1262" i="5"/>
  <c r="N1262" i="5"/>
  <c r="L1262" i="5"/>
  <c r="O1262" i="5"/>
  <c r="T1262" i="5" l="1"/>
  <c r="P1262" i="5"/>
  <c r="S1263" i="5"/>
  <c r="B1263" i="5"/>
  <c r="A1264" i="5"/>
  <c r="R1263" i="5"/>
  <c r="Q1263" i="5" s="1"/>
  <c r="U1261" i="5"/>
  <c r="F1262" i="5"/>
  <c r="C1263" i="5"/>
  <c r="N1263" i="5"/>
  <c r="L1263" i="5"/>
  <c r="K1263" i="5"/>
  <c r="O1263" i="5"/>
  <c r="H1263" i="5"/>
  <c r="J1263" i="5"/>
  <c r="I1263" i="5"/>
  <c r="E1263" i="5"/>
  <c r="G1263" i="5"/>
  <c r="D1263" i="5"/>
  <c r="M1263" i="5"/>
  <c r="T1263" i="5" l="1"/>
  <c r="P1263" i="5"/>
  <c r="S1264" i="5"/>
  <c r="B1264" i="5"/>
  <c r="A1265" i="5"/>
  <c r="R1264" i="5"/>
  <c r="Q1264" i="5" s="1"/>
  <c r="U1262" i="5"/>
  <c r="F1263" i="5"/>
  <c r="E1264" i="5"/>
  <c r="N1264" i="5"/>
  <c r="K1264" i="5"/>
  <c r="O1264" i="5"/>
  <c r="H1264" i="5"/>
  <c r="J1264" i="5"/>
  <c r="D1264" i="5"/>
  <c r="G1264" i="5"/>
  <c r="I1264" i="5"/>
  <c r="L1264" i="5"/>
  <c r="M1264" i="5"/>
  <c r="C1264" i="5"/>
  <c r="T1264" i="5" l="1"/>
  <c r="P1264" i="5"/>
  <c r="S1265" i="5"/>
  <c r="B1265" i="5"/>
  <c r="A1266" i="5"/>
  <c r="R1265" i="5"/>
  <c r="Q1265" i="5" s="1"/>
  <c r="U1263" i="5"/>
  <c r="F1264" i="5"/>
  <c r="E1265" i="5"/>
  <c r="D1265" i="5"/>
  <c r="J1265" i="5"/>
  <c r="I1265" i="5"/>
  <c r="G1265" i="5"/>
  <c r="K1265" i="5"/>
  <c r="H1265" i="5"/>
  <c r="M1265" i="5"/>
  <c r="O1265" i="5"/>
  <c r="L1265" i="5"/>
  <c r="C1265" i="5"/>
  <c r="N1265" i="5"/>
  <c r="T1265" i="5" l="1"/>
  <c r="P1265" i="5"/>
  <c r="U1265" i="5" s="1"/>
  <c r="S1266" i="5"/>
  <c r="B1266" i="5"/>
  <c r="R1266" i="5"/>
  <c r="Q1266" i="5" s="1"/>
  <c r="A1267" i="5"/>
  <c r="U1264" i="5"/>
  <c r="K1266" i="5"/>
  <c r="I1266" i="5"/>
  <c r="C1266" i="5"/>
  <c r="D1266" i="5"/>
  <c r="M1266" i="5"/>
  <c r="J1266" i="5"/>
  <c r="H1266" i="5"/>
  <c r="G1266" i="5"/>
  <c r="E1266" i="5"/>
  <c r="N1266" i="5"/>
  <c r="L1266" i="5"/>
  <c r="O1266" i="5"/>
  <c r="F1265" i="5"/>
  <c r="T1266" i="5" l="1"/>
  <c r="P1266" i="5"/>
  <c r="S1267" i="5"/>
  <c r="B1267" i="5"/>
  <c r="A1268" i="5"/>
  <c r="R1267" i="5"/>
  <c r="Q1267" i="5" s="1"/>
  <c r="F1266" i="5"/>
  <c r="E1267" i="5"/>
  <c r="I1267" i="5"/>
  <c r="D1267" i="5"/>
  <c r="L1267" i="5"/>
  <c r="O1267" i="5"/>
  <c r="C1267" i="5"/>
  <c r="H1267" i="5"/>
  <c r="N1267" i="5"/>
  <c r="J1267" i="5"/>
  <c r="M1267" i="5"/>
  <c r="G1267" i="5"/>
  <c r="K1267" i="5"/>
  <c r="T1267" i="5" l="1"/>
  <c r="P1267" i="5"/>
  <c r="S1268" i="5"/>
  <c r="B1268" i="5"/>
  <c r="R1268" i="5"/>
  <c r="Q1268" i="5" s="1"/>
  <c r="A1269" i="5"/>
  <c r="U1266" i="5"/>
  <c r="I1268" i="5"/>
  <c r="J1268" i="5"/>
  <c r="D1268" i="5"/>
  <c r="H1268" i="5"/>
  <c r="L1268" i="5"/>
  <c r="O1268" i="5"/>
  <c r="G1268" i="5"/>
  <c r="K1268" i="5"/>
  <c r="C1268" i="5"/>
  <c r="M1268" i="5"/>
  <c r="N1268" i="5"/>
  <c r="E1268" i="5"/>
  <c r="F1267" i="5"/>
  <c r="T1268" i="5" l="1"/>
  <c r="P1268" i="5"/>
  <c r="U1267" i="5"/>
  <c r="S1269" i="5"/>
  <c r="B1269" i="5"/>
  <c r="A1270" i="5"/>
  <c r="R1269" i="5"/>
  <c r="Q1269" i="5" s="1"/>
  <c r="F1268" i="5"/>
  <c r="C1269" i="5"/>
  <c r="E1269" i="5"/>
  <c r="K1269" i="5"/>
  <c r="G1269" i="5"/>
  <c r="H1269" i="5"/>
  <c r="J1269" i="5"/>
  <c r="N1269" i="5"/>
  <c r="D1269" i="5"/>
  <c r="O1269" i="5"/>
  <c r="L1269" i="5"/>
  <c r="I1269" i="5"/>
  <c r="M1269" i="5"/>
  <c r="P1269" i="5" l="1"/>
  <c r="T1269" i="5"/>
  <c r="S1270" i="5"/>
  <c r="A1271" i="5"/>
  <c r="B1270" i="5"/>
  <c r="R1270" i="5"/>
  <c r="Q1270" i="5" s="1"/>
  <c r="U1268" i="5"/>
  <c r="F1269" i="5"/>
  <c r="L1270" i="5"/>
  <c r="E1270" i="5"/>
  <c r="J1270" i="5"/>
  <c r="O1270" i="5"/>
  <c r="C1270" i="5"/>
  <c r="H1270" i="5"/>
  <c r="K1270" i="5"/>
  <c r="D1270" i="5"/>
  <c r="M1270" i="5"/>
  <c r="G1270" i="5"/>
  <c r="N1270" i="5"/>
  <c r="I1270" i="5"/>
  <c r="T1270" i="5" l="1"/>
  <c r="P1270" i="5"/>
  <c r="S1271" i="5"/>
  <c r="B1271" i="5"/>
  <c r="R1271" i="5"/>
  <c r="Q1271" i="5" s="1"/>
  <c r="A1272" i="5"/>
  <c r="U1269" i="5"/>
  <c r="K1271" i="5"/>
  <c r="E1271" i="5"/>
  <c r="J1271" i="5"/>
  <c r="H1271" i="5"/>
  <c r="N1271" i="5"/>
  <c r="G1271" i="5"/>
  <c r="O1271" i="5"/>
  <c r="I1271" i="5"/>
  <c r="M1271" i="5"/>
  <c r="D1271" i="5"/>
  <c r="L1271" i="5"/>
  <c r="C1271" i="5"/>
  <c r="F1270" i="5"/>
  <c r="T1271" i="5" l="1"/>
  <c r="P1271" i="5"/>
  <c r="S1272" i="5"/>
  <c r="A1273" i="5"/>
  <c r="R1272" i="5"/>
  <c r="Q1272" i="5" s="1"/>
  <c r="B1272" i="5"/>
  <c r="U1270" i="5"/>
  <c r="F1271" i="5"/>
  <c r="H1272" i="5"/>
  <c r="E1272" i="5"/>
  <c r="C1272" i="5"/>
  <c r="D1272" i="5"/>
  <c r="M1272" i="5"/>
  <c r="K1272" i="5"/>
  <c r="O1272" i="5"/>
  <c r="N1272" i="5"/>
  <c r="J1272" i="5"/>
  <c r="G1272" i="5"/>
  <c r="I1272" i="5"/>
  <c r="L1272" i="5"/>
  <c r="T1272" i="5" l="1"/>
  <c r="P1272" i="5"/>
  <c r="U1271" i="5"/>
  <c r="S1273" i="5"/>
  <c r="B1273" i="5"/>
  <c r="A1274" i="5"/>
  <c r="R1273" i="5"/>
  <c r="Q1273" i="5" s="1"/>
  <c r="F1272" i="5"/>
  <c r="E1273" i="5"/>
  <c r="K1273" i="5"/>
  <c r="D1273" i="5"/>
  <c r="I1273" i="5"/>
  <c r="M1273" i="5"/>
  <c r="O1273" i="5"/>
  <c r="H1273" i="5"/>
  <c r="L1273" i="5"/>
  <c r="G1273" i="5"/>
  <c r="C1273" i="5"/>
  <c r="J1273" i="5"/>
  <c r="N1273" i="5"/>
  <c r="T1273" i="5" l="1"/>
  <c r="P1273" i="5"/>
  <c r="S1274" i="5"/>
  <c r="R1274" i="5"/>
  <c r="Q1274" i="5" s="1"/>
  <c r="B1274" i="5"/>
  <c r="A1275" i="5"/>
  <c r="U1272" i="5"/>
  <c r="F1273" i="5"/>
  <c r="E1274" i="5"/>
  <c r="M1274" i="5"/>
  <c r="N1274" i="5"/>
  <c r="O1274" i="5"/>
  <c r="K1274" i="5"/>
  <c r="C1274" i="5"/>
  <c r="G1274" i="5"/>
  <c r="J1274" i="5"/>
  <c r="D1274" i="5"/>
  <c r="H1274" i="5"/>
  <c r="L1274" i="5"/>
  <c r="I1274" i="5"/>
  <c r="T1274" i="5" l="1"/>
  <c r="P1274" i="5"/>
  <c r="S1275" i="5"/>
  <c r="A1276" i="5"/>
  <c r="R1275" i="5"/>
  <c r="Q1275" i="5" s="1"/>
  <c r="B1275" i="5"/>
  <c r="U1273" i="5"/>
  <c r="F1274" i="5"/>
  <c r="E1275" i="5"/>
  <c r="D1275" i="5"/>
  <c r="M1275" i="5"/>
  <c r="K1275" i="5"/>
  <c r="O1275" i="5"/>
  <c r="H1275" i="5"/>
  <c r="J1275" i="5"/>
  <c r="I1275" i="5"/>
  <c r="G1275" i="5"/>
  <c r="L1275" i="5"/>
  <c r="C1275" i="5"/>
  <c r="N1275" i="5"/>
  <c r="T1275" i="5" l="1"/>
  <c r="P1275" i="5"/>
  <c r="U1274" i="5"/>
  <c r="S1276" i="5"/>
  <c r="A1277" i="5"/>
  <c r="R1276" i="5"/>
  <c r="Q1276" i="5" s="1"/>
  <c r="B1276" i="5"/>
  <c r="F1275" i="5"/>
  <c r="L1276" i="5"/>
  <c r="O1276" i="5"/>
  <c r="C1276" i="5"/>
  <c r="D1276" i="5"/>
  <c r="E1276" i="5"/>
  <c r="I1276" i="5"/>
  <c r="H1276" i="5"/>
  <c r="M1276" i="5"/>
  <c r="G1276" i="5"/>
  <c r="K1276" i="5"/>
  <c r="N1276" i="5"/>
  <c r="J1276" i="5"/>
  <c r="T1276" i="5" l="1"/>
  <c r="P1276" i="5"/>
  <c r="S1277" i="5"/>
  <c r="B1277" i="5"/>
  <c r="A1278" i="5"/>
  <c r="R1277" i="5"/>
  <c r="Q1277" i="5" s="1"/>
  <c r="U1275" i="5"/>
  <c r="F1276" i="5"/>
  <c r="H1277" i="5"/>
  <c r="O1277" i="5"/>
  <c r="L1277" i="5"/>
  <c r="J1277" i="5"/>
  <c r="E1277" i="5"/>
  <c r="I1277" i="5"/>
  <c r="K1277" i="5"/>
  <c r="M1277" i="5"/>
  <c r="G1277" i="5"/>
  <c r="C1277" i="5"/>
  <c r="D1277" i="5"/>
  <c r="N1277" i="5"/>
  <c r="T1277" i="5" l="1"/>
  <c r="P1277" i="5"/>
  <c r="S1278" i="5"/>
  <c r="A1279" i="5"/>
  <c r="R1278" i="5"/>
  <c r="Q1278" i="5" s="1"/>
  <c r="B1278" i="5"/>
  <c r="U1276" i="5"/>
  <c r="F1277" i="5"/>
  <c r="D1278" i="5"/>
  <c r="H1278" i="5"/>
  <c r="O1278" i="5"/>
  <c r="G1278" i="5"/>
  <c r="I1278" i="5"/>
  <c r="N1278" i="5"/>
  <c r="M1278" i="5"/>
  <c r="E1278" i="5"/>
  <c r="J1278" i="5"/>
  <c r="K1278" i="5"/>
  <c r="L1278" i="5"/>
  <c r="C1278" i="5"/>
  <c r="T1278" i="5" l="1"/>
  <c r="P1278" i="5"/>
  <c r="S1279" i="5"/>
  <c r="A1280" i="5"/>
  <c r="R1279" i="5"/>
  <c r="Q1279" i="5" s="1"/>
  <c r="B1279" i="5"/>
  <c r="U1277" i="5"/>
  <c r="F1278" i="5"/>
  <c r="H1279" i="5"/>
  <c r="I1279" i="5"/>
  <c r="N1279" i="5"/>
  <c r="L1279" i="5"/>
  <c r="K1279" i="5"/>
  <c r="G1279" i="5"/>
  <c r="D1279" i="5"/>
  <c r="E1279" i="5"/>
  <c r="J1279" i="5"/>
  <c r="O1279" i="5"/>
  <c r="C1279" i="5"/>
  <c r="M1279" i="5"/>
  <c r="T1279" i="5" l="1"/>
  <c r="P1279" i="5"/>
  <c r="S1280" i="5"/>
  <c r="A1281" i="5"/>
  <c r="R1280" i="5"/>
  <c r="Q1280" i="5" s="1"/>
  <c r="B1280" i="5"/>
  <c r="U1278" i="5"/>
  <c r="F1279" i="5"/>
  <c r="L1280" i="5"/>
  <c r="J1280" i="5"/>
  <c r="H1280" i="5"/>
  <c r="O1280" i="5"/>
  <c r="D1280" i="5"/>
  <c r="E1280" i="5"/>
  <c r="I1280" i="5"/>
  <c r="G1280" i="5"/>
  <c r="N1280" i="5"/>
  <c r="M1280" i="5"/>
  <c r="C1280" i="5"/>
  <c r="K1280" i="5"/>
  <c r="T1280" i="5" l="1"/>
  <c r="P1280" i="5"/>
  <c r="S1281" i="5"/>
  <c r="B1281" i="5"/>
  <c r="R1281" i="5"/>
  <c r="Q1281" i="5" s="1"/>
  <c r="A1282" i="5"/>
  <c r="U1279" i="5"/>
  <c r="M1281" i="5"/>
  <c r="N1281" i="5"/>
  <c r="G1281" i="5"/>
  <c r="K1281" i="5"/>
  <c r="D1281" i="5"/>
  <c r="O1281" i="5"/>
  <c r="J1281" i="5"/>
  <c r="H1281" i="5"/>
  <c r="I1281" i="5"/>
  <c r="E1281" i="5"/>
  <c r="L1281" i="5"/>
  <c r="C1281" i="5"/>
  <c r="F1280" i="5"/>
  <c r="T1281" i="5" l="1"/>
  <c r="P1281" i="5"/>
  <c r="S1282" i="5"/>
  <c r="R1282" i="5"/>
  <c r="Q1282" i="5" s="1"/>
  <c r="B1282" i="5"/>
  <c r="A1283" i="5"/>
  <c r="U1280" i="5"/>
  <c r="F1281" i="5"/>
  <c r="K1282" i="5"/>
  <c r="E1282" i="5"/>
  <c r="C1282" i="5"/>
  <c r="N1282" i="5"/>
  <c r="O1282" i="5"/>
  <c r="D1282" i="5"/>
  <c r="J1282" i="5"/>
  <c r="H1282" i="5"/>
  <c r="M1282" i="5"/>
  <c r="I1282" i="5"/>
  <c r="G1282" i="5"/>
  <c r="L1282" i="5"/>
  <c r="T1282" i="5" l="1"/>
  <c r="P1282" i="5"/>
  <c r="S1283" i="5"/>
  <c r="R1283" i="5"/>
  <c r="Q1283" i="5" s="1"/>
  <c r="B1283" i="5"/>
  <c r="A1284" i="5"/>
  <c r="U1281" i="5"/>
  <c r="F1282" i="5"/>
  <c r="J1283" i="5"/>
  <c r="D1283" i="5"/>
  <c r="O1283" i="5"/>
  <c r="C1283" i="5"/>
  <c r="K1283" i="5"/>
  <c r="N1283" i="5"/>
  <c r="M1283" i="5"/>
  <c r="L1283" i="5"/>
  <c r="G1283" i="5"/>
  <c r="E1283" i="5"/>
  <c r="H1283" i="5"/>
  <c r="I1283" i="5"/>
  <c r="T1283" i="5" l="1"/>
  <c r="P1283" i="5"/>
  <c r="S1284" i="5"/>
  <c r="R1284" i="5"/>
  <c r="Q1284" i="5" s="1"/>
  <c r="B1284" i="5"/>
  <c r="A1285" i="5"/>
  <c r="U1282" i="5"/>
  <c r="F1283" i="5"/>
  <c r="L1284" i="5"/>
  <c r="C1284" i="5"/>
  <c r="G1284" i="5"/>
  <c r="H1284" i="5"/>
  <c r="J1284" i="5"/>
  <c r="M1284" i="5"/>
  <c r="N1284" i="5"/>
  <c r="D1284" i="5"/>
  <c r="O1284" i="5"/>
  <c r="E1284" i="5"/>
  <c r="K1284" i="5"/>
  <c r="I1284" i="5"/>
  <c r="T1284" i="5" l="1"/>
  <c r="P1284" i="5"/>
  <c r="S1285" i="5"/>
  <c r="A1286" i="5"/>
  <c r="R1285" i="5"/>
  <c r="Q1285" i="5" s="1"/>
  <c r="B1285" i="5"/>
  <c r="U1283" i="5"/>
  <c r="F1284" i="5"/>
  <c r="M1285" i="5"/>
  <c r="O1285" i="5"/>
  <c r="K1285" i="5"/>
  <c r="N1285" i="5"/>
  <c r="J1285" i="5"/>
  <c r="L1285" i="5"/>
  <c r="E1285" i="5"/>
  <c r="D1285" i="5"/>
  <c r="H1285" i="5"/>
  <c r="C1285" i="5"/>
  <c r="I1285" i="5"/>
  <c r="G1285" i="5"/>
  <c r="T1285" i="5" l="1"/>
  <c r="P1285" i="5"/>
  <c r="S1286" i="5"/>
  <c r="R1286" i="5"/>
  <c r="Q1286" i="5" s="1"/>
  <c r="B1286" i="5"/>
  <c r="A1287" i="5"/>
  <c r="U1284" i="5"/>
  <c r="F1285" i="5"/>
  <c r="H1286" i="5"/>
  <c r="D1286" i="5"/>
  <c r="K1286" i="5"/>
  <c r="L1286" i="5"/>
  <c r="G1286" i="5"/>
  <c r="M1286" i="5"/>
  <c r="J1286" i="5"/>
  <c r="E1286" i="5"/>
  <c r="O1286" i="5"/>
  <c r="N1286" i="5"/>
  <c r="C1286" i="5"/>
  <c r="I1286" i="5"/>
  <c r="T1286" i="5" l="1"/>
  <c r="P1286" i="5"/>
  <c r="S1287" i="5"/>
  <c r="A1288" i="5"/>
  <c r="R1287" i="5"/>
  <c r="Q1287" i="5" s="1"/>
  <c r="B1287" i="5"/>
  <c r="U1285" i="5"/>
  <c r="F1286" i="5"/>
  <c r="H1287" i="5"/>
  <c r="D1287" i="5"/>
  <c r="J1287" i="5"/>
  <c r="L1287" i="5"/>
  <c r="O1287" i="5"/>
  <c r="N1287" i="5"/>
  <c r="I1287" i="5"/>
  <c r="G1287" i="5"/>
  <c r="K1287" i="5"/>
  <c r="C1287" i="5"/>
  <c r="E1287" i="5"/>
  <c r="M1287" i="5"/>
  <c r="T1287" i="5" l="1"/>
  <c r="P1287" i="5"/>
  <c r="S1288" i="5"/>
  <c r="R1288" i="5"/>
  <c r="Q1288" i="5" s="1"/>
  <c r="B1288" i="5"/>
  <c r="A1289" i="5"/>
  <c r="U1286" i="5"/>
  <c r="F1287" i="5"/>
  <c r="L1288" i="5"/>
  <c r="J1288" i="5"/>
  <c r="H1288" i="5"/>
  <c r="D1288" i="5"/>
  <c r="C1288" i="5"/>
  <c r="E1288" i="5"/>
  <c r="N1288" i="5"/>
  <c r="M1288" i="5"/>
  <c r="K1288" i="5"/>
  <c r="O1288" i="5"/>
  <c r="G1288" i="5"/>
  <c r="I1288" i="5"/>
  <c r="T1288" i="5" l="1"/>
  <c r="P1288" i="5"/>
  <c r="S1289" i="5"/>
  <c r="R1289" i="5"/>
  <c r="Q1289" i="5" s="1"/>
  <c r="B1289" i="5"/>
  <c r="A1290" i="5"/>
  <c r="U1287" i="5"/>
  <c r="F1288" i="5"/>
  <c r="N1289" i="5"/>
  <c r="I1289" i="5"/>
  <c r="E1289" i="5"/>
  <c r="O1289" i="5"/>
  <c r="J1289" i="5"/>
  <c r="K1289" i="5"/>
  <c r="M1289" i="5"/>
  <c r="C1289" i="5"/>
  <c r="H1289" i="5"/>
  <c r="L1289" i="5"/>
  <c r="D1289" i="5"/>
  <c r="G1289" i="5"/>
  <c r="T1289" i="5" l="1"/>
  <c r="P1289" i="5"/>
  <c r="S1290" i="5"/>
  <c r="A1291" i="5"/>
  <c r="R1290" i="5"/>
  <c r="Q1290" i="5" s="1"/>
  <c r="B1290" i="5"/>
  <c r="U1288" i="5"/>
  <c r="F1289" i="5"/>
  <c r="K1290" i="5"/>
  <c r="N1290" i="5"/>
  <c r="H1290" i="5"/>
  <c r="L1290" i="5"/>
  <c r="D1290" i="5"/>
  <c r="M1290" i="5"/>
  <c r="I1290" i="5"/>
  <c r="O1290" i="5"/>
  <c r="E1290" i="5"/>
  <c r="C1290" i="5"/>
  <c r="J1290" i="5"/>
  <c r="G1290" i="5"/>
  <c r="T1290" i="5" l="1"/>
  <c r="P1290" i="5"/>
  <c r="S1291" i="5"/>
  <c r="R1291" i="5"/>
  <c r="Q1291" i="5" s="1"/>
  <c r="B1291" i="5"/>
  <c r="A1292" i="5"/>
  <c r="U1289" i="5"/>
  <c r="F1290" i="5"/>
  <c r="D1291" i="5"/>
  <c r="E1291" i="5"/>
  <c r="M1291" i="5"/>
  <c r="K1291" i="5"/>
  <c r="G1291" i="5"/>
  <c r="H1291" i="5"/>
  <c r="C1291" i="5"/>
  <c r="N1291" i="5"/>
  <c r="J1291" i="5"/>
  <c r="I1291" i="5"/>
  <c r="O1291" i="5"/>
  <c r="L1291" i="5"/>
  <c r="T1291" i="5" l="1"/>
  <c r="P1291" i="5"/>
  <c r="S1292" i="5"/>
  <c r="A1293" i="5"/>
  <c r="R1292" i="5"/>
  <c r="Q1292" i="5" s="1"/>
  <c r="B1292" i="5"/>
  <c r="U1290" i="5"/>
  <c r="F1291" i="5"/>
  <c r="O1292" i="5"/>
  <c r="D1292" i="5"/>
  <c r="I1292" i="5"/>
  <c r="L1292" i="5"/>
  <c r="G1292" i="5"/>
  <c r="H1292" i="5"/>
  <c r="N1292" i="5"/>
  <c r="M1292" i="5"/>
  <c r="C1292" i="5"/>
  <c r="K1292" i="5"/>
  <c r="J1292" i="5"/>
  <c r="E1292" i="5"/>
  <c r="T1292" i="5" l="1"/>
  <c r="P1292" i="5"/>
  <c r="S1293" i="5"/>
  <c r="R1293" i="5"/>
  <c r="Q1293" i="5" s="1"/>
  <c r="B1293" i="5"/>
  <c r="A1294" i="5"/>
  <c r="U1291" i="5"/>
  <c r="F1292" i="5"/>
  <c r="M1293" i="5"/>
  <c r="H1293" i="5"/>
  <c r="O1293" i="5"/>
  <c r="I1293" i="5"/>
  <c r="J1293" i="5"/>
  <c r="D1293" i="5"/>
  <c r="E1293" i="5"/>
  <c r="G1293" i="5"/>
  <c r="K1293" i="5"/>
  <c r="N1293" i="5"/>
  <c r="C1293" i="5"/>
  <c r="L1293" i="5"/>
  <c r="T1293" i="5" l="1"/>
  <c r="P1293" i="5"/>
  <c r="U1292" i="5"/>
  <c r="S1294" i="5"/>
  <c r="A1295" i="5"/>
  <c r="R1294" i="5"/>
  <c r="Q1294" i="5" s="1"/>
  <c r="B1294" i="5"/>
  <c r="F1293" i="5"/>
  <c r="K1294" i="5"/>
  <c r="H1294" i="5"/>
  <c r="M1294" i="5"/>
  <c r="G1294" i="5"/>
  <c r="L1294" i="5"/>
  <c r="E1294" i="5"/>
  <c r="N1294" i="5"/>
  <c r="D1294" i="5"/>
  <c r="J1294" i="5"/>
  <c r="O1294" i="5"/>
  <c r="I1294" i="5"/>
  <c r="C1294" i="5"/>
  <c r="T1294" i="5" l="1"/>
  <c r="P1294" i="5"/>
  <c r="S1295" i="5"/>
  <c r="B1295" i="5"/>
  <c r="A1296" i="5"/>
  <c r="R1295" i="5"/>
  <c r="Q1295" i="5" s="1"/>
  <c r="U1293" i="5"/>
  <c r="F1294" i="5"/>
  <c r="J1295" i="5"/>
  <c r="I1295" i="5"/>
  <c r="M1295" i="5"/>
  <c r="N1295" i="5"/>
  <c r="H1295" i="5"/>
  <c r="G1295" i="5"/>
  <c r="C1295" i="5"/>
  <c r="E1295" i="5"/>
  <c r="O1295" i="5"/>
  <c r="L1295" i="5"/>
  <c r="D1295" i="5"/>
  <c r="K1295" i="5"/>
  <c r="T1295" i="5" l="1"/>
  <c r="P1295" i="5"/>
  <c r="S1296" i="5"/>
  <c r="R1296" i="5"/>
  <c r="Q1296" i="5" s="1"/>
  <c r="B1296" i="5"/>
  <c r="A1297" i="5"/>
  <c r="U1294" i="5"/>
  <c r="F1295" i="5"/>
  <c r="H1296" i="5"/>
  <c r="M1296" i="5"/>
  <c r="G1296" i="5"/>
  <c r="O1296" i="5"/>
  <c r="K1296" i="5"/>
  <c r="N1296" i="5"/>
  <c r="J1296" i="5"/>
  <c r="C1296" i="5"/>
  <c r="I1296" i="5"/>
  <c r="L1296" i="5"/>
  <c r="E1296" i="5"/>
  <c r="D1296" i="5"/>
  <c r="T1296" i="5" l="1"/>
  <c r="P1296" i="5"/>
  <c r="S1297" i="5"/>
  <c r="R1297" i="5"/>
  <c r="Q1297" i="5" s="1"/>
  <c r="B1297" i="5"/>
  <c r="A1298" i="5"/>
  <c r="U1295" i="5"/>
  <c r="F1296" i="5"/>
  <c r="E1297" i="5"/>
  <c r="I1297" i="5"/>
  <c r="J1297" i="5"/>
  <c r="M1297" i="5"/>
  <c r="N1297" i="5"/>
  <c r="D1297" i="5"/>
  <c r="G1297" i="5"/>
  <c r="L1297" i="5"/>
  <c r="O1297" i="5"/>
  <c r="K1297" i="5"/>
  <c r="C1297" i="5"/>
  <c r="H1297" i="5"/>
  <c r="T1297" i="5" l="1"/>
  <c r="P1297" i="5"/>
  <c r="S1298" i="5"/>
  <c r="R1298" i="5"/>
  <c r="Q1298" i="5" s="1"/>
  <c r="B1298" i="5"/>
  <c r="A1299" i="5"/>
  <c r="U1296" i="5"/>
  <c r="D1298" i="5"/>
  <c r="H1298" i="5"/>
  <c r="C1298" i="5"/>
  <c r="L1298" i="5"/>
  <c r="G1298" i="5"/>
  <c r="N1298" i="5"/>
  <c r="I1298" i="5"/>
  <c r="J1298" i="5"/>
  <c r="O1298" i="5"/>
  <c r="E1298" i="5"/>
  <c r="M1298" i="5"/>
  <c r="K1298" i="5"/>
  <c r="F1297" i="5"/>
  <c r="T1298" i="5" l="1"/>
  <c r="P1298" i="5"/>
  <c r="S1299" i="5"/>
  <c r="A1300" i="5"/>
  <c r="R1299" i="5"/>
  <c r="Q1299" i="5" s="1"/>
  <c r="B1299" i="5"/>
  <c r="U1297" i="5"/>
  <c r="F1298" i="5"/>
  <c r="K1299" i="5"/>
  <c r="C1299" i="5"/>
  <c r="N1299" i="5"/>
  <c r="O1299" i="5"/>
  <c r="H1299" i="5"/>
  <c r="D1299" i="5"/>
  <c r="J1299" i="5"/>
  <c r="L1299" i="5"/>
  <c r="I1299" i="5"/>
  <c r="M1299" i="5"/>
  <c r="E1299" i="5"/>
  <c r="G1299" i="5"/>
  <c r="T1299" i="5" l="1"/>
  <c r="P1299" i="5"/>
  <c r="S1300" i="5"/>
  <c r="R1300" i="5"/>
  <c r="Q1300" i="5" s="1"/>
  <c r="B1300" i="5"/>
  <c r="A1301" i="5"/>
  <c r="U1298" i="5"/>
  <c r="F1299" i="5"/>
  <c r="E1300" i="5"/>
  <c r="H1300" i="5"/>
  <c r="J1300" i="5"/>
  <c r="K1300" i="5"/>
  <c r="N1300" i="5"/>
  <c r="C1300" i="5"/>
  <c r="D1300" i="5"/>
  <c r="L1300" i="5"/>
  <c r="O1300" i="5"/>
  <c r="G1300" i="5"/>
  <c r="M1300" i="5"/>
  <c r="I1300" i="5"/>
  <c r="T1300" i="5" l="1"/>
  <c r="P1300" i="5"/>
  <c r="S1301" i="5"/>
  <c r="B1301" i="5"/>
  <c r="A1302" i="5"/>
  <c r="R1301" i="5"/>
  <c r="Q1301" i="5" s="1"/>
  <c r="U1299" i="5"/>
  <c r="F1300" i="5"/>
  <c r="J1301" i="5"/>
  <c r="O1301" i="5"/>
  <c r="I1301" i="5"/>
  <c r="G1301" i="5"/>
  <c r="E1301" i="5"/>
  <c r="D1301" i="5"/>
  <c r="M1301" i="5"/>
  <c r="H1301" i="5"/>
  <c r="C1301" i="5"/>
  <c r="K1301" i="5"/>
  <c r="N1301" i="5"/>
  <c r="L1301" i="5"/>
  <c r="T1301" i="5" l="1"/>
  <c r="P1301" i="5"/>
  <c r="S1302" i="5"/>
  <c r="B1302" i="5"/>
  <c r="A1303" i="5"/>
  <c r="R1302" i="5"/>
  <c r="Q1302" i="5" s="1"/>
  <c r="U1300" i="5"/>
  <c r="F1301" i="5"/>
  <c r="K1302" i="5"/>
  <c r="J1302" i="5"/>
  <c r="H1302" i="5"/>
  <c r="E1302" i="5"/>
  <c r="G1302" i="5"/>
  <c r="D1302" i="5"/>
  <c r="I1302" i="5"/>
  <c r="N1302" i="5"/>
  <c r="C1302" i="5"/>
  <c r="M1302" i="5"/>
  <c r="L1302" i="5"/>
  <c r="O1302" i="5"/>
  <c r="T1302" i="5" l="1"/>
  <c r="P1302" i="5"/>
  <c r="U1302" i="5" s="1"/>
  <c r="S1303" i="5"/>
  <c r="B1303" i="5"/>
  <c r="A1304" i="5"/>
  <c r="R1303" i="5"/>
  <c r="Q1303" i="5" s="1"/>
  <c r="U1301" i="5"/>
  <c r="D1303" i="5"/>
  <c r="K1303" i="5"/>
  <c r="C1303" i="5"/>
  <c r="H1303" i="5"/>
  <c r="N1303" i="5"/>
  <c r="G1303" i="5"/>
  <c r="I1303" i="5"/>
  <c r="E1303" i="5"/>
  <c r="M1303" i="5"/>
  <c r="J1303" i="5"/>
  <c r="L1303" i="5"/>
  <c r="O1303" i="5"/>
  <c r="F1302" i="5"/>
  <c r="T1303" i="5" l="1"/>
  <c r="P1303" i="5"/>
  <c r="S1304" i="5"/>
  <c r="R1304" i="5"/>
  <c r="Q1304" i="5" s="1"/>
  <c r="B1304" i="5"/>
  <c r="A1305" i="5"/>
  <c r="F1303" i="5"/>
  <c r="H1304" i="5"/>
  <c r="K1304" i="5"/>
  <c r="E1304" i="5"/>
  <c r="O1304" i="5"/>
  <c r="I1304" i="5"/>
  <c r="L1304" i="5"/>
  <c r="G1304" i="5"/>
  <c r="C1304" i="5"/>
  <c r="J1304" i="5"/>
  <c r="N1304" i="5"/>
  <c r="M1304" i="5"/>
  <c r="D1304" i="5"/>
  <c r="T1304" i="5" l="1"/>
  <c r="P1304" i="5"/>
  <c r="S1305" i="5"/>
  <c r="A1306" i="5"/>
  <c r="R1305" i="5"/>
  <c r="Q1305" i="5" s="1"/>
  <c r="B1305" i="5"/>
  <c r="U1303" i="5"/>
  <c r="F1304" i="5"/>
  <c r="D1305" i="5"/>
  <c r="I1305" i="5"/>
  <c r="J1305" i="5"/>
  <c r="M1305" i="5"/>
  <c r="E1305" i="5"/>
  <c r="N1305" i="5"/>
  <c r="L1305" i="5"/>
  <c r="C1305" i="5"/>
  <c r="K1305" i="5"/>
  <c r="G1305" i="5"/>
  <c r="H1305" i="5"/>
  <c r="O1305" i="5"/>
  <c r="T1305" i="5" l="1"/>
  <c r="P1305" i="5"/>
  <c r="S1306" i="5"/>
  <c r="A1307" i="5"/>
  <c r="R1306" i="5"/>
  <c r="Q1306" i="5" s="1"/>
  <c r="B1306" i="5"/>
  <c r="U1304" i="5"/>
  <c r="F1305" i="5"/>
  <c r="D1306" i="5"/>
  <c r="K1306" i="5"/>
  <c r="L1306" i="5"/>
  <c r="I1306" i="5"/>
  <c r="J1306" i="5"/>
  <c r="N1306" i="5"/>
  <c r="O1306" i="5"/>
  <c r="C1306" i="5"/>
  <c r="H1306" i="5"/>
  <c r="E1306" i="5"/>
  <c r="M1306" i="5"/>
  <c r="G1306" i="5"/>
  <c r="T1306" i="5" l="1"/>
  <c r="P1306" i="5"/>
  <c r="S1307" i="5"/>
  <c r="A1308" i="5"/>
  <c r="R1307" i="5"/>
  <c r="Q1307" i="5" s="1"/>
  <c r="B1307" i="5"/>
  <c r="U1305" i="5"/>
  <c r="F1306" i="5"/>
  <c r="L1307" i="5"/>
  <c r="O1307" i="5"/>
  <c r="J1307" i="5"/>
  <c r="G1307" i="5"/>
  <c r="E1307" i="5"/>
  <c r="M1307" i="5"/>
  <c r="H1307" i="5"/>
  <c r="C1307" i="5"/>
  <c r="D1307" i="5"/>
  <c r="I1307" i="5"/>
  <c r="N1307" i="5"/>
  <c r="K1307" i="5"/>
  <c r="T1307" i="5" l="1"/>
  <c r="P1307" i="5"/>
  <c r="S1308" i="5"/>
  <c r="R1308" i="5"/>
  <c r="Q1308" i="5" s="1"/>
  <c r="B1308" i="5"/>
  <c r="A1309" i="5"/>
  <c r="U1306" i="5"/>
  <c r="F1307" i="5"/>
  <c r="I1308" i="5"/>
  <c r="M1308" i="5"/>
  <c r="O1308" i="5"/>
  <c r="L1308" i="5"/>
  <c r="H1308" i="5"/>
  <c r="E1308" i="5"/>
  <c r="D1308" i="5"/>
  <c r="J1308" i="5"/>
  <c r="K1308" i="5"/>
  <c r="C1308" i="5"/>
  <c r="N1308" i="5"/>
  <c r="G1308" i="5"/>
  <c r="T1308" i="5" l="1"/>
  <c r="P1308" i="5"/>
  <c r="S1309" i="5"/>
  <c r="A1310" i="5"/>
  <c r="R1309" i="5"/>
  <c r="Q1309" i="5" s="1"/>
  <c r="B1309" i="5"/>
  <c r="U1307" i="5"/>
  <c r="F1308" i="5"/>
  <c r="N1309" i="5"/>
  <c r="E1309" i="5"/>
  <c r="C1309" i="5"/>
  <c r="D1309" i="5"/>
  <c r="L1309" i="5"/>
  <c r="K1309" i="5"/>
  <c r="H1309" i="5"/>
  <c r="I1309" i="5"/>
  <c r="M1309" i="5"/>
  <c r="O1309" i="5"/>
  <c r="J1309" i="5"/>
  <c r="G1309" i="5"/>
  <c r="T1309" i="5" l="1"/>
  <c r="P1309" i="5"/>
  <c r="S1310" i="5"/>
  <c r="A1311" i="5"/>
  <c r="B1310" i="5"/>
  <c r="R1310" i="5"/>
  <c r="Q1310" i="5" s="1"/>
  <c r="U1308" i="5"/>
  <c r="F1309" i="5"/>
  <c r="L1310" i="5"/>
  <c r="N1310" i="5"/>
  <c r="I1310" i="5"/>
  <c r="E1310" i="5"/>
  <c r="O1310" i="5"/>
  <c r="J1310" i="5"/>
  <c r="M1310" i="5"/>
  <c r="K1310" i="5"/>
  <c r="D1310" i="5"/>
  <c r="C1310" i="5"/>
  <c r="H1310" i="5"/>
  <c r="G1310" i="5"/>
  <c r="T1310" i="5" l="1"/>
  <c r="P1310" i="5"/>
  <c r="S1311" i="5"/>
  <c r="A1312" i="5"/>
  <c r="R1311" i="5"/>
  <c r="Q1311" i="5" s="1"/>
  <c r="B1311" i="5"/>
  <c r="U1309" i="5"/>
  <c r="F1310" i="5"/>
  <c r="D1311" i="5"/>
  <c r="E1311" i="5"/>
  <c r="G1311" i="5"/>
  <c r="I1311" i="5"/>
  <c r="H1311" i="5"/>
  <c r="O1311" i="5"/>
  <c r="M1311" i="5"/>
  <c r="C1311" i="5"/>
  <c r="K1311" i="5"/>
  <c r="J1311" i="5"/>
  <c r="N1311" i="5"/>
  <c r="L1311" i="5"/>
  <c r="T1311" i="5" l="1"/>
  <c r="P1311" i="5"/>
  <c r="S1312" i="5"/>
  <c r="R1312" i="5"/>
  <c r="Q1312" i="5" s="1"/>
  <c r="B1312" i="5"/>
  <c r="A1313" i="5"/>
  <c r="U1310" i="5"/>
  <c r="F1311" i="5"/>
  <c r="J1312" i="5"/>
  <c r="I1312" i="5"/>
  <c r="N1312" i="5"/>
  <c r="E1312" i="5"/>
  <c r="D1312" i="5"/>
  <c r="M1312" i="5"/>
  <c r="C1312" i="5"/>
  <c r="G1312" i="5"/>
  <c r="O1312" i="5"/>
  <c r="H1312" i="5"/>
  <c r="L1312" i="5"/>
  <c r="K1312" i="5"/>
  <c r="T1312" i="5" l="1"/>
  <c r="P1312" i="5"/>
  <c r="S1313" i="5"/>
  <c r="A1314" i="5"/>
  <c r="R1313" i="5"/>
  <c r="Q1313" i="5" s="1"/>
  <c r="B1313" i="5"/>
  <c r="U1311" i="5"/>
  <c r="F1312" i="5"/>
  <c r="J1313" i="5"/>
  <c r="G1313" i="5"/>
  <c r="L1313" i="5"/>
  <c r="C1313" i="5"/>
  <c r="I1313" i="5"/>
  <c r="D1313" i="5"/>
  <c r="M1313" i="5"/>
  <c r="K1313" i="5"/>
  <c r="E1313" i="5"/>
  <c r="H1313" i="5"/>
  <c r="O1313" i="5"/>
  <c r="N1313" i="5"/>
  <c r="T1313" i="5" l="1"/>
  <c r="P1313" i="5"/>
  <c r="S1314" i="5"/>
  <c r="A1315" i="5"/>
  <c r="B1314" i="5"/>
  <c r="R1314" i="5"/>
  <c r="Q1314" i="5" s="1"/>
  <c r="U1312" i="5"/>
  <c r="F1313" i="5"/>
  <c r="K1314" i="5"/>
  <c r="O1314" i="5"/>
  <c r="G1314" i="5"/>
  <c r="E1314" i="5"/>
  <c r="M1314" i="5"/>
  <c r="H1314" i="5"/>
  <c r="L1314" i="5"/>
  <c r="J1314" i="5"/>
  <c r="D1314" i="5"/>
  <c r="N1314" i="5"/>
  <c r="C1314" i="5"/>
  <c r="I1314" i="5"/>
  <c r="T1314" i="5" l="1"/>
  <c r="P1314" i="5"/>
  <c r="S1315" i="5"/>
  <c r="A1316" i="5"/>
  <c r="R1315" i="5"/>
  <c r="Q1315" i="5" s="1"/>
  <c r="B1315" i="5"/>
  <c r="U1313" i="5"/>
  <c r="F1314" i="5"/>
  <c r="N1315" i="5"/>
  <c r="J1315" i="5"/>
  <c r="H1315" i="5"/>
  <c r="L1315" i="5"/>
  <c r="K1315" i="5"/>
  <c r="C1315" i="5"/>
  <c r="D1315" i="5"/>
  <c r="E1315" i="5"/>
  <c r="M1315" i="5"/>
  <c r="O1315" i="5"/>
  <c r="I1315" i="5"/>
  <c r="G1315" i="5"/>
  <c r="T1315" i="5" l="1"/>
  <c r="P1315" i="5"/>
  <c r="S1316" i="5"/>
  <c r="R1316" i="5"/>
  <c r="Q1316" i="5" s="1"/>
  <c r="B1316" i="5"/>
  <c r="A1317" i="5"/>
  <c r="U1314" i="5"/>
  <c r="F1315" i="5"/>
  <c r="D1316" i="5"/>
  <c r="G1316" i="5"/>
  <c r="E1316" i="5"/>
  <c r="L1316" i="5"/>
  <c r="J1316" i="5"/>
  <c r="N1316" i="5"/>
  <c r="K1316" i="5"/>
  <c r="M1316" i="5"/>
  <c r="I1316" i="5"/>
  <c r="O1316" i="5"/>
  <c r="H1316" i="5"/>
  <c r="C1316" i="5"/>
  <c r="T1316" i="5" l="1"/>
  <c r="P1316" i="5"/>
  <c r="S1317" i="5"/>
  <c r="B1317" i="5"/>
  <c r="A1318" i="5"/>
  <c r="R1317" i="5"/>
  <c r="Q1317" i="5" s="1"/>
  <c r="U1315" i="5"/>
  <c r="F1316" i="5"/>
  <c r="H1317" i="5"/>
  <c r="G1317" i="5"/>
  <c r="K1317" i="5"/>
  <c r="C1317" i="5"/>
  <c r="O1317" i="5"/>
  <c r="E1317" i="5"/>
  <c r="D1317" i="5"/>
  <c r="J1317" i="5"/>
  <c r="L1317" i="5"/>
  <c r="I1317" i="5"/>
  <c r="N1317" i="5"/>
  <c r="M1317" i="5"/>
  <c r="T1317" i="5" l="1"/>
  <c r="P1317" i="5"/>
  <c r="S1318" i="5"/>
  <c r="B1318" i="5"/>
  <c r="R1318" i="5"/>
  <c r="Q1318" i="5" s="1"/>
  <c r="A1319" i="5"/>
  <c r="U1316" i="5"/>
  <c r="F1317" i="5"/>
  <c r="N1318" i="5"/>
  <c r="H1318" i="5"/>
  <c r="J1318" i="5"/>
  <c r="M1318" i="5"/>
  <c r="L1318" i="5"/>
  <c r="K1318" i="5"/>
  <c r="O1318" i="5"/>
  <c r="G1318" i="5"/>
  <c r="E1318" i="5"/>
  <c r="D1318" i="5"/>
  <c r="I1318" i="5"/>
  <c r="C1318" i="5"/>
  <c r="T1318" i="5" l="1"/>
  <c r="P1318" i="5"/>
  <c r="S1319" i="5"/>
  <c r="B1319" i="5"/>
  <c r="R1319" i="5"/>
  <c r="Q1319" i="5" s="1"/>
  <c r="A1320" i="5"/>
  <c r="U1317" i="5"/>
  <c r="F1318" i="5"/>
  <c r="J1319" i="5"/>
  <c r="I1319" i="5"/>
  <c r="K1319" i="5"/>
  <c r="H1319" i="5"/>
  <c r="E1319" i="5"/>
  <c r="G1319" i="5"/>
  <c r="M1319" i="5"/>
  <c r="N1319" i="5"/>
  <c r="O1319" i="5"/>
  <c r="D1319" i="5"/>
  <c r="L1319" i="5"/>
  <c r="C1319" i="5"/>
  <c r="T1319" i="5" l="1"/>
  <c r="P1319" i="5"/>
  <c r="U1319" i="5" s="1"/>
  <c r="S1320" i="5"/>
  <c r="R1320" i="5"/>
  <c r="Q1320" i="5" s="1"/>
  <c r="B1320" i="5"/>
  <c r="A1321" i="5"/>
  <c r="U1318" i="5"/>
  <c r="O1320" i="5"/>
  <c r="C1320" i="5"/>
  <c r="M1320" i="5"/>
  <c r="K1320" i="5"/>
  <c r="G1320" i="5"/>
  <c r="J1320" i="5"/>
  <c r="H1320" i="5"/>
  <c r="L1320" i="5"/>
  <c r="N1320" i="5"/>
  <c r="I1320" i="5"/>
  <c r="D1320" i="5"/>
  <c r="E1320" i="5"/>
  <c r="F1319" i="5"/>
  <c r="T1320" i="5" l="1"/>
  <c r="P1320" i="5"/>
  <c r="S1321" i="5"/>
  <c r="B1321" i="5"/>
  <c r="A1322" i="5"/>
  <c r="R1321" i="5"/>
  <c r="Q1321" i="5" s="1"/>
  <c r="F1320" i="5"/>
  <c r="D1321" i="5"/>
  <c r="C1321" i="5"/>
  <c r="O1321" i="5"/>
  <c r="J1321" i="5"/>
  <c r="K1321" i="5"/>
  <c r="L1321" i="5"/>
  <c r="E1321" i="5"/>
  <c r="H1321" i="5"/>
  <c r="I1321" i="5"/>
  <c r="G1321" i="5"/>
  <c r="M1321" i="5"/>
  <c r="N1321" i="5"/>
  <c r="T1321" i="5" l="1"/>
  <c r="P1321" i="5"/>
  <c r="S1322" i="5"/>
  <c r="A1323" i="5"/>
  <c r="R1322" i="5"/>
  <c r="Q1322" i="5" s="1"/>
  <c r="B1322" i="5"/>
  <c r="U1320" i="5"/>
  <c r="F1321" i="5"/>
  <c r="O1322" i="5"/>
  <c r="N1322" i="5"/>
  <c r="E1322" i="5"/>
  <c r="I1322" i="5"/>
  <c r="M1322" i="5"/>
  <c r="L1322" i="5"/>
  <c r="D1322" i="5"/>
  <c r="H1322" i="5"/>
  <c r="J1322" i="5"/>
  <c r="C1322" i="5"/>
  <c r="G1322" i="5"/>
  <c r="K1322" i="5"/>
  <c r="T1322" i="5" l="1"/>
  <c r="P1322" i="5"/>
  <c r="S1323" i="5"/>
  <c r="R1323" i="5"/>
  <c r="Q1323" i="5" s="1"/>
  <c r="B1323" i="5"/>
  <c r="A1324" i="5"/>
  <c r="U1321" i="5"/>
  <c r="F1322" i="5"/>
  <c r="O1323" i="5"/>
  <c r="K1323" i="5"/>
  <c r="E1323" i="5"/>
  <c r="H1323" i="5"/>
  <c r="L1323" i="5"/>
  <c r="J1323" i="5"/>
  <c r="N1323" i="5"/>
  <c r="G1323" i="5"/>
  <c r="I1323" i="5"/>
  <c r="C1323" i="5"/>
  <c r="M1323" i="5"/>
  <c r="D1323" i="5"/>
  <c r="T1323" i="5" l="1"/>
  <c r="P1323" i="5"/>
  <c r="S1324" i="5"/>
  <c r="B1324" i="5"/>
  <c r="R1324" i="5"/>
  <c r="Q1324" i="5" s="1"/>
  <c r="A1325" i="5"/>
  <c r="U1322" i="5"/>
  <c r="F1323" i="5"/>
  <c r="H1324" i="5"/>
  <c r="J1324" i="5"/>
  <c r="D1324" i="5"/>
  <c r="K1324" i="5"/>
  <c r="G1324" i="5"/>
  <c r="O1324" i="5"/>
  <c r="I1324" i="5"/>
  <c r="M1324" i="5"/>
  <c r="E1324" i="5"/>
  <c r="C1324" i="5"/>
  <c r="N1324" i="5"/>
  <c r="L1324" i="5"/>
  <c r="T1324" i="5" l="1"/>
  <c r="P1324" i="5"/>
  <c r="S1325" i="5"/>
  <c r="B1325" i="5"/>
  <c r="A1326" i="5"/>
  <c r="R1325" i="5"/>
  <c r="Q1325" i="5" s="1"/>
  <c r="U1323" i="5"/>
  <c r="F1324" i="5"/>
  <c r="C1325" i="5"/>
  <c r="G1325" i="5"/>
  <c r="H1325" i="5"/>
  <c r="N1325" i="5"/>
  <c r="L1325" i="5"/>
  <c r="E1325" i="5"/>
  <c r="I1325" i="5"/>
  <c r="M1325" i="5"/>
  <c r="D1325" i="5"/>
  <c r="J1325" i="5"/>
  <c r="O1325" i="5"/>
  <c r="K1325" i="5"/>
  <c r="T1325" i="5" l="1"/>
  <c r="P1325" i="5"/>
  <c r="S1326" i="5"/>
  <c r="B1326" i="5"/>
  <c r="A1327" i="5"/>
  <c r="R1326" i="5"/>
  <c r="Q1326" i="5" s="1"/>
  <c r="U1324" i="5"/>
  <c r="F1325" i="5"/>
  <c r="C1326" i="5"/>
  <c r="J1326" i="5"/>
  <c r="E1326" i="5"/>
  <c r="L1326" i="5"/>
  <c r="K1326" i="5"/>
  <c r="D1326" i="5"/>
  <c r="N1326" i="5"/>
  <c r="G1326" i="5"/>
  <c r="O1326" i="5"/>
  <c r="M1326" i="5"/>
  <c r="I1326" i="5"/>
  <c r="H1326" i="5"/>
  <c r="T1326" i="5" l="1"/>
  <c r="P1326" i="5"/>
  <c r="S1327" i="5"/>
  <c r="R1327" i="5"/>
  <c r="Q1327" i="5" s="1"/>
  <c r="B1327" i="5"/>
  <c r="A1328" i="5"/>
  <c r="U1325" i="5"/>
  <c r="F1326" i="5"/>
  <c r="G1327" i="5"/>
  <c r="K1327" i="5"/>
  <c r="E1327" i="5"/>
  <c r="L1327" i="5"/>
  <c r="N1327" i="5"/>
  <c r="D1327" i="5"/>
  <c r="C1327" i="5"/>
  <c r="M1327" i="5"/>
  <c r="O1327" i="5"/>
  <c r="I1327" i="5"/>
  <c r="H1327" i="5"/>
  <c r="J1327" i="5"/>
  <c r="T1327" i="5" l="1"/>
  <c r="P1327" i="5"/>
  <c r="S1328" i="5"/>
  <c r="A1329" i="5"/>
  <c r="R1328" i="5"/>
  <c r="Q1328" i="5" s="1"/>
  <c r="B1328" i="5"/>
  <c r="U1326" i="5"/>
  <c r="F1327" i="5"/>
  <c r="N1328" i="5"/>
  <c r="G1328" i="5"/>
  <c r="M1328" i="5"/>
  <c r="L1328" i="5"/>
  <c r="H1328" i="5"/>
  <c r="D1328" i="5"/>
  <c r="I1328" i="5"/>
  <c r="K1328" i="5"/>
  <c r="O1328" i="5"/>
  <c r="J1328" i="5"/>
  <c r="E1328" i="5"/>
  <c r="C1328" i="5"/>
  <c r="T1328" i="5" l="1"/>
  <c r="P1328" i="5"/>
  <c r="S1329" i="5"/>
  <c r="A1330" i="5"/>
  <c r="R1329" i="5"/>
  <c r="Q1329" i="5" s="1"/>
  <c r="B1329" i="5"/>
  <c r="U1327" i="5"/>
  <c r="F1328" i="5"/>
  <c r="M1329" i="5"/>
  <c r="D1329" i="5"/>
  <c r="J1329" i="5"/>
  <c r="O1329" i="5"/>
  <c r="N1329" i="5"/>
  <c r="L1329" i="5"/>
  <c r="E1329" i="5"/>
  <c r="H1329" i="5"/>
  <c r="C1329" i="5"/>
  <c r="I1329" i="5"/>
  <c r="G1329" i="5"/>
  <c r="K1329" i="5"/>
  <c r="T1329" i="5" l="1"/>
  <c r="P1329" i="5"/>
  <c r="S1330" i="5"/>
  <c r="B1330" i="5"/>
  <c r="A1331" i="5"/>
  <c r="R1330" i="5"/>
  <c r="Q1330" i="5" s="1"/>
  <c r="U1328" i="5"/>
  <c r="F1329" i="5"/>
  <c r="G1330" i="5"/>
  <c r="H1330" i="5"/>
  <c r="L1330" i="5"/>
  <c r="N1330" i="5"/>
  <c r="K1330" i="5"/>
  <c r="E1330" i="5"/>
  <c r="D1330" i="5"/>
  <c r="O1330" i="5"/>
  <c r="C1330" i="5"/>
  <c r="J1330" i="5"/>
  <c r="M1330" i="5"/>
  <c r="I1330" i="5"/>
  <c r="T1330" i="5" l="1"/>
  <c r="P1330" i="5"/>
  <c r="S1331" i="5"/>
  <c r="A1332" i="5"/>
  <c r="R1331" i="5"/>
  <c r="Q1331" i="5" s="1"/>
  <c r="B1331" i="5"/>
  <c r="U1329" i="5"/>
  <c r="F1330" i="5"/>
  <c r="H1331" i="5"/>
  <c r="C1331" i="5"/>
  <c r="D1331" i="5"/>
  <c r="E1331" i="5"/>
  <c r="O1331" i="5"/>
  <c r="M1331" i="5"/>
  <c r="K1331" i="5"/>
  <c r="G1331" i="5"/>
  <c r="J1331" i="5"/>
  <c r="I1331" i="5"/>
  <c r="N1331" i="5"/>
  <c r="L1331" i="5"/>
  <c r="T1331" i="5" l="1"/>
  <c r="P1331" i="5"/>
  <c r="U1331" i="5" s="1"/>
  <c r="S1332" i="5"/>
  <c r="A1333" i="5"/>
  <c r="R1332" i="5"/>
  <c r="Q1332" i="5" s="1"/>
  <c r="B1332" i="5"/>
  <c r="U1330" i="5"/>
  <c r="I1332" i="5"/>
  <c r="H1332" i="5"/>
  <c r="M1332" i="5"/>
  <c r="J1332" i="5"/>
  <c r="O1332" i="5"/>
  <c r="D1332" i="5"/>
  <c r="G1332" i="5"/>
  <c r="L1332" i="5"/>
  <c r="E1332" i="5"/>
  <c r="C1332" i="5"/>
  <c r="K1332" i="5"/>
  <c r="N1332" i="5"/>
  <c r="F1331" i="5"/>
  <c r="T1332" i="5" l="1"/>
  <c r="P1332" i="5"/>
  <c r="S1333" i="5"/>
  <c r="R1333" i="5"/>
  <c r="Q1333" i="5" s="1"/>
  <c r="B1333" i="5"/>
  <c r="A1334" i="5"/>
  <c r="F1332" i="5"/>
  <c r="E1333" i="5"/>
  <c r="N1333" i="5"/>
  <c r="H1333" i="5"/>
  <c r="K1333" i="5"/>
  <c r="L1333" i="5"/>
  <c r="I1333" i="5"/>
  <c r="M1333" i="5"/>
  <c r="G1333" i="5"/>
  <c r="J1333" i="5"/>
  <c r="D1333" i="5"/>
  <c r="O1333" i="5"/>
  <c r="C1333" i="5"/>
  <c r="T1333" i="5" l="1"/>
  <c r="P1333" i="5"/>
  <c r="S1334" i="5"/>
  <c r="B1334" i="5"/>
  <c r="A1335" i="5"/>
  <c r="R1334" i="5"/>
  <c r="Q1334" i="5" s="1"/>
  <c r="U1332" i="5"/>
  <c r="F1333" i="5"/>
  <c r="L1334" i="5"/>
  <c r="O1334" i="5"/>
  <c r="C1334" i="5"/>
  <c r="M1334" i="5"/>
  <c r="J1334" i="5"/>
  <c r="K1334" i="5"/>
  <c r="N1334" i="5"/>
  <c r="H1334" i="5"/>
  <c r="E1334" i="5"/>
  <c r="D1334" i="5"/>
  <c r="G1334" i="5"/>
  <c r="I1334" i="5"/>
  <c r="T1334" i="5" l="1"/>
  <c r="P1334" i="5"/>
  <c r="S1335" i="5"/>
  <c r="A1336" i="5"/>
  <c r="R1335" i="5"/>
  <c r="Q1335" i="5" s="1"/>
  <c r="B1335" i="5"/>
  <c r="U1333" i="5"/>
  <c r="F1334" i="5"/>
  <c r="G1335" i="5"/>
  <c r="C1335" i="5"/>
  <c r="E1335" i="5"/>
  <c r="J1335" i="5"/>
  <c r="K1335" i="5"/>
  <c r="I1335" i="5"/>
  <c r="D1335" i="5"/>
  <c r="L1335" i="5"/>
  <c r="N1335" i="5"/>
  <c r="H1335" i="5"/>
  <c r="M1335" i="5"/>
  <c r="O1335" i="5"/>
  <c r="T1335" i="5" l="1"/>
  <c r="P1335" i="5"/>
  <c r="S1336" i="5"/>
  <c r="R1336" i="5"/>
  <c r="Q1336" i="5" s="1"/>
  <c r="B1336" i="5"/>
  <c r="A1337" i="5"/>
  <c r="U1334" i="5"/>
  <c r="F1335" i="5"/>
  <c r="M1336" i="5"/>
  <c r="K1336" i="5"/>
  <c r="D1336" i="5"/>
  <c r="G1336" i="5"/>
  <c r="H1336" i="5"/>
  <c r="L1336" i="5"/>
  <c r="J1336" i="5"/>
  <c r="C1336" i="5"/>
  <c r="O1336" i="5"/>
  <c r="E1336" i="5"/>
  <c r="I1336" i="5"/>
  <c r="N1336" i="5"/>
  <c r="T1336" i="5" l="1"/>
  <c r="P1336" i="5"/>
  <c r="S1337" i="5"/>
  <c r="R1337" i="5"/>
  <c r="Q1337" i="5" s="1"/>
  <c r="B1337" i="5"/>
  <c r="A1338" i="5"/>
  <c r="U1335" i="5"/>
  <c r="F1336" i="5"/>
  <c r="K1337" i="5"/>
  <c r="C1337" i="5"/>
  <c r="I1337" i="5"/>
  <c r="J1337" i="5"/>
  <c r="D1337" i="5"/>
  <c r="L1337" i="5"/>
  <c r="O1337" i="5"/>
  <c r="G1337" i="5"/>
  <c r="H1337" i="5"/>
  <c r="E1337" i="5"/>
  <c r="M1337" i="5"/>
  <c r="N1337" i="5"/>
  <c r="T1337" i="5" l="1"/>
  <c r="P1337" i="5"/>
  <c r="S1338" i="5"/>
  <c r="B1338" i="5"/>
  <c r="R1338" i="5"/>
  <c r="Q1338" i="5" s="1"/>
  <c r="A1339" i="5"/>
  <c r="U1336" i="5"/>
  <c r="F1337" i="5"/>
  <c r="G1338" i="5"/>
  <c r="H1338" i="5"/>
  <c r="I1338" i="5"/>
  <c r="N1338" i="5"/>
  <c r="M1338" i="5"/>
  <c r="E1338" i="5"/>
  <c r="O1338" i="5"/>
  <c r="C1338" i="5"/>
  <c r="L1338" i="5"/>
  <c r="J1338" i="5"/>
  <c r="K1338" i="5"/>
  <c r="D1338" i="5"/>
  <c r="T1338" i="5" l="1"/>
  <c r="P1338" i="5"/>
  <c r="S1339" i="5"/>
  <c r="B1339" i="5"/>
  <c r="A1340" i="5"/>
  <c r="R1339" i="5"/>
  <c r="Q1339" i="5" s="1"/>
  <c r="U1337" i="5"/>
  <c r="F1338" i="5"/>
  <c r="M1339" i="5"/>
  <c r="C1339" i="5"/>
  <c r="I1339" i="5"/>
  <c r="H1339" i="5"/>
  <c r="D1339" i="5"/>
  <c r="K1339" i="5"/>
  <c r="E1339" i="5"/>
  <c r="O1339" i="5"/>
  <c r="G1339" i="5"/>
  <c r="L1339" i="5"/>
  <c r="N1339" i="5"/>
  <c r="J1339" i="5"/>
  <c r="T1339" i="5" l="1"/>
  <c r="P1339" i="5"/>
  <c r="S1340" i="5"/>
  <c r="R1340" i="5"/>
  <c r="Q1340" i="5" s="1"/>
  <c r="B1340" i="5"/>
  <c r="A1341" i="5"/>
  <c r="U1338" i="5"/>
  <c r="F1339" i="5"/>
  <c r="I1340" i="5"/>
  <c r="L1340" i="5"/>
  <c r="K1340" i="5"/>
  <c r="M1340" i="5"/>
  <c r="E1340" i="5"/>
  <c r="J1340" i="5"/>
  <c r="O1340" i="5"/>
  <c r="N1340" i="5"/>
  <c r="D1340" i="5"/>
  <c r="H1340" i="5"/>
  <c r="G1340" i="5"/>
  <c r="C1340" i="5"/>
  <c r="T1340" i="5" l="1"/>
  <c r="P1340" i="5"/>
  <c r="S1341" i="5"/>
  <c r="A1342" i="5"/>
  <c r="R1341" i="5"/>
  <c r="Q1341" i="5" s="1"/>
  <c r="B1341" i="5"/>
  <c r="U1339" i="5"/>
  <c r="F1340" i="5"/>
  <c r="J1341" i="5"/>
  <c r="E1341" i="5"/>
  <c r="D1341" i="5"/>
  <c r="N1341" i="5"/>
  <c r="H1341" i="5"/>
  <c r="O1341" i="5"/>
  <c r="G1341" i="5"/>
  <c r="L1341" i="5"/>
  <c r="K1341" i="5"/>
  <c r="M1341" i="5"/>
  <c r="I1341" i="5"/>
  <c r="C1341" i="5"/>
  <c r="T1341" i="5" l="1"/>
  <c r="P1341" i="5"/>
  <c r="S1342" i="5"/>
  <c r="A1343" i="5"/>
  <c r="R1342" i="5"/>
  <c r="Q1342" i="5" s="1"/>
  <c r="B1342" i="5"/>
  <c r="U1340" i="5"/>
  <c r="F1341" i="5"/>
  <c r="M1342" i="5"/>
  <c r="I1342" i="5"/>
  <c r="K1342" i="5"/>
  <c r="N1342" i="5"/>
  <c r="C1342" i="5"/>
  <c r="E1342" i="5"/>
  <c r="H1342" i="5"/>
  <c r="O1342" i="5"/>
  <c r="J1342" i="5"/>
  <c r="L1342" i="5"/>
  <c r="D1342" i="5"/>
  <c r="G1342" i="5"/>
  <c r="T1342" i="5" l="1"/>
  <c r="P1342" i="5"/>
  <c r="S1343" i="5"/>
  <c r="B1343" i="5"/>
  <c r="A1344" i="5"/>
  <c r="R1343" i="5"/>
  <c r="Q1343" i="5" s="1"/>
  <c r="U1341" i="5"/>
  <c r="F1342" i="5"/>
  <c r="K1343" i="5"/>
  <c r="E1343" i="5"/>
  <c r="L1343" i="5"/>
  <c r="C1343" i="5"/>
  <c r="D1343" i="5"/>
  <c r="O1343" i="5"/>
  <c r="H1343" i="5"/>
  <c r="N1343" i="5"/>
  <c r="M1343" i="5"/>
  <c r="J1343" i="5"/>
  <c r="G1343" i="5"/>
  <c r="I1343" i="5"/>
  <c r="T1343" i="5" l="1"/>
  <c r="P1343" i="5"/>
  <c r="S1344" i="5"/>
  <c r="R1344" i="5"/>
  <c r="Q1344" i="5" s="1"/>
  <c r="B1344" i="5"/>
  <c r="A1345" i="5"/>
  <c r="U1342" i="5"/>
  <c r="F1343" i="5"/>
  <c r="E1344" i="5"/>
  <c r="K1344" i="5"/>
  <c r="O1344" i="5"/>
  <c r="G1344" i="5"/>
  <c r="I1344" i="5"/>
  <c r="J1344" i="5"/>
  <c r="L1344" i="5"/>
  <c r="M1344" i="5"/>
  <c r="N1344" i="5"/>
  <c r="C1344" i="5"/>
  <c r="H1344" i="5"/>
  <c r="D1344" i="5"/>
  <c r="T1344" i="5" l="1"/>
  <c r="P1344" i="5"/>
  <c r="S1345" i="5"/>
  <c r="B1345" i="5"/>
  <c r="A1346" i="5"/>
  <c r="R1345" i="5"/>
  <c r="Q1345" i="5" s="1"/>
  <c r="U1343" i="5"/>
  <c r="F1344" i="5"/>
  <c r="K1345" i="5"/>
  <c r="D1345" i="5"/>
  <c r="N1345" i="5"/>
  <c r="I1345" i="5"/>
  <c r="G1345" i="5"/>
  <c r="H1345" i="5"/>
  <c r="J1345" i="5"/>
  <c r="M1345" i="5"/>
  <c r="O1345" i="5"/>
  <c r="C1345" i="5"/>
  <c r="E1345" i="5"/>
  <c r="L1345" i="5"/>
  <c r="T1345" i="5" l="1"/>
  <c r="P1345" i="5"/>
  <c r="U1345" i="5" s="1"/>
  <c r="S1346" i="5"/>
  <c r="R1346" i="5"/>
  <c r="Q1346" i="5" s="1"/>
  <c r="B1346" i="5"/>
  <c r="A1347" i="5"/>
  <c r="U1344" i="5"/>
  <c r="I1346" i="5"/>
  <c r="D1346" i="5"/>
  <c r="J1346" i="5"/>
  <c r="K1346" i="5"/>
  <c r="L1346" i="5"/>
  <c r="C1346" i="5"/>
  <c r="E1346" i="5"/>
  <c r="N1346" i="5"/>
  <c r="M1346" i="5"/>
  <c r="H1346" i="5"/>
  <c r="O1346" i="5"/>
  <c r="G1346" i="5"/>
  <c r="F1345" i="5"/>
  <c r="T1346" i="5" l="1"/>
  <c r="P1346" i="5"/>
  <c r="S1347" i="5"/>
  <c r="B1347" i="5"/>
  <c r="R1347" i="5"/>
  <c r="Q1347" i="5" s="1"/>
  <c r="A1348" i="5"/>
  <c r="F1346" i="5"/>
  <c r="I1347" i="5"/>
  <c r="J1347" i="5"/>
  <c r="L1347" i="5"/>
  <c r="M1347" i="5"/>
  <c r="N1347" i="5"/>
  <c r="D1347" i="5"/>
  <c r="H1347" i="5"/>
  <c r="E1347" i="5"/>
  <c r="O1347" i="5"/>
  <c r="G1347" i="5"/>
  <c r="K1347" i="5"/>
  <c r="C1347" i="5"/>
  <c r="T1347" i="5" l="1"/>
  <c r="P1347" i="5"/>
  <c r="S1348" i="5"/>
  <c r="A1349" i="5"/>
  <c r="R1348" i="5"/>
  <c r="Q1348" i="5" s="1"/>
  <c r="B1348" i="5"/>
  <c r="U1346" i="5"/>
  <c r="F1347" i="5"/>
  <c r="H1348" i="5"/>
  <c r="J1348" i="5"/>
  <c r="M1348" i="5"/>
  <c r="G1348" i="5"/>
  <c r="K1348" i="5"/>
  <c r="O1348" i="5"/>
  <c r="N1348" i="5"/>
  <c r="E1348" i="5"/>
  <c r="I1348" i="5"/>
  <c r="L1348" i="5"/>
  <c r="D1348" i="5"/>
  <c r="C1348" i="5"/>
  <c r="T1348" i="5" l="1"/>
  <c r="P1348" i="5"/>
  <c r="S1349" i="5"/>
  <c r="B1349" i="5"/>
  <c r="A1350" i="5"/>
  <c r="R1349" i="5"/>
  <c r="Q1349" i="5" s="1"/>
  <c r="U1347" i="5"/>
  <c r="F1348" i="5"/>
  <c r="N1349" i="5"/>
  <c r="K1349" i="5"/>
  <c r="I1349" i="5"/>
  <c r="E1349" i="5"/>
  <c r="D1349" i="5"/>
  <c r="M1349" i="5"/>
  <c r="H1349" i="5"/>
  <c r="L1349" i="5"/>
  <c r="C1349" i="5"/>
  <c r="J1349" i="5"/>
  <c r="G1349" i="5"/>
  <c r="O1349" i="5"/>
  <c r="T1349" i="5" l="1"/>
  <c r="P1349" i="5"/>
  <c r="S1350" i="5"/>
  <c r="R1350" i="5"/>
  <c r="Q1350" i="5" s="1"/>
  <c r="B1350" i="5"/>
  <c r="A1351" i="5"/>
  <c r="U1348" i="5"/>
  <c r="F1349" i="5"/>
  <c r="M1350" i="5"/>
  <c r="D1350" i="5"/>
  <c r="I1350" i="5"/>
  <c r="C1350" i="5"/>
  <c r="K1350" i="5"/>
  <c r="O1350" i="5"/>
  <c r="E1350" i="5"/>
  <c r="G1350" i="5"/>
  <c r="J1350" i="5"/>
  <c r="H1350" i="5"/>
  <c r="N1350" i="5"/>
  <c r="L1350" i="5"/>
  <c r="T1350" i="5" l="1"/>
  <c r="P1350" i="5"/>
  <c r="S1351" i="5"/>
  <c r="R1351" i="5"/>
  <c r="Q1351" i="5" s="1"/>
  <c r="B1351" i="5"/>
  <c r="A1352" i="5"/>
  <c r="U1349" i="5"/>
  <c r="F1350" i="5"/>
  <c r="I1351" i="5"/>
  <c r="D1351" i="5"/>
  <c r="L1351" i="5"/>
  <c r="G1351" i="5"/>
  <c r="J1351" i="5"/>
  <c r="K1351" i="5"/>
  <c r="C1351" i="5"/>
  <c r="N1351" i="5"/>
  <c r="O1351" i="5"/>
  <c r="E1351" i="5"/>
  <c r="M1351" i="5"/>
  <c r="H1351" i="5"/>
  <c r="T1351" i="5" l="1"/>
  <c r="P1351" i="5"/>
  <c r="S1352" i="5"/>
  <c r="A1353" i="5"/>
  <c r="R1352" i="5"/>
  <c r="Q1352" i="5" s="1"/>
  <c r="B1352" i="5"/>
  <c r="U1350" i="5"/>
  <c r="F1351" i="5"/>
  <c r="E1352" i="5"/>
  <c r="H1352" i="5"/>
  <c r="N1352" i="5"/>
  <c r="M1352" i="5"/>
  <c r="I1352" i="5"/>
  <c r="C1352" i="5"/>
  <c r="L1352" i="5"/>
  <c r="J1352" i="5"/>
  <c r="G1352" i="5"/>
  <c r="D1352" i="5"/>
  <c r="O1352" i="5"/>
  <c r="K1352" i="5"/>
  <c r="T1352" i="5" l="1"/>
  <c r="P1352" i="5"/>
  <c r="S1353" i="5"/>
  <c r="B1353" i="5"/>
  <c r="A1354" i="5"/>
  <c r="R1353" i="5"/>
  <c r="Q1353" i="5" s="1"/>
  <c r="U1351" i="5"/>
  <c r="F1352" i="5"/>
  <c r="O1353" i="5"/>
  <c r="M1353" i="5"/>
  <c r="N1353" i="5"/>
  <c r="E1353" i="5"/>
  <c r="H1353" i="5"/>
  <c r="C1353" i="5"/>
  <c r="J1353" i="5"/>
  <c r="K1353" i="5"/>
  <c r="G1353" i="5"/>
  <c r="D1353" i="5"/>
  <c r="I1353" i="5"/>
  <c r="L1353" i="5"/>
  <c r="P1353" i="5" l="1"/>
  <c r="T1353" i="5"/>
  <c r="S1354" i="5"/>
  <c r="A1355" i="5"/>
  <c r="R1354" i="5"/>
  <c r="Q1354" i="5" s="1"/>
  <c r="B1354" i="5"/>
  <c r="U1352" i="5"/>
  <c r="F1353" i="5"/>
  <c r="H1354" i="5"/>
  <c r="E1354" i="5"/>
  <c r="L1354" i="5"/>
  <c r="K1354" i="5"/>
  <c r="I1354" i="5"/>
  <c r="C1354" i="5"/>
  <c r="J1354" i="5"/>
  <c r="M1354" i="5"/>
  <c r="N1354" i="5"/>
  <c r="G1354" i="5"/>
  <c r="O1354" i="5"/>
  <c r="D1354" i="5"/>
  <c r="T1354" i="5" l="1"/>
  <c r="P1354" i="5"/>
  <c r="S1355" i="5"/>
  <c r="B1355" i="5"/>
  <c r="A1356" i="5"/>
  <c r="R1355" i="5"/>
  <c r="Q1355" i="5" s="1"/>
  <c r="U1353" i="5"/>
  <c r="F1354" i="5"/>
  <c r="L1355" i="5"/>
  <c r="D1355" i="5"/>
  <c r="H1355" i="5"/>
  <c r="O1355" i="5"/>
  <c r="C1355" i="5"/>
  <c r="M1355" i="5"/>
  <c r="I1355" i="5"/>
  <c r="G1355" i="5"/>
  <c r="J1355" i="5"/>
  <c r="N1355" i="5"/>
  <c r="K1355" i="5"/>
  <c r="E1355" i="5"/>
  <c r="T1355" i="5" l="1"/>
  <c r="P1355" i="5"/>
  <c r="S1356" i="5"/>
  <c r="A1357" i="5"/>
  <c r="R1356" i="5"/>
  <c r="Q1356" i="5" s="1"/>
  <c r="B1356" i="5"/>
  <c r="U1354" i="5"/>
  <c r="F1355" i="5"/>
  <c r="E1356" i="5"/>
  <c r="J1356" i="5"/>
  <c r="M1356" i="5"/>
  <c r="N1356" i="5"/>
  <c r="C1356" i="5"/>
  <c r="O1356" i="5"/>
  <c r="L1356" i="5"/>
  <c r="G1356" i="5"/>
  <c r="H1356" i="5"/>
  <c r="I1356" i="5"/>
  <c r="K1356" i="5"/>
  <c r="D1356" i="5"/>
  <c r="T1356" i="5" l="1"/>
  <c r="P1356" i="5"/>
  <c r="S1357" i="5"/>
  <c r="A1358" i="5"/>
  <c r="B1357" i="5"/>
  <c r="R1357" i="5"/>
  <c r="Q1357" i="5" s="1"/>
  <c r="U1355" i="5"/>
  <c r="F1356" i="5"/>
  <c r="L1357" i="5"/>
  <c r="C1357" i="5"/>
  <c r="E1357" i="5"/>
  <c r="O1357" i="5"/>
  <c r="H1357" i="5"/>
  <c r="M1357" i="5"/>
  <c r="D1357" i="5"/>
  <c r="N1357" i="5"/>
  <c r="I1357" i="5"/>
  <c r="J1357" i="5"/>
  <c r="G1357" i="5"/>
  <c r="K1357" i="5"/>
  <c r="T1357" i="5" l="1"/>
  <c r="P1357" i="5"/>
  <c r="S1358" i="5"/>
  <c r="A1359" i="5"/>
  <c r="B1358" i="5"/>
  <c r="R1358" i="5"/>
  <c r="Q1358" i="5" s="1"/>
  <c r="U1356" i="5"/>
  <c r="F1357" i="5"/>
  <c r="K1358" i="5"/>
  <c r="E1358" i="5"/>
  <c r="M1358" i="5"/>
  <c r="O1358" i="5"/>
  <c r="J1358" i="5"/>
  <c r="G1358" i="5"/>
  <c r="C1358" i="5"/>
  <c r="N1358" i="5"/>
  <c r="I1358" i="5"/>
  <c r="L1358" i="5"/>
  <c r="H1358" i="5"/>
  <c r="D1358" i="5"/>
  <c r="T1358" i="5" l="1"/>
  <c r="P1358" i="5"/>
  <c r="S1359" i="5"/>
  <c r="A1360" i="5"/>
  <c r="R1359" i="5"/>
  <c r="Q1359" i="5" s="1"/>
  <c r="B1359" i="5"/>
  <c r="U1357" i="5"/>
  <c r="F1358" i="5"/>
  <c r="E1359" i="5"/>
  <c r="N1359" i="5"/>
  <c r="G1359" i="5"/>
  <c r="O1359" i="5"/>
  <c r="K1359" i="5"/>
  <c r="J1359" i="5"/>
  <c r="L1359" i="5"/>
  <c r="M1359" i="5"/>
  <c r="H1359" i="5"/>
  <c r="D1359" i="5"/>
  <c r="C1359" i="5"/>
  <c r="I1359" i="5"/>
  <c r="T1359" i="5" l="1"/>
  <c r="P1359" i="5"/>
  <c r="S1360" i="5"/>
  <c r="A1361" i="5"/>
  <c r="R1360" i="5"/>
  <c r="Q1360" i="5" s="1"/>
  <c r="B1360" i="5"/>
  <c r="U1358" i="5"/>
  <c r="F1359" i="5"/>
  <c r="N1360" i="5"/>
  <c r="I1360" i="5"/>
  <c r="H1360" i="5"/>
  <c r="K1360" i="5"/>
  <c r="C1360" i="5"/>
  <c r="M1360" i="5"/>
  <c r="L1360" i="5"/>
  <c r="G1360" i="5"/>
  <c r="O1360" i="5"/>
  <c r="D1360" i="5"/>
  <c r="J1360" i="5"/>
  <c r="E1360" i="5"/>
  <c r="T1360" i="5" l="1"/>
  <c r="P1360" i="5"/>
  <c r="S1361" i="5"/>
  <c r="A1362" i="5"/>
  <c r="B1361" i="5"/>
  <c r="R1361" i="5"/>
  <c r="Q1361" i="5" s="1"/>
  <c r="U1359" i="5"/>
  <c r="F1360" i="5"/>
  <c r="O1361" i="5"/>
  <c r="C1361" i="5"/>
  <c r="N1361" i="5"/>
  <c r="I1361" i="5"/>
  <c r="J1361" i="5"/>
  <c r="M1361" i="5"/>
  <c r="L1361" i="5"/>
  <c r="D1361" i="5"/>
  <c r="H1361" i="5"/>
  <c r="G1361" i="5"/>
  <c r="K1361" i="5"/>
  <c r="E1361" i="5"/>
  <c r="T1361" i="5" l="1"/>
  <c r="P1361" i="5"/>
  <c r="S1362" i="5"/>
  <c r="B1362" i="5"/>
  <c r="A1363" i="5"/>
  <c r="R1362" i="5"/>
  <c r="Q1362" i="5" s="1"/>
  <c r="U1360" i="5"/>
  <c r="F1361" i="5"/>
  <c r="I1362" i="5"/>
  <c r="J1362" i="5"/>
  <c r="K1362" i="5"/>
  <c r="O1362" i="5"/>
  <c r="L1362" i="5"/>
  <c r="C1362" i="5"/>
  <c r="H1362" i="5"/>
  <c r="G1362" i="5"/>
  <c r="E1362" i="5"/>
  <c r="D1362" i="5"/>
  <c r="M1362" i="5"/>
  <c r="N1362" i="5"/>
  <c r="T1362" i="5" l="1"/>
  <c r="P1362" i="5"/>
  <c r="S1363" i="5"/>
  <c r="A1364" i="5"/>
  <c r="B1363" i="5"/>
  <c r="R1363" i="5"/>
  <c r="Q1363" i="5" s="1"/>
  <c r="U1361" i="5"/>
  <c r="F1362" i="5"/>
  <c r="K1363" i="5"/>
  <c r="O1363" i="5"/>
  <c r="M1363" i="5"/>
  <c r="N1363" i="5"/>
  <c r="C1363" i="5"/>
  <c r="E1363" i="5"/>
  <c r="I1363" i="5"/>
  <c r="G1363" i="5"/>
  <c r="D1363" i="5"/>
  <c r="H1363" i="5"/>
  <c r="L1363" i="5"/>
  <c r="J1363" i="5"/>
  <c r="T1363" i="5" l="1"/>
  <c r="P1363" i="5"/>
  <c r="U1362" i="5"/>
  <c r="S1364" i="5"/>
  <c r="A1365" i="5"/>
  <c r="R1364" i="5"/>
  <c r="Q1364" i="5" s="1"/>
  <c r="B1364" i="5"/>
  <c r="F1363" i="5"/>
  <c r="E1364" i="5"/>
  <c r="L1364" i="5"/>
  <c r="K1364" i="5"/>
  <c r="M1364" i="5"/>
  <c r="C1364" i="5"/>
  <c r="N1364" i="5"/>
  <c r="G1364" i="5"/>
  <c r="H1364" i="5"/>
  <c r="I1364" i="5"/>
  <c r="O1364" i="5"/>
  <c r="J1364" i="5"/>
  <c r="D1364" i="5"/>
  <c r="T1364" i="5" l="1"/>
  <c r="P1364" i="5"/>
  <c r="S1365" i="5"/>
  <c r="R1365" i="5"/>
  <c r="Q1365" i="5" s="1"/>
  <c r="B1365" i="5"/>
  <c r="A1366" i="5"/>
  <c r="U1363" i="5"/>
  <c r="F1364" i="5"/>
  <c r="K1365" i="5"/>
  <c r="I1365" i="5"/>
  <c r="N1365" i="5"/>
  <c r="H1365" i="5"/>
  <c r="L1365" i="5"/>
  <c r="D1365" i="5"/>
  <c r="G1365" i="5"/>
  <c r="E1365" i="5"/>
  <c r="J1365" i="5"/>
  <c r="C1365" i="5"/>
  <c r="O1365" i="5"/>
  <c r="M1365" i="5"/>
  <c r="T1365" i="5" l="1"/>
  <c r="P1365" i="5"/>
  <c r="S1366" i="5"/>
  <c r="A1367" i="5"/>
  <c r="B1366" i="5"/>
  <c r="R1366" i="5"/>
  <c r="Q1366" i="5" s="1"/>
  <c r="U1364" i="5"/>
  <c r="F1365" i="5"/>
  <c r="I1366" i="5"/>
  <c r="H1366" i="5"/>
  <c r="M1366" i="5"/>
  <c r="G1366" i="5"/>
  <c r="L1366" i="5"/>
  <c r="C1366" i="5"/>
  <c r="J1366" i="5"/>
  <c r="K1366" i="5"/>
  <c r="O1366" i="5"/>
  <c r="E1366" i="5"/>
  <c r="D1366" i="5"/>
  <c r="N1366" i="5"/>
  <c r="T1366" i="5" l="1"/>
  <c r="P1366" i="5"/>
  <c r="S1367" i="5"/>
  <c r="A1368" i="5"/>
  <c r="B1367" i="5"/>
  <c r="R1367" i="5"/>
  <c r="Q1367" i="5" s="1"/>
  <c r="U1365" i="5"/>
  <c r="K1367" i="5"/>
  <c r="D1367" i="5"/>
  <c r="E1367" i="5"/>
  <c r="I1367" i="5"/>
  <c r="J1367" i="5"/>
  <c r="H1367" i="5"/>
  <c r="O1367" i="5"/>
  <c r="M1367" i="5"/>
  <c r="L1367" i="5"/>
  <c r="G1367" i="5"/>
  <c r="N1367" i="5"/>
  <c r="C1367" i="5"/>
  <c r="F1366" i="5"/>
  <c r="T1367" i="5" l="1"/>
  <c r="P1367" i="5"/>
  <c r="S1368" i="5"/>
  <c r="A1369" i="5"/>
  <c r="R1368" i="5"/>
  <c r="Q1368" i="5" s="1"/>
  <c r="B1368" i="5"/>
  <c r="U1366" i="5"/>
  <c r="F1367" i="5"/>
  <c r="O1368" i="5"/>
  <c r="D1368" i="5"/>
  <c r="H1368" i="5"/>
  <c r="G1368" i="5"/>
  <c r="E1368" i="5"/>
  <c r="L1368" i="5"/>
  <c r="I1368" i="5"/>
  <c r="K1368" i="5"/>
  <c r="M1368" i="5"/>
  <c r="J1368" i="5"/>
  <c r="N1368" i="5"/>
  <c r="C1368" i="5"/>
  <c r="T1368" i="5" l="1"/>
  <c r="P1368" i="5"/>
  <c r="S1369" i="5"/>
  <c r="R1369" i="5"/>
  <c r="Q1369" i="5" s="1"/>
  <c r="B1369" i="5"/>
  <c r="A1370" i="5"/>
  <c r="U1367" i="5"/>
  <c r="F1368" i="5"/>
  <c r="E1369" i="5"/>
  <c r="H1369" i="5"/>
  <c r="G1369" i="5"/>
  <c r="N1369" i="5"/>
  <c r="D1369" i="5"/>
  <c r="M1369" i="5"/>
  <c r="L1369" i="5"/>
  <c r="J1369" i="5"/>
  <c r="I1369" i="5"/>
  <c r="K1369" i="5"/>
  <c r="O1369" i="5"/>
  <c r="C1369" i="5"/>
  <c r="P1369" i="5" l="1"/>
  <c r="T1369" i="5"/>
  <c r="S1370" i="5"/>
  <c r="A1371" i="5"/>
  <c r="B1370" i="5"/>
  <c r="R1370" i="5"/>
  <c r="Q1370" i="5" s="1"/>
  <c r="U1368" i="5"/>
  <c r="F1369" i="5"/>
  <c r="J1370" i="5"/>
  <c r="I1370" i="5"/>
  <c r="M1370" i="5"/>
  <c r="D1370" i="5"/>
  <c r="N1370" i="5"/>
  <c r="L1370" i="5"/>
  <c r="K1370" i="5"/>
  <c r="O1370" i="5"/>
  <c r="G1370" i="5"/>
  <c r="H1370" i="5"/>
  <c r="C1370" i="5"/>
  <c r="E1370" i="5"/>
  <c r="T1370" i="5" l="1"/>
  <c r="P1370" i="5"/>
  <c r="S1371" i="5"/>
  <c r="B1371" i="5"/>
  <c r="R1371" i="5"/>
  <c r="Q1371" i="5" s="1"/>
  <c r="A1372" i="5"/>
  <c r="U1369" i="5"/>
  <c r="F1370" i="5"/>
  <c r="C1371" i="5"/>
  <c r="D1371" i="5"/>
  <c r="I1371" i="5"/>
  <c r="N1371" i="5"/>
  <c r="L1371" i="5"/>
  <c r="J1371" i="5"/>
  <c r="G1371" i="5"/>
  <c r="E1371" i="5"/>
  <c r="O1371" i="5"/>
  <c r="K1371" i="5"/>
  <c r="M1371" i="5"/>
  <c r="H1371" i="5"/>
  <c r="T1371" i="5" l="1"/>
  <c r="P1371" i="5"/>
  <c r="S1372" i="5"/>
  <c r="A1373" i="5"/>
  <c r="R1372" i="5"/>
  <c r="Q1372" i="5" s="1"/>
  <c r="B1372" i="5"/>
  <c r="U1370" i="5"/>
  <c r="F1371" i="5"/>
  <c r="J1372" i="5"/>
  <c r="C1372" i="5"/>
  <c r="N1372" i="5"/>
  <c r="O1372" i="5"/>
  <c r="H1372" i="5"/>
  <c r="I1372" i="5"/>
  <c r="E1372" i="5"/>
  <c r="D1372" i="5"/>
  <c r="M1372" i="5"/>
  <c r="L1372" i="5"/>
  <c r="G1372" i="5"/>
  <c r="K1372" i="5"/>
  <c r="T1372" i="5" l="1"/>
  <c r="P1372" i="5"/>
  <c r="U1372" i="5" s="1"/>
  <c r="S1373" i="5"/>
  <c r="B1373" i="5"/>
  <c r="A1374" i="5"/>
  <c r="R1373" i="5"/>
  <c r="Q1373" i="5" s="1"/>
  <c r="U1371" i="5"/>
  <c r="L1373" i="5"/>
  <c r="C1373" i="5"/>
  <c r="O1373" i="5"/>
  <c r="I1373" i="5"/>
  <c r="H1373" i="5"/>
  <c r="D1373" i="5"/>
  <c r="K1373" i="5"/>
  <c r="N1373" i="5"/>
  <c r="G1373" i="5"/>
  <c r="J1373" i="5"/>
  <c r="E1373" i="5"/>
  <c r="M1373" i="5"/>
  <c r="F1372" i="5"/>
  <c r="T1373" i="5" l="1"/>
  <c r="P1373" i="5"/>
  <c r="S1374" i="5"/>
  <c r="A1375" i="5"/>
  <c r="B1374" i="5"/>
  <c r="R1374" i="5"/>
  <c r="Q1374" i="5" s="1"/>
  <c r="F1373" i="5"/>
  <c r="J1374" i="5"/>
  <c r="D1374" i="5"/>
  <c r="G1374" i="5"/>
  <c r="O1374" i="5"/>
  <c r="H1374" i="5"/>
  <c r="N1374" i="5"/>
  <c r="I1374" i="5"/>
  <c r="L1374" i="5"/>
  <c r="M1374" i="5"/>
  <c r="K1374" i="5"/>
  <c r="C1374" i="5"/>
  <c r="E1374" i="5"/>
  <c r="T1374" i="5" l="1"/>
  <c r="P1374" i="5"/>
  <c r="S1375" i="5"/>
  <c r="R1375" i="5"/>
  <c r="Q1375" i="5" s="1"/>
  <c r="B1375" i="5"/>
  <c r="A1376" i="5"/>
  <c r="U1373" i="5"/>
  <c r="F1374" i="5"/>
  <c r="M1375" i="5"/>
  <c r="K1375" i="5"/>
  <c r="N1375" i="5"/>
  <c r="C1375" i="5"/>
  <c r="H1375" i="5"/>
  <c r="G1375" i="5"/>
  <c r="E1375" i="5"/>
  <c r="I1375" i="5"/>
  <c r="D1375" i="5"/>
  <c r="J1375" i="5"/>
  <c r="O1375" i="5"/>
  <c r="L1375" i="5"/>
  <c r="T1375" i="5" l="1"/>
  <c r="P1375" i="5"/>
  <c r="S1376" i="5"/>
  <c r="A1377" i="5"/>
  <c r="R1376" i="5"/>
  <c r="Q1376" i="5" s="1"/>
  <c r="B1376" i="5"/>
  <c r="U1374" i="5"/>
  <c r="F1375" i="5"/>
  <c r="O1376" i="5"/>
  <c r="E1376" i="5"/>
  <c r="L1376" i="5"/>
  <c r="N1376" i="5"/>
  <c r="M1376" i="5"/>
  <c r="J1376" i="5"/>
  <c r="D1376" i="5"/>
  <c r="I1376" i="5"/>
  <c r="G1376" i="5"/>
  <c r="H1376" i="5"/>
  <c r="C1376" i="5"/>
  <c r="K1376" i="5"/>
  <c r="T1376" i="5" l="1"/>
  <c r="P1376" i="5"/>
  <c r="S1377" i="5"/>
  <c r="B1377" i="5"/>
  <c r="A1378" i="5"/>
  <c r="R1377" i="5"/>
  <c r="Q1377" i="5" s="1"/>
  <c r="U1375" i="5"/>
  <c r="F1376" i="5"/>
  <c r="M1377" i="5"/>
  <c r="E1377" i="5"/>
  <c r="D1377" i="5"/>
  <c r="L1377" i="5"/>
  <c r="G1377" i="5"/>
  <c r="I1377" i="5"/>
  <c r="J1377" i="5"/>
  <c r="N1377" i="5"/>
  <c r="H1377" i="5"/>
  <c r="K1377" i="5"/>
  <c r="O1377" i="5"/>
  <c r="C1377" i="5"/>
  <c r="T1377" i="5" l="1"/>
  <c r="P1377" i="5"/>
  <c r="S1378" i="5"/>
  <c r="R1378" i="5"/>
  <c r="Q1378" i="5" s="1"/>
  <c r="B1378" i="5"/>
  <c r="A1379" i="5"/>
  <c r="U1376" i="5"/>
  <c r="F1377" i="5"/>
  <c r="M1378" i="5"/>
  <c r="I1378" i="5"/>
  <c r="O1378" i="5"/>
  <c r="N1378" i="5"/>
  <c r="E1378" i="5"/>
  <c r="K1378" i="5"/>
  <c r="J1378" i="5"/>
  <c r="H1378" i="5"/>
  <c r="L1378" i="5"/>
  <c r="C1378" i="5"/>
  <c r="D1378" i="5"/>
  <c r="G1378" i="5"/>
  <c r="T1378" i="5" l="1"/>
  <c r="P1378" i="5"/>
  <c r="S1379" i="5"/>
  <c r="B1379" i="5"/>
  <c r="A1380" i="5"/>
  <c r="R1379" i="5"/>
  <c r="Q1379" i="5" s="1"/>
  <c r="U1377" i="5"/>
  <c r="F1378" i="5"/>
  <c r="L1379" i="5"/>
  <c r="K1379" i="5"/>
  <c r="E1379" i="5"/>
  <c r="D1379" i="5"/>
  <c r="C1379" i="5"/>
  <c r="J1379" i="5"/>
  <c r="H1379" i="5"/>
  <c r="G1379" i="5"/>
  <c r="M1379" i="5"/>
  <c r="N1379" i="5"/>
  <c r="O1379" i="5"/>
  <c r="I1379" i="5"/>
  <c r="T1379" i="5" l="1"/>
  <c r="P1379" i="5"/>
  <c r="S1380" i="5"/>
  <c r="R1380" i="5"/>
  <c r="Q1380" i="5" s="1"/>
  <c r="B1380" i="5"/>
  <c r="A1381" i="5"/>
  <c r="U1378" i="5"/>
  <c r="F1379" i="5"/>
  <c r="C1380" i="5"/>
  <c r="N1380" i="5"/>
  <c r="E1380" i="5"/>
  <c r="J1380" i="5"/>
  <c r="H1380" i="5"/>
  <c r="L1380" i="5"/>
  <c r="G1380" i="5"/>
  <c r="O1380" i="5"/>
  <c r="I1380" i="5"/>
  <c r="M1380" i="5"/>
  <c r="D1380" i="5"/>
  <c r="K1380" i="5"/>
  <c r="T1380" i="5" l="1"/>
  <c r="P1380" i="5"/>
  <c r="S1381" i="5"/>
  <c r="R1381" i="5"/>
  <c r="Q1381" i="5" s="1"/>
  <c r="B1381" i="5"/>
  <c r="A1382" i="5"/>
  <c r="U1379" i="5"/>
  <c r="F1380" i="5"/>
  <c r="I1381" i="5"/>
  <c r="N1381" i="5"/>
  <c r="L1381" i="5"/>
  <c r="M1381" i="5"/>
  <c r="H1381" i="5"/>
  <c r="D1381" i="5"/>
  <c r="J1381" i="5"/>
  <c r="C1381" i="5"/>
  <c r="E1381" i="5"/>
  <c r="O1381" i="5"/>
  <c r="K1381" i="5"/>
  <c r="G1381" i="5"/>
  <c r="T1381" i="5" l="1"/>
  <c r="P1381" i="5"/>
  <c r="S1382" i="5"/>
  <c r="B1382" i="5"/>
  <c r="A1383" i="5"/>
  <c r="R1382" i="5"/>
  <c r="Q1382" i="5" s="1"/>
  <c r="U1380" i="5"/>
  <c r="F1381" i="5"/>
  <c r="J1382" i="5"/>
  <c r="L1382" i="5"/>
  <c r="K1382" i="5"/>
  <c r="M1382" i="5"/>
  <c r="I1382" i="5"/>
  <c r="D1382" i="5"/>
  <c r="N1382" i="5"/>
  <c r="E1382" i="5"/>
  <c r="G1382" i="5"/>
  <c r="C1382" i="5"/>
  <c r="O1382" i="5"/>
  <c r="H1382" i="5"/>
  <c r="T1382" i="5" l="1"/>
  <c r="P1382" i="5"/>
  <c r="S1383" i="5"/>
  <c r="A1384" i="5"/>
  <c r="R1383" i="5"/>
  <c r="Q1383" i="5" s="1"/>
  <c r="B1383" i="5"/>
  <c r="U1381" i="5"/>
  <c r="F1382" i="5"/>
  <c r="D1383" i="5"/>
  <c r="I1383" i="5"/>
  <c r="J1383" i="5"/>
  <c r="M1383" i="5"/>
  <c r="H1383" i="5"/>
  <c r="L1383" i="5"/>
  <c r="E1383" i="5"/>
  <c r="G1383" i="5"/>
  <c r="N1383" i="5"/>
  <c r="C1383" i="5"/>
  <c r="O1383" i="5"/>
  <c r="K1383" i="5"/>
  <c r="T1383" i="5" l="1"/>
  <c r="P1383" i="5"/>
  <c r="S1384" i="5"/>
  <c r="R1384" i="5"/>
  <c r="Q1384" i="5" s="1"/>
  <c r="B1384" i="5"/>
  <c r="A1385" i="5"/>
  <c r="U1382" i="5"/>
  <c r="F1383" i="5"/>
  <c r="C1384" i="5"/>
  <c r="L1384" i="5"/>
  <c r="J1384" i="5"/>
  <c r="E1384" i="5"/>
  <c r="K1384" i="5"/>
  <c r="N1384" i="5"/>
  <c r="D1384" i="5"/>
  <c r="G1384" i="5"/>
  <c r="H1384" i="5"/>
  <c r="M1384" i="5"/>
  <c r="I1384" i="5"/>
  <c r="O1384" i="5"/>
  <c r="T1384" i="5" l="1"/>
  <c r="P1384" i="5"/>
  <c r="S1385" i="5"/>
  <c r="R1385" i="5"/>
  <c r="Q1385" i="5" s="1"/>
  <c r="B1385" i="5"/>
  <c r="A1386" i="5"/>
  <c r="U1383" i="5"/>
  <c r="F1384" i="5"/>
  <c r="G1385" i="5"/>
  <c r="M1385" i="5"/>
  <c r="I1385" i="5"/>
  <c r="C1385" i="5"/>
  <c r="O1385" i="5"/>
  <c r="E1385" i="5"/>
  <c r="L1385" i="5"/>
  <c r="J1385" i="5"/>
  <c r="D1385" i="5"/>
  <c r="K1385" i="5"/>
  <c r="H1385" i="5"/>
  <c r="N1385" i="5"/>
  <c r="T1385" i="5" l="1"/>
  <c r="P1385" i="5"/>
  <c r="S1386" i="5"/>
  <c r="A1387" i="5"/>
  <c r="R1386" i="5"/>
  <c r="Q1386" i="5" s="1"/>
  <c r="B1386" i="5"/>
  <c r="U1384" i="5"/>
  <c r="F1385" i="5"/>
  <c r="E1386" i="5"/>
  <c r="M1386" i="5"/>
  <c r="J1386" i="5"/>
  <c r="O1386" i="5"/>
  <c r="C1386" i="5"/>
  <c r="L1386" i="5"/>
  <c r="D1386" i="5"/>
  <c r="I1386" i="5"/>
  <c r="G1386" i="5"/>
  <c r="K1386" i="5"/>
  <c r="N1386" i="5"/>
  <c r="H1386" i="5"/>
  <c r="T1386" i="5" l="1"/>
  <c r="P1386" i="5"/>
  <c r="S1387" i="5"/>
  <c r="A1388" i="5"/>
  <c r="R1387" i="5"/>
  <c r="Q1387" i="5" s="1"/>
  <c r="B1387" i="5"/>
  <c r="U1385" i="5"/>
  <c r="F1386" i="5"/>
  <c r="M1387" i="5"/>
  <c r="L1387" i="5"/>
  <c r="E1387" i="5"/>
  <c r="N1387" i="5"/>
  <c r="C1387" i="5"/>
  <c r="J1387" i="5"/>
  <c r="O1387" i="5"/>
  <c r="D1387" i="5"/>
  <c r="G1387" i="5"/>
  <c r="I1387" i="5"/>
  <c r="K1387" i="5"/>
  <c r="H1387" i="5"/>
  <c r="T1387" i="5" l="1"/>
  <c r="P1387" i="5"/>
  <c r="U1386" i="5"/>
  <c r="S1388" i="5"/>
  <c r="B1388" i="5"/>
  <c r="A1389" i="5"/>
  <c r="R1388" i="5"/>
  <c r="Q1388" i="5" s="1"/>
  <c r="F1387" i="5"/>
  <c r="E1388" i="5"/>
  <c r="N1388" i="5"/>
  <c r="M1388" i="5"/>
  <c r="K1388" i="5"/>
  <c r="J1388" i="5"/>
  <c r="D1388" i="5"/>
  <c r="O1388" i="5"/>
  <c r="C1388" i="5"/>
  <c r="H1388" i="5"/>
  <c r="I1388" i="5"/>
  <c r="G1388" i="5"/>
  <c r="L1388" i="5"/>
  <c r="T1388" i="5" l="1"/>
  <c r="P1388" i="5"/>
  <c r="S1389" i="5"/>
  <c r="B1389" i="5"/>
  <c r="A1390" i="5"/>
  <c r="R1389" i="5"/>
  <c r="Q1389" i="5" s="1"/>
  <c r="U1387" i="5"/>
  <c r="F1388" i="5"/>
  <c r="N1389" i="5"/>
  <c r="O1389" i="5"/>
  <c r="M1389" i="5"/>
  <c r="C1389" i="5"/>
  <c r="I1389" i="5"/>
  <c r="K1389" i="5"/>
  <c r="E1389" i="5"/>
  <c r="H1389" i="5"/>
  <c r="G1389" i="5"/>
  <c r="D1389" i="5"/>
  <c r="L1389" i="5"/>
  <c r="J1389" i="5"/>
  <c r="T1389" i="5" l="1"/>
  <c r="P1389" i="5"/>
  <c r="S1390" i="5"/>
  <c r="B1390" i="5"/>
  <c r="A1391" i="5"/>
  <c r="R1390" i="5"/>
  <c r="Q1390" i="5" s="1"/>
  <c r="U1388" i="5"/>
  <c r="N1390" i="5"/>
  <c r="L1390" i="5"/>
  <c r="C1390" i="5"/>
  <c r="J1390" i="5"/>
  <c r="H1390" i="5"/>
  <c r="D1390" i="5"/>
  <c r="E1390" i="5"/>
  <c r="M1390" i="5"/>
  <c r="G1390" i="5"/>
  <c r="K1390" i="5"/>
  <c r="I1390" i="5"/>
  <c r="O1390" i="5"/>
  <c r="F1389" i="5"/>
  <c r="T1390" i="5" l="1"/>
  <c r="P1390" i="5"/>
  <c r="S1391" i="5"/>
  <c r="R1391" i="5"/>
  <c r="Q1391" i="5" s="1"/>
  <c r="B1391" i="5"/>
  <c r="A1392" i="5"/>
  <c r="U1389" i="5"/>
  <c r="F1390" i="5"/>
  <c r="D1391" i="5"/>
  <c r="O1391" i="5"/>
  <c r="G1391" i="5"/>
  <c r="L1391" i="5"/>
  <c r="M1391" i="5"/>
  <c r="J1391" i="5"/>
  <c r="H1391" i="5"/>
  <c r="I1391" i="5"/>
  <c r="C1391" i="5"/>
  <c r="K1391" i="5"/>
  <c r="N1391" i="5"/>
  <c r="E1391" i="5"/>
  <c r="T1391" i="5" l="1"/>
  <c r="P1391" i="5"/>
  <c r="S1392" i="5"/>
  <c r="A1393" i="5"/>
  <c r="B1392" i="5"/>
  <c r="R1392" i="5"/>
  <c r="Q1392" i="5" s="1"/>
  <c r="U1390" i="5"/>
  <c r="F1391" i="5"/>
  <c r="N1392" i="5"/>
  <c r="I1392" i="5"/>
  <c r="J1392" i="5"/>
  <c r="D1392" i="5"/>
  <c r="C1392" i="5"/>
  <c r="H1392" i="5"/>
  <c r="L1392" i="5"/>
  <c r="M1392" i="5"/>
  <c r="E1392" i="5"/>
  <c r="O1392" i="5"/>
  <c r="K1392" i="5"/>
  <c r="G1392" i="5"/>
  <c r="T1392" i="5" l="1"/>
  <c r="P1392" i="5"/>
  <c r="S1393" i="5"/>
  <c r="A1394" i="5"/>
  <c r="R1393" i="5"/>
  <c r="Q1393" i="5" s="1"/>
  <c r="B1393" i="5"/>
  <c r="U1391" i="5"/>
  <c r="F1392" i="5"/>
  <c r="O1393" i="5"/>
  <c r="N1393" i="5"/>
  <c r="K1393" i="5"/>
  <c r="H1393" i="5"/>
  <c r="L1393" i="5"/>
  <c r="G1393" i="5"/>
  <c r="J1393" i="5"/>
  <c r="E1393" i="5"/>
  <c r="M1393" i="5"/>
  <c r="D1393" i="5"/>
  <c r="I1393" i="5"/>
  <c r="C1393" i="5"/>
  <c r="T1393" i="5" l="1"/>
  <c r="P1393" i="5"/>
  <c r="S1394" i="5"/>
  <c r="A1395" i="5"/>
  <c r="B1394" i="5"/>
  <c r="R1394" i="5"/>
  <c r="Q1394" i="5" s="1"/>
  <c r="U1392" i="5"/>
  <c r="F1393" i="5"/>
  <c r="G1394" i="5"/>
  <c r="K1394" i="5"/>
  <c r="N1394" i="5"/>
  <c r="J1394" i="5"/>
  <c r="L1394" i="5"/>
  <c r="I1394" i="5"/>
  <c r="O1394" i="5"/>
  <c r="M1394" i="5"/>
  <c r="H1394" i="5"/>
  <c r="C1394" i="5"/>
  <c r="E1394" i="5"/>
  <c r="D1394" i="5"/>
  <c r="T1394" i="5" l="1"/>
  <c r="P1394" i="5"/>
  <c r="S1395" i="5"/>
  <c r="R1395" i="5"/>
  <c r="Q1395" i="5" s="1"/>
  <c r="A1396" i="5"/>
  <c r="B1395" i="5"/>
  <c r="U1393" i="5"/>
  <c r="F1394" i="5"/>
  <c r="G1395" i="5"/>
  <c r="N1395" i="5"/>
  <c r="D1395" i="5"/>
  <c r="J1395" i="5"/>
  <c r="K1395" i="5"/>
  <c r="M1395" i="5"/>
  <c r="O1395" i="5"/>
  <c r="I1395" i="5"/>
  <c r="L1395" i="5"/>
  <c r="H1395" i="5"/>
  <c r="E1395" i="5"/>
  <c r="C1395" i="5"/>
  <c r="T1395" i="5" l="1"/>
  <c r="P1395" i="5"/>
  <c r="S1396" i="5"/>
  <c r="R1396" i="5"/>
  <c r="Q1396" i="5" s="1"/>
  <c r="B1396" i="5"/>
  <c r="A1397" i="5"/>
  <c r="U1394" i="5"/>
  <c r="F1395" i="5"/>
  <c r="G1396" i="5"/>
  <c r="E1396" i="5"/>
  <c r="I1396" i="5"/>
  <c r="J1396" i="5"/>
  <c r="H1396" i="5"/>
  <c r="C1396" i="5"/>
  <c r="N1396" i="5"/>
  <c r="L1396" i="5"/>
  <c r="O1396" i="5"/>
  <c r="K1396" i="5"/>
  <c r="M1396" i="5"/>
  <c r="D1396" i="5"/>
  <c r="T1396" i="5" l="1"/>
  <c r="P1396" i="5"/>
  <c r="S1397" i="5"/>
  <c r="R1397" i="5"/>
  <c r="Q1397" i="5" s="1"/>
  <c r="B1397" i="5"/>
  <c r="A1398" i="5"/>
  <c r="U1395" i="5"/>
  <c r="F1396" i="5"/>
  <c r="D1397" i="5"/>
  <c r="I1397" i="5"/>
  <c r="J1397" i="5"/>
  <c r="M1397" i="5"/>
  <c r="C1397" i="5"/>
  <c r="K1397" i="5"/>
  <c r="L1397" i="5"/>
  <c r="G1397" i="5"/>
  <c r="E1397" i="5"/>
  <c r="N1397" i="5"/>
  <c r="O1397" i="5"/>
  <c r="H1397" i="5"/>
  <c r="T1397" i="5" l="1"/>
  <c r="P1397" i="5"/>
  <c r="S1398" i="5"/>
  <c r="B1398" i="5"/>
  <c r="A1399" i="5"/>
  <c r="R1398" i="5"/>
  <c r="Q1398" i="5" s="1"/>
  <c r="U1396" i="5"/>
  <c r="F1397" i="5"/>
  <c r="H1398" i="5"/>
  <c r="L1398" i="5"/>
  <c r="G1398" i="5"/>
  <c r="I1398" i="5"/>
  <c r="O1398" i="5"/>
  <c r="N1398" i="5"/>
  <c r="M1398" i="5"/>
  <c r="K1398" i="5"/>
  <c r="E1398" i="5"/>
  <c r="C1398" i="5"/>
  <c r="D1398" i="5"/>
  <c r="J1398" i="5"/>
  <c r="T1398" i="5" l="1"/>
  <c r="P1398" i="5"/>
  <c r="S1399" i="5"/>
  <c r="A1400" i="5"/>
  <c r="R1399" i="5"/>
  <c r="Q1399" i="5" s="1"/>
  <c r="B1399" i="5"/>
  <c r="U1397" i="5"/>
  <c r="F1398" i="5"/>
  <c r="K1399" i="5"/>
  <c r="M1399" i="5"/>
  <c r="I1399" i="5"/>
  <c r="G1399" i="5"/>
  <c r="L1399" i="5"/>
  <c r="J1399" i="5"/>
  <c r="C1399" i="5"/>
  <c r="D1399" i="5"/>
  <c r="O1399" i="5"/>
  <c r="H1399" i="5"/>
  <c r="E1399" i="5"/>
  <c r="N1399" i="5"/>
  <c r="T1399" i="5" l="1"/>
  <c r="P1399" i="5"/>
  <c r="S1400" i="5"/>
  <c r="R1400" i="5"/>
  <c r="Q1400" i="5" s="1"/>
  <c r="B1400" i="5"/>
  <c r="A1401" i="5"/>
  <c r="U1398" i="5"/>
  <c r="F1399" i="5"/>
  <c r="C1400" i="5"/>
  <c r="J1400" i="5"/>
  <c r="M1400" i="5"/>
  <c r="E1400" i="5"/>
  <c r="N1400" i="5"/>
  <c r="L1400" i="5"/>
  <c r="H1400" i="5"/>
  <c r="K1400" i="5"/>
  <c r="I1400" i="5"/>
  <c r="O1400" i="5"/>
  <c r="G1400" i="5"/>
  <c r="D1400" i="5"/>
  <c r="T1400" i="5" l="1"/>
  <c r="P1400" i="5"/>
  <c r="S1401" i="5"/>
  <c r="R1401" i="5"/>
  <c r="Q1401" i="5" s="1"/>
  <c r="B1401" i="5"/>
  <c r="A1402" i="5"/>
  <c r="U1399" i="5"/>
  <c r="F1400" i="5"/>
  <c r="G1401" i="5"/>
  <c r="M1401" i="5"/>
  <c r="E1401" i="5"/>
  <c r="D1401" i="5"/>
  <c r="N1401" i="5"/>
  <c r="C1401" i="5"/>
  <c r="K1401" i="5"/>
  <c r="O1401" i="5"/>
  <c r="J1401" i="5"/>
  <c r="L1401" i="5"/>
  <c r="H1401" i="5"/>
  <c r="I1401" i="5"/>
  <c r="T1401" i="5" l="1"/>
  <c r="P1401" i="5"/>
  <c r="U1401" i="5" s="1"/>
  <c r="S1402" i="5"/>
  <c r="A1403" i="5"/>
  <c r="R1402" i="5"/>
  <c r="Q1402" i="5" s="1"/>
  <c r="B1402" i="5"/>
  <c r="U1400" i="5"/>
  <c r="O1402" i="5"/>
  <c r="D1402" i="5"/>
  <c r="N1402" i="5"/>
  <c r="L1402" i="5"/>
  <c r="K1402" i="5"/>
  <c r="J1402" i="5"/>
  <c r="G1402" i="5"/>
  <c r="I1402" i="5"/>
  <c r="M1402" i="5"/>
  <c r="C1402" i="5"/>
  <c r="H1402" i="5"/>
  <c r="E1402" i="5"/>
  <c r="F1401" i="5"/>
  <c r="T1402" i="5" l="1"/>
  <c r="P1402" i="5"/>
  <c r="S1403" i="5"/>
  <c r="A1404" i="5"/>
  <c r="B1403" i="5"/>
  <c r="R1403" i="5"/>
  <c r="Q1403" i="5" s="1"/>
  <c r="F1402" i="5"/>
  <c r="G1403" i="5"/>
  <c r="O1403" i="5"/>
  <c r="M1403" i="5"/>
  <c r="N1403" i="5"/>
  <c r="H1403" i="5"/>
  <c r="D1403" i="5"/>
  <c r="I1403" i="5"/>
  <c r="E1403" i="5"/>
  <c r="K1403" i="5"/>
  <c r="C1403" i="5"/>
  <c r="L1403" i="5"/>
  <c r="J1403" i="5"/>
  <c r="T1403" i="5" l="1"/>
  <c r="P1403" i="5"/>
  <c r="S1404" i="5"/>
  <c r="R1404" i="5"/>
  <c r="Q1404" i="5" s="1"/>
  <c r="B1404" i="5"/>
  <c r="A1405" i="5"/>
  <c r="U1402" i="5"/>
  <c r="F1403" i="5"/>
  <c r="L1404" i="5"/>
  <c r="N1404" i="5"/>
  <c r="G1404" i="5"/>
  <c r="K1404" i="5"/>
  <c r="C1404" i="5"/>
  <c r="E1404" i="5"/>
  <c r="I1404" i="5"/>
  <c r="J1404" i="5"/>
  <c r="M1404" i="5"/>
  <c r="H1404" i="5"/>
  <c r="D1404" i="5"/>
  <c r="O1404" i="5"/>
  <c r="T1404" i="5" l="1"/>
  <c r="P1404" i="5"/>
  <c r="S1405" i="5"/>
  <c r="B1405" i="5"/>
  <c r="A1406" i="5"/>
  <c r="R1405" i="5"/>
  <c r="Q1405" i="5" s="1"/>
  <c r="U1403" i="5"/>
  <c r="F1404" i="5"/>
  <c r="D1405" i="5"/>
  <c r="M1405" i="5"/>
  <c r="I1405" i="5"/>
  <c r="E1405" i="5"/>
  <c r="H1405" i="5"/>
  <c r="G1405" i="5"/>
  <c r="K1405" i="5"/>
  <c r="J1405" i="5"/>
  <c r="O1405" i="5"/>
  <c r="L1405" i="5"/>
  <c r="C1405" i="5"/>
  <c r="N1405" i="5"/>
  <c r="T1405" i="5" l="1"/>
  <c r="P1405" i="5"/>
  <c r="S1406" i="5"/>
  <c r="B1406" i="5"/>
  <c r="A1407" i="5"/>
  <c r="R1406" i="5"/>
  <c r="Q1406" i="5" s="1"/>
  <c r="U1404" i="5"/>
  <c r="F1405" i="5"/>
  <c r="N1406" i="5"/>
  <c r="H1406" i="5"/>
  <c r="O1406" i="5"/>
  <c r="L1406" i="5"/>
  <c r="M1406" i="5"/>
  <c r="K1406" i="5"/>
  <c r="E1406" i="5"/>
  <c r="G1406" i="5"/>
  <c r="C1406" i="5"/>
  <c r="I1406" i="5"/>
  <c r="J1406" i="5"/>
  <c r="D1406" i="5"/>
  <c r="T1406" i="5" l="1"/>
  <c r="P1406" i="5"/>
  <c r="U1406" i="5" s="1"/>
  <c r="S1407" i="5"/>
  <c r="B1407" i="5"/>
  <c r="A1408" i="5"/>
  <c r="R1407" i="5"/>
  <c r="Q1407" i="5" s="1"/>
  <c r="U1405" i="5"/>
  <c r="O1407" i="5"/>
  <c r="C1407" i="5"/>
  <c r="E1407" i="5"/>
  <c r="J1407" i="5"/>
  <c r="M1407" i="5"/>
  <c r="L1407" i="5"/>
  <c r="N1407" i="5"/>
  <c r="G1407" i="5"/>
  <c r="H1407" i="5"/>
  <c r="K1407" i="5"/>
  <c r="I1407" i="5"/>
  <c r="D1407" i="5"/>
  <c r="F1406" i="5"/>
  <c r="T1407" i="5" l="1"/>
  <c r="P1407" i="5"/>
  <c r="S1408" i="5"/>
  <c r="B1408" i="5"/>
  <c r="A1409" i="5"/>
  <c r="R1408" i="5"/>
  <c r="Q1408" i="5" s="1"/>
  <c r="F1407" i="5"/>
  <c r="D1408" i="5"/>
  <c r="L1408" i="5"/>
  <c r="I1408" i="5"/>
  <c r="H1408" i="5"/>
  <c r="N1408" i="5"/>
  <c r="M1408" i="5"/>
  <c r="G1408" i="5"/>
  <c r="C1408" i="5"/>
  <c r="O1408" i="5"/>
  <c r="J1408" i="5"/>
  <c r="K1408" i="5"/>
  <c r="E1408" i="5"/>
  <c r="T1408" i="5" l="1"/>
  <c r="P1408" i="5"/>
  <c r="S1409" i="5"/>
  <c r="A1410" i="5"/>
  <c r="B1409" i="5"/>
  <c r="R1409" i="5"/>
  <c r="Q1409" i="5" s="1"/>
  <c r="U1407" i="5"/>
  <c r="F1408" i="5"/>
  <c r="N1409" i="5"/>
  <c r="O1409" i="5"/>
  <c r="I1409" i="5"/>
  <c r="H1409" i="5"/>
  <c r="L1409" i="5"/>
  <c r="K1409" i="5"/>
  <c r="J1409" i="5"/>
  <c r="G1409" i="5"/>
  <c r="D1409" i="5"/>
  <c r="C1409" i="5"/>
  <c r="E1409" i="5"/>
  <c r="M1409" i="5"/>
  <c r="T1409" i="5" l="1"/>
  <c r="P1409" i="5"/>
  <c r="S1410" i="5"/>
  <c r="A1411" i="5"/>
  <c r="R1410" i="5"/>
  <c r="Q1410" i="5" s="1"/>
  <c r="B1410" i="5"/>
  <c r="U1408" i="5"/>
  <c r="F1409" i="5"/>
  <c r="C1410" i="5"/>
  <c r="K1410" i="5"/>
  <c r="J1410" i="5"/>
  <c r="H1410" i="5"/>
  <c r="N1410" i="5"/>
  <c r="G1410" i="5"/>
  <c r="L1410" i="5"/>
  <c r="I1410" i="5"/>
  <c r="E1410" i="5"/>
  <c r="M1410" i="5"/>
  <c r="D1410" i="5"/>
  <c r="O1410" i="5"/>
  <c r="T1410" i="5" l="1"/>
  <c r="P1410" i="5"/>
  <c r="S1411" i="5"/>
  <c r="A1412" i="5"/>
  <c r="B1411" i="5"/>
  <c r="R1411" i="5"/>
  <c r="Q1411" i="5" s="1"/>
  <c r="U1409" i="5"/>
  <c r="F1410" i="5"/>
  <c r="J1411" i="5"/>
  <c r="H1411" i="5"/>
  <c r="M1411" i="5"/>
  <c r="K1411" i="5"/>
  <c r="L1411" i="5"/>
  <c r="E1411" i="5"/>
  <c r="N1411" i="5"/>
  <c r="C1411" i="5"/>
  <c r="D1411" i="5"/>
  <c r="I1411" i="5"/>
  <c r="G1411" i="5"/>
  <c r="O1411" i="5"/>
  <c r="T1411" i="5" l="1"/>
  <c r="P1411" i="5"/>
  <c r="S1412" i="5"/>
  <c r="A1413" i="5"/>
  <c r="R1412" i="5"/>
  <c r="Q1412" i="5" s="1"/>
  <c r="B1412" i="5"/>
  <c r="U1410" i="5"/>
  <c r="F1411" i="5"/>
  <c r="J1412" i="5"/>
  <c r="O1412" i="5"/>
  <c r="E1412" i="5"/>
  <c r="K1412" i="5"/>
  <c r="L1412" i="5"/>
  <c r="M1412" i="5"/>
  <c r="N1412" i="5"/>
  <c r="H1412" i="5"/>
  <c r="D1412" i="5"/>
  <c r="C1412" i="5"/>
  <c r="G1412" i="5"/>
  <c r="I1412" i="5"/>
  <c r="T1412" i="5" l="1"/>
  <c r="P1412" i="5"/>
  <c r="S1413" i="5"/>
  <c r="B1413" i="5"/>
  <c r="A1414" i="5"/>
  <c r="R1413" i="5"/>
  <c r="Q1413" i="5" s="1"/>
  <c r="U1411" i="5"/>
  <c r="F1412" i="5"/>
  <c r="D1413" i="5"/>
  <c r="H1413" i="5"/>
  <c r="G1413" i="5"/>
  <c r="M1413" i="5"/>
  <c r="K1413" i="5"/>
  <c r="I1413" i="5"/>
  <c r="L1413" i="5"/>
  <c r="J1413" i="5"/>
  <c r="E1413" i="5"/>
  <c r="C1413" i="5"/>
  <c r="N1413" i="5"/>
  <c r="O1413" i="5"/>
  <c r="T1413" i="5" l="1"/>
  <c r="P1413" i="5"/>
  <c r="S1414" i="5"/>
  <c r="R1414" i="5"/>
  <c r="Q1414" i="5" s="1"/>
  <c r="B1414" i="5"/>
  <c r="A1415" i="5"/>
  <c r="U1412" i="5"/>
  <c r="F1413" i="5"/>
  <c r="M1414" i="5"/>
  <c r="L1414" i="5"/>
  <c r="I1414" i="5"/>
  <c r="G1414" i="5"/>
  <c r="K1414" i="5"/>
  <c r="E1414" i="5"/>
  <c r="J1414" i="5"/>
  <c r="O1414" i="5"/>
  <c r="C1414" i="5"/>
  <c r="D1414" i="5"/>
  <c r="H1414" i="5"/>
  <c r="N1414" i="5"/>
  <c r="T1414" i="5" l="1"/>
  <c r="P1414" i="5"/>
  <c r="S1415" i="5"/>
  <c r="R1415" i="5"/>
  <c r="Q1415" i="5" s="1"/>
  <c r="B1415" i="5"/>
  <c r="A1416" i="5"/>
  <c r="U1413" i="5"/>
  <c r="F1414" i="5"/>
  <c r="I1415" i="5"/>
  <c r="L1415" i="5"/>
  <c r="D1415" i="5"/>
  <c r="H1415" i="5"/>
  <c r="K1415" i="5"/>
  <c r="C1415" i="5"/>
  <c r="N1415" i="5"/>
  <c r="J1415" i="5"/>
  <c r="M1415" i="5"/>
  <c r="G1415" i="5"/>
  <c r="O1415" i="5"/>
  <c r="E1415" i="5"/>
  <c r="T1415" i="5" l="1"/>
  <c r="P1415" i="5"/>
  <c r="S1416" i="5"/>
  <c r="R1416" i="5"/>
  <c r="Q1416" i="5" s="1"/>
  <c r="B1416" i="5"/>
  <c r="A1417" i="5"/>
  <c r="U1414" i="5"/>
  <c r="F1415" i="5"/>
  <c r="D1416" i="5"/>
  <c r="J1416" i="5"/>
  <c r="H1416" i="5"/>
  <c r="G1416" i="5"/>
  <c r="L1416" i="5"/>
  <c r="N1416" i="5"/>
  <c r="O1416" i="5"/>
  <c r="I1416" i="5"/>
  <c r="K1416" i="5"/>
  <c r="C1416" i="5"/>
  <c r="E1416" i="5"/>
  <c r="M1416" i="5"/>
  <c r="T1416" i="5" l="1"/>
  <c r="P1416" i="5"/>
  <c r="S1417" i="5"/>
  <c r="A1418" i="5"/>
  <c r="B1417" i="5"/>
  <c r="R1417" i="5"/>
  <c r="Q1417" i="5" s="1"/>
  <c r="U1415" i="5"/>
  <c r="F1416" i="5"/>
  <c r="L1417" i="5"/>
  <c r="N1417" i="5"/>
  <c r="C1417" i="5"/>
  <c r="O1417" i="5"/>
  <c r="J1417" i="5"/>
  <c r="M1417" i="5"/>
  <c r="D1417" i="5"/>
  <c r="H1417" i="5"/>
  <c r="I1417" i="5"/>
  <c r="K1417" i="5"/>
  <c r="E1417" i="5"/>
  <c r="G1417" i="5"/>
  <c r="T1417" i="5" l="1"/>
  <c r="P1417" i="5"/>
  <c r="S1418" i="5"/>
  <c r="R1418" i="5"/>
  <c r="Q1418" i="5" s="1"/>
  <c r="B1418" i="5"/>
  <c r="A1419" i="5"/>
  <c r="U1416" i="5"/>
  <c r="F1417" i="5"/>
  <c r="C1418" i="5"/>
  <c r="E1418" i="5"/>
  <c r="K1418" i="5"/>
  <c r="I1418" i="5"/>
  <c r="N1418" i="5"/>
  <c r="O1418" i="5"/>
  <c r="L1418" i="5"/>
  <c r="J1418" i="5"/>
  <c r="D1418" i="5"/>
  <c r="G1418" i="5"/>
  <c r="H1418" i="5"/>
  <c r="M1418" i="5"/>
  <c r="T1418" i="5" l="1"/>
  <c r="P1418" i="5"/>
  <c r="S1419" i="5"/>
  <c r="R1419" i="5"/>
  <c r="Q1419" i="5" s="1"/>
  <c r="B1419" i="5"/>
  <c r="A1420" i="5"/>
  <c r="U1417" i="5"/>
  <c r="F1418" i="5"/>
  <c r="O1419" i="5"/>
  <c r="G1419" i="5"/>
  <c r="K1419" i="5"/>
  <c r="C1419" i="5"/>
  <c r="I1419" i="5"/>
  <c r="E1419" i="5"/>
  <c r="N1419" i="5"/>
  <c r="L1419" i="5"/>
  <c r="D1419" i="5"/>
  <c r="M1419" i="5"/>
  <c r="H1419" i="5"/>
  <c r="J1419" i="5"/>
  <c r="T1419" i="5" l="1"/>
  <c r="P1419" i="5"/>
  <c r="S1420" i="5"/>
  <c r="B1420" i="5"/>
  <c r="A1421" i="5"/>
  <c r="R1420" i="5"/>
  <c r="Q1420" i="5" s="1"/>
  <c r="U1418" i="5"/>
  <c r="F1419" i="5"/>
  <c r="G1420" i="5"/>
  <c r="D1420" i="5"/>
  <c r="I1420" i="5"/>
  <c r="L1420" i="5"/>
  <c r="O1420" i="5"/>
  <c r="K1420" i="5"/>
  <c r="M1420" i="5"/>
  <c r="C1420" i="5"/>
  <c r="J1420" i="5"/>
  <c r="N1420" i="5"/>
  <c r="H1420" i="5"/>
  <c r="E1420" i="5"/>
  <c r="T1420" i="5" l="1"/>
  <c r="P1420" i="5"/>
  <c r="S1421" i="5"/>
  <c r="A1422" i="5"/>
  <c r="R1421" i="5"/>
  <c r="Q1421" i="5" s="1"/>
  <c r="B1421" i="5"/>
  <c r="U1419" i="5"/>
  <c r="F1420" i="5"/>
  <c r="K1421" i="5"/>
  <c r="M1421" i="5"/>
  <c r="G1421" i="5"/>
  <c r="E1421" i="5"/>
  <c r="I1421" i="5"/>
  <c r="H1421" i="5"/>
  <c r="N1421" i="5"/>
  <c r="L1421" i="5"/>
  <c r="C1421" i="5"/>
  <c r="O1421" i="5"/>
  <c r="J1421" i="5"/>
  <c r="D1421" i="5"/>
  <c r="T1421" i="5" l="1"/>
  <c r="P1421" i="5"/>
  <c r="S1422" i="5"/>
  <c r="R1422" i="5"/>
  <c r="Q1422" i="5" s="1"/>
  <c r="B1422" i="5"/>
  <c r="A1423" i="5"/>
  <c r="U1420" i="5"/>
  <c r="F1421" i="5"/>
  <c r="H1422" i="5"/>
  <c r="L1422" i="5"/>
  <c r="O1422" i="5"/>
  <c r="D1422" i="5"/>
  <c r="G1422" i="5"/>
  <c r="M1422" i="5"/>
  <c r="N1422" i="5"/>
  <c r="C1422" i="5"/>
  <c r="E1422" i="5"/>
  <c r="J1422" i="5"/>
  <c r="I1422" i="5"/>
  <c r="K1422" i="5"/>
  <c r="T1422" i="5" l="1"/>
  <c r="P1422" i="5"/>
  <c r="S1423" i="5"/>
  <c r="R1423" i="5"/>
  <c r="Q1423" i="5" s="1"/>
  <c r="B1423" i="5"/>
  <c r="A1424" i="5"/>
  <c r="U1421" i="5"/>
  <c r="F1422" i="5"/>
  <c r="G1423" i="5"/>
  <c r="J1423" i="5"/>
  <c r="M1423" i="5"/>
  <c r="I1423" i="5"/>
  <c r="C1423" i="5"/>
  <c r="H1423" i="5"/>
  <c r="O1423" i="5"/>
  <c r="D1423" i="5"/>
  <c r="L1423" i="5"/>
  <c r="E1423" i="5"/>
  <c r="N1423" i="5"/>
  <c r="K1423" i="5"/>
  <c r="T1423" i="5" l="1"/>
  <c r="P1423" i="5"/>
  <c r="S1424" i="5"/>
  <c r="A1425" i="5"/>
  <c r="R1424" i="5"/>
  <c r="Q1424" i="5" s="1"/>
  <c r="B1424" i="5"/>
  <c r="U1422" i="5"/>
  <c r="F1423" i="5"/>
  <c r="M1424" i="5"/>
  <c r="H1424" i="5"/>
  <c r="C1424" i="5"/>
  <c r="D1424" i="5"/>
  <c r="G1424" i="5"/>
  <c r="J1424" i="5"/>
  <c r="E1424" i="5"/>
  <c r="N1424" i="5"/>
  <c r="O1424" i="5"/>
  <c r="L1424" i="5"/>
  <c r="I1424" i="5"/>
  <c r="K1424" i="5"/>
  <c r="T1424" i="5" l="1"/>
  <c r="P1424" i="5"/>
  <c r="S1425" i="5"/>
  <c r="A1426" i="5"/>
  <c r="B1425" i="5"/>
  <c r="R1425" i="5"/>
  <c r="Q1425" i="5" s="1"/>
  <c r="U1423" i="5"/>
  <c r="F1424" i="5"/>
  <c r="C1425" i="5"/>
  <c r="D1425" i="5"/>
  <c r="E1425" i="5"/>
  <c r="N1425" i="5"/>
  <c r="J1425" i="5"/>
  <c r="G1425" i="5"/>
  <c r="H1425" i="5"/>
  <c r="K1425" i="5"/>
  <c r="L1425" i="5"/>
  <c r="M1425" i="5"/>
  <c r="O1425" i="5"/>
  <c r="I1425" i="5"/>
  <c r="T1425" i="5" l="1"/>
  <c r="P1425" i="5"/>
  <c r="S1426" i="5"/>
  <c r="R1426" i="5"/>
  <c r="Q1426" i="5" s="1"/>
  <c r="B1426" i="5"/>
  <c r="A1427" i="5"/>
  <c r="U1424" i="5"/>
  <c r="F1425" i="5"/>
  <c r="M1426" i="5"/>
  <c r="L1426" i="5"/>
  <c r="H1426" i="5"/>
  <c r="G1426" i="5"/>
  <c r="E1426" i="5"/>
  <c r="K1426" i="5"/>
  <c r="N1426" i="5"/>
  <c r="C1426" i="5"/>
  <c r="O1426" i="5"/>
  <c r="D1426" i="5"/>
  <c r="J1426" i="5"/>
  <c r="I1426" i="5"/>
  <c r="T1426" i="5" l="1"/>
  <c r="P1426" i="5"/>
  <c r="S1427" i="5"/>
  <c r="B1427" i="5"/>
  <c r="A1428" i="5"/>
  <c r="R1427" i="5"/>
  <c r="Q1427" i="5" s="1"/>
  <c r="U1425" i="5"/>
  <c r="F1426" i="5"/>
  <c r="C1427" i="5"/>
  <c r="M1427" i="5"/>
  <c r="E1427" i="5"/>
  <c r="D1427" i="5"/>
  <c r="N1427" i="5"/>
  <c r="L1427" i="5"/>
  <c r="H1427" i="5"/>
  <c r="O1427" i="5"/>
  <c r="J1427" i="5"/>
  <c r="I1427" i="5"/>
  <c r="G1427" i="5"/>
  <c r="K1427" i="5"/>
  <c r="T1427" i="5" l="1"/>
  <c r="P1427" i="5"/>
  <c r="S1428" i="5"/>
  <c r="R1428" i="5"/>
  <c r="Q1428" i="5" s="1"/>
  <c r="B1428" i="5"/>
  <c r="A1429" i="5"/>
  <c r="U1426" i="5"/>
  <c r="F1427" i="5"/>
  <c r="N1428" i="5"/>
  <c r="G1428" i="5"/>
  <c r="H1428" i="5"/>
  <c r="L1428" i="5"/>
  <c r="D1428" i="5"/>
  <c r="O1428" i="5"/>
  <c r="I1428" i="5"/>
  <c r="K1428" i="5"/>
  <c r="E1428" i="5"/>
  <c r="M1428" i="5"/>
  <c r="J1428" i="5"/>
  <c r="C1428" i="5"/>
  <c r="P1428" i="5" l="1"/>
  <c r="T1428" i="5"/>
  <c r="S1429" i="5"/>
  <c r="B1429" i="5"/>
  <c r="A1430" i="5"/>
  <c r="R1429" i="5"/>
  <c r="Q1429" i="5" s="1"/>
  <c r="U1427" i="5"/>
  <c r="F1428" i="5"/>
  <c r="C1429" i="5"/>
  <c r="J1429" i="5"/>
  <c r="K1429" i="5"/>
  <c r="D1429" i="5"/>
  <c r="M1429" i="5"/>
  <c r="G1429" i="5"/>
  <c r="I1429" i="5"/>
  <c r="L1429" i="5"/>
  <c r="E1429" i="5"/>
  <c r="H1429" i="5"/>
  <c r="O1429" i="5"/>
  <c r="N1429" i="5"/>
  <c r="T1429" i="5" l="1"/>
  <c r="P1429" i="5"/>
  <c r="S1430" i="5"/>
  <c r="B1430" i="5"/>
  <c r="A1431" i="5"/>
  <c r="R1430" i="5"/>
  <c r="Q1430" i="5" s="1"/>
  <c r="U1428" i="5"/>
  <c r="F1429" i="5"/>
  <c r="K1430" i="5"/>
  <c r="H1430" i="5"/>
  <c r="L1430" i="5"/>
  <c r="G1430" i="5"/>
  <c r="O1430" i="5"/>
  <c r="E1430" i="5"/>
  <c r="I1430" i="5"/>
  <c r="C1430" i="5"/>
  <c r="J1430" i="5"/>
  <c r="D1430" i="5"/>
  <c r="N1430" i="5"/>
  <c r="M1430" i="5"/>
  <c r="T1430" i="5" l="1"/>
  <c r="P1430" i="5"/>
  <c r="S1431" i="5"/>
  <c r="A1432" i="5"/>
  <c r="B1431" i="5"/>
  <c r="R1431" i="5"/>
  <c r="Q1431" i="5" s="1"/>
  <c r="U1429" i="5"/>
  <c r="F1430" i="5"/>
  <c r="K1431" i="5"/>
  <c r="E1431" i="5"/>
  <c r="L1431" i="5"/>
  <c r="M1431" i="5"/>
  <c r="H1431" i="5"/>
  <c r="O1431" i="5"/>
  <c r="D1431" i="5"/>
  <c r="N1431" i="5"/>
  <c r="J1431" i="5"/>
  <c r="G1431" i="5"/>
  <c r="I1431" i="5"/>
  <c r="C1431" i="5"/>
  <c r="T1431" i="5" l="1"/>
  <c r="P1431" i="5"/>
  <c r="S1432" i="5"/>
  <c r="R1432" i="5"/>
  <c r="Q1432" i="5" s="1"/>
  <c r="B1432" i="5"/>
  <c r="A1433" i="5"/>
  <c r="U1430" i="5"/>
  <c r="F1431" i="5"/>
  <c r="N1432" i="5"/>
  <c r="O1432" i="5"/>
  <c r="C1432" i="5"/>
  <c r="E1432" i="5"/>
  <c r="G1432" i="5"/>
  <c r="H1432" i="5"/>
  <c r="I1432" i="5"/>
  <c r="D1432" i="5"/>
  <c r="J1432" i="5"/>
  <c r="M1432" i="5"/>
  <c r="L1432" i="5"/>
  <c r="K1432" i="5"/>
  <c r="T1432" i="5" l="1"/>
  <c r="P1432" i="5"/>
  <c r="S1433" i="5"/>
  <c r="A1434" i="5"/>
  <c r="R1433" i="5"/>
  <c r="Q1433" i="5" s="1"/>
  <c r="B1433" i="5"/>
  <c r="U1431" i="5"/>
  <c r="F1432" i="5"/>
  <c r="K1433" i="5"/>
  <c r="J1433" i="5"/>
  <c r="H1433" i="5"/>
  <c r="O1433" i="5"/>
  <c r="G1433" i="5"/>
  <c r="N1433" i="5"/>
  <c r="L1433" i="5"/>
  <c r="C1433" i="5"/>
  <c r="I1433" i="5"/>
  <c r="M1433" i="5"/>
  <c r="D1433" i="5"/>
  <c r="E1433" i="5"/>
  <c r="T1433" i="5" l="1"/>
  <c r="P1433" i="5"/>
  <c r="S1434" i="5"/>
  <c r="A1435" i="5"/>
  <c r="R1434" i="5"/>
  <c r="Q1434" i="5" s="1"/>
  <c r="B1434" i="5"/>
  <c r="U1432" i="5"/>
  <c r="F1433" i="5"/>
  <c r="N1434" i="5"/>
  <c r="C1434" i="5"/>
  <c r="J1434" i="5"/>
  <c r="O1434" i="5"/>
  <c r="E1434" i="5"/>
  <c r="G1434" i="5"/>
  <c r="I1434" i="5"/>
  <c r="K1434" i="5"/>
  <c r="D1434" i="5"/>
  <c r="L1434" i="5"/>
  <c r="M1434" i="5"/>
  <c r="H1434" i="5"/>
  <c r="T1434" i="5" l="1"/>
  <c r="P1434" i="5"/>
  <c r="S1435" i="5"/>
  <c r="A1436" i="5"/>
  <c r="B1435" i="5"/>
  <c r="R1435" i="5"/>
  <c r="Q1435" i="5" s="1"/>
  <c r="U1433" i="5"/>
  <c r="F1434" i="5"/>
  <c r="D1435" i="5"/>
  <c r="K1435" i="5"/>
  <c r="J1435" i="5"/>
  <c r="M1435" i="5"/>
  <c r="C1435" i="5"/>
  <c r="H1435" i="5"/>
  <c r="E1435" i="5"/>
  <c r="I1435" i="5"/>
  <c r="N1435" i="5"/>
  <c r="G1435" i="5"/>
  <c r="L1435" i="5"/>
  <c r="O1435" i="5"/>
  <c r="T1435" i="5" l="1"/>
  <c r="P1435" i="5"/>
  <c r="U1434" i="5"/>
  <c r="S1436" i="5"/>
  <c r="B1436" i="5"/>
  <c r="A1437" i="5"/>
  <c r="R1436" i="5"/>
  <c r="Q1436" i="5" s="1"/>
  <c r="F1435" i="5"/>
  <c r="K1436" i="5"/>
  <c r="H1436" i="5"/>
  <c r="N1436" i="5"/>
  <c r="D1436" i="5"/>
  <c r="C1436" i="5"/>
  <c r="G1436" i="5"/>
  <c r="J1436" i="5"/>
  <c r="O1436" i="5"/>
  <c r="I1436" i="5"/>
  <c r="E1436" i="5"/>
  <c r="L1436" i="5"/>
  <c r="M1436" i="5"/>
  <c r="T1436" i="5" l="1"/>
  <c r="P1436" i="5"/>
  <c r="S1437" i="5"/>
  <c r="A1438" i="5"/>
  <c r="R1437" i="5"/>
  <c r="Q1437" i="5" s="1"/>
  <c r="B1437" i="5"/>
  <c r="U1435" i="5"/>
  <c r="F1436" i="5"/>
  <c r="M1437" i="5"/>
  <c r="L1437" i="5"/>
  <c r="C1437" i="5"/>
  <c r="I1437" i="5"/>
  <c r="K1437" i="5"/>
  <c r="O1437" i="5"/>
  <c r="G1437" i="5"/>
  <c r="E1437" i="5"/>
  <c r="D1437" i="5"/>
  <c r="N1437" i="5"/>
  <c r="J1437" i="5"/>
  <c r="H1437" i="5"/>
  <c r="T1437" i="5" l="1"/>
  <c r="P1437" i="5"/>
  <c r="S1438" i="5"/>
  <c r="A1439" i="5"/>
  <c r="R1438" i="5"/>
  <c r="Q1438" i="5" s="1"/>
  <c r="B1438" i="5"/>
  <c r="U1436" i="5"/>
  <c r="F1437" i="5"/>
  <c r="G1438" i="5"/>
  <c r="C1438" i="5"/>
  <c r="E1438" i="5"/>
  <c r="J1438" i="5"/>
  <c r="I1438" i="5"/>
  <c r="L1438" i="5"/>
  <c r="K1438" i="5"/>
  <c r="D1438" i="5"/>
  <c r="O1438" i="5"/>
  <c r="H1438" i="5"/>
  <c r="M1438" i="5"/>
  <c r="N1438" i="5"/>
  <c r="T1438" i="5" l="1"/>
  <c r="P1438" i="5"/>
  <c r="S1439" i="5"/>
  <c r="A1440" i="5"/>
  <c r="B1439" i="5"/>
  <c r="R1439" i="5"/>
  <c r="Q1439" i="5" s="1"/>
  <c r="U1437" i="5"/>
  <c r="F1438" i="5"/>
  <c r="H1439" i="5"/>
  <c r="O1439" i="5"/>
  <c r="D1439" i="5"/>
  <c r="N1439" i="5"/>
  <c r="G1439" i="5"/>
  <c r="M1439" i="5"/>
  <c r="J1439" i="5"/>
  <c r="L1439" i="5"/>
  <c r="E1439" i="5"/>
  <c r="K1439" i="5"/>
  <c r="C1439" i="5"/>
  <c r="I1439" i="5"/>
  <c r="T1439" i="5" l="1"/>
  <c r="P1439" i="5"/>
  <c r="S1440" i="5"/>
  <c r="A1441" i="5"/>
  <c r="R1440" i="5"/>
  <c r="Q1440" i="5" s="1"/>
  <c r="B1440" i="5"/>
  <c r="U1438" i="5"/>
  <c r="F1439" i="5"/>
  <c r="C1440" i="5"/>
  <c r="O1440" i="5"/>
  <c r="G1440" i="5"/>
  <c r="N1440" i="5"/>
  <c r="J1440" i="5"/>
  <c r="I1440" i="5"/>
  <c r="L1440" i="5"/>
  <c r="E1440" i="5"/>
  <c r="D1440" i="5"/>
  <c r="M1440" i="5"/>
  <c r="H1440" i="5"/>
  <c r="K1440" i="5"/>
  <c r="T1440" i="5" l="1"/>
  <c r="P1440" i="5"/>
  <c r="S1441" i="5"/>
  <c r="R1441" i="5"/>
  <c r="Q1441" i="5" s="1"/>
  <c r="B1441" i="5"/>
  <c r="A1442" i="5"/>
  <c r="U1439" i="5"/>
  <c r="K1441" i="5"/>
  <c r="C1441" i="5"/>
  <c r="E1441" i="5"/>
  <c r="J1441" i="5"/>
  <c r="I1441" i="5"/>
  <c r="M1441" i="5"/>
  <c r="N1441" i="5"/>
  <c r="O1441" i="5"/>
  <c r="D1441" i="5"/>
  <c r="L1441" i="5"/>
  <c r="G1441" i="5"/>
  <c r="H1441" i="5"/>
  <c r="F1440" i="5"/>
  <c r="T1441" i="5" l="1"/>
  <c r="P1441" i="5"/>
  <c r="S1442" i="5"/>
  <c r="R1442" i="5"/>
  <c r="Q1442" i="5" s="1"/>
  <c r="B1442" i="5"/>
  <c r="A1443" i="5"/>
  <c r="U1440" i="5"/>
  <c r="F1441" i="5"/>
  <c r="O1442" i="5"/>
  <c r="K1442" i="5"/>
  <c r="G1442" i="5"/>
  <c r="L1442" i="5"/>
  <c r="N1442" i="5"/>
  <c r="H1442" i="5"/>
  <c r="E1442" i="5"/>
  <c r="C1442" i="5"/>
  <c r="D1442" i="5"/>
  <c r="J1442" i="5"/>
  <c r="I1442" i="5"/>
  <c r="M1442" i="5"/>
  <c r="T1442" i="5" l="1"/>
  <c r="P1442" i="5"/>
  <c r="S1443" i="5"/>
  <c r="R1443" i="5"/>
  <c r="Q1443" i="5" s="1"/>
  <c r="B1443" i="5"/>
  <c r="A1444" i="5"/>
  <c r="U1441" i="5"/>
  <c r="F1442" i="5"/>
  <c r="E1443" i="5"/>
  <c r="I1443" i="5"/>
  <c r="O1443" i="5"/>
  <c r="M1443" i="5"/>
  <c r="G1443" i="5"/>
  <c r="K1443" i="5"/>
  <c r="J1443" i="5"/>
  <c r="H1443" i="5"/>
  <c r="C1443" i="5"/>
  <c r="N1443" i="5"/>
  <c r="D1443" i="5"/>
  <c r="L1443" i="5"/>
  <c r="T1443" i="5" l="1"/>
  <c r="P1443" i="5"/>
  <c r="S1444" i="5"/>
  <c r="R1444" i="5"/>
  <c r="Q1444" i="5" s="1"/>
  <c r="B1444" i="5"/>
  <c r="A1445" i="5"/>
  <c r="U1442" i="5"/>
  <c r="F1443" i="5"/>
  <c r="L1444" i="5"/>
  <c r="G1444" i="5"/>
  <c r="K1444" i="5"/>
  <c r="N1444" i="5"/>
  <c r="C1444" i="5"/>
  <c r="E1444" i="5"/>
  <c r="H1444" i="5"/>
  <c r="O1444" i="5"/>
  <c r="I1444" i="5"/>
  <c r="J1444" i="5"/>
  <c r="M1444" i="5"/>
  <c r="D1444" i="5"/>
  <c r="T1444" i="5" l="1"/>
  <c r="P1444" i="5"/>
  <c r="S1445" i="5"/>
  <c r="B1445" i="5"/>
  <c r="A1446" i="5"/>
  <c r="R1445" i="5"/>
  <c r="Q1445" i="5" s="1"/>
  <c r="U1443" i="5"/>
  <c r="F1444" i="5"/>
  <c r="O1445" i="5"/>
  <c r="C1445" i="5"/>
  <c r="D1445" i="5"/>
  <c r="L1445" i="5"/>
  <c r="H1445" i="5"/>
  <c r="G1445" i="5"/>
  <c r="M1445" i="5"/>
  <c r="N1445" i="5"/>
  <c r="J1445" i="5"/>
  <c r="E1445" i="5"/>
  <c r="I1445" i="5"/>
  <c r="K1445" i="5"/>
  <c r="T1445" i="5" l="1"/>
  <c r="P1445" i="5"/>
  <c r="S1446" i="5"/>
  <c r="B1446" i="5"/>
  <c r="A1447" i="5"/>
  <c r="R1446" i="5"/>
  <c r="Q1446" i="5" s="1"/>
  <c r="U1444" i="5"/>
  <c r="F1445" i="5"/>
  <c r="C1446" i="5"/>
  <c r="G1446" i="5"/>
  <c r="O1446" i="5"/>
  <c r="I1446" i="5"/>
  <c r="L1446" i="5"/>
  <c r="E1446" i="5"/>
  <c r="N1446" i="5"/>
  <c r="H1446" i="5"/>
  <c r="K1446" i="5"/>
  <c r="D1446" i="5"/>
  <c r="M1446" i="5"/>
  <c r="J1446" i="5"/>
  <c r="T1446" i="5" l="1"/>
  <c r="P1446" i="5"/>
  <c r="S1447" i="5"/>
  <c r="R1447" i="5"/>
  <c r="Q1447" i="5" s="1"/>
  <c r="B1447" i="5"/>
  <c r="A1448" i="5"/>
  <c r="U1445" i="5"/>
  <c r="F1446" i="5"/>
  <c r="G1447" i="5"/>
  <c r="D1447" i="5"/>
  <c r="L1447" i="5"/>
  <c r="K1447" i="5"/>
  <c r="M1447" i="5"/>
  <c r="H1447" i="5"/>
  <c r="E1447" i="5"/>
  <c r="J1447" i="5"/>
  <c r="N1447" i="5"/>
  <c r="C1447" i="5"/>
  <c r="I1447" i="5"/>
  <c r="O1447" i="5"/>
  <c r="T1447" i="5" l="1"/>
  <c r="P1447" i="5"/>
  <c r="S1448" i="5"/>
  <c r="B1448" i="5"/>
  <c r="A1449" i="5"/>
  <c r="R1448" i="5"/>
  <c r="Q1448" i="5" s="1"/>
  <c r="U1446" i="5"/>
  <c r="F1447" i="5"/>
  <c r="N1448" i="5"/>
  <c r="C1448" i="5"/>
  <c r="I1448" i="5"/>
  <c r="M1448" i="5"/>
  <c r="K1448" i="5"/>
  <c r="J1448" i="5"/>
  <c r="G1448" i="5"/>
  <c r="E1448" i="5"/>
  <c r="D1448" i="5"/>
  <c r="O1448" i="5"/>
  <c r="H1448" i="5"/>
  <c r="L1448" i="5"/>
  <c r="T1448" i="5" l="1"/>
  <c r="P1448" i="5"/>
  <c r="S1449" i="5"/>
  <c r="A1450" i="5"/>
  <c r="R1449" i="5"/>
  <c r="Q1449" i="5" s="1"/>
  <c r="B1449" i="5"/>
  <c r="U1447" i="5"/>
  <c r="F1448" i="5"/>
  <c r="K1449" i="5"/>
  <c r="L1449" i="5"/>
  <c r="H1449" i="5"/>
  <c r="J1449" i="5"/>
  <c r="G1449" i="5"/>
  <c r="I1449" i="5"/>
  <c r="C1449" i="5"/>
  <c r="N1449" i="5"/>
  <c r="E1449" i="5"/>
  <c r="D1449" i="5"/>
  <c r="O1449" i="5"/>
  <c r="M1449" i="5"/>
  <c r="T1449" i="5" l="1"/>
  <c r="P1449" i="5"/>
  <c r="S1450" i="5"/>
  <c r="A1451" i="5"/>
  <c r="R1450" i="5"/>
  <c r="Q1450" i="5" s="1"/>
  <c r="B1450" i="5"/>
  <c r="U1448" i="5"/>
  <c r="F1449" i="5"/>
  <c r="O1450" i="5"/>
  <c r="G1450" i="5"/>
  <c r="J1450" i="5"/>
  <c r="I1450" i="5"/>
  <c r="N1450" i="5"/>
  <c r="D1450" i="5"/>
  <c r="M1450" i="5"/>
  <c r="L1450" i="5"/>
  <c r="C1450" i="5"/>
  <c r="E1450" i="5"/>
  <c r="K1450" i="5"/>
  <c r="H1450" i="5"/>
  <c r="T1450" i="5" l="1"/>
  <c r="P1450" i="5"/>
  <c r="S1451" i="5"/>
  <c r="R1451" i="5"/>
  <c r="Q1451" i="5" s="1"/>
  <c r="B1451" i="5"/>
  <c r="A1452" i="5"/>
  <c r="U1449" i="5"/>
  <c r="F1450" i="5"/>
  <c r="L1451" i="5"/>
  <c r="G1451" i="5"/>
  <c r="O1451" i="5"/>
  <c r="C1451" i="5"/>
  <c r="K1451" i="5"/>
  <c r="J1451" i="5"/>
  <c r="I1451" i="5"/>
  <c r="H1451" i="5"/>
  <c r="N1451" i="5"/>
  <c r="D1451" i="5"/>
  <c r="E1451" i="5"/>
  <c r="M1451" i="5"/>
  <c r="T1451" i="5" l="1"/>
  <c r="P1451" i="5"/>
  <c r="S1452" i="5"/>
  <c r="A1453" i="5"/>
  <c r="B1452" i="5"/>
  <c r="R1452" i="5"/>
  <c r="Q1452" i="5" s="1"/>
  <c r="U1450" i="5"/>
  <c r="F1451" i="5"/>
  <c r="G1452" i="5"/>
  <c r="M1452" i="5"/>
  <c r="L1452" i="5"/>
  <c r="C1452" i="5"/>
  <c r="H1452" i="5"/>
  <c r="K1452" i="5"/>
  <c r="O1452" i="5"/>
  <c r="E1452" i="5"/>
  <c r="I1452" i="5"/>
  <c r="N1452" i="5"/>
  <c r="J1452" i="5"/>
  <c r="D1452" i="5"/>
  <c r="T1452" i="5" l="1"/>
  <c r="P1452" i="5"/>
  <c r="S1453" i="5"/>
  <c r="A1454" i="5"/>
  <c r="R1453" i="5"/>
  <c r="Q1453" i="5" s="1"/>
  <c r="B1453" i="5"/>
  <c r="U1451" i="5"/>
  <c r="F1452" i="5"/>
  <c r="N1453" i="5"/>
  <c r="D1453" i="5"/>
  <c r="M1453" i="5"/>
  <c r="H1453" i="5"/>
  <c r="E1453" i="5"/>
  <c r="J1453" i="5"/>
  <c r="G1453" i="5"/>
  <c r="O1453" i="5"/>
  <c r="C1453" i="5"/>
  <c r="L1453" i="5"/>
  <c r="I1453" i="5"/>
  <c r="K1453" i="5"/>
  <c r="T1453" i="5" l="1"/>
  <c r="P1453" i="5"/>
  <c r="S1454" i="5"/>
  <c r="R1454" i="5"/>
  <c r="Q1454" i="5" s="1"/>
  <c r="B1454" i="5"/>
  <c r="A1455" i="5"/>
  <c r="U1452" i="5"/>
  <c r="F1453" i="5"/>
  <c r="D1454" i="5"/>
  <c r="J1454" i="5"/>
  <c r="I1454" i="5"/>
  <c r="G1454" i="5"/>
  <c r="M1454" i="5"/>
  <c r="E1454" i="5"/>
  <c r="L1454" i="5"/>
  <c r="O1454" i="5"/>
  <c r="H1454" i="5"/>
  <c r="C1454" i="5"/>
  <c r="N1454" i="5"/>
  <c r="K1454" i="5"/>
  <c r="T1454" i="5" l="1"/>
  <c r="P1454" i="5"/>
  <c r="U1454" i="5" s="1"/>
  <c r="S1455" i="5"/>
  <c r="A1456" i="5"/>
  <c r="R1455" i="5"/>
  <c r="Q1455" i="5" s="1"/>
  <c r="B1455" i="5"/>
  <c r="U1453" i="5"/>
  <c r="H1455" i="5"/>
  <c r="J1455" i="5"/>
  <c r="M1455" i="5"/>
  <c r="N1455" i="5"/>
  <c r="L1455" i="5"/>
  <c r="I1455" i="5"/>
  <c r="C1455" i="5"/>
  <c r="O1455" i="5"/>
  <c r="D1455" i="5"/>
  <c r="K1455" i="5"/>
  <c r="G1455" i="5"/>
  <c r="E1455" i="5"/>
  <c r="F1454" i="5"/>
  <c r="T1455" i="5" l="1"/>
  <c r="P1455" i="5"/>
  <c r="S1456" i="5"/>
  <c r="A1457" i="5"/>
  <c r="R1456" i="5"/>
  <c r="Q1456" i="5" s="1"/>
  <c r="B1456" i="5"/>
  <c r="F1455" i="5"/>
  <c r="N1456" i="5"/>
  <c r="L1456" i="5"/>
  <c r="I1456" i="5"/>
  <c r="J1456" i="5"/>
  <c r="M1456" i="5"/>
  <c r="H1456" i="5"/>
  <c r="O1456" i="5"/>
  <c r="E1456" i="5"/>
  <c r="C1456" i="5"/>
  <c r="G1456" i="5"/>
  <c r="K1456" i="5"/>
  <c r="D1456" i="5"/>
  <c r="P1456" i="5" l="1"/>
  <c r="T1456" i="5"/>
  <c r="S1457" i="5"/>
  <c r="A1458" i="5"/>
  <c r="R1457" i="5"/>
  <c r="Q1457" i="5" s="1"/>
  <c r="B1457" i="5"/>
  <c r="U1455" i="5"/>
  <c r="F1456" i="5"/>
  <c r="C1457" i="5"/>
  <c r="L1457" i="5"/>
  <c r="E1457" i="5"/>
  <c r="H1457" i="5"/>
  <c r="I1457" i="5"/>
  <c r="J1457" i="5"/>
  <c r="D1457" i="5"/>
  <c r="G1457" i="5"/>
  <c r="M1457" i="5"/>
  <c r="O1457" i="5"/>
  <c r="K1457" i="5"/>
  <c r="N1457" i="5"/>
  <c r="P1457" i="5" l="1"/>
  <c r="T1457" i="5"/>
  <c r="S1458" i="5"/>
  <c r="R1458" i="5"/>
  <c r="Q1458" i="5" s="1"/>
  <c r="B1458" i="5"/>
  <c r="A1459" i="5"/>
  <c r="U1456" i="5"/>
  <c r="F1457" i="5"/>
  <c r="D1458" i="5"/>
  <c r="K1458" i="5"/>
  <c r="E1458" i="5"/>
  <c r="J1458" i="5"/>
  <c r="M1458" i="5"/>
  <c r="H1458" i="5"/>
  <c r="O1458" i="5"/>
  <c r="N1458" i="5"/>
  <c r="G1458" i="5"/>
  <c r="L1458" i="5"/>
  <c r="C1458" i="5"/>
  <c r="I1458" i="5"/>
  <c r="T1458" i="5" l="1"/>
  <c r="P1458" i="5"/>
  <c r="S1459" i="5"/>
  <c r="A1460" i="5"/>
  <c r="B1459" i="5"/>
  <c r="R1459" i="5"/>
  <c r="Q1459" i="5" s="1"/>
  <c r="U1457" i="5"/>
  <c r="F1458" i="5"/>
  <c r="L1459" i="5"/>
  <c r="K1459" i="5"/>
  <c r="H1459" i="5"/>
  <c r="M1459" i="5"/>
  <c r="J1459" i="5"/>
  <c r="D1459" i="5"/>
  <c r="G1459" i="5"/>
  <c r="N1459" i="5"/>
  <c r="E1459" i="5"/>
  <c r="I1459" i="5"/>
  <c r="C1459" i="5"/>
  <c r="O1459" i="5"/>
  <c r="T1459" i="5" l="1"/>
  <c r="P1459" i="5"/>
  <c r="S1460" i="5"/>
  <c r="R1460" i="5"/>
  <c r="Q1460" i="5" s="1"/>
  <c r="B1460" i="5"/>
  <c r="A1461" i="5"/>
  <c r="U1458" i="5"/>
  <c r="F1459" i="5"/>
  <c r="E1460" i="5"/>
  <c r="H1460" i="5"/>
  <c r="L1460" i="5"/>
  <c r="K1460" i="5"/>
  <c r="J1460" i="5"/>
  <c r="N1460" i="5"/>
  <c r="D1460" i="5"/>
  <c r="O1460" i="5"/>
  <c r="M1460" i="5"/>
  <c r="C1460" i="5"/>
  <c r="I1460" i="5"/>
  <c r="G1460" i="5"/>
  <c r="T1460" i="5" l="1"/>
  <c r="P1460" i="5"/>
  <c r="S1461" i="5"/>
  <c r="A1462" i="5"/>
  <c r="R1461" i="5"/>
  <c r="Q1461" i="5" s="1"/>
  <c r="B1461" i="5"/>
  <c r="U1459" i="5"/>
  <c r="F1460" i="5"/>
  <c r="D1461" i="5"/>
  <c r="C1461" i="5"/>
  <c r="E1461" i="5"/>
  <c r="J1461" i="5"/>
  <c r="L1461" i="5"/>
  <c r="H1461" i="5"/>
  <c r="O1461" i="5"/>
  <c r="G1461" i="5"/>
  <c r="N1461" i="5"/>
  <c r="M1461" i="5"/>
  <c r="K1461" i="5"/>
  <c r="I1461" i="5"/>
  <c r="T1461" i="5" l="1"/>
  <c r="P1461" i="5"/>
  <c r="S1462" i="5"/>
  <c r="R1462" i="5"/>
  <c r="Q1462" i="5" s="1"/>
  <c r="B1462" i="5"/>
  <c r="A1463" i="5"/>
  <c r="U1460" i="5"/>
  <c r="F1461" i="5"/>
  <c r="H1462" i="5"/>
  <c r="I1462" i="5"/>
  <c r="J1462" i="5"/>
  <c r="D1462" i="5"/>
  <c r="N1462" i="5"/>
  <c r="O1462" i="5"/>
  <c r="G1462" i="5"/>
  <c r="L1462" i="5"/>
  <c r="K1462" i="5"/>
  <c r="M1462" i="5"/>
  <c r="C1462" i="5"/>
  <c r="E1462" i="5"/>
  <c r="T1462" i="5" l="1"/>
  <c r="P1462" i="5"/>
  <c r="S1463" i="5"/>
  <c r="R1463" i="5"/>
  <c r="Q1463" i="5" s="1"/>
  <c r="B1463" i="5"/>
  <c r="A1464" i="5"/>
  <c r="U1461" i="5"/>
  <c r="F1462" i="5"/>
  <c r="G1463" i="5"/>
  <c r="M1463" i="5"/>
  <c r="J1463" i="5"/>
  <c r="N1463" i="5"/>
  <c r="I1463" i="5"/>
  <c r="H1463" i="5"/>
  <c r="L1463" i="5"/>
  <c r="E1463" i="5"/>
  <c r="C1463" i="5"/>
  <c r="D1463" i="5"/>
  <c r="K1463" i="5"/>
  <c r="O1463" i="5"/>
  <c r="T1463" i="5" l="1"/>
  <c r="P1463" i="5"/>
  <c r="S1464" i="5"/>
  <c r="R1464" i="5"/>
  <c r="Q1464" i="5" s="1"/>
  <c r="B1464" i="5"/>
  <c r="A1465" i="5"/>
  <c r="U1462" i="5"/>
  <c r="F1463" i="5"/>
  <c r="G1464" i="5"/>
  <c r="K1464" i="5"/>
  <c r="N1464" i="5"/>
  <c r="C1464" i="5"/>
  <c r="O1464" i="5"/>
  <c r="I1464" i="5"/>
  <c r="D1464" i="5"/>
  <c r="E1464" i="5"/>
  <c r="L1464" i="5"/>
  <c r="J1464" i="5"/>
  <c r="M1464" i="5"/>
  <c r="H1464" i="5"/>
  <c r="T1464" i="5" l="1"/>
  <c r="P1464" i="5"/>
  <c r="S1465" i="5"/>
  <c r="A1466" i="5"/>
  <c r="R1465" i="5"/>
  <c r="Q1465" i="5" s="1"/>
  <c r="B1465" i="5"/>
  <c r="U1463" i="5"/>
  <c r="F1464" i="5"/>
  <c r="D1465" i="5"/>
  <c r="I1465" i="5"/>
  <c r="C1465" i="5"/>
  <c r="G1465" i="5"/>
  <c r="H1465" i="5"/>
  <c r="L1465" i="5"/>
  <c r="M1465" i="5"/>
  <c r="O1465" i="5"/>
  <c r="J1465" i="5"/>
  <c r="E1465" i="5"/>
  <c r="N1465" i="5"/>
  <c r="K1465" i="5"/>
  <c r="T1465" i="5" l="1"/>
  <c r="P1465" i="5"/>
  <c r="U1464" i="5"/>
  <c r="S1466" i="5"/>
  <c r="R1466" i="5"/>
  <c r="Q1466" i="5" s="1"/>
  <c r="B1466" i="5"/>
  <c r="A1467" i="5"/>
  <c r="F1465" i="5"/>
  <c r="J1466" i="5"/>
  <c r="H1466" i="5"/>
  <c r="O1466" i="5"/>
  <c r="C1466" i="5"/>
  <c r="K1466" i="5"/>
  <c r="E1466" i="5"/>
  <c r="D1466" i="5"/>
  <c r="G1466" i="5"/>
  <c r="N1466" i="5"/>
  <c r="I1466" i="5"/>
  <c r="L1466" i="5"/>
  <c r="M1466" i="5"/>
  <c r="T1466" i="5" l="1"/>
  <c r="P1466" i="5"/>
  <c r="S1467" i="5"/>
  <c r="R1467" i="5"/>
  <c r="Q1467" i="5" s="1"/>
  <c r="B1467" i="5"/>
  <c r="A1468" i="5"/>
  <c r="U1465" i="5"/>
  <c r="F1466" i="5"/>
  <c r="G1467" i="5"/>
  <c r="L1467" i="5"/>
  <c r="J1467" i="5"/>
  <c r="N1467" i="5"/>
  <c r="K1467" i="5"/>
  <c r="H1467" i="5"/>
  <c r="C1467" i="5"/>
  <c r="I1467" i="5"/>
  <c r="E1467" i="5"/>
  <c r="M1467" i="5"/>
  <c r="O1467" i="5"/>
  <c r="D1467" i="5"/>
  <c r="T1467" i="5" l="1"/>
  <c r="P1467" i="5"/>
  <c r="S1468" i="5"/>
  <c r="R1468" i="5"/>
  <c r="Q1468" i="5" s="1"/>
  <c r="B1468" i="5"/>
  <c r="A1469" i="5"/>
  <c r="U1466" i="5"/>
  <c r="F1467" i="5"/>
  <c r="G1468" i="5"/>
  <c r="H1468" i="5"/>
  <c r="J1468" i="5"/>
  <c r="L1468" i="5"/>
  <c r="I1468" i="5"/>
  <c r="D1468" i="5"/>
  <c r="O1468" i="5"/>
  <c r="C1468" i="5"/>
  <c r="M1468" i="5"/>
  <c r="E1468" i="5"/>
  <c r="N1468" i="5"/>
  <c r="K1468" i="5"/>
  <c r="T1468" i="5" l="1"/>
  <c r="P1468" i="5"/>
  <c r="S1469" i="5"/>
  <c r="A1470" i="5"/>
  <c r="R1469" i="5"/>
  <c r="Q1469" i="5" s="1"/>
  <c r="B1469" i="5"/>
  <c r="U1467" i="5"/>
  <c r="F1468" i="5"/>
  <c r="G1469" i="5"/>
  <c r="J1469" i="5"/>
  <c r="N1469" i="5"/>
  <c r="I1469" i="5"/>
  <c r="M1469" i="5"/>
  <c r="E1469" i="5"/>
  <c r="O1469" i="5"/>
  <c r="C1469" i="5"/>
  <c r="D1469" i="5"/>
  <c r="L1469" i="5"/>
  <c r="K1469" i="5"/>
  <c r="H1469" i="5"/>
  <c r="T1469" i="5" l="1"/>
  <c r="P1469" i="5"/>
  <c r="S1470" i="5"/>
  <c r="R1470" i="5"/>
  <c r="Q1470" i="5" s="1"/>
  <c r="B1470" i="5"/>
  <c r="A1471" i="5"/>
  <c r="U1468" i="5"/>
  <c r="F1469" i="5"/>
  <c r="K1470" i="5"/>
  <c r="D1470" i="5"/>
  <c r="G1470" i="5"/>
  <c r="E1470" i="5"/>
  <c r="M1470" i="5"/>
  <c r="N1470" i="5"/>
  <c r="H1470" i="5"/>
  <c r="L1470" i="5"/>
  <c r="C1470" i="5"/>
  <c r="O1470" i="5"/>
  <c r="I1470" i="5"/>
  <c r="J1470" i="5"/>
  <c r="T1470" i="5" l="1"/>
  <c r="P1470" i="5"/>
  <c r="S1471" i="5"/>
  <c r="R1471" i="5"/>
  <c r="Q1471" i="5" s="1"/>
  <c r="B1471" i="5"/>
  <c r="A1472" i="5"/>
  <c r="U1469" i="5"/>
  <c r="F1470" i="5"/>
  <c r="G1471" i="5"/>
  <c r="M1471" i="5"/>
  <c r="N1471" i="5"/>
  <c r="K1471" i="5"/>
  <c r="J1471" i="5"/>
  <c r="C1471" i="5"/>
  <c r="H1471" i="5"/>
  <c r="I1471" i="5"/>
  <c r="D1471" i="5"/>
  <c r="O1471" i="5"/>
  <c r="L1471" i="5"/>
  <c r="E1471" i="5"/>
  <c r="T1471" i="5" l="1"/>
  <c r="P1471" i="5"/>
  <c r="S1472" i="5"/>
  <c r="R1472" i="5"/>
  <c r="Q1472" i="5" s="1"/>
  <c r="B1472" i="5"/>
  <c r="A1473" i="5"/>
  <c r="U1470" i="5"/>
  <c r="F1471" i="5"/>
  <c r="G1472" i="5"/>
  <c r="K1472" i="5"/>
  <c r="I1472" i="5"/>
  <c r="E1472" i="5"/>
  <c r="L1472" i="5"/>
  <c r="C1472" i="5"/>
  <c r="O1472" i="5"/>
  <c r="M1472" i="5"/>
  <c r="H1472" i="5"/>
  <c r="J1472" i="5"/>
  <c r="D1472" i="5"/>
  <c r="N1472" i="5"/>
  <c r="T1472" i="5" l="1"/>
  <c r="P1472" i="5"/>
  <c r="S1473" i="5"/>
  <c r="R1473" i="5"/>
  <c r="Q1473" i="5" s="1"/>
  <c r="B1473" i="5"/>
  <c r="A1474" i="5"/>
  <c r="U1471" i="5"/>
  <c r="F1472" i="5"/>
  <c r="N1473" i="5"/>
  <c r="H1473" i="5"/>
  <c r="M1473" i="5"/>
  <c r="E1473" i="5"/>
  <c r="D1473" i="5"/>
  <c r="L1473" i="5"/>
  <c r="C1473" i="5"/>
  <c r="I1473" i="5"/>
  <c r="O1473" i="5"/>
  <c r="J1473" i="5"/>
  <c r="K1473" i="5"/>
  <c r="G1473" i="5"/>
  <c r="T1473" i="5" l="1"/>
  <c r="P1473" i="5"/>
  <c r="S1474" i="5"/>
  <c r="R1474" i="5"/>
  <c r="Q1474" i="5" s="1"/>
  <c r="B1474" i="5"/>
  <c r="A1475" i="5"/>
  <c r="U1472" i="5"/>
  <c r="F1473" i="5"/>
  <c r="L1474" i="5"/>
  <c r="O1474" i="5"/>
  <c r="I1474" i="5"/>
  <c r="K1474" i="5"/>
  <c r="D1474" i="5"/>
  <c r="M1474" i="5"/>
  <c r="J1474" i="5"/>
  <c r="N1474" i="5"/>
  <c r="E1474" i="5"/>
  <c r="G1474" i="5"/>
  <c r="H1474" i="5"/>
  <c r="C1474" i="5"/>
  <c r="T1474" i="5" l="1"/>
  <c r="P1474" i="5"/>
  <c r="S1475" i="5"/>
  <c r="B1475" i="5"/>
  <c r="A1476" i="5"/>
  <c r="R1475" i="5"/>
  <c r="Q1475" i="5" s="1"/>
  <c r="U1473" i="5"/>
  <c r="F1474" i="5"/>
  <c r="D1475" i="5"/>
  <c r="G1475" i="5"/>
  <c r="L1475" i="5"/>
  <c r="H1475" i="5"/>
  <c r="O1475" i="5"/>
  <c r="J1475" i="5"/>
  <c r="N1475" i="5"/>
  <c r="M1475" i="5"/>
  <c r="E1475" i="5"/>
  <c r="C1475" i="5"/>
  <c r="I1475" i="5"/>
  <c r="K1475" i="5"/>
  <c r="T1475" i="5" l="1"/>
  <c r="P1475" i="5"/>
  <c r="S1476" i="5"/>
  <c r="R1476" i="5"/>
  <c r="Q1476" i="5" s="1"/>
  <c r="B1476" i="5"/>
  <c r="A1477" i="5"/>
  <c r="U1474" i="5"/>
  <c r="F1475" i="5"/>
  <c r="I1476" i="5"/>
  <c r="L1476" i="5"/>
  <c r="M1476" i="5"/>
  <c r="O1476" i="5"/>
  <c r="E1476" i="5"/>
  <c r="G1476" i="5"/>
  <c r="C1476" i="5"/>
  <c r="J1476" i="5"/>
  <c r="N1476" i="5"/>
  <c r="H1476" i="5"/>
  <c r="D1476" i="5"/>
  <c r="K1476" i="5"/>
  <c r="T1476" i="5" l="1"/>
  <c r="P1476" i="5"/>
  <c r="S1477" i="5"/>
  <c r="R1477" i="5"/>
  <c r="Q1477" i="5" s="1"/>
  <c r="B1477" i="5"/>
  <c r="A1478" i="5"/>
  <c r="U1475" i="5"/>
  <c r="F1476" i="5"/>
  <c r="C1477" i="5"/>
  <c r="O1477" i="5"/>
  <c r="H1477" i="5"/>
  <c r="D1477" i="5"/>
  <c r="G1477" i="5"/>
  <c r="J1477" i="5"/>
  <c r="E1477" i="5"/>
  <c r="M1477" i="5"/>
  <c r="I1477" i="5"/>
  <c r="L1477" i="5"/>
  <c r="K1477" i="5"/>
  <c r="N1477" i="5"/>
  <c r="T1477" i="5" l="1"/>
  <c r="P1477" i="5"/>
  <c r="S1478" i="5"/>
  <c r="R1478" i="5"/>
  <c r="Q1478" i="5" s="1"/>
  <c r="B1478" i="5"/>
  <c r="A1479" i="5"/>
  <c r="U1476" i="5"/>
  <c r="F1477" i="5"/>
  <c r="J1478" i="5"/>
  <c r="C1478" i="5"/>
  <c r="E1478" i="5"/>
  <c r="I1478" i="5"/>
  <c r="N1478" i="5"/>
  <c r="H1478" i="5"/>
  <c r="D1478" i="5"/>
  <c r="G1478" i="5"/>
  <c r="M1478" i="5"/>
  <c r="O1478" i="5"/>
  <c r="L1478" i="5"/>
  <c r="K1478" i="5"/>
  <c r="P1478" i="5" l="1"/>
  <c r="T1478" i="5"/>
  <c r="S1479" i="5"/>
  <c r="A1480" i="5"/>
  <c r="R1479" i="5"/>
  <c r="Q1479" i="5" s="1"/>
  <c r="B1479" i="5"/>
  <c r="U1477" i="5"/>
  <c r="F1478" i="5"/>
  <c r="J1479" i="5"/>
  <c r="K1479" i="5"/>
  <c r="L1479" i="5"/>
  <c r="H1479" i="5"/>
  <c r="D1479" i="5"/>
  <c r="O1479" i="5"/>
  <c r="E1479" i="5"/>
  <c r="M1479" i="5"/>
  <c r="G1479" i="5"/>
  <c r="I1479" i="5"/>
  <c r="C1479" i="5"/>
  <c r="N1479" i="5"/>
  <c r="T1479" i="5" l="1"/>
  <c r="P1479" i="5"/>
  <c r="S1480" i="5"/>
  <c r="R1480" i="5"/>
  <c r="Q1480" i="5" s="1"/>
  <c r="B1480" i="5"/>
  <c r="A1481" i="5"/>
  <c r="U1478" i="5"/>
  <c r="F1479" i="5"/>
  <c r="C1480" i="5"/>
  <c r="M1480" i="5"/>
  <c r="I1480" i="5"/>
  <c r="H1480" i="5"/>
  <c r="D1480" i="5"/>
  <c r="O1480" i="5"/>
  <c r="L1480" i="5"/>
  <c r="N1480" i="5"/>
  <c r="J1480" i="5"/>
  <c r="E1480" i="5"/>
  <c r="G1480" i="5"/>
  <c r="K1480" i="5"/>
  <c r="T1480" i="5" l="1"/>
  <c r="P1480" i="5"/>
  <c r="S1481" i="5"/>
  <c r="R1481" i="5"/>
  <c r="Q1481" i="5" s="1"/>
  <c r="B1481" i="5"/>
  <c r="A1482" i="5"/>
  <c r="U1479" i="5"/>
  <c r="F1480" i="5"/>
  <c r="L1481" i="5"/>
  <c r="N1481" i="5"/>
  <c r="J1481" i="5"/>
  <c r="H1481" i="5"/>
  <c r="C1481" i="5"/>
  <c r="O1481" i="5"/>
  <c r="D1481" i="5"/>
  <c r="I1481" i="5"/>
  <c r="E1481" i="5"/>
  <c r="G1481" i="5"/>
  <c r="M1481" i="5"/>
  <c r="K1481" i="5"/>
  <c r="T1481" i="5" l="1"/>
  <c r="P1481" i="5"/>
  <c r="S1482" i="5"/>
  <c r="R1482" i="5"/>
  <c r="Q1482" i="5" s="1"/>
  <c r="B1482" i="5"/>
  <c r="A1483" i="5"/>
  <c r="U1480" i="5"/>
  <c r="F1481" i="5"/>
  <c r="M1482" i="5"/>
  <c r="E1482" i="5"/>
  <c r="K1482" i="5"/>
  <c r="I1482" i="5"/>
  <c r="D1482" i="5"/>
  <c r="C1482" i="5"/>
  <c r="H1482" i="5"/>
  <c r="N1482" i="5"/>
  <c r="G1482" i="5"/>
  <c r="O1482" i="5"/>
  <c r="J1482" i="5"/>
  <c r="L1482" i="5"/>
  <c r="T1482" i="5" l="1"/>
  <c r="P1482" i="5"/>
  <c r="S1483" i="5"/>
  <c r="A1484" i="5"/>
  <c r="R1483" i="5"/>
  <c r="Q1483" i="5" s="1"/>
  <c r="B1483" i="5"/>
  <c r="U1481" i="5"/>
  <c r="F1482" i="5"/>
  <c r="I1483" i="5"/>
  <c r="L1483" i="5"/>
  <c r="D1483" i="5"/>
  <c r="H1483" i="5"/>
  <c r="N1483" i="5"/>
  <c r="G1483" i="5"/>
  <c r="O1483" i="5"/>
  <c r="C1483" i="5"/>
  <c r="J1483" i="5"/>
  <c r="M1483" i="5"/>
  <c r="E1483" i="5"/>
  <c r="K1483" i="5"/>
  <c r="T1483" i="5" l="1"/>
  <c r="P1483" i="5"/>
  <c r="S1484" i="5"/>
  <c r="B1484" i="5"/>
  <c r="A1485" i="5"/>
  <c r="R1484" i="5"/>
  <c r="Q1484" i="5" s="1"/>
  <c r="U1482" i="5"/>
  <c r="F1483" i="5"/>
  <c r="G1484" i="5"/>
  <c r="D1484" i="5"/>
  <c r="L1484" i="5"/>
  <c r="N1484" i="5"/>
  <c r="C1484" i="5"/>
  <c r="M1484" i="5"/>
  <c r="K1484" i="5"/>
  <c r="H1484" i="5"/>
  <c r="I1484" i="5"/>
  <c r="E1484" i="5"/>
  <c r="J1484" i="5"/>
  <c r="O1484" i="5"/>
  <c r="T1484" i="5" l="1"/>
  <c r="P1484" i="5"/>
  <c r="S1485" i="5"/>
  <c r="B1485" i="5"/>
  <c r="A1486" i="5"/>
  <c r="R1485" i="5"/>
  <c r="Q1485" i="5" s="1"/>
  <c r="U1483" i="5"/>
  <c r="F1484" i="5"/>
  <c r="O1485" i="5"/>
  <c r="M1485" i="5"/>
  <c r="H1485" i="5"/>
  <c r="J1485" i="5"/>
  <c r="G1485" i="5"/>
  <c r="C1485" i="5"/>
  <c r="N1485" i="5"/>
  <c r="I1485" i="5"/>
  <c r="L1485" i="5"/>
  <c r="E1485" i="5"/>
  <c r="D1485" i="5"/>
  <c r="K1485" i="5"/>
  <c r="T1485" i="5" l="1"/>
  <c r="P1485" i="5"/>
  <c r="S1486" i="5"/>
  <c r="R1486" i="5"/>
  <c r="Q1486" i="5" s="1"/>
  <c r="B1486" i="5"/>
  <c r="A1487" i="5"/>
  <c r="U1484" i="5"/>
  <c r="F1485" i="5"/>
  <c r="L1486" i="5"/>
  <c r="N1486" i="5"/>
  <c r="G1486" i="5"/>
  <c r="K1486" i="5"/>
  <c r="D1486" i="5"/>
  <c r="H1486" i="5"/>
  <c r="E1486" i="5"/>
  <c r="I1486" i="5"/>
  <c r="O1486" i="5"/>
  <c r="J1486" i="5"/>
  <c r="C1486" i="5"/>
  <c r="M1486" i="5"/>
  <c r="T1486" i="5" l="1"/>
  <c r="P1486" i="5"/>
  <c r="S1487" i="5"/>
  <c r="R1487" i="5"/>
  <c r="Q1487" i="5" s="1"/>
  <c r="B1487" i="5"/>
  <c r="A1488" i="5"/>
  <c r="U1485" i="5"/>
  <c r="F1486" i="5"/>
  <c r="J1487" i="5"/>
  <c r="D1487" i="5"/>
  <c r="N1487" i="5"/>
  <c r="M1487" i="5"/>
  <c r="G1487" i="5"/>
  <c r="L1487" i="5"/>
  <c r="E1487" i="5"/>
  <c r="H1487" i="5"/>
  <c r="K1487" i="5"/>
  <c r="C1487" i="5"/>
  <c r="I1487" i="5"/>
  <c r="O1487" i="5"/>
  <c r="T1487" i="5" l="1"/>
  <c r="P1487" i="5"/>
  <c r="S1488" i="5"/>
  <c r="A1489" i="5"/>
  <c r="R1488" i="5"/>
  <c r="Q1488" i="5" s="1"/>
  <c r="B1488" i="5"/>
  <c r="U1486" i="5"/>
  <c r="F1487" i="5"/>
  <c r="J1488" i="5"/>
  <c r="N1488" i="5"/>
  <c r="E1488" i="5"/>
  <c r="K1488" i="5"/>
  <c r="I1488" i="5"/>
  <c r="C1488" i="5"/>
  <c r="G1488" i="5"/>
  <c r="M1488" i="5"/>
  <c r="H1488" i="5"/>
  <c r="D1488" i="5"/>
  <c r="O1488" i="5"/>
  <c r="L1488" i="5"/>
  <c r="T1488" i="5" l="1"/>
  <c r="P1488" i="5"/>
  <c r="S1489" i="5"/>
  <c r="A1490" i="5"/>
  <c r="R1489" i="5"/>
  <c r="Q1489" i="5" s="1"/>
  <c r="B1489" i="5"/>
  <c r="U1487" i="5"/>
  <c r="F1488" i="5"/>
  <c r="L1489" i="5"/>
  <c r="J1489" i="5"/>
  <c r="D1489" i="5"/>
  <c r="O1489" i="5"/>
  <c r="N1489" i="5"/>
  <c r="I1489" i="5"/>
  <c r="M1489" i="5"/>
  <c r="K1489" i="5"/>
  <c r="H1489" i="5"/>
  <c r="E1489" i="5"/>
  <c r="C1489" i="5"/>
  <c r="G1489" i="5"/>
  <c r="T1489" i="5" l="1"/>
  <c r="P1489" i="5"/>
  <c r="S1490" i="5"/>
  <c r="R1490" i="5"/>
  <c r="Q1490" i="5" s="1"/>
  <c r="B1490" i="5"/>
  <c r="A1491" i="5"/>
  <c r="U1488" i="5"/>
  <c r="F1489" i="5"/>
  <c r="J1490" i="5"/>
  <c r="K1490" i="5"/>
  <c r="M1490" i="5"/>
  <c r="D1490" i="5"/>
  <c r="O1490" i="5"/>
  <c r="H1490" i="5"/>
  <c r="I1490" i="5"/>
  <c r="E1490" i="5"/>
  <c r="G1490" i="5"/>
  <c r="N1490" i="5"/>
  <c r="C1490" i="5"/>
  <c r="L1490" i="5"/>
  <c r="T1490" i="5" l="1"/>
  <c r="P1490" i="5"/>
  <c r="S1491" i="5"/>
  <c r="R1491" i="5"/>
  <c r="Q1491" i="5" s="1"/>
  <c r="B1491" i="5"/>
  <c r="A1492" i="5"/>
  <c r="U1489" i="5"/>
  <c r="F1490" i="5"/>
  <c r="L1491" i="5"/>
  <c r="H1491" i="5"/>
  <c r="M1491" i="5"/>
  <c r="I1491" i="5"/>
  <c r="C1491" i="5"/>
  <c r="E1491" i="5"/>
  <c r="K1491" i="5"/>
  <c r="G1491" i="5"/>
  <c r="D1491" i="5"/>
  <c r="O1491" i="5"/>
  <c r="N1491" i="5"/>
  <c r="J1491" i="5"/>
  <c r="P1491" i="5" l="1"/>
  <c r="T1491" i="5"/>
  <c r="S1492" i="5"/>
  <c r="R1492" i="5"/>
  <c r="Q1492" i="5" s="1"/>
  <c r="B1492" i="5"/>
  <c r="A1493" i="5"/>
  <c r="U1490" i="5"/>
  <c r="F1491" i="5"/>
  <c r="G1492" i="5"/>
  <c r="O1492" i="5"/>
  <c r="D1492" i="5"/>
  <c r="K1492" i="5"/>
  <c r="C1492" i="5"/>
  <c r="E1492" i="5"/>
  <c r="L1492" i="5"/>
  <c r="H1492" i="5"/>
  <c r="I1492" i="5"/>
  <c r="M1492" i="5"/>
  <c r="N1492" i="5"/>
  <c r="J1492" i="5"/>
  <c r="T1492" i="5" l="1"/>
  <c r="P1492" i="5"/>
  <c r="S1493" i="5"/>
  <c r="A1494" i="5"/>
  <c r="B1493" i="5"/>
  <c r="R1493" i="5"/>
  <c r="Q1493" i="5" s="1"/>
  <c r="U1491" i="5"/>
  <c r="F1492" i="5"/>
  <c r="H1493" i="5"/>
  <c r="C1493" i="5"/>
  <c r="O1493" i="5"/>
  <c r="J1493" i="5"/>
  <c r="D1493" i="5"/>
  <c r="G1493" i="5"/>
  <c r="I1493" i="5"/>
  <c r="N1493" i="5"/>
  <c r="K1493" i="5"/>
  <c r="M1493" i="5"/>
  <c r="E1493" i="5"/>
  <c r="L1493" i="5"/>
  <c r="T1493" i="5" l="1"/>
  <c r="P1493" i="5"/>
  <c r="S1494" i="5"/>
  <c r="R1494" i="5"/>
  <c r="Q1494" i="5" s="1"/>
  <c r="B1494" i="5"/>
  <c r="A1495" i="5"/>
  <c r="U1492" i="5"/>
  <c r="F1493" i="5"/>
  <c r="E1494" i="5"/>
  <c r="M1494" i="5"/>
  <c r="K1494" i="5"/>
  <c r="O1494" i="5"/>
  <c r="J1494" i="5"/>
  <c r="D1494" i="5"/>
  <c r="H1494" i="5"/>
  <c r="G1494" i="5"/>
  <c r="C1494" i="5"/>
  <c r="N1494" i="5"/>
  <c r="L1494" i="5"/>
  <c r="I1494" i="5"/>
  <c r="T1494" i="5" l="1"/>
  <c r="P1494" i="5"/>
  <c r="S1495" i="5"/>
  <c r="R1495" i="5"/>
  <c r="Q1495" i="5" s="1"/>
  <c r="A1496" i="5"/>
  <c r="B1495" i="5"/>
  <c r="U1493" i="5"/>
  <c r="F1494" i="5"/>
  <c r="J1495" i="5"/>
  <c r="I1495" i="5"/>
  <c r="D1495" i="5"/>
  <c r="O1495" i="5"/>
  <c r="E1495" i="5"/>
  <c r="G1495" i="5"/>
  <c r="H1495" i="5"/>
  <c r="L1495" i="5"/>
  <c r="M1495" i="5"/>
  <c r="N1495" i="5"/>
  <c r="K1495" i="5"/>
  <c r="C1495" i="5"/>
  <c r="T1495" i="5" l="1"/>
  <c r="P1495" i="5"/>
  <c r="U1495" i="5" s="1"/>
  <c r="S1496" i="5"/>
  <c r="B1496" i="5"/>
  <c r="A1497" i="5"/>
  <c r="R1496" i="5"/>
  <c r="Q1496" i="5" s="1"/>
  <c r="U1494" i="5"/>
  <c r="G1496" i="5"/>
  <c r="D1496" i="5"/>
  <c r="O1496" i="5"/>
  <c r="H1496" i="5"/>
  <c r="N1496" i="5"/>
  <c r="I1496" i="5"/>
  <c r="L1496" i="5"/>
  <c r="J1496" i="5"/>
  <c r="M1496" i="5"/>
  <c r="K1496" i="5"/>
  <c r="C1496" i="5"/>
  <c r="E1496" i="5"/>
  <c r="F1495" i="5"/>
  <c r="T1496" i="5" l="1"/>
  <c r="P1496" i="5"/>
  <c r="U1496" i="5" s="1"/>
  <c r="S1497" i="5"/>
  <c r="A1498" i="5"/>
  <c r="R1497" i="5"/>
  <c r="Q1497" i="5" s="1"/>
  <c r="B1497" i="5"/>
  <c r="O1497" i="5"/>
  <c r="I1497" i="5"/>
  <c r="C1497" i="5"/>
  <c r="L1497" i="5"/>
  <c r="M1497" i="5"/>
  <c r="K1497" i="5"/>
  <c r="E1497" i="5"/>
  <c r="N1497" i="5"/>
  <c r="H1497" i="5"/>
  <c r="G1497" i="5"/>
  <c r="J1497" i="5"/>
  <c r="D1497" i="5"/>
  <c r="F1496" i="5"/>
  <c r="T1497" i="5" l="1"/>
  <c r="P1497" i="5"/>
  <c r="S1498" i="5"/>
  <c r="R1498" i="5"/>
  <c r="Q1498" i="5" s="1"/>
  <c r="B1498" i="5"/>
  <c r="A1499" i="5"/>
  <c r="F1497" i="5"/>
  <c r="O1498" i="5"/>
  <c r="K1498" i="5"/>
  <c r="N1498" i="5"/>
  <c r="J1498" i="5"/>
  <c r="H1498" i="5"/>
  <c r="E1498" i="5"/>
  <c r="D1498" i="5"/>
  <c r="M1498" i="5"/>
  <c r="I1498" i="5"/>
  <c r="G1498" i="5"/>
  <c r="C1498" i="5"/>
  <c r="L1498" i="5"/>
  <c r="T1498" i="5" l="1"/>
  <c r="P1498" i="5"/>
  <c r="S1499" i="5"/>
  <c r="B1499" i="5"/>
  <c r="A1500" i="5"/>
  <c r="R1499" i="5"/>
  <c r="Q1499" i="5" s="1"/>
  <c r="U1497" i="5"/>
  <c r="F1498" i="5"/>
  <c r="I1499" i="5"/>
  <c r="L1499" i="5"/>
  <c r="D1499" i="5"/>
  <c r="J1499" i="5"/>
  <c r="K1499" i="5"/>
  <c r="E1499" i="5"/>
  <c r="H1499" i="5"/>
  <c r="O1499" i="5"/>
  <c r="N1499" i="5"/>
  <c r="C1499" i="5"/>
  <c r="G1499" i="5"/>
  <c r="M1499" i="5"/>
  <c r="T1499" i="5" l="1"/>
  <c r="P1499" i="5"/>
  <c r="U4" i="69"/>
  <c r="U1" i="69"/>
  <c r="S3" i="69" s="1"/>
  <c r="S1500" i="5"/>
  <c r="R1500" i="5"/>
  <c r="Q1500" i="5" s="1"/>
  <c r="B1500" i="5"/>
  <c r="U1498" i="5"/>
  <c r="Q204" i="23"/>
  <c r="C1500" i="5"/>
  <c r="H1500" i="5"/>
  <c r="K1500" i="5"/>
  <c r="E1500" i="5"/>
  <c r="N1500" i="5"/>
  <c r="I1500" i="5"/>
  <c r="D1500" i="5"/>
  <c r="M1500" i="5"/>
  <c r="J1500" i="5"/>
  <c r="L1500" i="5"/>
  <c r="G1500" i="5"/>
  <c r="O1500" i="5"/>
  <c r="F1499" i="5"/>
  <c r="O1501" i="5" l="1"/>
  <c r="N1501" i="5"/>
  <c r="T1500" i="5"/>
  <c r="P1500" i="5"/>
  <c r="R3" i="69"/>
  <c r="A3" i="69"/>
  <c r="U1499" i="5"/>
  <c r="U6" i="69"/>
  <c r="U5" i="69"/>
  <c r="U3" i="69"/>
  <c r="U7" i="69"/>
  <c r="U2" i="69"/>
  <c r="S4" i="69" s="1"/>
  <c r="T1" i="23"/>
  <c r="T5" i="23"/>
  <c r="T7" i="23"/>
  <c r="T2" i="23"/>
  <c r="T3" i="23"/>
  <c r="T4" i="23"/>
  <c r="T6" i="23"/>
  <c r="E204" i="23"/>
  <c r="G204" i="23"/>
  <c r="F204" i="23"/>
  <c r="D204" i="23"/>
  <c r="Q205" i="23"/>
  <c r="A204" i="23"/>
  <c r="F1500" i="5"/>
  <c r="R4" i="69" l="1"/>
  <c r="A4" i="69"/>
  <c r="S5" i="69"/>
  <c r="S6" i="69" s="1"/>
  <c r="S7" i="69" s="1"/>
  <c r="E3" i="69"/>
  <c r="G3" i="69"/>
  <c r="D3" i="69"/>
  <c r="F3" i="69"/>
  <c r="U1500" i="5"/>
  <c r="H204" i="23"/>
  <c r="A5" i="69"/>
  <c r="A6" i="69" s="1"/>
  <c r="R5" i="69"/>
  <c r="F5" i="69" s="1"/>
  <c r="F205" i="23"/>
  <c r="G205" i="23"/>
  <c r="D205" i="23"/>
  <c r="E205" i="23"/>
  <c r="Q206" i="23"/>
  <c r="Q3" i="69" l="1"/>
  <c r="V3" i="69"/>
  <c r="C3" i="69"/>
  <c r="B3" i="69"/>
  <c r="D4" i="69"/>
  <c r="G4" i="69"/>
  <c r="F4" i="69"/>
  <c r="E4" i="69"/>
  <c r="R6" i="69"/>
  <c r="G6" i="69" s="1"/>
  <c r="G5" i="69"/>
  <c r="E5" i="69"/>
  <c r="D5" i="69"/>
  <c r="Q5" i="69" s="1"/>
  <c r="H205" i="23"/>
  <c r="F206" i="23"/>
  <c r="G206" i="23"/>
  <c r="D206" i="23"/>
  <c r="E206" i="23"/>
  <c r="Q207" i="23"/>
  <c r="A7" i="69"/>
  <c r="S8" i="69"/>
  <c r="I204" i="23"/>
  <c r="Q4" i="69" l="1"/>
  <c r="V4" i="69"/>
  <c r="B4" i="69"/>
  <c r="C4" i="69"/>
  <c r="R7" i="69"/>
  <c r="D7" i="69" s="1"/>
  <c r="Q7" i="69" s="1"/>
  <c r="H3" i="69"/>
  <c r="I3" i="69"/>
  <c r="P3" i="69" s="1"/>
  <c r="F6" i="69"/>
  <c r="D6" i="69"/>
  <c r="Q6" i="69" s="1"/>
  <c r="E6" i="69"/>
  <c r="V5" i="69"/>
  <c r="H5" i="69" s="1"/>
  <c r="B5" i="69"/>
  <c r="C5" i="69"/>
  <c r="H206" i="23"/>
  <c r="G207" i="23"/>
  <c r="D207" i="23"/>
  <c r="E207" i="23"/>
  <c r="F207" i="23"/>
  <c r="Q208" i="23"/>
  <c r="R8" i="69"/>
  <c r="A8" i="69"/>
  <c r="S9" i="69"/>
  <c r="O3" i="69" l="1"/>
  <c r="M3" i="69"/>
  <c r="F7" i="69"/>
  <c r="H4" i="69"/>
  <c r="I4" i="69"/>
  <c r="P4" i="69" s="1"/>
  <c r="E7" i="69"/>
  <c r="G7" i="69"/>
  <c r="B6" i="69"/>
  <c r="V6" i="69"/>
  <c r="H6" i="69" s="1"/>
  <c r="O6" i="69" s="1"/>
  <c r="C6" i="69"/>
  <c r="O5" i="69"/>
  <c r="I5" i="69"/>
  <c r="P5" i="69" s="1"/>
  <c r="C7" i="69"/>
  <c r="B7" i="69"/>
  <c r="H207" i="23"/>
  <c r="I6" i="69"/>
  <c r="P6" i="69" s="1"/>
  <c r="G208" i="23"/>
  <c r="D208" i="23"/>
  <c r="E208" i="23"/>
  <c r="F208" i="23"/>
  <c r="Q209" i="23"/>
  <c r="S10" i="69"/>
  <c r="A9" i="69"/>
  <c r="R9" i="69"/>
  <c r="E8" i="69"/>
  <c r="G8" i="69"/>
  <c r="D8" i="69"/>
  <c r="Q8" i="69" s="1"/>
  <c r="F8" i="69"/>
  <c r="V7" i="69"/>
  <c r="H7" i="69" s="1"/>
  <c r="M4" i="69" l="1"/>
  <c r="O4" i="69"/>
  <c r="M5" i="69"/>
  <c r="B8" i="69"/>
  <c r="C8" i="69"/>
  <c r="I7" i="69"/>
  <c r="P7" i="69" s="1"/>
  <c r="M6" i="69"/>
  <c r="H208" i="23"/>
  <c r="O7" i="69"/>
  <c r="G209" i="23"/>
  <c r="D209" i="23"/>
  <c r="E209" i="23"/>
  <c r="F209" i="23"/>
  <c r="Q210" i="23"/>
  <c r="V8" i="69"/>
  <c r="I8" i="69" s="1"/>
  <c r="P8" i="69" s="1"/>
  <c r="D9" i="69"/>
  <c r="Q9" i="69" s="1"/>
  <c r="E9" i="69"/>
  <c r="F9" i="69"/>
  <c r="G9" i="69"/>
  <c r="R10" i="69"/>
  <c r="A10" i="69"/>
  <c r="S11" i="69"/>
  <c r="C9" i="69" l="1"/>
  <c r="B9" i="69"/>
  <c r="H8" i="69"/>
  <c r="M8" i="69" s="1"/>
  <c r="M7" i="69"/>
  <c r="H209" i="23"/>
  <c r="G210" i="23"/>
  <c r="D210" i="23"/>
  <c r="Q211" i="23"/>
  <c r="E210" i="23"/>
  <c r="F210" i="23"/>
  <c r="E10" i="69"/>
  <c r="G10" i="69"/>
  <c r="D10" i="69"/>
  <c r="Q10" i="69" s="1"/>
  <c r="F10" i="69"/>
  <c r="V9" i="69"/>
  <c r="H9" i="69" s="1"/>
  <c r="S12" i="69"/>
  <c r="R11" i="69"/>
  <c r="A11" i="69"/>
  <c r="B10" i="69" l="1"/>
  <c r="C10" i="69"/>
  <c r="H210" i="23"/>
  <c r="O8" i="69"/>
  <c r="I9" i="69"/>
  <c r="P9" i="69" s="1"/>
  <c r="O9" i="69"/>
  <c r="D211" i="23"/>
  <c r="E211" i="23"/>
  <c r="F211" i="23"/>
  <c r="G211" i="23"/>
  <c r="Q212" i="23"/>
  <c r="R12" i="69"/>
  <c r="A12" i="69"/>
  <c r="S13" i="69"/>
  <c r="D11" i="69"/>
  <c r="Q11" i="69" s="1"/>
  <c r="E11" i="69"/>
  <c r="G11" i="69"/>
  <c r="F11" i="69"/>
  <c r="V10" i="69"/>
  <c r="I10" i="69" s="1"/>
  <c r="P10" i="69" s="1"/>
  <c r="C11" i="69" l="1"/>
  <c r="B11" i="69"/>
  <c r="H211" i="23"/>
  <c r="M9" i="69"/>
  <c r="I11" i="69"/>
  <c r="P11" i="69" s="1"/>
  <c r="H10" i="69"/>
  <c r="M10" i="69" s="1"/>
  <c r="H11" i="69"/>
  <c r="G212" i="23"/>
  <c r="D212" i="23"/>
  <c r="E212" i="23"/>
  <c r="F212" i="23"/>
  <c r="Q213" i="23"/>
  <c r="V11" i="69"/>
  <c r="R13" i="69"/>
  <c r="A13" i="69"/>
  <c r="S14" i="69"/>
  <c r="E12" i="69"/>
  <c r="G12" i="69"/>
  <c r="D12" i="69"/>
  <c r="Q12" i="69" s="1"/>
  <c r="F12" i="69"/>
  <c r="B12" i="69" l="1"/>
  <c r="C12" i="69"/>
  <c r="M11" i="69"/>
  <c r="O11" i="69"/>
  <c r="I12" i="69"/>
  <c r="P12" i="69" s="1"/>
  <c r="H212" i="23"/>
  <c r="O10" i="69"/>
  <c r="H12" i="69"/>
  <c r="E213" i="23"/>
  <c r="F213" i="23"/>
  <c r="Q214" i="23"/>
  <c r="G213" i="23"/>
  <c r="D213" i="23"/>
  <c r="V12" i="69"/>
  <c r="G13" i="69"/>
  <c r="D13" i="69"/>
  <c r="Q13" i="69" s="1"/>
  <c r="E13" i="69"/>
  <c r="F13" i="69"/>
  <c r="A14" i="69"/>
  <c r="R14" i="69"/>
  <c r="S15" i="69"/>
  <c r="C13" i="69" l="1"/>
  <c r="B13" i="69"/>
  <c r="M12" i="69"/>
  <c r="O12" i="69"/>
  <c r="H213" i="23"/>
  <c r="I13" i="69"/>
  <c r="P13" i="69" s="1"/>
  <c r="H13" i="69"/>
  <c r="E214" i="23"/>
  <c r="F214" i="23"/>
  <c r="D214" i="23"/>
  <c r="H214" i="23" s="1"/>
  <c r="Q215" i="23"/>
  <c r="G214" i="23"/>
  <c r="E14" i="69"/>
  <c r="G14" i="69"/>
  <c r="D14" i="69"/>
  <c r="Q14" i="69" s="1"/>
  <c r="F14" i="69"/>
  <c r="V13" i="69"/>
  <c r="S16" i="69"/>
  <c r="A15" i="69"/>
  <c r="R15" i="69"/>
  <c r="B14" i="69" l="1"/>
  <c r="C14" i="69"/>
  <c r="M13" i="69"/>
  <c r="O13" i="69"/>
  <c r="E215" i="23"/>
  <c r="F215" i="23"/>
  <c r="Q216" i="23"/>
  <c r="G215" i="23"/>
  <c r="D215" i="23"/>
  <c r="A16" i="69"/>
  <c r="R16" i="69"/>
  <c r="S17" i="69"/>
  <c r="D15" i="69"/>
  <c r="Q15" i="69" s="1"/>
  <c r="E15" i="69"/>
  <c r="G15" i="69"/>
  <c r="F15" i="69"/>
  <c r="V14" i="69"/>
  <c r="I14" i="69" s="1"/>
  <c r="P14" i="69" s="1"/>
  <c r="C15" i="69" l="1"/>
  <c r="B15" i="69"/>
  <c r="H215" i="23"/>
  <c r="H14" i="69"/>
  <c r="M14" i="69" s="1"/>
  <c r="E216" i="23"/>
  <c r="F216" i="23"/>
  <c r="Q217" i="23"/>
  <c r="G216" i="23"/>
  <c r="D216" i="23"/>
  <c r="V15" i="69"/>
  <c r="I15" i="69" s="1"/>
  <c r="P15" i="69" s="1"/>
  <c r="R17" i="69"/>
  <c r="S18" i="69"/>
  <c r="A17" i="69"/>
  <c r="D16" i="69"/>
  <c r="Q16" i="69" s="1"/>
  <c r="E16" i="69"/>
  <c r="G16" i="69"/>
  <c r="F16" i="69"/>
  <c r="B16" i="69" l="1"/>
  <c r="C16" i="69"/>
  <c r="H216" i="23"/>
  <c r="H15" i="69"/>
  <c r="M15" i="69" s="1"/>
  <c r="O14" i="69"/>
  <c r="H16" i="69"/>
  <c r="E217" i="23"/>
  <c r="F217" i="23"/>
  <c r="Q218" i="23"/>
  <c r="G217" i="23"/>
  <c r="D217" i="23"/>
  <c r="R18" i="69"/>
  <c r="S19" i="69"/>
  <c r="M19" i="69" s="1"/>
  <c r="A18" i="69"/>
  <c r="G17" i="69"/>
  <c r="E17" i="69"/>
  <c r="D17" i="69"/>
  <c r="Q17" i="69" s="1"/>
  <c r="F17" i="69"/>
  <c r="V16" i="69"/>
  <c r="C17" i="69" l="1"/>
  <c r="B17" i="69"/>
  <c r="I17" i="69"/>
  <c r="P17" i="69" s="1"/>
  <c r="O16" i="69"/>
  <c r="I16" i="69"/>
  <c r="P16" i="69" s="1"/>
  <c r="O15" i="69"/>
  <c r="H17" i="69"/>
  <c r="I19" i="69"/>
  <c r="H217" i="23"/>
  <c r="F218" i="23"/>
  <c r="Q219" i="23"/>
  <c r="G218" i="23"/>
  <c r="D218" i="23"/>
  <c r="E218" i="23"/>
  <c r="V17" i="69"/>
  <c r="A19" i="69"/>
  <c r="R19" i="69"/>
  <c r="S20" i="69"/>
  <c r="M20" i="69" s="1"/>
  <c r="D18" i="69"/>
  <c r="Q18" i="69" s="1"/>
  <c r="G18" i="69"/>
  <c r="F18" i="69"/>
  <c r="E18" i="69"/>
  <c r="B18" i="69" l="1"/>
  <c r="C18" i="69"/>
  <c r="I18" i="69"/>
  <c r="P18" i="69" s="1"/>
  <c r="M17" i="69"/>
  <c r="O17" i="69"/>
  <c r="M16" i="69"/>
  <c r="H18" i="69"/>
  <c r="I20" i="69"/>
  <c r="H218" i="23"/>
  <c r="E219" i="23"/>
  <c r="F219" i="23"/>
  <c r="Q220" i="23"/>
  <c r="G219" i="23"/>
  <c r="D219" i="23"/>
  <c r="E19" i="69"/>
  <c r="D19" i="69"/>
  <c r="Q19" i="69" s="1"/>
  <c r="G19" i="69"/>
  <c r="F19" i="69"/>
  <c r="V18" i="69"/>
  <c r="A20" i="69"/>
  <c r="R20" i="69"/>
  <c r="S21" i="69"/>
  <c r="M21" i="69" s="1"/>
  <c r="C19" i="69" l="1"/>
  <c r="B19" i="69"/>
  <c r="O18" i="69"/>
  <c r="M18" i="69"/>
  <c r="H19" i="69"/>
  <c r="P19" i="69"/>
  <c r="O19" i="69"/>
  <c r="I21" i="69"/>
  <c r="H219" i="23"/>
  <c r="E220" i="23"/>
  <c r="F220" i="23"/>
  <c r="Q221" i="23"/>
  <c r="G220" i="23"/>
  <c r="D220" i="23"/>
  <c r="A21" i="69"/>
  <c r="R21" i="69"/>
  <c r="S22" i="69"/>
  <c r="M22" i="69" s="1"/>
  <c r="E20" i="69"/>
  <c r="D20" i="69"/>
  <c r="Q20" i="69" s="1"/>
  <c r="F20" i="69"/>
  <c r="G20" i="69"/>
  <c r="V19" i="69"/>
  <c r="B20" i="69" l="1"/>
  <c r="C20" i="69"/>
  <c r="O20" i="69"/>
  <c r="P20" i="69"/>
  <c r="H20" i="69"/>
  <c r="I22" i="69"/>
  <c r="H220" i="23"/>
  <c r="F221" i="23"/>
  <c r="Q222" i="23"/>
  <c r="G221" i="23"/>
  <c r="D221" i="23"/>
  <c r="E221" i="23"/>
  <c r="R22" i="69"/>
  <c r="S23" i="69"/>
  <c r="M23" i="69" s="1"/>
  <c r="A22" i="69"/>
  <c r="V20" i="69"/>
  <c r="E21" i="69"/>
  <c r="G21" i="69"/>
  <c r="F21" i="69"/>
  <c r="D21" i="69"/>
  <c r="Q21" i="69" s="1"/>
  <c r="C21" i="69" l="1"/>
  <c r="B21" i="69"/>
  <c r="H21" i="69"/>
  <c r="O21" i="69"/>
  <c r="P21" i="69"/>
  <c r="I23" i="69"/>
  <c r="H221" i="23"/>
  <c r="E222" i="23"/>
  <c r="F222" i="23"/>
  <c r="Q223" i="23"/>
  <c r="G222" i="23"/>
  <c r="D222" i="23"/>
  <c r="V21" i="69"/>
  <c r="A23" i="69"/>
  <c r="R23" i="69"/>
  <c r="S24" i="69"/>
  <c r="M24" i="69" s="1"/>
  <c r="E22" i="69"/>
  <c r="D22" i="69"/>
  <c r="Q22" i="69" s="1"/>
  <c r="F22" i="69"/>
  <c r="G22" i="69"/>
  <c r="B22" i="69" l="1"/>
  <c r="C22" i="69"/>
  <c r="P22" i="69"/>
  <c r="O22" i="69"/>
  <c r="H22" i="69"/>
  <c r="H222" i="23"/>
  <c r="I24" i="69"/>
  <c r="H223" i="23"/>
  <c r="E223" i="23"/>
  <c r="F223" i="23"/>
  <c r="Q224" i="23"/>
  <c r="G223" i="23"/>
  <c r="D223" i="23"/>
  <c r="V22" i="69"/>
  <c r="D23" i="69"/>
  <c r="Q23" i="69" s="1"/>
  <c r="F23" i="69"/>
  <c r="E23" i="69"/>
  <c r="G23" i="69"/>
  <c r="A24" i="69"/>
  <c r="S25" i="69"/>
  <c r="M25" i="69" s="1"/>
  <c r="R24" i="69"/>
  <c r="C23" i="69" l="1"/>
  <c r="B23" i="69"/>
  <c r="P23" i="69"/>
  <c r="H23" i="69"/>
  <c r="O23" i="69"/>
  <c r="I25" i="69"/>
  <c r="E224" i="23"/>
  <c r="F224" i="23"/>
  <c r="Q225" i="23"/>
  <c r="G224" i="23"/>
  <c r="D224" i="23"/>
  <c r="E24" i="69"/>
  <c r="F24" i="69"/>
  <c r="D24" i="69"/>
  <c r="Q24" i="69" s="1"/>
  <c r="G24" i="69"/>
  <c r="A25" i="69"/>
  <c r="S26" i="69"/>
  <c r="M26" i="69" s="1"/>
  <c r="R25" i="69"/>
  <c r="V23" i="69"/>
  <c r="B24" i="69" l="1"/>
  <c r="C24" i="69"/>
  <c r="H224" i="23"/>
  <c r="P24" i="69"/>
  <c r="H24" i="69"/>
  <c r="O24" i="69"/>
  <c r="I26" i="69"/>
  <c r="F225" i="23"/>
  <c r="E225" i="23"/>
  <c r="Q226" i="23"/>
  <c r="G225" i="23"/>
  <c r="D225" i="23"/>
  <c r="H225" i="23" s="1"/>
  <c r="E25" i="69"/>
  <c r="G25" i="69"/>
  <c r="F25" i="69"/>
  <c r="D25" i="69"/>
  <c r="Q25" i="69" s="1"/>
  <c r="A26" i="69"/>
  <c r="R26" i="69"/>
  <c r="S27" i="69"/>
  <c r="M27" i="69" s="1"/>
  <c r="V24" i="69"/>
  <c r="C25" i="69" l="1"/>
  <c r="B25" i="69"/>
  <c r="H25" i="69"/>
  <c r="O25" i="69"/>
  <c r="P25" i="69"/>
  <c r="I27" i="69"/>
  <c r="H226" i="23"/>
  <c r="F226" i="23"/>
  <c r="Q227" i="23"/>
  <c r="G226" i="23"/>
  <c r="D226" i="23"/>
  <c r="E226" i="23"/>
  <c r="R27" i="69"/>
  <c r="S28" i="69"/>
  <c r="M28" i="69" s="1"/>
  <c r="A27" i="69"/>
  <c r="V25" i="69"/>
  <c r="D26" i="69"/>
  <c r="Q26" i="69" s="1"/>
  <c r="E26" i="69"/>
  <c r="F26" i="69"/>
  <c r="G26" i="69"/>
  <c r="B26" i="69" l="1"/>
  <c r="C26" i="69"/>
  <c r="O26" i="69"/>
  <c r="H26" i="69"/>
  <c r="P26" i="69"/>
  <c r="I28" i="69"/>
  <c r="H227" i="23"/>
  <c r="F227" i="23"/>
  <c r="Q228" i="23"/>
  <c r="G227" i="23"/>
  <c r="D227" i="23"/>
  <c r="E227" i="23"/>
  <c r="V26" i="69"/>
  <c r="S29" i="69"/>
  <c r="M29" i="69" s="1"/>
  <c r="A28" i="69"/>
  <c r="R28" i="69"/>
  <c r="E27" i="69"/>
  <c r="G27" i="69"/>
  <c r="D27" i="69"/>
  <c r="Q27" i="69" s="1"/>
  <c r="F27" i="69"/>
  <c r="C27" i="69" l="1"/>
  <c r="B27" i="69"/>
  <c r="P27" i="69"/>
  <c r="O27" i="69"/>
  <c r="H27" i="69"/>
  <c r="I29" i="69"/>
  <c r="H228" i="23"/>
  <c r="F228" i="23"/>
  <c r="Q229" i="23"/>
  <c r="G228" i="23"/>
  <c r="D228" i="23"/>
  <c r="E228" i="23"/>
  <c r="V27" i="69"/>
  <c r="F28" i="69"/>
  <c r="E28" i="69"/>
  <c r="D28" i="69"/>
  <c r="Q28" i="69" s="1"/>
  <c r="G28" i="69"/>
  <c r="S30" i="69"/>
  <c r="M30" i="69" s="1"/>
  <c r="R29" i="69"/>
  <c r="A29" i="69"/>
  <c r="B28" i="69" l="1"/>
  <c r="C28" i="69"/>
  <c r="H28" i="69"/>
  <c r="O28" i="69"/>
  <c r="P28" i="69"/>
  <c r="I30" i="69"/>
  <c r="H229" i="23"/>
  <c r="F229" i="23"/>
  <c r="Q230" i="23"/>
  <c r="G229" i="23"/>
  <c r="D229" i="23"/>
  <c r="E229" i="23"/>
  <c r="G29" i="69"/>
  <c r="E29" i="69"/>
  <c r="D29" i="69"/>
  <c r="Q29" i="69" s="1"/>
  <c r="F29" i="69"/>
  <c r="A30" i="69"/>
  <c r="S31" i="69"/>
  <c r="M31" i="69" s="1"/>
  <c r="R30" i="69"/>
  <c r="V28" i="69"/>
  <c r="C29" i="69" l="1"/>
  <c r="B29" i="69"/>
  <c r="H29" i="69"/>
  <c r="O29" i="69"/>
  <c r="P29" i="69"/>
  <c r="I31" i="69"/>
  <c r="H230" i="23"/>
  <c r="F230" i="23"/>
  <c r="Q231" i="23"/>
  <c r="G230" i="23"/>
  <c r="D230" i="23"/>
  <c r="E230" i="23"/>
  <c r="V29" i="69"/>
  <c r="S32" i="69"/>
  <c r="M32" i="69" s="1"/>
  <c r="A31" i="69"/>
  <c r="R31" i="69"/>
  <c r="F30" i="69"/>
  <c r="E30" i="69"/>
  <c r="G30" i="69"/>
  <c r="D30" i="69"/>
  <c r="Q30" i="69" s="1"/>
  <c r="B30" i="69" l="1"/>
  <c r="C30" i="69"/>
  <c r="O30" i="69"/>
  <c r="H30" i="69"/>
  <c r="P30" i="69"/>
  <c r="I32" i="69"/>
  <c r="H231" i="23"/>
  <c r="F231" i="23"/>
  <c r="Q232" i="23"/>
  <c r="G231" i="23"/>
  <c r="D231" i="23"/>
  <c r="E231" i="23"/>
  <c r="G31" i="69"/>
  <c r="E31" i="69"/>
  <c r="D31" i="69"/>
  <c r="Q31" i="69" s="1"/>
  <c r="F31" i="69"/>
  <c r="V30" i="69"/>
  <c r="A32" i="69"/>
  <c r="S33" i="69"/>
  <c r="M33" i="69" s="1"/>
  <c r="R32" i="69"/>
  <c r="C31" i="69" l="1"/>
  <c r="B31" i="69"/>
  <c r="O31" i="69"/>
  <c r="P31" i="69"/>
  <c r="H31" i="69"/>
  <c r="I33" i="69"/>
  <c r="H232" i="23"/>
  <c r="E232" i="23"/>
  <c r="F232" i="23"/>
  <c r="Q233" i="23"/>
  <c r="G232" i="23"/>
  <c r="D232" i="23"/>
  <c r="S34" i="69"/>
  <c r="M34" i="69" s="1"/>
  <c r="R33" i="69"/>
  <c r="A33" i="69"/>
  <c r="V31" i="69"/>
  <c r="D32" i="69"/>
  <c r="Q32" i="69" s="1"/>
  <c r="G32" i="69"/>
  <c r="E32" i="69"/>
  <c r="F32" i="69"/>
  <c r="B32" i="69" l="1"/>
  <c r="C32" i="69"/>
  <c r="P32" i="69"/>
  <c r="H32" i="69"/>
  <c r="O32" i="69"/>
  <c r="I34" i="69"/>
  <c r="H233" i="23"/>
  <c r="E233" i="23"/>
  <c r="F233" i="23"/>
  <c r="Q234" i="23"/>
  <c r="G233" i="23"/>
  <c r="D233" i="23"/>
  <c r="S35" i="69"/>
  <c r="M35" i="69" s="1"/>
  <c r="R34" i="69"/>
  <c r="A34" i="69"/>
  <c r="V32" i="69"/>
  <c r="G33" i="69"/>
  <c r="E33" i="69"/>
  <c r="D33" i="69"/>
  <c r="Q33" i="69" s="1"/>
  <c r="F33" i="69"/>
  <c r="C33" i="69" l="1"/>
  <c r="B33" i="69"/>
  <c r="H33" i="69"/>
  <c r="O33" i="69"/>
  <c r="P33" i="69"/>
  <c r="I35" i="69"/>
  <c r="H234" i="23"/>
  <c r="E234" i="23"/>
  <c r="F234" i="23"/>
  <c r="Q235" i="23"/>
  <c r="G234" i="23"/>
  <c r="D234" i="23"/>
  <c r="V33" i="69"/>
  <c r="R35" i="69"/>
  <c r="S36" i="69"/>
  <c r="M36" i="69" s="1"/>
  <c r="A35" i="69"/>
  <c r="G34" i="69"/>
  <c r="D34" i="69"/>
  <c r="Q34" i="69" s="1"/>
  <c r="E34" i="69"/>
  <c r="F34" i="69"/>
  <c r="B34" i="69" l="1"/>
  <c r="C34" i="69"/>
  <c r="H34" i="69"/>
  <c r="P34" i="69"/>
  <c r="O34" i="69"/>
  <c r="I36" i="69"/>
  <c r="H235" i="23"/>
  <c r="E235" i="23"/>
  <c r="F235" i="23"/>
  <c r="Q236" i="23"/>
  <c r="G235" i="23"/>
  <c r="D235" i="23"/>
  <c r="A36" i="69"/>
  <c r="S37" i="69"/>
  <c r="M37" i="69" s="1"/>
  <c r="R36" i="69"/>
  <c r="V34" i="69"/>
  <c r="F35" i="69"/>
  <c r="G35" i="69"/>
  <c r="E35" i="69"/>
  <c r="D35" i="69"/>
  <c r="Q35" i="69" s="1"/>
  <c r="B35" i="69" l="1"/>
  <c r="C35" i="69"/>
  <c r="P35" i="69"/>
  <c r="O35" i="69"/>
  <c r="H35" i="69"/>
  <c r="I37" i="69"/>
  <c r="H236" i="23"/>
  <c r="E236" i="23"/>
  <c r="F236" i="23"/>
  <c r="Q237" i="23"/>
  <c r="G236" i="23"/>
  <c r="D236" i="23"/>
  <c r="A37" i="69"/>
  <c r="S38" i="69"/>
  <c r="M38" i="69" s="1"/>
  <c r="R37" i="69"/>
  <c r="G36" i="69"/>
  <c r="F36" i="69"/>
  <c r="E36" i="69"/>
  <c r="D36" i="69"/>
  <c r="Q36" i="69" s="1"/>
  <c r="V35" i="69"/>
  <c r="B36" i="69" l="1"/>
  <c r="C36" i="69"/>
  <c r="H36" i="69"/>
  <c r="O36" i="69"/>
  <c r="P36" i="69"/>
  <c r="I38" i="69"/>
  <c r="H237" i="23"/>
  <c r="E237" i="23"/>
  <c r="F237" i="23"/>
  <c r="Q238" i="23"/>
  <c r="G237" i="23"/>
  <c r="D237" i="23"/>
  <c r="V36" i="69"/>
  <c r="R38" i="69"/>
  <c r="A38" i="69"/>
  <c r="S39" i="69"/>
  <c r="M39" i="69" s="1"/>
  <c r="E37" i="69"/>
  <c r="G37" i="69"/>
  <c r="F37" i="69"/>
  <c r="D37" i="69"/>
  <c r="Q37" i="69" s="1"/>
  <c r="C37" i="69" l="1"/>
  <c r="B37" i="69"/>
  <c r="H37" i="69"/>
  <c r="O37" i="69"/>
  <c r="P37" i="69"/>
  <c r="I39" i="69"/>
  <c r="H238" i="23"/>
  <c r="E238" i="23"/>
  <c r="F238" i="23"/>
  <c r="Q239" i="23"/>
  <c r="G238" i="23"/>
  <c r="D238" i="23"/>
  <c r="V37" i="69"/>
  <c r="A39" i="69"/>
  <c r="S40" i="69"/>
  <c r="M40" i="69" s="1"/>
  <c r="R39" i="69"/>
  <c r="D38" i="69"/>
  <c r="Q38" i="69" s="1"/>
  <c r="E38" i="69"/>
  <c r="F38" i="69"/>
  <c r="G38" i="69"/>
  <c r="B38" i="69" l="1"/>
  <c r="C38" i="69"/>
  <c r="O38" i="69"/>
  <c r="H38" i="69"/>
  <c r="P38" i="69"/>
  <c r="I40" i="69"/>
  <c r="H239" i="23"/>
  <c r="E239" i="23"/>
  <c r="F239" i="23"/>
  <c r="Q240" i="23"/>
  <c r="G239" i="23"/>
  <c r="D239" i="23"/>
  <c r="R40" i="69"/>
  <c r="S41" i="69"/>
  <c r="M41" i="69" s="1"/>
  <c r="A40" i="69"/>
  <c r="V38" i="69"/>
  <c r="F39" i="69"/>
  <c r="E39" i="69"/>
  <c r="G39" i="69"/>
  <c r="D39" i="69"/>
  <c r="Q39" i="69" s="1"/>
  <c r="C39" i="69" l="1"/>
  <c r="B39" i="69"/>
  <c r="O39" i="69"/>
  <c r="P39" i="69"/>
  <c r="H39" i="69"/>
  <c r="I41" i="69"/>
  <c r="H240" i="23"/>
  <c r="E240" i="23"/>
  <c r="F240" i="23"/>
  <c r="Q241" i="23"/>
  <c r="G240" i="23"/>
  <c r="D240" i="23"/>
  <c r="V39" i="69"/>
  <c r="A41" i="69"/>
  <c r="R41" i="69"/>
  <c r="S42" i="69"/>
  <c r="M42" i="69" s="1"/>
  <c r="D40" i="69"/>
  <c r="Q40" i="69" s="1"/>
  <c r="G40" i="69"/>
  <c r="E40" i="69"/>
  <c r="F40" i="69"/>
  <c r="B40" i="69" l="1"/>
  <c r="C40" i="69"/>
  <c r="P40" i="69"/>
  <c r="H40" i="69"/>
  <c r="O40" i="69"/>
  <c r="I42" i="69"/>
  <c r="H241" i="23"/>
  <c r="E241" i="23"/>
  <c r="F241" i="23"/>
  <c r="Q242" i="23"/>
  <c r="G241" i="23"/>
  <c r="D241" i="23"/>
  <c r="D41" i="69"/>
  <c r="Q41" i="69" s="1"/>
  <c r="F41" i="69"/>
  <c r="G41" i="69"/>
  <c r="E41" i="69"/>
  <c r="V40" i="69"/>
  <c r="A42" i="69"/>
  <c r="R42" i="69"/>
  <c r="S43" i="69"/>
  <c r="M43" i="69" s="1"/>
  <c r="C41" i="69" l="1"/>
  <c r="B41" i="69"/>
  <c r="H41" i="69"/>
  <c r="O41" i="69"/>
  <c r="P41" i="69"/>
  <c r="I43" i="69"/>
  <c r="H242" i="23"/>
  <c r="E242" i="23"/>
  <c r="F242" i="23"/>
  <c r="Q243" i="23"/>
  <c r="G242" i="23"/>
  <c r="D242" i="23"/>
  <c r="E42" i="69"/>
  <c r="D42" i="69"/>
  <c r="Q42" i="69" s="1"/>
  <c r="G42" i="69"/>
  <c r="F42" i="69"/>
  <c r="R43" i="69"/>
  <c r="S44" i="69"/>
  <c r="M44" i="69" s="1"/>
  <c r="A43" i="69"/>
  <c r="V41" i="69"/>
  <c r="B42" i="69" l="1"/>
  <c r="C42" i="69"/>
  <c r="O42" i="69"/>
  <c r="H42" i="69"/>
  <c r="P42" i="69"/>
  <c r="I44" i="69"/>
  <c r="H243" i="23"/>
  <c r="E243" i="23"/>
  <c r="F243" i="23"/>
  <c r="Q244" i="23"/>
  <c r="G243" i="23"/>
  <c r="D243" i="23"/>
  <c r="R44" i="69"/>
  <c r="S45" i="69"/>
  <c r="M45" i="69" s="1"/>
  <c r="A44" i="69"/>
  <c r="V42" i="69"/>
  <c r="G43" i="69"/>
  <c r="D43" i="69"/>
  <c r="Q43" i="69" s="1"/>
  <c r="F43" i="69"/>
  <c r="E43" i="69"/>
  <c r="B43" i="69" l="1"/>
  <c r="C43" i="69"/>
  <c r="P43" i="69"/>
  <c r="O43" i="69"/>
  <c r="H43" i="69"/>
  <c r="I45" i="69"/>
  <c r="H244" i="23"/>
  <c r="E244" i="23"/>
  <c r="F244" i="23"/>
  <c r="Q245" i="23"/>
  <c r="G244" i="23"/>
  <c r="D244" i="23"/>
  <c r="R45" i="69"/>
  <c r="A45" i="69"/>
  <c r="S46" i="69"/>
  <c r="M46" i="69" s="1"/>
  <c r="V43" i="69"/>
  <c r="D44" i="69"/>
  <c r="Q44" i="69" s="1"/>
  <c r="F44" i="69"/>
  <c r="G44" i="69"/>
  <c r="E44" i="69"/>
  <c r="B44" i="69" l="1"/>
  <c r="C44" i="69"/>
  <c r="H44" i="69"/>
  <c r="O44" i="69"/>
  <c r="P44" i="69"/>
  <c r="I46" i="69"/>
  <c r="H245" i="23"/>
  <c r="E245" i="23"/>
  <c r="F245" i="23"/>
  <c r="Q246" i="23"/>
  <c r="G245" i="23"/>
  <c r="D245" i="23"/>
  <c r="R46" i="69"/>
  <c r="A46" i="69"/>
  <c r="S47" i="69"/>
  <c r="M47" i="69" s="1"/>
  <c r="F45" i="69"/>
  <c r="D45" i="69"/>
  <c r="Q45" i="69" s="1"/>
  <c r="E45" i="69"/>
  <c r="G45" i="69"/>
  <c r="V44" i="69"/>
  <c r="C45" i="69" l="1"/>
  <c r="B45" i="69"/>
  <c r="H45" i="69"/>
  <c r="O45" i="69"/>
  <c r="P45" i="69"/>
  <c r="I47" i="69"/>
  <c r="H246" i="23"/>
  <c r="E246" i="23"/>
  <c r="F246" i="23"/>
  <c r="Q247" i="23"/>
  <c r="G246" i="23"/>
  <c r="D246" i="23"/>
  <c r="R47" i="69"/>
  <c r="A47" i="69"/>
  <c r="S48" i="69"/>
  <c r="M48" i="69" s="1"/>
  <c r="E46" i="69"/>
  <c r="G46" i="69"/>
  <c r="D46" i="69"/>
  <c r="Q46" i="69" s="1"/>
  <c r="F46" i="69"/>
  <c r="V45" i="69"/>
  <c r="B46" i="69" l="1"/>
  <c r="C46" i="69"/>
  <c r="O46" i="69"/>
  <c r="H46" i="69"/>
  <c r="P46" i="69"/>
  <c r="I48" i="69"/>
  <c r="H247" i="23"/>
  <c r="E247" i="23"/>
  <c r="F247" i="23"/>
  <c r="Q248" i="23"/>
  <c r="G247" i="23"/>
  <c r="D247" i="23"/>
  <c r="V46" i="69"/>
  <c r="A48" i="69"/>
  <c r="R48" i="69"/>
  <c r="S49" i="69"/>
  <c r="M49" i="69" s="1"/>
  <c r="G47" i="69"/>
  <c r="E47" i="69"/>
  <c r="D47" i="69"/>
  <c r="Q47" i="69" s="1"/>
  <c r="F47" i="69"/>
  <c r="C47" i="69" l="1"/>
  <c r="B47" i="69"/>
  <c r="O47" i="69"/>
  <c r="P47" i="69"/>
  <c r="H47" i="69"/>
  <c r="I49" i="69"/>
  <c r="H248" i="23"/>
  <c r="E248" i="23"/>
  <c r="F248" i="23"/>
  <c r="Q249" i="23"/>
  <c r="G248" i="23"/>
  <c r="D248" i="23"/>
  <c r="V47" i="69"/>
  <c r="G48" i="69"/>
  <c r="E48" i="69"/>
  <c r="D48" i="69"/>
  <c r="Q48" i="69" s="1"/>
  <c r="F48" i="69"/>
  <c r="R49" i="69"/>
  <c r="A49" i="69"/>
  <c r="S50" i="69"/>
  <c r="M50" i="69" s="1"/>
  <c r="B48" i="69" l="1"/>
  <c r="C48" i="69"/>
  <c r="P48" i="69"/>
  <c r="H48" i="69"/>
  <c r="O48" i="69"/>
  <c r="I50" i="69"/>
  <c r="H249" i="23"/>
  <c r="E249" i="23"/>
  <c r="F249" i="23"/>
  <c r="Q250" i="23"/>
  <c r="G249" i="23"/>
  <c r="D249" i="23"/>
  <c r="V48" i="69"/>
  <c r="A50" i="69"/>
  <c r="R50" i="69"/>
  <c r="S51" i="69"/>
  <c r="M51" i="69" s="1"/>
  <c r="F49" i="69"/>
  <c r="G49" i="69"/>
  <c r="D49" i="69"/>
  <c r="Q49" i="69" s="1"/>
  <c r="E49" i="69"/>
  <c r="B49" i="69" l="1"/>
  <c r="C49" i="69"/>
  <c r="H49" i="69"/>
  <c r="O49" i="69"/>
  <c r="P49" i="69"/>
  <c r="I51" i="69"/>
  <c r="H250" i="23"/>
  <c r="E250" i="23"/>
  <c r="F250" i="23"/>
  <c r="Q251" i="23"/>
  <c r="G250" i="23"/>
  <c r="D250" i="23"/>
  <c r="V49" i="69"/>
  <c r="R51" i="69"/>
  <c r="A51" i="69"/>
  <c r="S52" i="69"/>
  <c r="M52" i="69" s="1"/>
  <c r="F50" i="69"/>
  <c r="G50" i="69"/>
  <c r="E50" i="69"/>
  <c r="D50" i="69"/>
  <c r="Q50" i="69" s="1"/>
  <c r="B50" i="69" l="1"/>
  <c r="C50" i="69"/>
  <c r="O50" i="69"/>
  <c r="H50" i="69"/>
  <c r="P50" i="69"/>
  <c r="I52" i="69"/>
  <c r="H251" i="23"/>
  <c r="E251" i="23"/>
  <c r="F251" i="23"/>
  <c r="Q252" i="23"/>
  <c r="G251" i="23"/>
  <c r="D251" i="23"/>
  <c r="G51" i="69"/>
  <c r="F51" i="69"/>
  <c r="E51" i="69"/>
  <c r="D51" i="69"/>
  <c r="Q51" i="69" s="1"/>
  <c r="V50" i="69"/>
  <c r="R52" i="69"/>
  <c r="S53" i="69"/>
  <c r="M53" i="69" s="1"/>
  <c r="A52" i="69"/>
  <c r="B51" i="69" l="1"/>
  <c r="C51" i="69"/>
  <c r="P51" i="69"/>
  <c r="O51" i="69"/>
  <c r="H51" i="69"/>
  <c r="I53" i="69"/>
  <c r="H252" i="23"/>
  <c r="E252" i="23"/>
  <c r="F252" i="23"/>
  <c r="Q253" i="23"/>
  <c r="G252" i="23"/>
  <c r="D252" i="23"/>
  <c r="V51" i="69"/>
  <c r="F52" i="69"/>
  <c r="E52" i="69"/>
  <c r="G52" i="69"/>
  <c r="D52" i="69"/>
  <c r="Q52" i="69" s="1"/>
  <c r="R53" i="69"/>
  <c r="A53" i="69"/>
  <c r="S54" i="69"/>
  <c r="M54" i="69" s="1"/>
  <c r="B52" i="69" l="1"/>
  <c r="C52" i="69"/>
  <c r="H52" i="69"/>
  <c r="O52" i="69"/>
  <c r="P52" i="69"/>
  <c r="I54" i="69"/>
  <c r="H253" i="23"/>
  <c r="E253" i="23"/>
  <c r="F253" i="23"/>
  <c r="Q254" i="23"/>
  <c r="G253" i="23"/>
  <c r="D253" i="23"/>
  <c r="F53" i="69"/>
  <c r="D53" i="69"/>
  <c r="Q53" i="69" s="1"/>
  <c r="E53" i="69"/>
  <c r="G53" i="69"/>
  <c r="A54" i="69"/>
  <c r="R54" i="69"/>
  <c r="S55" i="69"/>
  <c r="M55" i="69" s="1"/>
  <c r="V52" i="69"/>
  <c r="C53" i="69" l="1"/>
  <c r="B53" i="69"/>
  <c r="H53" i="69"/>
  <c r="O53" i="69"/>
  <c r="P53" i="69"/>
  <c r="I55" i="69"/>
  <c r="H254" i="23"/>
  <c r="E254" i="23"/>
  <c r="F254" i="23"/>
  <c r="Q255" i="23"/>
  <c r="G254" i="23"/>
  <c r="D254" i="23"/>
  <c r="S56" i="69"/>
  <c r="M56" i="69" s="1"/>
  <c r="R55" i="69"/>
  <c r="A55" i="69"/>
  <c r="E54" i="69"/>
  <c r="G54" i="69"/>
  <c r="D54" i="69"/>
  <c r="Q54" i="69" s="1"/>
  <c r="F54" i="69"/>
  <c r="V53" i="69"/>
  <c r="B54" i="69" l="1"/>
  <c r="C54" i="69"/>
  <c r="O54" i="69"/>
  <c r="H54" i="69"/>
  <c r="P54" i="69"/>
  <c r="I56" i="69"/>
  <c r="H255" i="23"/>
  <c r="E255" i="23"/>
  <c r="F255" i="23"/>
  <c r="Q256" i="23"/>
  <c r="G255" i="23"/>
  <c r="D255" i="23"/>
  <c r="E55" i="69"/>
  <c r="D55" i="69"/>
  <c r="Q55" i="69" s="1"/>
  <c r="G55" i="69"/>
  <c r="F55" i="69"/>
  <c r="A56" i="69"/>
  <c r="S57" i="69"/>
  <c r="M57" i="69" s="1"/>
  <c r="R56" i="69"/>
  <c r="V54" i="69"/>
  <c r="C55" i="69" l="1"/>
  <c r="B55" i="69"/>
  <c r="O55" i="69"/>
  <c r="P55" i="69"/>
  <c r="H55" i="69"/>
  <c r="I57" i="69"/>
  <c r="H256" i="23"/>
  <c r="E256" i="23"/>
  <c r="F256" i="23"/>
  <c r="Q257" i="23"/>
  <c r="G256" i="23"/>
  <c r="D256" i="23"/>
  <c r="S58" i="69"/>
  <c r="M58" i="69" s="1"/>
  <c r="R57" i="69"/>
  <c r="A57" i="69"/>
  <c r="F56" i="69"/>
  <c r="E56" i="69"/>
  <c r="D56" i="69"/>
  <c r="Q56" i="69" s="1"/>
  <c r="G56" i="69"/>
  <c r="V55" i="69"/>
  <c r="B56" i="69" l="1"/>
  <c r="C56" i="69"/>
  <c r="P56" i="69"/>
  <c r="H56" i="69"/>
  <c r="O56" i="69"/>
  <c r="I58" i="69"/>
  <c r="H257" i="23"/>
  <c r="E257" i="23"/>
  <c r="F257" i="23"/>
  <c r="D257" i="23"/>
  <c r="Q258" i="23"/>
  <c r="G257" i="23"/>
  <c r="V56" i="69"/>
  <c r="E57" i="69"/>
  <c r="D57" i="69"/>
  <c r="Q57" i="69" s="1"/>
  <c r="G57" i="69"/>
  <c r="F57" i="69"/>
  <c r="S59" i="69"/>
  <c r="M59" i="69" s="1"/>
  <c r="R58" i="69"/>
  <c r="A58" i="69"/>
  <c r="B57" i="69" l="1"/>
  <c r="C57" i="69"/>
  <c r="H57" i="69"/>
  <c r="O57" i="69"/>
  <c r="P57" i="69"/>
  <c r="I59" i="69"/>
  <c r="H258" i="23"/>
  <c r="E258" i="23"/>
  <c r="F258" i="23"/>
  <c r="Q259" i="23"/>
  <c r="G258" i="23"/>
  <c r="D258" i="23"/>
  <c r="E58" i="69"/>
  <c r="F58" i="69"/>
  <c r="D58" i="69"/>
  <c r="Q58" i="69" s="1"/>
  <c r="G58" i="69"/>
  <c r="V57" i="69"/>
  <c r="S60" i="69"/>
  <c r="M60" i="69" s="1"/>
  <c r="A59" i="69"/>
  <c r="R59" i="69"/>
  <c r="B58" i="69" l="1"/>
  <c r="C58" i="69"/>
  <c r="O58" i="69"/>
  <c r="H58" i="69"/>
  <c r="P58" i="69"/>
  <c r="I60" i="69"/>
  <c r="H259" i="23"/>
  <c r="E259" i="23"/>
  <c r="F259" i="23"/>
  <c r="Q260" i="23"/>
  <c r="G259" i="23"/>
  <c r="D259" i="23"/>
  <c r="V58" i="69"/>
  <c r="F59" i="69"/>
  <c r="D59" i="69"/>
  <c r="Q59" i="69" s="1"/>
  <c r="G59" i="69"/>
  <c r="E59" i="69"/>
  <c r="R60" i="69"/>
  <c r="A60" i="69"/>
  <c r="S61" i="69"/>
  <c r="M61" i="69" s="1"/>
  <c r="B59" i="69" l="1"/>
  <c r="C59" i="69"/>
  <c r="P59" i="69"/>
  <c r="O59" i="69"/>
  <c r="H59" i="69"/>
  <c r="I61" i="69"/>
  <c r="H260" i="23"/>
  <c r="E260" i="23"/>
  <c r="F260" i="23"/>
  <c r="Q261" i="23"/>
  <c r="G260" i="23"/>
  <c r="D260" i="23"/>
  <c r="E60" i="69"/>
  <c r="F60" i="69"/>
  <c r="D60" i="69"/>
  <c r="Q60" i="69" s="1"/>
  <c r="G60" i="69"/>
  <c r="A61" i="69"/>
  <c r="R61" i="69"/>
  <c r="S62" i="69"/>
  <c r="M62" i="69" s="1"/>
  <c r="V59" i="69"/>
  <c r="B60" i="69" l="1"/>
  <c r="C60" i="69"/>
  <c r="H60" i="69"/>
  <c r="O60" i="69"/>
  <c r="P60" i="69"/>
  <c r="I62" i="69"/>
  <c r="H261" i="23"/>
  <c r="E261" i="23"/>
  <c r="F261" i="23"/>
  <c r="D261" i="23"/>
  <c r="Q262" i="23"/>
  <c r="G261" i="23"/>
  <c r="A62" i="69"/>
  <c r="R62" i="69"/>
  <c r="S63" i="69"/>
  <c r="M63" i="69" s="1"/>
  <c r="V60" i="69"/>
  <c r="G61" i="69"/>
  <c r="D61" i="69"/>
  <c r="Q61" i="69" s="1"/>
  <c r="E61" i="69"/>
  <c r="F61" i="69"/>
  <c r="C61" i="69" l="1"/>
  <c r="B61" i="69"/>
  <c r="H61" i="69"/>
  <c r="O61" i="69"/>
  <c r="P61" i="69"/>
  <c r="I63" i="69"/>
  <c r="H262" i="23"/>
  <c r="E262" i="23"/>
  <c r="F262" i="23"/>
  <c r="D262" i="23"/>
  <c r="Q263" i="23"/>
  <c r="G262" i="23"/>
  <c r="G62" i="69"/>
  <c r="F62" i="69"/>
  <c r="E62" i="69"/>
  <c r="D62" i="69"/>
  <c r="Q62" i="69" s="1"/>
  <c r="V61" i="69"/>
  <c r="S64" i="69"/>
  <c r="M64" i="69" s="1"/>
  <c r="R63" i="69"/>
  <c r="A63" i="69"/>
  <c r="B62" i="69" l="1"/>
  <c r="C62" i="69"/>
  <c r="O62" i="69"/>
  <c r="H62" i="69"/>
  <c r="P62" i="69"/>
  <c r="I64" i="69"/>
  <c r="H263" i="23"/>
  <c r="E263" i="23"/>
  <c r="F263" i="23"/>
  <c r="Q264" i="23"/>
  <c r="G263" i="23"/>
  <c r="D263" i="23"/>
  <c r="V62" i="69"/>
  <c r="F63" i="69"/>
  <c r="G63" i="69"/>
  <c r="E63" i="69"/>
  <c r="D63" i="69"/>
  <c r="Q63" i="69" s="1"/>
  <c r="S65" i="69"/>
  <c r="M65" i="69" s="1"/>
  <c r="A64" i="69"/>
  <c r="R64" i="69"/>
  <c r="C63" i="69" l="1"/>
  <c r="B63" i="69"/>
  <c r="O63" i="69"/>
  <c r="P63" i="69"/>
  <c r="H63" i="69"/>
  <c r="I65" i="69"/>
  <c r="H264" i="23"/>
  <c r="E264" i="23"/>
  <c r="F264" i="23"/>
  <c r="Q265" i="23"/>
  <c r="G264" i="23"/>
  <c r="D264" i="23"/>
  <c r="V63" i="69"/>
  <c r="D64" i="69"/>
  <c r="Q64" i="69" s="1"/>
  <c r="E64" i="69"/>
  <c r="F64" i="69"/>
  <c r="G64" i="69"/>
  <c r="S66" i="69"/>
  <c r="M66" i="69" s="1"/>
  <c r="A65" i="69"/>
  <c r="R65" i="69"/>
  <c r="B64" i="69" l="1"/>
  <c r="C64" i="69"/>
  <c r="P64" i="69"/>
  <c r="H64" i="69"/>
  <c r="O64" i="69"/>
  <c r="I66" i="69"/>
  <c r="H265" i="23"/>
  <c r="E265" i="23"/>
  <c r="F265" i="23"/>
  <c r="Q266" i="23"/>
  <c r="G265" i="23"/>
  <c r="D265" i="23"/>
  <c r="S67" i="69"/>
  <c r="M67" i="69" s="1"/>
  <c r="A66" i="69"/>
  <c r="R66" i="69"/>
  <c r="G65" i="69"/>
  <c r="F65" i="69"/>
  <c r="D65" i="69"/>
  <c r="Q65" i="69" s="1"/>
  <c r="E65" i="69"/>
  <c r="V64" i="69"/>
  <c r="B65" i="69" l="1"/>
  <c r="C65" i="69"/>
  <c r="H65" i="69"/>
  <c r="O65" i="69"/>
  <c r="P65" i="69"/>
  <c r="I67" i="69"/>
  <c r="H266" i="23"/>
  <c r="E266" i="23"/>
  <c r="F266" i="23"/>
  <c r="Q267" i="23"/>
  <c r="G266" i="23"/>
  <c r="D266" i="23"/>
  <c r="V65" i="69"/>
  <c r="D66" i="69"/>
  <c r="Q66" i="69" s="1"/>
  <c r="F66" i="69"/>
  <c r="E66" i="69"/>
  <c r="G66" i="69"/>
  <c r="R67" i="69"/>
  <c r="A67" i="69"/>
  <c r="S68" i="69"/>
  <c r="M68" i="69" s="1"/>
  <c r="B66" i="69" l="1"/>
  <c r="C66" i="69"/>
  <c r="O66" i="69"/>
  <c r="H66" i="69"/>
  <c r="P66" i="69"/>
  <c r="I68" i="69"/>
  <c r="H267" i="23"/>
  <c r="F267" i="23"/>
  <c r="Q268" i="23"/>
  <c r="G267" i="23"/>
  <c r="E267" i="23"/>
  <c r="D267" i="23"/>
  <c r="E67" i="69"/>
  <c r="D67" i="69"/>
  <c r="Q67" i="69" s="1"/>
  <c r="F67" i="69"/>
  <c r="G67" i="69"/>
  <c r="R68" i="69"/>
  <c r="A68" i="69"/>
  <c r="S69" i="69"/>
  <c r="M69" i="69" s="1"/>
  <c r="V66" i="69"/>
  <c r="B67" i="69" l="1"/>
  <c r="C67" i="69"/>
  <c r="P67" i="69"/>
  <c r="O67" i="69"/>
  <c r="H67" i="69"/>
  <c r="I69" i="69"/>
  <c r="H268" i="23"/>
  <c r="E268" i="23"/>
  <c r="F268" i="23"/>
  <c r="Q269" i="23"/>
  <c r="G268" i="23"/>
  <c r="D268" i="23"/>
  <c r="S70" i="69"/>
  <c r="M70" i="69" s="1"/>
  <c r="R69" i="69"/>
  <c r="A69" i="69"/>
  <c r="V67" i="69"/>
  <c r="D68" i="69"/>
  <c r="Q68" i="69" s="1"/>
  <c r="F68" i="69"/>
  <c r="E68" i="69"/>
  <c r="G68" i="69"/>
  <c r="B68" i="69" l="1"/>
  <c r="C68" i="69"/>
  <c r="H68" i="69"/>
  <c r="O68" i="69"/>
  <c r="P68" i="69"/>
  <c r="I70" i="69"/>
  <c r="H269" i="23"/>
  <c r="E269" i="23"/>
  <c r="F269" i="23"/>
  <c r="Q270" i="23"/>
  <c r="G269" i="23"/>
  <c r="D269" i="23"/>
  <c r="D69" i="69"/>
  <c r="Q69" i="69" s="1"/>
  <c r="E69" i="69"/>
  <c r="G69" i="69"/>
  <c r="F69" i="69"/>
  <c r="V68" i="69"/>
  <c r="A70" i="69"/>
  <c r="R70" i="69"/>
  <c r="S71" i="69"/>
  <c r="M71" i="69" s="1"/>
  <c r="C69" i="69" l="1"/>
  <c r="B69" i="69"/>
  <c r="H69" i="69"/>
  <c r="O69" i="69"/>
  <c r="P69" i="69"/>
  <c r="I71" i="69"/>
  <c r="H270" i="23"/>
  <c r="E270" i="23"/>
  <c r="F270" i="23"/>
  <c r="Q271" i="23"/>
  <c r="G270" i="23"/>
  <c r="D270" i="23"/>
  <c r="R71" i="69"/>
  <c r="S72" i="69"/>
  <c r="M72" i="69" s="1"/>
  <c r="A71" i="69"/>
  <c r="G70" i="69"/>
  <c r="D70" i="69"/>
  <c r="Q70" i="69" s="1"/>
  <c r="F70" i="69"/>
  <c r="E70" i="69"/>
  <c r="V69" i="69"/>
  <c r="B70" i="69" l="1"/>
  <c r="C70" i="69"/>
  <c r="O70" i="69"/>
  <c r="H70" i="69"/>
  <c r="P70" i="69"/>
  <c r="I72" i="69"/>
  <c r="H271" i="23"/>
  <c r="E271" i="23"/>
  <c r="F271" i="23"/>
  <c r="Q272" i="23"/>
  <c r="G271" i="23"/>
  <c r="D271" i="23"/>
  <c r="V70" i="69"/>
  <c r="R72" i="69"/>
  <c r="A72" i="69"/>
  <c r="S73" i="69"/>
  <c r="M73" i="69" s="1"/>
  <c r="D71" i="69"/>
  <c r="Q71" i="69" s="1"/>
  <c r="G71" i="69"/>
  <c r="E71" i="69"/>
  <c r="F71" i="69"/>
  <c r="C71" i="69" l="1"/>
  <c r="B71" i="69"/>
  <c r="O71" i="69"/>
  <c r="P71" i="69"/>
  <c r="H71" i="69"/>
  <c r="I73" i="69"/>
  <c r="H272" i="23"/>
  <c r="F272" i="23"/>
  <c r="Q273" i="23"/>
  <c r="G272" i="23"/>
  <c r="E272" i="23"/>
  <c r="D272" i="23"/>
  <c r="E72" i="69"/>
  <c r="D72" i="69"/>
  <c r="Q72" i="69" s="1"/>
  <c r="G72" i="69"/>
  <c r="F72" i="69"/>
  <c r="S74" i="69"/>
  <c r="M74" i="69" s="1"/>
  <c r="A73" i="69"/>
  <c r="R73" i="69"/>
  <c r="V71" i="69"/>
  <c r="B72" i="69" l="1"/>
  <c r="C72" i="69"/>
  <c r="O72" i="69"/>
  <c r="H72" i="69"/>
  <c r="P72" i="69"/>
  <c r="I74" i="69"/>
  <c r="H273" i="23"/>
  <c r="E273" i="23"/>
  <c r="F273" i="23"/>
  <c r="Q274" i="23"/>
  <c r="G273" i="23"/>
  <c r="D273" i="23"/>
  <c r="A74" i="69"/>
  <c r="S75" i="69"/>
  <c r="M75" i="69" s="1"/>
  <c r="R74" i="69"/>
  <c r="E73" i="69"/>
  <c r="G73" i="69"/>
  <c r="F73" i="69"/>
  <c r="D73" i="69"/>
  <c r="Q73" i="69" s="1"/>
  <c r="V72" i="69"/>
  <c r="B73" i="69" l="1"/>
  <c r="C73" i="69"/>
  <c r="O73" i="69"/>
  <c r="H73" i="69"/>
  <c r="P73" i="69"/>
  <c r="I75" i="69"/>
  <c r="H274" i="23"/>
  <c r="E274" i="23"/>
  <c r="F274" i="23"/>
  <c r="Q275" i="23"/>
  <c r="G274" i="23"/>
  <c r="D274" i="23"/>
  <c r="V73" i="69"/>
  <c r="D74" i="69"/>
  <c r="Q74" i="69" s="1"/>
  <c r="E74" i="69"/>
  <c r="G74" i="69"/>
  <c r="F74" i="69"/>
  <c r="A75" i="69"/>
  <c r="R75" i="69"/>
  <c r="S76" i="69"/>
  <c r="M76" i="69" s="1"/>
  <c r="B74" i="69" l="1"/>
  <c r="C74" i="69"/>
  <c r="P74" i="69"/>
  <c r="O74" i="69"/>
  <c r="H74" i="69"/>
  <c r="I76" i="69"/>
  <c r="H275" i="23"/>
  <c r="E275" i="23"/>
  <c r="F275" i="23"/>
  <c r="Q276" i="23"/>
  <c r="G275" i="23"/>
  <c r="D275" i="23"/>
  <c r="S77" i="69"/>
  <c r="M77" i="69" s="1"/>
  <c r="R76" i="69"/>
  <c r="A76" i="69"/>
  <c r="D75" i="69"/>
  <c r="Q75" i="69" s="1"/>
  <c r="E75" i="69"/>
  <c r="G75" i="69"/>
  <c r="F75" i="69"/>
  <c r="V74" i="69"/>
  <c r="B75" i="69" l="1"/>
  <c r="C75" i="69"/>
  <c r="H75" i="69"/>
  <c r="O75" i="69"/>
  <c r="P75" i="69"/>
  <c r="I77" i="69"/>
  <c r="H276" i="23"/>
  <c r="E276" i="23"/>
  <c r="F276" i="23"/>
  <c r="Q277" i="23"/>
  <c r="G276" i="23"/>
  <c r="D276" i="23"/>
  <c r="V75" i="69"/>
  <c r="F76" i="69"/>
  <c r="D76" i="69"/>
  <c r="Q76" i="69" s="1"/>
  <c r="G76" i="69"/>
  <c r="E76" i="69"/>
  <c r="A77" i="69"/>
  <c r="S78" i="69"/>
  <c r="M78" i="69" s="1"/>
  <c r="R77" i="69"/>
  <c r="B76" i="69" l="1"/>
  <c r="C76" i="69"/>
  <c r="O76" i="69"/>
  <c r="H76" i="69"/>
  <c r="P76" i="69"/>
  <c r="I78" i="69"/>
  <c r="H277" i="23"/>
  <c r="E277" i="23"/>
  <c r="F277" i="23"/>
  <c r="Q278" i="23"/>
  <c r="G277" i="23"/>
  <c r="D277" i="23"/>
  <c r="S79" i="69"/>
  <c r="M79" i="69" s="1"/>
  <c r="R78" i="69"/>
  <c r="A78" i="69"/>
  <c r="V76" i="69"/>
  <c r="G77" i="69"/>
  <c r="D77" i="69"/>
  <c r="Q77" i="69" s="1"/>
  <c r="E77" i="69"/>
  <c r="F77" i="69"/>
  <c r="C77" i="69" l="1"/>
  <c r="B77" i="69"/>
  <c r="O77" i="69"/>
  <c r="H77" i="69"/>
  <c r="P77" i="69"/>
  <c r="I79" i="69"/>
  <c r="H278" i="23"/>
  <c r="E278" i="23"/>
  <c r="F278" i="23"/>
  <c r="Q279" i="23"/>
  <c r="G278" i="23"/>
  <c r="D278" i="23"/>
  <c r="D78" i="69"/>
  <c r="Q78" i="69" s="1"/>
  <c r="G78" i="69"/>
  <c r="E78" i="69"/>
  <c r="F78" i="69"/>
  <c r="V77" i="69"/>
  <c r="R79" i="69"/>
  <c r="A79" i="69"/>
  <c r="S80" i="69"/>
  <c r="M80" i="69" s="1"/>
  <c r="B78" i="69" l="1"/>
  <c r="C78" i="69"/>
  <c r="P78" i="69"/>
  <c r="O78" i="69"/>
  <c r="H78" i="69"/>
  <c r="I80" i="69"/>
  <c r="H279" i="23"/>
  <c r="E279" i="23"/>
  <c r="F279" i="23"/>
  <c r="Q280" i="23"/>
  <c r="G279" i="23"/>
  <c r="D279" i="23"/>
  <c r="V78" i="69"/>
  <c r="R80" i="69"/>
  <c r="A80" i="69"/>
  <c r="S81" i="69"/>
  <c r="M81" i="69" s="1"/>
  <c r="G79" i="69"/>
  <c r="F79" i="69"/>
  <c r="E79" i="69"/>
  <c r="D79" i="69"/>
  <c r="Q79" i="69" s="1"/>
  <c r="C79" i="69" l="1"/>
  <c r="B79" i="69"/>
  <c r="H79" i="69"/>
  <c r="O79" i="69"/>
  <c r="P79" i="69"/>
  <c r="I81" i="69"/>
  <c r="H280" i="23"/>
  <c r="E280" i="23"/>
  <c r="F280" i="23"/>
  <c r="Q281" i="23"/>
  <c r="G280" i="23"/>
  <c r="D280" i="23"/>
  <c r="V79" i="69"/>
  <c r="E80" i="69"/>
  <c r="D80" i="69"/>
  <c r="Q80" i="69" s="1"/>
  <c r="F80" i="69"/>
  <c r="G80" i="69"/>
  <c r="A81" i="69"/>
  <c r="S82" i="69"/>
  <c r="M82" i="69" s="1"/>
  <c r="R81" i="69"/>
  <c r="B80" i="69" l="1"/>
  <c r="C80" i="69"/>
  <c r="O80" i="69"/>
  <c r="H80" i="69"/>
  <c r="P80" i="69"/>
  <c r="I82" i="69"/>
  <c r="H281" i="23"/>
  <c r="E281" i="23"/>
  <c r="F281" i="23"/>
  <c r="Q282" i="23"/>
  <c r="G281" i="23"/>
  <c r="D281" i="23"/>
  <c r="V80" i="69"/>
  <c r="A82" i="69"/>
  <c r="R82" i="69"/>
  <c r="S83" i="69"/>
  <c r="M83" i="69" s="1"/>
  <c r="F81" i="69"/>
  <c r="E81" i="69"/>
  <c r="G81" i="69"/>
  <c r="D81" i="69"/>
  <c r="Q81" i="69" s="1"/>
  <c r="C81" i="69" l="1"/>
  <c r="B81" i="69"/>
  <c r="O81" i="69"/>
  <c r="H81" i="69"/>
  <c r="P81" i="69"/>
  <c r="I83" i="69"/>
  <c r="H282" i="23"/>
  <c r="E282" i="23"/>
  <c r="F282" i="23"/>
  <c r="Q283" i="23"/>
  <c r="G282" i="23"/>
  <c r="D282" i="23"/>
  <c r="R83" i="69"/>
  <c r="A83" i="69"/>
  <c r="S84" i="69"/>
  <c r="M84" i="69" s="1"/>
  <c r="D82" i="69"/>
  <c r="Q82" i="69" s="1"/>
  <c r="E82" i="69"/>
  <c r="G82" i="69"/>
  <c r="F82" i="69"/>
  <c r="V81" i="69"/>
  <c r="B82" i="69" l="1"/>
  <c r="C82" i="69"/>
  <c r="P82" i="69"/>
  <c r="O82" i="69"/>
  <c r="H82" i="69"/>
  <c r="I84" i="69"/>
  <c r="H283" i="23"/>
  <c r="E283" i="23"/>
  <c r="F283" i="23"/>
  <c r="Q284" i="23"/>
  <c r="G283" i="23"/>
  <c r="D283" i="23"/>
  <c r="V82" i="69"/>
  <c r="S85" i="69"/>
  <c r="M85" i="69" s="1"/>
  <c r="A84" i="69"/>
  <c r="R84" i="69"/>
  <c r="E83" i="69"/>
  <c r="F83" i="69"/>
  <c r="G83" i="69"/>
  <c r="D83" i="69"/>
  <c r="Q83" i="69" s="1"/>
  <c r="B83" i="69" l="1"/>
  <c r="C83" i="69"/>
  <c r="H83" i="69"/>
  <c r="O83" i="69"/>
  <c r="P83" i="69"/>
  <c r="I85" i="69"/>
  <c r="H284" i="23"/>
  <c r="E284" i="23"/>
  <c r="F284" i="23"/>
  <c r="Q285" i="23"/>
  <c r="G284" i="23"/>
  <c r="D284" i="23"/>
  <c r="G84" i="69"/>
  <c r="F84" i="69"/>
  <c r="D84" i="69"/>
  <c r="Q84" i="69" s="1"/>
  <c r="E84" i="69"/>
  <c r="S86" i="69"/>
  <c r="M86" i="69" s="1"/>
  <c r="A85" i="69"/>
  <c r="R85" i="69"/>
  <c r="V83" i="69"/>
  <c r="B84" i="69" l="1"/>
  <c r="C84" i="69"/>
  <c r="O84" i="69"/>
  <c r="H84" i="69"/>
  <c r="P84" i="69"/>
  <c r="I86" i="69"/>
  <c r="H285" i="23"/>
  <c r="E285" i="23"/>
  <c r="F285" i="23"/>
  <c r="Q286" i="23"/>
  <c r="G285" i="23"/>
  <c r="D285" i="23"/>
  <c r="F85" i="69"/>
  <c r="G85" i="69"/>
  <c r="E85" i="69"/>
  <c r="D85" i="69"/>
  <c r="Q85" i="69" s="1"/>
  <c r="S87" i="69"/>
  <c r="M87" i="69" s="1"/>
  <c r="A86" i="69"/>
  <c r="R86" i="69"/>
  <c r="V84" i="69"/>
  <c r="C85" i="69" l="1"/>
  <c r="B85" i="69"/>
  <c r="O85" i="69"/>
  <c r="H85" i="69"/>
  <c r="P85" i="69"/>
  <c r="I87" i="69"/>
  <c r="H286" i="23"/>
  <c r="E286" i="23"/>
  <c r="F286" i="23"/>
  <c r="Q287" i="23"/>
  <c r="G286" i="23"/>
  <c r="D286" i="23"/>
  <c r="S88" i="69"/>
  <c r="M88" i="69" s="1"/>
  <c r="R87" i="69"/>
  <c r="A87" i="69"/>
  <c r="V85" i="69"/>
  <c r="E86" i="69"/>
  <c r="D86" i="69"/>
  <c r="Q86" i="69" s="1"/>
  <c r="F86" i="69"/>
  <c r="G86" i="69"/>
  <c r="B86" i="69" l="1"/>
  <c r="C86" i="69"/>
  <c r="H86" i="69"/>
  <c r="O86" i="69"/>
  <c r="P86" i="69"/>
  <c r="I88" i="69"/>
  <c r="H287" i="23"/>
  <c r="E287" i="23"/>
  <c r="F287" i="23"/>
  <c r="Q288" i="23"/>
  <c r="G287" i="23"/>
  <c r="D287" i="23"/>
  <c r="F87" i="69"/>
  <c r="G87" i="69"/>
  <c r="D87" i="69"/>
  <c r="Q87" i="69" s="1"/>
  <c r="E87" i="69"/>
  <c r="V86" i="69"/>
  <c r="A88" i="69"/>
  <c r="S89" i="69"/>
  <c r="M89" i="69" s="1"/>
  <c r="R88" i="69"/>
  <c r="C87" i="69" l="1"/>
  <c r="B87" i="69"/>
  <c r="H87" i="69"/>
  <c r="O87" i="69"/>
  <c r="P87" i="69"/>
  <c r="I89" i="69"/>
  <c r="H288" i="23"/>
  <c r="E288" i="23"/>
  <c r="F288" i="23"/>
  <c r="Q289" i="23"/>
  <c r="G288" i="23"/>
  <c r="D288" i="23"/>
  <c r="V87" i="69"/>
  <c r="R89" i="69"/>
  <c r="S90" i="69"/>
  <c r="M90" i="69" s="1"/>
  <c r="A89" i="69"/>
  <c r="E88" i="69"/>
  <c r="D88" i="69"/>
  <c r="Q88" i="69" s="1"/>
  <c r="F88" i="69"/>
  <c r="G88" i="69"/>
  <c r="B88" i="69" l="1"/>
  <c r="C88" i="69"/>
  <c r="O88" i="69"/>
  <c r="H88" i="69"/>
  <c r="P88" i="69"/>
  <c r="I90" i="69"/>
  <c r="H289" i="23"/>
  <c r="F289" i="23"/>
  <c r="E289" i="23"/>
  <c r="Q290" i="23"/>
  <c r="G289" i="23"/>
  <c r="D289" i="23"/>
  <c r="R90" i="69"/>
  <c r="S91" i="69"/>
  <c r="M91" i="69" s="1"/>
  <c r="A90" i="69"/>
  <c r="V88" i="69"/>
  <c r="G89" i="69"/>
  <c r="E89" i="69"/>
  <c r="F89" i="69"/>
  <c r="D89" i="69"/>
  <c r="Q89" i="69" s="1"/>
  <c r="C89" i="69" l="1"/>
  <c r="B89" i="69"/>
  <c r="O89" i="69"/>
  <c r="H89" i="69"/>
  <c r="P89" i="69"/>
  <c r="I91" i="69"/>
  <c r="H290" i="23"/>
  <c r="G290" i="23"/>
  <c r="D290" i="23"/>
  <c r="Q291" i="23"/>
  <c r="E290" i="23"/>
  <c r="F290" i="23"/>
  <c r="V89" i="69"/>
  <c r="R91" i="69"/>
  <c r="A91" i="69"/>
  <c r="S92" i="69"/>
  <c r="M92" i="69" s="1"/>
  <c r="D90" i="69"/>
  <c r="Q90" i="69" s="1"/>
  <c r="G90" i="69"/>
  <c r="E90" i="69"/>
  <c r="F90" i="69"/>
  <c r="B90" i="69" l="1"/>
  <c r="C90" i="69"/>
  <c r="P90" i="69"/>
  <c r="O90" i="69"/>
  <c r="H90" i="69"/>
  <c r="I92" i="69"/>
  <c r="H291" i="23"/>
  <c r="G291" i="23"/>
  <c r="D291" i="23"/>
  <c r="Q292" i="23"/>
  <c r="E291" i="23"/>
  <c r="F291" i="23"/>
  <c r="V90" i="69"/>
  <c r="D91" i="69"/>
  <c r="Q91" i="69" s="1"/>
  <c r="G91" i="69"/>
  <c r="F91" i="69"/>
  <c r="E91" i="69"/>
  <c r="S93" i="69"/>
  <c r="M93" i="69" s="1"/>
  <c r="R92" i="69"/>
  <c r="A92" i="69"/>
  <c r="B91" i="69" l="1"/>
  <c r="C91" i="69"/>
  <c r="H91" i="69"/>
  <c r="O91" i="69"/>
  <c r="P91" i="69"/>
  <c r="I93" i="69"/>
  <c r="H292" i="23"/>
  <c r="G292" i="23"/>
  <c r="D292" i="23"/>
  <c r="Q293" i="23"/>
  <c r="E292" i="23"/>
  <c r="F292" i="23"/>
  <c r="D92" i="69"/>
  <c r="Q92" i="69" s="1"/>
  <c r="F92" i="69"/>
  <c r="G92" i="69"/>
  <c r="E92" i="69"/>
  <c r="A93" i="69"/>
  <c r="S94" i="69"/>
  <c r="M94" i="69" s="1"/>
  <c r="R93" i="69"/>
  <c r="V91" i="69"/>
  <c r="B92" i="69" l="1"/>
  <c r="C92" i="69"/>
  <c r="O92" i="69"/>
  <c r="H92" i="69"/>
  <c r="P92" i="69"/>
  <c r="I94" i="69"/>
  <c r="H293" i="23"/>
  <c r="G293" i="23"/>
  <c r="D293" i="23"/>
  <c r="Q294" i="23"/>
  <c r="E293" i="23"/>
  <c r="F293" i="23"/>
  <c r="D93" i="69"/>
  <c r="Q93" i="69" s="1"/>
  <c r="F93" i="69"/>
  <c r="E93" i="69"/>
  <c r="G93" i="69"/>
  <c r="V92" i="69"/>
  <c r="R94" i="69"/>
  <c r="A94" i="69"/>
  <c r="S95" i="69"/>
  <c r="M95" i="69" s="1"/>
  <c r="C93" i="69" l="1"/>
  <c r="B93" i="69"/>
  <c r="O93" i="69"/>
  <c r="H93" i="69"/>
  <c r="P93" i="69"/>
  <c r="I95" i="69"/>
  <c r="H294" i="23"/>
  <c r="G294" i="23"/>
  <c r="D294" i="23"/>
  <c r="Q295" i="23"/>
  <c r="E294" i="23"/>
  <c r="F294" i="23"/>
  <c r="S96" i="69"/>
  <c r="M96" i="69" s="1"/>
  <c r="R95" i="69"/>
  <c r="A95" i="69"/>
  <c r="F94" i="69"/>
  <c r="D94" i="69"/>
  <c r="Q94" i="69" s="1"/>
  <c r="E94" i="69"/>
  <c r="G94" i="69"/>
  <c r="V93" i="69"/>
  <c r="B94" i="69" l="1"/>
  <c r="C94" i="69"/>
  <c r="P94" i="69"/>
  <c r="O94" i="69"/>
  <c r="H94" i="69"/>
  <c r="I96" i="69"/>
  <c r="H295" i="23"/>
  <c r="G295" i="23"/>
  <c r="D295" i="23"/>
  <c r="Q296" i="23"/>
  <c r="E295" i="23"/>
  <c r="F295" i="23"/>
  <c r="R96" i="69"/>
  <c r="S97" i="69"/>
  <c r="M97" i="69" s="1"/>
  <c r="A96" i="69"/>
  <c r="V94" i="69"/>
  <c r="G95" i="69"/>
  <c r="E95" i="69"/>
  <c r="D95" i="69"/>
  <c r="Q95" i="69" s="1"/>
  <c r="F95" i="69"/>
  <c r="C95" i="69" l="1"/>
  <c r="B95" i="69"/>
  <c r="H95" i="69"/>
  <c r="O95" i="69"/>
  <c r="P95" i="69"/>
  <c r="I97" i="69"/>
  <c r="H296" i="23"/>
  <c r="G296" i="23"/>
  <c r="D296" i="23"/>
  <c r="Q297" i="23"/>
  <c r="E296" i="23"/>
  <c r="F296" i="23"/>
  <c r="V95" i="69"/>
  <c r="S98" i="69"/>
  <c r="M98" i="69" s="1"/>
  <c r="R97" i="69"/>
  <c r="A97" i="69"/>
  <c r="E96" i="69"/>
  <c r="D96" i="69"/>
  <c r="Q96" i="69" s="1"/>
  <c r="F96" i="69"/>
  <c r="G96" i="69"/>
  <c r="B96" i="69" l="1"/>
  <c r="C96" i="69"/>
  <c r="O96" i="69"/>
  <c r="H96" i="69"/>
  <c r="P96" i="69"/>
  <c r="I98" i="69"/>
  <c r="H297" i="23"/>
  <c r="G297" i="23"/>
  <c r="D297" i="23"/>
  <c r="Q298" i="23"/>
  <c r="E297" i="23"/>
  <c r="F297" i="23"/>
  <c r="G97" i="69"/>
  <c r="E97" i="69"/>
  <c r="D97" i="69"/>
  <c r="Q97" i="69" s="1"/>
  <c r="F97" i="69"/>
  <c r="V96" i="69"/>
  <c r="A98" i="69"/>
  <c r="R98" i="69"/>
  <c r="S99" i="69"/>
  <c r="M99" i="69" s="1"/>
  <c r="C97" i="69" l="1"/>
  <c r="B97" i="69"/>
  <c r="O97" i="69"/>
  <c r="H97" i="69"/>
  <c r="P97" i="69"/>
  <c r="I99" i="69"/>
  <c r="H298" i="23"/>
  <c r="G298" i="23"/>
  <c r="D298" i="23"/>
  <c r="Q299" i="23"/>
  <c r="E298" i="23"/>
  <c r="F298" i="23"/>
  <c r="S100" i="69"/>
  <c r="M100" i="69" s="1"/>
  <c r="R99" i="69"/>
  <c r="A99" i="69"/>
  <c r="G98" i="69"/>
  <c r="E98" i="69"/>
  <c r="F98" i="69"/>
  <c r="D98" i="69"/>
  <c r="Q98" i="69" s="1"/>
  <c r="V97" i="69"/>
  <c r="B98" i="69" l="1"/>
  <c r="C98" i="69"/>
  <c r="P98" i="69"/>
  <c r="O98" i="69"/>
  <c r="H98" i="69"/>
  <c r="I100" i="69"/>
  <c r="H299" i="23"/>
  <c r="G299" i="23"/>
  <c r="D299" i="23"/>
  <c r="Q300" i="23"/>
  <c r="E299" i="23"/>
  <c r="F299" i="23"/>
  <c r="V98" i="69"/>
  <c r="E99" i="69"/>
  <c r="F99" i="69"/>
  <c r="G99" i="69"/>
  <c r="D99" i="69"/>
  <c r="Q99" i="69" s="1"/>
  <c r="R100" i="69"/>
  <c r="A100" i="69"/>
  <c r="S101" i="69"/>
  <c r="M101" i="69" s="1"/>
  <c r="B99" i="69" l="1"/>
  <c r="C99" i="69"/>
  <c r="P99" i="69"/>
  <c r="H99" i="69"/>
  <c r="O99" i="69"/>
  <c r="I101" i="69"/>
  <c r="H300" i="23"/>
  <c r="G300" i="23"/>
  <c r="D300" i="23"/>
  <c r="Q301" i="23"/>
  <c r="E300" i="23"/>
  <c r="F300" i="23"/>
  <c r="V99" i="69"/>
  <c r="R101" i="69"/>
  <c r="A101" i="69"/>
  <c r="S102" i="69"/>
  <c r="M102" i="69" s="1"/>
  <c r="D100" i="69"/>
  <c r="Q100" i="69" s="1"/>
  <c r="E100" i="69"/>
  <c r="F100" i="69"/>
  <c r="G100" i="69"/>
  <c r="B100" i="69" l="1"/>
  <c r="C100" i="69"/>
  <c r="H100" i="69"/>
  <c r="P100" i="69"/>
  <c r="O100" i="69"/>
  <c r="I102" i="69"/>
  <c r="H301" i="23"/>
  <c r="G301" i="23"/>
  <c r="D301" i="23"/>
  <c r="Q302" i="23"/>
  <c r="E301" i="23"/>
  <c r="F301" i="23"/>
  <c r="V100" i="69"/>
  <c r="S103" i="69"/>
  <c r="M103" i="69" s="1"/>
  <c r="R102" i="69"/>
  <c r="A102" i="69"/>
  <c r="D101" i="69"/>
  <c r="Q101" i="69" s="1"/>
  <c r="F101" i="69"/>
  <c r="E101" i="69"/>
  <c r="G101" i="69"/>
  <c r="C101" i="69" l="1"/>
  <c r="B101" i="69"/>
  <c r="O101" i="69"/>
  <c r="H101" i="69"/>
  <c r="P101" i="69"/>
  <c r="I103" i="69"/>
  <c r="H302" i="23"/>
  <c r="G302" i="23"/>
  <c r="D302" i="23"/>
  <c r="Q303" i="23"/>
  <c r="E302" i="23"/>
  <c r="F302" i="23"/>
  <c r="G102" i="69"/>
  <c r="D102" i="69"/>
  <c r="Q102" i="69" s="1"/>
  <c r="E102" i="69"/>
  <c r="F102" i="69"/>
  <c r="V101" i="69"/>
  <c r="S104" i="69"/>
  <c r="M104" i="69" s="1"/>
  <c r="A103" i="69"/>
  <c r="R103" i="69"/>
  <c r="B102" i="69" l="1"/>
  <c r="C102" i="69"/>
  <c r="H102" i="69"/>
  <c r="O102" i="69"/>
  <c r="P102" i="69"/>
  <c r="I104" i="69"/>
  <c r="H303" i="23"/>
  <c r="G303" i="23"/>
  <c r="D303" i="23"/>
  <c r="Q304" i="23"/>
  <c r="E303" i="23"/>
  <c r="F303" i="23"/>
  <c r="R104" i="69"/>
  <c r="S105" i="69"/>
  <c r="M105" i="69" s="1"/>
  <c r="A104" i="69"/>
  <c r="V102" i="69"/>
  <c r="E103" i="69"/>
  <c r="G103" i="69"/>
  <c r="D103" i="69"/>
  <c r="Q103" i="69" s="1"/>
  <c r="F103" i="69"/>
  <c r="C103" i="69" l="1"/>
  <c r="B103" i="69"/>
  <c r="O103" i="69"/>
  <c r="P103" i="69"/>
  <c r="H103" i="69"/>
  <c r="I105" i="69"/>
  <c r="H304" i="23"/>
  <c r="G304" i="23"/>
  <c r="D304" i="23"/>
  <c r="Q305" i="23"/>
  <c r="E304" i="23"/>
  <c r="F304" i="23"/>
  <c r="S106" i="69"/>
  <c r="M106" i="69" s="1"/>
  <c r="R105" i="69"/>
  <c r="A105" i="69"/>
  <c r="V103" i="69"/>
  <c r="G104" i="69"/>
  <c r="D104" i="69"/>
  <c r="Q104" i="69" s="1"/>
  <c r="E104" i="69"/>
  <c r="F104" i="69"/>
  <c r="B104" i="69" l="1"/>
  <c r="C104" i="69"/>
  <c r="H104" i="69"/>
  <c r="O104" i="69"/>
  <c r="P104" i="69"/>
  <c r="I106" i="69"/>
  <c r="H305" i="23"/>
  <c r="G305" i="23"/>
  <c r="D305" i="23"/>
  <c r="Q306" i="23"/>
  <c r="E305" i="23"/>
  <c r="F305" i="23"/>
  <c r="F105" i="69"/>
  <c r="D105" i="69"/>
  <c r="Q105" i="69" s="1"/>
  <c r="G105" i="69"/>
  <c r="E105" i="69"/>
  <c r="V104" i="69"/>
  <c r="A106" i="69"/>
  <c r="S107" i="69"/>
  <c r="M107" i="69" s="1"/>
  <c r="R106" i="69"/>
  <c r="B105" i="69" l="1"/>
  <c r="C105" i="69"/>
  <c r="O105" i="69"/>
  <c r="H105" i="69"/>
  <c r="P105" i="69"/>
  <c r="I107" i="69"/>
  <c r="H306" i="23"/>
  <c r="G306" i="23"/>
  <c r="D306" i="23"/>
  <c r="Q307" i="23"/>
  <c r="E306" i="23"/>
  <c r="F306" i="23"/>
  <c r="V105" i="69"/>
  <c r="A107" i="69"/>
  <c r="R107" i="69"/>
  <c r="S108" i="69"/>
  <c r="M108" i="69" s="1"/>
  <c r="E106" i="69"/>
  <c r="G106" i="69"/>
  <c r="F106" i="69"/>
  <c r="D106" i="69"/>
  <c r="Q106" i="69" s="1"/>
  <c r="B106" i="69" l="1"/>
  <c r="C106" i="69"/>
  <c r="O106" i="69"/>
  <c r="H106" i="69"/>
  <c r="P106" i="69"/>
  <c r="I108" i="69"/>
  <c r="H307" i="23"/>
  <c r="G307" i="23"/>
  <c r="D307" i="23"/>
  <c r="Q308" i="23"/>
  <c r="E307" i="23"/>
  <c r="F307" i="23"/>
  <c r="F107" i="69"/>
  <c r="E107" i="69"/>
  <c r="D107" i="69"/>
  <c r="Q107" i="69" s="1"/>
  <c r="G107" i="69"/>
  <c r="V106" i="69"/>
  <c r="S109" i="69"/>
  <c r="M109" i="69" s="1"/>
  <c r="A108" i="69"/>
  <c r="R108" i="69"/>
  <c r="B107" i="69" l="1"/>
  <c r="C107" i="69"/>
  <c r="O107" i="69"/>
  <c r="H107" i="69"/>
  <c r="P107" i="69"/>
  <c r="I109" i="69"/>
  <c r="H308" i="23"/>
  <c r="G308" i="23"/>
  <c r="D308" i="23"/>
  <c r="Q309" i="23"/>
  <c r="E308" i="23"/>
  <c r="F308" i="23"/>
  <c r="V107" i="69"/>
  <c r="S110" i="69"/>
  <c r="M110" i="69" s="1"/>
  <c r="A109" i="69"/>
  <c r="R109" i="69"/>
  <c r="G108" i="69"/>
  <c r="F108" i="69"/>
  <c r="D108" i="69"/>
  <c r="Q108" i="69" s="1"/>
  <c r="E108" i="69"/>
  <c r="B108" i="69" l="1"/>
  <c r="C108" i="69"/>
  <c r="P108" i="69"/>
  <c r="O108" i="69"/>
  <c r="H108" i="69"/>
  <c r="I110" i="69"/>
  <c r="H309" i="23"/>
  <c r="G309" i="23"/>
  <c r="D309" i="23"/>
  <c r="Q310" i="23"/>
  <c r="E309" i="23"/>
  <c r="F309" i="23"/>
  <c r="V108" i="69"/>
  <c r="S111" i="69"/>
  <c r="M111" i="69" s="1"/>
  <c r="A110" i="69"/>
  <c r="R110" i="69"/>
  <c r="D109" i="69"/>
  <c r="Q109" i="69" s="1"/>
  <c r="G109" i="69"/>
  <c r="E109" i="69"/>
  <c r="F109" i="69"/>
  <c r="C109" i="69" l="1"/>
  <c r="B109" i="69"/>
  <c r="H109" i="69"/>
  <c r="O109" i="69"/>
  <c r="P109" i="69"/>
  <c r="I111" i="69"/>
  <c r="H310" i="23"/>
  <c r="G310" i="23"/>
  <c r="D310" i="23"/>
  <c r="F310" i="23"/>
  <c r="Q311" i="23"/>
  <c r="E310" i="23"/>
  <c r="A111" i="69"/>
  <c r="S112" i="69"/>
  <c r="M112" i="69" s="1"/>
  <c r="R111" i="69"/>
  <c r="V109" i="69"/>
  <c r="F110" i="69"/>
  <c r="D110" i="69"/>
  <c r="Q110" i="69" s="1"/>
  <c r="G110" i="69"/>
  <c r="E110" i="69"/>
  <c r="B110" i="69" l="1"/>
  <c r="C110" i="69"/>
  <c r="O110" i="69"/>
  <c r="H110" i="69"/>
  <c r="P110" i="69"/>
  <c r="I112" i="69"/>
  <c r="H311" i="23"/>
  <c r="G311" i="23"/>
  <c r="D311" i="23"/>
  <c r="Q312" i="23"/>
  <c r="E311" i="23"/>
  <c r="F311" i="23"/>
  <c r="V110" i="69"/>
  <c r="S113" i="69"/>
  <c r="M113" i="69" s="1"/>
  <c r="R112" i="69"/>
  <c r="A112" i="69"/>
  <c r="F111" i="69"/>
  <c r="G111" i="69"/>
  <c r="D111" i="69"/>
  <c r="Q111" i="69" s="1"/>
  <c r="E111" i="69"/>
  <c r="C111" i="69" l="1"/>
  <c r="B111" i="69"/>
  <c r="O111" i="69"/>
  <c r="H111" i="69"/>
  <c r="P111" i="69"/>
  <c r="I113" i="69"/>
  <c r="H312" i="23"/>
  <c r="G312" i="23"/>
  <c r="D312" i="23"/>
  <c r="Q313" i="23"/>
  <c r="E312" i="23"/>
  <c r="F312" i="23"/>
  <c r="V111" i="69"/>
  <c r="D112" i="69"/>
  <c r="Q112" i="69" s="1"/>
  <c r="G112" i="69"/>
  <c r="F112" i="69"/>
  <c r="E112" i="69"/>
  <c r="S114" i="69"/>
  <c r="M114" i="69" s="1"/>
  <c r="R113" i="69"/>
  <c r="A113" i="69"/>
  <c r="B112" i="69" l="1"/>
  <c r="C112" i="69"/>
  <c r="P112" i="69"/>
  <c r="O112" i="69"/>
  <c r="H112" i="69"/>
  <c r="I114" i="69"/>
  <c r="H313" i="23"/>
  <c r="G313" i="23"/>
  <c r="D313" i="23"/>
  <c r="Q314" i="23"/>
  <c r="E313" i="23"/>
  <c r="F313" i="23"/>
  <c r="V112" i="69"/>
  <c r="D113" i="69"/>
  <c r="Q113" i="69" s="1"/>
  <c r="E113" i="69"/>
  <c r="F113" i="69"/>
  <c r="G113" i="69"/>
  <c r="R114" i="69"/>
  <c r="A114" i="69"/>
  <c r="S115" i="69"/>
  <c r="M115" i="69" s="1"/>
  <c r="B113" i="69" l="1"/>
  <c r="C113" i="69"/>
  <c r="H113" i="69"/>
  <c r="O113" i="69"/>
  <c r="P113" i="69"/>
  <c r="I115" i="69"/>
  <c r="H314" i="23"/>
  <c r="G314" i="23"/>
  <c r="D314" i="23"/>
  <c r="Q315" i="23"/>
  <c r="E314" i="23"/>
  <c r="F314" i="23"/>
  <c r="R115" i="69"/>
  <c r="A115" i="69"/>
  <c r="S116" i="69"/>
  <c r="M116" i="69" s="1"/>
  <c r="F114" i="69"/>
  <c r="E114" i="69"/>
  <c r="D114" i="69"/>
  <c r="Q114" i="69" s="1"/>
  <c r="G114" i="69"/>
  <c r="V113" i="69"/>
  <c r="B114" i="69" l="1"/>
  <c r="C114" i="69"/>
  <c r="O114" i="69"/>
  <c r="H114" i="69"/>
  <c r="P114" i="69"/>
  <c r="I116" i="69"/>
  <c r="H315" i="23"/>
  <c r="G315" i="23"/>
  <c r="D315" i="23"/>
  <c r="Q316" i="23"/>
  <c r="E315" i="23"/>
  <c r="F315" i="23"/>
  <c r="V114" i="69"/>
  <c r="E115" i="69"/>
  <c r="D115" i="69"/>
  <c r="Q115" i="69" s="1"/>
  <c r="F115" i="69"/>
  <c r="G115" i="69"/>
  <c r="S117" i="69"/>
  <c r="M117" i="69" s="1"/>
  <c r="R116" i="69"/>
  <c r="A116" i="69"/>
  <c r="B115" i="69" l="1"/>
  <c r="C115" i="69"/>
  <c r="O115" i="69"/>
  <c r="H115" i="69"/>
  <c r="P115" i="69"/>
  <c r="I117" i="69"/>
  <c r="H316" i="23"/>
  <c r="G316" i="23"/>
  <c r="D316" i="23"/>
  <c r="Q317" i="23"/>
  <c r="E316" i="23"/>
  <c r="F316" i="23"/>
  <c r="V115" i="69"/>
  <c r="A117" i="69"/>
  <c r="R117" i="69"/>
  <c r="S118" i="69"/>
  <c r="M118" i="69" s="1"/>
  <c r="F116" i="69"/>
  <c r="G116" i="69"/>
  <c r="E116" i="69"/>
  <c r="D116" i="69"/>
  <c r="Q116" i="69" s="1"/>
  <c r="B116" i="69" l="1"/>
  <c r="C116" i="69"/>
  <c r="H116" i="69"/>
  <c r="O116" i="69"/>
  <c r="P116" i="69"/>
  <c r="I118" i="69"/>
  <c r="H317" i="23"/>
  <c r="G317" i="23"/>
  <c r="D317" i="23"/>
  <c r="Q318" i="23"/>
  <c r="E317" i="23"/>
  <c r="F317" i="23"/>
  <c r="A118" i="69"/>
  <c r="R118" i="69"/>
  <c r="S119" i="69"/>
  <c r="M119" i="69" s="1"/>
  <c r="V116" i="69"/>
  <c r="D117" i="69"/>
  <c r="Q117" i="69" s="1"/>
  <c r="F117" i="69"/>
  <c r="G117" i="69"/>
  <c r="E117" i="69"/>
  <c r="C117" i="69" l="1"/>
  <c r="B117" i="69"/>
  <c r="H117" i="69"/>
  <c r="O117" i="69"/>
  <c r="P117" i="69"/>
  <c r="I119" i="69"/>
  <c r="H318" i="23"/>
  <c r="G318" i="23"/>
  <c r="D318" i="23"/>
  <c r="Q319" i="23"/>
  <c r="E318" i="23"/>
  <c r="F318" i="23"/>
  <c r="V117" i="69"/>
  <c r="R119" i="69"/>
  <c r="S120" i="69"/>
  <c r="M120" i="69" s="1"/>
  <c r="A119" i="69"/>
  <c r="F118" i="69"/>
  <c r="D118" i="69"/>
  <c r="Q118" i="69" s="1"/>
  <c r="E118" i="69"/>
  <c r="G118" i="69"/>
  <c r="B118" i="69" l="1"/>
  <c r="C118" i="69"/>
  <c r="O118" i="69"/>
  <c r="H118" i="69"/>
  <c r="P118" i="69"/>
  <c r="I120" i="69"/>
  <c r="H319" i="23"/>
  <c r="G319" i="23"/>
  <c r="D319" i="23"/>
  <c r="Q320" i="23"/>
  <c r="E319" i="23"/>
  <c r="F319" i="23"/>
  <c r="V118" i="69"/>
  <c r="R120" i="69"/>
  <c r="S121" i="69"/>
  <c r="M121" i="69" s="1"/>
  <c r="A120" i="69"/>
  <c r="E119" i="69"/>
  <c r="F119" i="69"/>
  <c r="G119" i="69"/>
  <c r="D119" i="69"/>
  <c r="Q119" i="69" s="1"/>
  <c r="C119" i="69" l="1"/>
  <c r="B119" i="69"/>
  <c r="O119" i="69"/>
  <c r="H119" i="69"/>
  <c r="P119" i="69"/>
  <c r="I121" i="69"/>
  <c r="H320" i="23"/>
  <c r="G320" i="23"/>
  <c r="D320" i="23"/>
  <c r="Q321" i="23"/>
  <c r="E320" i="23"/>
  <c r="F320" i="23"/>
  <c r="S122" i="69"/>
  <c r="M122" i="69" s="1"/>
  <c r="A121" i="69"/>
  <c r="R121" i="69"/>
  <c r="G120" i="69"/>
  <c r="D120" i="69"/>
  <c r="Q120" i="69" s="1"/>
  <c r="F120" i="69"/>
  <c r="E120" i="69"/>
  <c r="V119" i="69"/>
  <c r="B120" i="69" l="1"/>
  <c r="C120" i="69"/>
  <c r="P120" i="69"/>
  <c r="O120" i="69"/>
  <c r="H120" i="69"/>
  <c r="I122" i="69"/>
  <c r="H321" i="23"/>
  <c r="G321" i="23"/>
  <c r="D321" i="23"/>
  <c r="Q322" i="23"/>
  <c r="E321" i="23"/>
  <c r="F321" i="23"/>
  <c r="V120" i="69"/>
  <c r="A122" i="69"/>
  <c r="S123" i="69"/>
  <c r="M123" i="69" s="1"/>
  <c r="R122" i="69"/>
  <c r="D121" i="69"/>
  <c r="Q121" i="69" s="1"/>
  <c r="G121" i="69"/>
  <c r="E121" i="69"/>
  <c r="F121" i="69"/>
  <c r="B121" i="69" l="1"/>
  <c r="C121" i="69"/>
  <c r="H121" i="69"/>
  <c r="O121" i="69"/>
  <c r="P121" i="69"/>
  <c r="I123" i="69"/>
  <c r="H322" i="23"/>
  <c r="G322" i="23"/>
  <c r="D322" i="23"/>
  <c r="Q323" i="23"/>
  <c r="E322" i="23"/>
  <c r="F322" i="23"/>
  <c r="V121" i="69"/>
  <c r="D122" i="69"/>
  <c r="Q122" i="69" s="1"/>
  <c r="G122" i="69"/>
  <c r="F122" i="69"/>
  <c r="E122" i="69"/>
  <c r="S124" i="69"/>
  <c r="M124" i="69" s="1"/>
  <c r="A123" i="69"/>
  <c r="R123" i="69"/>
  <c r="C122" i="69" l="1"/>
  <c r="B122" i="69"/>
  <c r="O122" i="69"/>
  <c r="H122" i="69"/>
  <c r="P122" i="69"/>
  <c r="I124" i="69"/>
  <c r="H323" i="23"/>
  <c r="G323" i="23"/>
  <c r="D323" i="23"/>
  <c r="Q324" i="23"/>
  <c r="E323" i="23"/>
  <c r="F323" i="23"/>
  <c r="R124" i="69"/>
  <c r="S125" i="69"/>
  <c r="M125" i="69" s="1"/>
  <c r="A124" i="69"/>
  <c r="E123" i="69"/>
  <c r="G123" i="69"/>
  <c r="D123" i="69"/>
  <c r="Q123" i="69" s="1"/>
  <c r="F123" i="69"/>
  <c r="V122" i="69"/>
  <c r="C123" i="69" l="1"/>
  <c r="B123" i="69"/>
  <c r="O123" i="69"/>
  <c r="H123" i="69"/>
  <c r="P123" i="69"/>
  <c r="I125" i="69"/>
  <c r="H324" i="23"/>
  <c r="G324" i="23"/>
  <c r="D324" i="23"/>
  <c r="Q325" i="23"/>
  <c r="E324" i="23"/>
  <c r="F324" i="23"/>
  <c r="A125" i="69"/>
  <c r="S126" i="69"/>
  <c r="M126" i="69" s="1"/>
  <c r="R125" i="69"/>
  <c r="V123" i="69"/>
  <c r="E124" i="69"/>
  <c r="D124" i="69"/>
  <c r="Q124" i="69" s="1"/>
  <c r="G124" i="69"/>
  <c r="F124" i="69"/>
  <c r="C124" i="69" l="1"/>
  <c r="B124" i="69"/>
  <c r="P124" i="69"/>
  <c r="O124" i="69"/>
  <c r="H124" i="69"/>
  <c r="I126" i="69"/>
  <c r="H325" i="23"/>
  <c r="G325" i="23"/>
  <c r="D325" i="23"/>
  <c r="Q326" i="23"/>
  <c r="E325" i="23"/>
  <c r="F325" i="23"/>
  <c r="V124" i="69"/>
  <c r="G125" i="69"/>
  <c r="F125" i="69"/>
  <c r="E125" i="69"/>
  <c r="D125" i="69"/>
  <c r="Q125" i="69" s="1"/>
  <c r="R126" i="69"/>
  <c r="S127" i="69"/>
  <c r="M127" i="69" s="1"/>
  <c r="A126" i="69"/>
  <c r="C125" i="69" l="1"/>
  <c r="B125" i="69"/>
  <c r="H125" i="69"/>
  <c r="O125" i="69"/>
  <c r="P125" i="69"/>
  <c r="I127" i="69"/>
  <c r="H326" i="23"/>
  <c r="G326" i="23"/>
  <c r="D326" i="23"/>
  <c r="Q327" i="23"/>
  <c r="E326" i="23"/>
  <c r="F326" i="23"/>
  <c r="V125" i="69"/>
  <c r="S128" i="69"/>
  <c r="M128" i="69" s="1"/>
  <c r="R127" i="69"/>
  <c r="A127" i="69"/>
  <c r="F126" i="69"/>
  <c r="D126" i="69"/>
  <c r="Q126" i="69" s="1"/>
  <c r="E126" i="69"/>
  <c r="G126" i="69"/>
  <c r="C126" i="69" l="1"/>
  <c r="B126" i="69"/>
  <c r="O126" i="69"/>
  <c r="H126" i="69"/>
  <c r="P126" i="69"/>
  <c r="I128" i="69"/>
  <c r="H327" i="23"/>
  <c r="G327" i="23"/>
  <c r="D327" i="23"/>
  <c r="Q328" i="23"/>
  <c r="E327" i="23"/>
  <c r="F327" i="23"/>
  <c r="G127" i="69"/>
  <c r="F127" i="69"/>
  <c r="D127" i="69"/>
  <c r="Q127" i="69" s="1"/>
  <c r="E127" i="69"/>
  <c r="V126" i="69"/>
  <c r="R128" i="69"/>
  <c r="A128" i="69"/>
  <c r="S129" i="69"/>
  <c r="M129" i="69" s="1"/>
  <c r="C127" i="69" l="1"/>
  <c r="B127" i="69"/>
  <c r="O127" i="69"/>
  <c r="H127" i="69"/>
  <c r="P127" i="69"/>
  <c r="I129" i="69"/>
  <c r="H328" i="23"/>
  <c r="G328" i="23"/>
  <c r="D328" i="23"/>
  <c r="Q329" i="23"/>
  <c r="E328" i="23"/>
  <c r="F328" i="23"/>
  <c r="V127" i="69"/>
  <c r="D128" i="69"/>
  <c r="Q128" i="69" s="1"/>
  <c r="F128" i="69"/>
  <c r="E128" i="69"/>
  <c r="G128" i="69"/>
  <c r="S130" i="69"/>
  <c r="M130" i="69" s="1"/>
  <c r="A129" i="69"/>
  <c r="R129" i="69"/>
  <c r="C128" i="69" l="1"/>
  <c r="B128" i="69"/>
  <c r="P128" i="69"/>
  <c r="O128" i="69"/>
  <c r="H128" i="69"/>
  <c r="I130" i="69"/>
  <c r="H329" i="23"/>
  <c r="G329" i="23"/>
  <c r="D329" i="23"/>
  <c r="Q330" i="23"/>
  <c r="E329" i="23"/>
  <c r="F329" i="23"/>
  <c r="D129" i="69"/>
  <c r="Q129" i="69" s="1"/>
  <c r="F129" i="69"/>
  <c r="G129" i="69"/>
  <c r="E129" i="69"/>
  <c r="A130" i="69"/>
  <c r="R130" i="69"/>
  <c r="S131" i="69"/>
  <c r="M131" i="69" s="1"/>
  <c r="V128" i="69"/>
  <c r="B129" i="69" l="1"/>
  <c r="C129" i="69"/>
  <c r="H129" i="69"/>
  <c r="O129" i="69"/>
  <c r="P129" i="69"/>
  <c r="I131" i="69"/>
  <c r="H330" i="23"/>
  <c r="G330" i="23"/>
  <c r="D330" i="23"/>
  <c r="Q331" i="23"/>
  <c r="E330" i="23"/>
  <c r="F330" i="23"/>
  <c r="S132" i="69"/>
  <c r="M132" i="69" s="1"/>
  <c r="A131" i="69"/>
  <c r="R131" i="69"/>
  <c r="E130" i="69"/>
  <c r="D130" i="69"/>
  <c r="Q130" i="69" s="1"/>
  <c r="G130" i="69"/>
  <c r="F130" i="69"/>
  <c r="V129" i="69"/>
  <c r="C130" i="69" l="1"/>
  <c r="B130" i="69"/>
  <c r="O130" i="69"/>
  <c r="H130" i="69"/>
  <c r="P130" i="69"/>
  <c r="I132" i="69"/>
  <c r="H331" i="23"/>
  <c r="G331" i="23"/>
  <c r="D331" i="23"/>
  <c r="Q332" i="23"/>
  <c r="E331" i="23"/>
  <c r="F331" i="23"/>
  <c r="V130" i="69"/>
  <c r="S133" i="69"/>
  <c r="M133" i="69" s="1"/>
  <c r="R132" i="69"/>
  <c r="A132" i="69"/>
  <c r="F131" i="69"/>
  <c r="G131" i="69"/>
  <c r="D131" i="69"/>
  <c r="Q131" i="69" s="1"/>
  <c r="E131" i="69"/>
  <c r="C131" i="69" l="1"/>
  <c r="B131" i="69"/>
  <c r="O131" i="69"/>
  <c r="H131" i="69"/>
  <c r="P131" i="69"/>
  <c r="I133" i="69"/>
  <c r="H332" i="23"/>
  <c r="G332" i="23"/>
  <c r="D332" i="23"/>
  <c r="Q333" i="23"/>
  <c r="E332" i="23"/>
  <c r="F332" i="23"/>
  <c r="V131" i="69"/>
  <c r="R133" i="69"/>
  <c r="A133" i="69"/>
  <c r="S134" i="69"/>
  <c r="M134" i="69" s="1"/>
  <c r="F132" i="69"/>
  <c r="E132" i="69"/>
  <c r="D132" i="69"/>
  <c r="Q132" i="69" s="1"/>
  <c r="G132" i="69"/>
  <c r="C132" i="69" l="1"/>
  <c r="B132" i="69"/>
  <c r="H132" i="69"/>
  <c r="O132" i="69"/>
  <c r="P132" i="69"/>
  <c r="I134" i="69"/>
  <c r="H333" i="23"/>
  <c r="G333" i="23"/>
  <c r="D333" i="23"/>
  <c r="Q334" i="23"/>
  <c r="E333" i="23"/>
  <c r="F333" i="23"/>
  <c r="F133" i="69"/>
  <c r="E133" i="69"/>
  <c r="D133" i="69"/>
  <c r="Q133" i="69" s="1"/>
  <c r="G133" i="69"/>
  <c r="R134" i="69"/>
  <c r="S135" i="69"/>
  <c r="M135" i="69" s="1"/>
  <c r="A134" i="69"/>
  <c r="V132" i="69"/>
  <c r="C133" i="69" l="1"/>
  <c r="B133" i="69"/>
  <c r="H133" i="69"/>
  <c r="O133" i="69"/>
  <c r="P133" i="69"/>
  <c r="I135" i="69"/>
  <c r="H334" i="23"/>
  <c r="G334" i="23"/>
  <c r="D334" i="23"/>
  <c r="Q335" i="23"/>
  <c r="E334" i="23"/>
  <c r="F334" i="23"/>
  <c r="S136" i="69"/>
  <c r="M136" i="69" s="1"/>
  <c r="R135" i="69"/>
  <c r="A135" i="69"/>
  <c r="V133" i="69"/>
  <c r="F134" i="69"/>
  <c r="G134" i="69"/>
  <c r="D134" i="69"/>
  <c r="Q134" i="69" s="1"/>
  <c r="E134" i="69"/>
  <c r="C134" i="69" l="1"/>
  <c r="B134" i="69"/>
  <c r="O134" i="69"/>
  <c r="H134" i="69"/>
  <c r="P134" i="69"/>
  <c r="I136" i="69"/>
  <c r="H335" i="23"/>
  <c r="G335" i="23"/>
  <c r="D335" i="23"/>
  <c r="F335" i="23"/>
  <c r="Q336" i="23"/>
  <c r="E335" i="23"/>
  <c r="V134" i="69"/>
  <c r="F135" i="69"/>
  <c r="E135" i="69"/>
  <c r="D135" i="69"/>
  <c r="Q135" i="69" s="1"/>
  <c r="G135" i="69"/>
  <c r="S137" i="69"/>
  <c r="M137" i="69" s="1"/>
  <c r="A136" i="69"/>
  <c r="R136" i="69"/>
  <c r="C135" i="69" l="1"/>
  <c r="B135" i="69"/>
  <c r="O135" i="69"/>
  <c r="H135" i="69"/>
  <c r="P135" i="69"/>
  <c r="I137" i="69"/>
  <c r="H336" i="23"/>
  <c r="G336" i="23"/>
  <c r="D336" i="23"/>
  <c r="Q337" i="23"/>
  <c r="E336" i="23"/>
  <c r="F336" i="23"/>
  <c r="V135" i="69"/>
  <c r="R137" i="69"/>
  <c r="S138" i="69"/>
  <c r="M138" i="69" s="1"/>
  <c r="A137" i="69"/>
  <c r="F136" i="69"/>
  <c r="G136" i="69"/>
  <c r="D136" i="69"/>
  <c r="Q136" i="69" s="1"/>
  <c r="E136" i="69"/>
  <c r="C136" i="69" l="1"/>
  <c r="B136" i="69"/>
  <c r="P136" i="69"/>
  <c r="O136" i="69"/>
  <c r="H136" i="69"/>
  <c r="I138" i="69"/>
  <c r="H337" i="23"/>
  <c r="G337" i="23"/>
  <c r="D337" i="23"/>
  <c r="Q338" i="23"/>
  <c r="E337" i="23"/>
  <c r="F337" i="23"/>
  <c r="E137" i="69"/>
  <c r="G137" i="69"/>
  <c r="D137" i="69"/>
  <c r="Q137" i="69" s="1"/>
  <c r="F137" i="69"/>
  <c r="V136" i="69"/>
  <c r="A138" i="69"/>
  <c r="R138" i="69"/>
  <c r="S139" i="69"/>
  <c r="M139" i="69" s="1"/>
  <c r="B137" i="69" l="1"/>
  <c r="C137" i="69"/>
  <c r="H137" i="69"/>
  <c r="O137" i="69"/>
  <c r="P137" i="69"/>
  <c r="I139" i="69"/>
  <c r="H338" i="23"/>
  <c r="G338" i="23"/>
  <c r="D338" i="23"/>
  <c r="Q339" i="23"/>
  <c r="E338" i="23"/>
  <c r="F338" i="23"/>
  <c r="F138" i="69"/>
  <c r="G138" i="69"/>
  <c r="D138" i="69"/>
  <c r="Q138" i="69" s="1"/>
  <c r="E138" i="69"/>
  <c r="V137" i="69"/>
  <c r="S140" i="69"/>
  <c r="M140" i="69" s="1"/>
  <c r="R139" i="69"/>
  <c r="A139" i="69"/>
  <c r="C138" i="69" l="1"/>
  <c r="B138" i="69"/>
  <c r="O138" i="69"/>
  <c r="H138" i="69"/>
  <c r="P138" i="69"/>
  <c r="I140" i="69"/>
  <c r="H339" i="23"/>
  <c r="G339" i="23"/>
  <c r="D339" i="23"/>
  <c r="Q340" i="23"/>
  <c r="E339" i="23"/>
  <c r="F339" i="23"/>
  <c r="E139" i="69"/>
  <c r="D139" i="69"/>
  <c r="Q139" i="69" s="1"/>
  <c r="G139" i="69"/>
  <c r="F139" i="69"/>
  <c r="V138" i="69"/>
  <c r="R140" i="69"/>
  <c r="S141" i="69"/>
  <c r="M141" i="69" s="1"/>
  <c r="A140" i="69"/>
  <c r="C139" i="69" l="1"/>
  <c r="B139" i="69"/>
  <c r="O139" i="69"/>
  <c r="H139" i="69"/>
  <c r="P139" i="69"/>
  <c r="I141" i="69"/>
  <c r="H340" i="23"/>
  <c r="G340" i="23"/>
  <c r="D340" i="23"/>
  <c r="Q341" i="23"/>
  <c r="E340" i="23"/>
  <c r="F340" i="23"/>
  <c r="R141" i="69"/>
  <c r="S142" i="69"/>
  <c r="M142" i="69" s="1"/>
  <c r="A141" i="69"/>
  <c r="V139" i="69"/>
  <c r="D140" i="69"/>
  <c r="Q140" i="69" s="1"/>
  <c r="E140" i="69"/>
  <c r="F140" i="69"/>
  <c r="G140" i="69"/>
  <c r="C140" i="69" l="1"/>
  <c r="B140" i="69"/>
  <c r="P140" i="69"/>
  <c r="O140" i="69"/>
  <c r="H140" i="69"/>
  <c r="I142" i="69"/>
  <c r="H341" i="23"/>
  <c r="G341" i="23"/>
  <c r="D341" i="23"/>
  <c r="Q342" i="23"/>
  <c r="E341" i="23"/>
  <c r="F341" i="23"/>
  <c r="V140" i="69"/>
  <c r="R142" i="69"/>
  <c r="A142" i="69"/>
  <c r="S143" i="69"/>
  <c r="M143" i="69" s="1"/>
  <c r="E141" i="69"/>
  <c r="G141" i="69"/>
  <c r="F141" i="69"/>
  <c r="D141" i="69"/>
  <c r="Q141" i="69" s="1"/>
  <c r="B141" i="69" l="1"/>
  <c r="C141" i="69"/>
  <c r="H141" i="69"/>
  <c r="O141" i="69"/>
  <c r="P141" i="69"/>
  <c r="I143" i="69"/>
  <c r="H342" i="23"/>
  <c r="G342" i="23"/>
  <c r="D342" i="23"/>
  <c r="Q343" i="23"/>
  <c r="E342" i="23"/>
  <c r="F342" i="23"/>
  <c r="E142" i="69"/>
  <c r="F142" i="69"/>
  <c r="G142" i="69"/>
  <c r="D142" i="69"/>
  <c r="Q142" i="69" s="1"/>
  <c r="V141" i="69"/>
  <c r="R143" i="69"/>
  <c r="A143" i="69"/>
  <c r="S144" i="69"/>
  <c r="M144" i="69" s="1"/>
  <c r="C142" i="69" l="1"/>
  <c r="B142" i="69"/>
  <c r="H142" i="69"/>
  <c r="P142" i="69"/>
  <c r="O142" i="69"/>
  <c r="I144" i="69"/>
  <c r="H343" i="23"/>
  <c r="G343" i="23"/>
  <c r="D343" i="23"/>
  <c r="Q344" i="23"/>
  <c r="E343" i="23"/>
  <c r="F343" i="23"/>
  <c r="S145" i="69"/>
  <c r="M145" i="69" s="1"/>
  <c r="A144" i="69"/>
  <c r="R144" i="69"/>
  <c r="F143" i="69"/>
  <c r="D143" i="69"/>
  <c r="Q143" i="69" s="1"/>
  <c r="G143" i="69"/>
  <c r="E143" i="69"/>
  <c r="V142" i="69"/>
  <c r="C143" i="69" l="1"/>
  <c r="B143" i="69"/>
  <c r="O143" i="69"/>
  <c r="H143" i="69"/>
  <c r="P143" i="69"/>
  <c r="I145" i="69"/>
  <c r="H344" i="23"/>
  <c r="G344" i="23"/>
  <c r="D344" i="23"/>
  <c r="Q345" i="23"/>
  <c r="E344" i="23"/>
  <c r="F344" i="23"/>
  <c r="G144" i="69"/>
  <c r="E144" i="69"/>
  <c r="D144" i="69"/>
  <c r="Q144" i="69" s="1"/>
  <c r="F144" i="69"/>
  <c r="V143" i="69"/>
  <c r="S146" i="69"/>
  <c r="M146" i="69" s="1"/>
  <c r="R145" i="69"/>
  <c r="A145" i="69"/>
  <c r="C144" i="69" l="1"/>
  <c r="B144" i="69"/>
  <c r="H144" i="69"/>
  <c r="O144" i="69"/>
  <c r="P144" i="69"/>
  <c r="I146" i="69"/>
  <c r="H345" i="23"/>
  <c r="G345" i="23"/>
  <c r="D345" i="23"/>
  <c r="Q346" i="23"/>
  <c r="E345" i="23"/>
  <c r="F345" i="23"/>
  <c r="R146" i="69"/>
  <c r="A146" i="69"/>
  <c r="S147" i="69"/>
  <c r="M147" i="69" s="1"/>
  <c r="V144" i="69"/>
  <c r="E145" i="69"/>
  <c r="F145" i="69"/>
  <c r="G145" i="69"/>
  <c r="D145" i="69"/>
  <c r="Q145" i="69" s="1"/>
  <c r="C145" i="69" l="1"/>
  <c r="B145" i="69"/>
  <c r="H145" i="69"/>
  <c r="O145" i="69"/>
  <c r="P145" i="69"/>
  <c r="I147" i="69"/>
  <c r="H346" i="23"/>
  <c r="G346" i="23"/>
  <c r="D346" i="23"/>
  <c r="Q347" i="23"/>
  <c r="E346" i="23"/>
  <c r="F346" i="23"/>
  <c r="D146" i="69"/>
  <c r="Q146" i="69" s="1"/>
  <c r="F146" i="69"/>
  <c r="G146" i="69"/>
  <c r="E146" i="69"/>
  <c r="S148" i="69"/>
  <c r="M148" i="69" s="1"/>
  <c r="R147" i="69"/>
  <c r="A147" i="69"/>
  <c r="V145" i="69"/>
  <c r="C146" i="69" l="1"/>
  <c r="B146" i="69"/>
  <c r="O146" i="69"/>
  <c r="H146" i="69"/>
  <c r="P146" i="69"/>
  <c r="I148" i="69"/>
  <c r="H347" i="23"/>
  <c r="G347" i="23"/>
  <c r="D347" i="23"/>
  <c r="Q348" i="23"/>
  <c r="E347" i="23"/>
  <c r="F347" i="23"/>
  <c r="G147" i="69"/>
  <c r="D147" i="69"/>
  <c r="Q147" i="69" s="1"/>
  <c r="F147" i="69"/>
  <c r="E147" i="69"/>
  <c r="S149" i="69"/>
  <c r="M149" i="69" s="1"/>
  <c r="A148" i="69"/>
  <c r="R148" i="69"/>
  <c r="V146" i="69"/>
  <c r="C147" i="69" l="1"/>
  <c r="B147" i="69"/>
  <c r="O147" i="69"/>
  <c r="H147" i="69"/>
  <c r="P147" i="69"/>
  <c r="I149" i="69"/>
  <c r="H348" i="23"/>
  <c r="G348" i="23"/>
  <c r="D348" i="23"/>
  <c r="Q349" i="23"/>
  <c r="E348" i="23"/>
  <c r="F348" i="23"/>
  <c r="S150" i="69"/>
  <c r="M150" i="69" s="1"/>
  <c r="R149" i="69"/>
  <c r="A149" i="69"/>
  <c r="E148" i="69"/>
  <c r="F148" i="69"/>
  <c r="D148" i="69"/>
  <c r="Q148" i="69" s="1"/>
  <c r="G148" i="69"/>
  <c r="V147" i="69"/>
  <c r="C148" i="69" l="1"/>
  <c r="B148" i="69"/>
  <c r="H148" i="69"/>
  <c r="O148" i="69"/>
  <c r="P148" i="69"/>
  <c r="I150" i="69"/>
  <c r="H349" i="23"/>
  <c r="G349" i="23"/>
  <c r="D349" i="23"/>
  <c r="Q350" i="23"/>
  <c r="E349" i="23"/>
  <c r="F349" i="23"/>
  <c r="V148" i="69"/>
  <c r="G149" i="69"/>
  <c r="D149" i="69"/>
  <c r="Q149" i="69" s="1"/>
  <c r="F149" i="69"/>
  <c r="E149" i="69"/>
  <c r="R150" i="69"/>
  <c r="S151" i="69"/>
  <c r="M151" i="69" s="1"/>
  <c r="A150" i="69"/>
  <c r="B149" i="69" l="1"/>
  <c r="C149" i="69"/>
  <c r="H149" i="69"/>
  <c r="O149" i="69"/>
  <c r="P149" i="69"/>
  <c r="I151" i="69"/>
  <c r="H350" i="23"/>
  <c r="D350" i="23"/>
  <c r="E350" i="23"/>
  <c r="F350" i="23"/>
  <c r="G350" i="23"/>
  <c r="A151" i="69"/>
  <c r="R151" i="69"/>
  <c r="S152" i="69"/>
  <c r="M152" i="69" s="1"/>
  <c r="F150" i="69"/>
  <c r="G150" i="69"/>
  <c r="D150" i="69"/>
  <c r="Q150" i="69" s="1"/>
  <c r="E150" i="69"/>
  <c r="V149" i="69"/>
  <c r="C150" i="69" l="1"/>
  <c r="B150" i="69"/>
  <c r="O150" i="69"/>
  <c r="H150" i="69"/>
  <c r="P150" i="69"/>
  <c r="I152" i="69"/>
  <c r="R152" i="69"/>
  <c r="A152" i="69"/>
  <c r="S153" i="69"/>
  <c r="M153" i="69" s="1"/>
  <c r="V150" i="69"/>
  <c r="F151" i="69"/>
  <c r="G151" i="69"/>
  <c r="D151" i="69"/>
  <c r="Q151" i="69" s="1"/>
  <c r="E151" i="69"/>
  <c r="C151" i="69" l="1"/>
  <c r="B151" i="69"/>
  <c r="O151" i="69"/>
  <c r="H151" i="69"/>
  <c r="P151" i="69"/>
  <c r="I153" i="69"/>
  <c r="V151" i="69"/>
  <c r="S154" i="69"/>
  <c r="M154" i="69" s="1"/>
  <c r="R153" i="69"/>
  <c r="A153" i="69"/>
  <c r="D152" i="69"/>
  <c r="Q152" i="69" s="1"/>
  <c r="E152" i="69"/>
  <c r="G152" i="69"/>
  <c r="F152" i="69"/>
  <c r="C152" i="69" l="1"/>
  <c r="B152" i="69"/>
  <c r="P152" i="69"/>
  <c r="O152" i="69"/>
  <c r="H152" i="69"/>
  <c r="I154" i="69"/>
  <c r="A154" i="69"/>
  <c r="S155" i="69"/>
  <c r="M155" i="69" s="1"/>
  <c r="R154" i="69"/>
  <c r="F153" i="69"/>
  <c r="E153" i="69"/>
  <c r="D153" i="69"/>
  <c r="Q153" i="69" s="1"/>
  <c r="G153" i="69"/>
  <c r="V152" i="69"/>
  <c r="B153" i="69" l="1"/>
  <c r="C153" i="69"/>
  <c r="H153" i="69"/>
  <c r="O153" i="69"/>
  <c r="P153" i="69"/>
  <c r="I155" i="69"/>
  <c r="R155" i="69"/>
  <c r="S156" i="69"/>
  <c r="M156" i="69" s="1"/>
  <c r="A155" i="69"/>
  <c r="D154" i="69"/>
  <c r="Q154" i="69" s="1"/>
  <c r="G154" i="69"/>
  <c r="E154" i="69"/>
  <c r="F154" i="69"/>
  <c r="V153" i="69"/>
  <c r="C154" i="69" l="1"/>
  <c r="B154" i="69"/>
  <c r="O154" i="69"/>
  <c r="H154" i="69"/>
  <c r="P154" i="69"/>
  <c r="I156" i="69"/>
  <c r="R156" i="69"/>
  <c r="A156" i="69"/>
  <c r="S157" i="69"/>
  <c r="M157" i="69" s="1"/>
  <c r="V154" i="69"/>
  <c r="D155" i="69"/>
  <c r="Q155" i="69" s="1"/>
  <c r="G155" i="69"/>
  <c r="F155" i="69"/>
  <c r="E155" i="69"/>
  <c r="C155" i="69" l="1"/>
  <c r="B155" i="69"/>
  <c r="O155" i="69"/>
  <c r="H155" i="69"/>
  <c r="P155" i="69"/>
  <c r="I157" i="69"/>
  <c r="R157" i="69"/>
  <c r="A157" i="69"/>
  <c r="S158" i="69"/>
  <c r="M158" i="69" s="1"/>
  <c r="V155" i="69"/>
  <c r="E156" i="69"/>
  <c r="D156" i="69"/>
  <c r="Q156" i="69" s="1"/>
  <c r="F156" i="69"/>
  <c r="G156" i="69"/>
  <c r="C156" i="69" l="1"/>
  <c r="B156" i="69"/>
  <c r="O156" i="69"/>
  <c r="P156" i="69"/>
  <c r="H156" i="69"/>
  <c r="I158" i="69"/>
  <c r="V156" i="69"/>
  <c r="S159" i="69"/>
  <c r="M159" i="69" s="1"/>
  <c r="A158" i="69"/>
  <c r="R158" i="69"/>
  <c r="D157" i="69"/>
  <c r="Q157" i="69" s="1"/>
  <c r="E157" i="69"/>
  <c r="G157" i="69"/>
  <c r="F157" i="69"/>
  <c r="C157" i="69" l="1"/>
  <c r="B157" i="69"/>
  <c r="O157" i="69"/>
  <c r="P157" i="69"/>
  <c r="H157" i="69"/>
  <c r="I159" i="69"/>
  <c r="V157" i="69"/>
  <c r="G158" i="69"/>
  <c r="D158" i="69"/>
  <c r="Q158" i="69" s="1"/>
  <c r="F158" i="69"/>
  <c r="E158" i="69"/>
  <c r="S160" i="69"/>
  <c r="M160" i="69" s="1"/>
  <c r="A159" i="69"/>
  <c r="R159" i="69"/>
  <c r="C158" i="69" l="1"/>
  <c r="B158" i="69"/>
  <c r="H158" i="69"/>
  <c r="O158" i="69"/>
  <c r="P158" i="69"/>
  <c r="I160" i="69"/>
  <c r="V158" i="69"/>
  <c r="D159" i="69"/>
  <c r="Q159" i="69" s="1"/>
  <c r="E159" i="69"/>
  <c r="G159" i="69"/>
  <c r="F159" i="69"/>
  <c r="R160" i="69"/>
  <c r="A160" i="69"/>
  <c r="S161" i="69"/>
  <c r="M161" i="69" s="1"/>
  <c r="C159" i="69" l="1"/>
  <c r="B159" i="69"/>
  <c r="H159" i="69"/>
  <c r="O159" i="69"/>
  <c r="P159" i="69"/>
  <c r="I161" i="69"/>
  <c r="R161" i="69"/>
  <c r="A161" i="69"/>
  <c r="S162" i="69"/>
  <c r="M162" i="69" s="1"/>
  <c r="F160" i="69"/>
  <c r="E160" i="69"/>
  <c r="D160" i="69"/>
  <c r="Q160" i="69" s="1"/>
  <c r="G160" i="69"/>
  <c r="V159" i="69"/>
  <c r="C160" i="69" l="1"/>
  <c r="B160" i="69"/>
  <c r="O160" i="69"/>
  <c r="H160" i="69"/>
  <c r="P160" i="69"/>
  <c r="I162" i="69"/>
  <c r="V160" i="69"/>
  <c r="R162" i="69"/>
  <c r="A162" i="69"/>
  <c r="S163" i="69"/>
  <c r="M163" i="69" s="1"/>
  <c r="D161" i="69"/>
  <c r="Q161" i="69" s="1"/>
  <c r="G161" i="69"/>
  <c r="E161" i="69"/>
  <c r="F161" i="69"/>
  <c r="B161" i="69" l="1"/>
  <c r="C161" i="69"/>
  <c r="P161" i="69"/>
  <c r="H161" i="69"/>
  <c r="O161" i="69"/>
  <c r="I163" i="69"/>
  <c r="F162" i="69"/>
  <c r="D162" i="69"/>
  <c r="Q162" i="69" s="1"/>
  <c r="G162" i="69"/>
  <c r="E162" i="69"/>
  <c r="S164" i="69"/>
  <c r="M164" i="69" s="1"/>
  <c r="R163" i="69"/>
  <c r="A163" i="69"/>
  <c r="V161" i="69"/>
  <c r="C162" i="69" l="1"/>
  <c r="B162" i="69"/>
  <c r="H162" i="69"/>
  <c r="P162" i="69"/>
  <c r="O162" i="69"/>
  <c r="I164" i="69"/>
  <c r="R164" i="69"/>
  <c r="S165" i="69"/>
  <c r="M165" i="69" s="1"/>
  <c r="A164" i="69"/>
  <c r="V162" i="69"/>
  <c r="D163" i="69"/>
  <c r="Q163" i="69" s="1"/>
  <c r="E163" i="69"/>
  <c r="F163" i="69"/>
  <c r="G163" i="69"/>
  <c r="C163" i="69" l="1"/>
  <c r="B163" i="69"/>
  <c r="O163" i="69"/>
  <c r="H163" i="69"/>
  <c r="P163" i="69"/>
  <c r="I165" i="69"/>
  <c r="V163" i="69"/>
  <c r="A165" i="69"/>
  <c r="S166" i="69"/>
  <c r="M166" i="69" s="1"/>
  <c r="R165" i="69"/>
  <c r="F164" i="69"/>
  <c r="D164" i="69"/>
  <c r="Q164" i="69" s="1"/>
  <c r="E164" i="69"/>
  <c r="G164" i="69"/>
  <c r="C164" i="69" l="1"/>
  <c r="B164" i="69"/>
  <c r="P164" i="69"/>
  <c r="O164" i="69"/>
  <c r="H164" i="69"/>
  <c r="I166" i="69"/>
  <c r="F165" i="69"/>
  <c r="G165" i="69"/>
  <c r="D165" i="69"/>
  <c r="Q165" i="69" s="1"/>
  <c r="E165" i="69"/>
  <c r="R166" i="69"/>
  <c r="S167" i="69"/>
  <c r="M167" i="69" s="1"/>
  <c r="A166" i="69"/>
  <c r="V164" i="69"/>
  <c r="B165" i="69" l="1"/>
  <c r="C165" i="69"/>
  <c r="H165" i="69"/>
  <c r="P165" i="69"/>
  <c r="O165" i="69"/>
  <c r="I167" i="69"/>
  <c r="R167" i="69"/>
  <c r="A167" i="69"/>
  <c r="S168" i="69"/>
  <c r="M168" i="69" s="1"/>
  <c r="V165" i="69"/>
  <c r="D166" i="69"/>
  <c r="Q166" i="69" s="1"/>
  <c r="F166" i="69"/>
  <c r="G166" i="69"/>
  <c r="E166" i="69"/>
  <c r="C166" i="69" l="1"/>
  <c r="B166" i="69"/>
  <c r="H166" i="69"/>
  <c r="O166" i="69"/>
  <c r="P166" i="69"/>
  <c r="I168" i="69"/>
  <c r="E167" i="69"/>
  <c r="G167" i="69"/>
  <c r="D167" i="69"/>
  <c r="Q167" i="69" s="1"/>
  <c r="F167" i="69"/>
  <c r="V166" i="69"/>
  <c r="S169" i="69"/>
  <c r="M169" i="69" s="1"/>
  <c r="R168" i="69"/>
  <c r="A168" i="69"/>
  <c r="C167" i="69" l="1"/>
  <c r="B167" i="69"/>
  <c r="O167" i="69"/>
  <c r="H167" i="69"/>
  <c r="P167" i="69"/>
  <c r="I169" i="69"/>
  <c r="A169" i="69"/>
  <c r="S170" i="69"/>
  <c r="M170" i="69" s="1"/>
  <c r="R169" i="69"/>
  <c r="E168" i="69"/>
  <c r="F168" i="69"/>
  <c r="G168" i="69"/>
  <c r="D168" i="69"/>
  <c r="Q168" i="69" s="1"/>
  <c r="V167" i="69"/>
  <c r="C168" i="69" l="1"/>
  <c r="B168" i="69"/>
  <c r="O168" i="69"/>
  <c r="H168" i="69"/>
  <c r="P168" i="69"/>
  <c r="I170" i="69"/>
  <c r="V168" i="69"/>
  <c r="R170" i="69"/>
  <c r="S171" i="69"/>
  <c r="M171" i="69" s="1"/>
  <c r="A170" i="69"/>
  <c r="G169" i="69"/>
  <c r="D169" i="69"/>
  <c r="Q169" i="69" s="1"/>
  <c r="E169" i="69"/>
  <c r="F169" i="69"/>
  <c r="C169" i="69" l="1"/>
  <c r="B169" i="69"/>
  <c r="P169" i="69"/>
  <c r="H169" i="69"/>
  <c r="O169" i="69"/>
  <c r="I171" i="69"/>
  <c r="V169" i="69"/>
  <c r="R171" i="69"/>
  <c r="S172" i="69"/>
  <c r="M172" i="69" s="1"/>
  <c r="A171" i="69"/>
  <c r="F170" i="69"/>
  <c r="E170" i="69"/>
  <c r="D170" i="69"/>
  <c r="Q170" i="69" s="1"/>
  <c r="G170" i="69"/>
  <c r="C170" i="69" l="1"/>
  <c r="B170" i="69"/>
  <c r="H170" i="69"/>
  <c r="P170" i="69"/>
  <c r="O170" i="69"/>
  <c r="I172" i="69"/>
  <c r="S173" i="69"/>
  <c r="M173" i="69" s="1"/>
  <c r="A172" i="69"/>
  <c r="R172" i="69"/>
  <c r="V170" i="69"/>
  <c r="D171" i="69"/>
  <c r="Q171" i="69" s="1"/>
  <c r="G171" i="69"/>
  <c r="E171" i="69"/>
  <c r="F171" i="69"/>
  <c r="C171" i="69" l="1"/>
  <c r="B171" i="69"/>
  <c r="O171" i="69"/>
  <c r="H171" i="69"/>
  <c r="P171" i="69"/>
  <c r="I173" i="69"/>
  <c r="V171" i="69"/>
  <c r="G172" i="69"/>
  <c r="E172" i="69"/>
  <c r="D172" i="69"/>
  <c r="Q172" i="69" s="1"/>
  <c r="F172" i="69"/>
  <c r="R173" i="69"/>
  <c r="S174" i="69"/>
  <c r="M174" i="69" s="1"/>
  <c r="A173" i="69"/>
  <c r="C172" i="69" l="1"/>
  <c r="B172" i="69"/>
  <c r="P172" i="69"/>
  <c r="O172" i="69"/>
  <c r="H172" i="69"/>
  <c r="I174" i="69"/>
  <c r="F173" i="69"/>
  <c r="D173" i="69"/>
  <c r="Q173" i="69" s="1"/>
  <c r="G173" i="69"/>
  <c r="E173" i="69"/>
  <c r="V172" i="69"/>
  <c r="S175" i="69"/>
  <c r="M175" i="69" s="1"/>
  <c r="R174" i="69"/>
  <c r="A174" i="69"/>
  <c r="B173" i="69" l="1"/>
  <c r="C173" i="69"/>
  <c r="H173" i="69"/>
  <c r="P173" i="69"/>
  <c r="O173" i="69"/>
  <c r="I175" i="69"/>
  <c r="G174" i="69"/>
  <c r="F174" i="69"/>
  <c r="D174" i="69"/>
  <c r="Q174" i="69" s="1"/>
  <c r="E174" i="69"/>
  <c r="A175" i="69"/>
  <c r="R175" i="69"/>
  <c r="S176" i="69"/>
  <c r="M176" i="69" s="1"/>
  <c r="V173" i="69"/>
  <c r="C174" i="69" l="1"/>
  <c r="B174" i="69"/>
  <c r="H174" i="69"/>
  <c r="O174" i="69"/>
  <c r="P174" i="69"/>
  <c r="I176" i="69"/>
  <c r="R176" i="69"/>
  <c r="S177" i="69"/>
  <c r="M177" i="69" s="1"/>
  <c r="A176" i="69"/>
  <c r="G175" i="69"/>
  <c r="E175" i="69"/>
  <c r="D175" i="69"/>
  <c r="Q175" i="69" s="1"/>
  <c r="F175" i="69"/>
  <c r="V174" i="69"/>
  <c r="C175" i="69" l="1"/>
  <c r="B175" i="69"/>
  <c r="O175" i="69"/>
  <c r="H175" i="69"/>
  <c r="P175" i="69"/>
  <c r="I177" i="69"/>
  <c r="V175" i="69"/>
  <c r="R177" i="69"/>
  <c r="S178" i="69"/>
  <c r="M178" i="69" s="1"/>
  <c r="A177" i="69"/>
  <c r="F176" i="69"/>
  <c r="G176" i="69"/>
  <c r="D176" i="69"/>
  <c r="Q176" i="69" s="1"/>
  <c r="E176" i="69"/>
  <c r="C176" i="69" l="1"/>
  <c r="B176" i="69"/>
  <c r="O176" i="69"/>
  <c r="H176" i="69"/>
  <c r="P176" i="69"/>
  <c r="I178" i="69"/>
  <c r="D177" i="69"/>
  <c r="Q177" i="69" s="1"/>
  <c r="E177" i="69"/>
  <c r="F177" i="69"/>
  <c r="G177" i="69"/>
  <c r="V176" i="69"/>
  <c r="A178" i="69"/>
  <c r="S179" i="69"/>
  <c r="M179" i="69" s="1"/>
  <c r="R178" i="69"/>
  <c r="C177" i="69" l="1"/>
  <c r="B177" i="69"/>
  <c r="P177" i="69"/>
  <c r="H177" i="69"/>
  <c r="O177" i="69"/>
  <c r="I179" i="69"/>
  <c r="F178" i="69"/>
  <c r="E178" i="69"/>
  <c r="G178" i="69"/>
  <c r="D178" i="69"/>
  <c r="Q178" i="69" s="1"/>
  <c r="A179" i="69"/>
  <c r="R179" i="69"/>
  <c r="S180" i="69"/>
  <c r="M180" i="69" s="1"/>
  <c r="V177" i="69"/>
  <c r="C178" i="69" l="1"/>
  <c r="B178" i="69"/>
  <c r="H178" i="69"/>
  <c r="O178" i="69"/>
  <c r="P178" i="69"/>
  <c r="I180" i="69"/>
  <c r="V178" i="69"/>
  <c r="E179" i="69"/>
  <c r="G179" i="69"/>
  <c r="F179" i="69"/>
  <c r="D179" i="69"/>
  <c r="Q179" i="69" s="1"/>
  <c r="R180" i="69"/>
  <c r="S181" i="69"/>
  <c r="M181" i="69" s="1"/>
  <c r="A180" i="69"/>
  <c r="C179" i="69" l="1"/>
  <c r="B179" i="69"/>
  <c r="O179" i="69"/>
  <c r="H179" i="69"/>
  <c r="P179" i="69"/>
  <c r="I181" i="69"/>
  <c r="V179" i="69"/>
  <c r="S182" i="69"/>
  <c r="M182" i="69" s="1"/>
  <c r="A181" i="69"/>
  <c r="R181" i="69"/>
  <c r="E180" i="69"/>
  <c r="F180" i="69"/>
  <c r="G180" i="69"/>
  <c r="D180" i="69"/>
  <c r="Q180" i="69" s="1"/>
  <c r="C180" i="69" l="1"/>
  <c r="B180" i="69"/>
  <c r="O180" i="69"/>
  <c r="H180" i="69"/>
  <c r="P180" i="69"/>
  <c r="I182" i="69"/>
  <c r="A182" i="69"/>
  <c r="S183" i="69"/>
  <c r="M183" i="69" s="1"/>
  <c r="R182" i="69"/>
  <c r="E181" i="69"/>
  <c r="G181" i="69"/>
  <c r="F181" i="69"/>
  <c r="D181" i="69"/>
  <c r="Q181" i="69" s="1"/>
  <c r="V180" i="69"/>
  <c r="B181" i="69" l="1"/>
  <c r="C181" i="69"/>
  <c r="P181" i="69"/>
  <c r="H181" i="69"/>
  <c r="O181" i="69"/>
  <c r="I183" i="69"/>
  <c r="V181" i="69"/>
  <c r="G182" i="69"/>
  <c r="F182" i="69"/>
  <c r="D182" i="69"/>
  <c r="Q182" i="69" s="1"/>
  <c r="E182" i="69"/>
  <c r="R183" i="69"/>
  <c r="A183" i="69"/>
  <c r="S184" i="69"/>
  <c r="M184" i="69" s="1"/>
  <c r="C182" i="69" l="1"/>
  <c r="B182" i="69"/>
  <c r="H182" i="69"/>
  <c r="P182" i="69"/>
  <c r="O182" i="69"/>
  <c r="I184" i="69"/>
  <c r="V182" i="69"/>
  <c r="S185" i="69"/>
  <c r="M185" i="69" s="1"/>
  <c r="A184" i="69"/>
  <c r="R184" i="69"/>
  <c r="E183" i="69"/>
  <c r="D183" i="69"/>
  <c r="Q183" i="69" s="1"/>
  <c r="F183" i="69"/>
  <c r="G183" i="69"/>
  <c r="C183" i="69" l="1"/>
  <c r="B183" i="69"/>
  <c r="O183" i="69"/>
  <c r="H183" i="69"/>
  <c r="P183" i="69"/>
  <c r="I185" i="69"/>
  <c r="V183" i="69"/>
  <c r="D184" i="69"/>
  <c r="Q184" i="69" s="1"/>
  <c r="G184" i="69"/>
  <c r="F184" i="69"/>
  <c r="E184" i="69"/>
  <c r="A185" i="69"/>
  <c r="R185" i="69"/>
  <c r="S186" i="69"/>
  <c r="M186" i="69" s="1"/>
  <c r="C184" i="69" l="1"/>
  <c r="B184" i="69"/>
  <c r="P184" i="69"/>
  <c r="O184" i="69"/>
  <c r="H184" i="69"/>
  <c r="I186" i="69"/>
  <c r="D185" i="69"/>
  <c r="Q185" i="69" s="1"/>
  <c r="E185" i="69"/>
  <c r="G185" i="69"/>
  <c r="F185" i="69"/>
  <c r="V184" i="69"/>
  <c r="S187" i="69"/>
  <c r="M187" i="69" s="1"/>
  <c r="R186" i="69"/>
  <c r="A186" i="69"/>
  <c r="B185" i="69" l="1"/>
  <c r="C185" i="69"/>
  <c r="H185" i="69"/>
  <c r="P185" i="69"/>
  <c r="O185" i="69"/>
  <c r="I187" i="69"/>
  <c r="F186" i="69"/>
  <c r="G186" i="69"/>
  <c r="D186" i="69"/>
  <c r="Q186" i="69" s="1"/>
  <c r="E186" i="69"/>
  <c r="R187" i="69"/>
  <c r="S188" i="69"/>
  <c r="M188" i="69" s="1"/>
  <c r="A187" i="69"/>
  <c r="V185" i="69"/>
  <c r="C186" i="69" l="1"/>
  <c r="B186" i="69"/>
  <c r="H186" i="69"/>
  <c r="P186" i="69"/>
  <c r="O186" i="69"/>
  <c r="I188" i="69"/>
  <c r="F187" i="69"/>
  <c r="E187" i="69"/>
  <c r="D187" i="69"/>
  <c r="Q187" i="69" s="1"/>
  <c r="G187" i="69"/>
  <c r="A188" i="69"/>
  <c r="R188" i="69"/>
  <c r="S189" i="69"/>
  <c r="M189" i="69" s="1"/>
  <c r="V186" i="69"/>
  <c r="C187" i="69" l="1"/>
  <c r="B187" i="69"/>
  <c r="O187" i="69"/>
  <c r="H187" i="69"/>
  <c r="P187" i="69"/>
  <c r="I189" i="69"/>
  <c r="D188" i="69"/>
  <c r="Q188" i="69" s="1"/>
  <c r="F188" i="69"/>
  <c r="G188" i="69"/>
  <c r="E188" i="69"/>
  <c r="V187" i="69"/>
  <c r="A189" i="69"/>
  <c r="S190" i="69"/>
  <c r="M190" i="69" s="1"/>
  <c r="R189" i="69"/>
  <c r="C188" i="69" l="1"/>
  <c r="B188" i="69"/>
  <c r="P188" i="69"/>
  <c r="O188" i="69"/>
  <c r="H188" i="69"/>
  <c r="I190" i="69"/>
  <c r="E189" i="69"/>
  <c r="F189" i="69"/>
  <c r="D189" i="69"/>
  <c r="Q189" i="69" s="1"/>
  <c r="G189" i="69"/>
  <c r="V188" i="69"/>
  <c r="S191" i="69"/>
  <c r="M191" i="69" s="1"/>
  <c r="R190" i="69"/>
  <c r="A190" i="69"/>
  <c r="B189" i="69" l="1"/>
  <c r="C189" i="69"/>
  <c r="H189" i="69"/>
  <c r="P189" i="69"/>
  <c r="O189" i="69"/>
  <c r="I191" i="69"/>
  <c r="E190" i="69"/>
  <c r="G190" i="69"/>
  <c r="F190" i="69"/>
  <c r="D190" i="69"/>
  <c r="Q190" i="69" s="1"/>
  <c r="R191" i="69"/>
  <c r="S192" i="69"/>
  <c r="M192" i="69" s="1"/>
  <c r="A191" i="69"/>
  <c r="V189" i="69"/>
  <c r="C190" i="69" l="1"/>
  <c r="B190" i="69"/>
  <c r="H190" i="69"/>
  <c r="O190" i="69"/>
  <c r="P190" i="69"/>
  <c r="I192" i="69"/>
  <c r="G191" i="69"/>
  <c r="F191" i="69"/>
  <c r="D191" i="69"/>
  <c r="Q191" i="69" s="1"/>
  <c r="E191" i="69"/>
  <c r="V190" i="69"/>
  <c r="S193" i="69"/>
  <c r="M193" i="69" s="1"/>
  <c r="A192" i="69"/>
  <c r="R192" i="69"/>
  <c r="C191" i="69" l="1"/>
  <c r="B191" i="69"/>
  <c r="O191" i="69"/>
  <c r="H191" i="69"/>
  <c r="P191" i="69"/>
  <c r="I193" i="69"/>
  <c r="R193" i="69"/>
  <c r="S194" i="69"/>
  <c r="M194" i="69" s="1"/>
  <c r="A193" i="69"/>
  <c r="E192" i="69"/>
  <c r="G192" i="69"/>
  <c r="D192" i="69"/>
  <c r="Q192" i="69" s="1"/>
  <c r="F192" i="69"/>
  <c r="V191" i="69"/>
  <c r="C192" i="69" l="1"/>
  <c r="B192" i="69"/>
  <c r="O192" i="69"/>
  <c r="H192" i="69"/>
  <c r="P192" i="69"/>
  <c r="I194" i="69"/>
  <c r="D193" i="69"/>
  <c r="Q193" i="69" s="1"/>
  <c r="E193" i="69"/>
  <c r="G193" i="69"/>
  <c r="F193" i="69"/>
  <c r="S195" i="69"/>
  <c r="M195" i="69" s="1"/>
  <c r="R194" i="69"/>
  <c r="A194" i="69"/>
  <c r="V192" i="69"/>
  <c r="B193" i="69" l="1"/>
  <c r="C193" i="69"/>
  <c r="P193" i="69"/>
  <c r="H193" i="69"/>
  <c r="O193" i="69"/>
  <c r="I195" i="69"/>
  <c r="F194" i="69"/>
  <c r="E194" i="69"/>
  <c r="G194" i="69"/>
  <c r="D194" i="69"/>
  <c r="Q194" i="69" s="1"/>
  <c r="R195" i="69"/>
  <c r="A195" i="69"/>
  <c r="S196" i="69"/>
  <c r="M196" i="69" s="1"/>
  <c r="V193" i="69"/>
  <c r="C194" i="69" l="1"/>
  <c r="B194" i="69"/>
  <c r="H194" i="69"/>
  <c r="P194" i="69"/>
  <c r="O194" i="69"/>
  <c r="I196" i="69"/>
  <c r="V194" i="69"/>
  <c r="S197" i="69"/>
  <c r="M197" i="69" s="1"/>
  <c r="R196" i="69"/>
  <c r="A196" i="69"/>
  <c r="G195" i="69"/>
  <c r="E195" i="69"/>
  <c r="F195" i="69"/>
  <c r="D195" i="69"/>
  <c r="Q195" i="69" s="1"/>
  <c r="C195" i="69" l="1"/>
  <c r="B195" i="69"/>
  <c r="O195" i="69"/>
  <c r="H195" i="69"/>
  <c r="P195" i="69"/>
  <c r="I197" i="69"/>
  <c r="S198" i="69"/>
  <c r="M198" i="69" s="1"/>
  <c r="A197" i="69"/>
  <c r="R197" i="69"/>
  <c r="D196" i="69"/>
  <c r="Q196" i="69" s="1"/>
  <c r="F196" i="69"/>
  <c r="E196" i="69"/>
  <c r="G196" i="69"/>
  <c r="V195" i="69"/>
  <c r="C196" i="69" l="1"/>
  <c r="B196" i="69"/>
  <c r="O196" i="69"/>
  <c r="H196" i="69"/>
  <c r="P196" i="69"/>
  <c r="I198" i="69"/>
  <c r="S199" i="69"/>
  <c r="M199" i="69" s="1"/>
  <c r="A198" i="69"/>
  <c r="R198" i="69"/>
  <c r="V196" i="69"/>
  <c r="F197" i="69"/>
  <c r="E197" i="69"/>
  <c r="G197" i="69"/>
  <c r="D197" i="69"/>
  <c r="Q197" i="69" s="1"/>
  <c r="C197" i="69" l="1"/>
  <c r="B197" i="69"/>
  <c r="P197" i="69"/>
  <c r="H197" i="69"/>
  <c r="O197" i="69"/>
  <c r="I199" i="69"/>
  <c r="D198" i="69"/>
  <c r="Q198" i="69" s="1"/>
  <c r="F198" i="69"/>
  <c r="E198" i="69"/>
  <c r="G198" i="69"/>
  <c r="V197" i="69"/>
  <c r="A199" i="69"/>
  <c r="R199" i="69"/>
  <c r="S200" i="69"/>
  <c r="M200" i="69" s="1"/>
  <c r="C198" i="69" l="1"/>
  <c r="B198" i="69"/>
  <c r="H198" i="69"/>
  <c r="O198" i="69"/>
  <c r="P198" i="69"/>
  <c r="I200" i="69"/>
  <c r="I201" i="69" s="1"/>
  <c r="M201" i="69"/>
  <c r="G199" i="69"/>
  <c r="D199" i="69"/>
  <c r="Q199" i="69" s="1"/>
  <c r="F199" i="69"/>
  <c r="E199" i="69"/>
  <c r="A200" i="69"/>
  <c r="R200" i="69"/>
  <c r="V198" i="69"/>
  <c r="C199" i="69" l="1"/>
  <c r="B199" i="69"/>
  <c r="O199" i="69"/>
  <c r="H199" i="69"/>
  <c r="P199" i="69"/>
  <c r="F200" i="69"/>
  <c r="E200" i="69"/>
  <c r="D200" i="69"/>
  <c r="Q200" i="69" s="1"/>
  <c r="G200" i="69"/>
  <c r="V199" i="69"/>
  <c r="C200" i="69" l="1"/>
  <c r="B200" i="69"/>
  <c r="O200" i="69"/>
  <c r="O201" i="69" s="1"/>
  <c r="H200" i="69"/>
  <c r="P200" i="69"/>
  <c r="P201" i="69" s="1"/>
  <c r="V200" i="69"/>
  <c r="H202" i="69" l="1"/>
  <c r="H201" i="69"/>
  <c r="H203" i="69"/>
  <c r="A205" i="23" l="1"/>
  <c r="A206" i="23" l="1"/>
  <c r="I205" i="23"/>
  <c r="R3" i="23" l="1"/>
  <c r="I206" i="23"/>
  <c r="A207" i="23"/>
  <c r="Q3" i="23" l="1"/>
  <c r="R4" i="23"/>
  <c r="A208" i="23"/>
  <c r="E3" i="23" l="1"/>
  <c r="G3" i="23"/>
  <c r="F3" i="23"/>
  <c r="D3" i="23"/>
  <c r="P3" i="23" s="1"/>
  <c r="R5" i="23"/>
  <c r="Q4" i="23"/>
  <c r="A3" i="23"/>
  <c r="I207" i="23"/>
  <c r="I208" i="23"/>
  <c r="A209" i="23"/>
  <c r="B3" i="23" l="1"/>
  <c r="C3" i="23"/>
  <c r="Y3" i="23"/>
  <c r="W3" i="23"/>
  <c r="E4" i="23"/>
  <c r="G4" i="23"/>
  <c r="F4" i="23"/>
  <c r="D4" i="23"/>
  <c r="P4" i="23" s="1"/>
  <c r="Q5" i="23"/>
  <c r="R6" i="23"/>
  <c r="U3" i="23"/>
  <c r="K3" i="23" s="1"/>
  <c r="V3" i="23"/>
  <c r="A4" i="23"/>
  <c r="A210" i="23"/>
  <c r="I209" i="23"/>
  <c r="C4" i="23" l="1"/>
  <c r="B4" i="23"/>
  <c r="Y4" i="23"/>
  <c r="U4" i="23"/>
  <c r="K4" i="23" s="1"/>
  <c r="W4" i="23"/>
  <c r="V4" i="23"/>
  <c r="H3" i="23"/>
  <c r="L3" i="23" s="1"/>
  <c r="M3" i="23"/>
  <c r="N3" i="23" s="1"/>
  <c r="R7" i="23"/>
  <c r="R8" i="23" s="1"/>
  <c r="E5" i="23"/>
  <c r="G5" i="23"/>
  <c r="F5" i="23"/>
  <c r="Q6" i="23"/>
  <c r="D5" i="23"/>
  <c r="P5" i="23" s="1"/>
  <c r="A5" i="23"/>
  <c r="I210" i="23"/>
  <c r="A211" i="23"/>
  <c r="B5" i="23" l="1"/>
  <c r="C5" i="23"/>
  <c r="H4" i="23"/>
  <c r="L4" i="23" s="1"/>
  <c r="M4" i="23"/>
  <c r="N4" i="23" s="1"/>
  <c r="O3" i="23"/>
  <c r="E6" i="23"/>
  <c r="G6" i="23"/>
  <c r="F6" i="23"/>
  <c r="Y5" i="23"/>
  <c r="U5" i="23"/>
  <c r="K5" i="23" s="1"/>
  <c r="W5" i="23"/>
  <c r="V5" i="23"/>
  <c r="D6" i="23"/>
  <c r="P6" i="23" s="1"/>
  <c r="Q7" i="23"/>
  <c r="X3" i="23"/>
  <c r="A6" i="23"/>
  <c r="I211" i="23"/>
  <c r="R9" i="23"/>
  <c r="A212" i="23"/>
  <c r="C6" i="23" l="1"/>
  <c r="B6" i="23"/>
  <c r="O4" i="23"/>
  <c r="M5" i="23"/>
  <c r="N5" i="23" s="1"/>
  <c r="H5" i="23"/>
  <c r="X5" i="23" s="1"/>
  <c r="X4" i="23"/>
  <c r="E7" i="23"/>
  <c r="G7" i="23"/>
  <c r="F7" i="23"/>
  <c r="J204" i="23"/>
  <c r="V6" i="23"/>
  <c r="D7" i="23"/>
  <c r="P7" i="23" s="1"/>
  <c r="Q8" i="23"/>
  <c r="A7" i="23"/>
  <c r="Y6" i="23"/>
  <c r="U6" i="23"/>
  <c r="H6" i="23" s="1"/>
  <c r="W6" i="23"/>
  <c r="A213" i="23"/>
  <c r="R10" i="23"/>
  <c r="I212" i="23"/>
  <c r="B7" i="23" l="1"/>
  <c r="C7" i="23"/>
  <c r="M6" i="23"/>
  <c r="L5" i="23"/>
  <c r="O5" i="23" s="1"/>
  <c r="E8" i="23"/>
  <c r="G8" i="23"/>
  <c r="F8" i="23"/>
  <c r="K204" i="23"/>
  <c r="K6" i="23"/>
  <c r="L6" i="23" s="1"/>
  <c r="V7" i="23"/>
  <c r="Q9" i="23"/>
  <c r="D8" i="23"/>
  <c r="P8" i="23" s="1"/>
  <c r="Y7" i="23"/>
  <c r="W7" i="23"/>
  <c r="A8" i="23"/>
  <c r="U7" i="23"/>
  <c r="H7" i="23" s="1"/>
  <c r="R11" i="23"/>
  <c r="I213" i="23"/>
  <c r="A214" i="23"/>
  <c r="C8" i="23" l="1"/>
  <c r="B8" i="23"/>
  <c r="M7" i="23"/>
  <c r="N6" i="23"/>
  <c r="O6" i="23" s="1"/>
  <c r="M8" i="23"/>
  <c r="E9" i="23"/>
  <c r="G9" i="23"/>
  <c r="F9" i="23"/>
  <c r="H8" i="23"/>
  <c r="U8" i="23"/>
  <c r="K8" i="23" s="1"/>
  <c r="W8" i="23"/>
  <c r="V8" i="23"/>
  <c r="K7" i="23"/>
  <c r="L7" i="23" s="1"/>
  <c r="D9" i="23"/>
  <c r="P9" i="23" s="1"/>
  <c r="Q10" i="23"/>
  <c r="Y8" i="23"/>
  <c r="X6" i="23"/>
  <c r="A9" i="23"/>
  <c r="I214" i="23"/>
  <c r="R12" i="23"/>
  <c r="A215" i="23"/>
  <c r="B9" i="23" l="1"/>
  <c r="C9" i="23"/>
  <c r="N8" i="23"/>
  <c r="N7" i="23"/>
  <c r="O7" i="23" s="1"/>
  <c r="M9" i="23"/>
  <c r="J207" i="23"/>
  <c r="K207" i="23" s="1"/>
  <c r="L8" i="23"/>
  <c r="J206" i="23"/>
  <c r="E10" i="23"/>
  <c r="G10" i="23"/>
  <c r="F10" i="23"/>
  <c r="H9" i="23"/>
  <c r="U9" i="23"/>
  <c r="K9" i="23" s="1"/>
  <c r="W9" i="23"/>
  <c r="Y9" i="23"/>
  <c r="V9" i="23"/>
  <c r="Q11" i="23"/>
  <c r="D10" i="23"/>
  <c r="P10" i="23" s="1"/>
  <c r="A10" i="23"/>
  <c r="X7" i="23"/>
  <c r="I215" i="23"/>
  <c r="X8" i="23"/>
  <c r="A216" i="23"/>
  <c r="R13" i="23"/>
  <c r="C10" i="23" l="1"/>
  <c r="B10" i="23"/>
  <c r="O8" i="23"/>
  <c r="N9" i="23"/>
  <c r="M10" i="23"/>
  <c r="L9" i="23"/>
  <c r="K206" i="23"/>
  <c r="E11" i="23"/>
  <c r="G11" i="23"/>
  <c r="F11" i="23"/>
  <c r="H10" i="23"/>
  <c r="X9" i="23"/>
  <c r="U10" i="23"/>
  <c r="K10" i="23" s="1"/>
  <c r="Q12" i="23"/>
  <c r="D11" i="23"/>
  <c r="P11" i="23" s="1"/>
  <c r="V10" i="23"/>
  <c r="Y10" i="23"/>
  <c r="W10" i="23"/>
  <c r="A11" i="23"/>
  <c r="I216" i="23"/>
  <c r="R14" i="23"/>
  <c r="A217" i="23"/>
  <c r="B11" i="23" l="1"/>
  <c r="C11" i="23"/>
  <c r="O9" i="23"/>
  <c r="N10" i="23"/>
  <c r="M11" i="23"/>
  <c r="L10" i="23"/>
  <c r="E12" i="23"/>
  <c r="G12" i="23"/>
  <c r="F12" i="23"/>
  <c r="H11" i="23"/>
  <c r="A12" i="23"/>
  <c r="Q13" i="23"/>
  <c r="Y11" i="23"/>
  <c r="D12" i="23"/>
  <c r="P12" i="23" s="1"/>
  <c r="X10" i="23"/>
  <c r="V11" i="23"/>
  <c r="U11" i="23"/>
  <c r="K11" i="23" s="1"/>
  <c r="W11" i="23"/>
  <c r="I217" i="23"/>
  <c r="A218" i="23"/>
  <c r="R15" i="23"/>
  <c r="C12" i="23" l="1"/>
  <c r="B12" i="23"/>
  <c r="N11" i="23"/>
  <c r="O10" i="23"/>
  <c r="M12" i="23"/>
  <c r="L11" i="23"/>
  <c r="U12" i="23"/>
  <c r="K12" i="23" s="1"/>
  <c r="Y12" i="23"/>
  <c r="W12" i="23"/>
  <c r="E13" i="23"/>
  <c r="G13" i="23"/>
  <c r="H12" i="23"/>
  <c r="V12" i="23"/>
  <c r="F13" i="23"/>
  <c r="A13" i="23"/>
  <c r="Q14" i="23"/>
  <c r="D13" i="23"/>
  <c r="P13" i="23" s="1"/>
  <c r="R16" i="23"/>
  <c r="I218" i="23"/>
  <c r="A219" i="23"/>
  <c r="B13" i="23" l="1"/>
  <c r="C13" i="23"/>
  <c r="O11" i="23"/>
  <c r="N12" i="23"/>
  <c r="M13" i="23"/>
  <c r="L12" i="23"/>
  <c r="E14" i="23"/>
  <c r="G14" i="23"/>
  <c r="X12" i="23"/>
  <c r="F14" i="23"/>
  <c r="V13" i="23"/>
  <c r="H13" i="23"/>
  <c r="U13" i="23"/>
  <c r="K13" i="23" s="1"/>
  <c r="D14" i="23"/>
  <c r="P14" i="23" s="1"/>
  <c r="A14" i="23"/>
  <c r="Q15" i="23"/>
  <c r="Y13" i="23"/>
  <c r="W13" i="23"/>
  <c r="X11" i="23"/>
  <c r="I219" i="23"/>
  <c r="A220" i="23"/>
  <c r="R17" i="23"/>
  <c r="C14" i="23" l="1"/>
  <c r="B14" i="23"/>
  <c r="W14" i="23"/>
  <c r="O12" i="23"/>
  <c r="N13" i="23"/>
  <c r="M14" i="23"/>
  <c r="Y14" i="23"/>
  <c r="L13" i="23"/>
  <c r="V14" i="23"/>
  <c r="H14" i="23"/>
  <c r="U14" i="23"/>
  <c r="E15" i="23"/>
  <c r="G15" i="23"/>
  <c r="F15" i="23"/>
  <c r="A15" i="23"/>
  <c r="Q16" i="23"/>
  <c r="X13" i="23"/>
  <c r="D15" i="23"/>
  <c r="P15" i="23" s="1"/>
  <c r="K14" i="23"/>
  <c r="A221" i="23"/>
  <c r="I220" i="23"/>
  <c r="R18" i="23"/>
  <c r="B15" i="23" l="1"/>
  <c r="C15" i="23"/>
  <c r="O13" i="23"/>
  <c r="N14" i="23"/>
  <c r="M15" i="23"/>
  <c r="W15" i="23"/>
  <c r="U15" i="23"/>
  <c r="K15" i="23" s="1"/>
  <c r="Y15" i="23"/>
  <c r="L14" i="23"/>
  <c r="E16" i="23"/>
  <c r="G16" i="23"/>
  <c r="F16" i="23"/>
  <c r="V15" i="23"/>
  <c r="H15" i="23"/>
  <c r="D16" i="23"/>
  <c r="P16" i="23" s="1"/>
  <c r="A16" i="23"/>
  <c r="Q17" i="23"/>
  <c r="X14" i="23"/>
  <c r="U16" i="23"/>
  <c r="K16" i="23" s="1"/>
  <c r="A222" i="23"/>
  <c r="R19" i="23"/>
  <c r="I221" i="23"/>
  <c r="C16" i="23" l="1"/>
  <c r="B16" i="23"/>
  <c r="N15" i="23"/>
  <c r="O14" i="23"/>
  <c r="M16" i="23"/>
  <c r="N16" i="23" s="1"/>
  <c r="L15" i="23"/>
  <c r="H16" i="23"/>
  <c r="E17" i="23"/>
  <c r="G17" i="23"/>
  <c r="F17" i="23"/>
  <c r="Q18" i="23"/>
  <c r="V16" i="23"/>
  <c r="Y16" i="23"/>
  <c r="W16" i="23"/>
  <c r="D17" i="23"/>
  <c r="P17" i="23" s="1"/>
  <c r="A17" i="23"/>
  <c r="X15" i="23"/>
  <c r="I222" i="23"/>
  <c r="R20" i="23"/>
  <c r="A223" i="23"/>
  <c r="B17" i="23" l="1"/>
  <c r="C17" i="23"/>
  <c r="O15" i="23"/>
  <c r="M17" i="23"/>
  <c r="U17" i="23"/>
  <c r="K17" i="23" s="1"/>
  <c r="X16" i="23"/>
  <c r="L16" i="23"/>
  <c r="O16" i="23" s="1"/>
  <c r="G18" i="23"/>
  <c r="Q19" i="23"/>
  <c r="D18" i="23"/>
  <c r="P18" i="23" s="1"/>
  <c r="Y17" i="23"/>
  <c r="E18" i="23"/>
  <c r="A18" i="23"/>
  <c r="F18" i="23"/>
  <c r="H17" i="23"/>
  <c r="W17" i="23"/>
  <c r="V17" i="23"/>
  <c r="H18" i="23"/>
  <c r="V18" i="23"/>
  <c r="U18" i="23"/>
  <c r="K18" i="23" s="1"/>
  <c r="W18" i="23"/>
  <c r="I223" i="23"/>
  <c r="R21" i="23"/>
  <c r="A224" i="23"/>
  <c r="C18" i="23" l="1"/>
  <c r="B18" i="23"/>
  <c r="Y18" i="23"/>
  <c r="N17" i="23"/>
  <c r="M18" i="23"/>
  <c r="N18" i="23" s="1"/>
  <c r="L18" i="23"/>
  <c r="L17" i="23"/>
  <c r="E19" i="23"/>
  <c r="Q20" i="23"/>
  <c r="D19" i="23"/>
  <c r="P19" i="23" s="1"/>
  <c r="A19" i="23"/>
  <c r="F19" i="23"/>
  <c r="G19" i="23"/>
  <c r="X17" i="23"/>
  <c r="W19" i="23"/>
  <c r="U19" i="23"/>
  <c r="K19" i="23" s="1"/>
  <c r="V19" i="23"/>
  <c r="X18" i="23"/>
  <c r="I224" i="23"/>
  <c r="R22" i="23"/>
  <c r="A225" i="23"/>
  <c r="B19" i="23" l="1"/>
  <c r="C19" i="23"/>
  <c r="O17" i="23"/>
  <c r="M19" i="23"/>
  <c r="N19" i="23" s="1"/>
  <c r="H19" i="23"/>
  <c r="L19" i="23" s="1"/>
  <c r="O18" i="23"/>
  <c r="Y19" i="23"/>
  <c r="E20" i="23"/>
  <c r="F20" i="23"/>
  <c r="Q21" i="23"/>
  <c r="A20" i="23"/>
  <c r="D20" i="23"/>
  <c r="P20" i="23" s="1"/>
  <c r="G20" i="23"/>
  <c r="V20" i="23"/>
  <c r="U20" i="23"/>
  <c r="K20" i="23" s="1"/>
  <c r="W20" i="23"/>
  <c r="X19" i="23"/>
  <c r="I225" i="23"/>
  <c r="R23" i="23"/>
  <c r="A226" i="23"/>
  <c r="C20" i="23" l="1"/>
  <c r="B20" i="23"/>
  <c r="Y20" i="23"/>
  <c r="H20" i="23"/>
  <c r="L20" i="23" s="1"/>
  <c r="O19" i="23"/>
  <c r="M20" i="23"/>
  <c r="N20" i="23" s="1"/>
  <c r="G21" i="23"/>
  <c r="E21" i="23"/>
  <c r="A21" i="23"/>
  <c r="D21" i="23"/>
  <c r="P21" i="23" s="1"/>
  <c r="F21" i="23"/>
  <c r="Q22" i="23"/>
  <c r="X20" i="23"/>
  <c r="W21" i="23"/>
  <c r="V21" i="23"/>
  <c r="U21" i="23"/>
  <c r="K21" i="23" s="1"/>
  <c r="I226" i="23"/>
  <c r="R24" i="23"/>
  <c r="W23" i="23"/>
  <c r="X23" i="23"/>
  <c r="V23" i="23"/>
  <c r="U23" i="23"/>
  <c r="A227" i="23"/>
  <c r="B21" i="23" l="1"/>
  <c r="C21" i="23"/>
  <c r="M21" i="23"/>
  <c r="N21" i="23" s="1"/>
  <c r="H21" i="23"/>
  <c r="L21" i="23" s="1"/>
  <c r="O20" i="23"/>
  <c r="Y21" i="23"/>
  <c r="F22" i="23"/>
  <c r="A22" i="23"/>
  <c r="Q23" i="23"/>
  <c r="G22" i="23"/>
  <c r="D22" i="23"/>
  <c r="P22" i="23" s="1"/>
  <c r="E22" i="23"/>
  <c r="V22" i="23"/>
  <c r="U22" i="23"/>
  <c r="K22" i="23" s="1"/>
  <c r="W22" i="23"/>
  <c r="X21" i="23"/>
  <c r="I227" i="23"/>
  <c r="U24" i="23"/>
  <c r="X24" i="23"/>
  <c r="V24" i="23"/>
  <c r="W24" i="23"/>
  <c r="R25" i="23"/>
  <c r="A228" i="23"/>
  <c r="C22" i="23" l="1"/>
  <c r="B22" i="23"/>
  <c r="M22" i="23"/>
  <c r="N22" i="23" s="1"/>
  <c r="O21" i="23"/>
  <c r="Y22" i="23"/>
  <c r="H22" i="23"/>
  <c r="L22" i="23" s="1"/>
  <c r="G23" i="23"/>
  <c r="K23" i="23"/>
  <c r="E23" i="23"/>
  <c r="A23" i="23"/>
  <c r="Q24" i="23"/>
  <c r="F23" i="23"/>
  <c r="D23" i="23"/>
  <c r="P23" i="23" s="1"/>
  <c r="X22" i="23"/>
  <c r="A229" i="23"/>
  <c r="U25" i="23"/>
  <c r="R26" i="23"/>
  <c r="W25" i="23"/>
  <c r="X25" i="23"/>
  <c r="V25" i="23"/>
  <c r="I228" i="23"/>
  <c r="B23" i="23" l="1"/>
  <c r="C23" i="23"/>
  <c r="M23" i="23"/>
  <c r="N23" i="23" s="1"/>
  <c r="O22" i="23"/>
  <c r="H23" i="23"/>
  <c r="E24" i="23"/>
  <c r="A24" i="23"/>
  <c r="Y23" i="23"/>
  <c r="G24" i="23"/>
  <c r="K24" i="23"/>
  <c r="Q25" i="23"/>
  <c r="F24" i="23"/>
  <c r="D24" i="23"/>
  <c r="P24" i="23" s="1"/>
  <c r="I229" i="23"/>
  <c r="X26" i="23"/>
  <c r="W26" i="23"/>
  <c r="R27" i="23"/>
  <c r="V26" i="23"/>
  <c r="U26" i="23"/>
  <c r="A230" i="23"/>
  <c r="C24" i="23" l="1"/>
  <c r="B24" i="23"/>
  <c r="Y24" i="23"/>
  <c r="M24" i="23"/>
  <c r="N24" i="23" s="1"/>
  <c r="H24" i="23"/>
  <c r="L23" i="23"/>
  <c r="O23" i="23" s="1"/>
  <c r="F25" i="23"/>
  <c r="A25" i="23"/>
  <c r="Q26" i="23"/>
  <c r="E25" i="23"/>
  <c r="D25" i="23"/>
  <c r="P25" i="23" s="1"/>
  <c r="G25" i="23"/>
  <c r="K25" i="23"/>
  <c r="I230" i="23"/>
  <c r="V27" i="23"/>
  <c r="U27" i="23"/>
  <c r="X27" i="23"/>
  <c r="R28" i="23"/>
  <c r="W27" i="23"/>
  <c r="A231" i="23"/>
  <c r="B25" i="23" l="1"/>
  <c r="C25" i="23"/>
  <c r="M25" i="23"/>
  <c r="N25" i="23" s="1"/>
  <c r="Y25" i="23"/>
  <c r="H25" i="23"/>
  <c r="L24" i="23"/>
  <c r="O24" i="23" s="1"/>
  <c r="F26" i="23"/>
  <c r="D26" i="23"/>
  <c r="P26" i="23" s="1"/>
  <c r="Q27" i="23"/>
  <c r="G26" i="23"/>
  <c r="A26" i="23"/>
  <c r="K26" i="23"/>
  <c r="E26" i="23"/>
  <c r="I231" i="23"/>
  <c r="A232" i="23"/>
  <c r="W28" i="23"/>
  <c r="U28" i="23"/>
  <c r="X28" i="23"/>
  <c r="R29" i="23"/>
  <c r="V28" i="23"/>
  <c r="C26" i="23" l="1"/>
  <c r="B26" i="23"/>
  <c r="Y26" i="23"/>
  <c r="H26" i="23"/>
  <c r="L26" i="23" s="1"/>
  <c r="M26" i="23"/>
  <c r="N26" i="23" s="1"/>
  <c r="L25" i="23"/>
  <c r="O25" i="23" s="1"/>
  <c r="E27" i="23"/>
  <c r="A27" i="23"/>
  <c r="F27" i="23"/>
  <c r="K27" i="23"/>
  <c r="Q28" i="23"/>
  <c r="G27" i="23"/>
  <c r="D27" i="23"/>
  <c r="P27" i="23" s="1"/>
  <c r="I232" i="23"/>
  <c r="R30" i="23"/>
  <c r="W29" i="23"/>
  <c r="V29" i="23"/>
  <c r="X29" i="23"/>
  <c r="U29" i="23"/>
  <c r="A233" i="23"/>
  <c r="B27" i="23" l="1"/>
  <c r="C27" i="23"/>
  <c r="M27" i="23"/>
  <c r="N27" i="23" s="1"/>
  <c r="O26" i="23"/>
  <c r="H27" i="23"/>
  <c r="F28" i="23"/>
  <c r="D28" i="23"/>
  <c r="P28" i="23" s="1"/>
  <c r="G28" i="23"/>
  <c r="Y27" i="23"/>
  <c r="Q29" i="23"/>
  <c r="G29" i="23" s="1"/>
  <c r="E28" i="23"/>
  <c r="A28" i="23"/>
  <c r="K28" i="23"/>
  <c r="I233" i="23"/>
  <c r="U30" i="23"/>
  <c r="V30" i="23"/>
  <c r="R31" i="23"/>
  <c r="X30" i="23"/>
  <c r="W30" i="23"/>
  <c r="A234" i="23"/>
  <c r="C28" i="23" l="1"/>
  <c r="B28" i="23"/>
  <c r="M28" i="23"/>
  <c r="N28" i="23" s="1"/>
  <c r="Q30" i="23"/>
  <c r="G30" i="23" s="1"/>
  <c r="A29" i="23"/>
  <c r="H28" i="23"/>
  <c r="Y28" i="23"/>
  <c r="L27" i="23"/>
  <c r="O27" i="23" s="1"/>
  <c r="F29" i="23"/>
  <c r="E29" i="23"/>
  <c r="K29" i="23"/>
  <c r="D29" i="23"/>
  <c r="P29" i="23" s="1"/>
  <c r="I234" i="23"/>
  <c r="W31" i="23"/>
  <c r="U31" i="23"/>
  <c r="V31" i="23"/>
  <c r="X31" i="23"/>
  <c r="R32" i="23"/>
  <c r="A235" i="23"/>
  <c r="B29" i="23" l="1"/>
  <c r="C29" i="23"/>
  <c r="A30" i="23"/>
  <c r="Q31" i="23"/>
  <c r="E31" i="23" s="1"/>
  <c r="K30" i="23"/>
  <c r="F30" i="23"/>
  <c r="E30" i="23"/>
  <c r="D30" i="23"/>
  <c r="P30" i="23" s="1"/>
  <c r="M29" i="23"/>
  <c r="N29" i="23" s="1"/>
  <c r="Y29" i="23"/>
  <c r="L28" i="23"/>
  <c r="O28" i="23" s="1"/>
  <c r="H29" i="23"/>
  <c r="I235" i="23"/>
  <c r="A236" i="23"/>
  <c r="V32" i="23"/>
  <c r="R33" i="23"/>
  <c r="X32" i="23"/>
  <c r="U32" i="23"/>
  <c r="W32" i="23"/>
  <c r="C30" i="23" l="1"/>
  <c r="B30" i="23"/>
  <c r="Y30" i="23"/>
  <c r="A31" i="23"/>
  <c r="Q32" i="23"/>
  <c r="E32" i="23" s="1"/>
  <c r="K31" i="23"/>
  <c r="H30" i="23"/>
  <c r="L30" i="23" s="1"/>
  <c r="M30" i="23"/>
  <c r="N30" i="23" s="1"/>
  <c r="F31" i="23"/>
  <c r="G31" i="23"/>
  <c r="D31" i="23"/>
  <c r="P31" i="23" s="1"/>
  <c r="L29" i="23"/>
  <c r="O29" i="23" s="1"/>
  <c r="I236" i="23"/>
  <c r="A237" i="23"/>
  <c r="W33" i="23"/>
  <c r="X33" i="23"/>
  <c r="R34" i="23"/>
  <c r="U33" i="23"/>
  <c r="V33" i="23"/>
  <c r="C31" i="23" l="1"/>
  <c r="B31" i="23"/>
  <c r="G32" i="23"/>
  <c r="H31" i="23"/>
  <c r="L31" i="23" s="1"/>
  <c r="A32" i="23"/>
  <c r="D32" i="23"/>
  <c r="P32" i="23" s="1"/>
  <c r="K32" i="23"/>
  <c r="F32" i="23"/>
  <c r="Q33" i="23"/>
  <c r="F33" i="23" s="1"/>
  <c r="Y31" i="23"/>
  <c r="O30" i="23"/>
  <c r="M31" i="23"/>
  <c r="N31" i="23" s="1"/>
  <c r="R35" i="23"/>
  <c r="U34" i="23"/>
  <c r="V34" i="23"/>
  <c r="W34" i="23"/>
  <c r="X34" i="23"/>
  <c r="A238" i="23"/>
  <c r="I237" i="23"/>
  <c r="C32" i="23" l="1"/>
  <c r="B32" i="23"/>
  <c r="G33" i="23"/>
  <c r="M32" i="23"/>
  <c r="N32" i="23" s="1"/>
  <c r="Q34" i="23"/>
  <c r="K34" i="23" s="1"/>
  <c r="Y32" i="23"/>
  <c r="H32" i="23"/>
  <c r="L32" i="23" s="1"/>
  <c r="K33" i="23"/>
  <c r="E33" i="23"/>
  <c r="D33" i="23"/>
  <c r="P33" i="23" s="1"/>
  <c r="A33" i="23"/>
  <c r="O31" i="23"/>
  <c r="Q35" i="23"/>
  <c r="I238" i="23"/>
  <c r="U35" i="23"/>
  <c r="X35" i="23"/>
  <c r="R36" i="23"/>
  <c r="W35" i="23"/>
  <c r="V35" i="23"/>
  <c r="A239" i="23"/>
  <c r="C33" i="23" l="1"/>
  <c r="B33" i="23"/>
  <c r="Y33" i="23"/>
  <c r="H33" i="23"/>
  <c r="L33" i="23" s="1"/>
  <c r="M33" i="23"/>
  <c r="N33" i="23" s="1"/>
  <c r="O32" i="23"/>
  <c r="E34" i="23"/>
  <c r="A34" i="23"/>
  <c r="F34" i="23"/>
  <c r="D34" i="23"/>
  <c r="P34" i="23" s="1"/>
  <c r="G34" i="23"/>
  <c r="E35" i="23"/>
  <c r="G35" i="23"/>
  <c r="F35" i="23"/>
  <c r="K35" i="23"/>
  <c r="D35" i="23"/>
  <c r="P35" i="23" s="1"/>
  <c r="Q36" i="23"/>
  <c r="I239" i="23"/>
  <c r="A240" i="23"/>
  <c r="U36" i="23"/>
  <c r="V36" i="23"/>
  <c r="R37" i="23"/>
  <c r="X36" i="23"/>
  <c r="W36" i="23"/>
  <c r="A35" i="23"/>
  <c r="M34" i="23" l="1"/>
  <c r="N34" i="23" s="1"/>
  <c r="C35" i="23"/>
  <c r="B35" i="23"/>
  <c r="C34" i="23"/>
  <c r="B34" i="23"/>
  <c r="Y34" i="23"/>
  <c r="O33" i="23"/>
  <c r="H34" i="23"/>
  <c r="L34" i="23" s="1"/>
  <c r="M35" i="23"/>
  <c r="N35" i="23" s="1"/>
  <c r="H35" i="23"/>
  <c r="E36" i="23"/>
  <c r="G36" i="23"/>
  <c r="F36" i="23"/>
  <c r="K36" i="23"/>
  <c r="Q37" i="23"/>
  <c r="D36" i="23"/>
  <c r="P36" i="23" s="1"/>
  <c r="I240" i="23"/>
  <c r="W37" i="23"/>
  <c r="U37" i="23"/>
  <c r="R38" i="23"/>
  <c r="X37" i="23"/>
  <c r="V37" i="23"/>
  <c r="A241" i="23"/>
  <c r="Y35" i="23"/>
  <c r="A36" i="23"/>
  <c r="O34" i="23" l="1"/>
  <c r="C36" i="23"/>
  <c r="B36" i="23"/>
  <c r="M36" i="23"/>
  <c r="N36" i="23" s="1"/>
  <c r="L35" i="23"/>
  <c r="O35" i="23" s="1"/>
  <c r="H36" i="23"/>
  <c r="E37" i="23"/>
  <c r="G37" i="23"/>
  <c r="F37" i="23"/>
  <c r="K37" i="23"/>
  <c r="Q38" i="23"/>
  <c r="D37" i="23"/>
  <c r="P37" i="23" s="1"/>
  <c r="Y36" i="23"/>
  <c r="I241" i="23"/>
  <c r="V38" i="23"/>
  <c r="W38" i="23"/>
  <c r="X38" i="23"/>
  <c r="U38" i="23"/>
  <c r="R39" i="23"/>
  <c r="A242" i="23"/>
  <c r="A37" i="23"/>
  <c r="C37" i="23" l="1"/>
  <c r="B37" i="23"/>
  <c r="M37" i="23"/>
  <c r="N37" i="23" s="1"/>
  <c r="L36" i="23"/>
  <c r="O36" i="23" s="1"/>
  <c r="H37" i="23"/>
  <c r="E38" i="23"/>
  <c r="G38" i="23"/>
  <c r="F38" i="23"/>
  <c r="D38" i="23"/>
  <c r="P38" i="23" s="1"/>
  <c r="K38" i="23"/>
  <c r="Q39" i="23"/>
  <c r="I242" i="23"/>
  <c r="A38" i="23"/>
  <c r="Y37" i="23"/>
  <c r="A243" i="23"/>
  <c r="U39" i="23"/>
  <c r="V39" i="23"/>
  <c r="X39" i="23"/>
  <c r="R40" i="23"/>
  <c r="W39" i="23"/>
  <c r="C38" i="23" l="1"/>
  <c r="B38" i="23"/>
  <c r="M38" i="23"/>
  <c r="N38" i="23"/>
  <c r="L37" i="23"/>
  <c r="O37" i="23" s="1"/>
  <c r="H38" i="23"/>
  <c r="E39" i="23"/>
  <c r="G39" i="23"/>
  <c r="F39" i="23"/>
  <c r="K39" i="23"/>
  <c r="D39" i="23"/>
  <c r="P39" i="23" s="1"/>
  <c r="Q40" i="23"/>
  <c r="I243" i="23"/>
  <c r="A39" i="23"/>
  <c r="R41" i="23"/>
  <c r="W40" i="23"/>
  <c r="X40" i="23"/>
  <c r="U40" i="23"/>
  <c r="V40" i="23"/>
  <c r="Y38" i="23"/>
  <c r="A244" i="23"/>
  <c r="C39" i="23" l="1"/>
  <c r="B39" i="23"/>
  <c r="M39" i="23"/>
  <c r="N39" i="23" s="1"/>
  <c r="H39" i="23"/>
  <c r="L38" i="23"/>
  <c r="O38" i="23" s="1"/>
  <c r="E40" i="23"/>
  <c r="G40" i="23"/>
  <c r="F40" i="23"/>
  <c r="K40" i="23"/>
  <c r="D40" i="23"/>
  <c r="P40" i="23" s="1"/>
  <c r="Q41" i="23"/>
  <c r="W41" i="23"/>
  <c r="V41" i="23"/>
  <c r="R42" i="23"/>
  <c r="U41" i="23"/>
  <c r="X41" i="23"/>
  <c r="I244" i="23"/>
  <c r="Y39" i="23"/>
  <c r="A245" i="23"/>
  <c r="A40" i="23"/>
  <c r="C40" i="23" l="1"/>
  <c r="B40" i="23"/>
  <c r="M40" i="23"/>
  <c r="N40" i="23" s="1"/>
  <c r="H40" i="23"/>
  <c r="L39" i="23"/>
  <c r="O39" i="23" s="1"/>
  <c r="E41" i="23"/>
  <c r="G41" i="23"/>
  <c r="F41" i="23"/>
  <c r="K41" i="23"/>
  <c r="D41" i="23"/>
  <c r="P41" i="23" s="1"/>
  <c r="Q42" i="23"/>
  <c r="I245" i="23"/>
  <c r="A246" i="23"/>
  <c r="Y40" i="23"/>
  <c r="X42" i="23"/>
  <c r="V42" i="23"/>
  <c r="R43" i="23"/>
  <c r="W42" i="23"/>
  <c r="U42" i="23"/>
  <c r="A41" i="23"/>
  <c r="C41" i="23" l="1"/>
  <c r="B41" i="23"/>
  <c r="M41" i="23"/>
  <c r="N41" i="23" s="1"/>
  <c r="H41" i="23"/>
  <c r="L40" i="23"/>
  <c r="O40" i="23" s="1"/>
  <c r="E42" i="23"/>
  <c r="G42" i="23"/>
  <c r="F42" i="23"/>
  <c r="K42" i="23"/>
  <c r="D42" i="23"/>
  <c r="P42" i="23" s="1"/>
  <c r="Q43" i="23"/>
  <c r="I246" i="23"/>
  <c r="Y41" i="23"/>
  <c r="R44" i="23"/>
  <c r="U43" i="23"/>
  <c r="V43" i="23"/>
  <c r="W43" i="23"/>
  <c r="X43" i="23"/>
  <c r="A42" i="23"/>
  <c r="A247" i="23"/>
  <c r="C42" i="23" l="1"/>
  <c r="B42" i="23"/>
  <c r="M42" i="23"/>
  <c r="N42" i="23" s="1"/>
  <c r="L41" i="23"/>
  <c r="O41" i="23" s="1"/>
  <c r="H42" i="23"/>
  <c r="E43" i="23"/>
  <c r="G43" i="23"/>
  <c r="F43" i="23"/>
  <c r="K43" i="23"/>
  <c r="D43" i="23"/>
  <c r="P43" i="23" s="1"/>
  <c r="Q44" i="23"/>
  <c r="I247" i="23"/>
  <c r="X44" i="23"/>
  <c r="R45" i="23"/>
  <c r="U44" i="23"/>
  <c r="W44" i="23"/>
  <c r="V44" i="23"/>
  <c r="Y42" i="23"/>
  <c r="I248" i="23"/>
  <c r="A248" i="23"/>
  <c r="A43" i="23"/>
  <c r="C43" i="23" l="1"/>
  <c r="B43" i="23"/>
  <c r="M43" i="23"/>
  <c r="N43" i="23" s="1"/>
  <c r="H43" i="23"/>
  <c r="L42" i="23"/>
  <c r="O42" i="23" s="1"/>
  <c r="E44" i="23"/>
  <c r="G44" i="23"/>
  <c r="F44" i="23"/>
  <c r="K44" i="23"/>
  <c r="Q45" i="23"/>
  <c r="D44" i="23"/>
  <c r="P44" i="23" s="1"/>
  <c r="A44" i="23"/>
  <c r="R46" i="23"/>
  <c r="V45" i="23"/>
  <c r="X45" i="23"/>
  <c r="U45" i="23"/>
  <c r="W45" i="23"/>
  <c r="Y43" i="23"/>
  <c r="A249" i="23"/>
  <c r="C44" i="23" l="1"/>
  <c r="B44" i="23"/>
  <c r="M44" i="23"/>
  <c r="N44" i="23" s="1"/>
  <c r="H44" i="23"/>
  <c r="L43" i="23"/>
  <c r="O43" i="23" s="1"/>
  <c r="E45" i="23"/>
  <c r="G45" i="23"/>
  <c r="F45" i="23"/>
  <c r="K45" i="23"/>
  <c r="D45" i="23"/>
  <c r="P45" i="23" s="1"/>
  <c r="Q46" i="23"/>
  <c r="Y44" i="23"/>
  <c r="I249" i="23"/>
  <c r="A250" i="23"/>
  <c r="A45" i="23"/>
  <c r="R47" i="23"/>
  <c r="U46" i="23"/>
  <c r="W46" i="23"/>
  <c r="X46" i="23"/>
  <c r="V46" i="23"/>
  <c r="C45" i="23" l="1"/>
  <c r="B45" i="23"/>
  <c r="M45" i="23"/>
  <c r="N45" i="23" s="1"/>
  <c r="H45" i="23"/>
  <c r="L44" i="23"/>
  <c r="O44" i="23" s="1"/>
  <c r="E46" i="23"/>
  <c r="G46" i="23"/>
  <c r="F46" i="23"/>
  <c r="K46" i="23"/>
  <c r="D46" i="23"/>
  <c r="P46" i="23" s="1"/>
  <c r="Q47" i="23"/>
  <c r="A251" i="23"/>
  <c r="Y45" i="23"/>
  <c r="X47" i="23"/>
  <c r="W47" i="23"/>
  <c r="R48" i="23"/>
  <c r="U47" i="23"/>
  <c r="V47" i="23"/>
  <c r="A46" i="23"/>
  <c r="I250" i="23"/>
  <c r="C46" i="23" l="1"/>
  <c r="B46" i="23"/>
  <c r="M46" i="23"/>
  <c r="N46" i="23" s="1"/>
  <c r="H46" i="23"/>
  <c r="L45" i="23"/>
  <c r="O45" i="23" s="1"/>
  <c r="E47" i="23"/>
  <c r="G47" i="23"/>
  <c r="F47" i="23"/>
  <c r="K47" i="23"/>
  <c r="Q48" i="23"/>
  <c r="D47" i="23"/>
  <c r="P47" i="23" s="1"/>
  <c r="I251" i="23"/>
  <c r="Y46" i="23"/>
  <c r="A47" i="23"/>
  <c r="R49" i="23"/>
  <c r="W48" i="23"/>
  <c r="X48" i="23"/>
  <c r="U48" i="23"/>
  <c r="V48" i="23"/>
  <c r="A252" i="23"/>
  <c r="C47" i="23" l="1"/>
  <c r="B47" i="23"/>
  <c r="M47" i="23"/>
  <c r="N47" i="23" s="1"/>
  <c r="H47" i="23"/>
  <c r="L46" i="23"/>
  <c r="O46" i="23" s="1"/>
  <c r="E48" i="23"/>
  <c r="G48" i="23"/>
  <c r="F48" i="23"/>
  <c r="K48" i="23"/>
  <c r="D48" i="23"/>
  <c r="P48" i="23" s="1"/>
  <c r="Q49" i="23"/>
  <c r="I252" i="23"/>
  <c r="A253" i="23"/>
  <c r="A48" i="23"/>
  <c r="R50" i="23"/>
  <c r="U49" i="23"/>
  <c r="V49" i="23"/>
  <c r="W49" i="23"/>
  <c r="X49" i="23"/>
  <c r="Y47" i="23"/>
  <c r="C48" i="23" l="1"/>
  <c r="B48" i="23"/>
  <c r="M48" i="23"/>
  <c r="N48" i="23" s="1"/>
  <c r="H48" i="23"/>
  <c r="L47" i="23"/>
  <c r="O47" i="23" s="1"/>
  <c r="E49" i="23"/>
  <c r="G49" i="23"/>
  <c r="F49" i="23"/>
  <c r="K49" i="23"/>
  <c r="Q50" i="23"/>
  <c r="D49" i="23"/>
  <c r="P49" i="23" s="1"/>
  <c r="I253" i="23"/>
  <c r="Y48" i="23"/>
  <c r="A254" i="23"/>
  <c r="A49" i="23"/>
  <c r="R51" i="23"/>
  <c r="W50" i="23"/>
  <c r="X50" i="23"/>
  <c r="U50" i="23"/>
  <c r="V50" i="23"/>
  <c r="C49" i="23" l="1"/>
  <c r="B49" i="23"/>
  <c r="M49" i="23"/>
  <c r="N49" i="23" s="1"/>
  <c r="H49" i="23"/>
  <c r="L48" i="23"/>
  <c r="O48" i="23" s="1"/>
  <c r="E50" i="23"/>
  <c r="G50" i="23"/>
  <c r="F50" i="23"/>
  <c r="D50" i="23"/>
  <c r="P50" i="23" s="1"/>
  <c r="K50" i="23"/>
  <c r="Q51" i="23"/>
  <c r="R52" i="23"/>
  <c r="U51" i="23"/>
  <c r="V51" i="23"/>
  <c r="W51" i="23"/>
  <c r="X51" i="23"/>
  <c r="A50" i="23"/>
  <c r="Y49" i="23"/>
  <c r="I254" i="23"/>
  <c r="A255" i="23"/>
  <c r="C50" i="23" l="1"/>
  <c r="B50" i="23"/>
  <c r="M50" i="23"/>
  <c r="N50" i="23" s="1"/>
  <c r="H50" i="23"/>
  <c r="L49" i="23"/>
  <c r="O49" i="23" s="1"/>
  <c r="E51" i="23"/>
  <c r="G51" i="23"/>
  <c r="F51" i="23"/>
  <c r="K51" i="23"/>
  <c r="D51" i="23"/>
  <c r="P51" i="23" s="1"/>
  <c r="Q52" i="23"/>
  <c r="V52" i="23"/>
  <c r="U52" i="23"/>
  <c r="W52" i="23"/>
  <c r="X52" i="23"/>
  <c r="R53" i="23"/>
  <c r="A256" i="23"/>
  <c r="I255" i="23"/>
  <c r="Y50" i="23"/>
  <c r="A51" i="23"/>
  <c r="C51" i="23" l="1"/>
  <c r="B51" i="23"/>
  <c r="M51" i="23"/>
  <c r="N51" i="23" s="1"/>
  <c r="H51" i="23"/>
  <c r="L50" i="23"/>
  <c r="O50" i="23" s="1"/>
  <c r="E52" i="23"/>
  <c r="G52" i="23"/>
  <c r="F52" i="23"/>
  <c r="K52" i="23"/>
  <c r="D52" i="23"/>
  <c r="P52" i="23" s="1"/>
  <c r="Q53" i="23"/>
  <c r="Y51" i="23"/>
  <c r="A52" i="23"/>
  <c r="A257" i="23"/>
  <c r="W53" i="23"/>
  <c r="V53" i="23"/>
  <c r="R54" i="23"/>
  <c r="U53" i="23"/>
  <c r="X53" i="23"/>
  <c r="I256" i="23"/>
  <c r="C52" i="23" l="1"/>
  <c r="B52" i="23"/>
  <c r="M52" i="23"/>
  <c r="N52" i="23" s="1"/>
  <c r="H52" i="23"/>
  <c r="L51" i="23"/>
  <c r="O51" i="23" s="1"/>
  <c r="E53" i="23"/>
  <c r="G53" i="23"/>
  <c r="F53" i="23"/>
  <c r="K53" i="23"/>
  <c r="Q54" i="23"/>
  <c r="D53" i="23"/>
  <c r="P53" i="23" s="1"/>
  <c r="I257" i="23"/>
  <c r="A53" i="23"/>
  <c r="A258" i="23"/>
  <c r="Y52" i="23"/>
  <c r="V54" i="23"/>
  <c r="U54" i="23"/>
  <c r="R55" i="23"/>
  <c r="W54" i="23"/>
  <c r="X54" i="23"/>
  <c r="C53" i="23" l="1"/>
  <c r="B53" i="23"/>
  <c r="M53" i="23"/>
  <c r="N53" i="23" s="1"/>
  <c r="H53" i="23"/>
  <c r="L52" i="23"/>
  <c r="O52" i="23" s="1"/>
  <c r="E54" i="23"/>
  <c r="G54" i="23"/>
  <c r="F54" i="23"/>
  <c r="D54" i="23"/>
  <c r="P54" i="23" s="1"/>
  <c r="K54" i="23"/>
  <c r="Q55" i="23"/>
  <c r="I258" i="23"/>
  <c r="R56" i="23"/>
  <c r="V55" i="23"/>
  <c r="X55" i="23"/>
  <c r="W55" i="23"/>
  <c r="U55" i="23"/>
  <c r="Y53" i="23"/>
  <c r="A54" i="23"/>
  <c r="A259" i="23"/>
  <c r="C54" i="23" l="1"/>
  <c r="B54" i="23"/>
  <c r="M54" i="23"/>
  <c r="N54" i="23" s="1"/>
  <c r="H54" i="23"/>
  <c r="L53" i="23"/>
  <c r="O53" i="23" s="1"/>
  <c r="E55" i="23"/>
  <c r="G55" i="23"/>
  <c r="F55" i="23"/>
  <c r="D55" i="23"/>
  <c r="P55" i="23" s="1"/>
  <c r="K55" i="23"/>
  <c r="Q56" i="23"/>
  <c r="A260" i="23"/>
  <c r="Y54" i="23"/>
  <c r="X56" i="23"/>
  <c r="U56" i="23"/>
  <c r="W56" i="23"/>
  <c r="V56" i="23"/>
  <c r="R57" i="23"/>
  <c r="I259" i="23"/>
  <c r="A55" i="23"/>
  <c r="C55" i="23" l="1"/>
  <c r="B55" i="23"/>
  <c r="H55" i="23"/>
  <c r="L55" i="23" s="1"/>
  <c r="M55" i="23"/>
  <c r="N55" i="23" s="1"/>
  <c r="L54" i="23"/>
  <c r="O54" i="23" s="1"/>
  <c r="E56" i="23"/>
  <c r="G56" i="23"/>
  <c r="F56" i="23"/>
  <c r="K56" i="23"/>
  <c r="D56" i="23"/>
  <c r="P56" i="23" s="1"/>
  <c r="Q57" i="23"/>
  <c r="I260" i="23"/>
  <c r="W57" i="23"/>
  <c r="R58" i="23"/>
  <c r="X57" i="23"/>
  <c r="V57" i="23"/>
  <c r="U57" i="23"/>
  <c r="A56" i="23"/>
  <c r="Y55" i="23"/>
  <c r="A261" i="23"/>
  <c r="C56" i="23" l="1"/>
  <c r="B56" i="23"/>
  <c r="O55" i="23"/>
  <c r="H56" i="23"/>
  <c r="L56" i="23" s="1"/>
  <c r="M56" i="23"/>
  <c r="N56" i="23" s="1"/>
  <c r="E57" i="23"/>
  <c r="G57" i="23"/>
  <c r="F57" i="23"/>
  <c r="K57" i="23"/>
  <c r="D57" i="23"/>
  <c r="P57" i="23" s="1"/>
  <c r="Q58" i="23"/>
  <c r="I261" i="23"/>
  <c r="Y56" i="23"/>
  <c r="W58" i="23"/>
  <c r="U58" i="23"/>
  <c r="R59" i="23"/>
  <c r="X58" i="23"/>
  <c r="V58" i="23"/>
  <c r="A57" i="23"/>
  <c r="A262" i="23"/>
  <c r="C57" i="23" l="1"/>
  <c r="B57" i="23"/>
  <c r="M57" i="23"/>
  <c r="O56" i="23"/>
  <c r="H57" i="23"/>
  <c r="L57" i="23" s="1"/>
  <c r="N57" i="23"/>
  <c r="E58" i="23"/>
  <c r="G58" i="23"/>
  <c r="F58" i="23"/>
  <c r="K58" i="23"/>
  <c r="D58" i="23"/>
  <c r="P58" i="23" s="1"/>
  <c r="Q59" i="23"/>
  <c r="I262" i="23"/>
  <c r="Y57" i="23"/>
  <c r="A263" i="23"/>
  <c r="X59" i="23"/>
  <c r="W59" i="23"/>
  <c r="R60" i="23"/>
  <c r="U59" i="23"/>
  <c r="V59" i="23"/>
  <c r="A58" i="23"/>
  <c r="C58" i="23" l="1"/>
  <c r="B58" i="23"/>
  <c r="M58" i="23"/>
  <c r="N58" i="23" s="1"/>
  <c r="O57" i="23"/>
  <c r="H58" i="23"/>
  <c r="L58" i="23" s="1"/>
  <c r="E59" i="23"/>
  <c r="G59" i="23"/>
  <c r="F59" i="23"/>
  <c r="D59" i="23"/>
  <c r="P59" i="23" s="1"/>
  <c r="K59" i="23"/>
  <c r="Q60" i="23"/>
  <c r="I263" i="23"/>
  <c r="A59" i="23"/>
  <c r="Y58" i="23"/>
  <c r="A264" i="23"/>
  <c r="X60" i="23"/>
  <c r="V60" i="23"/>
  <c r="W60" i="23"/>
  <c r="R61" i="23"/>
  <c r="U60" i="23"/>
  <c r="C59" i="23" l="1"/>
  <c r="B59" i="23"/>
  <c r="M59" i="23"/>
  <c r="N59" i="23" s="1"/>
  <c r="O58" i="23"/>
  <c r="H59" i="23"/>
  <c r="L59" i="23" s="1"/>
  <c r="E60" i="23"/>
  <c r="G60" i="23"/>
  <c r="F60" i="23"/>
  <c r="K60" i="23"/>
  <c r="D60" i="23"/>
  <c r="P60" i="23" s="1"/>
  <c r="Q61" i="23"/>
  <c r="A60" i="23"/>
  <c r="A265" i="23"/>
  <c r="V61" i="23"/>
  <c r="W61" i="23"/>
  <c r="U61" i="23"/>
  <c r="R62" i="23"/>
  <c r="X61" i="23"/>
  <c r="I264" i="23"/>
  <c r="Y59" i="23"/>
  <c r="C60" i="23" l="1"/>
  <c r="B60" i="23"/>
  <c r="O59" i="23"/>
  <c r="M60" i="23"/>
  <c r="N60" i="23" s="1"/>
  <c r="H60" i="23"/>
  <c r="L60" i="23" s="1"/>
  <c r="E61" i="23"/>
  <c r="G61" i="23"/>
  <c r="F61" i="23"/>
  <c r="K61" i="23"/>
  <c r="D61" i="23"/>
  <c r="P61" i="23" s="1"/>
  <c r="Q62" i="23"/>
  <c r="I265" i="23"/>
  <c r="R63" i="23"/>
  <c r="X62" i="23"/>
  <c r="W62" i="23"/>
  <c r="U62" i="23"/>
  <c r="V62" i="23"/>
  <c r="A61" i="23"/>
  <c r="A266" i="23"/>
  <c r="Y60" i="23"/>
  <c r="C61" i="23" l="1"/>
  <c r="B61" i="23"/>
  <c r="O60" i="23"/>
  <c r="M61" i="23"/>
  <c r="N61" i="23" s="1"/>
  <c r="H61" i="23"/>
  <c r="L61" i="23" s="1"/>
  <c r="E62" i="23"/>
  <c r="G62" i="23"/>
  <c r="F62" i="23"/>
  <c r="K62" i="23"/>
  <c r="D62" i="23"/>
  <c r="P62" i="23" s="1"/>
  <c r="Q63" i="23"/>
  <c r="A267" i="23"/>
  <c r="I266" i="23"/>
  <c r="Y61" i="23"/>
  <c r="R64" i="23"/>
  <c r="U63" i="23"/>
  <c r="V63" i="23"/>
  <c r="X63" i="23"/>
  <c r="W63" i="23"/>
  <c r="A62" i="23"/>
  <c r="C62" i="23" l="1"/>
  <c r="B62" i="23"/>
  <c r="O61" i="23"/>
  <c r="M62" i="23"/>
  <c r="N62" i="23" s="1"/>
  <c r="H62" i="23"/>
  <c r="L62" i="23" s="1"/>
  <c r="E63" i="23"/>
  <c r="G63" i="23"/>
  <c r="F63" i="23"/>
  <c r="K63" i="23"/>
  <c r="D63" i="23"/>
  <c r="P63" i="23" s="1"/>
  <c r="Q64" i="23"/>
  <c r="I267" i="23"/>
  <c r="U64" i="23"/>
  <c r="R65" i="23"/>
  <c r="V64" i="23"/>
  <c r="X64" i="23"/>
  <c r="W64" i="23"/>
  <c r="A63" i="23"/>
  <c r="Y62" i="23"/>
  <c r="A268" i="23"/>
  <c r="C63" i="23" l="1"/>
  <c r="B63" i="23"/>
  <c r="H63" i="23"/>
  <c r="O62" i="23"/>
  <c r="M63" i="23"/>
  <c r="N63" i="23" s="1"/>
  <c r="E64" i="23"/>
  <c r="G64" i="23"/>
  <c r="L63" i="23"/>
  <c r="F64" i="23"/>
  <c r="K64" i="23"/>
  <c r="D64" i="23"/>
  <c r="P64" i="23" s="1"/>
  <c r="Q65" i="23"/>
  <c r="I268" i="23"/>
  <c r="A64" i="23"/>
  <c r="Y63" i="23"/>
  <c r="A269" i="23"/>
  <c r="U65" i="23"/>
  <c r="V65" i="23"/>
  <c r="W65" i="23"/>
  <c r="R66" i="23"/>
  <c r="X65" i="23"/>
  <c r="C64" i="23" l="1"/>
  <c r="B64" i="23"/>
  <c r="H64" i="23"/>
  <c r="O63" i="23"/>
  <c r="M64" i="23"/>
  <c r="N64" i="23" s="1"/>
  <c r="E65" i="23"/>
  <c r="G65" i="23"/>
  <c r="L64" i="23"/>
  <c r="F65" i="23"/>
  <c r="D65" i="23"/>
  <c r="P65" i="23" s="1"/>
  <c r="K65" i="23"/>
  <c r="Q66" i="23"/>
  <c r="I269" i="23"/>
  <c r="A270" i="23"/>
  <c r="A65" i="23"/>
  <c r="X66" i="23"/>
  <c r="R67" i="23"/>
  <c r="V66" i="23"/>
  <c r="W66" i="23"/>
  <c r="U66" i="23"/>
  <c r="Y64" i="23"/>
  <c r="C65" i="23" l="1"/>
  <c r="B65" i="23"/>
  <c r="H65" i="23"/>
  <c r="O64" i="23"/>
  <c r="M65" i="23"/>
  <c r="N65" i="23" s="1"/>
  <c r="G66" i="23"/>
  <c r="E66" i="23"/>
  <c r="L65" i="23"/>
  <c r="F66" i="23"/>
  <c r="K66" i="23"/>
  <c r="D66" i="23"/>
  <c r="P66" i="23" s="1"/>
  <c r="Q67" i="23"/>
  <c r="U67" i="23"/>
  <c r="V67" i="23"/>
  <c r="X67" i="23"/>
  <c r="R68" i="23"/>
  <c r="W67" i="23"/>
  <c r="Y65" i="23"/>
  <c r="A271" i="23"/>
  <c r="A66" i="23"/>
  <c r="I270" i="23"/>
  <c r="C66" i="23" l="1"/>
  <c r="B66" i="23"/>
  <c r="M66" i="23"/>
  <c r="N66" i="23" s="1"/>
  <c r="O65" i="23"/>
  <c r="H66" i="23"/>
  <c r="L66" i="23" s="1"/>
  <c r="G67" i="23"/>
  <c r="E67" i="23"/>
  <c r="F67" i="23"/>
  <c r="K67" i="23"/>
  <c r="D67" i="23"/>
  <c r="P67" i="23" s="1"/>
  <c r="Q68" i="23"/>
  <c r="A272" i="23"/>
  <c r="Y66" i="23"/>
  <c r="I271" i="23"/>
  <c r="A67" i="23"/>
  <c r="V68" i="23"/>
  <c r="R69" i="23"/>
  <c r="W68" i="23"/>
  <c r="X68" i="23"/>
  <c r="U68" i="23"/>
  <c r="C67" i="23" l="1"/>
  <c r="B67" i="23"/>
  <c r="M67" i="23"/>
  <c r="N67" i="23" s="1"/>
  <c r="O66" i="23"/>
  <c r="H67" i="23"/>
  <c r="L67" i="23" s="1"/>
  <c r="G68" i="23"/>
  <c r="E68" i="23"/>
  <c r="F68" i="23"/>
  <c r="K68" i="23"/>
  <c r="D68" i="23"/>
  <c r="P68" i="23" s="1"/>
  <c r="Q69" i="23"/>
  <c r="Y67" i="23"/>
  <c r="A68" i="23"/>
  <c r="A273" i="23"/>
  <c r="V69" i="23"/>
  <c r="W69" i="23"/>
  <c r="U69" i="23"/>
  <c r="X69" i="23"/>
  <c r="R70" i="23"/>
  <c r="I272" i="23"/>
  <c r="C68" i="23" l="1"/>
  <c r="B68" i="23"/>
  <c r="O67" i="23"/>
  <c r="M68" i="23"/>
  <c r="N68" i="23" s="1"/>
  <c r="H68" i="23"/>
  <c r="L68" i="23" s="1"/>
  <c r="G69" i="23"/>
  <c r="E69" i="23"/>
  <c r="F69" i="23"/>
  <c r="K69" i="23"/>
  <c r="D69" i="23"/>
  <c r="P69" i="23" s="1"/>
  <c r="Q70" i="23"/>
  <c r="I273" i="23"/>
  <c r="R71" i="23"/>
  <c r="X70" i="23"/>
  <c r="V70" i="23"/>
  <c r="W70" i="23"/>
  <c r="U70" i="23"/>
  <c r="A69" i="23"/>
  <c r="Y68" i="23"/>
  <c r="A274" i="23"/>
  <c r="C69" i="23" l="1"/>
  <c r="B69" i="23"/>
  <c r="O68" i="23"/>
  <c r="M69" i="23"/>
  <c r="N69" i="23" s="1"/>
  <c r="H69" i="23"/>
  <c r="L69" i="23" s="1"/>
  <c r="G70" i="23"/>
  <c r="E70" i="23"/>
  <c r="F70" i="23"/>
  <c r="K70" i="23"/>
  <c r="D70" i="23"/>
  <c r="P70" i="23" s="1"/>
  <c r="Q71" i="23"/>
  <c r="I274" i="23"/>
  <c r="U71" i="23"/>
  <c r="X71" i="23"/>
  <c r="V71" i="23"/>
  <c r="R72" i="23"/>
  <c r="W71" i="23"/>
  <c r="A275" i="23"/>
  <c r="A70" i="23"/>
  <c r="Y69" i="23"/>
  <c r="C70" i="23" l="1"/>
  <c r="B70" i="23"/>
  <c r="O69" i="23"/>
  <c r="M70" i="23"/>
  <c r="N70" i="23" s="1"/>
  <c r="H70" i="23"/>
  <c r="L70" i="23" s="1"/>
  <c r="G71" i="23"/>
  <c r="E71" i="23"/>
  <c r="F71" i="23"/>
  <c r="K71" i="23"/>
  <c r="D71" i="23"/>
  <c r="P71" i="23" s="1"/>
  <c r="Q72" i="23"/>
  <c r="I275" i="23"/>
  <c r="A71" i="23"/>
  <c r="Y70" i="23"/>
  <c r="A276" i="23"/>
  <c r="X72" i="23"/>
  <c r="U72" i="23"/>
  <c r="R73" i="23"/>
  <c r="V72" i="23"/>
  <c r="W72" i="23"/>
  <c r="C71" i="23" l="1"/>
  <c r="B71" i="23"/>
  <c r="O70" i="23"/>
  <c r="M71" i="23"/>
  <c r="N71" i="23" s="1"/>
  <c r="H71" i="23"/>
  <c r="L71" i="23" s="1"/>
  <c r="G72" i="23"/>
  <c r="E72" i="23"/>
  <c r="F72" i="23"/>
  <c r="K72" i="23"/>
  <c r="D72" i="23"/>
  <c r="P72" i="23" s="1"/>
  <c r="Q73" i="23"/>
  <c r="I276" i="23"/>
  <c r="R74" i="23"/>
  <c r="V73" i="23"/>
  <c r="X73" i="23"/>
  <c r="U73" i="23"/>
  <c r="W73" i="23"/>
  <c r="A72" i="23"/>
  <c r="A277" i="23"/>
  <c r="Y71" i="23"/>
  <c r="C72" i="23" l="1"/>
  <c r="B72" i="23"/>
  <c r="O71" i="23"/>
  <c r="M72" i="23"/>
  <c r="N72" i="23" s="1"/>
  <c r="H72" i="23"/>
  <c r="L72" i="23" s="1"/>
  <c r="G73" i="23"/>
  <c r="E73" i="23"/>
  <c r="F73" i="23"/>
  <c r="K73" i="23"/>
  <c r="D73" i="23"/>
  <c r="P73" i="23" s="1"/>
  <c r="Q74" i="23"/>
  <c r="N74" i="23" s="1"/>
  <c r="A73" i="23"/>
  <c r="I277" i="23"/>
  <c r="A278" i="23"/>
  <c r="Y72" i="23"/>
  <c r="R75" i="23"/>
  <c r="U74" i="23"/>
  <c r="W74" i="23"/>
  <c r="V74" i="23"/>
  <c r="X74" i="23"/>
  <c r="C73" i="23" l="1"/>
  <c r="B73" i="23"/>
  <c r="O72" i="23"/>
  <c r="M73" i="23"/>
  <c r="N73" i="23" s="1"/>
  <c r="H73" i="23"/>
  <c r="L73" i="23" s="1"/>
  <c r="G74" i="23"/>
  <c r="L74" i="23"/>
  <c r="O74" i="23" s="1"/>
  <c r="E74" i="23"/>
  <c r="F74" i="23"/>
  <c r="K74" i="23"/>
  <c r="D74" i="23"/>
  <c r="P74" i="23" s="1"/>
  <c r="Q75" i="23"/>
  <c r="N75" i="23" s="1"/>
  <c r="I278" i="23"/>
  <c r="J278" i="23" s="1"/>
  <c r="K278" i="23" s="1"/>
  <c r="R76" i="23"/>
  <c r="W75" i="23"/>
  <c r="X75" i="23"/>
  <c r="V75" i="23"/>
  <c r="U75" i="23"/>
  <c r="A74" i="23"/>
  <c r="A279" i="23"/>
  <c r="Y73" i="23"/>
  <c r="C74" i="23" l="1"/>
  <c r="B74" i="23"/>
  <c r="J277" i="23"/>
  <c r="K277" i="23" s="1"/>
  <c r="J276" i="23"/>
  <c r="K276" i="23" s="1"/>
  <c r="O73" i="23"/>
  <c r="J275" i="23"/>
  <c r="K275" i="23" s="1"/>
  <c r="M74" i="23"/>
  <c r="H74" i="23"/>
  <c r="G75" i="23"/>
  <c r="L75" i="23"/>
  <c r="O75" i="23" s="1"/>
  <c r="E75" i="23"/>
  <c r="F75" i="23"/>
  <c r="K75" i="23"/>
  <c r="D75" i="23"/>
  <c r="P75" i="23" s="1"/>
  <c r="Q76" i="23"/>
  <c r="N76" i="23" s="1"/>
  <c r="I279" i="23"/>
  <c r="J279" i="23" s="1"/>
  <c r="X76" i="23"/>
  <c r="R77" i="23"/>
  <c r="V76" i="23"/>
  <c r="W76" i="23"/>
  <c r="U76" i="23"/>
  <c r="A280" i="23"/>
  <c r="Y74" i="23"/>
  <c r="A75" i="23"/>
  <c r="C75" i="23" l="1"/>
  <c r="B75" i="23"/>
  <c r="M75" i="23"/>
  <c r="H75" i="23"/>
  <c r="G76" i="23"/>
  <c r="L76" i="23"/>
  <c r="O76" i="23" s="1"/>
  <c r="E76" i="23"/>
  <c r="F76" i="23"/>
  <c r="K76" i="23"/>
  <c r="D76" i="23"/>
  <c r="P76" i="23" s="1"/>
  <c r="Q77" i="23"/>
  <c r="N77" i="23" s="1"/>
  <c r="K279" i="23"/>
  <c r="I280" i="23"/>
  <c r="J280" i="23" s="1"/>
  <c r="V77" i="23"/>
  <c r="X77" i="23"/>
  <c r="W77" i="23"/>
  <c r="U77" i="23"/>
  <c r="R78" i="23"/>
  <c r="Y75" i="23"/>
  <c r="A76" i="23"/>
  <c r="A281" i="23"/>
  <c r="C76" i="23" l="1"/>
  <c r="B76" i="23"/>
  <c r="M76" i="23"/>
  <c r="H76" i="23"/>
  <c r="G77" i="23"/>
  <c r="L77" i="23"/>
  <c r="O77" i="23" s="1"/>
  <c r="E77" i="23"/>
  <c r="F77" i="23"/>
  <c r="K77" i="23"/>
  <c r="D77" i="23"/>
  <c r="P77" i="23" s="1"/>
  <c r="Q78" i="23"/>
  <c r="N78" i="23" s="1"/>
  <c r="K280" i="23"/>
  <c r="I281" i="23"/>
  <c r="J281" i="23" s="1"/>
  <c r="Y76" i="23"/>
  <c r="A77" i="23"/>
  <c r="A282" i="23"/>
  <c r="W78" i="23"/>
  <c r="R79" i="23"/>
  <c r="X78" i="23"/>
  <c r="V78" i="23"/>
  <c r="U78" i="23"/>
  <c r="C77" i="23" l="1"/>
  <c r="B77" i="23"/>
  <c r="M77" i="23"/>
  <c r="H77" i="23"/>
  <c r="G78" i="23"/>
  <c r="L78" i="23"/>
  <c r="O78" i="23" s="1"/>
  <c r="E78" i="23"/>
  <c r="F78" i="23"/>
  <c r="K78" i="23"/>
  <c r="D78" i="23"/>
  <c r="P78" i="23" s="1"/>
  <c r="Q79" i="23"/>
  <c r="N79" i="23" s="1"/>
  <c r="W79" i="23"/>
  <c r="R80" i="23"/>
  <c r="U79" i="23"/>
  <c r="X79" i="23"/>
  <c r="V79" i="23"/>
  <c r="A283" i="23"/>
  <c r="Y77" i="23"/>
  <c r="A78" i="23"/>
  <c r="I282" i="23"/>
  <c r="J282" i="23" s="1"/>
  <c r="K281" i="23"/>
  <c r="C78" i="23" l="1"/>
  <c r="B78" i="23"/>
  <c r="M78" i="23"/>
  <c r="H78" i="23"/>
  <c r="G79" i="23"/>
  <c r="L79" i="23"/>
  <c r="O79" i="23" s="1"/>
  <c r="E79" i="23"/>
  <c r="F79" i="23"/>
  <c r="K79" i="23"/>
  <c r="D79" i="23"/>
  <c r="P79" i="23" s="1"/>
  <c r="Q80" i="23"/>
  <c r="N80" i="23" s="1"/>
  <c r="I283" i="23"/>
  <c r="J283" i="23" s="1"/>
  <c r="K283" i="23" s="1"/>
  <c r="V80" i="23"/>
  <c r="U80" i="23"/>
  <c r="W80" i="23"/>
  <c r="X80" i="23"/>
  <c r="R81" i="23"/>
  <c r="Y78" i="23"/>
  <c r="A79" i="23"/>
  <c r="K282" i="23"/>
  <c r="A284" i="23"/>
  <c r="C79" i="23" l="1"/>
  <c r="B79" i="23"/>
  <c r="M79" i="23"/>
  <c r="H79" i="23"/>
  <c r="G80" i="23"/>
  <c r="L80" i="23"/>
  <c r="O80" i="23" s="1"/>
  <c r="E80" i="23"/>
  <c r="F80" i="23"/>
  <c r="K80" i="23"/>
  <c r="D80" i="23"/>
  <c r="P80" i="23" s="1"/>
  <c r="Q81" i="23"/>
  <c r="N81" i="23" s="1"/>
  <c r="I284" i="23"/>
  <c r="J284" i="23" s="1"/>
  <c r="Y79" i="23"/>
  <c r="A285" i="23"/>
  <c r="W81" i="23"/>
  <c r="U81" i="23"/>
  <c r="V81" i="23"/>
  <c r="R82" i="23"/>
  <c r="X81" i="23"/>
  <c r="A80" i="23"/>
  <c r="C80" i="23" l="1"/>
  <c r="B80" i="23"/>
  <c r="M80" i="23"/>
  <c r="H80" i="23"/>
  <c r="G81" i="23"/>
  <c r="L81" i="23"/>
  <c r="O81" i="23" s="1"/>
  <c r="E81" i="23"/>
  <c r="F81" i="23"/>
  <c r="K81" i="23"/>
  <c r="D81" i="23"/>
  <c r="P81" i="23" s="1"/>
  <c r="Q82" i="23"/>
  <c r="N82" i="23" s="1"/>
  <c r="K284" i="23"/>
  <c r="Y80" i="23"/>
  <c r="A81" i="23"/>
  <c r="I285" i="23"/>
  <c r="J285" i="23" s="1"/>
  <c r="U82" i="23"/>
  <c r="X82" i="23"/>
  <c r="R83" i="23"/>
  <c r="W82" i="23"/>
  <c r="V82" i="23"/>
  <c r="A286" i="23"/>
  <c r="C81" i="23" l="1"/>
  <c r="B81" i="23"/>
  <c r="M81" i="23"/>
  <c r="H81" i="23"/>
  <c r="G82" i="23"/>
  <c r="L82" i="23"/>
  <c r="O82" i="23" s="1"/>
  <c r="E82" i="23"/>
  <c r="F82" i="23"/>
  <c r="K82" i="23"/>
  <c r="D82" i="23"/>
  <c r="P82" i="23" s="1"/>
  <c r="Q83" i="23"/>
  <c r="N83" i="23" s="1"/>
  <c r="I286" i="23"/>
  <c r="J286" i="23" s="1"/>
  <c r="K286" i="23" s="1"/>
  <c r="K285" i="23"/>
  <c r="A82" i="23"/>
  <c r="Y81" i="23"/>
  <c r="U83" i="23"/>
  <c r="W83" i="23"/>
  <c r="X83" i="23"/>
  <c r="R84" i="23"/>
  <c r="V83" i="23"/>
  <c r="A287" i="23"/>
  <c r="C82" i="23" l="1"/>
  <c r="B82" i="23"/>
  <c r="M82" i="23"/>
  <c r="H82" i="23"/>
  <c r="G83" i="23"/>
  <c r="L83" i="23"/>
  <c r="O83" i="23" s="1"/>
  <c r="E83" i="23"/>
  <c r="F83" i="23"/>
  <c r="K83" i="23"/>
  <c r="D83" i="23"/>
  <c r="P83" i="23" s="1"/>
  <c r="Q84" i="23"/>
  <c r="N84" i="23" s="1"/>
  <c r="I287" i="23"/>
  <c r="J287" i="23" s="1"/>
  <c r="V84" i="23"/>
  <c r="U84" i="23"/>
  <c r="X84" i="23"/>
  <c r="R85" i="23"/>
  <c r="W84" i="23"/>
  <c r="A288" i="23"/>
  <c r="A83" i="23"/>
  <c r="Y82" i="23"/>
  <c r="C83" i="23" l="1"/>
  <c r="B83" i="23"/>
  <c r="M83" i="23"/>
  <c r="H83" i="23"/>
  <c r="G84" i="23"/>
  <c r="L84" i="23"/>
  <c r="O84" i="23" s="1"/>
  <c r="E84" i="23"/>
  <c r="F84" i="23"/>
  <c r="K84" i="23"/>
  <c r="D84" i="23"/>
  <c r="P84" i="23" s="1"/>
  <c r="Q85" i="23"/>
  <c r="N85" i="23" s="1"/>
  <c r="K287" i="23"/>
  <c r="Y83" i="23"/>
  <c r="X85" i="23"/>
  <c r="W85" i="23"/>
  <c r="R86" i="23"/>
  <c r="U85" i="23"/>
  <c r="V85" i="23"/>
  <c r="A289" i="23"/>
  <c r="I288" i="23"/>
  <c r="J288" i="23" s="1"/>
  <c r="A84" i="23"/>
  <c r="C84" i="23" l="1"/>
  <c r="B84" i="23"/>
  <c r="M84" i="23"/>
  <c r="H84" i="23"/>
  <c r="G85" i="23"/>
  <c r="L85" i="23"/>
  <c r="O85" i="23" s="1"/>
  <c r="E85" i="23"/>
  <c r="F85" i="23"/>
  <c r="K85" i="23"/>
  <c r="D85" i="23"/>
  <c r="P85" i="23" s="1"/>
  <c r="Q86" i="23"/>
  <c r="N86" i="23" s="1"/>
  <c r="I289" i="23"/>
  <c r="J289" i="23" s="1"/>
  <c r="K289" i="23" s="1"/>
  <c r="A290" i="23"/>
  <c r="K288" i="23"/>
  <c r="A85" i="23"/>
  <c r="X86" i="23"/>
  <c r="V86" i="23"/>
  <c r="R87" i="23"/>
  <c r="U86" i="23"/>
  <c r="W86" i="23"/>
  <c r="Y84" i="23"/>
  <c r="C85" i="23" l="1"/>
  <c r="B85" i="23"/>
  <c r="M85" i="23"/>
  <c r="H85" i="23"/>
  <c r="G86" i="23"/>
  <c r="L86" i="23"/>
  <c r="O86" i="23" s="1"/>
  <c r="E86" i="23"/>
  <c r="F86" i="23"/>
  <c r="K86" i="23"/>
  <c r="D86" i="23"/>
  <c r="P86" i="23" s="1"/>
  <c r="Q87" i="23"/>
  <c r="N87" i="23" s="1"/>
  <c r="I290" i="23"/>
  <c r="J290" i="23" s="1"/>
  <c r="K290" i="23" s="1"/>
  <c r="V87" i="23"/>
  <c r="X87" i="23"/>
  <c r="U87" i="23"/>
  <c r="W87" i="23"/>
  <c r="R88" i="23"/>
  <c r="Y85" i="23"/>
  <c r="A291" i="23"/>
  <c r="A86" i="23"/>
  <c r="C86" i="23" l="1"/>
  <c r="B86" i="23"/>
  <c r="M86" i="23"/>
  <c r="H86" i="23"/>
  <c r="G87" i="23"/>
  <c r="L87" i="23"/>
  <c r="O87" i="23" s="1"/>
  <c r="E87" i="23"/>
  <c r="F87" i="23"/>
  <c r="K87" i="23"/>
  <c r="D87" i="23"/>
  <c r="P87" i="23" s="1"/>
  <c r="Q88" i="23"/>
  <c r="N88" i="23" s="1"/>
  <c r="A292" i="23"/>
  <c r="A87" i="23"/>
  <c r="Y86" i="23"/>
  <c r="I291" i="23"/>
  <c r="J291" i="23" s="1"/>
  <c r="W88" i="23"/>
  <c r="U88" i="23"/>
  <c r="V88" i="23"/>
  <c r="X88" i="23"/>
  <c r="R89" i="23"/>
  <c r="C87" i="23" l="1"/>
  <c r="B87" i="23"/>
  <c r="M87" i="23"/>
  <c r="H87" i="23"/>
  <c r="G88" i="23"/>
  <c r="L88" i="23"/>
  <c r="O88" i="23" s="1"/>
  <c r="E88" i="23"/>
  <c r="F88" i="23"/>
  <c r="K88" i="23"/>
  <c r="D88" i="23"/>
  <c r="P88" i="23" s="1"/>
  <c r="Q89" i="23"/>
  <c r="N89" i="23" s="1"/>
  <c r="I292" i="23"/>
  <c r="J292" i="23" s="1"/>
  <c r="K292" i="23" s="1"/>
  <c r="A293" i="23"/>
  <c r="R90" i="23"/>
  <c r="W89" i="23"/>
  <c r="V89" i="23"/>
  <c r="X89" i="23"/>
  <c r="U89" i="23"/>
  <c r="Y87" i="23"/>
  <c r="A88" i="23"/>
  <c r="K291" i="23"/>
  <c r="C88" i="23" l="1"/>
  <c r="B88" i="23"/>
  <c r="M88" i="23"/>
  <c r="H88" i="23"/>
  <c r="G89" i="23"/>
  <c r="L89" i="23"/>
  <c r="O89" i="23" s="1"/>
  <c r="E89" i="23"/>
  <c r="F89" i="23"/>
  <c r="K89" i="23"/>
  <c r="D89" i="23"/>
  <c r="P89" i="23" s="1"/>
  <c r="Q90" i="23"/>
  <c r="N90" i="23" s="1"/>
  <c r="Y88" i="23"/>
  <c r="A89" i="23"/>
  <c r="I293" i="23"/>
  <c r="J293" i="23" s="1"/>
  <c r="A294" i="23"/>
  <c r="V90" i="23"/>
  <c r="U90" i="23"/>
  <c r="R91" i="23"/>
  <c r="W90" i="23"/>
  <c r="X90" i="23"/>
  <c r="C89" i="23" l="1"/>
  <c r="B89" i="23"/>
  <c r="M89" i="23"/>
  <c r="H89" i="23"/>
  <c r="G90" i="23"/>
  <c r="L90" i="23"/>
  <c r="O90" i="23" s="1"/>
  <c r="E90" i="23"/>
  <c r="F90" i="23"/>
  <c r="K90" i="23"/>
  <c r="D90" i="23"/>
  <c r="P90" i="23" s="1"/>
  <c r="Q91" i="23"/>
  <c r="N91" i="23" s="1"/>
  <c r="A90" i="23"/>
  <c r="Y89" i="23"/>
  <c r="K293" i="23"/>
  <c r="A295" i="23"/>
  <c r="R92" i="23"/>
  <c r="X91" i="23"/>
  <c r="U91" i="23"/>
  <c r="V91" i="23"/>
  <c r="W91" i="23"/>
  <c r="I294" i="23"/>
  <c r="J294" i="23" s="1"/>
  <c r="C90" i="23" l="1"/>
  <c r="B90" i="23"/>
  <c r="M90" i="23"/>
  <c r="H90" i="23"/>
  <c r="G91" i="23"/>
  <c r="L91" i="23"/>
  <c r="O91" i="23" s="1"/>
  <c r="E91" i="23"/>
  <c r="F91" i="23"/>
  <c r="K91" i="23"/>
  <c r="D91" i="23"/>
  <c r="P91" i="23" s="1"/>
  <c r="Q92" i="23"/>
  <c r="N92" i="23" s="1"/>
  <c r="A296" i="23"/>
  <c r="I295" i="23"/>
  <c r="J295" i="23" s="1"/>
  <c r="W92" i="23"/>
  <c r="R93" i="23"/>
  <c r="V92" i="23"/>
  <c r="U92" i="23"/>
  <c r="X92" i="23"/>
  <c r="K294" i="23"/>
  <c r="A91" i="23"/>
  <c r="Y90" i="23"/>
  <c r="C91" i="23" l="1"/>
  <c r="B91" i="23"/>
  <c r="M91" i="23"/>
  <c r="H91" i="23"/>
  <c r="G92" i="23"/>
  <c r="L92" i="23"/>
  <c r="O92" i="23" s="1"/>
  <c r="E92" i="23"/>
  <c r="F92" i="23"/>
  <c r="K92" i="23"/>
  <c r="D92" i="23"/>
  <c r="P92" i="23" s="1"/>
  <c r="Q93" i="23"/>
  <c r="N93" i="23" s="1"/>
  <c r="I296" i="23"/>
  <c r="J296" i="23" s="1"/>
  <c r="K295" i="23"/>
  <c r="V93" i="23"/>
  <c r="W93" i="23"/>
  <c r="R94" i="23"/>
  <c r="U93" i="23"/>
  <c r="X93" i="23"/>
  <c r="A92" i="23"/>
  <c r="Y91" i="23"/>
  <c r="A297" i="23"/>
  <c r="C92" i="23" l="1"/>
  <c r="B92" i="23"/>
  <c r="M92" i="23"/>
  <c r="H92" i="23"/>
  <c r="G93" i="23"/>
  <c r="L93" i="23"/>
  <c r="O93" i="23" s="1"/>
  <c r="E93" i="23"/>
  <c r="F93" i="23"/>
  <c r="K93" i="23"/>
  <c r="D93" i="23"/>
  <c r="P93" i="23" s="1"/>
  <c r="Q94" i="23"/>
  <c r="N94" i="23" s="1"/>
  <c r="K296" i="23"/>
  <c r="A298" i="23"/>
  <c r="V94" i="23"/>
  <c r="X94" i="23"/>
  <c r="R95" i="23"/>
  <c r="U94" i="23"/>
  <c r="W94" i="23"/>
  <c r="Y92" i="23"/>
  <c r="I297" i="23"/>
  <c r="J297" i="23" s="1"/>
  <c r="A93" i="23"/>
  <c r="C93" i="23" l="1"/>
  <c r="B93" i="23"/>
  <c r="M93" i="23"/>
  <c r="H93" i="23"/>
  <c r="G94" i="23"/>
  <c r="L94" i="23"/>
  <c r="O94" i="23" s="1"/>
  <c r="E94" i="23"/>
  <c r="F94" i="23"/>
  <c r="K94" i="23"/>
  <c r="D94" i="23"/>
  <c r="P94" i="23" s="1"/>
  <c r="Q95" i="23"/>
  <c r="N95" i="23" s="1"/>
  <c r="I298" i="23"/>
  <c r="J298" i="23" s="1"/>
  <c r="A94" i="23"/>
  <c r="Y93" i="23"/>
  <c r="U95" i="23"/>
  <c r="R96" i="23"/>
  <c r="W95" i="23"/>
  <c r="X95" i="23"/>
  <c r="V95" i="23"/>
  <c r="A299" i="23"/>
  <c r="K297" i="23"/>
  <c r="C94" i="23" l="1"/>
  <c r="B94" i="23"/>
  <c r="M94" i="23"/>
  <c r="H94" i="23"/>
  <c r="G95" i="23"/>
  <c r="L95" i="23"/>
  <c r="O95" i="23" s="1"/>
  <c r="E95" i="23"/>
  <c r="F95" i="23"/>
  <c r="K95" i="23"/>
  <c r="D95" i="23"/>
  <c r="P95" i="23" s="1"/>
  <c r="Q96" i="23"/>
  <c r="N96" i="23" s="1"/>
  <c r="K298" i="23"/>
  <c r="I299" i="23"/>
  <c r="J299" i="23" s="1"/>
  <c r="A300" i="23"/>
  <c r="R97" i="23"/>
  <c r="W96" i="23"/>
  <c r="V96" i="23"/>
  <c r="U96" i="23"/>
  <c r="X96" i="23"/>
  <c r="A95" i="23"/>
  <c r="Y94" i="23"/>
  <c r="C95" i="23" l="1"/>
  <c r="B95" i="23"/>
  <c r="M95" i="23"/>
  <c r="H95" i="23"/>
  <c r="G96" i="23"/>
  <c r="L96" i="23"/>
  <c r="O96" i="23" s="1"/>
  <c r="E96" i="23"/>
  <c r="F96" i="23"/>
  <c r="K96" i="23"/>
  <c r="D96" i="23"/>
  <c r="P96" i="23" s="1"/>
  <c r="Q97" i="23"/>
  <c r="N97" i="23" s="1"/>
  <c r="I300" i="23"/>
  <c r="J300" i="23" s="1"/>
  <c r="K300" i="23" s="1"/>
  <c r="K299" i="23"/>
  <c r="V97" i="23"/>
  <c r="X97" i="23"/>
  <c r="R98" i="23"/>
  <c r="U97" i="23"/>
  <c r="W97" i="23"/>
  <c r="Y95" i="23"/>
  <c r="A301" i="23"/>
  <c r="A96" i="23"/>
  <c r="C96" i="23" l="1"/>
  <c r="B96" i="23"/>
  <c r="M96" i="23"/>
  <c r="H96" i="23"/>
  <c r="G97" i="23"/>
  <c r="L97" i="23"/>
  <c r="O97" i="23" s="1"/>
  <c r="E97" i="23"/>
  <c r="F97" i="23"/>
  <c r="K97" i="23"/>
  <c r="D97" i="23"/>
  <c r="P97" i="23" s="1"/>
  <c r="Q98" i="23"/>
  <c r="N98" i="23" s="1"/>
  <c r="Y96" i="23"/>
  <c r="A97" i="23"/>
  <c r="A302" i="23"/>
  <c r="W98" i="23"/>
  <c r="X98" i="23"/>
  <c r="V98" i="23"/>
  <c r="R99" i="23"/>
  <c r="U98" i="23"/>
  <c r="I301" i="23"/>
  <c r="J301" i="23" s="1"/>
  <c r="C97" i="23" l="1"/>
  <c r="B97" i="23"/>
  <c r="M97" i="23"/>
  <c r="H97" i="23"/>
  <c r="G98" i="23"/>
  <c r="L98" i="23"/>
  <c r="O98" i="23" s="1"/>
  <c r="E98" i="23"/>
  <c r="F98" i="23"/>
  <c r="K98" i="23"/>
  <c r="D98" i="23"/>
  <c r="P98" i="23" s="1"/>
  <c r="Q99" i="23"/>
  <c r="N99" i="23" s="1"/>
  <c r="I302" i="23"/>
  <c r="J302" i="23" s="1"/>
  <c r="U99" i="23"/>
  <c r="R100" i="23"/>
  <c r="X99" i="23"/>
  <c r="W99" i="23"/>
  <c r="V99" i="23"/>
  <c r="K301" i="23"/>
  <c r="Y97" i="23"/>
  <c r="A98" i="23"/>
  <c r="A303" i="23"/>
  <c r="C98" i="23" l="1"/>
  <c r="B98" i="23"/>
  <c r="M98" i="23"/>
  <c r="H98" i="23"/>
  <c r="G99" i="23"/>
  <c r="L99" i="23"/>
  <c r="O99" i="23" s="1"/>
  <c r="E99" i="23"/>
  <c r="F99" i="23"/>
  <c r="K99" i="23"/>
  <c r="D99" i="23"/>
  <c r="P99" i="23" s="1"/>
  <c r="Q100" i="23"/>
  <c r="N100" i="23" s="1"/>
  <c r="A304" i="23"/>
  <c r="I303" i="23"/>
  <c r="J303" i="23" s="1"/>
  <c r="K302" i="23"/>
  <c r="A99" i="23"/>
  <c r="R101" i="23"/>
  <c r="X100" i="23"/>
  <c r="V100" i="23"/>
  <c r="W100" i="23"/>
  <c r="U100" i="23"/>
  <c r="Y98" i="23"/>
  <c r="C99" i="23" l="1"/>
  <c r="B99" i="23"/>
  <c r="M99" i="23"/>
  <c r="H99" i="23"/>
  <c r="G100" i="23"/>
  <c r="L100" i="23"/>
  <c r="O100" i="23" s="1"/>
  <c r="E100" i="23"/>
  <c r="F100" i="23"/>
  <c r="K100" i="23"/>
  <c r="D100" i="23"/>
  <c r="P100" i="23" s="1"/>
  <c r="Q101" i="23"/>
  <c r="N101" i="23" s="1"/>
  <c r="I304" i="23"/>
  <c r="J304" i="23" s="1"/>
  <c r="Y99" i="23"/>
  <c r="K303" i="23"/>
  <c r="R102" i="23"/>
  <c r="U101" i="23"/>
  <c r="V101" i="23"/>
  <c r="X101" i="23"/>
  <c r="W101" i="23"/>
  <c r="A100" i="23"/>
  <c r="A305" i="23"/>
  <c r="C100" i="23" l="1"/>
  <c r="B100" i="23"/>
  <c r="M100" i="23"/>
  <c r="H100" i="23"/>
  <c r="G101" i="23"/>
  <c r="L101" i="23"/>
  <c r="O101" i="23" s="1"/>
  <c r="E101" i="23"/>
  <c r="F101" i="23"/>
  <c r="K101" i="23"/>
  <c r="D101" i="23"/>
  <c r="P101" i="23" s="1"/>
  <c r="Q102" i="23"/>
  <c r="N102" i="23" s="1"/>
  <c r="K304" i="23"/>
  <c r="Y100" i="23"/>
  <c r="A306" i="23"/>
  <c r="I305" i="23"/>
  <c r="J305" i="23" s="1"/>
  <c r="A101" i="23"/>
  <c r="X102" i="23"/>
  <c r="V102" i="23"/>
  <c r="U102" i="23"/>
  <c r="W102" i="23"/>
  <c r="R103" i="23"/>
  <c r="C101" i="23" l="1"/>
  <c r="B101" i="23"/>
  <c r="M101" i="23"/>
  <c r="H101" i="23"/>
  <c r="G102" i="23"/>
  <c r="L102" i="23"/>
  <c r="O102" i="23" s="1"/>
  <c r="E102" i="23"/>
  <c r="F102" i="23"/>
  <c r="K102" i="23"/>
  <c r="D102" i="23"/>
  <c r="P102" i="23" s="1"/>
  <c r="Q103" i="23"/>
  <c r="N103" i="23" s="1"/>
  <c r="I306" i="23"/>
  <c r="J306" i="23" s="1"/>
  <c r="Y101" i="23"/>
  <c r="V103" i="23"/>
  <c r="U103" i="23"/>
  <c r="X103" i="23"/>
  <c r="R104" i="23"/>
  <c r="W103" i="23"/>
  <c r="A307" i="23"/>
  <c r="A102" i="23"/>
  <c r="K305" i="23"/>
  <c r="C102" i="23" l="1"/>
  <c r="B102" i="23"/>
  <c r="M102" i="23"/>
  <c r="H102" i="23"/>
  <c r="G103" i="23"/>
  <c r="L103" i="23"/>
  <c r="O103" i="23" s="1"/>
  <c r="E103" i="23"/>
  <c r="F103" i="23"/>
  <c r="D103" i="23"/>
  <c r="P103" i="23" s="1"/>
  <c r="K103" i="23"/>
  <c r="Q104" i="23"/>
  <c r="N104" i="23" s="1"/>
  <c r="I307" i="23"/>
  <c r="J307" i="23" s="1"/>
  <c r="K306" i="23"/>
  <c r="Y102" i="23"/>
  <c r="A308" i="23"/>
  <c r="A103" i="23"/>
  <c r="X104" i="23"/>
  <c r="U104" i="23"/>
  <c r="R105" i="23"/>
  <c r="W104" i="23"/>
  <c r="V104" i="23"/>
  <c r="C103" i="23" l="1"/>
  <c r="B103" i="23"/>
  <c r="M103" i="23"/>
  <c r="H103" i="23"/>
  <c r="G104" i="23"/>
  <c r="L104" i="23"/>
  <c r="O104" i="23" s="1"/>
  <c r="E104" i="23"/>
  <c r="F104" i="23"/>
  <c r="K104" i="23"/>
  <c r="D104" i="23"/>
  <c r="P104" i="23" s="1"/>
  <c r="Q105" i="23"/>
  <c r="N105" i="23" s="1"/>
  <c r="I308" i="23"/>
  <c r="J308" i="23" s="1"/>
  <c r="K307" i="23"/>
  <c r="V105" i="23"/>
  <c r="W105" i="23"/>
  <c r="U105" i="23"/>
  <c r="R106" i="23"/>
  <c r="X105" i="23"/>
  <c r="Y103" i="23"/>
  <c r="A309" i="23"/>
  <c r="A104" i="23"/>
  <c r="C104" i="23" l="1"/>
  <c r="B104" i="23"/>
  <c r="M104" i="23"/>
  <c r="H104" i="23"/>
  <c r="G105" i="23"/>
  <c r="L105" i="23"/>
  <c r="O105" i="23" s="1"/>
  <c r="E105" i="23"/>
  <c r="F105" i="23"/>
  <c r="K105" i="23"/>
  <c r="D105" i="23"/>
  <c r="P105" i="23" s="1"/>
  <c r="Q106" i="23"/>
  <c r="N106" i="23" s="1"/>
  <c r="I309" i="23"/>
  <c r="J309" i="23" s="1"/>
  <c r="K309" i="23" s="1"/>
  <c r="K308" i="23"/>
  <c r="Y104" i="23"/>
  <c r="A310" i="23"/>
  <c r="A105" i="23"/>
  <c r="W106" i="23"/>
  <c r="X106" i="23"/>
  <c r="R107" i="23"/>
  <c r="V106" i="23"/>
  <c r="U106" i="23"/>
  <c r="C105" i="23" l="1"/>
  <c r="B105" i="23"/>
  <c r="M105" i="23"/>
  <c r="H105" i="23"/>
  <c r="G106" i="23"/>
  <c r="L106" i="23"/>
  <c r="O106" i="23" s="1"/>
  <c r="E106" i="23"/>
  <c r="F106" i="23"/>
  <c r="K106" i="23"/>
  <c r="D106" i="23"/>
  <c r="P106" i="23" s="1"/>
  <c r="Q107" i="23"/>
  <c r="N107" i="23" s="1"/>
  <c r="X107" i="23"/>
  <c r="W107" i="23"/>
  <c r="V107" i="23"/>
  <c r="R108" i="23"/>
  <c r="U107" i="23"/>
  <c r="A311" i="23"/>
  <c r="A106" i="23"/>
  <c r="Y105" i="23"/>
  <c r="I310" i="23"/>
  <c r="J310" i="23" s="1"/>
  <c r="C106" i="23" l="1"/>
  <c r="B106" i="23"/>
  <c r="M106" i="23"/>
  <c r="H106" i="23"/>
  <c r="G107" i="23"/>
  <c r="L107" i="23"/>
  <c r="O107" i="23" s="1"/>
  <c r="E107" i="23"/>
  <c r="F107" i="23"/>
  <c r="K107" i="23"/>
  <c r="D107" i="23"/>
  <c r="P107" i="23" s="1"/>
  <c r="Q108" i="23"/>
  <c r="N108" i="23" s="1"/>
  <c r="Y106" i="23"/>
  <c r="K310" i="23"/>
  <c r="I311" i="23"/>
  <c r="J311" i="23" s="1"/>
  <c r="A107" i="23"/>
  <c r="A312" i="23"/>
  <c r="V108" i="23"/>
  <c r="U108" i="23"/>
  <c r="W108" i="23"/>
  <c r="X108" i="23"/>
  <c r="R109" i="23"/>
  <c r="C107" i="23" l="1"/>
  <c r="B107" i="23"/>
  <c r="M107" i="23"/>
  <c r="H107" i="23"/>
  <c r="G108" i="23"/>
  <c r="L108" i="23"/>
  <c r="O108" i="23" s="1"/>
  <c r="E108" i="23"/>
  <c r="F108" i="23"/>
  <c r="K108" i="23"/>
  <c r="D108" i="23"/>
  <c r="P108" i="23" s="1"/>
  <c r="Q109" i="23"/>
  <c r="N109" i="23" s="1"/>
  <c r="W109" i="23"/>
  <c r="U109" i="23"/>
  <c r="V109" i="23"/>
  <c r="X109" i="23"/>
  <c r="R110" i="23"/>
  <c r="A108" i="23"/>
  <c r="I312" i="23"/>
  <c r="J312" i="23" s="1"/>
  <c r="Y107" i="23"/>
  <c r="A313" i="23"/>
  <c r="K311" i="23"/>
  <c r="C108" i="23" l="1"/>
  <c r="B108" i="23"/>
  <c r="M108" i="23"/>
  <c r="H108" i="23"/>
  <c r="G109" i="23"/>
  <c r="L109" i="23"/>
  <c r="O109" i="23" s="1"/>
  <c r="E109" i="23"/>
  <c r="F109" i="23"/>
  <c r="K109" i="23"/>
  <c r="D109" i="23"/>
  <c r="P109" i="23" s="1"/>
  <c r="Q110" i="23"/>
  <c r="N110" i="23" s="1"/>
  <c r="I313" i="23"/>
  <c r="J313" i="23" s="1"/>
  <c r="K313" i="23" s="1"/>
  <c r="A314" i="23"/>
  <c r="K312" i="23"/>
  <c r="Y108" i="23"/>
  <c r="W110" i="23"/>
  <c r="V110" i="23"/>
  <c r="R111" i="23"/>
  <c r="X110" i="23"/>
  <c r="U110" i="23"/>
  <c r="A109" i="23"/>
  <c r="C109" i="23" l="1"/>
  <c r="B109" i="23"/>
  <c r="M109" i="23"/>
  <c r="H109" i="23"/>
  <c r="G110" i="23"/>
  <c r="L110" i="23"/>
  <c r="O110" i="23" s="1"/>
  <c r="E110" i="23"/>
  <c r="F110" i="23"/>
  <c r="K110" i="23"/>
  <c r="D110" i="23"/>
  <c r="P110" i="23" s="1"/>
  <c r="Q111" i="23"/>
  <c r="N111" i="23" s="1"/>
  <c r="I314" i="23"/>
  <c r="J314" i="23" s="1"/>
  <c r="A110" i="23"/>
  <c r="A315" i="23"/>
  <c r="U111" i="23"/>
  <c r="X111" i="23"/>
  <c r="V111" i="23"/>
  <c r="W111" i="23"/>
  <c r="R112" i="23"/>
  <c r="Y109" i="23"/>
  <c r="C110" i="23" l="1"/>
  <c r="B110" i="23"/>
  <c r="M110" i="23"/>
  <c r="H110" i="23"/>
  <c r="G111" i="23"/>
  <c r="L111" i="23"/>
  <c r="O111" i="23" s="1"/>
  <c r="E111" i="23"/>
  <c r="F111" i="23"/>
  <c r="K111" i="23"/>
  <c r="D111" i="23"/>
  <c r="P111" i="23" s="1"/>
  <c r="Q112" i="23"/>
  <c r="N112" i="23" s="1"/>
  <c r="K314" i="23"/>
  <c r="A316" i="23"/>
  <c r="U112" i="23"/>
  <c r="R113" i="23"/>
  <c r="V112" i="23"/>
  <c r="W112" i="23"/>
  <c r="X112" i="23"/>
  <c r="I315" i="23"/>
  <c r="J315" i="23" s="1"/>
  <c r="A111" i="23"/>
  <c r="Y110" i="23"/>
  <c r="C111" i="23" l="1"/>
  <c r="B111" i="23"/>
  <c r="M111" i="23"/>
  <c r="H111" i="23"/>
  <c r="G112" i="23"/>
  <c r="L112" i="23"/>
  <c r="O112" i="23" s="1"/>
  <c r="E112" i="23"/>
  <c r="F112" i="23"/>
  <c r="K112" i="23"/>
  <c r="D112" i="23"/>
  <c r="P112" i="23" s="1"/>
  <c r="Q113" i="23"/>
  <c r="N113" i="23" s="1"/>
  <c r="Y111" i="23"/>
  <c r="K315" i="23"/>
  <c r="A317" i="23"/>
  <c r="U113" i="23"/>
  <c r="V113" i="23"/>
  <c r="W113" i="23"/>
  <c r="X113" i="23"/>
  <c r="R114" i="23"/>
  <c r="A112" i="23"/>
  <c r="I316" i="23"/>
  <c r="J316" i="23" s="1"/>
  <c r="C112" i="23" l="1"/>
  <c r="B112" i="23"/>
  <c r="M112" i="23"/>
  <c r="H112" i="23"/>
  <c r="G113" i="23"/>
  <c r="L113" i="23"/>
  <c r="O113" i="23" s="1"/>
  <c r="E113" i="23"/>
  <c r="F113" i="23"/>
  <c r="K113" i="23"/>
  <c r="D113" i="23"/>
  <c r="P113" i="23" s="1"/>
  <c r="Q114" i="23"/>
  <c r="N114" i="23" s="1"/>
  <c r="I317" i="23"/>
  <c r="J317" i="23" s="1"/>
  <c r="K316" i="23"/>
  <c r="Y112" i="23"/>
  <c r="A113" i="23"/>
  <c r="A318" i="23"/>
  <c r="R115" i="23"/>
  <c r="W114" i="23"/>
  <c r="U114" i="23"/>
  <c r="X114" i="23"/>
  <c r="V114" i="23"/>
  <c r="C113" i="23" l="1"/>
  <c r="B113" i="23"/>
  <c r="M113" i="23"/>
  <c r="H113" i="23"/>
  <c r="G114" i="23"/>
  <c r="L114" i="23"/>
  <c r="O114" i="23" s="1"/>
  <c r="E114" i="23"/>
  <c r="F114" i="23"/>
  <c r="K114" i="23"/>
  <c r="D114" i="23"/>
  <c r="P114" i="23" s="1"/>
  <c r="Q115" i="23"/>
  <c r="N115" i="23" s="1"/>
  <c r="K317" i="23"/>
  <c r="I318" i="23"/>
  <c r="J318" i="23" s="1"/>
  <c r="K318" i="23" s="1"/>
  <c r="A319" i="23"/>
  <c r="U115" i="23"/>
  <c r="R116" i="23"/>
  <c r="V115" i="23"/>
  <c r="W115" i="23"/>
  <c r="X115" i="23"/>
  <c r="A114" i="23"/>
  <c r="Y113" i="23"/>
  <c r="C114" i="23" l="1"/>
  <c r="B114" i="23"/>
  <c r="M114" i="23"/>
  <c r="H114" i="23"/>
  <c r="G115" i="23"/>
  <c r="L115" i="23"/>
  <c r="O115" i="23" s="1"/>
  <c r="E115" i="23"/>
  <c r="F115" i="23"/>
  <c r="D115" i="23"/>
  <c r="P115" i="23" s="1"/>
  <c r="K115" i="23"/>
  <c r="Q116" i="23"/>
  <c r="N116" i="23" s="1"/>
  <c r="X116" i="23"/>
  <c r="W116" i="23"/>
  <c r="R117" i="23"/>
  <c r="V116" i="23"/>
  <c r="U116" i="23"/>
  <c r="A320" i="23"/>
  <c r="A115" i="23"/>
  <c r="Y114" i="23"/>
  <c r="I319" i="23"/>
  <c r="J319" i="23" s="1"/>
  <c r="C115" i="23" l="1"/>
  <c r="B115" i="23"/>
  <c r="M115" i="23"/>
  <c r="H115" i="23"/>
  <c r="G116" i="23"/>
  <c r="L116" i="23"/>
  <c r="O116" i="23" s="1"/>
  <c r="E116" i="23"/>
  <c r="F116" i="23"/>
  <c r="K116" i="23"/>
  <c r="D116" i="23"/>
  <c r="P116" i="23" s="1"/>
  <c r="Q117" i="23"/>
  <c r="N117" i="23" s="1"/>
  <c r="K319" i="23"/>
  <c r="R118" i="23"/>
  <c r="W117" i="23"/>
  <c r="U117" i="23"/>
  <c r="X117" i="23"/>
  <c r="V117" i="23"/>
  <c r="A321" i="23"/>
  <c r="Y115" i="23"/>
  <c r="I320" i="23"/>
  <c r="J320" i="23" s="1"/>
  <c r="A116" i="23"/>
  <c r="C116" i="23" l="1"/>
  <c r="B116" i="23"/>
  <c r="M116" i="23"/>
  <c r="H116" i="23"/>
  <c r="G117" i="23"/>
  <c r="L117" i="23"/>
  <c r="O117" i="23" s="1"/>
  <c r="E117" i="23"/>
  <c r="F117" i="23"/>
  <c r="K117" i="23"/>
  <c r="D117" i="23"/>
  <c r="P117" i="23" s="1"/>
  <c r="Q118" i="23"/>
  <c r="N118" i="23" s="1"/>
  <c r="Y116" i="23"/>
  <c r="I321" i="23"/>
  <c r="J321" i="23" s="1"/>
  <c r="A322" i="23"/>
  <c r="K320" i="23"/>
  <c r="U118" i="23"/>
  <c r="R119" i="23"/>
  <c r="X118" i="23"/>
  <c r="V118" i="23"/>
  <c r="W118" i="23"/>
  <c r="A117" i="23"/>
  <c r="C117" i="23" l="1"/>
  <c r="B117" i="23"/>
  <c r="M117" i="23"/>
  <c r="H117" i="23"/>
  <c r="G118" i="23"/>
  <c r="L118" i="23"/>
  <c r="O118" i="23" s="1"/>
  <c r="E118" i="23"/>
  <c r="F118" i="23"/>
  <c r="D118" i="23"/>
  <c r="P118" i="23" s="1"/>
  <c r="K118" i="23"/>
  <c r="Q119" i="23"/>
  <c r="N119" i="23" s="1"/>
  <c r="I322" i="23"/>
  <c r="J322" i="23" s="1"/>
  <c r="K322" i="23" s="1"/>
  <c r="V119" i="23"/>
  <c r="R120" i="23"/>
  <c r="W119" i="23"/>
  <c r="X119" i="23"/>
  <c r="U119" i="23"/>
  <c r="A118" i="23"/>
  <c r="K321" i="23"/>
  <c r="Y117" i="23"/>
  <c r="A323" i="23"/>
  <c r="C118" i="23" l="1"/>
  <c r="B118" i="23"/>
  <c r="M118" i="23"/>
  <c r="H118" i="23"/>
  <c r="G119" i="23"/>
  <c r="L119" i="23"/>
  <c r="O119" i="23" s="1"/>
  <c r="E119" i="23"/>
  <c r="F119" i="23"/>
  <c r="K119" i="23"/>
  <c r="D119" i="23"/>
  <c r="P119" i="23" s="1"/>
  <c r="Q120" i="23"/>
  <c r="N120" i="23" s="1"/>
  <c r="I323" i="23"/>
  <c r="J323" i="23" s="1"/>
  <c r="Y118" i="23"/>
  <c r="R121" i="23"/>
  <c r="U120" i="23"/>
  <c r="X120" i="23"/>
  <c r="V120" i="23"/>
  <c r="W120" i="23"/>
  <c r="A119" i="23"/>
  <c r="A324" i="23"/>
  <c r="C119" i="23" l="1"/>
  <c r="B119" i="23"/>
  <c r="M119" i="23"/>
  <c r="H119" i="23"/>
  <c r="G120" i="23"/>
  <c r="L120" i="23"/>
  <c r="O120" i="23" s="1"/>
  <c r="E120" i="23"/>
  <c r="F120" i="23"/>
  <c r="K120" i="23"/>
  <c r="D120" i="23"/>
  <c r="P120" i="23" s="1"/>
  <c r="Q121" i="23"/>
  <c r="N121" i="23" s="1"/>
  <c r="A325" i="23"/>
  <c r="Y119" i="23"/>
  <c r="V121" i="23"/>
  <c r="R122" i="23"/>
  <c r="W121" i="23"/>
  <c r="U121" i="23"/>
  <c r="X121" i="23"/>
  <c r="K323" i="23"/>
  <c r="I324" i="23"/>
  <c r="J324" i="23" s="1"/>
  <c r="A120" i="23"/>
  <c r="C120" i="23" l="1"/>
  <c r="B120" i="23"/>
  <c r="M120" i="23"/>
  <c r="H120" i="23"/>
  <c r="G121" i="23"/>
  <c r="L121" i="23"/>
  <c r="O121" i="23" s="1"/>
  <c r="E121" i="23"/>
  <c r="F121" i="23"/>
  <c r="K121" i="23"/>
  <c r="D121" i="23"/>
  <c r="P121" i="23" s="1"/>
  <c r="Q122" i="23"/>
  <c r="N122" i="23" s="1"/>
  <c r="I325" i="23"/>
  <c r="J325" i="23" s="1"/>
  <c r="U122" i="23"/>
  <c r="V122" i="23"/>
  <c r="R123" i="23"/>
  <c r="W122" i="23"/>
  <c r="X122" i="23"/>
  <c r="Y120" i="23"/>
  <c r="K324" i="23"/>
  <c r="A121" i="23"/>
  <c r="A326" i="23"/>
  <c r="C121" i="23" l="1"/>
  <c r="B121" i="23"/>
  <c r="M121" i="23"/>
  <c r="H121" i="23"/>
  <c r="G122" i="23"/>
  <c r="L122" i="23"/>
  <c r="O122" i="23" s="1"/>
  <c r="E122" i="23"/>
  <c r="F122" i="23"/>
  <c r="K122" i="23"/>
  <c r="D122" i="23"/>
  <c r="P122" i="23" s="1"/>
  <c r="Q123" i="23"/>
  <c r="N123" i="23" s="1"/>
  <c r="K325" i="23"/>
  <c r="I326" i="23"/>
  <c r="J326" i="23" s="1"/>
  <c r="A122" i="23"/>
  <c r="A327" i="23"/>
  <c r="Y121" i="23"/>
  <c r="V123" i="23"/>
  <c r="W123" i="23"/>
  <c r="X123" i="23"/>
  <c r="U123" i="23"/>
  <c r="R124" i="23"/>
  <c r="C122" i="23" l="1"/>
  <c r="B122" i="23"/>
  <c r="M122" i="23"/>
  <c r="H122" i="23"/>
  <c r="G123" i="23"/>
  <c r="L123" i="23"/>
  <c r="O123" i="23" s="1"/>
  <c r="E123" i="23"/>
  <c r="F123" i="23"/>
  <c r="K123" i="23"/>
  <c r="D123" i="23"/>
  <c r="P123" i="23" s="1"/>
  <c r="Q124" i="23"/>
  <c r="N124" i="23" s="1"/>
  <c r="K326" i="23"/>
  <c r="I327" i="23"/>
  <c r="J327" i="23" s="1"/>
  <c r="R125" i="23"/>
  <c r="W124" i="23"/>
  <c r="X124" i="23"/>
  <c r="U124" i="23"/>
  <c r="V124" i="23"/>
  <c r="A123" i="23"/>
  <c r="A328" i="23"/>
  <c r="Y122" i="23"/>
  <c r="C123" i="23" l="1"/>
  <c r="B123" i="23"/>
  <c r="M123" i="23"/>
  <c r="H123" i="23"/>
  <c r="G124" i="23"/>
  <c r="L124" i="23"/>
  <c r="O124" i="23" s="1"/>
  <c r="E124" i="23"/>
  <c r="F124" i="23"/>
  <c r="K124" i="23"/>
  <c r="D124" i="23"/>
  <c r="P124" i="23" s="1"/>
  <c r="Q125" i="23"/>
  <c r="N125" i="23" s="1"/>
  <c r="K327" i="23"/>
  <c r="I328" i="23"/>
  <c r="J328" i="23" s="1"/>
  <c r="K328" i="23" s="1"/>
  <c r="A329" i="23"/>
  <c r="V125" i="23"/>
  <c r="U125" i="23"/>
  <c r="R126" i="23"/>
  <c r="W125" i="23"/>
  <c r="X125" i="23"/>
  <c r="Y123" i="23"/>
  <c r="A124" i="23"/>
  <c r="C124" i="23" l="1"/>
  <c r="B124" i="23"/>
  <c r="M124" i="23"/>
  <c r="H124" i="23"/>
  <c r="G125" i="23"/>
  <c r="L125" i="23"/>
  <c r="O125" i="23" s="1"/>
  <c r="E125" i="23"/>
  <c r="F125" i="23"/>
  <c r="K125" i="23"/>
  <c r="D125" i="23"/>
  <c r="P125" i="23" s="1"/>
  <c r="Q126" i="23"/>
  <c r="N126" i="23" s="1"/>
  <c r="I329" i="23"/>
  <c r="J329" i="23" s="1"/>
  <c r="Y124" i="23"/>
  <c r="W126" i="23"/>
  <c r="R127" i="23"/>
  <c r="U126" i="23"/>
  <c r="X126" i="23"/>
  <c r="V126" i="23"/>
  <c r="A330" i="23"/>
  <c r="A125" i="23"/>
  <c r="C125" i="23" l="1"/>
  <c r="B125" i="23"/>
  <c r="M125" i="23"/>
  <c r="H125" i="23"/>
  <c r="G126" i="23"/>
  <c r="L126" i="23"/>
  <c r="O126" i="23" s="1"/>
  <c r="E126" i="23"/>
  <c r="F126" i="23"/>
  <c r="K126" i="23"/>
  <c r="D126" i="23"/>
  <c r="P126" i="23" s="1"/>
  <c r="Q127" i="23"/>
  <c r="N127" i="23" s="1"/>
  <c r="I330" i="23"/>
  <c r="J330" i="23" s="1"/>
  <c r="K330" i="23" s="1"/>
  <c r="K329" i="23"/>
  <c r="Y125" i="23"/>
  <c r="A331" i="23"/>
  <c r="A126" i="23"/>
  <c r="R128" i="23"/>
  <c r="V127" i="23"/>
  <c r="W127" i="23"/>
  <c r="X127" i="23"/>
  <c r="U127" i="23"/>
  <c r="C126" i="23" l="1"/>
  <c r="B126" i="23"/>
  <c r="M126" i="23"/>
  <c r="H126" i="23"/>
  <c r="G127" i="23"/>
  <c r="L127" i="23"/>
  <c r="O127" i="23" s="1"/>
  <c r="E127" i="23"/>
  <c r="F127" i="23"/>
  <c r="K127" i="23"/>
  <c r="D127" i="23"/>
  <c r="P127" i="23" s="1"/>
  <c r="Q128" i="23"/>
  <c r="N128" i="23" s="1"/>
  <c r="I331" i="23"/>
  <c r="J331" i="23" s="1"/>
  <c r="Y126" i="23"/>
  <c r="V128" i="23"/>
  <c r="W128" i="23"/>
  <c r="R129" i="23"/>
  <c r="X128" i="23"/>
  <c r="U128" i="23"/>
  <c r="A127" i="23"/>
  <c r="A332" i="23"/>
  <c r="C127" i="23" l="1"/>
  <c r="B127" i="23"/>
  <c r="M127" i="23"/>
  <c r="H127" i="23"/>
  <c r="G128" i="23"/>
  <c r="L128" i="23"/>
  <c r="O128" i="23" s="1"/>
  <c r="E128" i="23"/>
  <c r="F128" i="23"/>
  <c r="K128" i="23"/>
  <c r="D128" i="23"/>
  <c r="P128" i="23" s="1"/>
  <c r="Q129" i="23"/>
  <c r="N129" i="23" s="1"/>
  <c r="K331" i="23"/>
  <c r="W129" i="23"/>
  <c r="X129" i="23"/>
  <c r="V129" i="23"/>
  <c r="R130" i="23"/>
  <c r="U129" i="23"/>
  <c r="Y127" i="23"/>
  <c r="I332" i="23"/>
  <c r="J332" i="23" s="1"/>
  <c r="A128" i="23"/>
  <c r="A333" i="23"/>
  <c r="C128" i="23" l="1"/>
  <c r="B128" i="23"/>
  <c r="M128" i="23"/>
  <c r="H128" i="23"/>
  <c r="G129" i="23"/>
  <c r="L129" i="23"/>
  <c r="O129" i="23" s="1"/>
  <c r="E129" i="23"/>
  <c r="F129" i="23"/>
  <c r="K129" i="23"/>
  <c r="D129" i="23"/>
  <c r="P129" i="23" s="1"/>
  <c r="Q130" i="23"/>
  <c r="N130" i="23" s="1"/>
  <c r="I333" i="23"/>
  <c r="J333" i="23" s="1"/>
  <c r="Y128" i="23"/>
  <c r="A334" i="23"/>
  <c r="K332" i="23"/>
  <c r="A129" i="23"/>
  <c r="W130" i="23"/>
  <c r="X130" i="23"/>
  <c r="V130" i="23"/>
  <c r="U130" i="23"/>
  <c r="R131" i="23"/>
  <c r="C129" i="23" l="1"/>
  <c r="B129" i="23"/>
  <c r="M129" i="23"/>
  <c r="H129" i="23"/>
  <c r="G130" i="23"/>
  <c r="L130" i="23"/>
  <c r="O130" i="23" s="1"/>
  <c r="E130" i="23"/>
  <c r="F130" i="23"/>
  <c r="K130" i="23"/>
  <c r="D130" i="23"/>
  <c r="P130" i="23" s="1"/>
  <c r="Q131" i="23"/>
  <c r="N131" i="23" s="1"/>
  <c r="Y129" i="23"/>
  <c r="A130" i="23"/>
  <c r="A335" i="23"/>
  <c r="I334" i="23"/>
  <c r="J334" i="23" s="1"/>
  <c r="U131" i="23"/>
  <c r="X131" i="23"/>
  <c r="V131" i="23"/>
  <c r="W131" i="23"/>
  <c r="R132" i="23"/>
  <c r="K333" i="23"/>
  <c r="C130" i="23" l="1"/>
  <c r="B130" i="23"/>
  <c r="M130" i="23"/>
  <c r="H130" i="23"/>
  <c r="G131" i="23"/>
  <c r="L131" i="23"/>
  <c r="O131" i="23" s="1"/>
  <c r="E131" i="23"/>
  <c r="F131" i="23"/>
  <c r="K131" i="23"/>
  <c r="D131" i="23"/>
  <c r="P131" i="23" s="1"/>
  <c r="Q132" i="23"/>
  <c r="N132" i="23" s="1"/>
  <c r="I335" i="23"/>
  <c r="J335" i="23" s="1"/>
  <c r="W132" i="23"/>
  <c r="X132" i="23"/>
  <c r="R133" i="23"/>
  <c r="U132" i="23"/>
  <c r="V132" i="23"/>
  <c r="A131" i="23"/>
  <c r="Y130" i="23"/>
  <c r="K334" i="23"/>
  <c r="A336" i="23"/>
  <c r="C131" i="23" l="1"/>
  <c r="B131" i="23"/>
  <c r="M131" i="23"/>
  <c r="H131" i="23"/>
  <c r="G132" i="23"/>
  <c r="L132" i="23"/>
  <c r="O132" i="23" s="1"/>
  <c r="E132" i="23"/>
  <c r="F132" i="23"/>
  <c r="K132" i="23"/>
  <c r="D132" i="23"/>
  <c r="P132" i="23" s="1"/>
  <c r="Q133" i="23"/>
  <c r="N133" i="23" s="1"/>
  <c r="I336" i="23"/>
  <c r="J336" i="23" s="1"/>
  <c r="K335" i="23"/>
  <c r="A337" i="23"/>
  <c r="V133" i="23"/>
  <c r="W133" i="23"/>
  <c r="R134" i="23"/>
  <c r="U133" i="23"/>
  <c r="X133" i="23"/>
  <c r="Y131" i="23"/>
  <c r="A132" i="23"/>
  <c r="C132" i="23" l="1"/>
  <c r="B132" i="23"/>
  <c r="M132" i="23"/>
  <c r="H132" i="23"/>
  <c r="G133" i="23"/>
  <c r="L133" i="23"/>
  <c r="O133" i="23" s="1"/>
  <c r="E133" i="23"/>
  <c r="F133" i="23"/>
  <c r="K133" i="23"/>
  <c r="D133" i="23"/>
  <c r="P133" i="23" s="1"/>
  <c r="Q134" i="23"/>
  <c r="N134" i="23" s="1"/>
  <c r="K336" i="23"/>
  <c r="A133" i="23"/>
  <c r="I337" i="23"/>
  <c r="J337" i="23" s="1"/>
  <c r="U134" i="23"/>
  <c r="V134" i="23"/>
  <c r="R135" i="23"/>
  <c r="X134" i="23"/>
  <c r="W134" i="23"/>
  <c r="A338" i="23"/>
  <c r="Y132" i="23"/>
  <c r="C133" i="23" l="1"/>
  <c r="B133" i="23"/>
  <c r="M133" i="23"/>
  <c r="H133" i="23"/>
  <c r="G134" i="23"/>
  <c r="L134" i="23"/>
  <c r="O134" i="23" s="1"/>
  <c r="E134" i="23"/>
  <c r="F134" i="23"/>
  <c r="K134" i="23"/>
  <c r="D134" i="23"/>
  <c r="P134" i="23" s="1"/>
  <c r="Q135" i="23"/>
  <c r="N135" i="23" s="1"/>
  <c r="R136" i="23"/>
  <c r="W135" i="23"/>
  <c r="X135" i="23"/>
  <c r="V135" i="23"/>
  <c r="U135" i="23"/>
  <c r="K337" i="23"/>
  <c r="I338" i="23"/>
  <c r="J338" i="23" s="1"/>
  <c r="A134" i="23"/>
  <c r="A339" i="23"/>
  <c r="Y133" i="23"/>
  <c r="C134" i="23" l="1"/>
  <c r="B134" i="23"/>
  <c r="M134" i="23"/>
  <c r="H134" i="23"/>
  <c r="G135" i="23"/>
  <c r="L135" i="23"/>
  <c r="O135" i="23" s="1"/>
  <c r="E135" i="23"/>
  <c r="F135" i="23"/>
  <c r="K135" i="23"/>
  <c r="D135" i="23"/>
  <c r="P135" i="23" s="1"/>
  <c r="Q136" i="23"/>
  <c r="N136" i="23" s="1"/>
  <c r="I339" i="23"/>
  <c r="J339" i="23" s="1"/>
  <c r="Y134" i="23"/>
  <c r="A135" i="23"/>
  <c r="A340" i="23"/>
  <c r="K338" i="23"/>
  <c r="R137" i="23"/>
  <c r="W136" i="23"/>
  <c r="U136" i="23"/>
  <c r="V136" i="23"/>
  <c r="X136" i="23"/>
  <c r="C135" i="23" l="1"/>
  <c r="B135" i="23"/>
  <c r="M135" i="23"/>
  <c r="H135" i="23"/>
  <c r="G136" i="23"/>
  <c r="L136" i="23"/>
  <c r="O136" i="23" s="1"/>
  <c r="E136" i="23"/>
  <c r="F136" i="23"/>
  <c r="K136" i="23"/>
  <c r="D136" i="23"/>
  <c r="P136" i="23" s="1"/>
  <c r="Q137" i="23"/>
  <c r="N137" i="23" s="1"/>
  <c r="K339" i="23"/>
  <c r="A136" i="23"/>
  <c r="A341" i="23"/>
  <c r="X137" i="23"/>
  <c r="V137" i="23"/>
  <c r="W137" i="23"/>
  <c r="U137" i="23"/>
  <c r="R138" i="23"/>
  <c r="I340" i="23"/>
  <c r="J340" i="23" s="1"/>
  <c r="Y135" i="23"/>
  <c r="C136" i="23" l="1"/>
  <c r="B136" i="23"/>
  <c r="M136" i="23"/>
  <c r="H136" i="23"/>
  <c r="G137" i="23"/>
  <c r="L137" i="23"/>
  <c r="O137" i="23" s="1"/>
  <c r="E137" i="23"/>
  <c r="F137" i="23"/>
  <c r="K137" i="23"/>
  <c r="D137" i="23"/>
  <c r="P137" i="23" s="1"/>
  <c r="Q138" i="23"/>
  <c r="N138" i="23" s="1"/>
  <c r="W138" i="23"/>
  <c r="X138" i="23"/>
  <c r="U138" i="23"/>
  <c r="V138" i="23"/>
  <c r="R139" i="23"/>
  <c r="A137" i="23"/>
  <c r="A342" i="23"/>
  <c r="K340" i="23"/>
  <c r="Y136" i="23"/>
  <c r="I341" i="23"/>
  <c r="J341" i="23" s="1"/>
  <c r="C137" i="23" l="1"/>
  <c r="B137" i="23"/>
  <c r="M137" i="23"/>
  <c r="H137" i="23"/>
  <c r="G138" i="23"/>
  <c r="L138" i="23"/>
  <c r="O138" i="23" s="1"/>
  <c r="E138" i="23"/>
  <c r="F138" i="23"/>
  <c r="K138" i="23"/>
  <c r="D138" i="23"/>
  <c r="P138" i="23" s="1"/>
  <c r="Q139" i="23"/>
  <c r="N139" i="23" s="1"/>
  <c r="Y137" i="23"/>
  <c r="A138" i="23"/>
  <c r="K341" i="23"/>
  <c r="R140" i="23"/>
  <c r="V139" i="23"/>
  <c r="X139" i="23"/>
  <c r="W139" i="23"/>
  <c r="U139" i="23"/>
  <c r="A343" i="23"/>
  <c r="I342" i="23"/>
  <c r="J342" i="23" s="1"/>
  <c r="C138" i="23" l="1"/>
  <c r="B138" i="23"/>
  <c r="M138" i="23"/>
  <c r="H138" i="23"/>
  <c r="G139" i="23"/>
  <c r="L139" i="23"/>
  <c r="O139" i="23" s="1"/>
  <c r="E139" i="23"/>
  <c r="F139" i="23"/>
  <c r="K139" i="23"/>
  <c r="D139" i="23"/>
  <c r="P139" i="23" s="1"/>
  <c r="Q140" i="23"/>
  <c r="N140" i="23" s="1"/>
  <c r="V140" i="23"/>
  <c r="W140" i="23"/>
  <c r="R141" i="23"/>
  <c r="X140" i="23"/>
  <c r="U140" i="23"/>
  <c r="K342" i="23"/>
  <c r="I343" i="23"/>
  <c r="J343" i="23" s="1"/>
  <c r="A344" i="23"/>
  <c r="Y138" i="23"/>
  <c r="A139" i="23"/>
  <c r="C139" i="23" l="1"/>
  <c r="B139" i="23"/>
  <c r="M139" i="23"/>
  <c r="H139" i="23"/>
  <c r="G140" i="23"/>
  <c r="L140" i="23"/>
  <c r="O140" i="23" s="1"/>
  <c r="E140" i="23"/>
  <c r="F140" i="23"/>
  <c r="K140" i="23"/>
  <c r="D140" i="23"/>
  <c r="P140" i="23" s="1"/>
  <c r="Q141" i="23"/>
  <c r="N141" i="23" s="1"/>
  <c r="I344" i="23"/>
  <c r="J344" i="23" s="1"/>
  <c r="Y139" i="23"/>
  <c r="A140" i="23"/>
  <c r="W141" i="23"/>
  <c r="R142" i="23"/>
  <c r="V141" i="23"/>
  <c r="U141" i="23"/>
  <c r="X141" i="23"/>
  <c r="K343" i="23"/>
  <c r="A345" i="23"/>
  <c r="C140" i="23" l="1"/>
  <c r="B140" i="23"/>
  <c r="M140" i="23"/>
  <c r="H140" i="23"/>
  <c r="G141" i="23"/>
  <c r="L141" i="23"/>
  <c r="O141" i="23" s="1"/>
  <c r="E141" i="23"/>
  <c r="F141" i="23"/>
  <c r="K141" i="23"/>
  <c r="D141" i="23"/>
  <c r="P141" i="23" s="1"/>
  <c r="Q142" i="23"/>
  <c r="N142" i="23" s="1"/>
  <c r="W142" i="23"/>
  <c r="R143" i="23"/>
  <c r="X142" i="23"/>
  <c r="V142" i="23"/>
  <c r="U142" i="23"/>
  <c r="A141" i="23"/>
  <c r="I345" i="23"/>
  <c r="J345" i="23" s="1"/>
  <c r="A346" i="23"/>
  <c r="Y140" i="23"/>
  <c r="K344" i="23"/>
  <c r="C141" i="23" l="1"/>
  <c r="B141" i="23"/>
  <c r="M141" i="23"/>
  <c r="H141" i="23"/>
  <c r="G142" i="23"/>
  <c r="L142" i="23"/>
  <c r="O142" i="23" s="1"/>
  <c r="E142" i="23"/>
  <c r="F142" i="23"/>
  <c r="K142" i="23"/>
  <c r="D142" i="23"/>
  <c r="P142" i="23" s="1"/>
  <c r="Q143" i="23"/>
  <c r="N143" i="23" s="1"/>
  <c r="A142" i="23"/>
  <c r="X143" i="23"/>
  <c r="V143" i="23"/>
  <c r="W143" i="23"/>
  <c r="U143" i="23"/>
  <c r="R144" i="23"/>
  <c r="A347" i="23"/>
  <c r="K345" i="23"/>
  <c r="Y141" i="23"/>
  <c r="I346" i="23"/>
  <c r="J346" i="23" s="1"/>
  <c r="C142" i="23" l="1"/>
  <c r="B142" i="23"/>
  <c r="M142" i="23"/>
  <c r="H142" i="23"/>
  <c r="G143" i="23"/>
  <c r="I347" i="23"/>
  <c r="J347" i="23" s="1"/>
  <c r="L143" i="23"/>
  <c r="O143" i="23" s="1"/>
  <c r="E143" i="23"/>
  <c r="F143" i="23"/>
  <c r="K143" i="23"/>
  <c r="D143" i="23"/>
  <c r="P143" i="23" s="1"/>
  <c r="Q144" i="23"/>
  <c r="N144" i="23" s="1"/>
  <c r="A348" i="23"/>
  <c r="Y142" i="23"/>
  <c r="A143" i="23"/>
  <c r="K346" i="23"/>
  <c r="X144" i="23"/>
  <c r="V144" i="23"/>
  <c r="W144" i="23"/>
  <c r="U144" i="23"/>
  <c r="R145" i="23"/>
  <c r="C143" i="23" l="1"/>
  <c r="B143" i="23"/>
  <c r="M143" i="23"/>
  <c r="H143" i="23"/>
  <c r="G144" i="23"/>
  <c r="L144" i="23"/>
  <c r="O144" i="23" s="1"/>
  <c r="E144" i="23"/>
  <c r="F144" i="23"/>
  <c r="K144" i="23"/>
  <c r="D144" i="23"/>
  <c r="P144" i="23" s="1"/>
  <c r="Q145" i="23"/>
  <c r="N145" i="23" s="1"/>
  <c r="X145" i="23"/>
  <c r="W145" i="23"/>
  <c r="R146" i="23"/>
  <c r="V145" i="23"/>
  <c r="U145" i="23"/>
  <c r="Y143" i="23"/>
  <c r="K347" i="23"/>
  <c r="I348" i="23"/>
  <c r="A144" i="23"/>
  <c r="A349" i="23"/>
  <c r="C144" i="23" l="1"/>
  <c r="B144" i="23"/>
  <c r="M144" i="23"/>
  <c r="H144" i="23"/>
  <c r="G145" i="23"/>
  <c r="L145" i="23"/>
  <c r="O145" i="23" s="1"/>
  <c r="E145" i="23"/>
  <c r="F145" i="23"/>
  <c r="K145" i="23"/>
  <c r="D145" i="23"/>
  <c r="P145" i="23" s="1"/>
  <c r="Q146" i="23"/>
  <c r="N146" i="23" s="1"/>
  <c r="H351" i="23"/>
  <c r="A350" i="23"/>
  <c r="J348" i="23"/>
  <c r="U146" i="23"/>
  <c r="X146" i="23"/>
  <c r="V146" i="23"/>
  <c r="R147" i="23"/>
  <c r="W146" i="23"/>
  <c r="I349" i="23"/>
  <c r="J349" i="23" s="1"/>
  <c r="Y144" i="23"/>
  <c r="A145" i="23"/>
  <c r="C145" i="23" l="1"/>
  <c r="B145" i="23"/>
  <c r="M145" i="23"/>
  <c r="H145" i="23"/>
  <c r="G146" i="23"/>
  <c r="L146" i="23"/>
  <c r="O146" i="23" s="1"/>
  <c r="E146" i="23"/>
  <c r="F146" i="23"/>
  <c r="K146" i="23"/>
  <c r="D146" i="23"/>
  <c r="P146" i="23" s="1"/>
  <c r="Q147" i="23"/>
  <c r="N147" i="23" s="1"/>
  <c r="Y145" i="23"/>
  <c r="K349" i="23"/>
  <c r="A146" i="23"/>
  <c r="K348" i="23"/>
  <c r="I350" i="23"/>
  <c r="J350" i="23" s="1"/>
  <c r="G351" i="23"/>
  <c r="X147" i="23"/>
  <c r="V147" i="23"/>
  <c r="U147" i="23"/>
  <c r="W147" i="23"/>
  <c r="R148" i="23"/>
  <c r="C146" i="23" l="1"/>
  <c r="B146" i="23"/>
  <c r="M146" i="23"/>
  <c r="H146" i="23"/>
  <c r="G147" i="23"/>
  <c r="L147" i="23"/>
  <c r="O147" i="23" s="1"/>
  <c r="E147" i="23"/>
  <c r="F147" i="23"/>
  <c r="K147" i="23"/>
  <c r="D147" i="23"/>
  <c r="P147" i="23" s="1"/>
  <c r="Q148" i="23"/>
  <c r="N148" i="23" s="1"/>
  <c r="A147" i="23"/>
  <c r="K350" i="23"/>
  <c r="I351" i="23"/>
  <c r="W148" i="23"/>
  <c r="R149" i="23"/>
  <c r="V148" i="23"/>
  <c r="X148" i="23"/>
  <c r="U148" i="23"/>
  <c r="Y146" i="23"/>
  <c r="C147" i="23" l="1"/>
  <c r="B147" i="23"/>
  <c r="M147" i="23"/>
  <c r="H147" i="23"/>
  <c r="G148" i="23"/>
  <c r="L148" i="23"/>
  <c r="O148" i="23" s="1"/>
  <c r="E148" i="23"/>
  <c r="F148" i="23"/>
  <c r="K148" i="23"/>
  <c r="D148" i="23"/>
  <c r="P148" i="23" s="1"/>
  <c r="Q149" i="23"/>
  <c r="N149" i="23" s="1"/>
  <c r="U149" i="23"/>
  <c r="X149" i="23"/>
  <c r="W149" i="23"/>
  <c r="R150" i="23"/>
  <c r="V149" i="23"/>
  <c r="A148" i="23"/>
  <c r="Y147" i="23"/>
  <c r="C148" i="23" l="1"/>
  <c r="B148" i="23"/>
  <c r="M148" i="23"/>
  <c r="H148" i="23"/>
  <c r="G149" i="23"/>
  <c r="L149" i="23"/>
  <c r="O149" i="23" s="1"/>
  <c r="E149" i="23"/>
  <c r="F149" i="23"/>
  <c r="K149" i="23"/>
  <c r="D149" i="23"/>
  <c r="P149" i="23" s="1"/>
  <c r="Q150" i="23"/>
  <c r="N150" i="23" s="1"/>
  <c r="Y148" i="23"/>
  <c r="V150" i="23"/>
  <c r="U150" i="23"/>
  <c r="R151" i="23"/>
  <c r="X150" i="23"/>
  <c r="W150" i="23"/>
  <c r="A149" i="23"/>
  <c r="C149" i="23" l="1"/>
  <c r="B149" i="23"/>
  <c r="M149" i="23"/>
  <c r="H149" i="23"/>
  <c r="G150" i="23"/>
  <c r="L150" i="23"/>
  <c r="O150" i="23" s="1"/>
  <c r="E150" i="23"/>
  <c r="F150" i="23"/>
  <c r="K150" i="23"/>
  <c r="D150" i="23"/>
  <c r="P150" i="23" s="1"/>
  <c r="Q151" i="23"/>
  <c r="N151" i="23" s="1"/>
  <c r="Y149" i="23"/>
  <c r="A150" i="23"/>
  <c r="X151" i="23"/>
  <c r="V151" i="23"/>
  <c r="R152" i="23"/>
  <c r="U151" i="23"/>
  <c r="W151" i="23"/>
  <c r="C150" i="23" l="1"/>
  <c r="B150" i="23"/>
  <c r="M150" i="23"/>
  <c r="H150" i="23"/>
  <c r="G151" i="23"/>
  <c r="L151" i="23"/>
  <c r="O151" i="23" s="1"/>
  <c r="E151" i="23"/>
  <c r="F151" i="23"/>
  <c r="K151" i="23"/>
  <c r="D151" i="23"/>
  <c r="P151" i="23" s="1"/>
  <c r="Q152" i="23"/>
  <c r="N152" i="23" s="1"/>
  <c r="X152" i="23"/>
  <c r="U152" i="23"/>
  <c r="W152" i="23"/>
  <c r="R153" i="23"/>
  <c r="V152" i="23"/>
  <c r="Y150" i="23"/>
  <c r="A151" i="23"/>
  <c r="C151" i="23" l="1"/>
  <c r="B151" i="23"/>
  <c r="M151" i="23"/>
  <c r="H151" i="23"/>
  <c r="G152" i="23"/>
  <c r="L152" i="23"/>
  <c r="O152" i="23" s="1"/>
  <c r="E152" i="23"/>
  <c r="F152" i="23"/>
  <c r="K152" i="23"/>
  <c r="D152" i="23"/>
  <c r="P152" i="23" s="1"/>
  <c r="Q153" i="23"/>
  <c r="N153" i="23" s="1"/>
  <c r="V153" i="23"/>
  <c r="X153" i="23"/>
  <c r="W153" i="23"/>
  <c r="R154" i="23"/>
  <c r="U153" i="23"/>
  <c r="Y151" i="23"/>
  <c r="A152" i="23"/>
  <c r="C152" i="23" l="1"/>
  <c r="B152" i="23"/>
  <c r="M152" i="23"/>
  <c r="H152" i="23"/>
  <c r="G153" i="23"/>
  <c r="L153" i="23"/>
  <c r="O153" i="23" s="1"/>
  <c r="E153" i="23"/>
  <c r="F153" i="23"/>
  <c r="K153" i="23"/>
  <c r="D153" i="23"/>
  <c r="P153" i="23" s="1"/>
  <c r="Q154" i="23"/>
  <c r="N154" i="23" s="1"/>
  <c r="R155" i="23"/>
  <c r="X154" i="23"/>
  <c r="U154" i="23"/>
  <c r="V154" i="23"/>
  <c r="W154" i="23"/>
  <c r="Y152" i="23"/>
  <c r="A153" i="23"/>
  <c r="C153" i="23" l="1"/>
  <c r="B153" i="23"/>
  <c r="M153" i="23"/>
  <c r="H153" i="23"/>
  <c r="G154" i="23"/>
  <c r="L154" i="23"/>
  <c r="O154" i="23" s="1"/>
  <c r="E154" i="23"/>
  <c r="F154" i="23"/>
  <c r="D154" i="23"/>
  <c r="P154" i="23" s="1"/>
  <c r="K154" i="23"/>
  <c r="Q155" i="23"/>
  <c r="N155" i="23" s="1"/>
  <c r="Y153" i="23"/>
  <c r="A154" i="23"/>
  <c r="U155" i="23"/>
  <c r="V155" i="23"/>
  <c r="R156" i="23"/>
  <c r="X155" i="23"/>
  <c r="W155" i="23"/>
  <c r="C154" i="23" l="1"/>
  <c r="B154" i="23"/>
  <c r="M154" i="23"/>
  <c r="H154" i="23"/>
  <c r="G155" i="23"/>
  <c r="L155" i="23"/>
  <c r="O155" i="23" s="1"/>
  <c r="E155" i="23"/>
  <c r="F155" i="23"/>
  <c r="K155" i="23"/>
  <c r="D155" i="23"/>
  <c r="P155" i="23" s="1"/>
  <c r="Q156" i="23"/>
  <c r="N156" i="23" s="1"/>
  <c r="Y154" i="23"/>
  <c r="A155" i="23"/>
  <c r="X156" i="23"/>
  <c r="R157" i="23"/>
  <c r="V156" i="23"/>
  <c r="U156" i="23"/>
  <c r="W156" i="23"/>
  <c r="C155" i="23" l="1"/>
  <c r="B155" i="23"/>
  <c r="M155" i="23"/>
  <c r="H155" i="23"/>
  <c r="G156" i="23"/>
  <c r="L156" i="23"/>
  <c r="O156" i="23" s="1"/>
  <c r="E156" i="23"/>
  <c r="F156" i="23"/>
  <c r="K156" i="23"/>
  <c r="D156" i="23"/>
  <c r="P156" i="23" s="1"/>
  <c r="Q157" i="23"/>
  <c r="N157" i="23" s="1"/>
  <c r="X157" i="23"/>
  <c r="R158" i="23"/>
  <c r="W157" i="23"/>
  <c r="U157" i="23"/>
  <c r="V157" i="23"/>
  <c r="Y155" i="23"/>
  <c r="A156" i="23"/>
  <c r="C156" i="23" l="1"/>
  <c r="B156" i="23"/>
  <c r="M156" i="23"/>
  <c r="H156" i="23"/>
  <c r="G157" i="23"/>
  <c r="L157" i="23"/>
  <c r="O157" i="23" s="1"/>
  <c r="E157" i="23"/>
  <c r="F157" i="23"/>
  <c r="K157" i="23"/>
  <c r="D157" i="23"/>
  <c r="P157" i="23" s="1"/>
  <c r="Q158" i="23"/>
  <c r="N158" i="23" s="1"/>
  <c r="Y156" i="23"/>
  <c r="A157" i="23"/>
  <c r="U158" i="23"/>
  <c r="V158" i="23"/>
  <c r="W158" i="23"/>
  <c r="R159" i="23"/>
  <c r="X158" i="23"/>
  <c r="C157" i="23" l="1"/>
  <c r="B157" i="23"/>
  <c r="M157" i="23"/>
  <c r="H157" i="23"/>
  <c r="G158" i="23"/>
  <c r="L158" i="23"/>
  <c r="O158" i="23" s="1"/>
  <c r="E158" i="23"/>
  <c r="F158" i="23"/>
  <c r="K158" i="23"/>
  <c r="D158" i="23"/>
  <c r="P158" i="23" s="1"/>
  <c r="Q159" i="23"/>
  <c r="N159" i="23" s="1"/>
  <c r="Y157" i="23"/>
  <c r="V159" i="23"/>
  <c r="R160" i="23"/>
  <c r="W159" i="23"/>
  <c r="X159" i="23"/>
  <c r="U159" i="23"/>
  <c r="A158" i="23"/>
  <c r="C158" i="23" l="1"/>
  <c r="B158" i="23"/>
  <c r="M158" i="23"/>
  <c r="H158" i="23"/>
  <c r="G159" i="23"/>
  <c r="L159" i="23"/>
  <c r="O159" i="23" s="1"/>
  <c r="E159" i="23"/>
  <c r="F159" i="23"/>
  <c r="K159" i="23"/>
  <c r="D159" i="23"/>
  <c r="P159" i="23" s="1"/>
  <c r="Q160" i="23"/>
  <c r="N160" i="23" s="1"/>
  <c r="V160" i="23"/>
  <c r="R161" i="23"/>
  <c r="W160" i="23"/>
  <c r="X160" i="23"/>
  <c r="U160" i="23"/>
  <c r="A159" i="23"/>
  <c r="Y158" i="23"/>
  <c r="C159" i="23" l="1"/>
  <c r="B159" i="23"/>
  <c r="M159" i="23"/>
  <c r="H159" i="23"/>
  <c r="G160" i="23"/>
  <c r="L160" i="23"/>
  <c r="O160" i="23" s="1"/>
  <c r="E160" i="23"/>
  <c r="F160" i="23"/>
  <c r="K160" i="23"/>
  <c r="D160" i="23"/>
  <c r="P160" i="23" s="1"/>
  <c r="Q161" i="23"/>
  <c r="N161" i="23" s="1"/>
  <c r="A160" i="23"/>
  <c r="R162" i="23"/>
  <c r="U161" i="23"/>
  <c r="X161" i="23"/>
  <c r="V161" i="23"/>
  <c r="W161" i="23"/>
  <c r="Y159" i="23"/>
  <c r="C160" i="23" l="1"/>
  <c r="B160" i="23"/>
  <c r="M160" i="23"/>
  <c r="H160" i="23"/>
  <c r="G161" i="23"/>
  <c r="L161" i="23"/>
  <c r="O161" i="23" s="1"/>
  <c r="E161" i="23"/>
  <c r="F161" i="23"/>
  <c r="K161" i="23"/>
  <c r="D161" i="23"/>
  <c r="P161" i="23" s="1"/>
  <c r="Q162" i="23"/>
  <c r="N162" i="23" s="1"/>
  <c r="X162" i="23"/>
  <c r="W162" i="23"/>
  <c r="R163" i="23"/>
  <c r="V162" i="23"/>
  <c r="U162" i="23"/>
  <c r="A161" i="23"/>
  <c r="Y160" i="23"/>
  <c r="C161" i="23" l="1"/>
  <c r="B161" i="23"/>
  <c r="M161" i="23"/>
  <c r="H161" i="23"/>
  <c r="G162" i="23"/>
  <c r="L162" i="23"/>
  <c r="O162" i="23" s="1"/>
  <c r="E162" i="23"/>
  <c r="F162" i="23"/>
  <c r="K162" i="23"/>
  <c r="D162" i="23"/>
  <c r="P162" i="23" s="1"/>
  <c r="Q163" i="23"/>
  <c r="N163" i="23" s="1"/>
  <c r="R164" i="23"/>
  <c r="X163" i="23"/>
  <c r="W163" i="23"/>
  <c r="U163" i="23"/>
  <c r="V163" i="23"/>
  <c r="A162" i="23"/>
  <c r="Y161" i="23"/>
  <c r="C162" i="23" l="1"/>
  <c r="B162" i="23"/>
  <c r="M162" i="23"/>
  <c r="H162" i="23"/>
  <c r="G163" i="23"/>
  <c r="L163" i="23"/>
  <c r="O163" i="23" s="1"/>
  <c r="E163" i="23"/>
  <c r="F163" i="23"/>
  <c r="K163" i="23"/>
  <c r="D163" i="23"/>
  <c r="P163" i="23" s="1"/>
  <c r="Q164" i="23"/>
  <c r="N164" i="23" s="1"/>
  <c r="Y162" i="23"/>
  <c r="A163" i="23"/>
  <c r="X164" i="23"/>
  <c r="U164" i="23"/>
  <c r="W164" i="23"/>
  <c r="R165" i="23"/>
  <c r="V164" i="23"/>
  <c r="C163" i="23" l="1"/>
  <c r="B163" i="23"/>
  <c r="M163" i="23"/>
  <c r="H163" i="23"/>
  <c r="G164" i="23"/>
  <c r="L164" i="23"/>
  <c r="O164" i="23" s="1"/>
  <c r="E164" i="23"/>
  <c r="F164" i="23"/>
  <c r="K164" i="23"/>
  <c r="D164" i="23"/>
  <c r="P164" i="23" s="1"/>
  <c r="Q165" i="23"/>
  <c r="N165" i="23" s="1"/>
  <c r="A164" i="23"/>
  <c r="Y163" i="23"/>
  <c r="U165" i="23"/>
  <c r="X165" i="23"/>
  <c r="R166" i="23"/>
  <c r="V165" i="23"/>
  <c r="W165" i="23"/>
  <c r="C164" i="23" l="1"/>
  <c r="B164" i="23"/>
  <c r="M164" i="23"/>
  <c r="H164" i="23"/>
  <c r="G165" i="23"/>
  <c r="L165" i="23"/>
  <c r="O165" i="23" s="1"/>
  <c r="E165" i="23"/>
  <c r="F165" i="23"/>
  <c r="K165" i="23"/>
  <c r="D165" i="23"/>
  <c r="P165" i="23" s="1"/>
  <c r="Q166" i="23"/>
  <c r="N166" i="23" s="1"/>
  <c r="U166" i="23"/>
  <c r="W166" i="23"/>
  <c r="X166" i="23"/>
  <c r="V166" i="23"/>
  <c r="R167" i="23"/>
  <c r="A165" i="23"/>
  <c r="Y164" i="23"/>
  <c r="C165" i="23" l="1"/>
  <c r="B165" i="23"/>
  <c r="M165" i="23"/>
  <c r="H165" i="23"/>
  <c r="G166" i="23"/>
  <c r="L166" i="23"/>
  <c r="O166" i="23" s="1"/>
  <c r="E166" i="23"/>
  <c r="F166" i="23"/>
  <c r="K166" i="23"/>
  <c r="D166" i="23"/>
  <c r="P166" i="23" s="1"/>
  <c r="Q167" i="23"/>
  <c r="N167" i="23" s="1"/>
  <c r="Y165" i="23"/>
  <c r="A166" i="23"/>
  <c r="W167" i="23"/>
  <c r="U167" i="23"/>
  <c r="V167" i="23"/>
  <c r="X167" i="23"/>
  <c r="R168" i="23"/>
  <c r="C166" i="23" l="1"/>
  <c r="B166" i="23"/>
  <c r="M166" i="23"/>
  <c r="H166" i="23"/>
  <c r="G167" i="23"/>
  <c r="L167" i="23"/>
  <c r="O167" i="23" s="1"/>
  <c r="E167" i="23"/>
  <c r="F167" i="23"/>
  <c r="K167" i="23"/>
  <c r="D167" i="23"/>
  <c r="P167" i="23" s="1"/>
  <c r="Q168" i="23"/>
  <c r="N168" i="23" s="1"/>
  <c r="Y166" i="23"/>
  <c r="A167" i="23"/>
  <c r="W168" i="23"/>
  <c r="V168" i="23"/>
  <c r="X168" i="23"/>
  <c r="U168" i="23"/>
  <c r="R169" i="23"/>
  <c r="C167" i="23" l="1"/>
  <c r="B167" i="23"/>
  <c r="M167" i="23"/>
  <c r="H167" i="23"/>
  <c r="G168" i="23"/>
  <c r="L168" i="23"/>
  <c r="O168" i="23" s="1"/>
  <c r="E168" i="23"/>
  <c r="F168" i="23"/>
  <c r="K168" i="23"/>
  <c r="D168" i="23"/>
  <c r="P168" i="23" s="1"/>
  <c r="Q169" i="23"/>
  <c r="N169" i="23" s="1"/>
  <c r="A168" i="23"/>
  <c r="U169" i="23"/>
  <c r="R170" i="23"/>
  <c r="X169" i="23"/>
  <c r="W169" i="23"/>
  <c r="V169" i="23"/>
  <c r="Y167" i="23"/>
  <c r="C168" i="23" l="1"/>
  <c r="B168" i="23"/>
  <c r="M168" i="23"/>
  <c r="H168" i="23"/>
  <c r="G169" i="23"/>
  <c r="L169" i="23"/>
  <c r="O169" i="23" s="1"/>
  <c r="E169" i="23"/>
  <c r="F169" i="23"/>
  <c r="K169" i="23"/>
  <c r="D169" i="23"/>
  <c r="P169" i="23" s="1"/>
  <c r="Q170" i="23"/>
  <c r="N170" i="23" s="1"/>
  <c r="A169" i="23"/>
  <c r="Y168" i="23"/>
  <c r="V170" i="23"/>
  <c r="X170" i="23"/>
  <c r="R171" i="23"/>
  <c r="U170" i="23"/>
  <c r="W170" i="23"/>
  <c r="C169" i="23" l="1"/>
  <c r="B169" i="23"/>
  <c r="M169" i="23"/>
  <c r="H169" i="23"/>
  <c r="G170" i="23"/>
  <c r="L170" i="23"/>
  <c r="O170" i="23" s="1"/>
  <c r="E170" i="23"/>
  <c r="F170" i="23"/>
  <c r="D170" i="23"/>
  <c r="P170" i="23" s="1"/>
  <c r="K170" i="23"/>
  <c r="Q171" i="23"/>
  <c r="N171" i="23" s="1"/>
  <c r="A170" i="23"/>
  <c r="X171" i="23"/>
  <c r="V171" i="23"/>
  <c r="R172" i="23"/>
  <c r="U171" i="23"/>
  <c r="W171" i="23"/>
  <c r="Y169" i="23"/>
  <c r="C170" i="23" l="1"/>
  <c r="B170" i="23"/>
  <c r="M170" i="23"/>
  <c r="H170" i="23"/>
  <c r="G171" i="23"/>
  <c r="L171" i="23"/>
  <c r="O171" i="23" s="1"/>
  <c r="E171" i="23"/>
  <c r="F171" i="23"/>
  <c r="K171" i="23"/>
  <c r="D171" i="23"/>
  <c r="P171" i="23" s="1"/>
  <c r="Q172" i="23"/>
  <c r="N172" i="23" s="1"/>
  <c r="A171" i="23"/>
  <c r="X172" i="23"/>
  <c r="U172" i="23"/>
  <c r="R173" i="23"/>
  <c r="W172" i="23"/>
  <c r="V172" i="23"/>
  <c r="Y170" i="23"/>
  <c r="C171" i="23" l="1"/>
  <c r="B171" i="23"/>
  <c r="M171" i="23"/>
  <c r="H171" i="23"/>
  <c r="G172" i="23"/>
  <c r="L172" i="23"/>
  <c r="O172" i="23" s="1"/>
  <c r="E172" i="23"/>
  <c r="F172" i="23"/>
  <c r="K172" i="23"/>
  <c r="D172" i="23"/>
  <c r="P172" i="23" s="1"/>
  <c r="Q173" i="23"/>
  <c r="N173" i="23" s="1"/>
  <c r="Y171" i="23"/>
  <c r="R174" i="23"/>
  <c r="U173" i="23"/>
  <c r="X173" i="23"/>
  <c r="V173" i="23"/>
  <c r="W173" i="23"/>
  <c r="A172" i="23"/>
  <c r="C172" i="23" l="1"/>
  <c r="B172" i="23"/>
  <c r="M172" i="23"/>
  <c r="H172" i="23"/>
  <c r="G173" i="23"/>
  <c r="L173" i="23"/>
  <c r="O173" i="23" s="1"/>
  <c r="E173" i="23"/>
  <c r="F173" i="23"/>
  <c r="K173" i="23"/>
  <c r="D173" i="23"/>
  <c r="P173" i="23" s="1"/>
  <c r="Q174" i="23"/>
  <c r="N174" i="23" s="1"/>
  <c r="Y172" i="23"/>
  <c r="A173" i="23"/>
  <c r="U174" i="23"/>
  <c r="X174" i="23"/>
  <c r="V174" i="23"/>
  <c r="R175" i="23"/>
  <c r="W174" i="23"/>
  <c r="C173" i="23" l="1"/>
  <c r="B173" i="23"/>
  <c r="M173" i="23"/>
  <c r="H173" i="23"/>
  <c r="G174" i="23"/>
  <c r="L174" i="23"/>
  <c r="O174" i="23" s="1"/>
  <c r="E174" i="23"/>
  <c r="F174" i="23"/>
  <c r="D174" i="23"/>
  <c r="P174" i="23" s="1"/>
  <c r="K174" i="23"/>
  <c r="Q175" i="23"/>
  <c r="N175" i="23" s="1"/>
  <c r="Y173" i="23"/>
  <c r="A174" i="23"/>
  <c r="X175" i="23"/>
  <c r="R176" i="23"/>
  <c r="W175" i="23"/>
  <c r="U175" i="23"/>
  <c r="V175" i="23"/>
  <c r="C174" i="23" l="1"/>
  <c r="B174" i="23"/>
  <c r="M174" i="23"/>
  <c r="H174" i="23"/>
  <c r="G175" i="23"/>
  <c r="L175" i="23"/>
  <c r="O175" i="23" s="1"/>
  <c r="E175" i="23"/>
  <c r="F175" i="23"/>
  <c r="K175" i="23"/>
  <c r="D175" i="23"/>
  <c r="P175" i="23" s="1"/>
  <c r="Q176" i="23"/>
  <c r="N176" i="23" s="1"/>
  <c r="X176" i="23"/>
  <c r="R177" i="23"/>
  <c r="U176" i="23"/>
  <c r="V176" i="23"/>
  <c r="W176" i="23"/>
  <c r="A175" i="23"/>
  <c r="Y174" i="23"/>
  <c r="C175" i="23" l="1"/>
  <c r="B175" i="23"/>
  <c r="M175" i="23"/>
  <c r="H175" i="23"/>
  <c r="G176" i="23"/>
  <c r="L176" i="23"/>
  <c r="O176" i="23" s="1"/>
  <c r="E176" i="23"/>
  <c r="F176" i="23"/>
  <c r="D176" i="23"/>
  <c r="P176" i="23" s="1"/>
  <c r="K176" i="23"/>
  <c r="Q177" i="23"/>
  <c r="N177" i="23" s="1"/>
  <c r="Y175" i="23"/>
  <c r="A176" i="23"/>
  <c r="W177" i="23"/>
  <c r="X177" i="23"/>
  <c r="V177" i="23"/>
  <c r="R178" i="23"/>
  <c r="U177" i="23"/>
  <c r="C176" i="23" l="1"/>
  <c r="B176" i="23"/>
  <c r="M176" i="23"/>
  <c r="H176" i="23"/>
  <c r="G177" i="23"/>
  <c r="L177" i="23"/>
  <c r="O177" i="23" s="1"/>
  <c r="E177" i="23"/>
  <c r="F177" i="23"/>
  <c r="K177" i="23"/>
  <c r="D177" i="23"/>
  <c r="P177" i="23" s="1"/>
  <c r="Q178" i="23"/>
  <c r="N178" i="23" s="1"/>
  <c r="A177" i="23"/>
  <c r="V178" i="23"/>
  <c r="U178" i="23"/>
  <c r="W178" i="23"/>
  <c r="X178" i="23"/>
  <c r="R179" i="23"/>
  <c r="Y176" i="23"/>
  <c r="C177" i="23" l="1"/>
  <c r="B177" i="23"/>
  <c r="M177" i="23"/>
  <c r="H177" i="23"/>
  <c r="G178" i="23"/>
  <c r="L178" i="23"/>
  <c r="O178" i="23" s="1"/>
  <c r="E178" i="23"/>
  <c r="F178" i="23"/>
  <c r="K178" i="23"/>
  <c r="D178" i="23"/>
  <c r="P178" i="23" s="1"/>
  <c r="Q179" i="23"/>
  <c r="N179" i="23" s="1"/>
  <c r="R180" i="23"/>
  <c r="V179" i="23"/>
  <c r="W179" i="23"/>
  <c r="X179" i="23"/>
  <c r="U179" i="23"/>
  <c r="A178" i="23"/>
  <c r="Y177" i="23"/>
  <c r="C178" i="23" l="1"/>
  <c r="B178" i="23"/>
  <c r="M178" i="23"/>
  <c r="H178" i="23"/>
  <c r="G179" i="23"/>
  <c r="L179" i="23"/>
  <c r="O179" i="23" s="1"/>
  <c r="E179" i="23"/>
  <c r="F179" i="23"/>
  <c r="K179" i="23"/>
  <c r="D179" i="23"/>
  <c r="P179" i="23" s="1"/>
  <c r="Q180" i="23"/>
  <c r="N180" i="23" s="1"/>
  <c r="A179" i="23"/>
  <c r="Y178" i="23"/>
  <c r="U180" i="23"/>
  <c r="W180" i="23"/>
  <c r="V180" i="23"/>
  <c r="X180" i="23"/>
  <c r="R181" i="23"/>
  <c r="C179" i="23" l="1"/>
  <c r="B179" i="23"/>
  <c r="M179" i="23"/>
  <c r="H179" i="23"/>
  <c r="G180" i="23"/>
  <c r="L180" i="23"/>
  <c r="O180" i="23" s="1"/>
  <c r="E180" i="23"/>
  <c r="F180" i="23"/>
  <c r="K180" i="23"/>
  <c r="D180" i="23"/>
  <c r="P180" i="23" s="1"/>
  <c r="Q181" i="23"/>
  <c r="N181" i="23" s="1"/>
  <c r="R182" i="23"/>
  <c r="X181" i="23"/>
  <c r="V181" i="23"/>
  <c r="W181" i="23"/>
  <c r="U181" i="23"/>
  <c r="A180" i="23"/>
  <c r="Y179" i="23"/>
  <c r="C180" i="23" l="1"/>
  <c r="B180" i="23"/>
  <c r="M180" i="23"/>
  <c r="H180" i="23"/>
  <c r="G181" i="23"/>
  <c r="L181" i="23"/>
  <c r="O181" i="23" s="1"/>
  <c r="E181" i="23"/>
  <c r="F181" i="23"/>
  <c r="K181" i="23"/>
  <c r="D181" i="23"/>
  <c r="P181" i="23" s="1"/>
  <c r="Q182" i="23"/>
  <c r="N182" i="23" s="1"/>
  <c r="A181" i="23"/>
  <c r="Y180" i="23"/>
  <c r="V182" i="23"/>
  <c r="X182" i="23"/>
  <c r="U182" i="23"/>
  <c r="R183" i="23"/>
  <c r="W182" i="23"/>
  <c r="C181" i="23" l="1"/>
  <c r="B181" i="23"/>
  <c r="M181" i="23"/>
  <c r="H181" i="23"/>
  <c r="G182" i="23"/>
  <c r="L182" i="23"/>
  <c r="O182" i="23" s="1"/>
  <c r="E182" i="23"/>
  <c r="F182" i="23"/>
  <c r="K182" i="23"/>
  <c r="D182" i="23"/>
  <c r="P182" i="23" s="1"/>
  <c r="Q183" i="23"/>
  <c r="N183" i="23" s="1"/>
  <c r="A182" i="23"/>
  <c r="Y181" i="23"/>
  <c r="U183" i="23"/>
  <c r="X183" i="23"/>
  <c r="W183" i="23"/>
  <c r="R184" i="23"/>
  <c r="V183" i="23"/>
  <c r="C182" i="23" l="1"/>
  <c r="B182" i="23"/>
  <c r="M182" i="23"/>
  <c r="H182" i="23"/>
  <c r="G183" i="23"/>
  <c r="L183" i="23"/>
  <c r="O183" i="23" s="1"/>
  <c r="E183" i="23"/>
  <c r="F183" i="23"/>
  <c r="K183" i="23"/>
  <c r="D183" i="23"/>
  <c r="P183" i="23" s="1"/>
  <c r="Q184" i="23"/>
  <c r="N184" i="23" s="1"/>
  <c r="U184" i="23"/>
  <c r="R185" i="23"/>
  <c r="W184" i="23"/>
  <c r="V184" i="23"/>
  <c r="X184" i="23"/>
  <c r="Y182" i="23"/>
  <c r="A183" i="23"/>
  <c r="C183" i="23" l="1"/>
  <c r="B183" i="23"/>
  <c r="M183" i="23"/>
  <c r="H183" i="23"/>
  <c r="G184" i="23"/>
  <c r="L184" i="23"/>
  <c r="O184" i="23" s="1"/>
  <c r="E184" i="23"/>
  <c r="F184" i="23"/>
  <c r="D184" i="23"/>
  <c r="P184" i="23" s="1"/>
  <c r="K184" i="23"/>
  <c r="Q185" i="23"/>
  <c r="N185" i="23" s="1"/>
  <c r="Y183" i="23"/>
  <c r="A184" i="23"/>
  <c r="V185" i="23"/>
  <c r="W185" i="23"/>
  <c r="U185" i="23"/>
  <c r="R186" i="23"/>
  <c r="X185" i="23"/>
  <c r="C184" i="23" l="1"/>
  <c r="B184" i="23"/>
  <c r="M184" i="23"/>
  <c r="H184" i="23"/>
  <c r="G185" i="23"/>
  <c r="L185" i="23"/>
  <c r="O185" i="23" s="1"/>
  <c r="E185" i="23"/>
  <c r="F185" i="23"/>
  <c r="K185" i="23"/>
  <c r="D185" i="23"/>
  <c r="P185" i="23" s="1"/>
  <c r="Q186" i="23"/>
  <c r="N186" i="23" s="1"/>
  <c r="A185" i="23"/>
  <c r="R187" i="23"/>
  <c r="W186" i="23"/>
  <c r="V186" i="23"/>
  <c r="X186" i="23"/>
  <c r="U186" i="23"/>
  <c r="Y184" i="23"/>
  <c r="C185" i="23" l="1"/>
  <c r="B185" i="23"/>
  <c r="M185" i="23"/>
  <c r="H185" i="23"/>
  <c r="G186" i="23"/>
  <c r="L186" i="23"/>
  <c r="O186" i="23" s="1"/>
  <c r="E186" i="23"/>
  <c r="F186" i="23"/>
  <c r="D186" i="23"/>
  <c r="P186" i="23" s="1"/>
  <c r="K186" i="23"/>
  <c r="Q187" i="23"/>
  <c r="N187" i="23" s="1"/>
  <c r="W187" i="23"/>
  <c r="V187" i="23"/>
  <c r="X187" i="23"/>
  <c r="R188" i="23"/>
  <c r="U187" i="23"/>
  <c r="A186" i="23"/>
  <c r="Y185" i="23"/>
  <c r="C186" i="23" l="1"/>
  <c r="B186" i="23"/>
  <c r="M186" i="23"/>
  <c r="H186" i="23"/>
  <c r="G187" i="23"/>
  <c r="L187" i="23"/>
  <c r="O187" i="23" s="1"/>
  <c r="E187" i="23"/>
  <c r="F187" i="23"/>
  <c r="K187" i="23"/>
  <c r="D187" i="23"/>
  <c r="P187" i="23" s="1"/>
  <c r="Q188" i="23"/>
  <c r="N188" i="23" s="1"/>
  <c r="Y186" i="23"/>
  <c r="A187" i="23"/>
  <c r="V188" i="23"/>
  <c r="X188" i="23"/>
  <c r="R189" i="23"/>
  <c r="W188" i="23"/>
  <c r="U188" i="23"/>
  <c r="C187" i="23" l="1"/>
  <c r="B187" i="23"/>
  <c r="M187" i="23"/>
  <c r="H187" i="23"/>
  <c r="G188" i="23"/>
  <c r="L188" i="23"/>
  <c r="O188" i="23" s="1"/>
  <c r="E188" i="23"/>
  <c r="F188" i="23"/>
  <c r="K188" i="23"/>
  <c r="D188" i="23"/>
  <c r="P188" i="23" s="1"/>
  <c r="Q189" i="23"/>
  <c r="N189" i="23" s="1"/>
  <c r="R190" i="23"/>
  <c r="V189" i="23"/>
  <c r="U189" i="23"/>
  <c r="W189" i="23"/>
  <c r="X189" i="23"/>
  <c r="Y187" i="23"/>
  <c r="A188" i="23"/>
  <c r="C188" i="23" l="1"/>
  <c r="B188" i="23"/>
  <c r="M188" i="23"/>
  <c r="H188" i="23"/>
  <c r="G189" i="23"/>
  <c r="L189" i="23"/>
  <c r="O189" i="23" s="1"/>
  <c r="E189" i="23"/>
  <c r="F189" i="23"/>
  <c r="D189" i="23"/>
  <c r="P189" i="23" s="1"/>
  <c r="K189" i="23"/>
  <c r="Q190" i="23"/>
  <c r="N190" i="23" s="1"/>
  <c r="A189" i="23"/>
  <c r="Y188" i="23"/>
  <c r="R191" i="23"/>
  <c r="X190" i="23"/>
  <c r="W190" i="23"/>
  <c r="V190" i="23"/>
  <c r="U190" i="23"/>
  <c r="C189" i="23" l="1"/>
  <c r="B189" i="23"/>
  <c r="M189" i="23"/>
  <c r="H189" i="23"/>
  <c r="G190" i="23"/>
  <c r="L190" i="23"/>
  <c r="O190" i="23" s="1"/>
  <c r="E190" i="23"/>
  <c r="F190" i="23"/>
  <c r="K190" i="23"/>
  <c r="D190" i="23"/>
  <c r="P190" i="23" s="1"/>
  <c r="Q191" i="23"/>
  <c r="N191" i="23" s="1"/>
  <c r="A190" i="23"/>
  <c r="W191" i="23"/>
  <c r="V191" i="23"/>
  <c r="R192" i="23"/>
  <c r="X191" i="23"/>
  <c r="U191" i="23"/>
  <c r="Y189" i="23"/>
  <c r="C190" i="23" l="1"/>
  <c r="B190" i="23"/>
  <c r="M190" i="23"/>
  <c r="H190" i="23"/>
  <c r="G191" i="23"/>
  <c r="L191" i="23"/>
  <c r="O191" i="23" s="1"/>
  <c r="E191" i="23"/>
  <c r="F191" i="23"/>
  <c r="K191" i="23"/>
  <c r="D191" i="23"/>
  <c r="P191" i="23" s="1"/>
  <c r="Q192" i="23"/>
  <c r="N192" i="23" s="1"/>
  <c r="A191" i="23"/>
  <c r="Y190" i="23"/>
  <c r="U192" i="23"/>
  <c r="R193" i="23"/>
  <c r="X192" i="23"/>
  <c r="W192" i="23"/>
  <c r="V192" i="23"/>
  <c r="C191" i="23" l="1"/>
  <c r="B191" i="23"/>
  <c r="M191" i="23"/>
  <c r="H191" i="23"/>
  <c r="G192" i="23"/>
  <c r="L192" i="23"/>
  <c r="O192" i="23" s="1"/>
  <c r="E192" i="23"/>
  <c r="F192" i="23"/>
  <c r="K192" i="23"/>
  <c r="D192" i="23"/>
  <c r="P192" i="23" s="1"/>
  <c r="Q193" i="23"/>
  <c r="N193" i="23" s="1"/>
  <c r="A192" i="23"/>
  <c r="X193" i="23"/>
  <c r="W193" i="23"/>
  <c r="U193" i="23"/>
  <c r="R194" i="23"/>
  <c r="V193" i="23"/>
  <c r="Y191" i="23"/>
  <c r="C192" i="23" l="1"/>
  <c r="B192" i="23"/>
  <c r="M192" i="23"/>
  <c r="H192" i="23"/>
  <c r="G193" i="23"/>
  <c r="L193" i="23"/>
  <c r="O193" i="23" s="1"/>
  <c r="E193" i="23"/>
  <c r="F193" i="23"/>
  <c r="K193" i="23"/>
  <c r="D193" i="23"/>
  <c r="P193" i="23" s="1"/>
  <c r="Q194" i="23"/>
  <c r="N194" i="23" s="1"/>
  <c r="W194" i="23"/>
  <c r="V194" i="23"/>
  <c r="X194" i="23"/>
  <c r="U194" i="23"/>
  <c r="R195" i="23"/>
  <c r="Y192" i="23"/>
  <c r="A193" i="23"/>
  <c r="C193" i="23" l="1"/>
  <c r="B193" i="23"/>
  <c r="M193" i="23"/>
  <c r="H193" i="23"/>
  <c r="G194" i="23"/>
  <c r="L194" i="23"/>
  <c r="O194" i="23" s="1"/>
  <c r="E194" i="23"/>
  <c r="F194" i="23"/>
  <c r="K194" i="23"/>
  <c r="D194" i="23"/>
  <c r="P194" i="23" s="1"/>
  <c r="Q195" i="23"/>
  <c r="N195" i="23" s="1"/>
  <c r="Y193" i="23"/>
  <c r="X195" i="23"/>
  <c r="V195" i="23"/>
  <c r="R196" i="23"/>
  <c r="U195" i="23"/>
  <c r="W195" i="23"/>
  <c r="A194" i="23"/>
  <c r="C194" i="23" l="1"/>
  <c r="B194" i="23"/>
  <c r="M194" i="23"/>
  <c r="H194" i="23"/>
  <c r="G195" i="23"/>
  <c r="L195" i="23"/>
  <c r="O195" i="23" s="1"/>
  <c r="E195" i="23"/>
  <c r="F195" i="23"/>
  <c r="K195" i="23"/>
  <c r="D195" i="23"/>
  <c r="P195" i="23" s="1"/>
  <c r="Q196" i="23"/>
  <c r="N196" i="23" s="1"/>
  <c r="Y194" i="23"/>
  <c r="A195" i="23"/>
  <c r="R197" i="23"/>
  <c r="V196" i="23"/>
  <c r="X196" i="23"/>
  <c r="W196" i="23"/>
  <c r="U196" i="23"/>
  <c r="C195" i="23" l="1"/>
  <c r="B195" i="23"/>
  <c r="M195" i="23"/>
  <c r="H195" i="23"/>
  <c r="G196" i="23"/>
  <c r="L196" i="23"/>
  <c r="O196" i="23" s="1"/>
  <c r="E196" i="23"/>
  <c r="F196" i="23"/>
  <c r="K196" i="23"/>
  <c r="D196" i="23"/>
  <c r="P196" i="23" s="1"/>
  <c r="Q197" i="23"/>
  <c r="N197" i="23" s="1"/>
  <c r="A196" i="23"/>
  <c r="V197" i="23"/>
  <c r="X197" i="23"/>
  <c r="U197" i="23"/>
  <c r="W197" i="23"/>
  <c r="R198" i="23"/>
  <c r="Y195" i="23"/>
  <c r="C196" i="23" l="1"/>
  <c r="B196" i="23"/>
  <c r="M196" i="23"/>
  <c r="H196" i="23"/>
  <c r="G197" i="23"/>
  <c r="L197" i="23"/>
  <c r="O197" i="23" s="1"/>
  <c r="E197" i="23"/>
  <c r="F197" i="23"/>
  <c r="K197" i="23"/>
  <c r="D197" i="23"/>
  <c r="P197" i="23" s="1"/>
  <c r="Q198" i="23"/>
  <c r="N198" i="23" s="1"/>
  <c r="A197" i="23"/>
  <c r="Y196" i="23"/>
  <c r="V198" i="23"/>
  <c r="W198" i="23"/>
  <c r="X198" i="23"/>
  <c r="R199" i="23"/>
  <c r="U198" i="23"/>
  <c r="C197" i="23" l="1"/>
  <c r="B197" i="23"/>
  <c r="M197" i="23"/>
  <c r="H197" i="23"/>
  <c r="G198" i="23"/>
  <c r="L198" i="23"/>
  <c r="O198" i="23" s="1"/>
  <c r="E198" i="23"/>
  <c r="F198" i="23"/>
  <c r="K198" i="23"/>
  <c r="D198" i="23"/>
  <c r="P198" i="23" s="1"/>
  <c r="Q199" i="23"/>
  <c r="N199" i="23" s="1"/>
  <c r="R200" i="23"/>
  <c r="V199" i="23"/>
  <c r="X199" i="23"/>
  <c r="U199" i="23"/>
  <c r="W199" i="23"/>
  <c r="A198" i="23"/>
  <c r="Y197" i="23"/>
  <c r="C198" i="23" l="1"/>
  <c r="B198" i="23"/>
  <c r="M198" i="23"/>
  <c r="H198" i="23"/>
  <c r="G199" i="23"/>
  <c r="L199" i="23"/>
  <c r="O199" i="23" s="1"/>
  <c r="E199" i="23"/>
  <c r="F199" i="23"/>
  <c r="K199" i="23"/>
  <c r="D199" i="23"/>
  <c r="P199" i="23" s="1"/>
  <c r="Q200" i="23"/>
  <c r="N200" i="23" s="1"/>
  <c r="A199" i="23"/>
  <c r="Y198" i="23"/>
  <c r="V200" i="23"/>
  <c r="U200" i="23"/>
  <c r="X200" i="23"/>
  <c r="X201" i="23" s="1"/>
  <c r="W200" i="23"/>
  <c r="W201" i="23" s="1"/>
  <c r="C199" i="23" l="1"/>
  <c r="B199" i="23"/>
  <c r="M199" i="23"/>
  <c r="H199" i="23"/>
  <c r="G200" i="23"/>
  <c r="N201" i="23"/>
  <c r="L200" i="23"/>
  <c r="O200" i="23" s="1"/>
  <c r="O201" i="23" s="1"/>
  <c r="E200" i="23"/>
  <c r="F200" i="23"/>
  <c r="K200" i="23"/>
  <c r="D200" i="23"/>
  <c r="P200" i="23" s="1"/>
  <c r="Y199" i="23"/>
  <c r="J205" i="23"/>
  <c r="D25" i="84"/>
  <c r="A200" i="23"/>
  <c r="C200" i="23" l="1"/>
  <c r="B200" i="23"/>
  <c r="M200" i="23"/>
  <c r="J265" i="23"/>
  <c r="K265" i="23" s="1"/>
  <c r="J270" i="23"/>
  <c r="K270" i="23" s="1"/>
  <c r="J250" i="23"/>
  <c r="K250" i="23" s="1"/>
  <c r="J262" i="23"/>
  <c r="K262" i="23" s="1"/>
  <c r="J254" i="23"/>
  <c r="K254" i="23" s="1"/>
  <c r="J260" i="23"/>
  <c r="K260" i="23" s="1"/>
  <c r="J267" i="23"/>
  <c r="K267" i="23" s="1"/>
  <c r="J268" i="23"/>
  <c r="K268" i="23" s="1"/>
  <c r="J259" i="23"/>
  <c r="K259" i="23" s="1"/>
  <c r="J263" i="23"/>
  <c r="K263" i="23" s="1"/>
  <c r="J253" i="23"/>
  <c r="K253" i="23" s="1"/>
  <c r="J266" i="23"/>
  <c r="K266" i="23" s="1"/>
  <c r="J261" i="23"/>
  <c r="K261" i="23" s="1"/>
  <c r="J269" i="23"/>
  <c r="K269" i="23" s="1"/>
  <c r="J257" i="23"/>
  <c r="K257" i="23" s="1"/>
  <c r="J251" i="23"/>
  <c r="K251" i="23" s="1"/>
  <c r="J256" i="23"/>
  <c r="K256" i="23" s="1"/>
  <c r="J271" i="23"/>
  <c r="K271" i="23" s="1"/>
  <c r="J264" i="23"/>
  <c r="K264" i="23" s="1"/>
  <c r="J252" i="23"/>
  <c r="K252" i="23" s="1"/>
  <c r="J272" i="23"/>
  <c r="K272" i="23" s="1"/>
  <c r="J274" i="23"/>
  <c r="K274" i="23" s="1"/>
  <c r="J273" i="23"/>
  <c r="K273" i="23" s="1"/>
  <c r="H200" i="23"/>
  <c r="K205" i="23"/>
  <c r="J210" i="23"/>
  <c r="J209" i="23"/>
  <c r="J208" i="23"/>
  <c r="J255" i="23"/>
  <c r="J258" i="23"/>
  <c r="J233" i="23"/>
  <c r="J238" i="23"/>
  <c r="J236" i="23"/>
  <c r="J235" i="23"/>
  <c r="J237" i="23"/>
  <c r="J239" i="23"/>
  <c r="J234" i="23"/>
  <c r="J240" i="23"/>
  <c r="J242" i="23"/>
  <c r="J241" i="23"/>
  <c r="J243" i="23"/>
  <c r="J245" i="23"/>
  <c r="J244" i="23"/>
  <c r="J246" i="23"/>
  <c r="J248" i="23"/>
  <c r="J247" i="23"/>
  <c r="J249" i="23"/>
  <c r="J212" i="23"/>
  <c r="J211" i="23"/>
  <c r="J215" i="23"/>
  <c r="J214" i="23"/>
  <c r="J213" i="23"/>
  <c r="J216" i="23"/>
  <c r="J218" i="23"/>
  <c r="J217" i="23"/>
  <c r="J219" i="23"/>
  <c r="J220" i="23"/>
  <c r="J222" i="23"/>
  <c r="J221" i="23"/>
  <c r="J223" i="23"/>
  <c r="J225" i="23"/>
  <c r="J224" i="23"/>
  <c r="J228" i="23"/>
  <c r="J226" i="23"/>
  <c r="J227" i="23"/>
  <c r="J230" i="23"/>
  <c r="J229" i="23"/>
  <c r="J231" i="23"/>
  <c r="J232" i="23"/>
  <c r="L201" i="23"/>
  <c r="Y200" i="23"/>
  <c r="D6" i="84" s="1"/>
  <c r="F21" i="84" l="1"/>
  <c r="F6" i="84"/>
  <c r="E6" i="84" s="1"/>
  <c r="K210" i="23"/>
  <c r="K208" i="23"/>
  <c r="K209" i="23"/>
  <c r="K258" i="23"/>
  <c r="K255" i="23"/>
  <c r="F14" i="84"/>
  <c r="F25" i="84"/>
  <c r="E25" i="84" s="1"/>
  <c r="F24" i="84"/>
  <c r="F23" i="84"/>
  <c r="K247" i="23"/>
  <c r="K245" i="23"/>
  <c r="K240" i="23"/>
  <c r="K235" i="23"/>
  <c r="K248" i="23"/>
  <c r="K243" i="23"/>
  <c r="K234" i="23"/>
  <c r="K236" i="23"/>
  <c r="K246" i="23"/>
  <c r="K241" i="23"/>
  <c r="K239" i="23"/>
  <c r="K238" i="23"/>
  <c r="K249" i="23"/>
  <c r="K244" i="23"/>
  <c r="K242" i="23"/>
  <c r="K237" i="23"/>
  <c r="K233" i="23"/>
  <c r="K229" i="23"/>
  <c r="K228" i="23"/>
  <c r="K221" i="23"/>
  <c r="K217" i="23"/>
  <c r="K214" i="23"/>
  <c r="K230" i="23"/>
  <c r="K224" i="23"/>
  <c r="K222" i="23"/>
  <c r="K218" i="23"/>
  <c r="K215" i="23"/>
  <c r="K232" i="23"/>
  <c r="K227" i="23"/>
  <c r="K225" i="23"/>
  <c r="K220" i="23"/>
  <c r="K216" i="23"/>
  <c r="K211" i="23"/>
  <c r="J351" i="23"/>
  <c r="K231" i="23"/>
  <c r="K226" i="23"/>
  <c r="K223" i="23"/>
  <c r="K219" i="23"/>
  <c r="K213" i="23"/>
  <c r="K212" i="23"/>
  <c r="F9" i="84"/>
  <c r="E9" i="84" s="1"/>
  <c r="D11" i="84"/>
  <c r="D9" i="84"/>
  <c r="D7" i="84"/>
  <c r="D12" i="84"/>
  <c r="D13" i="84"/>
  <c r="D5" i="84" s="1"/>
  <c r="D8" i="84"/>
  <c r="D10" i="84"/>
  <c r="F20" i="84"/>
  <c r="F11" i="84"/>
  <c r="E11" i="84" s="1"/>
  <c r="F10" i="84"/>
  <c r="E10" i="84" s="1"/>
  <c r="F7" i="84"/>
  <c r="E7" i="84" s="1"/>
  <c r="F13" i="84"/>
  <c r="F5" i="84" s="1"/>
  <c r="F16" i="84"/>
  <c r="F18" i="84"/>
  <c r="F8" i="84"/>
  <c r="E8" i="84" s="1"/>
  <c r="F19" i="84"/>
  <c r="F12" i="84"/>
  <c r="E12" i="84" s="1"/>
  <c r="F17" i="84"/>
  <c r="F15" i="84"/>
  <c r="F22" i="84" l="1"/>
  <c r="F4" i="84" s="1"/>
  <c r="F3" i="84" s="1"/>
  <c r="F75" i="84" s="1"/>
  <c r="F74" i="84" l="1"/>
  <c r="F76" i="84"/>
  <c r="F73" i="84" l="1"/>
  <c r="F77" i="84" s="1"/>
  <c r="F83" i="84" s="1"/>
  <c r="F84" i="84" s="1"/>
  <c r="F82" i="84" l="1"/>
  <c r="A3104" i="3"/>
  <c r="A2189" i="3"/>
  <c r="A2190" i="3" l="1"/>
  <c r="A2208" i="3" l="1"/>
  <c r="A2230" i="3" l="1"/>
  <c r="A2255" i="3" l="1"/>
  <c r="A2280" i="3" s="1"/>
  <c r="A2316" i="3" s="1"/>
  <c r="A2438" i="3" l="1"/>
  <c r="A2370" i="3"/>
  <c r="A2352" i="3"/>
  <c r="A2298" i="3"/>
  <c r="A2334" i="3" l="1"/>
  <c r="A2388" i="3" l="1"/>
  <c r="A2396" i="3"/>
  <c r="A2422" i="3"/>
  <c r="A2405" i="3"/>
  <c r="A2430" i="3"/>
  <c r="A2414" i="3"/>
  <c r="A2456" i="3" l="1"/>
  <c r="A2474" i="3" l="1"/>
  <c r="A2492" i="3" l="1"/>
  <c r="A2592" i="3"/>
  <c r="A2510" i="3" l="1"/>
  <c r="A2521" i="3" s="1"/>
  <c r="A2536" i="3" s="1"/>
  <c r="A2552" i="3" s="1"/>
  <c r="A2568" i="3" s="1"/>
  <c r="A2580" i="3" s="1"/>
  <c r="A2611" i="3"/>
  <c r="A2630" i="3"/>
  <c r="A2649" i="3" l="1"/>
  <c r="A2668" i="3" s="1"/>
  <c r="A2677" i="3" s="1"/>
  <c r="A2688" i="3" s="1"/>
  <c r="A2703" i="3" l="1"/>
  <c r="A2750" i="3" s="1"/>
  <c r="A2776" i="3" s="1"/>
  <c r="A2724" i="3"/>
  <c r="A2826" i="3" l="1"/>
  <c r="A2876" i="3"/>
  <c r="A2801" i="3"/>
  <c r="A2901" i="3" l="1"/>
  <c r="A2851" i="3"/>
  <c r="A2926" i="3" s="1"/>
  <c r="A2965" i="3" l="1"/>
  <c r="A2952" i="3"/>
  <c r="A2939" i="3"/>
  <c r="A2978" i="3" s="1"/>
  <c r="A2992" i="3"/>
  <c r="A3015" i="3" l="1"/>
  <c r="A3041" i="3" s="1"/>
  <c r="A3064" i="3" s="1"/>
  <c r="A3090" i="3" s="1"/>
  <c r="A3103" i="3" s="1"/>
  <c r="A3120" i="3" s="1"/>
  <c r="A3138" i="3" s="1"/>
  <c r="A3156" i="3" s="1"/>
  <c r="A3171" i="3" s="1"/>
  <c r="A3185" i="3" s="1"/>
  <c r="A3206" i="3" l="1"/>
  <c r="A3227" i="3" s="1"/>
  <c r="A3248" i="3"/>
  <c r="A3293" i="3" l="1"/>
  <c r="A3269" i="3"/>
  <c r="A3301" i="3" s="1"/>
  <c r="A3277" i="3" l="1"/>
  <c r="A3285" i="3" s="1"/>
  <c r="A3310" i="3" s="1"/>
  <c r="A3322" i="3" l="1"/>
  <c r="A3353" i="3" s="1"/>
  <c r="A3343" i="3"/>
  <c r="A3333" i="3"/>
  <c r="A3375" i="3" s="1"/>
  <c r="A3364" i="3" l="1"/>
  <c r="A3381" i="3"/>
  <c r="A3392" i="3"/>
  <c r="A3420" i="3" s="1"/>
  <c r="A3404" i="3"/>
  <c r="A3436" i="3" s="1"/>
  <c r="A3419" i="3" l="1"/>
  <c r="A3475" i="3" s="1"/>
  <c r="A3452" i="3" l="1"/>
  <c r="A3498" i="3" s="1"/>
  <c r="A3523" i="3" s="1"/>
  <c r="A3548" i="3" s="1"/>
  <c r="A3573" i="3" s="1"/>
  <c r="A3598" i="3" s="1"/>
  <c r="A3623" i="3" s="1"/>
  <c r="A3665" i="3" l="1"/>
  <c r="A3648" i="3"/>
  <c r="A3691" i="3" l="1"/>
  <c r="A3717" i="3" s="1"/>
  <c r="A3762" i="3" l="1"/>
  <c r="A3743" i="3"/>
  <c r="A3777" i="3" s="1"/>
  <c r="A3809" i="3" s="1"/>
  <c r="A3792" i="3"/>
  <c r="A3808" i="3" l="1"/>
  <c r="A3839" i="3" s="1"/>
  <c r="A3881" i="3" s="1"/>
  <c r="A3823" i="3"/>
  <c r="A3860" i="3"/>
  <c r="A3911" i="3" l="1"/>
  <c r="A3895" i="3"/>
  <c r="A3932" i="3" s="1"/>
  <c r="A3953" i="3" l="1"/>
  <c r="A3983" i="3" s="1"/>
  <c r="A3967" i="3"/>
  <c r="A4004" i="3" s="1"/>
  <c r="A4043" i="3" s="1"/>
  <c r="A4025" i="3" l="1"/>
  <c r="A4061" i="3" s="1"/>
  <c r="A4097" i="3" s="1"/>
  <c r="A4079" i="3" l="1"/>
  <c r="A4115" i="3" s="1"/>
  <c r="A4150" i="3" s="1"/>
  <c r="A4133" i="3" l="1"/>
  <c r="A4167" i="3" s="1"/>
  <c r="A4201" i="3" s="1"/>
  <c r="A4184" i="3" l="1"/>
  <c r="A4218" i="3" s="1"/>
  <c r="A4243" i="3" s="1"/>
  <c r="A4227" i="3" l="1"/>
  <c r="A4260" i="3" s="1"/>
  <c r="A4288" i="3" s="1"/>
  <c r="A4299" i="3" l="1"/>
  <c r="A4332" i="3" s="1"/>
  <c r="A4277" i="3"/>
  <c r="A4310" i="3" s="1"/>
  <c r="A4321" i="3" l="1"/>
  <c r="A4356" i="3" s="1"/>
  <c r="A4343" i="3"/>
  <c r="A4379" i="3" s="1"/>
  <c r="A4357" i="3" l="1"/>
  <c r="A4366" i="3"/>
  <c r="A4415" i="3" s="1"/>
  <c r="A4407" i="3" l="1"/>
  <c r="A4393" i="3"/>
  <c r="A4423" i="3" s="1"/>
  <c r="A4455" i="3" l="1"/>
  <c r="A4431" i="3"/>
  <c r="A4441" i="3"/>
  <c r="A4470" i="3" l="1"/>
  <c r="A4503" i="3" s="1"/>
  <c r="A4485" i="3"/>
  <c r="A4510" i="3" s="1"/>
  <c r="A4539" i="3" s="1"/>
  <c r="A4496" i="3"/>
  <c r="A4523" i="3" s="1"/>
  <c r="A4522" i="3" l="1"/>
  <c r="A4554" i="3" s="1"/>
  <c r="A4585" i="3" s="1"/>
  <c r="A4568" i="3" l="1"/>
  <c r="A4600" i="3" s="1"/>
  <c r="A4636" i="3" l="1"/>
  <c r="A4635" i="3"/>
  <c r="A4617" i="3"/>
  <c r="A464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CHỌN LOẠI ĐÚNG ĐỂ LÊN BÁO GIÁ HOẶC QUYẾT TOÁN</t>
        </r>
      </text>
    </comment>
    <comment ref="F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PHẢI CHỌN ĐÚNG ĐỂ TÍNH GIÁ</t>
        </r>
      </text>
    </comment>
    <comment ref="F12" authorId="0" shapeId="0" xr:uid="{93CF5AB8-AF02-4139-B293-625A569E9606}">
      <text>
        <r>
          <rPr>
            <b/>
            <sz val="9"/>
            <color indexed="81"/>
            <rFont val="Tahoma"/>
            <family val="2"/>
          </rPr>
          <t>PHẢI CHỌN ĐÚNG ĐỂ TÍNH GIÁ</t>
        </r>
      </text>
    </comment>
    <comment ref="F17" authorId="0" shapeId="0" xr:uid="{17E46BDD-E664-461E-864A-17407720E730}">
      <text>
        <r>
          <rPr>
            <b/>
            <sz val="9"/>
            <color indexed="81"/>
            <rFont val="Tahoma"/>
            <family val="2"/>
          </rPr>
          <t>PHẢI CHỌN ĐÚNG ĐỂ TÍNH GIÁ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VIP</author>
  </authors>
  <commentList>
    <comment ref="B13" authorId="0" shapeId="0" xr:uid="{110534FB-56AC-4B46-81AA-9A07F1093688}">
      <text>
        <r>
          <rPr>
            <b/>
            <sz val="9"/>
            <color indexed="81"/>
            <rFont val="Tahoma"/>
            <family val="2"/>
          </rPr>
          <t>C459 được phân loại là PR vì mua cùng NCC PR và cách tính giá như PR nhưng bản chất nằm ở PK</t>
        </r>
      </text>
    </comment>
    <comment ref="B23" authorId="0" shapeId="0" xr:uid="{B6308377-8116-427C-92D6-85A636279D7B}">
      <text>
        <r>
          <rPr>
            <b/>
            <sz val="9"/>
            <color indexed="81"/>
            <rFont val="Tahoma"/>
            <family val="2"/>
          </rPr>
          <t>Bao gồm ke</t>
        </r>
      </text>
    </comment>
    <comment ref="I34" authorId="0" shapeId="0" xr:uid="{4E2BA615-BB15-4249-AE6E-DF8D60E07B12}">
      <text>
        <r>
          <rPr>
            <b/>
            <sz val="9"/>
            <color indexed="81"/>
            <rFont val="Tahoma"/>
            <family val="2"/>
          </rPr>
          <t>Nhập Sản lượng Nhôm/tháng</t>
        </r>
      </text>
    </comment>
    <comment ref="I52" authorId="0" shapeId="0" xr:uid="{9DC857EA-B754-497A-AA63-185F81C78D4F}">
      <text>
        <r>
          <rPr>
            <b/>
            <sz val="9"/>
            <color indexed="81"/>
            <rFont val="Tahoma"/>
            <family val="2"/>
          </rPr>
          <t>Nhập sản lượng Nhựa/tháng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VIP</author>
  </authors>
  <commentList>
    <comment ref="E165" authorId="0" shapeId="0" xr:uid="{44FC165A-B8A6-42D6-A27A-12FFA11AE8D1}">
      <text>
        <r>
          <rPr>
            <b/>
            <sz val="9"/>
            <color indexed="81"/>
            <rFont val="Tahoma"/>
            <family val="2"/>
          </rPr>
          <t>Không được thay đổi + xóa</t>
        </r>
      </text>
    </comment>
    <comment ref="E214" authorId="0" shapeId="0" xr:uid="{07BAC38F-4B40-47DC-B677-D9832ED34E7E}">
      <text>
        <r>
          <rPr>
            <b/>
            <sz val="9"/>
            <color indexed="81"/>
            <rFont val="Tahoma"/>
            <family val="2"/>
          </rPr>
          <t>chọn để lấy PK, không ảnh hưởng PR</t>
        </r>
      </text>
    </comment>
    <comment ref="E223" authorId="0" shapeId="0" xr:uid="{1E70AEE8-6591-4F87-9ECF-8E3337ED115B}">
      <text>
        <r>
          <rPr>
            <b/>
            <sz val="9"/>
            <color indexed="81"/>
            <rFont val="Tahoma"/>
            <family val="2"/>
          </rPr>
          <t>Chọn để lấy PK. Không ảnh hưởng PR</t>
        </r>
      </text>
    </comment>
    <comment ref="E232" authorId="0" shapeId="0" xr:uid="{C98E142C-43A4-45BE-8C52-24341FB8FE1A}">
      <text>
        <r>
          <rPr>
            <b/>
            <sz val="9"/>
            <color indexed="81"/>
            <rFont val="Tahoma"/>
            <family val="2"/>
          </rPr>
          <t>chọn để lấy PK, không ảnh hưởng PR</t>
        </r>
      </text>
    </comment>
    <comment ref="E243" authorId="0" shapeId="0" xr:uid="{DAC1649B-BA86-45E2-A6D0-608E422021AA}">
      <text>
        <r>
          <rPr>
            <b/>
            <sz val="9"/>
            <color indexed="81"/>
            <rFont val="Tahoma"/>
            <family val="2"/>
          </rPr>
          <t>chọn để lấy PK, không ảnh hưởng PR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VIP</author>
  </authors>
  <commentList>
    <comment ref="E6492" authorId="0" shapeId="0" xr:uid="{5CF801FA-7BD8-4882-8A7D-E71B57357494}">
      <text>
        <r>
          <rPr>
            <b/>
            <sz val="9"/>
            <color indexed="81"/>
            <rFont val="Tahoma"/>
            <family val="2"/>
          </rPr>
          <t>Kính quá khổ</t>
        </r>
      </text>
    </comment>
    <comment ref="L6755" authorId="0" shapeId="0" xr:uid="{84230D00-C9FE-4407-BB46-3A3DC874192A}">
      <text>
        <r>
          <rPr>
            <b/>
            <sz val="9"/>
            <color indexed="81"/>
            <rFont val="Tahoma"/>
            <family val="2"/>
          </rPr>
          <t>Đơn giá theo thanh, không theo tỷ trọng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VIP</author>
  </authors>
  <commentList>
    <comment ref="AG9" authorId="0" shapeId="0" xr:uid="{B6B4A42E-6241-4AF9-82B7-1FA433D61954}">
      <text>
        <r>
          <rPr>
            <b/>
            <sz val="9"/>
            <color indexed="81"/>
            <rFont val="Tahoma"/>
            <family val="2"/>
          </rPr>
          <t>Nhập mã cửa giống mã cửa muốn merge vào dòng vách kính để merge Mã cửa cột B gửi KH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VIP</author>
  </authors>
  <commentList>
    <comment ref="AD8" authorId="0" shapeId="0" xr:uid="{02CDDB19-3E75-4261-8CC5-C88D2707E2E7}">
      <text>
        <r>
          <rPr>
            <b/>
            <sz val="9"/>
            <color indexed="81"/>
            <rFont val="Tahoma"/>
            <family val="2"/>
          </rPr>
          <t>Đã tính trong phần chia đố</t>
        </r>
      </text>
    </comment>
    <comment ref="AW8" authorId="0" shapeId="0" xr:uid="{D993FD58-AC50-4258-B80D-E31E6742957F}">
      <text>
        <r>
          <rPr>
            <b/>
            <sz val="9"/>
            <color indexed="81"/>
            <rFont val="Tahoma"/>
            <family val="2"/>
          </rPr>
          <t>Đã tính trong phần chia đố</t>
        </r>
      </text>
    </comment>
    <comment ref="BW9" authorId="0" shapeId="0" xr:uid="{5A5EB911-F4EC-4E04-87A5-408F45C503CC}">
      <text>
        <r>
          <rPr>
            <b/>
            <sz val="9"/>
            <color indexed="81"/>
            <rFont val="Tahoma"/>
            <family val="2"/>
          </rPr>
          <t>Nhập mã cửa giống mã cửa muốn merge vào dòng vách kính để merge Mã cửa cột B gửi KH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VIP</author>
  </authors>
  <commentList>
    <comment ref="N4" authorId="0" shapeId="0" xr:uid="{194635BE-3C8C-4177-9C87-2BC71FB522E3}">
      <text>
        <r>
          <rPr>
            <b/>
            <sz val="9"/>
            <color indexed="81"/>
            <rFont val="Tahoma"/>
            <family val="2"/>
          </rPr>
          <t>Nhập đợt SX muốn làm quyết toán</t>
        </r>
      </text>
    </comment>
    <comment ref="N9" authorId="0" shapeId="0" xr:uid="{5E6E540D-B448-4548-8AEC-AF513EFF988D}">
      <text>
        <r>
          <rPr>
            <b/>
            <sz val="9"/>
            <color indexed="81"/>
            <rFont val="Tahoma"/>
            <family val="2"/>
          </rPr>
          <t>Nhập mã cửa vào dòng vách kính để merge Mã cửa cột B gửi KH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VIP</author>
  </authors>
  <commentList>
    <comment ref="X1" authorId="0" shapeId="0" xr:uid="{5E3DED8A-C7C3-421F-A1D8-7BFFF455BFA6}">
      <text>
        <r>
          <rPr>
            <b/>
            <sz val="9"/>
            <color indexed="81"/>
            <rFont val="Tahoma"/>
            <family val="2"/>
          </rPr>
          <t>Nhập đợt sx muốn xem.
Để xem nhiều đợt thì giữa các đợt phải có khoảng trắng và dấu &amp;. Ví dụ muốn xem đợt 1 và 2 thì nhập là 1 &amp; 2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Tien Le</author>
    <author>VIP</author>
    <author>admin</author>
  </authors>
  <commentList>
    <comment ref="I2" authorId="0" shapeId="0" xr:uid="{01DFE3D0-BD65-4A85-981C-D5F1803EF06C}">
      <text>
        <r>
          <rPr>
            <b/>
            <sz val="9"/>
            <color indexed="81"/>
            <rFont val="Tahoma"/>
            <family val="2"/>
          </rPr>
          <t>Tien Le:</t>
        </r>
        <r>
          <rPr>
            <sz val="9"/>
            <color indexed="81"/>
            <rFont val="Tahoma"/>
            <family val="2"/>
          </rPr>
          <t xml:space="preserve">
Chọn thi công khó nếu thi công khó/tầng cao, không thì để trống
</t>
        </r>
      </text>
    </comment>
    <comment ref="E3" authorId="1" shapeId="0" xr:uid="{00000000-0006-0000-0700-000001000000}">
      <text>
        <r>
          <rPr>
            <b/>
            <sz val="9"/>
            <color indexed="81"/>
            <rFont val="Tahoma"/>
            <family val="2"/>
          </rPr>
          <t>Chiều tay nắm nhìn từ ngoài vào =&gt; XÁC ĐỊNH CHIỀU BẢN LỀ</t>
        </r>
      </text>
    </comment>
    <comment ref="I5" authorId="1" shapeId="0" xr:uid="{BF539BF1-C383-4754-855B-F1BB4E1DE4A7}">
      <text>
        <r>
          <rPr>
            <b/>
            <sz val="9"/>
            <color indexed="81"/>
            <rFont val="Tahoma"/>
            <family val="2"/>
          </rPr>
          <t>Vị trí</t>
        </r>
      </text>
    </comment>
    <comment ref="B6" authorId="1" shapeId="0" xr:uid="{BD881C49-4B9D-49D7-9A27-17F795927C40}">
      <text>
        <r>
          <rPr>
            <b/>
            <sz val="9"/>
            <color indexed="81"/>
            <rFont val="Tahoma"/>
            <family val="2"/>
          </rPr>
          <t>Chọn KHÔNG KÍNH nếu KHÔNG tính giá trị KÍNH hoặc KÍNH tương ứng</t>
        </r>
      </text>
    </comment>
    <comment ref="F6" authorId="1" shapeId="0" xr:uid="{A2BC9616-1DF1-45B5-996D-DEB769CD20BA}">
      <text>
        <r>
          <rPr>
            <b/>
            <sz val="9"/>
            <color indexed="81"/>
            <rFont val="Tahoma"/>
            <family val="2"/>
          </rPr>
          <t>Phải chọn loại cửa nối với nẹp nếu không sẽ báo lỗi</t>
        </r>
      </text>
    </comment>
    <comment ref="I6" authorId="1" shapeId="0" xr:uid="{22293586-E34F-45BC-8ABB-A1514EEE051B}">
      <text>
        <r>
          <rPr>
            <b/>
            <sz val="9"/>
            <color indexed="81"/>
            <rFont val="Tahoma"/>
            <family val="2"/>
          </rPr>
          <t>Nhập độ hở bản lề ĐI QUAY tương ứng. NẾU KHÔNG NHẬP SẼ TÍNH SAI PR</t>
        </r>
      </text>
    </comment>
    <comment ref="E7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FIX (VÁCH KÍNH NỐI VỚI CỬA)</t>
        </r>
      </text>
    </comment>
    <comment ref="F7" authorId="2" shapeId="0" xr:uid="{00000000-0006-0000-0700-000003000000}">
      <text>
        <r>
          <rPr>
            <b/>
            <sz val="9"/>
            <color indexed="81"/>
            <rFont val="Tahoma"/>
            <family val="2"/>
          </rPr>
          <t>Tổng độ dài của 1 bộ
Phải nhập số 0 nếu không có giá trị</t>
        </r>
      </text>
    </comment>
    <comment ref="I7" authorId="1" shapeId="0" xr:uid="{84A8C43E-B53D-4E8D-9A6E-6ECA73B99F71}">
      <text>
        <r>
          <rPr>
            <b/>
            <sz val="9"/>
            <color indexed="81"/>
            <rFont val="Tahoma"/>
            <family val="2"/>
          </rPr>
          <t>CHỌN SỬ DỤNG GIOĂNG KÍNH HAY SILICONE KÍNH
"I7" CODE CỨNG TÍNH KEO/GIOĂNG, nếu đổi vị trí phải sửa công thức keo/gioăng</t>
        </r>
      </text>
    </comment>
    <comment ref="C8" authorId="2" shapeId="0" xr:uid="{00000000-0006-0000-0700-000004000000}">
      <text>
        <r>
          <rPr>
            <b/>
            <sz val="9"/>
            <color indexed="81"/>
            <rFont val="Tahoma"/>
            <family val="2"/>
          </rPr>
          <t>Chiều rộng (mm)</t>
        </r>
      </text>
    </comment>
    <comment ref="F9" authorId="1" shapeId="0" xr:uid="{12606927-127E-4549-9652-9A5F9CC6FDA3}">
      <text>
        <r>
          <rPr>
            <b/>
            <sz val="9"/>
            <color indexed="81"/>
            <rFont val="Tahoma"/>
            <family val="2"/>
          </rPr>
          <t>Số lượng 1 bộ</t>
        </r>
      </text>
    </comment>
    <comment ref="C10" authorId="2" shapeId="0" xr:uid="{00000000-0006-0000-0700-000005000000}">
      <text>
        <r>
          <rPr>
            <b/>
            <sz val="9"/>
            <color indexed="81"/>
            <rFont val="Tahoma"/>
            <family val="2"/>
          </rPr>
          <t>Chiều cao (mm)</t>
        </r>
      </text>
    </comment>
    <comment ref="F10" authorId="1" shapeId="0" xr:uid="{433AC4C5-9A81-439F-B92B-3652991A2299}">
      <text>
        <r>
          <rPr>
            <b/>
            <sz val="9"/>
            <color indexed="81"/>
            <rFont val="Tahoma"/>
            <family val="2"/>
          </rPr>
          <t>Tổng độ dài 1 bộ</t>
        </r>
      </text>
    </comment>
    <comment ref="C11" authorId="1" shapeId="0" xr:uid="{F06F3677-5437-4CDB-8CE9-ED38D4164351}">
      <text>
        <r>
          <rPr>
            <b/>
            <sz val="9"/>
            <color indexed="81"/>
            <rFont val="Tahoma"/>
            <family val="2"/>
          </rPr>
          <t>Nếu không có liền FIX thì phải để giá trị h1 là số 0</t>
        </r>
      </text>
    </comment>
    <comment ref="D11" authorId="1" shapeId="0" xr:uid="{DCA729B9-5536-4CDD-851D-EF3397245893}">
      <text>
        <r>
          <rPr>
            <b/>
            <sz val="9"/>
            <color indexed="81"/>
            <rFont val="Tahoma"/>
            <family val="2"/>
          </rPr>
          <t xml:space="preserve">Phải nhập số 0 nếu không có giá trị
</t>
        </r>
      </text>
    </comment>
    <comment ref="Y11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Trọng lượng 1 cánh</t>
        </r>
      </text>
    </comment>
    <comment ref="AB11" authorId="1" shapeId="0" xr:uid="{00000000-0006-0000-0700-000007000000}">
      <text>
        <r>
          <rPr>
            <b/>
            <sz val="9"/>
            <color indexed="81"/>
            <rFont val="Tahoma"/>
            <family val="2"/>
          </rPr>
          <t>&lt;35KG</t>
        </r>
      </text>
    </comment>
    <comment ref="K12" authorId="1" shapeId="0" xr:uid="{0DC42BA9-19AC-488F-BF4C-6CA8ECEC53C9}">
      <text>
        <r>
          <rPr>
            <b/>
            <sz val="9"/>
            <color indexed="81"/>
            <rFont val="Tahoma"/>
            <family val="2"/>
          </rPr>
          <t>Dòng bắt đầu nhập profile thêm</t>
        </r>
      </text>
    </comment>
    <comment ref="L12" authorId="1" shapeId="0" xr:uid="{1F212CCA-4146-4BE2-B24A-40C7793E2F66}">
      <text>
        <r>
          <rPr>
            <b/>
            <sz val="9"/>
            <color indexed="81"/>
            <rFont val="Tahoma"/>
            <family val="2"/>
          </rPr>
          <t>Dòng bắt đầu nhập PK thêm</t>
        </r>
      </text>
    </comment>
    <comment ref="Y12" authorId="1" shapeId="0" xr:uid="{00000000-0006-0000-0700-00000A000000}">
      <text>
        <r>
          <rPr>
            <b/>
            <sz val="9"/>
            <color indexed="81"/>
            <rFont val="Tahoma"/>
            <family val="2"/>
          </rPr>
          <t>Trọng lượng PR cánh</t>
        </r>
      </text>
    </comment>
    <comment ref="AB12" authorId="1" shapeId="0" xr:uid="{00000000-0006-0000-0700-00000B000000}">
      <text>
        <r>
          <rPr>
            <b/>
            <sz val="9"/>
            <color indexed="81"/>
            <rFont val="Tahoma"/>
            <family val="2"/>
          </rPr>
          <t>35KG&lt;= &amp; &lt;40KG</t>
        </r>
      </text>
    </comment>
    <comment ref="AB13" authorId="1" shapeId="0" xr:uid="{00000000-0006-0000-0700-00000C000000}">
      <text>
        <r>
          <rPr>
            <b/>
            <sz val="9"/>
            <color indexed="81"/>
            <rFont val="Tahoma"/>
            <family val="2"/>
          </rPr>
          <t>40KG&lt;= &amp; &lt;45KG</t>
        </r>
      </text>
    </comment>
    <comment ref="AC13" authorId="1" shapeId="0" xr:uid="{00000000-0006-0000-0700-00000D000000}">
      <text>
        <r>
          <rPr>
            <b/>
            <sz val="9"/>
            <color indexed="81"/>
            <rFont val="Tahoma"/>
            <family val="2"/>
          </rPr>
          <t>500&lt;= &amp; &lt;=600</t>
        </r>
      </text>
    </comment>
    <comment ref="AB14" authorId="1" shapeId="0" xr:uid="{00000000-0006-0000-0700-00000E000000}">
      <text>
        <r>
          <rPr>
            <b/>
            <sz val="9"/>
            <color indexed="81"/>
            <rFont val="Tahoma"/>
            <family val="2"/>
          </rPr>
          <t>40KG&lt;= &amp; &lt;45KG</t>
        </r>
      </text>
    </comment>
    <comment ref="AC14" authorId="1" shapeId="0" xr:uid="{00000000-0006-0000-0700-00000F000000}">
      <text>
        <r>
          <rPr>
            <b/>
            <sz val="9"/>
            <color indexed="81"/>
            <rFont val="Tahoma"/>
            <family val="2"/>
          </rPr>
          <t>&gt;600</t>
        </r>
      </text>
    </comment>
    <comment ref="AB15" authorId="1" shapeId="0" xr:uid="{00000000-0006-0000-0700-000010000000}">
      <text>
        <r>
          <rPr>
            <b/>
            <sz val="9"/>
            <color indexed="81"/>
            <rFont val="Tahoma"/>
            <family val="2"/>
          </rPr>
          <t>&lt;=70KG</t>
        </r>
      </text>
    </comment>
    <comment ref="C16" authorId="1" shapeId="0" xr:uid="{535FC6E7-2277-4CA1-A803-BA53F97E9F91}">
      <text>
        <r>
          <rPr>
            <b/>
            <sz val="9"/>
            <color indexed="81"/>
            <rFont val="Tahoma"/>
            <family val="2"/>
          </rPr>
          <t>PAT bắt đố</t>
        </r>
      </text>
    </comment>
    <comment ref="C17" authorId="1" shapeId="0" xr:uid="{3AFE5ABA-5F05-4D1B-80DA-DCC601A3740F}">
      <text>
        <r>
          <rPr>
            <b/>
            <sz val="9"/>
            <color indexed="81"/>
            <rFont val="Tahoma"/>
            <family val="2"/>
          </rPr>
          <t>Nẹp kính của đố</t>
        </r>
      </text>
    </comment>
    <comment ref="C18" authorId="1" shapeId="0" xr:uid="{6A522006-066D-4E2C-9740-7694E2BE1CFF}">
      <text>
        <r>
          <rPr>
            <b/>
            <sz val="9"/>
            <color indexed="81"/>
            <rFont val="Tahoma"/>
            <family val="2"/>
          </rPr>
          <t>Đố</t>
        </r>
      </text>
    </comment>
    <comment ref="C19" authorId="1" shapeId="0" xr:uid="{2E2AF944-B0F0-4D25-9171-7293FF675CF4}">
      <text>
        <r>
          <rPr>
            <b/>
            <sz val="9"/>
            <color indexed="81"/>
            <rFont val="Tahoma"/>
            <family val="2"/>
          </rPr>
          <t>Thép đố (uPVC)</t>
        </r>
      </text>
    </comment>
    <comment ref="L20" authorId="1" shapeId="0" xr:uid="{CB8DC82F-6291-4501-A91F-33C0348F41B7}">
      <text>
        <r>
          <rPr>
            <sz val="9"/>
            <color indexed="81"/>
            <rFont val="Tahoma"/>
            <family val="2"/>
          </rPr>
          <t>Nhập độ dài thay thế và số lượng thay thế theo Cấu trúc:</t>
        </r>
        <r>
          <rPr>
            <b/>
            <sz val="9"/>
            <color indexed="81"/>
            <rFont val="Tahoma"/>
            <family val="2"/>
          </rPr>
          <t xml:space="preserve">
Thay đổi cả 2: Độ dài (mm)*SL
Chỉ thay đổi độ dài: Độ dài*
Chỉ thay đổi số lượng: *SL</t>
        </r>
      </text>
    </comment>
    <comment ref="L99" authorId="1" shapeId="0" xr:uid="{BC82E0A9-05A8-49E8-BAF1-768833712BAF}">
      <text>
        <r>
          <rPr>
            <b/>
            <sz val="9"/>
            <color indexed="81"/>
            <rFont val="Tahoma"/>
            <family val="2"/>
          </rPr>
          <t>-Thêm kích thước kính theo cấu trúc: W*H
-Nếu tính theo mét dài (chu vi) thì: 1000*chu vi (mm)</t>
        </r>
      </text>
    </comment>
    <comment ref="Y107" authorId="1" shapeId="0" xr:uid="{00000000-0006-0000-0700-000011000000}">
      <text>
        <r>
          <rPr>
            <b/>
            <sz val="9"/>
            <color indexed="81"/>
            <rFont val="Tahoma"/>
            <family val="2"/>
          </rPr>
          <t>Trọng lượng kính</t>
        </r>
      </text>
    </comment>
  </commentList>
</comments>
</file>

<file path=xl/sharedStrings.xml><?xml version="1.0" encoding="utf-8"?>
<sst xmlns="http://schemas.openxmlformats.org/spreadsheetml/2006/main" count="64218" uniqueCount="3878">
  <si>
    <t>Công Ty TNHH Vật Liệu Mới Gia Nguyễn</t>
  </si>
  <si>
    <t>56/5H, tổ 3, ấp 5, xã Xuân Thới Thượng, Hóc Môn, TPHCM</t>
  </si>
  <si>
    <t>MST: 0313949999</t>
  </si>
  <si>
    <t>NV THIẾT KẾ</t>
  </si>
  <si>
    <t>TÊN TK</t>
  </si>
  <si>
    <t>KIỂM TRA</t>
  </si>
  <si>
    <t>DUYỆT</t>
  </si>
  <si>
    <t>GIÁM ĐỐC</t>
  </si>
  <si>
    <t>NV TÍNH GIÁ</t>
  </si>
  <si>
    <t>STT</t>
  </si>
  <si>
    <t>DANH MỤC NGUYÊN VẬT LIỆU SẢN XUẤT CỬA NHÔM</t>
  </si>
  <si>
    <t>DANH MỤC CỬA</t>
  </si>
  <si>
    <t>MÃ CỬA</t>
  </si>
  <si>
    <t>TÊN CỬA</t>
  </si>
  <si>
    <t>LẤY DL</t>
  </si>
  <si>
    <t>C3332</t>
  </si>
  <si>
    <t>QUAY TRONG</t>
  </si>
  <si>
    <t>3D</t>
  </si>
  <si>
    <t>C3303</t>
  </si>
  <si>
    <t>QUAY NGOÀI</t>
  </si>
  <si>
    <t>3085E</t>
  </si>
  <si>
    <t>4D</t>
  </si>
  <si>
    <t>47/30A</t>
  </si>
  <si>
    <t>C3328</t>
  </si>
  <si>
    <t>C22903</t>
  </si>
  <si>
    <t>C3300</t>
  </si>
  <si>
    <t>C3209</t>
  </si>
  <si>
    <t>C3295</t>
  </si>
  <si>
    <t>C3318</t>
  </si>
  <si>
    <t>C3313</t>
  </si>
  <si>
    <t>C3203</t>
  </si>
  <si>
    <t>D20532</t>
  </si>
  <si>
    <t>Khung bao cửa lùa hệ 55</t>
  </si>
  <si>
    <t>D20526</t>
  </si>
  <si>
    <t>Cánh cửa lùa hệ 55</t>
  </si>
  <si>
    <t>D20527</t>
  </si>
  <si>
    <t>Ốp móc cho cánh cửa lùa hệ 55</t>
  </si>
  <si>
    <t>D20528</t>
  </si>
  <si>
    <t>Trung gian 4 cánh cửa lùa hệ 55</t>
  </si>
  <si>
    <t>D20529</t>
  </si>
  <si>
    <t>Thanh chắn nước mưa cửa lùa 55</t>
  </si>
  <si>
    <t>D1543</t>
  </si>
  <si>
    <t>D1541</t>
  </si>
  <si>
    <t>D17182</t>
  </si>
  <si>
    <t>D1546</t>
  </si>
  <si>
    <t>D1547</t>
  </si>
  <si>
    <t>D1545</t>
  </si>
  <si>
    <t>D1551</t>
  </si>
  <si>
    <t>D1544</t>
  </si>
  <si>
    <t>D1548</t>
  </si>
  <si>
    <t>F605</t>
  </si>
  <si>
    <t>F606</t>
  </si>
  <si>
    <t>F2435</t>
  </si>
  <si>
    <t>F521</t>
  </si>
  <si>
    <t>F520</t>
  </si>
  <si>
    <t>F523</t>
  </si>
  <si>
    <t>ĐVT</t>
  </si>
  <si>
    <t>Gioăng cánh tròn hệ xếp trượt 63</t>
  </si>
  <si>
    <t>KT05</t>
  </si>
  <si>
    <t>KT06</t>
  </si>
  <si>
    <t>KT08</t>
  </si>
  <si>
    <t>KT10</t>
  </si>
  <si>
    <t>KT12</t>
  </si>
  <si>
    <t>KT05T</t>
  </si>
  <si>
    <t>KT06T</t>
  </si>
  <si>
    <t>KT08T</t>
  </si>
  <si>
    <t>KT10T</t>
  </si>
  <si>
    <t>KT12T</t>
  </si>
  <si>
    <t>NGUYÊN VẬT LIỆU SẢN XUẤT CỬA NHÔM</t>
  </si>
  <si>
    <t>TÊN SP</t>
  </si>
  <si>
    <t>SL/1 BỘ</t>
  </si>
  <si>
    <t>CÔNG THỨC</t>
  </si>
  <si>
    <t>GÓC CẮT</t>
  </si>
  <si>
    <t>HAO HỤT</t>
  </si>
  <si>
    <t>XF</t>
  </si>
  <si>
    <t>XINGFA</t>
  </si>
  <si>
    <t>DMCua</t>
  </si>
  <si>
    <t>Cánh cửa đi mở quay NGOÀI</t>
  </si>
  <si>
    <t>Cánh cửa đi mở quay TRONG</t>
  </si>
  <si>
    <t>Thân khoá đa điểm</t>
  </si>
  <si>
    <t>H</t>
  </si>
  <si>
    <t>W</t>
  </si>
  <si>
    <t>Đố động cửa đi dùng chung</t>
  </si>
  <si>
    <t>Khung bao vách kính</t>
  </si>
  <si>
    <t>PHỤ KIỆN</t>
  </si>
  <si>
    <t>3H</t>
  </si>
  <si>
    <t>HEHEXIN</t>
  </si>
  <si>
    <t>CZM23A</t>
  </si>
  <si>
    <t>Miệng khoá cửa đi 1 cánh</t>
  </si>
  <si>
    <t>CKG23</t>
  </si>
  <si>
    <t>Vấu hãm cửa 1 cánh</t>
  </si>
  <si>
    <t>CKG05</t>
  </si>
  <si>
    <t>Vấu hãm cửa 2 cánh</t>
  </si>
  <si>
    <t>ZDM02-03</t>
  </si>
  <si>
    <t>CZ21</t>
  </si>
  <si>
    <t>MX14</t>
  </si>
  <si>
    <t>MX12</t>
  </si>
  <si>
    <t>ZDM02-04</t>
  </si>
  <si>
    <t>KL</t>
  </si>
  <si>
    <t>Gioăng khung cánh - hệ 55</t>
  </si>
  <si>
    <t>Khung</t>
  </si>
  <si>
    <t>Cánh</t>
  </si>
  <si>
    <t>Gioăng Kính - hệ 55</t>
  </si>
  <si>
    <t>Kính</t>
  </si>
  <si>
    <t>Gioăng cánh xếp trượt hệ 63</t>
  </si>
  <si>
    <t>Gioăng đáy cánh xếp trượt hệ 63</t>
  </si>
  <si>
    <t>L</t>
  </si>
  <si>
    <t>LN</t>
  </si>
  <si>
    <t>VẬT TƯ PHỤ</t>
  </si>
  <si>
    <t>KÍNH</t>
  </si>
  <si>
    <t>CHI PHÍ QUẢN LÝ SX &amp; KHẤU HAO</t>
  </si>
  <si>
    <t>Giới hạn</t>
  </si>
  <si>
    <t>LOẠI</t>
  </si>
  <si>
    <t>Mã</t>
  </si>
  <si>
    <t>Tên nguyên vật liệu</t>
  </si>
  <si>
    <t>Màu</t>
  </si>
  <si>
    <t>Độ dài (mm)
/Diện tích (m2)</t>
  </si>
  <si>
    <t>SL/bộ</t>
  </si>
  <si>
    <t>Tổng SL</t>
  </si>
  <si>
    <t>Đơn Giá</t>
  </si>
  <si>
    <t>% Hao Hụt</t>
  </si>
  <si>
    <t>Tổng Cộng</t>
  </si>
  <si>
    <t>TH</t>
  </si>
  <si>
    <t>Sản Phẩm</t>
  </si>
  <si>
    <t>Kích Thước (mm)</t>
  </si>
  <si>
    <t>Tổng Diện Tích (m2)
(2)=(a)*(b)*(c)</t>
  </si>
  <si>
    <t>Rộng
(a)</t>
  </si>
  <si>
    <t>Cao
(b)</t>
  </si>
  <si>
    <t>Đơn giá</t>
  </si>
  <si>
    <t>Thành tiền</t>
  </si>
  <si>
    <t>Tổng cộng</t>
  </si>
  <si>
    <t>Bằng chữ:</t>
  </si>
  <si>
    <r>
      <t>Ghi chú</t>
    </r>
    <r>
      <rPr>
        <b/>
        <sz val="11"/>
        <rFont val="Times New Roman"/>
        <family val="1"/>
      </rPr>
      <t>:</t>
    </r>
  </si>
  <si>
    <t xml:space="preserve">  + Bảng giá này được tính theo các bản vẽ đính kèm. Giá trị Quyết toán thực tế theo khối lượng thi công tại công trình.</t>
  </si>
  <si>
    <r>
      <t xml:space="preserve">  + Bảng giá có hiệu lực </t>
    </r>
    <r>
      <rPr>
        <b/>
        <i/>
        <sz val="10"/>
        <color rgb="FFFF0000"/>
        <rFont val="Times New Roman"/>
        <family val="1"/>
      </rPr>
      <t>10 ngày</t>
    </r>
    <r>
      <rPr>
        <i/>
        <sz val="10"/>
        <rFont val="Times New Roman"/>
        <family val="1"/>
      </rPr>
      <t xml:space="preserve"> kể từ ngày ký.</t>
    </r>
  </si>
  <si>
    <t xml:space="preserve">             KHÁCH HÀNG</t>
  </si>
  <si>
    <t xml:space="preserve">NGƯỜI LẬP                 </t>
  </si>
  <si>
    <t>Tổng SP</t>
  </si>
  <si>
    <t>Mã SP</t>
  </si>
  <si>
    <t>Màu PK</t>
  </si>
  <si>
    <t>Số cánh</t>
  </si>
  <si>
    <t>SL</t>
  </si>
  <si>
    <t>GIOĂNG</t>
  </si>
  <si>
    <t>CT TÍNH</t>
  </si>
  <si>
    <t>PROFILE CỬA</t>
  </si>
  <si>
    <t>ĐỐ</t>
  </si>
  <si>
    <t>Mã vật tư</t>
  </si>
  <si>
    <t>Tên vật tư</t>
  </si>
  <si>
    <t>PO</t>
  </si>
  <si>
    <t>TỔNG</t>
  </si>
  <si>
    <t>PR</t>
  </si>
  <si>
    <t>GI</t>
  </si>
  <si>
    <t>KI</t>
  </si>
  <si>
    <t>PK</t>
  </si>
  <si>
    <t>VT</t>
  </si>
  <si>
    <t>Cái</t>
  </si>
  <si>
    <t>Thanh</t>
  </si>
  <si>
    <t>STG35A</t>
  </si>
  <si>
    <t>Handle/ Tay nắm âm cửa lùa</t>
  </si>
  <si>
    <t>STZ02</t>
  </si>
  <si>
    <t>Locking Plate/ Vấu hãm tay nắm âm</t>
  </si>
  <si>
    <t>LTD24D</t>
  </si>
  <si>
    <t>Single Roller/ Bánh xe đơn</t>
  </si>
  <si>
    <t>T419</t>
  </si>
  <si>
    <t>Anti-theft Piece/ Đệm chống nhấc</t>
  </si>
  <si>
    <t>2001M1</t>
  </si>
  <si>
    <t>(Left) Upper End/ Đệm dẫn hướng trên - trái</t>
  </si>
  <si>
    <t>2001M2</t>
  </si>
  <si>
    <t>(Left) Bottom End/ Đệm dẫn hướng dưới - trái</t>
  </si>
  <si>
    <t>2001M3</t>
  </si>
  <si>
    <t>(Right) Upper End/ Đệm dẫn hướng trên - phải</t>
  </si>
  <si>
    <t>2001M4</t>
  </si>
  <si>
    <t>T396</t>
  </si>
  <si>
    <t>Anti-strike Block/ Đệm chống đập cánh</t>
  </si>
  <si>
    <t>CQ12</t>
  </si>
  <si>
    <t>PP08</t>
  </si>
  <si>
    <t>Elevating Block/ Đệm chống sệ trên</t>
  </si>
  <si>
    <t>HHK10A</t>
  </si>
  <si>
    <t>Friction stay/ Bản lề chữ A 10"</t>
  </si>
  <si>
    <t>Vẫu hãm cửa 2 cánh.</t>
  </si>
  <si>
    <t>HHK12A</t>
  </si>
  <si>
    <t>Bánh xe đơn cửa lùa hệ 55</t>
  </si>
  <si>
    <t>CHJ01B-1200</t>
  </si>
  <si>
    <t>Transmitter/ Thanh chuyển động trượt 1200</t>
  </si>
  <si>
    <t>CK27</t>
  </si>
  <si>
    <t>LTS17G</t>
  </si>
  <si>
    <t>Double Roller/ Bánh xe đôi</t>
  </si>
  <si>
    <t>T421</t>
  </si>
  <si>
    <t>Anti-strike Block/ Đệm giảm chấn trước</t>
  </si>
  <si>
    <t>Anti-strike Block/ Đệm giảm chấn cánh</t>
  </si>
  <si>
    <t>Transmitter/ Ổ chia chuyển động</t>
  </si>
  <si>
    <t>ZDM03-01</t>
  </si>
  <si>
    <t>ZDM03-02</t>
  </si>
  <si>
    <t>Side Pivot hinge/ Bản lề cửa đi xếp trượt</t>
  </si>
  <si>
    <t>CH25A</t>
  </si>
  <si>
    <t>Hadle/ Tay nắm cửa xếp trượt</t>
  </si>
  <si>
    <t>Door Handle/Tay nắm cửa đi mở quay</t>
  </si>
  <si>
    <t>Door Lock/ Thân khóa đơn điểm</t>
  </si>
  <si>
    <t>37/37TB</t>
  </si>
  <si>
    <t>CZMK37</t>
  </si>
  <si>
    <t>Cover Plate/ Miệng khóa cửa đi (dẹt)</t>
  </si>
  <si>
    <t>Pivot hinge/ Bản lề cửa đi xếp trượt liền tay kéo (giữa)</t>
  </si>
  <si>
    <t>Friction stay/ Bản lề chữ A 12"</t>
  </si>
  <si>
    <t>HHK14A</t>
  </si>
  <si>
    <t>Friction stay/ Bản lề chữ A 14"</t>
  </si>
  <si>
    <t>HHK16A</t>
  </si>
  <si>
    <t>Friction stay/ Bản lề chữ A 16"</t>
  </si>
  <si>
    <t>Upper Pivot Hinge System/ Bánh xe trượt ray trên</t>
  </si>
  <si>
    <t>Bottom Pivot Hinge System/ Bánh xe trượt ray dưới</t>
  </si>
  <si>
    <t>CZH33</t>
  </si>
  <si>
    <t>Window handle/Tay nắm cửa sổ mở quay, hất vuông</t>
  </si>
  <si>
    <t>CM</t>
  </si>
  <si>
    <t>CMECH</t>
  </si>
  <si>
    <t>Mã PK</t>
  </si>
  <si>
    <t>DQ1XF-55</t>
  </si>
  <si>
    <t>DQ2XF-55</t>
  </si>
  <si>
    <t>DQ4XF-55</t>
  </si>
  <si>
    <t>DX4XF-63</t>
  </si>
  <si>
    <t>SH1XF-55</t>
  </si>
  <si>
    <t>SQ1XF-55</t>
  </si>
  <si>
    <t>SQ2XF-55</t>
  </si>
  <si>
    <t>SQ4XF-55</t>
  </si>
  <si>
    <t>VK0XF-55</t>
  </si>
  <si>
    <t>Phụ kiện</t>
  </si>
  <si>
    <t>Transmission Rod/ Đầu nối chuyển động cửa sổ</t>
  </si>
  <si>
    <t>CPVS</t>
  </si>
  <si>
    <t>CPSXC</t>
  </si>
  <si>
    <t>Chi phí nhân viên sản xuất hoàn thiện</t>
  </si>
  <si>
    <t>Chi phí lắp đặt ở SG</t>
  </si>
  <si>
    <t>Chi phí vệ sinh</t>
  </si>
  <si>
    <t>Chi phí sản xuất chung</t>
  </si>
  <si>
    <t>MÃ SỐ BÁO GIÁ</t>
  </si>
  <si>
    <t>TỔNG GIÁ VỐN</t>
  </si>
  <si>
    <t>TÊN KHÁCH HÀNG</t>
  </si>
  <si>
    <t>ĐỊA CHỈ CÔNG TRÌNH</t>
  </si>
  <si>
    <t>TÍNH GIÁ LẮP ĐẶT</t>
  </si>
  <si>
    <t>GQ</t>
  </si>
  <si>
    <t>ĐƠN GIÁ MUA</t>
  </si>
  <si>
    <t>GVHB</t>
  </si>
  <si>
    <t>TGVHB</t>
  </si>
  <si>
    <t>m2</t>
  </si>
  <si>
    <t>GB</t>
  </si>
  <si>
    <t>Mã PR</t>
  </si>
  <si>
    <t>XINGFAWINDOW</t>
  </si>
  <si>
    <t>HONDALEX</t>
  </si>
  <si>
    <t>REHAU</t>
  </si>
  <si>
    <t>RT</t>
  </si>
  <si>
    <t>ROTO</t>
  </si>
  <si>
    <t>KinLong</t>
  </si>
  <si>
    <t>SPARLEE</t>
  </si>
  <si>
    <t>AN</t>
  </si>
  <si>
    <t>ANOD</t>
  </si>
  <si>
    <t>HỆ</t>
  </si>
  <si>
    <t>GB/M2</t>
  </si>
  <si>
    <t>SP</t>
  </si>
  <si>
    <t>CPNVL</t>
  </si>
  <si>
    <t>Mã NVL</t>
  </si>
  <si>
    <t>Miệng khóa cửa đi 2 cánh</t>
  </si>
  <si>
    <t>Socket/ Thanh chốt cánh phụ trên</t>
  </si>
  <si>
    <t>Socket/ Thanh chốt cánh phụ dưới</t>
  </si>
  <si>
    <t>Chi phí chia đố</t>
  </si>
  <si>
    <t>Chi phí uốn vòm</t>
  </si>
  <si>
    <t>CPNCSX</t>
  </si>
  <si>
    <t>Chi phí nguyên vật liệu sản xuất</t>
  </si>
  <si>
    <t>M</t>
  </si>
  <si>
    <t>Cộng thêm 2 đầu mỗi đầu 100</t>
  </si>
  <si>
    <t>Đơn vị tính</t>
  </si>
  <si>
    <t>MÀU</t>
  </si>
  <si>
    <t>RH</t>
  </si>
  <si>
    <t>XW</t>
  </si>
  <si>
    <t>DANH MỤC PROFILE</t>
  </si>
  <si>
    <t>DANH MỤC PHỤ KIỆN</t>
  </si>
  <si>
    <t>E050015-C</t>
  </si>
  <si>
    <t>Đệm nhôm bọc bánh xe đôi hệ Xingfa93 120kg</t>
  </si>
  <si>
    <t>E010001-01</t>
  </si>
  <si>
    <t>Metro Handle/ Tay nắm cửa đi lùa kiểu Metro (Bạc)</t>
  </si>
  <si>
    <t>E010001-10</t>
  </si>
  <si>
    <t>Metro handle/ Tay nắm cửa đi lùa kiểu Metro (Đen)</t>
  </si>
  <si>
    <t>E030015</t>
  </si>
  <si>
    <t xml:space="preserve">Drive Gear (16mm)/ Thanh chuyển động cửa đi lùa </t>
  </si>
  <si>
    <t>E100016</t>
  </si>
  <si>
    <t>Strike/ Vấu hãm thanh chuyển động cửa lùa</t>
  </si>
  <si>
    <t>F080001</t>
  </si>
  <si>
    <t>Panel Stop/ Đệm chống đập cánh</t>
  </si>
  <si>
    <t>E050006</t>
  </si>
  <si>
    <t>Roller Carriage 2426V150-120/ Bánh xe đôi Hợp kim đúc 120kg</t>
  </si>
  <si>
    <t>FK-A</t>
  </si>
  <si>
    <t>Anti-strike Block/ Đệm giảm chấn</t>
  </si>
  <si>
    <t>FK-B</t>
  </si>
  <si>
    <t>DG-01</t>
  </si>
  <si>
    <t>DG-02</t>
  </si>
  <si>
    <t>(Right) Bottom End// Đệm dẫn hướng dưới - phải</t>
  </si>
  <si>
    <t>DG-03</t>
  </si>
  <si>
    <t>DG-04</t>
  </si>
  <si>
    <t>FDK</t>
  </si>
  <si>
    <t>Chiếc</t>
  </si>
  <si>
    <t>Chiếc</t>
  </si>
  <si>
    <t>Cặp</t>
  </si>
  <si>
    <t>D010117-01</t>
  </si>
  <si>
    <t>New York Handle with Key/ Tay nắm cửa đi mở quay kiểu New York. Chất liệu nhôm. (Bạc)</t>
  </si>
  <si>
    <t>D000068</t>
  </si>
  <si>
    <t>Spindle/ Suốt tay nắm cửa đi (cánh dày 50-55mm)</t>
  </si>
  <si>
    <t>D000080-01</t>
  </si>
  <si>
    <t>Screw Pack/ Vít tay nắm cửa đi (cánh dày 50-55mm). (Bạc)</t>
  </si>
  <si>
    <t>22*395 Active Multi-Point Body 28mm/Thân khóa đa điểm (nối với thanh nhôm C459)</t>
  </si>
  <si>
    <t>A090005</t>
  </si>
  <si>
    <t>Lock Point 7mm/ Đầu khóa biên cao 7mm</t>
  </si>
  <si>
    <t>A100101</t>
  </si>
  <si>
    <t>Keeper/ Vấu hãm cửa 2 cánh (vít lục siết)</t>
  </si>
  <si>
    <t>A070003</t>
  </si>
  <si>
    <t>Shootbolt 90mm/ Đầu biên chốt cánh phụ rời dài 90mm, gắn với A020055 hoặc C459</t>
  </si>
  <si>
    <t>D100021</t>
  </si>
  <si>
    <t>Free-milling Strike/Đệm chốt cánh phụ (hợp kim), xẻ rãnh.</t>
  </si>
  <si>
    <t>D100012</t>
  </si>
  <si>
    <t>Adjustable Strike/ Miệng khóa cửa đi rãnh C</t>
  </si>
  <si>
    <t>F130405</t>
  </si>
  <si>
    <t>Double-Sided Keyes Brass Cylinder/ Lõi khóa 2 đầu chìa 45*35mm</t>
  </si>
  <si>
    <t>D040014-01</t>
  </si>
  <si>
    <t>180kg Flush-Fit Hinge/ Bản lề 3D (Tim 63, ba cục) (Bạc)</t>
  </si>
  <si>
    <t>D040015-01</t>
  </si>
  <si>
    <t>180kg Flush-Fit Hinge/ Bản lề 3D (Tim 93, ba cục) (Bạc)</t>
  </si>
  <si>
    <t>BDD-09</t>
  </si>
  <si>
    <t>Cylinder / Lõi khóa 1 đầu nút xoay</t>
  </si>
  <si>
    <t>Cylinder/ Lõi khóa 2 đầu chìa</t>
  </si>
  <si>
    <t>MÃ VT</t>
  </si>
  <si>
    <t>CZMK35</t>
  </si>
  <si>
    <t>Chốt cánh phụ Kevila</t>
  </si>
  <si>
    <t>C459</t>
  </si>
  <si>
    <t>Đứng</t>
  </si>
  <si>
    <t>Ngang</t>
  </si>
  <si>
    <t>Ngang trên</t>
  </si>
  <si>
    <t>Gioăng cánh dẹt hệ xếp trượt 63</t>
  </si>
  <si>
    <t>Lông nheo 93</t>
  </si>
  <si>
    <t>Khung bao ngang dưới cửa đi lùa 2001 cao 25mm</t>
  </si>
  <si>
    <t>Khung bao ngang trên cửa đi lùa 2001</t>
  </si>
  <si>
    <t>Cánh đứng bên cửa đi lùa 2001</t>
  </si>
  <si>
    <t>Cánh đứng móc cửa đi lùa 2001</t>
  </si>
  <si>
    <t>Cánh ngang dưới bên trong cửa đi lùa 2001</t>
  </si>
  <si>
    <t>Cánh ngang trên cửa đi lùa 2001</t>
  </si>
  <si>
    <t>47/30TB</t>
  </si>
  <si>
    <t>Cylinder/ Lõi khóa 1 đầu núm xoay mở ngoài</t>
  </si>
  <si>
    <t>Cylinder/ Lõi khóa 1 đầu núm xoay mở trong</t>
  </si>
  <si>
    <t>1 cái/vị trí giao nhau giữa 2 cánh</t>
  </si>
  <si>
    <t>dưới 2.4m</t>
  </si>
  <si>
    <t>Bộ</t>
  </si>
  <si>
    <t>Thanh truyền khóa cửa đi, cửa sổ hệ 55</t>
  </si>
  <si>
    <t>Nẹp kính vuông cho kính 5-10mm hệ 55</t>
  </si>
  <si>
    <t>Khung bao cửa đi quay 55</t>
  </si>
  <si>
    <t>PCD</t>
  </si>
  <si>
    <t>C3310</t>
  </si>
  <si>
    <t>Nối khung cho vách kính lớn hệ 55</t>
  </si>
  <si>
    <t>Nối khung cho vách kính, cửa hệ 55</t>
  </si>
  <si>
    <t>TỈNH&gt;100km</t>
  </si>
  <si>
    <t>TỈNH&lt;=100km</t>
  </si>
  <si>
    <t>Đứng khung bao cửa xếp trượt hệ 63</t>
  </si>
  <si>
    <t>Máng trượt cửa xếp trượt hệ 63</t>
  </si>
  <si>
    <t>Ngang dưới</t>
  </si>
  <si>
    <t>Cánh cửa xếp trượt hệ 63</t>
  </si>
  <si>
    <t>Nẹp cánh cửa xếp trượt hệ 63</t>
  </si>
  <si>
    <t>F519</t>
  </si>
  <si>
    <t>Che nước mưa cửa xếp trượt hệ 63</t>
  </si>
  <si>
    <t>Nẹp kính cửa xếp trượt hệ 63</t>
  </si>
  <si>
    <t>F431</t>
  </si>
  <si>
    <t>Nẹp kính hộp 19mm cửa xếp trượt hệ 63</t>
  </si>
  <si>
    <t>MX14-03</t>
  </si>
  <si>
    <t>Locking plate/ Đệm chốt</t>
  </si>
  <si>
    <t>Cây</t>
  </si>
  <si>
    <t>UỐN VÒM</t>
  </si>
  <si>
    <t>Nẹp kính đơn cho vách kính cửa đi lùa 2001</t>
  </si>
  <si>
    <t>GHI CHÚ</t>
  </si>
  <si>
    <t>UV</t>
  </si>
  <si>
    <t>% Tăng giá do màu</t>
  </si>
  <si>
    <t>MÀU PROFILE</t>
  </si>
  <si>
    <t>FS06</t>
  </si>
  <si>
    <t>FT08</t>
  </si>
  <si>
    <t>MK60N</t>
  </si>
  <si>
    <t xml:space="preserve">Khung bao mở quay 70 </t>
  </si>
  <si>
    <t>SF106B</t>
  </si>
  <si>
    <t xml:space="preserve">Cánh cửa đi mở ngoài </t>
  </si>
  <si>
    <t>FR106B</t>
  </si>
  <si>
    <t xml:space="preserve">Cánh cửa đi mở trong </t>
  </si>
  <si>
    <t>GB34</t>
  </si>
  <si>
    <t>GB31</t>
  </si>
  <si>
    <t>Nẹp kính hộp 19mm</t>
  </si>
  <si>
    <t>Vấu chốt - Keep</t>
  </si>
  <si>
    <t>C3236</t>
  </si>
  <si>
    <t>Nẹp kính hộp cho kính 16 - 19 mm hệ 55</t>
  </si>
  <si>
    <t>TÊN PROFILE</t>
  </si>
  <si>
    <t>ALU</t>
  </si>
  <si>
    <t>UPVC</t>
  </si>
  <si>
    <t>Xám ghi</t>
  </si>
  <si>
    <t>Đen</t>
  </si>
  <si>
    <t>% Hao Hụt + Màu</t>
  </si>
  <si>
    <t>Vách</t>
  </si>
  <si>
    <t>Đố</t>
  </si>
  <si>
    <t>Chia tia</t>
  </si>
  <si>
    <t>Khung bao</t>
  </si>
  <si>
    <t>Uốn Vòm</t>
  </si>
  <si>
    <t>Chia đố</t>
  </si>
  <si>
    <t>TỔNG CỘNG</t>
  </si>
  <si>
    <t>Độ dài (mm)</t>
  </si>
  <si>
    <t>LẤY DL CỬA</t>
  </si>
  <si>
    <t>Nẹp kính (mm)</t>
  </si>
  <si>
    <t>Lấy mã nẹp kính</t>
  </si>
  <si>
    <t>SL CÁNH - 1 (VD 4 CÁNH -&gt; 3 CÂY)</t>
  </si>
  <si>
    <t>Con</t>
  </si>
  <si>
    <t>MX13-1600</t>
  </si>
  <si>
    <t>Transmitter Rod/ Thanh chuyển động cửa xếp trượt 1600  mm</t>
  </si>
  <si>
    <t>TGVHB CÓ HAO HỤT</t>
  </si>
  <si>
    <t>Tên PK</t>
  </si>
  <si>
    <t>Độ dài tận dụng</t>
  </si>
  <si>
    <t>NẸP FIX</t>
  </si>
  <si>
    <t>PROFILE</t>
  </si>
  <si>
    <t>Ke tăng cứng XF55</t>
  </si>
  <si>
    <t>KTCXF55</t>
  </si>
  <si>
    <t>Chung</t>
  </si>
  <si>
    <t>DX3XF-63</t>
  </si>
  <si>
    <t>DX5XF-63</t>
  </si>
  <si>
    <t>DX6XF-63</t>
  </si>
  <si>
    <t>MX13-1200</t>
  </si>
  <si>
    <t>Transmitter Rod/ Thanh chuyển động cửa xếp trượt 1200  mm</t>
  </si>
  <si>
    <t>MX13-1800</t>
  </si>
  <si>
    <t>Transmitter Rod/ Thanh chuyển động cửa xếp trượt 1800  mm</t>
  </si>
  <si>
    <t>Bánh xe &amp; Bản lề</t>
  </si>
  <si>
    <t>Chai</t>
  </si>
  <si>
    <t>SL XK THIẾU</t>
  </si>
  <si>
    <t>GHI CHÚ/
NGÀY NK-XK THÊM</t>
  </si>
  <si>
    <t>LẤY DL XK</t>
  </si>
  <si>
    <t>Cụm khóa lẫy gà một điểm</t>
  </si>
  <si>
    <t>Ổ khoá đúc 2 chiều 45*45</t>
  </si>
  <si>
    <t>DS92160235</t>
  </si>
  <si>
    <t>MDD40*40N</t>
  </si>
  <si>
    <t>ZS92160235</t>
  </si>
  <si>
    <t>MDD45*45</t>
  </si>
  <si>
    <t>Thanh chuyển động có khoá lẫy gà 1800mm</t>
  </si>
  <si>
    <t>Bản lề 3D - Hinge 3D (90kg)</t>
  </si>
  <si>
    <t>MJ10050400</t>
  </si>
  <si>
    <t>Nẹp ốp đáy cánh cửa đi mở quay</t>
  </si>
  <si>
    <t>Tỷ lệ tăng giá theo màu ALU</t>
  </si>
  <si>
    <t>Bản lề 3D - Hinge 3D (120kg)</t>
  </si>
  <si>
    <t>MJ10050600</t>
  </si>
  <si>
    <t>3D-120</t>
  </si>
  <si>
    <t>2D</t>
  </si>
  <si>
    <t>SE76N</t>
  </si>
  <si>
    <t xml:space="preserve">Đố tĩnh cửa mở quay </t>
  </si>
  <si>
    <t>Khung bao đứng cửa đi lùa 2001</t>
  </si>
  <si>
    <t>Trung gian 4 cánh cửa đi lùa 2001</t>
  </si>
  <si>
    <t>D030034</t>
  </si>
  <si>
    <t>A020055</t>
  </si>
  <si>
    <t>Operating Lever/ móc chốt cánh phụ rời 130mm, gắn với A070003 hoặc C459)</t>
  </si>
  <si>
    <t>Nhựa bịt đố động cửa đi Xingfa 55 (trên &amp; dưới)</t>
  </si>
  <si>
    <t>E050015-A</t>
  </si>
  <si>
    <t>Roller 2428V - 120/ Bánh xe đôi hệ XINGFA93 120kg</t>
  </si>
  <si>
    <t>KT03</t>
  </si>
  <si>
    <t>KT04</t>
  </si>
  <si>
    <t>A010107-01</t>
  </si>
  <si>
    <t>Spindle and Fork Drive Handle (Type W)/Tay nắm cửa sổ quay, hất kiểu New York. Chất liệu nhôm (Bạc)</t>
  </si>
  <si>
    <t>A010102-01</t>
  </si>
  <si>
    <t>Fork Drive Handle (Type W)/Tay nắm cửa sổ quay, hất kiểu New York (Bạc)</t>
  </si>
  <si>
    <t>A010107-10</t>
  </si>
  <si>
    <t>Spindle and Fork Drive Handle (Type W)/Tay nắm cửa sổ quay, hất kiểu New York. Chất liệu nhôm (Đen)</t>
  </si>
  <si>
    <t>A110098</t>
  </si>
  <si>
    <t>Offset Fork Drive/Cá tay nắm cửa sổ quay, hất dài 27mm</t>
  </si>
  <si>
    <t>E020001</t>
  </si>
  <si>
    <t>Intermediate Drive/ Đầu chia chuyển động (L=23.5)</t>
  </si>
  <si>
    <t>D100022</t>
  </si>
  <si>
    <t>Keeper/ Vấu hãm cửa sổ 2 cánh (vít lục siết)</t>
  </si>
  <si>
    <t>A040131</t>
  </si>
  <si>
    <t>Friction Hinge (Left &amp; Right)/ Bản lề A 10" (1 cặp trái &amp; phải đồng bộ). Mở 80 độ.</t>
  </si>
  <si>
    <t>A040132</t>
  </si>
  <si>
    <t>Friction Hinge (Left &amp; Right)/ Bản lề A 12" (1 cặp trái &amp; phải đồng bộ). Mở 84 độ.</t>
  </si>
  <si>
    <t>A040133</t>
  </si>
  <si>
    <t>Friction Hinge (Left &amp; Right)/ Bản lề A 14" (1 cặp trái &amp; phải đồng bộ). Mở 87 độ.</t>
  </si>
  <si>
    <t>A040134</t>
  </si>
  <si>
    <t>Friction Hinge (Left &amp; Right)/ Bản lề A 16" (1 cặp trái &amp; phải đồng bộ). Mở 87 độ.</t>
  </si>
  <si>
    <t>A040135</t>
  </si>
  <si>
    <t>Friction Hinge (Left &amp; Right)/ Bản lề A 18" (1 cặp trái &amp; phải đồng bộ). Mở 87 độ.</t>
  </si>
  <si>
    <t>D070009</t>
  </si>
  <si>
    <t>Shootbolt Connector/ Bộ nối chốt liền cánh phụ (nối 2 đầu biên A070003 vói C459)</t>
  </si>
  <si>
    <t>A080004</t>
  </si>
  <si>
    <t>Frame Support Block 8.3mm/ Đệm chống sệ (mỏng)</t>
  </si>
  <si>
    <t>BDS-09</t>
  </si>
  <si>
    <t>Nhựa bịt đố động cửa sổ Xingfa 55 (trên &amp; dưới) - Trắng</t>
  </si>
  <si>
    <t>D010101-01</t>
  </si>
  <si>
    <t>New York Handle with Key/ Tay nắm cửa đi mở quay kiểu New York. Chất liệu hợp kim. (Bạc)</t>
  </si>
  <si>
    <t>D010117-10</t>
  </si>
  <si>
    <t>New York Handle with Key/ Tay nắm cửa đi mở quay kiểu New York. Chất liệu nhôm. (Đen)</t>
  </si>
  <si>
    <t>D000080-10</t>
  </si>
  <si>
    <t>Screw Pack/ Vít tay nắm cửa đi (cánh dày 50-55mm). (Đen)</t>
  </si>
  <si>
    <t>D030023</t>
  </si>
  <si>
    <t>A100109</t>
  </si>
  <si>
    <t>Keeper/Vấu hãm cửa 1 cánh cao 14mm (vát 2 bên)</t>
  </si>
  <si>
    <t>D100020</t>
  </si>
  <si>
    <t>Strike/ Miệng khóa cửa đi 1 cánh Xingfa 55 (xẻ gân)</t>
  </si>
  <si>
    <t>D130123</t>
  </si>
  <si>
    <t>Oval Thumb Turn Brass Cylinder/ Lõi khóa 1 đầu núm xoay R45*30mm (mở ngoài) (Xingfa)</t>
  </si>
  <si>
    <t>D130124</t>
  </si>
  <si>
    <t>Oval Thumb Turn Brass Cylinder/ Lõi khóa 1 đầu núm xoay R30*45mm (mở trong) (Xingfa)</t>
  </si>
  <si>
    <t>D040003-01</t>
  </si>
  <si>
    <t>140kg Flush-Fit Hinge/ Bản lề 3D (Tim 63, hai cục) (Bạc)</t>
  </si>
  <si>
    <t>D040003-10</t>
  </si>
  <si>
    <t>140kg Flush-Fit Hinge/ Bản lề 3D (Tim 63, hai cục) (Đen)</t>
  </si>
  <si>
    <t>Nhựa bịt đố động cửa đi Xingfa 55 (trên &amp; dưới) - Trắng</t>
  </si>
  <si>
    <t>H040068</t>
  </si>
  <si>
    <t>Limiting Stay/Thanh chống gió 12" (1 cặp trái &amp; phải đồng bộ)</t>
  </si>
  <si>
    <t>Bản lề 2D</t>
  </si>
  <si>
    <t xml:space="preserve">ĐỘ DÀY </t>
  </si>
  <si>
    <t>TL
(Kg/M)</t>
  </si>
  <si>
    <t>Góc cắt °</t>
  </si>
  <si>
    <t>Phân loại</t>
  </si>
  <si>
    <t>ĐVT/Vị trí thanh</t>
  </si>
  <si>
    <t>Mã B/Vẽ</t>
  </si>
  <si>
    <t>LOẠI FILE</t>
  </si>
  <si>
    <t>BÁO GIÁ</t>
  </si>
  <si>
    <t>SẢN XUẤT</t>
  </si>
  <si>
    <t>Vị trí thanh/ ĐVT</t>
  </si>
  <si>
    <t>45-45</t>
  </si>
  <si>
    <t>CÀI ĐẶT CHUNG</t>
  </si>
  <si>
    <t>Thông số</t>
  </si>
  <si>
    <t>Cánh ngậm vào khung hệ mở quay 55</t>
  </si>
  <si>
    <t>Kính lọt lòng trừ đi mấy ly (mm)</t>
  </si>
  <si>
    <t>Phay đố C3304 lọt lòng cộng thêm</t>
  </si>
  <si>
    <t>Độ hở đố động giữa 2 cánh (C3323)</t>
  </si>
  <si>
    <t>Chiều cao 2 nắp nhựa chụp đậy đầu đố động</t>
  </si>
  <si>
    <t>Độ hở nền cửa đi, muốn cánh âm nền thì đánh vào số âm -7</t>
  </si>
  <si>
    <t>Cánh ngậm vào khung hệ trượt 55</t>
  </si>
  <si>
    <t>Độ hở ốp đối đầu/trung gian hệ 93</t>
  </si>
  <si>
    <t>Mốc tim đố C3313 tính cánh (75/2 - nep 18.8) (C3313)</t>
  </si>
  <si>
    <t>Phay đố C3313 cộng thêm</t>
  </si>
  <si>
    <t>BỀ CAO KB</t>
  </si>
  <si>
    <t>B/VẼ TK</t>
  </si>
  <si>
    <t>90-90</t>
  </si>
  <si>
    <t>CT - H</t>
  </si>
  <si>
    <t>(W/2-150)*(H-172)</t>
  </si>
  <si>
    <t>PL</t>
  </si>
  <si>
    <t>TẬN DỤNG</t>
  </si>
  <si>
    <t>T/C</t>
  </si>
  <si>
    <t>Trong</t>
  </si>
  <si>
    <t>NGÀY SX</t>
  </si>
  <si>
    <t>(W/Số cánh+H)*2*Số cánh</t>
  </si>
  <si>
    <t>(W/Số cánh+H)*2*Số cánh*2</t>
  </si>
  <si>
    <t>W*2</t>
  </si>
  <si>
    <t>Cánh 55</t>
  </si>
  <si>
    <t>Cánh 93</t>
  </si>
  <si>
    <t>5*6</t>
  </si>
  <si>
    <t>3*12</t>
  </si>
  <si>
    <t>Lông nheo 55</t>
  </si>
  <si>
    <t>Cánh trên 93</t>
  </si>
  <si>
    <t>Gioăng kính xếp trượt hệ 63</t>
  </si>
  <si>
    <t>CHIỀU DÀI THANH</t>
  </si>
  <si>
    <t>Số thanh</t>
  </si>
  <si>
    <t>Tổng độ dài</t>
  </si>
  <si>
    <t>Số đoạn</t>
  </si>
  <si>
    <t>CHIỀU DÀI SỬ DỤNG</t>
  </si>
  <si>
    <t>Đoạn dư khi cấp nguyên cây</t>
  </si>
  <si>
    <t>SỐ ĐNSX</t>
  </si>
  <si>
    <t>SẢN XUẤT THEO ĐỢT</t>
  </si>
  <si>
    <t>ĐVT BÁO GIÁ</t>
  </si>
  <si>
    <t>Khung + Cánh</t>
  </si>
  <si>
    <t>W+2*H + (W/Số cánh+H)*2*Số cánh</t>
  </si>
  <si>
    <t>$O$7</t>
  </si>
  <si>
    <t>$O$6</t>
  </si>
  <si>
    <t>$O$5</t>
  </si>
  <si>
    <t>$O$2</t>
  </si>
  <si>
    <t>$O$1</t>
  </si>
  <si>
    <t>ĐỘ HỞ NỀN/ÂM RAY/HỞ RAY</t>
  </si>
  <si>
    <t>hở nền</t>
  </si>
  <si>
    <t>SX ĐỢT</t>
  </si>
  <si>
    <t>W*2 + H*Số cánh + H*Số cánh*2</t>
  </si>
  <si>
    <t>GONHOMDORI</t>
  </si>
  <si>
    <t>Gioăng khung nhôm XINGFA DORI</t>
  </si>
  <si>
    <t>GKNHOMDORI</t>
  </si>
  <si>
    <t>Gioăng nẹp (kính) nhôm XINGFA DORI</t>
  </si>
  <si>
    <t>GONHUA</t>
  </si>
  <si>
    <t>GKNHUA</t>
  </si>
  <si>
    <t>Gioăng kính cửa nhựa</t>
  </si>
  <si>
    <t>Lông nheo 5*6</t>
  </si>
  <si>
    <t>Lông nheo 3*12</t>
  </si>
  <si>
    <t>Gioăng khung cánh - nhựa</t>
  </si>
  <si>
    <t>Gioăng Kính - nhựa</t>
  </si>
  <si>
    <t>Lông nheo - nhựa</t>
  </si>
  <si>
    <t>7*6</t>
  </si>
  <si>
    <t>Lông nheo 7*6</t>
  </si>
  <si>
    <t>W*4 + H*Số cánh + H*Số cánh*2</t>
  </si>
  <si>
    <t>GKRH</t>
  </si>
  <si>
    <t>Gioăng khung cánh cửa nhựa</t>
  </si>
  <si>
    <t>Gioăng kính REHAU</t>
  </si>
  <si>
    <t>DT2XF-93</t>
  </si>
  <si>
    <t>DT4XF-93</t>
  </si>
  <si>
    <t>ST2XF-55</t>
  </si>
  <si>
    <t>ST4XF-55</t>
  </si>
  <si>
    <t>ST2XF-93</t>
  </si>
  <si>
    <t>ST4XF-93</t>
  </si>
  <si>
    <t>DT2XF-93-FIX</t>
  </si>
  <si>
    <t>W-36</t>
  </si>
  <si>
    <t>Khung bao ngang trên liền vách kính</t>
  </si>
  <si>
    <t>D1559</t>
  </si>
  <si>
    <t>Khung bao ngang cho vách kính cửa đi lùa 2001</t>
  </si>
  <si>
    <t>D1549</t>
  </si>
  <si>
    <t>Nối khung bao cho vách kính cửa đi lùa 2001</t>
  </si>
  <si>
    <t>w1</t>
  </si>
  <si>
    <t>h1</t>
  </si>
  <si>
    <t>FIX</t>
  </si>
  <si>
    <t>PR ĐỐ VÀ NỐI KHUNG</t>
  </si>
  <si>
    <t>SP66Y</t>
  </si>
  <si>
    <t>Đố tĩnh cửa mở lùa</t>
  </si>
  <si>
    <t>CP2</t>
  </si>
  <si>
    <t xml:space="preserve">Nẹp nối khung bao nhỏ </t>
  </si>
  <si>
    <t>CP25C</t>
  </si>
  <si>
    <t xml:space="preserve">Nẹp nối khung bao lớn </t>
  </si>
  <si>
    <t>CP90C</t>
  </si>
  <si>
    <t>Thanh nối góc vuông</t>
  </si>
  <si>
    <t>THÉP Khung bao cửa đi</t>
  </si>
  <si>
    <t>THÉP Cánh cửa đi mở quay</t>
  </si>
  <si>
    <t>THÉP Thanh nối góc vuông</t>
  </si>
  <si>
    <t>DQ1SL-70</t>
  </si>
  <si>
    <t>SQ1SL-60</t>
  </si>
  <si>
    <t>BR60</t>
  </si>
  <si>
    <t>Khung bao mở quay 60</t>
  </si>
  <si>
    <t>SF78C</t>
  </si>
  <si>
    <t xml:space="preserve">Cánh cửa sổ mở ngoài </t>
  </si>
  <si>
    <t>FR73N</t>
  </si>
  <si>
    <t>Cánh cửa sổ mở trong</t>
  </si>
  <si>
    <t>NN</t>
  </si>
  <si>
    <t>450000Đ/THANH</t>
  </si>
  <si>
    <t>OD</t>
  </si>
  <si>
    <t>130000 Đ/THANH</t>
  </si>
  <si>
    <t>PROFILE (PHẢI NHẬP TẤT CẢ CÁC PR THAY THẾ VÀ KHAI BÁO LÀ LOẠI GÌ Ở CỘT "NVL THAY THẾ")</t>
  </si>
  <si>
    <t>C22900</t>
  </si>
  <si>
    <t>Nẹp gioăng lọc bui cho cửa đi
 ngang dưới hệ 55 có gờ</t>
  </si>
  <si>
    <t>C3286</t>
  </si>
  <si>
    <t>Nẹp kính hộp cho kính 22mm</t>
  </si>
  <si>
    <t>CL09-8</t>
  </si>
  <si>
    <t>Đầu khóa biên cao 8mm</t>
  </si>
  <si>
    <t>H-114*2</t>
  </si>
  <si>
    <t>ngậm nền</t>
  </si>
  <si>
    <t>Ngậm/hở nền</t>
  </si>
  <si>
    <t>Chiều tay nắm (T/P)</t>
  </si>
  <si>
    <t>PHÂN LOẠI</t>
  </si>
  <si>
    <t>Quay Trong</t>
  </si>
  <si>
    <t>Quay Ngoài</t>
  </si>
  <si>
    <t>2 Đầu Chìa</t>
  </si>
  <si>
    <t>A10</t>
  </si>
  <si>
    <t>A12</t>
  </si>
  <si>
    <t>A14</t>
  </si>
  <si>
    <t>A16</t>
  </si>
  <si>
    <t>Trọng lượng cánh</t>
  </si>
  <si>
    <t>TRỌNG LƯỢNG KÍNH</t>
  </si>
  <si>
    <t>H - 41 + Ngậm/hở nền</t>
  </si>
  <si>
    <t>((W/Số cánh+H)*2*Số cánh)/14000</t>
  </si>
  <si>
    <t>((W/Số cánh + H)*2*Số cánh*2)/14000</t>
  </si>
  <si>
    <t>PR(mm)</t>
  </si>
  <si>
    <t>F347</t>
  </si>
  <si>
    <t>PU88 (Keo ép góc)</t>
  </si>
  <si>
    <t>PU88</t>
  </si>
  <si>
    <t>Góc</t>
  </si>
  <si>
    <t>VLD</t>
  </si>
  <si>
    <t>FOAM</t>
  </si>
  <si>
    <t>Keo foam</t>
  </si>
  <si>
    <t>Silicone lắp đặt</t>
  </si>
  <si>
    <t>Vải trắng</t>
  </si>
  <si>
    <t>Gram</t>
  </si>
  <si>
    <t>Vệ sinh</t>
  </si>
  <si>
    <t>LD</t>
  </si>
  <si>
    <t>Lưỡi dao rọc giấy</t>
  </si>
  <si>
    <t>Chu vi (m)/100</t>
  </si>
  <si>
    <t>Chu vi (m)/7</t>
  </si>
  <si>
    <t>Diện tích (m2)/0.1</t>
  </si>
  <si>
    <t>Chu vi (m)</t>
  </si>
  <si>
    <t>Diện tích (m2)</t>
  </si>
  <si>
    <t>Đệm chèn kính GĐSX</t>
  </si>
  <si>
    <t>Đệm chèn kính GĐLĐ</t>
  </si>
  <si>
    <t>Roundup(Diện tích (m2)/10,0)</t>
  </si>
  <si>
    <t>CL09-6</t>
  </si>
  <si>
    <t>JX112-L</t>
  </si>
  <si>
    <t>JX112-R</t>
  </si>
  <si>
    <t>Hinge/Bản lề khung cánh hệ 55 có chân (3D) - TRÁI</t>
  </si>
  <si>
    <t>Hinge/Bản lề khung cánh hệ 55 có chân (3D) - PHẢI</t>
  </si>
  <si>
    <t>BDD-L</t>
  </si>
  <si>
    <t>BDD-R</t>
  </si>
  <si>
    <t>JX113-L</t>
  </si>
  <si>
    <t>JX113-R</t>
  </si>
  <si>
    <t>Hinge/Bản lề cánh nối cánh (3D) - TRÁI</t>
  </si>
  <si>
    <t>Hinge/Bản lề cánh nối cánh (3D) - PHẢI</t>
  </si>
  <si>
    <t>DQ3XF-55</t>
  </si>
  <si>
    <t>Chiều bản lề</t>
  </si>
  <si>
    <t>3DL</t>
  </si>
  <si>
    <t>3DR</t>
  </si>
  <si>
    <t>Gioăng lọc bụi - hệ 55</t>
  </si>
  <si>
    <t>Nẹp gioăng</t>
  </si>
  <si>
    <t>mm</t>
  </si>
  <si>
    <t>5*7</t>
  </si>
  <si>
    <t>Lông nheo 5*7</t>
  </si>
  <si>
    <t>Roundup(H/400  * Số cánh,0)</t>
  </si>
  <si>
    <t>Roundup(H/400 * Số cánh,0)</t>
  </si>
  <si>
    <t>Khung bao cửa sổ hệ 55</t>
  </si>
  <si>
    <t xml:space="preserve">Cánh cửa sổ mở quay ngoài </t>
  </si>
  <si>
    <t>W - 25*2</t>
  </si>
  <si>
    <t>H - 25*2</t>
  </si>
  <si>
    <t>C1697</t>
  </si>
  <si>
    <t>(W - 25*2 - 62*2)*(H - 25*2 -62*2)</t>
  </si>
  <si>
    <t>(W - 25*2) - 57*2</t>
  </si>
  <si>
    <t>(H - 25*2) - 76*2</t>
  </si>
  <si>
    <t>H - 41 + Ngậm/hở nền - 87*2</t>
  </si>
  <si>
    <t>H - 25*2 - 30*2</t>
  </si>
  <si>
    <t>H - 25*2 - 20*2</t>
  </si>
  <si>
    <t>(W - 25*2 - 5)/2</t>
  </si>
  <si>
    <t>H - 25*2 - 76*2</t>
  </si>
  <si>
    <t>(W - 25*2 - 5)/2 - 57*2</t>
  </si>
  <si>
    <t>KEVILA</t>
  </si>
  <si>
    <t>H - 25*2 - 50</t>
  </si>
  <si>
    <t>Bịt đố động DÙNG CHUNG (C22903) - TRÁI</t>
  </si>
  <si>
    <t>Bịt đố động DÙNG CHUNG (C22903) - PHẢI</t>
  </si>
  <si>
    <t>SQ3XF-55</t>
  </si>
  <si>
    <t>BẢN LỀ</t>
  </si>
  <si>
    <t>TRỌNG LƯỢNG</t>
  </si>
  <si>
    <t>KÍCH THƯỚC QUÁ KHỔ CỬA ĐI</t>
  </si>
  <si>
    <t>(W - 25*3 - 5)/3</t>
  </si>
  <si>
    <t>H - 20*2</t>
  </si>
  <si>
    <t xml:space="preserve">Đố cố định chữ T tách khung </t>
  </si>
  <si>
    <t>(W - 25*3 - 5)/3 - 57*2</t>
  </si>
  <si>
    <t>CHIỀU RỘNG</t>
  </si>
  <si>
    <t>((W - 25*3 - 5)/3 - 62*2)*(H - 25*2 - 62*2)</t>
  </si>
  <si>
    <t>(W - 25*4 - 5)/4</t>
  </si>
  <si>
    <t>((W - 25*4 - 5)/4 - 62*2)*(H - 25*2 - 62*2)</t>
  </si>
  <si>
    <t>(W - 25*2 - 62*2)*(H - 25*2 - 62*2)</t>
  </si>
  <si>
    <t>W - 25*2 - 57*2</t>
  </si>
  <si>
    <t>W - 25*2 - 20*2</t>
  </si>
  <si>
    <t>W*4 + H*Số cánh*4</t>
  </si>
  <si>
    <t>DQ</t>
  </si>
  <si>
    <t>A</t>
  </si>
  <si>
    <t>SQ</t>
  </si>
  <si>
    <t>&lt;= 70kg</t>
  </si>
  <si>
    <t>SH</t>
  </si>
  <si>
    <t>SH2XF-55</t>
  </si>
  <si>
    <t>W - 25*2 -25*(Số cánh - 1) - 20*2</t>
  </si>
  <si>
    <t>W/2-76</t>
  </si>
  <si>
    <t>H-45</t>
  </si>
  <si>
    <t>Phụ kiện + LĐ</t>
  </si>
  <si>
    <t>CZM06D</t>
  </si>
  <si>
    <t>Sliding lock/ Tay nắm chữ D đi trượt có khóa + Sliding / Tay nắm đi trượt không có khóa (CZM06F + CZM06A)</t>
  </si>
  <si>
    <t>Chiều tay nắm</t>
  </si>
  <si>
    <t>Tay nắm gạt</t>
  </si>
  <si>
    <t>W/4-67</t>
  </si>
  <si>
    <t>(W/4 - 67 - 17)*(H - 45 - 96)</t>
  </si>
  <si>
    <t>(W - 25*2 - 25*(Số cánh - 1))/2</t>
  </si>
  <si>
    <t>(W - 25*2 - 25*(Số cánh - 1))/2 - 57*2</t>
  </si>
  <si>
    <t>((W - 25*2 - 25*(Số cánh - 1))/2 - 62*2)*(H - 25*2 - 62*2)</t>
  </si>
  <si>
    <t>DT3XF-93</t>
  </si>
  <si>
    <t>D3211</t>
  </si>
  <si>
    <t>Khung bao ngang trên cửa đi lùa  3 ray 2001</t>
  </si>
  <si>
    <t>D3212</t>
  </si>
  <si>
    <t>Khung bao ngang dưới cửa đi lùa 3 ray 2001 cao 55mm</t>
  </si>
  <si>
    <t>D3213</t>
  </si>
  <si>
    <t>Khung bao đứng cửa đi lùa 3 ray 2001</t>
  </si>
  <si>
    <t>W/3-62</t>
  </si>
  <si>
    <t>W/3-50</t>
  </si>
  <si>
    <t>H-62</t>
  </si>
  <si>
    <t>(W/3 - 62 - 17)*(H - 62 - 96)</t>
  </si>
  <si>
    <t>(W/3 - 50 - 17)*(H - 62 - 96)</t>
  </si>
  <si>
    <t>ST3XF-93</t>
  </si>
  <si>
    <t>Đố động</t>
  </si>
  <si>
    <t>W + 6</t>
  </si>
  <si>
    <t>H + 6</t>
  </si>
  <si>
    <t>(W - 64 - 20*(Số cánh - 1))/Số cánh + 6</t>
  </si>
  <si>
    <t>H - 58</t>
  </si>
  <si>
    <t>(W - 64 - 20*(Số cánh - 1))/Số cánh + 6 - 122</t>
  </si>
  <si>
    <t>H - 58 - 122</t>
  </si>
  <si>
    <t>H - 70</t>
  </si>
  <si>
    <t>THÉP Khuôn bao cửa sổ mở quay</t>
  </si>
  <si>
    <t>THÉP Cánh cửa sổ mở quay</t>
  </si>
  <si>
    <t>H - 58 - 120</t>
  </si>
  <si>
    <t xml:space="preserve">THÉP Đố tĩnh cửa mở quay </t>
  </si>
  <si>
    <t>SQ2SL-60</t>
  </si>
  <si>
    <t>((W - 64 - 20*(Số cánh - 1))/Số cánh + 6 - 132)*(H - 58 - 132)</t>
  </si>
  <si>
    <t>W/2 - 29</t>
  </si>
  <si>
    <t>JT61</t>
  </si>
  <si>
    <t>W/2 - 29 - 122</t>
  </si>
  <si>
    <t>W/2 - 29 - 120</t>
  </si>
  <si>
    <t>(W/2 - 29 - 132)*(H - 58 - 132)</t>
  </si>
  <si>
    <t>SQ3SL-60</t>
  </si>
  <si>
    <t>SQ4SL-60</t>
  </si>
  <si>
    <t>(W - 110)/4 + 6</t>
  </si>
  <si>
    <t>(W - 110)/4 + 6 - 122</t>
  </si>
  <si>
    <t>((W - 110)/4 + 6 - 132)*(H - 58 - 132)</t>
  </si>
  <si>
    <t>(W/2 - 14 - 116)*(H - 98 - 116)</t>
  </si>
  <si>
    <t>ST2SL-60</t>
  </si>
  <si>
    <t>HF62</t>
  </si>
  <si>
    <t>Khung bao lùa 2 ray</t>
  </si>
  <si>
    <t>RN</t>
  </si>
  <si>
    <t>Ray nhôm (SPARLEE)</t>
  </si>
  <si>
    <t>W - 120</t>
  </si>
  <si>
    <t>W/2 - 14</t>
  </si>
  <si>
    <t>H - 98</t>
  </si>
  <si>
    <t>IL36</t>
  </si>
  <si>
    <t xml:space="preserve">Ốp cánh cửa sổ trượt </t>
  </si>
  <si>
    <t>H - 104</t>
  </si>
  <si>
    <t>W/2 - 14 - 106</t>
  </si>
  <si>
    <t>H - 98 - 106</t>
  </si>
  <si>
    <t>ST3SL-60</t>
  </si>
  <si>
    <t>W/3 - 9</t>
  </si>
  <si>
    <t>SF66</t>
  </si>
  <si>
    <t xml:space="preserve">Cánh cửa sổ trượt </t>
  </si>
  <si>
    <t>W/3 + 57</t>
  </si>
  <si>
    <t>W/3 - 9 - 106</t>
  </si>
  <si>
    <t>W/3 + 57 - 106</t>
  </si>
  <si>
    <t>THÉP Khuôn bao cửa sổ trượt</t>
  </si>
  <si>
    <t>THÉP Cánh cửa sổ trượt</t>
  </si>
  <si>
    <t>(W/3 - 9 - 116)*(H - 98 - 116)</t>
  </si>
  <si>
    <t>(W/3 + 57 - 116)*(H - 98 - 116)</t>
  </si>
  <si>
    <t>(W/4 + 10 - 116)*(H - 98 - 116)</t>
  </si>
  <si>
    <t>ST4SL-60</t>
  </si>
  <si>
    <t>W/4 + 10</t>
  </si>
  <si>
    <t>W/4 + 10 - 106</t>
  </si>
  <si>
    <t>H + 3</t>
  </si>
  <si>
    <t>W - 78</t>
  </si>
  <si>
    <t>H + 6 + Ngậm/hở nền - 42</t>
  </si>
  <si>
    <t>W - 78 - 46</t>
  </si>
  <si>
    <t>W - 70</t>
  </si>
  <si>
    <t>W - 78 -178</t>
  </si>
  <si>
    <t>H + 6 + Ngậm/hở nền - 42 - 178</t>
  </si>
  <si>
    <t>DQ1SL-60</t>
  </si>
  <si>
    <t>(W - 78 - 188)*(H + 6 + Ngậm/hở nền - 42 - 188)</t>
  </si>
  <si>
    <t>DQ2SL-70</t>
  </si>
  <si>
    <t>(W - 58 - 188)*(H + 6 + Ngậm/hở nền - 32 - 188)</t>
  </si>
  <si>
    <t>(W/2 - 39 - 188)*(H + 6 + Ngậm/hở nền - 42 - 188)</t>
  </si>
  <si>
    <t>DQ2SL-60</t>
  </si>
  <si>
    <t>(W/2 - 29 - 188)*(H + 6 + Ngậm/hở nền - 32 - 188)</t>
  </si>
  <si>
    <t>W - 58</t>
  </si>
  <si>
    <t>H + 6 + Ngậm/hở nền - 32</t>
  </si>
  <si>
    <t>W - 58 - 46</t>
  </si>
  <si>
    <t>W - 58 -178</t>
  </si>
  <si>
    <t>H + 6 + Ngậm/hở nền - 32 - 178</t>
  </si>
  <si>
    <t>W/2 - 39</t>
  </si>
  <si>
    <t>W/2 - 39 - 46</t>
  </si>
  <si>
    <t>W/2 - 39 -178</t>
  </si>
  <si>
    <t>W/2 - 29 - 46</t>
  </si>
  <si>
    <t>W/2 - 29 -178</t>
  </si>
  <si>
    <t>DT2SL-60</t>
  </si>
  <si>
    <t>SF92N</t>
  </si>
  <si>
    <t>Cánh cửa đi trượt</t>
  </si>
  <si>
    <t>IL50</t>
  </si>
  <si>
    <t xml:space="preserve">Ốp cánh cửa đi trượt </t>
  </si>
  <si>
    <t>THÉP Cánh cửa đi mở lùa</t>
  </si>
  <si>
    <t>W/2 - 2</t>
  </si>
  <si>
    <t>W/2 - 2 - 158</t>
  </si>
  <si>
    <t>H - 98 - 158</t>
  </si>
  <si>
    <t>(W/2 - 2 - 168)*(H - 98 - 168)</t>
  </si>
  <si>
    <t>DT3SL-60</t>
  </si>
  <si>
    <t>(W/3 - 168)*(H - 98 - 168)</t>
  </si>
  <si>
    <t>(W/3 + 92 - 168)*(H - 98 - 168)</t>
  </si>
  <si>
    <t>W/3</t>
  </si>
  <si>
    <t>W/3 + 92</t>
  </si>
  <si>
    <t>W/3 - 158</t>
  </si>
  <si>
    <t>W/3 + 92 - 158</t>
  </si>
  <si>
    <t>DT4SL-60</t>
  </si>
  <si>
    <t>W/4 + 23</t>
  </si>
  <si>
    <t>W/4 + 23 - 158</t>
  </si>
  <si>
    <t>(W/4 + 23 - 168)*(H - 98 - 168)</t>
  </si>
  <si>
    <t>(W - 90)/3 + 6</t>
  </si>
  <si>
    <t>(W - 90)/3 + 6 - 122</t>
  </si>
  <si>
    <t>((W - 90)/3 + 6 - 132)*(H - 58 - 132)</t>
  </si>
  <si>
    <t>SH1SL-60</t>
  </si>
  <si>
    <t>SQ1RH-60</t>
  </si>
  <si>
    <t>(W - 64 - 26*(Số cánh - 1))/Số cánh + 6</t>
  </si>
  <si>
    <t>Ngưỡng nhôm</t>
  </si>
  <si>
    <t>W - 90</t>
  </si>
  <si>
    <t>W - 42*2</t>
  </si>
  <si>
    <t>KT15</t>
  </si>
  <si>
    <t>KT15T</t>
  </si>
  <si>
    <t>KA05</t>
  </si>
  <si>
    <t>KA08</t>
  </si>
  <si>
    <t>KA05T</t>
  </si>
  <si>
    <t>KA08T</t>
  </si>
  <si>
    <t>FS08</t>
  </si>
  <si>
    <t>FT06</t>
  </si>
  <si>
    <t>Tên nẹp kính</t>
  </si>
  <si>
    <t>Mã Nẹp kính</t>
  </si>
  <si>
    <t>Mã Gioăng kính</t>
  </si>
  <si>
    <t>Tên Gioăng kính</t>
  </si>
  <si>
    <t>Gioăng kính Nr.67</t>
  </si>
  <si>
    <t>Gioăng kính Nr.66</t>
  </si>
  <si>
    <t>Gioăng kính Nr.65</t>
  </si>
  <si>
    <t>Gioăng kính Nr.68</t>
  </si>
  <si>
    <t>Nẹp kính 34.5</t>
  </si>
  <si>
    <t>Nẹp kính 30.5</t>
  </si>
  <si>
    <t>Nẹp kính 26.5</t>
  </si>
  <si>
    <t>Nẹp kính 22.5</t>
  </si>
  <si>
    <t>Nẹp kính 18.5</t>
  </si>
  <si>
    <t>Nẹp kính 14.5</t>
  </si>
  <si>
    <t>Nẹp kính 10.5</t>
  </si>
  <si>
    <t>Nẹp kính 6.5</t>
  </si>
  <si>
    <t>Gioăng ép khung REHAU</t>
  </si>
  <si>
    <t>Gioăng Kính REHAU</t>
  </si>
  <si>
    <t>GB21</t>
  </si>
  <si>
    <t>GB19</t>
  </si>
  <si>
    <t>Nẹp kính 5mm</t>
  </si>
  <si>
    <t>Nẹp kính 8mm</t>
  </si>
  <si>
    <t>Nẹp kính RH</t>
  </si>
  <si>
    <t>NKRH</t>
  </si>
  <si>
    <t>MNKRH</t>
  </si>
  <si>
    <t>(W - 64 - 26*(Số cánh - 1))/Số cánh + 6 - 120</t>
  </si>
  <si>
    <t>W*6 + (Số cánh - 1)*2*H + Số cánh*4*H</t>
  </si>
  <si>
    <t>W*2 + H*Số cánh*2</t>
  </si>
  <si>
    <t>((W - 64 - 26*(Số cánh - 1))/Số cánh + 6 - 130)*(H - 58 - 130)</t>
  </si>
  <si>
    <t>SH1RH-60</t>
  </si>
  <si>
    <t>SQ2RH-60</t>
  </si>
  <si>
    <t>SQ3RH-60</t>
  </si>
  <si>
    <t>(W - 96)/3 + 6</t>
  </si>
  <si>
    <t>(W - 96)/3 + 6 - 120</t>
  </si>
  <si>
    <t>SQ4RH-60</t>
  </si>
  <si>
    <t>((W - 122)/4 + 6 - 130)*(H - 58 - 130)</t>
  </si>
  <si>
    <t>((W - 96)/3 + 6  - 130)*(H - 58 - 130)</t>
  </si>
  <si>
    <t>(W - 122)/4 + 6</t>
  </si>
  <si>
    <t>(W - 122)/4 + 6 - 120</t>
  </si>
  <si>
    <t>Ray nhôm (REHAU)</t>
  </si>
  <si>
    <t>W - 108</t>
  </si>
  <si>
    <t>Cánh cửa sổ trượt</t>
  </si>
  <si>
    <t>W/2 - 7</t>
  </si>
  <si>
    <t>H - 86</t>
  </si>
  <si>
    <t>H - 92</t>
  </si>
  <si>
    <t>W/2 - 7 - 106</t>
  </si>
  <si>
    <t>H - 86 - 106</t>
  </si>
  <si>
    <t>Độ dài sử dụng</t>
  </si>
  <si>
    <t>Độ dài thanh</t>
  </si>
  <si>
    <t>W*6 + Số cánh*4*H + 2*H + (Số cánh - 1)*2*H</t>
  </si>
  <si>
    <t>W*5 + Số cánh*4*H + 2*H + (Số cánh - 1)*2*H</t>
  </si>
  <si>
    <t>W - 31*2</t>
  </si>
  <si>
    <t>H - 50*2</t>
  </si>
  <si>
    <t>VK0SL-60</t>
  </si>
  <si>
    <t>W - 40*2</t>
  </si>
  <si>
    <t>H - 40*2</t>
  </si>
  <si>
    <t>VK0SL-70</t>
  </si>
  <si>
    <t>W - 50*2</t>
  </si>
  <si>
    <t>VK0RH-60</t>
  </si>
  <si>
    <t>VK0RH-76</t>
  </si>
  <si>
    <t>W - 56*2</t>
  </si>
  <si>
    <t>H - 56*2</t>
  </si>
  <si>
    <t>Khung bao cửa trượt 2 ray</t>
  </si>
  <si>
    <t>Khung bao mở quay 76</t>
  </si>
  <si>
    <t>(W - 45*2)*(H - 45*2)</t>
  </si>
  <si>
    <t>(W - 36*2)*(H - 36*2)</t>
  </si>
  <si>
    <t>(W - 55*2)*(H - 55*2)</t>
  </si>
  <si>
    <t>(W - 61*2)*(H - 61*2)</t>
  </si>
  <si>
    <t>Đố tĩnh</t>
  </si>
  <si>
    <t>Đố cố định chữ T có lỗ vít</t>
  </si>
  <si>
    <t>GB10</t>
  </si>
  <si>
    <t>GB25</t>
  </si>
  <si>
    <t xml:space="preserve">Nẹp kính 5mm mở trượt </t>
  </si>
  <si>
    <t xml:space="preserve">Nẹp kính 8mm mở trượt </t>
  </si>
  <si>
    <t>000XF</t>
  </si>
  <si>
    <t>000SL</t>
  </si>
  <si>
    <t>CHJ01B-600</t>
  </si>
  <si>
    <t>Transmitter/ Thanh chuyển động trượt 600</t>
  </si>
  <si>
    <t>CHJ01B-800</t>
  </si>
  <si>
    <t>CHJ01B-1000</t>
  </si>
  <si>
    <t>Transmitter/ Thanh chuyển động trượt 1000</t>
  </si>
  <si>
    <t>MSZ920833100</t>
  </si>
  <si>
    <t>SHB03L</t>
  </si>
  <si>
    <t>Miệng khóa lẫy gà một điểm - TRÁI</t>
  </si>
  <si>
    <t>SHB03R</t>
  </si>
  <si>
    <t>Miệng khóa lẫy gà một điểm - PHẢI</t>
  </si>
  <si>
    <t>SHB04L</t>
  </si>
  <si>
    <t>SHB04R</t>
  </si>
  <si>
    <t>MDD40*40</t>
  </si>
  <si>
    <t>Ổ khoá 1 đầu chìa, 1 núm vặn 40*40</t>
  </si>
  <si>
    <t>Ổ khoá đúc 2 chiều 40*40</t>
  </si>
  <si>
    <t>MDD45*45N</t>
  </si>
  <si>
    <t>Ổ khoá 1 đầu chìa, 1 núm vặn 45*45</t>
  </si>
  <si>
    <t>2 Đầu Chìa Đa Điểm</t>
  </si>
  <si>
    <t>W/2 - 9</t>
  </si>
  <si>
    <t>H - 78</t>
  </si>
  <si>
    <t>DQ1RH-76</t>
  </si>
  <si>
    <t>DQ2RH-76</t>
  </si>
  <si>
    <t>E192</t>
  </si>
  <si>
    <t>Lá chớp</t>
  </si>
  <si>
    <t>E1283</t>
  </si>
  <si>
    <t>Khung sách</t>
  </si>
  <si>
    <t>Bộ kết nối đầu trên, dưới cửa đi</t>
  </si>
  <si>
    <t>Vấu chốt - Keep (thanh Clemol)</t>
  </si>
  <si>
    <t>CXS0517</t>
  </si>
  <si>
    <t>Locking Plate/ Vấu hãm cửa trượt</t>
  </si>
  <si>
    <t>W - 36</t>
  </si>
  <si>
    <t>W/4 - 67</t>
  </si>
  <si>
    <t>H - 45</t>
  </si>
  <si>
    <t>Ốp chân cánh XF (nẹp liền) (trái + phải)</t>
  </si>
  <si>
    <t>OCCXF</t>
  </si>
  <si>
    <t>Trừ lỗ 2 đầu</t>
  </si>
  <si>
    <t>F607</t>
  </si>
  <si>
    <t>Ngang khung bao dưới NỔI cửa xếp trượt hệ 63</t>
  </si>
  <si>
    <t>Ngang khung bao dưới ÂM cửa xếp trượt hệ 63</t>
  </si>
  <si>
    <t>Âm ray</t>
  </si>
  <si>
    <t>Nổi ray</t>
  </si>
  <si>
    <t>W - 77</t>
  </si>
  <si>
    <t>H - 55 - 37</t>
  </si>
  <si>
    <t>H - 55</t>
  </si>
  <si>
    <t>W + (H - 55 - 37)*2 + 0 + (H - 104)*Số cánh</t>
  </si>
  <si>
    <t>(H - 104)*Số cánh*2 + (H - 55 - 37)*2</t>
  </si>
  <si>
    <t>((W - 37*2 - (Số cánh - 1)*8)/Số cánh)*Số cánh*2</t>
  </si>
  <si>
    <t>EP162D</t>
  </si>
  <si>
    <t>EP135D</t>
  </si>
  <si>
    <t>EP103G</t>
  </si>
  <si>
    <t>EP008</t>
  </si>
  <si>
    <t>(W - 37*2 -(Số cánh - 1)*8)/Số cánh - 53*2 + H-104 - 75*2</t>
  </si>
  <si>
    <t>(W + H)*2</t>
  </si>
  <si>
    <t>CXZ02</t>
  </si>
  <si>
    <t>CXLG081021-13L</t>
  </si>
  <si>
    <t>CXLG081021-13R</t>
  </si>
  <si>
    <t>Vấu hãm cửa 2 cánh trái</t>
  </si>
  <si>
    <t>Vấu hãm cửa 2 cánh phải</t>
  </si>
  <si>
    <t>STORO</t>
  </si>
  <si>
    <t>Bản lề cánh treo STORO</t>
  </si>
  <si>
    <t>Tay nắm cửa sổ mở quay</t>
  </si>
  <si>
    <t>Vấu hãm cửa sổ quay</t>
  </si>
  <si>
    <t>CXLG101200</t>
  </si>
  <si>
    <t>CXLG101280</t>
  </si>
  <si>
    <t>CQ22E21540</t>
  </si>
  <si>
    <t>Vấu hãm cửa sổ quay 2 cánh TRÁI</t>
  </si>
  <si>
    <t>Vấu hãm cửa sổ quay 2 cánh PHẢI</t>
  </si>
  <si>
    <t>CXLG102040</t>
  </si>
  <si>
    <t>Shoot liền (1541 - 2040mm)</t>
  </si>
  <si>
    <t>CXLG102300</t>
  </si>
  <si>
    <t>Shoot liền (2041 - 2300mm)</t>
  </si>
  <si>
    <t>J4E182008</t>
  </si>
  <si>
    <t>Thanh hạn vị 8 inch</t>
  </si>
  <si>
    <t>Thanh chống gió 8 inch</t>
  </si>
  <si>
    <t>ST112</t>
  </si>
  <si>
    <t>Con lăn đơn cửa sổ 30kg</t>
  </si>
  <si>
    <t>WB37</t>
  </si>
  <si>
    <t>Chống nhấc cánh</t>
  </si>
  <si>
    <t>Người lập</t>
  </si>
  <si>
    <t>Người kiểm</t>
  </si>
  <si>
    <t>Ngày…... Tháng....... Năm............</t>
  </si>
  <si>
    <t>RL917</t>
  </si>
  <si>
    <t>Con lăn đôi cửa đi 50kg</t>
  </si>
  <si>
    <t>CQ32A01062</t>
  </si>
  <si>
    <t>Thanh truyền động cửa lùa cánh cao &lt; 600mm</t>
  </si>
  <si>
    <t>CQ32A01082</t>
  </si>
  <si>
    <t>Thanh truyền động cửa lùa cánh cao &lt; 800mm</t>
  </si>
  <si>
    <t>CQ32A01102</t>
  </si>
  <si>
    <t>Thanh truyền động cửa lùa cánh cao &lt; 1000mm</t>
  </si>
  <si>
    <t>Thanh truyền động cửa lùa cánh cao &lt; 1200mm</t>
  </si>
  <si>
    <t>CQ32A01143</t>
  </si>
  <si>
    <t>Thanh truyền động cửa lùa cánh cao &lt; 1400mm</t>
  </si>
  <si>
    <t>CQ32A01163</t>
  </si>
  <si>
    <t>Thanh truyền động cửa lùa cánh cao &lt; 1600mm</t>
  </si>
  <si>
    <t>CQ32A01183</t>
  </si>
  <si>
    <t>Thanh truyền động cửa lùa cánh cao &lt; 1800mm</t>
  </si>
  <si>
    <t>CQ32A01214</t>
  </si>
  <si>
    <t>Thanh truyền động cửa lùa cánh cao &lt; 2100mm</t>
  </si>
  <si>
    <t>FZ1062630</t>
  </si>
  <si>
    <t>Vấu hãm</t>
  </si>
  <si>
    <t>Khóa bán nguyệt</t>
  </si>
  <si>
    <t>Có khóa</t>
  </si>
  <si>
    <t>Không khóa</t>
  </si>
  <si>
    <t>PHÂN LOẠI PR</t>
  </si>
  <si>
    <t>Lõi khóa quay trong/quay ngoài</t>
  </si>
  <si>
    <t>Đa điểm/đơn điểm + đầu chìa/2 đầu chìa</t>
  </si>
  <si>
    <t>CT SL</t>
  </si>
  <si>
    <t>Transmitter/ Thanh chuyển động trượt 800</t>
  </si>
  <si>
    <t>2 đầu chìa</t>
  </si>
  <si>
    <t>Chiều miệng khóa</t>
  </si>
  <si>
    <t>12168+12169</t>
  </si>
  <si>
    <t>Vấu hãm cửa đi 1 cánh</t>
  </si>
  <si>
    <t>Vấu hãm cửa lùa</t>
  </si>
  <si>
    <t>Tay nắm cửa sổ</t>
  </si>
  <si>
    <t>DT2RH-54</t>
  </si>
  <si>
    <t>DT3RH-54</t>
  </si>
  <si>
    <t>DT4RH-54</t>
  </si>
  <si>
    <t>ST2RH-54</t>
  </si>
  <si>
    <t>(W/2 - 29 - 130)*(H - 58 - 130)</t>
  </si>
  <si>
    <t>C3326</t>
  </si>
  <si>
    <t>F077</t>
  </si>
  <si>
    <t>D2618</t>
  </si>
  <si>
    <t>Đố trung gian cho vách kính cửa đi lùa 2001</t>
  </si>
  <si>
    <t>Đầu khóa biên thấp 6mm</t>
  </si>
  <si>
    <t>CZMK01</t>
  </si>
  <si>
    <t>Thanh chuyển động có khoá lẫy gà 2100mm</t>
  </si>
  <si>
    <t>CQ32A01123</t>
  </si>
  <si>
    <t>CQS32C02162</t>
  </si>
  <si>
    <t>CQS32C02184</t>
  </si>
  <si>
    <t>CQS32C21184</t>
  </si>
  <si>
    <t>Thanh cửa đi mở trượt 1600 có khóa không kèm</t>
  </si>
  <si>
    <t>Thanh cửa đi mở trượt 1800 có khóa không kèm</t>
  </si>
  <si>
    <t>Thanh cửa đi mở trượt 2100 có khóa không kèm</t>
  </si>
  <si>
    <t>SMZ10105B</t>
  </si>
  <si>
    <t>SSB03</t>
  </si>
  <si>
    <t>Bộ nắp đậy ổ khoá + vít</t>
  </si>
  <si>
    <t>MDD30*30</t>
  </si>
  <si>
    <t>MDD30*30N</t>
  </si>
  <si>
    <t>Ổ khoá đúc 2 chiều 30*30</t>
  </si>
  <si>
    <t>Ổ khoá 1 đầu chìa, 1 núm vặn 30*30</t>
  </si>
  <si>
    <t>Đệm giảm chấn</t>
  </si>
  <si>
    <t>Chống đập cánh</t>
  </si>
  <si>
    <t>CushionGQ</t>
  </si>
  <si>
    <t>TYB107300X</t>
  </si>
  <si>
    <t>Khoá bán nguyệt L/R + móc</t>
  </si>
  <si>
    <t>STYB203</t>
  </si>
  <si>
    <t>Chốt sập cửa trượt (Touch Lock) L/R + móc thép</t>
  </si>
  <si>
    <t>MSZ921825080</t>
  </si>
  <si>
    <t>Tay nắm chữ D có khoá L/R</t>
  </si>
  <si>
    <t>Tay nắm gạt có khóa L/R</t>
  </si>
  <si>
    <t>Chốt sập cửa trượt (Touch Lock) 1L/2R + móc thép</t>
  </si>
  <si>
    <t>Tay nắm gạt có khóa L/2R</t>
  </si>
  <si>
    <t>Bộ tay nắm đôi cửa đi mở quay + vít (đơn điểm) L/R</t>
  </si>
  <si>
    <t>MSZ922033105</t>
  </si>
  <si>
    <t>Bộ tay nắm lẫy gà 1800 - 33mm</t>
  </si>
  <si>
    <t>ZS92160235.21000</t>
  </si>
  <si>
    <t>Miệng khóa lẫy gà cửa đi 2 cánh - TRÁI</t>
  </si>
  <si>
    <t>Miệng khóa lẫy gà cửa đi 2 cánh - PHẢI</t>
  </si>
  <si>
    <t>BDDSHIDE-L</t>
  </si>
  <si>
    <t>BDDSHIDE-R</t>
  </si>
  <si>
    <t>Bịt đố động SHIDE TRÁI</t>
  </si>
  <si>
    <t>Bịt đố động SHIDE PHẢI</t>
  </si>
  <si>
    <t>FZ2212137</t>
  </si>
  <si>
    <t>Thanh chuyển động cửa sổ mở quay 400 mm</t>
  </si>
  <si>
    <t>Thanh chuyển động cửa sổ mở quay 600 mm</t>
  </si>
  <si>
    <t>Thanh chuyển động cửa sổ mở quay 800 mm</t>
  </si>
  <si>
    <t>Thanh chuyển động cửa sổ mở quay 1000 mm</t>
  </si>
  <si>
    <t>Thanh chuyển động cửa sổ mở quay 1200 mm</t>
  </si>
  <si>
    <t>Thanh chuyển động cửa sổ mở quay 1400mm</t>
  </si>
  <si>
    <t>Thanh chuyển động cửa sổ mở quay 1600mm</t>
  </si>
  <si>
    <t>Thanh chuyển động cửa sổ mở quay 1800mm</t>
  </si>
  <si>
    <t>Thanh chuyển động cửa sổ mở quay 2000mm</t>
  </si>
  <si>
    <t>CQ22D10042</t>
  </si>
  <si>
    <t>CQ22D10062</t>
  </si>
  <si>
    <t>CQ22D10082</t>
  </si>
  <si>
    <t>CQ22D10103</t>
  </si>
  <si>
    <t>CQ22D10123</t>
  </si>
  <si>
    <t>CQ22D10164</t>
  </si>
  <si>
    <t>CQ22D10184</t>
  </si>
  <si>
    <t>CQ22D10204</t>
  </si>
  <si>
    <t>LB12+LB13</t>
  </si>
  <si>
    <t>Chống xệ cánh (sash lifter)</t>
  </si>
  <si>
    <t>CQ22E22300</t>
  </si>
  <si>
    <t>Thanh chốt liền cửa đi 2300mm (rời)</t>
  </si>
  <si>
    <t>Thanh chốt liền cửa sổ 1540mm (rời)</t>
  </si>
  <si>
    <t>Thanh chốt liền cửa sổ 1280mm (rời)</t>
  </si>
  <si>
    <t>Thanh chốt liền cửa sổ 1200mm (rời)</t>
  </si>
  <si>
    <t>Bộ kết nối đầu trên, dưới cửa sổ</t>
  </si>
  <si>
    <t>Khung bao 76</t>
  </si>
  <si>
    <t>45-90-45</t>
  </si>
  <si>
    <t>Cánh cửa đi quay ra ngoài</t>
  </si>
  <si>
    <t>Cánh cửa đi quay vào trong</t>
  </si>
  <si>
    <t>W - 48*2 + 6</t>
  </si>
  <si>
    <t>H - 56 + 8 + 6 + Ngậm/hở nền</t>
  </si>
  <si>
    <t>W - 48*2 + 6 - 6 - 84*2</t>
  </si>
  <si>
    <t>H - 56 + 8 + 6 + Ngậm/hở nền - 6 - 84*2</t>
  </si>
  <si>
    <t>W - 56*2 + 10</t>
  </si>
  <si>
    <t>W + 6 - 65*2</t>
  </si>
  <si>
    <t>H + 3 - 65</t>
  </si>
  <si>
    <t>W - 48*2 + 6 - 100*2</t>
  </si>
  <si>
    <t>H - 56 + 8 + 6 + Ngậm/hở nền - 100*2</t>
  </si>
  <si>
    <t>(W - 48*2 + 6 - 6 - 84*2 - 10)*(H - 56 + 8 + 6 + Ngậm/hở nền - 6 - 84*2 - 10)</t>
  </si>
  <si>
    <t>(W - 102)/2 + 6</t>
  </si>
  <si>
    <t>(W - 102)/2 + 6 - 6 - 84*2</t>
  </si>
  <si>
    <t>H - 56 + 8 + 6 + Ngậm/hở nền - 6 - 35*2</t>
  </si>
  <si>
    <t>(W - 102)/2 + 6 - 100*2</t>
  </si>
  <si>
    <t>DQ4RH-76</t>
  </si>
  <si>
    <t>((W - 102)/2 + 6 - 6 - 84*2 - 10)*(H - 56 + 8 + 6 + Ngậm/hở nền - 6 - 84*2 - 10)</t>
  </si>
  <si>
    <t>(W - 48*2 + 22)/4 + 6</t>
  </si>
  <si>
    <t>(W - 48*2 + 22)/4 + 6 - 6 - 84*2</t>
  </si>
  <si>
    <t>(W - 48*2 + 22)/4 + 6 - 100*2</t>
  </si>
  <si>
    <t>((W - 48*2 + 22)/4 + 6 - 6 - 84*2 - 10)*(H - 56 + 8 + 6 + Ngậm/hở nền - 6 - 84*2 - 10)</t>
  </si>
  <si>
    <t>Thép</t>
  </si>
  <si>
    <t>DX3RH-76</t>
  </si>
  <si>
    <t>INOX60*60*2</t>
  </si>
  <si>
    <t>Inox 60*60*2</t>
  </si>
  <si>
    <t>H - 56 - 60 + 16 + 6</t>
  </si>
  <si>
    <t>H - 56 - 60 + 16 + 6 - 6 - 84*2</t>
  </si>
  <si>
    <t>H - 56 - 60 + 16 + 6 - 6 - 35*2</t>
  </si>
  <si>
    <t>H - 60 + 3</t>
  </si>
  <si>
    <t>H - 60 + 3 - 65</t>
  </si>
  <si>
    <t>H - 56 - 60 + 16 + 6 - 100*2</t>
  </si>
  <si>
    <t>DX4RH-76</t>
  </si>
  <si>
    <t>DX5RH-76</t>
  </si>
  <si>
    <t>H - 86 - 140</t>
  </si>
  <si>
    <t>(W/2 - 7 - 106 - 10)*(H - 86 - 106 - 10)</t>
  </si>
  <si>
    <t>DT2XF-55</t>
  </si>
  <si>
    <t>DT4XF-55</t>
  </si>
  <si>
    <t>ST4RH-54</t>
  </si>
  <si>
    <t>W/4 + 14.5</t>
  </si>
  <si>
    <t>W/4 + 14.5 - 106</t>
  </si>
  <si>
    <t>W/2 + 1.5</t>
  </si>
  <si>
    <t>W/2 + 1.5 - 140</t>
  </si>
  <si>
    <t>W/4 + 23 - 140</t>
  </si>
  <si>
    <t>(W/4 + 14.5 - 106 - 10)*(H - 86 - 106 - 10)</t>
  </si>
  <si>
    <t>(W/2 + 1.5 - 140 - 10)*(H - 86 - 140 - 10)</t>
  </si>
  <si>
    <t>(W/4 + 23 - 140 - 10)*(H - 86 - 140 - 10)</t>
  </si>
  <si>
    <t>W - 52</t>
  </si>
  <si>
    <t>W/4 + 8</t>
  </si>
  <si>
    <t>(W/2 - 9 - 51*2)*(H - 78 - 51*2)</t>
  </si>
  <si>
    <t>(W/4 + 8 - 51*2)*(H - 78 - 51*2)</t>
  </si>
  <si>
    <t>W - 18*2</t>
  </si>
  <si>
    <t>W - 36*2</t>
  </si>
  <si>
    <t>W/2 - 76</t>
  </si>
  <si>
    <t>H - h1 - 31</t>
  </si>
  <si>
    <t>h1 - 25 - 26</t>
  </si>
  <si>
    <t>(W - 41*2)*(h1 - 61)</t>
  </si>
  <si>
    <t>(W/2 - 76 - 10)*(H - h1 - 31 - 92)</t>
  </si>
  <si>
    <t>DT4XF-93-FIX</t>
  </si>
  <si>
    <t>W/4 - 69</t>
  </si>
  <si>
    <t>W/4 - 39.75</t>
  </si>
  <si>
    <t>W/2 - 43</t>
  </si>
  <si>
    <t>(W/2 - 43 - 10)*(h1 - 25 - 26 - 10)</t>
  </si>
  <si>
    <t>(W/4 - 39.75 - 10)*(h1 - 25 - 26 - 10)</t>
  </si>
  <si>
    <t>(W/4 - 69 - 10)*(H - h1 - 31 - 92)</t>
  </si>
  <si>
    <t>(W + (H - h1)*Số cánh)*2 + (H - h1)*Số cánh</t>
  </si>
  <si>
    <t>Cylinder / Lõi khóa 2 đầu chìa</t>
  </si>
  <si>
    <t>Độ dài(mm)/ Diện tích(m2)</t>
  </si>
  <si>
    <t>Roundup((((W+H)*2 + (W/Số cánh + H)*2*Số cánh)/500)*120%,0)</t>
  </si>
  <si>
    <t>W + 6 - 45*2</t>
  </si>
  <si>
    <t>H + 6 - 45*2</t>
  </si>
  <si>
    <t>(W - 64 - 20*(Số cánh - 1))/Số cánh + 6 - 70*2</t>
  </si>
  <si>
    <t>H - 58 - 70*2</t>
  </si>
  <si>
    <t>W/2 - 29 - 70*2</t>
  </si>
  <si>
    <t>(W - 90)/3 + 6 - 70*2</t>
  </si>
  <si>
    <t>(W - 110)/4 + 6 - 70*2</t>
  </si>
  <si>
    <t>Bản lề chữ A 22mm, 200mm 8" (Inox 304)</t>
  </si>
  <si>
    <t>Bản lề chữ A 22mm, 250mm 10" (Inox 304)</t>
  </si>
  <si>
    <t>Bản lề chữ A 22mm, 300mm 12" (Inox 304)</t>
  </si>
  <si>
    <t>Bản lề chữ A 22mm, 350mm 14" (Inox 304)</t>
  </si>
  <si>
    <t>Bản lề chữ A 22mm, 400mm 16" (Inox 304)</t>
  </si>
  <si>
    <t>J4S222508</t>
  </si>
  <si>
    <t>J4S222510</t>
  </si>
  <si>
    <t>J4S222512</t>
  </si>
  <si>
    <t>J4S222514</t>
  </si>
  <si>
    <t>J4S222516</t>
  </si>
  <si>
    <t>IF(AND(W-150&gt;=600,W-150&lt;800),1,0)</t>
  </si>
  <si>
    <t>IF(AND(W-150&gt;=800,W-150&lt;1000),1,0)</t>
  </si>
  <si>
    <t>IF(AND(W-150&gt;=1000,W-150&lt;1200),1,0)</t>
  </si>
  <si>
    <t>IF(AND(W-150&gt;=1200,W-150&lt;1400),1,0)</t>
  </si>
  <si>
    <t>IF(AND(W-150&gt;=1400,W-150&lt;1600),1,0)</t>
  </si>
  <si>
    <t>IF(AND(W-150&gt;=1600,W-150&lt;1800),1,0)</t>
  </si>
  <si>
    <t>IF(W-150&lt;600,1,0)</t>
  </si>
  <si>
    <t>IF(AND(W-150&gt;=1800,W-150&lt;2000),1,0)</t>
  </si>
  <si>
    <t>IF(W-150&gt;=2000,1,0)</t>
  </si>
  <si>
    <t>IF(H-150&lt;600,1,0)</t>
  </si>
  <si>
    <t>IF(AND(H-150&gt;=600,H-150&lt;800),1,0)</t>
  </si>
  <si>
    <t>IF(AND(H-150&gt;=800,H-150&lt;1000),1,0)</t>
  </si>
  <si>
    <t>IF(AND(H-150&gt;=1000,H-150&lt;1200),1,0)</t>
  </si>
  <si>
    <t>IF(AND(H-150&gt;=1200,H-150&lt;1400),1,0)</t>
  </si>
  <si>
    <t>IF(AND(H-150&gt;=1400,H-150&lt;1600),1,0)</t>
  </si>
  <si>
    <t>IF(AND(H-150&gt;=1600,H-150&lt;1800),1,0)</t>
  </si>
  <si>
    <t>IF(AND(H-150&gt;=1800,H-150&lt;2000),1,0)</t>
  </si>
  <si>
    <t>IF(H-150&gt;=2000,1,0)</t>
  </si>
  <si>
    <t>R</t>
  </si>
  <si>
    <t>MDCXS0609</t>
  </si>
  <si>
    <t>MDXXS0609</t>
  </si>
  <si>
    <t>Door Shootbolt</t>
  </si>
  <si>
    <t>IF(H-150 &lt; 800,2,0)</t>
  </si>
  <si>
    <t>IF(AND(H-150 &gt;= 800,H-150 &lt; 1000),2,0)</t>
  </si>
  <si>
    <t>IF(AND(H-150 &gt;= 1000,H-150 &lt; 1200),2,0)</t>
  </si>
  <si>
    <t>IF(AND(H-150 &gt;= 1200,H-150 &lt; 1400),2,0)</t>
  </si>
  <si>
    <t>IF(AND(H-150 &gt;= 1400,H-150 &lt; 1600),2,0)</t>
  </si>
  <si>
    <t>IF(AND(H-150 &gt;= 1600,H-150 &lt; 1800),2,0)</t>
  </si>
  <si>
    <t>IF(AND(H-150 &gt;= 1800,H-150 &lt; 2100),2,0)</t>
  </si>
  <si>
    <t>IF(H-150 &gt;=2100,2,0)</t>
  </si>
  <si>
    <t>IF(H-150&gt;=2100,4,IF(AND(H-150&gt;=1200, H-150&lt;2100),3,2))*2</t>
  </si>
  <si>
    <t>IF(H-100&lt;1200,1,0)</t>
  </si>
  <si>
    <t>IF(AND(H-100&gt;=1200,H-100&lt;1280),1,0)</t>
  </si>
  <si>
    <t>IF(AND(H-100&gt;=1280,H-100&lt;1540),1,0)</t>
  </si>
  <si>
    <t>IF(AND(H-100&gt;=1540,H-100&lt;2300),1,0)</t>
  </si>
  <si>
    <t>IF(H-100&gt;=2300,1,0)</t>
  </si>
  <si>
    <t>IF(AND(H-150&gt;=600,H-150&lt;800),2,0)</t>
  </si>
  <si>
    <t>IF(AND(H-150&gt;=800,H-150&lt;1000),2,0)</t>
  </si>
  <si>
    <t>IF(AND(H-150&gt;=1000,H-150&lt;1200),2,0)</t>
  </si>
  <si>
    <t>IF(AND(H-150&gt;=1200,H-150&lt;1400),2,0)</t>
  </si>
  <si>
    <t>IF(AND(H-150&gt;=1400,H-150&lt;1600),2,0)</t>
  </si>
  <si>
    <t>IF(AND(H-150&gt;=1600,H-150&lt;1800),2,0)</t>
  </si>
  <si>
    <t>IF(H-150&gt;=1800,2,0)</t>
  </si>
  <si>
    <t>IF(H-150&lt;600,2,0)</t>
  </si>
  <si>
    <t>IF(AND(H-150&gt;=1800,H-150&lt;2000),2,0)</t>
  </si>
  <si>
    <t>IF(H-100&lt;1200,2,0)</t>
  </si>
  <si>
    <t>IF(AND(H-100&gt;=1200,H-100&lt;1280),2,0)</t>
  </si>
  <si>
    <t>IF(AND(H-100&gt;=1280,H-100&lt;1540),2,0)</t>
  </si>
  <si>
    <t>IF(AND(H-100&gt;=1540,H-100&lt;2300),2,0)</t>
  </si>
  <si>
    <t>IF(H-100&gt;=2300,2,0)</t>
  </si>
  <si>
    <t>H - 58 - 30*2 - 6</t>
  </si>
  <si>
    <t>H - 58 - 35*2 - 6</t>
  </si>
  <si>
    <t>H + 6 - 45</t>
  </si>
  <si>
    <t>W/2 - 14 - 60*2</t>
  </si>
  <si>
    <t>H - 98 - 60*2</t>
  </si>
  <si>
    <t>W/3 - 9 - 60*2</t>
  </si>
  <si>
    <t>W/3 + 57 - 60*2</t>
  </si>
  <si>
    <t>W/4 + 10 - 60*2</t>
  </si>
  <si>
    <t>H + 6 - 65*2</t>
  </si>
  <si>
    <t>W/4 + 23 - 90*2</t>
  </si>
  <si>
    <t>H - 98 - 90*2</t>
  </si>
  <si>
    <t>W/3 - 90*2</t>
  </si>
  <si>
    <t>W/3 + 92 - 90*2</t>
  </si>
  <si>
    <t>W/2 - 2 - 90*2</t>
  </si>
  <si>
    <t>W/2 - 29 - 100*2</t>
  </si>
  <si>
    <t>H + 6 + Ngậm/hở nền - 32 - 100*2</t>
  </si>
  <si>
    <t>H + 3 - 45</t>
  </si>
  <si>
    <t>W/2 - 39 - 100*2</t>
  </si>
  <si>
    <t>H + 6 + Ngậm/hở nền - 42 - 100*2</t>
  </si>
  <si>
    <t>W - 58 - 100*2</t>
  </si>
  <si>
    <t>W - 78 - 100*2</t>
  </si>
  <si>
    <t>W - 45*2</t>
  </si>
  <si>
    <t>H - 45*2</t>
  </si>
  <si>
    <t>W/2 + 1.5 - 90*2</t>
  </si>
  <si>
    <t>H - 86 - 90*2</t>
  </si>
  <si>
    <t>(W - 64 - 26*(Số cánh - 1))/Số cánh + 6 - 70*2</t>
  </si>
  <si>
    <t>(W - 96)/3 + 6 - 70*2</t>
  </si>
  <si>
    <t>(W - 122)/4 + 6 - 70*2</t>
  </si>
  <si>
    <t>W/2 - 7 - 60*2</t>
  </si>
  <si>
    <t>H - 86 - 60*2</t>
  </si>
  <si>
    <t>W/4 + 14.5 - 60*2</t>
  </si>
  <si>
    <t>Roundup(H/200 *Số cánh* 120%,0)</t>
  </si>
  <si>
    <t>ST3RH-54</t>
  </si>
  <si>
    <t>IF(H-150 &lt; 600,3,0)</t>
  </si>
  <si>
    <t>IF(AND(H-150 &gt;= 600,H-150 &lt; 800),3,0)</t>
  </si>
  <si>
    <t>IF(AND(H-150 &gt;= 800,H-150 &lt; 1000),3,0)</t>
  </si>
  <si>
    <t>IF(AND(H-150 &gt;= 1000,H-150 &lt; 1200),3,0)</t>
  </si>
  <si>
    <t>IF(AND(H-150 &gt;= 1200,H-150 &lt; 1400),3,0)</t>
  </si>
  <si>
    <t>IF(AND(H-150 &gt;= 1400,H-150 &lt; 1600),3,0)</t>
  </si>
  <si>
    <t>IF(AND(H-150 &gt;= 1600,H-150 &lt; 1800),3,0)</t>
  </si>
  <si>
    <t>IF(H-150 &gt;=1800,3,0)</t>
  </si>
  <si>
    <t>IF(H-150&gt;=1800,4,IF(AND(H-150&gt;=1000, H-150&lt;1800),3,2))*3</t>
  </si>
  <si>
    <t>IF(H-150 &lt; 1600,3,0)</t>
  </si>
  <si>
    <t>IF(H-150 &gt;= 1800,3,0)</t>
  </si>
  <si>
    <t>IF(H-150&gt;=1600,4,2)*2</t>
  </si>
  <si>
    <t>IF(H-150 &lt; 600,2,0)</t>
  </si>
  <si>
    <t>IF(AND(H-150 &gt;= 600,H-150 &lt; 800),2,0)</t>
  </si>
  <si>
    <t>IF(H-150 &gt;=1800,2,0)</t>
  </si>
  <si>
    <t>IF(H-150&gt;=1800,4,IF(AND(H-150&gt;=1000, H-150&lt;1800),3,2))*2</t>
  </si>
  <si>
    <t>IF(H-150 &lt; 1600,2,0)</t>
  </si>
  <si>
    <t>IF(H-150 &gt;= 1800,2,0)</t>
  </si>
  <si>
    <t>IF(H-500&gt;=1600,4,2)*2</t>
  </si>
  <si>
    <t>IF(H-100&lt;=2040,3,0)</t>
  </si>
  <si>
    <t>IF(H-100&gt;2040,3,0)</t>
  </si>
  <si>
    <t>IF(H-150&lt;2100,1,0)</t>
  </si>
  <si>
    <t>IF(H-150&gt;=2400,1,0)</t>
  </si>
  <si>
    <t>IF(H-150&gt;=2100,1,0)</t>
  </si>
  <si>
    <t>IF(H-100&lt;=2040,1,0)</t>
  </si>
  <si>
    <t>IF(H-100&gt;2040,1,0)</t>
  </si>
  <si>
    <t>IF(H-45&lt;800,2,0)</t>
  </si>
  <si>
    <t>IF(H-45&gt;=1200,2,0)</t>
  </si>
  <si>
    <t>IF(H-150 &lt; 800,3,0)</t>
  </si>
  <si>
    <t>IF(AND(H-150 &gt;= 1800,H-150 &lt; 2100),3,0)</t>
  </si>
  <si>
    <t>IF(H-150 &gt;=2100,3,0)</t>
  </si>
  <si>
    <t>IF(H-150&gt;=2100,4,IF(AND(H-150&gt;=1200, H-150&lt;2100),3,2))*3</t>
  </si>
  <si>
    <t>IF(H-150 &gt; 1800,2,0)</t>
  </si>
  <si>
    <t>IF(H-150 &lt;= 1800,2,0)</t>
  </si>
  <si>
    <t>IF(H-150 &gt; 1800,4,3)*2</t>
  </si>
  <si>
    <t>IF(H-150 &lt;= 1800,3,0)</t>
  </si>
  <si>
    <t>IF(H-150 &gt; 1800,3,0)</t>
  </si>
  <si>
    <t>IF(H-150 &gt; 1800,4,3)*3</t>
  </si>
  <si>
    <t>IF(AND(H-150 &gt;600,H-150 &lt;= 800 ),1,0)</t>
  </si>
  <si>
    <t>IF(H-150 &lt;= 600,2,0)</t>
  </si>
  <si>
    <t>IF(AND(H-150 &gt; 600,H-150 &lt;= 800 ),2,0)</t>
  </si>
  <si>
    <t>IF(AND(H-150 &gt; 800,H-150 &lt;= 1000 ),2,0)</t>
  </si>
  <si>
    <t>IF(AND(H-150 &gt; 1000,H-150 &lt;= 1200 ),2,0)</t>
  </si>
  <si>
    <t>IF(H-150 &gt; 1200,2,0)</t>
  </si>
  <si>
    <t>IF(H-150 &gt; 1200,3,2)*2</t>
  </si>
  <si>
    <t>IF(H-150 &lt;= 600,3,0)</t>
  </si>
  <si>
    <t>IF(AND(H-150 &gt; 600,H-150 &lt;= 800 ),3,0)</t>
  </si>
  <si>
    <t>IF(AND(H-150 &gt; 800,H-150 &lt;= 1000 ),3,0)</t>
  </si>
  <si>
    <t>IF(AND(H-150 &gt; 1000,H-150 &lt;= 1200 ),3,0)</t>
  </si>
  <si>
    <t>IF(H-150 &gt; 1200,3,0)</t>
  </si>
  <si>
    <t>IF(H-150 &gt; 1200,3,2)*3</t>
  </si>
  <si>
    <t>3D-80</t>
  </si>
  <si>
    <t>IF(AND(H-150 &gt;600,H-150 &lt;= 800 ),2,0)</t>
  </si>
  <si>
    <t>IF(H-45&gt;=1200,3,0)</t>
  </si>
  <si>
    <t>IF(H-104-1300&lt;1600,4,2)</t>
  </si>
  <si>
    <t>IF(AND(H-104-1300&lt;1800,H-104-1300&gt;=1600),2,0)</t>
  </si>
  <si>
    <t>IF(H-104-1300&gt;=1800,2,0)</t>
  </si>
  <si>
    <t>IF(H-104-1300&lt;1600,2,1)</t>
  </si>
  <si>
    <t>IF(AND(H-104-1300&lt;1800,H-104-1300&gt;=1600),1,0)</t>
  </si>
  <si>
    <t>IF(H-104-1300&gt;=1800,1,0)</t>
  </si>
  <si>
    <t>Ngưỡng nhôm cửa đi (cao 18mm)</t>
  </si>
  <si>
    <t>Nối cánh cửa trượt</t>
  </si>
  <si>
    <t>Ray trượt nhôm (REHAU)</t>
  </si>
  <si>
    <t>Đệm giảm chấn (cao su chống rung)</t>
  </si>
  <si>
    <t>Đệm chống nhấc cánh 35.8mm</t>
  </si>
  <si>
    <t>391689   Thân khóa lẫy gà MVD/H600/BS35</t>
  </si>
  <si>
    <t>Thân khóa đơn điểm lẫy gà</t>
  </si>
  <si>
    <t>Tay nắm đôi cửa đi khóa lẫy gà MVD, trắng</t>
  </si>
  <si>
    <t>Nòng khóa 41*41, 2 đầu chìa</t>
  </si>
  <si>
    <t>Nòng khóa 41.5*41.5, có núm</t>
  </si>
  <si>
    <t>Bản lề 3D 80kg, trắng</t>
  </si>
  <si>
    <t>Bản lề 3D 120kg, trắng</t>
  </si>
  <si>
    <t>Mồm khóa MVD, Aluplast,Dimex,Rehau S921, trái</t>
  </si>
  <si>
    <t>Mồm khóa MVD, Aluplast,Dimex,Rehau S921, phải</t>
  </si>
  <si>
    <t>391693   Thanh nối khóa lẫy gà MVD/880mm (H600)</t>
  </si>
  <si>
    <t>391694   Thanh nối khóa lẫy gà MVD/1180mm (H600)</t>
  </si>
  <si>
    <t>Vấu cửa đi Rehau S921</t>
  </si>
  <si>
    <t>476518   Chốt liền có mồm khóa MVD, 1735-2135</t>
  </si>
  <si>
    <t>612978   Thanh nối dài chốt liền, loại 330mm</t>
  </si>
  <si>
    <t>Thanh nối chốt liền-CĐ thuận 14mm</t>
  </si>
  <si>
    <t>Vấu cài chốt Alu, Dimex, Rehau S921</t>
  </si>
  <si>
    <t>Vấu cài cửa đi hai cánh dùng chốt liền rãnh U</t>
  </si>
  <si>
    <t>312811   Bản lề xếp trượt lắp khung, trắng (03 cái/bộ),16mm</t>
  </si>
  <si>
    <t>383354   Bản lề xếp trượt lắp cánh, trắng (03 cái/bộ), 30mm</t>
  </si>
  <si>
    <t>312827   Bản lề xếp trượt lắp cánh lớn, trắng (03 cái/bộ), 50mm</t>
  </si>
  <si>
    <t>613243   Tay nắm cửa đi trượt có khóa (trong), trắng</t>
  </si>
  <si>
    <t>613217   Tay nắm cửa đi trượt có khóa (ngoài), trắng</t>
  </si>
  <si>
    <t>Tay nắm cửa trượt, lắp trong, không khóa, màu trắng</t>
  </si>
  <si>
    <t>613199   Tay nắm cửa trượt, lắp ngoài, loại bản dài, màu trắng</t>
  </si>
  <si>
    <t>Tay nắm cửa trượt, lắp ngoài, loại bản ngắn, màu trắng</t>
  </si>
  <si>
    <t>Tay nắm âm cửa trượt, trắng</t>
  </si>
  <si>
    <t>628499   Thanh chốt cửa đi trượt có khóa BS17/1801-2900/4P</t>
  </si>
  <si>
    <t>Thanh chốt cửa đi trượt BS17/1201-1800, không khóa/3E</t>
  </si>
  <si>
    <t>Thanh chốt cửa đi trượt BS17/1801-2900, không khóa/4E</t>
  </si>
  <si>
    <t>Con lăn đơn cửa trượt SR90, 12*15 - 23/R/90kg</t>
  </si>
  <si>
    <t>566520   Con lăn đôi 12, 19-26/120kg/R</t>
  </si>
  <si>
    <t>349514   Nòng khóa 31*31mm cửa đi trượt</t>
  </si>
  <si>
    <t>Giảm chấn cửa đi trượt, trắng</t>
  </si>
  <si>
    <t>Tay nắm cửa sổ ngoài 7*35, màu trắng</t>
  </si>
  <si>
    <t>571279   Thanh chốt cửa sổ mở ngoài, BS20/240-400/2P</t>
  </si>
  <si>
    <t>571281   Thanh chốt cửa sổ mở ngoài, BS20/401-600/2P</t>
  </si>
  <si>
    <t>571283   Thanh chốt cửa sổ mở ngoài, BS20/601-800/2P</t>
  </si>
  <si>
    <t>571285   Thanh chốt cửa sổ mở ngoài, BS20/801-1000/2P</t>
  </si>
  <si>
    <t>Vấu cài cửa sổ mở quay</t>
  </si>
  <si>
    <t>Bản lề chữ A 8"/16*23.5mm/TH40kg</t>
  </si>
  <si>
    <t>Bản lề chữ A 12"/16*23.5mm/SH40kg/TH45kg</t>
  </si>
  <si>
    <t>Bản lề chữ A 16"/16*23.5/SH45kg/TH55kg</t>
  </si>
  <si>
    <t>233419   Thanh chốt liền c/sổ 621-800mm-rãnh U, có vấu</t>
  </si>
  <si>
    <t>233420   Thanh chốt liền c/sổ 801-1200mm-rãnh U, có vấu</t>
  </si>
  <si>
    <t>290912   Thanh chốt liền cửa sổ 1201-1600mm, rãnh U</t>
  </si>
  <si>
    <t>Thanh hạn vị góc mở cửa sổ, 10"/13*18.5mm</t>
  </si>
  <si>
    <t>Tay nắm đơn cửa sổ trượt 7*40mm, trắng</t>
  </si>
  <si>
    <t>Thanh chốt cửa sổ lùa BS7/400-600/2E</t>
  </si>
  <si>
    <t>Thanh chốt cửa sổ lùa BS7/601-800/2E</t>
  </si>
  <si>
    <t>Thanh chốt cửa sổ lùa BS7/801-1000/2E</t>
  </si>
  <si>
    <t>Thanh chốt cửa sổ lùa BS7/1001-1200/3E</t>
  </si>
  <si>
    <t>Thanh chốt cửa sổ lùa BS7/1201-1800/3E</t>
  </si>
  <si>
    <t>000RH</t>
  </si>
  <si>
    <t>Đố T82</t>
  </si>
  <si>
    <t>Thanh nối khung H3</t>
  </si>
  <si>
    <t>Thanh nối khung 10mm</t>
  </si>
  <si>
    <t>THÉP LA 6*50</t>
  </si>
  <si>
    <t>THÉP 45*45 2mm</t>
  </si>
  <si>
    <t>Nối góc vuông</t>
  </si>
  <si>
    <t>SPARLEE - THÉP</t>
  </si>
  <si>
    <t>REHAU - THÉP</t>
  </si>
  <si>
    <t>H + 6 + Ngậm/hở nền - 42 - 66</t>
  </si>
  <si>
    <t>H + 6 + Ngậm/hở nền - 32 - 66</t>
  </si>
  <si>
    <t>Gioăng đáy cánh xếp trượt</t>
  </si>
  <si>
    <t>Gioăng chống bụi 5x6mm</t>
  </si>
  <si>
    <t>22m/kg-24m/kg (cuộn 10kg)</t>
  </si>
  <si>
    <t>19m/kg-22m/kg (cuộn 10kg)</t>
  </si>
  <si>
    <t>20m/cuộn</t>
  </si>
  <si>
    <t>CHCXF</t>
  </si>
  <si>
    <t>NK3: 11gr, NK5: 13gr</t>
  </si>
  <si>
    <t>THÉP Khung bao mở quay 76</t>
  </si>
  <si>
    <t>THÉP Khung bao cửa trượt 2 ray</t>
  </si>
  <si>
    <t>THÉP Cánh cửa đi trượt</t>
  </si>
  <si>
    <t>THÉP Khung bao mở quay 60</t>
  </si>
  <si>
    <t>TỔNG HỢP NVL</t>
  </si>
  <si>
    <t>(W - 39*2 - (Số cánh + 1)*10)/Số cánh</t>
  </si>
  <si>
    <t>(W - 39*2 - (Số cánh + 1)*10)/Số cánh - 53*2</t>
  </si>
  <si>
    <t>H - 110</t>
  </si>
  <si>
    <t>H - 110 - 75*2</t>
  </si>
  <si>
    <t>((W - 39*2 - (Số cánh + 1)*10)/Số cánh - 58*2)*(H - 110 - 58*2)</t>
  </si>
  <si>
    <t>Nắp đậy đố động phải</t>
  </si>
  <si>
    <t>Nắp đậy đố động trái</t>
  </si>
  <si>
    <t>Roundup(H/500 * 120%,0)</t>
  </si>
  <si>
    <t>THÉP Thanh - Khung bao cửa đi mở quay 76T (500213)</t>
  </si>
  <si>
    <t>IF(AND(H-150 &gt;600,H-150 &lt;= 800 ),3,0)</t>
  </si>
  <si>
    <t>IF(AND(W-150 &gt;600,W-150 &lt;= 800 ),1,0)</t>
  </si>
  <si>
    <t>IF(H-150 &lt;= 600,1,0)</t>
  </si>
  <si>
    <t>IF(AND(H-150 &gt;800,H-150 &lt;= 1000 ),1,0)</t>
  </si>
  <si>
    <t>IF(H-150 &gt; 1000,1,0)</t>
  </si>
  <si>
    <t>IF(H-150 &lt;= 1200,1,0)</t>
  </si>
  <si>
    <t>IF(AND(H-150 &gt; 1200,H-150 &lt;=1600 ),1,0)</t>
  </si>
  <si>
    <t>IF(H-150 &gt;1600,1,0)</t>
  </si>
  <si>
    <t>IF(AND(H-150 &gt;800,H-150 &lt;= 1000 ),2,0)</t>
  </si>
  <si>
    <t>IF(H-150 &gt; 1000,2,0)</t>
  </si>
  <si>
    <t>IF(AND(H-150 &gt;800,H-150 &lt;= 1000 ),3,0)</t>
  </si>
  <si>
    <t>IF(H-150 &gt; 1000,3,0)</t>
  </si>
  <si>
    <t>IF(W-150 &lt;= 600,1,0)</t>
  </si>
  <si>
    <t>IF(AND(W-150 &gt;800,W-150 &lt;= 1000 ),1,0)</t>
  </si>
  <si>
    <t>IF(W-150 &gt; 1000,1,0)</t>
  </si>
  <si>
    <t>hở nền ốp đáy</t>
  </si>
  <si>
    <t>hở nền ngưỡng nhôm</t>
  </si>
  <si>
    <t>NOTE</t>
  </si>
  <si>
    <t>XF - XT</t>
  </si>
  <si>
    <t>DX6RH-76-633</t>
  </si>
  <si>
    <t>DX6RH-76-651</t>
  </si>
  <si>
    <t>((W - 132*2 - 174*0 - 154*(Số cánh - 0 - 1) - 154*(0))/Số cánh) + 174</t>
  </si>
  <si>
    <t>((W - 132*2 - 174*0 - 154*(Số cánh - 0 - 1) - 154*(0))/Số cánh) + 174 - 6 - 84*2</t>
  </si>
  <si>
    <t>((W - 132*2 - 174*0 - 154*(Số cánh - 0 - 1) - 154*(0))/Số cánh) + 174 - 100*2</t>
  </si>
  <si>
    <t>(((W - 132*2 - 174*0 - 154*(Số cánh - 0 - 1) - 154*(0))/Số cánh) + 174 - 6 - 84*2 -10)*(H - 56 - 60 + 16 + 6 - 6 - 84*2 - 10)</t>
  </si>
  <si>
    <t>((W - 132*2 - 174*1 - 154*(Số cánh - 1 - 1) - 154*(1-1))/Số cánh) + 174</t>
  </si>
  <si>
    <t>((W - 132*2 - 174*1 - 154*(Số cánh - 1 - 1) - 154*(1-1))/Số cánh) + 174 - 100*2</t>
  </si>
  <si>
    <t>((W - 132*2 - 174*1 - 154*(Số cánh - 1 - 1) - 154*(1-1))/Số cánh) + 174 - 6 - 84*2</t>
  </si>
  <si>
    <t>(((W - 132*2 - 174*1 - 154*(Số cánh - 1 - 1) - 154*(1-1))/Số cánh) + 174 - 6 - 84*2 - 10)*(H - 56 - 60 + 16 + 6 - 6 - 84*2 - 10)</t>
  </si>
  <si>
    <t>(((W - 132*2 - 174*0 - 154*(Số cánh - 0 - 1) - 154*(0))/Số cánh) + 174 - 6 - 84*2 - 10)*(H - 56 - 60 + 16 + 6 - 6 - 84*2 - 10)</t>
  </si>
  <si>
    <t>((W - 132*2 - 174*1 - 154*(Số cánh - 3 - 1) - 154*(3-1))/Số cánh) + 174</t>
  </si>
  <si>
    <t>((W - 132*2 - 174*1 - 154*(Số cánh - 3 - 1) - 154*(3-1))/Số cánh) + 174 - 6 - 84*2</t>
  </si>
  <si>
    <t>((W - 132*2 - 174*1 - 154*(Số cánh - 3 - 1) - 154*(3-1))/Số cánh) + 174 - 100*2</t>
  </si>
  <si>
    <t>(((W - 132*2 - 174*1 - 154*(Số cánh - 3 - 1) - 154*(3-1))/Số cánh) + 174 - 6 - 84*2 - 10)*(H - 56 - 60 + 16 + 6 - 6 - 84*2 - 10)</t>
  </si>
  <si>
    <t>Thanh 3500mm</t>
  </si>
  <si>
    <t>Thanh 4500mm</t>
  </si>
  <si>
    <t>Thanh 5800mm</t>
  </si>
  <si>
    <t>Thanh 6000mm</t>
  </si>
  <si>
    <t>Set (3 cái)</t>
  </si>
  <si>
    <t>IF(W&lt;4500,1,0)</t>
  </si>
  <si>
    <t>IF(AND(W&gt;=4500,W&lt;5800),1,0)</t>
  </si>
  <si>
    <t>IF(W&gt;=5800,1,0)</t>
  </si>
  <si>
    <t>Ray dẫn hướng trên cửa xếp trượt 3500mm</t>
  </si>
  <si>
    <t>Ray dẫn hướng trên cửa xếp trượt 4500mm</t>
  </si>
  <si>
    <t>Ray xếp trượt trên, loại standard, 5800mm</t>
  </si>
  <si>
    <t>Ray cửa xếp trượt dưới, loại standard dài 3500mm</t>
  </si>
  <si>
    <t>Ray cửa xếp trượt dưới, loại standard dài 4500mm</t>
  </si>
  <si>
    <t>Ray xếp trượt dưới, loại standard, 5800mm</t>
  </si>
  <si>
    <t>Nắp nhựa bịt ray nhôm xếp trượt, trắng</t>
  </si>
  <si>
    <t>355465   Bộ đệm và bịt đầu cho ray trên cửa xếp trượt, trắng</t>
  </si>
  <si>
    <t>Bộ đệm và bịt đầu cho ray dưới cửa xếp trượt, trắng</t>
  </si>
  <si>
    <t>Bộ bánh xe (trên) và dẫn hướng trượt cửa xếp trượt (dưới)</t>
  </si>
  <si>
    <t>Bộ càng lắp bánh xe trượt (trên + dưới), trắng</t>
  </si>
  <si>
    <t>312821   Bản lề xếp trượt lắp cánh, trắng (03 cái/bộ), 20mm</t>
  </si>
  <si>
    <t>349597   Lõi bản lề xếp trượt (03 cái/bộ)</t>
  </si>
  <si>
    <t>Đệm cho bản lề lắp khung cửa xếp trượt, trắng (03 cái/bộ)</t>
  </si>
  <si>
    <t>Bộ khóa cánh xếp trượt, trắng</t>
  </si>
  <si>
    <t>LV</t>
  </si>
  <si>
    <t>DQ1LV-60</t>
  </si>
  <si>
    <t>Khung bao cửa quay</t>
  </si>
  <si>
    <t>Cánh cửa đi mở quay ra ngoài</t>
  </si>
  <si>
    <t>Cánh cửa đi mở quay vào trong</t>
  </si>
  <si>
    <t>Nẹp kính 31.9mm (nẹp gài vuông rãnh 14mm)</t>
  </si>
  <si>
    <t>Nẹp kính 21.9mm (nẹp gài vuông rãnh 23mm)</t>
  </si>
  <si>
    <t>W - 32*2</t>
  </si>
  <si>
    <t>W - 32*2 - 40</t>
  </si>
  <si>
    <t>W - 32*2 - 82*2</t>
  </si>
  <si>
    <t>Cửa đi mở quay 1 cánh  - XINGFA 55</t>
  </si>
  <si>
    <t>Cửa đi mở quay 2 cánh  - XINGFA 55</t>
  </si>
  <si>
    <t>Cửa đi mở quay 3 cánh  - XINGFA 55</t>
  </si>
  <si>
    <t>Cửa đi mở quay 4 cánh  - XINGFA 55</t>
  </si>
  <si>
    <t>Cửa đi mở trượt 2 cánh - XINGFA 93</t>
  </si>
  <si>
    <t>Cửa đi mở trượt 2 cánh - XINGFA 93 - Liền fix</t>
  </si>
  <si>
    <t>Cửa đi mở trượt 3 cánh 3 ray - XINGFA 93</t>
  </si>
  <si>
    <t>Cửa đi mở trượt 4 cánh - XINGFA 93</t>
  </si>
  <si>
    <t>Cửa đi mở trượt 4 cánh - XINGFA 93 - Liền fix</t>
  </si>
  <si>
    <t>Cửa đi mở trượt 2 cánh - XINGFA 55</t>
  </si>
  <si>
    <t>Cửa đi mở trượt 4 cánh - XINGFA 55</t>
  </si>
  <si>
    <t>Cửa đi xếp trượt 3 cánh  - XINGFA 63 (3:3:0)</t>
  </si>
  <si>
    <t>Cửa đi xếp trượt 4 cánh  - XINGFA 63 (4:3:1)</t>
  </si>
  <si>
    <t>Cửa đi xếp trượt 5 cánh  - XINGFA 63 (5:5:0)</t>
  </si>
  <si>
    <t>Cửa đi xếp trượt 6 cánh  - XINGFA 63 (6:3:3)</t>
  </si>
  <si>
    <t>Cửa sổ mở quay 1 cánh - XINGFA 55</t>
  </si>
  <si>
    <t>Cửa sổ mở quay 2 cánh - XINGFA 55</t>
  </si>
  <si>
    <t>Cửa sổ mở quay 3 cánh - XINGFA 55</t>
  </si>
  <si>
    <t>Cửa sổ mở quay 4 cánh - XINGFA 55</t>
  </si>
  <si>
    <t>Cửa sổ mở hất 1 cánh - XINGFA 55</t>
  </si>
  <si>
    <t>Cửa sổ mở hất 2 cánh - XINGFA 55</t>
  </si>
  <si>
    <t>Cửa sổ mở trượt 3 cánh 3 ray - XINGFA 93</t>
  </si>
  <si>
    <t>Cửa sổ mở trượt 4 cánh  - XINGFA 93</t>
  </si>
  <si>
    <t>Cửa sổ mở trượt 4 cánh  - XINGFA 55</t>
  </si>
  <si>
    <t>Vách kính cố định - XINGFA 55</t>
  </si>
  <si>
    <t>quay trong</t>
  </si>
  <si>
    <t>quay ngoài</t>
  </si>
  <si>
    <t>Cửa sổ mở trượt 2 cánh - XINGFA 55</t>
  </si>
  <si>
    <t>Cửa sổ mở trượt 2 cánh  - XINGFA 93</t>
  </si>
  <si>
    <t>Cửa đi mở quay 2 cánh  - SPARLEE 70</t>
  </si>
  <si>
    <t>Cửa đi mở quay 1 cánh - SPARLEE 60</t>
  </si>
  <si>
    <t>Cửa đi mở quay 1 cánh - SPARLEE 70</t>
  </si>
  <si>
    <t>Cửa đi mở quay 2 cánh - SPARLEE 60</t>
  </si>
  <si>
    <t>Cửa đi mở quay 4 cánh - SPARLEE 70</t>
  </si>
  <si>
    <t>Cửa đi mở quay 4 cánh - SPARLEE 60</t>
  </si>
  <si>
    <t>Cửa đi mở trượt 2 cánh - SPARLEE 60</t>
  </si>
  <si>
    <t>Cửa đi mở trượt 3 cánh - SPARLEE 60</t>
  </si>
  <si>
    <t>Cửa đi mở trượt 4 cánh - SPARLEE 70</t>
  </si>
  <si>
    <t>Cửa sổ mở quay 1 cánh - SPARLEE 60</t>
  </si>
  <si>
    <t>Cửa sổ mở quay 2 cánh - SPARLEE 60</t>
  </si>
  <si>
    <t>Cửa sổ mở quay 3 cánh - SPARLEE 60</t>
  </si>
  <si>
    <t>Cửa sổ mở quay 4 cánh - SPARLEE 60</t>
  </si>
  <si>
    <t>Cửa sổ mở trượt 2 cánh - SPARLEE 60</t>
  </si>
  <si>
    <t>Cửa sổ mở trượt 3 cánh - SPARLEE 60</t>
  </si>
  <si>
    <t>Cửa sổ mở trượt 4 cánh - SPARLEE 60</t>
  </si>
  <si>
    <t>Vách kính cố định - SPARLEE 60</t>
  </si>
  <si>
    <t>Vách kính cố định - SPARLEE 70</t>
  </si>
  <si>
    <t>Cửa đi mở quay 1 cánh - REHAU 76</t>
  </si>
  <si>
    <t>Cửa đi mở quay 2 cánh - REHAU 76</t>
  </si>
  <si>
    <t>Cửa đi mở trượt 2 cánh - REHAU 54</t>
  </si>
  <si>
    <t>Cửa đi mở trượt 3 cánh - REHAU 54</t>
  </si>
  <si>
    <t>Cửa đi mở trượt 4 cánh - REHAU 54</t>
  </si>
  <si>
    <t>Cửa đi xếp trượt 3 cánh - REHAU 76 (3:3:0)</t>
  </si>
  <si>
    <t>Cửa đi xếp trượt 4 cánh - REHAU 76 (4:3:1)</t>
  </si>
  <si>
    <t>Cửa đi xếp trượt 5 cánh - REHAU 76 (5:5:0)</t>
  </si>
  <si>
    <t>Cửa đi xếp trượt 6 cánh - REHAU 76 (6:3:3)</t>
  </si>
  <si>
    <t>Cửa đi xếp trượt 6 cánh - REHAU 76 (6:5:1)</t>
  </si>
  <si>
    <t>Cửa sổ mở quay 1 cánh - REHAU 60</t>
  </si>
  <si>
    <t>Cửa sổ mở quay 2 cánh - REHAU 60</t>
  </si>
  <si>
    <t>Cửa sổ mở quay 3 cánh - REHAU 60</t>
  </si>
  <si>
    <t>Cửa sổ mở quay 4 cánh - REHAU 60</t>
  </si>
  <si>
    <t>Cửa sổ mở trượt 2 cánh - REHAU 54</t>
  </si>
  <si>
    <t>Cửa sổ mở trượt 3 cánh - REHAU 54</t>
  </si>
  <si>
    <t>Cửa sổ mở trượt 4 cánh - REHAU 60</t>
  </si>
  <si>
    <t>Vách kính cố định - REHAU 60</t>
  </si>
  <si>
    <t>Vách kính cố định - REHAU 76</t>
  </si>
  <si>
    <t>Cửa đi mở quay 4 cánh - REHAU 76</t>
  </si>
  <si>
    <t>Cửa sổ mở hất 1 cánh - REHAU 60</t>
  </si>
  <si>
    <t>Cửa sổ mở hất 1 cánh - SPARLEE 60</t>
  </si>
  <si>
    <t>Cửa đi mở quay 1 cánh - HONDALEX LV60</t>
  </si>
  <si>
    <t>XINGFA - Nối khung</t>
  </si>
  <si>
    <t>XINGFA - Nối góc 90</t>
  </si>
  <si>
    <t>SPARLEE - Nối khung</t>
  </si>
  <si>
    <t>SPARLEE -  Nối góc 90</t>
  </si>
  <si>
    <t>XINGFA - Đố cố định T</t>
  </si>
  <si>
    <t>SPARLEE - Đố cố định T</t>
  </si>
  <si>
    <t>REHAU - Đố cố định T</t>
  </si>
  <si>
    <t>REHAU - Nối khung</t>
  </si>
  <si>
    <t>REHAU - Nối góc 90</t>
  </si>
  <si>
    <t>LV60D08</t>
  </si>
  <si>
    <t>Bản lề khung - cánh</t>
  </si>
  <si>
    <t>LVH008</t>
  </si>
  <si>
    <t>Bộ tay nắm cửa đi mở quay</t>
  </si>
  <si>
    <t>LV60L02</t>
  </si>
  <si>
    <t>Thân khoá đa điểm 35x85</t>
  </si>
  <si>
    <t>LV60C06</t>
  </si>
  <si>
    <t>Ổ khoá 2 đầu chìa 45x45</t>
  </si>
  <si>
    <t>LV60M01</t>
  </si>
  <si>
    <t>LV60N01</t>
  </si>
  <si>
    <t>Thanh truyền động 850mm - 2 điểm</t>
  </si>
  <si>
    <t>LV60P03</t>
  </si>
  <si>
    <t>LV60L08</t>
  </si>
  <si>
    <t>Thân khoá đơn điểm 35x85</t>
  </si>
  <si>
    <t>LV60C05</t>
  </si>
  <si>
    <t>Ổ khoá núm vặn 45x45</t>
  </si>
  <si>
    <t>2 đầu chìa đơn điểm</t>
  </si>
  <si>
    <t>đa điểm</t>
  </si>
  <si>
    <t>đa điểmL</t>
  </si>
  <si>
    <t>đa điểmR</t>
  </si>
  <si>
    <t>đơn điểm</t>
  </si>
  <si>
    <t>có khóa</t>
  </si>
  <si>
    <t>không khóa</t>
  </si>
  <si>
    <t>đơn điểmL</t>
  </si>
  <si>
    <t>đơn điểmR</t>
  </si>
  <si>
    <t>Cửa đi mở quay 1 cánh - HONDALEX 60</t>
  </si>
  <si>
    <t>Gioăng Kính</t>
  </si>
  <si>
    <t>(W + 2*H) + (W/Số cánh + H)*Số cánh*2*2</t>
  </si>
  <si>
    <t>(W - 32*2 - 87*2)*(H - 32 + Ngậm/hở nền - 87*2)</t>
  </si>
  <si>
    <t>Cửa đi mở quay 2 cánh - HONDALEX LV60</t>
  </si>
  <si>
    <t>DQ2LV-60</t>
  </si>
  <si>
    <t>Đố động (cánh đảo chiều)</t>
  </si>
  <si>
    <t>Ốp đáy cánh (gài lông nheo)</t>
  </si>
  <si>
    <t>(W - 32*2 - 6)/2</t>
  </si>
  <si>
    <t>H - 32 + Ngậm/hở nền</t>
  </si>
  <si>
    <t>H - 32 + Ngậm/hở nền - 102*2</t>
  </si>
  <si>
    <t>(W - 32*2 - 6)/2 - 82*2</t>
  </si>
  <si>
    <t>Cửa đi mở quay 2 cánh - HONDALEX 60</t>
  </si>
  <si>
    <t>((W - 32*2 - 6)/2 - 87*2)*(H - 32 + Ngậm/hở nền - 87*2)</t>
  </si>
  <si>
    <t>7*8</t>
  </si>
  <si>
    <t>Lông nheo 7*8</t>
  </si>
  <si>
    <t>LV60E01</t>
  </si>
  <si>
    <t>Nắp chụp đố động trái</t>
  </si>
  <si>
    <t>LV60E02</t>
  </si>
  <si>
    <t>Nắp chụp đố động phải</t>
  </si>
  <si>
    <t>LV60M02</t>
  </si>
  <si>
    <t>Miệng khoá cửa đi 2 cánh</t>
  </si>
  <si>
    <t>LV60P04</t>
  </si>
  <si>
    <t>Vấu hãm cửa đi 2 cánh</t>
  </si>
  <si>
    <t>Chốt cánh phụ 500mm màu xám</t>
  </si>
  <si>
    <t>LVP001</t>
  </si>
  <si>
    <t>Đế chốt cánh phụ</t>
  </si>
  <si>
    <t>H - 32 + Ngậm/hở nền - 35*2</t>
  </si>
  <si>
    <t>(W - 32*2 - 6)/2 - 40</t>
  </si>
  <si>
    <t>Cửa đi mở quay 4 cánh - HONDALEX LV60</t>
  </si>
  <si>
    <t>DQ4LV-60</t>
  </si>
  <si>
    <t>((W - 32*2 - 18)/4) - 30</t>
  </si>
  <si>
    <t>((W - 32*2 - 18)/4) + 30</t>
  </si>
  <si>
    <t>((W - 32*2 - 18)/4) - 30 - 40</t>
  </si>
  <si>
    <t>((W - 32*2 - 18)/4) + 30 - 40</t>
  </si>
  <si>
    <t>((W - 32*2 - 18)/4) - 30 - 82*2</t>
  </si>
  <si>
    <t>((W - 32*2 - 18)/4) + 30 - 82*2</t>
  </si>
  <si>
    <t>Cửa đi mở quay 4 cánh - HONDALEX 60</t>
  </si>
  <si>
    <t>(((W - 32*2 - 18)/4) - 30 - 87*2)*(H - 32 + Ngậm/hở nền - 87*2)</t>
  </si>
  <si>
    <t>(((W - 32*2 - 18)/4) + 30 - 87*2)*(H - 32 + Ngậm/hở nền - 87*2)</t>
  </si>
  <si>
    <t>LV60PX01</t>
  </si>
  <si>
    <t>LV60D10</t>
  </si>
  <si>
    <t>Bản lề cánh - cánh</t>
  </si>
  <si>
    <t>LVSK06</t>
  </si>
  <si>
    <t>Cửa sổ mở quay 1 cánh - HONDALEX LV60</t>
  </si>
  <si>
    <t>SQ1LV-60</t>
  </si>
  <si>
    <t>Khung bao cửa sổ</t>
  </si>
  <si>
    <t>Cánh cửa sổ mở quay</t>
  </si>
  <si>
    <t>H - 32*2</t>
  </si>
  <si>
    <t>H - 32*2 - 86*2</t>
  </si>
  <si>
    <t>W - 32*2 - 66*2</t>
  </si>
  <si>
    <t>Cửa sổ mở quay 1 cánh - HONDALEX 60</t>
  </si>
  <si>
    <t>(W - 32*2 - 71*2)*(H - 32*2 - 71*2)</t>
  </si>
  <si>
    <t>LVH010</t>
  </si>
  <si>
    <t>LV60N04</t>
  </si>
  <si>
    <t>Thanh đa điểm cửa sổ quay 1400mm - 2 điểm</t>
  </si>
  <si>
    <t>LVHA01</t>
  </si>
  <si>
    <t>Bản lề chữ A 22mm, 8 inch</t>
  </si>
  <si>
    <t>LVHA02</t>
  </si>
  <si>
    <t>Bản lề chữ A 22mm, 12 inch</t>
  </si>
  <si>
    <t>LVHA03</t>
  </si>
  <si>
    <t>Bản lề chữ A 22mm, 16 inch</t>
  </si>
  <si>
    <t>LVHA04</t>
  </si>
  <si>
    <t>Bản lề chữ A 22mm, 18 inch</t>
  </si>
  <si>
    <t>LV60P02</t>
  </si>
  <si>
    <t>Vấu hãm cửa sổ (cánh + khung)</t>
  </si>
  <si>
    <t>lõi khoá</t>
  </si>
  <si>
    <t>chữ A10''</t>
  </si>
  <si>
    <t>chữ A12''</t>
  </si>
  <si>
    <t>chữ A14''</t>
  </si>
  <si>
    <t>chữ A16''</t>
  </si>
  <si>
    <t>chữ A08''</t>
  </si>
  <si>
    <t>chữ A18''</t>
  </si>
  <si>
    <t>đôi</t>
  </si>
  <si>
    <t>đơn</t>
  </si>
  <si>
    <t>Số Lượng (Bộ)
(c)</t>
  </si>
  <si>
    <t>(W + H)*2 + (W/Số cánh + H)*Số cánh*2*2</t>
  </si>
  <si>
    <t>Cửa sổ mở quay 2 cánh - HONDALEX 60</t>
  </si>
  <si>
    <t>Vấu hãm cửa sổ (cánh + cánh)</t>
  </si>
  <si>
    <t>LVSK03</t>
  </si>
  <si>
    <t>Chốt cánh phụ 250mm</t>
  </si>
  <si>
    <t>Vấu hãm chốt âm</t>
  </si>
  <si>
    <t>Nắp chụp đố động LV60 trái</t>
  </si>
  <si>
    <t>Nắp chụp đố động LV60 phải</t>
  </si>
  <si>
    <t>Cửa sổ mở quay 2 cánh - HONDALEX LV60</t>
  </si>
  <si>
    <t>SQ2LV-60</t>
  </si>
  <si>
    <t>H - 32*2 - 35*2</t>
  </si>
  <si>
    <t>(W - 32*2 - 6)/2 - 66*2</t>
  </si>
  <si>
    <t>((W - 32*2 - 6)/2 - 71*2)*(H - 32*2 - 71*2)</t>
  </si>
  <si>
    <t>Cửa sổ mở quay 4 cánh - HONDALEX LV60</t>
  </si>
  <si>
    <t>SQ4LV-60</t>
  </si>
  <si>
    <t>Đố cố định T (khung bao 2 gờ)</t>
  </si>
  <si>
    <t>(W-32*2-6-24*2)/4</t>
  </si>
  <si>
    <t>(W-32*2-6-24*2)/4 - 66*2</t>
  </si>
  <si>
    <t>Cửa sổ mở quay 4 cánh - HONDALEX 60</t>
  </si>
  <si>
    <t>((W-32*2-6-24*2)/4 - 71*2)*(H - 32*2 - 71*2)</t>
  </si>
  <si>
    <t>SH1LV-60</t>
  </si>
  <si>
    <t>Cửa sổ mở hất 1 cánh - HONDALEX 60</t>
  </si>
  <si>
    <t>Cửa sổ mở hất 1 cánh - HONDALEX LV60</t>
  </si>
  <si>
    <t>LVHC01</t>
  </si>
  <si>
    <t>Thanh chống gió 200mm, 8 inch</t>
  </si>
  <si>
    <t>Cửa đi mở trượt 2 cánh - HONDALEX LV60</t>
  </si>
  <si>
    <t>DT2LV-60</t>
  </si>
  <si>
    <t>Nẹp che khung bao</t>
  </si>
  <si>
    <t>Ốp móc cánh cửa lùa</t>
  </si>
  <si>
    <t>Khung bao cửa lùa (Đứng/Ngang khung bao 2 ray 1.8mm)</t>
  </si>
  <si>
    <t>Ray nhôm (nẹp đường rày)</t>
  </si>
  <si>
    <t>Cánh cửa lùa (Đứng/Ngang cánh cửa sổ)</t>
  </si>
  <si>
    <t>Nẹp kính 23mm</t>
  </si>
  <si>
    <t>Nẹp kính 14mm</t>
  </si>
  <si>
    <t>H - 120</t>
  </si>
  <si>
    <t>W/2-16</t>
  </si>
  <si>
    <t>H-100</t>
  </si>
  <si>
    <t>W/2-16 - 55*2</t>
  </si>
  <si>
    <t>H-100 - 70*2</t>
  </si>
  <si>
    <t>Cửa đi mở trượt 2 cánh - HONDALEX 60</t>
  </si>
  <si>
    <t>(W/2-16 - 60*2)*(H-100 - 60*2)</t>
  </si>
  <si>
    <t>Cửa đi mở trượt 4 cánh - HONDALEX LV60</t>
  </si>
  <si>
    <t>DT4LV-60</t>
  </si>
  <si>
    <t>ST2LV-60</t>
  </si>
  <si>
    <t>Cửa sổ mở trượt 2 cánh - HONDALEX LV60</t>
  </si>
  <si>
    <t>ST4LV-60</t>
  </si>
  <si>
    <t>Cửa sổ mở trượt 4 cánh - HONDALEX LV60</t>
  </si>
  <si>
    <t>Cửa sổ mở trượt 2 cánh - HONDALEX 60</t>
  </si>
  <si>
    <t>Cửa đi mở trượt 4 cánh - HONDALEX 60</t>
  </si>
  <si>
    <t>Cửa sổ mở trượt 4 cánh - HONDALEX 60</t>
  </si>
  <si>
    <t>Gioăng lọc bụi</t>
  </si>
  <si>
    <t>((W/Số cánh+H)*2*Số cánh) + H*Số cánh</t>
  </si>
  <si>
    <t>LV60R02</t>
  </si>
  <si>
    <t>Con lăn cửa lùa 4 bánh (cửa đi)</t>
  </si>
  <si>
    <t>LV60L14</t>
  </si>
  <si>
    <t>Chốt sập cửa lùa 2 mặt</t>
  </si>
  <si>
    <t>LV60N09</t>
  </si>
  <si>
    <t>Thanh khoá đa điểm cửa lùa</t>
  </si>
  <si>
    <t>LVP003</t>
  </si>
  <si>
    <t>LV60E03</t>
  </si>
  <si>
    <t>Nắp chụp LV60</t>
  </si>
  <si>
    <t>LV0E04</t>
  </si>
  <si>
    <t>Dẫn hướng LV60</t>
  </si>
  <si>
    <t>LV60E05</t>
  </si>
  <si>
    <t>LV60E07</t>
  </si>
  <si>
    <t>Chống đập cánh LV60</t>
  </si>
  <si>
    <t>Chống nâng cánh LV60</t>
  </si>
  <si>
    <t>Chống nâng cánh</t>
  </si>
  <si>
    <t>Ốp trung gian cửa lùa</t>
  </si>
  <si>
    <t>Nẹp móc cánh cửa lùa</t>
  </si>
  <si>
    <t>W/4+8</t>
  </si>
  <si>
    <t>W/4+8 - 55*2</t>
  </si>
  <si>
    <t>(W/4+8 - 60*2)*(H-100 - 60*2)</t>
  </si>
  <si>
    <t>khóa bán nguyệt</t>
  </si>
  <si>
    <t>âm</t>
  </si>
  <si>
    <t>gạt</t>
  </si>
  <si>
    <t>chữ D</t>
  </si>
  <si>
    <t>chữ D có khóa</t>
  </si>
  <si>
    <t>chữ D không khóa</t>
  </si>
  <si>
    <t>chữ D ngắn</t>
  </si>
  <si>
    <t>gạt có khóa</t>
  </si>
  <si>
    <t>cửa sổ quay</t>
  </si>
  <si>
    <t>gạtL</t>
  </si>
  <si>
    <t>gạtR</t>
  </si>
  <si>
    <t>Vân gỗ</t>
  </si>
  <si>
    <t>LV60R01</t>
  </si>
  <si>
    <t>Con lăn đôi cửa lùa (cửa sổ)</t>
  </si>
  <si>
    <t>VK0LV-60</t>
  </si>
  <si>
    <t>Vách kính cố định - HONDALEX LV60</t>
  </si>
  <si>
    <t>Vách kính cố định - HONDALEX 60</t>
  </si>
  <si>
    <t>(W + H)*2/14000</t>
  </si>
  <si>
    <t>Tay nắm cửa đi mở quay</t>
  </si>
  <si>
    <t>Lõi khoá 1 đầu chìa (quay ngoài)</t>
  </si>
  <si>
    <t>Lõi khoá 1 đầu chìa (quay trong)</t>
  </si>
  <si>
    <t>Vấu chốt cửa mở quay hất</t>
  </si>
  <si>
    <t>MSB28/II</t>
  </si>
  <si>
    <t>Thân khóa đơn điểm</t>
  </si>
  <si>
    <t>Hinge/ Bản lề 3D khung - cánh (R)</t>
  </si>
  <si>
    <t>Hinge/ Bản lề 3D khung - cánh (L)</t>
  </si>
  <si>
    <t>4DL</t>
  </si>
  <si>
    <t>4DR</t>
  </si>
  <si>
    <t>LV60N02</t>
  </si>
  <si>
    <t>LV60N03</t>
  </si>
  <si>
    <t>Thanh đa điểm cửa sổ mở quay, hất 600mm - 3 điểm</t>
  </si>
  <si>
    <t>Thanh đa điểm cửa sổ quay 1000mm - 3 điểm</t>
  </si>
  <si>
    <t>IF(H-40&lt;1000,1,0)</t>
  </si>
  <si>
    <t>IF(AND(H-40&gt;=1000,H-40&lt;1400),1,0)</t>
  </si>
  <si>
    <t>IF(H-40&gt;=1400,1,0)</t>
  </si>
  <si>
    <t>LV0XF-55</t>
  </si>
  <si>
    <t>Lá sách - XINGFA 55</t>
  </si>
  <si>
    <t>H - 64</t>
  </si>
  <si>
    <t>rounddown((H - 64 - 50)/50,0)+1</t>
  </si>
  <si>
    <t>W - 10 - 64</t>
  </si>
  <si>
    <t>XINGFA WINDOW</t>
  </si>
  <si>
    <t>DQ1XW-55</t>
  </si>
  <si>
    <t>Cửa đi mở quay 1 cánh  - XINGFA WINDOW 55</t>
  </si>
  <si>
    <t>000XW</t>
  </si>
  <si>
    <t>XINGFA WINDOW - Nối góc 90</t>
  </si>
  <si>
    <t>XINGFA WINDOW - Nối khung</t>
  </si>
  <si>
    <t>NK</t>
  </si>
  <si>
    <t>Roundup((Chu vi (m)/0.7),0)</t>
  </si>
  <si>
    <t>NKLD</t>
  </si>
  <si>
    <t>(W/2 - 76 - 10)*(H - 45 - 92)</t>
  </si>
  <si>
    <t>RH - DT</t>
  </si>
  <si>
    <t>ngưỡng nhôm cửa trượt RH</t>
  </si>
  <si>
    <t>ray trượt nhôm RH</t>
  </si>
  <si>
    <t>Ngưỡng nhôm cửa trượt RH</t>
  </si>
  <si>
    <t>H - 46 - 15 + 6</t>
  </si>
  <si>
    <t>45-90</t>
  </si>
  <si>
    <t>Tuýp</t>
  </si>
  <si>
    <t>H - 46 - 15 + 6 - 6</t>
  </si>
  <si>
    <t>H - 46 - 15 + 6 - 140</t>
  </si>
  <si>
    <t>H - 46 - 15 + 6 - 90*2</t>
  </si>
  <si>
    <t>(W/2 + 1.5 - 140 - 10)*(H - 46 - 15 + 6 - 140 - 10)</t>
  </si>
  <si>
    <t>(W/4 + 23 - 140 - 10)*(H - 46 - 15 + 6 - 140 - 10)</t>
  </si>
  <si>
    <t>IF(H-40&lt;1000,3,0)</t>
  </si>
  <si>
    <t>IF(AND(H-40&gt;=1000,H-40&lt;1400),3,0)</t>
  </si>
  <si>
    <t>IF(H-40&gt;=1400,3,0)</t>
  </si>
  <si>
    <t>(W - 90)*(H - 90)</t>
  </si>
  <si>
    <t>W - 80</t>
  </si>
  <si>
    <t>VTKDBDC-M4.2*50</t>
  </si>
  <si>
    <t>Vít tự khoan đầu bằng đuôi cá M4.2*50</t>
  </si>
  <si>
    <t>DQ2XW-55</t>
  </si>
  <si>
    <t>DQ3XW-55</t>
  </si>
  <si>
    <t>DQ4XW-55</t>
  </si>
  <si>
    <t>DT2XW-93</t>
  </si>
  <si>
    <t>DT2XW-93-FIX</t>
  </si>
  <si>
    <t>DT3XW-93</t>
  </si>
  <si>
    <t>DT4XW-93</t>
  </si>
  <si>
    <t>DT4XW-93-FIX</t>
  </si>
  <si>
    <t>DT2XW-55</t>
  </si>
  <si>
    <t>DT4XW-55</t>
  </si>
  <si>
    <t>DX3XW-63</t>
  </si>
  <si>
    <t>DX4XW-63</t>
  </si>
  <si>
    <t>DX5XW-63</t>
  </si>
  <si>
    <t>DX6XW-63</t>
  </si>
  <si>
    <t>SQ1XW-55</t>
  </si>
  <si>
    <t>SQ2XW-55</t>
  </si>
  <si>
    <t>SQ3XW-55</t>
  </si>
  <si>
    <t>SQ4XW-55</t>
  </si>
  <si>
    <t>SH1XW-55</t>
  </si>
  <si>
    <t>SH2XW-55</t>
  </si>
  <si>
    <t>ST2XW-93</t>
  </si>
  <si>
    <t>ST3XW-93</t>
  </si>
  <si>
    <t>ST4XW-93</t>
  </si>
  <si>
    <t>ST2XW-55</t>
  </si>
  <si>
    <t>ST4XW-55</t>
  </si>
  <si>
    <t>VK0XW-55</t>
  </si>
  <si>
    <t>LV0XW-55</t>
  </si>
  <si>
    <t>Cửa đi mở quay 2 cánh  - XINGFA WINDOW 55</t>
  </si>
  <si>
    <t>Cửa đi mở quay 3 cánh  - XINGFA WINDOW 55</t>
  </si>
  <si>
    <t>Cửa đi mở quay 4 cánh  - XINGFA WINDOW 55</t>
  </si>
  <si>
    <t>Cửa đi mở trượt 2 cánh - XINGFA WINDOW 93</t>
  </si>
  <si>
    <t>Cửa đi mở trượt 2 cánh - XINGFA WINDOW 93 - Liền fix</t>
  </si>
  <si>
    <t>Cửa đi mở trượt 3 cánh 3 ray - XINGFA WINDOW 93</t>
  </si>
  <si>
    <t>Cửa đi mở trượt 4 cánh - XINGFA WINDOW 93</t>
  </si>
  <si>
    <t>Cửa đi mở trượt 4 cánh - XINGFA WINDOW 93 - Liền fix</t>
  </si>
  <si>
    <t>Cửa đi mở trượt 2 cánh - XINGFA WINDOW 55</t>
  </si>
  <si>
    <t>Cửa đi mở trượt 4 cánh - XINGFA WINDOW 55</t>
  </si>
  <si>
    <t>Cửa đi xếp trượt 3 cánh  - XINGFA WINDOW 63 (3:3:0)</t>
  </si>
  <si>
    <t>Cửa đi xếp trượt 4 cánh  - XINGFA WINDOW 63 (4:3:1)</t>
  </si>
  <si>
    <t>Cửa đi xếp trượt 5 cánh  - XINGFA WINDOW 63 (5:5:0)</t>
  </si>
  <si>
    <t>Cửa đi xếp trượt 6 cánh  - XINGFA WINDOW 63 (6:3:3)</t>
  </si>
  <si>
    <t>Cửa sổ mở quay 1 cánh - XINGFA WINDOW 55</t>
  </si>
  <si>
    <t>Cửa sổ mở quay 2 cánh - XINGFA WINDOW 55</t>
  </si>
  <si>
    <t>Cửa sổ mở quay 3 cánh - XINGFA WINDOW 55</t>
  </si>
  <si>
    <t>Cửa sổ mở quay 4 cánh - XINGFA WINDOW 55</t>
  </si>
  <si>
    <t>Cửa sổ mở hất 1 cánh - XINGFA WINDOW 55</t>
  </si>
  <si>
    <t>Cửa sổ mở hất 2 cánh - XINGFA WINDOW 55</t>
  </si>
  <si>
    <t>Cửa sổ mở trượt 2 cánh  - XINGFA WINDOW 93</t>
  </si>
  <si>
    <t>Cửa sổ mở trượt 3 cánh 3 ray - XINGFA WINDOW 93</t>
  </si>
  <si>
    <t>Cửa sổ mở trượt 4 cánh  - XINGFA WINDOW 93</t>
  </si>
  <si>
    <t>Cửa sổ mở trượt 2 cánh - XINGFA WINDOW 55</t>
  </si>
  <si>
    <t>Cửa sổ mở trượt 4 cánh  - XINGFA WINDOW 55</t>
  </si>
  <si>
    <t>Vách kính cố định - XINGFA WINDOW 55</t>
  </si>
  <si>
    <t>Lá sách - XINGFA WINDOW 55</t>
  </si>
  <si>
    <t>Khung bao ngang dưới cửa đi lùa 2001 cao 25mm (D17182A-XFW)</t>
  </si>
  <si>
    <t>Ốp chân cánh (C22900)</t>
  </si>
  <si>
    <t>Đố động cửa đi dùng chung (C22903)</t>
  </si>
  <si>
    <t>XINGFA WINDOW - Đố cố định T</t>
  </si>
  <si>
    <t>Đầu biên 39 (Đầu khóa biên thấp 6mm)</t>
  </si>
  <si>
    <t>Chốt TG kinlong</t>
  </si>
  <si>
    <t>CTG</t>
  </si>
  <si>
    <t>Hinge/ Bản lề 3D cánh - cánh (L)</t>
  </si>
  <si>
    <t>Hinge/ Bản lề 3D cánh - cánh (R)</t>
  </si>
  <si>
    <t>Bánh xe trượt ray dưới</t>
  </si>
  <si>
    <t>Bản lề cửa đi xếp trượt</t>
  </si>
  <si>
    <t>Bản lề cửa đi tay kéo</t>
  </si>
  <si>
    <t>Ổ chia chuyển động</t>
  </si>
  <si>
    <t>Tay nắm cửa xếp trượt</t>
  </si>
  <si>
    <t>Thanh CĐ cửa xếp trượt 1200mm</t>
  </si>
  <si>
    <t>Thanh CĐ cửa xếp trượt 1400mm</t>
  </si>
  <si>
    <t>Thanh chốt cánh phụ 500mm</t>
  </si>
  <si>
    <t>Thanh chốt cánh phụ 220mm</t>
  </si>
  <si>
    <t xml:space="preserve">Đế chốt </t>
  </si>
  <si>
    <t>Lõi khóa 1 đầu núm xoay</t>
  </si>
  <si>
    <t>Miệng khóa cửa đi (dẹp)</t>
  </si>
  <si>
    <t>Bánh xe trượt ray trên</t>
  </si>
  <si>
    <t>IF(H-104-1300&lt;1400,2,1)</t>
  </si>
  <si>
    <t>IF(H-104-1300&gt;=1400,1,0)</t>
  </si>
  <si>
    <t>IF(H-104-1300&lt;1400,2,2)</t>
  </si>
  <si>
    <t>IF(H-104-1300&gt;=1400,2,0)</t>
  </si>
  <si>
    <t>IF(H-104-1300&lt;1400,4,2)</t>
  </si>
  <si>
    <t>Bánh Xe Đơn</t>
  </si>
  <si>
    <t>Bản lề lá lớn kinlong ( K-C ) - TRÁI</t>
  </si>
  <si>
    <t>Bản lề lá lớn kinlong ( C-C ) - TRÁI</t>
  </si>
  <si>
    <t>Bản lề lá lớn kinlong ( K-C ) - PHẢI</t>
  </si>
  <si>
    <t>Bản lề lá lớn kinlong ( C-C ) - PHẢI</t>
  </si>
  <si>
    <t>Tay nắm cửa trượt, lắp trong, lẫy gạt, trắng (không khóa) (613226)</t>
  </si>
  <si>
    <t>Vấu cài cửa lùa, RAD2000, Rehau, Shide, Zhongcai</t>
  </si>
  <si>
    <t>DQ3SL-70</t>
  </si>
  <si>
    <t>Cửa đi mở quay 3 cánh  - SPARLEE 70</t>
  </si>
  <si>
    <t>(W-719)/3 + 106*2 + 6</t>
  </si>
  <si>
    <t>H + 6 + Ngậm/hở nền - 42 - 6 - 60</t>
  </si>
  <si>
    <t>(W-719)/3 + 106*2 + 6 - 46</t>
  </si>
  <si>
    <t>(W-719)/3 + 106*2 + 6 - 86 - 86 - 6</t>
  </si>
  <si>
    <t>H + 6 + Ngậm/hở nền - 42 - 86 - 86 - 6</t>
  </si>
  <si>
    <t>W + 6 - 70*2</t>
  </si>
  <si>
    <t>H + 3 - 70</t>
  </si>
  <si>
    <t>(W-719)/3 + 106*2 + 6 - 100*2</t>
  </si>
  <si>
    <t>((W-719)/3 + 106*2 + 6 - 86 - 86 - 6 - 10)*(H + 6 + Ngậm/hở nền - 42 - 86 - 86 - 6 - 10)</t>
  </si>
  <si>
    <t>IF(H-100&lt;=2040,2,0)</t>
  </si>
  <si>
    <t>IF(H-100&gt;2040,2,0)</t>
  </si>
  <si>
    <t>Cửa đi mở quay 4 cánh  - SPARLEE 70</t>
  </si>
  <si>
    <t>DQ4SL-70</t>
  </si>
  <si>
    <t>(W-910)/4 + 106*2 + 6</t>
  </si>
  <si>
    <t>(W-910)/4 + 106*2 + 6 - 46</t>
  </si>
  <si>
    <t>(W-910)/4 + 106*2 + 6 - 86 - 86 - 6</t>
  </si>
  <si>
    <t>(W-910)/4 + 106*2 + 6 - 100*2</t>
  </si>
  <si>
    <t>((W-910)/4 + 106*2 + 6 - 86 - 86 - 6 - 10)*(H + 6 + Ngậm/hở nền - 42 - 86 - 86 - 6 - 10)</t>
  </si>
  <si>
    <t>Cửa đi mở quay 3 cánh - REHAU 76</t>
  </si>
  <si>
    <t>DQ3RH-76</t>
  </si>
  <si>
    <t>(W - 716)/3 + 104*2 + 6</t>
  </si>
  <si>
    <t>(W - 716)/3 + 104*2 + 6 - 6 - 84*2</t>
  </si>
  <si>
    <t>(W - 716)/3 + 104*2 + 6 - 100*2</t>
  </si>
  <si>
    <t>((W - 716)/3 + 104*2 + 6 - 6 - 84*2 - 10)*(H - 56 + 8 + 6 + Ngậm/hở nền - 6 - 84*2 - 10)</t>
  </si>
  <si>
    <t>Chặn cánh xếp trượt, trắng</t>
  </si>
  <si>
    <t>VTKDBDC-M3.9*20-XCR</t>
  </si>
  <si>
    <t>Vít tự khoan đầu bằng đuôi cá M3.9*20 xi chống rỉ</t>
  </si>
  <si>
    <t>VGRT-M4*30</t>
  </si>
  <si>
    <t>Vít gỗ răng thưa M4*30</t>
  </si>
  <si>
    <t>SB44</t>
  </si>
  <si>
    <t>SBG08</t>
  </si>
  <si>
    <t>Locking Plate/ Miệng sò</t>
  </si>
  <si>
    <t>khóa bán nguyệtL</t>
  </si>
  <si>
    <t>khóa bán nguyệtR</t>
  </si>
  <si>
    <t>Tay nắm cửa trượt, lắp ngoài, loại bản ngắn, màu trắng (774 442)</t>
  </si>
  <si>
    <t>Tay nắm cửa trượt, lắp trong, không khóa, màu trắng (770009)</t>
  </si>
  <si>
    <t>Tỷ lệ tăng giá theo màu uPVC</t>
  </si>
  <si>
    <t>DQ100-55-3H</t>
  </si>
  <si>
    <t>DQ200-55-3H</t>
  </si>
  <si>
    <t>DQ300-55-3H</t>
  </si>
  <si>
    <t>DQ400-55-3H</t>
  </si>
  <si>
    <t>DT200-93-3H</t>
  </si>
  <si>
    <t>DT300-93-3H</t>
  </si>
  <si>
    <t>DT400-93-3H</t>
  </si>
  <si>
    <t>DT200-55-3H</t>
  </si>
  <si>
    <t>DT400-55-3H</t>
  </si>
  <si>
    <t>DX300-63-3H</t>
  </si>
  <si>
    <t>DX400-63-3H</t>
  </si>
  <si>
    <t>DX500-63-3H</t>
  </si>
  <si>
    <t>DX600-63-3H</t>
  </si>
  <si>
    <t>SQ100-55-3H</t>
  </si>
  <si>
    <t>SQ200-55-3H</t>
  </si>
  <si>
    <t>SQ300-55-3H</t>
  </si>
  <si>
    <t>SQ400-55-3H</t>
  </si>
  <si>
    <t>SH100-55-3H</t>
  </si>
  <si>
    <t>SH200-55-3H</t>
  </si>
  <si>
    <t>ST200-93-3H</t>
  </si>
  <si>
    <t>ST300-93-3H</t>
  </si>
  <si>
    <t>ST400-93-3H</t>
  </si>
  <si>
    <t>ST200-55-3H</t>
  </si>
  <si>
    <t>ST400-55-3H</t>
  </si>
  <si>
    <t>DQ100-55-KL</t>
  </si>
  <si>
    <t>DQ200-55-KL</t>
  </si>
  <si>
    <t>DQ300-55-KL</t>
  </si>
  <si>
    <t>DQ400-55-KL</t>
  </si>
  <si>
    <t>DT200-93-KL</t>
  </si>
  <si>
    <t>DX300-63-KL</t>
  </si>
  <si>
    <t>DX400-63-KL</t>
  </si>
  <si>
    <t>DX500-63-KL</t>
  </si>
  <si>
    <t>DX600-63-KL</t>
  </si>
  <si>
    <t>DQ100-70-GQ</t>
  </si>
  <si>
    <t>DQ100-60-GQ</t>
  </si>
  <si>
    <t>DQ200-70-GQ</t>
  </si>
  <si>
    <t>DQ200-60-GQ</t>
  </si>
  <si>
    <t>DQ300-70-GQ</t>
  </si>
  <si>
    <t>DQ400-70-GQ</t>
  </si>
  <si>
    <t>DQ400-60-GQ</t>
  </si>
  <si>
    <t>DT200-60-GQ</t>
  </si>
  <si>
    <t>DT300-60-GQ</t>
  </si>
  <si>
    <t>DT400-60-GQ</t>
  </si>
  <si>
    <t>SQ100-60-GQ</t>
  </si>
  <si>
    <t>SQ200-60-GQ</t>
  </si>
  <si>
    <t>SQ300-60-GQ</t>
  </si>
  <si>
    <t>SQ400-60-GQ</t>
  </si>
  <si>
    <t>SH100-60-GQ</t>
  </si>
  <si>
    <t>ST200-60-GQ</t>
  </si>
  <si>
    <t>ST300-60-GQ</t>
  </si>
  <si>
    <t>ST400-60-GQ</t>
  </si>
  <si>
    <t>DQ100-76-RT</t>
  </si>
  <si>
    <t>DQ200-76-RT</t>
  </si>
  <si>
    <t>DQ300-76-RT</t>
  </si>
  <si>
    <t>DQ400-76-RT</t>
  </si>
  <si>
    <t>DT200-54-RT</t>
  </si>
  <si>
    <t>DT300-54-RT</t>
  </si>
  <si>
    <t>DT400-54-RT</t>
  </si>
  <si>
    <t>DX300-76-RT</t>
  </si>
  <si>
    <t>DX400-76-RT</t>
  </si>
  <si>
    <t>DX500-76-RT</t>
  </si>
  <si>
    <t>SQ100-60-RT</t>
  </si>
  <si>
    <t>SQ200-60-RT</t>
  </si>
  <si>
    <t>SQ300-60-RT</t>
  </si>
  <si>
    <t>SQ400-60-RT</t>
  </si>
  <si>
    <t>SH100-60-RT</t>
  </si>
  <si>
    <t>ST200-54-RT</t>
  </si>
  <si>
    <t>ST300-54-RT</t>
  </si>
  <si>
    <t>ST400-54-RT</t>
  </si>
  <si>
    <t>DQ100-60-AN</t>
  </si>
  <si>
    <t>DQ200-60-AN</t>
  </si>
  <si>
    <t>DQ400-60-AN</t>
  </si>
  <si>
    <t>DT200-60-AN</t>
  </si>
  <si>
    <t>DT400-60-AN</t>
  </si>
  <si>
    <t>SQ100-60-AN</t>
  </si>
  <si>
    <t>SQ200-60-AN</t>
  </si>
  <si>
    <t>SQ400-60-AN</t>
  </si>
  <si>
    <t>SH100-60-AN</t>
  </si>
  <si>
    <t>ST200-60-AN</t>
  </si>
  <si>
    <t>ST400-60-AN</t>
  </si>
  <si>
    <t>DQ400-55-CM</t>
  </si>
  <si>
    <t>DT200-93-CM</t>
  </si>
  <si>
    <t>SQ100-55-CM</t>
  </si>
  <si>
    <t>SQ200-55-CM</t>
  </si>
  <si>
    <t>SH100-55-CM</t>
  </si>
  <si>
    <t>DQ100-55-CM</t>
  </si>
  <si>
    <t>DQ200-55-CM</t>
  </si>
  <si>
    <t>00</t>
  </si>
  <si>
    <t>Ốp đối đầu Cửa trượt 4 cánh</t>
  </si>
  <si>
    <t>Nẹp kính hộp 19mm hệ mở quay</t>
  </si>
  <si>
    <t>FT10.76.2T</t>
  </si>
  <si>
    <t>FS10.76.2T</t>
  </si>
  <si>
    <t>Đố cửa</t>
  </si>
  <si>
    <t>F608-24</t>
  </si>
  <si>
    <t>Pat liên kết F605 &amp; F606</t>
  </si>
  <si>
    <t>F417-46</t>
  </si>
  <si>
    <t>Ke ép góc cánh xếp trượt XF</t>
  </si>
  <si>
    <t>Công chia đố</t>
  </si>
  <si>
    <t>NVL làm đố</t>
  </si>
  <si>
    <t>NHÔM XINGFA (GUANGDONG) NHẬP KHẨU - TEM ĐỎ</t>
  </si>
  <si>
    <t>Thành Tiền (đồng)
(5)=(3)*{(2) hoặc (c)}+(4)</t>
  </si>
  <si>
    <t>ZY15</t>
  </si>
  <si>
    <t>Handle/ Tay nắm cài</t>
  </si>
  <si>
    <t>GM42N</t>
  </si>
  <si>
    <t>Tìm ke để đưa vào PK</t>
  </si>
  <si>
    <t>KE</t>
  </si>
  <si>
    <t>Khung bao đứng xếp trượt hệ 63</t>
  </si>
  <si>
    <t>Cánh xếp trượt hệ 63</t>
  </si>
  <si>
    <t>Cửa đi xếp trượt 3 cánh - XINGFA 63 (3:3:0)</t>
  </si>
  <si>
    <t>Cửa đi xếp trượt 4 cánh - XINGFA 63 (4:3:1)</t>
  </si>
  <si>
    <t>Cửa đi xếp trượt 5 cánh - XINGFA 63 (5:5:0)</t>
  </si>
  <si>
    <t>Cửa đi xếp trượt 6 cánh - XINGFA 63 (6:3:3)</t>
  </si>
  <si>
    <t>xếp trượt</t>
  </si>
  <si>
    <t>Tìm bản lề để đưa sl vào báo giá</t>
  </si>
  <si>
    <t>Bảo hành</t>
  </si>
  <si>
    <t>XINGFA (GUANGDONG) tem đỏ - Bảo hành 5 năm</t>
  </si>
  <si>
    <t>XINGFA WINDOW - Bảo hành 5 năm</t>
  </si>
  <si>
    <t>HONDALEX - Bảo hành 5 năm</t>
  </si>
  <si>
    <t>REHAU - Bảo hành 10 năm</t>
  </si>
  <si>
    <t>SPARLEE - Bảo hành 3 năm</t>
  </si>
  <si>
    <t>3H - Bảo hành 2 năm</t>
  </si>
  <si>
    <t>CMECH - Bảo hành 10 năm</t>
  </si>
  <si>
    <t>Kinlong - Bảo hành 1 năm</t>
  </si>
  <si>
    <t>GQ - Bảo hành 1 năm</t>
  </si>
  <si>
    <t>ROTO - Bảo hành 10 năm</t>
  </si>
  <si>
    <t>ANOD - Bảo hành 1 năm</t>
  </si>
  <si>
    <t>Bảo hành PR</t>
  </si>
  <si>
    <t>Bảo hành PK</t>
  </si>
  <si>
    <t xml:space="preserve">  TRÂN TRỌNG CẢM ƠN VÀ MONG PHỤC VỤ QUÝ KHÁCH !</t>
  </si>
  <si>
    <t>Loại PR</t>
  </si>
  <si>
    <t>nhôm</t>
  </si>
  <si>
    <t>nhựa</t>
  </si>
  <si>
    <r>
      <t xml:space="preserve">  + Bảng giá này </t>
    </r>
    <r>
      <rPr>
        <b/>
        <i/>
        <sz val="10"/>
        <rFont val="Times New Roman"/>
        <family val="1"/>
      </rPr>
      <t>chưa bao gồm 10% VAT</t>
    </r>
    <r>
      <rPr>
        <i/>
        <sz val="10"/>
        <rFont val="Times New Roman"/>
        <family val="1"/>
      </rPr>
      <t>, đã bao gồm chi phí lắp đặt và vận chuyển tại công trình.</t>
    </r>
  </si>
  <si>
    <t>W - 56</t>
  </si>
  <si>
    <t>Door Handle/ Tay nắm cửa đi</t>
  </si>
  <si>
    <t>Tiêu chuẩn</t>
  </si>
  <si>
    <t>Door Lock/ Thân khóa đa điểm</t>
  </si>
  <si>
    <t>MZS20-VN</t>
  </si>
  <si>
    <t>N40-VN</t>
  </si>
  <si>
    <t>MSC28/II-VN</t>
  </si>
  <si>
    <t>LHD63-VN-L</t>
  </si>
  <si>
    <t>LHD63-VN-R</t>
  </si>
  <si>
    <t>Cover Plate/ Miệng khóa 2 cánh</t>
  </si>
  <si>
    <t>Cover Plate/ Miệng khóa 1 cánh</t>
  </si>
  <si>
    <t>Locking Plate/ Vấu hãm cửa 2 cánh</t>
  </si>
  <si>
    <t>LHD93-VN-L</t>
  </si>
  <si>
    <t>LHD93-VN-R</t>
  </si>
  <si>
    <t>DLS10HS-VN</t>
  </si>
  <si>
    <t>Sliding Lock/ Tay nắm chữ D</t>
  </si>
  <si>
    <t>SDS-1A-VN</t>
  </si>
  <si>
    <t>Locking Plate/ Vấu hãm khóa sập</t>
  </si>
  <si>
    <t>Sliding Lock/ Chốt âm</t>
  </si>
  <si>
    <t>ML23-VN</t>
  </si>
  <si>
    <t>TLG01-1200-VN</t>
  </si>
  <si>
    <t>Transmission Rod/ Thanh chuyển động</t>
  </si>
  <si>
    <t>TLG01-800-VN</t>
  </si>
  <si>
    <t>IF(H-45&lt;1200,2,0)</t>
  </si>
  <si>
    <t>U03C-VN</t>
  </si>
  <si>
    <t>Locking Plate/ Vấu hãm</t>
  </si>
  <si>
    <t>DT400-93-KL</t>
  </si>
  <si>
    <t>IF(H-45&lt;1200,3,0)</t>
  </si>
  <si>
    <t>Handle/ Tay nắm cửa sổ - TRÁI</t>
  </si>
  <si>
    <t>Handle/ Tay nắm cửa sổ - PHẢI</t>
  </si>
  <si>
    <t>CZS318-VN-L</t>
  </si>
  <si>
    <t>CZS318-VN-R</t>
  </si>
  <si>
    <t>Locking Plate/ Vấu hãm (thanh truyền)</t>
  </si>
  <si>
    <t>Cửa đi mở trượt 2 cánh - XINGFA WINDOW 93 - LIỀN FIX</t>
  </si>
  <si>
    <t>Cửa đi mở trượt 4 cánh - XINGFA WINDOW 93 - LIỀN FIX</t>
  </si>
  <si>
    <t>FXZ1B-VN</t>
  </si>
  <si>
    <t>FXZ5B-VN</t>
  </si>
  <si>
    <t>FXZ11-VN</t>
  </si>
  <si>
    <t>CDQ20-VN</t>
  </si>
  <si>
    <t>FXZ6-1200-VN</t>
  </si>
  <si>
    <t>FXZ6-1400-VN</t>
  </si>
  <si>
    <t>SK10-VN</t>
  </si>
  <si>
    <t>SCX220A-VN</t>
  </si>
  <si>
    <t>SCX500A-VN</t>
  </si>
  <si>
    <t>KIL3737-VN</t>
  </si>
  <si>
    <t>FXZ12-VN</t>
  </si>
  <si>
    <t>Upper Pivot Hinge/ Bản lề trượt trên</t>
  </si>
  <si>
    <t>Bottom Pivot Hinge/ Bản lề trượt dưới</t>
  </si>
  <si>
    <t>Side Pivor Hinge/ Bản lề xoay</t>
  </si>
  <si>
    <t>T28C-VN</t>
  </si>
  <si>
    <t>DMS20A-VN</t>
  </si>
  <si>
    <t>LKIL3737T-VN</t>
  </si>
  <si>
    <t>ST200-93-KL</t>
  </si>
  <si>
    <t>ST400-93-KL</t>
  </si>
  <si>
    <t>CL50G33K-VN</t>
  </si>
  <si>
    <t>SQ100-55-KL</t>
  </si>
  <si>
    <t xml:space="preserve">Tay nắm đa điểm cửa sổ   </t>
  </si>
  <si>
    <t>CZS318-VN</t>
  </si>
  <si>
    <t>ZCD55-VN</t>
  </si>
  <si>
    <t>HC400A-10-VN</t>
  </si>
  <si>
    <t>HC400A-12-VN</t>
  </si>
  <si>
    <t>HC400A-14-VN</t>
  </si>
  <si>
    <t>HC400A-16-VN</t>
  </si>
  <si>
    <t>SQ200-55-KL</t>
  </si>
  <si>
    <t>SQ300-55-KL</t>
  </si>
  <si>
    <t>SQ400-55-KL</t>
  </si>
  <si>
    <t>SH100-55-KL</t>
  </si>
  <si>
    <t>SH200-55-KL</t>
  </si>
  <si>
    <t>CZS70-VN</t>
  </si>
  <si>
    <t>Tay cài cửa sổ hất</t>
  </si>
  <si>
    <t>SC320-10-VN</t>
  </si>
  <si>
    <t>Thanh chống gió</t>
  </si>
  <si>
    <t>DQ300-60-AN</t>
  </si>
  <si>
    <t>Cửa đi mở quay 3 cánh - HONDALEX 60</t>
  </si>
  <si>
    <t>DQ3LV-60</t>
  </si>
  <si>
    <t>Cửa đi mở quay 3 cánh - HONDALEX LV60</t>
  </si>
  <si>
    <t>((W - 32*2 - 10)/3) - 15</t>
  </si>
  <si>
    <t>((W - 32*2 - 10)/3) + 40</t>
  </si>
  <si>
    <t>((W - 32*2 - 10)/3) - 15 - 40</t>
  </si>
  <si>
    <t>((W - 32*2 - 10)/3) + 40 - 40</t>
  </si>
  <si>
    <t>((W - 32*2 - 10)/3) - 15 - 82*2</t>
  </si>
  <si>
    <t>((W - 32*2 - 10)/3) + 40 - 82*2</t>
  </si>
  <si>
    <t>(((W - 32*2 - 10)/3) - 15 - 87*2)*(H - 32 + Ngậm/hở nền - 87*2)</t>
  </si>
  <si>
    <t>(((W - 32*2 - 10)/3) + 40 - 87*2)*(H - 32 + Ngậm/hở nền - 87*2)</t>
  </si>
  <si>
    <t>SQ3LV-60</t>
  </si>
  <si>
    <t>Cửa sổ mở quay 3 cánh - HONDALEX LV60</t>
  </si>
  <si>
    <t>(W-32*2-6-24)/3</t>
  </si>
  <si>
    <t>(W-32*2-6-24)/3 - 66*2</t>
  </si>
  <si>
    <t>SQ300-60-AN</t>
  </si>
  <si>
    <t>Cửa sổ mở quay 3 cánh - HONDALEX 60</t>
  </si>
  <si>
    <t>IF(H-40&lt;1000,2,0)</t>
  </si>
  <si>
    <t>IF(AND(H-40&gt;=1000,H-40&lt;1400),2,0)</t>
  </si>
  <si>
    <t>IF(H-40&gt;=1400,2,0)</t>
  </si>
  <si>
    <t>IF(H-40&gt;=1400,2,3)</t>
  </si>
  <si>
    <t>Cửa sổ mở quay 5 cánh - HONDALEX 60</t>
  </si>
  <si>
    <t>((W-32*2-6-24)/3 - 71*2)*(H - 32*2 - 71*2)</t>
  </si>
  <si>
    <t>DT300-60-AN</t>
  </si>
  <si>
    <t>Cửa đi mở trượt 3 cánh - HONDALEX 60</t>
  </si>
  <si>
    <t>Cửa sổ mở trượt 3 cánh - HONDALEX 60</t>
  </si>
  <si>
    <t>ST300-60-AN</t>
  </si>
  <si>
    <t>DT3LV-60</t>
  </si>
  <si>
    <t>Cửa đi mở trượt 3 cánh - HONDALEX LV60</t>
  </si>
  <si>
    <t>W/3-7</t>
  </si>
  <si>
    <t>W/3+74</t>
  </si>
  <si>
    <t>W/3-7 - 55*2</t>
  </si>
  <si>
    <t>W/3+74 - 55*2</t>
  </si>
  <si>
    <t>Cửa sổ mở trượt 3 cánh - HONDALEX LV60</t>
  </si>
  <si>
    <t>ST3LV-60</t>
  </si>
  <si>
    <t>(W/3-7 - 60*2)*(H-100 - 60*2)</t>
  </si>
  <si>
    <t>(W/3+74 - 60*2)*(H-100 - 60*2)</t>
  </si>
  <si>
    <t>Cửa sổ mở trượt 2 cánh - XINGFA WINDOW 93</t>
  </si>
  <si>
    <t>Cửa sổ mở trượt 4 cánh - XINGFA WINDOW 93</t>
  </si>
  <si>
    <t>Cửa sổ mở trượt 2 cánh - XINGFA WINDOW 93 - LIỀN FIX</t>
  </si>
  <si>
    <t>Cửa sổ mở trượt 4 cánh - XINGFA WINDOW 93 - LIỀN FIX</t>
  </si>
  <si>
    <t>DT200-55-KL</t>
  </si>
  <si>
    <t>DT400-55-KL</t>
  </si>
  <si>
    <t>BXX2-55-VN</t>
  </si>
  <si>
    <t>Cửa sổ mở trượt 4 cánh - XINGFA WINDOW 55</t>
  </si>
  <si>
    <t>ST200-55-KL</t>
  </si>
  <si>
    <t>ST400-55-KL</t>
  </si>
  <si>
    <t>BXX1-55-VN</t>
  </si>
  <si>
    <t>Bánh xe đơn (xanh)</t>
  </si>
  <si>
    <t>Double Roller/ Bánh xe đôi (xanh)</t>
  </si>
  <si>
    <t>TLS12K-VN</t>
  </si>
  <si>
    <t>Tổng các sheet</t>
  </si>
  <si>
    <t>LẤY DIỄN GIẢI PR, PK &amp; BẢO HÀNH</t>
  </si>
  <si>
    <t>Y06A/II-VN</t>
  </si>
  <si>
    <t>Y05-18A-VN</t>
  </si>
  <si>
    <t>m</t>
  </si>
  <si>
    <t>Diện tích (m2) * (10/800)</t>
  </si>
  <si>
    <t>Vít lắp đặt (+ tắc kê + nắp đậy) M10*100</t>
  </si>
  <si>
    <t>C3328-XW</t>
  </si>
  <si>
    <t>C3303-XW</t>
  </si>
  <si>
    <t>C3332-XW</t>
  </si>
  <si>
    <t>C3329-XW</t>
  </si>
  <si>
    <t>C3295-XW</t>
  </si>
  <si>
    <t>C3236-XW</t>
  </si>
  <si>
    <t>C3286-XW</t>
  </si>
  <si>
    <t>C3323-XW</t>
  </si>
  <si>
    <t>C3328T-XW</t>
  </si>
  <si>
    <t>C3332T-XW</t>
  </si>
  <si>
    <t>C3303T-XW</t>
  </si>
  <si>
    <t>D1541-XW</t>
  </si>
  <si>
    <t>D1942-XW</t>
  </si>
  <si>
    <t>D1543-XW</t>
  </si>
  <si>
    <t>D1544-XW</t>
  </si>
  <si>
    <t>D1545-XW</t>
  </si>
  <si>
    <t>D1546-XW</t>
  </si>
  <si>
    <t>D1547-XW</t>
  </si>
  <si>
    <t>D1548-XW</t>
  </si>
  <si>
    <t>D20532-XW</t>
  </si>
  <si>
    <t>D20526-XW</t>
  </si>
  <si>
    <t>D20527-XW</t>
  </si>
  <si>
    <t>D20529-XW</t>
  </si>
  <si>
    <t>D20528-XW</t>
  </si>
  <si>
    <t>F605-XW</t>
  </si>
  <si>
    <t>F2435-XW</t>
  </si>
  <si>
    <t>F520-XW</t>
  </si>
  <si>
    <t>F521-XW</t>
  </si>
  <si>
    <t>F431-XW</t>
  </si>
  <si>
    <t>C3318-XW</t>
  </si>
  <si>
    <t>C3202-XW</t>
  </si>
  <si>
    <t>C3313-XW</t>
  </si>
  <si>
    <t>C3209-XW</t>
  </si>
  <si>
    <t>E1283-XW</t>
  </si>
  <si>
    <t>E192-XW</t>
  </si>
  <si>
    <t>Trọng lượng thanh</t>
  </si>
  <si>
    <t>Tổng Trọng lượng thanh</t>
  </si>
  <si>
    <t>C3326-XW</t>
  </si>
  <si>
    <t>C3300-XW</t>
  </si>
  <si>
    <t>C3310-XW</t>
  </si>
  <si>
    <t>C3203-XW</t>
  </si>
  <si>
    <t>D2618-XW</t>
  </si>
  <si>
    <t>NLK</t>
  </si>
  <si>
    <t>Nước lau kính</t>
  </si>
  <si>
    <t>3085D/TI</t>
  </si>
  <si>
    <t>30/47TB</t>
  </si>
  <si>
    <t>Chưa có giá</t>
  </si>
  <si>
    <t>Giá bán</t>
  </si>
  <si>
    <t>((W/Số cánh + H)*2*Số cánh*2)/14000 + (W + h1)*2/14000</t>
  </si>
  <si>
    <t>Số sheet tạo thêm không hiện lên sheet TÍNH GIÁ (để trước sheet MẪU KHÔNG XÓA)</t>
  </si>
  <si>
    <t>kg/m</t>
  </si>
  <si>
    <t>T-BR60</t>
  </si>
  <si>
    <t>T-CP90</t>
  </si>
  <si>
    <t>T-HF62</t>
  </si>
  <si>
    <t>T-MK60</t>
  </si>
  <si>
    <t>T-SE76</t>
  </si>
  <si>
    <t>T-SF106</t>
  </si>
  <si>
    <t>T-SF66</t>
  </si>
  <si>
    <t>T-SF78</t>
  </si>
  <si>
    <t>T-SF92</t>
  </si>
  <si>
    <t>VTP</t>
  </si>
  <si>
    <t>VCF347</t>
  </si>
  <si>
    <t>VCC1687</t>
  </si>
  <si>
    <t>VCC1697</t>
  </si>
  <si>
    <t>VCC4137KB</t>
  </si>
  <si>
    <t>VCC4137C</t>
  </si>
  <si>
    <t>Ke vĩnh cửu cánh xếp trượt XF 38*46</t>
  </si>
  <si>
    <t>Hóc Môn</t>
  </si>
  <si>
    <t>Đợt SX</t>
  </si>
  <si>
    <t>NVKD</t>
  </si>
  <si>
    <t>Nguyễn Chí Thanh</t>
  </si>
  <si>
    <t>Nguyễn Thị Phương Như</t>
  </si>
  <si>
    <t>Lê Thị Thủy Tiên</t>
  </si>
  <si>
    <t>Ngày ____/____/______</t>
  </si>
  <si>
    <t>NHÂN VIÊN TÍNH GIÁ
(Ký và ghi rõ họ tên)</t>
  </si>
  <si>
    <t>VCCXTXF38*46</t>
  </si>
  <si>
    <t>Hinge/Bản lề khung cánh hệ 55 (4D) - TRÁI</t>
  </si>
  <si>
    <t>Hinge/Bản lề khung cánh hệ 55 (4D) - PHẢI</t>
  </si>
  <si>
    <t>Hinge/Bản lề cánh nối cánh (4D) - TRÁI</t>
  </si>
  <si>
    <t>Hinge/Bản lề cánh nối cánh (4D) - PHẢI</t>
  </si>
  <si>
    <t>JX602FD-L</t>
  </si>
  <si>
    <t>JX602FD-R</t>
  </si>
  <si>
    <t>JX601FD-L</t>
  </si>
  <si>
    <t>JX601FD-R</t>
  </si>
  <si>
    <t>PANO-XF</t>
  </si>
  <si>
    <t>Gioăng cánh trên xếp trượt</t>
  </si>
  <si>
    <t>Gioăng KÍNH xếp trượt</t>
  </si>
  <si>
    <t>Ke ép góc khung bao LV</t>
  </si>
  <si>
    <t>Ke ép góc khung cánh LV</t>
  </si>
  <si>
    <t>Ke tăng cứng inox LV</t>
  </si>
  <si>
    <t>Ke ép góc KB và cánh XF55 31*41</t>
  </si>
  <si>
    <t>Ke tăng cứng cánh trượt XF55</t>
  </si>
  <si>
    <t>Ke vĩnh cửu KB sổ XF55 14*43 (4 vít) (C3318)</t>
  </si>
  <si>
    <t>Ke vĩnh cửu KB &amp; cánh đi XF55 31*41</t>
  </si>
  <si>
    <t>Ke Vĩnh Cửu cánh trượt XF55 14*25</t>
  </si>
  <si>
    <t>Ke Vĩnh Cửu Khung &amp; Vách XF55 14*51 (4 vít) (C3209)</t>
  </si>
  <si>
    <t>KTCXF63</t>
  </si>
  <si>
    <t>Ke tăng cứng xếp trượt XF63</t>
  </si>
  <si>
    <t>KTCCTXF55</t>
  </si>
  <si>
    <t>T4332-XW</t>
  </si>
  <si>
    <t>PANO có rãnh cửa đi hệ 55 0.7mm - XW (Lamri)</t>
  </si>
  <si>
    <t>CHƯA CÓ GIÁ</t>
  </si>
  <si>
    <t>$P$2</t>
  </si>
  <si>
    <t>TRONG ĐÓ CÔNG CHIA ĐỐ</t>
  </si>
  <si>
    <t>VK0XF-93</t>
  </si>
  <si>
    <t>Vách kính cố định - XINGFA 93</t>
  </si>
  <si>
    <t>W - 26*2</t>
  </si>
  <si>
    <t>Nẹp kính đơn cho vách kính cửa đi, cửa sổ lùa 2001</t>
  </si>
  <si>
    <t>VK0XW-93</t>
  </si>
  <si>
    <t>D1559A-XW</t>
  </si>
  <si>
    <t>C101A-XW</t>
  </si>
  <si>
    <t>Vách kính cố định - XINGFA WINDOW 93</t>
  </si>
  <si>
    <t>H - 26*2</t>
  </si>
  <si>
    <t>(W - 26*2 - 10)*(H - 26*2 - 10)</t>
  </si>
  <si>
    <t>8 * Số cánh * (11/2)</t>
  </si>
  <si>
    <t>((Chu vi (m)/0.35)/2)*(11/2)</t>
  </si>
  <si>
    <t>Hít cánh cánh</t>
  </si>
  <si>
    <t>SL XK (PR làm tròn cây)</t>
  </si>
  <si>
    <t>Tổng giá trị XK (PR làm tròn Cây)</t>
  </si>
  <si>
    <t>PR (Cây thực tế)</t>
  </si>
  <si>
    <t>Tổng giá trị XK (Cây thực tế)</t>
  </si>
  <si>
    <t>chưa có giá</t>
  </si>
  <si>
    <t>Thanh cửa đi mở trượt 1600 có khóa kèm vấu</t>
  </si>
  <si>
    <t>Thanh cửa đi mở trượt 1800 có khóa kèm vấu</t>
  </si>
  <si>
    <t>Thanh cửa đi mở trượt 2100 có khóa kèm vấu</t>
  </si>
  <si>
    <t>CQ22D10143</t>
  </si>
  <si>
    <t>IF(H-150&gt;=1600,4,IF(AND(H-150&gt;=1000,H-150&lt;1600) , 3 ,2))</t>
  </si>
  <si>
    <t>IF(H-150&gt;=1400,4,IF(AND(H-150&gt;=1000,H-150&lt;1600) , 3 ,2))</t>
  </si>
  <si>
    <t>IF(H-150&gt;=1600,4,IF(AND(H-150&gt;=1000,H-150&lt;1600) , 3 ,2))*2</t>
  </si>
  <si>
    <t>IF(W-150&gt;=1600,4,IF(AND(W-150&gt;=1000,W-150&lt;1600) , 3 ,2))</t>
  </si>
  <si>
    <t>Lá chớp XF</t>
  </si>
  <si>
    <t>Khung sách XF</t>
  </si>
  <si>
    <r>
      <t xml:space="preserve">                  CÔNG TY TNHH VẬT LIỆU MỚI GIA NGUYỄN
                         </t>
    </r>
    <r>
      <rPr>
        <sz val="10"/>
        <rFont val="Times New Roman"/>
        <family val="1"/>
      </rPr>
      <t>Địa chỉ: 56/5H Tổ 3, Ấp 5, Xã Xuân Thới Thượng, Huyện Hóc Môn, Tp. HCM
                        Nhà Máy: 23/2 Ấp Xuân Thới Đông 1, Xã Xuân Thới Đông, Huyện Hóc Môn, Tp. HCM
                           MST: 0313949999 - Hotline : 0908 38 4477 - Email: sales@unidoor.vn</t>
    </r>
  </si>
  <si>
    <t>Vấu hãm khóa âm hệ lùa 55</t>
  </si>
  <si>
    <t>NỘI DUNG CHI PHÍ</t>
  </si>
  <si>
    <t>KÝ HIỆU</t>
  </si>
  <si>
    <t>CÁCH TÍNH</t>
  </si>
  <si>
    <t>Tỷ lệ</t>
  </si>
  <si>
    <t>CHI PHÍ TRỰC TIẾP</t>
  </si>
  <si>
    <t>VL</t>
  </si>
  <si>
    <t>Chi phí nhân công</t>
  </si>
  <si>
    <t>NC</t>
  </si>
  <si>
    <t>Chi phí máy móc thi công</t>
  </si>
  <si>
    <t>MM</t>
  </si>
  <si>
    <t>CHI PHÍ GIÁN TIẾP</t>
  </si>
  <si>
    <t>GT</t>
  </si>
  <si>
    <t>Chi phí chung (Vùng miền, biên giới * hệ số 1.05)</t>
  </si>
  <si>
    <t>C</t>
  </si>
  <si>
    <t>Chi phí nhà tạm để ở và điều hành thi công</t>
  </si>
  <si>
    <t>LT</t>
  </si>
  <si>
    <t>Chi phí 1 số công việc không xác định được khối lượng</t>
  </si>
  <si>
    <t>TT</t>
  </si>
  <si>
    <t>TL</t>
  </si>
  <si>
    <t>G</t>
  </si>
  <si>
    <t>GTGT</t>
  </si>
  <si>
    <t>VC</t>
  </si>
  <si>
    <t>TPHCM</t>
  </si>
  <si>
    <t>GIAO HÀNG</t>
  </si>
  <si>
    <t>Giao hàng tại xưởng</t>
  </si>
  <si>
    <t>Giao hàng tại công trình</t>
  </si>
  <si>
    <t>LĐ</t>
  </si>
  <si>
    <t>VS</t>
  </si>
  <si>
    <t>Giao hàng</t>
  </si>
  <si>
    <t>Không kính</t>
  </si>
  <si>
    <t>Trọng lượng nhôm/bộ</t>
  </si>
  <si>
    <t>Tổng trọng lượng nhôm</t>
  </si>
  <si>
    <t>Trọng lượng PROFILE/BỘ</t>
  </si>
  <si>
    <t>Lấy DL cho NVLSX</t>
  </si>
  <si>
    <t>VTSX</t>
  </si>
  <si>
    <t>VTLD</t>
  </si>
  <si>
    <t>TGVHB CÓ TẬN DỤNG</t>
  </si>
  <si>
    <t>Đơn giá Profile (Đồng/Đvt)</t>
  </si>
  <si>
    <t>Đơn giá Kính (Đồng/Đvt)</t>
  </si>
  <si>
    <t>TỔNG GIÁ BÁN</t>
  </si>
  <si>
    <t>Profile</t>
  </si>
  <si>
    <t>Vật tư phụ sản xuất</t>
  </si>
  <si>
    <t>Vật tư phụ lắp đặt</t>
  </si>
  <si>
    <t>Nhân công sản xuất trực tiếp</t>
  </si>
  <si>
    <t>Nhân công lắp đặt &amp; vệ sinh</t>
  </si>
  <si>
    <t>Số lượng</t>
  </si>
  <si>
    <t>Chi phí chia đố (Đồng/Đvt)</t>
  </si>
  <si>
    <t>Đơn giá Vật tư phụ sản xuất (Đồng/Đvt)</t>
  </si>
  <si>
    <t>Đơn giá vật tư phụ lắp đặt (Đồng/Đvt)</t>
  </si>
  <si>
    <t>Chi phí nhân công sản xuất trực tiếp (Đồng/Đvt)</t>
  </si>
  <si>
    <t>Chi phí sản xuất chung (Đồng/Đvt)</t>
  </si>
  <si>
    <t>Chi phí lắp đặt (Đồng/Đvt)</t>
  </si>
  <si>
    <t>Chi phí vệ sinh (Đồng/Đvt)</t>
  </si>
  <si>
    <t>Chi phí uốn vòm (Đồng/Đvt)</t>
  </si>
  <si>
    <t>Đơn giá ke (Đồng/bộ)</t>
  </si>
  <si>
    <t>Luôn tính theo bộ</t>
  </si>
  <si>
    <t>Đơn giá phụ kiện  (Đồng/bộ)</t>
  </si>
  <si>
    <t>Đơn giá bảo hành phụ kiện (Đồng/bộ)</t>
  </si>
  <si>
    <r>
      <t xml:space="preserve">Tổng đơn giá Profile + kính </t>
    </r>
    <r>
      <rPr>
        <b/>
        <sz val="8"/>
        <color rgb="FFFF0000"/>
        <rFont val="Times New Roman"/>
        <family val="1"/>
      </rPr>
      <t>(Đồng/ĐVT)</t>
    </r>
  </si>
  <si>
    <r>
      <t>Tổng đơn giá Phụ kiện</t>
    </r>
    <r>
      <rPr>
        <b/>
        <sz val="8"/>
        <color rgb="FFFF0000"/>
        <rFont val="Times New Roman"/>
        <family val="1"/>
      </rPr>
      <t xml:space="preserve"> (Đồng/Bộ)</t>
    </r>
  </si>
  <si>
    <t>Phí VC</t>
  </si>
  <si>
    <t>Tại Xưởng</t>
  </si>
  <si>
    <t>Công trình</t>
  </si>
  <si>
    <t>Đơn giá vận chuyển (Đồng/Đvt)</t>
  </si>
  <si>
    <r>
      <t xml:space="preserve">Tổng đơn giá Profile + kính </t>
    </r>
    <r>
      <rPr>
        <b/>
        <sz val="8"/>
        <color rgb="FFFF0000"/>
        <rFont val="Times New Roman"/>
        <family val="1"/>
      </rPr>
      <t>(Đồng/Đvt)</t>
    </r>
  </si>
  <si>
    <t>CPNCTT</t>
  </si>
  <si>
    <t>CPLD</t>
  </si>
  <si>
    <t>CD</t>
  </si>
  <si>
    <t>$Z$12</t>
  </si>
  <si>
    <t>CPNVL có Tận dụng</t>
  </si>
  <si>
    <t>Dự Toán</t>
  </si>
  <si>
    <t>Dự toán</t>
  </si>
  <si>
    <t>Kg</t>
  </si>
  <si>
    <t>Lõi thép Sparlee</t>
  </si>
  <si>
    <t>Lõi thép Rehau</t>
  </si>
  <si>
    <t>TSL</t>
  </si>
  <si>
    <t>TRH</t>
  </si>
  <si>
    <t>Vật tư phụ</t>
  </si>
  <si>
    <t>Giá trị</t>
  </si>
  <si>
    <t>Thanh truyền khóa - C459</t>
  </si>
  <si>
    <t>Gioăng/ Silicone kính</t>
  </si>
  <si>
    <t>Đơn giá Gioăng/Silicone kính (Đồng/Đvt)</t>
  </si>
  <si>
    <t>Chi phí vận chuyển BTP ra công trình</t>
  </si>
  <si>
    <t>Chi phí lắp đặt ở Tỉnh &lt;= 100km</t>
  </si>
  <si>
    <t>Chi phí lắp đặt ở Tỉnh &gt;= 100km</t>
  </si>
  <si>
    <t>Thợ chính</t>
  </si>
  <si>
    <t>Thợ phụ</t>
  </si>
  <si>
    <t>Tổng Chi phí uốn vòm</t>
  </si>
  <si>
    <t>Tổng Chi phí chia đố</t>
  </si>
  <si>
    <t>Chi phí vệ sinh thuê ngoài (nếu có)</t>
  </si>
  <si>
    <t>M2</t>
  </si>
  <si>
    <t>Máy cắt 2 đầu, LJZ2A-450x4400</t>
  </si>
  <si>
    <t>Máy khoan bàn Hồng Ký</t>
  </si>
  <si>
    <t>Máy phay đầu đố thay dao nhanh</t>
  </si>
  <si>
    <t>Máy phay ổ khoá</t>
  </si>
  <si>
    <t>Máy nén khí Puma</t>
  </si>
  <si>
    <t>Máy dập thuỷ lực</t>
  </si>
  <si>
    <t>Máy ép góc nhôm lớn</t>
  </si>
  <si>
    <t>Máy dập lỗ nhôm</t>
  </si>
  <si>
    <t>Máy phay rãnh thoát nước cửa nhựa</t>
  </si>
  <si>
    <t>Máy cắt nẹp nhựa</t>
  </si>
  <si>
    <t>Máy làm sạch góc nhựa CNC</t>
  </si>
  <si>
    <t>Máy hàn góc nhựa</t>
  </si>
  <si>
    <t>NHÔM</t>
  </si>
  <si>
    <t>NHỰA</t>
  </si>
  <si>
    <t>Chi phí Vận chuyển (Đồng/Đvt)</t>
  </si>
  <si>
    <t>B</t>
  </si>
  <si>
    <t>A.1</t>
  </si>
  <si>
    <t>A.2</t>
  </si>
  <si>
    <t>A.3</t>
  </si>
  <si>
    <t>Chi phí thuê xưởng</t>
  </si>
  <si>
    <t>Chi phí thuê xưởng - sửa chữa (5 năm - 55tr)</t>
  </si>
  <si>
    <t>Chi phí điện sản xuất</t>
  </si>
  <si>
    <t>Chi phí nhân viên quản lý lắp đặt</t>
  </si>
  <si>
    <t>Chi phí nhân viên quản lý phân xưởng</t>
  </si>
  <si>
    <t>Chi phí bảo trì máy móc thiết bị (3 tháng/lần)</t>
  </si>
  <si>
    <t>A.4</t>
  </si>
  <si>
    <t>A.5</t>
  </si>
  <si>
    <t>MMTB Dùng chung tính cho NHỰA</t>
  </si>
  <si>
    <t>Chi phí sản xuất chung NHÔM</t>
  </si>
  <si>
    <t>Chi phí sản xuất chung NHỰA</t>
  </si>
  <si>
    <t>A.6</t>
  </si>
  <si>
    <t>MMTB dùng chung tính cho NHÔM</t>
  </si>
  <si>
    <t>D1168</t>
  </si>
  <si>
    <t>Chi phí khấu hao máy móc thiết bị dùng cho NHÔM</t>
  </si>
  <si>
    <t>a</t>
  </si>
  <si>
    <t>b</t>
  </si>
  <si>
    <t>Chi phí khấu hao máy móc thiết bị dùng cho NHỰA</t>
  </si>
  <si>
    <t>TỔNG CHI PHÍ TRỰC TIẾP VÀ GIÁN TIẾP</t>
  </si>
  <si>
    <t>Chi phí nguyên vật liệu</t>
  </si>
  <si>
    <t>SXC-ALU</t>
  </si>
  <si>
    <t>PR + C459 + PK + GI + VT + KI + CD + UV</t>
  </si>
  <si>
    <t>TÍNH GIÁ</t>
  </si>
  <si>
    <t>VL + NC + SXC-ALU + SXC-uPVC + VC + MM</t>
  </si>
  <si>
    <t>SXC-uPVC</t>
  </si>
  <si>
    <t>PC</t>
  </si>
  <si>
    <t>VD</t>
  </si>
  <si>
    <t>PC + LT + VD</t>
  </si>
  <si>
    <t>Hệ số</t>
  </si>
  <si>
    <t>TT * tỷ lệ * hệ số</t>
  </si>
  <si>
    <t>TT + GT</t>
  </si>
  <si>
    <t>CL giá bán tổng và chi tiết</t>
  </si>
  <si>
    <t>TP</t>
  </si>
  <si>
    <t>TP + TL</t>
  </si>
  <si>
    <t>PR-TÍNH GIÁ lấy đúng số lượng sử dụng &lt;&gt; PR-Dự toán lấy tròn PR mua PO</t>
  </si>
  <si>
    <t>Giá bán trước thuế</t>
  </si>
  <si>
    <t>Thuế GTGT</t>
  </si>
  <si>
    <t>Giá bán sau thuế</t>
  </si>
  <si>
    <t>GB * 10%</t>
  </si>
  <si>
    <t>GB + GTGT</t>
  </si>
  <si>
    <t>Số NC</t>
  </si>
  <si>
    <t>CPNC</t>
  </si>
  <si>
    <t>DỰ TOÁN CHI PHÍ</t>
  </si>
  <si>
    <t>F4416-XW</t>
  </si>
  <si>
    <t>F5017-XW</t>
  </si>
  <si>
    <t>D23151</t>
  </si>
  <si>
    <t>D23156</t>
  </si>
  <si>
    <t>D23157</t>
  </si>
  <si>
    <t>D23159</t>
  </si>
  <si>
    <t>D23158</t>
  </si>
  <si>
    <t>DG55</t>
  </si>
  <si>
    <t>C920</t>
  </si>
  <si>
    <t>C910</t>
  </si>
  <si>
    <t>Nối khung 90 độ (vuông cạnh)</t>
  </si>
  <si>
    <t>Nối khung 135 độ</t>
  </si>
  <si>
    <t>32/47C</t>
  </si>
  <si>
    <t>Cylinder/ Lõi khóa 1 đầu chìa 1 đầu bít mở ngoài</t>
  </si>
  <si>
    <t>VSN4*70</t>
  </si>
  <si>
    <t>Vít sàn ngói 4*70</t>
  </si>
  <si>
    <t>Nẹp ghép</t>
  </si>
  <si>
    <t>VSN4*50</t>
  </si>
  <si>
    <t>Vít sàn ngói 4*50</t>
  </si>
  <si>
    <t>Cửa đi</t>
  </si>
  <si>
    <t>IFERROR(IF(NG Cửa đi&gt;0,Roundup(2 + NG Cửa đi/600,0),0),0)</t>
  </si>
  <si>
    <t>Roundup(H/400 * (Số cánh - 1),0)</t>
  </si>
  <si>
    <t>Trắng</t>
  </si>
  <si>
    <t>md</t>
  </si>
  <si>
    <t>Nâu</t>
  </si>
  <si>
    <t>Roundup(H/400 * (Số cánh-1),0)</t>
  </si>
  <si>
    <t>NẸP GHÉP DÙNG CHO</t>
  </si>
  <si>
    <t>Cửa sổ/VK</t>
  </si>
  <si>
    <t>IFERROR(IF(NG Cửa sổ/VK&gt;0,Roundup(2 + NG Cửa sổ/VK/600,0),0),0)</t>
  </si>
  <si>
    <t>Chu vi (m)/7 - IFERROR(2 * (NG Cửa sổ/VK/1000)/7,0)- IFERROR(2 * (NG Cửa đi/1000)/7,0)</t>
  </si>
  <si>
    <t>Ngày BG</t>
  </si>
  <si>
    <t>Ngày QT</t>
  </si>
  <si>
    <t>Tổng độ dài (md)
(1)=(a)*(b)</t>
  </si>
  <si>
    <t>chữ DL</t>
  </si>
  <si>
    <t>chữ DR</t>
  </si>
  <si>
    <t>Sliding lock/ Tay nắm chữ D đi trượt có khóa + Sliding / Tay nắm đi trượt không có khóa (CZM06F + CZM06A) - TRÁI</t>
  </si>
  <si>
    <t>Sliding lock/ Tay nắm chữ D đi trượt có khóa + Sliding / Tay nắm đi trượt không có khóa (CZM06F + CZM06A) - PHẢI</t>
  </si>
  <si>
    <t>Sliding Lock/ Tay nắm chữ D - TRÁI</t>
  </si>
  <si>
    <t>Sliding Lock/ Tay nắm chữ D - PHẢI</t>
  </si>
  <si>
    <t>VN</t>
  </si>
  <si>
    <t>VN 700</t>
  </si>
  <si>
    <t>VK0VN-700</t>
  </si>
  <si>
    <t>VN 700 - Bảo hành 1 năm</t>
  </si>
  <si>
    <t>T3243</t>
  </si>
  <si>
    <t>T3242</t>
  </si>
  <si>
    <t>Đế gài 10mm</t>
  </si>
  <si>
    <t>Nẹp gài 10mm</t>
  </si>
  <si>
    <t>Vách kính nẹp gài - VN 700</t>
  </si>
  <si>
    <t>SL kính nối</t>
  </si>
  <si>
    <t>BOM</t>
  </si>
  <si>
    <t>Kính quá khổ</t>
  </si>
  <si>
    <t>KINLONG</t>
  </si>
  <si>
    <t>MSC28/I</t>
  </si>
  <si>
    <t>MSC28/II</t>
  </si>
  <si>
    <t>KIL4730/T</t>
  </si>
  <si>
    <t>KIL3247</t>
  </si>
  <si>
    <t>KIL3047/N</t>
  </si>
  <si>
    <t>AMS26-9A</t>
  </si>
  <si>
    <t>MZS20</t>
  </si>
  <si>
    <t>KMB180A</t>
  </si>
  <si>
    <t>BLLL63-L</t>
  </si>
  <si>
    <t>BLLL63-R</t>
  </si>
  <si>
    <t>BLLL93-L</t>
  </si>
  <si>
    <t>BLLL93-R</t>
  </si>
  <si>
    <t>LKIL3737T</t>
  </si>
  <si>
    <t>KIL3737</t>
  </si>
  <si>
    <t>DMS20A</t>
  </si>
  <si>
    <t>((W - 8) - (SL kính nối - 1)*2/SL kính nối)*(H - 8)</t>
  </si>
  <si>
    <t>GHÉP MÃ CỬA</t>
  </si>
  <si>
    <t>Tỷ lệ tăng giá theo màu PK</t>
  </si>
  <si>
    <r>
      <rPr>
        <b/>
        <sz val="12"/>
        <rFont val="Times New Roman"/>
        <family val="1"/>
      </rPr>
      <t xml:space="preserve">CÔNG TY TNHH VẬT LIỆU MỚI GIA NGUYỄN </t>
    </r>
    <r>
      <rPr>
        <sz val="12"/>
        <rFont val="Times New Roman"/>
        <family val="1"/>
      </rPr>
      <t xml:space="preserve">trân trọng cảm ơn quý khách hàng đã quan tâm tới sản phẩm mang thương hiệu </t>
    </r>
    <r>
      <rPr>
        <b/>
        <sz val="12"/>
        <rFont val="Times New Roman"/>
        <family val="1"/>
      </rPr>
      <t xml:space="preserve">UNIDOOR </t>
    </r>
    <r>
      <rPr>
        <sz val="12"/>
        <rFont val="Times New Roman"/>
        <family val="1"/>
      </rPr>
      <t>của công ty chúng tôi.</t>
    </r>
    <r>
      <rPr>
        <b/>
        <sz val="12"/>
        <rFont val="Times New Roman"/>
        <family val="1"/>
      </rPr>
      <t xml:space="preserve"> Với phương châm: Chất lượng thực - giá trị thực, UNIDOOR </t>
    </r>
    <r>
      <rPr>
        <sz val="12"/>
        <rFont val="Times New Roman"/>
        <family val="1"/>
      </rPr>
      <t>xin gửi tới quý khách hàng bảng báo giá chi tiết cho các hạng mục với khối lượng yêu cầu như sau</t>
    </r>
  </si>
  <si>
    <r>
      <rPr>
        <b/>
        <sz val="12"/>
        <rFont val="Times New Roman"/>
        <family val="1"/>
      </rPr>
      <t xml:space="preserve">CÔNG TY TNHH VẬT LIỆU MỚI GIA NGUYỄN </t>
    </r>
    <r>
      <rPr>
        <sz val="12"/>
        <rFont val="Times New Roman"/>
        <family val="1"/>
      </rPr>
      <t xml:space="preserve">trân trọng cảm ơn quý khách hàng đã quan tâm tới sản phẩm mang thương hiệu </t>
    </r>
    <r>
      <rPr>
        <b/>
        <sz val="12"/>
        <rFont val="Times New Roman"/>
        <family val="1"/>
      </rPr>
      <t>UNIDOOR</t>
    </r>
    <r>
      <rPr>
        <sz val="12"/>
        <rFont val="Times New Roman"/>
        <family val="1"/>
      </rPr>
      <t xml:space="preserve"> của công ty chúng tôi. </t>
    </r>
    <r>
      <rPr>
        <b/>
        <sz val="12"/>
        <rFont val="Times New Roman"/>
        <family val="1"/>
      </rPr>
      <t xml:space="preserve">Với phương châm: Chất lượng thực - giá trị thực, UNIDOOR </t>
    </r>
    <r>
      <rPr>
        <sz val="12"/>
        <rFont val="Times New Roman"/>
        <family val="1"/>
      </rPr>
      <t>xin gửi tới quý khách hàng bảng quyết toán khối lượng chi tiết cho các hạng mục với khối lượng yêu cầu như sau</t>
    </r>
  </si>
  <si>
    <t>Lấy DL</t>
  </si>
  <si>
    <t>SK32B-VN</t>
  </si>
  <si>
    <t>Side Transmission Rod/ Đầu khóa biên (cao 8mm)</t>
  </si>
  <si>
    <t>N39-VN</t>
  </si>
  <si>
    <t>ZA1-6A-VN</t>
  </si>
  <si>
    <t>Kính trang trí</t>
  </si>
  <si>
    <t>VK0KI-00</t>
  </si>
  <si>
    <t>Vách kính trang trí</t>
  </si>
  <si>
    <t>(W)*(H)</t>
  </si>
  <si>
    <t>KÍNH TRANG TRÍ</t>
  </si>
  <si>
    <t>W*H</t>
  </si>
  <si>
    <t>Màu nhũ, camay</t>
  </si>
  <si>
    <t>Màu đơn</t>
  </si>
  <si>
    <t>Màu có kim sa, kim tuyến</t>
  </si>
  <si>
    <t>Màu nứt, miner có nhũ, camay có hạt mưa</t>
  </si>
  <si>
    <t>MD00</t>
  </si>
  <si>
    <t>KS00</t>
  </si>
  <si>
    <t>NC00</t>
  </si>
  <si>
    <t>MN00</t>
  </si>
  <si>
    <t>PB00</t>
  </si>
  <si>
    <t>Gia công phun bông</t>
  </si>
  <si>
    <t>3D00</t>
  </si>
  <si>
    <t>In 3D</t>
  </si>
  <si>
    <t>DK00</t>
  </si>
  <si>
    <t>Điêu khắc, sơn tranh, sơn hoa văn</t>
  </si>
  <si>
    <t>KL05T</t>
  </si>
  <si>
    <t>KB05T</t>
  </si>
  <si>
    <t>KX05T</t>
  </si>
  <si>
    <t>Xanh lá</t>
  </si>
  <si>
    <t>Xanh biển</t>
  </si>
  <si>
    <t>Xám khói</t>
  </si>
  <si>
    <t>KL08T</t>
  </si>
  <si>
    <t>KB08T</t>
  </si>
  <si>
    <t>KX08T</t>
  </si>
  <si>
    <t>KL10T</t>
  </si>
  <si>
    <t>KB10T</t>
  </si>
  <si>
    <t>KX10T</t>
  </si>
  <si>
    <t>KL12T</t>
  </si>
  <si>
    <t>KB12T</t>
  </si>
  <si>
    <t>KX12T</t>
  </si>
  <si>
    <t>KS05T</t>
  </si>
  <si>
    <t>Sọc</t>
  </si>
  <si>
    <t>KS08T</t>
  </si>
  <si>
    <t>KS10T</t>
  </si>
  <si>
    <t>KW05VN</t>
  </si>
  <si>
    <t>KW05ML</t>
  </si>
  <si>
    <t>KW05ID</t>
  </si>
  <si>
    <t>KW05TL</t>
  </si>
  <si>
    <t>KL20</t>
  </si>
  <si>
    <t>Lỗ</t>
  </si>
  <si>
    <t>KL22</t>
  </si>
  <si>
    <t>Khoan lỗ trên phi 22</t>
  </si>
  <si>
    <t>Khoan lỗ dưới phi 20</t>
  </si>
  <si>
    <t>KL50</t>
  </si>
  <si>
    <t>Khoan lỗ phi 50</t>
  </si>
  <si>
    <t>KL60</t>
  </si>
  <si>
    <t>Khoan lỗ phi 60</t>
  </si>
  <si>
    <t>KK00</t>
  </si>
  <si>
    <t>Khoét kẹp</t>
  </si>
  <si>
    <t>mét</t>
  </si>
  <si>
    <t>ME00</t>
  </si>
  <si>
    <t>Mài ẻo bóng</t>
  </si>
  <si>
    <t>EV00</t>
  </si>
  <si>
    <t>Ẻo vát 2FBC</t>
  </si>
  <si>
    <t>2*(W+H)</t>
  </si>
  <si>
    <t>T</t>
  </si>
  <si>
    <t>H - 41 + Ngậm/hở nền  - IF(Ngậm/hở nền&lt;0,30,30*2)</t>
  </si>
  <si>
    <t>H - 41 + Ngậm/hở nền - IF(Ngậm/hở nền&lt;0,30,30*2)</t>
  </si>
  <si>
    <r>
      <t xml:space="preserve">H - 41 + Ngậm/hở nền  - </t>
    </r>
    <r>
      <rPr>
        <b/>
        <sz val="10"/>
        <rFont val="Arial"/>
        <family val="2"/>
      </rPr>
      <t>IF(Ngậm/hở nền&lt;0,30,30*2)</t>
    </r>
  </si>
  <si>
    <t>Cylinder/ Lõi khóa 1 đầu chìa 1 đầu bít mở trong</t>
  </si>
  <si>
    <t>47/32C</t>
  </si>
  <si>
    <t>Danh mục loại cửa</t>
  </si>
  <si>
    <t>X</t>
  </si>
  <si>
    <t>Tỷ lệ hao hụt giá trị</t>
  </si>
  <si>
    <t>Diễn giải</t>
  </si>
  <si>
    <t>Ký hiệu</t>
  </si>
  <si>
    <t>Cửa Xếp trượt</t>
  </si>
  <si>
    <t>Tồn kho</t>
  </si>
  <si>
    <t>SL thực nhập</t>
  </si>
  <si>
    <t>Hệ cửa</t>
  </si>
  <si>
    <t>$K$1</t>
  </si>
  <si>
    <t>Cửa mở Trượt (Lùa) 93</t>
  </si>
  <si>
    <t>Đơn giá Nhân công sản xuất trực tiếp (Đồng/Đvt)</t>
  </si>
  <si>
    <t>Đơn giá Sản xuất chung (Đồng/Đvt)</t>
  </si>
  <si>
    <t>Đơn giá Lắp đặt (Đồng/Đvt)</t>
  </si>
  <si>
    <t>Đơn giá Vệ sinh (Đồng/Đvt)</t>
  </si>
  <si>
    <t>Đơn giá Uốn vòm (Đồng/Đvt)</t>
  </si>
  <si>
    <t>Đơn giá Chia đố (Đồng/Đvt)</t>
  </si>
  <si>
    <t>Hao hụt PR (giá trị)</t>
  </si>
  <si>
    <t>Đơn giá Profile (Đồng/Đvt) (có hao hụt GT)</t>
  </si>
  <si>
    <t>Hao hụt PR (GT)</t>
  </si>
  <si>
    <t>$W$1</t>
  </si>
  <si>
    <t>D1578-XW</t>
  </si>
  <si>
    <t>h1 - 25 - 26 + 10</t>
  </si>
  <si>
    <t>(W - 41*2)*(h1 - 61 + 10)</t>
  </si>
  <si>
    <t>D1559-XW</t>
  </si>
  <si>
    <t>D1549-XW</t>
  </si>
  <si>
    <t>Ốp mặt trước khung bao</t>
  </si>
  <si>
    <t>(W/2 - 43 - 10)*(h1 - 25 - 26 - 10 + 10)</t>
  </si>
  <si>
    <t>(W/4 - 39.75 - 10)*(h1 - 25 - 26 - 10 + 10)</t>
  </si>
  <si>
    <t>1 đầu chìa &amp; núm vặn</t>
  </si>
  <si>
    <t>1 đầu chìa &amp; 1 đầu bít</t>
  </si>
  <si>
    <t>1 đầu chìa &amp; 1 đầu bít quay ngoài</t>
  </si>
  <si>
    <t>1 đầu chìa &amp; 1 đầu bít quay trong</t>
  </si>
  <si>
    <t>1 đầu chìa &amp; núm vặn đa điểm</t>
  </si>
  <si>
    <t>1 đầu chìa &amp; núm vặn đơn điểm</t>
  </si>
  <si>
    <t>1 đầu chìa &amp; núm vặn quay ngoài</t>
  </si>
  <si>
    <t>1 đầu chìa &amp; núm vặn quay trong</t>
  </si>
  <si>
    <t>Quay</t>
  </si>
  <si>
    <t>Trượt</t>
  </si>
  <si>
    <t>Xếp</t>
  </si>
  <si>
    <t>Hất</t>
  </si>
  <si>
    <t>HỞ NỀN</t>
  </si>
  <si>
    <t>THÂN KHÓA/GEAR</t>
  </si>
  <si>
    <t>LÕI KHÓA</t>
  </si>
  <si>
    <t>BẢN LỀ/BÁNH XE</t>
  </si>
  <si>
    <t>DANH MỤC PR VÀ PK CHỌN THEO HỆ CỬA</t>
  </si>
  <si>
    <t>PR/PK</t>
  </si>
  <si>
    <t>TIÊU CHÍ CHỌN</t>
  </si>
  <si>
    <t>LOẠI CỬA</t>
  </si>
  <si>
    <t>Chọn PR PK</t>
  </si>
  <si>
    <t>CHIỀU MỞ/TAY NẮM</t>
  </si>
  <si>
    <t>đa điểm chung</t>
  </si>
  <si>
    <t>đơn điểm chung</t>
  </si>
  <si>
    <t>Giảm giá</t>
  </si>
  <si>
    <t>Thành tiền sau giảm giá</t>
  </si>
  <si>
    <t>Phụ thu chi phí vận chuyển</t>
  </si>
  <si>
    <t>Phụ thu chi phí lắp đặt</t>
  </si>
  <si>
    <t>Phụ thu khác (nếu có)</t>
  </si>
  <si>
    <t>Tổng thành tiền</t>
  </si>
  <si>
    <t>Thành tiền sau thuế</t>
  </si>
  <si>
    <t>F5017</t>
  </si>
  <si>
    <t>Cánh cửa không lỗ vít (khóa đa điểm)</t>
  </si>
  <si>
    <t>37/37A</t>
  </si>
  <si>
    <t>cài</t>
  </si>
  <si>
    <t>Tỷ suất LN tính trước</t>
  </si>
  <si>
    <t>KL01OD</t>
  </si>
  <si>
    <t>KL02OD</t>
  </si>
  <si>
    <t>Khoét lỗ ổ điện đơn</t>
  </si>
  <si>
    <t>Khoét lỗ ổ điện đôi</t>
  </si>
  <si>
    <t>lỗ</t>
  </si>
  <si>
    <t>% +GB</t>
  </si>
  <si>
    <t>Màu/DT (m2)</t>
  </si>
  <si>
    <t>gạt có khóa chìa</t>
  </si>
  <si>
    <t>CZH70D</t>
  </si>
  <si>
    <t>Window handle/Tay nắm cửa sổ mở quay có chìa khóa</t>
  </si>
  <si>
    <t>all</t>
  </si>
  <si>
    <t>Uốn vòm</t>
  </si>
  <si>
    <t>Lấy PR theo đoạn PO</t>
  </si>
  <si>
    <t>SL chưa làm tròn</t>
  </si>
  <si>
    <t>Thành tiền chưa làm tròn</t>
  </si>
  <si>
    <t>Chênh lệch</t>
  </si>
  <si>
    <t>theo màu + độ dài</t>
  </si>
  <si>
    <t>theo màu</t>
  </si>
  <si>
    <t>XKNVLSX</t>
  </si>
  <si>
    <t>SL XK THỪA (mm)</t>
  </si>
  <si>
    <t>200m/cuộn</t>
  </si>
  <si>
    <t>VTKDBDC-M3.9*30-XCR</t>
  </si>
  <si>
    <t>Vít tự khoan đầu bằng đuôi cá M3.9*30 xi chống rỉ</t>
  </si>
  <si>
    <t>DSFB10</t>
  </si>
  <si>
    <t>150m/cuộn</t>
  </si>
  <si>
    <t>C8092</t>
  </si>
  <si>
    <t>Cánh cửa sổ mở quay ngoài có gân 1 ke</t>
  </si>
  <si>
    <t>Q</t>
  </si>
  <si>
    <t>Cửa mở quay</t>
  </si>
  <si>
    <t>K</t>
  </si>
  <si>
    <t>Vách kính</t>
  </si>
  <si>
    <t>Loại áp dụng</t>
  </si>
  <si>
    <t>Cửa mở hất</t>
  </si>
  <si>
    <t>(W - 25*4 - 5)/4 - 57*2</t>
  </si>
  <si>
    <t>Silicone-K</t>
  </si>
  <si>
    <t>Silicone KÍNH</t>
  </si>
  <si>
    <t>Silicone-LD</t>
  </si>
  <si>
    <t>Ke khung</t>
  </si>
  <si>
    <t>Ke cánh</t>
  </si>
  <si>
    <t>vĩnh cửu</t>
  </si>
  <si>
    <t>ép góc</t>
  </si>
  <si>
    <t>ke khung vĩnh cửu</t>
  </si>
  <si>
    <t>ke khung ép góc</t>
  </si>
  <si>
    <t>ke cánh vĩnh cửu</t>
  </si>
  <si>
    <t>ke cánh ép góc</t>
  </si>
  <si>
    <t>Ke ép góc KB sổ XF55 14*43 (C3318)</t>
  </si>
  <si>
    <t>C1687</t>
  </si>
  <si>
    <t>Ke vĩnh cửu cánh sổ XF55 25*41 (C8092)</t>
  </si>
  <si>
    <t>Ke ép góc cánh sổ XF55 25*40 (C8092)</t>
  </si>
  <si>
    <t>DSFB12</t>
  </si>
  <si>
    <t>Peg stay/Thanh chống sập 12'' (L &amp; R)</t>
  </si>
  <si>
    <t>Peg stay/Thanh chống sập 10'' (L &amp; R)</t>
  </si>
  <si>
    <t>00000-00-3H</t>
  </si>
  <si>
    <t>OcKeVC</t>
  </si>
  <si>
    <t>Ốc bắt ke vĩnh cửu</t>
  </si>
  <si>
    <t>KE KHUNG</t>
  </si>
  <si>
    <t>KE CÁNH</t>
  </si>
  <si>
    <t>SL bản lề</t>
  </si>
  <si>
    <t>nẹp ghép</t>
  </si>
  <si>
    <t>SỬ DỤNG GIOĂNG HAY SILICONE</t>
  </si>
  <si>
    <t>Gioăng</t>
  </si>
  <si>
    <t>Silicone</t>
  </si>
  <si>
    <t>IF(I7="silicone",0,(W/Số cánh+H)*2*Số cánh)</t>
  </si>
  <si>
    <t>IF(I7="silicone",2*((W/Số cánh+H)*2*Số cánh)/14000,((W/Số cánh+H)*2*Số cánh)/14000)</t>
  </si>
  <si>
    <t>IF(I7="silicone",0,W*2 + H*Số cánh*3)</t>
  </si>
  <si>
    <t>IF(I7="silicone",2*(W*2 + H*Số cánh*3)/14000,(W*2 + H*Số cánh*3)/14000)</t>
  </si>
  <si>
    <t>Silicone-D</t>
  </si>
  <si>
    <t>Silicone-T</t>
  </si>
  <si>
    <t>Silicone-X</t>
  </si>
  <si>
    <t>Silicone ĐEN</t>
  </si>
  <si>
    <t>Silicone-C</t>
  </si>
  <si>
    <t>Silicone TRẮNG</t>
  </si>
  <si>
    <t>Silicone XÁM</t>
  </si>
  <si>
    <t>Silicone TRONG</t>
  </si>
  <si>
    <t>ĐỘ DÀI (mm)</t>
  </si>
  <si>
    <t>W - 42*2 - bản lề</t>
  </si>
  <si>
    <t>((W - 41*2 - bản lề*(Số cánh - 1))/Số cánh - 73*2)*(H - 41 + Ngậm/hở nền - 73*2)</t>
  </si>
  <si>
    <t>((W - 41*2 - bản lề*(Số cánh - 1))/Số cánh + 40 - 73*2)*(H - 41 + Ngậm/hở nền - 73*2)</t>
  </si>
  <si>
    <t>((W - 41*2 - bản lề*(Số cánh - 1))/Số cánh - 20 - 73*2)*(H - 41 + Ngậm/hở nền - 73*2)</t>
  </si>
  <si>
    <t>((W - 41*2 - bản lề*(Số cánh - 1))/Số cánh + 30 - 73*2)*(H - 41 + Ngậm/hở nền - 73*2)</t>
  </si>
  <si>
    <t>((W - 41*2 - bản lề*(Số cánh - 1))/Số cánh - 30 - 73*2)*(H - 41 + Ngậm/hở nền - 73*2)</t>
  </si>
  <si>
    <t>W - ( 36 + bản lề)*2</t>
  </si>
  <si>
    <t>(W - 41*2  - bản lề*(Số cánh - 1))/Số cánh</t>
  </si>
  <si>
    <t>(W - 60*2 - (42 + 6)*(Số cánh - 1))/Số cánh</t>
  </si>
  <si>
    <t>(W - 41*2  - bản lề*(Số cánh - 1))/Số cánh - 68*2</t>
  </si>
  <si>
    <t>(W - 41*2 - bản lề*(Số cánh - 1))/Số cánh + 40</t>
  </si>
  <si>
    <t>(W - 41*2 - bản lề*(Số cánh - 1))/Số cánh - 20</t>
  </si>
  <si>
    <t>(W - 41*2 - bản lề*(Số cánh - 1))/Số cánh + 40 - 22*2</t>
  </si>
  <si>
    <t>(W - 41*2 - bản lề*(Số cánh - 1))/Số cánh - 20 - 22*2</t>
  </si>
  <si>
    <t>(W - 41*2 - bản lề*(Số cánh - 1))/Số cánh + 40 - 68*2</t>
  </si>
  <si>
    <t>(W - 41*2 - bản lề*(Số cánh - 1))/Số cánh - 20 - 68*2</t>
  </si>
  <si>
    <t>(W - 41*2 - bản lề*(Số cánh - 1))/Số cánh + 30</t>
  </si>
  <si>
    <t>(W - 41*2 - bản lề*(Số cánh - 1))/Số cánh - 30</t>
  </si>
  <si>
    <t>(W - 60*2 - (42 + 6)*(Số cánh - 1))/Số cánh + 30</t>
  </si>
  <si>
    <t>(W - 60*2 - (42 + 6)*(Số cánh - 1))/Số cánh - 30</t>
  </si>
  <si>
    <t>(W - 41*2 - bản lề*(Số cánh - 1))/Số cánh + 30 - 68*2</t>
  </si>
  <si>
    <t>(W - 41*2 - bản lề*(Số cánh - 1))/Số cánh - 30 - 68*2</t>
  </si>
  <si>
    <t>W - (36 + bản lề)*2</t>
  </si>
  <si>
    <t>W - (36 + bản lề)*2 - 63</t>
  </si>
  <si>
    <t>W - (36 + bản lề)*2 - 68*2</t>
  </si>
  <si>
    <t>(W - 41*2 - bản lề*(Số cánh - 1))/Số cánh</t>
  </si>
  <si>
    <t>(W - 41*2 - bản lề*(Số cánh - 1))/Số cánh - 68*2</t>
  </si>
  <si>
    <t>(W - (36 + bản lề)*2 - 73*2)*(H - 41 + Ngậm/hở nền - 73*2)</t>
  </si>
  <si>
    <t>DQ100-70-RT</t>
  </si>
  <si>
    <t>DQ200-70-RT</t>
  </si>
  <si>
    <t>DQ300-70-RT</t>
  </si>
  <si>
    <t>DQ400-70-RT</t>
  </si>
  <si>
    <t>DQ100-60-RT</t>
  </si>
  <si>
    <t>DQ200-60-RT</t>
  </si>
  <si>
    <t>DQ300-60-RT</t>
  </si>
  <si>
    <t>DQ400-60-RT</t>
  </si>
  <si>
    <t>DT200-60-RT</t>
  </si>
  <si>
    <t>DT300-60-RT</t>
  </si>
  <si>
    <t>DT400-60-RT</t>
  </si>
  <si>
    <t>ST200-60-RT</t>
  </si>
  <si>
    <t>ST300-60-RT</t>
  </si>
  <si>
    <t>ST400-60-RT</t>
  </si>
  <si>
    <t>STZ04</t>
  </si>
  <si>
    <t>IF(AND(H-45&gt;=800,H-45&lt;1000),1,0)</t>
  </si>
  <si>
    <t>IF(AND(H-45&gt;=1000,H-45&lt;1200),1,0)</t>
  </si>
  <si>
    <t>IF(H-45&gt;=1200,1,0)</t>
  </si>
  <si>
    <t>IF(H-45&lt;800,1,0)</t>
  </si>
  <si>
    <t>IF(H-45&lt;1200,1,0)</t>
  </si>
  <si>
    <t>C4137KB</t>
  </si>
  <si>
    <t>Ke ép góc Khung &amp; Vách XF55 14*51 (C3209)</t>
  </si>
  <si>
    <t>C4137C</t>
  </si>
  <si>
    <t>Ke ép góc cánh trượt XF55 14*25</t>
  </si>
  <si>
    <t>Ke Vĩnh Cửu cánh trượt XF55 14*25 (4 vít)</t>
  </si>
  <si>
    <t>Louver-lá sách (V)</t>
  </si>
  <si>
    <t>Diện Tích (m2)</t>
  </si>
  <si>
    <t xml:space="preserve">     /     /2023</t>
  </si>
  <si>
    <t>DR</t>
  </si>
  <si>
    <t>DRAHO</t>
  </si>
  <si>
    <t>DQ100-55-DR</t>
  </si>
  <si>
    <t>DQ200-55-DR</t>
  </si>
  <si>
    <t>DQ300-55-DR</t>
  </si>
  <si>
    <t>DQ400-55-DR</t>
  </si>
  <si>
    <t>DT200-93-DR</t>
  </si>
  <si>
    <t>DT300-93-DR</t>
  </si>
  <si>
    <t>DT400-93-DR</t>
  </si>
  <si>
    <t>DX300-63-DR</t>
  </si>
  <si>
    <t>DX400-63-DR</t>
  </si>
  <si>
    <t>DX500-63-DR</t>
  </si>
  <si>
    <t>DX600-63-DR</t>
  </si>
  <si>
    <t>SQ100-55-DR</t>
  </si>
  <si>
    <t>SQ200-55-DR</t>
  </si>
  <si>
    <t>SQ300-55-DR</t>
  </si>
  <si>
    <t>SQ400-55-DR</t>
  </si>
  <si>
    <t>SH100-55-DR</t>
  </si>
  <si>
    <t>00000-00-DR</t>
  </si>
  <si>
    <t>SH200-55-DR</t>
  </si>
  <si>
    <t>ST200-93-DR</t>
  </si>
  <si>
    <t>ST300-93-DR</t>
  </si>
  <si>
    <t>ST400-93-DR</t>
  </si>
  <si>
    <t>ST200-55-DR</t>
  </si>
  <si>
    <t>ST400-55-DR</t>
  </si>
  <si>
    <t>DRAHO - Bảo hành 2 năm lỗi kỹ thuật &amp; 5 năm bề mặt sơn</t>
  </si>
  <si>
    <t>PM-23 (L8*90, M5*70)</t>
  </si>
  <si>
    <t>2885C1</t>
  </si>
  <si>
    <t>KB-19AG</t>
  </si>
  <si>
    <t>FB6I (P) (H=10)</t>
  </si>
  <si>
    <t>F13CI</t>
  </si>
  <si>
    <t>ZH-LH63-L</t>
  </si>
  <si>
    <t>ZH-LH63-R</t>
  </si>
  <si>
    <t>ZH-168-L</t>
  </si>
  <si>
    <t>ZH-168-R</t>
  </si>
  <si>
    <t>79#32/47B</t>
  </si>
  <si>
    <t>2885C</t>
  </si>
  <si>
    <t>79#32/47T</t>
  </si>
  <si>
    <t>79#47/32T</t>
  </si>
  <si>
    <t>FB6I (P) (H=6.5)</t>
  </si>
  <si>
    <t>Đầu nối đa điểm (Đầu khóa biên thấp)</t>
  </si>
  <si>
    <t>Đầu nối đa điểm (Đầu khóa biên cao)</t>
  </si>
  <si>
    <t>F14CI</t>
  </si>
  <si>
    <t>KB-18AG</t>
  </si>
  <si>
    <t>ZH-169-L</t>
  </si>
  <si>
    <t>ZH-169-R</t>
  </si>
  <si>
    <t>ZH-LH93-L</t>
  </si>
  <si>
    <t>ZH-LH93-R</t>
  </si>
  <si>
    <t>TLXTS
(TLG-5.5SG; M5*50)</t>
  </si>
  <si>
    <t>TLXL</t>
  </si>
  <si>
    <t>Sliding lock/ Tay nắm chữ D đi trượt có khóa + Sliding - TRÁI</t>
  </si>
  <si>
    <t>Sliding / Tay nắm đi trượt không có khóa - TRÁI</t>
  </si>
  <si>
    <t>TK-3X</t>
  </si>
  <si>
    <t>Miệng sập (Locking Plate/ Vấu hãm tay nắm âm)</t>
  </si>
  <si>
    <t>Chốt sập (Handle/ Tay nắm âm cửa lùa)</t>
  </si>
  <si>
    <t>F58A (F57EU30)</t>
  </si>
  <si>
    <t>TK-38G</t>
  </si>
  <si>
    <t>LHLS1-K24.5G29.5J140L4</t>
  </si>
  <si>
    <t>chữ D đơn điểmL</t>
  </si>
  <si>
    <t>chữ D đơn điểmR</t>
  </si>
  <si>
    <t>chữ D đơn điểm</t>
  </si>
  <si>
    <t>TLXU</t>
  </si>
  <si>
    <t>Sliding lock/ Tay nắm chữ D đơn điểm đi trượt có khóa + Sliding - TRÁI</t>
  </si>
  <si>
    <t>Sliding lock/ Tay nắm chữ D đa điểm đi trượt có khóa + Sliding - TRÁI</t>
  </si>
  <si>
    <t>chữ D đa điểmL</t>
  </si>
  <si>
    <t>Sliding lock/ Tay nắm chữ D đơn điểm đi trượt có khóa + Sliding - PHẢI</t>
  </si>
  <si>
    <t>Sliding / Tay nắm đi trượt không có khóa - PHẢI</t>
  </si>
  <si>
    <t>chữ D đa điểmR</t>
  </si>
  <si>
    <t>Sliding lock/ Tay nắm chữ D đa điểm đi trượt có khóa + Sliding - PHẢI</t>
  </si>
  <si>
    <t>ZH-JTL1</t>
  </si>
  <si>
    <t>ZH-JTL2</t>
  </si>
  <si>
    <t>ZH-JTL3</t>
  </si>
  <si>
    <t>Bản lề biên (Side Pivot hinge/ Bản lề cửa đi xếp trượt)</t>
  </si>
  <si>
    <t>ZH-JTL4</t>
  </si>
  <si>
    <t>Tay kéo chữ D (Pivot hinge/ Bản lề cửa đi xếp trượt liền tay kéo (giữa))</t>
  </si>
  <si>
    <t>F12G</t>
  </si>
  <si>
    <t>Bộ chuyển động (Transmitter/ Ổ chia chuyển động)</t>
  </si>
  <si>
    <t>F62A (L=35)</t>
  </si>
  <si>
    <t>Transmitter Rod/ Thanh chuyển động cửa xếp trượt 1400  mm</t>
  </si>
  <si>
    <t>IF(AND(H-104-1300&lt;1600,H-104-1300&gt;=1400),1,0)</t>
  </si>
  <si>
    <t>72#36/36T</t>
  </si>
  <si>
    <t>KB-5G</t>
  </si>
  <si>
    <t>FB521(L500)</t>
  </si>
  <si>
    <t>FB521(L250)</t>
  </si>
  <si>
    <t>FB7D</t>
  </si>
  <si>
    <t>IF(AND(H-104-1300&lt;1600,H-104-1300&gt;=1400),2,0)</t>
  </si>
  <si>
    <t>TL-1 (TLG-4.5EG)</t>
  </si>
  <si>
    <t>SKG/44-Z5</t>
  </si>
  <si>
    <t>72#36/36B</t>
  </si>
  <si>
    <t>409-B17</t>
  </si>
  <si>
    <t>càiR</t>
  </si>
  <si>
    <t>FB3H (H=24)</t>
  </si>
  <si>
    <t>ZH-094-3</t>
  </si>
  <si>
    <t>Bản lề cối (Bản lề 2D)</t>
  </si>
  <si>
    <t>Handle/ Tay nắm cài - TRÁI</t>
  </si>
  <si>
    <t>càiL</t>
  </si>
  <si>
    <t>Handle/ Tay nắm cài - PHẢI</t>
  </si>
  <si>
    <t>PTHC221-14</t>
  </si>
  <si>
    <t>PTHC221-10</t>
  </si>
  <si>
    <t>PTHC221-12</t>
  </si>
  <si>
    <t>PTHC221-16</t>
  </si>
  <si>
    <t>PTSC29A-10</t>
  </si>
  <si>
    <t>HLD20-K24.9G34.4J140</t>
  </si>
  <si>
    <t>TU2093 (LL)</t>
  </si>
  <si>
    <t>Moon Lock/ Khóa sò - TRÁI</t>
  </si>
  <si>
    <t>Moon Lock/ Khóa sò - PHẢI</t>
  </si>
  <si>
    <t>NVL lựa chọn</t>
  </si>
  <si>
    <t>LG31- 600
 (H=22, h=13mm) SUS304</t>
  </si>
  <si>
    <t>LG31- 800
 (H=22, h=13mm) SUS304</t>
  </si>
  <si>
    <t>LG31- 1200
 (H=22, h=13mm) SUS304</t>
  </si>
  <si>
    <t>PHỤ KIỆN (PHẢI NHẬP TẤT CẢ CÁC PHỤ KIỆN LỰA CHỌN VÀ KHAI BÁO LÀ LOẠI GÌ Ở CỘT "NVL LỰA CHỌN")</t>
  </si>
  <si>
    <t>LG22 (L=1200)</t>
  </si>
  <si>
    <t>LG22 (L=1600)</t>
  </si>
  <si>
    <t>LG22 (L=1400)</t>
  </si>
  <si>
    <t>chữ D đa điểm</t>
  </si>
  <si>
    <t>Chốt bật cánh phụ nối liền</t>
  </si>
  <si>
    <t>MX16</t>
  </si>
  <si>
    <t>FB517</t>
  </si>
  <si>
    <t>Cần đẩy</t>
  </si>
  <si>
    <t>FB9T</t>
  </si>
  <si>
    <t>Đầu chốt</t>
  </si>
  <si>
    <t>LG31- 1000
 (H=22, h=13mm) SUS304</t>
  </si>
  <si>
    <t>Kính đơn 3 mm trong</t>
  </si>
  <si>
    <t>Kính đơn 4 mm trong</t>
  </si>
  <si>
    <t>Kính đơn 5 mm trong</t>
  </si>
  <si>
    <t>Kính đơn 6 mm trong</t>
  </si>
  <si>
    <t>Kính đơn 8 mm trong</t>
  </si>
  <si>
    <t xml:space="preserve">Kính đơn 10 mm trong </t>
  </si>
  <si>
    <t xml:space="preserve">Kính đơn 12 mm trong </t>
  </si>
  <si>
    <t>Kính đơn 15 mm trong</t>
  </si>
  <si>
    <t>KA03</t>
  </si>
  <si>
    <t>KA04</t>
  </si>
  <si>
    <t>KA06</t>
  </si>
  <si>
    <t>KA10</t>
  </si>
  <si>
    <t>KA12</t>
  </si>
  <si>
    <t>KA15</t>
  </si>
  <si>
    <t>Kính đơn 3 mm nhúng mờ</t>
  </si>
  <si>
    <t>Kính đơn 4 mm nhúng mờ</t>
  </si>
  <si>
    <t>Kính đơn 5 mm nhúng mờ</t>
  </si>
  <si>
    <t>Kính đơn 6 mm nhúng mờ</t>
  </si>
  <si>
    <t>Kính đơn 8 mm nhúng mờ</t>
  </si>
  <si>
    <t>Kính đơn 10 mm nhúng mờ</t>
  </si>
  <si>
    <t>Kính đơn 12 mm nhúng mờ</t>
  </si>
  <si>
    <t>Kính đơn 15 mm nhúng mờ</t>
  </si>
  <si>
    <t>Kính đơn cường lực 5 mm trong</t>
  </si>
  <si>
    <t>Kính đơn cường lực 6 mm trong</t>
  </si>
  <si>
    <t>Kính đơn cường lực 8 mm trong</t>
  </si>
  <si>
    <t>Kính đơn cường lực 10 mm trong</t>
  </si>
  <si>
    <t>Kính đơn cường lực 12 mm trong</t>
  </si>
  <si>
    <t>Kính đơn cường lực 15 mm trong</t>
  </si>
  <si>
    <t>KA06T</t>
  </si>
  <si>
    <t>Kính đơn cường lực 5 mm nhúng mờ</t>
  </si>
  <si>
    <t>KA10T</t>
  </si>
  <si>
    <t>KA12T</t>
  </si>
  <si>
    <t>KA15T</t>
  </si>
  <si>
    <t>KW04VN</t>
  </si>
  <si>
    <t>Kính thủy Việt Nam 4 mm trắng</t>
  </si>
  <si>
    <t>Kính thủy Việt Nam 5 mm trắng</t>
  </si>
  <si>
    <t>Kính thủy Malay 5 mm trắng</t>
  </si>
  <si>
    <t>Kính thủy Thái Lan 5 mm trắng</t>
  </si>
  <si>
    <t>KW05TLR</t>
  </si>
  <si>
    <t>KW05TLX</t>
  </si>
  <si>
    <t>KW05IDR</t>
  </si>
  <si>
    <t>KW05IDX</t>
  </si>
  <si>
    <t>Kính thủy Thái Lan 5 mm trà</t>
  </si>
  <si>
    <t>Kính thủy Thái Lan 5 mm xám khói</t>
  </si>
  <si>
    <t>Kính thủy Indo 5 mm trắng</t>
  </si>
  <si>
    <t>Kính thủy Indo 5 mm trà</t>
  </si>
  <si>
    <t>Kính thủy Indo 5 mm xám khói</t>
  </si>
  <si>
    <t>KW05BI</t>
  </si>
  <si>
    <t>KW05BIR</t>
  </si>
  <si>
    <t>KW05BIX</t>
  </si>
  <si>
    <t>Kính thủy Bỉ AGC 5 mm trắng</t>
  </si>
  <si>
    <t>Kính thủy Bỉ AGC 5 mm trà</t>
  </si>
  <si>
    <t>Kính thủy Bỉ AGC 5 mm xám khói</t>
  </si>
  <si>
    <t>KQ08TX</t>
  </si>
  <si>
    <t>KQ08TL</t>
  </si>
  <si>
    <t>KQ08TB</t>
  </si>
  <si>
    <t>KQ05TX</t>
  </si>
  <si>
    <t>KQ05TL</t>
  </si>
  <si>
    <t>KQ05TB</t>
  </si>
  <si>
    <t>Kính HOA VĂN SỌC cường lực 5 mm</t>
  </si>
  <si>
    <t>Kính HOA VĂN SỌC cường lực 8 mm</t>
  </si>
  <si>
    <t>Kính HOA VĂN SỌC cường lực 10 mm</t>
  </si>
  <si>
    <t>KS05</t>
  </si>
  <si>
    <t>KS08</t>
  </si>
  <si>
    <t>KS10</t>
  </si>
  <si>
    <t>Kính HOA VĂN SỌC 5 mm</t>
  </si>
  <si>
    <t>Kính HOA VĂN SỌC 8 mm</t>
  </si>
  <si>
    <t>Kính HOA VĂN SỌC 10 mm</t>
  </si>
  <si>
    <t>FT10.76</t>
  </si>
  <si>
    <t>FT11.14</t>
  </si>
  <si>
    <t>FT11.52</t>
  </si>
  <si>
    <t>FS10.76</t>
  </si>
  <si>
    <t>FS11.14</t>
  </si>
  <si>
    <t>FS11.52</t>
  </si>
  <si>
    <t>FM08</t>
  </si>
  <si>
    <t>FM10.76</t>
  </si>
  <si>
    <t>FM11.14</t>
  </si>
  <si>
    <t>FM11.52</t>
  </si>
  <si>
    <t>FT11.14.2T</t>
  </si>
  <si>
    <t>FT11.52.2T</t>
  </si>
  <si>
    <t>FS11.14.2T</t>
  </si>
  <si>
    <t>FS11.52.2T</t>
  </si>
  <si>
    <t>FM10.76.2T</t>
  </si>
  <si>
    <t>FM11.14.2T</t>
  </si>
  <si>
    <t>FM11.52.2T</t>
  </si>
  <si>
    <t>FL10.76.2T</t>
  </si>
  <si>
    <t>FT10.76.2T.RD</t>
  </si>
  <si>
    <t>FT10.76.2T.RN</t>
  </si>
  <si>
    <t>Film trong</t>
  </si>
  <si>
    <t>Film sữa</t>
  </si>
  <si>
    <t>Film màu</t>
  </si>
  <si>
    <t>Film lụa</t>
  </si>
  <si>
    <t>FT11.14.2T.RD</t>
  </si>
  <si>
    <t>FT11.14.2T.TN</t>
  </si>
  <si>
    <t>HT16.2T</t>
  </si>
  <si>
    <t>Kính hộp cường lực 2 lớp 16 mm (5-6-5) trong</t>
  </si>
  <si>
    <t>HT19.2T</t>
  </si>
  <si>
    <t>HT19.2T.865</t>
  </si>
  <si>
    <t>HT20.2T</t>
  </si>
  <si>
    <t>Kính hộp cường lực 2 lớp 19 mm (5-9-5) trong</t>
  </si>
  <si>
    <t>Kính hộp cường lực 2 lớp 19 mm (8-6-5) trong</t>
  </si>
  <si>
    <t>Kính hộp cường lực 2 lớp 20 mm (8-6-8) trong</t>
  </si>
  <si>
    <t>HT22.2T</t>
  </si>
  <si>
    <t>HT25.2T</t>
  </si>
  <si>
    <t>Kính hộp cường lực 2 lớp 22 mm (8-9-5) trong</t>
  </si>
  <si>
    <t>Kính hộp cường lực 2 lớp 25 mm (8-9-8) trong</t>
  </si>
  <si>
    <t>HT16.2T.NN.T</t>
  </si>
  <si>
    <t>HT16.2T.NN.D</t>
  </si>
  <si>
    <t>HT16.2T.NN.X</t>
  </si>
  <si>
    <t>HT16.2T.NN.G</t>
  </si>
  <si>
    <t>Nan nhôm STĐ Trắng</t>
  </si>
  <si>
    <t>Nan nhôm STĐ đen</t>
  </si>
  <si>
    <t>Nan nhôm STĐ xám</t>
  </si>
  <si>
    <t>Nan nhôm STĐ vân gỗ</t>
  </si>
  <si>
    <t>HT19.2T.NN.T</t>
  </si>
  <si>
    <t>HT19.2T.NN.D</t>
  </si>
  <si>
    <t>HT19.2T.NN.X</t>
  </si>
  <si>
    <t>HT19.2T.NN.G</t>
  </si>
  <si>
    <t>HT19.2T.865.NN.T</t>
  </si>
  <si>
    <t>HT19.2T.865.NN.D</t>
  </si>
  <si>
    <t>HT19.2T.865.NN.X</t>
  </si>
  <si>
    <t>HT19.2T.865.NN.G</t>
  </si>
  <si>
    <t>HT20.2T.NN.T</t>
  </si>
  <si>
    <t>HT20.2T.NN.D</t>
  </si>
  <si>
    <t>HT20.2T.NN.X</t>
  </si>
  <si>
    <t>HT20.2T.NN.G</t>
  </si>
  <si>
    <t>HT22.2T.NN.T</t>
  </si>
  <si>
    <t>HT22.2T.NN.D</t>
  </si>
  <si>
    <t>HT22.2T.NN.X</t>
  </si>
  <si>
    <t>HT22.2T.NN.G</t>
  </si>
  <si>
    <t>HT16.2T.ND.TK</t>
  </si>
  <si>
    <t>Nan đồng theo thiết kế</t>
  </si>
  <si>
    <t>HT19.2T.ND.TK</t>
  </si>
  <si>
    <t>HT20.2T.ND.TK</t>
  </si>
  <si>
    <t>HT22.2T.ND.TK</t>
  </si>
  <si>
    <t>HT25.2T.ND.TK</t>
  </si>
  <si>
    <t>HT19.2T.865.ND.TK</t>
  </si>
  <si>
    <t>HT29.2T.RC.T</t>
  </si>
  <si>
    <t>Rèm cơ trắng</t>
  </si>
  <si>
    <t>HT29.2T.RC.B</t>
  </si>
  <si>
    <t>Rèm cơ bạc</t>
  </si>
  <si>
    <t>HT29.2T.RC.V</t>
  </si>
  <si>
    <t>Rèm cơ vàng gold</t>
  </si>
  <si>
    <t>Glass 
Thickness (mm)</t>
  </si>
  <si>
    <t>S920</t>
  </si>
  <si>
    <t>S921</t>
  </si>
  <si>
    <t>CHIỀU DÀI (m)</t>
  </si>
  <si>
    <t>STG23</t>
  </si>
  <si>
    <t>Handle/ Tay nắm âm cửa lùa có chìa khóa</t>
  </si>
  <si>
    <t>âm có chìa khóa</t>
  </si>
  <si>
    <t>DT200-55-DR</t>
  </si>
  <si>
    <t>DT400-55-DR</t>
  </si>
  <si>
    <t>TK-27G</t>
  </si>
  <si>
    <t>JML04</t>
  </si>
  <si>
    <t>chữ D lớnR</t>
  </si>
  <si>
    <t>chữ D lớnL</t>
  </si>
  <si>
    <t>Sliding lock/ Tay nắm chữ D lớn cửa đi lùa 93 - TRÁI</t>
  </si>
  <si>
    <t>Sliding lock/ Tay nắm chữ D lớn cửa đi lùa 93 -PHẢI</t>
  </si>
  <si>
    <t>JCZMK02</t>
  </si>
  <si>
    <t>Miệng khóa</t>
  </si>
  <si>
    <t>chữ D lớn</t>
  </si>
  <si>
    <t>JTMK28A</t>
  </si>
  <si>
    <t>JTMK001</t>
  </si>
  <si>
    <t>Ốp khóa</t>
  </si>
  <si>
    <t>JSX60Y-30T</t>
  </si>
  <si>
    <t>Lõi khóa 1 đầu chìa 1 núm vặn</t>
  </si>
  <si>
    <t>Cửa đi mở trượt 3 cánh 2 ray - XINGFA 93</t>
  </si>
  <si>
    <t>DT3XF-93-2R</t>
  </si>
  <si>
    <t>W/3-80</t>
  </si>
  <si>
    <t>W/3-18</t>
  </si>
  <si>
    <t>DT200-93-FIX-3H</t>
  </si>
  <si>
    <t>DT200-93-FIX-DR</t>
  </si>
  <si>
    <t>DT200-93-FIX-KL</t>
  </si>
  <si>
    <t>DT400-93-FIX-3H</t>
  </si>
  <si>
    <t>DT400-93-FIX-DR</t>
  </si>
  <si>
    <t>DT400-93-FIX-KL</t>
  </si>
  <si>
    <t>ST200-93-FIX-KL</t>
  </si>
  <si>
    <t>ST400-93-FIX-KL</t>
  </si>
  <si>
    <t>DT300-93-2R-3H</t>
  </si>
  <si>
    <t>(W/3 - 80 - 16)*(H - 45 - 96)</t>
  </si>
  <si>
    <t>(W/3 - 18 - 16)*(H - 45 - 96)</t>
  </si>
  <si>
    <t>DT300-93-2R-DR</t>
  </si>
  <si>
    <t>ST300-93-2R-3H</t>
  </si>
  <si>
    <t>Cửa sổ mở trượt 3 cánh 2 ray - XINGFA 93</t>
  </si>
  <si>
    <t>ST300-93-2R-DR</t>
  </si>
  <si>
    <t>DT3XF-55-2R</t>
  </si>
  <si>
    <t>Cửa đi mở trượt 3 cánh 2 ray - XINGFA 55</t>
  </si>
  <si>
    <t>W/3 - 7</t>
  </si>
  <si>
    <t>W/3 + 55</t>
  </si>
  <si>
    <t>DT300-55-2R-3H</t>
  </si>
  <si>
    <t>ST300-55-2R-3H</t>
  </si>
  <si>
    <t>Cửa sổ mở trượt 3 cánh 2 ray - XINGFA 55</t>
  </si>
  <si>
    <t>DT300-55-KL</t>
  </si>
  <si>
    <t>DT300-55-2R-KL</t>
  </si>
  <si>
    <t>Cửa đi mở trượt 3 cánh 2 ray - XINGFA WINDOW 55</t>
  </si>
  <si>
    <t>Cửa đi mở trượt 3 cánh 3 ray - XINGFA WINDOW 55</t>
  </si>
  <si>
    <t>DT300-93-KL</t>
  </si>
  <si>
    <t>DT300-93-2R-KL</t>
  </si>
  <si>
    <t>Cửa đi mở trượt 3 cánh 2 ray - XINGFA WINDOW 93</t>
  </si>
  <si>
    <t>DT300-55-DR</t>
  </si>
  <si>
    <t>Cửa đi mở trượt 3 cánh 3 ray- XINGFA 55</t>
  </si>
  <si>
    <t>Cửa đi mở trượt 3 cánh 3 ray - XINGFA 55</t>
  </si>
  <si>
    <t>DT300-55-2R-DR</t>
  </si>
  <si>
    <t>ST300-55-DR</t>
  </si>
  <si>
    <t>Cửa sổ mở trượt 3 cánh 3 ray- XINGFA 55</t>
  </si>
  <si>
    <t>ST300-55-2R-DR</t>
  </si>
  <si>
    <t>Cửa sổ mở trượt 3 cánh 2 ray- XINGFA 55</t>
  </si>
  <si>
    <t>DT3XF-55</t>
  </si>
  <si>
    <t>Cửa đi mở trượt 3 cánh 2 ray- XINGFA 55</t>
  </si>
  <si>
    <t>Cửa sổ mở trượt 3 cánh 3 ray - XINGFA 55</t>
  </si>
  <si>
    <t>ST3XF-55</t>
  </si>
  <si>
    <t>ST3XF-55-2R</t>
  </si>
  <si>
    <t>DT3XW-93-2R</t>
  </si>
  <si>
    <t>DT3XW-55</t>
  </si>
  <si>
    <t>DT3XW-55-2R</t>
  </si>
  <si>
    <t>(W/3 - 7 - 53*2)*(H - 78 - 53*2)</t>
  </si>
  <si>
    <t>(W/3 + 55 - 53*2)*(H - 78 - 53*2)</t>
  </si>
  <si>
    <t>Cửa đi mở trượt TREO 2 cánh - XINGFA 55</t>
  </si>
  <si>
    <t>DT2XF-55-TR</t>
  </si>
  <si>
    <t>H + 150</t>
  </si>
  <si>
    <t>Astragal 55</t>
  </si>
  <si>
    <t>4</t>
  </si>
  <si>
    <t>1</t>
  </si>
  <si>
    <t>2</t>
  </si>
  <si>
    <t>(W - 10)/2</t>
  </si>
  <si>
    <t>((W - 10)/2 - 53*2)*(H - 53*2)</t>
  </si>
  <si>
    <t>ST3XF-93-2R</t>
  </si>
  <si>
    <t>Cửa sổ mở trượt 2 cánh 2 ray - XINGFA 93</t>
  </si>
  <si>
    <t>DT200-55-TR-3H</t>
  </si>
  <si>
    <t>BX8-VICKINI</t>
  </si>
  <si>
    <t>RayTreo</t>
  </si>
  <si>
    <t>Ray treo cửa trượt treo hệ 55</t>
  </si>
  <si>
    <t>W * 2 +200</t>
  </si>
  <si>
    <t>Bánh xe trượt ray 10*30mm (8 bánh/bộ/cánh)</t>
  </si>
  <si>
    <t>DT1XF-55-TR</t>
  </si>
  <si>
    <t>Cửa đi mở trượt TREO 1 cánh - XINGFA 55</t>
  </si>
  <si>
    <t>DT100-55-TR-3H</t>
  </si>
  <si>
    <t>(W - 53*2)*(H - 53*2)</t>
  </si>
  <si>
    <t>T7052</t>
  </si>
  <si>
    <t>T7053</t>
  </si>
  <si>
    <t>T7054</t>
  </si>
  <si>
    <t>Khung cánh đứng không gờ</t>
  </si>
  <si>
    <t>Khung cánh đứng có gờ</t>
  </si>
  <si>
    <t>Đố cánh</t>
  </si>
  <si>
    <t>W - 30*2</t>
  </si>
  <si>
    <t>H - 35 - 8</t>
  </si>
  <si>
    <t>W - 70 - 35*2</t>
  </si>
  <si>
    <t>ROUND((W - 76)/2,0)</t>
  </si>
  <si>
    <t>ROUND((W - 76)/2,0) - 35*2</t>
  </si>
  <si>
    <t>Vách kính - VN 700</t>
  </si>
  <si>
    <t>T7109</t>
  </si>
  <si>
    <t>Khung bao fixed</t>
  </si>
  <si>
    <t>W - 23*2</t>
  </si>
  <si>
    <t>DQ1VN-700</t>
  </si>
  <si>
    <t>DQ2VN-700</t>
  </si>
  <si>
    <t>Cửa đi mở quay 1 cánh - VN 700</t>
  </si>
  <si>
    <t>Cửa đi mở quay 2 cánh - VN 700</t>
  </si>
  <si>
    <t>(W - 23*2 - 26*2)*(H - 33*2)</t>
  </si>
  <si>
    <t>(W - 70 - 86)*(h1 - 8 - 86)</t>
  </si>
  <si>
    <t>((W - 76)/2 - 86)*(h1 - 8 - 86)</t>
  </si>
  <si>
    <t>Cửa đi mở quay 1 cánh  - VN700</t>
  </si>
  <si>
    <t>Cửa đi mở quay 2 cánh  - VN700</t>
  </si>
  <si>
    <t>(W - 70 - 86)*(H - 35 - 8 - (h1 - 8) - 86)</t>
  </si>
  <si>
    <t>((W - 76)/2 - 86)*(H - 35 - 8 - (h1 - 8) - 86)</t>
  </si>
  <si>
    <t>MP</t>
  </si>
  <si>
    <t>MAXPRO</t>
  </si>
  <si>
    <t>JP-65105</t>
  </si>
  <si>
    <t>Khung bao cửa đi mở 65</t>
  </si>
  <si>
    <t>Cánh cửa đi mở ra H65</t>
  </si>
  <si>
    <t>Cánh cửa đi mở vào H65</t>
  </si>
  <si>
    <t>JP-65107</t>
  </si>
  <si>
    <t>JP-65123</t>
  </si>
  <si>
    <t>JP-8314</t>
  </si>
  <si>
    <t>JP-8320</t>
  </si>
  <si>
    <t>Ốp đáy cánh H65</t>
  </si>
  <si>
    <t>JP-8315</t>
  </si>
  <si>
    <t>JP-15227</t>
  </si>
  <si>
    <t>Cửa đi mở quay 1 cánh  - MAXPRO 65</t>
  </si>
  <si>
    <t>DQ1MP-65</t>
  </si>
  <si>
    <t>W - 40.2*2</t>
  </si>
  <si>
    <t>H - 40.2 + Ngậm/hở nền</t>
  </si>
  <si>
    <t>W - 40.2*2 - 30*2</t>
  </si>
  <si>
    <t>W - 40.2*2 - 78.7*2</t>
  </si>
  <si>
    <t>H - 40.2 + Ngậm/hở nền - 97.4*2</t>
  </si>
  <si>
    <t>MAXPRO - Bảo hành 1 năm</t>
  </si>
  <si>
    <t>JP-65108</t>
  </si>
  <si>
    <t>Nẹp kính hộp</t>
  </si>
  <si>
    <t>Nẹp kính rèm</t>
  </si>
  <si>
    <t>Nẹp kính 8-10mm</t>
  </si>
  <si>
    <t>Khung bao 1 gờ</t>
  </si>
  <si>
    <t>T7008</t>
  </si>
  <si>
    <t>Hộp 2 gờ 30*70</t>
  </si>
  <si>
    <t>Hệ 700</t>
  </si>
  <si>
    <t>7T</t>
  </si>
  <si>
    <t>HỆ 700</t>
  </si>
  <si>
    <t>HỆ 700 - Bảo hành 1 năm</t>
  </si>
  <si>
    <t>Tay nắm tròn NEO</t>
  </si>
  <si>
    <t>TNT-NEO</t>
  </si>
  <si>
    <t>TNT-PASINI</t>
  </si>
  <si>
    <t>TNG-BOSCA</t>
  </si>
  <si>
    <t>Tay nắm tròn PASINI</t>
  </si>
  <si>
    <t>TNG-JEELY</t>
  </si>
  <si>
    <t>Tay nắm tròn BOSCA (bao gồm gear, thân khóa, lõi khóa)</t>
  </si>
  <si>
    <t>Tay nắm tròn JEELY (bao gồm gear, thân khóa, lõi khóa)</t>
  </si>
  <si>
    <t>Bản lề góc</t>
  </si>
  <si>
    <t>Bản lề inox 1T NEO</t>
  </si>
  <si>
    <t>Bản lề inox 1T3 NEO</t>
  </si>
  <si>
    <t>BLG</t>
  </si>
  <si>
    <t>BL-INOX-1TNEO</t>
  </si>
  <si>
    <t>BL-INOX-1T3NEO</t>
  </si>
  <si>
    <t>DQ100-700-7T</t>
  </si>
  <si>
    <t>Gioăng nhét 8mm</t>
  </si>
  <si>
    <t>H*Số cánh</t>
  </si>
  <si>
    <t>30m/cuộn</t>
  </si>
  <si>
    <t>GN8mm</t>
  </si>
  <si>
    <t>RIVE</t>
  </si>
  <si>
    <t>Rive</t>
  </si>
  <si>
    <t>8 * 3 + 5</t>
  </si>
  <si>
    <t>8 * 3*2 + 5</t>
  </si>
  <si>
    <t>DQ200-700-7T</t>
  </si>
  <si>
    <t>Chốt âm cánh phụ TP</t>
  </si>
  <si>
    <t>ChotAmCP</t>
  </si>
  <si>
    <t>Tay nắm gạt BOSCA (bao gồm gear, thân khóa, lõi khóa)</t>
  </si>
  <si>
    <t>Tay nắm gạt JEELY (bao gồm gear, thân khóa, lõi khóa)</t>
  </si>
  <si>
    <t>tròn NEO</t>
  </si>
  <si>
    <t>tròn PASINI</t>
  </si>
  <si>
    <t>gạt BOSCA</t>
  </si>
  <si>
    <t>gạt JEELY</t>
  </si>
  <si>
    <t>góc</t>
  </si>
  <si>
    <t>inox 1T NEO</t>
  </si>
  <si>
    <t>inox 1T3 NEO</t>
  </si>
  <si>
    <t>DT2XW-55-TR</t>
  </si>
  <si>
    <t>DT1XW-55-TR</t>
  </si>
  <si>
    <t>Cửa đi mở trượt TREO 2 cánh - XINGFA WINDOW 55</t>
  </si>
  <si>
    <t>Cửa đi mở trượt TREO 1 cánh - XINGFA WINDOW 55</t>
  </si>
  <si>
    <t>DT200-55-TR-KL</t>
  </si>
  <si>
    <t>Cửa đi mở trượt treo 2 cánh - XINGFA WINDOW 55</t>
  </si>
  <si>
    <t>DT100-55-TR-KL</t>
  </si>
  <si>
    <t>Cửa đi mở trượt treo 1 cánh - XINGFA WINDOW 55</t>
  </si>
  <si>
    <t>000VN</t>
  </si>
  <si>
    <t>VN700 - Đố cố định</t>
  </si>
  <si>
    <t>V25</t>
  </si>
  <si>
    <t>Pat chia đố XF + XW</t>
  </si>
  <si>
    <t>Pat chia đố VN700 T7008</t>
  </si>
  <si>
    <t>SL*4</t>
  </si>
  <si>
    <t>SL*1</t>
  </si>
  <si>
    <t>T4332</t>
  </si>
  <si>
    <t>Lá hộp gân</t>
  </si>
  <si>
    <t>000VN-700</t>
  </si>
  <si>
    <t>TKX-7P</t>
  </si>
  <si>
    <t>Vít tắc kê xanh + vít 7 phân</t>
  </si>
  <si>
    <t>Vít tắc kê xanh râu 5 phân</t>
  </si>
  <si>
    <t>TKXR-5P</t>
  </si>
  <si>
    <t>TKXR-7P</t>
  </si>
  <si>
    <t>Vít tắc kê râu xanh + vít 7 phân</t>
  </si>
  <si>
    <t>VC700L</t>
  </si>
  <si>
    <t>Ke vĩnh cửu cánh cửa đi 700 28*26.5</t>
  </si>
  <si>
    <t>(W - 40.2*2 - 84*2)*(H - 40.2 + Ngậm/hở nền - 84*2)</t>
  </si>
  <si>
    <t>DQ2MP-65</t>
  </si>
  <si>
    <t>Cửa đi mở quay 2 cánh  - MAXPRO 65</t>
  </si>
  <si>
    <t>JP-65214</t>
  </si>
  <si>
    <t>Threshold 16mm</t>
  </si>
  <si>
    <t>W - 43.2*2</t>
  </si>
  <si>
    <t>(W - 40.2*2 -7)/2</t>
  </si>
  <si>
    <t>(W - 40.2*2 -7)/2 - 30*2</t>
  </si>
  <si>
    <t>JP-65109</t>
  </si>
  <si>
    <t>Đố động cửa đi &amp; sổ H65</t>
  </si>
  <si>
    <t>H - 40.2 + Ngậm/hở nền - 30 - 19.5</t>
  </si>
  <si>
    <t>H - 40.2 + Ngậm/hở nền - 30 - 30</t>
  </si>
  <si>
    <t>(W - 40.2*2 -7)/2 - 78.7*2</t>
  </si>
  <si>
    <t>H - 40.2 + Ngậm/hở nền - 30</t>
  </si>
  <si>
    <t>( (W-40.2*2-7)/2 - 84*2)*(H - 40.2 + Ngậm/hở nền - 84*2)</t>
  </si>
  <si>
    <t>NGƯỜI KIỂM</t>
  </si>
  <si>
    <t xml:space="preserve">        KHÁCH HÀNG</t>
  </si>
  <si>
    <t xml:space="preserve">NGƯỜI LẬP        </t>
  </si>
  <si>
    <t>Đơn Giá profile + kính
 (Đồng/ĐVT)
(3)</t>
  </si>
  <si>
    <t>Đơn Giá PK
 (Đồng/bộ)
(4)</t>
  </si>
  <si>
    <t/>
  </si>
  <si>
    <t>PHẦN THAY THẾ/ĐIỀU CHỈNH ( NẾU CÓ)</t>
  </si>
  <si>
    <t>Ngày</t>
  </si>
  <si>
    <t>Lần Báo Giá</t>
  </si>
  <si>
    <t>Nội dung điều chỉnh</t>
  </si>
  <si>
    <t>Mã cửa điều chỉnh</t>
  </si>
  <si>
    <t>Ghi chú ( Nếu có)</t>
  </si>
  <si>
    <t>NHẬT KÝ BÁO GIÁ</t>
  </si>
  <si>
    <t>NG</t>
  </si>
  <si>
    <t>Nẹp gài VN 700</t>
  </si>
  <si>
    <t>VK0NG-700</t>
  </si>
  <si>
    <t>test vị trí</t>
  </si>
  <si>
    <t>Chu vi (m)/100 - IFERROR((NG Cửa sổ/VK/1000)/7,0)- IFERROR((NG Cửa đi/1000)/7,0)</t>
  </si>
  <si>
    <t>NCC</t>
  </si>
  <si>
    <t>Hãng NVL</t>
  </si>
  <si>
    <t>GHI TÊN NCC BÊN NVLSX CỘT Y</t>
  </si>
  <si>
    <t>GHI TÊN HÃNG BÊN NVLSX CỘT Z</t>
  </si>
  <si>
    <t>HÃNG</t>
  </si>
  <si>
    <t>Địa điểm cấp NVL</t>
  </si>
  <si>
    <t>GHI NƠI CẤP BÊN NVLSX CỘT AA</t>
  </si>
  <si>
    <t>Nơi cấp (Factory/On Site)</t>
  </si>
  <si>
    <t>In PO theo đợt</t>
  </si>
  <si>
    <t>XKNVL</t>
  </si>
  <si>
    <t>TỈNH&gt;200km</t>
  </si>
  <si>
    <t>Chi phí lắp đặt ở Tỉnh &gt; 200km</t>
  </si>
  <si>
    <t>Không lắp đặt và không vệ sinh, cấp VT LĐVS</t>
  </si>
  <si>
    <t>Không LĐ &amp; VS + Có cấp VT LĐVS</t>
  </si>
  <si>
    <t>Không LĐ &amp; VS + Không cấp VT LĐVS</t>
  </si>
  <si>
    <t>Gia Công SX &amp; LĐ &amp; VS</t>
  </si>
  <si>
    <t>Thi Công Khó</t>
  </si>
  <si>
    <t>Không lắp đặt và không vệ sinh, Không cấp VT LĐVS</t>
  </si>
  <si>
    <t>Gia Công SX</t>
  </si>
  <si>
    <t>Gia Công LĐ &amp; VS</t>
  </si>
  <si>
    <t>GC</t>
  </si>
  <si>
    <t>DG kính</t>
  </si>
  <si>
    <t>Thi Công Dễ</t>
  </si>
  <si>
    <t>Không</t>
  </si>
  <si>
    <t>Cửa mở Trượt (Lùa) 55</t>
  </si>
  <si>
    <t>Vị trí / Ghi chú</t>
  </si>
  <si>
    <t xml:space="preserve">Tên NCC </t>
  </si>
  <si>
    <t>Tên hãng NVL</t>
  </si>
  <si>
    <t>Xưởng sản xuất</t>
  </si>
  <si>
    <t>Nơi cấp vật tư</t>
  </si>
  <si>
    <t>Kính đơn 6 mm cường lực nhúng mờ</t>
  </si>
  <si>
    <t>Kính đơn 10 mm cường lực nhúng mờ</t>
  </si>
  <si>
    <t>Kính đơn 12 mm cường lực nhúng mờ</t>
  </si>
  <si>
    <t>Kính đơn 15 mm cường lực nhúng mờ</t>
  </si>
  <si>
    <t>Kính phản quang 5 mm cường lực xanh lá</t>
  </si>
  <si>
    <t>Kính phản quang 5 mm cường lực xanh biển</t>
  </si>
  <si>
    <t>Kính phản quang 8 mm cường lực xám</t>
  </si>
  <si>
    <t>Kính phản quang 8 mm cường lực xanh lá</t>
  </si>
  <si>
    <t>Kính phản quang 8 mm cường lực xanh biển</t>
  </si>
  <si>
    <t>Trà</t>
  </si>
  <si>
    <t>Khổ kính tối đa</t>
  </si>
  <si>
    <t>CÔNG TY TNHH TM SX GREEN STAR</t>
  </si>
  <si>
    <t>CÔNG TY TNHH MTV XD TM DV VẠN PHƯỚC THỊNH</t>
  </si>
  <si>
    <t>CÔNG TY CP XNK MINH LONG SÀI GÒN</t>
  </si>
  <si>
    <t>CÔNG TY TNHH TM DV XNK PHÚ GIA PHÁT</t>
  </si>
  <si>
    <t>CÔNG TY CP XNK VÀ CÔNG NGHỆ VIỆT NAM</t>
  </si>
  <si>
    <t>CÔNG TY CP CÔNG NGHỆ KÍNH LIÊN CHÂU LỤC</t>
  </si>
  <si>
    <t>Kính Trường Sơn</t>
  </si>
  <si>
    <t>CÔNG TY TNHH MTV SX TM NHÔM KIM LONG</t>
  </si>
  <si>
    <t>CÔNG TY TNHH DRAHO VIỆT NAM</t>
  </si>
  <si>
    <t>CTY TNHH TM DV XÂY DỰNG CƠ KHÍ THIÊN PHÁT</t>
  </si>
  <si>
    <t>Đại Dương GLASS</t>
  </si>
  <si>
    <t>CÔNG TY TNHH SX TM ỐC VÍT LIÊN KẾT</t>
  </si>
  <si>
    <t>CỬA HÀNG NHÔM HỒNG HẠNH</t>
  </si>
  <si>
    <t>CÔNG TY CPTM PHÚ HOÀN ANH</t>
  </si>
  <si>
    <t>Kính Phát Đạt</t>
  </si>
  <si>
    <t>An Sắt STĐ</t>
  </si>
  <si>
    <t>CÔNG TY TNHH LIXIL VIỆT NAM</t>
  </si>
  <si>
    <t>PHỤ KIỆN PHONG PHÚ</t>
  </si>
  <si>
    <t>CTY TNHH AN ĐẠI HƯNG</t>
  </si>
  <si>
    <t>CÔNG TY TNHH KCC SÀI GÒN</t>
  </si>
  <si>
    <t>TÀI LỘC WINDOW</t>
  </si>
  <si>
    <t>CÔNG TY TNHH MTV CỬA SỔ XANH</t>
  </si>
  <si>
    <t>CÔNG TY TNHH TƯ VẤN THUẾ - KẾ TOÁN ĐẠI THỊNH PHÁT</t>
  </si>
  <si>
    <t>CÔNG TY TNHH SX DV TM CÔNG NGHỆ VIỆT NHẬT</t>
  </si>
  <si>
    <t>CÔNG TY TNHH THIÊN PHÚ</t>
  </si>
  <si>
    <t>CÔNG TY TNHH KIN LONG VIỆT NAM</t>
  </si>
  <si>
    <t>CÔNG TY TNHH XNK TRUNG CHÍNH</t>
  </si>
  <si>
    <t>TRUNG TÂM KD VNPT TPHCM - CN TỔNG CÔNG TY DV VIỄN THÔNG</t>
  </si>
  <si>
    <t>INOX MINH PHÁT</t>
  </si>
  <si>
    <t>CÔNG TY TNHH CÔNG NGHỆ GIẢI PHÁP NEW SIGN</t>
  </si>
  <si>
    <t>CÔNG TY TNHH MTV SX - TM HÙNG LONG</t>
  </si>
  <si>
    <t>CÔNG TY TNHH HOA THEO MÙA</t>
  </si>
  <si>
    <t>CÔNG TY SALEM</t>
  </si>
  <si>
    <t>CÔNG TY TNHH TM DV SAO MAI VÀNG</t>
  </si>
  <si>
    <t>CÔNG TY TNHH PHÁT TRIỂN TM VINAMAX</t>
  </si>
  <si>
    <t>PHỤ KIỆN HAI QUỐC</t>
  </si>
  <si>
    <t>CÔNG TY TNHH TM DV Kính Xây Dựng Đại Phúc</t>
  </si>
  <si>
    <t>CÔNG TY TNHH TM DV SX CƠ KHÍ VÂN PHONG</t>
  </si>
  <si>
    <t>CÔNG TY TNHH ĐẦU TƯ &amp; TM CASA VIỆT NAM</t>
  </si>
  <si>
    <t>CIVRO</t>
  </si>
  <si>
    <t>PMI</t>
  </si>
  <si>
    <t>NAMSUNG</t>
  </si>
  <si>
    <t>SLIM</t>
  </si>
  <si>
    <t>ỐC VÍT</t>
  </si>
  <si>
    <t>SILICONE</t>
  </si>
  <si>
    <t>BAIYUN</t>
  </si>
  <si>
    <t>KEO ÉP GÓC</t>
  </si>
  <si>
    <t>VẬT TƯ VỆ SINH</t>
  </si>
  <si>
    <t>XINGFA NHẬP KHẨU</t>
  </si>
  <si>
    <t>Kính đơn cường lực 4 mm trong</t>
  </si>
  <si>
    <t>KT04T</t>
  </si>
  <si>
    <t>Kính đơn 8 mm cường lực nhúng mờ</t>
  </si>
  <si>
    <t>KX05</t>
  </si>
  <si>
    <t>KX08</t>
  </si>
  <si>
    <t>KX10</t>
  </si>
  <si>
    <t>KX12</t>
  </si>
  <si>
    <t>Kính màu 5 mm xám khói</t>
  </si>
  <si>
    <t>Kính màu 8 mm xám khói</t>
  </si>
  <si>
    <t>Kính màu 10 mm xám khói</t>
  </si>
  <si>
    <t>Kính màu 12 mm xám khói</t>
  </si>
  <si>
    <t>Kính màu 5 mm xanh lá</t>
  </si>
  <si>
    <t>KG05</t>
  </si>
  <si>
    <t>KG08</t>
  </si>
  <si>
    <t>KG10</t>
  </si>
  <si>
    <t>KG12</t>
  </si>
  <si>
    <t>Kính màu 8 mm xanh lá</t>
  </si>
  <si>
    <t>Kính màu 10 mm xanh lá</t>
  </si>
  <si>
    <t>Kính màu 12 mm xanh lá</t>
  </si>
  <si>
    <t>KB05</t>
  </si>
  <si>
    <t>KB08</t>
  </si>
  <si>
    <t>KB10</t>
  </si>
  <si>
    <t>KB12</t>
  </si>
  <si>
    <t>Kính màu 5 mm xanh biển</t>
  </si>
  <si>
    <t>Kính màu 8 mm xanh biển</t>
  </si>
  <si>
    <t>Kính màu 10 mm xanh biển</t>
  </si>
  <si>
    <t>Kính màu 12 mm xanh biển</t>
  </si>
  <si>
    <t>KR05</t>
  </si>
  <si>
    <t>KR08</t>
  </si>
  <si>
    <t>KR10</t>
  </si>
  <si>
    <t>KR12</t>
  </si>
  <si>
    <t>Kính màu 5 mm trà</t>
  </si>
  <si>
    <t>Kính màu 8 mm trà</t>
  </si>
  <si>
    <t>Kính màu 10 mm trà</t>
  </si>
  <si>
    <t>Kính màu 12 mm trà</t>
  </si>
  <si>
    <t>Kính màu 5 mm đen</t>
  </si>
  <si>
    <t>Kính màu 8 mm đen</t>
  </si>
  <si>
    <t>Kính màu 10 mm đen</t>
  </si>
  <si>
    <t>Kính màu 12 mm đen</t>
  </si>
  <si>
    <t>KĐ05</t>
  </si>
  <si>
    <t>KĐ08</t>
  </si>
  <si>
    <t>KĐ10</t>
  </si>
  <si>
    <t>KĐ12</t>
  </si>
  <si>
    <t>KR05T</t>
  </si>
  <si>
    <t>KR08T</t>
  </si>
  <si>
    <t>KR10T</t>
  </si>
  <si>
    <t>KR12T</t>
  </si>
  <si>
    <t>KĐ05T</t>
  </si>
  <si>
    <t>KĐ08T</t>
  </si>
  <si>
    <t>KĐ10T</t>
  </si>
  <si>
    <t>Kính màu 5 mm xanh lá cường lực</t>
  </si>
  <si>
    <t>Kính màu 8 mm xanh lá cường lực</t>
  </si>
  <si>
    <t>Kính màu 10 mm xanh lá cường lực</t>
  </si>
  <si>
    <t>Kính màu 12 mm xanh lá cường lực</t>
  </si>
  <si>
    <t>Kính màu 5 mm xanh biển cường lực</t>
  </si>
  <si>
    <t>Kính màu 8 mm xanh biển cường lực</t>
  </si>
  <si>
    <t>Kính màu 10 mm xanh biển cường lực</t>
  </si>
  <si>
    <t>Kính màu 12 mm xanh biển cường lực</t>
  </si>
  <si>
    <t>Kính màu 5 mm trà cường lực</t>
  </si>
  <si>
    <t>Kính màu 8 mm trà cường lực</t>
  </si>
  <si>
    <t>Kính màu 10 mm trà cường lực</t>
  </si>
  <si>
    <t>Kính màu 12 mm trà cường lực</t>
  </si>
  <si>
    <t>Kính màu 5 mm đen cường lực</t>
  </si>
  <si>
    <t>Kính màu 8 mm đen cường lực</t>
  </si>
  <si>
    <t>Kính màu 10 mm đen cường lực</t>
  </si>
  <si>
    <t>KQ10TX</t>
  </si>
  <si>
    <t>Kính phản quang 5 mm cường lực xám</t>
  </si>
  <si>
    <t>Kính phản quang 10 mm cường lực xám</t>
  </si>
  <si>
    <t>Phản quang xám</t>
  </si>
  <si>
    <t>Kính phản quang 10 mm cường lực xanh biển</t>
  </si>
  <si>
    <t>Phản quang xanh biển</t>
  </si>
  <si>
    <t>Phản quang xanh lá</t>
  </si>
  <si>
    <t>Kính phản quang 10 mm cường lực xanh lá</t>
  </si>
  <si>
    <t>KQ10TB</t>
  </si>
  <si>
    <t>KQ10TL</t>
  </si>
  <si>
    <t>Kính solar 10 mm cường lực xanh lá</t>
  </si>
  <si>
    <t>solar xanh lá</t>
  </si>
  <si>
    <t>KS05TX</t>
  </si>
  <si>
    <t>KS08TX</t>
  </si>
  <si>
    <t>KS10TX</t>
  </si>
  <si>
    <t>KS05TB</t>
  </si>
  <si>
    <t>KS08TB</t>
  </si>
  <si>
    <t>KS10TB</t>
  </si>
  <si>
    <t>KS05TL</t>
  </si>
  <si>
    <t>KS08TL</t>
  </si>
  <si>
    <t>KS10TL</t>
  </si>
  <si>
    <t>Kính solar 5 mm cường lực xám</t>
  </si>
  <si>
    <t>Kính solar 8 mm cường lực xám</t>
  </si>
  <si>
    <t>Kính solar 10 mm cường lực xám</t>
  </si>
  <si>
    <t>Kính solar 5 mm cường lực xanh biển</t>
  </si>
  <si>
    <t>Kính solar 8 mm cường lực xanh biển</t>
  </si>
  <si>
    <t>Kính solar 10 mm cường lực xanh biển</t>
  </si>
  <si>
    <t>Kính solar 5 mm cường lực xanh lá</t>
  </si>
  <si>
    <t>Kính solar 8 mm cường lực xanh lá</t>
  </si>
  <si>
    <t>solar xám</t>
  </si>
  <si>
    <t>solar xanh biển</t>
  </si>
  <si>
    <t>KQ05X</t>
  </si>
  <si>
    <t>KQ08X</t>
  </si>
  <si>
    <t>KQ10X</t>
  </si>
  <si>
    <t>KQ05B</t>
  </si>
  <si>
    <t>KQ08B</t>
  </si>
  <si>
    <t>KQ10B</t>
  </si>
  <si>
    <t>KQ05L</t>
  </si>
  <si>
    <t>KQ08L</t>
  </si>
  <si>
    <t>KQ10L</t>
  </si>
  <si>
    <t>Kính phản quang 5 mm xám</t>
  </si>
  <si>
    <t>Kính phản quang 8 mm xám</t>
  </si>
  <si>
    <t>Kính phản quang 10 mm xám</t>
  </si>
  <si>
    <t>Kính phản quang 5 mm xanh biển</t>
  </si>
  <si>
    <t>Kính phản quang 8 mm xanh biển</t>
  </si>
  <si>
    <t>Kính phản quang 10 mm xanh biển</t>
  </si>
  <si>
    <t>Kính phản quang 5 mm xanh lá</t>
  </si>
  <si>
    <t>Kính phản quang 8 mm xanh lá</t>
  </si>
  <si>
    <t>Kính phản quang 10 mm xanh lá</t>
  </si>
  <si>
    <t>KS05X</t>
  </si>
  <si>
    <t>KS08X</t>
  </si>
  <si>
    <t>KS10X</t>
  </si>
  <si>
    <t>KS05B</t>
  </si>
  <si>
    <t>KS08B</t>
  </si>
  <si>
    <t>KS10B</t>
  </si>
  <si>
    <t>KS05L</t>
  </si>
  <si>
    <t>KS10L</t>
  </si>
  <si>
    <t>Kính solar 5 mm xám</t>
  </si>
  <si>
    <t>Kính solar 8 mm xám</t>
  </si>
  <si>
    <t>Kính solar 10 mm xám</t>
  </si>
  <si>
    <t>Kính solar 5 mm xanh biển</t>
  </si>
  <si>
    <t>Kính solar 8 mm xanh biển</t>
  </si>
  <si>
    <t>Kính solar 10 mm xanh biển</t>
  </si>
  <si>
    <t>Kính solar 5 mm xanh lá</t>
  </si>
  <si>
    <t>Kính solar 8 mm xanh lá</t>
  </si>
  <si>
    <t>Kính solar 10 mm xanh lá</t>
  </si>
  <si>
    <t>Kính ghép 6.38 mm (3-0.38PVB-3) film trong</t>
  </si>
  <si>
    <t>Kính ghép 8.38 mm (4-0.38PVB-4) film trong</t>
  </si>
  <si>
    <t>Kính ghép 6.38 mm (3-0.38PVB-3) film sữa</t>
  </si>
  <si>
    <t>Kính ghép 8.38 mm (4-0.38PVB-4) film sữa</t>
  </si>
  <si>
    <t>Kính ghép 8.38 mm (4-0.38PVB-4) film màu</t>
  </si>
  <si>
    <t>Kính ghép 10.76 mm (5-0.76PVB-5) film trong</t>
  </si>
  <si>
    <t>Kính ghép 11.14 mm (5-1.14PVB-5) film trong</t>
  </si>
  <si>
    <t>Kính ghép 11.52 mm (5-1.52PVB-5) film trong</t>
  </si>
  <si>
    <t>Kính ghép 10.76 mm (5-0.76PVB-5) film sữa</t>
  </si>
  <si>
    <t>Kính ghép 11.14 mm (5-1.14PVB-5) film sữa</t>
  </si>
  <si>
    <t>Kính ghép 11.52 mm (5-1.52PVB-5) film sữa</t>
  </si>
  <si>
    <t>Kính ghép 10.76 mm (5-0.76PVB-5) film màu</t>
  </si>
  <si>
    <t>Kính ghép 11.14 mm (5-1.14PVB-5) film màu</t>
  </si>
  <si>
    <t>Kính ghép 11.52 mm (5-1.52PVB-5) film màu</t>
  </si>
  <si>
    <t>Kính ghép cường lực 2 lớp 10.76 mm (5-0.76PVB-5) film trong</t>
  </si>
  <si>
    <t>Kính ghép cường lực 2 lớp 11.14  mm (5-1.14PVB-5) film trong</t>
  </si>
  <si>
    <t>Kính ghép cường lực 2 lớp 11.52 mm (5-1.52PVB-5) film trong</t>
  </si>
  <si>
    <t>Kính ghép cường lực 2 lớp 10.76 mm (5-0.76PVB-5) film sữa</t>
  </si>
  <si>
    <t>Kính ghép cường lực 2 lớp 11.14 mm (5-1.14PVB-5) film sữa</t>
  </si>
  <si>
    <t>Kính ghép cường lực 2 lớp 11.52 mm (5-1.52PVB-5) film sữa</t>
  </si>
  <si>
    <t>Kính ghép cường lực 2 lớp 10.76 mm (5-0.76PVB-5) film màu</t>
  </si>
  <si>
    <t>Kính ghép cường lực 2 lớp 11.14 mm (5-1.14PVB-5) film màu</t>
  </si>
  <si>
    <t>Kính ghép cường lực 2 lớp 11.52 mm (5-1.52PVB-5) film màu</t>
  </si>
  <si>
    <t>Kính ghép cường lực 2 lớp 10.76 mm (5-0.76PVB-5) trong film lụa</t>
  </si>
  <si>
    <t>Kính ghép cường lực 2 lớp 10.76 mm (5-0.76PVB-5) trà đậm 1 mặt film trong</t>
  </si>
  <si>
    <t>Kính ghép cường lực 2 lớp 10.76 mm (5-0.76PVB-5) trà nhạt 1 mặt film trong</t>
  </si>
  <si>
    <t>Kính ghép cường lực 2 lớp 11.14 mm (5-1.14PVB-5) trà đậm 1 mặt film trong</t>
  </si>
  <si>
    <t>Kính ghép cường lực 2 lớp 11.14 mm (5-1.14PVB-5) trà nhạt 1 mặt film trong</t>
  </si>
  <si>
    <t>Kính hộp cường lực 2 lớp 16 mm (5-6-5) nan nhôm STĐ màu trắng</t>
  </si>
  <si>
    <t>Kính hộp cường lực 2 lớp 16 mm (5-6-5) nan nhôm STĐ màu đen</t>
  </si>
  <si>
    <t>Kính hộp cường lực 2 lớp 16 mm (5-6-5) nan nhôm STĐ màu xám</t>
  </si>
  <si>
    <t>Kính hộp cường lực 2 lớp 16 mm (5-6-5) nan nhôm STĐ màu vân gỗ</t>
  </si>
  <si>
    <t>Kính hộp cường lực 2 lớp 19 mm (5-9-5) nan nhôm STĐ màu trắng</t>
  </si>
  <si>
    <t>Kính hộp cường lực 2 lớp 19 mm (5-9-5) nan nhôm STĐ màu đen</t>
  </si>
  <si>
    <t>Kính hộp cường lực 2 lớp 19 mm (5-9-5) nan nhôm STĐ màu xám</t>
  </si>
  <si>
    <t>Kính hộp cường lực 2 lớp 19 mm (5-9-5) nan nhôm STĐ màu vân gỗ</t>
  </si>
  <si>
    <t>Kính hộp cường lực 2 lớp 19 mm (8-6-5) nan nhôm STĐ màu trắng</t>
  </si>
  <si>
    <t>Kính hộp cường lực 2 lớp 19 mm (8-6-5) nan nhôm STĐ màu đen</t>
  </si>
  <si>
    <t>Kính hộp cường lực 2 lớp 19 mm (8-6-5) nan nhôm STĐ màu xám</t>
  </si>
  <si>
    <t>Kính hộp cường lực 2 lớp 19 mm (8-6-5) nan nhôm STĐ màu vân gỗ</t>
  </si>
  <si>
    <t>Kính hộp cường lực 2 lớp 20 mm (8-6-8) nan nhôm STĐ màu trắng</t>
  </si>
  <si>
    <t>Kính hộp cường lực 2 lớp 20 mm (8-6-8) nan nhôm STĐ màu đen</t>
  </si>
  <si>
    <t>Kính hộp cường lực 2 lớp 20 mm (8-6-8) nan nhôm STĐ màu xám</t>
  </si>
  <si>
    <t>Kính hộp cường lực 2 lớp 20 mm (8-6-8) nan nhôm STĐ màu vân gỗ</t>
  </si>
  <si>
    <t>Kính hộp cường lực 2 lớp 22 mm (8-9-5) nan nhôm STĐ màu trắng</t>
  </si>
  <si>
    <t>Kính hộp cường lực 2 lớp 22 mm (8-9-5) nan nhôm STĐ màu đen</t>
  </si>
  <si>
    <t>Kính hộp cường lực 2 lớp 22 mm (8-9-5) nan nhôm STĐ màu xám</t>
  </si>
  <si>
    <t>Kính hộp cường lực 2 lớp 22 mm (8-9-5) nan nhôm STĐ màu vân gỗ</t>
  </si>
  <si>
    <t>Kính hộp cường lực 2 lớp 16 mm (5-6-5) nan đồng theo thiết kế</t>
  </si>
  <si>
    <t>Kính hộp cường lực 2 lớp 19 mm (5-9-5) nan đồng theo thiết kế</t>
  </si>
  <si>
    <t>Kính hộp cường lực 2 lớp 19 mm (8-6-5) nan đồng theo thiết kế</t>
  </si>
  <si>
    <t>Kính hộp cường lực 2 lớp 20 mm (8-6-8) nan đồng theo thiết kế</t>
  </si>
  <si>
    <t>Kính hộp cường lực 2 lớp 22 mm (8-9-5) nan đồng theo thiết kế</t>
  </si>
  <si>
    <t>Kính hộp cường lực 2 lớp 25 mm (8-9-8) nan đồng theo thiết kế</t>
  </si>
  <si>
    <t>Kính hộp cường lực 2 lớp 29 mm (5-19-5) có rèm kéo cơ tay màu trắng</t>
  </si>
  <si>
    <t>Kính hộp cường lực 2 lớp 29 mm (5-19-5) có rèm kéo cơ tay màu bạc</t>
  </si>
  <si>
    <t>Kính hộp cường lực 2 lớp 29 mm (5-19-5) có rèm kéo cơ tay màu vàng gold</t>
  </si>
  <si>
    <t>CÔNG TY TNHH TM DV KÍNH XÂY DỰNG ĐẠI PHÚC</t>
  </si>
  <si>
    <t>CÔNG TY TNHH TM XNK CÔNG NGHỆ ĐỨC LONG</t>
  </si>
  <si>
    <t>HT29.2T.RC.X</t>
  </si>
  <si>
    <t>HT29.2T.RC.XĐAK</t>
  </si>
  <si>
    <t>Kính hộp cường lực 2 lớp 29 mm (5-19-5) có rèm kéo cơ tay màu xám đen ánh kim</t>
  </si>
  <si>
    <t>Rèm cơ Xám đen ánh kim</t>
  </si>
  <si>
    <t>Kính hộp cường lực 2 lớp 29 mm (5-19-5) có rèm kéo cơ tay màu xám</t>
  </si>
  <si>
    <t>Rèm cơ xám</t>
  </si>
  <si>
    <t>NN.Đ</t>
  </si>
  <si>
    <t>NN.T</t>
  </si>
  <si>
    <t>NN.X</t>
  </si>
  <si>
    <t>Nan nhôm STĐ trắng</t>
  </si>
  <si>
    <t>NN.VG</t>
  </si>
  <si>
    <t>NĐ</t>
  </si>
  <si>
    <t>Nan đồng</t>
  </si>
  <si>
    <t>HĐ</t>
  </si>
  <si>
    <t>Hoa đồng</t>
  </si>
  <si>
    <t>CNNN</t>
  </si>
  <si>
    <t>CTNN</t>
  </si>
  <si>
    <t>Chữ thập nan nhôm</t>
  </si>
  <si>
    <t>Co nối nan nhôm</t>
  </si>
  <si>
    <t>cái</t>
  </si>
  <si>
    <t>CNNĐ</t>
  </si>
  <si>
    <t>Co nối nan đồng</t>
  </si>
  <si>
    <t>Hoa đồng theo thiết kế riêng</t>
  </si>
  <si>
    <t>HĐTTK</t>
  </si>
  <si>
    <t>Đồng</t>
  </si>
  <si>
    <t>đen</t>
  </si>
  <si>
    <t>trắng</t>
  </si>
  <si>
    <t>xám</t>
  </si>
  <si>
    <t>vân gỗ</t>
  </si>
  <si>
    <t>CLT</t>
  </si>
  <si>
    <t>Cường lực thẳng</t>
  </si>
  <si>
    <t>CLC5R&lt;1500</t>
  </si>
  <si>
    <t>CLC6R&lt;1500</t>
  </si>
  <si>
    <t>CLC8R&lt;1500</t>
  </si>
  <si>
    <t>CLC10R&lt;1500</t>
  </si>
  <si>
    <t>CLC12R&lt;1500</t>
  </si>
  <si>
    <t>CLC15R&lt;1500</t>
  </si>
  <si>
    <t>CLC5R&gt;1500</t>
  </si>
  <si>
    <t>CLC6R&gt;1500</t>
  </si>
  <si>
    <t>CLC8R&gt;1500</t>
  </si>
  <si>
    <t>CLC10R&gt;1500</t>
  </si>
  <si>
    <t>CLC12R&gt;1500</t>
  </si>
  <si>
    <t>CLC15R&gt;1500</t>
  </si>
  <si>
    <t>Cường lực cong kính 5 mm R nhỏ</t>
  </si>
  <si>
    <t>Cường lực cong kính 6 mm R nhỏ</t>
  </si>
  <si>
    <t>Cường lực cong kính 8 mm R nhỏ</t>
  </si>
  <si>
    <t>Cường lực cong kính 10mm R nhỏ</t>
  </si>
  <si>
    <t>Cường lực cong kính 12 mm R nhỏ</t>
  </si>
  <si>
    <t>Cường lực cong kính 15 mm R nhỏ</t>
  </si>
  <si>
    <t>Cường lực cong kính 5 mm R lớn</t>
  </si>
  <si>
    <t>Cường lực cong kính 6 mm R lớn</t>
  </si>
  <si>
    <t>Cường lực cong kính 8 mm R lớn</t>
  </si>
  <si>
    <t>Cường lực cong kính 10mm R lớn</t>
  </si>
  <si>
    <t>Cường lực cong kính 12 mm R lớn</t>
  </si>
  <si>
    <t>Cường lực cong kính 15 mm R lớn</t>
  </si>
  <si>
    <t>Mài bóng 8-10mm</t>
  </si>
  <si>
    <t>Mài bóng 12mm</t>
  </si>
  <si>
    <t>Mài bóng 4-6mm</t>
  </si>
  <si>
    <t>Mài bóng 15mm</t>
  </si>
  <si>
    <t>Khoét góc nhỏ</t>
  </si>
  <si>
    <t>Khoét góc lớn</t>
  </si>
  <si>
    <t>Khoét góc khó</t>
  </si>
  <si>
    <t>G001</t>
  </si>
  <si>
    <t>G002</t>
  </si>
  <si>
    <t>G003</t>
  </si>
  <si>
    <t>MV20</t>
  </si>
  <si>
    <t>Mài vát 20mm</t>
  </si>
  <si>
    <t>Mài vát 30mm</t>
  </si>
  <si>
    <t>MV30</t>
  </si>
  <si>
    <t>MV40</t>
  </si>
  <si>
    <t>Mài vát 40mm</t>
  </si>
  <si>
    <t>MV45</t>
  </si>
  <si>
    <t>Mài vát 45 độ</t>
  </si>
  <si>
    <t>MBT04-06</t>
  </si>
  <si>
    <t>MBT08-10</t>
  </si>
  <si>
    <t>MBT12</t>
  </si>
  <si>
    <t>MBT15</t>
  </si>
  <si>
    <t>MBC04-06</t>
  </si>
  <si>
    <t>MBC08-10</t>
  </si>
  <si>
    <t>MBC12</t>
  </si>
  <si>
    <t>MBC15</t>
  </si>
  <si>
    <t>Mài bóng cạnh cong 4-6mm</t>
  </si>
  <si>
    <t>Mài bóng cạnh cong 8-10mm</t>
  </si>
  <si>
    <t>Mài bóng cạnh cong 12mm</t>
  </si>
  <si>
    <t>Mài bóng cạnh cong 15mm</t>
  </si>
  <si>
    <t>Nhúng axit</t>
  </si>
  <si>
    <t>Dán PE 2 mặt</t>
  </si>
  <si>
    <t>AXIT</t>
  </si>
  <si>
    <t>PE</t>
  </si>
  <si>
    <t>PVBT.TQ</t>
  </si>
  <si>
    <t>PVBT.DP</t>
  </si>
  <si>
    <t>PVBS.TQ</t>
  </si>
  <si>
    <t>PVBM.DP</t>
  </si>
  <si>
    <t>PVBS.DP</t>
  </si>
  <si>
    <t>PVBM.TQ</t>
  </si>
  <si>
    <t>PVBC.TQ</t>
  </si>
  <si>
    <t>PVBC.DP</t>
  </si>
  <si>
    <t>GH06</t>
  </si>
  <si>
    <t>GH09</t>
  </si>
  <si>
    <t>GH12</t>
  </si>
  <si>
    <t>Gia công ghép hộp 6mm bơm khí Ag 90%</t>
  </si>
  <si>
    <t>Gia công ghép hộp 9mm bơm khí Ag 90%</t>
  </si>
  <si>
    <t>Gia công ghép hộp 12mm bơm khí Ag 90%</t>
  </si>
  <si>
    <t>KS06X</t>
  </si>
  <si>
    <t>KS06B</t>
  </si>
  <si>
    <t>KS06L</t>
  </si>
  <si>
    <t>Ghép phim trong 0.38mm</t>
  </si>
  <si>
    <t>Ghép phim trong 0.38mm keo dupont</t>
  </si>
  <si>
    <t>Ghép phim mờ 0.38mm</t>
  </si>
  <si>
    <t>Ghép phim mờ 0.38mm keo dupont</t>
  </si>
  <si>
    <t>Ghép phim màu 0.38mm</t>
  </si>
  <si>
    <t>Ghép phim màu 0.38mm keo dupont</t>
  </si>
  <si>
    <t>Cabin Tắm 90 độ (2 tấm kính, Tường-Kính-Kính)</t>
  </si>
  <si>
    <t>BHG220</t>
  </si>
  <si>
    <t>BHC220</t>
  </si>
  <si>
    <t>BHC210B</t>
  </si>
  <si>
    <t>BHD101A (500*300*D25)</t>
  </si>
  <si>
    <t>BCD-25</t>
  </si>
  <si>
    <t>BCI-25</t>
  </si>
  <si>
    <t>GG03-3000 (1.2*D25)</t>
  </si>
  <si>
    <t>BJT518 (L=2200mm)</t>
  </si>
  <si>
    <t>BJ635 (L=2200mm)</t>
  </si>
  <si>
    <t>Kẹp xoay</t>
  </si>
  <si>
    <t>Kẹp cố định</t>
  </si>
  <si>
    <t>Kẹp sàn</t>
  </si>
  <si>
    <t>Tay kéo</t>
  </si>
  <si>
    <t>Bát Tường</t>
  </si>
  <si>
    <t>Con Sỏ</t>
  </si>
  <si>
    <t>Ống inox</t>
  </si>
  <si>
    <t>Giăng từ</t>
  </si>
  <si>
    <t>Gioăng chắn nước</t>
  </si>
  <si>
    <t>chiếc</t>
  </si>
  <si>
    <t>Gương</t>
  </si>
  <si>
    <t>CB</t>
  </si>
  <si>
    <t>CABIN TẮM</t>
  </si>
  <si>
    <t>BHC230</t>
  </si>
  <si>
    <t>BCA-25</t>
  </si>
  <si>
    <t>BJ618 (L=2200mm)</t>
  </si>
  <si>
    <t>Cabin Tắm 90 độ (3 tấm kính, Kính-Kính-Kính)</t>
  </si>
  <si>
    <t>Cút chuyển góc</t>
  </si>
  <si>
    <t>DX600-76-633-RT</t>
  </si>
  <si>
    <t>DX600-76-651-RT</t>
  </si>
  <si>
    <t>Cabin Tắm 90 độ (3 tấm kính xếp hình chữ L, Kính-Kính-Kính)</t>
  </si>
  <si>
    <t>BHG230</t>
  </si>
  <si>
    <t>BJ690 (L=2200mm)</t>
  </si>
  <si>
    <t>Cabin Tắm 180 độ (3 Tấm Kính thẳng hàng, Kính-Kính-Kính)</t>
  </si>
  <si>
    <t>BHG250</t>
  </si>
  <si>
    <t>Cabin Tắm 180 độ (3 Tấm Kính xếp hình chữ L,  Kính-Kính-Kính)</t>
  </si>
  <si>
    <t>Cabin Tắm 135 độ Quay Ngoài (3 tấm kính, Kính-Kính-Kính)</t>
  </si>
  <si>
    <t>BHG240</t>
  </si>
  <si>
    <t>BJT535 (L=2200mm)</t>
  </si>
  <si>
    <t>Cabin Tắm 135 độ (2 tấm kính, Tường-Kính-Kính)</t>
  </si>
  <si>
    <t>BGC220</t>
  </si>
  <si>
    <t>BHD101A(500*300*D25)</t>
  </si>
  <si>
    <t>BCD-26H</t>
  </si>
  <si>
    <t>Cabin Tắm 135 độ -Kẹp trụ xuay (3 tấm kính, Kính-Kính-Kính)</t>
  </si>
  <si>
    <t>BTC135 (A800, B700, C600)</t>
  </si>
  <si>
    <t>SVU100 (30*0.8 )(L=2200)
(Kẹp kính 8mm)</t>
  </si>
  <si>
    <t>Thanh Trục Kẹp xoay</t>
  </si>
  <si>
    <t>Thanh U</t>
  </si>
  <si>
    <t>Cabin Tắm quay Góc &lt; 135 độ hoặc Góc &gt; 135 độ ( 3 tấm kính, Kính-Kính-Kính) - Mở Quay Trong</t>
  </si>
  <si>
    <t>BHG652</t>
  </si>
  <si>
    <t>BJT540-10 (L=2200)
(glass thinkness=10mm)</t>
  </si>
  <si>
    <t>Cabin lùa 1 cánh di động - 2 tấm kính ( 1 cánh di động, 1 cánh Fix) - TLM001</t>
  </si>
  <si>
    <t>CQ100-90-TKK-DR</t>
  </si>
  <si>
    <t>CQ100-90-KKK-DR</t>
  </si>
  <si>
    <t>CQ100-90-LKKK-DR</t>
  </si>
  <si>
    <t>CQ100-18-KKK-DR</t>
  </si>
  <si>
    <t>CQ100-18-LKKK-DR</t>
  </si>
  <si>
    <t>CQ100-13-KKK-DR</t>
  </si>
  <si>
    <t>CQ100-13-TKK-DR</t>
  </si>
  <si>
    <t>CQ100-13-3KQT-DR</t>
  </si>
  <si>
    <t>BCD-V1</t>
  </si>
  <si>
    <t>BTL102</t>
  </si>
  <si>
    <t>BTL103</t>
  </si>
  <si>
    <t>BTL104</t>
  </si>
  <si>
    <t>BTL105</t>
  </si>
  <si>
    <t>BTL109</t>
  </si>
  <si>
    <t>BHD845</t>
  </si>
  <si>
    <t>STU03-3000 (1.5*10*30)</t>
  </si>
  <si>
    <t>BJ611 (L=2200mm)</t>
  </si>
  <si>
    <t>Chặn giảm chấn</t>
  </si>
  <si>
    <t>Con lăn trên</t>
  </si>
  <si>
    <t>Hãm chống nhảy</t>
  </si>
  <si>
    <t>Hãm thanh ray</t>
  </si>
  <si>
    <t>Ke Dẫn hướng</t>
  </si>
  <si>
    <t xml:space="preserve">Tay kéo </t>
  </si>
  <si>
    <t xml:space="preserve">Ống inox </t>
  </si>
  <si>
    <t>CL100-00-1L1F-DR</t>
  </si>
  <si>
    <t>Cabin lùa 2 cánh đi động- 4 tấm kính (2 cánh di động, 2 cánh Fix) - TLM001</t>
  </si>
  <si>
    <t>CL200-00-2L2F-DR</t>
  </si>
  <si>
    <t>BCA-V90</t>
  </si>
  <si>
    <t>Gioăng từ</t>
  </si>
  <si>
    <t>CQ1KI-90-TKK</t>
  </si>
  <si>
    <t>CQ1KI-90-KKK</t>
  </si>
  <si>
    <t>CQ1KI-90-LKKK</t>
  </si>
  <si>
    <t>CQ1KI-18-KKK</t>
  </si>
  <si>
    <t>CQ1KI-18-LKKK</t>
  </si>
  <si>
    <t>CQ1KI-13-KKK</t>
  </si>
  <si>
    <t>CQ1KI-13-TKK</t>
  </si>
  <si>
    <t>CQ1KI-13-3KQT</t>
  </si>
  <si>
    <t>CL1KI-00-1L1F</t>
  </si>
  <si>
    <t>CL2KI-00-2L2F</t>
  </si>
  <si>
    <t>CQ1KI-13-3KKT</t>
  </si>
  <si>
    <t>CQ100-13-3KKT-DR</t>
  </si>
  <si>
    <t>DT100-55-TR-DR</t>
  </si>
  <si>
    <t>TL-3 (TLG-4.5EG, M5*30)</t>
  </si>
  <si>
    <t>231222/L1</t>
  </si>
  <si>
    <t>Bản lề 2D - TRÁI</t>
  </si>
  <si>
    <t>Bản lề 2D - PHẢI</t>
  </si>
  <si>
    <t>2DL</t>
  </si>
  <si>
    <t>2DR</t>
  </si>
  <si>
    <t>C25899</t>
  </si>
  <si>
    <t>Khung bao chuyển hướng</t>
  </si>
  <si>
    <t>Tháo dỡ</t>
  </si>
  <si>
    <t>Phiên bản: V4.240115</t>
  </si>
  <si>
    <t>Thêm bản lề 2D cửa đi 3H &amp; KL
Thêm khung bao chuyển hướng XF
Thêm chi phí tháo dỡ</t>
  </si>
  <si>
    <t>JX80-L</t>
  </si>
  <si>
    <t>JX80-R</t>
  </si>
  <si>
    <t>gn0508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</si>
</sst>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&quot;Ngày:&quot;\ dd/mm/yyyy"/>
    <numFmt numFmtId="167" formatCode="&quot;Rộng&quot;"/>
    <numFmt numFmtId="168" formatCode="&quot;Ngày_&quot;dd&quot;_&quot;/&quot;_&quot;mm&quot;_&quot;/yyyy&quot;_&quot;"/>
    <numFmt numFmtId="169" formatCode="_(* #,##0.0_);_(* \(#,##0.0\);_(* &quot;-&quot;??_);_(@_)"/>
    <numFmt numFmtId="170" formatCode="0.0%"/>
    <numFmt numFmtId="171" formatCode="_(* #,##0.0000_);_(* \(#,##0.0000\);_(* &quot;-&quot;??_);_(@_)"/>
    <numFmt numFmtId="172" formatCode="&quot;Ngày SX&quot;\ dd/mm/yyyy"/>
    <numFmt numFmtId="173" formatCode="_(* #,##0.000000000_);_(* \(#,##0.000000000\);_(* &quot;-&quot;??_);_(@_)"/>
  </numFmts>
  <fonts count="116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b/>
      <sz val="12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  <font>
      <b/>
      <i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name val="Times New Roman"/>
      <family val="1"/>
    </font>
    <font>
      <b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4"/>
      <name val="Times New Roman"/>
      <family val="1"/>
    </font>
    <font>
      <b/>
      <sz val="10"/>
      <color rgb="FFFF000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</font>
    <font>
      <sz val="14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1"/>
      <color theme="1"/>
      <name val="Times New Roman"/>
      <family val="1"/>
    </font>
    <font>
      <sz val="10"/>
      <name val="VNI-Times"/>
    </font>
    <font>
      <b/>
      <sz val="11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2"/>
      <color rgb="FFFF0000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14"/>
      <color rgb="FFFF0000"/>
      <name val="Arial"/>
      <family val="2"/>
    </font>
    <font>
      <sz val="20"/>
      <name val="Arial"/>
      <family val="2"/>
    </font>
    <font>
      <b/>
      <sz val="6"/>
      <name val="Arial"/>
      <family val="2"/>
    </font>
    <font>
      <sz val="6"/>
      <name val="Arial"/>
      <family val="2"/>
    </font>
    <font>
      <sz val="12"/>
      <name val="宋体"/>
      <charset val="134"/>
    </font>
    <font>
      <sz val="16"/>
      <color rgb="FFFF0000"/>
      <name val="Arial"/>
      <family val="2"/>
    </font>
    <font>
      <b/>
      <sz val="16"/>
      <color rgb="FFFF0000"/>
      <name val="Arial"/>
      <family val="2"/>
    </font>
    <font>
      <b/>
      <sz val="10"/>
      <color rgb="FFFF0000"/>
      <name val="Times New Roman"/>
      <family val="1"/>
    </font>
    <font>
      <b/>
      <sz val="11"/>
      <color rgb="FFFF0000"/>
      <name val="Times New Roman"/>
      <family val="1"/>
    </font>
    <font>
      <sz val="10"/>
      <color theme="1"/>
      <name val="Times New Roman"/>
      <family val="1"/>
    </font>
    <font>
      <b/>
      <sz val="24"/>
      <name val="Times New Roman"/>
      <family val="1"/>
    </font>
    <font>
      <b/>
      <u/>
      <sz val="11"/>
      <color indexed="14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u/>
      <sz val="11"/>
      <color indexed="8"/>
      <name val="Times New Roman"/>
      <family val="1"/>
    </font>
    <font>
      <sz val="11"/>
      <color rgb="FFFF0000"/>
      <name val="Times New Roman"/>
      <family val="1"/>
    </font>
    <font>
      <b/>
      <sz val="12"/>
      <color theme="1"/>
      <name val="Times New Roman"/>
      <family val="1"/>
    </font>
    <font>
      <b/>
      <i/>
      <sz val="12"/>
      <color rgb="FF0070C0"/>
      <name val="Times New Roman"/>
      <family val="1"/>
    </font>
    <font>
      <b/>
      <u val="doubleAccounting"/>
      <sz val="10"/>
      <color rgb="FFFF0000"/>
      <name val="Times New Roman"/>
      <family val="1"/>
    </font>
    <font>
      <b/>
      <u/>
      <sz val="11"/>
      <name val="Times New Roman"/>
      <family val="1"/>
    </font>
    <font>
      <i/>
      <sz val="10"/>
      <name val="Times New Roman"/>
      <family val="1"/>
    </font>
    <font>
      <b/>
      <i/>
      <sz val="10"/>
      <name val="Times New Roman"/>
      <family val="1"/>
    </font>
    <font>
      <i/>
      <sz val="10.5"/>
      <color indexed="8"/>
      <name val="Times New Roman"/>
      <family val="1"/>
    </font>
    <font>
      <sz val="10.5"/>
      <name val="Times New Roman"/>
      <family val="1"/>
    </font>
    <font>
      <b/>
      <i/>
      <sz val="10"/>
      <color rgb="FFFF0000"/>
      <name val="Times New Roman"/>
      <family val="1"/>
    </font>
    <font>
      <sz val="14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3"/>
      <color rgb="FFFF0000"/>
      <name val="Times New Roman"/>
      <family val="1"/>
    </font>
    <font>
      <i/>
      <sz val="6"/>
      <name val="Arial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i/>
      <sz val="8"/>
      <color rgb="FFFF0000"/>
      <name val="Arial"/>
      <family val="2"/>
    </font>
    <font>
      <i/>
      <sz val="8"/>
      <color rgb="FFFF0000"/>
      <name val="Arial"/>
      <family val="2"/>
    </font>
    <font>
      <b/>
      <i/>
      <sz val="8"/>
      <name val="Arial"/>
      <family val="2"/>
    </font>
    <font>
      <b/>
      <sz val="8"/>
      <color rgb="FFFF0000"/>
      <name val="Times New Roman"/>
      <family val="1"/>
    </font>
    <font>
      <b/>
      <sz val="8"/>
      <name val="Times New Roman"/>
      <family val="1"/>
    </font>
    <font>
      <sz val="8"/>
      <name val="Times New Roman"/>
      <family val="1"/>
    </font>
    <font>
      <sz val="6"/>
      <color rgb="FFFF0000"/>
      <name val="Arial"/>
      <family val="2"/>
    </font>
    <font>
      <b/>
      <i/>
      <sz val="8"/>
      <color rgb="FF002060"/>
      <name val="Arial"/>
      <family val="2"/>
    </font>
    <font>
      <b/>
      <sz val="14"/>
      <name val="Arial"/>
      <family val="2"/>
    </font>
    <font>
      <sz val="14"/>
      <color rgb="FFFF0000"/>
      <name val="Arial"/>
      <family val="2"/>
    </font>
    <font>
      <b/>
      <sz val="6"/>
      <color rgb="FFFF0000"/>
      <name val="Arial"/>
      <family val="2"/>
    </font>
    <font>
      <i/>
      <sz val="8"/>
      <name val="Arial"/>
      <family val="2"/>
    </font>
    <font>
      <b/>
      <sz val="16"/>
      <name val="Arial"/>
      <family val="2"/>
    </font>
    <font>
      <b/>
      <i/>
      <sz val="9"/>
      <color rgb="FFFF0000"/>
      <name val="Arial"/>
      <family val="2"/>
    </font>
    <font>
      <b/>
      <sz val="9"/>
      <name val="Arial"/>
      <family val="2"/>
    </font>
    <font>
      <b/>
      <sz val="16"/>
      <color indexed="12"/>
      <name val="Arial"/>
      <family val="2"/>
    </font>
    <font>
      <b/>
      <sz val="10"/>
      <color indexed="12"/>
      <name val="Arial"/>
      <family val="2"/>
    </font>
    <font>
      <sz val="8"/>
      <color rgb="FFFF0000"/>
      <name val="Times New Roman"/>
      <family val="1"/>
    </font>
    <font>
      <sz val="7"/>
      <name val="Arial"/>
      <family val="2"/>
    </font>
    <font>
      <b/>
      <u val="singleAccounting"/>
      <sz val="8"/>
      <name val="Arial"/>
      <family val="2"/>
    </font>
    <font>
      <b/>
      <i/>
      <sz val="14"/>
      <color rgb="FFFF0000"/>
      <name val="Arial"/>
      <family val="2"/>
    </font>
    <font>
      <i/>
      <sz val="10"/>
      <color theme="0"/>
      <name val="Arial"/>
      <family val="2"/>
    </font>
    <font>
      <i/>
      <u val="singleAccounting"/>
      <sz val="8"/>
      <name val="Arial"/>
      <family val="2"/>
    </font>
    <font>
      <b/>
      <sz val="7"/>
      <name val="Arial"/>
      <family val="2"/>
    </font>
    <font>
      <b/>
      <sz val="10"/>
      <color indexed="8"/>
      <name val="Times New Roman"/>
      <family val="1"/>
    </font>
    <font>
      <b/>
      <sz val="10"/>
      <color theme="8" tint="0.39997558519241921"/>
      <name val="Arial"/>
      <family val="2"/>
    </font>
    <font>
      <sz val="10.5"/>
      <color rgb="FFFF0000"/>
      <name val="Times New Roman"/>
      <family val="1"/>
    </font>
    <font>
      <sz val="14"/>
      <color rgb="FFFF0000"/>
      <name val="Times New Roman"/>
      <family val="1"/>
    </font>
    <font>
      <sz val="13"/>
      <color rgb="FFFF0000"/>
      <name val="Times New Roman"/>
      <family val="1"/>
    </font>
    <font>
      <i/>
      <sz val="10"/>
      <color rgb="FF0000FF"/>
      <name val="Arial"/>
      <family val="2"/>
    </font>
    <font>
      <sz val="12"/>
      <color theme="1"/>
      <name val="Times New Roman"/>
      <family val="1"/>
    </font>
    <font>
      <b/>
      <sz val="10.5"/>
      <name val="Times New Roman"/>
      <family val="1"/>
    </font>
    <font>
      <sz val="12"/>
      <color rgb="FFFF0000"/>
      <name val="Times New Roman"/>
      <family val="1"/>
    </font>
    <font>
      <b/>
      <i/>
      <sz val="8"/>
      <name val="Times New Roman"/>
      <family val="1"/>
    </font>
    <font>
      <b/>
      <i/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8"/>
      <color rgb="FFFF0000"/>
      <name val="Times New Roman"/>
      <family val="1"/>
    </font>
    <font>
      <b/>
      <sz val="10"/>
      <color theme="4" tint="0.39997558519241921"/>
      <name val="Arial"/>
      <family val="2"/>
    </font>
    <font>
      <b/>
      <sz val="20"/>
      <name val="Times New Roman"/>
      <family val="1"/>
    </font>
    <font>
      <b/>
      <sz val="16"/>
      <color theme="1"/>
      <name val="Times New Roman"/>
      <family val="1"/>
    </font>
    <font>
      <b/>
      <sz val="16"/>
      <name val="Times New Roman"/>
      <family val="1"/>
    </font>
    <font>
      <b/>
      <i/>
      <sz val="11"/>
      <name val="Times New Roman"/>
      <family val="1"/>
    </font>
    <font>
      <b/>
      <i/>
      <sz val="6"/>
      <color rgb="FFFF0000"/>
      <name val="Arial"/>
      <family val="2"/>
    </font>
    <font>
      <b/>
      <sz val="8"/>
      <color rgb="FF002060"/>
      <name val="Arial"/>
      <family val="2"/>
    </font>
    <font>
      <sz val="9"/>
      <color indexed="81"/>
      <name val="Tahoma"/>
      <family val="2"/>
    </font>
    <font>
      <b/>
      <sz val="18"/>
      <color theme="0"/>
      <name val="Times New Roman"/>
      <family val="1"/>
    </font>
    <font>
      <i/>
      <sz val="10"/>
      <color rgb="FFFF0000"/>
      <name val="Times New Roman"/>
      <family val="1"/>
    </font>
    <font>
      <sz val="12"/>
      <name val="Arial"/>
      <family val="2"/>
    </font>
    <font>
      <sz val="12"/>
      <color rgb="FFFF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2D8EE"/>
        <bgColor indexed="64"/>
      </patternFill>
    </fill>
    <fill>
      <patternFill patternType="solid">
        <fgColor rgb="FF92D050"/>
        <bgColor indexed="64"/>
      </patternFill>
    </fill>
  </fills>
  <borders count="7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5">
    <xf numFmtId="0" fontId="0" fillId="0" borderId="0"/>
    <xf numFmtId="43" fontId="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5" fillId="0" borderId="0"/>
    <xf numFmtId="0" fontId="36" fillId="0" borderId="0">
      <alignment vertical="center"/>
    </xf>
    <xf numFmtId="0" fontId="4" fillId="0" borderId="0"/>
    <xf numFmtId="43" fontId="4" fillId="0" borderId="0" applyFont="0" applyFill="0" applyBorder="0" applyAlignment="0" applyProtection="0"/>
    <xf numFmtId="0" fontId="5" fillId="0" borderId="0"/>
    <xf numFmtId="0" fontId="3" fillId="0" borderId="0"/>
    <xf numFmtId="43" fontId="63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6" fillId="0" borderId="0"/>
    <xf numFmtId="0" fontId="2" fillId="0" borderId="0"/>
    <xf numFmtId="0" fontId="1" fillId="0" borderId="0"/>
    <xf numFmtId="43" fontId="1" fillId="0" borderId="0" applyFont="0" applyFill="0" applyBorder="0" applyAlignment="0" applyProtection="0"/>
  </cellStyleXfs>
  <cellXfs count="1428">
    <xf numFmtId="0" fontId="0" fillId="0" borderId="0" xfId="0"/>
    <xf numFmtId="0" fontId="6" fillId="2" borderId="0" xfId="0" applyFont="1" applyFill="1" applyAlignment="1" applyProtection="1">
      <alignment horizontal="left"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5" fillId="2" borderId="1" xfId="0" applyFont="1" applyFill="1" applyBorder="1" applyAlignment="1" applyProtection="1">
      <alignment horizontal="center" vertical="center"/>
      <protection hidden="1"/>
    </xf>
    <xf numFmtId="0" fontId="6" fillId="2" borderId="1" xfId="0" applyFont="1" applyFill="1" applyBorder="1" applyAlignment="1" applyProtection="1">
      <alignment vertical="center"/>
      <protection hidden="1"/>
    </xf>
    <xf numFmtId="0" fontId="9" fillId="2" borderId="1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0" fontId="5" fillId="2" borderId="1" xfId="0" applyFont="1" applyFill="1" applyBorder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8" fillId="0" borderId="0" xfId="0" applyFont="1" applyAlignment="1" applyProtection="1">
      <alignment horizontal="center" vertical="center"/>
      <protection hidden="1"/>
    </xf>
    <xf numFmtId="0" fontId="19" fillId="0" borderId="1" xfId="0" applyFont="1" applyBorder="1" applyAlignment="1">
      <alignment horizontal="center" vertical="center"/>
    </xf>
    <xf numFmtId="0" fontId="20" fillId="4" borderId="1" xfId="0" applyFont="1" applyFill="1" applyBorder="1" applyAlignment="1" applyProtection="1">
      <alignment horizontal="left" vertical="center"/>
      <protection hidden="1"/>
    </xf>
    <xf numFmtId="0" fontId="19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left" vertical="center"/>
      <protection hidden="1"/>
    </xf>
    <xf numFmtId="0" fontId="0" fillId="0" borderId="0" xfId="0" applyAlignment="1">
      <alignment vertical="center"/>
    </xf>
    <xf numFmtId="0" fontId="30" fillId="0" borderId="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37" fillId="0" borderId="0" xfId="0" applyFont="1" applyAlignment="1">
      <alignment vertical="center"/>
    </xf>
    <xf numFmtId="164" fontId="40" fillId="0" borderId="0" xfId="5" applyNumberFormat="1" applyFont="1" applyAlignment="1">
      <alignment horizontal="left" vertical="center"/>
    </xf>
    <xf numFmtId="0" fontId="22" fillId="2" borderId="0" xfId="5" applyFont="1" applyFill="1" applyAlignment="1" applyProtection="1">
      <alignment vertical="center"/>
      <protection locked="0"/>
    </xf>
    <xf numFmtId="0" fontId="22" fillId="2" borderId="0" xfId="5" applyFont="1" applyFill="1" applyAlignment="1" applyProtection="1">
      <alignment horizontal="center" vertical="center"/>
      <protection locked="0"/>
    </xf>
    <xf numFmtId="1" fontId="22" fillId="2" borderId="0" xfId="5" applyNumberFormat="1" applyFont="1" applyFill="1" applyAlignment="1" applyProtection="1">
      <alignment horizontal="center" vertical="center"/>
      <protection locked="0"/>
    </xf>
    <xf numFmtId="164" fontId="44" fillId="2" borderId="0" xfId="6" applyNumberFormat="1" applyFont="1" applyFill="1" applyBorder="1" applyAlignment="1" applyProtection="1">
      <alignment vertical="center" wrapText="1"/>
      <protection locked="0"/>
    </xf>
    <xf numFmtId="165" fontId="22" fillId="2" borderId="0" xfId="6" applyNumberFormat="1" applyFont="1" applyFill="1" applyBorder="1" applyAlignment="1" applyProtection="1">
      <alignment horizontal="center" vertical="center"/>
      <protection locked="0"/>
    </xf>
    <xf numFmtId="164" fontId="45" fillId="2" borderId="0" xfId="6" applyNumberFormat="1" applyFont="1" applyFill="1" applyBorder="1" applyAlignment="1" applyProtection="1">
      <alignment horizontal="center" vertical="center" wrapText="1"/>
      <protection locked="0"/>
    </xf>
    <xf numFmtId="0" fontId="24" fillId="0" borderId="0" xfId="5" applyFont="1" applyAlignment="1">
      <alignment vertical="center"/>
    </xf>
    <xf numFmtId="0" fontId="24" fillId="0" borderId="0" xfId="5" applyFont="1" applyAlignment="1">
      <alignment vertical="center" wrapText="1"/>
    </xf>
    <xf numFmtId="0" fontId="22" fillId="2" borderId="10" xfId="5" applyFont="1" applyFill="1" applyBorder="1" applyAlignment="1" applyProtection="1">
      <alignment horizontal="center" vertical="center"/>
      <protection locked="0"/>
    </xf>
    <xf numFmtId="0" fontId="22" fillId="0" borderId="1" xfId="5" applyFont="1" applyBorder="1" applyAlignment="1" applyProtection="1">
      <alignment horizontal="center" vertical="center"/>
      <protection locked="0"/>
    </xf>
    <xf numFmtId="43" fontId="24" fillId="0" borderId="1" xfId="1" applyFont="1" applyFill="1" applyBorder="1" applyAlignment="1">
      <alignment horizontal="center" vertical="center"/>
    </xf>
    <xf numFmtId="164" fontId="45" fillId="0" borderId="1" xfId="6" applyNumberFormat="1" applyFont="1" applyFill="1" applyBorder="1" applyAlignment="1" applyProtection="1">
      <alignment horizontal="center" vertical="center" wrapText="1"/>
      <protection locked="0"/>
    </xf>
    <xf numFmtId="164" fontId="45" fillId="0" borderId="11" xfId="6" applyNumberFormat="1" applyFont="1" applyFill="1" applyBorder="1" applyAlignment="1" applyProtection="1">
      <alignment horizontal="center" vertical="center" wrapText="1"/>
      <protection locked="0"/>
    </xf>
    <xf numFmtId="0" fontId="24" fillId="0" borderId="0" xfId="5" applyFont="1" applyAlignment="1">
      <alignment horizontal="center" vertical="center"/>
    </xf>
    <xf numFmtId="164" fontId="47" fillId="4" borderId="1" xfId="6" applyNumberFormat="1" applyFont="1" applyFill="1" applyBorder="1" applyAlignment="1">
      <alignment vertical="center"/>
    </xf>
    <xf numFmtId="164" fontId="40" fillId="4" borderId="11" xfId="6" applyNumberFormat="1" applyFont="1" applyFill="1" applyBorder="1" applyAlignment="1">
      <alignment vertical="center"/>
    </xf>
    <xf numFmtId="0" fontId="51" fillId="2" borderId="0" xfId="5" applyFont="1" applyFill="1" applyAlignment="1" applyProtection="1">
      <alignment horizontal="left" vertical="center"/>
      <protection locked="0"/>
    </xf>
    <xf numFmtId="0" fontId="52" fillId="2" borderId="0" xfId="5" applyFont="1" applyFill="1" applyAlignment="1">
      <alignment vertical="center"/>
    </xf>
    <xf numFmtId="1" fontId="52" fillId="2" borderId="0" xfId="5" applyNumberFormat="1" applyFont="1" applyFill="1" applyAlignment="1">
      <alignment horizontal="center" vertical="center"/>
    </xf>
    <xf numFmtId="165" fontId="52" fillId="2" borderId="0" xfId="6" applyNumberFormat="1" applyFont="1" applyFill="1" applyBorder="1" applyAlignment="1">
      <alignment horizontal="center" vertical="center"/>
    </xf>
    <xf numFmtId="164" fontId="52" fillId="2" borderId="0" xfId="6" applyNumberFormat="1" applyFont="1" applyFill="1" applyBorder="1" applyAlignment="1">
      <alignment horizontal="center" vertical="center" wrapText="1"/>
    </xf>
    <xf numFmtId="164" fontId="52" fillId="2" borderId="0" xfId="5" applyNumberFormat="1" applyFont="1" applyFill="1" applyAlignment="1">
      <alignment vertical="center"/>
    </xf>
    <xf numFmtId="0" fontId="52" fillId="2" borderId="0" xfId="5" applyFont="1" applyFill="1" applyAlignment="1">
      <alignment horizontal="left" vertical="center"/>
    </xf>
    <xf numFmtId="0" fontId="52" fillId="2" borderId="0" xfId="5" applyFont="1" applyFill="1" applyAlignment="1">
      <alignment horizontal="center" vertical="center"/>
    </xf>
    <xf numFmtId="0" fontId="54" fillId="0" borderId="0" xfId="5" applyFont="1" applyAlignment="1">
      <alignment horizontal="left" vertical="center"/>
    </xf>
    <xf numFmtId="43" fontId="22" fillId="0" borderId="0" xfId="6" applyFont="1" applyAlignment="1">
      <alignment horizontal="left" vertical="center"/>
    </xf>
    <xf numFmtId="0" fontId="55" fillId="0" borderId="0" xfId="5" applyFont="1" applyAlignment="1">
      <alignment horizontal="left" vertical="center"/>
    </xf>
    <xf numFmtId="0" fontId="53" fillId="2" borderId="0" xfId="5" applyFont="1" applyFill="1" applyAlignment="1">
      <alignment vertical="center"/>
    </xf>
    <xf numFmtId="0" fontId="53" fillId="2" borderId="0" xfId="5" applyFont="1" applyFill="1" applyAlignment="1">
      <alignment horizontal="center" vertical="center"/>
    </xf>
    <xf numFmtId="1" fontId="53" fillId="2" borderId="0" xfId="5" applyNumberFormat="1" applyFont="1" applyFill="1" applyAlignment="1">
      <alignment horizontal="center" vertical="center"/>
    </xf>
    <xf numFmtId="165" fontId="53" fillId="2" borderId="0" xfId="6" applyNumberFormat="1" applyFont="1" applyFill="1" applyBorder="1" applyAlignment="1">
      <alignment horizontal="center" vertical="center"/>
    </xf>
    <xf numFmtId="165" fontId="52" fillId="2" borderId="0" xfId="6" applyNumberFormat="1" applyFont="1" applyFill="1" applyBorder="1" applyAlignment="1">
      <alignment vertical="center"/>
    </xf>
    <xf numFmtId="165" fontId="53" fillId="2" borderId="0" xfId="6" applyNumberFormat="1" applyFont="1" applyFill="1" applyBorder="1" applyAlignment="1">
      <alignment vertical="center"/>
    </xf>
    <xf numFmtId="0" fontId="21" fillId="2" borderId="0" xfId="5" applyFont="1" applyFill="1" applyAlignment="1" applyProtection="1">
      <alignment horizontal="left" vertical="center"/>
      <protection locked="0"/>
    </xf>
    <xf numFmtId="0" fontId="21" fillId="2" borderId="0" xfId="5" applyFont="1" applyFill="1" applyAlignment="1" applyProtection="1">
      <alignment horizontal="center" vertical="center"/>
      <protection locked="0"/>
    </xf>
    <xf numFmtId="0" fontId="21" fillId="2" borderId="0" xfId="5" applyFont="1" applyFill="1" applyAlignment="1" applyProtection="1">
      <alignment vertical="center"/>
      <protection locked="0"/>
    </xf>
    <xf numFmtId="0" fontId="17" fillId="2" borderId="0" xfId="5" applyFont="1" applyFill="1" applyAlignment="1" applyProtection="1">
      <alignment vertical="center"/>
      <protection locked="0"/>
    </xf>
    <xf numFmtId="1" fontId="17" fillId="2" borderId="0" xfId="5" applyNumberFormat="1" applyFont="1" applyFill="1" applyAlignment="1" applyProtection="1">
      <alignment horizontal="center" vertical="center"/>
      <protection locked="0"/>
    </xf>
    <xf numFmtId="165" fontId="17" fillId="2" borderId="0" xfId="6" applyNumberFormat="1" applyFont="1" applyFill="1" applyBorder="1" applyAlignment="1" applyProtection="1">
      <alignment horizontal="center" vertical="center"/>
      <protection locked="0"/>
    </xf>
    <xf numFmtId="164" fontId="17" fillId="2" borderId="0" xfId="6" applyNumberFormat="1" applyFont="1" applyFill="1" applyBorder="1" applyAlignment="1" applyProtection="1">
      <alignment horizontal="center" vertical="center" wrapText="1"/>
      <protection locked="0"/>
    </xf>
    <xf numFmtId="164" fontId="17" fillId="2" borderId="0" xfId="5" applyNumberFormat="1" applyFont="1" applyFill="1" applyAlignment="1" applyProtection="1">
      <alignment vertical="center"/>
      <protection locked="0"/>
    </xf>
    <xf numFmtId="0" fontId="43" fillId="2" borderId="0" xfId="5" applyFont="1" applyFill="1" applyAlignment="1" applyProtection="1">
      <alignment vertical="center"/>
      <protection locked="0"/>
    </xf>
    <xf numFmtId="0" fontId="23" fillId="2" borderId="0" xfId="5" applyFont="1" applyFill="1" applyAlignment="1" applyProtection="1">
      <alignment vertical="center"/>
      <protection locked="0"/>
    </xf>
    <xf numFmtId="0" fontId="12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31" fillId="4" borderId="0" xfId="0" applyFont="1" applyFill="1" applyAlignment="1">
      <alignment horizontal="center" vertical="center"/>
    </xf>
    <xf numFmtId="0" fontId="31" fillId="21" borderId="0" xfId="0" applyFont="1" applyFill="1" applyAlignment="1">
      <alignment horizontal="center" vertical="center"/>
    </xf>
    <xf numFmtId="0" fontId="38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43" fontId="69" fillId="0" borderId="0" xfId="1" applyFont="1" applyBorder="1" applyAlignment="1">
      <alignment vertical="center"/>
    </xf>
    <xf numFmtId="0" fontId="39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0" borderId="1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71" fillId="0" borderId="3" xfId="0" applyFont="1" applyBorder="1" applyAlignment="1">
      <alignment vertical="center"/>
    </xf>
    <xf numFmtId="0" fontId="71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43" fontId="69" fillId="0" borderId="0" xfId="1" applyFont="1" applyAlignment="1">
      <alignment vertical="center"/>
    </xf>
    <xf numFmtId="0" fontId="14" fillId="0" borderId="0" xfId="0" applyFont="1" applyAlignment="1">
      <alignment horizontal="center" vertical="center"/>
    </xf>
    <xf numFmtId="164" fontId="0" fillId="0" borderId="3" xfId="1" applyNumberFormat="1" applyFont="1" applyBorder="1" applyAlignment="1">
      <alignment vertical="center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0" xfId="0" applyFill="1" applyAlignment="1" applyProtection="1">
      <alignment horizontal="left" vertical="center"/>
      <protection hidden="1"/>
    </xf>
    <xf numFmtId="0" fontId="8" fillId="20" borderId="1" xfId="0" applyFont="1" applyFill="1" applyBorder="1" applyAlignment="1" applyProtection="1">
      <alignment horizontal="center" vertical="center"/>
      <protection hidden="1"/>
    </xf>
    <xf numFmtId="0" fontId="12" fillId="20" borderId="0" xfId="0" applyFont="1" applyFill="1" applyAlignment="1" applyProtection="1">
      <alignment horizontal="center" vertical="center"/>
      <protection hidden="1"/>
    </xf>
    <xf numFmtId="14" fontId="11" fillId="20" borderId="1" xfId="0" applyNumberFormat="1" applyFont="1" applyFill="1" applyBorder="1" applyAlignment="1" applyProtection="1">
      <alignment horizontal="center" vertical="center"/>
      <protection hidden="1"/>
    </xf>
    <xf numFmtId="14" fontId="11" fillId="20" borderId="15" xfId="0" applyNumberFormat="1" applyFont="1" applyFill="1" applyBorder="1" applyAlignment="1" applyProtection="1">
      <alignment horizontal="center" vertical="center"/>
      <protection hidden="1"/>
    </xf>
    <xf numFmtId="43" fontId="40" fillId="4" borderId="1" xfId="1" applyFont="1" applyFill="1" applyBorder="1" applyAlignment="1">
      <alignment vertical="center"/>
    </xf>
    <xf numFmtId="164" fontId="24" fillId="4" borderId="1" xfId="6" applyNumberFormat="1" applyFont="1" applyFill="1" applyBorder="1" applyAlignment="1">
      <alignment horizontal="center" vertical="center"/>
    </xf>
    <xf numFmtId="0" fontId="3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5" fillId="12" borderId="2" xfId="0" applyFont="1" applyFill="1" applyBorder="1" applyAlignment="1" applyProtection="1">
      <alignment horizontal="center" vertical="center" wrapText="1"/>
      <protection hidden="1"/>
    </xf>
    <xf numFmtId="0" fontId="14" fillId="0" borderId="2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43" fontId="69" fillId="0" borderId="3" xfId="1" applyFont="1" applyBorder="1" applyAlignment="1">
      <alignment vertical="center"/>
    </xf>
    <xf numFmtId="43" fontId="69" fillId="0" borderId="4" xfId="1" applyFont="1" applyBorder="1" applyAlignment="1">
      <alignment vertical="center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70" fillId="0" borderId="2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0" fillId="0" borderId="2" xfId="3" applyFont="1" applyBorder="1" applyAlignment="1">
      <alignment horizontal="center" vertical="center" wrapText="1"/>
    </xf>
    <xf numFmtId="0" fontId="14" fillId="0" borderId="2" xfId="3" applyFont="1" applyBorder="1" applyAlignment="1">
      <alignment horizontal="center" vertical="center" wrapText="1"/>
    </xf>
    <xf numFmtId="43" fontId="0" fillId="0" borderId="3" xfId="1" applyFont="1" applyBorder="1" applyAlignment="1">
      <alignment vertical="center"/>
    </xf>
    <xf numFmtId="0" fontId="64" fillId="4" borderId="0" xfId="0" applyFont="1" applyFill="1" applyAlignment="1">
      <alignment horizontal="center" vertical="center" wrapText="1"/>
    </xf>
    <xf numFmtId="0" fontId="64" fillId="21" borderId="0" xfId="0" applyFont="1" applyFill="1" applyAlignment="1">
      <alignment horizontal="center" vertical="center" wrapText="1"/>
    </xf>
    <xf numFmtId="164" fontId="52" fillId="0" borderId="0" xfId="5" applyNumberFormat="1" applyFont="1" applyAlignment="1">
      <alignment vertical="center"/>
    </xf>
    <xf numFmtId="0" fontId="23" fillId="2" borderId="0" xfId="5" applyFont="1" applyFill="1" applyAlignment="1" applyProtection="1">
      <alignment vertical="center" wrapText="1"/>
      <protection locked="0"/>
    </xf>
    <xf numFmtId="0" fontId="22" fillId="2" borderId="0" xfId="5" applyFont="1" applyFill="1" applyAlignment="1" applyProtection="1">
      <alignment vertical="center" wrapText="1"/>
      <protection locked="0"/>
    </xf>
    <xf numFmtId="0" fontId="52" fillId="2" borderId="0" xfId="5" applyFont="1" applyFill="1" applyAlignment="1">
      <alignment vertical="center" wrapText="1"/>
    </xf>
    <xf numFmtId="0" fontId="53" fillId="2" borderId="0" xfId="5" applyFont="1" applyFill="1" applyAlignment="1">
      <alignment vertical="center" wrapText="1"/>
    </xf>
    <xf numFmtId="0" fontId="21" fillId="2" borderId="0" xfId="5" applyFont="1" applyFill="1" applyAlignment="1" applyProtection="1">
      <alignment vertical="center" wrapText="1"/>
      <protection locked="0"/>
    </xf>
    <xf numFmtId="43" fontId="69" fillId="0" borderId="2" xfId="1" applyFont="1" applyBorder="1" applyAlignment="1">
      <alignment horizontal="center" vertical="center"/>
    </xf>
    <xf numFmtId="9" fontId="69" fillId="0" borderId="3" xfId="10" applyFont="1" applyBorder="1" applyAlignment="1">
      <alignment horizontal="center" vertical="center"/>
    </xf>
    <xf numFmtId="9" fontId="69" fillId="0" borderId="3" xfId="1" applyNumberFormat="1" applyFont="1" applyBorder="1" applyAlignment="1">
      <alignment horizontal="center" vertical="center"/>
    </xf>
    <xf numFmtId="43" fontId="69" fillId="0" borderId="4" xfId="1" applyFont="1" applyBorder="1" applyAlignment="1">
      <alignment horizontal="center" vertical="center"/>
    </xf>
    <xf numFmtId="0" fontId="12" fillId="0" borderId="3" xfId="0" applyFont="1" applyBorder="1" applyAlignment="1" applyProtection="1">
      <alignment horizontal="center" vertical="center" wrapText="1"/>
      <protection hidden="1"/>
    </xf>
    <xf numFmtId="0" fontId="69" fillId="0" borderId="3" xfId="1" applyNumberFormat="1" applyFont="1" applyBorder="1" applyAlignment="1">
      <alignment vertical="center"/>
    </xf>
    <xf numFmtId="0" fontId="31" fillId="2" borderId="0" xfId="0" applyFont="1" applyFill="1" applyAlignment="1">
      <alignment horizontal="center" vertical="center"/>
    </xf>
    <xf numFmtId="0" fontId="67" fillId="2" borderId="0" xfId="0" applyFont="1" applyFill="1" applyAlignment="1">
      <alignment horizontal="center" vertical="center"/>
    </xf>
    <xf numFmtId="0" fontId="35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horizontal="left" vertical="center" wrapText="1"/>
      <protection locked="0"/>
    </xf>
    <xf numFmtId="0" fontId="5" fillId="2" borderId="0" xfId="0" applyFont="1" applyFill="1" applyAlignment="1" applyProtection="1">
      <alignment horizontal="left" vertical="center"/>
      <protection locked="0"/>
    </xf>
    <xf numFmtId="0" fontId="5" fillId="2" borderId="0" xfId="0" applyFont="1" applyFill="1" applyAlignment="1" applyProtection="1">
      <alignment horizontal="left" vertical="center" wrapText="1"/>
      <protection locked="0"/>
    </xf>
    <xf numFmtId="0" fontId="12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 wrapText="1"/>
      <protection locked="0"/>
    </xf>
    <xf numFmtId="0" fontId="10" fillId="0" borderId="0" xfId="0" applyFont="1" applyAlignment="1" applyProtection="1">
      <alignment vertical="center"/>
      <protection locked="0"/>
    </xf>
    <xf numFmtId="0" fontId="18" fillId="21" borderId="1" xfId="0" applyFont="1" applyFill="1" applyBorder="1" applyAlignment="1" applyProtection="1">
      <alignment horizontal="left" vertical="center" wrapText="1"/>
      <protection locked="0"/>
    </xf>
    <xf numFmtId="0" fontId="12" fillId="2" borderId="0" xfId="0" applyFont="1" applyFill="1" applyAlignment="1" applyProtection="1">
      <alignment horizontal="center" vertical="center" wrapText="1"/>
      <protection locked="0"/>
    </xf>
    <xf numFmtId="167" fontId="8" fillId="2" borderId="18" xfId="0" applyNumberFormat="1" applyFont="1" applyFill="1" applyBorder="1" applyAlignment="1" applyProtection="1">
      <alignment horizontal="right" vertical="center" wrapText="1"/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61" fillId="2" borderId="0" xfId="0" applyFont="1" applyFill="1" applyAlignment="1" applyProtection="1">
      <alignment horizontal="left" vertical="center"/>
      <protection locked="0"/>
    </xf>
    <xf numFmtId="168" fontId="8" fillId="2" borderId="0" xfId="0" applyNumberFormat="1" applyFont="1" applyFill="1" applyAlignment="1" applyProtection="1">
      <alignment horizontal="center" vertical="center" wrapText="1"/>
      <protection locked="0"/>
    </xf>
    <xf numFmtId="0" fontId="6" fillId="2" borderId="0" xfId="0" applyFont="1" applyFill="1" applyAlignment="1" applyProtection="1">
      <alignment horizontal="left" vertical="center"/>
      <protection locked="0"/>
    </xf>
    <xf numFmtId="0" fontId="35" fillId="2" borderId="1" xfId="0" applyFont="1" applyFill="1" applyBorder="1" applyAlignment="1">
      <alignment horizontal="center" vertical="center"/>
    </xf>
    <xf numFmtId="0" fontId="73" fillId="0" borderId="0" xfId="0" applyFont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 vertical="center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12" fillId="0" borderId="0" xfId="0" applyFont="1" applyAlignment="1" applyProtection="1">
      <alignment vertical="top"/>
      <protection locked="0"/>
    </xf>
    <xf numFmtId="0" fontId="12" fillId="21" borderId="1" xfId="0" applyFont="1" applyFill="1" applyBorder="1" applyAlignment="1" applyProtection="1">
      <alignment horizontal="left" vertical="center"/>
      <protection locked="0"/>
    </xf>
    <xf numFmtId="0" fontId="18" fillId="21" borderId="1" xfId="0" applyFont="1" applyFill="1" applyBorder="1" applyAlignment="1" applyProtection="1">
      <alignment vertical="center" wrapText="1"/>
      <protection locked="0"/>
    </xf>
    <xf numFmtId="0" fontId="8" fillId="2" borderId="1" xfId="0" applyFont="1" applyFill="1" applyBorder="1" applyAlignment="1" applyProtection="1">
      <alignment horizontal="right" vertical="center" wrapText="1"/>
      <protection locked="0"/>
    </xf>
    <xf numFmtId="0" fontId="29" fillId="21" borderId="1" xfId="1" applyNumberFormat="1" applyFont="1" applyFill="1" applyBorder="1" applyAlignment="1" applyProtection="1">
      <alignment horizontal="left" vertical="center" wrapText="1"/>
      <protection locked="0"/>
    </xf>
    <xf numFmtId="0" fontId="6" fillId="2" borderId="1" xfId="0" applyFont="1" applyFill="1" applyBorder="1" applyAlignment="1" applyProtection="1">
      <alignment horizontal="left" vertical="top"/>
      <protection locked="0"/>
    </xf>
    <xf numFmtId="0" fontId="73" fillId="21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horizontal="left" vertical="center"/>
      <protection locked="0"/>
    </xf>
    <xf numFmtId="0" fontId="77" fillId="2" borderId="1" xfId="0" applyFont="1" applyFill="1" applyBorder="1" applyAlignment="1" applyProtection="1">
      <alignment horizontal="right" vertical="center"/>
      <protection locked="0"/>
    </xf>
    <xf numFmtId="164" fontId="12" fillId="21" borderId="1" xfId="1" applyNumberFormat="1" applyFont="1" applyFill="1" applyBorder="1" applyAlignment="1" applyProtection="1">
      <alignment horizontal="center" vertical="center" wrapText="1"/>
      <protection locked="0"/>
    </xf>
    <xf numFmtId="0" fontId="12" fillId="21" borderId="1" xfId="0" applyFont="1" applyFill="1" applyBorder="1" applyAlignment="1" applyProtection="1">
      <alignment horizontal="center" vertical="center" wrapText="1"/>
      <protection locked="0"/>
    </xf>
    <xf numFmtId="43" fontId="5" fillId="2" borderId="1" xfId="1" applyFont="1" applyFill="1" applyBorder="1" applyAlignment="1" applyProtection="1">
      <alignment horizontal="center" vertical="center" wrapText="1"/>
      <protection locked="0"/>
    </xf>
    <xf numFmtId="0" fontId="80" fillId="21" borderId="1" xfId="0" applyFont="1" applyFill="1" applyBorder="1" applyAlignment="1" applyProtection="1">
      <alignment horizontal="left" vertical="center"/>
      <protection locked="0"/>
    </xf>
    <xf numFmtId="0" fontId="8" fillId="2" borderId="18" xfId="0" applyFont="1" applyFill="1" applyBorder="1" applyAlignment="1" applyProtection="1">
      <alignment horizontal="right" vertical="center" wrapText="1"/>
      <protection locked="0"/>
    </xf>
    <xf numFmtId="0" fontId="13" fillId="0" borderId="1" xfId="0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82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vertical="center" wrapText="1"/>
    </xf>
    <xf numFmtId="0" fontId="18" fillId="21" borderId="1" xfId="0" applyFont="1" applyFill="1" applyBorder="1" applyAlignment="1" applyProtection="1">
      <alignment horizontal="left" vertical="center"/>
      <protection locked="0"/>
    </xf>
    <xf numFmtId="0" fontId="30" fillId="29" borderId="0" xfId="0" applyFont="1" applyFill="1" applyAlignment="1">
      <alignment horizontal="center" vertical="center"/>
    </xf>
    <xf numFmtId="0" fontId="30" fillId="29" borderId="0" xfId="0" applyFont="1" applyFill="1" applyAlignment="1">
      <alignment vertical="center"/>
    </xf>
    <xf numFmtId="0" fontId="64" fillId="21" borderId="1" xfId="0" applyFont="1" applyFill="1" applyBorder="1" applyAlignment="1">
      <alignment horizontal="center" vertical="center" wrapText="1"/>
    </xf>
    <xf numFmtId="0" fontId="30" fillId="29" borderId="1" xfId="0" applyFont="1" applyFill="1" applyBorder="1" applyAlignment="1">
      <alignment horizontal="center" vertical="center"/>
    </xf>
    <xf numFmtId="0" fontId="31" fillId="21" borderId="1" xfId="0" applyFont="1" applyFill="1" applyBorder="1" applyAlignment="1">
      <alignment horizontal="center" vertical="center"/>
    </xf>
    <xf numFmtId="0" fontId="30" fillId="29" borderId="1" xfId="3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vertical="center"/>
    </xf>
    <xf numFmtId="0" fontId="18" fillId="0" borderId="1" xfId="0" applyFont="1" applyBorder="1" applyAlignment="1">
      <alignment horizontal="center" vertical="center"/>
    </xf>
    <xf numFmtId="0" fontId="0" fillId="8" borderId="1" xfId="0" applyFill="1" applyBorder="1" applyAlignment="1">
      <alignment vertical="center"/>
    </xf>
    <xf numFmtId="0" fontId="18" fillId="8" borderId="1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41" fillId="0" borderId="0" xfId="5" applyFont="1" applyAlignment="1">
      <alignment horizontal="center" vertical="center"/>
    </xf>
    <xf numFmtId="0" fontId="19" fillId="0" borderId="0" xfId="5" applyFont="1" applyAlignment="1">
      <alignment horizontal="center" vertical="center"/>
    </xf>
    <xf numFmtId="0" fontId="55" fillId="0" borderId="0" xfId="5" applyFont="1" applyAlignment="1">
      <alignment horizontal="center" vertical="center"/>
    </xf>
    <xf numFmtId="0" fontId="57" fillId="0" borderId="0" xfId="5" applyFont="1" applyAlignment="1">
      <alignment horizontal="center" vertical="center"/>
    </xf>
    <xf numFmtId="0" fontId="58" fillId="0" borderId="0" xfId="5" applyFont="1" applyAlignment="1">
      <alignment horizontal="center" vertical="center"/>
    </xf>
    <xf numFmtId="164" fontId="24" fillId="4" borderId="15" xfId="6" applyNumberFormat="1" applyFont="1" applyFill="1" applyBorder="1" applyAlignment="1">
      <alignment horizontal="center" vertical="center"/>
    </xf>
    <xf numFmtId="14" fontId="26" fillId="0" borderId="3" xfId="5" applyNumberFormat="1" applyFont="1" applyBorder="1" applyAlignment="1">
      <alignment horizontal="center" vertical="center"/>
    </xf>
    <xf numFmtId="0" fontId="26" fillId="0" borderId="3" xfId="5" applyFont="1" applyBorder="1" applyAlignment="1">
      <alignment horizontal="center" vertical="center"/>
    </xf>
    <xf numFmtId="14" fontId="24" fillId="0" borderId="3" xfId="5" applyNumberFormat="1" applyFont="1" applyBorder="1" applyAlignment="1">
      <alignment horizontal="center" vertical="center"/>
    </xf>
    <xf numFmtId="0" fontId="24" fillId="0" borderId="3" xfId="5" applyFont="1" applyBorder="1" applyAlignment="1">
      <alignment horizontal="center" vertical="center"/>
    </xf>
    <xf numFmtId="0" fontId="26" fillId="6" borderId="23" xfId="5" applyFont="1" applyFill="1" applyBorder="1" applyAlignment="1">
      <alignment horizontal="center" vertical="center"/>
    </xf>
    <xf numFmtId="0" fontId="71" fillId="0" borderId="0" xfId="0" applyFont="1" applyAlignment="1">
      <alignment vertical="center"/>
    </xf>
    <xf numFmtId="167" fontId="8" fillId="29" borderId="18" xfId="0" applyNumberFormat="1" applyFont="1" applyFill="1" applyBorder="1" applyAlignment="1" applyProtection="1">
      <alignment horizontal="right" vertical="center" wrapText="1"/>
      <protection locked="0"/>
    </xf>
    <xf numFmtId="0" fontId="8" fillId="29" borderId="18" xfId="0" applyFont="1" applyFill="1" applyBorder="1" applyAlignment="1" applyProtection="1">
      <alignment horizontal="right" vertical="center" wrapText="1"/>
      <protection locked="0"/>
    </xf>
    <xf numFmtId="0" fontId="22" fillId="0" borderId="1" xfId="7" applyFont="1" applyBorder="1" applyAlignment="1">
      <alignment horizontal="center" vertical="center" wrapText="1"/>
    </xf>
    <xf numFmtId="0" fontId="83" fillId="0" borderId="3" xfId="0" applyFont="1" applyBorder="1" applyAlignment="1">
      <alignment vertical="center"/>
    </xf>
    <xf numFmtId="0" fontId="30" fillId="29" borderId="0" xfId="3" applyFont="1" applyFill="1" applyAlignment="1">
      <alignment horizontal="center" vertical="center" wrapText="1"/>
    </xf>
    <xf numFmtId="0" fontId="31" fillId="29" borderId="0" xfId="0" applyFont="1" applyFill="1" applyAlignment="1">
      <alignment vertical="center"/>
    </xf>
    <xf numFmtId="0" fontId="31" fillId="0" borderId="0" xfId="0" applyFont="1" applyAlignment="1">
      <alignment vertical="center"/>
    </xf>
    <xf numFmtId="0" fontId="13" fillId="21" borderId="29" xfId="1" applyNumberFormat="1" applyFont="1" applyFill="1" applyBorder="1" applyAlignment="1" applyProtection="1">
      <alignment horizontal="center" vertical="center" wrapText="1"/>
      <protection locked="0"/>
    </xf>
    <xf numFmtId="0" fontId="6" fillId="2" borderId="29" xfId="0" applyFont="1" applyFill="1" applyBorder="1" applyAlignment="1" applyProtection="1">
      <alignment horizontal="left" vertical="center"/>
      <protection locked="0"/>
    </xf>
    <xf numFmtId="43" fontId="5" fillId="2" borderId="29" xfId="1" applyFont="1" applyFill="1" applyBorder="1" applyAlignment="1" applyProtection="1">
      <alignment horizontal="center" vertical="center" wrapText="1"/>
      <protection locked="0"/>
    </xf>
    <xf numFmtId="0" fontId="6" fillId="2" borderId="29" xfId="0" applyFont="1" applyFill="1" applyBorder="1" applyAlignment="1" applyProtection="1">
      <alignment horizontal="right" vertical="center"/>
      <protection locked="0"/>
    </xf>
    <xf numFmtId="0" fontId="73" fillId="21" borderId="29" xfId="0" applyFont="1" applyFill="1" applyBorder="1" applyAlignment="1" applyProtection="1">
      <alignment vertical="center"/>
      <protection locked="0"/>
    </xf>
    <xf numFmtId="43" fontId="12" fillId="12" borderId="1" xfId="1" applyFont="1" applyFill="1" applyBorder="1" applyAlignment="1" applyProtection="1">
      <alignment horizontal="center" vertical="center" wrapText="1"/>
      <protection locked="0"/>
    </xf>
    <xf numFmtId="0" fontId="72" fillId="2" borderId="1" xfId="0" applyFont="1" applyFill="1" applyBorder="1" applyAlignment="1" applyProtection="1">
      <alignment horizontal="center" vertical="center"/>
      <protection locked="0"/>
    </xf>
    <xf numFmtId="1" fontId="9" fillId="2" borderId="1" xfId="0" applyNumberFormat="1" applyFont="1" applyFill="1" applyBorder="1" applyAlignment="1">
      <alignment horizontal="left" vertical="center" wrapText="1"/>
    </xf>
    <xf numFmtId="43" fontId="9" fillId="0" borderId="1" xfId="1" applyFont="1" applyFill="1" applyBorder="1" applyAlignment="1" applyProtection="1">
      <alignment horizontal="center" vertical="center"/>
      <protection locked="0"/>
    </xf>
    <xf numFmtId="164" fontId="9" fillId="2" borderId="1" xfId="1" applyNumberFormat="1" applyFont="1" applyFill="1" applyBorder="1" applyAlignment="1" applyProtection="1">
      <alignment vertical="center" wrapText="1"/>
    </xf>
    <xf numFmtId="164" fontId="9" fillId="2" borderId="1" xfId="1" applyNumberFormat="1" applyFont="1" applyFill="1" applyBorder="1" applyAlignment="1" applyProtection="1">
      <alignment horizontal="center" vertical="center" wrapText="1"/>
    </xf>
    <xf numFmtId="1" fontId="9" fillId="2" borderId="1" xfId="0" applyNumberFormat="1" applyFont="1" applyFill="1" applyBorder="1" applyAlignment="1" applyProtection="1">
      <alignment horizontal="left" vertical="center" wrapText="1"/>
      <protection locked="0"/>
    </xf>
    <xf numFmtId="43" fontId="9" fillId="2" borderId="1" xfId="1" applyFont="1" applyFill="1" applyBorder="1" applyAlignment="1" applyProtection="1">
      <alignment vertical="center" wrapText="1"/>
      <protection locked="0"/>
    </xf>
    <xf numFmtId="164" fontId="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2" borderId="1" xfId="0" applyFont="1" applyFill="1" applyBorder="1" applyAlignment="1">
      <alignment horizontal="center" vertical="center"/>
    </xf>
    <xf numFmtId="43" fontId="9" fillId="2" borderId="1" xfId="1" applyFont="1" applyFill="1" applyBorder="1" applyAlignment="1" applyProtection="1">
      <alignment vertical="center" wrapText="1"/>
    </xf>
    <xf numFmtId="0" fontId="34" fillId="12" borderId="1" xfId="0" applyFont="1" applyFill="1" applyBorder="1" applyAlignment="1">
      <alignment horizontal="center" vertical="center" wrapText="1"/>
    </xf>
    <xf numFmtId="164" fontId="12" fillId="12" borderId="1" xfId="1" applyNumberFormat="1" applyFont="1" applyFill="1" applyBorder="1" applyAlignment="1" applyProtection="1">
      <alignment horizontal="center" vertical="center" wrapText="1"/>
    </xf>
    <xf numFmtId="0" fontId="34" fillId="12" borderId="31" xfId="0" applyFont="1" applyFill="1" applyBorder="1" applyAlignment="1" applyProtection="1">
      <alignment horizontal="center" vertical="center" textRotation="90" wrapText="1"/>
      <protection locked="0"/>
    </xf>
    <xf numFmtId="0" fontId="12" fillId="12" borderId="31" xfId="0" applyFont="1" applyFill="1" applyBorder="1" applyAlignment="1" applyProtection="1">
      <alignment horizontal="center" vertical="center" wrapText="1"/>
      <protection locked="0"/>
    </xf>
    <xf numFmtId="43" fontId="12" fillId="12" borderId="31" xfId="1" applyFont="1" applyFill="1" applyBorder="1" applyAlignment="1" applyProtection="1">
      <alignment horizontal="center" vertical="center" wrapText="1"/>
      <protection locked="0"/>
    </xf>
    <xf numFmtId="3" fontId="12" fillId="12" borderId="31" xfId="0" applyNumberFormat="1" applyFont="1" applyFill="1" applyBorder="1" applyAlignment="1" applyProtection="1">
      <alignment horizontal="center" vertical="center" wrapText="1"/>
      <protection locked="0"/>
    </xf>
    <xf numFmtId="0" fontId="76" fillId="20" borderId="26" xfId="0" applyFont="1" applyFill="1" applyBorder="1" applyAlignment="1" applyProtection="1">
      <alignment horizontal="center" vertical="center" textRotation="90" wrapText="1"/>
      <protection locked="0"/>
    </xf>
    <xf numFmtId="164" fontId="12" fillId="0" borderId="35" xfId="1" applyNumberFormat="1" applyFont="1" applyFill="1" applyBorder="1" applyAlignment="1" applyProtection="1">
      <alignment horizontal="left" vertical="center"/>
    </xf>
    <xf numFmtId="43" fontId="12" fillId="0" borderId="35" xfId="1" applyFont="1" applyFill="1" applyBorder="1" applyAlignment="1" applyProtection="1">
      <alignment horizontal="left" vertical="center"/>
    </xf>
    <xf numFmtId="10" fontId="9" fillId="2" borderId="15" xfId="10" applyNumberFormat="1" applyFont="1" applyFill="1" applyBorder="1" applyAlignment="1" applyProtection="1">
      <alignment horizontal="center" vertical="center" wrapText="1"/>
    </xf>
    <xf numFmtId="164" fontId="18" fillId="2" borderId="10" xfId="1" applyNumberFormat="1" applyFont="1" applyFill="1" applyBorder="1" applyAlignment="1" applyProtection="1">
      <alignment horizontal="center" vertical="center" wrapText="1"/>
    </xf>
    <xf numFmtId="164" fontId="18" fillId="2" borderId="11" xfId="1" applyNumberFormat="1" applyFont="1" applyFill="1" applyBorder="1" applyAlignment="1" applyProtection="1">
      <alignment horizontal="center" vertical="center" wrapText="1"/>
    </xf>
    <xf numFmtId="164" fontId="18" fillId="2" borderId="10" xfId="1" applyNumberFormat="1" applyFont="1" applyFill="1" applyBorder="1" applyAlignment="1" applyProtection="1">
      <alignment horizontal="center" vertical="center" wrapText="1"/>
      <protection locked="0"/>
    </xf>
    <xf numFmtId="164" fontId="18" fillId="2" borderId="11" xfId="1" applyNumberFormat="1" applyFont="1" applyFill="1" applyBorder="1" applyAlignment="1" applyProtection="1">
      <alignment horizontal="center" vertical="center" wrapText="1"/>
      <protection locked="0"/>
    </xf>
    <xf numFmtId="43" fontId="64" fillId="2" borderId="1" xfId="0" applyNumberFormat="1" applyFont="1" applyFill="1" applyBorder="1" applyAlignment="1" applyProtection="1">
      <alignment horizontal="center" vertical="center"/>
      <protection hidden="1"/>
    </xf>
    <xf numFmtId="169" fontId="31" fillId="16" borderId="1" xfId="1" applyNumberFormat="1" applyFont="1" applyFill="1" applyBorder="1" applyAlignment="1" applyProtection="1">
      <alignment horizontal="left" vertical="center"/>
      <protection hidden="1"/>
    </xf>
    <xf numFmtId="0" fontId="64" fillId="2" borderId="18" xfId="0" applyFont="1" applyFill="1" applyBorder="1" applyAlignment="1" applyProtection="1">
      <alignment horizontal="center" vertical="center"/>
      <protection hidden="1"/>
    </xf>
    <xf numFmtId="0" fontId="64" fillId="2" borderId="15" xfId="0" applyFont="1" applyFill="1" applyBorder="1" applyAlignment="1" applyProtection="1">
      <alignment horizontal="center" vertical="center"/>
      <protection hidden="1"/>
    </xf>
    <xf numFmtId="0" fontId="12" fillId="12" borderId="40" xfId="0" applyFont="1" applyFill="1" applyBorder="1" applyAlignment="1">
      <alignment horizontal="center" vertical="center" wrapText="1"/>
    </xf>
    <xf numFmtId="164" fontId="31" fillId="16" borderId="1" xfId="1" applyNumberFormat="1" applyFont="1" applyFill="1" applyBorder="1" applyAlignment="1" applyProtection="1">
      <alignment horizontal="left" vertical="center"/>
      <protection hidden="1"/>
    </xf>
    <xf numFmtId="9" fontId="12" fillId="0" borderId="35" xfId="10" applyFont="1" applyFill="1" applyBorder="1" applyAlignment="1" applyProtection="1">
      <alignment horizontal="center" vertical="center"/>
    </xf>
    <xf numFmtId="43" fontId="0" fillId="0" borderId="1" xfId="1" applyFont="1" applyFill="1" applyBorder="1" applyAlignment="1" applyProtection="1">
      <alignment horizontal="left" vertical="center" wrapText="1"/>
    </xf>
    <xf numFmtId="43" fontId="0" fillId="0" borderId="1" xfId="1" applyFont="1" applyFill="1" applyBorder="1" applyAlignment="1" applyProtection="1">
      <alignment horizontal="center" vertical="center"/>
      <protection locked="0"/>
    </xf>
    <xf numFmtId="43" fontId="0" fillId="0" borderId="1" xfId="1" applyFont="1" applyFill="1" applyBorder="1" applyAlignment="1" applyProtection="1">
      <alignment horizontal="left" vertical="center"/>
    </xf>
    <xf numFmtId="164" fontId="0" fillId="0" borderId="1" xfId="1" applyNumberFormat="1" applyFont="1" applyFill="1" applyBorder="1" applyAlignment="1" applyProtection="1">
      <alignment horizontal="left" vertical="center"/>
    </xf>
    <xf numFmtId="164" fontId="0" fillId="2" borderId="1" xfId="1" applyNumberFormat="1" applyFont="1" applyFill="1" applyBorder="1" applyAlignment="1" applyProtection="1">
      <alignment horizontal="center" vertical="center" wrapText="1"/>
    </xf>
    <xf numFmtId="0" fontId="12" fillId="0" borderId="10" xfId="4" applyFont="1" applyBorder="1" applyAlignment="1">
      <alignment horizontal="left" vertical="center"/>
    </xf>
    <xf numFmtId="164" fontId="12" fillId="2" borderId="11" xfId="1" applyNumberFormat="1" applyFont="1" applyFill="1" applyBorder="1" applyAlignment="1" applyProtection="1">
      <alignment horizontal="center" vertical="center" wrapText="1"/>
    </xf>
    <xf numFmtId="43" fontId="0" fillId="0" borderId="1" xfId="1" applyFont="1" applyFill="1" applyBorder="1" applyAlignment="1" applyProtection="1">
      <alignment horizontal="center" vertical="center"/>
    </xf>
    <xf numFmtId="164" fontId="12" fillId="2" borderId="10" xfId="1" applyNumberFormat="1" applyFont="1" applyFill="1" applyBorder="1" applyAlignment="1" applyProtection="1">
      <alignment horizontal="center" vertical="center" wrapText="1"/>
    </xf>
    <xf numFmtId="0" fontId="0" fillId="0" borderId="1" xfId="4" applyFont="1" applyBorder="1" applyAlignment="1">
      <alignment horizontal="left" vertical="center" wrapText="1"/>
    </xf>
    <xf numFmtId="43" fontId="12" fillId="0" borderId="1" xfId="1" applyFont="1" applyFill="1" applyBorder="1" applyAlignment="1" applyProtection="1">
      <alignment horizontal="center" vertical="center"/>
    </xf>
    <xf numFmtId="43" fontId="12" fillId="2" borderId="11" xfId="1" applyFont="1" applyFill="1" applyBorder="1" applyAlignment="1" applyProtection="1">
      <alignment horizontal="center" vertical="center" wrapText="1"/>
    </xf>
    <xf numFmtId="164" fontId="12" fillId="2" borderId="12" xfId="1" applyNumberFormat="1" applyFont="1" applyFill="1" applyBorder="1" applyAlignment="1" applyProtection="1">
      <alignment horizontal="center" vertical="center" wrapText="1"/>
    </xf>
    <xf numFmtId="43" fontId="12" fillId="2" borderId="14" xfId="1" applyFont="1" applyFill="1" applyBorder="1" applyAlignment="1" applyProtection="1">
      <alignment horizontal="center" vertical="center" wrapText="1"/>
    </xf>
    <xf numFmtId="9" fontId="0" fillId="2" borderId="1" xfId="10" applyFont="1" applyFill="1" applyBorder="1" applyAlignment="1" applyProtection="1">
      <alignment horizontal="center" vertical="center" wrapText="1"/>
    </xf>
    <xf numFmtId="0" fontId="18" fillId="21" borderId="1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vertical="center"/>
    </xf>
    <xf numFmtId="43" fontId="0" fillId="2" borderId="1" xfId="1" applyFont="1" applyFill="1" applyBorder="1" applyAlignment="1" applyProtection="1">
      <alignment horizontal="center" vertical="center" wrapText="1"/>
    </xf>
    <xf numFmtId="43" fontId="0" fillId="2" borderId="33" xfId="1" applyFont="1" applyFill="1" applyBorder="1" applyAlignment="1" applyProtection="1">
      <alignment horizontal="center" vertical="center" wrapText="1"/>
    </xf>
    <xf numFmtId="0" fontId="30" fillId="2" borderId="0" xfId="0" applyFont="1" applyFill="1" applyAlignment="1">
      <alignment horizontal="left" vertical="center"/>
    </xf>
    <xf numFmtId="0" fontId="30" fillId="0" borderId="0" xfId="0" applyFont="1"/>
    <xf numFmtId="0" fontId="30" fillId="2" borderId="0" xfId="0" applyFont="1" applyFill="1" applyAlignment="1" applyProtection="1">
      <alignment horizontal="left" vertical="center"/>
      <protection locked="0"/>
    </xf>
    <xf numFmtId="0" fontId="65" fillId="2" borderId="0" xfId="0" applyFont="1" applyFill="1" applyAlignment="1" applyProtection="1">
      <alignment horizontal="left" vertical="center"/>
      <protection locked="0"/>
    </xf>
    <xf numFmtId="0" fontId="65" fillId="2" borderId="0" xfId="0" applyFont="1" applyFill="1" applyAlignment="1">
      <alignment horizontal="center" vertical="center" wrapText="1"/>
    </xf>
    <xf numFmtId="0" fontId="65" fillId="2" borderId="0" xfId="0" applyFont="1" applyFill="1" applyAlignment="1">
      <alignment horizontal="center" vertical="center"/>
    </xf>
    <xf numFmtId="0" fontId="31" fillId="2" borderId="0" xfId="0" applyFont="1" applyFill="1" applyAlignment="1" applyProtection="1">
      <alignment horizontal="left" vertical="center"/>
      <protection locked="0"/>
    </xf>
    <xf numFmtId="0" fontId="30" fillId="16" borderId="1" xfId="0" applyFont="1" applyFill="1" applyBorder="1" applyAlignment="1" applyProtection="1">
      <alignment horizontal="left" vertical="center"/>
      <protection hidden="1"/>
    </xf>
    <xf numFmtId="0" fontId="30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left" vertical="center"/>
    </xf>
    <xf numFmtId="168" fontId="65" fillId="2" borderId="0" xfId="0" applyNumberFormat="1" applyFont="1" applyFill="1" applyAlignment="1">
      <alignment horizontal="center" vertical="center" wrapText="1"/>
    </xf>
    <xf numFmtId="168" fontId="68" fillId="2" borderId="0" xfId="0" applyNumberFormat="1" applyFont="1" applyFill="1" applyAlignment="1">
      <alignment horizontal="center" vertical="center" wrapText="1"/>
    </xf>
    <xf numFmtId="0" fontId="77" fillId="2" borderId="0" xfId="0" applyFont="1" applyFill="1" applyAlignment="1">
      <alignment horizontal="left" vertical="center"/>
    </xf>
    <xf numFmtId="0" fontId="77" fillId="2" borderId="0" xfId="0" applyFont="1" applyFill="1" applyAlignment="1" applyProtection="1">
      <alignment horizontal="left" vertical="center"/>
      <protection locked="0"/>
    </xf>
    <xf numFmtId="0" fontId="35" fillId="2" borderId="15" xfId="0" applyFont="1" applyFill="1" applyBorder="1" applyAlignment="1" applyProtection="1">
      <alignment horizontal="right" vertical="center"/>
      <protection locked="0"/>
    </xf>
    <xf numFmtId="0" fontId="6" fillId="2" borderId="18" xfId="0" applyFont="1" applyFill="1" applyBorder="1" applyAlignment="1" applyProtection="1">
      <alignment horizontal="right" vertical="center"/>
      <protection locked="0"/>
    </xf>
    <xf numFmtId="0" fontId="12" fillId="2" borderId="35" xfId="0" applyFont="1" applyFill="1" applyBorder="1" applyAlignment="1" applyProtection="1">
      <alignment horizontal="center" vertical="center"/>
      <protection locked="0"/>
    </xf>
    <xf numFmtId="0" fontId="84" fillId="2" borderId="35" xfId="0" applyFont="1" applyFill="1" applyBorder="1" applyAlignment="1" applyProtection="1">
      <alignment horizontal="left" vertical="center"/>
      <protection locked="0"/>
    </xf>
    <xf numFmtId="0" fontId="10" fillId="15" borderId="0" xfId="0" applyFont="1" applyFill="1" applyAlignment="1" applyProtection="1">
      <alignment horizontal="right" vertical="center"/>
      <protection locked="0"/>
    </xf>
    <xf numFmtId="164" fontId="31" fillId="16" borderId="15" xfId="1" applyNumberFormat="1" applyFont="1" applyFill="1" applyBorder="1" applyAlignment="1" applyProtection="1">
      <alignment horizontal="center" vertical="center"/>
      <protection hidden="1"/>
    </xf>
    <xf numFmtId="0" fontId="31" fillId="2" borderId="0" xfId="0" applyFont="1" applyFill="1" applyAlignment="1" applyProtection="1">
      <alignment horizontal="center" vertical="center"/>
      <protection locked="0"/>
    </xf>
    <xf numFmtId="0" fontId="77" fillId="2" borderId="0" xfId="0" applyFont="1" applyFill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 wrapText="1"/>
      <protection hidden="1"/>
    </xf>
    <xf numFmtId="0" fontId="30" fillId="0" borderId="0" xfId="0" applyFont="1" applyAlignment="1">
      <alignment horizontal="left" vertical="center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0" fillId="0" borderId="1" xfId="1" applyNumberFormat="1" applyFont="1" applyFill="1" applyBorder="1" applyAlignment="1" applyProtection="1">
      <alignment horizontal="center" vertical="center" wrapText="1"/>
    </xf>
    <xf numFmtId="0" fontId="0" fillId="0" borderId="1" xfId="4" applyFont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vertical="center" wrapText="1"/>
    </xf>
    <xf numFmtId="0" fontId="19" fillId="0" borderId="3" xfId="0" applyFont="1" applyBorder="1" applyAlignment="1">
      <alignment vertical="center"/>
    </xf>
    <xf numFmtId="0" fontId="6" fillId="2" borderId="15" xfId="0" applyFont="1" applyFill="1" applyBorder="1" applyAlignment="1" applyProtection="1">
      <alignment horizontal="right" vertical="center"/>
      <protection locked="0"/>
    </xf>
    <xf numFmtId="0" fontId="35" fillId="29" borderId="15" xfId="0" applyFont="1" applyFill="1" applyBorder="1" applyAlignment="1" applyProtection="1">
      <alignment horizontal="right" vertical="center"/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14" fontId="11" fillId="20" borderId="29" xfId="0" applyNumberFormat="1" applyFont="1" applyFill="1" applyBorder="1" applyAlignment="1" applyProtection="1">
      <alignment horizontal="center" vertical="center"/>
      <protection hidden="1"/>
    </xf>
    <xf numFmtId="14" fontId="87" fillId="0" borderId="39" xfId="0" applyNumberFormat="1" applyFont="1" applyBorder="1" applyAlignment="1" applyProtection="1">
      <alignment horizontal="center" vertical="center"/>
      <protection hidden="1"/>
    </xf>
    <xf numFmtId="0" fontId="86" fillId="0" borderId="0" xfId="0" applyFont="1" applyAlignment="1">
      <alignment vertical="center"/>
    </xf>
    <xf numFmtId="0" fontId="18" fillId="8" borderId="18" xfId="0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168" fontId="65" fillId="2" borderId="0" xfId="0" applyNumberFormat="1" applyFont="1" applyFill="1" applyAlignment="1" applyProtection="1">
      <alignment vertical="center" wrapText="1"/>
      <protection locked="0"/>
    </xf>
    <xf numFmtId="168" fontId="68" fillId="2" borderId="0" xfId="0" applyNumberFormat="1" applyFont="1" applyFill="1" applyAlignment="1" applyProtection="1">
      <alignment vertical="center" wrapText="1"/>
      <protection locked="0"/>
    </xf>
    <xf numFmtId="0" fontId="65" fillId="2" borderId="0" xfId="0" applyFont="1" applyFill="1" applyAlignment="1" applyProtection="1">
      <alignment horizontal="center" vertical="center" wrapText="1"/>
      <protection locked="0"/>
    </xf>
    <xf numFmtId="0" fontId="64" fillId="12" borderId="7" xfId="0" applyFont="1" applyFill="1" applyBorder="1" applyAlignment="1" applyProtection="1">
      <alignment horizontal="center" vertical="center" wrapText="1"/>
      <protection locked="0"/>
    </xf>
    <xf numFmtId="0" fontId="64" fillId="12" borderId="9" xfId="0" applyFont="1" applyFill="1" applyBorder="1" applyAlignment="1" applyProtection="1">
      <alignment horizontal="center" vertical="center" wrapText="1"/>
      <protection locked="0"/>
    </xf>
    <xf numFmtId="0" fontId="65" fillId="11" borderId="30" xfId="0" applyFont="1" applyFill="1" applyBorder="1" applyAlignment="1" applyProtection="1">
      <alignment horizontal="center" vertical="center" textRotation="90"/>
      <protection locked="0"/>
    </xf>
    <xf numFmtId="0" fontId="12" fillId="0" borderId="0" xfId="0" applyFont="1" applyAlignment="1">
      <alignment vertical="center" wrapText="1"/>
    </xf>
    <xf numFmtId="43" fontId="89" fillId="12" borderId="31" xfId="1" applyFont="1" applyFill="1" applyBorder="1" applyAlignment="1" applyProtection="1">
      <alignment horizontal="center" vertical="center" wrapText="1"/>
      <protection locked="0"/>
    </xf>
    <xf numFmtId="0" fontId="89" fillId="12" borderId="31" xfId="0" applyFont="1" applyFill="1" applyBorder="1" applyAlignment="1" applyProtection="1">
      <alignment horizontal="center" vertical="center" wrapText="1"/>
      <protection locked="0"/>
    </xf>
    <xf numFmtId="3" fontId="80" fillId="12" borderId="37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1" fontId="13" fillId="21" borderId="1" xfId="1" applyNumberFormat="1" applyFont="1" applyFill="1" applyBorder="1" applyAlignment="1" applyProtection="1">
      <alignment horizontal="left" vertical="center" wrapText="1"/>
      <protection locked="0"/>
    </xf>
    <xf numFmtId="43" fontId="30" fillId="0" borderId="0" xfId="0" applyNumberFormat="1" applyFont="1" applyAlignment="1">
      <alignment vertical="center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12" fillId="0" borderId="2" xfId="0" applyFont="1" applyBorder="1" applyAlignment="1" applyProtection="1">
      <alignment horizontal="center" vertical="center"/>
      <protection hidden="1"/>
    </xf>
    <xf numFmtId="0" fontId="12" fillId="0" borderId="2" xfId="0" applyFont="1" applyBorder="1" applyAlignment="1" applyProtection="1">
      <alignment horizontal="center" vertical="center" wrapText="1"/>
      <protection hidden="1"/>
    </xf>
    <xf numFmtId="0" fontId="65" fillId="0" borderId="2" xfId="0" applyFont="1" applyBorder="1" applyAlignment="1" applyProtection="1">
      <alignment horizontal="center" vertical="center"/>
      <protection hidden="1"/>
    </xf>
    <xf numFmtId="0" fontId="12" fillId="0" borderId="2" xfId="0" applyFont="1" applyBorder="1" applyAlignment="1" applyProtection="1">
      <alignment horizontal="left" vertical="center"/>
      <protection hidden="1"/>
    </xf>
    <xf numFmtId="0" fontId="18" fillId="4" borderId="2" xfId="0" applyFont="1" applyFill="1" applyBorder="1" applyAlignment="1" applyProtection="1">
      <alignment horizontal="center" vertical="center"/>
      <protection hidden="1"/>
    </xf>
    <xf numFmtId="0" fontId="18" fillId="6" borderId="2" xfId="0" applyFont="1" applyFill="1" applyBorder="1" applyAlignment="1" applyProtection="1">
      <alignment horizontal="center" vertical="center"/>
      <protection hidden="1"/>
    </xf>
    <xf numFmtId="0" fontId="30" fillId="0" borderId="3" xfId="0" applyFont="1" applyBorder="1" applyAlignment="1" applyProtection="1">
      <alignment horizontal="center" vertical="center"/>
      <protection hidden="1"/>
    </xf>
    <xf numFmtId="0" fontId="30" fillId="0" borderId="3" xfId="0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64" fillId="0" borderId="3" xfId="0" applyFont="1" applyBorder="1" applyAlignment="1" applyProtection="1">
      <alignment horizontal="center" vertical="center"/>
      <protection hidden="1"/>
    </xf>
    <xf numFmtId="0" fontId="31" fillId="0" borderId="3" xfId="0" applyFont="1" applyBorder="1" applyAlignment="1" applyProtection="1">
      <alignment horizontal="center" vertical="center"/>
      <protection hidden="1"/>
    </xf>
    <xf numFmtId="0" fontId="75" fillId="6" borderId="3" xfId="0" applyFont="1" applyFill="1" applyBorder="1" applyAlignment="1" applyProtection="1">
      <alignment vertical="center"/>
      <protection hidden="1"/>
    </xf>
    <xf numFmtId="0" fontId="32" fillId="6" borderId="3" xfId="0" applyFont="1" applyFill="1" applyBorder="1" applyAlignment="1" applyProtection="1">
      <alignment vertical="center"/>
      <protection hidden="1"/>
    </xf>
    <xf numFmtId="0" fontId="32" fillId="6" borderId="3" xfId="0" applyFont="1" applyFill="1" applyBorder="1" applyAlignment="1" applyProtection="1">
      <alignment vertical="center" wrapText="1"/>
      <protection hidden="1"/>
    </xf>
    <xf numFmtId="0" fontId="32" fillId="6" borderId="3" xfId="0" applyFont="1" applyFill="1" applyBorder="1" applyAlignment="1" applyProtection="1">
      <alignment horizontal="center" vertical="center"/>
      <protection hidden="1"/>
    </xf>
    <xf numFmtId="0" fontId="74" fillId="6" borderId="3" xfId="0" applyFont="1" applyFill="1" applyBorder="1" applyAlignment="1" applyProtection="1">
      <alignment horizontal="center" vertical="center"/>
      <protection hidden="1"/>
    </xf>
    <xf numFmtId="0" fontId="12" fillId="6" borderId="3" xfId="0" applyFont="1" applyFill="1" applyBorder="1" applyAlignment="1" applyProtection="1">
      <alignment vertical="center"/>
      <protection hidden="1"/>
    </xf>
    <xf numFmtId="0" fontId="64" fillId="6" borderId="3" xfId="0" applyFont="1" applyFill="1" applyBorder="1" applyAlignment="1" applyProtection="1">
      <alignment vertical="center"/>
      <protection hidden="1"/>
    </xf>
    <xf numFmtId="0" fontId="65" fillId="6" borderId="3" xfId="0" applyFont="1" applyFill="1" applyBorder="1" applyAlignment="1" applyProtection="1">
      <alignment vertical="center"/>
      <protection hidden="1"/>
    </xf>
    <xf numFmtId="0" fontId="18" fillId="6" borderId="3" xfId="0" applyFont="1" applyFill="1" applyBorder="1" applyAlignment="1" applyProtection="1">
      <alignment horizontal="center" vertical="center"/>
      <protection hidden="1"/>
    </xf>
    <xf numFmtId="0" fontId="12" fillId="6" borderId="3" xfId="0" applyFont="1" applyFill="1" applyBorder="1" applyAlignment="1" applyProtection="1">
      <alignment horizontal="center" vertical="center"/>
      <protection hidden="1"/>
    </xf>
    <xf numFmtId="0" fontId="18" fillId="6" borderId="3" xfId="0" applyFont="1" applyFill="1" applyBorder="1" applyAlignment="1" applyProtection="1">
      <alignment horizontal="center" vertical="center" wrapText="1"/>
      <protection hidden="1"/>
    </xf>
    <xf numFmtId="0" fontId="12" fillId="6" borderId="3" xfId="0" applyFont="1" applyFill="1" applyBorder="1" applyAlignment="1" applyProtection="1">
      <alignment horizontal="center" vertical="center" wrapText="1"/>
      <protection hidden="1"/>
    </xf>
    <xf numFmtId="0" fontId="12" fillId="0" borderId="3" xfId="0" applyFont="1" applyBorder="1" applyAlignment="1" applyProtection="1">
      <alignment horizontal="center" vertical="center"/>
      <protection hidden="1"/>
    </xf>
    <xf numFmtId="0" fontId="65" fillId="6" borderId="3" xfId="0" applyFont="1" applyFill="1" applyBorder="1" applyAlignment="1" applyProtection="1">
      <alignment horizontal="center" vertical="center"/>
      <protection hidden="1"/>
    </xf>
    <xf numFmtId="164" fontId="18" fillId="6" borderId="3" xfId="1" applyNumberFormat="1" applyFont="1" applyFill="1" applyBorder="1" applyAlignment="1" applyProtection="1">
      <alignment horizontal="center" vertical="center"/>
      <protection hidden="1"/>
    </xf>
    <xf numFmtId="0" fontId="18" fillId="0" borderId="3" xfId="0" applyFont="1" applyBorder="1" applyAlignment="1" applyProtection="1">
      <alignment vertical="center"/>
      <protection hidden="1"/>
    </xf>
    <xf numFmtId="0" fontId="18" fillId="0" borderId="3" xfId="0" applyFont="1" applyBorder="1" applyAlignment="1" applyProtection="1">
      <alignment vertical="center" wrapText="1"/>
      <protection hidden="1"/>
    </xf>
    <xf numFmtId="0" fontId="18" fillId="0" borderId="3" xfId="0" applyFont="1" applyBorder="1" applyAlignment="1" applyProtection="1">
      <alignment horizontal="center" vertical="center"/>
      <protection hidden="1"/>
    </xf>
    <xf numFmtId="164" fontId="9" fillId="0" borderId="3" xfId="1" applyNumberFormat="1" applyFont="1" applyFill="1" applyBorder="1" applyAlignment="1" applyProtection="1">
      <alignment vertical="center"/>
      <protection hidden="1"/>
    </xf>
    <xf numFmtId="0" fontId="64" fillId="0" borderId="3" xfId="0" applyFont="1" applyBorder="1" applyAlignment="1" applyProtection="1">
      <alignment vertical="center"/>
      <protection hidden="1"/>
    </xf>
    <xf numFmtId="0" fontId="65" fillId="0" borderId="3" xfId="0" applyFont="1" applyBorder="1" applyAlignment="1" applyProtection="1">
      <alignment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18" fillId="6" borderId="3" xfId="0" applyFont="1" applyFill="1" applyBorder="1" applyAlignment="1" applyProtection="1">
      <alignment vertical="center"/>
      <protection hidden="1"/>
    </xf>
    <xf numFmtId="0" fontId="18" fillId="7" borderId="3" xfId="0" applyFont="1" applyFill="1" applyBorder="1" applyAlignment="1" applyProtection="1">
      <alignment vertical="center"/>
      <protection hidden="1"/>
    </xf>
    <xf numFmtId="0" fontId="18" fillId="7" borderId="3" xfId="0" applyFont="1" applyFill="1" applyBorder="1" applyAlignment="1" applyProtection="1">
      <alignment vertical="center" wrapText="1"/>
      <protection hidden="1"/>
    </xf>
    <xf numFmtId="0" fontId="30" fillId="0" borderId="3" xfId="0" applyFont="1" applyBorder="1" applyAlignment="1" applyProtection="1">
      <alignment vertical="center"/>
      <protection hidden="1"/>
    </xf>
    <xf numFmtId="164" fontId="9" fillId="4" borderId="3" xfId="1" applyNumberFormat="1" applyFont="1" applyFill="1" applyBorder="1" applyAlignment="1" applyProtection="1">
      <alignment vertical="center"/>
      <protection hidden="1"/>
    </xf>
    <xf numFmtId="0" fontId="18" fillId="7" borderId="3" xfId="0" applyFont="1" applyFill="1" applyBorder="1" applyAlignment="1" applyProtection="1">
      <alignment horizontal="right" vertical="center"/>
      <protection hidden="1"/>
    </xf>
    <xf numFmtId="0" fontId="18" fillId="0" borderId="3" xfId="0" applyFont="1" applyBorder="1" applyAlignment="1" applyProtection="1">
      <alignment horizontal="right"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 wrapText="1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3" xfId="0" applyBorder="1" applyAlignment="1" applyProtection="1">
      <alignment vertical="center" wrapText="1"/>
      <protection hidden="1"/>
    </xf>
    <xf numFmtId="0" fontId="5" fillId="0" borderId="3" xfId="0" applyFont="1" applyBorder="1" applyAlignment="1" applyProtection="1">
      <alignment vertical="center"/>
      <protection hidden="1"/>
    </xf>
    <xf numFmtId="0" fontId="65" fillId="0" borderId="3" xfId="0" applyFont="1" applyBorder="1" applyAlignment="1" applyProtection="1">
      <alignment horizontal="center" vertical="center" wrapText="1"/>
      <protection hidden="1"/>
    </xf>
    <xf numFmtId="0" fontId="9" fillId="0" borderId="3" xfId="0" applyFont="1" applyBorder="1" applyAlignment="1" applyProtection="1">
      <alignment vertical="center"/>
      <protection hidden="1"/>
    </xf>
    <xf numFmtId="0" fontId="64" fillId="0" borderId="3" xfId="0" applyFont="1" applyBorder="1" applyAlignment="1" applyProtection="1">
      <alignment horizontal="center" vertical="center" wrapText="1"/>
      <protection hidden="1"/>
    </xf>
    <xf numFmtId="0" fontId="9" fillId="0" borderId="3" xfId="0" applyFont="1" applyBorder="1" applyAlignment="1" applyProtection="1">
      <alignment horizontal="center" vertical="center"/>
      <protection hidden="1"/>
    </xf>
    <xf numFmtId="0" fontId="9" fillId="0" borderId="3" xfId="0" applyFont="1" applyBorder="1" applyAlignment="1" applyProtection="1">
      <alignment vertical="center" wrapText="1"/>
      <protection hidden="1"/>
    </xf>
    <xf numFmtId="0" fontId="31" fillId="0" borderId="3" xfId="0" applyFont="1" applyBorder="1" applyAlignment="1" applyProtection="1">
      <alignment vertical="center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9" fontId="30" fillId="0" borderId="3" xfId="0" applyNumberFormat="1" applyFont="1" applyBorder="1" applyAlignment="1" applyProtection="1">
      <alignment vertical="center"/>
      <protection hidden="1"/>
    </xf>
    <xf numFmtId="9" fontId="31" fillId="0" borderId="3" xfId="0" applyNumberFormat="1" applyFont="1" applyBorder="1" applyAlignment="1" applyProtection="1">
      <alignment vertical="center"/>
      <protection hidden="1"/>
    </xf>
    <xf numFmtId="170" fontId="30" fillId="0" borderId="3" xfId="0" applyNumberFormat="1" applyFont="1" applyBorder="1" applyAlignment="1" applyProtection="1">
      <alignment vertical="center"/>
      <protection hidden="1"/>
    </xf>
    <xf numFmtId="0" fontId="0" fillId="27" borderId="3" xfId="0" applyFill="1" applyBorder="1" applyAlignment="1" applyProtection="1">
      <alignment vertical="center"/>
      <protection hidden="1"/>
    </xf>
    <xf numFmtId="0" fontId="0" fillId="27" borderId="3" xfId="0" applyFill="1" applyBorder="1" applyAlignment="1" applyProtection="1">
      <alignment vertical="center" wrapText="1"/>
      <protection hidden="1"/>
    </xf>
    <xf numFmtId="0" fontId="30" fillId="0" borderId="3" xfId="0" applyFont="1" applyBorder="1" applyAlignment="1" applyProtection="1">
      <alignment horizontal="left" vertical="center"/>
      <protection hidden="1"/>
    </xf>
    <xf numFmtId="0" fontId="0" fillId="27" borderId="3" xfId="0" applyFill="1" applyBorder="1" applyAlignment="1" applyProtection="1">
      <alignment horizontal="center" vertical="center"/>
      <protection hidden="1"/>
    </xf>
    <xf numFmtId="0" fontId="0" fillId="32" borderId="3" xfId="0" applyFill="1" applyBorder="1" applyAlignment="1" applyProtection="1">
      <alignment vertical="center"/>
      <protection hidden="1"/>
    </xf>
    <xf numFmtId="0" fontId="0" fillId="32" borderId="3" xfId="0" applyFill="1" applyBorder="1" applyAlignment="1" applyProtection="1">
      <alignment vertical="center" wrapText="1"/>
      <protection hidden="1"/>
    </xf>
    <xf numFmtId="0" fontId="0" fillId="32" borderId="3" xfId="0" applyFill="1" applyBorder="1" applyAlignment="1" applyProtection="1">
      <alignment horizontal="center" vertical="center"/>
      <protection hidden="1"/>
    </xf>
    <xf numFmtId="0" fontId="30" fillId="32" borderId="3" xfId="0" applyFont="1" applyFill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vertical="center" wrapText="1"/>
      <protection hidden="1"/>
    </xf>
    <xf numFmtId="164" fontId="12" fillId="6" borderId="3" xfId="1" applyNumberFormat="1" applyFont="1" applyFill="1" applyBorder="1" applyAlignment="1" applyProtection="1">
      <alignment horizontal="center" vertical="center"/>
      <protection hidden="1"/>
    </xf>
    <xf numFmtId="0" fontId="33" fillId="7" borderId="3" xfId="0" applyFont="1" applyFill="1" applyBorder="1" applyAlignment="1" applyProtection="1">
      <alignment horizontal="center" vertical="center"/>
      <protection hidden="1"/>
    </xf>
    <xf numFmtId="0" fontId="32" fillId="7" borderId="3" xfId="0" applyFont="1" applyFill="1" applyBorder="1" applyAlignment="1" applyProtection="1">
      <alignment vertical="center"/>
      <protection hidden="1"/>
    </xf>
    <xf numFmtId="0" fontId="32" fillId="7" borderId="3" xfId="0" applyFont="1" applyFill="1" applyBorder="1" applyAlignment="1" applyProtection="1">
      <alignment vertical="center" wrapText="1"/>
      <protection hidden="1"/>
    </xf>
    <xf numFmtId="0" fontId="32" fillId="7" borderId="3" xfId="0" applyFont="1" applyFill="1" applyBorder="1" applyAlignment="1" applyProtection="1">
      <alignment horizontal="center" vertical="center"/>
      <protection hidden="1"/>
    </xf>
    <xf numFmtId="0" fontId="74" fillId="7" borderId="3" xfId="0" applyFont="1" applyFill="1" applyBorder="1" applyAlignment="1" applyProtection="1">
      <alignment horizontal="center" vertical="center"/>
      <protection hidden="1"/>
    </xf>
    <xf numFmtId="164" fontId="0" fillId="0" borderId="3" xfId="1" applyNumberFormat="1" applyFont="1" applyFill="1" applyBorder="1" applyAlignment="1" applyProtection="1">
      <alignment vertical="center"/>
      <protection hidden="1"/>
    </xf>
    <xf numFmtId="0" fontId="64" fillId="7" borderId="3" xfId="0" applyFont="1" applyFill="1" applyBorder="1" applyAlignment="1" applyProtection="1">
      <alignment vertical="center"/>
      <protection hidden="1"/>
    </xf>
    <xf numFmtId="0" fontId="65" fillId="7" borderId="3" xfId="0" applyFont="1" applyFill="1" applyBorder="1" applyAlignment="1" applyProtection="1">
      <alignment vertical="center"/>
      <protection hidden="1"/>
    </xf>
    <xf numFmtId="169" fontId="5" fillId="0" borderId="3" xfId="1" applyNumberFormat="1" applyFont="1" applyBorder="1" applyAlignment="1" applyProtection="1">
      <alignment vertical="center"/>
      <protection hidden="1"/>
    </xf>
    <xf numFmtId="0" fontId="0" fillId="7" borderId="3" xfId="0" applyFill="1" applyBorder="1" applyAlignment="1" applyProtection="1">
      <alignment horizontal="center" vertical="center"/>
      <protection hidden="1"/>
    </xf>
    <xf numFmtId="0" fontId="18" fillId="7" borderId="3" xfId="0" applyFont="1" applyFill="1" applyBorder="1" applyAlignment="1" applyProtection="1">
      <alignment horizontal="center" vertical="center"/>
      <protection hidden="1"/>
    </xf>
    <xf numFmtId="0" fontId="18" fillId="7" borderId="3" xfId="0" applyFont="1" applyFill="1" applyBorder="1" applyAlignment="1" applyProtection="1">
      <alignment horizontal="center" vertical="center" wrapText="1"/>
      <protection hidden="1"/>
    </xf>
    <xf numFmtId="0" fontId="5" fillId="7" borderId="3" xfId="0" applyFont="1" applyFill="1" applyBorder="1" applyAlignment="1" applyProtection="1">
      <alignment horizontal="center" vertical="center"/>
      <protection hidden="1"/>
    </xf>
    <xf numFmtId="0" fontId="5" fillId="7" borderId="3" xfId="0" applyFont="1" applyFill="1" applyBorder="1" applyAlignment="1" applyProtection="1">
      <alignment horizontal="center" vertical="center" wrapText="1"/>
      <protection hidden="1"/>
    </xf>
    <xf numFmtId="0" fontId="30" fillId="7" borderId="3" xfId="0" applyFont="1" applyFill="1" applyBorder="1" applyAlignment="1" applyProtection="1">
      <alignment horizontal="center" vertical="center"/>
      <protection hidden="1"/>
    </xf>
    <xf numFmtId="0" fontId="9" fillId="3" borderId="3" xfId="0" applyFont="1" applyFill="1" applyBorder="1" applyAlignment="1" applyProtection="1">
      <alignment vertical="center"/>
      <protection hidden="1"/>
    </xf>
    <xf numFmtId="0" fontId="9" fillId="3" borderId="3" xfId="0" applyFont="1" applyFill="1" applyBorder="1" applyAlignment="1" applyProtection="1">
      <alignment vertical="center" wrapText="1"/>
      <protection hidden="1"/>
    </xf>
    <xf numFmtId="0" fontId="18" fillId="3" borderId="3" xfId="0" applyFont="1" applyFill="1" applyBorder="1" applyAlignment="1" applyProtection="1">
      <alignment vertical="center"/>
      <protection hidden="1"/>
    </xf>
    <xf numFmtId="0" fontId="0" fillId="4" borderId="3" xfId="0" applyFill="1" applyBorder="1" applyAlignment="1" applyProtection="1">
      <alignment vertical="center"/>
      <protection hidden="1"/>
    </xf>
    <xf numFmtId="0" fontId="0" fillId="4" borderId="3" xfId="0" applyFill="1" applyBorder="1" applyAlignment="1" applyProtection="1">
      <alignment vertical="center" wrapText="1"/>
      <protection hidden="1"/>
    </xf>
    <xf numFmtId="0" fontId="18" fillId="4" borderId="3" xfId="0" applyFont="1" applyFill="1" applyBorder="1" applyAlignment="1" applyProtection="1">
      <alignment vertical="center"/>
      <protection hidden="1"/>
    </xf>
    <xf numFmtId="0" fontId="0" fillId="14" borderId="3" xfId="0" applyFill="1" applyBorder="1" applyAlignment="1" applyProtection="1">
      <alignment vertical="center"/>
      <protection hidden="1"/>
    </xf>
    <xf numFmtId="0" fontId="0" fillId="14" borderId="3" xfId="0" applyFill="1" applyBorder="1" applyAlignment="1" applyProtection="1">
      <alignment vertical="center" wrapText="1"/>
      <protection hidden="1"/>
    </xf>
    <xf numFmtId="0" fontId="18" fillId="14" borderId="3" xfId="0" applyFont="1" applyFill="1" applyBorder="1" applyAlignment="1" applyProtection="1">
      <alignment vertical="center"/>
      <protection hidden="1"/>
    </xf>
    <xf numFmtId="0" fontId="0" fillId="0" borderId="3" xfId="0" applyBorder="1" applyAlignment="1" applyProtection="1">
      <alignment horizontal="right" vertical="center"/>
      <protection hidden="1"/>
    </xf>
    <xf numFmtId="0" fontId="22" fillId="0" borderId="3" xfId="0" applyFont="1" applyBorder="1" applyAlignment="1" applyProtection="1">
      <alignment vertical="center"/>
      <protection hidden="1"/>
    </xf>
    <xf numFmtId="0" fontId="0" fillId="4" borderId="3" xfId="0" applyFill="1" applyBorder="1" applyAlignment="1" applyProtection="1">
      <alignment horizontal="center" vertical="center"/>
      <protection hidden="1"/>
    </xf>
    <xf numFmtId="0" fontId="0" fillId="4" borderId="3" xfId="0" applyFill="1" applyBorder="1" applyAlignment="1" applyProtection="1">
      <alignment horizontal="left" vertical="center"/>
      <protection hidden="1"/>
    </xf>
    <xf numFmtId="164" fontId="0" fillId="27" borderId="3" xfId="1" applyNumberFormat="1" applyFont="1" applyFill="1" applyBorder="1" applyAlignment="1" applyProtection="1">
      <alignment vertical="center"/>
      <protection hidden="1"/>
    </xf>
    <xf numFmtId="0" fontId="0" fillId="27" borderId="3" xfId="0" applyFill="1" applyBorder="1" applyAlignment="1" applyProtection="1">
      <alignment horizontal="left" vertical="center"/>
      <protection hidden="1"/>
    </xf>
    <xf numFmtId="0" fontId="18" fillId="5" borderId="3" xfId="0" applyFont="1" applyFill="1" applyBorder="1" applyAlignment="1" applyProtection="1">
      <alignment vertical="center"/>
      <protection hidden="1"/>
    </xf>
    <xf numFmtId="3" fontId="0" fillId="0" borderId="3" xfId="1" applyNumberFormat="1" applyFont="1" applyFill="1" applyBorder="1" applyAlignment="1" applyProtection="1">
      <alignment vertical="center"/>
      <protection hidden="1"/>
    </xf>
    <xf numFmtId="0" fontId="0" fillId="21" borderId="3" xfId="0" applyFill="1" applyBorder="1" applyAlignment="1" applyProtection="1">
      <alignment horizontal="left" vertical="center"/>
      <protection hidden="1"/>
    </xf>
    <xf numFmtId="0" fontId="0" fillId="21" borderId="3" xfId="0" applyFill="1" applyBorder="1" applyAlignment="1" applyProtection="1">
      <alignment vertical="center" wrapText="1"/>
      <protection hidden="1"/>
    </xf>
    <xf numFmtId="0" fontId="0" fillId="21" borderId="3" xfId="0" applyFill="1" applyBorder="1" applyAlignment="1" applyProtection="1">
      <alignment horizontal="center" vertical="center"/>
      <protection hidden="1"/>
    </xf>
    <xf numFmtId="0" fontId="0" fillId="21" borderId="3" xfId="0" applyFill="1" applyBorder="1" applyAlignment="1" applyProtection="1">
      <alignment vertical="center"/>
      <protection hidden="1"/>
    </xf>
    <xf numFmtId="164" fontId="0" fillId="21" borderId="3" xfId="1" applyNumberFormat="1" applyFont="1" applyFill="1" applyBorder="1" applyAlignment="1" applyProtection="1">
      <alignment vertical="center"/>
      <protection hidden="1"/>
    </xf>
    <xf numFmtId="0" fontId="18" fillId="21" borderId="3" xfId="0" applyFont="1" applyFill="1" applyBorder="1" applyAlignment="1" applyProtection="1">
      <alignment vertical="center"/>
      <protection hidden="1"/>
    </xf>
    <xf numFmtId="0" fontId="0" fillId="21" borderId="3" xfId="0" applyFill="1" applyBorder="1" applyAlignment="1" applyProtection="1">
      <alignment horizontal="left" vertical="center" wrapText="1"/>
      <protection hidden="1"/>
    </xf>
    <xf numFmtId="0" fontId="0" fillId="33" borderId="3" xfId="0" applyFill="1" applyBorder="1" applyAlignment="1" applyProtection="1">
      <alignment horizontal="left" vertical="center"/>
      <protection hidden="1"/>
    </xf>
    <xf numFmtId="0" fontId="0" fillId="33" borderId="3" xfId="0" applyFill="1" applyBorder="1" applyAlignment="1" applyProtection="1">
      <alignment horizontal="left" vertical="center" wrapText="1"/>
      <protection hidden="1"/>
    </xf>
    <xf numFmtId="0" fontId="0" fillId="33" borderId="3" xfId="0" applyFill="1" applyBorder="1" applyAlignment="1" applyProtection="1">
      <alignment horizontal="center" vertical="center"/>
      <protection hidden="1"/>
    </xf>
    <xf numFmtId="0" fontId="0" fillId="33" borderId="3" xfId="0" applyFill="1" applyBorder="1" applyAlignment="1" applyProtection="1">
      <alignment vertical="center"/>
      <protection hidden="1"/>
    </xf>
    <xf numFmtId="0" fontId="18" fillId="33" borderId="3" xfId="0" applyFont="1" applyFill="1" applyBorder="1" applyAlignment="1" applyProtection="1">
      <alignment vertical="center"/>
      <protection hidden="1"/>
    </xf>
    <xf numFmtId="164" fontId="0" fillId="33" borderId="3" xfId="1" applyNumberFormat="1" applyFont="1" applyFill="1" applyBorder="1" applyAlignment="1" applyProtection="1">
      <alignment vertical="center"/>
      <protection hidden="1"/>
    </xf>
    <xf numFmtId="0" fontId="0" fillId="33" borderId="3" xfId="0" applyFill="1" applyBorder="1" applyAlignment="1" applyProtection="1">
      <alignment vertical="center" wrapText="1"/>
      <protection hidden="1"/>
    </xf>
    <xf numFmtId="0" fontId="0" fillId="0" borderId="3" xfId="0" applyBorder="1" applyAlignment="1" applyProtection="1">
      <alignment horizontal="left" vertical="center"/>
      <protection hidden="1"/>
    </xf>
    <xf numFmtId="0" fontId="0" fillId="0" borderId="3" xfId="0" applyBorder="1" applyAlignment="1" applyProtection="1">
      <alignment horizontal="left" vertical="center" wrapText="1"/>
      <protection hidden="1"/>
    </xf>
    <xf numFmtId="0" fontId="0" fillId="4" borderId="3" xfId="0" applyFill="1" applyBorder="1" applyAlignment="1" applyProtection="1">
      <alignment horizontal="left" vertical="center" wrapText="1"/>
      <protection hidden="1"/>
    </xf>
    <xf numFmtId="164" fontId="0" fillId="31" borderId="3" xfId="1" applyNumberFormat="1" applyFont="1" applyFill="1" applyBorder="1" applyAlignment="1" applyProtection="1">
      <alignment vertical="center"/>
      <protection hidden="1"/>
    </xf>
    <xf numFmtId="0" fontId="0" fillId="31" borderId="3" xfId="0" applyFill="1" applyBorder="1" applyAlignment="1" applyProtection="1">
      <alignment horizontal="center" vertical="center"/>
      <protection hidden="1"/>
    </xf>
    <xf numFmtId="164" fontId="9" fillId="21" borderId="3" xfId="1" applyNumberFormat="1" applyFont="1" applyFill="1" applyBorder="1" applyAlignment="1" applyProtection="1">
      <alignment vertical="center"/>
      <protection hidden="1"/>
    </xf>
    <xf numFmtId="0" fontId="9" fillId="4" borderId="3" xfId="0" applyFont="1" applyFill="1" applyBorder="1" applyAlignment="1" applyProtection="1">
      <alignment horizontal="center" vertical="center"/>
      <protection hidden="1"/>
    </xf>
    <xf numFmtId="164" fontId="5" fillId="0" borderId="3" xfId="0" applyNumberFormat="1" applyFont="1" applyBorder="1" applyAlignment="1" applyProtection="1">
      <alignment horizontal="center" vertical="center"/>
      <protection hidden="1"/>
    </xf>
    <xf numFmtId="0" fontId="5" fillId="4" borderId="3" xfId="0" applyFont="1" applyFill="1" applyBorder="1" applyAlignment="1" applyProtection="1">
      <alignment horizontal="center" vertical="center"/>
      <protection hidden="1"/>
    </xf>
    <xf numFmtId="164" fontId="12" fillId="7" borderId="3" xfId="1" applyNumberFormat="1" applyFont="1" applyFill="1" applyBorder="1" applyAlignment="1" applyProtection="1">
      <alignment vertical="center"/>
      <protection hidden="1"/>
    </xf>
    <xf numFmtId="0" fontId="30" fillId="7" borderId="3" xfId="0" applyFont="1" applyFill="1" applyBorder="1" applyAlignment="1" applyProtection="1">
      <alignment vertical="center"/>
      <protection hidden="1"/>
    </xf>
    <xf numFmtId="43" fontId="0" fillId="0" borderId="3" xfId="1" applyFont="1" applyFill="1" applyBorder="1" applyAlignment="1" applyProtection="1">
      <alignment vertical="center"/>
      <protection hidden="1"/>
    </xf>
    <xf numFmtId="0" fontId="9" fillId="0" borderId="3" xfId="0" applyFont="1" applyBorder="1" applyAlignment="1" applyProtection="1">
      <alignment horizontal="left" vertical="center"/>
      <protection hidden="1"/>
    </xf>
    <xf numFmtId="0" fontId="9" fillId="0" borderId="3" xfId="0" applyFont="1" applyBorder="1" applyAlignment="1" applyProtection="1">
      <alignment horizontal="left" vertical="center" wrapText="1"/>
      <protection hidden="1"/>
    </xf>
    <xf numFmtId="169" fontId="9" fillId="0" borderId="3" xfId="1" applyNumberFormat="1" applyFont="1" applyBorder="1" applyAlignment="1" applyProtection="1">
      <alignment vertical="center"/>
      <protection hidden="1"/>
    </xf>
    <xf numFmtId="0" fontId="0" fillId="0" borderId="3" xfId="1" applyNumberFormat="1" applyFont="1" applyBorder="1" applyAlignment="1" applyProtection="1">
      <alignment horizontal="center" vertical="center"/>
      <protection hidden="1"/>
    </xf>
    <xf numFmtId="43" fontId="0" fillId="0" borderId="3" xfId="0" applyNumberFormat="1" applyBorder="1" applyAlignment="1" applyProtection="1">
      <alignment vertical="center"/>
      <protection hidden="1"/>
    </xf>
    <xf numFmtId="169" fontId="0" fillId="0" borderId="3" xfId="1" applyNumberFormat="1" applyFont="1" applyBorder="1" applyAlignment="1" applyProtection="1">
      <alignment vertical="center"/>
      <protection hidden="1"/>
    </xf>
    <xf numFmtId="0" fontId="33" fillId="8" borderId="3" xfId="0" applyFont="1" applyFill="1" applyBorder="1" applyAlignment="1" applyProtection="1">
      <alignment horizontal="center" vertical="center"/>
      <protection hidden="1"/>
    </xf>
    <xf numFmtId="0" fontId="32" fillId="8" borderId="3" xfId="0" applyFont="1" applyFill="1" applyBorder="1" applyAlignment="1" applyProtection="1">
      <alignment vertical="center"/>
      <protection hidden="1"/>
    </xf>
    <xf numFmtId="0" fontId="32" fillId="8" borderId="3" xfId="0" applyFont="1" applyFill="1" applyBorder="1" applyAlignment="1" applyProtection="1">
      <alignment vertical="center" wrapText="1"/>
      <protection hidden="1"/>
    </xf>
    <xf numFmtId="0" fontId="32" fillId="8" borderId="3" xfId="0" applyFont="1" applyFill="1" applyBorder="1" applyAlignment="1" applyProtection="1">
      <alignment horizontal="center" vertical="center"/>
      <protection hidden="1"/>
    </xf>
    <xf numFmtId="0" fontId="74" fillId="8" borderId="3" xfId="0" applyFont="1" applyFill="1" applyBorder="1" applyAlignment="1" applyProtection="1">
      <alignment horizontal="center" vertical="center"/>
      <protection hidden="1"/>
    </xf>
    <xf numFmtId="0" fontId="64" fillId="8" borderId="3" xfId="0" applyFont="1" applyFill="1" applyBorder="1" applyAlignment="1" applyProtection="1">
      <alignment vertical="center"/>
      <protection hidden="1"/>
    </xf>
    <xf numFmtId="0" fontId="65" fillId="8" borderId="3" xfId="0" applyFont="1" applyFill="1" applyBorder="1" applyAlignment="1" applyProtection="1">
      <alignment vertical="center"/>
      <protection hidden="1"/>
    </xf>
    <xf numFmtId="0" fontId="9" fillId="20" borderId="3" xfId="0" applyFont="1" applyFill="1" applyBorder="1" applyAlignment="1" applyProtection="1">
      <alignment vertical="center"/>
      <protection hidden="1"/>
    </xf>
    <xf numFmtId="9" fontId="30" fillId="0" borderId="3" xfId="10" applyFont="1" applyBorder="1" applyAlignment="1" applyProtection="1">
      <alignment vertical="center"/>
      <protection hidden="1"/>
    </xf>
    <xf numFmtId="43" fontId="0" fillId="4" borderId="3" xfId="1" applyFont="1" applyFill="1" applyBorder="1" applyAlignment="1" applyProtection="1">
      <alignment vertical="center"/>
      <protection hidden="1"/>
    </xf>
    <xf numFmtId="0" fontId="5" fillId="5" borderId="3" xfId="0" applyFont="1" applyFill="1" applyBorder="1" applyAlignment="1" applyProtection="1">
      <alignment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18" fillId="22" borderId="3" xfId="0" applyFont="1" applyFill="1" applyBorder="1" applyAlignment="1" applyProtection="1">
      <alignment vertical="center"/>
      <protection hidden="1"/>
    </xf>
    <xf numFmtId="9" fontId="65" fillId="0" borderId="3" xfId="0" applyNumberFormat="1" applyFont="1" applyBorder="1" applyAlignment="1" applyProtection="1">
      <alignment vertical="center"/>
      <protection hidden="1"/>
    </xf>
    <xf numFmtId="0" fontId="12" fillId="4" borderId="3" xfId="0" applyFont="1" applyFill="1" applyBorder="1" applyAlignment="1" applyProtection="1">
      <alignment vertical="center"/>
      <protection hidden="1"/>
    </xf>
    <xf numFmtId="0" fontId="12" fillId="4" borderId="3" xfId="0" applyFont="1" applyFill="1" applyBorder="1" applyAlignment="1" applyProtection="1">
      <alignment vertical="center" wrapText="1"/>
      <protection hidden="1"/>
    </xf>
    <xf numFmtId="0" fontId="9" fillId="23" borderId="3" xfId="0" applyFont="1" applyFill="1" applyBorder="1" applyAlignment="1" applyProtection="1">
      <alignment vertical="center"/>
      <protection hidden="1"/>
    </xf>
    <xf numFmtId="43" fontId="6" fillId="4" borderId="3" xfId="1" applyFont="1" applyFill="1" applyBorder="1" applyAlignment="1" applyProtection="1">
      <alignment vertical="center"/>
      <protection hidden="1"/>
    </xf>
    <xf numFmtId="43" fontId="12" fillId="4" borderId="3" xfId="1" applyFont="1" applyFill="1" applyBorder="1" applyAlignment="1" applyProtection="1">
      <alignment vertical="center"/>
      <protection hidden="1"/>
    </xf>
    <xf numFmtId="9" fontId="64" fillId="0" borderId="3" xfId="10" applyFont="1" applyBorder="1" applyAlignment="1" applyProtection="1">
      <alignment vertical="center"/>
      <protection hidden="1"/>
    </xf>
    <xf numFmtId="9" fontId="64" fillId="0" borderId="3" xfId="0" applyNumberFormat="1" applyFont="1" applyBorder="1" applyAlignment="1" applyProtection="1">
      <alignment vertical="center"/>
      <protection hidden="1"/>
    </xf>
    <xf numFmtId="0" fontId="33" fillId="9" borderId="3" xfId="0" applyFont="1" applyFill="1" applyBorder="1" applyAlignment="1" applyProtection="1">
      <alignment horizontal="center" vertical="center"/>
      <protection hidden="1"/>
    </xf>
    <xf numFmtId="0" fontId="32" fillId="9" borderId="3" xfId="0" applyFont="1" applyFill="1" applyBorder="1" applyAlignment="1" applyProtection="1">
      <alignment vertical="center"/>
      <protection hidden="1"/>
    </xf>
    <xf numFmtId="0" fontId="32" fillId="9" borderId="3" xfId="0" applyFont="1" applyFill="1" applyBorder="1" applyAlignment="1" applyProtection="1">
      <alignment vertical="center" wrapText="1"/>
      <protection hidden="1"/>
    </xf>
    <xf numFmtId="0" fontId="32" fillId="9" borderId="3" xfId="0" applyFont="1" applyFill="1" applyBorder="1" applyAlignment="1" applyProtection="1">
      <alignment horizontal="center" vertical="center"/>
      <protection hidden="1"/>
    </xf>
    <xf numFmtId="0" fontId="74" fillId="9" borderId="3" xfId="0" applyFont="1" applyFill="1" applyBorder="1" applyAlignment="1" applyProtection="1">
      <alignment horizontal="center" vertical="center"/>
      <protection hidden="1"/>
    </xf>
    <xf numFmtId="0" fontId="64" fillId="9" borderId="3" xfId="0" applyFont="1" applyFill="1" applyBorder="1" applyAlignment="1" applyProtection="1">
      <alignment vertical="center"/>
      <protection hidden="1"/>
    </xf>
    <xf numFmtId="0" fontId="65" fillId="9" borderId="3" xfId="0" applyFont="1" applyFill="1" applyBorder="1" applyAlignment="1" applyProtection="1">
      <alignment vertical="center"/>
      <protection hidden="1"/>
    </xf>
    <xf numFmtId="164" fontId="12" fillId="0" borderId="3" xfId="1" applyNumberFormat="1" applyFont="1" applyFill="1" applyBorder="1" applyAlignment="1" applyProtection="1">
      <alignment vertical="center"/>
      <protection hidden="1"/>
    </xf>
    <xf numFmtId="43" fontId="0" fillId="0" borderId="3" xfId="1" applyFont="1" applyBorder="1" applyAlignment="1" applyProtection="1">
      <alignment vertical="center"/>
      <protection hidden="1"/>
    </xf>
    <xf numFmtId="164" fontId="6" fillId="0" borderId="3" xfId="1" applyNumberFormat="1" applyFont="1" applyFill="1" applyBorder="1" applyAlignment="1" applyProtection="1">
      <alignment vertical="center"/>
      <protection hidden="1"/>
    </xf>
    <xf numFmtId="43" fontId="6" fillId="0" borderId="3" xfId="1" applyFont="1" applyFill="1" applyBorder="1" applyAlignment="1" applyProtection="1">
      <alignment vertical="center"/>
      <protection hidden="1"/>
    </xf>
    <xf numFmtId="0" fontId="9" fillId="4" borderId="3" xfId="0" applyFont="1" applyFill="1" applyBorder="1" applyAlignment="1" applyProtection="1">
      <alignment vertical="center"/>
      <protection hidden="1"/>
    </xf>
    <xf numFmtId="0" fontId="33" fillId="10" borderId="3" xfId="0" applyFont="1" applyFill="1" applyBorder="1" applyAlignment="1" applyProtection="1">
      <alignment horizontal="left" vertical="center"/>
      <protection hidden="1"/>
    </xf>
    <xf numFmtId="0" fontId="32" fillId="10" borderId="3" xfId="0" applyFont="1" applyFill="1" applyBorder="1" applyAlignment="1" applyProtection="1">
      <alignment horizontal="left" vertical="center"/>
      <protection hidden="1"/>
    </xf>
    <xf numFmtId="0" fontId="32" fillId="10" borderId="3" xfId="0" applyFont="1" applyFill="1" applyBorder="1" applyAlignment="1" applyProtection="1">
      <alignment horizontal="left" vertical="center" wrapText="1"/>
      <protection hidden="1"/>
    </xf>
    <xf numFmtId="9" fontId="32" fillId="10" borderId="3" xfId="10" applyFont="1" applyFill="1" applyBorder="1" applyAlignment="1" applyProtection="1">
      <alignment horizontal="left" vertical="center"/>
      <protection hidden="1"/>
    </xf>
    <xf numFmtId="164" fontId="0" fillId="0" borderId="3" xfId="1" applyNumberFormat="1" applyFont="1" applyFill="1" applyBorder="1" applyAlignment="1" applyProtection="1">
      <alignment horizontal="left" vertical="center"/>
      <protection hidden="1"/>
    </xf>
    <xf numFmtId="0" fontId="65" fillId="10" borderId="3" xfId="0" applyFont="1" applyFill="1" applyBorder="1" applyAlignment="1" applyProtection="1">
      <alignment horizontal="left" vertical="center"/>
      <protection hidden="1"/>
    </xf>
    <xf numFmtId="164" fontId="0" fillId="0" borderId="3" xfId="1" applyNumberFormat="1" applyFont="1" applyFill="1" applyBorder="1" applyAlignment="1" applyProtection="1">
      <alignment horizontal="center" vertical="center"/>
      <protection hidden="1"/>
    </xf>
    <xf numFmtId="0" fontId="33" fillId="6" borderId="3" xfId="0" applyFont="1" applyFill="1" applyBorder="1" applyAlignment="1" applyProtection="1">
      <alignment horizontal="center" vertical="center"/>
      <protection hidden="1"/>
    </xf>
    <xf numFmtId="0" fontId="32" fillId="6" borderId="3" xfId="0" applyFont="1" applyFill="1" applyBorder="1" applyAlignment="1" applyProtection="1">
      <alignment horizontal="left" vertical="center"/>
      <protection hidden="1"/>
    </xf>
    <xf numFmtId="0" fontId="32" fillId="6" borderId="3" xfId="0" applyFont="1" applyFill="1" applyBorder="1" applyAlignment="1" applyProtection="1">
      <alignment horizontal="center" vertical="center" wrapText="1"/>
      <protection hidden="1"/>
    </xf>
    <xf numFmtId="0" fontId="30" fillId="6" borderId="3" xfId="0" applyFont="1" applyFill="1" applyBorder="1" applyAlignment="1" applyProtection="1">
      <alignment horizontal="center" vertical="center"/>
      <protection hidden="1"/>
    </xf>
    <xf numFmtId="0" fontId="30" fillId="6" borderId="3" xfId="0" applyFont="1" applyFill="1" applyBorder="1" applyAlignment="1" applyProtection="1">
      <alignment horizontal="center" vertical="center" wrapText="1"/>
      <protection hidden="1"/>
    </xf>
    <xf numFmtId="0" fontId="64" fillId="6" borderId="3" xfId="0" applyFont="1" applyFill="1" applyBorder="1" applyAlignment="1" applyProtection="1">
      <alignment horizontal="center" vertical="center"/>
      <protection hidden="1"/>
    </xf>
    <xf numFmtId="164" fontId="0" fillId="0" borderId="3" xfId="1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30" fillId="0" borderId="4" xfId="0" applyFont="1" applyBorder="1" applyAlignment="1" applyProtection="1">
      <alignment horizontal="center" vertical="center"/>
      <protection hidden="1"/>
    </xf>
    <xf numFmtId="0" fontId="18" fillId="0" borderId="4" xfId="0" applyFont="1" applyBorder="1" applyAlignment="1" applyProtection="1">
      <alignment horizontal="center" vertical="center"/>
      <protection hidden="1"/>
    </xf>
    <xf numFmtId="0" fontId="9" fillId="0" borderId="4" xfId="0" applyFont="1" applyBorder="1" applyAlignment="1" applyProtection="1">
      <alignment horizontal="center" vertical="center"/>
      <protection hidden="1"/>
    </xf>
    <xf numFmtId="0" fontId="65" fillId="2" borderId="1" xfId="0" applyFont="1" applyFill="1" applyBorder="1" applyAlignment="1" applyProtection="1">
      <alignment horizontal="right" vertical="center"/>
      <protection hidden="1"/>
    </xf>
    <xf numFmtId="164" fontId="68" fillId="2" borderId="1" xfId="1" applyNumberFormat="1" applyFont="1" applyFill="1" applyBorder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horizontal="center" vertical="center"/>
      <protection hidden="1"/>
    </xf>
    <xf numFmtId="0" fontId="30" fillId="2" borderId="0" xfId="0" applyFont="1" applyFill="1" applyAlignment="1" applyProtection="1">
      <alignment horizontal="left" vertical="center"/>
      <protection hidden="1"/>
    </xf>
    <xf numFmtId="164" fontId="64" fillId="4" borderId="1" xfId="1" applyNumberFormat="1" applyFont="1" applyFill="1" applyBorder="1" applyAlignment="1" applyProtection="1">
      <alignment horizontal="center" vertical="center"/>
      <protection hidden="1"/>
    </xf>
    <xf numFmtId="0" fontId="31" fillId="2" borderId="0" xfId="0" applyFont="1" applyFill="1" applyAlignment="1" applyProtection="1">
      <alignment horizontal="center" vertical="center"/>
      <protection hidden="1"/>
    </xf>
    <xf numFmtId="0" fontId="30" fillId="0" borderId="0" xfId="0" applyFont="1" applyProtection="1"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30" fillId="2" borderId="1" xfId="0" applyFont="1" applyFill="1" applyBorder="1" applyAlignment="1" applyProtection="1">
      <alignment horizontal="right" vertical="center"/>
      <protection hidden="1"/>
    </xf>
    <xf numFmtId="164" fontId="77" fillId="2" borderId="1" xfId="1" applyNumberFormat="1" applyFont="1" applyFill="1" applyBorder="1" applyAlignment="1" applyProtection="1">
      <alignment horizontal="left" vertical="center"/>
      <protection hidden="1"/>
    </xf>
    <xf numFmtId="0" fontId="31" fillId="4" borderId="1" xfId="0" applyFont="1" applyFill="1" applyBorder="1" applyAlignment="1" applyProtection="1">
      <alignment horizontal="left" vertical="center"/>
      <protection hidden="1"/>
    </xf>
    <xf numFmtId="164" fontId="30" fillId="2" borderId="1" xfId="1" applyNumberFormat="1" applyFont="1" applyFill="1" applyBorder="1" applyAlignment="1" applyProtection="1">
      <alignment horizontal="left" vertical="center"/>
      <protection hidden="1"/>
    </xf>
    <xf numFmtId="164" fontId="85" fillId="2" borderId="1" xfId="1" applyNumberFormat="1" applyFont="1" applyFill="1" applyBorder="1" applyAlignment="1" applyProtection="1">
      <alignment horizontal="center" vertical="center"/>
      <protection hidden="1"/>
    </xf>
    <xf numFmtId="0" fontId="30" fillId="2" borderId="1" xfId="0" applyFont="1" applyFill="1" applyBorder="1" applyAlignment="1" applyProtection="1">
      <alignment horizontal="left" vertical="center"/>
      <protection hidden="1"/>
    </xf>
    <xf numFmtId="164" fontId="65" fillId="13" borderId="1" xfId="0" applyNumberFormat="1" applyFont="1" applyFill="1" applyBorder="1" applyAlignment="1" applyProtection="1">
      <alignment horizontal="center" vertical="center"/>
      <protection hidden="1"/>
    </xf>
    <xf numFmtId="164" fontId="65" fillId="8" borderId="1" xfId="0" applyNumberFormat="1" applyFont="1" applyFill="1" applyBorder="1" applyAlignment="1" applyProtection="1">
      <alignment horizontal="center" vertical="center"/>
      <protection hidden="1"/>
    </xf>
    <xf numFmtId="0" fontId="65" fillId="2" borderId="0" xfId="0" applyFont="1" applyFill="1" applyAlignment="1" applyProtection="1">
      <alignment horizontal="left" vertical="center"/>
      <protection hidden="1"/>
    </xf>
    <xf numFmtId="0" fontId="64" fillId="2" borderId="0" xfId="0" applyFont="1" applyFill="1" applyAlignment="1" applyProtection="1">
      <alignment horizontal="center" vertical="center"/>
      <protection hidden="1"/>
    </xf>
    <xf numFmtId="0" fontId="65" fillId="2" borderId="0" xfId="0" applyFont="1" applyFill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65" fillId="4" borderId="0" xfId="0" applyFont="1" applyFill="1" applyAlignment="1" applyProtection="1">
      <alignment horizontal="left" vertical="center"/>
      <protection hidden="1"/>
    </xf>
    <xf numFmtId="164" fontId="88" fillId="2" borderId="1" xfId="1" applyNumberFormat="1" applyFont="1" applyFill="1" applyBorder="1" applyAlignment="1" applyProtection="1">
      <alignment horizontal="left" vertical="center"/>
      <protection hidden="1"/>
    </xf>
    <xf numFmtId="164" fontId="30" fillId="2" borderId="0" xfId="0" applyNumberFormat="1" applyFont="1" applyFill="1" applyAlignment="1" applyProtection="1">
      <alignment horizontal="center" vertical="center"/>
      <protection hidden="1"/>
    </xf>
    <xf numFmtId="0" fontId="68" fillId="2" borderId="1" xfId="0" applyFont="1" applyFill="1" applyBorder="1" applyAlignment="1" applyProtection="1">
      <alignment horizontal="right" vertical="center"/>
      <protection hidden="1"/>
    </xf>
    <xf numFmtId="164" fontId="68" fillId="2" borderId="1" xfId="0" applyNumberFormat="1" applyFont="1" applyFill="1" applyBorder="1" applyAlignment="1" applyProtection="1">
      <alignment horizontal="left" vertical="center"/>
      <protection hidden="1"/>
    </xf>
    <xf numFmtId="0" fontId="30" fillId="2" borderId="1" xfId="0" applyFont="1" applyFill="1" applyBorder="1" applyAlignment="1" applyProtection="1">
      <alignment horizontal="center" vertical="center"/>
      <protection hidden="1"/>
    </xf>
    <xf numFmtId="0" fontId="66" fillId="2" borderId="1" xfId="0" applyFont="1" applyFill="1" applyBorder="1" applyAlignment="1" applyProtection="1">
      <alignment horizontal="right" vertical="center" wrapText="1"/>
      <protection hidden="1"/>
    </xf>
    <xf numFmtId="164" fontId="66" fillId="2" borderId="1" xfId="1" applyNumberFormat="1" applyFont="1" applyFill="1" applyBorder="1" applyAlignment="1" applyProtection="1">
      <alignment vertical="center" wrapText="1"/>
      <protection hidden="1"/>
    </xf>
    <xf numFmtId="164" fontId="66" fillId="2" borderId="1" xfId="1" applyNumberFormat="1" applyFont="1" applyFill="1" applyBorder="1" applyAlignment="1" applyProtection="1">
      <alignment horizontal="left" vertical="center"/>
      <protection hidden="1"/>
    </xf>
    <xf numFmtId="0" fontId="65" fillId="2" borderId="1" xfId="0" applyFont="1" applyFill="1" applyBorder="1" applyAlignment="1" applyProtection="1">
      <alignment horizontal="center" vertical="center"/>
      <protection hidden="1"/>
    </xf>
    <xf numFmtId="0" fontId="65" fillId="2" borderId="0" xfId="0" applyFont="1" applyFill="1" applyAlignment="1" applyProtection="1">
      <alignment horizontal="center" vertical="center" wrapText="1"/>
      <protection hidden="1"/>
    </xf>
    <xf numFmtId="43" fontId="65" fillId="4" borderId="15" xfId="0" applyNumberFormat="1" applyFont="1" applyFill="1" applyBorder="1" applyAlignment="1" applyProtection="1">
      <alignment horizontal="left" vertical="center"/>
      <protection hidden="1"/>
    </xf>
    <xf numFmtId="0" fontId="30" fillId="0" borderId="1" xfId="0" applyFont="1" applyBorder="1" applyAlignment="1" applyProtection="1">
      <alignment vertical="center"/>
      <protection hidden="1"/>
    </xf>
    <xf numFmtId="0" fontId="65" fillId="2" borderId="29" xfId="0" applyFont="1" applyFill="1" applyBorder="1" applyAlignment="1" applyProtection="1">
      <alignment horizontal="center" vertical="center" wrapText="1"/>
      <protection hidden="1"/>
    </xf>
    <xf numFmtId="164" fontId="65" fillId="13" borderId="29" xfId="1" applyNumberFormat="1" applyFont="1" applyFill="1" applyBorder="1" applyAlignment="1" applyProtection="1">
      <alignment horizontal="center" vertical="center" wrapText="1"/>
      <protection hidden="1"/>
    </xf>
    <xf numFmtId="0" fontId="77" fillId="2" borderId="29" xfId="0" applyFont="1" applyFill="1" applyBorder="1" applyAlignment="1" applyProtection="1">
      <alignment horizontal="center" vertical="center"/>
      <protection hidden="1"/>
    </xf>
    <xf numFmtId="0" fontId="30" fillId="2" borderId="29" xfId="0" applyFont="1" applyFill="1" applyBorder="1" applyAlignment="1" applyProtection="1">
      <alignment horizontal="center" vertical="center" wrapText="1"/>
      <protection hidden="1"/>
    </xf>
    <xf numFmtId="0" fontId="65" fillId="12" borderId="38" xfId="0" applyFont="1" applyFill="1" applyBorder="1" applyAlignment="1" applyProtection="1">
      <alignment horizontal="center" vertical="center" wrapText="1"/>
      <protection hidden="1"/>
    </xf>
    <xf numFmtId="0" fontId="65" fillId="12" borderId="31" xfId="0" applyFont="1" applyFill="1" applyBorder="1" applyAlignment="1" applyProtection="1">
      <alignment horizontal="center" vertical="center" wrapText="1"/>
      <protection hidden="1"/>
    </xf>
    <xf numFmtId="43" fontId="65" fillId="12" borderId="31" xfId="1" applyFont="1" applyFill="1" applyBorder="1" applyAlignment="1" applyProtection="1">
      <alignment horizontal="center" vertical="center"/>
      <protection hidden="1"/>
    </xf>
    <xf numFmtId="43" fontId="65" fillId="12" borderId="32" xfId="1" applyFont="1" applyFill="1" applyBorder="1" applyAlignment="1" applyProtection="1">
      <alignment horizontal="center" vertical="center" wrapText="1"/>
      <protection hidden="1"/>
    </xf>
    <xf numFmtId="0" fontId="64" fillId="19" borderId="26" xfId="0" applyFont="1" applyFill="1" applyBorder="1" applyAlignment="1" applyProtection="1">
      <alignment horizontal="center" vertical="center" wrapText="1"/>
      <protection hidden="1"/>
    </xf>
    <xf numFmtId="0" fontId="64" fillId="16" borderId="1" xfId="0" applyFont="1" applyFill="1" applyBorder="1" applyAlignment="1" applyProtection="1">
      <alignment horizontal="center" vertical="center" wrapText="1"/>
      <protection hidden="1"/>
    </xf>
    <xf numFmtId="0" fontId="64" fillId="10" borderId="1" xfId="0" applyFont="1" applyFill="1" applyBorder="1" applyAlignment="1" applyProtection="1">
      <alignment horizontal="center" vertical="center"/>
      <protection hidden="1"/>
    </xf>
    <xf numFmtId="0" fontId="65" fillId="2" borderId="1" xfId="0" applyFont="1" applyFill="1" applyBorder="1" applyAlignment="1" applyProtection="1">
      <alignment horizontal="center" vertical="center" wrapText="1"/>
      <protection hidden="1"/>
    </xf>
    <xf numFmtId="0" fontId="65" fillId="2" borderId="15" xfId="0" applyFont="1" applyFill="1" applyBorder="1" applyAlignment="1" applyProtection="1">
      <alignment horizontal="center" vertical="center" wrapText="1"/>
      <protection hidden="1"/>
    </xf>
    <xf numFmtId="164" fontId="31" fillId="2" borderId="1" xfId="1" applyNumberFormat="1" applyFont="1" applyFill="1" applyBorder="1" applyAlignment="1" applyProtection="1">
      <alignment horizontal="center" vertical="center" wrapText="1"/>
      <protection hidden="1"/>
    </xf>
    <xf numFmtId="43" fontId="30" fillId="0" borderId="1" xfId="1" applyFont="1" applyFill="1" applyBorder="1" applyAlignment="1" applyProtection="1">
      <alignment horizontal="center" vertical="center"/>
      <protection hidden="1"/>
    </xf>
    <xf numFmtId="43" fontId="30" fillId="0" borderId="33" xfId="1" applyFont="1" applyFill="1" applyBorder="1" applyAlignment="1" applyProtection="1">
      <alignment horizontal="center" vertical="center"/>
      <protection hidden="1"/>
    </xf>
    <xf numFmtId="0" fontId="31" fillId="0" borderId="26" xfId="0" applyFont="1" applyBorder="1" applyAlignment="1" applyProtection="1">
      <alignment horizontal="center" vertical="center"/>
      <protection hidden="1"/>
    </xf>
    <xf numFmtId="0" fontId="31" fillId="0" borderId="1" xfId="0" applyFont="1" applyBorder="1" applyAlignment="1" applyProtection="1">
      <alignment horizontal="center" vertical="center"/>
      <protection hidden="1"/>
    </xf>
    <xf numFmtId="0" fontId="31" fillId="10" borderId="1" xfId="0" applyFont="1" applyFill="1" applyBorder="1" applyAlignment="1" applyProtection="1">
      <alignment horizontal="center" vertical="center"/>
      <protection hidden="1"/>
    </xf>
    <xf numFmtId="0" fontId="31" fillId="2" borderId="1" xfId="0" applyFont="1" applyFill="1" applyBorder="1" applyAlignment="1" applyProtection="1">
      <alignment horizontal="left" vertical="center"/>
      <protection hidden="1"/>
    </xf>
    <xf numFmtId="164" fontId="31" fillId="2" borderId="1" xfId="0" applyNumberFormat="1" applyFont="1" applyFill="1" applyBorder="1" applyAlignment="1" applyProtection="1">
      <alignment horizontal="left" vertical="center"/>
      <protection hidden="1"/>
    </xf>
    <xf numFmtId="43" fontId="31" fillId="2" borderId="1" xfId="1" applyFont="1" applyFill="1" applyBorder="1" applyAlignment="1" applyProtection="1">
      <alignment horizontal="left" vertical="center"/>
      <protection hidden="1"/>
    </xf>
    <xf numFmtId="164" fontId="31" fillId="0" borderId="1" xfId="1" applyNumberFormat="1" applyFont="1" applyFill="1" applyBorder="1" applyAlignment="1" applyProtection="1">
      <alignment horizontal="center" vertical="center" wrapText="1"/>
      <protection hidden="1"/>
    </xf>
    <xf numFmtId="164" fontId="31" fillId="28" borderId="1" xfId="0" applyNumberFormat="1" applyFont="1" applyFill="1" applyBorder="1" applyAlignment="1" applyProtection="1">
      <alignment horizontal="left" vertical="center"/>
      <protection hidden="1"/>
    </xf>
    <xf numFmtId="0" fontId="31" fillId="2" borderId="0" xfId="0" applyFont="1" applyFill="1" applyAlignment="1" applyProtection="1">
      <alignment horizontal="left" vertical="center"/>
      <protection hidden="1"/>
    </xf>
    <xf numFmtId="43" fontId="31" fillId="2" borderId="0" xfId="1" applyFont="1" applyFill="1" applyAlignment="1" applyProtection="1">
      <alignment horizontal="left" vertical="center"/>
      <protection hidden="1"/>
    </xf>
    <xf numFmtId="164" fontId="30" fillId="2" borderId="1" xfId="1" applyNumberFormat="1" applyFont="1" applyFill="1" applyBorder="1" applyAlignment="1" applyProtection="1">
      <alignment horizontal="center" vertical="center" wrapText="1"/>
      <protection hidden="1"/>
    </xf>
    <xf numFmtId="164" fontId="30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1" fillId="19" borderId="26" xfId="0" applyFont="1" applyFill="1" applyBorder="1" applyAlignment="1" applyProtection="1">
      <alignment horizontal="center" vertical="center"/>
      <protection hidden="1"/>
    </xf>
    <xf numFmtId="0" fontId="31" fillId="15" borderId="1" xfId="0" applyFont="1" applyFill="1" applyBorder="1" applyAlignment="1" applyProtection="1">
      <alignment horizontal="center" vertical="center"/>
      <protection hidden="1"/>
    </xf>
    <xf numFmtId="0" fontId="64" fillId="4" borderId="1" xfId="0" applyFont="1" applyFill="1" applyBorder="1" applyAlignment="1" applyProtection="1">
      <alignment horizontal="left" vertical="center"/>
      <protection hidden="1"/>
    </xf>
    <xf numFmtId="0" fontId="30" fillId="0" borderId="0" xfId="0" applyFont="1" applyAlignment="1" applyProtection="1">
      <alignment horizontal="left" vertical="center"/>
      <protection hidden="1"/>
    </xf>
    <xf numFmtId="0" fontId="31" fillId="7" borderId="26" xfId="0" applyFont="1" applyFill="1" applyBorder="1" applyAlignment="1" applyProtection="1">
      <alignment horizontal="center" vertical="center"/>
      <protection hidden="1"/>
    </xf>
    <xf numFmtId="0" fontId="31" fillId="16" borderId="1" xfId="0" applyFont="1" applyFill="1" applyBorder="1" applyAlignment="1" applyProtection="1">
      <alignment horizontal="center" vertical="center"/>
      <protection hidden="1"/>
    </xf>
    <xf numFmtId="0" fontId="30" fillId="0" borderId="41" xfId="0" applyFont="1" applyBorder="1" applyAlignment="1" applyProtection="1">
      <alignment horizontal="left" vertical="center"/>
      <protection hidden="1"/>
    </xf>
    <xf numFmtId="164" fontId="30" fillId="0" borderId="1" xfId="1" applyNumberFormat="1" applyFont="1" applyFill="1" applyBorder="1" applyAlignment="1" applyProtection="1">
      <alignment horizontal="left" vertical="center"/>
      <protection hidden="1"/>
    </xf>
    <xf numFmtId="0" fontId="31" fillId="17" borderId="26" xfId="0" applyFont="1" applyFill="1" applyBorder="1" applyAlignment="1" applyProtection="1">
      <alignment horizontal="center" vertical="center"/>
      <protection hidden="1"/>
    </xf>
    <xf numFmtId="0" fontId="31" fillId="11" borderId="1" xfId="0" applyFont="1" applyFill="1" applyBorder="1" applyAlignment="1" applyProtection="1">
      <alignment horizontal="left" vertical="center"/>
      <protection hidden="1"/>
    </xf>
    <xf numFmtId="0" fontId="31" fillId="17" borderId="1" xfId="0" applyFont="1" applyFill="1" applyBorder="1" applyAlignment="1" applyProtection="1">
      <alignment horizontal="center" vertical="center"/>
      <protection hidden="1"/>
    </xf>
    <xf numFmtId="0" fontId="31" fillId="26" borderId="26" xfId="0" applyFont="1" applyFill="1" applyBorder="1" applyAlignment="1" applyProtection="1">
      <alignment horizontal="center" vertical="center"/>
      <protection hidden="1"/>
    </xf>
    <xf numFmtId="0" fontId="31" fillId="30" borderId="1" xfId="0" applyFont="1" applyFill="1" applyBorder="1" applyAlignment="1" applyProtection="1">
      <alignment horizontal="left" vertical="center"/>
      <protection hidden="1"/>
    </xf>
    <xf numFmtId="43" fontId="64" fillId="0" borderId="0" xfId="1" applyFont="1" applyFill="1" applyBorder="1" applyAlignment="1" applyProtection="1">
      <alignment horizontal="left" vertical="center"/>
      <protection hidden="1"/>
    </xf>
    <xf numFmtId="0" fontId="65" fillId="2" borderId="1" xfId="0" applyFont="1" applyFill="1" applyBorder="1" applyAlignment="1" applyProtection="1">
      <alignment horizontal="left" vertical="center"/>
      <protection hidden="1"/>
    </xf>
    <xf numFmtId="0" fontId="31" fillId="18" borderId="26" xfId="0" applyFont="1" applyFill="1" applyBorder="1" applyAlignment="1" applyProtection="1">
      <alignment horizontal="center" vertical="center"/>
      <protection hidden="1"/>
    </xf>
    <xf numFmtId="43" fontId="31" fillId="2" borderId="1" xfId="0" applyNumberFormat="1" applyFont="1" applyFill="1" applyBorder="1" applyAlignment="1" applyProtection="1">
      <alignment horizontal="left" vertical="center"/>
      <protection hidden="1"/>
    </xf>
    <xf numFmtId="0" fontId="65" fillId="12" borderId="18" xfId="0" applyFont="1" applyFill="1" applyBorder="1" applyAlignment="1" applyProtection="1">
      <alignment horizontal="center" vertical="center" wrapText="1"/>
      <protection hidden="1"/>
    </xf>
    <xf numFmtId="0" fontId="65" fillId="12" borderId="1" xfId="0" applyFont="1" applyFill="1" applyBorder="1" applyAlignment="1" applyProtection="1">
      <alignment horizontal="center" vertical="center" wrapText="1"/>
      <protection hidden="1"/>
    </xf>
    <xf numFmtId="43" fontId="65" fillId="12" borderId="1" xfId="1" applyFont="1" applyFill="1" applyBorder="1" applyAlignment="1" applyProtection="1">
      <alignment horizontal="center" vertical="center"/>
      <protection hidden="1"/>
    </xf>
    <xf numFmtId="43" fontId="65" fillId="12" borderId="33" xfId="1" applyFont="1" applyFill="1" applyBorder="1" applyAlignment="1" applyProtection="1">
      <alignment horizontal="center" vertical="center" wrapText="1"/>
      <protection hidden="1"/>
    </xf>
    <xf numFmtId="0" fontId="64" fillId="0" borderId="0" xfId="0" applyFont="1" applyAlignment="1" applyProtection="1">
      <alignment horizontal="center" vertical="center" wrapText="1"/>
      <protection hidden="1"/>
    </xf>
    <xf numFmtId="43" fontId="64" fillId="4" borderId="21" xfId="1" applyFont="1" applyFill="1" applyBorder="1" applyAlignment="1" applyProtection="1">
      <alignment horizontal="center" vertical="center"/>
      <protection hidden="1"/>
    </xf>
    <xf numFmtId="0" fontId="30" fillId="0" borderId="1" xfId="4" applyFont="1" applyBorder="1" applyAlignment="1" applyProtection="1">
      <alignment horizontal="center" vertical="center"/>
      <protection hidden="1"/>
    </xf>
    <xf numFmtId="0" fontId="31" fillId="16" borderId="0" xfId="0" applyFont="1" applyFill="1" applyAlignment="1" applyProtection="1">
      <alignment horizontal="center" vertical="center"/>
      <protection hidden="1"/>
    </xf>
    <xf numFmtId="43" fontId="31" fillId="2" borderId="0" xfId="0" applyNumberFormat="1" applyFont="1" applyFill="1" applyAlignment="1" applyProtection="1">
      <alignment horizontal="center" vertical="center"/>
      <protection hidden="1"/>
    </xf>
    <xf numFmtId="43" fontId="31" fillId="2" borderId="0" xfId="1" applyFont="1" applyFill="1" applyAlignment="1" applyProtection="1">
      <alignment horizontal="center" vertical="center"/>
      <protection hidden="1"/>
    </xf>
    <xf numFmtId="164" fontId="31" fillId="2" borderId="0" xfId="0" applyNumberFormat="1" applyFont="1" applyFill="1" applyAlignment="1" applyProtection="1">
      <alignment horizontal="center" vertical="center"/>
      <protection hidden="1"/>
    </xf>
    <xf numFmtId="164" fontId="65" fillId="0" borderId="35" xfId="1" applyNumberFormat="1" applyFont="1" applyFill="1" applyBorder="1" applyAlignment="1" applyProtection="1">
      <alignment horizontal="left" vertical="center"/>
      <protection hidden="1"/>
    </xf>
    <xf numFmtId="164" fontId="65" fillId="0" borderId="35" xfId="1" applyNumberFormat="1" applyFont="1" applyFill="1" applyBorder="1" applyAlignment="1" applyProtection="1">
      <alignment horizontal="left" vertical="center" wrapText="1"/>
      <protection hidden="1"/>
    </xf>
    <xf numFmtId="164" fontId="65" fillId="0" borderId="35" xfId="1" applyNumberFormat="1" applyFont="1" applyFill="1" applyBorder="1" applyAlignment="1" applyProtection="1">
      <alignment horizontal="center" vertical="center"/>
      <protection hidden="1"/>
    </xf>
    <xf numFmtId="43" fontId="30" fillId="0" borderId="36" xfId="1" applyFont="1" applyFill="1" applyBorder="1" applyAlignment="1" applyProtection="1">
      <alignment horizontal="center" vertical="center"/>
      <protection hidden="1"/>
    </xf>
    <xf numFmtId="0" fontId="66" fillId="2" borderId="0" xfId="0" applyFont="1" applyFill="1" applyAlignment="1" applyProtection="1">
      <alignment horizontal="center" vertical="center"/>
      <protection hidden="1"/>
    </xf>
    <xf numFmtId="0" fontId="68" fillId="2" borderId="0" xfId="0" applyFont="1" applyFill="1" applyAlignment="1" applyProtection="1">
      <alignment horizontal="left" vertical="center"/>
      <protection hidden="1"/>
    </xf>
    <xf numFmtId="0" fontId="68" fillId="2" borderId="0" xfId="0" applyFont="1" applyFill="1" applyAlignment="1" applyProtection="1">
      <alignment horizontal="center" vertical="center"/>
      <protection hidden="1"/>
    </xf>
    <xf numFmtId="0" fontId="65" fillId="2" borderId="46" xfId="0" applyFont="1" applyFill="1" applyBorder="1" applyAlignment="1" applyProtection="1">
      <alignment horizontal="center" vertical="center" wrapText="1"/>
      <protection hidden="1"/>
    </xf>
    <xf numFmtId="0" fontId="31" fillId="2" borderId="46" xfId="0" applyFont="1" applyFill="1" applyBorder="1" applyAlignment="1" applyProtection="1">
      <alignment horizontal="left" vertical="center"/>
      <protection hidden="1"/>
    </xf>
    <xf numFmtId="0" fontId="31" fillId="0" borderId="21" xfId="0" applyFont="1" applyBorder="1" applyAlignment="1" applyProtection="1">
      <alignment horizontal="left" vertical="center"/>
      <protection hidden="1"/>
    </xf>
    <xf numFmtId="0" fontId="31" fillId="0" borderId="46" xfId="0" applyFont="1" applyBorder="1" applyAlignment="1" applyProtection="1">
      <alignment horizontal="center" vertical="center"/>
      <protection hidden="1"/>
    </xf>
    <xf numFmtId="0" fontId="0" fillId="19" borderId="3" xfId="0" applyFill="1" applyBorder="1" applyAlignment="1" applyProtection="1">
      <alignment horizontal="left" vertical="center"/>
      <protection hidden="1"/>
    </xf>
    <xf numFmtId="0" fontId="0" fillId="19" borderId="3" xfId="0" applyFill="1" applyBorder="1" applyAlignment="1" applyProtection="1">
      <alignment vertical="center" wrapText="1"/>
      <protection hidden="1"/>
    </xf>
    <xf numFmtId="0" fontId="0" fillId="19" borderId="3" xfId="0" applyFill="1" applyBorder="1" applyAlignment="1" applyProtection="1">
      <alignment horizontal="center" vertical="center"/>
      <protection hidden="1"/>
    </xf>
    <xf numFmtId="0" fontId="0" fillId="19" borderId="3" xfId="0" applyFill="1" applyBorder="1" applyAlignment="1" applyProtection="1">
      <alignment vertical="center"/>
      <protection hidden="1"/>
    </xf>
    <xf numFmtId="9" fontId="12" fillId="6" borderId="3" xfId="10" applyFont="1" applyFill="1" applyBorder="1" applyAlignment="1" applyProtection="1">
      <alignment horizontal="center" vertical="center"/>
      <protection hidden="1"/>
    </xf>
    <xf numFmtId="0" fontId="0" fillId="31" borderId="3" xfId="0" applyFill="1" applyBorder="1" applyAlignment="1" applyProtection="1">
      <alignment vertical="center"/>
      <protection hidden="1"/>
    </xf>
    <xf numFmtId="164" fontId="47" fillId="4" borderId="15" xfId="6" applyNumberFormat="1" applyFont="1" applyFill="1" applyBorder="1" applyAlignment="1">
      <alignment vertical="center"/>
    </xf>
    <xf numFmtId="43" fontId="30" fillId="0" borderId="0" xfId="0" applyNumberFormat="1" applyFont="1" applyProtection="1">
      <protection hidden="1"/>
    </xf>
    <xf numFmtId="43" fontId="65" fillId="2" borderId="0" xfId="0" applyNumberFormat="1" applyFont="1" applyFill="1" applyAlignment="1" applyProtection="1">
      <alignment horizontal="left" vertical="center"/>
      <protection hidden="1"/>
    </xf>
    <xf numFmtId="0" fontId="12" fillId="31" borderId="3" xfId="0" applyFont="1" applyFill="1" applyBorder="1" applyAlignment="1" applyProtection="1">
      <alignment vertical="center"/>
      <protection hidden="1"/>
    </xf>
    <xf numFmtId="0" fontId="12" fillId="31" borderId="3" xfId="0" applyFont="1" applyFill="1" applyBorder="1" applyAlignment="1" applyProtection="1">
      <alignment vertical="center" wrapText="1"/>
      <protection hidden="1"/>
    </xf>
    <xf numFmtId="9" fontId="64" fillId="10" borderId="3" xfId="0" applyNumberFormat="1" applyFont="1" applyFill="1" applyBorder="1" applyAlignment="1" applyProtection="1">
      <alignment horizontal="left" vertical="center"/>
      <protection hidden="1"/>
    </xf>
    <xf numFmtId="0" fontId="9" fillId="21" borderId="3" xfId="0" applyFont="1" applyFill="1" applyBorder="1" applyAlignment="1" applyProtection="1">
      <alignment vertical="center"/>
      <protection hidden="1"/>
    </xf>
    <xf numFmtId="0" fontId="9" fillId="21" borderId="3" xfId="0" applyFont="1" applyFill="1" applyBorder="1" applyAlignment="1" applyProtection="1">
      <alignment vertical="center" wrapText="1"/>
      <protection hidden="1"/>
    </xf>
    <xf numFmtId="0" fontId="9" fillId="6" borderId="3" xfId="0" applyFont="1" applyFill="1" applyBorder="1" applyAlignment="1" applyProtection="1">
      <alignment vertical="center"/>
      <protection hidden="1"/>
    </xf>
    <xf numFmtId="0" fontId="30" fillId="0" borderId="0" xfId="0" applyFont="1" applyAlignment="1" applyProtection="1">
      <alignment vertical="center"/>
      <protection hidden="1"/>
    </xf>
    <xf numFmtId="164" fontId="5" fillId="0" borderId="3" xfId="1" applyNumberFormat="1" applyFont="1" applyFill="1" applyBorder="1" applyAlignment="1" applyProtection="1">
      <alignment vertical="center"/>
      <protection hidden="1"/>
    </xf>
    <xf numFmtId="0" fontId="18" fillId="0" borderId="2" xfId="0" applyFont="1" applyBorder="1" applyAlignment="1" applyProtection="1">
      <alignment horizontal="center" vertical="center"/>
      <protection hidden="1"/>
    </xf>
    <xf numFmtId="169" fontId="5" fillId="0" borderId="3" xfId="1" applyNumberFormat="1" applyFont="1" applyFill="1" applyBorder="1" applyAlignment="1" applyProtection="1">
      <alignment vertical="center"/>
      <protection hidden="1"/>
    </xf>
    <xf numFmtId="171" fontId="5" fillId="0" borderId="3" xfId="1" applyNumberFormat="1" applyFont="1" applyFill="1" applyBorder="1" applyAlignment="1" applyProtection="1">
      <alignment vertical="center"/>
      <protection hidden="1"/>
    </xf>
    <xf numFmtId="164" fontId="9" fillId="31" borderId="3" xfId="1" applyNumberFormat="1" applyFont="1" applyFill="1" applyBorder="1" applyAlignment="1" applyProtection="1">
      <alignment vertical="center"/>
      <protection hidden="1"/>
    </xf>
    <xf numFmtId="0" fontId="9" fillId="34" borderId="3" xfId="0" applyFont="1" applyFill="1" applyBorder="1" applyAlignment="1" applyProtection="1">
      <alignment vertical="center"/>
      <protection hidden="1"/>
    </xf>
    <xf numFmtId="0" fontId="64" fillId="34" borderId="3" xfId="0" applyFont="1" applyFill="1" applyBorder="1" applyAlignment="1" applyProtection="1">
      <alignment horizontal="center" vertical="center" wrapText="1"/>
      <protection hidden="1"/>
    </xf>
    <xf numFmtId="0" fontId="9" fillId="34" borderId="3" xfId="0" applyFont="1" applyFill="1" applyBorder="1" applyAlignment="1" applyProtection="1">
      <alignment horizontal="center" vertical="center"/>
      <protection hidden="1"/>
    </xf>
    <xf numFmtId="0" fontId="9" fillId="34" borderId="3" xfId="0" applyFont="1" applyFill="1" applyBorder="1" applyAlignment="1" applyProtection="1">
      <alignment vertical="center" wrapText="1"/>
      <protection hidden="1"/>
    </xf>
    <xf numFmtId="164" fontId="9" fillId="34" borderId="3" xfId="1" applyNumberFormat="1" applyFont="1" applyFill="1" applyBorder="1" applyAlignment="1" applyProtection="1">
      <alignment vertical="center"/>
      <protection hidden="1"/>
    </xf>
    <xf numFmtId="0" fontId="31" fillId="34" borderId="3" xfId="0" applyFont="1" applyFill="1" applyBorder="1" applyAlignment="1" applyProtection="1">
      <alignment horizontal="center" vertical="center"/>
      <protection hidden="1"/>
    </xf>
    <xf numFmtId="0" fontId="5" fillId="34" borderId="3" xfId="0" applyFont="1" applyFill="1" applyBorder="1" applyAlignment="1" applyProtection="1">
      <alignment horizontal="center" vertical="center"/>
      <protection hidden="1"/>
    </xf>
    <xf numFmtId="0" fontId="0" fillId="34" borderId="3" xfId="0" applyFill="1" applyBorder="1" applyAlignment="1" applyProtection="1">
      <alignment vertical="center"/>
      <protection hidden="1"/>
    </xf>
    <xf numFmtId="0" fontId="65" fillId="34" borderId="3" xfId="0" applyFont="1" applyFill="1" applyBorder="1" applyAlignment="1" applyProtection="1">
      <alignment horizontal="center" vertical="center" wrapText="1"/>
      <protection hidden="1"/>
    </xf>
    <xf numFmtId="0" fontId="0" fillId="34" borderId="3" xfId="0" applyFill="1" applyBorder="1" applyAlignment="1" applyProtection="1">
      <alignment horizontal="center" vertical="center"/>
      <protection hidden="1"/>
    </xf>
    <xf numFmtId="0" fontId="0" fillId="34" borderId="3" xfId="0" applyFill="1" applyBorder="1" applyAlignment="1" applyProtection="1">
      <alignment vertical="center" wrapText="1"/>
      <protection hidden="1"/>
    </xf>
    <xf numFmtId="0" fontId="30" fillId="34" borderId="3" xfId="0" applyFont="1" applyFill="1" applyBorder="1" applyAlignment="1" applyProtection="1">
      <alignment horizontal="center" vertical="center"/>
      <protection hidden="1"/>
    </xf>
    <xf numFmtId="0" fontId="0" fillId="31" borderId="3" xfId="0" applyFill="1" applyBorder="1" applyAlignment="1" applyProtection="1">
      <alignment vertical="center" wrapText="1"/>
      <protection hidden="1"/>
    </xf>
    <xf numFmtId="0" fontId="19" fillId="0" borderId="4" xfId="0" quotePrefix="1" applyFont="1" applyBorder="1" applyAlignment="1">
      <alignment horizontal="center" vertical="center"/>
    </xf>
    <xf numFmtId="0" fontId="91" fillId="6" borderId="3" xfId="0" applyFont="1" applyFill="1" applyBorder="1" applyAlignment="1" applyProtection="1">
      <alignment horizontal="center" vertical="center"/>
      <protection hidden="1"/>
    </xf>
    <xf numFmtId="0" fontId="30" fillId="16" borderId="1" xfId="0" applyFont="1" applyFill="1" applyBorder="1" applyAlignment="1" applyProtection="1">
      <alignment horizontal="center" vertical="center"/>
      <protection hidden="1"/>
    </xf>
    <xf numFmtId="164" fontId="30" fillId="16" borderId="1" xfId="0" applyNumberFormat="1" applyFont="1" applyFill="1" applyBorder="1" applyAlignment="1" applyProtection="1">
      <alignment horizontal="center" vertical="center"/>
      <protection hidden="1"/>
    </xf>
    <xf numFmtId="164" fontId="44" fillId="2" borderId="0" xfId="6" applyNumberFormat="1" applyFont="1" applyFill="1" applyBorder="1" applyAlignment="1" applyProtection="1">
      <alignment vertical="center"/>
      <protection locked="0"/>
    </xf>
    <xf numFmtId="166" fontId="44" fillId="2" borderId="0" xfId="6" applyNumberFormat="1" applyFont="1" applyFill="1" applyBorder="1" applyAlignment="1" applyProtection="1">
      <alignment vertical="center"/>
      <protection locked="0"/>
    </xf>
    <xf numFmtId="0" fontId="31" fillId="35" borderId="1" xfId="0" applyFont="1" applyFill="1" applyBorder="1" applyAlignment="1" applyProtection="1">
      <alignment horizontal="center" vertical="center"/>
      <protection hidden="1"/>
    </xf>
    <xf numFmtId="164" fontId="65" fillId="35" borderId="1" xfId="0" applyNumberFormat="1" applyFont="1" applyFill="1" applyBorder="1" applyAlignment="1" applyProtection="1">
      <alignment horizontal="center" vertical="center"/>
      <protection hidden="1"/>
    </xf>
    <xf numFmtId="0" fontId="30" fillId="35" borderId="1" xfId="0" applyFont="1" applyFill="1" applyBorder="1" applyAlignment="1" applyProtection="1">
      <alignment horizontal="left" vertical="center"/>
      <protection hidden="1"/>
    </xf>
    <xf numFmtId="0" fontId="22" fillId="0" borderId="1" xfId="7" applyFont="1" applyBorder="1" applyAlignment="1">
      <alignment horizontal="left" vertical="center" wrapText="1"/>
    </xf>
    <xf numFmtId="164" fontId="30" fillId="34" borderId="1" xfId="1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Border="1" applyAlignment="1">
      <alignment vertical="center"/>
    </xf>
    <xf numFmtId="0" fontId="20" fillId="0" borderId="3" xfId="0" applyFont="1" applyBorder="1" applyAlignment="1" applyProtection="1">
      <alignment horizontal="left" vertical="center"/>
      <protection hidden="1"/>
    </xf>
    <xf numFmtId="0" fontId="20" fillId="0" borderId="4" xfId="0" applyFont="1" applyBorder="1" applyAlignment="1" applyProtection="1">
      <alignment horizontal="left" vertical="center"/>
      <protection hidden="1"/>
    </xf>
    <xf numFmtId="0" fontId="26" fillId="0" borderId="2" xfId="5" applyFont="1" applyBorder="1" applyAlignment="1">
      <alignment horizontal="center" vertical="center"/>
    </xf>
    <xf numFmtId="0" fontId="24" fillId="0" borderId="0" xfId="5" applyFont="1" applyAlignment="1">
      <alignment horizontal="center" vertical="center" wrapText="1"/>
    </xf>
    <xf numFmtId="0" fontId="24" fillId="0" borderId="3" xfId="5" applyFont="1" applyBorder="1" applyAlignment="1">
      <alignment horizontal="center" vertical="center" wrapText="1"/>
    </xf>
    <xf numFmtId="0" fontId="57" fillId="0" borderId="0" xfId="5" applyFont="1" applyAlignment="1">
      <alignment horizontal="center" vertical="center" wrapText="1"/>
    </xf>
    <xf numFmtId="0" fontId="58" fillId="0" borderId="0" xfId="5" applyFont="1" applyAlignment="1">
      <alignment horizontal="center" vertical="center" wrapText="1"/>
    </xf>
    <xf numFmtId="0" fontId="47" fillId="0" borderId="3" xfId="5" applyFont="1" applyBorder="1" applyAlignment="1">
      <alignment horizontal="center" vertical="center"/>
    </xf>
    <xf numFmtId="0" fontId="47" fillId="0" borderId="4" xfId="5" applyFont="1" applyBorder="1" applyAlignment="1">
      <alignment horizontal="center" vertical="center" wrapText="1"/>
    </xf>
    <xf numFmtId="0" fontId="92" fillId="0" borderId="0" xfId="5" applyFont="1" applyAlignment="1">
      <alignment horizontal="left" vertical="center"/>
    </xf>
    <xf numFmtId="0" fontId="47" fillId="4" borderId="3" xfId="5" applyFont="1" applyFill="1" applyBorder="1" applyAlignment="1">
      <alignment horizontal="center" vertical="center"/>
    </xf>
    <xf numFmtId="0" fontId="14" fillId="2" borderId="0" xfId="5" applyFont="1" applyFill="1" applyAlignment="1" applyProtection="1">
      <alignment horizontal="center" vertical="center" wrapText="1"/>
      <protection locked="0"/>
    </xf>
    <xf numFmtId="0" fontId="42" fillId="2" borderId="0" xfId="5" applyFont="1" applyFill="1" applyAlignment="1" applyProtection="1">
      <alignment horizontal="center" vertical="center" wrapText="1"/>
      <protection locked="0"/>
    </xf>
    <xf numFmtId="0" fontId="46" fillId="2" borderId="0" xfId="5" applyFont="1" applyFill="1" applyAlignment="1" applyProtection="1">
      <alignment horizontal="left" vertical="center" wrapText="1"/>
      <protection locked="0"/>
    </xf>
    <xf numFmtId="164" fontId="44" fillId="2" borderId="0" xfId="6" applyNumberFormat="1" applyFont="1" applyFill="1" applyBorder="1" applyAlignment="1" applyProtection="1">
      <alignment horizontal="center" vertical="center"/>
      <protection locked="0"/>
    </xf>
    <xf numFmtId="166" fontId="44" fillId="2" borderId="0" xfId="6" applyNumberFormat="1" applyFont="1" applyFill="1" applyBorder="1" applyAlignment="1" applyProtection="1">
      <alignment horizontal="center" vertical="center"/>
      <protection locked="0"/>
    </xf>
    <xf numFmtId="0" fontId="39" fillId="0" borderId="0" xfId="5" applyFont="1" applyAlignment="1">
      <alignment vertical="center"/>
    </xf>
    <xf numFmtId="0" fontId="41" fillId="0" borderId="0" xfId="5" applyFont="1" applyAlignment="1">
      <alignment vertical="center"/>
    </xf>
    <xf numFmtId="0" fontId="20" fillId="0" borderId="0" xfId="5" applyFont="1" applyAlignment="1">
      <alignment vertical="center"/>
    </xf>
    <xf numFmtId="0" fontId="40" fillId="0" borderId="0" xfId="5" applyFont="1" applyAlignment="1">
      <alignment vertical="center"/>
    </xf>
    <xf numFmtId="0" fontId="47" fillId="0" borderId="0" xfId="5" applyFont="1" applyAlignment="1">
      <alignment vertical="center"/>
    </xf>
    <xf numFmtId="0" fontId="47" fillId="0" borderId="0" xfId="5" applyFont="1" applyAlignment="1">
      <alignment horizontal="center" vertical="center"/>
    </xf>
    <xf numFmtId="0" fontId="24" fillId="0" borderId="3" xfId="5" applyFont="1" applyBorder="1" applyAlignment="1">
      <alignment vertical="center"/>
    </xf>
    <xf numFmtId="0" fontId="40" fillId="4" borderId="3" xfId="5" applyFont="1" applyFill="1" applyBorder="1" applyAlignment="1">
      <alignment vertical="center"/>
    </xf>
    <xf numFmtId="164" fontId="50" fillId="0" borderId="15" xfId="5" applyNumberFormat="1" applyFont="1" applyBorder="1" applyAlignment="1" applyProtection="1">
      <alignment vertical="center"/>
      <protection hidden="1"/>
    </xf>
    <xf numFmtId="0" fontId="19" fillId="0" borderId="0" xfId="5" applyFont="1" applyAlignment="1">
      <alignment vertical="center"/>
    </xf>
    <xf numFmtId="43" fontId="22" fillId="0" borderId="0" xfId="6" applyFont="1" applyAlignment="1">
      <alignment vertical="center"/>
    </xf>
    <xf numFmtId="43" fontId="24" fillId="0" borderId="0" xfId="6" applyFont="1" applyAlignment="1">
      <alignment vertical="center"/>
    </xf>
    <xf numFmtId="164" fontId="24" fillId="0" borderId="0" xfId="5" applyNumberFormat="1" applyFont="1" applyAlignment="1">
      <alignment vertical="center"/>
    </xf>
    <xf numFmtId="0" fontId="16" fillId="0" borderId="0" xfId="5" applyFont="1" applyAlignment="1">
      <alignment vertical="center"/>
    </xf>
    <xf numFmtId="0" fontId="57" fillId="0" borderId="0" xfId="5" applyFont="1" applyAlignment="1">
      <alignment vertical="center"/>
    </xf>
    <xf numFmtId="0" fontId="93" fillId="0" borderId="0" xfId="5" applyFont="1" applyAlignment="1">
      <alignment vertical="center"/>
    </xf>
    <xf numFmtId="0" fontId="58" fillId="0" borderId="0" xfId="5" applyFont="1" applyAlignment="1">
      <alignment horizontal="left" vertical="center"/>
    </xf>
    <xf numFmtId="0" fontId="59" fillId="0" borderId="0" xfId="5" applyFont="1" applyAlignment="1">
      <alignment horizontal="left" vertical="center"/>
    </xf>
    <xf numFmtId="0" fontId="58" fillId="0" borderId="0" xfId="5" applyFont="1" applyAlignment="1">
      <alignment vertical="center" wrapText="1"/>
    </xf>
    <xf numFmtId="0" fontId="58" fillId="0" borderId="0" xfId="5" applyFont="1" applyAlignment="1">
      <alignment vertical="center"/>
    </xf>
    <xf numFmtId="0" fontId="59" fillId="0" borderId="0" xfId="5" applyFont="1" applyAlignment="1">
      <alignment horizontal="right" vertical="center"/>
    </xf>
    <xf numFmtId="1" fontId="58" fillId="0" borderId="0" xfId="5" applyNumberFormat="1" applyFont="1" applyAlignment="1">
      <alignment horizontal="center" vertical="center"/>
    </xf>
    <xf numFmtId="165" fontId="58" fillId="0" borderId="0" xfId="6" applyNumberFormat="1" applyFont="1" applyAlignment="1">
      <alignment horizontal="center" vertical="center"/>
    </xf>
    <xf numFmtId="165" fontId="59" fillId="0" borderId="0" xfId="6" applyNumberFormat="1" applyFont="1" applyAlignment="1">
      <alignment horizontal="right" vertical="center"/>
    </xf>
    <xf numFmtId="0" fontId="60" fillId="0" borderId="0" xfId="5" applyFont="1" applyAlignment="1">
      <alignment vertical="center"/>
    </xf>
    <xf numFmtId="0" fontId="94" fillId="0" borderId="0" xfId="5" applyFont="1" applyAlignment="1">
      <alignment vertical="center"/>
    </xf>
    <xf numFmtId="0" fontId="57" fillId="0" borderId="0" xfId="5" applyFont="1" applyAlignment="1">
      <alignment horizontal="left" vertical="center"/>
    </xf>
    <xf numFmtId="0" fontId="57" fillId="0" borderId="0" xfId="5" applyFont="1" applyAlignment="1">
      <alignment vertical="center" wrapText="1"/>
    </xf>
    <xf numFmtId="1" fontId="57" fillId="0" borderId="0" xfId="5" applyNumberFormat="1" applyFont="1" applyAlignment="1">
      <alignment horizontal="center" vertical="center"/>
    </xf>
    <xf numFmtId="165" fontId="57" fillId="0" borderId="0" xfId="6" applyNumberFormat="1" applyFont="1" applyAlignment="1">
      <alignment horizontal="center" vertical="center"/>
    </xf>
    <xf numFmtId="164" fontId="57" fillId="0" borderId="0" xfId="5" applyNumberFormat="1" applyFont="1" applyAlignment="1">
      <alignment vertical="center"/>
    </xf>
    <xf numFmtId="1" fontId="24" fillId="0" borderId="0" xfId="5" applyNumberFormat="1" applyFont="1" applyAlignment="1">
      <alignment horizontal="center" vertical="center"/>
    </xf>
    <xf numFmtId="43" fontId="24" fillId="0" borderId="0" xfId="6" applyFont="1" applyAlignment="1">
      <alignment horizontal="center" vertical="center"/>
    </xf>
    <xf numFmtId="165" fontId="24" fillId="0" borderId="0" xfId="6" applyNumberFormat="1" applyFont="1" applyAlignment="1">
      <alignment horizontal="center" vertical="center"/>
    </xf>
    <xf numFmtId="164" fontId="24" fillId="0" borderId="0" xfId="6" applyNumberFormat="1" applyFont="1" applyAlignment="1">
      <alignment vertical="center"/>
    </xf>
    <xf numFmtId="0" fontId="40" fillId="0" borderId="5" xfId="5" applyFont="1" applyBorder="1" applyAlignment="1">
      <alignment vertical="center"/>
    </xf>
    <xf numFmtId="0" fontId="13" fillId="0" borderId="1" xfId="0" applyFont="1" applyBorder="1" applyAlignment="1" applyProtection="1">
      <alignment horizontal="left" vertical="center" wrapText="1"/>
      <protection locked="0"/>
    </xf>
    <xf numFmtId="0" fontId="77" fillId="2" borderId="1" xfId="0" applyFont="1" applyFill="1" applyBorder="1" applyAlignment="1" applyProtection="1">
      <alignment horizontal="center" vertical="center" wrapText="1"/>
      <protection locked="0"/>
    </xf>
    <xf numFmtId="0" fontId="20" fillId="0" borderId="0" xfId="5" applyFont="1" applyAlignment="1">
      <alignment horizontal="center" vertical="center" wrapText="1"/>
    </xf>
    <xf numFmtId="0" fontId="47" fillId="0" borderId="0" xfId="5" applyFont="1" applyAlignment="1">
      <alignment horizontal="center" vertical="center" wrapText="1"/>
    </xf>
    <xf numFmtId="0" fontId="40" fillId="6" borderId="23" xfId="5" applyFont="1" applyFill="1" applyBorder="1" applyAlignment="1">
      <alignment horizontal="center" vertical="center" wrapText="1"/>
    </xf>
    <xf numFmtId="0" fontId="40" fillId="0" borderId="3" xfId="5" applyFont="1" applyBorder="1" applyAlignment="1">
      <alignment horizontal="center" vertical="center" wrapText="1"/>
    </xf>
    <xf numFmtId="0" fontId="92" fillId="0" borderId="0" xfId="5" applyFont="1" applyAlignment="1">
      <alignment horizontal="center" vertical="center" wrapText="1"/>
    </xf>
    <xf numFmtId="0" fontId="93" fillId="0" borderId="0" xfId="5" applyFont="1" applyAlignment="1">
      <alignment horizontal="center" vertical="center" wrapText="1"/>
    </xf>
    <xf numFmtId="0" fontId="94" fillId="0" borderId="0" xfId="5" applyFont="1" applyAlignment="1">
      <alignment horizontal="center" vertical="center" wrapText="1"/>
    </xf>
    <xf numFmtId="164" fontId="0" fillId="0" borderId="23" xfId="1" applyNumberFormat="1" applyFont="1" applyBorder="1" applyAlignment="1">
      <alignment vertical="center"/>
    </xf>
    <xf numFmtId="0" fontId="26" fillId="0" borderId="3" xfId="5" quotePrefix="1" applyFont="1" applyBorder="1" applyAlignment="1">
      <alignment horizontal="center" vertical="center"/>
    </xf>
    <xf numFmtId="43" fontId="5" fillId="0" borderId="3" xfId="1" applyFont="1" applyBorder="1" applyAlignment="1" applyProtection="1">
      <alignment vertical="center"/>
      <protection hidden="1"/>
    </xf>
    <xf numFmtId="164" fontId="18" fillId="0" borderId="3" xfId="1" applyNumberFormat="1" applyFont="1" applyFill="1" applyBorder="1" applyAlignment="1" applyProtection="1">
      <alignment vertical="center"/>
      <protection hidden="1"/>
    </xf>
    <xf numFmtId="164" fontId="31" fillId="2" borderId="0" xfId="1" applyNumberFormat="1" applyFont="1" applyFill="1" applyBorder="1" applyAlignment="1" applyProtection="1">
      <alignment horizontal="center" vertical="center" wrapText="1"/>
      <protection hidden="1"/>
    </xf>
    <xf numFmtId="164" fontId="65" fillId="0" borderId="0" xfId="1" applyNumberFormat="1" applyFont="1" applyFill="1" applyBorder="1" applyAlignment="1" applyProtection="1">
      <alignment horizontal="left" vertical="center" wrapText="1"/>
      <protection hidden="1"/>
    </xf>
    <xf numFmtId="0" fontId="30" fillId="2" borderId="15" xfId="0" applyFont="1" applyFill="1" applyBorder="1" applyAlignment="1" applyProtection="1">
      <alignment horizontal="left" vertical="center"/>
      <protection hidden="1"/>
    </xf>
    <xf numFmtId="164" fontId="31" fillId="2" borderId="3" xfId="1" applyNumberFormat="1" applyFont="1" applyFill="1" applyBorder="1" applyAlignment="1" applyProtection="1">
      <alignment horizontal="center" vertical="center" wrapText="1"/>
      <protection hidden="1"/>
    </xf>
    <xf numFmtId="0" fontId="24" fillId="31" borderId="0" xfId="5" applyFont="1" applyFill="1" applyAlignment="1">
      <alignment horizontal="center" vertical="center"/>
    </xf>
    <xf numFmtId="43" fontId="5" fillId="0" borderId="3" xfId="1" applyFont="1" applyBorder="1" applyAlignment="1" applyProtection="1">
      <alignment horizontal="center" vertical="center"/>
      <protection hidden="1"/>
    </xf>
    <xf numFmtId="168" fontId="12" fillId="2" borderId="0" xfId="0" applyNumberFormat="1" applyFont="1" applyFill="1" applyAlignment="1" applyProtection="1">
      <alignment horizontal="center" vertical="center" wrapText="1"/>
      <protection locked="0"/>
    </xf>
    <xf numFmtId="0" fontId="23" fillId="0" borderId="1" xfId="5" applyFont="1" applyBorder="1" applyAlignment="1" applyProtection="1">
      <alignment horizontal="center" vertical="center" wrapText="1"/>
      <protection locked="0"/>
    </xf>
    <xf numFmtId="0" fontId="47" fillId="4" borderId="3" xfId="5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12" fillId="31" borderId="0" xfId="0" applyFont="1" applyFill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10" fillId="20" borderId="1" xfId="0" applyFont="1" applyFill="1" applyBorder="1" applyAlignment="1" applyProtection="1">
      <alignment horizontal="left" vertical="center"/>
      <protection hidden="1"/>
    </xf>
    <xf numFmtId="0" fontId="8" fillId="20" borderId="1" xfId="0" applyFont="1" applyFill="1" applyBorder="1" applyAlignment="1" applyProtection="1">
      <alignment horizontal="left" vertical="center"/>
      <protection hidden="1"/>
    </xf>
    <xf numFmtId="14" fontId="6" fillId="0" borderId="42" xfId="0" applyNumberFormat="1" applyFont="1" applyBorder="1" applyAlignment="1" applyProtection="1">
      <alignment horizontal="center" vertical="center"/>
      <protection hidden="1"/>
    </xf>
    <xf numFmtId="164" fontId="9" fillId="36" borderId="3" xfId="1" applyNumberFormat="1" applyFont="1" applyFill="1" applyBorder="1" applyAlignment="1" applyProtection="1">
      <alignment vertical="center"/>
      <protection hidden="1"/>
    </xf>
    <xf numFmtId="0" fontId="30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43" fontId="0" fillId="0" borderId="3" xfId="1" applyFont="1" applyBorder="1" applyAlignment="1">
      <alignment vertical="center" wrapText="1"/>
    </xf>
    <xf numFmtId="164" fontId="0" fillId="0" borderId="3" xfId="1" applyNumberFormat="1" applyFont="1" applyBorder="1" applyAlignment="1">
      <alignment vertical="center" wrapText="1"/>
    </xf>
    <xf numFmtId="164" fontId="18" fillId="0" borderId="3" xfId="0" applyNumberFormat="1" applyFont="1" applyBorder="1" applyAlignment="1">
      <alignment vertical="center"/>
    </xf>
    <xf numFmtId="164" fontId="18" fillId="0" borderId="3" xfId="0" applyNumberFormat="1" applyFont="1" applyBorder="1" applyAlignment="1">
      <alignment vertical="center" wrapText="1"/>
    </xf>
    <xf numFmtId="164" fontId="18" fillId="0" borderId="4" xfId="0" applyNumberFormat="1" applyFont="1" applyBorder="1" applyAlignment="1">
      <alignment vertical="center" wrapText="1"/>
    </xf>
    <xf numFmtId="172" fontId="18" fillId="0" borderId="5" xfId="0" applyNumberFormat="1" applyFont="1" applyBorder="1" applyAlignment="1">
      <alignment horizontal="centerContinuous" vertical="center"/>
    </xf>
    <xf numFmtId="0" fontId="14" fillId="19" borderId="2" xfId="3" applyFont="1" applyFill="1" applyBorder="1" applyAlignment="1">
      <alignment horizontal="center" vertical="center" wrapText="1"/>
    </xf>
    <xf numFmtId="0" fontId="14" fillId="7" borderId="2" xfId="3" applyFont="1" applyFill="1" applyBorder="1" applyAlignment="1">
      <alignment horizontal="center" vertical="center" wrapText="1"/>
    </xf>
    <xf numFmtId="0" fontId="29" fillId="0" borderId="49" xfId="0" applyFont="1" applyBorder="1" applyAlignment="1">
      <alignment horizontal="centerContinuous" vertical="center" wrapText="1"/>
    </xf>
    <xf numFmtId="14" fontId="95" fillId="0" borderId="39" xfId="0" applyNumberFormat="1" applyFont="1" applyBorder="1" applyAlignment="1" applyProtection="1">
      <alignment horizontal="left" vertical="center"/>
      <protection hidden="1"/>
    </xf>
    <xf numFmtId="0" fontId="64" fillId="4" borderId="18" xfId="0" applyFont="1" applyFill="1" applyBorder="1" applyAlignment="1">
      <alignment horizontal="center" vertical="center" wrapText="1"/>
    </xf>
    <xf numFmtId="0" fontId="31" fillId="4" borderId="18" xfId="0" applyFont="1" applyFill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14" fillId="0" borderId="3" xfId="3" applyFont="1" applyBorder="1" applyAlignment="1">
      <alignment horizontal="center" vertical="center" wrapText="1"/>
    </xf>
    <xf numFmtId="43" fontId="0" fillId="0" borderId="3" xfId="1" applyFont="1" applyBorder="1" applyAlignment="1">
      <alignment horizontal="center" vertical="center"/>
    </xf>
    <xf numFmtId="0" fontId="18" fillId="0" borderId="4" xfId="0" applyFont="1" applyBorder="1" applyAlignment="1">
      <alignment vertical="center"/>
    </xf>
    <xf numFmtId="164" fontId="18" fillId="0" borderId="4" xfId="1" applyNumberFormat="1" applyFont="1" applyBorder="1" applyAlignment="1">
      <alignment vertical="center"/>
    </xf>
    <xf numFmtId="0" fontId="14" fillId="15" borderId="1" xfId="5" applyFont="1" applyFill="1" applyBorder="1" applyAlignment="1" applyProtection="1">
      <alignment horizontal="center" vertical="center" wrapText="1"/>
      <protection locked="0"/>
    </xf>
    <xf numFmtId="164" fontId="0" fillId="0" borderId="3" xfId="1" applyNumberFormat="1" applyFont="1" applyBorder="1" applyAlignment="1" applyProtection="1">
      <alignment vertical="center" wrapText="1"/>
      <protection hidden="1"/>
    </xf>
    <xf numFmtId="0" fontId="26" fillId="0" borderId="0" xfId="5" applyFont="1" applyAlignment="1">
      <alignment horizontal="center" vertical="center"/>
    </xf>
    <xf numFmtId="0" fontId="14" fillId="0" borderId="0" xfId="5" applyFont="1" applyAlignment="1">
      <alignment vertical="center"/>
    </xf>
    <xf numFmtId="0" fontId="97" fillId="0" borderId="0" xfId="5" applyFont="1" applyAlignment="1">
      <alignment horizontal="left" vertical="center"/>
    </xf>
    <xf numFmtId="9" fontId="23" fillId="4" borderId="3" xfId="5" applyNumberFormat="1" applyFont="1" applyFill="1" applyBorder="1" applyAlignment="1" applyProtection="1">
      <alignment horizontal="center" vertical="center"/>
      <protection hidden="1"/>
    </xf>
    <xf numFmtId="0" fontId="23" fillId="4" borderId="3" xfId="5" applyFont="1" applyFill="1" applyBorder="1" applyAlignment="1" applyProtection="1">
      <alignment horizontal="center" vertical="center"/>
      <protection hidden="1"/>
    </xf>
    <xf numFmtId="0" fontId="23" fillId="4" borderId="3" xfId="5" applyFont="1" applyFill="1" applyBorder="1" applyAlignment="1" applyProtection="1">
      <alignment horizontal="center" vertical="center"/>
      <protection locked="0"/>
    </xf>
    <xf numFmtId="43" fontId="40" fillId="0" borderId="3" xfId="1" applyFont="1" applyFill="1" applyBorder="1" applyAlignment="1" applyProtection="1">
      <alignment horizontal="center" vertical="center" wrapText="1"/>
      <protection hidden="1"/>
    </xf>
    <xf numFmtId="164" fontId="22" fillId="0" borderId="3" xfId="1" applyNumberFormat="1" applyFont="1" applyFill="1" applyBorder="1" applyAlignment="1" applyProtection="1">
      <alignment horizontal="center" vertical="center"/>
      <protection hidden="1"/>
    </xf>
    <xf numFmtId="164" fontId="23" fillId="0" borderId="3" xfId="1" applyNumberFormat="1" applyFont="1" applyFill="1" applyBorder="1" applyAlignment="1" applyProtection="1">
      <alignment horizontal="center" vertical="center"/>
      <protection hidden="1"/>
    </xf>
    <xf numFmtId="164" fontId="40" fillId="0" borderId="3" xfId="6" applyNumberFormat="1" applyFont="1" applyFill="1" applyBorder="1" applyAlignment="1" applyProtection="1">
      <alignment horizontal="center" vertical="center" wrapText="1"/>
      <protection hidden="1"/>
    </xf>
    <xf numFmtId="43" fontId="47" fillId="34" borderId="4" xfId="5" applyNumberFormat="1" applyFont="1" applyFill="1" applyBorder="1" applyAlignment="1">
      <alignment horizontal="center" vertical="center" wrapText="1"/>
    </xf>
    <xf numFmtId="164" fontId="40" fillId="34" borderId="4" xfId="6" applyNumberFormat="1" applyFont="1" applyFill="1" applyBorder="1" applyAlignment="1" applyProtection="1">
      <alignment vertical="center"/>
      <protection hidden="1"/>
    </xf>
    <xf numFmtId="43" fontId="40" fillId="0" borderId="52" xfId="1" applyFont="1" applyFill="1" applyBorder="1" applyAlignment="1" applyProtection="1">
      <alignment horizontal="center" vertical="center" wrapText="1"/>
      <protection hidden="1"/>
    </xf>
    <xf numFmtId="43" fontId="47" fillId="34" borderId="53" xfId="5" applyNumberFormat="1" applyFont="1" applyFill="1" applyBorder="1" applyAlignment="1">
      <alignment horizontal="center" vertical="center" wrapText="1"/>
    </xf>
    <xf numFmtId="0" fontId="98" fillId="4" borderId="24" xfId="5" applyFont="1" applyFill="1" applyBorder="1" applyAlignment="1" applyProtection="1">
      <alignment horizontal="center" vertical="center" wrapText="1"/>
      <protection locked="0"/>
    </xf>
    <xf numFmtId="0" fontId="15" fillId="4" borderId="24" xfId="5" applyFont="1" applyFill="1" applyBorder="1" applyAlignment="1" applyProtection="1">
      <alignment horizontal="center" vertical="center" wrapText="1"/>
      <protection locked="0"/>
    </xf>
    <xf numFmtId="0" fontId="98" fillId="35" borderId="24" xfId="5" applyFont="1" applyFill="1" applyBorder="1" applyAlignment="1" applyProtection="1">
      <alignment horizontal="center" vertical="center" wrapText="1"/>
      <protection locked="0"/>
    </xf>
    <xf numFmtId="0" fontId="47" fillId="0" borderId="52" xfId="5" applyFont="1" applyBorder="1" applyAlignment="1">
      <alignment vertical="center"/>
    </xf>
    <xf numFmtId="0" fontId="47" fillId="0" borderId="3" xfId="5" applyFont="1" applyBorder="1" applyAlignment="1">
      <alignment vertical="center"/>
    </xf>
    <xf numFmtId="0" fontId="47" fillId="0" borderId="0" xfId="5" applyFont="1" applyAlignment="1">
      <alignment horizontal="centerContinuous" vertical="center"/>
    </xf>
    <xf numFmtId="9" fontId="23" fillId="4" borderId="3" xfId="10" applyFont="1" applyFill="1" applyBorder="1" applyAlignment="1" applyProtection="1">
      <alignment horizontal="center" vertical="center"/>
      <protection hidden="1"/>
    </xf>
    <xf numFmtId="9" fontId="23" fillId="4" borderId="3" xfId="10" applyFont="1" applyFill="1" applyBorder="1" applyAlignment="1" applyProtection="1">
      <alignment horizontal="center" vertical="center"/>
      <protection locked="0"/>
    </xf>
    <xf numFmtId="43" fontId="26" fillId="0" borderId="0" xfId="5" applyNumberFormat="1" applyFont="1" applyAlignment="1">
      <alignment horizontal="center" vertical="center"/>
    </xf>
    <xf numFmtId="164" fontId="52" fillId="2" borderId="0" xfId="1" applyNumberFormat="1" applyFont="1" applyFill="1" applyBorder="1" applyAlignment="1">
      <alignment horizontal="center" vertical="center"/>
    </xf>
    <xf numFmtId="0" fontId="30" fillId="34" borderId="41" xfId="0" applyFont="1" applyFill="1" applyBorder="1" applyAlignment="1" applyProtection="1">
      <alignment horizontal="left" vertical="center" wrapText="1"/>
      <protection hidden="1"/>
    </xf>
    <xf numFmtId="0" fontId="30" fillId="35" borderId="0" xfId="0" applyFont="1" applyFill="1" applyAlignment="1" applyProtection="1">
      <alignment horizontal="left" vertical="center" wrapText="1"/>
      <protection hidden="1"/>
    </xf>
    <xf numFmtId="43" fontId="0" fillId="8" borderId="1" xfId="1" applyFont="1" applyFill="1" applyBorder="1" applyAlignment="1">
      <alignment vertical="center"/>
    </xf>
    <xf numFmtId="43" fontId="18" fillId="8" borderId="1" xfId="0" applyNumberFormat="1" applyFont="1" applyFill="1" applyBorder="1" applyAlignment="1">
      <alignment horizontal="center" vertical="center"/>
    </xf>
    <xf numFmtId="43" fontId="24" fillId="0" borderId="0" xfId="5" applyNumberFormat="1" applyFont="1" applyAlignment="1">
      <alignment horizontal="center" vertical="center"/>
    </xf>
    <xf numFmtId="0" fontId="30" fillId="0" borderId="1" xfId="0" applyFont="1" applyBorder="1" applyAlignment="1" applyProtection="1">
      <alignment horizontal="left" vertical="center"/>
      <protection hidden="1"/>
    </xf>
    <xf numFmtId="171" fontId="24" fillId="0" borderId="0" xfId="1" applyNumberFormat="1" applyFont="1" applyAlignment="1">
      <alignment horizontal="center" vertical="center"/>
    </xf>
    <xf numFmtId="164" fontId="40" fillId="0" borderId="0" xfId="5" applyNumberFormat="1" applyFont="1" applyAlignment="1">
      <alignment vertical="center"/>
    </xf>
    <xf numFmtId="43" fontId="40" fillId="0" borderId="0" xfId="5" applyNumberFormat="1" applyFont="1" applyAlignment="1">
      <alignment vertical="center"/>
    </xf>
    <xf numFmtId="43" fontId="47" fillId="0" borderId="0" xfId="1" applyFont="1" applyAlignment="1">
      <alignment horizontal="center" vertical="center"/>
    </xf>
    <xf numFmtId="171" fontId="46" fillId="2" borderId="0" xfId="1" applyNumberFormat="1" applyFont="1" applyFill="1" applyBorder="1" applyAlignment="1" applyProtection="1">
      <alignment horizontal="left" vertical="center" wrapText="1"/>
      <protection locked="0"/>
    </xf>
    <xf numFmtId="173" fontId="42" fillId="2" borderId="0" xfId="5" applyNumberFormat="1" applyFont="1" applyFill="1" applyAlignment="1" applyProtection="1">
      <alignment horizontal="center" vertical="center" wrapText="1"/>
      <protection locked="0"/>
    </xf>
    <xf numFmtId="0" fontId="31" fillId="0" borderId="54" xfId="0" applyFont="1" applyBorder="1" applyAlignment="1" applyProtection="1">
      <alignment horizontal="center" vertical="center"/>
      <protection hidden="1"/>
    </xf>
    <xf numFmtId="0" fontId="9" fillId="0" borderId="23" xfId="0" applyFont="1" applyBorder="1" applyAlignment="1" applyProtection="1">
      <alignment vertical="center"/>
      <protection hidden="1"/>
    </xf>
    <xf numFmtId="0" fontId="48" fillId="0" borderId="3" xfId="13" applyFont="1" applyBorder="1" applyAlignment="1">
      <alignment vertical="center"/>
    </xf>
    <xf numFmtId="0" fontId="48" fillId="0" borderId="2" xfId="13" applyFont="1" applyBorder="1" applyAlignment="1">
      <alignment horizontal="center" vertical="center" wrapText="1"/>
    </xf>
    <xf numFmtId="164" fontId="48" fillId="0" borderId="2" xfId="14" applyNumberFormat="1" applyFont="1" applyFill="1" applyBorder="1" applyAlignment="1">
      <alignment horizontal="center" vertical="center" wrapText="1"/>
    </xf>
    <xf numFmtId="0" fontId="48" fillId="0" borderId="0" xfId="13" applyFont="1" applyAlignment="1">
      <alignment horizontal="center" vertical="center" wrapText="1"/>
    </xf>
    <xf numFmtId="43" fontId="48" fillId="0" borderId="3" xfId="1" applyFont="1" applyFill="1" applyBorder="1" applyAlignment="1">
      <alignment vertical="center"/>
    </xf>
    <xf numFmtId="164" fontId="48" fillId="0" borderId="3" xfId="14" applyNumberFormat="1" applyFont="1" applyFill="1" applyBorder="1" applyAlignment="1">
      <alignment vertical="center"/>
    </xf>
    <xf numFmtId="164" fontId="96" fillId="0" borderId="3" xfId="14" applyNumberFormat="1" applyFont="1" applyFill="1" applyBorder="1" applyAlignment="1">
      <alignment vertical="center"/>
    </xf>
    <xf numFmtId="0" fontId="48" fillId="0" borderId="3" xfId="13" applyFont="1" applyBorder="1" applyAlignment="1">
      <alignment horizontal="center" vertical="center"/>
    </xf>
    <xf numFmtId="0" fontId="48" fillId="0" borderId="0" xfId="13" applyFont="1" applyAlignment="1">
      <alignment vertical="center"/>
    </xf>
    <xf numFmtId="0" fontId="100" fillId="0" borderId="3" xfId="13" applyFont="1" applyBorder="1" applyAlignment="1">
      <alignment vertical="center"/>
    </xf>
    <xf numFmtId="43" fontId="100" fillId="0" borderId="3" xfId="1" applyFont="1" applyFill="1" applyBorder="1" applyAlignment="1">
      <alignment vertical="center"/>
    </xf>
    <xf numFmtId="164" fontId="100" fillId="0" borderId="3" xfId="14" applyNumberFormat="1" applyFont="1" applyFill="1" applyBorder="1" applyAlignment="1">
      <alignment vertical="center"/>
    </xf>
    <xf numFmtId="0" fontId="100" fillId="0" borderId="3" xfId="13" applyFont="1" applyBorder="1" applyAlignment="1">
      <alignment horizontal="center" vertical="center"/>
    </xf>
    <xf numFmtId="0" fontId="100" fillId="0" borderId="0" xfId="13" applyFont="1" applyAlignment="1">
      <alignment vertical="center"/>
    </xf>
    <xf numFmtId="0" fontId="96" fillId="0" borderId="3" xfId="13" applyFont="1" applyBorder="1" applyAlignment="1">
      <alignment vertical="center"/>
    </xf>
    <xf numFmtId="43" fontId="96" fillId="0" borderId="3" xfId="1" applyFont="1" applyFill="1" applyBorder="1" applyAlignment="1">
      <alignment vertical="center"/>
    </xf>
    <xf numFmtId="164" fontId="96" fillId="0" borderId="3" xfId="1" applyNumberFormat="1" applyFont="1" applyFill="1" applyBorder="1" applyAlignment="1">
      <alignment vertical="center"/>
    </xf>
    <xf numFmtId="0" fontId="98" fillId="0" borderId="3" xfId="13" applyFont="1" applyBorder="1" applyAlignment="1">
      <alignment horizontal="center" vertical="center"/>
    </xf>
    <xf numFmtId="0" fontId="96" fillId="0" borderId="0" xfId="13" applyFont="1" applyAlignment="1">
      <alignment vertical="center"/>
    </xf>
    <xf numFmtId="164" fontId="100" fillId="0" borderId="3" xfId="1" applyNumberFormat="1" applyFont="1" applyFill="1" applyBorder="1" applyAlignment="1">
      <alignment vertical="center"/>
    </xf>
    <xf numFmtId="0" fontId="102" fillId="0" borderId="3" xfId="13" applyFont="1" applyBorder="1" applyAlignment="1">
      <alignment horizontal="center" vertical="center"/>
    </xf>
    <xf numFmtId="0" fontId="96" fillId="0" borderId="3" xfId="13" applyFont="1" applyBorder="1" applyAlignment="1">
      <alignment horizontal="center" vertical="center"/>
    </xf>
    <xf numFmtId="43" fontId="100" fillId="0" borderId="3" xfId="13" applyNumberFormat="1" applyFont="1" applyBorder="1" applyAlignment="1">
      <alignment vertical="center"/>
    </xf>
    <xf numFmtId="164" fontId="101" fillId="0" borderId="3" xfId="14" applyNumberFormat="1" applyFont="1" applyFill="1" applyBorder="1" applyAlignment="1">
      <alignment vertical="center"/>
    </xf>
    <xf numFmtId="164" fontId="96" fillId="0" borderId="0" xfId="1" applyNumberFormat="1" applyFont="1" applyFill="1" applyAlignment="1">
      <alignment vertical="center"/>
    </xf>
    <xf numFmtId="0" fontId="101" fillId="0" borderId="3" xfId="13" applyFont="1" applyBorder="1" applyAlignment="1">
      <alignment vertical="center"/>
    </xf>
    <xf numFmtId="43" fontId="101" fillId="0" borderId="3" xfId="1" applyFont="1" applyFill="1" applyBorder="1" applyAlignment="1">
      <alignment vertical="center"/>
    </xf>
    <xf numFmtId="0" fontId="101" fillId="0" borderId="3" xfId="13" applyFont="1" applyBorder="1" applyAlignment="1">
      <alignment horizontal="center" vertical="center"/>
    </xf>
    <xf numFmtId="164" fontId="101" fillId="0" borderId="3" xfId="1" applyNumberFormat="1" applyFont="1" applyFill="1" applyBorder="1" applyAlignment="1">
      <alignment vertical="center"/>
    </xf>
    <xf numFmtId="0" fontId="101" fillId="0" borderId="0" xfId="13" applyFont="1" applyAlignment="1">
      <alignment vertical="center"/>
    </xf>
    <xf numFmtId="10" fontId="96" fillId="0" borderId="3" xfId="13" applyNumberFormat="1" applyFont="1" applyBorder="1" applyAlignment="1">
      <alignment vertical="center"/>
    </xf>
    <xf numFmtId="9" fontId="96" fillId="0" borderId="3" xfId="13" applyNumberFormat="1" applyFont="1" applyBorder="1" applyAlignment="1">
      <alignment vertical="center"/>
    </xf>
    <xf numFmtId="164" fontId="96" fillId="0" borderId="4" xfId="14" applyNumberFormat="1" applyFont="1" applyFill="1" applyBorder="1" applyAlignment="1">
      <alignment vertical="center"/>
    </xf>
    <xf numFmtId="164" fontId="96" fillId="0" borderId="0" xfId="14" applyNumberFormat="1" applyFont="1" applyFill="1" applyAlignment="1">
      <alignment vertical="center"/>
    </xf>
    <xf numFmtId="0" fontId="96" fillId="0" borderId="0" xfId="13" applyFont="1" applyAlignment="1">
      <alignment horizontal="center" vertical="center"/>
    </xf>
    <xf numFmtId="0" fontId="48" fillId="0" borderId="3" xfId="13" applyFont="1" applyBorder="1" applyAlignment="1">
      <alignment horizontal="center" vertical="center" wrapText="1"/>
    </xf>
    <xf numFmtId="0" fontId="100" fillId="0" borderId="3" xfId="13" applyFont="1" applyBorder="1" applyAlignment="1">
      <alignment horizontal="center" vertical="center" wrapText="1"/>
    </xf>
    <xf numFmtId="0" fontId="96" fillId="0" borderId="3" xfId="13" applyFont="1" applyBorder="1" applyAlignment="1">
      <alignment horizontal="center" vertical="center" wrapText="1"/>
    </xf>
    <xf numFmtId="0" fontId="101" fillId="0" borderId="3" xfId="13" applyFont="1" applyBorder="1" applyAlignment="1">
      <alignment horizontal="center" vertical="center" wrapText="1"/>
    </xf>
    <xf numFmtId="0" fontId="96" fillId="0" borderId="0" xfId="13" applyFont="1" applyAlignment="1">
      <alignment horizontal="center" vertical="center" wrapText="1"/>
    </xf>
    <xf numFmtId="0" fontId="48" fillId="37" borderId="3" xfId="13" applyFont="1" applyFill="1" applyBorder="1" applyAlignment="1">
      <alignment horizontal="center" vertical="center"/>
    </xf>
    <xf numFmtId="0" fontId="48" fillId="37" borderId="3" xfId="13" applyFont="1" applyFill="1" applyBorder="1" applyAlignment="1">
      <alignment vertical="center"/>
    </xf>
    <xf numFmtId="0" fontId="48" fillId="37" borderId="3" xfId="13" applyFont="1" applyFill="1" applyBorder="1" applyAlignment="1">
      <alignment horizontal="center" vertical="center" wrapText="1"/>
    </xf>
    <xf numFmtId="164" fontId="48" fillId="37" borderId="3" xfId="14" applyNumberFormat="1" applyFont="1" applyFill="1" applyBorder="1" applyAlignment="1">
      <alignment vertical="center"/>
    </xf>
    <xf numFmtId="164" fontId="48" fillId="0" borderId="2" xfId="1" applyNumberFormat="1" applyFont="1" applyFill="1" applyBorder="1" applyAlignment="1">
      <alignment horizontal="center" vertical="center" wrapText="1"/>
    </xf>
    <xf numFmtId="164" fontId="48" fillId="0" borderId="3" xfId="1" applyNumberFormat="1" applyFont="1" applyFill="1" applyBorder="1" applyAlignment="1">
      <alignment vertical="center"/>
    </xf>
    <xf numFmtId="164" fontId="100" fillId="0" borderId="3" xfId="13" applyNumberFormat="1" applyFont="1" applyBorder="1" applyAlignment="1">
      <alignment vertical="center"/>
    </xf>
    <xf numFmtId="10" fontId="52" fillId="2" borderId="0" xfId="10" applyNumberFormat="1" applyFont="1" applyFill="1" applyBorder="1" applyAlignment="1">
      <alignment vertical="center"/>
    </xf>
    <xf numFmtId="0" fontId="96" fillId="0" borderId="4" xfId="13" applyFont="1" applyBorder="1" applyAlignment="1">
      <alignment horizontal="center" vertical="center"/>
    </xf>
    <xf numFmtId="0" fontId="96" fillId="0" borderId="4" xfId="13" applyFont="1" applyBorder="1" applyAlignment="1">
      <alignment vertical="center"/>
    </xf>
    <xf numFmtId="0" fontId="96" fillId="0" borderId="4" xfId="13" applyFont="1" applyBorder="1" applyAlignment="1">
      <alignment horizontal="center" vertical="center" wrapText="1"/>
    </xf>
    <xf numFmtId="10" fontId="96" fillId="0" borderId="3" xfId="10" applyNumberFormat="1" applyFont="1" applyFill="1" applyBorder="1" applyAlignment="1">
      <alignment vertical="center"/>
    </xf>
    <xf numFmtId="164" fontId="48" fillId="37" borderId="3" xfId="1" applyNumberFormat="1" applyFont="1" applyFill="1" applyBorder="1" applyAlignment="1">
      <alignment vertical="center"/>
    </xf>
    <xf numFmtId="43" fontId="100" fillId="37" borderId="3" xfId="1" applyFont="1" applyFill="1" applyBorder="1" applyAlignment="1">
      <alignment vertical="center"/>
    </xf>
    <xf numFmtId="0" fontId="96" fillId="37" borderId="3" xfId="13" applyFont="1" applyFill="1" applyBorder="1" applyAlignment="1">
      <alignment horizontal="center" vertical="center" wrapText="1"/>
    </xf>
    <xf numFmtId="43" fontId="48" fillId="37" borderId="3" xfId="13" applyNumberFormat="1" applyFont="1" applyFill="1" applyBorder="1" applyAlignment="1">
      <alignment vertical="center"/>
    </xf>
    <xf numFmtId="0" fontId="48" fillId="20" borderId="3" xfId="13" applyFont="1" applyFill="1" applyBorder="1" applyAlignment="1">
      <alignment horizontal="center" vertical="center"/>
    </xf>
    <xf numFmtId="0" fontId="48" fillId="20" borderId="3" xfId="13" applyFont="1" applyFill="1" applyBorder="1" applyAlignment="1">
      <alignment vertical="center"/>
    </xf>
    <xf numFmtId="0" fontId="48" fillId="20" borderId="3" xfId="13" applyFont="1" applyFill="1" applyBorder="1" applyAlignment="1">
      <alignment horizontal="center" vertical="center" wrapText="1"/>
    </xf>
    <xf numFmtId="164" fontId="48" fillId="20" borderId="3" xfId="1" applyNumberFormat="1" applyFont="1" applyFill="1" applyBorder="1" applyAlignment="1">
      <alignment vertical="center"/>
    </xf>
    <xf numFmtId="164" fontId="48" fillId="20" borderId="3" xfId="14" applyNumberFormat="1" applyFont="1" applyFill="1" applyBorder="1" applyAlignment="1">
      <alignment vertical="center"/>
    </xf>
    <xf numFmtId="10" fontId="48" fillId="20" borderId="3" xfId="13" applyNumberFormat="1" applyFont="1" applyFill="1" applyBorder="1" applyAlignment="1">
      <alignment vertical="center"/>
    </xf>
    <xf numFmtId="0" fontId="48" fillId="20" borderId="55" xfId="13" applyFont="1" applyFill="1" applyBorder="1" applyAlignment="1">
      <alignment vertical="center"/>
    </xf>
    <xf numFmtId="0" fontId="48" fillId="20" borderId="6" xfId="13" applyFont="1" applyFill="1" applyBorder="1" applyAlignment="1">
      <alignment vertical="center"/>
    </xf>
    <xf numFmtId="0" fontId="48" fillId="20" borderId="52" xfId="13" applyFont="1" applyFill="1" applyBorder="1" applyAlignment="1">
      <alignment vertical="center"/>
    </xf>
    <xf numFmtId="0" fontId="48" fillId="37" borderId="55" xfId="13" applyFont="1" applyFill="1" applyBorder="1" applyAlignment="1">
      <alignment vertical="center"/>
    </xf>
    <xf numFmtId="0" fontId="48" fillId="37" borderId="6" xfId="13" applyFont="1" applyFill="1" applyBorder="1" applyAlignment="1">
      <alignment vertical="center"/>
    </xf>
    <xf numFmtId="0" fontId="48" fillId="37" borderId="52" xfId="13" applyFont="1" applyFill="1" applyBorder="1" applyAlignment="1">
      <alignment vertical="center"/>
    </xf>
    <xf numFmtId="0" fontId="100" fillId="0" borderId="55" xfId="13" applyFont="1" applyBorder="1" applyAlignment="1">
      <alignment vertical="center"/>
    </xf>
    <xf numFmtId="0" fontId="100" fillId="0" borderId="6" xfId="13" applyFont="1" applyBorder="1" applyAlignment="1">
      <alignment vertical="center"/>
    </xf>
    <xf numFmtId="0" fontId="100" fillId="0" borderId="52" xfId="13" applyFont="1" applyBorder="1" applyAlignment="1">
      <alignment vertical="center"/>
    </xf>
    <xf numFmtId="0" fontId="96" fillId="0" borderId="55" xfId="13" applyFont="1" applyBorder="1" applyAlignment="1">
      <alignment vertical="center"/>
    </xf>
    <xf numFmtId="0" fontId="96" fillId="0" borderId="6" xfId="13" applyFont="1" applyBorder="1" applyAlignment="1">
      <alignment vertical="center"/>
    </xf>
    <xf numFmtId="0" fontId="96" fillId="0" borderId="52" xfId="13" applyFont="1" applyBorder="1" applyAlignment="1">
      <alignment vertical="center"/>
    </xf>
    <xf numFmtId="37" fontId="12" fillId="21" borderId="1" xfId="1" applyNumberFormat="1" applyFont="1" applyFill="1" applyBorder="1" applyAlignment="1" applyProtection="1">
      <alignment horizontal="center" vertical="center" wrapText="1"/>
      <protection locked="0"/>
    </xf>
    <xf numFmtId="164" fontId="30" fillId="38" borderId="1" xfId="1" applyNumberFormat="1" applyFont="1" applyFill="1" applyBorder="1" applyAlignment="1" applyProtection="1">
      <alignment horizontal="left" vertical="center"/>
      <protection hidden="1"/>
    </xf>
    <xf numFmtId="0" fontId="43" fillId="2" borderId="0" xfId="5" applyFont="1" applyFill="1" applyAlignment="1" applyProtection="1">
      <alignment horizontal="centerContinuous" vertical="center" wrapText="1"/>
      <protection locked="0"/>
    </xf>
    <xf numFmtId="0" fontId="28" fillId="2" borderId="0" xfId="5" applyFont="1" applyFill="1" applyAlignment="1" applyProtection="1">
      <alignment horizontal="centerContinuous" vertical="center" wrapText="1"/>
      <protection locked="0"/>
    </xf>
    <xf numFmtId="0" fontId="28" fillId="2" borderId="0" xfId="5" applyFont="1" applyFill="1" applyAlignment="1" applyProtection="1">
      <alignment horizontal="centerContinuous" vertical="center"/>
      <protection locked="0"/>
    </xf>
    <xf numFmtId="164" fontId="44" fillId="2" borderId="0" xfId="6" applyNumberFormat="1" applyFont="1" applyFill="1" applyBorder="1" applyAlignment="1" applyProtection="1">
      <alignment horizontal="centerContinuous" vertical="center"/>
      <protection locked="0"/>
    </xf>
    <xf numFmtId="164" fontId="30" fillId="0" borderId="3" xfId="1" applyNumberFormat="1" applyFont="1" applyBorder="1" applyAlignment="1" applyProtection="1">
      <alignment horizontal="center" vertical="center"/>
      <protection hidden="1"/>
    </xf>
    <xf numFmtId="164" fontId="104" fillId="6" borderId="3" xfId="1" applyNumberFormat="1" applyFont="1" applyFill="1" applyBorder="1" applyAlignment="1" applyProtection="1">
      <alignment horizontal="center" vertical="center"/>
      <protection hidden="1"/>
    </xf>
    <xf numFmtId="0" fontId="0" fillId="31" borderId="1" xfId="0" applyFill="1" applyBorder="1" applyAlignment="1" applyProtection="1">
      <alignment horizontal="center" vertical="center"/>
      <protection locked="0"/>
    </xf>
    <xf numFmtId="0" fontId="0" fillId="31" borderId="1" xfId="0" applyFill="1" applyBorder="1" applyAlignment="1" applyProtection="1">
      <alignment horizontal="center" vertical="center"/>
      <protection hidden="1"/>
    </xf>
    <xf numFmtId="0" fontId="5" fillId="31" borderId="1" xfId="0" applyFont="1" applyFill="1" applyBorder="1" applyAlignment="1" applyProtection="1">
      <alignment horizontal="left" vertical="center"/>
      <protection locked="0"/>
    </xf>
    <xf numFmtId="9" fontId="5" fillId="31" borderId="1" xfId="0" applyNumberFormat="1" applyFont="1" applyFill="1" applyBorder="1" applyAlignment="1" applyProtection="1">
      <alignment horizontal="center" vertical="center"/>
      <protection locked="0"/>
    </xf>
    <xf numFmtId="43" fontId="0" fillId="0" borderId="3" xfId="1" applyFont="1" applyBorder="1" applyAlignment="1">
      <alignment horizontal="center" vertical="center" wrapText="1"/>
    </xf>
    <xf numFmtId="0" fontId="16" fillId="3" borderId="5" xfId="0" applyFont="1" applyFill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164" fontId="30" fillId="2" borderId="1" xfId="1" applyNumberFormat="1" applyFont="1" applyFill="1" applyBorder="1" applyAlignment="1" applyProtection="1">
      <alignment horizontal="left" vertical="center" wrapText="1"/>
      <protection hidden="1"/>
    </xf>
    <xf numFmtId="10" fontId="5" fillId="2" borderId="15" xfId="10" applyNumberFormat="1" applyFont="1" applyFill="1" applyBorder="1" applyAlignment="1" applyProtection="1">
      <alignment horizontal="center" vertical="center" wrapText="1"/>
    </xf>
    <xf numFmtId="164" fontId="30" fillId="0" borderId="0" xfId="0" applyNumberFormat="1" applyFont="1" applyAlignment="1">
      <alignment vertical="center"/>
    </xf>
    <xf numFmtId="164" fontId="30" fillId="0" borderId="1" xfId="0" applyNumberFormat="1" applyFont="1" applyBorder="1" applyAlignment="1">
      <alignment horizontal="center" vertical="center"/>
    </xf>
    <xf numFmtId="43" fontId="31" fillId="0" borderId="4" xfId="1" applyFont="1" applyBorder="1" applyAlignment="1">
      <alignment horizontal="center" vertical="center"/>
    </xf>
    <xf numFmtId="0" fontId="31" fillId="4" borderId="26" xfId="0" applyFont="1" applyFill="1" applyBorder="1" applyAlignment="1" applyProtection="1">
      <alignment horizontal="center" vertical="center"/>
      <protection hidden="1"/>
    </xf>
    <xf numFmtId="0" fontId="106" fillId="31" borderId="0" xfId="5" applyFont="1" applyFill="1" applyAlignment="1">
      <alignment horizontal="center" vertical="center"/>
    </xf>
    <xf numFmtId="0" fontId="107" fillId="31" borderId="0" xfId="5" applyFont="1" applyFill="1" applyAlignment="1">
      <alignment horizontal="center" vertical="center"/>
    </xf>
    <xf numFmtId="0" fontId="22" fillId="0" borderId="18" xfId="5" applyFont="1" applyBorder="1" applyAlignment="1" applyProtection="1">
      <alignment horizontal="center" vertical="center" wrapText="1"/>
      <protection locked="0"/>
    </xf>
    <xf numFmtId="0" fontId="47" fillId="0" borderId="53" xfId="5" applyFont="1" applyBorder="1" applyAlignment="1">
      <alignment horizontal="center" vertical="center" wrapText="1"/>
    </xf>
    <xf numFmtId="164" fontId="0" fillId="0" borderId="3" xfId="1" applyNumberFormat="1" applyFont="1" applyBorder="1" applyAlignment="1" applyProtection="1">
      <alignment vertical="center"/>
      <protection hidden="1"/>
    </xf>
    <xf numFmtId="0" fontId="18" fillId="0" borderId="4" xfId="0" applyFont="1" applyBorder="1" applyAlignment="1">
      <alignment horizontal="center" vertical="center"/>
    </xf>
    <xf numFmtId="9" fontId="71" fillId="0" borderId="3" xfId="10" applyFont="1" applyBorder="1" applyAlignment="1">
      <alignment horizontal="left" vertical="center"/>
    </xf>
    <xf numFmtId="9" fontId="71" fillId="0" borderId="3" xfId="1" applyNumberFormat="1" applyFont="1" applyBorder="1" applyAlignment="1">
      <alignment horizontal="left" vertical="center"/>
    </xf>
    <xf numFmtId="9" fontId="64" fillId="2" borderId="1" xfId="0" applyNumberFormat="1" applyFont="1" applyFill="1" applyBorder="1" applyAlignment="1" applyProtection="1">
      <alignment horizontal="center" vertical="center"/>
      <protection hidden="1"/>
    </xf>
    <xf numFmtId="43" fontId="30" fillId="2" borderId="1" xfId="1" applyFont="1" applyFill="1" applyBorder="1" applyAlignment="1" applyProtection="1">
      <alignment horizontal="left" vertical="center"/>
    </xf>
    <xf numFmtId="164" fontId="65" fillId="0" borderId="18" xfId="0" applyNumberFormat="1" applyFont="1" applyBorder="1" applyAlignment="1" applyProtection="1">
      <alignment horizontal="center" vertical="center"/>
      <protection hidden="1"/>
    </xf>
    <xf numFmtId="0" fontId="31" fillId="2" borderId="1" xfId="0" applyFont="1" applyFill="1" applyBorder="1" applyAlignment="1" applyProtection="1">
      <alignment horizontal="center" vertical="center"/>
      <protection hidden="1"/>
    </xf>
    <xf numFmtId="9" fontId="31" fillId="2" borderId="1" xfId="0" applyNumberFormat="1" applyFont="1" applyFill="1" applyBorder="1" applyAlignment="1" applyProtection="1">
      <alignment horizontal="center" vertical="center"/>
      <protection hidden="1"/>
    </xf>
    <xf numFmtId="0" fontId="31" fillId="2" borderId="1" xfId="0" applyFont="1" applyFill="1" applyBorder="1" applyAlignment="1" applyProtection="1">
      <alignment horizontal="center" vertical="center" wrapText="1"/>
      <protection hidden="1"/>
    </xf>
    <xf numFmtId="0" fontId="31" fillId="2" borderId="1" xfId="0" applyFont="1" applyFill="1" applyBorder="1" applyAlignment="1">
      <alignment horizontal="center" vertical="center"/>
    </xf>
    <xf numFmtId="9" fontId="31" fillId="2" borderId="1" xfId="0" applyNumberFormat="1" applyFont="1" applyFill="1" applyBorder="1" applyAlignment="1">
      <alignment horizontal="center" vertical="center"/>
    </xf>
    <xf numFmtId="43" fontId="65" fillId="2" borderId="1" xfId="0" applyNumberFormat="1" applyFont="1" applyFill="1" applyBorder="1" applyAlignment="1">
      <alignment horizontal="left" vertical="center"/>
    </xf>
    <xf numFmtId="0" fontId="12" fillId="2" borderId="1" xfId="0" applyFont="1" applyFill="1" applyBorder="1" applyAlignment="1" applyProtection="1">
      <alignment horizontal="left" vertical="center"/>
      <protection locked="0"/>
    </xf>
    <xf numFmtId="0" fontId="64" fillId="4" borderId="1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77" fillId="0" borderId="1" xfId="0" applyFont="1" applyBorder="1" applyAlignment="1" applyProtection="1">
      <alignment horizontal="left" vertical="center"/>
      <protection hidden="1"/>
    </xf>
    <xf numFmtId="0" fontId="77" fillId="4" borderId="1" xfId="0" applyFont="1" applyFill="1" applyBorder="1" applyAlignment="1" applyProtection="1">
      <alignment horizontal="left" vertical="center"/>
      <protection hidden="1"/>
    </xf>
    <xf numFmtId="9" fontId="22" fillId="0" borderId="3" xfId="10" applyFont="1" applyFill="1" applyBorder="1" applyAlignment="1" applyProtection="1">
      <alignment horizontal="center" vertical="center"/>
      <protection hidden="1"/>
    </xf>
    <xf numFmtId="9" fontId="40" fillId="34" borderId="4" xfId="10" applyFont="1" applyFill="1" applyBorder="1" applyAlignment="1" applyProtection="1">
      <alignment vertical="center"/>
      <protection hidden="1"/>
    </xf>
    <xf numFmtId="0" fontId="19" fillId="0" borderId="56" xfId="0" applyFont="1" applyBorder="1" applyAlignment="1">
      <alignment horizontal="center" vertical="center"/>
    </xf>
    <xf numFmtId="0" fontId="71" fillId="0" borderId="56" xfId="0" applyFont="1" applyBorder="1" applyAlignment="1">
      <alignment vertical="center"/>
    </xf>
    <xf numFmtId="9" fontId="69" fillId="0" borderId="56" xfId="1" applyNumberFormat="1" applyFont="1" applyBorder="1" applyAlignment="1">
      <alignment horizontal="center" vertical="center"/>
    </xf>
    <xf numFmtId="43" fontId="30" fillId="0" borderId="18" xfId="1" applyFont="1" applyFill="1" applyBorder="1" applyAlignment="1" applyProtection="1">
      <alignment horizontal="left" vertical="center" wrapText="1"/>
      <protection hidden="1"/>
    </xf>
    <xf numFmtId="43" fontId="30" fillId="2" borderId="18" xfId="1" applyFont="1" applyFill="1" applyBorder="1" applyAlignment="1" applyProtection="1">
      <alignment horizontal="center" vertical="center" wrapText="1"/>
      <protection hidden="1"/>
    </xf>
    <xf numFmtId="43" fontId="31" fillId="2" borderId="18" xfId="1" applyFont="1" applyFill="1" applyBorder="1" applyAlignment="1" applyProtection="1">
      <alignment horizontal="center" vertical="center" wrapText="1"/>
      <protection hidden="1"/>
    </xf>
    <xf numFmtId="43" fontId="30" fillId="0" borderId="1" xfId="1" applyFont="1" applyFill="1" applyBorder="1" applyAlignment="1" applyProtection="1">
      <alignment horizontal="left" vertical="center" wrapText="1"/>
      <protection hidden="1"/>
    </xf>
    <xf numFmtId="0" fontId="71" fillId="0" borderId="2" xfId="0" applyFont="1" applyBorder="1" applyAlignment="1">
      <alignment vertical="center"/>
    </xf>
    <xf numFmtId="0" fontId="14" fillId="0" borderId="3" xfId="0" applyFont="1" applyBorder="1" applyAlignment="1">
      <alignment horizontal="center" vertical="center"/>
    </xf>
    <xf numFmtId="0" fontId="70" fillId="0" borderId="3" xfId="0" applyFont="1" applyBorder="1" applyAlignment="1">
      <alignment horizontal="center" vertical="center"/>
    </xf>
    <xf numFmtId="43" fontId="70" fillId="0" borderId="3" xfId="1" applyFont="1" applyBorder="1" applyAlignment="1">
      <alignment horizontal="center" vertical="center"/>
    </xf>
    <xf numFmtId="0" fontId="14" fillId="0" borderId="3" xfId="0" applyFont="1" applyBorder="1" applyAlignment="1" applyProtection="1">
      <alignment horizontal="center" vertical="center"/>
      <protection hidden="1"/>
    </xf>
    <xf numFmtId="43" fontId="71" fillId="0" borderId="3" xfId="1" applyFont="1" applyBorder="1" applyAlignment="1">
      <alignment vertical="center"/>
    </xf>
    <xf numFmtId="0" fontId="19" fillId="0" borderId="3" xfId="0" applyFont="1" applyBorder="1" applyAlignment="1" applyProtection="1">
      <alignment horizontal="left" vertical="center"/>
      <protection hidden="1"/>
    </xf>
    <xf numFmtId="43" fontId="69" fillId="0" borderId="3" xfId="1" applyFont="1" applyBorder="1" applyAlignment="1">
      <alignment horizontal="center" vertical="center"/>
    </xf>
    <xf numFmtId="9" fontId="71" fillId="0" borderId="4" xfId="1" applyNumberFormat="1" applyFont="1" applyBorder="1" applyAlignment="1">
      <alignment horizontal="left" vertical="center"/>
    </xf>
    <xf numFmtId="9" fontId="69" fillId="0" borderId="4" xfId="1" applyNumberFormat="1" applyFont="1" applyBorder="1" applyAlignment="1">
      <alignment horizontal="center" vertical="center"/>
    </xf>
    <xf numFmtId="0" fontId="19" fillId="0" borderId="6" xfId="0" applyFont="1" applyBorder="1" applyAlignment="1">
      <alignment vertical="center"/>
    </xf>
    <xf numFmtId="0" fontId="19" fillId="0" borderId="24" xfId="0" applyFont="1" applyBorder="1" applyAlignment="1">
      <alignment vertical="center"/>
    </xf>
    <xf numFmtId="0" fontId="19" fillId="0" borderId="41" xfId="0" applyFont="1" applyBorder="1" applyAlignment="1">
      <alignment vertical="center"/>
    </xf>
    <xf numFmtId="0" fontId="9" fillId="33" borderId="0" xfId="0" applyFont="1" applyFill="1" applyAlignment="1" applyProtection="1">
      <alignment horizontal="left" vertical="center"/>
      <protection locked="0"/>
    </xf>
    <xf numFmtId="0" fontId="5" fillId="33" borderId="0" xfId="0" applyFont="1" applyFill="1" applyAlignment="1" applyProtection="1">
      <alignment horizontal="left" vertical="center"/>
      <protection locked="0"/>
    </xf>
    <xf numFmtId="43" fontId="71" fillId="0" borderId="6" xfId="1" applyFont="1" applyBorder="1" applyAlignment="1">
      <alignment vertical="center"/>
    </xf>
    <xf numFmtId="43" fontId="71" fillId="0" borderId="24" xfId="1" applyFont="1" applyBorder="1" applyAlignment="1">
      <alignment vertical="center"/>
    </xf>
    <xf numFmtId="43" fontId="71" fillId="0" borderId="41" xfId="1" applyFont="1" applyBorder="1" applyAlignment="1">
      <alignment vertical="center"/>
    </xf>
    <xf numFmtId="0" fontId="19" fillId="0" borderId="6" xfId="0" applyFont="1" applyBorder="1" applyAlignment="1" applyProtection="1">
      <alignment horizontal="left" vertical="center"/>
      <protection hidden="1"/>
    </xf>
    <xf numFmtId="0" fontId="19" fillId="0" borderId="24" xfId="0" applyFont="1" applyBorder="1" applyAlignment="1" applyProtection="1">
      <alignment horizontal="left" vertical="center"/>
      <protection hidden="1"/>
    </xf>
    <xf numFmtId="0" fontId="19" fillId="0" borderId="41" xfId="0" applyFont="1" applyBorder="1" applyAlignment="1" applyProtection="1">
      <alignment horizontal="left" vertical="center"/>
      <protection hidden="1"/>
    </xf>
    <xf numFmtId="164" fontId="12" fillId="31" borderId="3" xfId="1" applyNumberFormat="1" applyFont="1" applyFill="1" applyBorder="1" applyAlignment="1" applyProtection="1">
      <alignment vertical="center"/>
      <protection hidden="1"/>
    </xf>
    <xf numFmtId="164" fontId="5" fillId="31" borderId="3" xfId="1" applyNumberFormat="1" applyFont="1" applyFill="1" applyBorder="1" applyAlignment="1" applyProtection="1">
      <alignment vertical="center"/>
      <protection hidden="1"/>
    </xf>
    <xf numFmtId="43" fontId="71" fillId="0" borderId="0" xfId="1" applyFont="1" applyBorder="1" applyAlignment="1">
      <alignment vertical="center"/>
    </xf>
    <xf numFmtId="0" fontId="19" fillId="0" borderId="55" xfId="0" applyFont="1" applyBorder="1" applyAlignment="1" applyProtection="1">
      <alignment horizontal="left" vertical="center"/>
      <protection hidden="1"/>
    </xf>
    <xf numFmtId="0" fontId="19" fillId="0" borderId="23" xfId="0" applyFont="1" applyBorder="1" applyAlignment="1">
      <alignment vertical="center"/>
    </xf>
    <xf numFmtId="0" fontId="16" fillId="0" borderId="2" xfId="0" applyFont="1" applyBorder="1" applyAlignment="1">
      <alignment vertical="center"/>
    </xf>
    <xf numFmtId="0" fontId="14" fillId="0" borderId="3" xfId="0" applyFont="1" applyBorder="1" applyAlignment="1">
      <alignment vertical="center"/>
    </xf>
    <xf numFmtId="43" fontId="40" fillId="0" borderId="29" xfId="1" applyFont="1" applyFill="1" applyBorder="1" applyAlignment="1">
      <alignment vertical="center"/>
    </xf>
    <xf numFmtId="164" fontId="47" fillId="0" borderId="29" xfId="6" applyNumberFormat="1" applyFont="1" applyFill="1" applyBorder="1" applyAlignment="1">
      <alignment vertical="center"/>
    </xf>
    <xf numFmtId="164" fontId="47" fillId="0" borderId="42" xfId="6" applyNumberFormat="1" applyFont="1" applyFill="1" applyBorder="1" applyAlignment="1">
      <alignment vertical="center"/>
    </xf>
    <xf numFmtId="164" fontId="40" fillId="0" borderId="58" xfId="6" applyNumberFormat="1" applyFont="1" applyFill="1" applyBorder="1" applyAlignment="1">
      <alignment vertical="center"/>
    </xf>
    <xf numFmtId="43" fontId="47" fillId="0" borderId="0" xfId="5" applyNumberFormat="1" applyFont="1" applyAlignment="1">
      <alignment horizontal="center" vertical="center" wrapText="1"/>
    </xf>
    <xf numFmtId="164" fontId="40" fillId="0" borderId="0" xfId="6" applyNumberFormat="1" applyFont="1" applyFill="1" applyBorder="1" applyAlignment="1" applyProtection="1">
      <alignment vertical="center"/>
      <protection hidden="1"/>
    </xf>
    <xf numFmtId="9" fontId="40" fillId="0" borderId="0" xfId="10" applyFont="1" applyFill="1" applyBorder="1" applyAlignment="1" applyProtection="1">
      <alignment vertical="center"/>
      <protection hidden="1"/>
    </xf>
    <xf numFmtId="9" fontId="40" fillId="0" borderId="29" xfId="10" applyFont="1" applyFill="1" applyBorder="1" applyAlignment="1">
      <alignment vertical="center"/>
    </xf>
    <xf numFmtId="0" fontId="14" fillId="15" borderId="3" xfId="5" applyFont="1" applyFill="1" applyBorder="1" applyAlignment="1" applyProtection="1">
      <alignment horizontal="center" vertical="center" wrapText="1"/>
      <protection locked="0"/>
    </xf>
    <xf numFmtId="0" fontId="22" fillId="2" borderId="3" xfId="5" applyFont="1" applyFill="1" applyBorder="1" applyAlignment="1" applyProtection="1">
      <alignment horizontal="center" vertical="center"/>
      <protection locked="0"/>
    </xf>
    <xf numFmtId="0" fontId="23" fillId="0" borderId="3" xfId="5" applyFont="1" applyBorder="1" applyAlignment="1" applyProtection="1">
      <alignment horizontal="center" vertical="center" wrapText="1"/>
      <protection locked="0"/>
    </xf>
    <xf numFmtId="0" fontId="22" fillId="0" borderId="3" xfId="5" applyFont="1" applyBorder="1" applyAlignment="1" applyProtection="1">
      <alignment horizontal="left" vertical="center" wrapText="1"/>
      <protection locked="0"/>
    </xf>
    <xf numFmtId="0" fontId="22" fillId="0" borderId="3" xfId="5" applyFont="1" applyBorder="1" applyAlignment="1" applyProtection="1">
      <alignment horizontal="center" vertical="center" wrapText="1"/>
      <protection locked="0"/>
    </xf>
    <xf numFmtId="43" fontId="22" fillId="0" borderId="3" xfId="1" applyFont="1" applyFill="1" applyBorder="1" applyAlignment="1" applyProtection="1">
      <alignment horizontal="center" vertical="center" wrapText="1"/>
      <protection locked="0"/>
    </xf>
    <xf numFmtId="164" fontId="22" fillId="0" borderId="3" xfId="1" applyNumberFormat="1" applyFont="1" applyFill="1" applyBorder="1" applyAlignment="1" applyProtection="1">
      <alignment horizontal="center" vertical="center" wrapText="1"/>
      <protection locked="0"/>
    </xf>
    <xf numFmtId="0" fontId="22" fillId="2" borderId="3" xfId="5" applyFont="1" applyFill="1" applyBorder="1" applyAlignment="1">
      <alignment horizontal="center" vertical="center"/>
    </xf>
    <xf numFmtId="1" fontId="22" fillId="4" borderId="3" xfId="5" applyNumberFormat="1" applyFont="1" applyFill="1" applyBorder="1" applyAlignment="1" applyProtection="1">
      <alignment horizontal="center" vertical="center"/>
      <protection locked="0"/>
    </xf>
    <xf numFmtId="43" fontId="40" fillId="4" borderId="3" xfId="1" applyFont="1" applyFill="1" applyBorder="1" applyAlignment="1">
      <alignment vertical="center"/>
    </xf>
    <xf numFmtId="164" fontId="47" fillId="4" borderId="3" xfId="6" applyNumberFormat="1" applyFont="1" applyFill="1" applyBorder="1" applyAlignment="1">
      <alignment vertical="center"/>
    </xf>
    <xf numFmtId="164" fontId="40" fillId="4" borderId="3" xfId="6" applyNumberFormat="1" applyFont="1" applyFill="1" applyBorder="1" applyAlignment="1">
      <alignment vertical="center"/>
    </xf>
    <xf numFmtId="0" fontId="23" fillId="4" borderId="3" xfId="5" applyFont="1" applyFill="1" applyBorder="1" applyAlignment="1" applyProtection="1">
      <alignment vertical="center"/>
      <protection locked="0"/>
    </xf>
    <xf numFmtId="0" fontId="23" fillId="0" borderId="3" xfId="5" applyFont="1" applyBorder="1" applyAlignment="1" applyProtection="1">
      <alignment horizontal="center" vertical="center"/>
      <protection locked="0"/>
    </xf>
    <xf numFmtId="1" fontId="22" fillId="0" borderId="3" xfId="5" applyNumberFormat="1" applyFont="1" applyBorder="1" applyAlignment="1" applyProtection="1">
      <alignment horizontal="center" vertical="center"/>
      <protection locked="0"/>
    </xf>
    <xf numFmtId="43" fontId="40" fillId="0" borderId="3" xfId="1" applyFont="1" applyFill="1" applyBorder="1" applyAlignment="1">
      <alignment vertical="center"/>
    </xf>
    <xf numFmtId="164" fontId="47" fillId="0" borderId="3" xfId="6" applyNumberFormat="1" applyFont="1" applyFill="1" applyBorder="1" applyAlignment="1">
      <alignment vertical="center"/>
    </xf>
    <xf numFmtId="164" fontId="40" fillId="0" borderId="3" xfId="6" applyNumberFormat="1" applyFont="1" applyFill="1" applyBorder="1" applyAlignment="1">
      <alignment vertical="center"/>
    </xf>
    <xf numFmtId="0" fontId="65" fillId="31" borderId="1" xfId="0" applyFont="1" applyFill="1" applyBorder="1" applyAlignment="1" applyProtection="1">
      <alignment horizontal="center" vertical="center" wrapText="1"/>
      <protection hidden="1"/>
    </xf>
    <xf numFmtId="164" fontId="96" fillId="4" borderId="3" xfId="14" applyNumberFormat="1" applyFont="1" applyFill="1" applyBorder="1" applyAlignment="1">
      <alignment vertical="center"/>
    </xf>
    <xf numFmtId="164" fontId="96" fillId="0" borderId="0" xfId="10" applyNumberFormat="1" applyFont="1" applyFill="1" applyAlignment="1">
      <alignment vertical="center"/>
    </xf>
    <xf numFmtId="0" fontId="100" fillId="4" borderId="55" xfId="13" applyFont="1" applyFill="1" applyBorder="1" applyAlignment="1">
      <alignment vertical="center"/>
    </xf>
    <xf numFmtId="164" fontId="48" fillId="4" borderId="3" xfId="1" applyNumberFormat="1" applyFont="1" applyFill="1" applyBorder="1" applyAlignment="1">
      <alignment vertical="center"/>
    </xf>
    <xf numFmtId="164" fontId="96" fillId="4" borderId="3" xfId="1" applyNumberFormat="1" applyFont="1" applyFill="1" applyBorder="1" applyAlignment="1">
      <alignment vertical="center"/>
    </xf>
    <xf numFmtId="164" fontId="96" fillId="4" borderId="4" xfId="1" applyNumberFormat="1" applyFont="1" applyFill="1" applyBorder="1" applyAlignment="1">
      <alignment vertical="center"/>
    </xf>
    <xf numFmtId="9" fontId="19" fillId="0" borderId="3" xfId="0" applyNumberFormat="1" applyFont="1" applyBorder="1" applyAlignment="1">
      <alignment vertical="center"/>
    </xf>
    <xf numFmtId="9" fontId="66" fillId="2" borderId="1" xfId="0" applyNumberFormat="1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>
      <alignment vertical="center"/>
    </xf>
    <xf numFmtId="172" fontId="18" fillId="4" borderId="50" xfId="0" applyNumberFormat="1" applyFont="1" applyFill="1" applyBorder="1" applyAlignment="1">
      <alignment horizontal="left" vertical="center"/>
    </xf>
    <xf numFmtId="0" fontId="64" fillId="0" borderId="49" xfId="0" applyFont="1" applyBorder="1" applyAlignment="1">
      <alignment horizontal="centerContinuous" vertical="center" wrapText="1"/>
    </xf>
    <xf numFmtId="0" fontId="69" fillId="4" borderId="4" xfId="1" applyNumberFormat="1" applyFont="1" applyFill="1" applyBorder="1" applyAlignment="1">
      <alignment vertical="center"/>
    </xf>
    <xf numFmtId="0" fontId="64" fillId="21" borderId="15" xfId="0" applyFont="1" applyFill="1" applyBorder="1" applyAlignment="1">
      <alignment horizontal="center" vertical="center" wrapText="1"/>
    </xf>
    <xf numFmtId="0" fontId="31" fillId="21" borderId="15" xfId="0" applyFont="1" applyFill="1" applyBorder="1" applyAlignment="1">
      <alignment horizontal="center" vertical="center"/>
    </xf>
    <xf numFmtId="0" fontId="65" fillId="12" borderId="30" xfId="0" applyFont="1" applyFill="1" applyBorder="1" applyAlignment="1" applyProtection="1">
      <alignment horizontal="center" vertical="center" wrapText="1"/>
      <protection hidden="1"/>
    </xf>
    <xf numFmtId="43" fontId="65" fillId="12" borderId="31" xfId="1" applyFont="1" applyFill="1" applyBorder="1" applyAlignment="1" applyProtection="1">
      <alignment horizontal="center" vertical="center" wrapText="1"/>
      <protection hidden="1"/>
    </xf>
    <xf numFmtId="0" fontId="65" fillId="12" borderId="31" xfId="0" applyFont="1" applyFill="1" applyBorder="1" applyAlignment="1" applyProtection="1">
      <alignment horizontal="center" vertical="center" wrapText="1"/>
      <protection locked="0"/>
    </xf>
    <xf numFmtId="0" fontId="65" fillId="12" borderId="31" xfId="0" applyFont="1" applyFill="1" applyBorder="1" applyAlignment="1">
      <alignment horizontal="center" vertical="center" wrapText="1"/>
    </xf>
    <xf numFmtId="3" fontId="65" fillId="12" borderId="31" xfId="0" applyNumberFormat="1" applyFont="1" applyFill="1" applyBorder="1" applyAlignment="1" applyProtection="1">
      <alignment horizontal="center" vertical="center" wrapText="1"/>
      <protection hidden="1"/>
    </xf>
    <xf numFmtId="0" fontId="65" fillId="13" borderId="31" xfId="0" applyFont="1" applyFill="1" applyBorder="1" applyAlignment="1" applyProtection="1">
      <alignment horizontal="center" vertical="center" wrapText="1"/>
      <protection hidden="1"/>
    </xf>
    <xf numFmtId="0" fontId="65" fillId="14" borderId="31" xfId="0" applyFont="1" applyFill="1" applyBorder="1" applyAlignment="1" applyProtection="1">
      <alignment horizontal="center" vertical="center" wrapText="1"/>
      <protection hidden="1"/>
    </xf>
    <xf numFmtId="0" fontId="65" fillId="14" borderId="32" xfId="0" applyFont="1" applyFill="1" applyBorder="1" applyAlignment="1" applyProtection="1">
      <alignment horizontal="center" vertical="center" wrapText="1"/>
      <protection hidden="1"/>
    </xf>
    <xf numFmtId="0" fontId="30" fillId="2" borderId="26" xfId="0" applyFont="1" applyFill="1" applyBorder="1" applyAlignment="1" applyProtection="1">
      <alignment horizontal="center" vertical="center"/>
      <protection hidden="1"/>
    </xf>
    <xf numFmtId="0" fontId="30" fillId="0" borderId="1" xfId="4" applyFont="1" applyBorder="1" applyAlignment="1" applyProtection="1">
      <alignment horizontal="left" vertical="center" wrapText="1"/>
      <protection hidden="1"/>
    </xf>
    <xf numFmtId="0" fontId="30" fillId="0" borderId="1" xfId="4" applyFont="1" applyBorder="1" applyAlignment="1" applyProtection="1">
      <alignment horizontal="left" vertical="center"/>
      <protection hidden="1"/>
    </xf>
    <xf numFmtId="43" fontId="30" fillId="0" borderId="1" xfId="1" applyFont="1" applyFill="1" applyBorder="1" applyAlignment="1" applyProtection="1">
      <alignment horizontal="right" vertical="center" wrapText="1"/>
      <protection hidden="1"/>
    </xf>
    <xf numFmtId="9" fontId="30" fillId="0" borderId="1" xfId="10" applyFont="1" applyFill="1" applyBorder="1" applyAlignment="1" applyProtection="1">
      <alignment horizontal="center" vertical="center" wrapText="1"/>
      <protection hidden="1"/>
    </xf>
    <xf numFmtId="164" fontId="30" fillId="0" borderId="1" xfId="1" applyNumberFormat="1" applyFont="1" applyFill="1" applyBorder="1" applyAlignment="1" applyProtection="1">
      <alignment horizontal="left" vertical="center" wrapText="1"/>
      <protection hidden="1"/>
    </xf>
    <xf numFmtId="164" fontId="30" fillId="0" borderId="33" xfId="1" applyNumberFormat="1" applyFont="1" applyFill="1" applyBorder="1" applyAlignment="1" applyProtection="1">
      <alignment horizontal="left" vertical="center" wrapText="1"/>
      <protection hidden="1"/>
    </xf>
    <xf numFmtId="0" fontId="65" fillId="0" borderId="34" xfId="0" applyFont="1" applyBorder="1" applyAlignment="1">
      <alignment horizontal="center" vertical="center"/>
    </xf>
    <xf numFmtId="0" fontId="65" fillId="0" borderId="35" xfId="0" applyFont="1" applyBorder="1" applyAlignment="1">
      <alignment horizontal="center" vertical="center"/>
    </xf>
    <xf numFmtId="0" fontId="65" fillId="0" borderId="35" xfId="0" applyFont="1" applyBorder="1" applyAlignment="1">
      <alignment horizontal="right" vertical="center"/>
    </xf>
    <xf numFmtId="164" fontId="65" fillId="14" borderId="35" xfId="0" applyNumberFormat="1" applyFont="1" applyFill="1" applyBorder="1" applyAlignment="1">
      <alignment vertical="center"/>
    </xf>
    <xf numFmtId="164" fontId="65" fillId="14" borderId="36" xfId="0" applyNumberFormat="1" applyFont="1" applyFill="1" applyBorder="1" applyAlignment="1">
      <alignment vertical="center"/>
    </xf>
    <xf numFmtId="9" fontId="108" fillId="4" borderId="3" xfId="10" applyFont="1" applyFill="1" applyBorder="1" applyAlignment="1" applyProtection="1">
      <alignment horizontal="center" vertical="center"/>
      <protection hidden="1"/>
    </xf>
    <xf numFmtId="0" fontId="109" fillId="0" borderId="0" xfId="0" applyFont="1" applyAlignment="1">
      <alignment vertical="center"/>
    </xf>
    <xf numFmtId="0" fontId="109" fillId="0" borderId="0" xfId="0" applyFont="1" applyAlignment="1">
      <alignment horizontal="center" vertical="center"/>
    </xf>
    <xf numFmtId="0" fontId="72" fillId="0" borderId="0" xfId="0" applyFont="1" applyAlignment="1">
      <alignment vertical="center"/>
    </xf>
    <xf numFmtId="0" fontId="72" fillId="0" borderId="0" xfId="0" applyFont="1" applyAlignment="1">
      <alignment horizontal="center" vertical="center"/>
    </xf>
    <xf numFmtId="0" fontId="72" fillId="4" borderId="1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0" fontId="35" fillId="4" borderId="1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5" fillId="23" borderId="1" xfId="0" applyFont="1" applyFill="1" applyBorder="1" applyAlignment="1">
      <alignment vertical="center"/>
    </xf>
    <xf numFmtId="0" fontId="76" fillId="4" borderId="15" xfId="0" applyFont="1" applyFill="1" applyBorder="1" applyAlignment="1">
      <alignment horizontal="center" vertical="center" wrapText="1"/>
    </xf>
    <xf numFmtId="0" fontId="35" fillId="4" borderId="1" xfId="0" applyFont="1" applyFill="1" applyBorder="1" applyAlignment="1">
      <alignment vertical="center"/>
    </xf>
    <xf numFmtId="0" fontId="72" fillId="4" borderId="26" xfId="0" applyFont="1" applyFill="1" applyBorder="1" applyAlignment="1">
      <alignment horizontal="center" vertical="center"/>
    </xf>
    <xf numFmtId="14" fontId="35" fillId="4" borderId="1" xfId="0" applyNumberFormat="1" applyFont="1" applyFill="1" applyBorder="1" applyAlignment="1">
      <alignment horizontal="center" vertical="center"/>
    </xf>
    <xf numFmtId="0" fontId="72" fillId="0" borderId="1" xfId="0" applyFont="1" applyBorder="1" applyAlignment="1">
      <alignment horizontal="center" vertical="center"/>
    </xf>
    <xf numFmtId="0" fontId="35" fillId="7" borderId="1" xfId="0" applyFont="1" applyFill="1" applyBorder="1" applyAlignment="1">
      <alignment horizontal="center" vertical="center"/>
    </xf>
    <xf numFmtId="0" fontId="72" fillId="4" borderId="15" xfId="0" applyFont="1" applyFill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4" borderId="1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23" borderId="1" xfId="0" applyFont="1" applyFill="1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76" fillId="4" borderId="26" xfId="0" applyFont="1" applyFill="1" applyBorder="1" applyAlignment="1">
      <alignment horizontal="center" vertical="center" wrapText="1"/>
    </xf>
    <xf numFmtId="0" fontId="35" fillId="23" borderId="1" xfId="0" applyFont="1" applyFill="1" applyBorder="1" applyAlignment="1">
      <alignment vertical="center" wrapText="1"/>
    </xf>
    <xf numFmtId="0" fontId="34" fillId="7" borderId="1" xfId="0" applyFont="1" applyFill="1" applyBorder="1" applyAlignment="1">
      <alignment horizontal="center" vertical="center" wrapText="1"/>
    </xf>
    <xf numFmtId="0" fontId="35" fillId="4" borderId="1" xfId="0" applyFont="1" applyFill="1" applyBorder="1" applyAlignment="1">
      <alignment vertical="center" wrapText="1"/>
    </xf>
    <xf numFmtId="0" fontId="35" fillId="0" borderId="0" xfId="0" applyFont="1" applyAlignment="1">
      <alignment vertical="center" wrapText="1"/>
    </xf>
    <xf numFmtId="0" fontId="64" fillId="4" borderId="27" xfId="0" applyFont="1" applyFill="1" applyBorder="1" applyAlignment="1">
      <alignment horizontal="center" vertical="center" wrapText="1"/>
    </xf>
    <xf numFmtId="0" fontId="31" fillId="4" borderId="55" xfId="0" applyFont="1" applyFill="1" applyBorder="1" applyAlignment="1">
      <alignment horizontal="center" vertical="center"/>
    </xf>
    <xf numFmtId="0" fontId="31" fillId="0" borderId="59" xfId="0" applyFont="1" applyBorder="1" applyAlignment="1">
      <alignment horizontal="center" vertical="center"/>
    </xf>
    <xf numFmtId="0" fontId="14" fillId="0" borderId="39" xfId="3" applyFont="1" applyBorder="1" applyAlignment="1">
      <alignment horizontal="center" vertical="center" wrapText="1"/>
    </xf>
    <xf numFmtId="0" fontId="14" fillId="0" borderId="0" xfId="3" applyFont="1" applyAlignment="1">
      <alignment horizontal="center" vertical="center" wrapText="1"/>
    </xf>
    <xf numFmtId="0" fontId="0" fillId="0" borderId="39" xfId="0" applyBorder="1" applyAlignment="1">
      <alignment vertical="center"/>
    </xf>
    <xf numFmtId="0" fontId="31" fillId="0" borderId="39" xfId="0" applyFont="1" applyBorder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65" fillId="31" borderId="0" xfId="0" applyFont="1" applyFill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71" fillId="0" borderId="3" xfId="0" applyFont="1" applyBorder="1" applyAlignment="1">
      <alignment horizontal="center" vertical="center"/>
    </xf>
    <xf numFmtId="0" fontId="71" fillId="0" borderId="3" xfId="10" applyNumberFormat="1" applyFont="1" applyBorder="1" applyAlignment="1">
      <alignment horizontal="center" vertical="center"/>
    </xf>
    <xf numFmtId="9" fontId="83" fillId="0" borderId="3" xfId="10" applyFont="1" applyBorder="1" applyAlignment="1">
      <alignment horizontal="center" vertical="center"/>
    </xf>
    <xf numFmtId="0" fontId="71" fillId="0" borderId="4" xfId="0" applyFont="1" applyBorder="1" applyAlignment="1">
      <alignment horizontal="center" vertical="center"/>
    </xf>
    <xf numFmtId="0" fontId="71" fillId="0" borderId="4" xfId="10" applyNumberFormat="1" applyFont="1" applyBorder="1" applyAlignment="1">
      <alignment horizontal="center" vertical="center"/>
    </xf>
    <xf numFmtId="9" fontId="83" fillId="0" borderId="4" xfId="10" applyFont="1" applyBorder="1" applyAlignment="1">
      <alignment horizontal="center" vertical="center"/>
    </xf>
    <xf numFmtId="0" fontId="30" fillId="40" borderId="0" xfId="0" applyFont="1" applyFill="1" applyAlignment="1" applyProtection="1">
      <alignment horizontal="left" vertical="center"/>
      <protection hidden="1"/>
    </xf>
    <xf numFmtId="0" fontId="110" fillId="21" borderId="1" xfId="0" applyFont="1" applyFill="1" applyBorder="1" applyAlignment="1" applyProtection="1">
      <alignment vertical="center"/>
      <protection locked="0"/>
    </xf>
    <xf numFmtId="0" fontId="18" fillId="4" borderId="3" xfId="0" applyFont="1" applyFill="1" applyBorder="1" applyAlignment="1" applyProtection="1">
      <alignment vertical="center" wrapText="1"/>
      <protection hidden="1"/>
    </xf>
    <xf numFmtId="0" fontId="9" fillId="4" borderId="3" xfId="0" applyFont="1" applyFill="1" applyBorder="1" applyAlignment="1" applyProtection="1">
      <alignment vertical="center" wrapText="1"/>
      <protection hidden="1"/>
    </xf>
    <xf numFmtId="0" fontId="9" fillId="4" borderId="3" xfId="0" applyFont="1" applyFill="1" applyBorder="1" applyAlignment="1" applyProtection="1">
      <alignment horizontal="center" vertical="center" wrapText="1"/>
      <protection hidden="1"/>
    </xf>
    <xf numFmtId="43" fontId="0" fillId="0" borderId="1" xfId="1" applyFont="1" applyFill="1" applyBorder="1" applyAlignment="1" applyProtection="1">
      <alignment horizontal="center" vertical="center" wrapText="1"/>
    </xf>
    <xf numFmtId="0" fontId="30" fillId="15" borderId="0" xfId="0" applyFont="1" applyFill="1" applyAlignment="1" applyProtection="1">
      <alignment vertical="top" wrapText="1"/>
      <protection locked="0"/>
    </xf>
    <xf numFmtId="0" fontId="30" fillId="15" borderId="0" xfId="0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 vertical="center"/>
      <protection locked="0"/>
    </xf>
    <xf numFmtId="0" fontId="66" fillId="21" borderId="1" xfId="0" applyFont="1" applyFill="1" applyBorder="1" applyAlignment="1" applyProtection="1">
      <alignment vertical="center"/>
      <protection locked="0"/>
    </xf>
    <xf numFmtId="0" fontId="14" fillId="0" borderId="55" xfId="0" applyFont="1" applyBorder="1" applyAlignment="1">
      <alignment horizontal="center" vertical="center"/>
    </xf>
    <xf numFmtId="0" fontId="19" fillId="0" borderId="55" xfId="0" applyFont="1" applyBorder="1" applyAlignment="1">
      <alignment vertical="center"/>
    </xf>
    <xf numFmtId="0" fontId="19" fillId="0" borderId="62" xfId="0" applyFont="1" applyBorder="1" applyAlignment="1">
      <alignment vertical="center"/>
    </xf>
    <xf numFmtId="0" fontId="14" fillId="0" borderId="27" xfId="0" applyFont="1" applyBorder="1" applyAlignment="1">
      <alignment horizontal="center" vertical="center"/>
    </xf>
    <xf numFmtId="0" fontId="19" fillId="0" borderId="59" xfId="0" applyFont="1" applyBorder="1" applyAlignment="1">
      <alignment vertical="center"/>
    </xf>
    <xf numFmtId="0" fontId="65" fillId="0" borderId="0" xfId="0" applyFont="1" applyAlignment="1">
      <alignment vertical="center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63" xfId="0" applyBorder="1" applyAlignment="1">
      <alignment vertical="center"/>
    </xf>
    <xf numFmtId="0" fontId="0" fillId="0" borderId="63" xfId="0" applyBorder="1" applyAlignment="1" applyProtection="1">
      <alignment horizontal="center" vertical="center"/>
      <protection hidden="1"/>
    </xf>
    <xf numFmtId="0" fontId="9" fillId="0" borderId="63" xfId="0" applyFont="1" applyBorder="1" applyAlignment="1" applyProtection="1">
      <alignment horizontal="center" vertical="center"/>
      <protection hidden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 applyAlignment="1">
      <alignment vertical="center"/>
    </xf>
    <xf numFmtId="0" fontId="18" fillId="0" borderId="63" xfId="0" applyFont="1" applyBorder="1" applyAlignment="1">
      <alignment vertical="center"/>
    </xf>
    <xf numFmtId="0" fontId="0" fillId="0" borderId="63" xfId="0" applyBorder="1" applyAlignment="1">
      <alignment horizontal="center" vertical="center"/>
    </xf>
    <xf numFmtId="0" fontId="9" fillId="0" borderId="63" xfId="0" applyFont="1" applyBorder="1" applyAlignment="1">
      <alignment vertical="center"/>
    </xf>
    <xf numFmtId="0" fontId="12" fillId="31" borderId="63" xfId="0" applyFont="1" applyFill="1" applyBorder="1" applyAlignment="1" applyProtection="1">
      <alignment horizontal="center" vertical="center"/>
      <protection hidden="1"/>
    </xf>
    <xf numFmtId="43" fontId="5" fillId="0" borderId="3" xfId="0" applyNumberFormat="1" applyFont="1" applyBorder="1" applyAlignment="1" applyProtection="1">
      <alignment horizontal="center" vertical="center"/>
      <protection hidden="1"/>
    </xf>
    <xf numFmtId="0" fontId="19" fillId="0" borderId="55" xfId="0" applyFont="1" applyBorder="1" applyAlignment="1">
      <alignment horizontal="center" vertical="center"/>
    </xf>
    <xf numFmtId="43" fontId="71" fillId="0" borderId="23" xfId="1" applyFont="1" applyBorder="1" applyAlignment="1">
      <alignment vertical="center"/>
    </xf>
    <xf numFmtId="164" fontId="31" fillId="2" borderId="55" xfId="1" applyNumberFormat="1" applyFont="1" applyFill="1" applyBorder="1" applyAlignment="1" applyProtection="1">
      <alignment horizontal="center" vertical="center" wrapText="1"/>
      <protection hidden="1"/>
    </xf>
    <xf numFmtId="0" fontId="59" fillId="0" borderId="0" xfId="5" applyFont="1" applyAlignment="1">
      <alignment horizontal="center" vertical="center"/>
    </xf>
    <xf numFmtId="0" fontId="22" fillId="13" borderId="10" xfId="5" applyFont="1" applyFill="1" applyBorder="1" applyAlignment="1" applyProtection="1">
      <alignment horizontal="center" vertical="center"/>
      <protection locked="0"/>
    </xf>
    <xf numFmtId="0" fontId="23" fillId="13" borderId="1" xfId="5" applyFont="1" applyFill="1" applyBorder="1" applyAlignment="1" applyProtection="1">
      <alignment horizontal="center" vertical="center" wrapText="1"/>
      <protection locked="0"/>
    </xf>
    <xf numFmtId="0" fontId="22" fillId="13" borderId="1" xfId="7" applyFont="1" applyFill="1" applyBorder="1" applyAlignment="1">
      <alignment horizontal="left" vertical="center" wrapText="1"/>
    </xf>
    <xf numFmtId="43" fontId="22" fillId="13" borderId="1" xfId="1" applyFont="1" applyFill="1" applyBorder="1" applyAlignment="1" applyProtection="1">
      <alignment horizontal="center" vertical="center"/>
      <protection locked="0"/>
    </xf>
    <xf numFmtId="0" fontId="22" fillId="13" borderId="1" xfId="5" applyFont="1" applyFill="1" applyBorder="1" applyAlignment="1" applyProtection="1">
      <alignment horizontal="center" vertical="center"/>
      <protection locked="0"/>
    </xf>
    <xf numFmtId="43" fontId="24" fillId="13" borderId="1" xfId="1" applyFont="1" applyFill="1" applyBorder="1" applyAlignment="1">
      <alignment horizontal="center" vertical="center"/>
    </xf>
    <xf numFmtId="43" fontId="24" fillId="13" borderId="1" xfId="1" applyFont="1" applyFill="1" applyBorder="1" applyAlignment="1">
      <alignment vertical="center"/>
    </xf>
    <xf numFmtId="164" fontId="45" fillId="13" borderId="1" xfId="6" applyNumberFormat="1" applyFont="1" applyFill="1" applyBorder="1" applyAlignment="1" applyProtection="1">
      <alignment horizontal="center" vertical="center" wrapText="1"/>
      <protection locked="0"/>
    </xf>
    <xf numFmtId="164" fontId="45" fillId="13" borderId="11" xfId="6" applyNumberFormat="1" applyFont="1" applyFill="1" applyBorder="1" applyAlignment="1" applyProtection="1">
      <alignment horizontal="center" vertical="center" wrapText="1"/>
      <protection locked="0"/>
    </xf>
    <xf numFmtId="43" fontId="40" fillId="13" borderId="1" xfId="1" applyFont="1" applyFill="1" applyBorder="1" applyAlignment="1">
      <alignment vertical="center"/>
    </xf>
    <xf numFmtId="164" fontId="47" fillId="13" borderId="1" xfId="6" applyNumberFormat="1" applyFont="1" applyFill="1" applyBorder="1" applyAlignment="1">
      <alignment vertical="center"/>
    </xf>
    <xf numFmtId="164" fontId="47" fillId="13" borderId="15" xfId="6" applyNumberFormat="1" applyFont="1" applyFill="1" applyBorder="1" applyAlignment="1">
      <alignment vertical="center"/>
    </xf>
    <xf numFmtId="164" fontId="40" fillId="13" borderId="11" xfId="6" applyNumberFormat="1" applyFont="1" applyFill="1" applyBorder="1" applyAlignment="1">
      <alignment vertical="center"/>
    </xf>
    <xf numFmtId="9" fontId="40" fillId="13" borderId="29" xfId="10" applyFont="1" applyFill="1" applyBorder="1" applyAlignment="1">
      <alignment vertical="center"/>
    </xf>
    <xf numFmtId="43" fontId="40" fillId="13" borderId="29" xfId="1" applyFont="1" applyFill="1" applyBorder="1" applyAlignment="1">
      <alignment vertical="center"/>
    </xf>
    <xf numFmtId="164" fontId="47" fillId="13" borderId="29" xfId="6" applyNumberFormat="1" applyFont="1" applyFill="1" applyBorder="1" applyAlignment="1">
      <alignment vertical="center"/>
    </xf>
    <xf numFmtId="164" fontId="47" fillId="13" borderId="42" xfId="6" applyNumberFormat="1" applyFont="1" applyFill="1" applyBorder="1" applyAlignment="1">
      <alignment vertical="center"/>
    </xf>
    <xf numFmtId="164" fontId="40" fillId="13" borderId="58" xfId="6" applyNumberFormat="1" applyFont="1" applyFill="1" applyBorder="1" applyAlignment="1">
      <alignment vertical="center"/>
    </xf>
    <xf numFmtId="0" fontId="14" fillId="14" borderId="1" xfId="5" applyFont="1" applyFill="1" applyBorder="1" applyAlignment="1" applyProtection="1">
      <alignment horizontal="center" vertical="center" wrapText="1"/>
      <protection locked="0"/>
    </xf>
    <xf numFmtId="0" fontId="40" fillId="4" borderId="6" xfId="5" applyFont="1" applyFill="1" applyBorder="1" applyAlignment="1" applyProtection="1">
      <alignment vertical="center"/>
      <protection locked="0"/>
    </xf>
    <xf numFmtId="0" fontId="40" fillId="4" borderId="18" xfId="5" applyFont="1" applyFill="1" applyBorder="1" applyAlignment="1" applyProtection="1">
      <alignment vertical="center"/>
      <protection locked="0"/>
    </xf>
    <xf numFmtId="1" fontId="47" fillId="4" borderId="1" xfId="5" applyNumberFormat="1" applyFont="1" applyFill="1" applyBorder="1" applyAlignment="1" applyProtection="1">
      <alignment horizontal="center" vertical="center"/>
      <protection locked="0"/>
    </xf>
    <xf numFmtId="0" fontId="47" fillId="0" borderId="4" xfId="5" applyFont="1" applyBorder="1" applyAlignment="1">
      <alignment horizontal="center" vertical="center"/>
    </xf>
    <xf numFmtId="0" fontId="40" fillId="13" borderId="6" xfId="5" applyFont="1" applyFill="1" applyBorder="1" applyAlignment="1" applyProtection="1">
      <alignment vertical="center"/>
      <protection locked="0"/>
    </xf>
    <xf numFmtId="0" fontId="40" fillId="13" borderId="18" xfId="5" applyFont="1" applyFill="1" applyBorder="1" applyAlignment="1" applyProtection="1">
      <alignment vertical="center"/>
      <protection locked="0"/>
    </xf>
    <xf numFmtId="1" fontId="47" fillId="13" borderId="1" xfId="5" applyNumberFormat="1" applyFont="1" applyFill="1" applyBorder="1" applyAlignment="1" applyProtection="1">
      <alignment horizontal="center" vertical="center"/>
      <protection locked="0"/>
    </xf>
    <xf numFmtId="0" fontId="40" fillId="0" borderId="41" xfId="5" applyFont="1" applyBorder="1" applyAlignment="1" applyProtection="1">
      <alignment horizontal="center" vertical="center"/>
      <protection locked="0"/>
    </xf>
    <xf numFmtId="0" fontId="40" fillId="0" borderId="57" xfId="5" applyFont="1" applyBorder="1" applyAlignment="1" applyProtection="1">
      <alignment horizontal="center" vertical="center"/>
      <protection locked="0"/>
    </xf>
    <xf numFmtId="1" fontId="47" fillId="0" borderId="29" xfId="5" applyNumberFormat="1" applyFont="1" applyBorder="1" applyAlignment="1" applyProtection="1">
      <alignment horizontal="center" vertical="center"/>
      <protection locked="0"/>
    </xf>
    <xf numFmtId="0" fontId="20" fillId="0" borderId="0" xfId="5" applyFont="1" applyAlignment="1">
      <alignment horizontal="center" vertical="center"/>
    </xf>
    <xf numFmtId="0" fontId="40" fillId="13" borderId="41" xfId="5" applyFont="1" applyFill="1" applyBorder="1" applyAlignment="1" applyProtection="1">
      <alignment horizontal="center" vertical="center"/>
      <protection locked="0"/>
    </xf>
    <xf numFmtId="0" fontId="40" fillId="13" borderId="57" xfId="5" applyFont="1" applyFill="1" applyBorder="1" applyAlignment="1" applyProtection="1">
      <alignment horizontal="center" vertical="center"/>
      <protection locked="0"/>
    </xf>
    <xf numFmtId="1" fontId="47" fillId="13" borderId="29" xfId="5" applyNumberFormat="1" applyFont="1" applyFill="1" applyBorder="1" applyAlignment="1" applyProtection="1">
      <alignment horizontal="center" vertical="center"/>
      <protection locked="0"/>
    </xf>
    <xf numFmtId="0" fontId="47" fillId="13" borderId="0" xfId="5" applyFont="1" applyFill="1" applyAlignment="1">
      <alignment vertical="center"/>
    </xf>
    <xf numFmtId="0" fontId="20" fillId="0" borderId="0" xfId="5" applyFont="1" applyAlignment="1" applyProtection="1">
      <alignment vertical="center"/>
      <protection hidden="1"/>
    </xf>
    <xf numFmtId="164" fontId="113" fillId="0" borderId="0" xfId="5" applyNumberFormat="1" applyFont="1" applyAlignment="1" applyProtection="1">
      <alignment vertical="center"/>
      <protection hidden="1"/>
    </xf>
    <xf numFmtId="0" fontId="39" fillId="0" borderId="0" xfId="5" applyFont="1" applyAlignment="1" applyProtection="1">
      <alignment vertical="center"/>
      <protection hidden="1"/>
    </xf>
    <xf numFmtId="0" fontId="39" fillId="0" borderId="0" xfId="5" applyFont="1" applyAlignment="1" applyProtection="1">
      <alignment horizontal="right" vertical="center"/>
      <protection hidden="1"/>
    </xf>
    <xf numFmtId="164" fontId="113" fillId="2" borderId="0" xfId="5" applyNumberFormat="1" applyFont="1" applyFill="1" applyAlignment="1">
      <alignment vertical="center"/>
    </xf>
    <xf numFmtId="0" fontId="0" fillId="0" borderId="68" xfId="0" applyBorder="1"/>
    <xf numFmtId="0" fontId="0" fillId="0" borderId="69" xfId="0" applyBorder="1"/>
    <xf numFmtId="0" fontId="0" fillId="0" borderId="54" xfId="0" applyBorder="1"/>
    <xf numFmtId="0" fontId="0" fillId="0" borderId="50" xfId="0" applyBorder="1"/>
    <xf numFmtId="0" fontId="0" fillId="0" borderId="70" xfId="0" applyBorder="1"/>
    <xf numFmtId="0" fontId="0" fillId="0" borderId="71" xfId="0" applyBorder="1"/>
    <xf numFmtId="0" fontId="19" fillId="0" borderId="63" xfId="0" applyFont="1" applyBorder="1" applyAlignment="1">
      <alignment horizontal="center" vertical="center" wrapText="1"/>
    </xf>
    <xf numFmtId="0" fontId="0" fillId="0" borderId="24" xfId="0" applyBorder="1"/>
    <xf numFmtId="0" fontId="31" fillId="21" borderId="61" xfId="0" applyFont="1" applyFill="1" applyBorder="1" applyAlignment="1" applyProtection="1">
      <alignment vertical="center" wrapText="1"/>
      <protection locked="0"/>
    </xf>
    <xf numFmtId="0" fontId="12" fillId="0" borderId="0" xfId="0" applyFont="1" applyAlignment="1">
      <alignment horizontal="left" vertical="center"/>
    </xf>
    <xf numFmtId="0" fontId="65" fillId="0" borderId="3" xfId="0" applyFont="1" applyBorder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0" fillId="0" borderId="4" xfId="0" applyBorder="1" applyAlignment="1" applyProtection="1">
      <alignment horizontal="left" vertical="center"/>
      <protection hidden="1"/>
    </xf>
    <xf numFmtId="0" fontId="0" fillId="0" borderId="0" xfId="0" applyAlignment="1">
      <alignment horizontal="left" vertical="center"/>
    </xf>
    <xf numFmtId="0" fontId="18" fillId="8" borderId="15" xfId="0" applyFont="1" applyFill="1" applyBorder="1" applyAlignment="1">
      <alignment horizontal="center" vertical="center" wrapText="1"/>
    </xf>
    <xf numFmtId="0" fontId="9" fillId="8" borderId="15" xfId="0" applyFont="1" applyFill="1" applyBorder="1" applyAlignment="1">
      <alignment vertical="center"/>
    </xf>
    <xf numFmtId="0" fontId="18" fillId="8" borderId="15" xfId="0" applyFont="1" applyFill="1" applyBorder="1" applyAlignment="1">
      <alignment horizontal="center" vertical="center"/>
    </xf>
    <xf numFmtId="0" fontId="7" fillId="31" borderId="0" xfId="0" applyFont="1" applyFill="1" applyAlignment="1">
      <alignment horizontal="center" vertical="center"/>
    </xf>
    <xf numFmtId="165" fontId="22" fillId="0" borderId="1" xfId="1" applyNumberFormat="1" applyFont="1" applyBorder="1" applyAlignment="1" applyProtection="1">
      <alignment horizontal="center" vertical="center"/>
      <protection locked="0"/>
    </xf>
    <xf numFmtId="165" fontId="24" fillId="0" borderId="1" xfId="1" applyNumberFormat="1" applyFont="1" applyFill="1" applyBorder="1" applyAlignment="1">
      <alignment vertical="center"/>
    </xf>
    <xf numFmtId="165" fontId="40" fillId="4" borderId="1" xfId="1" applyNumberFormat="1" applyFont="1" applyFill="1" applyBorder="1" applyAlignment="1">
      <alignment vertical="center"/>
    </xf>
    <xf numFmtId="0" fontId="70" fillId="0" borderId="2" xfId="3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65" fillId="0" borderId="2" xfId="0" applyFont="1" applyBorder="1" applyAlignment="1">
      <alignment horizontal="center" vertical="center" wrapText="1"/>
    </xf>
    <xf numFmtId="0" fontId="64" fillId="0" borderId="0" xfId="0" applyFont="1" applyAlignment="1">
      <alignment horizontal="center" vertical="center" wrapText="1"/>
    </xf>
    <xf numFmtId="0" fontId="31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2" fontId="18" fillId="0" borderId="0" xfId="0" applyNumberFormat="1" applyFont="1" applyAlignment="1">
      <alignment horizontal="center" vertical="center" wrapText="1"/>
    </xf>
    <xf numFmtId="0" fontId="30" fillId="0" borderId="3" xfId="0" applyFont="1" applyBorder="1" applyAlignment="1">
      <alignment horizontal="left" vertical="center" wrapText="1"/>
    </xf>
    <xf numFmtId="0" fontId="30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14" fillId="19" borderId="27" xfId="3" applyFont="1" applyFill="1" applyBorder="1" applyAlignment="1">
      <alignment horizontal="center" vertical="center" wrapText="1"/>
    </xf>
    <xf numFmtId="164" fontId="0" fillId="0" borderId="55" xfId="1" applyNumberFormat="1" applyFont="1" applyBorder="1" applyAlignment="1">
      <alignment vertical="center" wrapText="1"/>
    </xf>
    <xf numFmtId="164" fontId="18" fillId="0" borderId="55" xfId="0" applyNumberFormat="1" applyFont="1" applyBorder="1" applyAlignment="1">
      <alignment vertical="center"/>
    </xf>
    <xf numFmtId="164" fontId="18" fillId="0" borderId="55" xfId="0" applyNumberFormat="1" applyFont="1" applyBorder="1" applyAlignment="1">
      <alignment vertical="center" wrapText="1"/>
    </xf>
    <xf numFmtId="164" fontId="18" fillId="0" borderId="59" xfId="0" applyNumberFormat="1" applyFont="1" applyBorder="1" applyAlignment="1">
      <alignment vertical="center" wrapText="1"/>
    </xf>
    <xf numFmtId="0" fontId="14" fillId="0" borderId="32" xfId="3" applyFont="1" applyBorder="1" applyAlignment="1">
      <alignment horizontal="center" vertical="center" wrapText="1"/>
    </xf>
    <xf numFmtId="0" fontId="30" fillId="0" borderId="33" xfId="0" applyFont="1" applyBorder="1" applyAlignment="1">
      <alignment horizontal="left" vertical="center" wrapText="1"/>
    </xf>
    <xf numFmtId="164" fontId="18" fillId="0" borderId="33" xfId="0" applyNumberFormat="1" applyFont="1" applyBorder="1" applyAlignment="1">
      <alignment vertical="center" wrapText="1"/>
    </xf>
    <xf numFmtId="164" fontId="18" fillId="0" borderId="36" xfId="0" applyNumberFormat="1" applyFont="1" applyBorder="1" applyAlignment="1">
      <alignment vertical="center" wrapText="1"/>
    </xf>
    <xf numFmtId="0" fontId="38" fillId="0" borderId="49" xfId="0" applyFont="1" applyBorder="1" applyAlignment="1">
      <alignment horizontal="center" vertical="center" wrapText="1"/>
    </xf>
    <xf numFmtId="0" fontId="38" fillId="0" borderId="49" xfId="0" applyFont="1" applyBorder="1" applyAlignment="1">
      <alignment vertical="center"/>
    </xf>
    <xf numFmtId="0" fontId="38" fillId="0" borderId="0" xfId="0" applyFont="1" applyAlignment="1">
      <alignment vertical="center" wrapText="1"/>
    </xf>
    <xf numFmtId="164" fontId="18" fillId="0" borderId="4" xfId="1" applyNumberFormat="1" applyFont="1" applyBorder="1" applyAlignment="1">
      <alignment vertical="center" wrapText="1"/>
    </xf>
    <xf numFmtId="0" fontId="30" fillId="0" borderId="0" xfId="0" applyFont="1" applyAlignment="1">
      <alignment horizontal="left" vertical="center" wrapText="1"/>
    </xf>
    <xf numFmtId="0" fontId="30" fillId="0" borderId="4" xfId="0" applyFont="1" applyBorder="1" applyAlignment="1">
      <alignment horizontal="left" vertical="center" wrapText="1"/>
    </xf>
    <xf numFmtId="0" fontId="0" fillId="0" borderId="3" xfId="0" applyBorder="1" applyAlignment="1" applyProtection="1">
      <alignment horizontal="right" vertical="center" wrapText="1"/>
      <protection hidden="1"/>
    </xf>
    <xf numFmtId="0" fontId="9" fillId="21" borderId="61" xfId="0" applyFont="1" applyFill="1" applyBorder="1" applyAlignment="1" applyProtection="1">
      <alignment vertical="center"/>
      <protection locked="0"/>
    </xf>
    <xf numFmtId="0" fontId="22" fillId="0" borderId="1" xfId="5" applyFont="1" applyBorder="1" applyAlignment="1" applyProtection="1">
      <alignment horizontal="center" vertical="center" wrapText="1"/>
      <protection locked="0"/>
    </xf>
    <xf numFmtId="0" fontId="65" fillId="2" borderId="0" xfId="0" applyFont="1" applyFill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left" vertical="center"/>
      <protection locked="0"/>
    </xf>
    <xf numFmtId="0" fontId="68" fillId="2" borderId="0" xfId="0" applyFont="1" applyFill="1" applyAlignment="1" applyProtection="1">
      <alignment horizontal="left" vertical="center"/>
      <protection locked="0"/>
    </xf>
    <xf numFmtId="0" fontId="30" fillId="2" borderId="1" xfId="0" applyFont="1" applyFill="1" applyBorder="1" applyAlignment="1" applyProtection="1">
      <alignment horizontal="left" vertical="center"/>
      <protection locked="0"/>
    </xf>
    <xf numFmtId="0" fontId="31" fillId="2" borderId="1" xfId="0" applyFont="1" applyFill="1" applyBorder="1" applyAlignment="1" applyProtection="1">
      <alignment horizontal="left" vertical="center"/>
      <protection locked="0"/>
    </xf>
    <xf numFmtId="164" fontId="30" fillId="2" borderId="1" xfId="0" applyNumberFormat="1" applyFont="1" applyFill="1" applyBorder="1" applyAlignment="1" applyProtection="1">
      <alignment horizontal="left" vertical="center"/>
      <protection locked="0"/>
    </xf>
    <xf numFmtId="0" fontId="65" fillId="2" borderId="1" xfId="0" applyFont="1" applyFill="1" applyBorder="1" applyAlignment="1" applyProtection="1">
      <alignment horizontal="left" vertical="center"/>
      <protection locked="0"/>
    </xf>
    <xf numFmtId="0" fontId="65" fillId="2" borderId="1" xfId="0" applyFont="1" applyFill="1" applyBorder="1" applyAlignment="1" applyProtection="1">
      <alignment horizontal="right" vertical="center"/>
      <protection locked="0"/>
    </xf>
    <xf numFmtId="164" fontId="65" fillId="2" borderId="1" xfId="0" applyNumberFormat="1" applyFont="1" applyFill="1" applyBorder="1" applyAlignment="1" applyProtection="1">
      <alignment horizontal="left" vertical="center"/>
      <protection locked="0"/>
    </xf>
    <xf numFmtId="164" fontId="64" fillId="2" borderId="1" xfId="0" applyNumberFormat="1" applyFont="1" applyFill="1" applyBorder="1" applyAlignment="1" applyProtection="1">
      <alignment horizontal="left" vertical="center"/>
      <protection locked="0"/>
    </xf>
    <xf numFmtId="0" fontId="30" fillId="2" borderId="1" xfId="0" applyFont="1" applyFill="1" applyBorder="1" applyAlignment="1" applyProtection="1">
      <alignment horizontal="right" vertical="center"/>
      <protection locked="0"/>
    </xf>
    <xf numFmtId="164" fontId="30" fillId="15" borderId="1" xfId="0" applyNumberFormat="1" applyFont="1" applyFill="1" applyBorder="1" applyAlignment="1" applyProtection="1">
      <alignment horizontal="left" vertical="center"/>
      <protection locked="0"/>
    </xf>
    <xf numFmtId="164" fontId="30" fillId="2" borderId="0" xfId="1" applyNumberFormat="1" applyFont="1" applyFill="1" applyAlignment="1" applyProtection="1">
      <alignment horizontal="left" vertical="center"/>
      <protection locked="0"/>
    </xf>
    <xf numFmtId="164" fontId="30" fillId="2" borderId="0" xfId="1" applyNumberFormat="1" applyFont="1" applyFill="1" applyAlignment="1" applyProtection="1">
      <alignment horizontal="center" vertical="center"/>
      <protection locked="0"/>
    </xf>
    <xf numFmtId="0" fontId="65" fillId="4" borderId="0" xfId="0" applyFont="1" applyFill="1" applyAlignment="1" applyProtection="1">
      <alignment horizontal="left" vertical="center"/>
      <protection locked="0"/>
    </xf>
    <xf numFmtId="0" fontId="30" fillId="4" borderId="1" xfId="0" applyFont="1" applyFill="1" applyBorder="1" applyAlignment="1" applyProtection="1">
      <alignment horizontal="left" vertical="center"/>
      <protection locked="0"/>
    </xf>
    <xf numFmtId="0" fontId="30" fillId="2" borderId="15" xfId="0" applyFont="1" applyFill="1" applyBorder="1" applyAlignment="1" applyProtection="1">
      <alignment horizontal="left" vertical="center"/>
      <protection locked="0"/>
    </xf>
    <xf numFmtId="0" fontId="65" fillId="2" borderId="15" xfId="0" applyFont="1" applyFill="1" applyBorder="1" applyAlignment="1" applyProtection="1">
      <alignment horizontal="left" vertical="center"/>
      <protection locked="0"/>
    </xf>
    <xf numFmtId="164" fontId="65" fillId="8" borderId="15" xfId="0" applyNumberFormat="1" applyFont="1" applyFill="1" applyBorder="1" applyAlignment="1" applyProtection="1">
      <alignment horizontal="center" vertical="center"/>
      <protection hidden="1"/>
    </xf>
    <xf numFmtId="0" fontId="5" fillId="2" borderId="15" xfId="0" applyFont="1" applyFill="1" applyBorder="1" applyAlignment="1" applyProtection="1">
      <alignment horizontal="left" vertical="center"/>
      <protection locked="0"/>
    </xf>
    <xf numFmtId="49" fontId="29" fillId="4" borderId="10" xfId="0" applyNumberFormat="1" applyFont="1" applyFill="1" applyBorder="1" applyAlignment="1" applyProtection="1">
      <alignment horizontal="center" vertical="center" wrapText="1"/>
      <protection hidden="1"/>
    </xf>
    <xf numFmtId="0" fontId="30" fillId="2" borderId="1" xfId="0" applyFont="1" applyFill="1" applyBorder="1" applyAlignment="1" applyProtection="1">
      <alignment horizontal="right" vertical="center" wrapText="1"/>
      <protection hidden="1"/>
    </xf>
    <xf numFmtId="0" fontId="29" fillId="4" borderId="10" xfId="0" applyFont="1" applyFill="1" applyBorder="1" applyAlignment="1" applyProtection="1">
      <alignment horizontal="center" vertical="center"/>
      <protection hidden="1"/>
    </xf>
    <xf numFmtId="0" fontId="114" fillId="4" borderId="11" xfId="0" applyFont="1" applyFill="1" applyBorder="1" applyAlignment="1" applyProtection="1">
      <alignment horizontal="left" vertical="center"/>
      <protection hidden="1"/>
    </xf>
    <xf numFmtId="0" fontId="114" fillId="2" borderId="0" xfId="0" applyFont="1" applyFill="1" applyAlignment="1" applyProtection="1">
      <alignment horizontal="left" vertical="center"/>
      <protection hidden="1"/>
    </xf>
    <xf numFmtId="0" fontId="114" fillId="4" borderId="14" xfId="0" applyFont="1" applyFill="1" applyBorder="1" applyAlignment="1" applyProtection="1">
      <alignment horizontal="left" vertical="center"/>
      <protection hidden="1"/>
    </xf>
    <xf numFmtId="0" fontId="29" fillId="4" borderId="10" xfId="0" applyFont="1" applyFill="1" applyBorder="1" applyAlignment="1" applyProtection="1">
      <alignment horizontal="center" vertical="center" wrapText="1"/>
      <protection hidden="1"/>
    </xf>
    <xf numFmtId="0" fontId="114" fillId="4" borderId="11" xfId="0" applyFont="1" applyFill="1" applyBorder="1" applyAlignment="1" applyProtection="1">
      <alignment horizontal="left" vertical="center" wrapText="1"/>
      <protection hidden="1"/>
    </xf>
    <xf numFmtId="0" fontId="115" fillId="2" borderId="0" xfId="0" applyFont="1" applyFill="1" applyAlignment="1" applyProtection="1">
      <alignment horizontal="left" vertical="center"/>
      <protection hidden="1"/>
    </xf>
    <xf numFmtId="43" fontId="114" fillId="4" borderId="11" xfId="1" applyFont="1" applyFill="1" applyBorder="1" applyAlignment="1" applyProtection="1">
      <alignment horizontal="left" vertical="center"/>
      <protection hidden="1"/>
    </xf>
    <xf numFmtId="164" fontId="13" fillId="21" borderId="1" xfId="1" applyNumberFormat="1" applyFont="1" applyFill="1" applyBorder="1" applyAlignment="1" applyProtection="1">
      <alignment horizontal="left" vertical="center" wrapText="1"/>
      <protection locked="0"/>
    </xf>
    <xf numFmtId="0" fontId="48" fillId="13" borderId="20" xfId="5" applyFont="1" applyFill="1" applyBorder="1" applyAlignment="1">
      <alignment horizontal="center" vertical="center"/>
    </xf>
    <xf numFmtId="0" fontId="48" fillId="0" borderId="20" xfId="5" applyFont="1" applyBorder="1" applyAlignment="1">
      <alignment horizontal="center" vertical="center"/>
    </xf>
    <xf numFmtId="165" fontId="24" fillId="0" borderId="1" xfId="1" applyNumberFormat="1" applyFont="1" applyFill="1" applyBorder="1" applyAlignment="1">
      <alignment horizontal="center" vertical="center"/>
    </xf>
    <xf numFmtId="165" fontId="40" fillId="4" borderId="1" xfId="1" applyNumberFormat="1" applyFont="1" applyFill="1" applyBorder="1" applyAlignment="1">
      <alignment horizontal="center" vertical="center"/>
    </xf>
    <xf numFmtId="165" fontId="40" fillId="4" borderId="18" xfId="1" applyNumberFormat="1" applyFont="1" applyFill="1" applyBorder="1" applyAlignment="1" applyProtection="1">
      <alignment vertical="center"/>
      <protection locked="0"/>
    </xf>
    <xf numFmtId="0" fontId="48" fillId="0" borderId="4" xfId="5" applyFont="1" applyBorder="1" applyAlignment="1">
      <alignment horizontal="center" vertical="center"/>
    </xf>
    <xf numFmtId="43" fontId="10" fillId="0" borderId="0" xfId="0" applyNumberFormat="1" applyFont="1" applyAlignment="1" applyProtection="1">
      <alignment vertical="center"/>
      <protection locked="0"/>
    </xf>
    <xf numFmtId="43" fontId="5" fillId="2" borderId="0" xfId="0" applyNumberFormat="1" applyFont="1" applyFill="1" applyAlignment="1" applyProtection="1">
      <alignment horizontal="left" vertical="center"/>
      <protection locked="0"/>
    </xf>
    <xf numFmtId="9" fontId="40" fillId="0" borderId="56" xfId="10" applyFont="1" applyFill="1" applyBorder="1" applyAlignment="1">
      <alignment vertical="center"/>
    </xf>
    <xf numFmtId="9" fontId="40" fillId="0" borderId="3" xfId="10" applyFont="1" applyFill="1" applyBorder="1" applyAlignment="1">
      <alignment vertical="center"/>
    </xf>
    <xf numFmtId="0" fontId="0" fillId="40" borderId="3" xfId="0" applyFill="1" applyBorder="1" applyAlignment="1" applyProtection="1">
      <alignment horizontal="center" vertical="center"/>
      <protection hidden="1"/>
    </xf>
    <xf numFmtId="0" fontId="0" fillId="40" borderId="3" xfId="0" applyFill="1" applyBorder="1" applyAlignment="1" applyProtection="1">
      <alignment vertical="center"/>
      <protection hidden="1"/>
    </xf>
    <xf numFmtId="0" fontId="0" fillId="40" borderId="3" xfId="0" applyFill="1" applyBorder="1" applyAlignment="1" applyProtection="1">
      <alignment vertical="center" wrapText="1"/>
      <protection hidden="1"/>
    </xf>
    <xf numFmtId="0" fontId="5" fillId="40" borderId="3" xfId="0" applyFont="1" applyFill="1" applyBorder="1" applyAlignment="1" applyProtection="1">
      <alignment vertical="center"/>
      <protection hidden="1"/>
    </xf>
    <xf numFmtId="0" fontId="18" fillId="40" borderId="3" xfId="0" applyFont="1" applyFill="1" applyBorder="1" applyAlignment="1" applyProtection="1">
      <alignment vertical="center"/>
      <protection hidden="1"/>
    </xf>
    <xf numFmtId="164" fontId="9" fillId="40" borderId="3" xfId="1" applyNumberFormat="1" applyFont="1" applyFill="1" applyBorder="1" applyAlignment="1" applyProtection="1">
      <alignment vertical="center"/>
      <protection hidden="1"/>
    </xf>
    <xf numFmtId="9" fontId="30" fillId="40" borderId="3" xfId="0" applyNumberFormat="1" applyFont="1" applyFill="1" applyBorder="1" applyAlignment="1" applyProtection="1">
      <alignment vertical="center"/>
      <protection hidden="1"/>
    </xf>
    <xf numFmtId="0" fontId="30" fillId="40" borderId="3" xfId="0" applyFont="1" applyFill="1" applyBorder="1" applyAlignment="1" applyProtection="1">
      <alignment vertical="center"/>
      <protection hidden="1"/>
    </xf>
    <xf numFmtId="0" fontId="9" fillId="40" borderId="3" xfId="0" applyFont="1" applyFill="1" applyBorder="1" applyAlignment="1" applyProtection="1">
      <alignment horizontal="center" vertical="center"/>
      <protection hidden="1"/>
    </xf>
    <xf numFmtId="0" fontId="9" fillId="40" borderId="3" xfId="0" applyFont="1" applyFill="1" applyBorder="1" applyAlignment="1" applyProtection="1">
      <alignment horizontal="left" vertical="center"/>
      <protection hidden="1"/>
    </xf>
    <xf numFmtId="0" fontId="31" fillId="40" borderId="54" xfId="0" applyFont="1" applyFill="1" applyBorder="1" applyAlignment="1" applyProtection="1">
      <alignment horizontal="center" vertical="center"/>
      <protection hidden="1"/>
    </xf>
    <xf numFmtId="0" fontId="65" fillId="40" borderId="3" xfId="0" applyFont="1" applyFill="1" applyBorder="1" applyAlignment="1" applyProtection="1">
      <alignment horizontal="left" vertical="center"/>
      <protection hidden="1"/>
    </xf>
    <xf numFmtId="0" fontId="30" fillId="40" borderId="0" xfId="0" applyFont="1" applyFill="1" applyAlignment="1">
      <alignment horizontal="center" vertical="center"/>
    </xf>
    <xf numFmtId="0" fontId="64" fillId="40" borderId="0" xfId="0" applyFont="1" applyFill="1" applyAlignment="1">
      <alignment horizontal="center" vertical="center"/>
    </xf>
    <xf numFmtId="0" fontId="0" fillId="40" borderId="0" xfId="0" applyFill="1" applyAlignment="1">
      <alignment vertical="center"/>
    </xf>
    <xf numFmtId="164" fontId="18" fillId="0" borderId="3" xfId="1" applyNumberFormat="1" applyFont="1" applyFill="1" applyBorder="1" applyAlignment="1" applyProtection="1">
      <alignment horizontal="right" vertical="center"/>
      <protection hidden="1"/>
    </xf>
    <xf numFmtId="0" fontId="19" fillId="0" borderId="1" xfId="0" applyFont="1" applyBorder="1" applyAlignment="1">
      <alignment vertical="center" wrapText="1"/>
    </xf>
    <xf numFmtId="164" fontId="12" fillId="2" borderId="10" xfId="1" applyNumberFormat="1" applyFont="1" applyFill="1" applyBorder="1" applyAlignment="1" applyProtection="1">
      <alignment horizontal="left" vertical="center" wrapText="1"/>
    </xf>
    <xf numFmtId="0" fontId="35" fillId="2" borderId="0" xfId="0" applyFont="1" applyFill="1" applyAlignment="1" applyProtection="1">
      <alignment horizontal="right" vertical="center"/>
      <protection locked="0"/>
    </xf>
    <xf numFmtId="0" fontId="34" fillId="2" borderId="0" xfId="0" applyFont="1" applyFill="1" applyAlignment="1" applyProtection="1">
      <alignment horizontal="right" vertical="center"/>
      <protection locked="0"/>
    </xf>
    <xf numFmtId="0" fontId="31" fillId="2" borderId="0" xfId="0" applyFont="1" applyFill="1" applyAlignment="1" applyProtection="1">
      <alignment horizontal="left" vertical="center" wrapText="1"/>
      <protection hidden="1"/>
    </xf>
    <xf numFmtId="0" fontId="7" fillId="4" borderId="7" xfId="0" applyFont="1" applyFill="1" applyBorder="1" applyAlignment="1" applyProtection="1">
      <alignment horizontal="center" vertical="center"/>
      <protection hidden="1"/>
    </xf>
    <xf numFmtId="0" fontId="7" fillId="4" borderId="9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14" fontId="95" fillId="0" borderId="0" xfId="0" applyNumberFormat="1" applyFont="1" applyAlignment="1" applyProtection="1">
      <alignment horizontal="left" vertical="top" wrapText="1"/>
      <protection hidden="1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51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03" fillId="0" borderId="5" xfId="13" applyFont="1" applyBorder="1" applyAlignment="1">
      <alignment horizontal="center" vertical="center"/>
    </xf>
    <xf numFmtId="0" fontId="48" fillId="0" borderId="27" xfId="13" applyFont="1" applyBorder="1" applyAlignment="1">
      <alignment horizontal="center" vertical="center" wrapText="1"/>
    </xf>
    <xf numFmtId="0" fontId="48" fillId="0" borderId="28" xfId="13" applyFont="1" applyBorder="1" applyAlignment="1">
      <alignment horizontal="center" vertical="center" wrapText="1"/>
    </xf>
    <xf numFmtId="0" fontId="48" fillId="0" borderId="25" xfId="13" applyFont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43" fontId="15" fillId="0" borderId="0" xfId="1" applyFont="1" applyBorder="1" applyAlignment="1">
      <alignment horizontal="center" vertical="center"/>
    </xf>
    <xf numFmtId="43" fontId="70" fillId="0" borderId="54" xfId="1" applyFont="1" applyBorder="1" applyAlignment="1">
      <alignment horizontal="center" vertical="center"/>
    </xf>
    <xf numFmtId="43" fontId="70" fillId="0" borderId="0" xfId="1" applyFont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60" xfId="0" applyFont="1" applyFill="1" applyBorder="1" applyAlignment="1">
      <alignment horizontal="center" vertical="center"/>
    </xf>
    <xf numFmtId="0" fontId="16" fillId="3" borderId="24" xfId="0" applyFont="1" applyFill="1" applyBorder="1" applyAlignment="1">
      <alignment horizontal="center" vertical="center"/>
    </xf>
    <xf numFmtId="0" fontId="29" fillId="0" borderId="5" xfId="0" applyFont="1" applyBorder="1" applyAlignment="1" applyProtection="1">
      <alignment horizontal="center" vertical="center"/>
      <protection hidden="1"/>
    </xf>
    <xf numFmtId="0" fontId="29" fillId="0" borderId="5" xfId="0" applyFont="1" applyBorder="1" applyAlignment="1" applyProtection="1">
      <alignment horizontal="center" vertical="center" wrapText="1"/>
      <protection hidden="1"/>
    </xf>
    <xf numFmtId="0" fontId="18" fillId="0" borderId="5" xfId="0" applyFont="1" applyBorder="1" applyAlignment="1" applyProtection="1">
      <alignment horizontal="center" vertical="center"/>
      <protection hidden="1"/>
    </xf>
    <xf numFmtId="0" fontId="86" fillId="0" borderId="0" xfId="0" applyFont="1" applyAlignment="1">
      <alignment horizontal="center" vertical="center"/>
    </xf>
    <xf numFmtId="165" fontId="14" fillId="15" borderId="8" xfId="6" applyNumberFormat="1" applyFont="1" applyFill="1" applyBorder="1" applyAlignment="1" applyProtection="1">
      <alignment horizontal="center" vertical="center" wrapText="1"/>
      <protection locked="0"/>
    </xf>
    <xf numFmtId="165" fontId="14" fillId="15" borderId="1" xfId="6" applyNumberFormat="1" applyFont="1" applyFill="1" applyBorder="1" applyAlignment="1" applyProtection="1">
      <alignment horizontal="center" vertical="center" wrapText="1"/>
      <protection locked="0"/>
    </xf>
    <xf numFmtId="1" fontId="14" fillId="15" borderId="8" xfId="5" applyNumberFormat="1" applyFont="1" applyFill="1" applyBorder="1" applyAlignment="1" applyProtection="1">
      <alignment horizontal="center" vertical="center" wrapText="1"/>
      <protection locked="0"/>
    </xf>
    <xf numFmtId="1" fontId="14" fillId="15" borderId="1" xfId="5" applyNumberFormat="1" applyFont="1" applyFill="1" applyBorder="1" applyAlignment="1" applyProtection="1">
      <alignment horizontal="center" vertical="center"/>
      <protection locked="0"/>
    </xf>
    <xf numFmtId="43" fontId="14" fillId="15" borderId="8" xfId="6" applyFont="1" applyFill="1" applyBorder="1" applyAlignment="1" applyProtection="1">
      <alignment horizontal="center" vertical="center" wrapText="1"/>
      <protection locked="0"/>
    </xf>
    <xf numFmtId="43" fontId="14" fillId="15" borderId="1" xfId="6" applyFont="1" applyFill="1" applyBorder="1" applyAlignment="1" applyProtection="1">
      <alignment horizontal="center" vertical="center" wrapText="1"/>
      <protection locked="0"/>
    </xf>
    <xf numFmtId="0" fontId="14" fillId="2" borderId="0" xfId="5" applyFont="1" applyFill="1" applyAlignment="1" applyProtection="1">
      <alignment horizontal="center" vertical="center" wrapText="1"/>
      <protection locked="0"/>
    </xf>
    <xf numFmtId="0" fontId="42" fillId="2" borderId="0" xfId="5" applyFont="1" applyFill="1" applyAlignment="1" applyProtection="1">
      <alignment horizontal="center" vertical="center" wrapText="1"/>
      <protection locked="0"/>
    </xf>
    <xf numFmtId="164" fontId="44" fillId="2" borderId="0" xfId="6" applyNumberFormat="1" applyFont="1" applyFill="1" applyBorder="1" applyAlignment="1" applyProtection="1">
      <alignment horizontal="center" vertical="center"/>
      <protection locked="0"/>
    </xf>
    <xf numFmtId="14" fontId="44" fillId="2" borderId="0" xfId="6" applyNumberFormat="1" applyFont="1" applyFill="1" applyBorder="1" applyAlignment="1" applyProtection="1">
      <alignment horizontal="center" vertical="center"/>
      <protection locked="0"/>
    </xf>
    <xf numFmtId="0" fontId="46" fillId="2" borderId="0" xfId="5" applyFont="1" applyFill="1" applyAlignment="1" applyProtection="1">
      <alignment horizontal="left" vertical="center" wrapText="1"/>
      <protection locked="0"/>
    </xf>
    <xf numFmtId="0" fontId="27" fillId="2" borderId="0" xfId="5" applyFont="1" applyFill="1" applyAlignment="1" applyProtection="1">
      <alignment horizontal="left" vertical="center" wrapText="1"/>
      <protection locked="0"/>
    </xf>
    <xf numFmtId="0" fontId="14" fillId="15" borderId="7" xfId="5" applyFont="1" applyFill="1" applyBorder="1" applyAlignment="1" applyProtection="1">
      <alignment horizontal="center" vertical="center" textRotation="90"/>
      <protection locked="0"/>
    </xf>
    <xf numFmtId="0" fontId="14" fillId="15" borderId="10" xfId="5" applyFont="1" applyFill="1" applyBorder="1" applyAlignment="1" applyProtection="1">
      <alignment horizontal="center" vertical="center" textRotation="90"/>
      <protection locked="0"/>
    </xf>
    <xf numFmtId="0" fontId="14" fillId="15" borderId="8" xfId="5" applyFont="1" applyFill="1" applyBorder="1" applyAlignment="1" applyProtection="1">
      <alignment horizontal="center" vertical="center" wrapText="1"/>
      <protection locked="0"/>
    </xf>
    <xf numFmtId="0" fontId="14" fillId="15" borderId="1" xfId="5" applyFont="1" applyFill="1" applyBorder="1" applyAlignment="1" applyProtection="1">
      <alignment horizontal="center" vertical="center" wrapText="1"/>
      <protection locked="0"/>
    </xf>
    <xf numFmtId="0" fontId="14" fillId="15" borderId="22" xfId="5" applyFont="1" applyFill="1" applyBorder="1" applyAlignment="1" applyProtection="1">
      <alignment horizontal="center" vertical="center" wrapText="1"/>
      <protection locked="0"/>
    </xf>
    <xf numFmtId="0" fontId="14" fillId="15" borderId="21" xfId="5" applyFont="1" applyFill="1" applyBorder="1" applyAlignment="1" applyProtection="1">
      <alignment horizontal="center" vertical="center" wrapText="1"/>
      <protection locked="0"/>
    </xf>
    <xf numFmtId="0" fontId="14" fillId="15" borderId="8" xfId="5" applyFont="1" applyFill="1" applyBorder="1" applyAlignment="1" applyProtection="1">
      <alignment horizontal="center" vertical="center"/>
      <protection locked="0"/>
    </xf>
    <xf numFmtId="0" fontId="14" fillId="14" borderId="7" xfId="5" applyFont="1" applyFill="1" applyBorder="1" applyAlignment="1" applyProtection="1">
      <alignment horizontal="center" vertical="center" textRotation="90"/>
      <protection locked="0"/>
    </xf>
    <xf numFmtId="0" fontId="14" fillId="14" borderId="10" xfId="5" applyFont="1" applyFill="1" applyBorder="1" applyAlignment="1" applyProtection="1">
      <alignment horizontal="center" vertical="center" textRotation="90"/>
      <protection locked="0"/>
    </xf>
    <xf numFmtId="164" fontId="90" fillId="15" borderId="8" xfId="6" applyNumberFormat="1" applyFont="1" applyFill="1" applyBorder="1" applyAlignment="1" applyProtection="1">
      <alignment horizontal="center" vertical="center" wrapText="1"/>
      <protection locked="0"/>
    </xf>
    <xf numFmtId="164" fontId="90" fillId="15" borderId="1" xfId="6" applyNumberFormat="1" applyFont="1" applyFill="1" applyBorder="1" applyAlignment="1" applyProtection="1">
      <alignment horizontal="center" vertical="center" wrapText="1"/>
      <protection locked="0"/>
    </xf>
    <xf numFmtId="164" fontId="14" fillId="15" borderId="9" xfId="6" applyNumberFormat="1" applyFont="1" applyFill="1" applyBorder="1" applyAlignment="1" applyProtection="1">
      <alignment horizontal="center" vertical="center" wrapText="1"/>
      <protection locked="0"/>
    </xf>
    <xf numFmtId="164" fontId="14" fillId="15" borderId="11" xfId="6" applyNumberFormat="1" applyFont="1" applyFill="1" applyBorder="1" applyAlignment="1" applyProtection="1">
      <alignment horizontal="center" vertical="center"/>
      <protection locked="0"/>
    </xf>
    <xf numFmtId="0" fontId="24" fillId="31" borderId="0" xfId="5" applyFont="1" applyFill="1" applyAlignment="1">
      <alignment horizontal="center" wrapText="1"/>
    </xf>
    <xf numFmtId="0" fontId="24" fillId="31" borderId="5" xfId="5" applyFont="1" applyFill="1" applyBorder="1" applyAlignment="1">
      <alignment horizontal="center" wrapText="1"/>
    </xf>
    <xf numFmtId="0" fontId="112" fillId="28" borderId="64" xfId="5" applyFont="1" applyFill="1" applyBorder="1" applyAlignment="1">
      <alignment horizontal="center" vertical="center"/>
    </xf>
    <xf numFmtId="164" fontId="14" fillId="14" borderId="9" xfId="6" applyNumberFormat="1" applyFont="1" applyFill="1" applyBorder="1" applyAlignment="1" applyProtection="1">
      <alignment horizontal="center" vertical="center" wrapText="1"/>
      <protection locked="0"/>
    </xf>
    <xf numFmtId="164" fontId="14" fillId="14" borderId="11" xfId="6" applyNumberFormat="1" applyFont="1" applyFill="1" applyBorder="1" applyAlignment="1" applyProtection="1">
      <alignment horizontal="center" vertical="center"/>
      <protection locked="0"/>
    </xf>
    <xf numFmtId="0" fontId="14" fillId="14" borderId="8" xfId="5" applyFont="1" applyFill="1" applyBorder="1" applyAlignment="1" applyProtection="1">
      <alignment horizontal="center" vertical="center" wrapText="1"/>
      <protection locked="0"/>
    </xf>
    <xf numFmtId="0" fontId="14" fillId="14" borderId="1" xfId="5" applyFont="1" applyFill="1" applyBorder="1" applyAlignment="1" applyProtection="1">
      <alignment horizontal="center" vertical="center" wrapText="1"/>
      <protection locked="0"/>
    </xf>
    <xf numFmtId="0" fontId="14" fillId="14" borderId="22" xfId="5" applyFont="1" applyFill="1" applyBorder="1" applyAlignment="1" applyProtection="1">
      <alignment horizontal="center" vertical="center" wrapText="1"/>
      <protection locked="0"/>
    </xf>
    <xf numFmtId="0" fontId="14" fillId="14" borderId="21" xfId="5" applyFont="1" applyFill="1" applyBorder="1" applyAlignment="1" applyProtection="1">
      <alignment horizontal="center" vertical="center" wrapText="1"/>
      <protection locked="0"/>
    </xf>
    <xf numFmtId="165" fontId="14" fillId="14" borderId="8" xfId="6" applyNumberFormat="1" applyFont="1" applyFill="1" applyBorder="1" applyAlignment="1" applyProtection="1">
      <alignment horizontal="center" vertical="center" wrapText="1"/>
      <protection locked="0"/>
    </xf>
    <xf numFmtId="165" fontId="14" fillId="14" borderId="1" xfId="6" applyNumberFormat="1" applyFont="1" applyFill="1" applyBorder="1" applyAlignment="1" applyProtection="1">
      <alignment horizontal="center" vertical="center" wrapText="1"/>
      <protection locked="0"/>
    </xf>
    <xf numFmtId="0" fontId="40" fillId="0" borderId="16" xfId="5" applyFont="1" applyBorder="1" applyAlignment="1" applyProtection="1">
      <alignment horizontal="center" vertical="center"/>
      <protection locked="0"/>
    </xf>
    <xf numFmtId="0" fontId="40" fillId="0" borderId="6" xfId="5" applyFont="1" applyBorder="1" applyAlignment="1" applyProtection="1">
      <alignment horizontal="center" vertical="center"/>
      <protection locked="0"/>
    </xf>
    <xf numFmtId="0" fontId="26" fillId="39" borderId="2" xfId="5" applyFont="1" applyFill="1" applyBorder="1" applyAlignment="1">
      <alignment horizontal="center" vertical="center" wrapText="1"/>
    </xf>
    <xf numFmtId="0" fontId="26" fillId="39" borderId="3" xfId="5" applyFont="1" applyFill="1" applyBorder="1" applyAlignment="1">
      <alignment horizontal="center" vertical="center" wrapText="1"/>
    </xf>
    <xf numFmtId="0" fontId="23" fillId="4" borderId="16" xfId="5" applyFont="1" applyFill="1" applyBorder="1" applyAlignment="1" applyProtection="1">
      <alignment horizontal="center" vertical="center"/>
      <protection locked="0"/>
    </xf>
    <xf numFmtId="0" fontId="23" fillId="4" borderId="6" xfId="5" applyFont="1" applyFill="1" applyBorder="1" applyAlignment="1" applyProtection="1">
      <alignment horizontal="center" vertical="center"/>
      <protection locked="0"/>
    </xf>
    <xf numFmtId="0" fontId="23" fillId="4" borderId="17" xfId="5" applyFont="1" applyFill="1" applyBorder="1" applyAlignment="1" applyProtection="1">
      <alignment horizontal="center" vertical="center"/>
      <protection locked="0"/>
    </xf>
    <xf numFmtId="0" fontId="26" fillId="4" borderId="0" xfId="5" applyFont="1" applyFill="1" applyAlignment="1">
      <alignment horizontal="center" vertical="center"/>
    </xf>
    <xf numFmtId="0" fontId="40" fillId="4" borderId="16" xfId="5" applyFont="1" applyFill="1" applyBorder="1" applyAlignment="1" applyProtection="1">
      <alignment horizontal="center" vertical="center"/>
      <protection locked="0"/>
    </xf>
    <xf numFmtId="0" fontId="40" fillId="4" borderId="6" xfId="5" applyFont="1" applyFill="1" applyBorder="1" applyAlignment="1" applyProtection="1">
      <alignment horizontal="center" vertical="center"/>
      <protection locked="0"/>
    </xf>
    <xf numFmtId="0" fontId="40" fillId="0" borderId="18" xfId="5" applyFont="1" applyBorder="1" applyAlignment="1" applyProtection="1">
      <alignment horizontal="center" vertical="center"/>
      <protection locked="0"/>
    </xf>
    <xf numFmtId="164" fontId="90" fillId="20" borderId="2" xfId="6" applyNumberFormat="1" applyFont="1" applyFill="1" applyBorder="1" applyAlignment="1" applyProtection="1">
      <alignment horizontal="center" vertical="center" wrapText="1"/>
      <protection locked="0"/>
    </xf>
    <xf numFmtId="164" fontId="90" fillId="20" borderId="3" xfId="6" applyNumberFormat="1" applyFont="1" applyFill="1" applyBorder="1" applyAlignment="1" applyProtection="1">
      <alignment horizontal="center" vertical="center" wrapText="1"/>
      <protection locked="0"/>
    </xf>
    <xf numFmtId="0" fontId="26" fillId="6" borderId="27" xfId="5" applyFont="1" applyFill="1" applyBorder="1" applyAlignment="1">
      <alignment horizontal="center" vertical="center"/>
    </xf>
    <xf numFmtId="0" fontId="26" fillId="6" borderId="28" xfId="5" applyFont="1" applyFill="1" applyBorder="1" applyAlignment="1">
      <alignment horizontal="center" vertical="center"/>
    </xf>
    <xf numFmtId="0" fontId="26" fillId="6" borderId="25" xfId="5" applyFont="1" applyFill="1" applyBorder="1" applyAlignment="1">
      <alignment horizontal="center" vertical="center"/>
    </xf>
    <xf numFmtId="0" fontId="40" fillId="4" borderId="27" xfId="5" applyFont="1" applyFill="1" applyBorder="1" applyAlignment="1">
      <alignment horizontal="center" vertical="center"/>
    </xf>
    <xf numFmtId="0" fontId="40" fillId="4" borderId="25" xfId="5" applyFont="1" applyFill="1" applyBorder="1" applyAlignment="1">
      <alignment horizontal="center" vertical="center"/>
    </xf>
    <xf numFmtId="0" fontId="26" fillId="0" borderId="48" xfId="5" applyFont="1" applyBorder="1" applyAlignment="1">
      <alignment horizontal="center" vertical="center"/>
    </xf>
    <xf numFmtId="0" fontId="26" fillId="0" borderId="5" xfId="5" applyFont="1" applyBorder="1" applyAlignment="1">
      <alignment horizontal="center" vertical="center"/>
    </xf>
    <xf numFmtId="0" fontId="48" fillId="13" borderId="19" xfId="5" applyFont="1" applyFill="1" applyBorder="1" applyAlignment="1">
      <alignment horizontal="center" vertical="center"/>
    </xf>
    <xf numFmtId="0" fontId="48" fillId="13" borderId="20" xfId="5" applyFont="1" applyFill="1" applyBorder="1" applyAlignment="1">
      <alignment horizontal="center" vertical="center"/>
    </xf>
    <xf numFmtId="164" fontId="49" fillId="13" borderId="13" xfId="5" applyNumberFormat="1" applyFont="1" applyFill="1" applyBorder="1" applyAlignment="1">
      <alignment horizontal="left" vertical="center"/>
    </xf>
    <xf numFmtId="0" fontId="49" fillId="13" borderId="13" xfId="5" applyFont="1" applyFill="1" applyBorder="1" applyAlignment="1">
      <alignment horizontal="left" vertical="center"/>
    </xf>
    <xf numFmtId="0" fontId="49" fillId="13" borderId="47" xfId="5" applyFont="1" applyFill="1" applyBorder="1" applyAlignment="1">
      <alignment horizontal="left" vertical="center"/>
    </xf>
    <xf numFmtId="0" fontId="49" fillId="13" borderId="14" xfId="5" applyFont="1" applyFill="1" applyBorder="1" applyAlignment="1">
      <alignment horizontal="left" vertical="center"/>
    </xf>
    <xf numFmtId="0" fontId="48" fillId="0" borderId="19" xfId="5" applyFont="1" applyBorder="1" applyAlignment="1">
      <alignment horizontal="center" vertical="center"/>
    </xf>
    <xf numFmtId="0" fontId="48" fillId="0" borderId="20" xfId="5" applyFont="1" applyBorder="1" applyAlignment="1">
      <alignment horizontal="center" vertical="center"/>
    </xf>
    <xf numFmtId="164" fontId="49" fillId="0" borderId="13" xfId="5" applyNumberFormat="1" applyFont="1" applyBorder="1" applyAlignment="1">
      <alignment horizontal="left" vertical="center"/>
    </xf>
    <xf numFmtId="0" fontId="49" fillId="0" borderId="13" xfId="5" applyFont="1" applyBorder="1" applyAlignment="1">
      <alignment horizontal="left" vertical="center"/>
    </xf>
    <xf numFmtId="0" fontId="49" fillId="0" borderId="47" xfId="5" applyFont="1" applyBorder="1" applyAlignment="1">
      <alignment horizontal="left" vertical="center"/>
    </xf>
    <xf numFmtId="0" fontId="49" fillId="0" borderId="14" xfId="5" applyFont="1" applyBorder="1" applyAlignment="1">
      <alignment horizontal="left" vertical="center"/>
    </xf>
    <xf numFmtId="0" fontId="23" fillId="2" borderId="0" xfId="5" applyFont="1" applyFill="1" applyAlignment="1" applyProtection="1">
      <alignment horizontal="left" vertical="center"/>
      <protection locked="0"/>
    </xf>
    <xf numFmtId="0" fontId="40" fillId="13" borderId="16" xfId="5" applyFont="1" applyFill="1" applyBorder="1" applyAlignment="1" applyProtection="1">
      <alignment horizontal="center" vertical="center"/>
      <protection locked="0"/>
    </xf>
    <xf numFmtId="0" fontId="40" fillId="13" borderId="6" xfId="5" applyFont="1" applyFill="1" applyBorder="1" applyAlignment="1" applyProtection="1">
      <alignment horizontal="center" vertical="center"/>
      <protection locked="0"/>
    </xf>
    <xf numFmtId="0" fontId="40" fillId="13" borderId="18" xfId="5" applyFont="1" applyFill="1" applyBorder="1" applyAlignment="1" applyProtection="1">
      <alignment horizontal="center" vertical="center"/>
      <protection locked="0"/>
    </xf>
    <xf numFmtId="0" fontId="14" fillId="14" borderId="8" xfId="5" applyFont="1" applyFill="1" applyBorder="1" applyAlignment="1" applyProtection="1">
      <alignment horizontal="center" vertical="center"/>
      <protection locked="0"/>
    </xf>
    <xf numFmtId="0" fontId="23" fillId="13" borderId="16" xfId="5" applyFont="1" applyFill="1" applyBorder="1" applyAlignment="1" applyProtection="1">
      <alignment horizontal="center" vertical="center"/>
      <protection locked="0"/>
    </xf>
    <xf numFmtId="0" fontId="23" fillId="13" borderId="6" xfId="5" applyFont="1" applyFill="1" applyBorder="1" applyAlignment="1" applyProtection="1">
      <alignment horizontal="center" vertical="center"/>
      <protection locked="0"/>
    </xf>
    <xf numFmtId="0" fontId="23" fillId="13" borderId="17" xfId="5" applyFont="1" applyFill="1" applyBorder="1" applyAlignment="1" applyProtection="1">
      <alignment horizontal="center" vertical="center"/>
      <protection locked="0"/>
    </xf>
    <xf numFmtId="1" fontId="14" fillId="14" borderId="8" xfId="5" applyNumberFormat="1" applyFont="1" applyFill="1" applyBorder="1" applyAlignment="1" applyProtection="1">
      <alignment horizontal="center" vertical="center" wrapText="1"/>
      <protection locked="0"/>
    </xf>
    <xf numFmtId="1" fontId="14" fillId="14" borderId="1" xfId="5" applyNumberFormat="1" applyFont="1" applyFill="1" applyBorder="1" applyAlignment="1" applyProtection="1">
      <alignment horizontal="center" vertical="center"/>
      <protection locked="0"/>
    </xf>
    <xf numFmtId="43" fontId="14" fillId="14" borderId="8" xfId="6" applyFont="1" applyFill="1" applyBorder="1" applyAlignment="1" applyProtection="1">
      <alignment horizontal="center" vertical="center" wrapText="1"/>
      <protection locked="0"/>
    </xf>
    <xf numFmtId="43" fontId="14" fillId="14" borderId="1" xfId="6" applyFont="1" applyFill="1" applyBorder="1" applyAlignment="1" applyProtection="1">
      <alignment horizontal="center" vertical="center" wrapText="1"/>
      <protection locked="0"/>
    </xf>
    <xf numFmtId="164" fontId="90" fillId="14" borderId="8" xfId="6" applyNumberFormat="1" applyFont="1" applyFill="1" applyBorder="1" applyAlignment="1" applyProtection="1">
      <alignment horizontal="center" vertical="center" wrapText="1"/>
      <protection locked="0"/>
    </xf>
    <xf numFmtId="164" fontId="90" fillId="14" borderId="1" xfId="6" applyNumberFormat="1" applyFont="1" applyFill="1" applyBorder="1" applyAlignment="1" applyProtection="1">
      <alignment horizontal="center" vertical="center" wrapText="1"/>
      <protection locked="0"/>
    </xf>
    <xf numFmtId="165" fontId="14" fillId="34" borderId="2" xfId="6" applyNumberFormat="1" applyFont="1" applyFill="1" applyBorder="1" applyAlignment="1" applyProtection="1">
      <alignment horizontal="center" vertical="center" wrapText="1"/>
      <protection locked="0"/>
    </xf>
    <xf numFmtId="165" fontId="14" fillId="34" borderId="3" xfId="6" applyNumberFormat="1" applyFont="1" applyFill="1" applyBorder="1" applyAlignment="1" applyProtection="1">
      <alignment horizontal="center" vertical="center" wrapText="1"/>
      <protection locked="0"/>
    </xf>
    <xf numFmtId="0" fontId="99" fillId="34" borderId="2" xfId="5" applyFont="1" applyFill="1" applyBorder="1" applyAlignment="1" applyProtection="1">
      <alignment horizontal="center" vertical="center" wrapText="1"/>
      <protection hidden="1"/>
    </xf>
    <xf numFmtId="0" fontId="99" fillId="34" borderId="3" xfId="5" applyFont="1" applyFill="1" applyBorder="1" applyAlignment="1" applyProtection="1">
      <alignment horizontal="center" vertical="center" wrapText="1"/>
      <protection hidden="1"/>
    </xf>
    <xf numFmtId="0" fontId="40" fillId="34" borderId="2" xfId="5" applyFont="1" applyFill="1" applyBorder="1" applyAlignment="1" applyProtection="1">
      <alignment horizontal="center" vertical="center" wrapText="1"/>
      <protection hidden="1"/>
    </xf>
    <xf numFmtId="0" fontId="40" fillId="34" borderId="3" xfId="5" applyFont="1" applyFill="1" applyBorder="1" applyAlignment="1" applyProtection="1">
      <alignment horizontal="center" vertical="center" wrapText="1"/>
      <protection hidden="1"/>
    </xf>
    <xf numFmtId="164" fontId="90" fillId="31" borderId="2" xfId="6" applyNumberFormat="1" applyFont="1" applyFill="1" applyBorder="1" applyAlignment="1" applyProtection="1">
      <alignment horizontal="center" vertical="center" wrapText="1"/>
      <protection locked="0"/>
    </xf>
    <xf numFmtId="164" fontId="90" fillId="31" borderId="3" xfId="6" applyNumberFormat="1" applyFont="1" applyFill="1" applyBorder="1" applyAlignment="1" applyProtection="1">
      <alignment horizontal="center" vertical="center" wrapText="1"/>
      <protection locked="0"/>
    </xf>
    <xf numFmtId="0" fontId="40" fillId="34" borderId="49" xfId="5" applyFont="1" applyFill="1" applyBorder="1" applyAlignment="1" applyProtection="1">
      <alignment horizontal="center" vertical="center" wrapText="1"/>
      <protection hidden="1"/>
    </xf>
    <xf numFmtId="0" fontId="40" fillId="34" borderId="23" xfId="5" applyFont="1" applyFill="1" applyBorder="1" applyAlignment="1" applyProtection="1">
      <alignment horizontal="center" vertical="center" wrapText="1"/>
      <protection hidden="1"/>
    </xf>
    <xf numFmtId="165" fontId="14" fillId="20" borderId="2" xfId="6" applyNumberFormat="1" applyFont="1" applyFill="1" applyBorder="1" applyAlignment="1" applyProtection="1">
      <alignment horizontal="center" vertical="center" wrapText="1"/>
      <protection locked="0"/>
    </xf>
    <xf numFmtId="165" fontId="14" fillId="20" borderId="3" xfId="6" applyNumberFormat="1" applyFont="1" applyFill="1" applyBorder="1" applyAlignment="1" applyProtection="1">
      <alignment horizontal="center" vertical="center" wrapText="1"/>
      <protection locked="0"/>
    </xf>
    <xf numFmtId="164" fontId="90" fillId="34" borderId="2" xfId="6" applyNumberFormat="1" applyFont="1" applyFill="1" applyBorder="1" applyAlignment="1" applyProtection="1">
      <alignment horizontal="center" vertical="center" wrapText="1"/>
      <protection locked="0"/>
    </xf>
    <xf numFmtId="164" fontId="90" fillId="34" borderId="3" xfId="6" applyNumberFormat="1" applyFont="1" applyFill="1" applyBorder="1" applyAlignment="1" applyProtection="1">
      <alignment horizontal="center" vertical="center" wrapText="1"/>
      <protection locked="0"/>
    </xf>
    <xf numFmtId="165" fontId="39" fillId="34" borderId="25" xfId="6" applyNumberFormat="1" applyFont="1" applyFill="1" applyBorder="1" applyAlignment="1" applyProtection="1">
      <alignment horizontal="center" vertical="center" wrapText="1"/>
      <protection locked="0"/>
    </xf>
    <xf numFmtId="165" fontId="39" fillId="34" borderId="52" xfId="6" applyNumberFormat="1" applyFont="1" applyFill="1" applyBorder="1" applyAlignment="1" applyProtection="1">
      <alignment horizontal="center" vertical="center" wrapText="1"/>
      <protection locked="0"/>
    </xf>
    <xf numFmtId="165" fontId="39" fillId="34" borderId="2" xfId="6" applyNumberFormat="1" applyFont="1" applyFill="1" applyBorder="1" applyAlignment="1" applyProtection="1">
      <alignment horizontal="center" vertical="center" wrapText="1"/>
      <protection locked="0"/>
    </xf>
    <xf numFmtId="165" fontId="39" fillId="34" borderId="3" xfId="6" applyNumberFormat="1" applyFont="1" applyFill="1" applyBorder="1" applyAlignment="1" applyProtection="1">
      <alignment horizontal="center" vertical="center" wrapText="1"/>
      <protection locked="0"/>
    </xf>
    <xf numFmtId="164" fontId="49" fillId="0" borderId="47" xfId="5" applyNumberFormat="1" applyFont="1" applyBorder="1" applyAlignment="1">
      <alignment horizontal="left" vertical="center"/>
    </xf>
    <xf numFmtId="164" fontId="49" fillId="0" borderId="72" xfId="5" applyNumberFormat="1" applyFont="1" applyBorder="1" applyAlignment="1">
      <alignment horizontal="left" vertical="center"/>
    </xf>
    <xf numFmtId="164" fontId="49" fillId="0" borderId="73" xfId="5" applyNumberFormat="1" applyFont="1" applyBorder="1" applyAlignment="1">
      <alignment horizontal="left" vertical="center"/>
    </xf>
    <xf numFmtId="165" fontId="14" fillId="34" borderId="49" xfId="6" applyNumberFormat="1" applyFont="1" applyFill="1" applyBorder="1" applyAlignment="1" applyProtection="1">
      <alignment horizontal="center" vertical="center" wrapText="1"/>
      <protection locked="0"/>
    </xf>
    <xf numFmtId="165" fontId="14" fillId="34" borderId="23" xfId="6" applyNumberFormat="1" applyFont="1" applyFill="1" applyBorder="1" applyAlignment="1" applyProtection="1">
      <alignment horizontal="center" vertical="center" wrapText="1"/>
      <protection locked="0"/>
    </xf>
    <xf numFmtId="0" fontId="99" fillId="20" borderId="2" xfId="5" applyFont="1" applyFill="1" applyBorder="1" applyAlignment="1" applyProtection="1">
      <alignment horizontal="center" vertical="center" wrapText="1"/>
      <protection hidden="1"/>
    </xf>
    <xf numFmtId="0" fontId="99" fillId="20" borderId="3" xfId="5" applyFont="1" applyFill="1" applyBorder="1" applyAlignment="1" applyProtection="1">
      <alignment horizontal="center" vertical="center" wrapText="1"/>
      <protection hidden="1"/>
    </xf>
    <xf numFmtId="0" fontId="40" fillId="20" borderId="2" xfId="5" applyFont="1" applyFill="1" applyBorder="1" applyAlignment="1" applyProtection="1">
      <alignment horizontal="center" vertical="center" wrapText="1"/>
      <protection hidden="1"/>
    </xf>
    <xf numFmtId="0" fontId="40" fillId="20" borderId="3" xfId="5" applyFont="1" applyFill="1" applyBorder="1" applyAlignment="1" applyProtection="1">
      <alignment horizontal="center" vertical="center" wrapText="1"/>
      <protection hidden="1"/>
    </xf>
    <xf numFmtId="0" fontId="47" fillId="0" borderId="5" xfId="5" applyFont="1" applyBorder="1" applyAlignment="1">
      <alignment horizontal="center" vertical="center"/>
    </xf>
    <xf numFmtId="0" fontId="40" fillId="20" borderId="49" xfId="5" applyFont="1" applyFill="1" applyBorder="1" applyAlignment="1" applyProtection="1">
      <alignment horizontal="center" vertical="center" wrapText="1"/>
      <protection hidden="1"/>
    </xf>
    <xf numFmtId="0" fontId="40" fillId="20" borderId="23" xfId="5" applyFont="1" applyFill="1" applyBorder="1" applyAlignment="1" applyProtection="1">
      <alignment horizontal="center" vertical="center" wrapText="1"/>
      <protection hidden="1"/>
    </xf>
    <xf numFmtId="164" fontId="90" fillId="15" borderId="2" xfId="6" applyNumberFormat="1" applyFont="1" applyFill="1" applyBorder="1" applyAlignment="1" applyProtection="1">
      <alignment horizontal="center" vertical="center" wrapText="1"/>
      <protection locked="0"/>
    </xf>
    <xf numFmtId="164" fontId="90" fillId="15" borderId="3" xfId="6" applyNumberFormat="1" applyFont="1" applyFill="1" applyBorder="1" applyAlignment="1" applyProtection="1">
      <alignment horizontal="center" vertical="center" wrapText="1"/>
      <protection locked="0"/>
    </xf>
    <xf numFmtId="0" fontId="105" fillId="2" borderId="0" xfId="5" applyFont="1" applyFill="1" applyAlignment="1" applyProtection="1">
      <alignment horizontal="center" vertical="center" wrapText="1"/>
      <protection locked="0"/>
    </xf>
    <xf numFmtId="0" fontId="14" fillId="15" borderId="49" xfId="5" applyFont="1" applyFill="1" applyBorder="1" applyAlignment="1" applyProtection="1">
      <alignment horizontal="center" vertical="center" wrapText="1"/>
      <protection locked="0"/>
    </xf>
    <xf numFmtId="0" fontId="14" fillId="15" borderId="23" xfId="5" applyFont="1" applyFill="1" applyBorder="1" applyAlignment="1" applyProtection="1">
      <alignment horizontal="center" vertical="center" wrapText="1"/>
      <protection locked="0"/>
    </xf>
    <xf numFmtId="0" fontId="48" fillId="0" borderId="4" xfId="5" applyFont="1" applyBorder="1" applyAlignment="1">
      <alignment horizontal="center" vertical="center"/>
    </xf>
    <xf numFmtId="164" fontId="49" fillId="0" borderId="4" xfId="5" applyNumberFormat="1" applyFont="1" applyBorder="1" applyAlignment="1">
      <alignment horizontal="left" vertical="center"/>
    </xf>
    <xf numFmtId="0" fontId="49" fillId="0" borderId="4" xfId="5" applyFont="1" applyBorder="1" applyAlignment="1">
      <alignment horizontal="left" vertical="center"/>
    </xf>
    <xf numFmtId="0" fontId="40" fillId="4" borderId="2" xfId="5" applyFont="1" applyFill="1" applyBorder="1" applyAlignment="1">
      <alignment horizontal="center" vertical="center" wrapText="1"/>
    </xf>
    <xf numFmtId="0" fontId="40" fillId="4" borderId="3" xfId="5" applyFont="1" applyFill="1" applyBorder="1" applyAlignment="1">
      <alignment horizontal="center" vertical="center" wrapText="1"/>
    </xf>
    <xf numFmtId="0" fontId="26" fillId="39" borderId="25" xfId="5" applyFont="1" applyFill="1" applyBorder="1" applyAlignment="1">
      <alignment horizontal="center" vertical="center" wrapText="1"/>
    </xf>
    <xf numFmtId="0" fontId="26" fillId="39" borderId="52" xfId="5" applyFont="1" applyFill="1" applyBorder="1" applyAlignment="1">
      <alignment horizontal="center" vertical="center" wrapText="1"/>
    </xf>
    <xf numFmtId="0" fontId="23" fillId="4" borderId="3" xfId="5" applyFont="1" applyFill="1" applyBorder="1" applyAlignment="1" applyProtection="1">
      <alignment horizontal="center" vertical="center"/>
      <protection locked="0"/>
    </xf>
    <xf numFmtId="164" fontId="14" fillId="15" borderId="2" xfId="6" applyNumberFormat="1" applyFont="1" applyFill="1" applyBorder="1" applyAlignment="1" applyProtection="1">
      <alignment horizontal="center" vertical="center" wrapText="1"/>
      <protection locked="0"/>
    </xf>
    <xf numFmtId="164" fontId="14" fillId="15" borderId="3" xfId="6" applyNumberFormat="1" applyFont="1" applyFill="1" applyBorder="1" applyAlignment="1" applyProtection="1">
      <alignment horizontal="center" vertical="center"/>
      <protection locked="0"/>
    </xf>
    <xf numFmtId="0" fontId="14" fillId="15" borderId="2" xfId="5" applyFont="1" applyFill="1" applyBorder="1" applyAlignment="1" applyProtection="1">
      <alignment horizontal="center" vertical="center" textRotation="90"/>
      <protection locked="0"/>
    </xf>
    <xf numFmtId="0" fontId="14" fillId="15" borderId="3" xfId="5" applyFont="1" applyFill="1" applyBorder="1" applyAlignment="1" applyProtection="1">
      <alignment horizontal="center" vertical="center" textRotation="90"/>
      <protection locked="0"/>
    </xf>
    <xf numFmtId="0" fontId="14" fillId="15" borderId="2" xfId="5" applyFont="1" applyFill="1" applyBorder="1" applyAlignment="1" applyProtection="1">
      <alignment horizontal="center" vertical="center" wrapText="1"/>
      <protection locked="0"/>
    </xf>
    <xf numFmtId="0" fontId="14" fillId="15" borderId="3" xfId="5" applyFont="1" applyFill="1" applyBorder="1" applyAlignment="1" applyProtection="1">
      <alignment horizontal="center" vertical="center" wrapText="1"/>
      <protection locked="0"/>
    </xf>
    <xf numFmtId="0" fontId="14" fillId="15" borderId="2" xfId="5" applyFont="1" applyFill="1" applyBorder="1" applyAlignment="1" applyProtection="1">
      <alignment horizontal="center" vertical="center"/>
      <protection locked="0"/>
    </xf>
    <xf numFmtId="1" fontId="14" fillId="15" borderId="2" xfId="5" applyNumberFormat="1" applyFont="1" applyFill="1" applyBorder="1" applyAlignment="1" applyProtection="1">
      <alignment horizontal="center" vertical="center" wrapText="1"/>
      <protection locked="0"/>
    </xf>
    <xf numFmtId="1" fontId="14" fillId="15" borderId="3" xfId="5" applyNumberFormat="1" applyFont="1" applyFill="1" applyBorder="1" applyAlignment="1" applyProtection="1">
      <alignment horizontal="center" vertical="center"/>
      <protection locked="0"/>
    </xf>
    <xf numFmtId="43" fontId="14" fillId="15" borderId="2" xfId="6" applyFont="1" applyFill="1" applyBorder="1" applyAlignment="1" applyProtection="1">
      <alignment horizontal="center" vertical="center" wrapText="1"/>
      <protection locked="0"/>
    </xf>
    <xf numFmtId="43" fontId="14" fillId="15" borderId="3" xfId="6" applyFont="1" applyFill="1" applyBorder="1" applyAlignment="1" applyProtection="1">
      <alignment horizontal="center" vertical="center" wrapText="1"/>
      <protection locked="0"/>
    </xf>
    <xf numFmtId="165" fontId="14" fillId="15" borderId="2" xfId="6" applyNumberFormat="1" applyFont="1" applyFill="1" applyBorder="1" applyAlignment="1" applyProtection="1">
      <alignment horizontal="center" vertical="center" wrapText="1"/>
      <protection locked="0"/>
    </xf>
    <xf numFmtId="165" fontId="14" fillId="15" borderId="3" xfId="6" applyNumberFormat="1" applyFont="1" applyFill="1" applyBorder="1" applyAlignment="1" applyProtection="1">
      <alignment horizontal="center" vertical="center" wrapText="1"/>
      <protection locked="0"/>
    </xf>
    <xf numFmtId="0" fontId="23" fillId="0" borderId="74" xfId="5" applyFont="1" applyBorder="1" applyAlignment="1" applyProtection="1">
      <alignment horizontal="center" vertical="center"/>
      <protection locked="0"/>
    </xf>
    <xf numFmtId="0" fontId="23" fillId="0" borderId="3" xfId="5" applyFont="1" applyBorder="1" applyAlignment="1" applyProtection="1">
      <alignment horizontal="center" vertical="center"/>
      <protection locked="0"/>
    </xf>
    <xf numFmtId="0" fontId="65" fillId="8" borderId="0" xfId="0" applyFont="1" applyFill="1" applyAlignment="1">
      <alignment horizontal="center" vertical="center" wrapText="1"/>
    </xf>
    <xf numFmtId="0" fontId="65" fillId="8" borderId="24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38" fillId="0" borderId="49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168" fontId="8" fillId="2" borderId="0" xfId="0" applyNumberFormat="1" applyFont="1" applyFill="1" applyAlignment="1" applyProtection="1">
      <alignment horizontal="center" vertical="center" wrapText="1"/>
      <protection locked="0"/>
    </xf>
    <xf numFmtId="0" fontId="65" fillId="2" borderId="15" xfId="0" applyFont="1" applyFill="1" applyBorder="1" applyAlignment="1" applyProtection="1">
      <alignment horizontal="center" vertical="center"/>
      <protection hidden="1"/>
    </xf>
    <xf numFmtId="0" fontId="65" fillId="2" borderId="18" xfId="0" applyFont="1" applyFill="1" applyBorder="1" applyAlignment="1" applyProtection="1">
      <alignment horizontal="center" vertical="center" wrapText="1"/>
      <protection hidden="1"/>
    </xf>
    <xf numFmtId="0" fontId="78" fillId="0" borderId="0" xfId="0" applyFont="1" applyAlignment="1" applyProtection="1">
      <alignment horizontal="center" vertical="center"/>
      <protection locked="0"/>
    </xf>
    <xf numFmtId="168" fontId="12" fillId="2" borderId="51" xfId="0" applyNumberFormat="1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right" vertical="center"/>
      <protection locked="0"/>
    </xf>
    <xf numFmtId="0" fontId="77" fillId="2" borderId="1" xfId="0" applyFont="1" applyFill="1" applyBorder="1" applyAlignment="1" applyProtection="1">
      <alignment horizontal="center" vertical="center"/>
      <protection hidden="1"/>
    </xf>
    <xf numFmtId="0" fontId="31" fillId="4" borderId="39" xfId="0" applyFont="1" applyFill="1" applyBorder="1" applyAlignment="1" applyProtection="1">
      <alignment horizontal="center" vertical="top" wrapText="1"/>
      <protection locked="0"/>
    </xf>
    <xf numFmtId="0" fontId="12" fillId="2" borderId="0" xfId="0" applyFont="1" applyFill="1" applyAlignment="1" applyProtection="1">
      <alignment horizontal="center" vertical="center" wrapText="1"/>
      <protection locked="0"/>
    </xf>
    <xf numFmtId="0" fontId="12" fillId="0" borderId="15" xfId="0" applyFont="1" applyBorder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168" fontId="12" fillId="2" borderId="51" xfId="0" applyNumberFormat="1" applyFont="1" applyFill="1" applyBorder="1" applyAlignment="1" applyProtection="1">
      <alignment horizontal="center" vertical="top" wrapText="1"/>
      <protection locked="0"/>
    </xf>
    <xf numFmtId="0" fontId="12" fillId="2" borderId="34" xfId="0" applyFont="1" applyFill="1" applyBorder="1" applyAlignment="1">
      <alignment horizontal="center" vertical="center"/>
    </xf>
    <xf numFmtId="0" fontId="12" fillId="2" borderId="35" xfId="0" applyFont="1" applyFill="1" applyBorder="1" applyAlignment="1">
      <alignment horizontal="center" vertical="center"/>
    </xf>
    <xf numFmtId="0" fontId="18" fillId="20" borderId="26" xfId="0" applyFont="1" applyFill="1" applyBorder="1" applyAlignment="1">
      <alignment horizontal="center" vertical="center" textRotation="90"/>
    </xf>
    <xf numFmtId="0" fontId="12" fillId="20" borderId="26" xfId="0" applyFont="1" applyFill="1" applyBorder="1" applyAlignment="1">
      <alignment horizontal="center" vertical="center" textRotation="90"/>
    </xf>
    <xf numFmtId="0" fontId="12" fillId="22" borderId="26" xfId="0" applyFont="1" applyFill="1" applyBorder="1" applyAlignment="1">
      <alignment horizontal="center" vertical="center" textRotation="90"/>
    </xf>
    <xf numFmtId="0" fontId="12" fillId="23" borderId="26" xfId="0" applyFont="1" applyFill="1" applyBorder="1" applyAlignment="1">
      <alignment horizontal="center" vertical="center" textRotation="90"/>
    </xf>
    <xf numFmtId="0" fontId="12" fillId="25" borderId="26" xfId="0" applyFont="1" applyFill="1" applyBorder="1" applyAlignment="1">
      <alignment horizontal="center" vertical="center" textRotation="90"/>
    </xf>
    <xf numFmtId="0" fontId="64" fillId="2" borderId="0" xfId="0" applyFont="1" applyFill="1" applyAlignment="1" applyProtection="1">
      <alignment horizontal="center" vertical="center" textRotation="90"/>
      <protection locked="0"/>
    </xf>
    <xf numFmtId="0" fontId="12" fillId="24" borderId="26" xfId="0" applyFont="1" applyFill="1" applyBorder="1" applyAlignment="1">
      <alignment horizontal="center" vertical="center" textRotation="90"/>
    </xf>
    <xf numFmtId="0" fontId="79" fillId="0" borderId="15" xfId="0" applyFont="1" applyBorder="1" applyAlignment="1" applyProtection="1">
      <alignment horizontal="center" vertical="center"/>
      <protection locked="0"/>
    </xf>
    <xf numFmtId="0" fontId="79" fillId="0" borderId="6" xfId="0" applyFont="1" applyBorder="1" applyAlignment="1" applyProtection="1">
      <alignment horizontal="center" vertical="center"/>
      <protection locked="0"/>
    </xf>
    <xf numFmtId="0" fontId="79" fillId="0" borderId="18" xfId="0" applyFont="1" applyBorder="1" applyAlignment="1" applyProtection="1">
      <alignment horizontal="center" vertical="center"/>
      <protection locked="0"/>
    </xf>
    <xf numFmtId="0" fontId="12" fillId="2" borderId="43" xfId="0" applyFont="1" applyFill="1" applyBorder="1" applyAlignment="1">
      <alignment horizontal="center" vertical="center" textRotation="90"/>
    </xf>
    <xf numFmtId="0" fontId="12" fillId="2" borderId="44" xfId="0" applyFont="1" applyFill="1" applyBorder="1" applyAlignment="1">
      <alignment horizontal="center" vertical="center" textRotation="90"/>
    </xf>
    <xf numFmtId="0" fontId="12" fillId="2" borderId="45" xfId="0" applyFont="1" applyFill="1" applyBorder="1" applyAlignment="1">
      <alignment horizontal="center" vertical="center" textRotation="90"/>
    </xf>
  </cellXfs>
  <cellStyles count="15">
    <cellStyle name="Comma" xfId="1" builtinId="3"/>
    <cellStyle name="Comma 2" xfId="2" xr:uid="{00000000-0005-0000-0000-000001000000}"/>
    <cellStyle name="Comma 3" xfId="6" xr:uid="{00000000-0005-0000-0000-000002000000}"/>
    <cellStyle name="Comma 4" xfId="9" xr:uid="{00000000-0005-0000-0000-000003000000}"/>
    <cellStyle name="Comma 5" xfId="14" xr:uid="{2764CEA2-8D40-47FD-B7ED-6EA5E8E303F8}"/>
    <cellStyle name="Normal" xfId="0" builtinId="0"/>
    <cellStyle name="Normal 2" xfId="3" xr:uid="{00000000-0005-0000-0000-000005000000}"/>
    <cellStyle name="Normal 2 2" xfId="7" xr:uid="{00000000-0005-0000-0000-000006000000}"/>
    <cellStyle name="Normal 3" xfId="5" xr:uid="{00000000-0005-0000-0000-000007000000}"/>
    <cellStyle name="Normal 4" xfId="8" xr:uid="{00000000-0005-0000-0000-000008000000}"/>
    <cellStyle name="Normal 5" xfId="12" xr:uid="{00000000-0005-0000-0000-000009000000}"/>
    <cellStyle name="Normal 6" xfId="13" xr:uid="{FCCB4DB5-9459-4B87-9071-2F07DFA86EE6}"/>
    <cellStyle name="Normal_Gia PKKK" xfId="4" xr:uid="{00000000-0005-0000-0000-00000A000000}"/>
    <cellStyle name="Percent" xfId="10" builtinId="5"/>
    <cellStyle name="常规_UPVC bao gia Mr.Quang goc" xfId="11" xr:uid="{00000000-0005-0000-0000-00000C000000}"/>
  </cellStyles>
  <dxfs count="740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b/>
        <i/>
        <strike/>
        <color auto="1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color theme="0"/>
      </font>
    </dxf>
    <dxf>
      <font>
        <color theme="0"/>
      </font>
    </dxf>
    <dxf>
      <font>
        <b/>
        <i/>
        <strike/>
        <color auto="1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FF000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/>
        <strike/>
        <color rgb="FFFF0000"/>
      </font>
      <fill>
        <patternFill>
          <bgColor rgb="FFFFFF00"/>
        </patternFill>
      </fill>
    </dxf>
    <dxf>
      <font>
        <b/>
        <i/>
        <strike/>
        <color auto="1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/>
        <strike/>
        <color auto="1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/>
        <strike/>
        <color auto="1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/>
        <strike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b/>
        <i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b/>
        <i/>
        <strike/>
      </font>
      <fill>
        <patternFill patternType="solid">
          <fgColor auto="1"/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/>
        <strike/>
      </font>
      <fill>
        <patternFill patternType="solid">
          <fgColor auto="1"/>
          <bgColor rgb="FFFF0000"/>
        </patternFill>
      </fill>
    </dxf>
    <dxf>
      <font>
        <b/>
        <i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color theme="0"/>
      </font>
      <border>
        <left style="hair">
          <color auto="1"/>
        </left>
        <right style="hair">
          <color auto="1"/>
        </right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border>
        <top/>
      </border>
    </dxf>
    <dxf>
      <font>
        <color theme="0"/>
      </font>
      <border>
        <top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border>
        <top/>
      </border>
    </dxf>
    <dxf>
      <font>
        <color theme="0"/>
      </font>
      <border>
        <top/>
      </border>
    </dxf>
    <dxf>
      <font>
        <color theme="0"/>
      </font>
      <fill>
        <patternFill>
          <bgColor theme="0"/>
        </patternFill>
      </fill>
    </dxf>
    <dxf>
      <font>
        <b/>
        <i/>
        <strike/>
        <color auto="1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/>
        <strike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left style="thin">
          <color indexed="64"/>
        </lef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left style="thin">
          <color indexed="64"/>
        </lef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  <protection locked="1" hidden="1"/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99"/>
      <color rgb="FFFF6600"/>
      <color rgb="FF02D8EE"/>
      <color rgb="FF66FFFF"/>
      <color rgb="FFFFCCCC"/>
      <color rgb="FFFF66CC"/>
      <color rgb="FF66CCFF"/>
      <color rgb="FF0000FF"/>
      <color rgb="FFFF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jpe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jpeg"/><Relationship Id="rId33" Type="http://schemas.openxmlformats.org/officeDocument/2006/relationships/image" Target="../media/image34.jpe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jpeg"/><Relationship Id="rId32" Type="http://schemas.openxmlformats.org/officeDocument/2006/relationships/image" Target="../media/image33.jpe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jpeg"/><Relationship Id="rId28" Type="http://schemas.openxmlformats.org/officeDocument/2006/relationships/image" Target="../media/image29.jpe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jpe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jpg"/><Relationship Id="rId27" Type="http://schemas.openxmlformats.org/officeDocument/2006/relationships/image" Target="../media/image28.jpeg"/><Relationship Id="rId30" Type="http://schemas.openxmlformats.org/officeDocument/2006/relationships/image" Target="../media/image31.png"/><Relationship Id="rId8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390525</xdr:colOff>
      <xdr:row>0</xdr:row>
      <xdr:rowOff>0</xdr:rowOff>
    </xdr:from>
    <xdr:to>
      <xdr:col>2</xdr:col>
      <xdr:colOff>1352550</xdr:colOff>
      <xdr:row>3</xdr:row>
      <xdr:rowOff>156521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B05E973-102D-4D3A-9F04-E15F33E738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94" b="23529"/>
        <a:stretch/>
      </xdr:blipFill>
      <xdr:spPr>
        <a:xfrm>
          <a:off x="3819525" y="0"/>
          <a:ext cx="962025" cy="7661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550070</xdr:colOff>
      <xdr:row>2</xdr:row>
      <xdr:rowOff>159546</xdr:rowOff>
    </xdr:from>
    <xdr:to>
      <xdr:col>4</xdr:col>
      <xdr:colOff>1083470</xdr:colOff>
      <xdr:row>4</xdr:row>
      <xdr:rowOff>29627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6AE43B33-01E2-4062-9922-14CABEA9C4F3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7320" y="635796"/>
          <a:ext cx="533400" cy="123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357185</xdr:colOff>
      <xdr:row>3</xdr:row>
      <xdr:rowOff>1178720</xdr:rowOff>
    </xdr:from>
    <xdr:to>
      <xdr:col>4</xdr:col>
      <xdr:colOff>1285872</xdr:colOff>
      <xdr:row>4</xdr:row>
      <xdr:rowOff>1189149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139AEF34-E02C-49A2-AFBE-643DED591F6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4435" y="1821658"/>
          <a:ext cx="928687" cy="1212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107157</xdr:colOff>
      <xdr:row>17</xdr:row>
      <xdr:rowOff>1177381</xdr:rowOff>
    </xdr:from>
    <xdr:to>
      <xdr:col>4</xdr:col>
      <xdr:colOff>1457002</xdr:colOff>
      <xdr:row>19</xdr:row>
      <xdr:rowOff>22474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E14C883E-013F-402F-A9AE-76202E649027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2074" y="18565798"/>
          <a:ext cx="1349845" cy="12369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128322</xdr:colOff>
      <xdr:row>4</xdr:row>
      <xdr:rowOff>1185328</xdr:rowOff>
    </xdr:from>
    <xdr:to>
      <xdr:col>4</xdr:col>
      <xdr:colOff>1473728</xdr:colOff>
      <xdr:row>6</xdr:row>
      <xdr:rowOff>27861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A92418C3-A566-49E7-A445-B2BB391DA5F4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3239" y="3026828"/>
          <a:ext cx="1345406" cy="12343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35711</xdr:colOff>
      <xdr:row>6</xdr:row>
      <xdr:rowOff>68785</xdr:rowOff>
    </xdr:from>
    <xdr:to>
      <xdr:col>5</xdr:col>
      <xdr:colOff>47146</xdr:colOff>
      <xdr:row>6</xdr:row>
      <xdr:rowOff>1187972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5B8422E-18AB-4923-9DB6-4D58E70E2E6D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0628" y="4302118"/>
          <a:ext cx="1567185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343958</xdr:colOff>
      <xdr:row>7</xdr:row>
      <xdr:rowOff>5294</xdr:rowOff>
    </xdr:from>
    <xdr:to>
      <xdr:col>4</xdr:col>
      <xdr:colOff>1213114</xdr:colOff>
      <xdr:row>8</xdr:row>
      <xdr:rowOff>17410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9BE75667-460C-4F89-AFF1-7577D7DA65C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5434544"/>
          <a:ext cx="869156" cy="120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428625</xdr:colOff>
      <xdr:row>8</xdr:row>
      <xdr:rowOff>11908</xdr:rowOff>
    </xdr:from>
    <xdr:to>
      <xdr:col>4</xdr:col>
      <xdr:colOff>1119187</xdr:colOff>
      <xdr:row>8</xdr:row>
      <xdr:rowOff>1191618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C3A28971-5A43-4E24-B9FC-C784BAC7601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95875" y="6667502"/>
          <a:ext cx="690562" cy="1179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119060</xdr:colOff>
      <xdr:row>8</xdr:row>
      <xdr:rowOff>1190626</xdr:rowOff>
    </xdr:from>
    <xdr:to>
      <xdr:col>4</xdr:col>
      <xdr:colOff>1440654</xdr:colOff>
      <xdr:row>10</xdr:row>
      <xdr:rowOff>18332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87404C94-C21B-461F-8B62-30A54639220E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6310" y="7846220"/>
          <a:ext cx="1321594" cy="12327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11908</xdr:colOff>
      <xdr:row>11</xdr:row>
      <xdr:rowOff>15867</xdr:rowOff>
    </xdr:from>
    <xdr:to>
      <xdr:col>5</xdr:col>
      <xdr:colOff>26254</xdr:colOff>
      <xdr:row>11</xdr:row>
      <xdr:rowOff>1135054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5EBBD375-6BA9-4724-9B39-AA6C106FBF3B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6825" y="10228784"/>
          <a:ext cx="1570096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59531</xdr:colOff>
      <xdr:row>11</xdr:row>
      <xdr:rowOff>1168391</xdr:rowOff>
    </xdr:from>
    <xdr:to>
      <xdr:col>4</xdr:col>
      <xdr:colOff>1464468</xdr:colOff>
      <xdr:row>12</xdr:row>
      <xdr:rowOff>1186772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4033BD54-4D58-4B3B-A625-0C378D7F3EE1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4448" y="11381308"/>
          <a:ext cx="1404937" cy="1214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319087</xdr:colOff>
      <xdr:row>12</xdr:row>
      <xdr:rowOff>1164161</xdr:rowOff>
    </xdr:from>
    <xdr:to>
      <xdr:col>4</xdr:col>
      <xdr:colOff>1188243</xdr:colOff>
      <xdr:row>13</xdr:row>
      <xdr:rowOff>1180511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63BBA5B4-E484-44D3-9294-6B9FDD42A181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4004" y="12572994"/>
          <a:ext cx="869156" cy="1212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1652589</xdr:colOff>
      <xdr:row>17</xdr:row>
      <xdr:rowOff>43904</xdr:rowOff>
    </xdr:from>
    <xdr:to>
      <xdr:col>5</xdr:col>
      <xdr:colOff>2440</xdr:colOff>
      <xdr:row>17</xdr:row>
      <xdr:rowOff>1163091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D740A7CD-C59B-4D13-B05D-547F2FCAE205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5922" y="17432321"/>
          <a:ext cx="1567185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19</xdr:row>
      <xdr:rowOff>48666</xdr:rowOff>
    </xdr:from>
    <xdr:to>
      <xdr:col>5</xdr:col>
      <xdr:colOff>38100</xdr:colOff>
      <xdr:row>19</xdr:row>
      <xdr:rowOff>1188305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25CC7EAB-AB53-4DDA-882B-948AA2A6AF4D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4917" y="19828916"/>
          <a:ext cx="1593850" cy="11396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490535</xdr:colOff>
      <xdr:row>22</xdr:row>
      <xdr:rowOff>10567</xdr:rowOff>
    </xdr:from>
    <xdr:to>
      <xdr:col>4</xdr:col>
      <xdr:colOff>1023935</xdr:colOff>
      <xdr:row>23</xdr:row>
      <xdr:rowOff>47335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183B68AF-14FF-47DF-8D88-6FED27F2D4B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5452" y="23378567"/>
          <a:ext cx="533400" cy="1232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297650</xdr:colOff>
      <xdr:row>23</xdr:row>
      <xdr:rowOff>512</xdr:rowOff>
    </xdr:from>
    <xdr:to>
      <xdr:col>4</xdr:col>
      <xdr:colOff>1226337</xdr:colOff>
      <xdr:row>24</xdr:row>
      <xdr:rowOff>10941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1F6FDAE5-8FB1-48C4-B0EB-039F9485121B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2567" y="24564429"/>
          <a:ext cx="928687" cy="12063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35710</xdr:colOff>
      <xdr:row>20</xdr:row>
      <xdr:rowOff>158204</xdr:rowOff>
    </xdr:from>
    <xdr:to>
      <xdr:col>5</xdr:col>
      <xdr:colOff>1451</xdr:colOff>
      <xdr:row>20</xdr:row>
      <xdr:rowOff>1039268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23A8577-A2CD-4384-8EE4-FDF07CA16881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0627" y="21134371"/>
          <a:ext cx="1521491" cy="8810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9516</xdr:colOff>
      <xdr:row>21</xdr:row>
      <xdr:rowOff>182018</xdr:rowOff>
    </xdr:from>
    <xdr:to>
      <xdr:col>4</xdr:col>
      <xdr:colOff>1539481</xdr:colOff>
      <xdr:row>21</xdr:row>
      <xdr:rowOff>934493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C5261894-9D8F-4FC0-AA0A-7065249920E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4433" y="22354101"/>
          <a:ext cx="152996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107156</xdr:colOff>
      <xdr:row>24</xdr:row>
      <xdr:rowOff>10568</xdr:rowOff>
    </xdr:from>
    <xdr:to>
      <xdr:col>4</xdr:col>
      <xdr:colOff>1452562</xdr:colOff>
      <xdr:row>25</xdr:row>
      <xdr:rowOff>49017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A307F826-300A-4534-B71F-58CA3045FB23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2073" y="25770401"/>
          <a:ext cx="1345406" cy="12343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25</xdr:row>
      <xdr:rowOff>58191</xdr:rowOff>
    </xdr:from>
    <xdr:to>
      <xdr:col>5</xdr:col>
      <xdr:colOff>14346</xdr:colOff>
      <xdr:row>25</xdr:row>
      <xdr:rowOff>1177378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61C61E28-9FA3-4AB2-94D0-09FF3AA8253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4917" y="27013941"/>
          <a:ext cx="1570096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345282</xdr:colOff>
      <xdr:row>28</xdr:row>
      <xdr:rowOff>10569</xdr:rowOff>
    </xdr:from>
    <xdr:to>
      <xdr:col>4</xdr:col>
      <xdr:colOff>1214438</xdr:colOff>
      <xdr:row>29</xdr:row>
      <xdr:rowOff>29300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FE37692-C7D6-455C-A283-FCF785E58A63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0199" y="30554069"/>
          <a:ext cx="869156" cy="1214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500063</xdr:colOff>
      <xdr:row>25</xdr:row>
      <xdr:rowOff>1177380</xdr:rowOff>
    </xdr:from>
    <xdr:to>
      <xdr:col>4</xdr:col>
      <xdr:colOff>1047751</xdr:colOff>
      <xdr:row>27</xdr:row>
      <xdr:rowOff>29002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3F5B3AC5-5DC3-4A43-995A-522886B2422A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4980" y="28133130"/>
          <a:ext cx="547688" cy="12434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312256</xdr:colOff>
      <xdr:row>27</xdr:row>
      <xdr:rowOff>5278</xdr:rowOff>
    </xdr:from>
    <xdr:to>
      <xdr:col>4</xdr:col>
      <xdr:colOff>1250157</xdr:colOff>
      <xdr:row>28</xdr:row>
      <xdr:rowOff>29147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55697F87-CFF6-4E57-ACBE-CBE0B419B1EC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7173" y="29352861"/>
          <a:ext cx="937901" cy="12197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107152</xdr:colOff>
      <xdr:row>29</xdr:row>
      <xdr:rowOff>10567</xdr:rowOff>
    </xdr:from>
    <xdr:to>
      <xdr:col>4</xdr:col>
      <xdr:colOff>1428746</xdr:colOff>
      <xdr:row>30</xdr:row>
      <xdr:rowOff>40805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D47677C0-213A-43AB-8A8E-0148400E4F47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2069" y="31749984"/>
          <a:ext cx="1321594" cy="12261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31</xdr:row>
      <xdr:rowOff>91255</xdr:rowOff>
    </xdr:from>
    <xdr:to>
      <xdr:col>5</xdr:col>
      <xdr:colOff>14346</xdr:colOff>
      <xdr:row>32</xdr:row>
      <xdr:rowOff>14525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668CA1E8-271D-4575-9E27-8C3B55B0E63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4917" y="34222505"/>
          <a:ext cx="1570096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345282</xdr:colOff>
      <xdr:row>32</xdr:row>
      <xdr:rowOff>31724</xdr:rowOff>
    </xdr:from>
    <xdr:to>
      <xdr:col>4</xdr:col>
      <xdr:colOff>1214438</xdr:colOff>
      <xdr:row>33</xdr:row>
      <xdr:rowOff>50456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8D848BAD-E404-4BD8-ADCB-4A0F0821FA05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0199" y="35358891"/>
          <a:ext cx="869156" cy="1214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23813</xdr:colOff>
      <xdr:row>35</xdr:row>
      <xdr:rowOff>62133</xdr:rowOff>
    </xdr:from>
    <xdr:to>
      <xdr:col>5</xdr:col>
      <xdr:colOff>38159</xdr:colOff>
      <xdr:row>35</xdr:row>
      <xdr:rowOff>1177087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79B67AFA-1659-4FE3-BBB1-733430C87F81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8730" y="38977050"/>
          <a:ext cx="1570096" cy="1114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36</xdr:row>
      <xdr:rowOff>157386</xdr:rowOff>
    </xdr:from>
    <xdr:to>
      <xdr:col>4</xdr:col>
      <xdr:colOff>1545196</xdr:colOff>
      <xdr:row>36</xdr:row>
      <xdr:rowOff>1026542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20056967-899B-47EC-BB8F-7A70307507D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4918" y="40268219"/>
          <a:ext cx="1545195" cy="869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564356</xdr:colOff>
      <xdr:row>39</xdr:row>
      <xdr:rowOff>9748</xdr:rowOff>
    </xdr:from>
    <xdr:to>
      <xdr:col>4</xdr:col>
      <xdr:colOff>1097756</xdr:colOff>
      <xdr:row>40</xdr:row>
      <xdr:rowOff>44134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80BF5D4E-F3E0-4C9F-AC8D-C4DEABD4498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9273" y="43708331"/>
          <a:ext cx="533400" cy="12303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371471</xdr:colOff>
      <xdr:row>39</xdr:row>
      <xdr:rowOff>1188994</xdr:rowOff>
    </xdr:from>
    <xdr:to>
      <xdr:col>4</xdr:col>
      <xdr:colOff>1300158</xdr:colOff>
      <xdr:row>41</xdr:row>
      <xdr:rowOff>3506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374BFB23-A207-4E19-AE3E-F14C5CEFC4DE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6388" y="44887577"/>
          <a:ext cx="928687" cy="1206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111918</xdr:colOff>
      <xdr:row>49</xdr:row>
      <xdr:rowOff>9746</xdr:rowOff>
    </xdr:from>
    <xdr:to>
      <xdr:col>4</xdr:col>
      <xdr:colOff>1400175</xdr:colOff>
      <xdr:row>49</xdr:row>
      <xdr:rowOff>1194084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977669D-20B6-4529-8267-92DFBF828532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6835" y="55667496"/>
          <a:ext cx="1288257" cy="1184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121441</xdr:colOff>
      <xdr:row>41</xdr:row>
      <xdr:rowOff>14508</xdr:rowOff>
    </xdr:from>
    <xdr:to>
      <xdr:col>4</xdr:col>
      <xdr:colOff>1466847</xdr:colOff>
      <xdr:row>42</xdr:row>
      <xdr:rowOff>52959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BDF2FD28-DE75-45CD-B42B-62057CF82B99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6358" y="46104925"/>
          <a:ext cx="1345406" cy="1234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14285</xdr:colOff>
      <xdr:row>42</xdr:row>
      <xdr:rowOff>62133</xdr:rowOff>
    </xdr:from>
    <xdr:to>
      <xdr:col>5</xdr:col>
      <xdr:colOff>28631</xdr:colOff>
      <xdr:row>42</xdr:row>
      <xdr:rowOff>1177086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6F7F019F-0A95-438F-8081-459C374272CF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9202" y="47348466"/>
          <a:ext cx="1570096" cy="11149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347661</xdr:colOff>
      <xdr:row>43</xdr:row>
      <xdr:rowOff>4985</xdr:rowOff>
    </xdr:from>
    <xdr:to>
      <xdr:col>4</xdr:col>
      <xdr:colOff>1216817</xdr:colOff>
      <xdr:row>44</xdr:row>
      <xdr:rowOff>21334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E37C682A-9344-42CD-8A2C-ECDC03273B0F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2578" y="48487235"/>
          <a:ext cx="869156" cy="12122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1647211</xdr:colOff>
      <xdr:row>45</xdr:row>
      <xdr:rowOff>24034</xdr:rowOff>
    </xdr:from>
    <xdr:to>
      <xdr:col>5</xdr:col>
      <xdr:colOff>11965</xdr:colOff>
      <xdr:row>45</xdr:row>
      <xdr:rowOff>1131318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DB6B31CA-1A78-4E4D-B111-30A02647B8BC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0544" y="50898117"/>
          <a:ext cx="1582088" cy="1107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333373</xdr:colOff>
      <xdr:row>47</xdr:row>
      <xdr:rowOff>12128</xdr:rowOff>
    </xdr:from>
    <xdr:to>
      <xdr:col>4</xdr:col>
      <xdr:colOff>1202529</xdr:colOff>
      <xdr:row>48</xdr:row>
      <xdr:rowOff>30860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C2BB39F3-A9BC-4A57-877F-85070D5D5C2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8290" y="53278045"/>
          <a:ext cx="869156" cy="1214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48</xdr:row>
      <xdr:rowOff>35939</xdr:rowOff>
    </xdr:from>
    <xdr:to>
      <xdr:col>5</xdr:col>
      <xdr:colOff>14346</xdr:colOff>
      <xdr:row>48</xdr:row>
      <xdr:rowOff>1155126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B58B778B-97F0-47A5-802A-2F00612D6293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4917" y="54497772"/>
          <a:ext cx="1570096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4761</xdr:colOff>
      <xdr:row>50</xdr:row>
      <xdr:rowOff>43081</xdr:rowOff>
    </xdr:from>
    <xdr:to>
      <xdr:col>5</xdr:col>
      <xdr:colOff>9525</xdr:colOff>
      <xdr:row>50</xdr:row>
      <xdr:rowOff>1156618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1B3ABA79-FF60-4BB5-B4FF-B30137CC6D97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9678" y="56896748"/>
          <a:ext cx="1560514" cy="11135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495296</xdr:colOff>
      <xdr:row>53</xdr:row>
      <xdr:rowOff>4982</xdr:rowOff>
    </xdr:from>
    <xdr:to>
      <xdr:col>4</xdr:col>
      <xdr:colOff>1028696</xdr:colOff>
      <xdr:row>54</xdr:row>
      <xdr:rowOff>41751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997E5626-E360-42D4-86B6-059FCED7EDC1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0213" y="60446399"/>
          <a:ext cx="533400" cy="1232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302411</xdr:colOff>
      <xdr:row>53</xdr:row>
      <xdr:rowOff>1186611</xdr:rowOff>
    </xdr:from>
    <xdr:to>
      <xdr:col>4</xdr:col>
      <xdr:colOff>1231098</xdr:colOff>
      <xdr:row>54</xdr:row>
      <xdr:rowOff>1194658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92A02A9F-2F90-4B3A-B663-FE88355D48A2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7328" y="61628028"/>
          <a:ext cx="928687" cy="1203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2379</xdr:colOff>
      <xdr:row>51</xdr:row>
      <xdr:rowOff>162144</xdr:rowOff>
    </xdr:from>
    <xdr:to>
      <xdr:col>5</xdr:col>
      <xdr:colOff>0</xdr:colOff>
      <xdr:row>51</xdr:row>
      <xdr:rowOff>1059890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48CE7CEC-A9E4-46D2-98A2-1EF2ECA2CAA9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7296" y="58211727"/>
          <a:ext cx="1553371" cy="897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14286</xdr:colOff>
      <xdr:row>52</xdr:row>
      <xdr:rowOff>233582</xdr:rowOff>
    </xdr:from>
    <xdr:to>
      <xdr:col>4</xdr:col>
      <xdr:colOff>1549100</xdr:colOff>
      <xdr:row>52</xdr:row>
      <xdr:rowOff>988442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D9A8446B-E249-4012-8115-4CB878A80D9B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9203" y="59479082"/>
          <a:ext cx="1534814" cy="754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111917</xdr:colOff>
      <xdr:row>55</xdr:row>
      <xdr:rowOff>4982</xdr:rowOff>
    </xdr:from>
    <xdr:to>
      <xdr:col>4</xdr:col>
      <xdr:colOff>1400175</xdr:colOff>
      <xdr:row>55</xdr:row>
      <xdr:rowOff>1186738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0B83AF56-BE0E-4DF1-851E-FBC76C19655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6834" y="62838232"/>
          <a:ext cx="1288258" cy="11817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4761</xdr:colOff>
      <xdr:row>56</xdr:row>
      <xdr:rowOff>52606</xdr:rowOff>
    </xdr:from>
    <xdr:to>
      <xdr:col>5</xdr:col>
      <xdr:colOff>19107</xdr:colOff>
      <xdr:row>56</xdr:row>
      <xdr:rowOff>1171793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7CA2787B-A544-4B0D-BA2A-3A4A1311DAFA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9678" y="64081773"/>
          <a:ext cx="1570096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350043</xdr:colOff>
      <xdr:row>59</xdr:row>
      <xdr:rowOff>24034</xdr:rowOff>
    </xdr:from>
    <xdr:to>
      <xdr:col>4</xdr:col>
      <xdr:colOff>1166789</xdr:colOff>
      <xdr:row>59</xdr:row>
      <xdr:rowOff>1169417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B1037244-8749-4509-8D04-6866E0C9F5A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4960" y="67640951"/>
          <a:ext cx="816746" cy="11453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504824</xdr:colOff>
      <xdr:row>57</xdr:row>
      <xdr:rowOff>9747</xdr:rowOff>
    </xdr:from>
    <xdr:to>
      <xdr:col>4</xdr:col>
      <xdr:colOff>1012155</xdr:colOff>
      <xdr:row>57</xdr:row>
      <xdr:rowOff>1169419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D15764B3-ECB8-444F-A7F4-7BCE865B4AE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9741" y="65234830"/>
          <a:ext cx="507331" cy="11596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317017</xdr:colOff>
      <xdr:row>58</xdr:row>
      <xdr:rowOff>4985</xdr:rowOff>
    </xdr:from>
    <xdr:to>
      <xdr:col>4</xdr:col>
      <xdr:colOff>1219200</xdr:colOff>
      <xdr:row>58</xdr:row>
      <xdr:rowOff>1182230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0BF2D332-E5A2-4513-8B3A-4AABC61D65AE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1934" y="66425985"/>
          <a:ext cx="902183" cy="11772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23812</xdr:colOff>
      <xdr:row>60</xdr:row>
      <xdr:rowOff>54988</xdr:rowOff>
    </xdr:from>
    <xdr:to>
      <xdr:col>4</xdr:col>
      <xdr:colOff>1544066</xdr:colOff>
      <xdr:row>60</xdr:row>
      <xdr:rowOff>1140843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CB75CEE0-631C-4117-AC7E-14DB12C39C8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8729" y="68867821"/>
          <a:ext cx="1520254" cy="108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359568</xdr:colOff>
      <xdr:row>60</xdr:row>
      <xdr:rowOff>1181849</xdr:rowOff>
    </xdr:from>
    <xdr:to>
      <xdr:col>4</xdr:col>
      <xdr:colOff>1209675</xdr:colOff>
      <xdr:row>61</xdr:row>
      <xdr:rowOff>1178099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C8222FC1-925D-4076-B5B7-D01664BB6101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4485" y="69994682"/>
          <a:ext cx="850107" cy="11921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19049</xdr:colOff>
      <xdr:row>62</xdr:row>
      <xdr:rowOff>50223</xdr:rowOff>
    </xdr:from>
    <xdr:to>
      <xdr:col>5</xdr:col>
      <xdr:colOff>33395</xdr:colOff>
      <xdr:row>62</xdr:row>
      <xdr:rowOff>1167029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D24B07D6-960B-4B0E-AC4F-C406432E0CE2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966" y="71254890"/>
          <a:ext cx="1570096" cy="1116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4762</xdr:colOff>
      <xdr:row>63</xdr:row>
      <xdr:rowOff>164526</xdr:rowOff>
    </xdr:from>
    <xdr:to>
      <xdr:col>5</xdr:col>
      <xdr:colOff>2145</xdr:colOff>
      <xdr:row>63</xdr:row>
      <xdr:rowOff>1033682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2A0204C0-73C1-4104-8BD9-CB537E6C549E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9679" y="72565109"/>
          <a:ext cx="1553133" cy="869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529431</xdr:colOff>
      <xdr:row>66</xdr:row>
      <xdr:rowOff>28533</xdr:rowOff>
    </xdr:from>
    <xdr:to>
      <xdr:col>4</xdr:col>
      <xdr:colOff>1041400</xdr:colOff>
      <xdr:row>67</xdr:row>
      <xdr:rowOff>15604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AA093713-209A-412F-A49A-21D7E5090AB7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4348" y="76016866"/>
          <a:ext cx="511969" cy="118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356654</xdr:colOff>
      <xdr:row>70</xdr:row>
      <xdr:rowOff>482</xdr:rowOff>
    </xdr:from>
    <xdr:to>
      <xdr:col>4</xdr:col>
      <xdr:colOff>1242483</xdr:colOff>
      <xdr:row>70</xdr:row>
      <xdr:rowOff>1155194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74756E03-6A52-4FC8-9FB9-63CAC75BE34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1571" y="80772482"/>
          <a:ext cx="885829" cy="11547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97628</xdr:colOff>
      <xdr:row>78</xdr:row>
      <xdr:rowOff>1181836</xdr:rowOff>
    </xdr:from>
    <xdr:to>
      <xdr:col>4</xdr:col>
      <xdr:colOff>1443034</xdr:colOff>
      <xdr:row>80</xdr:row>
      <xdr:rowOff>21987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B29D47D2-5E89-48C0-BBDB-044CA1E71F32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2545" y="91521169"/>
          <a:ext cx="1345406" cy="12319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44978</xdr:colOff>
      <xdr:row>73</xdr:row>
      <xdr:rowOff>48108</xdr:rowOff>
    </xdr:from>
    <xdr:to>
      <xdr:col>5</xdr:col>
      <xdr:colOff>8467</xdr:colOff>
      <xdr:row>73</xdr:row>
      <xdr:rowOff>1133238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588DB423-4631-4ED2-9746-2E24DFFAA04F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9895" y="84407858"/>
          <a:ext cx="1519239" cy="1085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349778</xdr:colOff>
      <xdr:row>73</xdr:row>
      <xdr:rowOff>1160674</xdr:rowOff>
    </xdr:from>
    <xdr:to>
      <xdr:col>4</xdr:col>
      <xdr:colOff>1218934</xdr:colOff>
      <xdr:row>74</xdr:row>
      <xdr:rowOff>1179404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A0452C9B-9586-4ED4-B35E-935EDE1A1823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4695" y="85520424"/>
          <a:ext cx="869156" cy="1214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142875</xdr:colOff>
      <xdr:row>74</xdr:row>
      <xdr:rowOff>1175891</xdr:rowOff>
    </xdr:from>
    <xdr:to>
      <xdr:col>4</xdr:col>
      <xdr:colOff>1407314</xdr:colOff>
      <xdr:row>75</xdr:row>
      <xdr:rowOff>1155196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3750CF7C-5C71-4D21-834A-11CC8E55B60F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7792" y="86731558"/>
          <a:ext cx="1264439" cy="11752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4762</xdr:colOff>
      <xdr:row>76</xdr:row>
      <xdr:rowOff>29053</xdr:rowOff>
    </xdr:from>
    <xdr:to>
      <xdr:col>5</xdr:col>
      <xdr:colOff>19108</xdr:colOff>
      <xdr:row>76</xdr:row>
      <xdr:rowOff>1148240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8A2CDD8C-1745-46F2-AA99-A1BC1407B64E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9679" y="87976553"/>
          <a:ext cx="1570096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333372</xdr:colOff>
      <xdr:row>81</xdr:row>
      <xdr:rowOff>1179728</xdr:rowOff>
    </xdr:from>
    <xdr:to>
      <xdr:col>4</xdr:col>
      <xdr:colOff>1202528</xdr:colOff>
      <xdr:row>83</xdr:row>
      <xdr:rowOff>2542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E82DB94-F30D-45D8-AE86-B0BFA8FE15B2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8289" y="95106811"/>
          <a:ext cx="869156" cy="1214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37946</xdr:colOff>
      <xdr:row>84</xdr:row>
      <xdr:rowOff>75094</xdr:rowOff>
    </xdr:from>
    <xdr:to>
      <xdr:col>5</xdr:col>
      <xdr:colOff>4813</xdr:colOff>
      <xdr:row>84</xdr:row>
      <xdr:rowOff>1170473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17453B5D-50C4-4FE2-9C01-4786E00D4A57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2863" y="97589927"/>
          <a:ext cx="1522617" cy="10953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523871</xdr:colOff>
      <xdr:row>86</xdr:row>
      <xdr:rowOff>1187141</xdr:rowOff>
    </xdr:from>
    <xdr:to>
      <xdr:col>4</xdr:col>
      <xdr:colOff>1057271</xdr:colOff>
      <xdr:row>88</xdr:row>
      <xdr:rowOff>23760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47769650-27B8-4EB3-BFF1-BD99D0E45E5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8788" y="101093808"/>
          <a:ext cx="533400" cy="12284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330987</xdr:colOff>
      <xdr:row>88</xdr:row>
      <xdr:rowOff>8687</xdr:rowOff>
    </xdr:from>
    <xdr:to>
      <xdr:col>4</xdr:col>
      <xdr:colOff>1238251</xdr:colOff>
      <xdr:row>88</xdr:row>
      <xdr:rowOff>1184780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E37A1DD6-1511-4A4A-98DA-7313A7F48E17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5904" y="102307187"/>
          <a:ext cx="907264" cy="1176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138111</xdr:colOff>
      <xdr:row>89</xdr:row>
      <xdr:rowOff>13447</xdr:rowOff>
    </xdr:from>
    <xdr:to>
      <xdr:col>4</xdr:col>
      <xdr:colOff>1415762</xdr:colOff>
      <xdr:row>89</xdr:row>
      <xdr:rowOff>1183176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7E79FFCE-A5E9-494E-8B87-A89997558BF4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3028" y="103507864"/>
          <a:ext cx="1277651" cy="1169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16660</xdr:colOff>
      <xdr:row>90</xdr:row>
      <xdr:rowOff>52604</xdr:rowOff>
    </xdr:from>
    <xdr:to>
      <xdr:col>5</xdr:col>
      <xdr:colOff>23861</xdr:colOff>
      <xdr:row>90</xdr:row>
      <xdr:rowOff>1171791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869270E7-9916-4ED1-AD53-31395073DDE9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1577" y="104742937"/>
          <a:ext cx="1562951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407193</xdr:colOff>
      <xdr:row>90</xdr:row>
      <xdr:rowOff>1191377</xdr:rowOff>
    </xdr:from>
    <xdr:to>
      <xdr:col>4</xdr:col>
      <xdr:colOff>1276349</xdr:colOff>
      <xdr:row>92</xdr:row>
      <xdr:rowOff>11809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2C12AE59-6EE2-4034-B9B9-801749933A02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2110" y="105881710"/>
          <a:ext cx="869156" cy="12122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466724</xdr:colOff>
      <xdr:row>80</xdr:row>
      <xdr:rowOff>1117284</xdr:rowOff>
    </xdr:from>
    <xdr:to>
      <xdr:col>4</xdr:col>
      <xdr:colOff>1014412</xdr:colOff>
      <xdr:row>81</xdr:row>
      <xdr:rowOff>1164823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E6F46FEA-F3D3-4827-B1B3-42B9A4B2FDEB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1641" y="93848451"/>
          <a:ext cx="547688" cy="12434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21430</xdr:colOff>
      <xdr:row>92</xdr:row>
      <xdr:rowOff>8944</xdr:rowOff>
    </xdr:from>
    <xdr:to>
      <xdr:col>5</xdr:col>
      <xdr:colOff>35776</xdr:colOff>
      <xdr:row>92</xdr:row>
      <xdr:rowOff>1128131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936C3181-9FCB-4442-A9ED-87A746497C54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6347" y="107091111"/>
          <a:ext cx="1570096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8995</xdr:colOff>
      <xdr:row>105</xdr:row>
      <xdr:rowOff>186217</xdr:rowOff>
    </xdr:from>
    <xdr:to>
      <xdr:col>5</xdr:col>
      <xdr:colOff>6378</xdr:colOff>
      <xdr:row>105</xdr:row>
      <xdr:rowOff>1055373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B9E86AE6-5A04-43C6-8246-E71A193D4AB5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3912" y="122815300"/>
          <a:ext cx="1553133" cy="869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316177</xdr:colOff>
      <xdr:row>70</xdr:row>
      <xdr:rowOff>1182112</xdr:rowOff>
    </xdr:from>
    <xdr:to>
      <xdr:col>4</xdr:col>
      <xdr:colOff>1244864</xdr:colOff>
      <xdr:row>71</xdr:row>
      <xdr:rowOff>1192539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ADD5B44A-2F55-4143-B402-6ECD2A48F04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1094" y="81954112"/>
          <a:ext cx="928687" cy="1206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285750</xdr:colOff>
      <xdr:row>77</xdr:row>
      <xdr:rowOff>1191360</xdr:rowOff>
    </xdr:from>
    <xdr:to>
      <xdr:col>4</xdr:col>
      <xdr:colOff>1214437</xdr:colOff>
      <xdr:row>79</xdr:row>
      <xdr:rowOff>5873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5D87018C-D3E8-4A87-8F2F-6305C73E80B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80667" y="90334777"/>
          <a:ext cx="928687" cy="1206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490540</xdr:colOff>
      <xdr:row>76</xdr:row>
      <xdr:rowOff>1172585</xdr:rowOff>
    </xdr:from>
    <xdr:to>
      <xdr:col>4</xdr:col>
      <xdr:colOff>1023940</xdr:colOff>
      <xdr:row>78</xdr:row>
      <xdr:rowOff>11056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D12020D1-301C-494D-BE55-DA544D58060F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5457" y="89120085"/>
          <a:ext cx="533400" cy="1230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11906</xdr:colOff>
      <xdr:row>80</xdr:row>
      <xdr:rowOff>47832</xdr:rowOff>
    </xdr:from>
    <xdr:to>
      <xdr:col>5</xdr:col>
      <xdr:colOff>26252</xdr:colOff>
      <xdr:row>80</xdr:row>
      <xdr:rowOff>1167019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1D0B008D-3D11-49D1-BC75-F65708634E49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6823" y="92778999"/>
          <a:ext cx="1570096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130966</xdr:colOff>
      <xdr:row>82</xdr:row>
      <xdr:rowOff>1194815</xdr:rowOff>
    </xdr:from>
    <xdr:to>
      <xdr:col>4</xdr:col>
      <xdr:colOff>1452560</xdr:colOff>
      <xdr:row>84</xdr:row>
      <xdr:rowOff>29134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4D572FF5-8B55-4808-8776-4CE0C2BD9AF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5883" y="96317815"/>
          <a:ext cx="1321594" cy="1226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102393</xdr:colOff>
      <xdr:row>92</xdr:row>
      <xdr:rowOff>1159612</xdr:rowOff>
    </xdr:from>
    <xdr:to>
      <xdr:col>4</xdr:col>
      <xdr:colOff>1452238</xdr:colOff>
      <xdr:row>94</xdr:row>
      <xdr:rowOff>11321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AD85F704-DA0A-4DEA-B1E4-39CCE0C24F04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7310" y="108241779"/>
          <a:ext cx="1349845" cy="12435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35717</xdr:colOff>
      <xdr:row>94</xdr:row>
      <xdr:rowOff>60793</xdr:rowOff>
    </xdr:from>
    <xdr:to>
      <xdr:col>4</xdr:col>
      <xdr:colOff>1533525</xdr:colOff>
      <xdr:row>94</xdr:row>
      <xdr:rowOff>1131764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3E7B344E-7A4A-4BD4-82D3-5B57EF881FBD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0634" y="109534793"/>
          <a:ext cx="1497808" cy="1070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30956</xdr:colOff>
      <xdr:row>95</xdr:row>
      <xdr:rowOff>158158</xdr:rowOff>
    </xdr:from>
    <xdr:to>
      <xdr:col>5</xdr:col>
      <xdr:colOff>32683</xdr:colOff>
      <xdr:row>95</xdr:row>
      <xdr:rowOff>1058282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70356450-BB7A-42A6-B220-BD126BA6F1EF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5873" y="110828075"/>
          <a:ext cx="1557477" cy="9001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1647824</xdr:colOff>
      <xdr:row>95</xdr:row>
      <xdr:rowOff>1182107</xdr:rowOff>
    </xdr:from>
    <xdr:to>
      <xdr:col>5</xdr:col>
      <xdr:colOff>30748</xdr:colOff>
      <xdr:row>97</xdr:row>
      <xdr:rowOff>5239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1F610099-5509-40C8-9EAA-333735CB446E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1157" y="111852024"/>
          <a:ext cx="1600258" cy="1214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85</xdr:row>
      <xdr:rowOff>173521</xdr:rowOff>
    </xdr:from>
    <xdr:to>
      <xdr:col>4</xdr:col>
      <xdr:colOff>1545195</xdr:colOff>
      <xdr:row>85</xdr:row>
      <xdr:rowOff>1042677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5863A7F6-5FE0-4ABE-9537-883DCD91854A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4917" y="98884271"/>
          <a:ext cx="1545195" cy="869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86</xdr:row>
      <xdr:rowOff>221146</xdr:rowOff>
    </xdr:from>
    <xdr:to>
      <xdr:col>4</xdr:col>
      <xdr:colOff>1545195</xdr:colOff>
      <xdr:row>86</xdr:row>
      <xdr:rowOff>1090302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87BC8187-9AC4-4DB2-B68F-E490EEBD0E6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4917" y="100127813"/>
          <a:ext cx="1545195" cy="869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491067</xdr:colOff>
      <xdr:row>98</xdr:row>
      <xdr:rowOff>2329</xdr:rowOff>
    </xdr:from>
    <xdr:to>
      <xdr:col>4</xdr:col>
      <xdr:colOff>1024467</xdr:colOff>
      <xdr:row>99</xdr:row>
      <xdr:rowOff>39098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420799DD-B643-4D96-8D8A-C8CAA357411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5984" y="114259996"/>
          <a:ext cx="533400" cy="1232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298182</xdr:colOff>
      <xdr:row>99</xdr:row>
      <xdr:rowOff>1800</xdr:rowOff>
    </xdr:from>
    <xdr:to>
      <xdr:col>4</xdr:col>
      <xdr:colOff>1226869</xdr:colOff>
      <xdr:row>100</xdr:row>
      <xdr:rowOff>7995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CE1B67C7-EB41-42D5-A9E6-78BE83B18EFA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3099" y="115455383"/>
          <a:ext cx="928687" cy="12021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37042</xdr:colOff>
      <xdr:row>106</xdr:row>
      <xdr:rowOff>82506</xdr:rowOff>
    </xdr:from>
    <xdr:to>
      <xdr:col>5</xdr:col>
      <xdr:colOff>29662</xdr:colOff>
      <xdr:row>106</xdr:row>
      <xdr:rowOff>951662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E84BFD31-97CF-4E07-AFB4-5EAA0BC58015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1959" y="123907506"/>
          <a:ext cx="1548370" cy="869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91014</xdr:colOff>
      <xdr:row>100</xdr:row>
      <xdr:rowOff>21649</xdr:rowOff>
    </xdr:from>
    <xdr:to>
      <xdr:col>4</xdr:col>
      <xdr:colOff>1436420</xdr:colOff>
      <xdr:row>101</xdr:row>
      <xdr:rowOff>53484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73340ACD-7B8E-498D-8313-D1ADFFFB4FB3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5931" y="116671149"/>
          <a:ext cx="1345406" cy="12277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9525</xdr:colOff>
      <xdr:row>101</xdr:row>
      <xdr:rowOff>79594</xdr:rowOff>
    </xdr:from>
    <xdr:to>
      <xdr:col>5</xdr:col>
      <xdr:colOff>23871</xdr:colOff>
      <xdr:row>102</xdr:row>
      <xdr:rowOff>2865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21192290-A4CF-4630-8497-246B3CD4F1BD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4442" y="117925011"/>
          <a:ext cx="1570096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547682</xdr:colOff>
      <xdr:row>101</xdr:row>
      <xdr:rowOff>1184493</xdr:rowOff>
    </xdr:from>
    <xdr:to>
      <xdr:col>4</xdr:col>
      <xdr:colOff>1095370</xdr:colOff>
      <xdr:row>103</xdr:row>
      <xdr:rowOff>36115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53BF1FCF-15BD-499F-BAF4-262EEB583121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42599" y="119029910"/>
          <a:ext cx="547688" cy="12434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404813</xdr:colOff>
      <xdr:row>103</xdr:row>
      <xdr:rowOff>20062</xdr:rowOff>
    </xdr:from>
    <xdr:to>
      <xdr:col>4</xdr:col>
      <xdr:colOff>1273969</xdr:colOff>
      <xdr:row>104</xdr:row>
      <xdr:rowOff>36411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E67A4AC0-3186-4DDD-ADF2-C365986992E9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9730" y="120257312"/>
          <a:ext cx="869156" cy="12122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1656292</xdr:colOff>
      <xdr:row>104</xdr:row>
      <xdr:rowOff>67953</xdr:rowOff>
    </xdr:from>
    <xdr:to>
      <xdr:col>5</xdr:col>
      <xdr:colOff>9054</xdr:colOff>
      <xdr:row>104</xdr:row>
      <xdr:rowOff>1187140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94F8DC02-F520-4888-B57C-A7949F948D2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9625" y="121501120"/>
          <a:ext cx="1570096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321469</xdr:colOff>
      <xdr:row>108</xdr:row>
      <xdr:rowOff>55781</xdr:rowOff>
    </xdr:from>
    <xdr:to>
      <xdr:col>4</xdr:col>
      <xdr:colOff>1250156</xdr:colOff>
      <xdr:row>109</xdr:row>
      <xdr:rowOff>63828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4F54A323-8984-4C25-A73F-4BBAF9B1E79D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6386" y="126272614"/>
          <a:ext cx="928687" cy="12039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497684</xdr:colOff>
      <xdr:row>107</xdr:row>
      <xdr:rowOff>12921</xdr:rowOff>
    </xdr:from>
    <xdr:to>
      <xdr:col>4</xdr:col>
      <xdr:colOff>1031084</xdr:colOff>
      <xdr:row>108</xdr:row>
      <xdr:rowOff>49690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807347E2-E29D-4D18-98EE-D4D9C7CD5A79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2601" y="125033838"/>
          <a:ext cx="533400" cy="1232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59531</xdr:colOff>
      <xdr:row>110</xdr:row>
      <xdr:rowOff>70070</xdr:rowOff>
    </xdr:from>
    <xdr:to>
      <xdr:col>5</xdr:col>
      <xdr:colOff>73877</xdr:colOff>
      <xdr:row>110</xdr:row>
      <xdr:rowOff>1189257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39A03B21-CDED-40A2-BCE2-11B641B05D8F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4448" y="128678737"/>
          <a:ext cx="1570096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383380</xdr:colOff>
      <xdr:row>111</xdr:row>
      <xdr:rowOff>23505</xdr:rowOff>
    </xdr:from>
    <xdr:to>
      <xdr:col>4</xdr:col>
      <xdr:colOff>1252536</xdr:colOff>
      <xdr:row>112</xdr:row>
      <xdr:rowOff>42236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41225872-9360-4AAF-BCB6-317417FB8BA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78297" y="129828088"/>
          <a:ext cx="869156" cy="1214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14288</xdr:colOff>
      <xdr:row>113</xdr:row>
      <xdr:rowOff>99697</xdr:rowOff>
    </xdr:from>
    <xdr:to>
      <xdr:col>5</xdr:col>
      <xdr:colOff>1</xdr:colOff>
      <xdr:row>114</xdr:row>
      <xdr:rowOff>2517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0DF169AB-1EFD-474E-A3B5-9A91B971B1D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9205" y="132296114"/>
          <a:ext cx="1541463" cy="1098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534458</xdr:colOff>
      <xdr:row>117</xdr:row>
      <xdr:rowOff>1145343</xdr:rowOff>
    </xdr:from>
    <xdr:to>
      <xdr:col>4</xdr:col>
      <xdr:colOff>1029758</xdr:colOff>
      <xdr:row>118</xdr:row>
      <xdr:rowOff>1083751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76445CC0-7F12-4E4C-BAB4-F9D3893B94A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9375" y="138125426"/>
          <a:ext cx="495300" cy="113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309563</xdr:colOff>
      <xdr:row>115</xdr:row>
      <xdr:rowOff>26149</xdr:rowOff>
    </xdr:from>
    <xdr:to>
      <xdr:col>4</xdr:col>
      <xdr:colOff>1238250</xdr:colOff>
      <xdr:row>116</xdr:row>
      <xdr:rowOff>36578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0E5FDFB0-DE1E-47BA-A9FD-32B83F310EA0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4480" y="134614399"/>
          <a:ext cx="928687" cy="1206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485778</xdr:colOff>
      <xdr:row>114</xdr:row>
      <xdr:rowOff>7102</xdr:rowOff>
    </xdr:from>
    <xdr:to>
      <xdr:col>4</xdr:col>
      <xdr:colOff>1019178</xdr:colOff>
      <xdr:row>115</xdr:row>
      <xdr:rowOff>43871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16420F40-EA8A-4FE3-A3EE-3D1077A01EED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0695" y="133399435"/>
          <a:ext cx="533400" cy="123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27269</xdr:colOff>
      <xdr:row>117</xdr:row>
      <xdr:rowOff>47589</xdr:rowOff>
    </xdr:from>
    <xdr:to>
      <xdr:col>5</xdr:col>
      <xdr:colOff>9584</xdr:colOff>
      <xdr:row>117</xdr:row>
      <xdr:rowOff>1190589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60BFAA00-ACEE-4904-B900-2116A2B3EADF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2186" y="137027672"/>
          <a:ext cx="1538065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348721</xdr:colOff>
      <xdr:row>118</xdr:row>
      <xdr:rowOff>1154865</xdr:rowOff>
    </xdr:from>
    <xdr:to>
      <xdr:col>4</xdr:col>
      <xdr:colOff>1217877</xdr:colOff>
      <xdr:row>119</xdr:row>
      <xdr:rowOff>1173595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064DF2F0-68C1-4B1E-B44C-86163555F9C7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3638" y="139330865"/>
          <a:ext cx="869156" cy="1214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19056</xdr:colOff>
      <xdr:row>121</xdr:row>
      <xdr:rowOff>47911</xdr:rowOff>
    </xdr:from>
    <xdr:to>
      <xdr:col>4</xdr:col>
      <xdr:colOff>1543056</xdr:colOff>
      <xdr:row>121</xdr:row>
      <xdr:rowOff>1136442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6183EBC8-86EB-4D2B-AFDD-85AABD9FFC9A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973" y="141811661"/>
          <a:ext cx="1524000" cy="10885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273843</xdr:colOff>
      <xdr:row>37</xdr:row>
      <xdr:rowOff>1181853</xdr:rowOff>
    </xdr:from>
    <xdr:to>
      <xdr:col>4</xdr:col>
      <xdr:colOff>1230793</xdr:colOff>
      <xdr:row>39</xdr:row>
      <xdr:rowOff>7368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02FFCBDC-530A-41D7-B3DC-EA6BA652096A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8760" y="42488603"/>
          <a:ext cx="956950" cy="12173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310621</xdr:colOff>
      <xdr:row>64</xdr:row>
      <xdr:rowOff>1195873</xdr:rowOff>
    </xdr:from>
    <xdr:to>
      <xdr:col>4</xdr:col>
      <xdr:colOff>1267571</xdr:colOff>
      <xdr:row>66</xdr:row>
      <xdr:rowOff>23769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63B360A2-29E6-4672-8CDD-4DB29998F52C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5538" y="74792373"/>
          <a:ext cx="956950" cy="1219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154781</xdr:colOff>
      <xdr:row>109</xdr:row>
      <xdr:rowOff>48647</xdr:rowOff>
    </xdr:from>
    <xdr:to>
      <xdr:col>4</xdr:col>
      <xdr:colOff>1500187</xdr:colOff>
      <xdr:row>110</xdr:row>
      <xdr:rowOff>84716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98478268-0179-4C65-A100-21E1E8D4AF1A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9698" y="127461397"/>
          <a:ext cx="1345406" cy="12319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123825</xdr:colOff>
      <xdr:row>116</xdr:row>
      <xdr:rowOff>19013</xdr:rowOff>
    </xdr:from>
    <xdr:to>
      <xdr:col>4</xdr:col>
      <xdr:colOff>1419225</xdr:colOff>
      <xdr:row>117</xdr:row>
      <xdr:rowOff>11426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2CA793C6-3774-4A8A-889E-FEC259663C2A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8742" y="135803180"/>
          <a:ext cx="1295400" cy="1188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135465</xdr:colOff>
      <xdr:row>71</xdr:row>
      <xdr:rowOff>1189257</xdr:rowOff>
    </xdr:from>
    <xdr:to>
      <xdr:col>4</xdr:col>
      <xdr:colOff>1421342</xdr:colOff>
      <xdr:row>72</xdr:row>
      <xdr:rowOff>1172799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4894AE47-2EE7-438A-B5F7-A0E9CE5F5D94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0382" y="83157174"/>
          <a:ext cx="1285877" cy="11794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166687</xdr:colOff>
      <xdr:row>112</xdr:row>
      <xdr:rowOff>47319</xdr:rowOff>
    </xdr:from>
    <xdr:to>
      <xdr:col>4</xdr:col>
      <xdr:colOff>1447800</xdr:colOff>
      <xdr:row>113</xdr:row>
      <xdr:rowOff>42177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46DEDAF2-2AEE-441D-B30A-3338FE56817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1604" y="131047819"/>
          <a:ext cx="1281113" cy="1190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157162</xdr:colOff>
      <xdr:row>120</xdr:row>
      <xdr:rowOff>48645</xdr:rowOff>
    </xdr:from>
    <xdr:to>
      <xdr:col>4</xdr:col>
      <xdr:colOff>1423364</xdr:colOff>
      <xdr:row>121</xdr:row>
      <xdr:rowOff>29594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176229E1-6C76-414D-A745-1CE6AA5ABBB4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2079" y="140616478"/>
          <a:ext cx="1266202" cy="11768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547158</xdr:colOff>
      <xdr:row>68</xdr:row>
      <xdr:rowOff>1172586</xdr:rowOff>
    </xdr:from>
    <xdr:to>
      <xdr:col>4</xdr:col>
      <xdr:colOff>1059127</xdr:colOff>
      <xdr:row>69</xdr:row>
      <xdr:rowOff>1159659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B13BA245-2F9A-4F50-BAAD-6F009F702494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42075" y="79552753"/>
          <a:ext cx="511969" cy="11829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97</xdr:row>
      <xdr:rowOff>5240</xdr:rowOff>
    </xdr:from>
    <xdr:to>
      <xdr:col>5</xdr:col>
      <xdr:colOff>28575</xdr:colOff>
      <xdr:row>97</xdr:row>
      <xdr:rowOff>1182107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939E755F-7FE9-40B1-B413-DF9AA45A759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4917" y="113066990"/>
          <a:ext cx="1584325" cy="1176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64</xdr:row>
      <xdr:rowOff>140717</xdr:rowOff>
    </xdr:from>
    <xdr:to>
      <xdr:col>4</xdr:col>
      <xdr:colOff>1549958</xdr:colOff>
      <xdr:row>64</xdr:row>
      <xdr:rowOff>1009873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37994899-F656-44A8-8600-621F81891153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4917" y="73737217"/>
          <a:ext cx="1549958" cy="869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37</xdr:row>
      <xdr:rowOff>150242</xdr:rowOff>
    </xdr:from>
    <xdr:to>
      <xdr:col>4</xdr:col>
      <xdr:colOff>1549958</xdr:colOff>
      <xdr:row>37</xdr:row>
      <xdr:rowOff>1019398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AEAEF9DE-0942-470C-9C6C-A2FC9467CC75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94917" y="41456992"/>
          <a:ext cx="1549958" cy="869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426244</xdr:colOff>
      <xdr:row>44</xdr:row>
      <xdr:rowOff>26417</xdr:rowOff>
    </xdr:from>
    <xdr:to>
      <xdr:col>4</xdr:col>
      <xdr:colOff>1116806</xdr:colOff>
      <xdr:row>45</xdr:row>
      <xdr:rowOff>5978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5A1FA0-4812-42F9-9C93-A328C7A4833F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21161" y="49704584"/>
          <a:ext cx="690562" cy="11754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66675</xdr:colOff>
      <xdr:row>45</xdr:row>
      <xdr:rowOff>1176559</xdr:rowOff>
    </xdr:from>
    <xdr:to>
      <xdr:col>4</xdr:col>
      <xdr:colOff>1471612</xdr:colOff>
      <xdr:row>46</xdr:row>
      <xdr:rowOff>1194939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D8B2AC2-0D79-490A-9C3D-747E68AD522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1592" y="52050642"/>
          <a:ext cx="1404937" cy="1214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42867</xdr:colOff>
      <xdr:row>125</xdr:row>
      <xdr:rowOff>229146</xdr:rowOff>
    </xdr:from>
    <xdr:to>
      <xdr:col>4</xdr:col>
      <xdr:colOff>1514480</xdr:colOff>
      <xdr:row>125</xdr:row>
      <xdr:rowOff>1054369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7D12ADB-0AD3-4FD1-8098-4C8740D609DC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7784" y="146776563"/>
          <a:ext cx="1471613" cy="8252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129643</xdr:colOff>
      <xdr:row>9</xdr:row>
      <xdr:rowOff>1178720</xdr:rowOff>
    </xdr:from>
    <xdr:to>
      <xdr:col>4</xdr:col>
      <xdr:colOff>1451237</xdr:colOff>
      <xdr:row>11</xdr:row>
      <xdr:rowOff>6425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BB670C-A0E9-4270-B369-83F66C687E7B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4560" y="8999803"/>
          <a:ext cx="1321594" cy="12195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317500</xdr:colOff>
      <xdr:row>13</xdr:row>
      <xdr:rowOff>1185333</xdr:rowOff>
    </xdr:from>
    <xdr:to>
      <xdr:col>4</xdr:col>
      <xdr:colOff>1186656</xdr:colOff>
      <xdr:row>15</xdr:row>
      <xdr:rowOff>5767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DCC220B-FD4B-4C1D-B6D2-E57C0186DFAB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2417" y="13790083"/>
          <a:ext cx="869156" cy="1212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116413</xdr:colOff>
      <xdr:row>16</xdr:row>
      <xdr:rowOff>21160</xdr:rowOff>
    </xdr:from>
    <xdr:to>
      <xdr:col>4</xdr:col>
      <xdr:colOff>1438007</xdr:colOff>
      <xdr:row>17</xdr:row>
      <xdr:rowOff>44782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1E49B02-FB98-42A8-A9DB-974BF8F4397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1330" y="16213660"/>
          <a:ext cx="1321594" cy="12195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127000</xdr:colOff>
      <xdr:row>29</xdr:row>
      <xdr:rowOff>1195910</xdr:rowOff>
    </xdr:from>
    <xdr:to>
      <xdr:col>4</xdr:col>
      <xdr:colOff>1448594</xdr:colOff>
      <xdr:row>31</xdr:row>
      <xdr:rowOff>30231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25E7CD4-47F7-4EA9-8965-A26D01C50AA9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1917" y="32935327"/>
          <a:ext cx="1321594" cy="12261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370417</xdr:colOff>
      <xdr:row>33</xdr:row>
      <xdr:rowOff>10578</xdr:rowOff>
    </xdr:from>
    <xdr:to>
      <xdr:col>4</xdr:col>
      <xdr:colOff>1239573</xdr:colOff>
      <xdr:row>34</xdr:row>
      <xdr:rowOff>29309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716B857-4CA3-434A-874C-366EABF6C094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5334" y="36533661"/>
          <a:ext cx="869156" cy="1214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306917</xdr:colOff>
      <xdr:row>123</xdr:row>
      <xdr:rowOff>1193798</xdr:rowOff>
    </xdr:from>
    <xdr:to>
      <xdr:col>4</xdr:col>
      <xdr:colOff>1235604</xdr:colOff>
      <xdr:row>125</xdr:row>
      <xdr:rowOff>8310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0E3D749-003C-4112-9D04-0DC26ED2C70A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1834" y="145349381"/>
          <a:ext cx="928687" cy="1206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483132</xdr:colOff>
      <xdr:row>122</xdr:row>
      <xdr:rowOff>1174750</xdr:rowOff>
    </xdr:from>
    <xdr:to>
      <xdr:col>4</xdr:col>
      <xdr:colOff>1016532</xdr:colOff>
      <xdr:row>124</xdr:row>
      <xdr:rowOff>15603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9E2FD149-3670-466D-BB2B-0143EE08A2C6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78049" y="144134417"/>
          <a:ext cx="533400" cy="123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529166</xdr:colOff>
      <xdr:row>68</xdr:row>
      <xdr:rowOff>10580</xdr:rowOff>
    </xdr:from>
    <xdr:to>
      <xdr:col>4</xdr:col>
      <xdr:colOff>1041135</xdr:colOff>
      <xdr:row>68</xdr:row>
      <xdr:rowOff>1193568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A8483AD-234B-40F7-A82E-97E60C29F264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4083" y="78390747"/>
          <a:ext cx="511969" cy="118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42333</xdr:colOff>
      <xdr:row>122</xdr:row>
      <xdr:rowOff>169334</xdr:rowOff>
    </xdr:from>
    <xdr:to>
      <xdr:col>4</xdr:col>
      <xdr:colOff>1513946</xdr:colOff>
      <xdr:row>122</xdr:row>
      <xdr:rowOff>994556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61E46EC-12E0-46B5-A511-ACBA371FB48F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7250" y="143129001"/>
          <a:ext cx="1471613" cy="82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1651000</xdr:colOff>
      <xdr:row>34</xdr:row>
      <xdr:rowOff>137584</xdr:rowOff>
    </xdr:from>
    <xdr:to>
      <xdr:col>4</xdr:col>
      <xdr:colOff>1534611</xdr:colOff>
      <xdr:row>34</xdr:row>
      <xdr:rowOff>1006740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17A8D0C-FAEF-485C-9667-BC08F96FF7EB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4333" y="37856584"/>
          <a:ext cx="1545195" cy="869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14111</xdr:colOff>
      <xdr:row>127</xdr:row>
      <xdr:rowOff>1133474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8E14FA8-547E-4847-8AAD-4EE96B501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4917" y="148939250"/>
          <a:ext cx="1569861" cy="1133474"/>
        </a:xfrm>
        <a:prstGeom prst="rect">
          <a:avLst/>
        </a:prstGeom>
      </xdr:spPr>
    </xdr:pic>
    <xdr:clientData/>
  </xdr:twoCellAnchor>
  <xdr:twoCellAnchor>
    <xdr:from>
      <xdr:col>4</xdr:col>
      <xdr:colOff>31750</xdr:colOff>
      <xdr:row>126</xdr:row>
      <xdr:rowOff>190500</xdr:rowOff>
    </xdr:from>
    <xdr:to>
      <xdr:col>4</xdr:col>
      <xdr:colOff>1503363</xdr:colOff>
      <xdr:row>126</xdr:row>
      <xdr:rowOff>1015723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E8D6758-1CCD-4A15-B75E-774A51C2C31E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6667" y="147933833"/>
          <a:ext cx="1471613" cy="8252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391583</xdr:colOff>
      <xdr:row>67</xdr:row>
      <xdr:rowOff>21167</xdr:rowOff>
    </xdr:from>
    <xdr:to>
      <xdr:col>4</xdr:col>
      <xdr:colOff>1277412</xdr:colOff>
      <xdr:row>67</xdr:row>
      <xdr:rowOff>1175879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C7D5829E-6B72-48CA-9280-6B4C2D54AE48}"/>
            </a:ext>
          </a:extLst>
        </xdr:cNvPr>
        <xdr:cNvPicPr preferRelativeResize="0"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77205417"/>
          <a:ext cx="885829" cy="11547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444500</xdr:colOff>
      <xdr:row>128</xdr:row>
      <xdr:rowOff>10583</xdr:rowOff>
    </xdr:from>
    <xdr:to>
      <xdr:col>4</xdr:col>
      <xdr:colOff>1185333</xdr:colOff>
      <xdr:row>128</xdr:row>
      <xdr:rowOff>1174913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93107E-D60F-4D7B-800E-7C987E38C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9417" y="150145750"/>
          <a:ext cx="740833" cy="11643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391584</xdr:colOff>
      <xdr:row>129</xdr:row>
      <xdr:rowOff>0</xdr:rowOff>
    </xdr:from>
    <xdr:to>
      <xdr:col>4</xdr:col>
      <xdr:colOff>1224109</xdr:colOff>
      <xdr:row>130</xdr:row>
      <xdr:rowOff>10583</xdr:rowOff>
    </xdr:to>
    <xdr:pic>
      <xdr:nvPicPr>
        <xdr:cNvPr id="21" name="Picture 32">
          <a:extLst>
            <a:ext uri="{FF2B5EF4-FFF2-40B4-BE49-F238E27FC236}">
              <a16:creationId xmlns:a16="http://schemas.microsoft.com/office/drawing/2014/main" id="{92E59CE9-345A-4407-A966-53D780BD1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1" y="151331083"/>
          <a:ext cx="832525" cy="1206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412750</xdr:colOff>
      <xdr:row>130</xdr:row>
      <xdr:rowOff>1</xdr:rowOff>
    </xdr:from>
    <xdr:to>
      <xdr:col>4</xdr:col>
      <xdr:colOff>1206500</xdr:colOff>
      <xdr:row>130</xdr:row>
      <xdr:rowOff>1193703</xdr:rowOff>
    </xdr:to>
    <xdr:pic>
      <xdr:nvPicPr>
        <xdr:cNvPr id="22" name="Picture 52">
          <a:extLst>
            <a:ext uri="{FF2B5EF4-FFF2-40B4-BE49-F238E27FC236}">
              <a16:creationId xmlns:a16="http://schemas.microsoft.com/office/drawing/2014/main" id="{F834040C-CFD4-4126-9282-6FE56264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7667" y="152527001"/>
          <a:ext cx="793750" cy="11937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444501</xdr:colOff>
      <xdr:row>131</xdr:row>
      <xdr:rowOff>10583</xdr:rowOff>
    </xdr:from>
    <xdr:to>
      <xdr:col>4</xdr:col>
      <xdr:colOff>1206501</xdr:colOff>
      <xdr:row>132</xdr:row>
      <xdr:rowOff>11456</xdr:rowOff>
    </xdr:to>
    <xdr:pic>
      <xdr:nvPicPr>
        <xdr:cNvPr id="23" name="Picture 16">
          <a:extLst>
            <a:ext uri="{FF2B5EF4-FFF2-40B4-BE49-F238E27FC236}">
              <a16:creationId xmlns:a16="http://schemas.microsoft.com/office/drawing/2014/main" id="{428510B4-D5CB-4781-BBDF-1128800D0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9418" y="153733500"/>
          <a:ext cx="762000" cy="1196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423334</xdr:colOff>
      <xdr:row>132</xdr:row>
      <xdr:rowOff>1</xdr:rowOff>
    </xdr:from>
    <xdr:to>
      <xdr:col>4</xdr:col>
      <xdr:colOff>1217084</xdr:colOff>
      <xdr:row>133</xdr:row>
      <xdr:rowOff>10466</xdr:rowOff>
    </xdr:to>
    <xdr:pic>
      <xdr:nvPicPr>
        <xdr:cNvPr id="24" name="Picture 95">
          <a:extLst>
            <a:ext uri="{FF2B5EF4-FFF2-40B4-BE49-F238E27FC236}">
              <a16:creationId xmlns:a16="http://schemas.microsoft.com/office/drawing/2014/main" id="{089F774D-8115-4A6A-AF31-CE0E75D1C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8251" y="154918834"/>
          <a:ext cx="793750" cy="1206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359833</xdr:colOff>
      <xdr:row>133</xdr:row>
      <xdr:rowOff>10584</xdr:rowOff>
    </xdr:from>
    <xdr:to>
      <xdr:col>4</xdr:col>
      <xdr:colOff>1214593</xdr:colOff>
      <xdr:row>134</xdr:row>
      <xdr:rowOff>21167</xdr:rowOff>
    </xdr:to>
    <xdr:pic>
      <xdr:nvPicPr>
        <xdr:cNvPr id="25" name="Picture 113">
          <a:extLst>
            <a:ext uri="{FF2B5EF4-FFF2-40B4-BE49-F238E27FC236}">
              <a16:creationId xmlns:a16="http://schemas.microsoft.com/office/drawing/2014/main" id="{C5BEDD34-94DA-4D62-955F-6976F3883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4750" y="156125334"/>
          <a:ext cx="854760" cy="1206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444500</xdr:colOff>
      <xdr:row>134</xdr:row>
      <xdr:rowOff>0</xdr:rowOff>
    </xdr:from>
    <xdr:to>
      <xdr:col>4</xdr:col>
      <xdr:colOff>1174750</xdr:colOff>
      <xdr:row>135</xdr:row>
      <xdr:rowOff>10183</xdr:rowOff>
    </xdr:to>
    <xdr:pic>
      <xdr:nvPicPr>
        <xdr:cNvPr id="26" name="Picture 78">
          <a:extLst>
            <a:ext uri="{FF2B5EF4-FFF2-40B4-BE49-F238E27FC236}">
              <a16:creationId xmlns:a16="http://schemas.microsoft.com/office/drawing/2014/main" id="{88E44A7A-14B4-42ED-9A86-F9A8DB1F59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93"/>
        <a:stretch>
          <a:fillRect/>
        </a:stretch>
      </xdr:blipFill>
      <xdr:spPr bwMode="auto">
        <a:xfrm>
          <a:off x="6339417" y="157310667"/>
          <a:ext cx="730250" cy="12060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444500</xdr:colOff>
      <xdr:row>135</xdr:row>
      <xdr:rowOff>0</xdr:rowOff>
    </xdr:from>
    <xdr:to>
      <xdr:col>4</xdr:col>
      <xdr:colOff>1195916</xdr:colOff>
      <xdr:row>136</xdr:row>
      <xdr:rowOff>5131</xdr:rowOff>
    </xdr:to>
    <xdr:pic>
      <xdr:nvPicPr>
        <xdr:cNvPr id="27" name="Picture 2">
          <a:extLst>
            <a:ext uri="{FF2B5EF4-FFF2-40B4-BE49-F238E27FC236}">
              <a16:creationId xmlns:a16="http://schemas.microsoft.com/office/drawing/2014/main" id="{A7D833EA-FBFC-4872-B33E-6AA55198C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9417" y="158506583"/>
          <a:ext cx="751416" cy="1201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402167</xdr:colOff>
      <xdr:row>136</xdr:row>
      <xdr:rowOff>10583</xdr:rowOff>
    </xdr:from>
    <xdr:to>
      <xdr:col>4</xdr:col>
      <xdr:colOff>1270000</xdr:colOff>
      <xdr:row>137</xdr:row>
      <xdr:rowOff>33621</xdr:rowOff>
    </xdr:to>
    <xdr:pic>
      <xdr:nvPicPr>
        <xdr:cNvPr id="28" name="Picture 113">
          <a:extLst>
            <a:ext uri="{FF2B5EF4-FFF2-40B4-BE49-F238E27FC236}">
              <a16:creationId xmlns:a16="http://schemas.microsoft.com/office/drawing/2014/main" id="{578455C1-295A-410B-B15C-5C99A9036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7084" y="159713083"/>
          <a:ext cx="867833" cy="1218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349251</xdr:colOff>
      <xdr:row>137</xdr:row>
      <xdr:rowOff>1</xdr:rowOff>
    </xdr:from>
    <xdr:to>
      <xdr:col>4</xdr:col>
      <xdr:colOff>1291167</xdr:colOff>
      <xdr:row>138</xdr:row>
      <xdr:rowOff>25581</xdr:rowOff>
    </xdr:to>
    <xdr:pic>
      <xdr:nvPicPr>
        <xdr:cNvPr id="29" name="Picture 15">
          <a:extLst>
            <a:ext uri="{FF2B5EF4-FFF2-40B4-BE49-F238E27FC236}">
              <a16:creationId xmlns:a16="http://schemas.microsoft.com/office/drawing/2014/main" id="{23DA9585-990C-484A-98C2-57AF1A54E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4168" y="160898418"/>
          <a:ext cx="941916" cy="12214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359834</xdr:colOff>
      <xdr:row>138</xdr:row>
      <xdr:rowOff>1</xdr:rowOff>
    </xdr:from>
    <xdr:to>
      <xdr:col>4</xdr:col>
      <xdr:colOff>1259565</xdr:colOff>
      <xdr:row>139</xdr:row>
      <xdr:rowOff>10584</xdr:rowOff>
    </xdr:to>
    <xdr:pic>
      <xdr:nvPicPr>
        <xdr:cNvPr id="30" name="Picture 2">
          <a:extLst>
            <a:ext uri="{FF2B5EF4-FFF2-40B4-BE49-F238E27FC236}">
              <a16:creationId xmlns:a16="http://schemas.microsoft.com/office/drawing/2014/main" id="{C9CA7317-1293-4F9F-A9EB-E8B2C18BC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4751" y="162094334"/>
          <a:ext cx="899731" cy="1206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1581150</xdr:colOff>
      <xdr:row>0</xdr:row>
      <xdr:rowOff>200025</xdr:rowOff>
    </xdr:from>
    <xdr:ext cx="184731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A947542-D0D4-4274-89F2-607C23F3A589}"/>
            </a:ext>
          </a:extLst>
        </xdr:cNvPr>
        <xdr:cNvSpPr txBox="1"/>
      </xdr:nvSpPr>
      <xdr:spPr>
        <a:xfrm>
          <a:off x="232410" y="177165"/>
          <a:ext cx="1847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vi-VN" sz="1100"/>
        </a:p>
      </xdr:txBody>
    </xdr:sp>
    <xdr:clientData/>
  </xdr:oneCellAnchor>
  <xdr:oneCellAnchor>
    <xdr:from>
      <xdr:col>3</xdr:col>
      <xdr:colOff>561975</xdr:colOff>
      <xdr:row>0</xdr:row>
      <xdr:rowOff>447675</xdr:rowOff>
    </xdr:from>
    <xdr:ext cx="184731" cy="25455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8455262-3694-488C-96F2-46DA7C5BA02E}"/>
            </a:ext>
          </a:extLst>
        </xdr:cNvPr>
        <xdr:cNvSpPr txBox="1"/>
      </xdr:nvSpPr>
      <xdr:spPr>
        <a:xfrm>
          <a:off x="1270635" y="173355"/>
          <a:ext cx="1847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vi-VN" sz="1100"/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3</xdr:col>
      <xdr:colOff>574358</xdr:colOff>
      <xdr:row>3</xdr:row>
      <xdr:rowOff>158750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997602E-B9A8-4D87-9E3A-84788AA06B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94" b="23529"/>
        <a:stretch/>
      </xdr:blipFill>
      <xdr:spPr>
        <a:xfrm>
          <a:off x="0" y="0"/>
          <a:ext cx="1757151" cy="13677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1581150</xdr:colOff>
      <xdr:row>0</xdr:row>
      <xdr:rowOff>200025</xdr:rowOff>
    </xdr:from>
    <xdr:ext cx="184731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33375" y="180975"/>
          <a:ext cx="1847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vi-VN" sz="1100"/>
        </a:p>
      </xdr:txBody>
    </xdr:sp>
    <xdr:clientData/>
  </xdr:oneCellAnchor>
  <xdr:oneCellAnchor>
    <xdr:from>
      <xdr:col>3</xdr:col>
      <xdr:colOff>561975</xdr:colOff>
      <xdr:row>0</xdr:row>
      <xdr:rowOff>447675</xdr:rowOff>
    </xdr:from>
    <xdr:ext cx="184731" cy="25455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571625" y="180975"/>
          <a:ext cx="1847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vi-VN" sz="1100"/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3</xdr:col>
      <xdr:colOff>593408</xdr:colOff>
      <xdr:row>4</xdr:row>
      <xdr:rowOff>133350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78A281-8447-4222-B495-14C854B6C3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94" b="23529"/>
        <a:stretch/>
      </xdr:blipFill>
      <xdr:spPr>
        <a:xfrm>
          <a:off x="0" y="0"/>
          <a:ext cx="1734291" cy="1381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1581150</xdr:colOff>
      <xdr:row>0</xdr:row>
      <xdr:rowOff>200025</xdr:rowOff>
    </xdr:from>
    <xdr:ext cx="184731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FEDCB7C-7561-40AE-9ECD-EA318B70D99E}"/>
            </a:ext>
          </a:extLst>
        </xdr:cNvPr>
        <xdr:cNvSpPr txBox="1"/>
      </xdr:nvSpPr>
      <xdr:spPr>
        <a:xfrm>
          <a:off x="228600" y="180975"/>
          <a:ext cx="1847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vi-VN" sz="1100"/>
        </a:p>
      </xdr:txBody>
    </xdr:sp>
    <xdr:clientData/>
  </xdr:oneCellAnchor>
  <xdr:oneCellAnchor>
    <xdr:from>
      <xdr:col>3</xdr:col>
      <xdr:colOff>561975</xdr:colOff>
      <xdr:row>0</xdr:row>
      <xdr:rowOff>447675</xdr:rowOff>
    </xdr:from>
    <xdr:ext cx="184731" cy="25455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BF3623-F956-4ECF-B3FE-AEBF675A9907}"/>
            </a:ext>
          </a:extLst>
        </xdr:cNvPr>
        <xdr:cNvSpPr txBox="1"/>
      </xdr:nvSpPr>
      <xdr:spPr>
        <a:xfrm>
          <a:off x="1247775" y="180975"/>
          <a:ext cx="1847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vi-VN" sz="1100"/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3</xdr:col>
      <xdr:colOff>593408</xdr:colOff>
      <xdr:row>4</xdr:row>
      <xdr:rowOff>154516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7280C5B-25CE-427B-9F58-726016683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94" b="23529"/>
        <a:stretch/>
      </xdr:blipFill>
      <xdr:spPr>
        <a:xfrm>
          <a:off x="0" y="0"/>
          <a:ext cx="1734291" cy="13811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1</xdr:rowOff>
        </xdr:from>
        <xdr:to>
          <xdr:col>12</xdr:col>
          <xdr:colOff>0</xdr:colOff>
          <xdr:row>11</xdr:row>
          <xdr:rowOff>152401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PicPr preferRelativeResize="0">
              <a:picLocks noChangeAspect="1" noChangeArrowheads="1"/>
              <a:extLst>
                <a:ext uri="{84589F7E-364E-4C9E-8A38-B11213B215E9}">
                  <a14:cameraTool cellRange="LayHinhCua" spid="_x0000_s2413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10325" y="257176"/>
              <a:ext cx="2162175" cy="16573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cso.xla" TargetMode="External"/><Relationship Id="rId1" Type="http://schemas.openxmlformats.org/officeDocument/2006/relationships/externalLinkPath" Target="/Docs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Docso"/>
    </sheetNames>
    <definedNames>
      <definedName name="vndU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752A2B-8FEF-4387-8DD7-9D0748D35F5C}" name="Table2" displayName="Table2" ref="E211:E213" totalsRowShown="0" headerRowDxfId="739" dataDxfId="737" headerRowBorderDxfId="738" tableBorderDxfId="736" totalsRowBorderDxfId="735">
  <tableColumns count="1">
    <tableColumn id="1" xr3:uid="{B19B83C0-AA5F-4F80-8479-11FB20B66258}" name="Âm ray" dataDxfId="73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775281-7D3F-493C-A0CE-5F47D7FB6445}" name="Table3" displayName="Table3" ref="C211:C213" totalsRowShown="0" headerRowDxfId="733" dataDxfId="731" headerRowBorderDxfId="732" tableBorderDxfId="730" totalsRowBorderDxfId="729" headerRowCellStyle="Comma" dataCellStyle="Comma">
  <tableColumns count="1">
    <tableColumn id="1" xr3:uid="{0749C3AD-FBED-482C-8527-8F4A0287D49C}" name="hở nền ốp đáy" dataDxfId="728" dataCellStyle="Comma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7EB83B-D78B-4250-A20C-9B36B0244F8A}" name="Table4" displayName="Table4" ref="C214:C215" totalsRowShown="0" headerRowDxfId="727" dataDxfId="725" headerRowBorderDxfId="726" tableBorderDxfId="724" totalsRowBorderDxfId="723" headerRowCellStyle="Comma" dataCellStyle="Comma">
  <tableColumns count="1">
    <tableColumn id="1" xr3:uid="{D16BF731-AADB-4177-B752-CD15FCB060BE}" name="quay trong" dataDxfId="722" dataCellStyle="Comma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5FA8E0-03EB-4889-B41D-D513526C7739}" name="Table5" displayName="Table5" ref="C220:C222" totalsRowShown="0" headerRowDxfId="721" dataDxfId="719" headerRowBorderDxfId="720" tableBorderDxfId="718" totalsRowBorderDxfId="717" headerRowCellStyle="Comma" dataCellStyle="Comma">
  <tableColumns count="1">
    <tableColumn id="1" xr3:uid="{B752D581-2BC6-4F4C-9CB0-2CAD640DC22C}" name="hở nền ốp đáy" dataDxfId="716" dataCellStyle="Comma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B63B328-7F54-4259-908A-2E250C5D2F69}" name="Table6" displayName="Table6" ref="C223:C224" totalsRowShown="0" headerRowDxfId="715" dataDxfId="713" headerRowBorderDxfId="714" tableBorderDxfId="712" totalsRowBorderDxfId="711" headerRowCellStyle="Comma" dataCellStyle="Comma">
  <tableColumns count="1">
    <tableColumn id="1" xr3:uid="{A5C403BC-AB24-4523-B28F-0FBECE48C0CD}" name="quay trong" dataDxfId="710" dataCellStyle="Comma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10FC9-DDDE-4C37-BF50-193447A4D923}" name="Table8" displayName="Table8" ref="C252:C253" totalsRowShown="0" headerRowDxfId="709" dataDxfId="707" headerRowBorderDxfId="708" tableBorderDxfId="706" totalsRowBorderDxfId="705" headerRowCellStyle="Comma" dataCellStyle="Comma">
  <tableColumns count="1">
    <tableColumn id="1" xr3:uid="{CB21C97A-FD80-41A0-96D0-2837EAA2BEAE}" name="quay trong" dataDxfId="704" dataCellStyle="Comma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8D796A-85F1-4FC7-9B92-47784B06C1DB}" name="Table9" displayName="Table9" ref="C254:C255" totalsRowShown="0" headerRowDxfId="703" dataDxfId="701" headerRowBorderDxfId="702" tableBorderDxfId="700" totalsRowBorderDxfId="699" headerRowCellStyle="Comma" dataCellStyle="Comma">
  <tableColumns count="1">
    <tableColumn id="1" xr3:uid="{32C45D45-5F71-43D1-905B-176848F0BA99}" name="hở nền" dataDxfId="698" dataCellStyle="Comma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B3C4070-7DDE-496A-9707-ECBC33EEE09B}" name="Table10" displayName="Table10" ref="D254:D255" totalsRowShown="0" headerRowDxfId="697" dataDxfId="695" headerRowBorderDxfId="696" tableBorderDxfId="694" totalsRowBorderDxfId="693">
  <tableColumns count="1">
    <tableColumn id="1" xr3:uid="{031871BE-63B1-4E9E-B27E-59655CBFFC54}" name="ray trượt nhôm RH" dataDxfId="692"/>
  </tableColumns>
  <tableStyleInfo name="TableStyleMedium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64CCB79-2BC7-43FA-8116-8018E967B082}" name="Table11" displayName="Table11" ref="E254:E255" totalsRowShown="0" headerRowDxfId="691" dataDxfId="689" headerRowBorderDxfId="690" tableBorderDxfId="688" totalsRowBorderDxfId="687">
  <tableColumns count="1">
    <tableColumn id="1" xr3:uid="{C5787730-1705-495E-BEE6-5CDAF37AFF54}" name="hở nền" dataDxfId="686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6BAD536-663E-4970-B542-D6DF07537325}" name="Table12" displayName="Table12" ref="C256:C257" totalsRowShown="0" headerRowDxfId="685" dataDxfId="683" headerRowBorderDxfId="684" tableBorderDxfId="682" totalsRowBorderDxfId="681" headerRowCellStyle="Comma" dataCellStyle="Comma">
  <tableColumns count="1">
    <tableColumn id="1" xr3:uid="{8794B8AB-422F-44AB-A22A-2A1B493C18A5}" name="quay trong" dataDxfId="680" dataCellStyle="Comma"/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ED54653-EB8D-430C-A8B2-90D9CCE16207}" name="Table13" displayName="Table13" ref="E256:E257" totalsRowShown="0" headerRowDxfId="679" dataDxfId="677" headerRowBorderDxfId="678" tableBorderDxfId="676" totalsRowBorderDxfId="675">
  <tableColumns count="1">
    <tableColumn id="1" xr3:uid="{18AA794B-E043-4B48-BC63-044D5C705092}" name="quay trong" dataDxfId="674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8D3FCBA-916C-4198-BC12-DAD9FE29D2BD}" name="Table14" displayName="Table14" ref="C258:C259" totalsRowShown="0" headerRowDxfId="673" dataDxfId="671" headerRowBorderDxfId="672" tableBorderDxfId="670" totalsRowBorderDxfId="669" headerRowCellStyle="Comma" dataCellStyle="Comma">
  <tableColumns count="1">
    <tableColumn id="1" xr3:uid="{9147291F-A65D-428A-AD90-E64A20C354C0}" name="hở nền ốp đáy" dataDxfId="668" dataCellStyle="Comma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B041E-488F-4FC9-89A7-703E93E09EA9}" name="Table15" displayName="Table15" ref="C260:C261" totalsRowShown="0" headerRowDxfId="667" dataDxfId="665" headerRowBorderDxfId="666" tableBorderDxfId="664" totalsRowBorderDxfId="663" headerRowCellStyle="Comma" dataCellStyle="Comma">
  <tableColumns count="1">
    <tableColumn id="1" xr3:uid="{86AE7380-89E3-4A90-8A59-226B4AB85735}" name="quay trong" dataDxfId="662" dataCellStyle="Comma"/>
  </tableColumns>
  <tableStyleInfo name="TableStyleMedium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39C16C4-844E-40BD-839A-B63B001ADCC5}" name="Table16" displayName="Table16" ref="D262:D267" totalsRowShown="0" headerRowDxfId="661" dataDxfId="659" headerRowBorderDxfId="660" tableBorderDxfId="658" totalsRowBorderDxfId="657">
  <tableColumns count="1">
    <tableColumn id="1" xr3:uid="{6F37FEA1-8D37-4453-A9A2-58A214FA919E}" name="chữ D" dataDxfId="656"/>
  </tableColumns>
  <tableStyleInfo name="TableStyleMedium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033BE83-FF57-4B76-912C-4DE624EEC8ED}" name="Table17" displayName="Table17" ref="E262:E265" totalsRowShown="0" headerRowDxfId="655" dataDxfId="653" headerRowBorderDxfId="654" tableBorderDxfId="652" totalsRowBorderDxfId="651">
  <tableColumns count="1">
    <tableColumn id="1" xr3:uid="{7D5D168F-DCCD-4D04-8FAB-DBEC1D26EBEC}" name="quay trong" dataDxfId="650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C63556A-A89E-472B-919B-B7CAC143E8F1}" name="Table18" displayName="Table18" ref="C268:C269" totalsRowShown="0" headerRowDxfId="649" dataDxfId="647" headerRowBorderDxfId="648" tableBorderDxfId="646" totalsRowBorderDxfId="645" headerRowCellStyle="Comma" dataCellStyle="Comma">
  <tableColumns count="1">
    <tableColumn id="1" xr3:uid="{50DB1004-5F2E-45ED-9C5E-31AC57B1EC44}" name="đơn điểm" dataDxfId="644" dataCellStyle="Comma"/>
  </tableColumns>
  <tableStyleInfo name="TableStyleMedium1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78958CC-BB3F-4B11-971F-C947900F8FE2}" name="Table19" displayName="Table19" ref="F268:F269" totalsRowShown="0" headerRowDxfId="643" dataDxfId="641" headerRowBorderDxfId="642" tableBorderDxfId="640" totalsRowBorderDxfId="639">
  <tableColumns count="1">
    <tableColumn id="1" xr3:uid="{049DFC45-2731-429B-9C0A-A70A8889A4CD}" name="đơn điểm" dataDxfId="638"/>
  </tableColumns>
  <tableStyleInfo name="TableStyleMedium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82B673B-F1DD-42C7-A459-14E5A52B6477}" name="Table20" displayName="Table20" ref="C271:C273" totalsRowShown="0" headerRowDxfId="637" dataDxfId="635" headerRowBorderDxfId="636" tableBorderDxfId="634" totalsRowBorderDxfId="633" headerRowCellStyle="Comma" dataCellStyle="Comma">
  <tableColumns count="1">
    <tableColumn id="1" xr3:uid="{7D90342B-7CBD-4B8B-8998-9D9E422D4861}" name="2 đầu chìa" dataDxfId="632" dataCellStyle="Comma"/>
  </tableColumns>
  <tableStyleInfo name="TableStyleMedium1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3C8E333-3B72-4AE2-BD91-E2BEFA44F5A0}" name="Table21" displayName="Table21" ref="E271:E273" totalsRowShown="0" headerRowDxfId="631" dataDxfId="629" headerRowBorderDxfId="630" tableBorderDxfId="628" totalsRowBorderDxfId="627">
  <tableColumns count="1">
    <tableColumn id="1" xr3:uid="{F1E34BFE-5D27-4A16-A9B7-6E9CCCC23BC2}" name="2 đầu chìa" dataDxfId="626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777C88D-CBAE-4463-9FC6-8BF8CD250186}" name="Table22" displayName="Table22" ref="C274:C281" totalsRowShown="0" headerRowDxfId="625" dataDxfId="623" headerRowBorderDxfId="624" tableBorderDxfId="622" totalsRowBorderDxfId="621" headerRowCellStyle="Comma" dataCellStyle="Comma">
  <tableColumns count="1">
    <tableColumn id="1" xr3:uid="{D229FB01-A701-4664-8CE8-6C33CC3432FB}" name="3D" dataDxfId="620" dataCellStyle="Comma"/>
  </tableColumns>
  <tableStyleInfo name="TableStyleMedium10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7C51412-C1C2-4075-B9EF-B52FB1A01AA2}" name="Table23" displayName="Table23" ref="D274:D281" totalsRowShown="0" headerRowDxfId="619" dataDxfId="617" headerRowBorderDxfId="618" tableBorderDxfId="616" totalsRowBorderDxfId="615">
  <tableColumns count="1">
    <tableColumn id="1" xr3:uid="{06B73825-C1FF-4035-B582-F631C205F33F}" name="đơn" dataDxfId="614"/>
  </tableColumns>
  <tableStyleInfo name="TableStyleMedium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581BA77-C318-479C-999B-084DFB655280}" name="Table24" displayName="Table24" ref="E274:E281" totalsRowShown="0" headerRowDxfId="613" dataDxfId="611" headerRowBorderDxfId="612" tableBorderDxfId="610" totalsRowBorderDxfId="609">
  <tableColumns count="1">
    <tableColumn id="1" xr3:uid="{C72EAB8D-78AA-476A-BA95-4205CF378E58}" name="xếp trượt" dataDxfId="608"/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9E10F76-55A8-4C61-8725-176C0654771C}" name="Table25" displayName="Table25" ref="F274:F281" totalsRowShown="0" headerRowDxfId="607" dataDxfId="605" headerRowBorderDxfId="606" tableBorderDxfId="604" totalsRowBorderDxfId="603">
  <tableColumns count="1">
    <tableColumn id="1" xr3:uid="{3BC73E8F-B790-48EA-8EDB-EF223CD9624D}" name="2D" dataDxfId="602"/>
  </tableColumns>
  <tableStyleInfo name="TableStyleMedium1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EBECE8D-0330-439F-AB59-EE4F4311BFF3}" name="Table26" displayName="Table26" ref="D282:D286" totalsRowShown="0" headerRowDxfId="601" dataDxfId="599" headerRowBorderDxfId="600" tableBorderDxfId="598" totalsRowBorderDxfId="597">
  <tableColumns count="1">
    <tableColumn id="1" xr3:uid="{ED92CD2A-418E-4CB4-9013-7485E27B888A}" name="chữ D" dataDxfId="596"/>
  </tableColumns>
  <tableStyleInfo name="TableStyleMedium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A371A17-E807-4940-A73F-92CAA059B1D2}" name="Table27" displayName="Table27" ref="E282:E286" totalsRowShown="0" headerRowDxfId="595" dataDxfId="593" headerRowBorderDxfId="594" tableBorderDxfId="592" totalsRowBorderDxfId="591">
  <tableColumns count="1">
    <tableColumn id="1" xr3:uid="{F146601B-6000-4BDF-90A6-ABA40F4B50D2}" name="quay trong" dataDxfId="590"/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86AB5A4-F477-41AD-9612-EE893D2A573A}" name="Table28" displayName="Table28" ref="C287:C288" totalsRowShown="0" headerRowDxfId="589" dataDxfId="587" headerRowBorderDxfId="588" tableBorderDxfId="586" totalsRowBorderDxfId="585" headerRowCellStyle="Comma" dataCellStyle="Comma">
  <tableColumns count="1">
    <tableColumn id="1" xr3:uid="{07B14DBA-38FD-4D90-A483-E99155046ED3}" name="đơn điểm" dataDxfId="584" dataCellStyle="Comma"/>
  </tableColumns>
  <tableStyleInfo name="TableStyleMedium10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A04A652-142B-4541-B18B-6B0C08824D8E}" name="Table29" displayName="Table29" ref="F287:F288" totalsRowShown="0" headerRowDxfId="583" dataDxfId="581" headerRowBorderDxfId="582" tableBorderDxfId="580" totalsRowBorderDxfId="579">
  <tableColumns count="1">
    <tableColumn id="1" xr3:uid="{4324F254-DBF0-4B53-832F-686D2AF42396}" name="đơn điểm" dataDxfId="578"/>
  </tableColumns>
  <tableStyleInfo name="TableStyleMedium1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BB90E91-14FF-44BF-AE29-C29517CA37CE}" name="Table30" displayName="Table30" ref="C289:C290" totalsRowShown="0" headerRowDxfId="577" dataDxfId="575" headerRowBorderDxfId="576" tableBorderDxfId="574" totalsRowBorderDxfId="573" headerRowCellStyle="Comma" dataCellStyle="Comma">
  <tableColumns count="1">
    <tableColumn id="1" xr3:uid="{C13FCD1F-A943-40E9-A12B-9DAE8538C234}" name="2 đầu chìa" dataDxfId="572" dataCellStyle="Comma"/>
  </tableColumns>
  <tableStyleInfo name="TableStyleMedium10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687911-7C9A-4071-A5C7-7EF15A7C2B32}" name="Table31" displayName="Table31" ref="E289:E290" totalsRowShown="0" headerRowDxfId="571" dataDxfId="569" headerRowBorderDxfId="570" tableBorderDxfId="568" totalsRowBorderDxfId="567">
  <tableColumns count="1">
    <tableColumn id="1" xr3:uid="{DDCD92F6-88D1-4316-A015-0BEB53601437}" name="2 đầu chìa" dataDxfId="566"/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F194D8F-C1DA-419A-BDE3-5256BA066341}" name="Table32" displayName="Table32" ref="C291:C298" totalsRowShown="0" headerRowDxfId="565" dataDxfId="563" headerRowBorderDxfId="564" tableBorderDxfId="562" totalsRowBorderDxfId="561" headerRowCellStyle="Comma" dataCellStyle="Comma">
  <tableColumns count="1">
    <tableColumn id="1" xr3:uid="{A94F2961-9C42-46AA-85C1-18DACEBAB66E}" name="3D" dataDxfId="560" dataCellStyle="Comma"/>
  </tableColumns>
  <tableStyleInfo name="TableStyleMedium10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4984C07-1E26-4000-BEF0-5D530259E0F0}" name="Table33" displayName="Table33" ref="D291:D298" totalsRowShown="0" headerRowDxfId="559" dataDxfId="557" headerRowBorderDxfId="558" tableBorderDxfId="556" totalsRowBorderDxfId="555">
  <tableColumns count="1">
    <tableColumn id="1" xr3:uid="{4EC3AAB7-F0C4-400F-9406-31AC9CDCA805}" name="đơn" dataDxfId="554"/>
  </tableColumns>
  <tableStyleInfo name="TableStyleMedium1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552CDCCA-7AEB-44CC-8C85-9A72F4D3A051}" name="Table34" displayName="Table34" ref="E291:E298" totalsRowShown="0" headerRowDxfId="553" dataDxfId="551" headerRowBorderDxfId="552" tableBorderDxfId="550" totalsRowBorderDxfId="549">
  <tableColumns count="1">
    <tableColumn id="1" xr3:uid="{EFF90603-EC19-4472-AC29-87A889C2CA17}" name="xếp trượt" dataDxfId="548"/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9F2D702-CEEC-4AB7-BEF0-F55E3B09E311}" name="Table35" displayName="Table35" ref="F291:F298" totalsRowShown="0" headerRowDxfId="547" dataDxfId="545" headerRowBorderDxfId="546" tableBorderDxfId="544" totalsRowBorderDxfId="543">
  <tableColumns count="1">
    <tableColumn id="1" xr3:uid="{904A15A5-457E-482E-ADE8-7A8C6A28640F}" name="2D" dataDxfId="542"/>
  </tableColumns>
  <tableStyleInfo name="TableStyleMedium14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EB949EB-5124-4F48-AC98-80D60E2DEAEB}" name="Table36" displayName="Table36" ref="D332:D336" totalsRowShown="0" headerRowDxfId="541" dataDxfId="539" headerRowBorderDxfId="540" tableBorderDxfId="538" totalsRowBorderDxfId="537">
  <tableColumns count="1">
    <tableColumn id="1" xr3:uid="{0772760D-C331-4144-95B3-FB64D3E58E24}" name="chữ D" dataDxfId="536"/>
  </tableColumns>
  <tableStyleInfo name="TableStyleMedium1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FA2BAD8-8904-4DCF-A194-7948088AF326}" name="Table37" displayName="Table37" ref="C337:C338" totalsRowShown="0" headerRowDxfId="535" dataDxfId="533" headerRowBorderDxfId="534" tableBorderDxfId="532" totalsRowBorderDxfId="531" headerRowCellStyle="Comma" dataCellStyle="Comma">
  <tableColumns count="1">
    <tableColumn id="1" xr3:uid="{DB281779-7B3F-4AF4-864C-AC852EDD357E}" name="đơn điểm" dataDxfId="530" dataCellStyle="Comma"/>
  </tableColumns>
  <tableStyleInfo name="TableStyleMedium10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7F633C7-903D-4506-9CBB-23A10226964A}" name="Table38" displayName="Table38" ref="D337:D338" totalsRowShown="0" headerRowDxfId="529" dataDxfId="527" headerRowBorderDxfId="528" tableBorderDxfId="526" totalsRowBorderDxfId="525">
  <tableColumns count="1">
    <tableColumn id="1" xr3:uid="{BE1CC954-772D-418D-96AC-84ED1E46A81E}" name="có khóa" dataDxfId="524"/>
  </tableColumns>
  <tableStyleInfo name="TableStyleMedium1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F4AF028-C32E-4FA2-AF18-B9C4C4FFA098}" name="Table39" displayName="Table39" ref="F337:F338" totalsRowShown="0" headerRowDxfId="523" dataDxfId="521" headerRowBorderDxfId="522" tableBorderDxfId="520" totalsRowBorderDxfId="519">
  <tableColumns count="1">
    <tableColumn id="1" xr3:uid="{4E45D16D-1D6B-4C52-A137-9F9129AED672}" name="đơn điểm" dataDxfId="518"/>
  </tableColumns>
  <tableStyleInfo name="TableStyleMedium14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21975B5E-EF2F-41C1-A5CD-A7052A059B48}" name="Table40" displayName="Table40" ref="C339:C340" totalsRowShown="0" headerRowDxfId="517" dataDxfId="515" headerRowBorderDxfId="516" tableBorderDxfId="514" totalsRowBorderDxfId="513" headerRowCellStyle="Comma" dataCellStyle="Comma">
  <tableColumns count="1">
    <tableColumn id="1" xr3:uid="{79AC5E63-6656-4C32-A93E-0981E6DF2F21}" name="2 đầu chìa" dataDxfId="512" dataCellStyle="Comma"/>
  </tableColumns>
  <tableStyleInfo name="TableStyleMedium10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F4567707-AA29-441B-8566-41D863969925}" name="Table41" displayName="Table41" ref="D339:D340" totalsRowShown="0" headerRowDxfId="511" dataDxfId="509" headerRowBorderDxfId="510" tableBorderDxfId="508" totalsRowBorderDxfId="507">
  <tableColumns count="1">
    <tableColumn id="1" xr3:uid="{58EF0511-6E6E-4A92-A3C6-DF16214E77EF}" name="2 đầu chìa" dataDxfId="506"/>
  </tableColumns>
  <tableStyleInfo name="TableStyleMedium1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995CA64-1B26-4634-812D-8CBBBA53A7A8}" name="Table42" displayName="Table42" ref="C341:C347" totalsRowShown="0" headerRowDxfId="505" dataDxfId="503" headerRowBorderDxfId="504" tableBorderDxfId="502" totalsRowBorderDxfId="501" headerRowCellStyle="Comma" dataCellStyle="Comma">
  <tableColumns count="1">
    <tableColumn id="1" xr3:uid="{72997E03-CF34-40AD-A54D-C46893A52032}" name="3D-80" dataDxfId="500" dataCellStyle="Comma"/>
  </tableColumns>
  <tableStyleInfo name="TableStyleMedium10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ED9693BA-20FA-4574-B9BD-DBAE0927D685}" name="Table43" displayName="Table43" ref="D341:D347" totalsRowShown="0" headerRowDxfId="499" dataDxfId="497" headerRowBorderDxfId="498" tableBorderDxfId="496" totalsRowBorderDxfId="495">
  <tableColumns count="1">
    <tableColumn id="1" xr3:uid="{FE411581-BC58-42EE-B30D-5C78D45557B6}" name="đơn" dataDxfId="494"/>
  </tableColumns>
  <tableStyleInfo name="TableStyleMedium1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31B70FC9-5EFE-4A75-B0B7-83BAC7F421A0}" name="Table44" displayName="Table44" ref="F341:F347" totalsRowShown="0" headerRowDxfId="493" dataDxfId="491" headerRowBorderDxfId="492" tableBorderDxfId="490" totalsRowBorderDxfId="489">
  <tableColumns count="1">
    <tableColumn id="1" xr3:uid="{7F689B13-60D4-4950-A86D-1A4F6BC199B2}" name="chữ A08''" dataDxfId="488"/>
  </tableColumns>
  <tableStyleInfo name="TableStyleMedium14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44747BF4-AF70-440E-BFA9-44741921D743}" name="Table45" displayName="Table45" ref="D348:D352" totalsRowShown="0" headerRowDxfId="487" dataDxfId="485" headerRowBorderDxfId="486" tableBorderDxfId="484" totalsRowBorderDxfId="483">
  <tableColumns count="1">
    <tableColumn id="1" xr3:uid="{1723884D-AEEE-4014-9B96-FD0FA2F5103D}" name="chữ D có khóa" dataDxfId="482"/>
  </tableColumns>
  <tableStyleInfo name="TableStyleMedium1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40E4D48-06E0-4BC4-BDA8-2ABC99799727}" name="Table46" displayName="Table46" ref="C353:C354" totalsRowShown="0" headerRowDxfId="481" dataDxfId="479" headerRowBorderDxfId="480" tableBorderDxfId="478" totalsRowBorderDxfId="477" headerRowCellStyle="Comma" dataCellStyle="Comma">
  <tableColumns count="1">
    <tableColumn id="1" xr3:uid="{5F09339C-5EB0-41A5-BB28-5C541E4C0406}" name="đơn điểm" dataDxfId="476" dataCellStyle="Comma"/>
  </tableColumns>
  <tableStyleInfo name="TableStyleMedium10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BFA9E9C-00DD-465A-9813-463B3CE68ABF}" name="Table47" displayName="Table47" ref="D353:D354" totalsRowShown="0" headerRowDxfId="475" dataDxfId="473" headerRowBorderDxfId="474" tableBorderDxfId="472" totalsRowBorderDxfId="471">
  <tableColumns count="1">
    <tableColumn id="1" xr3:uid="{D8246A22-0DD1-4596-9639-9E44C51A2205}" name="có khóa" dataDxfId="470"/>
  </tableColumns>
  <tableStyleInfo name="TableStyleMedium1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4B2328F7-6AF0-4FEA-AA3A-35E00AF14E21}" name="Table48" displayName="Table48" ref="F353:F354" totalsRowShown="0" headerRowDxfId="469" dataDxfId="467" headerRowBorderDxfId="468" tableBorderDxfId="466" totalsRowBorderDxfId="465">
  <tableColumns count="1">
    <tableColumn id="1" xr3:uid="{B963F303-263F-4F80-A943-FE351E5BE915}" name="đơn điểm" dataDxfId="464"/>
  </tableColumns>
  <tableStyleInfo name="TableStyleMedium14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73968ECC-1C1F-4CDB-9823-83DC24599B12}" name="Table49" displayName="Table49" ref="C355:C356" totalsRowShown="0" headerRowDxfId="463" dataDxfId="461" headerRowBorderDxfId="462" tableBorderDxfId="460" totalsRowBorderDxfId="459" headerRowCellStyle="Comma" dataCellStyle="Comma">
  <tableColumns count="1">
    <tableColumn id="1" xr3:uid="{EC391012-4A00-4D8E-98C4-1549D93C35E6}" name="2 đầu chìa" dataDxfId="458" dataCellStyle="Comma"/>
  </tableColumns>
  <tableStyleInfo name="TableStyleMedium10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88D9C95-0728-48D1-A8B7-88B65B23E3C3}" name="Table50" displayName="Table50" ref="C357:C361" totalsRowShown="0" headerRowDxfId="457" dataDxfId="455" headerRowBorderDxfId="456" tableBorderDxfId="454" totalsRowBorderDxfId="453" headerRowCellStyle="Comma" dataCellStyle="Comma">
  <tableColumns count="1">
    <tableColumn id="1" xr3:uid="{B3FB28C6-00D7-4E85-8287-02016CC438C3}" name="3D-80" dataDxfId="452" dataCellStyle="Comma"/>
  </tableColumns>
  <tableStyleInfo name="TableStyleMedium10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FCFFD1F-EC00-4D23-BEF1-30B6500A4AAF}" name="Table51" displayName="Table51" ref="D357:D361" totalsRowShown="0" headerRowDxfId="451" dataDxfId="449" headerRowBorderDxfId="450" tableBorderDxfId="448" totalsRowBorderDxfId="447">
  <tableColumns count="1">
    <tableColumn id="1" xr3:uid="{95934ECE-0200-43F5-987A-D9E95F8C6F5F}" name="đơn" dataDxfId="446"/>
  </tableColumns>
  <tableStyleInfo name="TableStyleMedium1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350E601-180E-4FB9-AFA7-4B3F5A7ACEE1}" name="Table52" displayName="Table52" ref="E357:E361" totalsRowShown="0" headerRowDxfId="445" dataDxfId="443" headerRowBorderDxfId="444" tableBorderDxfId="442" totalsRowBorderDxfId="441">
  <tableColumns count="1">
    <tableColumn id="1" xr3:uid="{DAD28453-4B3C-44FD-8257-E4E87FD1D17F}" name="xếp trượt" dataDxfId="440"/>
  </tableColumns>
  <tableStyleInfo name="TableStyleMedium1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1D184C1E-A97E-4ED4-817E-F2B6582DF4EC}" name="Table53" displayName="Table53" ref="F357:F361" totalsRowShown="0" headerRowDxfId="439" dataDxfId="437" headerRowBorderDxfId="438" tableBorderDxfId="436" totalsRowBorderDxfId="435">
  <tableColumns count="1">
    <tableColumn id="1" xr3:uid="{A5CEA73D-FE26-46E9-8352-8BD0EF89027C}" name="chữ A08''" dataDxfId="434"/>
  </tableColumns>
  <tableStyleInfo name="TableStyleMedium14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03DDDCF-F96E-4955-8F21-F07B93E44617}" name="Table55" displayName="Table55" ref="D362:D363" totalsRowShown="0" headerRowDxfId="433" dataDxfId="431" headerRowBorderDxfId="432" tableBorderDxfId="430" totalsRowBorderDxfId="429">
  <tableColumns count="1">
    <tableColumn id="1" xr3:uid="{4A4B9D8A-5568-4EDF-98D8-457060646A05}" name="âm" dataDxfId="428"/>
  </tableColumns>
  <tableStyleInfo name="TableStyleMedium1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8C626ED-F2E3-4937-9850-0D756FCFF6EB}" name="Table56" displayName="Table56" ref="C364:C365" totalsRowShown="0" headerRowDxfId="427" dataDxfId="425" headerRowBorderDxfId="426" tableBorderDxfId="424" totalsRowBorderDxfId="423" headerRowCellStyle="Comma" dataCellStyle="Comma">
  <tableColumns count="1">
    <tableColumn id="1" xr3:uid="{C2B05BDD-EB0F-4009-96BB-4EAE5320EA4B}" name="đơn điểm" dataDxfId="422" dataCellStyle="Comma"/>
  </tableColumns>
  <tableStyleInfo name="TableStyleMedium10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50C24B-AEC7-4474-AD64-93275E008C65}" name="Table57" displayName="Table57" ref="D364:D365" totalsRowShown="0" headerRowDxfId="421" dataDxfId="419" headerRowBorderDxfId="420" tableBorderDxfId="418" totalsRowBorderDxfId="417">
  <tableColumns count="1">
    <tableColumn id="1" xr3:uid="{6C3B4362-7A65-4B01-843D-B9C25482AB59}" name="đa điểm" dataDxfId="416"/>
  </tableColumns>
  <tableStyleInfo name="TableStyleMedium1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CA109EF-51E1-4F81-A167-B1BC0000DCE4}" name="Table58" displayName="Table58" ref="F364:F365" totalsRowShown="0" headerRowDxfId="415" dataDxfId="413" headerRowBorderDxfId="414" tableBorderDxfId="412" totalsRowBorderDxfId="411">
  <tableColumns count="1">
    <tableColumn id="1" xr3:uid="{1E995511-1882-43FB-8971-4B92825AD50D}" name="đơn điểm" dataDxfId="410"/>
  </tableColumns>
  <tableStyleInfo name="TableStyleMedium14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B0E0DA24-1D28-4E18-A01C-A9FCFF07F132}" name="Table59" displayName="Table59" ref="C366:C367" totalsRowShown="0" headerRowDxfId="409" dataDxfId="407" headerRowBorderDxfId="408" tableBorderDxfId="406" totalsRowBorderDxfId="405" headerRowCellStyle="Comma" dataCellStyle="Comma">
  <tableColumns count="1">
    <tableColumn id="1" xr3:uid="{213E1E63-EDF5-4D2E-8B69-8083F6125AE5}" name="2 đầu chìa" dataDxfId="404" dataCellStyle="Comma"/>
  </tableColumns>
  <tableStyleInfo name="TableStyleMedium10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1F0095BF-DC98-410E-9700-E9E264A6509E}" name="Table60" displayName="Table60" ref="C368:C371" totalsRowShown="0" headerRowDxfId="403" dataDxfId="401" headerRowBorderDxfId="402" tableBorderDxfId="400" totalsRowBorderDxfId="399" headerRowCellStyle="Comma" dataCellStyle="Comma">
  <tableColumns count="1">
    <tableColumn id="1" xr3:uid="{8B1A008F-48A7-4FA5-8FFB-0CEC7C1CC3A8}" name="chữ A08''" dataDxfId="398" dataCellStyle="Comma"/>
  </tableColumns>
  <tableStyleInfo name="TableStyleMedium10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110F5E7-3835-429F-A5DF-1ECD75CADB23}" name="Table61" displayName="Table61" ref="D368:D371" totalsRowShown="0" headerRowDxfId="397" dataDxfId="395" headerRowBorderDxfId="396" tableBorderDxfId="394" totalsRowBorderDxfId="393">
  <tableColumns count="1">
    <tableColumn id="1" xr3:uid="{0D0BF531-7B54-4049-9172-B9E539546FB7}" name="đơn" dataDxfId="392"/>
  </tableColumns>
  <tableStyleInfo name="TableStyleMedium1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5EA8D3F-AA5C-4FCC-8DC6-F1DF3C352813}" name="Table62" displayName="Table62" ref="F368:F371" totalsRowShown="0" headerRowDxfId="391" dataDxfId="389" headerRowBorderDxfId="390" tableBorderDxfId="388" totalsRowBorderDxfId="387">
  <tableColumns count="1">
    <tableColumn id="1" xr3:uid="{7BCE9567-70DE-4A70-A91C-02F5F6938739}" name="chữ A08''" dataDxfId="386"/>
  </tableColumns>
  <tableStyleInfo name="TableStyleMedium14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C21A181-D227-47D1-AF27-C8B72DE420EA}" name="Table54" displayName="Table54" ref="E214:E215" totalsRowShown="0" headerRowDxfId="385" dataDxfId="383" headerRowBorderDxfId="384" tableBorderDxfId="382" totalsRowBorderDxfId="381">
  <tableColumns count="1">
    <tableColumn id="1" xr3:uid="{81CD67B3-0C87-4DF7-A257-17119B79EF59}" name="quay trong" dataDxfId="380"/>
  </tableColumns>
  <tableStyleInfo name="TableStyleMedium13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BC7C2484-BC9B-4782-AF83-FE1B4CFBE924}" name="Table63" displayName="Table63" ref="E223:E224" totalsRowShown="0" headerRowDxfId="379" dataDxfId="377" headerRowBorderDxfId="378" tableBorderDxfId="376" totalsRowBorderDxfId="375">
  <tableColumns count="1">
    <tableColumn id="1" xr3:uid="{1084A594-3A3C-4285-A56C-6896B15AF90C}" name="quay trong" dataDxfId="374"/>
  </tableColumns>
  <tableStyleInfo name="TableStyleMedium13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B30A0F13-4BCB-49CD-8F04-6AF70BC6EEF7}" name="Table64" displayName="Table64" ref="E268:E270" totalsRowShown="0" headerRowDxfId="373" dataDxfId="371" headerRowBorderDxfId="372" tableBorderDxfId="370">
  <tableColumns count="1">
    <tableColumn id="1" xr3:uid="{337A8029-550D-4B9B-8C71-9BD27D4CBD1B}" name="đơn điểm" dataDxfId="369"/>
  </tableColumns>
  <tableStyleInfo name="TableStyleMedium13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153989B-5A61-4CEE-8113-B1A7128CC168}" name="Table67" displayName="Table67" ref="F223:F224" totalsRowShown="0" headerRowDxfId="368" dataDxfId="366" headerRowBorderDxfId="367" tableBorderDxfId="365" totalsRowBorderDxfId="364">
  <tableColumns count="1">
    <tableColumn id="1" xr3:uid="{DFF5D7A2-7582-45BB-9BC5-FE4B8AF179B8}" name="cài" dataDxfId="363"/>
  </tableColumns>
  <tableStyleInfo name="TableStyleMedium14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57505A-3050-4C6A-840E-F3126F0F8F0E}" name="Table1" displayName="Table1" ref="C262:C265" totalsRowShown="0" headerRowDxfId="362" dataDxfId="360" headerRowBorderDxfId="361" tableBorderDxfId="359" totalsRowBorderDxfId="358" headerRowCellStyle="Comma" dataCellStyle="Comma">
  <tableColumns count="1">
    <tableColumn id="1" xr3:uid="{3FB989B7-6CBD-4395-A986-1C65B8F5A32D}" name="cài" dataDxfId="357" dataCellStyle="Comma"/>
  </tableColumns>
  <tableStyleInfo name="TableStyleMedium10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447706FE-367F-48AC-8C22-87F8EDF3CE1B}" name="Table65" displayName="Table65" ref="F262:F265" totalsRowShown="0" headerRowDxfId="356" dataDxfId="354" headerRowBorderDxfId="355" tableBorderDxfId="353" totalsRowBorderDxfId="352">
  <tableColumns count="1">
    <tableColumn id="1" xr3:uid="{7564AF09-C1F0-4065-AE77-2040872A3AFF}" name="cài" dataDxfId="351"/>
  </tableColumns>
  <tableStyleInfo name="TableStyleMedium14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76D613BA-6714-426A-BD68-E1B378BB6934}" name="Table68" displayName="Table68" ref="C216:C217" totalsRowShown="0" headerRowDxfId="350" dataDxfId="348" headerRowBorderDxfId="349" tableBorderDxfId="347" totalsRowBorderDxfId="346" headerRowCellStyle="Comma" dataCellStyle="Comma">
  <tableColumns count="1">
    <tableColumn id="1" xr3:uid="{CFC70A68-479A-4FFB-8D10-CB303FC44B04}" name="vĩnh cửu" dataDxfId="345" dataCellStyle="Comma"/>
  </tableColumns>
  <tableStyleInfo name="TableStyleMedium3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B7432F2-F3FB-4C66-81CB-E4C969DAD145}" name="Table69" displayName="Table69" ref="C218:C219" totalsRowShown="0" headerRowDxfId="344" dataDxfId="342" headerRowBorderDxfId="343" tableBorderDxfId="341" totalsRowBorderDxfId="340" headerRowCellStyle="Comma" dataCellStyle="Comma">
  <tableColumns count="1">
    <tableColumn id="1" xr3:uid="{E8490549-4DC6-4C90-B725-A139F42AE44C}" name="vĩnh cửu" dataDxfId="339" dataCellStyle="Comma"/>
  </tableColumns>
  <tableStyleInfo name="TableStyleMedium10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841A89EE-92AA-4F70-8250-94F14249C42A}" name="Table70" displayName="Table70" ref="F216:F217" totalsRowShown="0" headerRowDxfId="338" dataDxfId="336" headerRowBorderDxfId="337" tableBorderDxfId="335" totalsRowBorderDxfId="334" headerRowCellStyle="Comma" dataCellStyle="Comma">
  <tableColumns count="1">
    <tableColumn id="1" xr3:uid="{94AD3D70-D7D8-40C2-8D41-153D568E75CF}" name="vĩnh cửu" dataDxfId="333" dataCellStyle="Comma"/>
  </tableColumns>
  <tableStyleInfo name="TableStyleMedium14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CF3B838C-64B9-4BFB-AA0E-B639BCE11319}" name="Table71" displayName="Table71" ref="F218:F219" totalsRowShown="0" headerRowDxfId="332" dataDxfId="330" headerRowBorderDxfId="331" tableBorderDxfId="329" totalsRowBorderDxfId="328" headerRowCellStyle="Comma" dataCellStyle="Comma">
  <tableColumns count="1">
    <tableColumn id="1" xr3:uid="{4AFABEAE-8F51-485F-82F6-F8A1B8F7BCCE}" name="vĩnh cửu" dataDxfId="327" dataCellStyle="Comma"/>
  </tableColumns>
  <tableStyleInfo name="TableStyleMedium14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C6E9CBB2-FD06-42DA-A917-DCEF4CDBEE65}" name="Table72" displayName="Table72" ref="C225:C226" totalsRowShown="0" headerRowDxfId="326" dataDxfId="324" headerRowBorderDxfId="325" tableBorderDxfId="323" totalsRowBorderDxfId="322" headerRowCellStyle="Comma" dataCellStyle="Comma">
  <tableColumns count="1">
    <tableColumn id="1" xr3:uid="{EB4FAF7E-84E9-4ECD-9EE3-31012BB4A1B9}" name="vĩnh cửu" dataDxfId="321" dataCellStyle="Comma"/>
  </tableColumns>
  <tableStyleInfo name="TableStyleMedium10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96C0512-4159-4E94-921A-2D7D128424BB}" name="Table73" displayName="Table73" ref="C227:C228" totalsRowShown="0" headerRowDxfId="320" dataDxfId="318" headerRowBorderDxfId="319" tableBorderDxfId="317" totalsRowBorderDxfId="316" headerRowCellStyle="Comma" dataCellStyle="Comma">
  <tableColumns count="1">
    <tableColumn id="1" xr3:uid="{F016E592-979E-46E4-9BED-D9C308E169FD}" name="vĩnh cửu" dataDxfId="315" dataCellStyle="Comma"/>
  </tableColumns>
  <tableStyleInfo name="TableStyleMedium10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78461255-6A67-4BBC-A413-E3272DC1ADFE}" name="Table74" displayName="Table74" ref="F225:F226" totalsRowShown="0" headerRowDxfId="314" dataDxfId="312" headerRowBorderDxfId="313" tableBorderDxfId="311" totalsRowBorderDxfId="310" headerRowCellStyle="Comma" dataCellStyle="Comma">
  <tableColumns count="1">
    <tableColumn id="1" xr3:uid="{B30595E4-1E42-47B1-9A2C-F5A9071C8D25}" name="vĩnh cửu" dataDxfId="309" dataCellStyle="Comma"/>
  </tableColumns>
  <tableStyleInfo name="TableStyleMedium14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7D3A69B8-CC39-4431-9413-416964D627D6}" name="Table75" displayName="Table75" ref="F227:F228" totalsRowShown="0" headerRowDxfId="308" dataDxfId="306" headerRowBorderDxfId="307" tableBorderDxfId="305" totalsRowBorderDxfId="304" headerRowCellStyle="Comma" dataCellStyle="Comma">
  <tableColumns count="1">
    <tableColumn id="1" xr3:uid="{CE53CEDE-4245-4FAC-B750-D64A1355401D}" name="vĩnh cửu" dataDxfId="303" dataCellStyle="Comma"/>
  </tableColumns>
  <tableStyleInfo name="TableStyleMedium14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726804EA-8A84-4002-8314-857D245A64FE}" name="Table66" displayName="Table66" ref="E220:E222" totalsRowShown="0" headerRowDxfId="302" dataDxfId="300" headerRowBorderDxfId="301" tableBorderDxfId="299" totalsRowBorderDxfId="298">
  <tableColumns count="1">
    <tableColumn id="1" xr3:uid="{B35011BD-9D23-4C35-9482-477ECE9D01B7}" name="Âm ray" dataDxfId="297"/>
  </tableColumns>
  <tableStyleInfo name="TableStyleMedium9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B1A1F159-34CC-47FB-8B9E-45CFAF297BA9}" name="Table92" displayName="Table92" ref="D216:D217" totalsRowShown="0" headerRowDxfId="296" dataDxfId="294" headerRowBorderDxfId="295" tableBorderDxfId="293" totalsRowBorderDxfId="292">
  <tableColumns count="1">
    <tableColumn id="1" xr3:uid="{F10D3368-47E3-4E3A-9835-5405AD9DABBE}" name="vĩnh cửu" dataDxfId="291"/>
  </tableColumns>
  <tableStyleInfo name="TableStyleMedium1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1DDDFEF1-72CC-4E43-AA14-A152F5E3E703}" name="Table93" displayName="Table93" ref="D218:D219" totalsRowShown="0" headerRowDxfId="290" dataDxfId="288" headerRowBorderDxfId="289" tableBorderDxfId="287" totalsRowBorderDxfId="286">
  <tableColumns count="1">
    <tableColumn id="1" xr3:uid="{498E54D2-3503-444E-94D0-0B050DD47699}" name="vĩnh cửu" dataDxfId="285"/>
  </tableColumns>
  <tableStyleInfo name="TableStyleMedium1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17B38D75-089E-4582-8CF1-AEED32140F97}" name="Table94" displayName="Table94" ref="D225:D226" totalsRowShown="0" headerRowDxfId="284" dataDxfId="282" headerRowBorderDxfId="283" tableBorderDxfId="281" totalsRowBorderDxfId="280">
  <tableColumns count="1">
    <tableColumn id="1" xr3:uid="{F049778F-1B7D-442C-B42A-C3C12C387B4E}" name="vĩnh cửu" dataDxfId="279"/>
  </tableColumns>
  <tableStyleInfo name="TableStyleMedium1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8D367736-7345-4AD2-9CF2-B49391D206FA}" name="Table95" displayName="Table95" ref="D227:D228" totalsRowShown="0" headerRowDxfId="278" dataDxfId="276" headerRowBorderDxfId="277" tableBorderDxfId="275" totalsRowBorderDxfId="274">
  <tableColumns count="1">
    <tableColumn id="1" xr3:uid="{5CE8E114-FD68-4DEE-9D90-FC1F09A7B5FA}" name="vĩnh cửu" dataDxfId="273"/>
  </tableColumns>
  <tableStyleInfo name="TableStyleMedium1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7740D89F-CFD6-4AAA-B259-550BA4390D5C}" name="Table97" displayName="Table97" ref="G216:G217" totalsRowShown="0" headerRowDxfId="272" dataDxfId="270" headerRowBorderDxfId="271" tableBorderDxfId="269" totalsRowBorderDxfId="268">
  <tableColumns count="1">
    <tableColumn id="1" xr3:uid="{E4E2F0C9-FD18-41AA-B226-25C2BC892958}" name="vĩnh cửu" dataDxfId="267"/>
  </tableColumns>
  <tableStyleInfo name="TableStyleMedium1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773DA2AE-7EED-4F4D-AAA8-B3974C36BE18}" name="Table98" displayName="Table98" ref="G225:G226" totalsRowShown="0" headerRowDxfId="266" dataDxfId="264" headerRowBorderDxfId="265" tableBorderDxfId="263" totalsRowBorderDxfId="262">
  <tableColumns count="1">
    <tableColumn id="1" xr3:uid="{CC2F7F61-5140-44D4-BAAB-5D414547E618}" name="vĩnh cửu" dataDxfId="261"/>
  </tableColumns>
  <tableStyleInfo name="TableStyleMedium1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93E488A0-C8BA-4558-888F-AA5BE054B07E}" name="Table99" displayName="Table99" ref="H216:H217" totalsRowShown="0" headerRowDxfId="260" dataDxfId="258" headerRowBorderDxfId="259" tableBorderDxfId="257" totalsRowBorderDxfId="256">
  <tableColumns count="1">
    <tableColumn id="1" xr3:uid="{73395419-EDB0-45C1-86FE-569E022DAFAE}" name="vĩnh cửu" dataDxfId="255"/>
  </tableColumns>
  <tableStyleInfo name="TableStyleMedium8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A9CC4540-C3E4-4B09-B1B4-581211AE941F}" name="Table100" displayName="Table100" ref="H225:H226" totalsRowShown="0" headerRowDxfId="254" dataDxfId="252" headerRowBorderDxfId="253" tableBorderDxfId="251" totalsRowBorderDxfId="250">
  <tableColumns count="1">
    <tableColumn id="1" xr3:uid="{C445E1E7-C333-4B14-8206-EEEDF6904957}" name="vĩnh cửu" dataDxfId="249"/>
  </tableColumns>
  <tableStyleInfo name="TableStyleMedium8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E19A9CB3-BD9C-4047-AE3E-48E7E0855459}" name="Table1677" displayName="Table1677" ref="D299:D303" totalsRowShown="0" headerRowDxfId="248" dataDxfId="246" headerRowBorderDxfId="247" tableBorderDxfId="245" totalsRowBorderDxfId="244">
  <tableColumns count="1">
    <tableColumn id="1" xr3:uid="{C78B3B14-AFCE-443F-9BE5-5DE3FA9195A3}" name="chữ D đơn điểm" dataDxfId="243"/>
  </tableColumns>
  <tableStyleInfo name="TableStyleMedium1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70DD4E4D-1870-4B33-8842-F40F51E06C34}" name="Table1778" displayName="Table1778" ref="E299:E302" totalsRowShown="0" headerRowDxfId="242" dataDxfId="240" headerRowBorderDxfId="241" tableBorderDxfId="239" totalsRowBorderDxfId="238">
  <tableColumns count="1">
    <tableColumn id="1" xr3:uid="{7994A6A2-3322-4DFF-9F72-29D9083A85F8}" name="quay trong" dataDxfId="237"/>
  </tableColumns>
  <tableStyleInfo name="TableStyleMedium13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39FBA54B-6131-42A3-94E9-47F709E67F24}" name="Table1879" displayName="Table1879" ref="C304:C305" totalsRowShown="0" headerRowDxfId="236" dataDxfId="234" headerRowBorderDxfId="235" tableBorderDxfId="233" totalsRowBorderDxfId="232" headerRowCellStyle="Comma" dataCellStyle="Comma">
  <tableColumns count="1">
    <tableColumn id="1" xr3:uid="{005FE99A-28AD-43AE-959A-186BC6091E6E}" name="đơn điểm" dataDxfId="231" dataCellStyle="Comma"/>
  </tableColumns>
  <tableStyleInfo name="TableStyleMedium10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96F1092F-E601-44D3-A81C-F27AEC140EAF}" name="Table1980" displayName="Table1980" ref="F304:F305" totalsRowShown="0" headerRowDxfId="230" dataDxfId="228" headerRowBorderDxfId="229" tableBorderDxfId="227" totalsRowBorderDxfId="226">
  <tableColumns count="1">
    <tableColumn id="1" xr3:uid="{967188DD-51A1-4134-AD44-3830DF2F32C8}" name="đơn điểm" dataDxfId="225"/>
  </tableColumns>
  <tableStyleInfo name="TableStyleMedium14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6B95374E-3E11-406F-B181-E0BB60458038}" name="Table2081" displayName="Table2081" ref="C307:C309" totalsRowShown="0" headerRowDxfId="224" dataDxfId="222" headerRowBorderDxfId="223" tableBorderDxfId="221" totalsRowBorderDxfId="220" headerRowCellStyle="Comma" dataCellStyle="Comma">
  <tableColumns count="1">
    <tableColumn id="1" xr3:uid="{4B85A497-8B96-4C6A-BD7D-D9DD4EE129C3}" name="2 đầu chìa" dataDxfId="219" dataCellStyle="Comma"/>
  </tableColumns>
  <tableStyleInfo name="TableStyleMedium10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72FC3A8-67C6-43A7-A722-0355E6624DDC}" name="Table2182" displayName="Table2182" ref="E307:E309" totalsRowShown="0" headerRowDxfId="218" dataDxfId="216" headerRowBorderDxfId="217" tableBorderDxfId="215" totalsRowBorderDxfId="214">
  <tableColumns count="1">
    <tableColumn id="1" xr3:uid="{7A6E678E-3060-4C4B-9CAA-AC80C603BC91}" name="2 đầu chìa" dataDxfId="213"/>
  </tableColumns>
  <tableStyleInfo name="TableStyleMedium13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8176AADF-8950-41C3-8AEE-3917CB7C4910}" name="Table2283" displayName="Table2283" ref="C310:C317" totalsRowShown="0" headerRowDxfId="212" dataDxfId="210" headerRowBorderDxfId="211" tableBorderDxfId="209" totalsRowBorderDxfId="208" headerRowCellStyle="Comma" dataCellStyle="Comma">
  <tableColumns count="1">
    <tableColumn id="1" xr3:uid="{3E99E3BA-EA56-43DB-9D07-2D344145477E}" name="3D" dataDxfId="207" dataCellStyle="Comma"/>
  </tableColumns>
  <tableStyleInfo name="TableStyleMedium10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C0DF872C-65AD-44E4-BF99-3C9A227739CB}" name="Table2384" displayName="Table2384" ref="D310:D317" totalsRowShown="0" headerRowDxfId="206" dataDxfId="204" headerRowBorderDxfId="205" tableBorderDxfId="203" totalsRowBorderDxfId="202">
  <tableColumns count="1">
    <tableColumn id="1" xr3:uid="{072AA5D7-B391-440E-98FE-9E9F5DC04B1D}" name="đơn" dataDxfId="201"/>
  </tableColumns>
  <tableStyleInfo name="TableStyleMedium1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B747132E-FC2A-485A-86AF-887718995D5E}" name="Table2485" displayName="Table2485" ref="E310:E317" totalsRowShown="0" headerRowDxfId="200" dataDxfId="198" headerRowBorderDxfId="199" tableBorderDxfId="197" totalsRowBorderDxfId="196">
  <tableColumns count="1">
    <tableColumn id="1" xr3:uid="{35457C07-709E-4055-BA89-C2496F35DBC2}" name="xếp trượt" dataDxfId="195"/>
  </tableColumns>
  <tableStyleInfo name="TableStyleMedium13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531DDC7B-EE22-4F31-BD59-A6B76BA6213C}" name="Table2586" displayName="Table2586" ref="F310:F317" totalsRowShown="0" headerRowDxfId="194" dataDxfId="192" headerRowBorderDxfId="193" tableBorderDxfId="191" totalsRowBorderDxfId="190">
  <tableColumns count="1">
    <tableColumn id="1" xr3:uid="{4C519397-8759-485B-95EB-FA7C72C6A8DA}" name="2D" dataDxfId="189"/>
  </tableColumns>
  <tableStyleInfo name="TableStyleMedium14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26CCD6BC-4E47-48A8-BC49-39B24898364D}" name="Table6487" displayName="Table6487" ref="E304:E306" totalsRowShown="0" headerRowDxfId="188" dataDxfId="186" headerRowBorderDxfId="187" tableBorderDxfId="185">
  <tableColumns count="1">
    <tableColumn id="1" xr3:uid="{C5F80481-D32F-4A1F-BFE6-5FB80C2741CE}" name="đơn điểm" dataDxfId="184"/>
  </tableColumns>
  <tableStyleInfo name="TableStyleMedium13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F20A557B-28B1-4EC4-9957-04245C7A44A0}" name="Table188" displayName="Table188" ref="C299:C302" totalsRowShown="0" headerRowDxfId="183" dataDxfId="181" headerRowBorderDxfId="182" tableBorderDxfId="180" totalsRowBorderDxfId="179" headerRowCellStyle="Comma" dataCellStyle="Comma">
  <tableColumns count="1">
    <tableColumn id="1" xr3:uid="{2CE5A880-02C5-44BC-9DF3-7B5F019A23DD}" name="cài" dataDxfId="178" dataCellStyle="Comma"/>
  </tableColumns>
  <tableStyleInfo name="TableStyleMedium10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BDD98724-6713-4993-BE45-4A2EEFEC8F9E}" name="Table6589" displayName="Table6589" ref="F299:F302" totalsRowShown="0" headerRowDxfId="177" dataDxfId="175" headerRowBorderDxfId="176" tableBorderDxfId="174" totalsRowBorderDxfId="173">
  <tableColumns count="1">
    <tableColumn id="1" xr3:uid="{09E48A1F-12F7-48D1-A5C1-6899AC11C356}" name="cài" dataDxfId="172"/>
  </tableColumns>
  <tableStyleInfo name="TableStyleMedium14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809F5C1B-D109-4128-B059-A4201AB4725B}" name="Table391" displayName="Table391" ref="C229:C231" totalsRowShown="0" headerRowDxfId="171" dataDxfId="169" headerRowBorderDxfId="170" tableBorderDxfId="168" totalsRowBorderDxfId="167" headerRowCellStyle="Comma" dataCellStyle="Comma">
  <tableColumns count="1">
    <tableColumn id="1" xr3:uid="{56BFA000-95E6-4C05-88C6-0DC5449FD055}" name="hở nền ốp đáy" dataDxfId="166" dataCellStyle="Comma"/>
  </tableColumns>
  <tableStyleInfo name="TableStyleMedium10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324FFB0B-562F-4959-9A5E-3A22DB7A8ECA}" name="Table123" displayName="Table123" ref="C318:C321" totalsRowShown="0" headerRowDxfId="165" dataDxfId="163" headerRowBorderDxfId="164" tableBorderDxfId="162" totalsRowBorderDxfId="161" headerRowCellStyle="Comma" dataCellStyle="Comma">
  <tableColumns count="1">
    <tableColumn id="1" xr3:uid="{5CA5E44C-0126-42C1-8453-C8FA0BBAE0C6}" name="tròn NEO" dataDxfId="160" dataCellStyle="Comma"/>
  </tableColumns>
  <tableStyleInfo name="TableStyleMedium10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A74AD1CD-62E2-471C-A341-4B83025CAA67}" name="Table123125" displayName="Table123125" ref="C232:C235" totalsRowShown="0" headerRowDxfId="159" dataDxfId="157" headerRowBorderDxfId="158" tableBorderDxfId="156" totalsRowBorderDxfId="155" headerRowCellStyle="Comma" dataCellStyle="Comma">
  <tableColumns count="1">
    <tableColumn id="1" xr3:uid="{83DC9B33-D120-4716-BE5F-515B8CC70583}" name="tròn NEO" dataDxfId="154" dataCellStyle="Comma"/>
  </tableColumns>
  <tableStyleInfo name="TableStyleMedium10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89DFB5-CFCA-448D-8BC4-87F26D56DE4C}" name="Table7" displayName="Table7" ref="C328:C331" totalsRowShown="0" headerRowDxfId="153" dataDxfId="151" headerRowBorderDxfId="152" tableBorderDxfId="150" totalsRowBorderDxfId="149" headerRowCellStyle="Comma" dataCellStyle="Comma">
  <tableColumns count="1">
    <tableColumn id="1" xr3:uid="{8FF42178-00A4-4E41-A961-24DF9D3BAF5A}" name="góc" dataDxfId="148" dataCellStyle="Comma"/>
  </tableColumns>
  <tableStyleInfo name="TableStyleMedium10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A927BC65-CD50-4CDC-8CBD-9B19F8529405}" name="Table290" displayName="Table290" ref="E240:E242" totalsRowShown="0" headerRowDxfId="147" dataDxfId="145" headerRowBorderDxfId="146" tableBorderDxfId="144" totalsRowBorderDxfId="143">
  <tableColumns count="1">
    <tableColumn id="1" xr3:uid="{3C364207-00C5-4607-8E5D-22464A3139FC}" name="Âm ray" dataDxfId="142"/>
  </tableColumns>
  <tableStyleInfo name="TableStyleMedium13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12C10575-8926-4631-B168-877BD37615CF}" name="Table392" displayName="Table392" ref="C240:C242" totalsRowShown="0" headerRowDxfId="141" dataDxfId="139" headerRowBorderDxfId="140" tableBorderDxfId="138" totalsRowBorderDxfId="137" headerRowCellStyle="Comma" dataCellStyle="Comma">
  <tableColumns count="1">
    <tableColumn id="1" xr3:uid="{13D0AD91-8ED6-4187-AE79-F9F291E161AA}" name="hở nền ốp đáy" dataDxfId="136" dataCellStyle="Comma"/>
  </tableColumns>
  <tableStyleInfo name="TableStyleMedium10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36F40E9E-A928-475C-BF5A-7996EA583406}" name="Table497" displayName="Table497" ref="C243:C244" totalsRowShown="0" headerRowDxfId="135" dataDxfId="133" headerRowBorderDxfId="134" tableBorderDxfId="132" totalsRowBorderDxfId="131" headerRowCellStyle="Comma" dataCellStyle="Comma">
  <tableColumns count="1">
    <tableColumn id="1" xr3:uid="{16522D12-A3E6-4748-9E39-1BA0D823E082}" name="quay trong" dataDxfId="130" dataCellStyle="Comma"/>
  </tableColumns>
  <tableStyleInfo name="TableStyleMedium10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2C97ED56-1342-4D0E-A44C-2DD0C3C5D2F8}" name="Table54102" displayName="Table54102" ref="E243:E244" totalsRowShown="0" headerRowDxfId="129" dataDxfId="127" headerRowBorderDxfId="128" tableBorderDxfId="126" totalsRowBorderDxfId="125">
  <tableColumns count="1">
    <tableColumn id="1" xr3:uid="{80CEA932-B407-4DB0-8B32-A586DFEC806F}" name="quay trong" dataDxfId="124"/>
  </tableColumns>
  <tableStyleInfo name="TableStyleMedium13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1DDA1CE0-1C75-4F46-8988-E94B14BBBB75}" name="Table68103" displayName="Table68103" ref="C245:C246" totalsRowShown="0" headerRowDxfId="123" dataDxfId="121" headerRowBorderDxfId="122" tableBorderDxfId="120" totalsRowBorderDxfId="119" headerRowCellStyle="Comma" dataCellStyle="Comma">
  <tableColumns count="1">
    <tableColumn id="1" xr3:uid="{A5010FDC-1DBD-40DF-A81C-0278D8F17EBD}" name="vĩnh cửu" dataDxfId="118" dataCellStyle="Comma"/>
  </tableColumns>
  <tableStyleInfo name="TableStyleMedium3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FD274B84-BEF9-4284-9E45-EF34DD487C31}" name="Table69104" displayName="Table69104" ref="C247:C248" totalsRowShown="0" headerRowDxfId="117" dataDxfId="115" headerRowBorderDxfId="116" tableBorderDxfId="114" totalsRowBorderDxfId="113" headerRowCellStyle="Comma" dataCellStyle="Comma">
  <tableColumns count="1">
    <tableColumn id="1" xr3:uid="{53729BD7-8B5B-4107-B7BF-1636FC31FB26}" name="vĩnh cửu" dataDxfId="112" dataCellStyle="Comma"/>
  </tableColumns>
  <tableStyleInfo name="TableStyleMedium10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95E7A9DC-B457-46F0-B4DE-F57B8EF76C3F}" name="Table70105" displayName="Table70105" ref="F245:F246" totalsRowShown="0" headerRowDxfId="111" dataDxfId="109" headerRowBorderDxfId="110" tableBorderDxfId="108" totalsRowBorderDxfId="107" headerRowCellStyle="Comma" dataCellStyle="Comma">
  <tableColumns count="1">
    <tableColumn id="1" xr3:uid="{AA0D7DEE-E8C1-4AE8-8E0F-913CC3C0A0DC}" name="vĩnh cửu" dataDxfId="106" dataCellStyle="Comma"/>
  </tableColumns>
  <tableStyleInfo name="TableStyleMedium14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4A989711-6627-4016-824D-8964A8AD2934}" name="Table71106" displayName="Table71106" ref="F247:F248" totalsRowShown="0" headerRowDxfId="105" dataDxfId="103" headerRowBorderDxfId="104" tableBorderDxfId="102" totalsRowBorderDxfId="101" headerRowCellStyle="Comma" dataCellStyle="Comma">
  <tableColumns count="1">
    <tableColumn id="1" xr3:uid="{A7AE9DB6-BC2C-4AA2-9FB4-BA5638414AE8}" name="vĩnh cửu" dataDxfId="100" dataCellStyle="Comma"/>
  </tableColumns>
  <tableStyleInfo name="TableStyleMedium14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4724A93A-731D-4243-A10C-579E4D70D0E2}" name="Table92107" displayName="Table92107" ref="D245:D246" totalsRowShown="0" headerRowDxfId="99" dataDxfId="97" headerRowBorderDxfId="98" tableBorderDxfId="96" totalsRowBorderDxfId="95">
  <tableColumns count="1">
    <tableColumn id="1" xr3:uid="{8D2EE7F5-EF30-40E9-BA1E-03FF91136610}" name="vĩnh cửu" dataDxfId="94"/>
  </tableColumns>
  <tableStyleInfo name="TableStyleMedium12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CB08C8D8-2FAF-4F95-8C19-D7E9E45DBA48}" name="Table93108" displayName="Table93108" ref="D247:D248" totalsRowShown="0" headerRowDxfId="93" dataDxfId="91" headerRowBorderDxfId="92" tableBorderDxfId="90" totalsRowBorderDxfId="89">
  <tableColumns count="1">
    <tableColumn id="1" xr3:uid="{B625F99F-495F-45F1-A1BE-76E12E8FAD2A}" name="vĩnh cửu" dataDxfId="88"/>
  </tableColumns>
  <tableStyleInfo name="TableStyleMedium12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9470C573-32CA-403F-8A74-792E7D0F906F}" name="Table97109" displayName="Table97109" ref="G245:G246" totalsRowShown="0" headerRowDxfId="87" dataDxfId="85" headerRowBorderDxfId="86" tableBorderDxfId="84" totalsRowBorderDxfId="83">
  <tableColumns count="1">
    <tableColumn id="1" xr3:uid="{37678446-F154-4D44-B0B0-4A6459D95003}" name="vĩnh cửu" dataDxfId="82"/>
  </tableColumns>
  <tableStyleInfo name="TableStyleMedium1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33DFD384-102F-4B91-B7A7-D876209AC13D}" name="Table99110" displayName="Table99110" ref="H245:H246" totalsRowShown="0" headerRowDxfId="81" dataDxfId="79" headerRowBorderDxfId="80" tableBorderDxfId="78" totalsRowBorderDxfId="77">
  <tableColumns count="1">
    <tableColumn id="1" xr3:uid="{605E9813-71E3-4A2F-947E-57D98581A49B}" name="vĩnh cửu" dataDxfId="76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table" Target="../tables/table23.xml"/><Relationship Id="rId21" Type="http://schemas.openxmlformats.org/officeDocument/2006/relationships/table" Target="../tables/table18.xml"/><Relationship Id="rId42" Type="http://schemas.openxmlformats.org/officeDocument/2006/relationships/table" Target="../tables/table39.xml"/><Relationship Id="rId47" Type="http://schemas.openxmlformats.org/officeDocument/2006/relationships/table" Target="../tables/table44.xml"/><Relationship Id="rId63" Type="http://schemas.openxmlformats.org/officeDocument/2006/relationships/table" Target="../tables/table60.xml"/><Relationship Id="rId68" Type="http://schemas.openxmlformats.org/officeDocument/2006/relationships/table" Target="../tables/table65.xml"/><Relationship Id="rId84" Type="http://schemas.openxmlformats.org/officeDocument/2006/relationships/table" Target="../tables/table81.xml"/><Relationship Id="rId89" Type="http://schemas.openxmlformats.org/officeDocument/2006/relationships/table" Target="../tables/table86.xml"/><Relationship Id="rId112" Type="http://schemas.openxmlformats.org/officeDocument/2006/relationships/table" Target="../tables/table109.xml"/><Relationship Id="rId16" Type="http://schemas.openxmlformats.org/officeDocument/2006/relationships/table" Target="../tables/table13.xml"/><Relationship Id="rId107" Type="http://schemas.openxmlformats.org/officeDocument/2006/relationships/table" Target="../tables/table104.xml"/><Relationship Id="rId11" Type="http://schemas.openxmlformats.org/officeDocument/2006/relationships/table" Target="../tables/table8.xml"/><Relationship Id="rId32" Type="http://schemas.openxmlformats.org/officeDocument/2006/relationships/table" Target="../tables/table29.xml"/><Relationship Id="rId37" Type="http://schemas.openxmlformats.org/officeDocument/2006/relationships/table" Target="../tables/table34.xml"/><Relationship Id="rId53" Type="http://schemas.openxmlformats.org/officeDocument/2006/relationships/table" Target="../tables/table50.xml"/><Relationship Id="rId58" Type="http://schemas.openxmlformats.org/officeDocument/2006/relationships/table" Target="../tables/table55.xml"/><Relationship Id="rId74" Type="http://schemas.openxmlformats.org/officeDocument/2006/relationships/table" Target="../tables/table71.xml"/><Relationship Id="rId79" Type="http://schemas.openxmlformats.org/officeDocument/2006/relationships/table" Target="../tables/table76.xml"/><Relationship Id="rId102" Type="http://schemas.openxmlformats.org/officeDocument/2006/relationships/table" Target="../tables/table99.xml"/><Relationship Id="rId5" Type="http://schemas.openxmlformats.org/officeDocument/2006/relationships/table" Target="../tables/table2.xml"/><Relationship Id="rId90" Type="http://schemas.openxmlformats.org/officeDocument/2006/relationships/table" Target="../tables/table87.xml"/><Relationship Id="rId95" Type="http://schemas.openxmlformats.org/officeDocument/2006/relationships/table" Target="../tables/table92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43" Type="http://schemas.openxmlformats.org/officeDocument/2006/relationships/table" Target="../tables/table40.xml"/><Relationship Id="rId48" Type="http://schemas.openxmlformats.org/officeDocument/2006/relationships/table" Target="../tables/table45.xml"/><Relationship Id="rId64" Type="http://schemas.openxmlformats.org/officeDocument/2006/relationships/table" Target="../tables/table61.xml"/><Relationship Id="rId69" Type="http://schemas.openxmlformats.org/officeDocument/2006/relationships/table" Target="../tables/table66.xml"/><Relationship Id="rId113" Type="http://schemas.openxmlformats.org/officeDocument/2006/relationships/table" Target="../tables/table110.xml"/><Relationship Id="rId80" Type="http://schemas.openxmlformats.org/officeDocument/2006/relationships/table" Target="../tables/table77.xml"/><Relationship Id="rId85" Type="http://schemas.openxmlformats.org/officeDocument/2006/relationships/table" Target="../tables/table82.x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33" Type="http://schemas.openxmlformats.org/officeDocument/2006/relationships/table" Target="../tables/table30.xml"/><Relationship Id="rId38" Type="http://schemas.openxmlformats.org/officeDocument/2006/relationships/table" Target="../tables/table35.xml"/><Relationship Id="rId59" Type="http://schemas.openxmlformats.org/officeDocument/2006/relationships/table" Target="../tables/table56.xml"/><Relationship Id="rId103" Type="http://schemas.openxmlformats.org/officeDocument/2006/relationships/table" Target="../tables/table100.xml"/><Relationship Id="rId108" Type="http://schemas.openxmlformats.org/officeDocument/2006/relationships/table" Target="../tables/table105.xml"/><Relationship Id="rId54" Type="http://schemas.openxmlformats.org/officeDocument/2006/relationships/table" Target="../tables/table51.xml"/><Relationship Id="rId70" Type="http://schemas.openxmlformats.org/officeDocument/2006/relationships/table" Target="../tables/table67.xml"/><Relationship Id="rId75" Type="http://schemas.openxmlformats.org/officeDocument/2006/relationships/table" Target="../tables/table72.xml"/><Relationship Id="rId91" Type="http://schemas.openxmlformats.org/officeDocument/2006/relationships/table" Target="../tables/table88.xml"/><Relationship Id="rId96" Type="http://schemas.openxmlformats.org/officeDocument/2006/relationships/table" Target="../tables/table9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49" Type="http://schemas.openxmlformats.org/officeDocument/2006/relationships/table" Target="../tables/table46.xml"/><Relationship Id="rId57" Type="http://schemas.openxmlformats.org/officeDocument/2006/relationships/table" Target="../tables/table54.xml"/><Relationship Id="rId106" Type="http://schemas.openxmlformats.org/officeDocument/2006/relationships/table" Target="../tables/table103.xml"/><Relationship Id="rId114" Type="http://schemas.openxmlformats.org/officeDocument/2006/relationships/table" Target="../tables/table111.xml"/><Relationship Id="rId10" Type="http://schemas.openxmlformats.org/officeDocument/2006/relationships/table" Target="../tables/table7.xml"/><Relationship Id="rId31" Type="http://schemas.openxmlformats.org/officeDocument/2006/relationships/table" Target="../tables/table28.xml"/><Relationship Id="rId44" Type="http://schemas.openxmlformats.org/officeDocument/2006/relationships/table" Target="../tables/table41.xml"/><Relationship Id="rId52" Type="http://schemas.openxmlformats.org/officeDocument/2006/relationships/table" Target="../tables/table49.xml"/><Relationship Id="rId60" Type="http://schemas.openxmlformats.org/officeDocument/2006/relationships/table" Target="../tables/table57.xml"/><Relationship Id="rId65" Type="http://schemas.openxmlformats.org/officeDocument/2006/relationships/table" Target="../tables/table62.xml"/><Relationship Id="rId73" Type="http://schemas.openxmlformats.org/officeDocument/2006/relationships/table" Target="../tables/table70.xml"/><Relationship Id="rId78" Type="http://schemas.openxmlformats.org/officeDocument/2006/relationships/table" Target="../tables/table75.xml"/><Relationship Id="rId81" Type="http://schemas.openxmlformats.org/officeDocument/2006/relationships/table" Target="../tables/table78.xml"/><Relationship Id="rId86" Type="http://schemas.openxmlformats.org/officeDocument/2006/relationships/table" Target="../tables/table83.xml"/><Relationship Id="rId94" Type="http://schemas.openxmlformats.org/officeDocument/2006/relationships/table" Target="../tables/table91.xml"/><Relationship Id="rId99" Type="http://schemas.openxmlformats.org/officeDocument/2006/relationships/table" Target="../tables/table96.xml"/><Relationship Id="rId101" Type="http://schemas.openxmlformats.org/officeDocument/2006/relationships/table" Target="../tables/table98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39" Type="http://schemas.openxmlformats.org/officeDocument/2006/relationships/table" Target="../tables/table36.xml"/><Relationship Id="rId109" Type="http://schemas.openxmlformats.org/officeDocument/2006/relationships/table" Target="../tables/table106.xml"/><Relationship Id="rId34" Type="http://schemas.openxmlformats.org/officeDocument/2006/relationships/table" Target="../tables/table31.xml"/><Relationship Id="rId50" Type="http://schemas.openxmlformats.org/officeDocument/2006/relationships/table" Target="../tables/table47.xml"/><Relationship Id="rId55" Type="http://schemas.openxmlformats.org/officeDocument/2006/relationships/table" Target="../tables/table52.xml"/><Relationship Id="rId76" Type="http://schemas.openxmlformats.org/officeDocument/2006/relationships/table" Target="../tables/table73.xml"/><Relationship Id="rId97" Type="http://schemas.openxmlformats.org/officeDocument/2006/relationships/table" Target="../tables/table94.xml"/><Relationship Id="rId104" Type="http://schemas.openxmlformats.org/officeDocument/2006/relationships/table" Target="../tables/table101.xml"/><Relationship Id="rId7" Type="http://schemas.openxmlformats.org/officeDocument/2006/relationships/table" Target="../tables/table4.xml"/><Relationship Id="rId71" Type="http://schemas.openxmlformats.org/officeDocument/2006/relationships/table" Target="../tables/table68.xml"/><Relationship Id="rId92" Type="http://schemas.openxmlformats.org/officeDocument/2006/relationships/table" Target="../tables/table89.xml"/><Relationship Id="rId2" Type="http://schemas.openxmlformats.org/officeDocument/2006/relationships/drawing" Target="../drawings/drawing2.xml"/><Relationship Id="rId29" Type="http://schemas.openxmlformats.org/officeDocument/2006/relationships/table" Target="../tables/table26.xml"/><Relationship Id="rId24" Type="http://schemas.openxmlformats.org/officeDocument/2006/relationships/table" Target="../tables/table21.xml"/><Relationship Id="rId40" Type="http://schemas.openxmlformats.org/officeDocument/2006/relationships/table" Target="../tables/table37.xml"/><Relationship Id="rId45" Type="http://schemas.openxmlformats.org/officeDocument/2006/relationships/table" Target="../tables/table42.xml"/><Relationship Id="rId66" Type="http://schemas.openxmlformats.org/officeDocument/2006/relationships/table" Target="../tables/table63.xml"/><Relationship Id="rId87" Type="http://schemas.openxmlformats.org/officeDocument/2006/relationships/table" Target="../tables/table84.xml"/><Relationship Id="rId110" Type="http://schemas.openxmlformats.org/officeDocument/2006/relationships/table" Target="../tables/table107.xml"/><Relationship Id="rId115" Type="http://schemas.openxmlformats.org/officeDocument/2006/relationships/comments" Target="../comments3.xml"/><Relationship Id="rId61" Type="http://schemas.openxmlformats.org/officeDocument/2006/relationships/table" Target="../tables/table58.xml"/><Relationship Id="rId82" Type="http://schemas.openxmlformats.org/officeDocument/2006/relationships/table" Target="../tables/table79.xml"/><Relationship Id="rId19" Type="http://schemas.openxmlformats.org/officeDocument/2006/relationships/table" Target="../tables/table16.xml"/><Relationship Id="rId14" Type="http://schemas.openxmlformats.org/officeDocument/2006/relationships/table" Target="../tables/table11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Relationship Id="rId56" Type="http://schemas.openxmlformats.org/officeDocument/2006/relationships/table" Target="../tables/table53.xml"/><Relationship Id="rId77" Type="http://schemas.openxmlformats.org/officeDocument/2006/relationships/table" Target="../tables/table74.xml"/><Relationship Id="rId100" Type="http://schemas.openxmlformats.org/officeDocument/2006/relationships/table" Target="../tables/table97.xml"/><Relationship Id="rId105" Type="http://schemas.openxmlformats.org/officeDocument/2006/relationships/table" Target="../tables/table102.xml"/><Relationship Id="rId8" Type="http://schemas.openxmlformats.org/officeDocument/2006/relationships/table" Target="../tables/table5.xml"/><Relationship Id="rId51" Type="http://schemas.openxmlformats.org/officeDocument/2006/relationships/table" Target="../tables/table48.xml"/><Relationship Id="rId72" Type="http://schemas.openxmlformats.org/officeDocument/2006/relationships/table" Target="../tables/table69.xml"/><Relationship Id="rId93" Type="http://schemas.openxmlformats.org/officeDocument/2006/relationships/table" Target="../tables/table90.xml"/><Relationship Id="rId98" Type="http://schemas.openxmlformats.org/officeDocument/2006/relationships/table" Target="../tables/table95.xml"/><Relationship Id="rId3" Type="http://schemas.openxmlformats.org/officeDocument/2006/relationships/vmlDrawing" Target="../drawings/vmlDrawing3.vml"/><Relationship Id="rId25" Type="http://schemas.openxmlformats.org/officeDocument/2006/relationships/table" Target="../tables/table22.xml"/><Relationship Id="rId46" Type="http://schemas.openxmlformats.org/officeDocument/2006/relationships/table" Target="../tables/table43.xml"/><Relationship Id="rId67" Type="http://schemas.openxmlformats.org/officeDocument/2006/relationships/table" Target="../tables/table64.xml"/><Relationship Id="rId20" Type="http://schemas.openxmlformats.org/officeDocument/2006/relationships/table" Target="../tables/table17.xml"/><Relationship Id="rId41" Type="http://schemas.openxmlformats.org/officeDocument/2006/relationships/table" Target="../tables/table38.xml"/><Relationship Id="rId62" Type="http://schemas.openxmlformats.org/officeDocument/2006/relationships/table" Target="../tables/table59.xml"/><Relationship Id="rId83" Type="http://schemas.openxmlformats.org/officeDocument/2006/relationships/table" Target="../tables/table80.xml"/><Relationship Id="rId88" Type="http://schemas.openxmlformats.org/officeDocument/2006/relationships/table" Target="../tables/table85.xml"/><Relationship Id="rId111" Type="http://schemas.openxmlformats.org/officeDocument/2006/relationships/table" Target="../tables/table10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10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G24"/>
  <sheetViews>
    <sheetView showGridLines="0" workbookViewId="0">
      <selection activeCell="G10" sqref="G10"/>
    </sheetView>
  </sheetViews>
  <sheetFormatPr defaultColWidth="9.1796875" defaultRowHeight="12.5"/>
  <cols>
    <col min="1" max="1" width="4.7265625" style="10" customWidth="1"/>
    <col min="2" max="2" width="46.7265625" style="3" bestFit="1" customWidth="1"/>
    <col min="3" max="3" width="24.1796875" style="3" bestFit="1" customWidth="1"/>
    <col min="4" max="4" width="19.7265625" style="3" bestFit="1" customWidth="1"/>
    <col min="5" max="5" width="25.453125" style="3" bestFit="1" customWidth="1"/>
    <col min="6" max="6" width="31.54296875" style="3" bestFit="1" customWidth="1"/>
    <col min="7" max="7" width="25.1796875" style="3" customWidth="1"/>
    <col min="8" max="16384" width="9.1796875" style="3"/>
  </cols>
  <sheetData>
    <row r="1" spans="1:7" ht="15.5">
      <c r="A1" s="1" t="s">
        <v>0</v>
      </c>
      <c r="C1" s="2"/>
      <c r="D1" s="2"/>
      <c r="E1" s="2"/>
      <c r="F1" s="1229" t="s">
        <v>512</v>
      </c>
      <c r="G1" s="1230"/>
    </row>
    <row r="2" spans="1:7" ht="15.5">
      <c r="A2" s="1" t="s">
        <v>1</v>
      </c>
      <c r="C2" s="4"/>
      <c r="D2" s="4"/>
      <c r="E2" s="4"/>
      <c r="F2" s="1189" t="s">
        <v>513</v>
      </c>
      <c r="G2" s="1190" t="s">
        <v>513</v>
      </c>
    </row>
    <row r="3" spans="1:7" ht="16" thickBot="1">
      <c r="A3" s="1" t="s">
        <v>2</v>
      </c>
      <c r="C3" s="4"/>
      <c r="D3" s="4"/>
      <c r="E3" s="4"/>
      <c r="F3" s="1191"/>
      <c r="G3" s="1192" t="s">
        <v>514</v>
      </c>
    </row>
    <row r="4" spans="1:7" ht="16" thickBot="1">
      <c r="B4" s="1"/>
      <c r="C4" s="4"/>
      <c r="D4" s="6" t="s">
        <v>2558</v>
      </c>
      <c r="E4" s="97" t="s">
        <v>2865</v>
      </c>
      <c r="F4" s="1191"/>
      <c r="G4" s="1191"/>
    </row>
    <row r="5" spans="1:7" ht="15.5">
      <c r="A5" s="5">
        <v>1</v>
      </c>
      <c r="B5" s="93" t="s">
        <v>231</v>
      </c>
      <c r="C5" s="95" t="s">
        <v>3865</v>
      </c>
      <c r="D5" s="6" t="s">
        <v>2557</v>
      </c>
      <c r="E5" s="97">
        <v>45306</v>
      </c>
      <c r="F5" s="1229" t="s">
        <v>235</v>
      </c>
      <c r="G5" s="1230"/>
    </row>
    <row r="6" spans="1:7" ht="15.5">
      <c r="A6" s="5">
        <v>2</v>
      </c>
      <c r="B6" s="94" t="s">
        <v>233</v>
      </c>
      <c r="C6" s="96" t="s">
        <v>2576</v>
      </c>
      <c r="D6" s="93" t="s">
        <v>234</v>
      </c>
      <c r="E6" s="297" t="s">
        <v>2307</v>
      </c>
      <c r="F6" s="1193" t="s">
        <v>2396</v>
      </c>
      <c r="G6" s="1194" t="str">
        <f>+NVLSX!B6928</f>
        <v>TPHCM</v>
      </c>
    </row>
    <row r="7" spans="1:7" s="8" customFormat="1" ht="15.5">
      <c r="A7" s="5">
        <v>3</v>
      </c>
      <c r="B7" s="7" t="s">
        <v>2309</v>
      </c>
      <c r="C7" s="724" t="s">
        <v>2310</v>
      </c>
      <c r="D7" s="98">
        <f>+$E$5</f>
        <v>45306</v>
      </c>
      <c r="E7" s="726"/>
      <c r="F7" s="1195"/>
      <c r="G7" s="1194" t="str">
        <f>+NVLSX!B6929</f>
        <v>TỈNH&lt;=100km</v>
      </c>
    </row>
    <row r="8" spans="1:7" ht="15.5">
      <c r="A8" s="5">
        <v>4</v>
      </c>
      <c r="B8" s="7" t="s">
        <v>3</v>
      </c>
      <c r="C8" s="724" t="s">
        <v>4</v>
      </c>
      <c r="D8" s="98">
        <f t="shared" ref="D8:D12" si="0">+$E$5</f>
        <v>45306</v>
      </c>
      <c r="E8" s="740" t="s">
        <v>3873</v>
      </c>
      <c r="F8" s="1191"/>
      <c r="G8" s="1194" t="str">
        <f>+NVLSX!B6930</f>
        <v>TỈNH&gt;100km</v>
      </c>
    </row>
    <row r="9" spans="1:7" ht="24.75" customHeight="1">
      <c r="A9" s="5">
        <v>5</v>
      </c>
      <c r="B9" s="7" t="s">
        <v>8</v>
      </c>
      <c r="C9" s="724" t="s">
        <v>2311</v>
      </c>
      <c r="D9" s="98">
        <f t="shared" si="0"/>
        <v>45306</v>
      </c>
      <c r="E9" s="1232" t="s">
        <v>3874</v>
      </c>
      <c r="F9" s="1191"/>
      <c r="G9" s="1194" t="str">
        <f>+NVLSX!B6931</f>
        <v>TỈNH&gt;200km</v>
      </c>
    </row>
    <row r="10" spans="1:7" s="8" customFormat="1" ht="31">
      <c r="A10" s="5">
        <v>6</v>
      </c>
      <c r="B10" s="9" t="s">
        <v>5</v>
      </c>
      <c r="C10" s="725" t="str">
        <f>+C8</f>
        <v>TÊN TK</v>
      </c>
      <c r="D10" s="98">
        <f t="shared" si="0"/>
        <v>45306</v>
      </c>
      <c r="E10" s="1232"/>
      <c r="F10" s="1191"/>
      <c r="G10" s="1194" t="str">
        <f>+NVLSX!B6932</f>
        <v>Không LĐ &amp; VS + Có cấp VT LĐVS</v>
      </c>
    </row>
    <row r="11" spans="1:7" ht="31">
      <c r="A11" s="5">
        <v>7</v>
      </c>
      <c r="B11" s="9" t="s">
        <v>6</v>
      </c>
      <c r="C11" s="725" t="s">
        <v>2312</v>
      </c>
      <c r="D11" s="98">
        <f t="shared" si="0"/>
        <v>45306</v>
      </c>
      <c r="E11" s="1232"/>
      <c r="F11" s="1191"/>
      <c r="G11" s="1194" t="str">
        <f>+NVLSX!B6933</f>
        <v>Không LĐ &amp; VS + Không cấp VT LĐVS</v>
      </c>
    </row>
    <row r="12" spans="1:7" s="8" customFormat="1" ht="15.5">
      <c r="A12" s="5">
        <v>8</v>
      </c>
      <c r="B12" s="9" t="s">
        <v>7</v>
      </c>
      <c r="C12" s="725" t="s">
        <v>2310</v>
      </c>
      <c r="D12" s="98">
        <f t="shared" si="0"/>
        <v>45306</v>
      </c>
      <c r="E12" s="1232"/>
      <c r="F12" s="1187" t="s">
        <v>3401</v>
      </c>
      <c r="G12" s="1194" t="str">
        <f>+NVLSX!B6934</f>
        <v>Gia Công SX</v>
      </c>
    </row>
    <row r="13" spans="1:7" ht="15.5">
      <c r="E13" s="1232"/>
      <c r="F13" s="1191"/>
      <c r="G13" s="1194" t="str">
        <f>+NVLSX!B6935</f>
        <v>Gia Công LĐ &amp; VS</v>
      </c>
    </row>
    <row r="14" spans="1:7" ht="20">
      <c r="A14" s="5" t="s">
        <v>9</v>
      </c>
      <c r="B14" s="169" t="s">
        <v>517</v>
      </c>
      <c r="C14" s="170" t="s">
        <v>518</v>
      </c>
      <c r="E14" s="1232"/>
      <c r="F14" s="1195"/>
      <c r="G14" s="1194" t="str">
        <f>+NVLSX!B6936</f>
        <v>Gia Công SX &amp; LĐ &amp; VS</v>
      </c>
    </row>
    <row r="15" spans="1:7" ht="15.5">
      <c r="A15" s="5">
        <v>1</v>
      </c>
      <c r="B15" s="171" t="s">
        <v>519</v>
      </c>
      <c r="C15" s="172">
        <v>6</v>
      </c>
      <c r="E15" s="1232"/>
      <c r="F15" s="1191"/>
      <c r="G15" s="1194" t="s">
        <v>3401</v>
      </c>
    </row>
    <row r="16" spans="1:7" ht="15.5">
      <c r="A16" s="5">
        <v>2</v>
      </c>
      <c r="B16" s="171" t="s">
        <v>520</v>
      </c>
      <c r="C16" s="172">
        <v>7</v>
      </c>
      <c r="E16" s="1232"/>
      <c r="F16" s="1231" t="s">
        <v>2397</v>
      </c>
      <c r="G16" s="1231"/>
    </row>
    <row r="17" spans="1:7" ht="15.5">
      <c r="A17" s="5">
        <v>3</v>
      </c>
      <c r="B17" s="171" t="s">
        <v>521</v>
      </c>
      <c r="C17" s="172">
        <v>8</v>
      </c>
      <c r="E17" s="1232"/>
      <c r="F17" s="1189" t="s">
        <v>2435</v>
      </c>
      <c r="G17" s="1190" t="str">
        <f>+NVLSX!B6938</f>
        <v>Tại Xưởng</v>
      </c>
    </row>
    <row r="18" spans="1:7" ht="15.5">
      <c r="A18" s="5">
        <v>4</v>
      </c>
      <c r="B18" s="171" t="s">
        <v>522</v>
      </c>
      <c r="C18" s="172">
        <v>5</v>
      </c>
      <c r="E18" s="1232"/>
      <c r="F18" s="1196"/>
      <c r="G18" s="1190" t="str">
        <f>+NVLSX!B6939</f>
        <v>Công trình</v>
      </c>
    </row>
    <row r="19" spans="1:7" ht="13">
      <c r="A19" s="5">
        <v>5</v>
      </c>
      <c r="B19" s="171" t="s">
        <v>523</v>
      </c>
      <c r="C19" s="172">
        <v>60</v>
      </c>
      <c r="E19" s="1232"/>
    </row>
    <row r="20" spans="1:7" ht="25">
      <c r="A20" s="5">
        <v>6</v>
      </c>
      <c r="B20" s="173" t="s">
        <v>524</v>
      </c>
      <c r="C20" s="172">
        <v>-8</v>
      </c>
      <c r="E20" s="1232"/>
    </row>
    <row r="21" spans="1:7" ht="13">
      <c r="A21" s="5">
        <v>7</v>
      </c>
      <c r="B21" s="171" t="s">
        <v>525</v>
      </c>
      <c r="C21" s="172">
        <v>7</v>
      </c>
      <c r="E21" s="1232"/>
    </row>
    <row r="22" spans="1:7" ht="13">
      <c r="A22" s="5">
        <v>8</v>
      </c>
      <c r="B22" s="171" t="s">
        <v>526</v>
      </c>
      <c r="C22" s="172">
        <v>10</v>
      </c>
      <c r="E22" s="1232"/>
    </row>
    <row r="23" spans="1:7" ht="13">
      <c r="A23" s="5">
        <v>9</v>
      </c>
      <c r="B23" s="171" t="s">
        <v>527</v>
      </c>
      <c r="C23" s="172"/>
      <c r="E23" s="1232"/>
    </row>
    <row r="24" spans="1:7" ht="13">
      <c r="A24" s="5">
        <v>10</v>
      </c>
      <c r="B24" s="171" t="s">
        <v>528</v>
      </c>
      <c r="C24" s="172">
        <v>11</v>
      </c>
      <c r="E24" s="1232"/>
    </row>
  </sheetData>
  <mergeCells count="4">
    <mergeCell ref="F5:G5"/>
    <mergeCell ref="F1:G1"/>
    <mergeCell ref="F16:G16"/>
    <mergeCell ref="E9:E24"/>
  </mergeCells>
  <dataValidations count="4">
    <dataValidation type="list" allowBlank="1" showInputMessage="1" showErrorMessage="1" errorTitle="TB Lỗi" error="Không có loại này" promptTitle="TB" prompt="Chọn đúng loại để lên định mức đúng" sqref="F2" xr:uid="{00000000-0002-0000-0000-000002000000}">
      <formula1>$G$2:$G$3</formula1>
    </dataValidation>
    <dataValidation type="list" allowBlank="1" showInputMessage="1" showErrorMessage="1" errorTitle="TB Lỗi" error="Không có vị trí này" promptTitle="TB" prompt="Chọn vị trí để tính giá lắp đặt" sqref="F6" xr:uid="{00000000-0002-0000-0000-000000000000}">
      <formula1>$G$6:$G$11</formula1>
    </dataValidation>
    <dataValidation type="list" allowBlank="1" showInputMessage="1" showErrorMessage="1" errorTitle="TB Lỗi" error="Không có vị trí này" promptTitle="TB" prompt="Chọn vị trí để tính phí VC" sqref="F17" xr:uid="{7A183436-7A67-4AC5-A28C-58D6D2AB59E0}">
      <formula1>$G$17:$G$18</formula1>
    </dataValidation>
    <dataValidation type="list" allowBlank="1" showInputMessage="1" showErrorMessage="1" errorTitle="TB Lỗi" error="Không có vị trí này" promptTitle="TB" prompt="Chọn vị trí để tính giá lắp đặt" sqref="F12" xr:uid="{0D0FB29F-83B0-427C-97EA-B1A882E9E334}">
      <formula1>$G$12:$G$15</formula1>
    </dataValidation>
  </dataValidations>
  <pageMargins left="0.75" right="0.25" top="0.5" bottom="0.5" header="0.5" footer="0.5"/>
  <pageSetup orientation="portrait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679C3-9308-4758-937C-5ADF9ACF3EBF}">
  <sheetPr codeName="Sheet2">
    <tabColor rgb="FFFF6699"/>
  </sheetPr>
  <dimension ref="A1:I24"/>
  <sheetViews>
    <sheetView workbookViewId="0">
      <selection activeCell="A4" sqref="A4:A23"/>
    </sheetView>
  </sheetViews>
  <sheetFormatPr defaultRowHeight="12.5"/>
  <cols>
    <col min="1" max="1" width="4.26953125" bestFit="1" customWidth="1"/>
    <col min="2" max="2" width="11.7265625" customWidth="1"/>
    <col min="3" max="3" width="12.7265625" customWidth="1"/>
    <col min="4" max="4" width="9.7265625" customWidth="1"/>
    <col min="5" max="5" width="20.453125" customWidth="1"/>
    <col min="6" max="6" width="15.7265625" bestFit="1" customWidth="1"/>
  </cols>
  <sheetData>
    <row r="1" spans="1:6" ht="19.899999999999999" customHeight="1">
      <c r="A1" s="1233" t="s">
        <v>3372</v>
      </c>
      <c r="B1" s="1234"/>
      <c r="C1" s="1234"/>
      <c r="D1" s="1235"/>
      <c r="E1" s="1234"/>
      <c r="F1" s="1236"/>
    </row>
    <row r="2" spans="1:6" s="102" customFormat="1" ht="30.65" customHeight="1">
      <c r="A2" s="1124" t="s">
        <v>9</v>
      </c>
      <c r="B2" s="1124" t="s">
        <v>3367</v>
      </c>
      <c r="C2" s="1124" t="s">
        <v>3368</v>
      </c>
      <c r="D2" s="1124" t="s">
        <v>3370</v>
      </c>
      <c r="E2" s="1124" t="s">
        <v>3369</v>
      </c>
      <c r="F2" s="1124" t="s">
        <v>3371</v>
      </c>
    </row>
    <row r="3" spans="1:6">
      <c r="A3" s="1118"/>
      <c r="B3" s="1118"/>
      <c r="C3" s="1120"/>
      <c r="D3" s="1118"/>
      <c r="E3" s="1122"/>
      <c r="F3" s="1118"/>
    </row>
    <row r="4" spans="1:6">
      <c r="A4" s="1118"/>
      <c r="B4" s="1118"/>
      <c r="C4" s="1120"/>
      <c r="D4" s="1118"/>
      <c r="E4" s="1122"/>
      <c r="F4" s="1118"/>
    </row>
    <row r="5" spans="1:6">
      <c r="A5" s="1118"/>
      <c r="B5" s="1118"/>
      <c r="C5" s="1120"/>
      <c r="D5" s="1118"/>
      <c r="E5" s="1122"/>
      <c r="F5" s="1118"/>
    </row>
    <row r="6" spans="1:6">
      <c r="A6" s="1118"/>
      <c r="B6" s="1118"/>
      <c r="C6" s="1120"/>
      <c r="D6" s="1118"/>
      <c r="E6" s="1122"/>
      <c r="F6" s="1118"/>
    </row>
    <row r="7" spans="1:6">
      <c r="A7" s="1118"/>
      <c r="B7" s="1118"/>
      <c r="C7" s="1120"/>
      <c r="D7" s="1118"/>
      <c r="E7" s="1122"/>
      <c r="F7" s="1118"/>
    </row>
    <row r="8" spans="1:6">
      <c r="A8" s="1118"/>
      <c r="B8" s="1118"/>
      <c r="C8" s="1120"/>
      <c r="D8" s="1118"/>
      <c r="E8" s="1122"/>
      <c r="F8" s="1118"/>
    </row>
    <row r="9" spans="1:6">
      <c r="A9" s="1118"/>
      <c r="B9" s="1118"/>
      <c r="C9" s="1120"/>
      <c r="D9" s="1118"/>
      <c r="E9" s="1122"/>
      <c r="F9" s="1118"/>
    </row>
    <row r="10" spans="1:6">
      <c r="A10" s="1118"/>
      <c r="B10" s="1118"/>
      <c r="C10" s="1120"/>
      <c r="D10" s="1118"/>
      <c r="E10" s="1122"/>
      <c r="F10" s="1118"/>
    </row>
    <row r="11" spans="1:6">
      <c r="A11" s="1118"/>
      <c r="B11" s="1118"/>
      <c r="C11" s="1120"/>
      <c r="D11" s="1118"/>
      <c r="E11" s="1122"/>
      <c r="F11" s="1118"/>
    </row>
    <row r="12" spans="1:6">
      <c r="A12" s="1118"/>
      <c r="B12" s="1118"/>
      <c r="C12" s="1120"/>
      <c r="D12" s="1118"/>
      <c r="E12" s="1122"/>
      <c r="F12" s="1118"/>
    </row>
    <row r="13" spans="1:6">
      <c r="A13" s="1118"/>
      <c r="B13" s="1118"/>
      <c r="C13" s="1120"/>
      <c r="D13" s="1118"/>
      <c r="E13" s="1122"/>
      <c r="F13" s="1118"/>
    </row>
    <row r="14" spans="1:6">
      <c r="A14" s="1118"/>
      <c r="B14" s="1118"/>
      <c r="C14" s="1120"/>
      <c r="D14" s="1118"/>
      <c r="E14" s="1122"/>
      <c r="F14" s="1118"/>
    </row>
    <row r="15" spans="1:6">
      <c r="A15" s="1118"/>
      <c r="B15" s="1118"/>
      <c r="C15" s="1120"/>
      <c r="D15" s="1118"/>
      <c r="E15" s="1122"/>
      <c r="F15" s="1118"/>
    </row>
    <row r="16" spans="1:6">
      <c r="A16" s="1118"/>
      <c r="B16" s="1118"/>
      <c r="C16" s="1120"/>
      <c r="D16" s="1118"/>
      <c r="E16" s="1122"/>
      <c r="F16" s="1118"/>
    </row>
    <row r="17" spans="1:9">
      <c r="A17" s="1118"/>
      <c r="B17" s="1118"/>
      <c r="C17" s="1120"/>
      <c r="D17" s="1118"/>
      <c r="E17" s="1122"/>
      <c r="F17" s="1118"/>
    </row>
    <row r="18" spans="1:9">
      <c r="A18" s="1118"/>
      <c r="B18" s="1118"/>
      <c r="C18" s="1120"/>
      <c r="D18" s="1118"/>
      <c r="E18" s="1122"/>
      <c r="F18" s="1118"/>
    </row>
    <row r="19" spans="1:9">
      <c r="A19" s="1118"/>
      <c r="B19" s="1118"/>
      <c r="C19" s="1120"/>
      <c r="D19" s="1118"/>
      <c r="E19" s="1122"/>
      <c r="F19" s="1118"/>
      <c r="I19" s="1125"/>
    </row>
    <row r="20" spans="1:9">
      <c r="A20" s="1118"/>
      <c r="B20" s="1118"/>
      <c r="C20" s="1120"/>
      <c r="D20" s="1118"/>
      <c r="E20" s="1122"/>
      <c r="F20" s="1118"/>
    </row>
    <row r="21" spans="1:9">
      <c r="A21" s="1118"/>
      <c r="B21" s="1118"/>
      <c r="C21" s="1120"/>
      <c r="D21" s="1118"/>
      <c r="E21" s="1122"/>
      <c r="F21" s="1118"/>
    </row>
    <row r="22" spans="1:9">
      <c r="A22" s="1118"/>
      <c r="B22" s="1118"/>
      <c r="C22" s="1120"/>
      <c r="D22" s="1118"/>
      <c r="E22" s="1122"/>
      <c r="F22" s="1118"/>
    </row>
    <row r="23" spans="1:9">
      <c r="A23" s="1118"/>
      <c r="B23" s="1118"/>
      <c r="C23" s="1120"/>
      <c r="D23" s="1118"/>
      <c r="E23" s="1122"/>
      <c r="F23" s="1118"/>
    </row>
    <row r="24" spans="1:9">
      <c r="A24" s="1119"/>
      <c r="B24" s="1119"/>
      <c r="C24" s="1121"/>
      <c r="D24" s="1119"/>
      <c r="E24" s="1123"/>
      <c r="F24" s="1119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4782D-0C21-4694-A913-00E7770C301B}">
  <sheetPr codeName="Sheet3"/>
  <dimension ref="A1:J84"/>
  <sheetViews>
    <sheetView zoomScaleNormal="100"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L24" sqref="L24"/>
    </sheetView>
  </sheetViews>
  <sheetFormatPr defaultColWidth="9.1796875" defaultRowHeight="15.5"/>
  <cols>
    <col min="1" max="1" width="5.1796875" style="822" bestFit="1" customWidth="1"/>
    <col min="2" max="2" width="49.81640625" style="806" bestFit="1" customWidth="1"/>
    <col min="3" max="3" width="5.7265625" style="827" bestFit="1" customWidth="1"/>
    <col min="4" max="4" width="9.54296875" style="806" bestFit="1" customWidth="1"/>
    <col min="5" max="5" width="13.7265625" style="812" bestFit="1" customWidth="1"/>
    <col min="6" max="6" width="12.7265625" style="821" bestFit="1" customWidth="1"/>
    <col min="7" max="7" width="10.26953125" style="822" bestFit="1" customWidth="1"/>
    <col min="8" max="8" width="20.453125" style="806" customWidth="1"/>
    <col min="9" max="9" width="9.54296875" style="806" bestFit="1" customWidth="1"/>
    <col min="10" max="10" width="13.7265625" style="806" bestFit="1" customWidth="1"/>
    <col min="11" max="16384" width="9.1796875" style="806"/>
  </cols>
  <sheetData>
    <row r="1" spans="1:10" ht="22.5">
      <c r="A1" s="1237" t="s">
        <v>2526</v>
      </c>
      <c r="B1" s="1237"/>
      <c r="C1" s="1237"/>
      <c r="D1" s="1237"/>
      <c r="E1" s="1237"/>
      <c r="F1" s="1237"/>
      <c r="G1" s="1237"/>
      <c r="H1" s="1237"/>
      <c r="I1" s="1237"/>
      <c r="J1" s="1237"/>
    </row>
    <row r="2" spans="1:10" s="791" customFormat="1" ht="15">
      <c r="A2" s="789" t="s">
        <v>9</v>
      </c>
      <c r="B2" s="789" t="s">
        <v>2374</v>
      </c>
      <c r="C2" s="789" t="s">
        <v>56</v>
      </c>
      <c r="D2" s="789" t="s">
        <v>2419</v>
      </c>
      <c r="E2" s="832" t="s">
        <v>128</v>
      </c>
      <c r="F2" s="790" t="s">
        <v>2452</v>
      </c>
      <c r="G2" s="789" t="s">
        <v>2375</v>
      </c>
      <c r="H2" s="1238" t="s">
        <v>2376</v>
      </c>
      <c r="I2" s="1239"/>
      <c r="J2" s="1240"/>
    </row>
    <row r="3" spans="1:10" s="796" customFormat="1" ht="15">
      <c r="A3" s="844" t="s">
        <v>730</v>
      </c>
      <c r="B3" s="845" t="s">
        <v>2378</v>
      </c>
      <c r="C3" s="846"/>
      <c r="D3" s="845"/>
      <c r="E3" s="847"/>
      <c r="F3" s="848">
        <f ca="1">+F4+F28+F34+F52+F71+F72</f>
        <v>10768189.615873015</v>
      </c>
      <c r="G3" s="844" t="s">
        <v>2391</v>
      </c>
      <c r="H3" s="850" t="s">
        <v>2507</v>
      </c>
      <c r="I3" s="851"/>
      <c r="J3" s="852"/>
    </row>
    <row r="4" spans="1:10" s="796" customFormat="1" ht="15">
      <c r="A4" s="828" t="s">
        <v>2481</v>
      </c>
      <c r="B4" s="829" t="s">
        <v>2503</v>
      </c>
      <c r="C4" s="830"/>
      <c r="D4" s="829"/>
      <c r="E4" s="840"/>
      <c r="F4" s="831">
        <f ca="1">+F5+F13+F14+F21+F22+F25+F26+F27</f>
        <v>8891169.1714285705</v>
      </c>
      <c r="G4" s="828" t="s">
        <v>2379</v>
      </c>
      <c r="H4" s="853" t="s">
        <v>2505</v>
      </c>
      <c r="I4" s="854"/>
      <c r="J4" s="855"/>
    </row>
    <row r="5" spans="1:10" s="801" customFormat="1">
      <c r="A5" s="800">
        <v>1</v>
      </c>
      <c r="B5" s="797" t="s">
        <v>2414</v>
      </c>
      <c r="C5" s="824"/>
      <c r="D5" s="798">
        <f ca="1">SUMPRODUCT((PO!$R$3:$R$201=$G5)*(PO!$X$3:$X$201)) - D13</f>
        <v>54.421400000000006</v>
      </c>
      <c r="E5" s="807"/>
      <c r="F5" s="799">
        <f ca="1">SUMPRODUCT((PO!$R$3:$R$201=$G5)*(PO!$L$3:$L$201)) - F13</f>
        <v>5714193</v>
      </c>
      <c r="G5" s="800" t="s">
        <v>150</v>
      </c>
      <c r="H5" s="971" t="s">
        <v>2518</v>
      </c>
      <c r="I5" s="857"/>
      <c r="J5" s="858"/>
    </row>
    <row r="6" spans="1:10">
      <c r="A6" s="809"/>
      <c r="B6" s="802" t="s">
        <v>75</v>
      </c>
      <c r="C6" s="825" t="s">
        <v>2446</v>
      </c>
      <c r="D6" s="803">
        <f ca="1">SUMPRODUCT((PO!$Y$3:$Y$201=$G6)*(PO!$X$3:$X$201))</f>
        <v>54.421400000000006</v>
      </c>
      <c r="E6" s="804">
        <f ca="1">IF($F6&gt;0,INDEX(NVLSX!$L$2:$L$6941,MATCH($G6,NVLSX!$B$2:$B$6941,0)),0)</f>
        <v>105000</v>
      </c>
      <c r="F6" s="794">
        <f ca="1">SUMPRODUCT((PO!$Y$3:$Y$201=$G6)*(PO!$L$3:$L$201))</f>
        <v>5714193</v>
      </c>
      <c r="G6" s="805" t="s">
        <v>74</v>
      </c>
      <c r="H6" s="859" t="s">
        <v>148</v>
      </c>
      <c r="I6" s="860"/>
      <c r="J6" s="861"/>
    </row>
    <row r="7" spans="1:10">
      <c r="A7" s="809"/>
      <c r="B7" s="802" t="s">
        <v>1820</v>
      </c>
      <c r="C7" s="825" t="s">
        <v>2446</v>
      </c>
      <c r="D7" s="803">
        <f ca="1">SUMPRODUCT((PO!$Y$3:$Y$201=$G7)*(PO!$X$3:$X$201))</f>
        <v>0</v>
      </c>
      <c r="E7" s="804">
        <f ca="1">IF($F7&gt;0,INDEX(NVLSX!$L$2:$L$6941,MATCH($G7,NVLSX!$B$2:$B$6941,0)),0)</f>
        <v>0</v>
      </c>
      <c r="F7" s="794">
        <f ca="1">SUMPRODUCT((PO!$Y$3:$Y$201=$G7)*(PO!$L$3:$L$201))</f>
        <v>0</v>
      </c>
      <c r="G7" s="805" t="s">
        <v>269</v>
      </c>
      <c r="H7" s="859" t="s">
        <v>148</v>
      </c>
      <c r="I7" s="860"/>
      <c r="J7" s="861"/>
    </row>
    <row r="8" spans="1:10">
      <c r="A8" s="809"/>
      <c r="B8" s="802" t="s">
        <v>244</v>
      </c>
      <c r="C8" s="825" t="s">
        <v>2446</v>
      </c>
      <c r="D8" s="803">
        <f ca="1">SUMPRODUCT((PO!$Y$3:$Y$201=$G8)*(PO!$X$3:$X$201))</f>
        <v>0</v>
      </c>
      <c r="E8" s="804">
        <f ca="1">IF($F8&gt;0,INDEX(NVLSX!$L$2:$L$6941,MATCH($G8,NVLSX!$B$2:$B$6941,0)),0)</f>
        <v>0</v>
      </c>
      <c r="F8" s="794">
        <f ca="1">SUMPRODUCT((PO!$Y$3:$Y$201=$G8)*(PO!$L$3:$L$201))</f>
        <v>0</v>
      </c>
      <c r="G8" s="805" t="s">
        <v>1517</v>
      </c>
      <c r="H8" s="859" t="s">
        <v>148</v>
      </c>
      <c r="I8" s="860"/>
      <c r="J8" s="861"/>
    </row>
    <row r="9" spans="1:10">
      <c r="A9" s="809"/>
      <c r="B9" s="802" t="s">
        <v>245</v>
      </c>
      <c r="C9" s="825"/>
      <c r="D9" s="803">
        <f ca="1">SUMPRODUCT((PO!$Y$3:$Y$201=$G9)*(PO!$X$3:$X$201))</f>
        <v>0</v>
      </c>
      <c r="E9" s="804">
        <f ca="1">IF($F9&gt;0,INDEX(NVLSX!$L$2:$L$6941,MATCH($G9,NVLSX!$B$2:$B$6941,0)),0)</f>
        <v>0</v>
      </c>
      <c r="F9" s="794">
        <f ca="1">SUMPRODUCT((PO!$Y$3:$Y$201=$G9)*(PO!$L$3:$L$201))</f>
        <v>0</v>
      </c>
      <c r="G9" s="805" t="s">
        <v>268</v>
      </c>
      <c r="H9" s="859" t="s">
        <v>148</v>
      </c>
      <c r="I9" s="860"/>
      <c r="J9" s="861"/>
    </row>
    <row r="10" spans="1:10">
      <c r="A10" s="809"/>
      <c r="B10" s="802" t="s">
        <v>2448</v>
      </c>
      <c r="C10" s="825" t="s">
        <v>2446</v>
      </c>
      <c r="D10" s="803">
        <f ca="1">SUMPRODUCT((PO!$Y$3:$Y$201=$G10)*(PO!$X$3:$X$201))</f>
        <v>0</v>
      </c>
      <c r="E10" s="804">
        <f ca="1">IF($F10&gt;0,NVLSX!K1038,0)</f>
        <v>0</v>
      </c>
      <c r="F10" s="794">
        <f ca="1">SUMPRODUCT((PO!$Y$3:$Y$201=$G10)*(PO!$L$3:$L$201))</f>
        <v>0</v>
      </c>
      <c r="G10" s="805" t="s">
        <v>2450</v>
      </c>
      <c r="H10" s="859" t="s">
        <v>148</v>
      </c>
      <c r="I10" s="860"/>
      <c r="J10" s="861"/>
    </row>
    <row r="11" spans="1:10">
      <c r="A11" s="809"/>
      <c r="B11" s="802" t="s">
        <v>249</v>
      </c>
      <c r="C11" s="825" t="s">
        <v>2446</v>
      </c>
      <c r="D11" s="803">
        <f ca="1">SUMPRODUCT((PO!$Y$3:$Y$201=$G11)*(PO!$X$3:$X$201))</f>
        <v>0</v>
      </c>
      <c r="E11" s="804">
        <f ca="1">IF($F11&gt;0,INDEX(NVLSX!$L$2:$L$6941,MATCH($G11,NVLSX!$B$2:$B$6941,0)),0)</f>
        <v>0</v>
      </c>
      <c r="F11" s="794">
        <f ca="1">SUMPRODUCT((PO!$Y$3:$Y$201=$G11)*(PO!$L$3:$L$201))</f>
        <v>0</v>
      </c>
      <c r="G11" s="805" t="s">
        <v>141</v>
      </c>
      <c r="H11" s="859" t="s">
        <v>148</v>
      </c>
      <c r="I11" s="860"/>
      <c r="J11" s="861"/>
    </row>
    <row r="12" spans="1:10">
      <c r="A12" s="809"/>
      <c r="B12" s="802" t="s">
        <v>2447</v>
      </c>
      <c r="C12" s="825" t="s">
        <v>2446</v>
      </c>
      <c r="D12" s="803">
        <f ca="1">SUMPRODUCT((PO!$Y$3:$Y$201=$G12)*(PO!$X$3:$X$201))</f>
        <v>0</v>
      </c>
      <c r="E12" s="804">
        <f ca="1">IF($F12&gt;0,NVLSX!K708,0)</f>
        <v>0</v>
      </c>
      <c r="F12" s="794">
        <f ca="1">SUMPRODUCT((PO!$Y$3:$Y$201=$G12)*(PO!$L$3:$L$201))</f>
        <v>0</v>
      </c>
      <c r="G12" s="805" t="s">
        <v>2449</v>
      </c>
      <c r="H12" s="859" t="s">
        <v>148</v>
      </c>
      <c r="I12" s="860"/>
      <c r="J12" s="861"/>
    </row>
    <row r="13" spans="1:10" s="801" customFormat="1">
      <c r="A13" s="800">
        <v>2</v>
      </c>
      <c r="B13" s="797" t="s">
        <v>2453</v>
      </c>
      <c r="C13" s="824"/>
      <c r="D13" s="798">
        <f ca="1">SUMPRODUCT((PO!$Y$3:$Y$201=$G13)*(PO!$X$3:$X$201))</f>
        <v>0.80620000000000003</v>
      </c>
      <c r="E13" s="807"/>
      <c r="F13" s="799">
        <f ca="1">SUMPRODUCT((PO!$Y$3:$Y$201=$G13)*(PO!$L$3:$L$201))</f>
        <v>86130</v>
      </c>
      <c r="G13" s="808" t="s">
        <v>327</v>
      </c>
      <c r="H13" s="859" t="s">
        <v>148</v>
      </c>
      <c r="I13" s="857"/>
      <c r="J13" s="858"/>
    </row>
    <row r="14" spans="1:10" s="801" customFormat="1">
      <c r="A14" s="800">
        <v>3</v>
      </c>
      <c r="B14" s="797" t="s">
        <v>223</v>
      </c>
      <c r="C14" s="824"/>
      <c r="D14" s="797"/>
      <c r="E14" s="807"/>
      <c r="F14" s="799">
        <f ca="1">SUMPRODUCT((PO!$R$3:$R$201=$G14)*(PO!$L$3:$L$201))</f>
        <v>2000900</v>
      </c>
      <c r="G14" s="800" t="s">
        <v>153</v>
      </c>
      <c r="H14" s="859" t="s">
        <v>148</v>
      </c>
      <c r="I14" s="857"/>
      <c r="J14" s="858"/>
    </row>
    <row r="15" spans="1:10">
      <c r="A15" s="809"/>
      <c r="B15" s="802" t="s">
        <v>85</v>
      </c>
      <c r="C15" s="825"/>
      <c r="D15" s="802"/>
      <c r="E15" s="804"/>
      <c r="F15" s="794">
        <f ca="1">SUMPRODUCT((PO!$Y$3:$Y$201=$G15)*(PO!$L$3:$L$201))</f>
        <v>2000900</v>
      </c>
      <c r="G15" s="805" t="s">
        <v>85</v>
      </c>
      <c r="H15" s="859" t="s">
        <v>148</v>
      </c>
      <c r="I15" s="860"/>
      <c r="J15" s="861"/>
    </row>
    <row r="16" spans="1:10">
      <c r="A16" s="809"/>
      <c r="B16" s="802" t="s">
        <v>212</v>
      </c>
      <c r="C16" s="825"/>
      <c r="D16" s="802"/>
      <c r="E16" s="804"/>
      <c r="F16" s="794">
        <f ca="1">SUMPRODUCT((PO!$Y$3:$Y$201=$G16)*(PO!$L$3:$L$201))</f>
        <v>0</v>
      </c>
      <c r="G16" s="805" t="s">
        <v>211</v>
      </c>
      <c r="H16" s="859" t="s">
        <v>148</v>
      </c>
      <c r="I16" s="860"/>
      <c r="J16" s="861"/>
    </row>
    <row r="17" spans="1:10">
      <c r="A17" s="809"/>
      <c r="B17" s="802" t="s">
        <v>248</v>
      </c>
      <c r="C17" s="825"/>
      <c r="D17" s="802"/>
      <c r="E17" s="804"/>
      <c r="F17" s="794">
        <f ca="1">SUMPRODUCT((PO!$Y$3:$Y$201=$G17)*(PO!$L$3:$L$201))</f>
        <v>0</v>
      </c>
      <c r="G17" s="805" t="s">
        <v>98</v>
      </c>
      <c r="H17" s="859" t="s">
        <v>148</v>
      </c>
      <c r="I17" s="860"/>
      <c r="J17" s="861"/>
    </row>
    <row r="18" spans="1:10">
      <c r="A18" s="809"/>
      <c r="B18" s="802" t="s">
        <v>236</v>
      </c>
      <c r="C18" s="825"/>
      <c r="D18" s="802"/>
      <c r="E18" s="804"/>
      <c r="F18" s="794">
        <f ca="1">SUMPRODUCT((PO!$Y$3:$Y$201=$G18)*(PO!$L$3:$L$201))</f>
        <v>0</v>
      </c>
      <c r="G18" s="805" t="s">
        <v>236</v>
      </c>
      <c r="H18" s="859" t="s">
        <v>148</v>
      </c>
      <c r="I18" s="860"/>
      <c r="J18" s="861"/>
    </row>
    <row r="19" spans="1:10">
      <c r="A19" s="809"/>
      <c r="B19" s="802" t="s">
        <v>247</v>
      </c>
      <c r="C19" s="825"/>
      <c r="D19" s="802"/>
      <c r="E19" s="804"/>
      <c r="F19" s="794">
        <f ca="1">SUMPRODUCT((PO!$Y$3:$Y$201=$G19)*(PO!$L$3:$L$201))</f>
        <v>0</v>
      </c>
      <c r="G19" s="805" t="s">
        <v>246</v>
      </c>
      <c r="H19" s="859" t="s">
        <v>148</v>
      </c>
      <c r="I19" s="860"/>
      <c r="J19" s="861"/>
    </row>
    <row r="20" spans="1:10">
      <c r="A20" s="809"/>
      <c r="B20" s="802" t="s">
        <v>251</v>
      </c>
      <c r="C20" s="825"/>
      <c r="D20" s="802"/>
      <c r="E20" s="804"/>
      <c r="F20" s="794">
        <f ca="1">SUMPRODUCT((PO!$Y$3:$Y$201=$G20)*(PO!$L$3:$L$201))</f>
        <v>0</v>
      </c>
      <c r="G20" s="805" t="s">
        <v>250</v>
      </c>
      <c r="H20" s="859" t="s">
        <v>148</v>
      </c>
      <c r="I20" s="860"/>
      <c r="J20" s="861"/>
    </row>
    <row r="21" spans="1:10" s="801" customFormat="1">
      <c r="A21" s="800">
        <v>4</v>
      </c>
      <c r="B21" s="797" t="s">
        <v>2454</v>
      </c>
      <c r="C21" s="824"/>
      <c r="D21" s="797"/>
      <c r="E21" s="807"/>
      <c r="F21" s="799">
        <f ca="1">SUMPRODUCT((PO!$R$3:$R$201=$G21)*(PO!$L$3:$L$201))</f>
        <v>160916.11428571428</v>
      </c>
      <c r="G21" s="800" t="s">
        <v>151</v>
      </c>
      <c r="H21" s="859" t="s">
        <v>148</v>
      </c>
      <c r="I21" s="857"/>
      <c r="J21" s="858"/>
    </row>
    <row r="22" spans="1:10" s="801" customFormat="1">
      <c r="A22" s="800">
        <v>5</v>
      </c>
      <c r="B22" s="797" t="s">
        <v>2451</v>
      </c>
      <c r="C22" s="824"/>
      <c r="D22" s="797"/>
      <c r="E22" s="807"/>
      <c r="F22" s="799">
        <f ca="1">SUM(F23:F24)</f>
        <v>315018.85714285716</v>
      </c>
      <c r="G22" s="800" t="s">
        <v>154</v>
      </c>
      <c r="H22" s="859" t="s">
        <v>148</v>
      </c>
      <c r="I22" s="857"/>
      <c r="J22" s="858"/>
    </row>
    <row r="23" spans="1:10">
      <c r="A23" s="809"/>
      <c r="B23" s="802" t="s">
        <v>2415</v>
      </c>
      <c r="C23" s="825"/>
      <c r="D23" s="802"/>
      <c r="E23" s="804"/>
      <c r="F23" s="794">
        <f ca="1">SUMPRODUCT((PO!$R$3:$R$201=$G23)*(PO!$L$3:$L$201))</f>
        <v>158824</v>
      </c>
      <c r="G23" s="809" t="s">
        <v>2408</v>
      </c>
      <c r="H23" s="859" t="s">
        <v>148</v>
      </c>
      <c r="I23" s="860"/>
      <c r="J23" s="861"/>
    </row>
    <row r="24" spans="1:10">
      <c r="A24" s="809"/>
      <c r="B24" s="802" t="s">
        <v>2416</v>
      </c>
      <c r="C24" s="825"/>
      <c r="D24" s="802"/>
      <c r="E24" s="804"/>
      <c r="F24" s="794">
        <f ca="1">SUMPRODUCT((PO!$R$3:$R$201=$G24)*(PO!$L$3:$L$201))</f>
        <v>156194.85714285713</v>
      </c>
      <c r="G24" s="809" t="s">
        <v>2409</v>
      </c>
      <c r="H24" s="859" t="s">
        <v>148</v>
      </c>
      <c r="I24" s="860"/>
      <c r="J24" s="861"/>
    </row>
    <row r="25" spans="1:10" s="801" customFormat="1">
      <c r="A25" s="800">
        <v>6</v>
      </c>
      <c r="B25" s="797" t="s">
        <v>103</v>
      </c>
      <c r="C25" s="824" t="s">
        <v>240</v>
      </c>
      <c r="D25" s="798">
        <f ca="1">SUMIF(PO!$R$2:$R$200,"KI",PO!$F$2:$F$200)</f>
        <v>2.7909600000000001</v>
      </c>
      <c r="E25" s="807">
        <f ca="1">+F25/D25</f>
        <v>220000.00000000003</v>
      </c>
      <c r="F25" s="799">
        <f ca="1">SUMPRODUCT((PO!$R$3:$R$201=$G25)*(PO!$L$3:$L$201))</f>
        <v>614011.20000000007</v>
      </c>
      <c r="G25" s="800" t="s">
        <v>152</v>
      </c>
      <c r="H25" s="859" t="s">
        <v>148</v>
      </c>
      <c r="I25" s="857"/>
      <c r="J25" s="858"/>
    </row>
    <row r="26" spans="1:10" s="801" customFormat="1">
      <c r="A26" s="800">
        <v>7</v>
      </c>
      <c r="B26" s="797" t="s">
        <v>260</v>
      </c>
      <c r="C26" s="824"/>
      <c r="D26" s="797"/>
      <c r="E26" s="807"/>
      <c r="F26" s="799">
        <f ca="1">+TinhGia!BR81</f>
        <v>0</v>
      </c>
      <c r="G26" s="800" t="s">
        <v>2441</v>
      </c>
      <c r="H26" s="856" t="s">
        <v>2506</v>
      </c>
      <c r="I26" s="857"/>
      <c r="J26" s="858"/>
    </row>
    <row r="27" spans="1:10" s="801" customFormat="1">
      <c r="A27" s="800">
        <v>8</v>
      </c>
      <c r="B27" s="797" t="s">
        <v>261</v>
      </c>
      <c r="C27" s="824"/>
      <c r="D27" s="797"/>
      <c r="E27" s="807"/>
      <c r="F27" s="799">
        <f ca="1">+TinhGia!BQ81</f>
        <v>0</v>
      </c>
      <c r="G27" s="800" t="s">
        <v>370</v>
      </c>
      <c r="H27" s="856" t="s">
        <v>2506</v>
      </c>
      <c r="I27" s="857"/>
      <c r="J27" s="858"/>
    </row>
    <row r="28" spans="1:10" s="796" customFormat="1">
      <c r="A28" s="828" t="s">
        <v>2482</v>
      </c>
      <c r="B28" s="829" t="s">
        <v>2380</v>
      </c>
      <c r="C28" s="830"/>
      <c r="D28" s="841">
        <f ca="1">TinhGia!$K$81</f>
        <v>7.04</v>
      </c>
      <c r="E28" s="840">
        <f ca="1">+E29+E32+E33</f>
        <v>203333.33333333334</v>
      </c>
      <c r="F28" s="831">
        <f ca="1">IF(ROUND(D28*E28,0) = ROUND(F29+F32+F33,0),D28*E28,"Tổng &lt;&gt; CT")</f>
        <v>1431466.6666666667</v>
      </c>
      <c r="G28" s="828" t="s">
        <v>2381</v>
      </c>
      <c r="H28" s="829"/>
      <c r="I28" s="829"/>
      <c r="J28" s="829"/>
    </row>
    <row r="29" spans="1:10" s="801" customFormat="1">
      <c r="A29" s="800">
        <v>1</v>
      </c>
      <c r="B29" s="797" t="s">
        <v>2417</v>
      </c>
      <c r="C29" s="824"/>
      <c r="D29" s="810">
        <f ca="1">SUM(D30:D31)</f>
        <v>7.04</v>
      </c>
      <c r="E29" s="834">
        <f>SUM(E30:E31)/2</f>
        <v>43333.333333333336</v>
      </c>
      <c r="F29" s="799">
        <f ca="1">IF(ROUND(D29*E29,0)=ROUND(SUM($F$30:$F$31),0),D29*E29,"Tổng &lt;&gt; CT")</f>
        <v>305066.66666666669</v>
      </c>
      <c r="G29" s="800"/>
      <c r="H29" s="797"/>
      <c r="I29" s="800" t="s">
        <v>2524</v>
      </c>
      <c r="J29" s="800" t="s">
        <v>2525</v>
      </c>
    </row>
    <row r="30" spans="1:10">
      <c r="A30" s="809"/>
      <c r="B30" s="802" t="s">
        <v>2459</v>
      </c>
      <c r="C30" s="825" t="s">
        <v>240</v>
      </c>
      <c r="D30" s="803">
        <f ca="1">TinhGia!$K$81 / 2</f>
        <v>3.52</v>
      </c>
      <c r="E30" s="804">
        <f>($J30/$I30) / (($I$34+$I$52)/SUM($I$30:$I$31))</f>
        <v>53333.333333333336</v>
      </c>
      <c r="F30" s="794">
        <f ca="1">+D30*E30</f>
        <v>187733.33333333334</v>
      </c>
      <c r="G30" s="809"/>
      <c r="H30" s="802"/>
      <c r="I30" s="803">
        <v>2</v>
      </c>
      <c r="J30" s="804">
        <f>12000000+8000000</f>
        <v>20000000</v>
      </c>
    </row>
    <row r="31" spans="1:10">
      <c r="A31" s="809"/>
      <c r="B31" s="802" t="s">
        <v>2460</v>
      </c>
      <c r="C31" s="825" t="s">
        <v>240</v>
      </c>
      <c r="D31" s="803">
        <f ca="1">TinhGia!$K$81 / 2</f>
        <v>3.52</v>
      </c>
      <c r="E31" s="804">
        <f>($J31/$I31) / (($I$34+$I$52)/SUM($I$30:$I$31))</f>
        <v>33333.333333333336</v>
      </c>
      <c r="F31" s="794">
        <f ca="1">+D31*E31</f>
        <v>117333.33333333334</v>
      </c>
      <c r="G31" s="809"/>
      <c r="H31" s="802"/>
      <c r="I31" s="803">
        <v>2</v>
      </c>
      <c r="J31" s="804">
        <f>6500000+6000000</f>
        <v>12500000</v>
      </c>
    </row>
    <row r="32" spans="1:10" s="801" customFormat="1">
      <c r="A32" s="800">
        <v>2</v>
      </c>
      <c r="B32" s="797" t="s">
        <v>2418</v>
      </c>
      <c r="C32" s="825" t="s">
        <v>240</v>
      </c>
      <c r="D32" s="798">
        <f ca="1">TinhGia!$K$81</f>
        <v>7.04</v>
      </c>
      <c r="E32" s="807">
        <f ca="1">+F32/D32</f>
        <v>160000</v>
      </c>
      <c r="F32" s="799">
        <f ca="1">+TinhGia!$BT$81+TinhGia!$BU$81</f>
        <v>1126400</v>
      </c>
      <c r="G32" s="800"/>
      <c r="H32" s="797"/>
      <c r="I32" s="797"/>
      <c r="J32" s="797"/>
    </row>
    <row r="33" spans="1:10" s="801" customFormat="1">
      <c r="A33" s="800">
        <v>3</v>
      </c>
      <c r="B33" s="797" t="s">
        <v>2463</v>
      </c>
      <c r="C33" s="824"/>
      <c r="D33" s="797"/>
      <c r="E33" s="807"/>
      <c r="F33" s="799"/>
      <c r="G33" s="800"/>
      <c r="H33" s="797"/>
      <c r="I33" s="797"/>
      <c r="J33" s="797"/>
    </row>
    <row r="34" spans="1:10" s="796" customFormat="1">
      <c r="A34" s="828" t="s">
        <v>2483</v>
      </c>
      <c r="B34" s="829" t="s">
        <v>2493</v>
      </c>
      <c r="C34" s="830" t="s">
        <v>240</v>
      </c>
      <c r="D34" s="841">
        <f ca="1">SUMPRODUCT((TinhGia!$BN$11:$BN$81=$B$48)*(TinhGia!$K$11:$K$81))</f>
        <v>7.04</v>
      </c>
      <c r="E34" s="840">
        <f>+SUM(E35:E40) + E41</f>
        <v>63288.888888888883</v>
      </c>
      <c r="F34" s="831">
        <f ca="1">IF(ROUND(D34*E34,0) = ROUND(SUM(F35:F41),0),D34*E34,"Tổng &lt;&gt; CT")</f>
        <v>445553.77777777775</v>
      </c>
      <c r="G34" s="828" t="s">
        <v>2504</v>
      </c>
      <c r="H34" s="829"/>
      <c r="I34" s="841">
        <v>700</v>
      </c>
      <c r="J34" s="829"/>
    </row>
    <row r="35" spans="1:10" s="817" customFormat="1">
      <c r="A35" s="815">
        <v>1</v>
      </c>
      <c r="B35" s="813" t="s">
        <v>2488</v>
      </c>
      <c r="C35" s="826" t="s">
        <v>240</v>
      </c>
      <c r="D35" s="814">
        <f ca="1">+$D$34</f>
        <v>7.04</v>
      </c>
      <c r="E35" s="816">
        <f>+$J35/$I35</f>
        <v>16000</v>
      </c>
      <c r="F35" s="811">
        <f ca="1">+D35*E35</f>
        <v>112640</v>
      </c>
      <c r="G35" s="815"/>
      <c r="H35" s="813"/>
      <c r="I35" s="814">
        <f>+$I$34+$I$52</f>
        <v>750</v>
      </c>
      <c r="J35" s="816">
        <v>12000000</v>
      </c>
    </row>
    <row r="36" spans="1:10" s="817" customFormat="1">
      <c r="A36" s="815">
        <v>2</v>
      </c>
      <c r="B36" s="813" t="s">
        <v>2487</v>
      </c>
      <c r="C36" s="826" t="s">
        <v>240</v>
      </c>
      <c r="D36" s="814">
        <f t="shared" ref="D36:D51" ca="1" si="0">+$D$34</f>
        <v>7.04</v>
      </c>
      <c r="E36" s="816">
        <f t="shared" ref="E36:E39" si="1">+$J36/$I36</f>
        <v>13333.333333333334</v>
      </c>
      <c r="F36" s="811">
        <f ca="1">+D36*E36</f>
        <v>93866.666666666672</v>
      </c>
      <c r="G36" s="815"/>
      <c r="H36" s="813"/>
      <c r="I36" s="814">
        <f t="shared" ref="I36:I47" si="2">+$I$34+$I$52</f>
        <v>750</v>
      </c>
      <c r="J36" s="816">
        <v>10000000</v>
      </c>
    </row>
    <row r="37" spans="1:10" s="817" customFormat="1">
      <c r="A37" s="815">
        <v>3</v>
      </c>
      <c r="B37" s="813" t="s">
        <v>2484</v>
      </c>
      <c r="C37" s="826" t="s">
        <v>240</v>
      </c>
      <c r="D37" s="814">
        <f t="shared" ca="1" si="0"/>
        <v>7.04</v>
      </c>
      <c r="E37" s="816">
        <f t="shared" si="1"/>
        <v>18666.666666666668</v>
      </c>
      <c r="F37" s="811">
        <f t="shared" ref="F37:F40" ca="1" si="3">+D37*E37</f>
        <v>131413.33333333334</v>
      </c>
      <c r="G37" s="815"/>
      <c r="H37" s="813"/>
      <c r="I37" s="814">
        <f t="shared" si="2"/>
        <v>750</v>
      </c>
      <c r="J37" s="816">
        <v>14000000</v>
      </c>
    </row>
    <row r="38" spans="1:10" s="817" customFormat="1">
      <c r="A38" s="815">
        <v>4</v>
      </c>
      <c r="B38" s="813" t="s">
        <v>2485</v>
      </c>
      <c r="C38" s="826" t="s">
        <v>240</v>
      </c>
      <c r="D38" s="814">
        <f t="shared" ca="1" si="0"/>
        <v>7.04</v>
      </c>
      <c r="E38" s="816">
        <f t="shared" si="1"/>
        <v>1222.2222222222222</v>
      </c>
      <c r="F38" s="811">
        <f t="shared" ca="1" si="3"/>
        <v>8604.4444444444434</v>
      </c>
      <c r="G38" s="815"/>
      <c r="H38" s="813"/>
      <c r="I38" s="814">
        <f t="shared" si="2"/>
        <v>750</v>
      </c>
      <c r="J38" s="816">
        <v>916666.66666666663</v>
      </c>
    </row>
    <row r="39" spans="1:10" s="817" customFormat="1">
      <c r="A39" s="815">
        <v>5</v>
      </c>
      <c r="B39" s="813" t="s">
        <v>2486</v>
      </c>
      <c r="C39" s="826" t="s">
        <v>240</v>
      </c>
      <c r="D39" s="814">
        <f t="shared" ca="1" si="0"/>
        <v>7.04</v>
      </c>
      <c r="E39" s="816">
        <f t="shared" si="1"/>
        <v>4000</v>
      </c>
      <c r="F39" s="811">
        <f t="shared" ca="1" si="3"/>
        <v>28160</v>
      </c>
      <c r="G39" s="815"/>
      <c r="H39" s="813"/>
      <c r="I39" s="814">
        <f t="shared" si="2"/>
        <v>750</v>
      </c>
      <c r="J39" s="816">
        <v>3000000</v>
      </c>
    </row>
    <row r="40" spans="1:10" s="817" customFormat="1">
      <c r="A40" s="815">
        <v>6</v>
      </c>
      <c r="B40" s="813" t="s">
        <v>2489</v>
      </c>
      <c r="C40" s="826" t="s">
        <v>240</v>
      </c>
      <c r="D40" s="814">
        <f t="shared" ca="1" si="0"/>
        <v>7.04</v>
      </c>
      <c r="E40" s="816">
        <f>+(J40/3) / $I40</f>
        <v>2222.2222222222222</v>
      </c>
      <c r="F40" s="811">
        <f t="shared" ca="1" si="3"/>
        <v>15644.444444444443</v>
      </c>
      <c r="G40" s="815"/>
      <c r="H40" s="813"/>
      <c r="I40" s="814">
        <f t="shared" si="2"/>
        <v>750</v>
      </c>
      <c r="J40" s="816">
        <v>5000000</v>
      </c>
    </row>
    <row r="41" spans="1:10" s="817" customFormat="1">
      <c r="A41" s="815">
        <v>7</v>
      </c>
      <c r="B41" s="813" t="s">
        <v>2498</v>
      </c>
      <c r="C41" s="826"/>
      <c r="D41" s="814">
        <f t="shared" ca="1" si="0"/>
        <v>7.04</v>
      </c>
      <c r="E41" s="816">
        <f>+E42+E48</f>
        <v>7844.4444444444443</v>
      </c>
      <c r="F41" s="794">
        <f ca="1">IF(ROUND(D41*E41,0) = ROUND(F42+F48,0),D41*E41,"Tổng &lt;&gt; CT")</f>
        <v>55224.888888888891</v>
      </c>
      <c r="G41" s="815"/>
      <c r="H41" s="813"/>
      <c r="I41" s="816"/>
      <c r="J41" s="816"/>
    </row>
    <row r="42" spans="1:10" s="796" customFormat="1">
      <c r="A42" s="800" t="s">
        <v>2499</v>
      </c>
      <c r="B42" s="797" t="s">
        <v>2496</v>
      </c>
      <c r="C42" s="823"/>
      <c r="D42" s="798">
        <f t="shared" ca="1" si="0"/>
        <v>7.04</v>
      </c>
      <c r="E42" s="833">
        <f>SUM(E43:E47)</f>
        <v>3677.7777777777774</v>
      </c>
      <c r="F42" s="793">
        <f ca="1">IF(ROUND(D42*E42,0) = ROUND(SUM(F43:F47),0),D42*E42,"Tổng &lt;&gt; CT")</f>
        <v>25891.555555555551</v>
      </c>
      <c r="G42" s="795"/>
      <c r="H42" s="788"/>
      <c r="I42" s="792"/>
      <c r="J42" s="833"/>
    </row>
    <row r="43" spans="1:10">
      <c r="A43" s="809"/>
      <c r="B43" s="802" t="s">
        <v>2465</v>
      </c>
      <c r="C43" s="825" t="s">
        <v>240</v>
      </c>
      <c r="D43" s="814">
        <f t="shared" ca="1" si="0"/>
        <v>7.04</v>
      </c>
      <c r="E43" s="804">
        <f>+$J43/I43</f>
        <v>2000</v>
      </c>
      <c r="F43" s="794">
        <f t="shared" ref="F43:F47" ca="1" si="4">+E43*D43</f>
        <v>14080</v>
      </c>
      <c r="G43" s="809"/>
      <c r="H43" s="813"/>
      <c r="I43" s="803">
        <f t="shared" si="2"/>
        <v>750</v>
      </c>
      <c r="J43" s="804">
        <f>90000000/(5*12)</f>
        <v>1500000</v>
      </c>
    </row>
    <row r="44" spans="1:10">
      <c r="A44" s="809"/>
      <c r="B44" s="802" t="s">
        <v>2466</v>
      </c>
      <c r="C44" s="825" t="s">
        <v>240</v>
      </c>
      <c r="D44" s="814">
        <f t="shared" ca="1" si="0"/>
        <v>7.04</v>
      </c>
      <c r="E44" s="804">
        <f t="shared" ref="E44:E47" si="5">+$J44/I44</f>
        <v>88.8888888888889</v>
      </c>
      <c r="F44" s="794">
        <f t="shared" ca="1" si="4"/>
        <v>625.77777777777783</v>
      </c>
      <c r="G44" s="809"/>
      <c r="H44" s="813"/>
      <c r="I44" s="803">
        <f t="shared" si="2"/>
        <v>750</v>
      </c>
      <c r="J44" s="804">
        <f>4000000/(5*12)</f>
        <v>66666.666666666672</v>
      </c>
    </row>
    <row r="45" spans="1:10">
      <c r="A45" s="809"/>
      <c r="B45" s="802" t="s">
        <v>2467</v>
      </c>
      <c r="C45" s="825" t="s">
        <v>240</v>
      </c>
      <c r="D45" s="814">
        <f t="shared" ca="1" si="0"/>
        <v>7.04</v>
      </c>
      <c r="E45" s="804">
        <f t="shared" si="5"/>
        <v>622.22222222222229</v>
      </c>
      <c r="F45" s="794">
        <f t="shared" ca="1" si="4"/>
        <v>4380.4444444444453</v>
      </c>
      <c r="G45" s="809"/>
      <c r="H45" s="813"/>
      <c r="I45" s="803">
        <f t="shared" si="2"/>
        <v>750</v>
      </c>
      <c r="J45" s="804">
        <f>28000000/(5*12)</f>
        <v>466666.66666666669</v>
      </c>
    </row>
    <row r="46" spans="1:10">
      <c r="A46" s="809"/>
      <c r="B46" s="802" t="s">
        <v>2468</v>
      </c>
      <c r="C46" s="825" t="s">
        <v>240</v>
      </c>
      <c r="D46" s="814">
        <f t="shared" ca="1" si="0"/>
        <v>7.04</v>
      </c>
      <c r="E46" s="804">
        <f t="shared" si="5"/>
        <v>577.77777777777771</v>
      </c>
      <c r="F46" s="794">
        <f t="shared" ca="1" si="4"/>
        <v>4067.5555555555552</v>
      </c>
      <c r="G46" s="809"/>
      <c r="H46" s="813"/>
      <c r="I46" s="803">
        <f t="shared" si="2"/>
        <v>750</v>
      </c>
      <c r="J46" s="804">
        <f>26000000/(5*12)</f>
        <v>433333.33333333331</v>
      </c>
    </row>
    <row r="47" spans="1:10">
      <c r="A47" s="809"/>
      <c r="B47" s="802" t="s">
        <v>2469</v>
      </c>
      <c r="C47" s="825" t="s">
        <v>240</v>
      </c>
      <c r="D47" s="814">
        <f t="shared" ca="1" si="0"/>
        <v>7.04</v>
      </c>
      <c r="E47" s="804">
        <f t="shared" si="5"/>
        <v>388.88888888888891</v>
      </c>
      <c r="F47" s="794">
        <f t="shared" ca="1" si="4"/>
        <v>2737.7777777777778</v>
      </c>
      <c r="G47" s="809"/>
      <c r="H47" s="813"/>
      <c r="I47" s="803">
        <f t="shared" si="2"/>
        <v>750</v>
      </c>
      <c r="J47" s="804">
        <f>17500000/(5*12)</f>
        <v>291666.66666666669</v>
      </c>
    </row>
    <row r="48" spans="1:10" s="801" customFormat="1">
      <c r="A48" s="800" t="s">
        <v>2500</v>
      </c>
      <c r="B48" s="797" t="s">
        <v>2477</v>
      </c>
      <c r="C48" s="824"/>
      <c r="D48" s="814">
        <f t="shared" ca="1" si="0"/>
        <v>7.04</v>
      </c>
      <c r="E48" s="807">
        <f>SUM(E49:E51)</f>
        <v>4166.666666666667</v>
      </c>
      <c r="F48" s="793">
        <f ca="1">IF(ROUND(D48*E48,0) = ROUND(SUM(F49:F51),0),D48*E48,"Tổng &lt;&gt; CT")</f>
        <v>29333.333333333336</v>
      </c>
      <c r="G48" s="800"/>
      <c r="H48" s="797"/>
      <c r="I48" s="797"/>
      <c r="J48" s="807"/>
    </row>
    <row r="49" spans="1:10">
      <c r="A49" s="815"/>
      <c r="B49" s="802" t="s">
        <v>2470</v>
      </c>
      <c r="C49" s="825" t="s">
        <v>240</v>
      </c>
      <c r="D49" s="814">
        <f t="shared" ca="1" si="0"/>
        <v>7.04</v>
      </c>
      <c r="E49" s="804">
        <f>+J49/I49</f>
        <v>2309.5238095238096</v>
      </c>
      <c r="F49" s="794">
        <f t="shared" ref="F49" ca="1" si="6">+E49*D49</f>
        <v>16259.04761904762</v>
      </c>
      <c r="G49" s="809"/>
      <c r="H49" s="813"/>
      <c r="I49" s="803">
        <f t="shared" ref="I49:I51" si="7">+$I$34</f>
        <v>700</v>
      </c>
      <c r="J49" s="804">
        <f>97000000/(5*12)</f>
        <v>1616666.6666666667</v>
      </c>
    </row>
    <row r="50" spans="1:10">
      <c r="A50" s="815"/>
      <c r="B50" s="802" t="s">
        <v>2471</v>
      </c>
      <c r="C50" s="825" t="s">
        <v>240</v>
      </c>
      <c r="D50" s="814">
        <f t="shared" ca="1" si="0"/>
        <v>7.04</v>
      </c>
      <c r="E50" s="804">
        <f t="shared" ref="E50:E51" si="8">+J50/I50</f>
        <v>1428.5714285714287</v>
      </c>
      <c r="F50" s="794">
        <f t="shared" ref="F50:F51" ca="1" si="9">+E50*D50</f>
        <v>10057.142857142859</v>
      </c>
      <c r="G50" s="809"/>
      <c r="H50" s="813"/>
      <c r="I50" s="803">
        <f t="shared" si="7"/>
        <v>700</v>
      </c>
      <c r="J50" s="804">
        <f>60000000/(5*12)</f>
        <v>1000000</v>
      </c>
    </row>
    <row r="51" spans="1:10">
      <c r="A51" s="815"/>
      <c r="B51" s="802" t="s">
        <v>2472</v>
      </c>
      <c r="C51" s="825" t="s">
        <v>240</v>
      </c>
      <c r="D51" s="814">
        <f t="shared" ca="1" si="0"/>
        <v>7.04</v>
      </c>
      <c r="E51" s="804">
        <f t="shared" si="8"/>
        <v>428.57142857142856</v>
      </c>
      <c r="F51" s="794">
        <f t="shared" ca="1" si="9"/>
        <v>3017.1428571428569</v>
      </c>
      <c r="G51" s="809"/>
      <c r="H51" s="813"/>
      <c r="I51" s="803">
        <f t="shared" si="7"/>
        <v>700</v>
      </c>
      <c r="J51" s="804">
        <f>18000000/(5*12)</f>
        <v>300000</v>
      </c>
    </row>
    <row r="52" spans="1:10" s="796" customFormat="1">
      <c r="A52" s="828" t="s">
        <v>2490</v>
      </c>
      <c r="B52" s="829" t="s">
        <v>2494</v>
      </c>
      <c r="C52" s="830"/>
      <c r="D52" s="841">
        <f ca="1">SUMPRODUCT((TinhGia!$BN$11:$BN$81=$B$66)*(TinhGia!$K$11:$K$81))</f>
        <v>0</v>
      </c>
      <c r="E52" s="840">
        <f>SUM(E53:E59)</f>
        <v>126455.55555555555</v>
      </c>
      <c r="F52" s="831">
        <f ca="1">IF(ROUND(D52*E52,0) = ROUND(SUM(F53:F59),0),D52*E52,"Tổng &lt;&gt; CT")</f>
        <v>0</v>
      </c>
      <c r="G52" s="828" t="s">
        <v>2508</v>
      </c>
      <c r="H52" s="829"/>
      <c r="I52" s="841">
        <v>50</v>
      </c>
      <c r="J52" s="829"/>
    </row>
    <row r="53" spans="1:10" s="817" customFormat="1">
      <c r="A53" s="815">
        <v>1</v>
      </c>
      <c r="B53" s="813" t="s">
        <v>2488</v>
      </c>
      <c r="C53" s="826" t="s">
        <v>240</v>
      </c>
      <c r="D53" s="814">
        <f ca="1">+$D$52</f>
        <v>0</v>
      </c>
      <c r="E53" s="816">
        <f>+$J53/$I53</f>
        <v>16000</v>
      </c>
      <c r="F53" s="811">
        <f ca="1">+D53*E53</f>
        <v>0</v>
      </c>
      <c r="G53" s="815"/>
      <c r="H53" s="813"/>
      <c r="I53" s="814">
        <f>+$I$34+$I$52</f>
        <v>750</v>
      </c>
      <c r="J53" s="816">
        <v>12000000</v>
      </c>
    </row>
    <row r="54" spans="1:10" s="817" customFormat="1">
      <c r="A54" s="815">
        <v>2</v>
      </c>
      <c r="B54" s="813" t="s">
        <v>2487</v>
      </c>
      <c r="C54" s="826" t="s">
        <v>240</v>
      </c>
      <c r="D54" s="814">
        <f t="shared" ref="D54:D70" ca="1" si="10">+$D$52</f>
        <v>0</v>
      </c>
      <c r="E54" s="816">
        <f t="shared" ref="E54:E57" si="11">+$J54/$I54</f>
        <v>13333.333333333334</v>
      </c>
      <c r="F54" s="811">
        <f ca="1">+D54*E54</f>
        <v>0</v>
      </c>
      <c r="G54" s="815"/>
      <c r="H54" s="813"/>
      <c r="I54" s="814">
        <f t="shared" ref="I54:I58" si="12">+$I$34+$I$52</f>
        <v>750</v>
      </c>
      <c r="J54" s="816">
        <v>10000000</v>
      </c>
    </row>
    <row r="55" spans="1:10" s="817" customFormat="1">
      <c r="A55" s="815">
        <v>3</v>
      </c>
      <c r="B55" s="813" t="s">
        <v>2484</v>
      </c>
      <c r="C55" s="826" t="s">
        <v>240</v>
      </c>
      <c r="D55" s="814">
        <f t="shared" ca="1" si="10"/>
        <v>0</v>
      </c>
      <c r="E55" s="816">
        <f t="shared" si="11"/>
        <v>18666.666666666668</v>
      </c>
      <c r="F55" s="811">
        <f t="shared" ref="F55:F58" ca="1" si="13">+D55*E55</f>
        <v>0</v>
      </c>
      <c r="G55" s="815"/>
      <c r="H55" s="813"/>
      <c r="I55" s="814">
        <f t="shared" si="12"/>
        <v>750</v>
      </c>
      <c r="J55" s="816">
        <v>14000000</v>
      </c>
    </row>
    <row r="56" spans="1:10" s="817" customFormat="1">
      <c r="A56" s="815">
        <v>4</v>
      </c>
      <c r="B56" s="813" t="s">
        <v>2485</v>
      </c>
      <c r="C56" s="826" t="s">
        <v>240</v>
      </c>
      <c r="D56" s="814">
        <f t="shared" ca="1" si="10"/>
        <v>0</v>
      </c>
      <c r="E56" s="816">
        <f t="shared" si="11"/>
        <v>1222.2222222222222</v>
      </c>
      <c r="F56" s="811">
        <f t="shared" ca="1" si="13"/>
        <v>0</v>
      </c>
      <c r="G56" s="815"/>
      <c r="H56" s="813"/>
      <c r="I56" s="814">
        <f t="shared" si="12"/>
        <v>750</v>
      </c>
      <c r="J56" s="816">
        <v>916666.66666666663</v>
      </c>
    </row>
    <row r="57" spans="1:10" s="817" customFormat="1">
      <c r="A57" s="815">
        <v>5</v>
      </c>
      <c r="B57" s="813" t="s">
        <v>2486</v>
      </c>
      <c r="C57" s="826" t="s">
        <v>240</v>
      </c>
      <c r="D57" s="814">
        <f t="shared" ca="1" si="10"/>
        <v>0</v>
      </c>
      <c r="E57" s="816">
        <f t="shared" si="11"/>
        <v>4000</v>
      </c>
      <c r="F57" s="811">
        <f t="shared" ca="1" si="13"/>
        <v>0</v>
      </c>
      <c r="G57" s="815"/>
      <c r="H57" s="813"/>
      <c r="I57" s="814">
        <f t="shared" si="12"/>
        <v>750</v>
      </c>
      <c r="J57" s="816">
        <v>3000000</v>
      </c>
    </row>
    <row r="58" spans="1:10" s="817" customFormat="1">
      <c r="A58" s="815">
        <v>6</v>
      </c>
      <c r="B58" s="813" t="s">
        <v>2489</v>
      </c>
      <c r="C58" s="826" t="s">
        <v>240</v>
      </c>
      <c r="D58" s="814">
        <f t="shared" ca="1" si="10"/>
        <v>0</v>
      </c>
      <c r="E58" s="816">
        <f>+(J58/3) / $I58</f>
        <v>2222.2222222222222</v>
      </c>
      <c r="F58" s="811">
        <f t="shared" ca="1" si="13"/>
        <v>0</v>
      </c>
      <c r="G58" s="815"/>
      <c r="H58" s="813"/>
      <c r="I58" s="814">
        <f t="shared" si="12"/>
        <v>750</v>
      </c>
      <c r="J58" s="816">
        <v>5000000</v>
      </c>
    </row>
    <row r="59" spans="1:10" s="817" customFormat="1">
      <c r="A59" s="815">
        <v>7</v>
      </c>
      <c r="B59" s="813" t="s">
        <v>2501</v>
      </c>
      <c r="C59" s="826"/>
      <c r="D59" s="814">
        <f t="shared" ca="1" si="10"/>
        <v>0</v>
      </c>
      <c r="E59" s="816">
        <f>+E60+E66</f>
        <v>71011.111111111109</v>
      </c>
      <c r="F59" s="794">
        <f ca="1">IF(ROUND(D59*E59,0) = ROUND(F60+F66,0),D59*E59,"Tổng &lt;&gt; CT")</f>
        <v>0</v>
      </c>
      <c r="G59" s="815"/>
      <c r="H59" s="813"/>
      <c r="I59" s="816"/>
      <c r="J59" s="816"/>
    </row>
    <row r="60" spans="1:10" s="801" customFormat="1">
      <c r="A60" s="800" t="s">
        <v>2499</v>
      </c>
      <c r="B60" s="797" t="s">
        <v>2492</v>
      </c>
      <c r="C60" s="824"/>
      <c r="D60" s="814">
        <f t="shared" ca="1" si="10"/>
        <v>0</v>
      </c>
      <c r="E60" s="833">
        <f>SUM(E61:E65)</f>
        <v>3677.7777777777774</v>
      </c>
      <c r="F60" s="793">
        <f ca="1">IF(ROUND(D60*E60,0) = ROUND(SUM(F61:F65),0),D60*E60,"Tổng &lt;&gt; CT")</f>
        <v>0</v>
      </c>
      <c r="G60" s="800"/>
      <c r="H60" s="797"/>
      <c r="I60" s="807"/>
      <c r="J60" s="807"/>
    </row>
    <row r="61" spans="1:10">
      <c r="A61" s="809"/>
      <c r="B61" s="802" t="s">
        <v>2465</v>
      </c>
      <c r="C61" s="825" t="s">
        <v>240</v>
      </c>
      <c r="D61" s="814">
        <f t="shared" ca="1" si="10"/>
        <v>0</v>
      </c>
      <c r="E61" s="804">
        <f>+J61/I61</f>
        <v>2000</v>
      </c>
      <c r="F61" s="794">
        <f t="shared" ref="F61:F65" ca="1" si="14">+E61*D61</f>
        <v>0</v>
      </c>
      <c r="G61" s="809"/>
      <c r="H61" s="802"/>
      <c r="I61" s="814">
        <f t="shared" ref="I61:I65" si="15">+$I$34+$I$52</f>
        <v>750</v>
      </c>
      <c r="J61" s="804">
        <f>90000000/(5*12)</f>
        <v>1500000</v>
      </c>
    </row>
    <row r="62" spans="1:10">
      <c r="A62" s="809"/>
      <c r="B62" s="802" t="s">
        <v>2466</v>
      </c>
      <c r="C62" s="825" t="s">
        <v>240</v>
      </c>
      <c r="D62" s="814">
        <f t="shared" ca="1" si="10"/>
        <v>0</v>
      </c>
      <c r="E62" s="804">
        <f t="shared" ref="E62:E65" si="16">+J62/I62</f>
        <v>88.8888888888889</v>
      </c>
      <c r="F62" s="794">
        <f t="shared" ca="1" si="14"/>
        <v>0</v>
      </c>
      <c r="G62" s="809"/>
      <c r="H62" s="802"/>
      <c r="I62" s="814">
        <f t="shared" si="15"/>
        <v>750</v>
      </c>
      <c r="J62" s="804">
        <f>4000000/(5*12)</f>
        <v>66666.666666666672</v>
      </c>
    </row>
    <row r="63" spans="1:10">
      <c r="A63" s="809"/>
      <c r="B63" s="802" t="s">
        <v>2467</v>
      </c>
      <c r="C63" s="825" t="s">
        <v>240</v>
      </c>
      <c r="D63" s="814">
        <f t="shared" ca="1" si="10"/>
        <v>0</v>
      </c>
      <c r="E63" s="804">
        <f t="shared" si="16"/>
        <v>622.22222222222229</v>
      </c>
      <c r="F63" s="794">
        <f t="shared" ca="1" si="14"/>
        <v>0</v>
      </c>
      <c r="G63" s="809"/>
      <c r="H63" s="802"/>
      <c r="I63" s="814">
        <f t="shared" si="15"/>
        <v>750</v>
      </c>
      <c r="J63" s="804">
        <f>28000000/(5*12)</f>
        <v>466666.66666666669</v>
      </c>
    </row>
    <row r="64" spans="1:10">
      <c r="A64" s="809"/>
      <c r="B64" s="802" t="s">
        <v>2468</v>
      </c>
      <c r="C64" s="825" t="s">
        <v>240</v>
      </c>
      <c r="D64" s="814">
        <f t="shared" ca="1" si="10"/>
        <v>0</v>
      </c>
      <c r="E64" s="804">
        <f t="shared" si="16"/>
        <v>577.77777777777771</v>
      </c>
      <c r="F64" s="794">
        <f t="shared" ca="1" si="14"/>
        <v>0</v>
      </c>
      <c r="G64" s="809"/>
      <c r="H64" s="802"/>
      <c r="I64" s="814">
        <f t="shared" si="15"/>
        <v>750</v>
      </c>
      <c r="J64" s="804">
        <f>26000000/(5*12)</f>
        <v>433333.33333333331</v>
      </c>
    </row>
    <row r="65" spans="1:10">
      <c r="A65" s="809"/>
      <c r="B65" s="802" t="s">
        <v>2469</v>
      </c>
      <c r="C65" s="825" t="s">
        <v>240</v>
      </c>
      <c r="D65" s="814">
        <f t="shared" ca="1" si="10"/>
        <v>0</v>
      </c>
      <c r="E65" s="804">
        <f t="shared" si="16"/>
        <v>388.88888888888891</v>
      </c>
      <c r="F65" s="794">
        <f t="shared" ca="1" si="14"/>
        <v>0</v>
      </c>
      <c r="G65" s="809"/>
      <c r="H65" s="802"/>
      <c r="I65" s="814">
        <f t="shared" si="15"/>
        <v>750</v>
      </c>
      <c r="J65" s="804">
        <f>17500000/(5*12)</f>
        <v>291666.66666666669</v>
      </c>
    </row>
    <row r="66" spans="1:10" s="801" customFormat="1">
      <c r="A66" s="800" t="s">
        <v>2500</v>
      </c>
      <c r="B66" s="797" t="s">
        <v>2478</v>
      </c>
      <c r="C66" s="824"/>
      <c r="D66" s="814">
        <f t="shared" ca="1" si="10"/>
        <v>0</v>
      </c>
      <c r="E66" s="833">
        <f>SUM(E67:E70)</f>
        <v>67333.333333333328</v>
      </c>
      <c r="F66" s="793">
        <f ca="1">IF(ROUND(D66*E66,0) = ROUND(SUM(F67:F70),0),D66*E66,"Tổng &lt;&gt; CT")</f>
        <v>0</v>
      </c>
      <c r="G66" s="800"/>
      <c r="H66" s="797"/>
      <c r="I66" s="797"/>
      <c r="J66" s="807">
        <f>SUM(J67:J70)</f>
        <v>3366666.6666666665</v>
      </c>
    </row>
    <row r="67" spans="1:10">
      <c r="A67" s="815"/>
      <c r="B67" s="802" t="s">
        <v>2473</v>
      </c>
      <c r="C67" s="825" t="s">
        <v>240</v>
      </c>
      <c r="D67" s="814">
        <f t="shared" ca="1" si="10"/>
        <v>0</v>
      </c>
      <c r="E67" s="804">
        <f>+J67/I67</f>
        <v>3333.333333333333</v>
      </c>
      <c r="F67" s="793">
        <f t="shared" ref="F67:F70" ca="1" si="17">+E67*D67</f>
        <v>0</v>
      </c>
      <c r="G67" s="809"/>
      <c r="H67" s="802"/>
      <c r="I67" s="803">
        <f t="shared" ref="I67:I70" si="18">+$I$52</f>
        <v>50</v>
      </c>
      <c r="J67" s="804">
        <f>10000000/(5*12)</f>
        <v>166666.66666666666</v>
      </c>
    </row>
    <row r="68" spans="1:10">
      <c r="A68" s="815"/>
      <c r="B68" s="802" t="s">
        <v>2474</v>
      </c>
      <c r="C68" s="825" t="s">
        <v>240</v>
      </c>
      <c r="D68" s="814">
        <f t="shared" ca="1" si="10"/>
        <v>0</v>
      </c>
      <c r="E68" s="804">
        <f t="shared" ref="E68:E70" si="19">+J68/I68</f>
        <v>4000</v>
      </c>
      <c r="F68" s="793">
        <f t="shared" ca="1" si="17"/>
        <v>0</v>
      </c>
      <c r="G68" s="809"/>
      <c r="H68" s="802"/>
      <c r="I68" s="803">
        <f t="shared" si="18"/>
        <v>50</v>
      </c>
      <c r="J68" s="804">
        <f>12000000/(5*12)</f>
        <v>200000</v>
      </c>
    </row>
    <row r="69" spans="1:10">
      <c r="A69" s="815"/>
      <c r="B69" s="802" t="s">
        <v>2475</v>
      </c>
      <c r="C69" s="825" t="s">
        <v>240</v>
      </c>
      <c r="D69" s="814">
        <f t="shared" ca="1" si="10"/>
        <v>0</v>
      </c>
      <c r="E69" s="804">
        <f t="shared" si="19"/>
        <v>43333.333333333328</v>
      </c>
      <c r="F69" s="793">
        <f t="shared" ca="1" si="17"/>
        <v>0</v>
      </c>
      <c r="G69" s="809"/>
      <c r="H69" s="802"/>
      <c r="I69" s="803">
        <f t="shared" si="18"/>
        <v>50</v>
      </c>
      <c r="J69" s="804">
        <f>130000000/(5*12)</f>
        <v>2166666.6666666665</v>
      </c>
    </row>
    <row r="70" spans="1:10">
      <c r="A70" s="815"/>
      <c r="B70" s="802" t="s">
        <v>2476</v>
      </c>
      <c r="C70" s="825" t="s">
        <v>240</v>
      </c>
      <c r="D70" s="814">
        <f t="shared" ca="1" si="10"/>
        <v>0</v>
      </c>
      <c r="E70" s="804">
        <f t="shared" si="19"/>
        <v>16666.666666666668</v>
      </c>
      <c r="F70" s="793">
        <f t="shared" ca="1" si="17"/>
        <v>0</v>
      </c>
      <c r="G70" s="809"/>
      <c r="H70" s="802"/>
      <c r="I70" s="803">
        <f t="shared" si="18"/>
        <v>50</v>
      </c>
      <c r="J70" s="804">
        <f>50000000/(5*12)</f>
        <v>833333.33333333337</v>
      </c>
    </row>
    <row r="71" spans="1:10" s="796" customFormat="1">
      <c r="A71" s="828" t="s">
        <v>2491</v>
      </c>
      <c r="B71" s="829" t="s">
        <v>2456</v>
      </c>
      <c r="C71" s="842" t="s">
        <v>240</v>
      </c>
      <c r="D71" s="843">
        <f ca="1">+TinhGia!$K$81</f>
        <v>7.04</v>
      </c>
      <c r="E71" s="840">
        <f ca="1">+F71/D71</f>
        <v>0</v>
      </c>
      <c r="F71" s="831">
        <f ca="1">+TinhGia!$BV$81</f>
        <v>0</v>
      </c>
      <c r="G71" s="828" t="s">
        <v>2395</v>
      </c>
      <c r="H71" s="829"/>
      <c r="I71" s="829"/>
      <c r="J71" s="829"/>
    </row>
    <row r="72" spans="1:10" s="796" customFormat="1" ht="15">
      <c r="A72" s="828" t="s">
        <v>2495</v>
      </c>
      <c r="B72" s="829" t="s">
        <v>2382</v>
      </c>
      <c r="C72" s="830"/>
      <c r="D72" s="829"/>
      <c r="E72" s="840"/>
      <c r="F72" s="831"/>
      <c r="G72" s="828" t="s">
        <v>2383</v>
      </c>
      <c r="H72" s="829"/>
      <c r="I72" s="829"/>
      <c r="J72" s="829"/>
    </row>
    <row r="73" spans="1:10" s="796" customFormat="1" ht="15">
      <c r="A73" s="844" t="s">
        <v>2480</v>
      </c>
      <c r="B73" s="845" t="s">
        <v>2384</v>
      </c>
      <c r="C73" s="846"/>
      <c r="D73" s="845"/>
      <c r="E73" s="847"/>
      <c r="F73" s="848">
        <f ca="1">SUM(F74:F76)</f>
        <v>0</v>
      </c>
      <c r="G73" s="844" t="s">
        <v>2385</v>
      </c>
      <c r="H73" s="845" t="s">
        <v>2511</v>
      </c>
      <c r="I73" s="844" t="s">
        <v>2377</v>
      </c>
      <c r="J73" s="846" t="s">
        <v>2512</v>
      </c>
    </row>
    <row r="74" spans="1:10">
      <c r="A74" s="809"/>
      <c r="B74" s="802" t="s">
        <v>2386</v>
      </c>
      <c r="C74" s="825"/>
      <c r="D74" s="802"/>
      <c r="E74" s="804"/>
      <c r="F74" s="794">
        <f ca="1">+$F$3*$I74*J74</f>
        <v>0</v>
      </c>
      <c r="G74" s="809" t="s">
        <v>2509</v>
      </c>
      <c r="H74" s="802" t="s">
        <v>2513</v>
      </c>
      <c r="I74" s="818">
        <v>5.3100000000000001E-2</v>
      </c>
      <c r="J74" s="802">
        <v>0</v>
      </c>
    </row>
    <row r="75" spans="1:10">
      <c r="A75" s="809"/>
      <c r="B75" s="802" t="s">
        <v>2388</v>
      </c>
      <c r="C75" s="825"/>
      <c r="D75" s="802"/>
      <c r="E75" s="804"/>
      <c r="F75" s="794">
        <f t="shared" ref="F75:F76" ca="1" si="20">+$F$3*$I75*J75</f>
        <v>0</v>
      </c>
      <c r="G75" s="809" t="s">
        <v>2389</v>
      </c>
      <c r="H75" s="802" t="s">
        <v>2513</v>
      </c>
      <c r="I75" s="818">
        <v>1.1599999999999999E-2</v>
      </c>
      <c r="J75" s="802">
        <v>0</v>
      </c>
    </row>
    <row r="76" spans="1:10">
      <c r="A76" s="809"/>
      <c r="B76" s="802" t="s">
        <v>2390</v>
      </c>
      <c r="C76" s="825"/>
      <c r="D76" s="802"/>
      <c r="E76" s="804"/>
      <c r="F76" s="794">
        <f t="shared" ca="1" si="20"/>
        <v>0</v>
      </c>
      <c r="G76" s="809" t="s">
        <v>2510</v>
      </c>
      <c r="H76" s="802" t="s">
        <v>2513</v>
      </c>
      <c r="I76" s="819">
        <v>0.02</v>
      </c>
      <c r="J76" s="802">
        <v>0</v>
      </c>
    </row>
    <row r="77" spans="1:10" s="796" customFormat="1" ht="15">
      <c r="A77" s="844" t="s">
        <v>2387</v>
      </c>
      <c r="B77" s="845" t="s">
        <v>2502</v>
      </c>
      <c r="C77" s="846"/>
      <c r="D77" s="845"/>
      <c r="E77" s="972">
        <f ca="1">+TinhGia!BD81</f>
        <v>10065205.444444444</v>
      </c>
      <c r="F77" s="848">
        <f ca="1">+F3+F73</f>
        <v>10768189.615873015</v>
      </c>
      <c r="G77" s="844" t="s">
        <v>2516</v>
      </c>
      <c r="H77" s="845" t="s">
        <v>2514</v>
      </c>
      <c r="I77" s="849"/>
      <c r="J77" s="845"/>
    </row>
    <row r="78" spans="1:10" ht="14.25" customHeight="1">
      <c r="A78" s="809"/>
      <c r="B78" s="802" t="s">
        <v>2734</v>
      </c>
      <c r="C78" s="825"/>
      <c r="D78" s="802"/>
      <c r="E78" s="973">
        <f ca="1">+TinhGia!BD83</f>
        <v>6031914.555555556</v>
      </c>
      <c r="F78" s="969">
        <f ca="1">+TinhGia!BD83</f>
        <v>6031914.555555556</v>
      </c>
      <c r="G78" s="809" t="s">
        <v>2392</v>
      </c>
      <c r="H78" s="802"/>
      <c r="I78" s="839">
        <f ca="1">+(TinhGia!BD81/TinhGia!N81)</f>
        <v>0.62527989133735995</v>
      </c>
      <c r="J78" s="802"/>
    </row>
    <row r="79" spans="1:10" ht="14.25" customHeight="1">
      <c r="A79" s="809"/>
      <c r="B79" s="802" t="s">
        <v>2519</v>
      </c>
      <c r="C79" s="825"/>
      <c r="D79" s="802"/>
      <c r="E79" s="973">
        <f ca="1">+TinhGia!N87</f>
        <v>15936148.800000001</v>
      </c>
      <c r="F79" s="969">
        <f ca="1">+TinhGia!N87</f>
        <v>15936148.800000001</v>
      </c>
      <c r="G79" s="809" t="s">
        <v>241</v>
      </c>
      <c r="H79" s="802" t="s">
        <v>2517</v>
      </c>
      <c r="I79" s="802"/>
      <c r="J79" s="802"/>
    </row>
    <row r="80" spans="1:10">
      <c r="A80" s="809"/>
      <c r="B80" s="802" t="s">
        <v>2520</v>
      </c>
      <c r="C80" s="825"/>
      <c r="D80" s="802"/>
      <c r="E80" s="973">
        <f ca="1">+E79*I80</f>
        <v>1593614.8800000001</v>
      </c>
      <c r="F80" s="794">
        <f ca="1">+F79*$I80</f>
        <v>1593614.8800000001</v>
      </c>
      <c r="G80" s="809" t="s">
        <v>2394</v>
      </c>
      <c r="H80" s="802" t="s">
        <v>2522</v>
      </c>
      <c r="I80" s="819">
        <v>0.1</v>
      </c>
      <c r="J80" s="802"/>
    </row>
    <row r="81" spans="1:10">
      <c r="A81" s="836"/>
      <c r="B81" s="837" t="s">
        <v>2521</v>
      </c>
      <c r="C81" s="838"/>
      <c r="D81" s="837"/>
      <c r="E81" s="974">
        <f ca="1">SUM(E79:E80)</f>
        <v>17529763.68</v>
      </c>
      <c r="F81" s="820">
        <f ca="1">+SUM(F79:F80)</f>
        <v>17529763.68</v>
      </c>
      <c r="G81" s="836" t="s">
        <v>2393</v>
      </c>
      <c r="H81" s="837" t="s">
        <v>2523</v>
      </c>
      <c r="I81" s="837"/>
      <c r="J81" s="837"/>
    </row>
    <row r="82" spans="1:10">
      <c r="F82" s="970">
        <f ca="1">+F79-F77</f>
        <v>5167959.1841269862</v>
      </c>
    </row>
    <row r="83" spans="1:10">
      <c r="F83" s="821">
        <f ca="1">+SUM(F77:F78)</f>
        <v>16800104.171428569</v>
      </c>
    </row>
    <row r="84" spans="1:10">
      <c r="F84" s="821">
        <f ca="1">+F83-F77</f>
        <v>6031914.5555555541</v>
      </c>
    </row>
  </sheetData>
  <autoFilter ref="A2:J81" xr:uid="{6524782D-0C21-4694-A913-00E7770C301B}"/>
  <mergeCells count="2">
    <mergeCell ref="A1:J1"/>
    <mergeCell ref="H2:J2"/>
  </mergeCells>
  <phoneticPr fontId="30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68E0B0-FE82-4466-9470-86F37763CCBD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A1:J81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>
    <tabColor rgb="FFFF0000"/>
  </sheetPr>
  <dimension ref="A1:L387"/>
  <sheetViews>
    <sheetView topLeftCell="A154" zoomScale="90" zoomScaleNormal="90" workbookViewId="0">
      <selection activeCell="G173" sqref="G173"/>
    </sheetView>
  </sheetViews>
  <sheetFormatPr defaultColWidth="9.1796875" defaultRowHeight="13"/>
  <cols>
    <col min="1" max="1" width="5.1796875" style="80" customWidth="1"/>
    <col min="2" max="2" width="22.453125" style="80" bestFit="1" customWidth="1"/>
    <col min="3" max="3" width="36" style="80" customWidth="1"/>
    <col min="4" max="4" width="24.81640625" style="80" bestFit="1" customWidth="1"/>
    <col min="5" max="5" width="23.26953125" style="80" customWidth="1"/>
    <col min="6" max="6" width="10.26953125" style="80" customWidth="1"/>
    <col min="7" max="7" width="23" style="80" bestFit="1" customWidth="1"/>
    <col min="8" max="8" width="16.1796875" style="80" customWidth="1"/>
    <col min="9" max="9" width="13.26953125" style="80" bestFit="1" customWidth="1"/>
    <col min="10" max="10" width="15.453125" style="80" customWidth="1"/>
    <col min="11" max="11" width="17.26953125" style="80" bestFit="1" customWidth="1"/>
    <col min="12" max="16384" width="9.1796875" style="80"/>
  </cols>
  <sheetData>
    <row r="1" spans="1:6" s="81" customFormat="1" ht="17.5">
      <c r="B1" s="11"/>
      <c r="C1" s="12" t="s">
        <v>10</v>
      </c>
      <c r="D1" s="11"/>
      <c r="E1" s="11"/>
      <c r="F1" s="11"/>
    </row>
    <row r="2" spans="1:6" s="84" customFormat="1" ht="17.5">
      <c r="A2" s="1246" t="s">
        <v>11</v>
      </c>
      <c r="B2" s="1246"/>
      <c r="C2" s="1246"/>
      <c r="D2" s="1246"/>
      <c r="E2" s="12"/>
      <c r="F2" s="12"/>
    </row>
    <row r="3" spans="1:6">
      <c r="A3" s="85" t="s">
        <v>9</v>
      </c>
      <c r="B3" s="85" t="s">
        <v>12</v>
      </c>
      <c r="C3" s="85" t="s">
        <v>13</v>
      </c>
      <c r="D3" s="13" t="s">
        <v>14</v>
      </c>
      <c r="E3" s="16"/>
    </row>
    <row r="4" spans="1:6" ht="94.5" customHeight="1">
      <c r="A4" s="14">
        <f>IF($B4&lt;&gt;"",MAX($A$3:A3)+1,"")</f>
        <v>1</v>
      </c>
      <c r="B4" s="86" t="str">
        <f>IF($D4="","",INDEX(NVLSX!B$6:B$6941,$D4))</f>
        <v>DQ1XF-55</v>
      </c>
      <c r="C4" s="86" t="str">
        <f>IF($D4="","",INDEX(NVLSX!C$6:C$6941,$D4))</f>
        <v>Cửa đi mở quay 1 cánh  - XINGFA 55</v>
      </c>
      <c r="D4" s="15">
        <f>IF(TYPE(MATCH(NVLSX!$W$5,NVLSX!$W$6:$W$6940,0))=16,"",MATCH(NVLSX!$W$5,NVLSX!$W$6:$W$6940,0))</f>
        <v>33</v>
      </c>
      <c r="E4" s="16"/>
    </row>
    <row r="5" spans="1:6" ht="95.15" customHeight="1">
      <c r="A5" s="14">
        <f ca="1">IF($B5&lt;&gt;"",MAX($A$3:A4)+1,"")</f>
        <v>2</v>
      </c>
      <c r="B5" s="86" t="str">
        <f ca="1">IF($D5="","",INDEX(NVLSX!B$6:B$6941,$D5))</f>
        <v>DQ2XF-55</v>
      </c>
      <c r="C5" s="86" t="str">
        <f ca="1">IF($D5="","",INDEX(NVLSX!C$6:C$6941,$D5))</f>
        <v>Cửa đi mở quay 2 cánh  - XINGFA 55</v>
      </c>
      <c r="D5" s="15">
        <f ca="1">IF(TYPE(MATCH(NVLSX!$W$5,OFFSET(NVLSX!$W$6,D4,0):'NVLSX'!$W$6940,0)+D4)=16,"",MATCH(NVLSX!$W$5,OFFSET(NVLSX!$W$6,D4,0):'NVLSX'!$W$6940,0)+D4)</f>
        <v>47</v>
      </c>
      <c r="E5" s="16"/>
    </row>
    <row r="6" spans="1:6" ht="95.15" customHeight="1">
      <c r="A6" s="14">
        <f ca="1">IF($B6&lt;&gt;"",MAX($A$3:A5)+1,"")</f>
        <v>3</v>
      </c>
      <c r="B6" s="86" t="str">
        <f ca="1">IF($D6="","",INDEX(NVLSX!B$6:B$6941,$D6))</f>
        <v>DQ3XF-55</v>
      </c>
      <c r="C6" s="86" t="str">
        <f ca="1">IF($D6="","",INDEX(NVLSX!C$6:C$6941,$D6))</f>
        <v>Cửa đi mở quay 3 cánh  - XINGFA 55</v>
      </c>
      <c r="D6" s="15">
        <f ca="1">IF(TYPE(MATCH(NVLSX!$W$5,OFFSET(NVLSX!$W$6,D5,0):'NVLSX'!$W$6940,0)+D5)=16,"",MATCH(NVLSX!$W$5,OFFSET(NVLSX!$W$6,D5,0):'NVLSX'!$W$6940,0)+D5)</f>
        <v>62</v>
      </c>
      <c r="E6" s="16"/>
    </row>
    <row r="7" spans="1:6" ht="95.15" customHeight="1">
      <c r="A7" s="14">
        <f ca="1">IF($B7&lt;&gt;"",MAX($A$3:A6)+1,"")</f>
        <v>4</v>
      </c>
      <c r="B7" s="86" t="str">
        <f ca="1">IF($D7="","",INDEX(NVLSX!B$6:B$6941,$D7))</f>
        <v>DQ4XF-55</v>
      </c>
      <c r="C7" s="86" t="str">
        <f ca="1">IF($D7="","",INDEX(NVLSX!C$6:C$6941,$D7))</f>
        <v>Cửa đi mở quay 4 cánh  - XINGFA 55</v>
      </c>
      <c r="D7" s="15">
        <f ca="1">IF(TYPE(MATCH(NVLSX!$W$5,OFFSET(NVLSX!$W$6,D6,0):'NVLSX'!$W$6940,0)+D6)=16,"",MATCH(NVLSX!$W$5,OFFSET(NVLSX!$W$6,D6,0):'NVLSX'!$W$6940,0)+D6)</f>
        <v>80</v>
      </c>
      <c r="E7" s="16"/>
    </row>
    <row r="8" spans="1:6" ht="95.15" customHeight="1">
      <c r="A8" s="14">
        <f ca="1">IF($B8&lt;&gt;"",MAX($A$3:A7)+1,"")</f>
        <v>5</v>
      </c>
      <c r="B8" s="86" t="str">
        <f ca="1">IF($D8="","",INDEX(NVLSX!B$6:B$6941,$D8))</f>
        <v>DT2XF-93</v>
      </c>
      <c r="C8" s="86" t="str">
        <f ca="1">IF($D8="","",INDEX(NVLSX!C$6:C$6941,$D8))</f>
        <v>Cửa đi mở trượt 2 cánh - XINGFA 93</v>
      </c>
      <c r="D8" s="15">
        <f ca="1">IF(TYPE(MATCH(NVLSX!$W$5,OFFSET(NVLSX!$W$6,D7,0):'NVLSX'!$W$6940,0)+D7)=16,"",MATCH(NVLSX!$W$5,OFFSET(NVLSX!$W$6,D7,0):'NVLSX'!$W$6940,0)+D7)</f>
        <v>101</v>
      </c>
      <c r="E8" s="16"/>
    </row>
    <row r="9" spans="1:6" ht="95.15" customHeight="1">
      <c r="A9" s="14">
        <f ca="1">IF($B9&lt;&gt;"",MAX($A$3:A8)+1,"")</f>
        <v>6</v>
      </c>
      <c r="B9" s="86" t="str">
        <f ca="1">IF($D9="","",INDEX(NVLSX!B$6:B$6941,$D9))</f>
        <v>DT2XF-93-FIX</v>
      </c>
      <c r="C9" s="86" t="str">
        <f ca="1">IF($D9="","",INDEX(NVLSX!C$6:C$6941,$D9))</f>
        <v>Cửa đi mở trượt 2 cánh - XINGFA 93 - Liền fix</v>
      </c>
      <c r="D9" s="15">
        <f ca="1">IF(TYPE(MATCH(NVLSX!$W$5,OFFSET(NVLSX!$W$6,D8,0):'NVLSX'!$W$6940,0)+D8)=16,"",MATCH(NVLSX!$W$5,OFFSET(NVLSX!$W$6,D8,0):'NVLSX'!$W$6940,0)+D8)</f>
        <v>108</v>
      </c>
      <c r="E9" s="16"/>
    </row>
    <row r="10" spans="1:6" ht="95.15" customHeight="1">
      <c r="A10" s="14">
        <f ca="1">IF($B10&lt;&gt;"",MAX($A$3:A9)+1,"")</f>
        <v>7</v>
      </c>
      <c r="B10" s="86" t="str">
        <f ca="1">IF($D10="","",INDEX(NVLSX!B$6:B$6941,$D10))</f>
        <v>DT3XF-93</v>
      </c>
      <c r="C10" s="86" t="str">
        <f ca="1">IF($D10="","",INDEX(NVLSX!C$6:C$6941,$D10))</f>
        <v>Cửa đi mở trượt 3 cánh 3 ray - XINGFA 93</v>
      </c>
      <c r="D10" s="15">
        <f ca="1">IF(TYPE(MATCH(NVLSX!$W$5,OFFSET(NVLSX!$W$6,D9,0):'NVLSX'!$W$6940,0)+D9)=16,"",MATCH(NVLSX!$W$5,OFFSET(NVLSX!$W$6,D9,0):'NVLSX'!$W$6940,0)+D9)</f>
        <v>119</v>
      </c>
    </row>
    <row r="11" spans="1:6" ht="95.15" customHeight="1">
      <c r="A11" s="14">
        <f ca="1">IF($B11&lt;&gt;"",MAX($A$3:A10)+1,"")</f>
        <v>8</v>
      </c>
      <c r="B11" s="86" t="str">
        <f ca="1">IF($D11="","",INDEX(NVLSX!B$6:B$6941,$D11))</f>
        <v>DT3XF-93-2R</v>
      </c>
      <c r="C11" s="86" t="str">
        <f ca="1">IF($D11="","",INDEX(NVLSX!C$6:C$6941,$D11))</f>
        <v>Cửa đi mở trượt 3 cánh 2 ray - XINGFA 93</v>
      </c>
      <c r="D11" s="15">
        <f ca="1">IF(TYPE(MATCH(NVLSX!$W$5,OFFSET(NVLSX!$W$6,D10,0):'NVLSX'!$W$6940,0)+D10)=16,"",MATCH(NVLSX!$W$5,OFFSET(NVLSX!$W$6,D10,0):'NVLSX'!$W$6940,0)+D10)</f>
        <v>128</v>
      </c>
    </row>
    <row r="12" spans="1:6" ht="95.15" customHeight="1">
      <c r="A12" s="14">
        <f ca="1">IF($B12&lt;&gt;"",MAX($A$3:A11)+1,"")</f>
        <v>9</v>
      </c>
      <c r="B12" s="86" t="str">
        <f ca="1">IF($D12="","",INDEX(NVLSX!B$6:B$6941,$D12))</f>
        <v>DT4XF-93</v>
      </c>
      <c r="C12" s="86" t="str">
        <f ca="1">IF($D12="","",INDEX(NVLSX!C$6:C$6941,$D12))</f>
        <v>Cửa đi mở trượt 4 cánh - XINGFA 93</v>
      </c>
      <c r="D12" s="15">
        <f ca="1">IF(TYPE(MATCH(NVLSX!$W$5,OFFSET(NVLSX!$W$6,D11,0):'NVLSX'!$W$6940,0)+D11)=16,"",MATCH(NVLSX!$W$5,OFFSET(NVLSX!$W$6,D11,0):'NVLSX'!$W$6940,0)+D11)</f>
        <v>137</v>
      </c>
    </row>
    <row r="13" spans="1:6" ht="95.15" customHeight="1">
      <c r="A13" s="14">
        <f ca="1">IF($B13&lt;&gt;"",MAX($A$3:A12)+1,"")</f>
        <v>10</v>
      </c>
      <c r="B13" s="86" t="str">
        <f ca="1">IF($D13="","",INDEX(NVLSX!B$6:B$6941,$D13))</f>
        <v>DT4XF-93-FIX</v>
      </c>
      <c r="C13" s="86" t="str">
        <f ca="1">IF($D13="","",INDEX(NVLSX!C$6:C$6941,$D13))</f>
        <v>Cửa đi mở trượt 4 cánh - XINGFA 93 - Liền fix</v>
      </c>
      <c r="D13" s="15">
        <f ca="1">IF(TYPE(MATCH(NVLSX!$W$5,OFFSET(NVLSX!$W$6,D12,0):'NVLSX'!$W$6940,0)+D12)=16,"",MATCH(NVLSX!$W$5,OFFSET(NVLSX!$W$6,D12,0):'NVLSX'!$W$6940,0)+D12)</f>
        <v>145</v>
      </c>
    </row>
    <row r="14" spans="1:6" ht="95.15" customHeight="1">
      <c r="A14" s="14">
        <f ca="1">IF($B14&lt;&gt;"",MAX($A$3:A13)+1,"")</f>
        <v>11</v>
      </c>
      <c r="B14" s="86" t="str">
        <f ca="1">IF($D14="","",INDEX(NVLSX!B$6:B$6941,$D14))</f>
        <v>DT2XF-55</v>
      </c>
      <c r="C14" s="86" t="str">
        <f ca="1">IF($D14="","",INDEX(NVLSX!C$6:C$6941,$D14))</f>
        <v>Cửa đi mở trượt 2 cánh - XINGFA 55</v>
      </c>
      <c r="D14" s="15">
        <f ca="1">IF(TYPE(MATCH(NVLSX!$W$5,OFFSET(NVLSX!$W$6,D13,0):'NVLSX'!$W$6940,0)+D13)=16,"",MATCH(NVLSX!$W$5,OFFSET(NVLSX!$W$6,D13,0):'NVLSX'!$W$6940,0)+D13)</f>
        <v>159</v>
      </c>
    </row>
    <row r="15" spans="1:6" ht="95.15" customHeight="1">
      <c r="A15" s="14">
        <f ca="1">IF($B15&lt;&gt;"",MAX($A$3:A14)+1,"")</f>
        <v>12</v>
      </c>
      <c r="B15" s="86" t="str">
        <f ca="1">IF($D15="","",INDEX(NVLSX!B$6:B$6941,$D15))</f>
        <v>DT2XF-55-TR</v>
      </c>
      <c r="C15" s="86" t="str">
        <f ca="1">IF($D15="","",INDEX(NVLSX!C$6:C$6941,$D15))</f>
        <v>Cửa đi mở trượt TREO 2 cánh - XINGFA 55</v>
      </c>
      <c r="D15" s="15">
        <f ca="1">IF(TYPE(MATCH(NVLSX!$W$5,OFFSET(NVLSX!$W$6,D14,0):'NVLSX'!$W$6940,0)+D14)=16,"",MATCH(NVLSX!$W$5,OFFSET(NVLSX!$W$6,D14,0):'NVLSX'!$W$6940,0)+D14)</f>
        <v>165</v>
      </c>
    </row>
    <row r="16" spans="1:6" ht="95.15" customHeight="1">
      <c r="A16" s="14">
        <f ca="1">IF($B16&lt;&gt;"",MAX($A$3:A15)+1,"")</f>
        <v>13</v>
      </c>
      <c r="B16" s="86" t="str">
        <f ca="1">IF($D16="","",INDEX(NVLSX!B$6:B$6941,$D16))</f>
        <v>DT1XF-55-TR</v>
      </c>
      <c r="C16" s="86" t="str">
        <f ca="1">IF($D16="","",INDEX(NVLSX!C$6:C$6941,$D16))</f>
        <v>Cửa đi mở trượt TREO 1 cánh - XINGFA 55</v>
      </c>
      <c r="D16" s="15">
        <f ca="1">IF(TYPE(MATCH(NVLSX!$W$5,OFFSET(NVLSX!$W$6,D15,0):'NVLSX'!$W$6940,0)+D15)=16,"",MATCH(NVLSX!$W$5,OFFSET(NVLSX!$W$6,D15,0):'NVLSX'!$W$6940,0)+D15)</f>
        <v>170</v>
      </c>
    </row>
    <row r="17" spans="1:4" ht="95.15" customHeight="1">
      <c r="A17" s="14">
        <f ca="1">IF($B17&lt;&gt;"",MAX($A$3:A16)+1,"")</f>
        <v>14</v>
      </c>
      <c r="B17" s="86" t="str">
        <f ca="1">IF($D17="","",INDEX(NVLSX!B$6:B$6941,$D17))</f>
        <v>DT3XF-55-2R</v>
      </c>
      <c r="C17" s="86" t="str">
        <f ca="1">IF($D17="","",INDEX(NVLSX!C$6:C$6941,$D17))</f>
        <v>Cửa đi mở trượt 3 cánh 2 ray - XINGFA 55</v>
      </c>
      <c r="D17" s="15">
        <f ca="1">IF(TYPE(MATCH(NVLSX!$W$5,OFFSET(NVLSX!$W$6,D16,0):'NVLSX'!$W$6940,0)+D16)=16,"",MATCH(NVLSX!$W$5,OFFSET(NVLSX!$W$6,D16,0):'NVLSX'!$W$6940,0)+D16)</f>
        <v>174</v>
      </c>
    </row>
    <row r="18" spans="1:4" ht="95.15" customHeight="1">
      <c r="A18" s="14">
        <f ca="1">IF($B18&lt;&gt;"",MAX($A$3:A17)+1,"")</f>
        <v>15</v>
      </c>
      <c r="B18" s="86" t="str">
        <f ca="1">IF($D18="","",INDEX(NVLSX!B$6:B$6941,$D18))</f>
        <v>DT4XF-55</v>
      </c>
      <c r="C18" s="86" t="str">
        <f ca="1">IF($D18="","",INDEX(NVLSX!C$6:C$6941,$D18))</f>
        <v>Cửa đi mở trượt 4 cánh - XINGFA 55</v>
      </c>
      <c r="D18" s="15">
        <f ca="1">IF(TYPE(MATCH(NVLSX!$W$5,OFFSET(NVLSX!$W$6,D17,0):'NVLSX'!$W$6940,0)+D17)=16,"",MATCH(NVLSX!$W$5,OFFSET(NVLSX!$W$6,D17,0):'NVLSX'!$W$6940,0)+D17)</f>
        <v>181</v>
      </c>
    </row>
    <row r="19" spans="1:4" ht="95.15" customHeight="1">
      <c r="A19" s="14">
        <f ca="1">IF($B19&lt;&gt;"",MAX($A$3:A18)+1,"")</f>
        <v>16</v>
      </c>
      <c r="B19" s="86" t="str">
        <f ca="1">IF($D19="","",INDEX(NVLSX!B$6:B$6941,$D19))</f>
        <v>DX3XF-63</v>
      </c>
      <c r="C19" s="86" t="str">
        <f ca="1">IF($D19="","",INDEX(NVLSX!C$6:C$6941,$D19))</f>
        <v>Cửa đi xếp trượt 3 cánh - XINGFA 63 (3:3:0)</v>
      </c>
      <c r="D19" s="15">
        <f ca="1">IF(TYPE(MATCH(NVLSX!$W$5,OFFSET(NVLSX!$W$6,D18,0):'NVLSX'!$W$6940,0)+D18)=16,"",MATCH(NVLSX!$W$5,OFFSET(NVLSX!$W$6,D18,0):'NVLSX'!$W$6940,0)+D18)</f>
        <v>188</v>
      </c>
    </row>
    <row r="20" spans="1:4" ht="95.15" customHeight="1">
      <c r="A20" s="14">
        <f ca="1">IF($B20&lt;&gt;"",MAX($A$3:A19)+1,"")</f>
        <v>17</v>
      </c>
      <c r="B20" s="86" t="str">
        <f ca="1">IF($D20="","",INDEX(NVLSX!B$6:B$6941,$D20))</f>
        <v>DX4XF-63</v>
      </c>
      <c r="C20" s="86" t="str">
        <f ca="1">IF($D20="","",INDEX(NVLSX!C$6:C$6941,$D20))</f>
        <v>Cửa đi xếp trượt 4 cánh - XINGFA 63 (4:3:1)</v>
      </c>
      <c r="D20" s="15">
        <f ca="1">IF(TYPE(MATCH(NVLSX!$W$5,OFFSET(NVLSX!$W$6,D19,0):'NVLSX'!$W$6940,0)+D19)=16,"",MATCH(NVLSX!$W$5,OFFSET(NVLSX!$W$6,D19,0):'NVLSX'!$W$6940,0)+D19)</f>
        <v>205</v>
      </c>
    </row>
    <row r="21" spans="1:4" ht="95.15" customHeight="1">
      <c r="A21" s="14">
        <f ca="1">IF($B21&lt;&gt;"",MAX($A$3:A20)+1,"")</f>
        <v>18</v>
      </c>
      <c r="B21" s="86" t="str">
        <f ca="1">IF($D21="","",INDEX(NVLSX!B$6:B$6941,$D21))</f>
        <v>DX5XF-63</v>
      </c>
      <c r="C21" s="86" t="str">
        <f ca="1">IF($D21="","",INDEX(NVLSX!C$6:C$6941,$D21))</f>
        <v>Cửa đi xếp trượt 5 cánh - XINGFA 63 (5:5:0)</v>
      </c>
      <c r="D21" s="15">
        <f ca="1">IF(TYPE(MATCH(NVLSX!$W$5,OFFSET(NVLSX!$W$6,D20,0):'NVLSX'!$W$6940,0)+D20)=16,"",MATCH(NVLSX!$W$5,OFFSET(NVLSX!$W$6,D20,0):'NVLSX'!$W$6940,0)+D20)</f>
        <v>222</v>
      </c>
    </row>
    <row r="22" spans="1:4" ht="95.15" customHeight="1">
      <c r="A22" s="14">
        <f ca="1">IF($B22&lt;&gt;"",MAX($A$3:A21)+1,"")</f>
        <v>19</v>
      </c>
      <c r="B22" s="86" t="str">
        <f ca="1">IF($D22="","",INDEX(NVLSX!B$6:B$6941,$D22))</f>
        <v>DX6XF-63</v>
      </c>
      <c r="C22" s="86" t="str">
        <f ca="1">IF($D22="","",INDEX(NVLSX!C$6:C$6941,$D22))</f>
        <v>Cửa đi xếp trượt 6 cánh - XINGFA 63 (6:3:3)</v>
      </c>
      <c r="D22" s="15">
        <f ca="1">IF(TYPE(MATCH(NVLSX!$W$5,OFFSET(NVLSX!$W$6,D21,0):'NVLSX'!$W$6940,0)+D21)=16,"",MATCH(NVLSX!$W$5,OFFSET(NVLSX!$W$6,D21,0):'NVLSX'!$W$6940,0)+D21)</f>
        <v>239</v>
      </c>
    </row>
    <row r="23" spans="1:4" ht="95.15" customHeight="1">
      <c r="A23" s="14">
        <f ca="1">IF($B23&lt;&gt;"",MAX($A$3:A22)+1,"")</f>
        <v>20</v>
      </c>
      <c r="B23" s="86" t="str">
        <f ca="1">IF($D23="","",INDEX(NVLSX!B$6:B$6941,$D23))</f>
        <v>SQ1XF-55</v>
      </c>
      <c r="C23" s="86" t="str">
        <f ca="1">IF($D23="","",INDEX(NVLSX!C$6:C$6941,$D23))</f>
        <v>Cửa sổ mở quay 1 cánh - XINGFA 55</v>
      </c>
      <c r="D23" s="15">
        <f ca="1">IF(TYPE(MATCH(NVLSX!$W$5,OFFSET(NVLSX!$W$6,D22,0):'NVLSX'!$W$6940,0)+D22)=16,"",MATCH(NVLSX!$W$5,OFFSET(NVLSX!$W$6,D22,0):'NVLSX'!$W$6940,0)+D22)</f>
        <v>256</v>
      </c>
    </row>
    <row r="24" spans="1:4" ht="95.15" customHeight="1">
      <c r="A24" s="14">
        <f ca="1">IF($B24&lt;&gt;"",MAX($A$3:A23)+1,"")</f>
        <v>21</v>
      </c>
      <c r="B24" s="86" t="str">
        <f ca="1">IF($D24="","",INDEX(NVLSX!B$6:B$6941,$D24))</f>
        <v>SQ2XF-55</v>
      </c>
      <c r="C24" s="86" t="str">
        <f ca="1">IF($D24="","",INDEX(NVLSX!C$6:C$6941,$D24))</f>
        <v>Cửa sổ mở quay 2 cánh - XINGFA 55</v>
      </c>
      <c r="D24" s="15">
        <f ca="1">IF(TYPE(MATCH(NVLSX!$W$5,OFFSET(NVLSX!$W$6,D23,0):'NVLSX'!$W$6940,0)+D23)=16,"",MATCH(NVLSX!$W$5,OFFSET(NVLSX!$W$6,D23,0):'NVLSX'!$W$6940,0)+D23)</f>
        <v>266</v>
      </c>
    </row>
    <row r="25" spans="1:4" ht="95.15" customHeight="1">
      <c r="A25" s="14">
        <f ca="1">IF($B25&lt;&gt;"",MAX($A$3:A24)+1,"")</f>
        <v>22</v>
      </c>
      <c r="B25" s="86" t="str">
        <f ca="1">IF($D25="","",INDEX(NVLSX!B$6:B$6941,$D25))</f>
        <v>SQ3XF-55</v>
      </c>
      <c r="C25" s="86" t="str">
        <f ca="1">IF($D25="","",INDEX(NVLSX!C$6:C$6941,$D25))</f>
        <v>Cửa sổ mở quay 3 cánh - XINGFA 55</v>
      </c>
      <c r="D25" s="15">
        <f ca="1">IF(TYPE(MATCH(NVLSX!$W$5,OFFSET(NVLSX!$W$6,D24,0):'NVLSX'!$W$6940,0)+D24)=16,"",MATCH(NVLSX!$W$5,OFFSET(NVLSX!$W$6,D24,0):'NVLSX'!$W$6940,0)+D24)</f>
        <v>277</v>
      </c>
    </row>
    <row r="26" spans="1:4" ht="95.15" customHeight="1">
      <c r="A26" s="14">
        <f ca="1">IF($B26&lt;&gt;"",MAX($A$3:A25)+1,"")</f>
        <v>23</v>
      </c>
      <c r="B26" s="86" t="str">
        <f ca="1">IF($D26="","",INDEX(NVLSX!B$6:B$6941,$D26))</f>
        <v>SQ4XF-55</v>
      </c>
      <c r="C26" s="86" t="str">
        <f ca="1">IF($D26="","",INDEX(NVLSX!C$6:C$6941,$D26))</f>
        <v>Cửa sổ mở quay 4 cánh - XINGFA 55</v>
      </c>
      <c r="D26" s="15">
        <f ca="1">IF(TYPE(MATCH(NVLSX!$W$5,OFFSET(NVLSX!$W$6,D25,0):'NVLSX'!$W$6940,0)+D25)=16,"",MATCH(NVLSX!$W$5,OFFSET(NVLSX!$W$6,D25,0):'NVLSX'!$W$6940,0)+D25)</f>
        <v>289</v>
      </c>
    </row>
    <row r="27" spans="1:4" ht="95.15" customHeight="1">
      <c r="A27" s="14">
        <f ca="1">IF($B27&lt;&gt;"",MAX($A$3:A26)+1,"")</f>
        <v>24</v>
      </c>
      <c r="B27" s="86" t="str">
        <f ca="1">IF($D27="","",INDEX(NVLSX!B$6:B$6941,$D27))</f>
        <v>SH1XF-55</v>
      </c>
      <c r="C27" s="86" t="str">
        <f ca="1">IF($D27="","",INDEX(NVLSX!C$6:C$6941,$D27))</f>
        <v>Cửa sổ mở hất 1 cánh - XINGFA 55</v>
      </c>
      <c r="D27" s="15">
        <f ca="1">IF(TYPE(MATCH(NVLSX!$W$5,OFFSET(NVLSX!$W$6,D26,0):'NVLSX'!$W$6940,0)+D26)=16,"",MATCH(NVLSX!$W$5,OFFSET(NVLSX!$W$6,D26,0):'NVLSX'!$W$6940,0)+D26)</f>
        <v>301</v>
      </c>
    </row>
    <row r="28" spans="1:4" ht="95.15" customHeight="1">
      <c r="A28" s="14">
        <f ca="1">IF($B28&lt;&gt;"",MAX($A$3:A27)+1,"")</f>
        <v>25</v>
      </c>
      <c r="B28" s="86" t="str">
        <f ca="1">IF($D28="","",INDEX(NVLSX!B$6:B$6941,$D28))</f>
        <v>SH2XF-55</v>
      </c>
      <c r="C28" s="86" t="str">
        <f ca="1">IF($D28="","",INDEX(NVLSX!C$6:C$6941,$D28))</f>
        <v>Cửa sổ mở hất 2 cánh - XINGFA 55</v>
      </c>
      <c r="D28" s="15">
        <f ca="1">IF(TYPE(MATCH(NVLSX!$W$5,OFFSET(NVLSX!$W$6,D27,0):'NVLSX'!$W$6940,0)+D27)=16,"",MATCH(NVLSX!$W$5,OFFSET(NVLSX!$W$6,D27,0):'NVLSX'!$W$6940,0)+D27)</f>
        <v>311</v>
      </c>
    </row>
    <row r="29" spans="1:4" ht="95.15" customHeight="1">
      <c r="A29" s="14">
        <f ca="1">IF($B29&lt;&gt;"",MAX($A$3:A28)+1,"")</f>
        <v>26</v>
      </c>
      <c r="B29" s="86" t="str">
        <f ca="1">IF($D29="","",INDEX(NVLSX!B$6:B$6941,$D29))</f>
        <v>ST2XF-93</v>
      </c>
      <c r="C29" s="86" t="str">
        <f ca="1">IF($D29="","",INDEX(NVLSX!C$6:C$6941,$D29))</f>
        <v>Cửa sổ mở trượt 2 cánh  - XINGFA 93</v>
      </c>
      <c r="D29" s="15">
        <f ca="1">IF(TYPE(MATCH(NVLSX!$W$5,OFFSET(NVLSX!$W$6,D28,0):'NVLSX'!$W$6940,0)+D28)=16,"",MATCH(NVLSX!$W$5,OFFSET(NVLSX!$W$6,D28,0):'NVLSX'!$W$6940,0)+D28)</f>
        <v>322</v>
      </c>
    </row>
    <row r="30" spans="1:4" ht="95.15" customHeight="1">
      <c r="A30" s="14">
        <f ca="1">IF($B30&lt;&gt;"",MAX($A$3:A29)+1,"")</f>
        <v>27</v>
      </c>
      <c r="B30" s="86" t="str">
        <f ca="1">IF($D30="","",INDEX(NVLSX!B$6:B$6941,$D30))</f>
        <v>ST3XF-93</v>
      </c>
      <c r="C30" s="86" t="str">
        <f ca="1">IF($D30="","",INDEX(NVLSX!C$6:C$6941,$D30))</f>
        <v>Cửa sổ mở trượt 3 cánh 3 ray - XINGFA 93</v>
      </c>
      <c r="D30" s="15">
        <f ca="1">IF(TYPE(MATCH(NVLSX!$W$5,OFFSET(NVLSX!$W$6,D29,0):'NVLSX'!$W$6940,0)+D29)=16,"",MATCH(NVLSX!$W$5,OFFSET(NVLSX!$W$6,D29,0):'NVLSX'!$W$6940,0)+D29)</f>
        <v>329</v>
      </c>
    </row>
    <row r="31" spans="1:4" ht="95.15" customHeight="1">
      <c r="A31" s="14">
        <f ca="1">IF($B31&lt;&gt;"",MAX($A$3:A30)+1,"")</f>
        <v>28</v>
      </c>
      <c r="B31" s="86" t="str">
        <f ca="1">IF($D31="","",INDEX(NVLSX!B$6:B$6941,$D31))</f>
        <v>ST3XF-93-2R</v>
      </c>
      <c r="C31" s="86" t="str">
        <f ca="1">IF($D31="","",INDEX(NVLSX!C$6:C$6941,$D31))</f>
        <v>Cửa đi mở trượt 3 cánh 2 ray - XINGFA 93</v>
      </c>
      <c r="D31" s="15">
        <f ca="1">IF(TYPE(MATCH(NVLSX!$W$5,OFFSET(NVLSX!$W$6,D30,0):'NVLSX'!$W$6940,0)+D30)=16,"",MATCH(NVLSX!$W$5,OFFSET(NVLSX!$W$6,D30,0):'NVLSX'!$W$6940,0)+D30)</f>
        <v>338</v>
      </c>
    </row>
    <row r="32" spans="1:4" ht="95.15" customHeight="1">
      <c r="A32" s="14">
        <f ca="1">IF($B32&lt;&gt;"",MAX($A$3:A31)+1,"")</f>
        <v>29</v>
      </c>
      <c r="B32" s="86" t="str">
        <f ca="1">IF($D32="","",INDEX(NVLSX!B$6:B$6941,$D32))</f>
        <v>ST4XF-93</v>
      </c>
      <c r="C32" s="86" t="str">
        <f ca="1">IF($D32="","",INDEX(NVLSX!C$6:C$6941,$D32))</f>
        <v>Cửa sổ mở trượt 4 cánh  - XINGFA 93</v>
      </c>
      <c r="D32" s="15">
        <f ca="1">IF(TYPE(MATCH(NVLSX!$W$5,OFFSET(NVLSX!$W$6,D31,0):'NVLSX'!$W$6940,0)+D31)=16,"",MATCH(NVLSX!$W$5,OFFSET(NVLSX!$W$6,D31,0):'NVLSX'!$W$6940,0)+D31)</f>
        <v>347</v>
      </c>
    </row>
    <row r="33" spans="1:4" ht="95.15" customHeight="1">
      <c r="A33" s="14">
        <f ca="1">IF($B33&lt;&gt;"",MAX($A$3:A32)+1,"")</f>
        <v>30</v>
      </c>
      <c r="B33" s="86" t="str">
        <f ca="1">IF($D33="","",INDEX(NVLSX!B$6:B$6941,$D33))</f>
        <v>ST2XF-55</v>
      </c>
      <c r="C33" s="86" t="str">
        <f ca="1">IF($D33="","",INDEX(NVLSX!C$6:C$6941,$D33))</f>
        <v>Cửa sổ mở trượt 2 cánh - XINGFA 55</v>
      </c>
      <c r="D33" s="15">
        <f ca="1">IF(TYPE(MATCH(NVLSX!$W$5,OFFSET(NVLSX!$W$6,D32,0):'NVLSX'!$W$6940,0)+D32)=16,"",MATCH(NVLSX!$W$5,OFFSET(NVLSX!$W$6,D32,0):'NVLSX'!$W$6940,0)+D32)</f>
        <v>355</v>
      </c>
    </row>
    <row r="34" spans="1:4" ht="95.15" customHeight="1">
      <c r="A34" s="14">
        <f ca="1">IF($B34&lt;&gt;"",MAX($A$3:A33)+1,"")</f>
        <v>31</v>
      </c>
      <c r="B34" s="86" t="str">
        <f ca="1">IF($D34="","",INDEX(NVLSX!B$6:B$6941,$D34))</f>
        <v>ST4XF-55</v>
      </c>
      <c r="C34" s="86" t="str">
        <f ca="1">IF($D34="","",INDEX(NVLSX!C$6:C$6941,$D34))</f>
        <v>Cửa sổ mở trượt 4 cánh  - XINGFA 55</v>
      </c>
      <c r="D34" s="15">
        <f ca="1">IF(TYPE(MATCH(NVLSX!$W$5,OFFSET(NVLSX!$W$6,D33,0):'NVLSX'!$W$6940,0)+D33)=16,"",MATCH(NVLSX!$W$5,OFFSET(NVLSX!$W$6,D33,0):'NVLSX'!$W$6940,0)+D33)</f>
        <v>361</v>
      </c>
    </row>
    <row r="35" spans="1:4" ht="95.15" customHeight="1">
      <c r="A35" s="14">
        <f ca="1">IF($B35&lt;&gt;"",MAX($A$3:A34)+1,"")</f>
        <v>32</v>
      </c>
      <c r="B35" s="86" t="str">
        <f ca="1">IF($D35="","",INDEX(NVLSX!B$6:B$6941,$D35))</f>
        <v>VK0XF-55</v>
      </c>
      <c r="C35" s="86" t="str">
        <f ca="1">IF($D35="","",INDEX(NVLSX!C$6:C$6941,$D35))</f>
        <v>Vách kính cố định - XINGFA 55</v>
      </c>
      <c r="D35" s="15">
        <f ca="1">IF(TYPE(MATCH(NVLSX!$W$5,OFFSET(NVLSX!$W$6,D34,0):'NVLSX'!$W$6940,0)+D34)=16,"",MATCH(NVLSX!$W$5,OFFSET(NVLSX!$W$6,D34,0):'NVLSX'!$W$6940,0)+D34)</f>
        <v>368</v>
      </c>
    </row>
    <row r="36" spans="1:4" ht="95.15" customHeight="1">
      <c r="A36" s="14">
        <f ca="1">IF($B36&lt;&gt;"",MAX($A$3:A35)+1,"")</f>
        <v>33</v>
      </c>
      <c r="B36" s="86" t="str">
        <f ca="1">IF($D36="","",INDEX(NVLSX!B$6:B$6941,$D36))</f>
        <v>VK0XF-93</v>
      </c>
      <c r="C36" s="86" t="str">
        <f ca="1">IF($D36="","",INDEX(NVLSX!C$6:C$6941,$D36))</f>
        <v>Vách kính cố định - XINGFA 93</v>
      </c>
      <c r="D36" s="15">
        <f ca="1">IF(TYPE(MATCH(NVLSX!$W$5,OFFSET(NVLSX!$W$6,D35,0):'NVLSX'!$W$6940,0)+D35)=16,"",MATCH(NVLSX!$W$5,OFFSET(NVLSX!$W$6,D35,0):'NVLSX'!$W$6940,0)+D35)</f>
        <v>376</v>
      </c>
    </row>
    <row r="37" spans="1:4" ht="95.15" customHeight="1">
      <c r="A37" s="14">
        <f ca="1">IF($B37&lt;&gt;"",MAX($A$3:A36)+1,"")</f>
        <v>34</v>
      </c>
      <c r="B37" s="86" t="str">
        <f ca="1">IF($D37="","",INDEX(NVLSX!B$6:B$6941,$D37))</f>
        <v>LV0XF-55</v>
      </c>
      <c r="C37" s="86" t="str">
        <f ca="1">IF($D37="","",INDEX(NVLSX!C$6:C$6941,$D37))</f>
        <v>Lá sách - XINGFA 55</v>
      </c>
      <c r="D37" s="15">
        <f ca="1">IF(TYPE(MATCH(NVLSX!$W$5,OFFSET(NVLSX!$W$6,D36,0):'NVLSX'!$W$6940,0)+D36)=16,"",MATCH(NVLSX!$W$5,OFFSET(NVLSX!$W$6,D36,0):'NVLSX'!$W$6940,0)+D36)</f>
        <v>380</v>
      </c>
    </row>
    <row r="38" spans="1:4" ht="95.15" customHeight="1">
      <c r="A38" s="14">
        <f ca="1">IF($B38&lt;&gt;"",MAX($A$3:A37)+1,"")</f>
        <v>35</v>
      </c>
      <c r="B38" s="86" t="str">
        <f ca="1">IF($D38="","",INDEX(NVLSX!B$6:B$6941,$D38))</f>
        <v>DQ1XW-55</v>
      </c>
      <c r="C38" s="86" t="str">
        <f ca="1">IF($D38="","",INDEX(NVLSX!C$6:C$6941,$D38))</f>
        <v>Cửa đi mở quay 1 cánh  - XINGFA WINDOW 55</v>
      </c>
      <c r="D38" s="15">
        <f ca="1">IF(TYPE(MATCH(NVLSX!$W$5,OFFSET(NVLSX!$W$6,D37,0):'NVLSX'!$W$6940,0)+D37)=16,"",MATCH(NVLSX!$W$5,OFFSET(NVLSX!$W$6,D37,0):'NVLSX'!$W$6940,0)+D37)</f>
        <v>387</v>
      </c>
    </row>
    <row r="39" spans="1:4" ht="95.15" customHeight="1">
      <c r="A39" s="14">
        <f ca="1">IF($B39&lt;&gt;"",MAX($A$3:A38)+1,"")</f>
        <v>36</v>
      </c>
      <c r="B39" s="86" t="str">
        <f ca="1">IF($D39="","",INDEX(NVLSX!B$6:B$6941,$D39))</f>
        <v>DQ2XW-55</v>
      </c>
      <c r="C39" s="86" t="str">
        <f ca="1">IF($D39="","",INDEX(NVLSX!C$6:C$6941,$D39))</f>
        <v>Cửa đi mở quay 2 cánh  - XINGFA WINDOW 55</v>
      </c>
      <c r="D39" s="15">
        <f ca="1">IF(TYPE(MATCH(NVLSX!$W$5,OFFSET(NVLSX!$W$6,D38,0):'NVLSX'!$W$6940,0)+D38)=16,"",MATCH(NVLSX!$W$5,OFFSET(NVLSX!$W$6,D38,0):'NVLSX'!$W$6940,0)+D38)</f>
        <v>401</v>
      </c>
    </row>
    <row r="40" spans="1:4" ht="95.15" customHeight="1">
      <c r="A40" s="14">
        <f ca="1">IF($B40&lt;&gt;"",MAX($A$3:A39)+1,"")</f>
        <v>37</v>
      </c>
      <c r="B40" s="86" t="str">
        <f ca="1">IF($D40="","",INDEX(NVLSX!B$6:B$6941,$D40))</f>
        <v>DQ3XW-55</v>
      </c>
      <c r="C40" s="86" t="str">
        <f ca="1">IF($D40="","",INDEX(NVLSX!C$6:C$6941,$D40))</f>
        <v>Cửa đi mở quay 3 cánh  - XINGFA WINDOW 55</v>
      </c>
      <c r="D40" s="15">
        <f ca="1">IF(TYPE(MATCH(NVLSX!$W$5,OFFSET(NVLSX!$W$6,D39,0):'NVLSX'!$W$6940,0)+D39)=16,"",MATCH(NVLSX!$W$5,OFFSET(NVLSX!$W$6,D39,0):'NVLSX'!$W$6940,0)+D39)</f>
        <v>416</v>
      </c>
    </row>
    <row r="41" spans="1:4" ht="95.15" customHeight="1">
      <c r="A41" s="14">
        <f ca="1">IF($B41&lt;&gt;"",MAX($A$3:A40)+1,"")</f>
        <v>38</v>
      </c>
      <c r="B41" s="86" t="str">
        <f ca="1">IF($D41="","",INDEX(NVLSX!B$6:B$6941,$D41))</f>
        <v>DQ4XW-55</v>
      </c>
      <c r="C41" s="86" t="str">
        <f ca="1">IF($D41="","",INDEX(NVLSX!C$6:C$6941,$D41))</f>
        <v>Cửa đi mở quay 4 cánh  - XINGFA WINDOW 55</v>
      </c>
      <c r="D41" s="15">
        <f ca="1">IF(TYPE(MATCH(NVLSX!$W$5,OFFSET(NVLSX!$W$6,D40,0):'NVLSX'!$W$6940,0)+D40)=16,"",MATCH(NVLSX!$W$5,OFFSET(NVLSX!$W$6,D40,0):'NVLSX'!$W$6940,0)+D40)</f>
        <v>434</v>
      </c>
    </row>
    <row r="42" spans="1:4" ht="95.15" customHeight="1">
      <c r="A42" s="14">
        <f ca="1">IF($B42&lt;&gt;"",MAX($A$3:A41)+1,"")</f>
        <v>39</v>
      </c>
      <c r="B42" s="86" t="str">
        <f ca="1">IF($D42="","",INDEX(NVLSX!B$6:B$6941,$D42))</f>
        <v>DT2XW-93</v>
      </c>
      <c r="C42" s="86" t="str">
        <f ca="1">IF($D42="","",INDEX(NVLSX!C$6:C$6941,$D42))</f>
        <v>Cửa đi mở trượt 2 cánh - XINGFA WINDOW 93</v>
      </c>
      <c r="D42" s="15">
        <f ca="1">IF(TYPE(MATCH(NVLSX!$W$5,OFFSET(NVLSX!$W$6,D41,0):'NVLSX'!$W$6940,0)+D41)=16,"",MATCH(NVLSX!$W$5,OFFSET(NVLSX!$W$6,D41,0):'NVLSX'!$W$6940,0)+D41)</f>
        <v>455</v>
      </c>
    </row>
    <row r="43" spans="1:4" ht="95.15" customHeight="1">
      <c r="A43" s="14">
        <f ca="1">IF($B43&lt;&gt;"",MAX($A$3:A42)+1,"")</f>
        <v>40</v>
      </c>
      <c r="B43" s="86" t="str">
        <f ca="1">IF($D43="","",INDEX(NVLSX!B$6:B$6941,$D43))</f>
        <v>DT2XW-93-FIX</v>
      </c>
      <c r="C43" s="86" t="str">
        <f ca="1">IF($D43="","",INDEX(NVLSX!C$6:C$6941,$D43))</f>
        <v>Cửa đi mở trượt 2 cánh - XINGFA WINDOW 93 - Liền fix</v>
      </c>
      <c r="D43" s="15">
        <f ca="1">IF(TYPE(MATCH(NVLSX!$W$5,OFFSET(NVLSX!$W$6,D42,0):'NVLSX'!$W$6940,0)+D42)=16,"",MATCH(NVLSX!$W$5,OFFSET(NVLSX!$W$6,D42,0):'NVLSX'!$W$6940,0)+D42)</f>
        <v>462</v>
      </c>
    </row>
    <row r="44" spans="1:4" ht="95.15" customHeight="1">
      <c r="A44" s="14">
        <f ca="1">IF($B44&lt;&gt;"",MAX($A$3:A43)+1,"")</f>
        <v>41</v>
      </c>
      <c r="B44" s="86" t="str">
        <f ca="1">IF($D44="","",INDEX(NVLSX!B$6:B$6941,$D44))</f>
        <v>DT4XW-93</v>
      </c>
      <c r="C44" s="86" t="str">
        <f ca="1">IF($D44="","",INDEX(NVLSX!C$6:C$6941,$D44))</f>
        <v>Cửa đi mở trượt 4 cánh - XINGFA WINDOW 93</v>
      </c>
      <c r="D44" s="15">
        <f ca="1">IF(TYPE(MATCH(NVLSX!$W$5,OFFSET(NVLSX!$W$6,D43,0):'NVLSX'!$W$6940,0)+D43)=16,"",MATCH(NVLSX!$W$5,OFFSET(NVLSX!$W$6,D43,0):'NVLSX'!$W$6940,0)+D43)</f>
        <v>474</v>
      </c>
    </row>
    <row r="45" spans="1:4" ht="95.15" customHeight="1">
      <c r="A45" s="14">
        <f ca="1">IF($B45&lt;&gt;"",MAX($A$3:A44)+1,"")</f>
        <v>42</v>
      </c>
      <c r="B45" s="86" t="str">
        <f ca="1">IF($D45="","",INDEX(NVLSX!B$6:B$6941,$D45))</f>
        <v>DT4XW-93-FIX</v>
      </c>
      <c r="C45" s="86" t="str">
        <f ca="1">IF($D45="","",INDEX(NVLSX!C$6:C$6941,$D45))</f>
        <v>Cửa đi mở trượt 4 cánh - XINGFA WINDOW 93 - Liền fix</v>
      </c>
      <c r="D45" s="15">
        <f ca="1">IF(TYPE(MATCH(NVLSX!$W$5,OFFSET(NVLSX!$W$6,D44,0):'NVLSX'!$W$6940,0)+D44)=16,"",MATCH(NVLSX!$W$5,OFFSET(NVLSX!$W$6,D44,0):'NVLSX'!$W$6940,0)+D44)</f>
        <v>482</v>
      </c>
    </row>
    <row r="46" spans="1:4" ht="95.15" customHeight="1">
      <c r="A46" s="14">
        <f ca="1">IF($B46&lt;&gt;"",MAX($A$3:A45)+1,"")</f>
        <v>43</v>
      </c>
      <c r="B46" s="86" t="str">
        <f ca="1">IF($D46="","",INDEX(NVLSX!B$6:B$6941,$D46))</f>
        <v>DT2XW-55</v>
      </c>
      <c r="C46" s="86" t="str">
        <f ca="1">IF($D46="","",INDEX(NVLSX!C$6:C$6941,$D46))</f>
        <v>Cửa đi mở trượt 2 cánh - XINGFA WINDOW 55</v>
      </c>
      <c r="D46" s="15">
        <f ca="1">IF(TYPE(MATCH(NVLSX!$W$5,OFFSET(NVLSX!$W$6,D45,0):'NVLSX'!$W$6940,0)+D45)=16,"",MATCH(NVLSX!$W$5,OFFSET(NVLSX!$W$6,D45,0):'NVLSX'!$W$6940,0)+D45)</f>
        <v>497</v>
      </c>
    </row>
    <row r="47" spans="1:4" ht="95.15" customHeight="1">
      <c r="A47" s="14">
        <f ca="1">IF($B47&lt;&gt;"",MAX($A$3:A46)+1,"")</f>
        <v>44</v>
      </c>
      <c r="B47" s="86" t="str">
        <f ca="1">IF($D47="","",INDEX(NVLSX!B$6:B$6941,$D47))</f>
        <v>DT2XW-55-TR</v>
      </c>
      <c r="C47" s="86" t="str">
        <f ca="1">IF($D47="","",INDEX(NVLSX!C$6:C$6941,$D47))</f>
        <v>Cửa đi mở trượt TREO 2 cánh - XINGFA WINDOW 55</v>
      </c>
      <c r="D47" s="15">
        <f ca="1">IF(TYPE(MATCH(NVLSX!$W$5,OFFSET(NVLSX!$W$6,D46,0):'NVLSX'!$W$6940,0)+D46)=16,"",MATCH(NVLSX!$W$5,OFFSET(NVLSX!$W$6,D46,0):'NVLSX'!$W$6940,0)+D46)</f>
        <v>503</v>
      </c>
    </row>
    <row r="48" spans="1:4" ht="95.15" customHeight="1">
      <c r="A48" s="14">
        <f ca="1">IF($B48&lt;&gt;"",MAX($A$3:A47)+1,"")</f>
        <v>45</v>
      </c>
      <c r="B48" s="86" t="str">
        <f ca="1">IF($D48="","",INDEX(NVLSX!B$6:B$6941,$D48))</f>
        <v>DT1XW-55-TR</v>
      </c>
      <c r="C48" s="86" t="str">
        <f ca="1">IF($D48="","",INDEX(NVLSX!C$6:C$6941,$D48))</f>
        <v>Cửa đi mở trượt TREO 1 cánh - XINGFA WINDOW 55</v>
      </c>
      <c r="D48" s="15">
        <f ca="1">IF(TYPE(MATCH(NVLSX!$W$5,OFFSET(NVLSX!$W$6,D47,0):'NVLSX'!$W$6940,0)+D47)=16,"",MATCH(NVLSX!$W$5,OFFSET(NVLSX!$W$6,D47,0):'NVLSX'!$W$6940,0)+D47)</f>
        <v>508</v>
      </c>
    </row>
    <row r="49" spans="1:4" ht="95.15" customHeight="1">
      <c r="A49" s="14">
        <f ca="1">IF($B49&lt;&gt;"",MAX($A$3:A48)+1,"")</f>
        <v>46</v>
      </c>
      <c r="B49" s="86" t="str">
        <f ca="1">IF($D49="","",INDEX(NVLSX!B$6:B$6941,$D49))</f>
        <v>DT4XW-55</v>
      </c>
      <c r="C49" s="86" t="str">
        <f ca="1">IF($D49="","",INDEX(NVLSX!C$6:C$6941,$D49))</f>
        <v>Cửa đi mở trượt 4 cánh - XINGFA WINDOW 55</v>
      </c>
      <c r="D49" s="15">
        <f ca="1">IF(TYPE(MATCH(NVLSX!$W$5,OFFSET(NVLSX!$W$6,D48,0):'NVLSX'!$W$6940,0)+D48)=16,"",MATCH(NVLSX!$W$5,OFFSET(NVLSX!$W$6,D48,0):'NVLSX'!$W$6940,0)+D48)</f>
        <v>512</v>
      </c>
    </row>
    <row r="50" spans="1:4" ht="95.15" customHeight="1">
      <c r="A50" s="14">
        <f ca="1">IF($B50&lt;&gt;"",MAX($A$3:A49)+1,"")</f>
        <v>47</v>
      </c>
      <c r="B50" s="86" t="str">
        <f ca="1">IF($D50="","",INDEX(NVLSX!B$6:B$6941,$D50))</f>
        <v>DX3XW-63</v>
      </c>
      <c r="C50" s="86" t="str">
        <f ca="1">IF($D50="","",INDEX(NVLSX!C$6:C$6941,$D50))</f>
        <v>Cửa đi xếp trượt 3 cánh  - XINGFA WINDOW 63 (3:3:0)</v>
      </c>
      <c r="D50" s="15">
        <f ca="1">IF(TYPE(MATCH(NVLSX!$W$5,OFFSET(NVLSX!$W$6,D49,0):'NVLSX'!$W$6940,0)+D49)=16,"",MATCH(NVLSX!$W$5,OFFSET(NVLSX!$W$6,D49,0):'NVLSX'!$W$6940,0)+D49)</f>
        <v>519</v>
      </c>
    </row>
    <row r="51" spans="1:4" ht="95.15" customHeight="1">
      <c r="A51" s="14">
        <f ca="1">IF($B51&lt;&gt;"",MAX($A$3:A50)+1,"")</f>
        <v>48</v>
      </c>
      <c r="B51" s="86" t="str">
        <f ca="1">IF($D51="","",INDEX(NVLSX!B$6:B$6941,$D51))</f>
        <v>DX4XW-63</v>
      </c>
      <c r="C51" s="86" t="str">
        <f ca="1">IF($D51="","",INDEX(NVLSX!C$6:C$6941,$D51))</f>
        <v>Cửa đi xếp trượt 4 cánh  - XINGFA WINDOW 63 (4:3:1)</v>
      </c>
      <c r="D51" s="15">
        <f ca="1">IF(TYPE(MATCH(NVLSX!$W$5,OFFSET(NVLSX!$W$6,D50,0):'NVLSX'!$W$6940,0)+D50)=16,"",MATCH(NVLSX!$W$5,OFFSET(NVLSX!$W$6,D50,0):'NVLSX'!$W$6940,0)+D50)</f>
        <v>529</v>
      </c>
    </row>
    <row r="52" spans="1:4" ht="95.15" customHeight="1">
      <c r="A52" s="14">
        <f ca="1">IF($B52&lt;&gt;"",MAX($A$3:A51)+1,"")</f>
        <v>49</v>
      </c>
      <c r="B52" s="86" t="str">
        <f ca="1">IF($D52="","",INDEX(NVLSX!B$6:B$6941,$D52))</f>
        <v>DX5XW-63</v>
      </c>
      <c r="C52" s="86" t="str">
        <f ca="1">IF($D52="","",INDEX(NVLSX!C$6:C$6941,$D52))</f>
        <v>Cửa đi xếp trượt 5 cánh  - XINGFA WINDOW 63 (5:5:0)</v>
      </c>
      <c r="D52" s="15">
        <f ca="1">IF(TYPE(MATCH(NVLSX!$W$5,OFFSET(NVLSX!$W$6,D51,0):'NVLSX'!$W$6940,0)+D51)=16,"",MATCH(NVLSX!$W$5,OFFSET(NVLSX!$W$6,D51,0):'NVLSX'!$W$6940,0)+D51)</f>
        <v>539</v>
      </c>
    </row>
    <row r="53" spans="1:4" ht="95.15" customHeight="1">
      <c r="A53" s="14">
        <f ca="1">IF($B53&lt;&gt;"",MAX($A$3:A52)+1,"")</f>
        <v>50</v>
      </c>
      <c r="B53" s="86" t="str">
        <f ca="1">IF($D53="","",INDEX(NVLSX!B$6:B$6941,$D53))</f>
        <v>DX6XW-63</v>
      </c>
      <c r="C53" s="86" t="str">
        <f ca="1">IF($D53="","",INDEX(NVLSX!C$6:C$6941,$D53))</f>
        <v>Cửa đi xếp trượt 6 cánh  - XINGFA WINDOW 63 (6:3:3)</v>
      </c>
      <c r="D53" s="15">
        <f ca="1">IF(TYPE(MATCH(NVLSX!$W$5,OFFSET(NVLSX!$W$6,D52,0):'NVLSX'!$W$6940,0)+D52)=16,"",MATCH(NVLSX!$W$5,OFFSET(NVLSX!$W$6,D52,0):'NVLSX'!$W$6940,0)+D52)</f>
        <v>549</v>
      </c>
    </row>
    <row r="54" spans="1:4" ht="95.15" customHeight="1">
      <c r="A54" s="14">
        <f ca="1">IF($B54&lt;&gt;"",MAX($A$3:A53)+1,"")</f>
        <v>51</v>
      </c>
      <c r="B54" s="86" t="str">
        <f ca="1">IF($D54="","",INDEX(NVLSX!B$6:B$6941,$D54))</f>
        <v>SQ1XW-55</v>
      </c>
      <c r="C54" s="86" t="str">
        <f ca="1">IF($D54="","",INDEX(NVLSX!C$6:C$6941,$D54))</f>
        <v>Cửa sổ mở quay 1 cánh - XINGFA WINDOW 55</v>
      </c>
      <c r="D54" s="15">
        <f ca="1">IF(TYPE(MATCH(NVLSX!$W$5,OFFSET(NVLSX!$W$6,D53,0):'NVLSX'!$W$6940,0)+D53)=16,"",MATCH(NVLSX!$W$5,OFFSET(NVLSX!$W$6,D53,0):'NVLSX'!$W$6940,0)+D53)</f>
        <v>559</v>
      </c>
    </row>
    <row r="55" spans="1:4" ht="95.15" customHeight="1">
      <c r="A55" s="14">
        <f ca="1">IF($B55&lt;&gt;"",MAX($A$3:A54)+1,"")</f>
        <v>52</v>
      </c>
      <c r="B55" s="86" t="str">
        <f ca="1">IF($D55="","",INDEX(NVLSX!B$6:B$6941,$D55))</f>
        <v>SQ2XW-55</v>
      </c>
      <c r="C55" s="86" t="str">
        <f ca="1">IF($D55="","",INDEX(NVLSX!C$6:C$6941,$D55))</f>
        <v>Cửa sổ mở quay 2 cánh - XINGFA WINDOW 55</v>
      </c>
      <c r="D55" s="15">
        <f ca="1">IF(TYPE(MATCH(NVLSX!$W$5,OFFSET(NVLSX!$W$6,D54,0):'NVLSX'!$W$6940,0)+D54)=16,"",MATCH(NVLSX!$W$5,OFFSET(NVLSX!$W$6,D54,0):'NVLSX'!$W$6940,0)+D54)</f>
        <v>569</v>
      </c>
    </row>
    <row r="56" spans="1:4" ht="95.15" customHeight="1">
      <c r="A56" s="14">
        <f ca="1">IF($B56&lt;&gt;"",MAX($A$3:A55)+1,"")</f>
        <v>53</v>
      </c>
      <c r="B56" s="86" t="str">
        <f ca="1">IF($D56="","",INDEX(NVLSX!B$6:B$6941,$D56))</f>
        <v>SQ3XW-55</v>
      </c>
      <c r="C56" s="86" t="str">
        <f ca="1">IF($D56="","",INDEX(NVLSX!C$6:C$6941,$D56))</f>
        <v>Cửa sổ mở quay 3 cánh - XINGFA WINDOW 55</v>
      </c>
      <c r="D56" s="15">
        <f ca="1">IF(TYPE(MATCH(NVLSX!$W$5,OFFSET(NVLSX!$W$6,D55,0):'NVLSX'!$W$6940,0)+D55)=16,"",MATCH(NVLSX!$W$5,OFFSET(NVLSX!$W$6,D55,0):'NVLSX'!$W$6940,0)+D55)</f>
        <v>580</v>
      </c>
    </row>
    <row r="57" spans="1:4" ht="95.15" customHeight="1">
      <c r="A57" s="14">
        <f ca="1">IF($B57&lt;&gt;"",MAX($A$3:A56)+1,"")</f>
        <v>54</v>
      </c>
      <c r="B57" s="86" t="str">
        <f ca="1">IF($D57="","",INDEX(NVLSX!B$6:B$6941,$D57))</f>
        <v>SQ4XW-55</v>
      </c>
      <c r="C57" s="86" t="str">
        <f ca="1">IF($D57="","",INDEX(NVLSX!C$6:C$6941,$D57))</f>
        <v>Cửa sổ mở quay 4 cánh - XINGFA WINDOW 55</v>
      </c>
      <c r="D57" s="15">
        <f ca="1">IF(TYPE(MATCH(NVLSX!$W$5,OFFSET(NVLSX!$W$6,D56,0):'NVLSX'!$W$6940,0)+D56)=16,"",MATCH(NVLSX!$W$5,OFFSET(NVLSX!$W$6,D56,0):'NVLSX'!$W$6940,0)+D56)</f>
        <v>592</v>
      </c>
    </row>
    <row r="58" spans="1:4" ht="95.15" customHeight="1">
      <c r="A58" s="14">
        <f ca="1">IF($B58&lt;&gt;"",MAX($A$3:A57)+1,"")</f>
        <v>55</v>
      </c>
      <c r="B58" s="86" t="str">
        <f ca="1">IF($D58="","",INDEX(NVLSX!B$6:B$6941,$D58))</f>
        <v>SH1XW-55</v>
      </c>
      <c r="C58" s="86" t="str">
        <f ca="1">IF($D58="","",INDEX(NVLSX!C$6:C$6941,$D58))</f>
        <v>Cửa sổ mở hất 1 cánh - XINGFA WINDOW 55</v>
      </c>
      <c r="D58" s="15">
        <f ca="1">IF(TYPE(MATCH(NVLSX!$W$5,OFFSET(NVLSX!$W$6,D57,0):'NVLSX'!$W$6940,0)+D57)=16,"",MATCH(NVLSX!$W$5,OFFSET(NVLSX!$W$6,D57,0):'NVLSX'!$W$6940,0)+D57)</f>
        <v>604</v>
      </c>
    </row>
    <row r="59" spans="1:4" ht="95.15" customHeight="1">
      <c r="A59" s="14">
        <f ca="1">IF($B59&lt;&gt;"",MAX($A$3:A58)+1,"")</f>
        <v>56</v>
      </c>
      <c r="B59" s="86" t="str">
        <f ca="1">IF($D59="","",INDEX(NVLSX!B$6:B$6941,$D59))</f>
        <v>SH2XW-55</v>
      </c>
      <c r="C59" s="86" t="str">
        <f ca="1">IF($D59="","",INDEX(NVLSX!C$6:C$6941,$D59))</f>
        <v>Cửa sổ mở hất 2 cánh - XINGFA WINDOW 55</v>
      </c>
      <c r="D59" s="15">
        <f ca="1">IF(TYPE(MATCH(NVLSX!$W$5,OFFSET(NVLSX!$W$6,D58,0):'NVLSX'!$W$6940,0)+D58)=16,"",MATCH(NVLSX!$W$5,OFFSET(NVLSX!$W$6,D58,0):'NVLSX'!$W$6940,0)+D58)</f>
        <v>614</v>
      </c>
    </row>
    <row r="60" spans="1:4" ht="95.15" customHeight="1">
      <c r="A60" s="14">
        <f ca="1">IF($B60&lt;&gt;"",MAX($A$3:A59)+1,"")</f>
        <v>57</v>
      </c>
      <c r="B60" s="86" t="str">
        <f ca="1">IF($D60="","",INDEX(NVLSX!B$6:B$6941,$D60))</f>
        <v>ST2XW-93</v>
      </c>
      <c r="C60" s="86" t="str">
        <f ca="1">IF($D60="","",INDEX(NVLSX!C$6:C$6941,$D60))</f>
        <v>Cửa sổ mở trượt 2 cánh  - XINGFA WINDOW 93</v>
      </c>
      <c r="D60" s="15">
        <f ca="1">IF(TYPE(MATCH(NVLSX!$W$5,OFFSET(NVLSX!$W$6,D59,0):'NVLSX'!$W$6940,0)+D59)=16,"",MATCH(NVLSX!$W$5,OFFSET(NVLSX!$W$6,D59,0):'NVLSX'!$W$6940,0)+D59)</f>
        <v>625</v>
      </c>
    </row>
    <row r="61" spans="1:4" ht="95.15" customHeight="1">
      <c r="A61" s="14">
        <f ca="1">IF($B61&lt;&gt;"",MAX($A$3:A60)+1,"")</f>
        <v>58</v>
      </c>
      <c r="B61" s="86" t="str">
        <f ca="1">IF($D61="","",INDEX(NVLSX!B$6:B$6941,$D61))</f>
        <v>ST4XW-93</v>
      </c>
      <c r="C61" s="86" t="str">
        <f ca="1">IF($D61="","",INDEX(NVLSX!C$6:C$6941,$D61))</f>
        <v>Cửa sổ mở trượt 4 cánh  - XINGFA WINDOW 93</v>
      </c>
      <c r="D61" s="15">
        <f ca="1">IF(TYPE(MATCH(NVLSX!$W$5,OFFSET(NVLSX!$W$6,D60,0):'NVLSX'!$W$6940,0)+D60)=16,"",MATCH(NVLSX!$W$5,OFFSET(NVLSX!$W$6,D60,0):'NVLSX'!$W$6940,0)+D60)</f>
        <v>632</v>
      </c>
    </row>
    <row r="62" spans="1:4" ht="95.15" customHeight="1">
      <c r="A62" s="14">
        <f ca="1">IF($B62&lt;&gt;"",MAX($A$3:A61)+1,"")</f>
        <v>59</v>
      </c>
      <c r="B62" s="86" t="str">
        <f ca="1">IF($D62="","",INDEX(NVLSX!B$6:B$6941,$D62))</f>
        <v>ST2XW-55</v>
      </c>
      <c r="C62" s="86" t="str">
        <f ca="1">IF($D62="","",INDEX(NVLSX!C$6:C$6941,$D62))</f>
        <v>Cửa sổ mở trượt 2 cánh - XINGFA WINDOW 55</v>
      </c>
      <c r="D62" s="15">
        <f ca="1">IF(TYPE(MATCH(NVLSX!$W$5,OFFSET(NVLSX!$W$6,D61,0):'NVLSX'!$W$6940,0)+D61)=16,"",MATCH(NVLSX!$W$5,OFFSET(NVLSX!$W$6,D61,0):'NVLSX'!$W$6940,0)+D61)</f>
        <v>640</v>
      </c>
    </row>
    <row r="63" spans="1:4" ht="95.15" customHeight="1">
      <c r="A63" s="14">
        <f ca="1">IF($B63&lt;&gt;"",MAX($A$3:A62)+1,"")</f>
        <v>60</v>
      </c>
      <c r="B63" s="86" t="str">
        <f ca="1">IF($D63="","",INDEX(NVLSX!B$6:B$6941,$D63))</f>
        <v>ST4XW-55</v>
      </c>
      <c r="C63" s="86" t="str">
        <f ca="1">IF($D63="","",INDEX(NVLSX!C$6:C$6941,$D63))</f>
        <v>Cửa sổ mở trượt 4 cánh  - XINGFA WINDOW 55</v>
      </c>
      <c r="D63" s="15">
        <f ca="1">IF(TYPE(MATCH(NVLSX!$W$5,OFFSET(NVLSX!$W$6,D62,0):'NVLSX'!$W$6940,0)+D62)=16,"",MATCH(NVLSX!$W$5,OFFSET(NVLSX!$W$6,D62,0):'NVLSX'!$W$6940,0)+D62)</f>
        <v>646</v>
      </c>
    </row>
    <row r="64" spans="1:4" ht="95.15" customHeight="1">
      <c r="A64" s="14">
        <f ca="1">IF($B64&lt;&gt;"",MAX($A$3:A63)+1,"")</f>
        <v>61</v>
      </c>
      <c r="B64" s="86" t="str">
        <f ca="1">IF($D64="","",INDEX(NVLSX!B$6:B$6941,$D64))</f>
        <v>VK0XW-55</v>
      </c>
      <c r="C64" s="86" t="str">
        <f ca="1">IF($D64="","",INDEX(NVLSX!C$6:C$6941,$D64))</f>
        <v>Vách kính cố định - XINGFA WINDOW 55</v>
      </c>
      <c r="D64" s="15">
        <f ca="1">IF(TYPE(MATCH(NVLSX!$W$5,OFFSET(NVLSX!$W$6,D63,0):'NVLSX'!$W$6940,0)+D63)=16,"",MATCH(NVLSX!$W$5,OFFSET(NVLSX!$W$6,D63,0):'NVLSX'!$W$6940,0)+D63)</f>
        <v>653</v>
      </c>
    </row>
    <row r="65" spans="1:4" ht="95.15" customHeight="1">
      <c r="A65" s="14">
        <f ca="1">IF($B65&lt;&gt;"",MAX($A$3:A64)+1,"")</f>
        <v>62</v>
      </c>
      <c r="B65" s="86" t="str">
        <f ca="1">IF($D65="","",INDEX(NVLSX!B$6:B$6941,$D65))</f>
        <v>VK0XW-93</v>
      </c>
      <c r="C65" s="86" t="str">
        <f ca="1">IF($D65="","",INDEX(NVLSX!C$6:C$6941,$D65))</f>
        <v>Vách kính cố định - XINGFA WINDOW 93</v>
      </c>
      <c r="D65" s="15">
        <f ca="1">IF(TYPE(MATCH(NVLSX!$W$5,OFFSET(NVLSX!$W$6,D64,0):'NVLSX'!$W$6940,0)+D64)=16,"",MATCH(NVLSX!$W$5,OFFSET(NVLSX!$W$6,D64,0):'NVLSX'!$W$6940,0)+D64)</f>
        <v>661</v>
      </c>
    </row>
    <row r="66" spans="1:4" ht="95.15" customHeight="1">
      <c r="A66" s="14">
        <f ca="1">IF($B66&lt;&gt;"",MAX($A$3:A65)+1,"")</f>
        <v>63</v>
      </c>
      <c r="B66" s="86" t="str">
        <f ca="1">IF($D66="","",INDEX(NVLSX!B$6:B$6941,$D66))</f>
        <v>LV0XW-55</v>
      </c>
      <c r="C66" s="86" t="str">
        <f ca="1">IF($D66="","",INDEX(NVLSX!C$6:C$6941,$D66))</f>
        <v>Lá sách - XINGFA WINDOW 55</v>
      </c>
      <c r="D66" s="15">
        <f ca="1">IF(TYPE(MATCH(NVLSX!$W$5,OFFSET(NVLSX!$W$6,D65,0):'NVLSX'!$W$6940,0)+D65)=16,"",MATCH(NVLSX!$W$5,OFFSET(NVLSX!$W$6,D65,0):'NVLSX'!$W$6940,0)+D65)</f>
        <v>665</v>
      </c>
    </row>
    <row r="67" spans="1:4" ht="95.15" customHeight="1">
      <c r="A67" s="14">
        <f ca="1">IF($B67&lt;&gt;"",MAX($A$3:A66)+1,"")</f>
        <v>64</v>
      </c>
      <c r="B67" s="86" t="str">
        <f ca="1">IF($D67="","",INDEX(NVLSX!B$6:B$6941,$D67))</f>
        <v>DQ1MP-65</v>
      </c>
      <c r="C67" s="86" t="str">
        <f ca="1">IF($D67="","",INDEX(NVLSX!C$6:C$6941,$D67))</f>
        <v>Cửa đi mở quay 1 cánh  - MAXPRO 65</v>
      </c>
      <c r="D67" s="15">
        <f ca="1">IF(TYPE(MATCH(NVLSX!$W$5,OFFSET(NVLSX!$W$6,D66,0):'NVLSX'!$W$6940,0)+D66)=16,"",MATCH(NVLSX!$W$5,OFFSET(NVLSX!$W$6,D66,0):'NVLSX'!$W$6940,0)+D66)</f>
        <v>670</v>
      </c>
    </row>
    <row r="68" spans="1:4" ht="95.15" customHeight="1">
      <c r="A68" s="14">
        <f ca="1">IF($B68&lt;&gt;"",MAX($A$3:A67)+1,"")</f>
        <v>65</v>
      </c>
      <c r="B68" s="86" t="str">
        <f ca="1">IF($D68="","",INDEX(NVLSX!B$6:B$6941,$D68))</f>
        <v>DQ2MP-65</v>
      </c>
      <c r="C68" s="86" t="str">
        <f ca="1">IF($D68="","",INDEX(NVLSX!C$6:C$6941,$D68))</f>
        <v>Cửa đi mở quay 2 cánh  - MAXPRO 65</v>
      </c>
      <c r="D68" s="15">
        <f ca="1">IF(TYPE(MATCH(NVLSX!$W$5,OFFSET(NVLSX!$W$6,D67,0):'NVLSX'!$W$6940,0)+D67)=16,"",MATCH(NVLSX!$W$5,OFFSET(NVLSX!$W$6,D67,0):'NVLSX'!$W$6940,0)+D67)</f>
        <v>685</v>
      </c>
    </row>
    <row r="69" spans="1:4" ht="95.15" customHeight="1">
      <c r="A69" s="14">
        <f ca="1">IF($B69&lt;&gt;"",MAX($A$3:A68)+1,"")</f>
        <v>66</v>
      </c>
      <c r="B69" s="86" t="str">
        <f ca="1">IF($D69="","",INDEX(NVLSX!B$6:B$6941,$D69))</f>
        <v>DQ1SL-70</v>
      </c>
      <c r="C69" s="86" t="str">
        <f ca="1">IF($D69="","",INDEX(NVLSX!C$6:C$6941,$D69))</f>
        <v>Cửa đi mở quay 1 cánh - SPARLEE 70</v>
      </c>
      <c r="D69" s="15">
        <f ca="1">IF(TYPE(MATCH(NVLSX!$W$5,OFFSET(NVLSX!$W$6,D68,0):'NVLSX'!$W$6940,0)+D68)=16,"",MATCH(NVLSX!$W$5,OFFSET(NVLSX!$W$6,D68,0):'NVLSX'!$W$6940,0)+D68)</f>
        <v>704</v>
      </c>
    </row>
    <row r="70" spans="1:4" ht="95.15" customHeight="1">
      <c r="A70" s="14">
        <f ca="1">IF($B70&lt;&gt;"",MAX($A$3:A69)+1,"")</f>
        <v>67</v>
      </c>
      <c r="B70" s="86" t="str">
        <f ca="1">IF($D70="","",INDEX(NVLSX!B$6:B$6941,$D70))</f>
        <v>DQ1SL-60</v>
      </c>
      <c r="C70" s="86" t="str">
        <f ca="1">IF($D70="","",INDEX(NVLSX!C$6:C$6941,$D70))</f>
        <v>Cửa đi mở quay 1 cánh - SPARLEE 60</v>
      </c>
      <c r="D70" s="15">
        <f ca="1">IF(TYPE(MATCH(NVLSX!$W$5,OFFSET(NVLSX!$W$6,D69,0):'NVLSX'!$W$6940,0)+D69)=16,"",MATCH(NVLSX!$W$5,OFFSET(NVLSX!$W$6,D69,0):'NVLSX'!$W$6940,0)+D69)</f>
        <v>722</v>
      </c>
    </row>
    <row r="71" spans="1:4" ht="95.15" customHeight="1">
      <c r="A71" s="14">
        <f ca="1">IF($B71&lt;&gt;"",MAX($A$3:A70)+1,"")</f>
        <v>68</v>
      </c>
      <c r="B71" s="86" t="str">
        <f ca="1">IF($D71="","",INDEX(NVLSX!B$6:B$6941,$D71))</f>
        <v>DQ2SL-70</v>
      </c>
      <c r="C71" s="86" t="str">
        <f ca="1">IF($D71="","",INDEX(NVLSX!C$6:C$6941,$D71))</f>
        <v>Cửa đi mở quay 2 cánh  - SPARLEE 70</v>
      </c>
      <c r="D71" s="15">
        <f ca="1">IF(TYPE(MATCH(NVLSX!$W$5,OFFSET(NVLSX!$W$6,D70,0):'NVLSX'!$W$6940,0)+D70)=16,"",MATCH(NVLSX!$W$5,OFFSET(NVLSX!$W$6,D70,0):'NVLSX'!$W$6940,0)+D70)</f>
        <v>740</v>
      </c>
    </row>
    <row r="72" spans="1:4" ht="95.15" customHeight="1">
      <c r="A72" s="14">
        <f ca="1">IF($B72&lt;&gt;"",MAX($A$3:A71)+1,"")</f>
        <v>69</v>
      </c>
      <c r="B72" s="86" t="str">
        <f ca="1">IF($D72="","",INDEX(NVLSX!B$6:B$6941,$D72))</f>
        <v>DQ2SL-60</v>
      </c>
      <c r="C72" s="86" t="str">
        <f ca="1">IF($D72="","",INDEX(NVLSX!C$6:C$6941,$D72))</f>
        <v>Cửa đi mở quay 2 cánh - SPARLEE 60</v>
      </c>
      <c r="D72" s="15">
        <f ca="1">IF(TYPE(MATCH(NVLSX!$W$5,OFFSET(NVLSX!$W$6,D71,0):'NVLSX'!$W$6940,0)+D71)=16,"",MATCH(NVLSX!$W$5,OFFSET(NVLSX!$W$6,D71,0):'NVLSX'!$W$6940,0)+D71)</f>
        <v>759</v>
      </c>
    </row>
    <row r="73" spans="1:4" ht="95.15" customHeight="1">
      <c r="A73" s="14">
        <f ca="1">IF($B73&lt;&gt;"",MAX($A$3:A72)+1,"")</f>
        <v>70</v>
      </c>
      <c r="B73" s="86" t="str">
        <f ca="1">IF($D73="","",INDEX(NVLSX!B$6:B$6941,$D73))</f>
        <v>DQ3SL-70</v>
      </c>
      <c r="C73" s="86" t="str">
        <f ca="1">IF($D73="","",INDEX(NVLSX!C$6:C$6941,$D73))</f>
        <v>Cửa đi mở quay 3 cánh  - SPARLEE 70</v>
      </c>
      <c r="D73" s="15">
        <f ca="1">IF(TYPE(MATCH(NVLSX!$W$5,OFFSET(NVLSX!$W$6,D72,0):'NVLSX'!$W$6940,0)+D72)=16,"",MATCH(NVLSX!$W$5,OFFSET(NVLSX!$W$6,D72,0):'NVLSX'!$W$6940,0)+D72)</f>
        <v>778</v>
      </c>
    </row>
    <row r="74" spans="1:4" ht="95.15" customHeight="1">
      <c r="A74" s="14">
        <f ca="1">IF($B74&lt;&gt;"",MAX($A$3:A73)+1,"")</f>
        <v>71</v>
      </c>
      <c r="B74" s="86" t="str">
        <f ca="1">IF($D74="","",INDEX(NVLSX!B$6:B$6941,$D74))</f>
        <v>DQ4SL-70</v>
      </c>
      <c r="C74" s="86" t="str">
        <f ca="1">IF($D74="","",INDEX(NVLSX!C$6:C$6941,$D74))</f>
        <v>Cửa đi mở quay 4 cánh  - SPARLEE 70</v>
      </c>
      <c r="D74" s="15">
        <f ca="1">IF(TYPE(MATCH(NVLSX!$W$5,OFFSET(NVLSX!$W$6,D73,0):'NVLSX'!$W$6940,0)+D73)=16,"",MATCH(NVLSX!$W$5,OFFSET(NVLSX!$W$6,D73,0):'NVLSX'!$W$6940,0)+D73)</f>
        <v>799</v>
      </c>
    </row>
    <row r="75" spans="1:4" ht="95.15" customHeight="1">
      <c r="A75" s="14">
        <f ca="1">IF($B75&lt;&gt;"",MAX($A$3:A74)+1,"")</f>
        <v>72</v>
      </c>
      <c r="B75" s="86" t="str">
        <f ca="1">IF($D75="","",INDEX(NVLSX!B$6:B$6941,$D75))</f>
        <v>DT2SL-60</v>
      </c>
      <c r="C75" s="86" t="str">
        <f ca="1">IF($D75="","",INDEX(NVLSX!C$6:C$6941,$D75))</f>
        <v>Cửa đi mở trượt 2 cánh - SPARLEE 60</v>
      </c>
      <c r="D75" s="15">
        <f ca="1">IF(TYPE(MATCH(NVLSX!$W$5,OFFSET(NVLSX!$W$6,D74,0):'NVLSX'!$W$6940,0)+D74)=16,"",MATCH(NVLSX!$W$5,OFFSET(NVLSX!$W$6,D74,0):'NVLSX'!$W$6940,0)+D74)</f>
        <v>820</v>
      </c>
    </row>
    <row r="76" spans="1:4" ht="95.15" customHeight="1">
      <c r="A76" s="14">
        <f ca="1">IF($B76&lt;&gt;"",MAX($A$3:A75)+1,"")</f>
        <v>73</v>
      </c>
      <c r="B76" s="86" t="str">
        <f ca="1">IF($D76="","",INDEX(NVLSX!B$6:B$6941,$D76))</f>
        <v>DT3SL-60</v>
      </c>
      <c r="C76" s="86" t="str">
        <f ca="1">IF($D76="","",INDEX(NVLSX!C$6:C$6941,$D76))</f>
        <v>Cửa đi mở trượt 3 cánh - SPARLEE 60</v>
      </c>
      <c r="D76" s="15">
        <f ca="1">IF(TYPE(MATCH(NVLSX!$W$5,OFFSET(NVLSX!$W$6,D75,0):'NVLSX'!$W$6940,0)+D75)=16,"",MATCH(NVLSX!$W$5,OFFSET(NVLSX!$W$6,D75,0):'NVLSX'!$W$6940,0)+D75)</f>
        <v>836</v>
      </c>
    </row>
    <row r="77" spans="1:4" ht="95.15" customHeight="1">
      <c r="A77" s="14">
        <f ca="1">IF($B77&lt;&gt;"",MAX($A$3:A76)+1,"")</f>
        <v>74</v>
      </c>
      <c r="B77" s="86" t="str">
        <f ca="1">IF($D77="","",INDEX(NVLSX!B$6:B$6941,$D77))</f>
        <v>DT4SL-60</v>
      </c>
      <c r="C77" s="86" t="str">
        <f ca="1">IF($D77="","",INDEX(NVLSX!C$6:C$6941,$D77))</f>
        <v>Cửa đi mở trượt 4 cánh - SPARLEE 70</v>
      </c>
      <c r="D77" s="15">
        <f ca="1">IF(TYPE(MATCH(NVLSX!$W$5,OFFSET(NVLSX!$W$6,D76,0):'NVLSX'!$W$6940,0)+D76)=16,"",MATCH(NVLSX!$W$5,OFFSET(NVLSX!$W$6,D76,0):'NVLSX'!$W$6940,0)+D76)</f>
        <v>857</v>
      </c>
    </row>
    <row r="78" spans="1:4" ht="95.15" customHeight="1">
      <c r="A78" s="14">
        <f ca="1">IF($B78&lt;&gt;"",MAX($A$3:A77)+1,"")</f>
        <v>75</v>
      </c>
      <c r="B78" s="86" t="str">
        <f ca="1">IF($D78="","",INDEX(NVLSX!B$6:B$6941,$D78))</f>
        <v>SQ1SL-60</v>
      </c>
      <c r="C78" s="86" t="str">
        <f ca="1">IF($D78="","",INDEX(NVLSX!C$6:C$6941,$D78))</f>
        <v>Cửa sổ mở quay 1 cánh - SPARLEE 60</v>
      </c>
      <c r="D78" s="15">
        <f ca="1">IF(TYPE(MATCH(NVLSX!$W$5,OFFSET(NVLSX!$W$6,D77,0):'NVLSX'!$W$6940,0)+D77)=16,"",MATCH(NVLSX!$W$5,OFFSET(NVLSX!$W$6,D77,0):'NVLSX'!$W$6940,0)+D77)</f>
        <v>874</v>
      </c>
    </row>
    <row r="79" spans="1:4" ht="95.15" customHeight="1">
      <c r="A79" s="14">
        <f ca="1">IF($B79&lt;&gt;"",MAX($A$3:A78)+1,"")</f>
        <v>76</v>
      </c>
      <c r="B79" s="86" t="str">
        <f ca="1">IF($D79="","",INDEX(NVLSX!B$6:B$6941,$D79))</f>
        <v>SQ2SL-60</v>
      </c>
      <c r="C79" s="86" t="str">
        <f ca="1">IF($D79="","",INDEX(NVLSX!C$6:C$6941,$D79))</f>
        <v>Cửa sổ mở quay 2 cánh - SPARLEE 60</v>
      </c>
      <c r="D79" s="15">
        <f ca="1">IF(TYPE(MATCH(NVLSX!$W$5,OFFSET(NVLSX!$W$6,D78,0):'NVLSX'!$W$6940,0)+D78)=16,"",MATCH(NVLSX!$W$5,OFFSET(NVLSX!$W$6,D78,0):'NVLSX'!$W$6940,0)+D78)</f>
        <v>890</v>
      </c>
    </row>
    <row r="80" spans="1:4" ht="95.15" customHeight="1">
      <c r="A80" s="14">
        <f ca="1">IF($B80&lt;&gt;"",MAX($A$3:A79)+1,"")</f>
        <v>77</v>
      </c>
      <c r="B80" s="86" t="str">
        <f ca="1">IF($D80="","",INDEX(NVLSX!B$6:B$6941,$D80))</f>
        <v>SQ3SL-60</v>
      </c>
      <c r="C80" s="86" t="str">
        <f ca="1">IF($D80="","",INDEX(NVLSX!C$6:C$6941,$D80))</f>
        <v>Cửa sổ mở quay 3 cánh - SPARLEE 60</v>
      </c>
      <c r="D80" s="15">
        <f ca="1">IF(TYPE(MATCH(NVLSX!$W$5,OFFSET(NVLSX!$W$6,D79,0):'NVLSX'!$W$6940,0)+D79)=16,"",MATCH(NVLSX!$W$5,OFFSET(NVLSX!$W$6,D79,0):'NVLSX'!$W$6940,0)+D79)</f>
        <v>907</v>
      </c>
    </row>
    <row r="81" spans="1:4" ht="95.15" customHeight="1">
      <c r="A81" s="14">
        <f ca="1">IF($B81&lt;&gt;"",MAX($A$3:A80)+1,"")</f>
        <v>78</v>
      </c>
      <c r="B81" s="86" t="str">
        <f ca="1">IF($D81="","",INDEX(NVLSX!B$6:B$6941,$D81))</f>
        <v>SQ4SL-60</v>
      </c>
      <c r="C81" s="86" t="str">
        <f ca="1">IF($D81="","",INDEX(NVLSX!C$6:C$6941,$D81))</f>
        <v>Cửa sổ mở quay 4 cánh - SPARLEE 60</v>
      </c>
      <c r="D81" s="15">
        <f ca="1">IF(TYPE(MATCH(NVLSX!$W$5,OFFSET(NVLSX!$W$6,D80,0):'NVLSX'!$W$6940,0)+D80)=16,"",MATCH(NVLSX!$W$5,OFFSET(NVLSX!$W$6,D80,0):'NVLSX'!$W$6940,0)+D80)</f>
        <v>926</v>
      </c>
    </row>
    <row r="82" spans="1:4" ht="95.15" customHeight="1">
      <c r="A82" s="14">
        <f ca="1">IF($B82&lt;&gt;"",MAX($A$3:A81)+1,"")</f>
        <v>79</v>
      </c>
      <c r="B82" s="86" t="str">
        <f ca="1">IF($D82="","",INDEX(NVLSX!B$6:B$6941,$D82))</f>
        <v>SH1SL-60</v>
      </c>
      <c r="C82" s="86" t="str">
        <f ca="1">IF($D82="","",INDEX(NVLSX!C$6:C$6941,$D82))</f>
        <v>Cửa sổ mở hất 1 cánh - SPARLEE 60</v>
      </c>
      <c r="D82" s="15">
        <f ca="1">IF(TYPE(MATCH(NVLSX!$W$5,OFFSET(NVLSX!$W$6,D81,0):'NVLSX'!$W$6940,0)+D81)=16,"",MATCH(NVLSX!$W$5,OFFSET(NVLSX!$W$6,D81,0):'NVLSX'!$W$6940,0)+D81)</f>
        <v>945</v>
      </c>
    </row>
    <row r="83" spans="1:4" ht="95.15" customHeight="1">
      <c r="A83" s="14">
        <f ca="1">IF($B83&lt;&gt;"",MAX($A$3:A82)+1,"")</f>
        <v>80</v>
      </c>
      <c r="B83" s="86" t="str">
        <f ca="1">IF($D83="","",INDEX(NVLSX!B$6:B$6941,$D83))</f>
        <v>ST2SL-60</v>
      </c>
      <c r="C83" s="86" t="str">
        <f ca="1">IF($D83="","",INDEX(NVLSX!C$6:C$6941,$D83))</f>
        <v>Cửa sổ mở trượt 2 cánh - SPARLEE 60</v>
      </c>
      <c r="D83" s="15">
        <f ca="1">IF(TYPE(MATCH(NVLSX!$W$5,OFFSET(NVLSX!$W$6,D82,0):'NVLSX'!$W$6940,0)+D82)=16,"",MATCH(NVLSX!$W$5,OFFSET(NVLSX!$W$6,D82,0):'NVLSX'!$W$6940,0)+D82)</f>
        <v>959</v>
      </c>
    </row>
    <row r="84" spans="1:4" ht="95.15" customHeight="1">
      <c r="A84" s="14">
        <f ca="1">IF($B84&lt;&gt;"",MAX($A$3:A83)+1,"")</f>
        <v>81</v>
      </c>
      <c r="B84" s="86" t="str">
        <f ca="1">IF($D84="","",INDEX(NVLSX!B$6:B$6941,$D84))</f>
        <v>ST3SL-60</v>
      </c>
      <c r="C84" s="86" t="str">
        <f ca="1">IF($D84="","",INDEX(NVLSX!C$6:C$6941,$D84))</f>
        <v>Cửa sổ mở trượt 3 cánh - SPARLEE 60</v>
      </c>
      <c r="D84" s="15">
        <f ca="1">IF(TYPE(MATCH(NVLSX!$W$5,OFFSET(NVLSX!$W$6,D83,0):'NVLSX'!$W$6940,0)+D83)=16,"",MATCH(NVLSX!$W$5,OFFSET(NVLSX!$W$6,D83,0):'NVLSX'!$W$6940,0)+D83)</f>
        <v>975</v>
      </c>
    </row>
    <row r="85" spans="1:4" ht="95.15" customHeight="1">
      <c r="A85" s="14">
        <f ca="1">IF($B85&lt;&gt;"",MAX($A$3:A84)+1,"")</f>
        <v>82</v>
      </c>
      <c r="B85" s="86" t="str">
        <f ca="1">IF($D85="","",INDEX(NVLSX!B$6:B$6941,$D85))</f>
        <v>ST4SL-60</v>
      </c>
      <c r="C85" s="86" t="str">
        <f ca="1">IF($D85="","",INDEX(NVLSX!C$6:C$6941,$D85))</f>
        <v>Cửa sổ mở trượt 4 cánh - SPARLEE 60</v>
      </c>
      <c r="D85" s="15">
        <f ca="1">IF(TYPE(MATCH(NVLSX!$W$5,OFFSET(NVLSX!$W$6,D84,0):'NVLSX'!$W$6940,0)+D84)=16,"",MATCH(NVLSX!$W$5,OFFSET(NVLSX!$W$6,D84,0):'NVLSX'!$W$6940,0)+D84)</f>
        <v>996</v>
      </c>
    </row>
    <row r="86" spans="1:4" ht="95.15" customHeight="1">
      <c r="A86" s="14">
        <f ca="1">IF($B86&lt;&gt;"",MAX($A$3:A85)+1,"")</f>
        <v>83</v>
      </c>
      <c r="B86" s="86" t="str">
        <f ca="1">IF($D86="","",INDEX(NVLSX!B$6:B$6941,$D86))</f>
        <v>VK0SL-60</v>
      </c>
      <c r="C86" s="86" t="str">
        <f ca="1">IF($D86="","",INDEX(NVLSX!C$6:C$6941,$D86))</f>
        <v>Vách kính cố định - SPARLEE 60</v>
      </c>
      <c r="D86" s="15">
        <f ca="1">IF(TYPE(MATCH(NVLSX!$W$5,OFFSET(NVLSX!$W$6,D85,0):'NVLSX'!$W$6940,0)+D85)=16,"",MATCH(NVLSX!$W$5,OFFSET(NVLSX!$W$6,D85,0):'NVLSX'!$W$6940,0)+D85)</f>
        <v>1013</v>
      </c>
    </row>
    <row r="87" spans="1:4" ht="95.15" customHeight="1">
      <c r="A87" s="14">
        <f ca="1">IF($B87&lt;&gt;"",MAX($A$3:A86)+1,"")</f>
        <v>84</v>
      </c>
      <c r="B87" s="86" t="str">
        <f ca="1">IF($D87="","",INDEX(NVLSX!B$6:B$6941,$D87))</f>
        <v>VK0SL-70</v>
      </c>
      <c r="C87" s="86" t="str">
        <f ca="1">IF($D87="","",INDEX(NVLSX!C$6:C$6941,$D87))</f>
        <v>Vách kính cố định - SPARLEE 70</v>
      </c>
      <c r="D87" s="15">
        <f ca="1">IF(TYPE(MATCH(NVLSX!$W$5,OFFSET(NVLSX!$W$6,D86,0):'NVLSX'!$W$6940,0)+D86)=16,"",MATCH(NVLSX!$W$5,OFFSET(NVLSX!$W$6,D86,0):'NVLSX'!$W$6940,0)+D86)</f>
        <v>1023</v>
      </c>
    </row>
    <row r="88" spans="1:4" ht="95.15" customHeight="1">
      <c r="A88" s="14">
        <f ca="1">IF($B88&lt;&gt;"",MAX($A$3:A87)+1,"")</f>
        <v>85</v>
      </c>
      <c r="B88" s="86" t="str">
        <f ca="1">IF($D88="","",INDEX(NVLSX!B$6:B$6941,$D88))</f>
        <v>DQ1RH-76</v>
      </c>
      <c r="C88" s="86" t="str">
        <f ca="1">IF($D88="","",INDEX(NVLSX!C$6:C$6941,$D88))</f>
        <v>Cửa đi mở quay 1 cánh - REHAU 76</v>
      </c>
      <c r="D88" s="15">
        <f ca="1">IF(TYPE(MATCH(NVLSX!$W$5,OFFSET(NVLSX!$W$6,D87,0):'NVLSX'!$W$6940,0)+D87)=16,"",MATCH(NVLSX!$W$5,OFFSET(NVLSX!$W$6,D87,0):'NVLSX'!$W$6940,0)+D87)</f>
        <v>1034</v>
      </c>
    </row>
    <row r="89" spans="1:4" ht="95.15" customHeight="1">
      <c r="A89" s="14">
        <f ca="1">IF($B89&lt;&gt;"",MAX($A$3:A88)+1,"")</f>
        <v>86</v>
      </c>
      <c r="B89" s="86" t="str">
        <f ca="1">IF($D89="","",INDEX(NVLSX!B$6:B$6941,$D89))</f>
        <v>DQ2RH-76</v>
      </c>
      <c r="C89" s="86" t="str">
        <f ca="1">IF($D89="","",INDEX(NVLSX!C$6:C$6941,$D89))</f>
        <v>Cửa đi mở quay 2 cánh - REHAU 76</v>
      </c>
      <c r="D89" s="15">
        <f ca="1">IF(TYPE(MATCH(NVLSX!$W$5,OFFSET(NVLSX!$W$6,D88,0):'NVLSX'!$W$6940,0)+D88)=16,"",MATCH(NVLSX!$W$5,OFFSET(NVLSX!$W$6,D88,0):'NVLSX'!$W$6940,0)+D88)</f>
        <v>1047</v>
      </c>
    </row>
    <row r="90" spans="1:4" ht="95.15" customHeight="1">
      <c r="A90" s="14">
        <f ca="1">IF($B90&lt;&gt;"",MAX($A$3:A89)+1,"")</f>
        <v>87</v>
      </c>
      <c r="B90" s="86" t="str">
        <f ca="1">IF($D90="","",INDEX(NVLSX!B$6:B$6941,$D90))</f>
        <v>DQ3RH-76</v>
      </c>
      <c r="C90" s="86" t="str">
        <f ca="1">IF($D90="","",INDEX(NVLSX!C$6:C$6941,$D90))</f>
        <v>Cửa đi mở quay 3 cánh - REHAU 76</v>
      </c>
      <c r="D90" s="15">
        <f ca="1">IF(TYPE(MATCH(NVLSX!$W$5,OFFSET(NVLSX!$W$6,D89,0):'NVLSX'!$W$6940,0)+D89)=16,"",MATCH(NVLSX!$W$5,OFFSET(NVLSX!$W$6,D89,0):'NVLSX'!$W$6940,0)+D89)</f>
        <v>1061</v>
      </c>
    </row>
    <row r="91" spans="1:4" ht="95.15" customHeight="1">
      <c r="A91" s="14">
        <f ca="1">IF($B91&lt;&gt;"",MAX($A$3:A90)+1,"")</f>
        <v>88</v>
      </c>
      <c r="B91" s="86" t="str">
        <f ca="1">IF($D91="","",INDEX(NVLSX!B$6:B$6941,$D91))</f>
        <v>DQ4RH-76</v>
      </c>
      <c r="C91" s="86" t="str">
        <f ca="1">IF($D91="","",INDEX(NVLSX!C$6:C$6941,$D91))</f>
        <v>Cửa đi mở quay 4 cánh - REHAU 76</v>
      </c>
      <c r="D91" s="15">
        <f ca="1">IF(TYPE(MATCH(NVLSX!$W$5,OFFSET(NVLSX!$W$6,D90,0):'NVLSX'!$W$6940,0)+D90)=16,"",MATCH(NVLSX!$W$5,OFFSET(NVLSX!$W$6,D90,0):'NVLSX'!$W$6940,0)+D90)</f>
        <v>1077</v>
      </c>
    </row>
    <row r="92" spans="1:4" ht="95.15" customHeight="1">
      <c r="A92" s="14">
        <f ca="1">IF($B92&lt;&gt;"",MAX($A$3:A91)+1,"")</f>
        <v>89</v>
      </c>
      <c r="B92" s="86" t="str">
        <f ca="1">IF($D92="","",INDEX(NVLSX!B$6:B$6941,$D92))</f>
        <v>DT2RH-54</v>
      </c>
      <c r="C92" s="86" t="str">
        <f ca="1">IF($D92="","",INDEX(NVLSX!C$6:C$6941,$D92))</f>
        <v>Cửa đi mở trượt 2 cánh - REHAU 54</v>
      </c>
      <c r="D92" s="15">
        <f ca="1">IF(TYPE(MATCH(NVLSX!$W$5,OFFSET(NVLSX!$W$6,D91,0):'NVLSX'!$W$6940,0)+D91)=16,"",MATCH(NVLSX!$W$5,OFFSET(NVLSX!$W$6,D91,0):'NVLSX'!$W$6940,0)+D91)</f>
        <v>1093</v>
      </c>
    </row>
    <row r="93" spans="1:4" ht="95.15" customHeight="1">
      <c r="A93" s="14">
        <f ca="1">IF($B93&lt;&gt;"",MAX($A$3:A92)+1,"")</f>
        <v>90</v>
      </c>
      <c r="B93" s="86" t="str">
        <f ca="1">IF($D93="","",INDEX(NVLSX!B$6:B$6941,$D93))</f>
        <v>DT4RH-54</v>
      </c>
      <c r="C93" s="86" t="str">
        <f ca="1">IF($D93="","",INDEX(NVLSX!C$6:C$6941,$D93))</f>
        <v>Cửa đi mở trượt 4 cánh - REHAU 54</v>
      </c>
      <c r="D93" s="15">
        <f ca="1">IF(TYPE(MATCH(NVLSX!$W$5,OFFSET(NVLSX!$W$6,D92,0):'NVLSX'!$W$6940,0)+D92)=16,"",MATCH(NVLSX!$W$5,OFFSET(NVLSX!$W$6,D92,0):'NVLSX'!$W$6940,0)+D92)</f>
        <v>1113</v>
      </c>
    </row>
    <row r="94" spans="1:4" ht="95.15" customHeight="1">
      <c r="A94" s="14">
        <f ca="1">IF($B94&lt;&gt;"",MAX($A$3:A93)+1,"")</f>
        <v>91</v>
      </c>
      <c r="B94" s="86" t="str">
        <f ca="1">IF($D94="","",INDEX(NVLSX!B$6:B$6941,$D94))</f>
        <v>DX3RH-76</v>
      </c>
      <c r="C94" s="86" t="str">
        <f ca="1">IF($D94="","",INDEX(NVLSX!C$6:C$6941,$D94))</f>
        <v>Cửa đi xếp trượt 3 cánh - REHAU 76 (3:3:0)</v>
      </c>
      <c r="D94" s="15">
        <f ca="1">IF(TYPE(MATCH(NVLSX!$W$5,OFFSET(NVLSX!$W$6,D93,0):'NVLSX'!$W$6940,0)+D93)=16,"",MATCH(NVLSX!$W$5,OFFSET(NVLSX!$W$6,D93,0):'NVLSX'!$W$6940,0)+D93)</f>
        <v>1135</v>
      </c>
    </row>
    <row r="95" spans="1:4" ht="95.15" customHeight="1">
      <c r="A95" s="14">
        <f ca="1">IF($B95&lt;&gt;"",MAX($A$3:A94)+1,"")</f>
        <v>92</v>
      </c>
      <c r="B95" s="86" t="str">
        <f ca="1">IF($D95="","",INDEX(NVLSX!B$6:B$6941,$D95))</f>
        <v>DX4RH-76</v>
      </c>
      <c r="C95" s="86" t="str">
        <f ca="1">IF($D95="","",INDEX(NVLSX!C$6:C$6941,$D95))</f>
        <v>Cửa đi xếp trượt 4 cánh - REHAU 76 (4:3:1)</v>
      </c>
      <c r="D95" s="15">
        <f ca="1">IF(TYPE(MATCH(NVLSX!$W$5,OFFSET(NVLSX!$W$6,D94,0):'NVLSX'!$W$6940,0)+D94)=16,"",MATCH(NVLSX!$W$5,OFFSET(NVLSX!$W$6,D94,0):'NVLSX'!$W$6940,0)+D94)</f>
        <v>1152</v>
      </c>
    </row>
    <row r="96" spans="1:4" ht="95.15" customHeight="1">
      <c r="A96" s="14">
        <f ca="1">IF($B96&lt;&gt;"",MAX($A$3:A95)+1,"")</f>
        <v>93</v>
      </c>
      <c r="B96" s="86" t="str">
        <f ca="1">IF($D96="","",INDEX(NVLSX!B$6:B$6941,$D96))</f>
        <v>DX5RH-76</v>
      </c>
      <c r="C96" s="86" t="str">
        <f ca="1">IF($D96="","",INDEX(NVLSX!C$6:C$6941,$D96))</f>
        <v>Cửa đi xếp trượt 5 cánh - REHAU 76 (5:5:0)</v>
      </c>
      <c r="D96" s="15">
        <f ca="1">IF(TYPE(MATCH(NVLSX!$W$5,OFFSET(NVLSX!$W$6,D95,0):'NVLSX'!$W$6940,0)+D95)=16,"",MATCH(NVLSX!$W$5,OFFSET(NVLSX!$W$6,D95,0):'NVLSX'!$W$6940,0)+D95)</f>
        <v>1169</v>
      </c>
    </row>
    <row r="97" spans="1:4" ht="95.15" customHeight="1">
      <c r="A97" s="14">
        <f ca="1">IF($B97&lt;&gt;"",MAX($A$3:A96)+1,"")</f>
        <v>94</v>
      </c>
      <c r="B97" s="86" t="str">
        <f ca="1">IF($D97="","",INDEX(NVLSX!B$6:B$6941,$D97))</f>
        <v>DX6RH-76-633</v>
      </c>
      <c r="C97" s="86" t="str">
        <f ca="1">IF($D97="","",INDEX(NVLSX!C$6:C$6941,$D97))</f>
        <v>Cửa đi xếp trượt 6 cánh - REHAU 76 (6:3:3)</v>
      </c>
      <c r="D97" s="15">
        <f ca="1">IF(TYPE(MATCH(NVLSX!$W$5,OFFSET(NVLSX!$W$6,D96,0):'NVLSX'!$W$6940,0)+D96)=16,"",MATCH(NVLSX!$W$5,OFFSET(NVLSX!$W$6,D96,0):'NVLSX'!$W$6940,0)+D96)</f>
        <v>1186</v>
      </c>
    </row>
    <row r="98" spans="1:4" ht="95.15" customHeight="1">
      <c r="A98" s="14">
        <f ca="1">IF($B98&lt;&gt;"",MAX($A$3:A97)+1,"")</f>
        <v>95</v>
      </c>
      <c r="B98" s="86" t="str">
        <f ca="1">IF($D98="","",INDEX(NVLSX!B$6:B$6941,$D98))</f>
        <v>DX6RH-76-651</v>
      </c>
      <c r="C98" s="86" t="str">
        <f ca="1">IF($D98="","",INDEX(NVLSX!C$6:C$6941,$D98))</f>
        <v>Cửa đi xếp trượt 6 cánh - REHAU 76 (6:5:1)</v>
      </c>
      <c r="D98" s="15">
        <f ca="1">IF(TYPE(MATCH(NVLSX!$W$5,OFFSET(NVLSX!$W$6,D97,0):'NVLSX'!$W$6940,0)+D97)=16,"",MATCH(NVLSX!$W$5,OFFSET(NVLSX!$W$6,D97,0):'NVLSX'!$W$6940,0)+D97)</f>
        <v>1203</v>
      </c>
    </row>
    <row r="99" spans="1:4" ht="95.15" customHeight="1">
      <c r="A99" s="14">
        <f ca="1">IF($B99&lt;&gt;"",MAX($A$3:A98)+1,"")</f>
        <v>96</v>
      </c>
      <c r="B99" s="86" t="str">
        <f ca="1">IF($D99="","",INDEX(NVLSX!B$6:B$6941,$D99))</f>
        <v>SQ1RH-60</v>
      </c>
      <c r="C99" s="86" t="str">
        <f ca="1">IF($D99="","",INDEX(NVLSX!C$6:C$6941,$D99))</f>
        <v>Cửa sổ mở quay 1 cánh - REHAU 60</v>
      </c>
      <c r="D99" s="15">
        <f ca="1">IF(TYPE(MATCH(NVLSX!$W$5,OFFSET(NVLSX!$W$6,D98,0):'NVLSX'!$W$6940,0)+D98)=16,"",MATCH(NVLSX!$W$5,OFFSET(NVLSX!$W$6,D98,0):'NVLSX'!$W$6940,0)+D98)</f>
        <v>1220</v>
      </c>
    </row>
    <row r="100" spans="1:4" ht="95.15" customHeight="1">
      <c r="A100" s="14">
        <f ca="1">IF($B100&lt;&gt;"",MAX($A$3:A99)+1,"")</f>
        <v>97</v>
      </c>
      <c r="B100" s="86" t="str">
        <f ca="1">IF($D100="","",INDEX(NVLSX!B$6:B$6941,$D100))</f>
        <v>SQ2RH-60</v>
      </c>
      <c r="C100" s="86" t="str">
        <f ca="1">IF($D100="","",INDEX(NVLSX!C$6:C$6941,$D100))</f>
        <v>Cửa sổ mở quay 2 cánh - REHAU 60</v>
      </c>
      <c r="D100" s="15">
        <f ca="1">IF(TYPE(MATCH(NVLSX!$W$5,OFFSET(NVLSX!$W$6,D99,0):'NVLSX'!$W$6940,0)+D99)=16,"",MATCH(NVLSX!$W$5,OFFSET(NVLSX!$W$6,D99,0):'NVLSX'!$W$6940,0)+D99)</f>
        <v>1230</v>
      </c>
    </row>
    <row r="101" spans="1:4" ht="95.15" customHeight="1">
      <c r="A101" s="14">
        <f ca="1">IF($B101&lt;&gt;"",MAX($A$3:A100)+1,"")</f>
        <v>98</v>
      </c>
      <c r="B101" s="86" t="str">
        <f ca="1">IF($D101="","",INDEX(NVLSX!B$6:B$6941,$D101))</f>
        <v>SQ3RH-60</v>
      </c>
      <c r="C101" s="86" t="str">
        <f ca="1">IF($D101="","",INDEX(NVLSX!C$6:C$6941,$D101))</f>
        <v>Cửa sổ mở quay 3 cánh - REHAU 60</v>
      </c>
      <c r="D101" s="15">
        <f ca="1">IF(TYPE(MATCH(NVLSX!$W$5,OFFSET(NVLSX!$W$6,D100,0):'NVLSX'!$W$6940,0)+D100)=16,"",MATCH(NVLSX!$W$5,OFFSET(NVLSX!$W$6,D100,0):'NVLSX'!$W$6940,0)+D100)</f>
        <v>1241</v>
      </c>
    </row>
    <row r="102" spans="1:4" ht="95.15" customHeight="1">
      <c r="A102" s="14">
        <f ca="1">IF($B102&lt;&gt;"",MAX($A$3:A100)+1,"")</f>
        <v>98</v>
      </c>
      <c r="B102" s="86" t="str">
        <f ca="1">IF($D102="","",INDEX(NVLSX!B$6:B$6941,$D102))</f>
        <v>SQ4RH-60</v>
      </c>
      <c r="C102" s="86" t="str">
        <f ca="1">IF($D102="","",INDEX(NVLSX!C$6:C$6941,$D102))</f>
        <v>Cửa sổ mở quay 4 cánh - REHAU 60</v>
      </c>
      <c r="D102" s="15">
        <f ca="1">IF(TYPE(MATCH(NVLSX!$W$5,OFFSET(NVLSX!$W$6,D101,0):'NVLSX'!$W$6940,0)+D101)=16,"",MATCH(NVLSX!$W$5,OFFSET(NVLSX!$W$6,D101,0):'NVLSX'!$W$6940,0)+D101)</f>
        <v>1254</v>
      </c>
    </row>
    <row r="103" spans="1:4" ht="95.15" customHeight="1">
      <c r="A103" s="14">
        <f ca="1">IF($B103&lt;&gt;"",MAX($A$3:A102)+1,"")</f>
        <v>99</v>
      </c>
      <c r="B103" s="86" t="str">
        <f ca="1">IF($D103="","",INDEX(NVLSX!B$6:B$6941,$D103))</f>
        <v>SH1RH-60</v>
      </c>
      <c r="C103" s="86" t="str">
        <f ca="1">IF($D103="","",INDEX(NVLSX!C$6:C$6941,$D103))</f>
        <v>Cửa sổ mở hất 1 cánh - REHAU 60</v>
      </c>
      <c r="D103" s="15">
        <f ca="1">IF(TYPE(MATCH(NVLSX!$W$5,OFFSET(NVLSX!$W$6,D102,0):'NVLSX'!$W$6940,0)+D102)=16,"",MATCH(NVLSX!$W$5,OFFSET(NVLSX!$W$6,D102,0):'NVLSX'!$W$6940,0)+D102)</f>
        <v>1267</v>
      </c>
    </row>
    <row r="104" spans="1:4" ht="95.15" customHeight="1">
      <c r="A104" s="14">
        <f ca="1">IF($B104&lt;&gt;"",MAX($A$3:A103)+1,"")</f>
        <v>100</v>
      </c>
      <c r="B104" s="86" t="str">
        <f ca="1">IF($D104="","",INDEX(NVLSX!B$6:B$6941,$D104))</f>
        <v>ST2RH-54</v>
      </c>
      <c r="C104" s="86" t="str">
        <f ca="1">IF($D104="","",INDEX(NVLSX!C$6:C$6941,$D104))</f>
        <v>Cửa sổ mở trượt 2 cánh - REHAU 54</v>
      </c>
      <c r="D104" s="15">
        <f ca="1">IF(TYPE(MATCH(NVLSX!$W$5,OFFSET(NVLSX!$W$6,D103,0):'NVLSX'!$W$6940,0)+D103)=16,"",MATCH(NVLSX!$W$5,OFFSET(NVLSX!$W$6,D103,0):'NVLSX'!$W$6940,0)+D103)</f>
        <v>1278</v>
      </c>
    </row>
    <row r="105" spans="1:4" ht="95.15" customHeight="1">
      <c r="A105" s="14">
        <f ca="1">IF($B105&lt;&gt;"",MAX($A$3:A103)+1,"")</f>
        <v>100</v>
      </c>
      <c r="B105" s="86" t="str">
        <f ca="1">IF($D105="","",INDEX(NVLSX!B$6:B$6941,$D105))</f>
        <v>ST4RH-54</v>
      </c>
      <c r="C105" s="86" t="str">
        <f ca="1">IF($D105="","",INDEX(NVLSX!C$6:C$6941,$D105))</f>
        <v>Cửa sổ mở trượt 4 cánh - REHAU 60</v>
      </c>
      <c r="D105" s="15">
        <f ca="1">IF(TYPE(MATCH(NVLSX!$W$5,OFFSET(NVLSX!$W$6,D104,0):'NVLSX'!$W$6940,0)+D104)=16,"",MATCH(NVLSX!$W$5,OFFSET(NVLSX!$W$6,D104,0):'NVLSX'!$W$6940,0)+D104)</f>
        <v>1290</v>
      </c>
    </row>
    <row r="106" spans="1:4" ht="95.15" customHeight="1">
      <c r="A106" s="14">
        <f ca="1">IF($B106&lt;&gt;"",MAX($A$3:A105)+1,"")</f>
        <v>101</v>
      </c>
      <c r="B106" s="86" t="str">
        <f ca="1">IF($D106="","",INDEX(NVLSX!B$6:B$6941,$D106))</f>
        <v>VK0RH-60</v>
      </c>
      <c r="C106" s="86" t="str">
        <f ca="1">IF($D106="","",INDEX(NVLSX!C$6:C$6941,$D106))</f>
        <v>Vách kính cố định - REHAU 60</v>
      </c>
      <c r="D106" s="15">
        <f ca="1">IF(TYPE(MATCH(NVLSX!$W$5,OFFSET(NVLSX!$W$6,D105,0):'NVLSX'!$W$6940,0)+D105)=16,"",MATCH(NVLSX!$W$5,OFFSET(NVLSX!$W$6,D105,0):'NVLSX'!$W$6940,0)+D105)</f>
        <v>1303</v>
      </c>
    </row>
    <row r="107" spans="1:4" ht="95.15" customHeight="1">
      <c r="A107" s="14">
        <f ca="1">IF($B107&lt;&gt;"",MAX($A$3:A106)+1,"")</f>
        <v>102</v>
      </c>
      <c r="B107" s="86" t="str">
        <f ca="1">IF($D107="","",INDEX(NVLSX!B$6:B$6941,$D107))</f>
        <v>VK0RH-76</v>
      </c>
      <c r="C107" s="86" t="str">
        <f ca="1">IF($D107="","",INDEX(NVLSX!C$6:C$6941,$D107))</f>
        <v>Vách kính cố định - REHAU 76</v>
      </c>
      <c r="D107" s="15">
        <f ca="1">IF(TYPE(MATCH(NVLSX!$W$5,OFFSET(NVLSX!$W$6,D106,0):'NVLSX'!$W$6940,0)+D106)=16,"",MATCH(NVLSX!$W$5,OFFSET(NVLSX!$W$6,D106,0):'NVLSX'!$W$6940,0)+D106)</f>
        <v>1309</v>
      </c>
    </row>
    <row r="108" spans="1:4" ht="95.15" customHeight="1">
      <c r="A108" s="14">
        <f ca="1">IF($B108&lt;&gt;"",MAX($A$3:A107)+1,"")</f>
        <v>103</v>
      </c>
      <c r="B108" s="86" t="str">
        <f ca="1">IF($D108="","",INDEX(NVLSX!B$6:B$6941,$D108))</f>
        <v>DQ1LV-60</v>
      </c>
      <c r="C108" s="86" t="str">
        <f ca="1">IF($D108="","",INDEX(NVLSX!C$6:C$6941,$D108))</f>
        <v>Cửa đi mở quay 1 cánh - HONDALEX LV60</v>
      </c>
      <c r="D108" s="15">
        <f ca="1">IF(TYPE(MATCH(NVLSX!$W$5,OFFSET(NVLSX!$W$6,D107,0):'NVLSX'!$W$6940,0)+D107)=16,"",MATCH(NVLSX!$W$5,OFFSET(NVLSX!$W$6,D107,0):'NVLSX'!$W$6940,0)+D107)</f>
        <v>1325</v>
      </c>
    </row>
    <row r="109" spans="1:4" ht="95.15" customHeight="1">
      <c r="A109" s="14">
        <f ca="1">IF($B109&lt;&gt;"",MAX($A$3:A107)+1,"")</f>
        <v>103</v>
      </c>
      <c r="B109" s="86" t="str">
        <f ca="1">IF($D109="","",INDEX(NVLSX!B$6:B$6941,$D109))</f>
        <v>DQ2LV-60</v>
      </c>
      <c r="C109" s="86" t="str">
        <f ca="1">IF($D109="","",INDEX(NVLSX!C$6:C$6941,$D109))</f>
        <v>Cửa đi mở quay 2 cánh - HONDALEX LV60</v>
      </c>
      <c r="D109" s="15">
        <f ca="1">IF(TYPE(MATCH(NVLSX!$W$5,OFFSET(NVLSX!$W$6,D108,0):'NVLSX'!$W$6940,0)+D108)=16,"",MATCH(NVLSX!$W$5,OFFSET(NVLSX!$W$6,D108,0):'NVLSX'!$W$6940,0)+D108)</f>
        <v>1336</v>
      </c>
    </row>
    <row r="110" spans="1:4" ht="95.15" customHeight="1">
      <c r="A110" s="14">
        <f ca="1">IF($B110&lt;&gt;"",MAX($A$3:A109)+1,"")</f>
        <v>104</v>
      </c>
      <c r="B110" s="86" t="str">
        <f ca="1">IF($D110="","",INDEX(NVLSX!B$6:B$6941,$D110))</f>
        <v>DQ3LV-60</v>
      </c>
      <c r="C110" s="86" t="str">
        <f ca="1">IF($D110="","",INDEX(NVLSX!C$6:C$6941,$D110))</f>
        <v>Cửa đi mở quay 3 cánh - HONDALEX LV60</v>
      </c>
      <c r="D110" s="15">
        <f ca="1">IF(TYPE(MATCH(NVLSX!$W$5,OFFSET(NVLSX!$W$6,D109,0):'NVLSX'!$W$6940,0)+D109)=16,"",MATCH(NVLSX!$W$5,OFFSET(NVLSX!$W$6,D109,0):'NVLSX'!$W$6940,0)+D109)</f>
        <v>1348</v>
      </c>
    </row>
    <row r="111" spans="1:4" ht="95.15" customHeight="1">
      <c r="A111" s="14">
        <f ca="1">IF($B111&lt;&gt;"",MAX($A$3:A110)+1,"")</f>
        <v>105</v>
      </c>
      <c r="B111" s="86" t="str">
        <f ca="1">IF($D111="","",INDEX(NVLSX!B$6:B$6941,$D111))</f>
        <v>DQ4LV-60</v>
      </c>
      <c r="C111" s="86" t="str">
        <f ca="1">IF($D111="","",INDEX(NVLSX!C$6:C$6941,$D111))</f>
        <v>Cửa đi mở quay 4 cánh - HONDALEX LV60</v>
      </c>
      <c r="D111" s="15">
        <f ca="1">IF(TYPE(MATCH(NVLSX!$W$5,OFFSET(NVLSX!$W$6,D110,0):'NVLSX'!$W$6940,0)+D110)=16,"",MATCH(NVLSX!$W$5,OFFSET(NVLSX!$W$6,D110,0):'NVLSX'!$W$6940,0)+D110)</f>
        <v>1365</v>
      </c>
    </row>
    <row r="112" spans="1:4" ht="95.15" customHeight="1">
      <c r="A112" s="14">
        <f ca="1">IF($B112&lt;&gt;"",MAX($A$3:A111)+1,"")</f>
        <v>106</v>
      </c>
      <c r="B112" s="86" t="str">
        <f ca="1">IF($D112="","",INDEX(NVLSX!B$6:B$6941,$D112))</f>
        <v>DT2LV-60</v>
      </c>
      <c r="C112" s="86" t="str">
        <f ca="1">IF($D112="","",INDEX(NVLSX!C$6:C$6941,$D112))</f>
        <v>Cửa đi mở trượt 2 cánh - HONDALEX LV60</v>
      </c>
      <c r="D112" s="15">
        <f ca="1">IF(TYPE(MATCH(NVLSX!$W$5,OFFSET(NVLSX!$W$6,D111,0):'NVLSX'!$W$6940,0)+D111)=16,"",MATCH(NVLSX!$W$5,OFFSET(NVLSX!$W$6,D111,0):'NVLSX'!$W$6940,0)+D111)</f>
        <v>1382</v>
      </c>
    </row>
    <row r="113" spans="1:4" ht="95.15" customHeight="1">
      <c r="A113" s="14">
        <f ca="1">IF($B113&lt;&gt;"",MAX($A$3:A112)+1,"")</f>
        <v>107</v>
      </c>
      <c r="B113" s="86" t="str">
        <f ca="1">IF($D113="","",INDEX(NVLSX!B$6:B$6941,$D113))</f>
        <v>DT3LV-60</v>
      </c>
      <c r="C113" s="86" t="str">
        <f ca="1">IF($D113="","",INDEX(NVLSX!C$6:C$6941,$D113))</f>
        <v>Cửa đi mở trượt 3 cánh - HONDALEX LV60</v>
      </c>
      <c r="D113" s="15">
        <f ca="1">IF(TYPE(MATCH(NVLSX!$W$5,OFFSET(NVLSX!$W$6,D112,0):'NVLSX'!$W$6940,0)+D112)=16,"",MATCH(NVLSX!$W$5,OFFSET(NVLSX!$W$6,D112,0):'NVLSX'!$W$6940,0)+D112)</f>
        <v>1394</v>
      </c>
    </row>
    <row r="114" spans="1:4" ht="95.15" customHeight="1">
      <c r="A114" s="14">
        <f ca="1">IF($B114&lt;&gt;"",MAX($A$3:A113)+1,"")</f>
        <v>108</v>
      </c>
      <c r="B114" s="86" t="str">
        <f ca="1">IF($D114="","",INDEX(NVLSX!B$6:B$6941,$D114))</f>
        <v>DT4LV-60</v>
      </c>
      <c r="C114" s="86" t="str">
        <f ca="1">IF($D114="","",INDEX(NVLSX!C$6:C$6941,$D114))</f>
        <v>Cửa đi mở trượt 4 cánh - HONDALEX LV60</v>
      </c>
      <c r="D114" s="15">
        <f ca="1">IF(TYPE(MATCH(NVLSX!$W$5,OFFSET(NVLSX!$W$6,D113,0):'NVLSX'!$W$6940,0)+D113)=16,"",MATCH(NVLSX!$W$5,OFFSET(NVLSX!$W$6,D113,0):'NVLSX'!$W$6940,0)+D113)</f>
        <v>1409</v>
      </c>
    </row>
    <row r="115" spans="1:4" ht="95.15" customHeight="1">
      <c r="A115" s="14">
        <f ca="1">IF($B115&lt;&gt;"",MAX($A$3:A114)+1,"")</f>
        <v>109</v>
      </c>
      <c r="B115" s="86" t="str">
        <f ca="1">IF($D115="","",INDEX(NVLSX!B$6:B$6941,$D115))</f>
        <v>SQ1LV-60</v>
      </c>
      <c r="C115" s="86" t="str">
        <f ca="1">IF($D115="","",INDEX(NVLSX!C$6:C$6941,$D115))</f>
        <v>Cửa sổ mở quay 1 cánh - HONDALEX LV60</v>
      </c>
      <c r="D115" s="15">
        <f ca="1">IF(TYPE(MATCH(NVLSX!$W$5,OFFSET(NVLSX!$W$6,D114,0):'NVLSX'!$W$6940,0)+D114)=16,"",MATCH(NVLSX!$W$5,OFFSET(NVLSX!$W$6,D114,0):'NVLSX'!$W$6940,0)+D114)</f>
        <v>1422</v>
      </c>
    </row>
    <row r="116" spans="1:4" ht="95.15" customHeight="1">
      <c r="A116" s="14">
        <f ca="1">IF($B116&lt;&gt;"",MAX($A$3:A115)+1,"")</f>
        <v>110</v>
      </c>
      <c r="B116" s="86" t="str">
        <f ca="1">IF($D116="","",INDEX(NVLSX!B$6:B$6941,$D116))</f>
        <v>SQ2LV-60</v>
      </c>
      <c r="C116" s="86" t="str">
        <f ca="1">IF($D116="","",INDEX(NVLSX!C$6:C$6941,$D116))</f>
        <v>Cửa sổ mở quay 2 cánh - HONDALEX LV60</v>
      </c>
      <c r="D116" s="15">
        <f ca="1">IF(TYPE(MATCH(NVLSX!$W$5,OFFSET(NVLSX!$W$6,D115,0):'NVLSX'!$W$6940,0)+D115)=16,"",MATCH(NVLSX!$W$5,OFFSET(NVLSX!$W$6,D115,0):'NVLSX'!$W$6940,0)+D115)</f>
        <v>1430</v>
      </c>
    </row>
    <row r="117" spans="1:4" ht="95.15" customHeight="1">
      <c r="A117" s="14">
        <f ca="1">IF($B117&lt;&gt;"",MAX($A$3:A116)+1,"")</f>
        <v>111</v>
      </c>
      <c r="B117" s="86" t="str">
        <f ca="1">IF($D117="","",INDEX(NVLSX!B$6:B$6941,$D117))</f>
        <v>SQ3LV-60</v>
      </c>
      <c r="C117" s="86" t="str">
        <f ca="1">IF($D117="","",INDEX(NVLSX!C$6:C$6941,$D117))</f>
        <v>Cửa sổ mở quay 3 cánh - HONDALEX LV60</v>
      </c>
      <c r="D117" s="15">
        <f ca="1">IF(TYPE(MATCH(NVLSX!$W$5,OFFSET(NVLSX!$W$6,D116,0):'NVLSX'!$W$6940,0)+D116)=16,"",MATCH(NVLSX!$W$5,OFFSET(NVLSX!$W$6,D116,0):'NVLSX'!$W$6940,0)+D116)</f>
        <v>1439</v>
      </c>
    </row>
    <row r="118" spans="1:4" ht="95.15" customHeight="1">
      <c r="A118" s="14">
        <f ca="1">IF($B118&lt;&gt;"",MAX($A$3:A117)+1,"")</f>
        <v>112</v>
      </c>
      <c r="B118" s="86" t="str">
        <f ca="1">IF($D118="","",INDEX(NVLSX!B$6:B$6941,$D118))</f>
        <v>SQ4LV-60</v>
      </c>
      <c r="C118" s="86" t="str">
        <f ca="1">IF($D118="","",INDEX(NVLSX!C$6:C$6941,$D118))</f>
        <v>Cửa sổ mở quay 4 cánh - HONDALEX LV60</v>
      </c>
      <c r="D118" s="15">
        <f ca="1">IF(TYPE(MATCH(NVLSX!$W$5,OFFSET(NVLSX!$W$6,D117,0):'NVLSX'!$W$6940,0)+D117)=16,"",MATCH(NVLSX!$W$5,OFFSET(NVLSX!$W$6,D117,0):'NVLSX'!$W$6940,0)+D117)</f>
        <v>1449</v>
      </c>
    </row>
    <row r="119" spans="1:4" ht="95.15" customHeight="1">
      <c r="A119" s="14">
        <f ca="1">IF($B119&lt;&gt;"",MAX($A$3:A118)+1,"")</f>
        <v>113</v>
      </c>
      <c r="B119" s="86" t="str">
        <f ca="1">IF($D119="","",INDEX(NVLSX!B$6:B$6941,$D119))</f>
        <v>SH1LV-60</v>
      </c>
      <c r="C119" s="86" t="str">
        <f ca="1">IF($D119="","",INDEX(NVLSX!C$6:C$6941,$D119))</f>
        <v>Cửa sổ mở hất 1 cánh - HONDALEX LV60</v>
      </c>
      <c r="D119" s="15">
        <f ca="1">IF(TYPE(MATCH(NVLSX!$W$5,OFFSET(NVLSX!$W$6,D118,0):'NVLSX'!$W$6940,0)+D118)=16,"",MATCH(NVLSX!$W$5,OFFSET(NVLSX!$W$6,D118,0):'NVLSX'!$W$6940,0)+D118)</f>
        <v>1459</v>
      </c>
    </row>
    <row r="120" spans="1:4" ht="95.15" customHeight="1">
      <c r="A120" s="14">
        <f ca="1">IF($B120&lt;&gt;"",MAX($A$3:A119)+1,"")</f>
        <v>114</v>
      </c>
      <c r="B120" s="86" t="str">
        <f ca="1">IF($D120="","",INDEX(NVLSX!B$6:B$6941,$D120))</f>
        <v>ST2LV-60</v>
      </c>
      <c r="C120" s="86" t="str">
        <f ca="1">IF($D120="","",INDEX(NVLSX!C$6:C$6941,$D120))</f>
        <v>Cửa sổ mở trượt 2 cánh - HONDALEX LV60</v>
      </c>
      <c r="D120" s="15">
        <f ca="1">IF(TYPE(MATCH(NVLSX!$W$5,OFFSET(NVLSX!$W$6,D119,0):'NVLSX'!$W$6940,0)+D119)=16,"",MATCH(NVLSX!$W$5,OFFSET(NVLSX!$W$6,D119,0):'NVLSX'!$W$6940,0)+D119)</f>
        <v>1467</v>
      </c>
    </row>
    <row r="121" spans="1:4" ht="95.15" customHeight="1">
      <c r="A121" s="14">
        <f ca="1">IF($B121&lt;&gt;"",MAX($A$3:A120)+1,"")</f>
        <v>115</v>
      </c>
      <c r="B121" s="86" t="str">
        <f ca="1">IF($D121="","",INDEX(NVLSX!B$6:B$6941,$D121))</f>
        <v>ST3LV-60</v>
      </c>
      <c r="C121" s="86" t="str">
        <f ca="1">IF($D121="","",INDEX(NVLSX!C$6:C$6941,$D121))</f>
        <v>Cửa sổ mở trượt 3 cánh - HONDALEX LV60</v>
      </c>
      <c r="D121" s="15">
        <f ca="1">IF(TYPE(MATCH(NVLSX!$W$5,OFFSET(NVLSX!$W$6,D120,0):'NVLSX'!$W$6940,0)+D120)=16,"",MATCH(NVLSX!$W$5,OFFSET(NVLSX!$W$6,D120,0):'NVLSX'!$W$6940,0)+D120)</f>
        <v>1479</v>
      </c>
    </row>
    <row r="122" spans="1:4" ht="95.15" customHeight="1">
      <c r="A122" s="14">
        <f ca="1">IF($B122&lt;&gt;"",MAX($A$3:A121)+1,"")</f>
        <v>116</v>
      </c>
      <c r="B122" s="86" t="str">
        <f ca="1">IF($D122="","",INDEX(NVLSX!B$6:B$6941,$D122))</f>
        <v>ST4LV-60</v>
      </c>
      <c r="C122" s="86" t="str">
        <f ca="1">IF($D122="","",INDEX(NVLSX!C$6:C$6941,$D122))</f>
        <v>Cửa sổ mở trượt 4 cánh - HONDALEX LV60</v>
      </c>
      <c r="D122" s="15">
        <f ca="1">IF(TYPE(MATCH(NVLSX!$W$5,OFFSET(NVLSX!$W$6,D121,0):'NVLSX'!$W$6940,0)+D121)=16,"",MATCH(NVLSX!$W$5,OFFSET(NVLSX!$W$6,D121,0):'NVLSX'!$W$6940,0)+D121)</f>
        <v>1494</v>
      </c>
    </row>
    <row r="123" spans="1:4" ht="95.15" customHeight="1">
      <c r="A123" s="14">
        <f ca="1">IF($B123&lt;&gt;"",MAX($A$3:A122)+1,"")</f>
        <v>117</v>
      </c>
      <c r="B123" s="86" t="str">
        <f ca="1">IF($D123="","",INDEX(NVLSX!B$6:B$6941,$D123))</f>
        <v>VK0LV-60</v>
      </c>
      <c r="C123" s="86" t="str">
        <f ca="1">IF($D123="","",INDEX(NVLSX!C$6:C$6941,$D123))</f>
        <v>Vách kính cố định - HONDALEX LV60</v>
      </c>
      <c r="D123" s="15">
        <f ca="1">IF(TYPE(MATCH(NVLSX!$W$5,OFFSET(NVLSX!$W$6,D122,0):'NVLSX'!$W$6940,0)+D122)=16,"",MATCH(NVLSX!$W$5,OFFSET(NVLSX!$W$6,D122,0):'NVLSX'!$W$6940,0)+D122)</f>
        <v>1507</v>
      </c>
    </row>
    <row r="124" spans="1:4" ht="95.15" customHeight="1">
      <c r="A124" s="14">
        <f ca="1">IF($B124&lt;&gt;"",MAX($A$3:A123)+1,"")</f>
        <v>118</v>
      </c>
      <c r="B124" s="86" t="str">
        <f ca="1">IF($D124="","",INDEX(NVLSX!B$6:B$6941,$D124))</f>
        <v>DQ1VN-700</v>
      </c>
      <c r="C124" s="86" t="str">
        <f ca="1">IF($D124="","",INDEX(NVLSX!C$6:C$6941,$D124))</f>
        <v>Cửa đi mở quay 1 cánh  - VN700</v>
      </c>
      <c r="D124" s="15">
        <f ca="1">IF(TYPE(MATCH(NVLSX!$W$5,OFFSET(NVLSX!$W$6,D123,0):'NVLSX'!$W$6940,0)+D123)=16,"",MATCH(NVLSX!$W$5,OFFSET(NVLSX!$W$6,D123,0):'NVLSX'!$W$6940,0)+D123)</f>
        <v>1515</v>
      </c>
    </row>
    <row r="125" spans="1:4" ht="95.15" customHeight="1">
      <c r="A125" s="14">
        <f ca="1">IF($B125&lt;&gt;"",MAX($A$3:A124)+1,"")</f>
        <v>119</v>
      </c>
      <c r="B125" s="86" t="str">
        <f ca="1">IF($D125="","",INDEX(NVLSX!B$6:B$6941,$D125))</f>
        <v>DQ2VN-700</v>
      </c>
      <c r="C125" s="86" t="str">
        <f ca="1">IF($D125="","",INDEX(NVLSX!C$6:C$6941,$D125))</f>
        <v>Cửa đi mở quay 2 cánh  - VN700</v>
      </c>
      <c r="D125" s="15">
        <f ca="1">IF(TYPE(MATCH(NVLSX!$W$5,OFFSET(NVLSX!$W$6,D124,0):'NVLSX'!$W$6940,0)+D124)=16,"",MATCH(NVLSX!$W$5,OFFSET(NVLSX!$W$6,D124,0):'NVLSX'!$W$6940,0)+D124)</f>
        <v>1521</v>
      </c>
    </row>
    <row r="126" spans="1:4" ht="95.15" customHeight="1">
      <c r="A126" s="14">
        <f ca="1">IF($B126&lt;&gt;"",MAX($A$3:A125)+1,"")</f>
        <v>120</v>
      </c>
      <c r="B126" s="86" t="str">
        <f ca="1">IF($D126="","",INDEX(NVLSX!B$6:B$6941,$D126))</f>
        <v>VK0VN-700</v>
      </c>
      <c r="C126" s="86" t="str">
        <f ca="1">IF($D126="","",INDEX(NVLSX!C$6:C$6941,$D126))</f>
        <v>Vách kính - VN 700</v>
      </c>
      <c r="D126" s="15">
        <f ca="1">IF(TYPE(MATCH(NVLSX!$W$5,OFFSET(NVLSX!$W$6,D125,0):'NVLSX'!$W$6940,0)+D125)=16,"",MATCH(NVLSX!$W$5,OFFSET(NVLSX!$W$6,D125,0):'NVLSX'!$W$6940,0)+D125)</f>
        <v>1527</v>
      </c>
    </row>
    <row r="127" spans="1:4" ht="95.15" customHeight="1">
      <c r="A127" s="14">
        <f ca="1">IF($B127&lt;&gt;"",MAX($A$3:A126)+1,"")</f>
        <v>121</v>
      </c>
      <c r="B127" s="86" t="str">
        <f ca="1">IF($D127="","",INDEX(NVLSX!B$6:B$6941,$D127))</f>
        <v>VK0NG-700</v>
      </c>
      <c r="C127" s="86" t="str">
        <f ca="1">IF($D127="","",INDEX(NVLSX!C$6:C$6941,$D127))</f>
        <v>Vách kính nẹp gài - VN 700</v>
      </c>
      <c r="D127" s="15">
        <f ca="1">IF(TYPE(MATCH(NVLSX!$W$5,OFFSET(NVLSX!$W$6,D126,0):'NVLSX'!$W$6940,0)+D126)=16,"",MATCH(NVLSX!$W$5,OFFSET(NVLSX!$W$6,D126,0):'NVLSX'!$W$6940,0)+D126)</f>
        <v>1529</v>
      </c>
    </row>
    <row r="128" spans="1:4" ht="95.15" customHeight="1">
      <c r="A128" s="14">
        <f ca="1">IF($B128&lt;&gt;"",MAX($A$3:A127)+1,"")</f>
        <v>122</v>
      </c>
      <c r="B128" s="86" t="str">
        <f ca="1">IF($D128="","",INDEX(NVLSX!B$6:B$6941,$D128))</f>
        <v>VK0KI-00</v>
      </c>
      <c r="C128" s="86" t="str">
        <f ca="1">IF($D128="","",INDEX(NVLSX!C$6:C$6941,$D128))</f>
        <v>Kính trang trí</v>
      </c>
      <c r="D128" s="15">
        <f ca="1">IF(TYPE(MATCH(NVLSX!$W$5,OFFSET(NVLSX!$W$6,D127,0):'NVLSX'!$W$6940,0)+D127)=16,"",MATCH(NVLSX!$W$5,OFFSET(NVLSX!$W$6,D127,0):'NVLSX'!$W$6940,0)+D127)</f>
        <v>1535</v>
      </c>
    </row>
    <row r="129" spans="1:4" ht="95.15" customHeight="1">
      <c r="A129" s="14">
        <f ca="1">IF($B129&lt;&gt;"",MAX($A$3:A128)+1,"")</f>
        <v>123</v>
      </c>
      <c r="B129" s="86" t="str">
        <f ca="1">IF($D129="","",INDEX(NVLSX!B$6:B$6941,$D129))</f>
        <v>CQ1KI-90-TKK</v>
      </c>
      <c r="C129" s="1224" t="str">
        <f ca="1">IF($D129="","",INDEX(NVLSX!C$6:C$6941,$D129))</f>
        <v>Cabin Tắm 90 độ (2 tấm kính, Tường-Kính-Kính)</v>
      </c>
      <c r="D129" s="15">
        <f ca="1">IF(TYPE(MATCH(NVLSX!$W$5,OFFSET(NVLSX!$W$6,D128,0):'NVLSX'!$W$6940,0)+D128)=16,"",MATCH(NVLSX!$W$5,OFFSET(NVLSX!$W$6,D128,0):'NVLSX'!$W$6940,0)+D128)</f>
        <v>1538</v>
      </c>
    </row>
    <row r="130" spans="1:4" ht="95.15" customHeight="1">
      <c r="A130" s="14">
        <f ca="1">IF($B130&lt;&gt;"",MAX($A$3:A129)+1,"")</f>
        <v>124</v>
      </c>
      <c r="B130" s="86" t="str">
        <f ca="1">IF($D130="","",INDEX(NVLSX!B$6:B$6941,$D130))</f>
        <v>CQ1KI-90-KKK</v>
      </c>
      <c r="C130" s="1224" t="str">
        <f ca="1">IF($D130="","",INDEX(NVLSX!C$6:C$6941,$D130))</f>
        <v>Cabin Tắm 90 độ (3 tấm kính, Kính-Kính-Kính)</v>
      </c>
      <c r="D130" s="15">
        <f ca="1">IF(TYPE(MATCH(NVLSX!$W$5,OFFSET(NVLSX!$W$6,D129,0):'NVLSX'!$W$6940,0)+D129)=16,"",MATCH(NVLSX!$W$5,OFFSET(NVLSX!$W$6,D129,0):'NVLSX'!$W$6940,0)+D129)</f>
        <v>1539</v>
      </c>
    </row>
    <row r="131" spans="1:4" ht="95.15" customHeight="1">
      <c r="A131" s="14">
        <f ca="1">IF($B131&lt;&gt;"",MAX($A$3:A130)+1,"")</f>
        <v>125</v>
      </c>
      <c r="B131" s="86" t="str">
        <f ca="1">IF($D131="","",INDEX(NVLSX!B$6:B$6941,$D131))</f>
        <v>CQ1KI-90-LKKK</v>
      </c>
      <c r="C131" s="1224" t="str">
        <f ca="1">IF($D131="","",INDEX(NVLSX!C$6:C$6941,$D131))</f>
        <v>Cabin Tắm 90 độ (3 tấm kính xếp hình chữ L, Kính-Kính-Kính)</v>
      </c>
      <c r="D131" s="15">
        <f ca="1">IF(TYPE(MATCH(NVLSX!$W$5,OFFSET(NVLSX!$W$6,D130,0):'NVLSX'!$W$6940,0)+D130)=16,"",MATCH(NVLSX!$W$5,OFFSET(NVLSX!$W$6,D130,0):'NVLSX'!$W$6940,0)+D130)</f>
        <v>1540</v>
      </c>
    </row>
    <row r="132" spans="1:4" ht="95.15" customHeight="1">
      <c r="A132" s="14">
        <f ca="1">IF($B132&lt;&gt;"",MAX($A$3:A131)+1,"")</f>
        <v>126</v>
      </c>
      <c r="B132" s="86" t="str">
        <f ca="1">IF($D132="","",INDEX(NVLSX!B$6:B$6941,$D132))</f>
        <v>CQ1KI-18-KKK</v>
      </c>
      <c r="C132" s="1224" t="str">
        <f ca="1">IF($D132="","",INDEX(NVLSX!C$6:C$6941,$D132))</f>
        <v>Cabin Tắm 180 độ (3 Tấm Kính thẳng hàng, Kính-Kính-Kính)</v>
      </c>
      <c r="D132" s="15">
        <f ca="1">IF(TYPE(MATCH(NVLSX!$W$5,OFFSET(NVLSX!$W$6,D131,0):'NVLSX'!$W$6940,0)+D131)=16,"",MATCH(NVLSX!$W$5,OFFSET(NVLSX!$W$6,D131,0):'NVLSX'!$W$6940,0)+D131)</f>
        <v>1541</v>
      </c>
    </row>
    <row r="133" spans="1:4" ht="95.15" customHeight="1">
      <c r="A133" s="14">
        <f ca="1">IF($B133&lt;&gt;"",MAX($A$3:A132)+1,"")</f>
        <v>127</v>
      </c>
      <c r="B133" s="86" t="str">
        <f ca="1">IF($D133="","",INDEX(NVLSX!B$6:B$6941,$D133))</f>
        <v>CQ1KI-18-LKKK</v>
      </c>
      <c r="C133" s="1224" t="str">
        <f ca="1">IF($D133="","",INDEX(NVLSX!C$6:C$6941,$D133))</f>
        <v>Cabin Tắm 180 độ (3 Tấm Kính xếp hình chữ L,  Kính-Kính-Kính)</v>
      </c>
      <c r="D133" s="15">
        <f ca="1">IF(TYPE(MATCH(NVLSX!$W$5,OFFSET(NVLSX!$W$6,D132,0):'NVLSX'!$W$6940,0)+D132)=16,"",MATCH(NVLSX!$W$5,OFFSET(NVLSX!$W$6,D132,0):'NVLSX'!$W$6940,0)+D132)</f>
        <v>1542</v>
      </c>
    </row>
    <row r="134" spans="1:4" ht="95.15" customHeight="1">
      <c r="A134" s="14">
        <f ca="1">IF($B134&lt;&gt;"",MAX($A$3:A133)+1,"")</f>
        <v>128</v>
      </c>
      <c r="B134" s="86" t="str">
        <f ca="1">IF($D134="","",INDEX(NVLSX!B$6:B$6941,$D134))</f>
        <v>CQ1KI-13-KKK</v>
      </c>
      <c r="C134" s="1224" t="str">
        <f ca="1">IF($D134="","",INDEX(NVLSX!C$6:C$6941,$D134))</f>
        <v>Cabin Tắm 135 độ Quay Ngoài (3 tấm kính, Kính-Kính-Kính)</v>
      </c>
      <c r="D134" s="15">
        <f ca="1">IF(TYPE(MATCH(NVLSX!$W$5,OFFSET(NVLSX!$W$6,D133,0):'NVLSX'!$W$6940,0)+D133)=16,"",MATCH(NVLSX!$W$5,OFFSET(NVLSX!$W$6,D133,0):'NVLSX'!$W$6940,0)+D133)</f>
        <v>1543</v>
      </c>
    </row>
    <row r="135" spans="1:4" ht="95.15" customHeight="1">
      <c r="A135" s="14">
        <f ca="1">IF($B135&lt;&gt;"",MAX($A$3:A134)+1,"")</f>
        <v>129</v>
      </c>
      <c r="B135" s="86" t="str">
        <f ca="1">IF($D135="","",INDEX(NVLSX!B$6:B$6941,$D135))</f>
        <v>CQ1KI-13-TKK</v>
      </c>
      <c r="C135" s="1224" t="str">
        <f ca="1">IF($D135="","",INDEX(NVLSX!C$6:C$6941,$D135))</f>
        <v>Cabin Tắm 135 độ (2 tấm kính, Tường-Kính-Kính)</v>
      </c>
      <c r="D135" s="15">
        <f ca="1">IF(TYPE(MATCH(NVLSX!$W$5,OFFSET(NVLSX!$W$6,D134,0):'NVLSX'!$W$6940,0)+D134)=16,"",MATCH(NVLSX!$W$5,OFFSET(NVLSX!$W$6,D134,0):'NVLSX'!$W$6940,0)+D134)</f>
        <v>1544</v>
      </c>
    </row>
    <row r="136" spans="1:4" ht="95.15" customHeight="1">
      <c r="A136" s="14">
        <f ca="1">IF($B136&lt;&gt;"",MAX($A$3:A135)+1,"")</f>
        <v>130</v>
      </c>
      <c r="B136" s="86" t="str">
        <f ca="1">IF($D136="","",INDEX(NVLSX!B$6:B$6941,$D136))</f>
        <v>CQ1KI-13-3KKT</v>
      </c>
      <c r="C136" s="1224" t="str">
        <f ca="1">IF($D136="","",INDEX(NVLSX!C$6:C$6941,$D136))</f>
        <v>Cabin Tắm 135 độ -Kẹp trụ xuay (3 tấm kính, Kính-Kính-Kính)</v>
      </c>
      <c r="D136" s="15">
        <f ca="1">IF(TYPE(MATCH(NVLSX!$W$5,OFFSET(NVLSX!$W$6,D135,0):'NVLSX'!$W$6940,0)+D135)=16,"",MATCH(NVLSX!$W$5,OFFSET(NVLSX!$W$6,D135,0):'NVLSX'!$W$6940,0)+D135)</f>
        <v>1545</v>
      </c>
    </row>
    <row r="137" spans="1:4" ht="95.15" customHeight="1">
      <c r="A137" s="14">
        <f ca="1">IF($B137&lt;&gt;"",MAX($A$3:A136)+1,"")</f>
        <v>131</v>
      </c>
      <c r="B137" s="86" t="str">
        <f ca="1">IF($D137="","",INDEX(NVLSX!B$6:B$6941,$D137))</f>
        <v>CQ1KI-13-3KQT</v>
      </c>
      <c r="C137" s="1224" t="str">
        <f ca="1">IF($D137="","",INDEX(NVLSX!C$6:C$6941,$D137))</f>
        <v>Cabin Tắm quay Góc &lt; 135 độ hoặc Góc &gt; 135 độ ( 3 tấm kính, Kính-Kính-Kính) - Mở Quay Trong</v>
      </c>
      <c r="D137" s="15">
        <f ca="1">IF(TYPE(MATCH(NVLSX!$W$5,OFFSET(NVLSX!$W$6,D136,0):'NVLSX'!$W$6940,0)+D136)=16,"",MATCH(NVLSX!$W$5,OFFSET(NVLSX!$W$6,D136,0):'NVLSX'!$W$6940,0)+D136)</f>
        <v>1546</v>
      </c>
    </row>
    <row r="138" spans="1:4" ht="95.15" customHeight="1">
      <c r="A138" s="14">
        <f ca="1">IF($B138&lt;&gt;"",MAX($A$3:A137)+1,"")</f>
        <v>132</v>
      </c>
      <c r="B138" s="86" t="str">
        <f ca="1">IF($D138="","",INDEX(NVLSX!B$6:B$6941,$D138))</f>
        <v>CL1KI-00-1L1F</v>
      </c>
      <c r="C138" s="1224" t="str">
        <f ca="1">IF($D138="","",INDEX(NVLSX!C$6:C$6941,$D138))</f>
        <v>Cabin lùa 1 cánh di động - 2 tấm kính ( 1 cánh di động, 1 cánh Fix) - TLM001</v>
      </c>
      <c r="D138" s="15">
        <f ca="1">IF(TYPE(MATCH(NVLSX!$W$5,OFFSET(NVLSX!$W$6,D137,0):'NVLSX'!$W$6940,0)+D137)=16,"",MATCH(NVLSX!$W$5,OFFSET(NVLSX!$W$6,D137,0):'NVLSX'!$W$6940,0)+D137)</f>
        <v>1547</v>
      </c>
    </row>
    <row r="139" spans="1:4" ht="95.15" customHeight="1">
      <c r="A139" s="14">
        <f ca="1">IF($B139&lt;&gt;"",MAX($A$3:A138)+1,"")</f>
        <v>133</v>
      </c>
      <c r="B139" s="86" t="str">
        <f ca="1">IF($D139="","",INDEX(NVLSX!B$6:B$6941,$D139))</f>
        <v>CL2KI-00-2L2F</v>
      </c>
      <c r="C139" s="86" t="str">
        <f ca="1">IF($D139="","",INDEX(NVLSX!C$6:C$6941,$D139))</f>
        <v>Cabin lùa 2 cánh đi động- 4 tấm kính (2 cánh di động, 2 cánh Fix) - TLM001</v>
      </c>
      <c r="D139" s="15">
        <f ca="1">IF(TYPE(MATCH(NVLSX!$W$5,OFFSET(NVLSX!$W$6,D138,0):'NVLSX'!$W$6940,0)+D138)=16,"",MATCH(NVLSX!$W$5,OFFSET(NVLSX!$W$6,D138,0):'NVLSX'!$W$6940,0)+D138)</f>
        <v>1548</v>
      </c>
    </row>
    <row r="140" spans="1:4" ht="95.15" customHeight="1">
      <c r="A140" s="14" t="str">
        <f ca="1">IF($B140&lt;&gt;"",MAX($A$3:A139)+1,"")</f>
        <v/>
      </c>
      <c r="B140" s="86" t="str">
        <f ca="1">IF($D140="","",INDEX(NVLSX!B$6:B$6941,$D140))</f>
        <v/>
      </c>
      <c r="C140" s="86" t="str">
        <f ca="1">IF($D140="","",INDEX(NVLSX!C$6:C$6941,$D140))</f>
        <v/>
      </c>
      <c r="D140" s="15" t="str">
        <f ca="1">IF(TYPE(MATCH(NVLSX!$W$5,OFFSET(NVLSX!$W$6,D139,0):'NVLSX'!$W$6940,0)+D139)=16,"",MATCH(NVLSX!$W$5,OFFSET(NVLSX!$W$6,D139,0):'NVLSX'!$W$6940,0)+D139)</f>
        <v/>
      </c>
    </row>
    <row r="141" spans="1:4" ht="95.15" customHeight="1">
      <c r="A141" s="14" t="str">
        <f ca="1">IF($B141&lt;&gt;"",MAX($A$3:A140)+1,"")</f>
        <v/>
      </c>
      <c r="B141" s="86" t="str">
        <f ca="1">IF($D141="","",INDEX(NVLSX!B$6:B$6941,$D141))</f>
        <v/>
      </c>
      <c r="C141" s="86" t="str">
        <f ca="1">IF($D141="","",INDEX(NVLSX!C$6:C$6941,$D141))</f>
        <v/>
      </c>
      <c r="D141" s="15" t="str">
        <f ca="1">IF(TYPE(MATCH(NVLSX!$W$5,OFFSET(NVLSX!$W$6,D140,0):'NVLSX'!$W$6940,0)+D140)=16,"",MATCH(NVLSX!$W$5,OFFSET(NVLSX!$W$6,D140,0):'NVLSX'!$W$6940,0)+D140)</f>
        <v/>
      </c>
    </row>
    <row r="142" spans="1:4" ht="95.15" customHeight="1">
      <c r="A142" s="14" t="str">
        <f ca="1">IF($B142&lt;&gt;"",MAX($A$3:A141)+1,"")</f>
        <v/>
      </c>
      <c r="B142" s="86" t="str">
        <f ca="1">IF($D142="","",INDEX(NVLSX!B$6:B$6941,$D142))</f>
        <v/>
      </c>
      <c r="C142" s="86" t="str">
        <f ca="1">IF($D142="","",INDEX(NVLSX!C$6:C$6941,$D142))</f>
        <v/>
      </c>
      <c r="D142" s="15" t="str">
        <f ca="1">IF(TYPE(MATCH(NVLSX!$W$5,OFFSET(NVLSX!$W$6,D141,0):'NVLSX'!$W$6940,0)+D141)=16,"",MATCH(NVLSX!$W$5,OFFSET(NVLSX!$W$6,D141,0):'NVLSX'!$W$6940,0)+D141)</f>
        <v/>
      </c>
    </row>
    <row r="143" spans="1:4" ht="95.15" customHeight="1">
      <c r="A143" s="14" t="str">
        <f ca="1">IF($B143&lt;&gt;"",MAX($A$3:A142)+1,"")</f>
        <v/>
      </c>
      <c r="B143" s="86" t="str">
        <f ca="1">IF($D143="","",INDEX(NVLSX!B$6:B$6941,$D143))</f>
        <v/>
      </c>
      <c r="C143" s="86" t="str">
        <f ca="1">IF($D143="","",INDEX(NVLSX!C$6:C$6941,$D143))</f>
        <v/>
      </c>
      <c r="D143" s="15" t="str">
        <f ca="1">IF(TYPE(MATCH(NVLSX!$W$5,OFFSET(NVLSX!$W$6,D142,0):'NVLSX'!$W$6940,0)+D142)=16,"",MATCH(NVLSX!$W$5,OFFSET(NVLSX!$W$6,D142,0):'NVLSX'!$W$6940,0)+D142)</f>
        <v/>
      </c>
    </row>
    <row r="144" spans="1:4" ht="95.15" customHeight="1">
      <c r="A144" s="14" t="str">
        <f ca="1">IF($B144&lt;&gt;"",MAX($A$3:A143)+1,"")</f>
        <v/>
      </c>
      <c r="B144" s="86" t="str">
        <f ca="1">IF($D144="","",INDEX(NVLSX!B$6:B$6941,$D144))</f>
        <v/>
      </c>
      <c r="C144" s="86" t="str">
        <f ca="1">IF($D144="","",INDEX(NVLSX!C$6:C$6941,$D144))</f>
        <v/>
      </c>
      <c r="D144" s="15" t="str">
        <f ca="1">IF(TYPE(MATCH(NVLSX!$W$5,OFFSET(NVLSX!$W$6,D143,0):'NVLSX'!$W$6940,0)+D143)=16,"",MATCH(NVLSX!$W$5,OFFSET(NVLSX!$W$6,D143,0):'NVLSX'!$W$6940,0)+D143)</f>
        <v/>
      </c>
    </row>
    <row r="145" spans="1:12" ht="95.15" customHeight="1">
      <c r="A145" s="14" t="str">
        <f ca="1">IF($B145&lt;&gt;"",MAX($A$3:A144)+1,"")</f>
        <v/>
      </c>
      <c r="B145" s="86" t="str">
        <f ca="1">IF($D145="","",INDEX(NVLSX!B$6:B$6941,$D145))</f>
        <v/>
      </c>
      <c r="C145" s="86" t="str">
        <f ca="1">IF($D145="","",INDEX(NVLSX!C$6:C$6941,$D145))</f>
        <v/>
      </c>
      <c r="D145" s="15" t="str">
        <f ca="1">IF(TYPE(MATCH(NVLSX!$W$5,OFFSET(NVLSX!$W$6,D144,0):'NVLSX'!$W$6940,0)+D144)=16,"",MATCH(NVLSX!$W$5,OFFSET(NVLSX!$W$6,D144,0):'NVLSX'!$W$6940,0)+D144)</f>
        <v/>
      </c>
    </row>
    <row r="146" spans="1:12" ht="95.15" customHeight="1">
      <c r="A146" s="14" t="str">
        <f ca="1">IF($B146&lt;&gt;"",MAX($A$3:A145)+1,"")</f>
        <v/>
      </c>
      <c r="B146" s="86" t="str">
        <f ca="1">IF($D146="","",INDEX(NVLSX!B$6:B$6941,$D146))</f>
        <v/>
      </c>
      <c r="C146" s="86" t="str">
        <f ca="1">IF($D146="","",INDEX(NVLSX!C$6:C$6941,$D146))</f>
        <v/>
      </c>
      <c r="D146" s="15" t="str">
        <f ca="1">IF(TYPE(MATCH(NVLSX!$W$5,OFFSET(NVLSX!$W$6,D145,0):'NVLSX'!$W$6940,0)+D145)=16,"",MATCH(NVLSX!$W$5,OFFSET(NVLSX!$W$6,D145,0):'NVLSX'!$W$6940,0)+D145)</f>
        <v/>
      </c>
    </row>
    <row r="147" spans="1:12" ht="95.15" customHeight="1">
      <c r="A147" s="14" t="str">
        <f ca="1">IF($B147&lt;&gt;"",MAX($A$3:A146)+1,"")</f>
        <v/>
      </c>
      <c r="B147" s="86" t="str">
        <f ca="1">IF($D147="","",INDEX(NVLSX!B$6:B$6941,$D147))</f>
        <v/>
      </c>
      <c r="C147" s="86" t="str">
        <f ca="1">IF($D147="","",INDEX(NVLSX!C$6:C$6941,$D147))</f>
        <v/>
      </c>
      <c r="D147" s="15" t="str">
        <f ca="1">IF(TYPE(MATCH(NVLSX!$W$5,OFFSET(NVLSX!$W$6,D146,0):'NVLSX'!$W$6940,0)+D146)=16,"",MATCH(NVLSX!$W$5,OFFSET(NVLSX!$W$6,D146,0):'NVLSX'!$W$6940,0)+D146)</f>
        <v/>
      </c>
    </row>
    <row r="148" spans="1:12" ht="95.15" customHeight="1">
      <c r="A148" s="14" t="str">
        <f ca="1">IF($B148&lt;&gt;"",MAX($A$3:A147)+1,"")</f>
        <v/>
      </c>
      <c r="B148" s="86" t="str">
        <f ca="1">IF($D148="","",INDEX(NVLSX!B$6:B$6941,$D148))</f>
        <v/>
      </c>
      <c r="C148" s="86" t="str">
        <f ca="1">IF($D148="","",INDEX(NVLSX!C$6:C$6941,$D148))</f>
        <v/>
      </c>
      <c r="D148" s="15" t="str">
        <f ca="1">IF(TYPE(MATCH(NVLSX!$W$5,OFFSET(NVLSX!$W$6,D147,0):'NVLSX'!$W$6940,0)+D147)=16,"",MATCH(NVLSX!$W$5,OFFSET(NVLSX!$W$6,D147,0):'NVLSX'!$W$6940,0)+D147)</f>
        <v/>
      </c>
    </row>
    <row r="149" spans="1:12" ht="95.15" customHeight="1">
      <c r="A149" s="14" t="str">
        <f ca="1">IF($B149&lt;&gt;"",MAX($A$3:A148)+1,"")</f>
        <v/>
      </c>
      <c r="B149" s="86" t="str">
        <f ca="1">IF($D149="","",INDEX(NVLSX!B$6:B$6941,$D149))</f>
        <v/>
      </c>
      <c r="C149" s="86" t="str">
        <f ca="1">IF($D149="","",INDEX(NVLSX!C$6:C$6941,$D149))</f>
        <v/>
      </c>
      <c r="D149" s="15" t="str">
        <f ca="1">IF(TYPE(MATCH(NVLSX!$W$5,OFFSET(NVLSX!$W$6,D148,0):'NVLSX'!$W$6940,0)+D148)=16,"",MATCH(NVLSX!$W$5,OFFSET(NVLSX!$W$6,D148,0):'NVLSX'!$W$6940,0)+D148)</f>
        <v/>
      </c>
    </row>
    <row r="150" spans="1:12" ht="95.15" customHeight="1">
      <c r="A150" s="14" t="str">
        <f ca="1">IF($B150&lt;&gt;"",MAX($A$3:A149)+1,"")</f>
        <v/>
      </c>
      <c r="B150" s="86" t="str">
        <f ca="1">IF($D150="","",INDEX(NVLSX!B$6:B$6941,$D150))</f>
        <v/>
      </c>
      <c r="C150" s="86" t="str">
        <f ca="1">IF($D150="","",INDEX(NVLSX!C$6:C$6941,$D150))</f>
        <v/>
      </c>
      <c r="D150" s="15" t="str">
        <f ca="1">IF(TYPE(MATCH(NVLSX!$W$5,OFFSET(NVLSX!$W$6,D149,0):'NVLSX'!$W$6940,0)+D149)=16,"",MATCH(NVLSX!$W$5,OFFSET(NVLSX!$W$6,D149,0):'NVLSX'!$W$6940,0)+D149)</f>
        <v/>
      </c>
    </row>
    <row r="151" spans="1:12">
      <c r="A151" s="16" t="s">
        <v>106</v>
      </c>
      <c r="B151" s="16" t="s">
        <v>106</v>
      </c>
      <c r="C151" s="16" t="s">
        <v>106</v>
      </c>
      <c r="D151" s="16" t="s">
        <v>106</v>
      </c>
    </row>
    <row r="152" spans="1:12">
      <c r="A152" s="16"/>
      <c r="D152" s="17"/>
    </row>
    <row r="153" spans="1:12" s="84" customFormat="1" ht="17.5">
      <c r="A153" s="1246" t="s">
        <v>270</v>
      </c>
      <c r="B153" s="1246"/>
      <c r="C153" s="1246"/>
      <c r="D153" s="12"/>
      <c r="E153" s="12"/>
      <c r="F153" s="12"/>
    </row>
    <row r="154" spans="1:12" s="91" customFormat="1">
      <c r="A154" s="104" t="s">
        <v>9</v>
      </c>
      <c r="B154" s="104" t="s">
        <v>242</v>
      </c>
      <c r="C154" s="123" t="s">
        <v>387</v>
      </c>
      <c r="D154" s="123" t="s">
        <v>252</v>
      </c>
      <c r="E154" s="123" t="s">
        <v>923</v>
      </c>
      <c r="F154" s="104" t="s">
        <v>142</v>
      </c>
      <c r="G154" s="104" t="s">
        <v>103</v>
      </c>
      <c r="H154" s="123" t="s">
        <v>924</v>
      </c>
      <c r="I154" s="123" t="s">
        <v>987</v>
      </c>
      <c r="J154" s="645" t="s">
        <v>2090</v>
      </c>
      <c r="K154" s="645" t="s">
        <v>2105</v>
      </c>
      <c r="L154" s="645" t="s">
        <v>2740</v>
      </c>
    </row>
    <row r="155" spans="1:12">
      <c r="A155" s="105">
        <v>1</v>
      </c>
      <c r="B155" s="105" t="s">
        <v>74</v>
      </c>
      <c r="C155" s="106" t="s">
        <v>75</v>
      </c>
      <c r="D155" s="106" t="s">
        <v>388</v>
      </c>
      <c r="E155" s="128">
        <f>+H155-I155</f>
        <v>5700</v>
      </c>
      <c r="F155" s="293" t="s">
        <v>74</v>
      </c>
      <c r="G155" s="293" t="str">
        <f>ADDRESS(ROW(NVLSX!$O$6492),COLUMN(NVLSX!$O$6492),1,1,"NVLSX")&amp; ":" &amp; ADDRESS(ROW(NVLSX!$O$6755),COLUMN(NVLSX!$O$6755),1,1)</f>
        <v>NVLSX!$O$6492:$O$6755</v>
      </c>
      <c r="H155" s="293">
        <v>5800</v>
      </c>
      <c r="I155" s="293">
        <v>100</v>
      </c>
      <c r="J155" s="293" t="s">
        <v>2091</v>
      </c>
      <c r="K155" s="293" t="s">
        <v>2106</v>
      </c>
      <c r="L155" s="293"/>
    </row>
    <row r="156" spans="1:12">
      <c r="A156" s="105">
        <v>2</v>
      </c>
      <c r="B156" s="105" t="s">
        <v>269</v>
      </c>
      <c r="C156" s="106" t="s">
        <v>243</v>
      </c>
      <c r="D156" s="106" t="s">
        <v>388</v>
      </c>
      <c r="E156" s="128">
        <f t="shared" ref="E156:E159" si="0">+H156-I156</f>
        <v>6000</v>
      </c>
      <c r="F156" s="293" t="str">
        <f>+$F$155</f>
        <v>XF</v>
      </c>
      <c r="G156" s="293" t="str">
        <f>ADDRESS(ROW(NVLSX!$O$6492),COLUMN(NVLSX!$O$6492),1,1,"NVLSX")&amp; ":" &amp; ADDRESS(ROW(NVLSX!$O$6755),COLUMN(NVLSX!$O$6755),1,1)</f>
        <v>NVLSX!$O$6492:$O$6755</v>
      </c>
      <c r="H156" s="293">
        <v>6000</v>
      </c>
      <c r="I156" s="293">
        <v>0</v>
      </c>
      <c r="J156" s="293" t="s">
        <v>2092</v>
      </c>
      <c r="K156" s="293" t="s">
        <v>2106</v>
      </c>
      <c r="L156" s="293"/>
    </row>
    <row r="157" spans="1:12">
      <c r="A157" s="105">
        <v>3</v>
      </c>
      <c r="B157" s="105" t="s">
        <v>1517</v>
      </c>
      <c r="C157" s="106" t="s">
        <v>244</v>
      </c>
      <c r="D157" s="106" t="s">
        <v>388</v>
      </c>
      <c r="E157" s="128">
        <f t="shared" si="0"/>
        <v>6000</v>
      </c>
      <c r="F157" s="293" t="s">
        <v>1517</v>
      </c>
      <c r="G157" s="293" t="str">
        <f>ADDRESS(ROW(NVLSX!$K$6492),COLUMN(NVLSX!$K$6492),1,1,"NVLSX")&amp; ":" &amp; ADDRESS(ROW(NVLSX!$K$6755),COLUMN(NVLSX!$K$6755),1,1)</f>
        <v>NVLSX!$K$6492:$K$6755</v>
      </c>
      <c r="H157" s="293">
        <v>6000</v>
      </c>
      <c r="I157" s="293">
        <v>0</v>
      </c>
      <c r="J157" s="293" t="s">
        <v>2093</v>
      </c>
      <c r="K157" s="293" t="s">
        <v>2106</v>
      </c>
      <c r="L157" s="293"/>
    </row>
    <row r="158" spans="1:12">
      <c r="A158" s="105">
        <v>4</v>
      </c>
      <c r="B158" s="105" t="s">
        <v>268</v>
      </c>
      <c r="C158" s="106" t="s">
        <v>245</v>
      </c>
      <c r="D158" s="106" t="s">
        <v>389</v>
      </c>
      <c r="E158" s="128">
        <f t="shared" si="0"/>
        <v>5800</v>
      </c>
      <c r="F158" s="293" t="s">
        <v>268</v>
      </c>
      <c r="G158" s="293"/>
      <c r="H158" s="293">
        <v>5800</v>
      </c>
      <c r="I158" s="293">
        <v>0</v>
      </c>
      <c r="J158" s="293" t="s">
        <v>2094</v>
      </c>
      <c r="K158" s="293" t="s">
        <v>2107</v>
      </c>
      <c r="L158" s="293"/>
    </row>
    <row r="159" spans="1:12">
      <c r="A159" s="105">
        <v>5</v>
      </c>
      <c r="B159" s="105" t="s">
        <v>141</v>
      </c>
      <c r="C159" s="106" t="s">
        <v>249</v>
      </c>
      <c r="D159" s="106" t="s">
        <v>389</v>
      </c>
      <c r="E159" s="128">
        <f t="shared" si="0"/>
        <v>5800</v>
      </c>
      <c r="F159" s="293" t="s">
        <v>141</v>
      </c>
      <c r="G159" s="293" t="str">
        <f>ADDRESS(ROW(NVLSX!$P$6492),COLUMN(NVLSX!$P$6492),1,1,"NVLSX")&amp; ":" &amp; ADDRESS(ROW(NVLSX!$P$6755),COLUMN(NVLSX!$P$6755),1,1)</f>
        <v>NVLSX!$P$6492:$P$6755</v>
      </c>
      <c r="H159" s="293">
        <v>5800</v>
      </c>
      <c r="I159" s="293">
        <v>0</v>
      </c>
      <c r="J159" s="293" t="s">
        <v>2095</v>
      </c>
      <c r="K159" s="293" t="s">
        <v>2107</v>
      </c>
      <c r="L159" s="293"/>
    </row>
    <row r="160" spans="1:12">
      <c r="A160" s="105">
        <v>6</v>
      </c>
      <c r="B160" s="105" t="s">
        <v>2566</v>
      </c>
      <c r="C160" s="106" t="s">
        <v>2567</v>
      </c>
      <c r="D160" s="106" t="s">
        <v>388</v>
      </c>
      <c r="E160" s="128">
        <v>6000</v>
      </c>
      <c r="F160" s="293" t="s">
        <v>2566</v>
      </c>
      <c r="G160" s="293" t="str">
        <f>ADDRESS(ROW(NVLSX!$O$6492),COLUMN(NVLSX!$O$6492),1,1,"NVLSX")&amp; ":" &amp; ADDRESS(ROW(NVLSX!$O$6755),COLUMN(NVLSX!$O$6755),1,1)</f>
        <v>NVLSX!$O$6492:$O$6755</v>
      </c>
      <c r="H160" s="293">
        <v>6000</v>
      </c>
      <c r="I160" s="293">
        <v>0</v>
      </c>
      <c r="J160" s="293" t="s">
        <v>2569</v>
      </c>
      <c r="K160" s="293" t="s">
        <v>2106</v>
      </c>
      <c r="L160" s="293"/>
    </row>
    <row r="161" spans="1:12">
      <c r="A161" s="105">
        <v>7</v>
      </c>
      <c r="B161" s="105" t="s">
        <v>3373</v>
      </c>
      <c r="C161" s="106" t="s">
        <v>3374</v>
      </c>
      <c r="D161" s="106" t="s">
        <v>152</v>
      </c>
      <c r="E161" s="128">
        <v>6000</v>
      </c>
      <c r="F161" s="293" t="s">
        <v>2566</v>
      </c>
      <c r="G161" s="293" t="str">
        <f>ADDRESS(ROW(NVLSX!$O$6492),COLUMN(NVLSX!$O$6492),1,1,"NVLSX")&amp; ":" &amp; ADDRESS(ROW(NVLSX!$O$6755),COLUMN(NVLSX!$O$6755),1,1)</f>
        <v>NVLSX!$O$6492:$O$6755</v>
      </c>
      <c r="H161" s="293">
        <v>6000</v>
      </c>
      <c r="I161" s="293">
        <v>0</v>
      </c>
      <c r="J161" s="293" t="s">
        <v>2569</v>
      </c>
      <c r="K161" s="293" t="s">
        <v>2106</v>
      </c>
      <c r="L161" s="293"/>
    </row>
    <row r="162" spans="1:12">
      <c r="A162" s="105">
        <v>8</v>
      </c>
      <c r="B162" s="105" t="s">
        <v>3252</v>
      </c>
      <c r="C162" s="106" t="s">
        <v>3253</v>
      </c>
      <c r="D162" s="106" t="s">
        <v>388</v>
      </c>
      <c r="E162" s="128">
        <v>5600</v>
      </c>
      <c r="F162" s="293" t="str">
        <f>+$F$155</f>
        <v>XF</v>
      </c>
      <c r="G162" s="293" t="str">
        <f>ADDRESS(ROW(NVLSX!$O$6492),COLUMN(NVLSX!$O$6492),1,1,"NVLSX")&amp; ":" &amp; ADDRESS(ROW(NVLSX!$O$6755),COLUMN(NVLSX!$O$6755),1,1)</f>
        <v>NVLSX!$O$6492:$O$6755</v>
      </c>
      <c r="H162" s="293">
        <v>5600</v>
      </c>
      <c r="I162" s="293">
        <v>100</v>
      </c>
      <c r="J162" s="293" t="s">
        <v>3272</v>
      </c>
      <c r="K162" s="293" t="s">
        <v>2106</v>
      </c>
      <c r="L162" s="293"/>
    </row>
    <row r="163" spans="1:12">
      <c r="A163" s="105">
        <v>9</v>
      </c>
      <c r="B163" s="105" t="s">
        <v>152</v>
      </c>
      <c r="C163" s="106" t="s">
        <v>2608</v>
      </c>
      <c r="D163" s="106" t="s">
        <v>152</v>
      </c>
      <c r="E163" s="128">
        <v>6000</v>
      </c>
      <c r="F163" s="293"/>
      <c r="G163" s="293"/>
      <c r="H163" s="293">
        <v>0</v>
      </c>
      <c r="I163" s="293">
        <v>0</v>
      </c>
      <c r="J163" s="293" t="s">
        <v>2604</v>
      </c>
      <c r="K163" s="293" t="s">
        <v>2604</v>
      </c>
      <c r="L163" s="975">
        <v>0.1</v>
      </c>
    </row>
    <row r="164" spans="1:12">
      <c r="A164" s="105">
        <v>10</v>
      </c>
      <c r="B164" s="105" t="s">
        <v>3791</v>
      </c>
      <c r="C164" s="106" t="s">
        <v>3792</v>
      </c>
      <c r="D164" s="106" t="s">
        <v>152</v>
      </c>
      <c r="E164" s="128">
        <v>6000</v>
      </c>
      <c r="F164" s="293"/>
      <c r="G164" s="293"/>
      <c r="H164" s="293">
        <v>0</v>
      </c>
      <c r="I164" s="293">
        <v>0</v>
      </c>
      <c r="J164" s="293" t="s">
        <v>2604</v>
      </c>
      <c r="K164" s="293" t="s">
        <v>2604</v>
      </c>
      <c r="L164" s="975">
        <v>0.1</v>
      </c>
    </row>
    <row r="165" spans="1:12">
      <c r="A165" s="109"/>
      <c r="B165" s="634" t="s">
        <v>2063</v>
      </c>
      <c r="C165" s="107"/>
      <c r="D165" s="107"/>
      <c r="E165" s="980">
        <v>5800</v>
      </c>
      <c r="F165" s="89"/>
      <c r="G165" s="89"/>
      <c r="H165" s="89"/>
      <c r="I165" s="89"/>
      <c r="J165" s="89"/>
      <c r="K165" s="89"/>
      <c r="L165" s="89"/>
    </row>
    <row r="166" spans="1:12">
      <c r="A166" s="16"/>
      <c r="B166" s="16"/>
      <c r="C166" s="82"/>
      <c r="D166" s="17"/>
    </row>
    <row r="167" spans="1:12" s="84" customFormat="1" ht="17.5">
      <c r="A167" s="1247" t="s">
        <v>271</v>
      </c>
      <c r="B167" s="1247"/>
      <c r="C167" s="1247"/>
      <c r="D167" s="940"/>
      <c r="E167" s="940"/>
      <c r="F167" s="12"/>
    </row>
    <row r="168" spans="1:12">
      <c r="A168" s="105" t="s">
        <v>9</v>
      </c>
      <c r="B168" s="915" t="s">
        <v>213</v>
      </c>
      <c r="C168" s="915" t="s">
        <v>409</v>
      </c>
      <c r="D168" s="941" t="s">
        <v>2090</v>
      </c>
      <c r="E168" s="921" t="s">
        <v>2596</v>
      </c>
    </row>
    <row r="169" spans="1:12">
      <c r="A169" s="105">
        <v>1</v>
      </c>
      <c r="B169" s="105" t="s">
        <v>85</v>
      </c>
      <c r="C169" s="106" t="s">
        <v>85</v>
      </c>
      <c r="D169" s="646" t="s">
        <v>2096</v>
      </c>
      <c r="E169" s="124"/>
    </row>
    <row r="170" spans="1:12">
      <c r="A170" s="105">
        <v>2</v>
      </c>
      <c r="B170" s="105" t="s">
        <v>211</v>
      </c>
      <c r="C170" s="106" t="s">
        <v>212</v>
      </c>
      <c r="D170" s="646" t="s">
        <v>2097</v>
      </c>
      <c r="E170" s="125"/>
    </row>
    <row r="171" spans="1:12">
      <c r="A171" s="105">
        <v>3</v>
      </c>
      <c r="B171" s="105" t="s">
        <v>98</v>
      </c>
      <c r="C171" s="106" t="s">
        <v>248</v>
      </c>
      <c r="D171" s="646" t="s">
        <v>2098</v>
      </c>
      <c r="E171" s="125"/>
    </row>
    <row r="172" spans="1:12">
      <c r="A172" s="105">
        <v>4</v>
      </c>
      <c r="B172" s="105" t="s">
        <v>236</v>
      </c>
      <c r="C172" s="106" t="s">
        <v>236</v>
      </c>
      <c r="D172" s="646" t="s">
        <v>2099</v>
      </c>
      <c r="E172" s="125"/>
    </row>
    <row r="173" spans="1:12">
      <c r="A173" s="105">
        <v>5</v>
      </c>
      <c r="B173" s="105" t="s">
        <v>246</v>
      </c>
      <c r="C173" s="106" t="s">
        <v>247</v>
      </c>
      <c r="D173" s="646" t="s">
        <v>2100</v>
      </c>
      <c r="E173" s="125"/>
    </row>
    <row r="174" spans="1:12">
      <c r="A174" s="105">
        <v>6</v>
      </c>
      <c r="B174" s="105" t="s">
        <v>250</v>
      </c>
      <c r="C174" s="106" t="s">
        <v>251</v>
      </c>
      <c r="D174" s="646" t="s">
        <v>2101</v>
      </c>
      <c r="E174" s="125"/>
    </row>
    <row r="175" spans="1:12">
      <c r="A175" s="105">
        <v>8</v>
      </c>
      <c r="B175" s="105" t="s">
        <v>3281</v>
      </c>
      <c r="C175" s="106" t="s">
        <v>3282</v>
      </c>
      <c r="D175" s="646" t="s">
        <v>3283</v>
      </c>
      <c r="E175" s="125"/>
    </row>
    <row r="176" spans="1:12">
      <c r="A176" s="105">
        <v>9</v>
      </c>
      <c r="B176" s="105" t="s">
        <v>2866</v>
      </c>
      <c r="C176" s="106" t="s">
        <v>2867</v>
      </c>
      <c r="D176" s="646" t="s">
        <v>2891</v>
      </c>
      <c r="E176" s="125"/>
    </row>
    <row r="177" spans="1:11">
      <c r="A177" s="109"/>
      <c r="B177" s="89"/>
      <c r="C177" s="107"/>
      <c r="D177" s="647"/>
      <c r="E177" s="923"/>
    </row>
    <row r="178" spans="1:11">
      <c r="A178" s="16"/>
      <c r="C178" s="90"/>
      <c r="D178" s="17"/>
    </row>
    <row r="179" spans="1:11" ht="17.5">
      <c r="A179" s="1242" t="s">
        <v>372</v>
      </c>
      <c r="B179" s="1242"/>
      <c r="C179" s="875" t="s">
        <v>388</v>
      </c>
      <c r="D179" s="875" t="s">
        <v>389</v>
      </c>
      <c r="F179" s="1248" t="s">
        <v>2670</v>
      </c>
      <c r="G179" s="1249"/>
      <c r="H179" s="1249"/>
      <c r="I179" s="1249"/>
      <c r="J179" s="1249"/>
      <c r="K179" s="1249"/>
    </row>
    <row r="180" spans="1:11" s="91" customFormat="1">
      <c r="A180" s="104" t="s">
        <v>9</v>
      </c>
      <c r="B180" s="110" t="s">
        <v>267</v>
      </c>
      <c r="C180" s="123" t="s">
        <v>438</v>
      </c>
      <c r="D180" s="123" t="s">
        <v>1975</v>
      </c>
      <c r="F180" s="915" t="s">
        <v>9</v>
      </c>
      <c r="G180" s="916" t="s">
        <v>2674</v>
      </c>
      <c r="H180" s="917" t="s">
        <v>2678</v>
      </c>
      <c r="I180" s="921" t="s">
        <v>2766</v>
      </c>
      <c r="J180" s="921" t="s">
        <v>2672</v>
      </c>
      <c r="K180" s="917" t="s">
        <v>2673</v>
      </c>
    </row>
    <row r="181" spans="1:11">
      <c r="A181" s="105">
        <v>1</v>
      </c>
      <c r="B181" s="87" t="s">
        <v>390</v>
      </c>
      <c r="C181" s="124"/>
      <c r="D181" s="124"/>
      <c r="F181" s="105">
        <v>1</v>
      </c>
      <c r="G181" s="1042" t="s">
        <v>2664</v>
      </c>
      <c r="H181" s="1043">
        <v>93</v>
      </c>
      <c r="I181" s="1044" t="str">
        <f>+G181&amp;H181</f>
        <v>T93</v>
      </c>
      <c r="J181" s="125">
        <f>10%+10%</f>
        <v>0.2</v>
      </c>
      <c r="K181" s="889" t="s">
        <v>2680</v>
      </c>
    </row>
    <row r="182" spans="1:11">
      <c r="A182" s="105">
        <v>2</v>
      </c>
      <c r="B182" s="87" t="s">
        <v>391</v>
      </c>
      <c r="C182" s="125">
        <v>0.03</v>
      </c>
      <c r="D182" s="125"/>
      <c r="F182" s="105">
        <v>2</v>
      </c>
      <c r="G182" s="1042" t="s">
        <v>2671</v>
      </c>
      <c r="H182" s="1043">
        <v>63</v>
      </c>
      <c r="I182" s="1044" t="str">
        <f t="shared" ref="I182:I188" si="1">+G182&amp;H182</f>
        <v>X63</v>
      </c>
      <c r="J182" s="125">
        <f>10%+15%</f>
        <v>0.25</v>
      </c>
      <c r="K182" s="889" t="s">
        <v>2675</v>
      </c>
    </row>
    <row r="183" spans="1:11">
      <c r="A183" s="105">
        <v>3</v>
      </c>
      <c r="B183" s="87" t="s">
        <v>2549</v>
      </c>
      <c r="C183" s="125"/>
      <c r="D183" s="125"/>
      <c r="F183" s="105">
        <v>3</v>
      </c>
      <c r="G183" s="1042" t="s">
        <v>2762</v>
      </c>
      <c r="H183" s="1043">
        <v>55</v>
      </c>
      <c r="I183" s="1044" t="str">
        <f t="shared" si="1"/>
        <v>Q55</v>
      </c>
      <c r="J183" s="125">
        <f>10%+5%</f>
        <v>0.15000000000000002</v>
      </c>
      <c r="K183" s="889" t="s">
        <v>2763</v>
      </c>
    </row>
    <row r="184" spans="1:11">
      <c r="A184" s="105">
        <v>4</v>
      </c>
      <c r="B184" s="87" t="s">
        <v>2551</v>
      </c>
      <c r="C184" s="125">
        <v>0.05</v>
      </c>
      <c r="D184" s="125">
        <v>0.3</v>
      </c>
      <c r="F184" s="105">
        <v>4</v>
      </c>
      <c r="G184" s="1042" t="s">
        <v>2764</v>
      </c>
      <c r="H184" s="1043">
        <v>55</v>
      </c>
      <c r="I184" s="1044" t="str">
        <f t="shared" si="1"/>
        <v>K55</v>
      </c>
      <c r="J184" s="125">
        <f t="shared" ref="J184:J186" si="2">10%+5%</f>
        <v>0.15000000000000002</v>
      </c>
      <c r="K184" s="889" t="s">
        <v>2765</v>
      </c>
    </row>
    <row r="185" spans="1:11">
      <c r="A185" s="105">
        <v>5</v>
      </c>
      <c r="B185" s="87" t="s">
        <v>1791</v>
      </c>
      <c r="C185" s="125">
        <v>0.5</v>
      </c>
      <c r="D185" s="125">
        <v>0.5</v>
      </c>
      <c r="F185" s="105">
        <v>5</v>
      </c>
      <c r="G185" s="1042" t="s">
        <v>80</v>
      </c>
      <c r="H185" s="1043">
        <v>55</v>
      </c>
      <c r="I185" s="1044" t="str">
        <f t="shared" si="1"/>
        <v>H55</v>
      </c>
      <c r="J185" s="125">
        <f t="shared" si="2"/>
        <v>0.15000000000000002</v>
      </c>
      <c r="K185" s="889" t="s">
        <v>2767</v>
      </c>
    </row>
    <row r="186" spans="1:11">
      <c r="A186" s="907"/>
      <c r="B186" s="908"/>
      <c r="C186" s="909"/>
      <c r="D186" s="909"/>
      <c r="F186" s="105">
        <v>6</v>
      </c>
      <c r="G186" s="1042" t="s">
        <v>2664</v>
      </c>
      <c r="H186" s="1043">
        <v>55</v>
      </c>
      <c r="I186" s="1044" t="str">
        <f t="shared" si="1"/>
        <v>T55</v>
      </c>
      <c r="J186" s="125">
        <f t="shared" si="2"/>
        <v>0.15000000000000002</v>
      </c>
      <c r="K186" s="889" t="s">
        <v>3402</v>
      </c>
    </row>
    <row r="187" spans="1:11">
      <c r="A187" s="907"/>
      <c r="B187" s="908"/>
      <c r="C187" s="909"/>
      <c r="D187" s="909"/>
      <c r="F187" s="105">
        <v>7</v>
      </c>
      <c r="G187" s="1042" t="s">
        <v>2764</v>
      </c>
      <c r="H187" s="1043">
        <v>700</v>
      </c>
      <c r="I187" s="1044" t="str">
        <f t="shared" si="1"/>
        <v>K700</v>
      </c>
      <c r="J187" s="125">
        <v>0.15</v>
      </c>
      <c r="K187" s="890"/>
    </row>
    <row r="188" spans="1:11">
      <c r="A188" s="109"/>
      <c r="B188" s="88"/>
      <c r="C188" s="126"/>
      <c r="D188" s="126"/>
      <c r="F188" s="109">
        <v>8</v>
      </c>
      <c r="G188" s="1045"/>
      <c r="H188" s="1046"/>
      <c r="I188" s="1047" t="str">
        <f t="shared" si="1"/>
        <v/>
      </c>
      <c r="J188" s="923"/>
      <c r="K188" s="922"/>
    </row>
    <row r="189" spans="1:11">
      <c r="A189" s="16"/>
      <c r="B189" s="16"/>
      <c r="C189" s="82"/>
      <c r="D189" s="17"/>
    </row>
    <row r="190" spans="1:11" ht="17.5">
      <c r="A190" s="1242" t="s">
        <v>557</v>
      </c>
      <c r="B190" s="1242"/>
    </row>
    <row r="191" spans="1:11">
      <c r="A191" s="104" t="s">
        <v>9</v>
      </c>
      <c r="B191" s="110" t="s">
        <v>56</v>
      </c>
    </row>
    <row r="192" spans="1:11">
      <c r="A192" s="105">
        <v>1</v>
      </c>
      <c r="B192" s="87" t="s">
        <v>240</v>
      </c>
    </row>
    <row r="193" spans="1:6">
      <c r="A193" s="105">
        <v>2</v>
      </c>
      <c r="B193" s="87" t="s">
        <v>2550</v>
      </c>
    </row>
    <row r="194" spans="1:6">
      <c r="A194" s="105">
        <v>3</v>
      </c>
      <c r="B194" s="87" t="s">
        <v>344</v>
      </c>
    </row>
    <row r="195" spans="1:6">
      <c r="A195" s="105"/>
      <c r="B195" s="87"/>
    </row>
    <row r="196" spans="1:6">
      <c r="A196" s="16"/>
      <c r="B196" s="200"/>
    </row>
    <row r="197" spans="1:6" ht="17.5">
      <c r="A197" s="1242" t="s">
        <v>565</v>
      </c>
      <c r="B197" s="1242"/>
      <c r="C197" s="1242"/>
    </row>
    <row r="198" spans="1:6">
      <c r="A198" s="104" t="s">
        <v>9</v>
      </c>
      <c r="B198" s="104" t="s">
        <v>638</v>
      </c>
      <c r="C198" s="110" t="s">
        <v>2809</v>
      </c>
      <c r="D198" s="104" t="s">
        <v>1477</v>
      </c>
    </row>
    <row r="199" spans="1:6">
      <c r="A199" s="105">
        <v>1</v>
      </c>
      <c r="B199" s="105" t="s">
        <v>566</v>
      </c>
      <c r="C199" s="204">
        <f>+ThongTinChung!$C$20</f>
        <v>-8</v>
      </c>
      <c r="D199" s="105" t="s">
        <v>268</v>
      </c>
    </row>
    <row r="200" spans="1:6">
      <c r="A200" s="105">
        <v>2</v>
      </c>
      <c r="B200" s="105" t="s">
        <v>1475</v>
      </c>
      <c r="C200" s="204">
        <f>+ThongTinChung!$C$20</f>
        <v>-8</v>
      </c>
      <c r="D200" s="105"/>
    </row>
    <row r="201" spans="1:6">
      <c r="A201" s="105">
        <v>3</v>
      </c>
      <c r="B201" s="105" t="s">
        <v>1476</v>
      </c>
      <c r="C201" s="204">
        <f>+ThongTinChung!$C$20</f>
        <v>-8</v>
      </c>
      <c r="D201" s="105"/>
    </row>
    <row r="202" spans="1:6">
      <c r="A202" s="105">
        <v>4</v>
      </c>
      <c r="B202" s="105" t="s">
        <v>635</v>
      </c>
      <c r="C202" s="204">
        <v>8</v>
      </c>
      <c r="D202" s="105"/>
    </row>
    <row r="203" spans="1:6">
      <c r="A203" s="105">
        <v>5</v>
      </c>
      <c r="B203" s="105" t="s">
        <v>1832</v>
      </c>
      <c r="C203" s="204">
        <v>0</v>
      </c>
      <c r="D203" s="105" t="s">
        <v>1830</v>
      </c>
    </row>
    <row r="204" spans="1:6">
      <c r="A204" s="105">
        <v>6</v>
      </c>
      <c r="B204" s="105" t="s">
        <v>1831</v>
      </c>
      <c r="C204" s="204">
        <v>0</v>
      </c>
      <c r="D204" s="105" t="s">
        <v>1830</v>
      </c>
    </row>
    <row r="205" spans="1:6">
      <c r="A205" s="105">
        <v>7</v>
      </c>
      <c r="B205" s="105" t="s">
        <v>991</v>
      </c>
      <c r="C205" s="87">
        <v>0</v>
      </c>
      <c r="D205" s="105" t="s">
        <v>1478</v>
      </c>
    </row>
    <row r="206" spans="1:6">
      <c r="A206" s="105">
        <v>8</v>
      </c>
      <c r="B206" s="105" t="s">
        <v>992</v>
      </c>
      <c r="C206" s="87">
        <v>0</v>
      </c>
      <c r="D206" s="105" t="s">
        <v>1478</v>
      </c>
    </row>
    <row r="207" spans="1:6">
      <c r="A207" s="16"/>
      <c r="B207" s="200"/>
      <c r="C207" s="82"/>
      <c r="D207" s="17"/>
    </row>
    <row r="208" spans="1:6" ht="15">
      <c r="A208" s="1243" t="s">
        <v>2715</v>
      </c>
      <c r="B208" s="1243"/>
      <c r="C208" s="1243"/>
      <c r="D208" s="1243"/>
      <c r="E208" s="1243"/>
      <c r="F208" s="1243"/>
    </row>
    <row r="209" spans="1:9">
      <c r="A209" s="108"/>
      <c r="B209" s="914"/>
      <c r="C209" s="1244" t="s">
        <v>2718</v>
      </c>
      <c r="D209" s="1245"/>
      <c r="E209" s="1245"/>
      <c r="F209" s="1245"/>
      <c r="G209" s="1245"/>
      <c r="H209" s="1245"/>
      <c r="I209" s="1245"/>
    </row>
    <row r="210" spans="1:9" s="91" customFormat="1">
      <c r="A210" s="915" t="s">
        <v>2716</v>
      </c>
      <c r="B210" s="916" t="s">
        <v>2717</v>
      </c>
      <c r="C210" s="917" t="s">
        <v>2707</v>
      </c>
      <c r="D210" s="918" t="s">
        <v>2708</v>
      </c>
      <c r="E210" s="915" t="s">
        <v>2709</v>
      </c>
      <c r="F210" s="1058" t="s">
        <v>2710</v>
      </c>
      <c r="G210" s="1061" t="s">
        <v>2765</v>
      </c>
      <c r="H210" s="104" t="s">
        <v>2863</v>
      </c>
      <c r="I210" s="104"/>
    </row>
    <row r="211" spans="1:9">
      <c r="A211" s="87" t="s">
        <v>74</v>
      </c>
      <c r="B211" s="105" t="s">
        <v>2711</v>
      </c>
      <c r="C211" s="930" t="s">
        <v>1475</v>
      </c>
      <c r="D211" s="920"/>
      <c r="E211" s="925" t="s">
        <v>991</v>
      </c>
      <c r="F211" s="1059"/>
      <c r="G211" s="1059"/>
      <c r="H211" s="293"/>
      <c r="I211" s="293"/>
    </row>
    <row r="212" spans="1:9">
      <c r="A212" s="87" t="s">
        <v>74</v>
      </c>
      <c r="B212" s="105"/>
      <c r="C212" s="929" t="s">
        <v>1476</v>
      </c>
      <c r="D212" s="920"/>
      <c r="E212" s="924" t="s">
        <v>992</v>
      </c>
      <c r="F212" s="1059"/>
      <c r="G212" s="1059"/>
      <c r="H212" s="293"/>
      <c r="I212" s="293"/>
    </row>
    <row r="213" spans="1:9">
      <c r="A213" s="87" t="s">
        <v>74</v>
      </c>
      <c r="B213" s="105"/>
      <c r="C213" s="931" t="s">
        <v>635</v>
      </c>
      <c r="D213" s="920"/>
      <c r="E213" s="926"/>
      <c r="F213" s="1060"/>
      <c r="G213" s="1059"/>
      <c r="H213" s="293"/>
      <c r="I213" s="293"/>
    </row>
    <row r="214" spans="1:9">
      <c r="A214" s="87" t="s">
        <v>74</v>
      </c>
      <c r="B214" s="105" t="s">
        <v>2720</v>
      </c>
      <c r="C214" s="930" t="s">
        <v>1552</v>
      </c>
      <c r="D214" s="920"/>
      <c r="E214" s="293" t="s">
        <v>1552</v>
      </c>
      <c r="F214" s="1059"/>
      <c r="G214" s="1059"/>
      <c r="H214" s="293"/>
      <c r="I214" s="293"/>
    </row>
    <row r="215" spans="1:9">
      <c r="A215" s="87" t="s">
        <v>74</v>
      </c>
      <c r="B215" s="105"/>
      <c r="C215" s="919" t="s">
        <v>1553</v>
      </c>
      <c r="D215" s="920"/>
      <c r="E215" s="293" t="s">
        <v>1553</v>
      </c>
      <c r="F215" s="1059"/>
      <c r="G215" s="1059"/>
      <c r="H215" s="293"/>
      <c r="I215" s="293"/>
    </row>
    <row r="216" spans="1:9">
      <c r="A216" s="87" t="s">
        <v>74</v>
      </c>
      <c r="B216" s="105" t="s">
        <v>2790</v>
      </c>
      <c r="C216" s="930" t="s">
        <v>2774</v>
      </c>
      <c r="D216" s="925" t="s">
        <v>2774</v>
      </c>
      <c r="E216" s="919"/>
      <c r="F216" s="930" t="s">
        <v>2774</v>
      </c>
      <c r="G216" s="925" t="s">
        <v>2774</v>
      </c>
      <c r="H216" s="925" t="s">
        <v>2774</v>
      </c>
      <c r="I216" s="293"/>
    </row>
    <row r="217" spans="1:9">
      <c r="A217" s="87" t="s">
        <v>74</v>
      </c>
      <c r="B217" s="105"/>
      <c r="C217" s="931" t="s">
        <v>2775</v>
      </c>
      <c r="D217" s="926" t="s">
        <v>2775</v>
      </c>
      <c r="E217" s="919"/>
      <c r="F217" s="931" t="s">
        <v>2775</v>
      </c>
      <c r="G217" s="926" t="s">
        <v>2775</v>
      </c>
      <c r="H217" s="926" t="s">
        <v>2775</v>
      </c>
      <c r="I217" s="293"/>
    </row>
    <row r="218" spans="1:9">
      <c r="A218" s="87" t="s">
        <v>74</v>
      </c>
      <c r="B218" s="105" t="s">
        <v>2791</v>
      </c>
      <c r="C218" s="930" t="s">
        <v>2774</v>
      </c>
      <c r="D218" s="925" t="s">
        <v>2774</v>
      </c>
      <c r="E218" s="919"/>
      <c r="F218" s="930" t="s">
        <v>2774</v>
      </c>
      <c r="G218" s="1059"/>
      <c r="H218" s="293"/>
      <c r="I218" s="293"/>
    </row>
    <row r="219" spans="1:9">
      <c r="A219" s="87" t="s">
        <v>74</v>
      </c>
      <c r="B219" s="105"/>
      <c r="C219" s="931" t="s">
        <v>2775</v>
      </c>
      <c r="D219" s="926" t="s">
        <v>2775</v>
      </c>
      <c r="E219" s="919"/>
      <c r="F219" s="931" t="s">
        <v>2775</v>
      </c>
      <c r="G219" s="1059"/>
      <c r="H219" s="293"/>
      <c r="I219" s="293"/>
    </row>
    <row r="220" spans="1:9">
      <c r="A220" s="87" t="s">
        <v>269</v>
      </c>
      <c r="B220" s="105" t="s">
        <v>2711</v>
      </c>
      <c r="C220" s="919" t="s">
        <v>1475</v>
      </c>
      <c r="D220" s="920"/>
      <c r="E220" s="925" t="s">
        <v>991</v>
      </c>
      <c r="F220" s="1059"/>
      <c r="G220" s="1059"/>
      <c r="H220" s="293"/>
      <c r="I220" s="293"/>
    </row>
    <row r="221" spans="1:9">
      <c r="A221" s="87" t="s">
        <v>269</v>
      </c>
      <c r="B221" s="105"/>
      <c r="C221" s="929" t="s">
        <v>1476</v>
      </c>
      <c r="D221" s="920"/>
      <c r="E221" s="924" t="s">
        <v>992</v>
      </c>
      <c r="F221" s="1059"/>
      <c r="G221" s="1059"/>
      <c r="H221" s="293"/>
      <c r="I221" s="293"/>
    </row>
    <row r="222" spans="1:9">
      <c r="A222" s="87" t="s">
        <v>269</v>
      </c>
      <c r="B222" s="105"/>
      <c r="C222" s="931" t="s">
        <v>635</v>
      </c>
      <c r="D222" s="920"/>
      <c r="E222" s="926"/>
      <c r="F222" s="1059"/>
      <c r="G222" s="1059"/>
      <c r="H222" s="293"/>
      <c r="I222" s="293"/>
    </row>
    <row r="223" spans="1:9">
      <c r="A223" s="87" t="s">
        <v>269</v>
      </c>
      <c r="B223" s="105" t="s">
        <v>2720</v>
      </c>
      <c r="C223" s="930" t="s">
        <v>1552</v>
      </c>
      <c r="D223" s="920"/>
      <c r="E223" s="925" t="s">
        <v>1552</v>
      </c>
      <c r="F223" s="925" t="s">
        <v>2733</v>
      </c>
      <c r="G223" s="1059"/>
      <c r="H223" s="293"/>
      <c r="I223" s="293"/>
    </row>
    <row r="224" spans="1:9">
      <c r="A224" s="87" t="s">
        <v>269</v>
      </c>
      <c r="B224" s="105"/>
      <c r="C224" s="919" t="s">
        <v>1553</v>
      </c>
      <c r="D224" s="920"/>
      <c r="E224" s="293" t="s">
        <v>1553</v>
      </c>
      <c r="F224" s="1059" t="s">
        <v>1782</v>
      </c>
      <c r="G224" s="1059"/>
      <c r="H224" s="293"/>
      <c r="I224" s="293"/>
    </row>
    <row r="225" spans="1:9">
      <c r="A225" s="87" t="s">
        <v>269</v>
      </c>
      <c r="B225" s="105" t="s">
        <v>2790</v>
      </c>
      <c r="C225" s="930" t="s">
        <v>2774</v>
      </c>
      <c r="D225" s="925" t="s">
        <v>2774</v>
      </c>
      <c r="E225" s="293"/>
      <c r="F225" s="930" t="s">
        <v>2774</v>
      </c>
      <c r="G225" s="925" t="s">
        <v>2774</v>
      </c>
      <c r="H225" s="925" t="s">
        <v>2774</v>
      </c>
      <c r="I225" s="293"/>
    </row>
    <row r="226" spans="1:9">
      <c r="A226" s="87" t="s">
        <v>269</v>
      </c>
      <c r="B226" s="105"/>
      <c r="C226" s="931" t="s">
        <v>2775</v>
      </c>
      <c r="D226" s="926" t="s">
        <v>2775</v>
      </c>
      <c r="E226" s="293"/>
      <c r="F226" s="931" t="s">
        <v>2775</v>
      </c>
      <c r="G226" s="926" t="s">
        <v>2775</v>
      </c>
      <c r="H226" s="926" t="s">
        <v>2775</v>
      </c>
      <c r="I226" s="293"/>
    </row>
    <row r="227" spans="1:9">
      <c r="A227" s="87" t="s">
        <v>269</v>
      </c>
      <c r="B227" s="105" t="s">
        <v>2791</v>
      </c>
      <c r="C227" s="930" t="s">
        <v>2774</v>
      </c>
      <c r="D227" s="925" t="s">
        <v>2774</v>
      </c>
      <c r="E227" s="293"/>
      <c r="F227" s="930" t="s">
        <v>2774</v>
      </c>
      <c r="G227" s="1059"/>
      <c r="H227" s="293"/>
      <c r="I227" s="293"/>
    </row>
    <row r="228" spans="1:9">
      <c r="A228" s="87" t="s">
        <v>269</v>
      </c>
      <c r="B228" s="105"/>
      <c r="C228" s="931" t="s">
        <v>2775</v>
      </c>
      <c r="D228" s="926" t="s">
        <v>2775</v>
      </c>
      <c r="E228" s="293"/>
      <c r="F228" s="931" t="s">
        <v>2775</v>
      </c>
      <c r="G228" s="1059"/>
      <c r="H228" s="293"/>
      <c r="I228" s="293"/>
    </row>
    <row r="229" spans="1:9">
      <c r="A229" s="87" t="s">
        <v>2566</v>
      </c>
      <c r="B229" s="105" t="s">
        <v>2711</v>
      </c>
      <c r="C229" s="930" t="s">
        <v>1475</v>
      </c>
      <c r="D229" s="920"/>
      <c r="E229" s="925"/>
      <c r="F229" s="1059"/>
      <c r="G229" s="1059"/>
      <c r="H229" s="293"/>
      <c r="I229" s="293"/>
    </row>
    <row r="230" spans="1:9">
      <c r="A230" s="87" t="s">
        <v>2566</v>
      </c>
      <c r="B230" s="105"/>
      <c r="C230" s="929" t="s">
        <v>1476</v>
      </c>
      <c r="D230" s="920"/>
      <c r="E230" s="924"/>
      <c r="F230" s="1059"/>
      <c r="G230" s="1059"/>
      <c r="H230" s="293"/>
      <c r="I230" s="293"/>
    </row>
    <row r="231" spans="1:9">
      <c r="A231" s="87" t="s">
        <v>2566</v>
      </c>
      <c r="B231" s="105"/>
      <c r="C231" s="931" t="s">
        <v>635</v>
      </c>
      <c r="D231" s="920"/>
      <c r="E231" s="926"/>
      <c r="F231" s="1060"/>
      <c r="G231" s="1059"/>
      <c r="H231" s="293"/>
      <c r="I231" s="293"/>
    </row>
    <row r="232" spans="1:9">
      <c r="A232" s="87" t="s">
        <v>2566</v>
      </c>
      <c r="B232" s="1075" t="s">
        <v>2720</v>
      </c>
      <c r="C232" s="930" t="s">
        <v>3312</v>
      </c>
      <c r="D232" s="920"/>
      <c r="E232" s="293"/>
      <c r="F232" s="1059"/>
      <c r="G232" s="1059"/>
      <c r="H232" s="293"/>
      <c r="I232" s="293"/>
    </row>
    <row r="233" spans="1:9">
      <c r="A233" s="87" t="s">
        <v>2566</v>
      </c>
      <c r="B233" s="1075"/>
      <c r="C233" s="929" t="s">
        <v>3313</v>
      </c>
      <c r="D233" s="920"/>
      <c r="E233" s="293"/>
      <c r="F233" s="1059"/>
      <c r="G233" s="1059"/>
      <c r="H233" s="293"/>
      <c r="I233" s="293"/>
    </row>
    <row r="234" spans="1:9">
      <c r="A234" s="87" t="s">
        <v>2566</v>
      </c>
      <c r="B234" s="1075"/>
      <c r="C234" s="929" t="s">
        <v>3314</v>
      </c>
      <c r="D234" s="920"/>
      <c r="E234" s="293"/>
      <c r="F234" s="1059"/>
      <c r="G234" s="1059"/>
      <c r="H234" s="293"/>
      <c r="I234" s="293"/>
    </row>
    <row r="235" spans="1:9">
      <c r="A235" s="87" t="s">
        <v>2566</v>
      </c>
      <c r="B235" s="1075"/>
      <c r="C235" s="931" t="s">
        <v>3315</v>
      </c>
      <c r="D235" s="933"/>
      <c r="E235" s="293"/>
      <c r="F235" s="925"/>
      <c r="G235" s="925"/>
      <c r="H235" s="925"/>
      <c r="I235" s="293"/>
    </row>
    <row r="236" spans="1:9">
      <c r="A236" s="87" t="s">
        <v>2566</v>
      </c>
      <c r="B236" s="105" t="s">
        <v>2790</v>
      </c>
      <c r="C236" s="930"/>
      <c r="D236" s="925"/>
      <c r="E236" s="919"/>
      <c r="F236" s="930"/>
      <c r="G236" s="925"/>
      <c r="H236" s="925"/>
      <c r="I236" s="293"/>
    </row>
    <row r="237" spans="1:9">
      <c r="A237" s="87" t="s">
        <v>2566</v>
      </c>
      <c r="B237" s="105"/>
      <c r="C237" s="931"/>
      <c r="D237" s="926"/>
      <c r="E237" s="919"/>
      <c r="F237" s="931"/>
      <c r="G237" s="926"/>
      <c r="H237" s="926"/>
      <c r="I237" s="293"/>
    </row>
    <row r="238" spans="1:9">
      <c r="A238" s="87" t="s">
        <v>2566</v>
      </c>
      <c r="B238" s="105" t="s">
        <v>2791</v>
      </c>
      <c r="C238" s="930"/>
      <c r="D238" s="925"/>
      <c r="E238" s="919"/>
      <c r="F238" s="930"/>
      <c r="G238" s="1059"/>
      <c r="H238" s="293"/>
      <c r="I238" s="293"/>
    </row>
    <row r="239" spans="1:9">
      <c r="A239" s="87" t="s">
        <v>2566</v>
      </c>
      <c r="B239" s="105"/>
      <c r="C239" s="931"/>
      <c r="D239" s="926"/>
      <c r="E239" s="919"/>
      <c r="F239" s="931"/>
      <c r="G239" s="1059"/>
      <c r="H239" s="293"/>
      <c r="I239" s="293"/>
    </row>
    <row r="240" spans="1:9">
      <c r="A240" s="87" t="s">
        <v>3252</v>
      </c>
      <c r="B240" s="105" t="s">
        <v>2711</v>
      </c>
      <c r="C240" s="930" t="s">
        <v>1475</v>
      </c>
      <c r="D240" s="920"/>
      <c r="E240" s="925" t="s">
        <v>991</v>
      </c>
      <c r="F240" s="1059"/>
      <c r="G240" s="1059"/>
      <c r="H240" s="293"/>
      <c r="I240" s="293"/>
    </row>
    <row r="241" spans="1:9">
      <c r="A241" s="87" t="s">
        <v>3252</v>
      </c>
      <c r="B241" s="105"/>
      <c r="C241" s="929" t="s">
        <v>1476</v>
      </c>
      <c r="D241" s="920"/>
      <c r="E241" s="924" t="s">
        <v>992</v>
      </c>
      <c r="F241" s="1059"/>
      <c r="G241" s="1059"/>
      <c r="H241" s="293"/>
      <c r="I241" s="293"/>
    </row>
    <row r="242" spans="1:9">
      <c r="A242" s="87" t="s">
        <v>3252</v>
      </c>
      <c r="B242" s="105"/>
      <c r="C242" s="931" t="s">
        <v>635</v>
      </c>
      <c r="D242" s="920"/>
      <c r="E242" s="926"/>
      <c r="F242" s="1060"/>
      <c r="G242" s="1059"/>
      <c r="H242" s="293"/>
      <c r="I242" s="293"/>
    </row>
    <row r="243" spans="1:9">
      <c r="A243" s="87" t="s">
        <v>3252</v>
      </c>
      <c r="B243" s="105" t="s">
        <v>2720</v>
      </c>
      <c r="C243" s="930" t="s">
        <v>1552</v>
      </c>
      <c r="D243" s="920"/>
      <c r="E243" s="293" t="s">
        <v>1552</v>
      </c>
      <c r="F243" s="1059"/>
      <c r="G243" s="1059"/>
      <c r="H243" s="293"/>
      <c r="I243" s="293"/>
    </row>
    <row r="244" spans="1:9">
      <c r="A244" s="87" t="s">
        <v>3252</v>
      </c>
      <c r="B244" s="105"/>
      <c r="C244" s="919" t="s">
        <v>1553</v>
      </c>
      <c r="D244" s="920"/>
      <c r="E244" s="293" t="s">
        <v>1553</v>
      </c>
      <c r="F244" s="1059"/>
      <c r="G244" s="1059"/>
      <c r="H244" s="293"/>
      <c r="I244" s="293"/>
    </row>
    <row r="245" spans="1:9">
      <c r="A245" s="87" t="s">
        <v>3252</v>
      </c>
      <c r="B245" s="105" t="s">
        <v>2790</v>
      </c>
      <c r="C245" s="930" t="s">
        <v>2774</v>
      </c>
      <c r="D245" s="925" t="s">
        <v>2774</v>
      </c>
      <c r="E245" s="919"/>
      <c r="F245" s="930" t="s">
        <v>2774</v>
      </c>
      <c r="G245" s="925" t="s">
        <v>2774</v>
      </c>
      <c r="H245" s="925" t="s">
        <v>2774</v>
      </c>
      <c r="I245" s="293"/>
    </row>
    <row r="246" spans="1:9">
      <c r="A246" s="87" t="s">
        <v>3252</v>
      </c>
      <c r="B246" s="105"/>
      <c r="C246" s="931" t="s">
        <v>2775</v>
      </c>
      <c r="D246" s="926" t="s">
        <v>2775</v>
      </c>
      <c r="E246" s="919"/>
      <c r="F246" s="931" t="s">
        <v>2775</v>
      </c>
      <c r="G246" s="926" t="s">
        <v>2775</v>
      </c>
      <c r="H246" s="926" t="s">
        <v>2775</v>
      </c>
      <c r="I246" s="293"/>
    </row>
    <row r="247" spans="1:9">
      <c r="A247" s="87" t="s">
        <v>3252</v>
      </c>
      <c r="B247" s="105" t="s">
        <v>2791</v>
      </c>
      <c r="C247" s="930" t="s">
        <v>2774</v>
      </c>
      <c r="D247" s="925" t="s">
        <v>2774</v>
      </c>
      <c r="E247" s="919"/>
      <c r="F247" s="930" t="s">
        <v>2774</v>
      </c>
      <c r="G247" s="1059"/>
      <c r="H247" s="293"/>
      <c r="I247" s="293"/>
    </row>
    <row r="248" spans="1:9">
      <c r="A248" s="87" t="s">
        <v>3252</v>
      </c>
      <c r="B248" s="105"/>
      <c r="C248" s="931" t="s">
        <v>2775</v>
      </c>
      <c r="D248" s="926" t="s">
        <v>2775</v>
      </c>
      <c r="E248" s="919"/>
      <c r="F248" s="931" t="s">
        <v>2775</v>
      </c>
      <c r="G248" s="1059"/>
      <c r="H248" s="293"/>
      <c r="I248" s="293"/>
    </row>
    <row r="249" spans="1:9">
      <c r="A249" s="87" t="s">
        <v>141</v>
      </c>
      <c r="B249" s="105" t="s">
        <v>2711</v>
      </c>
      <c r="C249" s="919"/>
      <c r="D249" s="920"/>
      <c r="E249" s="293"/>
      <c r="F249" s="1059"/>
      <c r="G249" s="1059"/>
      <c r="H249" s="293"/>
      <c r="I249" s="293"/>
    </row>
    <row r="250" spans="1:9">
      <c r="A250" s="87" t="s">
        <v>141</v>
      </c>
      <c r="B250" s="105"/>
      <c r="C250" s="929"/>
      <c r="D250" s="920"/>
      <c r="E250" s="293"/>
      <c r="F250" s="1059"/>
      <c r="G250" s="1059"/>
      <c r="H250" s="293"/>
      <c r="I250" s="293"/>
    </row>
    <row r="251" spans="1:9">
      <c r="A251" s="87" t="s">
        <v>141</v>
      </c>
      <c r="B251" s="105"/>
      <c r="C251" s="931"/>
      <c r="D251" s="920"/>
      <c r="E251" s="293"/>
      <c r="F251" s="1059"/>
      <c r="G251" s="1059"/>
      <c r="H251" s="293"/>
      <c r="I251" s="293"/>
    </row>
    <row r="252" spans="1:9">
      <c r="A252" s="87" t="s">
        <v>141</v>
      </c>
      <c r="B252" s="105" t="s">
        <v>2720</v>
      </c>
      <c r="C252" s="930" t="s">
        <v>1552</v>
      </c>
      <c r="D252" s="920"/>
      <c r="E252" s="293"/>
      <c r="F252" s="1059"/>
      <c r="G252" s="1059"/>
      <c r="H252" s="293"/>
      <c r="I252" s="293"/>
    </row>
    <row r="253" spans="1:9">
      <c r="A253" s="87" t="s">
        <v>141</v>
      </c>
      <c r="B253" s="105"/>
      <c r="C253" s="931" t="s">
        <v>1553</v>
      </c>
      <c r="D253" s="920"/>
      <c r="E253" s="293"/>
      <c r="F253" s="1059"/>
      <c r="G253" s="1059"/>
      <c r="H253" s="293"/>
      <c r="I253" s="293"/>
    </row>
    <row r="254" spans="1:9">
      <c r="A254" s="87" t="s">
        <v>268</v>
      </c>
      <c r="B254" s="105" t="s">
        <v>2711</v>
      </c>
      <c r="C254" s="930" t="s">
        <v>566</v>
      </c>
      <c r="D254" s="933" t="s">
        <v>1832</v>
      </c>
      <c r="E254" s="925" t="s">
        <v>566</v>
      </c>
      <c r="F254" s="1059"/>
      <c r="G254" s="1059"/>
      <c r="H254" s="293"/>
      <c r="I254" s="293"/>
    </row>
    <row r="255" spans="1:9">
      <c r="A255" s="87" t="s">
        <v>268</v>
      </c>
      <c r="B255" s="105"/>
      <c r="C255" s="931" t="s">
        <v>635</v>
      </c>
      <c r="D255" s="934" t="s">
        <v>1831</v>
      </c>
      <c r="E255" s="926" t="s">
        <v>635</v>
      </c>
      <c r="F255" s="1059"/>
      <c r="G255" s="1059"/>
      <c r="H255" s="293"/>
      <c r="I255" s="293"/>
    </row>
    <row r="256" spans="1:9">
      <c r="A256" s="87" t="s">
        <v>268</v>
      </c>
      <c r="B256" s="105" t="s">
        <v>2720</v>
      </c>
      <c r="C256" s="930" t="s">
        <v>1552</v>
      </c>
      <c r="D256" s="920"/>
      <c r="E256" s="925" t="s">
        <v>1552</v>
      </c>
      <c r="F256" s="1059"/>
      <c r="G256" s="1059"/>
      <c r="H256" s="293"/>
      <c r="I256" s="293"/>
    </row>
    <row r="257" spans="1:9">
      <c r="A257" s="87" t="s">
        <v>268</v>
      </c>
      <c r="B257" s="105"/>
      <c r="C257" s="931" t="s">
        <v>1553</v>
      </c>
      <c r="D257" s="920"/>
      <c r="E257" s="926" t="s">
        <v>1553</v>
      </c>
      <c r="F257" s="1059"/>
      <c r="G257" s="1059"/>
      <c r="H257" s="293"/>
      <c r="I257" s="293"/>
    </row>
    <row r="258" spans="1:9">
      <c r="A258" s="87" t="s">
        <v>1517</v>
      </c>
      <c r="B258" s="105" t="s">
        <v>2711</v>
      </c>
      <c r="C258" s="930" t="s">
        <v>1475</v>
      </c>
      <c r="D258" s="920"/>
      <c r="E258" s="293"/>
      <c r="F258" s="1059"/>
      <c r="G258" s="1059"/>
      <c r="H258" s="293"/>
      <c r="I258" s="293"/>
    </row>
    <row r="259" spans="1:9">
      <c r="A259" s="87" t="s">
        <v>1517</v>
      </c>
      <c r="B259" s="105"/>
      <c r="C259" s="931" t="s">
        <v>635</v>
      </c>
      <c r="D259" s="920"/>
      <c r="E259" s="293"/>
      <c r="F259" s="1059"/>
      <c r="G259" s="1059"/>
      <c r="H259" s="293"/>
      <c r="I259" s="293"/>
    </row>
    <row r="260" spans="1:9">
      <c r="A260" s="87" t="s">
        <v>1517</v>
      </c>
      <c r="B260" s="105" t="s">
        <v>2720</v>
      </c>
      <c r="C260" s="930" t="s">
        <v>1552</v>
      </c>
      <c r="D260" s="920"/>
      <c r="E260" s="293"/>
      <c r="F260" s="1059"/>
      <c r="G260" s="1059"/>
      <c r="H260" s="293"/>
      <c r="I260" s="293"/>
    </row>
    <row r="261" spans="1:9">
      <c r="A261" s="87" t="s">
        <v>1517</v>
      </c>
      <c r="B261" s="105"/>
      <c r="C261" s="931" t="s">
        <v>1553</v>
      </c>
      <c r="D261" s="920"/>
      <c r="E261" s="293"/>
      <c r="F261" s="1059"/>
      <c r="G261" s="1059"/>
      <c r="H261" s="293"/>
      <c r="I261" s="293"/>
    </row>
    <row r="262" spans="1:9">
      <c r="A262" s="87" t="s">
        <v>85</v>
      </c>
      <c r="B262" s="105" t="s">
        <v>2720</v>
      </c>
      <c r="C262" s="930" t="s">
        <v>2733</v>
      </c>
      <c r="D262" s="933" t="s">
        <v>1783</v>
      </c>
      <c r="E262" s="925" t="s">
        <v>1552</v>
      </c>
      <c r="F262" s="925" t="s">
        <v>2733</v>
      </c>
      <c r="G262" s="1059"/>
      <c r="H262" s="293"/>
      <c r="I262" s="293"/>
    </row>
    <row r="263" spans="1:9">
      <c r="A263" s="87" t="s">
        <v>85</v>
      </c>
      <c r="B263" s="105"/>
      <c r="C263" s="929" t="s">
        <v>1782</v>
      </c>
      <c r="D263" s="933" t="s">
        <v>3148</v>
      </c>
      <c r="E263" s="924" t="s">
        <v>1553</v>
      </c>
      <c r="F263" s="924" t="s">
        <v>1782</v>
      </c>
      <c r="G263" s="1059"/>
      <c r="H263" s="293"/>
      <c r="I263" s="293"/>
    </row>
    <row r="264" spans="1:9">
      <c r="A264" s="87" t="s">
        <v>85</v>
      </c>
      <c r="B264" s="105"/>
      <c r="C264" s="929" t="s">
        <v>2742</v>
      </c>
      <c r="D264" s="932" t="s">
        <v>1782</v>
      </c>
      <c r="E264" s="924"/>
      <c r="F264" s="924" t="s">
        <v>2742</v>
      </c>
      <c r="G264" s="1059"/>
      <c r="H264" s="293"/>
      <c r="I264" s="293"/>
    </row>
    <row r="265" spans="1:9">
      <c r="A265" s="87" t="s">
        <v>85</v>
      </c>
      <c r="B265" s="105"/>
      <c r="C265" s="931"/>
      <c r="D265" s="932" t="s">
        <v>1780</v>
      </c>
      <c r="E265" s="926"/>
      <c r="F265" s="926"/>
      <c r="G265" s="1059"/>
      <c r="H265" s="293"/>
      <c r="I265" s="293"/>
    </row>
    <row r="266" spans="1:9">
      <c r="A266" s="87" t="s">
        <v>85</v>
      </c>
      <c r="B266" s="105"/>
      <c r="C266" s="931"/>
      <c r="D266" s="934" t="s">
        <v>1781</v>
      </c>
      <c r="E266" s="926"/>
      <c r="F266" s="926"/>
      <c r="G266" s="1059"/>
      <c r="H266" s="293"/>
      <c r="I266" s="293"/>
    </row>
    <row r="267" spans="1:9">
      <c r="A267" s="87" t="s">
        <v>85</v>
      </c>
      <c r="B267" s="105"/>
      <c r="C267" s="931"/>
      <c r="D267" s="934" t="s">
        <v>3137</v>
      </c>
      <c r="E267" s="926"/>
      <c r="F267" s="926"/>
      <c r="G267" s="1059"/>
      <c r="H267" s="293"/>
      <c r="I267" s="293"/>
    </row>
    <row r="268" spans="1:9">
      <c r="A268" s="87" t="s">
        <v>85</v>
      </c>
      <c r="B268" s="105" t="s">
        <v>2712</v>
      </c>
      <c r="C268" s="930" t="s">
        <v>1626</v>
      </c>
      <c r="D268" s="938"/>
      <c r="E268" s="939" t="s">
        <v>1626</v>
      </c>
      <c r="F268" s="925" t="s">
        <v>1626</v>
      </c>
      <c r="G268" s="1059"/>
      <c r="H268" s="293"/>
      <c r="I268" s="293"/>
    </row>
    <row r="269" spans="1:9">
      <c r="A269" s="87" t="s">
        <v>85</v>
      </c>
      <c r="B269" s="105"/>
      <c r="C269" s="931" t="s">
        <v>1623</v>
      </c>
      <c r="D269" s="938"/>
      <c r="E269" s="293" t="s">
        <v>2722</v>
      </c>
      <c r="F269" s="926" t="s">
        <v>1623</v>
      </c>
      <c r="G269" s="1059"/>
      <c r="H269" s="293"/>
      <c r="I269" s="293"/>
    </row>
    <row r="270" spans="1:9">
      <c r="A270" s="87" t="s">
        <v>85</v>
      </c>
      <c r="B270" s="105"/>
      <c r="C270" s="937"/>
      <c r="D270" s="938"/>
      <c r="E270" s="80" t="s">
        <v>2721</v>
      </c>
      <c r="F270" s="926"/>
      <c r="G270" s="1059"/>
      <c r="H270" s="293"/>
      <c r="I270" s="293"/>
    </row>
    <row r="271" spans="1:9">
      <c r="A271" s="87" t="s">
        <v>85</v>
      </c>
      <c r="B271" s="105" t="s">
        <v>2713</v>
      </c>
      <c r="C271" s="930" t="s">
        <v>1060</v>
      </c>
      <c r="D271" s="920"/>
      <c r="E271" s="925" t="s">
        <v>1060</v>
      </c>
      <c r="F271" s="1059"/>
      <c r="G271" s="1059"/>
      <c r="H271" s="293"/>
      <c r="I271" s="293"/>
    </row>
    <row r="272" spans="1:9">
      <c r="A272" s="87" t="s">
        <v>85</v>
      </c>
      <c r="B272" s="105"/>
      <c r="C272" s="929" t="s">
        <v>2699</v>
      </c>
      <c r="D272" s="920"/>
      <c r="E272" s="924" t="s">
        <v>2699</v>
      </c>
      <c r="F272" s="1059"/>
      <c r="G272" s="1059"/>
      <c r="H272" s="293"/>
      <c r="I272" s="293"/>
    </row>
    <row r="273" spans="1:9">
      <c r="A273" s="87" t="s">
        <v>85</v>
      </c>
      <c r="B273" s="105"/>
      <c r="C273" s="931" t="s">
        <v>2700</v>
      </c>
      <c r="D273" s="920"/>
      <c r="E273" s="926"/>
      <c r="F273" s="1059"/>
      <c r="G273" s="1059"/>
      <c r="H273" s="293"/>
      <c r="I273" s="293"/>
    </row>
    <row r="274" spans="1:9">
      <c r="A274" s="87" t="s">
        <v>85</v>
      </c>
      <c r="B274" s="105" t="s">
        <v>2714</v>
      </c>
      <c r="C274" s="930" t="s">
        <v>17</v>
      </c>
      <c r="D274" s="933" t="s">
        <v>1705</v>
      </c>
      <c r="E274" s="925" t="s">
        <v>2088</v>
      </c>
      <c r="F274" s="925" t="s">
        <v>442</v>
      </c>
      <c r="G274" s="1059"/>
      <c r="H274" s="293"/>
      <c r="I274" s="293"/>
    </row>
    <row r="275" spans="1:9">
      <c r="A275" s="87" t="s">
        <v>85</v>
      </c>
      <c r="B275" s="105"/>
      <c r="C275" s="929" t="s">
        <v>21</v>
      </c>
      <c r="D275" s="932" t="s">
        <v>1704</v>
      </c>
      <c r="E275" s="924"/>
      <c r="F275" s="924" t="s">
        <v>1698</v>
      </c>
      <c r="G275" s="1059"/>
      <c r="H275" s="293"/>
      <c r="I275" s="293"/>
    </row>
    <row r="276" spans="1:9">
      <c r="A276" s="87" t="s">
        <v>85</v>
      </c>
      <c r="B276" s="105"/>
      <c r="C276" s="929" t="s">
        <v>442</v>
      </c>
      <c r="D276" s="932"/>
      <c r="E276" s="924"/>
      <c r="F276" s="924" t="s">
        <v>1699</v>
      </c>
      <c r="G276" s="1059"/>
      <c r="H276" s="293"/>
      <c r="I276" s="293"/>
    </row>
    <row r="277" spans="1:9">
      <c r="A277" s="87" t="s">
        <v>85</v>
      </c>
      <c r="B277" s="105"/>
      <c r="C277" s="929" t="s">
        <v>1698</v>
      </c>
      <c r="D277" s="932"/>
      <c r="E277" s="924"/>
      <c r="F277" s="924" t="s">
        <v>1700</v>
      </c>
      <c r="G277" s="1059"/>
      <c r="H277" s="293"/>
      <c r="I277" s="293"/>
    </row>
    <row r="278" spans="1:9">
      <c r="A278" s="87" t="s">
        <v>85</v>
      </c>
      <c r="B278" s="105"/>
      <c r="C278" s="929" t="s">
        <v>1699</v>
      </c>
      <c r="D278" s="932"/>
      <c r="E278" s="924"/>
      <c r="F278" s="924" t="s">
        <v>1701</v>
      </c>
      <c r="G278" s="1059"/>
      <c r="H278" s="293"/>
      <c r="I278" s="293"/>
    </row>
    <row r="279" spans="1:9">
      <c r="A279" s="87" t="s">
        <v>85</v>
      </c>
      <c r="B279" s="105"/>
      <c r="C279" s="929" t="s">
        <v>1700</v>
      </c>
      <c r="D279" s="932"/>
      <c r="E279" s="924"/>
      <c r="F279" s="924"/>
      <c r="G279" s="1059"/>
      <c r="H279" s="293"/>
      <c r="I279" s="293"/>
    </row>
    <row r="280" spans="1:9">
      <c r="A280" s="87" t="s">
        <v>85</v>
      </c>
      <c r="B280" s="105"/>
      <c r="C280" s="931" t="s">
        <v>1701</v>
      </c>
      <c r="D280" s="932"/>
      <c r="E280" s="924"/>
      <c r="F280" s="924"/>
      <c r="G280" s="1059"/>
      <c r="H280" s="293"/>
      <c r="I280" s="293"/>
    </row>
    <row r="281" spans="1:9">
      <c r="A281" s="87" t="s">
        <v>85</v>
      </c>
      <c r="B281" s="105"/>
      <c r="C281" s="931"/>
      <c r="D281" s="934"/>
      <c r="E281" s="926"/>
      <c r="F281" s="926"/>
      <c r="G281" s="1059"/>
      <c r="H281" s="293"/>
      <c r="I281" s="293"/>
    </row>
    <row r="282" spans="1:9">
      <c r="A282" s="87" t="s">
        <v>98</v>
      </c>
      <c r="B282" s="105" t="s">
        <v>2720</v>
      </c>
      <c r="C282" s="919"/>
      <c r="D282" s="933" t="s">
        <v>1783</v>
      </c>
      <c r="E282" s="925" t="s">
        <v>1552</v>
      </c>
      <c r="F282" s="1059"/>
      <c r="G282" s="1059"/>
      <c r="H282" s="293"/>
      <c r="I282" s="293"/>
    </row>
    <row r="283" spans="1:9">
      <c r="A283" s="87" t="s">
        <v>98</v>
      </c>
      <c r="B283" s="105"/>
      <c r="C283" s="919"/>
      <c r="D283" s="932" t="s">
        <v>1782</v>
      </c>
      <c r="E283" s="924" t="s">
        <v>1553</v>
      </c>
      <c r="F283" s="1059"/>
      <c r="G283" s="1059"/>
      <c r="H283" s="293"/>
      <c r="I283" s="293"/>
    </row>
    <row r="284" spans="1:9">
      <c r="A284" s="87" t="s">
        <v>98</v>
      </c>
      <c r="B284" s="105"/>
      <c r="C284" s="919"/>
      <c r="D284" s="932" t="s">
        <v>1780</v>
      </c>
      <c r="E284" s="924"/>
      <c r="F284" s="1059"/>
      <c r="G284" s="1059"/>
      <c r="H284" s="293"/>
      <c r="I284" s="293"/>
    </row>
    <row r="285" spans="1:9">
      <c r="A285" s="87" t="s">
        <v>98</v>
      </c>
      <c r="B285" s="105"/>
      <c r="C285" s="919"/>
      <c r="D285" s="932" t="s">
        <v>1781</v>
      </c>
      <c r="E285" s="924"/>
      <c r="F285" s="1059"/>
      <c r="G285" s="1059"/>
      <c r="H285" s="293"/>
      <c r="I285" s="293"/>
    </row>
    <row r="286" spans="1:9">
      <c r="A286" s="87" t="s">
        <v>98</v>
      </c>
      <c r="B286" s="105"/>
      <c r="C286" s="919"/>
      <c r="D286" s="934" t="s">
        <v>1787</v>
      </c>
      <c r="E286" s="926"/>
      <c r="F286" s="1059"/>
      <c r="G286" s="1059"/>
      <c r="H286" s="293"/>
      <c r="I286" s="293"/>
    </row>
    <row r="287" spans="1:9">
      <c r="A287" s="87" t="s">
        <v>98</v>
      </c>
      <c r="B287" s="105" t="s">
        <v>2712</v>
      </c>
      <c r="C287" s="930" t="s">
        <v>1626</v>
      </c>
      <c r="D287" s="920"/>
      <c r="E287" s="293"/>
      <c r="F287" s="925" t="s">
        <v>1626</v>
      </c>
      <c r="G287" s="1059"/>
      <c r="H287" s="293"/>
      <c r="I287" s="293"/>
    </row>
    <row r="288" spans="1:9">
      <c r="A288" s="87" t="s">
        <v>98</v>
      </c>
      <c r="B288" s="105"/>
      <c r="C288" s="931" t="s">
        <v>1623</v>
      </c>
      <c r="D288" s="920"/>
      <c r="E288" s="293"/>
      <c r="F288" s="926" t="s">
        <v>1623</v>
      </c>
      <c r="G288" s="1059"/>
      <c r="H288" s="293"/>
      <c r="I288" s="293"/>
    </row>
    <row r="289" spans="1:9">
      <c r="A289" s="87" t="s">
        <v>98</v>
      </c>
      <c r="B289" s="105" t="s">
        <v>2713</v>
      </c>
      <c r="C289" s="930" t="s">
        <v>1060</v>
      </c>
      <c r="D289" s="920"/>
      <c r="E289" s="925" t="s">
        <v>1060</v>
      </c>
      <c r="F289" s="1059"/>
      <c r="G289" s="1059"/>
      <c r="H289" s="293"/>
      <c r="I289" s="293"/>
    </row>
    <row r="290" spans="1:9">
      <c r="A290" s="87" t="s">
        <v>98</v>
      </c>
      <c r="B290" s="105"/>
      <c r="C290" s="931" t="s">
        <v>2699</v>
      </c>
      <c r="D290" s="920"/>
      <c r="E290" s="926" t="s">
        <v>2699</v>
      </c>
      <c r="F290" s="1059"/>
      <c r="G290" s="1059"/>
      <c r="H290" s="293"/>
      <c r="I290" s="293"/>
    </row>
    <row r="291" spans="1:9">
      <c r="A291" s="87" t="s">
        <v>98</v>
      </c>
      <c r="B291" s="105" t="s">
        <v>2714</v>
      </c>
      <c r="C291" s="930" t="s">
        <v>17</v>
      </c>
      <c r="D291" s="933" t="s">
        <v>1705</v>
      </c>
      <c r="E291" s="925" t="s">
        <v>2088</v>
      </c>
      <c r="F291" s="925" t="s">
        <v>442</v>
      </c>
      <c r="G291" s="1059"/>
      <c r="H291" s="293"/>
      <c r="I291" s="293"/>
    </row>
    <row r="292" spans="1:9">
      <c r="A292" s="87" t="s">
        <v>98</v>
      </c>
      <c r="B292" s="105"/>
      <c r="C292" s="929" t="s">
        <v>21</v>
      </c>
      <c r="D292" s="932" t="s">
        <v>1704</v>
      </c>
      <c r="E292" s="924"/>
      <c r="F292" s="924" t="s">
        <v>1698</v>
      </c>
      <c r="G292" s="1059"/>
      <c r="H292" s="293"/>
      <c r="I292" s="293"/>
    </row>
    <row r="293" spans="1:9">
      <c r="A293" s="87" t="s">
        <v>98</v>
      </c>
      <c r="B293" s="105"/>
      <c r="C293" s="929" t="s">
        <v>442</v>
      </c>
      <c r="D293" s="932"/>
      <c r="E293" s="924"/>
      <c r="F293" s="924" t="s">
        <v>1699</v>
      </c>
      <c r="G293" s="1059"/>
      <c r="H293" s="293"/>
      <c r="I293" s="293"/>
    </row>
    <row r="294" spans="1:9">
      <c r="A294" s="87" t="s">
        <v>98</v>
      </c>
      <c r="B294" s="105"/>
      <c r="C294" s="929" t="s">
        <v>1698</v>
      </c>
      <c r="D294" s="932"/>
      <c r="E294" s="924"/>
      <c r="F294" s="924" t="s">
        <v>1700</v>
      </c>
      <c r="G294" s="1059"/>
      <c r="H294" s="293"/>
      <c r="I294" s="293"/>
    </row>
    <row r="295" spans="1:9">
      <c r="A295" s="87" t="s">
        <v>98</v>
      </c>
      <c r="B295" s="105"/>
      <c r="C295" s="929" t="s">
        <v>1699</v>
      </c>
      <c r="D295" s="932"/>
      <c r="E295" s="924"/>
      <c r="F295" s="924" t="s">
        <v>1701</v>
      </c>
      <c r="G295" s="1059"/>
      <c r="H295" s="293"/>
      <c r="I295" s="293"/>
    </row>
    <row r="296" spans="1:9">
      <c r="A296" s="87" t="s">
        <v>98</v>
      </c>
      <c r="B296" s="105"/>
      <c r="C296" s="929" t="s">
        <v>1700</v>
      </c>
      <c r="D296" s="932"/>
      <c r="E296" s="924"/>
      <c r="F296" s="924"/>
      <c r="G296" s="1059"/>
      <c r="H296" s="293"/>
      <c r="I296" s="293"/>
    </row>
    <row r="297" spans="1:9">
      <c r="A297" s="87" t="s">
        <v>98</v>
      </c>
      <c r="B297" s="105"/>
      <c r="C297" s="931" t="s">
        <v>1701</v>
      </c>
      <c r="D297" s="932"/>
      <c r="E297" s="924"/>
      <c r="F297" s="924"/>
      <c r="G297" s="1059"/>
      <c r="H297" s="293"/>
      <c r="I297" s="293"/>
    </row>
    <row r="298" spans="1:9">
      <c r="A298" s="87" t="s">
        <v>98</v>
      </c>
      <c r="B298" s="105"/>
      <c r="C298" s="931"/>
      <c r="D298" s="934"/>
      <c r="E298" s="926"/>
      <c r="F298" s="926"/>
      <c r="G298" s="1059"/>
      <c r="H298" s="293"/>
      <c r="I298" s="293"/>
    </row>
    <row r="299" spans="1:9">
      <c r="A299" s="87" t="s">
        <v>2866</v>
      </c>
      <c r="B299" s="105" t="s">
        <v>2720</v>
      </c>
      <c r="C299" s="930" t="s">
        <v>2733</v>
      </c>
      <c r="D299" s="933" t="s">
        <v>2926</v>
      </c>
      <c r="E299" s="925" t="s">
        <v>1552</v>
      </c>
      <c r="F299" s="925" t="s">
        <v>2733</v>
      </c>
      <c r="G299" s="1059"/>
      <c r="H299" s="293"/>
      <c r="I299" s="293"/>
    </row>
    <row r="300" spans="1:9">
      <c r="A300" s="87" t="s">
        <v>2866</v>
      </c>
      <c r="B300" s="105"/>
      <c r="C300" s="929" t="s">
        <v>1782</v>
      </c>
      <c r="D300" s="933" t="s">
        <v>2980</v>
      </c>
      <c r="E300" s="924" t="s">
        <v>1553</v>
      </c>
      <c r="F300" s="924" t="s">
        <v>1782</v>
      </c>
      <c r="G300" s="1059"/>
      <c r="H300" s="293"/>
      <c r="I300" s="293"/>
    </row>
    <row r="301" spans="1:9">
      <c r="A301" s="87" t="s">
        <v>2866</v>
      </c>
      <c r="B301" s="105"/>
      <c r="C301" s="929"/>
      <c r="D301" s="932" t="s">
        <v>1782</v>
      </c>
      <c r="E301" s="924"/>
      <c r="F301" s="924"/>
      <c r="G301" s="1059"/>
      <c r="H301" s="293"/>
      <c r="I301" s="293"/>
    </row>
    <row r="302" spans="1:9">
      <c r="A302" s="87" t="s">
        <v>2866</v>
      </c>
      <c r="B302" s="105"/>
      <c r="C302" s="931"/>
      <c r="D302" s="932" t="s">
        <v>1780</v>
      </c>
      <c r="E302" s="926"/>
      <c r="F302" s="926"/>
      <c r="G302" s="1059"/>
      <c r="H302" s="293"/>
      <c r="I302" s="293"/>
    </row>
    <row r="303" spans="1:9">
      <c r="A303" s="87" t="s">
        <v>2866</v>
      </c>
      <c r="B303" s="105"/>
      <c r="C303" s="931"/>
      <c r="D303" s="934" t="s">
        <v>1781</v>
      </c>
      <c r="E303" s="926"/>
      <c r="F303" s="926"/>
      <c r="G303" s="1059"/>
      <c r="H303" s="293"/>
      <c r="I303" s="293"/>
    </row>
    <row r="304" spans="1:9">
      <c r="A304" s="87" t="s">
        <v>2866</v>
      </c>
      <c r="B304" s="105" t="s">
        <v>2712</v>
      </c>
      <c r="C304" s="930" t="s">
        <v>1626</v>
      </c>
      <c r="D304" s="938"/>
      <c r="E304" s="939" t="s">
        <v>1626</v>
      </c>
      <c r="F304" s="925" t="s">
        <v>1626</v>
      </c>
      <c r="G304" s="1059"/>
      <c r="H304" s="293"/>
      <c r="I304" s="293"/>
    </row>
    <row r="305" spans="1:9">
      <c r="A305" s="87" t="s">
        <v>2866</v>
      </c>
      <c r="B305" s="105"/>
      <c r="C305" s="931" t="s">
        <v>1623</v>
      </c>
      <c r="D305" s="938"/>
      <c r="E305" s="293" t="s">
        <v>2722</v>
      </c>
      <c r="F305" s="926" t="s">
        <v>1623</v>
      </c>
      <c r="G305" s="1059"/>
      <c r="H305" s="293"/>
      <c r="I305" s="293"/>
    </row>
    <row r="306" spans="1:9">
      <c r="A306" s="87" t="s">
        <v>2866</v>
      </c>
      <c r="B306" s="105"/>
      <c r="C306" s="937"/>
      <c r="D306" s="938"/>
      <c r="E306" s="80" t="s">
        <v>2721</v>
      </c>
      <c r="F306" s="926"/>
      <c r="G306" s="1059"/>
      <c r="H306" s="293"/>
      <c r="I306" s="293"/>
    </row>
    <row r="307" spans="1:9">
      <c r="A307" s="87" t="s">
        <v>2866</v>
      </c>
      <c r="B307" s="105" t="s">
        <v>2713</v>
      </c>
      <c r="C307" s="930" t="s">
        <v>1060</v>
      </c>
      <c r="D307" s="920"/>
      <c r="E307" s="925" t="s">
        <v>1060</v>
      </c>
      <c r="F307" s="1059"/>
      <c r="G307" s="1059"/>
      <c r="H307" s="293"/>
      <c r="I307" s="293"/>
    </row>
    <row r="308" spans="1:9">
      <c r="A308" s="87" t="s">
        <v>2866</v>
      </c>
      <c r="B308" s="105"/>
      <c r="C308" s="929" t="s">
        <v>2699</v>
      </c>
      <c r="D308" s="920"/>
      <c r="E308" s="924" t="s">
        <v>2699</v>
      </c>
      <c r="F308" s="1059"/>
      <c r="G308" s="1059"/>
      <c r="H308" s="293"/>
      <c r="I308" s="293"/>
    </row>
    <row r="309" spans="1:9">
      <c r="A309" s="87" t="s">
        <v>2866</v>
      </c>
      <c r="B309" s="105"/>
      <c r="C309" s="931"/>
      <c r="D309" s="920"/>
      <c r="E309" s="926"/>
      <c r="F309" s="1059"/>
      <c r="G309" s="1059"/>
      <c r="H309" s="293"/>
      <c r="I309" s="293"/>
    </row>
    <row r="310" spans="1:9">
      <c r="A310" s="87" t="s">
        <v>2866</v>
      </c>
      <c r="B310" s="105" t="s">
        <v>2714</v>
      </c>
      <c r="C310" s="930" t="s">
        <v>17</v>
      </c>
      <c r="D310" s="933" t="s">
        <v>1705</v>
      </c>
      <c r="E310" s="925" t="s">
        <v>2088</v>
      </c>
      <c r="F310" s="925" t="s">
        <v>442</v>
      </c>
      <c r="G310" s="1059"/>
      <c r="H310" s="293"/>
      <c r="I310" s="293"/>
    </row>
    <row r="311" spans="1:9">
      <c r="A311" s="87" t="s">
        <v>2866</v>
      </c>
      <c r="B311" s="105"/>
      <c r="C311" s="929" t="s">
        <v>21</v>
      </c>
      <c r="D311" s="932" t="s">
        <v>1704</v>
      </c>
      <c r="E311" s="924"/>
      <c r="F311" s="924" t="s">
        <v>1698</v>
      </c>
      <c r="G311" s="1059"/>
      <c r="H311" s="293"/>
      <c r="I311" s="293"/>
    </row>
    <row r="312" spans="1:9">
      <c r="A312" s="87" t="s">
        <v>2866</v>
      </c>
      <c r="B312" s="105"/>
      <c r="C312" s="929" t="s">
        <v>442</v>
      </c>
      <c r="D312" s="932"/>
      <c r="E312" s="924"/>
      <c r="F312" s="924" t="s">
        <v>1699</v>
      </c>
      <c r="G312" s="1059"/>
      <c r="H312" s="293"/>
      <c r="I312" s="293"/>
    </row>
    <row r="313" spans="1:9">
      <c r="A313" s="87" t="s">
        <v>2866</v>
      </c>
      <c r="B313" s="105"/>
      <c r="C313" s="929" t="s">
        <v>1698</v>
      </c>
      <c r="D313" s="932"/>
      <c r="E313" s="924"/>
      <c r="F313" s="924" t="s">
        <v>1700</v>
      </c>
      <c r="G313" s="1059"/>
      <c r="H313" s="293"/>
      <c r="I313" s="293"/>
    </row>
    <row r="314" spans="1:9">
      <c r="A314" s="87" t="s">
        <v>2866</v>
      </c>
      <c r="B314" s="105"/>
      <c r="C314" s="929" t="s">
        <v>1699</v>
      </c>
      <c r="D314" s="932"/>
      <c r="E314" s="924"/>
      <c r="F314" s="924" t="s">
        <v>1701</v>
      </c>
      <c r="G314" s="1059"/>
      <c r="H314" s="293"/>
      <c r="I314" s="293"/>
    </row>
    <row r="315" spans="1:9">
      <c r="A315" s="87" t="s">
        <v>2866</v>
      </c>
      <c r="B315" s="105"/>
      <c r="C315" s="929" t="s">
        <v>1700</v>
      </c>
      <c r="D315" s="932"/>
      <c r="E315" s="924"/>
      <c r="F315" s="924"/>
      <c r="G315" s="1059"/>
      <c r="H315" s="293"/>
      <c r="I315" s="293"/>
    </row>
    <row r="316" spans="1:9">
      <c r="A316" s="87" t="s">
        <v>2866</v>
      </c>
      <c r="B316" s="105"/>
      <c r="C316" s="931" t="s">
        <v>1701</v>
      </c>
      <c r="D316" s="932"/>
      <c r="E316" s="924"/>
      <c r="F316" s="924"/>
      <c r="G316" s="1059"/>
      <c r="H316" s="293"/>
      <c r="I316" s="293"/>
    </row>
    <row r="317" spans="1:9">
      <c r="A317" s="87" t="s">
        <v>2866</v>
      </c>
      <c r="B317" s="105"/>
      <c r="C317" s="931"/>
      <c r="D317" s="934"/>
      <c r="E317" s="926"/>
      <c r="F317" s="926"/>
      <c r="G317" s="1059"/>
      <c r="H317" s="293"/>
      <c r="I317" s="293"/>
    </row>
    <row r="318" spans="1:9">
      <c r="A318" s="87" t="s">
        <v>3281</v>
      </c>
      <c r="B318" s="1075" t="s">
        <v>2720</v>
      </c>
      <c r="C318" s="930" t="s">
        <v>3312</v>
      </c>
      <c r="D318" s="933"/>
      <c r="E318" s="925"/>
      <c r="F318" s="925"/>
      <c r="G318" s="1059"/>
      <c r="H318" s="293"/>
      <c r="I318" s="293"/>
    </row>
    <row r="319" spans="1:9">
      <c r="A319" s="87" t="s">
        <v>3281</v>
      </c>
      <c r="B319" s="1075"/>
      <c r="C319" s="929" t="s">
        <v>3313</v>
      </c>
      <c r="D319" s="933"/>
      <c r="E319" s="924"/>
      <c r="F319" s="924"/>
      <c r="G319" s="1059"/>
      <c r="H319" s="293"/>
      <c r="I319" s="293"/>
    </row>
    <row r="320" spans="1:9">
      <c r="A320" s="87" t="s">
        <v>3281</v>
      </c>
      <c r="B320" s="1075"/>
      <c r="C320" s="929" t="s">
        <v>3314</v>
      </c>
      <c r="D320" s="932"/>
      <c r="E320" s="924"/>
      <c r="F320" s="924"/>
      <c r="G320" s="1059"/>
      <c r="H320" s="293"/>
      <c r="I320" s="293"/>
    </row>
    <row r="321" spans="1:9">
      <c r="A321" s="87" t="s">
        <v>3281</v>
      </c>
      <c r="B321" s="1075"/>
      <c r="C321" s="931" t="s">
        <v>3315</v>
      </c>
      <c r="D321" s="932"/>
      <c r="E321" s="926"/>
      <c r="F321" s="926"/>
      <c r="G321" s="1059"/>
      <c r="H321" s="293"/>
      <c r="I321" s="293"/>
    </row>
    <row r="322" spans="1:9">
      <c r="A322" s="87" t="s">
        <v>3281</v>
      </c>
      <c r="B322" s="105" t="s">
        <v>2712</v>
      </c>
      <c r="C322" s="930"/>
      <c r="D322" s="938"/>
      <c r="E322" s="939"/>
      <c r="F322" s="925"/>
      <c r="G322" s="1059"/>
      <c r="H322" s="293"/>
      <c r="I322" s="293"/>
    </row>
    <row r="323" spans="1:9">
      <c r="A323" s="87" t="s">
        <v>3281</v>
      </c>
      <c r="B323" s="105"/>
      <c r="C323" s="931"/>
      <c r="D323" s="938"/>
      <c r="E323" s="293"/>
      <c r="F323" s="926"/>
      <c r="G323" s="1059"/>
      <c r="H323" s="293"/>
      <c r="I323" s="293"/>
    </row>
    <row r="324" spans="1:9">
      <c r="A324" s="87" t="s">
        <v>3281</v>
      </c>
      <c r="B324" s="105"/>
      <c r="C324" s="937"/>
      <c r="D324" s="938"/>
      <c r="F324" s="926"/>
      <c r="G324" s="1059"/>
      <c r="H324" s="293"/>
      <c r="I324" s="293"/>
    </row>
    <row r="325" spans="1:9">
      <c r="A325" s="87" t="s">
        <v>3281</v>
      </c>
      <c r="B325" s="105" t="s">
        <v>2713</v>
      </c>
      <c r="C325" s="930"/>
      <c r="D325" s="920"/>
      <c r="E325" s="925"/>
      <c r="F325" s="1059"/>
      <c r="G325" s="1059"/>
      <c r="H325" s="293"/>
      <c r="I325" s="293"/>
    </row>
    <row r="326" spans="1:9">
      <c r="A326" s="87" t="s">
        <v>3281</v>
      </c>
      <c r="B326" s="105"/>
      <c r="C326" s="929"/>
      <c r="D326" s="920"/>
      <c r="E326" s="924"/>
      <c r="F326" s="1059"/>
      <c r="G326" s="1059"/>
      <c r="H326" s="293"/>
      <c r="I326" s="293"/>
    </row>
    <row r="327" spans="1:9">
      <c r="A327" s="87" t="s">
        <v>3281</v>
      </c>
      <c r="B327" s="105"/>
      <c r="C327" s="931"/>
      <c r="D327" s="920"/>
      <c r="E327" s="926"/>
      <c r="F327" s="1059"/>
      <c r="G327" s="1059"/>
      <c r="H327" s="293"/>
      <c r="I327" s="293"/>
    </row>
    <row r="328" spans="1:9">
      <c r="A328" s="87" t="s">
        <v>3281</v>
      </c>
      <c r="B328" s="1075" t="s">
        <v>2714</v>
      </c>
      <c r="C328" s="930" t="s">
        <v>3316</v>
      </c>
      <c r="D328" s="933"/>
      <c r="E328" s="925"/>
      <c r="F328" s="925"/>
      <c r="G328" s="1059"/>
      <c r="H328" s="293"/>
      <c r="I328" s="293"/>
    </row>
    <row r="329" spans="1:9">
      <c r="A329" s="87" t="s">
        <v>3281</v>
      </c>
      <c r="B329" s="1075"/>
      <c r="C329" s="929" t="s">
        <v>3317</v>
      </c>
      <c r="D329" s="932"/>
      <c r="E329" s="924"/>
      <c r="F329" s="924"/>
      <c r="G329" s="1059"/>
      <c r="H329" s="293"/>
      <c r="I329" s="293"/>
    </row>
    <row r="330" spans="1:9">
      <c r="A330" s="87" t="s">
        <v>3281</v>
      </c>
      <c r="B330" s="1075"/>
      <c r="C330" s="929" t="s">
        <v>3318</v>
      </c>
      <c r="D330" s="932"/>
      <c r="E330" s="924"/>
      <c r="F330" s="924"/>
      <c r="G330" s="1059"/>
      <c r="H330" s="293"/>
      <c r="I330" s="293"/>
    </row>
    <row r="331" spans="1:9">
      <c r="A331" s="87" t="s">
        <v>3281</v>
      </c>
      <c r="B331" s="1075"/>
      <c r="C331" s="931"/>
      <c r="D331" s="934"/>
      <c r="E331" s="926"/>
      <c r="F331" s="926"/>
      <c r="G331" s="1059"/>
      <c r="H331" s="293"/>
      <c r="I331" s="293"/>
    </row>
    <row r="332" spans="1:9">
      <c r="A332" s="87" t="s">
        <v>236</v>
      </c>
      <c r="B332" s="105" t="s">
        <v>2720</v>
      </c>
      <c r="C332" s="1076"/>
      <c r="D332" s="933" t="s">
        <v>1783</v>
      </c>
      <c r="E332" s="293"/>
      <c r="F332" s="1059"/>
      <c r="G332" s="1059"/>
      <c r="H332" s="293"/>
      <c r="I332" s="293"/>
    </row>
    <row r="333" spans="1:9">
      <c r="A333" s="87" t="s">
        <v>236</v>
      </c>
      <c r="B333" s="105"/>
      <c r="C333" s="919"/>
      <c r="D333" s="932" t="s">
        <v>1787</v>
      </c>
      <c r="E333" s="293"/>
      <c r="F333" s="1059"/>
      <c r="G333" s="1059"/>
      <c r="H333" s="293"/>
      <c r="I333" s="293"/>
    </row>
    <row r="334" spans="1:9">
      <c r="A334" s="87" t="s">
        <v>236</v>
      </c>
      <c r="B334" s="105"/>
      <c r="C334" s="919"/>
      <c r="D334" s="932" t="s">
        <v>1780</v>
      </c>
      <c r="E334" s="293"/>
      <c r="F334" s="1059"/>
      <c r="G334" s="1059"/>
      <c r="H334" s="293"/>
      <c r="I334" s="293"/>
    </row>
    <row r="335" spans="1:9">
      <c r="A335" s="87" t="s">
        <v>236</v>
      </c>
      <c r="B335" s="105"/>
      <c r="C335" s="919"/>
      <c r="D335" s="932" t="s">
        <v>1781</v>
      </c>
      <c r="E335" s="293"/>
      <c r="F335" s="1059"/>
      <c r="G335" s="1059"/>
      <c r="H335" s="293"/>
      <c r="I335" s="293"/>
    </row>
    <row r="336" spans="1:9">
      <c r="A336" s="87" t="s">
        <v>236</v>
      </c>
      <c r="B336" s="105"/>
      <c r="C336" s="919"/>
      <c r="D336" s="934" t="s">
        <v>1782</v>
      </c>
      <c r="E336" s="293"/>
      <c r="F336" s="1059"/>
      <c r="G336" s="1059"/>
      <c r="H336" s="293"/>
      <c r="I336" s="293"/>
    </row>
    <row r="337" spans="1:9">
      <c r="A337" s="87" t="s">
        <v>236</v>
      </c>
      <c r="B337" s="105" t="s">
        <v>2712</v>
      </c>
      <c r="C337" s="930" t="s">
        <v>1626</v>
      </c>
      <c r="D337" s="933" t="s">
        <v>1627</v>
      </c>
      <c r="E337" s="293"/>
      <c r="F337" s="925" t="s">
        <v>1626</v>
      </c>
      <c r="G337" s="1059"/>
      <c r="H337" s="293"/>
      <c r="I337" s="293"/>
    </row>
    <row r="338" spans="1:9">
      <c r="A338" s="87" t="s">
        <v>236</v>
      </c>
      <c r="B338" s="105"/>
      <c r="C338" s="931" t="s">
        <v>1623</v>
      </c>
      <c r="D338" s="934" t="s">
        <v>1628</v>
      </c>
      <c r="E338" s="293"/>
      <c r="F338" s="926" t="s">
        <v>1623</v>
      </c>
      <c r="G338" s="1059"/>
      <c r="H338" s="293"/>
      <c r="I338" s="293"/>
    </row>
    <row r="339" spans="1:9">
      <c r="A339" s="87" t="s">
        <v>236</v>
      </c>
      <c r="B339" s="105" t="s">
        <v>2713</v>
      </c>
      <c r="C339" s="930" t="s">
        <v>1060</v>
      </c>
      <c r="D339" s="933" t="s">
        <v>1060</v>
      </c>
      <c r="E339" s="293"/>
      <c r="F339" s="1059"/>
      <c r="G339" s="1059"/>
      <c r="H339" s="293"/>
      <c r="I339" s="293"/>
    </row>
    <row r="340" spans="1:9">
      <c r="A340" s="87" t="s">
        <v>236</v>
      </c>
      <c r="B340" s="105"/>
      <c r="C340" s="931" t="s">
        <v>2699</v>
      </c>
      <c r="D340" s="934" t="s">
        <v>2699</v>
      </c>
      <c r="E340" s="293"/>
      <c r="F340" s="1059"/>
      <c r="G340" s="1059"/>
      <c r="H340" s="293"/>
      <c r="I340" s="293"/>
    </row>
    <row r="341" spans="1:9">
      <c r="A341" s="87" t="s">
        <v>236</v>
      </c>
      <c r="B341" s="105" t="s">
        <v>2714</v>
      </c>
      <c r="C341" s="930" t="s">
        <v>1362</v>
      </c>
      <c r="D341" s="933" t="s">
        <v>1705</v>
      </c>
      <c r="E341" s="293"/>
      <c r="F341" s="924" t="s">
        <v>1702</v>
      </c>
      <c r="G341" s="1059"/>
      <c r="H341" s="293"/>
      <c r="I341" s="293"/>
    </row>
    <row r="342" spans="1:9">
      <c r="A342" s="87" t="s">
        <v>236</v>
      </c>
      <c r="B342" s="105"/>
      <c r="C342" s="929" t="s">
        <v>441</v>
      </c>
      <c r="D342" s="932" t="s">
        <v>1704</v>
      </c>
      <c r="E342" s="293"/>
      <c r="F342" s="924" t="s">
        <v>1698</v>
      </c>
      <c r="G342" s="1059"/>
      <c r="H342" s="293"/>
      <c r="I342" s="293"/>
    </row>
    <row r="343" spans="1:9">
      <c r="A343" s="87" t="s">
        <v>236</v>
      </c>
      <c r="B343" s="105"/>
      <c r="C343" s="929" t="s">
        <v>1702</v>
      </c>
      <c r="D343" s="932"/>
      <c r="E343" s="293"/>
      <c r="F343" s="924" t="s">
        <v>1699</v>
      </c>
      <c r="G343" s="1059"/>
      <c r="H343" s="293"/>
      <c r="I343" s="293"/>
    </row>
    <row r="344" spans="1:9">
      <c r="A344" s="87" t="s">
        <v>236</v>
      </c>
      <c r="B344" s="105"/>
      <c r="C344" s="929" t="s">
        <v>1698</v>
      </c>
      <c r="D344" s="932"/>
      <c r="E344" s="293"/>
      <c r="F344" s="924" t="s">
        <v>1700</v>
      </c>
      <c r="G344" s="1059"/>
      <c r="H344" s="293"/>
      <c r="I344" s="293"/>
    </row>
    <row r="345" spans="1:9">
      <c r="A345" s="87" t="s">
        <v>236</v>
      </c>
      <c r="B345" s="105"/>
      <c r="C345" s="929" t="s">
        <v>1699</v>
      </c>
      <c r="D345" s="932"/>
      <c r="E345" s="293"/>
      <c r="F345" s="924" t="s">
        <v>1701</v>
      </c>
      <c r="G345" s="1059"/>
      <c r="H345" s="293"/>
      <c r="I345" s="293"/>
    </row>
    <row r="346" spans="1:9">
      <c r="A346" s="87" t="s">
        <v>236</v>
      </c>
      <c r="B346" s="105"/>
      <c r="C346" s="929" t="s">
        <v>1700</v>
      </c>
      <c r="D346" s="932"/>
      <c r="E346" s="293"/>
      <c r="F346" s="924"/>
      <c r="G346" s="1059"/>
      <c r="H346" s="293"/>
      <c r="I346" s="293"/>
    </row>
    <row r="347" spans="1:9">
      <c r="A347" s="87" t="s">
        <v>236</v>
      </c>
      <c r="B347" s="105"/>
      <c r="C347" s="931" t="s">
        <v>1701</v>
      </c>
      <c r="D347" s="934"/>
      <c r="E347" s="293"/>
      <c r="F347" s="926"/>
      <c r="G347" s="1059"/>
      <c r="H347" s="293"/>
      <c r="I347" s="293"/>
    </row>
    <row r="348" spans="1:9">
      <c r="A348" s="87" t="s">
        <v>246</v>
      </c>
      <c r="B348" s="105" t="s">
        <v>2720</v>
      </c>
      <c r="C348" s="919"/>
      <c r="D348" s="933" t="s">
        <v>1784</v>
      </c>
      <c r="E348" s="293"/>
      <c r="F348" s="1059"/>
      <c r="G348" s="1059"/>
      <c r="H348" s="293"/>
      <c r="I348" s="293"/>
    </row>
    <row r="349" spans="1:9">
      <c r="A349" s="87" t="s">
        <v>246</v>
      </c>
      <c r="B349" s="105"/>
      <c r="C349" s="919"/>
      <c r="D349" s="932" t="s">
        <v>1785</v>
      </c>
      <c r="E349" s="293"/>
      <c r="F349" s="1059"/>
      <c r="G349" s="1059"/>
      <c r="H349" s="293"/>
      <c r="I349" s="293"/>
    </row>
    <row r="350" spans="1:9">
      <c r="A350" s="87" t="s">
        <v>246</v>
      </c>
      <c r="B350" s="105"/>
      <c r="C350" s="919"/>
      <c r="D350" s="932" t="s">
        <v>1786</v>
      </c>
      <c r="E350" s="293"/>
      <c r="F350" s="1059"/>
      <c r="G350" s="1059"/>
      <c r="H350" s="293"/>
      <c r="I350" s="293"/>
    </row>
    <row r="351" spans="1:9">
      <c r="A351" s="87" t="s">
        <v>246</v>
      </c>
      <c r="B351" s="105"/>
      <c r="C351" s="919"/>
      <c r="D351" s="932" t="s">
        <v>1788</v>
      </c>
      <c r="E351" s="293"/>
      <c r="F351" s="1059"/>
      <c r="G351" s="1059"/>
      <c r="H351" s="293"/>
      <c r="I351" s="293"/>
    </row>
    <row r="352" spans="1:9">
      <c r="A352" s="87" t="s">
        <v>246</v>
      </c>
      <c r="B352" s="105"/>
      <c r="C352" s="919"/>
      <c r="D352" s="934" t="s">
        <v>1781</v>
      </c>
      <c r="E352" s="293"/>
      <c r="F352" s="1059"/>
      <c r="G352" s="1059"/>
      <c r="H352" s="293"/>
      <c r="I352" s="293"/>
    </row>
    <row r="353" spans="1:9">
      <c r="A353" s="87" t="s">
        <v>246</v>
      </c>
      <c r="B353" s="105" t="s">
        <v>2712</v>
      </c>
      <c r="C353" s="930" t="s">
        <v>1626</v>
      </c>
      <c r="D353" s="933" t="s">
        <v>1627</v>
      </c>
      <c r="E353" s="293"/>
      <c r="F353" s="925" t="s">
        <v>1626</v>
      </c>
      <c r="G353" s="1059"/>
      <c r="H353" s="293"/>
      <c r="I353" s="293"/>
    </row>
    <row r="354" spans="1:9">
      <c r="A354" s="87" t="s">
        <v>246</v>
      </c>
      <c r="B354" s="105"/>
      <c r="C354" s="931" t="s">
        <v>1623</v>
      </c>
      <c r="D354" s="934" t="s">
        <v>1628</v>
      </c>
      <c r="E354" s="293"/>
      <c r="F354" s="926" t="s">
        <v>1623</v>
      </c>
      <c r="G354" s="1059"/>
      <c r="H354" s="293"/>
      <c r="I354" s="293"/>
    </row>
    <row r="355" spans="1:9">
      <c r="A355" s="87" t="s">
        <v>246</v>
      </c>
      <c r="B355" s="105" t="s">
        <v>2713</v>
      </c>
      <c r="C355" s="930" t="s">
        <v>1060</v>
      </c>
      <c r="D355" s="920"/>
      <c r="E355" s="293"/>
      <c r="F355" s="1059"/>
      <c r="G355" s="1059"/>
      <c r="H355" s="293"/>
      <c r="I355" s="293"/>
    </row>
    <row r="356" spans="1:9">
      <c r="A356" s="87" t="s">
        <v>246</v>
      </c>
      <c r="B356" s="105"/>
      <c r="C356" s="931" t="s">
        <v>2699</v>
      </c>
      <c r="D356" s="920"/>
      <c r="E356" s="293"/>
      <c r="F356" s="1059"/>
      <c r="G356" s="1059"/>
      <c r="H356" s="293"/>
      <c r="I356" s="293"/>
    </row>
    <row r="357" spans="1:9">
      <c r="A357" s="87" t="s">
        <v>246</v>
      </c>
      <c r="B357" s="105" t="s">
        <v>2714</v>
      </c>
      <c r="C357" s="930" t="s">
        <v>1362</v>
      </c>
      <c r="D357" s="933" t="s">
        <v>1705</v>
      </c>
      <c r="E357" s="925" t="s">
        <v>2088</v>
      </c>
      <c r="F357" s="925" t="s">
        <v>1702</v>
      </c>
      <c r="G357" s="1059"/>
      <c r="H357" s="293"/>
      <c r="I357" s="293"/>
    </row>
    <row r="358" spans="1:9">
      <c r="A358" s="87" t="s">
        <v>246</v>
      </c>
      <c r="B358" s="105"/>
      <c r="C358" s="929" t="s">
        <v>441</v>
      </c>
      <c r="D358" s="932" t="s">
        <v>1704</v>
      </c>
      <c r="E358" s="924"/>
      <c r="F358" s="924" t="s">
        <v>1699</v>
      </c>
      <c r="G358" s="1059"/>
      <c r="H358" s="293"/>
      <c r="I358" s="293"/>
    </row>
    <row r="359" spans="1:9">
      <c r="A359" s="87" t="s">
        <v>246</v>
      </c>
      <c r="B359" s="105"/>
      <c r="C359" s="929" t="s">
        <v>1702</v>
      </c>
      <c r="D359" s="932"/>
      <c r="E359" s="924"/>
      <c r="F359" s="924" t="s">
        <v>1701</v>
      </c>
      <c r="G359" s="1059"/>
      <c r="H359" s="293"/>
      <c r="I359" s="293"/>
    </row>
    <row r="360" spans="1:9">
      <c r="A360" s="87" t="s">
        <v>246</v>
      </c>
      <c r="B360" s="105"/>
      <c r="C360" s="929" t="s">
        <v>1699</v>
      </c>
      <c r="D360" s="932"/>
      <c r="E360" s="924"/>
      <c r="F360" s="924"/>
      <c r="G360" s="1059"/>
      <c r="H360" s="293"/>
      <c r="I360" s="293"/>
    </row>
    <row r="361" spans="1:9">
      <c r="A361" s="87" t="s">
        <v>246</v>
      </c>
      <c r="B361" s="105"/>
      <c r="C361" s="931" t="s">
        <v>1701</v>
      </c>
      <c r="D361" s="934"/>
      <c r="E361" s="926"/>
      <c r="F361" s="926"/>
      <c r="G361" s="1059"/>
      <c r="H361" s="293"/>
      <c r="I361" s="293"/>
    </row>
    <row r="362" spans="1:9">
      <c r="A362" s="87" t="s">
        <v>250</v>
      </c>
      <c r="B362" s="105" t="s">
        <v>2720</v>
      </c>
      <c r="C362" s="919"/>
      <c r="D362" s="933" t="s">
        <v>1781</v>
      </c>
      <c r="E362" s="293"/>
      <c r="F362" s="1059"/>
      <c r="G362" s="1059"/>
      <c r="H362" s="293"/>
      <c r="I362" s="293"/>
    </row>
    <row r="363" spans="1:9">
      <c r="A363" s="87" t="s">
        <v>250</v>
      </c>
      <c r="B363" s="105"/>
      <c r="C363" s="919"/>
      <c r="D363" s="934"/>
      <c r="E363" s="293"/>
      <c r="F363" s="1059"/>
      <c r="G363" s="1059"/>
      <c r="H363" s="293"/>
      <c r="I363" s="293"/>
    </row>
    <row r="364" spans="1:9">
      <c r="A364" s="87" t="s">
        <v>250</v>
      </c>
      <c r="B364" s="105" t="s">
        <v>2712</v>
      </c>
      <c r="C364" s="930" t="s">
        <v>1626</v>
      </c>
      <c r="D364" s="933" t="s">
        <v>1623</v>
      </c>
      <c r="E364" s="293"/>
      <c r="F364" s="925" t="s">
        <v>1626</v>
      </c>
      <c r="G364" s="1059"/>
      <c r="H364" s="293"/>
      <c r="I364" s="293"/>
    </row>
    <row r="365" spans="1:9">
      <c r="A365" s="87" t="s">
        <v>250</v>
      </c>
      <c r="B365" s="105"/>
      <c r="C365" s="931" t="s">
        <v>1623</v>
      </c>
      <c r="D365" s="934"/>
      <c r="E365" s="293"/>
      <c r="F365" s="926" t="s">
        <v>1623</v>
      </c>
      <c r="G365" s="1059"/>
      <c r="H365" s="293"/>
      <c r="I365" s="293"/>
    </row>
    <row r="366" spans="1:9">
      <c r="A366" s="87" t="s">
        <v>250</v>
      </c>
      <c r="B366" s="105" t="s">
        <v>2713</v>
      </c>
      <c r="C366" s="930" t="s">
        <v>1060</v>
      </c>
      <c r="D366" s="920"/>
      <c r="E366" s="293"/>
      <c r="F366" s="1059"/>
      <c r="G366" s="1059"/>
      <c r="H366" s="293"/>
      <c r="I366" s="293"/>
    </row>
    <row r="367" spans="1:9">
      <c r="A367" s="87" t="s">
        <v>250</v>
      </c>
      <c r="B367" s="105"/>
      <c r="C367" s="931" t="s">
        <v>2699</v>
      </c>
      <c r="D367" s="920"/>
      <c r="E367" s="293"/>
      <c r="F367" s="1059"/>
      <c r="G367" s="1059"/>
      <c r="H367" s="293"/>
      <c r="I367" s="293"/>
    </row>
    <row r="368" spans="1:9">
      <c r="A368" s="87" t="s">
        <v>250</v>
      </c>
      <c r="B368" s="105" t="s">
        <v>2714</v>
      </c>
      <c r="C368" s="930" t="s">
        <v>1702</v>
      </c>
      <c r="D368" s="933" t="s">
        <v>1705</v>
      </c>
      <c r="E368" s="293"/>
      <c r="F368" s="925" t="s">
        <v>1702</v>
      </c>
      <c r="G368" s="1059"/>
      <c r="H368" s="293"/>
      <c r="I368" s="293"/>
    </row>
    <row r="369" spans="1:9">
      <c r="A369" s="87" t="s">
        <v>250</v>
      </c>
      <c r="B369" s="105"/>
      <c r="C369" s="929" t="s">
        <v>1699</v>
      </c>
      <c r="D369" s="932" t="s">
        <v>1704</v>
      </c>
      <c r="E369" s="293"/>
      <c r="F369" s="924" t="s">
        <v>1699</v>
      </c>
      <c r="G369" s="1059"/>
      <c r="H369" s="293"/>
      <c r="I369" s="293"/>
    </row>
    <row r="370" spans="1:9">
      <c r="A370" s="87" t="s">
        <v>250</v>
      </c>
      <c r="B370" s="105"/>
      <c r="C370" s="929" t="s">
        <v>1701</v>
      </c>
      <c r="D370" s="932"/>
      <c r="E370" s="293"/>
      <c r="F370" s="924" t="s">
        <v>1701</v>
      </c>
      <c r="G370" s="1059"/>
      <c r="H370" s="293"/>
      <c r="I370" s="293"/>
    </row>
    <row r="371" spans="1:9">
      <c r="A371" s="88" t="s">
        <v>250</v>
      </c>
      <c r="B371" s="109"/>
      <c r="C371" s="931" t="s">
        <v>1703</v>
      </c>
      <c r="D371" s="934"/>
      <c r="E371" s="89"/>
      <c r="F371" s="926" t="s">
        <v>1703</v>
      </c>
      <c r="G371" s="1062"/>
      <c r="H371" s="89"/>
      <c r="I371" s="89"/>
    </row>
    <row r="372" spans="1:9">
      <c r="A372" s="16"/>
      <c r="B372" s="200"/>
      <c r="C372" s="82"/>
      <c r="D372" s="17"/>
    </row>
    <row r="373" spans="1:9">
      <c r="A373" s="16"/>
      <c r="B373" s="200"/>
      <c r="C373" s="82"/>
      <c r="D373" s="17"/>
    </row>
    <row r="374" spans="1:9" ht="15">
      <c r="A374" s="1241" t="s">
        <v>2553</v>
      </c>
      <c r="B374" s="1241"/>
      <c r="C374" s="1241" t="s">
        <v>2794</v>
      </c>
      <c r="D374" s="1241"/>
    </row>
    <row r="375" spans="1:9">
      <c r="A375" s="104" t="s">
        <v>9</v>
      </c>
      <c r="B375" s="110" t="s">
        <v>112</v>
      </c>
      <c r="C375" s="104" t="s">
        <v>9</v>
      </c>
      <c r="D375" s="110" t="s">
        <v>112</v>
      </c>
    </row>
    <row r="376" spans="1:9">
      <c r="A376" s="105">
        <v>1</v>
      </c>
      <c r="B376" s="87" t="s">
        <v>2554</v>
      </c>
      <c r="C376" s="105">
        <v>1</v>
      </c>
      <c r="D376" s="87" t="s">
        <v>2795</v>
      </c>
    </row>
    <row r="377" spans="1:9">
      <c r="A377" s="105">
        <v>2</v>
      </c>
      <c r="B377" s="87" t="s">
        <v>2546</v>
      </c>
      <c r="C377" s="105">
        <v>2</v>
      </c>
      <c r="D377" s="87" t="s">
        <v>2796</v>
      </c>
    </row>
    <row r="378" spans="1:9">
      <c r="A378" s="105">
        <v>3</v>
      </c>
      <c r="B378" s="87"/>
      <c r="C378" s="105">
        <v>3</v>
      </c>
      <c r="D378" s="87"/>
    </row>
    <row r="379" spans="1:9">
      <c r="A379" s="105"/>
      <c r="B379" s="87"/>
      <c r="C379" s="105"/>
      <c r="D379" s="87"/>
    </row>
    <row r="380" spans="1:9">
      <c r="A380" s="16"/>
      <c r="B380" s="200"/>
      <c r="C380" s="82"/>
      <c r="D380" s="17"/>
    </row>
    <row r="381" spans="1:9">
      <c r="A381" s="16"/>
      <c r="B381" s="200"/>
      <c r="C381" s="82"/>
      <c r="D381" s="17"/>
    </row>
    <row r="382" spans="1:9">
      <c r="A382" s="16"/>
      <c r="B382" s="200"/>
      <c r="C382" s="82"/>
      <c r="D382" s="17"/>
    </row>
    <row r="383" spans="1:9">
      <c r="A383" s="16"/>
      <c r="B383" s="200"/>
      <c r="C383" s="82"/>
      <c r="D383" s="17"/>
    </row>
    <row r="384" spans="1:9">
      <c r="A384" s="16"/>
      <c r="B384" s="200"/>
      <c r="C384" s="82"/>
      <c r="D384" s="17"/>
    </row>
    <row r="385" spans="1:5">
      <c r="A385" s="16"/>
      <c r="B385" s="200"/>
      <c r="C385" s="82"/>
      <c r="D385" s="17"/>
    </row>
    <row r="386" spans="1:5">
      <c r="A386" s="16"/>
      <c r="B386" s="200"/>
      <c r="C386" s="82"/>
      <c r="D386" s="17"/>
    </row>
    <row r="387" spans="1:5" s="83" customFormat="1">
      <c r="A387" s="83" t="s">
        <v>111</v>
      </c>
      <c r="B387" s="83" t="s">
        <v>111</v>
      </c>
      <c r="C387" s="83" t="s">
        <v>111</v>
      </c>
      <c r="D387" s="83" t="s">
        <v>111</v>
      </c>
      <c r="E387" s="83" t="s">
        <v>111</v>
      </c>
    </row>
  </sheetData>
  <mergeCells count="11">
    <mergeCell ref="A2:D2"/>
    <mergeCell ref="A153:C153"/>
    <mergeCell ref="A167:C167"/>
    <mergeCell ref="A179:B179"/>
    <mergeCell ref="F179:K179"/>
    <mergeCell ref="A374:B374"/>
    <mergeCell ref="A197:C197"/>
    <mergeCell ref="A190:B190"/>
    <mergeCell ref="A208:F208"/>
    <mergeCell ref="C374:D374"/>
    <mergeCell ref="C209:I209"/>
  </mergeCells>
  <conditionalFormatting sqref="A153">
    <cfRule type="duplicateValues" dxfId="74" priority="30"/>
  </conditionalFormatting>
  <conditionalFormatting sqref="A167">
    <cfRule type="duplicateValues" dxfId="73" priority="28"/>
  </conditionalFormatting>
  <conditionalFormatting sqref="A179">
    <cfRule type="duplicateValues" dxfId="72" priority="27"/>
  </conditionalFormatting>
  <conditionalFormatting sqref="A190">
    <cfRule type="duplicateValues" dxfId="71" priority="26"/>
  </conditionalFormatting>
  <conditionalFormatting sqref="A197">
    <cfRule type="duplicateValues" dxfId="70" priority="25"/>
  </conditionalFormatting>
  <conditionalFormatting sqref="A374">
    <cfRule type="duplicateValues" dxfId="69" priority="9"/>
  </conditionalFormatting>
  <conditionalFormatting sqref="B388:B1048576 B1 B152 B3:B150">
    <cfRule type="duplicateValues" dxfId="68" priority="42"/>
  </conditionalFormatting>
  <conditionalFormatting sqref="C374">
    <cfRule type="duplicateValues" dxfId="67" priority="2"/>
  </conditionalFormatting>
  <conditionalFormatting sqref="C388:C1048576 A2 C1 C152 C3:C150">
    <cfRule type="duplicateValues" dxfId="66" priority="41"/>
  </conditionalFormatting>
  <conditionalFormatting sqref="F179">
    <cfRule type="duplicateValues" dxfId="65" priority="8"/>
  </conditionalFormatting>
  <conditionalFormatting sqref="H180:H188">
    <cfRule type="cellIs" priority="7" operator="greaterThanOrEqual">
      <formula>#REF!*#REF!</formula>
    </cfRule>
  </conditionalFormatting>
  <conditionalFormatting sqref="I1:I152 I166 I168:I178 I180:I192 I194:I208 I210:I1048576">
    <cfRule type="cellIs" priority="1269" operator="greaterThanOrEqual">
      <formula>#REF!*#REF!</formula>
    </cfRule>
  </conditionalFormatting>
  <conditionalFormatting sqref="I153">
    <cfRule type="cellIs" priority="31" operator="greaterThanOrEqual">
      <formula>#REF!*#REF!</formula>
    </cfRule>
  </conditionalFormatting>
  <conditionalFormatting sqref="I167">
    <cfRule type="cellIs" priority="29" operator="greaterThanOrEqual">
      <formula>#REF!*#REF!</formula>
    </cfRule>
  </conditionalFormatting>
  <conditionalFormatting sqref="I193">
    <cfRule type="cellIs" priority="10" operator="greaterThanOrEqual">
      <formula>#REF!*#REF!</formula>
    </cfRule>
  </conditionalFormatting>
  <conditionalFormatting sqref="I180:K188">
    <cfRule type="cellIs" priority="3" operator="greaterThanOrEqual">
      <formula>#REF!*#REF!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  <pageSetUpPr fitToPage="1"/>
  </sheetPr>
  <dimension ref="A1:AC6983"/>
  <sheetViews>
    <sheetView zoomScale="90" zoomScaleNormal="90" workbookViewId="0">
      <pane xSplit="6" ySplit="3" topLeftCell="G10" activePane="bottomRight" state="frozen"/>
      <selection pane="topRight" activeCell="G1" sqref="G1"/>
      <selection pane="bottomLeft" activeCell="A4" sqref="A4"/>
      <selection pane="bottomRight" activeCell="M38" sqref="M38"/>
    </sheetView>
  </sheetViews>
  <sheetFormatPr defaultColWidth="9.1796875" defaultRowHeight="13"/>
  <cols>
    <col min="1" max="1" width="4.54296875" style="26" customWidth="1"/>
    <col min="2" max="2" width="11.26953125" style="18" customWidth="1"/>
    <col min="3" max="3" width="18" style="308" customWidth="1"/>
    <col min="4" max="4" width="4.453125" style="26" customWidth="1"/>
    <col min="5" max="5" width="11.54296875" style="18" customWidth="1"/>
    <col min="6" max="6" width="42.26953125" style="102" customWidth="1"/>
    <col min="7" max="7" width="9.453125" style="26" customWidth="1"/>
    <col min="8" max="8" width="10.54296875" style="18" customWidth="1"/>
    <col min="9" max="9" width="11.453125" style="26" customWidth="1"/>
    <col min="10" max="10" width="15.453125" style="18" customWidth="1"/>
    <col min="11" max="11" width="15.1796875" style="26" customWidth="1"/>
    <col min="12" max="12" width="14.81640625" style="18" customWidth="1"/>
    <col min="13" max="14" width="7.54296875" style="78" customWidth="1"/>
    <col min="15" max="15" width="30.54296875" style="261" customWidth="1"/>
    <col min="16" max="16" width="22" style="18" customWidth="1"/>
    <col min="17" max="17" width="14.54296875" style="26" customWidth="1"/>
    <col min="18" max="18" width="15.81640625" style="18" customWidth="1"/>
    <col min="19" max="19" width="13.7265625" style="18" customWidth="1"/>
    <col min="20" max="20" width="12.26953125" style="18" customWidth="1"/>
    <col min="21" max="21" width="19.7265625" style="25" customWidth="1"/>
    <col min="22" max="22" width="28.26953125" style="18" customWidth="1"/>
    <col min="23" max="23" width="12.26953125" style="25" customWidth="1"/>
    <col min="24" max="24" width="9.26953125" style="25" customWidth="1"/>
    <col min="25" max="25" width="23.7265625" style="1127" customWidth="1"/>
    <col min="26" max="27" width="24.7265625" style="18" customWidth="1"/>
    <col min="28" max="16384" width="9.1796875" style="18"/>
  </cols>
  <sheetData>
    <row r="1" spans="1:29" ht="15.5">
      <c r="A1" s="1250" t="s">
        <v>68</v>
      </c>
      <c r="B1" s="1250"/>
      <c r="C1" s="1251"/>
      <c r="D1" s="1250"/>
      <c r="E1" s="1250"/>
      <c r="F1" s="1250"/>
      <c r="G1" s="1250"/>
      <c r="H1" s="1250"/>
      <c r="I1" s="1250"/>
      <c r="J1" s="1250"/>
      <c r="K1" s="1250"/>
      <c r="L1" s="1252"/>
      <c r="M1" s="1250"/>
      <c r="N1" s="1250"/>
      <c r="O1" s="1250"/>
      <c r="P1" s="315"/>
      <c r="Q1" s="316"/>
      <c r="R1" s="315"/>
      <c r="S1" s="315"/>
      <c r="T1" s="315"/>
      <c r="U1" s="317"/>
      <c r="V1" s="315"/>
      <c r="W1" s="298" t="s">
        <v>3877</v>
      </c>
      <c r="X1" s="317"/>
    </row>
    <row r="2" spans="1:29" s="72" customFormat="1">
      <c r="A2" s="318" t="s">
        <v>9</v>
      </c>
      <c r="B2" s="319" t="s">
        <v>12</v>
      </c>
      <c r="C2" s="320" t="s">
        <v>13</v>
      </c>
      <c r="D2" s="319" t="s">
        <v>9</v>
      </c>
      <c r="E2" s="319" t="s">
        <v>324</v>
      </c>
      <c r="F2" s="320" t="s">
        <v>69</v>
      </c>
      <c r="G2" s="319" t="s">
        <v>510</v>
      </c>
      <c r="H2" s="319" t="s">
        <v>267</v>
      </c>
      <c r="I2" s="319" t="s">
        <v>70</v>
      </c>
      <c r="J2" s="319" t="s">
        <v>71</v>
      </c>
      <c r="K2" s="319" t="s">
        <v>72</v>
      </c>
      <c r="L2" s="319" t="s">
        <v>237</v>
      </c>
      <c r="M2" s="321" t="s">
        <v>73</v>
      </c>
      <c r="N2" s="321" t="s">
        <v>112</v>
      </c>
      <c r="O2" s="617" t="s">
        <v>2972</v>
      </c>
      <c r="P2" s="319" t="s">
        <v>535</v>
      </c>
      <c r="Q2" s="319" t="s">
        <v>529</v>
      </c>
      <c r="R2" s="319" t="s">
        <v>506</v>
      </c>
      <c r="S2" s="319" t="s">
        <v>3134</v>
      </c>
      <c r="T2" s="319" t="s">
        <v>507</v>
      </c>
      <c r="U2" s="323" t="s">
        <v>553</v>
      </c>
      <c r="V2" s="319" t="s">
        <v>369</v>
      </c>
      <c r="W2" s="324" t="s">
        <v>401</v>
      </c>
      <c r="X2" s="617" t="s">
        <v>2444</v>
      </c>
      <c r="Y2" s="322" t="s">
        <v>3378</v>
      </c>
      <c r="Z2" s="322" t="s">
        <v>3379</v>
      </c>
      <c r="AA2" s="322" t="s">
        <v>3383</v>
      </c>
    </row>
    <row r="3" spans="1:29" s="20" customFormat="1" ht="12.5">
      <c r="A3" s="325">
        <v>0</v>
      </c>
      <c r="B3" s="325">
        <f>+A3+1</f>
        <v>1</v>
      </c>
      <c r="C3" s="326">
        <f t="shared" ref="C3:O3" si="0">+B3+1</f>
        <v>2</v>
      </c>
      <c r="D3" s="325">
        <f t="shared" si="0"/>
        <v>3</v>
      </c>
      <c r="E3" s="325">
        <f t="shared" si="0"/>
        <v>4</v>
      </c>
      <c r="F3" s="326">
        <f t="shared" si="0"/>
        <v>5</v>
      </c>
      <c r="G3" s="325">
        <f t="shared" si="0"/>
        <v>6</v>
      </c>
      <c r="H3" s="325">
        <f t="shared" si="0"/>
        <v>7</v>
      </c>
      <c r="I3" s="325">
        <f>+G3+1</f>
        <v>7</v>
      </c>
      <c r="J3" s="325">
        <f t="shared" si="0"/>
        <v>8</v>
      </c>
      <c r="K3" s="325">
        <f t="shared" si="0"/>
        <v>9</v>
      </c>
      <c r="L3" s="327">
        <f t="shared" si="0"/>
        <v>10</v>
      </c>
      <c r="M3" s="325">
        <f t="shared" si="0"/>
        <v>11</v>
      </c>
      <c r="N3" s="325">
        <f t="shared" si="0"/>
        <v>12</v>
      </c>
      <c r="O3" s="328">
        <f t="shared" si="0"/>
        <v>13</v>
      </c>
      <c r="P3" s="325">
        <f t="shared" ref="P3" si="1">+O3+1</f>
        <v>14</v>
      </c>
      <c r="Q3" s="325">
        <f t="shared" ref="Q3" si="2">+P3+1</f>
        <v>15</v>
      </c>
      <c r="R3" s="325">
        <f t="shared" ref="R3" si="3">+Q3+1</f>
        <v>16</v>
      </c>
      <c r="S3" s="325">
        <f t="shared" ref="S3" si="4">+R3+1</f>
        <v>17</v>
      </c>
      <c r="T3" s="325">
        <f t="shared" ref="T3" si="5">+S3+1</f>
        <v>18</v>
      </c>
      <c r="U3" s="329">
        <f t="shared" ref="U3" si="6">+T3+1</f>
        <v>19</v>
      </c>
      <c r="V3" s="325">
        <f t="shared" ref="V3:AA3" si="7">+U3+1</f>
        <v>20</v>
      </c>
      <c r="W3" s="325">
        <f>+V3+1</f>
        <v>21</v>
      </c>
      <c r="X3" s="329">
        <f t="shared" si="7"/>
        <v>22</v>
      </c>
      <c r="Y3" s="1128">
        <f t="shared" si="7"/>
        <v>23</v>
      </c>
      <c r="Z3" s="1128">
        <f t="shared" si="7"/>
        <v>24</v>
      </c>
      <c r="AA3" s="1128">
        <f t="shared" si="7"/>
        <v>25</v>
      </c>
      <c r="AC3" s="73"/>
    </row>
    <row r="4" spans="1:29" s="20" customFormat="1" ht="18">
      <c r="A4" s="330"/>
      <c r="B4" s="331" t="s">
        <v>627</v>
      </c>
      <c r="C4" s="332"/>
      <c r="D4" s="331"/>
      <c r="E4" s="331"/>
      <c r="F4" s="332"/>
      <c r="G4" s="333"/>
      <c r="H4" s="325"/>
      <c r="I4" s="333"/>
      <c r="J4" s="331"/>
      <c r="K4" s="334"/>
      <c r="L4" s="335"/>
      <c r="M4" s="336"/>
      <c r="N4" s="337" t="s">
        <v>150</v>
      </c>
      <c r="O4" s="331"/>
      <c r="P4" s="325"/>
      <c r="Q4" s="325"/>
      <c r="R4" s="325"/>
      <c r="S4" s="325"/>
      <c r="T4" s="325"/>
      <c r="U4" s="329" t="str">
        <f>IF($N4=$N$4,IFERROR(INDEX(DanhMuc!$E$154:$E$165,MATCH(MID($B4,4,2),DanhMuc!$B$154:$B$165,0)),""),"")</f>
        <v/>
      </c>
      <c r="V4" s="325"/>
      <c r="W4" s="338"/>
      <c r="X4" s="329" t="str">
        <f>IF(IFERROR(SEARCH("thép",$F4,1),0)&gt;=1,"T" &amp;MID($B4,4,2),MID($B4,4,2))</f>
        <v>FI</v>
      </c>
      <c r="Y4" s="376"/>
      <c r="Z4" s="376"/>
      <c r="AA4" s="376"/>
      <c r="AC4" s="73"/>
    </row>
    <row r="5" spans="1:29" s="72" customFormat="1">
      <c r="A5" s="339"/>
      <c r="B5" s="338"/>
      <c r="C5" s="340"/>
      <c r="D5" s="339"/>
      <c r="E5" s="339"/>
      <c r="F5" s="341" t="s">
        <v>603</v>
      </c>
      <c r="G5" s="339"/>
      <c r="H5" s="342"/>
      <c r="I5" s="339"/>
      <c r="J5" s="339"/>
      <c r="K5" s="339"/>
      <c r="L5" s="339"/>
      <c r="M5" s="343"/>
      <c r="N5" s="337" t="s">
        <v>150</v>
      </c>
      <c r="O5" s="344"/>
      <c r="P5" s="342"/>
      <c r="Q5" s="342"/>
      <c r="R5" s="342"/>
      <c r="S5" s="342"/>
      <c r="T5" s="342"/>
      <c r="U5" s="329" t="str">
        <f>IF($N5=$N$4,IFERROR(INDEX(DanhMuc!$E$154:$E$165,MATCH(MID($B5,4,2),DanhMuc!$B$154:$B$165,0)),""),"")</f>
        <v/>
      </c>
      <c r="V5" s="342"/>
      <c r="W5" s="338" t="s">
        <v>76</v>
      </c>
      <c r="X5" s="329" t="str">
        <f t="shared" ref="X5:X72" si="8">IF(IFERROR(SEARCH("thép",$F5,1),0)&gt;=1,"T" &amp;MID($B5,4,2),MID($B5,4,2))</f>
        <v/>
      </c>
      <c r="Y5" s="1129"/>
      <c r="Z5" s="1129"/>
      <c r="AA5" s="1129"/>
      <c r="AB5" s="20"/>
      <c r="AC5" s="73"/>
    </row>
    <row r="6" spans="1:29" s="73" customFormat="1" ht="26">
      <c r="A6" s="327">
        <f>IF(AND($B6&lt;&gt;"",$C6&lt;&gt;""),MAX($A$4:A5)+1,"")</f>
        <v>1</v>
      </c>
      <c r="B6" s="345" t="s">
        <v>950</v>
      </c>
      <c r="C6" s="346" t="s">
        <v>1597</v>
      </c>
      <c r="D6" s="347">
        <f>IF($B6="","",COUNTIF($B$6:$B6,$B6))</f>
        <v>1</v>
      </c>
      <c r="E6" s="345" t="s">
        <v>25</v>
      </c>
      <c r="F6" s="346" t="s">
        <v>351</v>
      </c>
      <c r="G6" s="327"/>
      <c r="H6" s="328"/>
      <c r="I6" s="347">
        <v>1</v>
      </c>
      <c r="J6" s="345"/>
      <c r="K6" s="127" t="s">
        <v>530</v>
      </c>
      <c r="L6" s="348">
        <f t="shared" ref="L6:L11" si="9">+$T6*$S6*$L$37</f>
        <v>211323</v>
      </c>
      <c r="M6" s="349"/>
      <c r="N6" s="350" t="str">
        <f>+$N$4</f>
        <v>PR</v>
      </c>
      <c r="O6" s="345"/>
      <c r="P6" s="325"/>
      <c r="Q6" s="351"/>
      <c r="R6" s="351">
        <v>2</v>
      </c>
      <c r="S6" s="351">
        <v>5.8</v>
      </c>
      <c r="T6" s="351">
        <v>0.34699999999999998</v>
      </c>
      <c r="U6" s="329">
        <f>IF($N6=$N$4,IFERROR(INDEX(DanhMuc!$E$154:$E$165,MATCH(MID($B6,4,2),DanhMuc!$B$154:$B$165,0)),""),"")</f>
        <v>5700</v>
      </c>
      <c r="V6" s="328"/>
      <c r="W6" s="352"/>
      <c r="X6" s="329" t="str">
        <f t="shared" si="8"/>
        <v>XF</v>
      </c>
      <c r="Y6" s="1128" t="s">
        <v>3380</v>
      </c>
      <c r="Z6" s="1128" t="s">
        <v>3381</v>
      </c>
      <c r="AA6" s="1128" t="s">
        <v>3384</v>
      </c>
      <c r="AB6" s="20"/>
    </row>
    <row r="7" spans="1:29" s="22" customFormat="1" ht="12.5">
      <c r="A7" s="327" t="str">
        <f>IF(AND($B7&lt;&gt;"",$C7&lt;&gt;""),MAX($A$4:A6)+1,"")</f>
        <v/>
      </c>
      <c r="B7" s="365" t="s">
        <v>950</v>
      </c>
      <c r="C7" s="368"/>
      <c r="D7" s="367">
        <f>IF($B7="","",COUNTIF($B$6:$B7,$B7))</f>
        <v>2</v>
      </c>
      <c r="E7" s="365" t="s">
        <v>349</v>
      </c>
      <c r="F7" s="368" t="s">
        <v>350</v>
      </c>
      <c r="G7" s="327"/>
      <c r="H7" s="329"/>
      <c r="I7" s="367">
        <v>1</v>
      </c>
      <c r="J7" s="365"/>
      <c r="K7" s="286" t="s">
        <v>530</v>
      </c>
      <c r="L7" s="348">
        <f t="shared" si="9"/>
        <v>796572</v>
      </c>
      <c r="M7" s="369"/>
      <c r="N7" s="355" t="str">
        <f t="shared" ref="N7:N14" si="10">+$N$4</f>
        <v>PR</v>
      </c>
      <c r="O7" s="365"/>
      <c r="P7" s="325"/>
      <c r="Q7" s="327"/>
      <c r="R7" s="327">
        <v>1.6</v>
      </c>
      <c r="S7" s="327">
        <v>5.8</v>
      </c>
      <c r="T7" s="327">
        <v>1.3080000000000001</v>
      </c>
      <c r="U7" s="329">
        <f>IF($N7=$N$4,IFERROR(INDEX(DanhMuc!$E$154:$E$165,MATCH(MID($B7,4,2),DanhMuc!$B$154:$B$165,0)),""),"")</f>
        <v>5700</v>
      </c>
      <c r="V7" s="329"/>
      <c r="W7" s="614"/>
      <c r="X7" s="329" t="str">
        <f t="shared" si="8"/>
        <v>XF</v>
      </c>
      <c r="Y7" s="1128" t="s">
        <v>3380</v>
      </c>
      <c r="Z7" s="1128" t="s">
        <v>3381</v>
      </c>
      <c r="AA7" s="1128" t="s">
        <v>3384</v>
      </c>
      <c r="AB7" s="20"/>
      <c r="AC7" s="73"/>
    </row>
    <row r="8" spans="1:29" s="22" customFormat="1" ht="12.5">
      <c r="A8" s="327" t="str">
        <f>IF(AND($B8&lt;&gt;"",$C8&lt;&gt;""),MAX($A$4:A7)+1,"")</f>
        <v/>
      </c>
      <c r="B8" s="365" t="s">
        <v>950</v>
      </c>
      <c r="C8" s="368"/>
      <c r="D8" s="367">
        <f>IF($B8="","",COUNTIF($B$6:$B8,$B8))</f>
        <v>3</v>
      </c>
      <c r="E8" s="365" t="s">
        <v>2535</v>
      </c>
      <c r="F8" s="368" t="s">
        <v>2537</v>
      </c>
      <c r="G8" s="327"/>
      <c r="H8" s="329"/>
      <c r="I8" s="367">
        <v>1</v>
      </c>
      <c r="J8" s="365"/>
      <c r="K8" s="286" t="s">
        <v>530</v>
      </c>
      <c r="L8" s="348">
        <f t="shared" si="9"/>
        <v>685733.99999999988</v>
      </c>
      <c r="M8" s="369"/>
      <c r="N8" s="355" t="str">
        <f t="shared" si="10"/>
        <v>PR</v>
      </c>
      <c r="O8" s="365"/>
      <c r="P8" s="325"/>
      <c r="Q8" s="327"/>
      <c r="R8" s="327">
        <v>1.8</v>
      </c>
      <c r="S8" s="327">
        <v>5.8</v>
      </c>
      <c r="T8" s="327">
        <v>1.1259999999999999</v>
      </c>
      <c r="U8" s="329">
        <f>IF($N8=$N$4,IFERROR(INDEX(DanhMuc!$E$154:$E$165,MATCH(MID($B8,4,2),DanhMuc!$B$154:$B$165,0)),""),"")</f>
        <v>5700</v>
      </c>
      <c r="V8" s="329"/>
      <c r="W8" s="614"/>
      <c r="X8" s="329" t="str">
        <f t="shared" si="8"/>
        <v>XF</v>
      </c>
      <c r="Y8" s="1128" t="s">
        <v>3380</v>
      </c>
      <c r="Z8" s="1128" t="s">
        <v>3381</v>
      </c>
      <c r="AA8" s="1128" t="s">
        <v>3384</v>
      </c>
      <c r="AB8" s="20"/>
      <c r="AC8" s="73"/>
    </row>
    <row r="9" spans="1:29" s="22" customFormat="1" ht="12.5">
      <c r="A9" s="327" t="str">
        <f>IF(AND($B9&lt;&gt;"",$C9&lt;&gt;""),MAX($A$4:A7)+1,"")</f>
        <v/>
      </c>
      <c r="B9" s="365" t="s">
        <v>950</v>
      </c>
      <c r="C9" s="368"/>
      <c r="D9" s="367">
        <f>IF($B9="","",COUNTIF($B$6:$B9,$B9))</f>
        <v>4</v>
      </c>
      <c r="E9" s="365" t="s">
        <v>2536</v>
      </c>
      <c r="F9" s="368" t="s">
        <v>2538</v>
      </c>
      <c r="G9" s="327"/>
      <c r="H9" s="329"/>
      <c r="I9" s="367">
        <v>1</v>
      </c>
      <c r="J9" s="365"/>
      <c r="K9" s="286" t="s">
        <v>530</v>
      </c>
      <c r="L9" s="348">
        <f t="shared" si="9"/>
        <v>557844</v>
      </c>
      <c r="M9" s="369"/>
      <c r="N9" s="355" t="str">
        <f t="shared" si="10"/>
        <v>PR</v>
      </c>
      <c r="O9" s="365"/>
      <c r="P9" s="325"/>
      <c r="Q9" s="327"/>
      <c r="R9" s="327">
        <v>1.8</v>
      </c>
      <c r="S9" s="327">
        <v>5.8</v>
      </c>
      <c r="T9" s="327">
        <v>0.91600000000000004</v>
      </c>
      <c r="U9" s="329">
        <f>IF($N9=$N$4,IFERROR(INDEX(DanhMuc!$E$154:$E$165,MATCH(MID($B9,4,2),DanhMuc!$B$154:$B$165,0)),""),"")</f>
        <v>5700</v>
      </c>
      <c r="V9" s="329"/>
      <c r="W9" s="614"/>
      <c r="X9" s="329" t="str">
        <f t="shared" si="8"/>
        <v>XF</v>
      </c>
      <c r="Y9" s="1128" t="s">
        <v>3380</v>
      </c>
      <c r="Z9" s="1128" t="s">
        <v>3381</v>
      </c>
      <c r="AA9" s="1128" t="s">
        <v>3384</v>
      </c>
      <c r="AB9" s="20"/>
      <c r="AC9" s="73"/>
    </row>
    <row r="10" spans="1:29" s="22" customFormat="1" ht="12.5">
      <c r="A10" s="327" t="str">
        <f>IF(AND($B10&lt;&gt;"",$C10&lt;&gt;""),MAX($A$4:A8)+1,"")</f>
        <v/>
      </c>
      <c r="B10" s="365" t="s">
        <v>950</v>
      </c>
      <c r="C10" s="368"/>
      <c r="D10" s="367">
        <f>IF($B10="","",COUNTIF($B$6:$B10,$B10))</f>
        <v>5</v>
      </c>
      <c r="E10" s="365" t="s">
        <v>3870</v>
      </c>
      <c r="F10" s="368" t="s">
        <v>3871</v>
      </c>
      <c r="G10" s="327"/>
      <c r="H10" s="329"/>
      <c r="I10" s="367">
        <v>1</v>
      </c>
      <c r="J10" s="365"/>
      <c r="K10" s="286" t="s">
        <v>530</v>
      </c>
      <c r="L10" s="348">
        <f t="shared" si="9"/>
        <v>442742.99999999994</v>
      </c>
      <c r="M10" s="369"/>
      <c r="N10" s="355" t="str">
        <f t="shared" si="10"/>
        <v>PR</v>
      </c>
      <c r="O10" s="365"/>
      <c r="P10" s="325"/>
      <c r="Q10" s="327"/>
      <c r="R10" s="327">
        <v>1.8</v>
      </c>
      <c r="S10" s="327">
        <v>5.8</v>
      </c>
      <c r="T10" s="327">
        <v>0.72699999999999998</v>
      </c>
      <c r="U10" s="329">
        <f>IF($N10=$N$4,IFERROR(INDEX(DanhMuc!$E$154:$E$165,MATCH(MID($B10,4,2),DanhMuc!$B$154:$B$165,0)),""),"")</f>
        <v>5700</v>
      </c>
      <c r="V10" s="329"/>
      <c r="W10" s="614"/>
      <c r="X10" s="329" t="str">
        <f t="shared" si="8"/>
        <v>XF</v>
      </c>
      <c r="Y10" s="1128" t="s">
        <v>3380</v>
      </c>
      <c r="Z10" s="1128" t="s">
        <v>3381</v>
      </c>
      <c r="AA10" s="1128" t="s">
        <v>3384</v>
      </c>
      <c r="AB10" s="20"/>
      <c r="AC10" s="73"/>
    </row>
    <row r="11" spans="1:29" s="73" customFormat="1" ht="26">
      <c r="A11" s="327">
        <f>IF(AND($B11&lt;&gt;"",$C11&lt;&gt;""),MAX($A$4:A7)+1,"")</f>
        <v>2</v>
      </c>
      <c r="B11" s="345" t="s">
        <v>950</v>
      </c>
      <c r="C11" s="346" t="s">
        <v>1598</v>
      </c>
      <c r="D11" s="347">
        <f>IF($B11="","",COUNTIF($B$6:$B11,$B11))</f>
        <v>6</v>
      </c>
      <c r="E11" s="345" t="s">
        <v>1071</v>
      </c>
      <c r="F11" s="346" t="s">
        <v>1434</v>
      </c>
      <c r="G11" s="327"/>
      <c r="H11" s="328"/>
      <c r="I11" s="347">
        <v>1</v>
      </c>
      <c r="J11" s="345"/>
      <c r="K11" s="127" t="s">
        <v>530</v>
      </c>
      <c r="L11" s="348">
        <f t="shared" si="9"/>
        <v>776475</v>
      </c>
      <c r="M11" s="349"/>
      <c r="N11" s="350" t="str">
        <f t="shared" si="10"/>
        <v>PR</v>
      </c>
      <c r="O11" s="345"/>
      <c r="P11" s="325"/>
      <c r="Q11" s="351"/>
      <c r="R11" s="351">
        <v>2.2000000000000002</v>
      </c>
      <c r="S11" s="351">
        <v>5.8</v>
      </c>
      <c r="T11" s="351">
        <v>1.2749999999999999</v>
      </c>
      <c r="U11" s="329">
        <f>IF($N11=$N$4,IFERROR(INDEX(DanhMuc!$E$154:$E$165,MATCH(MID($B11,4,2),DanhMuc!$B$154:$B$165,0)),""),"")</f>
        <v>5700</v>
      </c>
      <c r="V11" s="328"/>
      <c r="W11" s="352"/>
      <c r="X11" s="329" t="str">
        <f t="shared" si="8"/>
        <v>XF</v>
      </c>
      <c r="Y11" s="1128" t="s">
        <v>3380</v>
      </c>
      <c r="Z11" s="1128" t="s">
        <v>3381</v>
      </c>
      <c r="AA11" s="1128" t="s">
        <v>3384</v>
      </c>
      <c r="AB11" s="20"/>
    </row>
    <row r="12" spans="1:29" s="73" customFormat="1" ht="26">
      <c r="A12" s="327">
        <f>IF(AND($B12&lt;&gt;"",$C12&lt;&gt;""),MAX($A$4:A11)+1,"")</f>
        <v>3</v>
      </c>
      <c r="B12" s="345" t="s">
        <v>1823</v>
      </c>
      <c r="C12" s="346" t="s">
        <v>1825</v>
      </c>
      <c r="D12" s="347">
        <f>IF($B12="","",COUNTIF($B$6:$B12,$B12))</f>
        <v>1</v>
      </c>
      <c r="E12" s="346" t="s">
        <v>2278</v>
      </c>
      <c r="F12" s="346" t="s">
        <v>351</v>
      </c>
      <c r="G12" s="327"/>
      <c r="H12" s="328"/>
      <c r="I12" s="347">
        <v>1</v>
      </c>
      <c r="J12" s="345"/>
      <c r="K12" s="127" t="s">
        <v>530</v>
      </c>
      <c r="L12" s="348">
        <f>+$T12*$L$391*$S12</f>
        <v>180600</v>
      </c>
      <c r="M12" s="349"/>
      <c r="N12" s="350" t="str">
        <f t="shared" si="10"/>
        <v>PR</v>
      </c>
      <c r="O12" s="345"/>
      <c r="P12" s="325"/>
      <c r="Q12" s="351"/>
      <c r="R12" s="351"/>
      <c r="S12" s="351">
        <v>6</v>
      </c>
      <c r="T12" s="351">
        <v>0.35833333333333334</v>
      </c>
      <c r="U12" s="329">
        <f>IF($N12=$N$4,IFERROR(INDEX(DanhMuc!$E$154:$E$165,MATCH(MID($B12,4,2),DanhMuc!$B$154:$B$165,0)),""),"")</f>
        <v>6000</v>
      </c>
      <c r="V12" s="328"/>
      <c r="W12" s="352"/>
      <c r="X12" s="329" t="str">
        <f t="shared" si="8"/>
        <v>XW</v>
      </c>
      <c r="Y12" s="1128" t="s">
        <v>3380</v>
      </c>
      <c r="Z12" s="1128" t="s">
        <v>3381</v>
      </c>
      <c r="AA12" s="1128" t="s">
        <v>3384</v>
      </c>
      <c r="AB12" s="20"/>
    </row>
    <row r="13" spans="1:29" s="22" customFormat="1" ht="12.5">
      <c r="A13" s="327" t="str">
        <f>IF(AND($B13&lt;&gt;"",$C13&lt;&gt;""),MAX($A$4:A12)+1,"")</f>
        <v/>
      </c>
      <c r="B13" s="365" t="s">
        <v>1823</v>
      </c>
      <c r="C13" s="368"/>
      <c r="D13" s="367">
        <f>IF($B13="","",COUNTIF($B$6:$B13,$B13))</f>
        <v>2</v>
      </c>
      <c r="E13" s="368" t="s">
        <v>2279</v>
      </c>
      <c r="F13" s="368" t="s">
        <v>350</v>
      </c>
      <c r="G13" s="327"/>
      <c r="H13" s="329"/>
      <c r="I13" s="367">
        <v>1</v>
      </c>
      <c r="J13" s="365"/>
      <c r="K13" s="286" t="s">
        <v>530</v>
      </c>
      <c r="L13" s="348">
        <f>+$T13*$L$391*$S13</f>
        <v>659232</v>
      </c>
      <c r="M13" s="369"/>
      <c r="N13" s="355" t="str">
        <f t="shared" si="10"/>
        <v>PR</v>
      </c>
      <c r="O13" s="365"/>
      <c r="P13" s="325"/>
      <c r="Q13" s="327"/>
      <c r="R13" s="327">
        <v>1.6</v>
      </c>
      <c r="S13" s="327">
        <v>6</v>
      </c>
      <c r="T13" s="327">
        <v>1.3080000000000001</v>
      </c>
      <c r="U13" s="329">
        <f>IF($N13=$N$4,IFERROR(INDEX(DanhMuc!$E$154:$E$165,MATCH(MID($B13,4,2),DanhMuc!$B$154:$B$165,0)),""),"")</f>
        <v>6000</v>
      </c>
      <c r="V13" s="329"/>
      <c r="W13" s="614"/>
      <c r="X13" s="329" t="str">
        <f t="shared" si="8"/>
        <v>XW</v>
      </c>
      <c r="Y13" s="1128" t="s">
        <v>3380</v>
      </c>
      <c r="Z13" s="1128" t="s">
        <v>3381</v>
      </c>
      <c r="AA13" s="1128" t="s">
        <v>3384</v>
      </c>
      <c r="AB13" s="20"/>
      <c r="AC13" s="73"/>
    </row>
    <row r="14" spans="1:29" s="73" customFormat="1" ht="26">
      <c r="A14" s="327">
        <f>IF(AND($B14&lt;&gt;"",$C14&lt;&gt;""),MAX($A$4:A13)+1,"")</f>
        <v>4</v>
      </c>
      <c r="B14" s="345" t="s">
        <v>1823</v>
      </c>
      <c r="C14" s="346" t="s">
        <v>1824</v>
      </c>
      <c r="D14" s="347">
        <f>IF($B14="","",COUNTIF($B$6:$B14,$B14))</f>
        <v>3</v>
      </c>
      <c r="E14" s="346" t="s">
        <v>2277</v>
      </c>
      <c r="F14" s="346" t="s">
        <v>1434</v>
      </c>
      <c r="G14" s="327"/>
      <c r="H14" s="328"/>
      <c r="I14" s="347">
        <v>1</v>
      </c>
      <c r="J14" s="345"/>
      <c r="K14" s="127" t="s">
        <v>530</v>
      </c>
      <c r="L14" s="348">
        <f>+$T14*$L$391*$S14</f>
        <v>588000</v>
      </c>
      <c r="M14" s="349"/>
      <c r="N14" s="350" t="str">
        <f t="shared" si="10"/>
        <v>PR</v>
      </c>
      <c r="O14" s="345"/>
      <c r="P14" s="325"/>
      <c r="Q14" s="351"/>
      <c r="R14" s="351">
        <v>1.8</v>
      </c>
      <c r="S14" s="351">
        <v>6</v>
      </c>
      <c r="T14" s="351">
        <v>1.1666666666666667</v>
      </c>
      <c r="U14" s="329">
        <f>IF($N14=$N$4,IFERROR(INDEX(DanhMuc!$E$154:$E$165,MATCH(MID($B14,4,2),DanhMuc!$B$154:$B$165,0)),""),"")</f>
        <v>6000</v>
      </c>
      <c r="V14" s="328"/>
      <c r="W14" s="352"/>
      <c r="X14" s="329" t="str">
        <f t="shared" si="8"/>
        <v>XW</v>
      </c>
      <c r="Y14" s="1128" t="s">
        <v>3380</v>
      </c>
      <c r="Z14" s="1128" t="s">
        <v>3381</v>
      </c>
      <c r="AA14" s="1128" t="s">
        <v>3384</v>
      </c>
      <c r="AB14" s="20"/>
    </row>
    <row r="15" spans="1:29" s="73" customFormat="1" ht="26">
      <c r="A15" s="327">
        <f>IF(AND($B15&lt;&gt;"",$C15&lt;&gt;""),MAX($A$4:A7)+1,"")</f>
        <v>2</v>
      </c>
      <c r="B15" s="345" t="s">
        <v>951</v>
      </c>
      <c r="C15" s="346" t="s">
        <v>1599</v>
      </c>
      <c r="D15" s="347">
        <f>IF($B15="","",COUNTIF($B$6:$B15,$B15))</f>
        <v>1</v>
      </c>
      <c r="E15" s="345" t="s">
        <v>606</v>
      </c>
      <c r="F15" s="346" t="s">
        <v>607</v>
      </c>
      <c r="G15" s="327"/>
      <c r="H15" s="328"/>
      <c r="I15" s="347">
        <v>1</v>
      </c>
      <c r="J15" s="345"/>
      <c r="K15" s="127"/>
      <c r="L15" s="348">
        <f>+$T15*$S15*IF(IFERROR(SEARCH("THÉP",$F15,1),0)&lt;1,$L$708,$K$708)</f>
        <v>33814</v>
      </c>
      <c r="M15" s="349"/>
      <c r="N15" s="350" t="str">
        <f>+$N$4</f>
        <v>PR</v>
      </c>
      <c r="O15" s="345"/>
      <c r="P15" s="325"/>
      <c r="Q15" s="351"/>
      <c r="R15" s="351">
        <v>0</v>
      </c>
      <c r="S15" s="351">
        <v>5.8</v>
      </c>
      <c r="T15" s="351">
        <v>0.11</v>
      </c>
      <c r="U15" s="329">
        <f>IF($N15=$N$4,IFERROR(INDEX(DanhMuc!$E$154:$E$165,MATCH(MID($B15,4,2),DanhMuc!$B$154:$B$165,0)),""),"")</f>
        <v>5800</v>
      </c>
      <c r="V15" s="328"/>
      <c r="W15" s="352"/>
      <c r="X15" s="329" t="str">
        <f t="shared" si="8"/>
        <v>SL</v>
      </c>
      <c r="Y15" s="1128" t="s">
        <v>3380</v>
      </c>
      <c r="Z15" s="1128" t="s">
        <v>3381</v>
      </c>
      <c r="AA15" s="1128" t="s">
        <v>3384</v>
      </c>
      <c r="AB15" s="20"/>
    </row>
    <row r="16" spans="1:29" s="73" customFormat="1">
      <c r="A16" s="327" t="str">
        <f>IF(AND($B16&lt;&gt;"",$C16&lt;&gt;""),MAX($A$4:A15)+1,"")</f>
        <v/>
      </c>
      <c r="B16" s="345" t="s">
        <v>951</v>
      </c>
      <c r="C16" s="346"/>
      <c r="D16" s="347">
        <f>IF($B16="","",COUNTIF($B$6:$B16,$B16))</f>
        <v>2</v>
      </c>
      <c r="E16" s="345" t="s">
        <v>608</v>
      </c>
      <c r="F16" s="346" t="s">
        <v>609</v>
      </c>
      <c r="G16" s="327"/>
      <c r="H16" s="328"/>
      <c r="I16" s="347">
        <v>1</v>
      </c>
      <c r="J16" s="345"/>
      <c r="K16" s="127"/>
      <c r="L16" s="348">
        <f>+$T16*$S16*IF(IFERROR(SEARCH("THÉP",$F16,1),0)&lt;1,$L$708,$K$708)</f>
        <v>198273</v>
      </c>
      <c r="M16" s="349"/>
      <c r="N16" s="350" t="str">
        <f t="shared" ref="N16:N21" si="11">+$N$4</f>
        <v>PR</v>
      </c>
      <c r="O16" s="345"/>
      <c r="P16" s="325"/>
      <c r="Q16" s="351"/>
      <c r="R16" s="351">
        <v>0</v>
      </c>
      <c r="S16" s="351">
        <v>5.8</v>
      </c>
      <c r="T16" s="351">
        <v>0.64500000000000002</v>
      </c>
      <c r="U16" s="329">
        <f>IF($N16=$N$4,IFERROR(INDEX(DanhMuc!$E$154:$E$165,MATCH(MID($B16,4,2),DanhMuc!$B$154:$B$165,0)),""),"")</f>
        <v>5800</v>
      </c>
      <c r="V16" s="328"/>
      <c r="W16" s="352"/>
      <c r="X16" s="329" t="str">
        <f t="shared" si="8"/>
        <v>SL</v>
      </c>
      <c r="Y16" s="1128" t="s">
        <v>3380</v>
      </c>
      <c r="Z16" s="1128" t="s">
        <v>3381</v>
      </c>
      <c r="AA16" s="1128" t="s">
        <v>3384</v>
      </c>
      <c r="AB16" s="20"/>
    </row>
    <row r="17" spans="1:28" s="73" customFormat="1" ht="26">
      <c r="A17" s="327">
        <f>IF(AND($B17&lt;&gt;"",$C17&lt;&gt;""),MAX($A$4:A12)+1,"")</f>
        <v>4</v>
      </c>
      <c r="B17" s="345" t="s">
        <v>951</v>
      </c>
      <c r="C17" s="346" t="s">
        <v>1600</v>
      </c>
      <c r="D17" s="347">
        <f>IF($B17="","",COUNTIF($B$6:$B17,$B17))</f>
        <v>3</v>
      </c>
      <c r="E17" s="353" t="s">
        <v>610</v>
      </c>
      <c r="F17" s="354" t="s">
        <v>611</v>
      </c>
      <c r="G17" s="353" t="s">
        <v>2292</v>
      </c>
      <c r="H17" s="353" t="s">
        <v>614</v>
      </c>
      <c r="I17" s="347">
        <v>1</v>
      </c>
      <c r="J17" s="345"/>
      <c r="K17" s="127"/>
      <c r="L17" s="348">
        <f>+$T17*$S17*IF(IFERROR(SEARCH("THÉP",$F17,1),0)&lt;1,$L$708,$K$708)</f>
        <v>296641</v>
      </c>
      <c r="M17" s="349"/>
      <c r="N17" s="350" t="str">
        <f t="shared" si="11"/>
        <v>PR</v>
      </c>
      <c r="O17" s="345"/>
      <c r="P17" s="325"/>
      <c r="Q17" s="351"/>
      <c r="R17" s="351">
        <v>0</v>
      </c>
      <c r="S17" s="351">
        <v>5.8</v>
      </c>
      <c r="T17" s="351">
        <v>0.96499999999999997</v>
      </c>
      <c r="U17" s="329">
        <f>IF($N17=$N$4,IFERROR(INDEX(DanhMuc!$E$154:$E$165,MATCH(MID($B17,4,2),DanhMuc!$B$154:$B$165,0)),""),"")</f>
        <v>5800</v>
      </c>
      <c r="V17" s="328"/>
      <c r="W17" s="352"/>
      <c r="X17" s="329" t="str">
        <f t="shared" si="8"/>
        <v>SL</v>
      </c>
      <c r="Y17" s="1128" t="s">
        <v>3380</v>
      </c>
      <c r="Z17" s="1128" t="s">
        <v>3381</v>
      </c>
      <c r="AA17" s="1128" t="s">
        <v>3384</v>
      </c>
      <c r="AB17" s="20"/>
    </row>
    <row r="18" spans="1:28" s="73" customFormat="1">
      <c r="A18" s="327">
        <f>IF(AND($B18&lt;&gt;"",$C18&lt;&gt;""),MAX($A$4:A16)+1,"")</f>
        <v>5</v>
      </c>
      <c r="B18" s="345" t="s">
        <v>1428</v>
      </c>
      <c r="C18" s="346" t="s">
        <v>1604</v>
      </c>
      <c r="D18" s="347">
        <f>IF($B18="","",COUNTIF($B$6:$B18,$B18))</f>
        <v>1</v>
      </c>
      <c r="E18" s="345">
        <v>500523</v>
      </c>
      <c r="F18" s="346" t="s">
        <v>1430</v>
      </c>
      <c r="G18" s="327"/>
      <c r="H18" s="328"/>
      <c r="I18" s="347">
        <v>2</v>
      </c>
      <c r="J18" s="345"/>
      <c r="K18" s="127"/>
      <c r="L18" s="348"/>
      <c r="M18" s="349"/>
      <c r="N18" s="350" t="str">
        <f>+$N$4</f>
        <v>PR</v>
      </c>
      <c r="O18" s="345"/>
      <c r="P18" s="325"/>
      <c r="Q18" s="351"/>
      <c r="R18" s="351"/>
      <c r="S18" s="351">
        <v>5.8</v>
      </c>
      <c r="T18" s="351"/>
      <c r="U18" s="329">
        <f>IF($N18=$N$4,IFERROR(INDEX(DanhMuc!$E$154:$E$165,MATCH(MID($B18,4,2),DanhMuc!$B$154:$B$165,0)),""),"")</f>
        <v>5800</v>
      </c>
      <c r="V18" s="328"/>
      <c r="W18" s="352"/>
      <c r="X18" s="329" t="str">
        <f t="shared" si="8"/>
        <v>RH</v>
      </c>
      <c r="Y18" s="1128" t="s">
        <v>3380</v>
      </c>
      <c r="Z18" s="1128" t="s">
        <v>3381</v>
      </c>
      <c r="AA18" s="1128" t="s">
        <v>3384</v>
      </c>
      <c r="AB18" s="20"/>
    </row>
    <row r="19" spans="1:28" s="73" customFormat="1">
      <c r="A19" s="327" t="str">
        <f>IF(AND($B19&lt;&gt;"",$C19&lt;&gt;""),MAX($A$4:A18)+1,"")</f>
        <v/>
      </c>
      <c r="B19" s="345" t="s">
        <v>1428</v>
      </c>
      <c r="C19" s="346"/>
      <c r="D19" s="347">
        <f>IF($B19="","",COUNTIF($B$6:$B19,$B19))</f>
        <v>2</v>
      </c>
      <c r="E19" s="345">
        <v>500503</v>
      </c>
      <c r="F19" s="346" t="s">
        <v>1431</v>
      </c>
      <c r="G19" s="347">
        <v>320067</v>
      </c>
      <c r="H19" s="345" t="s">
        <v>1432</v>
      </c>
      <c r="I19" s="347">
        <v>2</v>
      </c>
      <c r="J19" s="345"/>
      <c r="K19" s="127"/>
      <c r="L19" s="348"/>
      <c r="M19" s="349"/>
      <c r="N19" s="350" t="str">
        <f t="shared" ref="N19:N20" si="12">+$N$4</f>
        <v>PR</v>
      </c>
      <c r="O19" s="345"/>
      <c r="P19" s="325"/>
      <c r="Q19" s="351"/>
      <c r="R19" s="351"/>
      <c r="S19" s="351">
        <v>5.8</v>
      </c>
      <c r="T19" s="351"/>
      <c r="U19" s="329">
        <f>IF($N19=$N$4,IFERROR(INDEX(DanhMuc!$E$154:$E$165,MATCH(MID($B19,4,2),DanhMuc!$B$154:$B$165,0)),""),"")</f>
        <v>5800</v>
      </c>
      <c r="V19" s="328"/>
      <c r="W19" s="352"/>
      <c r="X19" s="329" t="str">
        <f t="shared" si="8"/>
        <v>RH</v>
      </c>
      <c r="Y19" s="1128" t="s">
        <v>3380</v>
      </c>
      <c r="Z19" s="1128" t="s">
        <v>3381</v>
      </c>
      <c r="AA19" s="1128" t="s">
        <v>3384</v>
      </c>
      <c r="AB19" s="20"/>
    </row>
    <row r="20" spans="1:28" s="73" customFormat="1">
      <c r="A20" s="327">
        <f>IF(AND($B20&lt;&gt;"",$C20&lt;&gt;""),MAX($A$4:A19)+1,"")</f>
        <v>6</v>
      </c>
      <c r="B20" s="345" t="s">
        <v>1428</v>
      </c>
      <c r="C20" s="346" t="s">
        <v>1605</v>
      </c>
      <c r="D20" s="347">
        <f>IF($B20="","",COUNTIF($B$6:$B20,$B20))</f>
        <v>3</v>
      </c>
      <c r="E20" s="345">
        <v>500273</v>
      </c>
      <c r="F20" s="346" t="s">
        <v>611</v>
      </c>
      <c r="G20" s="347">
        <v>221861</v>
      </c>
      <c r="H20" s="345" t="s">
        <v>1433</v>
      </c>
      <c r="I20" s="347">
        <v>1</v>
      </c>
      <c r="J20" s="345"/>
      <c r="K20" s="127"/>
      <c r="L20" s="348"/>
      <c r="M20" s="349"/>
      <c r="N20" s="350" t="str">
        <f t="shared" si="12"/>
        <v>PR</v>
      </c>
      <c r="O20" s="345"/>
      <c r="P20" s="325"/>
      <c r="Q20" s="351"/>
      <c r="R20" s="351"/>
      <c r="S20" s="351">
        <v>5.8</v>
      </c>
      <c r="T20" s="351"/>
      <c r="U20" s="329">
        <f>IF($N20=$N$4,IFERROR(INDEX(DanhMuc!$E$154:$E$165,MATCH(MID($B20,4,2),DanhMuc!$B$154:$B$165,0)),""),"")</f>
        <v>5800</v>
      </c>
      <c r="V20" s="328"/>
      <c r="W20" s="352"/>
      <c r="X20" s="329" t="str">
        <f t="shared" si="8"/>
        <v>RH</v>
      </c>
      <c r="Y20" s="1128" t="s">
        <v>3380</v>
      </c>
      <c r="Z20" s="1128" t="s">
        <v>3381</v>
      </c>
      <c r="AA20" s="1128" t="s">
        <v>3384</v>
      </c>
      <c r="AB20" s="20"/>
    </row>
    <row r="21" spans="1:28" s="73" customFormat="1">
      <c r="A21" s="327" t="str">
        <f>IF(AND($B21&lt;&gt;"",$C21&lt;&gt;""),MAX($A$4:A16)+1,"")</f>
        <v/>
      </c>
      <c r="B21" s="345"/>
      <c r="C21" s="346"/>
      <c r="D21" s="347" t="str">
        <f>IF($B21="","",COUNTIF($B$6:$B21,$B21))</f>
        <v/>
      </c>
      <c r="E21" s="353"/>
      <c r="F21" s="354"/>
      <c r="G21" s="353"/>
      <c r="H21" s="353"/>
      <c r="I21" s="347">
        <v>1</v>
      </c>
      <c r="J21" s="345"/>
      <c r="K21" s="127"/>
      <c r="L21" s="348">
        <f>+$T21*$S21*IF(IFERROR(SEARCH("THÉP",$F21,1),0)&lt;1,$L$708,$K$708)</f>
        <v>296641</v>
      </c>
      <c r="M21" s="349"/>
      <c r="N21" s="350" t="str">
        <f t="shared" si="11"/>
        <v>PR</v>
      </c>
      <c r="O21" s="345"/>
      <c r="P21" s="325"/>
      <c r="Q21" s="351"/>
      <c r="R21" s="351">
        <v>0</v>
      </c>
      <c r="S21" s="351">
        <v>5.8</v>
      </c>
      <c r="T21" s="351">
        <v>0.96499999999999997</v>
      </c>
      <c r="U21" s="329" t="str">
        <f>IF($N21=$N$4,IFERROR(INDEX(DanhMuc!$E$154:$E$165,MATCH(MID($B21,4,2),DanhMuc!$B$154:$B$165,0)),""),"")</f>
        <v/>
      </c>
      <c r="V21" s="328"/>
      <c r="W21" s="352"/>
      <c r="X21" s="329" t="str">
        <f t="shared" si="8"/>
        <v/>
      </c>
      <c r="Y21" s="1128" t="s">
        <v>3380</v>
      </c>
      <c r="Z21" s="1128" t="s">
        <v>3381</v>
      </c>
      <c r="AA21" s="1128" t="s">
        <v>3384</v>
      </c>
      <c r="AB21" s="20"/>
    </row>
    <row r="22" spans="1:28" s="73" customFormat="1" ht="26">
      <c r="A22" s="327">
        <f>IF(AND($B22&lt;&gt;"",$C22&lt;&gt;""),MAX($A$4:A7)+1,"")</f>
        <v>2</v>
      </c>
      <c r="B22" s="345" t="s">
        <v>950</v>
      </c>
      <c r="C22" s="346" t="s">
        <v>1601</v>
      </c>
      <c r="D22" s="347">
        <f>IF($B22="","",COUNTIF($B$6:$B22,$B22))</f>
        <v>7</v>
      </c>
      <c r="E22" s="345" t="s">
        <v>30</v>
      </c>
      <c r="F22" s="346" t="s">
        <v>945</v>
      </c>
      <c r="G22" s="327"/>
      <c r="H22" s="328"/>
      <c r="I22" s="347">
        <v>1</v>
      </c>
      <c r="J22" s="345"/>
      <c r="K22" s="127" t="s">
        <v>530</v>
      </c>
      <c r="L22" s="348">
        <f>+$T22*$S22*$L$37</f>
        <v>578550</v>
      </c>
      <c r="M22" s="349"/>
      <c r="N22" s="350" t="str">
        <f>+$N$4</f>
        <v>PR</v>
      </c>
      <c r="O22" s="345"/>
      <c r="P22" s="325"/>
      <c r="Q22" s="351"/>
      <c r="R22" s="351">
        <v>1.4</v>
      </c>
      <c r="S22" s="351">
        <v>5.8</v>
      </c>
      <c r="T22" s="351">
        <v>0.95</v>
      </c>
      <c r="U22" s="329">
        <f>IF($N22=$N$4,IFERROR(INDEX(DanhMuc!$E$154:$E$165,MATCH(MID($B22,4,2),DanhMuc!$B$154:$B$165,0)),""),"")</f>
        <v>5700</v>
      </c>
      <c r="V22" s="328"/>
      <c r="W22" s="352"/>
      <c r="X22" s="329" t="str">
        <f t="shared" si="8"/>
        <v>XF</v>
      </c>
      <c r="Y22" s="1128" t="s">
        <v>3380</v>
      </c>
      <c r="Z22" s="1128" t="s">
        <v>3381</v>
      </c>
      <c r="AA22" s="1128" t="s">
        <v>3384</v>
      </c>
      <c r="AB22" s="20"/>
    </row>
    <row r="23" spans="1:28" s="73" customFormat="1">
      <c r="A23" s="327" t="str">
        <f>IF(AND($B23&lt;&gt;"",$C23&lt;&gt;""),MAX($A$4:A7)+1,"")</f>
        <v/>
      </c>
      <c r="B23" s="345" t="s">
        <v>950</v>
      </c>
      <c r="C23" s="346"/>
      <c r="D23" s="347">
        <f>IF($B23="","",COUNTIF($B$6:$B23,$B23))</f>
        <v>8</v>
      </c>
      <c r="E23" s="345" t="s">
        <v>1073</v>
      </c>
      <c r="F23" s="346" t="s">
        <v>1074</v>
      </c>
      <c r="G23" s="327"/>
      <c r="H23" s="328"/>
      <c r="I23" s="347">
        <v>1</v>
      </c>
      <c r="J23" s="345"/>
      <c r="K23" s="127" t="s">
        <v>530</v>
      </c>
      <c r="L23" s="348">
        <f>+$T23*$S23*$L$37</f>
        <v>941513.99999999988</v>
      </c>
      <c r="M23" s="349"/>
      <c r="N23" s="355" t="str">
        <f t="shared" ref="N23:N27" si="13">+$N$4</f>
        <v>PR</v>
      </c>
      <c r="O23" s="345"/>
      <c r="P23" s="325"/>
      <c r="Q23" s="351"/>
      <c r="R23" s="351">
        <v>2</v>
      </c>
      <c r="S23" s="351">
        <v>5.8</v>
      </c>
      <c r="T23" s="351">
        <v>1.546</v>
      </c>
      <c r="U23" s="329">
        <f>IF($N23=$N$4,IFERROR(INDEX(DanhMuc!$E$154:$E$165,MATCH(MID($B23,4,2),DanhMuc!$B$154:$B$165,0)),""),"")</f>
        <v>5700</v>
      </c>
      <c r="V23" s="328"/>
      <c r="W23" s="352"/>
      <c r="X23" s="329" t="str">
        <f t="shared" si="8"/>
        <v>XF</v>
      </c>
      <c r="Y23" s="1128" t="s">
        <v>3380</v>
      </c>
      <c r="Z23" s="1128" t="s">
        <v>3381</v>
      </c>
      <c r="AA23" s="1128" t="s">
        <v>3384</v>
      </c>
      <c r="AB23" s="20"/>
    </row>
    <row r="24" spans="1:28" s="73" customFormat="1" ht="26">
      <c r="A24" s="327">
        <f>IF(AND($B24&lt;&gt;"",$C24&lt;&gt;""),MAX($A$4:A12)+1,"")</f>
        <v>4</v>
      </c>
      <c r="B24" s="345" t="s">
        <v>1823</v>
      </c>
      <c r="C24" s="346" t="s">
        <v>1906</v>
      </c>
      <c r="D24" s="347">
        <f>IF($B24="","",COUNTIF($B$6:$B24,$B24))</f>
        <v>4</v>
      </c>
      <c r="E24" s="345" t="s">
        <v>2280</v>
      </c>
      <c r="F24" s="346" t="s">
        <v>945</v>
      </c>
      <c r="G24" s="327"/>
      <c r="H24" s="328"/>
      <c r="I24" s="347">
        <v>1</v>
      </c>
      <c r="J24" s="345"/>
      <c r="K24" s="127" t="s">
        <v>530</v>
      </c>
      <c r="L24" s="348">
        <f>+$T24*$L$391*$S24</f>
        <v>430080</v>
      </c>
      <c r="M24" s="349"/>
      <c r="N24" s="350" t="str">
        <f>+$N$4</f>
        <v>PR</v>
      </c>
      <c r="O24" s="345"/>
      <c r="P24" s="325"/>
      <c r="Q24" s="351"/>
      <c r="R24" s="351">
        <v>1.2</v>
      </c>
      <c r="S24" s="351">
        <v>6</v>
      </c>
      <c r="T24" s="351">
        <v>0.85333333333333339</v>
      </c>
      <c r="U24" s="329">
        <f>IF($N24=$N$4,IFERROR(INDEX(DanhMuc!$E$154:$E$165,MATCH(MID($B24,4,2),DanhMuc!$B$154:$B$165,0)),""),"")</f>
        <v>6000</v>
      </c>
      <c r="V24" s="328"/>
      <c r="W24" s="352"/>
      <c r="X24" s="329" t="str">
        <f t="shared" si="8"/>
        <v>XW</v>
      </c>
      <c r="Y24" s="1128" t="s">
        <v>3380</v>
      </c>
      <c r="Z24" s="1128" t="s">
        <v>3381</v>
      </c>
      <c r="AA24" s="1128" t="s">
        <v>3384</v>
      </c>
      <c r="AB24" s="20"/>
    </row>
    <row r="25" spans="1:28" s="73" customFormat="1">
      <c r="A25" s="327" t="str">
        <f>IF(AND($B25&lt;&gt;"",$C25&lt;&gt;""),MAX($A$4:A12)+1,"")</f>
        <v/>
      </c>
      <c r="B25" s="345" t="s">
        <v>1823</v>
      </c>
      <c r="C25" s="346"/>
      <c r="D25" s="347">
        <f>IF($B25="","",COUNTIF($B$6:$B25,$B25))</f>
        <v>5</v>
      </c>
      <c r="E25" s="345" t="s">
        <v>2281</v>
      </c>
      <c r="F25" s="346" t="s">
        <v>1074</v>
      </c>
      <c r="G25" s="327"/>
      <c r="H25" s="328"/>
      <c r="I25" s="347">
        <v>1</v>
      </c>
      <c r="J25" s="345"/>
      <c r="K25" s="127" t="s">
        <v>530</v>
      </c>
      <c r="L25" s="348">
        <f>+$T25*$S25*$L$391</f>
        <v>745079.99999999988</v>
      </c>
      <c r="M25" s="349"/>
      <c r="N25" s="355" t="str">
        <f t="shared" si="13"/>
        <v>PR</v>
      </c>
      <c r="O25" s="345"/>
      <c r="P25" s="325"/>
      <c r="Q25" s="351"/>
      <c r="R25" s="351">
        <v>1.6</v>
      </c>
      <c r="S25" s="351">
        <v>6</v>
      </c>
      <c r="T25" s="351">
        <v>1.4783333333333333</v>
      </c>
      <c r="U25" s="329">
        <f>IF($N25=$N$4,IFERROR(INDEX(DanhMuc!$E$154:$E$165,MATCH(MID($B25,4,2),DanhMuc!$B$154:$B$165,0)),""),"")</f>
        <v>6000</v>
      </c>
      <c r="V25" s="328"/>
      <c r="W25" s="352"/>
      <c r="X25" s="329" t="str">
        <f t="shared" si="8"/>
        <v>XW</v>
      </c>
      <c r="Y25" s="1128" t="s">
        <v>3380</v>
      </c>
      <c r="Z25" s="1128" t="s">
        <v>3381</v>
      </c>
      <c r="AA25" s="1128" t="s">
        <v>3384</v>
      </c>
      <c r="AB25" s="20"/>
    </row>
    <row r="26" spans="1:28" s="73" customFormat="1">
      <c r="A26" s="327">
        <f>IF(AND($B26&lt;&gt;"",$C26&lt;&gt;""),MAX($A$4:A14)+1,"")</f>
        <v>5</v>
      </c>
      <c r="B26" s="345" t="s">
        <v>3327</v>
      </c>
      <c r="C26" s="346" t="s">
        <v>3328</v>
      </c>
      <c r="D26" s="347">
        <f>IF($B26="","",COUNTIF($B$6:$B26,$B26))</f>
        <v>1</v>
      </c>
      <c r="E26" s="345" t="s">
        <v>3278</v>
      </c>
      <c r="F26" s="346" t="s">
        <v>3279</v>
      </c>
      <c r="G26" s="327"/>
      <c r="H26" s="328"/>
      <c r="I26" s="347">
        <v>1</v>
      </c>
      <c r="J26" s="345"/>
      <c r="K26" s="127" t="s">
        <v>530</v>
      </c>
      <c r="L26" s="348">
        <f t="shared" ref="L26" si="14">+$T26*$S26*$L$1518</f>
        <v>237999.99999999997</v>
      </c>
      <c r="M26" s="349"/>
      <c r="N26" s="350" t="str">
        <f>+$N$4</f>
        <v>PR</v>
      </c>
      <c r="O26" s="345"/>
      <c r="P26" s="325"/>
      <c r="Q26" s="351"/>
      <c r="R26" s="351">
        <v>0.8</v>
      </c>
      <c r="S26" s="351">
        <v>6</v>
      </c>
      <c r="T26" s="1074">
        <f>238000/6/$L$1518</f>
        <v>0.43589743589743585</v>
      </c>
      <c r="U26" s="329">
        <f>IF($N26=$N$4,IFERROR(INDEX(DanhMuc!$E$154:$E$165,MATCH(MID($B26,4,2),DanhMuc!$B$154:$B$165,0)),""),"")</f>
        <v>6000</v>
      </c>
      <c r="V26" s="328"/>
      <c r="W26" s="352"/>
      <c r="X26" s="329" t="str">
        <f t="shared" si="8"/>
        <v>VN</v>
      </c>
      <c r="Y26" s="1128" t="s">
        <v>3380</v>
      </c>
      <c r="Z26" s="1128" t="s">
        <v>3381</v>
      </c>
      <c r="AA26" s="1128" t="s">
        <v>3384</v>
      </c>
      <c r="AB26" s="20"/>
    </row>
    <row r="27" spans="1:28" s="73" customFormat="1" ht="26">
      <c r="A27" s="327">
        <f>IF(AND($B27&lt;&gt;"",$C27&lt;&gt;""),MAX($A$4:A23)+1,"")</f>
        <v>7</v>
      </c>
      <c r="B27" s="345" t="s">
        <v>951</v>
      </c>
      <c r="C27" s="346" t="s">
        <v>1602</v>
      </c>
      <c r="D27" s="347">
        <f>IF($B27="","",COUNTIF($B$6:$B27,$B27))</f>
        <v>4</v>
      </c>
      <c r="E27" s="345" t="s">
        <v>443</v>
      </c>
      <c r="F27" s="346" t="s">
        <v>444</v>
      </c>
      <c r="G27" s="347" t="s">
        <v>2295</v>
      </c>
      <c r="H27" s="345" t="s">
        <v>944</v>
      </c>
      <c r="I27" s="347">
        <v>1</v>
      </c>
      <c r="J27" s="345"/>
      <c r="K27" s="127" t="s">
        <v>530</v>
      </c>
      <c r="L27" s="348">
        <f>+$T27*$S27*IF(IFERROR(SEARCH("THÉP",$F27,1),0)&lt;1,$L$708,$K$708)</f>
        <v>342751</v>
      </c>
      <c r="M27" s="349"/>
      <c r="N27" s="355" t="str">
        <f t="shared" si="13"/>
        <v>PR</v>
      </c>
      <c r="O27" s="345"/>
      <c r="P27" s="325"/>
      <c r="Q27" s="351"/>
      <c r="R27" s="351">
        <v>0</v>
      </c>
      <c r="S27" s="351">
        <v>5.8</v>
      </c>
      <c r="T27" s="351">
        <v>1.115</v>
      </c>
      <c r="U27" s="329">
        <f>IF($N27=$N$4,IFERROR(INDEX(DanhMuc!$E$154:$E$165,MATCH(MID($B27,4,2),DanhMuc!$B$154:$B$165,0)),""),"")</f>
        <v>5800</v>
      </c>
      <c r="V27" s="328"/>
      <c r="W27" s="352"/>
      <c r="X27" s="329" t="str">
        <f t="shared" si="8"/>
        <v>SL</v>
      </c>
      <c r="Y27" s="1128" t="s">
        <v>3380</v>
      </c>
      <c r="Z27" s="1128" t="s">
        <v>3381</v>
      </c>
      <c r="AA27" s="1128" t="s">
        <v>3384</v>
      </c>
      <c r="AB27" s="20"/>
    </row>
    <row r="28" spans="1:28" s="73" customFormat="1">
      <c r="A28" s="327" t="str">
        <f>IF(AND($B28&lt;&gt;"",$C28&lt;&gt;""),MAX($A$4:A23)+1,"")</f>
        <v/>
      </c>
      <c r="B28" s="345" t="s">
        <v>951</v>
      </c>
      <c r="C28" s="346"/>
      <c r="D28" s="347">
        <f>IF($B28="","",COUNTIF($B$6:$B28,$B28))</f>
        <v>5</v>
      </c>
      <c r="E28" s="345" t="s">
        <v>604</v>
      </c>
      <c r="F28" s="346" t="s">
        <v>605</v>
      </c>
      <c r="G28" s="347" t="s">
        <v>2295</v>
      </c>
      <c r="H28" s="345" t="s">
        <v>944</v>
      </c>
      <c r="I28" s="347">
        <v>1</v>
      </c>
      <c r="J28" s="345"/>
      <c r="K28" s="127" t="s">
        <v>530</v>
      </c>
      <c r="L28" s="348">
        <f>+$T28*$S28*IF(IFERROR(SEARCH("THÉP",$F28,1),0)&lt;1,$L$708,$K$708)</f>
        <v>277889.59999999998</v>
      </c>
      <c r="M28" s="349"/>
      <c r="N28" s="350" t="str">
        <f>+$N$4</f>
        <v>PR</v>
      </c>
      <c r="O28" s="345"/>
      <c r="P28" s="325"/>
      <c r="Q28" s="351"/>
      <c r="R28" s="351">
        <v>0</v>
      </c>
      <c r="S28" s="351">
        <v>5.8</v>
      </c>
      <c r="T28" s="351">
        <v>0.90400000000000003</v>
      </c>
      <c r="U28" s="329">
        <f>IF($N28=$N$4,IFERROR(INDEX(DanhMuc!$E$154:$E$165,MATCH(MID($B28,4,2),DanhMuc!$B$154:$B$165,0)),""),"")</f>
        <v>5800</v>
      </c>
      <c r="V28" s="328"/>
      <c r="W28" s="352"/>
      <c r="X28" s="329" t="str">
        <f t="shared" si="8"/>
        <v>SL</v>
      </c>
      <c r="Y28" s="1128" t="s">
        <v>3380</v>
      </c>
      <c r="Z28" s="1128" t="s">
        <v>3381</v>
      </c>
      <c r="AA28" s="1128" t="s">
        <v>3384</v>
      </c>
      <c r="AB28" s="20"/>
    </row>
    <row r="29" spans="1:28" s="73" customFormat="1" ht="26">
      <c r="A29" s="327">
        <f>IF(AND($B29&lt;&gt;"",$C29&lt;&gt;""),MAX($A$4:A27)+1,"")</f>
        <v>8</v>
      </c>
      <c r="B29" s="345" t="s">
        <v>1428</v>
      </c>
      <c r="C29" s="346" t="s">
        <v>1603</v>
      </c>
      <c r="D29" s="347">
        <f>IF($B29="","",COUNTIF($B$6:$B29,$B29))</f>
        <v>4</v>
      </c>
      <c r="E29" s="345">
        <v>500213</v>
      </c>
      <c r="F29" s="346" t="s">
        <v>1429</v>
      </c>
      <c r="G29" s="327"/>
      <c r="H29" s="328"/>
      <c r="I29" s="347">
        <v>1</v>
      </c>
      <c r="J29" s="345"/>
      <c r="K29" s="127" t="s">
        <v>530</v>
      </c>
      <c r="L29" s="348">
        <v>492383</v>
      </c>
      <c r="M29" s="349"/>
      <c r="N29" s="350" t="str">
        <f>+$N$4</f>
        <v>PR</v>
      </c>
      <c r="O29" s="345"/>
      <c r="P29" s="325"/>
      <c r="Q29" s="351"/>
      <c r="R29" s="351"/>
      <c r="S29" s="351">
        <v>5.8</v>
      </c>
      <c r="T29" s="351">
        <v>7.25</v>
      </c>
      <c r="U29" s="329">
        <f>IF($N29=$N$4,IFERROR(INDEX(DanhMuc!$E$154:$E$165,MATCH(MID($B29,4,2),DanhMuc!$B$154:$B$165,0)),""),"")</f>
        <v>5800</v>
      </c>
      <c r="V29" s="328"/>
      <c r="W29" s="352"/>
      <c r="X29" s="329" t="str">
        <f t="shared" si="8"/>
        <v>RH</v>
      </c>
      <c r="Y29" s="1128" t="s">
        <v>3380</v>
      </c>
      <c r="Z29" s="1128" t="s">
        <v>3381</v>
      </c>
      <c r="AA29" s="1128" t="s">
        <v>3384</v>
      </c>
      <c r="AB29" s="20"/>
    </row>
    <row r="30" spans="1:28" s="73" customFormat="1">
      <c r="A30" s="327" t="str">
        <f>IF(AND($B30&lt;&gt;"",$C30&lt;&gt;""),MAX($A$4:A29)+1,"")</f>
        <v/>
      </c>
      <c r="B30" s="345"/>
      <c r="C30" s="346"/>
      <c r="D30" s="347" t="str">
        <f>IF($B30="","",COUNTIF($B$6:$B30,$B30))</f>
        <v/>
      </c>
      <c r="E30" s="345"/>
      <c r="F30" s="346"/>
      <c r="G30" s="327"/>
      <c r="H30" s="328"/>
      <c r="I30" s="347"/>
      <c r="J30" s="345"/>
      <c r="K30" s="127"/>
      <c r="L30" s="348"/>
      <c r="M30" s="349"/>
      <c r="N30" s="350" t="str">
        <f t="shared" ref="N30:N36" si="15">+$N$4</f>
        <v>PR</v>
      </c>
      <c r="O30" s="345"/>
      <c r="P30" s="325"/>
      <c r="Q30" s="351"/>
      <c r="R30" s="351"/>
      <c r="S30" s="351"/>
      <c r="T30" s="351"/>
      <c r="U30" s="329" t="str">
        <f>IF($N30=$N$4,IFERROR(INDEX(DanhMuc!$E$154:$E$165,MATCH(MID($B30,4,2),DanhMuc!$B$154:$B$165,0)),""),"")</f>
        <v/>
      </c>
      <c r="V30" s="328"/>
      <c r="W30" s="352"/>
      <c r="X30" s="329" t="str">
        <f t="shared" si="8"/>
        <v/>
      </c>
      <c r="Y30" s="1128" t="s">
        <v>3380</v>
      </c>
      <c r="Z30" s="1128" t="s">
        <v>3381</v>
      </c>
      <c r="AA30" s="1128" t="s">
        <v>3384</v>
      </c>
      <c r="AB30" s="20"/>
    </row>
    <row r="31" spans="1:28" s="73" customFormat="1">
      <c r="A31" s="327">
        <f>IF(AND($B31&lt;&gt;"",$C31&lt;&gt;""),MAX($A$4:A29)+1,"")</f>
        <v>9</v>
      </c>
      <c r="B31" s="345" t="s">
        <v>951</v>
      </c>
      <c r="C31" s="346" t="s">
        <v>1435</v>
      </c>
      <c r="D31" s="347">
        <f>IF($B31="","",COUNTIF($B$6:$B31,$B31))</f>
        <v>6</v>
      </c>
      <c r="E31" s="357" t="s">
        <v>2292</v>
      </c>
      <c r="F31" s="354" t="s">
        <v>614</v>
      </c>
      <c r="G31" s="327"/>
      <c r="H31" s="328" t="s">
        <v>536</v>
      </c>
      <c r="I31" s="347">
        <v>1</v>
      </c>
      <c r="J31" s="345"/>
      <c r="K31" s="127"/>
      <c r="L31" s="348">
        <f>+$T31*$S31*IF(IFERROR(SEARCH("THÉP",$F31,1),0)&lt;1,$L$708,$K$708)</f>
        <v>521999.99999999994</v>
      </c>
      <c r="M31" s="349"/>
      <c r="N31" s="350" t="str">
        <f t="shared" si="15"/>
        <v>PR</v>
      </c>
      <c r="O31" s="345"/>
      <c r="P31" s="325"/>
      <c r="Q31" s="351"/>
      <c r="R31" s="351">
        <v>1.5</v>
      </c>
      <c r="S31" s="351">
        <v>5.8</v>
      </c>
      <c r="T31" s="716">
        <f>17.4/S31</f>
        <v>3</v>
      </c>
      <c r="U31" s="329">
        <f>IF($N31=$N$4,IFERROR(INDEX(DanhMuc!$E$154:$E$165,MATCH(MID($B31,4,2),DanhMuc!$B$154:$B$165,0)),""),"")</f>
        <v>5800</v>
      </c>
      <c r="V31" s="328"/>
      <c r="W31" s="352"/>
      <c r="X31" s="329" t="str">
        <f t="shared" si="8"/>
        <v>TSL</v>
      </c>
      <c r="Y31" s="1128" t="s">
        <v>3380</v>
      </c>
      <c r="Z31" s="1128" t="s">
        <v>3381</v>
      </c>
      <c r="AA31" s="1128" t="s">
        <v>3384</v>
      </c>
      <c r="AB31" s="20"/>
    </row>
    <row r="32" spans="1:28" s="73" customFormat="1">
      <c r="A32" s="327" t="str">
        <f>IF(AND($B32&lt;&gt;"",$C32&lt;&gt;""),MAX($A$4:A31)+1,"")</f>
        <v/>
      </c>
      <c r="B32" s="345" t="s">
        <v>951</v>
      </c>
      <c r="C32" s="346"/>
      <c r="D32" s="347">
        <f>IF($B32="","",COUNTIF($B$6:$B32,$B32))</f>
        <v>7</v>
      </c>
      <c r="E32" s="358" t="s">
        <v>2295</v>
      </c>
      <c r="F32" s="345" t="s">
        <v>772</v>
      </c>
      <c r="G32" s="327"/>
      <c r="H32" s="328" t="s">
        <v>536</v>
      </c>
      <c r="I32" s="347">
        <v>1</v>
      </c>
      <c r="J32" s="345"/>
      <c r="K32" s="127"/>
      <c r="L32" s="348">
        <f>+$T32*$S32*IF(IFERROR(SEARCH("THÉP",$F32,1),0)&lt;1,$L$708,$K$708)</f>
        <v>180000</v>
      </c>
      <c r="M32" s="349"/>
      <c r="N32" s="350" t="str">
        <f t="shared" si="15"/>
        <v>PR</v>
      </c>
      <c r="O32" s="345"/>
      <c r="P32" s="325"/>
      <c r="Q32" s="351"/>
      <c r="R32" s="351">
        <v>1.5</v>
      </c>
      <c r="S32" s="351">
        <v>5.8</v>
      </c>
      <c r="T32" s="351">
        <f>6/S32</f>
        <v>1.0344827586206897</v>
      </c>
      <c r="U32" s="329">
        <f>IF($N32=$N$4,IFERROR(INDEX(DanhMuc!$E$154:$E$165,MATCH(MID($B32,4,2),DanhMuc!$B$154:$B$165,0)),""),"")</f>
        <v>5800</v>
      </c>
      <c r="V32" s="328"/>
      <c r="W32" s="352"/>
      <c r="X32" s="329" t="str">
        <f t="shared" si="8"/>
        <v>TSL</v>
      </c>
      <c r="Y32" s="1128" t="s">
        <v>3380</v>
      </c>
      <c r="Z32" s="1128" t="s">
        <v>3381</v>
      </c>
      <c r="AA32" s="1128" t="s">
        <v>3384</v>
      </c>
      <c r="AB32" s="20"/>
    </row>
    <row r="33" spans="1:29" s="73" customFormat="1">
      <c r="A33" s="327">
        <f>IF(AND($B33&lt;&gt;"",$C33&lt;&gt;""),MAX($A$4:A29)+1,"")</f>
        <v>9</v>
      </c>
      <c r="B33" s="345" t="s">
        <v>1428</v>
      </c>
      <c r="C33" s="346" t="s">
        <v>1436</v>
      </c>
      <c r="D33" s="347">
        <f>IF($B33="","",COUNTIF($B$6:$B33,$B33))</f>
        <v>5</v>
      </c>
      <c r="E33" s="358">
        <v>320067</v>
      </c>
      <c r="F33" s="345" t="s">
        <v>1432</v>
      </c>
      <c r="G33" s="327"/>
      <c r="H33" s="328" t="s">
        <v>536</v>
      </c>
      <c r="I33" s="347">
        <v>2</v>
      </c>
      <c r="J33" s="345"/>
      <c r="K33" s="127"/>
      <c r="L33" s="348">
        <f>+$K$1038*$T33*$S33</f>
        <v>0</v>
      </c>
      <c r="M33" s="349"/>
      <c r="N33" s="350" t="str">
        <f t="shared" si="15"/>
        <v>PR</v>
      </c>
      <c r="O33" s="345"/>
      <c r="P33" s="325"/>
      <c r="Q33" s="351"/>
      <c r="R33" s="351"/>
      <c r="S33" s="351">
        <v>6</v>
      </c>
      <c r="T33" s="351"/>
      <c r="U33" s="1041">
        <v>6000</v>
      </c>
      <c r="V33" s="328"/>
      <c r="W33" s="352"/>
      <c r="X33" s="329" t="str">
        <f t="shared" si="8"/>
        <v>TRH</v>
      </c>
      <c r="Y33" s="1128" t="s">
        <v>3380</v>
      </c>
      <c r="Z33" s="1128" t="s">
        <v>3381</v>
      </c>
      <c r="AA33" s="1128" t="s">
        <v>3384</v>
      </c>
      <c r="AB33" s="20"/>
    </row>
    <row r="34" spans="1:29" s="73" customFormat="1">
      <c r="A34" s="327" t="str">
        <f>IF(AND($B34&lt;&gt;"",$C34&lt;&gt;""),MAX($A$4:A30)+1,"")</f>
        <v/>
      </c>
      <c r="B34" s="345" t="s">
        <v>1428</v>
      </c>
      <c r="C34" s="346"/>
      <c r="D34" s="347">
        <f>IF($B34="","",COUNTIF($B$6:$B34,$B34))</f>
        <v>6</v>
      </c>
      <c r="E34" s="358">
        <v>221861</v>
      </c>
      <c r="F34" s="345" t="s">
        <v>1433</v>
      </c>
      <c r="G34" s="327"/>
      <c r="H34" s="328" t="s">
        <v>536</v>
      </c>
      <c r="I34" s="347">
        <v>1</v>
      </c>
      <c r="J34" s="345"/>
      <c r="K34" s="127"/>
      <c r="L34" s="348">
        <f>+$K$1038*$T34*$S34</f>
        <v>282000</v>
      </c>
      <c r="M34" s="349"/>
      <c r="N34" s="350" t="str">
        <f t="shared" si="15"/>
        <v>PR</v>
      </c>
      <c r="O34" s="345"/>
      <c r="P34" s="325"/>
      <c r="Q34" s="351"/>
      <c r="R34" s="351"/>
      <c r="S34" s="351">
        <v>6</v>
      </c>
      <c r="T34" s="351">
        <f>9.4/S34</f>
        <v>1.5666666666666667</v>
      </c>
      <c r="U34" s="1041">
        <v>6000</v>
      </c>
      <c r="V34" s="328"/>
      <c r="W34" s="352"/>
      <c r="X34" s="329" t="str">
        <f t="shared" si="8"/>
        <v>TRH</v>
      </c>
      <c r="Y34" s="1128" t="s">
        <v>3380</v>
      </c>
      <c r="Z34" s="1128" t="s">
        <v>3381</v>
      </c>
      <c r="AA34" s="1128" t="s">
        <v>3384</v>
      </c>
      <c r="AB34" s="20"/>
    </row>
    <row r="35" spans="1:29" s="73" customFormat="1">
      <c r="A35" s="327" t="str">
        <f>IF(AND($B35&lt;&gt;"",$C35&lt;&gt;""),MAX($A$4:A31)+1,"")</f>
        <v/>
      </c>
      <c r="B35" s="345"/>
      <c r="C35" s="346"/>
      <c r="D35" s="347" t="str">
        <f>IF($B35="","",COUNTIF($B$6:$B35,$B35))</f>
        <v/>
      </c>
      <c r="E35" s="358"/>
      <c r="F35" s="345"/>
      <c r="G35" s="327"/>
      <c r="H35" s="328"/>
      <c r="I35" s="347"/>
      <c r="J35" s="345"/>
      <c r="K35" s="127"/>
      <c r="L35" s="348"/>
      <c r="M35" s="349"/>
      <c r="N35" s="350" t="str">
        <f t="shared" si="15"/>
        <v>PR</v>
      </c>
      <c r="O35" s="345"/>
      <c r="P35" s="325"/>
      <c r="Q35" s="351"/>
      <c r="R35" s="351"/>
      <c r="S35" s="351"/>
      <c r="T35" s="351"/>
      <c r="U35" s="329" t="str">
        <f>IF($N35=$N$4,IFERROR(INDEX(DanhMuc!$E$154:$E$165,MATCH(MID($B35,4,2),DanhMuc!$B$154:$B$165,0)),""),"")</f>
        <v/>
      </c>
      <c r="V35" s="328"/>
      <c r="W35" s="352"/>
      <c r="X35" s="329" t="str">
        <f t="shared" si="8"/>
        <v/>
      </c>
      <c r="Y35" s="1128" t="s">
        <v>3380</v>
      </c>
      <c r="Z35" s="1128" t="s">
        <v>3381</v>
      </c>
      <c r="AA35" s="1128" t="s">
        <v>3384</v>
      </c>
      <c r="AB35" s="20"/>
    </row>
    <row r="36" spans="1:29" s="73" customFormat="1">
      <c r="A36" s="327" t="str">
        <f>IF(AND($B36&lt;&gt;"",$C36&lt;&gt;""),MAX($A$4:A32)+1,"")</f>
        <v/>
      </c>
      <c r="B36" s="345"/>
      <c r="C36" s="346"/>
      <c r="D36" s="347" t="str">
        <f>IF($B36="","",COUNTIF($B$6:$B36,$B36))</f>
        <v/>
      </c>
      <c r="E36" s="358"/>
      <c r="F36" s="345"/>
      <c r="G36" s="327"/>
      <c r="H36" s="328"/>
      <c r="I36" s="347"/>
      <c r="J36" s="345"/>
      <c r="K36" s="127"/>
      <c r="L36" s="348"/>
      <c r="M36" s="349"/>
      <c r="N36" s="350" t="str">
        <f t="shared" si="15"/>
        <v>PR</v>
      </c>
      <c r="O36" s="345"/>
      <c r="P36" s="325"/>
      <c r="Q36" s="351"/>
      <c r="R36" s="351"/>
      <c r="S36" s="351"/>
      <c r="T36" s="351"/>
      <c r="U36" s="329" t="str">
        <f>IF($N36=$N$4,IFERROR(INDEX(DanhMuc!$E$154:$E$165,MATCH(MID($B36,4,2),DanhMuc!$B$154:$B$165,0)),""),"")</f>
        <v/>
      </c>
      <c r="V36" s="328"/>
      <c r="W36" s="352"/>
      <c r="X36" s="329" t="str">
        <f t="shared" si="8"/>
        <v/>
      </c>
      <c r="Y36" s="1128" t="s">
        <v>3380</v>
      </c>
      <c r="Z36" s="1128" t="s">
        <v>3381</v>
      </c>
      <c r="AA36" s="1128" t="s">
        <v>3384</v>
      </c>
      <c r="AB36" s="20"/>
    </row>
    <row r="37" spans="1:29" s="72" customFormat="1">
      <c r="A37" s="339"/>
      <c r="B37" s="338" t="s">
        <v>74</v>
      </c>
      <c r="C37" s="340" t="s">
        <v>75</v>
      </c>
      <c r="D37" s="339"/>
      <c r="E37" s="339"/>
      <c r="F37" s="341"/>
      <c r="G37" s="339"/>
      <c r="H37" s="342"/>
      <c r="I37" s="339"/>
      <c r="J37" s="339"/>
      <c r="K37" s="339"/>
      <c r="L37" s="635">
        <v>105000</v>
      </c>
      <c r="M37" s="343"/>
      <c r="N37" s="343"/>
      <c r="O37" s="344"/>
      <c r="P37" s="342"/>
      <c r="Q37" s="342"/>
      <c r="R37" s="351"/>
      <c r="S37" s="351"/>
      <c r="T37" s="351"/>
      <c r="U37" s="329" t="str">
        <f>IF($N37=$N$4,IFERROR(INDEX(DanhMuc!$E$154:$E$165,MATCH(MID($B37,4,2),DanhMuc!$B$154:$B$165,0)),""),"")</f>
        <v/>
      </c>
      <c r="V37" s="342"/>
      <c r="W37" s="338"/>
      <c r="X37" s="329" t="str">
        <f t="shared" si="8"/>
        <v/>
      </c>
      <c r="Y37" s="1128" t="s">
        <v>3380</v>
      </c>
      <c r="Z37" s="1128" t="s">
        <v>3381</v>
      </c>
      <c r="AA37" s="1128" t="s">
        <v>3384</v>
      </c>
      <c r="AB37" s="20"/>
      <c r="AC37" s="73"/>
    </row>
    <row r="38" spans="1:29" s="20" customFormat="1" ht="26">
      <c r="A38" s="327">
        <f>IF(AND($B38&lt;&gt;"",$C38&lt;&gt;""),MAX($A$4:A37)+1,"")</f>
        <v>10</v>
      </c>
      <c r="B38" s="359" t="s">
        <v>214</v>
      </c>
      <c r="C38" s="360" t="s">
        <v>1527</v>
      </c>
      <c r="D38" s="327">
        <f>IF($B38="","",COUNTIF($B$6:$B38,$B38))</f>
        <v>1</v>
      </c>
      <c r="E38" s="361" t="s">
        <v>23</v>
      </c>
      <c r="F38" s="362" t="s">
        <v>347</v>
      </c>
      <c r="G38" s="327" t="s">
        <v>330</v>
      </c>
      <c r="H38" s="325"/>
      <c r="I38" s="327">
        <v>1</v>
      </c>
      <c r="J38" s="361" t="s">
        <v>81</v>
      </c>
      <c r="K38" s="327" t="s">
        <v>516</v>
      </c>
      <c r="L38" s="348">
        <f>+$T38*$S38*$L$37</f>
        <v>765513</v>
      </c>
      <c r="M38" s="355"/>
      <c r="N38" s="355" t="str">
        <f t="shared" ref="N38:N326" si="16">+$N$4</f>
        <v>PR</v>
      </c>
      <c r="O38" s="347"/>
      <c r="P38" s="325"/>
      <c r="Q38" s="351">
        <v>41</v>
      </c>
      <c r="R38" s="351">
        <v>2</v>
      </c>
      <c r="S38" s="351">
        <v>5.8</v>
      </c>
      <c r="T38" s="351">
        <v>1.2569999999999999</v>
      </c>
      <c r="U38" s="329">
        <f>IF($N38=$N$4,IFERROR(INDEX(DanhMuc!$E$154:$E$165,MATCH(MID($B38,4,2),DanhMuc!$B$154:$B$165,0)),""),"")</f>
        <v>5700</v>
      </c>
      <c r="V38" s="325"/>
      <c r="W38" s="352" t="str">
        <f>+IF(AND($A38&lt;&gt;"",LEN($B38)&gt;=8,COUNTIF($B$6:$B38,$B38)=1),$W$5,"")</f>
        <v>DMCua</v>
      </c>
      <c r="X38" s="329" t="str">
        <f t="shared" si="8"/>
        <v>XF</v>
      </c>
      <c r="Y38" s="1128" t="s">
        <v>3380</v>
      </c>
      <c r="Z38" s="1128" t="s">
        <v>3381</v>
      </c>
      <c r="AA38" s="1128" t="s">
        <v>3384</v>
      </c>
      <c r="AC38" s="73"/>
    </row>
    <row r="39" spans="1:29" s="20" customFormat="1">
      <c r="A39" s="327" t="str">
        <f>IF(AND($B39&lt;&gt;"",$C39&lt;&gt;""),MAX($A$4:A38)+1,"")</f>
        <v/>
      </c>
      <c r="B39" s="361" t="s">
        <v>214</v>
      </c>
      <c r="C39" s="360"/>
      <c r="D39" s="327">
        <f>IF($B39="","",COUNTIF($B$6:$B39,$B39))</f>
        <v>2</v>
      </c>
      <c r="E39" s="363" t="s">
        <v>23</v>
      </c>
      <c r="F39" s="362" t="s">
        <v>347</v>
      </c>
      <c r="G39" s="327" t="s">
        <v>328</v>
      </c>
      <c r="H39" s="325"/>
      <c r="I39" s="327">
        <v>2</v>
      </c>
      <c r="J39" s="363" t="s">
        <v>80</v>
      </c>
      <c r="K39" s="327" t="s">
        <v>1141</v>
      </c>
      <c r="L39" s="348">
        <f t="shared" ref="L39:L98" si="17">+$T39*$S39*$L$37</f>
        <v>765513</v>
      </c>
      <c r="M39" s="355"/>
      <c r="N39" s="355" t="str">
        <f t="shared" si="16"/>
        <v>PR</v>
      </c>
      <c r="O39" s="347"/>
      <c r="P39" s="325"/>
      <c r="Q39" s="351">
        <v>41</v>
      </c>
      <c r="R39" s="351">
        <v>2</v>
      </c>
      <c r="S39" s="351">
        <v>5.8</v>
      </c>
      <c r="T39" s="351">
        <v>1.2569999999999999</v>
      </c>
      <c r="U39" s="329">
        <f>IF($N39=$N$4,IFERROR(INDEX(DanhMuc!$E$154:$E$165,MATCH(MID($B39,4,2),DanhMuc!$B$154:$B$165,0)),""),"")</f>
        <v>5700</v>
      </c>
      <c r="V39" s="325"/>
      <c r="W39" s="352" t="str">
        <f>+IF(AND($A39&lt;&gt;"",LEN($B39)&gt;=8,COUNTIF($B$6:$B39,$B39)=1),$W$5,"")</f>
        <v/>
      </c>
      <c r="X39" s="329" t="str">
        <f t="shared" si="8"/>
        <v>XF</v>
      </c>
      <c r="Y39" s="1128" t="s">
        <v>3380</v>
      </c>
      <c r="Z39" s="1128" t="s">
        <v>3381</v>
      </c>
      <c r="AA39" s="1128" t="s">
        <v>3384</v>
      </c>
      <c r="AC39" s="73"/>
    </row>
    <row r="40" spans="1:29" s="20" customFormat="1">
      <c r="A40" s="327" t="str">
        <f>IF(AND($B40&lt;&gt;"",$C40&lt;&gt;""),MAX($A$4:A39)+1,"")</f>
        <v/>
      </c>
      <c r="B40" s="361" t="s">
        <v>214</v>
      </c>
      <c r="C40" s="364"/>
      <c r="D40" s="327">
        <f>IF($B40="","",COUNTIF($B$6:$B40,$B40))</f>
        <v>3</v>
      </c>
      <c r="E40" s="361" t="s">
        <v>18</v>
      </c>
      <c r="F40" s="362" t="s">
        <v>77</v>
      </c>
      <c r="G40" s="327" t="s">
        <v>329</v>
      </c>
      <c r="H40" s="325"/>
      <c r="I40" s="327">
        <v>2</v>
      </c>
      <c r="J40" s="361" t="s">
        <v>2816</v>
      </c>
      <c r="K40" s="327" t="s">
        <v>516</v>
      </c>
      <c r="L40" s="348">
        <f t="shared" si="17"/>
        <v>877568.99999999988</v>
      </c>
      <c r="M40" s="355"/>
      <c r="N40" s="355" t="str">
        <f t="shared" si="16"/>
        <v>PR</v>
      </c>
      <c r="O40" s="345" t="s">
        <v>19</v>
      </c>
      <c r="P40" s="325"/>
      <c r="Q40" s="351"/>
      <c r="R40" s="351">
        <v>2</v>
      </c>
      <c r="S40" s="351">
        <v>5.8</v>
      </c>
      <c r="T40" s="351">
        <v>1.4410000000000001</v>
      </c>
      <c r="U40" s="329">
        <f>IF($N40=$N$4,IFERROR(INDEX(DanhMuc!$E$154:$E$165,MATCH(MID($B40,4,2),DanhMuc!$B$154:$B$165,0)),""),"")</f>
        <v>5700</v>
      </c>
      <c r="V40" s="325"/>
      <c r="W40" s="352" t="str">
        <f>+IF(AND($A40&lt;&gt;"",LEN($B40)&gt;=8,COUNTIF($B$6:$B40,$B40)=1),$W$5,"")</f>
        <v/>
      </c>
      <c r="X40" s="329" t="str">
        <f t="shared" si="8"/>
        <v>XF</v>
      </c>
      <c r="Y40" s="1128" t="s">
        <v>3380</v>
      </c>
      <c r="Z40" s="1128" t="s">
        <v>3381</v>
      </c>
      <c r="AA40" s="1128" t="s">
        <v>3384</v>
      </c>
      <c r="AC40" s="73"/>
    </row>
    <row r="41" spans="1:29" s="20" customFormat="1">
      <c r="A41" s="327" t="str">
        <f>IF(AND($B41&lt;&gt;"",$C41&lt;&gt;""),MAX($A$4:A40)+1,"")</f>
        <v/>
      </c>
      <c r="B41" s="361" t="s">
        <v>214</v>
      </c>
      <c r="C41" s="364"/>
      <c r="D41" s="327">
        <f>IF($B41="","",COUNTIF($B$6:$B41,$B41))</f>
        <v>4</v>
      </c>
      <c r="E41" s="361" t="s">
        <v>18</v>
      </c>
      <c r="F41" s="362" t="s">
        <v>77</v>
      </c>
      <c r="G41" s="327" t="s">
        <v>328</v>
      </c>
      <c r="H41" s="325"/>
      <c r="I41" s="327">
        <v>2</v>
      </c>
      <c r="J41" s="361" t="s">
        <v>648</v>
      </c>
      <c r="K41" s="327" t="s">
        <v>516</v>
      </c>
      <c r="L41" s="348">
        <f t="shared" si="17"/>
        <v>877568.99999999988</v>
      </c>
      <c r="M41" s="355"/>
      <c r="N41" s="355" t="str">
        <f t="shared" si="16"/>
        <v>PR</v>
      </c>
      <c r="O41" s="345" t="s">
        <v>19</v>
      </c>
      <c r="P41" s="325"/>
      <c r="Q41" s="351"/>
      <c r="R41" s="351">
        <v>2</v>
      </c>
      <c r="S41" s="351">
        <v>5.8</v>
      </c>
      <c r="T41" s="351">
        <v>1.4410000000000001</v>
      </c>
      <c r="U41" s="329">
        <f>IF($N41=$N$4,IFERROR(INDEX(DanhMuc!$E$154:$E$165,MATCH(MID($B41,4,2),DanhMuc!$B$154:$B$165,0)),""),"")</f>
        <v>5700</v>
      </c>
      <c r="V41" s="325"/>
      <c r="W41" s="352" t="str">
        <f>+IF(AND($A41&lt;&gt;"",LEN($B41)&gt;=8,COUNTIF($B$6:$B41,$B41)=1),$W$5,"")</f>
        <v/>
      </c>
      <c r="X41" s="329" t="str">
        <f t="shared" si="8"/>
        <v>XF</v>
      </c>
      <c r="Y41" s="1128" t="s">
        <v>3380</v>
      </c>
      <c r="Z41" s="1128" t="s">
        <v>3381</v>
      </c>
      <c r="AA41" s="1128" t="s">
        <v>3384</v>
      </c>
      <c r="AC41" s="73"/>
    </row>
    <row r="42" spans="1:29" s="20" customFormat="1">
      <c r="A42" s="327" t="str">
        <f>IF(AND($B42&lt;&gt;"",$C42&lt;&gt;""),MAX($A$4:A41)+1,"")</f>
        <v/>
      </c>
      <c r="B42" s="361" t="s">
        <v>214</v>
      </c>
      <c r="C42" s="364"/>
      <c r="D42" s="327">
        <f>IF($B42="","",COUNTIF($B$6:$B42,$B42))</f>
        <v>5</v>
      </c>
      <c r="E42" s="361" t="s">
        <v>15</v>
      </c>
      <c r="F42" s="362" t="s">
        <v>78</v>
      </c>
      <c r="G42" s="327" t="s">
        <v>329</v>
      </c>
      <c r="H42" s="325"/>
      <c r="I42" s="327">
        <v>2</v>
      </c>
      <c r="J42" s="361" t="s">
        <v>2816</v>
      </c>
      <c r="K42" s="327" t="s">
        <v>516</v>
      </c>
      <c r="L42" s="348">
        <f t="shared" si="17"/>
        <v>878178</v>
      </c>
      <c r="M42" s="355"/>
      <c r="N42" s="355" t="str">
        <f t="shared" si="16"/>
        <v>PR</v>
      </c>
      <c r="O42" s="345" t="s">
        <v>16</v>
      </c>
      <c r="P42" s="325"/>
      <c r="Q42" s="351"/>
      <c r="R42" s="351">
        <v>2</v>
      </c>
      <c r="S42" s="351">
        <v>5.8</v>
      </c>
      <c r="T42" s="351">
        <v>1.4419999999999999</v>
      </c>
      <c r="U42" s="329">
        <f>IF($N42=$N$4,IFERROR(INDEX(DanhMuc!$E$154:$E$165,MATCH(MID($B42,4,2),DanhMuc!$B$154:$B$165,0)),""),"")</f>
        <v>5700</v>
      </c>
      <c r="V42" s="325"/>
      <c r="W42" s="352" t="str">
        <f>+IF(AND($A42&lt;&gt;"",LEN($B42)&gt;=8,COUNTIF($B$6:$B42,$B42)=1),$W$5,"")</f>
        <v/>
      </c>
      <c r="X42" s="329" t="str">
        <f t="shared" si="8"/>
        <v>XF</v>
      </c>
      <c r="Y42" s="1128" t="s">
        <v>3380</v>
      </c>
      <c r="Z42" s="1128" t="s">
        <v>3381</v>
      </c>
      <c r="AA42" s="1128" t="s">
        <v>3384</v>
      </c>
      <c r="AC42" s="73"/>
    </row>
    <row r="43" spans="1:29" s="20" customFormat="1">
      <c r="A43" s="327" t="str">
        <f>IF(AND($B43&lt;&gt;"",$C43&lt;&gt;""),MAX($A$4:A42)+1,"")</f>
        <v/>
      </c>
      <c r="B43" s="361" t="s">
        <v>214</v>
      </c>
      <c r="C43" s="364"/>
      <c r="D43" s="327">
        <f>IF($B43="","",COUNTIF($B$6:$B43,$B43))</f>
        <v>6</v>
      </c>
      <c r="E43" s="361" t="s">
        <v>15</v>
      </c>
      <c r="F43" s="362" t="s">
        <v>78</v>
      </c>
      <c r="G43" s="327" t="s">
        <v>328</v>
      </c>
      <c r="H43" s="325"/>
      <c r="I43" s="327">
        <v>2</v>
      </c>
      <c r="J43" s="361" t="s">
        <v>648</v>
      </c>
      <c r="K43" s="327" t="s">
        <v>516</v>
      </c>
      <c r="L43" s="348">
        <f t="shared" si="17"/>
        <v>878178</v>
      </c>
      <c r="M43" s="355"/>
      <c r="N43" s="355" t="str">
        <f t="shared" si="16"/>
        <v>PR</v>
      </c>
      <c r="O43" s="345" t="s">
        <v>16</v>
      </c>
      <c r="P43" s="325"/>
      <c r="Q43" s="351"/>
      <c r="R43" s="351">
        <v>2</v>
      </c>
      <c r="S43" s="351">
        <v>5.8</v>
      </c>
      <c r="T43" s="351">
        <v>1.4419999999999999</v>
      </c>
      <c r="U43" s="329">
        <f>IF($N43=$N$4,IFERROR(INDEX(DanhMuc!$E$154:$E$165,MATCH(MID($B43,4,2),DanhMuc!$B$154:$B$165,0)),""),"")</f>
        <v>5700</v>
      </c>
      <c r="V43" s="325"/>
      <c r="W43" s="352" t="str">
        <f>+IF(AND($A43&lt;&gt;"",LEN($B43)&gt;=8,COUNTIF($B$6:$B43,$B43)=1),$W$5,"")</f>
        <v/>
      </c>
      <c r="X43" s="329" t="str">
        <f t="shared" si="8"/>
        <v>XF</v>
      </c>
      <c r="Y43" s="1128" t="s">
        <v>3380</v>
      </c>
      <c r="Z43" s="1128" t="s">
        <v>3381</v>
      </c>
      <c r="AA43" s="1128" t="s">
        <v>3384</v>
      </c>
      <c r="AC43" s="73"/>
    </row>
    <row r="44" spans="1:29" s="22" customFormat="1" ht="25">
      <c r="A44" s="327" t="str">
        <f>IF(AND($B44&lt;&gt;"",$C44&lt;&gt;""),MAX($A$4:A43)+1,"")</f>
        <v/>
      </c>
      <c r="B44" s="365" t="s">
        <v>214</v>
      </c>
      <c r="C44" s="366"/>
      <c r="D44" s="367">
        <f>IF($B44="","",COUNTIF($B$6:$B44,$B44))</f>
        <v>7</v>
      </c>
      <c r="E44" s="365" t="s">
        <v>628</v>
      </c>
      <c r="F44" s="368" t="s">
        <v>629</v>
      </c>
      <c r="G44" s="367" t="s">
        <v>329</v>
      </c>
      <c r="H44" s="325"/>
      <c r="I44" s="367">
        <v>1</v>
      </c>
      <c r="J44" s="365" t="s">
        <v>2833</v>
      </c>
      <c r="K44" s="367" t="s">
        <v>531</v>
      </c>
      <c r="L44" s="348">
        <f t="shared" si="17"/>
        <v>289883.99999999994</v>
      </c>
      <c r="M44" s="369"/>
      <c r="N44" s="369" t="str">
        <f t="shared" si="16"/>
        <v>PR</v>
      </c>
      <c r="O44" s="347" t="s">
        <v>1475</v>
      </c>
      <c r="P44" s="329"/>
      <c r="Q44" s="367"/>
      <c r="R44" s="351">
        <v>1.5</v>
      </c>
      <c r="S44" s="351">
        <v>5.8</v>
      </c>
      <c r="T44" s="351">
        <v>0.47599999999999998</v>
      </c>
      <c r="U44" s="329">
        <f>IF($N44=$N$4,IFERROR(INDEX(DanhMuc!$E$154:$E$165,MATCH(MID($B44,4,2),DanhMuc!$B$154:$B$165,0)),""),"")</f>
        <v>5700</v>
      </c>
      <c r="V44" s="329"/>
      <c r="W44" s="352" t="str">
        <f>+IF(AND($A44&lt;&gt;"",LEN($B44)&gt;=8,COUNTIF($B$6:$B44,$B44)=1),$W$5,"")</f>
        <v/>
      </c>
      <c r="X44" s="329" t="str">
        <f t="shared" si="8"/>
        <v>XF</v>
      </c>
      <c r="Y44" s="1128" t="s">
        <v>3380</v>
      </c>
      <c r="Z44" s="1128" t="s">
        <v>3381</v>
      </c>
      <c r="AA44" s="1128" t="s">
        <v>3384</v>
      </c>
      <c r="AB44" s="20"/>
      <c r="AC44" s="73"/>
    </row>
    <row r="45" spans="1:29" s="22" customFormat="1">
      <c r="A45" s="327" t="str">
        <f>IF(AND($B45&lt;&gt;"",$C45&lt;&gt;""),MAX($A$4:A44)+1,"")</f>
        <v/>
      </c>
      <c r="B45" s="621" t="s">
        <v>214</v>
      </c>
      <c r="C45" s="622"/>
      <c r="D45" s="623">
        <f>IF($B45="","",COUNTIF($B$6:$B45,$B45))</f>
        <v>8</v>
      </c>
      <c r="E45" s="621" t="s">
        <v>623</v>
      </c>
      <c r="F45" s="624" t="s">
        <v>865</v>
      </c>
      <c r="G45" s="623" t="s">
        <v>329</v>
      </c>
      <c r="H45" s="325"/>
      <c r="I45" s="367">
        <v>1</v>
      </c>
      <c r="J45" s="365" t="s">
        <v>2810</v>
      </c>
      <c r="K45" s="367" t="s">
        <v>531</v>
      </c>
      <c r="L45" s="625">
        <f t="shared" si="17"/>
        <v>536931.81818181812</v>
      </c>
      <c r="M45" s="369"/>
      <c r="N45" s="369" t="str">
        <f t="shared" si="16"/>
        <v>PR</v>
      </c>
      <c r="O45" s="347" t="s">
        <v>1476</v>
      </c>
      <c r="P45" s="626"/>
      <c r="Q45" s="623">
        <v>42</v>
      </c>
      <c r="R45" s="627">
        <v>1</v>
      </c>
      <c r="S45" s="627">
        <v>5.8</v>
      </c>
      <c r="T45" s="627">
        <v>0.8816614420062695</v>
      </c>
      <c r="U45" s="1041">
        <v>5800</v>
      </c>
      <c r="V45" s="329"/>
      <c r="W45" s="352" t="str">
        <f>+IF(AND($A45&lt;&gt;"",LEN($B45)&gt;=8,COUNTIF($B$6:$B45,$B45)=1),$W$5,"")</f>
        <v/>
      </c>
      <c r="X45" s="329" t="str">
        <f t="shared" si="8"/>
        <v>XF</v>
      </c>
      <c r="Y45" s="1128" t="s">
        <v>3380</v>
      </c>
      <c r="Z45" s="1128" t="s">
        <v>3381</v>
      </c>
      <c r="AA45" s="1128" t="s">
        <v>3384</v>
      </c>
      <c r="AB45" s="20"/>
      <c r="AC45" s="73"/>
    </row>
    <row r="46" spans="1:29" s="20" customFormat="1">
      <c r="A46" s="327" t="str">
        <f>IF(AND($B46&lt;&gt;"",$C46&lt;&gt;""),MAX($A$4:A45)+1,"")</f>
        <v/>
      </c>
      <c r="B46" s="361" t="s">
        <v>214</v>
      </c>
      <c r="C46" s="364"/>
      <c r="D46" s="327">
        <f>IF($B46="","",COUNTIF($B$6:$B46,$B46))</f>
        <v>9</v>
      </c>
      <c r="E46" s="361" t="s">
        <v>27</v>
      </c>
      <c r="F46" s="362" t="s">
        <v>346</v>
      </c>
      <c r="G46" s="327" t="s">
        <v>329</v>
      </c>
      <c r="H46" s="325"/>
      <c r="I46" s="327">
        <v>2</v>
      </c>
      <c r="J46" s="361" t="s">
        <v>2834</v>
      </c>
      <c r="K46" s="327" t="s">
        <v>531</v>
      </c>
      <c r="L46" s="348">
        <f t="shared" si="17"/>
        <v>165039</v>
      </c>
      <c r="M46" s="355"/>
      <c r="N46" s="355" t="str">
        <f t="shared" si="16"/>
        <v>PR</v>
      </c>
      <c r="O46" s="347">
        <v>10</v>
      </c>
      <c r="P46" s="325"/>
      <c r="Q46" s="351"/>
      <c r="R46" s="351">
        <v>1</v>
      </c>
      <c r="S46" s="351">
        <v>5.8</v>
      </c>
      <c r="T46" s="351">
        <v>0.27100000000000002</v>
      </c>
      <c r="U46" s="329">
        <f>IF($N46=$N$4,IFERROR(INDEX(DanhMuc!$E$154:$E$165,MATCH(MID($B46,4,2),DanhMuc!$B$154:$B$165,0)),""),"")</f>
        <v>5700</v>
      </c>
      <c r="V46" s="325"/>
      <c r="W46" s="352" t="str">
        <f>+IF(AND($A46&lt;&gt;"",LEN($B46)&gt;=8,COUNTIF($B$6:$B46,$B46)=1),$W$5,"")</f>
        <v/>
      </c>
      <c r="X46" s="329" t="str">
        <f t="shared" si="8"/>
        <v>XF</v>
      </c>
      <c r="Y46" s="1128" t="s">
        <v>3380</v>
      </c>
      <c r="Z46" s="1128" t="s">
        <v>3381</v>
      </c>
      <c r="AA46" s="1128" t="s">
        <v>3384</v>
      </c>
      <c r="AC46" s="73"/>
    </row>
    <row r="47" spans="1:29" s="20" customFormat="1">
      <c r="A47" s="327" t="str">
        <f>IF(AND($B47&lt;&gt;"",$C47&lt;&gt;""),MAX($A$4:A46)+1,"")</f>
        <v/>
      </c>
      <c r="B47" s="361" t="s">
        <v>214</v>
      </c>
      <c r="C47" s="364"/>
      <c r="D47" s="327">
        <f>IF($B47="","",COUNTIF($B$6:$B47,$B47))</f>
        <v>10</v>
      </c>
      <c r="E47" s="361" t="s">
        <v>27</v>
      </c>
      <c r="F47" s="362" t="s">
        <v>346</v>
      </c>
      <c r="G47" s="327" t="s">
        <v>328</v>
      </c>
      <c r="H47" s="325"/>
      <c r="I47" s="327">
        <v>2</v>
      </c>
      <c r="J47" s="361" t="s">
        <v>703</v>
      </c>
      <c r="K47" s="327" t="s">
        <v>531</v>
      </c>
      <c r="L47" s="348">
        <f t="shared" si="17"/>
        <v>165039</v>
      </c>
      <c r="M47" s="355"/>
      <c r="N47" s="355" t="str">
        <f t="shared" si="16"/>
        <v>PR</v>
      </c>
      <c r="O47" s="347">
        <v>10</v>
      </c>
      <c r="P47" s="325"/>
      <c r="Q47" s="351"/>
      <c r="R47" s="351">
        <v>1</v>
      </c>
      <c r="S47" s="351">
        <v>5.8</v>
      </c>
      <c r="T47" s="351">
        <v>0.27100000000000002</v>
      </c>
      <c r="U47" s="329">
        <f>IF($N47=$N$4,IFERROR(INDEX(DanhMuc!$E$154:$E$165,MATCH(MID($B47,4,2),DanhMuc!$B$154:$B$165,0)),""),"")</f>
        <v>5700</v>
      </c>
      <c r="V47" s="325"/>
      <c r="W47" s="352" t="str">
        <f>+IF(AND($A47&lt;&gt;"",LEN($B47)&gt;=8,COUNTIF($B$6:$B47,$B47)=1),$W$5,"")</f>
        <v/>
      </c>
      <c r="X47" s="329" t="str">
        <f t="shared" si="8"/>
        <v>XF</v>
      </c>
      <c r="Y47" s="1128" t="s">
        <v>3380</v>
      </c>
      <c r="Z47" s="1128" t="s">
        <v>3381</v>
      </c>
      <c r="AA47" s="1128" t="s">
        <v>3384</v>
      </c>
      <c r="AC47" s="73"/>
    </row>
    <row r="48" spans="1:29" s="20" customFormat="1">
      <c r="A48" s="327" t="str">
        <f>IF(AND($B48&lt;&gt;"",$C48&lt;&gt;""),MAX($A$4:A47)+1,"")</f>
        <v/>
      </c>
      <c r="B48" s="361" t="s">
        <v>214</v>
      </c>
      <c r="C48" s="364"/>
      <c r="D48" s="327">
        <f>IF($B48="","",COUNTIF($B$6:$B48,$B48))</f>
        <v>11</v>
      </c>
      <c r="E48" s="361" t="s">
        <v>385</v>
      </c>
      <c r="F48" s="362" t="s">
        <v>386</v>
      </c>
      <c r="G48" s="327" t="s">
        <v>329</v>
      </c>
      <c r="H48" s="325"/>
      <c r="I48" s="327">
        <v>2</v>
      </c>
      <c r="J48" s="361" t="s">
        <v>2834</v>
      </c>
      <c r="K48" s="327" t="s">
        <v>531</v>
      </c>
      <c r="L48" s="348">
        <f t="shared" si="17"/>
        <v>138243</v>
      </c>
      <c r="M48" s="355"/>
      <c r="N48" s="355" t="str">
        <f t="shared" si="16"/>
        <v>PR</v>
      </c>
      <c r="O48" s="347">
        <v>19</v>
      </c>
      <c r="P48" s="325"/>
      <c r="Q48" s="351"/>
      <c r="R48" s="351">
        <v>1</v>
      </c>
      <c r="S48" s="351">
        <v>5.8</v>
      </c>
      <c r="T48" s="351">
        <v>0.22700000000000001</v>
      </c>
      <c r="U48" s="329">
        <f>IF($N48=$N$4,IFERROR(INDEX(DanhMuc!$E$154:$E$165,MATCH(MID($B48,4,2),DanhMuc!$B$154:$B$165,0)),""),"")</f>
        <v>5700</v>
      </c>
      <c r="V48" s="325"/>
      <c r="W48" s="352" t="str">
        <f>+IF(AND($A48&lt;&gt;"",LEN($B48)&gt;=8,COUNTIF($B$6:$B48,$B48)=1),$W$5,"")</f>
        <v/>
      </c>
      <c r="X48" s="329" t="str">
        <f t="shared" si="8"/>
        <v>XF</v>
      </c>
      <c r="Y48" s="1128" t="s">
        <v>3380</v>
      </c>
      <c r="Z48" s="1128" t="s">
        <v>3381</v>
      </c>
      <c r="AA48" s="1128" t="s">
        <v>3384</v>
      </c>
      <c r="AC48" s="73"/>
    </row>
    <row r="49" spans="1:29" s="20" customFormat="1">
      <c r="A49" s="327" t="str">
        <f>IF(AND($B49&lt;&gt;"",$C49&lt;&gt;""),MAX($A$4:A48)+1,"")</f>
        <v/>
      </c>
      <c r="B49" s="361" t="s">
        <v>214</v>
      </c>
      <c r="C49" s="364"/>
      <c r="D49" s="327">
        <f>IF($B49="","",COUNTIF($B$6:$B49,$B49))</f>
        <v>12</v>
      </c>
      <c r="E49" s="361" t="s">
        <v>385</v>
      </c>
      <c r="F49" s="362" t="s">
        <v>386</v>
      </c>
      <c r="G49" s="327" t="s">
        <v>328</v>
      </c>
      <c r="H49" s="325"/>
      <c r="I49" s="327">
        <v>2</v>
      </c>
      <c r="J49" s="361" t="s">
        <v>703</v>
      </c>
      <c r="K49" s="327" t="s">
        <v>531</v>
      </c>
      <c r="L49" s="348">
        <f t="shared" si="17"/>
        <v>138243</v>
      </c>
      <c r="M49" s="355"/>
      <c r="N49" s="355" t="str">
        <f t="shared" si="16"/>
        <v>PR</v>
      </c>
      <c r="O49" s="347">
        <v>19</v>
      </c>
      <c r="P49" s="325"/>
      <c r="Q49" s="351"/>
      <c r="R49" s="351">
        <v>1</v>
      </c>
      <c r="S49" s="351">
        <v>5.8</v>
      </c>
      <c r="T49" s="351">
        <v>0.22700000000000001</v>
      </c>
      <c r="U49" s="329">
        <f>IF($N49=$N$4,IFERROR(INDEX(DanhMuc!$E$154:$E$165,MATCH(MID($B49,4,2),DanhMuc!$B$154:$B$165,0)),""),"")</f>
        <v>5700</v>
      </c>
      <c r="V49" s="325"/>
      <c r="W49" s="352" t="str">
        <f>+IF(AND($A49&lt;&gt;"",LEN($B49)&gt;=8,COUNTIF($B$6:$B49,$B49)=1),$W$5,"")</f>
        <v/>
      </c>
      <c r="X49" s="329" t="str">
        <f t="shared" si="8"/>
        <v>XF</v>
      </c>
      <c r="Y49" s="1128" t="s">
        <v>3380</v>
      </c>
      <c r="Z49" s="1128" t="s">
        <v>3381</v>
      </c>
      <c r="AA49" s="1128" t="s">
        <v>3384</v>
      </c>
      <c r="AC49" s="73"/>
    </row>
    <row r="50" spans="1:29" s="20" customFormat="1">
      <c r="A50" s="327" t="str">
        <f>IF(AND($B50&lt;&gt;"",$C50&lt;&gt;""),MAX($A$4:A49)+1,"")</f>
        <v/>
      </c>
      <c r="B50" s="361" t="s">
        <v>214</v>
      </c>
      <c r="C50" s="364"/>
      <c r="D50" s="327">
        <f>IF($B50="","",COUNTIF($B$6:$B50,$B50))</f>
        <v>13</v>
      </c>
      <c r="E50" s="361" t="s">
        <v>630</v>
      </c>
      <c r="F50" s="362" t="s">
        <v>631</v>
      </c>
      <c r="G50" s="327" t="s">
        <v>329</v>
      </c>
      <c r="H50" s="325"/>
      <c r="I50" s="327">
        <v>2</v>
      </c>
      <c r="J50" s="361" t="s">
        <v>2834</v>
      </c>
      <c r="K50" s="327" t="s">
        <v>531</v>
      </c>
      <c r="L50" s="348">
        <f t="shared" si="17"/>
        <v>135807</v>
      </c>
      <c r="M50" s="355"/>
      <c r="N50" s="355" t="str">
        <f t="shared" si="16"/>
        <v>PR</v>
      </c>
      <c r="O50" s="347">
        <v>20</v>
      </c>
      <c r="P50" s="325"/>
      <c r="Q50" s="351"/>
      <c r="R50" s="351">
        <v>1</v>
      </c>
      <c r="S50" s="351">
        <v>5.8</v>
      </c>
      <c r="T50" s="351">
        <v>0.223</v>
      </c>
      <c r="U50" s="329">
        <f>IF($N50=$N$4,IFERROR(INDEX(DanhMuc!$E$154:$E$165,MATCH(MID($B50,4,2),DanhMuc!$B$154:$B$165,0)),""),"")</f>
        <v>5700</v>
      </c>
      <c r="V50" s="325"/>
      <c r="W50" s="352" t="str">
        <f>+IF(AND($A50&lt;&gt;"",LEN($B50)&gt;=8,COUNTIF($B$6:$B50,$B50)=1),$W$5,"")</f>
        <v/>
      </c>
      <c r="X50" s="329" t="str">
        <f t="shared" si="8"/>
        <v>XF</v>
      </c>
      <c r="Y50" s="1128" t="s">
        <v>3380</v>
      </c>
      <c r="Z50" s="1128" t="s">
        <v>3381</v>
      </c>
      <c r="AA50" s="1128" t="s">
        <v>3384</v>
      </c>
      <c r="AC50" s="73"/>
    </row>
    <row r="51" spans="1:29" s="20" customFormat="1">
      <c r="A51" s="327" t="str">
        <f>IF(AND($B51&lt;&gt;"",$C51&lt;&gt;""),MAX($A$4:A50)+1,"")</f>
        <v/>
      </c>
      <c r="B51" s="361" t="s">
        <v>214</v>
      </c>
      <c r="C51" s="364"/>
      <c r="D51" s="327">
        <f>IF($B51="","",COUNTIF($B$6:$B51,$B51))</f>
        <v>14</v>
      </c>
      <c r="E51" s="361" t="s">
        <v>630</v>
      </c>
      <c r="F51" s="362" t="s">
        <v>631</v>
      </c>
      <c r="G51" s="327" t="s">
        <v>328</v>
      </c>
      <c r="H51" s="325"/>
      <c r="I51" s="327">
        <v>2</v>
      </c>
      <c r="J51" s="361" t="s">
        <v>703</v>
      </c>
      <c r="K51" s="327" t="s">
        <v>531</v>
      </c>
      <c r="L51" s="348">
        <f t="shared" si="17"/>
        <v>135807</v>
      </c>
      <c r="M51" s="355"/>
      <c r="N51" s="355" t="str">
        <f t="shared" si="16"/>
        <v>PR</v>
      </c>
      <c r="O51" s="347">
        <v>20</v>
      </c>
      <c r="P51" s="325"/>
      <c r="Q51" s="351"/>
      <c r="R51" s="351">
        <v>1</v>
      </c>
      <c r="S51" s="351">
        <v>5.8</v>
      </c>
      <c r="T51" s="351">
        <v>0.223</v>
      </c>
      <c r="U51" s="329">
        <f>IF($N51=$N$4,IFERROR(INDEX(DanhMuc!$E$154:$E$165,MATCH(MID($B51,4,2),DanhMuc!$B$154:$B$165,0)),""),"")</f>
        <v>5700</v>
      </c>
      <c r="V51" s="325"/>
      <c r="W51" s="352" t="str">
        <f>+IF(AND($A51&lt;&gt;"",LEN($B51)&gt;=8,COUNTIF($B$6:$B51,$B51)=1),$W$5,"")</f>
        <v/>
      </c>
      <c r="X51" s="329" t="str">
        <f t="shared" si="8"/>
        <v>XF</v>
      </c>
      <c r="Y51" s="1128" t="s">
        <v>3380</v>
      </c>
      <c r="Z51" s="1128" t="s">
        <v>3381</v>
      </c>
      <c r="AA51" s="1128" t="s">
        <v>3384</v>
      </c>
      <c r="AC51" s="73"/>
    </row>
    <row r="52" spans="1:29" s="20" customFormat="1" ht="26">
      <c r="A52" s="327">
        <f>IF(AND($B52&lt;&gt;"",$C52&lt;&gt;""),MAX($A$4:A51)+1,"")</f>
        <v>11</v>
      </c>
      <c r="B52" s="359" t="s">
        <v>215</v>
      </c>
      <c r="C52" s="360" t="s">
        <v>1528</v>
      </c>
      <c r="D52" s="327">
        <f>IF($B52="","",COUNTIF($B$6:$B52,$B52))</f>
        <v>1</v>
      </c>
      <c r="E52" s="363" t="s">
        <v>23</v>
      </c>
      <c r="F52" s="362" t="s">
        <v>347</v>
      </c>
      <c r="G52" s="327" t="s">
        <v>330</v>
      </c>
      <c r="H52" s="325"/>
      <c r="I52" s="327">
        <v>1</v>
      </c>
      <c r="J52" s="361" t="s">
        <v>81</v>
      </c>
      <c r="K52" s="327" t="s">
        <v>516</v>
      </c>
      <c r="L52" s="348">
        <f t="shared" si="17"/>
        <v>765513</v>
      </c>
      <c r="M52" s="355"/>
      <c r="N52" s="355" t="str">
        <f t="shared" si="16"/>
        <v>PR</v>
      </c>
      <c r="O52" s="345"/>
      <c r="P52" s="325"/>
      <c r="Q52" s="351">
        <v>41</v>
      </c>
      <c r="R52" s="351">
        <v>2</v>
      </c>
      <c r="S52" s="351">
        <v>5.8</v>
      </c>
      <c r="T52" s="351">
        <v>1.2569999999999999</v>
      </c>
      <c r="U52" s="329">
        <f>IF($N52=$N$4,IFERROR(INDEX(DanhMuc!$E$154:$E$165,MATCH(MID($B52,4,2),DanhMuc!$B$154:$B$165,0)),""),"")</f>
        <v>5700</v>
      </c>
      <c r="V52" s="325"/>
      <c r="W52" s="352" t="str">
        <f>+IF(AND($A52&lt;&gt;"",LEN($B52)&gt;=8,COUNTIF($B$6:$B52,$B52)=1),$W$5,"")</f>
        <v>DMCua</v>
      </c>
      <c r="X52" s="329" t="str">
        <f t="shared" si="8"/>
        <v>XF</v>
      </c>
      <c r="Y52" s="1128" t="s">
        <v>3380</v>
      </c>
      <c r="Z52" s="1128" t="s">
        <v>3381</v>
      </c>
      <c r="AA52" s="1128" t="s">
        <v>3384</v>
      </c>
      <c r="AC52" s="73"/>
    </row>
    <row r="53" spans="1:29" s="20" customFormat="1">
      <c r="A53" s="327" t="str">
        <f>IF(AND($B53&lt;&gt;"",$C53&lt;&gt;""),MAX($A$4:A52)+1,"")</f>
        <v/>
      </c>
      <c r="B53" s="361" t="s">
        <v>215</v>
      </c>
      <c r="C53" s="364"/>
      <c r="D53" s="327">
        <f>IF($B53="","",COUNTIF($B$6:$B53,$B53))</f>
        <v>2</v>
      </c>
      <c r="E53" s="361" t="s">
        <v>23</v>
      </c>
      <c r="F53" s="362" t="s">
        <v>347</v>
      </c>
      <c r="G53" s="327" t="s">
        <v>328</v>
      </c>
      <c r="H53" s="325"/>
      <c r="I53" s="327">
        <v>2</v>
      </c>
      <c r="J53" s="363" t="s">
        <v>80</v>
      </c>
      <c r="K53" s="327" t="s">
        <v>1141</v>
      </c>
      <c r="L53" s="348">
        <f t="shared" si="17"/>
        <v>765513</v>
      </c>
      <c r="M53" s="355"/>
      <c r="N53" s="355" t="str">
        <f t="shared" si="16"/>
        <v>PR</v>
      </c>
      <c r="O53" s="345"/>
      <c r="P53" s="325"/>
      <c r="Q53" s="351">
        <v>41</v>
      </c>
      <c r="R53" s="351">
        <v>2</v>
      </c>
      <c r="S53" s="351">
        <v>5.8</v>
      </c>
      <c r="T53" s="351">
        <v>1.2569999999999999</v>
      </c>
      <c r="U53" s="329">
        <f>IF($N53=$N$4,IFERROR(INDEX(DanhMuc!$E$154:$E$165,MATCH(MID($B53,4,2),DanhMuc!$B$154:$B$165,0)),""),"")</f>
        <v>5700</v>
      </c>
      <c r="V53" s="325"/>
      <c r="W53" s="352" t="str">
        <f>+IF(AND($A53&lt;&gt;"",LEN($B53)&gt;=8,COUNTIF($B$6:$B53,$B53)=1),$W$5,"")</f>
        <v/>
      </c>
      <c r="X53" s="329" t="str">
        <f t="shared" si="8"/>
        <v>XF</v>
      </c>
      <c r="Y53" s="1128" t="s">
        <v>3380</v>
      </c>
      <c r="Z53" s="1128" t="s">
        <v>3381</v>
      </c>
      <c r="AA53" s="1128" t="s">
        <v>3384</v>
      </c>
      <c r="AC53" s="73"/>
    </row>
    <row r="54" spans="1:29" s="20" customFormat="1">
      <c r="A54" s="327" t="str">
        <f>IF(AND($B54&lt;&gt;"",$C54&lt;&gt;""),MAX($A$4:A53)+1,"")</f>
        <v/>
      </c>
      <c r="B54" s="361" t="s">
        <v>215</v>
      </c>
      <c r="C54" s="364"/>
      <c r="D54" s="327">
        <f>IF($B54="","",COUNTIF($B$6:$B54,$B54))</f>
        <v>3</v>
      </c>
      <c r="E54" s="361" t="s">
        <v>18</v>
      </c>
      <c r="F54" s="362" t="s">
        <v>77</v>
      </c>
      <c r="G54" s="327" t="s">
        <v>329</v>
      </c>
      <c r="H54" s="325"/>
      <c r="I54" s="327">
        <v>4</v>
      </c>
      <c r="J54" s="361" t="s">
        <v>2817</v>
      </c>
      <c r="K54" s="327" t="s">
        <v>516</v>
      </c>
      <c r="L54" s="348">
        <f t="shared" si="17"/>
        <v>877568.99999999988</v>
      </c>
      <c r="M54" s="355"/>
      <c r="N54" s="355" t="str">
        <f t="shared" si="16"/>
        <v>PR</v>
      </c>
      <c r="O54" s="345" t="s">
        <v>19</v>
      </c>
      <c r="P54" s="325"/>
      <c r="Q54" s="351"/>
      <c r="R54" s="351">
        <v>2</v>
      </c>
      <c r="S54" s="351">
        <v>5.8</v>
      </c>
      <c r="T54" s="351">
        <v>1.4410000000000001</v>
      </c>
      <c r="U54" s="329">
        <f>IF($N54=$N$4,IFERROR(INDEX(DanhMuc!$E$154:$E$165,MATCH(MID($B54,4,2),DanhMuc!$B$154:$B$165,0)),""),"")</f>
        <v>5700</v>
      </c>
      <c r="V54" s="325"/>
      <c r="W54" s="352" t="str">
        <f>+IF(AND($A54&lt;&gt;"",LEN($B54)&gt;=8,COUNTIF($B$6:$B54,$B54)=1),$W$5,"")</f>
        <v/>
      </c>
      <c r="X54" s="329" t="str">
        <f t="shared" si="8"/>
        <v>XF</v>
      </c>
      <c r="Y54" s="1128" t="s">
        <v>3380</v>
      </c>
      <c r="Z54" s="1128" t="s">
        <v>3381</v>
      </c>
      <c r="AA54" s="1128" t="s">
        <v>3384</v>
      </c>
      <c r="AC54" s="73"/>
    </row>
    <row r="55" spans="1:29" s="20" customFormat="1">
      <c r="A55" s="327" t="str">
        <f>IF(AND($B55&lt;&gt;"",$C55&lt;&gt;""),MAX($A$4:A54)+1,"")</f>
        <v/>
      </c>
      <c r="B55" s="361" t="s">
        <v>215</v>
      </c>
      <c r="C55" s="364"/>
      <c r="D55" s="327">
        <f>IF($B55="","",COUNTIF($B$6:$B55,$B55))</f>
        <v>4</v>
      </c>
      <c r="E55" s="361" t="s">
        <v>18</v>
      </c>
      <c r="F55" s="362" t="s">
        <v>77</v>
      </c>
      <c r="G55" s="327" t="s">
        <v>328</v>
      </c>
      <c r="H55" s="325"/>
      <c r="I55" s="327">
        <v>4</v>
      </c>
      <c r="J55" s="361" t="s">
        <v>648</v>
      </c>
      <c r="K55" s="327" t="s">
        <v>516</v>
      </c>
      <c r="L55" s="348">
        <f t="shared" si="17"/>
        <v>877568.99999999988</v>
      </c>
      <c r="M55" s="355"/>
      <c r="N55" s="355" t="str">
        <f t="shared" si="16"/>
        <v>PR</v>
      </c>
      <c r="O55" s="345" t="s">
        <v>19</v>
      </c>
      <c r="P55" s="325"/>
      <c r="Q55" s="351"/>
      <c r="R55" s="351">
        <v>2</v>
      </c>
      <c r="S55" s="351">
        <v>5.8</v>
      </c>
      <c r="T55" s="351">
        <v>1.4410000000000001</v>
      </c>
      <c r="U55" s="329">
        <f>IF($N55=$N$4,IFERROR(INDEX(DanhMuc!$E$154:$E$165,MATCH(MID($B55,4,2),DanhMuc!$B$154:$B$165,0)),""),"")</f>
        <v>5700</v>
      </c>
      <c r="V55" s="325"/>
      <c r="W55" s="352" t="str">
        <f>+IF(AND($A55&lt;&gt;"",LEN($B55)&gt;=8,COUNTIF($B$6:$B55,$B55)=1),$W$5,"")</f>
        <v/>
      </c>
      <c r="X55" s="329" t="str">
        <f t="shared" si="8"/>
        <v>XF</v>
      </c>
      <c r="Y55" s="1128" t="s">
        <v>3380</v>
      </c>
      <c r="Z55" s="1128" t="s">
        <v>3381</v>
      </c>
      <c r="AA55" s="1128" t="s">
        <v>3384</v>
      </c>
      <c r="AC55" s="73"/>
    </row>
    <row r="56" spans="1:29" s="20" customFormat="1">
      <c r="A56" s="327" t="str">
        <f>IF(AND($B56&lt;&gt;"",$C56&lt;&gt;""),MAX($A$4:A55)+1,"")</f>
        <v/>
      </c>
      <c r="B56" s="361" t="s">
        <v>215</v>
      </c>
      <c r="C56" s="364"/>
      <c r="D56" s="327">
        <f>IF($B56="","",COUNTIF($B$6:$B56,$B56))</f>
        <v>5</v>
      </c>
      <c r="E56" s="361" t="s">
        <v>15</v>
      </c>
      <c r="F56" s="362" t="s">
        <v>78</v>
      </c>
      <c r="G56" s="327" t="s">
        <v>329</v>
      </c>
      <c r="H56" s="325"/>
      <c r="I56" s="327">
        <v>4</v>
      </c>
      <c r="J56" s="361" t="s">
        <v>2817</v>
      </c>
      <c r="K56" s="327" t="s">
        <v>516</v>
      </c>
      <c r="L56" s="348">
        <f t="shared" si="17"/>
        <v>878178</v>
      </c>
      <c r="M56" s="355"/>
      <c r="N56" s="355" t="str">
        <f t="shared" si="16"/>
        <v>PR</v>
      </c>
      <c r="O56" s="345" t="s">
        <v>16</v>
      </c>
      <c r="P56" s="325"/>
      <c r="Q56" s="351"/>
      <c r="R56" s="351">
        <v>2</v>
      </c>
      <c r="S56" s="351">
        <v>5.8</v>
      </c>
      <c r="T56" s="351">
        <v>1.4419999999999999</v>
      </c>
      <c r="U56" s="329">
        <f>IF($N56=$N$4,IFERROR(INDEX(DanhMuc!$E$154:$E$165,MATCH(MID($B56,4,2),DanhMuc!$B$154:$B$165,0)),""),"")</f>
        <v>5700</v>
      </c>
      <c r="V56" s="325"/>
      <c r="W56" s="352" t="str">
        <f>+IF(AND($A56&lt;&gt;"",LEN($B56)&gt;=8,COUNTIF($B$6:$B56,$B56)=1),$W$5,"")</f>
        <v/>
      </c>
      <c r="X56" s="329" t="str">
        <f t="shared" si="8"/>
        <v>XF</v>
      </c>
      <c r="Y56" s="1128" t="s">
        <v>3380</v>
      </c>
      <c r="Z56" s="1128" t="s">
        <v>3381</v>
      </c>
      <c r="AA56" s="1128" t="s">
        <v>3384</v>
      </c>
      <c r="AC56" s="73"/>
    </row>
    <row r="57" spans="1:29" s="20" customFormat="1">
      <c r="A57" s="327" t="str">
        <f>IF(AND($B57&lt;&gt;"",$C57&lt;&gt;""),MAX($A$4:A56)+1,"")</f>
        <v/>
      </c>
      <c r="B57" s="361" t="s">
        <v>215</v>
      </c>
      <c r="C57" s="364"/>
      <c r="D57" s="327">
        <f>IF($B57="","",COUNTIF($B$6:$B57,$B57))</f>
        <v>6</v>
      </c>
      <c r="E57" s="361" t="s">
        <v>15</v>
      </c>
      <c r="F57" s="362" t="s">
        <v>78</v>
      </c>
      <c r="G57" s="327" t="s">
        <v>328</v>
      </c>
      <c r="H57" s="325"/>
      <c r="I57" s="327">
        <v>4</v>
      </c>
      <c r="J57" s="361" t="s">
        <v>648</v>
      </c>
      <c r="K57" s="327" t="s">
        <v>516</v>
      </c>
      <c r="L57" s="348">
        <f t="shared" si="17"/>
        <v>878178</v>
      </c>
      <c r="M57" s="355"/>
      <c r="N57" s="355" t="str">
        <f t="shared" si="16"/>
        <v>PR</v>
      </c>
      <c r="O57" s="345" t="s">
        <v>16</v>
      </c>
      <c r="P57" s="325"/>
      <c r="Q57" s="351"/>
      <c r="R57" s="351">
        <v>2</v>
      </c>
      <c r="S57" s="351">
        <v>5.8</v>
      </c>
      <c r="T57" s="351">
        <v>1.4419999999999999</v>
      </c>
      <c r="U57" s="329">
        <f>IF($N57=$N$4,IFERROR(INDEX(DanhMuc!$E$154:$E$165,MATCH(MID($B57,4,2),DanhMuc!$B$154:$B$165,0)),""),"")</f>
        <v>5700</v>
      </c>
      <c r="V57" s="325"/>
      <c r="W57" s="352" t="str">
        <f>+IF(AND($A57&lt;&gt;"",LEN($B57)&gt;=8,COUNTIF($B$6:$B57,$B57)=1),$W$5,"")</f>
        <v/>
      </c>
      <c r="X57" s="329" t="str">
        <f t="shared" si="8"/>
        <v>XF</v>
      </c>
      <c r="Y57" s="1128" t="s">
        <v>3380</v>
      </c>
      <c r="Z57" s="1128" t="s">
        <v>3381</v>
      </c>
      <c r="AA57" s="1128" t="s">
        <v>3384</v>
      </c>
      <c r="AC57" s="73"/>
    </row>
    <row r="58" spans="1:29" s="22" customFormat="1" ht="25">
      <c r="A58" s="327" t="str">
        <f>IF(AND($B58&lt;&gt;"",$C58&lt;&gt;""),MAX($A$4:A57)+1,"")</f>
        <v/>
      </c>
      <c r="B58" s="361" t="s">
        <v>215</v>
      </c>
      <c r="C58" s="366"/>
      <c r="D58" s="367">
        <f>IF($B58="","",COUNTIF($B$6:$B58,$B58))</f>
        <v>7</v>
      </c>
      <c r="E58" s="365" t="s">
        <v>628</v>
      </c>
      <c r="F58" s="368" t="s">
        <v>629</v>
      </c>
      <c r="G58" s="367" t="s">
        <v>329</v>
      </c>
      <c r="H58" s="325"/>
      <c r="I58" s="367">
        <v>2</v>
      </c>
      <c r="J58" s="365" t="s">
        <v>2818</v>
      </c>
      <c r="K58" s="367" t="s">
        <v>531</v>
      </c>
      <c r="L58" s="348">
        <f t="shared" si="17"/>
        <v>289883.99999999994</v>
      </c>
      <c r="M58" s="369"/>
      <c r="N58" s="369" t="str">
        <f t="shared" si="16"/>
        <v>PR</v>
      </c>
      <c r="O58" s="347" t="s">
        <v>1475</v>
      </c>
      <c r="P58" s="329"/>
      <c r="Q58" s="367"/>
      <c r="R58" s="351">
        <v>1.5</v>
      </c>
      <c r="S58" s="351">
        <v>5.8</v>
      </c>
      <c r="T58" s="351">
        <v>0.47599999999999998</v>
      </c>
      <c r="U58" s="329">
        <f>IF($N58=$N$4,IFERROR(INDEX(DanhMuc!$E$154:$E$165,MATCH(MID($B58,4,2),DanhMuc!$B$154:$B$165,0)),""),"")</f>
        <v>5700</v>
      </c>
      <c r="V58" s="329"/>
      <c r="W58" s="352" t="str">
        <f>+IF(AND($A58&lt;&gt;"",LEN($B58)&gt;=8,COUNTIF($B$6:$B58,$B58)=1),$W$5,"")</f>
        <v/>
      </c>
      <c r="X58" s="329" t="str">
        <f t="shared" si="8"/>
        <v>XF</v>
      </c>
      <c r="Y58" s="1128" t="s">
        <v>3380</v>
      </c>
      <c r="Z58" s="1128" t="s">
        <v>3381</v>
      </c>
      <c r="AA58" s="1128" t="s">
        <v>3384</v>
      </c>
      <c r="AB58" s="20"/>
      <c r="AC58" s="73"/>
    </row>
    <row r="59" spans="1:29" s="22" customFormat="1">
      <c r="A59" s="327" t="str">
        <f>IF(AND($B59&lt;&gt;"",$C59&lt;&gt;""),MAX($A$4:A58)+1,"")</f>
        <v/>
      </c>
      <c r="B59" s="628" t="s">
        <v>215</v>
      </c>
      <c r="C59" s="622"/>
      <c r="D59" s="623">
        <f>IF($B59="","",COUNTIF($B$6:$B59,$B59))</f>
        <v>8</v>
      </c>
      <c r="E59" s="621" t="s">
        <v>623</v>
      </c>
      <c r="F59" s="624" t="s">
        <v>865</v>
      </c>
      <c r="G59" s="623" t="s">
        <v>329</v>
      </c>
      <c r="H59" s="325"/>
      <c r="I59" s="367">
        <v>1</v>
      </c>
      <c r="J59" s="365" t="s">
        <v>867</v>
      </c>
      <c r="K59" s="367" t="s">
        <v>531</v>
      </c>
      <c r="L59" s="625">
        <f t="shared" si="17"/>
        <v>536931.81818181812</v>
      </c>
      <c r="M59" s="369"/>
      <c r="N59" s="369" t="str">
        <f t="shared" si="16"/>
        <v>PR</v>
      </c>
      <c r="O59" s="347" t="s">
        <v>1476</v>
      </c>
      <c r="P59" s="626"/>
      <c r="Q59" s="623"/>
      <c r="R59" s="627"/>
      <c r="S59" s="627">
        <v>5.8</v>
      </c>
      <c r="T59" s="627">
        <v>0.8816614420062695</v>
      </c>
      <c r="U59" s="1041">
        <v>5800</v>
      </c>
      <c r="V59" s="329"/>
      <c r="W59" s="352" t="str">
        <f>+IF(AND($A59&lt;&gt;"",LEN($B59)&gt;=8,COUNTIF($B$6:$B59,$B59)=1),$W$5,"")</f>
        <v/>
      </c>
      <c r="X59" s="329" t="str">
        <f t="shared" si="8"/>
        <v>XF</v>
      </c>
      <c r="Y59" s="1128" t="s">
        <v>3380</v>
      </c>
      <c r="Z59" s="1128" t="s">
        <v>3381</v>
      </c>
      <c r="AA59" s="1128" t="s">
        <v>3384</v>
      </c>
      <c r="AB59" s="20"/>
      <c r="AC59" s="73"/>
    </row>
    <row r="60" spans="1:29" s="20" customFormat="1">
      <c r="A60" s="327" t="str">
        <f>IF(AND($B60&lt;&gt;"",$C60&lt;&gt;""),MAX($A$4:A59)+1,"")</f>
        <v/>
      </c>
      <c r="B60" s="361" t="s">
        <v>215</v>
      </c>
      <c r="C60" s="364"/>
      <c r="D60" s="327">
        <f>IF($B60="","",COUNTIF($B$6:$B60,$B60))</f>
        <v>9</v>
      </c>
      <c r="E60" s="361" t="s">
        <v>24</v>
      </c>
      <c r="F60" s="362" t="s">
        <v>82</v>
      </c>
      <c r="G60" s="327" t="s">
        <v>328</v>
      </c>
      <c r="H60" s="325"/>
      <c r="I60" s="327">
        <v>1</v>
      </c>
      <c r="J60" s="361" t="s">
        <v>2666</v>
      </c>
      <c r="K60" s="327" t="s">
        <v>531</v>
      </c>
      <c r="L60" s="348">
        <f t="shared" si="17"/>
        <v>542619</v>
      </c>
      <c r="M60" s="355"/>
      <c r="N60" s="355" t="str">
        <f t="shared" si="16"/>
        <v>PR</v>
      </c>
      <c r="O60" s="345"/>
      <c r="P60" s="325"/>
      <c r="Q60" s="351"/>
      <c r="R60" s="351">
        <v>1.8</v>
      </c>
      <c r="S60" s="351">
        <v>5.8</v>
      </c>
      <c r="T60" s="351">
        <v>0.89100000000000001</v>
      </c>
      <c r="U60" s="329">
        <f>IF($N60=$N$4,IFERROR(INDEX(DanhMuc!$E$154:$E$165,MATCH(MID($B60,4,2),DanhMuc!$B$154:$B$165,0)),""),"")</f>
        <v>5700</v>
      </c>
      <c r="V60" s="325"/>
      <c r="W60" s="352" t="str">
        <f>+IF(AND($A60&lt;&gt;"",LEN($B60)&gt;=8,COUNTIF($B$6:$B60,$B60)=1),$W$5,"")</f>
        <v/>
      </c>
      <c r="X60" s="329" t="str">
        <f t="shared" si="8"/>
        <v>XF</v>
      </c>
      <c r="Y60" s="1128" t="s">
        <v>3380</v>
      </c>
      <c r="Z60" s="1128" t="s">
        <v>3381</v>
      </c>
      <c r="AA60" s="1128" t="s">
        <v>3384</v>
      </c>
      <c r="AC60" s="73"/>
    </row>
    <row r="61" spans="1:29" s="20" customFormat="1">
      <c r="A61" s="327" t="str">
        <f>IF(AND($B61&lt;&gt;"",$C61&lt;&gt;""),MAX($A$4:A60)+1,"")</f>
        <v/>
      </c>
      <c r="B61" s="361" t="s">
        <v>215</v>
      </c>
      <c r="C61" s="364"/>
      <c r="D61" s="327">
        <f>IF($B61="","",COUNTIF($B$6:$B61,$B61))</f>
        <v>10</v>
      </c>
      <c r="E61" s="361" t="s">
        <v>27</v>
      </c>
      <c r="F61" s="362" t="s">
        <v>346</v>
      </c>
      <c r="G61" s="327" t="s">
        <v>329</v>
      </c>
      <c r="H61" s="325"/>
      <c r="I61" s="327">
        <v>4</v>
      </c>
      <c r="J61" s="361" t="s">
        <v>2819</v>
      </c>
      <c r="K61" s="327" t="s">
        <v>531</v>
      </c>
      <c r="L61" s="348">
        <f t="shared" si="17"/>
        <v>165039</v>
      </c>
      <c r="M61" s="355"/>
      <c r="N61" s="355" t="str">
        <f t="shared" si="16"/>
        <v>PR</v>
      </c>
      <c r="O61" s="347">
        <v>10</v>
      </c>
      <c r="P61" s="325"/>
      <c r="Q61" s="351"/>
      <c r="R61" s="351">
        <v>1</v>
      </c>
      <c r="S61" s="351">
        <v>5.8</v>
      </c>
      <c r="T61" s="351">
        <v>0.27100000000000002</v>
      </c>
      <c r="U61" s="329">
        <f>IF($N61=$N$4,IFERROR(INDEX(DanhMuc!$E$154:$E$165,MATCH(MID($B61,4,2),DanhMuc!$B$154:$B$165,0)),""),"")</f>
        <v>5700</v>
      </c>
      <c r="V61" s="325"/>
      <c r="W61" s="352" t="str">
        <f>+IF(AND($A61&lt;&gt;"",LEN($B61)&gt;=8,COUNTIF($B$6:$B61,$B61)=1),$W$5,"")</f>
        <v/>
      </c>
      <c r="X61" s="329" t="str">
        <f t="shared" si="8"/>
        <v>XF</v>
      </c>
      <c r="Y61" s="1128" t="s">
        <v>3380</v>
      </c>
      <c r="Z61" s="1128" t="s">
        <v>3381</v>
      </c>
      <c r="AA61" s="1128" t="s">
        <v>3384</v>
      </c>
      <c r="AC61" s="73"/>
    </row>
    <row r="62" spans="1:29" s="20" customFormat="1">
      <c r="A62" s="327" t="str">
        <f>IF(AND($B62&lt;&gt;"",$C62&lt;&gt;""),MAX($A$4:A61)+1,"")</f>
        <v/>
      </c>
      <c r="B62" s="361" t="s">
        <v>215</v>
      </c>
      <c r="C62" s="364"/>
      <c r="D62" s="327">
        <f>IF($B62="","",COUNTIF($B$6:$B62,$B62))</f>
        <v>11</v>
      </c>
      <c r="E62" s="361" t="s">
        <v>27</v>
      </c>
      <c r="F62" s="362" t="s">
        <v>346</v>
      </c>
      <c r="G62" s="327" t="s">
        <v>328</v>
      </c>
      <c r="H62" s="325"/>
      <c r="I62" s="327">
        <v>4</v>
      </c>
      <c r="J62" s="361" t="s">
        <v>703</v>
      </c>
      <c r="K62" s="327" t="s">
        <v>531</v>
      </c>
      <c r="L62" s="348">
        <f t="shared" si="17"/>
        <v>165039</v>
      </c>
      <c r="M62" s="355"/>
      <c r="N62" s="355" t="str">
        <f t="shared" si="16"/>
        <v>PR</v>
      </c>
      <c r="O62" s="347">
        <v>10</v>
      </c>
      <c r="P62" s="325"/>
      <c r="Q62" s="351"/>
      <c r="R62" s="351">
        <v>1</v>
      </c>
      <c r="S62" s="351">
        <v>5.8</v>
      </c>
      <c r="T62" s="351">
        <v>0.27100000000000002</v>
      </c>
      <c r="U62" s="329">
        <f>IF($N62=$N$4,IFERROR(INDEX(DanhMuc!$E$154:$E$165,MATCH(MID($B62,4,2),DanhMuc!$B$154:$B$165,0)),""),"")</f>
        <v>5700</v>
      </c>
      <c r="V62" s="325"/>
      <c r="W62" s="352" t="str">
        <f>+IF(AND($A62&lt;&gt;"",LEN($B62)&gt;=8,COUNTIF($B$6:$B62,$B62)=1),$W$5,"")</f>
        <v/>
      </c>
      <c r="X62" s="329" t="str">
        <f t="shared" si="8"/>
        <v>XF</v>
      </c>
      <c r="Y62" s="1128" t="s">
        <v>3380</v>
      </c>
      <c r="Z62" s="1128" t="s">
        <v>3381</v>
      </c>
      <c r="AA62" s="1128" t="s">
        <v>3384</v>
      </c>
      <c r="AC62" s="73"/>
    </row>
    <row r="63" spans="1:29" s="20" customFormat="1">
      <c r="A63" s="327" t="str">
        <f>IF(AND($B63&lt;&gt;"",$C63&lt;&gt;""),MAX($A$4:A62)+1,"")</f>
        <v/>
      </c>
      <c r="B63" s="361" t="s">
        <v>215</v>
      </c>
      <c r="C63" s="364"/>
      <c r="D63" s="327">
        <f>IF($B63="","",COUNTIF($B$6:$B63,$B63))</f>
        <v>12</v>
      </c>
      <c r="E63" s="361" t="s">
        <v>385</v>
      </c>
      <c r="F63" s="362" t="s">
        <v>386</v>
      </c>
      <c r="G63" s="327" t="s">
        <v>329</v>
      </c>
      <c r="H63" s="325"/>
      <c r="I63" s="327">
        <v>4</v>
      </c>
      <c r="J63" s="361" t="s">
        <v>2819</v>
      </c>
      <c r="K63" s="327" t="s">
        <v>531</v>
      </c>
      <c r="L63" s="348">
        <f t="shared" si="17"/>
        <v>138243</v>
      </c>
      <c r="M63" s="355"/>
      <c r="N63" s="355" t="str">
        <f t="shared" si="16"/>
        <v>PR</v>
      </c>
      <c r="O63" s="347">
        <v>19</v>
      </c>
      <c r="P63" s="325"/>
      <c r="Q63" s="351"/>
      <c r="R63" s="351">
        <v>1</v>
      </c>
      <c r="S63" s="351">
        <v>5.8</v>
      </c>
      <c r="T63" s="351">
        <v>0.22700000000000001</v>
      </c>
      <c r="U63" s="329">
        <f>IF($N63=$N$4,IFERROR(INDEX(DanhMuc!$E$154:$E$165,MATCH(MID($B63,4,2),DanhMuc!$B$154:$B$165,0)),""),"")</f>
        <v>5700</v>
      </c>
      <c r="V63" s="325"/>
      <c r="W63" s="352" t="str">
        <f>+IF(AND($A63&lt;&gt;"",LEN($B63)&gt;=8,COUNTIF($B$6:$B63,$B63)=1),$W$5,"")</f>
        <v/>
      </c>
      <c r="X63" s="329" t="str">
        <f t="shared" si="8"/>
        <v>XF</v>
      </c>
      <c r="Y63" s="1128" t="s">
        <v>3380</v>
      </c>
      <c r="Z63" s="1128" t="s">
        <v>3381</v>
      </c>
      <c r="AA63" s="1128" t="s">
        <v>3384</v>
      </c>
      <c r="AC63" s="73"/>
    </row>
    <row r="64" spans="1:29" s="20" customFormat="1">
      <c r="A64" s="327" t="str">
        <f>IF(AND($B64&lt;&gt;"",$C64&lt;&gt;""),MAX($A$4:A63)+1,"")</f>
        <v/>
      </c>
      <c r="B64" s="361" t="s">
        <v>215</v>
      </c>
      <c r="C64" s="364"/>
      <c r="D64" s="327">
        <f>IF($B64="","",COUNTIF($B$6:$B64,$B64))</f>
        <v>13</v>
      </c>
      <c r="E64" s="361" t="s">
        <v>385</v>
      </c>
      <c r="F64" s="362" t="s">
        <v>386</v>
      </c>
      <c r="G64" s="327" t="s">
        <v>328</v>
      </c>
      <c r="H64" s="325"/>
      <c r="I64" s="327">
        <v>4</v>
      </c>
      <c r="J64" s="361" t="s">
        <v>703</v>
      </c>
      <c r="K64" s="327" t="s">
        <v>531</v>
      </c>
      <c r="L64" s="348">
        <f t="shared" si="17"/>
        <v>138243</v>
      </c>
      <c r="M64" s="355"/>
      <c r="N64" s="355" t="str">
        <f t="shared" si="16"/>
        <v>PR</v>
      </c>
      <c r="O64" s="347">
        <v>19</v>
      </c>
      <c r="P64" s="325"/>
      <c r="Q64" s="351"/>
      <c r="R64" s="351">
        <v>1</v>
      </c>
      <c r="S64" s="351">
        <v>5.8</v>
      </c>
      <c r="T64" s="351">
        <v>0.22700000000000001</v>
      </c>
      <c r="U64" s="329">
        <f>IF($N64=$N$4,IFERROR(INDEX(DanhMuc!$E$154:$E$165,MATCH(MID($B64,4,2),DanhMuc!$B$154:$B$165,0)),""),"")</f>
        <v>5700</v>
      </c>
      <c r="V64" s="325"/>
      <c r="W64" s="352" t="str">
        <f>+IF(AND($A64&lt;&gt;"",LEN($B64)&gt;=8,COUNTIF($B$6:$B64,$B64)=1),$W$5,"")</f>
        <v/>
      </c>
      <c r="X64" s="329" t="str">
        <f t="shared" si="8"/>
        <v>XF</v>
      </c>
      <c r="Y64" s="1128" t="s">
        <v>3380</v>
      </c>
      <c r="Z64" s="1128" t="s">
        <v>3381</v>
      </c>
      <c r="AA64" s="1128" t="s">
        <v>3384</v>
      </c>
      <c r="AC64" s="73"/>
    </row>
    <row r="65" spans="1:29" s="20" customFormat="1">
      <c r="A65" s="327" t="str">
        <f>IF(AND($B65&lt;&gt;"",$C65&lt;&gt;""),MAX($A$4:A64)+1,"")</f>
        <v/>
      </c>
      <c r="B65" s="361" t="s">
        <v>215</v>
      </c>
      <c r="C65" s="364"/>
      <c r="D65" s="327">
        <f>IF($B65="","",COUNTIF($B$6:$B65,$B65))</f>
        <v>14</v>
      </c>
      <c r="E65" s="361" t="s">
        <v>630</v>
      </c>
      <c r="F65" s="362" t="s">
        <v>631</v>
      </c>
      <c r="G65" s="327" t="s">
        <v>329</v>
      </c>
      <c r="H65" s="325"/>
      <c r="I65" s="327">
        <v>4</v>
      </c>
      <c r="J65" s="361" t="s">
        <v>2819</v>
      </c>
      <c r="K65" s="327" t="s">
        <v>531</v>
      </c>
      <c r="L65" s="348">
        <f t="shared" si="17"/>
        <v>135807</v>
      </c>
      <c r="M65" s="355"/>
      <c r="N65" s="355" t="str">
        <f t="shared" si="16"/>
        <v>PR</v>
      </c>
      <c r="O65" s="347">
        <v>20</v>
      </c>
      <c r="P65" s="325"/>
      <c r="Q65" s="351"/>
      <c r="R65" s="351">
        <v>1</v>
      </c>
      <c r="S65" s="351">
        <v>5.8</v>
      </c>
      <c r="T65" s="351">
        <v>0.223</v>
      </c>
      <c r="U65" s="329">
        <f>IF($N65=$N$4,IFERROR(INDEX(DanhMuc!$E$154:$E$165,MATCH(MID($B65,4,2),DanhMuc!$B$154:$B$165,0)),""),"")</f>
        <v>5700</v>
      </c>
      <c r="V65" s="325"/>
      <c r="W65" s="352" t="str">
        <f>+IF(AND($A65&lt;&gt;"",LEN($B65)&gt;=8,COUNTIF($B$6:$B65,$B65)=1),$W$5,"")</f>
        <v/>
      </c>
      <c r="X65" s="329" t="str">
        <f t="shared" si="8"/>
        <v>XF</v>
      </c>
      <c r="Y65" s="1128" t="s">
        <v>3380</v>
      </c>
      <c r="Z65" s="1128" t="s">
        <v>3381</v>
      </c>
      <c r="AA65" s="1128" t="s">
        <v>3384</v>
      </c>
      <c r="AC65" s="73"/>
    </row>
    <row r="66" spans="1:29" s="20" customFormat="1">
      <c r="A66" s="327" t="str">
        <f>IF(AND($B66&lt;&gt;"",$C66&lt;&gt;""),MAX($A$4:A65)+1,"")</f>
        <v/>
      </c>
      <c r="B66" s="361" t="s">
        <v>215</v>
      </c>
      <c r="C66" s="364"/>
      <c r="D66" s="327">
        <f>IF($B66="","",COUNTIF($B$6:$B66,$B66))</f>
        <v>15</v>
      </c>
      <c r="E66" s="361" t="s">
        <v>630</v>
      </c>
      <c r="F66" s="362" t="s">
        <v>631</v>
      </c>
      <c r="G66" s="327" t="s">
        <v>328</v>
      </c>
      <c r="H66" s="325"/>
      <c r="I66" s="327">
        <v>4</v>
      </c>
      <c r="J66" s="361" t="s">
        <v>703</v>
      </c>
      <c r="K66" s="327" t="s">
        <v>531</v>
      </c>
      <c r="L66" s="348">
        <f t="shared" si="17"/>
        <v>135807</v>
      </c>
      <c r="M66" s="355"/>
      <c r="N66" s="355" t="str">
        <f t="shared" si="16"/>
        <v>PR</v>
      </c>
      <c r="O66" s="347">
        <v>20</v>
      </c>
      <c r="P66" s="325"/>
      <c r="Q66" s="351"/>
      <c r="R66" s="351">
        <v>1</v>
      </c>
      <c r="S66" s="351">
        <v>5.8</v>
      </c>
      <c r="T66" s="351">
        <v>0.223</v>
      </c>
      <c r="U66" s="329">
        <f>IF($N66=$N$4,IFERROR(INDEX(DanhMuc!$E$154:$E$165,MATCH(MID($B66,4,2),DanhMuc!$B$154:$B$165,0)),""),"")</f>
        <v>5700</v>
      </c>
      <c r="V66" s="325"/>
      <c r="W66" s="352" t="str">
        <f>+IF(AND($A66&lt;&gt;"",LEN($B66)&gt;=8,COUNTIF($B$6:$B66,$B66)=1),$W$5,"")</f>
        <v/>
      </c>
      <c r="X66" s="329" t="str">
        <f t="shared" si="8"/>
        <v>XF</v>
      </c>
      <c r="Y66" s="1128" t="s">
        <v>3380</v>
      </c>
      <c r="Z66" s="1128" t="s">
        <v>3381</v>
      </c>
      <c r="AA66" s="1128" t="s">
        <v>3384</v>
      </c>
      <c r="AC66" s="73"/>
    </row>
    <row r="67" spans="1:29" s="20" customFormat="1" ht="26">
      <c r="A67" s="327">
        <f>IF(AND($B67&lt;&gt;"",$C67&lt;&gt;""),MAX($A$4:A66)+1,"")</f>
        <v>12</v>
      </c>
      <c r="B67" s="359" t="s">
        <v>684</v>
      </c>
      <c r="C67" s="360" t="s">
        <v>1529</v>
      </c>
      <c r="D67" s="327">
        <f>IF($B67="","",COUNTIF($B$6:$B67,$B67))</f>
        <v>1</v>
      </c>
      <c r="E67" s="363" t="s">
        <v>23</v>
      </c>
      <c r="F67" s="362" t="s">
        <v>347</v>
      </c>
      <c r="G67" s="327" t="s">
        <v>330</v>
      </c>
      <c r="H67" s="325"/>
      <c r="I67" s="327">
        <v>1</v>
      </c>
      <c r="J67" s="361" t="s">
        <v>81</v>
      </c>
      <c r="K67" s="327" t="s">
        <v>516</v>
      </c>
      <c r="L67" s="348">
        <f t="shared" si="17"/>
        <v>765513</v>
      </c>
      <c r="M67" s="355"/>
      <c r="N67" s="355" t="str">
        <f t="shared" si="16"/>
        <v>PR</v>
      </c>
      <c r="O67" s="345"/>
      <c r="P67" s="325"/>
      <c r="Q67" s="351">
        <v>41</v>
      </c>
      <c r="R67" s="351">
        <v>2</v>
      </c>
      <c r="S67" s="351">
        <v>5.8</v>
      </c>
      <c r="T67" s="351">
        <v>1.2569999999999999</v>
      </c>
      <c r="U67" s="329">
        <f>IF($N67=$N$4,IFERROR(INDEX(DanhMuc!$E$154:$E$165,MATCH(MID($B67,4,2),DanhMuc!$B$154:$B$165,0)),""),"")</f>
        <v>5700</v>
      </c>
      <c r="V67" s="325"/>
      <c r="W67" s="352" t="str">
        <f>+IF(AND($A67&lt;&gt;"",LEN($B67)&gt;=8,COUNTIF($B$6:$B67,$B67)=1),$W$5,"")</f>
        <v>DMCua</v>
      </c>
      <c r="X67" s="329" t="str">
        <f t="shared" si="8"/>
        <v>XF</v>
      </c>
      <c r="Y67" s="1128" t="s">
        <v>3380</v>
      </c>
      <c r="Z67" s="1128" t="s">
        <v>3381</v>
      </c>
      <c r="AA67" s="1128" t="s">
        <v>3384</v>
      </c>
      <c r="AC67" s="73"/>
    </row>
    <row r="68" spans="1:29" s="20" customFormat="1">
      <c r="A68" s="327" t="str">
        <f>IF(AND($B68&lt;&gt;"",$C68&lt;&gt;""),MAX($A$4:A67)+1,"")</f>
        <v/>
      </c>
      <c r="B68" s="361" t="s">
        <v>684</v>
      </c>
      <c r="C68" s="364"/>
      <c r="D68" s="327">
        <f>IF($B68="","",COUNTIF($B$6:$B68,$B68))</f>
        <v>2</v>
      </c>
      <c r="E68" s="361" t="s">
        <v>23</v>
      </c>
      <c r="F68" s="362" t="s">
        <v>347</v>
      </c>
      <c r="G68" s="327" t="s">
        <v>328</v>
      </c>
      <c r="H68" s="325"/>
      <c r="I68" s="327">
        <v>2</v>
      </c>
      <c r="J68" s="363" t="s">
        <v>80</v>
      </c>
      <c r="K68" s="327" t="s">
        <v>1141</v>
      </c>
      <c r="L68" s="348">
        <f t="shared" si="17"/>
        <v>765513</v>
      </c>
      <c r="M68" s="355"/>
      <c r="N68" s="355" t="str">
        <f t="shared" si="16"/>
        <v>PR</v>
      </c>
      <c r="O68" s="345"/>
      <c r="P68" s="325"/>
      <c r="Q68" s="351">
        <v>41</v>
      </c>
      <c r="R68" s="351">
        <v>2</v>
      </c>
      <c r="S68" s="351">
        <v>5.8</v>
      </c>
      <c r="T68" s="351">
        <v>1.2569999999999999</v>
      </c>
      <c r="U68" s="329">
        <f>IF($N68=$N$4,IFERROR(INDEX(DanhMuc!$E$154:$E$165,MATCH(MID($B68,4,2),DanhMuc!$B$154:$B$165,0)),""),"")</f>
        <v>5700</v>
      </c>
      <c r="V68" s="325"/>
      <c r="W68" s="352" t="str">
        <f>+IF(AND($A68&lt;&gt;"",LEN($B68)&gt;=8,COUNTIF($B$6:$B68,$B68)=1),$W$5,"")</f>
        <v/>
      </c>
      <c r="X68" s="329" t="str">
        <f t="shared" si="8"/>
        <v>XF</v>
      </c>
      <c r="Y68" s="1128" t="s">
        <v>3380</v>
      </c>
      <c r="Z68" s="1128" t="s">
        <v>3381</v>
      </c>
      <c r="AA68" s="1128" t="s">
        <v>3384</v>
      </c>
      <c r="AC68" s="73"/>
    </row>
    <row r="69" spans="1:29" s="20" customFormat="1">
      <c r="A69" s="327" t="str">
        <f>IF(AND($B69&lt;&gt;"",$C69&lt;&gt;""),MAX($A$4:A68)+1,"")</f>
        <v/>
      </c>
      <c r="B69" s="361" t="s">
        <v>684</v>
      </c>
      <c r="C69" s="364"/>
      <c r="D69" s="327">
        <f>IF($B69="","",COUNTIF($B$6:$B69,$B69))</f>
        <v>3</v>
      </c>
      <c r="E69" s="361" t="s">
        <v>18</v>
      </c>
      <c r="F69" s="362" t="s">
        <v>77</v>
      </c>
      <c r="G69" s="327" t="s">
        <v>329</v>
      </c>
      <c r="H69" s="325"/>
      <c r="I69" s="327">
        <v>2</v>
      </c>
      <c r="J69" s="361" t="s">
        <v>2820</v>
      </c>
      <c r="K69" s="327" t="s">
        <v>516</v>
      </c>
      <c r="L69" s="348">
        <f t="shared" si="17"/>
        <v>877568.99999999988</v>
      </c>
      <c r="M69" s="355"/>
      <c r="N69" s="355" t="str">
        <f t="shared" si="16"/>
        <v>PR</v>
      </c>
      <c r="O69" s="345"/>
      <c r="P69" s="325"/>
      <c r="Q69" s="351"/>
      <c r="R69" s="351">
        <v>2</v>
      </c>
      <c r="S69" s="351">
        <v>5.8</v>
      </c>
      <c r="T69" s="351">
        <v>1.4410000000000001</v>
      </c>
      <c r="U69" s="329">
        <f>IF($N69=$N$4,IFERROR(INDEX(DanhMuc!$E$154:$E$165,MATCH(MID($B69,4,2),DanhMuc!$B$154:$B$165,0)),""),"")</f>
        <v>5700</v>
      </c>
      <c r="V69" s="325"/>
      <c r="W69" s="352" t="str">
        <f>+IF(AND($A69&lt;&gt;"",LEN($B69)&gt;=8,COUNTIF($B$6:$B69,$B69)=1),$W$5,"")</f>
        <v/>
      </c>
      <c r="X69" s="329" t="str">
        <f t="shared" si="8"/>
        <v>XF</v>
      </c>
      <c r="Y69" s="1128" t="s">
        <v>3380</v>
      </c>
      <c r="Z69" s="1128" t="s">
        <v>3381</v>
      </c>
      <c r="AA69" s="1128" t="s">
        <v>3384</v>
      </c>
      <c r="AC69" s="73"/>
    </row>
    <row r="70" spans="1:29" s="20" customFormat="1">
      <c r="A70" s="327" t="str">
        <f>IF(AND($B70&lt;&gt;"",$C70&lt;&gt;""),MAX($A$4:A69)+1,"")</f>
        <v/>
      </c>
      <c r="B70" s="361" t="s">
        <v>684</v>
      </c>
      <c r="C70" s="364"/>
      <c r="D70" s="327">
        <f>IF($B70="","",COUNTIF($B$6:$B70,$B70))</f>
        <v>4</v>
      </c>
      <c r="E70" s="361" t="s">
        <v>18</v>
      </c>
      <c r="F70" s="362" t="s">
        <v>77</v>
      </c>
      <c r="G70" s="327" t="s">
        <v>329</v>
      </c>
      <c r="H70" s="325"/>
      <c r="I70" s="327">
        <v>4</v>
      </c>
      <c r="J70" s="361" t="s">
        <v>2821</v>
      </c>
      <c r="K70" s="327" t="s">
        <v>516</v>
      </c>
      <c r="L70" s="348">
        <f t="shared" si="17"/>
        <v>877568.99999999988</v>
      </c>
      <c r="M70" s="355"/>
      <c r="N70" s="355" t="str">
        <f t="shared" si="16"/>
        <v>PR</v>
      </c>
      <c r="O70" s="345"/>
      <c r="P70" s="325"/>
      <c r="Q70" s="351"/>
      <c r="R70" s="351">
        <v>2</v>
      </c>
      <c r="S70" s="351">
        <v>5.8</v>
      </c>
      <c r="T70" s="351">
        <v>1.4410000000000001</v>
      </c>
      <c r="U70" s="329">
        <f>IF($N70=$N$4,IFERROR(INDEX(DanhMuc!$E$154:$E$165,MATCH(MID($B70,4,2),DanhMuc!$B$154:$B$165,0)),""),"")</f>
        <v>5700</v>
      </c>
      <c r="V70" s="325"/>
      <c r="W70" s="352" t="str">
        <f>+IF(AND($A70&lt;&gt;"",LEN($B70)&gt;=8,COUNTIF($B$6:$B70,$B70)=1),$W$5,"")</f>
        <v/>
      </c>
      <c r="X70" s="329" t="str">
        <f t="shared" si="8"/>
        <v>XF</v>
      </c>
      <c r="Y70" s="1128" t="s">
        <v>3380</v>
      </c>
      <c r="Z70" s="1128" t="s">
        <v>3381</v>
      </c>
      <c r="AA70" s="1128" t="s">
        <v>3384</v>
      </c>
      <c r="AC70" s="73"/>
    </row>
    <row r="71" spans="1:29" s="20" customFormat="1">
      <c r="A71" s="327" t="str">
        <f>IF(AND($B71&lt;&gt;"",$C71&lt;&gt;""),MAX($A$4:A70)+1,"")</f>
        <v/>
      </c>
      <c r="B71" s="361" t="s">
        <v>684</v>
      </c>
      <c r="C71" s="364"/>
      <c r="D71" s="327">
        <f>IF($B71="","",COUNTIF($B$6:$B71,$B71))</f>
        <v>5</v>
      </c>
      <c r="E71" s="361" t="s">
        <v>18</v>
      </c>
      <c r="F71" s="362" t="s">
        <v>77</v>
      </c>
      <c r="G71" s="327" t="s">
        <v>328</v>
      </c>
      <c r="H71" s="325"/>
      <c r="I71" s="327">
        <v>6</v>
      </c>
      <c r="J71" s="361" t="s">
        <v>648</v>
      </c>
      <c r="K71" s="327" t="s">
        <v>516</v>
      </c>
      <c r="L71" s="348">
        <f t="shared" si="17"/>
        <v>877568.99999999988</v>
      </c>
      <c r="M71" s="355"/>
      <c r="N71" s="355" t="str">
        <f t="shared" si="16"/>
        <v>PR</v>
      </c>
      <c r="O71" s="345"/>
      <c r="P71" s="325"/>
      <c r="Q71" s="351"/>
      <c r="R71" s="351">
        <v>2</v>
      </c>
      <c r="S71" s="351">
        <v>5.8</v>
      </c>
      <c r="T71" s="351">
        <v>1.4410000000000001</v>
      </c>
      <c r="U71" s="329">
        <f>IF($N71=$N$4,IFERROR(INDEX(DanhMuc!$E$154:$E$165,MATCH(MID($B71,4,2),DanhMuc!$B$154:$B$165,0)),""),"")</f>
        <v>5700</v>
      </c>
      <c r="V71" s="325"/>
      <c r="W71" s="352" t="str">
        <f>+IF(AND($A71&lt;&gt;"",LEN($B71)&gt;=8,COUNTIF($B$6:$B71,$B71)=1),$W$5,"")</f>
        <v/>
      </c>
      <c r="X71" s="329" t="str">
        <f t="shared" si="8"/>
        <v>XF</v>
      </c>
      <c r="Y71" s="1128" t="s">
        <v>3380</v>
      </c>
      <c r="Z71" s="1128" t="s">
        <v>3381</v>
      </c>
      <c r="AA71" s="1128" t="s">
        <v>3384</v>
      </c>
      <c r="AC71" s="73"/>
    </row>
    <row r="72" spans="1:29" s="22" customFormat="1" ht="25">
      <c r="A72" s="327" t="str">
        <f>IF(AND($B72&lt;&gt;"",$C72&lt;&gt;""),MAX($A$4:A71)+1,"")</f>
        <v/>
      </c>
      <c r="B72" s="365" t="s">
        <v>684</v>
      </c>
      <c r="C72" s="366"/>
      <c r="D72" s="367">
        <f>IF($B72="","",COUNTIF($B$6:$B72,$B72))</f>
        <v>6</v>
      </c>
      <c r="E72" s="365" t="s">
        <v>628</v>
      </c>
      <c r="F72" s="368" t="s">
        <v>629</v>
      </c>
      <c r="G72" s="367" t="s">
        <v>329</v>
      </c>
      <c r="H72" s="325"/>
      <c r="I72" s="367">
        <v>1</v>
      </c>
      <c r="J72" s="365" t="s">
        <v>2822</v>
      </c>
      <c r="K72" s="367" t="s">
        <v>531</v>
      </c>
      <c r="L72" s="348">
        <f t="shared" si="17"/>
        <v>289883.99999999994</v>
      </c>
      <c r="M72" s="369"/>
      <c r="N72" s="369" t="str">
        <f t="shared" si="16"/>
        <v>PR</v>
      </c>
      <c r="O72" s="347" t="s">
        <v>1475</v>
      </c>
      <c r="P72" s="329"/>
      <c r="Q72" s="367"/>
      <c r="R72" s="351">
        <v>1.5</v>
      </c>
      <c r="S72" s="351">
        <v>5.8</v>
      </c>
      <c r="T72" s="351">
        <v>0.47599999999999998</v>
      </c>
      <c r="U72" s="329">
        <f>IF($N72=$N$4,IFERROR(INDEX(DanhMuc!$E$154:$E$165,MATCH(MID($B72,4,2),DanhMuc!$B$154:$B$165,0)),""),"")</f>
        <v>5700</v>
      </c>
      <c r="V72" s="329"/>
      <c r="W72" s="352" t="str">
        <f>+IF(AND($A72&lt;&gt;"",LEN($B72)&gt;=8,COUNTIF($B$6:$B72,$B72)=1),$W$5,"")</f>
        <v/>
      </c>
      <c r="X72" s="329" t="str">
        <f t="shared" si="8"/>
        <v>XF</v>
      </c>
      <c r="Y72" s="1128" t="s">
        <v>3380</v>
      </c>
      <c r="Z72" s="1128" t="s">
        <v>3381</v>
      </c>
      <c r="AA72" s="1128" t="s">
        <v>3384</v>
      </c>
      <c r="AB72" s="20"/>
      <c r="AC72" s="73"/>
    </row>
    <row r="73" spans="1:29" s="22" customFormat="1" ht="25">
      <c r="A73" s="327" t="str">
        <f>IF(AND($B73&lt;&gt;"",$C73&lt;&gt;""),MAX($A$4:A72)+1,"")</f>
        <v/>
      </c>
      <c r="B73" s="365" t="s">
        <v>684</v>
      </c>
      <c r="C73" s="366"/>
      <c r="D73" s="367">
        <f>IF($B73="","",COUNTIF($B$6:$B73,$B73))</f>
        <v>7</v>
      </c>
      <c r="E73" s="365" t="s">
        <v>628</v>
      </c>
      <c r="F73" s="368" t="s">
        <v>629</v>
      </c>
      <c r="G73" s="367" t="s">
        <v>329</v>
      </c>
      <c r="H73" s="325"/>
      <c r="I73" s="367">
        <v>2</v>
      </c>
      <c r="J73" s="365" t="s">
        <v>2823</v>
      </c>
      <c r="K73" s="367" t="s">
        <v>531</v>
      </c>
      <c r="L73" s="348">
        <f t="shared" si="17"/>
        <v>289883.99999999994</v>
      </c>
      <c r="M73" s="369"/>
      <c r="N73" s="369" t="str">
        <f t="shared" si="16"/>
        <v>PR</v>
      </c>
      <c r="O73" s="347" t="s">
        <v>1475</v>
      </c>
      <c r="P73" s="329"/>
      <c r="Q73" s="367"/>
      <c r="R73" s="351">
        <v>1.5</v>
      </c>
      <c r="S73" s="351">
        <v>5.8</v>
      </c>
      <c r="T73" s="351">
        <v>0.47599999999999998</v>
      </c>
      <c r="U73" s="329">
        <f>IF($N73=$N$4,IFERROR(INDEX(DanhMuc!$E$154:$E$165,MATCH(MID($B73,4,2),DanhMuc!$B$154:$B$165,0)),""),"")</f>
        <v>5700</v>
      </c>
      <c r="V73" s="329"/>
      <c r="W73" s="352" t="str">
        <f>+IF(AND($A73&lt;&gt;"",LEN($B73)&gt;=8,COUNTIF($B$6:$B73,$B73)=1),$W$5,"")</f>
        <v/>
      </c>
      <c r="X73" s="329" t="str">
        <f t="shared" ref="X73:X145" si="18">IF(IFERROR(SEARCH("thép",$F73,1),0)&gt;=1,"T" &amp;MID($B73,4,2),MID($B73,4,2))</f>
        <v>XF</v>
      </c>
      <c r="Y73" s="1128" t="s">
        <v>3380</v>
      </c>
      <c r="Z73" s="1128" t="s">
        <v>3381</v>
      </c>
      <c r="AA73" s="1128" t="s">
        <v>3384</v>
      </c>
      <c r="AB73" s="20"/>
      <c r="AC73" s="73"/>
    </row>
    <row r="74" spans="1:29" s="22" customFormat="1">
      <c r="A74" s="327" t="str">
        <f>IF(AND($B74&lt;&gt;"",$C74&lt;&gt;""),MAX($A$4:A73)+1,"")</f>
        <v/>
      </c>
      <c r="B74" s="621" t="s">
        <v>684</v>
      </c>
      <c r="C74" s="622"/>
      <c r="D74" s="623">
        <f>IF($B74="","",COUNTIF($B$6:$B74,$B74))</f>
        <v>8</v>
      </c>
      <c r="E74" s="621" t="s">
        <v>623</v>
      </c>
      <c r="F74" s="624" t="s">
        <v>865</v>
      </c>
      <c r="G74" s="623" t="s">
        <v>329</v>
      </c>
      <c r="H74" s="325"/>
      <c r="I74" s="367">
        <v>1</v>
      </c>
      <c r="J74" s="365" t="s">
        <v>867</v>
      </c>
      <c r="K74" s="367" t="s">
        <v>531</v>
      </c>
      <c r="L74" s="625">
        <f t="shared" si="17"/>
        <v>536931.81818181812</v>
      </c>
      <c r="M74" s="369"/>
      <c r="N74" s="369" t="str">
        <f t="shared" si="16"/>
        <v>PR</v>
      </c>
      <c r="O74" s="347" t="s">
        <v>1476</v>
      </c>
      <c r="P74" s="626"/>
      <c r="Q74" s="623"/>
      <c r="R74" s="627"/>
      <c r="S74" s="627">
        <v>5.8</v>
      </c>
      <c r="T74" s="627">
        <v>0.8816614420062695</v>
      </c>
      <c r="U74" s="1041">
        <v>5800</v>
      </c>
      <c r="V74" s="329"/>
      <c r="W74" s="352" t="str">
        <f>+IF(AND($A74&lt;&gt;"",LEN($B74)&gt;=8,COUNTIF($B$6:$B74,$B74)=1),$W$5,"")</f>
        <v/>
      </c>
      <c r="X74" s="329" t="str">
        <f t="shared" si="18"/>
        <v>XF</v>
      </c>
      <c r="Y74" s="1128" t="s">
        <v>3380</v>
      </c>
      <c r="Z74" s="1128" t="s">
        <v>3381</v>
      </c>
      <c r="AA74" s="1128" t="s">
        <v>3384</v>
      </c>
      <c r="AB74" s="20"/>
      <c r="AC74" s="73"/>
    </row>
    <row r="75" spans="1:29" s="20" customFormat="1">
      <c r="A75" s="327" t="str">
        <f>IF(AND($B75&lt;&gt;"",$C75&lt;&gt;""),MAX($A$4:A74)+1,"")</f>
        <v/>
      </c>
      <c r="B75" s="361" t="s">
        <v>684</v>
      </c>
      <c r="C75" s="364"/>
      <c r="D75" s="327">
        <f>IF($B75="","",COUNTIF($B$6:$B75,$B75))</f>
        <v>9</v>
      </c>
      <c r="E75" s="361" t="s">
        <v>24</v>
      </c>
      <c r="F75" s="362" t="s">
        <v>82</v>
      </c>
      <c r="G75" s="327" t="s">
        <v>328</v>
      </c>
      <c r="H75" s="325"/>
      <c r="I75" s="327">
        <v>2</v>
      </c>
      <c r="J75" s="361" t="s">
        <v>2666</v>
      </c>
      <c r="K75" s="327" t="s">
        <v>531</v>
      </c>
      <c r="L75" s="348">
        <f t="shared" si="17"/>
        <v>542619</v>
      </c>
      <c r="M75" s="355"/>
      <c r="N75" s="355" t="str">
        <f t="shared" si="16"/>
        <v>PR</v>
      </c>
      <c r="O75" s="345"/>
      <c r="P75" s="325"/>
      <c r="Q75" s="351"/>
      <c r="R75" s="351">
        <v>1.8</v>
      </c>
      <c r="S75" s="351">
        <v>5.8</v>
      </c>
      <c r="T75" s="351">
        <v>0.89100000000000001</v>
      </c>
      <c r="U75" s="329">
        <f>IF($N75=$N$4,IFERROR(INDEX(DanhMuc!$E$154:$E$165,MATCH(MID($B75,4,2),DanhMuc!$B$154:$B$165,0)),""),"")</f>
        <v>5700</v>
      </c>
      <c r="V75" s="325"/>
      <c r="W75" s="352" t="str">
        <f>+IF(AND($A75&lt;&gt;"",LEN($B75)&gt;=8,COUNTIF($B$6:$B75,$B75)=1),$W$5,"")</f>
        <v/>
      </c>
      <c r="X75" s="329" t="str">
        <f t="shared" si="18"/>
        <v>XF</v>
      </c>
      <c r="Y75" s="1128" t="s">
        <v>3380</v>
      </c>
      <c r="Z75" s="1128" t="s">
        <v>3381</v>
      </c>
      <c r="AA75" s="1128" t="s">
        <v>3384</v>
      </c>
      <c r="AC75" s="73"/>
    </row>
    <row r="76" spans="1:29" s="20" customFormat="1">
      <c r="A76" s="327" t="str">
        <f>IF(AND($B76&lt;&gt;"",$C76&lt;&gt;""),MAX($A$4:A75)+1,"")</f>
        <v/>
      </c>
      <c r="B76" s="361" t="s">
        <v>684</v>
      </c>
      <c r="C76" s="364"/>
      <c r="D76" s="327">
        <f>IF($B76="","",COUNTIF($B$6:$B76,$B76))</f>
        <v>10</v>
      </c>
      <c r="E76" s="361" t="s">
        <v>27</v>
      </c>
      <c r="F76" s="362" t="s">
        <v>346</v>
      </c>
      <c r="G76" s="327" t="s">
        <v>329</v>
      </c>
      <c r="H76" s="325"/>
      <c r="I76" s="327">
        <v>2</v>
      </c>
      <c r="J76" s="361" t="s">
        <v>2824</v>
      </c>
      <c r="K76" s="327" t="s">
        <v>531</v>
      </c>
      <c r="L76" s="348">
        <f t="shared" si="17"/>
        <v>165039</v>
      </c>
      <c r="M76" s="355"/>
      <c r="N76" s="355" t="str">
        <f t="shared" si="16"/>
        <v>PR</v>
      </c>
      <c r="O76" s="347">
        <v>10</v>
      </c>
      <c r="P76" s="325"/>
      <c r="Q76" s="351"/>
      <c r="R76" s="351">
        <v>1</v>
      </c>
      <c r="S76" s="351">
        <v>5.8</v>
      </c>
      <c r="T76" s="351">
        <v>0.27100000000000002</v>
      </c>
      <c r="U76" s="329">
        <f>IF($N76=$N$4,IFERROR(INDEX(DanhMuc!$E$154:$E$165,MATCH(MID($B76,4,2),DanhMuc!$B$154:$B$165,0)),""),"")</f>
        <v>5700</v>
      </c>
      <c r="V76" s="325"/>
      <c r="W76" s="352" t="str">
        <f>+IF(AND($A76&lt;&gt;"",LEN($B76)&gt;=8,COUNTIF($B$6:$B76,$B76)=1),$W$5,"")</f>
        <v/>
      </c>
      <c r="X76" s="329" t="str">
        <f t="shared" si="18"/>
        <v>XF</v>
      </c>
      <c r="Y76" s="1128" t="s">
        <v>3380</v>
      </c>
      <c r="Z76" s="1128" t="s">
        <v>3381</v>
      </c>
      <c r="AA76" s="1128" t="s">
        <v>3384</v>
      </c>
      <c r="AC76" s="73"/>
    </row>
    <row r="77" spans="1:29" s="20" customFormat="1">
      <c r="A77" s="327" t="str">
        <f>IF(AND($B77&lt;&gt;"",$C77&lt;&gt;""),MAX($A$4:A76)+1,"")</f>
        <v/>
      </c>
      <c r="B77" s="361" t="s">
        <v>684</v>
      </c>
      <c r="C77" s="364"/>
      <c r="D77" s="327">
        <f>IF($B77="","",COUNTIF($B$6:$B77,$B77))</f>
        <v>11</v>
      </c>
      <c r="E77" s="361" t="s">
        <v>27</v>
      </c>
      <c r="F77" s="362" t="s">
        <v>346</v>
      </c>
      <c r="G77" s="327" t="s">
        <v>329</v>
      </c>
      <c r="H77" s="325"/>
      <c r="I77" s="327">
        <v>4</v>
      </c>
      <c r="J77" s="361" t="s">
        <v>2825</v>
      </c>
      <c r="K77" s="327" t="s">
        <v>531</v>
      </c>
      <c r="L77" s="348">
        <f t="shared" si="17"/>
        <v>165039</v>
      </c>
      <c r="M77" s="355"/>
      <c r="N77" s="355" t="str">
        <f t="shared" si="16"/>
        <v>PR</v>
      </c>
      <c r="O77" s="347">
        <v>10</v>
      </c>
      <c r="P77" s="325"/>
      <c r="Q77" s="351"/>
      <c r="R77" s="351">
        <v>1</v>
      </c>
      <c r="S77" s="351">
        <v>5.8</v>
      </c>
      <c r="T77" s="351">
        <v>0.27100000000000002</v>
      </c>
      <c r="U77" s="329">
        <f>IF($N77=$N$4,IFERROR(INDEX(DanhMuc!$E$154:$E$165,MATCH(MID($B77,4,2),DanhMuc!$B$154:$B$165,0)),""),"")</f>
        <v>5700</v>
      </c>
      <c r="V77" s="325"/>
      <c r="W77" s="352" t="str">
        <f>+IF(AND($A77&lt;&gt;"",LEN($B77)&gt;=8,COUNTIF($B$6:$B77,$B77)=1),$W$5,"")</f>
        <v/>
      </c>
      <c r="X77" s="329" t="str">
        <f t="shared" si="18"/>
        <v>XF</v>
      </c>
      <c r="Y77" s="1128" t="s">
        <v>3380</v>
      </c>
      <c r="Z77" s="1128" t="s">
        <v>3381</v>
      </c>
      <c r="AA77" s="1128" t="s">
        <v>3384</v>
      </c>
      <c r="AC77" s="73"/>
    </row>
    <row r="78" spans="1:29" s="20" customFormat="1">
      <c r="A78" s="327" t="str">
        <f>IF(AND($B78&lt;&gt;"",$C78&lt;&gt;""),MAX($A$4:A77)+1,"")</f>
        <v/>
      </c>
      <c r="B78" s="361" t="s">
        <v>684</v>
      </c>
      <c r="C78" s="364"/>
      <c r="D78" s="327">
        <f>IF($B78="","",COUNTIF($B$6:$B78,$B78))</f>
        <v>12</v>
      </c>
      <c r="E78" s="361" t="s">
        <v>27</v>
      </c>
      <c r="F78" s="362" t="s">
        <v>346</v>
      </c>
      <c r="G78" s="327" t="s">
        <v>328</v>
      </c>
      <c r="H78" s="325"/>
      <c r="I78" s="327">
        <v>6</v>
      </c>
      <c r="J78" s="361" t="s">
        <v>703</v>
      </c>
      <c r="K78" s="327" t="s">
        <v>531</v>
      </c>
      <c r="L78" s="348">
        <f t="shared" si="17"/>
        <v>165039</v>
      </c>
      <c r="M78" s="355"/>
      <c r="N78" s="355" t="str">
        <f t="shared" si="16"/>
        <v>PR</v>
      </c>
      <c r="O78" s="347">
        <v>10</v>
      </c>
      <c r="P78" s="325"/>
      <c r="Q78" s="351"/>
      <c r="R78" s="351">
        <v>1</v>
      </c>
      <c r="S78" s="351">
        <v>5.8</v>
      </c>
      <c r="T78" s="351">
        <v>0.27100000000000002</v>
      </c>
      <c r="U78" s="329">
        <f>IF($N78=$N$4,IFERROR(INDEX(DanhMuc!$E$154:$E$165,MATCH(MID($B78,4,2),DanhMuc!$B$154:$B$165,0)),""),"")</f>
        <v>5700</v>
      </c>
      <c r="V78" s="325"/>
      <c r="W78" s="352" t="str">
        <f>+IF(AND($A78&lt;&gt;"",LEN($B78)&gt;=8,COUNTIF($B$6:$B78,$B78)=1),$W$5,"")</f>
        <v/>
      </c>
      <c r="X78" s="329" t="str">
        <f t="shared" si="18"/>
        <v>XF</v>
      </c>
      <c r="Y78" s="1128" t="s">
        <v>3380</v>
      </c>
      <c r="Z78" s="1128" t="s">
        <v>3381</v>
      </c>
      <c r="AA78" s="1128" t="s">
        <v>3384</v>
      </c>
      <c r="AC78" s="73"/>
    </row>
    <row r="79" spans="1:29" s="20" customFormat="1">
      <c r="A79" s="327" t="str">
        <f>IF(AND($B79&lt;&gt;"",$C79&lt;&gt;""),MAX($A$4:A78)+1,"")</f>
        <v/>
      </c>
      <c r="B79" s="361" t="s">
        <v>684</v>
      </c>
      <c r="C79" s="364"/>
      <c r="D79" s="327">
        <f>IF($B79="","",COUNTIF($B$6:$B79,$B79))</f>
        <v>13</v>
      </c>
      <c r="E79" s="361" t="s">
        <v>385</v>
      </c>
      <c r="F79" s="362" t="s">
        <v>386</v>
      </c>
      <c r="G79" s="327" t="s">
        <v>329</v>
      </c>
      <c r="H79" s="325"/>
      <c r="I79" s="327">
        <v>2</v>
      </c>
      <c r="J79" s="361" t="s">
        <v>2824</v>
      </c>
      <c r="K79" s="327" t="s">
        <v>531</v>
      </c>
      <c r="L79" s="348">
        <f t="shared" si="17"/>
        <v>138243</v>
      </c>
      <c r="M79" s="355"/>
      <c r="N79" s="355" t="str">
        <f t="shared" si="16"/>
        <v>PR</v>
      </c>
      <c r="O79" s="347">
        <v>19</v>
      </c>
      <c r="P79" s="325"/>
      <c r="Q79" s="351"/>
      <c r="R79" s="351">
        <v>1</v>
      </c>
      <c r="S79" s="351">
        <v>5.8</v>
      </c>
      <c r="T79" s="351">
        <v>0.22700000000000001</v>
      </c>
      <c r="U79" s="329">
        <f>IF($N79=$N$4,IFERROR(INDEX(DanhMuc!$E$154:$E$165,MATCH(MID($B79,4,2),DanhMuc!$B$154:$B$165,0)),""),"")</f>
        <v>5700</v>
      </c>
      <c r="V79" s="325"/>
      <c r="W79" s="352" t="str">
        <f>+IF(AND($A79&lt;&gt;"",LEN($B79)&gt;=8,COUNTIF($B$6:$B79,$B79)=1),$W$5,"")</f>
        <v/>
      </c>
      <c r="X79" s="329" t="str">
        <f t="shared" si="18"/>
        <v>XF</v>
      </c>
      <c r="Y79" s="1128" t="s">
        <v>3380</v>
      </c>
      <c r="Z79" s="1128" t="s">
        <v>3381</v>
      </c>
      <c r="AA79" s="1128" t="s">
        <v>3384</v>
      </c>
      <c r="AC79" s="73"/>
    </row>
    <row r="80" spans="1:29" s="20" customFormat="1">
      <c r="A80" s="327" t="str">
        <f>IF(AND($B80&lt;&gt;"",$C80&lt;&gt;""),MAX($A$4:A79)+1,"")</f>
        <v/>
      </c>
      <c r="B80" s="361" t="s">
        <v>684</v>
      </c>
      <c r="C80" s="364"/>
      <c r="D80" s="327">
        <f>IF($B80="","",COUNTIF($B$6:$B80,$B80))</f>
        <v>14</v>
      </c>
      <c r="E80" s="361" t="s">
        <v>385</v>
      </c>
      <c r="F80" s="362" t="s">
        <v>386</v>
      </c>
      <c r="G80" s="327" t="s">
        <v>329</v>
      </c>
      <c r="H80" s="325"/>
      <c r="I80" s="327">
        <v>4</v>
      </c>
      <c r="J80" s="361" t="s">
        <v>2825</v>
      </c>
      <c r="K80" s="327" t="s">
        <v>531</v>
      </c>
      <c r="L80" s="348">
        <f t="shared" si="17"/>
        <v>138243</v>
      </c>
      <c r="M80" s="355"/>
      <c r="N80" s="355" t="str">
        <f t="shared" si="16"/>
        <v>PR</v>
      </c>
      <c r="O80" s="347">
        <v>19</v>
      </c>
      <c r="P80" s="325"/>
      <c r="Q80" s="351"/>
      <c r="R80" s="351">
        <v>1</v>
      </c>
      <c r="S80" s="351">
        <v>5.8</v>
      </c>
      <c r="T80" s="351">
        <v>0.22700000000000001</v>
      </c>
      <c r="U80" s="329">
        <f>IF($N80=$N$4,IFERROR(INDEX(DanhMuc!$E$154:$E$165,MATCH(MID($B80,4,2),DanhMuc!$B$154:$B$165,0)),""),"")</f>
        <v>5700</v>
      </c>
      <c r="V80" s="325"/>
      <c r="W80" s="352" t="str">
        <f>+IF(AND($A80&lt;&gt;"",LEN($B80)&gt;=8,COUNTIF($B$6:$B80,$B80)=1),$W$5,"")</f>
        <v/>
      </c>
      <c r="X80" s="329" t="str">
        <f t="shared" si="18"/>
        <v>XF</v>
      </c>
      <c r="Y80" s="1128" t="s">
        <v>3380</v>
      </c>
      <c r="Z80" s="1128" t="s">
        <v>3381</v>
      </c>
      <c r="AA80" s="1128" t="s">
        <v>3384</v>
      </c>
      <c r="AC80" s="73"/>
    </row>
    <row r="81" spans="1:29" s="20" customFormat="1">
      <c r="A81" s="327" t="str">
        <f>IF(AND($B81&lt;&gt;"",$C81&lt;&gt;""),MAX($A$4:A80)+1,"")</f>
        <v/>
      </c>
      <c r="B81" s="361" t="s">
        <v>684</v>
      </c>
      <c r="C81" s="364"/>
      <c r="D81" s="327">
        <f>IF($B81="","",COUNTIF($B$6:$B81,$B81))</f>
        <v>15</v>
      </c>
      <c r="E81" s="361" t="s">
        <v>385</v>
      </c>
      <c r="F81" s="362" t="s">
        <v>386</v>
      </c>
      <c r="G81" s="327" t="s">
        <v>328</v>
      </c>
      <c r="H81" s="325"/>
      <c r="I81" s="327">
        <v>6</v>
      </c>
      <c r="J81" s="361" t="s">
        <v>703</v>
      </c>
      <c r="K81" s="327" t="s">
        <v>531</v>
      </c>
      <c r="L81" s="348">
        <f t="shared" si="17"/>
        <v>138243</v>
      </c>
      <c r="M81" s="355"/>
      <c r="N81" s="355" t="str">
        <f t="shared" si="16"/>
        <v>PR</v>
      </c>
      <c r="O81" s="347">
        <v>19</v>
      </c>
      <c r="P81" s="325"/>
      <c r="Q81" s="351"/>
      <c r="R81" s="351">
        <v>1</v>
      </c>
      <c r="S81" s="351">
        <v>5.8</v>
      </c>
      <c r="T81" s="351">
        <v>0.22700000000000001</v>
      </c>
      <c r="U81" s="329">
        <f>IF($N81=$N$4,IFERROR(INDEX(DanhMuc!$E$154:$E$165,MATCH(MID($B81,4,2),DanhMuc!$B$154:$B$165,0)),""),"")</f>
        <v>5700</v>
      </c>
      <c r="V81" s="325"/>
      <c r="W81" s="352" t="str">
        <f>+IF(AND($A81&lt;&gt;"",LEN($B81)&gt;=8,COUNTIF($B$6:$B81,$B81)=1),$W$5,"")</f>
        <v/>
      </c>
      <c r="X81" s="329" t="str">
        <f t="shared" si="18"/>
        <v>XF</v>
      </c>
      <c r="Y81" s="1128" t="s">
        <v>3380</v>
      </c>
      <c r="Z81" s="1128" t="s">
        <v>3381</v>
      </c>
      <c r="AA81" s="1128" t="s">
        <v>3384</v>
      </c>
      <c r="AC81" s="73"/>
    </row>
    <row r="82" spans="1:29" s="20" customFormat="1">
      <c r="A82" s="327" t="str">
        <f>IF(AND($B82&lt;&gt;"",$C82&lt;&gt;""),MAX($A$4:A81)+1,"")</f>
        <v/>
      </c>
      <c r="B82" s="361" t="s">
        <v>684</v>
      </c>
      <c r="C82" s="364"/>
      <c r="D82" s="327">
        <f>IF($B82="","",COUNTIF($B$6:$B82,$B82))</f>
        <v>16</v>
      </c>
      <c r="E82" s="361" t="s">
        <v>630</v>
      </c>
      <c r="F82" s="362" t="s">
        <v>631</v>
      </c>
      <c r="G82" s="327" t="s">
        <v>329</v>
      </c>
      <c r="H82" s="325"/>
      <c r="I82" s="327">
        <v>2</v>
      </c>
      <c r="J82" s="361" t="s">
        <v>2824</v>
      </c>
      <c r="K82" s="327" t="s">
        <v>531</v>
      </c>
      <c r="L82" s="348">
        <f t="shared" si="17"/>
        <v>135807</v>
      </c>
      <c r="M82" s="355"/>
      <c r="N82" s="355" t="str">
        <f t="shared" si="16"/>
        <v>PR</v>
      </c>
      <c r="O82" s="347">
        <v>20</v>
      </c>
      <c r="P82" s="325"/>
      <c r="Q82" s="351"/>
      <c r="R82" s="351">
        <v>1</v>
      </c>
      <c r="S82" s="351">
        <v>5.8</v>
      </c>
      <c r="T82" s="351">
        <v>0.223</v>
      </c>
      <c r="U82" s="329">
        <f>IF($N82=$N$4,IFERROR(INDEX(DanhMuc!$E$154:$E$165,MATCH(MID($B82,4,2),DanhMuc!$B$154:$B$165,0)),""),"")</f>
        <v>5700</v>
      </c>
      <c r="V82" s="325"/>
      <c r="W82" s="352" t="str">
        <f>+IF(AND($A82&lt;&gt;"",LEN($B82)&gt;=8,COUNTIF($B$6:$B82,$B82)=1),$W$5,"")</f>
        <v/>
      </c>
      <c r="X82" s="329" t="str">
        <f t="shared" si="18"/>
        <v>XF</v>
      </c>
      <c r="Y82" s="1128" t="s">
        <v>3380</v>
      </c>
      <c r="Z82" s="1128" t="s">
        <v>3381</v>
      </c>
      <c r="AA82" s="1128" t="s">
        <v>3384</v>
      </c>
      <c r="AC82" s="73"/>
    </row>
    <row r="83" spans="1:29" s="20" customFormat="1">
      <c r="A83" s="327" t="str">
        <f>IF(AND($B83&lt;&gt;"",$C83&lt;&gt;""),MAX($A$4:A82)+1,"")</f>
        <v/>
      </c>
      <c r="B83" s="361" t="s">
        <v>684</v>
      </c>
      <c r="C83" s="364"/>
      <c r="D83" s="327">
        <f>IF($B83="","",COUNTIF($B$6:$B83,$B83))</f>
        <v>17</v>
      </c>
      <c r="E83" s="361" t="s">
        <v>630</v>
      </c>
      <c r="F83" s="362" t="s">
        <v>631</v>
      </c>
      <c r="G83" s="327" t="s">
        <v>329</v>
      </c>
      <c r="H83" s="325"/>
      <c r="I83" s="327">
        <v>4</v>
      </c>
      <c r="J83" s="361" t="s">
        <v>2825</v>
      </c>
      <c r="K83" s="327" t="s">
        <v>531</v>
      </c>
      <c r="L83" s="348">
        <f t="shared" si="17"/>
        <v>135807</v>
      </c>
      <c r="M83" s="355"/>
      <c r="N83" s="355" t="str">
        <f t="shared" si="16"/>
        <v>PR</v>
      </c>
      <c r="O83" s="347">
        <v>20</v>
      </c>
      <c r="P83" s="325"/>
      <c r="Q83" s="351"/>
      <c r="R83" s="351">
        <v>1</v>
      </c>
      <c r="S83" s="351">
        <v>5.8</v>
      </c>
      <c r="T83" s="351">
        <v>0.223</v>
      </c>
      <c r="U83" s="329">
        <f>IF($N83=$N$4,IFERROR(INDEX(DanhMuc!$E$154:$E$165,MATCH(MID($B83,4,2),DanhMuc!$B$154:$B$165,0)),""),"")</f>
        <v>5700</v>
      </c>
      <c r="V83" s="325"/>
      <c r="W83" s="352" t="str">
        <f>+IF(AND($A83&lt;&gt;"",LEN($B83)&gt;=8,COUNTIF($B$6:$B83,$B83)=1),$W$5,"")</f>
        <v/>
      </c>
      <c r="X83" s="329" t="str">
        <f t="shared" si="18"/>
        <v>XF</v>
      </c>
      <c r="Y83" s="1128" t="s">
        <v>3380</v>
      </c>
      <c r="Z83" s="1128" t="s">
        <v>3381</v>
      </c>
      <c r="AA83" s="1128" t="s">
        <v>3384</v>
      </c>
      <c r="AC83" s="73"/>
    </row>
    <row r="84" spans="1:29" s="20" customFormat="1">
      <c r="A84" s="327" t="str">
        <f>IF(AND($B84&lt;&gt;"",$C84&lt;&gt;""),MAX($A$4:A83)+1,"")</f>
        <v/>
      </c>
      <c r="B84" s="361" t="s">
        <v>684</v>
      </c>
      <c r="C84" s="364"/>
      <c r="D84" s="327">
        <f>IF($B84="","",COUNTIF($B$6:$B84,$B84))</f>
        <v>18</v>
      </c>
      <c r="E84" s="361" t="s">
        <v>630</v>
      </c>
      <c r="F84" s="362" t="s">
        <v>631</v>
      </c>
      <c r="G84" s="327" t="s">
        <v>328</v>
      </c>
      <c r="H84" s="325"/>
      <c r="I84" s="327">
        <v>6</v>
      </c>
      <c r="J84" s="361" t="s">
        <v>703</v>
      </c>
      <c r="K84" s="327" t="s">
        <v>531</v>
      </c>
      <c r="L84" s="348">
        <f t="shared" si="17"/>
        <v>135807</v>
      </c>
      <c r="M84" s="355"/>
      <c r="N84" s="355" t="str">
        <f t="shared" si="16"/>
        <v>PR</v>
      </c>
      <c r="O84" s="347">
        <v>20</v>
      </c>
      <c r="P84" s="325"/>
      <c r="Q84" s="351"/>
      <c r="R84" s="351">
        <v>1</v>
      </c>
      <c r="S84" s="351">
        <v>5.8</v>
      </c>
      <c r="T84" s="351">
        <v>0.223</v>
      </c>
      <c r="U84" s="329">
        <f>IF($N84=$N$4,IFERROR(INDEX(DanhMuc!$E$154:$E$165,MATCH(MID($B84,4,2),DanhMuc!$B$154:$B$165,0)),""),"")</f>
        <v>5700</v>
      </c>
      <c r="V84" s="325"/>
      <c r="W84" s="352" t="str">
        <f>+IF(AND($A84&lt;&gt;"",LEN($B84)&gt;=8,COUNTIF($B$6:$B84,$B84)=1),$W$5,"")</f>
        <v/>
      </c>
      <c r="X84" s="329" t="str">
        <f t="shared" si="18"/>
        <v>XF</v>
      </c>
      <c r="Y84" s="1128" t="s">
        <v>3380</v>
      </c>
      <c r="Z84" s="1128" t="s">
        <v>3381</v>
      </c>
      <c r="AA84" s="1128" t="s">
        <v>3384</v>
      </c>
      <c r="AC84" s="73"/>
    </row>
    <row r="85" spans="1:29" s="20" customFormat="1" ht="26">
      <c r="A85" s="327">
        <f>IF(AND($B85&lt;&gt;"",$C85&lt;&gt;""),MAX($A$4:A84)+1,"")</f>
        <v>13</v>
      </c>
      <c r="B85" s="359" t="s">
        <v>216</v>
      </c>
      <c r="C85" s="360" t="s">
        <v>1530</v>
      </c>
      <c r="D85" s="327">
        <f>IF($B85="","",COUNTIF($B$6:$B85,$B85))</f>
        <v>1</v>
      </c>
      <c r="E85" s="363" t="s">
        <v>23</v>
      </c>
      <c r="F85" s="362" t="s">
        <v>347</v>
      </c>
      <c r="G85" s="327" t="s">
        <v>330</v>
      </c>
      <c r="H85" s="325"/>
      <c r="I85" s="327">
        <v>1</v>
      </c>
      <c r="J85" s="361" t="s">
        <v>81</v>
      </c>
      <c r="K85" s="327" t="s">
        <v>516</v>
      </c>
      <c r="L85" s="348">
        <f t="shared" si="17"/>
        <v>765513</v>
      </c>
      <c r="M85" s="371"/>
      <c r="N85" s="355" t="str">
        <f t="shared" si="16"/>
        <v>PR</v>
      </c>
      <c r="O85" s="347"/>
      <c r="P85" s="325"/>
      <c r="Q85" s="351">
        <v>41</v>
      </c>
      <c r="R85" s="351">
        <v>2</v>
      </c>
      <c r="S85" s="351">
        <v>5.8</v>
      </c>
      <c r="T85" s="351">
        <v>1.2569999999999999</v>
      </c>
      <c r="U85" s="329">
        <f>IF($N85=$N$4,IFERROR(INDEX(DanhMuc!$E$154:$E$165,MATCH(MID($B85,4,2),DanhMuc!$B$154:$B$165,0)),""),"")</f>
        <v>5700</v>
      </c>
      <c r="V85" s="325"/>
      <c r="W85" s="352" t="str">
        <f>+IF(AND($A85&lt;&gt;"",LEN($B85)&gt;=8,COUNTIF($B$6:$B85,$B85)=1),$W$5,"")</f>
        <v>DMCua</v>
      </c>
      <c r="X85" s="329" t="str">
        <f t="shared" si="18"/>
        <v>XF</v>
      </c>
      <c r="Y85" s="1128" t="s">
        <v>3380</v>
      </c>
      <c r="Z85" s="1128" t="s">
        <v>3381</v>
      </c>
      <c r="AA85" s="1128" t="s">
        <v>3384</v>
      </c>
      <c r="AC85" s="73"/>
    </row>
    <row r="86" spans="1:29" s="20" customFormat="1">
      <c r="A86" s="327" t="str">
        <f>IF(AND($B86&lt;&gt;"",$C86&lt;&gt;""),MAX($A$4:A85)+1,"")</f>
        <v/>
      </c>
      <c r="B86" s="361" t="s">
        <v>216</v>
      </c>
      <c r="C86" s="364"/>
      <c r="D86" s="327">
        <f>IF($B86="","",COUNTIF($B$6:$B86,$B86))</f>
        <v>2</v>
      </c>
      <c r="E86" s="361" t="s">
        <v>23</v>
      </c>
      <c r="F86" s="362" t="s">
        <v>347</v>
      </c>
      <c r="G86" s="327" t="s">
        <v>328</v>
      </c>
      <c r="H86" s="325"/>
      <c r="I86" s="327">
        <v>2</v>
      </c>
      <c r="J86" s="361" t="s">
        <v>80</v>
      </c>
      <c r="K86" s="327" t="s">
        <v>1141</v>
      </c>
      <c r="L86" s="348">
        <f t="shared" si="17"/>
        <v>765513</v>
      </c>
      <c r="M86" s="371"/>
      <c r="N86" s="355" t="str">
        <f t="shared" si="16"/>
        <v>PR</v>
      </c>
      <c r="O86" s="347"/>
      <c r="P86" s="325"/>
      <c r="Q86" s="351">
        <v>41</v>
      </c>
      <c r="R86" s="351">
        <v>2</v>
      </c>
      <c r="S86" s="351">
        <v>5.8</v>
      </c>
      <c r="T86" s="351">
        <v>1.2569999999999999</v>
      </c>
      <c r="U86" s="329">
        <f>IF($N86=$N$4,IFERROR(INDEX(DanhMuc!$E$154:$E$165,MATCH(MID($B86,4,2),DanhMuc!$B$154:$B$165,0)),""),"")</f>
        <v>5700</v>
      </c>
      <c r="V86" s="325"/>
      <c r="W86" s="352" t="str">
        <f>+IF(AND($A86&lt;&gt;"",LEN($B86)&gt;=8,COUNTIF($B$6:$B86,$B86)=1),$W$5,"")</f>
        <v/>
      </c>
      <c r="X86" s="329" t="str">
        <f t="shared" si="18"/>
        <v>XF</v>
      </c>
      <c r="Y86" s="1128" t="s">
        <v>3380</v>
      </c>
      <c r="Z86" s="1128" t="s">
        <v>3381</v>
      </c>
      <c r="AA86" s="1128" t="s">
        <v>3384</v>
      </c>
      <c r="AC86" s="73"/>
    </row>
    <row r="87" spans="1:29" s="20" customFormat="1">
      <c r="A87" s="327" t="str">
        <f>IF(AND($B87&lt;&gt;"",$C87&lt;&gt;""),MAX($A$4:A86)+1,"")</f>
        <v/>
      </c>
      <c r="B87" s="361" t="s">
        <v>216</v>
      </c>
      <c r="C87" s="364"/>
      <c r="D87" s="327">
        <f>IF($B87="","",COUNTIF($B$6:$B87,$B87))</f>
        <v>3</v>
      </c>
      <c r="E87" s="361" t="s">
        <v>15</v>
      </c>
      <c r="F87" s="362" t="s">
        <v>78</v>
      </c>
      <c r="G87" s="327" t="s">
        <v>329</v>
      </c>
      <c r="H87" s="325"/>
      <c r="I87" s="327">
        <v>4</v>
      </c>
      <c r="J87" s="361" t="s">
        <v>2826</v>
      </c>
      <c r="K87" s="327" t="s">
        <v>516</v>
      </c>
      <c r="L87" s="348">
        <f t="shared" si="17"/>
        <v>878178</v>
      </c>
      <c r="M87" s="371"/>
      <c r="N87" s="355" t="str">
        <f t="shared" si="16"/>
        <v>PR</v>
      </c>
      <c r="O87" s="345" t="s">
        <v>16</v>
      </c>
      <c r="P87" s="325"/>
      <c r="Q87" s="351"/>
      <c r="R87" s="351">
        <v>2</v>
      </c>
      <c r="S87" s="351">
        <v>5.8</v>
      </c>
      <c r="T87" s="351">
        <v>1.4419999999999999</v>
      </c>
      <c r="U87" s="329">
        <f>IF($N87=$N$4,IFERROR(INDEX(DanhMuc!$E$154:$E$165,MATCH(MID($B87,4,2),DanhMuc!$B$154:$B$165,0)),""),"")</f>
        <v>5700</v>
      </c>
      <c r="V87" s="325"/>
      <c r="W87" s="352" t="str">
        <f>+IF(AND($A87&lt;&gt;"",LEN($B87)&gt;=8,COUNTIF($B$6:$B87,$B87)=1),$W$5,"")</f>
        <v/>
      </c>
      <c r="X87" s="329" t="str">
        <f t="shared" si="18"/>
        <v>XF</v>
      </c>
      <c r="Y87" s="1128" t="s">
        <v>3380</v>
      </c>
      <c r="Z87" s="1128" t="s">
        <v>3381</v>
      </c>
      <c r="AA87" s="1128" t="s">
        <v>3384</v>
      </c>
      <c r="AC87" s="73"/>
    </row>
    <row r="88" spans="1:29" s="20" customFormat="1">
      <c r="A88" s="327" t="str">
        <f>IF(AND($B88&lt;&gt;"",$C88&lt;&gt;""),MAX($A$4:A87)+1,"")</f>
        <v/>
      </c>
      <c r="B88" s="361" t="s">
        <v>216</v>
      </c>
      <c r="C88" s="364"/>
      <c r="D88" s="327">
        <f>IF($B88="","",COUNTIF($B$6:$B88,$B88))</f>
        <v>4</v>
      </c>
      <c r="E88" s="361" t="s">
        <v>15</v>
      </c>
      <c r="F88" s="362" t="s">
        <v>78</v>
      </c>
      <c r="G88" s="327" t="s">
        <v>329</v>
      </c>
      <c r="H88" s="325"/>
      <c r="I88" s="327">
        <v>4</v>
      </c>
      <c r="J88" s="361" t="s">
        <v>2827</v>
      </c>
      <c r="K88" s="327" t="s">
        <v>516</v>
      </c>
      <c r="L88" s="348">
        <f t="shared" si="17"/>
        <v>878178</v>
      </c>
      <c r="M88" s="371"/>
      <c r="N88" s="355" t="str">
        <f t="shared" si="16"/>
        <v>PR</v>
      </c>
      <c r="O88" s="345" t="s">
        <v>16</v>
      </c>
      <c r="P88" s="325"/>
      <c r="Q88" s="351"/>
      <c r="R88" s="351">
        <v>2</v>
      </c>
      <c r="S88" s="351">
        <v>5.8</v>
      </c>
      <c r="T88" s="351">
        <v>1.4419999999999999</v>
      </c>
      <c r="U88" s="329">
        <f>IF($N88=$N$4,IFERROR(INDEX(DanhMuc!$E$154:$E$165,MATCH(MID($B88,4,2),DanhMuc!$B$154:$B$165,0)),""),"")</f>
        <v>5700</v>
      </c>
      <c r="V88" s="325"/>
      <c r="W88" s="352" t="str">
        <f>+IF(AND($A88&lt;&gt;"",LEN($B88)&gt;=8,COUNTIF($B$6:$B88,$B88)=1),$W$5,"")</f>
        <v/>
      </c>
      <c r="X88" s="329" t="str">
        <f t="shared" si="18"/>
        <v>XF</v>
      </c>
      <c r="Y88" s="1128" t="s">
        <v>3380</v>
      </c>
      <c r="Z88" s="1128" t="s">
        <v>3381</v>
      </c>
      <c r="AA88" s="1128" t="s">
        <v>3384</v>
      </c>
      <c r="AC88" s="73"/>
    </row>
    <row r="89" spans="1:29" s="20" customFormat="1">
      <c r="A89" s="327" t="str">
        <f>IF(AND($B89&lt;&gt;"",$C89&lt;&gt;""),MAX($A$4:A88)+1,"")</f>
        <v/>
      </c>
      <c r="B89" s="361" t="s">
        <v>216</v>
      </c>
      <c r="C89" s="364"/>
      <c r="D89" s="327">
        <f>IF($B89="","",COUNTIF($B$6:$B89,$B89))</f>
        <v>5</v>
      </c>
      <c r="E89" s="361" t="s">
        <v>15</v>
      </c>
      <c r="F89" s="362" t="s">
        <v>78</v>
      </c>
      <c r="G89" s="327" t="s">
        <v>328</v>
      </c>
      <c r="H89" s="325"/>
      <c r="I89" s="327">
        <v>8</v>
      </c>
      <c r="J89" s="361" t="s">
        <v>648</v>
      </c>
      <c r="K89" s="327" t="s">
        <v>516</v>
      </c>
      <c r="L89" s="348">
        <f t="shared" si="17"/>
        <v>878178</v>
      </c>
      <c r="M89" s="371"/>
      <c r="N89" s="355" t="str">
        <f t="shared" si="16"/>
        <v>PR</v>
      </c>
      <c r="O89" s="345" t="s">
        <v>16</v>
      </c>
      <c r="P89" s="325"/>
      <c r="Q89" s="351"/>
      <c r="R89" s="351">
        <v>2</v>
      </c>
      <c r="S89" s="351">
        <v>5.8</v>
      </c>
      <c r="T89" s="351">
        <v>1.4419999999999999</v>
      </c>
      <c r="U89" s="329">
        <f>IF($N89=$N$4,IFERROR(INDEX(DanhMuc!$E$154:$E$165,MATCH(MID($B89,4,2),DanhMuc!$B$154:$B$165,0)),""),"")</f>
        <v>5700</v>
      </c>
      <c r="V89" s="325"/>
      <c r="W89" s="352" t="str">
        <f>+IF(AND($A89&lt;&gt;"",LEN($B89)&gt;=8,COUNTIF($B$6:$B89,$B89)=1),$W$5,"")</f>
        <v/>
      </c>
      <c r="X89" s="329" t="str">
        <f t="shared" si="18"/>
        <v>XF</v>
      </c>
      <c r="Y89" s="1128" t="s">
        <v>3380</v>
      </c>
      <c r="Z89" s="1128" t="s">
        <v>3381</v>
      </c>
      <c r="AA89" s="1128" t="s">
        <v>3384</v>
      </c>
      <c r="AC89" s="73"/>
    </row>
    <row r="90" spans="1:29" s="20" customFormat="1">
      <c r="A90" s="327" t="str">
        <f>IF(AND($B90&lt;&gt;"",$C90&lt;&gt;""),MAX($A$4:A89)+1,"")</f>
        <v/>
      </c>
      <c r="B90" s="361" t="s">
        <v>216</v>
      </c>
      <c r="C90" s="364"/>
      <c r="D90" s="327">
        <f>IF($B90="","",COUNTIF($B$6:$B90,$B90))</f>
        <v>6</v>
      </c>
      <c r="E90" s="361" t="s">
        <v>18</v>
      </c>
      <c r="F90" s="362" t="s">
        <v>77</v>
      </c>
      <c r="G90" s="327" t="s">
        <v>329</v>
      </c>
      <c r="H90" s="325"/>
      <c r="I90" s="327">
        <v>4</v>
      </c>
      <c r="J90" s="361" t="s">
        <v>2826</v>
      </c>
      <c r="K90" s="327" t="s">
        <v>516</v>
      </c>
      <c r="L90" s="348">
        <f t="shared" si="17"/>
        <v>877568.99999999988</v>
      </c>
      <c r="M90" s="355"/>
      <c r="N90" s="355" t="str">
        <f t="shared" si="16"/>
        <v>PR</v>
      </c>
      <c r="O90" s="345" t="s">
        <v>19</v>
      </c>
      <c r="P90" s="325"/>
      <c r="Q90" s="351"/>
      <c r="R90" s="351">
        <v>2</v>
      </c>
      <c r="S90" s="351">
        <v>5.8</v>
      </c>
      <c r="T90" s="351">
        <v>1.4410000000000001</v>
      </c>
      <c r="U90" s="329">
        <f>IF($N90=$N$4,IFERROR(INDEX(DanhMuc!$E$154:$E$165,MATCH(MID($B90,4,2),DanhMuc!$B$154:$B$165,0)),""),"")</f>
        <v>5700</v>
      </c>
      <c r="V90" s="325"/>
      <c r="W90" s="352" t="str">
        <f>+IF(AND($A90&lt;&gt;"",LEN($B90)&gt;=8,COUNTIF($B$6:$B90,$B90)=1),$W$5,"")</f>
        <v/>
      </c>
      <c r="X90" s="329" t="str">
        <f t="shared" si="18"/>
        <v>XF</v>
      </c>
      <c r="Y90" s="1128" t="s">
        <v>3380</v>
      </c>
      <c r="Z90" s="1128" t="s">
        <v>3381</v>
      </c>
      <c r="AA90" s="1128" t="s">
        <v>3384</v>
      </c>
      <c r="AC90" s="73"/>
    </row>
    <row r="91" spans="1:29" s="20" customFormat="1">
      <c r="A91" s="327" t="str">
        <f>IF(AND($B91&lt;&gt;"",$C91&lt;&gt;""),MAX($A$4:A90)+1,"")</f>
        <v/>
      </c>
      <c r="B91" s="361" t="s">
        <v>216</v>
      </c>
      <c r="C91" s="364"/>
      <c r="D91" s="327">
        <f>IF($B91="","",COUNTIF($B$6:$B91,$B91))</f>
        <v>7</v>
      </c>
      <c r="E91" s="361" t="s">
        <v>18</v>
      </c>
      <c r="F91" s="362" t="s">
        <v>77</v>
      </c>
      <c r="G91" s="327" t="s">
        <v>329</v>
      </c>
      <c r="H91" s="325"/>
      <c r="I91" s="327">
        <v>4</v>
      </c>
      <c r="J91" s="361" t="s">
        <v>2827</v>
      </c>
      <c r="K91" s="327" t="s">
        <v>516</v>
      </c>
      <c r="L91" s="348">
        <f t="shared" si="17"/>
        <v>877568.99999999988</v>
      </c>
      <c r="M91" s="355"/>
      <c r="N91" s="355" t="str">
        <f t="shared" si="16"/>
        <v>PR</v>
      </c>
      <c r="O91" s="345" t="s">
        <v>19</v>
      </c>
      <c r="P91" s="325"/>
      <c r="Q91" s="351"/>
      <c r="R91" s="351">
        <v>2</v>
      </c>
      <c r="S91" s="351">
        <v>5.8</v>
      </c>
      <c r="T91" s="351">
        <v>1.4410000000000001</v>
      </c>
      <c r="U91" s="329">
        <f>IF($N91=$N$4,IFERROR(INDEX(DanhMuc!$E$154:$E$165,MATCH(MID($B91,4,2),DanhMuc!$B$154:$B$165,0)),""),"")</f>
        <v>5700</v>
      </c>
      <c r="V91" s="325"/>
      <c r="W91" s="352" t="str">
        <f>+IF(AND($A91&lt;&gt;"",LEN($B91)&gt;=8,COUNTIF($B$6:$B91,$B91)=1),$W$5,"")</f>
        <v/>
      </c>
      <c r="X91" s="329" t="str">
        <f t="shared" si="18"/>
        <v>XF</v>
      </c>
      <c r="Y91" s="1128" t="s">
        <v>3380</v>
      </c>
      <c r="Z91" s="1128" t="s">
        <v>3381</v>
      </c>
      <c r="AA91" s="1128" t="s">
        <v>3384</v>
      </c>
      <c r="AC91" s="73"/>
    </row>
    <row r="92" spans="1:29" s="20" customFormat="1">
      <c r="A92" s="327" t="str">
        <f>IF(AND($B92&lt;&gt;"",$C92&lt;&gt;""),MAX($A$4:A91)+1,"")</f>
        <v/>
      </c>
      <c r="B92" s="361" t="s">
        <v>216</v>
      </c>
      <c r="C92" s="364"/>
      <c r="D92" s="327">
        <f>IF($B92="","",COUNTIF($B$6:$B92,$B92))</f>
        <v>8</v>
      </c>
      <c r="E92" s="361" t="s">
        <v>18</v>
      </c>
      <c r="F92" s="362" t="s">
        <v>77</v>
      </c>
      <c r="G92" s="327" t="s">
        <v>328</v>
      </c>
      <c r="H92" s="325"/>
      <c r="I92" s="327">
        <v>8</v>
      </c>
      <c r="J92" s="361" t="s">
        <v>648</v>
      </c>
      <c r="K92" s="327" t="s">
        <v>516</v>
      </c>
      <c r="L92" s="348">
        <f t="shared" si="17"/>
        <v>877568.99999999988</v>
      </c>
      <c r="M92" s="355"/>
      <c r="N92" s="355" t="str">
        <f t="shared" si="16"/>
        <v>PR</v>
      </c>
      <c r="O92" s="345" t="s">
        <v>19</v>
      </c>
      <c r="P92" s="325"/>
      <c r="Q92" s="351"/>
      <c r="R92" s="351">
        <v>2</v>
      </c>
      <c r="S92" s="351">
        <v>5.8</v>
      </c>
      <c r="T92" s="351">
        <v>1.4410000000000001</v>
      </c>
      <c r="U92" s="329">
        <f>IF($N92=$N$4,IFERROR(INDEX(DanhMuc!$E$154:$E$165,MATCH(MID($B92,4,2),DanhMuc!$B$154:$B$165,0)),""),"")</f>
        <v>5700</v>
      </c>
      <c r="V92" s="325"/>
      <c r="W92" s="352" t="str">
        <f>+IF(AND($A92&lt;&gt;"",LEN($B92)&gt;=8,COUNTIF($B$6:$B92,$B92)=1),$W$5,"")</f>
        <v/>
      </c>
      <c r="X92" s="329" t="str">
        <f t="shared" si="18"/>
        <v>XF</v>
      </c>
      <c r="Y92" s="1128" t="s">
        <v>3380</v>
      </c>
      <c r="Z92" s="1128" t="s">
        <v>3381</v>
      </c>
      <c r="AA92" s="1128" t="s">
        <v>3384</v>
      </c>
      <c r="AC92" s="73"/>
    </row>
    <row r="93" spans="1:29" s="22" customFormat="1" ht="25">
      <c r="A93" s="327" t="str">
        <f>IF(AND($B93&lt;&gt;"",$C93&lt;&gt;""),MAX($A$4:A92)+1,"")</f>
        <v/>
      </c>
      <c r="B93" s="365" t="s">
        <v>216</v>
      </c>
      <c r="C93" s="366"/>
      <c r="D93" s="367">
        <f>IF($B93="","",COUNTIF($B$6:$B93,$B93))</f>
        <v>9</v>
      </c>
      <c r="E93" s="365" t="s">
        <v>628</v>
      </c>
      <c r="F93" s="368" t="s">
        <v>629</v>
      </c>
      <c r="G93" s="367" t="s">
        <v>329</v>
      </c>
      <c r="H93" s="325"/>
      <c r="I93" s="367">
        <v>2</v>
      </c>
      <c r="J93" s="365" t="s">
        <v>2828</v>
      </c>
      <c r="K93" s="367" t="s">
        <v>516</v>
      </c>
      <c r="L93" s="348">
        <f t="shared" si="17"/>
        <v>289883.99999999994</v>
      </c>
      <c r="M93" s="372"/>
      <c r="N93" s="369" t="str">
        <f t="shared" si="16"/>
        <v>PR</v>
      </c>
      <c r="O93" s="347" t="s">
        <v>1475</v>
      </c>
      <c r="P93" s="329"/>
      <c r="Q93" s="367"/>
      <c r="R93" s="351">
        <v>1.5</v>
      </c>
      <c r="S93" s="351">
        <v>5.8</v>
      </c>
      <c r="T93" s="351">
        <v>0.47599999999999998</v>
      </c>
      <c r="U93" s="329">
        <f>IF($N93=$N$4,IFERROR(INDEX(DanhMuc!$E$154:$E$165,MATCH(MID($B93,4,2),DanhMuc!$B$154:$B$165,0)),""),"")</f>
        <v>5700</v>
      </c>
      <c r="V93" s="329"/>
      <c r="W93" s="352" t="str">
        <f>+IF(AND($A93&lt;&gt;"",LEN($B93)&gt;=8,COUNTIF($B$6:$B93,$B93)=1),$W$5,"")</f>
        <v/>
      </c>
      <c r="X93" s="329" t="str">
        <f t="shared" si="18"/>
        <v>XF</v>
      </c>
      <c r="Y93" s="1128" t="s">
        <v>3380</v>
      </c>
      <c r="Z93" s="1128" t="s">
        <v>3381</v>
      </c>
      <c r="AA93" s="1128" t="s">
        <v>3384</v>
      </c>
      <c r="AB93" s="20"/>
      <c r="AC93" s="73"/>
    </row>
    <row r="94" spans="1:29" s="22" customFormat="1" ht="25">
      <c r="A94" s="327" t="str">
        <f>IF(AND($B94&lt;&gt;"",$C94&lt;&gt;""),MAX($A$4:A93)+1,"")</f>
        <v/>
      </c>
      <c r="B94" s="365" t="s">
        <v>216</v>
      </c>
      <c r="C94" s="366"/>
      <c r="D94" s="367">
        <f>IF($B94="","",COUNTIF($B$6:$B94,$B94))</f>
        <v>10</v>
      </c>
      <c r="E94" s="365" t="s">
        <v>628</v>
      </c>
      <c r="F94" s="368" t="s">
        <v>629</v>
      </c>
      <c r="G94" s="367" t="s">
        <v>329</v>
      </c>
      <c r="H94" s="325"/>
      <c r="I94" s="367">
        <v>2</v>
      </c>
      <c r="J94" s="365" t="s">
        <v>2829</v>
      </c>
      <c r="K94" s="367" t="s">
        <v>516</v>
      </c>
      <c r="L94" s="348">
        <f t="shared" si="17"/>
        <v>289883.99999999994</v>
      </c>
      <c r="M94" s="372"/>
      <c r="N94" s="369" t="str">
        <f t="shared" si="16"/>
        <v>PR</v>
      </c>
      <c r="O94" s="347" t="s">
        <v>1475</v>
      </c>
      <c r="P94" s="329"/>
      <c r="Q94" s="367"/>
      <c r="R94" s="351">
        <v>1.5</v>
      </c>
      <c r="S94" s="351">
        <v>5.8</v>
      </c>
      <c r="T94" s="351">
        <v>0.47599999999999998</v>
      </c>
      <c r="U94" s="329">
        <f>IF($N94=$N$4,IFERROR(INDEX(DanhMuc!$E$154:$E$165,MATCH(MID($B94,4,2),DanhMuc!$B$154:$B$165,0)),""),"")</f>
        <v>5700</v>
      </c>
      <c r="V94" s="329"/>
      <c r="W94" s="352" t="str">
        <f>+IF(AND($A94&lt;&gt;"",LEN($B94)&gt;=8,COUNTIF($B$6:$B94,$B94)=1),$W$5,"")</f>
        <v/>
      </c>
      <c r="X94" s="329" t="str">
        <f t="shared" si="18"/>
        <v>XF</v>
      </c>
      <c r="Y94" s="1128" t="s">
        <v>3380</v>
      </c>
      <c r="Z94" s="1128" t="s">
        <v>3381</v>
      </c>
      <c r="AA94" s="1128" t="s">
        <v>3384</v>
      </c>
      <c r="AB94" s="20"/>
      <c r="AC94" s="73"/>
    </row>
    <row r="95" spans="1:29" s="22" customFormat="1">
      <c r="A95" s="327" t="str">
        <f>IF(AND($B95&lt;&gt;"",$C95&lt;&gt;""),MAX($A$4:A94)+1,"")</f>
        <v/>
      </c>
      <c r="B95" s="621" t="s">
        <v>216</v>
      </c>
      <c r="C95" s="622"/>
      <c r="D95" s="623">
        <f>IF($B95="","",COUNTIF($B$6:$B95,$B95))</f>
        <v>11</v>
      </c>
      <c r="E95" s="621" t="s">
        <v>623</v>
      </c>
      <c r="F95" s="624" t="s">
        <v>865</v>
      </c>
      <c r="G95" s="623" t="s">
        <v>329</v>
      </c>
      <c r="H95" s="325"/>
      <c r="I95" s="367">
        <v>1</v>
      </c>
      <c r="J95" s="365" t="s">
        <v>867</v>
      </c>
      <c r="K95" s="367" t="s">
        <v>531</v>
      </c>
      <c r="L95" s="625">
        <f t="shared" si="17"/>
        <v>536931.81818181812</v>
      </c>
      <c r="M95" s="369"/>
      <c r="N95" s="369" t="str">
        <f t="shared" si="16"/>
        <v>PR</v>
      </c>
      <c r="O95" s="347" t="s">
        <v>1476</v>
      </c>
      <c r="P95" s="626"/>
      <c r="Q95" s="623"/>
      <c r="R95" s="627"/>
      <c r="S95" s="627">
        <v>5.8</v>
      </c>
      <c r="T95" s="627">
        <v>0.8816614420062695</v>
      </c>
      <c r="U95" s="1041">
        <v>5800</v>
      </c>
      <c r="V95" s="329"/>
      <c r="W95" s="352" t="str">
        <f>+IF(AND($A95&lt;&gt;"",LEN($B95)&gt;=8,COUNTIF($B$6:$B95,$B95)=1),$W$5,"")</f>
        <v/>
      </c>
      <c r="X95" s="329" t="str">
        <f t="shared" si="18"/>
        <v>XF</v>
      </c>
      <c r="Y95" s="1128" t="s">
        <v>3380</v>
      </c>
      <c r="Z95" s="1128" t="s">
        <v>3381</v>
      </c>
      <c r="AA95" s="1128" t="s">
        <v>3384</v>
      </c>
      <c r="AB95" s="20"/>
      <c r="AC95" s="73"/>
    </row>
    <row r="96" spans="1:29" s="20" customFormat="1">
      <c r="A96" s="327" t="str">
        <f>IF(AND($B96&lt;&gt;"",$C96&lt;&gt;""),MAX($A$4:A95)+1,"")</f>
        <v/>
      </c>
      <c r="B96" s="361" t="s">
        <v>216</v>
      </c>
      <c r="C96" s="364"/>
      <c r="D96" s="327">
        <f>IF($B96="","",COUNTIF($B$6:$B96,$B96))</f>
        <v>12</v>
      </c>
      <c r="E96" s="361" t="s">
        <v>24</v>
      </c>
      <c r="F96" s="362" t="s">
        <v>82</v>
      </c>
      <c r="G96" s="327" t="s">
        <v>328</v>
      </c>
      <c r="H96" s="325"/>
      <c r="I96" s="327">
        <v>3</v>
      </c>
      <c r="J96" s="361" t="s">
        <v>2665</v>
      </c>
      <c r="K96" s="327" t="s">
        <v>531</v>
      </c>
      <c r="L96" s="348">
        <f t="shared" si="17"/>
        <v>542619</v>
      </c>
      <c r="M96" s="371"/>
      <c r="N96" s="355" t="str">
        <f t="shared" si="16"/>
        <v>PR</v>
      </c>
      <c r="O96" s="347"/>
      <c r="P96" s="325"/>
      <c r="Q96" s="351"/>
      <c r="R96" s="351">
        <v>1.8</v>
      </c>
      <c r="S96" s="351">
        <v>5.8</v>
      </c>
      <c r="T96" s="351">
        <v>0.89100000000000001</v>
      </c>
      <c r="U96" s="329">
        <f>IF($N96=$N$4,IFERROR(INDEX(DanhMuc!$E$154:$E$165,MATCH(MID($B96,4,2),DanhMuc!$B$154:$B$165,0)),""),"")</f>
        <v>5700</v>
      </c>
      <c r="V96" s="325"/>
      <c r="W96" s="352" t="str">
        <f>+IF(AND($A96&lt;&gt;"",LEN($B96)&gt;=8,COUNTIF($B$6:$B96,$B96)=1),$W$5,"")</f>
        <v/>
      </c>
      <c r="X96" s="329" t="str">
        <f t="shared" si="18"/>
        <v>XF</v>
      </c>
      <c r="Y96" s="1128" t="s">
        <v>3380</v>
      </c>
      <c r="Z96" s="1128" t="s">
        <v>3381</v>
      </c>
      <c r="AA96" s="1128" t="s">
        <v>3384</v>
      </c>
      <c r="AC96" s="73"/>
    </row>
    <row r="97" spans="1:29" s="20" customFormat="1">
      <c r="A97" s="327" t="str">
        <f>IF(AND($B97&lt;&gt;"",$C97&lt;&gt;""),MAX($A$4:A96)+1,"")</f>
        <v/>
      </c>
      <c r="B97" s="361" t="s">
        <v>216</v>
      </c>
      <c r="C97" s="364"/>
      <c r="D97" s="327">
        <f>IF($B97="","",COUNTIF($B$6:$B97,$B97))</f>
        <v>13</v>
      </c>
      <c r="E97" s="361" t="s">
        <v>27</v>
      </c>
      <c r="F97" s="362" t="s">
        <v>346</v>
      </c>
      <c r="G97" s="327" t="s">
        <v>329</v>
      </c>
      <c r="H97" s="325"/>
      <c r="I97" s="327">
        <v>4</v>
      </c>
      <c r="J97" s="361" t="s">
        <v>2830</v>
      </c>
      <c r="K97" s="327" t="s">
        <v>531</v>
      </c>
      <c r="L97" s="348">
        <f t="shared" si="17"/>
        <v>165039</v>
      </c>
      <c r="M97" s="371"/>
      <c r="N97" s="355" t="str">
        <f t="shared" si="16"/>
        <v>PR</v>
      </c>
      <c r="O97" s="347">
        <v>10</v>
      </c>
      <c r="P97" s="325"/>
      <c r="Q97" s="351"/>
      <c r="R97" s="351">
        <v>1</v>
      </c>
      <c r="S97" s="351">
        <v>5.8</v>
      </c>
      <c r="T97" s="351">
        <v>0.27100000000000002</v>
      </c>
      <c r="U97" s="329">
        <f>IF($N97=$N$4,IFERROR(INDEX(DanhMuc!$E$154:$E$165,MATCH(MID($B97,4,2),DanhMuc!$B$154:$B$165,0)),""),"")</f>
        <v>5700</v>
      </c>
      <c r="V97" s="325"/>
      <c r="W97" s="352" t="str">
        <f>+IF(AND($A97&lt;&gt;"",LEN($B97)&gt;=8,COUNTIF($B$6:$B97,$B97)=1),$W$5,"")</f>
        <v/>
      </c>
      <c r="X97" s="329" t="str">
        <f t="shared" si="18"/>
        <v>XF</v>
      </c>
      <c r="Y97" s="1128" t="s">
        <v>3380</v>
      </c>
      <c r="Z97" s="1128" t="s">
        <v>3381</v>
      </c>
      <c r="AA97" s="1128" t="s">
        <v>3384</v>
      </c>
      <c r="AC97" s="73"/>
    </row>
    <row r="98" spans="1:29" s="20" customFormat="1">
      <c r="A98" s="327" t="str">
        <f>IF(AND($B98&lt;&gt;"",$C98&lt;&gt;""),MAX($A$4:A97)+1,"")</f>
        <v/>
      </c>
      <c r="B98" s="361" t="s">
        <v>216</v>
      </c>
      <c r="C98" s="364"/>
      <c r="D98" s="327">
        <f>IF($B98="","",COUNTIF($B$6:$B98,$B98))</f>
        <v>14</v>
      </c>
      <c r="E98" s="361" t="s">
        <v>27</v>
      </c>
      <c r="F98" s="362" t="s">
        <v>346</v>
      </c>
      <c r="G98" s="327" t="s">
        <v>329</v>
      </c>
      <c r="H98" s="325"/>
      <c r="I98" s="327">
        <v>4</v>
      </c>
      <c r="J98" s="361" t="s">
        <v>2831</v>
      </c>
      <c r="K98" s="327" t="s">
        <v>531</v>
      </c>
      <c r="L98" s="348">
        <f t="shared" si="17"/>
        <v>165039</v>
      </c>
      <c r="M98" s="371"/>
      <c r="N98" s="355" t="str">
        <f t="shared" si="16"/>
        <v>PR</v>
      </c>
      <c r="O98" s="347">
        <v>10</v>
      </c>
      <c r="P98" s="325"/>
      <c r="Q98" s="351"/>
      <c r="R98" s="351">
        <v>1</v>
      </c>
      <c r="S98" s="351">
        <v>5.8</v>
      </c>
      <c r="T98" s="351">
        <v>0.27100000000000002</v>
      </c>
      <c r="U98" s="329">
        <f>IF($N98=$N$4,IFERROR(INDEX(DanhMuc!$E$154:$E$165,MATCH(MID($B98,4,2),DanhMuc!$B$154:$B$165,0)),""),"")</f>
        <v>5700</v>
      </c>
      <c r="V98" s="325"/>
      <c r="W98" s="352" t="str">
        <f>+IF(AND($A98&lt;&gt;"",LEN($B98)&gt;=8,COUNTIF($B$6:$B98,$B98)=1),$W$5,"")</f>
        <v/>
      </c>
      <c r="X98" s="329" t="str">
        <f t="shared" si="18"/>
        <v>XF</v>
      </c>
      <c r="Y98" s="1128" t="s">
        <v>3380</v>
      </c>
      <c r="Z98" s="1128" t="s">
        <v>3381</v>
      </c>
      <c r="AA98" s="1128" t="s">
        <v>3384</v>
      </c>
      <c r="AC98" s="73"/>
    </row>
    <row r="99" spans="1:29" s="20" customFormat="1">
      <c r="A99" s="327" t="str">
        <f>IF(AND($B99&lt;&gt;"",$C99&lt;&gt;""),MAX($A$4:A98)+1,"")</f>
        <v/>
      </c>
      <c r="B99" s="361" t="s">
        <v>216</v>
      </c>
      <c r="C99" s="364"/>
      <c r="D99" s="327">
        <f>IF($B99="","",COUNTIF($B$6:$B99,$B99))</f>
        <v>15</v>
      </c>
      <c r="E99" s="361" t="s">
        <v>27</v>
      </c>
      <c r="F99" s="362" t="s">
        <v>346</v>
      </c>
      <c r="G99" s="327" t="s">
        <v>328</v>
      </c>
      <c r="H99" s="325"/>
      <c r="I99" s="327">
        <v>8</v>
      </c>
      <c r="J99" s="361" t="s">
        <v>703</v>
      </c>
      <c r="K99" s="327" t="s">
        <v>531</v>
      </c>
      <c r="L99" s="348">
        <f t="shared" ref="L99:L260" si="19">+$T99*$S99*$L$37</f>
        <v>165039</v>
      </c>
      <c r="M99" s="371"/>
      <c r="N99" s="355" t="str">
        <f t="shared" si="16"/>
        <v>PR</v>
      </c>
      <c r="O99" s="347">
        <v>10</v>
      </c>
      <c r="P99" s="325"/>
      <c r="Q99" s="351"/>
      <c r="R99" s="351">
        <v>1</v>
      </c>
      <c r="S99" s="351">
        <v>5.8</v>
      </c>
      <c r="T99" s="351">
        <v>0.27100000000000002</v>
      </c>
      <c r="U99" s="329">
        <f>IF($N99=$N$4,IFERROR(INDEX(DanhMuc!$E$154:$E$165,MATCH(MID($B99,4,2),DanhMuc!$B$154:$B$165,0)),""),"")</f>
        <v>5700</v>
      </c>
      <c r="V99" s="325"/>
      <c r="W99" s="352" t="str">
        <f>+IF(AND($A99&lt;&gt;"",LEN($B99)&gt;=8,COUNTIF($B$6:$B99,$B99)=1),$W$5,"")</f>
        <v/>
      </c>
      <c r="X99" s="329" t="str">
        <f t="shared" si="18"/>
        <v>XF</v>
      </c>
      <c r="Y99" s="1128" t="s">
        <v>3380</v>
      </c>
      <c r="Z99" s="1128" t="s">
        <v>3381</v>
      </c>
      <c r="AA99" s="1128" t="s">
        <v>3384</v>
      </c>
      <c r="AC99" s="73"/>
    </row>
    <row r="100" spans="1:29" s="20" customFormat="1">
      <c r="A100" s="327" t="str">
        <f>IF(AND($B100&lt;&gt;"",$C100&lt;&gt;""),MAX($A$4:A99)+1,"")</f>
        <v/>
      </c>
      <c r="B100" s="361" t="s">
        <v>216</v>
      </c>
      <c r="C100" s="364"/>
      <c r="D100" s="327">
        <f>IF($B100="","",COUNTIF($B$6:$B100,$B100))</f>
        <v>16</v>
      </c>
      <c r="E100" s="361" t="s">
        <v>385</v>
      </c>
      <c r="F100" s="362" t="s">
        <v>386</v>
      </c>
      <c r="G100" s="327" t="s">
        <v>329</v>
      </c>
      <c r="H100" s="325"/>
      <c r="I100" s="327">
        <v>4</v>
      </c>
      <c r="J100" s="361" t="s">
        <v>2830</v>
      </c>
      <c r="K100" s="327" t="s">
        <v>531</v>
      </c>
      <c r="L100" s="348">
        <f t="shared" si="19"/>
        <v>138243</v>
      </c>
      <c r="M100" s="355"/>
      <c r="N100" s="355" t="str">
        <f t="shared" si="16"/>
        <v>PR</v>
      </c>
      <c r="O100" s="347">
        <v>19</v>
      </c>
      <c r="P100" s="325"/>
      <c r="Q100" s="351"/>
      <c r="R100" s="351">
        <v>1</v>
      </c>
      <c r="S100" s="351">
        <v>5.8</v>
      </c>
      <c r="T100" s="351">
        <v>0.22700000000000001</v>
      </c>
      <c r="U100" s="329">
        <f>IF($N100=$N$4,IFERROR(INDEX(DanhMuc!$E$154:$E$165,MATCH(MID($B100,4,2),DanhMuc!$B$154:$B$165,0)),""),"")</f>
        <v>5700</v>
      </c>
      <c r="V100" s="325"/>
      <c r="W100" s="352" t="str">
        <f>+IF(AND($A100&lt;&gt;"",LEN($B100)&gt;=8,COUNTIF($B$6:$B100,$B100)=1),$W$5,"")</f>
        <v/>
      </c>
      <c r="X100" s="329" t="str">
        <f t="shared" si="18"/>
        <v>XF</v>
      </c>
      <c r="Y100" s="1128" t="s">
        <v>3380</v>
      </c>
      <c r="Z100" s="1128" t="s">
        <v>3381</v>
      </c>
      <c r="AA100" s="1128" t="s">
        <v>3384</v>
      </c>
      <c r="AC100" s="73"/>
    </row>
    <row r="101" spans="1:29" s="20" customFormat="1">
      <c r="A101" s="327" t="str">
        <f>IF(AND($B101&lt;&gt;"",$C101&lt;&gt;""),MAX($A$4:A100)+1,"")</f>
        <v/>
      </c>
      <c r="B101" s="361" t="s">
        <v>216</v>
      </c>
      <c r="C101" s="364"/>
      <c r="D101" s="327">
        <f>IF($B101="","",COUNTIF($B$6:$B101,$B101))</f>
        <v>17</v>
      </c>
      <c r="E101" s="361" t="s">
        <v>385</v>
      </c>
      <c r="F101" s="362" t="s">
        <v>386</v>
      </c>
      <c r="G101" s="327" t="s">
        <v>329</v>
      </c>
      <c r="H101" s="325"/>
      <c r="I101" s="327">
        <v>4</v>
      </c>
      <c r="J101" s="361" t="s">
        <v>2831</v>
      </c>
      <c r="K101" s="327" t="s">
        <v>531</v>
      </c>
      <c r="L101" s="348">
        <f t="shared" si="19"/>
        <v>138243</v>
      </c>
      <c r="M101" s="355"/>
      <c r="N101" s="355" t="str">
        <f t="shared" si="16"/>
        <v>PR</v>
      </c>
      <c r="O101" s="347">
        <v>19</v>
      </c>
      <c r="P101" s="325"/>
      <c r="Q101" s="351"/>
      <c r="R101" s="351">
        <v>1</v>
      </c>
      <c r="S101" s="351">
        <v>5.8</v>
      </c>
      <c r="T101" s="351">
        <v>0.22700000000000001</v>
      </c>
      <c r="U101" s="329">
        <f>IF($N101=$N$4,IFERROR(INDEX(DanhMuc!$E$154:$E$165,MATCH(MID($B101,4,2),DanhMuc!$B$154:$B$165,0)),""),"")</f>
        <v>5700</v>
      </c>
      <c r="V101" s="325"/>
      <c r="W101" s="352" t="str">
        <f>+IF(AND($A101&lt;&gt;"",LEN($B101)&gt;=8,COUNTIF($B$6:$B101,$B101)=1),$W$5,"")</f>
        <v/>
      </c>
      <c r="X101" s="329" t="str">
        <f t="shared" si="18"/>
        <v>XF</v>
      </c>
      <c r="Y101" s="1128" t="s">
        <v>3380</v>
      </c>
      <c r="Z101" s="1128" t="s">
        <v>3381</v>
      </c>
      <c r="AA101" s="1128" t="s">
        <v>3384</v>
      </c>
      <c r="AC101" s="73"/>
    </row>
    <row r="102" spans="1:29" s="20" customFormat="1">
      <c r="A102" s="327" t="str">
        <f>IF(AND($B102&lt;&gt;"",$C102&lt;&gt;""),MAX($A$4:A101)+1,"")</f>
        <v/>
      </c>
      <c r="B102" s="361" t="s">
        <v>216</v>
      </c>
      <c r="C102" s="364"/>
      <c r="D102" s="327">
        <f>IF($B102="","",COUNTIF($B$6:$B102,$B102))</f>
        <v>18</v>
      </c>
      <c r="E102" s="361" t="s">
        <v>385</v>
      </c>
      <c r="F102" s="362" t="s">
        <v>386</v>
      </c>
      <c r="G102" s="327" t="s">
        <v>328</v>
      </c>
      <c r="H102" s="325"/>
      <c r="I102" s="327">
        <v>8</v>
      </c>
      <c r="J102" s="361" t="s">
        <v>703</v>
      </c>
      <c r="K102" s="327" t="s">
        <v>531</v>
      </c>
      <c r="L102" s="348">
        <f t="shared" si="19"/>
        <v>138243</v>
      </c>
      <c r="M102" s="355"/>
      <c r="N102" s="355" t="str">
        <f t="shared" si="16"/>
        <v>PR</v>
      </c>
      <c r="O102" s="347">
        <v>19</v>
      </c>
      <c r="P102" s="325"/>
      <c r="Q102" s="351"/>
      <c r="R102" s="351">
        <v>1</v>
      </c>
      <c r="S102" s="351">
        <v>5.8</v>
      </c>
      <c r="T102" s="351">
        <v>0.22700000000000001</v>
      </c>
      <c r="U102" s="329">
        <f>IF($N102=$N$4,IFERROR(INDEX(DanhMuc!$E$154:$E$165,MATCH(MID($B102,4,2),DanhMuc!$B$154:$B$165,0)),""),"")</f>
        <v>5700</v>
      </c>
      <c r="V102" s="325"/>
      <c r="W102" s="352" t="str">
        <f>+IF(AND($A102&lt;&gt;"",LEN($B102)&gt;=8,COUNTIF($B$6:$B102,$B102)=1),$W$5,"")</f>
        <v/>
      </c>
      <c r="X102" s="329" t="str">
        <f t="shared" si="18"/>
        <v>XF</v>
      </c>
      <c r="Y102" s="1128" t="s">
        <v>3380</v>
      </c>
      <c r="Z102" s="1128" t="s">
        <v>3381</v>
      </c>
      <c r="AA102" s="1128" t="s">
        <v>3384</v>
      </c>
      <c r="AC102" s="73"/>
    </row>
    <row r="103" spans="1:29" s="20" customFormat="1">
      <c r="A103" s="327" t="str">
        <f>IF(AND($B103&lt;&gt;"",$C103&lt;&gt;""),MAX($A$4:A102)+1,"")</f>
        <v/>
      </c>
      <c r="B103" s="361" t="s">
        <v>216</v>
      </c>
      <c r="C103" s="364"/>
      <c r="D103" s="327">
        <f>IF($B103="","",COUNTIF($B$6:$B103,$B103))</f>
        <v>19</v>
      </c>
      <c r="E103" s="361" t="s">
        <v>630</v>
      </c>
      <c r="F103" s="362" t="s">
        <v>631</v>
      </c>
      <c r="G103" s="327" t="s">
        <v>329</v>
      </c>
      <c r="H103" s="325"/>
      <c r="I103" s="327">
        <v>4</v>
      </c>
      <c r="J103" s="361" t="s">
        <v>2830</v>
      </c>
      <c r="K103" s="327" t="s">
        <v>531</v>
      </c>
      <c r="L103" s="348">
        <f t="shared" si="19"/>
        <v>135807</v>
      </c>
      <c r="M103" s="355"/>
      <c r="N103" s="355" t="str">
        <f t="shared" si="16"/>
        <v>PR</v>
      </c>
      <c r="O103" s="347">
        <v>20</v>
      </c>
      <c r="P103" s="325"/>
      <c r="Q103" s="351"/>
      <c r="R103" s="351">
        <v>1</v>
      </c>
      <c r="S103" s="351">
        <v>5.8</v>
      </c>
      <c r="T103" s="351">
        <v>0.223</v>
      </c>
      <c r="U103" s="329">
        <f>IF($N103=$N$4,IFERROR(INDEX(DanhMuc!$E$154:$E$165,MATCH(MID($B103,4,2),DanhMuc!$B$154:$B$165,0)),""),"")</f>
        <v>5700</v>
      </c>
      <c r="V103" s="325"/>
      <c r="W103" s="352" t="str">
        <f>+IF(AND($A103&lt;&gt;"",LEN($B103)&gt;=8,COUNTIF($B$6:$B103,$B103)=1),$W$5,"")</f>
        <v/>
      </c>
      <c r="X103" s="329" t="str">
        <f t="shared" si="18"/>
        <v>XF</v>
      </c>
      <c r="Y103" s="1128" t="s">
        <v>3380</v>
      </c>
      <c r="Z103" s="1128" t="s">
        <v>3381</v>
      </c>
      <c r="AA103" s="1128" t="s">
        <v>3384</v>
      </c>
      <c r="AC103" s="73"/>
    </row>
    <row r="104" spans="1:29" s="20" customFormat="1">
      <c r="A104" s="327" t="str">
        <f>IF(AND($B104&lt;&gt;"",$C104&lt;&gt;""),MAX($A$4:A103)+1,"")</f>
        <v/>
      </c>
      <c r="B104" s="361" t="s">
        <v>216</v>
      </c>
      <c r="C104" s="364"/>
      <c r="D104" s="327">
        <f>IF($B104="","",COUNTIF($B$6:$B104,$B104))</f>
        <v>20</v>
      </c>
      <c r="E104" s="361" t="s">
        <v>630</v>
      </c>
      <c r="F104" s="362" t="s">
        <v>631</v>
      </c>
      <c r="G104" s="327" t="s">
        <v>329</v>
      </c>
      <c r="H104" s="325"/>
      <c r="I104" s="327">
        <v>4</v>
      </c>
      <c r="J104" s="361" t="s">
        <v>2831</v>
      </c>
      <c r="K104" s="327" t="s">
        <v>531</v>
      </c>
      <c r="L104" s="348">
        <f t="shared" si="19"/>
        <v>135807</v>
      </c>
      <c r="M104" s="355"/>
      <c r="N104" s="355" t="str">
        <f t="shared" si="16"/>
        <v>PR</v>
      </c>
      <c r="O104" s="347">
        <v>20</v>
      </c>
      <c r="P104" s="325"/>
      <c r="Q104" s="351"/>
      <c r="R104" s="351">
        <v>1</v>
      </c>
      <c r="S104" s="351">
        <v>5.8</v>
      </c>
      <c r="T104" s="351">
        <v>0.223</v>
      </c>
      <c r="U104" s="329">
        <f>IF($N104=$N$4,IFERROR(INDEX(DanhMuc!$E$154:$E$165,MATCH(MID($B104,4,2),DanhMuc!$B$154:$B$165,0)),""),"")</f>
        <v>5700</v>
      </c>
      <c r="V104" s="325"/>
      <c r="W104" s="352" t="str">
        <f>+IF(AND($A104&lt;&gt;"",LEN($B104)&gt;=8,COUNTIF($B$6:$B104,$B104)=1),$W$5,"")</f>
        <v/>
      </c>
      <c r="X104" s="329" t="str">
        <f t="shared" si="18"/>
        <v>XF</v>
      </c>
      <c r="Y104" s="1128" t="s">
        <v>3380</v>
      </c>
      <c r="Z104" s="1128" t="s">
        <v>3381</v>
      </c>
      <c r="AA104" s="1128" t="s">
        <v>3384</v>
      </c>
      <c r="AC104" s="73"/>
    </row>
    <row r="105" spans="1:29" s="20" customFormat="1">
      <c r="A105" s="327" t="str">
        <f>IF(AND($B105&lt;&gt;"",$C105&lt;&gt;""),MAX($A$4:A104)+1,"")</f>
        <v/>
      </c>
      <c r="B105" s="361" t="s">
        <v>216</v>
      </c>
      <c r="C105" s="364"/>
      <c r="D105" s="327">
        <f>IF($B105="","",COUNTIF($B$6:$B105,$B105))</f>
        <v>21</v>
      </c>
      <c r="E105" s="361" t="s">
        <v>630</v>
      </c>
      <c r="F105" s="362" t="s">
        <v>631</v>
      </c>
      <c r="G105" s="327" t="s">
        <v>328</v>
      </c>
      <c r="H105" s="325"/>
      <c r="I105" s="327">
        <v>8</v>
      </c>
      <c r="J105" s="361" t="s">
        <v>703</v>
      </c>
      <c r="K105" s="327" t="s">
        <v>531</v>
      </c>
      <c r="L105" s="348">
        <f t="shared" si="19"/>
        <v>135807</v>
      </c>
      <c r="M105" s="355"/>
      <c r="N105" s="355" t="str">
        <f t="shared" si="16"/>
        <v>PR</v>
      </c>
      <c r="O105" s="347">
        <v>20</v>
      </c>
      <c r="P105" s="325"/>
      <c r="Q105" s="351"/>
      <c r="R105" s="351">
        <v>1</v>
      </c>
      <c r="S105" s="351">
        <v>5.8</v>
      </c>
      <c r="T105" s="351">
        <v>0.223</v>
      </c>
      <c r="U105" s="329">
        <f>IF($N105=$N$4,IFERROR(INDEX(DanhMuc!$E$154:$E$165,MATCH(MID($B105,4,2),DanhMuc!$B$154:$B$165,0)),""),"")</f>
        <v>5700</v>
      </c>
      <c r="V105" s="325"/>
      <c r="W105" s="352" t="str">
        <f>+IF(AND($A105&lt;&gt;"",LEN($B105)&gt;=8,COUNTIF($B$6:$B105,$B105)=1),$W$5,"")</f>
        <v/>
      </c>
      <c r="X105" s="329" t="str">
        <f t="shared" si="18"/>
        <v>XF</v>
      </c>
      <c r="Y105" s="1128" t="s">
        <v>3380</v>
      </c>
      <c r="Z105" s="1128" t="s">
        <v>3381</v>
      </c>
      <c r="AA105" s="1128" t="s">
        <v>3384</v>
      </c>
      <c r="AC105" s="73"/>
    </row>
    <row r="106" spans="1:29" s="20" customFormat="1" ht="26">
      <c r="A106" s="327">
        <f>IF(AND($B106&lt;&gt;"",$C106&lt;&gt;""),MAX($A$4:A92)+1,"")</f>
        <v>14</v>
      </c>
      <c r="B106" s="359" t="s">
        <v>587</v>
      </c>
      <c r="C106" s="360" t="s">
        <v>1531</v>
      </c>
      <c r="D106" s="327">
        <f>IF($B106="","",COUNTIF($B$6:$B106,$B106))</f>
        <v>1</v>
      </c>
      <c r="E106" s="363" t="s">
        <v>42</v>
      </c>
      <c r="F106" s="362" t="s">
        <v>334</v>
      </c>
      <c r="G106" s="327" t="s">
        <v>329</v>
      </c>
      <c r="H106" s="325"/>
      <c r="I106" s="327">
        <v>1</v>
      </c>
      <c r="J106" s="361" t="s">
        <v>594</v>
      </c>
      <c r="K106" s="327" t="s">
        <v>531</v>
      </c>
      <c r="L106" s="348">
        <f t="shared" si="19"/>
        <v>932988</v>
      </c>
      <c r="M106" s="373"/>
      <c r="N106" s="355" t="str">
        <f t="shared" si="16"/>
        <v>PR</v>
      </c>
      <c r="O106" s="345"/>
      <c r="P106" s="325"/>
      <c r="Q106" s="351"/>
      <c r="R106" s="351">
        <v>2</v>
      </c>
      <c r="S106" s="351">
        <v>5.8</v>
      </c>
      <c r="T106" s="351">
        <v>1.532</v>
      </c>
      <c r="U106" s="329">
        <f>IF($N106=$N$4,IFERROR(INDEX(DanhMuc!$E$154:$E$165,MATCH(MID($B106,4,2),DanhMuc!$B$154:$B$165,0)),""),"")</f>
        <v>5700</v>
      </c>
      <c r="V106" s="325"/>
      <c r="W106" s="352" t="str">
        <f>+IF(AND($A106&lt;&gt;"",LEN($B106)&gt;=8,COUNTIF($B$6:$B106,$B106)=1),$W$5,"")</f>
        <v>DMCua</v>
      </c>
      <c r="X106" s="329" t="str">
        <f t="shared" si="18"/>
        <v>XF</v>
      </c>
      <c r="Y106" s="1128" t="s">
        <v>3380</v>
      </c>
      <c r="Z106" s="1128" t="s">
        <v>3381</v>
      </c>
      <c r="AA106" s="1128" t="s">
        <v>3384</v>
      </c>
      <c r="AC106" s="73"/>
    </row>
    <row r="107" spans="1:29" s="20" customFormat="1">
      <c r="A107" s="327" t="str">
        <f>IF(AND($B107&lt;&gt;"",$C107&lt;&gt;""),MAX($A$4:A106)+1,"")</f>
        <v/>
      </c>
      <c r="B107" s="361" t="s">
        <v>587</v>
      </c>
      <c r="C107" s="360"/>
      <c r="D107" s="327">
        <f>IF($B107="","",COUNTIF($B$6:$B107,$B107))</f>
        <v>2</v>
      </c>
      <c r="E107" s="361" t="s">
        <v>43</v>
      </c>
      <c r="F107" s="362" t="s">
        <v>333</v>
      </c>
      <c r="G107" s="327" t="s">
        <v>329</v>
      </c>
      <c r="H107" s="325"/>
      <c r="I107" s="327">
        <v>1</v>
      </c>
      <c r="J107" s="361" t="s">
        <v>594</v>
      </c>
      <c r="K107" s="327" t="s">
        <v>531</v>
      </c>
      <c r="L107" s="348">
        <f t="shared" si="19"/>
        <v>799616.99999999988</v>
      </c>
      <c r="M107" s="355"/>
      <c r="N107" s="355" t="str">
        <f t="shared" si="16"/>
        <v>PR</v>
      </c>
      <c r="O107" s="345"/>
      <c r="P107" s="325"/>
      <c r="Q107" s="351"/>
      <c r="R107" s="351">
        <v>2</v>
      </c>
      <c r="S107" s="351">
        <v>5.8</v>
      </c>
      <c r="T107" s="351">
        <v>1.3129999999999999</v>
      </c>
      <c r="U107" s="329">
        <f>IF($N107=$N$4,IFERROR(INDEX(DanhMuc!$E$154:$E$165,MATCH(MID($B107,4,2),DanhMuc!$B$154:$B$165,0)),""),"")</f>
        <v>5700</v>
      </c>
      <c r="V107" s="325"/>
      <c r="W107" s="352" t="str">
        <f>+IF(AND($A107&lt;&gt;"",LEN($B107)&gt;=8,COUNTIF($B$6:$B107,$B107)=1),$W$5,"")</f>
        <v/>
      </c>
      <c r="X107" s="329" t="str">
        <f t="shared" si="18"/>
        <v>XF</v>
      </c>
      <c r="Y107" s="1128" t="s">
        <v>3380</v>
      </c>
      <c r="Z107" s="1128" t="s">
        <v>3381</v>
      </c>
      <c r="AA107" s="1128" t="s">
        <v>3384</v>
      </c>
      <c r="AC107" s="73"/>
    </row>
    <row r="108" spans="1:29" s="20" customFormat="1">
      <c r="A108" s="327" t="str">
        <f>IF(AND($B108&lt;&gt;"",$C108&lt;&gt;""),MAX($A$4:A107)+1,"")</f>
        <v/>
      </c>
      <c r="B108" s="361" t="s">
        <v>587</v>
      </c>
      <c r="C108" s="360"/>
      <c r="D108" s="327">
        <f>IF($B108="","",COUNTIF($B$6:$B108,$B108))</f>
        <v>3</v>
      </c>
      <c r="E108" s="361" t="s">
        <v>41</v>
      </c>
      <c r="F108" s="362" t="s">
        <v>445</v>
      </c>
      <c r="G108" s="327" t="s">
        <v>328</v>
      </c>
      <c r="H108" s="325"/>
      <c r="I108" s="327">
        <v>2</v>
      </c>
      <c r="J108" s="361" t="s">
        <v>80</v>
      </c>
      <c r="K108" s="327" t="s">
        <v>531</v>
      </c>
      <c r="L108" s="348">
        <f t="shared" si="19"/>
        <v>728973</v>
      </c>
      <c r="M108" s="355"/>
      <c r="N108" s="355" t="str">
        <f t="shared" si="16"/>
        <v>PR</v>
      </c>
      <c r="O108" s="345"/>
      <c r="P108" s="325"/>
      <c r="Q108" s="351"/>
      <c r="R108" s="351">
        <v>2</v>
      </c>
      <c r="S108" s="351">
        <v>5.8</v>
      </c>
      <c r="T108" s="351">
        <v>1.1970000000000001</v>
      </c>
      <c r="U108" s="329">
        <f>IF($N108=$N$4,IFERROR(INDEX(DanhMuc!$E$154:$E$165,MATCH(MID($B108,4,2),DanhMuc!$B$154:$B$165,0)),""),"")</f>
        <v>5700</v>
      </c>
      <c r="V108" s="325"/>
      <c r="W108" s="352" t="str">
        <f>+IF(AND($A108&lt;&gt;"",LEN($B108)&gt;=8,COUNTIF($B$6:$B108,$B108)=1),$W$5,"")</f>
        <v/>
      </c>
      <c r="X108" s="329" t="str">
        <f t="shared" si="18"/>
        <v>XF</v>
      </c>
      <c r="Y108" s="1128" t="s">
        <v>3380</v>
      </c>
      <c r="Z108" s="1128" t="s">
        <v>3381</v>
      </c>
      <c r="AA108" s="1128" t="s">
        <v>3384</v>
      </c>
      <c r="AC108" s="73"/>
    </row>
    <row r="109" spans="1:29" s="20" customFormat="1">
      <c r="A109" s="327" t="str">
        <f>IF(AND($B109&lt;&gt;"",$C109&lt;&gt;""),MAX($A$4:A108)+1,"")</f>
        <v/>
      </c>
      <c r="B109" s="361" t="s">
        <v>587</v>
      </c>
      <c r="C109" s="360"/>
      <c r="D109" s="327">
        <f>IF($B109="","",COUNTIF($B$6:$B109,$B109))</f>
        <v>4</v>
      </c>
      <c r="E109" s="361" t="s">
        <v>48</v>
      </c>
      <c r="F109" s="362" t="s">
        <v>338</v>
      </c>
      <c r="G109" s="327" t="s">
        <v>329</v>
      </c>
      <c r="H109" s="325"/>
      <c r="I109" s="327">
        <v>2</v>
      </c>
      <c r="J109" s="361" t="s">
        <v>736</v>
      </c>
      <c r="K109" s="327" t="s">
        <v>531</v>
      </c>
      <c r="L109" s="348">
        <f t="shared" si="19"/>
        <v>632750.99999999988</v>
      </c>
      <c r="M109" s="355"/>
      <c r="N109" s="355" t="str">
        <f t="shared" si="16"/>
        <v>PR</v>
      </c>
      <c r="O109" s="345"/>
      <c r="P109" s="325"/>
      <c r="Q109" s="351"/>
      <c r="R109" s="351">
        <v>2</v>
      </c>
      <c r="S109" s="351">
        <v>5.8</v>
      </c>
      <c r="T109" s="351">
        <v>1.0389999999999999</v>
      </c>
      <c r="U109" s="329">
        <f>IF($N109=$N$4,IFERROR(INDEX(DanhMuc!$E$154:$E$165,MATCH(MID($B109,4,2),DanhMuc!$B$154:$B$165,0)),""),"")</f>
        <v>5700</v>
      </c>
      <c r="V109" s="325"/>
      <c r="W109" s="352" t="str">
        <f>+IF(AND($A109&lt;&gt;"",LEN($B109)&gt;=8,COUNTIF($B$6:$B109,$B109)=1),$W$5,"")</f>
        <v/>
      </c>
      <c r="X109" s="329" t="str">
        <f t="shared" si="18"/>
        <v>XF</v>
      </c>
      <c r="Y109" s="1128" t="s">
        <v>3380</v>
      </c>
      <c r="Z109" s="1128" t="s">
        <v>3381</v>
      </c>
      <c r="AA109" s="1128" t="s">
        <v>3384</v>
      </c>
      <c r="AC109" s="73"/>
    </row>
    <row r="110" spans="1:29" s="20" customFormat="1">
      <c r="A110" s="327" t="str">
        <f>IF(AND($B110&lt;&gt;"",$C110&lt;&gt;""),MAX($A$4:A109)+1,"")</f>
        <v/>
      </c>
      <c r="B110" s="361" t="s">
        <v>587</v>
      </c>
      <c r="C110" s="360"/>
      <c r="D110" s="327">
        <f>IF($B110="","",COUNTIF($B$6:$B110,$B110))</f>
        <v>5</v>
      </c>
      <c r="E110" s="361" t="s">
        <v>46</v>
      </c>
      <c r="F110" s="362" t="s">
        <v>337</v>
      </c>
      <c r="G110" s="327" t="s">
        <v>329</v>
      </c>
      <c r="H110" s="325"/>
      <c r="I110" s="327">
        <v>2</v>
      </c>
      <c r="J110" s="361" t="s">
        <v>736</v>
      </c>
      <c r="K110" s="327" t="s">
        <v>531</v>
      </c>
      <c r="L110" s="348">
        <f t="shared" si="19"/>
        <v>633360</v>
      </c>
      <c r="M110" s="355"/>
      <c r="N110" s="355" t="str">
        <f t="shared" si="16"/>
        <v>PR</v>
      </c>
      <c r="O110" s="345"/>
      <c r="P110" s="325"/>
      <c r="Q110" s="351"/>
      <c r="R110" s="351">
        <v>2</v>
      </c>
      <c r="S110" s="351">
        <v>5.8</v>
      </c>
      <c r="T110" s="351">
        <v>1.04</v>
      </c>
      <c r="U110" s="329">
        <f>IF($N110=$N$4,IFERROR(INDEX(DanhMuc!$E$154:$E$165,MATCH(MID($B110,4,2),DanhMuc!$B$154:$B$165,0)),""),"")</f>
        <v>5700</v>
      </c>
      <c r="V110" s="325"/>
      <c r="W110" s="352" t="str">
        <f>+IF(AND($A110&lt;&gt;"",LEN($B110)&gt;=8,COUNTIF($B$6:$B110,$B110)=1),$W$5,"")</f>
        <v/>
      </c>
      <c r="X110" s="329" t="str">
        <f t="shared" si="18"/>
        <v>XF</v>
      </c>
      <c r="Y110" s="1128" t="s">
        <v>3380</v>
      </c>
      <c r="Z110" s="1128" t="s">
        <v>3381</v>
      </c>
      <c r="AA110" s="1128" t="s">
        <v>3384</v>
      </c>
      <c r="AC110" s="73"/>
    </row>
    <row r="111" spans="1:29" s="20" customFormat="1">
      <c r="A111" s="327" t="str">
        <f>IF(AND($B111&lt;&gt;"",$C111&lt;&gt;""),MAX($A$4:A110)+1,"")</f>
        <v/>
      </c>
      <c r="B111" s="361" t="s">
        <v>587</v>
      </c>
      <c r="C111" s="360"/>
      <c r="D111" s="327">
        <f>IF($B111="","",COUNTIF($B$6:$B111,$B111))</f>
        <v>6</v>
      </c>
      <c r="E111" s="361" t="s">
        <v>44</v>
      </c>
      <c r="F111" s="362" t="s">
        <v>335</v>
      </c>
      <c r="G111" s="327" t="s">
        <v>328</v>
      </c>
      <c r="H111" s="325"/>
      <c r="I111" s="327">
        <v>2</v>
      </c>
      <c r="J111" s="361" t="s">
        <v>737</v>
      </c>
      <c r="K111" s="327" t="s">
        <v>531</v>
      </c>
      <c r="L111" s="348">
        <f t="shared" si="19"/>
        <v>809970</v>
      </c>
      <c r="M111" s="355"/>
      <c r="N111" s="355" t="str">
        <f t="shared" si="16"/>
        <v>PR</v>
      </c>
      <c r="O111" s="345"/>
      <c r="P111" s="325"/>
      <c r="Q111" s="351"/>
      <c r="R111" s="351">
        <v>2</v>
      </c>
      <c r="S111" s="351">
        <v>5.8</v>
      </c>
      <c r="T111" s="351">
        <v>1.33</v>
      </c>
      <c r="U111" s="329">
        <f>IF($N111=$N$4,IFERROR(INDEX(DanhMuc!$E$154:$E$165,MATCH(MID($B111,4,2),DanhMuc!$B$154:$B$165,0)),""),"")</f>
        <v>5700</v>
      </c>
      <c r="V111" s="325"/>
      <c r="W111" s="352" t="str">
        <f>+IF(AND($A111&lt;&gt;"",LEN($B111)&gt;=8,COUNTIF($B$6:$B111,$B111)=1),$W$5,"")</f>
        <v/>
      </c>
      <c r="X111" s="329" t="str">
        <f t="shared" si="18"/>
        <v>XF</v>
      </c>
      <c r="Y111" s="1128" t="s">
        <v>3380</v>
      </c>
      <c r="Z111" s="1128" t="s">
        <v>3381</v>
      </c>
      <c r="AA111" s="1128" t="s">
        <v>3384</v>
      </c>
      <c r="AC111" s="73"/>
    </row>
    <row r="112" spans="1:29" s="20" customFormat="1">
      <c r="A112" s="327" t="str">
        <f>IF(AND($B112&lt;&gt;"",$C112&lt;&gt;""),MAX($A$4:A111)+1,"")</f>
        <v/>
      </c>
      <c r="B112" s="361" t="s">
        <v>587</v>
      </c>
      <c r="C112" s="360"/>
      <c r="D112" s="327">
        <f>IF($B112="","",COUNTIF($B$6:$B112,$B112))</f>
        <v>7</v>
      </c>
      <c r="E112" s="361" t="s">
        <v>45</v>
      </c>
      <c r="F112" s="362" t="s">
        <v>336</v>
      </c>
      <c r="G112" s="327" t="s">
        <v>328</v>
      </c>
      <c r="H112" s="325"/>
      <c r="I112" s="327">
        <v>2</v>
      </c>
      <c r="J112" s="361" t="s">
        <v>737</v>
      </c>
      <c r="K112" s="327" t="s">
        <v>531</v>
      </c>
      <c r="L112" s="348">
        <f t="shared" si="19"/>
        <v>703395</v>
      </c>
      <c r="M112" s="355"/>
      <c r="N112" s="355" t="str">
        <f t="shared" si="16"/>
        <v>PR</v>
      </c>
      <c r="O112" s="345"/>
      <c r="P112" s="325"/>
      <c r="Q112" s="351"/>
      <c r="R112" s="351">
        <v>2</v>
      </c>
      <c r="S112" s="351">
        <v>5.8</v>
      </c>
      <c r="T112" s="351">
        <v>1.155</v>
      </c>
      <c r="U112" s="329">
        <f>IF($N112=$N$4,IFERROR(INDEX(DanhMuc!$E$154:$E$165,MATCH(MID($B112,4,2),DanhMuc!$B$154:$B$165,0)),""),"")</f>
        <v>5700</v>
      </c>
      <c r="V112" s="325"/>
      <c r="W112" s="352" t="str">
        <f>+IF(AND($A112&lt;&gt;"",LEN($B112)&gt;=8,COUNTIF($B$6:$B112,$B112)=1),$W$5,"")</f>
        <v/>
      </c>
      <c r="X112" s="329" t="str">
        <f t="shared" si="18"/>
        <v>XF</v>
      </c>
      <c r="Y112" s="1128" t="s">
        <v>3380</v>
      </c>
      <c r="Z112" s="1128" t="s">
        <v>3381</v>
      </c>
      <c r="AA112" s="1128" t="s">
        <v>3384</v>
      </c>
      <c r="AC112" s="73"/>
    </row>
    <row r="113" spans="1:29" s="20" customFormat="1" ht="39">
      <c r="A113" s="327">
        <f>IF(AND($B113&lt;&gt;"",$C113&lt;&gt;""),MAX($A$4:A112)+1,"")</f>
        <v>15</v>
      </c>
      <c r="B113" s="359" t="s">
        <v>593</v>
      </c>
      <c r="C113" s="360" t="s">
        <v>1532</v>
      </c>
      <c r="D113" s="327">
        <f>IF($B113="","",COUNTIF($B$6:$B113,$B113))</f>
        <v>1</v>
      </c>
      <c r="E113" s="361" t="s">
        <v>596</v>
      </c>
      <c r="F113" s="362" t="s">
        <v>597</v>
      </c>
      <c r="G113" s="327" t="s">
        <v>329</v>
      </c>
      <c r="H113" s="325"/>
      <c r="I113" s="327">
        <v>1</v>
      </c>
      <c r="J113" s="361" t="s">
        <v>1193</v>
      </c>
      <c r="K113" s="327" t="s">
        <v>531</v>
      </c>
      <c r="L113" s="348">
        <f t="shared" si="19"/>
        <v>686343</v>
      </c>
      <c r="M113" s="355"/>
      <c r="N113" s="355" t="str">
        <f t="shared" si="16"/>
        <v>PR</v>
      </c>
      <c r="O113" s="345"/>
      <c r="P113" s="325"/>
      <c r="Q113" s="351"/>
      <c r="R113" s="351">
        <v>2</v>
      </c>
      <c r="S113" s="351">
        <v>5.8</v>
      </c>
      <c r="T113" s="351">
        <v>1.127</v>
      </c>
      <c r="U113" s="329">
        <f>IF($N113=$N$4,IFERROR(INDEX(DanhMuc!$E$154:$E$165,MATCH(MID($B113,4,2),DanhMuc!$B$154:$B$165,0)),""),"")</f>
        <v>5700</v>
      </c>
      <c r="V113" s="325"/>
      <c r="W113" s="352" t="str">
        <f>+IF(AND($A113&lt;&gt;"",LEN($B113)&gt;=8,COUNTIF($B$6:$B113,$B113)=1),$W$5,"")</f>
        <v>DMCua</v>
      </c>
      <c r="X113" s="329" t="str">
        <f t="shared" si="18"/>
        <v>XF</v>
      </c>
      <c r="Y113" s="1128" t="s">
        <v>3380</v>
      </c>
      <c r="Z113" s="1128" t="s">
        <v>3381</v>
      </c>
      <c r="AA113" s="1128" t="s">
        <v>3384</v>
      </c>
      <c r="AC113" s="73"/>
    </row>
    <row r="114" spans="1:29" s="20" customFormat="1">
      <c r="A114" s="327" t="str">
        <f>IF(AND($B114&lt;&gt;"",$C114&lt;&gt;""),MAX($A$4:A110)+1,"")</f>
        <v/>
      </c>
      <c r="B114" s="361" t="s">
        <v>593</v>
      </c>
      <c r="C114" s="360"/>
      <c r="D114" s="327">
        <f>IF($B114="","",COUNTIF($B$6:$B114,$B114))</f>
        <v>2</v>
      </c>
      <c r="E114" s="361" t="s">
        <v>43</v>
      </c>
      <c r="F114" s="362" t="s">
        <v>333</v>
      </c>
      <c r="G114" s="327" t="s">
        <v>329</v>
      </c>
      <c r="H114" s="325"/>
      <c r="I114" s="327">
        <v>1</v>
      </c>
      <c r="J114" s="361" t="s">
        <v>1193</v>
      </c>
      <c r="K114" s="327" t="s">
        <v>531</v>
      </c>
      <c r="L114" s="348">
        <f t="shared" si="19"/>
        <v>799616.99999999988</v>
      </c>
      <c r="M114" s="355"/>
      <c r="N114" s="355" t="str">
        <f t="shared" si="16"/>
        <v>PR</v>
      </c>
      <c r="O114" s="345"/>
      <c r="P114" s="325"/>
      <c r="Q114" s="351"/>
      <c r="R114" s="351">
        <v>2</v>
      </c>
      <c r="S114" s="351">
        <v>5.8</v>
      </c>
      <c r="T114" s="351">
        <v>1.3129999999999999</v>
      </c>
      <c r="U114" s="329">
        <f>IF($N114=$N$4,IFERROR(INDEX(DanhMuc!$E$154:$E$165,MATCH(MID($B114,4,2),DanhMuc!$B$154:$B$165,0)),""),"")</f>
        <v>5700</v>
      </c>
      <c r="V114" s="325"/>
      <c r="W114" s="352" t="str">
        <f>+IF(AND($A114&lt;&gt;"",LEN($B114)&gt;=8,COUNTIF($B$6:$B114,$B114)=1),$W$5,"")</f>
        <v/>
      </c>
      <c r="X114" s="329" t="str">
        <f t="shared" si="18"/>
        <v>XF</v>
      </c>
      <c r="Y114" s="1128" t="s">
        <v>3380</v>
      </c>
      <c r="Z114" s="1128" t="s">
        <v>3381</v>
      </c>
      <c r="AA114" s="1128" t="s">
        <v>3384</v>
      </c>
      <c r="AC114" s="73"/>
    </row>
    <row r="115" spans="1:29" s="20" customFormat="1">
      <c r="A115" s="327" t="str">
        <f>IF(AND($B115&lt;&gt;"",$C115&lt;&gt;""),MAX($A$4:A112)+1,"")</f>
        <v/>
      </c>
      <c r="B115" s="361" t="s">
        <v>593</v>
      </c>
      <c r="C115" s="360"/>
      <c r="D115" s="327">
        <f>IF($B115="","",COUNTIF($B$6:$B115,$B115))</f>
        <v>3</v>
      </c>
      <c r="E115" s="361" t="s">
        <v>47</v>
      </c>
      <c r="F115" s="362" t="s">
        <v>595</v>
      </c>
      <c r="G115" s="327" t="s">
        <v>329</v>
      </c>
      <c r="H115" s="325"/>
      <c r="I115" s="327">
        <v>1</v>
      </c>
      <c r="J115" s="361" t="s">
        <v>1193</v>
      </c>
      <c r="K115" s="327" t="s">
        <v>531</v>
      </c>
      <c r="L115" s="348">
        <f t="shared" si="19"/>
        <v>1388519.9999999998</v>
      </c>
      <c r="M115" s="373"/>
      <c r="N115" s="355" t="str">
        <f t="shared" si="16"/>
        <v>PR</v>
      </c>
      <c r="O115" s="345"/>
      <c r="P115" s="325"/>
      <c r="Q115" s="351"/>
      <c r="R115" s="351">
        <v>2</v>
      </c>
      <c r="S115" s="351">
        <v>5.8</v>
      </c>
      <c r="T115" s="351">
        <v>2.2799999999999998</v>
      </c>
      <c r="U115" s="329">
        <f>IF($N115=$N$4,IFERROR(INDEX(DanhMuc!$E$154:$E$165,MATCH(MID($B115,4,2),DanhMuc!$B$154:$B$165,0)),""),"")</f>
        <v>5700</v>
      </c>
      <c r="V115" s="325"/>
      <c r="W115" s="352" t="str">
        <f>+IF(AND($A115&lt;&gt;"",LEN($B115)&gt;=8,COUNTIF($B$6:$B115,$B115)=1),$W$5,"")</f>
        <v/>
      </c>
      <c r="X115" s="329" t="str">
        <f t="shared" si="18"/>
        <v>XF</v>
      </c>
      <c r="Y115" s="1128" t="s">
        <v>3380</v>
      </c>
      <c r="Z115" s="1128" t="s">
        <v>3381</v>
      </c>
      <c r="AA115" s="1128" t="s">
        <v>3384</v>
      </c>
      <c r="AC115" s="73"/>
    </row>
    <row r="116" spans="1:29" s="20" customFormat="1">
      <c r="A116" s="327" t="str">
        <f>IF(AND($B116&lt;&gt;"",$C116&lt;&gt;""),MAX($A$4:A115)+1,"")</f>
        <v/>
      </c>
      <c r="B116" s="361" t="s">
        <v>593</v>
      </c>
      <c r="C116" s="360"/>
      <c r="D116" s="327">
        <f>IF($B116="","",COUNTIF($B$6:$B116,$B116))</f>
        <v>4</v>
      </c>
      <c r="E116" s="361" t="s">
        <v>41</v>
      </c>
      <c r="F116" s="362" t="s">
        <v>445</v>
      </c>
      <c r="G116" s="327" t="s">
        <v>328</v>
      </c>
      <c r="H116" s="325"/>
      <c r="I116" s="327">
        <v>2</v>
      </c>
      <c r="J116" s="361" t="s">
        <v>80</v>
      </c>
      <c r="K116" s="327" t="s">
        <v>531</v>
      </c>
      <c r="L116" s="348">
        <f t="shared" si="19"/>
        <v>728973</v>
      </c>
      <c r="M116" s="355"/>
      <c r="N116" s="355" t="str">
        <f t="shared" si="16"/>
        <v>PR</v>
      </c>
      <c r="O116" s="345"/>
      <c r="P116" s="325"/>
      <c r="Q116" s="351"/>
      <c r="R116" s="351">
        <v>2</v>
      </c>
      <c r="S116" s="351">
        <v>5.8</v>
      </c>
      <c r="T116" s="351">
        <v>1.1970000000000001</v>
      </c>
      <c r="U116" s="329">
        <f>IF($N116=$N$4,IFERROR(INDEX(DanhMuc!$E$154:$E$165,MATCH(MID($B116,4,2),DanhMuc!$B$154:$B$165,0)),""),"")</f>
        <v>5700</v>
      </c>
      <c r="V116" s="325"/>
      <c r="W116" s="352" t="str">
        <f>+IF(AND($A116&lt;&gt;"",LEN($B116)&gt;=8,COUNTIF($B$6:$B116,$B116)=1),$W$5,"")</f>
        <v/>
      </c>
      <c r="X116" s="329" t="str">
        <f t="shared" si="18"/>
        <v>XF</v>
      </c>
      <c r="Y116" s="1128" t="s">
        <v>3380</v>
      </c>
      <c r="Z116" s="1128" t="s">
        <v>3381</v>
      </c>
      <c r="AA116" s="1128" t="s">
        <v>3384</v>
      </c>
      <c r="AC116" s="73"/>
    </row>
    <row r="117" spans="1:29" s="20" customFormat="1">
      <c r="A117" s="327" t="str">
        <f>IF(AND($B117&lt;&gt;"",$C117&lt;&gt;""),MAX($A$4:A116)+1,"")</f>
        <v/>
      </c>
      <c r="B117" s="361" t="s">
        <v>593</v>
      </c>
      <c r="C117" s="360"/>
      <c r="D117" s="327">
        <f>IF($B117="","",COUNTIF($B$6:$B117,$B117))</f>
        <v>5</v>
      </c>
      <c r="E117" s="361" t="s">
        <v>48</v>
      </c>
      <c r="F117" s="362" t="s">
        <v>338</v>
      </c>
      <c r="G117" s="327" t="s">
        <v>329</v>
      </c>
      <c r="H117" s="325"/>
      <c r="I117" s="327">
        <v>2</v>
      </c>
      <c r="J117" s="361" t="s">
        <v>1195</v>
      </c>
      <c r="K117" s="327" t="s">
        <v>531</v>
      </c>
      <c r="L117" s="348">
        <f t="shared" si="19"/>
        <v>632750.99999999988</v>
      </c>
      <c r="M117" s="355"/>
      <c r="N117" s="355" t="str">
        <f t="shared" si="16"/>
        <v>PR</v>
      </c>
      <c r="O117" s="345"/>
      <c r="P117" s="325"/>
      <c r="Q117" s="351"/>
      <c r="R117" s="351">
        <v>2</v>
      </c>
      <c r="S117" s="351">
        <v>5.8</v>
      </c>
      <c r="T117" s="351">
        <v>1.0389999999999999</v>
      </c>
      <c r="U117" s="329">
        <f>IF($N117=$N$4,IFERROR(INDEX(DanhMuc!$E$154:$E$165,MATCH(MID($B117,4,2),DanhMuc!$B$154:$B$165,0)),""),"")</f>
        <v>5700</v>
      </c>
      <c r="V117" s="325"/>
      <c r="W117" s="352" t="str">
        <f>+IF(AND($A117&lt;&gt;"",LEN($B117)&gt;=8,COUNTIF($B$6:$B117,$B117)=1),$W$5,"")</f>
        <v/>
      </c>
      <c r="X117" s="329" t="str">
        <f t="shared" si="18"/>
        <v>XF</v>
      </c>
      <c r="Y117" s="1128" t="s">
        <v>3380</v>
      </c>
      <c r="Z117" s="1128" t="s">
        <v>3381</v>
      </c>
      <c r="AA117" s="1128" t="s">
        <v>3384</v>
      </c>
      <c r="AC117" s="73"/>
    </row>
    <row r="118" spans="1:29" s="20" customFormat="1">
      <c r="A118" s="327" t="str">
        <f>IF(AND($B118&lt;&gt;"",$C118&lt;&gt;""),MAX($A$4:A117)+1,"")</f>
        <v/>
      </c>
      <c r="B118" s="361" t="s">
        <v>593</v>
      </c>
      <c r="C118" s="360"/>
      <c r="D118" s="327">
        <f>IF($B118="","",COUNTIF($B$6:$B118,$B118))</f>
        <v>6</v>
      </c>
      <c r="E118" s="361" t="s">
        <v>46</v>
      </c>
      <c r="F118" s="362" t="s">
        <v>337</v>
      </c>
      <c r="G118" s="327" t="s">
        <v>329</v>
      </c>
      <c r="H118" s="325"/>
      <c r="I118" s="327">
        <v>2</v>
      </c>
      <c r="J118" s="361" t="s">
        <v>1195</v>
      </c>
      <c r="K118" s="327" t="s">
        <v>531</v>
      </c>
      <c r="L118" s="348">
        <f t="shared" si="19"/>
        <v>633360</v>
      </c>
      <c r="M118" s="355"/>
      <c r="N118" s="355" t="str">
        <f t="shared" si="16"/>
        <v>PR</v>
      </c>
      <c r="O118" s="345"/>
      <c r="P118" s="325"/>
      <c r="Q118" s="351"/>
      <c r="R118" s="351">
        <v>2</v>
      </c>
      <c r="S118" s="351">
        <v>5.8</v>
      </c>
      <c r="T118" s="351">
        <v>1.04</v>
      </c>
      <c r="U118" s="329">
        <f>IF($N118=$N$4,IFERROR(INDEX(DanhMuc!$E$154:$E$165,MATCH(MID($B118,4,2),DanhMuc!$B$154:$B$165,0)),""),"")</f>
        <v>5700</v>
      </c>
      <c r="V118" s="325"/>
      <c r="W118" s="352" t="str">
        <f>+IF(AND($A118&lt;&gt;"",LEN($B118)&gt;=8,COUNTIF($B$6:$B118,$B118)=1),$W$5,"")</f>
        <v/>
      </c>
      <c r="X118" s="329" t="str">
        <f t="shared" si="18"/>
        <v>XF</v>
      </c>
      <c r="Y118" s="1128" t="s">
        <v>3380</v>
      </c>
      <c r="Z118" s="1128" t="s">
        <v>3381</v>
      </c>
      <c r="AA118" s="1128" t="s">
        <v>3384</v>
      </c>
      <c r="AC118" s="73"/>
    </row>
    <row r="119" spans="1:29" s="20" customFormat="1">
      <c r="A119" s="327" t="str">
        <f>IF(AND($B119&lt;&gt;"",$C119&lt;&gt;""),MAX($A$4:A118)+1,"")</f>
        <v/>
      </c>
      <c r="B119" s="361" t="s">
        <v>593</v>
      </c>
      <c r="C119" s="360"/>
      <c r="D119" s="327">
        <f>IF($B119="","",COUNTIF($B$6:$B119,$B119))</f>
        <v>7</v>
      </c>
      <c r="E119" s="361" t="s">
        <v>44</v>
      </c>
      <c r="F119" s="362" t="s">
        <v>335</v>
      </c>
      <c r="G119" s="327" t="s">
        <v>328</v>
      </c>
      <c r="H119" s="325"/>
      <c r="I119" s="327">
        <v>2</v>
      </c>
      <c r="J119" s="361" t="s">
        <v>1196</v>
      </c>
      <c r="K119" s="327" t="s">
        <v>531</v>
      </c>
      <c r="L119" s="348">
        <f t="shared" si="19"/>
        <v>809970</v>
      </c>
      <c r="M119" s="355"/>
      <c r="N119" s="355" t="str">
        <f t="shared" si="16"/>
        <v>PR</v>
      </c>
      <c r="O119" s="345"/>
      <c r="P119" s="325"/>
      <c r="Q119" s="351"/>
      <c r="R119" s="351">
        <v>2</v>
      </c>
      <c r="S119" s="351">
        <v>5.8</v>
      </c>
      <c r="T119" s="351">
        <v>1.33</v>
      </c>
      <c r="U119" s="329">
        <f>IF($N119=$N$4,IFERROR(INDEX(DanhMuc!$E$154:$E$165,MATCH(MID($B119,4,2),DanhMuc!$B$154:$B$165,0)),""),"")</f>
        <v>5700</v>
      </c>
      <c r="V119" s="325"/>
      <c r="W119" s="352" t="str">
        <f>+IF(AND($A119&lt;&gt;"",LEN($B119)&gt;=8,COUNTIF($B$6:$B119,$B119)=1),$W$5,"")</f>
        <v/>
      </c>
      <c r="X119" s="329" t="str">
        <f t="shared" si="18"/>
        <v>XF</v>
      </c>
      <c r="Y119" s="1128" t="s">
        <v>3380</v>
      </c>
      <c r="Z119" s="1128" t="s">
        <v>3381</v>
      </c>
      <c r="AA119" s="1128" t="s">
        <v>3384</v>
      </c>
      <c r="AC119" s="73"/>
    </row>
    <row r="120" spans="1:29" s="20" customFormat="1">
      <c r="A120" s="327" t="str">
        <f>IF(AND($B120&lt;&gt;"",$C120&lt;&gt;""),MAX($A$4:A119)+1,"")</f>
        <v/>
      </c>
      <c r="B120" s="361" t="s">
        <v>593</v>
      </c>
      <c r="C120" s="360"/>
      <c r="D120" s="327">
        <f>IF($B120="","",COUNTIF($B$6:$B120,$B120))</f>
        <v>8</v>
      </c>
      <c r="E120" s="361" t="s">
        <v>45</v>
      </c>
      <c r="F120" s="362" t="s">
        <v>336</v>
      </c>
      <c r="G120" s="327" t="s">
        <v>328</v>
      </c>
      <c r="H120" s="325"/>
      <c r="I120" s="327">
        <v>2</v>
      </c>
      <c r="J120" s="361" t="s">
        <v>1196</v>
      </c>
      <c r="K120" s="327" t="s">
        <v>531</v>
      </c>
      <c r="L120" s="348">
        <f t="shared" si="19"/>
        <v>703395</v>
      </c>
      <c r="M120" s="355"/>
      <c r="N120" s="355" t="str">
        <f t="shared" si="16"/>
        <v>PR</v>
      </c>
      <c r="O120" s="345"/>
      <c r="P120" s="325"/>
      <c r="Q120" s="351"/>
      <c r="R120" s="351">
        <v>2</v>
      </c>
      <c r="S120" s="351">
        <v>5.8</v>
      </c>
      <c r="T120" s="351">
        <v>1.155</v>
      </c>
      <c r="U120" s="329">
        <f>IF($N120=$N$4,IFERROR(INDEX(DanhMuc!$E$154:$E$165,MATCH(MID($B120,4,2),DanhMuc!$B$154:$B$165,0)),""),"")</f>
        <v>5700</v>
      </c>
      <c r="V120" s="325"/>
      <c r="W120" s="352" t="str">
        <f>+IF(AND($A120&lt;&gt;"",LEN($B120)&gt;=8,COUNTIF($B$6:$B120,$B120)=1),$W$5,"")</f>
        <v/>
      </c>
      <c r="X120" s="329" t="str">
        <f t="shared" si="18"/>
        <v>XF</v>
      </c>
      <c r="Y120" s="1128" t="s">
        <v>3380</v>
      </c>
      <c r="Z120" s="1128" t="s">
        <v>3381</v>
      </c>
      <c r="AA120" s="1128" t="s">
        <v>3384</v>
      </c>
      <c r="AC120" s="73"/>
    </row>
    <row r="121" spans="1:29" s="20" customFormat="1">
      <c r="A121" s="327" t="str">
        <f>IF(AND($B121&lt;&gt;"",$C121&lt;&gt;""),MAX($A$4:A120)+1,"")</f>
        <v/>
      </c>
      <c r="B121" s="361" t="s">
        <v>593</v>
      </c>
      <c r="C121" s="360"/>
      <c r="D121" s="327">
        <f>IF($B121="","",COUNTIF($B$6:$B121,$B121))</f>
        <v>9</v>
      </c>
      <c r="E121" s="361" t="s">
        <v>598</v>
      </c>
      <c r="F121" s="362" t="s">
        <v>599</v>
      </c>
      <c r="G121" s="327" t="s">
        <v>328</v>
      </c>
      <c r="H121" s="325"/>
      <c r="I121" s="327">
        <v>2</v>
      </c>
      <c r="J121" s="361" t="s">
        <v>1197</v>
      </c>
      <c r="K121" s="327" t="s">
        <v>531</v>
      </c>
      <c r="L121" s="348">
        <f t="shared" si="19"/>
        <v>459186</v>
      </c>
      <c r="M121" s="355"/>
      <c r="N121" s="355" t="str">
        <f t="shared" si="16"/>
        <v>PR</v>
      </c>
      <c r="O121" s="345"/>
      <c r="P121" s="325"/>
      <c r="Q121" s="351"/>
      <c r="R121" s="351">
        <v>2</v>
      </c>
      <c r="S121" s="351">
        <v>5.8</v>
      </c>
      <c r="T121" s="351">
        <v>0.754</v>
      </c>
      <c r="U121" s="329">
        <f>IF($N121=$N$4,IFERROR(INDEX(DanhMuc!$E$154:$E$165,MATCH(MID($B121,4,2),DanhMuc!$B$154:$B$165,0)),""),"")</f>
        <v>5700</v>
      </c>
      <c r="V121" s="325"/>
      <c r="W121" s="352" t="str">
        <f>+IF(AND($A121&lt;&gt;"",LEN($B121)&gt;=8,COUNTIF($B$6:$B121,$B121)=1),$W$5,"")</f>
        <v/>
      </c>
      <c r="X121" s="329" t="str">
        <f t="shared" si="18"/>
        <v>XF</v>
      </c>
      <c r="Y121" s="1128" t="s">
        <v>3380</v>
      </c>
      <c r="Z121" s="1128" t="s">
        <v>3381</v>
      </c>
      <c r="AA121" s="1128" t="s">
        <v>3384</v>
      </c>
      <c r="AC121" s="73"/>
    </row>
    <row r="122" spans="1:29" s="20" customFormat="1">
      <c r="A122" s="327" t="str">
        <f>IF(AND($B122&lt;&gt;"",$C122&lt;&gt;""),MAX($A$4:A121)+1,"")</f>
        <v/>
      </c>
      <c r="B122" s="361" t="s">
        <v>593</v>
      </c>
      <c r="C122" s="360"/>
      <c r="D122" s="327">
        <f>IF($B122="","",COUNTIF($B$6:$B122,$B122))</f>
        <v>10</v>
      </c>
      <c r="E122" s="365" t="s">
        <v>2497</v>
      </c>
      <c r="F122" s="368" t="s">
        <v>368</v>
      </c>
      <c r="G122" s="327" t="s">
        <v>329</v>
      </c>
      <c r="H122" s="325"/>
      <c r="I122" s="327">
        <v>2</v>
      </c>
      <c r="J122" s="365" t="s">
        <v>1194</v>
      </c>
      <c r="K122" s="327" t="s">
        <v>531</v>
      </c>
      <c r="L122" s="348">
        <f t="shared" si="19"/>
        <v>79170</v>
      </c>
      <c r="M122" s="355"/>
      <c r="N122" s="355" t="str">
        <f t="shared" si="16"/>
        <v>PR</v>
      </c>
      <c r="O122" s="345"/>
      <c r="P122" s="325"/>
      <c r="Q122" s="351"/>
      <c r="R122" s="351">
        <v>0.9</v>
      </c>
      <c r="S122" s="351">
        <v>5.8</v>
      </c>
      <c r="T122" s="351">
        <v>0.13</v>
      </c>
      <c r="U122" s="329">
        <f>IF($N122=$N$4,IFERROR(INDEX(DanhMuc!$E$154:$E$165,MATCH(MID($B122,4,2),DanhMuc!$B$154:$B$165,0)),""),"")</f>
        <v>5700</v>
      </c>
      <c r="V122" s="325"/>
      <c r="W122" s="352" t="str">
        <f>+IF(AND($A122&lt;&gt;"",LEN($B122)&gt;=8,COUNTIF($B$6:$B122,$B122)=1),$W$5,"")</f>
        <v/>
      </c>
      <c r="X122" s="329" t="str">
        <f t="shared" si="18"/>
        <v>XF</v>
      </c>
      <c r="Y122" s="1128" t="s">
        <v>3380</v>
      </c>
      <c r="Z122" s="1128" t="s">
        <v>3381</v>
      </c>
      <c r="AA122" s="1128" t="s">
        <v>3384</v>
      </c>
      <c r="AC122" s="73"/>
    </row>
    <row r="123" spans="1:29" s="20" customFormat="1">
      <c r="A123" s="327" t="str">
        <f>IF(AND($B123&lt;&gt;"",$C123&lt;&gt;""),MAX($A$4:A122)+1,"")</f>
        <v/>
      </c>
      <c r="B123" s="361" t="s">
        <v>593</v>
      </c>
      <c r="C123" s="360"/>
      <c r="D123" s="327">
        <f>IF($B123="","",COUNTIF($B$6:$B123,$B123))</f>
        <v>11</v>
      </c>
      <c r="E123" s="365" t="s">
        <v>2497</v>
      </c>
      <c r="F123" s="368" t="s">
        <v>368</v>
      </c>
      <c r="G123" s="327" t="s">
        <v>328</v>
      </c>
      <c r="H123" s="325"/>
      <c r="I123" s="327">
        <v>2</v>
      </c>
      <c r="J123" s="361" t="s">
        <v>1197</v>
      </c>
      <c r="K123" s="327" t="s">
        <v>531</v>
      </c>
      <c r="L123" s="348">
        <f t="shared" si="19"/>
        <v>79170</v>
      </c>
      <c r="M123" s="355"/>
      <c r="N123" s="355" t="str">
        <f t="shared" si="16"/>
        <v>PR</v>
      </c>
      <c r="O123" s="345"/>
      <c r="P123" s="325"/>
      <c r="Q123" s="351"/>
      <c r="R123" s="351">
        <v>0.9</v>
      </c>
      <c r="S123" s="351">
        <v>5.8</v>
      </c>
      <c r="T123" s="351">
        <v>0.13</v>
      </c>
      <c r="U123" s="329">
        <f>IF($N123=$N$4,IFERROR(INDEX(DanhMuc!$E$154:$E$165,MATCH(MID($B123,4,2),DanhMuc!$B$154:$B$165,0)),""),"")</f>
        <v>5700</v>
      </c>
      <c r="V123" s="325"/>
      <c r="W123" s="352" t="str">
        <f>+IF(AND($A123&lt;&gt;"",LEN($B123)&gt;=8,COUNTIF($B$6:$B123,$B123)=1),$W$5,"")</f>
        <v/>
      </c>
      <c r="X123" s="329" t="str">
        <f t="shared" si="18"/>
        <v>XF</v>
      </c>
      <c r="Y123" s="1128" t="s">
        <v>3380</v>
      </c>
      <c r="Z123" s="1128" t="s">
        <v>3381</v>
      </c>
      <c r="AA123" s="1128" t="s">
        <v>3384</v>
      </c>
      <c r="AC123" s="73"/>
    </row>
    <row r="124" spans="1:29" s="20" customFormat="1" ht="39">
      <c r="A124" s="327">
        <f>IF(AND($B124&lt;&gt;"",$C124&lt;&gt;""),MAX($A$4:A109)+1,"")</f>
        <v>15</v>
      </c>
      <c r="B124" s="359" t="s">
        <v>748</v>
      </c>
      <c r="C124" s="360" t="s">
        <v>1533</v>
      </c>
      <c r="D124" s="327">
        <f>IF($B124="","",COUNTIF($B$6:$B124,$B124))</f>
        <v>1</v>
      </c>
      <c r="E124" s="361" t="s">
        <v>749</v>
      </c>
      <c r="F124" s="362" t="s">
        <v>750</v>
      </c>
      <c r="G124" s="327" t="s">
        <v>329</v>
      </c>
      <c r="H124" s="325"/>
      <c r="I124" s="327">
        <v>1</v>
      </c>
      <c r="J124" s="361" t="s">
        <v>594</v>
      </c>
      <c r="K124" s="327" t="s">
        <v>531</v>
      </c>
      <c r="L124" s="348">
        <f t="shared" si="19"/>
        <v>1193031</v>
      </c>
      <c r="M124" s="373"/>
      <c r="N124" s="355" t="str">
        <f t="shared" si="16"/>
        <v>PR</v>
      </c>
      <c r="O124" s="345"/>
      <c r="P124" s="325"/>
      <c r="Q124" s="351"/>
      <c r="R124" s="351">
        <v>2</v>
      </c>
      <c r="S124" s="351">
        <v>5.8</v>
      </c>
      <c r="T124" s="351">
        <v>1.9590000000000001</v>
      </c>
      <c r="U124" s="329">
        <f>IF($N124=$N$4,IFERROR(INDEX(DanhMuc!$E$154:$E$165,MATCH(MID($B124,4,2),DanhMuc!$B$154:$B$165,0)),""),"")</f>
        <v>5700</v>
      </c>
      <c r="V124" s="325"/>
      <c r="W124" s="352" t="str">
        <f>+IF(AND($A124&lt;&gt;"",LEN($B124)&gt;=8,COUNTIF($B$6:$B124,$B124)=1),$W$5,"")</f>
        <v>DMCua</v>
      </c>
      <c r="X124" s="329" t="str">
        <f t="shared" si="18"/>
        <v>XF</v>
      </c>
      <c r="Y124" s="1128" t="s">
        <v>3380</v>
      </c>
      <c r="Z124" s="1128" t="s">
        <v>3381</v>
      </c>
      <c r="AA124" s="1128" t="s">
        <v>3384</v>
      </c>
      <c r="AC124" s="73"/>
    </row>
    <row r="125" spans="1:29" s="20" customFormat="1" ht="25">
      <c r="A125" s="327" t="str">
        <f>IF(AND($B125&lt;&gt;"",$C125&lt;&gt;""),MAX($A$4:A124)+1,"")</f>
        <v/>
      </c>
      <c r="B125" s="361" t="s">
        <v>748</v>
      </c>
      <c r="C125" s="360"/>
      <c r="D125" s="327">
        <f>IF($B125="","",COUNTIF($B$6:$B125,$B125))</f>
        <v>2</v>
      </c>
      <c r="E125" s="361" t="s">
        <v>751</v>
      </c>
      <c r="F125" s="362" t="s">
        <v>752</v>
      </c>
      <c r="G125" s="327" t="s">
        <v>329</v>
      </c>
      <c r="H125" s="325"/>
      <c r="I125" s="327">
        <v>1</v>
      </c>
      <c r="J125" s="361" t="s">
        <v>594</v>
      </c>
      <c r="K125" s="327" t="s">
        <v>531</v>
      </c>
      <c r="L125" s="348">
        <f t="shared" si="19"/>
        <v>1397655</v>
      </c>
      <c r="M125" s="355"/>
      <c r="N125" s="355" t="str">
        <f t="shared" si="16"/>
        <v>PR</v>
      </c>
      <c r="O125" s="345"/>
      <c r="P125" s="325"/>
      <c r="Q125" s="351"/>
      <c r="R125" s="351">
        <v>2</v>
      </c>
      <c r="S125" s="351">
        <v>5.8</v>
      </c>
      <c r="T125" s="351">
        <v>2.2949999999999999</v>
      </c>
      <c r="U125" s="329">
        <f>IF($N125=$N$4,IFERROR(INDEX(DanhMuc!$E$154:$E$165,MATCH(MID($B125,4,2),DanhMuc!$B$154:$B$165,0)),""),"")</f>
        <v>5700</v>
      </c>
      <c r="V125" s="325"/>
      <c r="W125" s="352" t="str">
        <f>+IF(AND($A125&lt;&gt;"",LEN($B125)&gt;=8,COUNTIF($B$6:$B125,$B125)=1),$W$5,"")</f>
        <v/>
      </c>
      <c r="X125" s="329" t="str">
        <f t="shared" si="18"/>
        <v>XF</v>
      </c>
      <c r="Y125" s="1128" t="s">
        <v>3380</v>
      </c>
      <c r="Z125" s="1128" t="s">
        <v>3381</v>
      </c>
      <c r="AA125" s="1128" t="s">
        <v>3384</v>
      </c>
      <c r="AC125" s="73"/>
    </row>
    <row r="126" spans="1:29" s="20" customFormat="1">
      <c r="A126" s="327" t="str">
        <f>IF(AND($B126&lt;&gt;"",$C126&lt;&gt;""),MAX($A$4:A125)+1,"")</f>
        <v/>
      </c>
      <c r="B126" s="361" t="s">
        <v>748</v>
      </c>
      <c r="C126" s="360"/>
      <c r="D126" s="327">
        <f>IF($B126="","",COUNTIF($B$6:$B126,$B126))</f>
        <v>3</v>
      </c>
      <c r="E126" s="361" t="s">
        <v>753</v>
      </c>
      <c r="F126" s="362" t="s">
        <v>754</v>
      </c>
      <c r="G126" s="327" t="s">
        <v>328</v>
      </c>
      <c r="H126" s="325"/>
      <c r="I126" s="327">
        <v>2</v>
      </c>
      <c r="J126" s="361" t="s">
        <v>80</v>
      </c>
      <c r="K126" s="327" t="s">
        <v>531</v>
      </c>
      <c r="L126" s="348">
        <f t="shared" si="19"/>
        <v>832502.99999999988</v>
      </c>
      <c r="M126" s="355"/>
      <c r="N126" s="355" t="str">
        <f t="shared" si="16"/>
        <v>PR</v>
      </c>
      <c r="O126" s="345"/>
      <c r="P126" s="325"/>
      <c r="Q126" s="351"/>
      <c r="R126" s="351">
        <v>2</v>
      </c>
      <c r="S126" s="351">
        <v>5.8</v>
      </c>
      <c r="T126" s="351">
        <v>1.367</v>
      </c>
      <c r="U126" s="329">
        <f>IF($N126=$N$4,IFERROR(INDEX(DanhMuc!$E$154:$E$165,MATCH(MID($B126,4,2),DanhMuc!$B$154:$B$165,0)),""),"")</f>
        <v>5700</v>
      </c>
      <c r="V126" s="325"/>
      <c r="W126" s="352" t="str">
        <f>+IF(AND($A126&lt;&gt;"",LEN($B126)&gt;=8,COUNTIF($B$6:$B126,$B126)=1),$W$5,"")</f>
        <v/>
      </c>
      <c r="X126" s="329" t="str">
        <f t="shared" si="18"/>
        <v>XF</v>
      </c>
      <c r="Y126" s="1128" t="s">
        <v>3380</v>
      </c>
      <c r="Z126" s="1128" t="s">
        <v>3381</v>
      </c>
      <c r="AA126" s="1128" t="s">
        <v>3384</v>
      </c>
      <c r="AC126" s="73"/>
    </row>
    <row r="127" spans="1:29" s="20" customFormat="1">
      <c r="A127" s="327" t="str">
        <f>IF(AND($B127&lt;&gt;"",$C127&lt;&gt;""),MAX($A$4:A126)+1,"")</f>
        <v/>
      </c>
      <c r="B127" s="361" t="s">
        <v>748</v>
      </c>
      <c r="C127" s="360"/>
      <c r="D127" s="327">
        <f>IF($B127="","",COUNTIF($B$6:$B127,$B127))</f>
        <v>4</v>
      </c>
      <c r="E127" s="361" t="s">
        <v>48</v>
      </c>
      <c r="F127" s="362" t="s">
        <v>338</v>
      </c>
      <c r="G127" s="327" t="s">
        <v>329</v>
      </c>
      <c r="H127" s="325"/>
      <c r="I127" s="327">
        <v>2</v>
      </c>
      <c r="J127" s="361" t="s">
        <v>755</v>
      </c>
      <c r="K127" s="327" t="s">
        <v>531</v>
      </c>
      <c r="L127" s="348">
        <f t="shared" si="19"/>
        <v>632750.99999999988</v>
      </c>
      <c r="M127" s="355"/>
      <c r="N127" s="355" t="str">
        <f t="shared" si="16"/>
        <v>PR</v>
      </c>
      <c r="O127" s="345"/>
      <c r="P127" s="325"/>
      <c r="Q127" s="351"/>
      <c r="R127" s="351">
        <v>2</v>
      </c>
      <c r="S127" s="351">
        <v>5.8</v>
      </c>
      <c r="T127" s="351">
        <v>1.0389999999999999</v>
      </c>
      <c r="U127" s="329">
        <f>IF($N127=$N$4,IFERROR(INDEX(DanhMuc!$E$154:$E$165,MATCH(MID($B127,4,2),DanhMuc!$B$154:$B$165,0)),""),"")</f>
        <v>5700</v>
      </c>
      <c r="V127" s="325"/>
      <c r="W127" s="352" t="str">
        <f>+IF(AND($A127&lt;&gt;"",LEN($B127)&gt;=8,COUNTIF($B$6:$B127,$B127)=1),$W$5,"")</f>
        <v/>
      </c>
      <c r="X127" s="329" t="str">
        <f t="shared" si="18"/>
        <v>XF</v>
      </c>
      <c r="Y127" s="1128" t="s">
        <v>3380</v>
      </c>
      <c r="Z127" s="1128" t="s">
        <v>3381</v>
      </c>
      <c r="AA127" s="1128" t="s">
        <v>3384</v>
      </c>
      <c r="AC127" s="73"/>
    </row>
    <row r="128" spans="1:29" s="20" customFormat="1">
      <c r="A128" s="327" t="str">
        <f>IF(AND($B128&lt;&gt;"",$C128&lt;&gt;""),MAX($A$4:A127)+1,"")</f>
        <v/>
      </c>
      <c r="B128" s="361" t="s">
        <v>748</v>
      </c>
      <c r="C128" s="360"/>
      <c r="D128" s="327">
        <f>IF($B128="","",COUNTIF($B$6:$B128,$B128))</f>
        <v>5</v>
      </c>
      <c r="E128" s="361" t="s">
        <v>46</v>
      </c>
      <c r="F128" s="362" t="s">
        <v>337</v>
      </c>
      <c r="G128" s="327" t="s">
        <v>329</v>
      </c>
      <c r="H128" s="325"/>
      <c r="I128" s="327">
        <v>2</v>
      </c>
      <c r="J128" s="361" t="s">
        <v>755</v>
      </c>
      <c r="K128" s="327" t="s">
        <v>531</v>
      </c>
      <c r="L128" s="348">
        <f t="shared" si="19"/>
        <v>633360</v>
      </c>
      <c r="M128" s="355"/>
      <c r="N128" s="355" t="str">
        <f t="shared" si="16"/>
        <v>PR</v>
      </c>
      <c r="O128" s="345"/>
      <c r="P128" s="325"/>
      <c r="Q128" s="351"/>
      <c r="R128" s="351">
        <v>2</v>
      </c>
      <c r="S128" s="351">
        <v>5.8</v>
      </c>
      <c r="T128" s="351">
        <v>1.04</v>
      </c>
      <c r="U128" s="329">
        <f>IF($N128=$N$4,IFERROR(INDEX(DanhMuc!$E$154:$E$165,MATCH(MID($B128,4,2),DanhMuc!$B$154:$B$165,0)),""),"")</f>
        <v>5700</v>
      </c>
      <c r="V128" s="325"/>
      <c r="W128" s="352" t="str">
        <f>+IF(AND($A128&lt;&gt;"",LEN($B128)&gt;=8,COUNTIF($B$6:$B128,$B128)=1),$W$5,"")</f>
        <v/>
      </c>
      <c r="X128" s="329" t="str">
        <f t="shared" si="18"/>
        <v>XF</v>
      </c>
      <c r="Y128" s="1128" t="s">
        <v>3380</v>
      </c>
      <c r="Z128" s="1128" t="s">
        <v>3381</v>
      </c>
      <c r="AA128" s="1128" t="s">
        <v>3384</v>
      </c>
      <c r="AC128" s="73"/>
    </row>
    <row r="129" spans="1:29" s="20" customFormat="1">
      <c r="A129" s="327" t="str">
        <f>IF(AND($B129&lt;&gt;"",$C129&lt;&gt;""),MAX($A$4:A128)+1,"")</f>
        <v/>
      </c>
      <c r="B129" s="361" t="s">
        <v>748</v>
      </c>
      <c r="C129" s="360"/>
      <c r="D129" s="327">
        <f>IF($B129="","",COUNTIF($B$6:$B129,$B129))</f>
        <v>6</v>
      </c>
      <c r="E129" s="361" t="s">
        <v>48</v>
      </c>
      <c r="F129" s="362" t="s">
        <v>338</v>
      </c>
      <c r="G129" s="327" t="s">
        <v>329</v>
      </c>
      <c r="H129" s="325"/>
      <c r="I129" s="327">
        <v>1</v>
      </c>
      <c r="J129" s="361" t="s">
        <v>756</v>
      </c>
      <c r="K129" s="327" t="s">
        <v>531</v>
      </c>
      <c r="L129" s="348">
        <f t="shared" si="19"/>
        <v>632750.99999999988</v>
      </c>
      <c r="M129" s="355"/>
      <c r="N129" s="355" t="str">
        <f t="shared" ref="N129:N192" si="20">+$N$4</f>
        <v>PR</v>
      </c>
      <c r="O129" s="345"/>
      <c r="P129" s="325"/>
      <c r="Q129" s="351"/>
      <c r="R129" s="351">
        <v>2</v>
      </c>
      <c r="S129" s="351">
        <v>5.8</v>
      </c>
      <c r="T129" s="351">
        <v>1.0389999999999999</v>
      </c>
      <c r="U129" s="329">
        <f>IF($N129=$N$4,IFERROR(INDEX(DanhMuc!$E$154:$E$165,MATCH(MID($B129,4,2),DanhMuc!$B$154:$B$165,0)),""),"")</f>
        <v>5700</v>
      </c>
      <c r="V129" s="325"/>
      <c r="W129" s="352" t="str">
        <f>+IF(AND($A129&lt;&gt;"",LEN($B129)&gt;=8,COUNTIF($B$6:$B129,$B129)=1),$W$5,"")</f>
        <v/>
      </c>
      <c r="X129" s="329" t="str">
        <f t="shared" si="18"/>
        <v>XF</v>
      </c>
      <c r="Y129" s="1128" t="s">
        <v>3380</v>
      </c>
      <c r="Z129" s="1128" t="s">
        <v>3381</v>
      </c>
      <c r="AA129" s="1128" t="s">
        <v>3384</v>
      </c>
      <c r="AC129" s="73"/>
    </row>
    <row r="130" spans="1:29" s="20" customFormat="1">
      <c r="A130" s="327" t="str">
        <f>IF(AND($B130&lt;&gt;"",$C130&lt;&gt;""),MAX($A$4:A129)+1,"")</f>
        <v/>
      </c>
      <c r="B130" s="361" t="s">
        <v>748</v>
      </c>
      <c r="C130" s="360"/>
      <c r="D130" s="327">
        <f>IF($B130="","",COUNTIF($B$6:$B130,$B130))</f>
        <v>7</v>
      </c>
      <c r="E130" s="361" t="s">
        <v>46</v>
      </c>
      <c r="F130" s="362" t="s">
        <v>337</v>
      </c>
      <c r="G130" s="327" t="s">
        <v>329</v>
      </c>
      <c r="H130" s="325"/>
      <c r="I130" s="327">
        <v>1</v>
      </c>
      <c r="J130" s="361" t="s">
        <v>756</v>
      </c>
      <c r="K130" s="327" t="s">
        <v>531</v>
      </c>
      <c r="L130" s="348">
        <f t="shared" si="19"/>
        <v>633360</v>
      </c>
      <c r="M130" s="355"/>
      <c r="N130" s="355" t="str">
        <f t="shared" si="20"/>
        <v>PR</v>
      </c>
      <c r="O130" s="345"/>
      <c r="P130" s="325"/>
      <c r="Q130" s="351"/>
      <c r="R130" s="351">
        <v>2</v>
      </c>
      <c r="S130" s="351">
        <v>5.8</v>
      </c>
      <c r="T130" s="351">
        <v>1.04</v>
      </c>
      <c r="U130" s="329">
        <f>IF($N130=$N$4,IFERROR(INDEX(DanhMuc!$E$154:$E$165,MATCH(MID($B130,4,2),DanhMuc!$B$154:$B$165,0)),""),"")</f>
        <v>5700</v>
      </c>
      <c r="V130" s="325"/>
      <c r="W130" s="352" t="str">
        <f>+IF(AND($A130&lt;&gt;"",LEN($B130)&gt;=8,COUNTIF($B$6:$B130,$B130)=1),$W$5,"")</f>
        <v/>
      </c>
      <c r="X130" s="329" t="str">
        <f t="shared" si="18"/>
        <v>XF</v>
      </c>
      <c r="Y130" s="1128" t="s">
        <v>3380</v>
      </c>
      <c r="Z130" s="1128" t="s">
        <v>3381</v>
      </c>
      <c r="AA130" s="1128" t="s">
        <v>3384</v>
      </c>
      <c r="AC130" s="73"/>
    </row>
    <row r="131" spans="1:29" s="20" customFormat="1">
      <c r="A131" s="327" t="str">
        <f>IF(AND($B131&lt;&gt;"",$C131&lt;&gt;""),MAX($A$4:A130)+1,"")</f>
        <v/>
      </c>
      <c r="B131" s="361" t="s">
        <v>748</v>
      </c>
      <c r="C131" s="360"/>
      <c r="D131" s="327">
        <f>IF($B131="","",COUNTIF($B$6:$B131,$B131))</f>
        <v>8</v>
      </c>
      <c r="E131" s="361" t="s">
        <v>44</v>
      </c>
      <c r="F131" s="362" t="s">
        <v>335</v>
      </c>
      <c r="G131" s="327" t="s">
        <v>328</v>
      </c>
      <c r="H131" s="325"/>
      <c r="I131" s="327">
        <v>2</v>
      </c>
      <c r="J131" s="361" t="s">
        <v>757</v>
      </c>
      <c r="K131" s="327" t="s">
        <v>531</v>
      </c>
      <c r="L131" s="348">
        <f t="shared" si="19"/>
        <v>809970</v>
      </c>
      <c r="M131" s="355"/>
      <c r="N131" s="355" t="str">
        <f t="shared" si="20"/>
        <v>PR</v>
      </c>
      <c r="O131" s="345"/>
      <c r="P131" s="325"/>
      <c r="Q131" s="351"/>
      <c r="R131" s="351">
        <v>2</v>
      </c>
      <c r="S131" s="351">
        <v>5.8</v>
      </c>
      <c r="T131" s="351">
        <v>1.33</v>
      </c>
      <c r="U131" s="329">
        <f>IF($N131=$N$4,IFERROR(INDEX(DanhMuc!$E$154:$E$165,MATCH(MID($B131,4,2),DanhMuc!$B$154:$B$165,0)),""),"")</f>
        <v>5700</v>
      </c>
      <c r="V131" s="325"/>
      <c r="W131" s="352" t="str">
        <f>+IF(AND($A131&lt;&gt;"",LEN($B131)&gt;=8,COUNTIF($B$6:$B131,$B131)=1),$W$5,"")</f>
        <v/>
      </c>
      <c r="X131" s="329" t="str">
        <f t="shared" si="18"/>
        <v>XF</v>
      </c>
      <c r="Y131" s="1128" t="s">
        <v>3380</v>
      </c>
      <c r="Z131" s="1128" t="s">
        <v>3381</v>
      </c>
      <c r="AA131" s="1128" t="s">
        <v>3384</v>
      </c>
      <c r="AC131" s="73"/>
    </row>
    <row r="132" spans="1:29" s="20" customFormat="1">
      <c r="A132" s="327" t="str">
        <f>IF(AND($B132&lt;&gt;"",$C132&lt;&gt;""),MAX($A$4:A131)+1,"")</f>
        <v/>
      </c>
      <c r="B132" s="361" t="s">
        <v>748</v>
      </c>
      <c r="C132" s="360"/>
      <c r="D132" s="327">
        <f>IF($B132="","",COUNTIF($B$6:$B132,$B132))</f>
        <v>9</v>
      </c>
      <c r="E132" s="361" t="s">
        <v>45</v>
      </c>
      <c r="F132" s="362" t="s">
        <v>336</v>
      </c>
      <c r="G132" s="327" t="s">
        <v>328</v>
      </c>
      <c r="H132" s="325"/>
      <c r="I132" s="327">
        <v>4</v>
      </c>
      <c r="J132" s="361" t="s">
        <v>757</v>
      </c>
      <c r="K132" s="327" t="s">
        <v>531</v>
      </c>
      <c r="L132" s="348">
        <f t="shared" si="19"/>
        <v>703395</v>
      </c>
      <c r="M132" s="355"/>
      <c r="N132" s="355" t="str">
        <f t="shared" si="20"/>
        <v>PR</v>
      </c>
      <c r="O132" s="345"/>
      <c r="P132" s="325"/>
      <c r="Q132" s="351"/>
      <c r="R132" s="351">
        <v>2</v>
      </c>
      <c r="S132" s="351">
        <v>5.8</v>
      </c>
      <c r="T132" s="351">
        <v>1.155</v>
      </c>
      <c r="U132" s="329">
        <f>IF($N132=$N$4,IFERROR(INDEX(DanhMuc!$E$154:$E$165,MATCH(MID($B132,4,2),DanhMuc!$B$154:$B$165,0)),""),"")</f>
        <v>5700</v>
      </c>
      <c r="V132" s="325"/>
      <c r="W132" s="352" t="str">
        <f>+IF(AND($A132&lt;&gt;"",LEN($B132)&gt;=8,COUNTIF($B$6:$B132,$B132)=1),$W$5,"")</f>
        <v/>
      </c>
      <c r="X132" s="329" t="str">
        <f t="shared" si="18"/>
        <v>XF</v>
      </c>
      <c r="Y132" s="1128" t="s">
        <v>3380</v>
      </c>
      <c r="Z132" s="1128" t="s">
        <v>3381</v>
      </c>
      <c r="AA132" s="1128" t="s">
        <v>3384</v>
      </c>
      <c r="AC132" s="73"/>
    </row>
    <row r="133" spans="1:29" s="20" customFormat="1" ht="39">
      <c r="A133" s="327">
        <f>IF(AND($B133&lt;&gt;"",$C133&lt;&gt;""),MAX($A$4:A118)+1,"")</f>
        <v>16</v>
      </c>
      <c r="B133" s="359" t="s">
        <v>3155</v>
      </c>
      <c r="C133" s="360" t="s">
        <v>3154</v>
      </c>
      <c r="D133" s="327">
        <f>IF($B133="","",COUNTIF($B$6:$B133,$B133))</f>
        <v>1</v>
      </c>
      <c r="E133" s="361" t="s">
        <v>42</v>
      </c>
      <c r="F133" s="362" t="s">
        <v>334</v>
      </c>
      <c r="G133" s="327" t="s">
        <v>329</v>
      </c>
      <c r="H133" s="325"/>
      <c r="I133" s="327">
        <v>1</v>
      </c>
      <c r="J133" s="361" t="s">
        <v>594</v>
      </c>
      <c r="K133" s="327" t="s">
        <v>531</v>
      </c>
      <c r="L133" s="348">
        <f t="shared" si="19"/>
        <v>1193031</v>
      </c>
      <c r="M133" s="373"/>
      <c r="N133" s="355" t="str">
        <f t="shared" si="16"/>
        <v>PR</v>
      </c>
      <c r="O133" s="345"/>
      <c r="P133" s="325"/>
      <c r="Q133" s="351"/>
      <c r="R133" s="351">
        <v>2</v>
      </c>
      <c r="S133" s="351">
        <v>5.8</v>
      </c>
      <c r="T133" s="351">
        <v>1.9590000000000001</v>
      </c>
      <c r="U133" s="329">
        <f>IF($N133=$N$4,IFERROR(INDEX(DanhMuc!$E$154:$E$165,MATCH(MID($B133,4,2),DanhMuc!$B$154:$B$165,0)),""),"")</f>
        <v>5700</v>
      </c>
      <c r="V133" s="325"/>
      <c r="W133" s="352" t="str">
        <f>+IF(AND($A133&lt;&gt;"",LEN($B133)&gt;=8,COUNTIF($B$6:$B133,$B133)=1),$W$5,"")</f>
        <v>DMCua</v>
      </c>
      <c r="X133" s="329" t="str">
        <f t="shared" si="18"/>
        <v>XF</v>
      </c>
      <c r="Y133" s="1128" t="s">
        <v>3380</v>
      </c>
      <c r="Z133" s="1128" t="s">
        <v>3381</v>
      </c>
      <c r="AA133" s="1128" t="s">
        <v>3384</v>
      </c>
      <c r="AC133" s="73"/>
    </row>
    <row r="134" spans="1:29" s="20" customFormat="1">
      <c r="A134" s="327" t="str">
        <f>IF(AND($B134&lt;&gt;"",$C134&lt;&gt;""),MAX($A$4:A133)+1,"")</f>
        <v/>
      </c>
      <c r="B134" s="361" t="s">
        <v>3155</v>
      </c>
      <c r="C134" s="360"/>
      <c r="D134" s="327">
        <f>IF($B134="","",COUNTIF($B$6:$B134,$B134))</f>
        <v>2</v>
      </c>
      <c r="E134" s="361" t="s">
        <v>43</v>
      </c>
      <c r="F134" s="362" t="s">
        <v>333</v>
      </c>
      <c r="G134" s="327" t="s">
        <v>329</v>
      </c>
      <c r="H134" s="325"/>
      <c r="I134" s="327">
        <v>1</v>
      </c>
      <c r="J134" s="361" t="s">
        <v>594</v>
      </c>
      <c r="K134" s="327" t="s">
        <v>531</v>
      </c>
      <c r="L134" s="348">
        <f t="shared" si="19"/>
        <v>1397655</v>
      </c>
      <c r="M134" s="355"/>
      <c r="N134" s="355" t="str">
        <f t="shared" si="16"/>
        <v>PR</v>
      </c>
      <c r="O134" s="345"/>
      <c r="P134" s="325"/>
      <c r="Q134" s="351"/>
      <c r="R134" s="351">
        <v>2</v>
      </c>
      <c r="S134" s="351">
        <v>5.8</v>
      </c>
      <c r="T134" s="351">
        <v>2.2949999999999999</v>
      </c>
      <c r="U134" s="329">
        <f>IF($N134=$N$4,IFERROR(INDEX(DanhMuc!$E$154:$E$165,MATCH(MID($B134,4,2),DanhMuc!$B$154:$B$165,0)),""),"")</f>
        <v>5700</v>
      </c>
      <c r="V134" s="325"/>
      <c r="W134" s="352" t="str">
        <f>+IF(AND($A134&lt;&gt;"",LEN($B134)&gt;=8,COUNTIF($B$6:$B134,$B134)=1),$W$5,"")</f>
        <v/>
      </c>
      <c r="X134" s="329" t="str">
        <f t="shared" si="18"/>
        <v>XF</v>
      </c>
      <c r="Y134" s="1128" t="s">
        <v>3380</v>
      </c>
      <c r="Z134" s="1128" t="s">
        <v>3381</v>
      </c>
      <c r="AA134" s="1128" t="s">
        <v>3384</v>
      </c>
      <c r="AC134" s="73"/>
    </row>
    <row r="135" spans="1:29" s="20" customFormat="1">
      <c r="A135" s="327" t="str">
        <f>IF(AND($B135&lt;&gt;"",$C135&lt;&gt;""),MAX($A$4:A134)+1,"")</f>
        <v/>
      </c>
      <c r="B135" s="361" t="s">
        <v>3155</v>
      </c>
      <c r="C135" s="360"/>
      <c r="D135" s="327">
        <f>IF($B135="","",COUNTIF($B$6:$B135,$B135))</f>
        <v>3</v>
      </c>
      <c r="E135" s="361" t="s">
        <v>41</v>
      </c>
      <c r="F135" s="362" t="s">
        <v>445</v>
      </c>
      <c r="G135" s="327" t="s">
        <v>328</v>
      </c>
      <c r="H135" s="325"/>
      <c r="I135" s="327">
        <v>2</v>
      </c>
      <c r="J135" s="361" t="s">
        <v>80</v>
      </c>
      <c r="K135" s="327" t="s">
        <v>531</v>
      </c>
      <c r="L135" s="348">
        <f t="shared" si="19"/>
        <v>832502.99999999988</v>
      </c>
      <c r="M135" s="355"/>
      <c r="N135" s="355" t="str">
        <f t="shared" si="16"/>
        <v>PR</v>
      </c>
      <c r="O135" s="345"/>
      <c r="P135" s="325"/>
      <c r="Q135" s="351"/>
      <c r="R135" s="351">
        <v>2</v>
      </c>
      <c r="S135" s="351">
        <v>5.8</v>
      </c>
      <c r="T135" s="351">
        <v>1.367</v>
      </c>
      <c r="U135" s="329">
        <f>IF($N135=$N$4,IFERROR(INDEX(DanhMuc!$E$154:$E$165,MATCH(MID($B135,4,2),DanhMuc!$B$154:$B$165,0)),""),"")</f>
        <v>5700</v>
      </c>
      <c r="V135" s="325"/>
      <c r="W135" s="352" t="str">
        <f>+IF(AND($A135&lt;&gt;"",LEN($B135)&gt;=8,COUNTIF($B$6:$B135,$B135)=1),$W$5,"")</f>
        <v/>
      </c>
      <c r="X135" s="329" t="str">
        <f t="shared" si="18"/>
        <v>XF</v>
      </c>
      <c r="Y135" s="1128" t="s">
        <v>3380</v>
      </c>
      <c r="Z135" s="1128" t="s">
        <v>3381</v>
      </c>
      <c r="AA135" s="1128" t="s">
        <v>3384</v>
      </c>
      <c r="AC135" s="73"/>
    </row>
    <row r="136" spans="1:29" s="20" customFormat="1">
      <c r="A136" s="327" t="str">
        <f>IF(AND($B136&lt;&gt;"",$C136&lt;&gt;""),MAX($A$4:A135)+1,"")</f>
        <v/>
      </c>
      <c r="B136" s="361" t="s">
        <v>3155</v>
      </c>
      <c r="C136" s="360"/>
      <c r="D136" s="327">
        <f>IF($B136="","",COUNTIF($B$6:$B136,$B136))</f>
        <v>4</v>
      </c>
      <c r="E136" s="361" t="s">
        <v>48</v>
      </c>
      <c r="F136" s="362" t="s">
        <v>338</v>
      </c>
      <c r="G136" s="327" t="s">
        <v>329</v>
      </c>
      <c r="H136" s="325"/>
      <c r="I136" s="327">
        <v>2</v>
      </c>
      <c r="J136" s="361" t="s">
        <v>3156</v>
      </c>
      <c r="K136" s="327" t="s">
        <v>531</v>
      </c>
      <c r="L136" s="348">
        <f t="shared" si="19"/>
        <v>632750.99999999988</v>
      </c>
      <c r="M136" s="355"/>
      <c r="N136" s="355" t="str">
        <f t="shared" si="16"/>
        <v>PR</v>
      </c>
      <c r="O136" s="345"/>
      <c r="P136" s="325"/>
      <c r="Q136" s="351"/>
      <c r="R136" s="351">
        <v>2</v>
      </c>
      <c r="S136" s="351">
        <v>5.8</v>
      </c>
      <c r="T136" s="351">
        <v>1.0389999999999999</v>
      </c>
      <c r="U136" s="329">
        <f>IF($N136=$N$4,IFERROR(INDEX(DanhMuc!$E$154:$E$165,MATCH(MID($B136,4,2),DanhMuc!$B$154:$B$165,0)),""),"")</f>
        <v>5700</v>
      </c>
      <c r="V136" s="325"/>
      <c r="W136" s="352" t="str">
        <f>+IF(AND($A136&lt;&gt;"",LEN($B136)&gt;=8,COUNTIF($B$6:$B136,$B136)=1),$W$5,"")</f>
        <v/>
      </c>
      <c r="X136" s="329" t="str">
        <f t="shared" si="18"/>
        <v>XF</v>
      </c>
      <c r="Y136" s="1128" t="s">
        <v>3380</v>
      </c>
      <c r="Z136" s="1128" t="s">
        <v>3381</v>
      </c>
      <c r="AA136" s="1128" t="s">
        <v>3384</v>
      </c>
      <c r="AC136" s="73"/>
    </row>
    <row r="137" spans="1:29" s="20" customFormat="1">
      <c r="A137" s="327" t="str">
        <f>IF(AND($B137&lt;&gt;"",$C137&lt;&gt;""),MAX($A$4:A136)+1,"")</f>
        <v/>
      </c>
      <c r="B137" s="361" t="s">
        <v>3155</v>
      </c>
      <c r="C137" s="360"/>
      <c r="D137" s="327">
        <f>IF($B137="","",COUNTIF($B$6:$B137,$B137))</f>
        <v>5</v>
      </c>
      <c r="E137" s="361" t="s">
        <v>46</v>
      </c>
      <c r="F137" s="362" t="s">
        <v>337</v>
      </c>
      <c r="G137" s="327" t="s">
        <v>329</v>
      </c>
      <c r="H137" s="325"/>
      <c r="I137" s="327">
        <v>2</v>
      </c>
      <c r="J137" s="361" t="s">
        <v>3156</v>
      </c>
      <c r="K137" s="327" t="s">
        <v>531</v>
      </c>
      <c r="L137" s="348">
        <f t="shared" si="19"/>
        <v>633360</v>
      </c>
      <c r="M137" s="355"/>
      <c r="N137" s="355" t="str">
        <f t="shared" si="16"/>
        <v>PR</v>
      </c>
      <c r="O137" s="345"/>
      <c r="P137" s="325"/>
      <c r="Q137" s="351"/>
      <c r="R137" s="351">
        <v>2</v>
      </c>
      <c r="S137" s="351">
        <v>5.8</v>
      </c>
      <c r="T137" s="351">
        <v>1.04</v>
      </c>
      <c r="U137" s="329">
        <f>IF($N137=$N$4,IFERROR(INDEX(DanhMuc!$E$154:$E$165,MATCH(MID($B137,4,2),DanhMuc!$B$154:$B$165,0)),""),"")</f>
        <v>5700</v>
      </c>
      <c r="V137" s="325"/>
      <c r="W137" s="352" t="str">
        <f>+IF(AND($A137&lt;&gt;"",LEN($B137)&gt;=8,COUNTIF($B$6:$B137,$B137)=1),$W$5,"")</f>
        <v/>
      </c>
      <c r="X137" s="329" t="str">
        <f t="shared" si="18"/>
        <v>XF</v>
      </c>
      <c r="Y137" s="1128" t="s">
        <v>3380</v>
      </c>
      <c r="Z137" s="1128" t="s">
        <v>3381</v>
      </c>
      <c r="AA137" s="1128" t="s">
        <v>3384</v>
      </c>
      <c r="AC137" s="73"/>
    </row>
    <row r="138" spans="1:29" s="20" customFormat="1">
      <c r="A138" s="327" t="str">
        <f>IF(AND($B138&lt;&gt;"",$C138&lt;&gt;""),MAX($A$4:A137)+1,"")</f>
        <v/>
      </c>
      <c r="B138" s="361" t="s">
        <v>3155</v>
      </c>
      <c r="C138" s="360"/>
      <c r="D138" s="327">
        <f>IF($B138="","",COUNTIF($B$6:$B138,$B138))</f>
        <v>6</v>
      </c>
      <c r="E138" s="361" t="s">
        <v>48</v>
      </c>
      <c r="F138" s="362" t="s">
        <v>338</v>
      </c>
      <c r="G138" s="327" t="s">
        <v>329</v>
      </c>
      <c r="H138" s="325"/>
      <c r="I138" s="327">
        <v>1</v>
      </c>
      <c r="J138" s="361" t="s">
        <v>3157</v>
      </c>
      <c r="K138" s="327" t="s">
        <v>531</v>
      </c>
      <c r="L138" s="348">
        <f t="shared" si="19"/>
        <v>632750.99999999988</v>
      </c>
      <c r="M138" s="355"/>
      <c r="N138" s="355" t="str">
        <f t="shared" si="20"/>
        <v>PR</v>
      </c>
      <c r="O138" s="345"/>
      <c r="P138" s="325"/>
      <c r="Q138" s="351"/>
      <c r="R138" s="351">
        <v>2</v>
      </c>
      <c r="S138" s="351">
        <v>5.8</v>
      </c>
      <c r="T138" s="351">
        <v>1.0389999999999999</v>
      </c>
      <c r="U138" s="329">
        <f>IF($N138=$N$4,IFERROR(INDEX(DanhMuc!$E$154:$E$165,MATCH(MID($B138,4,2),DanhMuc!$B$154:$B$165,0)),""),"")</f>
        <v>5700</v>
      </c>
      <c r="V138" s="325"/>
      <c r="W138" s="352" t="str">
        <f>+IF(AND($A138&lt;&gt;"",LEN($B138)&gt;=8,COUNTIF($B$6:$B138,$B138)=1),$W$5,"")</f>
        <v/>
      </c>
      <c r="X138" s="329" t="str">
        <f t="shared" si="18"/>
        <v>XF</v>
      </c>
      <c r="Y138" s="1128" t="s">
        <v>3380</v>
      </c>
      <c r="Z138" s="1128" t="s">
        <v>3381</v>
      </c>
      <c r="AA138" s="1128" t="s">
        <v>3384</v>
      </c>
      <c r="AC138" s="73"/>
    </row>
    <row r="139" spans="1:29" s="20" customFormat="1">
      <c r="A139" s="327" t="str">
        <f>IF(AND($B139&lt;&gt;"",$C139&lt;&gt;""),MAX($A$4:A138)+1,"")</f>
        <v/>
      </c>
      <c r="B139" s="361" t="s">
        <v>3155</v>
      </c>
      <c r="C139" s="360"/>
      <c r="D139" s="327">
        <f>IF($B139="","",COUNTIF($B$6:$B139,$B139))</f>
        <v>7</v>
      </c>
      <c r="E139" s="361" t="s">
        <v>46</v>
      </c>
      <c r="F139" s="362" t="s">
        <v>337</v>
      </c>
      <c r="G139" s="327" t="s">
        <v>329</v>
      </c>
      <c r="H139" s="325"/>
      <c r="I139" s="327">
        <v>1</v>
      </c>
      <c r="J139" s="361" t="s">
        <v>3157</v>
      </c>
      <c r="K139" s="327" t="s">
        <v>531</v>
      </c>
      <c r="L139" s="348">
        <f t="shared" si="19"/>
        <v>633360</v>
      </c>
      <c r="M139" s="355"/>
      <c r="N139" s="355" t="str">
        <f t="shared" si="20"/>
        <v>PR</v>
      </c>
      <c r="O139" s="345"/>
      <c r="P139" s="325"/>
      <c r="Q139" s="351"/>
      <c r="R139" s="351">
        <v>2</v>
      </c>
      <c r="S139" s="351">
        <v>5.8</v>
      </c>
      <c r="T139" s="351">
        <v>1.04</v>
      </c>
      <c r="U139" s="329">
        <f>IF($N139=$N$4,IFERROR(INDEX(DanhMuc!$E$154:$E$165,MATCH(MID($B139,4,2),DanhMuc!$B$154:$B$165,0)),""),"")</f>
        <v>5700</v>
      </c>
      <c r="V139" s="325"/>
      <c r="W139" s="352" t="str">
        <f>+IF(AND($A139&lt;&gt;"",LEN($B139)&gt;=8,COUNTIF($B$6:$B139,$B139)=1),$W$5,"")</f>
        <v/>
      </c>
      <c r="X139" s="329" t="str">
        <f t="shared" si="18"/>
        <v>XF</v>
      </c>
      <c r="Y139" s="1128" t="s">
        <v>3380</v>
      </c>
      <c r="Z139" s="1128" t="s">
        <v>3381</v>
      </c>
      <c r="AA139" s="1128" t="s">
        <v>3384</v>
      </c>
      <c r="AC139" s="73"/>
    </row>
    <row r="140" spans="1:29" s="20" customFormat="1">
      <c r="A140" s="327" t="str">
        <f>IF(AND($B140&lt;&gt;"",$C140&lt;&gt;""),MAX($A$4:A139)+1,"")</f>
        <v/>
      </c>
      <c r="B140" s="361" t="s">
        <v>3155</v>
      </c>
      <c r="C140" s="360"/>
      <c r="D140" s="327">
        <f>IF($B140="","",COUNTIF($B$6:$B140,$B140))</f>
        <v>8</v>
      </c>
      <c r="E140" s="361" t="s">
        <v>44</v>
      </c>
      <c r="F140" s="362" t="s">
        <v>335</v>
      </c>
      <c r="G140" s="327" t="s">
        <v>328</v>
      </c>
      <c r="H140" s="325"/>
      <c r="I140" s="327">
        <v>2</v>
      </c>
      <c r="J140" s="361" t="s">
        <v>737</v>
      </c>
      <c r="K140" s="327" t="s">
        <v>531</v>
      </c>
      <c r="L140" s="348">
        <f t="shared" si="19"/>
        <v>809970</v>
      </c>
      <c r="M140" s="355"/>
      <c r="N140" s="355" t="str">
        <f t="shared" si="20"/>
        <v>PR</v>
      </c>
      <c r="O140" s="345"/>
      <c r="P140" s="325"/>
      <c r="Q140" s="351"/>
      <c r="R140" s="351">
        <v>2</v>
      </c>
      <c r="S140" s="351">
        <v>5.8</v>
      </c>
      <c r="T140" s="351">
        <v>1.33</v>
      </c>
      <c r="U140" s="329">
        <f>IF($N140=$N$4,IFERROR(INDEX(DanhMuc!$E$154:$E$165,MATCH(MID($B140,4,2),DanhMuc!$B$154:$B$165,0)),""),"")</f>
        <v>5700</v>
      </c>
      <c r="V140" s="325"/>
      <c r="W140" s="352" t="str">
        <f>+IF(AND($A140&lt;&gt;"",LEN($B140)&gt;=8,COUNTIF($B$6:$B140,$B140)=1),$W$5,"")</f>
        <v/>
      </c>
      <c r="X140" s="329" t="str">
        <f t="shared" si="18"/>
        <v>XF</v>
      </c>
      <c r="Y140" s="1128" t="s">
        <v>3380</v>
      </c>
      <c r="Z140" s="1128" t="s">
        <v>3381</v>
      </c>
      <c r="AA140" s="1128" t="s">
        <v>3384</v>
      </c>
      <c r="AC140" s="73"/>
    </row>
    <row r="141" spans="1:29" s="20" customFormat="1">
      <c r="A141" s="327" t="str">
        <f>IF(AND($B141&lt;&gt;"",$C141&lt;&gt;""),MAX($A$4:A140)+1,"")</f>
        <v/>
      </c>
      <c r="B141" s="361" t="s">
        <v>3155</v>
      </c>
      <c r="C141" s="360"/>
      <c r="D141" s="327">
        <f>IF($B141="","",COUNTIF($B$6:$B141,$B141))</f>
        <v>9</v>
      </c>
      <c r="E141" s="361" t="s">
        <v>45</v>
      </c>
      <c r="F141" s="362" t="s">
        <v>336</v>
      </c>
      <c r="G141" s="327" t="s">
        <v>328</v>
      </c>
      <c r="H141" s="325"/>
      <c r="I141" s="327">
        <v>4</v>
      </c>
      <c r="J141" s="361" t="s">
        <v>737</v>
      </c>
      <c r="K141" s="327" t="s">
        <v>531</v>
      </c>
      <c r="L141" s="348">
        <f t="shared" si="19"/>
        <v>703395</v>
      </c>
      <c r="M141" s="355"/>
      <c r="N141" s="355" t="str">
        <f t="shared" si="20"/>
        <v>PR</v>
      </c>
      <c r="O141" s="345"/>
      <c r="P141" s="325"/>
      <c r="Q141" s="351"/>
      <c r="R141" s="351">
        <v>2</v>
      </c>
      <c r="S141" s="351">
        <v>5.8</v>
      </c>
      <c r="T141" s="351">
        <v>1.155</v>
      </c>
      <c r="U141" s="329">
        <f>IF($N141=$N$4,IFERROR(INDEX(DanhMuc!$E$154:$E$165,MATCH(MID($B141,4,2),DanhMuc!$B$154:$B$165,0)),""),"")</f>
        <v>5700</v>
      </c>
      <c r="V141" s="325"/>
      <c r="W141" s="352" t="str">
        <f>+IF(AND($A141&lt;&gt;"",LEN($B141)&gt;=8,COUNTIF($B$6:$B141,$B141)=1),$W$5,"")</f>
        <v/>
      </c>
      <c r="X141" s="329" t="str">
        <f t="shared" si="18"/>
        <v>XF</v>
      </c>
      <c r="Y141" s="1128" t="s">
        <v>3380</v>
      </c>
      <c r="Z141" s="1128" t="s">
        <v>3381</v>
      </c>
      <c r="AA141" s="1128" t="s">
        <v>3384</v>
      </c>
      <c r="AC141" s="73"/>
    </row>
    <row r="142" spans="1:29" s="20" customFormat="1" ht="26">
      <c r="A142" s="327">
        <f>IF(AND($B142&lt;&gt;"",$C142&lt;&gt;""),MAX($A$4:A123)+1,"")</f>
        <v>16</v>
      </c>
      <c r="B142" s="359" t="s">
        <v>588</v>
      </c>
      <c r="C142" s="360" t="s">
        <v>1534</v>
      </c>
      <c r="D142" s="327">
        <f>IF($B142="","",COUNTIF($B$6:$B142,$B142))</f>
        <v>1</v>
      </c>
      <c r="E142" s="363" t="s">
        <v>42</v>
      </c>
      <c r="F142" s="362" t="s">
        <v>334</v>
      </c>
      <c r="G142" s="327" t="s">
        <v>329</v>
      </c>
      <c r="H142" s="325"/>
      <c r="I142" s="327">
        <v>1</v>
      </c>
      <c r="J142" s="361" t="s">
        <v>982</v>
      </c>
      <c r="K142" s="327" t="s">
        <v>531</v>
      </c>
      <c r="L142" s="348">
        <f t="shared" si="19"/>
        <v>932988</v>
      </c>
      <c r="M142" s="373"/>
      <c r="N142" s="355" t="str">
        <f t="shared" si="20"/>
        <v>PR</v>
      </c>
      <c r="O142" s="345"/>
      <c r="P142" s="325"/>
      <c r="Q142" s="351"/>
      <c r="R142" s="351">
        <v>2</v>
      </c>
      <c r="S142" s="351">
        <v>5.8</v>
      </c>
      <c r="T142" s="351">
        <v>1.532</v>
      </c>
      <c r="U142" s="329">
        <f>IF($N142=$N$4,IFERROR(INDEX(DanhMuc!$E$154:$E$165,MATCH(MID($B142,4,2),DanhMuc!$B$154:$B$165,0)),""),"")</f>
        <v>5700</v>
      </c>
      <c r="V142" s="325"/>
      <c r="W142" s="352" t="str">
        <f>+IF(AND($A142&lt;&gt;"",LEN($B142)&gt;=8,COUNTIF($B$6:$B142,$B142)=1),$W$5,"")</f>
        <v>DMCua</v>
      </c>
      <c r="X142" s="329" t="str">
        <f t="shared" si="18"/>
        <v>XF</v>
      </c>
      <c r="Y142" s="1128" t="s">
        <v>3380</v>
      </c>
      <c r="Z142" s="1128" t="s">
        <v>3381</v>
      </c>
      <c r="AA142" s="1128" t="s">
        <v>3384</v>
      </c>
      <c r="AC142" s="73"/>
    </row>
    <row r="143" spans="1:29" s="20" customFormat="1">
      <c r="A143" s="327" t="str">
        <f>IF(AND($B143&lt;&gt;"",$C143&lt;&gt;""),MAX($A$4:A142)+1,"")</f>
        <v/>
      </c>
      <c r="B143" s="361" t="s">
        <v>588</v>
      </c>
      <c r="C143" s="360"/>
      <c r="D143" s="327">
        <f>IF($B143="","",COUNTIF($B$6:$B143,$B143))</f>
        <v>2</v>
      </c>
      <c r="E143" s="361" t="s">
        <v>43</v>
      </c>
      <c r="F143" s="362" t="s">
        <v>333</v>
      </c>
      <c r="G143" s="327" t="s">
        <v>329</v>
      </c>
      <c r="H143" s="325"/>
      <c r="I143" s="327">
        <v>1</v>
      </c>
      <c r="J143" s="361" t="s">
        <v>982</v>
      </c>
      <c r="K143" s="327" t="s">
        <v>531</v>
      </c>
      <c r="L143" s="348">
        <f t="shared" si="19"/>
        <v>799616.99999999988</v>
      </c>
      <c r="M143" s="355"/>
      <c r="N143" s="355" t="str">
        <f t="shared" si="20"/>
        <v>PR</v>
      </c>
      <c r="O143" s="345"/>
      <c r="P143" s="325"/>
      <c r="Q143" s="351"/>
      <c r="R143" s="351">
        <v>2</v>
      </c>
      <c r="S143" s="351">
        <v>5.8</v>
      </c>
      <c r="T143" s="351">
        <v>1.3129999999999999</v>
      </c>
      <c r="U143" s="329">
        <f>IF($N143=$N$4,IFERROR(INDEX(DanhMuc!$E$154:$E$165,MATCH(MID($B143,4,2),DanhMuc!$B$154:$B$165,0)),""),"")</f>
        <v>5700</v>
      </c>
      <c r="V143" s="325"/>
      <c r="W143" s="352" t="str">
        <f>+IF(AND($A143&lt;&gt;"",LEN($B143)&gt;=8,COUNTIF($B$6:$B143,$B143)=1),$W$5,"")</f>
        <v/>
      </c>
      <c r="X143" s="329" t="str">
        <f t="shared" si="18"/>
        <v>XF</v>
      </c>
      <c r="Y143" s="1128" t="s">
        <v>3380</v>
      </c>
      <c r="Z143" s="1128" t="s">
        <v>3381</v>
      </c>
      <c r="AA143" s="1128" t="s">
        <v>3384</v>
      </c>
      <c r="AC143" s="73"/>
    </row>
    <row r="144" spans="1:29" s="20" customFormat="1">
      <c r="A144" s="327" t="str">
        <f>IF(AND($B144&lt;&gt;"",$C144&lt;&gt;""),MAX($A$4:A143)+1,"")</f>
        <v/>
      </c>
      <c r="B144" s="361" t="s">
        <v>588</v>
      </c>
      <c r="C144" s="360"/>
      <c r="D144" s="327">
        <f>IF($B144="","",COUNTIF($B$6:$B144,$B144))</f>
        <v>3</v>
      </c>
      <c r="E144" s="361" t="s">
        <v>41</v>
      </c>
      <c r="F144" s="362" t="s">
        <v>445</v>
      </c>
      <c r="G144" s="327" t="s">
        <v>328</v>
      </c>
      <c r="H144" s="325"/>
      <c r="I144" s="327">
        <v>2</v>
      </c>
      <c r="J144" s="361" t="s">
        <v>80</v>
      </c>
      <c r="K144" s="327" t="s">
        <v>531</v>
      </c>
      <c r="L144" s="348">
        <f t="shared" si="19"/>
        <v>728973</v>
      </c>
      <c r="M144" s="355"/>
      <c r="N144" s="355" t="str">
        <f t="shared" si="20"/>
        <v>PR</v>
      </c>
      <c r="O144" s="345"/>
      <c r="P144" s="325"/>
      <c r="Q144" s="351"/>
      <c r="R144" s="351">
        <v>2</v>
      </c>
      <c r="S144" s="351">
        <v>5.8</v>
      </c>
      <c r="T144" s="351">
        <v>1.1970000000000001</v>
      </c>
      <c r="U144" s="329">
        <f>IF($N144=$N$4,IFERROR(INDEX(DanhMuc!$E$154:$E$165,MATCH(MID($B144,4,2),DanhMuc!$B$154:$B$165,0)),""),"")</f>
        <v>5700</v>
      </c>
      <c r="V144" s="325"/>
      <c r="W144" s="352" t="str">
        <f>+IF(AND($A144&lt;&gt;"",LEN($B144)&gt;=8,COUNTIF($B$6:$B144,$B144)=1),$W$5,"")</f>
        <v/>
      </c>
      <c r="X144" s="329" t="str">
        <f t="shared" si="18"/>
        <v>XF</v>
      </c>
      <c r="Y144" s="1128" t="s">
        <v>3380</v>
      </c>
      <c r="Z144" s="1128" t="s">
        <v>3381</v>
      </c>
      <c r="AA144" s="1128" t="s">
        <v>3384</v>
      </c>
      <c r="AC144" s="73"/>
    </row>
    <row r="145" spans="1:29" s="20" customFormat="1">
      <c r="A145" s="327" t="str">
        <f>IF(AND($B145&lt;&gt;"",$C145&lt;&gt;""),MAX($A$4:A144)+1,"")</f>
        <v/>
      </c>
      <c r="B145" s="361" t="s">
        <v>588</v>
      </c>
      <c r="C145" s="360"/>
      <c r="D145" s="327">
        <f>IF($B145="","",COUNTIF($B$6:$B145,$B145))</f>
        <v>4</v>
      </c>
      <c r="E145" s="361" t="s">
        <v>48</v>
      </c>
      <c r="F145" s="362" t="s">
        <v>338</v>
      </c>
      <c r="G145" s="327" t="s">
        <v>329</v>
      </c>
      <c r="H145" s="325"/>
      <c r="I145" s="327">
        <v>4</v>
      </c>
      <c r="J145" s="361" t="s">
        <v>983</v>
      </c>
      <c r="K145" s="327" t="s">
        <v>531</v>
      </c>
      <c r="L145" s="348">
        <f t="shared" si="19"/>
        <v>632750.99999999988</v>
      </c>
      <c r="M145" s="355"/>
      <c r="N145" s="355" t="str">
        <f t="shared" si="20"/>
        <v>PR</v>
      </c>
      <c r="O145" s="345"/>
      <c r="P145" s="325"/>
      <c r="Q145" s="351"/>
      <c r="R145" s="351">
        <v>2</v>
      </c>
      <c r="S145" s="351">
        <v>5.8</v>
      </c>
      <c r="T145" s="351">
        <v>1.0389999999999999</v>
      </c>
      <c r="U145" s="329">
        <f>IF($N145=$N$4,IFERROR(INDEX(DanhMuc!$E$154:$E$165,MATCH(MID($B145,4,2),DanhMuc!$B$154:$B$165,0)),""),"")</f>
        <v>5700</v>
      </c>
      <c r="V145" s="325"/>
      <c r="W145" s="352" t="str">
        <f>+IF(AND($A145&lt;&gt;"",LEN($B145)&gt;=8,COUNTIF($B$6:$B145,$B145)=1),$W$5,"")</f>
        <v/>
      </c>
      <c r="X145" s="329" t="str">
        <f t="shared" si="18"/>
        <v>XF</v>
      </c>
      <c r="Y145" s="1128" t="s">
        <v>3380</v>
      </c>
      <c r="Z145" s="1128" t="s">
        <v>3381</v>
      </c>
      <c r="AA145" s="1128" t="s">
        <v>3384</v>
      </c>
      <c r="AC145" s="73"/>
    </row>
    <row r="146" spans="1:29" s="20" customFormat="1">
      <c r="A146" s="327" t="str">
        <f>IF(AND($B146&lt;&gt;"",$C146&lt;&gt;""),MAX($A$4:A145)+1,"")</f>
        <v/>
      </c>
      <c r="B146" s="361" t="s">
        <v>588</v>
      </c>
      <c r="C146" s="360"/>
      <c r="D146" s="327">
        <f>IF($B146="","",COUNTIF($B$6:$B146,$B146))</f>
        <v>5</v>
      </c>
      <c r="E146" s="361" t="s">
        <v>46</v>
      </c>
      <c r="F146" s="362" t="s">
        <v>337</v>
      </c>
      <c r="G146" s="327" t="s">
        <v>329</v>
      </c>
      <c r="H146" s="325"/>
      <c r="I146" s="327">
        <v>4</v>
      </c>
      <c r="J146" s="361" t="s">
        <v>983</v>
      </c>
      <c r="K146" s="327" t="s">
        <v>531</v>
      </c>
      <c r="L146" s="348">
        <f t="shared" si="19"/>
        <v>633360</v>
      </c>
      <c r="M146" s="355"/>
      <c r="N146" s="355" t="str">
        <f t="shared" si="20"/>
        <v>PR</v>
      </c>
      <c r="O146" s="345"/>
      <c r="P146" s="325"/>
      <c r="Q146" s="351"/>
      <c r="R146" s="351">
        <v>2</v>
      </c>
      <c r="S146" s="351">
        <v>5.8</v>
      </c>
      <c r="T146" s="351">
        <v>1.04</v>
      </c>
      <c r="U146" s="329">
        <f>IF($N146=$N$4,IFERROR(INDEX(DanhMuc!$E$154:$E$165,MATCH(MID($B146,4,2),DanhMuc!$B$154:$B$165,0)),""),"")</f>
        <v>5700</v>
      </c>
      <c r="V146" s="325"/>
      <c r="W146" s="352" t="str">
        <f>+IF(AND($A146&lt;&gt;"",LEN($B146)&gt;=8,COUNTIF($B$6:$B146,$B146)=1),$W$5,"")</f>
        <v/>
      </c>
      <c r="X146" s="329" t="str">
        <f t="shared" ref="X146:X236" si="21">IF(IFERROR(SEARCH("thép",$F146,1),0)&gt;=1,"T" &amp;MID($B146,4,2),MID($B146,4,2))</f>
        <v>XF</v>
      </c>
      <c r="Y146" s="1128" t="s">
        <v>3380</v>
      </c>
      <c r="Z146" s="1128" t="s">
        <v>3381</v>
      </c>
      <c r="AA146" s="1128" t="s">
        <v>3384</v>
      </c>
      <c r="AC146" s="73"/>
    </row>
    <row r="147" spans="1:29" s="20" customFormat="1">
      <c r="A147" s="327" t="str">
        <f>IF(AND($B147&lt;&gt;"",$C147&lt;&gt;""),MAX($A$4:A146)+1,"")</f>
        <v/>
      </c>
      <c r="B147" s="361" t="s">
        <v>588</v>
      </c>
      <c r="C147" s="360"/>
      <c r="D147" s="327">
        <f>IF($B147="","",COUNTIF($B$6:$B147,$B147))</f>
        <v>6</v>
      </c>
      <c r="E147" s="361" t="s">
        <v>44</v>
      </c>
      <c r="F147" s="362" t="s">
        <v>335</v>
      </c>
      <c r="G147" s="327" t="s">
        <v>328</v>
      </c>
      <c r="H147" s="325"/>
      <c r="I147" s="327">
        <v>4</v>
      </c>
      <c r="J147" s="361" t="s">
        <v>984</v>
      </c>
      <c r="K147" s="327" t="s">
        <v>531</v>
      </c>
      <c r="L147" s="348">
        <f t="shared" si="19"/>
        <v>809970</v>
      </c>
      <c r="M147" s="355"/>
      <c r="N147" s="355" t="str">
        <f t="shared" si="20"/>
        <v>PR</v>
      </c>
      <c r="O147" s="345"/>
      <c r="P147" s="325"/>
      <c r="Q147" s="351"/>
      <c r="R147" s="351">
        <v>2</v>
      </c>
      <c r="S147" s="351">
        <v>5.8</v>
      </c>
      <c r="T147" s="351">
        <v>1.33</v>
      </c>
      <c r="U147" s="329">
        <f>IF($N147=$N$4,IFERROR(INDEX(DanhMuc!$E$154:$E$165,MATCH(MID($B147,4,2),DanhMuc!$B$154:$B$165,0)),""),"")</f>
        <v>5700</v>
      </c>
      <c r="V147" s="325"/>
      <c r="W147" s="352" t="str">
        <f>+IF(AND($A147&lt;&gt;"",LEN($B147)&gt;=8,COUNTIF($B$6:$B147,$B147)=1),$W$5,"")</f>
        <v/>
      </c>
      <c r="X147" s="329" t="str">
        <f t="shared" si="21"/>
        <v>XF</v>
      </c>
      <c r="Y147" s="1128" t="s">
        <v>3380</v>
      </c>
      <c r="Z147" s="1128" t="s">
        <v>3381</v>
      </c>
      <c r="AA147" s="1128" t="s">
        <v>3384</v>
      </c>
      <c r="AC147" s="73"/>
    </row>
    <row r="148" spans="1:29" s="20" customFormat="1">
      <c r="A148" s="327" t="str">
        <f>IF(AND($B148&lt;&gt;"",$C148&lt;&gt;""),MAX($A$4:A147)+1,"")</f>
        <v/>
      </c>
      <c r="B148" s="361" t="s">
        <v>588</v>
      </c>
      <c r="C148" s="360"/>
      <c r="D148" s="327">
        <f>IF($B148="","",COUNTIF($B$6:$B148,$B148))</f>
        <v>7</v>
      </c>
      <c r="E148" s="361" t="s">
        <v>45</v>
      </c>
      <c r="F148" s="362" t="s">
        <v>336</v>
      </c>
      <c r="G148" s="327" t="s">
        <v>328</v>
      </c>
      <c r="H148" s="325"/>
      <c r="I148" s="327">
        <v>4</v>
      </c>
      <c r="J148" s="361" t="s">
        <v>984</v>
      </c>
      <c r="K148" s="327" t="s">
        <v>531</v>
      </c>
      <c r="L148" s="348">
        <f t="shared" si="19"/>
        <v>703395</v>
      </c>
      <c r="M148" s="355"/>
      <c r="N148" s="355" t="str">
        <f t="shared" si="20"/>
        <v>PR</v>
      </c>
      <c r="O148" s="345"/>
      <c r="P148" s="325"/>
      <c r="Q148" s="351"/>
      <c r="R148" s="351">
        <v>2</v>
      </c>
      <c r="S148" s="351">
        <v>5.8</v>
      </c>
      <c r="T148" s="351">
        <v>1.155</v>
      </c>
      <c r="U148" s="329">
        <f>IF($N148=$N$4,IFERROR(INDEX(DanhMuc!$E$154:$E$165,MATCH(MID($B148,4,2),DanhMuc!$B$154:$B$165,0)),""),"")</f>
        <v>5700</v>
      </c>
      <c r="V148" s="325"/>
      <c r="W148" s="352" t="str">
        <f>+IF(AND($A148&lt;&gt;"",LEN($B148)&gt;=8,COUNTIF($B$6:$B148,$B148)=1),$W$5,"")</f>
        <v/>
      </c>
      <c r="X148" s="329" t="str">
        <f t="shared" si="21"/>
        <v>XF</v>
      </c>
      <c r="Y148" s="1128" t="s">
        <v>3380</v>
      </c>
      <c r="Z148" s="1128" t="s">
        <v>3381</v>
      </c>
      <c r="AA148" s="1128" t="s">
        <v>3384</v>
      </c>
      <c r="AC148" s="73"/>
    </row>
    <row r="149" spans="1:29" s="20" customFormat="1">
      <c r="A149" s="327" t="str">
        <f>IF(AND($B149&lt;&gt;"",$C149&lt;&gt;""),MAX($A$4:A148)+1,"")</f>
        <v/>
      </c>
      <c r="B149" s="361" t="s">
        <v>588</v>
      </c>
      <c r="C149" s="360"/>
      <c r="D149" s="327">
        <f>IF($B149="","",COUNTIF($B$6:$B149,$B149))</f>
        <v>8</v>
      </c>
      <c r="E149" s="361" t="s">
        <v>49</v>
      </c>
      <c r="F149" s="362" t="s">
        <v>446</v>
      </c>
      <c r="G149" s="327" t="s">
        <v>328</v>
      </c>
      <c r="H149" s="325"/>
      <c r="I149" s="327">
        <v>1</v>
      </c>
      <c r="J149" s="361" t="s">
        <v>984</v>
      </c>
      <c r="K149" s="327" t="s">
        <v>531</v>
      </c>
      <c r="L149" s="348">
        <f t="shared" si="19"/>
        <v>394632</v>
      </c>
      <c r="M149" s="355"/>
      <c r="N149" s="355" t="str">
        <f t="shared" si="20"/>
        <v>PR</v>
      </c>
      <c r="O149" s="345"/>
      <c r="P149" s="325"/>
      <c r="Q149" s="351"/>
      <c r="R149" s="351">
        <v>2</v>
      </c>
      <c r="S149" s="351">
        <v>5.8</v>
      </c>
      <c r="T149" s="351">
        <v>0.64800000000000002</v>
      </c>
      <c r="U149" s="329">
        <f>IF($N149=$N$4,IFERROR(INDEX(DanhMuc!$E$154:$E$165,MATCH(MID($B149,4,2),DanhMuc!$B$154:$B$165,0)),""),"")</f>
        <v>5700</v>
      </c>
      <c r="V149" s="325"/>
      <c r="W149" s="352" t="str">
        <f>+IF(AND($A149&lt;&gt;"",LEN($B149)&gt;=8,COUNTIF($B$6:$B149,$B149)=1),$W$5,"")</f>
        <v/>
      </c>
      <c r="X149" s="329" t="str">
        <f t="shared" si="21"/>
        <v>XF</v>
      </c>
      <c r="Y149" s="1128" t="s">
        <v>3380</v>
      </c>
      <c r="Z149" s="1128" t="s">
        <v>3381</v>
      </c>
      <c r="AA149" s="1128" t="s">
        <v>3384</v>
      </c>
      <c r="AC149" s="73"/>
    </row>
    <row r="150" spans="1:29" s="20" customFormat="1" ht="39">
      <c r="A150" s="327">
        <f>IF(AND($B150&lt;&gt;"",$C150&lt;&gt;""),MAX($A$4:A149)+1,"")</f>
        <v>17</v>
      </c>
      <c r="B150" s="359" t="s">
        <v>1200</v>
      </c>
      <c r="C150" s="360" t="s">
        <v>1535</v>
      </c>
      <c r="D150" s="327">
        <f>IF($B150="","",COUNTIF($B$6:$B150,$B150))</f>
        <v>1</v>
      </c>
      <c r="E150" s="361" t="s">
        <v>596</v>
      </c>
      <c r="F150" s="362" t="s">
        <v>597</v>
      </c>
      <c r="G150" s="327" t="s">
        <v>329</v>
      </c>
      <c r="H150" s="325"/>
      <c r="I150" s="327">
        <v>1</v>
      </c>
      <c r="J150" s="361" t="s">
        <v>1193</v>
      </c>
      <c r="K150" s="327" t="s">
        <v>531</v>
      </c>
      <c r="L150" s="348">
        <f t="shared" si="19"/>
        <v>686343</v>
      </c>
      <c r="M150" s="355"/>
      <c r="N150" s="355" t="str">
        <f t="shared" si="20"/>
        <v>PR</v>
      </c>
      <c r="O150" s="345"/>
      <c r="P150" s="325"/>
      <c r="Q150" s="351"/>
      <c r="R150" s="351">
        <v>2</v>
      </c>
      <c r="S150" s="351">
        <v>5.8</v>
      </c>
      <c r="T150" s="351">
        <v>1.127</v>
      </c>
      <c r="U150" s="329">
        <f>IF($N150=$N$4,IFERROR(INDEX(DanhMuc!$E$154:$E$165,MATCH(MID($B150,4,2),DanhMuc!$B$154:$B$165,0)),""),"")</f>
        <v>5700</v>
      </c>
      <c r="V150" s="325"/>
      <c r="W150" s="352" t="str">
        <f>+IF(AND($A150&lt;&gt;"",LEN($B150)&gt;=8,COUNTIF($B$6:$B150,$B150)=1),$W$5,"")</f>
        <v>DMCua</v>
      </c>
      <c r="X150" s="329" t="str">
        <f t="shared" si="21"/>
        <v>XF</v>
      </c>
      <c r="Y150" s="1128" t="s">
        <v>3380</v>
      </c>
      <c r="Z150" s="1128" t="s">
        <v>3381</v>
      </c>
      <c r="AA150" s="1128" t="s">
        <v>3384</v>
      </c>
      <c r="AC150" s="73"/>
    </row>
    <row r="151" spans="1:29" s="20" customFormat="1">
      <c r="A151" s="327" t="str">
        <f>IF(AND($B151&lt;&gt;"",$C151&lt;&gt;""),MAX($A$4:A147)+1,"")</f>
        <v/>
      </c>
      <c r="B151" s="361" t="s">
        <v>1200</v>
      </c>
      <c r="C151" s="360"/>
      <c r="D151" s="327">
        <f>IF($B151="","",COUNTIF($B$6:$B151,$B151))</f>
        <v>2</v>
      </c>
      <c r="E151" s="361" t="s">
        <v>43</v>
      </c>
      <c r="F151" s="362" t="s">
        <v>333</v>
      </c>
      <c r="G151" s="327" t="s">
        <v>329</v>
      </c>
      <c r="H151" s="325"/>
      <c r="I151" s="327">
        <v>1</v>
      </c>
      <c r="J151" s="361" t="s">
        <v>1193</v>
      </c>
      <c r="K151" s="327" t="s">
        <v>531</v>
      </c>
      <c r="L151" s="348">
        <f t="shared" si="19"/>
        <v>799616.99999999988</v>
      </c>
      <c r="M151" s="355"/>
      <c r="N151" s="355" t="str">
        <f t="shared" si="20"/>
        <v>PR</v>
      </c>
      <c r="O151" s="345"/>
      <c r="P151" s="325"/>
      <c r="Q151" s="351"/>
      <c r="R151" s="351">
        <v>2</v>
      </c>
      <c r="S151" s="351">
        <v>5.8</v>
      </c>
      <c r="T151" s="351">
        <v>1.3129999999999999</v>
      </c>
      <c r="U151" s="329">
        <f>IF($N151=$N$4,IFERROR(INDEX(DanhMuc!$E$154:$E$165,MATCH(MID($B151,4,2),DanhMuc!$B$154:$B$165,0)),""),"")</f>
        <v>5700</v>
      </c>
      <c r="V151" s="325"/>
      <c r="W151" s="352" t="str">
        <f>+IF(AND($A151&lt;&gt;"",LEN($B151)&gt;=8,COUNTIF($B$6:$B151,$B151)=1),$W$5,"")</f>
        <v/>
      </c>
      <c r="X151" s="329" t="str">
        <f t="shared" si="21"/>
        <v>XF</v>
      </c>
      <c r="Y151" s="1128" t="s">
        <v>3380</v>
      </c>
      <c r="Z151" s="1128" t="s">
        <v>3381</v>
      </c>
      <c r="AA151" s="1128" t="s">
        <v>3384</v>
      </c>
      <c r="AC151" s="73"/>
    </row>
    <row r="152" spans="1:29" s="20" customFormat="1">
      <c r="A152" s="327" t="str">
        <f>IF(AND($B152&lt;&gt;"",$C152&lt;&gt;""),MAX($A$4:A149)+1,"")</f>
        <v/>
      </c>
      <c r="B152" s="361" t="s">
        <v>1200</v>
      </c>
      <c r="C152" s="360"/>
      <c r="D152" s="327">
        <f>IF($B152="","",COUNTIF($B$6:$B152,$B152))</f>
        <v>3</v>
      </c>
      <c r="E152" s="361" t="s">
        <v>47</v>
      </c>
      <c r="F152" s="362" t="s">
        <v>595</v>
      </c>
      <c r="G152" s="327" t="s">
        <v>329</v>
      </c>
      <c r="H152" s="325"/>
      <c r="I152" s="327">
        <v>1</v>
      </c>
      <c r="J152" s="361" t="s">
        <v>1193</v>
      </c>
      <c r="K152" s="327" t="s">
        <v>531</v>
      </c>
      <c r="L152" s="348">
        <f t="shared" si="19"/>
        <v>1388519.9999999998</v>
      </c>
      <c r="M152" s="373"/>
      <c r="N152" s="355" t="str">
        <f t="shared" si="20"/>
        <v>PR</v>
      </c>
      <c r="O152" s="345"/>
      <c r="P152" s="325"/>
      <c r="Q152" s="351"/>
      <c r="R152" s="351">
        <v>2</v>
      </c>
      <c r="S152" s="351">
        <v>5.8</v>
      </c>
      <c r="T152" s="351">
        <v>2.2799999999999998</v>
      </c>
      <c r="U152" s="329">
        <f>IF($N152=$N$4,IFERROR(INDEX(DanhMuc!$E$154:$E$165,MATCH(MID($B152,4,2),DanhMuc!$B$154:$B$165,0)),""),"")</f>
        <v>5700</v>
      </c>
      <c r="V152" s="325"/>
      <c r="W152" s="352" t="str">
        <f>+IF(AND($A152&lt;&gt;"",LEN($B152)&gt;=8,COUNTIF($B$6:$B152,$B152)=1),$W$5,"")</f>
        <v/>
      </c>
      <c r="X152" s="329" t="str">
        <f t="shared" si="21"/>
        <v>XF</v>
      </c>
      <c r="Y152" s="1128" t="s">
        <v>3380</v>
      </c>
      <c r="Z152" s="1128" t="s">
        <v>3381</v>
      </c>
      <c r="AA152" s="1128" t="s">
        <v>3384</v>
      </c>
      <c r="AC152" s="73"/>
    </row>
    <row r="153" spans="1:29" s="20" customFormat="1">
      <c r="A153" s="327" t="str">
        <f>IF(AND($B153&lt;&gt;"",$C153&lt;&gt;""),MAX($A$4:A152)+1,"")</f>
        <v/>
      </c>
      <c r="B153" s="361" t="s">
        <v>1200</v>
      </c>
      <c r="C153" s="360"/>
      <c r="D153" s="327">
        <f>IF($B153="","",COUNTIF($B$6:$B153,$B153))</f>
        <v>4</v>
      </c>
      <c r="E153" s="361" t="s">
        <v>41</v>
      </c>
      <c r="F153" s="362" t="s">
        <v>445</v>
      </c>
      <c r="G153" s="327" t="s">
        <v>328</v>
      </c>
      <c r="H153" s="325"/>
      <c r="I153" s="327">
        <v>2</v>
      </c>
      <c r="J153" s="361" t="s">
        <v>80</v>
      </c>
      <c r="K153" s="327" t="s">
        <v>531</v>
      </c>
      <c r="L153" s="348">
        <f t="shared" si="19"/>
        <v>728973</v>
      </c>
      <c r="M153" s="355"/>
      <c r="N153" s="355" t="str">
        <f t="shared" si="20"/>
        <v>PR</v>
      </c>
      <c r="O153" s="345"/>
      <c r="P153" s="325"/>
      <c r="Q153" s="351"/>
      <c r="R153" s="351">
        <v>2</v>
      </c>
      <c r="S153" s="351">
        <v>5.8</v>
      </c>
      <c r="T153" s="351">
        <v>1.1970000000000001</v>
      </c>
      <c r="U153" s="329">
        <f>IF($N153=$N$4,IFERROR(INDEX(DanhMuc!$E$154:$E$165,MATCH(MID($B153,4,2),DanhMuc!$B$154:$B$165,0)),""),"")</f>
        <v>5700</v>
      </c>
      <c r="V153" s="325"/>
      <c r="W153" s="352" t="str">
        <f>+IF(AND($A153&lt;&gt;"",LEN($B153)&gt;=8,COUNTIF($B$6:$B153,$B153)=1),$W$5,"")</f>
        <v/>
      </c>
      <c r="X153" s="329" t="str">
        <f t="shared" si="21"/>
        <v>XF</v>
      </c>
      <c r="Y153" s="1128" t="s">
        <v>3380</v>
      </c>
      <c r="Z153" s="1128" t="s">
        <v>3381</v>
      </c>
      <c r="AA153" s="1128" t="s">
        <v>3384</v>
      </c>
      <c r="AC153" s="73"/>
    </row>
    <row r="154" spans="1:29" s="20" customFormat="1">
      <c r="A154" s="327" t="str">
        <f>IF(AND($B154&lt;&gt;"",$C154&lt;&gt;""),MAX($A$4:A153)+1,"")</f>
        <v/>
      </c>
      <c r="B154" s="361" t="s">
        <v>1200</v>
      </c>
      <c r="C154" s="360"/>
      <c r="D154" s="327">
        <f>IF($B154="","",COUNTIF($B$6:$B154,$B154))</f>
        <v>5</v>
      </c>
      <c r="E154" s="361" t="s">
        <v>48</v>
      </c>
      <c r="F154" s="362" t="s">
        <v>338</v>
      </c>
      <c r="G154" s="327" t="s">
        <v>329</v>
      </c>
      <c r="H154" s="325"/>
      <c r="I154" s="327">
        <v>4</v>
      </c>
      <c r="J154" s="361" t="s">
        <v>1201</v>
      </c>
      <c r="K154" s="327" t="s">
        <v>531</v>
      </c>
      <c r="L154" s="348">
        <f t="shared" si="19"/>
        <v>632750.99999999988</v>
      </c>
      <c r="M154" s="355"/>
      <c r="N154" s="355" t="str">
        <f t="shared" si="20"/>
        <v>PR</v>
      </c>
      <c r="O154" s="345"/>
      <c r="P154" s="325"/>
      <c r="Q154" s="351"/>
      <c r="R154" s="351">
        <v>2</v>
      </c>
      <c r="S154" s="351">
        <v>5.8</v>
      </c>
      <c r="T154" s="351">
        <v>1.0389999999999999</v>
      </c>
      <c r="U154" s="329">
        <f>IF($N154=$N$4,IFERROR(INDEX(DanhMuc!$E$154:$E$165,MATCH(MID($B154,4,2),DanhMuc!$B$154:$B$165,0)),""),"")</f>
        <v>5700</v>
      </c>
      <c r="V154" s="325"/>
      <c r="W154" s="352" t="str">
        <f>+IF(AND($A154&lt;&gt;"",LEN($B154)&gt;=8,COUNTIF($B$6:$B154,$B154)=1),$W$5,"")</f>
        <v/>
      </c>
      <c r="X154" s="329" t="str">
        <f t="shared" si="21"/>
        <v>XF</v>
      </c>
      <c r="Y154" s="1128" t="s">
        <v>3380</v>
      </c>
      <c r="Z154" s="1128" t="s">
        <v>3381</v>
      </c>
      <c r="AA154" s="1128" t="s">
        <v>3384</v>
      </c>
      <c r="AC154" s="73"/>
    </row>
    <row r="155" spans="1:29" s="20" customFormat="1">
      <c r="A155" s="327" t="str">
        <f>IF(AND($B155&lt;&gt;"",$C155&lt;&gt;""),MAX($A$4:A154)+1,"")</f>
        <v/>
      </c>
      <c r="B155" s="361" t="s">
        <v>1200</v>
      </c>
      <c r="C155" s="360"/>
      <c r="D155" s="327">
        <f>IF($B155="","",COUNTIF($B$6:$B155,$B155))</f>
        <v>6</v>
      </c>
      <c r="E155" s="361" t="s">
        <v>46</v>
      </c>
      <c r="F155" s="362" t="s">
        <v>337</v>
      </c>
      <c r="G155" s="327" t="s">
        <v>329</v>
      </c>
      <c r="H155" s="325"/>
      <c r="I155" s="327">
        <v>4</v>
      </c>
      <c r="J155" s="361" t="s">
        <v>1201</v>
      </c>
      <c r="K155" s="327" t="s">
        <v>531</v>
      </c>
      <c r="L155" s="348">
        <f t="shared" si="19"/>
        <v>633360</v>
      </c>
      <c r="M155" s="355"/>
      <c r="N155" s="355" t="str">
        <f t="shared" si="20"/>
        <v>PR</v>
      </c>
      <c r="O155" s="345"/>
      <c r="P155" s="325"/>
      <c r="Q155" s="351"/>
      <c r="R155" s="351">
        <v>2</v>
      </c>
      <c r="S155" s="351">
        <v>5.8</v>
      </c>
      <c r="T155" s="351">
        <v>1.04</v>
      </c>
      <c r="U155" s="329">
        <f>IF($N155=$N$4,IFERROR(INDEX(DanhMuc!$E$154:$E$165,MATCH(MID($B155,4,2),DanhMuc!$B$154:$B$165,0)),""),"")</f>
        <v>5700</v>
      </c>
      <c r="V155" s="325"/>
      <c r="W155" s="352" t="str">
        <f>+IF(AND($A155&lt;&gt;"",LEN($B155)&gt;=8,COUNTIF($B$6:$B155,$B155)=1),$W$5,"")</f>
        <v/>
      </c>
      <c r="X155" s="329" t="str">
        <f t="shared" si="21"/>
        <v>XF</v>
      </c>
      <c r="Y155" s="1128" t="s">
        <v>3380</v>
      </c>
      <c r="Z155" s="1128" t="s">
        <v>3381</v>
      </c>
      <c r="AA155" s="1128" t="s">
        <v>3384</v>
      </c>
      <c r="AC155" s="73"/>
    </row>
    <row r="156" spans="1:29" s="20" customFormat="1">
      <c r="A156" s="327" t="str">
        <f>IF(AND($B156&lt;&gt;"",$C156&lt;&gt;""),MAX($A$4:A155)+1,"")</f>
        <v/>
      </c>
      <c r="B156" s="361" t="s">
        <v>1200</v>
      </c>
      <c r="C156" s="360"/>
      <c r="D156" s="327">
        <f>IF($B156="","",COUNTIF($B$6:$B156,$B156))</f>
        <v>7</v>
      </c>
      <c r="E156" s="361" t="s">
        <v>44</v>
      </c>
      <c r="F156" s="362" t="s">
        <v>335</v>
      </c>
      <c r="G156" s="327" t="s">
        <v>328</v>
      </c>
      <c r="H156" s="325"/>
      <c r="I156" s="327">
        <v>4</v>
      </c>
      <c r="J156" s="361" t="s">
        <v>1196</v>
      </c>
      <c r="K156" s="327" t="s">
        <v>531</v>
      </c>
      <c r="L156" s="348">
        <f t="shared" si="19"/>
        <v>809970</v>
      </c>
      <c r="M156" s="355"/>
      <c r="N156" s="355" t="str">
        <f t="shared" si="20"/>
        <v>PR</v>
      </c>
      <c r="O156" s="345"/>
      <c r="P156" s="325"/>
      <c r="Q156" s="351"/>
      <c r="R156" s="351">
        <v>2</v>
      </c>
      <c r="S156" s="351">
        <v>5.8</v>
      </c>
      <c r="T156" s="351">
        <v>1.33</v>
      </c>
      <c r="U156" s="329">
        <f>IF($N156=$N$4,IFERROR(INDEX(DanhMuc!$E$154:$E$165,MATCH(MID($B156,4,2),DanhMuc!$B$154:$B$165,0)),""),"")</f>
        <v>5700</v>
      </c>
      <c r="V156" s="325"/>
      <c r="W156" s="352" t="str">
        <f>+IF(AND($A156&lt;&gt;"",LEN($B156)&gt;=8,COUNTIF($B$6:$B156,$B156)=1),$W$5,"")</f>
        <v/>
      </c>
      <c r="X156" s="329" t="str">
        <f t="shared" si="21"/>
        <v>XF</v>
      </c>
      <c r="Y156" s="1128" t="s">
        <v>3380</v>
      </c>
      <c r="Z156" s="1128" t="s">
        <v>3381</v>
      </c>
      <c r="AA156" s="1128" t="s">
        <v>3384</v>
      </c>
      <c r="AC156" s="73"/>
    </row>
    <row r="157" spans="1:29" s="20" customFormat="1">
      <c r="A157" s="327" t="str">
        <f>IF(AND($B157&lt;&gt;"",$C157&lt;&gt;""),MAX($A$4:A156)+1,"")</f>
        <v/>
      </c>
      <c r="B157" s="361" t="s">
        <v>1200</v>
      </c>
      <c r="C157" s="360"/>
      <c r="D157" s="327">
        <f>IF($B157="","",COUNTIF($B$6:$B157,$B157))</f>
        <v>8</v>
      </c>
      <c r="E157" s="361" t="s">
        <v>45</v>
      </c>
      <c r="F157" s="362" t="s">
        <v>336</v>
      </c>
      <c r="G157" s="327" t="s">
        <v>328</v>
      </c>
      <c r="H157" s="325"/>
      <c r="I157" s="327">
        <v>4</v>
      </c>
      <c r="J157" s="361" t="s">
        <v>1196</v>
      </c>
      <c r="K157" s="327" t="s">
        <v>531</v>
      </c>
      <c r="L157" s="348">
        <f t="shared" si="19"/>
        <v>703395</v>
      </c>
      <c r="M157" s="355"/>
      <c r="N157" s="355" t="str">
        <f t="shared" si="20"/>
        <v>PR</v>
      </c>
      <c r="O157" s="345"/>
      <c r="P157" s="325"/>
      <c r="Q157" s="351"/>
      <c r="R157" s="351">
        <v>2</v>
      </c>
      <c r="S157" s="351">
        <v>5.8</v>
      </c>
      <c r="T157" s="351">
        <v>1.155</v>
      </c>
      <c r="U157" s="329">
        <f>IF($N157=$N$4,IFERROR(INDEX(DanhMuc!$E$154:$E$165,MATCH(MID($B157,4,2),DanhMuc!$B$154:$B$165,0)),""),"")</f>
        <v>5700</v>
      </c>
      <c r="V157" s="325"/>
      <c r="W157" s="352" t="str">
        <f>+IF(AND($A157&lt;&gt;"",LEN($B157)&gt;=8,COUNTIF($B$6:$B157,$B157)=1),$W$5,"")</f>
        <v/>
      </c>
      <c r="X157" s="329" t="str">
        <f t="shared" si="21"/>
        <v>XF</v>
      </c>
      <c r="Y157" s="1128" t="s">
        <v>3380</v>
      </c>
      <c r="Z157" s="1128" t="s">
        <v>3381</v>
      </c>
      <c r="AA157" s="1128" t="s">
        <v>3384</v>
      </c>
      <c r="AC157" s="73"/>
    </row>
    <row r="158" spans="1:29" s="20" customFormat="1">
      <c r="A158" s="327" t="str">
        <f>IF(AND($B158&lt;&gt;"",$C158&lt;&gt;""),MAX($A$4:A157)+1,"")</f>
        <v/>
      </c>
      <c r="B158" s="361" t="s">
        <v>1200</v>
      </c>
      <c r="C158" s="360"/>
      <c r="D158" s="327">
        <f>IF($B158="","",COUNTIF($B$6:$B158,$B158))</f>
        <v>9</v>
      </c>
      <c r="E158" s="361" t="s">
        <v>49</v>
      </c>
      <c r="F158" s="362" t="s">
        <v>446</v>
      </c>
      <c r="G158" s="327" t="s">
        <v>328</v>
      </c>
      <c r="H158" s="325"/>
      <c r="I158" s="327">
        <v>1</v>
      </c>
      <c r="J158" s="361" t="s">
        <v>1196</v>
      </c>
      <c r="K158" s="327" t="s">
        <v>531</v>
      </c>
      <c r="L158" s="348">
        <f t="shared" si="19"/>
        <v>394632</v>
      </c>
      <c r="M158" s="355"/>
      <c r="N158" s="355" t="str">
        <f t="shared" si="20"/>
        <v>PR</v>
      </c>
      <c r="O158" s="345"/>
      <c r="P158" s="325"/>
      <c r="Q158" s="351"/>
      <c r="R158" s="351">
        <v>2</v>
      </c>
      <c r="S158" s="351">
        <v>5.8</v>
      </c>
      <c r="T158" s="351">
        <v>0.64800000000000002</v>
      </c>
      <c r="U158" s="329">
        <f>IF($N158=$N$4,IFERROR(INDEX(DanhMuc!$E$154:$E$165,MATCH(MID($B158,4,2),DanhMuc!$B$154:$B$165,0)),""),"")</f>
        <v>5700</v>
      </c>
      <c r="V158" s="325"/>
      <c r="W158" s="352" t="str">
        <f>+IF(AND($A158&lt;&gt;"",LEN($B158)&gt;=8,COUNTIF($B$6:$B158,$B158)=1),$W$5,"")</f>
        <v/>
      </c>
      <c r="X158" s="329" t="str">
        <f t="shared" si="21"/>
        <v>XF</v>
      </c>
      <c r="Y158" s="1128" t="s">
        <v>3380</v>
      </c>
      <c r="Z158" s="1128" t="s">
        <v>3381</v>
      </c>
      <c r="AA158" s="1128" t="s">
        <v>3384</v>
      </c>
      <c r="AC158" s="73"/>
    </row>
    <row r="159" spans="1:29" s="20" customFormat="1">
      <c r="A159" s="327" t="str">
        <f>IF(AND($B159&lt;&gt;"",$C159&lt;&gt;""),MAX($A$4:A157)+1,"")</f>
        <v/>
      </c>
      <c r="B159" s="361" t="s">
        <v>1200</v>
      </c>
      <c r="C159" s="360"/>
      <c r="D159" s="327">
        <f>IF($B159="","",COUNTIF($B$6:$B159,$B159))</f>
        <v>10</v>
      </c>
      <c r="E159" s="361" t="s">
        <v>598</v>
      </c>
      <c r="F159" s="362" t="s">
        <v>599</v>
      </c>
      <c r="G159" s="327" t="s">
        <v>328</v>
      </c>
      <c r="H159" s="325"/>
      <c r="I159" s="327">
        <v>2</v>
      </c>
      <c r="J159" s="361" t="s">
        <v>1197</v>
      </c>
      <c r="K159" s="327" t="s">
        <v>531</v>
      </c>
      <c r="L159" s="348">
        <f t="shared" si="19"/>
        <v>459186</v>
      </c>
      <c r="M159" s="355"/>
      <c r="N159" s="355" t="str">
        <f t="shared" si="20"/>
        <v>PR</v>
      </c>
      <c r="O159" s="345"/>
      <c r="P159" s="325"/>
      <c r="Q159" s="351"/>
      <c r="R159" s="351">
        <v>2</v>
      </c>
      <c r="S159" s="351">
        <v>5.8</v>
      </c>
      <c r="T159" s="351">
        <v>0.754</v>
      </c>
      <c r="U159" s="329">
        <f>IF($N159=$N$4,IFERROR(INDEX(DanhMuc!$E$154:$E$165,MATCH(MID($B159,4,2),DanhMuc!$B$154:$B$165,0)),""),"")</f>
        <v>5700</v>
      </c>
      <c r="V159" s="325"/>
      <c r="W159" s="352" t="str">
        <f>+IF(AND($A159&lt;&gt;"",LEN($B159)&gt;=8,COUNTIF($B$6:$B159,$B159)=1),$W$5,"")</f>
        <v/>
      </c>
      <c r="X159" s="329" t="str">
        <f t="shared" si="21"/>
        <v>XF</v>
      </c>
      <c r="Y159" s="1128" t="s">
        <v>3380</v>
      </c>
      <c r="Z159" s="1128" t="s">
        <v>3381</v>
      </c>
      <c r="AA159" s="1128" t="s">
        <v>3384</v>
      </c>
      <c r="AC159" s="73"/>
    </row>
    <row r="160" spans="1:29" s="20" customFormat="1">
      <c r="A160" s="327" t="str">
        <f>IF(AND($B160&lt;&gt;"",$C160&lt;&gt;""),MAX($A$4:A158)+1,"")</f>
        <v/>
      </c>
      <c r="B160" s="361" t="s">
        <v>1200</v>
      </c>
      <c r="C160" s="360"/>
      <c r="D160" s="327">
        <f>IF($B160="","",COUNTIF($B$6:$B160,$B160))</f>
        <v>11</v>
      </c>
      <c r="E160" s="361" t="s">
        <v>1073</v>
      </c>
      <c r="F160" s="362" t="s">
        <v>1074</v>
      </c>
      <c r="G160" s="327" t="s">
        <v>328</v>
      </c>
      <c r="H160" s="325"/>
      <c r="I160" s="327">
        <v>2</v>
      </c>
      <c r="J160" s="361" t="s">
        <v>1197</v>
      </c>
      <c r="K160" s="327" t="s">
        <v>531</v>
      </c>
      <c r="L160" s="348">
        <f t="shared" si="19"/>
        <v>941513.99999999988</v>
      </c>
      <c r="M160" s="355"/>
      <c r="N160" s="355" t="str">
        <f t="shared" si="20"/>
        <v>PR</v>
      </c>
      <c r="O160" s="345"/>
      <c r="P160" s="325"/>
      <c r="Q160" s="351"/>
      <c r="R160" s="351">
        <v>2</v>
      </c>
      <c r="S160" s="351">
        <v>5.8</v>
      </c>
      <c r="T160" s="351">
        <v>1.546</v>
      </c>
      <c r="U160" s="329">
        <f>IF($N160=$N$4,IFERROR(INDEX(DanhMuc!$E$154:$E$165,MATCH(MID($B160,4,2),DanhMuc!$B$154:$B$165,0)),""),"")</f>
        <v>5700</v>
      </c>
      <c r="V160" s="325"/>
      <c r="W160" s="352" t="str">
        <f>+IF(AND($A160&lt;&gt;"",LEN($B160)&gt;=8,COUNTIF($B$6:$B160,$B160)=1),$W$5,"")</f>
        <v/>
      </c>
      <c r="X160" s="329" t="str">
        <f t="shared" si="21"/>
        <v>XF</v>
      </c>
      <c r="Y160" s="1128" t="s">
        <v>3380</v>
      </c>
      <c r="Z160" s="1128" t="s">
        <v>3381</v>
      </c>
      <c r="AA160" s="1128" t="s">
        <v>3384</v>
      </c>
      <c r="AC160" s="73"/>
    </row>
    <row r="161" spans="1:29" s="20" customFormat="1">
      <c r="A161" s="327" t="str">
        <f>IF(AND($B161&lt;&gt;"",$C161&lt;&gt;""),MAX($A$4:A159)+1,"")</f>
        <v/>
      </c>
      <c r="B161" s="361" t="s">
        <v>1200</v>
      </c>
      <c r="C161" s="360"/>
      <c r="D161" s="327">
        <f>IF($B161="","",COUNTIF($B$6:$B161,$B161))</f>
        <v>12</v>
      </c>
      <c r="E161" s="365" t="s">
        <v>2497</v>
      </c>
      <c r="F161" s="368" t="s">
        <v>368</v>
      </c>
      <c r="G161" s="327" t="s">
        <v>329</v>
      </c>
      <c r="H161" s="325"/>
      <c r="I161" s="327">
        <v>4</v>
      </c>
      <c r="J161" s="365" t="s">
        <v>1202</v>
      </c>
      <c r="K161" s="327" t="s">
        <v>531</v>
      </c>
      <c r="L161" s="348">
        <f t="shared" si="19"/>
        <v>79170</v>
      </c>
      <c r="M161" s="355"/>
      <c r="N161" s="355" t="str">
        <f t="shared" si="20"/>
        <v>PR</v>
      </c>
      <c r="O161" s="345"/>
      <c r="P161" s="325"/>
      <c r="Q161" s="351"/>
      <c r="R161" s="351">
        <v>0.9</v>
      </c>
      <c r="S161" s="351">
        <v>5.8</v>
      </c>
      <c r="T161" s="351">
        <v>0.13</v>
      </c>
      <c r="U161" s="329">
        <f>IF($N161=$N$4,IFERROR(INDEX(DanhMuc!$E$154:$E$165,MATCH(MID($B161,4,2),DanhMuc!$B$154:$B$165,0)),""),"")</f>
        <v>5700</v>
      </c>
      <c r="V161" s="325"/>
      <c r="W161" s="352" t="str">
        <f>+IF(AND($A161&lt;&gt;"",LEN($B161)&gt;=8,COUNTIF($B$6:$B161,$B161)=1),$W$5,"")</f>
        <v/>
      </c>
      <c r="X161" s="329" t="str">
        <f t="shared" si="21"/>
        <v>XF</v>
      </c>
      <c r="Y161" s="1128" t="s">
        <v>3380</v>
      </c>
      <c r="Z161" s="1128" t="s">
        <v>3381</v>
      </c>
      <c r="AA161" s="1128" t="s">
        <v>3384</v>
      </c>
      <c r="AC161" s="73"/>
    </row>
    <row r="162" spans="1:29" s="20" customFormat="1">
      <c r="A162" s="327" t="str">
        <f>IF(AND($B162&lt;&gt;"",$C162&lt;&gt;""),MAX($A$4:A160)+1,"")</f>
        <v/>
      </c>
      <c r="B162" s="361" t="s">
        <v>1200</v>
      </c>
      <c r="C162" s="360"/>
      <c r="D162" s="327">
        <f>IF($B162="","",COUNTIF($B$6:$B162,$B162))</f>
        <v>13</v>
      </c>
      <c r="E162" s="365" t="s">
        <v>2497</v>
      </c>
      <c r="F162" s="368" t="s">
        <v>368</v>
      </c>
      <c r="G162" s="327" t="s">
        <v>329</v>
      </c>
      <c r="H162" s="325"/>
      <c r="I162" s="327">
        <v>2</v>
      </c>
      <c r="J162" s="365" t="s">
        <v>1203</v>
      </c>
      <c r="K162" s="327" t="s">
        <v>531</v>
      </c>
      <c r="L162" s="348">
        <f t="shared" si="19"/>
        <v>79170</v>
      </c>
      <c r="M162" s="355"/>
      <c r="N162" s="355" t="str">
        <f t="shared" si="20"/>
        <v>PR</v>
      </c>
      <c r="O162" s="345"/>
      <c r="P162" s="325"/>
      <c r="Q162" s="351"/>
      <c r="R162" s="351">
        <v>0.9</v>
      </c>
      <c r="S162" s="351">
        <v>5.8</v>
      </c>
      <c r="T162" s="351">
        <v>0.13</v>
      </c>
      <c r="U162" s="329">
        <f>IF($N162=$N$4,IFERROR(INDEX(DanhMuc!$E$154:$E$165,MATCH(MID($B162,4,2),DanhMuc!$B$154:$B$165,0)),""),"")</f>
        <v>5700</v>
      </c>
      <c r="V162" s="325"/>
      <c r="W162" s="352" t="str">
        <f>+IF(AND($A162&lt;&gt;"",LEN($B162)&gt;=8,COUNTIF($B$6:$B162,$B162)=1),$W$5,"")</f>
        <v/>
      </c>
      <c r="X162" s="329" t="str">
        <f t="shared" si="21"/>
        <v>XF</v>
      </c>
      <c r="Y162" s="1128" t="s">
        <v>3380</v>
      </c>
      <c r="Z162" s="1128" t="s">
        <v>3381</v>
      </c>
      <c r="AA162" s="1128" t="s">
        <v>3384</v>
      </c>
      <c r="AC162" s="73"/>
    </row>
    <row r="163" spans="1:29" s="20" customFormat="1">
      <c r="A163" s="327" t="str">
        <f>IF(AND($B163&lt;&gt;"",$C163&lt;&gt;""),MAX($A$4:A161)+1,"")</f>
        <v/>
      </c>
      <c r="B163" s="361" t="s">
        <v>1200</v>
      </c>
      <c r="C163" s="360"/>
      <c r="D163" s="327">
        <f>IF($B163="","",COUNTIF($B$6:$B163,$B163))</f>
        <v>14</v>
      </c>
      <c r="E163" s="365" t="s">
        <v>2497</v>
      </c>
      <c r="F163" s="368" t="s">
        <v>368</v>
      </c>
      <c r="G163" s="327" t="s">
        <v>328</v>
      </c>
      <c r="H163" s="325"/>
      <c r="I163" s="327">
        <v>6</v>
      </c>
      <c r="J163" s="361" t="s">
        <v>1197</v>
      </c>
      <c r="K163" s="327" t="s">
        <v>531</v>
      </c>
      <c r="L163" s="348">
        <f t="shared" si="19"/>
        <v>79170</v>
      </c>
      <c r="M163" s="355"/>
      <c r="N163" s="355" t="str">
        <f t="shared" si="20"/>
        <v>PR</v>
      </c>
      <c r="O163" s="345"/>
      <c r="P163" s="325"/>
      <c r="Q163" s="351"/>
      <c r="R163" s="351">
        <v>0.9</v>
      </c>
      <c r="S163" s="351">
        <v>5.8</v>
      </c>
      <c r="T163" s="351">
        <v>0.13</v>
      </c>
      <c r="U163" s="329">
        <f>IF($N163=$N$4,IFERROR(INDEX(DanhMuc!$E$154:$E$165,MATCH(MID($B163,4,2),DanhMuc!$B$154:$B$165,0)),""),"")</f>
        <v>5700</v>
      </c>
      <c r="V163" s="325"/>
      <c r="W163" s="352" t="str">
        <f>+IF(AND($A163&lt;&gt;"",LEN($B163)&gt;=8,COUNTIF($B$6:$B163,$B163)=1),$W$5,"")</f>
        <v/>
      </c>
      <c r="X163" s="329" t="str">
        <f t="shared" si="21"/>
        <v>XF</v>
      </c>
      <c r="Y163" s="1128" t="s">
        <v>3380</v>
      </c>
      <c r="Z163" s="1128" t="s">
        <v>3381</v>
      </c>
      <c r="AA163" s="1128" t="s">
        <v>3384</v>
      </c>
      <c r="AC163" s="73"/>
    </row>
    <row r="164" spans="1:29" s="20" customFormat="1" ht="26">
      <c r="A164" s="327">
        <f>IF(AND($B164&lt;&gt;"",$C164&lt;&gt;""),MAX($A$4:A163)+1,"")</f>
        <v>18</v>
      </c>
      <c r="B164" s="359" t="s">
        <v>1178</v>
      </c>
      <c r="C164" s="360" t="s">
        <v>1536</v>
      </c>
      <c r="D164" s="327">
        <f>IF($B164="","",COUNTIF($B$6:$B164,$B164))</f>
        <v>1</v>
      </c>
      <c r="E164" s="361" t="s">
        <v>31</v>
      </c>
      <c r="F164" s="362" t="s">
        <v>32</v>
      </c>
      <c r="G164" s="327" t="s">
        <v>329</v>
      </c>
      <c r="H164" s="325"/>
      <c r="I164" s="327">
        <v>2</v>
      </c>
      <c r="J164" s="363" t="s">
        <v>81</v>
      </c>
      <c r="K164" s="327" t="s">
        <v>516</v>
      </c>
      <c r="L164" s="348">
        <f t="shared" si="19"/>
        <v>505470</v>
      </c>
      <c r="M164" s="355"/>
      <c r="N164" s="355" t="str">
        <f t="shared" si="20"/>
        <v>PR</v>
      </c>
      <c r="O164" s="347"/>
      <c r="P164" s="325"/>
      <c r="Q164" s="351"/>
      <c r="R164" s="351">
        <v>1.2</v>
      </c>
      <c r="S164" s="351">
        <v>5.8</v>
      </c>
      <c r="T164" s="351">
        <v>0.83</v>
      </c>
      <c r="U164" s="329">
        <f>IF($N164=$N$4,IFERROR(INDEX(DanhMuc!$E$154:$E$165,MATCH(MID($B164,4,2),DanhMuc!$B$154:$B$165,0)),""),"")</f>
        <v>5700</v>
      </c>
      <c r="V164" s="325"/>
      <c r="W164" s="352" t="str">
        <f>+IF(AND($A164&lt;&gt;"",LEN($B164)&gt;=8,COUNTIF($B$6:$B164,$B164)=1),$W$5,"")</f>
        <v>DMCua</v>
      </c>
      <c r="X164" s="329" t="str">
        <f t="shared" si="21"/>
        <v>XF</v>
      </c>
      <c r="Y164" s="1128" t="s">
        <v>3380</v>
      </c>
      <c r="Z164" s="1128" t="s">
        <v>3381</v>
      </c>
      <c r="AA164" s="1128" t="s">
        <v>3384</v>
      </c>
      <c r="AC164" s="73"/>
    </row>
    <row r="165" spans="1:29" s="20" customFormat="1">
      <c r="A165" s="327" t="str">
        <f>IF(AND($B165&lt;&gt;"",$C165&lt;&gt;""),MAX($A$4:A164)+1,"")</f>
        <v/>
      </c>
      <c r="B165" s="361" t="s">
        <v>1178</v>
      </c>
      <c r="C165" s="360"/>
      <c r="D165" s="327">
        <f>IF($B165="","",COUNTIF($B$6:$B165,$B165))</f>
        <v>2</v>
      </c>
      <c r="E165" s="361" t="s">
        <v>31</v>
      </c>
      <c r="F165" s="362" t="s">
        <v>32</v>
      </c>
      <c r="G165" s="327" t="s">
        <v>328</v>
      </c>
      <c r="H165" s="325"/>
      <c r="I165" s="327">
        <v>2</v>
      </c>
      <c r="J165" s="361" t="s">
        <v>80</v>
      </c>
      <c r="K165" s="327" t="s">
        <v>516</v>
      </c>
      <c r="L165" s="348">
        <f t="shared" si="19"/>
        <v>505470</v>
      </c>
      <c r="M165" s="355"/>
      <c r="N165" s="355" t="str">
        <f t="shared" si="20"/>
        <v>PR</v>
      </c>
      <c r="O165" s="347"/>
      <c r="P165" s="325"/>
      <c r="Q165" s="351"/>
      <c r="R165" s="351">
        <v>1.2</v>
      </c>
      <c r="S165" s="351">
        <v>5.8</v>
      </c>
      <c r="T165" s="351">
        <v>0.83</v>
      </c>
      <c r="U165" s="329">
        <f>IF($N165=$N$4,IFERROR(INDEX(DanhMuc!$E$154:$E$165,MATCH(MID($B165,4,2),DanhMuc!$B$154:$B$165,0)),""),"")</f>
        <v>5700</v>
      </c>
      <c r="V165" s="325"/>
      <c r="W165" s="352" t="str">
        <f>+IF(AND($A165&lt;&gt;"",LEN($B165)&gt;=8,COUNTIF($B$6:$B165,$B165)=1),$W$5,"")</f>
        <v/>
      </c>
      <c r="X165" s="329" t="str">
        <f t="shared" si="21"/>
        <v>XF</v>
      </c>
      <c r="Y165" s="1128" t="s">
        <v>3380</v>
      </c>
      <c r="Z165" s="1128" t="s">
        <v>3381</v>
      </c>
      <c r="AA165" s="1128" t="s">
        <v>3384</v>
      </c>
      <c r="AC165" s="73"/>
    </row>
    <row r="166" spans="1:29" s="20" customFormat="1">
      <c r="A166" s="327" t="str">
        <f>IF(AND($B166&lt;&gt;"",$C166&lt;&gt;""),MAX($A$4:A165)+1,"")</f>
        <v/>
      </c>
      <c r="B166" s="361" t="s">
        <v>1178</v>
      </c>
      <c r="C166" s="360"/>
      <c r="D166" s="327">
        <f>IF($B166="","",COUNTIF($B$6:$B166,$B166))</f>
        <v>3</v>
      </c>
      <c r="E166" s="361" t="s">
        <v>33</v>
      </c>
      <c r="F166" s="362" t="s">
        <v>34</v>
      </c>
      <c r="G166" s="327" t="s">
        <v>329</v>
      </c>
      <c r="H166" s="325"/>
      <c r="I166" s="327">
        <v>4</v>
      </c>
      <c r="J166" s="361" t="s">
        <v>970</v>
      </c>
      <c r="K166" s="327" t="s">
        <v>516</v>
      </c>
      <c r="L166" s="348">
        <f t="shared" si="19"/>
        <v>513386.99999999994</v>
      </c>
      <c r="M166" s="355"/>
      <c r="N166" s="355" t="str">
        <f t="shared" si="20"/>
        <v>PR</v>
      </c>
      <c r="O166" s="347"/>
      <c r="P166" s="325"/>
      <c r="Q166" s="351"/>
      <c r="R166" s="351">
        <v>1.2</v>
      </c>
      <c r="S166" s="351">
        <v>5.8</v>
      </c>
      <c r="T166" s="351">
        <v>0.84299999999999997</v>
      </c>
      <c r="U166" s="329">
        <f>IF($N166=$N$4,IFERROR(INDEX(DanhMuc!$E$154:$E$165,MATCH(MID($B166,4,2),DanhMuc!$B$154:$B$165,0)),""),"")</f>
        <v>5700</v>
      </c>
      <c r="V166" s="325"/>
      <c r="W166" s="352" t="str">
        <f>+IF(AND($A166&lt;&gt;"",LEN($B166)&gt;=8,COUNTIF($B$6:$B166,$B166)=1),$W$5,"")</f>
        <v/>
      </c>
      <c r="X166" s="329" t="str">
        <f t="shared" si="21"/>
        <v>XF</v>
      </c>
      <c r="Y166" s="1128" t="s">
        <v>3380</v>
      </c>
      <c r="Z166" s="1128" t="s">
        <v>3381</v>
      </c>
      <c r="AA166" s="1128" t="s">
        <v>3384</v>
      </c>
      <c r="AC166" s="73"/>
    </row>
    <row r="167" spans="1:29" s="20" customFormat="1">
      <c r="A167" s="327" t="str">
        <f>IF(AND($B167&lt;&gt;"",$C167&lt;&gt;""),MAX($A$4:A166)+1,"")</f>
        <v/>
      </c>
      <c r="B167" s="361" t="s">
        <v>1178</v>
      </c>
      <c r="C167" s="360"/>
      <c r="D167" s="327">
        <f>IF($B167="","",COUNTIF($B$6:$B167,$B167))</f>
        <v>4</v>
      </c>
      <c r="E167" s="361" t="s">
        <v>33</v>
      </c>
      <c r="F167" s="362" t="s">
        <v>34</v>
      </c>
      <c r="G167" s="327" t="s">
        <v>328</v>
      </c>
      <c r="H167" s="325"/>
      <c r="I167" s="327">
        <v>4</v>
      </c>
      <c r="J167" s="361" t="s">
        <v>971</v>
      </c>
      <c r="K167" s="327" t="s">
        <v>516</v>
      </c>
      <c r="L167" s="348">
        <f t="shared" si="19"/>
        <v>513386.99999999994</v>
      </c>
      <c r="M167" s="355"/>
      <c r="N167" s="355" t="str">
        <f t="shared" si="20"/>
        <v>PR</v>
      </c>
      <c r="O167" s="347"/>
      <c r="P167" s="325"/>
      <c r="Q167" s="351"/>
      <c r="R167" s="351">
        <v>1.2</v>
      </c>
      <c r="S167" s="351">
        <v>5.8</v>
      </c>
      <c r="T167" s="351">
        <v>0.84299999999999997</v>
      </c>
      <c r="U167" s="329">
        <f>IF($N167=$N$4,IFERROR(INDEX(DanhMuc!$E$154:$E$165,MATCH(MID($B167,4,2),DanhMuc!$B$154:$B$165,0)),""),"")</f>
        <v>5700</v>
      </c>
      <c r="V167" s="325"/>
      <c r="W167" s="352" t="str">
        <f>+IF(AND($A167&lt;&gt;"",LEN($B167)&gt;=8,COUNTIF($B$6:$B167,$B167)=1),$W$5,"")</f>
        <v/>
      </c>
      <c r="X167" s="329" t="str">
        <f t="shared" si="21"/>
        <v>XF</v>
      </c>
      <c r="Y167" s="1128" t="s">
        <v>3380</v>
      </c>
      <c r="Z167" s="1128" t="s">
        <v>3381</v>
      </c>
      <c r="AA167" s="1128" t="s">
        <v>3384</v>
      </c>
      <c r="AC167" s="73"/>
    </row>
    <row r="168" spans="1:29" s="20" customFormat="1">
      <c r="A168" s="327" t="str">
        <f>IF(AND($B168&lt;&gt;"",$C168&lt;&gt;""),MAX($A$4:A167)+1,"")</f>
        <v/>
      </c>
      <c r="B168" s="361" t="s">
        <v>1178</v>
      </c>
      <c r="C168" s="360"/>
      <c r="D168" s="327">
        <f>IF($B168="","",COUNTIF($B$6:$B168,$B168))</f>
        <v>5</v>
      </c>
      <c r="E168" s="361" t="s">
        <v>35</v>
      </c>
      <c r="F168" s="362" t="s">
        <v>36</v>
      </c>
      <c r="G168" s="327" t="s">
        <v>328</v>
      </c>
      <c r="H168" s="325"/>
      <c r="I168" s="327">
        <v>2</v>
      </c>
      <c r="J168" s="361" t="s">
        <v>971</v>
      </c>
      <c r="K168" s="327" t="s">
        <v>531</v>
      </c>
      <c r="L168" s="348">
        <f t="shared" si="19"/>
        <v>207060</v>
      </c>
      <c r="M168" s="355"/>
      <c r="N168" s="355" t="str">
        <f t="shared" si="20"/>
        <v>PR</v>
      </c>
      <c r="O168" s="347"/>
      <c r="P168" s="325"/>
      <c r="Q168" s="351"/>
      <c r="R168" s="351">
        <v>1.2</v>
      </c>
      <c r="S168" s="351">
        <v>5.8</v>
      </c>
      <c r="T168" s="351">
        <v>0.34</v>
      </c>
      <c r="U168" s="329">
        <f>IF($N168=$N$4,IFERROR(INDEX(DanhMuc!$E$154:$E$165,MATCH(MID($B168,4,2),DanhMuc!$B$154:$B$165,0)),""),"")</f>
        <v>5700</v>
      </c>
      <c r="V168" s="325"/>
      <c r="W168" s="352" t="str">
        <f>+IF(AND($A168&lt;&gt;"",LEN($B168)&gt;=8,COUNTIF($B$6:$B168,$B168)=1),$W$5,"")</f>
        <v/>
      </c>
      <c r="X168" s="329" t="str">
        <f t="shared" si="21"/>
        <v>XF</v>
      </c>
      <c r="Y168" s="1128" t="s">
        <v>3380</v>
      </c>
      <c r="Z168" s="1128" t="s">
        <v>3381</v>
      </c>
      <c r="AA168" s="1128" t="s">
        <v>3384</v>
      </c>
      <c r="AC168" s="73"/>
    </row>
    <row r="169" spans="1:29" s="20" customFormat="1">
      <c r="A169" s="327" t="str">
        <f>IF(AND($B169&lt;&gt;"",$C169&lt;&gt;""),MAX($A$4:A168)+1,"")</f>
        <v/>
      </c>
      <c r="B169" s="361" t="s">
        <v>1178</v>
      </c>
      <c r="C169" s="360"/>
      <c r="D169" s="327">
        <f>IF($B169="","",COUNTIF($B$6:$B169,$B169))</f>
        <v>6</v>
      </c>
      <c r="E169" s="361" t="s">
        <v>39</v>
      </c>
      <c r="F169" s="362" t="s">
        <v>40</v>
      </c>
      <c r="G169" s="327" t="s">
        <v>330</v>
      </c>
      <c r="H169" s="325"/>
      <c r="I169" s="327">
        <v>1</v>
      </c>
      <c r="J169" s="361" t="s">
        <v>1189</v>
      </c>
      <c r="K169" s="327" t="s">
        <v>531</v>
      </c>
      <c r="L169" s="348">
        <f t="shared" si="19"/>
        <v>158949</v>
      </c>
      <c r="M169" s="355"/>
      <c r="N169" s="355" t="str">
        <f t="shared" si="20"/>
        <v>PR</v>
      </c>
      <c r="O169" s="347"/>
      <c r="P169" s="325"/>
      <c r="Q169" s="351"/>
      <c r="R169" s="351">
        <v>1.2</v>
      </c>
      <c r="S169" s="351">
        <v>5.8</v>
      </c>
      <c r="T169" s="351">
        <v>0.26100000000000001</v>
      </c>
      <c r="U169" s="329">
        <f>IF($N169=$N$4,IFERROR(INDEX(DanhMuc!$E$154:$E$165,MATCH(MID($B169,4,2),DanhMuc!$B$154:$B$165,0)),""),"")</f>
        <v>5700</v>
      </c>
      <c r="V169" s="325"/>
      <c r="W169" s="352" t="str">
        <f>+IF(AND($A169&lt;&gt;"",LEN($B169)&gt;=8,COUNTIF($B$6:$B169,$B169)=1),$W$5,"")</f>
        <v/>
      </c>
      <c r="X169" s="329" t="str">
        <f t="shared" si="21"/>
        <v>XF</v>
      </c>
      <c r="Y169" s="1128" t="s">
        <v>3380</v>
      </c>
      <c r="Z169" s="1128" t="s">
        <v>3381</v>
      </c>
      <c r="AA169" s="1128" t="s">
        <v>3384</v>
      </c>
      <c r="AC169" s="73"/>
    </row>
    <row r="170" spans="1:29" s="20" customFormat="1" ht="39">
      <c r="A170" s="327">
        <f>IF(AND($B170&lt;&gt;"",$C170&lt;&gt;""),MAX($A$4:A169)+1,"")</f>
        <v>19</v>
      </c>
      <c r="B170" s="359" t="s">
        <v>3206</v>
      </c>
      <c r="C170" s="360" t="s">
        <v>3205</v>
      </c>
      <c r="D170" s="327">
        <f>IF($B170="","",COUNTIF($B$6:$B170,$B170))</f>
        <v>1</v>
      </c>
      <c r="E170" s="361" t="s">
        <v>31</v>
      </c>
      <c r="F170" s="362" t="s">
        <v>32</v>
      </c>
      <c r="G170" s="327" t="s">
        <v>328</v>
      </c>
      <c r="H170" s="325"/>
      <c r="I170" s="327">
        <v>2</v>
      </c>
      <c r="J170" s="361" t="s">
        <v>3207</v>
      </c>
      <c r="K170" s="327" t="s">
        <v>531</v>
      </c>
      <c r="L170" s="348">
        <f t="shared" si="19"/>
        <v>505470</v>
      </c>
      <c r="M170" s="355"/>
      <c r="N170" s="355" t="str">
        <f t="shared" si="20"/>
        <v>PR</v>
      </c>
      <c r="O170" s="347"/>
      <c r="P170" s="325"/>
      <c r="Q170" s="351"/>
      <c r="R170" s="351">
        <v>1.2</v>
      </c>
      <c r="S170" s="351">
        <v>5.8</v>
      </c>
      <c r="T170" s="351">
        <v>0.83</v>
      </c>
      <c r="U170" s="329">
        <f>IF($N170=$N$4,IFERROR(INDEX(DanhMuc!$E$154:$E$165,MATCH(MID($B170,4,2),DanhMuc!$B$154:$B$165,0)),""),"")</f>
        <v>5700</v>
      </c>
      <c r="V170" s="325"/>
      <c r="W170" s="352" t="str">
        <f>+IF(AND($A170&lt;&gt;"",LEN($B170)&gt;=8,COUNTIF($B$6:$B170,$B170)=1),$W$5,"")</f>
        <v>DMCua</v>
      </c>
      <c r="X170" s="329" t="str">
        <f t="shared" si="21"/>
        <v>XF</v>
      </c>
      <c r="Y170" s="1128" t="s">
        <v>3380</v>
      </c>
      <c r="Z170" s="1128" t="s">
        <v>3381</v>
      </c>
      <c r="AA170" s="1128" t="s">
        <v>3384</v>
      </c>
      <c r="AC170" s="73"/>
    </row>
    <row r="171" spans="1:29" s="20" customFormat="1">
      <c r="A171" s="327" t="str">
        <f>IF(AND($B171&lt;&gt;"",$C171&lt;&gt;""),MAX($A$4:A170)+1,"")</f>
        <v/>
      </c>
      <c r="B171" s="361" t="s">
        <v>3206</v>
      </c>
      <c r="C171" s="360"/>
      <c r="D171" s="327">
        <f>IF($B171="","",COUNTIF($B$6:$B171,$B171))</f>
        <v>2</v>
      </c>
      <c r="E171" s="361" t="s">
        <v>33</v>
      </c>
      <c r="F171" s="362" t="s">
        <v>34</v>
      </c>
      <c r="G171" s="327" t="s">
        <v>329</v>
      </c>
      <c r="H171" s="325"/>
      <c r="I171" s="327" t="s">
        <v>3209</v>
      </c>
      <c r="J171" s="361" t="s">
        <v>3212</v>
      </c>
      <c r="K171" s="327" t="s">
        <v>531</v>
      </c>
      <c r="L171" s="348">
        <f t="shared" si="19"/>
        <v>513386.99999999994</v>
      </c>
      <c r="M171" s="355"/>
      <c r="N171" s="355" t="str">
        <f t="shared" si="20"/>
        <v>PR</v>
      </c>
      <c r="O171" s="347"/>
      <c r="P171" s="325"/>
      <c r="Q171" s="351"/>
      <c r="R171" s="351">
        <v>1.2</v>
      </c>
      <c r="S171" s="351">
        <v>5.8</v>
      </c>
      <c r="T171" s="351">
        <v>0.84299999999999997</v>
      </c>
      <c r="U171" s="329">
        <f>IF($N171=$N$4,IFERROR(INDEX(DanhMuc!$E$154:$E$165,MATCH(MID($B171,4,2),DanhMuc!$B$154:$B$165,0)),""),"")</f>
        <v>5700</v>
      </c>
      <c r="V171" s="325"/>
      <c r="W171" s="352" t="str">
        <f>+IF(AND($A171&lt;&gt;"",LEN($B171)&gt;=8,COUNTIF($B$6:$B171,$B171)=1),$W$5,"")</f>
        <v/>
      </c>
      <c r="X171" s="329" t="str">
        <f t="shared" si="21"/>
        <v>XF</v>
      </c>
      <c r="Y171" s="1128" t="s">
        <v>3380</v>
      </c>
      <c r="Z171" s="1128" t="s">
        <v>3381</v>
      </c>
      <c r="AA171" s="1128" t="s">
        <v>3384</v>
      </c>
      <c r="AC171" s="73"/>
    </row>
    <row r="172" spans="1:29" s="20" customFormat="1">
      <c r="A172" s="327" t="str">
        <f>IF(AND($B172&lt;&gt;"",$C172&lt;&gt;""),MAX($A$4:A171)+1,"")</f>
        <v/>
      </c>
      <c r="B172" s="361" t="s">
        <v>3206</v>
      </c>
      <c r="C172" s="360"/>
      <c r="D172" s="327">
        <f>IF($B172="","",COUNTIF($B$6:$B172,$B172))</f>
        <v>3</v>
      </c>
      <c r="E172" s="361" t="s">
        <v>33</v>
      </c>
      <c r="F172" s="362" t="s">
        <v>34</v>
      </c>
      <c r="G172" s="327" t="s">
        <v>328</v>
      </c>
      <c r="H172" s="325"/>
      <c r="I172" s="327" t="s">
        <v>3209</v>
      </c>
      <c r="J172" s="361" t="s">
        <v>80</v>
      </c>
      <c r="K172" s="327" t="s">
        <v>531</v>
      </c>
      <c r="L172" s="348">
        <f t="shared" si="19"/>
        <v>513386.99999999994</v>
      </c>
      <c r="M172" s="355"/>
      <c r="N172" s="355" t="str">
        <f t="shared" si="20"/>
        <v>PR</v>
      </c>
      <c r="O172" s="347"/>
      <c r="P172" s="325"/>
      <c r="Q172" s="351"/>
      <c r="R172" s="351">
        <v>1.2</v>
      </c>
      <c r="S172" s="351">
        <v>5.8</v>
      </c>
      <c r="T172" s="351">
        <v>0.84299999999999997</v>
      </c>
      <c r="U172" s="329">
        <f>IF($N172=$N$4,IFERROR(INDEX(DanhMuc!$E$154:$E$165,MATCH(MID($B172,4,2),DanhMuc!$B$154:$B$165,0)),""),"")</f>
        <v>5700</v>
      </c>
      <c r="V172" s="325"/>
      <c r="W172" s="352" t="str">
        <f>+IF(AND($A172&lt;&gt;"",LEN($B172)&gt;=8,COUNTIF($B$6:$B172,$B172)=1),$W$5,"")</f>
        <v/>
      </c>
      <c r="X172" s="329" t="str">
        <f t="shared" si="21"/>
        <v>XF</v>
      </c>
      <c r="Y172" s="1128" t="s">
        <v>3380</v>
      </c>
      <c r="Z172" s="1128" t="s">
        <v>3381</v>
      </c>
      <c r="AA172" s="1128" t="s">
        <v>3384</v>
      </c>
      <c r="AC172" s="73"/>
    </row>
    <row r="173" spans="1:29" s="20" customFormat="1">
      <c r="A173" s="327" t="str">
        <f>IF(AND($B173&lt;&gt;"",$C173&lt;&gt;""),MAX($A$4:A172)+1,"")</f>
        <v/>
      </c>
      <c r="B173" s="361" t="s">
        <v>3206</v>
      </c>
      <c r="C173" s="360"/>
      <c r="D173" s="327">
        <f>IF($B173="","",COUNTIF($B$6:$B173,$B173))</f>
        <v>4</v>
      </c>
      <c r="E173" s="361" t="s">
        <v>37</v>
      </c>
      <c r="F173" s="362" t="s">
        <v>3208</v>
      </c>
      <c r="G173" s="327" t="s">
        <v>328</v>
      </c>
      <c r="H173" s="325"/>
      <c r="I173" s="327" t="s">
        <v>3210</v>
      </c>
      <c r="J173" s="361" t="s">
        <v>80</v>
      </c>
      <c r="K173" s="327" t="s">
        <v>531</v>
      </c>
      <c r="L173" s="348">
        <f t="shared" si="19"/>
        <v>129716.99999999999</v>
      </c>
      <c r="M173" s="355"/>
      <c r="N173" s="355" t="str">
        <f t="shared" si="20"/>
        <v>PR</v>
      </c>
      <c r="O173" s="347"/>
      <c r="P173" s="325"/>
      <c r="Q173" s="351"/>
      <c r="R173" s="351">
        <v>1.2</v>
      </c>
      <c r="S173" s="351">
        <v>5.8</v>
      </c>
      <c r="T173" s="351">
        <v>0.21299999999999999</v>
      </c>
      <c r="U173" s="329">
        <f>IF($N173=$N$4,IFERROR(INDEX(DanhMuc!$E$154:$E$165,MATCH(MID($B173,4,2),DanhMuc!$B$154:$B$165,0)),""),"")</f>
        <v>5700</v>
      </c>
      <c r="V173" s="325"/>
      <c r="W173" s="352" t="str">
        <f>+IF(AND($A173&lt;&gt;"",LEN($B173)&gt;=8,COUNTIF($B$6:$B173,$B173)=1),$W$5,"")</f>
        <v/>
      </c>
      <c r="X173" s="329" t="str">
        <f t="shared" si="21"/>
        <v>XF</v>
      </c>
      <c r="Y173" s="1128" t="s">
        <v>3380</v>
      </c>
      <c r="Z173" s="1128" t="s">
        <v>3381</v>
      </c>
      <c r="AA173" s="1128" t="s">
        <v>3384</v>
      </c>
      <c r="AC173" s="73"/>
    </row>
    <row r="174" spans="1:29" s="20" customFormat="1">
      <c r="A174" s="327" t="str">
        <f>IF(AND($B174&lt;&gt;"",$C174&lt;&gt;""),MAX($A$4:A173)+1,"")</f>
        <v/>
      </c>
      <c r="B174" s="361" t="s">
        <v>3206</v>
      </c>
      <c r="C174" s="360"/>
      <c r="D174" s="327">
        <f>IF($B174="","",COUNTIF($B$6:$B174,$B174))</f>
        <v>5</v>
      </c>
      <c r="E174" s="361" t="s">
        <v>35</v>
      </c>
      <c r="F174" s="362" t="s">
        <v>36</v>
      </c>
      <c r="G174" s="327" t="s">
        <v>328</v>
      </c>
      <c r="H174" s="325"/>
      <c r="I174" s="327" t="s">
        <v>3211</v>
      </c>
      <c r="J174" s="361" t="s">
        <v>80</v>
      </c>
      <c r="K174" s="327" t="s">
        <v>531</v>
      </c>
      <c r="L174" s="348">
        <f t="shared" si="19"/>
        <v>207060</v>
      </c>
      <c r="M174" s="355"/>
      <c r="N174" s="355" t="str">
        <f t="shared" si="20"/>
        <v>PR</v>
      </c>
      <c r="O174" s="347"/>
      <c r="P174" s="325"/>
      <c r="Q174" s="351"/>
      <c r="R174" s="351">
        <v>1.2</v>
      </c>
      <c r="S174" s="351">
        <v>5.8</v>
      </c>
      <c r="T174" s="351">
        <v>0.34</v>
      </c>
      <c r="U174" s="329">
        <f>IF($N174=$N$4,IFERROR(INDEX(DanhMuc!$E$154:$E$165,MATCH(MID($B174,4,2),DanhMuc!$B$154:$B$165,0)),""),"")</f>
        <v>5700</v>
      </c>
      <c r="V174" s="325"/>
      <c r="W174" s="352" t="str">
        <f>+IF(AND($A174&lt;&gt;"",LEN($B174)&gt;=8,COUNTIF($B$6:$B174,$B174)=1),$W$5,"")</f>
        <v/>
      </c>
      <c r="X174" s="329" t="str">
        <f t="shared" si="21"/>
        <v>XF</v>
      </c>
      <c r="Y174" s="1128" t="s">
        <v>3380</v>
      </c>
      <c r="Z174" s="1128" t="s">
        <v>3381</v>
      </c>
      <c r="AA174" s="1128" t="s">
        <v>3384</v>
      </c>
      <c r="AC174" s="73"/>
    </row>
    <row r="175" spans="1:29" s="20" customFormat="1" ht="39">
      <c r="A175" s="327">
        <f>IF(AND($B175&lt;&gt;"",$C175&lt;&gt;""),MAX($A$4:A174)+1,"")</f>
        <v>20</v>
      </c>
      <c r="B175" s="359" t="s">
        <v>3222</v>
      </c>
      <c r="C175" s="360" t="s">
        <v>3223</v>
      </c>
      <c r="D175" s="327">
        <f>IF($B175="","",COUNTIF($B$6:$B175,$B175))</f>
        <v>1</v>
      </c>
      <c r="E175" s="361" t="s">
        <v>31</v>
      </c>
      <c r="F175" s="362" t="s">
        <v>32</v>
      </c>
      <c r="G175" s="327" t="s">
        <v>328</v>
      </c>
      <c r="H175" s="325"/>
      <c r="I175" s="327">
        <v>1</v>
      </c>
      <c r="J175" s="361" t="s">
        <v>3207</v>
      </c>
      <c r="K175" s="327" t="s">
        <v>531</v>
      </c>
      <c r="L175" s="348">
        <f t="shared" si="19"/>
        <v>505470</v>
      </c>
      <c r="M175" s="355"/>
      <c r="N175" s="355" t="str">
        <f t="shared" si="20"/>
        <v>PR</v>
      </c>
      <c r="O175" s="347"/>
      <c r="P175" s="325"/>
      <c r="Q175" s="351"/>
      <c r="R175" s="351">
        <v>1.2</v>
      </c>
      <c r="S175" s="351">
        <v>5.8</v>
      </c>
      <c r="T175" s="351">
        <v>0.83</v>
      </c>
      <c r="U175" s="329">
        <f>IF($N175=$N$4,IFERROR(INDEX(DanhMuc!$E$154:$E$165,MATCH(MID($B175,4,2),DanhMuc!$B$154:$B$165,0)),""),"")</f>
        <v>5700</v>
      </c>
      <c r="V175" s="325"/>
      <c r="W175" s="352" t="str">
        <f>+IF(AND($A175&lt;&gt;"",LEN($B175)&gt;=8,COUNTIF($B$6:$B175,$B175)=1),$W$5,"")</f>
        <v>DMCua</v>
      </c>
      <c r="X175" s="329" t="str">
        <f t="shared" si="21"/>
        <v>XF</v>
      </c>
      <c r="Y175" s="1128" t="s">
        <v>3380</v>
      </c>
      <c r="Z175" s="1128" t="s">
        <v>3381</v>
      </c>
      <c r="AA175" s="1128" t="s">
        <v>3384</v>
      </c>
      <c r="AC175" s="73"/>
    </row>
    <row r="176" spans="1:29" s="20" customFormat="1">
      <c r="A176" s="327" t="str">
        <f>IF(AND($B176&lt;&gt;"",$C176&lt;&gt;""),MAX($A$4:A175)+1,"")</f>
        <v/>
      </c>
      <c r="B176" s="361" t="s">
        <v>3222</v>
      </c>
      <c r="C176" s="360"/>
      <c r="D176" s="327">
        <f>IF($B176="","",COUNTIF($B$6:$B176,$B176))</f>
        <v>2</v>
      </c>
      <c r="E176" s="361" t="s">
        <v>33</v>
      </c>
      <c r="F176" s="362" t="s">
        <v>34</v>
      </c>
      <c r="G176" s="327" t="s">
        <v>329</v>
      </c>
      <c r="H176" s="325"/>
      <c r="I176" s="327">
        <v>2</v>
      </c>
      <c r="J176" s="361" t="s">
        <v>81</v>
      </c>
      <c r="K176" s="327" t="s">
        <v>531</v>
      </c>
      <c r="L176" s="348">
        <f t="shared" si="19"/>
        <v>513386.99999999994</v>
      </c>
      <c r="M176" s="355"/>
      <c r="N176" s="355" t="str">
        <f t="shared" si="20"/>
        <v>PR</v>
      </c>
      <c r="O176" s="347"/>
      <c r="P176" s="325"/>
      <c r="Q176" s="351"/>
      <c r="R176" s="351">
        <v>1.2</v>
      </c>
      <c r="S176" s="351">
        <v>5.8</v>
      </c>
      <c r="T176" s="351">
        <v>0.84299999999999997</v>
      </c>
      <c r="U176" s="329">
        <f>IF($N176=$N$4,IFERROR(INDEX(DanhMuc!$E$154:$E$165,MATCH(MID($B176,4,2),DanhMuc!$B$154:$B$165,0)),""),"")</f>
        <v>5700</v>
      </c>
      <c r="V176" s="325"/>
      <c r="W176" s="352" t="str">
        <f>+IF(AND($A176&lt;&gt;"",LEN($B176)&gt;=8,COUNTIF($B$6:$B176,$B176)=1),$W$5,"")</f>
        <v/>
      </c>
      <c r="X176" s="329" t="str">
        <f t="shared" si="21"/>
        <v>XF</v>
      </c>
      <c r="Y176" s="1128" t="s">
        <v>3380</v>
      </c>
      <c r="Z176" s="1128" t="s">
        <v>3381</v>
      </c>
      <c r="AA176" s="1128" t="s">
        <v>3384</v>
      </c>
      <c r="AC176" s="73"/>
    </row>
    <row r="177" spans="1:29" s="20" customFormat="1">
      <c r="A177" s="327" t="str">
        <f>IF(AND($B177&lt;&gt;"",$C177&lt;&gt;""),MAX($A$4:A176)+1,"")</f>
        <v/>
      </c>
      <c r="B177" s="361" t="s">
        <v>3222</v>
      </c>
      <c r="C177" s="360"/>
      <c r="D177" s="327">
        <f>IF($B177="","",COUNTIF($B$6:$B177,$B177))</f>
        <v>3</v>
      </c>
      <c r="E177" s="361" t="s">
        <v>33</v>
      </c>
      <c r="F177" s="362" t="s">
        <v>34</v>
      </c>
      <c r="G177" s="327" t="s">
        <v>328</v>
      </c>
      <c r="H177" s="325"/>
      <c r="I177" s="327">
        <v>2</v>
      </c>
      <c r="J177" s="361" t="s">
        <v>80</v>
      </c>
      <c r="K177" s="327" t="s">
        <v>531</v>
      </c>
      <c r="L177" s="348">
        <f t="shared" si="19"/>
        <v>513386.99999999994</v>
      </c>
      <c r="M177" s="355"/>
      <c r="N177" s="355" t="str">
        <f t="shared" si="20"/>
        <v>PR</v>
      </c>
      <c r="O177" s="347"/>
      <c r="P177" s="325"/>
      <c r="Q177" s="351"/>
      <c r="R177" s="351">
        <v>1.2</v>
      </c>
      <c r="S177" s="351">
        <v>5.8</v>
      </c>
      <c r="T177" s="351">
        <v>0.84299999999999997</v>
      </c>
      <c r="U177" s="329">
        <f>IF($N177=$N$4,IFERROR(INDEX(DanhMuc!$E$154:$E$165,MATCH(MID($B177,4,2),DanhMuc!$B$154:$B$165,0)),""),"")</f>
        <v>5700</v>
      </c>
      <c r="V177" s="325"/>
      <c r="W177" s="352" t="str">
        <f>+IF(AND($A177&lt;&gt;"",LEN($B177)&gt;=8,COUNTIF($B$6:$B177,$B177)=1),$W$5,"")</f>
        <v/>
      </c>
      <c r="X177" s="329" t="str">
        <f t="shared" si="21"/>
        <v>XF</v>
      </c>
      <c r="Y177" s="1128" t="s">
        <v>3380</v>
      </c>
      <c r="Z177" s="1128" t="s">
        <v>3381</v>
      </c>
      <c r="AA177" s="1128" t="s">
        <v>3384</v>
      </c>
      <c r="AC177" s="73"/>
    </row>
    <row r="178" spans="1:29" s="20" customFormat="1">
      <c r="A178" s="327" t="str">
        <f>IF(AND($B178&lt;&gt;"",$C178&lt;&gt;""),MAX($A$4:A177)+1,"")</f>
        <v/>
      </c>
      <c r="B178" s="361" t="s">
        <v>3222</v>
      </c>
      <c r="C178" s="360"/>
      <c r="D178" s="327">
        <f>IF($B178="","",COUNTIF($B$6:$B178,$B178))</f>
        <v>4</v>
      </c>
      <c r="E178" s="361" t="s">
        <v>35</v>
      </c>
      <c r="F178" s="362" t="s">
        <v>36</v>
      </c>
      <c r="G178" s="327" t="s">
        <v>328</v>
      </c>
      <c r="H178" s="325"/>
      <c r="I178" s="327">
        <v>1</v>
      </c>
      <c r="J178" s="361" t="s">
        <v>80</v>
      </c>
      <c r="K178" s="327" t="s">
        <v>531</v>
      </c>
      <c r="L178" s="348">
        <f t="shared" si="19"/>
        <v>207060</v>
      </c>
      <c r="M178" s="355"/>
      <c r="N178" s="355" t="str">
        <f t="shared" si="20"/>
        <v>PR</v>
      </c>
      <c r="O178" s="347"/>
      <c r="P178" s="325"/>
      <c r="Q178" s="351"/>
      <c r="R178" s="351">
        <v>1.2</v>
      </c>
      <c r="S178" s="351">
        <v>5.8</v>
      </c>
      <c r="T178" s="351">
        <v>0.34</v>
      </c>
      <c r="U178" s="329">
        <f>IF($N178=$N$4,IFERROR(INDEX(DanhMuc!$E$154:$E$165,MATCH(MID($B178,4,2),DanhMuc!$B$154:$B$165,0)),""),"")</f>
        <v>5700</v>
      </c>
      <c r="V178" s="325"/>
      <c r="W178" s="352" t="str">
        <f>+IF(AND($A178&lt;&gt;"",LEN($B178)&gt;=8,COUNTIF($B$6:$B178,$B178)=1),$W$5,"")</f>
        <v/>
      </c>
      <c r="X178" s="329" t="str">
        <f t="shared" si="21"/>
        <v>XF</v>
      </c>
      <c r="Y178" s="1128" t="s">
        <v>3380</v>
      </c>
      <c r="Z178" s="1128" t="s">
        <v>3381</v>
      </c>
      <c r="AA178" s="1128" t="s">
        <v>3384</v>
      </c>
      <c r="AC178" s="73"/>
    </row>
    <row r="179" spans="1:29" s="20" customFormat="1" ht="39">
      <c r="A179" s="327">
        <f>IF(AND($B179&lt;&gt;"",$C179&lt;&gt;""),MAX($A$4:A163)+1,"")</f>
        <v>18</v>
      </c>
      <c r="B179" s="359" t="s">
        <v>3173</v>
      </c>
      <c r="C179" s="360" t="s">
        <v>3174</v>
      </c>
      <c r="D179" s="327">
        <f>IF($B179="","",COUNTIF($B$6:$B179,$B179))</f>
        <v>1</v>
      </c>
      <c r="E179" s="361" t="s">
        <v>31</v>
      </c>
      <c r="F179" s="362" t="s">
        <v>32</v>
      </c>
      <c r="G179" s="327" t="s">
        <v>329</v>
      </c>
      <c r="H179" s="325"/>
      <c r="I179" s="327">
        <v>2</v>
      </c>
      <c r="J179" s="363" t="s">
        <v>81</v>
      </c>
      <c r="K179" s="327" t="s">
        <v>516</v>
      </c>
      <c r="L179" s="348">
        <f t="shared" si="19"/>
        <v>505470</v>
      </c>
      <c r="M179" s="355"/>
      <c r="N179" s="355" t="str">
        <f t="shared" si="20"/>
        <v>PR</v>
      </c>
      <c r="O179" s="347"/>
      <c r="P179" s="325"/>
      <c r="Q179" s="351"/>
      <c r="R179" s="351">
        <v>1.2</v>
      </c>
      <c r="S179" s="351">
        <v>5.8</v>
      </c>
      <c r="T179" s="351">
        <v>0.83</v>
      </c>
      <c r="U179" s="329">
        <f>IF($N179=$N$4,IFERROR(INDEX(DanhMuc!$E$154:$E$165,MATCH(MID($B179,4,2),DanhMuc!$B$154:$B$165,0)),""),"")</f>
        <v>5700</v>
      </c>
      <c r="V179" s="325"/>
      <c r="W179" s="352" t="str">
        <f>+IF(AND($A179&lt;&gt;"",LEN($B179)&gt;=8,COUNTIF($B$6:$B179,$B179)=1),$W$5,"")</f>
        <v>DMCua</v>
      </c>
      <c r="X179" s="329" t="str">
        <f t="shared" si="21"/>
        <v>XF</v>
      </c>
      <c r="Y179" s="1128" t="s">
        <v>3380</v>
      </c>
      <c r="Z179" s="1128" t="s">
        <v>3381</v>
      </c>
      <c r="AA179" s="1128" t="s">
        <v>3384</v>
      </c>
      <c r="AC179" s="73"/>
    </row>
    <row r="180" spans="1:29" s="20" customFormat="1">
      <c r="A180" s="327" t="str">
        <f>IF(AND($B180&lt;&gt;"",$C180&lt;&gt;""),MAX($A$4:A179)+1,"")</f>
        <v/>
      </c>
      <c r="B180" s="361" t="s">
        <v>3173</v>
      </c>
      <c r="C180" s="362"/>
      <c r="D180" s="327">
        <f>IF($B180="","",COUNTIF($B$6:$B180,$B180))</f>
        <v>2</v>
      </c>
      <c r="E180" s="361" t="s">
        <v>31</v>
      </c>
      <c r="F180" s="362" t="s">
        <v>32</v>
      </c>
      <c r="G180" s="327" t="s">
        <v>328</v>
      </c>
      <c r="H180" s="325"/>
      <c r="I180" s="327">
        <v>2</v>
      </c>
      <c r="J180" s="361" t="s">
        <v>80</v>
      </c>
      <c r="K180" s="327" t="s">
        <v>516</v>
      </c>
      <c r="L180" s="348">
        <f t="shared" si="19"/>
        <v>505470</v>
      </c>
      <c r="M180" s="355"/>
      <c r="N180" s="355" t="str">
        <f t="shared" si="20"/>
        <v>PR</v>
      </c>
      <c r="O180" s="347"/>
      <c r="P180" s="325"/>
      <c r="Q180" s="351"/>
      <c r="R180" s="351">
        <v>1.2</v>
      </c>
      <c r="S180" s="351">
        <v>5.8</v>
      </c>
      <c r="T180" s="351">
        <v>0.83</v>
      </c>
      <c r="U180" s="329">
        <f>IF($N180=$N$4,IFERROR(INDEX(DanhMuc!$E$154:$E$165,MATCH(MID($B180,4,2),DanhMuc!$B$154:$B$165,0)),""),"")</f>
        <v>5700</v>
      </c>
      <c r="V180" s="325"/>
      <c r="W180" s="352" t="str">
        <f>+IF(AND($A180&lt;&gt;"",LEN($B180)&gt;=8,COUNTIF($B$6:$B180,$B180)=1),$W$5,"")</f>
        <v/>
      </c>
      <c r="X180" s="329" t="str">
        <f t="shared" si="21"/>
        <v>XF</v>
      </c>
      <c r="Y180" s="1128" t="s">
        <v>3380</v>
      </c>
      <c r="Z180" s="1128" t="s">
        <v>3381</v>
      </c>
      <c r="AA180" s="1128" t="s">
        <v>3384</v>
      </c>
      <c r="AC180" s="73"/>
    </row>
    <row r="181" spans="1:29" s="20" customFormat="1">
      <c r="A181" s="327" t="str">
        <f>IF(AND($B181&lt;&gt;"",$C181&lt;&gt;""),MAX($A$4:A180)+1,"")</f>
        <v/>
      </c>
      <c r="B181" s="361" t="s">
        <v>3173</v>
      </c>
      <c r="C181" s="360"/>
      <c r="D181" s="327">
        <f>IF($B181="","",COUNTIF($B$6:$B181,$B181))</f>
        <v>3</v>
      </c>
      <c r="E181" s="361" t="s">
        <v>33</v>
      </c>
      <c r="F181" s="362" t="s">
        <v>34</v>
      </c>
      <c r="G181" s="327" t="s">
        <v>329</v>
      </c>
      <c r="H181" s="325"/>
      <c r="I181" s="327">
        <v>4</v>
      </c>
      <c r="J181" s="361" t="s">
        <v>3175</v>
      </c>
      <c r="K181" s="327" t="s">
        <v>516</v>
      </c>
      <c r="L181" s="348">
        <f t="shared" si="19"/>
        <v>513386.99999999994</v>
      </c>
      <c r="M181" s="355"/>
      <c r="N181" s="355" t="str">
        <f t="shared" si="20"/>
        <v>PR</v>
      </c>
      <c r="O181" s="347"/>
      <c r="P181" s="325"/>
      <c r="Q181" s="351"/>
      <c r="R181" s="351">
        <v>1.2</v>
      </c>
      <c r="S181" s="351">
        <v>5.8</v>
      </c>
      <c r="T181" s="351">
        <v>0.84299999999999997</v>
      </c>
      <c r="U181" s="329">
        <f>IF($N181=$N$4,IFERROR(INDEX(DanhMuc!$E$154:$E$165,MATCH(MID($B181,4,2),DanhMuc!$B$154:$B$165,0)),""),"")</f>
        <v>5700</v>
      </c>
      <c r="V181" s="325"/>
      <c r="W181" s="352" t="str">
        <f>+IF(AND($A181&lt;&gt;"",LEN($B181)&gt;=8,COUNTIF($B$6:$B181,$B181)=1),$W$5,"")</f>
        <v/>
      </c>
      <c r="X181" s="329" t="str">
        <f t="shared" si="21"/>
        <v>XF</v>
      </c>
      <c r="Y181" s="1128" t="s">
        <v>3380</v>
      </c>
      <c r="Z181" s="1128" t="s">
        <v>3381</v>
      </c>
      <c r="AA181" s="1128" t="s">
        <v>3384</v>
      </c>
      <c r="AC181" s="73"/>
    </row>
    <row r="182" spans="1:29" s="20" customFormat="1">
      <c r="A182" s="327" t="str">
        <f>IF(AND($B182&lt;&gt;"",$C182&lt;&gt;""),MAX($A$4:A181)+1,"")</f>
        <v/>
      </c>
      <c r="B182" s="361" t="s">
        <v>3173</v>
      </c>
      <c r="C182" s="360"/>
      <c r="D182" s="327">
        <f>IF($B182="","",COUNTIF($B$6:$B182,$B182))</f>
        <v>4</v>
      </c>
      <c r="E182" s="361" t="s">
        <v>33</v>
      </c>
      <c r="F182" s="362" t="s">
        <v>34</v>
      </c>
      <c r="G182" s="327" t="s">
        <v>329</v>
      </c>
      <c r="H182" s="325"/>
      <c r="I182" s="327">
        <v>2</v>
      </c>
      <c r="J182" s="361" t="s">
        <v>3176</v>
      </c>
      <c r="K182" s="327" t="s">
        <v>516</v>
      </c>
      <c r="L182" s="348">
        <f t="shared" si="19"/>
        <v>513386.99999999994</v>
      </c>
      <c r="M182" s="355"/>
      <c r="N182" s="355" t="str">
        <f t="shared" si="20"/>
        <v>PR</v>
      </c>
      <c r="O182" s="347"/>
      <c r="P182" s="325"/>
      <c r="Q182" s="351"/>
      <c r="R182" s="351">
        <v>1.2</v>
      </c>
      <c r="S182" s="351">
        <v>5.8</v>
      </c>
      <c r="T182" s="351">
        <v>0.84299999999999997</v>
      </c>
      <c r="U182" s="329">
        <f>IF($N182=$N$4,IFERROR(INDEX(DanhMuc!$E$154:$E$165,MATCH(MID($B182,4,2),DanhMuc!$B$154:$B$165,0)),""),"")</f>
        <v>5700</v>
      </c>
      <c r="V182" s="325"/>
      <c r="W182" s="352" t="str">
        <f>+IF(AND($A182&lt;&gt;"",LEN($B182)&gt;=8,COUNTIF($B$6:$B182,$B182)=1),$W$5,"")</f>
        <v/>
      </c>
      <c r="X182" s="329" t="str">
        <f t="shared" si="21"/>
        <v>XF</v>
      </c>
      <c r="Y182" s="1128" t="s">
        <v>3380</v>
      </c>
      <c r="Z182" s="1128" t="s">
        <v>3381</v>
      </c>
      <c r="AA182" s="1128" t="s">
        <v>3384</v>
      </c>
      <c r="AC182" s="73"/>
    </row>
    <row r="183" spans="1:29" s="20" customFormat="1">
      <c r="A183" s="327" t="str">
        <f>IF(AND($B183&lt;&gt;"",$C183&lt;&gt;""),MAX($A$4:A181)+1,"")</f>
        <v/>
      </c>
      <c r="B183" s="361" t="s">
        <v>3173</v>
      </c>
      <c r="C183" s="360"/>
      <c r="D183" s="327">
        <f>IF($B183="","",COUNTIF($B$6:$B183,$B183))</f>
        <v>5</v>
      </c>
      <c r="E183" s="361" t="s">
        <v>33</v>
      </c>
      <c r="F183" s="362" t="s">
        <v>34</v>
      </c>
      <c r="G183" s="327" t="s">
        <v>328</v>
      </c>
      <c r="H183" s="325"/>
      <c r="I183" s="327">
        <v>6</v>
      </c>
      <c r="J183" s="361" t="s">
        <v>971</v>
      </c>
      <c r="K183" s="327" t="s">
        <v>516</v>
      </c>
      <c r="L183" s="348">
        <f t="shared" si="19"/>
        <v>513386.99999999994</v>
      </c>
      <c r="M183" s="355"/>
      <c r="N183" s="355" t="str">
        <f t="shared" si="20"/>
        <v>PR</v>
      </c>
      <c r="O183" s="347"/>
      <c r="P183" s="325"/>
      <c r="Q183" s="351"/>
      <c r="R183" s="351">
        <v>1.2</v>
      </c>
      <c r="S183" s="351">
        <v>5.8</v>
      </c>
      <c r="T183" s="351">
        <v>0.84299999999999997</v>
      </c>
      <c r="U183" s="329">
        <f>IF($N183=$N$4,IFERROR(INDEX(DanhMuc!$E$154:$E$165,MATCH(MID($B183,4,2),DanhMuc!$B$154:$B$165,0)),""),"")</f>
        <v>5700</v>
      </c>
      <c r="V183" s="325"/>
      <c r="W183" s="352" t="str">
        <f>+IF(AND($A183&lt;&gt;"",LEN($B183)&gt;=8,COUNTIF($B$6:$B183,$B183)=1),$W$5,"")</f>
        <v/>
      </c>
      <c r="X183" s="329" t="str">
        <f t="shared" si="21"/>
        <v>XF</v>
      </c>
      <c r="Y183" s="1128" t="s">
        <v>3380</v>
      </c>
      <c r="Z183" s="1128" t="s">
        <v>3381</v>
      </c>
      <c r="AA183" s="1128" t="s">
        <v>3384</v>
      </c>
      <c r="AC183" s="73"/>
    </row>
    <row r="184" spans="1:29" s="20" customFormat="1">
      <c r="A184" s="327" t="str">
        <f>IF(AND($B184&lt;&gt;"",$C184&lt;&gt;""),MAX($A$4:A183)+1,"")</f>
        <v/>
      </c>
      <c r="B184" s="361" t="s">
        <v>3173</v>
      </c>
      <c r="C184" s="360"/>
      <c r="D184" s="327">
        <f>IF($B184="","",COUNTIF($B$6:$B184,$B184))</f>
        <v>6</v>
      </c>
      <c r="E184" s="361" t="s">
        <v>35</v>
      </c>
      <c r="F184" s="362" t="s">
        <v>36</v>
      </c>
      <c r="G184" s="327" t="s">
        <v>328</v>
      </c>
      <c r="H184" s="325"/>
      <c r="I184" s="327">
        <v>4</v>
      </c>
      <c r="J184" s="361" t="s">
        <v>971</v>
      </c>
      <c r="K184" s="327" t="s">
        <v>531</v>
      </c>
      <c r="L184" s="348">
        <f t="shared" si="19"/>
        <v>207060</v>
      </c>
      <c r="M184" s="355"/>
      <c r="N184" s="355" t="str">
        <f t="shared" si="20"/>
        <v>PR</v>
      </c>
      <c r="O184" s="347"/>
      <c r="P184" s="325"/>
      <c r="Q184" s="351"/>
      <c r="R184" s="351">
        <v>1.2</v>
      </c>
      <c r="S184" s="351">
        <v>5.8</v>
      </c>
      <c r="T184" s="351">
        <v>0.34</v>
      </c>
      <c r="U184" s="329">
        <f>IF($N184=$N$4,IFERROR(INDEX(DanhMuc!$E$154:$E$165,MATCH(MID($B184,4,2),DanhMuc!$B$154:$B$165,0)),""),"")</f>
        <v>5700</v>
      </c>
      <c r="V184" s="325"/>
      <c r="W184" s="352" t="str">
        <f>+IF(AND($A184&lt;&gt;"",LEN($B184)&gt;=8,COUNTIF($B$6:$B184,$B184)=1),$W$5,"")</f>
        <v/>
      </c>
      <c r="X184" s="329" t="str">
        <f t="shared" si="21"/>
        <v>XF</v>
      </c>
      <c r="Y184" s="1128" t="s">
        <v>3380</v>
      </c>
      <c r="Z184" s="1128" t="s">
        <v>3381</v>
      </c>
      <c r="AA184" s="1128" t="s">
        <v>3384</v>
      </c>
      <c r="AC184" s="73"/>
    </row>
    <row r="185" spans="1:29" s="20" customFormat="1">
      <c r="A185" s="327" t="str">
        <f>IF(AND($B185&lt;&gt;"",$C185&lt;&gt;""),MAX($A$4:A184)+1,"")</f>
        <v/>
      </c>
      <c r="B185" s="361" t="s">
        <v>3173</v>
      </c>
      <c r="C185" s="360"/>
      <c r="D185" s="327">
        <f>IF($B185="","",COUNTIF($B$6:$B185,$B185))</f>
        <v>7</v>
      </c>
      <c r="E185" s="361" t="s">
        <v>39</v>
      </c>
      <c r="F185" s="362" t="s">
        <v>40</v>
      </c>
      <c r="G185" s="327" t="s">
        <v>330</v>
      </c>
      <c r="H185" s="325"/>
      <c r="I185" s="327">
        <v>1</v>
      </c>
      <c r="J185" s="361" t="s">
        <v>1189</v>
      </c>
      <c r="K185" s="327" t="s">
        <v>531</v>
      </c>
      <c r="L185" s="348">
        <f t="shared" si="19"/>
        <v>158949</v>
      </c>
      <c r="M185" s="355"/>
      <c r="N185" s="355" t="str">
        <f t="shared" si="20"/>
        <v>PR</v>
      </c>
      <c r="O185" s="347"/>
      <c r="P185" s="325"/>
      <c r="Q185" s="351"/>
      <c r="R185" s="351">
        <v>1.2</v>
      </c>
      <c r="S185" s="351">
        <v>5.8</v>
      </c>
      <c r="T185" s="351">
        <v>0.26100000000000001</v>
      </c>
      <c r="U185" s="329">
        <f>IF($N185=$N$4,IFERROR(INDEX(DanhMuc!$E$154:$E$165,MATCH(MID($B185,4,2),DanhMuc!$B$154:$B$165,0)),""),"")</f>
        <v>5700</v>
      </c>
      <c r="V185" s="325"/>
      <c r="W185" s="352" t="str">
        <f>+IF(AND($A185&lt;&gt;"",LEN($B185)&gt;=8,COUNTIF($B$6:$B185,$B185)=1),$W$5,"")</f>
        <v/>
      </c>
      <c r="X185" s="329" t="str">
        <f t="shared" si="21"/>
        <v>XF</v>
      </c>
      <c r="Y185" s="1128" t="s">
        <v>3380</v>
      </c>
      <c r="Z185" s="1128" t="s">
        <v>3381</v>
      </c>
      <c r="AA185" s="1128" t="s">
        <v>3384</v>
      </c>
      <c r="AC185" s="73"/>
    </row>
    <row r="186" spans="1:29" s="20" customFormat="1" ht="26">
      <c r="A186" s="327">
        <f>IF(AND($B186&lt;&gt;"",$C186&lt;&gt;""),MAX($A$4:A185)+1,"")</f>
        <v>21</v>
      </c>
      <c r="B186" s="359" t="s">
        <v>1179</v>
      </c>
      <c r="C186" s="360" t="s">
        <v>1537</v>
      </c>
      <c r="D186" s="327">
        <f>IF($B186="","",COUNTIF($B$6:$B186,$B186))</f>
        <v>1</v>
      </c>
      <c r="E186" s="361" t="s">
        <v>31</v>
      </c>
      <c r="F186" s="362" t="s">
        <v>32</v>
      </c>
      <c r="G186" s="327" t="s">
        <v>329</v>
      </c>
      <c r="H186" s="325"/>
      <c r="I186" s="327">
        <v>2</v>
      </c>
      <c r="J186" s="363" t="s">
        <v>81</v>
      </c>
      <c r="K186" s="327" t="s">
        <v>516</v>
      </c>
      <c r="L186" s="348">
        <f t="shared" si="19"/>
        <v>505470</v>
      </c>
      <c r="M186" s="355"/>
      <c r="N186" s="355" t="str">
        <f t="shared" si="20"/>
        <v>PR</v>
      </c>
      <c r="O186" s="347"/>
      <c r="P186" s="325"/>
      <c r="Q186" s="351"/>
      <c r="R186" s="351">
        <v>1.2</v>
      </c>
      <c r="S186" s="351">
        <v>5.8</v>
      </c>
      <c r="T186" s="351">
        <v>0.83</v>
      </c>
      <c r="U186" s="329">
        <f>IF($N186=$N$4,IFERROR(INDEX(DanhMuc!$E$154:$E$165,MATCH(MID($B186,4,2),DanhMuc!$B$154:$B$165,0)),""),"")</f>
        <v>5700</v>
      </c>
      <c r="V186" s="325"/>
      <c r="W186" s="352" t="str">
        <f>+IF(AND($A186&lt;&gt;"",LEN($B186)&gt;=8,COUNTIF($B$6:$B186,$B186)=1),$W$5,"")</f>
        <v>DMCua</v>
      </c>
      <c r="X186" s="329" t="str">
        <f t="shared" si="21"/>
        <v>XF</v>
      </c>
      <c r="Y186" s="1128" t="s">
        <v>3380</v>
      </c>
      <c r="Z186" s="1128" t="s">
        <v>3381</v>
      </c>
      <c r="AA186" s="1128" t="s">
        <v>3384</v>
      </c>
      <c r="AC186" s="73"/>
    </row>
    <row r="187" spans="1:29" s="20" customFormat="1">
      <c r="A187" s="327" t="str">
        <f>IF(AND($B187&lt;&gt;"",$C187&lt;&gt;""),MAX($A$4:A186)+1,"")</f>
        <v/>
      </c>
      <c r="B187" s="361" t="s">
        <v>1179</v>
      </c>
      <c r="C187" s="360"/>
      <c r="D187" s="327">
        <f>IF($B187="","",COUNTIF($B$6:$B187,$B187))</f>
        <v>2</v>
      </c>
      <c r="E187" s="361" t="s">
        <v>31</v>
      </c>
      <c r="F187" s="362" t="s">
        <v>32</v>
      </c>
      <c r="G187" s="327" t="s">
        <v>328</v>
      </c>
      <c r="H187" s="325"/>
      <c r="I187" s="327">
        <v>2</v>
      </c>
      <c r="J187" s="361" t="s">
        <v>80</v>
      </c>
      <c r="K187" s="327" t="s">
        <v>516</v>
      </c>
      <c r="L187" s="348">
        <f t="shared" si="19"/>
        <v>505470</v>
      </c>
      <c r="M187" s="355"/>
      <c r="N187" s="355" t="str">
        <f t="shared" si="20"/>
        <v>PR</v>
      </c>
      <c r="O187" s="347"/>
      <c r="P187" s="325"/>
      <c r="Q187" s="351"/>
      <c r="R187" s="351">
        <v>1.2</v>
      </c>
      <c r="S187" s="351">
        <v>5.8</v>
      </c>
      <c r="T187" s="351">
        <v>0.83</v>
      </c>
      <c r="U187" s="329">
        <f>IF($N187=$N$4,IFERROR(INDEX(DanhMuc!$E$154:$E$165,MATCH(MID($B187,4,2),DanhMuc!$B$154:$B$165,0)),""),"")</f>
        <v>5700</v>
      </c>
      <c r="V187" s="325"/>
      <c r="W187" s="352" t="str">
        <f>+IF(AND($A187&lt;&gt;"",LEN($B187)&gt;=8,COUNTIF($B$6:$B187,$B187)=1),$W$5,"")</f>
        <v/>
      </c>
      <c r="X187" s="329" t="str">
        <f t="shared" si="21"/>
        <v>XF</v>
      </c>
      <c r="Y187" s="1128" t="s">
        <v>3380</v>
      </c>
      <c r="Z187" s="1128" t="s">
        <v>3381</v>
      </c>
      <c r="AA187" s="1128" t="s">
        <v>3384</v>
      </c>
      <c r="AC187" s="73"/>
    </row>
    <row r="188" spans="1:29" s="20" customFormat="1">
      <c r="A188" s="327" t="str">
        <f>IF(AND($B188&lt;&gt;"",$C188&lt;&gt;""),MAX($A$4:A187)+1,"")</f>
        <v/>
      </c>
      <c r="B188" s="361" t="s">
        <v>1179</v>
      </c>
      <c r="C188" s="360"/>
      <c r="D188" s="327">
        <f>IF($B188="","",COUNTIF($B$6:$B188,$B188))</f>
        <v>3</v>
      </c>
      <c r="E188" s="361" t="s">
        <v>33</v>
      </c>
      <c r="F188" s="362" t="s">
        <v>34</v>
      </c>
      <c r="G188" s="327" t="s">
        <v>329</v>
      </c>
      <c r="H188" s="325"/>
      <c r="I188" s="327">
        <v>8</v>
      </c>
      <c r="J188" s="361" t="s">
        <v>1190</v>
      </c>
      <c r="K188" s="327" t="s">
        <v>516</v>
      </c>
      <c r="L188" s="348">
        <f t="shared" si="19"/>
        <v>513386.99999999994</v>
      </c>
      <c r="M188" s="355"/>
      <c r="N188" s="355" t="str">
        <f t="shared" si="20"/>
        <v>PR</v>
      </c>
      <c r="O188" s="347"/>
      <c r="P188" s="325"/>
      <c r="Q188" s="351"/>
      <c r="R188" s="351">
        <v>1.2</v>
      </c>
      <c r="S188" s="351">
        <v>5.8</v>
      </c>
      <c r="T188" s="351">
        <v>0.84299999999999997</v>
      </c>
      <c r="U188" s="329">
        <f>IF($N188=$N$4,IFERROR(INDEX(DanhMuc!$E$154:$E$165,MATCH(MID($B188,4,2),DanhMuc!$B$154:$B$165,0)),""),"")</f>
        <v>5700</v>
      </c>
      <c r="V188" s="325"/>
      <c r="W188" s="352" t="str">
        <f>+IF(AND($A188&lt;&gt;"",LEN($B188)&gt;=8,COUNTIF($B$6:$B188,$B188)=1),$W$5,"")</f>
        <v/>
      </c>
      <c r="X188" s="329" t="str">
        <f t="shared" si="21"/>
        <v>XF</v>
      </c>
      <c r="Y188" s="1128" t="s">
        <v>3380</v>
      </c>
      <c r="Z188" s="1128" t="s">
        <v>3381</v>
      </c>
      <c r="AA188" s="1128" t="s">
        <v>3384</v>
      </c>
      <c r="AC188" s="73"/>
    </row>
    <row r="189" spans="1:29" s="20" customFormat="1">
      <c r="A189" s="327" t="str">
        <f>IF(AND($B189&lt;&gt;"",$C189&lt;&gt;""),MAX($A$4:A188)+1,"")</f>
        <v/>
      </c>
      <c r="B189" s="361" t="s">
        <v>1179</v>
      </c>
      <c r="C189" s="360"/>
      <c r="D189" s="327">
        <f>IF($B189="","",COUNTIF($B$6:$B189,$B189))</f>
        <v>4</v>
      </c>
      <c r="E189" s="361" t="s">
        <v>33</v>
      </c>
      <c r="F189" s="362" t="s">
        <v>34</v>
      </c>
      <c r="G189" s="327" t="s">
        <v>328</v>
      </c>
      <c r="H189" s="325"/>
      <c r="I189" s="327">
        <v>8</v>
      </c>
      <c r="J189" s="361" t="s">
        <v>971</v>
      </c>
      <c r="K189" s="327" t="s">
        <v>516</v>
      </c>
      <c r="L189" s="348">
        <f t="shared" si="19"/>
        <v>513386.99999999994</v>
      </c>
      <c r="M189" s="355"/>
      <c r="N189" s="355" t="str">
        <f t="shared" si="20"/>
        <v>PR</v>
      </c>
      <c r="O189" s="347"/>
      <c r="P189" s="325"/>
      <c r="Q189" s="351"/>
      <c r="R189" s="351">
        <v>1.2</v>
      </c>
      <c r="S189" s="351">
        <v>5.8</v>
      </c>
      <c r="T189" s="351">
        <v>0.84299999999999997</v>
      </c>
      <c r="U189" s="329">
        <f>IF($N189=$N$4,IFERROR(INDEX(DanhMuc!$E$154:$E$165,MATCH(MID($B189,4,2),DanhMuc!$B$154:$B$165,0)),""),"")</f>
        <v>5700</v>
      </c>
      <c r="V189" s="325"/>
      <c r="W189" s="352" t="str">
        <f>+IF(AND($A189&lt;&gt;"",LEN($B189)&gt;=8,COUNTIF($B$6:$B189,$B189)=1),$W$5,"")</f>
        <v/>
      </c>
      <c r="X189" s="329" t="str">
        <f t="shared" si="21"/>
        <v>XF</v>
      </c>
      <c r="Y189" s="1128" t="s">
        <v>3380</v>
      </c>
      <c r="Z189" s="1128" t="s">
        <v>3381</v>
      </c>
      <c r="AA189" s="1128" t="s">
        <v>3384</v>
      </c>
      <c r="AC189" s="73"/>
    </row>
    <row r="190" spans="1:29" s="20" customFormat="1">
      <c r="A190" s="327" t="str">
        <f>IF(AND($B190&lt;&gt;"",$C190&lt;&gt;""),MAX($A$4:A189)+1,"")</f>
        <v/>
      </c>
      <c r="B190" s="361" t="s">
        <v>1179</v>
      </c>
      <c r="C190" s="360"/>
      <c r="D190" s="327">
        <f>IF($B190="","",COUNTIF($B$6:$B190,$B190))</f>
        <v>5</v>
      </c>
      <c r="E190" s="361" t="s">
        <v>35</v>
      </c>
      <c r="F190" s="362" t="s">
        <v>36</v>
      </c>
      <c r="G190" s="327" t="s">
        <v>328</v>
      </c>
      <c r="H190" s="325"/>
      <c r="I190" s="327">
        <v>4</v>
      </c>
      <c r="J190" s="361" t="s">
        <v>971</v>
      </c>
      <c r="K190" s="327" t="s">
        <v>531</v>
      </c>
      <c r="L190" s="348">
        <f t="shared" si="19"/>
        <v>207060</v>
      </c>
      <c r="M190" s="355"/>
      <c r="N190" s="355" t="str">
        <f t="shared" si="20"/>
        <v>PR</v>
      </c>
      <c r="O190" s="347"/>
      <c r="P190" s="325"/>
      <c r="Q190" s="351"/>
      <c r="R190" s="351">
        <v>1.2</v>
      </c>
      <c r="S190" s="351">
        <v>5.8</v>
      </c>
      <c r="T190" s="351">
        <v>0.34</v>
      </c>
      <c r="U190" s="329">
        <f>IF($N190=$N$4,IFERROR(INDEX(DanhMuc!$E$154:$E$165,MATCH(MID($B190,4,2),DanhMuc!$B$154:$B$165,0)),""),"")</f>
        <v>5700</v>
      </c>
      <c r="V190" s="325"/>
      <c r="W190" s="352" t="str">
        <f>+IF(AND($A190&lt;&gt;"",LEN($B190)&gt;=8,COUNTIF($B$6:$B190,$B190)=1),$W$5,"")</f>
        <v/>
      </c>
      <c r="X190" s="329" t="str">
        <f t="shared" si="21"/>
        <v>XF</v>
      </c>
      <c r="Y190" s="1128" t="s">
        <v>3380</v>
      </c>
      <c r="Z190" s="1128" t="s">
        <v>3381</v>
      </c>
      <c r="AA190" s="1128" t="s">
        <v>3384</v>
      </c>
      <c r="AC190" s="73"/>
    </row>
    <row r="191" spans="1:29" s="20" customFormat="1">
      <c r="A191" s="327" t="str">
        <f>IF(AND($B191&lt;&gt;"",$C191&lt;&gt;""),MAX($A$4:A190)+1,"")</f>
        <v/>
      </c>
      <c r="B191" s="361" t="s">
        <v>1179</v>
      </c>
      <c r="C191" s="360"/>
      <c r="D191" s="327">
        <f>IF($B191="","",COUNTIF($B$6:$B191,$B191))</f>
        <v>6</v>
      </c>
      <c r="E191" s="361" t="s">
        <v>39</v>
      </c>
      <c r="F191" s="362" t="s">
        <v>40</v>
      </c>
      <c r="G191" s="327" t="s">
        <v>330</v>
      </c>
      <c r="H191" s="325"/>
      <c r="I191" s="327">
        <v>1</v>
      </c>
      <c r="J191" s="361" t="s">
        <v>1189</v>
      </c>
      <c r="K191" s="327" t="s">
        <v>531</v>
      </c>
      <c r="L191" s="348">
        <f t="shared" si="19"/>
        <v>158949</v>
      </c>
      <c r="M191" s="355"/>
      <c r="N191" s="355" t="str">
        <f t="shared" si="20"/>
        <v>PR</v>
      </c>
      <c r="O191" s="347"/>
      <c r="P191" s="325"/>
      <c r="Q191" s="351"/>
      <c r="R191" s="351">
        <v>1.2</v>
      </c>
      <c r="S191" s="351">
        <v>5.8</v>
      </c>
      <c r="T191" s="351">
        <v>0.26100000000000001</v>
      </c>
      <c r="U191" s="329">
        <f>IF($N191=$N$4,IFERROR(INDEX(DanhMuc!$E$154:$E$165,MATCH(MID($B191,4,2),DanhMuc!$B$154:$B$165,0)),""),"")</f>
        <v>5700</v>
      </c>
      <c r="V191" s="325"/>
      <c r="W191" s="352" t="str">
        <f>+IF(AND($A191&lt;&gt;"",LEN($B191)&gt;=8,COUNTIF($B$6:$B191,$B191)=1),$W$5,"")</f>
        <v/>
      </c>
      <c r="X191" s="329" t="str">
        <f t="shared" si="21"/>
        <v>XF</v>
      </c>
      <c r="Y191" s="1128" t="s">
        <v>3380</v>
      </c>
      <c r="Z191" s="1128" t="s">
        <v>3381</v>
      </c>
      <c r="AA191" s="1128" t="s">
        <v>3384</v>
      </c>
      <c r="AC191" s="73"/>
    </row>
    <row r="192" spans="1:29" s="20" customFormat="1">
      <c r="A192" s="327" t="str">
        <f>IF(AND($B192&lt;&gt;"",$C192&lt;&gt;""),MAX($A$4:A191)+1,"")</f>
        <v/>
      </c>
      <c r="B192" s="361" t="s">
        <v>1179</v>
      </c>
      <c r="C192" s="364"/>
      <c r="D192" s="327">
        <f>IF($B192="","",COUNTIF($B$6:$B192,$B192))</f>
        <v>7</v>
      </c>
      <c r="E192" s="361" t="s">
        <v>37</v>
      </c>
      <c r="F192" s="362" t="s">
        <v>38</v>
      </c>
      <c r="G192" s="327" t="s">
        <v>328</v>
      </c>
      <c r="H192" s="325"/>
      <c r="I192" s="327">
        <v>1</v>
      </c>
      <c r="J192" s="361" t="s">
        <v>971</v>
      </c>
      <c r="K192" s="327" t="s">
        <v>531</v>
      </c>
      <c r="L192" s="348">
        <f t="shared" si="19"/>
        <v>129716.99999999999</v>
      </c>
      <c r="M192" s="355"/>
      <c r="N192" s="355" t="str">
        <f t="shared" si="20"/>
        <v>PR</v>
      </c>
      <c r="O192" s="345"/>
      <c r="P192" s="325"/>
      <c r="Q192" s="351"/>
      <c r="R192" s="351">
        <v>1.2</v>
      </c>
      <c r="S192" s="351">
        <v>5.8</v>
      </c>
      <c r="T192" s="351">
        <v>0.21299999999999999</v>
      </c>
      <c r="U192" s="329">
        <f>IF($N192=$N$4,IFERROR(INDEX(DanhMuc!$E$154:$E$165,MATCH(MID($B192,4,2),DanhMuc!$B$154:$B$165,0)),""),"")</f>
        <v>5700</v>
      </c>
      <c r="V192" s="325"/>
      <c r="W192" s="352" t="str">
        <f>+IF(AND($A192&lt;&gt;"",LEN($B192)&gt;=8,COUNTIF($B$6:$B192,$B192)=1),$W$5,"")</f>
        <v/>
      </c>
      <c r="X192" s="329" t="str">
        <f t="shared" si="21"/>
        <v>XF</v>
      </c>
      <c r="Y192" s="1128" t="s">
        <v>3380</v>
      </c>
      <c r="Z192" s="1128" t="s">
        <v>3381</v>
      </c>
      <c r="AA192" s="1128" t="s">
        <v>3384</v>
      </c>
      <c r="AC192" s="73"/>
    </row>
    <row r="193" spans="1:29" s="20" customFormat="1" ht="39">
      <c r="A193" s="327">
        <f>IF(AND($B193&lt;&gt;"",$C193&lt;&gt;""),MAX($A$4:A105)+1,"")</f>
        <v>14</v>
      </c>
      <c r="B193" s="359" t="s">
        <v>416</v>
      </c>
      <c r="C193" s="360" t="s">
        <v>2084</v>
      </c>
      <c r="D193" s="327">
        <f>IF($B193="","",COUNTIF($B$6:$B193,$B193))</f>
        <v>1</v>
      </c>
      <c r="E193" s="361" t="s">
        <v>50</v>
      </c>
      <c r="F193" s="362" t="s">
        <v>355</v>
      </c>
      <c r="G193" s="327" t="s">
        <v>330</v>
      </c>
      <c r="H193" s="325"/>
      <c r="I193" s="327">
        <v>1</v>
      </c>
      <c r="J193" s="361" t="s">
        <v>81</v>
      </c>
      <c r="K193" s="327" t="s">
        <v>531</v>
      </c>
      <c r="L193" s="348">
        <f t="shared" si="19"/>
        <v>1892163.0000000002</v>
      </c>
      <c r="M193" s="373"/>
      <c r="N193" s="355" t="str">
        <f t="shared" si="16"/>
        <v>PR</v>
      </c>
      <c r="O193" s="347"/>
      <c r="P193" s="325"/>
      <c r="Q193" s="351"/>
      <c r="R193" s="351">
        <v>3</v>
      </c>
      <c r="S193" s="351">
        <v>5.8</v>
      </c>
      <c r="T193" s="351">
        <v>3.1070000000000002</v>
      </c>
      <c r="U193" s="329">
        <f>IF($N193=$N$4,IFERROR(INDEX(DanhMuc!$E$154:$E$165,MATCH(MID($B193,4,2),DanhMuc!$B$154:$B$165,0)),""),"")</f>
        <v>5700</v>
      </c>
      <c r="V193" s="325"/>
      <c r="W193" s="352" t="str">
        <f>+IF(AND($A193&lt;&gt;"",LEN($B193)&gt;=8,COUNTIF($B$6:$B193,$B193)=1),$W$5,"")</f>
        <v>DMCua</v>
      </c>
      <c r="X193" s="329" t="str">
        <f t="shared" si="21"/>
        <v>XF</v>
      </c>
      <c r="Y193" s="1128" t="s">
        <v>3380</v>
      </c>
      <c r="Z193" s="1128" t="s">
        <v>3381</v>
      </c>
      <c r="AA193" s="1128" t="s">
        <v>3384</v>
      </c>
      <c r="AC193" s="73"/>
    </row>
    <row r="194" spans="1:29" s="20" customFormat="1">
      <c r="A194" s="327" t="str">
        <f>IF(AND($B194&lt;&gt;"",$C194&lt;&gt;""),MAX($A$4:A193)+1,"")</f>
        <v/>
      </c>
      <c r="B194" s="361" t="s">
        <v>416</v>
      </c>
      <c r="C194" s="364"/>
      <c r="D194" s="327">
        <f>IF($B194="","",COUNTIF($B$6:$B194,$B194))</f>
        <v>2</v>
      </c>
      <c r="E194" s="361" t="s">
        <v>52</v>
      </c>
      <c r="F194" s="362" t="s">
        <v>990</v>
      </c>
      <c r="G194" s="327" t="s">
        <v>356</v>
      </c>
      <c r="H194" s="325"/>
      <c r="I194" s="327">
        <v>1</v>
      </c>
      <c r="J194" s="361" t="s">
        <v>81</v>
      </c>
      <c r="K194" s="327" t="s">
        <v>531</v>
      </c>
      <c r="L194" s="348">
        <f t="shared" si="19"/>
        <v>822759</v>
      </c>
      <c r="M194" s="373"/>
      <c r="N194" s="355" t="str">
        <f t="shared" si="16"/>
        <v>PR</v>
      </c>
      <c r="O194" s="347" t="s">
        <v>991</v>
      </c>
      <c r="P194" s="325"/>
      <c r="Q194" s="351"/>
      <c r="R194" s="351">
        <v>1.5</v>
      </c>
      <c r="S194" s="351">
        <v>5.8</v>
      </c>
      <c r="T194" s="351">
        <v>1.351</v>
      </c>
      <c r="U194" s="329">
        <f>IF($N194=$N$4,IFERROR(INDEX(DanhMuc!$E$154:$E$165,MATCH(MID($B194,4,2),DanhMuc!$B$154:$B$165,0)),""),"")</f>
        <v>5700</v>
      </c>
      <c r="V194" s="325"/>
      <c r="W194" s="352" t="str">
        <f>+IF(AND($A194&lt;&gt;"",LEN($B194)&gt;=8,COUNTIF($B$6:$B194,$B194)=1),$W$5,"")</f>
        <v/>
      </c>
      <c r="X194" s="329" t="str">
        <f t="shared" si="21"/>
        <v>XF</v>
      </c>
      <c r="Y194" s="1128" t="s">
        <v>3380</v>
      </c>
      <c r="Z194" s="1128" t="s">
        <v>3381</v>
      </c>
      <c r="AA194" s="1128" t="s">
        <v>3384</v>
      </c>
      <c r="AC194" s="73"/>
    </row>
    <row r="195" spans="1:29" s="20" customFormat="1">
      <c r="A195" s="327" t="str">
        <f>IF(AND($B195&lt;&gt;"",$C195&lt;&gt;""),MAX($A$4:A194)+1,"")</f>
        <v/>
      </c>
      <c r="B195" s="361" t="s">
        <v>416</v>
      </c>
      <c r="C195" s="364"/>
      <c r="D195" s="327">
        <f>IF($B195="","",COUNTIF($B$6:$B195,$B195))</f>
        <v>3</v>
      </c>
      <c r="E195" s="363" t="s">
        <v>51</v>
      </c>
      <c r="F195" s="362" t="s">
        <v>354</v>
      </c>
      <c r="G195" s="327" t="s">
        <v>328</v>
      </c>
      <c r="H195" s="325"/>
      <c r="I195" s="327">
        <v>2</v>
      </c>
      <c r="J195" s="361" t="s">
        <v>994</v>
      </c>
      <c r="K195" s="327" t="s">
        <v>531</v>
      </c>
      <c r="L195" s="348">
        <f t="shared" si="19"/>
        <v>625442.99999999988</v>
      </c>
      <c r="M195" s="373"/>
      <c r="N195" s="355" t="str">
        <f t="shared" si="16"/>
        <v>PR</v>
      </c>
      <c r="O195" s="347" t="s">
        <v>991</v>
      </c>
      <c r="P195" s="325"/>
      <c r="Q195" s="351"/>
      <c r="R195" s="351">
        <v>1.5</v>
      </c>
      <c r="S195" s="351">
        <v>5.8</v>
      </c>
      <c r="T195" s="351">
        <v>1.0269999999999999</v>
      </c>
      <c r="U195" s="329">
        <f>IF($N195=$N$4,IFERROR(INDEX(DanhMuc!$E$154:$E$165,MATCH(MID($B195,4,2),DanhMuc!$B$154:$B$165,0)),""),"")</f>
        <v>5700</v>
      </c>
      <c r="V195" s="325"/>
      <c r="W195" s="352" t="str">
        <f>+IF(AND($A195&lt;&gt;"",LEN($B195)&gt;=8,COUNTIF($B$6:$B195,$B195)=1),$W$5,"")</f>
        <v/>
      </c>
      <c r="X195" s="329" t="str">
        <f t="shared" si="21"/>
        <v>XF</v>
      </c>
      <c r="Y195" s="1128" t="s">
        <v>3380</v>
      </c>
      <c r="Z195" s="1128" t="s">
        <v>3381</v>
      </c>
      <c r="AA195" s="1128" t="s">
        <v>3384</v>
      </c>
      <c r="AC195" s="73"/>
    </row>
    <row r="196" spans="1:29" s="20" customFormat="1">
      <c r="A196" s="327" t="str">
        <f>IF(AND($B196&lt;&gt;"",$C196&lt;&gt;""),MAX($A$4:A195)+1,"")</f>
        <v/>
      </c>
      <c r="B196" s="361" t="s">
        <v>416</v>
      </c>
      <c r="C196" s="364"/>
      <c r="D196" s="327">
        <f>IF($B196="","",COUNTIF($B$6:$B196,$B196))</f>
        <v>4</v>
      </c>
      <c r="E196" s="361" t="s">
        <v>988</v>
      </c>
      <c r="F196" s="362" t="s">
        <v>989</v>
      </c>
      <c r="G196" s="327" t="s">
        <v>356</v>
      </c>
      <c r="H196" s="325"/>
      <c r="I196" s="327">
        <v>1</v>
      </c>
      <c r="J196" s="361" t="s">
        <v>993</v>
      </c>
      <c r="K196" s="327" t="s">
        <v>531</v>
      </c>
      <c r="L196" s="348">
        <f t="shared" si="19"/>
        <v>641276.99999999988</v>
      </c>
      <c r="M196" s="373"/>
      <c r="N196" s="355" t="str">
        <f t="shared" si="16"/>
        <v>PR</v>
      </c>
      <c r="O196" s="347" t="s">
        <v>992</v>
      </c>
      <c r="P196" s="325"/>
      <c r="Q196" s="351"/>
      <c r="R196" s="351">
        <v>1.5</v>
      </c>
      <c r="S196" s="351">
        <v>5.8</v>
      </c>
      <c r="T196" s="351">
        <v>1.0529999999999999</v>
      </c>
      <c r="U196" s="329">
        <f>IF($N196=$N$4,IFERROR(INDEX(DanhMuc!$E$154:$E$165,MATCH(MID($B196,4,2),DanhMuc!$B$154:$B$165,0)),""),"")</f>
        <v>5700</v>
      </c>
      <c r="V196" s="325"/>
      <c r="W196" s="352" t="str">
        <f>+IF(AND($A196&lt;&gt;"",LEN($B196)&gt;=8,COUNTIF($B$6:$B196,$B196)=1),$W$5,"")</f>
        <v/>
      </c>
      <c r="X196" s="329" t="str">
        <f t="shared" si="21"/>
        <v>XF</v>
      </c>
      <c r="Y196" s="1128" t="s">
        <v>3380</v>
      </c>
      <c r="Z196" s="1128" t="s">
        <v>3381</v>
      </c>
      <c r="AA196" s="1128" t="s">
        <v>3384</v>
      </c>
      <c r="AC196" s="73"/>
    </row>
    <row r="197" spans="1:29" s="20" customFormat="1">
      <c r="A197" s="327" t="str">
        <f>IF(AND($B197&lt;&gt;"",$C197&lt;&gt;""),MAX($A$4:A196)+1,"")</f>
        <v/>
      </c>
      <c r="B197" s="361" t="s">
        <v>416</v>
      </c>
      <c r="C197" s="364"/>
      <c r="D197" s="327">
        <f>IF($B197="","",COUNTIF($B$6:$B197,$B197))</f>
        <v>5</v>
      </c>
      <c r="E197" s="363" t="s">
        <v>51</v>
      </c>
      <c r="F197" s="362" t="s">
        <v>354</v>
      </c>
      <c r="G197" s="327" t="s">
        <v>328</v>
      </c>
      <c r="H197" s="325"/>
      <c r="I197" s="327">
        <v>2</v>
      </c>
      <c r="J197" s="361" t="s">
        <v>995</v>
      </c>
      <c r="K197" s="327" t="s">
        <v>531</v>
      </c>
      <c r="L197" s="348">
        <f t="shared" si="19"/>
        <v>625442.99999999988</v>
      </c>
      <c r="M197" s="373"/>
      <c r="N197" s="355" t="str">
        <f t="shared" si="16"/>
        <v>PR</v>
      </c>
      <c r="O197" s="347" t="s">
        <v>992</v>
      </c>
      <c r="P197" s="325"/>
      <c r="Q197" s="351"/>
      <c r="R197" s="351">
        <v>1.5</v>
      </c>
      <c r="S197" s="351">
        <v>5.8</v>
      </c>
      <c r="T197" s="351">
        <v>1.0269999999999999</v>
      </c>
      <c r="U197" s="329">
        <f>IF($N197=$N$4,IFERROR(INDEX(DanhMuc!$E$154:$E$165,MATCH(MID($B197,4,2),DanhMuc!$B$154:$B$165,0)),""),"")</f>
        <v>5700</v>
      </c>
      <c r="V197" s="325"/>
      <c r="W197" s="352" t="str">
        <f>+IF(AND($A197&lt;&gt;"",LEN($B197)&gt;=8,COUNTIF($B$6:$B197,$B197)=1),$W$5,"")</f>
        <v/>
      </c>
      <c r="X197" s="329" t="str">
        <f t="shared" si="21"/>
        <v>XF</v>
      </c>
      <c r="Y197" s="1128" t="s">
        <v>3380</v>
      </c>
      <c r="Z197" s="1128" t="s">
        <v>3381</v>
      </c>
      <c r="AA197" s="1128" t="s">
        <v>3384</v>
      </c>
      <c r="AC197" s="73"/>
    </row>
    <row r="198" spans="1:29" s="20" customFormat="1">
      <c r="A198" s="327" t="str">
        <f>IF(AND($B198&lt;&gt;"",$C198&lt;&gt;""),MAX($A$4:A197)+1,"")</f>
        <v/>
      </c>
      <c r="B198" s="361" t="s">
        <v>416</v>
      </c>
      <c r="C198" s="364"/>
      <c r="D198" s="327">
        <f>IF($B198="","",COUNTIF($B$6:$B198,$B198))</f>
        <v>6</v>
      </c>
      <c r="E198" s="361" t="s">
        <v>55</v>
      </c>
      <c r="F198" s="362" t="s">
        <v>357</v>
      </c>
      <c r="G198" s="327" t="s">
        <v>329</v>
      </c>
      <c r="H198" s="325"/>
      <c r="I198" s="327">
        <v>6</v>
      </c>
      <c r="J198" s="361" t="s">
        <v>1451</v>
      </c>
      <c r="K198" s="327" t="s">
        <v>516</v>
      </c>
      <c r="L198" s="348">
        <f t="shared" si="19"/>
        <v>763686</v>
      </c>
      <c r="M198" s="373"/>
      <c r="N198" s="355" t="str">
        <f t="shared" si="16"/>
        <v>PR</v>
      </c>
      <c r="O198" s="347" t="s">
        <v>1626</v>
      </c>
      <c r="P198" s="325"/>
      <c r="Q198" s="351"/>
      <c r="R198" s="351">
        <v>1.5</v>
      </c>
      <c r="S198" s="351">
        <v>5.8</v>
      </c>
      <c r="T198" s="351">
        <v>1.254</v>
      </c>
      <c r="U198" s="329">
        <f>IF($N198=$N$4,IFERROR(INDEX(DanhMuc!$E$154:$E$165,MATCH(MID($B198,4,2),DanhMuc!$B$154:$B$165,0)),""),"")</f>
        <v>5700</v>
      </c>
      <c r="V198" s="325"/>
      <c r="W198" s="352" t="str">
        <f>+IF(AND($A198&lt;&gt;"",LEN($B198)&gt;=8,COUNTIF($B$6:$B198,$B198)=1),$W$5,"")</f>
        <v/>
      </c>
      <c r="X198" s="329" t="str">
        <f t="shared" si="21"/>
        <v>XF</v>
      </c>
      <c r="Y198" s="1128" t="s">
        <v>3380</v>
      </c>
      <c r="Z198" s="1128" t="s">
        <v>3381</v>
      </c>
      <c r="AA198" s="1128" t="s">
        <v>3384</v>
      </c>
      <c r="AC198" s="73"/>
    </row>
    <row r="199" spans="1:29" s="20" customFormat="1">
      <c r="A199" s="327" t="str">
        <f>IF(AND($B199&lt;&gt;"",$C199&lt;&gt;""),MAX($A$4:A198)+1,"")</f>
        <v/>
      </c>
      <c r="B199" s="361" t="s">
        <v>416</v>
      </c>
      <c r="C199" s="364"/>
      <c r="D199" s="327">
        <f>IF($B199="","",COUNTIF($B$6:$B199,$B199))</f>
        <v>7</v>
      </c>
      <c r="E199" s="361" t="s">
        <v>55</v>
      </c>
      <c r="F199" s="362" t="s">
        <v>357</v>
      </c>
      <c r="G199" s="327" t="s">
        <v>328</v>
      </c>
      <c r="H199" s="325"/>
      <c r="I199" s="327">
        <v>6</v>
      </c>
      <c r="J199" s="361" t="s">
        <v>1453</v>
      </c>
      <c r="K199" s="327" t="s">
        <v>516</v>
      </c>
      <c r="L199" s="348">
        <f t="shared" si="19"/>
        <v>763686</v>
      </c>
      <c r="M199" s="373"/>
      <c r="N199" s="355" t="str">
        <f t="shared" si="16"/>
        <v>PR</v>
      </c>
      <c r="O199" s="347" t="s">
        <v>1626</v>
      </c>
      <c r="P199" s="325"/>
      <c r="Q199" s="351"/>
      <c r="R199" s="351">
        <v>1.5</v>
      </c>
      <c r="S199" s="351">
        <v>5.8</v>
      </c>
      <c r="T199" s="351">
        <v>1.254</v>
      </c>
      <c r="U199" s="329">
        <f>IF($N199=$N$4,IFERROR(INDEX(DanhMuc!$E$154:$E$165,MATCH(MID($B199,4,2),DanhMuc!$B$154:$B$165,0)),""),"")</f>
        <v>5700</v>
      </c>
      <c r="V199" s="325"/>
      <c r="W199" s="352" t="str">
        <f>+IF(AND($A199&lt;&gt;"",LEN($B199)&gt;=8,COUNTIF($B$6:$B199,$B199)=1),$W$5,"")</f>
        <v/>
      </c>
      <c r="X199" s="329" t="str">
        <f t="shared" si="21"/>
        <v>XF</v>
      </c>
      <c r="Y199" s="1128" t="s">
        <v>3380</v>
      </c>
      <c r="Z199" s="1128" t="s">
        <v>3381</v>
      </c>
      <c r="AA199" s="1128" t="s">
        <v>3384</v>
      </c>
      <c r="AC199" s="73"/>
    </row>
    <row r="200" spans="1:29" s="20" customFormat="1">
      <c r="A200" s="327" t="str">
        <f>IF(AND($B200&lt;&gt;"",$C200&lt;&gt;""),MAX($A$4:A199)+1,"")</f>
        <v/>
      </c>
      <c r="B200" s="361" t="s">
        <v>416</v>
      </c>
      <c r="C200" s="364"/>
      <c r="D200" s="327">
        <f>IF($B200="","",COUNTIF($B$6:$B200,$B200))</f>
        <v>8</v>
      </c>
      <c r="E200" s="361" t="s">
        <v>2730</v>
      </c>
      <c r="F200" s="362" t="s">
        <v>2731</v>
      </c>
      <c r="G200" s="327" t="s">
        <v>329</v>
      </c>
      <c r="H200" s="325"/>
      <c r="I200" s="327">
        <v>6</v>
      </c>
      <c r="J200" s="361" t="s">
        <v>1451</v>
      </c>
      <c r="K200" s="327" t="s">
        <v>516</v>
      </c>
      <c r="L200" s="348">
        <f t="shared" si="19"/>
        <v>795963</v>
      </c>
      <c r="M200" s="373"/>
      <c r="N200" s="355" t="str">
        <f t="shared" si="16"/>
        <v>PR</v>
      </c>
      <c r="O200" s="347" t="s">
        <v>2722</v>
      </c>
      <c r="P200" s="325"/>
      <c r="Q200" s="351"/>
      <c r="R200" s="351">
        <v>1.5</v>
      </c>
      <c r="S200" s="351">
        <v>5.8</v>
      </c>
      <c r="T200" s="351">
        <v>1.3069999999999999</v>
      </c>
      <c r="U200" s="329">
        <f>IF($N200=$N$4,IFERROR(INDEX(DanhMuc!$E$154:$E$165,MATCH(MID($B200,4,2),DanhMuc!$B$154:$B$165,0)),""),"")</f>
        <v>5700</v>
      </c>
      <c r="V200" s="325"/>
      <c r="W200" s="352" t="str">
        <f>+IF(AND($A200&lt;&gt;"",LEN($B200)&gt;=8,COUNTIF($B$6:$B200,$B200)=1),$W$5,"")</f>
        <v/>
      </c>
      <c r="X200" s="329" t="str">
        <f t="shared" si="21"/>
        <v>XF</v>
      </c>
      <c r="Y200" s="1128" t="s">
        <v>3380</v>
      </c>
      <c r="Z200" s="1128" t="s">
        <v>3381</v>
      </c>
      <c r="AA200" s="1128" t="s">
        <v>3384</v>
      </c>
      <c r="AC200" s="73"/>
    </row>
    <row r="201" spans="1:29" s="20" customFormat="1">
      <c r="A201" s="327" t="str">
        <f>IF(AND($B201&lt;&gt;"",$C201&lt;&gt;""),MAX($A$4:A200)+1,"")</f>
        <v/>
      </c>
      <c r="B201" s="361" t="s">
        <v>416</v>
      </c>
      <c r="C201" s="364"/>
      <c r="D201" s="327">
        <f>IF($B201="","",COUNTIF($B$6:$B201,$B201))</f>
        <v>9</v>
      </c>
      <c r="E201" s="361" t="s">
        <v>2730</v>
      </c>
      <c r="F201" s="362" t="s">
        <v>2731</v>
      </c>
      <c r="G201" s="327" t="s">
        <v>328</v>
      </c>
      <c r="H201" s="325"/>
      <c r="I201" s="327">
        <v>6</v>
      </c>
      <c r="J201" s="361" t="s">
        <v>1453</v>
      </c>
      <c r="K201" s="327" t="s">
        <v>516</v>
      </c>
      <c r="L201" s="348">
        <f t="shared" si="19"/>
        <v>795963</v>
      </c>
      <c r="M201" s="373"/>
      <c r="N201" s="355" t="str">
        <f t="shared" si="16"/>
        <v>PR</v>
      </c>
      <c r="O201" s="347" t="s">
        <v>2722</v>
      </c>
      <c r="P201" s="325"/>
      <c r="Q201" s="351"/>
      <c r="R201" s="351">
        <v>1.5</v>
      </c>
      <c r="S201" s="351">
        <v>5.8</v>
      </c>
      <c r="T201" s="351">
        <v>1.3069999999999999</v>
      </c>
      <c r="U201" s="329">
        <f>IF($N201=$N$4,IFERROR(INDEX(DanhMuc!$E$154:$E$165,MATCH(MID($B201,4,2),DanhMuc!$B$154:$B$165,0)),""),"")</f>
        <v>5700</v>
      </c>
      <c r="V201" s="325"/>
      <c r="W201" s="352" t="str">
        <f>+IF(AND($A201&lt;&gt;"",LEN($B201)&gt;=8,COUNTIF($B$6:$B201,$B201)=1),$W$5,"")</f>
        <v/>
      </c>
      <c r="X201" s="329" t="str">
        <f t="shared" si="21"/>
        <v>XF</v>
      </c>
      <c r="Y201" s="1128" t="s">
        <v>3380</v>
      </c>
      <c r="Z201" s="1128" t="s">
        <v>3381</v>
      </c>
      <c r="AA201" s="1128" t="s">
        <v>3384</v>
      </c>
      <c r="AC201" s="73"/>
    </row>
    <row r="202" spans="1:29" s="20" customFormat="1">
      <c r="A202" s="327" t="str">
        <f>IF(AND($B202&lt;&gt;"",$C202&lt;&gt;""),MAX($A$4:A201)+1,"")</f>
        <v/>
      </c>
      <c r="B202" s="361" t="s">
        <v>416</v>
      </c>
      <c r="C202" s="364"/>
      <c r="D202" s="327">
        <f>IF($B202="","",COUNTIF($B$6:$B202,$B202))</f>
        <v>10</v>
      </c>
      <c r="E202" s="361" t="s">
        <v>2730</v>
      </c>
      <c r="F202" s="362" t="s">
        <v>2731</v>
      </c>
      <c r="G202" s="327" t="s">
        <v>329</v>
      </c>
      <c r="H202" s="325"/>
      <c r="I202" s="327">
        <v>6</v>
      </c>
      <c r="J202" s="361" t="s">
        <v>1451</v>
      </c>
      <c r="K202" s="327" t="s">
        <v>516</v>
      </c>
      <c r="L202" s="348">
        <f t="shared" si="19"/>
        <v>795963</v>
      </c>
      <c r="M202" s="373"/>
      <c r="N202" s="355" t="str">
        <f t="shared" si="16"/>
        <v>PR</v>
      </c>
      <c r="O202" s="347" t="s">
        <v>2721</v>
      </c>
      <c r="P202" s="325"/>
      <c r="Q202" s="351"/>
      <c r="R202" s="351">
        <v>1.5</v>
      </c>
      <c r="S202" s="351">
        <v>5.8</v>
      </c>
      <c r="T202" s="351">
        <v>1.3069999999999999</v>
      </c>
      <c r="U202" s="329">
        <f>IF($N202=$N$4,IFERROR(INDEX(DanhMuc!$E$154:$E$165,MATCH(MID($B202,4,2),DanhMuc!$B$154:$B$165,0)),""),"")</f>
        <v>5700</v>
      </c>
      <c r="V202" s="325"/>
      <c r="W202" s="352" t="str">
        <f>+IF(AND($A202&lt;&gt;"",LEN($B202)&gt;=8,COUNTIF($B$6:$B202,$B202)=1),$W$5,"")</f>
        <v/>
      </c>
      <c r="X202" s="329" t="str">
        <f t="shared" si="21"/>
        <v>XF</v>
      </c>
      <c r="Y202" s="1128" t="s">
        <v>3380</v>
      </c>
      <c r="Z202" s="1128" t="s">
        <v>3381</v>
      </c>
      <c r="AA202" s="1128" t="s">
        <v>3384</v>
      </c>
      <c r="AC202" s="73"/>
    </row>
    <row r="203" spans="1:29" s="20" customFormat="1">
      <c r="A203" s="327" t="str">
        <f>IF(AND($B203&lt;&gt;"",$C203&lt;&gt;""),MAX($A$4:A202)+1,"")</f>
        <v/>
      </c>
      <c r="B203" s="361" t="s">
        <v>416</v>
      </c>
      <c r="C203" s="364"/>
      <c r="D203" s="327">
        <f>IF($B203="","",COUNTIF($B$6:$B203,$B203))</f>
        <v>11</v>
      </c>
      <c r="E203" s="361" t="s">
        <v>2730</v>
      </c>
      <c r="F203" s="362" t="s">
        <v>2731</v>
      </c>
      <c r="G203" s="327" t="s">
        <v>328</v>
      </c>
      <c r="H203" s="325"/>
      <c r="I203" s="327">
        <v>6</v>
      </c>
      <c r="J203" s="361" t="s">
        <v>1453</v>
      </c>
      <c r="K203" s="327" t="s">
        <v>516</v>
      </c>
      <c r="L203" s="348">
        <f t="shared" si="19"/>
        <v>795963</v>
      </c>
      <c r="M203" s="373"/>
      <c r="N203" s="355" t="str">
        <f t="shared" si="16"/>
        <v>PR</v>
      </c>
      <c r="O203" s="347" t="s">
        <v>2721</v>
      </c>
      <c r="P203" s="325"/>
      <c r="Q203" s="351"/>
      <c r="R203" s="351">
        <v>1.5</v>
      </c>
      <c r="S203" s="351">
        <v>5.8</v>
      </c>
      <c r="T203" s="351">
        <v>1.3069999999999999</v>
      </c>
      <c r="U203" s="329">
        <f>IF($N203=$N$4,IFERROR(INDEX(DanhMuc!$E$154:$E$165,MATCH(MID($B203,4,2),DanhMuc!$B$154:$B$165,0)),""),"")</f>
        <v>5700</v>
      </c>
      <c r="V203" s="325"/>
      <c r="W203" s="352" t="str">
        <f>+IF(AND($A203&lt;&gt;"",LEN($B203)&gt;=8,COUNTIF($B$6:$B203,$B203)=1),$W$5,"")</f>
        <v/>
      </c>
      <c r="X203" s="329" t="str">
        <f t="shared" si="21"/>
        <v>XF</v>
      </c>
      <c r="Y203" s="1128" t="s">
        <v>3380</v>
      </c>
      <c r="Z203" s="1128" t="s">
        <v>3381</v>
      </c>
      <c r="AA203" s="1128" t="s">
        <v>3384</v>
      </c>
      <c r="AC203" s="73"/>
    </row>
    <row r="204" spans="1:29" s="20" customFormat="1">
      <c r="A204" s="327" t="str">
        <f>IF(AND($B204&lt;&gt;"",$C204&lt;&gt;""),MAX($A$4:A201)+1,"")</f>
        <v/>
      </c>
      <c r="B204" s="361" t="s">
        <v>416</v>
      </c>
      <c r="C204" s="364"/>
      <c r="D204" s="327">
        <f>IF($B204="","",COUNTIF($B$6:$B204,$B204))</f>
        <v>12</v>
      </c>
      <c r="E204" s="374" t="s">
        <v>54</v>
      </c>
      <c r="F204" s="375" t="s">
        <v>358</v>
      </c>
      <c r="G204" s="327" t="s">
        <v>328</v>
      </c>
      <c r="H204" s="376"/>
      <c r="I204" s="377">
        <v>2</v>
      </c>
      <c r="J204" s="361" t="s">
        <v>1453</v>
      </c>
      <c r="K204" s="327" t="s">
        <v>531</v>
      </c>
      <c r="L204" s="348">
        <f t="shared" si="19"/>
        <v>146769</v>
      </c>
      <c r="M204" s="373"/>
      <c r="N204" s="355" t="str">
        <f t="shared" si="16"/>
        <v>PR</v>
      </c>
      <c r="O204" s="347"/>
      <c r="P204" s="325"/>
      <c r="Q204" s="351"/>
      <c r="R204" s="351">
        <v>1.3</v>
      </c>
      <c r="S204" s="351">
        <v>5.8</v>
      </c>
      <c r="T204" s="351">
        <v>0.24099999999999999</v>
      </c>
      <c r="U204" s="329">
        <f>IF($N204=$N$4,IFERROR(INDEX(DanhMuc!$E$154:$E$165,MATCH(MID($B204,4,2),DanhMuc!$B$154:$B$165,0)),""),"")</f>
        <v>5700</v>
      </c>
      <c r="V204" s="376" t="s">
        <v>404</v>
      </c>
      <c r="W204" s="352" t="str">
        <f>+IF(AND($A204&lt;&gt;"",LEN($B204)&gt;=8,COUNTIF($B$6:$B204,$B204)=1),$W$5,"")</f>
        <v/>
      </c>
      <c r="X204" s="329" t="str">
        <f t="shared" si="21"/>
        <v>XF</v>
      </c>
      <c r="Y204" s="1128" t="s">
        <v>3380</v>
      </c>
      <c r="Z204" s="1128" t="s">
        <v>3381</v>
      </c>
      <c r="AA204" s="1128" t="s">
        <v>3384</v>
      </c>
      <c r="AC204" s="73"/>
    </row>
    <row r="205" spans="1:29" s="20" customFormat="1">
      <c r="A205" s="327" t="str">
        <f>IF(AND($B205&lt;&gt;"",$C205&lt;&gt;""),MAX($A$4:A204)+1,"")</f>
        <v/>
      </c>
      <c r="B205" s="361" t="s">
        <v>416</v>
      </c>
      <c r="C205" s="364"/>
      <c r="D205" s="327">
        <f>IF($B205="","",COUNTIF($B$6:$B205,$B205))</f>
        <v>13</v>
      </c>
      <c r="E205" s="378" t="s">
        <v>359</v>
      </c>
      <c r="F205" s="379" t="s">
        <v>360</v>
      </c>
      <c r="G205" s="380" t="s">
        <v>329</v>
      </c>
      <c r="H205" s="381"/>
      <c r="I205" s="380">
        <v>0</v>
      </c>
      <c r="J205" s="378" t="s">
        <v>81</v>
      </c>
      <c r="K205" s="380" t="s">
        <v>531</v>
      </c>
      <c r="L205" s="348">
        <f t="shared" si="19"/>
        <v>71253</v>
      </c>
      <c r="M205" s="373"/>
      <c r="N205" s="355" t="str">
        <f t="shared" si="16"/>
        <v>PR</v>
      </c>
      <c r="O205" s="347"/>
      <c r="P205" s="325"/>
      <c r="Q205" s="351"/>
      <c r="R205" s="351">
        <v>1.2</v>
      </c>
      <c r="S205" s="351">
        <v>5.8</v>
      </c>
      <c r="T205" s="351">
        <v>0.11700000000000001</v>
      </c>
      <c r="U205" s="329">
        <f>IF($N205=$N$4,IFERROR(INDEX(DanhMuc!$E$154:$E$165,MATCH(MID($B205,4,2),DanhMuc!$B$154:$B$165,0)),""),"")</f>
        <v>5700</v>
      </c>
      <c r="V205" s="325"/>
      <c r="W205" s="352" t="str">
        <f>+IF(AND($A205&lt;&gt;"",LEN($B205)&gt;=8,COUNTIF($B$6:$B205,$B205)=1),$W$5,"")</f>
        <v/>
      </c>
      <c r="X205" s="329" t="str">
        <f t="shared" si="21"/>
        <v>XF</v>
      </c>
      <c r="Y205" s="1128" t="s">
        <v>3380</v>
      </c>
      <c r="Z205" s="1128" t="s">
        <v>3381</v>
      </c>
      <c r="AA205" s="1128" t="s">
        <v>3384</v>
      </c>
      <c r="AC205" s="73"/>
    </row>
    <row r="206" spans="1:29" s="20" customFormat="1">
      <c r="A206" s="327" t="str">
        <f>IF(AND($B206&lt;&gt;"",$C206&lt;&gt;""),MAX($A$4:A205)+1,"")</f>
        <v/>
      </c>
      <c r="B206" s="361" t="s">
        <v>416</v>
      </c>
      <c r="C206" s="364"/>
      <c r="D206" s="327">
        <f>IF($B206="","",COUNTIF($B$6:$B206,$B206))</f>
        <v>14</v>
      </c>
      <c r="E206" s="361" t="s">
        <v>53</v>
      </c>
      <c r="F206" s="362" t="s">
        <v>361</v>
      </c>
      <c r="G206" s="327" t="s">
        <v>329</v>
      </c>
      <c r="H206" s="325"/>
      <c r="I206" s="327">
        <v>6</v>
      </c>
      <c r="J206" s="361" t="s">
        <v>1452</v>
      </c>
      <c r="K206" s="327" t="s">
        <v>531</v>
      </c>
      <c r="L206" s="348">
        <f t="shared" si="19"/>
        <v>135198</v>
      </c>
      <c r="M206" s="373"/>
      <c r="N206" s="355" t="str">
        <f t="shared" si="16"/>
        <v>PR</v>
      </c>
      <c r="O206" s="347">
        <v>10</v>
      </c>
      <c r="P206" s="325"/>
      <c r="Q206" s="351"/>
      <c r="R206" s="351">
        <v>1</v>
      </c>
      <c r="S206" s="351">
        <v>5.8</v>
      </c>
      <c r="T206" s="351">
        <v>0.222</v>
      </c>
      <c r="U206" s="329">
        <f>IF($N206=$N$4,IFERROR(INDEX(DanhMuc!$E$154:$E$165,MATCH(MID($B206,4,2),DanhMuc!$B$154:$B$165,0)),""),"")</f>
        <v>5700</v>
      </c>
      <c r="V206" s="325"/>
      <c r="W206" s="352" t="str">
        <f>+IF(AND($A206&lt;&gt;"",LEN($B206)&gt;=8,COUNTIF($B$6:$B206,$B206)=1),$W$5,"")</f>
        <v/>
      </c>
      <c r="X206" s="329" t="str">
        <f t="shared" si="21"/>
        <v>XF</v>
      </c>
      <c r="Y206" s="1128" t="s">
        <v>3380</v>
      </c>
      <c r="Z206" s="1128" t="s">
        <v>3381</v>
      </c>
      <c r="AA206" s="1128" t="s">
        <v>3384</v>
      </c>
      <c r="AC206" s="73"/>
    </row>
    <row r="207" spans="1:29" s="20" customFormat="1">
      <c r="A207" s="327" t="str">
        <f>IF(AND($B207&lt;&gt;"",$C207&lt;&gt;""),MAX($A$4:A206)+1,"")</f>
        <v/>
      </c>
      <c r="B207" s="361" t="s">
        <v>416</v>
      </c>
      <c r="C207" s="364"/>
      <c r="D207" s="327">
        <f>IF($B207="","",COUNTIF($B$6:$B207,$B207))</f>
        <v>15</v>
      </c>
      <c r="E207" s="361" t="s">
        <v>53</v>
      </c>
      <c r="F207" s="362" t="s">
        <v>361</v>
      </c>
      <c r="G207" s="327" t="s">
        <v>328</v>
      </c>
      <c r="H207" s="325"/>
      <c r="I207" s="327">
        <v>6</v>
      </c>
      <c r="J207" s="361" t="s">
        <v>1454</v>
      </c>
      <c r="K207" s="327" t="s">
        <v>531</v>
      </c>
      <c r="L207" s="348">
        <f t="shared" si="19"/>
        <v>135198</v>
      </c>
      <c r="M207" s="373"/>
      <c r="N207" s="355" t="str">
        <f t="shared" si="16"/>
        <v>PR</v>
      </c>
      <c r="O207" s="347">
        <v>10</v>
      </c>
      <c r="P207" s="325"/>
      <c r="Q207" s="351"/>
      <c r="R207" s="351">
        <v>1</v>
      </c>
      <c r="S207" s="351">
        <v>5.8</v>
      </c>
      <c r="T207" s="351">
        <v>0.222</v>
      </c>
      <c r="U207" s="329">
        <f>IF($N207=$N$4,IFERROR(INDEX(DanhMuc!$E$154:$E$165,MATCH(MID($B207,4,2),DanhMuc!$B$154:$B$165,0)),""),"")</f>
        <v>5700</v>
      </c>
      <c r="V207" s="325"/>
      <c r="W207" s="352" t="str">
        <f>+IF(AND($A207&lt;&gt;"",LEN($B207)&gt;=8,COUNTIF($B$6:$B207,$B207)=1),$W$5,"")</f>
        <v/>
      </c>
      <c r="X207" s="329" t="str">
        <f t="shared" si="21"/>
        <v>XF</v>
      </c>
      <c r="Y207" s="1128" t="s">
        <v>3380</v>
      </c>
      <c r="Z207" s="1128" t="s">
        <v>3381</v>
      </c>
      <c r="AA207" s="1128" t="s">
        <v>3384</v>
      </c>
      <c r="AC207" s="73"/>
    </row>
    <row r="208" spans="1:29" s="20" customFormat="1">
      <c r="A208" s="327" t="str">
        <f>IF(AND($B208&lt;&gt;"",$C208&lt;&gt;""),MAX($A$4:A207)+1,"")</f>
        <v/>
      </c>
      <c r="B208" s="361" t="s">
        <v>416</v>
      </c>
      <c r="C208" s="364"/>
      <c r="D208" s="327">
        <f>IF($B208="","",COUNTIF($B$6:$B208,$B208))</f>
        <v>16</v>
      </c>
      <c r="E208" s="361" t="s">
        <v>362</v>
      </c>
      <c r="F208" s="362" t="s">
        <v>363</v>
      </c>
      <c r="G208" s="327" t="s">
        <v>329</v>
      </c>
      <c r="H208" s="325"/>
      <c r="I208" s="327">
        <v>6</v>
      </c>
      <c r="J208" s="361" t="s">
        <v>1452</v>
      </c>
      <c r="K208" s="327" t="s">
        <v>531</v>
      </c>
      <c r="L208" s="348">
        <f t="shared" si="19"/>
        <v>167475</v>
      </c>
      <c r="M208" s="373"/>
      <c r="N208" s="355" t="str">
        <f t="shared" si="16"/>
        <v>PR</v>
      </c>
      <c r="O208" s="347">
        <v>19</v>
      </c>
      <c r="P208" s="325"/>
      <c r="Q208" s="351"/>
      <c r="R208" s="351">
        <v>1.2</v>
      </c>
      <c r="S208" s="351">
        <v>5.8</v>
      </c>
      <c r="T208" s="351">
        <v>0.27500000000000002</v>
      </c>
      <c r="U208" s="329">
        <f>IF($N208=$N$4,IFERROR(INDEX(DanhMuc!$E$154:$E$165,MATCH(MID($B208,4,2),DanhMuc!$B$154:$B$165,0)),""),"")</f>
        <v>5700</v>
      </c>
      <c r="V208" s="325"/>
      <c r="W208" s="352" t="str">
        <f>+IF(AND($A208&lt;&gt;"",LEN($B208)&gt;=8,COUNTIF($B$6:$B208,$B208)=1),$W$5,"")</f>
        <v/>
      </c>
      <c r="X208" s="329" t="str">
        <f t="shared" si="21"/>
        <v>XF</v>
      </c>
      <c r="Y208" s="1128" t="s">
        <v>3380</v>
      </c>
      <c r="Z208" s="1128" t="s">
        <v>3381</v>
      </c>
      <c r="AA208" s="1128" t="s">
        <v>3384</v>
      </c>
      <c r="AC208" s="73"/>
    </row>
    <row r="209" spans="1:29" s="20" customFormat="1">
      <c r="A209" s="327" t="str">
        <f>IF(AND($B209&lt;&gt;"",$C209&lt;&gt;""),MAX($A$4:A208)+1,"")</f>
        <v/>
      </c>
      <c r="B209" s="361" t="s">
        <v>416</v>
      </c>
      <c r="C209" s="364"/>
      <c r="D209" s="327">
        <f>IF($B209="","",COUNTIF($B$6:$B209,$B209))</f>
        <v>17</v>
      </c>
      <c r="E209" s="361" t="s">
        <v>362</v>
      </c>
      <c r="F209" s="362" t="s">
        <v>363</v>
      </c>
      <c r="G209" s="327" t="s">
        <v>328</v>
      </c>
      <c r="H209" s="325"/>
      <c r="I209" s="327">
        <v>6</v>
      </c>
      <c r="J209" s="361" t="s">
        <v>1454</v>
      </c>
      <c r="K209" s="327" t="s">
        <v>531</v>
      </c>
      <c r="L209" s="348">
        <f t="shared" si="19"/>
        <v>167475</v>
      </c>
      <c r="M209" s="373"/>
      <c r="N209" s="355" t="str">
        <f t="shared" si="16"/>
        <v>PR</v>
      </c>
      <c r="O209" s="347">
        <v>19</v>
      </c>
      <c r="P209" s="325"/>
      <c r="Q209" s="351"/>
      <c r="R209" s="351">
        <v>1.2</v>
      </c>
      <c r="S209" s="351">
        <v>5.8</v>
      </c>
      <c r="T209" s="351">
        <v>0.27500000000000002</v>
      </c>
      <c r="U209" s="329">
        <f>IF($N209=$N$4,IFERROR(INDEX(DanhMuc!$E$154:$E$165,MATCH(MID($B209,4,2),DanhMuc!$B$154:$B$165,0)),""),"")</f>
        <v>5700</v>
      </c>
      <c r="V209" s="325"/>
      <c r="W209" s="352" t="str">
        <f>+IF(AND($A209&lt;&gt;"",LEN($B209)&gt;=8,COUNTIF($B$6:$B209,$B209)=1),$W$5,"")</f>
        <v/>
      </c>
      <c r="X209" s="329" t="str">
        <f t="shared" si="21"/>
        <v>XF</v>
      </c>
      <c r="Y209" s="1128" t="s">
        <v>3380</v>
      </c>
      <c r="Z209" s="1128" t="s">
        <v>3381</v>
      </c>
      <c r="AA209" s="1128" t="s">
        <v>3384</v>
      </c>
      <c r="AC209" s="73"/>
    </row>
    <row r="210" spans="1:29" s="20" customFormat="1" ht="39">
      <c r="A210" s="327">
        <f>IF(AND($B210&lt;&gt;"",$C210&lt;&gt;""),MAX($A$4:A209)+1,"")</f>
        <v>22</v>
      </c>
      <c r="B210" s="359" t="s">
        <v>217</v>
      </c>
      <c r="C210" s="360" t="s">
        <v>2085</v>
      </c>
      <c r="D210" s="327">
        <f>IF($B210="","",COUNTIF($B$6:$B210,$B210))</f>
        <v>1</v>
      </c>
      <c r="E210" s="361" t="s">
        <v>50</v>
      </c>
      <c r="F210" s="362" t="s">
        <v>355</v>
      </c>
      <c r="G210" s="327" t="s">
        <v>330</v>
      </c>
      <c r="H210" s="325"/>
      <c r="I210" s="327">
        <v>1</v>
      </c>
      <c r="J210" s="361" t="s">
        <v>81</v>
      </c>
      <c r="K210" s="327" t="s">
        <v>531</v>
      </c>
      <c r="L210" s="348">
        <f t="shared" si="19"/>
        <v>1892163.0000000002</v>
      </c>
      <c r="M210" s="373"/>
      <c r="N210" s="355" t="str">
        <f t="shared" si="16"/>
        <v>PR</v>
      </c>
      <c r="O210" s="347"/>
      <c r="P210" s="325"/>
      <c r="Q210" s="351"/>
      <c r="R210" s="351">
        <v>3</v>
      </c>
      <c r="S210" s="351">
        <v>5.8</v>
      </c>
      <c r="T210" s="351">
        <v>3.1070000000000002</v>
      </c>
      <c r="U210" s="329">
        <f>IF($N210=$N$4,IFERROR(INDEX(DanhMuc!$E$154:$E$165,MATCH(MID($B210,4,2),DanhMuc!$B$154:$B$165,0)),""),"")</f>
        <v>5700</v>
      </c>
      <c r="V210" s="325"/>
      <c r="W210" s="352" t="str">
        <f>+IF(AND($A210&lt;&gt;"",LEN($B210)&gt;=8,COUNTIF($B$6:$B210,$B210)=1),$W$5,"")</f>
        <v>DMCua</v>
      </c>
      <c r="X210" s="329" t="str">
        <f t="shared" si="21"/>
        <v>XF</v>
      </c>
      <c r="Y210" s="1128" t="s">
        <v>3380</v>
      </c>
      <c r="Z210" s="1128" t="s">
        <v>3381</v>
      </c>
      <c r="AA210" s="1128" t="s">
        <v>3384</v>
      </c>
      <c r="AC210" s="73"/>
    </row>
    <row r="211" spans="1:29" s="20" customFormat="1">
      <c r="A211" s="327" t="str">
        <f>IF(AND($B211&lt;&gt;"",$C211&lt;&gt;""),MAX($A$4:A210)+1,"")</f>
        <v/>
      </c>
      <c r="B211" s="361" t="s">
        <v>217</v>
      </c>
      <c r="C211" s="364"/>
      <c r="D211" s="327">
        <f>IF($B211="","",COUNTIF($B$6:$B211,$B211))</f>
        <v>2</v>
      </c>
      <c r="E211" s="361" t="s">
        <v>52</v>
      </c>
      <c r="F211" s="362" t="s">
        <v>990</v>
      </c>
      <c r="G211" s="327" t="s">
        <v>356</v>
      </c>
      <c r="H211" s="325"/>
      <c r="I211" s="327">
        <v>1</v>
      </c>
      <c r="J211" s="361" t="s">
        <v>81</v>
      </c>
      <c r="K211" s="327" t="s">
        <v>531</v>
      </c>
      <c r="L211" s="348">
        <f t="shared" si="19"/>
        <v>822759</v>
      </c>
      <c r="M211" s="373"/>
      <c r="N211" s="355" t="str">
        <f t="shared" si="16"/>
        <v>PR</v>
      </c>
      <c r="O211" s="347" t="s">
        <v>991</v>
      </c>
      <c r="P211" s="325"/>
      <c r="Q211" s="351"/>
      <c r="R211" s="351">
        <v>1.5</v>
      </c>
      <c r="S211" s="351">
        <v>5.8</v>
      </c>
      <c r="T211" s="351">
        <v>1.351</v>
      </c>
      <c r="U211" s="329">
        <f>IF($N211=$N$4,IFERROR(INDEX(DanhMuc!$E$154:$E$165,MATCH(MID($B211,4,2),DanhMuc!$B$154:$B$165,0)),""),"")</f>
        <v>5700</v>
      </c>
      <c r="V211" s="325"/>
      <c r="W211" s="352" t="str">
        <f>+IF(AND($A211&lt;&gt;"",LEN($B211)&gt;=8,COUNTIF($B$6:$B211,$B211)=1),$W$5,"")</f>
        <v/>
      </c>
      <c r="X211" s="329" t="str">
        <f t="shared" si="21"/>
        <v>XF</v>
      </c>
      <c r="Y211" s="1128" t="s">
        <v>3380</v>
      </c>
      <c r="Z211" s="1128" t="s">
        <v>3381</v>
      </c>
      <c r="AA211" s="1128" t="s">
        <v>3384</v>
      </c>
      <c r="AC211" s="73"/>
    </row>
    <row r="212" spans="1:29" s="20" customFormat="1">
      <c r="A212" s="327" t="str">
        <f>IF(AND($B212&lt;&gt;"",$C212&lt;&gt;""),MAX($A$4:A211)+1,"")</f>
        <v/>
      </c>
      <c r="B212" s="361" t="s">
        <v>217</v>
      </c>
      <c r="C212" s="364"/>
      <c r="D212" s="327">
        <f>IF($B212="","",COUNTIF($B$6:$B212,$B212))</f>
        <v>3</v>
      </c>
      <c r="E212" s="363" t="s">
        <v>51</v>
      </c>
      <c r="F212" s="362" t="s">
        <v>354</v>
      </c>
      <c r="G212" s="327" t="s">
        <v>328</v>
      </c>
      <c r="H212" s="325"/>
      <c r="I212" s="327">
        <v>2</v>
      </c>
      <c r="J212" s="361" t="s">
        <v>994</v>
      </c>
      <c r="K212" s="327" t="s">
        <v>531</v>
      </c>
      <c r="L212" s="348">
        <f t="shared" si="19"/>
        <v>625442.99999999988</v>
      </c>
      <c r="M212" s="373"/>
      <c r="N212" s="355" t="str">
        <f t="shared" si="16"/>
        <v>PR</v>
      </c>
      <c r="O212" s="347" t="s">
        <v>991</v>
      </c>
      <c r="P212" s="325"/>
      <c r="Q212" s="351"/>
      <c r="R212" s="351">
        <v>1.5</v>
      </c>
      <c r="S212" s="351">
        <v>5.8</v>
      </c>
      <c r="T212" s="351">
        <v>1.0269999999999999</v>
      </c>
      <c r="U212" s="329">
        <f>IF($N212=$N$4,IFERROR(INDEX(DanhMuc!$E$154:$E$165,MATCH(MID($B212,4,2),DanhMuc!$B$154:$B$165,0)),""),"")</f>
        <v>5700</v>
      </c>
      <c r="V212" s="325"/>
      <c r="W212" s="352" t="str">
        <f>+IF(AND($A212&lt;&gt;"",LEN($B212)&gt;=8,COUNTIF($B$6:$B212,$B212)=1),$W$5,"")</f>
        <v/>
      </c>
      <c r="X212" s="329" t="str">
        <f t="shared" si="21"/>
        <v>XF</v>
      </c>
      <c r="Y212" s="1128" t="s">
        <v>3380</v>
      </c>
      <c r="Z212" s="1128" t="s">
        <v>3381</v>
      </c>
      <c r="AA212" s="1128" t="s">
        <v>3384</v>
      </c>
      <c r="AC212" s="73"/>
    </row>
    <row r="213" spans="1:29" s="20" customFormat="1">
      <c r="A213" s="327" t="str">
        <f>IF(AND($B213&lt;&gt;"",$C213&lt;&gt;""),MAX($A$4:A212)+1,"")</f>
        <v/>
      </c>
      <c r="B213" s="361" t="s">
        <v>217</v>
      </c>
      <c r="C213" s="364"/>
      <c r="D213" s="327">
        <f>IF($B213="","",COUNTIF($B$6:$B213,$B213))</f>
        <v>4</v>
      </c>
      <c r="E213" s="361" t="s">
        <v>988</v>
      </c>
      <c r="F213" s="362" t="s">
        <v>989</v>
      </c>
      <c r="G213" s="327" t="s">
        <v>356</v>
      </c>
      <c r="H213" s="325"/>
      <c r="I213" s="327">
        <v>1</v>
      </c>
      <c r="J213" s="361" t="s">
        <v>993</v>
      </c>
      <c r="K213" s="327" t="s">
        <v>531</v>
      </c>
      <c r="L213" s="348">
        <f t="shared" si="19"/>
        <v>641276.99999999988</v>
      </c>
      <c r="M213" s="373"/>
      <c r="N213" s="355" t="str">
        <f t="shared" si="16"/>
        <v>PR</v>
      </c>
      <c r="O213" s="347" t="s">
        <v>992</v>
      </c>
      <c r="P213" s="325"/>
      <c r="Q213" s="351"/>
      <c r="R213" s="351">
        <v>1.5</v>
      </c>
      <c r="S213" s="351">
        <v>5.8</v>
      </c>
      <c r="T213" s="351">
        <v>1.0529999999999999</v>
      </c>
      <c r="U213" s="329">
        <f>IF($N213=$N$4,IFERROR(INDEX(DanhMuc!$E$154:$E$165,MATCH(MID($B213,4,2),DanhMuc!$B$154:$B$165,0)),""),"")</f>
        <v>5700</v>
      </c>
      <c r="V213" s="325"/>
      <c r="W213" s="352" t="str">
        <f>+IF(AND($A213&lt;&gt;"",LEN($B213)&gt;=8,COUNTIF($B$6:$B213,$B213)=1),$W$5,"")</f>
        <v/>
      </c>
      <c r="X213" s="329" t="str">
        <f t="shared" si="21"/>
        <v>XF</v>
      </c>
      <c r="Y213" s="1128" t="s">
        <v>3380</v>
      </c>
      <c r="Z213" s="1128" t="s">
        <v>3381</v>
      </c>
      <c r="AA213" s="1128" t="s">
        <v>3384</v>
      </c>
      <c r="AC213" s="73"/>
    </row>
    <row r="214" spans="1:29" s="20" customFormat="1">
      <c r="A214" s="327" t="str">
        <f>IF(AND($B214&lt;&gt;"",$C214&lt;&gt;""),MAX($A$4:A213)+1,"")</f>
        <v/>
      </c>
      <c r="B214" s="361" t="s">
        <v>217</v>
      </c>
      <c r="C214" s="364"/>
      <c r="D214" s="327">
        <f>IF($B214="","",COUNTIF($B$6:$B214,$B214))</f>
        <v>5</v>
      </c>
      <c r="E214" s="363" t="s">
        <v>51</v>
      </c>
      <c r="F214" s="362" t="s">
        <v>354</v>
      </c>
      <c r="G214" s="327" t="s">
        <v>328</v>
      </c>
      <c r="H214" s="325"/>
      <c r="I214" s="327">
        <v>2</v>
      </c>
      <c r="J214" s="361" t="s">
        <v>995</v>
      </c>
      <c r="K214" s="327" t="s">
        <v>531</v>
      </c>
      <c r="L214" s="348">
        <f t="shared" si="19"/>
        <v>625442.99999999988</v>
      </c>
      <c r="M214" s="373"/>
      <c r="N214" s="355" t="str">
        <f t="shared" si="16"/>
        <v>PR</v>
      </c>
      <c r="O214" s="347" t="s">
        <v>992</v>
      </c>
      <c r="P214" s="325"/>
      <c r="Q214" s="351"/>
      <c r="R214" s="351">
        <v>1.5</v>
      </c>
      <c r="S214" s="351">
        <v>5.8</v>
      </c>
      <c r="T214" s="351">
        <v>1.0269999999999999</v>
      </c>
      <c r="U214" s="329">
        <f>IF($N214=$N$4,IFERROR(INDEX(DanhMuc!$E$154:$E$165,MATCH(MID($B214,4,2),DanhMuc!$B$154:$B$165,0)),""),"")</f>
        <v>5700</v>
      </c>
      <c r="V214" s="325"/>
      <c r="W214" s="352" t="str">
        <f>+IF(AND($A214&lt;&gt;"",LEN($B214)&gt;=8,COUNTIF($B$6:$B214,$B214)=1),$W$5,"")</f>
        <v/>
      </c>
      <c r="X214" s="329" t="str">
        <f t="shared" si="21"/>
        <v>XF</v>
      </c>
      <c r="Y214" s="1128" t="s">
        <v>3380</v>
      </c>
      <c r="Z214" s="1128" t="s">
        <v>3381</v>
      </c>
      <c r="AA214" s="1128" t="s">
        <v>3384</v>
      </c>
      <c r="AC214" s="73"/>
    </row>
    <row r="215" spans="1:29" s="20" customFormat="1">
      <c r="A215" s="327" t="str">
        <f>IF(AND($B215&lt;&gt;"",$C215&lt;&gt;""),MAX($A$4:A214)+1,"")</f>
        <v/>
      </c>
      <c r="B215" s="361" t="s">
        <v>217</v>
      </c>
      <c r="C215" s="364"/>
      <c r="D215" s="327">
        <f>IF($B215="","",COUNTIF($B$6:$B215,$B215))</f>
        <v>6</v>
      </c>
      <c r="E215" s="361" t="s">
        <v>55</v>
      </c>
      <c r="F215" s="362" t="s">
        <v>357</v>
      </c>
      <c r="G215" s="327" t="s">
        <v>329</v>
      </c>
      <c r="H215" s="325"/>
      <c r="I215" s="327">
        <v>8</v>
      </c>
      <c r="J215" s="361" t="s">
        <v>1451</v>
      </c>
      <c r="K215" s="327" t="s">
        <v>516</v>
      </c>
      <c r="L215" s="348">
        <f t="shared" si="19"/>
        <v>763686</v>
      </c>
      <c r="M215" s="373"/>
      <c r="N215" s="355" t="str">
        <f t="shared" si="16"/>
        <v>PR</v>
      </c>
      <c r="O215" s="347" t="s">
        <v>1626</v>
      </c>
      <c r="P215" s="325"/>
      <c r="Q215" s="351"/>
      <c r="R215" s="351">
        <v>1.5</v>
      </c>
      <c r="S215" s="351">
        <v>5.8</v>
      </c>
      <c r="T215" s="351">
        <v>1.254</v>
      </c>
      <c r="U215" s="329">
        <f>IF($N215=$N$4,IFERROR(INDEX(DanhMuc!$E$154:$E$165,MATCH(MID($B215,4,2),DanhMuc!$B$154:$B$165,0)),""),"")</f>
        <v>5700</v>
      </c>
      <c r="V215" s="325"/>
      <c r="W215" s="352" t="str">
        <f>+IF(AND($A215&lt;&gt;"",LEN($B215)&gt;=8,COUNTIF($B$6:$B215,$B215)=1),$W$5,"")</f>
        <v/>
      </c>
      <c r="X215" s="329" t="str">
        <f t="shared" si="21"/>
        <v>XF</v>
      </c>
      <c r="Y215" s="1128" t="s">
        <v>3380</v>
      </c>
      <c r="Z215" s="1128" t="s">
        <v>3381</v>
      </c>
      <c r="AA215" s="1128" t="s">
        <v>3384</v>
      </c>
      <c r="AC215" s="73"/>
    </row>
    <row r="216" spans="1:29" s="20" customFormat="1">
      <c r="A216" s="327" t="str">
        <f>IF(AND($B216&lt;&gt;"",$C216&lt;&gt;""),MAX($A$4:A215)+1,"")</f>
        <v/>
      </c>
      <c r="B216" s="361" t="s">
        <v>217</v>
      </c>
      <c r="C216" s="364"/>
      <c r="D216" s="327">
        <f>IF($B216="","",COUNTIF($B$6:$B216,$B216))</f>
        <v>7</v>
      </c>
      <c r="E216" s="361" t="s">
        <v>55</v>
      </c>
      <c r="F216" s="362" t="s">
        <v>357</v>
      </c>
      <c r="G216" s="327" t="s">
        <v>328</v>
      </c>
      <c r="H216" s="325"/>
      <c r="I216" s="327">
        <v>8</v>
      </c>
      <c r="J216" s="361" t="s">
        <v>1453</v>
      </c>
      <c r="K216" s="327" t="s">
        <v>516</v>
      </c>
      <c r="L216" s="348">
        <f t="shared" si="19"/>
        <v>763686</v>
      </c>
      <c r="M216" s="373"/>
      <c r="N216" s="355" t="str">
        <f t="shared" si="16"/>
        <v>PR</v>
      </c>
      <c r="O216" s="347" t="s">
        <v>1626</v>
      </c>
      <c r="P216" s="325"/>
      <c r="Q216" s="351"/>
      <c r="R216" s="351">
        <v>1.5</v>
      </c>
      <c r="S216" s="351">
        <v>5.8</v>
      </c>
      <c r="T216" s="351">
        <v>1.254</v>
      </c>
      <c r="U216" s="329">
        <f>IF($N216=$N$4,IFERROR(INDEX(DanhMuc!$E$154:$E$165,MATCH(MID($B216,4,2),DanhMuc!$B$154:$B$165,0)),""),"")</f>
        <v>5700</v>
      </c>
      <c r="V216" s="325"/>
      <c r="W216" s="352" t="str">
        <f>+IF(AND($A216&lt;&gt;"",LEN($B216)&gt;=8,COUNTIF($B$6:$B216,$B216)=1),$W$5,"")</f>
        <v/>
      </c>
      <c r="X216" s="329" t="str">
        <f t="shared" si="21"/>
        <v>XF</v>
      </c>
      <c r="Y216" s="1128" t="s">
        <v>3380</v>
      </c>
      <c r="Z216" s="1128" t="s">
        <v>3381</v>
      </c>
      <c r="AA216" s="1128" t="s">
        <v>3384</v>
      </c>
      <c r="AC216" s="73"/>
    </row>
    <row r="217" spans="1:29" s="20" customFormat="1">
      <c r="A217" s="327" t="str">
        <f>IF(AND($B217&lt;&gt;"",$C217&lt;&gt;""),MAX($A$4:A216)+1,"")</f>
        <v/>
      </c>
      <c r="B217" s="361" t="s">
        <v>217</v>
      </c>
      <c r="C217" s="364"/>
      <c r="D217" s="327">
        <f>IF($B217="","",COUNTIF($B$6:$B217,$B217))</f>
        <v>8</v>
      </c>
      <c r="E217" s="361" t="s">
        <v>2730</v>
      </c>
      <c r="F217" s="362" t="s">
        <v>2731</v>
      </c>
      <c r="G217" s="327" t="s">
        <v>329</v>
      </c>
      <c r="H217" s="325"/>
      <c r="I217" s="327">
        <v>8</v>
      </c>
      <c r="J217" s="361" t="s">
        <v>1451</v>
      </c>
      <c r="K217" s="327" t="s">
        <v>516</v>
      </c>
      <c r="L217" s="348">
        <f t="shared" si="19"/>
        <v>795963</v>
      </c>
      <c r="M217" s="373"/>
      <c r="N217" s="355" t="str">
        <f t="shared" si="16"/>
        <v>PR</v>
      </c>
      <c r="O217" s="347" t="s">
        <v>2722</v>
      </c>
      <c r="P217" s="325"/>
      <c r="Q217" s="351"/>
      <c r="R217" s="351">
        <v>1.5</v>
      </c>
      <c r="S217" s="351">
        <v>5.8</v>
      </c>
      <c r="T217" s="351">
        <v>1.3069999999999999</v>
      </c>
      <c r="U217" s="329">
        <f>IF($N217=$N$4,IFERROR(INDEX(DanhMuc!$E$154:$E$165,MATCH(MID($B217,4,2),DanhMuc!$B$154:$B$165,0)),""),"")</f>
        <v>5700</v>
      </c>
      <c r="V217" s="325"/>
      <c r="W217" s="352" t="str">
        <f>+IF(AND($A217&lt;&gt;"",LEN($B217)&gt;=8,COUNTIF($B$6:$B217,$B217)=1),$W$5,"")</f>
        <v/>
      </c>
      <c r="X217" s="329" t="str">
        <f t="shared" si="21"/>
        <v>XF</v>
      </c>
      <c r="Y217" s="1128" t="s">
        <v>3380</v>
      </c>
      <c r="Z217" s="1128" t="s">
        <v>3381</v>
      </c>
      <c r="AA217" s="1128" t="s">
        <v>3384</v>
      </c>
      <c r="AC217" s="73"/>
    </row>
    <row r="218" spans="1:29" s="20" customFormat="1">
      <c r="A218" s="327" t="str">
        <f>IF(AND($B218&lt;&gt;"",$C218&lt;&gt;""),MAX($A$4:A217)+1,"")</f>
        <v/>
      </c>
      <c r="B218" s="361" t="s">
        <v>217</v>
      </c>
      <c r="C218" s="364"/>
      <c r="D218" s="327">
        <f>IF($B218="","",COUNTIF($B$6:$B218,$B218))</f>
        <v>9</v>
      </c>
      <c r="E218" s="361" t="s">
        <v>2730</v>
      </c>
      <c r="F218" s="362" t="s">
        <v>2731</v>
      </c>
      <c r="G218" s="327" t="s">
        <v>328</v>
      </c>
      <c r="H218" s="325"/>
      <c r="I218" s="327">
        <v>8</v>
      </c>
      <c r="J218" s="361" t="s">
        <v>1453</v>
      </c>
      <c r="K218" s="327" t="s">
        <v>516</v>
      </c>
      <c r="L218" s="348">
        <f t="shared" si="19"/>
        <v>795963</v>
      </c>
      <c r="M218" s="373"/>
      <c r="N218" s="355" t="str">
        <f t="shared" si="16"/>
        <v>PR</v>
      </c>
      <c r="O218" s="347" t="s">
        <v>2722</v>
      </c>
      <c r="P218" s="325"/>
      <c r="Q218" s="351"/>
      <c r="R218" s="351">
        <v>1.5</v>
      </c>
      <c r="S218" s="351">
        <v>5.8</v>
      </c>
      <c r="T218" s="351">
        <v>1.3069999999999999</v>
      </c>
      <c r="U218" s="329">
        <f>IF($N218=$N$4,IFERROR(INDEX(DanhMuc!$E$154:$E$165,MATCH(MID($B218,4,2),DanhMuc!$B$154:$B$165,0)),""),"")</f>
        <v>5700</v>
      </c>
      <c r="V218" s="325"/>
      <c r="W218" s="352" t="str">
        <f>+IF(AND($A218&lt;&gt;"",LEN($B218)&gt;=8,COUNTIF($B$6:$B218,$B218)=1),$W$5,"")</f>
        <v/>
      </c>
      <c r="X218" s="329" t="str">
        <f t="shared" si="21"/>
        <v>XF</v>
      </c>
      <c r="Y218" s="1128" t="s">
        <v>3380</v>
      </c>
      <c r="Z218" s="1128" t="s">
        <v>3381</v>
      </c>
      <c r="AA218" s="1128" t="s">
        <v>3384</v>
      </c>
      <c r="AC218" s="73"/>
    </row>
    <row r="219" spans="1:29" s="20" customFormat="1">
      <c r="A219" s="327" t="str">
        <f>IF(AND($B219&lt;&gt;"",$C219&lt;&gt;""),MAX($A$4:A218)+1,"")</f>
        <v/>
      </c>
      <c r="B219" s="361" t="s">
        <v>217</v>
      </c>
      <c r="C219" s="364"/>
      <c r="D219" s="327">
        <f>IF($B219="","",COUNTIF($B$6:$B219,$B219))</f>
        <v>10</v>
      </c>
      <c r="E219" s="361" t="s">
        <v>2730</v>
      </c>
      <c r="F219" s="362" t="s">
        <v>2731</v>
      </c>
      <c r="G219" s="327" t="s">
        <v>329</v>
      </c>
      <c r="H219" s="325"/>
      <c r="I219" s="327">
        <v>8</v>
      </c>
      <c r="J219" s="361" t="s">
        <v>1451</v>
      </c>
      <c r="K219" s="327" t="s">
        <v>516</v>
      </c>
      <c r="L219" s="348">
        <f t="shared" si="19"/>
        <v>795963</v>
      </c>
      <c r="M219" s="373"/>
      <c r="N219" s="355" t="str">
        <f t="shared" si="16"/>
        <v>PR</v>
      </c>
      <c r="O219" s="347" t="s">
        <v>2721</v>
      </c>
      <c r="P219" s="325"/>
      <c r="Q219" s="351"/>
      <c r="R219" s="351">
        <v>1.5</v>
      </c>
      <c r="S219" s="351">
        <v>5.8</v>
      </c>
      <c r="T219" s="351">
        <v>1.3069999999999999</v>
      </c>
      <c r="U219" s="329">
        <f>IF($N219=$N$4,IFERROR(INDEX(DanhMuc!$E$154:$E$165,MATCH(MID($B219,4,2),DanhMuc!$B$154:$B$165,0)),""),"")</f>
        <v>5700</v>
      </c>
      <c r="V219" s="325"/>
      <c r="W219" s="352" t="str">
        <f>+IF(AND($A219&lt;&gt;"",LEN($B219)&gt;=8,COUNTIF($B$6:$B219,$B219)=1),$W$5,"")</f>
        <v/>
      </c>
      <c r="X219" s="329" t="str">
        <f t="shared" si="21"/>
        <v>XF</v>
      </c>
      <c r="Y219" s="1128" t="s">
        <v>3380</v>
      </c>
      <c r="Z219" s="1128" t="s">
        <v>3381</v>
      </c>
      <c r="AA219" s="1128" t="s">
        <v>3384</v>
      </c>
      <c r="AC219" s="73"/>
    </row>
    <row r="220" spans="1:29" s="20" customFormat="1">
      <c r="A220" s="327" t="str">
        <f>IF(AND($B220&lt;&gt;"",$C220&lt;&gt;""),MAX($A$4:A219)+1,"")</f>
        <v/>
      </c>
      <c r="B220" s="361" t="s">
        <v>217</v>
      </c>
      <c r="C220" s="364"/>
      <c r="D220" s="327">
        <f>IF($B220="","",COUNTIF($B$6:$B220,$B220))</f>
        <v>11</v>
      </c>
      <c r="E220" s="361" t="s">
        <v>2730</v>
      </c>
      <c r="F220" s="362" t="s">
        <v>2731</v>
      </c>
      <c r="G220" s="327" t="s">
        <v>328</v>
      </c>
      <c r="H220" s="325"/>
      <c r="I220" s="327">
        <v>8</v>
      </c>
      <c r="J220" s="361" t="s">
        <v>1453</v>
      </c>
      <c r="K220" s="327" t="s">
        <v>516</v>
      </c>
      <c r="L220" s="348">
        <f t="shared" si="19"/>
        <v>795963</v>
      </c>
      <c r="M220" s="373"/>
      <c r="N220" s="355" t="str">
        <f t="shared" si="16"/>
        <v>PR</v>
      </c>
      <c r="O220" s="347" t="s">
        <v>2721</v>
      </c>
      <c r="P220" s="325"/>
      <c r="Q220" s="351"/>
      <c r="R220" s="351">
        <v>1.5</v>
      </c>
      <c r="S220" s="351">
        <v>5.8</v>
      </c>
      <c r="T220" s="351">
        <v>1.3069999999999999</v>
      </c>
      <c r="U220" s="329">
        <f>IF($N220=$N$4,IFERROR(INDEX(DanhMuc!$E$154:$E$165,MATCH(MID($B220,4,2),DanhMuc!$B$154:$B$165,0)),""),"")</f>
        <v>5700</v>
      </c>
      <c r="V220" s="325"/>
      <c r="W220" s="352" t="str">
        <f>+IF(AND($A220&lt;&gt;"",LEN($B220)&gt;=8,COUNTIF($B$6:$B220,$B220)=1),$W$5,"")</f>
        <v/>
      </c>
      <c r="X220" s="329" t="str">
        <f t="shared" si="21"/>
        <v>XF</v>
      </c>
      <c r="Y220" s="1128" t="s">
        <v>3380</v>
      </c>
      <c r="Z220" s="1128" t="s">
        <v>3381</v>
      </c>
      <c r="AA220" s="1128" t="s">
        <v>3384</v>
      </c>
      <c r="AC220" s="73"/>
    </row>
    <row r="221" spans="1:29" s="20" customFormat="1">
      <c r="A221" s="327" t="str">
        <f>IF(AND($B221&lt;&gt;"",$C221&lt;&gt;""),MAX($A$4:A218)+1,"")</f>
        <v/>
      </c>
      <c r="B221" s="361" t="s">
        <v>217</v>
      </c>
      <c r="C221" s="364"/>
      <c r="D221" s="327">
        <f>IF($B221="","",COUNTIF($B$6:$B221,$B221))</f>
        <v>12</v>
      </c>
      <c r="E221" s="374" t="s">
        <v>54</v>
      </c>
      <c r="F221" s="375" t="s">
        <v>358</v>
      </c>
      <c r="G221" s="327" t="s">
        <v>328</v>
      </c>
      <c r="H221" s="376"/>
      <c r="I221" s="377">
        <v>4</v>
      </c>
      <c r="J221" s="361" t="s">
        <v>1453</v>
      </c>
      <c r="K221" s="327" t="s">
        <v>531</v>
      </c>
      <c r="L221" s="348">
        <f t="shared" si="19"/>
        <v>146769</v>
      </c>
      <c r="M221" s="373"/>
      <c r="N221" s="355" t="str">
        <f t="shared" si="16"/>
        <v>PR</v>
      </c>
      <c r="O221" s="347"/>
      <c r="P221" s="325"/>
      <c r="Q221" s="351"/>
      <c r="R221" s="351">
        <v>1.3</v>
      </c>
      <c r="S221" s="351">
        <v>5.8</v>
      </c>
      <c r="T221" s="351">
        <v>0.24099999999999999</v>
      </c>
      <c r="U221" s="329">
        <f>IF($N221=$N$4,IFERROR(INDEX(DanhMuc!$E$154:$E$165,MATCH(MID($B221,4,2),DanhMuc!$B$154:$B$165,0)),""),"")</f>
        <v>5700</v>
      </c>
      <c r="V221" s="376" t="s">
        <v>404</v>
      </c>
      <c r="W221" s="352" t="str">
        <f>+IF(AND($A221&lt;&gt;"",LEN($B221)&gt;=8,COUNTIF($B$6:$B221,$B221)=1),$W$5,"")</f>
        <v/>
      </c>
      <c r="X221" s="329" t="str">
        <f t="shared" si="21"/>
        <v>XF</v>
      </c>
      <c r="Y221" s="1128" t="s">
        <v>3380</v>
      </c>
      <c r="Z221" s="1128" t="s">
        <v>3381</v>
      </c>
      <c r="AA221" s="1128" t="s">
        <v>3384</v>
      </c>
      <c r="AC221" s="73"/>
    </row>
    <row r="222" spans="1:29" s="20" customFormat="1">
      <c r="A222" s="327" t="str">
        <f>IF(AND($B222&lt;&gt;"",$C222&lt;&gt;""),MAX($A$4:A221)+1,"")</f>
        <v/>
      </c>
      <c r="B222" s="361" t="s">
        <v>217</v>
      </c>
      <c r="C222" s="364"/>
      <c r="D222" s="327">
        <f>IF($B222="","",COUNTIF($B$6:$B222,$B222))</f>
        <v>13</v>
      </c>
      <c r="E222" s="378" t="s">
        <v>359</v>
      </c>
      <c r="F222" s="379" t="s">
        <v>360</v>
      </c>
      <c r="G222" s="380" t="s">
        <v>329</v>
      </c>
      <c r="H222" s="381"/>
      <c r="I222" s="380">
        <v>0</v>
      </c>
      <c r="J222" s="378" t="s">
        <v>81</v>
      </c>
      <c r="K222" s="380" t="s">
        <v>531</v>
      </c>
      <c r="L222" s="348">
        <f t="shared" si="19"/>
        <v>71253</v>
      </c>
      <c r="M222" s="373"/>
      <c r="N222" s="355" t="str">
        <f t="shared" si="16"/>
        <v>PR</v>
      </c>
      <c r="O222" s="347"/>
      <c r="P222" s="325"/>
      <c r="Q222" s="351"/>
      <c r="R222" s="351">
        <v>1.2</v>
      </c>
      <c r="S222" s="351">
        <v>5.8</v>
      </c>
      <c r="T222" s="351">
        <v>0.11700000000000001</v>
      </c>
      <c r="U222" s="329">
        <f>IF($N222=$N$4,IFERROR(INDEX(DanhMuc!$E$154:$E$165,MATCH(MID($B222,4,2),DanhMuc!$B$154:$B$165,0)),""),"")</f>
        <v>5700</v>
      </c>
      <c r="V222" s="325"/>
      <c r="W222" s="352" t="str">
        <f>+IF(AND($A222&lt;&gt;"",LEN($B222)&gt;=8,COUNTIF($B$6:$B222,$B222)=1),$W$5,"")</f>
        <v/>
      </c>
      <c r="X222" s="329" t="str">
        <f t="shared" si="21"/>
        <v>XF</v>
      </c>
      <c r="Y222" s="1128" t="s">
        <v>3380</v>
      </c>
      <c r="Z222" s="1128" t="s">
        <v>3381</v>
      </c>
      <c r="AA222" s="1128" t="s">
        <v>3384</v>
      </c>
      <c r="AC222" s="73"/>
    </row>
    <row r="223" spans="1:29" s="20" customFormat="1">
      <c r="A223" s="327" t="str">
        <f>IF(AND($B223&lt;&gt;"",$C223&lt;&gt;""),MAX($A$4:A222)+1,"")</f>
        <v/>
      </c>
      <c r="B223" s="361" t="s">
        <v>217</v>
      </c>
      <c r="C223" s="364"/>
      <c r="D223" s="327">
        <f>IF($B223="","",COUNTIF($B$6:$B223,$B223))</f>
        <v>14</v>
      </c>
      <c r="E223" s="361" t="s">
        <v>53</v>
      </c>
      <c r="F223" s="362" t="s">
        <v>361</v>
      </c>
      <c r="G223" s="327" t="s">
        <v>329</v>
      </c>
      <c r="H223" s="325"/>
      <c r="I223" s="327">
        <v>8</v>
      </c>
      <c r="J223" s="361" t="s">
        <v>1452</v>
      </c>
      <c r="K223" s="327" t="s">
        <v>531</v>
      </c>
      <c r="L223" s="348">
        <f t="shared" si="19"/>
        <v>135198</v>
      </c>
      <c r="M223" s="373"/>
      <c r="N223" s="355" t="str">
        <f t="shared" si="16"/>
        <v>PR</v>
      </c>
      <c r="O223" s="347">
        <v>10</v>
      </c>
      <c r="P223" s="325"/>
      <c r="Q223" s="351"/>
      <c r="R223" s="351">
        <v>1</v>
      </c>
      <c r="S223" s="351">
        <v>5.8</v>
      </c>
      <c r="T223" s="351">
        <v>0.222</v>
      </c>
      <c r="U223" s="329">
        <f>IF($N223=$N$4,IFERROR(INDEX(DanhMuc!$E$154:$E$165,MATCH(MID($B223,4,2),DanhMuc!$B$154:$B$165,0)),""),"")</f>
        <v>5700</v>
      </c>
      <c r="V223" s="325"/>
      <c r="W223" s="352" t="str">
        <f>+IF(AND($A223&lt;&gt;"",LEN($B223)&gt;=8,COUNTIF($B$6:$B223,$B223)=1),$W$5,"")</f>
        <v/>
      </c>
      <c r="X223" s="329" t="str">
        <f t="shared" si="21"/>
        <v>XF</v>
      </c>
      <c r="Y223" s="1128" t="s">
        <v>3380</v>
      </c>
      <c r="Z223" s="1128" t="s">
        <v>3381</v>
      </c>
      <c r="AA223" s="1128" t="s">
        <v>3384</v>
      </c>
      <c r="AC223" s="73"/>
    </row>
    <row r="224" spans="1:29" s="20" customFormat="1">
      <c r="A224" s="327" t="str">
        <f>IF(AND($B224&lt;&gt;"",$C224&lt;&gt;""),MAX($A$4:A223)+1,"")</f>
        <v/>
      </c>
      <c r="B224" s="361" t="s">
        <v>217</v>
      </c>
      <c r="C224" s="364"/>
      <c r="D224" s="327">
        <f>IF($B224="","",COUNTIF($B$6:$B224,$B224))</f>
        <v>15</v>
      </c>
      <c r="E224" s="361" t="s">
        <v>53</v>
      </c>
      <c r="F224" s="362" t="s">
        <v>361</v>
      </c>
      <c r="G224" s="327" t="s">
        <v>328</v>
      </c>
      <c r="H224" s="325"/>
      <c r="I224" s="327">
        <v>8</v>
      </c>
      <c r="J224" s="361" t="s">
        <v>1454</v>
      </c>
      <c r="K224" s="327" t="s">
        <v>531</v>
      </c>
      <c r="L224" s="348">
        <f t="shared" si="19"/>
        <v>135198</v>
      </c>
      <c r="M224" s="373"/>
      <c r="N224" s="355" t="str">
        <f t="shared" si="16"/>
        <v>PR</v>
      </c>
      <c r="O224" s="347">
        <v>10</v>
      </c>
      <c r="P224" s="325"/>
      <c r="Q224" s="351"/>
      <c r="R224" s="351">
        <v>1</v>
      </c>
      <c r="S224" s="351">
        <v>5.8</v>
      </c>
      <c r="T224" s="351">
        <v>0.222</v>
      </c>
      <c r="U224" s="329">
        <f>IF($N224=$N$4,IFERROR(INDEX(DanhMuc!$E$154:$E$165,MATCH(MID($B224,4,2),DanhMuc!$B$154:$B$165,0)),""),"")</f>
        <v>5700</v>
      </c>
      <c r="V224" s="325"/>
      <c r="W224" s="352" t="str">
        <f>+IF(AND($A224&lt;&gt;"",LEN($B224)&gt;=8,COUNTIF($B$6:$B224,$B224)=1),$W$5,"")</f>
        <v/>
      </c>
      <c r="X224" s="329" t="str">
        <f t="shared" si="21"/>
        <v>XF</v>
      </c>
      <c r="Y224" s="1128" t="s">
        <v>3380</v>
      </c>
      <c r="Z224" s="1128" t="s">
        <v>3381</v>
      </c>
      <c r="AA224" s="1128" t="s">
        <v>3384</v>
      </c>
      <c r="AC224" s="73"/>
    </row>
    <row r="225" spans="1:29" s="20" customFormat="1">
      <c r="A225" s="327" t="str">
        <f>IF(AND($B225&lt;&gt;"",$C225&lt;&gt;""),MAX($A$4:A224)+1,"")</f>
        <v/>
      </c>
      <c r="B225" s="361" t="s">
        <v>217</v>
      </c>
      <c r="C225" s="364"/>
      <c r="D225" s="327">
        <f>IF($B225="","",COUNTIF($B$6:$B225,$B225))</f>
        <v>16</v>
      </c>
      <c r="E225" s="361" t="s">
        <v>362</v>
      </c>
      <c r="F225" s="362" t="s">
        <v>363</v>
      </c>
      <c r="G225" s="327" t="s">
        <v>329</v>
      </c>
      <c r="H225" s="325"/>
      <c r="I225" s="327">
        <v>8</v>
      </c>
      <c r="J225" s="361" t="s">
        <v>1452</v>
      </c>
      <c r="K225" s="327" t="s">
        <v>531</v>
      </c>
      <c r="L225" s="348">
        <f t="shared" si="19"/>
        <v>167475</v>
      </c>
      <c r="M225" s="373"/>
      <c r="N225" s="355" t="str">
        <f t="shared" si="16"/>
        <v>PR</v>
      </c>
      <c r="O225" s="347">
        <v>19</v>
      </c>
      <c r="P225" s="325"/>
      <c r="Q225" s="351"/>
      <c r="R225" s="351">
        <v>1.2</v>
      </c>
      <c r="S225" s="351">
        <v>5.8</v>
      </c>
      <c r="T225" s="351">
        <v>0.27500000000000002</v>
      </c>
      <c r="U225" s="329">
        <f>IF($N225=$N$4,IFERROR(INDEX(DanhMuc!$E$154:$E$165,MATCH(MID($B225,4,2),DanhMuc!$B$154:$B$165,0)),""),"")</f>
        <v>5700</v>
      </c>
      <c r="V225" s="325"/>
      <c r="W225" s="352" t="str">
        <f>+IF(AND($A225&lt;&gt;"",LEN($B225)&gt;=8,COUNTIF($B$6:$B225,$B225)=1),$W$5,"")</f>
        <v/>
      </c>
      <c r="X225" s="329" t="str">
        <f t="shared" si="21"/>
        <v>XF</v>
      </c>
      <c r="Y225" s="1128" t="s">
        <v>3380</v>
      </c>
      <c r="Z225" s="1128" t="s">
        <v>3381</v>
      </c>
      <c r="AA225" s="1128" t="s">
        <v>3384</v>
      </c>
      <c r="AC225" s="73"/>
    </row>
    <row r="226" spans="1:29" s="20" customFormat="1">
      <c r="A226" s="327" t="str">
        <f>IF(AND($B226&lt;&gt;"",$C226&lt;&gt;""),MAX($A$4:A225)+1,"")</f>
        <v/>
      </c>
      <c r="B226" s="361" t="s">
        <v>217</v>
      </c>
      <c r="C226" s="364"/>
      <c r="D226" s="327">
        <f>IF($B226="","",COUNTIF($B$6:$B226,$B226))</f>
        <v>17</v>
      </c>
      <c r="E226" s="361" t="s">
        <v>362</v>
      </c>
      <c r="F226" s="362" t="s">
        <v>363</v>
      </c>
      <c r="G226" s="327" t="s">
        <v>328</v>
      </c>
      <c r="H226" s="325"/>
      <c r="I226" s="327">
        <v>8</v>
      </c>
      <c r="J226" s="361" t="s">
        <v>1454</v>
      </c>
      <c r="K226" s="327" t="s">
        <v>531</v>
      </c>
      <c r="L226" s="348">
        <f t="shared" si="19"/>
        <v>167475</v>
      </c>
      <c r="M226" s="373"/>
      <c r="N226" s="355" t="str">
        <f t="shared" si="16"/>
        <v>PR</v>
      </c>
      <c r="O226" s="347">
        <v>19</v>
      </c>
      <c r="P226" s="325"/>
      <c r="Q226" s="351"/>
      <c r="R226" s="351">
        <v>1.2</v>
      </c>
      <c r="S226" s="351">
        <v>5.8</v>
      </c>
      <c r="T226" s="351">
        <v>0.27500000000000002</v>
      </c>
      <c r="U226" s="329">
        <f>IF($N226=$N$4,IFERROR(INDEX(DanhMuc!$E$154:$E$165,MATCH(MID($B226,4,2),DanhMuc!$B$154:$B$165,0)),""),"")</f>
        <v>5700</v>
      </c>
      <c r="V226" s="325"/>
      <c r="W226" s="352" t="str">
        <f>+IF(AND($A226&lt;&gt;"",LEN($B226)&gt;=8,COUNTIF($B$6:$B226,$B226)=1),$W$5,"")</f>
        <v/>
      </c>
      <c r="X226" s="329" t="str">
        <f t="shared" si="21"/>
        <v>XF</v>
      </c>
      <c r="Y226" s="1128" t="s">
        <v>3380</v>
      </c>
      <c r="Z226" s="1128" t="s">
        <v>3381</v>
      </c>
      <c r="AA226" s="1128" t="s">
        <v>3384</v>
      </c>
      <c r="AC226" s="73"/>
    </row>
    <row r="227" spans="1:29" s="20" customFormat="1" ht="39">
      <c r="A227" s="327">
        <f>IF(AND($B227&lt;&gt;"",$C227&lt;&gt;""),MAX($A$4:A226)+1,"")</f>
        <v>23</v>
      </c>
      <c r="B227" s="359" t="s">
        <v>417</v>
      </c>
      <c r="C227" s="360" t="s">
        <v>2086</v>
      </c>
      <c r="D227" s="327">
        <f>IF($B227="","",COUNTIF($B$6:$B227,$B227))</f>
        <v>1</v>
      </c>
      <c r="E227" s="361" t="s">
        <v>50</v>
      </c>
      <c r="F227" s="362" t="s">
        <v>355</v>
      </c>
      <c r="G227" s="327" t="s">
        <v>330</v>
      </c>
      <c r="H227" s="325"/>
      <c r="I227" s="327">
        <v>1</v>
      </c>
      <c r="J227" s="361" t="s">
        <v>81</v>
      </c>
      <c r="K227" s="327" t="s">
        <v>531</v>
      </c>
      <c r="L227" s="348">
        <f t="shared" si="19"/>
        <v>1892163.0000000002</v>
      </c>
      <c r="M227" s="373"/>
      <c r="N227" s="355" t="str">
        <f t="shared" si="16"/>
        <v>PR</v>
      </c>
      <c r="O227" s="347"/>
      <c r="P227" s="325"/>
      <c r="Q227" s="351"/>
      <c r="R227" s="351">
        <v>3</v>
      </c>
      <c r="S227" s="351">
        <v>5.8</v>
      </c>
      <c r="T227" s="351">
        <v>3.1070000000000002</v>
      </c>
      <c r="U227" s="329">
        <f>IF($N227=$N$4,IFERROR(INDEX(DanhMuc!$E$154:$E$165,MATCH(MID($B227,4,2),DanhMuc!$B$154:$B$165,0)),""),"")</f>
        <v>5700</v>
      </c>
      <c r="V227" s="325"/>
      <c r="W227" s="352" t="str">
        <f>+IF(AND($A227&lt;&gt;"",LEN($B227)&gt;=8,COUNTIF($B$6:$B227,$B227)=1),$W$5,"")</f>
        <v>DMCua</v>
      </c>
      <c r="X227" s="329" t="str">
        <f t="shared" si="21"/>
        <v>XF</v>
      </c>
      <c r="Y227" s="1128" t="s">
        <v>3380</v>
      </c>
      <c r="Z227" s="1128" t="s">
        <v>3381</v>
      </c>
      <c r="AA227" s="1128" t="s">
        <v>3384</v>
      </c>
      <c r="AC227" s="73"/>
    </row>
    <row r="228" spans="1:29" s="20" customFormat="1">
      <c r="A228" s="327" t="str">
        <f>IF(AND($B228&lt;&gt;"",$C228&lt;&gt;""),MAX($A$4:A227)+1,"")</f>
        <v/>
      </c>
      <c r="B228" s="361" t="s">
        <v>417</v>
      </c>
      <c r="C228" s="364"/>
      <c r="D228" s="327">
        <f>IF($B228="","",COUNTIF($B$6:$B228,$B228))</f>
        <v>2</v>
      </c>
      <c r="E228" s="361" t="s">
        <v>52</v>
      </c>
      <c r="F228" s="362" t="s">
        <v>990</v>
      </c>
      <c r="G228" s="327" t="s">
        <v>356</v>
      </c>
      <c r="H228" s="325"/>
      <c r="I228" s="327">
        <v>1</v>
      </c>
      <c r="J228" s="361" t="s">
        <v>81</v>
      </c>
      <c r="K228" s="327" t="s">
        <v>531</v>
      </c>
      <c r="L228" s="348">
        <f t="shared" si="19"/>
        <v>822759</v>
      </c>
      <c r="M228" s="373"/>
      <c r="N228" s="355" t="str">
        <f t="shared" si="16"/>
        <v>PR</v>
      </c>
      <c r="O228" s="347" t="s">
        <v>991</v>
      </c>
      <c r="P228" s="325"/>
      <c r="Q228" s="351"/>
      <c r="R228" s="351">
        <v>1.5</v>
      </c>
      <c r="S228" s="351">
        <v>5.8</v>
      </c>
      <c r="T228" s="351">
        <v>1.351</v>
      </c>
      <c r="U228" s="329">
        <f>IF($N228=$N$4,IFERROR(INDEX(DanhMuc!$E$154:$E$165,MATCH(MID($B228,4,2),DanhMuc!$B$154:$B$165,0)),""),"")</f>
        <v>5700</v>
      </c>
      <c r="V228" s="325"/>
      <c r="W228" s="352" t="str">
        <f>+IF(AND($A228&lt;&gt;"",LEN($B228)&gt;=8,COUNTIF($B$6:$B228,$B228)=1),$W$5,"")</f>
        <v/>
      </c>
      <c r="X228" s="329" t="str">
        <f t="shared" si="21"/>
        <v>XF</v>
      </c>
      <c r="Y228" s="1128" t="s">
        <v>3380</v>
      </c>
      <c r="Z228" s="1128" t="s">
        <v>3381</v>
      </c>
      <c r="AA228" s="1128" t="s">
        <v>3384</v>
      </c>
      <c r="AC228" s="73"/>
    </row>
    <row r="229" spans="1:29" s="20" customFormat="1">
      <c r="A229" s="327" t="str">
        <f>IF(AND($B229&lt;&gt;"",$C229&lt;&gt;""),MAX($A$4:A228)+1,"")</f>
        <v/>
      </c>
      <c r="B229" s="361" t="s">
        <v>417</v>
      </c>
      <c r="C229" s="364"/>
      <c r="D229" s="327">
        <f>IF($B229="","",COUNTIF($B$6:$B229,$B229))</f>
        <v>3</v>
      </c>
      <c r="E229" s="363" t="s">
        <v>51</v>
      </c>
      <c r="F229" s="362" t="s">
        <v>354</v>
      </c>
      <c r="G229" s="327" t="s">
        <v>328</v>
      </c>
      <c r="H229" s="325"/>
      <c r="I229" s="327">
        <v>2</v>
      </c>
      <c r="J229" s="361" t="s">
        <v>994</v>
      </c>
      <c r="K229" s="327" t="s">
        <v>531</v>
      </c>
      <c r="L229" s="348">
        <f t="shared" si="19"/>
        <v>625442.99999999988</v>
      </c>
      <c r="M229" s="373"/>
      <c r="N229" s="355" t="str">
        <f t="shared" si="16"/>
        <v>PR</v>
      </c>
      <c r="O229" s="347" t="s">
        <v>991</v>
      </c>
      <c r="P229" s="325"/>
      <c r="Q229" s="351"/>
      <c r="R229" s="351">
        <v>1.5</v>
      </c>
      <c r="S229" s="351">
        <v>5.8</v>
      </c>
      <c r="T229" s="351">
        <v>1.0269999999999999</v>
      </c>
      <c r="U229" s="329">
        <f>IF($N229=$N$4,IFERROR(INDEX(DanhMuc!$E$154:$E$165,MATCH(MID($B229,4,2),DanhMuc!$B$154:$B$165,0)),""),"")</f>
        <v>5700</v>
      </c>
      <c r="V229" s="325"/>
      <c r="W229" s="352" t="str">
        <f>+IF(AND($A229&lt;&gt;"",LEN($B229)&gt;=8,COUNTIF($B$6:$B229,$B229)=1),$W$5,"")</f>
        <v/>
      </c>
      <c r="X229" s="329" t="str">
        <f t="shared" si="21"/>
        <v>XF</v>
      </c>
      <c r="Y229" s="1128" t="s">
        <v>3380</v>
      </c>
      <c r="Z229" s="1128" t="s">
        <v>3381</v>
      </c>
      <c r="AA229" s="1128" t="s">
        <v>3384</v>
      </c>
      <c r="AC229" s="73"/>
    </row>
    <row r="230" spans="1:29" s="20" customFormat="1">
      <c r="A230" s="327" t="str">
        <f>IF(AND($B230&lt;&gt;"",$C230&lt;&gt;""),MAX($A$4:A229)+1,"")</f>
        <v/>
      </c>
      <c r="B230" s="361" t="s">
        <v>417</v>
      </c>
      <c r="C230" s="364"/>
      <c r="D230" s="327">
        <f>IF($B230="","",COUNTIF($B$6:$B230,$B230))</f>
        <v>4</v>
      </c>
      <c r="E230" s="361" t="s">
        <v>988</v>
      </c>
      <c r="F230" s="362" t="s">
        <v>989</v>
      </c>
      <c r="G230" s="327" t="s">
        <v>356</v>
      </c>
      <c r="H230" s="325"/>
      <c r="I230" s="327">
        <v>1</v>
      </c>
      <c r="J230" s="361" t="s">
        <v>993</v>
      </c>
      <c r="K230" s="327" t="s">
        <v>531</v>
      </c>
      <c r="L230" s="348">
        <f t="shared" si="19"/>
        <v>641276.99999999988</v>
      </c>
      <c r="M230" s="373"/>
      <c r="N230" s="355" t="str">
        <f t="shared" si="16"/>
        <v>PR</v>
      </c>
      <c r="O230" s="347" t="s">
        <v>992</v>
      </c>
      <c r="P230" s="325"/>
      <c r="Q230" s="351"/>
      <c r="R230" s="351">
        <v>1.5</v>
      </c>
      <c r="S230" s="351">
        <v>5.8</v>
      </c>
      <c r="T230" s="351">
        <v>1.0529999999999999</v>
      </c>
      <c r="U230" s="329">
        <f>IF($N230=$N$4,IFERROR(INDEX(DanhMuc!$E$154:$E$165,MATCH(MID($B230,4,2),DanhMuc!$B$154:$B$165,0)),""),"")</f>
        <v>5700</v>
      </c>
      <c r="V230" s="325"/>
      <c r="W230" s="352" t="str">
        <f>+IF(AND($A230&lt;&gt;"",LEN($B230)&gt;=8,COUNTIF($B$6:$B230,$B230)=1),$W$5,"")</f>
        <v/>
      </c>
      <c r="X230" s="329" t="str">
        <f t="shared" si="21"/>
        <v>XF</v>
      </c>
      <c r="Y230" s="1128" t="s">
        <v>3380</v>
      </c>
      <c r="Z230" s="1128" t="s">
        <v>3381</v>
      </c>
      <c r="AA230" s="1128" t="s">
        <v>3384</v>
      </c>
      <c r="AC230" s="73"/>
    </row>
    <row r="231" spans="1:29" s="20" customFormat="1">
      <c r="A231" s="327" t="str">
        <f>IF(AND($B231&lt;&gt;"",$C231&lt;&gt;""),MAX($A$4:A230)+1,"")</f>
        <v/>
      </c>
      <c r="B231" s="361" t="s">
        <v>417</v>
      </c>
      <c r="C231" s="364"/>
      <c r="D231" s="327">
        <f>IF($B231="","",COUNTIF($B$6:$B231,$B231))</f>
        <v>5</v>
      </c>
      <c r="E231" s="363" t="s">
        <v>51</v>
      </c>
      <c r="F231" s="362" t="s">
        <v>354</v>
      </c>
      <c r="G231" s="327" t="s">
        <v>328</v>
      </c>
      <c r="H231" s="325"/>
      <c r="I231" s="327">
        <v>2</v>
      </c>
      <c r="J231" s="361" t="s">
        <v>995</v>
      </c>
      <c r="K231" s="327" t="s">
        <v>531</v>
      </c>
      <c r="L231" s="348">
        <f t="shared" si="19"/>
        <v>625442.99999999988</v>
      </c>
      <c r="M231" s="373"/>
      <c r="N231" s="355" t="str">
        <f t="shared" si="16"/>
        <v>PR</v>
      </c>
      <c r="O231" s="347" t="s">
        <v>992</v>
      </c>
      <c r="P231" s="325"/>
      <c r="Q231" s="351"/>
      <c r="R231" s="351">
        <v>1.5</v>
      </c>
      <c r="S231" s="351">
        <v>5.8</v>
      </c>
      <c r="T231" s="351">
        <v>1.0269999999999999</v>
      </c>
      <c r="U231" s="329">
        <f>IF($N231=$N$4,IFERROR(INDEX(DanhMuc!$E$154:$E$165,MATCH(MID($B231,4,2),DanhMuc!$B$154:$B$165,0)),""),"")</f>
        <v>5700</v>
      </c>
      <c r="V231" s="325"/>
      <c r="W231" s="352" t="str">
        <f>+IF(AND($A231&lt;&gt;"",LEN($B231)&gt;=8,COUNTIF($B$6:$B231,$B231)=1),$W$5,"")</f>
        <v/>
      </c>
      <c r="X231" s="329" t="str">
        <f t="shared" si="21"/>
        <v>XF</v>
      </c>
      <c r="Y231" s="1128" t="s">
        <v>3380</v>
      </c>
      <c r="Z231" s="1128" t="s">
        <v>3381</v>
      </c>
      <c r="AA231" s="1128" t="s">
        <v>3384</v>
      </c>
      <c r="AC231" s="73"/>
    </row>
    <row r="232" spans="1:29" s="20" customFormat="1">
      <c r="A232" s="327" t="str">
        <f>IF(AND($B232&lt;&gt;"",$C232&lt;&gt;""),MAX($A$4:A231)+1,"")</f>
        <v/>
      </c>
      <c r="B232" s="361" t="s">
        <v>417</v>
      </c>
      <c r="C232" s="364"/>
      <c r="D232" s="327">
        <f>IF($B232="","",COUNTIF($B$6:$B232,$B232))</f>
        <v>6</v>
      </c>
      <c r="E232" s="361" t="s">
        <v>55</v>
      </c>
      <c r="F232" s="362" t="s">
        <v>357</v>
      </c>
      <c r="G232" s="327" t="s">
        <v>329</v>
      </c>
      <c r="H232" s="325"/>
      <c r="I232" s="327">
        <v>10</v>
      </c>
      <c r="J232" s="361" t="s">
        <v>1451</v>
      </c>
      <c r="K232" s="327" t="s">
        <v>516</v>
      </c>
      <c r="L232" s="348">
        <f t="shared" si="19"/>
        <v>763686</v>
      </c>
      <c r="M232" s="373"/>
      <c r="N232" s="355" t="str">
        <f t="shared" si="16"/>
        <v>PR</v>
      </c>
      <c r="O232" s="347" t="s">
        <v>1626</v>
      </c>
      <c r="P232" s="325"/>
      <c r="Q232" s="351"/>
      <c r="R232" s="351">
        <v>1.5</v>
      </c>
      <c r="S232" s="351">
        <v>5.8</v>
      </c>
      <c r="T232" s="351">
        <v>1.254</v>
      </c>
      <c r="U232" s="329">
        <f>IF($N232=$N$4,IFERROR(INDEX(DanhMuc!$E$154:$E$165,MATCH(MID($B232,4,2),DanhMuc!$B$154:$B$165,0)),""),"")</f>
        <v>5700</v>
      </c>
      <c r="V232" s="325"/>
      <c r="W232" s="352" t="str">
        <f>+IF(AND($A232&lt;&gt;"",LEN($B232)&gt;=8,COUNTIF($B$6:$B232,$B232)=1),$W$5,"")</f>
        <v/>
      </c>
      <c r="X232" s="329" t="str">
        <f t="shared" si="21"/>
        <v>XF</v>
      </c>
      <c r="Y232" s="1128" t="s">
        <v>3380</v>
      </c>
      <c r="Z232" s="1128" t="s">
        <v>3381</v>
      </c>
      <c r="AA232" s="1128" t="s">
        <v>3384</v>
      </c>
      <c r="AC232" s="73"/>
    </row>
    <row r="233" spans="1:29" s="20" customFormat="1">
      <c r="A233" s="327" t="str">
        <f>IF(AND($B233&lt;&gt;"",$C233&lt;&gt;""),MAX($A$4:A232)+1,"")</f>
        <v/>
      </c>
      <c r="B233" s="361" t="s">
        <v>417</v>
      </c>
      <c r="C233" s="364"/>
      <c r="D233" s="327">
        <f>IF($B233="","",COUNTIF($B$6:$B233,$B233))</f>
        <v>7</v>
      </c>
      <c r="E233" s="361" t="s">
        <v>55</v>
      </c>
      <c r="F233" s="362" t="s">
        <v>357</v>
      </c>
      <c r="G233" s="327" t="s">
        <v>328</v>
      </c>
      <c r="H233" s="325"/>
      <c r="I233" s="327">
        <v>10</v>
      </c>
      <c r="J233" s="361" t="s">
        <v>1453</v>
      </c>
      <c r="K233" s="327" t="s">
        <v>516</v>
      </c>
      <c r="L233" s="348">
        <f t="shared" si="19"/>
        <v>763686</v>
      </c>
      <c r="M233" s="373"/>
      <c r="N233" s="355" t="str">
        <f t="shared" si="16"/>
        <v>PR</v>
      </c>
      <c r="O233" s="347" t="s">
        <v>1626</v>
      </c>
      <c r="P233" s="325"/>
      <c r="Q233" s="351"/>
      <c r="R233" s="351">
        <v>1.5</v>
      </c>
      <c r="S233" s="351">
        <v>5.8</v>
      </c>
      <c r="T233" s="351">
        <v>1.254</v>
      </c>
      <c r="U233" s="329">
        <f>IF($N233=$N$4,IFERROR(INDEX(DanhMuc!$E$154:$E$165,MATCH(MID($B233,4,2),DanhMuc!$B$154:$B$165,0)),""),"")</f>
        <v>5700</v>
      </c>
      <c r="V233" s="325"/>
      <c r="W233" s="352" t="str">
        <f>+IF(AND($A233&lt;&gt;"",LEN($B233)&gt;=8,COUNTIF($B$6:$B233,$B233)=1),$W$5,"")</f>
        <v/>
      </c>
      <c r="X233" s="329" t="str">
        <f t="shared" si="21"/>
        <v>XF</v>
      </c>
      <c r="Y233" s="1128" t="s">
        <v>3380</v>
      </c>
      <c r="Z233" s="1128" t="s">
        <v>3381</v>
      </c>
      <c r="AA233" s="1128" t="s">
        <v>3384</v>
      </c>
      <c r="AC233" s="73"/>
    </row>
    <row r="234" spans="1:29" s="20" customFormat="1">
      <c r="A234" s="327" t="str">
        <f>IF(AND($B234&lt;&gt;"",$C234&lt;&gt;""),MAX($A$4:A233)+1,"")</f>
        <v/>
      </c>
      <c r="B234" s="361" t="s">
        <v>417</v>
      </c>
      <c r="C234" s="364"/>
      <c r="D234" s="327">
        <f>IF($B234="","",COUNTIF($B$6:$B234,$B234))</f>
        <v>8</v>
      </c>
      <c r="E234" s="361" t="s">
        <v>2730</v>
      </c>
      <c r="F234" s="362" t="s">
        <v>2731</v>
      </c>
      <c r="G234" s="327" t="s">
        <v>329</v>
      </c>
      <c r="H234" s="325"/>
      <c r="I234" s="327">
        <v>10</v>
      </c>
      <c r="J234" s="361" t="s">
        <v>1451</v>
      </c>
      <c r="K234" s="327" t="s">
        <v>516</v>
      </c>
      <c r="L234" s="348">
        <f t="shared" si="19"/>
        <v>795963</v>
      </c>
      <c r="M234" s="373"/>
      <c r="N234" s="355" t="str">
        <f t="shared" si="16"/>
        <v>PR</v>
      </c>
      <c r="O234" s="347" t="s">
        <v>2722</v>
      </c>
      <c r="P234" s="325"/>
      <c r="Q234" s="351"/>
      <c r="R234" s="351">
        <v>1.5</v>
      </c>
      <c r="S234" s="351">
        <v>5.8</v>
      </c>
      <c r="T234" s="351">
        <v>1.3069999999999999</v>
      </c>
      <c r="U234" s="329">
        <f>IF($N234=$N$4,IFERROR(INDEX(DanhMuc!$E$154:$E$165,MATCH(MID($B234,4,2),DanhMuc!$B$154:$B$165,0)),""),"")</f>
        <v>5700</v>
      </c>
      <c r="V234" s="325"/>
      <c r="W234" s="352" t="str">
        <f>+IF(AND($A234&lt;&gt;"",LEN($B234)&gt;=8,COUNTIF($B$6:$B234,$B234)=1),$W$5,"")</f>
        <v/>
      </c>
      <c r="X234" s="329" t="str">
        <f t="shared" si="21"/>
        <v>XF</v>
      </c>
      <c r="Y234" s="1128" t="s">
        <v>3380</v>
      </c>
      <c r="Z234" s="1128" t="s">
        <v>3381</v>
      </c>
      <c r="AA234" s="1128" t="s">
        <v>3384</v>
      </c>
      <c r="AC234" s="73"/>
    </row>
    <row r="235" spans="1:29" s="20" customFormat="1">
      <c r="A235" s="327" t="str">
        <f>IF(AND($B235&lt;&gt;"",$C235&lt;&gt;""),MAX($A$4:A234)+1,"")</f>
        <v/>
      </c>
      <c r="B235" s="361" t="s">
        <v>417</v>
      </c>
      <c r="C235" s="364"/>
      <c r="D235" s="327">
        <f>IF($B235="","",COUNTIF($B$6:$B235,$B235))</f>
        <v>9</v>
      </c>
      <c r="E235" s="361" t="s">
        <v>2730</v>
      </c>
      <c r="F235" s="362" t="s">
        <v>2731</v>
      </c>
      <c r="G235" s="327" t="s">
        <v>328</v>
      </c>
      <c r="H235" s="325"/>
      <c r="I235" s="327">
        <v>10</v>
      </c>
      <c r="J235" s="361" t="s">
        <v>1453</v>
      </c>
      <c r="K235" s="327" t="s">
        <v>516</v>
      </c>
      <c r="L235" s="348">
        <f t="shared" si="19"/>
        <v>795963</v>
      </c>
      <c r="M235" s="373"/>
      <c r="N235" s="355" t="str">
        <f t="shared" si="16"/>
        <v>PR</v>
      </c>
      <c r="O235" s="347" t="s">
        <v>2722</v>
      </c>
      <c r="P235" s="325"/>
      <c r="Q235" s="351"/>
      <c r="R235" s="351">
        <v>1.5</v>
      </c>
      <c r="S235" s="351">
        <v>5.8</v>
      </c>
      <c r="T235" s="351">
        <v>1.3069999999999999</v>
      </c>
      <c r="U235" s="329">
        <f>IF($N235=$N$4,IFERROR(INDEX(DanhMuc!$E$154:$E$165,MATCH(MID($B235,4,2),DanhMuc!$B$154:$B$165,0)),""),"")</f>
        <v>5700</v>
      </c>
      <c r="V235" s="325"/>
      <c r="W235" s="352" t="str">
        <f>+IF(AND($A235&lt;&gt;"",LEN($B235)&gt;=8,COUNTIF($B$6:$B235,$B235)=1),$W$5,"")</f>
        <v/>
      </c>
      <c r="X235" s="329" t="str">
        <f t="shared" ref="X235:X237" si="22">IF(IFERROR(SEARCH("thép",$F235,1),0)&gt;=1,"T" &amp;MID($B235,4,2),MID($B235,4,2))</f>
        <v>XF</v>
      </c>
      <c r="Y235" s="1128" t="s">
        <v>3380</v>
      </c>
      <c r="Z235" s="1128" t="s">
        <v>3381</v>
      </c>
      <c r="AA235" s="1128" t="s">
        <v>3384</v>
      </c>
      <c r="AC235" s="73"/>
    </row>
    <row r="236" spans="1:29" s="20" customFormat="1">
      <c r="A236" s="327" t="str">
        <f>IF(AND($B236&lt;&gt;"",$C236&lt;&gt;""),MAX($A$4:A235)+1,"")</f>
        <v/>
      </c>
      <c r="B236" s="361" t="s">
        <v>417</v>
      </c>
      <c r="C236" s="364"/>
      <c r="D236" s="327">
        <f>IF($B236="","",COUNTIF($B$6:$B236,$B236))</f>
        <v>10</v>
      </c>
      <c r="E236" s="361" t="s">
        <v>2730</v>
      </c>
      <c r="F236" s="362" t="s">
        <v>2731</v>
      </c>
      <c r="G236" s="327" t="s">
        <v>329</v>
      </c>
      <c r="H236" s="325"/>
      <c r="I236" s="327">
        <v>10</v>
      </c>
      <c r="J236" s="361" t="s">
        <v>1451</v>
      </c>
      <c r="K236" s="327" t="s">
        <v>516</v>
      </c>
      <c r="L236" s="348">
        <f t="shared" si="19"/>
        <v>795963</v>
      </c>
      <c r="M236" s="373"/>
      <c r="N236" s="355" t="str">
        <f t="shared" si="16"/>
        <v>PR</v>
      </c>
      <c r="O236" s="347" t="s">
        <v>2721</v>
      </c>
      <c r="P236" s="325"/>
      <c r="Q236" s="351"/>
      <c r="R236" s="351">
        <v>1.5</v>
      </c>
      <c r="S236" s="351">
        <v>5.8</v>
      </c>
      <c r="T236" s="351">
        <v>1.3069999999999999</v>
      </c>
      <c r="U236" s="329">
        <f>IF($N236=$N$4,IFERROR(INDEX(DanhMuc!$E$154:$E$165,MATCH(MID($B236,4,2),DanhMuc!$B$154:$B$165,0)),""),"")</f>
        <v>5700</v>
      </c>
      <c r="V236" s="325"/>
      <c r="W236" s="352" t="str">
        <f>+IF(AND($A236&lt;&gt;"",LEN($B236)&gt;=8,COUNTIF($B$6:$B236,$B236)=1),$W$5,"")</f>
        <v/>
      </c>
      <c r="X236" s="329" t="str">
        <f t="shared" si="21"/>
        <v>XF</v>
      </c>
      <c r="Y236" s="1128" t="s">
        <v>3380</v>
      </c>
      <c r="Z236" s="1128" t="s">
        <v>3381</v>
      </c>
      <c r="AA236" s="1128" t="s">
        <v>3384</v>
      </c>
      <c r="AC236" s="73"/>
    </row>
    <row r="237" spans="1:29" s="20" customFormat="1">
      <c r="A237" s="327" t="str">
        <f>IF(AND($B237&lt;&gt;"",$C237&lt;&gt;""),MAX($A$4:A236)+1,"")</f>
        <v/>
      </c>
      <c r="B237" s="361" t="s">
        <v>417</v>
      </c>
      <c r="C237" s="364"/>
      <c r="D237" s="327">
        <f>IF($B237="","",COUNTIF($B$6:$B237,$B237))</f>
        <v>11</v>
      </c>
      <c r="E237" s="361" t="s">
        <v>2730</v>
      </c>
      <c r="F237" s="362" t="s">
        <v>2731</v>
      </c>
      <c r="G237" s="327" t="s">
        <v>328</v>
      </c>
      <c r="H237" s="325"/>
      <c r="I237" s="327">
        <v>10</v>
      </c>
      <c r="J237" s="361" t="s">
        <v>1453</v>
      </c>
      <c r="K237" s="327" t="s">
        <v>516</v>
      </c>
      <c r="L237" s="348">
        <f t="shared" si="19"/>
        <v>795963</v>
      </c>
      <c r="M237" s="373"/>
      <c r="N237" s="355" t="str">
        <f t="shared" si="16"/>
        <v>PR</v>
      </c>
      <c r="O237" s="347" t="s">
        <v>2721</v>
      </c>
      <c r="P237" s="325"/>
      <c r="Q237" s="351"/>
      <c r="R237" s="351">
        <v>1.5</v>
      </c>
      <c r="S237" s="351">
        <v>5.8</v>
      </c>
      <c r="T237" s="351">
        <v>1.3069999999999999</v>
      </c>
      <c r="U237" s="329">
        <f>IF($N237=$N$4,IFERROR(INDEX(DanhMuc!$E$154:$E$165,MATCH(MID($B237,4,2),DanhMuc!$B$154:$B$165,0)),""),"")</f>
        <v>5700</v>
      </c>
      <c r="V237" s="325"/>
      <c r="W237" s="352" t="str">
        <f>+IF(AND($A237&lt;&gt;"",LEN($B237)&gt;=8,COUNTIF($B$6:$B237,$B237)=1),$W$5,"")</f>
        <v/>
      </c>
      <c r="X237" s="329" t="str">
        <f t="shared" si="22"/>
        <v>XF</v>
      </c>
      <c r="Y237" s="1128" t="s">
        <v>3380</v>
      </c>
      <c r="Z237" s="1128" t="s">
        <v>3381</v>
      </c>
      <c r="AA237" s="1128" t="s">
        <v>3384</v>
      </c>
      <c r="AC237" s="73"/>
    </row>
    <row r="238" spans="1:29" s="20" customFormat="1">
      <c r="A238" s="327" t="str">
        <f>IF(AND($B238&lt;&gt;"",$C238&lt;&gt;""),MAX($A$4:A235)+1,"")</f>
        <v/>
      </c>
      <c r="B238" s="361" t="s">
        <v>417</v>
      </c>
      <c r="C238" s="364"/>
      <c r="D238" s="327">
        <f>IF($B238="","",COUNTIF($B$6:$B238,$B238))</f>
        <v>12</v>
      </c>
      <c r="E238" s="374" t="s">
        <v>54</v>
      </c>
      <c r="F238" s="375" t="s">
        <v>358</v>
      </c>
      <c r="G238" s="327" t="s">
        <v>328</v>
      </c>
      <c r="H238" s="376"/>
      <c r="I238" s="377">
        <v>5</v>
      </c>
      <c r="J238" s="361" t="s">
        <v>1453</v>
      </c>
      <c r="K238" s="327" t="s">
        <v>531</v>
      </c>
      <c r="L238" s="348">
        <f t="shared" si="19"/>
        <v>146769</v>
      </c>
      <c r="M238" s="373"/>
      <c r="N238" s="355" t="str">
        <f t="shared" si="16"/>
        <v>PR</v>
      </c>
      <c r="O238" s="347"/>
      <c r="P238" s="325"/>
      <c r="Q238" s="351"/>
      <c r="R238" s="351">
        <v>1.3</v>
      </c>
      <c r="S238" s="351">
        <v>5.8</v>
      </c>
      <c r="T238" s="351">
        <v>0.24099999999999999</v>
      </c>
      <c r="U238" s="329">
        <f>IF($N238=$N$4,IFERROR(INDEX(DanhMuc!$E$154:$E$165,MATCH(MID($B238,4,2),DanhMuc!$B$154:$B$165,0)),""),"")</f>
        <v>5700</v>
      </c>
      <c r="V238" s="376" t="s">
        <v>404</v>
      </c>
      <c r="W238" s="352" t="str">
        <f>+IF(AND($A238&lt;&gt;"",LEN($B238)&gt;=8,COUNTIF($B$6:$B238,$B238)=1),$W$5,"")</f>
        <v/>
      </c>
      <c r="X238" s="329" t="str">
        <f t="shared" ref="X238:X305" si="23">IF(IFERROR(SEARCH("thép",$F238,1),0)&gt;=1,"T" &amp;MID($B238,4,2),MID($B238,4,2))</f>
        <v>XF</v>
      </c>
      <c r="Y238" s="1128" t="s">
        <v>3380</v>
      </c>
      <c r="Z238" s="1128" t="s">
        <v>3381</v>
      </c>
      <c r="AA238" s="1128" t="s">
        <v>3384</v>
      </c>
      <c r="AC238" s="73"/>
    </row>
    <row r="239" spans="1:29" s="20" customFormat="1">
      <c r="A239" s="327" t="str">
        <f>IF(AND($B239&lt;&gt;"",$C239&lt;&gt;""),MAX($A$4:A238)+1,"")</f>
        <v/>
      </c>
      <c r="B239" s="361" t="s">
        <v>417</v>
      </c>
      <c r="C239" s="364"/>
      <c r="D239" s="327">
        <f>IF($B239="","",COUNTIF($B$6:$B239,$B239))</f>
        <v>13</v>
      </c>
      <c r="E239" s="378" t="s">
        <v>359</v>
      </c>
      <c r="F239" s="379" t="s">
        <v>360</v>
      </c>
      <c r="G239" s="380" t="s">
        <v>329</v>
      </c>
      <c r="H239" s="381"/>
      <c r="I239" s="380">
        <v>0</v>
      </c>
      <c r="J239" s="378" t="s">
        <v>81</v>
      </c>
      <c r="K239" s="380" t="s">
        <v>531</v>
      </c>
      <c r="L239" s="348">
        <f t="shared" si="19"/>
        <v>71253</v>
      </c>
      <c r="M239" s="373"/>
      <c r="N239" s="355" t="str">
        <f t="shared" si="16"/>
        <v>PR</v>
      </c>
      <c r="O239" s="347"/>
      <c r="P239" s="325"/>
      <c r="Q239" s="351"/>
      <c r="R239" s="351">
        <v>1.2</v>
      </c>
      <c r="S239" s="351">
        <v>5.8</v>
      </c>
      <c r="T239" s="351">
        <v>0.11700000000000001</v>
      </c>
      <c r="U239" s="329">
        <f>IF($N239=$N$4,IFERROR(INDEX(DanhMuc!$E$154:$E$165,MATCH(MID($B239,4,2),DanhMuc!$B$154:$B$165,0)),""),"")</f>
        <v>5700</v>
      </c>
      <c r="V239" s="325"/>
      <c r="W239" s="352" t="str">
        <f>+IF(AND($A239&lt;&gt;"",LEN($B239)&gt;=8,COUNTIF($B$6:$B239,$B239)=1),$W$5,"")</f>
        <v/>
      </c>
      <c r="X239" s="329" t="str">
        <f t="shared" si="23"/>
        <v>XF</v>
      </c>
      <c r="Y239" s="1128" t="s">
        <v>3380</v>
      </c>
      <c r="Z239" s="1128" t="s">
        <v>3381</v>
      </c>
      <c r="AA239" s="1128" t="s">
        <v>3384</v>
      </c>
      <c r="AC239" s="73"/>
    </row>
    <row r="240" spans="1:29" s="20" customFormat="1">
      <c r="A240" s="327" t="str">
        <f>IF(AND($B240&lt;&gt;"",$C240&lt;&gt;""),MAX($A$4:A239)+1,"")</f>
        <v/>
      </c>
      <c r="B240" s="361" t="s">
        <v>417</v>
      </c>
      <c r="C240" s="364"/>
      <c r="D240" s="327">
        <f>IF($B240="","",COUNTIF($B$6:$B240,$B240))</f>
        <v>14</v>
      </c>
      <c r="E240" s="361" t="s">
        <v>53</v>
      </c>
      <c r="F240" s="362" t="s">
        <v>361</v>
      </c>
      <c r="G240" s="327" t="s">
        <v>329</v>
      </c>
      <c r="H240" s="325"/>
      <c r="I240" s="327">
        <v>10</v>
      </c>
      <c r="J240" s="361" t="s">
        <v>1452</v>
      </c>
      <c r="K240" s="327" t="s">
        <v>531</v>
      </c>
      <c r="L240" s="348">
        <f t="shared" si="19"/>
        <v>135198</v>
      </c>
      <c r="M240" s="373"/>
      <c r="N240" s="355" t="str">
        <f t="shared" si="16"/>
        <v>PR</v>
      </c>
      <c r="O240" s="347">
        <v>10</v>
      </c>
      <c r="P240" s="325"/>
      <c r="Q240" s="351"/>
      <c r="R240" s="351">
        <v>1</v>
      </c>
      <c r="S240" s="351">
        <v>5.8</v>
      </c>
      <c r="T240" s="351">
        <v>0.222</v>
      </c>
      <c r="U240" s="329">
        <f>IF($N240=$N$4,IFERROR(INDEX(DanhMuc!$E$154:$E$165,MATCH(MID($B240,4,2),DanhMuc!$B$154:$B$165,0)),""),"")</f>
        <v>5700</v>
      </c>
      <c r="V240" s="325"/>
      <c r="W240" s="352" t="str">
        <f>+IF(AND($A240&lt;&gt;"",LEN($B240)&gt;=8,COUNTIF($B$6:$B240,$B240)=1),$W$5,"")</f>
        <v/>
      </c>
      <c r="X240" s="329" t="str">
        <f t="shared" si="23"/>
        <v>XF</v>
      </c>
      <c r="Y240" s="1128" t="s">
        <v>3380</v>
      </c>
      <c r="Z240" s="1128" t="s">
        <v>3381</v>
      </c>
      <c r="AA240" s="1128" t="s">
        <v>3384</v>
      </c>
      <c r="AC240" s="73"/>
    </row>
    <row r="241" spans="1:29" s="20" customFormat="1">
      <c r="A241" s="327" t="str">
        <f>IF(AND($B241&lt;&gt;"",$C241&lt;&gt;""),MAX($A$4:A240)+1,"")</f>
        <v/>
      </c>
      <c r="B241" s="361" t="s">
        <v>417</v>
      </c>
      <c r="C241" s="364"/>
      <c r="D241" s="327">
        <f>IF($B241="","",COUNTIF($B$6:$B241,$B241))</f>
        <v>15</v>
      </c>
      <c r="E241" s="361" t="s">
        <v>53</v>
      </c>
      <c r="F241" s="362" t="s">
        <v>361</v>
      </c>
      <c r="G241" s="327" t="s">
        <v>328</v>
      </c>
      <c r="H241" s="325"/>
      <c r="I241" s="327">
        <v>10</v>
      </c>
      <c r="J241" s="361" t="s">
        <v>1454</v>
      </c>
      <c r="K241" s="327" t="s">
        <v>531</v>
      </c>
      <c r="L241" s="348">
        <f t="shared" si="19"/>
        <v>135198</v>
      </c>
      <c r="M241" s="373"/>
      <c r="N241" s="355" t="str">
        <f t="shared" si="16"/>
        <v>PR</v>
      </c>
      <c r="O241" s="347">
        <v>10</v>
      </c>
      <c r="P241" s="325"/>
      <c r="Q241" s="351"/>
      <c r="R241" s="351">
        <v>1</v>
      </c>
      <c r="S241" s="351">
        <v>5.8</v>
      </c>
      <c r="T241" s="351">
        <v>0.222</v>
      </c>
      <c r="U241" s="329">
        <f>IF($N241=$N$4,IFERROR(INDEX(DanhMuc!$E$154:$E$165,MATCH(MID($B241,4,2),DanhMuc!$B$154:$B$165,0)),""),"")</f>
        <v>5700</v>
      </c>
      <c r="V241" s="325"/>
      <c r="W241" s="352" t="str">
        <f>+IF(AND($A241&lt;&gt;"",LEN($B241)&gt;=8,COUNTIF($B$6:$B241,$B241)=1),$W$5,"")</f>
        <v/>
      </c>
      <c r="X241" s="329" t="str">
        <f t="shared" si="23"/>
        <v>XF</v>
      </c>
      <c r="Y241" s="1128" t="s">
        <v>3380</v>
      </c>
      <c r="Z241" s="1128" t="s">
        <v>3381</v>
      </c>
      <c r="AA241" s="1128" t="s">
        <v>3384</v>
      </c>
      <c r="AC241" s="73"/>
    </row>
    <row r="242" spans="1:29" s="20" customFormat="1">
      <c r="A242" s="327" t="str">
        <f>IF(AND($B242&lt;&gt;"",$C242&lt;&gt;""),MAX($A$4:A241)+1,"")</f>
        <v/>
      </c>
      <c r="B242" s="361" t="s">
        <v>417</v>
      </c>
      <c r="C242" s="364"/>
      <c r="D242" s="327">
        <f>IF($B242="","",COUNTIF($B$6:$B242,$B242))</f>
        <v>16</v>
      </c>
      <c r="E242" s="361" t="s">
        <v>362</v>
      </c>
      <c r="F242" s="362" t="s">
        <v>363</v>
      </c>
      <c r="G242" s="327" t="s">
        <v>329</v>
      </c>
      <c r="H242" s="325"/>
      <c r="I242" s="327">
        <v>10</v>
      </c>
      <c r="J242" s="361" t="s">
        <v>1452</v>
      </c>
      <c r="K242" s="327" t="s">
        <v>531</v>
      </c>
      <c r="L242" s="348">
        <f t="shared" si="19"/>
        <v>167475</v>
      </c>
      <c r="M242" s="373"/>
      <c r="N242" s="355" t="str">
        <f t="shared" si="16"/>
        <v>PR</v>
      </c>
      <c r="O242" s="347">
        <v>19</v>
      </c>
      <c r="P242" s="325"/>
      <c r="Q242" s="351"/>
      <c r="R242" s="351">
        <v>1.2</v>
      </c>
      <c r="S242" s="351">
        <v>5.8</v>
      </c>
      <c r="T242" s="351">
        <v>0.27500000000000002</v>
      </c>
      <c r="U242" s="329">
        <f>IF($N242=$N$4,IFERROR(INDEX(DanhMuc!$E$154:$E$165,MATCH(MID($B242,4,2),DanhMuc!$B$154:$B$165,0)),""),"")</f>
        <v>5700</v>
      </c>
      <c r="V242" s="325"/>
      <c r="W242" s="352" t="str">
        <f>+IF(AND($A242&lt;&gt;"",LEN($B242)&gt;=8,COUNTIF($B$6:$B242,$B242)=1),$W$5,"")</f>
        <v/>
      </c>
      <c r="X242" s="329" t="str">
        <f t="shared" si="23"/>
        <v>XF</v>
      </c>
      <c r="Y242" s="1128" t="s">
        <v>3380</v>
      </c>
      <c r="Z242" s="1128" t="s">
        <v>3381</v>
      </c>
      <c r="AA242" s="1128" t="s">
        <v>3384</v>
      </c>
      <c r="AC242" s="73"/>
    </row>
    <row r="243" spans="1:29" s="20" customFormat="1">
      <c r="A243" s="327" t="str">
        <f>IF(AND($B243&lt;&gt;"",$C243&lt;&gt;""),MAX($A$4:A242)+1,"")</f>
        <v/>
      </c>
      <c r="B243" s="361" t="s">
        <v>417</v>
      </c>
      <c r="C243" s="364"/>
      <c r="D243" s="327">
        <f>IF($B243="","",COUNTIF($B$6:$B243,$B243))</f>
        <v>17</v>
      </c>
      <c r="E243" s="361" t="s">
        <v>362</v>
      </c>
      <c r="F243" s="362" t="s">
        <v>363</v>
      </c>
      <c r="G243" s="327" t="s">
        <v>328</v>
      </c>
      <c r="H243" s="325"/>
      <c r="I243" s="327">
        <v>10</v>
      </c>
      <c r="J243" s="361" t="s">
        <v>1454</v>
      </c>
      <c r="K243" s="327" t="s">
        <v>531</v>
      </c>
      <c r="L243" s="348">
        <f t="shared" si="19"/>
        <v>167475</v>
      </c>
      <c r="M243" s="373"/>
      <c r="N243" s="355" t="str">
        <f t="shared" si="16"/>
        <v>PR</v>
      </c>
      <c r="O243" s="347">
        <v>19</v>
      </c>
      <c r="P243" s="325"/>
      <c r="Q243" s="351"/>
      <c r="R243" s="351">
        <v>1.2</v>
      </c>
      <c r="S243" s="351">
        <v>5.8</v>
      </c>
      <c r="T243" s="351">
        <v>0.27500000000000002</v>
      </c>
      <c r="U243" s="329">
        <f>IF($N243=$N$4,IFERROR(INDEX(DanhMuc!$E$154:$E$165,MATCH(MID($B243,4,2),DanhMuc!$B$154:$B$165,0)),""),"")</f>
        <v>5700</v>
      </c>
      <c r="V243" s="325"/>
      <c r="W243" s="352" t="str">
        <f>+IF(AND($A243&lt;&gt;"",LEN($B243)&gt;=8,COUNTIF($B$6:$B243,$B243)=1),$W$5,"")</f>
        <v/>
      </c>
      <c r="X243" s="329" t="str">
        <f t="shared" si="23"/>
        <v>XF</v>
      </c>
      <c r="Y243" s="1128" t="s">
        <v>3380</v>
      </c>
      <c r="Z243" s="1128" t="s">
        <v>3381</v>
      </c>
      <c r="AA243" s="1128" t="s">
        <v>3384</v>
      </c>
      <c r="AC243" s="73"/>
    </row>
    <row r="244" spans="1:29" s="20" customFormat="1" ht="39">
      <c r="A244" s="327">
        <f>IF(AND($B244&lt;&gt;"",$C244&lt;&gt;""),MAX($A$4:A243)+1,"")</f>
        <v>24</v>
      </c>
      <c r="B244" s="359" t="s">
        <v>418</v>
      </c>
      <c r="C244" s="360" t="s">
        <v>2087</v>
      </c>
      <c r="D244" s="327">
        <f>IF($B244="","",COUNTIF($B$6:$B244,$B244))</f>
        <v>1</v>
      </c>
      <c r="E244" s="361" t="s">
        <v>50</v>
      </c>
      <c r="F244" s="362" t="s">
        <v>355</v>
      </c>
      <c r="G244" s="327" t="s">
        <v>330</v>
      </c>
      <c r="H244" s="325"/>
      <c r="I244" s="327">
        <v>1</v>
      </c>
      <c r="J244" s="361" t="s">
        <v>81</v>
      </c>
      <c r="K244" s="327" t="s">
        <v>531</v>
      </c>
      <c r="L244" s="348">
        <f t="shared" si="19"/>
        <v>1892163.0000000002</v>
      </c>
      <c r="M244" s="373"/>
      <c r="N244" s="355" t="str">
        <f t="shared" si="16"/>
        <v>PR</v>
      </c>
      <c r="O244" s="347"/>
      <c r="P244" s="325"/>
      <c r="Q244" s="351"/>
      <c r="R244" s="351">
        <v>3</v>
      </c>
      <c r="S244" s="351">
        <v>5.8</v>
      </c>
      <c r="T244" s="351">
        <v>3.1070000000000002</v>
      </c>
      <c r="U244" s="329">
        <f>IF($N244=$N$4,IFERROR(INDEX(DanhMuc!$E$154:$E$165,MATCH(MID($B244,4,2),DanhMuc!$B$154:$B$165,0)),""),"")</f>
        <v>5700</v>
      </c>
      <c r="V244" s="325"/>
      <c r="W244" s="352" t="str">
        <f>+IF(AND($A244&lt;&gt;"",LEN($B244)&gt;=8,COUNTIF($B$6:$B244,$B244)=1),$W$5,"")</f>
        <v>DMCua</v>
      </c>
      <c r="X244" s="329" t="str">
        <f t="shared" si="23"/>
        <v>XF</v>
      </c>
      <c r="Y244" s="1128" t="s">
        <v>3380</v>
      </c>
      <c r="Z244" s="1128" t="s">
        <v>3381</v>
      </c>
      <c r="AA244" s="1128" t="s">
        <v>3384</v>
      </c>
      <c r="AC244" s="73"/>
    </row>
    <row r="245" spans="1:29" s="20" customFormat="1">
      <c r="A245" s="327" t="str">
        <f>IF(AND($B245&lt;&gt;"",$C245&lt;&gt;""),MAX($A$4:A244)+1,"")</f>
        <v/>
      </c>
      <c r="B245" s="361" t="s">
        <v>418</v>
      </c>
      <c r="C245" s="364"/>
      <c r="D245" s="327">
        <f>IF($B245="","",COUNTIF($B$6:$B245,$B245))</f>
        <v>2</v>
      </c>
      <c r="E245" s="361" t="s">
        <v>52</v>
      </c>
      <c r="F245" s="362" t="s">
        <v>990</v>
      </c>
      <c r="G245" s="327" t="s">
        <v>356</v>
      </c>
      <c r="H245" s="325"/>
      <c r="I245" s="327">
        <v>1</v>
      </c>
      <c r="J245" s="361" t="s">
        <v>81</v>
      </c>
      <c r="K245" s="327" t="s">
        <v>531</v>
      </c>
      <c r="L245" s="348">
        <f t="shared" si="19"/>
        <v>822759</v>
      </c>
      <c r="M245" s="373"/>
      <c r="N245" s="355" t="str">
        <f t="shared" si="16"/>
        <v>PR</v>
      </c>
      <c r="O245" s="347" t="s">
        <v>991</v>
      </c>
      <c r="P245" s="325"/>
      <c r="Q245" s="351"/>
      <c r="R245" s="351">
        <v>1.5</v>
      </c>
      <c r="S245" s="351">
        <v>5.8</v>
      </c>
      <c r="T245" s="351">
        <v>1.351</v>
      </c>
      <c r="U245" s="329">
        <f>IF($N245=$N$4,IFERROR(INDEX(DanhMuc!$E$154:$E$165,MATCH(MID($B245,4,2),DanhMuc!$B$154:$B$165,0)),""),"")</f>
        <v>5700</v>
      </c>
      <c r="V245" s="325"/>
      <c r="W245" s="352" t="str">
        <f>+IF(AND($A245&lt;&gt;"",LEN($B245)&gt;=8,COUNTIF($B$6:$B245,$B245)=1),$W$5,"")</f>
        <v/>
      </c>
      <c r="X245" s="329" t="str">
        <f t="shared" si="23"/>
        <v>XF</v>
      </c>
      <c r="Y245" s="1128" t="s">
        <v>3380</v>
      </c>
      <c r="Z245" s="1128" t="s">
        <v>3381</v>
      </c>
      <c r="AA245" s="1128" t="s">
        <v>3384</v>
      </c>
      <c r="AC245" s="73"/>
    </row>
    <row r="246" spans="1:29" s="20" customFormat="1">
      <c r="A246" s="327" t="str">
        <f>IF(AND($B246&lt;&gt;"",$C246&lt;&gt;""),MAX($A$4:A245)+1,"")</f>
        <v/>
      </c>
      <c r="B246" s="361" t="s">
        <v>418</v>
      </c>
      <c r="C246" s="364"/>
      <c r="D246" s="327">
        <f>IF($B246="","",COUNTIF($B$6:$B246,$B246))</f>
        <v>3</v>
      </c>
      <c r="E246" s="363" t="s">
        <v>51</v>
      </c>
      <c r="F246" s="362" t="s">
        <v>354</v>
      </c>
      <c r="G246" s="327" t="s">
        <v>328</v>
      </c>
      <c r="H246" s="325"/>
      <c r="I246" s="327">
        <v>2</v>
      </c>
      <c r="J246" s="361" t="s">
        <v>994</v>
      </c>
      <c r="K246" s="327" t="s">
        <v>531</v>
      </c>
      <c r="L246" s="348">
        <f t="shared" si="19"/>
        <v>625442.99999999988</v>
      </c>
      <c r="M246" s="373"/>
      <c r="N246" s="355" t="str">
        <f t="shared" si="16"/>
        <v>PR</v>
      </c>
      <c r="O246" s="347" t="s">
        <v>991</v>
      </c>
      <c r="P246" s="325"/>
      <c r="Q246" s="351"/>
      <c r="R246" s="351">
        <v>1.5</v>
      </c>
      <c r="S246" s="351">
        <v>5.8</v>
      </c>
      <c r="T246" s="351">
        <v>1.0269999999999999</v>
      </c>
      <c r="U246" s="329">
        <f>IF($N246=$N$4,IFERROR(INDEX(DanhMuc!$E$154:$E$165,MATCH(MID($B246,4,2),DanhMuc!$B$154:$B$165,0)),""),"")</f>
        <v>5700</v>
      </c>
      <c r="V246" s="325"/>
      <c r="W246" s="352" t="str">
        <f>+IF(AND($A246&lt;&gt;"",LEN($B246)&gt;=8,COUNTIF($B$6:$B246,$B246)=1),$W$5,"")</f>
        <v/>
      </c>
      <c r="X246" s="329" t="str">
        <f t="shared" si="23"/>
        <v>XF</v>
      </c>
      <c r="Y246" s="1128" t="s">
        <v>3380</v>
      </c>
      <c r="Z246" s="1128" t="s">
        <v>3381</v>
      </c>
      <c r="AA246" s="1128" t="s">
        <v>3384</v>
      </c>
      <c r="AC246" s="73"/>
    </row>
    <row r="247" spans="1:29" s="20" customFormat="1">
      <c r="A247" s="327" t="str">
        <f>IF(AND($B247&lt;&gt;"",$C247&lt;&gt;""),MAX($A$4:A246)+1,"")</f>
        <v/>
      </c>
      <c r="B247" s="361" t="s">
        <v>418</v>
      </c>
      <c r="C247" s="364"/>
      <c r="D247" s="327">
        <f>IF($B247="","",COUNTIF($B$6:$B247,$B247))</f>
        <v>4</v>
      </c>
      <c r="E247" s="361" t="s">
        <v>988</v>
      </c>
      <c r="F247" s="362" t="s">
        <v>989</v>
      </c>
      <c r="G247" s="327" t="s">
        <v>356</v>
      </c>
      <c r="H247" s="325"/>
      <c r="I247" s="327">
        <v>1</v>
      </c>
      <c r="J247" s="361" t="s">
        <v>993</v>
      </c>
      <c r="K247" s="327" t="s">
        <v>531</v>
      </c>
      <c r="L247" s="348">
        <f t="shared" si="19"/>
        <v>641276.99999999988</v>
      </c>
      <c r="M247" s="373"/>
      <c r="N247" s="355" t="str">
        <f t="shared" si="16"/>
        <v>PR</v>
      </c>
      <c r="O247" s="347" t="s">
        <v>992</v>
      </c>
      <c r="P247" s="325"/>
      <c r="Q247" s="351"/>
      <c r="R247" s="351">
        <v>1.5</v>
      </c>
      <c r="S247" s="351">
        <v>5.8</v>
      </c>
      <c r="T247" s="351">
        <v>1.0529999999999999</v>
      </c>
      <c r="U247" s="329">
        <f>IF($N247=$N$4,IFERROR(INDEX(DanhMuc!$E$154:$E$165,MATCH(MID($B247,4,2),DanhMuc!$B$154:$B$165,0)),""),"")</f>
        <v>5700</v>
      </c>
      <c r="V247" s="325"/>
      <c r="W247" s="352" t="str">
        <f>+IF(AND($A247&lt;&gt;"",LEN($B247)&gt;=8,COUNTIF($B$6:$B247,$B247)=1),$W$5,"")</f>
        <v/>
      </c>
      <c r="X247" s="329" t="str">
        <f t="shared" si="23"/>
        <v>XF</v>
      </c>
      <c r="Y247" s="1128" t="s">
        <v>3380</v>
      </c>
      <c r="Z247" s="1128" t="s">
        <v>3381</v>
      </c>
      <c r="AA247" s="1128" t="s">
        <v>3384</v>
      </c>
      <c r="AC247" s="73"/>
    </row>
    <row r="248" spans="1:29" s="20" customFormat="1">
      <c r="A248" s="327" t="str">
        <f>IF(AND($B248&lt;&gt;"",$C248&lt;&gt;""),MAX($A$4:A247)+1,"")</f>
        <v/>
      </c>
      <c r="B248" s="361" t="s">
        <v>418</v>
      </c>
      <c r="C248" s="364"/>
      <c r="D248" s="327">
        <f>IF($B248="","",COUNTIF($B$6:$B248,$B248))</f>
        <v>5</v>
      </c>
      <c r="E248" s="363" t="s">
        <v>51</v>
      </c>
      <c r="F248" s="362" t="s">
        <v>354</v>
      </c>
      <c r="G248" s="327" t="s">
        <v>328</v>
      </c>
      <c r="H248" s="325"/>
      <c r="I248" s="327">
        <v>2</v>
      </c>
      <c r="J248" s="361" t="s">
        <v>995</v>
      </c>
      <c r="K248" s="327" t="s">
        <v>531</v>
      </c>
      <c r="L248" s="348">
        <f t="shared" si="19"/>
        <v>625442.99999999988</v>
      </c>
      <c r="M248" s="373"/>
      <c r="N248" s="355" t="str">
        <f t="shared" si="16"/>
        <v>PR</v>
      </c>
      <c r="O248" s="347" t="s">
        <v>992</v>
      </c>
      <c r="P248" s="325"/>
      <c r="Q248" s="351"/>
      <c r="R248" s="351">
        <v>1.5</v>
      </c>
      <c r="S248" s="351">
        <v>5.8</v>
      </c>
      <c r="T248" s="351">
        <v>1.0269999999999999</v>
      </c>
      <c r="U248" s="329">
        <f>IF($N248=$N$4,IFERROR(INDEX(DanhMuc!$E$154:$E$165,MATCH(MID($B248,4,2),DanhMuc!$B$154:$B$165,0)),""),"")</f>
        <v>5700</v>
      </c>
      <c r="V248" s="325"/>
      <c r="W248" s="352" t="str">
        <f>+IF(AND($A248&lt;&gt;"",LEN($B248)&gt;=8,COUNTIF($B$6:$B248,$B248)=1),$W$5,"")</f>
        <v/>
      </c>
      <c r="X248" s="329" t="str">
        <f t="shared" si="23"/>
        <v>XF</v>
      </c>
      <c r="Y248" s="1128" t="s">
        <v>3380</v>
      </c>
      <c r="Z248" s="1128" t="s">
        <v>3381</v>
      </c>
      <c r="AA248" s="1128" t="s">
        <v>3384</v>
      </c>
      <c r="AC248" s="73"/>
    </row>
    <row r="249" spans="1:29" s="20" customFormat="1">
      <c r="A249" s="327" t="str">
        <f>IF(AND($B249&lt;&gt;"",$C249&lt;&gt;""),MAX($A$4:A248)+1,"")</f>
        <v/>
      </c>
      <c r="B249" s="361" t="s">
        <v>418</v>
      </c>
      <c r="C249" s="364"/>
      <c r="D249" s="327">
        <f>IF($B249="","",COUNTIF($B$6:$B249,$B249))</f>
        <v>6</v>
      </c>
      <c r="E249" s="361" t="s">
        <v>55</v>
      </c>
      <c r="F249" s="362" t="s">
        <v>357</v>
      </c>
      <c r="G249" s="327" t="s">
        <v>329</v>
      </c>
      <c r="H249" s="325"/>
      <c r="I249" s="327">
        <v>12</v>
      </c>
      <c r="J249" s="361" t="s">
        <v>1451</v>
      </c>
      <c r="K249" s="327" t="s">
        <v>516</v>
      </c>
      <c r="L249" s="348">
        <f t="shared" si="19"/>
        <v>763686</v>
      </c>
      <c r="M249" s="373"/>
      <c r="N249" s="355" t="str">
        <f t="shared" si="16"/>
        <v>PR</v>
      </c>
      <c r="O249" s="347" t="s">
        <v>1626</v>
      </c>
      <c r="P249" s="325"/>
      <c r="Q249" s="351"/>
      <c r="R249" s="351">
        <v>1.5</v>
      </c>
      <c r="S249" s="351">
        <v>5.8</v>
      </c>
      <c r="T249" s="351">
        <v>1.254</v>
      </c>
      <c r="U249" s="329">
        <f>IF($N249=$N$4,IFERROR(INDEX(DanhMuc!$E$154:$E$165,MATCH(MID($B249,4,2),DanhMuc!$B$154:$B$165,0)),""),"")</f>
        <v>5700</v>
      </c>
      <c r="V249" s="325"/>
      <c r="W249" s="352" t="str">
        <f>+IF(AND($A249&lt;&gt;"",LEN($B249)&gt;=8,COUNTIF($B$6:$B249,$B249)=1),$W$5,"")</f>
        <v/>
      </c>
      <c r="X249" s="329" t="str">
        <f t="shared" si="23"/>
        <v>XF</v>
      </c>
      <c r="Y249" s="1128" t="s">
        <v>3380</v>
      </c>
      <c r="Z249" s="1128" t="s">
        <v>3381</v>
      </c>
      <c r="AA249" s="1128" t="s">
        <v>3384</v>
      </c>
      <c r="AC249" s="73"/>
    </row>
    <row r="250" spans="1:29" s="20" customFormat="1">
      <c r="A250" s="327" t="str">
        <f>IF(AND($B250&lt;&gt;"",$C250&lt;&gt;""),MAX($A$4:A249)+1,"")</f>
        <v/>
      </c>
      <c r="B250" s="361" t="s">
        <v>418</v>
      </c>
      <c r="C250" s="364"/>
      <c r="D250" s="327">
        <f>IF($B250="","",COUNTIF($B$6:$B250,$B250))</f>
        <v>7</v>
      </c>
      <c r="E250" s="361" t="s">
        <v>55</v>
      </c>
      <c r="F250" s="362" t="s">
        <v>357</v>
      </c>
      <c r="G250" s="327" t="s">
        <v>328</v>
      </c>
      <c r="H250" s="325"/>
      <c r="I250" s="327">
        <v>12</v>
      </c>
      <c r="J250" s="361" t="s">
        <v>1453</v>
      </c>
      <c r="K250" s="327" t="s">
        <v>516</v>
      </c>
      <c r="L250" s="348">
        <f t="shared" si="19"/>
        <v>763686</v>
      </c>
      <c r="M250" s="373"/>
      <c r="N250" s="355" t="str">
        <f t="shared" ref="N250:N260" si="24">+$N$4</f>
        <v>PR</v>
      </c>
      <c r="O250" s="347" t="s">
        <v>1626</v>
      </c>
      <c r="P250" s="325"/>
      <c r="Q250" s="351"/>
      <c r="R250" s="351">
        <v>1.5</v>
      </c>
      <c r="S250" s="351">
        <v>5.8</v>
      </c>
      <c r="T250" s="351">
        <v>1.254</v>
      </c>
      <c r="U250" s="329">
        <f>IF($N250=$N$4,IFERROR(INDEX(DanhMuc!$E$154:$E$165,MATCH(MID($B250,4,2),DanhMuc!$B$154:$B$165,0)),""),"")</f>
        <v>5700</v>
      </c>
      <c r="V250" s="325"/>
      <c r="W250" s="352" t="str">
        <f>+IF(AND($A250&lt;&gt;"",LEN($B250)&gt;=8,COUNTIF($B$6:$B250,$B250)=1),$W$5,"")</f>
        <v/>
      </c>
      <c r="X250" s="329" t="str">
        <f t="shared" si="23"/>
        <v>XF</v>
      </c>
      <c r="Y250" s="1128" t="s">
        <v>3380</v>
      </c>
      <c r="Z250" s="1128" t="s">
        <v>3381</v>
      </c>
      <c r="AA250" s="1128" t="s">
        <v>3384</v>
      </c>
      <c r="AC250" s="73"/>
    </row>
    <row r="251" spans="1:29" s="20" customFormat="1">
      <c r="A251" s="327" t="str">
        <f>IF(AND($B251&lt;&gt;"",$C251&lt;&gt;""),MAX($A$4:A250)+1,"")</f>
        <v/>
      </c>
      <c r="B251" s="361" t="s">
        <v>418</v>
      </c>
      <c r="C251" s="364"/>
      <c r="D251" s="327">
        <f>IF($B251="","",COUNTIF($B$6:$B251,$B251))</f>
        <v>8</v>
      </c>
      <c r="E251" s="361" t="s">
        <v>2730</v>
      </c>
      <c r="F251" s="362" t="s">
        <v>2731</v>
      </c>
      <c r="G251" s="327" t="s">
        <v>329</v>
      </c>
      <c r="H251" s="325"/>
      <c r="I251" s="327">
        <v>12</v>
      </c>
      <c r="J251" s="361" t="s">
        <v>1451</v>
      </c>
      <c r="K251" s="327" t="s">
        <v>516</v>
      </c>
      <c r="L251" s="348">
        <f t="shared" si="19"/>
        <v>795963</v>
      </c>
      <c r="M251" s="373"/>
      <c r="N251" s="355" t="str">
        <f t="shared" si="16"/>
        <v>PR</v>
      </c>
      <c r="O251" s="347" t="s">
        <v>2722</v>
      </c>
      <c r="P251" s="325"/>
      <c r="Q251" s="351"/>
      <c r="R251" s="351">
        <v>1.5</v>
      </c>
      <c r="S251" s="351">
        <v>5.8</v>
      </c>
      <c r="T251" s="351">
        <v>1.3069999999999999</v>
      </c>
      <c r="U251" s="329">
        <f>IF($N251=$N$4,IFERROR(INDEX(DanhMuc!$E$154:$E$165,MATCH(MID($B251,4,2),DanhMuc!$B$154:$B$165,0)),""),"")</f>
        <v>5700</v>
      </c>
      <c r="V251" s="325"/>
      <c r="W251" s="352" t="str">
        <f>+IF(AND($A251&lt;&gt;"",LEN($B251)&gt;=8,COUNTIF($B$6:$B251,$B251)=1),$W$5,"")</f>
        <v/>
      </c>
      <c r="X251" s="329" t="str">
        <f t="shared" si="23"/>
        <v>XF</v>
      </c>
      <c r="Y251" s="1128" t="s">
        <v>3380</v>
      </c>
      <c r="Z251" s="1128" t="s">
        <v>3381</v>
      </c>
      <c r="AA251" s="1128" t="s">
        <v>3384</v>
      </c>
      <c r="AC251" s="73"/>
    </row>
    <row r="252" spans="1:29" s="20" customFormat="1">
      <c r="A252" s="327" t="str">
        <f>IF(AND($B252&lt;&gt;"",$C252&lt;&gt;""),MAX($A$4:A251)+1,"")</f>
        <v/>
      </c>
      <c r="B252" s="361" t="s">
        <v>418</v>
      </c>
      <c r="C252" s="364"/>
      <c r="D252" s="327">
        <f>IF($B252="","",COUNTIF($B$6:$B252,$B252))</f>
        <v>9</v>
      </c>
      <c r="E252" s="361" t="s">
        <v>2730</v>
      </c>
      <c r="F252" s="362" t="s">
        <v>2731</v>
      </c>
      <c r="G252" s="327" t="s">
        <v>328</v>
      </c>
      <c r="H252" s="325"/>
      <c r="I252" s="327">
        <v>12</v>
      </c>
      <c r="J252" s="361" t="s">
        <v>1453</v>
      </c>
      <c r="K252" s="327" t="s">
        <v>516</v>
      </c>
      <c r="L252" s="348">
        <f t="shared" si="19"/>
        <v>795963</v>
      </c>
      <c r="M252" s="373"/>
      <c r="N252" s="355" t="str">
        <f t="shared" si="24"/>
        <v>PR</v>
      </c>
      <c r="O252" s="347" t="s">
        <v>2722</v>
      </c>
      <c r="P252" s="325"/>
      <c r="Q252" s="351"/>
      <c r="R252" s="351">
        <v>1.5</v>
      </c>
      <c r="S252" s="351">
        <v>5.8</v>
      </c>
      <c r="T252" s="351">
        <v>1.3069999999999999</v>
      </c>
      <c r="U252" s="329">
        <f>IF($N252=$N$4,IFERROR(INDEX(DanhMuc!$E$154:$E$165,MATCH(MID($B252,4,2),DanhMuc!$B$154:$B$165,0)),""),"")</f>
        <v>5700</v>
      </c>
      <c r="V252" s="325"/>
      <c r="W252" s="352" t="str">
        <f>+IF(AND($A252&lt;&gt;"",LEN($B252)&gt;=8,COUNTIF($B$6:$B252,$B252)=1),$W$5,"")</f>
        <v/>
      </c>
      <c r="X252" s="329" t="str">
        <f t="shared" si="23"/>
        <v>XF</v>
      </c>
      <c r="Y252" s="1128" t="s">
        <v>3380</v>
      </c>
      <c r="Z252" s="1128" t="s">
        <v>3381</v>
      </c>
      <c r="AA252" s="1128" t="s">
        <v>3384</v>
      </c>
      <c r="AC252" s="73"/>
    </row>
    <row r="253" spans="1:29" s="20" customFormat="1">
      <c r="A253" s="327" t="str">
        <f>IF(AND($B253&lt;&gt;"",$C253&lt;&gt;""),MAX($A$4:A252)+1,"")</f>
        <v/>
      </c>
      <c r="B253" s="361" t="s">
        <v>418</v>
      </c>
      <c r="C253" s="364"/>
      <c r="D253" s="327">
        <f>IF($B253="","",COUNTIF($B$6:$B253,$B253))</f>
        <v>10</v>
      </c>
      <c r="E253" s="361" t="s">
        <v>2730</v>
      </c>
      <c r="F253" s="362" t="s">
        <v>2731</v>
      </c>
      <c r="G253" s="327" t="s">
        <v>329</v>
      </c>
      <c r="H253" s="325"/>
      <c r="I253" s="327">
        <v>12</v>
      </c>
      <c r="J253" s="361" t="s">
        <v>1451</v>
      </c>
      <c r="K253" s="327" t="s">
        <v>516</v>
      </c>
      <c r="L253" s="348">
        <f t="shared" si="19"/>
        <v>795963</v>
      </c>
      <c r="M253" s="373"/>
      <c r="N253" s="355" t="str">
        <f t="shared" si="16"/>
        <v>PR</v>
      </c>
      <c r="O253" s="347" t="s">
        <v>2721</v>
      </c>
      <c r="P253" s="325"/>
      <c r="Q253" s="351"/>
      <c r="R253" s="351">
        <v>1.5</v>
      </c>
      <c r="S253" s="351">
        <v>5.8</v>
      </c>
      <c r="T253" s="351">
        <v>1.3069999999999999</v>
      </c>
      <c r="U253" s="329">
        <f>IF($N253=$N$4,IFERROR(INDEX(DanhMuc!$E$154:$E$165,MATCH(MID($B253,4,2),DanhMuc!$B$154:$B$165,0)),""),"")</f>
        <v>5700</v>
      </c>
      <c r="V253" s="325"/>
      <c r="W253" s="352" t="str">
        <f>+IF(AND($A253&lt;&gt;"",LEN($B253)&gt;=8,COUNTIF($B$6:$B253,$B253)=1),$W$5,"")</f>
        <v/>
      </c>
      <c r="X253" s="329" t="str">
        <f t="shared" si="23"/>
        <v>XF</v>
      </c>
      <c r="Y253" s="1128" t="s">
        <v>3380</v>
      </c>
      <c r="Z253" s="1128" t="s">
        <v>3381</v>
      </c>
      <c r="AA253" s="1128" t="s">
        <v>3384</v>
      </c>
      <c r="AC253" s="73"/>
    </row>
    <row r="254" spans="1:29" s="20" customFormat="1">
      <c r="A254" s="327" t="str">
        <f>IF(AND($B254&lt;&gt;"",$C254&lt;&gt;""),MAX($A$4:A253)+1,"")</f>
        <v/>
      </c>
      <c r="B254" s="361" t="s">
        <v>418</v>
      </c>
      <c r="C254" s="364"/>
      <c r="D254" s="327">
        <f>IF($B254="","",COUNTIF($B$6:$B254,$B254))</f>
        <v>11</v>
      </c>
      <c r="E254" s="361" t="s">
        <v>2730</v>
      </c>
      <c r="F254" s="362" t="s">
        <v>2731</v>
      </c>
      <c r="G254" s="327" t="s">
        <v>328</v>
      </c>
      <c r="H254" s="325"/>
      <c r="I254" s="327">
        <v>12</v>
      </c>
      <c r="J254" s="361" t="s">
        <v>1453</v>
      </c>
      <c r="K254" s="327" t="s">
        <v>516</v>
      </c>
      <c r="L254" s="348">
        <f t="shared" si="19"/>
        <v>795963</v>
      </c>
      <c r="M254" s="373"/>
      <c r="N254" s="355" t="str">
        <f t="shared" si="24"/>
        <v>PR</v>
      </c>
      <c r="O254" s="347" t="s">
        <v>2721</v>
      </c>
      <c r="P254" s="325"/>
      <c r="Q254" s="351"/>
      <c r="R254" s="351">
        <v>1.5</v>
      </c>
      <c r="S254" s="351">
        <v>5.8</v>
      </c>
      <c r="T254" s="351">
        <v>1.3069999999999999</v>
      </c>
      <c r="U254" s="329">
        <f>IF($N254=$N$4,IFERROR(INDEX(DanhMuc!$E$154:$E$165,MATCH(MID($B254,4,2),DanhMuc!$B$154:$B$165,0)),""),"")</f>
        <v>5700</v>
      </c>
      <c r="V254" s="325"/>
      <c r="W254" s="352" t="str">
        <f>+IF(AND($A254&lt;&gt;"",LEN($B254)&gt;=8,COUNTIF($B$6:$B254,$B254)=1),$W$5,"")</f>
        <v/>
      </c>
      <c r="X254" s="329" t="str">
        <f t="shared" si="23"/>
        <v>XF</v>
      </c>
      <c r="Y254" s="1128" t="s">
        <v>3380</v>
      </c>
      <c r="Z254" s="1128" t="s">
        <v>3381</v>
      </c>
      <c r="AA254" s="1128" t="s">
        <v>3384</v>
      </c>
      <c r="AC254" s="73"/>
    </row>
    <row r="255" spans="1:29" s="20" customFormat="1">
      <c r="A255" s="327" t="str">
        <f>IF(AND($B255&lt;&gt;"",$C255&lt;&gt;""),MAX($A$4:A252)+1,"")</f>
        <v/>
      </c>
      <c r="B255" s="361" t="s">
        <v>418</v>
      </c>
      <c r="C255" s="364"/>
      <c r="D255" s="327">
        <f>IF($B255="","",COUNTIF($B$6:$B255,$B255))</f>
        <v>12</v>
      </c>
      <c r="E255" s="374" t="s">
        <v>54</v>
      </c>
      <c r="F255" s="375" t="s">
        <v>358</v>
      </c>
      <c r="G255" s="327" t="s">
        <v>328</v>
      </c>
      <c r="H255" s="376"/>
      <c r="I255" s="377">
        <v>6</v>
      </c>
      <c r="J255" s="361" t="s">
        <v>1453</v>
      </c>
      <c r="K255" s="327" t="s">
        <v>531</v>
      </c>
      <c r="L255" s="348">
        <f t="shared" si="19"/>
        <v>146769</v>
      </c>
      <c r="M255" s="373"/>
      <c r="N255" s="355" t="str">
        <f t="shared" si="24"/>
        <v>PR</v>
      </c>
      <c r="O255" s="347"/>
      <c r="P255" s="325"/>
      <c r="Q255" s="351"/>
      <c r="R255" s="351">
        <v>1.3</v>
      </c>
      <c r="S255" s="351">
        <v>5.8</v>
      </c>
      <c r="T255" s="351">
        <v>0.24099999999999999</v>
      </c>
      <c r="U255" s="329">
        <f>IF($N255=$N$4,IFERROR(INDEX(DanhMuc!$E$154:$E$165,MATCH(MID($B255,4,2),DanhMuc!$B$154:$B$165,0)),""),"")</f>
        <v>5700</v>
      </c>
      <c r="V255" s="376" t="s">
        <v>404</v>
      </c>
      <c r="W255" s="352" t="str">
        <f>+IF(AND($A255&lt;&gt;"",LEN($B255)&gt;=8,COUNTIF($B$6:$B255,$B255)=1),$W$5,"")</f>
        <v/>
      </c>
      <c r="X255" s="329" t="str">
        <f t="shared" si="23"/>
        <v>XF</v>
      </c>
      <c r="Y255" s="1128" t="s">
        <v>3380</v>
      </c>
      <c r="Z255" s="1128" t="s">
        <v>3381</v>
      </c>
      <c r="AA255" s="1128" t="s">
        <v>3384</v>
      </c>
      <c r="AC255" s="73"/>
    </row>
    <row r="256" spans="1:29" s="20" customFormat="1">
      <c r="A256" s="327" t="str">
        <f>IF(AND($B256&lt;&gt;"",$C256&lt;&gt;""),MAX($A$4:A255)+1,"")</f>
        <v/>
      </c>
      <c r="B256" s="361" t="s">
        <v>418</v>
      </c>
      <c r="C256" s="364"/>
      <c r="D256" s="327">
        <f>IF($B256="","",COUNTIF($B$6:$B256,$B256))</f>
        <v>13</v>
      </c>
      <c r="E256" s="378" t="s">
        <v>359</v>
      </c>
      <c r="F256" s="379" t="s">
        <v>360</v>
      </c>
      <c r="G256" s="380" t="s">
        <v>329</v>
      </c>
      <c r="H256" s="381"/>
      <c r="I256" s="380">
        <v>0</v>
      </c>
      <c r="J256" s="378" t="s">
        <v>81</v>
      </c>
      <c r="K256" s="380" t="s">
        <v>531</v>
      </c>
      <c r="L256" s="348">
        <f t="shared" si="19"/>
        <v>71253</v>
      </c>
      <c r="M256" s="373"/>
      <c r="N256" s="355" t="str">
        <f t="shared" si="24"/>
        <v>PR</v>
      </c>
      <c r="O256" s="347"/>
      <c r="P256" s="325"/>
      <c r="Q256" s="351"/>
      <c r="R256" s="351">
        <v>1.2</v>
      </c>
      <c r="S256" s="351">
        <v>5.8</v>
      </c>
      <c r="T256" s="351">
        <v>0.11700000000000001</v>
      </c>
      <c r="U256" s="329">
        <f>IF($N256=$N$4,IFERROR(INDEX(DanhMuc!$E$154:$E$165,MATCH(MID($B256,4,2),DanhMuc!$B$154:$B$165,0)),""),"")</f>
        <v>5700</v>
      </c>
      <c r="V256" s="325"/>
      <c r="W256" s="352" t="str">
        <f>+IF(AND($A256&lt;&gt;"",LEN($B256)&gt;=8,COUNTIF($B$6:$B256,$B256)=1),$W$5,"")</f>
        <v/>
      </c>
      <c r="X256" s="329" t="str">
        <f t="shared" si="23"/>
        <v>XF</v>
      </c>
      <c r="Y256" s="1128" t="s">
        <v>3380</v>
      </c>
      <c r="Z256" s="1128" t="s">
        <v>3381</v>
      </c>
      <c r="AA256" s="1128" t="s">
        <v>3384</v>
      </c>
      <c r="AC256" s="73"/>
    </row>
    <row r="257" spans="1:29" s="20" customFormat="1">
      <c r="A257" s="327" t="str">
        <f>IF(AND($B257&lt;&gt;"",$C257&lt;&gt;""),MAX($A$4:A256)+1,"")</f>
        <v/>
      </c>
      <c r="B257" s="361" t="s">
        <v>418</v>
      </c>
      <c r="C257" s="364"/>
      <c r="D257" s="327">
        <f>IF($B257="","",COUNTIF($B$6:$B257,$B257))</f>
        <v>14</v>
      </c>
      <c r="E257" s="361" t="s">
        <v>53</v>
      </c>
      <c r="F257" s="362" t="s">
        <v>361</v>
      </c>
      <c r="G257" s="327" t="s">
        <v>329</v>
      </c>
      <c r="H257" s="325"/>
      <c r="I257" s="327">
        <v>12</v>
      </c>
      <c r="J257" s="361" t="s">
        <v>1452</v>
      </c>
      <c r="K257" s="327" t="s">
        <v>531</v>
      </c>
      <c r="L257" s="348">
        <f t="shared" si="19"/>
        <v>135198</v>
      </c>
      <c r="M257" s="373"/>
      <c r="N257" s="355" t="str">
        <f t="shared" si="24"/>
        <v>PR</v>
      </c>
      <c r="O257" s="347">
        <v>10</v>
      </c>
      <c r="P257" s="325"/>
      <c r="Q257" s="351"/>
      <c r="R257" s="351">
        <v>1</v>
      </c>
      <c r="S257" s="351">
        <v>5.8</v>
      </c>
      <c r="T257" s="351">
        <v>0.222</v>
      </c>
      <c r="U257" s="329">
        <f>IF($N257=$N$4,IFERROR(INDEX(DanhMuc!$E$154:$E$165,MATCH(MID($B257,4,2),DanhMuc!$B$154:$B$165,0)),""),"")</f>
        <v>5700</v>
      </c>
      <c r="V257" s="325"/>
      <c r="W257" s="352" t="str">
        <f>+IF(AND($A257&lt;&gt;"",LEN($B257)&gt;=8,COUNTIF($B$6:$B257,$B257)=1),$W$5,"")</f>
        <v/>
      </c>
      <c r="X257" s="329" t="str">
        <f t="shared" si="23"/>
        <v>XF</v>
      </c>
      <c r="Y257" s="1128" t="s">
        <v>3380</v>
      </c>
      <c r="Z257" s="1128" t="s">
        <v>3381</v>
      </c>
      <c r="AA257" s="1128" t="s">
        <v>3384</v>
      </c>
      <c r="AC257" s="73"/>
    </row>
    <row r="258" spans="1:29" s="20" customFormat="1">
      <c r="A258" s="327" t="str">
        <f>IF(AND($B258&lt;&gt;"",$C258&lt;&gt;""),MAX($A$4:A257)+1,"")</f>
        <v/>
      </c>
      <c r="B258" s="361" t="s">
        <v>418</v>
      </c>
      <c r="C258" s="364"/>
      <c r="D258" s="327">
        <f>IF($B258="","",COUNTIF($B$6:$B258,$B258))</f>
        <v>15</v>
      </c>
      <c r="E258" s="361" t="s">
        <v>53</v>
      </c>
      <c r="F258" s="362" t="s">
        <v>361</v>
      </c>
      <c r="G258" s="327" t="s">
        <v>328</v>
      </c>
      <c r="H258" s="325"/>
      <c r="I258" s="327">
        <v>12</v>
      </c>
      <c r="J258" s="361" t="s">
        <v>1454</v>
      </c>
      <c r="K258" s="327" t="s">
        <v>531</v>
      </c>
      <c r="L258" s="348">
        <f t="shared" si="19"/>
        <v>135198</v>
      </c>
      <c r="M258" s="373"/>
      <c r="N258" s="355" t="str">
        <f t="shared" si="24"/>
        <v>PR</v>
      </c>
      <c r="O258" s="347">
        <v>10</v>
      </c>
      <c r="P258" s="325"/>
      <c r="Q258" s="351"/>
      <c r="R258" s="351">
        <v>1</v>
      </c>
      <c r="S258" s="351">
        <v>5.8</v>
      </c>
      <c r="T258" s="351">
        <v>0.222</v>
      </c>
      <c r="U258" s="329">
        <f>IF($N258=$N$4,IFERROR(INDEX(DanhMuc!$E$154:$E$165,MATCH(MID($B258,4,2),DanhMuc!$B$154:$B$165,0)),""),"")</f>
        <v>5700</v>
      </c>
      <c r="V258" s="325"/>
      <c r="W258" s="352" t="str">
        <f>+IF(AND($A258&lt;&gt;"",LEN($B258)&gt;=8,COUNTIF($B$6:$B258,$B258)=1),$W$5,"")</f>
        <v/>
      </c>
      <c r="X258" s="329" t="str">
        <f t="shared" si="23"/>
        <v>XF</v>
      </c>
      <c r="Y258" s="1128" t="s">
        <v>3380</v>
      </c>
      <c r="Z258" s="1128" t="s">
        <v>3381</v>
      </c>
      <c r="AA258" s="1128" t="s">
        <v>3384</v>
      </c>
      <c r="AC258" s="73"/>
    </row>
    <row r="259" spans="1:29" s="20" customFormat="1">
      <c r="A259" s="327" t="str">
        <f>IF(AND($B259&lt;&gt;"",$C259&lt;&gt;""),MAX($A$4:A258)+1,"")</f>
        <v/>
      </c>
      <c r="B259" s="361" t="s">
        <v>418</v>
      </c>
      <c r="C259" s="364"/>
      <c r="D259" s="327">
        <f>IF($B259="","",COUNTIF($B$6:$B259,$B259))</f>
        <v>16</v>
      </c>
      <c r="E259" s="361" t="s">
        <v>362</v>
      </c>
      <c r="F259" s="362" t="s">
        <v>363</v>
      </c>
      <c r="G259" s="327" t="s">
        <v>329</v>
      </c>
      <c r="H259" s="325"/>
      <c r="I259" s="327">
        <v>12</v>
      </c>
      <c r="J259" s="361" t="s">
        <v>1452</v>
      </c>
      <c r="K259" s="327" t="s">
        <v>531</v>
      </c>
      <c r="L259" s="348">
        <f t="shared" si="19"/>
        <v>167475</v>
      </c>
      <c r="M259" s="373"/>
      <c r="N259" s="355" t="str">
        <f t="shared" si="24"/>
        <v>PR</v>
      </c>
      <c r="O259" s="347">
        <v>19</v>
      </c>
      <c r="P259" s="325"/>
      <c r="Q259" s="351"/>
      <c r="R259" s="351">
        <v>1.2</v>
      </c>
      <c r="S259" s="351">
        <v>5.8</v>
      </c>
      <c r="T259" s="351">
        <v>0.27500000000000002</v>
      </c>
      <c r="U259" s="329">
        <f>IF($N259=$N$4,IFERROR(INDEX(DanhMuc!$E$154:$E$165,MATCH(MID($B259,4,2),DanhMuc!$B$154:$B$165,0)),""),"")</f>
        <v>5700</v>
      </c>
      <c r="V259" s="325"/>
      <c r="W259" s="352" t="str">
        <f>+IF(AND($A259&lt;&gt;"",LEN($B259)&gt;=8,COUNTIF($B$6:$B259,$B259)=1),$W$5,"")</f>
        <v/>
      </c>
      <c r="X259" s="329" t="str">
        <f t="shared" si="23"/>
        <v>XF</v>
      </c>
      <c r="Y259" s="1128" t="s">
        <v>3380</v>
      </c>
      <c r="Z259" s="1128" t="s">
        <v>3381</v>
      </c>
      <c r="AA259" s="1128" t="s">
        <v>3384</v>
      </c>
      <c r="AC259" s="73"/>
    </row>
    <row r="260" spans="1:29" s="20" customFormat="1">
      <c r="A260" s="327" t="str">
        <f>IF(AND($B260&lt;&gt;"",$C260&lt;&gt;""),MAX($A$4:A259)+1,"")</f>
        <v/>
      </c>
      <c r="B260" s="361" t="s">
        <v>418</v>
      </c>
      <c r="C260" s="364"/>
      <c r="D260" s="327">
        <f>IF($B260="","",COUNTIF($B$6:$B260,$B260))</f>
        <v>17</v>
      </c>
      <c r="E260" s="361" t="s">
        <v>362</v>
      </c>
      <c r="F260" s="362" t="s">
        <v>363</v>
      </c>
      <c r="G260" s="327" t="s">
        <v>328</v>
      </c>
      <c r="H260" s="325"/>
      <c r="I260" s="327">
        <v>12</v>
      </c>
      <c r="J260" s="361" t="s">
        <v>1454</v>
      </c>
      <c r="K260" s="327" t="s">
        <v>531</v>
      </c>
      <c r="L260" s="348">
        <f t="shared" si="19"/>
        <v>167475</v>
      </c>
      <c r="M260" s="373"/>
      <c r="N260" s="355" t="str">
        <f t="shared" si="24"/>
        <v>PR</v>
      </c>
      <c r="O260" s="347">
        <v>19</v>
      </c>
      <c r="P260" s="325"/>
      <c r="Q260" s="351"/>
      <c r="R260" s="351">
        <v>1.2</v>
      </c>
      <c r="S260" s="351">
        <v>5.8</v>
      </c>
      <c r="T260" s="351">
        <v>0.27500000000000002</v>
      </c>
      <c r="U260" s="329">
        <f>IF($N260=$N$4,IFERROR(INDEX(DanhMuc!$E$154:$E$165,MATCH(MID($B260,4,2),DanhMuc!$B$154:$B$165,0)),""),"")</f>
        <v>5700</v>
      </c>
      <c r="V260" s="325"/>
      <c r="W260" s="352" t="str">
        <f>+IF(AND($A260&lt;&gt;"",LEN($B260)&gt;=8,COUNTIF($B$6:$B260,$B260)=1),$W$5,"")</f>
        <v/>
      </c>
      <c r="X260" s="329" t="str">
        <f t="shared" si="23"/>
        <v>XF</v>
      </c>
      <c r="Y260" s="1128" t="s">
        <v>3380</v>
      </c>
      <c r="Z260" s="1128" t="s">
        <v>3381</v>
      </c>
      <c r="AA260" s="1128" t="s">
        <v>3384</v>
      </c>
      <c r="AC260" s="73"/>
    </row>
    <row r="261" spans="1:29" s="20" customFormat="1" ht="26">
      <c r="A261" s="327">
        <f>IF(AND($B261&lt;&gt;"",$C261&lt;&gt;""),MAX($A$4:A260)+1,"")</f>
        <v>25</v>
      </c>
      <c r="B261" s="359" t="s">
        <v>219</v>
      </c>
      <c r="C261" s="360" t="s">
        <v>1542</v>
      </c>
      <c r="D261" s="327">
        <f>IF($B261="","",COUNTIF($B$6:$B261,$B261))</f>
        <v>1</v>
      </c>
      <c r="E261" s="363" t="s">
        <v>28</v>
      </c>
      <c r="F261" s="382" t="s">
        <v>695</v>
      </c>
      <c r="G261" s="327" t="s">
        <v>329</v>
      </c>
      <c r="H261" s="325"/>
      <c r="I261" s="327">
        <v>2</v>
      </c>
      <c r="J261" s="361" t="s">
        <v>81</v>
      </c>
      <c r="K261" s="327" t="s">
        <v>516</v>
      </c>
      <c r="L261" s="348">
        <f t="shared" ref="L261:L294" si="25">+$T261*$S261*$L$37</f>
        <v>533484</v>
      </c>
      <c r="M261" s="355"/>
      <c r="N261" s="355" t="str">
        <f t="shared" si="16"/>
        <v>PR</v>
      </c>
      <c r="O261" s="345"/>
      <c r="P261" s="325"/>
      <c r="Q261" s="351"/>
      <c r="R261" s="351">
        <v>1.4</v>
      </c>
      <c r="S261" s="351">
        <v>5.8</v>
      </c>
      <c r="T261" s="351">
        <v>0.876</v>
      </c>
      <c r="U261" s="329">
        <f>IF($N261=$N$4,IFERROR(INDEX(DanhMuc!$E$154:$E$165,MATCH(MID($B261,4,2),DanhMuc!$B$154:$B$165,0)),""),"")</f>
        <v>5700</v>
      </c>
      <c r="V261" s="325"/>
      <c r="W261" s="352" t="str">
        <f>+IF(AND($A261&lt;&gt;"",LEN($B261)&gt;=8,COUNTIF($B$6:$B261,$B261)=1),$W$5,"")</f>
        <v>DMCua</v>
      </c>
      <c r="X261" s="329" t="str">
        <f t="shared" si="23"/>
        <v>XF</v>
      </c>
      <c r="Y261" s="1128" t="s">
        <v>3380</v>
      </c>
      <c r="Z261" s="1128" t="s">
        <v>3381</v>
      </c>
      <c r="AA261" s="1128" t="s">
        <v>3384</v>
      </c>
      <c r="AC261" s="73"/>
    </row>
    <row r="262" spans="1:29" s="20" customFormat="1">
      <c r="A262" s="327" t="str">
        <f>IF(AND($B262&lt;&gt;"",$C262&lt;&gt;""),MAX($A$4:A261)+1,"")</f>
        <v/>
      </c>
      <c r="B262" s="361" t="s">
        <v>219</v>
      </c>
      <c r="C262" s="364"/>
      <c r="D262" s="327">
        <f>IF($B262="","",COUNTIF($B$6:$B262,$B262))</f>
        <v>2</v>
      </c>
      <c r="E262" s="363" t="s">
        <v>28</v>
      </c>
      <c r="F262" s="382" t="s">
        <v>695</v>
      </c>
      <c r="G262" s="327" t="s">
        <v>328</v>
      </c>
      <c r="H262" s="325"/>
      <c r="I262" s="327">
        <v>2</v>
      </c>
      <c r="J262" s="361" t="s">
        <v>80</v>
      </c>
      <c r="K262" s="327" t="s">
        <v>516</v>
      </c>
      <c r="L262" s="348">
        <f t="shared" si="25"/>
        <v>533484</v>
      </c>
      <c r="M262" s="355"/>
      <c r="N262" s="355" t="str">
        <f t="shared" si="16"/>
        <v>PR</v>
      </c>
      <c r="O262" s="345"/>
      <c r="P262" s="325"/>
      <c r="Q262" s="351"/>
      <c r="R262" s="351">
        <v>1.4</v>
      </c>
      <c r="S262" s="351">
        <v>5.8</v>
      </c>
      <c r="T262" s="351">
        <v>0.876</v>
      </c>
      <c r="U262" s="329">
        <f>IF($N262=$N$4,IFERROR(INDEX(DanhMuc!$E$154:$E$165,MATCH(MID($B262,4,2),DanhMuc!$B$154:$B$165,0)),""),"")</f>
        <v>5700</v>
      </c>
      <c r="V262" s="325"/>
      <c r="W262" s="352" t="str">
        <f>+IF(AND($A262&lt;&gt;"",LEN($B262)&gt;=8,COUNTIF($B$6:$B262,$B262)=1),$W$5,"")</f>
        <v/>
      </c>
      <c r="X262" s="329" t="str">
        <f t="shared" si="23"/>
        <v>XF</v>
      </c>
      <c r="Y262" s="1128" t="s">
        <v>3380</v>
      </c>
      <c r="Z262" s="1128" t="s">
        <v>3381</v>
      </c>
      <c r="AA262" s="1128" t="s">
        <v>3384</v>
      </c>
      <c r="AC262" s="73"/>
    </row>
    <row r="263" spans="1:29" s="20" customFormat="1">
      <c r="A263" s="327" t="str">
        <f>IF(AND($B263&lt;&gt;"",$C263&lt;&gt;""),MAX($A$4:A262)+1,"")</f>
        <v/>
      </c>
      <c r="B263" s="361" t="s">
        <v>219</v>
      </c>
      <c r="C263" s="364"/>
      <c r="D263" s="327">
        <f>IF($B263="","",COUNTIF($B$6:$B263,$B263))</f>
        <v>3</v>
      </c>
      <c r="E263" s="361" t="s">
        <v>2760</v>
      </c>
      <c r="F263" s="362" t="s">
        <v>2761</v>
      </c>
      <c r="G263" s="327" t="s">
        <v>329</v>
      </c>
      <c r="H263" s="325"/>
      <c r="I263" s="327">
        <v>2</v>
      </c>
      <c r="J263" s="361" t="s">
        <v>697</v>
      </c>
      <c r="K263" s="327" t="s">
        <v>516</v>
      </c>
      <c r="L263" s="348">
        <f t="shared" si="25"/>
        <v>662592</v>
      </c>
      <c r="M263" s="355"/>
      <c r="N263" s="355" t="str">
        <f t="shared" si="16"/>
        <v>PR</v>
      </c>
      <c r="O263" s="345"/>
      <c r="P263" s="325"/>
      <c r="Q263" s="351"/>
      <c r="R263" s="351">
        <v>1.4</v>
      </c>
      <c r="S263" s="351">
        <v>5.8</v>
      </c>
      <c r="T263" s="351">
        <v>1.0880000000000001</v>
      </c>
      <c r="U263" s="329">
        <f>IF($N263=$N$4,IFERROR(INDEX(DanhMuc!$E$154:$E$165,MATCH(MID($B263,4,2),DanhMuc!$B$154:$B$165,0)),""),"")</f>
        <v>5700</v>
      </c>
      <c r="V263" s="325"/>
      <c r="W263" s="352" t="str">
        <f>+IF(AND($A263&lt;&gt;"",LEN($B263)&gt;=8,COUNTIF($B$6:$B263,$B263)=1),$W$5,"")</f>
        <v/>
      </c>
      <c r="X263" s="329" t="str">
        <f t="shared" si="23"/>
        <v>XF</v>
      </c>
      <c r="Y263" s="1128" t="s">
        <v>3380</v>
      </c>
      <c r="Z263" s="1128" t="s">
        <v>3381</v>
      </c>
      <c r="AA263" s="1128" t="s">
        <v>3384</v>
      </c>
      <c r="AC263" s="73"/>
    </row>
    <row r="264" spans="1:29" s="20" customFormat="1">
      <c r="A264" s="327" t="str">
        <f>IF(AND($B264&lt;&gt;"",$C264&lt;&gt;""),MAX($A$4:A263)+1,"")</f>
        <v/>
      </c>
      <c r="B264" s="361" t="s">
        <v>219</v>
      </c>
      <c r="C264" s="364"/>
      <c r="D264" s="327">
        <f>IF($B264="","",COUNTIF($B$6:$B264,$B264))</f>
        <v>4</v>
      </c>
      <c r="E264" s="361" t="s">
        <v>2760</v>
      </c>
      <c r="F264" s="362" t="s">
        <v>2761</v>
      </c>
      <c r="G264" s="327" t="s">
        <v>328</v>
      </c>
      <c r="H264" s="325"/>
      <c r="I264" s="327">
        <v>2</v>
      </c>
      <c r="J264" s="361" t="s">
        <v>698</v>
      </c>
      <c r="K264" s="327" t="s">
        <v>516</v>
      </c>
      <c r="L264" s="348">
        <f t="shared" si="25"/>
        <v>662592</v>
      </c>
      <c r="M264" s="355"/>
      <c r="N264" s="355" t="str">
        <f t="shared" si="16"/>
        <v>PR</v>
      </c>
      <c r="O264" s="345"/>
      <c r="P264" s="325"/>
      <c r="Q264" s="351"/>
      <c r="R264" s="351">
        <v>1.4</v>
      </c>
      <c r="S264" s="351">
        <v>5.8</v>
      </c>
      <c r="T264" s="351">
        <v>1.0880000000000001</v>
      </c>
      <c r="U264" s="329">
        <f>IF($N264=$N$4,IFERROR(INDEX(DanhMuc!$E$154:$E$165,MATCH(MID($B264,4,2),DanhMuc!$B$154:$B$165,0)),""),"")</f>
        <v>5700</v>
      </c>
      <c r="V264" s="325"/>
      <c r="W264" s="352" t="str">
        <f>+IF(AND($A264&lt;&gt;"",LEN($B264)&gt;=8,COUNTIF($B$6:$B264,$B264)=1),$W$5,"")</f>
        <v/>
      </c>
      <c r="X264" s="329" t="str">
        <f t="shared" si="23"/>
        <v>XF</v>
      </c>
      <c r="Y264" s="1128" t="s">
        <v>3380</v>
      </c>
      <c r="Z264" s="1128" t="s">
        <v>3381</v>
      </c>
      <c r="AA264" s="1128" t="s">
        <v>3384</v>
      </c>
      <c r="AC264" s="73"/>
    </row>
    <row r="265" spans="1:29" s="20" customFormat="1">
      <c r="A265" s="327" t="str">
        <f>IF(AND($B265&lt;&gt;"",$C265&lt;&gt;""),MAX($A$4:A264)+1,"")</f>
        <v/>
      </c>
      <c r="B265" s="361" t="s">
        <v>219</v>
      </c>
      <c r="C265" s="364"/>
      <c r="D265" s="327">
        <f>IF($B265="","",COUNTIF($B$6:$B265,$B265))</f>
        <v>5</v>
      </c>
      <c r="E265" s="361" t="s">
        <v>27</v>
      </c>
      <c r="F265" s="362" t="s">
        <v>346</v>
      </c>
      <c r="G265" s="327" t="s">
        <v>329</v>
      </c>
      <c r="H265" s="325"/>
      <c r="I265" s="327">
        <v>2</v>
      </c>
      <c r="J265" s="361" t="s">
        <v>701</v>
      </c>
      <c r="K265" s="327" t="s">
        <v>531</v>
      </c>
      <c r="L265" s="348">
        <f t="shared" si="25"/>
        <v>165039</v>
      </c>
      <c r="M265" s="355"/>
      <c r="N265" s="355" t="str">
        <f t="shared" si="16"/>
        <v>PR</v>
      </c>
      <c r="O265" s="347">
        <v>10</v>
      </c>
      <c r="P265" s="325"/>
      <c r="Q265" s="351"/>
      <c r="R265" s="351">
        <v>1</v>
      </c>
      <c r="S265" s="351">
        <v>5.8</v>
      </c>
      <c r="T265" s="351">
        <v>0.27100000000000002</v>
      </c>
      <c r="U265" s="329">
        <f>IF($N265=$N$4,IFERROR(INDEX(DanhMuc!$E$154:$E$165,MATCH(MID($B265,4,2),DanhMuc!$B$154:$B$165,0)),""),"")</f>
        <v>5700</v>
      </c>
      <c r="V265" s="325"/>
      <c r="W265" s="352" t="str">
        <f>+IF(AND($A265&lt;&gt;"",LEN($B265)&gt;=8,COUNTIF($B$6:$B265,$B265)=1),$W$5,"")</f>
        <v/>
      </c>
      <c r="X265" s="329" t="str">
        <f t="shared" si="23"/>
        <v>XF</v>
      </c>
      <c r="Y265" s="1128" t="s">
        <v>3380</v>
      </c>
      <c r="Z265" s="1128" t="s">
        <v>3381</v>
      </c>
      <c r="AA265" s="1128" t="s">
        <v>3384</v>
      </c>
      <c r="AC265" s="73"/>
    </row>
    <row r="266" spans="1:29" s="20" customFormat="1">
      <c r="A266" s="327" t="str">
        <f>IF(AND($B266&lt;&gt;"",$C266&lt;&gt;""),MAX($A$4:A265)+1,"")</f>
        <v/>
      </c>
      <c r="B266" s="361" t="s">
        <v>219</v>
      </c>
      <c r="C266" s="364"/>
      <c r="D266" s="327">
        <f>IF($B266="","",COUNTIF($B$6:$B266,$B266))</f>
        <v>6</v>
      </c>
      <c r="E266" s="361" t="s">
        <v>27</v>
      </c>
      <c r="F266" s="362" t="s">
        <v>346</v>
      </c>
      <c r="G266" s="327" t="s">
        <v>328</v>
      </c>
      <c r="H266" s="325"/>
      <c r="I266" s="327">
        <v>2</v>
      </c>
      <c r="J266" s="361" t="s">
        <v>702</v>
      </c>
      <c r="K266" s="327" t="s">
        <v>531</v>
      </c>
      <c r="L266" s="348">
        <f t="shared" si="25"/>
        <v>165039</v>
      </c>
      <c r="M266" s="355"/>
      <c r="N266" s="355" t="str">
        <f t="shared" si="16"/>
        <v>PR</v>
      </c>
      <c r="O266" s="347">
        <v>10</v>
      </c>
      <c r="P266" s="325"/>
      <c r="Q266" s="351"/>
      <c r="R266" s="351">
        <v>1</v>
      </c>
      <c r="S266" s="351">
        <v>5.8</v>
      </c>
      <c r="T266" s="351">
        <v>0.27100000000000002</v>
      </c>
      <c r="U266" s="329">
        <f>IF($N266=$N$4,IFERROR(INDEX(DanhMuc!$E$154:$E$165,MATCH(MID($B266,4,2),DanhMuc!$B$154:$B$165,0)),""),"")</f>
        <v>5700</v>
      </c>
      <c r="V266" s="325"/>
      <c r="W266" s="352" t="str">
        <f>+IF(AND($A266&lt;&gt;"",LEN($B266)&gt;=8,COUNTIF($B$6:$B266,$B266)=1),$W$5,"")</f>
        <v/>
      </c>
      <c r="X266" s="329" t="str">
        <f t="shared" si="23"/>
        <v>XF</v>
      </c>
      <c r="Y266" s="1128" t="s">
        <v>3380</v>
      </c>
      <c r="Z266" s="1128" t="s">
        <v>3381</v>
      </c>
      <c r="AA266" s="1128" t="s">
        <v>3384</v>
      </c>
      <c r="AC266" s="73"/>
    </row>
    <row r="267" spans="1:29" s="20" customFormat="1">
      <c r="A267" s="327" t="str">
        <f>IF(AND($B267&lt;&gt;"",$C267&lt;&gt;""),MAX($A$4:A266)+1,"")</f>
        <v/>
      </c>
      <c r="B267" s="361" t="s">
        <v>219</v>
      </c>
      <c r="C267" s="364"/>
      <c r="D267" s="327">
        <f>IF($B267="","",COUNTIF($B$6:$B267,$B267))</f>
        <v>7</v>
      </c>
      <c r="E267" s="361" t="s">
        <v>385</v>
      </c>
      <c r="F267" s="362" t="s">
        <v>386</v>
      </c>
      <c r="G267" s="327" t="s">
        <v>329</v>
      </c>
      <c r="H267" s="325"/>
      <c r="I267" s="327">
        <v>2</v>
      </c>
      <c r="J267" s="361" t="s">
        <v>701</v>
      </c>
      <c r="K267" s="327" t="s">
        <v>531</v>
      </c>
      <c r="L267" s="348">
        <f t="shared" si="25"/>
        <v>138243</v>
      </c>
      <c r="M267" s="355"/>
      <c r="N267" s="355" t="str">
        <f t="shared" si="16"/>
        <v>PR</v>
      </c>
      <c r="O267" s="347">
        <v>19</v>
      </c>
      <c r="P267" s="325"/>
      <c r="Q267" s="351"/>
      <c r="R267" s="351">
        <v>1</v>
      </c>
      <c r="S267" s="351">
        <v>5.8</v>
      </c>
      <c r="T267" s="351">
        <v>0.22700000000000001</v>
      </c>
      <c r="U267" s="329">
        <f>IF($N267=$N$4,IFERROR(INDEX(DanhMuc!$E$154:$E$165,MATCH(MID($B267,4,2),DanhMuc!$B$154:$B$165,0)),""),"")</f>
        <v>5700</v>
      </c>
      <c r="V267" s="325"/>
      <c r="W267" s="352" t="str">
        <f>+IF(AND($A267&lt;&gt;"",LEN($B267)&gt;=8,COUNTIF($B$6:$B267,$B267)=1),$W$5,"")</f>
        <v/>
      </c>
      <c r="X267" s="329" t="str">
        <f t="shared" si="23"/>
        <v>XF</v>
      </c>
      <c r="Y267" s="1128" t="s">
        <v>3380</v>
      </c>
      <c r="Z267" s="1128" t="s">
        <v>3381</v>
      </c>
      <c r="AA267" s="1128" t="s">
        <v>3384</v>
      </c>
      <c r="AC267" s="73"/>
    </row>
    <row r="268" spans="1:29" s="20" customFormat="1">
      <c r="A268" s="327" t="str">
        <f>IF(AND($B268&lt;&gt;"",$C268&lt;&gt;""),MAX($A$4:A267)+1,"")</f>
        <v/>
      </c>
      <c r="B268" s="361" t="s">
        <v>219</v>
      </c>
      <c r="C268" s="364"/>
      <c r="D268" s="327">
        <f>IF($B268="","",COUNTIF($B$6:$B268,$B268))</f>
        <v>8</v>
      </c>
      <c r="E268" s="361" t="s">
        <v>385</v>
      </c>
      <c r="F268" s="362" t="s">
        <v>386</v>
      </c>
      <c r="G268" s="327" t="s">
        <v>328</v>
      </c>
      <c r="H268" s="325"/>
      <c r="I268" s="327">
        <v>2</v>
      </c>
      <c r="J268" s="361" t="s">
        <v>702</v>
      </c>
      <c r="K268" s="327" t="s">
        <v>531</v>
      </c>
      <c r="L268" s="348">
        <f t="shared" si="25"/>
        <v>138243</v>
      </c>
      <c r="M268" s="355"/>
      <c r="N268" s="355" t="str">
        <f t="shared" si="16"/>
        <v>PR</v>
      </c>
      <c r="O268" s="347">
        <v>19</v>
      </c>
      <c r="P268" s="325"/>
      <c r="Q268" s="351"/>
      <c r="R268" s="351">
        <v>1</v>
      </c>
      <c r="S268" s="351">
        <v>5.8</v>
      </c>
      <c r="T268" s="351">
        <v>0.22700000000000001</v>
      </c>
      <c r="U268" s="329">
        <f>IF($N268=$N$4,IFERROR(INDEX(DanhMuc!$E$154:$E$165,MATCH(MID($B268,4,2),DanhMuc!$B$154:$B$165,0)),""),"")</f>
        <v>5700</v>
      </c>
      <c r="V268" s="325"/>
      <c r="W268" s="352" t="str">
        <f>+IF(AND($A268&lt;&gt;"",LEN($B268)&gt;=8,COUNTIF($B$6:$B268,$B268)=1),$W$5,"")</f>
        <v/>
      </c>
      <c r="X268" s="329" t="str">
        <f t="shared" si="23"/>
        <v>XF</v>
      </c>
      <c r="Y268" s="1128" t="s">
        <v>3380</v>
      </c>
      <c r="Z268" s="1128" t="s">
        <v>3381</v>
      </c>
      <c r="AA268" s="1128" t="s">
        <v>3384</v>
      </c>
      <c r="AC268" s="73"/>
    </row>
    <row r="269" spans="1:29" s="20" customFormat="1">
      <c r="A269" s="327" t="str">
        <f>IF(AND($B269&lt;&gt;"",$C269&lt;&gt;""),MAX($A$4:A268)+1,"")</f>
        <v/>
      </c>
      <c r="B269" s="361" t="s">
        <v>219</v>
      </c>
      <c r="C269" s="364"/>
      <c r="D269" s="327">
        <f>IF($B269="","",COUNTIF($B$6:$B269,$B269))</f>
        <v>9</v>
      </c>
      <c r="E269" s="361" t="s">
        <v>630</v>
      </c>
      <c r="F269" s="362" t="s">
        <v>631</v>
      </c>
      <c r="G269" s="327" t="s">
        <v>329</v>
      </c>
      <c r="H269" s="325"/>
      <c r="I269" s="327">
        <v>2</v>
      </c>
      <c r="J269" s="361" t="s">
        <v>701</v>
      </c>
      <c r="K269" s="327" t="s">
        <v>531</v>
      </c>
      <c r="L269" s="348">
        <f t="shared" si="25"/>
        <v>135807</v>
      </c>
      <c r="M269" s="355"/>
      <c r="N269" s="355" t="str">
        <f t="shared" si="16"/>
        <v>PR</v>
      </c>
      <c r="O269" s="347">
        <v>20</v>
      </c>
      <c r="P269" s="325"/>
      <c r="Q269" s="351"/>
      <c r="R269" s="351">
        <v>1</v>
      </c>
      <c r="S269" s="351">
        <v>5.8</v>
      </c>
      <c r="T269" s="351">
        <v>0.223</v>
      </c>
      <c r="U269" s="329">
        <f>IF($N269=$N$4,IFERROR(INDEX(DanhMuc!$E$154:$E$165,MATCH(MID($B269,4,2),DanhMuc!$B$154:$B$165,0)),""),"")</f>
        <v>5700</v>
      </c>
      <c r="V269" s="325"/>
      <c r="W269" s="352" t="str">
        <f>+IF(AND($A269&lt;&gt;"",LEN($B269)&gt;=8,COUNTIF($B$6:$B269,$B269)=1),$W$5,"")</f>
        <v/>
      </c>
      <c r="X269" s="329" t="str">
        <f t="shared" si="23"/>
        <v>XF</v>
      </c>
      <c r="Y269" s="1128" t="s">
        <v>3380</v>
      </c>
      <c r="Z269" s="1128" t="s">
        <v>3381</v>
      </c>
      <c r="AA269" s="1128" t="s">
        <v>3384</v>
      </c>
      <c r="AC269" s="73"/>
    </row>
    <row r="270" spans="1:29" s="20" customFormat="1">
      <c r="A270" s="327" t="str">
        <f>IF(AND($B270&lt;&gt;"",$C270&lt;&gt;""),MAX($A$4:A269)+1,"")</f>
        <v/>
      </c>
      <c r="B270" s="361" t="s">
        <v>219</v>
      </c>
      <c r="C270" s="364"/>
      <c r="D270" s="327">
        <f>IF($B270="","",COUNTIF($B$6:$B270,$B270))</f>
        <v>10</v>
      </c>
      <c r="E270" s="361" t="s">
        <v>630</v>
      </c>
      <c r="F270" s="362" t="s">
        <v>631</v>
      </c>
      <c r="G270" s="327" t="s">
        <v>328</v>
      </c>
      <c r="H270" s="325"/>
      <c r="I270" s="327">
        <v>2</v>
      </c>
      <c r="J270" s="361" t="s">
        <v>702</v>
      </c>
      <c r="K270" s="327" t="s">
        <v>531</v>
      </c>
      <c r="L270" s="348">
        <f t="shared" si="25"/>
        <v>135807</v>
      </c>
      <c r="M270" s="355"/>
      <c r="N270" s="355" t="str">
        <f t="shared" si="16"/>
        <v>PR</v>
      </c>
      <c r="O270" s="347">
        <v>20</v>
      </c>
      <c r="P270" s="325"/>
      <c r="Q270" s="351"/>
      <c r="R270" s="351">
        <v>1</v>
      </c>
      <c r="S270" s="351">
        <v>5.8</v>
      </c>
      <c r="T270" s="351">
        <v>0.223</v>
      </c>
      <c r="U270" s="329">
        <f>IF($N270=$N$4,IFERROR(INDEX(DanhMuc!$E$154:$E$165,MATCH(MID($B270,4,2),DanhMuc!$B$154:$B$165,0)),""),"")</f>
        <v>5700</v>
      </c>
      <c r="V270" s="325"/>
      <c r="W270" s="352" t="str">
        <f>+IF(AND($A270&lt;&gt;"",LEN($B270)&gt;=8,COUNTIF($B$6:$B270,$B270)=1),$W$5,"")</f>
        <v/>
      </c>
      <c r="X270" s="329" t="str">
        <f t="shared" si="23"/>
        <v>XF</v>
      </c>
      <c r="Y270" s="1128" t="s">
        <v>3380</v>
      </c>
      <c r="Z270" s="1128" t="s">
        <v>3381</v>
      </c>
      <c r="AA270" s="1128" t="s">
        <v>3384</v>
      </c>
      <c r="AC270" s="73"/>
    </row>
    <row r="271" spans="1:29" s="20" customFormat="1" ht="26">
      <c r="A271" s="327">
        <f>IF(AND($B271&lt;&gt;"",$C271&lt;&gt;""),MAX($A$4:A270)+1,"")</f>
        <v>26</v>
      </c>
      <c r="B271" s="359" t="s">
        <v>220</v>
      </c>
      <c r="C271" s="360" t="s">
        <v>1543</v>
      </c>
      <c r="D271" s="327">
        <f>IF($B271="","",COUNTIF($B$6:$B271,$B271))</f>
        <v>1</v>
      </c>
      <c r="E271" s="363" t="s">
        <v>28</v>
      </c>
      <c r="F271" s="382" t="s">
        <v>695</v>
      </c>
      <c r="G271" s="327" t="s">
        <v>329</v>
      </c>
      <c r="H271" s="325"/>
      <c r="I271" s="327">
        <v>2</v>
      </c>
      <c r="J271" s="361" t="s">
        <v>81</v>
      </c>
      <c r="K271" s="327" t="s">
        <v>516</v>
      </c>
      <c r="L271" s="348">
        <f t="shared" si="25"/>
        <v>533484</v>
      </c>
      <c r="M271" s="355"/>
      <c r="N271" s="355" t="str">
        <f t="shared" si="16"/>
        <v>PR</v>
      </c>
      <c r="O271" s="345"/>
      <c r="P271" s="325"/>
      <c r="Q271" s="351"/>
      <c r="R271" s="351">
        <v>1.4</v>
      </c>
      <c r="S271" s="351">
        <v>5.8</v>
      </c>
      <c r="T271" s="351">
        <v>0.876</v>
      </c>
      <c r="U271" s="329">
        <f>IF($N271=$N$4,IFERROR(INDEX(DanhMuc!$E$154:$E$165,MATCH(MID($B271,4,2),DanhMuc!$B$154:$B$165,0)),""),"")</f>
        <v>5700</v>
      </c>
      <c r="V271" s="325"/>
      <c r="W271" s="352" t="str">
        <f>+IF(AND($A271&lt;&gt;"",LEN($B271)&gt;=8,COUNTIF($B$6:$B271,$B271)=1),$W$5,"")</f>
        <v>DMCua</v>
      </c>
      <c r="X271" s="329" t="str">
        <f t="shared" si="23"/>
        <v>XF</v>
      </c>
      <c r="Y271" s="1128" t="s">
        <v>3380</v>
      </c>
      <c r="Z271" s="1128" t="s">
        <v>3381</v>
      </c>
      <c r="AA271" s="1128" t="s">
        <v>3384</v>
      </c>
      <c r="AC271" s="73"/>
    </row>
    <row r="272" spans="1:29" s="20" customFormat="1">
      <c r="A272" s="327" t="str">
        <f>IF(AND($B272&lt;&gt;"",$C272&lt;&gt;""),MAX($A$4:A271)+1,"")</f>
        <v/>
      </c>
      <c r="B272" s="361" t="s">
        <v>220</v>
      </c>
      <c r="C272" s="364"/>
      <c r="D272" s="327">
        <f>IF($B272="","",COUNTIF($B$6:$B272,$B272))</f>
        <v>2</v>
      </c>
      <c r="E272" s="363" t="s">
        <v>28</v>
      </c>
      <c r="F272" s="382" t="s">
        <v>695</v>
      </c>
      <c r="G272" s="327" t="s">
        <v>328</v>
      </c>
      <c r="H272" s="325"/>
      <c r="I272" s="327">
        <v>2</v>
      </c>
      <c r="J272" s="361" t="s">
        <v>80</v>
      </c>
      <c r="K272" s="327" t="s">
        <v>516</v>
      </c>
      <c r="L272" s="348">
        <f t="shared" si="25"/>
        <v>533484</v>
      </c>
      <c r="M272" s="355"/>
      <c r="N272" s="355" t="str">
        <f t="shared" si="16"/>
        <v>PR</v>
      </c>
      <c r="O272" s="345"/>
      <c r="P272" s="325"/>
      <c r="Q272" s="351"/>
      <c r="R272" s="351">
        <v>1.4</v>
      </c>
      <c r="S272" s="351">
        <v>5.8</v>
      </c>
      <c r="T272" s="351">
        <v>0.876</v>
      </c>
      <c r="U272" s="329">
        <f>IF($N272=$N$4,IFERROR(INDEX(DanhMuc!$E$154:$E$165,MATCH(MID($B272,4,2),DanhMuc!$B$154:$B$165,0)),""),"")</f>
        <v>5700</v>
      </c>
      <c r="V272" s="325"/>
      <c r="W272" s="352" t="str">
        <f>+IF(AND($A272&lt;&gt;"",LEN($B272)&gt;=8,COUNTIF($B$6:$B272,$B272)=1),$W$5,"")</f>
        <v/>
      </c>
      <c r="X272" s="329" t="str">
        <f t="shared" si="23"/>
        <v>XF</v>
      </c>
      <c r="Y272" s="1128" t="s">
        <v>3380</v>
      </c>
      <c r="Z272" s="1128" t="s">
        <v>3381</v>
      </c>
      <c r="AA272" s="1128" t="s">
        <v>3384</v>
      </c>
      <c r="AC272" s="73"/>
    </row>
    <row r="273" spans="1:29" s="20" customFormat="1">
      <c r="A273" s="327" t="str">
        <f>IF(AND($B273&lt;&gt;"",$C273&lt;&gt;""),MAX($A$4:A272)+1,"")</f>
        <v/>
      </c>
      <c r="B273" s="361" t="s">
        <v>220</v>
      </c>
      <c r="C273" s="364"/>
      <c r="D273" s="327">
        <f>IF($B273="","",COUNTIF($B$6:$B273,$B273))</f>
        <v>3</v>
      </c>
      <c r="E273" s="361" t="s">
        <v>2760</v>
      </c>
      <c r="F273" s="362" t="s">
        <v>2761</v>
      </c>
      <c r="G273" s="327" t="s">
        <v>329</v>
      </c>
      <c r="H273" s="325"/>
      <c r="I273" s="327">
        <v>4</v>
      </c>
      <c r="J273" s="361" t="s">
        <v>706</v>
      </c>
      <c r="K273" s="327" t="s">
        <v>516</v>
      </c>
      <c r="L273" s="348">
        <f t="shared" si="25"/>
        <v>662592</v>
      </c>
      <c r="M273" s="355"/>
      <c r="N273" s="355" t="str">
        <f t="shared" si="16"/>
        <v>PR</v>
      </c>
      <c r="O273" s="345"/>
      <c r="P273" s="325"/>
      <c r="Q273" s="351"/>
      <c r="R273" s="351">
        <v>1.4</v>
      </c>
      <c r="S273" s="351">
        <v>5.8</v>
      </c>
      <c r="T273" s="351">
        <v>1.0880000000000001</v>
      </c>
      <c r="U273" s="329">
        <f>IF($N273=$N$4,IFERROR(INDEX(DanhMuc!$E$154:$E$165,MATCH(MID($B273,4,2),DanhMuc!$B$154:$B$165,0)),""),"")</f>
        <v>5700</v>
      </c>
      <c r="V273" s="325"/>
      <c r="W273" s="352" t="str">
        <f>+IF(AND($A273&lt;&gt;"",LEN($B273)&gt;=8,COUNTIF($B$6:$B273,$B273)=1),$W$5,"")</f>
        <v/>
      </c>
      <c r="X273" s="329" t="str">
        <f t="shared" si="23"/>
        <v>XF</v>
      </c>
      <c r="Y273" s="1128" t="s">
        <v>3380</v>
      </c>
      <c r="Z273" s="1128" t="s">
        <v>3381</v>
      </c>
      <c r="AA273" s="1128" t="s">
        <v>3384</v>
      </c>
      <c r="AC273" s="73"/>
    </row>
    <row r="274" spans="1:29" s="20" customFormat="1">
      <c r="A274" s="327" t="str">
        <f>IF(AND($B274&lt;&gt;"",$C274&lt;&gt;""),MAX($A$4:A273)+1,"")</f>
        <v/>
      </c>
      <c r="B274" s="361" t="s">
        <v>220</v>
      </c>
      <c r="C274" s="364"/>
      <c r="D274" s="327">
        <f>IF($B274="","",COUNTIF($B$6:$B274,$B274))</f>
        <v>4</v>
      </c>
      <c r="E274" s="361" t="s">
        <v>2760</v>
      </c>
      <c r="F274" s="362" t="s">
        <v>2761</v>
      </c>
      <c r="G274" s="327" t="s">
        <v>328</v>
      </c>
      <c r="H274" s="325"/>
      <c r="I274" s="327">
        <v>4</v>
      </c>
      <c r="J274" s="361" t="s">
        <v>698</v>
      </c>
      <c r="K274" s="327" t="s">
        <v>516</v>
      </c>
      <c r="L274" s="348">
        <f t="shared" si="25"/>
        <v>662592</v>
      </c>
      <c r="M274" s="355"/>
      <c r="N274" s="355" t="str">
        <f t="shared" si="16"/>
        <v>PR</v>
      </c>
      <c r="O274" s="345"/>
      <c r="P274" s="325"/>
      <c r="Q274" s="351"/>
      <c r="R274" s="351">
        <v>1.4</v>
      </c>
      <c r="S274" s="351">
        <v>5.8</v>
      </c>
      <c r="T274" s="351">
        <v>1.0880000000000001</v>
      </c>
      <c r="U274" s="329">
        <f>IF($N274=$N$4,IFERROR(INDEX(DanhMuc!$E$154:$E$165,MATCH(MID($B274,4,2),DanhMuc!$B$154:$B$165,0)),""),"")</f>
        <v>5700</v>
      </c>
      <c r="V274" s="325"/>
      <c r="W274" s="352" t="str">
        <f>+IF(AND($A274&lt;&gt;"",LEN($B274)&gt;=8,COUNTIF($B$6:$B274,$B274)=1),$W$5,"")</f>
        <v/>
      </c>
      <c r="X274" s="329" t="str">
        <f t="shared" si="23"/>
        <v>XF</v>
      </c>
      <c r="Y274" s="1128" t="s">
        <v>3380</v>
      </c>
      <c r="Z274" s="1128" t="s">
        <v>3381</v>
      </c>
      <c r="AA274" s="1128" t="s">
        <v>3384</v>
      </c>
      <c r="AC274" s="73"/>
    </row>
    <row r="275" spans="1:29" s="20" customFormat="1">
      <c r="A275" s="327" t="str">
        <f>IF(AND($B275&lt;&gt;"",$C275&lt;&gt;""),MAX($A$4:A274)+1,"")</f>
        <v/>
      </c>
      <c r="B275" s="361" t="s">
        <v>220</v>
      </c>
      <c r="C275" s="364"/>
      <c r="D275" s="327">
        <f>IF($B275="","",COUNTIF($B$6:$B275,$B275))</f>
        <v>5</v>
      </c>
      <c r="E275" s="361" t="s">
        <v>24</v>
      </c>
      <c r="F275" s="362" t="s">
        <v>82</v>
      </c>
      <c r="G275" s="327" t="s">
        <v>328</v>
      </c>
      <c r="H275" s="325"/>
      <c r="I275" s="327">
        <v>1</v>
      </c>
      <c r="J275" s="361" t="s">
        <v>704</v>
      </c>
      <c r="K275" s="327" t="s">
        <v>531</v>
      </c>
      <c r="L275" s="348">
        <f t="shared" si="25"/>
        <v>542619</v>
      </c>
      <c r="M275" s="355"/>
      <c r="N275" s="355" t="str">
        <f t="shared" si="16"/>
        <v>PR</v>
      </c>
      <c r="O275" s="345"/>
      <c r="P275" s="325"/>
      <c r="Q275" s="351"/>
      <c r="R275" s="351">
        <v>1.8</v>
      </c>
      <c r="S275" s="351">
        <v>5.8</v>
      </c>
      <c r="T275" s="351">
        <v>0.89100000000000001</v>
      </c>
      <c r="U275" s="329">
        <f>IF($N275=$N$4,IFERROR(INDEX(DanhMuc!$E$154:$E$165,MATCH(MID($B275,4,2),DanhMuc!$B$154:$B$165,0)),""),"")</f>
        <v>5700</v>
      </c>
      <c r="V275" s="325"/>
      <c r="W275" s="352" t="str">
        <f>+IF(AND($A275&lt;&gt;"",LEN($B275)&gt;=8,COUNTIF($B$6:$B275,$B275)=1),$W$5,"")</f>
        <v/>
      </c>
      <c r="X275" s="329" t="str">
        <f t="shared" si="23"/>
        <v>XF</v>
      </c>
      <c r="Y275" s="1128" t="s">
        <v>3380</v>
      </c>
      <c r="Z275" s="1128" t="s">
        <v>3381</v>
      </c>
      <c r="AA275" s="1128" t="s">
        <v>3384</v>
      </c>
      <c r="AC275" s="73"/>
    </row>
    <row r="276" spans="1:29" s="20" customFormat="1">
      <c r="A276" s="327" t="str">
        <f>IF(AND($B276&lt;&gt;"",$C276&lt;&gt;""),MAX($A$4:A275)+1,"")</f>
        <v/>
      </c>
      <c r="B276" s="361" t="s">
        <v>220</v>
      </c>
      <c r="C276" s="364"/>
      <c r="D276" s="327">
        <f>IF($B276="","",COUNTIF($B$6:$B276,$B276))</f>
        <v>6</v>
      </c>
      <c r="E276" s="361" t="s">
        <v>27</v>
      </c>
      <c r="F276" s="362" t="s">
        <v>346</v>
      </c>
      <c r="G276" s="327" t="s">
        <v>329</v>
      </c>
      <c r="H276" s="325"/>
      <c r="I276" s="327">
        <v>4</v>
      </c>
      <c r="J276" s="361" t="s">
        <v>708</v>
      </c>
      <c r="K276" s="327" t="s">
        <v>531</v>
      </c>
      <c r="L276" s="348">
        <f t="shared" si="25"/>
        <v>165039</v>
      </c>
      <c r="M276" s="355"/>
      <c r="N276" s="355" t="str">
        <f t="shared" si="16"/>
        <v>PR</v>
      </c>
      <c r="O276" s="347">
        <v>10</v>
      </c>
      <c r="P276" s="325"/>
      <c r="Q276" s="351"/>
      <c r="R276" s="351">
        <v>1</v>
      </c>
      <c r="S276" s="351">
        <v>5.8</v>
      </c>
      <c r="T276" s="351">
        <v>0.27100000000000002</v>
      </c>
      <c r="U276" s="329">
        <f>IF($N276=$N$4,IFERROR(INDEX(DanhMuc!$E$154:$E$165,MATCH(MID($B276,4,2),DanhMuc!$B$154:$B$165,0)),""),"")</f>
        <v>5700</v>
      </c>
      <c r="V276" s="325"/>
      <c r="W276" s="352" t="str">
        <f>+IF(AND($A276&lt;&gt;"",LEN($B276)&gt;=8,COUNTIF($B$6:$B276,$B276)=1),$W$5,"")</f>
        <v/>
      </c>
      <c r="X276" s="329" t="str">
        <f t="shared" si="23"/>
        <v>XF</v>
      </c>
      <c r="Y276" s="1128" t="s">
        <v>3380</v>
      </c>
      <c r="Z276" s="1128" t="s">
        <v>3381</v>
      </c>
      <c r="AA276" s="1128" t="s">
        <v>3384</v>
      </c>
      <c r="AC276" s="73"/>
    </row>
    <row r="277" spans="1:29" s="20" customFormat="1">
      <c r="A277" s="327" t="str">
        <f>IF(AND($B277&lt;&gt;"",$C277&lt;&gt;""),MAX($A$4:A276)+1,"")</f>
        <v/>
      </c>
      <c r="B277" s="361" t="s">
        <v>220</v>
      </c>
      <c r="C277" s="364"/>
      <c r="D277" s="327">
        <f>IF($B277="","",COUNTIF($B$6:$B277,$B277))</f>
        <v>7</v>
      </c>
      <c r="E277" s="361" t="s">
        <v>27</v>
      </c>
      <c r="F277" s="362" t="s">
        <v>346</v>
      </c>
      <c r="G277" s="327" t="s">
        <v>328</v>
      </c>
      <c r="H277" s="325"/>
      <c r="I277" s="327">
        <v>4</v>
      </c>
      <c r="J277" s="361" t="s">
        <v>707</v>
      </c>
      <c r="K277" s="327" t="s">
        <v>531</v>
      </c>
      <c r="L277" s="348">
        <f t="shared" si="25"/>
        <v>165039</v>
      </c>
      <c r="M277" s="355"/>
      <c r="N277" s="355" t="str">
        <f t="shared" si="16"/>
        <v>PR</v>
      </c>
      <c r="O277" s="347">
        <v>10</v>
      </c>
      <c r="P277" s="325"/>
      <c r="Q277" s="351"/>
      <c r="R277" s="351">
        <v>1</v>
      </c>
      <c r="S277" s="351">
        <v>5.8</v>
      </c>
      <c r="T277" s="351">
        <v>0.27100000000000002</v>
      </c>
      <c r="U277" s="329">
        <f>IF($N277=$N$4,IFERROR(INDEX(DanhMuc!$E$154:$E$165,MATCH(MID($B277,4,2),DanhMuc!$B$154:$B$165,0)),""),"")</f>
        <v>5700</v>
      </c>
      <c r="V277" s="325"/>
      <c r="W277" s="352" t="str">
        <f>+IF(AND($A277&lt;&gt;"",LEN($B277)&gt;=8,COUNTIF($B$6:$B277,$B277)=1),$W$5,"")</f>
        <v/>
      </c>
      <c r="X277" s="329" t="str">
        <f t="shared" si="23"/>
        <v>XF</v>
      </c>
      <c r="Y277" s="1128" t="s">
        <v>3380</v>
      </c>
      <c r="Z277" s="1128" t="s">
        <v>3381</v>
      </c>
      <c r="AA277" s="1128" t="s">
        <v>3384</v>
      </c>
      <c r="AC277" s="73"/>
    </row>
    <row r="278" spans="1:29" s="20" customFormat="1">
      <c r="A278" s="327" t="str">
        <f>IF(AND($B278&lt;&gt;"",$C278&lt;&gt;""),MAX($A$4:A277)+1,"")</f>
        <v/>
      </c>
      <c r="B278" s="361" t="s">
        <v>220</v>
      </c>
      <c r="C278" s="364"/>
      <c r="D278" s="327">
        <f>IF($B278="","",COUNTIF($B$6:$B278,$B278))</f>
        <v>8</v>
      </c>
      <c r="E278" s="361" t="s">
        <v>385</v>
      </c>
      <c r="F278" s="362" t="s">
        <v>386</v>
      </c>
      <c r="G278" s="327" t="s">
        <v>329</v>
      </c>
      <c r="H278" s="325"/>
      <c r="I278" s="327">
        <v>4</v>
      </c>
      <c r="J278" s="361" t="s">
        <v>708</v>
      </c>
      <c r="K278" s="327" t="s">
        <v>531</v>
      </c>
      <c r="L278" s="348">
        <f t="shared" si="25"/>
        <v>138243</v>
      </c>
      <c r="M278" s="355"/>
      <c r="N278" s="355" t="str">
        <f t="shared" si="16"/>
        <v>PR</v>
      </c>
      <c r="O278" s="347">
        <v>19</v>
      </c>
      <c r="P278" s="325"/>
      <c r="Q278" s="351"/>
      <c r="R278" s="351">
        <v>1</v>
      </c>
      <c r="S278" s="351">
        <v>5.8</v>
      </c>
      <c r="T278" s="351">
        <v>0.22700000000000001</v>
      </c>
      <c r="U278" s="329">
        <f>IF($N278=$N$4,IFERROR(INDEX(DanhMuc!$E$154:$E$165,MATCH(MID($B278,4,2),DanhMuc!$B$154:$B$165,0)),""),"")</f>
        <v>5700</v>
      </c>
      <c r="V278" s="325"/>
      <c r="W278" s="352" t="str">
        <f>+IF(AND($A278&lt;&gt;"",LEN($B278)&gt;=8,COUNTIF($B$6:$B278,$B278)=1),$W$5,"")</f>
        <v/>
      </c>
      <c r="X278" s="329" t="str">
        <f t="shared" si="23"/>
        <v>XF</v>
      </c>
      <c r="Y278" s="1128" t="s">
        <v>3380</v>
      </c>
      <c r="Z278" s="1128" t="s">
        <v>3381</v>
      </c>
      <c r="AA278" s="1128" t="s">
        <v>3384</v>
      </c>
      <c r="AC278" s="73"/>
    </row>
    <row r="279" spans="1:29" s="20" customFormat="1">
      <c r="A279" s="327" t="str">
        <f>IF(AND($B279&lt;&gt;"",$C279&lt;&gt;""),MAX($A$4:A278)+1,"")</f>
        <v/>
      </c>
      <c r="B279" s="361" t="s">
        <v>220</v>
      </c>
      <c r="C279" s="364"/>
      <c r="D279" s="327">
        <f>IF($B279="","",COUNTIF($B$6:$B279,$B279))</f>
        <v>9</v>
      </c>
      <c r="E279" s="361" t="s">
        <v>385</v>
      </c>
      <c r="F279" s="362" t="s">
        <v>386</v>
      </c>
      <c r="G279" s="327" t="s">
        <v>328</v>
      </c>
      <c r="H279" s="325"/>
      <c r="I279" s="327">
        <v>4</v>
      </c>
      <c r="J279" s="361" t="s">
        <v>707</v>
      </c>
      <c r="K279" s="327" t="s">
        <v>531</v>
      </c>
      <c r="L279" s="348">
        <f t="shared" si="25"/>
        <v>138243</v>
      </c>
      <c r="M279" s="355"/>
      <c r="N279" s="355" t="str">
        <f t="shared" si="16"/>
        <v>PR</v>
      </c>
      <c r="O279" s="347">
        <v>19</v>
      </c>
      <c r="P279" s="325"/>
      <c r="Q279" s="351"/>
      <c r="R279" s="351">
        <v>1</v>
      </c>
      <c r="S279" s="351">
        <v>5.8</v>
      </c>
      <c r="T279" s="351">
        <v>0.22700000000000001</v>
      </c>
      <c r="U279" s="329">
        <f>IF($N279=$N$4,IFERROR(INDEX(DanhMuc!$E$154:$E$165,MATCH(MID($B279,4,2),DanhMuc!$B$154:$B$165,0)),""),"")</f>
        <v>5700</v>
      </c>
      <c r="V279" s="325"/>
      <c r="W279" s="352" t="str">
        <f>+IF(AND($A279&lt;&gt;"",LEN($B279)&gt;=8,COUNTIF($B$6:$B279,$B279)=1),$W$5,"")</f>
        <v/>
      </c>
      <c r="X279" s="329" t="str">
        <f t="shared" si="23"/>
        <v>XF</v>
      </c>
      <c r="Y279" s="1128" t="s">
        <v>3380</v>
      </c>
      <c r="Z279" s="1128" t="s">
        <v>3381</v>
      </c>
      <c r="AA279" s="1128" t="s">
        <v>3384</v>
      </c>
      <c r="AC279" s="73"/>
    </row>
    <row r="280" spans="1:29" s="20" customFormat="1">
      <c r="A280" s="327" t="str">
        <f>IF(AND($B280&lt;&gt;"",$C280&lt;&gt;""),MAX($A$4:A279)+1,"")</f>
        <v/>
      </c>
      <c r="B280" s="361" t="s">
        <v>220</v>
      </c>
      <c r="C280" s="364"/>
      <c r="D280" s="327">
        <f>IF($B280="","",COUNTIF($B$6:$B280,$B280))</f>
        <v>10</v>
      </c>
      <c r="E280" s="361" t="s">
        <v>630</v>
      </c>
      <c r="F280" s="362" t="s">
        <v>631</v>
      </c>
      <c r="G280" s="327" t="s">
        <v>329</v>
      </c>
      <c r="H280" s="325"/>
      <c r="I280" s="327">
        <v>4</v>
      </c>
      <c r="J280" s="361" t="s">
        <v>708</v>
      </c>
      <c r="K280" s="327" t="s">
        <v>531</v>
      </c>
      <c r="L280" s="348">
        <f t="shared" si="25"/>
        <v>135807</v>
      </c>
      <c r="M280" s="355"/>
      <c r="N280" s="355" t="str">
        <f t="shared" si="16"/>
        <v>PR</v>
      </c>
      <c r="O280" s="347">
        <v>20</v>
      </c>
      <c r="P280" s="325"/>
      <c r="Q280" s="351"/>
      <c r="R280" s="351">
        <v>1</v>
      </c>
      <c r="S280" s="351">
        <v>5.8</v>
      </c>
      <c r="T280" s="351">
        <v>0.223</v>
      </c>
      <c r="U280" s="329">
        <f>IF($N280=$N$4,IFERROR(INDEX(DanhMuc!$E$154:$E$165,MATCH(MID($B280,4,2),DanhMuc!$B$154:$B$165,0)),""),"")</f>
        <v>5700</v>
      </c>
      <c r="V280" s="325"/>
      <c r="W280" s="352" t="str">
        <f>+IF(AND($A280&lt;&gt;"",LEN($B280)&gt;=8,COUNTIF($B$6:$B280,$B280)=1),$W$5,"")</f>
        <v/>
      </c>
      <c r="X280" s="329" t="str">
        <f t="shared" si="23"/>
        <v>XF</v>
      </c>
      <c r="Y280" s="1128" t="s">
        <v>3380</v>
      </c>
      <c r="Z280" s="1128" t="s">
        <v>3381</v>
      </c>
      <c r="AA280" s="1128" t="s">
        <v>3384</v>
      </c>
      <c r="AC280" s="73"/>
    </row>
    <row r="281" spans="1:29" s="20" customFormat="1">
      <c r="A281" s="327" t="str">
        <f>IF(AND($B281&lt;&gt;"",$C281&lt;&gt;""),MAX($A$4:A280)+1,"")</f>
        <v/>
      </c>
      <c r="B281" s="361" t="s">
        <v>220</v>
      </c>
      <c r="C281" s="364"/>
      <c r="D281" s="327">
        <f>IF($B281="","",COUNTIF($B$6:$B281,$B281))</f>
        <v>11</v>
      </c>
      <c r="E281" s="361" t="s">
        <v>630</v>
      </c>
      <c r="F281" s="362" t="s">
        <v>631</v>
      </c>
      <c r="G281" s="327" t="s">
        <v>328</v>
      </c>
      <c r="H281" s="325"/>
      <c r="I281" s="327">
        <v>4</v>
      </c>
      <c r="J281" s="361" t="s">
        <v>707</v>
      </c>
      <c r="K281" s="327" t="s">
        <v>531</v>
      </c>
      <c r="L281" s="348">
        <f t="shared" si="25"/>
        <v>135807</v>
      </c>
      <c r="M281" s="355"/>
      <c r="N281" s="355" t="str">
        <f t="shared" si="16"/>
        <v>PR</v>
      </c>
      <c r="O281" s="347">
        <v>20</v>
      </c>
      <c r="P281" s="325"/>
      <c r="Q281" s="351"/>
      <c r="R281" s="351">
        <v>1</v>
      </c>
      <c r="S281" s="351">
        <v>5.8</v>
      </c>
      <c r="T281" s="351">
        <v>0.223</v>
      </c>
      <c r="U281" s="329">
        <f>IF($N281=$N$4,IFERROR(INDEX(DanhMuc!$E$154:$E$165,MATCH(MID($B281,4,2),DanhMuc!$B$154:$B$165,0)),""),"")</f>
        <v>5700</v>
      </c>
      <c r="V281" s="325"/>
      <c r="W281" s="352" t="str">
        <f>+IF(AND($A281&lt;&gt;"",LEN($B281)&gt;=8,COUNTIF($B$6:$B281,$B281)=1),$W$5,"")</f>
        <v/>
      </c>
      <c r="X281" s="329" t="str">
        <f t="shared" si="23"/>
        <v>XF</v>
      </c>
      <c r="Y281" s="1128" t="s">
        <v>3380</v>
      </c>
      <c r="Z281" s="1128" t="s">
        <v>3381</v>
      </c>
      <c r="AA281" s="1128" t="s">
        <v>3384</v>
      </c>
      <c r="AC281" s="73"/>
    </row>
    <row r="282" spans="1:29" s="20" customFormat="1" ht="26">
      <c r="A282" s="327">
        <f>IF(AND($B282&lt;&gt;"",$C282&lt;&gt;""),MAX($A$4:A281)+1,"")</f>
        <v>27</v>
      </c>
      <c r="B282" s="359" t="s">
        <v>713</v>
      </c>
      <c r="C282" s="360" t="s">
        <v>1544</v>
      </c>
      <c r="D282" s="327">
        <f>IF($B282="","",COUNTIF($B$6:$B282,$B282))</f>
        <v>1</v>
      </c>
      <c r="E282" s="363" t="s">
        <v>28</v>
      </c>
      <c r="F282" s="382" t="s">
        <v>695</v>
      </c>
      <c r="G282" s="327" t="s">
        <v>329</v>
      </c>
      <c r="H282" s="325"/>
      <c r="I282" s="327">
        <v>2</v>
      </c>
      <c r="J282" s="361" t="s">
        <v>81</v>
      </c>
      <c r="K282" s="327" t="s">
        <v>516</v>
      </c>
      <c r="L282" s="348">
        <f t="shared" si="25"/>
        <v>533484</v>
      </c>
      <c r="M282" s="355"/>
      <c r="N282" s="355" t="str">
        <f t="shared" si="16"/>
        <v>PR</v>
      </c>
      <c r="O282" s="345"/>
      <c r="P282" s="325"/>
      <c r="Q282" s="351"/>
      <c r="R282" s="351">
        <v>1.4</v>
      </c>
      <c r="S282" s="351">
        <v>5.8</v>
      </c>
      <c r="T282" s="351">
        <v>0.876</v>
      </c>
      <c r="U282" s="329">
        <f>IF($N282=$N$4,IFERROR(INDEX(DanhMuc!$E$154:$E$165,MATCH(MID($B282,4,2),DanhMuc!$B$154:$B$165,0)),""),"")</f>
        <v>5700</v>
      </c>
      <c r="V282" s="325"/>
      <c r="W282" s="352" t="str">
        <f>+IF(AND($A282&lt;&gt;"",LEN($B282)&gt;=8,COUNTIF($B$6:$B282,$B282)=1),$W$5,"")</f>
        <v>DMCua</v>
      </c>
      <c r="X282" s="329" t="str">
        <f t="shared" si="23"/>
        <v>XF</v>
      </c>
      <c r="Y282" s="1128" t="s">
        <v>3380</v>
      </c>
      <c r="Z282" s="1128" t="s">
        <v>3381</v>
      </c>
      <c r="AA282" s="1128" t="s">
        <v>3384</v>
      </c>
      <c r="AC282" s="73"/>
    </row>
    <row r="283" spans="1:29" s="20" customFormat="1">
      <c r="A283" s="327" t="str">
        <f>IF(AND($B283&lt;&gt;"",$C283&lt;&gt;""),MAX($A$4:A282)+1,"")</f>
        <v/>
      </c>
      <c r="B283" s="361" t="s">
        <v>713</v>
      </c>
      <c r="C283" s="364"/>
      <c r="D283" s="327">
        <f>IF($B283="","",COUNTIF($B$6:$B283,$B283))</f>
        <v>2</v>
      </c>
      <c r="E283" s="363" t="s">
        <v>28</v>
      </c>
      <c r="F283" s="382" t="s">
        <v>695</v>
      </c>
      <c r="G283" s="327" t="s">
        <v>328</v>
      </c>
      <c r="H283" s="325"/>
      <c r="I283" s="327">
        <v>2</v>
      </c>
      <c r="J283" s="361" t="s">
        <v>80</v>
      </c>
      <c r="K283" s="327" t="s">
        <v>516</v>
      </c>
      <c r="L283" s="348">
        <f t="shared" si="25"/>
        <v>533484</v>
      </c>
      <c r="M283" s="355"/>
      <c r="N283" s="355" t="str">
        <f t="shared" si="16"/>
        <v>PR</v>
      </c>
      <c r="O283" s="345"/>
      <c r="P283" s="325"/>
      <c r="Q283" s="351"/>
      <c r="R283" s="351">
        <v>1.4</v>
      </c>
      <c r="S283" s="351">
        <v>5.8</v>
      </c>
      <c r="T283" s="351">
        <v>0.876</v>
      </c>
      <c r="U283" s="329">
        <f>IF($N283=$N$4,IFERROR(INDEX(DanhMuc!$E$154:$E$165,MATCH(MID($B283,4,2),DanhMuc!$B$154:$B$165,0)),""),"")</f>
        <v>5700</v>
      </c>
      <c r="V283" s="325"/>
      <c r="W283" s="352" t="str">
        <f>+IF(AND($A283&lt;&gt;"",LEN($B283)&gt;=8,COUNTIF($B$6:$B283,$B283)=1),$W$5,"")</f>
        <v/>
      </c>
      <c r="X283" s="329" t="str">
        <f t="shared" si="23"/>
        <v>XF</v>
      </c>
      <c r="Y283" s="1128" t="s">
        <v>3380</v>
      </c>
      <c r="Z283" s="1128" t="s">
        <v>3381</v>
      </c>
      <c r="AA283" s="1128" t="s">
        <v>3384</v>
      </c>
      <c r="AC283" s="73"/>
    </row>
    <row r="284" spans="1:29" s="20" customFormat="1">
      <c r="A284" s="327" t="str">
        <f>IF(AND($B284&lt;&gt;"",$C284&lt;&gt;""),MAX($A$4:A283)+1,"")</f>
        <v/>
      </c>
      <c r="B284" s="361" t="s">
        <v>713</v>
      </c>
      <c r="C284" s="364"/>
      <c r="D284" s="327">
        <f>IF($B284="","",COUNTIF($B$6:$B284,$B284))</f>
        <v>3</v>
      </c>
      <c r="E284" s="361" t="s">
        <v>2760</v>
      </c>
      <c r="F284" s="362" t="s">
        <v>2761</v>
      </c>
      <c r="G284" s="327" t="s">
        <v>329</v>
      </c>
      <c r="H284" s="325"/>
      <c r="I284" s="327">
        <v>6</v>
      </c>
      <c r="J284" s="361" t="s">
        <v>717</v>
      </c>
      <c r="K284" s="327" t="s">
        <v>516</v>
      </c>
      <c r="L284" s="348">
        <f t="shared" si="25"/>
        <v>662592</v>
      </c>
      <c r="M284" s="355"/>
      <c r="N284" s="355" t="str">
        <f t="shared" si="16"/>
        <v>PR</v>
      </c>
      <c r="O284" s="345"/>
      <c r="P284" s="325"/>
      <c r="Q284" s="351"/>
      <c r="R284" s="351">
        <v>1.4</v>
      </c>
      <c r="S284" s="351">
        <v>5.8</v>
      </c>
      <c r="T284" s="351">
        <v>1.0880000000000001</v>
      </c>
      <c r="U284" s="329">
        <f>IF($N284=$N$4,IFERROR(INDEX(DanhMuc!$E$154:$E$165,MATCH(MID($B284,4,2),DanhMuc!$B$154:$B$165,0)),""),"")</f>
        <v>5700</v>
      </c>
      <c r="V284" s="325"/>
      <c r="W284" s="352" t="str">
        <f>+IF(AND($A284&lt;&gt;"",LEN($B284)&gt;=8,COUNTIF($B$6:$B284,$B284)=1),$W$5,"")</f>
        <v/>
      </c>
      <c r="X284" s="329" t="str">
        <f t="shared" si="23"/>
        <v>XF</v>
      </c>
      <c r="Y284" s="1128" t="s">
        <v>3380</v>
      </c>
      <c r="Z284" s="1128" t="s">
        <v>3381</v>
      </c>
      <c r="AA284" s="1128" t="s">
        <v>3384</v>
      </c>
      <c r="AC284" s="73"/>
    </row>
    <row r="285" spans="1:29" s="20" customFormat="1">
      <c r="A285" s="327" t="str">
        <f>IF(AND($B285&lt;&gt;"",$C285&lt;&gt;""),MAX($A$4:A284)+1,"")</f>
        <v/>
      </c>
      <c r="B285" s="361" t="s">
        <v>713</v>
      </c>
      <c r="C285" s="364"/>
      <c r="D285" s="327">
        <f>IF($B285="","",COUNTIF($B$6:$B285,$B285))</f>
        <v>4</v>
      </c>
      <c r="E285" s="361" t="s">
        <v>2760</v>
      </c>
      <c r="F285" s="362" t="s">
        <v>2761</v>
      </c>
      <c r="G285" s="327" t="s">
        <v>328</v>
      </c>
      <c r="H285" s="325"/>
      <c r="I285" s="327">
        <v>6</v>
      </c>
      <c r="J285" s="361" t="s">
        <v>698</v>
      </c>
      <c r="K285" s="327" t="s">
        <v>516</v>
      </c>
      <c r="L285" s="348">
        <f t="shared" si="25"/>
        <v>662592</v>
      </c>
      <c r="M285" s="355"/>
      <c r="N285" s="355" t="str">
        <f t="shared" si="16"/>
        <v>PR</v>
      </c>
      <c r="O285" s="345"/>
      <c r="P285" s="325"/>
      <c r="Q285" s="351"/>
      <c r="R285" s="351">
        <v>1.4</v>
      </c>
      <c r="S285" s="351">
        <v>5.8</v>
      </c>
      <c r="T285" s="351">
        <v>1.0880000000000001</v>
      </c>
      <c r="U285" s="329">
        <f>IF($N285=$N$4,IFERROR(INDEX(DanhMuc!$E$154:$E$165,MATCH(MID($B285,4,2),DanhMuc!$B$154:$B$165,0)),""),"")</f>
        <v>5700</v>
      </c>
      <c r="V285" s="325"/>
      <c r="W285" s="352" t="str">
        <f>+IF(AND($A285&lt;&gt;"",LEN($B285)&gt;=8,COUNTIF($B$6:$B285,$B285)=1),$W$5,"")</f>
        <v/>
      </c>
      <c r="X285" s="329" t="str">
        <f t="shared" si="23"/>
        <v>XF</v>
      </c>
      <c r="Y285" s="1128" t="s">
        <v>3380</v>
      </c>
      <c r="Z285" s="1128" t="s">
        <v>3381</v>
      </c>
      <c r="AA285" s="1128" t="s">
        <v>3384</v>
      </c>
      <c r="AC285" s="73"/>
    </row>
    <row r="286" spans="1:29" s="20" customFormat="1">
      <c r="A286" s="327" t="str">
        <f>IF(AND($B286&lt;&gt;"",$C286&lt;&gt;""),MAX($A$4:A285)+1,"")</f>
        <v/>
      </c>
      <c r="B286" s="361" t="s">
        <v>713</v>
      </c>
      <c r="C286" s="364"/>
      <c r="D286" s="327">
        <f>IF($B286="","",COUNTIF($B$6:$B286,$B286))</f>
        <v>5</v>
      </c>
      <c r="E286" s="361" t="s">
        <v>29</v>
      </c>
      <c r="F286" s="362" t="s">
        <v>719</v>
      </c>
      <c r="G286" s="327" t="s">
        <v>328</v>
      </c>
      <c r="H286" s="325"/>
      <c r="I286" s="327">
        <v>1</v>
      </c>
      <c r="J286" s="361" t="s">
        <v>718</v>
      </c>
      <c r="K286" s="327" t="s">
        <v>531</v>
      </c>
      <c r="L286" s="348">
        <f t="shared" si="25"/>
        <v>615090</v>
      </c>
      <c r="M286" s="355"/>
      <c r="N286" s="355" t="str">
        <f t="shared" si="16"/>
        <v>PR</v>
      </c>
      <c r="O286" s="345"/>
      <c r="P286" s="325"/>
      <c r="Q286" s="351"/>
      <c r="R286" s="351">
        <v>1.4</v>
      </c>
      <c r="S286" s="351">
        <v>5.8</v>
      </c>
      <c r="T286" s="351">
        <v>1.01</v>
      </c>
      <c r="U286" s="329">
        <f>IF($N286=$N$4,IFERROR(INDEX(DanhMuc!$E$154:$E$165,MATCH(MID($B286,4,2),DanhMuc!$B$154:$B$165,0)),""),"")</f>
        <v>5700</v>
      </c>
      <c r="V286" s="325"/>
      <c r="W286" s="352" t="str">
        <f>+IF(AND($A286&lt;&gt;"",LEN($B286)&gt;=8,COUNTIF($B$6:$B286,$B286)=1),$W$5,"")</f>
        <v/>
      </c>
      <c r="X286" s="329" t="str">
        <f t="shared" si="23"/>
        <v>XF</v>
      </c>
      <c r="Y286" s="1128" t="s">
        <v>3380</v>
      </c>
      <c r="Z286" s="1128" t="s">
        <v>3381</v>
      </c>
      <c r="AA286" s="1128" t="s">
        <v>3384</v>
      </c>
      <c r="AC286" s="73"/>
    </row>
    <row r="287" spans="1:29" s="20" customFormat="1">
      <c r="A287" s="327" t="str">
        <f>IF(AND($B287&lt;&gt;"",$C287&lt;&gt;""),MAX($A$4:A286)+1,"")</f>
        <v/>
      </c>
      <c r="B287" s="361" t="s">
        <v>713</v>
      </c>
      <c r="C287" s="364"/>
      <c r="D287" s="327">
        <f>IF($B287="","",COUNTIF($B$6:$B287,$B287))</f>
        <v>6</v>
      </c>
      <c r="E287" s="361" t="s">
        <v>24</v>
      </c>
      <c r="F287" s="362" t="s">
        <v>82</v>
      </c>
      <c r="G287" s="327" t="s">
        <v>328</v>
      </c>
      <c r="H287" s="325"/>
      <c r="I287" s="327">
        <v>1</v>
      </c>
      <c r="J287" s="361" t="s">
        <v>704</v>
      </c>
      <c r="K287" s="327" t="s">
        <v>531</v>
      </c>
      <c r="L287" s="348">
        <f t="shared" si="25"/>
        <v>542619</v>
      </c>
      <c r="M287" s="355"/>
      <c r="N287" s="355" t="str">
        <f t="shared" si="16"/>
        <v>PR</v>
      </c>
      <c r="O287" s="345"/>
      <c r="P287" s="325"/>
      <c r="Q287" s="351"/>
      <c r="R287" s="351">
        <v>1.8</v>
      </c>
      <c r="S287" s="351">
        <v>5.8</v>
      </c>
      <c r="T287" s="351">
        <v>0.89100000000000001</v>
      </c>
      <c r="U287" s="329">
        <f>IF($N287=$N$4,IFERROR(INDEX(DanhMuc!$E$154:$E$165,MATCH(MID($B287,4,2),DanhMuc!$B$154:$B$165,0)),""),"")</f>
        <v>5700</v>
      </c>
      <c r="V287" s="325"/>
      <c r="W287" s="352" t="str">
        <f>+IF(AND($A287&lt;&gt;"",LEN($B287)&gt;=8,COUNTIF($B$6:$B287,$B287)=1),$W$5,"")</f>
        <v/>
      </c>
      <c r="X287" s="329" t="str">
        <f t="shared" si="23"/>
        <v>XF</v>
      </c>
      <c r="Y287" s="1128" t="s">
        <v>3380</v>
      </c>
      <c r="Z287" s="1128" t="s">
        <v>3381</v>
      </c>
      <c r="AA287" s="1128" t="s">
        <v>3384</v>
      </c>
      <c r="AC287" s="73"/>
    </row>
    <row r="288" spans="1:29" s="20" customFormat="1">
      <c r="A288" s="327" t="str">
        <f>IF(AND($B288&lt;&gt;"",$C288&lt;&gt;""),MAX($A$4:A287)+1,"")</f>
        <v/>
      </c>
      <c r="B288" s="361" t="s">
        <v>713</v>
      </c>
      <c r="C288" s="364"/>
      <c r="D288" s="327">
        <f>IF($B288="","",COUNTIF($B$6:$B288,$B288))</f>
        <v>7</v>
      </c>
      <c r="E288" s="361" t="s">
        <v>27</v>
      </c>
      <c r="F288" s="362" t="s">
        <v>346</v>
      </c>
      <c r="G288" s="327" t="s">
        <v>329</v>
      </c>
      <c r="H288" s="325"/>
      <c r="I288" s="327">
        <v>6</v>
      </c>
      <c r="J288" s="361" t="s">
        <v>720</v>
      </c>
      <c r="K288" s="327" t="s">
        <v>531</v>
      </c>
      <c r="L288" s="348">
        <f t="shared" si="25"/>
        <v>165039</v>
      </c>
      <c r="M288" s="355"/>
      <c r="N288" s="355" t="str">
        <f t="shared" si="16"/>
        <v>PR</v>
      </c>
      <c r="O288" s="347">
        <v>10</v>
      </c>
      <c r="P288" s="325"/>
      <c r="Q288" s="351"/>
      <c r="R288" s="351">
        <v>1</v>
      </c>
      <c r="S288" s="351">
        <v>5.8</v>
      </c>
      <c r="T288" s="351">
        <v>0.27100000000000002</v>
      </c>
      <c r="U288" s="329">
        <f>IF($N288=$N$4,IFERROR(INDEX(DanhMuc!$E$154:$E$165,MATCH(MID($B288,4,2),DanhMuc!$B$154:$B$165,0)),""),"")</f>
        <v>5700</v>
      </c>
      <c r="V288" s="325"/>
      <c r="W288" s="352" t="str">
        <f>+IF(AND($A288&lt;&gt;"",LEN($B288)&gt;=8,COUNTIF($B$6:$B288,$B288)=1),$W$5,"")</f>
        <v/>
      </c>
      <c r="X288" s="329" t="str">
        <f t="shared" si="23"/>
        <v>XF</v>
      </c>
      <c r="Y288" s="1128" t="s">
        <v>3380</v>
      </c>
      <c r="Z288" s="1128" t="s">
        <v>3381</v>
      </c>
      <c r="AA288" s="1128" t="s">
        <v>3384</v>
      </c>
      <c r="AC288" s="73"/>
    </row>
    <row r="289" spans="1:29" s="20" customFormat="1">
      <c r="A289" s="327" t="str">
        <f>IF(AND($B289&lt;&gt;"",$C289&lt;&gt;""),MAX($A$4:A288)+1,"")</f>
        <v/>
      </c>
      <c r="B289" s="361" t="s">
        <v>713</v>
      </c>
      <c r="C289" s="364"/>
      <c r="D289" s="327">
        <f>IF($B289="","",COUNTIF($B$6:$B289,$B289))</f>
        <v>8</v>
      </c>
      <c r="E289" s="361" t="s">
        <v>27</v>
      </c>
      <c r="F289" s="362" t="s">
        <v>346</v>
      </c>
      <c r="G289" s="327" t="s">
        <v>328</v>
      </c>
      <c r="H289" s="325"/>
      <c r="I289" s="327">
        <v>6</v>
      </c>
      <c r="J289" s="361" t="s">
        <v>707</v>
      </c>
      <c r="K289" s="327" t="s">
        <v>531</v>
      </c>
      <c r="L289" s="348">
        <f t="shared" si="25"/>
        <v>165039</v>
      </c>
      <c r="M289" s="355"/>
      <c r="N289" s="355" t="str">
        <f t="shared" si="16"/>
        <v>PR</v>
      </c>
      <c r="O289" s="347">
        <v>10</v>
      </c>
      <c r="P289" s="325"/>
      <c r="Q289" s="351"/>
      <c r="R289" s="351">
        <v>1</v>
      </c>
      <c r="S289" s="351">
        <v>5.8</v>
      </c>
      <c r="T289" s="351">
        <v>0.27100000000000002</v>
      </c>
      <c r="U289" s="329">
        <f>IF($N289=$N$4,IFERROR(INDEX(DanhMuc!$E$154:$E$165,MATCH(MID($B289,4,2),DanhMuc!$B$154:$B$165,0)),""),"")</f>
        <v>5700</v>
      </c>
      <c r="V289" s="325"/>
      <c r="W289" s="352" t="str">
        <f>+IF(AND($A289&lt;&gt;"",LEN($B289)&gt;=8,COUNTIF($B$6:$B289,$B289)=1),$W$5,"")</f>
        <v/>
      </c>
      <c r="X289" s="329" t="str">
        <f t="shared" si="23"/>
        <v>XF</v>
      </c>
      <c r="Y289" s="1128" t="s">
        <v>3380</v>
      </c>
      <c r="Z289" s="1128" t="s">
        <v>3381</v>
      </c>
      <c r="AA289" s="1128" t="s">
        <v>3384</v>
      </c>
      <c r="AC289" s="73"/>
    </row>
    <row r="290" spans="1:29" s="20" customFormat="1">
      <c r="A290" s="327" t="str">
        <f>IF(AND($B290&lt;&gt;"",$C290&lt;&gt;""),MAX($A$4:A289)+1,"")</f>
        <v/>
      </c>
      <c r="B290" s="361" t="s">
        <v>713</v>
      </c>
      <c r="C290" s="364"/>
      <c r="D290" s="327">
        <f>IF($B290="","",COUNTIF($B$6:$B290,$B290))</f>
        <v>9</v>
      </c>
      <c r="E290" s="361" t="s">
        <v>385</v>
      </c>
      <c r="F290" s="362" t="s">
        <v>386</v>
      </c>
      <c r="G290" s="327" t="s">
        <v>329</v>
      </c>
      <c r="H290" s="325"/>
      <c r="I290" s="327">
        <v>6</v>
      </c>
      <c r="J290" s="361" t="s">
        <v>720</v>
      </c>
      <c r="K290" s="327" t="s">
        <v>531</v>
      </c>
      <c r="L290" s="348">
        <f t="shared" si="25"/>
        <v>138243</v>
      </c>
      <c r="M290" s="355"/>
      <c r="N290" s="355" t="str">
        <f t="shared" si="16"/>
        <v>PR</v>
      </c>
      <c r="O290" s="347">
        <v>19</v>
      </c>
      <c r="P290" s="325"/>
      <c r="Q290" s="351"/>
      <c r="R290" s="351">
        <v>1</v>
      </c>
      <c r="S290" s="351">
        <v>5.8</v>
      </c>
      <c r="T290" s="351">
        <v>0.22700000000000001</v>
      </c>
      <c r="U290" s="329">
        <f>IF($N290=$N$4,IFERROR(INDEX(DanhMuc!$E$154:$E$165,MATCH(MID($B290,4,2),DanhMuc!$B$154:$B$165,0)),""),"")</f>
        <v>5700</v>
      </c>
      <c r="V290" s="325"/>
      <c r="W290" s="352" t="str">
        <f>+IF(AND($A290&lt;&gt;"",LEN($B290)&gt;=8,COUNTIF($B$6:$B290,$B290)=1),$W$5,"")</f>
        <v/>
      </c>
      <c r="X290" s="329" t="str">
        <f t="shared" si="23"/>
        <v>XF</v>
      </c>
      <c r="Y290" s="1128" t="s">
        <v>3380</v>
      </c>
      <c r="Z290" s="1128" t="s">
        <v>3381</v>
      </c>
      <c r="AA290" s="1128" t="s">
        <v>3384</v>
      </c>
      <c r="AC290" s="73"/>
    </row>
    <row r="291" spans="1:29" s="20" customFormat="1">
      <c r="A291" s="327" t="str">
        <f>IF(AND($B291&lt;&gt;"",$C291&lt;&gt;""),MAX($A$4:A290)+1,"")</f>
        <v/>
      </c>
      <c r="B291" s="361" t="s">
        <v>713</v>
      </c>
      <c r="C291" s="364"/>
      <c r="D291" s="327">
        <f>IF($B291="","",COUNTIF($B$6:$B291,$B291))</f>
        <v>10</v>
      </c>
      <c r="E291" s="361" t="s">
        <v>385</v>
      </c>
      <c r="F291" s="362" t="s">
        <v>386</v>
      </c>
      <c r="G291" s="327" t="s">
        <v>328</v>
      </c>
      <c r="H291" s="325"/>
      <c r="I291" s="327">
        <v>6</v>
      </c>
      <c r="J291" s="361" t="s">
        <v>707</v>
      </c>
      <c r="K291" s="327" t="s">
        <v>531</v>
      </c>
      <c r="L291" s="348">
        <f t="shared" si="25"/>
        <v>138243</v>
      </c>
      <c r="M291" s="355"/>
      <c r="N291" s="355" t="str">
        <f t="shared" si="16"/>
        <v>PR</v>
      </c>
      <c r="O291" s="347">
        <v>19</v>
      </c>
      <c r="P291" s="325"/>
      <c r="Q291" s="351"/>
      <c r="R291" s="351">
        <v>1</v>
      </c>
      <c r="S291" s="351">
        <v>5.8</v>
      </c>
      <c r="T291" s="351">
        <v>0.22700000000000001</v>
      </c>
      <c r="U291" s="329">
        <f>IF($N291=$N$4,IFERROR(INDEX(DanhMuc!$E$154:$E$165,MATCH(MID($B291,4,2),DanhMuc!$B$154:$B$165,0)),""),"")</f>
        <v>5700</v>
      </c>
      <c r="V291" s="325"/>
      <c r="W291" s="352" t="str">
        <f>+IF(AND($A291&lt;&gt;"",LEN($B291)&gt;=8,COUNTIF($B$6:$B291,$B291)=1),$W$5,"")</f>
        <v/>
      </c>
      <c r="X291" s="329" t="str">
        <f t="shared" si="23"/>
        <v>XF</v>
      </c>
      <c r="Y291" s="1128" t="s">
        <v>3380</v>
      </c>
      <c r="Z291" s="1128" t="s">
        <v>3381</v>
      </c>
      <c r="AA291" s="1128" t="s">
        <v>3384</v>
      </c>
      <c r="AC291" s="73"/>
    </row>
    <row r="292" spans="1:29" s="20" customFormat="1">
      <c r="A292" s="327" t="str">
        <f>IF(AND($B292&lt;&gt;"",$C292&lt;&gt;""),MAX($A$4:A291)+1,"")</f>
        <v/>
      </c>
      <c r="B292" s="361" t="s">
        <v>713</v>
      </c>
      <c r="C292" s="364"/>
      <c r="D292" s="327">
        <f>IF($B292="","",COUNTIF($B$6:$B292,$B292))</f>
        <v>11</v>
      </c>
      <c r="E292" s="361" t="s">
        <v>630</v>
      </c>
      <c r="F292" s="362" t="s">
        <v>631</v>
      </c>
      <c r="G292" s="327" t="s">
        <v>329</v>
      </c>
      <c r="H292" s="325"/>
      <c r="I292" s="327">
        <v>6</v>
      </c>
      <c r="J292" s="361" t="s">
        <v>720</v>
      </c>
      <c r="K292" s="327" t="s">
        <v>531</v>
      </c>
      <c r="L292" s="348">
        <f t="shared" si="25"/>
        <v>135807</v>
      </c>
      <c r="M292" s="355"/>
      <c r="N292" s="355" t="str">
        <f t="shared" si="16"/>
        <v>PR</v>
      </c>
      <c r="O292" s="347">
        <v>20</v>
      </c>
      <c r="P292" s="325"/>
      <c r="Q292" s="351"/>
      <c r="R292" s="351">
        <v>1</v>
      </c>
      <c r="S292" s="351">
        <v>5.8</v>
      </c>
      <c r="T292" s="351">
        <v>0.223</v>
      </c>
      <c r="U292" s="329">
        <f>IF($N292=$N$4,IFERROR(INDEX(DanhMuc!$E$154:$E$165,MATCH(MID($B292,4,2),DanhMuc!$B$154:$B$165,0)),""),"")</f>
        <v>5700</v>
      </c>
      <c r="V292" s="325"/>
      <c r="W292" s="352" t="str">
        <f>+IF(AND($A292&lt;&gt;"",LEN($B292)&gt;=8,COUNTIF($B$6:$B292,$B292)=1),$W$5,"")</f>
        <v/>
      </c>
      <c r="X292" s="329" t="str">
        <f t="shared" si="23"/>
        <v>XF</v>
      </c>
      <c r="Y292" s="1128" t="s">
        <v>3380</v>
      </c>
      <c r="Z292" s="1128" t="s">
        <v>3381</v>
      </c>
      <c r="AA292" s="1128" t="s">
        <v>3384</v>
      </c>
      <c r="AC292" s="73"/>
    </row>
    <row r="293" spans="1:29" s="20" customFormat="1">
      <c r="A293" s="327" t="str">
        <f>IF(AND($B293&lt;&gt;"",$C293&lt;&gt;""),MAX($A$4:A292)+1,"")</f>
        <v/>
      </c>
      <c r="B293" s="361" t="s">
        <v>713</v>
      </c>
      <c r="C293" s="364"/>
      <c r="D293" s="327">
        <f>IF($B293="","",COUNTIF($B$6:$B293,$B293))</f>
        <v>12</v>
      </c>
      <c r="E293" s="361" t="s">
        <v>630</v>
      </c>
      <c r="F293" s="362" t="s">
        <v>631</v>
      </c>
      <c r="G293" s="327" t="s">
        <v>328</v>
      </c>
      <c r="H293" s="325"/>
      <c r="I293" s="327">
        <v>6</v>
      </c>
      <c r="J293" s="361" t="s">
        <v>707</v>
      </c>
      <c r="K293" s="327" t="s">
        <v>531</v>
      </c>
      <c r="L293" s="348">
        <f t="shared" si="25"/>
        <v>135807</v>
      </c>
      <c r="M293" s="355"/>
      <c r="N293" s="355" t="str">
        <f t="shared" si="16"/>
        <v>PR</v>
      </c>
      <c r="O293" s="347">
        <v>20</v>
      </c>
      <c r="P293" s="325"/>
      <c r="Q293" s="351"/>
      <c r="R293" s="351">
        <v>1</v>
      </c>
      <c r="S293" s="351">
        <v>5.8</v>
      </c>
      <c r="T293" s="351">
        <v>0.223</v>
      </c>
      <c r="U293" s="329">
        <f>IF($N293=$N$4,IFERROR(INDEX(DanhMuc!$E$154:$E$165,MATCH(MID($B293,4,2),DanhMuc!$B$154:$B$165,0)),""),"")</f>
        <v>5700</v>
      </c>
      <c r="V293" s="325"/>
      <c r="W293" s="352" t="str">
        <f>+IF(AND($A293&lt;&gt;"",LEN($B293)&gt;=8,COUNTIF($B$6:$B293,$B293)=1),$W$5,"")</f>
        <v/>
      </c>
      <c r="X293" s="329" t="str">
        <f t="shared" si="23"/>
        <v>XF</v>
      </c>
      <c r="Y293" s="1128" t="s">
        <v>3380</v>
      </c>
      <c r="Z293" s="1128" t="s">
        <v>3381</v>
      </c>
      <c r="AA293" s="1128" t="s">
        <v>3384</v>
      </c>
      <c r="AC293" s="73"/>
    </row>
    <row r="294" spans="1:29" s="20" customFormat="1" ht="26">
      <c r="A294" s="327">
        <f>IF(AND($B294&lt;&gt;"",$C294&lt;&gt;""),MAX($A$4:A293)+1,"")</f>
        <v>28</v>
      </c>
      <c r="B294" s="359" t="s">
        <v>221</v>
      </c>
      <c r="C294" s="360" t="s">
        <v>1545</v>
      </c>
      <c r="D294" s="327">
        <f>IF($B294="","",COUNTIF($B$6:$B294,$B294))</f>
        <v>1</v>
      </c>
      <c r="E294" s="363" t="s">
        <v>28</v>
      </c>
      <c r="F294" s="382" t="s">
        <v>695</v>
      </c>
      <c r="G294" s="327" t="s">
        <v>329</v>
      </c>
      <c r="H294" s="325"/>
      <c r="I294" s="327">
        <v>2</v>
      </c>
      <c r="J294" s="361" t="s">
        <v>81</v>
      </c>
      <c r="K294" s="327" t="s">
        <v>516</v>
      </c>
      <c r="L294" s="348">
        <f t="shared" si="25"/>
        <v>533484</v>
      </c>
      <c r="M294" s="355"/>
      <c r="N294" s="355" t="str">
        <f t="shared" si="16"/>
        <v>PR</v>
      </c>
      <c r="O294" s="345"/>
      <c r="P294" s="325"/>
      <c r="Q294" s="351"/>
      <c r="R294" s="351">
        <v>1.4</v>
      </c>
      <c r="S294" s="351">
        <v>5.8</v>
      </c>
      <c r="T294" s="351">
        <v>0.876</v>
      </c>
      <c r="U294" s="329">
        <f>IF($N294=$N$4,IFERROR(INDEX(DanhMuc!$E$154:$E$165,MATCH(MID($B294,4,2),DanhMuc!$B$154:$B$165,0)),""),"")</f>
        <v>5700</v>
      </c>
      <c r="V294" s="325"/>
      <c r="W294" s="352" t="str">
        <f>+IF(AND($A294&lt;&gt;"",LEN($B294)&gt;=8,COUNTIF($B$6:$B294,$B294)=1),$W$5,"")</f>
        <v>DMCua</v>
      </c>
      <c r="X294" s="329" t="str">
        <f t="shared" si="23"/>
        <v>XF</v>
      </c>
      <c r="Y294" s="1128" t="s">
        <v>3380</v>
      </c>
      <c r="Z294" s="1128" t="s">
        <v>3381</v>
      </c>
      <c r="AA294" s="1128" t="s">
        <v>3384</v>
      </c>
      <c r="AC294" s="73"/>
    </row>
    <row r="295" spans="1:29" s="20" customFormat="1">
      <c r="A295" s="327" t="str">
        <f>IF(AND($B295&lt;&gt;"",$C295&lt;&gt;""),MAX($A$4:A294)+1,"")</f>
        <v/>
      </c>
      <c r="B295" s="361" t="s">
        <v>221</v>
      </c>
      <c r="C295" s="364"/>
      <c r="D295" s="327">
        <f>IF($B295="","",COUNTIF($B$6:$B295,$B295))</f>
        <v>2</v>
      </c>
      <c r="E295" s="363" t="s">
        <v>28</v>
      </c>
      <c r="F295" s="382" t="s">
        <v>695</v>
      </c>
      <c r="G295" s="327" t="s">
        <v>328</v>
      </c>
      <c r="H295" s="325"/>
      <c r="I295" s="327">
        <v>2</v>
      </c>
      <c r="J295" s="361" t="s">
        <v>80</v>
      </c>
      <c r="K295" s="327" t="s">
        <v>516</v>
      </c>
      <c r="L295" s="348">
        <f t="shared" ref="L295:L354" si="26">+$T295*$S295*$L$37</f>
        <v>533484</v>
      </c>
      <c r="M295" s="355"/>
      <c r="N295" s="355" t="str">
        <f t="shared" si="16"/>
        <v>PR</v>
      </c>
      <c r="O295" s="345"/>
      <c r="P295" s="325"/>
      <c r="Q295" s="351"/>
      <c r="R295" s="351">
        <v>1.4</v>
      </c>
      <c r="S295" s="351">
        <v>5.8</v>
      </c>
      <c r="T295" s="351">
        <v>0.876</v>
      </c>
      <c r="U295" s="329">
        <f>IF($N295=$N$4,IFERROR(INDEX(DanhMuc!$E$154:$E$165,MATCH(MID($B295,4,2),DanhMuc!$B$154:$B$165,0)),""),"")</f>
        <v>5700</v>
      </c>
      <c r="V295" s="325"/>
      <c r="W295" s="352" t="str">
        <f>+IF(AND($A295&lt;&gt;"",LEN($B295)&gt;=8,COUNTIF($B$6:$B295,$B295)=1),$W$5,"")</f>
        <v/>
      </c>
      <c r="X295" s="329" t="str">
        <f t="shared" si="23"/>
        <v>XF</v>
      </c>
      <c r="Y295" s="1128" t="s">
        <v>3380</v>
      </c>
      <c r="Z295" s="1128" t="s">
        <v>3381</v>
      </c>
      <c r="AA295" s="1128" t="s">
        <v>3384</v>
      </c>
      <c r="AC295" s="73"/>
    </row>
    <row r="296" spans="1:29" s="20" customFormat="1">
      <c r="A296" s="327" t="str">
        <f>IF(AND($B296&lt;&gt;"",$C296&lt;&gt;""),MAX($A$4:A295)+1,"")</f>
        <v/>
      </c>
      <c r="B296" s="361" t="s">
        <v>221</v>
      </c>
      <c r="C296" s="364"/>
      <c r="D296" s="327">
        <f>IF($B296="","",COUNTIF($B$6:$B296,$B296))</f>
        <v>3</v>
      </c>
      <c r="E296" s="361" t="s">
        <v>2760</v>
      </c>
      <c r="F296" s="362" t="s">
        <v>2761</v>
      </c>
      <c r="G296" s="327" t="s">
        <v>329</v>
      </c>
      <c r="H296" s="325"/>
      <c r="I296" s="327">
        <v>8</v>
      </c>
      <c r="J296" s="361" t="s">
        <v>723</v>
      </c>
      <c r="K296" s="327" t="s">
        <v>516</v>
      </c>
      <c r="L296" s="348">
        <f t="shared" si="26"/>
        <v>662592</v>
      </c>
      <c r="M296" s="355"/>
      <c r="N296" s="355" t="str">
        <f t="shared" si="16"/>
        <v>PR</v>
      </c>
      <c r="O296" s="345"/>
      <c r="P296" s="325"/>
      <c r="Q296" s="351"/>
      <c r="R296" s="351">
        <v>1.4</v>
      </c>
      <c r="S296" s="351">
        <v>5.8</v>
      </c>
      <c r="T296" s="351">
        <v>1.0880000000000001</v>
      </c>
      <c r="U296" s="329">
        <f>IF($N296=$N$4,IFERROR(INDEX(DanhMuc!$E$154:$E$165,MATCH(MID($B296,4,2),DanhMuc!$B$154:$B$165,0)),""),"")</f>
        <v>5700</v>
      </c>
      <c r="V296" s="325"/>
      <c r="W296" s="352" t="str">
        <f>+IF(AND($A296&lt;&gt;"",LEN($B296)&gt;=8,COUNTIF($B$6:$B296,$B296)=1),$W$5,"")</f>
        <v/>
      </c>
      <c r="X296" s="329" t="str">
        <f t="shared" si="23"/>
        <v>XF</v>
      </c>
      <c r="Y296" s="1128" t="s">
        <v>3380</v>
      </c>
      <c r="Z296" s="1128" t="s">
        <v>3381</v>
      </c>
      <c r="AA296" s="1128" t="s">
        <v>3384</v>
      </c>
      <c r="AC296" s="73"/>
    </row>
    <row r="297" spans="1:29" s="20" customFormat="1">
      <c r="A297" s="327" t="str">
        <f>IF(AND($B297&lt;&gt;"",$C297&lt;&gt;""),MAX($A$4:A296)+1,"")</f>
        <v/>
      </c>
      <c r="B297" s="361" t="s">
        <v>221</v>
      </c>
      <c r="C297" s="364"/>
      <c r="D297" s="327">
        <f>IF($B297="","",COUNTIF($B$6:$B297,$B297))</f>
        <v>4</v>
      </c>
      <c r="E297" s="361" t="s">
        <v>2760</v>
      </c>
      <c r="F297" s="362" t="s">
        <v>2761</v>
      </c>
      <c r="G297" s="327" t="s">
        <v>328</v>
      </c>
      <c r="H297" s="325"/>
      <c r="I297" s="327">
        <v>8</v>
      </c>
      <c r="J297" s="361" t="s">
        <v>698</v>
      </c>
      <c r="K297" s="327" t="s">
        <v>516</v>
      </c>
      <c r="L297" s="348">
        <f t="shared" si="26"/>
        <v>662592</v>
      </c>
      <c r="M297" s="355"/>
      <c r="N297" s="355" t="str">
        <f t="shared" si="16"/>
        <v>PR</v>
      </c>
      <c r="O297" s="345"/>
      <c r="P297" s="325"/>
      <c r="Q297" s="351"/>
      <c r="R297" s="351">
        <v>1.4</v>
      </c>
      <c r="S297" s="351">
        <v>5.8</v>
      </c>
      <c r="T297" s="351">
        <v>1.0880000000000001</v>
      </c>
      <c r="U297" s="329">
        <f>IF($N297=$N$4,IFERROR(INDEX(DanhMuc!$E$154:$E$165,MATCH(MID($B297,4,2),DanhMuc!$B$154:$B$165,0)),""),"")</f>
        <v>5700</v>
      </c>
      <c r="V297" s="325"/>
      <c r="W297" s="352" t="str">
        <f>+IF(AND($A297&lt;&gt;"",LEN($B297)&gt;=8,COUNTIF($B$6:$B297,$B297)=1),$W$5,"")</f>
        <v/>
      </c>
      <c r="X297" s="329" t="str">
        <f t="shared" si="23"/>
        <v>XF</v>
      </c>
      <c r="Y297" s="1128" t="s">
        <v>3380</v>
      </c>
      <c r="Z297" s="1128" t="s">
        <v>3381</v>
      </c>
      <c r="AA297" s="1128" t="s">
        <v>3384</v>
      </c>
      <c r="AC297" s="73"/>
    </row>
    <row r="298" spans="1:29" s="20" customFormat="1">
      <c r="A298" s="327" t="str">
        <f>IF(AND($B298&lt;&gt;"",$C298&lt;&gt;""),MAX($A$4:A297)+1,"")</f>
        <v/>
      </c>
      <c r="B298" s="361" t="s">
        <v>221</v>
      </c>
      <c r="C298" s="364"/>
      <c r="D298" s="327">
        <f>IF($B298="","",COUNTIF($B$6:$B298,$B298))</f>
        <v>5</v>
      </c>
      <c r="E298" s="361" t="s">
        <v>29</v>
      </c>
      <c r="F298" s="362" t="s">
        <v>719</v>
      </c>
      <c r="G298" s="327" t="s">
        <v>328</v>
      </c>
      <c r="H298" s="325"/>
      <c r="I298" s="327">
        <v>2</v>
      </c>
      <c r="J298" s="361" t="s">
        <v>718</v>
      </c>
      <c r="K298" s="327" t="s">
        <v>531</v>
      </c>
      <c r="L298" s="348">
        <f t="shared" si="26"/>
        <v>615090</v>
      </c>
      <c r="M298" s="355"/>
      <c r="N298" s="355" t="str">
        <f t="shared" si="16"/>
        <v>PR</v>
      </c>
      <c r="O298" s="345"/>
      <c r="P298" s="325"/>
      <c r="Q298" s="351"/>
      <c r="R298" s="351">
        <v>1.4</v>
      </c>
      <c r="S298" s="351">
        <v>5.8</v>
      </c>
      <c r="T298" s="351">
        <v>1.01</v>
      </c>
      <c r="U298" s="329">
        <f>IF($N298=$N$4,IFERROR(INDEX(DanhMuc!$E$154:$E$165,MATCH(MID($B298,4,2),DanhMuc!$B$154:$B$165,0)),""),"")</f>
        <v>5700</v>
      </c>
      <c r="V298" s="325"/>
      <c r="W298" s="352" t="str">
        <f>+IF(AND($A298&lt;&gt;"",LEN($B298)&gt;=8,COUNTIF($B$6:$B298,$B298)=1),$W$5,"")</f>
        <v/>
      </c>
      <c r="X298" s="329" t="str">
        <f t="shared" si="23"/>
        <v>XF</v>
      </c>
      <c r="Y298" s="1128" t="s">
        <v>3380</v>
      </c>
      <c r="Z298" s="1128" t="s">
        <v>3381</v>
      </c>
      <c r="AA298" s="1128" t="s">
        <v>3384</v>
      </c>
      <c r="AC298" s="73"/>
    </row>
    <row r="299" spans="1:29" s="20" customFormat="1">
      <c r="A299" s="327" t="str">
        <f>IF(AND($B299&lt;&gt;"",$C299&lt;&gt;""),MAX($A$4:A298)+1,"")</f>
        <v/>
      </c>
      <c r="B299" s="361" t="s">
        <v>221</v>
      </c>
      <c r="C299" s="364"/>
      <c r="D299" s="327">
        <f>IF($B299="","",COUNTIF($B$6:$B299,$B299))</f>
        <v>6</v>
      </c>
      <c r="E299" s="361" t="s">
        <v>24</v>
      </c>
      <c r="F299" s="362" t="s">
        <v>82</v>
      </c>
      <c r="G299" s="327" t="s">
        <v>328</v>
      </c>
      <c r="H299" s="325"/>
      <c r="I299" s="327">
        <v>1</v>
      </c>
      <c r="J299" s="361" t="s">
        <v>704</v>
      </c>
      <c r="K299" s="327" t="s">
        <v>531</v>
      </c>
      <c r="L299" s="348">
        <f t="shared" si="26"/>
        <v>542619</v>
      </c>
      <c r="M299" s="355"/>
      <c r="N299" s="355" t="str">
        <f t="shared" si="16"/>
        <v>PR</v>
      </c>
      <c r="O299" s="345"/>
      <c r="P299" s="325"/>
      <c r="Q299" s="351"/>
      <c r="R299" s="351">
        <v>1.8</v>
      </c>
      <c r="S299" s="351">
        <v>5.8</v>
      </c>
      <c r="T299" s="351">
        <v>0.89100000000000001</v>
      </c>
      <c r="U299" s="329">
        <f>IF($N299=$N$4,IFERROR(INDEX(DanhMuc!$E$154:$E$165,MATCH(MID($B299,4,2),DanhMuc!$B$154:$B$165,0)),""),"")</f>
        <v>5700</v>
      </c>
      <c r="V299" s="325"/>
      <c r="W299" s="352" t="str">
        <f>+IF(AND($A299&lt;&gt;"",LEN($B299)&gt;=8,COUNTIF($B$6:$B299,$B299)=1),$W$5,"")</f>
        <v/>
      </c>
      <c r="X299" s="329" t="str">
        <f t="shared" si="23"/>
        <v>XF</v>
      </c>
      <c r="Y299" s="1128" t="s">
        <v>3380</v>
      </c>
      <c r="Z299" s="1128" t="s">
        <v>3381</v>
      </c>
      <c r="AA299" s="1128" t="s">
        <v>3384</v>
      </c>
      <c r="AC299" s="73"/>
    </row>
    <row r="300" spans="1:29" s="20" customFormat="1">
      <c r="A300" s="327" t="str">
        <f>IF(AND($B300&lt;&gt;"",$C300&lt;&gt;""),MAX($A$4:A299)+1,"")</f>
        <v/>
      </c>
      <c r="B300" s="361" t="s">
        <v>221</v>
      </c>
      <c r="C300" s="364"/>
      <c r="D300" s="327">
        <f>IF($B300="","",COUNTIF($B$6:$B300,$B300))</f>
        <v>7</v>
      </c>
      <c r="E300" s="361" t="s">
        <v>27</v>
      </c>
      <c r="F300" s="362" t="s">
        <v>346</v>
      </c>
      <c r="G300" s="327" t="s">
        <v>329</v>
      </c>
      <c r="H300" s="325"/>
      <c r="I300" s="327">
        <v>8</v>
      </c>
      <c r="J300" s="361" t="s">
        <v>2768</v>
      </c>
      <c r="K300" s="327" t="s">
        <v>531</v>
      </c>
      <c r="L300" s="348">
        <f t="shared" si="26"/>
        <v>165039</v>
      </c>
      <c r="M300" s="355"/>
      <c r="N300" s="355" t="str">
        <f t="shared" si="16"/>
        <v>PR</v>
      </c>
      <c r="O300" s="347">
        <v>10</v>
      </c>
      <c r="P300" s="325"/>
      <c r="Q300" s="351"/>
      <c r="R300" s="351">
        <v>1</v>
      </c>
      <c r="S300" s="351">
        <v>5.8</v>
      </c>
      <c r="T300" s="351">
        <v>0.27100000000000002</v>
      </c>
      <c r="U300" s="329">
        <f>IF($N300=$N$4,IFERROR(INDEX(DanhMuc!$E$154:$E$165,MATCH(MID($B300,4,2),DanhMuc!$B$154:$B$165,0)),""),"")</f>
        <v>5700</v>
      </c>
      <c r="V300" s="325"/>
      <c r="W300" s="352" t="str">
        <f>+IF(AND($A300&lt;&gt;"",LEN($B300)&gt;=8,COUNTIF($B$6:$B300,$B300)=1),$W$5,"")</f>
        <v/>
      </c>
      <c r="X300" s="329" t="str">
        <f t="shared" si="23"/>
        <v>XF</v>
      </c>
      <c r="Y300" s="1128" t="s">
        <v>3380</v>
      </c>
      <c r="Z300" s="1128" t="s">
        <v>3381</v>
      </c>
      <c r="AA300" s="1128" t="s">
        <v>3384</v>
      </c>
      <c r="AC300" s="73"/>
    </row>
    <row r="301" spans="1:29" s="20" customFormat="1">
      <c r="A301" s="327" t="str">
        <f>IF(AND($B301&lt;&gt;"",$C301&lt;&gt;""),MAX($A$4:A300)+1,"")</f>
        <v/>
      </c>
      <c r="B301" s="361" t="s">
        <v>221</v>
      </c>
      <c r="C301" s="364"/>
      <c r="D301" s="327">
        <f>IF($B301="","",COUNTIF($B$6:$B301,$B301))</f>
        <v>8</v>
      </c>
      <c r="E301" s="361" t="s">
        <v>27</v>
      </c>
      <c r="F301" s="362" t="s">
        <v>346</v>
      </c>
      <c r="G301" s="327" t="s">
        <v>328</v>
      </c>
      <c r="H301" s="325"/>
      <c r="I301" s="327">
        <v>8</v>
      </c>
      <c r="J301" s="361" t="s">
        <v>707</v>
      </c>
      <c r="K301" s="327" t="s">
        <v>531</v>
      </c>
      <c r="L301" s="348">
        <f t="shared" si="26"/>
        <v>165039</v>
      </c>
      <c r="M301" s="355"/>
      <c r="N301" s="355" t="str">
        <f t="shared" si="16"/>
        <v>PR</v>
      </c>
      <c r="O301" s="347">
        <v>10</v>
      </c>
      <c r="P301" s="325"/>
      <c r="Q301" s="351"/>
      <c r="R301" s="351">
        <v>1</v>
      </c>
      <c r="S301" s="351">
        <v>5.8</v>
      </c>
      <c r="T301" s="351">
        <v>0.27100000000000002</v>
      </c>
      <c r="U301" s="329">
        <f>IF($N301=$N$4,IFERROR(INDEX(DanhMuc!$E$154:$E$165,MATCH(MID($B301,4,2),DanhMuc!$B$154:$B$165,0)),""),"")</f>
        <v>5700</v>
      </c>
      <c r="V301" s="325"/>
      <c r="W301" s="352" t="str">
        <f>+IF(AND($A301&lt;&gt;"",LEN($B301)&gt;=8,COUNTIF($B$6:$B301,$B301)=1),$W$5,"")</f>
        <v/>
      </c>
      <c r="X301" s="329" t="str">
        <f t="shared" si="23"/>
        <v>XF</v>
      </c>
      <c r="Y301" s="1128" t="s">
        <v>3380</v>
      </c>
      <c r="Z301" s="1128" t="s">
        <v>3381</v>
      </c>
      <c r="AA301" s="1128" t="s">
        <v>3384</v>
      </c>
      <c r="AC301" s="73"/>
    </row>
    <row r="302" spans="1:29" s="20" customFormat="1">
      <c r="A302" s="327" t="str">
        <f>IF(AND($B302&lt;&gt;"",$C302&lt;&gt;""),MAX($A$4:A301)+1,"")</f>
        <v/>
      </c>
      <c r="B302" s="361" t="s">
        <v>221</v>
      </c>
      <c r="C302" s="364"/>
      <c r="D302" s="327">
        <f>IF($B302="","",COUNTIF($B$6:$B302,$B302))</f>
        <v>9</v>
      </c>
      <c r="E302" s="361" t="s">
        <v>385</v>
      </c>
      <c r="F302" s="362" t="s">
        <v>386</v>
      </c>
      <c r="G302" s="327" t="s">
        <v>329</v>
      </c>
      <c r="H302" s="325"/>
      <c r="I302" s="327">
        <v>8</v>
      </c>
      <c r="J302" s="361" t="s">
        <v>2768</v>
      </c>
      <c r="K302" s="327" t="s">
        <v>531</v>
      </c>
      <c r="L302" s="348">
        <f t="shared" si="26"/>
        <v>138243</v>
      </c>
      <c r="M302" s="355"/>
      <c r="N302" s="355" t="str">
        <f t="shared" si="16"/>
        <v>PR</v>
      </c>
      <c r="O302" s="347">
        <v>19</v>
      </c>
      <c r="P302" s="325"/>
      <c r="Q302" s="351"/>
      <c r="R302" s="351">
        <v>1</v>
      </c>
      <c r="S302" s="351">
        <v>5.8</v>
      </c>
      <c r="T302" s="351">
        <v>0.22700000000000001</v>
      </c>
      <c r="U302" s="329">
        <f>IF($N302=$N$4,IFERROR(INDEX(DanhMuc!$E$154:$E$165,MATCH(MID($B302,4,2),DanhMuc!$B$154:$B$165,0)),""),"")</f>
        <v>5700</v>
      </c>
      <c r="V302" s="325"/>
      <c r="W302" s="352" t="str">
        <f>+IF(AND($A302&lt;&gt;"",LEN($B302)&gt;=8,COUNTIF($B$6:$B302,$B302)=1),$W$5,"")</f>
        <v/>
      </c>
      <c r="X302" s="329" t="str">
        <f t="shared" si="23"/>
        <v>XF</v>
      </c>
      <c r="Y302" s="1128" t="s">
        <v>3380</v>
      </c>
      <c r="Z302" s="1128" t="s">
        <v>3381</v>
      </c>
      <c r="AA302" s="1128" t="s">
        <v>3384</v>
      </c>
      <c r="AC302" s="73"/>
    </row>
    <row r="303" spans="1:29" s="20" customFormat="1">
      <c r="A303" s="327" t="str">
        <f>IF(AND($B303&lt;&gt;"",$C303&lt;&gt;""),MAX($A$4:A302)+1,"")</f>
        <v/>
      </c>
      <c r="B303" s="361" t="s">
        <v>221</v>
      </c>
      <c r="C303" s="364"/>
      <c r="D303" s="327">
        <f>IF($B303="","",COUNTIF($B$6:$B303,$B303))</f>
        <v>10</v>
      </c>
      <c r="E303" s="361" t="s">
        <v>385</v>
      </c>
      <c r="F303" s="362" t="s">
        <v>386</v>
      </c>
      <c r="G303" s="327" t="s">
        <v>328</v>
      </c>
      <c r="H303" s="325"/>
      <c r="I303" s="327">
        <v>8</v>
      </c>
      <c r="J303" s="361" t="s">
        <v>707</v>
      </c>
      <c r="K303" s="327" t="s">
        <v>531</v>
      </c>
      <c r="L303" s="348">
        <f t="shared" si="26"/>
        <v>138243</v>
      </c>
      <c r="M303" s="355"/>
      <c r="N303" s="355" t="str">
        <f t="shared" si="16"/>
        <v>PR</v>
      </c>
      <c r="O303" s="347">
        <v>19</v>
      </c>
      <c r="P303" s="325"/>
      <c r="Q303" s="351"/>
      <c r="R303" s="351">
        <v>1</v>
      </c>
      <c r="S303" s="351">
        <v>5.8</v>
      </c>
      <c r="T303" s="351">
        <v>0.22700000000000001</v>
      </c>
      <c r="U303" s="329">
        <f>IF($N303=$N$4,IFERROR(INDEX(DanhMuc!$E$154:$E$165,MATCH(MID($B303,4,2),DanhMuc!$B$154:$B$165,0)),""),"")</f>
        <v>5700</v>
      </c>
      <c r="V303" s="325"/>
      <c r="W303" s="352" t="str">
        <f>+IF(AND($A303&lt;&gt;"",LEN($B303)&gt;=8,COUNTIF($B$6:$B303,$B303)=1),$W$5,"")</f>
        <v/>
      </c>
      <c r="X303" s="329" t="str">
        <f t="shared" si="23"/>
        <v>XF</v>
      </c>
      <c r="Y303" s="1128" t="s">
        <v>3380</v>
      </c>
      <c r="Z303" s="1128" t="s">
        <v>3381</v>
      </c>
      <c r="AA303" s="1128" t="s">
        <v>3384</v>
      </c>
      <c r="AC303" s="73"/>
    </row>
    <row r="304" spans="1:29" s="20" customFormat="1">
      <c r="A304" s="327" t="str">
        <f>IF(AND($B304&lt;&gt;"",$C304&lt;&gt;""),MAX($A$4:A303)+1,"")</f>
        <v/>
      </c>
      <c r="B304" s="361" t="s">
        <v>221</v>
      </c>
      <c r="C304" s="364"/>
      <c r="D304" s="327">
        <f>IF($B304="","",COUNTIF($B$6:$B304,$B304))</f>
        <v>11</v>
      </c>
      <c r="E304" s="361" t="s">
        <v>630</v>
      </c>
      <c r="F304" s="362" t="s">
        <v>631</v>
      </c>
      <c r="G304" s="327" t="s">
        <v>329</v>
      </c>
      <c r="H304" s="325"/>
      <c r="I304" s="327">
        <v>8</v>
      </c>
      <c r="J304" s="361" t="s">
        <v>2768</v>
      </c>
      <c r="K304" s="327" t="s">
        <v>531</v>
      </c>
      <c r="L304" s="348">
        <f t="shared" si="26"/>
        <v>135807</v>
      </c>
      <c r="M304" s="355"/>
      <c r="N304" s="355" t="str">
        <f t="shared" si="16"/>
        <v>PR</v>
      </c>
      <c r="O304" s="347">
        <v>20</v>
      </c>
      <c r="P304" s="325"/>
      <c r="Q304" s="351"/>
      <c r="R304" s="351">
        <v>1</v>
      </c>
      <c r="S304" s="351">
        <v>5.8</v>
      </c>
      <c r="T304" s="351">
        <v>0.223</v>
      </c>
      <c r="U304" s="329">
        <f>IF($N304=$N$4,IFERROR(INDEX(DanhMuc!$E$154:$E$165,MATCH(MID($B304,4,2),DanhMuc!$B$154:$B$165,0)),""),"")</f>
        <v>5700</v>
      </c>
      <c r="V304" s="325"/>
      <c r="W304" s="352" t="str">
        <f>+IF(AND($A304&lt;&gt;"",LEN($B304)&gt;=8,COUNTIF($B$6:$B304,$B304)=1),$W$5,"")</f>
        <v/>
      </c>
      <c r="X304" s="329" t="str">
        <f t="shared" si="23"/>
        <v>XF</v>
      </c>
      <c r="Y304" s="1128" t="s">
        <v>3380</v>
      </c>
      <c r="Z304" s="1128" t="s">
        <v>3381</v>
      </c>
      <c r="AA304" s="1128" t="s">
        <v>3384</v>
      </c>
      <c r="AC304" s="73"/>
    </row>
    <row r="305" spans="1:29" s="20" customFormat="1">
      <c r="A305" s="327" t="str">
        <f>IF(AND($B305&lt;&gt;"",$C305&lt;&gt;""),MAX($A$4:A304)+1,"")</f>
        <v/>
      </c>
      <c r="B305" s="361" t="s">
        <v>221</v>
      </c>
      <c r="C305" s="364"/>
      <c r="D305" s="327">
        <f>IF($B305="","",COUNTIF($B$6:$B305,$B305))</f>
        <v>12</v>
      </c>
      <c r="E305" s="361" t="s">
        <v>630</v>
      </c>
      <c r="F305" s="362" t="s">
        <v>631</v>
      </c>
      <c r="G305" s="327" t="s">
        <v>328</v>
      </c>
      <c r="H305" s="325"/>
      <c r="I305" s="327">
        <v>8</v>
      </c>
      <c r="J305" s="361" t="s">
        <v>707</v>
      </c>
      <c r="K305" s="327" t="s">
        <v>531</v>
      </c>
      <c r="L305" s="348">
        <f t="shared" si="26"/>
        <v>135807</v>
      </c>
      <c r="M305" s="355"/>
      <c r="N305" s="355" t="str">
        <f t="shared" si="16"/>
        <v>PR</v>
      </c>
      <c r="O305" s="347">
        <v>20</v>
      </c>
      <c r="P305" s="325"/>
      <c r="Q305" s="351"/>
      <c r="R305" s="351">
        <v>1</v>
      </c>
      <c r="S305" s="351">
        <v>5.8</v>
      </c>
      <c r="T305" s="351">
        <v>0.223</v>
      </c>
      <c r="U305" s="329">
        <f>IF($N305=$N$4,IFERROR(INDEX(DanhMuc!$E$154:$E$165,MATCH(MID($B305,4,2),DanhMuc!$B$154:$B$165,0)),""),"")</f>
        <v>5700</v>
      </c>
      <c r="V305" s="325"/>
      <c r="W305" s="352" t="str">
        <f>+IF(AND($A305&lt;&gt;"",LEN($B305)&gt;=8,COUNTIF($B$6:$B305,$B305)=1),$W$5,"")</f>
        <v/>
      </c>
      <c r="X305" s="329" t="str">
        <f t="shared" si="23"/>
        <v>XF</v>
      </c>
      <c r="Y305" s="1128" t="s">
        <v>3380</v>
      </c>
      <c r="Z305" s="1128" t="s">
        <v>3381</v>
      </c>
      <c r="AA305" s="1128" t="s">
        <v>3384</v>
      </c>
      <c r="AC305" s="73"/>
    </row>
    <row r="306" spans="1:29" s="20" customFormat="1" ht="26">
      <c r="A306" s="327">
        <f>IF(AND($B306&lt;&gt;"",$C306&lt;&gt;""),MAX($A$4:A305)+1,"")</f>
        <v>29</v>
      </c>
      <c r="B306" s="359" t="s">
        <v>218</v>
      </c>
      <c r="C306" s="360" t="s">
        <v>1546</v>
      </c>
      <c r="D306" s="327">
        <f>IF($B306="","",COUNTIF($B$6:$B306,$B306))</f>
        <v>1</v>
      </c>
      <c r="E306" s="363" t="s">
        <v>28</v>
      </c>
      <c r="F306" s="382" t="s">
        <v>695</v>
      </c>
      <c r="G306" s="327" t="s">
        <v>329</v>
      </c>
      <c r="H306" s="325"/>
      <c r="I306" s="327">
        <v>2</v>
      </c>
      <c r="J306" s="361" t="s">
        <v>81</v>
      </c>
      <c r="K306" s="327" t="s">
        <v>516</v>
      </c>
      <c r="L306" s="348">
        <f t="shared" si="26"/>
        <v>533484</v>
      </c>
      <c r="M306" s="355"/>
      <c r="N306" s="355" t="str">
        <f t="shared" si="16"/>
        <v>PR</v>
      </c>
      <c r="O306" s="345"/>
      <c r="P306" s="325"/>
      <c r="Q306" s="351"/>
      <c r="R306" s="351">
        <v>1.4</v>
      </c>
      <c r="S306" s="351">
        <v>5.8</v>
      </c>
      <c r="T306" s="351">
        <v>0.876</v>
      </c>
      <c r="U306" s="329">
        <f>IF($N306=$N$4,IFERROR(INDEX(DanhMuc!$E$154:$E$165,MATCH(MID($B306,4,2),DanhMuc!$B$154:$B$165,0)),""),"")</f>
        <v>5700</v>
      </c>
      <c r="V306" s="325"/>
      <c r="W306" s="352" t="str">
        <f>+IF(AND($A306&lt;&gt;"",LEN($B306)&gt;=8,COUNTIF($B$6:$B306,$B306)=1),$W$5,"")</f>
        <v>DMCua</v>
      </c>
      <c r="X306" s="329" t="str">
        <f t="shared" ref="X306:X378" si="27">IF(IFERROR(SEARCH("thép",$F306,1),0)&gt;=1,"T" &amp;MID($B306,4,2),MID($B306,4,2))</f>
        <v>XF</v>
      </c>
      <c r="Y306" s="1128" t="s">
        <v>3380</v>
      </c>
      <c r="Z306" s="1128" t="s">
        <v>3381</v>
      </c>
      <c r="AA306" s="1128" t="s">
        <v>3384</v>
      </c>
      <c r="AC306" s="73"/>
    </row>
    <row r="307" spans="1:29" s="20" customFormat="1">
      <c r="A307" s="327" t="str">
        <f>IF(AND($B307&lt;&gt;"",$C307&lt;&gt;""),MAX($A$4:A306)+1,"")</f>
        <v/>
      </c>
      <c r="B307" s="361" t="s">
        <v>218</v>
      </c>
      <c r="C307" s="364"/>
      <c r="D307" s="327">
        <f>IF($B307="","",COUNTIF($B$6:$B307,$B307))</f>
        <v>2</v>
      </c>
      <c r="E307" s="363" t="s">
        <v>28</v>
      </c>
      <c r="F307" s="382" t="s">
        <v>695</v>
      </c>
      <c r="G307" s="327" t="s">
        <v>328</v>
      </c>
      <c r="H307" s="325"/>
      <c r="I307" s="327">
        <v>2</v>
      </c>
      <c r="J307" s="361" t="s">
        <v>80</v>
      </c>
      <c r="K307" s="327" t="s">
        <v>516</v>
      </c>
      <c r="L307" s="348">
        <f t="shared" si="26"/>
        <v>533484</v>
      </c>
      <c r="M307" s="355"/>
      <c r="N307" s="355" t="str">
        <f t="shared" si="16"/>
        <v>PR</v>
      </c>
      <c r="O307" s="345"/>
      <c r="P307" s="325"/>
      <c r="Q307" s="351"/>
      <c r="R307" s="351">
        <v>1.4</v>
      </c>
      <c r="S307" s="351">
        <v>5.8</v>
      </c>
      <c r="T307" s="351">
        <v>0.876</v>
      </c>
      <c r="U307" s="329">
        <f>IF($N307=$N$4,IFERROR(INDEX(DanhMuc!$E$154:$E$165,MATCH(MID($B307,4,2),DanhMuc!$B$154:$B$165,0)),""),"")</f>
        <v>5700</v>
      </c>
      <c r="V307" s="325"/>
      <c r="W307" s="352" t="str">
        <f>+IF(AND($A307&lt;&gt;"",LEN($B307)&gt;=8,COUNTIF($B$6:$B307,$B307)=1),$W$5,"")</f>
        <v/>
      </c>
      <c r="X307" s="329" t="str">
        <f t="shared" si="27"/>
        <v>XF</v>
      </c>
      <c r="Y307" s="1128" t="s">
        <v>3380</v>
      </c>
      <c r="Z307" s="1128" t="s">
        <v>3381</v>
      </c>
      <c r="AA307" s="1128" t="s">
        <v>3384</v>
      </c>
      <c r="AC307" s="73"/>
    </row>
    <row r="308" spans="1:29" s="20" customFormat="1">
      <c r="A308" s="327" t="str">
        <f>IF(AND($B308&lt;&gt;"",$C308&lt;&gt;""),MAX($A$4:A307)+1,"")</f>
        <v/>
      </c>
      <c r="B308" s="361" t="s">
        <v>218</v>
      </c>
      <c r="C308" s="364"/>
      <c r="D308" s="327">
        <f>IF($B308="","",COUNTIF($B$6:$B308,$B308))</f>
        <v>3</v>
      </c>
      <c r="E308" s="361" t="s">
        <v>2760</v>
      </c>
      <c r="F308" s="362" t="s">
        <v>2761</v>
      </c>
      <c r="G308" s="327" t="s">
        <v>329</v>
      </c>
      <c r="H308" s="325"/>
      <c r="I308" s="327">
        <v>2</v>
      </c>
      <c r="J308" s="361" t="s">
        <v>697</v>
      </c>
      <c r="K308" s="327" t="s">
        <v>516</v>
      </c>
      <c r="L308" s="348">
        <f t="shared" si="26"/>
        <v>662592</v>
      </c>
      <c r="M308" s="355"/>
      <c r="N308" s="355" t="str">
        <f t="shared" si="16"/>
        <v>PR</v>
      </c>
      <c r="O308" s="345"/>
      <c r="P308" s="325"/>
      <c r="Q308" s="351"/>
      <c r="R308" s="351">
        <v>1.4</v>
      </c>
      <c r="S308" s="351">
        <v>5.8</v>
      </c>
      <c r="T308" s="351">
        <v>1.0880000000000001</v>
      </c>
      <c r="U308" s="329">
        <f>IF($N308=$N$4,IFERROR(INDEX(DanhMuc!$E$154:$E$165,MATCH(MID($B308,4,2),DanhMuc!$B$154:$B$165,0)),""),"")</f>
        <v>5700</v>
      </c>
      <c r="V308" s="325"/>
      <c r="W308" s="352" t="str">
        <f>+IF(AND($A308&lt;&gt;"",LEN($B308)&gt;=8,COUNTIF($B$6:$B308,$B308)=1),$W$5,"")</f>
        <v/>
      </c>
      <c r="X308" s="329" t="str">
        <f t="shared" si="27"/>
        <v>XF</v>
      </c>
      <c r="Y308" s="1128" t="s">
        <v>3380</v>
      </c>
      <c r="Z308" s="1128" t="s">
        <v>3381</v>
      </c>
      <c r="AA308" s="1128" t="s">
        <v>3384</v>
      </c>
      <c r="AC308" s="73"/>
    </row>
    <row r="309" spans="1:29" s="20" customFormat="1">
      <c r="A309" s="327" t="str">
        <f>IF(AND($B309&lt;&gt;"",$C309&lt;&gt;""),MAX($A$4:A308)+1,"")</f>
        <v/>
      </c>
      <c r="B309" s="361" t="s">
        <v>218</v>
      </c>
      <c r="C309" s="364"/>
      <c r="D309" s="327">
        <f>IF($B309="","",COUNTIF($B$6:$B309,$B309))</f>
        <v>4</v>
      </c>
      <c r="E309" s="361" t="s">
        <v>2760</v>
      </c>
      <c r="F309" s="362" t="s">
        <v>2761</v>
      </c>
      <c r="G309" s="327" t="s">
        <v>328</v>
      </c>
      <c r="H309" s="325"/>
      <c r="I309" s="327">
        <v>2</v>
      </c>
      <c r="J309" s="361" t="s">
        <v>698</v>
      </c>
      <c r="K309" s="327" t="s">
        <v>516</v>
      </c>
      <c r="L309" s="348">
        <f t="shared" si="26"/>
        <v>662592</v>
      </c>
      <c r="M309" s="355"/>
      <c r="N309" s="355" t="str">
        <f t="shared" si="16"/>
        <v>PR</v>
      </c>
      <c r="O309" s="345"/>
      <c r="P309" s="325"/>
      <c r="Q309" s="351"/>
      <c r="R309" s="351">
        <v>1.4</v>
      </c>
      <c r="S309" s="351">
        <v>5.8</v>
      </c>
      <c r="T309" s="351">
        <v>1.0880000000000001</v>
      </c>
      <c r="U309" s="329">
        <f>IF($N309=$N$4,IFERROR(INDEX(DanhMuc!$E$154:$E$165,MATCH(MID($B309,4,2),DanhMuc!$B$154:$B$165,0)),""),"")</f>
        <v>5700</v>
      </c>
      <c r="V309" s="325"/>
      <c r="W309" s="352" t="str">
        <f>+IF(AND($A309&lt;&gt;"",LEN($B309)&gt;=8,COUNTIF($B$6:$B309,$B309)=1),$W$5,"")</f>
        <v/>
      </c>
      <c r="X309" s="329" t="str">
        <f t="shared" si="27"/>
        <v>XF</v>
      </c>
      <c r="Y309" s="1128" t="s">
        <v>3380</v>
      </c>
      <c r="Z309" s="1128" t="s">
        <v>3381</v>
      </c>
      <c r="AA309" s="1128" t="s">
        <v>3384</v>
      </c>
      <c r="AC309" s="73"/>
    </row>
    <row r="310" spans="1:29" s="20" customFormat="1">
      <c r="A310" s="327" t="str">
        <f>IF(AND($B310&lt;&gt;"",$C310&lt;&gt;""),MAX($A$4:A309)+1,"")</f>
        <v/>
      </c>
      <c r="B310" s="361" t="s">
        <v>218</v>
      </c>
      <c r="C310" s="364"/>
      <c r="D310" s="327">
        <f>IF($B310="","",COUNTIF($B$6:$B310,$B310))</f>
        <v>5</v>
      </c>
      <c r="E310" s="361" t="s">
        <v>27</v>
      </c>
      <c r="F310" s="362" t="s">
        <v>346</v>
      </c>
      <c r="G310" s="327" t="s">
        <v>329</v>
      </c>
      <c r="H310" s="325"/>
      <c r="I310" s="327">
        <v>2</v>
      </c>
      <c r="J310" s="361" t="s">
        <v>726</v>
      </c>
      <c r="K310" s="327" t="s">
        <v>531</v>
      </c>
      <c r="L310" s="348">
        <f t="shared" si="26"/>
        <v>165039</v>
      </c>
      <c r="M310" s="355"/>
      <c r="N310" s="355" t="str">
        <f t="shared" si="16"/>
        <v>PR</v>
      </c>
      <c r="O310" s="347">
        <v>10</v>
      </c>
      <c r="P310" s="325"/>
      <c r="Q310" s="351"/>
      <c r="R310" s="351">
        <v>1</v>
      </c>
      <c r="S310" s="351">
        <v>5.8</v>
      </c>
      <c r="T310" s="351">
        <v>0.27100000000000002</v>
      </c>
      <c r="U310" s="329">
        <f>IF($N310=$N$4,IFERROR(INDEX(DanhMuc!$E$154:$E$165,MATCH(MID($B310,4,2),DanhMuc!$B$154:$B$165,0)),""),"")</f>
        <v>5700</v>
      </c>
      <c r="V310" s="325"/>
      <c r="W310" s="352" t="str">
        <f>+IF(AND($A310&lt;&gt;"",LEN($B310)&gt;=8,COUNTIF($B$6:$B310,$B310)=1),$W$5,"")</f>
        <v/>
      </c>
      <c r="X310" s="329" t="str">
        <f t="shared" si="27"/>
        <v>XF</v>
      </c>
      <c r="Y310" s="1128" t="s">
        <v>3380</v>
      </c>
      <c r="Z310" s="1128" t="s">
        <v>3381</v>
      </c>
      <c r="AA310" s="1128" t="s">
        <v>3384</v>
      </c>
      <c r="AC310" s="73"/>
    </row>
    <row r="311" spans="1:29" s="20" customFormat="1">
      <c r="A311" s="327" t="str">
        <f>IF(AND($B311&lt;&gt;"",$C311&lt;&gt;""),MAX($A$4:A310)+1,"")</f>
        <v/>
      </c>
      <c r="B311" s="361" t="s">
        <v>218</v>
      </c>
      <c r="C311" s="364"/>
      <c r="D311" s="327">
        <f>IF($B311="","",COUNTIF($B$6:$B311,$B311))</f>
        <v>6</v>
      </c>
      <c r="E311" s="361" t="s">
        <v>27</v>
      </c>
      <c r="F311" s="362" t="s">
        <v>346</v>
      </c>
      <c r="G311" s="327" t="s">
        <v>328</v>
      </c>
      <c r="H311" s="325"/>
      <c r="I311" s="327">
        <v>2</v>
      </c>
      <c r="J311" s="361" t="s">
        <v>707</v>
      </c>
      <c r="K311" s="327" t="s">
        <v>531</v>
      </c>
      <c r="L311" s="348">
        <f t="shared" si="26"/>
        <v>165039</v>
      </c>
      <c r="M311" s="355"/>
      <c r="N311" s="355" t="str">
        <f t="shared" si="16"/>
        <v>PR</v>
      </c>
      <c r="O311" s="347">
        <v>10</v>
      </c>
      <c r="P311" s="325"/>
      <c r="Q311" s="351"/>
      <c r="R311" s="351">
        <v>1</v>
      </c>
      <c r="S311" s="351">
        <v>5.8</v>
      </c>
      <c r="T311" s="351">
        <v>0.27100000000000002</v>
      </c>
      <c r="U311" s="329">
        <f>IF($N311=$N$4,IFERROR(INDEX(DanhMuc!$E$154:$E$165,MATCH(MID($B311,4,2),DanhMuc!$B$154:$B$165,0)),""),"")</f>
        <v>5700</v>
      </c>
      <c r="V311" s="325"/>
      <c r="W311" s="352" t="str">
        <f>+IF(AND($A311&lt;&gt;"",LEN($B311)&gt;=8,COUNTIF($B$6:$B311,$B311)=1),$W$5,"")</f>
        <v/>
      </c>
      <c r="X311" s="329" t="str">
        <f t="shared" si="27"/>
        <v>XF</v>
      </c>
      <c r="Y311" s="1128" t="s">
        <v>3380</v>
      </c>
      <c r="Z311" s="1128" t="s">
        <v>3381</v>
      </c>
      <c r="AA311" s="1128" t="s">
        <v>3384</v>
      </c>
      <c r="AC311" s="73"/>
    </row>
    <row r="312" spans="1:29" s="20" customFormat="1">
      <c r="A312" s="327" t="str">
        <f>IF(AND($B312&lt;&gt;"",$C312&lt;&gt;""),MAX($A$4:A311)+1,"")</f>
        <v/>
      </c>
      <c r="B312" s="361" t="s">
        <v>218</v>
      </c>
      <c r="C312" s="364"/>
      <c r="D312" s="327">
        <f>IF($B312="","",COUNTIF($B$6:$B312,$B312))</f>
        <v>7</v>
      </c>
      <c r="E312" s="361" t="s">
        <v>385</v>
      </c>
      <c r="F312" s="362" t="s">
        <v>386</v>
      </c>
      <c r="G312" s="327" t="s">
        <v>329</v>
      </c>
      <c r="H312" s="325"/>
      <c r="I312" s="327">
        <v>2</v>
      </c>
      <c r="J312" s="361" t="s">
        <v>726</v>
      </c>
      <c r="K312" s="327" t="s">
        <v>531</v>
      </c>
      <c r="L312" s="348">
        <f t="shared" si="26"/>
        <v>138243</v>
      </c>
      <c r="M312" s="355"/>
      <c r="N312" s="355" t="str">
        <f t="shared" si="16"/>
        <v>PR</v>
      </c>
      <c r="O312" s="347">
        <v>19</v>
      </c>
      <c r="P312" s="325"/>
      <c r="Q312" s="351"/>
      <c r="R312" s="351">
        <v>1</v>
      </c>
      <c r="S312" s="351">
        <v>5.8</v>
      </c>
      <c r="T312" s="351">
        <v>0.22700000000000001</v>
      </c>
      <c r="U312" s="329">
        <f>IF($N312=$N$4,IFERROR(INDEX(DanhMuc!$E$154:$E$165,MATCH(MID($B312,4,2),DanhMuc!$B$154:$B$165,0)),""),"")</f>
        <v>5700</v>
      </c>
      <c r="V312" s="325"/>
      <c r="W312" s="352" t="str">
        <f>+IF(AND($A312&lt;&gt;"",LEN($B312)&gt;=8,COUNTIF($B$6:$B312,$B312)=1),$W$5,"")</f>
        <v/>
      </c>
      <c r="X312" s="329" t="str">
        <f t="shared" si="27"/>
        <v>XF</v>
      </c>
      <c r="Y312" s="1128" t="s">
        <v>3380</v>
      </c>
      <c r="Z312" s="1128" t="s">
        <v>3381</v>
      </c>
      <c r="AA312" s="1128" t="s">
        <v>3384</v>
      </c>
      <c r="AC312" s="73"/>
    </row>
    <row r="313" spans="1:29" s="20" customFormat="1">
      <c r="A313" s="327" t="str">
        <f>IF(AND($B313&lt;&gt;"",$C313&lt;&gt;""),MAX($A$4:A312)+1,"")</f>
        <v/>
      </c>
      <c r="B313" s="361" t="s">
        <v>218</v>
      </c>
      <c r="C313" s="364"/>
      <c r="D313" s="327">
        <f>IF($B313="","",COUNTIF($B$6:$B313,$B313))</f>
        <v>8</v>
      </c>
      <c r="E313" s="361" t="s">
        <v>385</v>
      </c>
      <c r="F313" s="362" t="s">
        <v>386</v>
      </c>
      <c r="G313" s="327" t="s">
        <v>328</v>
      </c>
      <c r="H313" s="325"/>
      <c r="I313" s="327">
        <v>2</v>
      </c>
      <c r="J313" s="361" t="s">
        <v>707</v>
      </c>
      <c r="K313" s="327" t="s">
        <v>531</v>
      </c>
      <c r="L313" s="348">
        <f t="shared" si="26"/>
        <v>138243</v>
      </c>
      <c r="M313" s="355"/>
      <c r="N313" s="355" t="str">
        <f t="shared" si="16"/>
        <v>PR</v>
      </c>
      <c r="O313" s="347">
        <v>19</v>
      </c>
      <c r="P313" s="325"/>
      <c r="Q313" s="351"/>
      <c r="R313" s="351">
        <v>1</v>
      </c>
      <c r="S313" s="351">
        <v>5.8</v>
      </c>
      <c r="T313" s="351">
        <v>0.22700000000000001</v>
      </c>
      <c r="U313" s="329">
        <f>IF($N313=$N$4,IFERROR(INDEX(DanhMuc!$E$154:$E$165,MATCH(MID($B313,4,2),DanhMuc!$B$154:$B$165,0)),""),"")</f>
        <v>5700</v>
      </c>
      <c r="V313" s="325"/>
      <c r="W313" s="352" t="str">
        <f>+IF(AND($A313&lt;&gt;"",LEN($B313)&gt;=8,COUNTIF($B$6:$B313,$B313)=1),$W$5,"")</f>
        <v/>
      </c>
      <c r="X313" s="329" t="str">
        <f t="shared" si="27"/>
        <v>XF</v>
      </c>
      <c r="Y313" s="1128" t="s">
        <v>3380</v>
      </c>
      <c r="Z313" s="1128" t="s">
        <v>3381</v>
      </c>
      <c r="AA313" s="1128" t="s">
        <v>3384</v>
      </c>
      <c r="AC313" s="73"/>
    </row>
    <row r="314" spans="1:29" s="20" customFormat="1">
      <c r="A314" s="327" t="str">
        <f>IF(AND($B314&lt;&gt;"",$C314&lt;&gt;""),MAX($A$4:A313)+1,"")</f>
        <v/>
      </c>
      <c r="B314" s="361" t="s">
        <v>218</v>
      </c>
      <c r="C314" s="364"/>
      <c r="D314" s="327">
        <f>IF($B314="","",COUNTIF($B$6:$B314,$B314))</f>
        <v>9</v>
      </c>
      <c r="E314" s="361" t="s">
        <v>630</v>
      </c>
      <c r="F314" s="362" t="s">
        <v>631</v>
      </c>
      <c r="G314" s="327" t="s">
        <v>329</v>
      </c>
      <c r="H314" s="325"/>
      <c r="I314" s="327">
        <v>2</v>
      </c>
      <c r="J314" s="361" t="s">
        <v>726</v>
      </c>
      <c r="K314" s="327" t="s">
        <v>531</v>
      </c>
      <c r="L314" s="348">
        <f t="shared" si="26"/>
        <v>135807</v>
      </c>
      <c r="M314" s="355"/>
      <c r="N314" s="355" t="str">
        <f t="shared" si="16"/>
        <v>PR</v>
      </c>
      <c r="O314" s="347">
        <v>20</v>
      </c>
      <c r="P314" s="325"/>
      <c r="Q314" s="351"/>
      <c r="R314" s="351">
        <v>1</v>
      </c>
      <c r="S314" s="351">
        <v>5.8</v>
      </c>
      <c r="T314" s="351">
        <v>0.223</v>
      </c>
      <c r="U314" s="329">
        <f>IF($N314=$N$4,IFERROR(INDEX(DanhMuc!$E$154:$E$165,MATCH(MID($B314,4,2),DanhMuc!$B$154:$B$165,0)),""),"")</f>
        <v>5700</v>
      </c>
      <c r="V314" s="325"/>
      <c r="W314" s="352" t="str">
        <f>+IF(AND($A314&lt;&gt;"",LEN($B314)&gt;=8,COUNTIF($B$6:$B314,$B314)=1),$W$5,"")</f>
        <v/>
      </c>
      <c r="X314" s="329" t="str">
        <f t="shared" si="27"/>
        <v>XF</v>
      </c>
      <c r="Y314" s="1128" t="s">
        <v>3380</v>
      </c>
      <c r="Z314" s="1128" t="s">
        <v>3381</v>
      </c>
      <c r="AA314" s="1128" t="s">
        <v>3384</v>
      </c>
      <c r="AC314" s="73"/>
    </row>
    <row r="315" spans="1:29" s="20" customFormat="1">
      <c r="A315" s="327" t="str">
        <f>IF(AND($B315&lt;&gt;"",$C315&lt;&gt;""),MAX($A$4:A314)+1,"")</f>
        <v/>
      </c>
      <c r="B315" s="361" t="s">
        <v>218</v>
      </c>
      <c r="C315" s="364"/>
      <c r="D315" s="327">
        <f>IF($B315="","",COUNTIF($B$6:$B315,$B315))</f>
        <v>10</v>
      </c>
      <c r="E315" s="361" t="s">
        <v>630</v>
      </c>
      <c r="F315" s="362" t="s">
        <v>631</v>
      </c>
      <c r="G315" s="327" t="s">
        <v>328</v>
      </c>
      <c r="H315" s="325"/>
      <c r="I315" s="327">
        <v>2</v>
      </c>
      <c r="J315" s="361" t="s">
        <v>707</v>
      </c>
      <c r="K315" s="327" t="s">
        <v>531</v>
      </c>
      <c r="L315" s="348">
        <f t="shared" si="26"/>
        <v>135807</v>
      </c>
      <c r="M315" s="355"/>
      <c r="N315" s="355" t="str">
        <f t="shared" si="16"/>
        <v>PR</v>
      </c>
      <c r="O315" s="347">
        <v>20</v>
      </c>
      <c r="P315" s="325"/>
      <c r="Q315" s="351"/>
      <c r="R315" s="351">
        <v>1</v>
      </c>
      <c r="S315" s="351">
        <v>5.8</v>
      </c>
      <c r="T315" s="351">
        <v>0.223</v>
      </c>
      <c r="U315" s="329">
        <f>IF($N315=$N$4,IFERROR(INDEX(DanhMuc!$E$154:$E$165,MATCH(MID($B315,4,2),DanhMuc!$B$154:$B$165,0)),""),"")</f>
        <v>5700</v>
      </c>
      <c r="V315" s="325"/>
      <c r="W315" s="352" t="str">
        <f>+IF(AND($A315&lt;&gt;"",LEN($B315)&gt;=8,COUNTIF($B$6:$B315,$B315)=1),$W$5,"")</f>
        <v/>
      </c>
      <c r="X315" s="329" t="str">
        <f t="shared" si="27"/>
        <v>XF</v>
      </c>
      <c r="Y315" s="1128" t="s">
        <v>3380</v>
      </c>
      <c r="Z315" s="1128" t="s">
        <v>3381</v>
      </c>
      <c r="AA315" s="1128" t="s">
        <v>3384</v>
      </c>
      <c r="AC315" s="73"/>
    </row>
    <row r="316" spans="1:29" s="20" customFormat="1" ht="26">
      <c r="A316" s="327">
        <f>IF(AND($B316&lt;&gt;"",$C316&lt;&gt;""),MAX($A$4:A315)+1,"")</f>
        <v>30</v>
      </c>
      <c r="B316" s="359" t="s">
        <v>734</v>
      </c>
      <c r="C316" s="360" t="s">
        <v>1547</v>
      </c>
      <c r="D316" s="327">
        <f>IF($B316="","",COUNTIF($B$6:$B316,$B316))</f>
        <v>1</v>
      </c>
      <c r="E316" s="363" t="s">
        <v>28</v>
      </c>
      <c r="F316" s="382" t="s">
        <v>695</v>
      </c>
      <c r="G316" s="327" t="s">
        <v>329</v>
      </c>
      <c r="H316" s="325"/>
      <c r="I316" s="327">
        <v>2</v>
      </c>
      <c r="J316" s="361" t="s">
        <v>81</v>
      </c>
      <c r="K316" s="327" t="s">
        <v>516</v>
      </c>
      <c r="L316" s="348">
        <f t="shared" si="26"/>
        <v>533484</v>
      </c>
      <c r="M316" s="355"/>
      <c r="N316" s="355" t="str">
        <f t="shared" si="16"/>
        <v>PR</v>
      </c>
      <c r="O316" s="345"/>
      <c r="P316" s="325"/>
      <c r="Q316" s="351"/>
      <c r="R316" s="351">
        <v>1.4</v>
      </c>
      <c r="S316" s="351">
        <v>5.8</v>
      </c>
      <c r="T316" s="351">
        <v>0.876</v>
      </c>
      <c r="U316" s="329">
        <f>IF($N316=$N$4,IFERROR(INDEX(DanhMuc!$E$154:$E$165,MATCH(MID($B316,4,2),DanhMuc!$B$154:$B$165,0)),""),"")</f>
        <v>5700</v>
      </c>
      <c r="V316" s="325"/>
      <c r="W316" s="352" t="str">
        <f>+IF(AND($A316&lt;&gt;"",LEN($B316)&gt;=8,COUNTIF($B$6:$B316,$B316)=1),$W$5,"")</f>
        <v>DMCua</v>
      </c>
      <c r="X316" s="329" t="str">
        <f t="shared" si="27"/>
        <v>XF</v>
      </c>
      <c r="Y316" s="1128" t="s">
        <v>3380</v>
      </c>
      <c r="Z316" s="1128" t="s">
        <v>3381</v>
      </c>
      <c r="AA316" s="1128" t="s">
        <v>3384</v>
      </c>
      <c r="AC316" s="73"/>
    </row>
    <row r="317" spans="1:29" s="20" customFormat="1">
      <c r="A317" s="327" t="str">
        <f>IF(AND($B317&lt;&gt;"",$C317&lt;&gt;""),MAX($A$4:A316)+1,"")</f>
        <v/>
      </c>
      <c r="B317" s="361" t="s">
        <v>734</v>
      </c>
      <c r="C317" s="364"/>
      <c r="D317" s="327">
        <f>IF($B317="","",COUNTIF($B$6:$B317,$B317))</f>
        <v>2</v>
      </c>
      <c r="E317" s="363" t="s">
        <v>28</v>
      </c>
      <c r="F317" s="382" t="s">
        <v>695</v>
      </c>
      <c r="G317" s="327" t="s">
        <v>328</v>
      </c>
      <c r="H317" s="325"/>
      <c r="I317" s="327">
        <v>2</v>
      </c>
      <c r="J317" s="361" t="s">
        <v>80</v>
      </c>
      <c r="K317" s="327" t="s">
        <v>516</v>
      </c>
      <c r="L317" s="348">
        <f t="shared" si="26"/>
        <v>533484</v>
      </c>
      <c r="M317" s="355"/>
      <c r="N317" s="355" t="str">
        <f t="shared" si="16"/>
        <v>PR</v>
      </c>
      <c r="O317" s="345"/>
      <c r="P317" s="325"/>
      <c r="Q317" s="351"/>
      <c r="R317" s="351">
        <v>1.4</v>
      </c>
      <c r="S317" s="351">
        <v>5.8</v>
      </c>
      <c r="T317" s="351">
        <v>0.876</v>
      </c>
      <c r="U317" s="329">
        <f>IF($N317=$N$4,IFERROR(INDEX(DanhMuc!$E$154:$E$165,MATCH(MID($B317,4,2),DanhMuc!$B$154:$B$165,0)),""),"")</f>
        <v>5700</v>
      </c>
      <c r="V317" s="325"/>
      <c r="W317" s="352" t="str">
        <f>+IF(AND($A317&lt;&gt;"",LEN($B317)&gt;=8,COUNTIF($B$6:$B317,$B317)=1),$W$5,"")</f>
        <v/>
      </c>
      <c r="X317" s="329" t="str">
        <f t="shared" si="27"/>
        <v>XF</v>
      </c>
      <c r="Y317" s="1128" t="s">
        <v>3380</v>
      </c>
      <c r="Z317" s="1128" t="s">
        <v>3381</v>
      </c>
      <c r="AA317" s="1128" t="s">
        <v>3384</v>
      </c>
      <c r="AC317" s="73"/>
    </row>
    <row r="318" spans="1:29" s="20" customFormat="1">
      <c r="A318" s="327" t="str">
        <f>IF(AND($B318&lt;&gt;"",$C318&lt;&gt;""),MAX($A$4:A317)+1,"")</f>
        <v/>
      </c>
      <c r="B318" s="361" t="s">
        <v>734</v>
      </c>
      <c r="C318" s="364"/>
      <c r="D318" s="327">
        <f>IF($B318="","",COUNTIF($B$6:$B318,$B318))</f>
        <v>3</v>
      </c>
      <c r="E318" s="361" t="s">
        <v>2760</v>
      </c>
      <c r="F318" s="362" t="s">
        <v>2761</v>
      </c>
      <c r="G318" s="327" t="s">
        <v>329</v>
      </c>
      <c r="H318" s="325"/>
      <c r="I318" s="327">
        <v>4</v>
      </c>
      <c r="J318" s="361" t="s">
        <v>745</v>
      </c>
      <c r="K318" s="327" t="s">
        <v>516</v>
      </c>
      <c r="L318" s="348">
        <f t="shared" si="26"/>
        <v>662592</v>
      </c>
      <c r="M318" s="355"/>
      <c r="N318" s="355" t="str">
        <f t="shared" si="16"/>
        <v>PR</v>
      </c>
      <c r="O318" s="345"/>
      <c r="P318" s="325"/>
      <c r="Q318" s="351"/>
      <c r="R318" s="351">
        <v>1.4</v>
      </c>
      <c r="S318" s="351">
        <v>5.8</v>
      </c>
      <c r="T318" s="351">
        <v>1.0880000000000001</v>
      </c>
      <c r="U318" s="329">
        <f>IF($N318=$N$4,IFERROR(INDEX(DanhMuc!$E$154:$E$165,MATCH(MID($B318,4,2),DanhMuc!$B$154:$B$165,0)),""),"")</f>
        <v>5700</v>
      </c>
      <c r="V318" s="325"/>
      <c r="W318" s="352" t="str">
        <f>+IF(AND($A318&lt;&gt;"",LEN($B318)&gt;=8,COUNTIF($B$6:$B318,$B318)=1),$W$5,"")</f>
        <v/>
      </c>
      <c r="X318" s="329" t="str">
        <f t="shared" si="27"/>
        <v>XF</v>
      </c>
      <c r="Y318" s="1128" t="s">
        <v>3380</v>
      </c>
      <c r="Z318" s="1128" t="s">
        <v>3381</v>
      </c>
      <c r="AA318" s="1128" t="s">
        <v>3384</v>
      </c>
      <c r="AC318" s="73"/>
    </row>
    <row r="319" spans="1:29" s="20" customFormat="1">
      <c r="A319" s="327" t="str">
        <f>IF(AND($B319&lt;&gt;"",$C319&lt;&gt;""),MAX($A$4:A318)+1,"")</f>
        <v/>
      </c>
      <c r="B319" s="361" t="s">
        <v>734</v>
      </c>
      <c r="C319" s="364"/>
      <c r="D319" s="327">
        <f>IF($B319="","",COUNTIF($B$6:$B319,$B319))</f>
        <v>4</v>
      </c>
      <c r="E319" s="361" t="s">
        <v>2760</v>
      </c>
      <c r="F319" s="362" t="s">
        <v>2761</v>
      </c>
      <c r="G319" s="327" t="s">
        <v>328</v>
      </c>
      <c r="H319" s="325"/>
      <c r="I319" s="327">
        <v>4</v>
      </c>
      <c r="J319" s="361" t="s">
        <v>698</v>
      </c>
      <c r="K319" s="327" t="s">
        <v>516</v>
      </c>
      <c r="L319" s="348">
        <f t="shared" si="26"/>
        <v>662592</v>
      </c>
      <c r="M319" s="355"/>
      <c r="N319" s="355" t="str">
        <f t="shared" si="16"/>
        <v>PR</v>
      </c>
      <c r="O319" s="345"/>
      <c r="P319" s="325"/>
      <c r="Q319" s="351"/>
      <c r="R319" s="351">
        <v>1.4</v>
      </c>
      <c r="S319" s="351">
        <v>5.8</v>
      </c>
      <c r="T319" s="351">
        <v>1.0880000000000001</v>
      </c>
      <c r="U319" s="329">
        <f>IF($N319=$N$4,IFERROR(INDEX(DanhMuc!$E$154:$E$165,MATCH(MID($B319,4,2),DanhMuc!$B$154:$B$165,0)),""),"")</f>
        <v>5700</v>
      </c>
      <c r="V319" s="325"/>
      <c r="W319" s="352" t="str">
        <f>+IF(AND($A319&lt;&gt;"",LEN($B319)&gt;=8,COUNTIF($B$6:$B319,$B319)=1),$W$5,"")</f>
        <v/>
      </c>
      <c r="X319" s="329" t="str">
        <f t="shared" si="27"/>
        <v>XF</v>
      </c>
      <c r="Y319" s="1128" t="s">
        <v>3380</v>
      </c>
      <c r="Z319" s="1128" t="s">
        <v>3381</v>
      </c>
      <c r="AA319" s="1128" t="s">
        <v>3384</v>
      </c>
      <c r="AC319" s="73"/>
    </row>
    <row r="320" spans="1:29" s="20" customFormat="1">
      <c r="A320" s="327" t="str">
        <f>IF(AND($B320&lt;&gt;"",$C320&lt;&gt;""),MAX($A$4:A319)+1,"")</f>
        <v/>
      </c>
      <c r="B320" s="361" t="s">
        <v>734</v>
      </c>
      <c r="C320" s="364"/>
      <c r="D320" s="327">
        <f>IF($B320="","",COUNTIF($B$6:$B320,$B320))</f>
        <v>5</v>
      </c>
      <c r="E320" s="361" t="s">
        <v>29</v>
      </c>
      <c r="F320" s="362" t="s">
        <v>719</v>
      </c>
      <c r="G320" s="327" t="s">
        <v>328</v>
      </c>
      <c r="H320" s="325"/>
      <c r="I320" s="327">
        <v>1</v>
      </c>
      <c r="J320" s="361" t="s">
        <v>718</v>
      </c>
      <c r="K320" s="327" t="s">
        <v>531</v>
      </c>
      <c r="L320" s="348">
        <f t="shared" si="26"/>
        <v>615090</v>
      </c>
      <c r="M320" s="355"/>
      <c r="N320" s="355" t="str">
        <f t="shared" si="16"/>
        <v>PR</v>
      </c>
      <c r="O320" s="345"/>
      <c r="P320" s="325"/>
      <c r="Q320" s="351"/>
      <c r="R320" s="351">
        <v>1.4</v>
      </c>
      <c r="S320" s="351">
        <v>5.8</v>
      </c>
      <c r="T320" s="351">
        <v>1.01</v>
      </c>
      <c r="U320" s="329">
        <f>IF($N320=$N$4,IFERROR(INDEX(DanhMuc!$E$154:$E$165,MATCH(MID($B320,4,2),DanhMuc!$B$154:$B$165,0)),""),"")</f>
        <v>5700</v>
      </c>
      <c r="V320" s="325"/>
      <c r="W320" s="352" t="str">
        <f>+IF(AND($A320&lt;&gt;"",LEN($B320)&gt;=8,COUNTIF($B$6:$B320,$B320)=1),$W$5,"")</f>
        <v/>
      </c>
      <c r="X320" s="329" t="str">
        <f t="shared" si="27"/>
        <v>XF</v>
      </c>
      <c r="Y320" s="1128" t="s">
        <v>3380</v>
      </c>
      <c r="Z320" s="1128" t="s">
        <v>3381</v>
      </c>
      <c r="AA320" s="1128" t="s">
        <v>3384</v>
      </c>
      <c r="AC320" s="73"/>
    </row>
    <row r="321" spans="1:29" s="20" customFormat="1">
      <c r="A321" s="327" t="str">
        <f>IF(AND($B321&lt;&gt;"",$C321&lt;&gt;""),MAX($A$4:A320)+1,"")</f>
        <v/>
      </c>
      <c r="B321" s="361" t="s">
        <v>734</v>
      </c>
      <c r="C321" s="364"/>
      <c r="D321" s="327">
        <f>IF($B321="","",COUNTIF($B$6:$B321,$B321))</f>
        <v>6</v>
      </c>
      <c r="E321" s="361" t="s">
        <v>27</v>
      </c>
      <c r="F321" s="362" t="s">
        <v>346</v>
      </c>
      <c r="G321" s="327" t="s">
        <v>329</v>
      </c>
      <c r="H321" s="325"/>
      <c r="I321" s="327">
        <v>4</v>
      </c>
      <c r="J321" s="361" t="s">
        <v>746</v>
      </c>
      <c r="K321" s="327" t="s">
        <v>531</v>
      </c>
      <c r="L321" s="348">
        <f t="shared" si="26"/>
        <v>165039</v>
      </c>
      <c r="M321" s="355"/>
      <c r="N321" s="355" t="str">
        <f t="shared" si="16"/>
        <v>PR</v>
      </c>
      <c r="O321" s="347">
        <v>10</v>
      </c>
      <c r="P321" s="325"/>
      <c r="Q321" s="351"/>
      <c r="R321" s="351">
        <v>1</v>
      </c>
      <c r="S321" s="351">
        <v>5.8</v>
      </c>
      <c r="T321" s="351">
        <v>0.27100000000000002</v>
      </c>
      <c r="U321" s="329">
        <f>IF($N321=$N$4,IFERROR(INDEX(DanhMuc!$E$154:$E$165,MATCH(MID($B321,4,2),DanhMuc!$B$154:$B$165,0)),""),"")</f>
        <v>5700</v>
      </c>
      <c r="V321" s="325"/>
      <c r="W321" s="352" t="str">
        <f>+IF(AND($A321&lt;&gt;"",LEN($B321)&gt;=8,COUNTIF($B$6:$B321,$B321)=1),$W$5,"")</f>
        <v/>
      </c>
      <c r="X321" s="329" t="str">
        <f t="shared" si="27"/>
        <v>XF</v>
      </c>
      <c r="Y321" s="1128" t="s">
        <v>3380</v>
      </c>
      <c r="Z321" s="1128" t="s">
        <v>3381</v>
      </c>
      <c r="AA321" s="1128" t="s">
        <v>3384</v>
      </c>
      <c r="AC321" s="73"/>
    </row>
    <row r="322" spans="1:29" s="20" customFormat="1">
      <c r="A322" s="327" t="str">
        <f>IF(AND($B322&lt;&gt;"",$C322&lt;&gt;""),MAX($A$4:A321)+1,"")</f>
        <v/>
      </c>
      <c r="B322" s="361" t="s">
        <v>734</v>
      </c>
      <c r="C322" s="364"/>
      <c r="D322" s="327">
        <f>IF($B322="","",COUNTIF($B$6:$B322,$B322))</f>
        <v>7</v>
      </c>
      <c r="E322" s="361" t="s">
        <v>27</v>
      </c>
      <c r="F322" s="362" t="s">
        <v>346</v>
      </c>
      <c r="G322" s="327" t="s">
        <v>328</v>
      </c>
      <c r="H322" s="325"/>
      <c r="I322" s="327">
        <v>4</v>
      </c>
      <c r="J322" s="361" t="s">
        <v>707</v>
      </c>
      <c r="K322" s="327" t="s">
        <v>531</v>
      </c>
      <c r="L322" s="348">
        <f t="shared" si="26"/>
        <v>165039</v>
      </c>
      <c r="M322" s="355"/>
      <c r="N322" s="355" t="str">
        <f t="shared" si="16"/>
        <v>PR</v>
      </c>
      <c r="O322" s="347">
        <v>10</v>
      </c>
      <c r="P322" s="325"/>
      <c r="Q322" s="351"/>
      <c r="R322" s="351">
        <v>1</v>
      </c>
      <c r="S322" s="351">
        <v>5.8</v>
      </c>
      <c r="T322" s="351">
        <v>0.27100000000000002</v>
      </c>
      <c r="U322" s="329">
        <f>IF($N322=$N$4,IFERROR(INDEX(DanhMuc!$E$154:$E$165,MATCH(MID($B322,4,2),DanhMuc!$B$154:$B$165,0)),""),"")</f>
        <v>5700</v>
      </c>
      <c r="V322" s="325"/>
      <c r="W322" s="352" t="str">
        <f>+IF(AND($A322&lt;&gt;"",LEN($B322)&gt;=8,COUNTIF($B$6:$B322,$B322)=1),$W$5,"")</f>
        <v/>
      </c>
      <c r="X322" s="329" t="str">
        <f t="shared" si="27"/>
        <v>XF</v>
      </c>
      <c r="Y322" s="1128" t="s">
        <v>3380</v>
      </c>
      <c r="Z322" s="1128" t="s">
        <v>3381</v>
      </c>
      <c r="AA322" s="1128" t="s">
        <v>3384</v>
      </c>
      <c r="AC322" s="73"/>
    </row>
    <row r="323" spans="1:29" s="20" customFormat="1">
      <c r="A323" s="327" t="str">
        <f>IF(AND($B323&lt;&gt;"",$C323&lt;&gt;""),MAX($A$4:A322)+1,"")</f>
        <v/>
      </c>
      <c r="B323" s="361" t="s">
        <v>734</v>
      </c>
      <c r="C323" s="364"/>
      <c r="D323" s="327">
        <f>IF($B323="","",COUNTIF($B$6:$B323,$B323))</f>
        <v>8</v>
      </c>
      <c r="E323" s="361" t="s">
        <v>385</v>
      </c>
      <c r="F323" s="362" t="s">
        <v>386</v>
      </c>
      <c r="G323" s="327" t="s">
        <v>329</v>
      </c>
      <c r="H323" s="325"/>
      <c r="I323" s="327">
        <v>4</v>
      </c>
      <c r="J323" s="361" t="s">
        <v>746</v>
      </c>
      <c r="K323" s="327" t="s">
        <v>531</v>
      </c>
      <c r="L323" s="348">
        <f t="shared" si="26"/>
        <v>138243</v>
      </c>
      <c r="M323" s="355"/>
      <c r="N323" s="355" t="str">
        <f t="shared" si="16"/>
        <v>PR</v>
      </c>
      <c r="O323" s="347">
        <v>19</v>
      </c>
      <c r="P323" s="325"/>
      <c r="Q323" s="351"/>
      <c r="R323" s="351">
        <v>1</v>
      </c>
      <c r="S323" s="351">
        <v>5.8</v>
      </c>
      <c r="T323" s="351">
        <v>0.22700000000000001</v>
      </c>
      <c r="U323" s="329">
        <f>IF($N323=$N$4,IFERROR(INDEX(DanhMuc!$E$154:$E$165,MATCH(MID($B323,4,2),DanhMuc!$B$154:$B$165,0)),""),"")</f>
        <v>5700</v>
      </c>
      <c r="V323" s="325"/>
      <c r="W323" s="352" t="str">
        <f>+IF(AND($A323&lt;&gt;"",LEN($B323)&gt;=8,COUNTIF($B$6:$B323,$B323)=1),$W$5,"")</f>
        <v/>
      </c>
      <c r="X323" s="329" t="str">
        <f t="shared" si="27"/>
        <v>XF</v>
      </c>
      <c r="Y323" s="1128" t="s">
        <v>3380</v>
      </c>
      <c r="Z323" s="1128" t="s">
        <v>3381</v>
      </c>
      <c r="AA323" s="1128" t="s">
        <v>3384</v>
      </c>
      <c r="AC323" s="73"/>
    </row>
    <row r="324" spans="1:29" s="20" customFormat="1">
      <c r="A324" s="327" t="str">
        <f>IF(AND($B324&lt;&gt;"",$C324&lt;&gt;""),MAX($A$4:A323)+1,"")</f>
        <v/>
      </c>
      <c r="B324" s="361" t="s">
        <v>734</v>
      </c>
      <c r="C324" s="364"/>
      <c r="D324" s="327">
        <f>IF($B324="","",COUNTIF($B$6:$B324,$B324))</f>
        <v>9</v>
      </c>
      <c r="E324" s="361" t="s">
        <v>385</v>
      </c>
      <c r="F324" s="362" t="s">
        <v>386</v>
      </c>
      <c r="G324" s="327" t="s">
        <v>328</v>
      </c>
      <c r="H324" s="325"/>
      <c r="I324" s="327">
        <v>4</v>
      </c>
      <c r="J324" s="361" t="s">
        <v>707</v>
      </c>
      <c r="K324" s="327" t="s">
        <v>531</v>
      </c>
      <c r="L324" s="348">
        <f t="shared" si="26"/>
        <v>138243</v>
      </c>
      <c r="M324" s="355"/>
      <c r="N324" s="355" t="str">
        <f t="shared" si="16"/>
        <v>PR</v>
      </c>
      <c r="O324" s="347">
        <v>19</v>
      </c>
      <c r="P324" s="325"/>
      <c r="Q324" s="351"/>
      <c r="R324" s="351">
        <v>1</v>
      </c>
      <c r="S324" s="351">
        <v>5.8</v>
      </c>
      <c r="T324" s="351">
        <v>0.22700000000000001</v>
      </c>
      <c r="U324" s="329">
        <f>IF($N324=$N$4,IFERROR(INDEX(DanhMuc!$E$154:$E$165,MATCH(MID($B324,4,2),DanhMuc!$B$154:$B$165,0)),""),"")</f>
        <v>5700</v>
      </c>
      <c r="V324" s="325"/>
      <c r="W324" s="352" t="str">
        <f>+IF(AND($A324&lt;&gt;"",LEN($B324)&gt;=8,COUNTIF($B$6:$B324,$B324)=1),$W$5,"")</f>
        <v/>
      </c>
      <c r="X324" s="329" t="str">
        <f t="shared" si="27"/>
        <v>XF</v>
      </c>
      <c r="Y324" s="1128" t="s">
        <v>3380</v>
      </c>
      <c r="Z324" s="1128" t="s">
        <v>3381</v>
      </c>
      <c r="AA324" s="1128" t="s">
        <v>3384</v>
      </c>
      <c r="AC324" s="73"/>
    </row>
    <row r="325" spans="1:29" s="20" customFormat="1">
      <c r="A325" s="327" t="str">
        <f>IF(AND($B325&lt;&gt;"",$C325&lt;&gt;""),MAX($A$4:A324)+1,"")</f>
        <v/>
      </c>
      <c r="B325" s="361" t="s">
        <v>734</v>
      </c>
      <c r="C325" s="364"/>
      <c r="D325" s="327">
        <f>IF($B325="","",COUNTIF($B$6:$B325,$B325))</f>
        <v>10</v>
      </c>
      <c r="E325" s="361" t="s">
        <v>630</v>
      </c>
      <c r="F325" s="362" t="s">
        <v>631</v>
      </c>
      <c r="G325" s="327" t="s">
        <v>329</v>
      </c>
      <c r="H325" s="325"/>
      <c r="I325" s="327">
        <v>4</v>
      </c>
      <c r="J325" s="361" t="s">
        <v>746</v>
      </c>
      <c r="K325" s="327" t="s">
        <v>531</v>
      </c>
      <c r="L325" s="348">
        <f t="shared" si="26"/>
        <v>135807</v>
      </c>
      <c r="M325" s="355"/>
      <c r="N325" s="355" t="str">
        <f t="shared" si="16"/>
        <v>PR</v>
      </c>
      <c r="O325" s="347">
        <v>20</v>
      </c>
      <c r="P325" s="325"/>
      <c r="Q325" s="351"/>
      <c r="R325" s="351">
        <v>1</v>
      </c>
      <c r="S325" s="351">
        <v>5.8</v>
      </c>
      <c r="T325" s="351">
        <v>0.223</v>
      </c>
      <c r="U325" s="329">
        <f>IF($N325=$N$4,IFERROR(INDEX(DanhMuc!$E$154:$E$165,MATCH(MID($B325,4,2),DanhMuc!$B$154:$B$165,0)),""),"")</f>
        <v>5700</v>
      </c>
      <c r="V325" s="325"/>
      <c r="W325" s="352" t="str">
        <f>+IF(AND($A325&lt;&gt;"",LEN($B325)&gt;=8,COUNTIF($B$6:$B325,$B325)=1),$W$5,"")</f>
        <v/>
      </c>
      <c r="X325" s="329" t="str">
        <f t="shared" si="27"/>
        <v>XF</v>
      </c>
      <c r="Y325" s="1128" t="s">
        <v>3380</v>
      </c>
      <c r="Z325" s="1128" t="s">
        <v>3381</v>
      </c>
      <c r="AA325" s="1128" t="s">
        <v>3384</v>
      </c>
      <c r="AC325" s="73"/>
    </row>
    <row r="326" spans="1:29" s="20" customFormat="1">
      <c r="A326" s="327" t="str">
        <f>IF(AND($B326&lt;&gt;"",$C326&lt;&gt;""),MAX($A$4:A325)+1,"")</f>
        <v/>
      </c>
      <c r="B326" s="361" t="s">
        <v>734</v>
      </c>
      <c r="C326" s="364"/>
      <c r="D326" s="327">
        <f>IF($B326="","",COUNTIF($B$6:$B326,$B326))</f>
        <v>11</v>
      </c>
      <c r="E326" s="361" t="s">
        <v>630</v>
      </c>
      <c r="F326" s="362" t="s">
        <v>631</v>
      </c>
      <c r="G326" s="327" t="s">
        <v>328</v>
      </c>
      <c r="H326" s="325"/>
      <c r="I326" s="327">
        <v>4</v>
      </c>
      <c r="J326" s="361" t="s">
        <v>707</v>
      </c>
      <c r="K326" s="327" t="s">
        <v>531</v>
      </c>
      <c r="L326" s="348">
        <f t="shared" si="26"/>
        <v>135807</v>
      </c>
      <c r="M326" s="355"/>
      <c r="N326" s="355" t="str">
        <f t="shared" si="16"/>
        <v>PR</v>
      </c>
      <c r="O326" s="347">
        <v>20</v>
      </c>
      <c r="P326" s="325"/>
      <c r="Q326" s="351"/>
      <c r="R326" s="351">
        <v>1</v>
      </c>
      <c r="S326" s="351">
        <v>5.8</v>
      </c>
      <c r="T326" s="351">
        <v>0.223</v>
      </c>
      <c r="U326" s="329">
        <f>IF($N326=$N$4,IFERROR(INDEX(DanhMuc!$E$154:$E$165,MATCH(MID($B326,4,2),DanhMuc!$B$154:$B$165,0)),""),"")</f>
        <v>5700</v>
      </c>
      <c r="V326" s="325"/>
      <c r="W326" s="352" t="str">
        <f>+IF(AND($A326&lt;&gt;"",LEN($B326)&gt;=8,COUNTIF($B$6:$B326,$B326)=1),$W$5,"")</f>
        <v/>
      </c>
      <c r="X326" s="329" t="str">
        <f t="shared" si="27"/>
        <v>XF</v>
      </c>
      <c r="Y326" s="1128" t="s">
        <v>3380</v>
      </c>
      <c r="Z326" s="1128" t="s">
        <v>3381</v>
      </c>
      <c r="AA326" s="1128" t="s">
        <v>3384</v>
      </c>
      <c r="AC326" s="73"/>
    </row>
    <row r="327" spans="1:29" s="20" customFormat="1" ht="26">
      <c r="A327" s="327">
        <f>IF(AND($B327&lt;&gt;"",$C327&lt;&gt;""),MAX($A$4:A326)+1,"")</f>
        <v>31</v>
      </c>
      <c r="B327" s="359" t="s">
        <v>591</v>
      </c>
      <c r="C327" s="360" t="s">
        <v>1555</v>
      </c>
      <c r="D327" s="327">
        <f>IF($B327="","",COUNTIF($B$6:$B327,$B327))</f>
        <v>1</v>
      </c>
      <c r="E327" s="363" t="s">
        <v>42</v>
      </c>
      <c r="F327" s="362" t="s">
        <v>334</v>
      </c>
      <c r="G327" s="327" t="s">
        <v>329</v>
      </c>
      <c r="H327" s="325"/>
      <c r="I327" s="327">
        <v>1</v>
      </c>
      <c r="J327" s="361" t="s">
        <v>594</v>
      </c>
      <c r="K327" s="327" t="s">
        <v>531</v>
      </c>
      <c r="L327" s="348">
        <f t="shared" si="26"/>
        <v>932988</v>
      </c>
      <c r="M327" s="373"/>
      <c r="N327" s="355" t="str">
        <f t="shared" ref="N327:N390" si="28">+$N$4</f>
        <v>PR</v>
      </c>
      <c r="O327" s="345"/>
      <c r="P327" s="325"/>
      <c r="Q327" s="351"/>
      <c r="R327" s="351">
        <v>2</v>
      </c>
      <c r="S327" s="351">
        <v>5.8</v>
      </c>
      <c r="T327" s="351">
        <v>1.532</v>
      </c>
      <c r="U327" s="329">
        <f>IF($N327=$N$4,IFERROR(INDEX(DanhMuc!$E$154:$E$165,MATCH(MID($B327,4,2),DanhMuc!$B$154:$B$165,0)),""),"")</f>
        <v>5700</v>
      </c>
      <c r="V327" s="325"/>
      <c r="W327" s="352" t="str">
        <f>+IF(AND($A327&lt;&gt;"",LEN($B327)&gt;=8,COUNTIF($B$6:$B327,$B327)=1),$W$5,"")</f>
        <v>DMCua</v>
      </c>
      <c r="X327" s="329" t="str">
        <f t="shared" si="27"/>
        <v>XF</v>
      </c>
      <c r="Y327" s="1128" t="s">
        <v>3380</v>
      </c>
      <c r="Z327" s="1128" t="s">
        <v>3381</v>
      </c>
      <c r="AA327" s="1128" t="s">
        <v>3384</v>
      </c>
      <c r="AC327" s="73"/>
    </row>
    <row r="328" spans="1:29" s="20" customFormat="1">
      <c r="A328" s="327" t="str">
        <f>IF(AND($B328&lt;&gt;"",$C328&lt;&gt;""),MAX($A$4:A327)+1,"")</f>
        <v/>
      </c>
      <c r="B328" s="361" t="s">
        <v>591</v>
      </c>
      <c r="C328" s="360"/>
      <c r="D328" s="327">
        <f>IF($B328="","",COUNTIF($B$6:$B328,$B328))</f>
        <v>2</v>
      </c>
      <c r="E328" s="361" t="s">
        <v>43</v>
      </c>
      <c r="F328" s="362" t="s">
        <v>333</v>
      </c>
      <c r="G328" s="327" t="s">
        <v>329</v>
      </c>
      <c r="H328" s="325"/>
      <c r="I328" s="327">
        <v>1</v>
      </c>
      <c r="J328" s="361" t="s">
        <v>594</v>
      </c>
      <c r="K328" s="327" t="s">
        <v>531</v>
      </c>
      <c r="L328" s="348">
        <f t="shared" si="26"/>
        <v>799616.99999999988</v>
      </c>
      <c r="M328" s="355"/>
      <c r="N328" s="355" t="str">
        <f t="shared" si="28"/>
        <v>PR</v>
      </c>
      <c r="O328" s="345"/>
      <c r="P328" s="325"/>
      <c r="Q328" s="351"/>
      <c r="R328" s="351">
        <v>2</v>
      </c>
      <c r="S328" s="351">
        <v>5.8</v>
      </c>
      <c r="T328" s="351">
        <v>1.3129999999999999</v>
      </c>
      <c r="U328" s="329">
        <f>IF($N328=$N$4,IFERROR(INDEX(DanhMuc!$E$154:$E$165,MATCH(MID($B328,4,2),DanhMuc!$B$154:$B$165,0)),""),"")</f>
        <v>5700</v>
      </c>
      <c r="V328" s="325"/>
      <c r="W328" s="352" t="str">
        <f>+IF(AND($A328&lt;&gt;"",LEN($B328)&gt;=8,COUNTIF($B$6:$B328,$B328)=1),$W$5,"")</f>
        <v/>
      </c>
      <c r="X328" s="329" t="str">
        <f t="shared" si="27"/>
        <v>XF</v>
      </c>
      <c r="Y328" s="1128" t="s">
        <v>3380</v>
      </c>
      <c r="Z328" s="1128" t="s">
        <v>3381</v>
      </c>
      <c r="AA328" s="1128" t="s">
        <v>3384</v>
      </c>
      <c r="AC328" s="73"/>
    </row>
    <row r="329" spans="1:29" s="20" customFormat="1">
      <c r="A329" s="327" t="str">
        <f>IF(AND($B329&lt;&gt;"",$C329&lt;&gt;""),MAX($A$4:A328)+1,"")</f>
        <v/>
      </c>
      <c r="B329" s="361" t="s">
        <v>591</v>
      </c>
      <c r="C329" s="360"/>
      <c r="D329" s="327">
        <f>IF($B329="","",COUNTIF($B$6:$B329,$B329))</f>
        <v>3</v>
      </c>
      <c r="E329" s="361" t="s">
        <v>41</v>
      </c>
      <c r="F329" s="362" t="s">
        <v>445</v>
      </c>
      <c r="G329" s="327" t="s">
        <v>328</v>
      </c>
      <c r="H329" s="325"/>
      <c r="I329" s="327">
        <v>2</v>
      </c>
      <c r="J329" s="361" t="s">
        <v>80</v>
      </c>
      <c r="K329" s="327" t="s">
        <v>531</v>
      </c>
      <c r="L329" s="348">
        <f t="shared" si="26"/>
        <v>728973</v>
      </c>
      <c r="M329" s="355"/>
      <c r="N329" s="355" t="str">
        <f t="shared" si="28"/>
        <v>PR</v>
      </c>
      <c r="O329" s="345"/>
      <c r="P329" s="325"/>
      <c r="Q329" s="351"/>
      <c r="R329" s="351">
        <v>2</v>
      </c>
      <c r="S329" s="351">
        <v>5.8</v>
      </c>
      <c r="T329" s="351">
        <v>1.1970000000000001</v>
      </c>
      <c r="U329" s="329">
        <f>IF($N329=$N$4,IFERROR(INDEX(DanhMuc!$E$154:$E$165,MATCH(MID($B329,4,2),DanhMuc!$B$154:$B$165,0)),""),"")</f>
        <v>5700</v>
      </c>
      <c r="V329" s="325"/>
      <c r="W329" s="352" t="str">
        <f>+IF(AND($A329&lt;&gt;"",LEN($B329)&gt;=8,COUNTIF($B$6:$B329,$B329)=1),$W$5,"")</f>
        <v/>
      </c>
      <c r="X329" s="329" t="str">
        <f t="shared" si="27"/>
        <v>XF</v>
      </c>
      <c r="Y329" s="1128" t="s">
        <v>3380</v>
      </c>
      <c r="Z329" s="1128" t="s">
        <v>3381</v>
      </c>
      <c r="AA329" s="1128" t="s">
        <v>3384</v>
      </c>
      <c r="AC329" s="73"/>
    </row>
    <row r="330" spans="1:29" s="20" customFormat="1">
      <c r="A330" s="327" t="str">
        <f>IF(AND($B330&lt;&gt;"",$C330&lt;&gt;""),MAX($A$4:A329)+1,"")</f>
        <v/>
      </c>
      <c r="B330" s="361" t="s">
        <v>591</v>
      </c>
      <c r="C330" s="360"/>
      <c r="D330" s="327">
        <f>IF($B330="","",COUNTIF($B$6:$B330,$B330))</f>
        <v>4</v>
      </c>
      <c r="E330" s="361" t="s">
        <v>48</v>
      </c>
      <c r="F330" s="362" t="s">
        <v>338</v>
      </c>
      <c r="G330" s="327" t="s">
        <v>329</v>
      </c>
      <c r="H330" s="325"/>
      <c r="I330" s="327">
        <v>2</v>
      </c>
      <c r="J330" s="361" t="s">
        <v>736</v>
      </c>
      <c r="K330" s="327" t="s">
        <v>531</v>
      </c>
      <c r="L330" s="348">
        <f t="shared" si="26"/>
        <v>632750.99999999988</v>
      </c>
      <c r="M330" s="355"/>
      <c r="N330" s="355" t="str">
        <f t="shared" si="28"/>
        <v>PR</v>
      </c>
      <c r="O330" s="345"/>
      <c r="P330" s="325"/>
      <c r="Q330" s="351"/>
      <c r="R330" s="351">
        <v>2</v>
      </c>
      <c r="S330" s="351">
        <v>5.8</v>
      </c>
      <c r="T330" s="351">
        <v>1.0389999999999999</v>
      </c>
      <c r="U330" s="329">
        <f>IF($N330=$N$4,IFERROR(INDEX(DanhMuc!$E$154:$E$165,MATCH(MID($B330,4,2),DanhMuc!$B$154:$B$165,0)),""),"")</f>
        <v>5700</v>
      </c>
      <c r="V330" s="325"/>
      <c r="W330" s="352" t="str">
        <f>+IF(AND($A330&lt;&gt;"",LEN($B330)&gt;=8,COUNTIF($B$6:$B330,$B330)=1),$W$5,"")</f>
        <v/>
      </c>
      <c r="X330" s="329" t="str">
        <f t="shared" si="27"/>
        <v>XF</v>
      </c>
      <c r="Y330" s="1128" t="s">
        <v>3380</v>
      </c>
      <c r="Z330" s="1128" t="s">
        <v>3381</v>
      </c>
      <c r="AA330" s="1128" t="s">
        <v>3384</v>
      </c>
      <c r="AC330" s="73"/>
    </row>
    <row r="331" spans="1:29" s="20" customFormat="1">
      <c r="A331" s="327" t="str">
        <f>IF(AND($B331&lt;&gt;"",$C331&lt;&gt;""),MAX($A$4:A330)+1,"")</f>
        <v/>
      </c>
      <c r="B331" s="361" t="s">
        <v>591</v>
      </c>
      <c r="C331" s="360"/>
      <c r="D331" s="327">
        <f>IF($B331="","",COUNTIF($B$6:$B331,$B331))</f>
        <v>5</v>
      </c>
      <c r="E331" s="361" t="s">
        <v>46</v>
      </c>
      <c r="F331" s="362" t="s">
        <v>337</v>
      </c>
      <c r="G331" s="327" t="s">
        <v>329</v>
      </c>
      <c r="H331" s="325"/>
      <c r="I331" s="327">
        <v>2</v>
      </c>
      <c r="J331" s="361" t="s">
        <v>736</v>
      </c>
      <c r="K331" s="327" t="s">
        <v>531</v>
      </c>
      <c r="L331" s="348">
        <f t="shared" si="26"/>
        <v>633360</v>
      </c>
      <c r="M331" s="355"/>
      <c r="N331" s="355" t="str">
        <f t="shared" si="28"/>
        <v>PR</v>
      </c>
      <c r="O331" s="345"/>
      <c r="P331" s="325"/>
      <c r="Q331" s="351"/>
      <c r="R331" s="351">
        <v>2</v>
      </c>
      <c r="S331" s="351">
        <v>5.8</v>
      </c>
      <c r="T331" s="351">
        <v>1.04</v>
      </c>
      <c r="U331" s="329">
        <f>IF($N331=$N$4,IFERROR(INDEX(DanhMuc!$E$154:$E$165,MATCH(MID($B331,4,2),DanhMuc!$B$154:$B$165,0)),""),"")</f>
        <v>5700</v>
      </c>
      <c r="V331" s="325"/>
      <c r="W331" s="352" t="str">
        <f>+IF(AND($A331&lt;&gt;"",LEN($B331)&gt;=8,COUNTIF($B$6:$B331,$B331)=1),$W$5,"")</f>
        <v/>
      </c>
      <c r="X331" s="329" t="str">
        <f t="shared" si="27"/>
        <v>XF</v>
      </c>
      <c r="Y331" s="1128" t="s">
        <v>3380</v>
      </c>
      <c r="Z331" s="1128" t="s">
        <v>3381</v>
      </c>
      <c r="AA331" s="1128" t="s">
        <v>3384</v>
      </c>
      <c r="AC331" s="73"/>
    </row>
    <row r="332" spans="1:29" s="20" customFormat="1">
      <c r="A332" s="327" t="str">
        <f>IF(AND($B332&lt;&gt;"",$C332&lt;&gt;""),MAX($A$4:A331)+1,"")</f>
        <v/>
      </c>
      <c r="B332" s="361" t="s">
        <v>591</v>
      </c>
      <c r="C332" s="360"/>
      <c r="D332" s="327">
        <f>IF($B332="","",COUNTIF($B$6:$B332,$B332))</f>
        <v>6</v>
      </c>
      <c r="E332" s="361" t="s">
        <v>44</v>
      </c>
      <c r="F332" s="362" t="s">
        <v>335</v>
      </c>
      <c r="G332" s="327" t="s">
        <v>328</v>
      </c>
      <c r="H332" s="325"/>
      <c r="I332" s="327">
        <v>2</v>
      </c>
      <c r="J332" s="361" t="s">
        <v>737</v>
      </c>
      <c r="K332" s="327" t="s">
        <v>531</v>
      </c>
      <c r="L332" s="348">
        <f t="shared" si="26"/>
        <v>809970</v>
      </c>
      <c r="M332" s="355"/>
      <c r="N332" s="355" t="str">
        <f t="shared" si="28"/>
        <v>PR</v>
      </c>
      <c r="O332" s="345"/>
      <c r="P332" s="325"/>
      <c r="Q332" s="351"/>
      <c r="R332" s="351">
        <v>2</v>
      </c>
      <c r="S332" s="351">
        <v>5.8</v>
      </c>
      <c r="T332" s="351">
        <v>1.33</v>
      </c>
      <c r="U332" s="329">
        <f>IF($N332=$N$4,IFERROR(INDEX(DanhMuc!$E$154:$E$165,MATCH(MID($B332,4,2),DanhMuc!$B$154:$B$165,0)),""),"")</f>
        <v>5700</v>
      </c>
      <c r="V332" s="325"/>
      <c r="W332" s="352" t="str">
        <f>+IF(AND($A332&lt;&gt;"",LEN($B332)&gt;=8,COUNTIF($B$6:$B332,$B332)=1),$W$5,"")</f>
        <v/>
      </c>
      <c r="X332" s="329" t="str">
        <f t="shared" si="27"/>
        <v>XF</v>
      </c>
      <c r="Y332" s="1128" t="s">
        <v>3380</v>
      </c>
      <c r="Z332" s="1128" t="s">
        <v>3381</v>
      </c>
      <c r="AA332" s="1128" t="s">
        <v>3384</v>
      </c>
      <c r="AC332" s="73"/>
    </row>
    <row r="333" spans="1:29" s="20" customFormat="1">
      <c r="A333" s="327" t="str">
        <f>IF(AND($B333&lt;&gt;"",$C333&lt;&gt;""),MAX($A$4:A332)+1,"")</f>
        <v/>
      </c>
      <c r="B333" s="361" t="s">
        <v>591</v>
      </c>
      <c r="C333" s="360"/>
      <c r="D333" s="327">
        <f>IF($B333="","",COUNTIF($B$6:$B333,$B333))</f>
        <v>7</v>
      </c>
      <c r="E333" s="361" t="s">
        <v>45</v>
      </c>
      <c r="F333" s="362" t="s">
        <v>336</v>
      </c>
      <c r="G333" s="327" t="s">
        <v>328</v>
      </c>
      <c r="H333" s="325"/>
      <c r="I333" s="327">
        <v>2</v>
      </c>
      <c r="J333" s="361" t="s">
        <v>737</v>
      </c>
      <c r="K333" s="327" t="s">
        <v>531</v>
      </c>
      <c r="L333" s="348">
        <f t="shared" si="26"/>
        <v>703395</v>
      </c>
      <c r="M333" s="355"/>
      <c r="N333" s="355" t="str">
        <f t="shared" si="28"/>
        <v>PR</v>
      </c>
      <c r="O333" s="345"/>
      <c r="P333" s="325"/>
      <c r="Q333" s="351"/>
      <c r="R333" s="351">
        <v>2</v>
      </c>
      <c r="S333" s="351">
        <v>5.8</v>
      </c>
      <c r="T333" s="351">
        <v>1.155</v>
      </c>
      <c r="U333" s="329">
        <f>IF($N333=$N$4,IFERROR(INDEX(DanhMuc!$E$154:$E$165,MATCH(MID($B333,4,2),DanhMuc!$B$154:$B$165,0)),""),"")</f>
        <v>5700</v>
      </c>
      <c r="V333" s="325"/>
      <c r="W333" s="352" t="str">
        <f>+IF(AND($A333&lt;&gt;"",LEN($B333)&gt;=8,COUNTIF($B$6:$B333,$B333)=1),$W$5,"")</f>
        <v/>
      </c>
      <c r="X333" s="329" t="str">
        <f t="shared" si="27"/>
        <v>XF</v>
      </c>
      <c r="Y333" s="1128" t="s">
        <v>3380</v>
      </c>
      <c r="Z333" s="1128" t="s">
        <v>3381</v>
      </c>
      <c r="AA333" s="1128" t="s">
        <v>3384</v>
      </c>
      <c r="AC333" s="73"/>
    </row>
    <row r="334" spans="1:29" s="20" customFormat="1" ht="39">
      <c r="A334" s="327">
        <f>IF(AND($B334&lt;&gt;"",$C334&lt;&gt;""),MAX($A$4:A333)+1,"")</f>
        <v>32</v>
      </c>
      <c r="B334" s="359" t="s">
        <v>760</v>
      </c>
      <c r="C334" s="360" t="s">
        <v>1548</v>
      </c>
      <c r="D334" s="327">
        <f>IF($B334="","",COUNTIF($B$6:$B334,$B334))</f>
        <v>1</v>
      </c>
      <c r="E334" s="361" t="s">
        <v>749</v>
      </c>
      <c r="F334" s="362" t="s">
        <v>750</v>
      </c>
      <c r="G334" s="327" t="s">
        <v>329</v>
      </c>
      <c r="H334" s="325"/>
      <c r="I334" s="327">
        <v>1</v>
      </c>
      <c r="J334" s="361" t="s">
        <v>594</v>
      </c>
      <c r="K334" s="327" t="s">
        <v>531</v>
      </c>
      <c r="L334" s="348">
        <f t="shared" si="26"/>
        <v>1193031</v>
      </c>
      <c r="M334" s="373"/>
      <c r="N334" s="355" t="str">
        <f t="shared" si="28"/>
        <v>PR</v>
      </c>
      <c r="O334" s="345"/>
      <c r="P334" s="325"/>
      <c r="Q334" s="351"/>
      <c r="R334" s="351">
        <v>2</v>
      </c>
      <c r="S334" s="351">
        <v>5.8</v>
      </c>
      <c r="T334" s="351">
        <v>1.9590000000000001</v>
      </c>
      <c r="U334" s="329">
        <f>IF($N334=$N$4,IFERROR(INDEX(DanhMuc!$E$154:$E$165,MATCH(MID($B334,4,2),DanhMuc!$B$154:$B$165,0)),""),"")</f>
        <v>5700</v>
      </c>
      <c r="V334" s="325"/>
      <c r="W334" s="352" t="str">
        <f>+IF(AND($A334&lt;&gt;"",LEN($B334)&gt;=8,COUNTIF($B$6:$B334,$B334)=1),$W$5,"")</f>
        <v>DMCua</v>
      </c>
      <c r="X334" s="329" t="str">
        <f t="shared" si="27"/>
        <v>XF</v>
      </c>
      <c r="Y334" s="1128" t="s">
        <v>3380</v>
      </c>
      <c r="Z334" s="1128" t="s">
        <v>3381</v>
      </c>
      <c r="AA334" s="1128" t="s">
        <v>3384</v>
      </c>
      <c r="AC334" s="73"/>
    </row>
    <row r="335" spans="1:29" s="20" customFormat="1" ht="25">
      <c r="A335" s="327" t="str">
        <f>IF(AND($B335&lt;&gt;"",$C335&lt;&gt;""),MAX($A$4:A334)+1,"")</f>
        <v/>
      </c>
      <c r="B335" s="361" t="s">
        <v>760</v>
      </c>
      <c r="C335" s="360"/>
      <c r="D335" s="327">
        <f>IF($B335="","",COUNTIF($B$6:$B335,$B335))</f>
        <v>2</v>
      </c>
      <c r="E335" s="361" t="s">
        <v>751</v>
      </c>
      <c r="F335" s="362" t="s">
        <v>752</v>
      </c>
      <c r="G335" s="327" t="s">
        <v>329</v>
      </c>
      <c r="H335" s="325"/>
      <c r="I335" s="327">
        <v>1</v>
      </c>
      <c r="J335" s="361" t="s">
        <v>594</v>
      </c>
      <c r="K335" s="327" t="s">
        <v>531</v>
      </c>
      <c r="L335" s="348">
        <f t="shared" si="26"/>
        <v>1397655</v>
      </c>
      <c r="M335" s="355"/>
      <c r="N335" s="355" t="str">
        <f t="shared" si="28"/>
        <v>PR</v>
      </c>
      <c r="O335" s="345"/>
      <c r="P335" s="325"/>
      <c r="Q335" s="351"/>
      <c r="R335" s="351">
        <v>2</v>
      </c>
      <c r="S335" s="351">
        <v>5.8</v>
      </c>
      <c r="T335" s="351">
        <v>2.2949999999999999</v>
      </c>
      <c r="U335" s="329">
        <f>IF($N335=$N$4,IFERROR(INDEX(DanhMuc!$E$154:$E$165,MATCH(MID($B335,4,2),DanhMuc!$B$154:$B$165,0)),""),"")</f>
        <v>5700</v>
      </c>
      <c r="V335" s="325"/>
      <c r="W335" s="352" t="str">
        <f>+IF(AND($A335&lt;&gt;"",LEN($B335)&gt;=8,COUNTIF($B$6:$B335,$B335)=1),$W$5,"")</f>
        <v/>
      </c>
      <c r="X335" s="329" t="str">
        <f t="shared" si="27"/>
        <v>XF</v>
      </c>
      <c r="Y335" s="1128" t="s">
        <v>3380</v>
      </c>
      <c r="Z335" s="1128" t="s">
        <v>3381</v>
      </c>
      <c r="AA335" s="1128" t="s">
        <v>3384</v>
      </c>
      <c r="AC335" s="73"/>
    </row>
    <row r="336" spans="1:29" s="20" customFormat="1">
      <c r="A336" s="327" t="str">
        <f>IF(AND($B336&lt;&gt;"",$C336&lt;&gt;""),MAX($A$4:A335)+1,"")</f>
        <v/>
      </c>
      <c r="B336" s="361" t="s">
        <v>760</v>
      </c>
      <c r="C336" s="360"/>
      <c r="D336" s="327">
        <f>IF($B336="","",COUNTIF($B$6:$B336,$B336))</f>
        <v>3</v>
      </c>
      <c r="E336" s="361" t="s">
        <v>753</v>
      </c>
      <c r="F336" s="362" t="s">
        <v>754</v>
      </c>
      <c r="G336" s="327" t="s">
        <v>328</v>
      </c>
      <c r="H336" s="325"/>
      <c r="I336" s="327">
        <v>2</v>
      </c>
      <c r="J336" s="361" t="s">
        <v>80</v>
      </c>
      <c r="K336" s="327" t="s">
        <v>531</v>
      </c>
      <c r="L336" s="348">
        <f t="shared" si="26"/>
        <v>832502.99999999988</v>
      </c>
      <c r="M336" s="355"/>
      <c r="N336" s="355" t="str">
        <f t="shared" si="28"/>
        <v>PR</v>
      </c>
      <c r="O336" s="345"/>
      <c r="P336" s="325"/>
      <c r="Q336" s="351"/>
      <c r="R336" s="351">
        <v>2</v>
      </c>
      <c r="S336" s="351">
        <v>5.8</v>
      </c>
      <c r="T336" s="351">
        <v>1.367</v>
      </c>
      <c r="U336" s="329">
        <f>IF($N336=$N$4,IFERROR(INDEX(DanhMuc!$E$154:$E$165,MATCH(MID($B336,4,2),DanhMuc!$B$154:$B$165,0)),""),"")</f>
        <v>5700</v>
      </c>
      <c r="V336" s="325"/>
      <c r="W336" s="352" t="str">
        <f>+IF(AND($A336&lt;&gt;"",LEN($B336)&gt;=8,COUNTIF($B$6:$B336,$B336)=1),$W$5,"")</f>
        <v/>
      </c>
      <c r="X336" s="329" t="str">
        <f t="shared" si="27"/>
        <v>XF</v>
      </c>
      <c r="Y336" s="1128" t="s">
        <v>3380</v>
      </c>
      <c r="Z336" s="1128" t="s">
        <v>3381</v>
      </c>
      <c r="AA336" s="1128" t="s">
        <v>3384</v>
      </c>
      <c r="AC336" s="73"/>
    </row>
    <row r="337" spans="1:29" s="20" customFormat="1">
      <c r="A337" s="327" t="str">
        <f>IF(AND($B337&lt;&gt;"",$C337&lt;&gt;""),MAX($A$4:A336)+1,"")</f>
        <v/>
      </c>
      <c r="B337" s="361" t="s">
        <v>760</v>
      </c>
      <c r="C337" s="360"/>
      <c r="D337" s="327">
        <f>IF($B337="","",COUNTIF($B$6:$B337,$B337))</f>
        <v>4</v>
      </c>
      <c r="E337" s="361" t="s">
        <v>48</v>
      </c>
      <c r="F337" s="362" t="s">
        <v>338</v>
      </c>
      <c r="G337" s="327" t="s">
        <v>329</v>
      </c>
      <c r="H337" s="325"/>
      <c r="I337" s="327">
        <v>4</v>
      </c>
      <c r="J337" s="361" t="s">
        <v>755</v>
      </c>
      <c r="K337" s="327" t="s">
        <v>531</v>
      </c>
      <c r="L337" s="348">
        <f t="shared" si="26"/>
        <v>632750.99999999988</v>
      </c>
      <c r="M337" s="355"/>
      <c r="N337" s="355" t="str">
        <f t="shared" si="28"/>
        <v>PR</v>
      </c>
      <c r="O337" s="345"/>
      <c r="P337" s="325"/>
      <c r="Q337" s="351"/>
      <c r="R337" s="351">
        <v>2</v>
      </c>
      <c r="S337" s="351">
        <v>5.8</v>
      </c>
      <c r="T337" s="351">
        <v>1.0389999999999999</v>
      </c>
      <c r="U337" s="329">
        <f>IF($N337=$N$4,IFERROR(INDEX(DanhMuc!$E$154:$E$165,MATCH(MID($B337,4,2),DanhMuc!$B$154:$B$165,0)),""),"")</f>
        <v>5700</v>
      </c>
      <c r="V337" s="325"/>
      <c r="W337" s="352" t="str">
        <f>+IF(AND($A337&lt;&gt;"",LEN($B337)&gt;=8,COUNTIF($B$6:$B337,$B337)=1),$W$5,"")</f>
        <v/>
      </c>
      <c r="X337" s="329" t="str">
        <f t="shared" si="27"/>
        <v>XF</v>
      </c>
      <c r="Y337" s="1128" t="s">
        <v>3380</v>
      </c>
      <c r="Z337" s="1128" t="s">
        <v>3381</v>
      </c>
      <c r="AA337" s="1128" t="s">
        <v>3384</v>
      </c>
      <c r="AC337" s="73"/>
    </row>
    <row r="338" spans="1:29" s="20" customFormat="1">
      <c r="A338" s="327" t="str">
        <f>IF(AND($B338&lt;&gt;"",$C338&lt;&gt;""),MAX($A$4:A337)+1,"")</f>
        <v/>
      </c>
      <c r="B338" s="361" t="s">
        <v>760</v>
      </c>
      <c r="C338" s="360"/>
      <c r="D338" s="327">
        <f>IF($B338="","",COUNTIF($B$6:$B338,$B338))</f>
        <v>5</v>
      </c>
      <c r="E338" s="361" t="s">
        <v>46</v>
      </c>
      <c r="F338" s="362" t="s">
        <v>337</v>
      </c>
      <c r="G338" s="327" t="s">
        <v>329</v>
      </c>
      <c r="H338" s="325"/>
      <c r="I338" s="327">
        <v>4</v>
      </c>
      <c r="J338" s="361" t="s">
        <v>755</v>
      </c>
      <c r="K338" s="327" t="s">
        <v>531</v>
      </c>
      <c r="L338" s="348">
        <f t="shared" si="26"/>
        <v>633360</v>
      </c>
      <c r="M338" s="355"/>
      <c r="N338" s="355" t="str">
        <f t="shared" si="28"/>
        <v>PR</v>
      </c>
      <c r="O338" s="345"/>
      <c r="P338" s="325"/>
      <c r="Q338" s="351"/>
      <c r="R338" s="351">
        <v>2</v>
      </c>
      <c r="S338" s="351">
        <v>5.8</v>
      </c>
      <c r="T338" s="351">
        <v>1.04</v>
      </c>
      <c r="U338" s="329">
        <f>IF($N338=$N$4,IFERROR(INDEX(DanhMuc!$E$154:$E$165,MATCH(MID($B338,4,2),DanhMuc!$B$154:$B$165,0)),""),"")</f>
        <v>5700</v>
      </c>
      <c r="V338" s="325"/>
      <c r="W338" s="352" t="str">
        <f>+IF(AND($A338&lt;&gt;"",LEN($B338)&gt;=8,COUNTIF($B$6:$B338,$B338)=1),$W$5,"")</f>
        <v/>
      </c>
      <c r="X338" s="329" t="str">
        <f t="shared" si="27"/>
        <v>XF</v>
      </c>
      <c r="Y338" s="1128" t="s">
        <v>3380</v>
      </c>
      <c r="Z338" s="1128" t="s">
        <v>3381</v>
      </c>
      <c r="AA338" s="1128" t="s">
        <v>3384</v>
      </c>
      <c r="AC338" s="73"/>
    </row>
    <row r="339" spans="1:29" s="20" customFormat="1">
      <c r="A339" s="327" t="str">
        <f>IF(AND($B339&lt;&gt;"",$C339&lt;&gt;""),MAX($A$4:A338)+1,"")</f>
        <v/>
      </c>
      <c r="B339" s="361" t="s">
        <v>760</v>
      </c>
      <c r="C339" s="360"/>
      <c r="D339" s="327">
        <f>IF($B339="","",COUNTIF($B$6:$B339,$B339))</f>
        <v>6</v>
      </c>
      <c r="E339" s="361" t="s">
        <v>48</v>
      </c>
      <c r="F339" s="362" t="s">
        <v>338</v>
      </c>
      <c r="G339" s="327" t="s">
        <v>329</v>
      </c>
      <c r="H339" s="325"/>
      <c r="I339" s="327">
        <v>2</v>
      </c>
      <c r="J339" s="361" t="s">
        <v>756</v>
      </c>
      <c r="K339" s="327" t="s">
        <v>531</v>
      </c>
      <c r="L339" s="348">
        <f t="shared" si="26"/>
        <v>632750.99999999988</v>
      </c>
      <c r="M339" s="355"/>
      <c r="N339" s="355" t="str">
        <f t="shared" si="28"/>
        <v>PR</v>
      </c>
      <c r="O339" s="345"/>
      <c r="P339" s="325"/>
      <c r="Q339" s="351"/>
      <c r="R339" s="351">
        <v>2</v>
      </c>
      <c r="S339" s="351">
        <v>5.8</v>
      </c>
      <c r="T339" s="351">
        <v>1.0389999999999999</v>
      </c>
      <c r="U339" s="329">
        <f>IF($N339=$N$4,IFERROR(INDEX(DanhMuc!$E$154:$E$165,MATCH(MID($B339,4,2),DanhMuc!$B$154:$B$165,0)),""),"")</f>
        <v>5700</v>
      </c>
      <c r="V339" s="325"/>
      <c r="W339" s="352" t="str">
        <f>+IF(AND($A339&lt;&gt;"",LEN($B339)&gt;=8,COUNTIF($B$6:$B339,$B339)=1),$W$5,"")</f>
        <v/>
      </c>
      <c r="X339" s="329" t="str">
        <f t="shared" si="27"/>
        <v>XF</v>
      </c>
      <c r="Y339" s="1128" t="s">
        <v>3380</v>
      </c>
      <c r="Z339" s="1128" t="s">
        <v>3381</v>
      </c>
      <c r="AA339" s="1128" t="s">
        <v>3384</v>
      </c>
      <c r="AC339" s="73"/>
    </row>
    <row r="340" spans="1:29" s="20" customFormat="1">
      <c r="A340" s="327" t="str">
        <f>IF(AND($B340&lt;&gt;"",$C340&lt;&gt;""),MAX($A$4:A339)+1,"")</f>
        <v/>
      </c>
      <c r="B340" s="361" t="s">
        <v>760</v>
      </c>
      <c r="C340" s="360"/>
      <c r="D340" s="327">
        <f>IF($B340="","",COUNTIF($B$6:$B340,$B340))</f>
        <v>7</v>
      </c>
      <c r="E340" s="361" t="s">
        <v>46</v>
      </c>
      <c r="F340" s="362" t="s">
        <v>337</v>
      </c>
      <c r="G340" s="327" t="s">
        <v>329</v>
      </c>
      <c r="H340" s="325"/>
      <c r="I340" s="327">
        <v>2</v>
      </c>
      <c r="J340" s="361" t="s">
        <v>756</v>
      </c>
      <c r="K340" s="327" t="s">
        <v>531</v>
      </c>
      <c r="L340" s="348">
        <f t="shared" si="26"/>
        <v>633360</v>
      </c>
      <c r="M340" s="355"/>
      <c r="N340" s="355" t="str">
        <f t="shared" si="28"/>
        <v>PR</v>
      </c>
      <c r="O340" s="345"/>
      <c r="P340" s="325"/>
      <c r="Q340" s="351"/>
      <c r="R340" s="351">
        <v>2</v>
      </c>
      <c r="S340" s="351">
        <v>5.8</v>
      </c>
      <c r="T340" s="351">
        <v>1.04</v>
      </c>
      <c r="U340" s="329">
        <f>IF($N340=$N$4,IFERROR(INDEX(DanhMuc!$E$154:$E$165,MATCH(MID($B340,4,2),DanhMuc!$B$154:$B$165,0)),""),"")</f>
        <v>5700</v>
      </c>
      <c r="V340" s="325"/>
      <c r="W340" s="352" t="str">
        <f>+IF(AND($A340&lt;&gt;"",LEN($B340)&gt;=8,COUNTIF($B$6:$B340,$B340)=1),$W$5,"")</f>
        <v/>
      </c>
      <c r="X340" s="329" t="str">
        <f t="shared" si="27"/>
        <v>XF</v>
      </c>
      <c r="Y340" s="1128" t="s">
        <v>3380</v>
      </c>
      <c r="Z340" s="1128" t="s">
        <v>3381</v>
      </c>
      <c r="AA340" s="1128" t="s">
        <v>3384</v>
      </c>
      <c r="AC340" s="73"/>
    </row>
    <row r="341" spans="1:29" s="20" customFormat="1">
      <c r="A341" s="327" t="str">
        <f>IF(AND($B341&lt;&gt;"",$C341&lt;&gt;""),MAX($A$4:A340)+1,"")</f>
        <v/>
      </c>
      <c r="B341" s="361" t="s">
        <v>760</v>
      </c>
      <c r="C341" s="360"/>
      <c r="D341" s="327">
        <f>IF($B341="","",COUNTIF($B$6:$B341,$B341))</f>
        <v>8</v>
      </c>
      <c r="E341" s="361" t="s">
        <v>44</v>
      </c>
      <c r="F341" s="362" t="s">
        <v>335</v>
      </c>
      <c r="G341" s="327" t="s">
        <v>328</v>
      </c>
      <c r="H341" s="325"/>
      <c r="I341" s="327">
        <v>6</v>
      </c>
      <c r="J341" s="361" t="s">
        <v>757</v>
      </c>
      <c r="K341" s="327" t="s">
        <v>531</v>
      </c>
      <c r="L341" s="348">
        <f t="shared" si="26"/>
        <v>809970</v>
      </c>
      <c r="M341" s="355"/>
      <c r="N341" s="355" t="str">
        <f t="shared" si="28"/>
        <v>PR</v>
      </c>
      <c r="O341" s="345"/>
      <c r="P341" s="325"/>
      <c r="Q341" s="351"/>
      <c r="R341" s="351">
        <v>2</v>
      </c>
      <c r="S341" s="351">
        <v>5.8</v>
      </c>
      <c r="T341" s="351">
        <v>1.33</v>
      </c>
      <c r="U341" s="329">
        <f>IF($N341=$N$4,IFERROR(INDEX(DanhMuc!$E$154:$E$165,MATCH(MID($B341,4,2),DanhMuc!$B$154:$B$165,0)),""),"")</f>
        <v>5700</v>
      </c>
      <c r="V341" s="325"/>
      <c r="W341" s="352" t="str">
        <f>+IF(AND($A341&lt;&gt;"",LEN($B341)&gt;=8,COUNTIF($B$6:$B341,$B341)=1),$W$5,"")</f>
        <v/>
      </c>
      <c r="X341" s="329" t="str">
        <f t="shared" si="27"/>
        <v>XF</v>
      </c>
      <c r="Y341" s="1128" t="s">
        <v>3380</v>
      </c>
      <c r="Z341" s="1128" t="s">
        <v>3381</v>
      </c>
      <c r="AA341" s="1128" t="s">
        <v>3384</v>
      </c>
      <c r="AC341" s="73"/>
    </row>
    <row r="342" spans="1:29" s="20" customFormat="1">
      <c r="A342" s="327" t="str">
        <f>IF(AND($B342&lt;&gt;"",$C342&lt;&gt;""),MAX($A$4:A341)+1,"")</f>
        <v/>
      </c>
      <c r="B342" s="361" t="s">
        <v>760</v>
      </c>
      <c r="C342" s="360"/>
      <c r="D342" s="327">
        <f>IF($B342="","",COUNTIF($B$6:$B342,$B342))</f>
        <v>9</v>
      </c>
      <c r="E342" s="361" t="s">
        <v>45</v>
      </c>
      <c r="F342" s="362" t="s">
        <v>336</v>
      </c>
      <c r="G342" s="327" t="s">
        <v>328</v>
      </c>
      <c r="H342" s="325"/>
      <c r="I342" s="327">
        <v>4</v>
      </c>
      <c r="J342" s="361" t="s">
        <v>757</v>
      </c>
      <c r="K342" s="327" t="s">
        <v>531</v>
      </c>
      <c r="L342" s="348">
        <f t="shared" si="26"/>
        <v>703395</v>
      </c>
      <c r="M342" s="355"/>
      <c r="N342" s="355" t="str">
        <f t="shared" si="28"/>
        <v>PR</v>
      </c>
      <c r="O342" s="345"/>
      <c r="P342" s="325"/>
      <c r="Q342" s="351"/>
      <c r="R342" s="351">
        <v>2</v>
      </c>
      <c r="S342" s="351">
        <v>5.8</v>
      </c>
      <c r="T342" s="351">
        <v>1.155</v>
      </c>
      <c r="U342" s="329">
        <f>IF($N342=$N$4,IFERROR(INDEX(DanhMuc!$E$154:$E$165,MATCH(MID($B342,4,2),DanhMuc!$B$154:$B$165,0)),""),"")</f>
        <v>5700</v>
      </c>
      <c r="V342" s="325"/>
      <c r="W342" s="352" t="str">
        <f>+IF(AND($A342&lt;&gt;"",LEN($B342)&gt;=8,COUNTIF($B$6:$B342,$B342)=1),$W$5,"")</f>
        <v/>
      </c>
      <c r="X342" s="329" t="str">
        <f t="shared" si="27"/>
        <v>XF</v>
      </c>
      <c r="Y342" s="1128" t="s">
        <v>3380</v>
      </c>
      <c r="Z342" s="1128" t="s">
        <v>3381</v>
      </c>
      <c r="AA342" s="1128" t="s">
        <v>3384</v>
      </c>
      <c r="AC342" s="73"/>
    </row>
    <row r="343" spans="1:29" s="20" customFormat="1" ht="39">
      <c r="A343" s="327">
        <f>IF(AND($B343&lt;&gt;"",$C343&lt;&gt;""),MAX($A$4:A328)+1,"")</f>
        <v>32</v>
      </c>
      <c r="B343" s="359" t="s">
        <v>3214</v>
      </c>
      <c r="C343" s="360" t="s">
        <v>3154</v>
      </c>
      <c r="D343" s="327">
        <f>IF($B343="","",COUNTIF($B$6:$B343,$B343))</f>
        <v>1</v>
      </c>
      <c r="E343" s="361" t="s">
        <v>42</v>
      </c>
      <c r="F343" s="362" t="s">
        <v>334</v>
      </c>
      <c r="G343" s="327" t="s">
        <v>329</v>
      </c>
      <c r="H343" s="325"/>
      <c r="I343" s="327">
        <v>1</v>
      </c>
      <c r="J343" s="361" t="s">
        <v>594</v>
      </c>
      <c r="K343" s="327" t="s">
        <v>531</v>
      </c>
      <c r="L343" s="348">
        <f t="shared" si="26"/>
        <v>1193031</v>
      </c>
      <c r="M343" s="373"/>
      <c r="N343" s="355" t="str">
        <f t="shared" si="28"/>
        <v>PR</v>
      </c>
      <c r="O343" s="345"/>
      <c r="P343" s="325"/>
      <c r="Q343" s="351"/>
      <c r="R343" s="351">
        <v>2</v>
      </c>
      <c r="S343" s="351">
        <v>5.8</v>
      </c>
      <c r="T343" s="351">
        <v>1.9590000000000001</v>
      </c>
      <c r="U343" s="329">
        <f>IF($N343=$N$4,IFERROR(INDEX(DanhMuc!$E$154:$E$165,MATCH(MID($B343,4,2),DanhMuc!$B$154:$B$165,0)),""),"")</f>
        <v>5700</v>
      </c>
      <c r="V343" s="325"/>
      <c r="W343" s="352" t="str">
        <f>+IF(AND($A343&lt;&gt;"",LEN($B343)&gt;=8,COUNTIF($B$6:$B343,$B343)=1),$W$5,"")</f>
        <v>DMCua</v>
      </c>
      <c r="X343" s="329" t="str">
        <f t="shared" si="27"/>
        <v>XF</v>
      </c>
      <c r="Y343" s="1128" t="s">
        <v>3380</v>
      </c>
      <c r="Z343" s="1128" t="s">
        <v>3381</v>
      </c>
      <c r="AA343" s="1128" t="s">
        <v>3384</v>
      </c>
      <c r="AC343" s="73"/>
    </row>
    <row r="344" spans="1:29" s="20" customFormat="1">
      <c r="A344" s="327" t="str">
        <f>IF(AND($B344&lt;&gt;"",$C344&lt;&gt;""),MAX($A$4:A343)+1,"")</f>
        <v/>
      </c>
      <c r="B344" s="361" t="s">
        <v>3214</v>
      </c>
      <c r="C344" s="360"/>
      <c r="D344" s="327">
        <f>IF($B344="","",COUNTIF($B$6:$B344,$B344))</f>
        <v>2</v>
      </c>
      <c r="E344" s="361" t="s">
        <v>43</v>
      </c>
      <c r="F344" s="362" t="s">
        <v>333</v>
      </c>
      <c r="G344" s="327" t="s">
        <v>329</v>
      </c>
      <c r="H344" s="325"/>
      <c r="I344" s="327">
        <v>1</v>
      </c>
      <c r="J344" s="361" t="s">
        <v>594</v>
      </c>
      <c r="K344" s="327" t="s">
        <v>531</v>
      </c>
      <c r="L344" s="348">
        <f t="shared" si="26"/>
        <v>1397655</v>
      </c>
      <c r="M344" s="355"/>
      <c r="N344" s="355" t="str">
        <f t="shared" si="28"/>
        <v>PR</v>
      </c>
      <c r="O344" s="345"/>
      <c r="P344" s="325"/>
      <c r="Q344" s="351"/>
      <c r="R344" s="351">
        <v>2</v>
      </c>
      <c r="S344" s="351">
        <v>5.8</v>
      </c>
      <c r="T344" s="351">
        <v>2.2949999999999999</v>
      </c>
      <c r="U344" s="329">
        <f>IF($N344=$N$4,IFERROR(INDEX(DanhMuc!$E$154:$E$165,MATCH(MID($B344,4,2),DanhMuc!$B$154:$B$165,0)),""),"")</f>
        <v>5700</v>
      </c>
      <c r="V344" s="325"/>
      <c r="W344" s="352" t="str">
        <f>+IF(AND($A344&lt;&gt;"",LEN($B344)&gt;=8,COUNTIF($B$6:$B344,$B344)=1),$W$5,"")</f>
        <v/>
      </c>
      <c r="X344" s="329" t="str">
        <f t="shared" si="27"/>
        <v>XF</v>
      </c>
      <c r="Y344" s="1128" t="s">
        <v>3380</v>
      </c>
      <c r="Z344" s="1128" t="s">
        <v>3381</v>
      </c>
      <c r="AA344" s="1128" t="s">
        <v>3384</v>
      </c>
      <c r="AC344" s="73"/>
    </row>
    <row r="345" spans="1:29" s="20" customFormat="1">
      <c r="A345" s="327" t="str">
        <f>IF(AND($B345&lt;&gt;"",$C345&lt;&gt;""),MAX($A$4:A344)+1,"")</f>
        <v/>
      </c>
      <c r="B345" s="361" t="s">
        <v>3214</v>
      </c>
      <c r="C345" s="360"/>
      <c r="D345" s="327">
        <f>IF($B345="","",COUNTIF($B$6:$B345,$B345))</f>
        <v>3</v>
      </c>
      <c r="E345" s="361" t="s">
        <v>41</v>
      </c>
      <c r="F345" s="362" t="s">
        <v>445</v>
      </c>
      <c r="G345" s="327" t="s">
        <v>328</v>
      </c>
      <c r="H345" s="325"/>
      <c r="I345" s="327">
        <v>2</v>
      </c>
      <c r="J345" s="361" t="s">
        <v>80</v>
      </c>
      <c r="K345" s="327" t="s">
        <v>531</v>
      </c>
      <c r="L345" s="348">
        <f t="shared" si="26"/>
        <v>832502.99999999988</v>
      </c>
      <c r="M345" s="355"/>
      <c r="N345" s="355" t="str">
        <f t="shared" si="28"/>
        <v>PR</v>
      </c>
      <c r="O345" s="345"/>
      <c r="P345" s="325"/>
      <c r="Q345" s="351"/>
      <c r="R345" s="351">
        <v>2</v>
      </c>
      <c r="S345" s="351">
        <v>5.8</v>
      </c>
      <c r="T345" s="351">
        <v>1.367</v>
      </c>
      <c r="U345" s="329">
        <f>IF($N345=$N$4,IFERROR(INDEX(DanhMuc!$E$154:$E$165,MATCH(MID($B345,4,2),DanhMuc!$B$154:$B$165,0)),""),"")</f>
        <v>5700</v>
      </c>
      <c r="V345" s="325"/>
      <c r="W345" s="352" t="str">
        <f>+IF(AND($A345&lt;&gt;"",LEN($B345)&gt;=8,COUNTIF($B$6:$B345,$B345)=1),$W$5,"")</f>
        <v/>
      </c>
      <c r="X345" s="329" t="str">
        <f t="shared" si="27"/>
        <v>XF</v>
      </c>
      <c r="Y345" s="1128" t="s">
        <v>3380</v>
      </c>
      <c r="Z345" s="1128" t="s">
        <v>3381</v>
      </c>
      <c r="AA345" s="1128" t="s">
        <v>3384</v>
      </c>
      <c r="AC345" s="73"/>
    </row>
    <row r="346" spans="1:29" s="20" customFormat="1">
      <c r="A346" s="327" t="str">
        <f>IF(AND($B346&lt;&gt;"",$C346&lt;&gt;""),MAX($A$4:A345)+1,"")</f>
        <v/>
      </c>
      <c r="B346" s="361" t="s">
        <v>3214</v>
      </c>
      <c r="C346" s="360"/>
      <c r="D346" s="327">
        <f>IF($B346="","",COUNTIF($B$6:$B346,$B346))</f>
        <v>4</v>
      </c>
      <c r="E346" s="361" t="s">
        <v>48</v>
      </c>
      <c r="F346" s="362" t="s">
        <v>338</v>
      </c>
      <c r="G346" s="327" t="s">
        <v>329</v>
      </c>
      <c r="H346" s="325"/>
      <c r="I346" s="327">
        <v>2</v>
      </c>
      <c r="J346" s="361" t="s">
        <v>3156</v>
      </c>
      <c r="K346" s="327" t="s">
        <v>531</v>
      </c>
      <c r="L346" s="348">
        <f t="shared" si="26"/>
        <v>632750.99999999988</v>
      </c>
      <c r="M346" s="355"/>
      <c r="N346" s="355" t="str">
        <f t="shared" si="28"/>
        <v>PR</v>
      </c>
      <c r="O346" s="345"/>
      <c r="P346" s="325"/>
      <c r="Q346" s="351"/>
      <c r="R346" s="351">
        <v>2</v>
      </c>
      <c r="S346" s="351">
        <v>5.8</v>
      </c>
      <c r="T346" s="351">
        <v>1.0389999999999999</v>
      </c>
      <c r="U346" s="329">
        <f>IF($N346=$N$4,IFERROR(INDEX(DanhMuc!$E$154:$E$165,MATCH(MID($B346,4,2),DanhMuc!$B$154:$B$165,0)),""),"")</f>
        <v>5700</v>
      </c>
      <c r="V346" s="325"/>
      <c r="W346" s="352" t="str">
        <f>+IF(AND($A346&lt;&gt;"",LEN($B346)&gt;=8,COUNTIF($B$6:$B346,$B346)=1),$W$5,"")</f>
        <v/>
      </c>
      <c r="X346" s="329" t="str">
        <f t="shared" si="27"/>
        <v>XF</v>
      </c>
      <c r="Y346" s="1128" t="s">
        <v>3380</v>
      </c>
      <c r="Z346" s="1128" t="s">
        <v>3381</v>
      </c>
      <c r="AA346" s="1128" t="s">
        <v>3384</v>
      </c>
      <c r="AC346" s="73"/>
    </row>
    <row r="347" spans="1:29" s="20" customFormat="1">
      <c r="A347" s="327" t="str">
        <f>IF(AND($B347&lt;&gt;"",$C347&lt;&gt;""),MAX($A$4:A346)+1,"")</f>
        <v/>
      </c>
      <c r="B347" s="361" t="s">
        <v>3214</v>
      </c>
      <c r="C347" s="360"/>
      <c r="D347" s="327">
        <f>IF($B347="","",COUNTIF($B$6:$B347,$B347))</f>
        <v>5</v>
      </c>
      <c r="E347" s="361" t="s">
        <v>46</v>
      </c>
      <c r="F347" s="362" t="s">
        <v>337</v>
      </c>
      <c r="G347" s="327" t="s">
        <v>329</v>
      </c>
      <c r="H347" s="325"/>
      <c r="I347" s="327">
        <v>2</v>
      </c>
      <c r="J347" s="361" t="s">
        <v>3156</v>
      </c>
      <c r="K347" s="327" t="s">
        <v>531</v>
      </c>
      <c r="L347" s="348">
        <f t="shared" si="26"/>
        <v>633360</v>
      </c>
      <c r="M347" s="355"/>
      <c r="N347" s="355" t="str">
        <f t="shared" si="28"/>
        <v>PR</v>
      </c>
      <c r="O347" s="345"/>
      <c r="P347" s="325"/>
      <c r="Q347" s="351"/>
      <c r="R347" s="351">
        <v>2</v>
      </c>
      <c r="S347" s="351">
        <v>5.8</v>
      </c>
      <c r="T347" s="351">
        <v>1.04</v>
      </c>
      <c r="U347" s="329">
        <f>IF($N347=$N$4,IFERROR(INDEX(DanhMuc!$E$154:$E$165,MATCH(MID($B347,4,2),DanhMuc!$B$154:$B$165,0)),""),"")</f>
        <v>5700</v>
      </c>
      <c r="V347" s="325"/>
      <c r="W347" s="352" t="str">
        <f>+IF(AND($A347&lt;&gt;"",LEN($B347)&gt;=8,COUNTIF($B$6:$B347,$B347)=1),$W$5,"")</f>
        <v/>
      </c>
      <c r="X347" s="329" t="str">
        <f t="shared" si="27"/>
        <v>XF</v>
      </c>
      <c r="Y347" s="1128" t="s">
        <v>3380</v>
      </c>
      <c r="Z347" s="1128" t="s">
        <v>3381</v>
      </c>
      <c r="AA347" s="1128" t="s">
        <v>3384</v>
      </c>
      <c r="AC347" s="73"/>
    </row>
    <row r="348" spans="1:29" s="20" customFormat="1">
      <c r="A348" s="327" t="str">
        <f>IF(AND($B348&lt;&gt;"",$C348&lt;&gt;""),MAX($A$4:A347)+1,"")</f>
        <v/>
      </c>
      <c r="B348" s="361" t="s">
        <v>3214</v>
      </c>
      <c r="C348" s="360"/>
      <c r="D348" s="327">
        <f>IF($B348="","",COUNTIF($B$6:$B348,$B348))</f>
        <v>6</v>
      </c>
      <c r="E348" s="361" t="s">
        <v>48</v>
      </c>
      <c r="F348" s="362" t="s">
        <v>338</v>
      </c>
      <c r="G348" s="327" t="s">
        <v>329</v>
      </c>
      <c r="H348" s="325"/>
      <c r="I348" s="327">
        <v>1</v>
      </c>
      <c r="J348" s="361" t="s">
        <v>3157</v>
      </c>
      <c r="K348" s="327" t="s">
        <v>531</v>
      </c>
      <c r="L348" s="348">
        <f t="shared" si="26"/>
        <v>632750.99999999988</v>
      </c>
      <c r="M348" s="355"/>
      <c r="N348" s="355" t="str">
        <f t="shared" si="28"/>
        <v>PR</v>
      </c>
      <c r="O348" s="345"/>
      <c r="P348" s="325"/>
      <c r="Q348" s="351"/>
      <c r="R348" s="351">
        <v>2</v>
      </c>
      <c r="S348" s="351">
        <v>5.8</v>
      </c>
      <c r="T348" s="351">
        <v>1.0389999999999999</v>
      </c>
      <c r="U348" s="329">
        <f>IF($N348=$N$4,IFERROR(INDEX(DanhMuc!$E$154:$E$165,MATCH(MID($B348,4,2),DanhMuc!$B$154:$B$165,0)),""),"")</f>
        <v>5700</v>
      </c>
      <c r="V348" s="325"/>
      <c r="W348" s="352" t="str">
        <f>+IF(AND($A348&lt;&gt;"",LEN($B348)&gt;=8,COUNTIF($B$6:$B348,$B348)=1),$W$5,"")</f>
        <v/>
      </c>
      <c r="X348" s="329" t="str">
        <f t="shared" si="27"/>
        <v>XF</v>
      </c>
      <c r="Y348" s="1128" t="s">
        <v>3380</v>
      </c>
      <c r="Z348" s="1128" t="s">
        <v>3381</v>
      </c>
      <c r="AA348" s="1128" t="s">
        <v>3384</v>
      </c>
      <c r="AC348" s="73"/>
    </row>
    <row r="349" spans="1:29" s="20" customFormat="1">
      <c r="A349" s="327" t="str">
        <f>IF(AND($B349&lt;&gt;"",$C349&lt;&gt;""),MAX($A$4:A348)+1,"")</f>
        <v/>
      </c>
      <c r="B349" s="361" t="s">
        <v>3214</v>
      </c>
      <c r="C349" s="360"/>
      <c r="D349" s="327">
        <f>IF($B349="","",COUNTIF($B$6:$B349,$B349))</f>
        <v>7</v>
      </c>
      <c r="E349" s="361" t="s">
        <v>46</v>
      </c>
      <c r="F349" s="362" t="s">
        <v>337</v>
      </c>
      <c r="G349" s="327" t="s">
        <v>329</v>
      </c>
      <c r="H349" s="325"/>
      <c r="I349" s="327">
        <v>1</v>
      </c>
      <c r="J349" s="361" t="s">
        <v>3157</v>
      </c>
      <c r="K349" s="327" t="s">
        <v>531</v>
      </c>
      <c r="L349" s="348">
        <f t="shared" si="26"/>
        <v>633360</v>
      </c>
      <c r="M349" s="355"/>
      <c r="N349" s="355" t="str">
        <f t="shared" si="28"/>
        <v>PR</v>
      </c>
      <c r="O349" s="345"/>
      <c r="P349" s="325"/>
      <c r="Q349" s="351"/>
      <c r="R349" s="351">
        <v>2</v>
      </c>
      <c r="S349" s="351">
        <v>5.8</v>
      </c>
      <c r="T349" s="351">
        <v>1.04</v>
      </c>
      <c r="U349" s="329">
        <f>IF($N349=$N$4,IFERROR(INDEX(DanhMuc!$E$154:$E$165,MATCH(MID($B349,4,2),DanhMuc!$B$154:$B$165,0)),""),"")</f>
        <v>5700</v>
      </c>
      <c r="V349" s="325"/>
      <c r="W349" s="352" t="str">
        <f>+IF(AND($A349&lt;&gt;"",LEN($B349)&gt;=8,COUNTIF($B$6:$B349,$B349)=1),$W$5,"")</f>
        <v/>
      </c>
      <c r="X349" s="329" t="str">
        <f t="shared" si="27"/>
        <v>XF</v>
      </c>
      <c r="Y349" s="1128" t="s">
        <v>3380</v>
      </c>
      <c r="Z349" s="1128" t="s">
        <v>3381</v>
      </c>
      <c r="AA349" s="1128" t="s">
        <v>3384</v>
      </c>
      <c r="AC349" s="73"/>
    </row>
    <row r="350" spans="1:29" s="20" customFormat="1">
      <c r="A350" s="327" t="str">
        <f>IF(AND($B350&lt;&gt;"",$C350&lt;&gt;""),MAX($A$4:A349)+1,"")</f>
        <v/>
      </c>
      <c r="B350" s="361" t="s">
        <v>3214</v>
      </c>
      <c r="C350" s="360"/>
      <c r="D350" s="327">
        <f>IF($B350="","",COUNTIF($B$6:$B350,$B350))</f>
        <v>8</v>
      </c>
      <c r="E350" s="361" t="s">
        <v>44</v>
      </c>
      <c r="F350" s="362" t="s">
        <v>335</v>
      </c>
      <c r="G350" s="327" t="s">
        <v>328</v>
      </c>
      <c r="H350" s="325"/>
      <c r="I350" s="327">
        <v>2</v>
      </c>
      <c r="J350" s="361" t="s">
        <v>737</v>
      </c>
      <c r="K350" s="327" t="s">
        <v>531</v>
      </c>
      <c r="L350" s="348">
        <f t="shared" si="26"/>
        <v>809970</v>
      </c>
      <c r="M350" s="355"/>
      <c r="N350" s="355" t="str">
        <f t="shared" si="28"/>
        <v>PR</v>
      </c>
      <c r="O350" s="345"/>
      <c r="P350" s="325"/>
      <c r="Q350" s="351"/>
      <c r="R350" s="351">
        <v>2</v>
      </c>
      <c r="S350" s="351">
        <v>5.8</v>
      </c>
      <c r="T350" s="351">
        <v>1.33</v>
      </c>
      <c r="U350" s="329">
        <f>IF($N350=$N$4,IFERROR(INDEX(DanhMuc!$E$154:$E$165,MATCH(MID($B350,4,2),DanhMuc!$B$154:$B$165,0)),""),"")</f>
        <v>5700</v>
      </c>
      <c r="V350" s="325"/>
      <c r="W350" s="352" t="str">
        <f>+IF(AND($A350&lt;&gt;"",LEN($B350)&gt;=8,COUNTIF($B$6:$B350,$B350)=1),$W$5,"")</f>
        <v/>
      </c>
      <c r="X350" s="329" t="str">
        <f t="shared" si="27"/>
        <v>XF</v>
      </c>
      <c r="Y350" s="1128" t="s">
        <v>3380</v>
      </c>
      <c r="Z350" s="1128" t="s">
        <v>3381</v>
      </c>
      <c r="AA350" s="1128" t="s">
        <v>3384</v>
      </c>
      <c r="AC350" s="73"/>
    </row>
    <row r="351" spans="1:29" s="20" customFormat="1">
      <c r="A351" s="327" t="str">
        <f>IF(AND($B351&lt;&gt;"",$C351&lt;&gt;""),MAX($A$4:A350)+1,"")</f>
        <v/>
      </c>
      <c r="B351" s="361" t="s">
        <v>3214</v>
      </c>
      <c r="C351" s="360"/>
      <c r="D351" s="327">
        <f>IF($B351="","",COUNTIF($B$6:$B351,$B351))</f>
        <v>9</v>
      </c>
      <c r="E351" s="361" t="s">
        <v>45</v>
      </c>
      <c r="F351" s="362" t="s">
        <v>336</v>
      </c>
      <c r="G351" s="327" t="s">
        <v>328</v>
      </c>
      <c r="H351" s="325"/>
      <c r="I351" s="327">
        <v>4</v>
      </c>
      <c r="J351" s="361" t="s">
        <v>737</v>
      </c>
      <c r="K351" s="327" t="s">
        <v>531</v>
      </c>
      <c r="L351" s="348">
        <f t="shared" si="26"/>
        <v>703395</v>
      </c>
      <c r="M351" s="355"/>
      <c r="N351" s="355" t="str">
        <f t="shared" si="28"/>
        <v>PR</v>
      </c>
      <c r="O351" s="345"/>
      <c r="P351" s="325"/>
      <c r="Q351" s="351"/>
      <c r="R351" s="351">
        <v>2</v>
      </c>
      <c r="S351" s="351">
        <v>5.8</v>
      </c>
      <c r="T351" s="351">
        <v>1.155</v>
      </c>
      <c r="U351" s="329">
        <f>IF($N351=$N$4,IFERROR(INDEX(DanhMuc!$E$154:$E$165,MATCH(MID($B351,4,2),DanhMuc!$B$154:$B$165,0)),""),"")</f>
        <v>5700</v>
      </c>
      <c r="V351" s="325"/>
      <c r="W351" s="352" t="str">
        <f>+IF(AND($A351&lt;&gt;"",LEN($B351)&gt;=8,COUNTIF($B$6:$B351,$B351)=1),$W$5,"")</f>
        <v/>
      </c>
      <c r="X351" s="329" t="str">
        <f t="shared" si="27"/>
        <v>XF</v>
      </c>
      <c r="Y351" s="1128" t="s">
        <v>3380</v>
      </c>
      <c r="Z351" s="1128" t="s">
        <v>3381</v>
      </c>
      <c r="AA351" s="1128" t="s">
        <v>3384</v>
      </c>
      <c r="AC351" s="73"/>
    </row>
    <row r="352" spans="1:29" s="20" customFormat="1" ht="26">
      <c r="A352" s="327">
        <f>IF(AND($B352&lt;&gt;"",$C352&lt;&gt;""),MAX($A$4:A333)+1,"")</f>
        <v>32</v>
      </c>
      <c r="B352" s="359" t="s">
        <v>592</v>
      </c>
      <c r="C352" s="360" t="s">
        <v>1549</v>
      </c>
      <c r="D352" s="327">
        <f>IF($B352="","",COUNTIF($B$6:$B352,$B352))</f>
        <v>1</v>
      </c>
      <c r="E352" s="363" t="s">
        <v>42</v>
      </c>
      <c r="F352" s="362" t="s">
        <v>334</v>
      </c>
      <c r="G352" s="327" t="s">
        <v>329</v>
      </c>
      <c r="H352" s="325"/>
      <c r="I352" s="327">
        <v>1</v>
      </c>
      <c r="J352" s="361" t="s">
        <v>594</v>
      </c>
      <c r="K352" s="327" t="s">
        <v>531</v>
      </c>
      <c r="L352" s="348">
        <f t="shared" si="26"/>
        <v>932988</v>
      </c>
      <c r="M352" s="373"/>
      <c r="N352" s="355" t="str">
        <f t="shared" si="28"/>
        <v>PR</v>
      </c>
      <c r="O352" s="345"/>
      <c r="P352" s="325"/>
      <c r="Q352" s="351"/>
      <c r="R352" s="351">
        <v>2</v>
      </c>
      <c r="S352" s="351">
        <v>5.8</v>
      </c>
      <c r="T352" s="351">
        <v>1.532</v>
      </c>
      <c r="U352" s="329">
        <f>IF($N352=$N$4,IFERROR(INDEX(DanhMuc!$E$154:$E$165,MATCH(MID($B352,4,2),DanhMuc!$B$154:$B$165,0)),""),"")</f>
        <v>5700</v>
      </c>
      <c r="V352" s="325"/>
      <c r="W352" s="352" t="str">
        <f>+IF(AND($A352&lt;&gt;"",LEN($B352)&gt;=8,COUNTIF($B$6:$B352,$B352)=1),$W$5,"")</f>
        <v>DMCua</v>
      </c>
      <c r="X352" s="329" t="str">
        <f t="shared" si="27"/>
        <v>XF</v>
      </c>
      <c r="Y352" s="1128" t="s">
        <v>3380</v>
      </c>
      <c r="Z352" s="1128" t="s">
        <v>3381</v>
      </c>
      <c r="AA352" s="1128" t="s">
        <v>3384</v>
      </c>
      <c r="AC352" s="73"/>
    </row>
    <row r="353" spans="1:29" s="20" customFormat="1">
      <c r="A353" s="327" t="str">
        <f>IF(AND($B353&lt;&gt;"",$C353&lt;&gt;""),MAX($A$4:A352)+1,"")</f>
        <v/>
      </c>
      <c r="B353" s="361" t="s">
        <v>592</v>
      </c>
      <c r="C353" s="360"/>
      <c r="D353" s="327">
        <f>IF($B353="","",COUNTIF($B$6:$B353,$B353))</f>
        <v>2</v>
      </c>
      <c r="E353" s="361" t="s">
        <v>43</v>
      </c>
      <c r="F353" s="362" t="s">
        <v>333</v>
      </c>
      <c r="G353" s="327" t="s">
        <v>329</v>
      </c>
      <c r="H353" s="325"/>
      <c r="I353" s="327">
        <v>1</v>
      </c>
      <c r="J353" s="361" t="s">
        <v>594</v>
      </c>
      <c r="K353" s="327" t="s">
        <v>531</v>
      </c>
      <c r="L353" s="348">
        <f t="shared" si="26"/>
        <v>799616.99999999988</v>
      </c>
      <c r="M353" s="355"/>
      <c r="N353" s="355" t="str">
        <f t="shared" si="28"/>
        <v>PR</v>
      </c>
      <c r="O353" s="345"/>
      <c r="P353" s="325"/>
      <c r="Q353" s="351"/>
      <c r="R353" s="351">
        <v>2</v>
      </c>
      <c r="S353" s="351">
        <v>5.8</v>
      </c>
      <c r="T353" s="351">
        <v>1.3129999999999999</v>
      </c>
      <c r="U353" s="329">
        <f>IF($N353=$N$4,IFERROR(INDEX(DanhMuc!$E$154:$E$165,MATCH(MID($B353,4,2),DanhMuc!$B$154:$B$165,0)),""),"")</f>
        <v>5700</v>
      </c>
      <c r="V353" s="325"/>
      <c r="W353" s="352" t="str">
        <f>+IF(AND($A353&lt;&gt;"",LEN($B353)&gt;=8,COUNTIF($B$6:$B353,$B353)=1),$W$5,"")</f>
        <v/>
      </c>
      <c r="X353" s="329" t="str">
        <f t="shared" si="27"/>
        <v>XF</v>
      </c>
      <c r="Y353" s="1128" t="s">
        <v>3380</v>
      </c>
      <c r="Z353" s="1128" t="s">
        <v>3381</v>
      </c>
      <c r="AA353" s="1128" t="s">
        <v>3384</v>
      </c>
      <c r="AC353" s="73"/>
    </row>
    <row r="354" spans="1:29" s="20" customFormat="1">
      <c r="A354" s="327" t="str">
        <f>IF(AND($B354&lt;&gt;"",$C354&lt;&gt;""),MAX($A$4:A353)+1,"")</f>
        <v/>
      </c>
      <c r="B354" s="361" t="s">
        <v>592</v>
      </c>
      <c r="C354" s="360"/>
      <c r="D354" s="327">
        <f>IF($B354="","",COUNTIF($B$6:$B354,$B354))</f>
        <v>3</v>
      </c>
      <c r="E354" s="361" t="s">
        <v>41</v>
      </c>
      <c r="F354" s="362" t="s">
        <v>445</v>
      </c>
      <c r="G354" s="327" t="s">
        <v>328</v>
      </c>
      <c r="H354" s="325"/>
      <c r="I354" s="327">
        <v>2</v>
      </c>
      <c r="J354" s="361" t="s">
        <v>80</v>
      </c>
      <c r="K354" s="327" t="s">
        <v>531</v>
      </c>
      <c r="L354" s="348">
        <f t="shared" si="26"/>
        <v>728973</v>
      </c>
      <c r="M354" s="355"/>
      <c r="N354" s="355" t="str">
        <f t="shared" si="28"/>
        <v>PR</v>
      </c>
      <c r="O354" s="345"/>
      <c r="P354" s="325"/>
      <c r="Q354" s="351"/>
      <c r="R354" s="351">
        <v>2</v>
      </c>
      <c r="S354" s="351">
        <v>5.8</v>
      </c>
      <c r="T354" s="351">
        <v>1.1970000000000001</v>
      </c>
      <c r="U354" s="329">
        <f>IF($N354=$N$4,IFERROR(INDEX(DanhMuc!$E$154:$E$165,MATCH(MID($B354,4,2),DanhMuc!$B$154:$B$165,0)),""),"")</f>
        <v>5700</v>
      </c>
      <c r="V354" s="325"/>
      <c r="W354" s="352" t="str">
        <f>+IF(AND($A354&lt;&gt;"",LEN($B354)&gt;=8,COUNTIF($B$6:$B354,$B354)=1),$W$5,"")</f>
        <v/>
      </c>
      <c r="X354" s="329" t="str">
        <f t="shared" si="27"/>
        <v>XF</v>
      </c>
      <c r="Y354" s="1128" t="s">
        <v>3380</v>
      </c>
      <c r="Z354" s="1128" t="s">
        <v>3381</v>
      </c>
      <c r="AA354" s="1128" t="s">
        <v>3384</v>
      </c>
      <c r="AC354" s="73"/>
    </row>
    <row r="355" spans="1:29" s="20" customFormat="1">
      <c r="A355" s="327" t="str">
        <f>IF(AND($B355&lt;&gt;"",$C355&lt;&gt;""),MAX($A$4:A354)+1,"")</f>
        <v/>
      </c>
      <c r="B355" s="361" t="s">
        <v>592</v>
      </c>
      <c r="C355" s="360"/>
      <c r="D355" s="327">
        <f>IF($B355="","",COUNTIF($B$6:$B355,$B355))</f>
        <v>4</v>
      </c>
      <c r="E355" s="361" t="s">
        <v>48</v>
      </c>
      <c r="F355" s="362" t="s">
        <v>338</v>
      </c>
      <c r="G355" s="327" t="s">
        <v>329</v>
      </c>
      <c r="H355" s="325"/>
      <c r="I355" s="327">
        <v>4</v>
      </c>
      <c r="J355" s="361" t="s">
        <v>743</v>
      </c>
      <c r="K355" s="327" t="s">
        <v>531</v>
      </c>
      <c r="L355" s="348">
        <f t="shared" ref="L355:L390" si="29">+$T355*$S355*$L$37</f>
        <v>632750.99999999988</v>
      </c>
      <c r="M355" s="355"/>
      <c r="N355" s="355" t="str">
        <f t="shared" si="28"/>
        <v>PR</v>
      </c>
      <c r="O355" s="345"/>
      <c r="P355" s="325"/>
      <c r="Q355" s="351"/>
      <c r="R355" s="351">
        <v>2</v>
      </c>
      <c r="S355" s="351">
        <v>5.8</v>
      </c>
      <c r="T355" s="351">
        <v>1.0389999999999999</v>
      </c>
      <c r="U355" s="329">
        <f>IF($N355=$N$4,IFERROR(INDEX(DanhMuc!$E$154:$E$165,MATCH(MID($B355,4,2),DanhMuc!$B$154:$B$165,0)),""),"")</f>
        <v>5700</v>
      </c>
      <c r="V355" s="325"/>
      <c r="W355" s="352" t="str">
        <f>+IF(AND($A355&lt;&gt;"",LEN($B355)&gt;=8,COUNTIF($B$6:$B355,$B355)=1),$W$5,"")</f>
        <v/>
      </c>
      <c r="X355" s="329" t="str">
        <f t="shared" si="27"/>
        <v>XF</v>
      </c>
      <c r="Y355" s="1128" t="s">
        <v>3380</v>
      </c>
      <c r="Z355" s="1128" t="s">
        <v>3381</v>
      </c>
      <c r="AA355" s="1128" t="s">
        <v>3384</v>
      </c>
      <c r="AC355" s="73"/>
    </row>
    <row r="356" spans="1:29" s="20" customFormat="1">
      <c r="A356" s="327" t="str">
        <f>IF(AND($B356&lt;&gt;"",$C356&lt;&gt;""),MAX($A$4:A355)+1,"")</f>
        <v/>
      </c>
      <c r="B356" s="361" t="s">
        <v>592</v>
      </c>
      <c r="C356" s="360"/>
      <c r="D356" s="327">
        <f>IF($B356="","",COUNTIF($B$6:$B356,$B356))</f>
        <v>5</v>
      </c>
      <c r="E356" s="361" t="s">
        <v>46</v>
      </c>
      <c r="F356" s="362" t="s">
        <v>337</v>
      </c>
      <c r="G356" s="327" t="s">
        <v>329</v>
      </c>
      <c r="H356" s="325"/>
      <c r="I356" s="327">
        <v>4</v>
      </c>
      <c r="J356" s="361" t="s">
        <v>743</v>
      </c>
      <c r="K356" s="327" t="s">
        <v>531</v>
      </c>
      <c r="L356" s="348">
        <f t="shared" si="29"/>
        <v>633360</v>
      </c>
      <c r="M356" s="355"/>
      <c r="N356" s="355" t="str">
        <f t="shared" si="28"/>
        <v>PR</v>
      </c>
      <c r="O356" s="345"/>
      <c r="P356" s="325"/>
      <c r="Q356" s="351"/>
      <c r="R356" s="351">
        <v>2</v>
      </c>
      <c r="S356" s="351">
        <v>5.8</v>
      </c>
      <c r="T356" s="351">
        <v>1.04</v>
      </c>
      <c r="U356" s="329">
        <f>IF($N356=$N$4,IFERROR(INDEX(DanhMuc!$E$154:$E$165,MATCH(MID($B356,4,2),DanhMuc!$B$154:$B$165,0)),""),"")</f>
        <v>5700</v>
      </c>
      <c r="V356" s="325"/>
      <c r="W356" s="352" t="str">
        <f>+IF(AND($A356&lt;&gt;"",LEN($B356)&gt;=8,COUNTIF($B$6:$B356,$B356)=1),$W$5,"")</f>
        <v/>
      </c>
      <c r="X356" s="329" t="str">
        <f t="shared" si="27"/>
        <v>XF</v>
      </c>
      <c r="Y356" s="1128" t="s">
        <v>3380</v>
      </c>
      <c r="Z356" s="1128" t="s">
        <v>3381</v>
      </c>
      <c r="AA356" s="1128" t="s">
        <v>3384</v>
      </c>
      <c r="AC356" s="73"/>
    </row>
    <row r="357" spans="1:29" s="20" customFormat="1">
      <c r="A357" s="327" t="str">
        <f>IF(AND($B357&lt;&gt;"",$C357&lt;&gt;""),MAX($A$4:A356)+1,"")</f>
        <v/>
      </c>
      <c r="B357" s="361" t="s">
        <v>592</v>
      </c>
      <c r="C357" s="360"/>
      <c r="D357" s="327">
        <f>IF($B357="","",COUNTIF($B$6:$B357,$B357))</f>
        <v>6</v>
      </c>
      <c r="E357" s="361" t="s">
        <v>44</v>
      </c>
      <c r="F357" s="362" t="s">
        <v>335</v>
      </c>
      <c r="G357" s="327" t="s">
        <v>328</v>
      </c>
      <c r="H357" s="325"/>
      <c r="I357" s="327">
        <v>4</v>
      </c>
      <c r="J357" s="361" t="s">
        <v>737</v>
      </c>
      <c r="K357" s="327" t="s">
        <v>531</v>
      </c>
      <c r="L357" s="348">
        <f t="shared" si="29"/>
        <v>809970</v>
      </c>
      <c r="M357" s="355"/>
      <c r="N357" s="355" t="str">
        <f t="shared" si="28"/>
        <v>PR</v>
      </c>
      <c r="O357" s="345"/>
      <c r="P357" s="325"/>
      <c r="Q357" s="351"/>
      <c r="R357" s="351">
        <v>2</v>
      </c>
      <c r="S357" s="351">
        <v>5.8</v>
      </c>
      <c r="T357" s="351">
        <v>1.33</v>
      </c>
      <c r="U357" s="329">
        <f>IF($N357=$N$4,IFERROR(INDEX(DanhMuc!$E$154:$E$165,MATCH(MID($B357,4,2),DanhMuc!$B$154:$B$165,0)),""),"")</f>
        <v>5700</v>
      </c>
      <c r="V357" s="325"/>
      <c r="W357" s="352" t="str">
        <f>+IF(AND($A357&lt;&gt;"",LEN($B357)&gt;=8,COUNTIF($B$6:$B357,$B357)=1),$W$5,"")</f>
        <v/>
      </c>
      <c r="X357" s="329" t="str">
        <f t="shared" si="27"/>
        <v>XF</v>
      </c>
      <c r="Y357" s="1128" t="s">
        <v>3380</v>
      </c>
      <c r="Z357" s="1128" t="s">
        <v>3381</v>
      </c>
      <c r="AA357" s="1128" t="s">
        <v>3384</v>
      </c>
      <c r="AC357" s="73"/>
    </row>
    <row r="358" spans="1:29" s="20" customFormat="1">
      <c r="A358" s="327" t="str">
        <f>IF(AND($B358&lt;&gt;"",$C358&lt;&gt;""),MAX($A$4:A357)+1,"")</f>
        <v/>
      </c>
      <c r="B358" s="361" t="s">
        <v>592</v>
      </c>
      <c r="C358" s="360"/>
      <c r="D358" s="327">
        <f>IF($B358="","",COUNTIF($B$6:$B358,$B358))</f>
        <v>7</v>
      </c>
      <c r="E358" s="361" t="s">
        <v>45</v>
      </c>
      <c r="F358" s="362" t="s">
        <v>336</v>
      </c>
      <c r="G358" s="327" t="s">
        <v>328</v>
      </c>
      <c r="H358" s="325"/>
      <c r="I358" s="327">
        <v>4</v>
      </c>
      <c r="J358" s="361" t="s">
        <v>737</v>
      </c>
      <c r="K358" s="327" t="s">
        <v>531</v>
      </c>
      <c r="L358" s="348">
        <f t="shared" si="29"/>
        <v>703395</v>
      </c>
      <c r="M358" s="355"/>
      <c r="N358" s="355" t="str">
        <f t="shared" si="28"/>
        <v>PR</v>
      </c>
      <c r="O358" s="345"/>
      <c r="P358" s="325"/>
      <c r="Q358" s="351"/>
      <c r="R358" s="351">
        <v>2</v>
      </c>
      <c r="S358" s="351">
        <v>5.8</v>
      </c>
      <c r="T358" s="351">
        <v>1.155</v>
      </c>
      <c r="U358" s="329">
        <f>IF($N358=$N$4,IFERROR(INDEX(DanhMuc!$E$154:$E$165,MATCH(MID($B358,4,2),DanhMuc!$B$154:$B$165,0)),""),"")</f>
        <v>5700</v>
      </c>
      <c r="V358" s="325"/>
      <c r="W358" s="352" t="str">
        <f>+IF(AND($A358&lt;&gt;"",LEN($B358)&gt;=8,COUNTIF($B$6:$B358,$B358)=1),$W$5,"")</f>
        <v/>
      </c>
      <c r="X358" s="329" t="str">
        <f t="shared" si="27"/>
        <v>XF</v>
      </c>
      <c r="Y358" s="1128" t="s">
        <v>3380</v>
      </c>
      <c r="Z358" s="1128" t="s">
        <v>3381</v>
      </c>
      <c r="AA358" s="1128" t="s">
        <v>3384</v>
      </c>
      <c r="AC358" s="73"/>
    </row>
    <row r="359" spans="1:29" s="20" customFormat="1">
      <c r="A359" s="327" t="str">
        <f>IF(AND($B359&lt;&gt;"",$C359&lt;&gt;""),MAX($A$4:A358)+1,"")</f>
        <v/>
      </c>
      <c r="B359" s="361" t="s">
        <v>592</v>
      </c>
      <c r="C359" s="360"/>
      <c r="D359" s="327">
        <f>IF($B359="","",COUNTIF($B$6:$B359,$B359))</f>
        <v>8</v>
      </c>
      <c r="E359" s="361" t="s">
        <v>49</v>
      </c>
      <c r="F359" s="362" t="s">
        <v>446</v>
      </c>
      <c r="G359" s="327" t="s">
        <v>328</v>
      </c>
      <c r="H359" s="325"/>
      <c r="I359" s="327">
        <v>1</v>
      </c>
      <c r="J359" s="361" t="s">
        <v>737</v>
      </c>
      <c r="K359" s="327" t="s">
        <v>531</v>
      </c>
      <c r="L359" s="348">
        <f t="shared" si="29"/>
        <v>394632</v>
      </c>
      <c r="M359" s="355"/>
      <c r="N359" s="355" t="str">
        <f t="shared" si="28"/>
        <v>PR</v>
      </c>
      <c r="O359" s="345"/>
      <c r="P359" s="325"/>
      <c r="Q359" s="351"/>
      <c r="R359" s="351">
        <v>2</v>
      </c>
      <c r="S359" s="351">
        <v>5.8</v>
      </c>
      <c r="T359" s="351">
        <v>0.64800000000000002</v>
      </c>
      <c r="U359" s="329">
        <f>IF($N359=$N$4,IFERROR(INDEX(DanhMuc!$E$154:$E$165,MATCH(MID($B359,4,2),DanhMuc!$B$154:$B$165,0)),""),"")</f>
        <v>5700</v>
      </c>
      <c r="V359" s="325"/>
      <c r="W359" s="352" t="str">
        <f>+IF(AND($A359&lt;&gt;"",LEN($B359)&gt;=8,COUNTIF($B$6:$B359,$B359)=1),$W$5,"")</f>
        <v/>
      </c>
      <c r="X359" s="329" t="str">
        <f t="shared" si="27"/>
        <v>XF</v>
      </c>
      <c r="Y359" s="1128" t="s">
        <v>3380</v>
      </c>
      <c r="Z359" s="1128" t="s">
        <v>3381</v>
      </c>
      <c r="AA359" s="1128" t="s">
        <v>3384</v>
      </c>
      <c r="AC359" s="73"/>
    </row>
    <row r="360" spans="1:29" s="20" customFormat="1" ht="26">
      <c r="A360" s="327">
        <f>IF(AND($B360&lt;&gt;"",$C360&lt;&gt;""),MAX($A$4:A359)+1,"")</f>
        <v>33</v>
      </c>
      <c r="B360" s="359" t="s">
        <v>589</v>
      </c>
      <c r="C360" s="360" t="s">
        <v>1554</v>
      </c>
      <c r="D360" s="327">
        <f>IF($B360="","",COUNTIF($B$6:$B360,$B360))</f>
        <v>1</v>
      </c>
      <c r="E360" s="361" t="s">
        <v>2529</v>
      </c>
      <c r="F360" s="362" t="s">
        <v>32</v>
      </c>
      <c r="G360" s="327" t="s">
        <v>329</v>
      </c>
      <c r="H360" s="325"/>
      <c r="I360" s="327">
        <v>2</v>
      </c>
      <c r="J360" s="363" t="s">
        <v>81</v>
      </c>
      <c r="K360" s="327" t="s">
        <v>516</v>
      </c>
      <c r="L360" s="348">
        <f t="shared" si="29"/>
        <v>577941</v>
      </c>
      <c r="M360" s="355"/>
      <c r="N360" s="355" t="str">
        <f t="shared" si="28"/>
        <v>PR</v>
      </c>
      <c r="O360" s="347"/>
      <c r="P360" s="325"/>
      <c r="Q360" s="351"/>
      <c r="R360" s="351">
        <v>1.4</v>
      </c>
      <c r="S360" s="351">
        <v>5.8</v>
      </c>
      <c r="T360" s="351">
        <v>0.94899999999999995</v>
      </c>
      <c r="U360" s="329">
        <f>IF($N360=$N$4,IFERROR(INDEX(DanhMuc!$E$154:$E$165,MATCH(MID($B360,4,2),DanhMuc!$B$154:$B$165,0)),""),"")</f>
        <v>5700</v>
      </c>
      <c r="V360" s="325"/>
      <c r="W360" s="352" t="str">
        <f>+IF(AND($A360&lt;&gt;"",LEN($B360)&gt;=8,COUNTIF($B$6:$B360,$B360)=1),$W$5,"")</f>
        <v>DMCua</v>
      </c>
      <c r="X360" s="329" t="str">
        <f t="shared" si="27"/>
        <v>XF</v>
      </c>
      <c r="Y360" s="1128" t="s">
        <v>3380</v>
      </c>
      <c r="Z360" s="1128" t="s">
        <v>3381</v>
      </c>
      <c r="AA360" s="1128" t="s">
        <v>3384</v>
      </c>
      <c r="AC360" s="73"/>
    </row>
    <row r="361" spans="1:29" s="20" customFormat="1">
      <c r="A361" s="327" t="str">
        <f>IF(AND($B361&lt;&gt;"",$C361&lt;&gt;""),MAX($A$4:A360)+1,"")</f>
        <v/>
      </c>
      <c r="B361" s="361" t="s">
        <v>589</v>
      </c>
      <c r="C361" s="360"/>
      <c r="D361" s="327">
        <f>IF($B361="","",COUNTIF($B$6:$B361,$B361))</f>
        <v>2</v>
      </c>
      <c r="E361" s="361" t="s">
        <v>2529</v>
      </c>
      <c r="F361" s="362" t="s">
        <v>32</v>
      </c>
      <c r="G361" s="327" t="s">
        <v>328</v>
      </c>
      <c r="H361" s="325"/>
      <c r="I361" s="327">
        <v>2</v>
      </c>
      <c r="J361" s="361" t="s">
        <v>80</v>
      </c>
      <c r="K361" s="327" t="s">
        <v>516</v>
      </c>
      <c r="L361" s="348">
        <f t="shared" si="29"/>
        <v>577941</v>
      </c>
      <c r="M361" s="355"/>
      <c r="N361" s="355" t="str">
        <f t="shared" si="28"/>
        <v>PR</v>
      </c>
      <c r="O361" s="347"/>
      <c r="P361" s="325"/>
      <c r="Q361" s="351"/>
      <c r="R361" s="351">
        <v>1.4</v>
      </c>
      <c r="S361" s="351">
        <v>5.8</v>
      </c>
      <c r="T361" s="351">
        <v>0.94899999999999995</v>
      </c>
      <c r="U361" s="329">
        <f>IF($N361=$N$4,IFERROR(INDEX(DanhMuc!$E$154:$E$165,MATCH(MID($B361,4,2),DanhMuc!$B$154:$B$165,0)),""),"")</f>
        <v>5700</v>
      </c>
      <c r="V361" s="325"/>
      <c r="W361" s="352" t="str">
        <f>+IF(AND($A361&lt;&gt;"",LEN($B361)&gt;=8,COUNTIF($B$6:$B361,$B361)=1),$W$5,"")</f>
        <v/>
      </c>
      <c r="X361" s="329" t="str">
        <f t="shared" si="27"/>
        <v>XF</v>
      </c>
      <c r="Y361" s="1128" t="s">
        <v>3380</v>
      </c>
      <c r="Z361" s="1128" t="s">
        <v>3381</v>
      </c>
      <c r="AA361" s="1128" t="s">
        <v>3384</v>
      </c>
      <c r="AC361" s="73"/>
    </row>
    <row r="362" spans="1:29" s="20" customFormat="1">
      <c r="A362" s="327" t="str">
        <f>IF(AND($B362&lt;&gt;"",$C362&lt;&gt;""),MAX($A$4:A361)+1,"")</f>
        <v/>
      </c>
      <c r="B362" s="361" t="s">
        <v>589</v>
      </c>
      <c r="C362" s="360"/>
      <c r="D362" s="327">
        <f>IF($B362="","",COUNTIF($B$6:$B362,$B362))</f>
        <v>3</v>
      </c>
      <c r="E362" s="361" t="s">
        <v>2530</v>
      </c>
      <c r="F362" s="362" t="s">
        <v>34</v>
      </c>
      <c r="G362" s="327" t="s">
        <v>329</v>
      </c>
      <c r="H362" s="325"/>
      <c r="I362" s="327">
        <v>4</v>
      </c>
      <c r="J362" s="361" t="s">
        <v>970</v>
      </c>
      <c r="K362" s="327" t="s">
        <v>516</v>
      </c>
      <c r="L362" s="348">
        <f t="shared" si="29"/>
        <v>570024</v>
      </c>
      <c r="M362" s="355"/>
      <c r="N362" s="355" t="str">
        <f t="shared" si="28"/>
        <v>PR</v>
      </c>
      <c r="O362" s="347"/>
      <c r="P362" s="325"/>
      <c r="Q362" s="351"/>
      <c r="R362" s="351">
        <v>1.4</v>
      </c>
      <c r="S362" s="351">
        <v>5.8</v>
      </c>
      <c r="T362" s="351">
        <v>0.93600000000000005</v>
      </c>
      <c r="U362" s="329">
        <f>IF($N362=$N$4,IFERROR(INDEX(DanhMuc!$E$154:$E$165,MATCH(MID($B362,4,2),DanhMuc!$B$154:$B$165,0)),""),"")</f>
        <v>5700</v>
      </c>
      <c r="V362" s="325"/>
      <c r="W362" s="352" t="str">
        <f>+IF(AND($A362&lt;&gt;"",LEN($B362)&gt;=8,COUNTIF($B$6:$B362,$B362)=1),$W$5,"")</f>
        <v/>
      </c>
      <c r="X362" s="329" t="str">
        <f t="shared" si="27"/>
        <v>XF</v>
      </c>
      <c r="Y362" s="1128" t="s">
        <v>3380</v>
      </c>
      <c r="Z362" s="1128" t="s">
        <v>3381</v>
      </c>
      <c r="AA362" s="1128" t="s">
        <v>3384</v>
      </c>
      <c r="AC362" s="73"/>
    </row>
    <row r="363" spans="1:29" s="20" customFormat="1">
      <c r="A363" s="327" t="str">
        <f>IF(AND($B363&lt;&gt;"",$C363&lt;&gt;""),MAX($A$4:A362)+1,"")</f>
        <v/>
      </c>
      <c r="B363" s="361" t="s">
        <v>589</v>
      </c>
      <c r="C363" s="360"/>
      <c r="D363" s="327">
        <f>IF($B363="","",COUNTIF($B$6:$B363,$B363))</f>
        <v>4</v>
      </c>
      <c r="E363" s="361" t="s">
        <v>2530</v>
      </c>
      <c r="F363" s="362" t="s">
        <v>34</v>
      </c>
      <c r="G363" s="327" t="s">
        <v>328</v>
      </c>
      <c r="H363" s="325"/>
      <c r="I363" s="327">
        <v>4</v>
      </c>
      <c r="J363" s="361" t="s">
        <v>971</v>
      </c>
      <c r="K363" s="327" t="s">
        <v>516</v>
      </c>
      <c r="L363" s="348">
        <f t="shared" si="29"/>
        <v>570024</v>
      </c>
      <c r="M363" s="355"/>
      <c r="N363" s="355" t="str">
        <f t="shared" si="28"/>
        <v>PR</v>
      </c>
      <c r="O363" s="347"/>
      <c r="P363" s="325"/>
      <c r="Q363" s="351"/>
      <c r="R363" s="351">
        <v>1.4</v>
      </c>
      <c r="S363" s="351">
        <v>5.8</v>
      </c>
      <c r="T363" s="351">
        <v>0.93600000000000005</v>
      </c>
      <c r="U363" s="329">
        <f>IF($N363=$N$4,IFERROR(INDEX(DanhMuc!$E$154:$E$165,MATCH(MID($B363,4,2),DanhMuc!$B$154:$B$165,0)),""),"")</f>
        <v>5700</v>
      </c>
      <c r="V363" s="325"/>
      <c r="W363" s="352" t="str">
        <f>+IF(AND($A363&lt;&gt;"",LEN($B363)&gt;=8,COUNTIF($B$6:$B363,$B363)=1),$W$5,"")</f>
        <v/>
      </c>
      <c r="X363" s="329" t="str">
        <f t="shared" si="27"/>
        <v>XF</v>
      </c>
      <c r="Y363" s="1128" t="s">
        <v>3380</v>
      </c>
      <c r="Z363" s="1128" t="s">
        <v>3381</v>
      </c>
      <c r="AA363" s="1128" t="s">
        <v>3384</v>
      </c>
      <c r="AC363" s="73"/>
    </row>
    <row r="364" spans="1:29" s="20" customFormat="1">
      <c r="A364" s="327" t="str">
        <f>IF(AND($B364&lt;&gt;"",$C364&lt;&gt;""),MAX($A$4:A363)+1,"")</f>
        <v/>
      </c>
      <c r="B364" s="361" t="s">
        <v>589</v>
      </c>
      <c r="C364" s="360"/>
      <c r="D364" s="327">
        <f>IF($B364="","",COUNTIF($B$6:$B364,$B364))</f>
        <v>5</v>
      </c>
      <c r="E364" s="361" t="s">
        <v>2531</v>
      </c>
      <c r="F364" s="362" t="s">
        <v>36</v>
      </c>
      <c r="G364" s="327" t="s">
        <v>328</v>
      </c>
      <c r="H364" s="325"/>
      <c r="I364" s="327">
        <v>2</v>
      </c>
      <c r="J364" s="361" t="s">
        <v>971</v>
      </c>
      <c r="K364" s="327" t="s">
        <v>531</v>
      </c>
      <c r="L364" s="348">
        <f t="shared" si="29"/>
        <v>222285</v>
      </c>
      <c r="M364" s="355"/>
      <c r="N364" s="355" t="str">
        <f t="shared" si="28"/>
        <v>PR</v>
      </c>
      <c r="O364" s="347"/>
      <c r="P364" s="325"/>
      <c r="Q364" s="351"/>
      <c r="R364" s="351">
        <v>1.4</v>
      </c>
      <c r="S364" s="351">
        <v>5.8</v>
      </c>
      <c r="T364" s="351">
        <v>0.36499999999999999</v>
      </c>
      <c r="U364" s="329">
        <f>IF($N364=$N$4,IFERROR(INDEX(DanhMuc!$E$154:$E$165,MATCH(MID($B364,4,2),DanhMuc!$B$154:$B$165,0)),""),"")</f>
        <v>5700</v>
      </c>
      <c r="V364" s="325"/>
      <c r="W364" s="352" t="str">
        <f>+IF(AND($A364&lt;&gt;"",LEN($B364)&gt;=8,COUNTIF($B$6:$B364,$B364)=1),$W$5,"")</f>
        <v/>
      </c>
      <c r="X364" s="329" t="str">
        <f t="shared" si="27"/>
        <v>XF</v>
      </c>
      <c r="Y364" s="1128" t="s">
        <v>3380</v>
      </c>
      <c r="Z364" s="1128" t="s">
        <v>3381</v>
      </c>
      <c r="AA364" s="1128" t="s">
        <v>3384</v>
      </c>
      <c r="AC364" s="73"/>
    </row>
    <row r="365" spans="1:29" s="20" customFormat="1">
      <c r="A365" s="327" t="str">
        <f>IF(AND($B365&lt;&gt;"",$C365&lt;&gt;""),MAX($A$4:A364)+1,"")</f>
        <v/>
      </c>
      <c r="B365" s="361" t="s">
        <v>589</v>
      </c>
      <c r="C365" s="360"/>
      <c r="D365" s="327">
        <f>IF($B365="","",COUNTIF($B$6:$B365,$B365))</f>
        <v>6</v>
      </c>
      <c r="E365" s="361" t="s">
        <v>2532</v>
      </c>
      <c r="F365" s="362" t="s">
        <v>40</v>
      </c>
      <c r="G365" s="327" t="s">
        <v>330</v>
      </c>
      <c r="H365" s="325"/>
      <c r="I365" s="327">
        <v>1</v>
      </c>
      <c r="J365" s="361" t="s">
        <v>1189</v>
      </c>
      <c r="K365" s="327" t="s">
        <v>531</v>
      </c>
      <c r="L365" s="348">
        <f t="shared" si="29"/>
        <v>169911</v>
      </c>
      <c r="M365" s="355"/>
      <c r="N365" s="355" t="str">
        <f t="shared" si="28"/>
        <v>PR</v>
      </c>
      <c r="O365" s="347"/>
      <c r="P365" s="325"/>
      <c r="Q365" s="351"/>
      <c r="R365" s="351">
        <v>1.6</v>
      </c>
      <c r="S365" s="351">
        <v>5.8</v>
      </c>
      <c r="T365" s="351">
        <v>0.27900000000000003</v>
      </c>
      <c r="U365" s="329">
        <f>IF($N365=$N$4,IFERROR(INDEX(DanhMuc!$E$154:$E$165,MATCH(MID($B365,4,2),DanhMuc!$B$154:$B$165,0)),""),"")</f>
        <v>5700</v>
      </c>
      <c r="V365" s="325"/>
      <c r="W365" s="352" t="str">
        <f>+IF(AND($A365&lt;&gt;"",LEN($B365)&gt;=8,COUNTIF($B$6:$B365,$B365)=1),$W$5,"")</f>
        <v/>
      </c>
      <c r="X365" s="329" t="str">
        <f t="shared" si="27"/>
        <v>XF</v>
      </c>
      <c r="Y365" s="1128" t="s">
        <v>3380</v>
      </c>
      <c r="Z365" s="1128" t="s">
        <v>3381</v>
      </c>
      <c r="AA365" s="1128" t="s">
        <v>3384</v>
      </c>
      <c r="AC365" s="73"/>
    </row>
    <row r="366" spans="1:29" s="20" customFormat="1" ht="26">
      <c r="A366" s="327">
        <f>IF(AND($B366&lt;&gt;"",$C366&lt;&gt;""),MAX($A$4:A365)+1,"")</f>
        <v>34</v>
      </c>
      <c r="B366" s="359" t="s">
        <v>590</v>
      </c>
      <c r="C366" s="360" t="s">
        <v>1550</v>
      </c>
      <c r="D366" s="327">
        <f>IF($B366="","",COUNTIF($B$6:$B366,$B366))</f>
        <v>1</v>
      </c>
      <c r="E366" s="361" t="s">
        <v>2529</v>
      </c>
      <c r="F366" s="362" t="s">
        <v>32</v>
      </c>
      <c r="G366" s="327" t="s">
        <v>329</v>
      </c>
      <c r="H366" s="325"/>
      <c r="I366" s="327">
        <v>2</v>
      </c>
      <c r="J366" s="363" t="s">
        <v>81</v>
      </c>
      <c r="K366" s="327" t="s">
        <v>516</v>
      </c>
      <c r="L366" s="348">
        <f t="shared" si="29"/>
        <v>577941</v>
      </c>
      <c r="M366" s="355"/>
      <c r="N366" s="355" t="str">
        <f t="shared" si="28"/>
        <v>PR</v>
      </c>
      <c r="O366" s="347"/>
      <c r="P366" s="325"/>
      <c r="Q366" s="351"/>
      <c r="R366" s="351">
        <v>1.4</v>
      </c>
      <c r="S366" s="351">
        <v>5.8</v>
      </c>
      <c r="T366" s="351">
        <v>0.94899999999999995</v>
      </c>
      <c r="U366" s="329">
        <f>IF($N366=$N$4,IFERROR(INDEX(DanhMuc!$E$154:$E$165,MATCH(MID($B366,4,2),DanhMuc!$B$154:$B$165,0)),""),"")</f>
        <v>5700</v>
      </c>
      <c r="V366" s="325"/>
      <c r="W366" s="352" t="str">
        <f>+IF(AND($A366&lt;&gt;"",LEN($B366)&gt;=8,COUNTIF($B$6:$B366,$B366)=1),$W$5,"")</f>
        <v>DMCua</v>
      </c>
      <c r="X366" s="329" t="str">
        <f t="shared" si="27"/>
        <v>XF</v>
      </c>
      <c r="Y366" s="1128" t="s">
        <v>3380</v>
      </c>
      <c r="Z366" s="1128" t="s">
        <v>3381</v>
      </c>
      <c r="AA366" s="1128" t="s">
        <v>3384</v>
      </c>
      <c r="AC366" s="73"/>
    </row>
    <row r="367" spans="1:29" s="20" customFormat="1">
      <c r="A367" s="327" t="str">
        <f>IF(AND($B367&lt;&gt;"",$C367&lt;&gt;""),MAX($A$4:A366)+1,"")</f>
        <v/>
      </c>
      <c r="B367" s="361" t="s">
        <v>590</v>
      </c>
      <c r="C367" s="360"/>
      <c r="D367" s="327">
        <f>IF($B367="","",COUNTIF($B$6:$B367,$B367))</f>
        <v>2</v>
      </c>
      <c r="E367" s="361" t="s">
        <v>2529</v>
      </c>
      <c r="F367" s="362" t="s">
        <v>32</v>
      </c>
      <c r="G367" s="327" t="s">
        <v>328</v>
      </c>
      <c r="H367" s="325"/>
      <c r="I367" s="327">
        <v>2</v>
      </c>
      <c r="J367" s="361" t="s">
        <v>80</v>
      </c>
      <c r="K367" s="327" t="s">
        <v>516</v>
      </c>
      <c r="L367" s="348">
        <f t="shared" si="29"/>
        <v>577941</v>
      </c>
      <c r="M367" s="355"/>
      <c r="N367" s="355" t="str">
        <f t="shared" si="28"/>
        <v>PR</v>
      </c>
      <c r="O367" s="347"/>
      <c r="P367" s="325"/>
      <c r="Q367" s="351"/>
      <c r="R367" s="351">
        <v>1.4</v>
      </c>
      <c r="S367" s="351">
        <v>5.8</v>
      </c>
      <c r="T367" s="351">
        <v>0.94899999999999995</v>
      </c>
      <c r="U367" s="329">
        <f>IF($N367=$N$4,IFERROR(INDEX(DanhMuc!$E$154:$E$165,MATCH(MID($B367,4,2),DanhMuc!$B$154:$B$165,0)),""),"")</f>
        <v>5700</v>
      </c>
      <c r="V367" s="325"/>
      <c r="W367" s="352" t="str">
        <f>+IF(AND($A367&lt;&gt;"",LEN($B367)&gt;=8,COUNTIF($B$6:$B367,$B367)=1),$W$5,"")</f>
        <v/>
      </c>
      <c r="X367" s="329" t="str">
        <f t="shared" si="27"/>
        <v>XF</v>
      </c>
      <c r="Y367" s="1128" t="s">
        <v>3380</v>
      </c>
      <c r="Z367" s="1128" t="s">
        <v>3381</v>
      </c>
      <c r="AA367" s="1128" t="s">
        <v>3384</v>
      </c>
      <c r="AC367" s="73"/>
    </row>
    <row r="368" spans="1:29" s="20" customFormat="1">
      <c r="A368" s="327" t="str">
        <f>IF(AND($B368&lt;&gt;"",$C368&lt;&gt;""),MAX($A$4:A367)+1,"")</f>
        <v/>
      </c>
      <c r="B368" s="361" t="s">
        <v>590</v>
      </c>
      <c r="C368" s="360"/>
      <c r="D368" s="327">
        <f>IF($B368="","",COUNTIF($B$6:$B368,$B368))</f>
        <v>3</v>
      </c>
      <c r="E368" s="361" t="s">
        <v>2530</v>
      </c>
      <c r="F368" s="362" t="s">
        <v>34</v>
      </c>
      <c r="G368" s="327" t="s">
        <v>329</v>
      </c>
      <c r="H368" s="325"/>
      <c r="I368" s="327">
        <v>8</v>
      </c>
      <c r="J368" s="361" t="s">
        <v>1190</v>
      </c>
      <c r="K368" s="327" t="s">
        <v>516</v>
      </c>
      <c r="L368" s="348">
        <f t="shared" si="29"/>
        <v>570024</v>
      </c>
      <c r="M368" s="355"/>
      <c r="N368" s="355" t="str">
        <f t="shared" si="28"/>
        <v>PR</v>
      </c>
      <c r="O368" s="347"/>
      <c r="P368" s="325"/>
      <c r="Q368" s="351"/>
      <c r="R368" s="351">
        <v>1.4</v>
      </c>
      <c r="S368" s="351">
        <v>5.8</v>
      </c>
      <c r="T368" s="351">
        <v>0.93600000000000005</v>
      </c>
      <c r="U368" s="329">
        <f>IF($N368=$N$4,IFERROR(INDEX(DanhMuc!$E$154:$E$165,MATCH(MID($B368,4,2),DanhMuc!$B$154:$B$165,0)),""),"")</f>
        <v>5700</v>
      </c>
      <c r="V368" s="325"/>
      <c r="W368" s="352" t="str">
        <f>+IF(AND($A368&lt;&gt;"",LEN($B368)&gt;=8,COUNTIF($B$6:$B368,$B368)=1),$W$5,"")</f>
        <v/>
      </c>
      <c r="X368" s="329" t="str">
        <f t="shared" si="27"/>
        <v>XF</v>
      </c>
      <c r="Y368" s="1128" t="s">
        <v>3380</v>
      </c>
      <c r="Z368" s="1128" t="s">
        <v>3381</v>
      </c>
      <c r="AA368" s="1128" t="s">
        <v>3384</v>
      </c>
      <c r="AC368" s="73"/>
    </row>
    <row r="369" spans="1:29" s="20" customFormat="1">
      <c r="A369" s="327" t="str">
        <f>IF(AND($B369&lt;&gt;"",$C369&lt;&gt;""),MAX($A$4:A368)+1,"")</f>
        <v/>
      </c>
      <c r="B369" s="361" t="s">
        <v>590</v>
      </c>
      <c r="C369" s="360"/>
      <c r="D369" s="327">
        <f>IF($B369="","",COUNTIF($B$6:$B369,$B369))</f>
        <v>4</v>
      </c>
      <c r="E369" s="361" t="s">
        <v>2530</v>
      </c>
      <c r="F369" s="362" t="s">
        <v>34</v>
      </c>
      <c r="G369" s="327" t="s">
        <v>328</v>
      </c>
      <c r="H369" s="325"/>
      <c r="I369" s="327">
        <v>8</v>
      </c>
      <c r="J369" s="361" t="s">
        <v>971</v>
      </c>
      <c r="K369" s="327" t="s">
        <v>516</v>
      </c>
      <c r="L369" s="348">
        <f t="shared" si="29"/>
        <v>570024</v>
      </c>
      <c r="M369" s="355"/>
      <c r="N369" s="355" t="str">
        <f t="shared" si="28"/>
        <v>PR</v>
      </c>
      <c r="O369" s="347"/>
      <c r="P369" s="325"/>
      <c r="Q369" s="351"/>
      <c r="R369" s="351">
        <v>1.4</v>
      </c>
      <c r="S369" s="351">
        <v>5.8</v>
      </c>
      <c r="T369" s="351">
        <v>0.93600000000000005</v>
      </c>
      <c r="U369" s="329">
        <f>IF($N369=$N$4,IFERROR(INDEX(DanhMuc!$E$154:$E$165,MATCH(MID($B369,4,2),DanhMuc!$B$154:$B$165,0)),""),"")</f>
        <v>5700</v>
      </c>
      <c r="V369" s="325"/>
      <c r="W369" s="352" t="str">
        <f>+IF(AND($A369&lt;&gt;"",LEN($B369)&gt;=8,COUNTIF($B$6:$B369,$B369)=1),$W$5,"")</f>
        <v/>
      </c>
      <c r="X369" s="329" t="str">
        <f t="shared" si="27"/>
        <v>XF</v>
      </c>
      <c r="Y369" s="1128" t="s">
        <v>3380</v>
      </c>
      <c r="Z369" s="1128" t="s">
        <v>3381</v>
      </c>
      <c r="AA369" s="1128" t="s">
        <v>3384</v>
      </c>
      <c r="AC369" s="73"/>
    </row>
    <row r="370" spans="1:29" s="20" customFormat="1">
      <c r="A370" s="327" t="str">
        <f>IF(AND($B370&lt;&gt;"",$C370&lt;&gt;""),MAX($A$4:A369)+1,"")</f>
        <v/>
      </c>
      <c r="B370" s="361" t="s">
        <v>590</v>
      </c>
      <c r="C370" s="360"/>
      <c r="D370" s="327">
        <f>IF($B370="","",COUNTIF($B$6:$B370,$B370))</f>
        <v>5</v>
      </c>
      <c r="E370" s="361" t="s">
        <v>2531</v>
      </c>
      <c r="F370" s="362" t="s">
        <v>36</v>
      </c>
      <c r="G370" s="327" t="s">
        <v>328</v>
      </c>
      <c r="H370" s="325"/>
      <c r="I370" s="327">
        <v>4</v>
      </c>
      <c r="J370" s="361" t="s">
        <v>971</v>
      </c>
      <c r="K370" s="327" t="s">
        <v>531</v>
      </c>
      <c r="L370" s="348">
        <f t="shared" si="29"/>
        <v>222285</v>
      </c>
      <c r="M370" s="355"/>
      <c r="N370" s="355" t="str">
        <f t="shared" si="28"/>
        <v>PR</v>
      </c>
      <c r="O370" s="347"/>
      <c r="P370" s="325"/>
      <c r="Q370" s="351"/>
      <c r="R370" s="351">
        <v>1.4</v>
      </c>
      <c r="S370" s="351">
        <v>5.8</v>
      </c>
      <c r="T370" s="351">
        <v>0.36499999999999999</v>
      </c>
      <c r="U370" s="329">
        <f>IF($N370=$N$4,IFERROR(INDEX(DanhMuc!$E$154:$E$165,MATCH(MID($B370,4,2),DanhMuc!$B$154:$B$165,0)),""),"")</f>
        <v>5700</v>
      </c>
      <c r="V370" s="325"/>
      <c r="W370" s="352" t="str">
        <f>+IF(AND($A370&lt;&gt;"",LEN($B370)&gt;=8,COUNTIF($B$6:$B370,$B370)=1),$W$5,"")</f>
        <v/>
      </c>
      <c r="X370" s="329" t="str">
        <f t="shared" si="27"/>
        <v>XF</v>
      </c>
      <c r="Y370" s="1128" t="s">
        <v>3380</v>
      </c>
      <c r="Z370" s="1128" t="s">
        <v>3381</v>
      </c>
      <c r="AA370" s="1128" t="s">
        <v>3384</v>
      </c>
      <c r="AC370" s="73"/>
    </row>
    <row r="371" spans="1:29" s="20" customFormat="1">
      <c r="A371" s="327" t="str">
        <f>IF(AND($B371&lt;&gt;"",$C371&lt;&gt;""),MAX($A$4:A370)+1,"")</f>
        <v/>
      </c>
      <c r="B371" s="361" t="s">
        <v>590</v>
      </c>
      <c r="C371" s="360"/>
      <c r="D371" s="327">
        <f>IF($B371="","",COUNTIF($B$6:$B371,$B371))</f>
        <v>6</v>
      </c>
      <c r="E371" s="361" t="s">
        <v>2532</v>
      </c>
      <c r="F371" s="362" t="s">
        <v>40</v>
      </c>
      <c r="G371" s="327" t="s">
        <v>330</v>
      </c>
      <c r="H371" s="325"/>
      <c r="I371" s="327">
        <v>1</v>
      </c>
      <c r="J371" s="361" t="s">
        <v>1189</v>
      </c>
      <c r="K371" s="327" t="s">
        <v>531</v>
      </c>
      <c r="L371" s="348">
        <f t="shared" si="29"/>
        <v>169911</v>
      </c>
      <c r="M371" s="355"/>
      <c r="N371" s="355" t="str">
        <f t="shared" si="28"/>
        <v>PR</v>
      </c>
      <c r="O371" s="347"/>
      <c r="P371" s="325"/>
      <c r="Q371" s="351"/>
      <c r="R371" s="351">
        <v>1.6</v>
      </c>
      <c r="S371" s="351">
        <v>5.8</v>
      </c>
      <c r="T371" s="351">
        <v>0.27900000000000003</v>
      </c>
      <c r="U371" s="329">
        <f>IF($N371=$N$4,IFERROR(INDEX(DanhMuc!$E$154:$E$165,MATCH(MID($B371,4,2),DanhMuc!$B$154:$B$165,0)),""),"")</f>
        <v>5700</v>
      </c>
      <c r="V371" s="325"/>
      <c r="W371" s="352" t="str">
        <f>+IF(AND($A371&lt;&gt;"",LEN($B371)&gt;=8,COUNTIF($B$6:$B371,$B371)=1),$W$5,"")</f>
        <v/>
      </c>
      <c r="X371" s="329" t="str">
        <f t="shared" si="27"/>
        <v>XF</v>
      </c>
      <c r="Y371" s="1128" t="s">
        <v>3380</v>
      </c>
      <c r="Z371" s="1128" t="s">
        <v>3381</v>
      </c>
      <c r="AA371" s="1128" t="s">
        <v>3384</v>
      </c>
      <c r="AC371" s="73"/>
    </row>
    <row r="372" spans="1:29" s="20" customFormat="1">
      <c r="A372" s="327" t="str">
        <f>IF(AND($B372&lt;&gt;"",$C372&lt;&gt;""),MAX($A$4:A371)+1,"")</f>
        <v/>
      </c>
      <c r="B372" s="361" t="s">
        <v>590</v>
      </c>
      <c r="C372" s="364"/>
      <c r="D372" s="327">
        <f>IF($B372="","",COUNTIF($B$6:$B372,$B372))</f>
        <v>7</v>
      </c>
      <c r="E372" s="361" t="s">
        <v>2533</v>
      </c>
      <c r="F372" s="362" t="s">
        <v>38</v>
      </c>
      <c r="G372" s="327" t="s">
        <v>328</v>
      </c>
      <c r="H372" s="325"/>
      <c r="I372" s="327">
        <v>1</v>
      </c>
      <c r="J372" s="361" t="s">
        <v>971</v>
      </c>
      <c r="K372" s="327" t="s">
        <v>531</v>
      </c>
      <c r="L372" s="348">
        <f t="shared" si="29"/>
        <v>139461</v>
      </c>
      <c r="M372" s="355"/>
      <c r="N372" s="355" t="str">
        <f t="shared" si="28"/>
        <v>PR</v>
      </c>
      <c r="O372" s="345"/>
      <c r="P372" s="325"/>
      <c r="Q372" s="351"/>
      <c r="R372" s="351">
        <v>1.3</v>
      </c>
      <c r="S372" s="351">
        <v>5.8</v>
      </c>
      <c r="T372" s="351">
        <v>0.22900000000000001</v>
      </c>
      <c r="U372" s="329">
        <f>IF($N372=$N$4,IFERROR(INDEX(DanhMuc!$E$154:$E$165,MATCH(MID($B372,4,2),DanhMuc!$B$154:$B$165,0)),""),"")</f>
        <v>5700</v>
      </c>
      <c r="V372" s="325"/>
      <c r="W372" s="352" t="str">
        <f>+IF(AND($A372&lt;&gt;"",LEN($B372)&gt;=8,COUNTIF($B$6:$B372,$B372)=1),$W$5,"")</f>
        <v/>
      </c>
      <c r="X372" s="329" t="str">
        <f t="shared" si="27"/>
        <v>XF</v>
      </c>
      <c r="Y372" s="1128" t="s">
        <v>3380</v>
      </c>
      <c r="Z372" s="1128" t="s">
        <v>3381</v>
      </c>
      <c r="AA372" s="1128" t="s">
        <v>3384</v>
      </c>
      <c r="AC372" s="73"/>
    </row>
    <row r="373" spans="1:29" s="20" customFormat="1" ht="26">
      <c r="A373" s="327">
        <f>IF(AND($B373&lt;&gt;"",$C373&lt;&gt;""),MAX($A$4:A359)+1,"")</f>
        <v>33</v>
      </c>
      <c r="B373" s="359" t="s">
        <v>222</v>
      </c>
      <c r="C373" s="360" t="s">
        <v>1551</v>
      </c>
      <c r="D373" s="327">
        <f>IF($B373="","",COUNTIF($B$6:$B373,$B373))</f>
        <v>1</v>
      </c>
      <c r="E373" s="363" t="s">
        <v>26</v>
      </c>
      <c r="F373" s="382" t="s">
        <v>83</v>
      </c>
      <c r="G373" s="327" t="s">
        <v>329</v>
      </c>
      <c r="H373" s="325"/>
      <c r="I373" s="327">
        <v>2</v>
      </c>
      <c r="J373" s="363" t="s">
        <v>81</v>
      </c>
      <c r="K373" s="327" t="s">
        <v>516</v>
      </c>
      <c r="L373" s="348">
        <f t="shared" si="29"/>
        <v>488418</v>
      </c>
      <c r="M373" s="355"/>
      <c r="N373" s="355" t="str">
        <f t="shared" si="28"/>
        <v>PR</v>
      </c>
      <c r="O373" s="345"/>
      <c r="P373" s="325"/>
      <c r="Q373" s="351"/>
      <c r="R373" s="351">
        <v>1.4</v>
      </c>
      <c r="S373" s="351">
        <v>5.8</v>
      </c>
      <c r="T373" s="351">
        <v>0.80200000000000005</v>
      </c>
      <c r="U373" s="329">
        <f>IF($N373=$N$4,IFERROR(INDEX(DanhMuc!$E$154:$E$165,MATCH(MID($B373,4,2),DanhMuc!$B$154:$B$165,0)),""),"")</f>
        <v>5700</v>
      </c>
      <c r="V373" s="325"/>
      <c r="W373" s="352" t="str">
        <f>+IF(AND($A373&lt;&gt;"",LEN($B373)&gt;=8,COUNTIF($B$6:$B373,$B373)=1),$W$5,"")</f>
        <v>DMCua</v>
      </c>
      <c r="X373" s="329" t="str">
        <f t="shared" si="27"/>
        <v>XF</v>
      </c>
      <c r="Y373" s="1128" t="s">
        <v>3380</v>
      </c>
      <c r="Z373" s="1128" t="s">
        <v>3381</v>
      </c>
      <c r="AA373" s="1128" t="s">
        <v>3384</v>
      </c>
      <c r="AC373" s="73"/>
    </row>
    <row r="374" spans="1:29" s="20" customFormat="1">
      <c r="A374" s="327" t="str">
        <f>IF(AND($B374&lt;&gt;"",$C374&lt;&gt;""),MAX($A$4:A373)+1,"")</f>
        <v/>
      </c>
      <c r="B374" s="361" t="s">
        <v>222</v>
      </c>
      <c r="C374" s="364"/>
      <c r="D374" s="327">
        <f>IF($B374="","",COUNTIF($B$6:$B374,$B374))</f>
        <v>2</v>
      </c>
      <c r="E374" s="361" t="s">
        <v>26</v>
      </c>
      <c r="F374" s="362" t="s">
        <v>83</v>
      </c>
      <c r="G374" s="327" t="s">
        <v>328</v>
      </c>
      <c r="H374" s="325"/>
      <c r="I374" s="327">
        <v>2</v>
      </c>
      <c r="J374" s="361" t="s">
        <v>80</v>
      </c>
      <c r="K374" s="327" t="s">
        <v>516</v>
      </c>
      <c r="L374" s="348">
        <f t="shared" si="29"/>
        <v>488418</v>
      </c>
      <c r="M374" s="355"/>
      <c r="N374" s="355" t="str">
        <f t="shared" si="28"/>
        <v>PR</v>
      </c>
      <c r="O374" s="345"/>
      <c r="P374" s="325"/>
      <c r="Q374" s="351"/>
      <c r="R374" s="351">
        <v>1.4</v>
      </c>
      <c r="S374" s="351">
        <v>5.8</v>
      </c>
      <c r="T374" s="351">
        <v>0.80200000000000005</v>
      </c>
      <c r="U374" s="329">
        <f>IF($N374=$N$4,IFERROR(INDEX(DanhMuc!$E$154:$E$165,MATCH(MID($B374,4,2),DanhMuc!$B$154:$B$165,0)),""),"")</f>
        <v>5700</v>
      </c>
      <c r="V374" s="325"/>
      <c r="W374" s="352" t="str">
        <f>+IF(AND($A374&lt;&gt;"",LEN($B374)&gt;=8,COUNTIF($B$6:$B374,$B374)=1),$W$5,"")</f>
        <v/>
      </c>
      <c r="X374" s="329" t="str">
        <f t="shared" si="27"/>
        <v>XF</v>
      </c>
      <c r="Y374" s="1128" t="s">
        <v>3380</v>
      </c>
      <c r="Z374" s="1128" t="s">
        <v>3381</v>
      </c>
      <c r="AA374" s="1128" t="s">
        <v>3384</v>
      </c>
      <c r="AC374" s="73"/>
    </row>
    <row r="375" spans="1:29" s="20" customFormat="1">
      <c r="A375" s="327" t="str">
        <f>IF(AND($B375&lt;&gt;"",$C375&lt;&gt;""),MAX($A$4:A374)+1,"")</f>
        <v/>
      </c>
      <c r="B375" s="361" t="s">
        <v>222</v>
      </c>
      <c r="C375" s="364"/>
      <c r="D375" s="327">
        <f>IF($B375="","",COUNTIF($B$6:$B375,$B375))</f>
        <v>3</v>
      </c>
      <c r="E375" s="361" t="s">
        <v>27</v>
      </c>
      <c r="F375" s="362" t="s">
        <v>346</v>
      </c>
      <c r="G375" s="327" t="s">
        <v>329</v>
      </c>
      <c r="H375" s="325"/>
      <c r="I375" s="327">
        <v>2</v>
      </c>
      <c r="J375" s="361" t="s">
        <v>927</v>
      </c>
      <c r="K375" s="327" t="s">
        <v>531</v>
      </c>
      <c r="L375" s="348">
        <f t="shared" si="29"/>
        <v>165039</v>
      </c>
      <c r="M375" s="355"/>
      <c r="N375" s="355" t="str">
        <f t="shared" si="28"/>
        <v>PR</v>
      </c>
      <c r="O375" s="347">
        <v>10</v>
      </c>
      <c r="P375" s="325"/>
      <c r="Q375" s="351"/>
      <c r="R375" s="351">
        <v>1</v>
      </c>
      <c r="S375" s="351">
        <v>5.8</v>
      </c>
      <c r="T375" s="351">
        <v>0.27100000000000002</v>
      </c>
      <c r="U375" s="329">
        <f>IF($N375=$N$4,IFERROR(INDEX(DanhMuc!$E$154:$E$165,MATCH(MID($B375,4,2),DanhMuc!$B$154:$B$165,0)),""),"")</f>
        <v>5700</v>
      </c>
      <c r="V375" s="325"/>
      <c r="W375" s="352" t="str">
        <f>+IF(AND($A375&lt;&gt;"",LEN($B375)&gt;=8,COUNTIF($B$6:$B375,$B375)=1),$W$5,"")</f>
        <v/>
      </c>
      <c r="X375" s="329" t="str">
        <f t="shared" si="27"/>
        <v>XF</v>
      </c>
      <c r="Y375" s="1128" t="s">
        <v>3380</v>
      </c>
      <c r="Z375" s="1128" t="s">
        <v>3381</v>
      </c>
      <c r="AA375" s="1128" t="s">
        <v>3384</v>
      </c>
      <c r="AC375" s="73"/>
    </row>
    <row r="376" spans="1:29" s="20" customFormat="1">
      <c r="A376" s="327" t="str">
        <f>IF(AND($B376&lt;&gt;"",$C376&lt;&gt;""),MAX($A$4:A375)+1,"")</f>
        <v/>
      </c>
      <c r="B376" s="361" t="s">
        <v>222</v>
      </c>
      <c r="C376" s="364"/>
      <c r="D376" s="327">
        <f>IF($B376="","",COUNTIF($B$6:$B376,$B376))</f>
        <v>4</v>
      </c>
      <c r="E376" s="361" t="s">
        <v>27</v>
      </c>
      <c r="F376" s="362" t="s">
        <v>346</v>
      </c>
      <c r="G376" s="327" t="s">
        <v>328</v>
      </c>
      <c r="H376" s="325"/>
      <c r="I376" s="327">
        <v>2</v>
      </c>
      <c r="J376" s="361" t="s">
        <v>928</v>
      </c>
      <c r="K376" s="327" t="s">
        <v>531</v>
      </c>
      <c r="L376" s="348">
        <f t="shared" si="29"/>
        <v>165039</v>
      </c>
      <c r="M376" s="355"/>
      <c r="N376" s="355" t="str">
        <f t="shared" si="28"/>
        <v>PR</v>
      </c>
      <c r="O376" s="347">
        <v>10</v>
      </c>
      <c r="P376" s="325"/>
      <c r="Q376" s="351"/>
      <c r="R376" s="351">
        <v>1</v>
      </c>
      <c r="S376" s="351">
        <v>5.8</v>
      </c>
      <c r="T376" s="351">
        <v>0.27100000000000002</v>
      </c>
      <c r="U376" s="329">
        <f>IF($N376=$N$4,IFERROR(INDEX(DanhMuc!$E$154:$E$165,MATCH(MID($B376,4,2),DanhMuc!$B$154:$B$165,0)),""),"")</f>
        <v>5700</v>
      </c>
      <c r="V376" s="325"/>
      <c r="W376" s="352" t="str">
        <f>+IF(AND($A376&lt;&gt;"",LEN($B376)&gt;=8,COUNTIF($B$6:$B376,$B376)=1),$W$5,"")</f>
        <v/>
      </c>
      <c r="X376" s="329" t="str">
        <f t="shared" si="27"/>
        <v>XF</v>
      </c>
      <c r="Y376" s="1128" t="s">
        <v>3380</v>
      </c>
      <c r="Z376" s="1128" t="s">
        <v>3381</v>
      </c>
      <c r="AA376" s="1128" t="s">
        <v>3384</v>
      </c>
      <c r="AC376" s="73"/>
    </row>
    <row r="377" spans="1:29" s="20" customFormat="1">
      <c r="A377" s="327" t="str">
        <f>IF(AND($B377&lt;&gt;"",$C377&lt;&gt;""),MAX($A$4:A376)+1,"")</f>
        <v/>
      </c>
      <c r="B377" s="361" t="s">
        <v>222</v>
      </c>
      <c r="C377" s="364"/>
      <c r="D377" s="327">
        <f>IF($B377="","",COUNTIF($B$6:$B377,$B377))</f>
        <v>5</v>
      </c>
      <c r="E377" s="361" t="s">
        <v>385</v>
      </c>
      <c r="F377" s="362" t="s">
        <v>386</v>
      </c>
      <c r="G377" s="327" t="s">
        <v>329</v>
      </c>
      <c r="H377" s="325"/>
      <c r="I377" s="327">
        <v>2</v>
      </c>
      <c r="J377" s="361" t="s">
        <v>927</v>
      </c>
      <c r="K377" s="327" t="s">
        <v>531</v>
      </c>
      <c r="L377" s="348">
        <f t="shared" si="29"/>
        <v>138243</v>
      </c>
      <c r="M377" s="355"/>
      <c r="N377" s="355" t="str">
        <f t="shared" si="28"/>
        <v>PR</v>
      </c>
      <c r="O377" s="347">
        <v>19</v>
      </c>
      <c r="P377" s="325"/>
      <c r="Q377" s="351"/>
      <c r="R377" s="351">
        <v>1</v>
      </c>
      <c r="S377" s="351">
        <v>5.8</v>
      </c>
      <c r="T377" s="351">
        <v>0.22700000000000001</v>
      </c>
      <c r="U377" s="329">
        <f>IF($N377=$N$4,IFERROR(INDEX(DanhMuc!$E$154:$E$165,MATCH(MID($B377,4,2),DanhMuc!$B$154:$B$165,0)),""),"")</f>
        <v>5700</v>
      </c>
      <c r="V377" s="325"/>
      <c r="W377" s="352" t="str">
        <f>+IF(AND($A377&lt;&gt;"",LEN($B377)&gt;=8,COUNTIF($B$6:$B377,$B377)=1),$W$5,"")</f>
        <v/>
      </c>
      <c r="X377" s="329" t="str">
        <f t="shared" si="27"/>
        <v>XF</v>
      </c>
      <c r="Y377" s="1128" t="s">
        <v>3380</v>
      </c>
      <c r="Z377" s="1128" t="s">
        <v>3381</v>
      </c>
      <c r="AA377" s="1128" t="s">
        <v>3384</v>
      </c>
      <c r="AC377" s="73"/>
    </row>
    <row r="378" spans="1:29" s="20" customFormat="1">
      <c r="A378" s="327" t="str">
        <f>IF(AND($B378&lt;&gt;"",$C378&lt;&gt;""),MAX($A$4:A377)+1,"")</f>
        <v/>
      </c>
      <c r="B378" s="361" t="s">
        <v>222</v>
      </c>
      <c r="C378" s="364"/>
      <c r="D378" s="327">
        <f>IF($B378="","",COUNTIF($B$6:$B378,$B378))</f>
        <v>6</v>
      </c>
      <c r="E378" s="361" t="s">
        <v>385</v>
      </c>
      <c r="F378" s="362" t="s">
        <v>386</v>
      </c>
      <c r="G378" s="327" t="s">
        <v>328</v>
      </c>
      <c r="H378" s="325"/>
      <c r="I378" s="327">
        <v>2</v>
      </c>
      <c r="J378" s="361" t="s">
        <v>928</v>
      </c>
      <c r="K378" s="327" t="s">
        <v>531</v>
      </c>
      <c r="L378" s="348">
        <f t="shared" si="29"/>
        <v>138243</v>
      </c>
      <c r="M378" s="355"/>
      <c r="N378" s="355" t="str">
        <f t="shared" si="28"/>
        <v>PR</v>
      </c>
      <c r="O378" s="347">
        <v>19</v>
      </c>
      <c r="P378" s="325"/>
      <c r="Q378" s="351"/>
      <c r="R378" s="351">
        <v>1</v>
      </c>
      <c r="S378" s="351">
        <v>5.8</v>
      </c>
      <c r="T378" s="351">
        <v>0.22700000000000001</v>
      </c>
      <c r="U378" s="329">
        <f>IF($N378=$N$4,IFERROR(INDEX(DanhMuc!$E$154:$E$165,MATCH(MID($B378,4,2),DanhMuc!$B$154:$B$165,0)),""),"")</f>
        <v>5700</v>
      </c>
      <c r="V378" s="325"/>
      <c r="W378" s="352" t="str">
        <f>+IF(AND($A378&lt;&gt;"",LEN($B378)&gt;=8,COUNTIF($B$6:$B378,$B378)=1),$W$5,"")</f>
        <v/>
      </c>
      <c r="X378" s="329" t="str">
        <f t="shared" si="27"/>
        <v>XF</v>
      </c>
      <c r="Y378" s="1128" t="s">
        <v>3380</v>
      </c>
      <c r="Z378" s="1128" t="s">
        <v>3381</v>
      </c>
      <c r="AA378" s="1128" t="s">
        <v>3384</v>
      </c>
      <c r="AC378" s="73"/>
    </row>
    <row r="379" spans="1:29" s="20" customFormat="1">
      <c r="A379" s="327" t="str">
        <f>IF(AND($B379&lt;&gt;"",$C379&lt;&gt;""),MAX($A$4:A378)+1,"")</f>
        <v/>
      </c>
      <c r="B379" s="361" t="s">
        <v>222</v>
      </c>
      <c r="C379" s="364"/>
      <c r="D379" s="327">
        <f>IF($B379="","",COUNTIF($B$6:$B379,$B379))</f>
        <v>7</v>
      </c>
      <c r="E379" s="361" t="s">
        <v>630</v>
      </c>
      <c r="F379" s="362" t="s">
        <v>631</v>
      </c>
      <c r="G379" s="327" t="s">
        <v>329</v>
      </c>
      <c r="H379" s="325"/>
      <c r="I379" s="327">
        <v>2</v>
      </c>
      <c r="J379" s="361" t="s">
        <v>927</v>
      </c>
      <c r="K379" s="327" t="s">
        <v>531</v>
      </c>
      <c r="L379" s="348">
        <f t="shared" si="29"/>
        <v>135807</v>
      </c>
      <c r="M379" s="355"/>
      <c r="N379" s="355" t="str">
        <f t="shared" si="28"/>
        <v>PR</v>
      </c>
      <c r="O379" s="347">
        <v>20</v>
      </c>
      <c r="P379" s="325"/>
      <c r="Q379" s="351"/>
      <c r="R379" s="351">
        <v>1</v>
      </c>
      <c r="S379" s="351">
        <v>5.8</v>
      </c>
      <c r="T379" s="351">
        <v>0.223</v>
      </c>
      <c r="U379" s="329">
        <f>IF($N379=$N$4,IFERROR(INDEX(DanhMuc!$E$154:$E$165,MATCH(MID($B379,4,2),DanhMuc!$B$154:$B$165,0)),""),"")</f>
        <v>5700</v>
      </c>
      <c r="V379" s="325"/>
      <c r="W379" s="352" t="str">
        <f>+IF(AND($A379&lt;&gt;"",LEN($B379)&gt;=8,COUNTIF($B$6:$B379,$B379)=1),$W$5,"")</f>
        <v/>
      </c>
      <c r="X379" s="329" t="str">
        <f t="shared" ref="X379:X442" si="30">IF(IFERROR(SEARCH("thép",$F379,1),0)&gt;=1,"T" &amp;MID($B379,4,2),MID($B379,4,2))</f>
        <v>XF</v>
      </c>
      <c r="Y379" s="1128" t="s">
        <v>3380</v>
      </c>
      <c r="Z379" s="1128" t="s">
        <v>3381</v>
      </c>
      <c r="AA379" s="1128" t="s">
        <v>3384</v>
      </c>
      <c r="AC379" s="73"/>
    </row>
    <row r="380" spans="1:29" s="20" customFormat="1">
      <c r="A380" s="327" t="str">
        <f>IF(AND($B380&lt;&gt;"",$C380&lt;&gt;""),MAX($A$4:A379)+1,"")</f>
        <v/>
      </c>
      <c r="B380" s="361" t="s">
        <v>222</v>
      </c>
      <c r="C380" s="364"/>
      <c r="D380" s="327">
        <f>IF($B380="","",COUNTIF($B$6:$B380,$B380))</f>
        <v>8</v>
      </c>
      <c r="E380" s="361" t="s">
        <v>630</v>
      </c>
      <c r="F380" s="362" t="s">
        <v>631</v>
      </c>
      <c r="G380" s="327" t="s">
        <v>328</v>
      </c>
      <c r="H380" s="325"/>
      <c r="I380" s="327">
        <v>2</v>
      </c>
      <c r="J380" s="361" t="s">
        <v>928</v>
      </c>
      <c r="K380" s="327" t="s">
        <v>531</v>
      </c>
      <c r="L380" s="348">
        <f t="shared" si="29"/>
        <v>135807</v>
      </c>
      <c r="M380" s="355"/>
      <c r="N380" s="355" t="str">
        <f t="shared" si="28"/>
        <v>PR</v>
      </c>
      <c r="O380" s="347">
        <v>20</v>
      </c>
      <c r="P380" s="325"/>
      <c r="Q380" s="351"/>
      <c r="R380" s="351">
        <v>1</v>
      </c>
      <c r="S380" s="351">
        <v>5.8</v>
      </c>
      <c r="T380" s="351">
        <v>0.223</v>
      </c>
      <c r="U380" s="329">
        <f>IF($N380=$N$4,IFERROR(INDEX(DanhMuc!$E$154:$E$165,MATCH(MID($B380,4,2),DanhMuc!$B$154:$B$165,0)),""),"")</f>
        <v>5700</v>
      </c>
      <c r="V380" s="325"/>
      <c r="W380" s="352" t="str">
        <f>+IF(AND($A380&lt;&gt;"",LEN($B380)&gt;=8,COUNTIF($B$6:$B380,$B380)=1),$W$5,"")</f>
        <v/>
      </c>
      <c r="X380" s="329" t="str">
        <f t="shared" si="30"/>
        <v>XF</v>
      </c>
      <c r="Y380" s="1128" t="s">
        <v>3380</v>
      </c>
      <c r="Z380" s="1128" t="s">
        <v>3381</v>
      </c>
      <c r="AA380" s="1128" t="s">
        <v>3384</v>
      </c>
      <c r="AC380" s="73"/>
    </row>
    <row r="381" spans="1:29" s="20" customFormat="1" ht="26">
      <c r="A381" s="327">
        <f>IF(AND($B381&lt;&gt;"",$C381&lt;&gt;""),MAX($A$4:A367)+1,"")</f>
        <v>35</v>
      </c>
      <c r="B381" s="359" t="s">
        <v>2344</v>
      </c>
      <c r="C381" s="360" t="s">
        <v>2345</v>
      </c>
      <c r="D381" s="327">
        <f>IF($B381="","",COUNTIF($B$6:$B381,$B381))</f>
        <v>1</v>
      </c>
      <c r="E381" s="363" t="s">
        <v>596</v>
      </c>
      <c r="F381" s="382" t="s">
        <v>597</v>
      </c>
      <c r="G381" s="327" t="s">
        <v>329</v>
      </c>
      <c r="H381" s="325"/>
      <c r="I381" s="327">
        <v>2</v>
      </c>
      <c r="J381" s="363" t="s">
        <v>2346</v>
      </c>
      <c r="K381" s="327" t="s">
        <v>531</v>
      </c>
      <c r="L381" s="348">
        <f t="shared" si="29"/>
        <v>686343</v>
      </c>
      <c r="M381" s="355"/>
      <c r="N381" s="355" t="str">
        <f t="shared" si="28"/>
        <v>PR</v>
      </c>
      <c r="O381" s="345"/>
      <c r="P381" s="325"/>
      <c r="Q381" s="351"/>
      <c r="R381" s="351">
        <v>2</v>
      </c>
      <c r="S381" s="351">
        <v>5.8</v>
      </c>
      <c r="T381" s="351">
        <v>1.127</v>
      </c>
      <c r="U381" s="329">
        <f>IF($N381=$N$4,IFERROR(INDEX(DanhMuc!$E$154:$E$165,MATCH(MID($B381,4,2),DanhMuc!$B$154:$B$165,0)),""),"")</f>
        <v>5700</v>
      </c>
      <c r="V381" s="325"/>
      <c r="W381" s="352" t="str">
        <f>+IF(AND($A381&lt;&gt;"",LEN($B381)&gt;=8,COUNTIF($B$6:$B381,$B381)=1),$W$5,"")</f>
        <v>DMCua</v>
      </c>
      <c r="X381" s="329" t="str">
        <f t="shared" si="30"/>
        <v>XF</v>
      </c>
      <c r="Y381" s="1128" t="s">
        <v>3380</v>
      </c>
      <c r="Z381" s="1128" t="s">
        <v>3381</v>
      </c>
      <c r="AA381" s="1128" t="s">
        <v>3384</v>
      </c>
      <c r="AC381" s="73"/>
    </row>
    <row r="382" spans="1:29" s="20" customFormat="1">
      <c r="A382" s="327" t="str">
        <f>IF(AND($B382&lt;&gt;"",$C382&lt;&gt;""),MAX($A$4:A381)+1,"")</f>
        <v/>
      </c>
      <c r="B382" s="361" t="s">
        <v>2344</v>
      </c>
      <c r="C382" s="364"/>
      <c r="D382" s="327">
        <f>IF($B382="","",COUNTIF($B$6:$B382,$B382))</f>
        <v>2</v>
      </c>
      <c r="E382" s="363" t="s">
        <v>596</v>
      </c>
      <c r="F382" s="382" t="s">
        <v>597</v>
      </c>
      <c r="G382" s="327" t="s">
        <v>328</v>
      </c>
      <c r="H382" s="325"/>
      <c r="I382" s="327">
        <v>2</v>
      </c>
      <c r="J382" s="361" t="s">
        <v>80</v>
      </c>
      <c r="K382" s="327" t="s">
        <v>531</v>
      </c>
      <c r="L382" s="348">
        <f t="shared" si="29"/>
        <v>686343</v>
      </c>
      <c r="M382" s="355"/>
      <c r="N382" s="355" t="str">
        <f t="shared" si="28"/>
        <v>PR</v>
      </c>
      <c r="O382" s="345"/>
      <c r="P382" s="325"/>
      <c r="Q382" s="351"/>
      <c r="R382" s="351">
        <v>2</v>
      </c>
      <c r="S382" s="351">
        <v>5.8</v>
      </c>
      <c r="T382" s="351">
        <v>1.127</v>
      </c>
      <c r="U382" s="329">
        <f>IF($N382=$N$4,IFERROR(INDEX(DanhMuc!$E$154:$E$165,MATCH(MID($B382,4,2),DanhMuc!$B$154:$B$165,0)),""),"")</f>
        <v>5700</v>
      </c>
      <c r="V382" s="325"/>
      <c r="W382" s="352" t="str">
        <f>+IF(AND($A382&lt;&gt;"",LEN($B382)&gt;=8,COUNTIF($B$6:$B382,$B382)=1),$W$5,"")</f>
        <v/>
      </c>
      <c r="X382" s="329" t="str">
        <f t="shared" si="30"/>
        <v>XF</v>
      </c>
      <c r="Y382" s="1128" t="s">
        <v>3380</v>
      </c>
      <c r="Z382" s="1128" t="s">
        <v>3381</v>
      </c>
      <c r="AA382" s="1128" t="s">
        <v>3384</v>
      </c>
      <c r="AC382" s="73"/>
    </row>
    <row r="383" spans="1:29" s="20" customFormat="1" ht="25">
      <c r="A383" s="327" t="str">
        <f>IF(AND($B383&lt;&gt;"",$C383&lt;&gt;""),MAX($A$4:A382)+1,"")</f>
        <v/>
      </c>
      <c r="B383" s="361" t="s">
        <v>2344</v>
      </c>
      <c r="C383" s="364"/>
      <c r="D383" s="327">
        <f>IF($B383="","",COUNTIF($B$6:$B383,$B383))</f>
        <v>3</v>
      </c>
      <c r="E383" s="365" t="s">
        <v>2497</v>
      </c>
      <c r="F383" s="362" t="s">
        <v>2347</v>
      </c>
      <c r="G383" s="327" t="s">
        <v>329</v>
      </c>
      <c r="H383" s="325"/>
      <c r="I383" s="327">
        <v>2</v>
      </c>
      <c r="J383" s="363" t="s">
        <v>2346</v>
      </c>
      <c r="K383" s="327" t="s">
        <v>516</v>
      </c>
      <c r="L383" s="348">
        <f t="shared" si="29"/>
        <v>79170</v>
      </c>
      <c r="M383" s="355"/>
      <c r="N383" s="355" t="str">
        <f t="shared" si="28"/>
        <v>PR</v>
      </c>
      <c r="O383" s="347">
        <v>10</v>
      </c>
      <c r="P383" s="325"/>
      <c r="Q383" s="351"/>
      <c r="R383" s="351">
        <v>0.9</v>
      </c>
      <c r="S383" s="351">
        <v>5.8</v>
      </c>
      <c r="T383" s="351">
        <v>0.13</v>
      </c>
      <c r="U383" s="329">
        <f>IF($N383=$N$4,IFERROR(INDEX(DanhMuc!$E$154:$E$165,MATCH(MID($B383,4,2),DanhMuc!$B$154:$B$165,0)),""),"")</f>
        <v>5700</v>
      </c>
      <c r="V383" s="325"/>
      <c r="W383" s="352" t="str">
        <f>+IF(AND($A383&lt;&gt;"",LEN($B383)&gt;=8,COUNTIF($B$6:$B383,$B383)=1),$W$5,"")</f>
        <v/>
      </c>
      <c r="X383" s="329" t="str">
        <f t="shared" si="30"/>
        <v>XF</v>
      </c>
      <c r="Y383" s="1128" t="s">
        <v>3380</v>
      </c>
      <c r="Z383" s="1128" t="s">
        <v>3381</v>
      </c>
      <c r="AA383" s="1128" t="s">
        <v>3384</v>
      </c>
      <c r="AC383" s="73"/>
    </row>
    <row r="384" spans="1:29" s="20" customFormat="1" ht="25">
      <c r="A384" s="327" t="str">
        <f>IF(AND($B384&lt;&gt;"",$C384&lt;&gt;""),MAX($A$4:A383)+1,"")</f>
        <v/>
      </c>
      <c r="B384" s="361" t="s">
        <v>2344</v>
      </c>
      <c r="C384" s="364"/>
      <c r="D384" s="327">
        <f>IF($B384="","",COUNTIF($B$6:$B384,$B384))</f>
        <v>4</v>
      </c>
      <c r="E384" s="365" t="s">
        <v>2497</v>
      </c>
      <c r="F384" s="362" t="s">
        <v>2347</v>
      </c>
      <c r="G384" s="327" t="s">
        <v>328</v>
      </c>
      <c r="H384" s="325"/>
      <c r="I384" s="327">
        <v>2</v>
      </c>
      <c r="J384" s="361" t="s">
        <v>2352</v>
      </c>
      <c r="K384" s="327" t="s">
        <v>516</v>
      </c>
      <c r="L384" s="348">
        <f t="shared" si="29"/>
        <v>79170</v>
      </c>
      <c r="M384" s="355"/>
      <c r="N384" s="355" t="str">
        <f t="shared" si="28"/>
        <v>PR</v>
      </c>
      <c r="O384" s="347">
        <v>10</v>
      </c>
      <c r="P384" s="325"/>
      <c r="Q384" s="351"/>
      <c r="R384" s="351">
        <v>0.9</v>
      </c>
      <c r="S384" s="351">
        <v>5.8</v>
      </c>
      <c r="T384" s="351">
        <v>0.13</v>
      </c>
      <c r="U384" s="329">
        <f>IF($N384=$N$4,IFERROR(INDEX(DanhMuc!$E$154:$E$165,MATCH(MID($B384,4,2),DanhMuc!$B$154:$B$165,0)),""),"")</f>
        <v>5700</v>
      </c>
      <c r="V384" s="325"/>
      <c r="W384" s="352" t="str">
        <f>+IF(AND($A384&lt;&gt;"",LEN($B384)&gt;=8,COUNTIF($B$6:$B384,$B384)=1),$W$5,"")</f>
        <v/>
      </c>
      <c r="X384" s="329" t="str">
        <f t="shared" si="30"/>
        <v>XF</v>
      </c>
      <c r="Y384" s="1128" t="s">
        <v>3380</v>
      </c>
      <c r="Z384" s="1128" t="s">
        <v>3381</v>
      </c>
      <c r="AA384" s="1128" t="s">
        <v>3384</v>
      </c>
      <c r="AC384" s="73"/>
    </row>
    <row r="385" spans="1:29" s="20" customFormat="1" ht="26">
      <c r="A385" s="327">
        <f>IF(AND($B385&lt;&gt;"",$C385&lt;&gt;""),MAX($A$4:A367)+1,"")</f>
        <v>35</v>
      </c>
      <c r="B385" s="359" t="s">
        <v>1815</v>
      </c>
      <c r="C385" s="360" t="s">
        <v>1816</v>
      </c>
      <c r="D385" s="327">
        <f>IF($B385="","",COUNTIF($B$6:$B385,$B385))</f>
        <v>1</v>
      </c>
      <c r="E385" s="363" t="s">
        <v>26</v>
      </c>
      <c r="F385" s="382" t="s">
        <v>83</v>
      </c>
      <c r="G385" s="327" t="s">
        <v>329</v>
      </c>
      <c r="H385" s="325"/>
      <c r="I385" s="327">
        <v>2</v>
      </c>
      <c r="J385" s="363" t="s">
        <v>81</v>
      </c>
      <c r="K385" s="327" t="s">
        <v>516</v>
      </c>
      <c r="L385" s="348">
        <f t="shared" si="29"/>
        <v>488418</v>
      </c>
      <c r="M385" s="355"/>
      <c r="N385" s="355" t="str">
        <f t="shared" si="28"/>
        <v>PR</v>
      </c>
      <c r="O385" s="345"/>
      <c r="P385" s="325"/>
      <c r="Q385" s="351"/>
      <c r="R385" s="351">
        <v>1.4</v>
      </c>
      <c r="S385" s="351">
        <v>5.8</v>
      </c>
      <c r="T385" s="351">
        <v>0.80200000000000005</v>
      </c>
      <c r="U385" s="329">
        <f>IF($N385=$N$4,IFERROR(INDEX(DanhMuc!$E$154:$E$165,MATCH(MID($B385,4,2),DanhMuc!$B$154:$B$165,0)),""),"")</f>
        <v>5700</v>
      </c>
      <c r="V385" s="325"/>
      <c r="W385" s="352" t="str">
        <f>+IF(AND($A385&lt;&gt;"",LEN($B385)&gt;=8,COUNTIF($B$6:$B385,$B385)=1),$W$5,"")</f>
        <v>DMCua</v>
      </c>
      <c r="X385" s="329" t="str">
        <f t="shared" si="30"/>
        <v>XF</v>
      </c>
      <c r="Y385" s="1128" t="s">
        <v>3380</v>
      </c>
      <c r="Z385" s="1128" t="s">
        <v>3381</v>
      </c>
      <c r="AA385" s="1128" t="s">
        <v>3384</v>
      </c>
      <c r="AC385" s="73"/>
    </row>
    <row r="386" spans="1:29" s="20" customFormat="1">
      <c r="A386" s="327" t="str">
        <f>IF(AND($B386&lt;&gt;"",$C386&lt;&gt;""),MAX($A$4:A385)+1,"")</f>
        <v/>
      </c>
      <c r="B386" s="361" t="s">
        <v>1815</v>
      </c>
      <c r="C386" s="364"/>
      <c r="D386" s="327">
        <f>IF($B386="","",COUNTIF($B$6:$B386,$B386))</f>
        <v>2</v>
      </c>
      <c r="E386" s="361" t="s">
        <v>26</v>
      </c>
      <c r="F386" s="362" t="s">
        <v>83</v>
      </c>
      <c r="G386" s="327" t="s">
        <v>328</v>
      </c>
      <c r="H386" s="325"/>
      <c r="I386" s="327">
        <v>2</v>
      </c>
      <c r="J386" s="361" t="s">
        <v>80</v>
      </c>
      <c r="K386" s="327" t="s">
        <v>516</v>
      </c>
      <c r="L386" s="348">
        <f t="shared" si="29"/>
        <v>488418</v>
      </c>
      <c r="M386" s="355"/>
      <c r="N386" s="355" t="str">
        <f t="shared" si="28"/>
        <v>PR</v>
      </c>
      <c r="O386" s="345"/>
      <c r="P386" s="325"/>
      <c r="Q386" s="351"/>
      <c r="R386" s="351">
        <v>1.4</v>
      </c>
      <c r="S386" s="351">
        <v>5.8</v>
      </c>
      <c r="T386" s="351">
        <v>0.80200000000000005</v>
      </c>
      <c r="U386" s="329">
        <f>IF($N386=$N$4,IFERROR(INDEX(DanhMuc!$E$154:$E$165,MATCH(MID($B386,4,2),DanhMuc!$B$154:$B$165,0)),""),"")</f>
        <v>5700</v>
      </c>
      <c r="V386" s="325"/>
      <c r="W386" s="352" t="str">
        <f>+IF(AND($A386&lt;&gt;"",LEN($B386)&gt;=8,COUNTIF($B$6:$B386,$B386)=1),$W$5,"")</f>
        <v/>
      </c>
      <c r="X386" s="329" t="str">
        <f t="shared" si="30"/>
        <v>XF</v>
      </c>
      <c r="Y386" s="1128" t="s">
        <v>3380</v>
      </c>
      <c r="Z386" s="1128" t="s">
        <v>3381</v>
      </c>
      <c r="AA386" s="1128" t="s">
        <v>3384</v>
      </c>
      <c r="AC386" s="73"/>
    </row>
    <row r="387" spans="1:29" s="20" customFormat="1">
      <c r="A387" s="327" t="str">
        <f>IF(AND($B387&lt;&gt;"",$C387&lt;&gt;""),MAX($A$4:A386)+1,"")</f>
        <v/>
      </c>
      <c r="B387" s="361" t="s">
        <v>1815</v>
      </c>
      <c r="C387" s="364"/>
      <c r="D387" s="327">
        <f>IF($B387="","",COUNTIF($B$6:$B387,$B387))</f>
        <v>3</v>
      </c>
      <c r="E387" s="361" t="s">
        <v>976</v>
      </c>
      <c r="F387" s="362" t="s">
        <v>977</v>
      </c>
      <c r="G387" s="327" t="s">
        <v>328</v>
      </c>
      <c r="H387" s="325"/>
      <c r="I387" s="327">
        <v>2</v>
      </c>
      <c r="J387" s="361" t="s">
        <v>1817</v>
      </c>
      <c r="K387" s="327" t="s">
        <v>531</v>
      </c>
      <c r="L387" s="348">
        <f t="shared" si="29"/>
        <v>176610</v>
      </c>
      <c r="M387" s="355"/>
      <c r="N387" s="355" t="str">
        <f t="shared" si="28"/>
        <v>PR</v>
      </c>
      <c r="O387" s="345"/>
      <c r="P387" s="325"/>
      <c r="Q387" s="351"/>
      <c r="R387" s="351">
        <v>1.2</v>
      </c>
      <c r="S387" s="351">
        <v>5.8</v>
      </c>
      <c r="T387" s="351">
        <v>0.28999999999999998</v>
      </c>
      <c r="U387" s="329">
        <f>IF($N387=$N$4,IFERROR(INDEX(DanhMuc!$E$154:$E$165,MATCH(MID($B387,4,2),DanhMuc!$B$154:$B$165,0)),""),"")</f>
        <v>5700</v>
      </c>
      <c r="V387" s="325"/>
      <c r="W387" s="352" t="str">
        <f>+IF(AND($A387&lt;&gt;"",LEN($B387)&gt;=8,COUNTIF($B$6:$B387,$B387)=1),$W$5,"")</f>
        <v/>
      </c>
      <c r="X387" s="329" t="str">
        <f t="shared" si="30"/>
        <v>XF</v>
      </c>
      <c r="Y387" s="1128" t="s">
        <v>3380</v>
      </c>
      <c r="Z387" s="1128" t="s">
        <v>3381</v>
      </c>
      <c r="AA387" s="1128" t="s">
        <v>3384</v>
      </c>
      <c r="AC387" s="73"/>
    </row>
    <row r="388" spans="1:29" s="20" customFormat="1">
      <c r="A388" s="327" t="str">
        <f>IF(AND($B388&lt;&gt;"",$C388&lt;&gt;""),MAX($A$4:A387)+1,"")</f>
        <v/>
      </c>
      <c r="B388" s="361" t="s">
        <v>1815</v>
      </c>
      <c r="C388" s="364"/>
      <c r="D388" s="327">
        <f>IF($B388="","",COUNTIF($B$6:$B388,$B388))</f>
        <v>4</v>
      </c>
      <c r="E388" s="361" t="s">
        <v>974</v>
      </c>
      <c r="F388" s="362" t="s">
        <v>975</v>
      </c>
      <c r="G388" s="327" t="s">
        <v>329</v>
      </c>
      <c r="H388" s="325"/>
      <c r="I388" s="327" t="s">
        <v>1818</v>
      </c>
      <c r="J388" s="361" t="s">
        <v>1819</v>
      </c>
      <c r="K388" s="327" t="s">
        <v>531</v>
      </c>
      <c r="L388" s="348">
        <f t="shared" si="29"/>
        <v>193053</v>
      </c>
      <c r="M388" s="355"/>
      <c r="N388" s="355" t="str">
        <f t="shared" si="28"/>
        <v>PR</v>
      </c>
      <c r="O388" s="345"/>
      <c r="P388" s="325"/>
      <c r="Q388" s="351"/>
      <c r="R388" s="351">
        <v>1.2</v>
      </c>
      <c r="S388" s="351">
        <v>5.8</v>
      </c>
      <c r="T388" s="361">
        <v>0.317</v>
      </c>
      <c r="U388" s="329">
        <f>IF($N388=$N$4,IFERROR(INDEX(DanhMuc!$E$154:$E$165,MATCH(MID($B388,4,2),DanhMuc!$B$154:$B$165,0)),""),"")</f>
        <v>5700</v>
      </c>
      <c r="V388" s="325"/>
      <c r="W388" s="352" t="str">
        <f>+IF(AND($A388&lt;&gt;"",LEN($B388)&gt;=8,COUNTIF($B$6:$B388,$B388)=1),$W$5,"")</f>
        <v/>
      </c>
      <c r="X388" s="329" t="str">
        <f t="shared" si="30"/>
        <v>XF</v>
      </c>
      <c r="Y388" s="1128" t="s">
        <v>3380</v>
      </c>
      <c r="Z388" s="1128" t="s">
        <v>3381</v>
      </c>
      <c r="AA388" s="1128" t="s">
        <v>3384</v>
      </c>
      <c r="AC388" s="73"/>
    </row>
    <row r="389" spans="1:29" s="20" customFormat="1">
      <c r="A389" s="327" t="str">
        <f>IF(AND($B389&lt;&gt;"",$C389&lt;&gt;""),MAX($A$4:A380)+1,"")</f>
        <v/>
      </c>
      <c r="B389" s="361"/>
      <c r="C389" s="370"/>
      <c r="D389" s="327" t="str">
        <f>IF($B389="","",COUNTIF($B$6:$B389,$B389))</f>
        <v/>
      </c>
      <c r="E389" s="361"/>
      <c r="F389" s="362"/>
      <c r="G389" s="327"/>
      <c r="H389" s="325"/>
      <c r="I389" s="327"/>
      <c r="J389" s="361"/>
      <c r="K389" s="327"/>
      <c r="L389" s="348">
        <f t="shared" si="29"/>
        <v>0</v>
      </c>
      <c r="M389" s="355"/>
      <c r="N389" s="355" t="str">
        <f t="shared" si="28"/>
        <v>PR</v>
      </c>
      <c r="O389" s="345"/>
      <c r="P389" s="325"/>
      <c r="Q389" s="351"/>
      <c r="R389" s="351"/>
      <c r="S389" s="351"/>
      <c r="T389" s="351"/>
      <c r="U389" s="329" t="str">
        <f>IF($N389=$N$4,IFERROR(INDEX(DanhMuc!$E$154:$E$165,MATCH(MID($B389,4,2),DanhMuc!$B$154:$B$165,0)),""),"")</f>
        <v/>
      </c>
      <c r="V389" s="325"/>
      <c r="W389" s="352" t="str">
        <f>+IF(AND($A389&lt;&gt;"",LEN($B389)&gt;=8,COUNTIF($B$6:$B389,$B389)=1),$W$5,"")</f>
        <v/>
      </c>
      <c r="X389" s="329" t="str">
        <f t="shared" si="30"/>
        <v/>
      </c>
      <c r="Y389" s="1128" t="s">
        <v>3380</v>
      </c>
      <c r="Z389" s="1128" t="s">
        <v>3381</v>
      </c>
      <c r="AA389" s="1128" t="s">
        <v>3384</v>
      </c>
      <c r="AC389" s="73"/>
    </row>
    <row r="390" spans="1:29" s="20" customFormat="1">
      <c r="A390" s="327" t="str">
        <f>IF(AND($B390&lt;&gt;"",$C390&lt;&gt;""),MAX($A$4:A389)+1,"")</f>
        <v/>
      </c>
      <c r="B390" s="359"/>
      <c r="C390" s="370"/>
      <c r="D390" s="327" t="str">
        <f>IF($B390="","",COUNTIF($B$6:$B390,$B390))</f>
        <v/>
      </c>
      <c r="E390" s="363"/>
      <c r="F390" s="362"/>
      <c r="G390" s="327"/>
      <c r="H390" s="325"/>
      <c r="I390" s="327"/>
      <c r="J390" s="363"/>
      <c r="K390" s="327"/>
      <c r="L390" s="348">
        <f t="shared" si="29"/>
        <v>0</v>
      </c>
      <c r="M390" s="355"/>
      <c r="N390" s="355" t="str">
        <f t="shared" si="28"/>
        <v>PR</v>
      </c>
      <c r="O390" s="345"/>
      <c r="P390" s="325"/>
      <c r="Q390" s="351"/>
      <c r="R390" s="351"/>
      <c r="S390" s="351"/>
      <c r="T390" s="351"/>
      <c r="U390" s="329" t="str">
        <f>IF($N390=$N$4,IFERROR(INDEX(DanhMuc!$E$154:$E$165,MATCH(MID($B390,4,2),DanhMuc!$B$154:$B$165,0)),""),"")</f>
        <v/>
      </c>
      <c r="V390" s="325"/>
      <c r="W390" s="352" t="str">
        <f>+IF(AND($A390&lt;&gt;"",LEN($B390)&gt;=8,COUNTIF($B$6:$B390,$B390)=1),$W$5,"")</f>
        <v/>
      </c>
      <c r="X390" s="329" t="str">
        <f t="shared" si="30"/>
        <v/>
      </c>
      <c r="Y390" s="1128" t="s">
        <v>3380</v>
      </c>
      <c r="Z390" s="1128" t="s">
        <v>3381</v>
      </c>
      <c r="AA390" s="1128" t="s">
        <v>3384</v>
      </c>
      <c r="AC390" s="73"/>
    </row>
    <row r="391" spans="1:29" s="72" customFormat="1">
      <c r="A391" s="339"/>
      <c r="B391" s="338" t="s">
        <v>269</v>
      </c>
      <c r="C391" s="340" t="s">
        <v>1820</v>
      </c>
      <c r="D391" s="339"/>
      <c r="E391" s="339"/>
      <c r="F391" s="341"/>
      <c r="G391" s="339"/>
      <c r="H391" s="342"/>
      <c r="I391" s="339"/>
      <c r="J391" s="339"/>
      <c r="K391" s="339"/>
      <c r="L391" s="635">
        <v>84000</v>
      </c>
      <c r="M391" s="343"/>
      <c r="N391" s="343"/>
      <c r="O391" s="344"/>
      <c r="P391" s="342"/>
      <c r="Q391" s="342"/>
      <c r="R391" s="351"/>
      <c r="S391" s="351"/>
      <c r="T391" s="319" t="s">
        <v>507</v>
      </c>
      <c r="U391" s="329" t="str">
        <f>IF($N391=$N$4,IFERROR(INDEX(DanhMuc!$E$154:$E$165,MATCH(MID($B391,4,2),DanhMuc!$B$154:$B$165,0)),""),"")</f>
        <v/>
      </c>
      <c r="V391" s="342"/>
      <c r="W391" s="338"/>
      <c r="X391" s="329" t="str">
        <f t="shared" si="30"/>
        <v/>
      </c>
      <c r="Y391" s="1128" t="s">
        <v>3380</v>
      </c>
      <c r="Z391" s="1128" t="s">
        <v>3381</v>
      </c>
      <c r="AA391" s="1128" t="s">
        <v>3384</v>
      </c>
      <c r="AB391" s="20"/>
      <c r="AC391" s="73"/>
    </row>
    <row r="392" spans="1:29" s="20" customFormat="1" ht="39">
      <c r="A392" s="327">
        <f>IF(AND($B392&lt;&gt;"",$C392&lt;&gt;""),MAX($A$4:A391)+1,"")</f>
        <v>36</v>
      </c>
      <c r="B392" s="359" t="s">
        <v>1821</v>
      </c>
      <c r="C392" s="360" t="s">
        <v>1822</v>
      </c>
      <c r="D392" s="327">
        <f>IF($B392="","",COUNTIF($B$6:$B392,$B392))</f>
        <v>1</v>
      </c>
      <c r="E392" s="361" t="s">
        <v>2240</v>
      </c>
      <c r="F392" s="362" t="s">
        <v>347</v>
      </c>
      <c r="G392" s="327" t="s">
        <v>330</v>
      </c>
      <c r="H392" s="325"/>
      <c r="I392" s="327">
        <v>1</v>
      </c>
      <c r="J392" s="361" t="s">
        <v>81</v>
      </c>
      <c r="K392" s="327" t="s">
        <v>516</v>
      </c>
      <c r="L392" s="348">
        <f>+$T392*$L$391*$S392</f>
        <v>417480</v>
      </c>
      <c r="M392" s="355"/>
      <c r="N392" s="355" t="str">
        <f t="shared" ref="N392:N441" si="31">+$N$4</f>
        <v>PR</v>
      </c>
      <c r="O392" s="347"/>
      <c r="P392" s="325"/>
      <c r="Q392" s="351">
        <v>41</v>
      </c>
      <c r="R392" s="351">
        <v>1.2</v>
      </c>
      <c r="S392" s="351">
        <v>6</v>
      </c>
      <c r="T392" s="351">
        <v>0.82833333333333325</v>
      </c>
      <c r="U392" s="329">
        <f>IF($N392=$N$4,IFERROR(INDEX(DanhMuc!$E$154:$E$165,MATCH(MID($B392,4,2),DanhMuc!$B$154:$B$165,0)),""),"")</f>
        <v>6000</v>
      </c>
      <c r="V392" s="325"/>
      <c r="W392" s="352" t="str">
        <f>+IF(AND($A392&lt;&gt;"",LEN($B392)&gt;=8,COUNTIF($B$6:$B392,$B392)=1),$W$5,"")</f>
        <v>DMCua</v>
      </c>
      <c r="X392" s="329" t="str">
        <f t="shared" si="30"/>
        <v>XW</v>
      </c>
      <c r="Y392" s="1128" t="s">
        <v>3380</v>
      </c>
      <c r="Z392" s="1128" t="s">
        <v>3381</v>
      </c>
      <c r="AA392" s="1128" t="s">
        <v>3384</v>
      </c>
      <c r="AC392" s="73"/>
    </row>
    <row r="393" spans="1:29" s="20" customFormat="1">
      <c r="A393" s="327" t="str">
        <f>IF(AND($B393&lt;&gt;"",$C393&lt;&gt;""),MAX($A$4:A392)+1,"")</f>
        <v/>
      </c>
      <c r="B393" s="361" t="s">
        <v>1821</v>
      </c>
      <c r="C393" s="360"/>
      <c r="D393" s="327">
        <f>IF($B393="","",COUNTIF($B$6:$B393,$B393))</f>
        <v>2</v>
      </c>
      <c r="E393" s="363" t="s">
        <v>2240</v>
      </c>
      <c r="F393" s="362" t="s">
        <v>347</v>
      </c>
      <c r="G393" s="327" t="s">
        <v>328</v>
      </c>
      <c r="H393" s="325"/>
      <c r="I393" s="327">
        <v>2</v>
      </c>
      <c r="J393" s="363" t="s">
        <v>80</v>
      </c>
      <c r="K393" s="327" t="s">
        <v>1141</v>
      </c>
      <c r="L393" s="348">
        <f t="shared" ref="L393:L398" si="32">+$T393*$L$391*$S393</f>
        <v>417480</v>
      </c>
      <c r="M393" s="355"/>
      <c r="N393" s="355" t="str">
        <f t="shared" si="31"/>
        <v>PR</v>
      </c>
      <c r="O393" s="347"/>
      <c r="P393" s="325"/>
      <c r="Q393" s="351">
        <v>41</v>
      </c>
      <c r="R393" s="351">
        <v>1.2</v>
      </c>
      <c r="S393" s="351">
        <v>6</v>
      </c>
      <c r="T393" s="351">
        <v>0.82833333333333325</v>
      </c>
      <c r="U393" s="329">
        <f>IF($N393=$N$4,IFERROR(INDEX(DanhMuc!$E$154:$E$165,MATCH(MID($B393,4,2),DanhMuc!$B$154:$B$165,0)),""),"")</f>
        <v>6000</v>
      </c>
      <c r="V393" s="325"/>
      <c r="W393" s="352" t="str">
        <f>+IF(AND($A393&lt;&gt;"",LEN($B393)&gt;=8,COUNTIF($B$6:$B393,$B393)=1),$W$5,"")</f>
        <v/>
      </c>
      <c r="X393" s="329" t="str">
        <f t="shared" si="30"/>
        <v>XW</v>
      </c>
      <c r="Y393" s="1128" t="s">
        <v>3380</v>
      </c>
      <c r="Z393" s="1128" t="s">
        <v>3381</v>
      </c>
      <c r="AA393" s="1128" t="s">
        <v>3384</v>
      </c>
      <c r="AC393" s="73"/>
    </row>
    <row r="394" spans="1:29" s="20" customFormat="1">
      <c r="A394" s="327" t="str">
        <f>IF(AND($B394&lt;&gt;"",$C394&lt;&gt;""),MAX($A$4:A393)+1,"")</f>
        <v/>
      </c>
      <c r="B394" s="361" t="s">
        <v>1821</v>
      </c>
      <c r="C394" s="364"/>
      <c r="D394" s="327">
        <f>IF($B394="","",COUNTIF($B$6:$B394,$B394))</f>
        <v>3</v>
      </c>
      <c r="E394" s="361" t="s">
        <v>2241</v>
      </c>
      <c r="F394" s="362" t="s">
        <v>77</v>
      </c>
      <c r="G394" s="327" t="s">
        <v>329</v>
      </c>
      <c r="H394" s="325"/>
      <c r="I394" s="327">
        <v>2</v>
      </c>
      <c r="J394" s="361" t="s">
        <v>2832</v>
      </c>
      <c r="K394" s="327" t="s">
        <v>516</v>
      </c>
      <c r="L394" s="348">
        <f t="shared" si="32"/>
        <v>508200</v>
      </c>
      <c r="M394" s="355"/>
      <c r="N394" s="355" t="str">
        <f t="shared" si="31"/>
        <v>PR</v>
      </c>
      <c r="O394" s="345" t="s">
        <v>19</v>
      </c>
      <c r="P394" s="325"/>
      <c r="Q394" s="351"/>
      <c r="R394" s="351">
        <v>1.2</v>
      </c>
      <c r="S394" s="351">
        <v>6</v>
      </c>
      <c r="T394" s="351">
        <v>1.0083333333333333</v>
      </c>
      <c r="U394" s="329">
        <f>IF($N394=$N$4,IFERROR(INDEX(DanhMuc!$E$154:$E$165,MATCH(MID($B394,4,2),DanhMuc!$B$154:$B$165,0)),""),"")</f>
        <v>6000</v>
      </c>
      <c r="V394" s="325"/>
      <c r="W394" s="352" t="str">
        <f>+IF(AND($A394&lt;&gt;"",LEN($B394)&gt;=8,COUNTIF($B$6:$B394,$B394)=1),$W$5,"")</f>
        <v/>
      </c>
      <c r="X394" s="329" t="str">
        <f t="shared" si="30"/>
        <v>XW</v>
      </c>
      <c r="Y394" s="1128" t="s">
        <v>3380</v>
      </c>
      <c r="Z394" s="1128" t="s">
        <v>3381</v>
      </c>
      <c r="AA394" s="1128" t="s">
        <v>3384</v>
      </c>
      <c r="AC394" s="73"/>
    </row>
    <row r="395" spans="1:29" s="20" customFormat="1">
      <c r="A395" s="327" t="str">
        <f>IF(AND($B395&lt;&gt;"",$C395&lt;&gt;""),MAX($A$4:A394)+1,"")</f>
        <v/>
      </c>
      <c r="B395" s="361" t="s">
        <v>1821</v>
      </c>
      <c r="C395" s="364"/>
      <c r="D395" s="327">
        <f>IF($B395="","",COUNTIF($B$6:$B395,$B395))</f>
        <v>4</v>
      </c>
      <c r="E395" s="361" t="s">
        <v>2241</v>
      </c>
      <c r="F395" s="362" t="s">
        <v>77</v>
      </c>
      <c r="G395" s="327" t="s">
        <v>328</v>
      </c>
      <c r="H395" s="325"/>
      <c r="I395" s="327">
        <v>2</v>
      </c>
      <c r="J395" s="361" t="s">
        <v>648</v>
      </c>
      <c r="K395" s="327" t="s">
        <v>516</v>
      </c>
      <c r="L395" s="348">
        <f t="shared" si="32"/>
        <v>508200</v>
      </c>
      <c r="M395" s="355"/>
      <c r="N395" s="355" t="str">
        <f t="shared" si="31"/>
        <v>PR</v>
      </c>
      <c r="O395" s="345" t="s">
        <v>19</v>
      </c>
      <c r="P395" s="325"/>
      <c r="Q395" s="351"/>
      <c r="R395" s="351">
        <v>1.2</v>
      </c>
      <c r="S395" s="351">
        <v>6</v>
      </c>
      <c r="T395" s="351">
        <v>1.0083333333333333</v>
      </c>
      <c r="U395" s="329">
        <f>IF($N395=$N$4,IFERROR(INDEX(DanhMuc!$E$154:$E$165,MATCH(MID($B395,4,2),DanhMuc!$B$154:$B$165,0)),""),"")</f>
        <v>6000</v>
      </c>
      <c r="V395" s="325"/>
      <c r="W395" s="352" t="str">
        <f>+IF(AND($A395&lt;&gt;"",LEN($B395)&gt;=8,COUNTIF($B$6:$B395,$B395)=1),$W$5,"")</f>
        <v/>
      </c>
      <c r="X395" s="329" t="str">
        <f t="shared" si="30"/>
        <v>XW</v>
      </c>
      <c r="Y395" s="1128" t="s">
        <v>3380</v>
      </c>
      <c r="Z395" s="1128" t="s">
        <v>3381</v>
      </c>
      <c r="AA395" s="1128" t="s">
        <v>3384</v>
      </c>
      <c r="AC395" s="73"/>
    </row>
    <row r="396" spans="1:29" s="20" customFormat="1">
      <c r="A396" s="327" t="str">
        <f>IF(AND($B396&lt;&gt;"",$C396&lt;&gt;""),MAX($A$4:A395)+1,"")</f>
        <v/>
      </c>
      <c r="B396" s="361" t="s">
        <v>1821</v>
      </c>
      <c r="C396" s="364"/>
      <c r="D396" s="327">
        <f>IF($B396="","",COUNTIF($B$6:$B396,$B396))</f>
        <v>5</v>
      </c>
      <c r="E396" s="361" t="s">
        <v>2242</v>
      </c>
      <c r="F396" s="362" t="s">
        <v>78</v>
      </c>
      <c r="G396" s="327" t="s">
        <v>329</v>
      </c>
      <c r="H396" s="325"/>
      <c r="I396" s="327">
        <v>2</v>
      </c>
      <c r="J396" s="361" t="s">
        <v>2832</v>
      </c>
      <c r="K396" s="327" t="s">
        <v>516</v>
      </c>
      <c r="L396" s="348">
        <f t="shared" si="32"/>
        <v>508200</v>
      </c>
      <c r="M396" s="355"/>
      <c r="N396" s="355" t="str">
        <f t="shared" si="31"/>
        <v>PR</v>
      </c>
      <c r="O396" s="345" t="s">
        <v>16</v>
      </c>
      <c r="P396" s="325"/>
      <c r="Q396" s="351"/>
      <c r="R396" s="351">
        <v>1.2</v>
      </c>
      <c r="S396" s="351">
        <v>6</v>
      </c>
      <c r="T396" s="351">
        <v>1.0083333333333333</v>
      </c>
      <c r="U396" s="329">
        <f>IF($N396=$N$4,IFERROR(INDEX(DanhMuc!$E$154:$E$165,MATCH(MID($B396,4,2),DanhMuc!$B$154:$B$165,0)),""),"")</f>
        <v>6000</v>
      </c>
      <c r="V396" s="325"/>
      <c r="W396" s="352" t="str">
        <f>+IF(AND($A396&lt;&gt;"",LEN($B396)&gt;=8,COUNTIF($B$6:$B396,$B396)=1),$W$5,"")</f>
        <v/>
      </c>
      <c r="X396" s="329" t="str">
        <f t="shared" si="30"/>
        <v>XW</v>
      </c>
      <c r="Y396" s="1128" t="s">
        <v>3380</v>
      </c>
      <c r="Z396" s="1128" t="s">
        <v>3381</v>
      </c>
      <c r="AA396" s="1128" t="s">
        <v>3384</v>
      </c>
      <c r="AC396" s="73"/>
    </row>
    <row r="397" spans="1:29" s="20" customFormat="1">
      <c r="A397" s="327" t="str">
        <f>IF(AND($B397&lt;&gt;"",$C397&lt;&gt;""),MAX($A$4:A396)+1,"")</f>
        <v/>
      </c>
      <c r="B397" s="361" t="s">
        <v>1821</v>
      </c>
      <c r="C397" s="364"/>
      <c r="D397" s="327">
        <f>IF($B397="","",COUNTIF($B$6:$B397,$B397))</f>
        <v>6</v>
      </c>
      <c r="E397" s="361" t="s">
        <v>2242</v>
      </c>
      <c r="F397" s="362" t="s">
        <v>78</v>
      </c>
      <c r="G397" s="327" t="s">
        <v>328</v>
      </c>
      <c r="H397" s="325"/>
      <c r="I397" s="327">
        <v>2</v>
      </c>
      <c r="J397" s="361" t="s">
        <v>648</v>
      </c>
      <c r="K397" s="327" t="s">
        <v>516</v>
      </c>
      <c r="L397" s="348">
        <f t="shared" si="32"/>
        <v>508200</v>
      </c>
      <c r="M397" s="355"/>
      <c r="N397" s="355" t="str">
        <f t="shared" si="31"/>
        <v>PR</v>
      </c>
      <c r="O397" s="345" t="s">
        <v>16</v>
      </c>
      <c r="P397" s="325"/>
      <c r="Q397" s="351"/>
      <c r="R397" s="351">
        <v>1.2</v>
      </c>
      <c r="S397" s="351">
        <v>6</v>
      </c>
      <c r="T397" s="351">
        <v>1.0083333333333333</v>
      </c>
      <c r="U397" s="329">
        <f>IF($N397=$N$4,IFERROR(INDEX(DanhMuc!$E$154:$E$165,MATCH(MID($B397,4,2),DanhMuc!$B$154:$B$165,0)),""),"")</f>
        <v>6000</v>
      </c>
      <c r="V397" s="325"/>
      <c r="W397" s="352" t="str">
        <f>+IF(AND($A397&lt;&gt;"",LEN($B397)&gt;=8,COUNTIF($B$6:$B397,$B397)=1),$W$5,"")</f>
        <v/>
      </c>
      <c r="X397" s="329" t="str">
        <f t="shared" si="30"/>
        <v>XW</v>
      </c>
      <c r="Y397" s="1128" t="s">
        <v>3380</v>
      </c>
      <c r="Z397" s="1128" t="s">
        <v>3381</v>
      </c>
      <c r="AA397" s="1128" t="s">
        <v>3384</v>
      </c>
      <c r="AC397" s="73"/>
    </row>
    <row r="398" spans="1:29" s="22" customFormat="1">
      <c r="A398" s="327" t="str">
        <f>IF(AND($B398&lt;&gt;"",$C398&lt;&gt;""),MAX($A$4:A397)+1,"")</f>
        <v/>
      </c>
      <c r="B398" s="365" t="s">
        <v>1821</v>
      </c>
      <c r="C398" s="366"/>
      <c r="D398" s="367">
        <f>IF($B398="","",COUNTIF($B$6:$B398,$B398))</f>
        <v>7</v>
      </c>
      <c r="E398" s="365" t="s">
        <v>2243</v>
      </c>
      <c r="F398" s="368" t="s">
        <v>1904</v>
      </c>
      <c r="G398" s="367" t="s">
        <v>329</v>
      </c>
      <c r="H398" s="325"/>
      <c r="I398" s="367">
        <v>1</v>
      </c>
      <c r="J398" s="365" t="s">
        <v>2833</v>
      </c>
      <c r="K398" s="367" t="s">
        <v>531</v>
      </c>
      <c r="L398" s="348">
        <f t="shared" si="32"/>
        <v>249480.00000000006</v>
      </c>
      <c r="M398" s="369"/>
      <c r="N398" s="369" t="str">
        <f t="shared" si="31"/>
        <v>PR</v>
      </c>
      <c r="O398" s="347" t="s">
        <v>1475</v>
      </c>
      <c r="P398" s="329"/>
      <c r="Q398" s="367"/>
      <c r="R398" s="351">
        <v>1.8</v>
      </c>
      <c r="S398" s="351">
        <v>6</v>
      </c>
      <c r="T398" s="351">
        <v>0.49500000000000005</v>
      </c>
      <c r="U398" s="329">
        <f>IF($N398=$N$4,IFERROR(INDEX(DanhMuc!$E$154:$E$165,MATCH(MID($B398,4,2),DanhMuc!$B$154:$B$165,0)),""),"")</f>
        <v>6000</v>
      </c>
      <c r="V398" s="329"/>
      <c r="W398" s="352" t="str">
        <f>+IF(AND($A398&lt;&gt;"",LEN($B398)&gt;=8,COUNTIF($B$6:$B398,$B398)=1),$W$5,"")</f>
        <v/>
      </c>
      <c r="X398" s="329" t="str">
        <f t="shared" si="30"/>
        <v>XW</v>
      </c>
      <c r="Y398" s="1128" t="s">
        <v>3380</v>
      </c>
      <c r="Z398" s="1128" t="s">
        <v>3381</v>
      </c>
      <c r="AA398" s="1128" t="s">
        <v>3384</v>
      </c>
      <c r="AB398" s="20"/>
      <c r="AC398" s="73"/>
    </row>
    <row r="399" spans="1:29" s="22" customFormat="1">
      <c r="A399" s="327" t="str">
        <f>IF(AND($B399&lt;&gt;"",$C399&lt;&gt;""),MAX($A$4:A398)+1,"")</f>
        <v/>
      </c>
      <c r="B399" s="621" t="s">
        <v>1821</v>
      </c>
      <c r="C399" s="622"/>
      <c r="D399" s="623">
        <f>IF($B399="","",COUNTIF($B$6:$B399,$B399))</f>
        <v>8</v>
      </c>
      <c r="E399" s="621" t="s">
        <v>623</v>
      </c>
      <c r="F399" s="624" t="s">
        <v>865</v>
      </c>
      <c r="G399" s="623" t="s">
        <v>329</v>
      </c>
      <c r="H399" s="325"/>
      <c r="I399" s="367">
        <v>1</v>
      </c>
      <c r="J399" s="365" t="s">
        <v>867</v>
      </c>
      <c r="K399" s="367" t="s">
        <v>531</v>
      </c>
      <c r="L399" s="625">
        <f t="shared" ref="L399" si="33">+$T399*$S399*$L$37</f>
        <v>536931.81818181812</v>
      </c>
      <c r="M399" s="369"/>
      <c r="N399" s="369" t="str">
        <f t="shared" si="31"/>
        <v>PR</v>
      </c>
      <c r="O399" s="347" t="s">
        <v>1476</v>
      </c>
      <c r="P399" s="626"/>
      <c r="Q399" s="623"/>
      <c r="R399" s="627"/>
      <c r="S399" s="627">
        <v>5.8</v>
      </c>
      <c r="T399" s="627">
        <v>0.8816614420062695</v>
      </c>
      <c r="U399" s="1041">
        <v>5800</v>
      </c>
      <c r="V399" s="329"/>
      <c r="W399" s="352" t="str">
        <f>+IF(AND($A399&lt;&gt;"",LEN($B399)&gt;=8,COUNTIF($B$6:$B399,$B399)=1),$W$5,"")</f>
        <v/>
      </c>
      <c r="X399" s="329" t="str">
        <f t="shared" si="30"/>
        <v>XW</v>
      </c>
      <c r="Y399" s="1128" t="s">
        <v>3380</v>
      </c>
      <c r="Z399" s="1128" t="s">
        <v>3381</v>
      </c>
      <c r="AA399" s="1128" t="s">
        <v>3384</v>
      </c>
      <c r="AB399" s="20"/>
      <c r="AC399" s="73"/>
    </row>
    <row r="400" spans="1:29" s="20" customFormat="1">
      <c r="A400" s="327" t="str">
        <f>IF(AND($B400&lt;&gt;"",$C400&lt;&gt;""),MAX($A$4:A399)+1,"")</f>
        <v/>
      </c>
      <c r="B400" s="361" t="s">
        <v>1821</v>
      </c>
      <c r="C400" s="364"/>
      <c r="D400" s="327">
        <f>IF($B400="","",COUNTIF($B$6:$B400,$B400))</f>
        <v>9</v>
      </c>
      <c r="E400" s="361" t="s">
        <v>2244</v>
      </c>
      <c r="F400" s="362" t="s">
        <v>346</v>
      </c>
      <c r="G400" s="327" t="s">
        <v>329</v>
      </c>
      <c r="H400" s="325"/>
      <c r="I400" s="327">
        <v>2</v>
      </c>
      <c r="J400" s="361" t="s">
        <v>2834</v>
      </c>
      <c r="K400" s="327" t="s">
        <v>531</v>
      </c>
      <c r="L400" s="348">
        <f>+$T400*$L$391*$S400</f>
        <v>142800</v>
      </c>
      <c r="M400" s="355"/>
      <c r="N400" s="355" t="str">
        <f t="shared" si="31"/>
        <v>PR</v>
      </c>
      <c r="O400" s="347">
        <v>10</v>
      </c>
      <c r="P400" s="325"/>
      <c r="Q400" s="351"/>
      <c r="R400" s="351">
        <v>1.2</v>
      </c>
      <c r="S400" s="351">
        <v>6</v>
      </c>
      <c r="T400" s="351">
        <v>0.28333333333333333</v>
      </c>
      <c r="U400" s="329">
        <f>IF($N400=$N$4,IFERROR(INDEX(DanhMuc!$E$154:$E$165,MATCH(MID($B400,4,2),DanhMuc!$B$154:$B$165,0)),""),"")</f>
        <v>6000</v>
      </c>
      <c r="V400" s="325"/>
      <c r="W400" s="352" t="str">
        <f>+IF(AND($A400&lt;&gt;"",LEN($B400)&gt;=8,COUNTIF($B$6:$B400,$B400)=1),$W$5,"")</f>
        <v/>
      </c>
      <c r="X400" s="329" t="str">
        <f t="shared" si="30"/>
        <v>XW</v>
      </c>
      <c r="Y400" s="1128" t="s">
        <v>3380</v>
      </c>
      <c r="Z400" s="1128" t="s">
        <v>3381</v>
      </c>
      <c r="AA400" s="1128" t="s">
        <v>3384</v>
      </c>
      <c r="AC400" s="73"/>
    </row>
    <row r="401" spans="1:29" s="20" customFormat="1">
      <c r="A401" s="327" t="str">
        <f>IF(AND($B401&lt;&gt;"",$C401&lt;&gt;""),MAX($A$4:A400)+1,"")</f>
        <v/>
      </c>
      <c r="B401" s="361" t="s">
        <v>1821</v>
      </c>
      <c r="C401" s="364"/>
      <c r="D401" s="327">
        <f>IF($B401="","",COUNTIF($B$6:$B401,$B401))</f>
        <v>10</v>
      </c>
      <c r="E401" s="361" t="s">
        <v>2244</v>
      </c>
      <c r="F401" s="362" t="s">
        <v>346</v>
      </c>
      <c r="G401" s="327" t="s">
        <v>328</v>
      </c>
      <c r="H401" s="325"/>
      <c r="I401" s="327">
        <v>2</v>
      </c>
      <c r="J401" s="361" t="s">
        <v>703</v>
      </c>
      <c r="K401" s="327" t="s">
        <v>531</v>
      </c>
      <c r="L401" s="348">
        <f t="shared" ref="L401:L411" si="34">+$T401*$L$391*$S401</f>
        <v>142800</v>
      </c>
      <c r="M401" s="355"/>
      <c r="N401" s="355" t="str">
        <f t="shared" si="31"/>
        <v>PR</v>
      </c>
      <c r="O401" s="347">
        <v>10</v>
      </c>
      <c r="P401" s="325"/>
      <c r="Q401" s="351"/>
      <c r="R401" s="351">
        <v>1.2</v>
      </c>
      <c r="S401" s="351">
        <v>6</v>
      </c>
      <c r="T401" s="351">
        <v>0.28333333333333333</v>
      </c>
      <c r="U401" s="329">
        <f>IF($N401=$N$4,IFERROR(INDEX(DanhMuc!$E$154:$E$165,MATCH(MID($B401,4,2),DanhMuc!$B$154:$B$165,0)),""),"")</f>
        <v>6000</v>
      </c>
      <c r="V401" s="325"/>
      <c r="W401" s="352" t="str">
        <f>+IF(AND($A401&lt;&gt;"",LEN($B401)&gt;=8,COUNTIF($B$6:$B401,$B401)=1),$W$5,"")</f>
        <v/>
      </c>
      <c r="X401" s="329" t="str">
        <f t="shared" si="30"/>
        <v>XW</v>
      </c>
      <c r="Y401" s="1128" t="s">
        <v>3380</v>
      </c>
      <c r="Z401" s="1128" t="s">
        <v>3381</v>
      </c>
      <c r="AA401" s="1128" t="s">
        <v>3384</v>
      </c>
      <c r="AC401" s="73"/>
    </row>
    <row r="402" spans="1:29" s="20" customFormat="1">
      <c r="A402" s="327" t="str">
        <f>IF(AND($B402&lt;&gt;"",$C402&lt;&gt;""),MAX($A$4:A401)+1,"")</f>
        <v/>
      </c>
      <c r="B402" s="361" t="s">
        <v>1821</v>
      </c>
      <c r="C402" s="364"/>
      <c r="D402" s="327">
        <f>IF($B402="","",COUNTIF($B$6:$B402,$B402))</f>
        <v>11</v>
      </c>
      <c r="E402" s="361" t="s">
        <v>2245</v>
      </c>
      <c r="F402" s="362" t="s">
        <v>386</v>
      </c>
      <c r="G402" s="327" t="s">
        <v>329</v>
      </c>
      <c r="H402" s="325"/>
      <c r="I402" s="327">
        <v>2</v>
      </c>
      <c r="J402" s="361" t="s">
        <v>2834</v>
      </c>
      <c r="K402" s="327" t="s">
        <v>531</v>
      </c>
      <c r="L402" s="348">
        <f t="shared" si="34"/>
        <v>0</v>
      </c>
      <c r="M402" s="355"/>
      <c r="N402" s="355" t="str">
        <f t="shared" si="31"/>
        <v>PR</v>
      </c>
      <c r="O402" s="347">
        <v>19</v>
      </c>
      <c r="P402" s="325"/>
      <c r="Q402" s="351"/>
      <c r="R402" s="351">
        <v>1.2</v>
      </c>
      <c r="S402" s="351">
        <v>6</v>
      </c>
      <c r="T402" s="351">
        <v>0</v>
      </c>
      <c r="U402" s="329">
        <f>IF($N402=$N$4,IFERROR(INDEX(DanhMuc!$E$154:$E$165,MATCH(MID($B402,4,2),DanhMuc!$B$154:$B$165,0)),""),"")</f>
        <v>6000</v>
      </c>
      <c r="V402" s="325"/>
      <c r="W402" s="352" t="str">
        <f>+IF(AND($A402&lt;&gt;"",LEN($B402)&gt;=8,COUNTIF($B$6:$B402,$B402)=1),$W$5,"")</f>
        <v/>
      </c>
      <c r="X402" s="329" t="str">
        <f t="shared" si="30"/>
        <v>XW</v>
      </c>
      <c r="Y402" s="1128" t="s">
        <v>3380</v>
      </c>
      <c r="Z402" s="1128" t="s">
        <v>3381</v>
      </c>
      <c r="AA402" s="1128" t="s">
        <v>3384</v>
      </c>
      <c r="AC402" s="73"/>
    </row>
    <row r="403" spans="1:29" s="20" customFormat="1">
      <c r="A403" s="327" t="str">
        <f>IF(AND($B403&lt;&gt;"",$C403&lt;&gt;""),MAX($A$4:A402)+1,"")</f>
        <v/>
      </c>
      <c r="B403" s="361" t="s">
        <v>1821</v>
      </c>
      <c r="C403" s="364"/>
      <c r="D403" s="327">
        <f>IF($B403="","",COUNTIF($B$6:$B403,$B403))</f>
        <v>12</v>
      </c>
      <c r="E403" s="361" t="s">
        <v>2245</v>
      </c>
      <c r="F403" s="362" t="s">
        <v>386</v>
      </c>
      <c r="G403" s="327" t="s">
        <v>328</v>
      </c>
      <c r="H403" s="325"/>
      <c r="I403" s="327">
        <v>2</v>
      </c>
      <c r="J403" s="361" t="s">
        <v>703</v>
      </c>
      <c r="K403" s="327" t="s">
        <v>531</v>
      </c>
      <c r="L403" s="348">
        <f t="shared" si="34"/>
        <v>0</v>
      </c>
      <c r="M403" s="355"/>
      <c r="N403" s="355" t="str">
        <f t="shared" si="31"/>
        <v>PR</v>
      </c>
      <c r="O403" s="347">
        <v>19</v>
      </c>
      <c r="P403" s="325"/>
      <c r="Q403" s="351"/>
      <c r="R403" s="351">
        <v>1.2</v>
      </c>
      <c r="S403" s="351">
        <v>6</v>
      </c>
      <c r="T403" s="351">
        <v>0</v>
      </c>
      <c r="U403" s="329">
        <f>IF($N403=$N$4,IFERROR(INDEX(DanhMuc!$E$154:$E$165,MATCH(MID($B403,4,2),DanhMuc!$B$154:$B$165,0)),""),"")</f>
        <v>6000</v>
      </c>
      <c r="V403" s="325"/>
      <c r="W403" s="352" t="str">
        <f>+IF(AND($A403&lt;&gt;"",LEN($B403)&gt;=8,COUNTIF($B$6:$B403,$B403)=1),$W$5,"")</f>
        <v/>
      </c>
      <c r="X403" s="329" t="str">
        <f t="shared" si="30"/>
        <v>XW</v>
      </c>
      <c r="Y403" s="1128" t="s">
        <v>3380</v>
      </c>
      <c r="Z403" s="1128" t="s">
        <v>3381</v>
      </c>
      <c r="AA403" s="1128" t="s">
        <v>3384</v>
      </c>
      <c r="AC403" s="73"/>
    </row>
    <row r="404" spans="1:29" s="20" customFormat="1">
      <c r="A404" s="327" t="str">
        <f>IF(AND($B404&lt;&gt;"",$C404&lt;&gt;""),MAX($A$4:A403)+1,"")</f>
        <v/>
      </c>
      <c r="B404" s="361" t="s">
        <v>1821</v>
      </c>
      <c r="C404" s="364"/>
      <c r="D404" s="327">
        <f>IF($B404="","",COUNTIF($B$6:$B404,$B404))</f>
        <v>13</v>
      </c>
      <c r="E404" s="361" t="s">
        <v>2246</v>
      </c>
      <c r="F404" s="362" t="s">
        <v>631</v>
      </c>
      <c r="G404" s="327" t="s">
        <v>329</v>
      </c>
      <c r="H404" s="325"/>
      <c r="I404" s="327">
        <v>2</v>
      </c>
      <c r="J404" s="361" t="s">
        <v>2834</v>
      </c>
      <c r="K404" s="327" t="s">
        <v>531</v>
      </c>
      <c r="L404" s="348">
        <f t="shared" si="34"/>
        <v>117599.99999999997</v>
      </c>
      <c r="M404" s="355"/>
      <c r="N404" s="355" t="str">
        <f t="shared" si="31"/>
        <v>PR</v>
      </c>
      <c r="O404" s="347">
        <v>20</v>
      </c>
      <c r="P404" s="325"/>
      <c r="Q404" s="351"/>
      <c r="R404" s="351">
        <v>1.2</v>
      </c>
      <c r="S404" s="351">
        <v>6</v>
      </c>
      <c r="T404" s="351">
        <v>0.23333333333333331</v>
      </c>
      <c r="U404" s="329">
        <f>IF($N404=$N$4,IFERROR(INDEX(DanhMuc!$E$154:$E$165,MATCH(MID($B404,4,2),DanhMuc!$B$154:$B$165,0)),""),"")</f>
        <v>6000</v>
      </c>
      <c r="V404" s="325"/>
      <c r="W404" s="352" t="str">
        <f>+IF(AND($A404&lt;&gt;"",LEN($B404)&gt;=8,COUNTIF($B$6:$B404,$B404)=1),$W$5,"")</f>
        <v/>
      </c>
      <c r="X404" s="329" t="str">
        <f t="shared" si="30"/>
        <v>XW</v>
      </c>
      <c r="Y404" s="1128" t="s">
        <v>3380</v>
      </c>
      <c r="Z404" s="1128" t="s">
        <v>3381</v>
      </c>
      <c r="AA404" s="1128" t="s">
        <v>3384</v>
      </c>
      <c r="AC404" s="73"/>
    </row>
    <row r="405" spans="1:29" s="20" customFormat="1">
      <c r="A405" s="327" t="str">
        <f>IF(AND($B405&lt;&gt;"",$C405&lt;&gt;""),MAX($A$4:A404)+1,"")</f>
        <v/>
      </c>
      <c r="B405" s="361" t="s">
        <v>1821</v>
      </c>
      <c r="C405" s="364"/>
      <c r="D405" s="327">
        <f>IF($B405="","",COUNTIF($B$6:$B405,$B405))</f>
        <v>14</v>
      </c>
      <c r="E405" s="361" t="s">
        <v>2246</v>
      </c>
      <c r="F405" s="362" t="s">
        <v>631</v>
      </c>
      <c r="G405" s="327" t="s">
        <v>328</v>
      </c>
      <c r="H405" s="325"/>
      <c r="I405" s="327">
        <v>2</v>
      </c>
      <c r="J405" s="361" t="s">
        <v>703</v>
      </c>
      <c r="K405" s="327" t="s">
        <v>531</v>
      </c>
      <c r="L405" s="348">
        <f t="shared" si="34"/>
        <v>117599.99999999997</v>
      </c>
      <c r="M405" s="355"/>
      <c r="N405" s="355" t="str">
        <f t="shared" si="31"/>
        <v>PR</v>
      </c>
      <c r="O405" s="347">
        <v>20</v>
      </c>
      <c r="P405" s="325"/>
      <c r="Q405" s="351"/>
      <c r="R405" s="351">
        <v>1.2</v>
      </c>
      <c r="S405" s="351">
        <v>6</v>
      </c>
      <c r="T405" s="351">
        <v>0.23333333333333331</v>
      </c>
      <c r="U405" s="329">
        <f>IF($N405=$N$4,IFERROR(INDEX(DanhMuc!$E$154:$E$165,MATCH(MID($B405,4,2),DanhMuc!$B$154:$B$165,0)),""),"")</f>
        <v>6000</v>
      </c>
      <c r="V405" s="325"/>
      <c r="W405" s="352" t="str">
        <f>+IF(AND($A405&lt;&gt;"",LEN($B405)&gt;=8,COUNTIF($B$6:$B405,$B405)=1),$W$5,"")</f>
        <v/>
      </c>
      <c r="X405" s="329" t="str">
        <f t="shared" si="30"/>
        <v>XW</v>
      </c>
      <c r="Y405" s="1128" t="s">
        <v>3380</v>
      </c>
      <c r="Z405" s="1128" t="s">
        <v>3381</v>
      </c>
      <c r="AA405" s="1128" t="s">
        <v>3384</v>
      </c>
      <c r="AC405" s="73"/>
    </row>
    <row r="406" spans="1:29" s="20" customFormat="1" ht="39">
      <c r="A406" s="327">
        <f>IF(AND($B406&lt;&gt;"",$C406&lt;&gt;""),MAX($A$4:A405)+1,"")</f>
        <v>37</v>
      </c>
      <c r="B406" s="359" t="s">
        <v>1849</v>
      </c>
      <c r="C406" s="360" t="s">
        <v>1876</v>
      </c>
      <c r="D406" s="327">
        <f>IF($B406="","",COUNTIF($B$6:$B406,$B406))</f>
        <v>1</v>
      </c>
      <c r="E406" s="363" t="s">
        <v>2240</v>
      </c>
      <c r="F406" s="362" t="s">
        <v>347</v>
      </c>
      <c r="G406" s="327" t="s">
        <v>330</v>
      </c>
      <c r="H406" s="325"/>
      <c r="I406" s="327">
        <v>1</v>
      </c>
      <c r="J406" s="361" t="s">
        <v>81</v>
      </c>
      <c r="K406" s="327" t="s">
        <v>516</v>
      </c>
      <c r="L406" s="348">
        <f t="shared" si="34"/>
        <v>417480</v>
      </c>
      <c r="M406" s="355"/>
      <c r="N406" s="355" t="str">
        <f t="shared" si="31"/>
        <v>PR</v>
      </c>
      <c r="O406" s="345"/>
      <c r="P406" s="325"/>
      <c r="Q406" s="351">
        <v>41</v>
      </c>
      <c r="R406" s="351">
        <v>1.2</v>
      </c>
      <c r="S406" s="351">
        <v>6</v>
      </c>
      <c r="T406" s="351">
        <v>0.82833333333333325</v>
      </c>
      <c r="U406" s="329">
        <f>IF($N406=$N$4,IFERROR(INDEX(DanhMuc!$E$154:$E$165,MATCH(MID($B406,4,2),DanhMuc!$B$154:$B$165,0)),""),"")</f>
        <v>6000</v>
      </c>
      <c r="V406" s="325"/>
      <c r="W406" s="352" t="str">
        <f>+IF(AND($A406&lt;&gt;"",LEN($B406)&gt;=8,COUNTIF($B$6:$B406,$B406)=1),$W$5,"")</f>
        <v>DMCua</v>
      </c>
      <c r="X406" s="329" t="str">
        <f t="shared" si="30"/>
        <v>XW</v>
      </c>
      <c r="Y406" s="1128" t="s">
        <v>3380</v>
      </c>
      <c r="Z406" s="1128" t="s">
        <v>3381</v>
      </c>
      <c r="AA406" s="1128" t="s">
        <v>3384</v>
      </c>
      <c r="AC406" s="73"/>
    </row>
    <row r="407" spans="1:29" s="20" customFormat="1">
      <c r="A407" s="327" t="str">
        <f>IF(AND($B407&lt;&gt;"",$C407&lt;&gt;""),MAX($A$4:A406)+1,"")</f>
        <v/>
      </c>
      <c r="B407" s="361" t="s">
        <v>1849</v>
      </c>
      <c r="C407" s="364"/>
      <c r="D407" s="327">
        <f>IF($B407="","",COUNTIF($B$6:$B407,$B407))</f>
        <v>2</v>
      </c>
      <c r="E407" s="361" t="s">
        <v>2240</v>
      </c>
      <c r="F407" s="362" t="s">
        <v>347</v>
      </c>
      <c r="G407" s="327" t="s">
        <v>328</v>
      </c>
      <c r="H407" s="325"/>
      <c r="I407" s="327">
        <v>2</v>
      </c>
      <c r="J407" s="363" t="s">
        <v>80</v>
      </c>
      <c r="K407" s="327" t="s">
        <v>1141</v>
      </c>
      <c r="L407" s="348">
        <f t="shared" si="34"/>
        <v>417480</v>
      </c>
      <c r="M407" s="355"/>
      <c r="N407" s="355" t="str">
        <f t="shared" si="31"/>
        <v>PR</v>
      </c>
      <c r="O407" s="345"/>
      <c r="P407" s="325"/>
      <c r="Q407" s="351">
        <v>41</v>
      </c>
      <c r="R407" s="351">
        <v>1.2</v>
      </c>
      <c r="S407" s="351">
        <v>6</v>
      </c>
      <c r="T407" s="351">
        <v>0.82833333333333325</v>
      </c>
      <c r="U407" s="329">
        <f>IF($N407=$N$4,IFERROR(INDEX(DanhMuc!$E$154:$E$165,MATCH(MID($B407,4,2),DanhMuc!$B$154:$B$165,0)),""),"")</f>
        <v>6000</v>
      </c>
      <c r="V407" s="325"/>
      <c r="W407" s="352" t="str">
        <f>+IF(AND($A407&lt;&gt;"",LEN($B407)&gt;=8,COUNTIF($B$6:$B407,$B407)=1),$W$5,"")</f>
        <v/>
      </c>
      <c r="X407" s="329" t="str">
        <f t="shared" si="30"/>
        <v>XW</v>
      </c>
      <c r="Y407" s="1128" t="s">
        <v>3380</v>
      </c>
      <c r="Z407" s="1128" t="s">
        <v>3381</v>
      </c>
      <c r="AA407" s="1128" t="s">
        <v>3384</v>
      </c>
      <c r="AC407" s="73"/>
    </row>
    <row r="408" spans="1:29" s="20" customFormat="1">
      <c r="A408" s="327" t="str">
        <f>IF(AND($B408&lt;&gt;"",$C408&lt;&gt;""),MAX($A$4:A407)+1,"")</f>
        <v/>
      </c>
      <c r="B408" s="361" t="s">
        <v>1849</v>
      </c>
      <c r="C408" s="364"/>
      <c r="D408" s="327">
        <f>IF($B408="","",COUNTIF($B$6:$B408,$B408))</f>
        <v>3</v>
      </c>
      <c r="E408" s="361" t="s">
        <v>2241</v>
      </c>
      <c r="F408" s="362" t="s">
        <v>77</v>
      </c>
      <c r="G408" s="327" t="s">
        <v>329</v>
      </c>
      <c r="H408" s="325"/>
      <c r="I408" s="327">
        <v>4</v>
      </c>
      <c r="J408" s="361" t="s">
        <v>2835</v>
      </c>
      <c r="K408" s="327" t="s">
        <v>516</v>
      </c>
      <c r="L408" s="348">
        <f t="shared" si="34"/>
        <v>508200</v>
      </c>
      <c r="M408" s="355"/>
      <c r="N408" s="355" t="str">
        <f t="shared" si="31"/>
        <v>PR</v>
      </c>
      <c r="O408" s="345" t="s">
        <v>19</v>
      </c>
      <c r="P408" s="325"/>
      <c r="Q408" s="351"/>
      <c r="R408" s="351">
        <v>1.2</v>
      </c>
      <c r="S408" s="351">
        <v>6</v>
      </c>
      <c r="T408" s="351">
        <v>1.0083333333333333</v>
      </c>
      <c r="U408" s="329">
        <f>IF($N408=$N$4,IFERROR(INDEX(DanhMuc!$E$154:$E$165,MATCH(MID($B408,4,2),DanhMuc!$B$154:$B$165,0)),""),"")</f>
        <v>6000</v>
      </c>
      <c r="V408" s="325"/>
      <c r="W408" s="352" t="str">
        <f>+IF(AND($A408&lt;&gt;"",LEN($B408)&gt;=8,COUNTIF($B$6:$B408,$B408)=1),$W$5,"")</f>
        <v/>
      </c>
      <c r="X408" s="329" t="str">
        <f t="shared" si="30"/>
        <v>XW</v>
      </c>
      <c r="Y408" s="1128" t="s">
        <v>3380</v>
      </c>
      <c r="Z408" s="1128" t="s">
        <v>3381</v>
      </c>
      <c r="AA408" s="1128" t="s">
        <v>3384</v>
      </c>
      <c r="AC408" s="73"/>
    </row>
    <row r="409" spans="1:29" s="20" customFormat="1">
      <c r="A409" s="327" t="str">
        <f>IF(AND($B409&lt;&gt;"",$C409&lt;&gt;""),MAX($A$4:A408)+1,"")</f>
        <v/>
      </c>
      <c r="B409" s="361" t="s">
        <v>1849</v>
      </c>
      <c r="C409" s="364"/>
      <c r="D409" s="327">
        <f>IF($B409="","",COUNTIF($B$6:$B409,$B409))</f>
        <v>4</v>
      </c>
      <c r="E409" s="361" t="s">
        <v>2241</v>
      </c>
      <c r="F409" s="362" t="s">
        <v>77</v>
      </c>
      <c r="G409" s="327" t="s">
        <v>328</v>
      </c>
      <c r="H409" s="325"/>
      <c r="I409" s="327">
        <v>4</v>
      </c>
      <c r="J409" s="361" t="s">
        <v>648</v>
      </c>
      <c r="K409" s="327" t="s">
        <v>516</v>
      </c>
      <c r="L409" s="348">
        <f t="shared" si="34"/>
        <v>508200</v>
      </c>
      <c r="M409" s="355"/>
      <c r="N409" s="355" t="str">
        <f t="shared" si="31"/>
        <v>PR</v>
      </c>
      <c r="O409" s="345" t="s">
        <v>19</v>
      </c>
      <c r="P409" s="325"/>
      <c r="Q409" s="351"/>
      <c r="R409" s="351">
        <v>1.2</v>
      </c>
      <c r="S409" s="351">
        <v>6</v>
      </c>
      <c r="T409" s="351">
        <v>1.0083333333333333</v>
      </c>
      <c r="U409" s="329">
        <f>IF($N409=$N$4,IFERROR(INDEX(DanhMuc!$E$154:$E$165,MATCH(MID($B409,4,2),DanhMuc!$B$154:$B$165,0)),""),"")</f>
        <v>6000</v>
      </c>
      <c r="V409" s="325"/>
      <c r="W409" s="352" t="str">
        <f>+IF(AND($A409&lt;&gt;"",LEN($B409)&gt;=8,COUNTIF($B$6:$B409,$B409)=1),$W$5,"")</f>
        <v/>
      </c>
      <c r="X409" s="329" t="str">
        <f t="shared" si="30"/>
        <v>XW</v>
      </c>
      <c r="Y409" s="1128" t="s">
        <v>3380</v>
      </c>
      <c r="Z409" s="1128" t="s">
        <v>3381</v>
      </c>
      <c r="AA409" s="1128" t="s">
        <v>3384</v>
      </c>
      <c r="AC409" s="73"/>
    </row>
    <row r="410" spans="1:29" s="20" customFormat="1">
      <c r="A410" s="327" t="str">
        <f>IF(AND($B410&lt;&gt;"",$C410&lt;&gt;""),MAX($A$4:A409)+1,"")</f>
        <v/>
      </c>
      <c r="B410" s="361" t="s">
        <v>1849</v>
      </c>
      <c r="C410" s="364"/>
      <c r="D410" s="327">
        <f>IF($B410="","",COUNTIF($B$6:$B410,$B410))</f>
        <v>5</v>
      </c>
      <c r="E410" s="361" t="s">
        <v>2242</v>
      </c>
      <c r="F410" s="362" t="s">
        <v>78</v>
      </c>
      <c r="G410" s="327" t="s">
        <v>329</v>
      </c>
      <c r="H410" s="325"/>
      <c r="I410" s="327">
        <v>4</v>
      </c>
      <c r="J410" s="361" t="s">
        <v>2835</v>
      </c>
      <c r="K410" s="327" t="s">
        <v>516</v>
      </c>
      <c r="L410" s="348">
        <f t="shared" si="34"/>
        <v>508200</v>
      </c>
      <c r="M410" s="355"/>
      <c r="N410" s="355" t="str">
        <f t="shared" si="31"/>
        <v>PR</v>
      </c>
      <c r="O410" s="345" t="s">
        <v>16</v>
      </c>
      <c r="P410" s="325"/>
      <c r="Q410" s="351"/>
      <c r="R410" s="351">
        <v>1.2</v>
      </c>
      <c r="S410" s="351">
        <v>6</v>
      </c>
      <c r="T410" s="351">
        <v>1.0083333333333333</v>
      </c>
      <c r="U410" s="329">
        <f>IF($N410=$N$4,IFERROR(INDEX(DanhMuc!$E$154:$E$165,MATCH(MID($B410,4,2),DanhMuc!$B$154:$B$165,0)),""),"")</f>
        <v>6000</v>
      </c>
      <c r="V410" s="325"/>
      <c r="W410" s="352" t="str">
        <f>+IF(AND($A410&lt;&gt;"",LEN($B410)&gt;=8,COUNTIF($B$6:$B410,$B410)=1),$W$5,"")</f>
        <v/>
      </c>
      <c r="X410" s="329" t="str">
        <f t="shared" si="30"/>
        <v>XW</v>
      </c>
      <c r="Y410" s="1128" t="s">
        <v>3380</v>
      </c>
      <c r="Z410" s="1128" t="s">
        <v>3381</v>
      </c>
      <c r="AA410" s="1128" t="s">
        <v>3384</v>
      </c>
      <c r="AC410" s="73"/>
    </row>
    <row r="411" spans="1:29" s="20" customFormat="1">
      <c r="A411" s="327" t="str">
        <f>IF(AND($B411&lt;&gt;"",$C411&lt;&gt;""),MAX($A$4:A410)+1,"")</f>
        <v/>
      </c>
      <c r="B411" s="361" t="s">
        <v>1849</v>
      </c>
      <c r="C411" s="364"/>
      <c r="D411" s="327">
        <f>IF($B411="","",COUNTIF($B$6:$B411,$B411))</f>
        <v>6</v>
      </c>
      <c r="E411" s="361" t="s">
        <v>2242</v>
      </c>
      <c r="F411" s="362" t="s">
        <v>78</v>
      </c>
      <c r="G411" s="327" t="s">
        <v>328</v>
      </c>
      <c r="H411" s="325"/>
      <c r="I411" s="327">
        <v>4</v>
      </c>
      <c r="J411" s="361" t="s">
        <v>648</v>
      </c>
      <c r="K411" s="327" t="s">
        <v>516</v>
      </c>
      <c r="L411" s="348">
        <f t="shared" si="34"/>
        <v>508200</v>
      </c>
      <c r="M411" s="355"/>
      <c r="N411" s="355" t="str">
        <f t="shared" si="31"/>
        <v>PR</v>
      </c>
      <c r="O411" s="345" t="s">
        <v>16</v>
      </c>
      <c r="P411" s="325"/>
      <c r="Q411" s="351"/>
      <c r="R411" s="351">
        <v>1.2</v>
      </c>
      <c r="S411" s="351">
        <v>6</v>
      </c>
      <c r="T411" s="351">
        <v>1.0083333333333333</v>
      </c>
      <c r="U411" s="329">
        <f>IF($N411=$N$4,IFERROR(INDEX(DanhMuc!$E$154:$E$165,MATCH(MID($B411,4,2),DanhMuc!$B$154:$B$165,0)),""),"")</f>
        <v>6000</v>
      </c>
      <c r="V411" s="325"/>
      <c r="W411" s="352" t="str">
        <f>+IF(AND($A411&lt;&gt;"",LEN($B411)&gt;=8,COUNTIF($B$6:$B411,$B411)=1),$W$5,"")</f>
        <v/>
      </c>
      <c r="X411" s="329" t="str">
        <f t="shared" si="30"/>
        <v>XW</v>
      </c>
      <c r="Y411" s="1128" t="s">
        <v>3380</v>
      </c>
      <c r="Z411" s="1128" t="s">
        <v>3381</v>
      </c>
      <c r="AA411" s="1128" t="s">
        <v>3384</v>
      </c>
      <c r="AC411" s="73"/>
    </row>
    <row r="412" spans="1:29" s="22" customFormat="1">
      <c r="A412" s="327" t="str">
        <f>IF(AND($B412&lt;&gt;"",$C412&lt;&gt;""),MAX($A$4:A411)+1,"")</f>
        <v/>
      </c>
      <c r="B412" s="361" t="s">
        <v>1849</v>
      </c>
      <c r="C412" s="366"/>
      <c r="D412" s="367">
        <f>IF($B412="","",COUNTIF($B$6:$B412,$B412))</f>
        <v>7</v>
      </c>
      <c r="E412" s="365" t="s">
        <v>2243</v>
      </c>
      <c r="F412" s="368" t="s">
        <v>1904</v>
      </c>
      <c r="G412" s="367" t="s">
        <v>329</v>
      </c>
      <c r="H412" s="325"/>
      <c r="I412" s="367">
        <v>2</v>
      </c>
      <c r="J412" s="365" t="s">
        <v>2818</v>
      </c>
      <c r="K412" s="367" t="s">
        <v>531</v>
      </c>
      <c r="L412" s="348">
        <f t="shared" ref="L412" si="35">+$T412*$L$391*$S412</f>
        <v>249480.00000000006</v>
      </c>
      <c r="M412" s="369"/>
      <c r="N412" s="369" t="str">
        <f t="shared" si="31"/>
        <v>PR</v>
      </c>
      <c r="O412" s="347" t="s">
        <v>1475</v>
      </c>
      <c r="P412" s="329"/>
      <c r="Q412" s="367"/>
      <c r="R412" s="351">
        <v>1.8</v>
      </c>
      <c r="S412" s="351">
        <v>6</v>
      </c>
      <c r="T412" s="351">
        <v>0.49500000000000005</v>
      </c>
      <c r="U412" s="329">
        <f>IF($N412=$N$4,IFERROR(INDEX(DanhMuc!$E$154:$E$165,MATCH(MID($B412,4,2),DanhMuc!$B$154:$B$165,0)),""),"")</f>
        <v>6000</v>
      </c>
      <c r="V412" s="329"/>
      <c r="W412" s="352" t="str">
        <f>+IF(AND($A412&lt;&gt;"",LEN($B412)&gt;=8,COUNTIF($B$6:$B412,$B412)=1),$W$5,"")</f>
        <v/>
      </c>
      <c r="X412" s="329" t="str">
        <f t="shared" si="30"/>
        <v>XW</v>
      </c>
      <c r="Y412" s="1128" t="s">
        <v>3380</v>
      </c>
      <c r="Z412" s="1128" t="s">
        <v>3381</v>
      </c>
      <c r="AA412" s="1128" t="s">
        <v>3384</v>
      </c>
      <c r="AB412" s="20"/>
      <c r="AC412" s="73"/>
    </row>
    <row r="413" spans="1:29" s="22" customFormat="1">
      <c r="A413" s="327" t="str">
        <f>IF(AND($B413&lt;&gt;"",$C413&lt;&gt;""),MAX($A$4:A412)+1,"")</f>
        <v/>
      </c>
      <c r="B413" s="628" t="s">
        <v>1849</v>
      </c>
      <c r="C413" s="622"/>
      <c r="D413" s="623">
        <f>IF($B413="","",COUNTIF($B$6:$B413,$B413))</f>
        <v>8</v>
      </c>
      <c r="E413" s="621" t="s">
        <v>623</v>
      </c>
      <c r="F413" s="624" t="s">
        <v>865</v>
      </c>
      <c r="G413" s="623" t="s">
        <v>329</v>
      </c>
      <c r="H413" s="325"/>
      <c r="I413" s="367">
        <v>1</v>
      </c>
      <c r="J413" s="365" t="s">
        <v>867</v>
      </c>
      <c r="K413" s="367" t="s">
        <v>531</v>
      </c>
      <c r="L413" s="625">
        <f t="shared" ref="L413" si="36">+$T413*$S413*$L$37</f>
        <v>536931.81818181812</v>
      </c>
      <c r="M413" s="369"/>
      <c r="N413" s="369" t="str">
        <f t="shared" si="31"/>
        <v>PR</v>
      </c>
      <c r="O413" s="347" t="s">
        <v>1476</v>
      </c>
      <c r="P413" s="626"/>
      <c r="Q413" s="623"/>
      <c r="R413" s="627"/>
      <c r="S413" s="627">
        <v>5.8</v>
      </c>
      <c r="T413" s="627">
        <v>0.8816614420062695</v>
      </c>
      <c r="U413" s="1041">
        <v>5800</v>
      </c>
      <c r="V413" s="329"/>
      <c r="W413" s="352" t="str">
        <f>+IF(AND($A413&lt;&gt;"",LEN($B413)&gt;=8,COUNTIF($B$6:$B413,$B413)=1),$W$5,"")</f>
        <v/>
      </c>
      <c r="X413" s="329" t="str">
        <f t="shared" si="30"/>
        <v>XW</v>
      </c>
      <c r="Y413" s="1128" t="s">
        <v>3380</v>
      </c>
      <c r="Z413" s="1128" t="s">
        <v>3381</v>
      </c>
      <c r="AA413" s="1128" t="s">
        <v>3384</v>
      </c>
      <c r="AB413" s="20"/>
      <c r="AC413" s="73"/>
    </row>
    <row r="414" spans="1:29" s="20" customFormat="1">
      <c r="A414" s="327" t="str">
        <f>IF(AND($B414&lt;&gt;"",$C414&lt;&gt;""),MAX($A$4:A413)+1,"")</f>
        <v/>
      </c>
      <c r="B414" s="361" t="s">
        <v>1849</v>
      </c>
      <c r="C414" s="364"/>
      <c r="D414" s="327">
        <f>IF($B414="","",COUNTIF($B$6:$B414,$B414))</f>
        <v>9</v>
      </c>
      <c r="E414" s="361" t="s">
        <v>2247</v>
      </c>
      <c r="F414" s="362" t="s">
        <v>1905</v>
      </c>
      <c r="G414" s="327" t="s">
        <v>328</v>
      </c>
      <c r="H414" s="325"/>
      <c r="I414" s="327">
        <v>1</v>
      </c>
      <c r="J414" s="361" t="s">
        <v>2667</v>
      </c>
      <c r="K414" s="327" t="s">
        <v>531</v>
      </c>
      <c r="L414" s="348">
        <f t="shared" ref="L414:L427" si="37">+$T414*$L$391*$S414</f>
        <v>397320.00000000012</v>
      </c>
      <c r="M414" s="355"/>
      <c r="N414" s="355" t="str">
        <f t="shared" si="31"/>
        <v>PR</v>
      </c>
      <c r="O414" s="345"/>
      <c r="P414" s="325"/>
      <c r="Q414" s="351"/>
      <c r="R414" s="351">
        <v>1.2</v>
      </c>
      <c r="S414" s="351">
        <v>6</v>
      </c>
      <c r="T414" s="351">
        <v>0.78833333333333344</v>
      </c>
      <c r="U414" s="329">
        <f>IF($N414=$N$4,IFERROR(INDEX(DanhMuc!$E$154:$E$165,MATCH(MID($B414,4,2),DanhMuc!$B$154:$B$165,0)),""),"")</f>
        <v>6000</v>
      </c>
      <c r="V414" s="325"/>
      <c r="W414" s="352" t="str">
        <f>+IF(AND($A414&lt;&gt;"",LEN($B414)&gt;=8,COUNTIF($B$6:$B414,$B414)=1),$W$5,"")</f>
        <v/>
      </c>
      <c r="X414" s="329" t="str">
        <f t="shared" si="30"/>
        <v>XW</v>
      </c>
      <c r="Y414" s="1128" t="s">
        <v>3380</v>
      </c>
      <c r="Z414" s="1128" t="s">
        <v>3381</v>
      </c>
      <c r="AA414" s="1128" t="s">
        <v>3384</v>
      </c>
      <c r="AC414" s="73"/>
    </row>
    <row r="415" spans="1:29" s="20" customFormat="1">
      <c r="A415" s="327" t="str">
        <f>IF(AND($B415&lt;&gt;"",$C415&lt;&gt;""),MAX($A$4:A414)+1,"")</f>
        <v/>
      </c>
      <c r="B415" s="361" t="s">
        <v>1849</v>
      </c>
      <c r="C415" s="364"/>
      <c r="D415" s="327">
        <f>IF($B415="","",COUNTIF($B$6:$B415,$B415))</f>
        <v>10</v>
      </c>
      <c r="E415" s="361" t="s">
        <v>2244</v>
      </c>
      <c r="F415" s="362" t="s">
        <v>346</v>
      </c>
      <c r="G415" s="327" t="s">
        <v>329</v>
      </c>
      <c r="H415" s="325"/>
      <c r="I415" s="327">
        <v>4</v>
      </c>
      <c r="J415" s="361" t="s">
        <v>2836</v>
      </c>
      <c r="K415" s="327" t="s">
        <v>531</v>
      </c>
      <c r="L415" s="348">
        <f t="shared" si="37"/>
        <v>142800</v>
      </c>
      <c r="M415" s="355"/>
      <c r="N415" s="355" t="str">
        <f t="shared" si="31"/>
        <v>PR</v>
      </c>
      <c r="O415" s="347">
        <v>10</v>
      </c>
      <c r="P415" s="325"/>
      <c r="Q415" s="351"/>
      <c r="R415" s="351">
        <v>1.2</v>
      </c>
      <c r="S415" s="351">
        <v>6</v>
      </c>
      <c r="T415" s="351">
        <v>0.28333333333333333</v>
      </c>
      <c r="U415" s="329">
        <f>IF($N415=$N$4,IFERROR(INDEX(DanhMuc!$E$154:$E$165,MATCH(MID($B415,4,2),DanhMuc!$B$154:$B$165,0)),""),"")</f>
        <v>6000</v>
      </c>
      <c r="V415" s="325"/>
      <c r="W415" s="352" t="str">
        <f>+IF(AND($A415&lt;&gt;"",LEN($B415)&gt;=8,COUNTIF($B$6:$B415,$B415)=1),$W$5,"")</f>
        <v/>
      </c>
      <c r="X415" s="329" t="str">
        <f t="shared" si="30"/>
        <v>XW</v>
      </c>
      <c r="Y415" s="1128" t="s">
        <v>3380</v>
      </c>
      <c r="Z415" s="1128" t="s">
        <v>3381</v>
      </c>
      <c r="AA415" s="1128" t="s">
        <v>3384</v>
      </c>
      <c r="AC415" s="73"/>
    </row>
    <row r="416" spans="1:29" s="20" customFormat="1">
      <c r="A416" s="327" t="str">
        <f>IF(AND($B416&lt;&gt;"",$C416&lt;&gt;""),MAX($A$4:A415)+1,"")</f>
        <v/>
      </c>
      <c r="B416" s="361" t="s">
        <v>1849</v>
      </c>
      <c r="C416" s="364"/>
      <c r="D416" s="327">
        <f>IF($B416="","",COUNTIF($B$6:$B416,$B416))</f>
        <v>11</v>
      </c>
      <c r="E416" s="361" t="s">
        <v>2244</v>
      </c>
      <c r="F416" s="362" t="s">
        <v>346</v>
      </c>
      <c r="G416" s="327" t="s">
        <v>328</v>
      </c>
      <c r="H416" s="325"/>
      <c r="I416" s="327">
        <v>4</v>
      </c>
      <c r="J416" s="361" t="s">
        <v>703</v>
      </c>
      <c r="K416" s="327" t="s">
        <v>531</v>
      </c>
      <c r="L416" s="348">
        <f t="shared" si="37"/>
        <v>142800</v>
      </c>
      <c r="M416" s="355"/>
      <c r="N416" s="355" t="str">
        <f t="shared" si="31"/>
        <v>PR</v>
      </c>
      <c r="O416" s="347">
        <v>10</v>
      </c>
      <c r="P416" s="325"/>
      <c r="Q416" s="351"/>
      <c r="R416" s="351">
        <v>1.2</v>
      </c>
      <c r="S416" s="351">
        <v>6</v>
      </c>
      <c r="T416" s="351">
        <v>0.28333333333333333</v>
      </c>
      <c r="U416" s="329">
        <f>IF($N416=$N$4,IFERROR(INDEX(DanhMuc!$E$154:$E$165,MATCH(MID($B416,4,2),DanhMuc!$B$154:$B$165,0)),""),"")</f>
        <v>6000</v>
      </c>
      <c r="V416" s="325"/>
      <c r="W416" s="352" t="str">
        <f>+IF(AND($A416&lt;&gt;"",LEN($B416)&gt;=8,COUNTIF($B$6:$B416,$B416)=1),$W$5,"")</f>
        <v/>
      </c>
      <c r="X416" s="329" t="str">
        <f t="shared" si="30"/>
        <v>XW</v>
      </c>
      <c r="Y416" s="1128" t="s">
        <v>3380</v>
      </c>
      <c r="Z416" s="1128" t="s">
        <v>3381</v>
      </c>
      <c r="AA416" s="1128" t="s">
        <v>3384</v>
      </c>
      <c r="AC416" s="73"/>
    </row>
    <row r="417" spans="1:29" s="20" customFormat="1">
      <c r="A417" s="327" t="str">
        <f>IF(AND($B417&lt;&gt;"",$C417&lt;&gt;""),MAX($A$4:A416)+1,"")</f>
        <v/>
      </c>
      <c r="B417" s="361" t="s">
        <v>1849</v>
      </c>
      <c r="C417" s="364"/>
      <c r="D417" s="327">
        <f>IF($B417="","",COUNTIF($B$6:$B417,$B417))</f>
        <v>12</v>
      </c>
      <c r="E417" s="361" t="s">
        <v>2245</v>
      </c>
      <c r="F417" s="362" t="s">
        <v>386</v>
      </c>
      <c r="G417" s="327" t="s">
        <v>329</v>
      </c>
      <c r="H417" s="325"/>
      <c r="I417" s="327">
        <v>4</v>
      </c>
      <c r="J417" s="361" t="s">
        <v>2836</v>
      </c>
      <c r="K417" s="327" t="s">
        <v>531</v>
      </c>
      <c r="L417" s="348">
        <f t="shared" si="37"/>
        <v>0</v>
      </c>
      <c r="M417" s="355"/>
      <c r="N417" s="355" t="str">
        <f t="shared" si="31"/>
        <v>PR</v>
      </c>
      <c r="O417" s="347">
        <v>19</v>
      </c>
      <c r="P417" s="325"/>
      <c r="Q417" s="351"/>
      <c r="R417" s="351">
        <v>1.2</v>
      </c>
      <c r="S417" s="351">
        <v>6</v>
      </c>
      <c r="T417" s="351">
        <v>0</v>
      </c>
      <c r="U417" s="329">
        <f>IF($N417=$N$4,IFERROR(INDEX(DanhMuc!$E$154:$E$165,MATCH(MID($B417,4,2),DanhMuc!$B$154:$B$165,0)),""),"")</f>
        <v>6000</v>
      </c>
      <c r="V417" s="325"/>
      <c r="W417" s="352" t="str">
        <f>+IF(AND($A417&lt;&gt;"",LEN($B417)&gt;=8,COUNTIF($B$6:$B417,$B417)=1),$W$5,"")</f>
        <v/>
      </c>
      <c r="X417" s="329" t="str">
        <f t="shared" si="30"/>
        <v>XW</v>
      </c>
      <c r="Y417" s="1128" t="s">
        <v>3380</v>
      </c>
      <c r="Z417" s="1128" t="s">
        <v>3381</v>
      </c>
      <c r="AA417" s="1128" t="s">
        <v>3384</v>
      </c>
      <c r="AC417" s="73"/>
    </row>
    <row r="418" spans="1:29" s="20" customFormat="1">
      <c r="A418" s="327" t="str">
        <f>IF(AND($B418&lt;&gt;"",$C418&lt;&gt;""),MAX($A$4:A417)+1,"")</f>
        <v/>
      </c>
      <c r="B418" s="361" t="s">
        <v>1849</v>
      </c>
      <c r="C418" s="364"/>
      <c r="D418" s="327">
        <f>IF($B418="","",COUNTIF($B$6:$B418,$B418))</f>
        <v>13</v>
      </c>
      <c r="E418" s="361" t="s">
        <v>2245</v>
      </c>
      <c r="F418" s="362" t="s">
        <v>386</v>
      </c>
      <c r="G418" s="327" t="s">
        <v>328</v>
      </c>
      <c r="H418" s="325"/>
      <c r="I418" s="327">
        <v>4</v>
      </c>
      <c r="J418" s="361" t="s">
        <v>703</v>
      </c>
      <c r="K418" s="327" t="s">
        <v>531</v>
      </c>
      <c r="L418" s="348">
        <f t="shared" si="37"/>
        <v>0</v>
      </c>
      <c r="M418" s="355"/>
      <c r="N418" s="355" t="str">
        <f t="shared" si="31"/>
        <v>PR</v>
      </c>
      <c r="O418" s="347">
        <v>19</v>
      </c>
      <c r="P418" s="325"/>
      <c r="Q418" s="351"/>
      <c r="R418" s="351">
        <v>1.2</v>
      </c>
      <c r="S418" s="351">
        <v>6</v>
      </c>
      <c r="T418" s="351">
        <v>0</v>
      </c>
      <c r="U418" s="329">
        <f>IF($N418=$N$4,IFERROR(INDEX(DanhMuc!$E$154:$E$165,MATCH(MID($B418,4,2),DanhMuc!$B$154:$B$165,0)),""),"")</f>
        <v>6000</v>
      </c>
      <c r="V418" s="325"/>
      <c r="W418" s="352" t="str">
        <f>+IF(AND($A418&lt;&gt;"",LEN($B418)&gt;=8,COUNTIF($B$6:$B418,$B418)=1),$W$5,"")</f>
        <v/>
      </c>
      <c r="X418" s="329" t="str">
        <f t="shared" si="30"/>
        <v>XW</v>
      </c>
      <c r="Y418" s="1128" t="s">
        <v>3380</v>
      </c>
      <c r="Z418" s="1128" t="s">
        <v>3381</v>
      </c>
      <c r="AA418" s="1128" t="s">
        <v>3384</v>
      </c>
      <c r="AC418" s="73"/>
    </row>
    <row r="419" spans="1:29" s="20" customFormat="1">
      <c r="A419" s="327" t="str">
        <f>IF(AND($B419&lt;&gt;"",$C419&lt;&gt;""),MAX($A$4:A418)+1,"")</f>
        <v/>
      </c>
      <c r="B419" s="361" t="s">
        <v>1849</v>
      </c>
      <c r="C419" s="364"/>
      <c r="D419" s="327">
        <f>IF($B419="","",COUNTIF($B$6:$B419,$B419))</f>
        <v>14</v>
      </c>
      <c r="E419" s="361" t="s">
        <v>2246</v>
      </c>
      <c r="F419" s="362" t="s">
        <v>631</v>
      </c>
      <c r="G419" s="327" t="s">
        <v>329</v>
      </c>
      <c r="H419" s="325"/>
      <c r="I419" s="327">
        <v>4</v>
      </c>
      <c r="J419" s="361" t="s">
        <v>2836</v>
      </c>
      <c r="K419" s="327" t="s">
        <v>531</v>
      </c>
      <c r="L419" s="348">
        <f t="shared" si="37"/>
        <v>117599.99999999997</v>
      </c>
      <c r="M419" s="355"/>
      <c r="N419" s="355" t="str">
        <f t="shared" si="31"/>
        <v>PR</v>
      </c>
      <c r="O419" s="347">
        <v>20</v>
      </c>
      <c r="P419" s="325"/>
      <c r="Q419" s="351"/>
      <c r="R419" s="351">
        <v>1.2</v>
      </c>
      <c r="S419" s="351">
        <v>6</v>
      </c>
      <c r="T419" s="351">
        <v>0.23333333333333331</v>
      </c>
      <c r="U419" s="329">
        <f>IF($N419=$N$4,IFERROR(INDEX(DanhMuc!$E$154:$E$165,MATCH(MID($B419,4,2),DanhMuc!$B$154:$B$165,0)),""),"")</f>
        <v>6000</v>
      </c>
      <c r="V419" s="325"/>
      <c r="W419" s="352" t="str">
        <f>+IF(AND($A419&lt;&gt;"",LEN($B419)&gt;=8,COUNTIF($B$6:$B419,$B419)=1),$W$5,"")</f>
        <v/>
      </c>
      <c r="X419" s="329" t="str">
        <f t="shared" si="30"/>
        <v>XW</v>
      </c>
      <c r="Y419" s="1128" t="s">
        <v>3380</v>
      </c>
      <c r="Z419" s="1128" t="s">
        <v>3381</v>
      </c>
      <c r="AA419" s="1128" t="s">
        <v>3384</v>
      </c>
      <c r="AC419" s="73"/>
    </row>
    <row r="420" spans="1:29" s="20" customFormat="1">
      <c r="A420" s="327" t="str">
        <f>IF(AND($B420&lt;&gt;"",$C420&lt;&gt;""),MAX($A$4:A419)+1,"")</f>
        <v/>
      </c>
      <c r="B420" s="361" t="s">
        <v>1849</v>
      </c>
      <c r="C420" s="364"/>
      <c r="D420" s="327">
        <f>IF($B420="","",COUNTIF($B$6:$B420,$B420))</f>
        <v>15</v>
      </c>
      <c r="E420" s="361" t="s">
        <v>2246</v>
      </c>
      <c r="F420" s="362" t="s">
        <v>631</v>
      </c>
      <c r="G420" s="327" t="s">
        <v>328</v>
      </c>
      <c r="H420" s="325"/>
      <c r="I420" s="327">
        <v>4</v>
      </c>
      <c r="J420" s="361" t="s">
        <v>703</v>
      </c>
      <c r="K420" s="327" t="s">
        <v>531</v>
      </c>
      <c r="L420" s="348">
        <f t="shared" si="37"/>
        <v>117599.99999999997</v>
      </c>
      <c r="M420" s="355"/>
      <c r="N420" s="355" t="str">
        <f t="shared" si="31"/>
        <v>PR</v>
      </c>
      <c r="O420" s="347">
        <v>20</v>
      </c>
      <c r="P420" s="325"/>
      <c r="Q420" s="351"/>
      <c r="R420" s="351">
        <v>1.2</v>
      </c>
      <c r="S420" s="351">
        <v>6</v>
      </c>
      <c r="T420" s="351">
        <v>0.23333333333333331</v>
      </c>
      <c r="U420" s="329">
        <f>IF($N420=$N$4,IFERROR(INDEX(DanhMuc!$E$154:$E$165,MATCH(MID($B420,4,2),DanhMuc!$B$154:$B$165,0)),""),"")</f>
        <v>6000</v>
      </c>
      <c r="V420" s="325"/>
      <c r="W420" s="352" t="str">
        <f>+IF(AND($A420&lt;&gt;"",LEN($B420)&gt;=8,COUNTIF($B$6:$B420,$B420)=1),$W$5,"")</f>
        <v/>
      </c>
      <c r="X420" s="329" t="str">
        <f t="shared" si="30"/>
        <v>XW</v>
      </c>
      <c r="Y420" s="1128" t="s">
        <v>3380</v>
      </c>
      <c r="Z420" s="1128" t="s">
        <v>3381</v>
      </c>
      <c r="AA420" s="1128" t="s">
        <v>3384</v>
      </c>
      <c r="AC420" s="73"/>
    </row>
    <row r="421" spans="1:29" s="20" customFormat="1" ht="39">
      <c r="A421" s="327">
        <f>IF(AND($B421&lt;&gt;"",$C421&lt;&gt;""),MAX($A$4:A420)+1,"")</f>
        <v>38</v>
      </c>
      <c r="B421" s="359" t="s">
        <v>1850</v>
      </c>
      <c r="C421" s="360" t="s">
        <v>1877</v>
      </c>
      <c r="D421" s="327">
        <f>IF($B421="","",COUNTIF($B$6:$B421,$B421))</f>
        <v>1</v>
      </c>
      <c r="E421" s="363" t="s">
        <v>2240</v>
      </c>
      <c r="F421" s="362" t="s">
        <v>347</v>
      </c>
      <c r="G421" s="327" t="s">
        <v>330</v>
      </c>
      <c r="H421" s="325"/>
      <c r="I421" s="327">
        <v>1</v>
      </c>
      <c r="J421" s="361" t="s">
        <v>81</v>
      </c>
      <c r="K421" s="327" t="s">
        <v>516</v>
      </c>
      <c r="L421" s="348">
        <f t="shared" si="37"/>
        <v>417480</v>
      </c>
      <c r="M421" s="355"/>
      <c r="N421" s="355" t="str">
        <f t="shared" si="31"/>
        <v>PR</v>
      </c>
      <c r="O421" s="345"/>
      <c r="P421" s="325"/>
      <c r="Q421" s="351">
        <v>41</v>
      </c>
      <c r="R421" s="351">
        <v>1.2</v>
      </c>
      <c r="S421" s="351">
        <v>6</v>
      </c>
      <c r="T421" s="351">
        <v>0.82833333333333325</v>
      </c>
      <c r="U421" s="329">
        <f>IF($N421=$N$4,IFERROR(INDEX(DanhMuc!$E$154:$E$165,MATCH(MID($B421,4,2),DanhMuc!$B$154:$B$165,0)),""),"")</f>
        <v>6000</v>
      </c>
      <c r="V421" s="325"/>
      <c r="W421" s="352" t="str">
        <f>+IF(AND($A421&lt;&gt;"",LEN($B421)&gt;=8,COUNTIF($B$6:$B421,$B421)=1),$W$5,"")</f>
        <v>DMCua</v>
      </c>
      <c r="X421" s="329" t="str">
        <f t="shared" si="30"/>
        <v>XW</v>
      </c>
      <c r="Y421" s="1128" t="s">
        <v>3380</v>
      </c>
      <c r="Z421" s="1128" t="s">
        <v>3381</v>
      </c>
      <c r="AA421" s="1128" t="s">
        <v>3384</v>
      </c>
      <c r="AC421" s="73"/>
    </row>
    <row r="422" spans="1:29" s="20" customFormat="1">
      <c r="A422" s="327" t="str">
        <f>IF(AND($B422&lt;&gt;"",$C422&lt;&gt;""),MAX($A$4:A421)+1,"")</f>
        <v/>
      </c>
      <c r="B422" s="361" t="s">
        <v>1850</v>
      </c>
      <c r="C422" s="364"/>
      <c r="D422" s="327">
        <f>IF($B422="","",COUNTIF($B$6:$B422,$B422))</f>
        <v>2</v>
      </c>
      <c r="E422" s="361" t="s">
        <v>2240</v>
      </c>
      <c r="F422" s="362" t="s">
        <v>347</v>
      </c>
      <c r="G422" s="327" t="s">
        <v>328</v>
      </c>
      <c r="H422" s="325"/>
      <c r="I422" s="327">
        <v>2</v>
      </c>
      <c r="J422" s="363" t="s">
        <v>80</v>
      </c>
      <c r="K422" s="327" t="s">
        <v>1141</v>
      </c>
      <c r="L422" s="348">
        <f t="shared" si="37"/>
        <v>417480</v>
      </c>
      <c r="M422" s="355"/>
      <c r="N422" s="355" t="str">
        <f t="shared" si="31"/>
        <v>PR</v>
      </c>
      <c r="O422" s="345"/>
      <c r="P422" s="325"/>
      <c r="Q422" s="351">
        <v>41</v>
      </c>
      <c r="R422" s="351">
        <v>1.2</v>
      </c>
      <c r="S422" s="351">
        <v>6</v>
      </c>
      <c r="T422" s="351">
        <v>0.82833333333333325</v>
      </c>
      <c r="U422" s="329">
        <f>IF($N422=$N$4,IFERROR(INDEX(DanhMuc!$E$154:$E$165,MATCH(MID($B422,4,2),DanhMuc!$B$154:$B$165,0)),""),"")</f>
        <v>6000</v>
      </c>
      <c r="V422" s="325"/>
      <c r="W422" s="352" t="str">
        <f>+IF(AND($A422&lt;&gt;"",LEN($B422)&gt;=8,COUNTIF($B$6:$B422,$B422)=1),$W$5,"")</f>
        <v/>
      </c>
      <c r="X422" s="329" t="str">
        <f t="shared" si="30"/>
        <v>XW</v>
      </c>
      <c r="Y422" s="1128" t="s">
        <v>3380</v>
      </c>
      <c r="Z422" s="1128" t="s">
        <v>3381</v>
      </c>
      <c r="AA422" s="1128" t="s">
        <v>3384</v>
      </c>
      <c r="AC422" s="73"/>
    </row>
    <row r="423" spans="1:29" s="20" customFormat="1">
      <c r="A423" s="327" t="str">
        <f>IF(AND($B423&lt;&gt;"",$C423&lt;&gt;""),MAX($A$4:A422)+1,"")</f>
        <v/>
      </c>
      <c r="B423" s="361" t="s">
        <v>1850</v>
      </c>
      <c r="C423" s="364"/>
      <c r="D423" s="327">
        <f>IF($B423="","",COUNTIF($B$6:$B423,$B423))</f>
        <v>3</v>
      </c>
      <c r="E423" s="361" t="s">
        <v>2241</v>
      </c>
      <c r="F423" s="362" t="s">
        <v>77</v>
      </c>
      <c r="G423" s="327" t="s">
        <v>329</v>
      </c>
      <c r="H423" s="325"/>
      <c r="I423" s="327">
        <v>2</v>
      </c>
      <c r="J423" s="361" t="s">
        <v>2820</v>
      </c>
      <c r="K423" s="327" t="s">
        <v>516</v>
      </c>
      <c r="L423" s="348">
        <f t="shared" si="37"/>
        <v>508200</v>
      </c>
      <c r="M423" s="355"/>
      <c r="N423" s="355" t="str">
        <f t="shared" si="31"/>
        <v>PR</v>
      </c>
      <c r="O423" s="345"/>
      <c r="P423" s="325"/>
      <c r="Q423" s="351"/>
      <c r="R423" s="351">
        <v>1.2</v>
      </c>
      <c r="S423" s="351">
        <v>6</v>
      </c>
      <c r="T423" s="351">
        <v>1.0083333333333333</v>
      </c>
      <c r="U423" s="329">
        <f>IF($N423=$N$4,IFERROR(INDEX(DanhMuc!$E$154:$E$165,MATCH(MID($B423,4,2),DanhMuc!$B$154:$B$165,0)),""),"")</f>
        <v>6000</v>
      </c>
      <c r="V423" s="325"/>
      <c r="W423" s="352" t="str">
        <f>+IF(AND($A423&lt;&gt;"",LEN($B423)&gt;=8,COUNTIF($B$6:$B423,$B423)=1),$W$5,"")</f>
        <v/>
      </c>
      <c r="X423" s="329" t="str">
        <f t="shared" si="30"/>
        <v>XW</v>
      </c>
      <c r="Y423" s="1128" t="s">
        <v>3380</v>
      </c>
      <c r="Z423" s="1128" t="s">
        <v>3381</v>
      </c>
      <c r="AA423" s="1128" t="s">
        <v>3384</v>
      </c>
      <c r="AC423" s="73"/>
    </row>
    <row r="424" spans="1:29" s="20" customFormat="1">
      <c r="A424" s="327" t="str">
        <f>IF(AND($B424&lt;&gt;"",$C424&lt;&gt;""),MAX($A$4:A423)+1,"")</f>
        <v/>
      </c>
      <c r="B424" s="361" t="s">
        <v>1850</v>
      </c>
      <c r="C424" s="364"/>
      <c r="D424" s="327">
        <f>IF($B424="","",COUNTIF($B$6:$B424,$B424))</f>
        <v>4</v>
      </c>
      <c r="E424" s="361" t="s">
        <v>2241</v>
      </c>
      <c r="F424" s="362" t="s">
        <v>77</v>
      </c>
      <c r="G424" s="327" t="s">
        <v>329</v>
      </c>
      <c r="H424" s="325"/>
      <c r="I424" s="327">
        <v>4</v>
      </c>
      <c r="J424" s="361" t="s">
        <v>2821</v>
      </c>
      <c r="K424" s="327" t="s">
        <v>516</v>
      </c>
      <c r="L424" s="348">
        <f t="shared" si="37"/>
        <v>508200</v>
      </c>
      <c r="M424" s="355"/>
      <c r="N424" s="355" t="str">
        <f t="shared" si="31"/>
        <v>PR</v>
      </c>
      <c r="O424" s="345"/>
      <c r="P424" s="325"/>
      <c r="Q424" s="351"/>
      <c r="R424" s="351">
        <v>1.2</v>
      </c>
      <c r="S424" s="351">
        <v>6</v>
      </c>
      <c r="T424" s="351">
        <v>1.0083333333333333</v>
      </c>
      <c r="U424" s="329">
        <f>IF($N424=$N$4,IFERROR(INDEX(DanhMuc!$E$154:$E$165,MATCH(MID($B424,4,2),DanhMuc!$B$154:$B$165,0)),""),"")</f>
        <v>6000</v>
      </c>
      <c r="V424" s="325"/>
      <c r="W424" s="352" t="str">
        <f>+IF(AND($A424&lt;&gt;"",LEN($B424)&gt;=8,COUNTIF($B$6:$B424,$B424)=1),$W$5,"")</f>
        <v/>
      </c>
      <c r="X424" s="329" t="str">
        <f t="shared" si="30"/>
        <v>XW</v>
      </c>
      <c r="Y424" s="1128" t="s">
        <v>3380</v>
      </c>
      <c r="Z424" s="1128" t="s">
        <v>3381</v>
      </c>
      <c r="AA424" s="1128" t="s">
        <v>3384</v>
      </c>
      <c r="AC424" s="73"/>
    </row>
    <row r="425" spans="1:29" s="20" customFormat="1">
      <c r="A425" s="327" t="str">
        <f>IF(AND($B425&lt;&gt;"",$C425&lt;&gt;""),MAX($A$4:A424)+1,"")</f>
        <v/>
      </c>
      <c r="B425" s="361" t="s">
        <v>1850</v>
      </c>
      <c r="C425" s="364"/>
      <c r="D425" s="327">
        <f>IF($B425="","",COUNTIF($B$6:$B425,$B425))</f>
        <v>5</v>
      </c>
      <c r="E425" s="361" t="s">
        <v>2241</v>
      </c>
      <c r="F425" s="362" t="s">
        <v>77</v>
      </c>
      <c r="G425" s="327" t="s">
        <v>328</v>
      </c>
      <c r="H425" s="325"/>
      <c r="I425" s="327">
        <v>6</v>
      </c>
      <c r="J425" s="361" t="s">
        <v>648</v>
      </c>
      <c r="K425" s="327" t="s">
        <v>516</v>
      </c>
      <c r="L425" s="348">
        <f t="shared" si="37"/>
        <v>508200</v>
      </c>
      <c r="M425" s="355"/>
      <c r="N425" s="355" t="str">
        <f t="shared" si="31"/>
        <v>PR</v>
      </c>
      <c r="O425" s="345"/>
      <c r="P425" s="325"/>
      <c r="Q425" s="351"/>
      <c r="R425" s="351">
        <v>1.2</v>
      </c>
      <c r="S425" s="351">
        <v>6</v>
      </c>
      <c r="T425" s="351">
        <v>1.0083333333333333</v>
      </c>
      <c r="U425" s="329">
        <f>IF($N425=$N$4,IFERROR(INDEX(DanhMuc!$E$154:$E$165,MATCH(MID($B425,4,2),DanhMuc!$B$154:$B$165,0)),""),"")</f>
        <v>6000</v>
      </c>
      <c r="V425" s="325"/>
      <c r="W425" s="352" t="str">
        <f>+IF(AND($A425&lt;&gt;"",LEN($B425)&gt;=8,COUNTIF($B$6:$B425,$B425)=1),$W$5,"")</f>
        <v/>
      </c>
      <c r="X425" s="329" t="str">
        <f t="shared" si="30"/>
        <v>XW</v>
      </c>
      <c r="Y425" s="1128" t="s">
        <v>3380</v>
      </c>
      <c r="Z425" s="1128" t="s">
        <v>3381</v>
      </c>
      <c r="AA425" s="1128" t="s">
        <v>3384</v>
      </c>
      <c r="AC425" s="73"/>
    </row>
    <row r="426" spans="1:29" s="22" customFormat="1">
      <c r="A426" s="327" t="str">
        <f>IF(AND($B426&lt;&gt;"",$C426&lt;&gt;""),MAX($A$4:A425)+1,"")</f>
        <v/>
      </c>
      <c r="B426" s="365" t="s">
        <v>1850</v>
      </c>
      <c r="C426" s="366"/>
      <c r="D426" s="367">
        <f>IF($B426="","",COUNTIF($B$6:$B426,$B426))</f>
        <v>6</v>
      </c>
      <c r="E426" s="365" t="s">
        <v>2243</v>
      </c>
      <c r="F426" s="368" t="s">
        <v>1904</v>
      </c>
      <c r="G426" s="367" t="s">
        <v>329</v>
      </c>
      <c r="H426" s="325"/>
      <c r="I426" s="367">
        <v>1</v>
      </c>
      <c r="J426" s="365" t="s">
        <v>2822</v>
      </c>
      <c r="K426" s="367" t="s">
        <v>531</v>
      </c>
      <c r="L426" s="348">
        <f t="shared" si="37"/>
        <v>249480.00000000006</v>
      </c>
      <c r="M426" s="369"/>
      <c r="N426" s="369" t="str">
        <f t="shared" si="31"/>
        <v>PR</v>
      </c>
      <c r="O426" s="347" t="s">
        <v>1475</v>
      </c>
      <c r="P426" s="329"/>
      <c r="Q426" s="367"/>
      <c r="R426" s="351">
        <v>1.8</v>
      </c>
      <c r="S426" s="351">
        <v>6</v>
      </c>
      <c r="T426" s="351">
        <v>0.49500000000000005</v>
      </c>
      <c r="U426" s="329">
        <f>IF($N426=$N$4,IFERROR(INDEX(DanhMuc!$E$154:$E$165,MATCH(MID($B426,4,2),DanhMuc!$B$154:$B$165,0)),""),"")</f>
        <v>6000</v>
      </c>
      <c r="V426" s="329"/>
      <c r="W426" s="352" t="str">
        <f>+IF(AND($A426&lt;&gt;"",LEN($B426)&gt;=8,COUNTIF($B$6:$B426,$B426)=1),$W$5,"")</f>
        <v/>
      </c>
      <c r="X426" s="329" t="str">
        <f t="shared" si="30"/>
        <v>XW</v>
      </c>
      <c r="Y426" s="1128" t="s">
        <v>3380</v>
      </c>
      <c r="Z426" s="1128" t="s">
        <v>3381</v>
      </c>
      <c r="AA426" s="1128" t="s">
        <v>3384</v>
      </c>
      <c r="AB426" s="20"/>
      <c r="AC426" s="73"/>
    </row>
    <row r="427" spans="1:29" s="22" customFormat="1">
      <c r="A427" s="327" t="str">
        <f>IF(AND($B427&lt;&gt;"",$C427&lt;&gt;""),MAX($A$4:A426)+1,"")</f>
        <v/>
      </c>
      <c r="B427" s="365" t="s">
        <v>1850</v>
      </c>
      <c r="C427" s="366"/>
      <c r="D427" s="367">
        <f>IF($B427="","",COUNTIF($B$6:$B427,$B427))</f>
        <v>7</v>
      </c>
      <c r="E427" s="365" t="s">
        <v>2243</v>
      </c>
      <c r="F427" s="368" t="s">
        <v>1904</v>
      </c>
      <c r="G427" s="367" t="s">
        <v>329</v>
      </c>
      <c r="H427" s="325"/>
      <c r="I427" s="367">
        <v>2</v>
      </c>
      <c r="J427" s="365" t="s">
        <v>2823</v>
      </c>
      <c r="K427" s="367" t="s">
        <v>531</v>
      </c>
      <c r="L427" s="348">
        <f t="shared" si="37"/>
        <v>249480.00000000006</v>
      </c>
      <c r="M427" s="369"/>
      <c r="N427" s="369" t="str">
        <f t="shared" si="31"/>
        <v>PR</v>
      </c>
      <c r="O427" s="347" t="s">
        <v>1475</v>
      </c>
      <c r="P427" s="329"/>
      <c r="Q427" s="367"/>
      <c r="R427" s="351">
        <v>1.8</v>
      </c>
      <c r="S427" s="351">
        <v>6</v>
      </c>
      <c r="T427" s="351">
        <v>0.49500000000000005</v>
      </c>
      <c r="U427" s="329">
        <f>IF($N427=$N$4,IFERROR(INDEX(DanhMuc!$E$154:$E$165,MATCH(MID($B427,4,2),DanhMuc!$B$154:$B$165,0)),""),"")</f>
        <v>6000</v>
      </c>
      <c r="V427" s="329"/>
      <c r="W427" s="352" t="str">
        <f>+IF(AND($A427&lt;&gt;"",LEN($B427)&gt;=8,COUNTIF($B$6:$B427,$B427)=1),$W$5,"")</f>
        <v/>
      </c>
      <c r="X427" s="329" t="str">
        <f t="shared" si="30"/>
        <v>XW</v>
      </c>
      <c r="Y427" s="1128" t="s">
        <v>3380</v>
      </c>
      <c r="Z427" s="1128" t="s">
        <v>3381</v>
      </c>
      <c r="AA427" s="1128" t="s">
        <v>3384</v>
      </c>
      <c r="AB427" s="20"/>
      <c r="AC427" s="73"/>
    </row>
    <row r="428" spans="1:29" s="22" customFormat="1">
      <c r="A428" s="327" t="str">
        <f>IF(AND($B428&lt;&gt;"",$C428&lt;&gt;""),MAX($A$4:A427)+1,"")</f>
        <v/>
      </c>
      <c r="B428" s="621" t="s">
        <v>1850</v>
      </c>
      <c r="C428" s="622"/>
      <c r="D428" s="623">
        <f>IF($B428="","",COUNTIF($B$6:$B428,$B428))</f>
        <v>8</v>
      </c>
      <c r="E428" s="621" t="s">
        <v>623</v>
      </c>
      <c r="F428" s="624" t="s">
        <v>865</v>
      </c>
      <c r="G428" s="623" t="s">
        <v>329</v>
      </c>
      <c r="H428" s="325"/>
      <c r="I428" s="367">
        <v>1</v>
      </c>
      <c r="J428" s="365" t="s">
        <v>867</v>
      </c>
      <c r="K428" s="367" t="s">
        <v>531</v>
      </c>
      <c r="L428" s="625">
        <f t="shared" ref="L428" si="38">+$T428*$S428*$L$37</f>
        <v>536931.81818181812</v>
      </c>
      <c r="M428" s="369"/>
      <c r="N428" s="369" t="str">
        <f t="shared" si="31"/>
        <v>PR</v>
      </c>
      <c r="O428" s="347" t="s">
        <v>1476</v>
      </c>
      <c r="P428" s="626"/>
      <c r="Q428" s="623"/>
      <c r="R428" s="627"/>
      <c r="S428" s="627">
        <v>5.8</v>
      </c>
      <c r="T428" s="627">
        <v>0.8816614420062695</v>
      </c>
      <c r="U428" s="1041">
        <v>5800</v>
      </c>
      <c r="V428" s="329"/>
      <c r="W428" s="352" t="str">
        <f>+IF(AND($A428&lt;&gt;"",LEN($B428)&gt;=8,COUNTIF($B$6:$B428,$B428)=1),$W$5,"")</f>
        <v/>
      </c>
      <c r="X428" s="329" t="str">
        <f t="shared" si="30"/>
        <v>XW</v>
      </c>
      <c r="Y428" s="1128" t="s">
        <v>3380</v>
      </c>
      <c r="Z428" s="1128" t="s">
        <v>3381</v>
      </c>
      <c r="AA428" s="1128" t="s">
        <v>3384</v>
      </c>
      <c r="AB428" s="20"/>
      <c r="AC428" s="73"/>
    </row>
    <row r="429" spans="1:29" s="20" customFormat="1">
      <c r="A429" s="327" t="str">
        <f>IF(AND($B429&lt;&gt;"",$C429&lt;&gt;""),MAX($A$4:A428)+1,"")</f>
        <v/>
      </c>
      <c r="B429" s="361" t="s">
        <v>1850</v>
      </c>
      <c r="C429" s="364"/>
      <c r="D429" s="327">
        <f>IF($B429="","",COUNTIF($B$6:$B429,$B429))</f>
        <v>9</v>
      </c>
      <c r="E429" s="361" t="s">
        <v>2247</v>
      </c>
      <c r="F429" s="362" t="s">
        <v>1905</v>
      </c>
      <c r="G429" s="327" t="s">
        <v>328</v>
      </c>
      <c r="H429" s="325"/>
      <c r="I429" s="327">
        <v>2</v>
      </c>
      <c r="J429" s="361" t="s">
        <v>2667</v>
      </c>
      <c r="K429" s="327" t="s">
        <v>531</v>
      </c>
      <c r="L429" s="348">
        <f t="shared" ref="L429:L448" si="39">+$T429*$L$391*$S429</f>
        <v>397320.00000000012</v>
      </c>
      <c r="M429" s="355"/>
      <c r="N429" s="355" t="str">
        <f t="shared" si="31"/>
        <v>PR</v>
      </c>
      <c r="O429" s="345"/>
      <c r="P429" s="325"/>
      <c r="Q429" s="351"/>
      <c r="R429" s="351">
        <v>1.2</v>
      </c>
      <c r="S429" s="351">
        <v>6</v>
      </c>
      <c r="T429" s="351">
        <v>0.78833333333333344</v>
      </c>
      <c r="U429" s="329">
        <f>IF($N429=$N$4,IFERROR(INDEX(DanhMuc!$E$154:$E$165,MATCH(MID($B429,4,2),DanhMuc!$B$154:$B$165,0)),""),"")</f>
        <v>6000</v>
      </c>
      <c r="V429" s="325"/>
      <c r="W429" s="352" t="str">
        <f>+IF(AND($A429&lt;&gt;"",LEN($B429)&gt;=8,COUNTIF($B$6:$B429,$B429)=1),$W$5,"")</f>
        <v/>
      </c>
      <c r="X429" s="329" t="str">
        <f t="shared" si="30"/>
        <v>XW</v>
      </c>
      <c r="Y429" s="1128" t="s">
        <v>3380</v>
      </c>
      <c r="Z429" s="1128" t="s">
        <v>3381</v>
      </c>
      <c r="AA429" s="1128" t="s">
        <v>3384</v>
      </c>
      <c r="AC429" s="73"/>
    </row>
    <row r="430" spans="1:29" s="20" customFormat="1">
      <c r="A430" s="327" t="str">
        <f>IF(AND($B430&lt;&gt;"",$C430&lt;&gt;""),MAX($A$4:A429)+1,"")</f>
        <v/>
      </c>
      <c r="B430" s="361" t="s">
        <v>1850</v>
      </c>
      <c r="C430" s="364"/>
      <c r="D430" s="327">
        <f>IF($B430="","",COUNTIF($B$6:$B430,$B430))</f>
        <v>10</v>
      </c>
      <c r="E430" s="361" t="s">
        <v>2244</v>
      </c>
      <c r="F430" s="362" t="s">
        <v>346</v>
      </c>
      <c r="G430" s="327" t="s">
        <v>329</v>
      </c>
      <c r="H430" s="325"/>
      <c r="I430" s="327">
        <v>2</v>
      </c>
      <c r="J430" s="361" t="s">
        <v>2824</v>
      </c>
      <c r="K430" s="327" t="s">
        <v>531</v>
      </c>
      <c r="L430" s="348">
        <f t="shared" si="39"/>
        <v>142800</v>
      </c>
      <c r="M430" s="355"/>
      <c r="N430" s="355" t="str">
        <f t="shared" si="31"/>
        <v>PR</v>
      </c>
      <c r="O430" s="347">
        <v>10</v>
      </c>
      <c r="P430" s="325"/>
      <c r="Q430" s="351"/>
      <c r="R430" s="351">
        <v>1.2</v>
      </c>
      <c r="S430" s="351">
        <v>6</v>
      </c>
      <c r="T430" s="351">
        <v>0.28333333333333333</v>
      </c>
      <c r="U430" s="329">
        <f>IF($N430=$N$4,IFERROR(INDEX(DanhMuc!$E$154:$E$165,MATCH(MID($B430,4,2),DanhMuc!$B$154:$B$165,0)),""),"")</f>
        <v>6000</v>
      </c>
      <c r="V430" s="325"/>
      <c r="W430" s="352" t="str">
        <f>+IF(AND($A430&lt;&gt;"",LEN($B430)&gt;=8,COUNTIF($B$6:$B430,$B430)=1),$W$5,"")</f>
        <v/>
      </c>
      <c r="X430" s="329" t="str">
        <f t="shared" si="30"/>
        <v>XW</v>
      </c>
      <c r="Y430" s="1128" t="s">
        <v>3380</v>
      </c>
      <c r="Z430" s="1128" t="s">
        <v>3381</v>
      </c>
      <c r="AA430" s="1128" t="s">
        <v>3384</v>
      </c>
      <c r="AC430" s="73"/>
    </row>
    <row r="431" spans="1:29" s="20" customFormat="1">
      <c r="A431" s="327" t="str">
        <f>IF(AND($B431&lt;&gt;"",$C431&lt;&gt;""),MAX($A$4:A430)+1,"")</f>
        <v/>
      </c>
      <c r="B431" s="361" t="s">
        <v>1850</v>
      </c>
      <c r="C431" s="364"/>
      <c r="D431" s="327">
        <f>IF($B431="","",COUNTIF($B$6:$B431,$B431))</f>
        <v>11</v>
      </c>
      <c r="E431" s="361" t="s">
        <v>2244</v>
      </c>
      <c r="F431" s="362" t="s">
        <v>346</v>
      </c>
      <c r="G431" s="327" t="s">
        <v>329</v>
      </c>
      <c r="H431" s="325"/>
      <c r="I431" s="327">
        <v>4</v>
      </c>
      <c r="J431" s="361" t="s">
        <v>2825</v>
      </c>
      <c r="K431" s="327" t="s">
        <v>531</v>
      </c>
      <c r="L431" s="348">
        <f t="shared" si="39"/>
        <v>142800</v>
      </c>
      <c r="M431" s="355"/>
      <c r="N431" s="355" t="str">
        <f t="shared" si="31"/>
        <v>PR</v>
      </c>
      <c r="O431" s="347">
        <v>10</v>
      </c>
      <c r="P431" s="325"/>
      <c r="Q431" s="351"/>
      <c r="R431" s="351">
        <v>1.2</v>
      </c>
      <c r="S431" s="351">
        <v>6</v>
      </c>
      <c r="T431" s="351">
        <v>0.28333333333333333</v>
      </c>
      <c r="U431" s="329">
        <f>IF($N431=$N$4,IFERROR(INDEX(DanhMuc!$E$154:$E$165,MATCH(MID($B431,4,2),DanhMuc!$B$154:$B$165,0)),""),"")</f>
        <v>6000</v>
      </c>
      <c r="V431" s="325"/>
      <c r="W431" s="352" t="str">
        <f>+IF(AND($A431&lt;&gt;"",LEN($B431)&gt;=8,COUNTIF($B$6:$B431,$B431)=1),$W$5,"")</f>
        <v/>
      </c>
      <c r="X431" s="329" t="str">
        <f t="shared" si="30"/>
        <v>XW</v>
      </c>
      <c r="Y431" s="1128" t="s">
        <v>3380</v>
      </c>
      <c r="Z431" s="1128" t="s">
        <v>3381</v>
      </c>
      <c r="AA431" s="1128" t="s">
        <v>3384</v>
      </c>
      <c r="AC431" s="73"/>
    </row>
    <row r="432" spans="1:29" s="20" customFormat="1">
      <c r="A432" s="327" t="str">
        <f>IF(AND($B432&lt;&gt;"",$C432&lt;&gt;""),MAX($A$4:A431)+1,"")</f>
        <v/>
      </c>
      <c r="B432" s="361" t="s">
        <v>1850</v>
      </c>
      <c r="C432" s="364"/>
      <c r="D432" s="327">
        <f>IF($B432="","",COUNTIF($B$6:$B432,$B432))</f>
        <v>12</v>
      </c>
      <c r="E432" s="361" t="s">
        <v>2244</v>
      </c>
      <c r="F432" s="362" t="s">
        <v>346</v>
      </c>
      <c r="G432" s="327" t="s">
        <v>328</v>
      </c>
      <c r="H432" s="325"/>
      <c r="I432" s="327">
        <v>6</v>
      </c>
      <c r="J432" s="361" t="s">
        <v>703</v>
      </c>
      <c r="K432" s="327" t="s">
        <v>531</v>
      </c>
      <c r="L432" s="348">
        <f t="shared" si="39"/>
        <v>142800</v>
      </c>
      <c r="M432" s="355"/>
      <c r="N432" s="355" t="str">
        <f t="shared" si="31"/>
        <v>PR</v>
      </c>
      <c r="O432" s="347">
        <v>10</v>
      </c>
      <c r="P432" s="325"/>
      <c r="Q432" s="351"/>
      <c r="R432" s="351">
        <v>1.2</v>
      </c>
      <c r="S432" s="351">
        <v>6</v>
      </c>
      <c r="T432" s="351">
        <v>0.28333333333333333</v>
      </c>
      <c r="U432" s="329">
        <f>IF($N432=$N$4,IFERROR(INDEX(DanhMuc!$E$154:$E$165,MATCH(MID($B432,4,2),DanhMuc!$B$154:$B$165,0)),""),"")</f>
        <v>6000</v>
      </c>
      <c r="V432" s="325"/>
      <c r="W432" s="352" t="str">
        <f>+IF(AND($A432&lt;&gt;"",LEN($B432)&gt;=8,COUNTIF($B$6:$B432,$B432)=1),$W$5,"")</f>
        <v/>
      </c>
      <c r="X432" s="329" t="str">
        <f t="shared" si="30"/>
        <v>XW</v>
      </c>
      <c r="Y432" s="1128" t="s">
        <v>3380</v>
      </c>
      <c r="Z432" s="1128" t="s">
        <v>3381</v>
      </c>
      <c r="AA432" s="1128" t="s">
        <v>3384</v>
      </c>
      <c r="AC432" s="73"/>
    </row>
    <row r="433" spans="1:29" s="20" customFormat="1">
      <c r="A433" s="327" t="str">
        <f>IF(AND($B433&lt;&gt;"",$C433&lt;&gt;""),MAX($A$4:A432)+1,"")</f>
        <v/>
      </c>
      <c r="B433" s="361" t="s">
        <v>1850</v>
      </c>
      <c r="C433" s="364"/>
      <c r="D433" s="327">
        <f>IF($B433="","",COUNTIF($B$6:$B433,$B433))</f>
        <v>13</v>
      </c>
      <c r="E433" s="361" t="s">
        <v>2245</v>
      </c>
      <c r="F433" s="362" t="s">
        <v>386</v>
      </c>
      <c r="G433" s="327" t="s">
        <v>329</v>
      </c>
      <c r="H433" s="325"/>
      <c r="I433" s="327">
        <v>2</v>
      </c>
      <c r="J433" s="361" t="s">
        <v>2824</v>
      </c>
      <c r="K433" s="327" t="s">
        <v>531</v>
      </c>
      <c r="L433" s="348">
        <f t="shared" si="39"/>
        <v>0</v>
      </c>
      <c r="M433" s="355"/>
      <c r="N433" s="355" t="str">
        <f t="shared" si="31"/>
        <v>PR</v>
      </c>
      <c r="O433" s="347">
        <v>19</v>
      </c>
      <c r="P433" s="325"/>
      <c r="Q433" s="351"/>
      <c r="R433" s="351"/>
      <c r="S433" s="351">
        <v>6</v>
      </c>
      <c r="T433" s="351">
        <v>0</v>
      </c>
      <c r="U433" s="329">
        <f>IF($N433=$N$4,IFERROR(INDEX(DanhMuc!$E$154:$E$165,MATCH(MID($B433,4,2),DanhMuc!$B$154:$B$165,0)),""),"")</f>
        <v>6000</v>
      </c>
      <c r="V433" s="325"/>
      <c r="W433" s="352" t="str">
        <f>+IF(AND($A433&lt;&gt;"",LEN($B433)&gt;=8,COUNTIF($B$6:$B433,$B433)=1),$W$5,"")</f>
        <v/>
      </c>
      <c r="X433" s="329" t="str">
        <f t="shared" si="30"/>
        <v>XW</v>
      </c>
      <c r="Y433" s="1128" t="s">
        <v>3380</v>
      </c>
      <c r="Z433" s="1128" t="s">
        <v>3381</v>
      </c>
      <c r="AA433" s="1128" t="s">
        <v>3384</v>
      </c>
      <c r="AC433" s="73"/>
    </row>
    <row r="434" spans="1:29" s="20" customFormat="1">
      <c r="A434" s="327" t="str">
        <f>IF(AND($B434&lt;&gt;"",$C434&lt;&gt;""),MAX($A$4:A433)+1,"")</f>
        <v/>
      </c>
      <c r="B434" s="361" t="s">
        <v>1850</v>
      </c>
      <c r="C434" s="364"/>
      <c r="D434" s="327">
        <f>IF($B434="","",COUNTIF($B$6:$B434,$B434))</f>
        <v>14</v>
      </c>
      <c r="E434" s="361" t="s">
        <v>2245</v>
      </c>
      <c r="F434" s="362" t="s">
        <v>386</v>
      </c>
      <c r="G434" s="327" t="s">
        <v>329</v>
      </c>
      <c r="H434" s="325"/>
      <c r="I434" s="327">
        <v>4</v>
      </c>
      <c r="J434" s="361" t="s">
        <v>2825</v>
      </c>
      <c r="K434" s="327" t="s">
        <v>531</v>
      </c>
      <c r="L434" s="348">
        <f t="shared" si="39"/>
        <v>0</v>
      </c>
      <c r="M434" s="355"/>
      <c r="N434" s="355" t="str">
        <f t="shared" si="31"/>
        <v>PR</v>
      </c>
      <c r="O434" s="347">
        <v>19</v>
      </c>
      <c r="P434" s="325"/>
      <c r="Q434" s="351"/>
      <c r="R434" s="351"/>
      <c r="S434" s="351">
        <v>6</v>
      </c>
      <c r="T434" s="351">
        <v>0</v>
      </c>
      <c r="U434" s="329">
        <f>IF($N434=$N$4,IFERROR(INDEX(DanhMuc!$E$154:$E$165,MATCH(MID($B434,4,2),DanhMuc!$B$154:$B$165,0)),""),"")</f>
        <v>6000</v>
      </c>
      <c r="V434" s="325"/>
      <c r="W434" s="352" t="str">
        <f>+IF(AND($A434&lt;&gt;"",LEN($B434)&gt;=8,COUNTIF($B$6:$B434,$B434)=1),$W$5,"")</f>
        <v/>
      </c>
      <c r="X434" s="329" t="str">
        <f t="shared" si="30"/>
        <v>XW</v>
      </c>
      <c r="Y434" s="1128" t="s">
        <v>3380</v>
      </c>
      <c r="Z434" s="1128" t="s">
        <v>3381</v>
      </c>
      <c r="AA434" s="1128" t="s">
        <v>3384</v>
      </c>
      <c r="AC434" s="73"/>
    </row>
    <row r="435" spans="1:29" s="20" customFormat="1">
      <c r="A435" s="327" t="str">
        <f>IF(AND($B435&lt;&gt;"",$C435&lt;&gt;""),MAX($A$4:A434)+1,"")</f>
        <v/>
      </c>
      <c r="B435" s="361" t="s">
        <v>1850</v>
      </c>
      <c r="C435" s="364"/>
      <c r="D435" s="327">
        <f>IF($B435="","",COUNTIF($B$6:$B435,$B435))</f>
        <v>15</v>
      </c>
      <c r="E435" s="361" t="s">
        <v>2245</v>
      </c>
      <c r="F435" s="362" t="s">
        <v>386</v>
      </c>
      <c r="G435" s="327" t="s">
        <v>328</v>
      </c>
      <c r="H435" s="325"/>
      <c r="I435" s="327">
        <v>6</v>
      </c>
      <c r="J435" s="361" t="s">
        <v>703</v>
      </c>
      <c r="K435" s="327" t="s">
        <v>531</v>
      </c>
      <c r="L435" s="348">
        <f t="shared" si="39"/>
        <v>0</v>
      </c>
      <c r="M435" s="355"/>
      <c r="N435" s="355" t="str">
        <f t="shared" si="31"/>
        <v>PR</v>
      </c>
      <c r="O435" s="347">
        <v>19</v>
      </c>
      <c r="P435" s="325"/>
      <c r="Q435" s="351"/>
      <c r="R435" s="351"/>
      <c r="S435" s="351">
        <v>6</v>
      </c>
      <c r="T435" s="351">
        <v>0</v>
      </c>
      <c r="U435" s="329">
        <f>IF($N435=$N$4,IFERROR(INDEX(DanhMuc!$E$154:$E$165,MATCH(MID($B435,4,2),DanhMuc!$B$154:$B$165,0)),""),"")</f>
        <v>6000</v>
      </c>
      <c r="V435" s="325"/>
      <c r="W435" s="352" t="str">
        <f>+IF(AND($A435&lt;&gt;"",LEN($B435)&gt;=8,COUNTIF($B$6:$B435,$B435)=1),$W$5,"")</f>
        <v/>
      </c>
      <c r="X435" s="329" t="str">
        <f t="shared" si="30"/>
        <v>XW</v>
      </c>
      <c r="Y435" s="1128" t="s">
        <v>3380</v>
      </c>
      <c r="Z435" s="1128" t="s">
        <v>3381</v>
      </c>
      <c r="AA435" s="1128" t="s">
        <v>3384</v>
      </c>
      <c r="AC435" s="73"/>
    </row>
    <row r="436" spans="1:29" s="20" customFormat="1">
      <c r="A436" s="327" t="str">
        <f>IF(AND($B436&lt;&gt;"",$C436&lt;&gt;""),MAX($A$4:A435)+1,"")</f>
        <v/>
      </c>
      <c r="B436" s="361" t="s">
        <v>1850</v>
      </c>
      <c r="C436" s="364"/>
      <c r="D436" s="327">
        <f>IF($B436="","",COUNTIF($B$6:$B436,$B436))</f>
        <v>16</v>
      </c>
      <c r="E436" s="361" t="s">
        <v>2246</v>
      </c>
      <c r="F436" s="362" t="s">
        <v>631</v>
      </c>
      <c r="G436" s="327" t="s">
        <v>329</v>
      </c>
      <c r="H436" s="325"/>
      <c r="I436" s="327">
        <v>2</v>
      </c>
      <c r="J436" s="361" t="s">
        <v>2824</v>
      </c>
      <c r="K436" s="327" t="s">
        <v>531</v>
      </c>
      <c r="L436" s="348">
        <f t="shared" si="39"/>
        <v>117599.99999999997</v>
      </c>
      <c r="M436" s="355"/>
      <c r="N436" s="355" t="str">
        <f t="shared" si="31"/>
        <v>PR</v>
      </c>
      <c r="O436" s="347">
        <v>20</v>
      </c>
      <c r="P436" s="325"/>
      <c r="Q436" s="351"/>
      <c r="R436" s="351">
        <v>1.2</v>
      </c>
      <c r="S436" s="351">
        <v>6</v>
      </c>
      <c r="T436" s="351">
        <v>0.23333333333333331</v>
      </c>
      <c r="U436" s="329">
        <f>IF($N436=$N$4,IFERROR(INDEX(DanhMuc!$E$154:$E$165,MATCH(MID($B436,4,2),DanhMuc!$B$154:$B$165,0)),""),"")</f>
        <v>6000</v>
      </c>
      <c r="V436" s="325"/>
      <c r="W436" s="352" t="str">
        <f>+IF(AND($A436&lt;&gt;"",LEN($B436)&gt;=8,COUNTIF($B$6:$B436,$B436)=1),$W$5,"")</f>
        <v/>
      </c>
      <c r="X436" s="329" t="str">
        <f t="shared" si="30"/>
        <v>XW</v>
      </c>
      <c r="Y436" s="1128" t="s">
        <v>3380</v>
      </c>
      <c r="Z436" s="1128" t="s">
        <v>3381</v>
      </c>
      <c r="AA436" s="1128" t="s">
        <v>3384</v>
      </c>
      <c r="AC436" s="73"/>
    </row>
    <row r="437" spans="1:29" s="20" customFormat="1">
      <c r="A437" s="327" t="str">
        <f>IF(AND($B437&lt;&gt;"",$C437&lt;&gt;""),MAX($A$4:A436)+1,"")</f>
        <v/>
      </c>
      <c r="B437" s="361" t="s">
        <v>1850</v>
      </c>
      <c r="C437" s="364"/>
      <c r="D437" s="327">
        <f>IF($B437="","",COUNTIF($B$6:$B437,$B437))</f>
        <v>17</v>
      </c>
      <c r="E437" s="361" t="s">
        <v>2246</v>
      </c>
      <c r="F437" s="362" t="s">
        <v>631</v>
      </c>
      <c r="G437" s="327" t="s">
        <v>329</v>
      </c>
      <c r="H437" s="325"/>
      <c r="I437" s="327">
        <v>4</v>
      </c>
      <c r="J437" s="361" t="s">
        <v>2825</v>
      </c>
      <c r="K437" s="327" t="s">
        <v>531</v>
      </c>
      <c r="L437" s="348">
        <f t="shared" si="39"/>
        <v>117599.99999999997</v>
      </c>
      <c r="M437" s="355"/>
      <c r="N437" s="355" t="str">
        <f t="shared" si="31"/>
        <v>PR</v>
      </c>
      <c r="O437" s="347">
        <v>20</v>
      </c>
      <c r="P437" s="325"/>
      <c r="Q437" s="351"/>
      <c r="R437" s="351">
        <v>1.2</v>
      </c>
      <c r="S437" s="351">
        <v>6</v>
      </c>
      <c r="T437" s="351">
        <v>0.23333333333333331</v>
      </c>
      <c r="U437" s="329">
        <f>IF($N437=$N$4,IFERROR(INDEX(DanhMuc!$E$154:$E$165,MATCH(MID($B437,4,2),DanhMuc!$B$154:$B$165,0)),""),"")</f>
        <v>6000</v>
      </c>
      <c r="V437" s="325"/>
      <c r="W437" s="352" t="str">
        <f>+IF(AND($A437&lt;&gt;"",LEN($B437)&gt;=8,COUNTIF($B$6:$B437,$B437)=1),$W$5,"")</f>
        <v/>
      </c>
      <c r="X437" s="329" t="str">
        <f t="shared" si="30"/>
        <v>XW</v>
      </c>
      <c r="Y437" s="1128" t="s">
        <v>3380</v>
      </c>
      <c r="Z437" s="1128" t="s">
        <v>3381</v>
      </c>
      <c r="AA437" s="1128" t="s">
        <v>3384</v>
      </c>
      <c r="AC437" s="73"/>
    </row>
    <row r="438" spans="1:29" s="20" customFormat="1">
      <c r="A438" s="327" t="str">
        <f>IF(AND($B438&lt;&gt;"",$C438&lt;&gt;""),MAX($A$4:A437)+1,"")</f>
        <v/>
      </c>
      <c r="B438" s="361" t="s">
        <v>1850</v>
      </c>
      <c r="C438" s="364"/>
      <c r="D438" s="327">
        <f>IF($B438="","",COUNTIF($B$6:$B438,$B438))</f>
        <v>18</v>
      </c>
      <c r="E438" s="361" t="s">
        <v>2246</v>
      </c>
      <c r="F438" s="362" t="s">
        <v>631</v>
      </c>
      <c r="G438" s="327" t="s">
        <v>328</v>
      </c>
      <c r="H438" s="325"/>
      <c r="I438" s="327">
        <v>6</v>
      </c>
      <c r="J438" s="361" t="s">
        <v>703</v>
      </c>
      <c r="K438" s="327" t="s">
        <v>531</v>
      </c>
      <c r="L438" s="348">
        <f t="shared" si="39"/>
        <v>117599.99999999997</v>
      </c>
      <c r="M438" s="355"/>
      <c r="N438" s="355" t="str">
        <f t="shared" si="31"/>
        <v>PR</v>
      </c>
      <c r="O438" s="347">
        <v>20</v>
      </c>
      <c r="P438" s="325"/>
      <c r="Q438" s="351"/>
      <c r="R438" s="351">
        <v>1.2</v>
      </c>
      <c r="S438" s="351">
        <v>6</v>
      </c>
      <c r="T438" s="351">
        <v>0.23333333333333331</v>
      </c>
      <c r="U438" s="329">
        <f>IF($N438=$N$4,IFERROR(INDEX(DanhMuc!$E$154:$E$165,MATCH(MID($B438,4,2),DanhMuc!$B$154:$B$165,0)),""),"")</f>
        <v>6000</v>
      </c>
      <c r="V438" s="325"/>
      <c r="W438" s="352" t="str">
        <f>+IF(AND($A438&lt;&gt;"",LEN($B438)&gt;=8,COUNTIF($B$6:$B438,$B438)=1),$W$5,"")</f>
        <v/>
      </c>
      <c r="X438" s="329" t="str">
        <f t="shared" si="30"/>
        <v>XW</v>
      </c>
      <c r="Y438" s="1128" t="s">
        <v>3380</v>
      </c>
      <c r="Z438" s="1128" t="s">
        <v>3381</v>
      </c>
      <c r="AA438" s="1128" t="s">
        <v>3384</v>
      </c>
      <c r="AC438" s="73"/>
    </row>
    <row r="439" spans="1:29" s="20" customFormat="1" ht="39">
      <c r="A439" s="327">
        <f>IF(AND($B439&lt;&gt;"",$C439&lt;&gt;""),MAX($A$4:A438)+1,"")</f>
        <v>39</v>
      </c>
      <c r="B439" s="359" t="s">
        <v>1851</v>
      </c>
      <c r="C439" s="360" t="s">
        <v>1878</v>
      </c>
      <c r="D439" s="327">
        <f>IF($B439="","",COUNTIF($B$6:$B439,$B439))</f>
        <v>1</v>
      </c>
      <c r="E439" s="363" t="s">
        <v>2248</v>
      </c>
      <c r="F439" s="362" t="s">
        <v>347</v>
      </c>
      <c r="G439" s="327" t="s">
        <v>330</v>
      </c>
      <c r="H439" s="325"/>
      <c r="I439" s="327">
        <v>1</v>
      </c>
      <c r="J439" s="361" t="s">
        <v>81</v>
      </c>
      <c r="K439" s="327" t="s">
        <v>516</v>
      </c>
      <c r="L439" s="348">
        <f t="shared" si="39"/>
        <v>615720</v>
      </c>
      <c r="M439" s="371"/>
      <c r="N439" s="355" t="str">
        <f t="shared" si="31"/>
        <v>PR</v>
      </c>
      <c r="O439" s="347"/>
      <c r="P439" s="325"/>
      <c r="Q439" s="351">
        <v>41</v>
      </c>
      <c r="R439" s="351">
        <v>2</v>
      </c>
      <c r="S439" s="351">
        <v>6</v>
      </c>
      <c r="T439" s="351">
        <v>1.2216666666666667</v>
      </c>
      <c r="U439" s="329">
        <f>IF($N439=$N$4,IFERROR(INDEX(DanhMuc!$E$154:$E$165,MATCH(MID($B439,4,2),DanhMuc!$B$154:$B$165,0)),""),"")</f>
        <v>6000</v>
      </c>
      <c r="V439" s="325"/>
      <c r="W439" s="352" t="str">
        <f>+IF(AND($A439&lt;&gt;"",LEN($B439)&gt;=8,COUNTIF($B$6:$B439,$B439)=1),$W$5,"")</f>
        <v>DMCua</v>
      </c>
      <c r="X439" s="329" t="str">
        <f t="shared" si="30"/>
        <v>XW</v>
      </c>
      <c r="Y439" s="1128" t="s">
        <v>3380</v>
      </c>
      <c r="Z439" s="1128" t="s">
        <v>3381</v>
      </c>
      <c r="AA439" s="1128" t="s">
        <v>3384</v>
      </c>
      <c r="AC439" s="73"/>
    </row>
    <row r="440" spans="1:29" s="20" customFormat="1">
      <c r="A440" s="327" t="str">
        <f>IF(AND($B440&lt;&gt;"",$C440&lt;&gt;""),MAX($A$4:A439)+1,"")</f>
        <v/>
      </c>
      <c r="B440" s="361" t="s">
        <v>1851</v>
      </c>
      <c r="C440" s="364"/>
      <c r="D440" s="327">
        <f>IF($B440="","",COUNTIF($B$6:$B440,$B440))</f>
        <v>2</v>
      </c>
      <c r="E440" s="361" t="s">
        <v>2248</v>
      </c>
      <c r="F440" s="362" t="s">
        <v>347</v>
      </c>
      <c r="G440" s="327" t="s">
        <v>328</v>
      </c>
      <c r="H440" s="325"/>
      <c r="I440" s="327">
        <v>2</v>
      </c>
      <c r="J440" s="361" t="s">
        <v>80</v>
      </c>
      <c r="K440" s="327" t="s">
        <v>1141</v>
      </c>
      <c r="L440" s="348">
        <f t="shared" si="39"/>
        <v>615720</v>
      </c>
      <c r="M440" s="371"/>
      <c r="N440" s="355" t="str">
        <f t="shared" si="31"/>
        <v>PR</v>
      </c>
      <c r="O440" s="347"/>
      <c r="P440" s="325"/>
      <c r="Q440" s="351">
        <v>41</v>
      </c>
      <c r="R440" s="351">
        <v>2</v>
      </c>
      <c r="S440" s="351">
        <v>6</v>
      </c>
      <c r="T440" s="351">
        <v>1.2216666666666667</v>
      </c>
      <c r="U440" s="329">
        <f>IF($N440=$N$4,IFERROR(INDEX(DanhMuc!$E$154:$E$165,MATCH(MID($B440,4,2),DanhMuc!$B$154:$B$165,0)),""),"")</f>
        <v>6000</v>
      </c>
      <c r="V440" s="325"/>
      <c r="W440" s="352" t="str">
        <f>+IF(AND($A440&lt;&gt;"",LEN($B440)&gt;=8,COUNTIF($B$6:$B440,$B440)=1),$W$5,"")</f>
        <v/>
      </c>
      <c r="X440" s="329" t="str">
        <f t="shared" si="30"/>
        <v>XW</v>
      </c>
      <c r="Y440" s="1128" t="s">
        <v>3380</v>
      </c>
      <c r="Z440" s="1128" t="s">
        <v>3381</v>
      </c>
      <c r="AA440" s="1128" t="s">
        <v>3384</v>
      </c>
      <c r="AC440" s="73"/>
    </row>
    <row r="441" spans="1:29" s="20" customFormat="1">
      <c r="A441" s="327" t="str">
        <f>IF(AND($B441&lt;&gt;"",$C441&lt;&gt;""),MAX($A$4:A440)+1,"")</f>
        <v/>
      </c>
      <c r="B441" s="361" t="s">
        <v>1851</v>
      </c>
      <c r="C441" s="364"/>
      <c r="D441" s="327">
        <f>IF($B441="","",COUNTIF($B$6:$B441,$B441))</f>
        <v>3</v>
      </c>
      <c r="E441" s="361" t="s">
        <v>2249</v>
      </c>
      <c r="F441" s="362" t="s">
        <v>78</v>
      </c>
      <c r="G441" s="327" t="s">
        <v>329</v>
      </c>
      <c r="H441" s="325"/>
      <c r="I441" s="327">
        <v>4</v>
      </c>
      <c r="J441" s="361" t="s">
        <v>2826</v>
      </c>
      <c r="K441" s="327" t="s">
        <v>516</v>
      </c>
      <c r="L441" s="348">
        <f t="shared" si="39"/>
        <v>729119.99999999988</v>
      </c>
      <c r="M441" s="371"/>
      <c r="N441" s="355" t="str">
        <f t="shared" si="31"/>
        <v>PR</v>
      </c>
      <c r="O441" s="345" t="s">
        <v>16</v>
      </c>
      <c r="P441" s="325"/>
      <c r="Q441" s="351"/>
      <c r="R441" s="351">
        <v>2</v>
      </c>
      <c r="S441" s="351">
        <v>6</v>
      </c>
      <c r="T441" s="351">
        <v>1.4466666666666665</v>
      </c>
      <c r="U441" s="329">
        <f>IF($N441=$N$4,IFERROR(INDEX(DanhMuc!$E$154:$E$165,MATCH(MID($B441,4,2),DanhMuc!$B$154:$B$165,0)),""),"")</f>
        <v>6000</v>
      </c>
      <c r="V441" s="325"/>
      <c r="W441" s="352" t="str">
        <f>+IF(AND($A441&lt;&gt;"",LEN($B441)&gt;=8,COUNTIF($B$6:$B441,$B441)=1),$W$5,"")</f>
        <v/>
      </c>
      <c r="X441" s="329" t="str">
        <f t="shared" si="30"/>
        <v>XW</v>
      </c>
      <c r="Y441" s="1128" t="s">
        <v>3380</v>
      </c>
      <c r="Z441" s="1128" t="s">
        <v>3381</v>
      </c>
      <c r="AA441" s="1128" t="s">
        <v>3384</v>
      </c>
      <c r="AC441" s="73"/>
    </row>
    <row r="442" spans="1:29" s="20" customFormat="1">
      <c r="A442" s="327" t="str">
        <f>IF(AND($B442&lt;&gt;"",$C442&lt;&gt;""),MAX($A$4:A441)+1,"")</f>
        <v/>
      </c>
      <c r="B442" s="361" t="s">
        <v>1851</v>
      </c>
      <c r="C442" s="364"/>
      <c r="D442" s="327">
        <f>IF($B442="","",COUNTIF($B$6:$B442,$B442))</f>
        <v>4</v>
      </c>
      <c r="E442" s="361" t="s">
        <v>2249</v>
      </c>
      <c r="F442" s="362" t="s">
        <v>78</v>
      </c>
      <c r="G442" s="327" t="s">
        <v>329</v>
      </c>
      <c r="H442" s="325"/>
      <c r="I442" s="327">
        <v>4</v>
      </c>
      <c r="J442" s="361" t="s">
        <v>2827</v>
      </c>
      <c r="K442" s="327" t="s">
        <v>516</v>
      </c>
      <c r="L442" s="348">
        <f t="shared" si="39"/>
        <v>729119.99999999988</v>
      </c>
      <c r="M442" s="371"/>
      <c r="N442" s="355" t="str">
        <f t="shared" ref="N442:N673" si="40">+$N$4</f>
        <v>PR</v>
      </c>
      <c r="O442" s="345" t="s">
        <v>16</v>
      </c>
      <c r="P442" s="325"/>
      <c r="Q442" s="351"/>
      <c r="R442" s="351">
        <v>2</v>
      </c>
      <c r="S442" s="351">
        <v>6</v>
      </c>
      <c r="T442" s="351">
        <v>1.4466666666666665</v>
      </c>
      <c r="U442" s="329">
        <f>IF($N442=$N$4,IFERROR(INDEX(DanhMuc!$E$154:$E$165,MATCH(MID($B442,4,2),DanhMuc!$B$154:$B$165,0)),""),"")</f>
        <v>6000</v>
      </c>
      <c r="V442" s="325"/>
      <c r="W442" s="352" t="str">
        <f>+IF(AND($A442&lt;&gt;"",LEN($B442)&gt;=8,COUNTIF($B$6:$B442,$B442)=1),$W$5,"")</f>
        <v/>
      </c>
      <c r="X442" s="329" t="str">
        <f t="shared" si="30"/>
        <v>XW</v>
      </c>
      <c r="Y442" s="1128" t="s">
        <v>3380</v>
      </c>
      <c r="Z442" s="1128" t="s">
        <v>3381</v>
      </c>
      <c r="AA442" s="1128" t="s">
        <v>3384</v>
      </c>
      <c r="AC442" s="73"/>
    </row>
    <row r="443" spans="1:29" s="20" customFormat="1">
      <c r="A443" s="327" t="str">
        <f>IF(AND($B443&lt;&gt;"",$C443&lt;&gt;""),MAX($A$4:A442)+1,"")</f>
        <v/>
      </c>
      <c r="B443" s="361" t="s">
        <v>1851</v>
      </c>
      <c r="C443" s="364"/>
      <c r="D443" s="327">
        <f>IF($B443="","",COUNTIF($B$6:$B443,$B443))</f>
        <v>5</v>
      </c>
      <c r="E443" s="361" t="s">
        <v>2249</v>
      </c>
      <c r="F443" s="362" t="s">
        <v>78</v>
      </c>
      <c r="G443" s="327" t="s">
        <v>328</v>
      </c>
      <c r="H443" s="325"/>
      <c r="I443" s="327">
        <v>8</v>
      </c>
      <c r="J443" s="361" t="s">
        <v>648</v>
      </c>
      <c r="K443" s="327" t="s">
        <v>516</v>
      </c>
      <c r="L443" s="348">
        <f t="shared" si="39"/>
        <v>729119.99999999988</v>
      </c>
      <c r="M443" s="371"/>
      <c r="N443" s="355" t="str">
        <f t="shared" si="40"/>
        <v>PR</v>
      </c>
      <c r="O443" s="345" t="s">
        <v>16</v>
      </c>
      <c r="P443" s="325"/>
      <c r="Q443" s="351"/>
      <c r="R443" s="351">
        <v>2</v>
      </c>
      <c r="S443" s="351">
        <v>6</v>
      </c>
      <c r="T443" s="351">
        <v>1.4466666666666665</v>
      </c>
      <c r="U443" s="329">
        <f>IF($N443=$N$4,IFERROR(INDEX(DanhMuc!$E$154:$E$165,MATCH(MID($B443,4,2),DanhMuc!$B$154:$B$165,0)),""),"")</f>
        <v>6000</v>
      </c>
      <c r="V443" s="325"/>
      <c r="W443" s="352" t="str">
        <f>+IF(AND($A443&lt;&gt;"",LEN($B443)&gt;=8,COUNTIF($B$6:$B443,$B443)=1),$W$5,"")</f>
        <v/>
      </c>
      <c r="X443" s="329" t="str">
        <f t="shared" ref="X443:X542" si="41">IF(IFERROR(SEARCH("thép",$F443,1),0)&gt;=1,"T" &amp;MID($B443,4,2),MID($B443,4,2))</f>
        <v>XW</v>
      </c>
      <c r="Y443" s="1128" t="s">
        <v>3380</v>
      </c>
      <c r="Z443" s="1128" t="s">
        <v>3381</v>
      </c>
      <c r="AA443" s="1128" t="s">
        <v>3384</v>
      </c>
      <c r="AC443" s="73"/>
    </row>
    <row r="444" spans="1:29" s="20" customFormat="1">
      <c r="A444" s="327" t="str">
        <f>IF(AND($B444&lt;&gt;"",$C444&lt;&gt;""),MAX($A$4:A443)+1,"")</f>
        <v/>
      </c>
      <c r="B444" s="361" t="s">
        <v>1851</v>
      </c>
      <c r="C444" s="364"/>
      <c r="D444" s="327">
        <f>IF($B444="","",COUNTIF($B$6:$B444,$B444))</f>
        <v>6</v>
      </c>
      <c r="E444" s="361" t="s">
        <v>2250</v>
      </c>
      <c r="F444" s="362" t="s">
        <v>77</v>
      </c>
      <c r="G444" s="327" t="s">
        <v>329</v>
      </c>
      <c r="H444" s="325"/>
      <c r="I444" s="327">
        <v>4</v>
      </c>
      <c r="J444" s="361" t="s">
        <v>2826</v>
      </c>
      <c r="K444" s="327" t="s">
        <v>516</v>
      </c>
      <c r="L444" s="348">
        <f t="shared" si="39"/>
        <v>719040</v>
      </c>
      <c r="M444" s="355"/>
      <c r="N444" s="355" t="str">
        <f t="shared" si="40"/>
        <v>PR</v>
      </c>
      <c r="O444" s="345" t="s">
        <v>19</v>
      </c>
      <c r="P444" s="325"/>
      <c r="Q444" s="351"/>
      <c r="R444" s="351">
        <v>2</v>
      </c>
      <c r="S444" s="351">
        <v>6</v>
      </c>
      <c r="T444" s="351">
        <v>1.4266666666666667</v>
      </c>
      <c r="U444" s="329">
        <f>IF($N444=$N$4,IFERROR(INDEX(DanhMuc!$E$154:$E$165,MATCH(MID($B444,4,2),DanhMuc!$B$154:$B$165,0)),""),"")</f>
        <v>6000</v>
      </c>
      <c r="V444" s="325"/>
      <c r="W444" s="352" t="str">
        <f>+IF(AND($A444&lt;&gt;"",LEN($B444)&gt;=8,COUNTIF($B$6:$B444,$B444)=1),$W$5,"")</f>
        <v/>
      </c>
      <c r="X444" s="329" t="str">
        <f t="shared" si="41"/>
        <v>XW</v>
      </c>
      <c r="Y444" s="1128" t="s">
        <v>3380</v>
      </c>
      <c r="Z444" s="1128" t="s">
        <v>3381</v>
      </c>
      <c r="AA444" s="1128" t="s">
        <v>3384</v>
      </c>
      <c r="AC444" s="73"/>
    </row>
    <row r="445" spans="1:29" s="20" customFormat="1">
      <c r="A445" s="327" t="str">
        <f>IF(AND($B445&lt;&gt;"",$C445&lt;&gt;""),MAX($A$4:A444)+1,"")</f>
        <v/>
      </c>
      <c r="B445" s="361" t="s">
        <v>1851</v>
      </c>
      <c r="C445" s="364"/>
      <c r="D445" s="327">
        <f>IF($B445="","",COUNTIF($B$6:$B445,$B445))</f>
        <v>7</v>
      </c>
      <c r="E445" s="361" t="s">
        <v>2250</v>
      </c>
      <c r="F445" s="362" t="s">
        <v>77</v>
      </c>
      <c r="G445" s="327" t="s">
        <v>329</v>
      </c>
      <c r="H445" s="325"/>
      <c r="I445" s="327">
        <v>4</v>
      </c>
      <c r="J445" s="361" t="s">
        <v>2827</v>
      </c>
      <c r="K445" s="327" t="s">
        <v>516</v>
      </c>
      <c r="L445" s="348">
        <f t="shared" si="39"/>
        <v>719040</v>
      </c>
      <c r="M445" s="355"/>
      <c r="N445" s="355" t="str">
        <f t="shared" si="40"/>
        <v>PR</v>
      </c>
      <c r="O445" s="345" t="s">
        <v>19</v>
      </c>
      <c r="P445" s="325"/>
      <c r="Q445" s="351"/>
      <c r="R445" s="351">
        <v>2</v>
      </c>
      <c r="S445" s="351">
        <v>6</v>
      </c>
      <c r="T445" s="351">
        <v>1.4266666666666667</v>
      </c>
      <c r="U445" s="329">
        <f>IF($N445=$N$4,IFERROR(INDEX(DanhMuc!$E$154:$E$165,MATCH(MID($B445,4,2),DanhMuc!$B$154:$B$165,0)),""),"")</f>
        <v>6000</v>
      </c>
      <c r="V445" s="325"/>
      <c r="W445" s="352" t="str">
        <f>+IF(AND($A445&lt;&gt;"",LEN($B445)&gt;=8,COUNTIF($B$6:$B445,$B445)=1),$W$5,"")</f>
        <v/>
      </c>
      <c r="X445" s="329" t="str">
        <f t="shared" si="41"/>
        <v>XW</v>
      </c>
      <c r="Y445" s="1128" t="s">
        <v>3380</v>
      </c>
      <c r="Z445" s="1128" t="s">
        <v>3381</v>
      </c>
      <c r="AA445" s="1128" t="s">
        <v>3384</v>
      </c>
      <c r="AC445" s="73"/>
    </row>
    <row r="446" spans="1:29" s="20" customFormat="1">
      <c r="A446" s="327" t="str">
        <f>IF(AND($B446&lt;&gt;"",$C446&lt;&gt;""),MAX($A$4:A445)+1,"")</f>
        <v/>
      </c>
      <c r="B446" s="361" t="s">
        <v>1851</v>
      </c>
      <c r="C446" s="364"/>
      <c r="D446" s="327">
        <f>IF($B446="","",COUNTIF($B$6:$B446,$B446))</f>
        <v>8</v>
      </c>
      <c r="E446" s="361" t="s">
        <v>2250</v>
      </c>
      <c r="F446" s="362" t="s">
        <v>77</v>
      </c>
      <c r="G446" s="327" t="s">
        <v>328</v>
      </c>
      <c r="H446" s="325"/>
      <c r="I446" s="327">
        <v>8</v>
      </c>
      <c r="J446" s="361" t="s">
        <v>648</v>
      </c>
      <c r="K446" s="327" t="s">
        <v>516</v>
      </c>
      <c r="L446" s="348">
        <f t="shared" si="39"/>
        <v>719040</v>
      </c>
      <c r="M446" s="355"/>
      <c r="N446" s="355" t="str">
        <f t="shared" si="40"/>
        <v>PR</v>
      </c>
      <c r="O446" s="345" t="s">
        <v>19</v>
      </c>
      <c r="P446" s="325"/>
      <c r="Q446" s="351"/>
      <c r="R446" s="351">
        <v>2</v>
      </c>
      <c r="S446" s="351">
        <v>6</v>
      </c>
      <c r="T446" s="351">
        <v>1.4266666666666667</v>
      </c>
      <c r="U446" s="329">
        <f>IF($N446=$N$4,IFERROR(INDEX(DanhMuc!$E$154:$E$165,MATCH(MID($B446,4,2),DanhMuc!$B$154:$B$165,0)),""),"")</f>
        <v>6000</v>
      </c>
      <c r="V446" s="325"/>
      <c r="W446" s="352" t="str">
        <f>+IF(AND($A446&lt;&gt;"",LEN($B446)&gt;=8,COUNTIF($B$6:$B446,$B446)=1),$W$5,"")</f>
        <v/>
      </c>
      <c r="X446" s="329" t="str">
        <f t="shared" si="41"/>
        <v>XW</v>
      </c>
      <c r="Y446" s="1128" t="s">
        <v>3380</v>
      </c>
      <c r="Z446" s="1128" t="s">
        <v>3381</v>
      </c>
      <c r="AA446" s="1128" t="s">
        <v>3384</v>
      </c>
      <c r="AC446" s="73"/>
    </row>
    <row r="447" spans="1:29" s="22" customFormat="1">
      <c r="A447" s="327" t="str">
        <f>IF(AND($B447&lt;&gt;"",$C447&lt;&gt;""),MAX($A$4:A446)+1,"")</f>
        <v/>
      </c>
      <c r="B447" s="365" t="s">
        <v>1851</v>
      </c>
      <c r="C447" s="366"/>
      <c r="D447" s="367">
        <f>IF($B447="","",COUNTIF($B$6:$B447,$B447))</f>
        <v>9</v>
      </c>
      <c r="E447" s="365" t="s">
        <v>2243</v>
      </c>
      <c r="F447" s="368" t="s">
        <v>1904</v>
      </c>
      <c r="G447" s="367" t="s">
        <v>329</v>
      </c>
      <c r="H447" s="325"/>
      <c r="I447" s="367">
        <v>2</v>
      </c>
      <c r="J447" s="365" t="s">
        <v>2828</v>
      </c>
      <c r="K447" s="367" t="s">
        <v>516</v>
      </c>
      <c r="L447" s="348">
        <f t="shared" si="39"/>
        <v>249480.00000000006</v>
      </c>
      <c r="M447" s="372"/>
      <c r="N447" s="369" t="str">
        <f t="shared" si="40"/>
        <v>PR</v>
      </c>
      <c r="O447" s="347" t="s">
        <v>1475</v>
      </c>
      <c r="P447" s="329"/>
      <c r="Q447" s="367"/>
      <c r="R447" s="351">
        <v>1.8</v>
      </c>
      <c r="S447" s="351">
        <v>6</v>
      </c>
      <c r="T447" s="351">
        <v>0.49500000000000005</v>
      </c>
      <c r="U447" s="329">
        <f>IF($N447=$N$4,IFERROR(INDEX(DanhMuc!$E$154:$E$165,MATCH(MID($B447,4,2),DanhMuc!$B$154:$B$165,0)),""),"")</f>
        <v>6000</v>
      </c>
      <c r="V447" s="329"/>
      <c r="W447" s="352" t="str">
        <f>+IF(AND($A447&lt;&gt;"",LEN($B447)&gt;=8,COUNTIF($B$6:$B447,$B447)=1),$W$5,"")</f>
        <v/>
      </c>
      <c r="X447" s="329" t="str">
        <f t="shared" si="41"/>
        <v>XW</v>
      </c>
      <c r="Y447" s="1128" t="s">
        <v>3380</v>
      </c>
      <c r="Z447" s="1128" t="s">
        <v>3381</v>
      </c>
      <c r="AA447" s="1128" t="s">
        <v>3384</v>
      </c>
      <c r="AB447" s="20"/>
      <c r="AC447" s="73"/>
    </row>
    <row r="448" spans="1:29" s="22" customFormat="1">
      <c r="A448" s="327" t="str">
        <f>IF(AND($B448&lt;&gt;"",$C448&lt;&gt;""),MAX($A$4:A447)+1,"")</f>
        <v/>
      </c>
      <c r="B448" s="365" t="s">
        <v>1851</v>
      </c>
      <c r="C448" s="366"/>
      <c r="D448" s="367">
        <f>IF($B448="","",COUNTIF($B$6:$B448,$B448))</f>
        <v>10</v>
      </c>
      <c r="E448" s="365" t="s">
        <v>2243</v>
      </c>
      <c r="F448" s="368" t="s">
        <v>1904</v>
      </c>
      <c r="G448" s="367" t="s">
        <v>329</v>
      </c>
      <c r="H448" s="325"/>
      <c r="I448" s="367">
        <v>2</v>
      </c>
      <c r="J448" s="365" t="s">
        <v>2829</v>
      </c>
      <c r="K448" s="367" t="s">
        <v>516</v>
      </c>
      <c r="L448" s="348">
        <f t="shared" si="39"/>
        <v>249480.00000000006</v>
      </c>
      <c r="M448" s="372"/>
      <c r="N448" s="369" t="str">
        <f t="shared" si="40"/>
        <v>PR</v>
      </c>
      <c r="O448" s="347" t="s">
        <v>1475</v>
      </c>
      <c r="P448" s="329"/>
      <c r="Q448" s="367"/>
      <c r="R448" s="351">
        <v>1.8</v>
      </c>
      <c r="S448" s="351">
        <v>6</v>
      </c>
      <c r="T448" s="351">
        <v>0.49500000000000005</v>
      </c>
      <c r="U448" s="329">
        <f>IF($N448=$N$4,IFERROR(INDEX(DanhMuc!$E$154:$E$165,MATCH(MID($B448,4,2),DanhMuc!$B$154:$B$165,0)),""),"")</f>
        <v>6000</v>
      </c>
      <c r="V448" s="329"/>
      <c r="W448" s="352" t="str">
        <f>+IF(AND($A448&lt;&gt;"",LEN($B448)&gt;=8,COUNTIF($B$6:$B448,$B448)=1),$W$5,"")</f>
        <v/>
      </c>
      <c r="X448" s="329" t="str">
        <f t="shared" si="41"/>
        <v>XW</v>
      </c>
      <c r="Y448" s="1128" t="s">
        <v>3380</v>
      </c>
      <c r="Z448" s="1128" t="s">
        <v>3381</v>
      </c>
      <c r="AA448" s="1128" t="s">
        <v>3384</v>
      </c>
      <c r="AB448" s="20"/>
      <c r="AC448" s="73"/>
    </row>
    <row r="449" spans="1:29" s="22" customFormat="1">
      <c r="A449" s="327" t="str">
        <f>IF(AND($B449&lt;&gt;"",$C449&lt;&gt;""),MAX($A$4:A448)+1,"")</f>
        <v/>
      </c>
      <c r="B449" s="621" t="s">
        <v>1851</v>
      </c>
      <c r="C449" s="622"/>
      <c r="D449" s="623">
        <f>IF($B449="","",COUNTIF($B$6:$B449,$B449))</f>
        <v>11</v>
      </c>
      <c r="E449" s="621" t="s">
        <v>623</v>
      </c>
      <c r="F449" s="624" t="s">
        <v>865</v>
      </c>
      <c r="G449" s="623" t="s">
        <v>329</v>
      </c>
      <c r="H449" s="325"/>
      <c r="I449" s="367">
        <v>1</v>
      </c>
      <c r="J449" s="365" t="s">
        <v>867</v>
      </c>
      <c r="K449" s="367" t="s">
        <v>531</v>
      </c>
      <c r="L449" s="625">
        <f t="shared" ref="L449" si="42">+$T449*$S449*$L$37</f>
        <v>536931.81818181812</v>
      </c>
      <c r="M449" s="369"/>
      <c r="N449" s="369" t="str">
        <f t="shared" si="40"/>
        <v>PR</v>
      </c>
      <c r="O449" s="347" t="s">
        <v>1476</v>
      </c>
      <c r="P449" s="626"/>
      <c r="Q449" s="623"/>
      <c r="R449" s="627"/>
      <c r="S449" s="627">
        <v>5.8</v>
      </c>
      <c r="T449" s="627">
        <v>0.8816614420062695</v>
      </c>
      <c r="U449" s="1041">
        <v>5800</v>
      </c>
      <c r="V449" s="329"/>
      <c r="W449" s="352" t="str">
        <f>+IF(AND($A449&lt;&gt;"",LEN($B449)&gt;=8,COUNTIF($B$6:$B449,$B449)=1),$W$5,"")</f>
        <v/>
      </c>
      <c r="X449" s="329" t="str">
        <f t="shared" si="41"/>
        <v>XW</v>
      </c>
      <c r="Y449" s="1128" t="s">
        <v>3380</v>
      </c>
      <c r="Z449" s="1128" t="s">
        <v>3381</v>
      </c>
      <c r="AA449" s="1128" t="s">
        <v>3384</v>
      </c>
      <c r="AB449" s="20"/>
      <c r="AC449" s="73"/>
    </row>
    <row r="450" spans="1:29" s="20" customFormat="1">
      <c r="A450" s="327" t="str">
        <f>IF(AND($B450&lt;&gt;"",$C450&lt;&gt;""),MAX($A$4:A449)+1,"")</f>
        <v/>
      </c>
      <c r="B450" s="361" t="s">
        <v>1851</v>
      </c>
      <c r="C450" s="364"/>
      <c r="D450" s="327">
        <f>IF($B450="","",COUNTIF($B$6:$B450,$B450))</f>
        <v>12</v>
      </c>
      <c r="E450" s="361" t="s">
        <v>2247</v>
      </c>
      <c r="F450" s="362" t="s">
        <v>1905</v>
      </c>
      <c r="G450" s="327" t="s">
        <v>328</v>
      </c>
      <c r="H450" s="325"/>
      <c r="I450" s="327">
        <v>3</v>
      </c>
      <c r="J450" s="361" t="s">
        <v>2667</v>
      </c>
      <c r="K450" s="327" t="s">
        <v>531</v>
      </c>
      <c r="L450" s="348">
        <f t="shared" ref="L450:L528" si="43">+$T450*$L$391*$S450</f>
        <v>397320.00000000012</v>
      </c>
      <c r="M450" s="371"/>
      <c r="N450" s="355" t="str">
        <f t="shared" si="40"/>
        <v>PR</v>
      </c>
      <c r="O450" s="347"/>
      <c r="P450" s="325"/>
      <c r="Q450" s="351"/>
      <c r="R450" s="351">
        <v>1.2</v>
      </c>
      <c r="S450" s="351">
        <v>6</v>
      </c>
      <c r="T450" s="351">
        <v>0.78833333333333344</v>
      </c>
      <c r="U450" s="329">
        <f>IF($N450=$N$4,IFERROR(INDEX(DanhMuc!$E$154:$E$165,MATCH(MID($B450,4,2),DanhMuc!$B$154:$B$165,0)),""),"")</f>
        <v>6000</v>
      </c>
      <c r="V450" s="325"/>
      <c r="W450" s="352" t="str">
        <f>+IF(AND($A450&lt;&gt;"",LEN($B450)&gt;=8,COUNTIF($B$6:$B450,$B450)=1),$W$5,"")</f>
        <v/>
      </c>
      <c r="X450" s="329" t="str">
        <f t="shared" si="41"/>
        <v>XW</v>
      </c>
      <c r="Y450" s="1128" t="s">
        <v>3380</v>
      </c>
      <c r="Z450" s="1128" t="s">
        <v>3381</v>
      </c>
      <c r="AA450" s="1128" t="s">
        <v>3384</v>
      </c>
      <c r="AC450" s="73"/>
    </row>
    <row r="451" spans="1:29" s="20" customFormat="1">
      <c r="A451" s="327" t="str">
        <f>IF(AND($B451&lt;&gt;"",$C451&lt;&gt;""),MAX($A$4:A450)+1,"")</f>
        <v/>
      </c>
      <c r="B451" s="361" t="s">
        <v>1851</v>
      </c>
      <c r="C451" s="364"/>
      <c r="D451" s="327">
        <f>IF($B451="","",COUNTIF($B$6:$B451,$B451))</f>
        <v>13</v>
      </c>
      <c r="E451" s="402" t="s">
        <v>2244</v>
      </c>
      <c r="F451" s="362" t="s">
        <v>346</v>
      </c>
      <c r="G451" s="327" t="s">
        <v>329</v>
      </c>
      <c r="H451" s="325"/>
      <c r="I451" s="327">
        <v>4</v>
      </c>
      <c r="J451" s="361" t="s">
        <v>2830</v>
      </c>
      <c r="K451" s="327" t="s">
        <v>531</v>
      </c>
      <c r="L451" s="348">
        <f t="shared" si="43"/>
        <v>142800</v>
      </c>
      <c r="M451" s="371"/>
      <c r="N451" s="355" t="str">
        <f t="shared" si="40"/>
        <v>PR</v>
      </c>
      <c r="O451" s="347">
        <v>10</v>
      </c>
      <c r="P451" s="325"/>
      <c r="Q451" s="351"/>
      <c r="R451" s="438">
        <v>1.2</v>
      </c>
      <c r="S451" s="351">
        <v>6</v>
      </c>
      <c r="T451" s="351">
        <v>0.28333333333333333</v>
      </c>
      <c r="U451" s="329">
        <f>IF($N451=$N$4,IFERROR(INDEX(DanhMuc!$E$154:$E$165,MATCH(MID($B451,4,2),DanhMuc!$B$154:$B$165,0)),""),"")</f>
        <v>6000</v>
      </c>
      <c r="V451" s="325"/>
      <c r="W451" s="352" t="str">
        <f>+IF(AND($A451&lt;&gt;"",LEN($B451)&gt;=8,COUNTIF($B$6:$B451,$B451)=1),$W$5,"")</f>
        <v/>
      </c>
      <c r="X451" s="329" t="str">
        <f t="shared" si="41"/>
        <v>XW</v>
      </c>
      <c r="Y451" s="1128" t="s">
        <v>3380</v>
      </c>
      <c r="Z451" s="1128" t="s">
        <v>3381</v>
      </c>
      <c r="AA451" s="1128" t="s">
        <v>3384</v>
      </c>
      <c r="AC451" s="73"/>
    </row>
    <row r="452" spans="1:29" s="20" customFormat="1">
      <c r="A452" s="327" t="str">
        <f>IF(AND($B452&lt;&gt;"",$C452&lt;&gt;""),MAX($A$4:A451)+1,"")</f>
        <v/>
      </c>
      <c r="B452" s="361" t="s">
        <v>1851</v>
      </c>
      <c r="C452" s="364"/>
      <c r="D452" s="327">
        <f>IF($B452="","",COUNTIF($B$6:$B452,$B452))</f>
        <v>14</v>
      </c>
      <c r="E452" s="402" t="s">
        <v>2244</v>
      </c>
      <c r="F452" s="362" t="s">
        <v>346</v>
      </c>
      <c r="G452" s="327" t="s">
        <v>329</v>
      </c>
      <c r="H452" s="325"/>
      <c r="I452" s="327">
        <v>4</v>
      </c>
      <c r="J452" s="361" t="s">
        <v>2831</v>
      </c>
      <c r="K452" s="327" t="s">
        <v>531</v>
      </c>
      <c r="L452" s="348">
        <f t="shared" si="43"/>
        <v>142800</v>
      </c>
      <c r="M452" s="371"/>
      <c r="N452" s="355" t="str">
        <f t="shared" si="40"/>
        <v>PR</v>
      </c>
      <c r="O452" s="347">
        <v>10</v>
      </c>
      <c r="P452" s="325"/>
      <c r="Q452" s="351"/>
      <c r="R452" s="438">
        <v>1.2</v>
      </c>
      <c r="S452" s="351">
        <v>6</v>
      </c>
      <c r="T452" s="351">
        <v>0.28333333333333333</v>
      </c>
      <c r="U452" s="329">
        <f>IF($N452=$N$4,IFERROR(INDEX(DanhMuc!$E$154:$E$165,MATCH(MID($B452,4,2),DanhMuc!$B$154:$B$165,0)),""),"")</f>
        <v>6000</v>
      </c>
      <c r="V452" s="325"/>
      <c r="W452" s="352" t="str">
        <f>+IF(AND($A452&lt;&gt;"",LEN($B452)&gt;=8,COUNTIF($B$6:$B452,$B452)=1),$W$5,"")</f>
        <v/>
      </c>
      <c r="X452" s="329" t="str">
        <f t="shared" si="41"/>
        <v>XW</v>
      </c>
      <c r="Y452" s="1128" t="s">
        <v>3380</v>
      </c>
      <c r="Z452" s="1128" t="s">
        <v>3381</v>
      </c>
      <c r="AA452" s="1128" t="s">
        <v>3384</v>
      </c>
      <c r="AC452" s="73"/>
    </row>
    <row r="453" spans="1:29" s="20" customFormat="1">
      <c r="A453" s="327" t="str">
        <f>IF(AND($B453&lt;&gt;"",$C453&lt;&gt;""),MAX($A$4:A452)+1,"")</f>
        <v/>
      </c>
      <c r="B453" s="361" t="s">
        <v>1851</v>
      </c>
      <c r="C453" s="364"/>
      <c r="D453" s="327">
        <f>IF($B453="","",COUNTIF($B$6:$B453,$B453))</f>
        <v>15</v>
      </c>
      <c r="E453" s="402" t="s">
        <v>2244</v>
      </c>
      <c r="F453" s="362" t="s">
        <v>346</v>
      </c>
      <c r="G453" s="327" t="s">
        <v>328</v>
      </c>
      <c r="H453" s="325"/>
      <c r="I453" s="327">
        <v>8</v>
      </c>
      <c r="J453" s="361" t="s">
        <v>703</v>
      </c>
      <c r="K453" s="327" t="s">
        <v>531</v>
      </c>
      <c r="L453" s="348">
        <f t="shared" si="43"/>
        <v>142800</v>
      </c>
      <c r="M453" s="371"/>
      <c r="N453" s="355" t="str">
        <f t="shared" si="40"/>
        <v>PR</v>
      </c>
      <c r="O453" s="347">
        <v>10</v>
      </c>
      <c r="P453" s="325"/>
      <c r="Q453" s="351"/>
      <c r="R453" s="438">
        <v>1.2</v>
      </c>
      <c r="S453" s="351">
        <v>6</v>
      </c>
      <c r="T453" s="351">
        <v>0.28333333333333333</v>
      </c>
      <c r="U453" s="329">
        <f>IF($N453=$N$4,IFERROR(INDEX(DanhMuc!$E$154:$E$165,MATCH(MID($B453,4,2),DanhMuc!$B$154:$B$165,0)),""),"")</f>
        <v>6000</v>
      </c>
      <c r="V453" s="325"/>
      <c r="W453" s="352" t="str">
        <f>+IF(AND($A453&lt;&gt;"",LEN($B453)&gt;=8,COUNTIF($B$6:$B453,$B453)=1),$W$5,"")</f>
        <v/>
      </c>
      <c r="X453" s="329" t="str">
        <f t="shared" si="41"/>
        <v>XW</v>
      </c>
      <c r="Y453" s="1128" t="s">
        <v>3380</v>
      </c>
      <c r="Z453" s="1128" t="s">
        <v>3381</v>
      </c>
      <c r="AA453" s="1128" t="s">
        <v>3384</v>
      </c>
      <c r="AC453" s="73"/>
    </row>
    <row r="454" spans="1:29" s="20" customFormat="1">
      <c r="A454" s="327" t="str">
        <f>IF(AND($B454&lt;&gt;"",$C454&lt;&gt;""),MAX($A$4:A453)+1,"")</f>
        <v/>
      </c>
      <c r="B454" s="361" t="s">
        <v>1851</v>
      </c>
      <c r="C454" s="364"/>
      <c r="D454" s="327">
        <f>IF($B454="","",COUNTIF($B$6:$B454,$B454))</f>
        <v>16</v>
      </c>
      <c r="E454" s="402" t="s">
        <v>2245</v>
      </c>
      <c r="F454" s="362" t="s">
        <v>386</v>
      </c>
      <c r="G454" s="327" t="s">
        <v>329</v>
      </c>
      <c r="H454" s="325"/>
      <c r="I454" s="327">
        <v>4</v>
      </c>
      <c r="J454" s="361" t="s">
        <v>2830</v>
      </c>
      <c r="K454" s="327" t="s">
        <v>531</v>
      </c>
      <c r="L454" s="348">
        <f t="shared" si="43"/>
        <v>0</v>
      </c>
      <c r="M454" s="355"/>
      <c r="N454" s="355" t="str">
        <f t="shared" si="40"/>
        <v>PR</v>
      </c>
      <c r="O454" s="347">
        <v>19</v>
      </c>
      <c r="P454" s="325"/>
      <c r="Q454" s="351"/>
      <c r="R454" s="438"/>
      <c r="S454" s="351">
        <v>6</v>
      </c>
      <c r="T454" s="351">
        <v>0</v>
      </c>
      <c r="U454" s="329">
        <f>IF($N454=$N$4,IFERROR(INDEX(DanhMuc!$E$154:$E$165,MATCH(MID($B454,4,2),DanhMuc!$B$154:$B$165,0)),""),"")</f>
        <v>6000</v>
      </c>
      <c r="V454" s="325"/>
      <c r="W454" s="352" t="str">
        <f>+IF(AND($A454&lt;&gt;"",LEN($B454)&gt;=8,COUNTIF($B$6:$B454,$B454)=1),$W$5,"")</f>
        <v/>
      </c>
      <c r="X454" s="329" t="str">
        <f t="shared" si="41"/>
        <v>XW</v>
      </c>
      <c r="Y454" s="1128" t="s">
        <v>3380</v>
      </c>
      <c r="Z454" s="1128" t="s">
        <v>3381</v>
      </c>
      <c r="AA454" s="1128" t="s">
        <v>3384</v>
      </c>
      <c r="AC454" s="73"/>
    </row>
    <row r="455" spans="1:29" s="20" customFormat="1">
      <c r="A455" s="327" t="str">
        <f>IF(AND($B455&lt;&gt;"",$C455&lt;&gt;""),MAX($A$4:A454)+1,"")</f>
        <v/>
      </c>
      <c r="B455" s="361" t="s">
        <v>1851</v>
      </c>
      <c r="C455" s="364"/>
      <c r="D455" s="327">
        <f>IF($B455="","",COUNTIF($B$6:$B455,$B455))</f>
        <v>17</v>
      </c>
      <c r="E455" s="402" t="s">
        <v>2245</v>
      </c>
      <c r="F455" s="362" t="s">
        <v>386</v>
      </c>
      <c r="G455" s="327" t="s">
        <v>329</v>
      </c>
      <c r="H455" s="325"/>
      <c r="I455" s="327">
        <v>4</v>
      </c>
      <c r="J455" s="361" t="s">
        <v>2831</v>
      </c>
      <c r="K455" s="327" t="s">
        <v>531</v>
      </c>
      <c r="L455" s="348">
        <f t="shared" si="43"/>
        <v>0</v>
      </c>
      <c r="M455" s="355"/>
      <c r="N455" s="355" t="str">
        <f t="shared" si="40"/>
        <v>PR</v>
      </c>
      <c r="O455" s="347">
        <v>19</v>
      </c>
      <c r="P455" s="325"/>
      <c r="Q455" s="351"/>
      <c r="R455" s="438"/>
      <c r="S455" s="351">
        <v>6</v>
      </c>
      <c r="T455" s="351">
        <v>0</v>
      </c>
      <c r="U455" s="329">
        <f>IF($N455=$N$4,IFERROR(INDEX(DanhMuc!$E$154:$E$165,MATCH(MID($B455,4,2),DanhMuc!$B$154:$B$165,0)),""),"")</f>
        <v>6000</v>
      </c>
      <c r="V455" s="325"/>
      <c r="W455" s="352" t="str">
        <f>+IF(AND($A455&lt;&gt;"",LEN($B455)&gt;=8,COUNTIF($B$6:$B455,$B455)=1),$W$5,"")</f>
        <v/>
      </c>
      <c r="X455" s="329" t="str">
        <f t="shared" si="41"/>
        <v>XW</v>
      </c>
      <c r="Y455" s="1128" t="s">
        <v>3380</v>
      </c>
      <c r="Z455" s="1128" t="s">
        <v>3381</v>
      </c>
      <c r="AA455" s="1128" t="s">
        <v>3384</v>
      </c>
      <c r="AC455" s="73"/>
    </row>
    <row r="456" spans="1:29" s="20" customFormat="1">
      <c r="A456" s="327" t="str">
        <f>IF(AND($B456&lt;&gt;"",$C456&lt;&gt;""),MAX($A$4:A455)+1,"")</f>
        <v/>
      </c>
      <c r="B456" s="361" t="s">
        <v>1851</v>
      </c>
      <c r="C456" s="364"/>
      <c r="D456" s="327">
        <f>IF($B456="","",COUNTIF($B$6:$B456,$B456))</f>
        <v>18</v>
      </c>
      <c r="E456" s="402" t="s">
        <v>2245</v>
      </c>
      <c r="F456" s="362" t="s">
        <v>386</v>
      </c>
      <c r="G456" s="327" t="s">
        <v>328</v>
      </c>
      <c r="H456" s="325"/>
      <c r="I456" s="327">
        <v>8</v>
      </c>
      <c r="J456" s="361" t="s">
        <v>703</v>
      </c>
      <c r="K456" s="327" t="s">
        <v>531</v>
      </c>
      <c r="L456" s="348">
        <f t="shared" si="43"/>
        <v>0</v>
      </c>
      <c r="M456" s="355"/>
      <c r="N456" s="355" t="str">
        <f t="shared" si="40"/>
        <v>PR</v>
      </c>
      <c r="O456" s="347">
        <v>19</v>
      </c>
      <c r="P456" s="325"/>
      <c r="Q456" s="351"/>
      <c r="R456" s="438"/>
      <c r="S456" s="351">
        <v>6</v>
      </c>
      <c r="T456" s="351">
        <v>0</v>
      </c>
      <c r="U456" s="329">
        <f>IF($N456=$N$4,IFERROR(INDEX(DanhMuc!$E$154:$E$165,MATCH(MID($B456,4,2),DanhMuc!$B$154:$B$165,0)),""),"")</f>
        <v>6000</v>
      </c>
      <c r="V456" s="325"/>
      <c r="W456" s="352" t="str">
        <f>+IF(AND($A456&lt;&gt;"",LEN($B456)&gt;=8,COUNTIF($B$6:$B456,$B456)=1),$W$5,"")</f>
        <v/>
      </c>
      <c r="X456" s="329" t="str">
        <f t="shared" si="41"/>
        <v>XW</v>
      </c>
      <c r="Y456" s="1128" t="s">
        <v>3380</v>
      </c>
      <c r="Z456" s="1128" t="s">
        <v>3381</v>
      </c>
      <c r="AA456" s="1128" t="s">
        <v>3384</v>
      </c>
      <c r="AC456" s="73"/>
    </row>
    <row r="457" spans="1:29" s="20" customFormat="1">
      <c r="A457" s="327" t="str">
        <f>IF(AND($B457&lt;&gt;"",$C457&lt;&gt;""),MAX($A$4:A456)+1,"")</f>
        <v/>
      </c>
      <c r="B457" s="361" t="s">
        <v>1851</v>
      </c>
      <c r="C457" s="364"/>
      <c r="D457" s="327">
        <f>IF($B457="","",COUNTIF($B$6:$B457,$B457))</f>
        <v>19</v>
      </c>
      <c r="E457" s="402" t="s">
        <v>2246</v>
      </c>
      <c r="F457" s="362" t="s">
        <v>631</v>
      </c>
      <c r="G457" s="327" t="s">
        <v>329</v>
      </c>
      <c r="H457" s="325"/>
      <c r="I457" s="327">
        <v>4</v>
      </c>
      <c r="J457" s="361" t="s">
        <v>2830</v>
      </c>
      <c r="K457" s="327" t="s">
        <v>531</v>
      </c>
      <c r="L457" s="348">
        <f t="shared" si="43"/>
        <v>117599.99999999997</v>
      </c>
      <c r="M457" s="355"/>
      <c r="N457" s="355" t="str">
        <f t="shared" si="40"/>
        <v>PR</v>
      </c>
      <c r="O457" s="347">
        <v>20</v>
      </c>
      <c r="P457" s="325"/>
      <c r="Q457" s="351"/>
      <c r="R457" s="438">
        <v>1.2</v>
      </c>
      <c r="S457" s="351">
        <v>6</v>
      </c>
      <c r="T457" s="351">
        <v>0.23333333333333331</v>
      </c>
      <c r="U457" s="329">
        <f>IF($N457=$N$4,IFERROR(INDEX(DanhMuc!$E$154:$E$165,MATCH(MID($B457,4,2),DanhMuc!$B$154:$B$165,0)),""),"")</f>
        <v>6000</v>
      </c>
      <c r="V457" s="325"/>
      <c r="W457" s="352" t="str">
        <f>+IF(AND($A457&lt;&gt;"",LEN($B457)&gt;=8,COUNTIF($B$6:$B457,$B457)=1),$W$5,"")</f>
        <v/>
      </c>
      <c r="X457" s="329" t="str">
        <f t="shared" si="41"/>
        <v>XW</v>
      </c>
      <c r="Y457" s="1128" t="s">
        <v>3380</v>
      </c>
      <c r="Z457" s="1128" t="s">
        <v>3381</v>
      </c>
      <c r="AA457" s="1128" t="s">
        <v>3384</v>
      </c>
      <c r="AC457" s="73"/>
    </row>
    <row r="458" spans="1:29" s="20" customFormat="1">
      <c r="A458" s="327" t="str">
        <f>IF(AND($B458&lt;&gt;"",$C458&lt;&gt;""),MAX($A$4:A457)+1,"")</f>
        <v/>
      </c>
      <c r="B458" s="361" t="s">
        <v>1851</v>
      </c>
      <c r="C458" s="364"/>
      <c r="D458" s="327">
        <f>IF($B458="","",COUNTIF($B$6:$B458,$B458))</f>
        <v>20</v>
      </c>
      <c r="E458" s="402" t="s">
        <v>2246</v>
      </c>
      <c r="F458" s="362" t="s">
        <v>631</v>
      </c>
      <c r="G458" s="327" t="s">
        <v>329</v>
      </c>
      <c r="H458" s="325"/>
      <c r="I458" s="327">
        <v>4</v>
      </c>
      <c r="J458" s="361" t="s">
        <v>2831</v>
      </c>
      <c r="K458" s="327" t="s">
        <v>531</v>
      </c>
      <c r="L458" s="348">
        <f t="shared" si="43"/>
        <v>117599.99999999997</v>
      </c>
      <c r="M458" s="355"/>
      <c r="N458" s="355" t="str">
        <f t="shared" si="40"/>
        <v>PR</v>
      </c>
      <c r="O458" s="347">
        <v>20</v>
      </c>
      <c r="P458" s="325"/>
      <c r="Q458" s="351"/>
      <c r="R458" s="438">
        <v>1.2</v>
      </c>
      <c r="S458" s="351">
        <v>6</v>
      </c>
      <c r="T458" s="351">
        <v>0.23333333333333331</v>
      </c>
      <c r="U458" s="329">
        <f>IF($N458=$N$4,IFERROR(INDEX(DanhMuc!$E$154:$E$165,MATCH(MID($B458,4,2),DanhMuc!$B$154:$B$165,0)),""),"")</f>
        <v>6000</v>
      </c>
      <c r="V458" s="325"/>
      <c r="W458" s="352" t="str">
        <f>+IF(AND($A458&lt;&gt;"",LEN($B458)&gt;=8,COUNTIF($B$6:$B458,$B458)=1),$W$5,"")</f>
        <v/>
      </c>
      <c r="X458" s="329" t="str">
        <f t="shared" si="41"/>
        <v>XW</v>
      </c>
      <c r="Y458" s="1128" t="s">
        <v>3380</v>
      </c>
      <c r="Z458" s="1128" t="s">
        <v>3381</v>
      </c>
      <c r="AA458" s="1128" t="s">
        <v>3384</v>
      </c>
      <c r="AC458" s="73"/>
    </row>
    <row r="459" spans="1:29" s="20" customFormat="1">
      <c r="A459" s="327" t="str">
        <f>IF(AND($B459&lt;&gt;"",$C459&lt;&gt;""),MAX($A$4:A458)+1,"")</f>
        <v/>
      </c>
      <c r="B459" s="361" t="s">
        <v>1851</v>
      </c>
      <c r="C459" s="364"/>
      <c r="D459" s="327">
        <f>IF($B459="","",COUNTIF($B$6:$B459,$B459))</f>
        <v>21</v>
      </c>
      <c r="E459" s="402" t="s">
        <v>2246</v>
      </c>
      <c r="F459" s="362" t="s">
        <v>631</v>
      </c>
      <c r="G459" s="327" t="s">
        <v>328</v>
      </c>
      <c r="H459" s="325"/>
      <c r="I459" s="327">
        <v>8</v>
      </c>
      <c r="J459" s="361" t="s">
        <v>703</v>
      </c>
      <c r="K459" s="327" t="s">
        <v>531</v>
      </c>
      <c r="L459" s="348">
        <f t="shared" si="43"/>
        <v>117599.99999999997</v>
      </c>
      <c r="M459" s="355"/>
      <c r="N459" s="355" t="str">
        <f t="shared" si="40"/>
        <v>PR</v>
      </c>
      <c r="O459" s="347">
        <v>20</v>
      </c>
      <c r="P459" s="325"/>
      <c r="Q459" s="351"/>
      <c r="R459" s="438">
        <v>1.2</v>
      </c>
      <c r="S459" s="351">
        <v>6</v>
      </c>
      <c r="T459" s="351">
        <v>0.23333333333333331</v>
      </c>
      <c r="U459" s="329">
        <f>IF($N459=$N$4,IFERROR(INDEX(DanhMuc!$E$154:$E$165,MATCH(MID($B459,4,2),DanhMuc!$B$154:$B$165,0)),""),"")</f>
        <v>6000</v>
      </c>
      <c r="V459" s="325"/>
      <c r="W459" s="352" t="str">
        <f>+IF(AND($A459&lt;&gt;"",LEN($B459)&gt;=8,COUNTIF($B$6:$B459,$B459)=1),$W$5,"")</f>
        <v/>
      </c>
      <c r="X459" s="329" t="str">
        <f t="shared" si="41"/>
        <v>XW</v>
      </c>
      <c r="Y459" s="1128" t="s">
        <v>3380</v>
      </c>
      <c r="Z459" s="1128" t="s">
        <v>3381</v>
      </c>
      <c r="AA459" s="1128" t="s">
        <v>3384</v>
      </c>
      <c r="AC459" s="73"/>
    </row>
    <row r="460" spans="1:29" s="20" customFormat="1" ht="39">
      <c r="A460" s="327">
        <f>IF(AND($B460&lt;&gt;"",$C460&lt;&gt;""),MAX($A$4:A446)+1,"")</f>
        <v>40</v>
      </c>
      <c r="B460" s="359" t="s">
        <v>1852</v>
      </c>
      <c r="C460" s="360" t="s">
        <v>1879</v>
      </c>
      <c r="D460" s="327">
        <f>IF($B460="","",COUNTIF($B$6:$B460,$B460))</f>
        <v>1</v>
      </c>
      <c r="E460" s="363" t="s">
        <v>2251</v>
      </c>
      <c r="F460" s="362" t="s">
        <v>334</v>
      </c>
      <c r="G460" s="327" t="s">
        <v>329</v>
      </c>
      <c r="H460" s="325"/>
      <c r="I460" s="327">
        <v>1</v>
      </c>
      <c r="J460" s="361" t="s">
        <v>594</v>
      </c>
      <c r="K460" s="327" t="s">
        <v>531</v>
      </c>
      <c r="L460" s="348">
        <f>+$T460*$S460*$L$391</f>
        <v>605640</v>
      </c>
      <c r="M460" s="373"/>
      <c r="N460" s="355" t="str">
        <f t="shared" si="40"/>
        <v>PR</v>
      </c>
      <c r="O460" s="345"/>
      <c r="P460" s="325"/>
      <c r="Q460" s="351"/>
      <c r="R460" s="351">
        <v>1.6</v>
      </c>
      <c r="S460" s="351">
        <v>6</v>
      </c>
      <c r="T460" s="351">
        <v>1.2016666666666667</v>
      </c>
      <c r="U460" s="329">
        <f>IF($N460=$N$4,IFERROR(INDEX(DanhMuc!$E$154:$E$165,MATCH(MID($B460,4,2),DanhMuc!$B$154:$B$165,0)),""),"")</f>
        <v>6000</v>
      </c>
      <c r="V460" s="325"/>
      <c r="W460" s="352" t="str">
        <f>+IF(AND($A460&lt;&gt;"",LEN($B460)&gt;=8,COUNTIF($B$6:$B460,$B460)=1),$W$5,"")</f>
        <v>DMCua</v>
      </c>
      <c r="X460" s="329" t="str">
        <f t="shared" si="41"/>
        <v>XW</v>
      </c>
      <c r="Y460" s="1128" t="s">
        <v>3380</v>
      </c>
      <c r="Z460" s="1128" t="s">
        <v>3381</v>
      </c>
      <c r="AA460" s="1128" t="s">
        <v>3384</v>
      </c>
      <c r="AC460" s="73"/>
    </row>
    <row r="461" spans="1:29" s="20" customFormat="1" ht="25">
      <c r="A461" s="327" t="str">
        <f>IF(AND($B461&lt;&gt;"",$C461&lt;&gt;""),MAX($A$4:A460)+1,"")</f>
        <v/>
      </c>
      <c r="B461" s="361" t="s">
        <v>1852</v>
      </c>
      <c r="C461" s="360"/>
      <c r="D461" s="327">
        <f>IF($B461="","",COUNTIF($B$6:$B461,$B461))</f>
        <v>2</v>
      </c>
      <c r="E461" s="361" t="s">
        <v>2252</v>
      </c>
      <c r="F461" s="362" t="s">
        <v>1903</v>
      </c>
      <c r="G461" s="327" t="s">
        <v>329</v>
      </c>
      <c r="H461" s="325"/>
      <c r="I461" s="327">
        <v>1</v>
      </c>
      <c r="J461" s="361" t="s">
        <v>594</v>
      </c>
      <c r="K461" s="327" t="s">
        <v>531</v>
      </c>
      <c r="L461" s="348">
        <f t="shared" si="43"/>
        <v>578759.99999999988</v>
      </c>
      <c r="M461" s="355"/>
      <c r="N461" s="355" t="str">
        <f t="shared" si="40"/>
        <v>PR</v>
      </c>
      <c r="O461" s="345"/>
      <c r="P461" s="325"/>
      <c r="Q461" s="351"/>
      <c r="R461" s="351">
        <v>1.6</v>
      </c>
      <c r="S461" s="351">
        <v>6</v>
      </c>
      <c r="T461" s="351">
        <v>1.1483333333333332</v>
      </c>
      <c r="U461" s="329">
        <f>IF($N461=$N$4,IFERROR(INDEX(DanhMuc!$E$154:$E$165,MATCH(MID($B461,4,2),DanhMuc!$B$154:$B$165,0)),""),"")</f>
        <v>6000</v>
      </c>
      <c r="V461" s="325"/>
      <c r="W461" s="352" t="str">
        <f>+IF(AND($A461&lt;&gt;"",LEN($B461)&gt;=8,COUNTIF($B$6:$B461,$B461)=1),$W$5,"")</f>
        <v/>
      </c>
      <c r="X461" s="329" t="str">
        <f t="shared" si="41"/>
        <v>XW</v>
      </c>
      <c r="Y461" s="1128" t="s">
        <v>3380</v>
      </c>
      <c r="Z461" s="1128" t="s">
        <v>3381</v>
      </c>
      <c r="AA461" s="1128" t="s">
        <v>3384</v>
      </c>
      <c r="AC461" s="73"/>
    </row>
    <row r="462" spans="1:29" s="20" customFormat="1">
      <c r="A462" s="327" t="str">
        <f>IF(AND($B462&lt;&gt;"",$C462&lt;&gt;""),MAX($A$4:A461)+1,"")</f>
        <v/>
      </c>
      <c r="B462" s="361" t="s">
        <v>1852</v>
      </c>
      <c r="C462" s="360"/>
      <c r="D462" s="327">
        <f>IF($B462="","",COUNTIF($B$6:$B462,$B462))</f>
        <v>3</v>
      </c>
      <c r="E462" s="361" t="s">
        <v>2253</v>
      </c>
      <c r="F462" s="362" t="s">
        <v>445</v>
      </c>
      <c r="G462" s="327" t="s">
        <v>328</v>
      </c>
      <c r="H462" s="325"/>
      <c r="I462" s="327">
        <v>2</v>
      </c>
      <c r="J462" s="361" t="s">
        <v>80</v>
      </c>
      <c r="K462" s="327" t="s">
        <v>531</v>
      </c>
      <c r="L462" s="348">
        <f t="shared" si="43"/>
        <v>464520</v>
      </c>
      <c r="M462" s="355"/>
      <c r="N462" s="355" t="str">
        <f t="shared" si="40"/>
        <v>PR</v>
      </c>
      <c r="O462" s="345"/>
      <c r="P462" s="325"/>
      <c r="Q462" s="351"/>
      <c r="R462" s="351">
        <v>1.6</v>
      </c>
      <c r="S462" s="351">
        <v>6</v>
      </c>
      <c r="T462" s="351">
        <v>0.92166666666666675</v>
      </c>
      <c r="U462" s="329">
        <f>IF($N462=$N$4,IFERROR(INDEX(DanhMuc!$E$154:$E$165,MATCH(MID($B462,4,2),DanhMuc!$B$154:$B$165,0)),""),"")</f>
        <v>6000</v>
      </c>
      <c r="V462" s="325"/>
      <c r="W462" s="352" t="str">
        <f>+IF(AND($A462&lt;&gt;"",LEN($B462)&gt;=8,COUNTIF($B$6:$B462,$B462)=1),$W$5,"")</f>
        <v/>
      </c>
      <c r="X462" s="329" t="str">
        <f t="shared" si="41"/>
        <v>XW</v>
      </c>
      <c r="Y462" s="1128" t="s">
        <v>3380</v>
      </c>
      <c r="Z462" s="1128" t="s">
        <v>3381</v>
      </c>
      <c r="AA462" s="1128" t="s">
        <v>3384</v>
      </c>
      <c r="AC462" s="73"/>
    </row>
    <row r="463" spans="1:29" s="20" customFormat="1">
      <c r="A463" s="327" t="str">
        <f>IF(AND($B463&lt;&gt;"",$C463&lt;&gt;""),MAX($A$4:A462)+1,"")</f>
        <v/>
      </c>
      <c r="B463" s="361" t="s">
        <v>1852</v>
      </c>
      <c r="C463" s="360"/>
      <c r="D463" s="327">
        <f>IF($B463="","",COUNTIF($B$6:$B463,$B463))</f>
        <v>4</v>
      </c>
      <c r="E463" s="361" t="s">
        <v>2254</v>
      </c>
      <c r="F463" s="362" t="s">
        <v>338</v>
      </c>
      <c r="G463" s="327" t="s">
        <v>329</v>
      </c>
      <c r="H463" s="325"/>
      <c r="I463" s="327">
        <v>2</v>
      </c>
      <c r="J463" s="361" t="s">
        <v>736</v>
      </c>
      <c r="K463" s="327" t="s">
        <v>531</v>
      </c>
      <c r="L463" s="348">
        <f t="shared" si="43"/>
        <v>416640</v>
      </c>
      <c r="M463" s="355"/>
      <c r="N463" s="355" t="str">
        <f t="shared" si="40"/>
        <v>PR</v>
      </c>
      <c r="O463" s="345"/>
      <c r="P463" s="325"/>
      <c r="Q463" s="351"/>
      <c r="R463" s="351">
        <v>1.6</v>
      </c>
      <c r="S463" s="351">
        <v>6</v>
      </c>
      <c r="T463" s="351">
        <v>0.82666666666666666</v>
      </c>
      <c r="U463" s="329">
        <f>IF($N463=$N$4,IFERROR(INDEX(DanhMuc!$E$154:$E$165,MATCH(MID($B463,4,2),DanhMuc!$B$154:$B$165,0)),""),"")</f>
        <v>6000</v>
      </c>
      <c r="V463" s="325"/>
      <c r="W463" s="352" t="str">
        <f>+IF(AND($A463&lt;&gt;"",LEN($B463)&gt;=8,COUNTIF($B$6:$B463,$B463)=1),$W$5,"")</f>
        <v/>
      </c>
      <c r="X463" s="329" t="str">
        <f t="shared" si="41"/>
        <v>XW</v>
      </c>
      <c r="Y463" s="1128" t="s">
        <v>3380</v>
      </c>
      <c r="Z463" s="1128" t="s">
        <v>3381</v>
      </c>
      <c r="AA463" s="1128" t="s">
        <v>3384</v>
      </c>
      <c r="AC463" s="73"/>
    </row>
    <row r="464" spans="1:29" s="20" customFormat="1">
      <c r="A464" s="327" t="str">
        <f>IF(AND($B464&lt;&gt;"",$C464&lt;&gt;""),MAX($A$4:A463)+1,"")</f>
        <v/>
      </c>
      <c r="B464" s="361" t="s">
        <v>1852</v>
      </c>
      <c r="C464" s="360"/>
      <c r="D464" s="327">
        <f>IF($B464="","",COUNTIF($B$6:$B464,$B464))</f>
        <v>5</v>
      </c>
      <c r="E464" s="361" t="s">
        <v>2255</v>
      </c>
      <c r="F464" s="362" t="s">
        <v>337</v>
      </c>
      <c r="G464" s="327" t="s">
        <v>329</v>
      </c>
      <c r="H464" s="325"/>
      <c r="I464" s="327">
        <v>2</v>
      </c>
      <c r="J464" s="361" t="s">
        <v>736</v>
      </c>
      <c r="K464" s="327" t="s">
        <v>531</v>
      </c>
      <c r="L464" s="348">
        <f t="shared" si="43"/>
        <v>420000</v>
      </c>
      <c r="M464" s="355"/>
      <c r="N464" s="355" t="str">
        <f t="shared" si="40"/>
        <v>PR</v>
      </c>
      <c r="O464" s="345"/>
      <c r="P464" s="325"/>
      <c r="Q464" s="351"/>
      <c r="R464" s="351">
        <v>1.6</v>
      </c>
      <c r="S464" s="351">
        <v>6</v>
      </c>
      <c r="T464" s="351">
        <v>0.83333333333333337</v>
      </c>
      <c r="U464" s="329">
        <f>IF($N464=$N$4,IFERROR(INDEX(DanhMuc!$E$154:$E$165,MATCH(MID($B464,4,2),DanhMuc!$B$154:$B$165,0)),""),"")</f>
        <v>6000</v>
      </c>
      <c r="V464" s="325"/>
      <c r="W464" s="352" t="str">
        <f>+IF(AND($A464&lt;&gt;"",LEN($B464)&gt;=8,COUNTIF($B$6:$B464,$B464)=1),$W$5,"")</f>
        <v/>
      </c>
      <c r="X464" s="329" t="str">
        <f t="shared" si="41"/>
        <v>XW</v>
      </c>
      <c r="Y464" s="1128" t="s">
        <v>3380</v>
      </c>
      <c r="Z464" s="1128" t="s">
        <v>3381</v>
      </c>
      <c r="AA464" s="1128" t="s">
        <v>3384</v>
      </c>
      <c r="AC464" s="73"/>
    </row>
    <row r="465" spans="1:29" s="20" customFormat="1">
      <c r="A465" s="327" t="str">
        <f>IF(AND($B465&lt;&gt;"",$C465&lt;&gt;""),MAX($A$4:A464)+1,"")</f>
        <v/>
      </c>
      <c r="B465" s="361" t="s">
        <v>1852</v>
      </c>
      <c r="C465" s="360"/>
      <c r="D465" s="327">
        <f>IF($B465="","",COUNTIF($B$6:$B465,$B465))</f>
        <v>6</v>
      </c>
      <c r="E465" s="361" t="s">
        <v>2256</v>
      </c>
      <c r="F465" s="362" t="s">
        <v>335</v>
      </c>
      <c r="G465" s="327" t="s">
        <v>328</v>
      </c>
      <c r="H465" s="325"/>
      <c r="I465" s="327">
        <v>2</v>
      </c>
      <c r="J465" s="361" t="s">
        <v>737</v>
      </c>
      <c r="K465" s="327" t="s">
        <v>531</v>
      </c>
      <c r="L465" s="348">
        <f t="shared" si="43"/>
        <v>537600</v>
      </c>
      <c r="M465" s="355"/>
      <c r="N465" s="355" t="str">
        <f t="shared" si="40"/>
        <v>PR</v>
      </c>
      <c r="O465" s="345"/>
      <c r="P465" s="325"/>
      <c r="Q465" s="351"/>
      <c r="R465" s="351">
        <v>1.6</v>
      </c>
      <c r="S465" s="351">
        <v>6</v>
      </c>
      <c r="T465" s="351">
        <v>1.0666666666666667</v>
      </c>
      <c r="U465" s="329">
        <f>IF($N465=$N$4,IFERROR(INDEX(DanhMuc!$E$154:$E$165,MATCH(MID($B465,4,2),DanhMuc!$B$154:$B$165,0)),""),"")</f>
        <v>6000</v>
      </c>
      <c r="V465" s="325"/>
      <c r="W465" s="352" t="str">
        <f>+IF(AND($A465&lt;&gt;"",LEN($B465)&gt;=8,COUNTIF($B$6:$B465,$B465)=1),$W$5,"")</f>
        <v/>
      </c>
      <c r="X465" s="329" t="str">
        <f t="shared" si="41"/>
        <v>XW</v>
      </c>
      <c r="Y465" s="1128" t="s">
        <v>3380</v>
      </c>
      <c r="Z465" s="1128" t="s">
        <v>3381</v>
      </c>
      <c r="AA465" s="1128" t="s">
        <v>3384</v>
      </c>
      <c r="AC465" s="73"/>
    </row>
    <row r="466" spans="1:29" s="20" customFormat="1">
      <c r="A466" s="327" t="str">
        <f>IF(AND($B466&lt;&gt;"",$C466&lt;&gt;""),MAX($A$4:A465)+1,"")</f>
        <v/>
      </c>
      <c r="B466" s="361" t="s">
        <v>1852</v>
      </c>
      <c r="C466" s="360"/>
      <c r="D466" s="327">
        <f>IF($B466="","",COUNTIF($B$6:$B466,$B466))</f>
        <v>7</v>
      </c>
      <c r="E466" s="361" t="s">
        <v>2257</v>
      </c>
      <c r="F466" s="362" t="s">
        <v>336</v>
      </c>
      <c r="G466" s="327" t="s">
        <v>328</v>
      </c>
      <c r="H466" s="325"/>
      <c r="I466" s="327">
        <v>2</v>
      </c>
      <c r="J466" s="361" t="s">
        <v>737</v>
      </c>
      <c r="K466" s="327" t="s">
        <v>531</v>
      </c>
      <c r="L466" s="348">
        <f t="shared" si="43"/>
        <v>452760</v>
      </c>
      <c r="M466" s="355"/>
      <c r="N466" s="355" t="str">
        <f t="shared" si="40"/>
        <v>PR</v>
      </c>
      <c r="O466" s="345"/>
      <c r="P466" s="325"/>
      <c r="Q466" s="351"/>
      <c r="R466" s="351">
        <v>1.6</v>
      </c>
      <c r="S466" s="351">
        <v>6</v>
      </c>
      <c r="T466" s="351">
        <v>0.89833333333333332</v>
      </c>
      <c r="U466" s="329">
        <f>IF($N466=$N$4,IFERROR(INDEX(DanhMuc!$E$154:$E$165,MATCH(MID($B466,4,2),DanhMuc!$B$154:$B$165,0)),""),"")</f>
        <v>6000</v>
      </c>
      <c r="V466" s="325"/>
      <c r="W466" s="352" t="str">
        <f>+IF(AND($A466&lt;&gt;"",LEN($B466)&gt;=8,COUNTIF($B$6:$B466,$B466)=1),$W$5,"")</f>
        <v/>
      </c>
      <c r="X466" s="329" t="str">
        <f t="shared" si="41"/>
        <v>XW</v>
      </c>
      <c r="Y466" s="1128" t="s">
        <v>3380</v>
      </c>
      <c r="Z466" s="1128" t="s">
        <v>3381</v>
      </c>
      <c r="AA466" s="1128" t="s">
        <v>3384</v>
      </c>
      <c r="AC466" s="73"/>
    </row>
    <row r="467" spans="1:29" s="20" customFormat="1" ht="52">
      <c r="A467" s="327">
        <f>IF(AND($B467&lt;&gt;"",$C467&lt;&gt;""),MAX($A$4:A466)+1,"")</f>
        <v>41</v>
      </c>
      <c r="B467" s="359" t="s">
        <v>1853</v>
      </c>
      <c r="C467" s="360" t="s">
        <v>1880</v>
      </c>
      <c r="D467" s="327">
        <f>IF($B467="","",COUNTIF($B$6:$B467,$B467))</f>
        <v>1</v>
      </c>
      <c r="E467" s="361" t="s">
        <v>2694</v>
      </c>
      <c r="F467" s="362" t="s">
        <v>597</v>
      </c>
      <c r="G467" s="327" t="s">
        <v>329</v>
      </c>
      <c r="H467" s="325"/>
      <c r="I467" s="327">
        <v>1</v>
      </c>
      <c r="J467" s="361" t="s">
        <v>1193</v>
      </c>
      <c r="K467" s="327" t="s">
        <v>531</v>
      </c>
      <c r="L467" s="348">
        <f t="shared" ref="L467:L476" si="44">+$T467*$S467*$L$37</f>
        <v>600600</v>
      </c>
      <c r="M467" s="355"/>
      <c r="N467" s="355" t="str">
        <f t="shared" si="40"/>
        <v>PR</v>
      </c>
      <c r="O467" s="345"/>
      <c r="P467" s="325"/>
      <c r="Q467" s="351"/>
      <c r="R467" s="351">
        <v>1.6</v>
      </c>
      <c r="S467" s="351">
        <v>6</v>
      </c>
      <c r="T467" s="351">
        <f>5.72/6</f>
        <v>0.95333333333333325</v>
      </c>
      <c r="U467" s="329">
        <f>IF($N467=$N$4,IFERROR(INDEX(DanhMuc!$E$154:$E$165,MATCH(MID($B467,4,2),DanhMuc!$B$154:$B$165,0)),""),"")</f>
        <v>6000</v>
      </c>
      <c r="V467" s="325"/>
      <c r="W467" s="352" t="str">
        <f>+IF(AND($A467&lt;&gt;"",LEN($B467)&gt;=8,COUNTIF($B$6:$B467,$B467)=1),$W$5,"")</f>
        <v>DMCua</v>
      </c>
      <c r="X467" s="329" t="str">
        <f t="shared" si="41"/>
        <v>XW</v>
      </c>
      <c r="Y467" s="1128" t="s">
        <v>3380</v>
      </c>
      <c r="Z467" s="1128" t="s">
        <v>3381</v>
      </c>
      <c r="AA467" s="1128" t="s">
        <v>3384</v>
      </c>
      <c r="AC467" s="73"/>
    </row>
    <row r="468" spans="1:29" s="20" customFormat="1" ht="25">
      <c r="A468" s="327" t="str">
        <f>IF(AND($B468&lt;&gt;"",$C468&lt;&gt;""),MAX($A$4:A464)+1,"")</f>
        <v/>
      </c>
      <c r="B468" s="361" t="s">
        <v>1853</v>
      </c>
      <c r="C468" s="360"/>
      <c r="D468" s="327">
        <f>IF($B468="","",COUNTIF($B$6:$B468,$B468))</f>
        <v>2</v>
      </c>
      <c r="E468" s="361" t="s">
        <v>2252</v>
      </c>
      <c r="F468" s="362" t="s">
        <v>1903</v>
      </c>
      <c r="G468" s="327" t="s">
        <v>329</v>
      </c>
      <c r="H468" s="325"/>
      <c r="I468" s="327">
        <v>1</v>
      </c>
      <c r="J468" s="361" t="s">
        <v>1193</v>
      </c>
      <c r="K468" s="327" t="s">
        <v>531</v>
      </c>
      <c r="L468" s="348">
        <f t="shared" si="43"/>
        <v>578759.99999999988</v>
      </c>
      <c r="M468" s="355"/>
      <c r="N468" s="355" t="str">
        <f t="shared" si="40"/>
        <v>PR</v>
      </c>
      <c r="O468" s="345"/>
      <c r="P468" s="325"/>
      <c r="Q468" s="351"/>
      <c r="R468" s="351">
        <v>1.6</v>
      </c>
      <c r="S468" s="351">
        <v>6</v>
      </c>
      <c r="T468" s="351">
        <v>1.1483333333333332</v>
      </c>
      <c r="U468" s="329">
        <f>IF($N468=$N$4,IFERROR(INDEX(DanhMuc!$E$154:$E$165,MATCH(MID($B468,4,2),DanhMuc!$B$154:$B$165,0)),""),"")</f>
        <v>6000</v>
      </c>
      <c r="V468" s="325"/>
      <c r="W468" s="352" t="str">
        <f>+IF(AND($A468&lt;&gt;"",LEN($B468)&gt;=8,COUNTIF($B$6:$B468,$B468)=1),$W$5,"")</f>
        <v/>
      </c>
      <c r="X468" s="329" t="str">
        <f t="shared" si="41"/>
        <v>XW</v>
      </c>
      <c r="Y468" s="1128" t="s">
        <v>3380</v>
      </c>
      <c r="Z468" s="1128" t="s">
        <v>3381</v>
      </c>
      <c r="AA468" s="1128" t="s">
        <v>3384</v>
      </c>
      <c r="AC468" s="73"/>
    </row>
    <row r="469" spans="1:29" s="20" customFormat="1">
      <c r="A469" s="327" t="str">
        <f>IF(AND($B469&lt;&gt;"",$C469&lt;&gt;""),MAX($A$4:A466)+1,"")</f>
        <v/>
      </c>
      <c r="B469" s="361" t="s">
        <v>1853</v>
      </c>
      <c r="C469" s="360"/>
      <c r="D469" s="327">
        <f>IF($B469="","",COUNTIF($B$6:$B469,$B469))</f>
        <v>3</v>
      </c>
      <c r="E469" s="402" t="s">
        <v>2251</v>
      </c>
      <c r="F469" s="362" t="s">
        <v>334</v>
      </c>
      <c r="G469" s="327" t="s">
        <v>329</v>
      </c>
      <c r="H469" s="325"/>
      <c r="I469" s="327">
        <v>1</v>
      </c>
      <c r="J469" s="361" t="s">
        <v>1193</v>
      </c>
      <c r="K469" s="327" t="s">
        <v>531</v>
      </c>
      <c r="L469" s="348">
        <f>+$T469*$S469*$L$391</f>
        <v>605640</v>
      </c>
      <c r="M469" s="373"/>
      <c r="N469" s="355" t="str">
        <f t="shared" si="40"/>
        <v>PR</v>
      </c>
      <c r="O469" s="345"/>
      <c r="P469" s="325"/>
      <c r="Q469" s="351"/>
      <c r="R469" s="351">
        <v>1.6</v>
      </c>
      <c r="S469" s="351">
        <v>6</v>
      </c>
      <c r="T469" s="351">
        <v>1.2016666666666667</v>
      </c>
      <c r="U469" s="329">
        <f>IF($N469=$N$4,IFERROR(INDEX(DanhMuc!$E$154:$E$165,MATCH(MID($B469,4,2),DanhMuc!$B$154:$B$165,0)),""),"")</f>
        <v>6000</v>
      </c>
      <c r="V469" s="325"/>
      <c r="W469" s="352" t="str">
        <f>+IF(AND($A469&lt;&gt;"",LEN($B469)&gt;=8,COUNTIF($B$6:$B469,$B469)=1),$W$5,"")</f>
        <v/>
      </c>
      <c r="X469" s="329" t="str">
        <f t="shared" si="41"/>
        <v>XW</v>
      </c>
      <c r="Y469" s="1128" t="s">
        <v>3380</v>
      </c>
      <c r="Z469" s="1128" t="s">
        <v>3381</v>
      </c>
      <c r="AA469" s="1128" t="s">
        <v>3384</v>
      </c>
      <c r="AC469" s="73"/>
    </row>
    <row r="470" spans="1:29" s="20" customFormat="1">
      <c r="A470" s="327" t="str">
        <f>IF(AND($B470&lt;&gt;"",$C470&lt;&gt;""),MAX($A$4:A467)+1,"")</f>
        <v/>
      </c>
      <c r="B470" s="361" t="s">
        <v>1853</v>
      </c>
      <c r="C470" s="360"/>
      <c r="D470" s="327">
        <f>IF($B470="","",COUNTIF($B$6:$B470,$B470))</f>
        <v>4</v>
      </c>
      <c r="E470" s="402" t="s">
        <v>2691</v>
      </c>
      <c r="F470" s="362" t="s">
        <v>599</v>
      </c>
      <c r="G470" s="327" t="s">
        <v>329</v>
      </c>
      <c r="H470" s="325"/>
      <c r="I470" s="327">
        <v>1</v>
      </c>
      <c r="J470" s="361" t="s">
        <v>1193</v>
      </c>
      <c r="K470" s="327" t="s">
        <v>531</v>
      </c>
      <c r="L470" s="348">
        <f t="shared" si="44"/>
        <v>407400</v>
      </c>
      <c r="M470" s="373"/>
      <c r="N470" s="355" t="str">
        <f t="shared" si="40"/>
        <v>PR</v>
      </c>
      <c r="O470" s="345"/>
      <c r="P470" s="325"/>
      <c r="Q470" s="351"/>
      <c r="R470" s="351">
        <v>1.6</v>
      </c>
      <c r="S470" s="351">
        <v>6</v>
      </c>
      <c r="T470" s="351">
        <f>3.88/6</f>
        <v>0.64666666666666661</v>
      </c>
      <c r="U470" s="329">
        <f>IF($N470=$N$4,IFERROR(INDEX(DanhMuc!$E$154:$E$165,MATCH(MID($B470,4,2),DanhMuc!$B$154:$B$165,0)),""),"")</f>
        <v>6000</v>
      </c>
      <c r="V470" s="325"/>
      <c r="W470" s="352" t="str">
        <f>+IF(AND($A470&lt;&gt;"",LEN($B470)&gt;=8,COUNTIF($B$6:$B470,$B470)=1),$W$5,"")</f>
        <v/>
      </c>
      <c r="X470" s="329" t="str">
        <f t="shared" si="41"/>
        <v>XW</v>
      </c>
      <c r="Y470" s="1128" t="s">
        <v>3380</v>
      </c>
      <c r="Z470" s="1128" t="s">
        <v>3381</v>
      </c>
      <c r="AA470" s="1128" t="s">
        <v>3384</v>
      </c>
      <c r="AC470" s="73"/>
    </row>
    <row r="471" spans="1:29" s="20" customFormat="1">
      <c r="A471" s="327" t="str">
        <f>IF(AND($B471&lt;&gt;"",$C471&lt;&gt;""),MAX($A$4:A469)+1,"")</f>
        <v/>
      </c>
      <c r="B471" s="361" t="s">
        <v>1853</v>
      </c>
      <c r="C471" s="360"/>
      <c r="D471" s="327">
        <f>IF($B471="","",COUNTIF($B$6:$B471,$B471))</f>
        <v>5</v>
      </c>
      <c r="E471" s="361" t="s">
        <v>2253</v>
      </c>
      <c r="F471" s="362" t="s">
        <v>445</v>
      </c>
      <c r="G471" s="327" t="s">
        <v>328</v>
      </c>
      <c r="H471" s="325"/>
      <c r="I471" s="327">
        <v>2</v>
      </c>
      <c r="J471" s="361" t="s">
        <v>80</v>
      </c>
      <c r="K471" s="327" t="s">
        <v>531</v>
      </c>
      <c r="L471" s="348">
        <f t="shared" si="43"/>
        <v>464520</v>
      </c>
      <c r="M471" s="355"/>
      <c r="N471" s="355" t="str">
        <f t="shared" si="40"/>
        <v>PR</v>
      </c>
      <c r="O471" s="345"/>
      <c r="P471" s="325"/>
      <c r="Q471" s="351"/>
      <c r="R471" s="351">
        <v>1.6</v>
      </c>
      <c r="S471" s="351">
        <v>6</v>
      </c>
      <c r="T471" s="351">
        <v>0.92166666666666675</v>
      </c>
      <c r="U471" s="329">
        <f>IF($N471=$N$4,IFERROR(INDEX(DanhMuc!$E$154:$E$165,MATCH(MID($B471,4,2),DanhMuc!$B$154:$B$165,0)),""),"")</f>
        <v>6000</v>
      </c>
      <c r="V471" s="325"/>
      <c r="W471" s="352" t="str">
        <f>+IF(AND($A471&lt;&gt;"",LEN($B471)&gt;=8,COUNTIF($B$6:$B471,$B471)=1),$W$5,"")</f>
        <v/>
      </c>
      <c r="X471" s="329" t="str">
        <f t="shared" si="41"/>
        <v>XW</v>
      </c>
      <c r="Y471" s="1128" t="s">
        <v>3380</v>
      </c>
      <c r="Z471" s="1128" t="s">
        <v>3381</v>
      </c>
      <c r="AA471" s="1128" t="s">
        <v>3384</v>
      </c>
      <c r="AC471" s="73"/>
    </row>
    <row r="472" spans="1:29" s="20" customFormat="1">
      <c r="A472" s="327" t="str">
        <f>IF(AND($B472&lt;&gt;"",$C472&lt;&gt;""),MAX($A$4:A471)+1,"")</f>
        <v/>
      </c>
      <c r="B472" s="361" t="s">
        <v>1853</v>
      </c>
      <c r="C472" s="360"/>
      <c r="D472" s="327">
        <f>IF($B472="","",COUNTIF($B$6:$B472,$B472))</f>
        <v>6</v>
      </c>
      <c r="E472" s="361" t="s">
        <v>2254</v>
      </c>
      <c r="F472" s="362" t="s">
        <v>338</v>
      </c>
      <c r="G472" s="327" t="s">
        <v>329</v>
      </c>
      <c r="H472" s="325"/>
      <c r="I472" s="327">
        <v>2</v>
      </c>
      <c r="J472" s="361" t="s">
        <v>1195</v>
      </c>
      <c r="K472" s="327" t="s">
        <v>531</v>
      </c>
      <c r="L472" s="348">
        <f t="shared" si="43"/>
        <v>416640</v>
      </c>
      <c r="M472" s="355"/>
      <c r="N472" s="355" t="str">
        <f t="shared" si="40"/>
        <v>PR</v>
      </c>
      <c r="O472" s="345"/>
      <c r="P472" s="325"/>
      <c r="Q472" s="351"/>
      <c r="R472" s="351">
        <v>1.6</v>
      </c>
      <c r="S472" s="351">
        <v>6</v>
      </c>
      <c r="T472" s="351">
        <v>0.82666666666666666</v>
      </c>
      <c r="U472" s="329">
        <f>IF($N472=$N$4,IFERROR(INDEX(DanhMuc!$E$154:$E$165,MATCH(MID($B472,4,2),DanhMuc!$B$154:$B$165,0)),""),"")</f>
        <v>6000</v>
      </c>
      <c r="V472" s="325"/>
      <c r="W472" s="352" t="str">
        <f>+IF(AND($A472&lt;&gt;"",LEN($B472)&gt;=8,COUNTIF($B$6:$B472,$B472)=1),$W$5,"")</f>
        <v/>
      </c>
      <c r="X472" s="329" t="str">
        <f t="shared" si="41"/>
        <v>XW</v>
      </c>
      <c r="Y472" s="1128" t="s">
        <v>3380</v>
      </c>
      <c r="Z472" s="1128" t="s">
        <v>3381</v>
      </c>
      <c r="AA472" s="1128" t="s">
        <v>3384</v>
      </c>
      <c r="AC472" s="73"/>
    </row>
    <row r="473" spans="1:29" s="20" customFormat="1">
      <c r="A473" s="327" t="str">
        <f>IF(AND($B473&lt;&gt;"",$C473&lt;&gt;""),MAX($A$4:A472)+1,"")</f>
        <v/>
      </c>
      <c r="B473" s="361" t="s">
        <v>1853</v>
      </c>
      <c r="C473" s="360"/>
      <c r="D473" s="327">
        <f>IF($B473="","",COUNTIF($B$6:$B473,$B473))</f>
        <v>7</v>
      </c>
      <c r="E473" s="361" t="s">
        <v>2255</v>
      </c>
      <c r="F473" s="362" t="s">
        <v>337</v>
      </c>
      <c r="G473" s="327" t="s">
        <v>329</v>
      </c>
      <c r="H473" s="325"/>
      <c r="I473" s="327">
        <v>2</v>
      </c>
      <c r="J473" s="361" t="s">
        <v>1195</v>
      </c>
      <c r="K473" s="327" t="s">
        <v>531</v>
      </c>
      <c r="L473" s="348">
        <f t="shared" si="43"/>
        <v>420000</v>
      </c>
      <c r="M473" s="355"/>
      <c r="N473" s="355" t="str">
        <f t="shared" si="40"/>
        <v>PR</v>
      </c>
      <c r="O473" s="345"/>
      <c r="P473" s="325"/>
      <c r="Q473" s="351"/>
      <c r="R473" s="351">
        <v>1.6</v>
      </c>
      <c r="S473" s="351">
        <v>6</v>
      </c>
      <c r="T473" s="351">
        <v>0.83333333333333337</v>
      </c>
      <c r="U473" s="329">
        <f>IF($N473=$N$4,IFERROR(INDEX(DanhMuc!$E$154:$E$165,MATCH(MID($B473,4,2),DanhMuc!$B$154:$B$165,0)),""),"")</f>
        <v>6000</v>
      </c>
      <c r="V473" s="325"/>
      <c r="W473" s="352" t="str">
        <f>+IF(AND($A473&lt;&gt;"",LEN($B473)&gt;=8,COUNTIF($B$6:$B473,$B473)=1),$W$5,"")</f>
        <v/>
      </c>
      <c r="X473" s="329" t="str">
        <f t="shared" si="41"/>
        <v>XW</v>
      </c>
      <c r="Y473" s="1128" t="s">
        <v>3380</v>
      </c>
      <c r="Z473" s="1128" t="s">
        <v>3381</v>
      </c>
      <c r="AA473" s="1128" t="s">
        <v>3384</v>
      </c>
      <c r="AC473" s="73"/>
    </row>
    <row r="474" spans="1:29" s="20" customFormat="1">
      <c r="A474" s="327" t="str">
        <f>IF(AND($B474&lt;&gt;"",$C474&lt;&gt;""),MAX($A$4:A473)+1,"")</f>
        <v/>
      </c>
      <c r="B474" s="361" t="s">
        <v>1853</v>
      </c>
      <c r="C474" s="360"/>
      <c r="D474" s="327">
        <f>IF($B474="","",COUNTIF($B$6:$B474,$B474))</f>
        <v>8</v>
      </c>
      <c r="E474" s="361" t="s">
        <v>2256</v>
      </c>
      <c r="F474" s="362" t="s">
        <v>335</v>
      </c>
      <c r="G474" s="327" t="s">
        <v>328</v>
      </c>
      <c r="H474" s="325"/>
      <c r="I474" s="327">
        <v>2</v>
      </c>
      <c r="J474" s="361" t="s">
        <v>1196</v>
      </c>
      <c r="K474" s="327" t="s">
        <v>531</v>
      </c>
      <c r="L474" s="348">
        <f t="shared" si="43"/>
        <v>537600</v>
      </c>
      <c r="M474" s="355"/>
      <c r="N474" s="355" t="str">
        <f t="shared" si="40"/>
        <v>PR</v>
      </c>
      <c r="O474" s="345"/>
      <c r="P474" s="325"/>
      <c r="Q474" s="351"/>
      <c r="R474" s="351">
        <v>1.6</v>
      </c>
      <c r="S474" s="351">
        <v>6</v>
      </c>
      <c r="T474" s="351">
        <v>1.0666666666666667</v>
      </c>
      <c r="U474" s="329">
        <f>IF($N474=$N$4,IFERROR(INDEX(DanhMuc!$E$154:$E$165,MATCH(MID($B474,4,2),DanhMuc!$B$154:$B$165,0)),""),"")</f>
        <v>6000</v>
      </c>
      <c r="V474" s="325"/>
      <c r="W474" s="352" t="str">
        <f>+IF(AND($A474&lt;&gt;"",LEN($B474)&gt;=8,COUNTIF($B$6:$B474,$B474)=1),$W$5,"")</f>
        <v/>
      </c>
      <c r="X474" s="329" t="str">
        <f t="shared" si="41"/>
        <v>XW</v>
      </c>
      <c r="Y474" s="1128" t="s">
        <v>3380</v>
      </c>
      <c r="Z474" s="1128" t="s">
        <v>3381</v>
      </c>
      <c r="AA474" s="1128" t="s">
        <v>3384</v>
      </c>
      <c r="AC474" s="73"/>
    </row>
    <row r="475" spans="1:29" s="20" customFormat="1">
      <c r="A475" s="327" t="str">
        <f>IF(AND($B475&lt;&gt;"",$C475&lt;&gt;""),MAX($A$4:A474)+1,"")</f>
        <v/>
      </c>
      <c r="B475" s="361" t="s">
        <v>1853</v>
      </c>
      <c r="C475" s="360"/>
      <c r="D475" s="327">
        <f>IF($B475="","",COUNTIF($B$6:$B475,$B475))</f>
        <v>9</v>
      </c>
      <c r="E475" s="361" t="s">
        <v>2257</v>
      </c>
      <c r="F475" s="362" t="s">
        <v>336</v>
      </c>
      <c r="G475" s="327" t="s">
        <v>328</v>
      </c>
      <c r="H475" s="325"/>
      <c r="I475" s="327">
        <v>2</v>
      </c>
      <c r="J475" s="361" t="s">
        <v>1196</v>
      </c>
      <c r="K475" s="327" t="s">
        <v>531</v>
      </c>
      <c r="L475" s="348">
        <f t="shared" si="43"/>
        <v>452760</v>
      </c>
      <c r="M475" s="355"/>
      <c r="N475" s="355" t="str">
        <f t="shared" si="40"/>
        <v>PR</v>
      </c>
      <c r="O475" s="345"/>
      <c r="P475" s="325"/>
      <c r="Q475" s="351"/>
      <c r="R475" s="351">
        <v>1.6</v>
      </c>
      <c r="S475" s="351">
        <v>6</v>
      </c>
      <c r="T475" s="351">
        <v>0.89833333333333332</v>
      </c>
      <c r="U475" s="329">
        <f>IF($N475=$N$4,IFERROR(INDEX(DanhMuc!$E$154:$E$165,MATCH(MID($B475,4,2),DanhMuc!$B$154:$B$165,0)),""),"")</f>
        <v>6000</v>
      </c>
      <c r="V475" s="325"/>
      <c r="W475" s="352" t="str">
        <f>+IF(AND($A475&lt;&gt;"",LEN($B475)&gt;=8,COUNTIF($B$6:$B475,$B475)=1),$W$5,"")</f>
        <v/>
      </c>
      <c r="X475" s="329" t="str">
        <f t="shared" si="41"/>
        <v>XW</v>
      </c>
      <c r="Y475" s="1128" t="s">
        <v>3380</v>
      </c>
      <c r="Z475" s="1128" t="s">
        <v>3381</v>
      </c>
      <c r="AA475" s="1128" t="s">
        <v>3384</v>
      </c>
      <c r="AC475" s="73"/>
    </row>
    <row r="476" spans="1:29" s="20" customFormat="1">
      <c r="A476" s="327" t="str">
        <f>IF(AND($B476&lt;&gt;"",$C476&lt;&gt;""),MAX($A$4:A475)+1,"")</f>
        <v/>
      </c>
      <c r="B476" s="361" t="s">
        <v>1853</v>
      </c>
      <c r="C476" s="360"/>
      <c r="D476" s="327">
        <f>IF($B476="","",COUNTIF($B$6:$B476,$B476))</f>
        <v>10</v>
      </c>
      <c r="E476" s="402" t="s">
        <v>2691</v>
      </c>
      <c r="F476" s="362" t="s">
        <v>599</v>
      </c>
      <c r="G476" s="327" t="s">
        <v>328</v>
      </c>
      <c r="H476" s="325"/>
      <c r="I476" s="327">
        <v>2</v>
      </c>
      <c r="J476" s="361" t="s">
        <v>1197</v>
      </c>
      <c r="K476" s="327" t="s">
        <v>531</v>
      </c>
      <c r="L476" s="348">
        <f t="shared" si="44"/>
        <v>407400</v>
      </c>
      <c r="M476" s="355"/>
      <c r="N476" s="355" t="str">
        <f t="shared" si="40"/>
        <v>PR</v>
      </c>
      <c r="O476" s="345"/>
      <c r="P476" s="325"/>
      <c r="Q476" s="351"/>
      <c r="R476" s="351">
        <v>1.6</v>
      </c>
      <c r="S476" s="351">
        <v>6</v>
      </c>
      <c r="T476" s="351">
        <f>3.88/6</f>
        <v>0.64666666666666661</v>
      </c>
      <c r="U476" s="329">
        <f>IF($N476=$N$4,IFERROR(INDEX(DanhMuc!$E$154:$E$165,MATCH(MID($B476,4,2),DanhMuc!$B$154:$B$165,0)),""),"")</f>
        <v>6000</v>
      </c>
      <c r="V476" s="325"/>
      <c r="W476" s="352" t="str">
        <f>+IF(AND($A476&lt;&gt;"",LEN($B476)&gt;=8,COUNTIF($B$6:$B476,$B476)=1),$W$5,"")</f>
        <v/>
      </c>
      <c r="X476" s="329" t="str">
        <f t="shared" si="41"/>
        <v>XW</v>
      </c>
      <c r="Y476" s="1128" t="s">
        <v>3380</v>
      </c>
      <c r="Z476" s="1128" t="s">
        <v>3381</v>
      </c>
      <c r="AA476" s="1128" t="s">
        <v>3384</v>
      </c>
      <c r="AC476" s="73"/>
    </row>
    <row r="477" spans="1:29" s="20" customFormat="1" ht="25">
      <c r="A477" s="327" t="str">
        <f>IF(AND($B477&lt;&gt;"",$C477&lt;&gt;""),MAX($A$4:A476)+1,"")</f>
        <v/>
      </c>
      <c r="B477" s="361" t="s">
        <v>1853</v>
      </c>
      <c r="C477" s="360"/>
      <c r="D477" s="327">
        <f>IF($B477="","",COUNTIF($B$6:$B477,$B477))</f>
        <v>11</v>
      </c>
      <c r="E477" s="365" t="s">
        <v>2350</v>
      </c>
      <c r="F477" s="368" t="s">
        <v>2347</v>
      </c>
      <c r="G477" s="327" t="s">
        <v>329</v>
      </c>
      <c r="H477" s="325"/>
      <c r="I477" s="327">
        <v>2</v>
      </c>
      <c r="J477" s="365" t="s">
        <v>1194</v>
      </c>
      <c r="K477" s="327" t="s">
        <v>531</v>
      </c>
      <c r="L477" s="348">
        <f t="shared" ref="L477:L478" si="45">+$T477*$L$391*$S477</f>
        <v>84000</v>
      </c>
      <c r="M477" s="355"/>
      <c r="N477" s="355" t="str">
        <f t="shared" si="40"/>
        <v>PR</v>
      </c>
      <c r="O477" s="345"/>
      <c r="P477" s="325"/>
      <c r="Q477" s="351"/>
      <c r="R477" s="351">
        <v>1.6</v>
      </c>
      <c r="S477" s="351">
        <v>6</v>
      </c>
      <c r="T477" s="351">
        <f>1/S477</f>
        <v>0.16666666666666666</v>
      </c>
      <c r="U477" s="329">
        <f>IF($N477=$N$4,IFERROR(INDEX(DanhMuc!$E$154:$E$165,MATCH(MID($B477,4,2),DanhMuc!$B$154:$B$165,0)),""),"")</f>
        <v>6000</v>
      </c>
      <c r="V477" s="325"/>
      <c r="W477" s="352" t="str">
        <f>+IF(AND($A477&lt;&gt;"",LEN($B477)&gt;=8,COUNTIF($B$6:$B477,$B477)=1),$W$5,"")</f>
        <v/>
      </c>
      <c r="X477" s="329" t="str">
        <f t="shared" si="41"/>
        <v>XW</v>
      </c>
      <c r="Y477" s="1128" t="s">
        <v>3380</v>
      </c>
      <c r="Z477" s="1128" t="s">
        <v>3381</v>
      </c>
      <c r="AA477" s="1128" t="s">
        <v>3384</v>
      </c>
      <c r="AC477" s="73"/>
    </row>
    <row r="478" spans="1:29" s="20" customFormat="1" ht="25">
      <c r="A478" s="327" t="str">
        <f>IF(AND($B478&lt;&gt;"",$C478&lt;&gt;""),MAX($A$4:A477)+1,"")</f>
        <v/>
      </c>
      <c r="B478" s="361" t="s">
        <v>1853</v>
      </c>
      <c r="C478" s="360"/>
      <c r="D478" s="327">
        <f>IF($B478="","",COUNTIF($B$6:$B478,$B478))</f>
        <v>12</v>
      </c>
      <c r="E478" s="365" t="s">
        <v>2350</v>
      </c>
      <c r="F478" s="368" t="s">
        <v>2347</v>
      </c>
      <c r="G478" s="327" t="s">
        <v>328</v>
      </c>
      <c r="H478" s="325"/>
      <c r="I478" s="327">
        <v>2</v>
      </c>
      <c r="J478" s="361" t="s">
        <v>2692</v>
      </c>
      <c r="K478" s="327" t="s">
        <v>531</v>
      </c>
      <c r="L478" s="348">
        <f t="shared" si="45"/>
        <v>84000</v>
      </c>
      <c r="M478" s="355"/>
      <c r="N478" s="355" t="str">
        <f t="shared" si="40"/>
        <v>PR</v>
      </c>
      <c r="O478" s="345"/>
      <c r="P478" s="325"/>
      <c r="Q478" s="351"/>
      <c r="R478" s="351">
        <v>1.6</v>
      </c>
      <c r="S478" s="351">
        <v>6</v>
      </c>
      <c r="T478" s="351">
        <f>1/S478</f>
        <v>0.16666666666666666</v>
      </c>
      <c r="U478" s="329">
        <f>IF($N478=$N$4,IFERROR(INDEX(DanhMuc!$E$154:$E$165,MATCH(MID($B478,4,2),DanhMuc!$B$154:$B$165,0)),""),"")</f>
        <v>6000</v>
      </c>
      <c r="V478" s="325"/>
      <c r="W478" s="352" t="str">
        <f>+IF(AND($A478&lt;&gt;"",LEN($B478)&gt;=8,COUNTIF($B$6:$B478,$B478)=1),$W$5,"")</f>
        <v/>
      </c>
      <c r="X478" s="329" t="str">
        <f t="shared" si="41"/>
        <v>XW</v>
      </c>
      <c r="Y478" s="1128" t="s">
        <v>3380</v>
      </c>
      <c r="Z478" s="1128" t="s">
        <v>3381</v>
      </c>
      <c r="AA478" s="1128" t="s">
        <v>3384</v>
      </c>
      <c r="AC478" s="73"/>
    </row>
    <row r="479" spans="1:29" s="20" customFormat="1" ht="39">
      <c r="A479" s="327">
        <f>IF(AND($B479&lt;&gt;"",$C479&lt;&gt;""),MAX($A$4:A466)+1,"")</f>
        <v>41</v>
      </c>
      <c r="B479" s="359" t="s">
        <v>1855</v>
      </c>
      <c r="C479" s="360" t="s">
        <v>1882</v>
      </c>
      <c r="D479" s="327">
        <f>IF($B479="","",COUNTIF($B$6:$B479,$B479))</f>
        <v>1</v>
      </c>
      <c r="E479" s="363" t="s">
        <v>2251</v>
      </c>
      <c r="F479" s="362" t="s">
        <v>334</v>
      </c>
      <c r="G479" s="327" t="s">
        <v>329</v>
      </c>
      <c r="H479" s="325"/>
      <c r="I479" s="327">
        <v>1</v>
      </c>
      <c r="J479" s="361" t="s">
        <v>982</v>
      </c>
      <c r="K479" s="327" t="s">
        <v>531</v>
      </c>
      <c r="L479" s="348">
        <f t="shared" si="43"/>
        <v>605640</v>
      </c>
      <c r="M479" s="373"/>
      <c r="N479" s="355" t="str">
        <f t="shared" si="40"/>
        <v>PR</v>
      </c>
      <c r="O479" s="345"/>
      <c r="P479" s="325"/>
      <c r="Q479" s="351"/>
      <c r="R479" s="351">
        <v>1.6</v>
      </c>
      <c r="S479" s="351">
        <v>6</v>
      </c>
      <c r="T479" s="351">
        <v>1.2016666666666667</v>
      </c>
      <c r="U479" s="329">
        <f>IF($N479=$N$4,IFERROR(INDEX(DanhMuc!$E$154:$E$165,MATCH(MID($B479,4,2),DanhMuc!$B$154:$B$165,0)),""),"")</f>
        <v>6000</v>
      </c>
      <c r="V479" s="325"/>
      <c r="W479" s="352" t="str">
        <f>+IF(AND($A479&lt;&gt;"",LEN($B479)&gt;=8,COUNTIF($B$6:$B479,$B479)=1),$W$5,"")</f>
        <v>DMCua</v>
      </c>
      <c r="X479" s="329" t="str">
        <f t="shared" si="41"/>
        <v>XW</v>
      </c>
      <c r="Y479" s="1128" t="s">
        <v>3380</v>
      </c>
      <c r="Z479" s="1128" t="s">
        <v>3381</v>
      </c>
      <c r="AA479" s="1128" t="s">
        <v>3384</v>
      </c>
      <c r="AC479" s="73"/>
    </row>
    <row r="480" spans="1:29" s="20" customFormat="1" ht="25">
      <c r="A480" s="327" t="str">
        <f>IF(AND($B480&lt;&gt;"",$C480&lt;&gt;""),MAX($A$4:A479)+1,"")</f>
        <v/>
      </c>
      <c r="B480" s="361" t="s">
        <v>1855</v>
      </c>
      <c r="C480" s="360"/>
      <c r="D480" s="327">
        <f>IF($B480="","",COUNTIF($B$6:$B480,$B480))</f>
        <v>2</v>
      </c>
      <c r="E480" s="361" t="s">
        <v>2252</v>
      </c>
      <c r="F480" s="362" t="s">
        <v>1903</v>
      </c>
      <c r="G480" s="327" t="s">
        <v>329</v>
      </c>
      <c r="H480" s="325"/>
      <c r="I480" s="327">
        <v>1</v>
      </c>
      <c r="J480" s="361" t="s">
        <v>982</v>
      </c>
      <c r="K480" s="327" t="s">
        <v>531</v>
      </c>
      <c r="L480" s="348">
        <f t="shared" si="43"/>
        <v>578759.99999999988</v>
      </c>
      <c r="M480" s="355"/>
      <c r="N480" s="355" t="str">
        <f t="shared" si="40"/>
        <v>PR</v>
      </c>
      <c r="O480" s="345"/>
      <c r="P480" s="325"/>
      <c r="Q480" s="351"/>
      <c r="R480" s="351">
        <v>1.6</v>
      </c>
      <c r="S480" s="351">
        <v>6</v>
      </c>
      <c r="T480" s="351">
        <v>1.1483333333333332</v>
      </c>
      <c r="U480" s="329">
        <f>IF($N480=$N$4,IFERROR(INDEX(DanhMuc!$E$154:$E$165,MATCH(MID($B480,4,2),DanhMuc!$B$154:$B$165,0)),""),"")</f>
        <v>6000</v>
      </c>
      <c r="V480" s="325"/>
      <c r="W480" s="352" t="str">
        <f>+IF(AND($A480&lt;&gt;"",LEN($B480)&gt;=8,COUNTIF($B$6:$B480,$B480)=1),$W$5,"")</f>
        <v/>
      </c>
      <c r="X480" s="329" t="str">
        <f t="shared" si="41"/>
        <v>XW</v>
      </c>
      <c r="Y480" s="1128" t="s">
        <v>3380</v>
      </c>
      <c r="Z480" s="1128" t="s">
        <v>3381</v>
      </c>
      <c r="AA480" s="1128" t="s">
        <v>3384</v>
      </c>
      <c r="AC480" s="73"/>
    </row>
    <row r="481" spans="1:29" s="20" customFormat="1">
      <c r="A481" s="327" t="str">
        <f>IF(AND($B481&lt;&gt;"",$C481&lt;&gt;""),MAX($A$4:A480)+1,"")</f>
        <v/>
      </c>
      <c r="B481" s="361" t="s">
        <v>1855</v>
      </c>
      <c r="C481" s="360"/>
      <c r="D481" s="327">
        <f>IF($B481="","",COUNTIF($B$6:$B481,$B481))</f>
        <v>3</v>
      </c>
      <c r="E481" s="361" t="s">
        <v>2253</v>
      </c>
      <c r="F481" s="362" t="s">
        <v>445</v>
      </c>
      <c r="G481" s="327" t="s">
        <v>328</v>
      </c>
      <c r="H481" s="325"/>
      <c r="I481" s="327">
        <v>2</v>
      </c>
      <c r="J481" s="361" t="s">
        <v>80</v>
      </c>
      <c r="K481" s="327" t="s">
        <v>531</v>
      </c>
      <c r="L481" s="348">
        <f t="shared" si="43"/>
        <v>464520</v>
      </c>
      <c r="M481" s="355"/>
      <c r="N481" s="355" t="str">
        <f t="shared" si="40"/>
        <v>PR</v>
      </c>
      <c r="O481" s="345"/>
      <c r="P481" s="325"/>
      <c r="Q481" s="351"/>
      <c r="R481" s="351">
        <v>1.6</v>
      </c>
      <c r="S481" s="351">
        <v>6</v>
      </c>
      <c r="T481" s="351">
        <v>0.92166666666666675</v>
      </c>
      <c r="U481" s="329">
        <f>IF($N481=$N$4,IFERROR(INDEX(DanhMuc!$E$154:$E$165,MATCH(MID($B481,4,2),DanhMuc!$B$154:$B$165,0)),""),"")</f>
        <v>6000</v>
      </c>
      <c r="V481" s="325"/>
      <c r="W481" s="352" t="str">
        <f>+IF(AND($A481&lt;&gt;"",LEN($B481)&gt;=8,COUNTIF($B$6:$B481,$B481)=1),$W$5,"")</f>
        <v/>
      </c>
      <c r="X481" s="329" t="str">
        <f t="shared" si="41"/>
        <v>XW</v>
      </c>
      <c r="Y481" s="1128" t="s">
        <v>3380</v>
      </c>
      <c r="Z481" s="1128" t="s">
        <v>3381</v>
      </c>
      <c r="AA481" s="1128" t="s">
        <v>3384</v>
      </c>
      <c r="AC481" s="73"/>
    </row>
    <row r="482" spans="1:29" s="20" customFormat="1">
      <c r="A482" s="327" t="str">
        <f>IF(AND($B482&lt;&gt;"",$C482&lt;&gt;""),MAX($A$4:A481)+1,"")</f>
        <v/>
      </c>
      <c r="B482" s="361" t="s">
        <v>1855</v>
      </c>
      <c r="C482" s="360"/>
      <c r="D482" s="327">
        <f>IF($B482="","",COUNTIF($B$6:$B482,$B482))</f>
        <v>4</v>
      </c>
      <c r="E482" s="361" t="s">
        <v>2254</v>
      </c>
      <c r="F482" s="362" t="s">
        <v>338</v>
      </c>
      <c r="G482" s="327" t="s">
        <v>329</v>
      </c>
      <c r="H482" s="325"/>
      <c r="I482" s="327">
        <v>4</v>
      </c>
      <c r="J482" s="361" t="s">
        <v>983</v>
      </c>
      <c r="K482" s="327" t="s">
        <v>531</v>
      </c>
      <c r="L482" s="348">
        <f t="shared" si="43"/>
        <v>416640</v>
      </c>
      <c r="M482" s="355"/>
      <c r="N482" s="355" t="str">
        <f t="shared" si="40"/>
        <v>PR</v>
      </c>
      <c r="O482" s="345"/>
      <c r="P482" s="325"/>
      <c r="Q482" s="351"/>
      <c r="R482" s="351">
        <v>1.6</v>
      </c>
      <c r="S482" s="351">
        <v>6</v>
      </c>
      <c r="T482" s="351">
        <v>0.82666666666666666</v>
      </c>
      <c r="U482" s="329">
        <f>IF($N482=$N$4,IFERROR(INDEX(DanhMuc!$E$154:$E$165,MATCH(MID($B482,4,2),DanhMuc!$B$154:$B$165,0)),""),"")</f>
        <v>6000</v>
      </c>
      <c r="V482" s="325"/>
      <c r="W482" s="352" t="str">
        <f>+IF(AND($A482&lt;&gt;"",LEN($B482)&gt;=8,COUNTIF($B$6:$B482,$B482)=1),$W$5,"")</f>
        <v/>
      </c>
      <c r="X482" s="329" t="str">
        <f t="shared" si="41"/>
        <v>XW</v>
      </c>
      <c r="Y482" s="1128" t="s">
        <v>3380</v>
      </c>
      <c r="Z482" s="1128" t="s">
        <v>3381</v>
      </c>
      <c r="AA482" s="1128" t="s">
        <v>3384</v>
      </c>
      <c r="AC482" s="73"/>
    </row>
    <row r="483" spans="1:29" s="20" customFormat="1">
      <c r="A483" s="327" t="str">
        <f>IF(AND($B483&lt;&gt;"",$C483&lt;&gt;""),MAX($A$4:A482)+1,"")</f>
        <v/>
      </c>
      <c r="B483" s="361" t="s">
        <v>1855</v>
      </c>
      <c r="C483" s="360"/>
      <c r="D483" s="327">
        <f>IF($B483="","",COUNTIF($B$6:$B483,$B483))</f>
        <v>5</v>
      </c>
      <c r="E483" s="361" t="s">
        <v>2255</v>
      </c>
      <c r="F483" s="362" t="s">
        <v>337</v>
      </c>
      <c r="G483" s="327" t="s">
        <v>329</v>
      </c>
      <c r="H483" s="325"/>
      <c r="I483" s="327">
        <v>4</v>
      </c>
      <c r="J483" s="361" t="s">
        <v>983</v>
      </c>
      <c r="K483" s="327" t="s">
        <v>531</v>
      </c>
      <c r="L483" s="348">
        <f t="shared" si="43"/>
        <v>420000</v>
      </c>
      <c r="M483" s="355"/>
      <c r="N483" s="355" t="str">
        <f t="shared" si="40"/>
        <v>PR</v>
      </c>
      <c r="O483" s="345"/>
      <c r="P483" s="325"/>
      <c r="Q483" s="351"/>
      <c r="R483" s="351">
        <v>1.6</v>
      </c>
      <c r="S483" s="351">
        <v>6</v>
      </c>
      <c r="T483" s="351">
        <v>0.83333333333333337</v>
      </c>
      <c r="U483" s="329">
        <f>IF($N483=$N$4,IFERROR(INDEX(DanhMuc!$E$154:$E$165,MATCH(MID($B483,4,2),DanhMuc!$B$154:$B$165,0)),""),"")</f>
        <v>6000</v>
      </c>
      <c r="V483" s="325"/>
      <c r="W483" s="352" t="str">
        <f>+IF(AND($A483&lt;&gt;"",LEN($B483)&gt;=8,COUNTIF($B$6:$B483,$B483)=1),$W$5,"")</f>
        <v/>
      </c>
      <c r="X483" s="329" t="str">
        <f t="shared" si="41"/>
        <v>XW</v>
      </c>
      <c r="Y483" s="1128" t="s">
        <v>3380</v>
      </c>
      <c r="Z483" s="1128" t="s">
        <v>3381</v>
      </c>
      <c r="AA483" s="1128" t="s">
        <v>3384</v>
      </c>
      <c r="AC483" s="73"/>
    </row>
    <row r="484" spans="1:29" s="20" customFormat="1">
      <c r="A484" s="327" t="str">
        <f>IF(AND($B484&lt;&gt;"",$C484&lt;&gt;""),MAX($A$4:A483)+1,"")</f>
        <v/>
      </c>
      <c r="B484" s="361" t="s">
        <v>1855</v>
      </c>
      <c r="C484" s="360"/>
      <c r="D484" s="327">
        <f>IF($B484="","",COUNTIF($B$6:$B484,$B484))</f>
        <v>6</v>
      </c>
      <c r="E484" s="361" t="s">
        <v>2256</v>
      </c>
      <c r="F484" s="362" t="s">
        <v>335</v>
      </c>
      <c r="G484" s="327" t="s">
        <v>328</v>
      </c>
      <c r="H484" s="325"/>
      <c r="I484" s="327">
        <v>4</v>
      </c>
      <c r="J484" s="361" t="s">
        <v>984</v>
      </c>
      <c r="K484" s="327" t="s">
        <v>531</v>
      </c>
      <c r="L484" s="348">
        <f t="shared" si="43"/>
        <v>537600</v>
      </c>
      <c r="M484" s="355"/>
      <c r="N484" s="355" t="str">
        <f t="shared" si="40"/>
        <v>PR</v>
      </c>
      <c r="O484" s="345"/>
      <c r="P484" s="325"/>
      <c r="Q484" s="351"/>
      <c r="R484" s="351">
        <v>1.6</v>
      </c>
      <c r="S484" s="351">
        <v>6</v>
      </c>
      <c r="T484" s="351">
        <v>1.0666666666666667</v>
      </c>
      <c r="U484" s="329">
        <f>IF($N484=$N$4,IFERROR(INDEX(DanhMuc!$E$154:$E$165,MATCH(MID($B484,4,2),DanhMuc!$B$154:$B$165,0)),""),"")</f>
        <v>6000</v>
      </c>
      <c r="V484" s="325"/>
      <c r="W484" s="352" t="str">
        <f>+IF(AND($A484&lt;&gt;"",LEN($B484)&gt;=8,COUNTIF($B$6:$B484,$B484)=1),$W$5,"")</f>
        <v/>
      </c>
      <c r="X484" s="329" t="str">
        <f t="shared" si="41"/>
        <v>XW</v>
      </c>
      <c r="Y484" s="1128" t="s">
        <v>3380</v>
      </c>
      <c r="Z484" s="1128" t="s">
        <v>3381</v>
      </c>
      <c r="AA484" s="1128" t="s">
        <v>3384</v>
      </c>
      <c r="AC484" s="73"/>
    </row>
    <row r="485" spans="1:29" s="20" customFormat="1">
      <c r="A485" s="327" t="str">
        <f>IF(AND($B485&lt;&gt;"",$C485&lt;&gt;""),MAX($A$4:A484)+1,"")</f>
        <v/>
      </c>
      <c r="B485" s="361" t="s">
        <v>1855</v>
      </c>
      <c r="C485" s="360"/>
      <c r="D485" s="327">
        <f>IF($B485="","",COUNTIF($B$6:$B485,$B485))</f>
        <v>7</v>
      </c>
      <c r="E485" s="361" t="s">
        <v>2257</v>
      </c>
      <c r="F485" s="362" t="s">
        <v>336</v>
      </c>
      <c r="G485" s="327" t="s">
        <v>328</v>
      </c>
      <c r="H485" s="325"/>
      <c r="I485" s="327">
        <v>4</v>
      </c>
      <c r="J485" s="361" t="s">
        <v>984</v>
      </c>
      <c r="K485" s="327" t="s">
        <v>531</v>
      </c>
      <c r="L485" s="348">
        <f t="shared" si="43"/>
        <v>452760</v>
      </c>
      <c r="M485" s="355"/>
      <c r="N485" s="355" t="str">
        <f t="shared" si="40"/>
        <v>PR</v>
      </c>
      <c r="O485" s="345"/>
      <c r="P485" s="325"/>
      <c r="Q485" s="351"/>
      <c r="R485" s="351">
        <v>1.6</v>
      </c>
      <c r="S485" s="351">
        <v>6</v>
      </c>
      <c r="T485" s="351">
        <v>0.89833333333333332</v>
      </c>
      <c r="U485" s="329">
        <f>IF($N485=$N$4,IFERROR(INDEX(DanhMuc!$E$154:$E$165,MATCH(MID($B485,4,2),DanhMuc!$B$154:$B$165,0)),""),"")</f>
        <v>6000</v>
      </c>
      <c r="V485" s="325"/>
      <c r="W485" s="352" t="str">
        <f>+IF(AND($A485&lt;&gt;"",LEN($B485)&gt;=8,COUNTIF($B$6:$B485,$B485)=1),$W$5,"")</f>
        <v/>
      </c>
      <c r="X485" s="329" t="str">
        <f t="shared" si="41"/>
        <v>XW</v>
      </c>
      <c r="Y485" s="1128" t="s">
        <v>3380</v>
      </c>
      <c r="Z485" s="1128" t="s">
        <v>3381</v>
      </c>
      <c r="AA485" s="1128" t="s">
        <v>3384</v>
      </c>
      <c r="AC485" s="73"/>
    </row>
    <row r="486" spans="1:29" s="20" customFormat="1">
      <c r="A486" s="327" t="str">
        <f>IF(AND($B486&lt;&gt;"",$C486&lt;&gt;""),MAX($A$4:A485)+1,"")</f>
        <v/>
      </c>
      <c r="B486" s="361" t="s">
        <v>1855</v>
      </c>
      <c r="C486" s="360"/>
      <c r="D486" s="327">
        <f>IF($B486="","",COUNTIF($B$6:$B486,$B486))</f>
        <v>8</v>
      </c>
      <c r="E486" s="361" t="s">
        <v>2258</v>
      </c>
      <c r="F486" s="362" t="s">
        <v>446</v>
      </c>
      <c r="G486" s="327" t="s">
        <v>328</v>
      </c>
      <c r="H486" s="325"/>
      <c r="I486" s="327">
        <v>1</v>
      </c>
      <c r="J486" s="361" t="s">
        <v>984</v>
      </c>
      <c r="K486" s="327" t="s">
        <v>531</v>
      </c>
      <c r="L486" s="348">
        <f t="shared" si="43"/>
        <v>292320</v>
      </c>
      <c r="M486" s="355"/>
      <c r="N486" s="355" t="str">
        <f t="shared" si="40"/>
        <v>PR</v>
      </c>
      <c r="O486" s="345"/>
      <c r="P486" s="325"/>
      <c r="Q486" s="351"/>
      <c r="R486" s="351">
        <v>1.6</v>
      </c>
      <c r="S486" s="351">
        <v>6</v>
      </c>
      <c r="T486" s="351">
        <v>0.57999999999999996</v>
      </c>
      <c r="U486" s="329">
        <f>IF($N486=$N$4,IFERROR(INDEX(DanhMuc!$E$154:$E$165,MATCH(MID($B486,4,2),DanhMuc!$B$154:$B$165,0)),""),"")</f>
        <v>6000</v>
      </c>
      <c r="V486" s="325"/>
      <c r="W486" s="352" t="str">
        <f>+IF(AND($A486&lt;&gt;"",LEN($B486)&gt;=8,COUNTIF($B$6:$B486,$B486)=1),$W$5,"")</f>
        <v/>
      </c>
      <c r="X486" s="329" t="str">
        <f t="shared" si="41"/>
        <v>XW</v>
      </c>
      <c r="Y486" s="1128" t="s">
        <v>3380</v>
      </c>
      <c r="Z486" s="1128" t="s">
        <v>3381</v>
      </c>
      <c r="AA486" s="1128" t="s">
        <v>3384</v>
      </c>
      <c r="AC486" s="73"/>
    </row>
    <row r="487" spans="1:29" s="20" customFormat="1" ht="52">
      <c r="A487" s="327">
        <f>IF(AND($B487&lt;&gt;"",$C487&lt;&gt;""),MAX($A$4:A486)+1,"")</f>
        <v>42</v>
      </c>
      <c r="B487" s="359" t="s">
        <v>1856</v>
      </c>
      <c r="C487" s="360" t="s">
        <v>1883</v>
      </c>
      <c r="D487" s="327">
        <f>IF($B487="","",COUNTIF($B$6:$B487,$B487))</f>
        <v>1</v>
      </c>
      <c r="E487" s="361" t="s">
        <v>2694</v>
      </c>
      <c r="F487" s="362" t="s">
        <v>597</v>
      </c>
      <c r="G487" s="327" t="s">
        <v>329</v>
      </c>
      <c r="H487" s="325"/>
      <c r="I487" s="327">
        <v>1</v>
      </c>
      <c r="J487" s="361" t="s">
        <v>1193</v>
      </c>
      <c r="K487" s="327" t="s">
        <v>531</v>
      </c>
      <c r="L487" s="348">
        <f t="shared" ref="L487:L497" si="46">+$T487*$S487*$L$37</f>
        <v>600600</v>
      </c>
      <c r="M487" s="355"/>
      <c r="N487" s="355" t="str">
        <f t="shared" si="40"/>
        <v>PR</v>
      </c>
      <c r="O487" s="345"/>
      <c r="P487" s="325"/>
      <c r="Q487" s="351"/>
      <c r="R487" s="351">
        <v>1.6</v>
      </c>
      <c r="S487" s="351">
        <v>6</v>
      </c>
      <c r="T487" s="351">
        <f>5.72/6</f>
        <v>0.95333333333333325</v>
      </c>
      <c r="U487" s="329">
        <f>IF($N487=$N$4,IFERROR(INDEX(DanhMuc!$E$154:$E$165,MATCH(MID($B487,4,2),DanhMuc!$B$154:$B$165,0)),""),"")</f>
        <v>6000</v>
      </c>
      <c r="V487" s="325"/>
      <c r="W487" s="352" t="str">
        <f>+IF(AND($A487&lt;&gt;"",LEN($B487)&gt;=8,COUNTIF($B$6:$B487,$B487)=1),$W$5,"")</f>
        <v>DMCua</v>
      </c>
      <c r="X487" s="329" t="str">
        <f t="shared" si="41"/>
        <v>XW</v>
      </c>
      <c r="Y487" s="1128" t="s">
        <v>3380</v>
      </c>
      <c r="Z487" s="1128" t="s">
        <v>3381</v>
      </c>
      <c r="AA487" s="1128" t="s">
        <v>3384</v>
      </c>
      <c r="AC487" s="73"/>
    </row>
    <row r="488" spans="1:29" s="20" customFormat="1" ht="25">
      <c r="A488" s="327" t="str">
        <f>IF(AND($B488&lt;&gt;"",$C488&lt;&gt;""),MAX($A$4:A484)+1,"")</f>
        <v/>
      </c>
      <c r="B488" s="361" t="s">
        <v>1856</v>
      </c>
      <c r="C488" s="360"/>
      <c r="D488" s="327">
        <f>IF($B488="","",COUNTIF($B$6:$B488,$B488))</f>
        <v>2</v>
      </c>
      <c r="E488" s="361" t="s">
        <v>2252</v>
      </c>
      <c r="F488" s="362" t="s">
        <v>1903</v>
      </c>
      <c r="G488" s="327" t="s">
        <v>329</v>
      </c>
      <c r="H488" s="325"/>
      <c r="I488" s="327">
        <v>1</v>
      </c>
      <c r="J488" s="361" t="s">
        <v>1193</v>
      </c>
      <c r="K488" s="327" t="s">
        <v>531</v>
      </c>
      <c r="L488" s="348">
        <f t="shared" si="43"/>
        <v>578759.99999999988</v>
      </c>
      <c r="M488" s="355"/>
      <c r="N488" s="355" t="str">
        <f t="shared" si="40"/>
        <v>PR</v>
      </c>
      <c r="O488" s="345"/>
      <c r="P488" s="325"/>
      <c r="Q488" s="351"/>
      <c r="R488" s="351">
        <v>1.6</v>
      </c>
      <c r="S488" s="351">
        <v>6</v>
      </c>
      <c r="T488" s="351">
        <v>1.1483333333333332</v>
      </c>
      <c r="U488" s="329">
        <f>IF($N488=$N$4,IFERROR(INDEX(DanhMuc!$E$154:$E$165,MATCH(MID($B488,4,2),DanhMuc!$B$154:$B$165,0)),""),"")</f>
        <v>6000</v>
      </c>
      <c r="V488" s="325"/>
      <c r="W488" s="352" t="str">
        <f>+IF(AND($A488&lt;&gt;"",LEN($B488)&gt;=8,COUNTIF($B$6:$B488,$B488)=1),$W$5,"")</f>
        <v/>
      </c>
      <c r="X488" s="329" t="str">
        <f t="shared" si="41"/>
        <v>XW</v>
      </c>
      <c r="Y488" s="1128" t="s">
        <v>3380</v>
      </c>
      <c r="Z488" s="1128" t="s">
        <v>3381</v>
      </c>
      <c r="AA488" s="1128" t="s">
        <v>3384</v>
      </c>
      <c r="AC488" s="73"/>
    </row>
    <row r="489" spans="1:29" s="20" customFormat="1">
      <c r="A489" s="327" t="str">
        <f>IF(AND($B489&lt;&gt;"",$C489&lt;&gt;""),MAX($A$4:A486)+1,"")</f>
        <v/>
      </c>
      <c r="B489" s="361" t="s">
        <v>1856</v>
      </c>
      <c r="C489" s="360"/>
      <c r="D489" s="327">
        <f>IF($B489="","",COUNTIF($B$6:$B489,$B489))</f>
        <v>3</v>
      </c>
      <c r="E489" s="402" t="s">
        <v>2251</v>
      </c>
      <c r="F489" s="362" t="s">
        <v>334</v>
      </c>
      <c r="G489" s="327" t="s">
        <v>329</v>
      </c>
      <c r="H489" s="325"/>
      <c r="I489" s="327">
        <v>1</v>
      </c>
      <c r="J489" s="361" t="s">
        <v>1193</v>
      </c>
      <c r="K489" s="327" t="s">
        <v>531</v>
      </c>
      <c r="L489" s="348">
        <f t="shared" si="43"/>
        <v>605640</v>
      </c>
      <c r="M489" s="373"/>
      <c r="N489" s="355" t="str">
        <f t="shared" si="40"/>
        <v>PR</v>
      </c>
      <c r="O489" s="345"/>
      <c r="P489" s="325"/>
      <c r="Q489" s="351"/>
      <c r="R489" s="351">
        <v>1.6</v>
      </c>
      <c r="S489" s="351">
        <v>6</v>
      </c>
      <c r="T489" s="351">
        <v>1.2016666666666667</v>
      </c>
      <c r="U489" s="329">
        <f>IF($N489=$N$4,IFERROR(INDEX(DanhMuc!$E$154:$E$165,MATCH(MID($B489,4,2),DanhMuc!$B$154:$B$165,0)),""),"")</f>
        <v>6000</v>
      </c>
      <c r="V489" s="325"/>
      <c r="W489" s="352" t="str">
        <f>+IF(AND($A489&lt;&gt;"",LEN($B489)&gt;=8,COUNTIF($B$6:$B489,$B489)=1),$W$5,"")</f>
        <v/>
      </c>
      <c r="X489" s="329" t="str">
        <f t="shared" si="41"/>
        <v>XW</v>
      </c>
      <c r="Y489" s="1128" t="s">
        <v>3380</v>
      </c>
      <c r="Z489" s="1128" t="s">
        <v>3381</v>
      </c>
      <c r="AA489" s="1128" t="s">
        <v>3384</v>
      </c>
      <c r="AC489" s="73"/>
    </row>
    <row r="490" spans="1:29" s="20" customFormat="1">
      <c r="A490" s="327" t="str">
        <f>IF(AND($B490&lt;&gt;"",$C490&lt;&gt;""),MAX($A$4:A487)+1,"")</f>
        <v/>
      </c>
      <c r="B490" s="361" t="s">
        <v>1856</v>
      </c>
      <c r="C490" s="360"/>
      <c r="D490" s="327">
        <f>IF($B490="","",COUNTIF($B$6:$B490,$B490))</f>
        <v>4</v>
      </c>
      <c r="E490" s="402" t="s">
        <v>2691</v>
      </c>
      <c r="F490" s="362" t="s">
        <v>599</v>
      </c>
      <c r="G490" s="327" t="s">
        <v>329</v>
      </c>
      <c r="H490" s="325"/>
      <c r="I490" s="327">
        <v>1</v>
      </c>
      <c r="J490" s="361" t="s">
        <v>1193</v>
      </c>
      <c r="K490" s="327" t="s">
        <v>531</v>
      </c>
      <c r="L490" s="348">
        <f t="shared" si="46"/>
        <v>407400</v>
      </c>
      <c r="M490" s="373"/>
      <c r="N490" s="355" t="str">
        <f t="shared" si="40"/>
        <v>PR</v>
      </c>
      <c r="O490" s="345"/>
      <c r="P490" s="325"/>
      <c r="Q490" s="351"/>
      <c r="R490" s="351">
        <v>1.6</v>
      </c>
      <c r="S490" s="351">
        <v>6</v>
      </c>
      <c r="T490" s="351">
        <f>3.88/6</f>
        <v>0.64666666666666661</v>
      </c>
      <c r="U490" s="329">
        <f>IF($N490=$N$4,IFERROR(INDEX(DanhMuc!$E$154:$E$165,MATCH(MID($B490,4,2),DanhMuc!$B$154:$B$165,0)),""),"")</f>
        <v>6000</v>
      </c>
      <c r="V490" s="325"/>
      <c r="W490" s="352" t="str">
        <f>+IF(AND($A490&lt;&gt;"",LEN($B490)&gt;=8,COUNTIF($B$6:$B490,$B490)=1),$W$5,"")</f>
        <v/>
      </c>
      <c r="X490" s="329" t="str">
        <f t="shared" si="41"/>
        <v>XW</v>
      </c>
      <c r="Y490" s="1128" t="s">
        <v>3380</v>
      </c>
      <c r="Z490" s="1128" t="s">
        <v>3381</v>
      </c>
      <c r="AA490" s="1128" t="s">
        <v>3384</v>
      </c>
      <c r="AC490" s="73"/>
    </row>
    <row r="491" spans="1:29" s="20" customFormat="1">
      <c r="A491" s="327" t="str">
        <f>IF(AND($B491&lt;&gt;"",$C491&lt;&gt;""),MAX($A$4:A489)+1,"")</f>
        <v/>
      </c>
      <c r="B491" s="361" t="s">
        <v>1856</v>
      </c>
      <c r="C491" s="360"/>
      <c r="D491" s="327">
        <f>IF($B491="","",COUNTIF($B$6:$B491,$B491))</f>
        <v>5</v>
      </c>
      <c r="E491" s="361" t="s">
        <v>2253</v>
      </c>
      <c r="F491" s="362" t="s">
        <v>445</v>
      </c>
      <c r="G491" s="327" t="s">
        <v>328</v>
      </c>
      <c r="H491" s="325"/>
      <c r="I491" s="327">
        <v>2</v>
      </c>
      <c r="J491" s="361" t="s">
        <v>80</v>
      </c>
      <c r="K491" s="327" t="s">
        <v>531</v>
      </c>
      <c r="L491" s="348">
        <f t="shared" si="43"/>
        <v>464520</v>
      </c>
      <c r="M491" s="355"/>
      <c r="N491" s="355" t="str">
        <f t="shared" si="40"/>
        <v>PR</v>
      </c>
      <c r="O491" s="345"/>
      <c r="P491" s="325"/>
      <c r="Q491" s="351"/>
      <c r="R491" s="351">
        <v>1.6</v>
      </c>
      <c r="S491" s="351">
        <v>6</v>
      </c>
      <c r="T491" s="351">
        <v>0.92166666666666675</v>
      </c>
      <c r="U491" s="329">
        <f>IF($N491=$N$4,IFERROR(INDEX(DanhMuc!$E$154:$E$165,MATCH(MID($B491,4,2),DanhMuc!$B$154:$B$165,0)),""),"")</f>
        <v>6000</v>
      </c>
      <c r="V491" s="325"/>
      <c r="W491" s="352" t="str">
        <f>+IF(AND($A491&lt;&gt;"",LEN($B491)&gt;=8,COUNTIF($B$6:$B491,$B491)=1),$W$5,"")</f>
        <v/>
      </c>
      <c r="X491" s="329" t="str">
        <f t="shared" si="41"/>
        <v>XW</v>
      </c>
      <c r="Y491" s="1128" t="s">
        <v>3380</v>
      </c>
      <c r="Z491" s="1128" t="s">
        <v>3381</v>
      </c>
      <c r="AA491" s="1128" t="s">
        <v>3384</v>
      </c>
      <c r="AC491" s="73"/>
    </row>
    <row r="492" spans="1:29" s="20" customFormat="1">
      <c r="A492" s="327" t="str">
        <f>IF(AND($B492&lt;&gt;"",$C492&lt;&gt;""),MAX($A$4:A491)+1,"")</f>
        <v/>
      </c>
      <c r="B492" s="361" t="s">
        <v>1856</v>
      </c>
      <c r="C492" s="360"/>
      <c r="D492" s="327">
        <f>IF($B492="","",COUNTIF($B$6:$B492,$B492))</f>
        <v>6</v>
      </c>
      <c r="E492" s="361" t="s">
        <v>2254</v>
      </c>
      <c r="F492" s="362" t="s">
        <v>338</v>
      </c>
      <c r="G492" s="327" t="s">
        <v>329</v>
      </c>
      <c r="H492" s="325"/>
      <c r="I492" s="327">
        <v>4</v>
      </c>
      <c r="J492" s="361" t="s">
        <v>1201</v>
      </c>
      <c r="K492" s="327" t="s">
        <v>531</v>
      </c>
      <c r="L492" s="348">
        <f t="shared" si="43"/>
        <v>416640</v>
      </c>
      <c r="M492" s="355"/>
      <c r="N492" s="355" t="str">
        <f t="shared" si="40"/>
        <v>PR</v>
      </c>
      <c r="O492" s="345"/>
      <c r="P492" s="325"/>
      <c r="Q492" s="351"/>
      <c r="R492" s="351">
        <v>1.6</v>
      </c>
      <c r="S492" s="351">
        <v>6</v>
      </c>
      <c r="T492" s="351">
        <v>0.82666666666666666</v>
      </c>
      <c r="U492" s="329">
        <f>IF($N492=$N$4,IFERROR(INDEX(DanhMuc!$E$154:$E$165,MATCH(MID($B492,4,2),DanhMuc!$B$154:$B$165,0)),""),"")</f>
        <v>6000</v>
      </c>
      <c r="V492" s="325"/>
      <c r="W492" s="352" t="str">
        <f>+IF(AND($A492&lt;&gt;"",LEN($B492)&gt;=8,COUNTIF($B$6:$B492,$B492)=1),$W$5,"")</f>
        <v/>
      </c>
      <c r="X492" s="329" t="str">
        <f t="shared" si="41"/>
        <v>XW</v>
      </c>
      <c r="Y492" s="1128" t="s">
        <v>3380</v>
      </c>
      <c r="Z492" s="1128" t="s">
        <v>3381</v>
      </c>
      <c r="AA492" s="1128" t="s">
        <v>3384</v>
      </c>
      <c r="AC492" s="73"/>
    </row>
    <row r="493" spans="1:29" s="20" customFormat="1">
      <c r="A493" s="327" t="str">
        <f>IF(AND($B493&lt;&gt;"",$C493&lt;&gt;""),MAX($A$4:A492)+1,"")</f>
        <v/>
      </c>
      <c r="B493" s="361" t="s">
        <v>1856</v>
      </c>
      <c r="C493" s="360"/>
      <c r="D493" s="327">
        <f>IF($B493="","",COUNTIF($B$6:$B493,$B493))</f>
        <v>7</v>
      </c>
      <c r="E493" s="361" t="s">
        <v>2255</v>
      </c>
      <c r="F493" s="362" t="s">
        <v>337</v>
      </c>
      <c r="G493" s="327" t="s">
        <v>329</v>
      </c>
      <c r="H493" s="325"/>
      <c r="I493" s="327">
        <v>4</v>
      </c>
      <c r="J493" s="361" t="s">
        <v>1201</v>
      </c>
      <c r="K493" s="327" t="s">
        <v>531</v>
      </c>
      <c r="L493" s="348">
        <f t="shared" si="43"/>
        <v>420000</v>
      </c>
      <c r="M493" s="355"/>
      <c r="N493" s="355" t="str">
        <f t="shared" si="40"/>
        <v>PR</v>
      </c>
      <c r="O493" s="345"/>
      <c r="P493" s="325"/>
      <c r="Q493" s="351"/>
      <c r="R493" s="351">
        <v>1.6</v>
      </c>
      <c r="S493" s="351">
        <v>6</v>
      </c>
      <c r="T493" s="351">
        <v>0.83333333333333337</v>
      </c>
      <c r="U493" s="329">
        <f>IF($N493=$N$4,IFERROR(INDEX(DanhMuc!$E$154:$E$165,MATCH(MID($B493,4,2),DanhMuc!$B$154:$B$165,0)),""),"")</f>
        <v>6000</v>
      </c>
      <c r="V493" s="325"/>
      <c r="W493" s="352" t="str">
        <f>+IF(AND($A493&lt;&gt;"",LEN($B493)&gt;=8,COUNTIF($B$6:$B493,$B493)=1),$W$5,"")</f>
        <v/>
      </c>
      <c r="X493" s="329" t="str">
        <f t="shared" si="41"/>
        <v>XW</v>
      </c>
      <c r="Y493" s="1128" t="s">
        <v>3380</v>
      </c>
      <c r="Z493" s="1128" t="s">
        <v>3381</v>
      </c>
      <c r="AA493" s="1128" t="s">
        <v>3384</v>
      </c>
      <c r="AC493" s="73"/>
    </row>
    <row r="494" spans="1:29" s="20" customFormat="1">
      <c r="A494" s="327" t="str">
        <f>IF(AND($B494&lt;&gt;"",$C494&lt;&gt;""),MAX($A$4:A493)+1,"")</f>
        <v/>
      </c>
      <c r="B494" s="361" t="s">
        <v>1856</v>
      </c>
      <c r="C494" s="360"/>
      <c r="D494" s="327">
        <f>IF($B494="","",COUNTIF($B$6:$B494,$B494))</f>
        <v>8</v>
      </c>
      <c r="E494" s="361" t="s">
        <v>2256</v>
      </c>
      <c r="F494" s="362" t="s">
        <v>335</v>
      </c>
      <c r="G494" s="327" t="s">
        <v>328</v>
      </c>
      <c r="H494" s="325"/>
      <c r="I494" s="327">
        <v>4</v>
      </c>
      <c r="J494" s="361" t="s">
        <v>1196</v>
      </c>
      <c r="K494" s="327" t="s">
        <v>531</v>
      </c>
      <c r="L494" s="348">
        <f t="shared" si="43"/>
        <v>537600</v>
      </c>
      <c r="M494" s="355"/>
      <c r="N494" s="355" t="str">
        <f t="shared" si="40"/>
        <v>PR</v>
      </c>
      <c r="O494" s="345"/>
      <c r="P494" s="325"/>
      <c r="Q494" s="351"/>
      <c r="R494" s="351">
        <v>1.6</v>
      </c>
      <c r="S494" s="351">
        <v>6</v>
      </c>
      <c r="T494" s="351">
        <v>1.0666666666666667</v>
      </c>
      <c r="U494" s="329">
        <f>IF($N494=$N$4,IFERROR(INDEX(DanhMuc!$E$154:$E$165,MATCH(MID($B494,4,2),DanhMuc!$B$154:$B$165,0)),""),"")</f>
        <v>6000</v>
      </c>
      <c r="V494" s="325"/>
      <c r="W494" s="352" t="str">
        <f>+IF(AND($A494&lt;&gt;"",LEN($B494)&gt;=8,COUNTIF($B$6:$B494,$B494)=1),$W$5,"")</f>
        <v/>
      </c>
      <c r="X494" s="329" t="str">
        <f t="shared" si="41"/>
        <v>XW</v>
      </c>
      <c r="Y494" s="1128" t="s">
        <v>3380</v>
      </c>
      <c r="Z494" s="1128" t="s">
        <v>3381</v>
      </c>
      <c r="AA494" s="1128" t="s">
        <v>3384</v>
      </c>
      <c r="AC494" s="73"/>
    </row>
    <row r="495" spans="1:29" s="20" customFormat="1">
      <c r="A495" s="327" t="str">
        <f>IF(AND($B495&lt;&gt;"",$C495&lt;&gt;""),MAX($A$4:A494)+1,"")</f>
        <v/>
      </c>
      <c r="B495" s="361" t="s">
        <v>1856</v>
      </c>
      <c r="C495" s="360"/>
      <c r="D495" s="327">
        <f>IF($B495="","",COUNTIF($B$6:$B495,$B495))</f>
        <v>9</v>
      </c>
      <c r="E495" s="361" t="s">
        <v>2257</v>
      </c>
      <c r="F495" s="362" t="s">
        <v>336</v>
      </c>
      <c r="G495" s="327" t="s">
        <v>328</v>
      </c>
      <c r="H495" s="325"/>
      <c r="I495" s="327">
        <v>4</v>
      </c>
      <c r="J495" s="361" t="s">
        <v>1196</v>
      </c>
      <c r="K495" s="327" t="s">
        <v>531</v>
      </c>
      <c r="L495" s="348">
        <f t="shared" si="43"/>
        <v>452760</v>
      </c>
      <c r="M495" s="355"/>
      <c r="N495" s="355" t="str">
        <f t="shared" si="40"/>
        <v>PR</v>
      </c>
      <c r="O495" s="345"/>
      <c r="P495" s="325"/>
      <c r="Q495" s="351"/>
      <c r="R495" s="351">
        <v>1.6</v>
      </c>
      <c r="S495" s="351">
        <v>6</v>
      </c>
      <c r="T495" s="351">
        <v>0.89833333333333332</v>
      </c>
      <c r="U495" s="329">
        <f>IF($N495=$N$4,IFERROR(INDEX(DanhMuc!$E$154:$E$165,MATCH(MID($B495,4,2),DanhMuc!$B$154:$B$165,0)),""),"")</f>
        <v>6000</v>
      </c>
      <c r="V495" s="325"/>
      <c r="W495" s="352" t="str">
        <f>+IF(AND($A495&lt;&gt;"",LEN($B495)&gt;=8,COUNTIF($B$6:$B495,$B495)=1),$W$5,"")</f>
        <v/>
      </c>
      <c r="X495" s="329" t="str">
        <f t="shared" si="41"/>
        <v>XW</v>
      </c>
      <c r="Y495" s="1128" t="s">
        <v>3380</v>
      </c>
      <c r="Z495" s="1128" t="s">
        <v>3381</v>
      </c>
      <c r="AA495" s="1128" t="s">
        <v>3384</v>
      </c>
      <c r="AC495" s="73"/>
    </row>
    <row r="496" spans="1:29" s="20" customFormat="1">
      <c r="A496" s="327" t="str">
        <f>IF(AND($B496&lt;&gt;"",$C496&lt;&gt;""),MAX($A$4:A495)+1,"")</f>
        <v/>
      </c>
      <c r="B496" s="361" t="s">
        <v>1856</v>
      </c>
      <c r="C496" s="360"/>
      <c r="D496" s="327">
        <f>IF($B496="","",COUNTIF($B$6:$B496,$B496))</f>
        <v>10</v>
      </c>
      <c r="E496" s="361" t="s">
        <v>2258</v>
      </c>
      <c r="F496" s="362" t="s">
        <v>446</v>
      </c>
      <c r="G496" s="327" t="s">
        <v>328</v>
      </c>
      <c r="H496" s="325"/>
      <c r="I496" s="327">
        <v>1</v>
      </c>
      <c r="J496" s="361" t="s">
        <v>1196</v>
      </c>
      <c r="K496" s="327" t="s">
        <v>531</v>
      </c>
      <c r="L496" s="348">
        <f t="shared" si="43"/>
        <v>292320</v>
      </c>
      <c r="M496" s="355"/>
      <c r="N496" s="355" t="str">
        <f t="shared" si="40"/>
        <v>PR</v>
      </c>
      <c r="O496" s="345"/>
      <c r="P496" s="325"/>
      <c r="Q496" s="351"/>
      <c r="R496" s="351">
        <v>1.6</v>
      </c>
      <c r="S496" s="351">
        <v>6</v>
      </c>
      <c r="T496" s="351">
        <v>0.57999999999999996</v>
      </c>
      <c r="U496" s="329">
        <f>IF($N496=$N$4,IFERROR(INDEX(DanhMuc!$E$154:$E$165,MATCH(MID($B496,4,2),DanhMuc!$B$154:$B$165,0)),""),"")</f>
        <v>6000</v>
      </c>
      <c r="V496" s="325"/>
      <c r="W496" s="352" t="str">
        <f>+IF(AND($A496&lt;&gt;"",LEN($B496)&gt;=8,COUNTIF($B$6:$B496,$B496)=1),$W$5,"")</f>
        <v/>
      </c>
      <c r="X496" s="329" t="str">
        <f t="shared" si="41"/>
        <v>XW</v>
      </c>
      <c r="Y496" s="1128" t="s">
        <v>3380</v>
      </c>
      <c r="Z496" s="1128" t="s">
        <v>3381</v>
      </c>
      <c r="AA496" s="1128" t="s">
        <v>3384</v>
      </c>
      <c r="AC496" s="73"/>
    </row>
    <row r="497" spans="1:29" s="20" customFormat="1">
      <c r="A497" s="327" t="str">
        <f>IF(AND($B497&lt;&gt;"",$C497&lt;&gt;""),MAX($A$4:A495)+1,"")</f>
        <v/>
      </c>
      <c r="B497" s="361" t="s">
        <v>1856</v>
      </c>
      <c r="C497" s="360"/>
      <c r="D497" s="327">
        <f>IF($B497="","",COUNTIF($B$6:$B497,$B497))</f>
        <v>11</v>
      </c>
      <c r="E497" s="361" t="s">
        <v>2695</v>
      </c>
      <c r="F497" s="362" t="s">
        <v>2696</v>
      </c>
      <c r="G497" s="327" t="s">
        <v>328</v>
      </c>
      <c r="H497" s="325"/>
      <c r="I497" s="327">
        <v>2</v>
      </c>
      <c r="J497" s="361" t="s">
        <v>1197</v>
      </c>
      <c r="K497" s="327" t="s">
        <v>531</v>
      </c>
      <c r="L497" s="348">
        <f t="shared" si="46"/>
        <v>427350.00000000006</v>
      </c>
      <c r="M497" s="355"/>
      <c r="N497" s="355" t="str">
        <f t="shared" si="40"/>
        <v>PR</v>
      </c>
      <c r="O497" s="345"/>
      <c r="P497" s="325"/>
      <c r="Q497" s="351"/>
      <c r="R497" s="351">
        <v>1.6</v>
      </c>
      <c r="S497" s="351">
        <v>6</v>
      </c>
      <c r="T497" s="351">
        <f>4.07/6</f>
        <v>0.67833333333333334</v>
      </c>
      <c r="U497" s="329">
        <f>IF($N497=$N$4,IFERROR(INDEX(DanhMuc!$E$154:$E$165,MATCH(MID($B497,4,2),DanhMuc!$B$154:$B$165,0)),""),"")</f>
        <v>6000</v>
      </c>
      <c r="V497" s="325"/>
      <c r="W497" s="352" t="str">
        <f>+IF(AND($A497&lt;&gt;"",LEN($B497)&gt;=8,COUNTIF($B$6:$B497,$B497)=1),$W$5,"")</f>
        <v/>
      </c>
      <c r="X497" s="329" t="str">
        <f t="shared" si="41"/>
        <v>XW</v>
      </c>
      <c r="Y497" s="1128" t="s">
        <v>3380</v>
      </c>
      <c r="Z497" s="1128" t="s">
        <v>3381</v>
      </c>
      <c r="AA497" s="1128" t="s">
        <v>3384</v>
      </c>
      <c r="AC497" s="73"/>
    </row>
    <row r="498" spans="1:29" s="20" customFormat="1">
      <c r="A498" s="327" t="str">
        <f>IF(AND($B498&lt;&gt;"",$C498&lt;&gt;""),MAX($A$4:A496)+1,"")</f>
        <v/>
      </c>
      <c r="B498" s="361" t="s">
        <v>1856</v>
      </c>
      <c r="C498" s="360"/>
      <c r="D498" s="327">
        <f>IF($B498="","",COUNTIF($B$6:$B498,$B498))</f>
        <v>12</v>
      </c>
      <c r="E498" s="361" t="s">
        <v>2281</v>
      </c>
      <c r="F498" s="362" t="s">
        <v>1074</v>
      </c>
      <c r="G498" s="327" t="s">
        <v>328</v>
      </c>
      <c r="H498" s="325"/>
      <c r="I498" s="327">
        <v>2</v>
      </c>
      <c r="J498" s="361" t="s">
        <v>1197</v>
      </c>
      <c r="K498" s="327" t="s">
        <v>531</v>
      </c>
      <c r="L498" s="348">
        <f>+$T498*$S498*$L$391</f>
        <v>745079.99999999988</v>
      </c>
      <c r="M498" s="355"/>
      <c r="N498" s="355" t="str">
        <f t="shared" si="40"/>
        <v>PR</v>
      </c>
      <c r="O498" s="345"/>
      <c r="P498" s="325"/>
      <c r="Q498" s="351"/>
      <c r="R498" s="351">
        <v>1.6</v>
      </c>
      <c r="S498" s="351">
        <v>6</v>
      </c>
      <c r="T498" s="351">
        <f>8.87/6</f>
        <v>1.4783333333333333</v>
      </c>
      <c r="U498" s="329">
        <f>IF($N498=$N$4,IFERROR(INDEX(DanhMuc!$E$154:$E$165,MATCH(MID($B498,4,2),DanhMuc!$B$154:$B$165,0)),""),"")</f>
        <v>6000</v>
      </c>
      <c r="V498" s="325"/>
      <c r="W498" s="352" t="str">
        <f>+IF(AND($A498&lt;&gt;"",LEN($B498)&gt;=8,COUNTIF($B$6:$B498,$B498)=1),$W$5,"")</f>
        <v/>
      </c>
      <c r="X498" s="329" t="str">
        <f t="shared" si="41"/>
        <v>XW</v>
      </c>
      <c r="Y498" s="1128" t="s">
        <v>3380</v>
      </c>
      <c r="Z498" s="1128" t="s">
        <v>3381</v>
      </c>
      <c r="AA498" s="1128" t="s">
        <v>3384</v>
      </c>
      <c r="AC498" s="73"/>
    </row>
    <row r="499" spans="1:29" s="20" customFormat="1" ht="25">
      <c r="A499" s="327" t="str">
        <f>IF(AND($B499&lt;&gt;"",$C499&lt;&gt;""),MAX($A$4:A497)+1,"")</f>
        <v/>
      </c>
      <c r="B499" s="361" t="s">
        <v>1856</v>
      </c>
      <c r="C499" s="360"/>
      <c r="D499" s="327">
        <f>IF($B499="","",COUNTIF($B$6:$B499,$B499))</f>
        <v>13</v>
      </c>
      <c r="E499" s="365" t="s">
        <v>2350</v>
      </c>
      <c r="F499" s="368" t="s">
        <v>2347</v>
      </c>
      <c r="G499" s="327" t="s">
        <v>329</v>
      </c>
      <c r="H499" s="325"/>
      <c r="I499" s="327">
        <v>4</v>
      </c>
      <c r="J499" s="365" t="s">
        <v>1202</v>
      </c>
      <c r="K499" s="327" t="s">
        <v>531</v>
      </c>
      <c r="L499" s="348">
        <f t="shared" ref="L499:L501" si="47">+$T499*$L$391*$S499</f>
        <v>84000</v>
      </c>
      <c r="M499" s="355"/>
      <c r="N499" s="355" t="str">
        <f t="shared" si="40"/>
        <v>PR</v>
      </c>
      <c r="O499" s="345"/>
      <c r="P499" s="325"/>
      <c r="Q499" s="351"/>
      <c r="R499" s="351">
        <v>1.6</v>
      </c>
      <c r="S499" s="351">
        <v>6</v>
      </c>
      <c r="T499" s="351">
        <f>1/S499</f>
        <v>0.16666666666666666</v>
      </c>
      <c r="U499" s="329">
        <f>IF($N499=$N$4,IFERROR(INDEX(DanhMuc!$E$154:$E$165,MATCH(MID($B499,4,2),DanhMuc!$B$154:$B$165,0)),""),"")</f>
        <v>6000</v>
      </c>
      <c r="V499" s="325"/>
      <c r="W499" s="352" t="str">
        <f>+IF(AND($A499&lt;&gt;"",LEN($B499)&gt;=8,COUNTIF($B$6:$B499,$B499)=1),$W$5,"")</f>
        <v/>
      </c>
      <c r="X499" s="329" t="str">
        <f t="shared" si="41"/>
        <v>XW</v>
      </c>
      <c r="Y499" s="1128" t="s">
        <v>3380</v>
      </c>
      <c r="Z499" s="1128" t="s">
        <v>3381</v>
      </c>
      <c r="AA499" s="1128" t="s">
        <v>3384</v>
      </c>
      <c r="AC499" s="73"/>
    </row>
    <row r="500" spans="1:29" s="20" customFormat="1" ht="25">
      <c r="A500" s="327" t="str">
        <f>IF(AND($B500&lt;&gt;"",$C500&lt;&gt;""),MAX($A$4:A498)+1,"")</f>
        <v/>
      </c>
      <c r="B500" s="361" t="s">
        <v>1856</v>
      </c>
      <c r="C500" s="360"/>
      <c r="D500" s="327">
        <f>IF($B500="","",COUNTIF($B$6:$B500,$B500))</f>
        <v>14</v>
      </c>
      <c r="E500" s="365" t="s">
        <v>2350</v>
      </c>
      <c r="F500" s="368" t="s">
        <v>2347</v>
      </c>
      <c r="G500" s="327" t="s">
        <v>329</v>
      </c>
      <c r="H500" s="325"/>
      <c r="I500" s="327">
        <v>2</v>
      </c>
      <c r="J500" s="365" t="s">
        <v>1203</v>
      </c>
      <c r="K500" s="327" t="s">
        <v>531</v>
      </c>
      <c r="L500" s="348">
        <f t="shared" si="47"/>
        <v>84000</v>
      </c>
      <c r="M500" s="355"/>
      <c r="N500" s="355" t="str">
        <f t="shared" si="40"/>
        <v>PR</v>
      </c>
      <c r="O500" s="345"/>
      <c r="P500" s="325"/>
      <c r="Q500" s="351"/>
      <c r="R500" s="351">
        <v>1.6</v>
      </c>
      <c r="S500" s="351">
        <v>6</v>
      </c>
      <c r="T500" s="351">
        <f>1/S500</f>
        <v>0.16666666666666666</v>
      </c>
      <c r="U500" s="329">
        <f>IF($N500=$N$4,IFERROR(INDEX(DanhMuc!$E$154:$E$165,MATCH(MID($B500,4,2),DanhMuc!$B$154:$B$165,0)),""),"")</f>
        <v>6000</v>
      </c>
      <c r="V500" s="325"/>
      <c r="W500" s="352" t="str">
        <f>+IF(AND($A500&lt;&gt;"",LEN($B500)&gt;=8,COUNTIF($B$6:$B500,$B500)=1),$W$5,"")</f>
        <v/>
      </c>
      <c r="X500" s="329" t="str">
        <f t="shared" si="41"/>
        <v>XW</v>
      </c>
      <c r="Y500" s="1128" t="s">
        <v>3380</v>
      </c>
      <c r="Z500" s="1128" t="s">
        <v>3381</v>
      </c>
      <c r="AA500" s="1128" t="s">
        <v>3384</v>
      </c>
      <c r="AC500" s="73"/>
    </row>
    <row r="501" spans="1:29" s="20" customFormat="1" ht="25">
      <c r="A501" s="327" t="str">
        <f>IF(AND($B501&lt;&gt;"",$C501&lt;&gt;""),MAX($A$4:A499)+1,"")</f>
        <v/>
      </c>
      <c r="B501" s="361" t="s">
        <v>1856</v>
      </c>
      <c r="C501" s="360"/>
      <c r="D501" s="327">
        <f>IF($B501="","",COUNTIF($B$6:$B501,$B501))</f>
        <v>15</v>
      </c>
      <c r="E501" s="365" t="s">
        <v>2350</v>
      </c>
      <c r="F501" s="368" t="s">
        <v>2347</v>
      </c>
      <c r="G501" s="327" t="s">
        <v>328</v>
      </c>
      <c r="H501" s="325"/>
      <c r="I501" s="327">
        <v>6</v>
      </c>
      <c r="J501" s="361" t="s">
        <v>2692</v>
      </c>
      <c r="K501" s="327" t="s">
        <v>531</v>
      </c>
      <c r="L501" s="348">
        <f t="shared" si="47"/>
        <v>84000</v>
      </c>
      <c r="M501" s="355"/>
      <c r="N501" s="355" t="str">
        <f t="shared" si="40"/>
        <v>PR</v>
      </c>
      <c r="O501" s="345"/>
      <c r="P501" s="325"/>
      <c r="Q501" s="351"/>
      <c r="R501" s="351">
        <v>1.6</v>
      </c>
      <c r="S501" s="351">
        <v>6</v>
      </c>
      <c r="T501" s="351">
        <f>1/S501</f>
        <v>0.16666666666666666</v>
      </c>
      <c r="U501" s="329">
        <f>IF($N501=$N$4,IFERROR(INDEX(DanhMuc!$E$154:$E$165,MATCH(MID($B501,4,2),DanhMuc!$B$154:$B$165,0)),""),"")</f>
        <v>6000</v>
      </c>
      <c r="V501" s="325"/>
      <c r="W501" s="352" t="str">
        <f>+IF(AND($A501&lt;&gt;"",LEN($B501)&gt;=8,COUNTIF($B$6:$B501,$B501)=1),$W$5,"")</f>
        <v/>
      </c>
      <c r="X501" s="329" t="str">
        <f t="shared" si="41"/>
        <v>XW</v>
      </c>
      <c r="Y501" s="1128" t="s">
        <v>3380</v>
      </c>
      <c r="Z501" s="1128" t="s">
        <v>3381</v>
      </c>
      <c r="AA501" s="1128" t="s">
        <v>3384</v>
      </c>
      <c r="AC501" s="73"/>
    </row>
    <row r="502" spans="1:29" s="20" customFormat="1" ht="39">
      <c r="A502" s="327">
        <f>IF(AND($B502&lt;&gt;"",$C502&lt;&gt;""),MAX($A$4:A486)+1,"")</f>
        <v>42</v>
      </c>
      <c r="B502" s="359" t="s">
        <v>1857</v>
      </c>
      <c r="C502" s="360" t="s">
        <v>1884</v>
      </c>
      <c r="D502" s="327">
        <f>IF($B502="","",COUNTIF($B$6:$B502,$B502))</f>
        <v>1</v>
      </c>
      <c r="E502" s="361" t="s">
        <v>2259</v>
      </c>
      <c r="F502" s="362" t="s">
        <v>32</v>
      </c>
      <c r="G502" s="327" t="s">
        <v>329</v>
      </c>
      <c r="H502" s="325"/>
      <c r="I502" s="327">
        <v>2</v>
      </c>
      <c r="J502" s="363" t="s">
        <v>81</v>
      </c>
      <c r="K502" s="327" t="s">
        <v>516</v>
      </c>
      <c r="L502" s="348">
        <f t="shared" si="43"/>
        <v>420000</v>
      </c>
      <c r="M502" s="355"/>
      <c r="N502" s="355" t="str">
        <f t="shared" si="40"/>
        <v>PR</v>
      </c>
      <c r="O502" s="347"/>
      <c r="P502" s="325"/>
      <c r="Q502" s="351"/>
      <c r="R502" s="351">
        <v>1.2</v>
      </c>
      <c r="S502" s="351">
        <v>6</v>
      </c>
      <c r="T502" s="351">
        <v>0.83333333333333337</v>
      </c>
      <c r="U502" s="329">
        <f>IF($N502=$N$4,IFERROR(INDEX(DanhMuc!$E$154:$E$165,MATCH(MID($B502,4,2),DanhMuc!$B$154:$B$165,0)),""),"")</f>
        <v>6000</v>
      </c>
      <c r="V502" s="325"/>
      <c r="W502" s="352" t="str">
        <f>+IF(AND($A502&lt;&gt;"",LEN($B502)&gt;=8,COUNTIF($B$6:$B502,$B502)=1),$W$5,"")</f>
        <v>DMCua</v>
      </c>
      <c r="X502" s="329" t="str">
        <f t="shared" si="41"/>
        <v>XW</v>
      </c>
      <c r="Y502" s="1128" t="s">
        <v>3380</v>
      </c>
      <c r="Z502" s="1128" t="s">
        <v>3381</v>
      </c>
      <c r="AA502" s="1128" t="s">
        <v>3384</v>
      </c>
      <c r="AC502" s="73"/>
    </row>
    <row r="503" spans="1:29" s="20" customFormat="1">
      <c r="A503" s="327" t="str">
        <f>IF(AND($B503&lt;&gt;"",$C503&lt;&gt;""),MAX($A$4:A502)+1,"")</f>
        <v/>
      </c>
      <c r="B503" s="361" t="s">
        <v>1857</v>
      </c>
      <c r="C503" s="360"/>
      <c r="D503" s="327">
        <f>IF($B503="","",COUNTIF($B$6:$B503,$B503))</f>
        <v>2</v>
      </c>
      <c r="E503" s="361" t="s">
        <v>2259</v>
      </c>
      <c r="F503" s="362" t="s">
        <v>32</v>
      </c>
      <c r="G503" s="327" t="s">
        <v>328</v>
      </c>
      <c r="H503" s="325"/>
      <c r="I503" s="327">
        <v>2</v>
      </c>
      <c r="J503" s="361" t="s">
        <v>80</v>
      </c>
      <c r="K503" s="327" t="s">
        <v>516</v>
      </c>
      <c r="L503" s="348">
        <f t="shared" si="43"/>
        <v>420000</v>
      </c>
      <c r="M503" s="355"/>
      <c r="N503" s="355" t="str">
        <f t="shared" si="40"/>
        <v>PR</v>
      </c>
      <c r="O503" s="347"/>
      <c r="P503" s="325"/>
      <c r="Q503" s="351"/>
      <c r="R503" s="351">
        <v>1.2</v>
      </c>
      <c r="S503" s="351">
        <v>6</v>
      </c>
      <c r="T503" s="351">
        <v>0.83333333333333337</v>
      </c>
      <c r="U503" s="329">
        <f>IF($N503=$N$4,IFERROR(INDEX(DanhMuc!$E$154:$E$165,MATCH(MID($B503,4,2),DanhMuc!$B$154:$B$165,0)),""),"")</f>
        <v>6000</v>
      </c>
      <c r="V503" s="325"/>
      <c r="W503" s="352" t="str">
        <f>+IF(AND($A503&lt;&gt;"",LEN($B503)&gt;=8,COUNTIF($B$6:$B503,$B503)=1),$W$5,"")</f>
        <v/>
      </c>
      <c r="X503" s="329" t="str">
        <f t="shared" si="41"/>
        <v>XW</v>
      </c>
      <c r="Y503" s="1128" t="s">
        <v>3380</v>
      </c>
      <c r="Z503" s="1128" t="s">
        <v>3381</v>
      </c>
      <c r="AA503" s="1128" t="s">
        <v>3384</v>
      </c>
      <c r="AC503" s="73"/>
    </row>
    <row r="504" spans="1:29" s="20" customFormat="1">
      <c r="A504" s="327" t="str">
        <f>IF(AND($B504&lt;&gt;"",$C504&lt;&gt;""),MAX($A$4:A503)+1,"")</f>
        <v/>
      </c>
      <c r="B504" s="361" t="s">
        <v>1857</v>
      </c>
      <c r="C504" s="360"/>
      <c r="D504" s="327">
        <f>IF($B504="","",COUNTIF($B$6:$B504,$B504))</f>
        <v>3</v>
      </c>
      <c r="E504" s="361" t="s">
        <v>2260</v>
      </c>
      <c r="F504" s="362" t="s">
        <v>34</v>
      </c>
      <c r="G504" s="327" t="s">
        <v>329</v>
      </c>
      <c r="H504" s="325"/>
      <c r="I504" s="327">
        <v>4</v>
      </c>
      <c r="J504" s="361" t="s">
        <v>970</v>
      </c>
      <c r="K504" s="327" t="s">
        <v>516</v>
      </c>
      <c r="L504" s="348">
        <f t="shared" si="43"/>
        <v>420000</v>
      </c>
      <c r="M504" s="355"/>
      <c r="N504" s="355" t="str">
        <f t="shared" si="40"/>
        <v>PR</v>
      </c>
      <c r="O504" s="347"/>
      <c r="P504" s="325"/>
      <c r="Q504" s="351"/>
      <c r="R504" s="351">
        <v>1.2</v>
      </c>
      <c r="S504" s="351">
        <v>6</v>
      </c>
      <c r="T504" s="351">
        <v>0.83333333333333337</v>
      </c>
      <c r="U504" s="329">
        <f>IF($N504=$N$4,IFERROR(INDEX(DanhMuc!$E$154:$E$165,MATCH(MID($B504,4,2),DanhMuc!$B$154:$B$165,0)),""),"")</f>
        <v>6000</v>
      </c>
      <c r="V504" s="325"/>
      <c r="W504" s="352" t="str">
        <f>+IF(AND($A504&lt;&gt;"",LEN($B504)&gt;=8,COUNTIF($B$6:$B504,$B504)=1),$W$5,"")</f>
        <v/>
      </c>
      <c r="X504" s="329" t="str">
        <f t="shared" si="41"/>
        <v>XW</v>
      </c>
      <c r="Y504" s="1128" t="s">
        <v>3380</v>
      </c>
      <c r="Z504" s="1128" t="s">
        <v>3381</v>
      </c>
      <c r="AA504" s="1128" t="s">
        <v>3384</v>
      </c>
      <c r="AC504" s="73"/>
    </row>
    <row r="505" spans="1:29" s="20" customFormat="1">
      <c r="A505" s="327" t="str">
        <f>IF(AND($B505&lt;&gt;"",$C505&lt;&gt;""),MAX($A$4:A504)+1,"")</f>
        <v/>
      </c>
      <c r="B505" s="361" t="s">
        <v>1857</v>
      </c>
      <c r="C505" s="360"/>
      <c r="D505" s="327">
        <f>IF($B505="","",COUNTIF($B$6:$B505,$B505))</f>
        <v>4</v>
      </c>
      <c r="E505" s="361" t="s">
        <v>2260</v>
      </c>
      <c r="F505" s="362" t="s">
        <v>34</v>
      </c>
      <c r="G505" s="327" t="s">
        <v>328</v>
      </c>
      <c r="H505" s="325"/>
      <c r="I505" s="327">
        <v>4</v>
      </c>
      <c r="J505" s="361" t="s">
        <v>971</v>
      </c>
      <c r="K505" s="327" t="s">
        <v>516</v>
      </c>
      <c r="L505" s="348">
        <f t="shared" si="43"/>
        <v>420000</v>
      </c>
      <c r="M505" s="355"/>
      <c r="N505" s="355" t="str">
        <f t="shared" si="40"/>
        <v>PR</v>
      </c>
      <c r="O505" s="347"/>
      <c r="P505" s="325"/>
      <c r="Q505" s="351"/>
      <c r="R505" s="351">
        <v>1.2</v>
      </c>
      <c r="S505" s="351">
        <v>6</v>
      </c>
      <c r="T505" s="351">
        <v>0.83333333333333337</v>
      </c>
      <c r="U505" s="329">
        <f>IF($N505=$N$4,IFERROR(INDEX(DanhMuc!$E$154:$E$165,MATCH(MID($B505,4,2),DanhMuc!$B$154:$B$165,0)),""),"")</f>
        <v>6000</v>
      </c>
      <c r="V505" s="325"/>
      <c r="W505" s="352" t="str">
        <f>+IF(AND($A505&lt;&gt;"",LEN($B505)&gt;=8,COUNTIF($B$6:$B505,$B505)=1),$W$5,"")</f>
        <v/>
      </c>
      <c r="X505" s="329" t="str">
        <f t="shared" si="41"/>
        <v>XW</v>
      </c>
      <c r="Y505" s="1128" t="s">
        <v>3380</v>
      </c>
      <c r="Z505" s="1128" t="s">
        <v>3381</v>
      </c>
      <c r="AA505" s="1128" t="s">
        <v>3384</v>
      </c>
      <c r="AC505" s="73"/>
    </row>
    <row r="506" spans="1:29" s="20" customFormat="1">
      <c r="A506" s="327" t="str">
        <f>IF(AND($B506&lt;&gt;"",$C506&lt;&gt;""),MAX($A$4:A505)+1,"")</f>
        <v/>
      </c>
      <c r="B506" s="361" t="s">
        <v>1857</v>
      </c>
      <c r="C506" s="360"/>
      <c r="D506" s="327">
        <f>IF($B506="","",COUNTIF($B$6:$B506,$B506))</f>
        <v>5</v>
      </c>
      <c r="E506" s="361" t="s">
        <v>2261</v>
      </c>
      <c r="F506" s="362" t="s">
        <v>36</v>
      </c>
      <c r="G506" s="327" t="s">
        <v>328</v>
      </c>
      <c r="H506" s="325"/>
      <c r="I506" s="327">
        <v>2</v>
      </c>
      <c r="J506" s="361" t="s">
        <v>971</v>
      </c>
      <c r="K506" s="327" t="s">
        <v>531</v>
      </c>
      <c r="L506" s="348">
        <f t="shared" si="43"/>
        <v>176400.00000000003</v>
      </c>
      <c r="M506" s="355"/>
      <c r="N506" s="355" t="str">
        <f t="shared" si="40"/>
        <v>PR</v>
      </c>
      <c r="O506" s="347"/>
      <c r="P506" s="325"/>
      <c r="Q506" s="351"/>
      <c r="R506" s="351">
        <v>1.2</v>
      </c>
      <c r="S506" s="351">
        <v>6</v>
      </c>
      <c r="T506" s="351">
        <v>0.35000000000000003</v>
      </c>
      <c r="U506" s="329">
        <f>IF($N506=$N$4,IFERROR(INDEX(DanhMuc!$E$154:$E$165,MATCH(MID($B506,4,2),DanhMuc!$B$154:$B$165,0)),""),"")</f>
        <v>6000</v>
      </c>
      <c r="V506" s="325"/>
      <c r="W506" s="352" t="str">
        <f>+IF(AND($A506&lt;&gt;"",LEN($B506)&gt;=8,COUNTIF($B$6:$B506,$B506)=1),$W$5,"")</f>
        <v/>
      </c>
      <c r="X506" s="329" t="str">
        <f t="shared" si="41"/>
        <v>XW</v>
      </c>
      <c r="Y506" s="1128" t="s">
        <v>3380</v>
      </c>
      <c r="Z506" s="1128" t="s">
        <v>3381</v>
      </c>
      <c r="AA506" s="1128" t="s">
        <v>3384</v>
      </c>
      <c r="AC506" s="73"/>
    </row>
    <row r="507" spans="1:29" s="20" customFormat="1">
      <c r="A507" s="327" t="str">
        <f>IF(AND($B507&lt;&gt;"",$C507&lt;&gt;""),MAX($A$4:A506)+1,"")</f>
        <v/>
      </c>
      <c r="B507" s="361" t="s">
        <v>1857</v>
      </c>
      <c r="C507" s="360"/>
      <c r="D507" s="327">
        <f>IF($B507="","",COUNTIF($B$6:$B507,$B507))</f>
        <v>6</v>
      </c>
      <c r="E507" s="361" t="s">
        <v>2262</v>
      </c>
      <c r="F507" s="362" t="s">
        <v>40</v>
      </c>
      <c r="G507" s="327" t="s">
        <v>330</v>
      </c>
      <c r="H507" s="325"/>
      <c r="I507" s="327">
        <v>1</v>
      </c>
      <c r="J507" s="361" t="s">
        <v>1189</v>
      </c>
      <c r="K507" s="327" t="s">
        <v>531</v>
      </c>
      <c r="L507" s="348">
        <f t="shared" si="43"/>
        <v>89040</v>
      </c>
      <c r="M507" s="355"/>
      <c r="N507" s="355" t="str">
        <f t="shared" si="40"/>
        <v>PR</v>
      </c>
      <c r="O507" s="347"/>
      <c r="P507" s="325"/>
      <c r="Q507" s="351"/>
      <c r="R507" s="351">
        <v>1.2</v>
      </c>
      <c r="S507" s="351">
        <v>6</v>
      </c>
      <c r="T507" s="351">
        <v>0.17666666666666667</v>
      </c>
      <c r="U507" s="329">
        <f>IF($N507=$N$4,IFERROR(INDEX(DanhMuc!$E$154:$E$165,MATCH(MID($B507,4,2),DanhMuc!$B$154:$B$165,0)),""),"")</f>
        <v>6000</v>
      </c>
      <c r="V507" s="325"/>
      <c r="W507" s="352" t="str">
        <f>+IF(AND($A507&lt;&gt;"",LEN($B507)&gt;=8,COUNTIF($B$6:$B507,$B507)=1),$W$5,"")</f>
        <v/>
      </c>
      <c r="X507" s="329" t="str">
        <f t="shared" si="41"/>
        <v>XW</v>
      </c>
      <c r="Y507" s="1128" t="s">
        <v>3380</v>
      </c>
      <c r="Z507" s="1128" t="s">
        <v>3381</v>
      </c>
      <c r="AA507" s="1128" t="s">
        <v>3384</v>
      </c>
      <c r="AC507" s="73"/>
    </row>
    <row r="508" spans="1:29" s="20" customFormat="1" ht="52">
      <c r="A508" s="327">
        <f>IF(AND($B508&lt;&gt;"",$C508&lt;&gt;""),MAX($A$4:A507)+1,"")</f>
        <v>43</v>
      </c>
      <c r="B508" s="359" t="s">
        <v>3319</v>
      </c>
      <c r="C508" s="360" t="s">
        <v>3321</v>
      </c>
      <c r="D508" s="327">
        <f>IF($B508="","",COUNTIF($B$6:$B508,$B508))</f>
        <v>1</v>
      </c>
      <c r="E508" s="361" t="s">
        <v>2259</v>
      </c>
      <c r="F508" s="362" t="s">
        <v>32</v>
      </c>
      <c r="G508" s="327" t="s">
        <v>328</v>
      </c>
      <c r="H508" s="325"/>
      <c r="I508" s="327">
        <v>2</v>
      </c>
      <c r="J508" s="361" t="s">
        <v>3207</v>
      </c>
      <c r="K508" s="327" t="s">
        <v>531</v>
      </c>
      <c r="L508" s="348">
        <f t="shared" ref="L508:L516" si="48">+$T508*$S508*$L$37</f>
        <v>525000</v>
      </c>
      <c r="M508" s="355"/>
      <c r="N508" s="355" t="str">
        <f t="shared" si="40"/>
        <v>PR</v>
      </c>
      <c r="O508" s="347"/>
      <c r="P508" s="325"/>
      <c r="Q508" s="351"/>
      <c r="R508" s="351">
        <v>1.2</v>
      </c>
      <c r="S508" s="351">
        <v>6</v>
      </c>
      <c r="T508" s="351">
        <v>0.83333333333333337</v>
      </c>
      <c r="U508" s="329">
        <f>IF($N508=$N$4,IFERROR(INDEX(DanhMuc!$E$154:$E$165,MATCH(MID($B508,4,2),DanhMuc!$B$154:$B$165,0)),""),"")</f>
        <v>6000</v>
      </c>
      <c r="V508" s="325"/>
      <c r="W508" s="352" t="str">
        <f>+IF(AND($A508&lt;&gt;"",LEN($B508)&gt;=8,COUNTIF($B$6:$B508,$B508)=1),$W$5,"")</f>
        <v>DMCua</v>
      </c>
      <c r="X508" s="329" t="str">
        <f t="shared" si="41"/>
        <v>XW</v>
      </c>
      <c r="Y508" s="1128" t="s">
        <v>3380</v>
      </c>
      <c r="Z508" s="1128" t="s">
        <v>3381</v>
      </c>
      <c r="AA508" s="1128" t="s">
        <v>3384</v>
      </c>
      <c r="AC508" s="73"/>
    </row>
    <row r="509" spans="1:29" s="20" customFormat="1">
      <c r="A509" s="327" t="str">
        <f>IF(AND($B509&lt;&gt;"",$C509&lt;&gt;""),MAX($A$4:A508)+1,"")</f>
        <v/>
      </c>
      <c r="B509" s="361" t="s">
        <v>3319</v>
      </c>
      <c r="C509" s="360"/>
      <c r="D509" s="327">
        <f>IF($B509="","",COUNTIF($B$6:$B509,$B509))</f>
        <v>2</v>
      </c>
      <c r="E509" s="361" t="s">
        <v>2260</v>
      </c>
      <c r="F509" s="362" t="s">
        <v>34</v>
      </c>
      <c r="G509" s="327" t="s">
        <v>329</v>
      </c>
      <c r="H509" s="325"/>
      <c r="I509" s="327" t="s">
        <v>3209</v>
      </c>
      <c r="J509" s="361" t="s">
        <v>3212</v>
      </c>
      <c r="K509" s="327" t="s">
        <v>531</v>
      </c>
      <c r="L509" s="348">
        <f t="shared" si="48"/>
        <v>525000</v>
      </c>
      <c r="M509" s="355"/>
      <c r="N509" s="355" t="str">
        <f t="shared" si="40"/>
        <v>PR</v>
      </c>
      <c r="O509" s="347"/>
      <c r="P509" s="325"/>
      <c r="Q509" s="351"/>
      <c r="R509" s="351">
        <v>1.2</v>
      </c>
      <c r="S509" s="351">
        <v>6</v>
      </c>
      <c r="T509" s="351">
        <v>0.83333333333333337</v>
      </c>
      <c r="U509" s="329">
        <f>IF($N509=$N$4,IFERROR(INDEX(DanhMuc!$E$154:$E$165,MATCH(MID($B509,4,2),DanhMuc!$B$154:$B$165,0)),""),"")</f>
        <v>6000</v>
      </c>
      <c r="V509" s="325"/>
      <c r="W509" s="352" t="str">
        <f>+IF(AND($A509&lt;&gt;"",LEN($B509)&gt;=8,COUNTIF($B$6:$B509,$B509)=1),$W$5,"")</f>
        <v/>
      </c>
      <c r="X509" s="329" t="str">
        <f t="shared" si="41"/>
        <v>XW</v>
      </c>
      <c r="Y509" s="1128" t="s">
        <v>3380</v>
      </c>
      <c r="Z509" s="1128" t="s">
        <v>3381</v>
      </c>
      <c r="AA509" s="1128" t="s">
        <v>3384</v>
      </c>
      <c r="AC509" s="73"/>
    </row>
    <row r="510" spans="1:29" s="20" customFormat="1">
      <c r="A510" s="327" t="str">
        <f>IF(AND($B510&lt;&gt;"",$C510&lt;&gt;""),MAX($A$4:A509)+1,"")</f>
        <v/>
      </c>
      <c r="B510" s="361" t="s">
        <v>3319</v>
      </c>
      <c r="C510" s="360"/>
      <c r="D510" s="327">
        <f>IF($B510="","",COUNTIF($B$6:$B510,$B510))</f>
        <v>3</v>
      </c>
      <c r="E510" s="361" t="s">
        <v>2260</v>
      </c>
      <c r="F510" s="362" t="s">
        <v>34</v>
      </c>
      <c r="G510" s="327" t="s">
        <v>328</v>
      </c>
      <c r="H510" s="325"/>
      <c r="I510" s="327" t="s">
        <v>3209</v>
      </c>
      <c r="J510" s="361" t="s">
        <v>80</v>
      </c>
      <c r="K510" s="327" t="s">
        <v>531</v>
      </c>
      <c r="L510" s="348">
        <f t="shared" si="48"/>
        <v>525000</v>
      </c>
      <c r="M510" s="355"/>
      <c r="N510" s="355" t="str">
        <f t="shared" si="40"/>
        <v>PR</v>
      </c>
      <c r="O510" s="347"/>
      <c r="P510" s="325"/>
      <c r="Q510" s="351"/>
      <c r="R510" s="351">
        <v>1.2</v>
      </c>
      <c r="S510" s="351">
        <v>6</v>
      </c>
      <c r="T510" s="351">
        <v>0.83333333333333337</v>
      </c>
      <c r="U510" s="329">
        <f>IF($N510=$N$4,IFERROR(INDEX(DanhMuc!$E$154:$E$165,MATCH(MID($B510,4,2),DanhMuc!$B$154:$B$165,0)),""),"")</f>
        <v>6000</v>
      </c>
      <c r="V510" s="325"/>
      <c r="W510" s="352" t="str">
        <f>+IF(AND($A510&lt;&gt;"",LEN($B510)&gt;=8,COUNTIF($B$6:$B510,$B510)=1),$W$5,"")</f>
        <v/>
      </c>
      <c r="X510" s="329" t="str">
        <f t="shared" si="41"/>
        <v>XW</v>
      </c>
      <c r="Y510" s="1128" t="s">
        <v>3380</v>
      </c>
      <c r="Z510" s="1128" t="s">
        <v>3381</v>
      </c>
      <c r="AA510" s="1128" t="s">
        <v>3384</v>
      </c>
      <c r="AC510" s="73"/>
    </row>
    <row r="511" spans="1:29" s="20" customFormat="1">
      <c r="A511" s="327" t="str">
        <f>IF(AND($B511&lt;&gt;"",$C511&lt;&gt;""),MAX($A$4:A510)+1,"")</f>
        <v/>
      </c>
      <c r="B511" s="361" t="s">
        <v>3319</v>
      </c>
      <c r="C511" s="360"/>
      <c r="D511" s="327">
        <f>IF($B511="","",COUNTIF($B$6:$B511,$B511))</f>
        <v>4</v>
      </c>
      <c r="E511" s="361" t="s">
        <v>2263</v>
      </c>
      <c r="F511" s="362" t="s">
        <v>38</v>
      </c>
      <c r="G511" s="327" t="s">
        <v>328</v>
      </c>
      <c r="H511" s="325"/>
      <c r="I511" s="327" t="s">
        <v>3210</v>
      </c>
      <c r="J511" s="361" t="s">
        <v>80</v>
      </c>
      <c r="K511" s="327" t="s">
        <v>531</v>
      </c>
      <c r="L511" s="348">
        <f t="shared" si="48"/>
        <v>136500</v>
      </c>
      <c r="M511" s="355"/>
      <c r="N511" s="355" t="str">
        <f t="shared" si="40"/>
        <v>PR</v>
      </c>
      <c r="O511" s="347"/>
      <c r="P511" s="325"/>
      <c r="Q511" s="351"/>
      <c r="R511" s="351">
        <v>1.2</v>
      </c>
      <c r="S511" s="351">
        <v>6</v>
      </c>
      <c r="T511" s="351">
        <v>0.21666666666666667</v>
      </c>
      <c r="U511" s="329">
        <f>IF($N511=$N$4,IFERROR(INDEX(DanhMuc!$E$154:$E$165,MATCH(MID($B511,4,2),DanhMuc!$B$154:$B$165,0)),""),"")</f>
        <v>6000</v>
      </c>
      <c r="V511" s="325"/>
      <c r="W511" s="352" t="str">
        <f>+IF(AND($A511&lt;&gt;"",LEN($B511)&gt;=8,COUNTIF($B$6:$B511,$B511)=1),$W$5,"")</f>
        <v/>
      </c>
      <c r="X511" s="329" t="str">
        <f t="shared" si="41"/>
        <v>XW</v>
      </c>
      <c r="Y511" s="1128" t="s">
        <v>3380</v>
      </c>
      <c r="Z511" s="1128" t="s">
        <v>3381</v>
      </c>
      <c r="AA511" s="1128" t="s">
        <v>3384</v>
      </c>
      <c r="AC511" s="73"/>
    </row>
    <row r="512" spans="1:29" s="20" customFormat="1">
      <c r="A512" s="327" t="str">
        <f>IF(AND($B512&lt;&gt;"",$C512&lt;&gt;""),MAX($A$4:A511)+1,"")</f>
        <v/>
      </c>
      <c r="B512" s="361" t="s">
        <v>3319</v>
      </c>
      <c r="C512" s="360"/>
      <c r="D512" s="327">
        <f>IF($B512="","",COUNTIF($B$6:$B512,$B512))</f>
        <v>5</v>
      </c>
      <c r="E512" s="361" t="s">
        <v>2261</v>
      </c>
      <c r="F512" s="362" t="s">
        <v>36</v>
      </c>
      <c r="G512" s="327" t="s">
        <v>328</v>
      </c>
      <c r="H512" s="325"/>
      <c r="I512" s="327" t="s">
        <v>3211</v>
      </c>
      <c r="J512" s="361" t="s">
        <v>80</v>
      </c>
      <c r="K512" s="327" t="s">
        <v>531</v>
      </c>
      <c r="L512" s="348">
        <f t="shared" si="48"/>
        <v>220500</v>
      </c>
      <c r="M512" s="355"/>
      <c r="N512" s="355" t="str">
        <f t="shared" si="40"/>
        <v>PR</v>
      </c>
      <c r="O512" s="347"/>
      <c r="P512" s="325"/>
      <c r="Q512" s="351"/>
      <c r="R512" s="351">
        <v>1.2</v>
      </c>
      <c r="S512" s="351">
        <v>6</v>
      </c>
      <c r="T512" s="351">
        <v>0.35000000000000003</v>
      </c>
      <c r="U512" s="329">
        <f>IF($N512=$N$4,IFERROR(INDEX(DanhMuc!$E$154:$E$165,MATCH(MID($B512,4,2),DanhMuc!$B$154:$B$165,0)),""),"")</f>
        <v>6000</v>
      </c>
      <c r="V512" s="325"/>
      <c r="W512" s="352" t="str">
        <f>+IF(AND($A512&lt;&gt;"",LEN($B512)&gt;=8,COUNTIF($B$6:$B512,$B512)=1),$W$5,"")</f>
        <v/>
      </c>
      <c r="X512" s="329" t="str">
        <f t="shared" si="41"/>
        <v>XW</v>
      </c>
      <c r="Y512" s="1128" t="s">
        <v>3380</v>
      </c>
      <c r="Z512" s="1128" t="s">
        <v>3381</v>
      </c>
      <c r="AA512" s="1128" t="s">
        <v>3384</v>
      </c>
      <c r="AC512" s="73"/>
    </row>
    <row r="513" spans="1:29" s="20" customFormat="1" ht="52">
      <c r="A513" s="327">
        <f>IF(AND($B513&lt;&gt;"",$C513&lt;&gt;""),MAX($A$4:A512)+1,"")</f>
        <v>44</v>
      </c>
      <c r="B513" s="359" t="s">
        <v>3320</v>
      </c>
      <c r="C513" s="360" t="s">
        <v>3322</v>
      </c>
      <c r="D513" s="327">
        <f>IF($B513="","",COUNTIF($B$6:$B513,$B513))</f>
        <v>1</v>
      </c>
      <c r="E513" s="361" t="s">
        <v>2259</v>
      </c>
      <c r="F513" s="362" t="s">
        <v>32</v>
      </c>
      <c r="G513" s="327" t="s">
        <v>328</v>
      </c>
      <c r="H513" s="325"/>
      <c r="I513" s="327">
        <v>1</v>
      </c>
      <c r="J513" s="361" t="s">
        <v>3207</v>
      </c>
      <c r="K513" s="327" t="s">
        <v>531</v>
      </c>
      <c r="L513" s="348">
        <f t="shared" si="48"/>
        <v>525000</v>
      </c>
      <c r="M513" s="355"/>
      <c r="N513" s="355" t="str">
        <f t="shared" si="40"/>
        <v>PR</v>
      </c>
      <c r="O513" s="347"/>
      <c r="P513" s="325"/>
      <c r="Q513" s="351"/>
      <c r="R513" s="351">
        <v>1.2</v>
      </c>
      <c r="S513" s="351">
        <v>6</v>
      </c>
      <c r="T513" s="351">
        <v>0.83333333333333337</v>
      </c>
      <c r="U513" s="329">
        <f>IF($N513=$N$4,IFERROR(INDEX(DanhMuc!$E$154:$E$165,MATCH(MID($B513,4,2),DanhMuc!$B$154:$B$165,0)),""),"")</f>
        <v>6000</v>
      </c>
      <c r="V513" s="325"/>
      <c r="W513" s="352" t="str">
        <f>+IF(AND($A513&lt;&gt;"",LEN($B513)&gt;=8,COUNTIF($B$6:$B513,$B513)=1),$W$5,"")</f>
        <v>DMCua</v>
      </c>
      <c r="X513" s="329" t="str">
        <f t="shared" si="41"/>
        <v>XW</v>
      </c>
      <c r="Y513" s="1128" t="s">
        <v>3380</v>
      </c>
      <c r="Z513" s="1128" t="s">
        <v>3381</v>
      </c>
      <c r="AA513" s="1128" t="s">
        <v>3384</v>
      </c>
      <c r="AC513" s="73"/>
    </row>
    <row r="514" spans="1:29" s="20" customFormat="1">
      <c r="A514" s="327" t="str">
        <f>IF(AND($B514&lt;&gt;"",$C514&lt;&gt;""),MAX($A$4:A513)+1,"")</f>
        <v/>
      </c>
      <c r="B514" s="361" t="s">
        <v>3320</v>
      </c>
      <c r="C514" s="360"/>
      <c r="D514" s="327">
        <f>IF($B514="","",COUNTIF($B$6:$B514,$B514))</f>
        <v>2</v>
      </c>
      <c r="E514" s="361" t="s">
        <v>2260</v>
      </c>
      <c r="F514" s="362" t="s">
        <v>34</v>
      </c>
      <c r="G514" s="327" t="s">
        <v>329</v>
      </c>
      <c r="H514" s="325"/>
      <c r="I514" s="327">
        <v>2</v>
      </c>
      <c r="J514" s="361" t="s">
        <v>81</v>
      </c>
      <c r="K514" s="327" t="s">
        <v>531</v>
      </c>
      <c r="L514" s="348">
        <f t="shared" si="48"/>
        <v>525000</v>
      </c>
      <c r="M514" s="355"/>
      <c r="N514" s="355" t="str">
        <f t="shared" si="40"/>
        <v>PR</v>
      </c>
      <c r="O514" s="347"/>
      <c r="P514" s="325"/>
      <c r="Q514" s="351"/>
      <c r="R514" s="351">
        <v>1.2</v>
      </c>
      <c r="S514" s="351">
        <v>6</v>
      </c>
      <c r="T514" s="351">
        <v>0.83333333333333337</v>
      </c>
      <c r="U514" s="329">
        <f>IF($N514=$N$4,IFERROR(INDEX(DanhMuc!$E$154:$E$165,MATCH(MID($B514,4,2),DanhMuc!$B$154:$B$165,0)),""),"")</f>
        <v>6000</v>
      </c>
      <c r="V514" s="325"/>
      <c r="W514" s="352" t="str">
        <f>+IF(AND($A514&lt;&gt;"",LEN($B514)&gt;=8,COUNTIF($B$6:$B514,$B514)=1),$W$5,"")</f>
        <v/>
      </c>
      <c r="X514" s="329" t="str">
        <f t="shared" si="41"/>
        <v>XW</v>
      </c>
      <c r="Y514" s="1128" t="s">
        <v>3380</v>
      </c>
      <c r="Z514" s="1128" t="s">
        <v>3381</v>
      </c>
      <c r="AA514" s="1128" t="s">
        <v>3384</v>
      </c>
      <c r="AC514" s="73"/>
    </row>
    <row r="515" spans="1:29" s="20" customFormat="1">
      <c r="A515" s="327" t="str">
        <f>IF(AND($B515&lt;&gt;"",$C515&lt;&gt;""),MAX($A$4:A514)+1,"")</f>
        <v/>
      </c>
      <c r="B515" s="361" t="s">
        <v>3320</v>
      </c>
      <c r="C515" s="360"/>
      <c r="D515" s="327">
        <f>IF($B515="","",COUNTIF($B$6:$B515,$B515))</f>
        <v>3</v>
      </c>
      <c r="E515" s="361" t="s">
        <v>2260</v>
      </c>
      <c r="F515" s="362" t="s">
        <v>34</v>
      </c>
      <c r="G515" s="327" t="s">
        <v>328</v>
      </c>
      <c r="H515" s="325"/>
      <c r="I515" s="327">
        <v>2</v>
      </c>
      <c r="J515" s="361" t="s">
        <v>80</v>
      </c>
      <c r="K515" s="327" t="s">
        <v>531</v>
      </c>
      <c r="L515" s="348">
        <f t="shared" si="48"/>
        <v>525000</v>
      </c>
      <c r="M515" s="355"/>
      <c r="N515" s="355" t="str">
        <f t="shared" si="40"/>
        <v>PR</v>
      </c>
      <c r="O515" s="347"/>
      <c r="P515" s="325"/>
      <c r="Q515" s="351"/>
      <c r="R515" s="351">
        <v>1.2</v>
      </c>
      <c r="S515" s="351">
        <v>6</v>
      </c>
      <c r="T515" s="351">
        <v>0.83333333333333337</v>
      </c>
      <c r="U515" s="329">
        <f>IF($N515=$N$4,IFERROR(INDEX(DanhMuc!$E$154:$E$165,MATCH(MID($B515,4,2),DanhMuc!$B$154:$B$165,0)),""),"")</f>
        <v>6000</v>
      </c>
      <c r="V515" s="325"/>
      <c r="W515" s="352" t="str">
        <f>+IF(AND($A515&lt;&gt;"",LEN($B515)&gt;=8,COUNTIF($B$6:$B515,$B515)=1),$W$5,"")</f>
        <v/>
      </c>
      <c r="X515" s="329" t="str">
        <f t="shared" si="41"/>
        <v>XW</v>
      </c>
      <c r="Y515" s="1128" t="s">
        <v>3380</v>
      </c>
      <c r="Z515" s="1128" t="s">
        <v>3381</v>
      </c>
      <c r="AA515" s="1128" t="s">
        <v>3384</v>
      </c>
      <c r="AC515" s="73"/>
    </row>
    <row r="516" spans="1:29" s="20" customFormat="1">
      <c r="A516" s="327" t="str">
        <f>IF(AND($B516&lt;&gt;"",$C516&lt;&gt;""),MAX($A$4:A515)+1,"")</f>
        <v/>
      </c>
      <c r="B516" s="361" t="s">
        <v>3320</v>
      </c>
      <c r="C516" s="360"/>
      <c r="D516" s="327">
        <f>IF($B516="","",COUNTIF($B$6:$B516,$B516))</f>
        <v>4</v>
      </c>
      <c r="E516" s="361" t="s">
        <v>2261</v>
      </c>
      <c r="F516" s="362" t="s">
        <v>36</v>
      </c>
      <c r="G516" s="327" t="s">
        <v>328</v>
      </c>
      <c r="H516" s="325"/>
      <c r="I516" s="327">
        <v>1</v>
      </c>
      <c r="J516" s="361" t="s">
        <v>80</v>
      </c>
      <c r="K516" s="327" t="s">
        <v>531</v>
      </c>
      <c r="L516" s="348">
        <f t="shared" si="48"/>
        <v>220500</v>
      </c>
      <c r="M516" s="355"/>
      <c r="N516" s="355" t="str">
        <f t="shared" si="40"/>
        <v>PR</v>
      </c>
      <c r="O516" s="347"/>
      <c r="P516" s="325"/>
      <c r="Q516" s="351"/>
      <c r="R516" s="351">
        <v>1.2</v>
      </c>
      <c r="S516" s="351">
        <v>6</v>
      </c>
      <c r="T516" s="351">
        <v>0.35000000000000003</v>
      </c>
      <c r="U516" s="329">
        <f>IF($N516=$N$4,IFERROR(INDEX(DanhMuc!$E$154:$E$165,MATCH(MID($B516,4,2),DanhMuc!$B$154:$B$165,0)),""),"")</f>
        <v>6000</v>
      </c>
      <c r="V516" s="325"/>
      <c r="W516" s="352" t="str">
        <f>+IF(AND($A516&lt;&gt;"",LEN($B516)&gt;=8,COUNTIF($B$6:$B516,$B516)=1),$W$5,"")</f>
        <v/>
      </c>
      <c r="X516" s="329" t="str">
        <f t="shared" si="41"/>
        <v>XW</v>
      </c>
      <c r="Y516" s="1128" t="s">
        <v>3380</v>
      </c>
      <c r="Z516" s="1128" t="s">
        <v>3381</v>
      </c>
      <c r="AA516" s="1128" t="s">
        <v>3384</v>
      </c>
      <c r="AC516" s="73"/>
    </row>
    <row r="517" spans="1:29" s="20" customFormat="1" ht="39">
      <c r="A517" s="327">
        <f>IF(AND($B517&lt;&gt;"",$C517&lt;&gt;""),MAX($A$4:A507)+1,"")</f>
        <v>43</v>
      </c>
      <c r="B517" s="359" t="s">
        <v>1858</v>
      </c>
      <c r="C517" s="360" t="s">
        <v>1885</v>
      </c>
      <c r="D517" s="327">
        <f>IF($B517="","",COUNTIF($B$6:$B517,$B517))</f>
        <v>1</v>
      </c>
      <c r="E517" s="361" t="s">
        <v>2259</v>
      </c>
      <c r="F517" s="362" t="s">
        <v>32</v>
      </c>
      <c r="G517" s="327" t="s">
        <v>329</v>
      </c>
      <c r="H517" s="325"/>
      <c r="I517" s="327">
        <v>2</v>
      </c>
      <c r="J517" s="363" t="s">
        <v>81</v>
      </c>
      <c r="K517" s="327" t="s">
        <v>516</v>
      </c>
      <c r="L517" s="348">
        <f t="shared" si="43"/>
        <v>420000</v>
      </c>
      <c r="M517" s="355"/>
      <c r="N517" s="355" t="str">
        <f t="shared" si="40"/>
        <v>PR</v>
      </c>
      <c r="O517" s="347"/>
      <c r="P517" s="325"/>
      <c r="Q517" s="351"/>
      <c r="R517" s="351">
        <v>1.2</v>
      </c>
      <c r="S517" s="351">
        <v>6</v>
      </c>
      <c r="T517" s="351">
        <v>0.83333333333333337</v>
      </c>
      <c r="U517" s="329">
        <f>IF($N517=$N$4,IFERROR(INDEX(DanhMuc!$E$154:$E$165,MATCH(MID($B517,4,2),DanhMuc!$B$154:$B$165,0)),""),"")</f>
        <v>6000</v>
      </c>
      <c r="V517" s="325"/>
      <c r="W517" s="352" t="str">
        <f>+IF(AND($A517&lt;&gt;"",LEN($B517)&gt;=8,COUNTIF($B$6:$B517,$B517)=1),$W$5,"")</f>
        <v>DMCua</v>
      </c>
      <c r="X517" s="329" t="str">
        <f t="shared" si="41"/>
        <v>XW</v>
      </c>
      <c r="Y517" s="1128" t="s">
        <v>3380</v>
      </c>
      <c r="Z517" s="1128" t="s">
        <v>3381</v>
      </c>
      <c r="AA517" s="1128" t="s">
        <v>3384</v>
      </c>
      <c r="AC517" s="73"/>
    </row>
    <row r="518" spans="1:29" s="20" customFormat="1">
      <c r="A518" s="327" t="str">
        <f>IF(AND($B518&lt;&gt;"",$C518&lt;&gt;""),MAX($A$4:A517)+1,"")</f>
        <v/>
      </c>
      <c r="B518" s="361" t="s">
        <v>1858</v>
      </c>
      <c r="C518" s="360"/>
      <c r="D518" s="327">
        <f>IF($B518="","",COUNTIF($B$6:$B518,$B518))</f>
        <v>2</v>
      </c>
      <c r="E518" s="361" t="s">
        <v>2259</v>
      </c>
      <c r="F518" s="362" t="s">
        <v>32</v>
      </c>
      <c r="G518" s="327" t="s">
        <v>328</v>
      </c>
      <c r="H518" s="325"/>
      <c r="I518" s="327">
        <v>2</v>
      </c>
      <c r="J518" s="361" t="s">
        <v>80</v>
      </c>
      <c r="K518" s="327" t="s">
        <v>516</v>
      </c>
      <c r="L518" s="348">
        <f t="shared" si="43"/>
        <v>420000</v>
      </c>
      <c r="M518" s="355"/>
      <c r="N518" s="355" t="str">
        <f t="shared" si="40"/>
        <v>PR</v>
      </c>
      <c r="O518" s="347"/>
      <c r="P518" s="325"/>
      <c r="Q518" s="351"/>
      <c r="R518" s="351">
        <v>1.2</v>
      </c>
      <c r="S518" s="351">
        <v>6</v>
      </c>
      <c r="T518" s="351">
        <v>0.83333333333333337</v>
      </c>
      <c r="U518" s="329">
        <f>IF($N518=$N$4,IFERROR(INDEX(DanhMuc!$E$154:$E$165,MATCH(MID($B518,4,2),DanhMuc!$B$154:$B$165,0)),""),"")</f>
        <v>6000</v>
      </c>
      <c r="V518" s="325"/>
      <c r="W518" s="352" t="str">
        <f>+IF(AND($A518&lt;&gt;"",LEN($B518)&gt;=8,COUNTIF($B$6:$B518,$B518)=1),$W$5,"")</f>
        <v/>
      </c>
      <c r="X518" s="329" t="str">
        <f t="shared" si="41"/>
        <v>XW</v>
      </c>
      <c r="Y518" s="1128" t="s">
        <v>3380</v>
      </c>
      <c r="Z518" s="1128" t="s">
        <v>3381</v>
      </c>
      <c r="AA518" s="1128" t="s">
        <v>3384</v>
      </c>
      <c r="AC518" s="73"/>
    </row>
    <row r="519" spans="1:29" s="20" customFormat="1">
      <c r="A519" s="327" t="str">
        <f>IF(AND($B519&lt;&gt;"",$C519&lt;&gt;""),MAX($A$4:A518)+1,"")</f>
        <v/>
      </c>
      <c r="B519" s="361" t="s">
        <v>1858</v>
      </c>
      <c r="C519" s="360"/>
      <c r="D519" s="327">
        <f>IF($B519="","",COUNTIF($B$6:$B519,$B519))</f>
        <v>3</v>
      </c>
      <c r="E519" s="361" t="s">
        <v>2260</v>
      </c>
      <c r="F519" s="362" t="s">
        <v>34</v>
      </c>
      <c r="G519" s="327" t="s">
        <v>329</v>
      </c>
      <c r="H519" s="325"/>
      <c r="I519" s="327">
        <v>8</v>
      </c>
      <c r="J519" s="361" t="s">
        <v>1190</v>
      </c>
      <c r="K519" s="327" t="s">
        <v>516</v>
      </c>
      <c r="L519" s="348">
        <f t="shared" si="43"/>
        <v>420000</v>
      </c>
      <c r="M519" s="355"/>
      <c r="N519" s="355" t="str">
        <f t="shared" si="40"/>
        <v>PR</v>
      </c>
      <c r="O519" s="347"/>
      <c r="P519" s="325"/>
      <c r="Q519" s="351"/>
      <c r="R519" s="351">
        <v>1.2</v>
      </c>
      <c r="S519" s="351">
        <v>6</v>
      </c>
      <c r="T519" s="351">
        <v>0.83333333333333337</v>
      </c>
      <c r="U519" s="329">
        <f>IF($N519=$N$4,IFERROR(INDEX(DanhMuc!$E$154:$E$165,MATCH(MID($B519,4,2),DanhMuc!$B$154:$B$165,0)),""),"")</f>
        <v>6000</v>
      </c>
      <c r="V519" s="325"/>
      <c r="W519" s="352" t="str">
        <f>+IF(AND($A519&lt;&gt;"",LEN($B519)&gt;=8,COUNTIF($B$6:$B519,$B519)=1),$W$5,"")</f>
        <v/>
      </c>
      <c r="X519" s="329" t="str">
        <f t="shared" si="41"/>
        <v>XW</v>
      </c>
      <c r="Y519" s="1128" t="s">
        <v>3380</v>
      </c>
      <c r="Z519" s="1128" t="s">
        <v>3381</v>
      </c>
      <c r="AA519" s="1128" t="s">
        <v>3384</v>
      </c>
      <c r="AC519" s="73"/>
    </row>
    <row r="520" spans="1:29" s="20" customFormat="1">
      <c r="A520" s="327" t="str">
        <f>IF(AND($B520&lt;&gt;"",$C520&lt;&gt;""),MAX($A$4:A519)+1,"")</f>
        <v/>
      </c>
      <c r="B520" s="361" t="s">
        <v>1858</v>
      </c>
      <c r="C520" s="360"/>
      <c r="D520" s="327">
        <f>IF($B520="","",COUNTIF($B$6:$B520,$B520))</f>
        <v>4</v>
      </c>
      <c r="E520" s="361" t="s">
        <v>2260</v>
      </c>
      <c r="F520" s="362" t="s">
        <v>34</v>
      </c>
      <c r="G520" s="327" t="s">
        <v>328</v>
      </c>
      <c r="H520" s="325"/>
      <c r="I520" s="327">
        <v>8</v>
      </c>
      <c r="J520" s="361" t="s">
        <v>971</v>
      </c>
      <c r="K520" s="327" t="s">
        <v>516</v>
      </c>
      <c r="L520" s="348">
        <f t="shared" si="43"/>
        <v>420000</v>
      </c>
      <c r="M520" s="355"/>
      <c r="N520" s="355" t="str">
        <f t="shared" si="40"/>
        <v>PR</v>
      </c>
      <c r="O520" s="347"/>
      <c r="P520" s="325"/>
      <c r="Q520" s="351"/>
      <c r="R520" s="351">
        <v>1.2</v>
      </c>
      <c r="S520" s="351">
        <v>6</v>
      </c>
      <c r="T520" s="351">
        <v>0.83333333333333337</v>
      </c>
      <c r="U520" s="329">
        <f>IF($N520=$N$4,IFERROR(INDEX(DanhMuc!$E$154:$E$165,MATCH(MID($B520,4,2),DanhMuc!$B$154:$B$165,0)),""),"")</f>
        <v>6000</v>
      </c>
      <c r="V520" s="325"/>
      <c r="W520" s="352" t="str">
        <f>+IF(AND($A520&lt;&gt;"",LEN($B520)&gt;=8,COUNTIF($B$6:$B520,$B520)=1),$W$5,"")</f>
        <v/>
      </c>
      <c r="X520" s="329" t="str">
        <f t="shared" si="41"/>
        <v>XW</v>
      </c>
      <c r="Y520" s="1128" t="s">
        <v>3380</v>
      </c>
      <c r="Z520" s="1128" t="s">
        <v>3381</v>
      </c>
      <c r="AA520" s="1128" t="s">
        <v>3384</v>
      </c>
      <c r="AC520" s="73"/>
    </row>
    <row r="521" spans="1:29" s="20" customFormat="1">
      <c r="A521" s="327" t="str">
        <f>IF(AND($B521&lt;&gt;"",$C521&lt;&gt;""),MAX($A$4:A520)+1,"")</f>
        <v/>
      </c>
      <c r="B521" s="361" t="s">
        <v>1858</v>
      </c>
      <c r="C521" s="360"/>
      <c r="D521" s="327">
        <f>IF($B521="","",COUNTIF($B$6:$B521,$B521))</f>
        <v>5</v>
      </c>
      <c r="E521" s="361" t="s">
        <v>2261</v>
      </c>
      <c r="F521" s="362" t="s">
        <v>36</v>
      </c>
      <c r="G521" s="327" t="s">
        <v>328</v>
      </c>
      <c r="H521" s="325"/>
      <c r="I521" s="327">
        <v>4</v>
      </c>
      <c r="J521" s="361" t="s">
        <v>971</v>
      </c>
      <c r="K521" s="327" t="s">
        <v>531</v>
      </c>
      <c r="L521" s="348">
        <f t="shared" si="43"/>
        <v>176400.00000000003</v>
      </c>
      <c r="M521" s="355"/>
      <c r="N521" s="355" t="str">
        <f t="shared" si="40"/>
        <v>PR</v>
      </c>
      <c r="O521" s="347"/>
      <c r="P521" s="325"/>
      <c r="Q521" s="351"/>
      <c r="R521" s="351">
        <v>1.2</v>
      </c>
      <c r="S521" s="351">
        <v>6</v>
      </c>
      <c r="T521" s="351">
        <v>0.35000000000000003</v>
      </c>
      <c r="U521" s="329">
        <f>IF($N521=$N$4,IFERROR(INDEX(DanhMuc!$E$154:$E$165,MATCH(MID($B521,4,2),DanhMuc!$B$154:$B$165,0)),""),"")</f>
        <v>6000</v>
      </c>
      <c r="V521" s="325"/>
      <c r="W521" s="352" t="str">
        <f>+IF(AND($A521&lt;&gt;"",LEN($B521)&gt;=8,COUNTIF($B$6:$B521,$B521)=1),$W$5,"")</f>
        <v/>
      </c>
      <c r="X521" s="329" t="str">
        <f t="shared" si="41"/>
        <v>XW</v>
      </c>
      <c r="Y521" s="1128" t="s">
        <v>3380</v>
      </c>
      <c r="Z521" s="1128" t="s">
        <v>3381</v>
      </c>
      <c r="AA521" s="1128" t="s">
        <v>3384</v>
      </c>
      <c r="AC521" s="73"/>
    </row>
    <row r="522" spans="1:29" s="20" customFormat="1">
      <c r="A522" s="327" t="str">
        <f>IF(AND($B522&lt;&gt;"",$C522&lt;&gt;""),MAX($A$4:A521)+1,"")</f>
        <v/>
      </c>
      <c r="B522" s="361" t="s">
        <v>1858</v>
      </c>
      <c r="C522" s="360"/>
      <c r="D522" s="327">
        <f>IF($B522="","",COUNTIF($B$6:$B522,$B522))</f>
        <v>6</v>
      </c>
      <c r="E522" s="361" t="s">
        <v>2262</v>
      </c>
      <c r="F522" s="362" t="s">
        <v>40</v>
      </c>
      <c r="G522" s="327" t="s">
        <v>330</v>
      </c>
      <c r="H522" s="325"/>
      <c r="I522" s="327">
        <v>1</v>
      </c>
      <c r="J522" s="361" t="s">
        <v>1189</v>
      </c>
      <c r="K522" s="327" t="s">
        <v>531</v>
      </c>
      <c r="L522" s="348">
        <f t="shared" si="43"/>
        <v>89040</v>
      </c>
      <c r="M522" s="355"/>
      <c r="N522" s="355" t="str">
        <f t="shared" si="40"/>
        <v>PR</v>
      </c>
      <c r="O522" s="347"/>
      <c r="P522" s="325"/>
      <c r="Q522" s="351"/>
      <c r="R522" s="351">
        <v>1.2</v>
      </c>
      <c r="S522" s="351">
        <v>6</v>
      </c>
      <c r="T522" s="351">
        <v>0.17666666666666667</v>
      </c>
      <c r="U522" s="329">
        <f>IF($N522=$N$4,IFERROR(INDEX(DanhMuc!$E$154:$E$165,MATCH(MID($B522,4,2),DanhMuc!$B$154:$B$165,0)),""),"")</f>
        <v>6000</v>
      </c>
      <c r="V522" s="325"/>
      <c r="W522" s="352" t="str">
        <f>+IF(AND($A522&lt;&gt;"",LEN($B522)&gt;=8,COUNTIF($B$6:$B522,$B522)=1),$W$5,"")</f>
        <v/>
      </c>
      <c r="X522" s="329" t="str">
        <f t="shared" si="41"/>
        <v>XW</v>
      </c>
      <c r="Y522" s="1128" t="s">
        <v>3380</v>
      </c>
      <c r="Z522" s="1128" t="s">
        <v>3381</v>
      </c>
      <c r="AA522" s="1128" t="s">
        <v>3384</v>
      </c>
      <c r="AC522" s="73"/>
    </row>
    <row r="523" spans="1:29" s="20" customFormat="1">
      <c r="A523" s="327" t="str">
        <f>IF(AND($B523&lt;&gt;"",$C523&lt;&gt;""),MAX($A$4:A522)+1,"")</f>
        <v/>
      </c>
      <c r="B523" s="361" t="s">
        <v>1858</v>
      </c>
      <c r="C523" s="364"/>
      <c r="D523" s="327">
        <f>IF($B523="","",COUNTIF($B$6:$B523,$B523))</f>
        <v>7</v>
      </c>
      <c r="E523" s="361" t="s">
        <v>2263</v>
      </c>
      <c r="F523" s="362" t="s">
        <v>38</v>
      </c>
      <c r="G523" s="327" t="s">
        <v>328</v>
      </c>
      <c r="H523" s="325"/>
      <c r="I523" s="327">
        <v>1</v>
      </c>
      <c r="J523" s="361" t="s">
        <v>971</v>
      </c>
      <c r="K523" s="327" t="s">
        <v>531</v>
      </c>
      <c r="L523" s="348">
        <f t="shared" si="43"/>
        <v>109200</v>
      </c>
      <c r="M523" s="355"/>
      <c r="N523" s="355" t="str">
        <f t="shared" si="40"/>
        <v>PR</v>
      </c>
      <c r="O523" s="345"/>
      <c r="P523" s="325"/>
      <c r="Q523" s="351"/>
      <c r="R523" s="351">
        <v>1.2</v>
      </c>
      <c r="S523" s="351">
        <v>6</v>
      </c>
      <c r="T523" s="351">
        <v>0.21666666666666667</v>
      </c>
      <c r="U523" s="329">
        <f>IF($N523=$N$4,IFERROR(INDEX(DanhMuc!$E$154:$E$165,MATCH(MID($B523,4,2),DanhMuc!$B$154:$B$165,0)),""),"")</f>
        <v>6000</v>
      </c>
      <c r="V523" s="325"/>
      <c r="W523" s="352" t="str">
        <f>+IF(AND($A523&lt;&gt;"",LEN($B523)&gt;=8,COUNTIF($B$6:$B523,$B523)=1),$W$5,"")</f>
        <v/>
      </c>
      <c r="X523" s="329" t="str">
        <f t="shared" si="41"/>
        <v>XW</v>
      </c>
      <c r="Y523" s="1128" t="s">
        <v>3380</v>
      </c>
      <c r="Z523" s="1128" t="s">
        <v>3381</v>
      </c>
      <c r="AA523" s="1128" t="s">
        <v>3384</v>
      </c>
      <c r="AC523" s="73"/>
    </row>
    <row r="524" spans="1:29" s="20" customFormat="1" ht="39">
      <c r="A524" s="327">
        <f>IF(AND($B524&lt;&gt;"",$C524&lt;&gt;""),MAX($A$4:A459)+1,"")</f>
        <v>40</v>
      </c>
      <c r="B524" s="359" t="s">
        <v>1859</v>
      </c>
      <c r="C524" s="360" t="s">
        <v>1886</v>
      </c>
      <c r="D524" s="327">
        <f>IF($B524="","",COUNTIF($B$6:$B524,$B524))</f>
        <v>1</v>
      </c>
      <c r="E524" s="361" t="s">
        <v>2264</v>
      </c>
      <c r="F524" s="362" t="s">
        <v>355</v>
      </c>
      <c r="G524" s="327" t="s">
        <v>330</v>
      </c>
      <c r="H524" s="325"/>
      <c r="I524" s="327">
        <v>1</v>
      </c>
      <c r="J524" s="361" t="s">
        <v>81</v>
      </c>
      <c r="K524" s="327" t="s">
        <v>531</v>
      </c>
      <c r="L524" s="348">
        <f t="shared" si="43"/>
        <v>1570800</v>
      </c>
      <c r="M524" s="373"/>
      <c r="N524" s="355" t="str">
        <f t="shared" si="40"/>
        <v>PR</v>
      </c>
      <c r="O524" s="347"/>
      <c r="P524" s="325"/>
      <c r="Q524" s="351"/>
      <c r="R524" s="351">
        <v>3</v>
      </c>
      <c r="S524" s="351">
        <v>6</v>
      </c>
      <c r="T524" s="351">
        <v>3.1166666666666667</v>
      </c>
      <c r="U524" s="329">
        <f>IF($N524=$N$4,IFERROR(INDEX(DanhMuc!$E$154:$E$165,MATCH(MID($B524,4,2),DanhMuc!$B$154:$B$165,0)),""),"")</f>
        <v>6000</v>
      </c>
      <c r="V524" s="325"/>
      <c r="W524" s="352" t="str">
        <f>+IF(AND($A524&lt;&gt;"",LEN($B524)&gt;=8,COUNTIF($B$6:$B524,$B524)=1),$W$5,"")</f>
        <v>DMCua</v>
      </c>
      <c r="X524" s="329" t="str">
        <f t="shared" si="41"/>
        <v>XW</v>
      </c>
      <c r="Y524" s="1128" t="s">
        <v>3380</v>
      </c>
      <c r="Z524" s="1128" t="s">
        <v>3381</v>
      </c>
      <c r="AA524" s="1128" t="s">
        <v>3384</v>
      </c>
      <c r="AC524" s="73"/>
    </row>
    <row r="525" spans="1:29" s="20" customFormat="1">
      <c r="A525" s="327" t="str">
        <f>IF(AND($B525&lt;&gt;"",$C525&lt;&gt;""),MAX($A$4:A524)+1,"")</f>
        <v/>
      </c>
      <c r="B525" s="361" t="s">
        <v>1859</v>
      </c>
      <c r="C525" s="364"/>
      <c r="D525" s="327">
        <f>IF($B525="","",COUNTIF($B$6:$B525,$B525))</f>
        <v>2</v>
      </c>
      <c r="E525" s="361" t="s">
        <v>2265</v>
      </c>
      <c r="F525" s="362" t="s">
        <v>990</v>
      </c>
      <c r="G525" s="327" t="s">
        <v>356</v>
      </c>
      <c r="H525" s="325"/>
      <c r="I525" s="327">
        <v>1</v>
      </c>
      <c r="J525" s="361" t="s">
        <v>81</v>
      </c>
      <c r="K525" s="327" t="s">
        <v>531</v>
      </c>
      <c r="L525" s="348">
        <f t="shared" si="43"/>
        <v>520800.00000000012</v>
      </c>
      <c r="M525" s="373"/>
      <c r="N525" s="355" t="str">
        <f t="shared" si="40"/>
        <v>PR</v>
      </c>
      <c r="O525" s="347"/>
      <c r="P525" s="325"/>
      <c r="Q525" s="351"/>
      <c r="R525" s="351">
        <v>1.8</v>
      </c>
      <c r="S525" s="351">
        <v>6</v>
      </c>
      <c r="T525" s="351">
        <v>1.0333333333333334</v>
      </c>
      <c r="U525" s="329">
        <f>IF($N525=$N$4,IFERROR(INDEX(DanhMuc!$E$154:$E$165,MATCH(MID($B525,4,2),DanhMuc!$B$154:$B$165,0)),""),"")</f>
        <v>6000</v>
      </c>
      <c r="V525" s="325"/>
      <c r="W525" s="352" t="str">
        <f>+IF(AND($A525&lt;&gt;"",LEN($B525)&gt;=8,COUNTIF($B$6:$B525,$B525)=1),$W$5,"")</f>
        <v/>
      </c>
      <c r="X525" s="329" t="str">
        <f t="shared" si="41"/>
        <v>XW</v>
      </c>
      <c r="Y525" s="1128" t="s">
        <v>3380</v>
      </c>
      <c r="Z525" s="1128" t="s">
        <v>3381</v>
      </c>
      <c r="AA525" s="1128" t="s">
        <v>3384</v>
      </c>
      <c r="AC525" s="73"/>
    </row>
    <row r="526" spans="1:29" s="20" customFormat="1">
      <c r="A526" s="327" t="str">
        <f>IF(AND($B526&lt;&gt;"",$C526&lt;&gt;""),MAX($A$4:A525)+1,"")</f>
        <v/>
      </c>
      <c r="B526" s="361" t="s">
        <v>1859</v>
      </c>
      <c r="C526" s="364"/>
      <c r="D526" s="327">
        <f>IF($B526="","",COUNTIF($B$6:$B526,$B526))</f>
        <v>3</v>
      </c>
      <c r="E526" s="363" t="s">
        <v>2527</v>
      </c>
      <c r="F526" s="362" t="s">
        <v>2082</v>
      </c>
      <c r="G526" s="327" t="s">
        <v>328</v>
      </c>
      <c r="H526" s="325"/>
      <c r="I526" s="327">
        <v>2</v>
      </c>
      <c r="J526" s="361" t="s">
        <v>994</v>
      </c>
      <c r="K526" s="327" t="s">
        <v>531</v>
      </c>
      <c r="L526" s="348">
        <f t="shared" si="43"/>
        <v>530880.00000000012</v>
      </c>
      <c r="M526" s="373"/>
      <c r="N526" s="355" t="str">
        <f t="shared" si="40"/>
        <v>PR</v>
      </c>
      <c r="O526" s="347"/>
      <c r="P526" s="325"/>
      <c r="Q526" s="351"/>
      <c r="R526" s="351">
        <v>1.5</v>
      </c>
      <c r="S526" s="351">
        <v>6</v>
      </c>
      <c r="T526" s="351">
        <v>1.0533333333333335</v>
      </c>
      <c r="U526" s="329">
        <f>IF($N526=$N$4,IFERROR(INDEX(DanhMuc!$E$154:$E$165,MATCH(MID($B526,4,2),DanhMuc!$B$154:$B$165,0)),""),"")</f>
        <v>6000</v>
      </c>
      <c r="V526" s="325"/>
      <c r="W526" s="352" t="str">
        <f>+IF(AND($A526&lt;&gt;"",LEN($B526)&gt;=8,COUNTIF($B$6:$B526,$B526)=1),$W$5,"")</f>
        <v/>
      </c>
      <c r="X526" s="329" t="str">
        <f t="shared" si="41"/>
        <v>XW</v>
      </c>
      <c r="Y526" s="1128" t="s">
        <v>3380</v>
      </c>
      <c r="Z526" s="1128" t="s">
        <v>3381</v>
      </c>
      <c r="AA526" s="1128" t="s">
        <v>3384</v>
      </c>
      <c r="AC526" s="73"/>
    </row>
    <row r="527" spans="1:29" s="20" customFormat="1">
      <c r="A527" s="327" t="str">
        <f>IF(AND($B527&lt;&gt;"",$C527&lt;&gt;""),MAX($A$4:A526)+1,"")</f>
        <v/>
      </c>
      <c r="B527" s="361" t="s">
        <v>1859</v>
      </c>
      <c r="C527" s="364"/>
      <c r="D527" s="327">
        <f>IF($B527="","",COUNTIF($B$6:$B527,$B527))</f>
        <v>4</v>
      </c>
      <c r="E527" s="361" t="s">
        <v>2528</v>
      </c>
      <c r="F527" s="362" t="s">
        <v>2083</v>
      </c>
      <c r="G527" s="327" t="s">
        <v>329</v>
      </c>
      <c r="H527" s="325"/>
      <c r="I527" s="327">
        <v>6</v>
      </c>
      <c r="J527" s="361" t="s">
        <v>1451</v>
      </c>
      <c r="K527" s="327" t="s">
        <v>516</v>
      </c>
      <c r="L527" s="348">
        <f t="shared" si="43"/>
        <v>640920</v>
      </c>
      <c r="M527" s="373"/>
      <c r="N527" s="355" t="str">
        <f t="shared" si="40"/>
        <v>PR</v>
      </c>
      <c r="O527" s="347"/>
      <c r="P527" s="325"/>
      <c r="Q527" s="351"/>
      <c r="R527" s="351">
        <v>1.5</v>
      </c>
      <c r="S527" s="351">
        <v>6</v>
      </c>
      <c r="T527" s="351">
        <v>1.2716666666666667</v>
      </c>
      <c r="U527" s="329">
        <f>IF($N527=$N$4,IFERROR(INDEX(DanhMuc!$E$154:$E$165,MATCH(MID($B527,4,2),DanhMuc!$B$154:$B$165,0)),""),"")</f>
        <v>6000</v>
      </c>
      <c r="V527" s="325"/>
      <c r="W527" s="352" t="str">
        <f>+IF(AND($A527&lt;&gt;"",LEN($B527)&gt;=8,COUNTIF($B$6:$B527,$B527)=1),$W$5,"")</f>
        <v/>
      </c>
      <c r="X527" s="329" t="str">
        <f t="shared" si="41"/>
        <v>XW</v>
      </c>
      <c r="Y527" s="1128" t="s">
        <v>3380</v>
      </c>
      <c r="Z527" s="1128" t="s">
        <v>3381</v>
      </c>
      <c r="AA527" s="1128" t="s">
        <v>3384</v>
      </c>
      <c r="AC527" s="73"/>
    </row>
    <row r="528" spans="1:29" s="20" customFormat="1">
      <c r="A528" s="327" t="str">
        <f>IF(AND($B528&lt;&gt;"",$C528&lt;&gt;""),MAX($A$4:A525)+1,"")</f>
        <v/>
      </c>
      <c r="B528" s="361" t="s">
        <v>1859</v>
      </c>
      <c r="C528" s="364"/>
      <c r="D528" s="327">
        <f>IF($B528="","",COUNTIF($B$6:$B528,$B528))</f>
        <v>5</v>
      </c>
      <c r="E528" s="361" t="s">
        <v>2528</v>
      </c>
      <c r="F528" s="362" t="s">
        <v>2083</v>
      </c>
      <c r="G528" s="327" t="s">
        <v>328</v>
      </c>
      <c r="H528" s="325"/>
      <c r="I528" s="327">
        <v>6</v>
      </c>
      <c r="J528" s="361" t="s">
        <v>1453</v>
      </c>
      <c r="K528" s="327" t="s">
        <v>516</v>
      </c>
      <c r="L528" s="348">
        <f t="shared" si="43"/>
        <v>640920</v>
      </c>
      <c r="M528" s="373"/>
      <c r="N528" s="355" t="str">
        <f t="shared" si="40"/>
        <v>PR</v>
      </c>
      <c r="O528" s="347"/>
      <c r="P528" s="325"/>
      <c r="Q528" s="351"/>
      <c r="R528" s="351">
        <v>1.5</v>
      </c>
      <c r="S528" s="351">
        <v>6</v>
      </c>
      <c r="T528" s="351">
        <v>1.2716666666666667</v>
      </c>
      <c r="U528" s="329">
        <f>IF($N528=$N$4,IFERROR(INDEX(DanhMuc!$E$154:$E$165,MATCH(MID($B528,4,2),DanhMuc!$B$154:$B$165,0)),""),"")</f>
        <v>6000</v>
      </c>
      <c r="V528" s="325"/>
      <c r="W528" s="352" t="str">
        <f>+IF(AND($A528&lt;&gt;"",LEN($B528)&gt;=8,COUNTIF($B$6:$B528,$B528)=1),$W$5,"")</f>
        <v/>
      </c>
      <c r="X528" s="329" t="str">
        <f t="shared" si="41"/>
        <v>XW</v>
      </c>
      <c r="Y528" s="1128" t="s">
        <v>3380</v>
      </c>
      <c r="Z528" s="1128" t="s">
        <v>3381</v>
      </c>
      <c r="AA528" s="1128" t="s">
        <v>3384</v>
      </c>
      <c r="AC528" s="73"/>
    </row>
    <row r="529" spans="1:29" s="20" customFormat="1">
      <c r="A529" s="327" t="str">
        <f>IF(AND($B529&lt;&gt;"",$C529&lt;&gt;""),MAX($A$4:A528)+1,"")</f>
        <v/>
      </c>
      <c r="B529" s="361" t="s">
        <v>1859</v>
      </c>
      <c r="C529" s="364"/>
      <c r="D529" s="327">
        <f>IF($B529="","",COUNTIF($B$6:$B529,$B529))</f>
        <v>6</v>
      </c>
      <c r="E529" s="374" t="s">
        <v>2266</v>
      </c>
      <c r="F529" s="375" t="s">
        <v>358</v>
      </c>
      <c r="G529" s="327" t="s">
        <v>328</v>
      </c>
      <c r="H529" s="325"/>
      <c r="I529" s="377">
        <v>2</v>
      </c>
      <c r="J529" s="361" t="s">
        <v>1453</v>
      </c>
      <c r="K529" s="327" t="s">
        <v>531</v>
      </c>
      <c r="L529" s="348">
        <f t="shared" ref="L529:L538" si="49">+$T529*$L$391*$S529</f>
        <v>122640</v>
      </c>
      <c r="M529" s="373"/>
      <c r="N529" s="355" t="str">
        <f t="shared" si="40"/>
        <v>PR</v>
      </c>
      <c r="O529" s="347"/>
      <c r="P529" s="325"/>
      <c r="Q529" s="351"/>
      <c r="R529" s="351">
        <v>1.3</v>
      </c>
      <c r="S529" s="351">
        <v>6</v>
      </c>
      <c r="T529" s="351">
        <v>0.24333333333333332</v>
      </c>
      <c r="U529" s="329">
        <f>IF($N529=$N$4,IFERROR(INDEX(DanhMuc!$E$154:$E$165,MATCH(MID($B529,4,2),DanhMuc!$B$154:$B$165,0)),""),"")</f>
        <v>6000</v>
      </c>
      <c r="V529" s="376" t="s">
        <v>404</v>
      </c>
      <c r="W529" s="352" t="str">
        <f>+IF(AND($A529&lt;&gt;"",LEN($B529)&gt;=8,COUNTIF($B$6:$B529,$B529)=1),$W$5,"")</f>
        <v/>
      </c>
      <c r="X529" s="329" t="str">
        <f t="shared" si="41"/>
        <v>XW</v>
      </c>
      <c r="Y529" s="1128" t="s">
        <v>3380</v>
      </c>
      <c r="Z529" s="1128" t="s">
        <v>3381</v>
      </c>
      <c r="AA529" s="1128" t="s">
        <v>3384</v>
      </c>
      <c r="AC529" s="73"/>
    </row>
    <row r="530" spans="1:29" s="20" customFormat="1">
      <c r="A530" s="327" t="str">
        <f>IF(AND($B530&lt;&gt;"",$C530&lt;&gt;""),MAX($A$4:A529)+1,"")</f>
        <v/>
      </c>
      <c r="B530" s="361" t="s">
        <v>1859</v>
      </c>
      <c r="C530" s="364"/>
      <c r="D530" s="327">
        <f>IF($B530="","",COUNTIF($B$6:$B530,$B530))</f>
        <v>7</v>
      </c>
      <c r="E530" s="361" t="s">
        <v>2267</v>
      </c>
      <c r="F530" s="362" t="s">
        <v>361</v>
      </c>
      <c r="G530" s="327" t="s">
        <v>329</v>
      </c>
      <c r="H530" s="325"/>
      <c r="I530" s="327">
        <v>6</v>
      </c>
      <c r="J530" s="361" t="s">
        <v>1452</v>
      </c>
      <c r="K530" s="327" t="s">
        <v>531</v>
      </c>
      <c r="L530" s="348">
        <f t="shared" si="49"/>
        <v>113400</v>
      </c>
      <c r="M530" s="373"/>
      <c r="N530" s="355" t="str">
        <f t="shared" si="40"/>
        <v>PR</v>
      </c>
      <c r="O530" s="347">
        <v>10</v>
      </c>
      <c r="P530" s="325"/>
      <c r="Q530" s="351"/>
      <c r="R530" s="351">
        <v>1</v>
      </c>
      <c r="S530" s="351">
        <v>6</v>
      </c>
      <c r="T530" s="351">
        <v>0.22500000000000001</v>
      </c>
      <c r="U530" s="329">
        <f>IF($N530=$N$4,IFERROR(INDEX(DanhMuc!$E$154:$E$165,MATCH(MID($B530,4,2),DanhMuc!$B$154:$B$165,0)),""),"")</f>
        <v>6000</v>
      </c>
      <c r="V530" s="325"/>
      <c r="W530" s="352" t="str">
        <f>+IF(AND($A530&lt;&gt;"",LEN($B530)&gt;=8,COUNTIF($B$6:$B530,$B530)=1),$W$5,"")</f>
        <v/>
      </c>
      <c r="X530" s="329" t="str">
        <f t="shared" si="41"/>
        <v>XW</v>
      </c>
      <c r="Y530" s="1128" t="s">
        <v>3380</v>
      </c>
      <c r="Z530" s="1128" t="s">
        <v>3381</v>
      </c>
      <c r="AA530" s="1128" t="s">
        <v>3384</v>
      </c>
      <c r="AC530" s="73"/>
    </row>
    <row r="531" spans="1:29" s="20" customFormat="1">
      <c r="A531" s="327" t="str">
        <f>IF(AND($B531&lt;&gt;"",$C531&lt;&gt;""),MAX($A$4:A530)+1,"")</f>
        <v/>
      </c>
      <c r="B531" s="361" t="s">
        <v>1859</v>
      </c>
      <c r="C531" s="364"/>
      <c r="D531" s="327">
        <f>IF($B531="","",COUNTIF($B$6:$B531,$B531))</f>
        <v>8</v>
      </c>
      <c r="E531" s="361" t="s">
        <v>2267</v>
      </c>
      <c r="F531" s="362" t="s">
        <v>361</v>
      </c>
      <c r="G531" s="327" t="s">
        <v>328</v>
      </c>
      <c r="H531" s="325"/>
      <c r="I531" s="327">
        <v>6</v>
      </c>
      <c r="J531" s="361" t="s">
        <v>1454</v>
      </c>
      <c r="K531" s="327" t="s">
        <v>531</v>
      </c>
      <c r="L531" s="348">
        <f t="shared" si="49"/>
        <v>113400</v>
      </c>
      <c r="M531" s="373"/>
      <c r="N531" s="355" t="str">
        <f t="shared" si="40"/>
        <v>PR</v>
      </c>
      <c r="O531" s="347">
        <v>10</v>
      </c>
      <c r="P531" s="325"/>
      <c r="Q531" s="351"/>
      <c r="R531" s="351">
        <v>1</v>
      </c>
      <c r="S531" s="351">
        <v>6</v>
      </c>
      <c r="T531" s="351">
        <v>0.22500000000000001</v>
      </c>
      <c r="U531" s="329">
        <f>IF($N531=$N$4,IFERROR(INDEX(DanhMuc!$E$154:$E$165,MATCH(MID($B531,4,2),DanhMuc!$B$154:$B$165,0)),""),"")</f>
        <v>6000</v>
      </c>
      <c r="V531" s="325"/>
      <c r="W531" s="352" t="str">
        <f>+IF(AND($A531&lt;&gt;"",LEN($B531)&gt;=8,COUNTIF($B$6:$B531,$B531)=1),$W$5,"")</f>
        <v/>
      </c>
      <c r="X531" s="329" t="str">
        <f t="shared" si="41"/>
        <v>XW</v>
      </c>
      <c r="Y531" s="1128" t="s">
        <v>3380</v>
      </c>
      <c r="Z531" s="1128" t="s">
        <v>3381</v>
      </c>
      <c r="AA531" s="1128" t="s">
        <v>3384</v>
      </c>
      <c r="AC531" s="73"/>
    </row>
    <row r="532" spans="1:29" s="20" customFormat="1">
      <c r="A532" s="327" t="str">
        <f>IF(AND($B532&lt;&gt;"",$C532&lt;&gt;""),MAX($A$4:A531)+1,"")</f>
        <v/>
      </c>
      <c r="B532" s="361" t="s">
        <v>1859</v>
      </c>
      <c r="C532" s="364"/>
      <c r="D532" s="327">
        <f>IF($B532="","",COUNTIF($B$6:$B532,$B532))</f>
        <v>9</v>
      </c>
      <c r="E532" s="361" t="s">
        <v>2268</v>
      </c>
      <c r="F532" s="362" t="s">
        <v>363</v>
      </c>
      <c r="G532" s="327" t="s">
        <v>329</v>
      </c>
      <c r="H532" s="325"/>
      <c r="I532" s="327">
        <v>6</v>
      </c>
      <c r="J532" s="361" t="s">
        <v>1452</v>
      </c>
      <c r="K532" s="327" t="s">
        <v>531</v>
      </c>
      <c r="L532" s="348">
        <f t="shared" si="49"/>
        <v>0</v>
      </c>
      <c r="M532" s="373"/>
      <c r="N532" s="355" t="str">
        <f t="shared" si="40"/>
        <v>PR</v>
      </c>
      <c r="O532" s="347">
        <v>19</v>
      </c>
      <c r="P532" s="325"/>
      <c r="Q532" s="351"/>
      <c r="R532" s="351"/>
      <c r="S532" s="351">
        <v>6</v>
      </c>
      <c r="T532" s="351">
        <v>0</v>
      </c>
      <c r="U532" s="329">
        <f>IF($N532=$N$4,IFERROR(INDEX(DanhMuc!$E$154:$E$165,MATCH(MID($B532,4,2),DanhMuc!$B$154:$B$165,0)),""),"")</f>
        <v>6000</v>
      </c>
      <c r="V532" s="325"/>
      <c r="W532" s="352" t="str">
        <f>+IF(AND($A532&lt;&gt;"",LEN($B532)&gt;=8,COUNTIF($B$6:$B532,$B532)=1),$W$5,"")</f>
        <v/>
      </c>
      <c r="X532" s="329" t="str">
        <f t="shared" si="41"/>
        <v>XW</v>
      </c>
      <c r="Y532" s="1128" t="s">
        <v>3380</v>
      </c>
      <c r="Z532" s="1128" t="s">
        <v>3381</v>
      </c>
      <c r="AA532" s="1128" t="s">
        <v>3384</v>
      </c>
      <c r="AC532" s="73"/>
    </row>
    <row r="533" spans="1:29" s="20" customFormat="1">
      <c r="A533" s="327" t="str">
        <f>IF(AND($B533&lt;&gt;"",$C533&lt;&gt;""),MAX($A$4:A532)+1,"")</f>
        <v/>
      </c>
      <c r="B533" s="361" t="s">
        <v>1859</v>
      </c>
      <c r="C533" s="364"/>
      <c r="D533" s="327">
        <f>IF($B533="","",COUNTIF($B$6:$B533,$B533))</f>
        <v>10</v>
      </c>
      <c r="E533" s="361" t="s">
        <v>2268</v>
      </c>
      <c r="F533" s="362" t="s">
        <v>363</v>
      </c>
      <c r="G533" s="327" t="s">
        <v>328</v>
      </c>
      <c r="H533" s="325"/>
      <c r="I533" s="327">
        <v>6</v>
      </c>
      <c r="J533" s="361" t="s">
        <v>1454</v>
      </c>
      <c r="K533" s="327" t="s">
        <v>531</v>
      </c>
      <c r="L533" s="348">
        <f t="shared" si="49"/>
        <v>0</v>
      </c>
      <c r="M533" s="373"/>
      <c r="N533" s="355" t="str">
        <f t="shared" si="40"/>
        <v>PR</v>
      </c>
      <c r="O533" s="347">
        <v>19</v>
      </c>
      <c r="P533" s="325"/>
      <c r="Q533" s="351"/>
      <c r="R533" s="351"/>
      <c r="S533" s="351">
        <v>6</v>
      </c>
      <c r="T533" s="351">
        <v>0</v>
      </c>
      <c r="U533" s="329">
        <f>IF($N533=$N$4,IFERROR(INDEX(DanhMuc!$E$154:$E$165,MATCH(MID($B533,4,2),DanhMuc!$B$154:$B$165,0)),""),"")</f>
        <v>6000</v>
      </c>
      <c r="V533" s="325"/>
      <c r="W533" s="352" t="str">
        <f>+IF(AND($A533&lt;&gt;"",LEN($B533)&gt;=8,COUNTIF($B$6:$B533,$B533)=1),$W$5,"")</f>
        <v/>
      </c>
      <c r="X533" s="329" t="str">
        <f t="shared" si="41"/>
        <v>XW</v>
      </c>
      <c r="Y533" s="1128" t="s">
        <v>3380</v>
      </c>
      <c r="Z533" s="1128" t="s">
        <v>3381</v>
      </c>
      <c r="AA533" s="1128" t="s">
        <v>3384</v>
      </c>
      <c r="AC533" s="73"/>
    </row>
    <row r="534" spans="1:29" s="20" customFormat="1" ht="39">
      <c r="A534" s="327">
        <f>IF(AND($B534&lt;&gt;"",$C534&lt;&gt;""),MAX($A$4:A533)+1,"")</f>
        <v>45</v>
      </c>
      <c r="B534" s="359" t="s">
        <v>1860</v>
      </c>
      <c r="C534" s="360" t="s">
        <v>1887</v>
      </c>
      <c r="D534" s="327">
        <f>IF($B534="","",COUNTIF($B$6:$B534,$B534))</f>
        <v>1</v>
      </c>
      <c r="E534" s="361" t="s">
        <v>2264</v>
      </c>
      <c r="F534" s="362" t="s">
        <v>355</v>
      </c>
      <c r="G534" s="327" t="s">
        <v>330</v>
      </c>
      <c r="H534" s="325"/>
      <c r="I534" s="327">
        <v>1</v>
      </c>
      <c r="J534" s="361" t="s">
        <v>81</v>
      </c>
      <c r="K534" s="327" t="s">
        <v>531</v>
      </c>
      <c r="L534" s="348">
        <f t="shared" si="49"/>
        <v>1570800</v>
      </c>
      <c r="M534" s="373"/>
      <c r="N534" s="355" t="str">
        <f t="shared" si="40"/>
        <v>PR</v>
      </c>
      <c r="O534" s="347"/>
      <c r="P534" s="325"/>
      <c r="Q534" s="351"/>
      <c r="R534" s="351">
        <v>3</v>
      </c>
      <c r="S534" s="351">
        <v>6</v>
      </c>
      <c r="T534" s="351">
        <v>3.1166666666666667</v>
      </c>
      <c r="U534" s="329">
        <f>IF($N534=$N$4,IFERROR(INDEX(DanhMuc!$E$154:$E$165,MATCH(MID($B534,4,2),DanhMuc!$B$154:$B$165,0)),""),"")</f>
        <v>6000</v>
      </c>
      <c r="V534" s="325"/>
      <c r="W534" s="352" t="str">
        <f>+IF(AND($A534&lt;&gt;"",LEN($B534)&gt;=8,COUNTIF($B$6:$B534,$B534)=1),$W$5,"")</f>
        <v>DMCua</v>
      </c>
      <c r="X534" s="329" t="str">
        <f t="shared" si="41"/>
        <v>XW</v>
      </c>
      <c r="Y534" s="1128" t="s">
        <v>3380</v>
      </c>
      <c r="Z534" s="1128" t="s">
        <v>3381</v>
      </c>
      <c r="AA534" s="1128" t="s">
        <v>3384</v>
      </c>
      <c r="AC534" s="73"/>
    </row>
    <row r="535" spans="1:29" s="20" customFormat="1">
      <c r="A535" s="327" t="str">
        <f>IF(AND($B535&lt;&gt;"",$C535&lt;&gt;""),MAX($A$4:A534)+1,"")</f>
        <v/>
      </c>
      <c r="B535" s="361" t="s">
        <v>1860</v>
      </c>
      <c r="C535" s="364"/>
      <c r="D535" s="327">
        <f>IF($B535="","",COUNTIF($B$6:$B535,$B535))</f>
        <v>2</v>
      </c>
      <c r="E535" s="361" t="s">
        <v>2265</v>
      </c>
      <c r="F535" s="362" t="s">
        <v>990</v>
      </c>
      <c r="G535" s="327" t="s">
        <v>356</v>
      </c>
      <c r="H535" s="325"/>
      <c r="I535" s="327">
        <v>1</v>
      </c>
      <c r="J535" s="361" t="s">
        <v>81</v>
      </c>
      <c r="K535" s="327" t="s">
        <v>531</v>
      </c>
      <c r="L535" s="348">
        <f t="shared" si="49"/>
        <v>520800.00000000012</v>
      </c>
      <c r="M535" s="373"/>
      <c r="N535" s="355" t="str">
        <f t="shared" si="40"/>
        <v>PR</v>
      </c>
      <c r="O535" s="347"/>
      <c r="P535" s="325"/>
      <c r="Q535" s="351"/>
      <c r="R535" s="351">
        <v>1.8</v>
      </c>
      <c r="S535" s="351">
        <v>6</v>
      </c>
      <c r="T535" s="351">
        <v>1.0333333333333334</v>
      </c>
      <c r="U535" s="329">
        <f>IF($N535=$N$4,IFERROR(INDEX(DanhMuc!$E$154:$E$165,MATCH(MID($B535,4,2),DanhMuc!$B$154:$B$165,0)),""),"")</f>
        <v>6000</v>
      </c>
      <c r="V535" s="325"/>
      <c r="W535" s="352" t="str">
        <f>+IF(AND($A535&lt;&gt;"",LEN($B535)&gt;=8,COUNTIF($B$6:$B535,$B535)=1),$W$5,"")</f>
        <v/>
      </c>
      <c r="X535" s="329" t="str">
        <f t="shared" si="41"/>
        <v>XW</v>
      </c>
      <c r="Y535" s="1128" t="s">
        <v>3380</v>
      </c>
      <c r="Z535" s="1128" t="s">
        <v>3381</v>
      </c>
      <c r="AA535" s="1128" t="s">
        <v>3384</v>
      </c>
      <c r="AC535" s="73"/>
    </row>
    <row r="536" spans="1:29" s="20" customFormat="1">
      <c r="A536" s="327" t="str">
        <f>IF(AND($B536&lt;&gt;"",$C536&lt;&gt;""),MAX($A$4:A535)+1,"")</f>
        <v/>
      </c>
      <c r="B536" s="361" t="s">
        <v>1860</v>
      </c>
      <c r="C536" s="364"/>
      <c r="D536" s="327">
        <f>IF($B536="","",COUNTIF($B$6:$B536,$B536))</f>
        <v>3</v>
      </c>
      <c r="E536" s="363" t="s">
        <v>2527</v>
      </c>
      <c r="F536" s="362" t="s">
        <v>2082</v>
      </c>
      <c r="G536" s="327" t="s">
        <v>328</v>
      </c>
      <c r="H536" s="325"/>
      <c r="I536" s="327">
        <v>2</v>
      </c>
      <c r="J536" s="361" t="s">
        <v>994</v>
      </c>
      <c r="K536" s="327" t="s">
        <v>531</v>
      </c>
      <c r="L536" s="348">
        <f t="shared" si="49"/>
        <v>530880.00000000012</v>
      </c>
      <c r="M536" s="373"/>
      <c r="N536" s="355" t="str">
        <f t="shared" si="40"/>
        <v>PR</v>
      </c>
      <c r="O536" s="347"/>
      <c r="P536" s="325"/>
      <c r="Q536" s="351"/>
      <c r="R536" s="351">
        <v>1.5</v>
      </c>
      <c r="S536" s="351">
        <v>6</v>
      </c>
      <c r="T536" s="351">
        <v>1.0533333333333335</v>
      </c>
      <c r="U536" s="329">
        <f>IF($N536=$N$4,IFERROR(INDEX(DanhMuc!$E$154:$E$165,MATCH(MID($B536,4,2),DanhMuc!$B$154:$B$165,0)),""),"")</f>
        <v>6000</v>
      </c>
      <c r="V536" s="325"/>
      <c r="W536" s="352" t="str">
        <f>+IF(AND($A536&lt;&gt;"",LEN($B536)&gt;=8,COUNTIF($B$6:$B536,$B536)=1),$W$5,"")</f>
        <v/>
      </c>
      <c r="X536" s="329" t="str">
        <f t="shared" si="41"/>
        <v>XW</v>
      </c>
      <c r="Y536" s="1128" t="s">
        <v>3380</v>
      </c>
      <c r="Z536" s="1128" t="s">
        <v>3381</v>
      </c>
      <c r="AA536" s="1128" t="s">
        <v>3384</v>
      </c>
      <c r="AC536" s="73"/>
    </row>
    <row r="537" spans="1:29" s="20" customFormat="1">
      <c r="A537" s="327" t="str">
        <f>IF(AND($B537&lt;&gt;"",$C537&lt;&gt;""),MAX($A$4:A536)+1,"")</f>
        <v/>
      </c>
      <c r="B537" s="361" t="s">
        <v>1860</v>
      </c>
      <c r="C537" s="364"/>
      <c r="D537" s="327">
        <f>IF($B537="","",COUNTIF($B$6:$B537,$B537))</f>
        <v>4</v>
      </c>
      <c r="E537" s="361" t="s">
        <v>2528</v>
      </c>
      <c r="F537" s="362" t="s">
        <v>2083</v>
      </c>
      <c r="G537" s="327" t="s">
        <v>329</v>
      </c>
      <c r="H537" s="325"/>
      <c r="I537" s="327">
        <v>8</v>
      </c>
      <c r="J537" s="361" t="s">
        <v>1451</v>
      </c>
      <c r="K537" s="327" t="s">
        <v>516</v>
      </c>
      <c r="L537" s="348">
        <f t="shared" si="49"/>
        <v>640920</v>
      </c>
      <c r="M537" s="373"/>
      <c r="N537" s="355" t="str">
        <f t="shared" si="40"/>
        <v>PR</v>
      </c>
      <c r="O537" s="347"/>
      <c r="P537" s="325"/>
      <c r="Q537" s="351"/>
      <c r="R537" s="351">
        <v>1.5</v>
      </c>
      <c r="S537" s="351">
        <v>6</v>
      </c>
      <c r="T537" s="351">
        <v>1.2716666666666667</v>
      </c>
      <c r="U537" s="329">
        <f>IF($N537=$N$4,IFERROR(INDEX(DanhMuc!$E$154:$E$165,MATCH(MID($B537,4,2),DanhMuc!$B$154:$B$165,0)),""),"")</f>
        <v>6000</v>
      </c>
      <c r="V537" s="325"/>
      <c r="W537" s="352" t="str">
        <f>+IF(AND($A537&lt;&gt;"",LEN($B537)&gt;=8,COUNTIF($B$6:$B537,$B537)=1),$W$5,"")</f>
        <v/>
      </c>
      <c r="X537" s="329" t="str">
        <f t="shared" si="41"/>
        <v>XW</v>
      </c>
      <c r="Y537" s="1128" t="s">
        <v>3380</v>
      </c>
      <c r="Z537" s="1128" t="s">
        <v>3381</v>
      </c>
      <c r="AA537" s="1128" t="s">
        <v>3384</v>
      </c>
      <c r="AC537" s="73"/>
    </row>
    <row r="538" spans="1:29" s="20" customFormat="1">
      <c r="A538" s="327" t="str">
        <f>IF(AND($B538&lt;&gt;"",$C538&lt;&gt;""),MAX($A$4:A535)+1,"")</f>
        <v/>
      </c>
      <c r="B538" s="361" t="s">
        <v>1860</v>
      </c>
      <c r="C538" s="364"/>
      <c r="D538" s="327">
        <f>IF($B538="","",COUNTIF($B$6:$B538,$B538))</f>
        <v>5</v>
      </c>
      <c r="E538" s="361" t="s">
        <v>2528</v>
      </c>
      <c r="F538" s="362" t="s">
        <v>2083</v>
      </c>
      <c r="G538" s="327" t="s">
        <v>328</v>
      </c>
      <c r="H538" s="325"/>
      <c r="I538" s="327">
        <v>8</v>
      </c>
      <c r="J538" s="361" t="s">
        <v>1453</v>
      </c>
      <c r="K538" s="327" t="s">
        <v>516</v>
      </c>
      <c r="L538" s="348">
        <f t="shared" si="49"/>
        <v>640920</v>
      </c>
      <c r="M538" s="373"/>
      <c r="N538" s="355" t="str">
        <f t="shared" si="40"/>
        <v>PR</v>
      </c>
      <c r="O538" s="347"/>
      <c r="P538" s="325"/>
      <c r="Q538" s="351"/>
      <c r="R538" s="351">
        <v>1.5</v>
      </c>
      <c r="S538" s="351">
        <v>6</v>
      </c>
      <c r="T538" s="351">
        <v>1.2716666666666667</v>
      </c>
      <c r="U538" s="329">
        <f>IF($N538=$N$4,IFERROR(INDEX(DanhMuc!$E$154:$E$165,MATCH(MID($B538,4,2),DanhMuc!$B$154:$B$165,0)),""),"")</f>
        <v>6000</v>
      </c>
      <c r="V538" s="325"/>
      <c r="W538" s="352" t="str">
        <f>+IF(AND($A538&lt;&gt;"",LEN($B538)&gt;=8,COUNTIF($B$6:$B538,$B538)=1),$W$5,"")</f>
        <v/>
      </c>
      <c r="X538" s="329" t="str">
        <f t="shared" si="41"/>
        <v>XW</v>
      </c>
      <c r="Y538" s="1128" t="s">
        <v>3380</v>
      </c>
      <c r="Z538" s="1128" t="s">
        <v>3381</v>
      </c>
      <c r="AA538" s="1128" t="s">
        <v>3384</v>
      </c>
      <c r="AC538" s="73"/>
    </row>
    <row r="539" spans="1:29" s="20" customFormat="1">
      <c r="A539" s="327" t="str">
        <f>IF(AND($B539&lt;&gt;"",$C539&lt;&gt;""),MAX($A$4:A538)+1,"")</f>
        <v/>
      </c>
      <c r="B539" s="361" t="s">
        <v>1860</v>
      </c>
      <c r="C539" s="364"/>
      <c r="D539" s="327">
        <f>IF($B539="","",COUNTIF($B$6:$B539,$B539))</f>
        <v>6</v>
      </c>
      <c r="E539" s="374" t="s">
        <v>2266</v>
      </c>
      <c r="F539" s="375" t="s">
        <v>358</v>
      </c>
      <c r="G539" s="327" t="s">
        <v>328</v>
      </c>
      <c r="H539" s="325"/>
      <c r="I539" s="377">
        <v>4</v>
      </c>
      <c r="J539" s="361" t="s">
        <v>1453</v>
      </c>
      <c r="K539" s="327" t="s">
        <v>531</v>
      </c>
      <c r="L539" s="348">
        <f t="shared" ref="L539:L548" si="50">+$T539*$L$391*$S539</f>
        <v>122640</v>
      </c>
      <c r="M539" s="373"/>
      <c r="N539" s="355" t="str">
        <f t="shared" si="40"/>
        <v>PR</v>
      </c>
      <c r="O539" s="347"/>
      <c r="P539" s="325"/>
      <c r="Q539" s="351"/>
      <c r="R539" s="351">
        <v>1.3</v>
      </c>
      <c r="S539" s="351">
        <v>6</v>
      </c>
      <c r="T539" s="351">
        <v>0.24333333333333332</v>
      </c>
      <c r="U539" s="329">
        <f>IF($N539=$N$4,IFERROR(INDEX(DanhMuc!$E$154:$E$165,MATCH(MID($B539,4,2),DanhMuc!$B$154:$B$165,0)),""),"")</f>
        <v>6000</v>
      </c>
      <c r="V539" s="376" t="s">
        <v>404</v>
      </c>
      <c r="W539" s="352" t="str">
        <f>+IF(AND($A539&lt;&gt;"",LEN($B539)&gt;=8,COUNTIF($B$6:$B539,$B539)=1),$W$5,"")</f>
        <v/>
      </c>
      <c r="X539" s="329" t="str">
        <f t="shared" si="41"/>
        <v>XW</v>
      </c>
      <c r="Y539" s="1128" t="s">
        <v>3380</v>
      </c>
      <c r="Z539" s="1128" t="s">
        <v>3381</v>
      </c>
      <c r="AA539" s="1128" t="s">
        <v>3384</v>
      </c>
      <c r="AC539" s="73"/>
    </row>
    <row r="540" spans="1:29" s="20" customFormat="1">
      <c r="A540" s="327" t="str">
        <f>IF(AND($B540&lt;&gt;"",$C540&lt;&gt;""),MAX($A$4:A539)+1,"")</f>
        <v/>
      </c>
      <c r="B540" s="361" t="s">
        <v>1860</v>
      </c>
      <c r="C540" s="364"/>
      <c r="D540" s="327">
        <f>IF($B540="","",COUNTIF($B$6:$B540,$B540))</f>
        <v>7</v>
      </c>
      <c r="E540" s="361" t="s">
        <v>2267</v>
      </c>
      <c r="F540" s="362" t="s">
        <v>361</v>
      </c>
      <c r="G540" s="327" t="s">
        <v>329</v>
      </c>
      <c r="H540" s="325"/>
      <c r="I540" s="327">
        <v>8</v>
      </c>
      <c r="J540" s="361" t="s">
        <v>1452</v>
      </c>
      <c r="K540" s="327" t="s">
        <v>531</v>
      </c>
      <c r="L540" s="348">
        <f t="shared" si="50"/>
        <v>113400</v>
      </c>
      <c r="M540" s="373"/>
      <c r="N540" s="355" t="str">
        <f t="shared" si="40"/>
        <v>PR</v>
      </c>
      <c r="O540" s="347">
        <v>10</v>
      </c>
      <c r="P540" s="325"/>
      <c r="Q540" s="351"/>
      <c r="R540" s="351">
        <v>1</v>
      </c>
      <c r="S540" s="351">
        <v>6</v>
      </c>
      <c r="T540" s="351">
        <v>0.22500000000000001</v>
      </c>
      <c r="U540" s="329">
        <f>IF($N540=$N$4,IFERROR(INDEX(DanhMuc!$E$154:$E$165,MATCH(MID($B540,4,2),DanhMuc!$B$154:$B$165,0)),""),"")</f>
        <v>6000</v>
      </c>
      <c r="V540" s="325"/>
      <c r="W540" s="352" t="str">
        <f>+IF(AND($A540&lt;&gt;"",LEN($B540)&gt;=8,COUNTIF($B$6:$B540,$B540)=1),$W$5,"")</f>
        <v/>
      </c>
      <c r="X540" s="329" t="str">
        <f t="shared" si="41"/>
        <v>XW</v>
      </c>
      <c r="Y540" s="1128" t="s">
        <v>3380</v>
      </c>
      <c r="Z540" s="1128" t="s">
        <v>3381</v>
      </c>
      <c r="AA540" s="1128" t="s">
        <v>3384</v>
      </c>
      <c r="AC540" s="73"/>
    </row>
    <row r="541" spans="1:29" s="20" customFormat="1">
      <c r="A541" s="327" t="str">
        <f>IF(AND($B541&lt;&gt;"",$C541&lt;&gt;""),MAX($A$4:A540)+1,"")</f>
        <v/>
      </c>
      <c r="B541" s="361" t="s">
        <v>1860</v>
      </c>
      <c r="C541" s="364"/>
      <c r="D541" s="327">
        <f>IF($B541="","",COUNTIF($B$6:$B541,$B541))</f>
        <v>8</v>
      </c>
      <c r="E541" s="361" t="s">
        <v>2267</v>
      </c>
      <c r="F541" s="362" t="s">
        <v>361</v>
      </c>
      <c r="G541" s="327" t="s">
        <v>328</v>
      </c>
      <c r="H541" s="325"/>
      <c r="I541" s="327">
        <v>8</v>
      </c>
      <c r="J541" s="361" t="s">
        <v>1454</v>
      </c>
      <c r="K541" s="327" t="s">
        <v>531</v>
      </c>
      <c r="L541" s="348">
        <f t="shared" si="50"/>
        <v>113400</v>
      </c>
      <c r="M541" s="373"/>
      <c r="N541" s="355" t="str">
        <f t="shared" si="40"/>
        <v>PR</v>
      </c>
      <c r="O541" s="347">
        <v>10</v>
      </c>
      <c r="P541" s="325"/>
      <c r="Q541" s="351"/>
      <c r="R541" s="351">
        <v>1</v>
      </c>
      <c r="S541" s="351">
        <v>6</v>
      </c>
      <c r="T541" s="351">
        <v>0.22500000000000001</v>
      </c>
      <c r="U541" s="329">
        <f>IF($N541=$N$4,IFERROR(INDEX(DanhMuc!$E$154:$E$165,MATCH(MID($B541,4,2),DanhMuc!$B$154:$B$165,0)),""),"")</f>
        <v>6000</v>
      </c>
      <c r="V541" s="325"/>
      <c r="W541" s="352" t="str">
        <f>+IF(AND($A541&lt;&gt;"",LEN($B541)&gt;=8,COUNTIF($B$6:$B541,$B541)=1),$W$5,"")</f>
        <v/>
      </c>
      <c r="X541" s="329" t="str">
        <f t="shared" si="41"/>
        <v>XW</v>
      </c>
      <c r="Y541" s="1128" t="s">
        <v>3380</v>
      </c>
      <c r="Z541" s="1128" t="s">
        <v>3381</v>
      </c>
      <c r="AA541" s="1128" t="s">
        <v>3384</v>
      </c>
      <c r="AC541" s="73"/>
    </row>
    <row r="542" spans="1:29" s="20" customFormat="1">
      <c r="A542" s="327" t="str">
        <f>IF(AND($B542&lt;&gt;"",$C542&lt;&gt;""),MAX($A$4:A541)+1,"")</f>
        <v/>
      </c>
      <c r="B542" s="361" t="s">
        <v>1860</v>
      </c>
      <c r="C542" s="364"/>
      <c r="D542" s="327">
        <f>IF($B542="","",COUNTIF($B$6:$B542,$B542))</f>
        <v>9</v>
      </c>
      <c r="E542" s="361" t="s">
        <v>2268</v>
      </c>
      <c r="F542" s="362" t="s">
        <v>363</v>
      </c>
      <c r="G542" s="327" t="s">
        <v>329</v>
      </c>
      <c r="H542" s="325"/>
      <c r="I542" s="327">
        <v>8</v>
      </c>
      <c r="J542" s="361" t="s">
        <v>1452</v>
      </c>
      <c r="K542" s="327" t="s">
        <v>531</v>
      </c>
      <c r="L542" s="348">
        <f t="shared" si="50"/>
        <v>0</v>
      </c>
      <c r="M542" s="373"/>
      <c r="N542" s="355" t="str">
        <f t="shared" si="40"/>
        <v>PR</v>
      </c>
      <c r="O542" s="347">
        <v>19</v>
      </c>
      <c r="P542" s="325"/>
      <c r="Q542" s="351"/>
      <c r="R542" s="351"/>
      <c r="S542" s="351">
        <v>6</v>
      </c>
      <c r="T542" s="351">
        <v>0</v>
      </c>
      <c r="U542" s="329">
        <f>IF($N542=$N$4,IFERROR(INDEX(DanhMuc!$E$154:$E$165,MATCH(MID($B542,4,2),DanhMuc!$B$154:$B$165,0)),""),"")</f>
        <v>6000</v>
      </c>
      <c r="V542" s="325"/>
      <c r="W542" s="352" t="str">
        <f>+IF(AND($A542&lt;&gt;"",LEN($B542)&gt;=8,COUNTIF($B$6:$B542,$B542)=1),$W$5,"")</f>
        <v/>
      </c>
      <c r="X542" s="329" t="str">
        <f t="shared" si="41"/>
        <v>XW</v>
      </c>
      <c r="Y542" s="1128" t="s">
        <v>3380</v>
      </c>
      <c r="Z542" s="1128" t="s">
        <v>3381</v>
      </c>
      <c r="AA542" s="1128" t="s">
        <v>3384</v>
      </c>
      <c r="AC542" s="73"/>
    </row>
    <row r="543" spans="1:29" s="20" customFormat="1">
      <c r="A543" s="327" t="str">
        <f>IF(AND($B543&lt;&gt;"",$C543&lt;&gt;""),MAX($A$4:A542)+1,"")</f>
        <v/>
      </c>
      <c r="B543" s="361" t="s">
        <v>1860</v>
      </c>
      <c r="C543" s="364"/>
      <c r="D543" s="327">
        <f>IF($B543="","",COUNTIF($B$6:$B543,$B543))</f>
        <v>10</v>
      </c>
      <c r="E543" s="361" t="s">
        <v>2268</v>
      </c>
      <c r="F543" s="362" t="s">
        <v>363</v>
      </c>
      <c r="G543" s="327" t="s">
        <v>328</v>
      </c>
      <c r="H543" s="325"/>
      <c r="I543" s="327">
        <v>8</v>
      </c>
      <c r="J543" s="361" t="s">
        <v>1454</v>
      </c>
      <c r="K543" s="327" t="s">
        <v>531</v>
      </c>
      <c r="L543" s="348">
        <f t="shared" si="50"/>
        <v>0</v>
      </c>
      <c r="M543" s="373"/>
      <c r="N543" s="355" t="str">
        <f t="shared" si="40"/>
        <v>PR</v>
      </c>
      <c r="O543" s="347">
        <v>19</v>
      </c>
      <c r="P543" s="325"/>
      <c r="Q543" s="351"/>
      <c r="R543" s="351"/>
      <c r="S543" s="351">
        <v>6</v>
      </c>
      <c r="T543" s="351">
        <v>0</v>
      </c>
      <c r="U543" s="329">
        <f>IF($N543=$N$4,IFERROR(INDEX(DanhMuc!$E$154:$E$165,MATCH(MID($B543,4,2),DanhMuc!$B$154:$B$165,0)),""),"")</f>
        <v>6000</v>
      </c>
      <c r="V543" s="325"/>
      <c r="W543" s="352" t="str">
        <f>+IF(AND($A543&lt;&gt;"",LEN($B543)&gt;=8,COUNTIF($B$6:$B543,$B543)=1),$W$5,"")</f>
        <v/>
      </c>
      <c r="X543" s="329" t="str">
        <f t="shared" ref="X543:X606" si="51">IF(IFERROR(SEARCH("thép",$F543,1),0)&gt;=1,"T" &amp;MID($B543,4,2),MID($B543,4,2))</f>
        <v>XW</v>
      </c>
      <c r="Y543" s="1128" t="s">
        <v>3380</v>
      </c>
      <c r="Z543" s="1128" t="s">
        <v>3381</v>
      </c>
      <c r="AA543" s="1128" t="s">
        <v>3384</v>
      </c>
      <c r="AC543" s="73"/>
    </row>
    <row r="544" spans="1:29" s="20" customFormat="1" ht="39">
      <c r="A544" s="327">
        <f>IF(AND($B544&lt;&gt;"",$C544&lt;&gt;""),MAX($A$4:A543)+1,"")</f>
        <v>46</v>
      </c>
      <c r="B544" s="359" t="s">
        <v>1861</v>
      </c>
      <c r="C544" s="360" t="s">
        <v>1888</v>
      </c>
      <c r="D544" s="327">
        <f>IF($B544="","",COUNTIF($B$6:$B544,$B544))</f>
        <v>1</v>
      </c>
      <c r="E544" s="361" t="s">
        <v>2264</v>
      </c>
      <c r="F544" s="362" t="s">
        <v>355</v>
      </c>
      <c r="G544" s="327" t="s">
        <v>330</v>
      </c>
      <c r="H544" s="325"/>
      <c r="I544" s="327">
        <v>1</v>
      </c>
      <c r="J544" s="361" t="s">
        <v>81</v>
      </c>
      <c r="K544" s="327" t="s">
        <v>531</v>
      </c>
      <c r="L544" s="348">
        <f t="shared" si="50"/>
        <v>1570800</v>
      </c>
      <c r="M544" s="373"/>
      <c r="N544" s="355" t="str">
        <f t="shared" si="40"/>
        <v>PR</v>
      </c>
      <c r="O544" s="347"/>
      <c r="P544" s="325"/>
      <c r="Q544" s="351"/>
      <c r="R544" s="351">
        <v>3</v>
      </c>
      <c r="S544" s="351">
        <v>6</v>
      </c>
      <c r="T544" s="351">
        <v>3.1166666666666667</v>
      </c>
      <c r="U544" s="329">
        <f>IF($N544=$N$4,IFERROR(INDEX(DanhMuc!$E$154:$E$165,MATCH(MID($B544,4,2),DanhMuc!$B$154:$B$165,0)),""),"")</f>
        <v>6000</v>
      </c>
      <c r="V544" s="325"/>
      <c r="W544" s="352" t="str">
        <f>+IF(AND($A544&lt;&gt;"",LEN($B544)&gt;=8,COUNTIF($B$6:$B544,$B544)=1),$W$5,"")</f>
        <v>DMCua</v>
      </c>
      <c r="X544" s="329" t="str">
        <f t="shared" si="51"/>
        <v>XW</v>
      </c>
      <c r="Y544" s="1128" t="s">
        <v>3380</v>
      </c>
      <c r="Z544" s="1128" t="s">
        <v>3381</v>
      </c>
      <c r="AA544" s="1128" t="s">
        <v>3384</v>
      </c>
      <c r="AC544" s="73"/>
    </row>
    <row r="545" spans="1:29" s="20" customFormat="1">
      <c r="A545" s="327" t="str">
        <f>IF(AND($B545&lt;&gt;"",$C545&lt;&gt;""),MAX($A$4:A544)+1,"")</f>
        <v/>
      </c>
      <c r="B545" s="361" t="s">
        <v>1861</v>
      </c>
      <c r="C545" s="364"/>
      <c r="D545" s="327">
        <f>IF($B545="","",COUNTIF($B$6:$B545,$B545))</f>
        <v>2</v>
      </c>
      <c r="E545" s="361" t="s">
        <v>2265</v>
      </c>
      <c r="F545" s="362" t="s">
        <v>990</v>
      </c>
      <c r="G545" s="327" t="s">
        <v>356</v>
      </c>
      <c r="H545" s="325"/>
      <c r="I545" s="327">
        <v>1</v>
      </c>
      <c r="J545" s="361" t="s">
        <v>81</v>
      </c>
      <c r="K545" s="327" t="s">
        <v>531</v>
      </c>
      <c r="L545" s="348">
        <f t="shared" si="50"/>
        <v>520800.00000000012</v>
      </c>
      <c r="M545" s="373"/>
      <c r="N545" s="355" t="str">
        <f t="shared" si="40"/>
        <v>PR</v>
      </c>
      <c r="O545" s="347"/>
      <c r="P545" s="325"/>
      <c r="Q545" s="351"/>
      <c r="R545" s="351">
        <v>1.8</v>
      </c>
      <c r="S545" s="351">
        <v>6</v>
      </c>
      <c r="T545" s="351">
        <v>1.0333333333333334</v>
      </c>
      <c r="U545" s="329">
        <f>IF($N545=$N$4,IFERROR(INDEX(DanhMuc!$E$154:$E$165,MATCH(MID($B545,4,2),DanhMuc!$B$154:$B$165,0)),""),"")</f>
        <v>6000</v>
      </c>
      <c r="V545" s="325"/>
      <c r="W545" s="352" t="str">
        <f>+IF(AND($A545&lt;&gt;"",LEN($B545)&gt;=8,COUNTIF($B$6:$B545,$B545)=1),$W$5,"")</f>
        <v/>
      </c>
      <c r="X545" s="329" t="str">
        <f t="shared" si="51"/>
        <v>XW</v>
      </c>
      <c r="Y545" s="1128" t="s">
        <v>3380</v>
      </c>
      <c r="Z545" s="1128" t="s">
        <v>3381</v>
      </c>
      <c r="AA545" s="1128" t="s">
        <v>3384</v>
      </c>
      <c r="AC545" s="73"/>
    </row>
    <row r="546" spans="1:29" s="20" customFormat="1">
      <c r="A546" s="327" t="str">
        <f>IF(AND($B546&lt;&gt;"",$C546&lt;&gt;""),MAX($A$4:A545)+1,"")</f>
        <v/>
      </c>
      <c r="B546" s="361" t="s">
        <v>1861</v>
      </c>
      <c r="C546" s="364"/>
      <c r="D546" s="327">
        <f>IF($B546="","",COUNTIF($B$6:$B546,$B546))</f>
        <v>3</v>
      </c>
      <c r="E546" s="363" t="s">
        <v>2527</v>
      </c>
      <c r="F546" s="362" t="s">
        <v>2082</v>
      </c>
      <c r="G546" s="327" t="s">
        <v>328</v>
      </c>
      <c r="H546" s="325"/>
      <c r="I546" s="327">
        <v>2</v>
      </c>
      <c r="J546" s="361" t="s">
        <v>994</v>
      </c>
      <c r="K546" s="327" t="s">
        <v>531</v>
      </c>
      <c r="L546" s="348">
        <f t="shared" si="50"/>
        <v>530880.00000000012</v>
      </c>
      <c r="M546" s="373"/>
      <c r="N546" s="355" t="str">
        <f t="shared" si="40"/>
        <v>PR</v>
      </c>
      <c r="O546" s="347"/>
      <c r="P546" s="325"/>
      <c r="Q546" s="351"/>
      <c r="R546" s="351">
        <v>1.5</v>
      </c>
      <c r="S546" s="351">
        <v>6</v>
      </c>
      <c r="T546" s="351">
        <v>1.0533333333333335</v>
      </c>
      <c r="U546" s="329">
        <f>IF($N546=$N$4,IFERROR(INDEX(DanhMuc!$E$154:$E$165,MATCH(MID($B546,4,2),DanhMuc!$B$154:$B$165,0)),""),"")</f>
        <v>6000</v>
      </c>
      <c r="V546" s="325"/>
      <c r="W546" s="352" t="str">
        <f>+IF(AND($A546&lt;&gt;"",LEN($B546)&gt;=8,COUNTIF($B$6:$B546,$B546)=1),$W$5,"")</f>
        <v/>
      </c>
      <c r="X546" s="329" t="str">
        <f t="shared" si="51"/>
        <v>XW</v>
      </c>
      <c r="Y546" s="1128" t="s">
        <v>3380</v>
      </c>
      <c r="Z546" s="1128" t="s">
        <v>3381</v>
      </c>
      <c r="AA546" s="1128" t="s">
        <v>3384</v>
      </c>
      <c r="AC546" s="73"/>
    </row>
    <row r="547" spans="1:29" s="20" customFormat="1">
      <c r="A547" s="327" t="str">
        <f>IF(AND($B547&lt;&gt;"",$C547&lt;&gt;""),MAX($A$4:A546)+1,"")</f>
        <v/>
      </c>
      <c r="B547" s="361" t="s">
        <v>1861</v>
      </c>
      <c r="C547" s="364"/>
      <c r="D547" s="327">
        <f>IF($B547="","",COUNTIF($B$6:$B547,$B547))</f>
        <v>4</v>
      </c>
      <c r="E547" s="361" t="s">
        <v>2528</v>
      </c>
      <c r="F547" s="362" t="s">
        <v>2083</v>
      </c>
      <c r="G547" s="327" t="s">
        <v>329</v>
      </c>
      <c r="H547" s="325"/>
      <c r="I547" s="327">
        <v>10</v>
      </c>
      <c r="J547" s="361" t="s">
        <v>1451</v>
      </c>
      <c r="K547" s="327" t="s">
        <v>516</v>
      </c>
      <c r="L547" s="348">
        <f t="shared" si="50"/>
        <v>640920</v>
      </c>
      <c r="M547" s="373"/>
      <c r="N547" s="355" t="str">
        <f t="shared" si="40"/>
        <v>PR</v>
      </c>
      <c r="O547" s="347"/>
      <c r="P547" s="325"/>
      <c r="Q547" s="351"/>
      <c r="R547" s="351">
        <v>1.5</v>
      </c>
      <c r="S547" s="351">
        <v>6</v>
      </c>
      <c r="T547" s="351">
        <v>1.2716666666666667</v>
      </c>
      <c r="U547" s="329">
        <f>IF($N547=$N$4,IFERROR(INDEX(DanhMuc!$E$154:$E$165,MATCH(MID($B547,4,2),DanhMuc!$B$154:$B$165,0)),""),"")</f>
        <v>6000</v>
      </c>
      <c r="V547" s="325"/>
      <c r="W547" s="352" t="str">
        <f>+IF(AND($A547&lt;&gt;"",LEN($B547)&gt;=8,COUNTIF($B$6:$B547,$B547)=1),$W$5,"")</f>
        <v/>
      </c>
      <c r="X547" s="329" t="str">
        <f t="shared" si="51"/>
        <v>XW</v>
      </c>
      <c r="Y547" s="1128" t="s">
        <v>3380</v>
      </c>
      <c r="Z547" s="1128" t="s">
        <v>3381</v>
      </c>
      <c r="AA547" s="1128" t="s">
        <v>3384</v>
      </c>
      <c r="AC547" s="73"/>
    </row>
    <row r="548" spans="1:29" s="20" customFormat="1">
      <c r="A548" s="327" t="str">
        <f>IF(AND($B548&lt;&gt;"",$C548&lt;&gt;""),MAX($A$4:A545)+1,"")</f>
        <v/>
      </c>
      <c r="B548" s="361" t="s">
        <v>1861</v>
      </c>
      <c r="C548" s="364"/>
      <c r="D548" s="327">
        <f>IF($B548="","",COUNTIF($B$6:$B548,$B548))</f>
        <v>5</v>
      </c>
      <c r="E548" s="361" t="s">
        <v>2528</v>
      </c>
      <c r="F548" s="362" t="s">
        <v>2083</v>
      </c>
      <c r="G548" s="327" t="s">
        <v>328</v>
      </c>
      <c r="H548" s="325"/>
      <c r="I548" s="327">
        <v>10</v>
      </c>
      <c r="J548" s="361" t="s">
        <v>1453</v>
      </c>
      <c r="K548" s="327" t="s">
        <v>516</v>
      </c>
      <c r="L548" s="348">
        <f t="shared" si="50"/>
        <v>640920</v>
      </c>
      <c r="M548" s="373"/>
      <c r="N548" s="355" t="str">
        <f t="shared" si="40"/>
        <v>PR</v>
      </c>
      <c r="O548" s="347"/>
      <c r="P548" s="325"/>
      <c r="Q548" s="351"/>
      <c r="R548" s="351">
        <v>1.5</v>
      </c>
      <c r="S548" s="351">
        <v>6</v>
      </c>
      <c r="T548" s="351">
        <v>1.2716666666666667</v>
      </c>
      <c r="U548" s="329">
        <f>IF($N548=$N$4,IFERROR(INDEX(DanhMuc!$E$154:$E$165,MATCH(MID($B548,4,2),DanhMuc!$B$154:$B$165,0)),""),"")</f>
        <v>6000</v>
      </c>
      <c r="V548" s="325"/>
      <c r="W548" s="352" t="str">
        <f>+IF(AND($A548&lt;&gt;"",LEN($B548)&gt;=8,COUNTIF($B$6:$B548,$B548)=1),$W$5,"")</f>
        <v/>
      </c>
      <c r="X548" s="329" t="str">
        <f t="shared" si="51"/>
        <v>XW</v>
      </c>
      <c r="Y548" s="1128" t="s">
        <v>3380</v>
      </c>
      <c r="Z548" s="1128" t="s">
        <v>3381</v>
      </c>
      <c r="AA548" s="1128" t="s">
        <v>3384</v>
      </c>
      <c r="AC548" s="73"/>
    </row>
    <row r="549" spans="1:29" s="20" customFormat="1">
      <c r="A549" s="327" t="str">
        <f>IF(AND($B549&lt;&gt;"",$C549&lt;&gt;""),MAX($A$4:A548)+1,"")</f>
        <v/>
      </c>
      <c r="B549" s="361" t="s">
        <v>1861</v>
      </c>
      <c r="C549" s="364"/>
      <c r="D549" s="327">
        <f>IF($B549="","",COUNTIF($B$6:$B549,$B549))</f>
        <v>6</v>
      </c>
      <c r="E549" s="374" t="s">
        <v>2266</v>
      </c>
      <c r="F549" s="375" t="s">
        <v>358</v>
      </c>
      <c r="G549" s="327" t="s">
        <v>328</v>
      </c>
      <c r="H549" s="325"/>
      <c r="I549" s="377">
        <v>5</v>
      </c>
      <c r="J549" s="361" t="s">
        <v>1453</v>
      </c>
      <c r="K549" s="327" t="s">
        <v>531</v>
      </c>
      <c r="L549" s="348">
        <f t="shared" ref="L549:L558" si="52">+$T549*$L$391*$S549</f>
        <v>122640</v>
      </c>
      <c r="M549" s="373"/>
      <c r="N549" s="355" t="str">
        <f t="shared" si="40"/>
        <v>PR</v>
      </c>
      <c r="O549" s="347"/>
      <c r="P549" s="325"/>
      <c r="Q549" s="351"/>
      <c r="R549" s="351">
        <v>1.3</v>
      </c>
      <c r="S549" s="351">
        <v>6</v>
      </c>
      <c r="T549" s="351">
        <v>0.24333333333333332</v>
      </c>
      <c r="U549" s="329">
        <f>IF($N549=$N$4,IFERROR(INDEX(DanhMuc!$E$154:$E$165,MATCH(MID($B549,4,2),DanhMuc!$B$154:$B$165,0)),""),"")</f>
        <v>6000</v>
      </c>
      <c r="V549" s="376" t="s">
        <v>404</v>
      </c>
      <c r="W549" s="352" t="str">
        <f>+IF(AND($A549&lt;&gt;"",LEN($B549)&gt;=8,COUNTIF($B$6:$B549,$B549)=1),$W$5,"")</f>
        <v/>
      </c>
      <c r="X549" s="329" t="str">
        <f t="shared" si="51"/>
        <v>XW</v>
      </c>
      <c r="Y549" s="1128" t="s">
        <v>3380</v>
      </c>
      <c r="Z549" s="1128" t="s">
        <v>3381</v>
      </c>
      <c r="AA549" s="1128" t="s">
        <v>3384</v>
      </c>
      <c r="AC549" s="73"/>
    </row>
    <row r="550" spans="1:29" s="20" customFormat="1">
      <c r="A550" s="327" t="str">
        <f>IF(AND($B550&lt;&gt;"",$C550&lt;&gt;""),MAX($A$4:A549)+1,"")</f>
        <v/>
      </c>
      <c r="B550" s="361" t="s">
        <v>1861</v>
      </c>
      <c r="C550" s="364"/>
      <c r="D550" s="327">
        <f>IF($B550="","",COUNTIF($B$6:$B550,$B550))</f>
        <v>7</v>
      </c>
      <c r="E550" s="361" t="s">
        <v>2267</v>
      </c>
      <c r="F550" s="362" t="s">
        <v>361</v>
      </c>
      <c r="G550" s="327" t="s">
        <v>329</v>
      </c>
      <c r="H550" s="325"/>
      <c r="I550" s="327">
        <v>10</v>
      </c>
      <c r="J550" s="361" t="s">
        <v>1452</v>
      </c>
      <c r="K550" s="327" t="s">
        <v>531</v>
      </c>
      <c r="L550" s="348">
        <f t="shared" si="52"/>
        <v>113400</v>
      </c>
      <c r="M550" s="373"/>
      <c r="N550" s="355" t="str">
        <f t="shared" si="40"/>
        <v>PR</v>
      </c>
      <c r="O550" s="347">
        <v>10</v>
      </c>
      <c r="P550" s="325"/>
      <c r="Q550" s="351"/>
      <c r="R550" s="351">
        <v>1</v>
      </c>
      <c r="S550" s="351">
        <v>6</v>
      </c>
      <c r="T550" s="351">
        <v>0.22500000000000001</v>
      </c>
      <c r="U550" s="329">
        <f>IF($N550=$N$4,IFERROR(INDEX(DanhMuc!$E$154:$E$165,MATCH(MID($B550,4,2),DanhMuc!$B$154:$B$165,0)),""),"")</f>
        <v>6000</v>
      </c>
      <c r="V550" s="325"/>
      <c r="W550" s="352" t="str">
        <f>+IF(AND($A550&lt;&gt;"",LEN($B550)&gt;=8,COUNTIF($B$6:$B550,$B550)=1),$W$5,"")</f>
        <v/>
      </c>
      <c r="X550" s="329" t="str">
        <f t="shared" si="51"/>
        <v>XW</v>
      </c>
      <c r="Y550" s="1128" t="s">
        <v>3380</v>
      </c>
      <c r="Z550" s="1128" t="s">
        <v>3381</v>
      </c>
      <c r="AA550" s="1128" t="s">
        <v>3384</v>
      </c>
      <c r="AC550" s="73"/>
    </row>
    <row r="551" spans="1:29" s="20" customFormat="1">
      <c r="A551" s="327" t="str">
        <f>IF(AND($B551&lt;&gt;"",$C551&lt;&gt;""),MAX($A$4:A550)+1,"")</f>
        <v/>
      </c>
      <c r="B551" s="361" t="s">
        <v>1861</v>
      </c>
      <c r="C551" s="364"/>
      <c r="D551" s="327">
        <f>IF($B551="","",COUNTIF($B$6:$B551,$B551))</f>
        <v>8</v>
      </c>
      <c r="E551" s="361" t="s">
        <v>2267</v>
      </c>
      <c r="F551" s="362" t="s">
        <v>361</v>
      </c>
      <c r="G551" s="327" t="s">
        <v>328</v>
      </c>
      <c r="H551" s="325"/>
      <c r="I551" s="327">
        <v>10</v>
      </c>
      <c r="J551" s="361" t="s">
        <v>1454</v>
      </c>
      <c r="K551" s="327" t="s">
        <v>531</v>
      </c>
      <c r="L551" s="348">
        <f t="shared" si="52"/>
        <v>113400</v>
      </c>
      <c r="M551" s="373"/>
      <c r="N551" s="355" t="str">
        <f t="shared" si="40"/>
        <v>PR</v>
      </c>
      <c r="O551" s="347">
        <v>10</v>
      </c>
      <c r="P551" s="325"/>
      <c r="Q551" s="351"/>
      <c r="R551" s="351">
        <v>1</v>
      </c>
      <c r="S551" s="351">
        <v>6</v>
      </c>
      <c r="T551" s="351">
        <v>0.22500000000000001</v>
      </c>
      <c r="U551" s="329">
        <f>IF($N551=$N$4,IFERROR(INDEX(DanhMuc!$E$154:$E$165,MATCH(MID($B551,4,2),DanhMuc!$B$154:$B$165,0)),""),"")</f>
        <v>6000</v>
      </c>
      <c r="V551" s="325"/>
      <c r="W551" s="352" t="str">
        <f>+IF(AND($A551&lt;&gt;"",LEN($B551)&gt;=8,COUNTIF($B$6:$B551,$B551)=1),$W$5,"")</f>
        <v/>
      </c>
      <c r="X551" s="329" t="str">
        <f t="shared" si="51"/>
        <v>XW</v>
      </c>
      <c r="Y551" s="1128" t="s">
        <v>3380</v>
      </c>
      <c r="Z551" s="1128" t="s">
        <v>3381</v>
      </c>
      <c r="AA551" s="1128" t="s">
        <v>3384</v>
      </c>
      <c r="AC551" s="73"/>
    </row>
    <row r="552" spans="1:29" s="20" customFormat="1">
      <c r="A552" s="327" t="str">
        <f>IF(AND($B552&lt;&gt;"",$C552&lt;&gt;""),MAX($A$4:A551)+1,"")</f>
        <v/>
      </c>
      <c r="B552" s="361" t="s">
        <v>1861</v>
      </c>
      <c r="C552" s="364"/>
      <c r="D552" s="327">
        <f>IF($B552="","",COUNTIF($B$6:$B552,$B552))</f>
        <v>9</v>
      </c>
      <c r="E552" s="361" t="s">
        <v>2268</v>
      </c>
      <c r="F552" s="362" t="s">
        <v>363</v>
      </c>
      <c r="G552" s="327" t="s">
        <v>329</v>
      </c>
      <c r="H552" s="325"/>
      <c r="I552" s="327">
        <v>10</v>
      </c>
      <c r="J552" s="361" t="s">
        <v>1452</v>
      </c>
      <c r="K552" s="327" t="s">
        <v>531</v>
      </c>
      <c r="L552" s="348">
        <f t="shared" si="52"/>
        <v>0</v>
      </c>
      <c r="M552" s="373"/>
      <c r="N552" s="355" t="str">
        <f t="shared" si="40"/>
        <v>PR</v>
      </c>
      <c r="O552" s="347">
        <v>19</v>
      </c>
      <c r="P552" s="325"/>
      <c r="Q552" s="351"/>
      <c r="R552" s="351"/>
      <c r="S552" s="351">
        <v>6</v>
      </c>
      <c r="T552" s="351">
        <v>0</v>
      </c>
      <c r="U552" s="329">
        <f>IF($N552=$N$4,IFERROR(INDEX(DanhMuc!$E$154:$E$165,MATCH(MID($B552,4,2),DanhMuc!$B$154:$B$165,0)),""),"")</f>
        <v>6000</v>
      </c>
      <c r="V552" s="325"/>
      <c r="W552" s="352" t="str">
        <f>+IF(AND($A552&lt;&gt;"",LEN($B552)&gt;=8,COUNTIF($B$6:$B552,$B552)=1),$W$5,"")</f>
        <v/>
      </c>
      <c r="X552" s="329" t="str">
        <f t="shared" si="51"/>
        <v>XW</v>
      </c>
      <c r="Y552" s="1128" t="s">
        <v>3380</v>
      </c>
      <c r="Z552" s="1128" t="s">
        <v>3381</v>
      </c>
      <c r="AA552" s="1128" t="s">
        <v>3384</v>
      </c>
      <c r="AC552" s="73"/>
    </row>
    <row r="553" spans="1:29" s="20" customFormat="1">
      <c r="A553" s="327" t="str">
        <f>IF(AND($B553&lt;&gt;"",$C553&lt;&gt;""),MAX($A$4:A552)+1,"")</f>
        <v/>
      </c>
      <c r="B553" s="361" t="s">
        <v>1861</v>
      </c>
      <c r="C553" s="364"/>
      <c r="D553" s="327">
        <f>IF($B553="","",COUNTIF($B$6:$B553,$B553))</f>
        <v>10</v>
      </c>
      <c r="E553" s="361" t="s">
        <v>2268</v>
      </c>
      <c r="F553" s="362" t="s">
        <v>363</v>
      </c>
      <c r="G553" s="327" t="s">
        <v>328</v>
      </c>
      <c r="H553" s="325"/>
      <c r="I553" s="327">
        <v>10</v>
      </c>
      <c r="J553" s="361" t="s">
        <v>1454</v>
      </c>
      <c r="K553" s="327" t="s">
        <v>531</v>
      </c>
      <c r="L553" s="348">
        <f t="shared" si="52"/>
        <v>0</v>
      </c>
      <c r="M553" s="373"/>
      <c r="N553" s="355" t="str">
        <f t="shared" si="40"/>
        <v>PR</v>
      </c>
      <c r="O553" s="347">
        <v>19</v>
      </c>
      <c r="P553" s="325"/>
      <c r="Q553" s="351"/>
      <c r="R553" s="351"/>
      <c r="S553" s="351">
        <v>6</v>
      </c>
      <c r="T553" s="351">
        <v>0</v>
      </c>
      <c r="U553" s="329">
        <f>IF($N553=$N$4,IFERROR(INDEX(DanhMuc!$E$154:$E$165,MATCH(MID($B553,4,2),DanhMuc!$B$154:$B$165,0)),""),"")</f>
        <v>6000</v>
      </c>
      <c r="V553" s="325"/>
      <c r="W553" s="352" t="str">
        <f>+IF(AND($A553&lt;&gt;"",LEN($B553)&gt;=8,COUNTIF($B$6:$B553,$B553)=1),$W$5,"")</f>
        <v/>
      </c>
      <c r="X553" s="329" t="str">
        <f t="shared" si="51"/>
        <v>XW</v>
      </c>
      <c r="Y553" s="1128" t="s">
        <v>3380</v>
      </c>
      <c r="Z553" s="1128" t="s">
        <v>3381</v>
      </c>
      <c r="AA553" s="1128" t="s">
        <v>3384</v>
      </c>
      <c r="AC553" s="73"/>
    </row>
    <row r="554" spans="1:29" s="20" customFormat="1" ht="39">
      <c r="A554" s="327">
        <f>IF(AND($B554&lt;&gt;"",$C554&lt;&gt;""),MAX($A$4:A553)+1,"")</f>
        <v>47</v>
      </c>
      <c r="B554" s="359" t="s">
        <v>1862</v>
      </c>
      <c r="C554" s="360" t="s">
        <v>1889</v>
      </c>
      <c r="D554" s="327">
        <f>IF($B554="","",COUNTIF($B$6:$B554,$B554))</f>
        <v>1</v>
      </c>
      <c r="E554" s="361" t="s">
        <v>2264</v>
      </c>
      <c r="F554" s="362" t="s">
        <v>355</v>
      </c>
      <c r="G554" s="327" t="s">
        <v>330</v>
      </c>
      <c r="H554" s="325"/>
      <c r="I554" s="327">
        <v>1</v>
      </c>
      <c r="J554" s="361" t="s">
        <v>81</v>
      </c>
      <c r="K554" s="327" t="s">
        <v>531</v>
      </c>
      <c r="L554" s="348">
        <f t="shared" si="52"/>
        <v>1570800</v>
      </c>
      <c r="M554" s="373"/>
      <c r="N554" s="355" t="str">
        <f t="shared" si="40"/>
        <v>PR</v>
      </c>
      <c r="O554" s="347"/>
      <c r="P554" s="325"/>
      <c r="Q554" s="351"/>
      <c r="R554" s="351">
        <v>3</v>
      </c>
      <c r="S554" s="351">
        <v>6</v>
      </c>
      <c r="T554" s="351">
        <v>3.1166666666666667</v>
      </c>
      <c r="U554" s="329">
        <f>IF($N554=$N$4,IFERROR(INDEX(DanhMuc!$E$154:$E$165,MATCH(MID($B554,4,2),DanhMuc!$B$154:$B$165,0)),""),"")</f>
        <v>6000</v>
      </c>
      <c r="V554" s="325"/>
      <c r="W554" s="352" t="str">
        <f>+IF(AND($A554&lt;&gt;"",LEN($B554)&gt;=8,COUNTIF($B$6:$B554,$B554)=1),$W$5,"")</f>
        <v>DMCua</v>
      </c>
      <c r="X554" s="329" t="str">
        <f t="shared" si="51"/>
        <v>XW</v>
      </c>
      <c r="Y554" s="1128" t="s">
        <v>3380</v>
      </c>
      <c r="Z554" s="1128" t="s">
        <v>3381</v>
      </c>
      <c r="AA554" s="1128" t="s">
        <v>3384</v>
      </c>
      <c r="AC554" s="73"/>
    </row>
    <row r="555" spans="1:29" s="20" customFormat="1">
      <c r="A555" s="327" t="str">
        <f>IF(AND($B555&lt;&gt;"",$C555&lt;&gt;""),MAX($A$4:A554)+1,"")</f>
        <v/>
      </c>
      <c r="B555" s="361" t="s">
        <v>1862</v>
      </c>
      <c r="C555" s="364"/>
      <c r="D555" s="327">
        <f>IF($B555="","",COUNTIF($B$6:$B555,$B555))</f>
        <v>2</v>
      </c>
      <c r="E555" s="361" t="s">
        <v>2265</v>
      </c>
      <c r="F555" s="362" t="s">
        <v>990</v>
      </c>
      <c r="G555" s="327" t="s">
        <v>356</v>
      </c>
      <c r="H555" s="325"/>
      <c r="I555" s="327">
        <v>1</v>
      </c>
      <c r="J555" s="361" t="s">
        <v>81</v>
      </c>
      <c r="K555" s="327" t="s">
        <v>531</v>
      </c>
      <c r="L555" s="348">
        <f t="shared" si="52"/>
        <v>520800.00000000012</v>
      </c>
      <c r="M555" s="373"/>
      <c r="N555" s="355" t="str">
        <f t="shared" si="40"/>
        <v>PR</v>
      </c>
      <c r="O555" s="347"/>
      <c r="P555" s="325"/>
      <c r="Q555" s="351"/>
      <c r="R555" s="351">
        <v>1.8</v>
      </c>
      <c r="S555" s="351">
        <v>6</v>
      </c>
      <c r="T555" s="351">
        <v>1.0333333333333334</v>
      </c>
      <c r="U555" s="329">
        <f>IF($N555=$N$4,IFERROR(INDEX(DanhMuc!$E$154:$E$165,MATCH(MID($B555,4,2),DanhMuc!$B$154:$B$165,0)),""),"")</f>
        <v>6000</v>
      </c>
      <c r="V555" s="325"/>
      <c r="W555" s="352" t="str">
        <f>+IF(AND($A555&lt;&gt;"",LEN($B555)&gt;=8,COUNTIF($B$6:$B555,$B555)=1),$W$5,"")</f>
        <v/>
      </c>
      <c r="X555" s="329" t="str">
        <f t="shared" si="51"/>
        <v>XW</v>
      </c>
      <c r="Y555" s="1128" t="s">
        <v>3380</v>
      </c>
      <c r="Z555" s="1128" t="s">
        <v>3381</v>
      </c>
      <c r="AA555" s="1128" t="s">
        <v>3384</v>
      </c>
      <c r="AC555" s="73"/>
    </row>
    <row r="556" spans="1:29" s="20" customFormat="1">
      <c r="A556" s="327" t="str">
        <f>IF(AND($B556&lt;&gt;"",$C556&lt;&gt;""),MAX($A$4:A555)+1,"")</f>
        <v/>
      </c>
      <c r="B556" s="361" t="s">
        <v>1862</v>
      </c>
      <c r="C556" s="364"/>
      <c r="D556" s="327">
        <f>IF($B556="","",COUNTIF($B$6:$B556,$B556))</f>
        <v>3</v>
      </c>
      <c r="E556" s="363" t="s">
        <v>2527</v>
      </c>
      <c r="F556" s="362" t="s">
        <v>2082</v>
      </c>
      <c r="G556" s="327" t="s">
        <v>328</v>
      </c>
      <c r="H556" s="325"/>
      <c r="I556" s="327">
        <v>2</v>
      </c>
      <c r="J556" s="361" t="s">
        <v>994</v>
      </c>
      <c r="K556" s="327" t="s">
        <v>531</v>
      </c>
      <c r="L556" s="348">
        <f t="shared" si="52"/>
        <v>530880.00000000012</v>
      </c>
      <c r="M556" s="373"/>
      <c r="N556" s="355" t="str">
        <f t="shared" si="40"/>
        <v>PR</v>
      </c>
      <c r="O556" s="347"/>
      <c r="P556" s="325"/>
      <c r="Q556" s="351"/>
      <c r="R556" s="351">
        <v>1.5</v>
      </c>
      <c r="S556" s="351">
        <v>6</v>
      </c>
      <c r="T556" s="351">
        <v>1.0533333333333335</v>
      </c>
      <c r="U556" s="329">
        <f>IF($N556=$N$4,IFERROR(INDEX(DanhMuc!$E$154:$E$165,MATCH(MID($B556,4,2),DanhMuc!$B$154:$B$165,0)),""),"")</f>
        <v>6000</v>
      </c>
      <c r="V556" s="325"/>
      <c r="W556" s="352" t="str">
        <f>+IF(AND($A556&lt;&gt;"",LEN($B556)&gt;=8,COUNTIF($B$6:$B556,$B556)=1),$W$5,"")</f>
        <v/>
      </c>
      <c r="X556" s="329" t="str">
        <f t="shared" si="51"/>
        <v>XW</v>
      </c>
      <c r="Y556" s="1128" t="s">
        <v>3380</v>
      </c>
      <c r="Z556" s="1128" t="s">
        <v>3381</v>
      </c>
      <c r="AA556" s="1128" t="s">
        <v>3384</v>
      </c>
      <c r="AC556" s="73"/>
    </row>
    <row r="557" spans="1:29" s="20" customFormat="1">
      <c r="A557" s="327" t="str">
        <f>IF(AND($B557&lt;&gt;"",$C557&lt;&gt;""),MAX($A$4:A556)+1,"")</f>
        <v/>
      </c>
      <c r="B557" s="361" t="s">
        <v>1862</v>
      </c>
      <c r="C557" s="364"/>
      <c r="D557" s="327">
        <f>IF($B557="","",COUNTIF($B$6:$B557,$B557))</f>
        <v>4</v>
      </c>
      <c r="E557" s="361" t="s">
        <v>2528</v>
      </c>
      <c r="F557" s="362" t="s">
        <v>2083</v>
      </c>
      <c r="G557" s="327" t="s">
        <v>329</v>
      </c>
      <c r="H557" s="325"/>
      <c r="I557" s="327">
        <v>12</v>
      </c>
      <c r="J557" s="361" t="s">
        <v>1451</v>
      </c>
      <c r="K557" s="327" t="s">
        <v>516</v>
      </c>
      <c r="L557" s="348">
        <f t="shared" si="52"/>
        <v>640920</v>
      </c>
      <c r="M557" s="373"/>
      <c r="N557" s="355" t="str">
        <f t="shared" si="40"/>
        <v>PR</v>
      </c>
      <c r="O557" s="347"/>
      <c r="P557" s="325"/>
      <c r="Q557" s="351"/>
      <c r="R557" s="351">
        <v>1.5</v>
      </c>
      <c r="S557" s="351">
        <v>6</v>
      </c>
      <c r="T557" s="351">
        <v>1.2716666666666667</v>
      </c>
      <c r="U557" s="329">
        <f>IF($N557=$N$4,IFERROR(INDEX(DanhMuc!$E$154:$E$165,MATCH(MID($B557,4,2),DanhMuc!$B$154:$B$165,0)),""),"")</f>
        <v>6000</v>
      </c>
      <c r="V557" s="325"/>
      <c r="W557" s="352" t="str">
        <f>+IF(AND($A557&lt;&gt;"",LEN($B557)&gt;=8,COUNTIF($B$6:$B557,$B557)=1),$W$5,"")</f>
        <v/>
      </c>
      <c r="X557" s="329" t="str">
        <f t="shared" si="51"/>
        <v>XW</v>
      </c>
      <c r="Y557" s="1128" t="s">
        <v>3380</v>
      </c>
      <c r="Z557" s="1128" t="s">
        <v>3381</v>
      </c>
      <c r="AA557" s="1128" t="s">
        <v>3384</v>
      </c>
      <c r="AC557" s="73"/>
    </row>
    <row r="558" spans="1:29" s="20" customFormat="1">
      <c r="A558" s="327" t="str">
        <f>IF(AND($B558&lt;&gt;"",$C558&lt;&gt;""),MAX($A$4:A555)+1,"")</f>
        <v/>
      </c>
      <c r="B558" s="361" t="s">
        <v>1862</v>
      </c>
      <c r="C558" s="364"/>
      <c r="D558" s="327">
        <f>IF($B558="","",COUNTIF($B$6:$B558,$B558))</f>
        <v>5</v>
      </c>
      <c r="E558" s="361" t="s">
        <v>2528</v>
      </c>
      <c r="F558" s="362" t="s">
        <v>2083</v>
      </c>
      <c r="G558" s="327" t="s">
        <v>328</v>
      </c>
      <c r="H558" s="325"/>
      <c r="I558" s="327">
        <v>12</v>
      </c>
      <c r="J558" s="361" t="s">
        <v>1453</v>
      </c>
      <c r="K558" s="327" t="s">
        <v>516</v>
      </c>
      <c r="L558" s="348">
        <f t="shared" si="52"/>
        <v>640920</v>
      </c>
      <c r="M558" s="373"/>
      <c r="N558" s="355" t="str">
        <f t="shared" si="40"/>
        <v>PR</v>
      </c>
      <c r="O558" s="347"/>
      <c r="P558" s="325"/>
      <c r="Q558" s="351"/>
      <c r="R558" s="351">
        <v>1.5</v>
      </c>
      <c r="S558" s="351">
        <v>6</v>
      </c>
      <c r="T558" s="351">
        <v>1.2716666666666667</v>
      </c>
      <c r="U558" s="329">
        <f>IF($N558=$N$4,IFERROR(INDEX(DanhMuc!$E$154:$E$165,MATCH(MID($B558,4,2),DanhMuc!$B$154:$B$165,0)),""),"")</f>
        <v>6000</v>
      </c>
      <c r="V558" s="325"/>
      <c r="W558" s="352" t="str">
        <f>+IF(AND($A558&lt;&gt;"",LEN($B558)&gt;=8,COUNTIF($B$6:$B558,$B558)=1),$W$5,"")</f>
        <v/>
      </c>
      <c r="X558" s="329" t="str">
        <f t="shared" si="51"/>
        <v>XW</v>
      </c>
      <c r="Y558" s="1128" t="s">
        <v>3380</v>
      </c>
      <c r="Z558" s="1128" t="s">
        <v>3381</v>
      </c>
      <c r="AA558" s="1128" t="s">
        <v>3384</v>
      </c>
      <c r="AC558" s="73"/>
    </row>
    <row r="559" spans="1:29" s="20" customFormat="1">
      <c r="A559" s="327" t="str">
        <f>IF(AND($B559&lt;&gt;"",$C559&lt;&gt;""),MAX($A$4:A558)+1,"")</f>
        <v/>
      </c>
      <c r="B559" s="361" t="s">
        <v>1862</v>
      </c>
      <c r="C559" s="364"/>
      <c r="D559" s="327">
        <f>IF($B559="","",COUNTIF($B$6:$B559,$B559))</f>
        <v>6</v>
      </c>
      <c r="E559" s="374" t="s">
        <v>2266</v>
      </c>
      <c r="F559" s="375" t="s">
        <v>358</v>
      </c>
      <c r="G559" s="327" t="s">
        <v>328</v>
      </c>
      <c r="H559" s="325"/>
      <c r="I559" s="377">
        <v>6</v>
      </c>
      <c r="J559" s="361" t="s">
        <v>1453</v>
      </c>
      <c r="K559" s="327" t="s">
        <v>531</v>
      </c>
      <c r="L559" s="348">
        <f t="shared" ref="L559:L622" si="53">+$T559*$L$391*$S559</f>
        <v>122640</v>
      </c>
      <c r="M559" s="373"/>
      <c r="N559" s="355" t="str">
        <f t="shared" si="40"/>
        <v>PR</v>
      </c>
      <c r="O559" s="347"/>
      <c r="P559" s="325"/>
      <c r="Q559" s="351"/>
      <c r="R559" s="351">
        <v>1.3</v>
      </c>
      <c r="S559" s="351">
        <v>6</v>
      </c>
      <c r="T559" s="351">
        <v>0.24333333333333332</v>
      </c>
      <c r="U559" s="329">
        <f>IF($N559=$N$4,IFERROR(INDEX(DanhMuc!$E$154:$E$165,MATCH(MID($B559,4,2),DanhMuc!$B$154:$B$165,0)),""),"")</f>
        <v>6000</v>
      </c>
      <c r="V559" s="376" t="s">
        <v>404</v>
      </c>
      <c r="W559" s="352" t="str">
        <f>+IF(AND($A559&lt;&gt;"",LEN($B559)&gt;=8,COUNTIF($B$6:$B559,$B559)=1),$W$5,"")</f>
        <v/>
      </c>
      <c r="X559" s="329" t="str">
        <f t="shared" si="51"/>
        <v>XW</v>
      </c>
      <c r="Y559" s="1128" t="s">
        <v>3380</v>
      </c>
      <c r="Z559" s="1128" t="s">
        <v>3381</v>
      </c>
      <c r="AA559" s="1128" t="s">
        <v>3384</v>
      </c>
      <c r="AC559" s="73"/>
    </row>
    <row r="560" spans="1:29" s="20" customFormat="1">
      <c r="A560" s="327" t="str">
        <f>IF(AND($B560&lt;&gt;"",$C560&lt;&gt;""),MAX($A$4:A559)+1,"")</f>
        <v/>
      </c>
      <c r="B560" s="361" t="s">
        <v>1862</v>
      </c>
      <c r="C560" s="364"/>
      <c r="D560" s="327">
        <f>IF($B560="","",COUNTIF($B$6:$B560,$B560))</f>
        <v>7</v>
      </c>
      <c r="E560" s="361" t="s">
        <v>2267</v>
      </c>
      <c r="F560" s="362" t="s">
        <v>361</v>
      </c>
      <c r="G560" s="327" t="s">
        <v>329</v>
      </c>
      <c r="H560" s="325"/>
      <c r="I560" s="327">
        <v>12</v>
      </c>
      <c r="J560" s="361" t="s">
        <v>1452</v>
      </c>
      <c r="K560" s="327" t="s">
        <v>531</v>
      </c>
      <c r="L560" s="348">
        <f t="shared" si="53"/>
        <v>113400</v>
      </c>
      <c r="M560" s="373"/>
      <c r="N560" s="355" t="str">
        <f t="shared" si="40"/>
        <v>PR</v>
      </c>
      <c r="O560" s="347">
        <v>10</v>
      </c>
      <c r="P560" s="325"/>
      <c r="Q560" s="351"/>
      <c r="R560" s="351">
        <v>1</v>
      </c>
      <c r="S560" s="351">
        <v>6</v>
      </c>
      <c r="T560" s="351">
        <v>0.22500000000000001</v>
      </c>
      <c r="U560" s="329">
        <f>IF($N560=$N$4,IFERROR(INDEX(DanhMuc!$E$154:$E$165,MATCH(MID($B560,4,2),DanhMuc!$B$154:$B$165,0)),""),"")</f>
        <v>6000</v>
      </c>
      <c r="V560" s="325"/>
      <c r="W560" s="352" t="str">
        <f>+IF(AND($A560&lt;&gt;"",LEN($B560)&gt;=8,COUNTIF($B$6:$B560,$B560)=1),$W$5,"")</f>
        <v/>
      </c>
      <c r="X560" s="329" t="str">
        <f t="shared" si="51"/>
        <v>XW</v>
      </c>
      <c r="Y560" s="1128" t="s">
        <v>3380</v>
      </c>
      <c r="Z560" s="1128" t="s">
        <v>3381</v>
      </c>
      <c r="AA560" s="1128" t="s">
        <v>3384</v>
      </c>
      <c r="AC560" s="73"/>
    </row>
    <row r="561" spans="1:29" s="20" customFormat="1">
      <c r="A561" s="327" t="str">
        <f>IF(AND($B561&lt;&gt;"",$C561&lt;&gt;""),MAX($A$4:A560)+1,"")</f>
        <v/>
      </c>
      <c r="B561" s="361" t="s">
        <v>1862</v>
      </c>
      <c r="C561" s="364"/>
      <c r="D561" s="327">
        <f>IF($B561="","",COUNTIF($B$6:$B561,$B561))</f>
        <v>8</v>
      </c>
      <c r="E561" s="361" t="s">
        <v>2267</v>
      </c>
      <c r="F561" s="362" t="s">
        <v>361</v>
      </c>
      <c r="G561" s="327" t="s">
        <v>328</v>
      </c>
      <c r="H561" s="325"/>
      <c r="I561" s="327">
        <v>12</v>
      </c>
      <c r="J561" s="361" t="s">
        <v>1454</v>
      </c>
      <c r="K561" s="327" t="s">
        <v>531</v>
      </c>
      <c r="L561" s="348">
        <f t="shared" si="53"/>
        <v>113400</v>
      </c>
      <c r="M561" s="373"/>
      <c r="N561" s="355" t="str">
        <f t="shared" si="40"/>
        <v>PR</v>
      </c>
      <c r="O561" s="347">
        <v>10</v>
      </c>
      <c r="P561" s="325"/>
      <c r="Q561" s="351"/>
      <c r="R561" s="351">
        <v>1</v>
      </c>
      <c r="S561" s="351">
        <v>6</v>
      </c>
      <c r="T561" s="351">
        <v>0.22500000000000001</v>
      </c>
      <c r="U561" s="329">
        <f>IF($N561=$N$4,IFERROR(INDEX(DanhMuc!$E$154:$E$165,MATCH(MID($B561,4,2),DanhMuc!$B$154:$B$165,0)),""),"")</f>
        <v>6000</v>
      </c>
      <c r="V561" s="325"/>
      <c r="W561" s="352" t="str">
        <f>+IF(AND($A561&lt;&gt;"",LEN($B561)&gt;=8,COUNTIF($B$6:$B561,$B561)=1),$W$5,"")</f>
        <v/>
      </c>
      <c r="X561" s="329" t="str">
        <f t="shared" si="51"/>
        <v>XW</v>
      </c>
      <c r="Y561" s="1128" t="s">
        <v>3380</v>
      </c>
      <c r="Z561" s="1128" t="s">
        <v>3381</v>
      </c>
      <c r="AA561" s="1128" t="s">
        <v>3384</v>
      </c>
      <c r="AC561" s="73"/>
    </row>
    <row r="562" spans="1:29" s="20" customFormat="1">
      <c r="A562" s="327" t="str">
        <f>IF(AND($B562&lt;&gt;"",$C562&lt;&gt;""),MAX($A$4:A561)+1,"")</f>
        <v/>
      </c>
      <c r="B562" s="361" t="s">
        <v>1862</v>
      </c>
      <c r="C562" s="364"/>
      <c r="D562" s="327">
        <f>IF($B562="","",COUNTIF($B$6:$B562,$B562))</f>
        <v>9</v>
      </c>
      <c r="E562" s="361" t="s">
        <v>2268</v>
      </c>
      <c r="F562" s="362" t="s">
        <v>363</v>
      </c>
      <c r="G562" s="327" t="s">
        <v>329</v>
      </c>
      <c r="H562" s="325"/>
      <c r="I562" s="327">
        <v>12</v>
      </c>
      <c r="J562" s="361" t="s">
        <v>1452</v>
      </c>
      <c r="K562" s="327" t="s">
        <v>531</v>
      </c>
      <c r="L562" s="348">
        <f t="shared" si="53"/>
        <v>0</v>
      </c>
      <c r="M562" s="373"/>
      <c r="N562" s="355" t="str">
        <f t="shared" si="40"/>
        <v>PR</v>
      </c>
      <c r="O562" s="347">
        <v>19</v>
      </c>
      <c r="P562" s="325"/>
      <c r="Q562" s="351"/>
      <c r="R562" s="351"/>
      <c r="S562" s="351">
        <v>6</v>
      </c>
      <c r="T562" s="351">
        <v>0</v>
      </c>
      <c r="U562" s="329">
        <f>IF($N562=$N$4,IFERROR(INDEX(DanhMuc!$E$154:$E$165,MATCH(MID($B562,4,2),DanhMuc!$B$154:$B$165,0)),""),"")</f>
        <v>6000</v>
      </c>
      <c r="V562" s="325"/>
      <c r="W562" s="352" t="str">
        <f>+IF(AND($A562&lt;&gt;"",LEN($B562)&gt;=8,COUNTIF($B$6:$B562,$B562)=1),$W$5,"")</f>
        <v/>
      </c>
      <c r="X562" s="329" t="str">
        <f t="shared" si="51"/>
        <v>XW</v>
      </c>
      <c r="Y562" s="1128" t="s">
        <v>3380</v>
      </c>
      <c r="Z562" s="1128" t="s">
        <v>3381</v>
      </c>
      <c r="AA562" s="1128" t="s">
        <v>3384</v>
      </c>
      <c r="AC562" s="73"/>
    </row>
    <row r="563" spans="1:29" s="20" customFormat="1">
      <c r="A563" s="327" t="str">
        <f>IF(AND($B563&lt;&gt;"",$C563&lt;&gt;""),MAX($A$4:A562)+1,"")</f>
        <v/>
      </c>
      <c r="B563" s="361" t="s">
        <v>1862</v>
      </c>
      <c r="C563" s="364"/>
      <c r="D563" s="327">
        <f>IF($B563="","",COUNTIF($B$6:$B563,$B563))</f>
        <v>10</v>
      </c>
      <c r="E563" s="361" t="s">
        <v>2268</v>
      </c>
      <c r="F563" s="362" t="s">
        <v>363</v>
      </c>
      <c r="G563" s="327" t="s">
        <v>328</v>
      </c>
      <c r="H563" s="325"/>
      <c r="I563" s="327">
        <v>12</v>
      </c>
      <c r="J563" s="361" t="s">
        <v>1454</v>
      </c>
      <c r="K563" s="327" t="s">
        <v>531</v>
      </c>
      <c r="L563" s="348">
        <f t="shared" si="53"/>
        <v>0</v>
      </c>
      <c r="M563" s="373"/>
      <c r="N563" s="355" t="str">
        <f t="shared" si="40"/>
        <v>PR</v>
      </c>
      <c r="O563" s="347">
        <v>19</v>
      </c>
      <c r="P563" s="325"/>
      <c r="Q563" s="351"/>
      <c r="R563" s="351"/>
      <c r="S563" s="351">
        <v>6</v>
      </c>
      <c r="T563" s="351">
        <v>0</v>
      </c>
      <c r="U563" s="329">
        <f>IF($N563=$N$4,IFERROR(INDEX(DanhMuc!$E$154:$E$165,MATCH(MID($B563,4,2),DanhMuc!$B$154:$B$165,0)),""),"")</f>
        <v>6000</v>
      </c>
      <c r="V563" s="325"/>
      <c r="W563" s="352" t="str">
        <f>+IF(AND($A563&lt;&gt;"",LEN($B563)&gt;=8,COUNTIF($B$6:$B563,$B563)=1),$W$5,"")</f>
        <v/>
      </c>
      <c r="X563" s="329" t="str">
        <f t="shared" si="51"/>
        <v>XW</v>
      </c>
      <c r="Y563" s="1128" t="s">
        <v>3380</v>
      </c>
      <c r="Z563" s="1128" t="s">
        <v>3381</v>
      </c>
      <c r="AA563" s="1128" t="s">
        <v>3384</v>
      </c>
      <c r="AC563" s="73"/>
    </row>
    <row r="564" spans="1:29" s="20" customFormat="1" ht="39">
      <c r="A564" s="327">
        <f>IF(AND($B564&lt;&gt;"",$C564&lt;&gt;""),MAX($A$4:A563)+1,"")</f>
        <v>48</v>
      </c>
      <c r="B564" s="359" t="s">
        <v>1863</v>
      </c>
      <c r="C564" s="360" t="s">
        <v>1890</v>
      </c>
      <c r="D564" s="327">
        <f>IF($B564="","",COUNTIF($B$6:$B564,$B564))</f>
        <v>1</v>
      </c>
      <c r="E564" s="363" t="s">
        <v>2269</v>
      </c>
      <c r="F564" s="382" t="s">
        <v>695</v>
      </c>
      <c r="G564" s="327" t="s">
        <v>329</v>
      </c>
      <c r="H564" s="325"/>
      <c r="I564" s="327">
        <v>2</v>
      </c>
      <c r="J564" s="361" t="s">
        <v>81</v>
      </c>
      <c r="K564" s="327" t="s">
        <v>516</v>
      </c>
      <c r="L564" s="348">
        <f t="shared" si="53"/>
        <v>376320</v>
      </c>
      <c r="M564" s="355"/>
      <c r="N564" s="355" t="str">
        <f t="shared" si="40"/>
        <v>PR</v>
      </c>
      <c r="O564" s="345"/>
      <c r="P564" s="325"/>
      <c r="Q564" s="351"/>
      <c r="R564" s="351">
        <v>1.2</v>
      </c>
      <c r="S564" s="351">
        <v>6</v>
      </c>
      <c r="T564" s="351">
        <v>0.7466666666666667</v>
      </c>
      <c r="U564" s="329">
        <f>IF($N564=$N$4,IFERROR(INDEX(DanhMuc!$E$154:$E$165,MATCH(MID($B564,4,2),DanhMuc!$B$154:$B$165,0)),""),"")</f>
        <v>6000</v>
      </c>
      <c r="V564" s="325"/>
      <c r="W564" s="352" t="str">
        <f>+IF(AND($A564&lt;&gt;"",LEN($B564)&gt;=8,COUNTIF($B$6:$B564,$B564)=1),$W$5,"")</f>
        <v>DMCua</v>
      </c>
      <c r="X564" s="329" t="str">
        <f t="shared" si="51"/>
        <v>XW</v>
      </c>
      <c r="Y564" s="1128" t="s">
        <v>3380</v>
      </c>
      <c r="Z564" s="1128" t="s">
        <v>3381</v>
      </c>
      <c r="AA564" s="1128" t="s">
        <v>3384</v>
      </c>
      <c r="AC564" s="73"/>
    </row>
    <row r="565" spans="1:29" s="20" customFormat="1">
      <c r="A565" s="327" t="str">
        <f>IF(AND($B565&lt;&gt;"",$C565&lt;&gt;""),MAX($A$4:A564)+1,"")</f>
        <v/>
      </c>
      <c r="B565" s="361" t="s">
        <v>1863</v>
      </c>
      <c r="C565" s="364"/>
      <c r="D565" s="327">
        <f>IF($B565="","",COUNTIF($B$6:$B565,$B565))</f>
        <v>2</v>
      </c>
      <c r="E565" s="363" t="s">
        <v>2269</v>
      </c>
      <c r="F565" s="382" t="s">
        <v>695</v>
      </c>
      <c r="G565" s="327" t="s">
        <v>328</v>
      </c>
      <c r="H565" s="325"/>
      <c r="I565" s="327">
        <v>2</v>
      </c>
      <c r="J565" s="361" t="s">
        <v>80</v>
      </c>
      <c r="K565" s="327" t="s">
        <v>516</v>
      </c>
      <c r="L565" s="348">
        <f t="shared" si="53"/>
        <v>376320</v>
      </c>
      <c r="M565" s="355"/>
      <c r="N565" s="355" t="str">
        <f t="shared" si="40"/>
        <v>PR</v>
      </c>
      <c r="O565" s="345"/>
      <c r="P565" s="325"/>
      <c r="Q565" s="351"/>
      <c r="R565" s="351">
        <v>1.2</v>
      </c>
      <c r="S565" s="351">
        <v>6</v>
      </c>
      <c r="T565" s="351">
        <v>0.7466666666666667</v>
      </c>
      <c r="U565" s="329">
        <f>IF($N565=$N$4,IFERROR(INDEX(DanhMuc!$E$154:$E$165,MATCH(MID($B565,4,2),DanhMuc!$B$154:$B$165,0)),""),"")</f>
        <v>6000</v>
      </c>
      <c r="V565" s="325"/>
      <c r="W565" s="352" t="str">
        <f>+IF(AND($A565&lt;&gt;"",LEN($B565)&gt;=8,COUNTIF($B$6:$B565,$B565)=1),$W$5,"")</f>
        <v/>
      </c>
      <c r="X565" s="329" t="str">
        <f t="shared" si="51"/>
        <v>XW</v>
      </c>
      <c r="Y565" s="1128" t="s">
        <v>3380</v>
      </c>
      <c r="Z565" s="1128" t="s">
        <v>3381</v>
      </c>
      <c r="AA565" s="1128" t="s">
        <v>3384</v>
      </c>
      <c r="AC565" s="73"/>
    </row>
    <row r="566" spans="1:29" s="20" customFormat="1">
      <c r="A566" s="327" t="str">
        <f>IF(AND($B566&lt;&gt;"",$C566&lt;&gt;""),MAX($A$4:A565)+1,"")</f>
        <v/>
      </c>
      <c r="B566" s="361" t="s">
        <v>1863</v>
      </c>
      <c r="C566" s="364"/>
      <c r="D566" s="327">
        <f>IF($B566="","",COUNTIF($B$6:$B566,$B566))</f>
        <v>3</v>
      </c>
      <c r="E566" s="361" t="s">
        <v>2270</v>
      </c>
      <c r="F566" s="362" t="s">
        <v>696</v>
      </c>
      <c r="G566" s="327" t="s">
        <v>329</v>
      </c>
      <c r="H566" s="325"/>
      <c r="I566" s="327">
        <v>2</v>
      </c>
      <c r="J566" s="361" t="s">
        <v>697</v>
      </c>
      <c r="K566" s="327" t="s">
        <v>516</v>
      </c>
      <c r="L566" s="348">
        <f t="shared" si="53"/>
        <v>470399.99999999988</v>
      </c>
      <c r="M566" s="355"/>
      <c r="N566" s="355" t="str">
        <f t="shared" si="40"/>
        <v>PR</v>
      </c>
      <c r="O566" s="345"/>
      <c r="P566" s="325"/>
      <c r="Q566" s="351"/>
      <c r="R566" s="351">
        <v>1.2</v>
      </c>
      <c r="S566" s="351">
        <v>6</v>
      </c>
      <c r="T566" s="351">
        <v>0.93333333333333324</v>
      </c>
      <c r="U566" s="329">
        <f>IF($N566=$N$4,IFERROR(INDEX(DanhMuc!$E$154:$E$165,MATCH(MID($B566,4,2),DanhMuc!$B$154:$B$165,0)),""),"")</f>
        <v>6000</v>
      </c>
      <c r="V566" s="325"/>
      <c r="W566" s="352" t="str">
        <f>+IF(AND($A566&lt;&gt;"",LEN($B566)&gt;=8,COUNTIF($B$6:$B566,$B566)=1),$W$5,"")</f>
        <v/>
      </c>
      <c r="X566" s="329" t="str">
        <f t="shared" si="51"/>
        <v>XW</v>
      </c>
      <c r="Y566" s="1128" t="s">
        <v>3380</v>
      </c>
      <c r="Z566" s="1128" t="s">
        <v>3381</v>
      </c>
      <c r="AA566" s="1128" t="s">
        <v>3384</v>
      </c>
      <c r="AC566" s="73"/>
    </row>
    <row r="567" spans="1:29" s="20" customFormat="1">
      <c r="A567" s="327" t="str">
        <f>IF(AND($B567&lt;&gt;"",$C567&lt;&gt;""),MAX($A$4:A566)+1,"")</f>
        <v/>
      </c>
      <c r="B567" s="361" t="s">
        <v>1863</v>
      </c>
      <c r="C567" s="364"/>
      <c r="D567" s="327">
        <f>IF($B567="","",COUNTIF($B$6:$B567,$B567))</f>
        <v>4</v>
      </c>
      <c r="E567" s="361" t="s">
        <v>2270</v>
      </c>
      <c r="F567" s="362" t="s">
        <v>696</v>
      </c>
      <c r="G567" s="327" t="s">
        <v>328</v>
      </c>
      <c r="H567" s="325"/>
      <c r="I567" s="327">
        <v>2</v>
      </c>
      <c r="J567" s="361" t="s">
        <v>698</v>
      </c>
      <c r="K567" s="327" t="s">
        <v>516</v>
      </c>
      <c r="L567" s="348">
        <f t="shared" si="53"/>
        <v>470399.99999999988</v>
      </c>
      <c r="M567" s="355"/>
      <c r="N567" s="355" t="str">
        <f t="shared" si="40"/>
        <v>PR</v>
      </c>
      <c r="O567" s="345"/>
      <c r="P567" s="325"/>
      <c r="Q567" s="351"/>
      <c r="R567" s="351">
        <v>1.2</v>
      </c>
      <c r="S567" s="351">
        <v>6</v>
      </c>
      <c r="T567" s="351">
        <v>0.93333333333333324</v>
      </c>
      <c r="U567" s="329">
        <f>IF($N567=$N$4,IFERROR(INDEX(DanhMuc!$E$154:$E$165,MATCH(MID($B567,4,2),DanhMuc!$B$154:$B$165,0)),""),"")</f>
        <v>6000</v>
      </c>
      <c r="V567" s="325"/>
      <c r="W567" s="352" t="str">
        <f>+IF(AND($A567&lt;&gt;"",LEN($B567)&gt;=8,COUNTIF($B$6:$B567,$B567)=1),$W$5,"")</f>
        <v/>
      </c>
      <c r="X567" s="329" t="str">
        <f t="shared" si="51"/>
        <v>XW</v>
      </c>
      <c r="Y567" s="1128" t="s">
        <v>3380</v>
      </c>
      <c r="Z567" s="1128" t="s">
        <v>3381</v>
      </c>
      <c r="AA567" s="1128" t="s">
        <v>3384</v>
      </c>
      <c r="AC567" s="73"/>
    </row>
    <row r="568" spans="1:29" s="20" customFormat="1">
      <c r="A568" s="327" t="str">
        <f>IF(AND($B568&lt;&gt;"",$C568&lt;&gt;""),MAX($A$4:A567)+1,"")</f>
        <v/>
      </c>
      <c r="B568" s="361" t="s">
        <v>1863</v>
      </c>
      <c r="C568" s="364"/>
      <c r="D568" s="327">
        <f>IF($B568="","",COUNTIF($B$6:$B568,$B568))</f>
        <v>5</v>
      </c>
      <c r="E568" s="361" t="s">
        <v>2244</v>
      </c>
      <c r="F568" s="362" t="s">
        <v>346</v>
      </c>
      <c r="G568" s="327" t="s">
        <v>329</v>
      </c>
      <c r="H568" s="325"/>
      <c r="I568" s="327">
        <v>2</v>
      </c>
      <c r="J568" s="361" t="s">
        <v>701</v>
      </c>
      <c r="K568" s="327" t="s">
        <v>531</v>
      </c>
      <c r="L568" s="348">
        <f t="shared" si="53"/>
        <v>142800</v>
      </c>
      <c r="M568" s="355"/>
      <c r="N568" s="355" t="str">
        <f t="shared" si="40"/>
        <v>PR</v>
      </c>
      <c r="O568" s="347">
        <v>10</v>
      </c>
      <c r="P568" s="325"/>
      <c r="Q568" s="351"/>
      <c r="R568" s="351">
        <v>1.2</v>
      </c>
      <c r="S568" s="351">
        <v>6</v>
      </c>
      <c r="T568" s="351">
        <v>0.28333333333333333</v>
      </c>
      <c r="U568" s="329">
        <f>IF($N568=$N$4,IFERROR(INDEX(DanhMuc!$E$154:$E$165,MATCH(MID($B568,4,2),DanhMuc!$B$154:$B$165,0)),""),"")</f>
        <v>6000</v>
      </c>
      <c r="V568" s="325"/>
      <c r="W568" s="352" t="str">
        <f>+IF(AND($A568&lt;&gt;"",LEN($B568)&gt;=8,COUNTIF($B$6:$B568,$B568)=1),$W$5,"")</f>
        <v/>
      </c>
      <c r="X568" s="329" t="str">
        <f t="shared" si="51"/>
        <v>XW</v>
      </c>
      <c r="Y568" s="1128" t="s">
        <v>3380</v>
      </c>
      <c r="Z568" s="1128" t="s">
        <v>3381</v>
      </c>
      <c r="AA568" s="1128" t="s">
        <v>3384</v>
      </c>
      <c r="AC568" s="73"/>
    </row>
    <row r="569" spans="1:29" s="20" customFormat="1">
      <c r="A569" s="327" t="str">
        <f>IF(AND($B569&lt;&gt;"",$C569&lt;&gt;""),MAX($A$4:A568)+1,"")</f>
        <v/>
      </c>
      <c r="B569" s="361" t="s">
        <v>1863</v>
      </c>
      <c r="C569" s="364"/>
      <c r="D569" s="327">
        <f>IF($B569="","",COUNTIF($B$6:$B569,$B569))</f>
        <v>6</v>
      </c>
      <c r="E569" s="361" t="s">
        <v>2244</v>
      </c>
      <c r="F569" s="362" t="s">
        <v>346</v>
      </c>
      <c r="G569" s="327" t="s">
        <v>328</v>
      </c>
      <c r="H569" s="325"/>
      <c r="I569" s="327">
        <v>2</v>
      </c>
      <c r="J569" s="361" t="s">
        <v>702</v>
      </c>
      <c r="K569" s="327" t="s">
        <v>531</v>
      </c>
      <c r="L569" s="348">
        <f t="shared" si="53"/>
        <v>142800</v>
      </c>
      <c r="M569" s="355"/>
      <c r="N569" s="355" t="str">
        <f t="shared" si="40"/>
        <v>PR</v>
      </c>
      <c r="O569" s="347">
        <v>10</v>
      </c>
      <c r="P569" s="325"/>
      <c r="Q569" s="351"/>
      <c r="R569" s="351">
        <v>1.2</v>
      </c>
      <c r="S569" s="351">
        <v>6</v>
      </c>
      <c r="T569" s="351">
        <v>0.28333333333333333</v>
      </c>
      <c r="U569" s="329">
        <f>IF($N569=$N$4,IFERROR(INDEX(DanhMuc!$E$154:$E$165,MATCH(MID($B569,4,2),DanhMuc!$B$154:$B$165,0)),""),"")</f>
        <v>6000</v>
      </c>
      <c r="V569" s="325"/>
      <c r="W569" s="352" t="str">
        <f>+IF(AND($A569&lt;&gt;"",LEN($B569)&gt;=8,COUNTIF($B$6:$B569,$B569)=1),$W$5,"")</f>
        <v/>
      </c>
      <c r="X569" s="329" t="str">
        <f t="shared" si="51"/>
        <v>XW</v>
      </c>
      <c r="Y569" s="1128" t="s">
        <v>3380</v>
      </c>
      <c r="Z569" s="1128" t="s">
        <v>3381</v>
      </c>
      <c r="AA569" s="1128" t="s">
        <v>3384</v>
      </c>
      <c r="AC569" s="73"/>
    </row>
    <row r="570" spans="1:29" s="20" customFormat="1">
      <c r="A570" s="327" t="str">
        <f>IF(AND($B570&lt;&gt;"",$C570&lt;&gt;""),MAX($A$4:A569)+1,"")</f>
        <v/>
      </c>
      <c r="B570" s="361" t="s">
        <v>1863</v>
      </c>
      <c r="C570" s="364"/>
      <c r="D570" s="327">
        <f>IF($B570="","",COUNTIF($B$6:$B570,$B570))</f>
        <v>7</v>
      </c>
      <c r="E570" s="361" t="s">
        <v>2245</v>
      </c>
      <c r="F570" s="362" t="s">
        <v>386</v>
      </c>
      <c r="G570" s="327" t="s">
        <v>329</v>
      </c>
      <c r="H570" s="325"/>
      <c r="I570" s="327">
        <v>2</v>
      </c>
      <c r="J570" s="361" t="s">
        <v>701</v>
      </c>
      <c r="K570" s="327" t="s">
        <v>531</v>
      </c>
      <c r="L570" s="348">
        <f t="shared" si="53"/>
        <v>0</v>
      </c>
      <c r="M570" s="355"/>
      <c r="N570" s="355" t="str">
        <f t="shared" si="40"/>
        <v>PR</v>
      </c>
      <c r="O570" s="347">
        <v>19</v>
      </c>
      <c r="P570" s="325"/>
      <c r="Q570" s="351"/>
      <c r="R570" s="351">
        <v>1.2</v>
      </c>
      <c r="S570" s="351">
        <v>6</v>
      </c>
      <c r="T570" s="351">
        <v>0</v>
      </c>
      <c r="U570" s="329">
        <f>IF($N570=$N$4,IFERROR(INDEX(DanhMuc!$E$154:$E$165,MATCH(MID($B570,4,2),DanhMuc!$B$154:$B$165,0)),""),"")</f>
        <v>6000</v>
      </c>
      <c r="V570" s="325"/>
      <c r="W570" s="352" t="str">
        <f>+IF(AND($A570&lt;&gt;"",LEN($B570)&gt;=8,COUNTIF($B$6:$B570,$B570)=1),$W$5,"")</f>
        <v/>
      </c>
      <c r="X570" s="329" t="str">
        <f t="shared" si="51"/>
        <v>XW</v>
      </c>
      <c r="Y570" s="1128" t="s">
        <v>3380</v>
      </c>
      <c r="Z570" s="1128" t="s">
        <v>3381</v>
      </c>
      <c r="AA570" s="1128" t="s">
        <v>3384</v>
      </c>
      <c r="AC570" s="73"/>
    </row>
    <row r="571" spans="1:29" s="20" customFormat="1">
      <c r="A571" s="327" t="str">
        <f>IF(AND($B571&lt;&gt;"",$C571&lt;&gt;""),MAX($A$4:A570)+1,"")</f>
        <v/>
      </c>
      <c r="B571" s="361" t="s">
        <v>1863</v>
      </c>
      <c r="C571" s="364"/>
      <c r="D571" s="327">
        <f>IF($B571="","",COUNTIF($B$6:$B571,$B571))</f>
        <v>8</v>
      </c>
      <c r="E571" s="361" t="s">
        <v>2245</v>
      </c>
      <c r="F571" s="362" t="s">
        <v>386</v>
      </c>
      <c r="G571" s="327" t="s">
        <v>328</v>
      </c>
      <c r="H571" s="325"/>
      <c r="I571" s="327">
        <v>2</v>
      </c>
      <c r="J571" s="361" t="s">
        <v>702</v>
      </c>
      <c r="K571" s="327" t="s">
        <v>531</v>
      </c>
      <c r="L571" s="348">
        <f t="shared" si="53"/>
        <v>0</v>
      </c>
      <c r="M571" s="355"/>
      <c r="N571" s="355" t="str">
        <f t="shared" si="40"/>
        <v>PR</v>
      </c>
      <c r="O571" s="347">
        <v>19</v>
      </c>
      <c r="P571" s="325"/>
      <c r="Q571" s="351"/>
      <c r="R571" s="351">
        <v>1.2</v>
      </c>
      <c r="S571" s="351">
        <v>6</v>
      </c>
      <c r="T571" s="351">
        <v>0</v>
      </c>
      <c r="U571" s="329">
        <f>IF($N571=$N$4,IFERROR(INDEX(DanhMuc!$E$154:$E$165,MATCH(MID($B571,4,2),DanhMuc!$B$154:$B$165,0)),""),"")</f>
        <v>6000</v>
      </c>
      <c r="V571" s="325"/>
      <c r="W571" s="352" t="str">
        <f>+IF(AND($A571&lt;&gt;"",LEN($B571)&gt;=8,COUNTIF($B$6:$B571,$B571)=1),$W$5,"")</f>
        <v/>
      </c>
      <c r="X571" s="329" t="str">
        <f t="shared" si="51"/>
        <v>XW</v>
      </c>
      <c r="Y571" s="1128" t="s">
        <v>3380</v>
      </c>
      <c r="Z571" s="1128" t="s">
        <v>3381</v>
      </c>
      <c r="AA571" s="1128" t="s">
        <v>3384</v>
      </c>
      <c r="AC571" s="73"/>
    </row>
    <row r="572" spans="1:29" s="20" customFormat="1">
      <c r="A572" s="327" t="str">
        <f>IF(AND($B572&lt;&gt;"",$C572&lt;&gt;""),MAX($A$4:A571)+1,"")</f>
        <v/>
      </c>
      <c r="B572" s="361" t="s">
        <v>1863</v>
      </c>
      <c r="C572" s="364"/>
      <c r="D572" s="327">
        <f>IF($B572="","",COUNTIF($B$6:$B572,$B572))</f>
        <v>9</v>
      </c>
      <c r="E572" s="361" t="s">
        <v>2246</v>
      </c>
      <c r="F572" s="362" t="s">
        <v>631</v>
      </c>
      <c r="G572" s="327" t="s">
        <v>329</v>
      </c>
      <c r="H572" s="325"/>
      <c r="I572" s="327">
        <v>2</v>
      </c>
      <c r="J572" s="361" t="s">
        <v>701</v>
      </c>
      <c r="K572" s="327" t="s">
        <v>531</v>
      </c>
      <c r="L572" s="348">
        <f t="shared" si="53"/>
        <v>117599.99999999997</v>
      </c>
      <c r="M572" s="355"/>
      <c r="N572" s="355" t="str">
        <f t="shared" si="40"/>
        <v>PR</v>
      </c>
      <c r="O572" s="347">
        <v>20</v>
      </c>
      <c r="P572" s="325"/>
      <c r="Q572" s="351"/>
      <c r="R572" s="351">
        <v>1.2</v>
      </c>
      <c r="S572" s="351">
        <v>6</v>
      </c>
      <c r="T572" s="351">
        <v>0.23333333333333331</v>
      </c>
      <c r="U572" s="329">
        <f>IF($N572=$N$4,IFERROR(INDEX(DanhMuc!$E$154:$E$165,MATCH(MID($B572,4,2),DanhMuc!$B$154:$B$165,0)),""),"")</f>
        <v>6000</v>
      </c>
      <c r="V572" s="325"/>
      <c r="W572" s="352" t="str">
        <f>+IF(AND($A572&lt;&gt;"",LEN($B572)&gt;=8,COUNTIF($B$6:$B572,$B572)=1),$W$5,"")</f>
        <v/>
      </c>
      <c r="X572" s="329" t="str">
        <f t="shared" si="51"/>
        <v>XW</v>
      </c>
      <c r="Y572" s="1128" t="s">
        <v>3380</v>
      </c>
      <c r="Z572" s="1128" t="s">
        <v>3381</v>
      </c>
      <c r="AA572" s="1128" t="s">
        <v>3384</v>
      </c>
      <c r="AC572" s="73"/>
    </row>
    <row r="573" spans="1:29" s="20" customFormat="1">
      <c r="A573" s="327" t="str">
        <f>IF(AND($B573&lt;&gt;"",$C573&lt;&gt;""),MAX($A$4:A572)+1,"")</f>
        <v/>
      </c>
      <c r="B573" s="361" t="s">
        <v>1863</v>
      </c>
      <c r="C573" s="364"/>
      <c r="D573" s="327">
        <f>IF($B573="","",COUNTIF($B$6:$B573,$B573))</f>
        <v>10</v>
      </c>
      <c r="E573" s="361" t="s">
        <v>2246</v>
      </c>
      <c r="F573" s="362" t="s">
        <v>631</v>
      </c>
      <c r="G573" s="327" t="s">
        <v>328</v>
      </c>
      <c r="H573" s="325"/>
      <c r="I573" s="327">
        <v>2</v>
      </c>
      <c r="J573" s="361" t="s">
        <v>702</v>
      </c>
      <c r="K573" s="327" t="s">
        <v>531</v>
      </c>
      <c r="L573" s="348">
        <f t="shared" si="53"/>
        <v>117599.99999999997</v>
      </c>
      <c r="M573" s="355"/>
      <c r="N573" s="355" t="str">
        <f t="shared" si="40"/>
        <v>PR</v>
      </c>
      <c r="O573" s="347">
        <v>20</v>
      </c>
      <c r="P573" s="325"/>
      <c r="Q573" s="351"/>
      <c r="R573" s="351">
        <v>1.2</v>
      </c>
      <c r="S573" s="351">
        <v>6</v>
      </c>
      <c r="T573" s="351">
        <v>0.23333333333333331</v>
      </c>
      <c r="U573" s="329">
        <f>IF($N573=$N$4,IFERROR(INDEX(DanhMuc!$E$154:$E$165,MATCH(MID($B573,4,2),DanhMuc!$B$154:$B$165,0)),""),"")</f>
        <v>6000</v>
      </c>
      <c r="V573" s="325"/>
      <c r="W573" s="352" t="str">
        <f>+IF(AND($A573&lt;&gt;"",LEN($B573)&gt;=8,COUNTIF($B$6:$B573,$B573)=1),$W$5,"")</f>
        <v/>
      </c>
      <c r="X573" s="329" t="str">
        <f t="shared" si="51"/>
        <v>XW</v>
      </c>
      <c r="Y573" s="1128" t="s">
        <v>3380</v>
      </c>
      <c r="Z573" s="1128" t="s">
        <v>3381</v>
      </c>
      <c r="AA573" s="1128" t="s">
        <v>3384</v>
      </c>
      <c r="AC573" s="73"/>
    </row>
    <row r="574" spans="1:29" s="20" customFormat="1" ht="39">
      <c r="A574" s="327">
        <f>IF(AND($B574&lt;&gt;"",$C574&lt;&gt;""),MAX($A$4:A573)+1,"")</f>
        <v>49</v>
      </c>
      <c r="B574" s="359" t="s">
        <v>1864</v>
      </c>
      <c r="C574" s="360" t="s">
        <v>1891</v>
      </c>
      <c r="D574" s="327">
        <f>IF($B574="","",COUNTIF($B$6:$B574,$B574))</f>
        <v>1</v>
      </c>
      <c r="E574" s="363" t="s">
        <v>2269</v>
      </c>
      <c r="F574" s="382" t="s">
        <v>695</v>
      </c>
      <c r="G574" s="327" t="s">
        <v>329</v>
      </c>
      <c r="H574" s="325"/>
      <c r="I574" s="327">
        <v>2</v>
      </c>
      <c r="J574" s="361" t="s">
        <v>81</v>
      </c>
      <c r="K574" s="327" t="s">
        <v>516</v>
      </c>
      <c r="L574" s="348">
        <f t="shared" si="53"/>
        <v>376320</v>
      </c>
      <c r="M574" s="355"/>
      <c r="N574" s="355" t="str">
        <f t="shared" si="40"/>
        <v>PR</v>
      </c>
      <c r="O574" s="345"/>
      <c r="P574" s="325"/>
      <c r="Q574" s="351"/>
      <c r="R574" s="351">
        <v>1.2</v>
      </c>
      <c r="S574" s="351">
        <v>6</v>
      </c>
      <c r="T574" s="351">
        <v>0.7466666666666667</v>
      </c>
      <c r="U574" s="329">
        <f>IF($N574=$N$4,IFERROR(INDEX(DanhMuc!$E$154:$E$165,MATCH(MID($B574,4,2),DanhMuc!$B$154:$B$165,0)),""),"")</f>
        <v>6000</v>
      </c>
      <c r="V574" s="325"/>
      <c r="W574" s="352" t="str">
        <f>+IF(AND($A574&lt;&gt;"",LEN($B574)&gt;=8,COUNTIF($B$6:$B574,$B574)=1),$W$5,"")</f>
        <v>DMCua</v>
      </c>
      <c r="X574" s="329" t="str">
        <f t="shared" si="51"/>
        <v>XW</v>
      </c>
      <c r="Y574" s="1128" t="s">
        <v>3380</v>
      </c>
      <c r="Z574" s="1128" t="s">
        <v>3381</v>
      </c>
      <c r="AA574" s="1128" t="s">
        <v>3384</v>
      </c>
      <c r="AC574" s="73"/>
    </row>
    <row r="575" spans="1:29" s="20" customFormat="1">
      <c r="A575" s="327" t="str">
        <f>IF(AND($B575&lt;&gt;"",$C575&lt;&gt;""),MAX($A$4:A574)+1,"")</f>
        <v/>
      </c>
      <c r="B575" s="361" t="s">
        <v>1864</v>
      </c>
      <c r="C575" s="364"/>
      <c r="D575" s="327">
        <f>IF($B575="","",COUNTIF($B$6:$B575,$B575))</f>
        <v>2</v>
      </c>
      <c r="E575" s="363" t="s">
        <v>2269</v>
      </c>
      <c r="F575" s="382" t="s">
        <v>695</v>
      </c>
      <c r="G575" s="327" t="s">
        <v>328</v>
      </c>
      <c r="H575" s="325"/>
      <c r="I575" s="327">
        <v>2</v>
      </c>
      <c r="J575" s="361" t="s">
        <v>80</v>
      </c>
      <c r="K575" s="327" t="s">
        <v>516</v>
      </c>
      <c r="L575" s="348">
        <f t="shared" si="53"/>
        <v>376320</v>
      </c>
      <c r="M575" s="355"/>
      <c r="N575" s="355" t="str">
        <f t="shared" si="40"/>
        <v>PR</v>
      </c>
      <c r="O575" s="345"/>
      <c r="P575" s="325"/>
      <c r="Q575" s="351"/>
      <c r="R575" s="351">
        <v>1.2</v>
      </c>
      <c r="S575" s="351">
        <v>6</v>
      </c>
      <c r="T575" s="351">
        <v>0.7466666666666667</v>
      </c>
      <c r="U575" s="329">
        <f>IF($N575=$N$4,IFERROR(INDEX(DanhMuc!$E$154:$E$165,MATCH(MID($B575,4,2),DanhMuc!$B$154:$B$165,0)),""),"")</f>
        <v>6000</v>
      </c>
      <c r="V575" s="325"/>
      <c r="W575" s="352" t="str">
        <f>+IF(AND($A575&lt;&gt;"",LEN($B575)&gt;=8,COUNTIF($B$6:$B575,$B575)=1),$W$5,"")</f>
        <v/>
      </c>
      <c r="X575" s="329" t="str">
        <f t="shared" si="51"/>
        <v>XW</v>
      </c>
      <c r="Y575" s="1128" t="s">
        <v>3380</v>
      </c>
      <c r="Z575" s="1128" t="s">
        <v>3381</v>
      </c>
      <c r="AA575" s="1128" t="s">
        <v>3384</v>
      </c>
      <c r="AC575" s="73"/>
    </row>
    <row r="576" spans="1:29" s="20" customFormat="1">
      <c r="A576" s="327" t="str">
        <f>IF(AND($B576&lt;&gt;"",$C576&lt;&gt;""),MAX($A$4:A575)+1,"")</f>
        <v/>
      </c>
      <c r="B576" s="361" t="s">
        <v>1864</v>
      </c>
      <c r="C576" s="364"/>
      <c r="D576" s="327">
        <f>IF($B576="","",COUNTIF($B$6:$B576,$B576))</f>
        <v>3</v>
      </c>
      <c r="E576" s="361" t="s">
        <v>2270</v>
      </c>
      <c r="F576" s="362" t="s">
        <v>696</v>
      </c>
      <c r="G576" s="327" t="s">
        <v>329</v>
      </c>
      <c r="H576" s="325"/>
      <c r="I576" s="327">
        <v>4</v>
      </c>
      <c r="J576" s="361" t="s">
        <v>706</v>
      </c>
      <c r="K576" s="327" t="s">
        <v>516</v>
      </c>
      <c r="L576" s="348">
        <f t="shared" si="53"/>
        <v>470399.99999999988</v>
      </c>
      <c r="M576" s="355"/>
      <c r="N576" s="355" t="str">
        <f t="shared" si="40"/>
        <v>PR</v>
      </c>
      <c r="O576" s="345"/>
      <c r="P576" s="325"/>
      <c r="Q576" s="351"/>
      <c r="R576" s="351">
        <v>1.2</v>
      </c>
      <c r="S576" s="351">
        <v>6</v>
      </c>
      <c r="T576" s="351">
        <v>0.93333333333333324</v>
      </c>
      <c r="U576" s="329">
        <f>IF($N576=$N$4,IFERROR(INDEX(DanhMuc!$E$154:$E$165,MATCH(MID($B576,4,2),DanhMuc!$B$154:$B$165,0)),""),"")</f>
        <v>6000</v>
      </c>
      <c r="V576" s="325"/>
      <c r="W576" s="352" t="str">
        <f>+IF(AND($A576&lt;&gt;"",LEN($B576)&gt;=8,COUNTIF($B$6:$B576,$B576)=1),$W$5,"")</f>
        <v/>
      </c>
      <c r="X576" s="329" t="str">
        <f t="shared" si="51"/>
        <v>XW</v>
      </c>
      <c r="Y576" s="1128" t="s">
        <v>3380</v>
      </c>
      <c r="Z576" s="1128" t="s">
        <v>3381</v>
      </c>
      <c r="AA576" s="1128" t="s">
        <v>3384</v>
      </c>
      <c r="AC576" s="73"/>
    </row>
    <row r="577" spans="1:29" s="20" customFormat="1">
      <c r="A577" s="327" t="str">
        <f>IF(AND($B577&lt;&gt;"",$C577&lt;&gt;""),MAX($A$4:A576)+1,"")</f>
        <v/>
      </c>
      <c r="B577" s="361" t="s">
        <v>1864</v>
      </c>
      <c r="C577" s="364"/>
      <c r="D577" s="327">
        <f>IF($B577="","",COUNTIF($B$6:$B577,$B577))</f>
        <v>4</v>
      </c>
      <c r="E577" s="361" t="s">
        <v>2270</v>
      </c>
      <c r="F577" s="362" t="s">
        <v>696</v>
      </c>
      <c r="G577" s="327" t="s">
        <v>328</v>
      </c>
      <c r="H577" s="325"/>
      <c r="I577" s="327">
        <v>4</v>
      </c>
      <c r="J577" s="361" t="s">
        <v>698</v>
      </c>
      <c r="K577" s="327" t="s">
        <v>516</v>
      </c>
      <c r="L577" s="348">
        <f t="shared" si="53"/>
        <v>470399.99999999988</v>
      </c>
      <c r="M577" s="355"/>
      <c r="N577" s="355" t="str">
        <f t="shared" si="40"/>
        <v>PR</v>
      </c>
      <c r="O577" s="345"/>
      <c r="P577" s="325"/>
      <c r="Q577" s="351"/>
      <c r="R577" s="351">
        <v>1.2</v>
      </c>
      <c r="S577" s="351">
        <v>6</v>
      </c>
      <c r="T577" s="351">
        <v>0.93333333333333324</v>
      </c>
      <c r="U577" s="329">
        <f>IF($N577=$N$4,IFERROR(INDEX(DanhMuc!$E$154:$E$165,MATCH(MID($B577,4,2),DanhMuc!$B$154:$B$165,0)),""),"")</f>
        <v>6000</v>
      </c>
      <c r="V577" s="325"/>
      <c r="W577" s="352" t="str">
        <f>+IF(AND($A577&lt;&gt;"",LEN($B577)&gt;=8,COUNTIF($B$6:$B577,$B577)=1),$W$5,"")</f>
        <v/>
      </c>
      <c r="X577" s="329" t="str">
        <f t="shared" si="51"/>
        <v>XW</v>
      </c>
      <c r="Y577" s="1128" t="s">
        <v>3380</v>
      </c>
      <c r="Z577" s="1128" t="s">
        <v>3381</v>
      </c>
      <c r="AA577" s="1128" t="s">
        <v>3384</v>
      </c>
      <c r="AC577" s="73"/>
    </row>
    <row r="578" spans="1:29" s="20" customFormat="1">
      <c r="A578" s="327" t="str">
        <f>IF(AND($B578&lt;&gt;"",$C578&lt;&gt;""),MAX($A$4:A577)+1,"")</f>
        <v/>
      </c>
      <c r="B578" s="361" t="s">
        <v>1864</v>
      </c>
      <c r="C578" s="364"/>
      <c r="D578" s="327">
        <f>IF($B578="","",COUNTIF($B$6:$B578,$B578))</f>
        <v>5</v>
      </c>
      <c r="E578" s="361" t="s">
        <v>2247</v>
      </c>
      <c r="F578" s="362" t="s">
        <v>1905</v>
      </c>
      <c r="G578" s="327" t="s">
        <v>328</v>
      </c>
      <c r="H578" s="325"/>
      <c r="I578" s="327">
        <v>1</v>
      </c>
      <c r="J578" s="361" t="s">
        <v>704</v>
      </c>
      <c r="K578" s="327" t="s">
        <v>531</v>
      </c>
      <c r="L578" s="348">
        <f t="shared" si="53"/>
        <v>397320.00000000012</v>
      </c>
      <c r="M578" s="355"/>
      <c r="N578" s="355" t="str">
        <f t="shared" si="40"/>
        <v>PR</v>
      </c>
      <c r="O578" s="345"/>
      <c r="P578" s="325"/>
      <c r="Q578" s="351"/>
      <c r="R578" s="351">
        <v>1.2</v>
      </c>
      <c r="S578" s="351">
        <v>6</v>
      </c>
      <c r="T578" s="351">
        <v>0.78833333333333344</v>
      </c>
      <c r="U578" s="329">
        <f>IF($N578=$N$4,IFERROR(INDEX(DanhMuc!$E$154:$E$165,MATCH(MID($B578,4,2),DanhMuc!$B$154:$B$165,0)),""),"")</f>
        <v>6000</v>
      </c>
      <c r="V578" s="325"/>
      <c r="W578" s="352" t="str">
        <f>+IF(AND($A578&lt;&gt;"",LEN($B578)&gt;=8,COUNTIF($B$6:$B578,$B578)=1),$W$5,"")</f>
        <v/>
      </c>
      <c r="X578" s="329" t="str">
        <f t="shared" si="51"/>
        <v>XW</v>
      </c>
      <c r="Y578" s="1128" t="s">
        <v>3380</v>
      </c>
      <c r="Z578" s="1128" t="s">
        <v>3381</v>
      </c>
      <c r="AA578" s="1128" t="s">
        <v>3384</v>
      </c>
      <c r="AC578" s="73"/>
    </row>
    <row r="579" spans="1:29" s="20" customFormat="1">
      <c r="A579" s="327" t="str">
        <f>IF(AND($B579&lt;&gt;"",$C579&lt;&gt;""),MAX($A$4:A578)+1,"")</f>
        <v/>
      </c>
      <c r="B579" s="361" t="s">
        <v>1864</v>
      </c>
      <c r="C579" s="364"/>
      <c r="D579" s="327">
        <f>IF($B579="","",COUNTIF($B$6:$B579,$B579))</f>
        <v>6</v>
      </c>
      <c r="E579" s="361" t="s">
        <v>2244</v>
      </c>
      <c r="F579" s="362" t="s">
        <v>346</v>
      </c>
      <c r="G579" s="327" t="s">
        <v>329</v>
      </c>
      <c r="H579" s="325"/>
      <c r="I579" s="327">
        <v>4</v>
      </c>
      <c r="J579" s="361" t="s">
        <v>708</v>
      </c>
      <c r="K579" s="327" t="s">
        <v>531</v>
      </c>
      <c r="L579" s="348">
        <f t="shared" si="53"/>
        <v>142800</v>
      </c>
      <c r="M579" s="355"/>
      <c r="N579" s="355" t="str">
        <f t="shared" si="40"/>
        <v>PR</v>
      </c>
      <c r="O579" s="347">
        <v>10</v>
      </c>
      <c r="P579" s="325"/>
      <c r="Q579" s="351"/>
      <c r="R579" s="351">
        <v>1.2</v>
      </c>
      <c r="S579" s="351">
        <v>6</v>
      </c>
      <c r="T579" s="351">
        <v>0.28333333333333333</v>
      </c>
      <c r="U579" s="329">
        <f>IF($N579=$N$4,IFERROR(INDEX(DanhMuc!$E$154:$E$165,MATCH(MID($B579,4,2),DanhMuc!$B$154:$B$165,0)),""),"")</f>
        <v>6000</v>
      </c>
      <c r="V579" s="325"/>
      <c r="W579" s="352" t="str">
        <f>+IF(AND($A579&lt;&gt;"",LEN($B579)&gt;=8,COUNTIF($B$6:$B579,$B579)=1),$W$5,"")</f>
        <v/>
      </c>
      <c r="X579" s="329" t="str">
        <f t="shared" si="51"/>
        <v>XW</v>
      </c>
      <c r="Y579" s="1128" t="s">
        <v>3380</v>
      </c>
      <c r="Z579" s="1128" t="s">
        <v>3381</v>
      </c>
      <c r="AA579" s="1128" t="s">
        <v>3384</v>
      </c>
      <c r="AC579" s="73"/>
    </row>
    <row r="580" spans="1:29" s="20" customFormat="1">
      <c r="A580" s="327" t="str">
        <f>IF(AND($B580&lt;&gt;"",$C580&lt;&gt;""),MAX($A$4:A579)+1,"")</f>
        <v/>
      </c>
      <c r="B580" s="361" t="s">
        <v>1864</v>
      </c>
      <c r="C580" s="364"/>
      <c r="D580" s="327">
        <f>IF($B580="","",COUNTIF($B$6:$B580,$B580))</f>
        <v>7</v>
      </c>
      <c r="E580" s="361" t="s">
        <v>2244</v>
      </c>
      <c r="F580" s="362" t="s">
        <v>346</v>
      </c>
      <c r="G580" s="327" t="s">
        <v>328</v>
      </c>
      <c r="H580" s="325"/>
      <c r="I580" s="327">
        <v>4</v>
      </c>
      <c r="J580" s="361" t="s">
        <v>707</v>
      </c>
      <c r="K580" s="327" t="s">
        <v>531</v>
      </c>
      <c r="L580" s="348">
        <f t="shared" si="53"/>
        <v>142800</v>
      </c>
      <c r="M580" s="355"/>
      <c r="N580" s="355" t="str">
        <f t="shared" si="40"/>
        <v>PR</v>
      </c>
      <c r="O580" s="347">
        <v>10</v>
      </c>
      <c r="P580" s="325"/>
      <c r="Q580" s="351"/>
      <c r="R580" s="351">
        <v>1.2</v>
      </c>
      <c r="S580" s="351">
        <v>6</v>
      </c>
      <c r="T580" s="351">
        <v>0.28333333333333333</v>
      </c>
      <c r="U580" s="329">
        <f>IF($N580=$N$4,IFERROR(INDEX(DanhMuc!$E$154:$E$165,MATCH(MID($B580,4,2),DanhMuc!$B$154:$B$165,0)),""),"")</f>
        <v>6000</v>
      </c>
      <c r="V580" s="325"/>
      <c r="W580" s="352" t="str">
        <f>+IF(AND($A580&lt;&gt;"",LEN($B580)&gt;=8,COUNTIF($B$6:$B580,$B580)=1),$W$5,"")</f>
        <v/>
      </c>
      <c r="X580" s="329" t="str">
        <f t="shared" si="51"/>
        <v>XW</v>
      </c>
      <c r="Y580" s="1128" t="s">
        <v>3380</v>
      </c>
      <c r="Z580" s="1128" t="s">
        <v>3381</v>
      </c>
      <c r="AA580" s="1128" t="s">
        <v>3384</v>
      </c>
      <c r="AC580" s="73"/>
    </row>
    <row r="581" spans="1:29" s="20" customFormat="1">
      <c r="A581" s="327" t="str">
        <f>IF(AND($B581&lt;&gt;"",$C581&lt;&gt;""),MAX($A$4:A580)+1,"")</f>
        <v/>
      </c>
      <c r="B581" s="361" t="s">
        <v>1864</v>
      </c>
      <c r="C581" s="364"/>
      <c r="D581" s="327">
        <f>IF($B581="","",COUNTIF($B$6:$B581,$B581))</f>
        <v>8</v>
      </c>
      <c r="E581" s="361" t="s">
        <v>2245</v>
      </c>
      <c r="F581" s="362" t="s">
        <v>386</v>
      </c>
      <c r="G581" s="327" t="s">
        <v>329</v>
      </c>
      <c r="H581" s="325"/>
      <c r="I581" s="327">
        <v>4</v>
      </c>
      <c r="J581" s="361" t="s">
        <v>708</v>
      </c>
      <c r="K581" s="327" t="s">
        <v>531</v>
      </c>
      <c r="L581" s="348">
        <f t="shared" si="53"/>
        <v>0</v>
      </c>
      <c r="M581" s="355"/>
      <c r="N581" s="355" t="str">
        <f t="shared" si="40"/>
        <v>PR</v>
      </c>
      <c r="O581" s="347">
        <v>19</v>
      </c>
      <c r="P581" s="325"/>
      <c r="Q581" s="351"/>
      <c r="R581" s="351"/>
      <c r="S581" s="351">
        <v>6</v>
      </c>
      <c r="T581" s="351">
        <v>0</v>
      </c>
      <c r="U581" s="329">
        <f>IF($N581=$N$4,IFERROR(INDEX(DanhMuc!$E$154:$E$165,MATCH(MID($B581,4,2),DanhMuc!$B$154:$B$165,0)),""),"")</f>
        <v>6000</v>
      </c>
      <c r="V581" s="325"/>
      <c r="W581" s="352" t="str">
        <f>+IF(AND($A581&lt;&gt;"",LEN($B581)&gt;=8,COUNTIF($B$6:$B581,$B581)=1),$W$5,"")</f>
        <v/>
      </c>
      <c r="X581" s="329" t="str">
        <f t="shared" si="51"/>
        <v>XW</v>
      </c>
      <c r="Y581" s="1128" t="s">
        <v>3380</v>
      </c>
      <c r="Z581" s="1128" t="s">
        <v>3381</v>
      </c>
      <c r="AA581" s="1128" t="s">
        <v>3384</v>
      </c>
      <c r="AC581" s="73"/>
    </row>
    <row r="582" spans="1:29" s="20" customFormat="1">
      <c r="A582" s="327" t="str">
        <f>IF(AND($B582&lt;&gt;"",$C582&lt;&gt;""),MAX($A$4:A581)+1,"")</f>
        <v/>
      </c>
      <c r="B582" s="361" t="s">
        <v>1864</v>
      </c>
      <c r="C582" s="364"/>
      <c r="D582" s="327">
        <f>IF($B582="","",COUNTIF($B$6:$B582,$B582))</f>
        <v>9</v>
      </c>
      <c r="E582" s="361" t="s">
        <v>2245</v>
      </c>
      <c r="F582" s="362" t="s">
        <v>386</v>
      </c>
      <c r="G582" s="327" t="s">
        <v>328</v>
      </c>
      <c r="H582" s="325"/>
      <c r="I582" s="327">
        <v>4</v>
      </c>
      <c r="J582" s="361" t="s">
        <v>707</v>
      </c>
      <c r="K582" s="327" t="s">
        <v>531</v>
      </c>
      <c r="L582" s="348">
        <f t="shared" si="53"/>
        <v>0</v>
      </c>
      <c r="M582" s="355"/>
      <c r="N582" s="355" t="str">
        <f t="shared" si="40"/>
        <v>PR</v>
      </c>
      <c r="O582" s="347">
        <v>19</v>
      </c>
      <c r="P582" s="325"/>
      <c r="Q582" s="351"/>
      <c r="R582" s="351"/>
      <c r="S582" s="351">
        <v>6</v>
      </c>
      <c r="T582" s="351">
        <v>0</v>
      </c>
      <c r="U582" s="329">
        <f>IF($N582=$N$4,IFERROR(INDEX(DanhMuc!$E$154:$E$165,MATCH(MID($B582,4,2),DanhMuc!$B$154:$B$165,0)),""),"")</f>
        <v>6000</v>
      </c>
      <c r="V582" s="325"/>
      <c r="W582" s="352" t="str">
        <f>+IF(AND($A582&lt;&gt;"",LEN($B582)&gt;=8,COUNTIF($B$6:$B582,$B582)=1),$W$5,"")</f>
        <v/>
      </c>
      <c r="X582" s="329" t="str">
        <f t="shared" si="51"/>
        <v>XW</v>
      </c>
      <c r="Y582" s="1128" t="s">
        <v>3380</v>
      </c>
      <c r="Z582" s="1128" t="s">
        <v>3381</v>
      </c>
      <c r="AA582" s="1128" t="s">
        <v>3384</v>
      </c>
      <c r="AC582" s="73"/>
    </row>
    <row r="583" spans="1:29" s="20" customFormat="1">
      <c r="A583" s="327" t="str">
        <f>IF(AND($B583&lt;&gt;"",$C583&lt;&gt;""),MAX($A$4:A582)+1,"")</f>
        <v/>
      </c>
      <c r="B583" s="361" t="s">
        <v>1864</v>
      </c>
      <c r="C583" s="364"/>
      <c r="D583" s="327">
        <f>IF($B583="","",COUNTIF($B$6:$B583,$B583))</f>
        <v>10</v>
      </c>
      <c r="E583" s="361" t="s">
        <v>2246</v>
      </c>
      <c r="F583" s="362" t="s">
        <v>631</v>
      </c>
      <c r="G583" s="327" t="s">
        <v>329</v>
      </c>
      <c r="H583" s="325"/>
      <c r="I583" s="327">
        <v>4</v>
      </c>
      <c r="J583" s="361" t="s">
        <v>708</v>
      </c>
      <c r="K583" s="327" t="s">
        <v>531</v>
      </c>
      <c r="L583" s="348">
        <f t="shared" si="53"/>
        <v>117599.99999999997</v>
      </c>
      <c r="M583" s="355"/>
      <c r="N583" s="355" t="str">
        <f t="shared" si="40"/>
        <v>PR</v>
      </c>
      <c r="O583" s="347">
        <v>20</v>
      </c>
      <c r="P583" s="325"/>
      <c r="Q583" s="351"/>
      <c r="R583" s="351">
        <v>1.2</v>
      </c>
      <c r="S583" s="351">
        <v>6</v>
      </c>
      <c r="T583" s="351">
        <v>0.23333333333333331</v>
      </c>
      <c r="U583" s="329">
        <f>IF($N583=$N$4,IFERROR(INDEX(DanhMuc!$E$154:$E$165,MATCH(MID($B583,4,2),DanhMuc!$B$154:$B$165,0)),""),"")</f>
        <v>6000</v>
      </c>
      <c r="V583" s="325"/>
      <c r="W583" s="352" t="str">
        <f>+IF(AND($A583&lt;&gt;"",LEN($B583)&gt;=8,COUNTIF($B$6:$B583,$B583)=1),$W$5,"")</f>
        <v/>
      </c>
      <c r="X583" s="329" t="str">
        <f t="shared" si="51"/>
        <v>XW</v>
      </c>
      <c r="Y583" s="1128" t="s">
        <v>3380</v>
      </c>
      <c r="Z583" s="1128" t="s">
        <v>3381</v>
      </c>
      <c r="AA583" s="1128" t="s">
        <v>3384</v>
      </c>
      <c r="AC583" s="73"/>
    </row>
    <row r="584" spans="1:29" s="20" customFormat="1">
      <c r="A584" s="327" t="str">
        <f>IF(AND($B584&lt;&gt;"",$C584&lt;&gt;""),MAX($A$4:A583)+1,"")</f>
        <v/>
      </c>
      <c r="B584" s="361" t="s">
        <v>1864</v>
      </c>
      <c r="C584" s="364"/>
      <c r="D584" s="327">
        <f>IF($B584="","",COUNTIF($B$6:$B584,$B584))</f>
        <v>11</v>
      </c>
      <c r="E584" s="361" t="s">
        <v>2246</v>
      </c>
      <c r="F584" s="362" t="s">
        <v>631</v>
      </c>
      <c r="G584" s="327" t="s">
        <v>328</v>
      </c>
      <c r="H584" s="325"/>
      <c r="I584" s="327">
        <v>4</v>
      </c>
      <c r="J584" s="361" t="s">
        <v>707</v>
      </c>
      <c r="K584" s="327" t="s">
        <v>531</v>
      </c>
      <c r="L584" s="348">
        <f t="shared" si="53"/>
        <v>117599.99999999997</v>
      </c>
      <c r="M584" s="355"/>
      <c r="N584" s="355" t="str">
        <f t="shared" si="40"/>
        <v>PR</v>
      </c>
      <c r="O584" s="347">
        <v>20</v>
      </c>
      <c r="P584" s="325"/>
      <c r="Q584" s="351"/>
      <c r="R584" s="351">
        <v>1.2</v>
      </c>
      <c r="S584" s="351">
        <v>6</v>
      </c>
      <c r="T584" s="351">
        <v>0.23333333333333331</v>
      </c>
      <c r="U584" s="329">
        <f>IF($N584=$N$4,IFERROR(INDEX(DanhMuc!$E$154:$E$165,MATCH(MID($B584,4,2),DanhMuc!$B$154:$B$165,0)),""),"")</f>
        <v>6000</v>
      </c>
      <c r="V584" s="325"/>
      <c r="W584" s="352" t="str">
        <f>+IF(AND($A584&lt;&gt;"",LEN($B584)&gt;=8,COUNTIF($B$6:$B584,$B584)=1),$W$5,"")</f>
        <v/>
      </c>
      <c r="X584" s="329" t="str">
        <f t="shared" si="51"/>
        <v>XW</v>
      </c>
      <c r="Y584" s="1128" t="s">
        <v>3380</v>
      </c>
      <c r="Z584" s="1128" t="s">
        <v>3381</v>
      </c>
      <c r="AA584" s="1128" t="s">
        <v>3384</v>
      </c>
      <c r="AC584" s="73"/>
    </row>
    <row r="585" spans="1:29" s="20" customFormat="1" ht="39">
      <c r="A585" s="327">
        <f>IF(AND($B585&lt;&gt;"",$C585&lt;&gt;""),MAX($A$4:A584)+1,"")</f>
        <v>50</v>
      </c>
      <c r="B585" s="359" t="s">
        <v>1865</v>
      </c>
      <c r="C585" s="360" t="s">
        <v>1892</v>
      </c>
      <c r="D585" s="327">
        <f>IF($B585="","",COUNTIF($B$6:$B585,$B585))</f>
        <v>1</v>
      </c>
      <c r="E585" s="363" t="s">
        <v>2269</v>
      </c>
      <c r="F585" s="382" t="s">
        <v>695</v>
      </c>
      <c r="G585" s="327" t="s">
        <v>329</v>
      </c>
      <c r="H585" s="325"/>
      <c r="I585" s="327">
        <v>2</v>
      </c>
      <c r="J585" s="361" t="s">
        <v>81</v>
      </c>
      <c r="K585" s="327" t="s">
        <v>516</v>
      </c>
      <c r="L585" s="348">
        <f t="shared" si="53"/>
        <v>376320</v>
      </c>
      <c r="M585" s="355"/>
      <c r="N585" s="355" t="str">
        <f t="shared" si="40"/>
        <v>PR</v>
      </c>
      <c r="O585" s="345"/>
      <c r="P585" s="325"/>
      <c r="Q585" s="351"/>
      <c r="R585" s="351">
        <v>1.2</v>
      </c>
      <c r="S585" s="351">
        <v>6</v>
      </c>
      <c r="T585" s="351">
        <v>0.7466666666666667</v>
      </c>
      <c r="U585" s="329">
        <f>IF($N585=$N$4,IFERROR(INDEX(DanhMuc!$E$154:$E$165,MATCH(MID($B585,4,2),DanhMuc!$B$154:$B$165,0)),""),"")</f>
        <v>6000</v>
      </c>
      <c r="V585" s="325"/>
      <c r="W585" s="352" t="str">
        <f>+IF(AND($A585&lt;&gt;"",LEN($B585)&gt;=8,COUNTIF($B$6:$B585,$B585)=1),$W$5,"")</f>
        <v>DMCua</v>
      </c>
      <c r="X585" s="329" t="str">
        <f t="shared" si="51"/>
        <v>XW</v>
      </c>
      <c r="Y585" s="1128" t="s">
        <v>3380</v>
      </c>
      <c r="Z585" s="1128" t="s">
        <v>3381</v>
      </c>
      <c r="AA585" s="1128" t="s">
        <v>3384</v>
      </c>
      <c r="AC585" s="73"/>
    </row>
    <row r="586" spans="1:29" s="20" customFormat="1">
      <c r="A586" s="327" t="str">
        <f>IF(AND($B586&lt;&gt;"",$C586&lt;&gt;""),MAX($A$4:A585)+1,"")</f>
        <v/>
      </c>
      <c r="B586" s="361" t="s">
        <v>1865</v>
      </c>
      <c r="C586" s="364"/>
      <c r="D586" s="327">
        <f>IF($B586="","",COUNTIF($B$6:$B586,$B586))</f>
        <v>2</v>
      </c>
      <c r="E586" s="363" t="s">
        <v>2269</v>
      </c>
      <c r="F586" s="382" t="s">
        <v>695</v>
      </c>
      <c r="G586" s="327" t="s">
        <v>328</v>
      </c>
      <c r="H586" s="325"/>
      <c r="I586" s="327">
        <v>2</v>
      </c>
      <c r="J586" s="361" t="s">
        <v>80</v>
      </c>
      <c r="K586" s="327" t="s">
        <v>516</v>
      </c>
      <c r="L586" s="348">
        <f t="shared" si="53"/>
        <v>376320</v>
      </c>
      <c r="M586" s="355"/>
      <c r="N586" s="355" t="str">
        <f t="shared" si="40"/>
        <v>PR</v>
      </c>
      <c r="O586" s="345"/>
      <c r="P586" s="325"/>
      <c r="Q586" s="351"/>
      <c r="R586" s="351">
        <v>1.2</v>
      </c>
      <c r="S586" s="351">
        <v>6</v>
      </c>
      <c r="T586" s="351">
        <v>0.7466666666666667</v>
      </c>
      <c r="U586" s="329">
        <f>IF($N586=$N$4,IFERROR(INDEX(DanhMuc!$E$154:$E$165,MATCH(MID($B586,4,2),DanhMuc!$B$154:$B$165,0)),""),"")</f>
        <v>6000</v>
      </c>
      <c r="V586" s="325"/>
      <c r="W586" s="352" t="str">
        <f>+IF(AND($A586&lt;&gt;"",LEN($B586)&gt;=8,COUNTIF($B$6:$B586,$B586)=1),$W$5,"")</f>
        <v/>
      </c>
      <c r="X586" s="329" t="str">
        <f t="shared" si="51"/>
        <v>XW</v>
      </c>
      <c r="Y586" s="1128" t="s">
        <v>3380</v>
      </c>
      <c r="Z586" s="1128" t="s">
        <v>3381</v>
      </c>
      <c r="AA586" s="1128" t="s">
        <v>3384</v>
      </c>
      <c r="AC586" s="73"/>
    </row>
    <row r="587" spans="1:29" s="20" customFormat="1">
      <c r="A587" s="327" t="str">
        <f>IF(AND($B587&lt;&gt;"",$C587&lt;&gt;""),MAX($A$4:A586)+1,"")</f>
        <v/>
      </c>
      <c r="B587" s="361" t="s">
        <v>1865</v>
      </c>
      <c r="C587" s="364"/>
      <c r="D587" s="327">
        <f>IF($B587="","",COUNTIF($B$6:$B587,$B587))</f>
        <v>3</v>
      </c>
      <c r="E587" s="361" t="s">
        <v>2270</v>
      </c>
      <c r="F587" s="362" t="s">
        <v>696</v>
      </c>
      <c r="G587" s="327" t="s">
        <v>329</v>
      </c>
      <c r="H587" s="325"/>
      <c r="I587" s="327">
        <v>6</v>
      </c>
      <c r="J587" s="361" t="s">
        <v>717</v>
      </c>
      <c r="K587" s="327" t="s">
        <v>516</v>
      </c>
      <c r="L587" s="348">
        <f t="shared" si="53"/>
        <v>470399.99999999988</v>
      </c>
      <c r="M587" s="355"/>
      <c r="N587" s="355" t="str">
        <f t="shared" si="40"/>
        <v>PR</v>
      </c>
      <c r="O587" s="345"/>
      <c r="P587" s="325"/>
      <c r="Q587" s="351"/>
      <c r="R587" s="351">
        <v>1.2</v>
      </c>
      <c r="S587" s="351">
        <v>6</v>
      </c>
      <c r="T587" s="351">
        <v>0.93333333333333324</v>
      </c>
      <c r="U587" s="329">
        <f>IF($N587=$N$4,IFERROR(INDEX(DanhMuc!$E$154:$E$165,MATCH(MID($B587,4,2),DanhMuc!$B$154:$B$165,0)),""),"")</f>
        <v>6000</v>
      </c>
      <c r="V587" s="325"/>
      <c r="W587" s="352" t="str">
        <f>+IF(AND($A587&lt;&gt;"",LEN($B587)&gt;=8,COUNTIF($B$6:$B587,$B587)=1),$W$5,"")</f>
        <v/>
      </c>
      <c r="X587" s="329" t="str">
        <f t="shared" si="51"/>
        <v>XW</v>
      </c>
      <c r="Y587" s="1128" t="s">
        <v>3380</v>
      </c>
      <c r="Z587" s="1128" t="s">
        <v>3381</v>
      </c>
      <c r="AA587" s="1128" t="s">
        <v>3384</v>
      </c>
      <c r="AC587" s="73"/>
    </row>
    <row r="588" spans="1:29" s="20" customFormat="1">
      <c r="A588" s="327" t="str">
        <f>IF(AND($B588&lt;&gt;"",$C588&lt;&gt;""),MAX($A$4:A587)+1,"")</f>
        <v/>
      </c>
      <c r="B588" s="361" t="s">
        <v>1865</v>
      </c>
      <c r="C588" s="364"/>
      <c r="D588" s="327">
        <f>IF($B588="","",COUNTIF($B$6:$B588,$B588))</f>
        <v>4</v>
      </c>
      <c r="E588" s="361" t="s">
        <v>2270</v>
      </c>
      <c r="F588" s="362" t="s">
        <v>696</v>
      </c>
      <c r="G588" s="327" t="s">
        <v>328</v>
      </c>
      <c r="H588" s="325"/>
      <c r="I588" s="327">
        <v>6</v>
      </c>
      <c r="J588" s="361" t="s">
        <v>698</v>
      </c>
      <c r="K588" s="327" t="s">
        <v>516</v>
      </c>
      <c r="L588" s="348">
        <f t="shared" si="53"/>
        <v>470399.99999999988</v>
      </c>
      <c r="M588" s="355"/>
      <c r="N588" s="355" t="str">
        <f t="shared" si="40"/>
        <v>PR</v>
      </c>
      <c r="O588" s="345"/>
      <c r="P588" s="325"/>
      <c r="Q588" s="351"/>
      <c r="R588" s="351">
        <v>1.2</v>
      </c>
      <c r="S588" s="351">
        <v>6</v>
      </c>
      <c r="T588" s="351">
        <v>0.93333333333333324</v>
      </c>
      <c r="U588" s="329">
        <f>IF($N588=$N$4,IFERROR(INDEX(DanhMuc!$E$154:$E$165,MATCH(MID($B588,4,2),DanhMuc!$B$154:$B$165,0)),""),"")</f>
        <v>6000</v>
      </c>
      <c r="V588" s="325"/>
      <c r="W588" s="352" t="str">
        <f>+IF(AND($A588&lt;&gt;"",LEN($B588)&gt;=8,COUNTIF($B$6:$B588,$B588)=1),$W$5,"")</f>
        <v/>
      </c>
      <c r="X588" s="329" t="str">
        <f t="shared" si="51"/>
        <v>XW</v>
      </c>
      <c r="Y588" s="1128" t="s">
        <v>3380</v>
      </c>
      <c r="Z588" s="1128" t="s">
        <v>3381</v>
      </c>
      <c r="AA588" s="1128" t="s">
        <v>3384</v>
      </c>
      <c r="AC588" s="73"/>
    </row>
    <row r="589" spans="1:29" s="20" customFormat="1">
      <c r="A589" s="327" t="str">
        <f>IF(AND($B589&lt;&gt;"",$C589&lt;&gt;""),MAX($A$4:A588)+1,"")</f>
        <v/>
      </c>
      <c r="B589" s="361" t="s">
        <v>1865</v>
      </c>
      <c r="C589" s="364"/>
      <c r="D589" s="327">
        <f>IF($B589="","",COUNTIF($B$6:$B589,$B589))</f>
        <v>5</v>
      </c>
      <c r="E589" s="361" t="s">
        <v>2271</v>
      </c>
      <c r="F589" s="362" t="s">
        <v>719</v>
      </c>
      <c r="G589" s="327" t="s">
        <v>328</v>
      </c>
      <c r="H589" s="325"/>
      <c r="I589" s="327">
        <v>1</v>
      </c>
      <c r="J589" s="361" t="s">
        <v>718</v>
      </c>
      <c r="K589" s="327" t="s">
        <v>531</v>
      </c>
      <c r="L589" s="348">
        <f t="shared" si="53"/>
        <v>445200</v>
      </c>
      <c r="M589" s="355"/>
      <c r="N589" s="355" t="str">
        <f t="shared" si="40"/>
        <v>PR</v>
      </c>
      <c r="O589" s="345"/>
      <c r="P589" s="325"/>
      <c r="Q589" s="351"/>
      <c r="R589" s="351">
        <v>1.2</v>
      </c>
      <c r="S589" s="351">
        <v>6</v>
      </c>
      <c r="T589" s="351">
        <v>0.8833333333333333</v>
      </c>
      <c r="U589" s="329">
        <f>IF($N589=$N$4,IFERROR(INDEX(DanhMuc!$E$154:$E$165,MATCH(MID($B589,4,2),DanhMuc!$B$154:$B$165,0)),""),"")</f>
        <v>6000</v>
      </c>
      <c r="V589" s="325"/>
      <c r="W589" s="352" t="str">
        <f>+IF(AND($A589&lt;&gt;"",LEN($B589)&gt;=8,COUNTIF($B$6:$B589,$B589)=1),$W$5,"")</f>
        <v/>
      </c>
      <c r="X589" s="329" t="str">
        <f t="shared" si="51"/>
        <v>XW</v>
      </c>
      <c r="Y589" s="1128" t="s">
        <v>3380</v>
      </c>
      <c r="Z589" s="1128" t="s">
        <v>3381</v>
      </c>
      <c r="AA589" s="1128" t="s">
        <v>3384</v>
      </c>
      <c r="AC589" s="73"/>
    </row>
    <row r="590" spans="1:29" s="20" customFormat="1">
      <c r="A590" s="327" t="str">
        <f>IF(AND($B590&lt;&gt;"",$C590&lt;&gt;""),MAX($A$4:A589)+1,"")</f>
        <v/>
      </c>
      <c r="B590" s="361" t="s">
        <v>1865</v>
      </c>
      <c r="C590" s="364"/>
      <c r="D590" s="327">
        <f>IF($B590="","",COUNTIF($B$6:$B590,$B590))</f>
        <v>6</v>
      </c>
      <c r="E590" s="361" t="s">
        <v>2247</v>
      </c>
      <c r="F590" s="362" t="s">
        <v>1905</v>
      </c>
      <c r="G590" s="327" t="s">
        <v>328</v>
      </c>
      <c r="H590" s="325"/>
      <c r="I590" s="327">
        <v>1</v>
      </c>
      <c r="J590" s="361" t="s">
        <v>704</v>
      </c>
      <c r="K590" s="327" t="s">
        <v>531</v>
      </c>
      <c r="L590" s="348">
        <f t="shared" si="53"/>
        <v>397320.00000000012</v>
      </c>
      <c r="M590" s="355"/>
      <c r="N590" s="355" t="str">
        <f t="shared" si="40"/>
        <v>PR</v>
      </c>
      <c r="O590" s="345"/>
      <c r="P590" s="325"/>
      <c r="Q590" s="351"/>
      <c r="R590" s="351">
        <v>1.2</v>
      </c>
      <c r="S590" s="351">
        <v>6</v>
      </c>
      <c r="T590" s="351">
        <v>0.78833333333333344</v>
      </c>
      <c r="U590" s="329">
        <f>IF($N590=$N$4,IFERROR(INDEX(DanhMuc!$E$154:$E$165,MATCH(MID($B590,4,2),DanhMuc!$B$154:$B$165,0)),""),"")</f>
        <v>6000</v>
      </c>
      <c r="V590" s="325"/>
      <c r="W590" s="352" t="str">
        <f>+IF(AND($A590&lt;&gt;"",LEN($B590)&gt;=8,COUNTIF($B$6:$B590,$B590)=1),$W$5,"")</f>
        <v/>
      </c>
      <c r="X590" s="329" t="str">
        <f t="shared" si="51"/>
        <v>XW</v>
      </c>
      <c r="Y590" s="1128" t="s">
        <v>3380</v>
      </c>
      <c r="Z590" s="1128" t="s">
        <v>3381</v>
      </c>
      <c r="AA590" s="1128" t="s">
        <v>3384</v>
      </c>
      <c r="AC590" s="73"/>
    </row>
    <row r="591" spans="1:29" s="20" customFormat="1">
      <c r="A591" s="327" t="str">
        <f>IF(AND($B591&lt;&gt;"",$C591&lt;&gt;""),MAX($A$4:A590)+1,"")</f>
        <v/>
      </c>
      <c r="B591" s="361" t="s">
        <v>1865</v>
      </c>
      <c r="C591" s="364"/>
      <c r="D591" s="327">
        <f>IF($B591="","",COUNTIF($B$6:$B591,$B591))</f>
        <v>7</v>
      </c>
      <c r="E591" s="361" t="s">
        <v>2244</v>
      </c>
      <c r="F591" s="362" t="s">
        <v>346</v>
      </c>
      <c r="G591" s="327" t="s">
        <v>329</v>
      </c>
      <c r="H591" s="325"/>
      <c r="I591" s="327">
        <v>6</v>
      </c>
      <c r="J591" s="361" t="s">
        <v>720</v>
      </c>
      <c r="K591" s="327" t="s">
        <v>531</v>
      </c>
      <c r="L591" s="348">
        <f t="shared" si="53"/>
        <v>142800</v>
      </c>
      <c r="M591" s="355"/>
      <c r="N591" s="355" t="str">
        <f t="shared" si="40"/>
        <v>PR</v>
      </c>
      <c r="O591" s="347">
        <v>10</v>
      </c>
      <c r="P591" s="325"/>
      <c r="Q591" s="351"/>
      <c r="R591" s="351">
        <v>1.2</v>
      </c>
      <c r="S591" s="351">
        <v>6</v>
      </c>
      <c r="T591" s="351">
        <v>0.28333333333333333</v>
      </c>
      <c r="U591" s="329">
        <f>IF($N591=$N$4,IFERROR(INDEX(DanhMuc!$E$154:$E$165,MATCH(MID($B591,4,2),DanhMuc!$B$154:$B$165,0)),""),"")</f>
        <v>6000</v>
      </c>
      <c r="V591" s="325"/>
      <c r="W591" s="352" t="str">
        <f>+IF(AND($A591&lt;&gt;"",LEN($B591)&gt;=8,COUNTIF($B$6:$B591,$B591)=1),$W$5,"")</f>
        <v/>
      </c>
      <c r="X591" s="329" t="str">
        <f t="shared" si="51"/>
        <v>XW</v>
      </c>
      <c r="Y591" s="1128" t="s">
        <v>3380</v>
      </c>
      <c r="Z591" s="1128" t="s">
        <v>3381</v>
      </c>
      <c r="AA591" s="1128" t="s">
        <v>3384</v>
      </c>
      <c r="AC591" s="73"/>
    </row>
    <row r="592" spans="1:29" s="20" customFormat="1">
      <c r="A592" s="327" t="str">
        <f>IF(AND($B592&lt;&gt;"",$C592&lt;&gt;""),MAX($A$4:A591)+1,"")</f>
        <v/>
      </c>
      <c r="B592" s="361" t="s">
        <v>1865</v>
      </c>
      <c r="C592" s="364"/>
      <c r="D592" s="327">
        <f>IF($B592="","",COUNTIF($B$6:$B592,$B592))</f>
        <v>8</v>
      </c>
      <c r="E592" s="361" t="s">
        <v>2244</v>
      </c>
      <c r="F592" s="362" t="s">
        <v>346</v>
      </c>
      <c r="G592" s="327" t="s">
        <v>328</v>
      </c>
      <c r="H592" s="325"/>
      <c r="I592" s="327">
        <v>6</v>
      </c>
      <c r="J592" s="361" t="s">
        <v>707</v>
      </c>
      <c r="K592" s="327" t="s">
        <v>531</v>
      </c>
      <c r="L592" s="348">
        <f t="shared" si="53"/>
        <v>142800</v>
      </c>
      <c r="M592" s="355"/>
      <c r="N592" s="355" t="str">
        <f t="shared" si="40"/>
        <v>PR</v>
      </c>
      <c r="O592" s="347">
        <v>10</v>
      </c>
      <c r="P592" s="325"/>
      <c r="Q592" s="351"/>
      <c r="R592" s="351">
        <v>1.2</v>
      </c>
      <c r="S592" s="351">
        <v>6</v>
      </c>
      <c r="T592" s="351">
        <v>0.28333333333333333</v>
      </c>
      <c r="U592" s="329">
        <f>IF($N592=$N$4,IFERROR(INDEX(DanhMuc!$E$154:$E$165,MATCH(MID($B592,4,2),DanhMuc!$B$154:$B$165,0)),""),"")</f>
        <v>6000</v>
      </c>
      <c r="V592" s="325"/>
      <c r="W592" s="352" t="str">
        <f>+IF(AND($A592&lt;&gt;"",LEN($B592)&gt;=8,COUNTIF($B$6:$B592,$B592)=1),$W$5,"")</f>
        <v/>
      </c>
      <c r="X592" s="329" t="str">
        <f t="shared" si="51"/>
        <v>XW</v>
      </c>
      <c r="Y592" s="1128" t="s">
        <v>3380</v>
      </c>
      <c r="Z592" s="1128" t="s">
        <v>3381</v>
      </c>
      <c r="AA592" s="1128" t="s">
        <v>3384</v>
      </c>
      <c r="AC592" s="73"/>
    </row>
    <row r="593" spans="1:29" s="20" customFormat="1">
      <c r="A593" s="327" t="str">
        <f>IF(AND($B593&lt;&gt;"",$C593&lt;&gt;""),MAX($A$4:A592)+1,"")</f>
        <v/>
      </c>
      <c r="B593" s="361" t="s">
        <v>1865</v>
      </c>
      <c r="C593" s="364"/>
      <c r="D593" s="327">
        <f>IF($B593="","",COUNTIF($B$6:$B593,$B593))</f>
        <v>9</v>
      </c>
      <c r="E593" s="361" t="s">
        <v>2245</v>
      </c>
      <c r="F593" s="362" t="s">
        <v>386</v>
      </c>
      <c r="G593" s="327" t="s">
        <v>329</v>
      </c>
      <c r="H593" s="325"/>
      <c r="I593" s="327">
        <v>6</v>
      </c>
      <c r="J593" s="361" t="s">
        <v>720</v>
      </c>
      <c r="K593" s="327" t="s">
        <v>531</v>
      </c>
      <c r="L593" s="348">
        <f t="shared" si="53"/>
        <v>0</v>
      </c>
      <c r="M593" s="355"/>
      <c r="N593" s="355" t="str">
        <f t="shared" si="40"/>
        <v>PR</v>
      </c>
      <c r="O593" s="347">
        <v>19</v>
      </c>
      <c r="P593" s="325"/>
      <c r="Q593" s="351"/>
      <c r="R593" s="351"/>
      <c r="S593" s="351">
        <v>6</v>
      </c>
      <c r="T593" s="351">
        <v>0</v>
      </c>
      <c r="U593" s="329">
        <f>IF($N593=$N$4,IFERROR(INDEX(DanhMuc!$E$154:$E$165,MATCH(MID($B593,4,2),DanhMuc!$B$154:$B$165,0)),""),"")</f>
        <v>6000</v>
      </c>
      <c r="V593" s="325"/>
      <c r="W593" s="352" t="str">
        <f>+IF(AND($A593&lt;&gt;"",LEN($B593)&gt;=8,COUNTIF($B$6:$B593,$B593)=1),$W$5,"")</f>
        <v/>
      </c>
      <c r="X593" s="329" t="str">
        <f t="shared" si="51"/>
        <v>XW</v>
      </c>
      <c r="Y593" s="1128" t="s">
        <v>3380</v>
      </c>
      <c r="Z593" s="1128" t="s">
        <v>3381</v>
      </c>
      <c r="AA593" s="1128" t="s">
        <v>3384</v>
      </c>
      <c r="AC593" s="73"/>
    </row>
    <row r="594" spans="1:29" s="20" customFormat="1">
      <c r="A594" s="327" t="str">
        <f>IF(AND($B594&lt;&gt;"",$C594&lt;&gt;""),MAX($A$4:A593)+1,"")</f>
        <v/>
      </c>
      <c r="B594" s="361" t="s">
        <v>1865</v>
      </c>
      <c r="C594" s="364"/>
      <c r="D594" s="327">
        <f>IF($B594="","",COUNTIF($B$6:$B594,$B594))</f>
        <v>10</v>
      </c>
      <c r="E594" s="361" t="s">
        <v>2245</v>
      </c>
      <c r="F594" s="362" t="s">
        <v>386</v>
      </c>
      <c r="G594" s="327" t="s">
        <v>328</v>
      </c>
      <c r="H594" s="325"/>
      <c r="I594" s="327">
        <v>6</v>
      </c>
      <c r="J594" s="361" t="s">
        <v>707</v>
      </c>
      <c r="K594" s="327" t="s">
        <v>531</v>
      </c>
      <c r="L594" s="348">
        <f t="shared" si="53"/>
        <v>0</v>
      </c>
      <c r="M594" s="355"/>
      <c r="N594" s="355" t="str">
        <f t="shared" si="40"/>
        <v>PR</v>
      </c>
      <c r="O594" s="347">
        <v>19</v>
      </c>
      <c r="P594" s="325"/>
      <c r="Q594" s="351"/>
      <c r="R594" s="351"/>
      <c r="S594" s="351">
        <v>6</v>
      </c>
      <c r="T594" s="351">
        <v>0</v>
      </c>
      <c r="U594" s="329">
        <f>IF($N594=$N$4,IFERROR(INDEX(DanhMuc!$E$154:$E$165,MATCH(MID($B594,4,2),DanhMuc!$B$154:$B$165,0)),""),"")</f>
        <v>6000</v>
      </c>
      <c r="V594" s="325"/>
      <c r="W594" s="352" t="str">
        <f>+IF(AND($A594&lt;&gt;"",LEN($B594)&gt;=8,COUNTIF($B$6:$B594,$B594)=1),$W$5,"")</f>
        <v/>
      </c>
      <c r="X594" s="329" t="str">
        <f t="shared" si="51"/>
        <v>XW</v>
      </c>
      <c r="Y594" s="1128" t="s">
        <v>3380</v>
      </c>
      <c r="Z594" s="1128" t="s">
        <v>3381</v>
      </c>
      <c r="AA594" s="1128" t="s">
        <v>3384</v>
      </c>
      <c r="AC594" s="73"/>
    </row>
    <row r="595" spans="1:29" s="20" customFormat="1">
      <c r="A595" s="327" t="str">
        <f>IF(AND($B595&lt;&gt;"",$C595&lt;&gt;""),MAX($A$4:A594)+1,"")</f>
        <v/>
      </c>
      <c r="B595" s="361" t="s">
        <v>1865</v>
      </c>
      <c r="C595" s="364"/>
      <c r="D595" s="327">
        <f>IF($B595="","",COUNTIF($B$6:$B595,$B595))</f>
        <v>11</v>
      </c>
      <c r="E595" s="361" t="s">
        <v>2246</v>
      </c>
      <c r="F595" s="362" t="s">
        <v>631</v>
      </c>
      <c r="G595" s="327" t="s">
        <v>329</v>
      </c>
      <c r="H595" s="325"/>
      <c r="I595" s="327">
        <v>6</v>
      </c>
      <c r="J595" s="361" t="s">
        <v>720</v>
      </c>
      <c r="K595" s="327" t="s">
        <v>531</v>
      </c>
      <c r="L595" s="348">
        <f t="shared" si="53"/>
        <v>117599.99999999997</v>
      </c>
      <c r="M595" s="355"/>
      <c r="N595" s="355" t="str">
        <f t="shared" si="40"/>
        <v>PR</v>
      </c>
      <c r="O595" s="347">
        <v>20</v>
      </c>
      <c r="P595" s="325"/>
      <c r="Q595" s="351"/>
      <c r="R595" s="351">
        <v>1.2</v>
      </c>
      <c r="S595" s="351">
        <v>6</v>
      </c>
      <c r="T595" s="351">
        <v>0.23333333333333331</v>
      </c>
      <c r="U595" s="329">
        <f>IF($N595=$N$4,IFERROR(INDEX(DanhMuc!$E$154:$E$165,MATCH(MID($B595,4,2),DanhMuc!$B$154:$B$165,0)),""),"")</f>
        <v>6000</v>
      </c>
      <c r="V595" s="325"/>
      <c r="W595" s="352" t="str">
        <f>+IF(AND($A595&lt;&gt;"",LEN($B595)&gt;=8,COUNTIF($B$6:$B595,$B595)=1),$W$5,"")</f>
        <v/>
      </c>
      <c r="X595" s="329" t="str">
        <f t="shared" si="51"/>
        <v>XW</v>
      </c>
      <c r="Y595" s="1128" t="s">
        <v>3380</v>
      </c>
      <c r="Z595" s="1128" t="s">
        <v>3381</v>
      </c>
      <c r="AA595" s="1128" t="s">
        <v>3384</v>
      </c>
      <c r="AC595" s="73"/>
    </row>
    <row r="596" spans="1:29" s="20" customFormat="1">
      <c r="A596" s="327" t="str">
        <f>IF(AND($B596&lt;&gt;"",$C596&lt;&gt;""),MAX($A$4:A595)+1,"")</f>
        <v/>
      </c>
      <c r="B596" s="361" t="s">
        <v>1865</v>
      </c>
      <c r="C596" s="364"/>
      <c r="D596" s="327">
        <f>IF($B596="","",COUNTIF($B$6:$B596,$B596))</f>
        <v>12</v>
      </c>
      <c r="E596" s="361" t="s">
        <v>2246</v>
      </c>
      <c r="F596" s="362" t="s">
        <v>631</v>
      </c>
      <c r="G596" s="327" t="s">
        <v>328</v>
      </c>
      <c r="H596" s="325"/>
      <c r="I596" s="327">
        <v>6</v>
      </c>
      <c r="J596" s="361" t="s">
        <v>707</v>
      </c>
      <c r="K596" s="327" t="s">
        <v>531</v>
      </c>
      <c r="L596" s="348">
        <f t="shared" si="53"/>
        <v>117599.99999999997</v>
      </c>
      <c r="M596" s="355"/>
      <c r="N596" s="355" t="str">
        <f t="shared" si="40"/>
        <v>PR</v>
      </c>
      <c r="O596" s="347">
        <v>20</v>
      </c>
      <c r="P596" s="325"/>
      <c r="Q596" s="351"/>
      <c r="R596" s="351">
        <v>1.2</v>
      </c>
      <c r="S596" s="351">
        <v>6</v>
      </c>
      <c r="T596" s="351">
        <v>0.23333333333333331</v>
      </c>
      <c r="U596" s="329">
        <f>IF($N596=$N$4,IFERROR(INDEX(DanhMuc!$E$154:$E$165,MATCH(MID($B596,4,2),DanhMuc!$B$154:$B$165,0)),""),"")</f>
        <v>6000</v>
      </c>
      <c r="V596" s="325"/>
      <c r="W596" s="352" t="str">
        <f>+IF(AND($A596&lt;&gt;"",LEN($B596)&gt;=8,COUNTIF($B$6:$B596,$B596)=1),$W$5,"")</f>
        <v/>
      </c>
      <c r="X596" s="329" t="str">
        <f t="shared" si="51"/>
        <v>XW</v>
      </c>
      <c r="Y596" s="1128" t="s">
        <v>3380</v>
      </c>
      <c r="Z596" s="1128" t="s">
        <v>3381</v>
      </c>
      <c r="AA596" s="1128" t="s">
        <v>3384</v>
      </c>
      <c r="AC596" s="73"/>
    </row>
    <row r="597" spans="1:29" s="20" customFormat="1" ht="39">
      <c r="A597" s="327">
        <f>IF(AND($B597&lt;&gt;"",$C597&lt;&gt;""),MAX($A$4:A596)+1,"")</f>
        <v>51</v>
      </c>
      <c r="B597" s="359" t="s">
        <v>1866</v>
      </c>
      <c r="C597" s="360" t="s">
        <v>1893</v>
      </c>
      <c r="D597" s="327">
        <f>IF($B597="","",COUNTIF($B$6:$B597,$B597))</f>
        <v>1</v>
      </c>
      <c r="E597" s="363" t="s">
        <v>2269</v>
      </c>
      <c r="F597" s="382" t="s">
        <v>695</v>
      </c>
      <c r="G597" s="327" t="s">
        <v>329</v>
      </c>
      <c r="H597" s="325"/>
      <c r="I597" s="327">
        <v>2</v>
      </c>
      <c r="J597" s="361" t="s">
        <v>81</v>
      </c>
      <c r="K597" s="327" t="s">
        <v>516</v>
      </c>
      <c r="L597" s="348">
        <f t="shared" si="53"/>
        <v>376320</v>
      </c>
      <c r="M597" s="355"/>
      <c r="N597" s="355" t="str">
        <f t="shared" si="40"/>
        <v>PR</v>
      </c>
      <c r="O597" s="345"/>
      <c r="P597" s="325"/>
      <c r="Q597" s="351"/>
      <c r="R597" s="351">
        <v>1.2</v>
      </c>
      <c r="S597" s="351">
        <v>6</v>
      </c>
      <c r="T597" s="351">
        <v>0.7466666666666667</v>
      </c>
      <c r="U597" s="329">
        <f>IF($N597=$N$4,IFERROR(INDEX(DanhMuc!$E$154:$E$165,MATCH(MID($B597,4,2),DanhMuc!$B$154:$B$165,0)),""),"")</f>
        <v>6000</v>
      </c>
      <c r="V597" s="325"/>
      <c r="W597" s="352" t="str">
        <f>+IF(AND($A597&lt;&gt;"",LEN($B597)&gt;=8,COUNTIF($B$6:$B597,$B597)=1),$W$5,"")</f>
        <v>DMCua</v>
      </c>
      <c r="X597" s="329" t="str">
        <f t="shared" si="51"/>
        <v>XW</v>
      </c>
      <c r="Y597" s="1128" t="s">
        <v>3380</v>
      </c>
      <c r="Z597" s="1128" t="s">
        <v>3381</v>
      </c>
      <c r="AA597" s="1128" t="s">
        <v>3384</v>
      </c>
      <c r="AC597" s="73"/>
    </row>
    <row r="598" spans="1:29" s="20" customFormat="1">
      <c r="A598" s="327" t="str">
        <f>IF(AND($B598&lt;&gt;"",$C598&lt;&gt;""),MAX($A$4:A597)+1,"")</f>
        <v/>
      </c>
      <c r="B598" s="361" t="s">
        <v>1866</v>
      </c>
      <c r="C598" s="364"/>
      <c r="D598" s="327">
        <f>IF($B598="","",COUNTIF($B$6:$B598,$B598))</f>
        <v>2</v>
      </c>
      <c r="E598" s="363" t="s">
        <v>2269</v>
      </c>
      <c r="F598" s="382" t="s">
        <v>695</v>
      </c>
      <c r="G598" s="327" t="s">
        <v>328</v>
      </c>
      <c r="H598" s="325"/>
      <c r="I598" s="327">
        <v>2</v>
      </c>
      <c r="J598" s="361" t="s">
        <v>80</v>
      </c>
      <c r="K598" s="327" t="s">
        <v>516</v>
      </c>
      <c r="L598" s="348">
        <f t="shared" si="53"/>
        <v>376320</v>
      </c>
      <c r="M598" s="355"/>
      <c r="N598" s="355" t="str">
        <f t="shared" si="40"/>
        <v>PR</v>
      </c>
      <c r="O598" s="345"/>
      <c r="P598" s="325"/>
      <c r="Q598" s="351"/>
      <c r="R598" s="351">
        <v>1.2</v>
      </c>
      <c r="S598" s="351">
        <v>6</v>
      </c>
      <c r="T598" s="351">
        <v>0.7466666666666667</v>
      </c>
      <c r="U598" s="329">
        <f>IF($N598=$N$4,IFERROR(INDEX(DanhMuc!$E$154:$E$165,MATCH(MID($B598,4,2),DanhMuc!$B$154:$B$165,0)),""),"")</f>
        <v>6000</v>
      </c>
      <c r="V598" s="325"/>
      <c r="W598" s="352" t="str">
        <f>+IF(AND($A598&lt;&gt;"",LEN($B598)&gt;=8,COUNTIF($B$6:$B598,$B598)=1),$W$5,"")</f>
        <v/>
      </c>
      <c r="X598" s="329" t="str">
        <f t="shared" si="51"/>
        <v>XW</v>
      </c>
      <c r="Y598" s="1128" t="s">
        <v>3380</v>
      </c>
      <c r="Z598" s="1128" t="s">
        <v>3381</v>
      </c>
      <c r="AA598" s="1128" t="s">
        <v>3384</v>
      </c>
      <c r="AC598" s="73"/>
    </row>
    <row r="599" spans="1:29" s="20" customFormat="1">
      <c r="A599" s="327" t="str">
        <f>IF(AND($B599&lt;&gt;"",$C599&lt;&gt;""),MAX($A$4:A598)+1,"")</f>
        <v/>
      </c>
      <c r="B599" s="361" t="s">
        <v>1866</v>
      </c>
      <c r="C599" s="364"/>
      <c r="D599" s="327">
        <f>IF($B599="","",COUNTIF($B$6:$B599,$B599))</f>
        <v>3</v>
      </c>
      <c r="E599" s="361" t="s">
        <v>2270</v>
      </c>
      <c r="F599" s="362" t="s">
        <v>696</v>
      </c>
      <c r="G599" s="327" t="s">
        <v>329</v>
      </c>
      <c r="H599" s="325"/>
      <c r="I599" s="327">
        <v>8</v>
      </c>
      <c r="J599" s="361" t="s">
        <v>723</v>
      </c>
      <c r="K599" s="327" t="s">
        <v>516</v>
      </c>
      <c r="L599" s="348">
        <f t="shared" si="53"/>
        <v>470399.99999999988</v>
      </c>
      <c r="M599" s="355"/>
      <c r="N599" s="355" t="str">
        <f t="shared" si="40"/>
        <v>PR</v>
      </c>
      <c r="O599" s="345"/>
      <c r="P599" s="325"/>
      <c r="Q599" s="351"/>
      <c r="R599" s="351">
        <v>1.2</v>
      </c>
      <c r="S599" s="351">
        <v>6</v>
      </c>
      <c r="T599" s="351">
        <v>0.93333333333333324</v>
      </c>
      <c r="U599" s="329">
        <f>IF($N599=$N$4,IFERROR(INDEX(DanhMuc!$E$154:$E$165,MATCH(MID($B599,4,2),DanhMuc!$B$154:$B$165,0)),""),"")</f>
        <v>6000</v>
      </c>
      <c r="V599" s="325"/>
      <c r="W599" s="352" t="str">
        <f>+IF(AND($A599&lt;&gt;"",LEN($B599)&gt;=8,COUNTIF($B$6:$B599,$B599)=1),$W$5,"")</f>
        <v/>
      </c>
      <c r="X599" s="329" t="str">
        <f t="shared" si="51"/>
        <v>XW</v>
      </c>
      <c r="Y599" s="1128" t="s">
        <v>3380</v>
      </c>
      <c r="Z599" s="1128" t="s">
        <v>3381</v>
      </c>
      <c r="AA599" s="1128" t="s">
        <v>3384</v>
      </c>
      <c r="AC599" s="73"/>
    </row>
    <row r="600" spans="1:29" s="20" customFormat="1">
      <c r="A600" s="327" t="str">
        <f>IF(AND($B600&lt;&gt;"",$C600&lt;&gt;""),MAX($A$4:A599)+1,"")</f>
        <v/>
      </c>
      <c r="B600" s="361" t="s">
        <v>1866</v>
      </c>
      <c r="C600" s="364"/>
      <c r="D600" s="327">
        <f>IF($B600="","",COUNTIF($B$6:$B600,$B600))</f>
        <v>4</v>
      </c>
      <c r="E600" s="361" t="s">
        <v>2270</v>
      </c>
      <c r="F600" s="362" t="s">
        <v>696</v>
      </c>
      <c r="G600" s="327" t="s">
        <v>328</v>
      </c>
      <c r="H600" s="325"/>
      <c r="I600" s="327">
        <v>8</v>
      </c>
      <c r="J600" s="361" t="s">
        <v>698</v>
      </c>
      <c r="K600" s="327" t="s">
        <v>516</v>
      </c>
      <c r="L600" s="348">
        <f t="shared" si="53"/>
        <v>470399.99999999988</v>
      </c>
      <c r="M600" s="355"/>
      <c r="N600" s="355" t="str">
        <f t="shared" si="40"/>
        <v>PR</v>
      </c>
      <c r="O600" s="345"/>
      <c r="P600" s="325"/>
      <c r="Q600" s="351"/>
      <c r="R600" s="351">
        <v>1.2</v>
      </c>
      <c r="S600" s="351">
        <v>6</v>
      </c>
      <c r="T600" s="351">
        <v>0.93333333333333324</v>
      </c>
      <c r="U600" s="329">
        <f>IF($N600=$N$4,IFERROR(INDEX(DanhMuc!$E$154:$E$165,MATCH(MID($B600,4,2),DanhMuc!$B$154:$B$165,0)),""),"")</f>
        <v>6000</v>
      </c>
      <c r="V600" s="325"/>
      <c r="W600" s="352" t="str">
        <f>+IF(AND($A600&lt;&gt;"",LEN($B600)&gt;=8,COUNTIF($B$6:$B600,$B600)=1),$W$5,"")</f>
        <v/>
      </c>
      <c r="X600" s="329" t="str">
        <f t="shared" si="51"/>
        <v>XW</v>
      </c>
      <c r="Y600" s="1128" t="s">
        <v>3380</v>
      </c>
      <c r="Z600" s="1128" t="s">
        <v>3381</v>
      </c>
      <c r="AA600" s="1128" t="s">
        <v>3384</v>
      </c>
      <c r="AC600" s="73"/>
    </row>
    <row r="601" spans="1:29" s="20" customFormat="1">
      <c r="A601" s="327" t="str">
        <f>IF(AND($B601&lt;&gt;"",$C601&lt;&gt;""),MAX($A$4:A600)+1,"")</f>
        <v/>
      </c>
      <c r="B601" s="361" t="s">
        <v>1866</v>
      </c>
      <c r="C601" s="364"/>
      <c r="D601" s="327">
        <f>IF($B601="","",COUNTIF($B$6:$B601,$B601))</f>
        <v>5</v>
      </c>
      <c r="E601" s="361" t="s">
        <v>2271</v>
      </c>
      <c r="F601" s="362" t="s">
        <v>719</v>
      </c>
      <c r="G601" s="327" t="s">
        <v>328</v>
      </c>
      <c r="H601" s="325"/>
      <c r="I601" s="327">
        <v>2</v>
      </c>
      <c r="J601" s="361" t="s">
        <v>718</v>
      </c>
      <c r="K601" s="327" t="s">
        <v>531</v>
      </c>
      <c r="L601" s="348">
        <f t="shared" si="53"/>
        <v>445200</v>
      </c>
      <c r="M601" s="355"/>
      <c r="N601" s="355" t="str">
        <f t="shared" si="40"/>
        <v>PR</v>
      </c>
      <c r="O601" s="345"/>
      <c r="P601" s="325"/>
      <c r="Q601" s="351"/>
      <c r="R601" s="351">
        <v>1.2</v>
      </c>
      <c r="S601" s="351">
        <v>6</v>
      </c>
      <c r="T601" s="351">
        <v>0.8833333333333333</v>
      </c>
      <c r="U601" s="329">
        <f>IF($N601=$N$4,IFERROR(INDEX(DanhMuc!$E$154:$E$165,MATCH(MID($B601,4,2),DanhMuc!$B$154:$B$165,0)),""),"")</f>
        <v>6000</v>
      </c>
      <c r="V601" s="325"/>
      <c r="W601" s="352" t="str">
        <f>+IF(AND($A601&lt;&gt;"",LEN($B601)&gt;=8,COUNTIF($B$6:$B601,$B601)=1),$W$5,"")</f>
        <v/>
      </c>
      <c r="X601" s="329" t="str">
        <f t="shared" si="51"/>
        <v>XW</v>
      </c>
      <c r="Y601" s="1128" t="s">
        <v>3380</v>
      </c>
      <c r="Z601" s="1128" t="s">
        <v>3381</v>
      </c>
      <c r="AA601" s="1128" t="s">
        <v>3384</v>
      </c>
      <c r="AC601" s="73"/>
    </row>
    <row r="602" spans="1:29" s="20" customFormat="1">
      <c r="A602" s="327" t="str">
        <f>IF(AND($B602&lt;&gt;"",$C602&lt;&gt;""),MAX($A$4:A601)+1,"")</f>
        <v/>
      </c>
      <c r="B602" s="361" t="s">
        <v>1866</v>
      </c>
      <c r="C602" s="364"/>
      <c r="D602" s="327">
        <f>IF($B602="","",COUNTIF($B$6:$B602,$B602))</f>
        <v>6</v>
      </c>
      <c r="E602" s="361" t="s">
        <v>2247</v>
      </c>
      <c r="F602" s="362" t="s">
        <v>1905</v>
      </c>
      <c r="G602" s="327" t="s">
        <v>328</v>
      </c>
      <c r="H602" s="325"/>
      <c r="I602" s="327">
        <v>1</v>
      </c>
      <c r="J602" s="361" t="s">
        <v>704</v>
      </c>
      <c r="K602" s="327" t="s">
        <v>531</v>
      </c>
      <c r="L602" s="348">
        <f t="shared" si="53"/>
        <v>397320.00000000012</v>
      </c>
      <c r="M602" s="355"/>
      <c r="N602" s="355" t="str">
        <f t="shared" si="40"/>
        <v>PR</v>
      </c>
      <c r="O602" s="345"/>
      <c r="P602" s="325"/>
      <c r="Q602" s="351"/>
      <c r="R602" s="351">
        <v>1.2</v>
      </c>
      <c r="S602" s="351">
        <v>6</v>
      </c>
      <c r="T602" s="351">
        <v>0.78833333333333344</v>
      </c>
      <c r="U602" s="329">
        <f>IF($N602=$N$4,IFERROR(INDEX(DanhMuc!$E$154:$E$165,MATCH(MID($B602,4,2),DanhMuc!$B$154:$B$165,0)),""),"")</f>
        <v>6000</v>
      </c>
      <c r="V602" s="325"/>
      <c r="W602" s="352" t="str">
        <f>+IF(AND($A602&lt;&gt;"",LEN($B602)&gt;=8,COUNTIF($B$6:$B602,$B602)=1),$W$5,"")</f>
        <v/>
      </c>
      <c r="X602" s="329" t="str">
        <f t="shared" si="51"/>
        <v>XW</v>
      </c>
      <c r="Y602" s="1128" t="s">
        <v>3380</v>
      </c>
      <c r="Z602" s="1128" t="s">
        <v>3381</v>
      </c>
      <c r="AA602" s="1128" t="s">
        <v>3384</v>
      </c>
      <c r="AC602" s="73"/>
    </row>
    <row r="603" spans="1:29" s="20" customFormat="1">
      <c r="A603" s="327" t="str">
        <f>IF(AND($B603&lt;&gt;"",$C603&lt;&gt;""),MAX($A$4:A602)+1,"")</f>
        <v/>
      </c>
      <c r="B603" s="361" t="s">
        <v>1866</v>
      </c>
      <c r="C603" s="364"/>
      <c r="D603" s="327">
        <f>IF($B603="","",COUNTIF($B$6:$B603,$B603))</f>
        <v>7</v>
      </c>
      <c r="E603" s="361" t="s">
        <v>2244</v>
      </c>
      <c r="F603" s="362" t="s">
        <v>346</v>
      </c>
      <c r="G603" s="327" t="s">
        <v>329</v>
      </c>
      <c r="H603" s="325"/>
      <c r="I603" s="327">
        <v>8</v>
      </c>
      <c r="J603" s="361" t="s">
        <v>720</v>
      </c>
      <c r="K603" s="327" t="s">
        <v>531</v>
      </c>
      <c r="L603" s="348">
        <f t="shared" si="53"/>
        <v>142800</v>
      </c>
      <c r="M603" s="355"/>
      <c r="N603" s="355" t="str">
        <f t="shared" si="40"/>
        <v>PR</v>
      </c>
      <c r="O603" s="347">
        <v>10</v>
      </c>
      <c r="P603" s="325"/>
      <c r="Q603" s="351"/>
      <c r="R603" s="351">
        <v>1.2</v>
      </c>
      <c r="S603" s="351">
        <v>6</v>
      </c>
      <c r="T603" s="351">
        <v>0.28333333333333333</v>
      </c>
      <c r="U603" s="329">
        <f>IF($N603=$N$4,IFERROR(INDEX(DanhMuc!$E$154:$E$165,MATCH(MID($B603,4,2),DanhMuc!$B$154:$B$165,0)),""),"")</f>
        <v>6000</v>
      </c>
      <c r="V603" s="325"/>
      <c r="W603" s="352" t="str">
        <f>+IF(AND($A603&lt;&gt;"",LEN($B603)&gt;=8,COUNTIF($B$6:$B603,$B603)=1),$W$5,"")</f>
        <v/>
      </c>
      <c r="X603" s="329" t="str">
        <f t="shared" si="51"/>
        <v>XW</v>
      </c>
      <c r="Y603" s="1128" t="s">
        <v>3380</v>
      </c>
      <c r="Z603" s="1128" t="s">
        <v>3381</v>
      </c>
      <c r="AA603" s="1128" t="s">
        <v>3384</v>
      </c>
      <c r="AC603" s="73"/>
    </row>
    <row r="604" spans="1:29" s="20" customFormat="1">
      <c r="A604" s="327" t="str">
        <f>IF(AND($B604&lt;&gt;"",$C604&lt;&gt;""),MAX($A$4:A603)+1,"")</f>
        <v/>
      </c>
      <c r="B604" s="361" t="s">
        <v>1866</v>
      </c>
      <c r="C604" s="364"/>
      <c r="D604" s="327">
        <f>IF($B604="","",COUNTIF($B$6:$B604,$B604))</f>
        <v>8</v>
      </c>
      <c r="E604" s="361" t="s">
        <v>2244</v>
      </c>
      <c r="F604" s="362" t="s">
        <v>346</v>
      </c>
      <c r="G604" s="327" t="s">
        <v>328</v>
      </c>
      <c r="H604" s="325"/>
      <c r="I604" s="327">
        <v>8</v>
      </c>
      <c r="J604" s="361" t="s">
        <v>707</v>
      </c>
      <c r="K604" s="327" t="s">
        <v>531</v>
      </c>
      <c r="L604" s="348">
        <f t="shared" si="53"/>
        <v>142800</v>
      </c>
      <c r="M604" s="355"/>
      <c r="N604" s="355" t="str">
        <f t="shared" si="40"/>
        <v>PR</v>
      </c>
      <c r="O604" s="347">
        <v>10</v>
      </c>
      <c r="P604" s="325"/>
      <c r="Q604" s="351"/>
      <c r="R604" s="351">
        <v>1.2</v>
      </c>
      <c r="S604" s="351">
        <v>6</v>
      </c>
      <c r="T604" s="351">
        <v>0.28333333333333333</v>
      </c>
      <c r="U604" s="329">
        <f>IF($N604=$N$4,IFERROR(INDEX(DanhMuc!$E$154:$E$165,MATCH(MID($B604,4,2),DanhMuc!$B$154:$B$165,0)),""),"")</f>
        <v>6000</v>
      </c>
      <c r="V604" s="325"/>
      <c r="W604" s="352" t="str">
        <f>+IF(AND($A604&lt;&gt;"",LEN($B604)&gt;=8,COUNTIF($B$6:$B604,$B604)=1),$W$5,"")</f>
        <v/>
      </c>
      <c r="X604" s="329" t="str">
        <f t="shared" si="51"/>
        <v>XW</v>
      </c>
      <c r="Y604" s="1128" t="s">
        <v>3380</v>
      </c>
      <c r="Z604" s="1128" t="s">
        <v>3381</v>
      </c>
      <c r="AA604" s="1128" t="s">
        <v>3384</v>
      </c>
      <c r="AC604" s="73"/>
    </row>
    <row r="605" spans="1:29" s="20" customFormat="1">
      <c r="A605" s="327" t="str">
        <f>IF(AND($B605&lt;&gt;"",$C605&lt;&gt;""),MAX($A$4:A604)+1,"")</f>
        <v/>
      </c>
      <c r="B605" s="361" t="s">
        <v>1866</v>
      </c>
      <c r="C605" s="364"/>
      <c r="D605" s="327">
        <f>IF($B605="","",COUNTIF($B$6:$B605,$B605))</f>
        <v>9</v>
      </c>
      <c r="E605" s="361" t="s">
        <v>2245</v>
      </c>
      <c r="F605" s="362" t="s">
        <v>386</v>
      </c>
      <c r="G605" s="327" t="s">
        <v>329</v>
      </c>
      <c r="H605" s="325"/>
      <c r="I605" s="327">
        <v>8</v>
      </c>
      <c r="J605" s="361" t="s">
        <v>720</v>
      </c>
      <c r="K605" s="327" t="s">
        <v>531</v>
      </c>
      <c r="L605" s="348">
        <f t="shared" si="53"/>
        <v>0</v>
      </c>
      <c r="M605" s="355"/>
      <c r="N605" s="355" t="str">
        <f t="shared" si="40"/>
        <v>PR</v>
      </c>
      <c r="O605" s="347">
        <v>19</v>
      </c>
      <c r="P605" s="325"/>
      <c r="Q605" s="351"/>
      <c r="R605" s="351"/>
      <c r="S605" s="351">
        <v>6</v>
      </c>
      <c r="T605" s="351">
        <v>0</v>
      </c>
      <c r="U605" s="329">
        <f>IF($N605=$N$4,IFERROR(INDEX(DanhMuc!$E$154:$E$165,MATCH(MID($B605,4,2),DanhMuc!$B$154:$B$165,0)),""),"")</f>
        <v>6000</v>
      </c>
      <c r="V605" s="325"/>
      <c r="W605" s="352" t="str">
        <f>+IF(AND($A605&lt;&gt;"",LEN($B605)&gt;=8,COUNTIF($B$6:$B605,$B605)=1),$W$5,"")</f>
        <v/>
      </c>
      <c r="X605" s="329" t="str">
        <f t="shared" si="51"/>
        <v>XW</v>
      </c>
      <c r="Y605" s="1128" t="s">
        <v>3380</v>
      </c>
      <c r="Z605" s="1128" t="s">
        <v>3381</v>
      </c>
      <c r="AA605" s="1128" t="s">
        <v>3384</v>
      </c>
      <c r="AC605" s="73"/>
    </row>
    <row r="606" spans="1:29" s="20" customFormat="1">
      <c r="A606" s="327" t="str">
        <f>IF(AND($B606&lt;&gt;"",$C606&lt;&gt;""),MAX($A$4:A605)+1,"")</f>
        <v/>
      </c>
      <c r="B606" s="361" t="s">
        <v>1866</v>
      </c>
      <c r="C606" s="364"/>
      <c r="D606" s="327">
        <f>IF($B606="","",COUNTIF($B$6:$B606,$B606))</f>
        <v>10</v>
      </c>
      <c r="E606" s="361" t="s">
        <v>2245</v>
      </c>
      <c r="F606" s="362" t="s">
        <v>386</v>
      </c>
      <c r="G606" s="327" t="s">
        <v>328</v>
      </c>
      <c r="H606" s="325"/>
      <c r="I606" s="327">
        <v>8</v>
      </c>
      <c r="J606" s="361" t="s">
        <v>707</v>
      </c>
      <c r="K606" s="327" t="s">
        <v>531</v>
      </c>
      <c r="L606" s="348">
        <f t="shared" si="53"/>
        <v>0</v>
      </c>
      <c r="M606" s="355"/>
      <c r="N606" s="355" t="str">
        <f t="shared" si="40"/>
        <v>PR</v>
      </c>
      <c r="O606" s="347">
        <v>19</v>
      </c>
      <c r="P606" s="325"/>
      <c r="Q606" s="351"/>
      <c r="R606" s="351"/>
      <c r="S606" s="351">
        <v>6</v>
      </c>
      <c r="T606" s="351">
        <v>0</v>
      </c>
      <c r="U606" s="329">
        <f>IF($N606=$N$4,IFERROR(INDEX(DanhMuc!$E$154:$E$165,MATCH(MID($B606,4,2),DanhMuc!$B$154:$B$165,0)),""),"")</f>
        <v>6000</v>
      </c>
      <c r="V606" s="325"/>
      <c r="W606" s="352" t="str">
        <f>+IF(AND($A606&lt;&gt;"",LEN($B606)&gt;=8,COUNTIF($B$6:$B606,$B606)=1),$W$5,"")</f>
        <v/>
      </c>
      <c r="X606" s="329" t="str">
        <f t="shared" si="51"/>
        <v>XW</v>
      </c>
      <c r="Y606" s="1128" t="s">
        <v>3380</v>
      </c>
      <c r="Z606" s="1128" t="s">
        <v>3381</v>
      </c>
      <c r="AA606" s="1128" t="s">
        <v>3384</v>
      </c>
      <c r="AC606" s="73"/>
    </row>
    <row r="607" spans="1:29" s="20" customFormat="1">
      <c r="A607" s="327" t="str">
        <f>IF(AND($B607&lt;&gt;"",$C607&lt;&gt;""),MAX($A$4:A606)+1,"")</f>
        <v/>
      </c>
      <c r="B607" s="361" t="s">
        <v>1866</v>
      </c>
      <c r="C607" s="364"/>
      <c r="D607" s="327">
        <f>IF($B607="","",COUNTIF($B$6:$B607,$B607))</f>
        <v>11</v>
      </c>
      <c r="E607" s="361" t="s">
        <v>2246</v>
      </c>
      <c r="F607" s="362" t="s">
        <v>631</v>
      </c>
      <c r="G607" s="327" t="s">
        <v>329</v>
      </c>
      <c r="H607" s="325"/>
      <c r="I607" s="327">
        <v>8</v>
      </c>
      <c r="J607" s="361" t="s">
        <v>720</v>
      </c>
      <c r="K607" s="327" t="s">
        <v>531</v>
      </c>
      <c r="L607" s="348">
        <f t="shared" si="53"/>
        <v>117599.99999999997</v>
      </c>
      <c r="M607" s="355"/>
      <c r="N607" s="355" t="str">
        <f t="shared" si="40"/>
        <v>PR</v>
      </c>
      <c r="O607" s="347">
        <v>20</v>
      </c>
      <c r="P607" s="325"/>
      <c r="Q607" s="351"/>
      <c r="R607" s="351">
        <v>1.2</v>
      </c>
      <c r="S607" s="351">
        <v>6</v>
      </c>
      <c r="T607" s="351">
        <v>0.23333333333333331</v>
      </c>
      <c r="U607" s="329">
        <f>IF($N607=$N$4,IFERROR(INDEX(DanhMuc!$E$154:$E$165,MATCH(MID($B607,4,2),DanhMuc!$B$154:$B$165,0)),""),"")</f>
        <v>6000</v>
      </c>
      <c r="V607" s="325"/>
      <c r="W607" s="352" t="str">
        <f>+IF(AND($A607&lt;&gt;"",LEN($B607)&gt;=8,COUNTIF($B$6:$B607,$B607)=1),$W$5,"")</f>
        <v/>
      </c>
      <c r="X607" s="329" t="str">
        <f t="shared" ref="X607:X670" si="54">IF(IFERROR(SEARCH("thép",$F607,1),0)&gt;=1,"T" &amp;MID($B607,4,2),MID($B607,4,2))</f>
        <v>XW</v>
      </c>
      <c r="Y607" s="1128" t="s">
        <v>3380</v>
      </c>
      <c r="Z607" s="1128" t="s">
        <v>3381</v>
      </c>
      <c r="AA607" s="1128" t="s">
        <v>3384</v>
      </c>
      <c r="AC607" s="73"/>
    </row>
    <row r="608" spans="1:29" s="20" customFormat="1">
      <c r="A608" s="327" t="str">
        <f>IF(AND($B608&lt;&gt;"",$C608&lt;&gt;""),MAX($A$4:A607)+1,"")</f>
        <v/>
      </c>
      <c r="B608" s="361" t="s">
        <v>1866</v>
      </c>
      <c r="C608" s="364"/>
      <c r="D608" s="327">
        <f>IF($B608="","",COUNTIF($B$6:$B608,$B608))</f>
        <v>12</v>
      </c>
      <c r="E608" s="361" t="s">
        <v>2246</v>
      </c>
      <c r="F608" s="362" t="s">
        <v>631</v>
      </c>
      <c r="G608" s="327" t="s">
        <v>328</v>
      </c>
      <c r="H608" s="325"/>
      <c r="I608" s="327">
        <v>8</v>
      </c>
      <c r="J608" s="361" t="s">
        <v>707</v>
      </c>
      <c r="K608" s="327" t="s">
        <v>531</v>
      </c>
      <c r="L608" s="348">
        <f t="shared" si="53"/>
        <v>117599.99999999997</v>
      </c>
      <c r="M608" s="355"/>
      <c r="N608" s="355" t="str">
        <f t="shared" si="40"/>
        <v>PR</v>
      </c>
      <c r="O608" s="347">
        <v>20</v>
      </c>
      <c r="P608" s="325"/>
      <c r="Q608" s="351"/>
      <c r="R608" s="351">
        <v>1.2</v>
      </c>
      <c r="S608" s="351">
        <v>6</v>
      </c>
      <c r="T608" s="351">
        <v>0.23333333333333331</v>
      </c>
      <c r="U608" s="329">
        <f>IF($N608=$N$4,IFERROR(INDEX(DanhMuc!$E$154:$E$165,MATCH(MID($B608,4,2),DanhMuc!$B$154:$B$165,0)),""),"")</f>
        <v>6000</v>
      </c>
      <c r="V608" s="325"/>
      <c r="W608" s="352" t="str">
        <f>+IF(AND($A608&lt;&gt;"",LEN($B608)&gt;=8,COUNTIF($B$6:$B608,$B608)=1),$W$5,"")</f>
        <v/>
      </c>
      <c r="X608" s="329" t="str">
        <f t="shared" si="54"/>
        <v>XW</v>
      </c>
      <c r="Y608" s="1128" t="s">
        <v>3380</v>
      </c>
      <c r="Z608" s="1128" t="s">
        <v>3381</v>
      </c>
      <c r="AA608" s="1128" t="s">
        <v>3384</v>
      </c>
      <c r="AC608" s="73"/>
    </row>
    <row r="609" spans="1:29" s="20" customFormat="1" ht="39">
      <c r="A609" s="327">
        <f>IF(AND($B609&lt;&gt;"",$C609&lt;&gt;""),MAX($A$4:A608)+1,"")</f>
        <v>52</v>
      </c>
      <c r="B609" s="359" t="s">
        <v>1867</v>
      </c>
      <c r="C609" s="360" t="s">
        <v>1894</v>
      </c>
      <c r="D609" s="327">
        <f>IF($B609="","",COUNTIF($B$6:$B609,$B609))</f>
        <v>1</v>
      </c>
      <c r="E609" s="363" t="s">
        <v>2269</v>
      </c>
      <c r="F609" s="382" t="s">
        <v>695</v>
      </c>
      <c r="G609" s="327" t="s">
        <v>329</v>
      </c>
      <c r="H609" s="325"/>
      <c r="I609" s="327">
        <v>2</v>
      </c>
      <c r="J609" s="361" t="s">
        <v>81</v>
      </c>
      <c r="K609" s="327" t="s">
        <v>516</v>
      </c>
      <c r="L609" s="348">
        <f t="shared" si="53"/>
        <v>376320</v>
      </c>
      <c r="M609" s="355"/>
      <c r="N609" s="355" t="str">
        <f t="shared" si="40"/>
        <v>PR</v>
      </c>
      <c r="O609" s="345"/>
      <c r="P609" s="325"/>
      <c r="Q609" s="351"/>
      <c r="R609" s="351">
        <v>1.2</v>
      </c>
      <c r="S609" s="351">
        <v>6</v>
      </c>
      <c r="T609" s="351">
        <v>0.7466666666666667</v>
      </c>
      <c r="U609" s="329">
        <f>IF($N609=$N$4,IFERROR(INDEX(DanhMuc!$E$154:$E$165,MATCH(MID($B609,4,2),DanhMuc!$B$154:$B$165,0)),""),"")</f>
        <v>6000</v>
      </c>
      <c r="V609" s="325"/>
      <c r="W609" s="352" t="str">
        <f>+IF(AND($A609&lt;&gt;"",LEN($B609)&gt;=8,COUNTIF($B$6:$B609,$B609)=1),$W$5,"")</f>
        <v>DMCua</v>
      </c>
      <c r="X609" s="329" t="str">
        <f t="shared" si="54"/>
        <v>XW</v>
      </c>
      <c r="Y609" s="1128" t="s">
        <v>3380</v>
      </c>
      <c r="Z609" s="1128" t="s">
        <v>3381</v>
      </c>
      <c r="AA609" s="1128" t="s">
        <v>3384</v>
      </c>
      <c r="AC609" s="73"/>
    </row>
    <row r="610" spans="1:29" s="20" customFormat="1">
      <c r="A610" s="327" t="str">
        <f>IF(AND($B610&lt;&gt;"",$C610&lt;&gt;""),MAX($A$4:A609)+1,"")</f>
        <v/>
      </c>
      <c r="B610" s="361" t="s">
        <v>1867</v>
      </c>
      <c r="C610" s="364"/>
      <c r="D610" s="327">
        <f>IF($B610="","",COUNTIF($B$6:$B610,$B610))</f>
        <v>2</v>
      </c>
      <c r="E610" s="363" t="s">
        <v>2269</v>
      </c>
      <c r="F610" s="382" t="s">
        <v>695</v>
      </c>
      <c r="G610" s="327" t="s">
        <v>328</v>
      </c>
      <c r="H610" s="325"/>
      <c r="I610" s="327">
        <v>2</v>
      </c>
      <c r="J610" s="361" t="s">
        <v>80</v>
      </c>
      <c r="K610" s="327" t="s">
        <v>516</v>
      </c>
      <c r="L610" s="348">
        <f t="shared" si="53"/>
        <v>376320</v>
      </c>
      <c r="M610" s="355"/>
      <c r="N610" s="355" t="str">
        <f t="shared" si="40"/>
        <v>PR</v>
      </c>
      <c r="O610" s="345"/>
      <c r="P610" s="325"/>
      <c r="Q610" s="351"/>
      <c r="R610" s="351">
        <v>1.2</v>
      </c>
      <c r="S610" s="351">
        <v>6</v>
      </c>
      <c r="T610" s="351">
        <v>0.7466666666666667</v>
      </c>
      <c r="U610" s="329">
        <f>IF($N610=$N$4,IFERROR(INDEX(DanhMuc!$E$154:$E$165,MATCH(MID($B610,4,2),DanhMuc!$B$154:$B$165,0)),""),"")</f>
        <v>6000</v>
      </c>
      <c r="V610" s="325"/>
      <c r="W610" s="352" t="str">
        <f>+IF(AND($A610&lt;&gt;"",LEN($B610)&gt;=8,COUNTIF($B$6:$B610,$B610)=1),$W$5,"")</f>
        <v/>
      </c>
      <c r="X610" s="329" t="str">
        <f t="shared" si="54"/>
        <v>XW</v>
      </c>
      <c r="Y610" s="1128" t="s">
        <v>3380</v>
      </c>
      <c r="Z610" s="1128" t="s">
        <v>3381</v>
      </c>
      <c r="AA610" s="1128" t="s">
        <v>3384</v>
      </c>
      <c r="AC610" s="73"/>
    </row>
    <row r="611" spans="1:29" s="20" customFormat="1">
      <c r="A611" s="327" t="str">
        <f>IF(AND($B611&lt;&gt;"",$C611&lt;&gt;""),MAX($A$4:A610)+1,"")</f>
        <v/>
      </c>
      <c r="B611" s="361" t="s">
        <v>1867</v>
      </c>
      <c r="C611" s="364"/>
      <c r="D611" s="327">
        <f>IF($B611="","",COUNTIF($B$6:$B611,$B611))</f>
        <v>3</v>
      </c>
      <c r="E611" s="361" t="s">
        <v>2270</v>
      </c>
      <c r="F611" s="362" t="s">
        <v>696</v>
      </c>
      <c r="G611" s="327" t="s">
        <v>329</v>
      </c>
      <c r="H611" s="325"/>
      <c r="I611" s="327">
        <v>2</v>
      </c>
      <c r="J611" s="361" t="s">
        <v>697</v>
      </c>
      <c r="K611" s="327" t="s">
        <v>516</v>
      </c>
      <c r="L611" s="348">
        <f t="shared" si="53"/>
        <v>470399.99999999988</v>
      </c>
      <c r="M611" s="355"/>
      <c r="N611" s="355" t="str">
        <f t="shared" si="40"/>
        <v>PR</v>
      </c>
      <c r="O611" s="345"/>
      <c r="P611" s="325"/>
      <c r="Q611" s="351"/>
      <c r="R611" s="351">
        <v>1.2</v>
      </c>
      <c r="S611" s="351">
        <v>6</v>
      </c>
      <c r="T611" s="351">
        <v>0.93333333333333324</v>
      </c>
      <c r="U611" s="329">
        <f>IF($N611=$N$4,IFERROR(INDEX(DanhMuc!$E$154:$E$165,MATCH(MID($B611,4,2),DanhMuc!$B$154:$B$165,0)),""),"")</f>
        <v>6000</v>
      </c>
      <c r="V611" s="325"/>
      <c r="W611" s="352" t="str">
        <f>+IF(AND($A611&lt;&gt;"",LEN($B611)&gt;=8,COUNTIF($B$6:$B611,$B611)=1),$W$5,"")</f>
        <v/>
      </c>
      <c r="X611" s="329" t="str">
        <f t="shared" si="54"/>
        <v>XW</v>
      </c>
      <c r="Y611" s="1128" t="s">
        <v>3380</v>
      </c>
      <c r="Z611" s="1128" t="s">
        <v>3381</v>
      </c>
      <c r="AA611" s="1128" t="s">
        <v>3384</v>
      </c>
      <c r="AC611" s="73"/>
    </row>
    <row r="612" spans="1:29" s="20" customFormat="1">
      <c r="A612" s="327" t="str">
        <f>IF(AND($B612&lt;&gt;"",$C612&lt;&gt;""),MAX($A$4:A611)+1,"")</f>
        <v/>
      </c>
      <c r="B612" s="361" t="s">
        <v>1867</v>
      </c>
      <c r="C612" s="364"/>
      <c r="D612" s="327">
        <f>IF($B612="","",COUNTIF($B$6:$B612,$B612))</f>
        <v>4</v>
      </c>
      <c r="E612" s="361" t="s">
        <v>2270</v>
      </c>
      <c r="F612" s="362" t="s">
        <v>696</v>
      </c>
      <c r="G612" s="327" t="s">
        <v>328</v>
      </c>
      <c r="H612" s="325"/>
      <c r="I612" s="327">
        <v>2</v>
      </c>
      <c r="J612" s="361" t="s">
        <v>698</v>
      </c>
      <c r="K612" s="327" t="s">
        <v>516</v>
      </c>
      <c r="L612" s="348">
        <f t="shared" si="53"/>
        <v>470399.99999999988</v>
      </c>
      <c r="M612" s="355"/>
      <c r="N612" s="355" t="str">
        <f t="shared" si="40"/>
        <v>PR</v>
      </c>
      <c r="O612" s="345"/>
      <c r="P612" s="325"/>
      <c r="Q612" s="351"/>
      <c r="R612" s="351">
        <v>1.2</v>
      </c>
      <c r="S612" s="351">
        <v>6</v>
      </c>
      <c r="T612" s="351">
        <v>0.93333333333333324</v>
      </c>
      <c r="U612" s="329">
        <f>IF($N612=$N$4,IFERROR(INDEX(DanhMuc!$E$154:$E$165,MATCH(MID($B612,4,2),DanhMuc!$B$154:$B$165,0)),""),"")</f>
        <v>6000</v>
      </c>
      <c r="V612" s="325"/>
      <c r="W612" s="352" t="str">
        <f>+IF(AND($A612&lt;&gt;"",LEN($B612)&gt;=8,COUNTIF($B$6:$B612,$B612)=1),$W$5,"")</f>
        <v/>
      </c>
      <c r="X612" s="329" t="str">
        <f t="shared" si="54"/>
        <v>XW</v>
      </c>
      <c r="Y612" s="1128" t="s">
        <v>3380</v>
      </c>
      <c r="Z612" s="1128" t="s">
        <v>3381</v>
      </c>
      <c r="AA612" s="1128" t="s">
        <v>3384</v>
      </c>
      <c r="AC612" s="73"/>
    </row>
    <row r="613" spans="1:29" s="20" customFormat="1">
      <c r="A613" s="327" t="str">
        <f>IF(AND($B613&lt;&gt;"",$C613&lt;&gt;""),MAX($A$4:A612)+1,"")</f>
        <v/>
      </c>
      <c r="B613" s="361" t="s">
        <v>1867</v>
      </c>
      <c r="C613" s="364"/>
      <c r="D613" s="327">
        <f>IF($B613="","",COUNTIF($B$6:$B613,$B613))</f>
        <v>5</v>
      </c>
      <c r="E613" s="361" t="s">
        <v>2244</v>
      </c>
      <c r="F613" s="362" t="s">
        <v>346</v>
      </c>
      <c r="G613" s="327" t="s">
        <v>329</v>
      </c>
      <c r="H613" s="325"/>
      <c r="I613" s="327">
        <v>2</v>
      </c>
      <c r="J613" s="361" t="s">
        <v>726</v>
      </c>
      <c r="K613" s="327" t="s">
        <v>531</v>
      </c>
      <c r="L613" s="348">
        <f t="shared" si="53"/>
        <v>142800</v>
      </c>
      <c r="M613" s="355"/>
      <c r="N613" s="355" t="str">
        <f t="shared" si="40"/>
        <v>PR</v>
      </c>
      <c r="O613" s="347">
        <v>10</v>
      </c>
      <c r="P613" s="325"/>
      <c r="Q613" s="351"/>
      <c r="R613" s="351">
        <v>1.2</v>
      </c>
      <c r="S613" s="351">
        <v>6</v>
      </c>
      <c r="T613" s="351">
        <v>0.28333333333333333</v>
      </c>
      <c r="U613" s="329">
        <f>IF($N613=$N$4,IFERROR(INDEX(DanhMuc!$E$154:$E$165,MATCH(MID($B613,4,2),DanhMuc!$B$154:$B$165,0)),""),"")</f>
        <v>6000</v>
      </c>
      <c r="V613" s="325"/>
      <c r="W613" s="352" t="str">
        <f>+IF(AND($A613&lt;&gt;"",LEN($B613)&gt;=8,COUNTIF($B$6:$B613,$B613)=1),$W$5,"")</f>
        <v/>
      </c>
      <c r="X613" s="329" t="str">
        <f t="shared" si="54"/>
        <v>XW</v>
      </c>
      <c r="Y613" s="1128" t="s">
        <v>3380</v>
      </c>
      <c r="Z613" s="1128" t="s">
        <v>3381</v>
      </c>
      <c r="AA613" s="1128" t="s">
        <v>3384</v>
      </c>
      <c r="AC613" s="73"/>
    </row>
    <row r="614" spans="1:29" s="20" customFormat="1">
      <c r="A614" s="327" t="str">
        <f>IF(AND($B614&lt;&gt;"",$C614&lt;&gt;""),MAX($A$4:A613)+1,"")</f>
        <v/>
      </c>
      <c r="B614" s="361" t="s">
        <v>1867</v>
      </c>
      <c r="C614" s="364"/>
      <c r="D614" s="327">
        <f>IF($B614="","",COUNTIF($B$6:$B614,$B614))</f>
        <v>6</v>
      </c>
      <c r="E614" s="361" t="s">
        <v>2244</v>
      </c>
      <c r="F614" s="362" t="s">
        <v>346</v>
      </c>
      <c r="G614" s="327" t="s">
        <v>328</v>
      </c>
      <c r="H614" s="325"/>
      <c r="I614" s="327">
        <v>2</v>
      </c>
      <c r="J614" s="361" t="s">
        <v>707</v>
      </c>
      <c r="K614" s="327" t="s">
        <v>531</v>
      </c>
      <c r="L614" s="348">
        <f t="shared" si="53"/>
        <v>142800</v>
      </c>
      <c r="M614" s="355"/>
      <c r="N614" s="355" t="str">
        <f t="shared" si="40"/>
        <v>PR</v>
      </c>
      <c r="O614" s="347">
        <v>10</v>
      </c>
      <c r="P614" s="325"/>
      <c r="Q614" s="351"/>
      <c r="R614" s="351">
        <v>1.2</v>
      </c>
      <c r="S614" s="351">
        <v>6</v>
      </c>
      <c r="T614" s="351">
        <v>0.28333333333333333</v>
      </c>
      <c r="U614" s="329">
        <f>IF($N614=$N$4,IFERROR(INDEX(DanhMuc!$E$154:$E$165,MATCH(MID($B614,4,2),DanhMuc!$B$154:$B$165,0)),""),"")</f>
        <v>6000</v>
      </c>
      <c r="V614" s="325"/>
      <c r="W614" s="352" t="str">
        <f>+IF(AND($A614&lt;&gt;"",LEN($B614)&gt;=8,COUNTIF($B$6:$B614,$B614)=1),$W$5,"")</f>
        <v/>
      </c>
      <c r="X614" s="329" t="str">
        <f t="shared" si="54"/>
        <v>XW</v>
      </c>
      <c r="Y614" s="1128" t="s">
        <v>3380</v>
      </c>
      <c r="Z614" s="1128" t="s">
        <v>3381</v>
      </c>
      <c r="AA614" s="1128" t="s">
        <v>3384</v>
      </c>
      <c r="AC614" s="73"/>
    </row>
    <row r="615" spans="1:29" s="20" customFormat="1">
      <c r="A615" s="327" t="str">
        <f>IF(AND($B615&lt;&gt;"",$C615&lt;&gt;""),MAX($A$4:A614)+1,"")</f>
        <v/>
      </c>
      <c r="B615" s="361" t="s">
        <v>1867</v>
      </c>
      <c r="C615" s="364"/>
      <c r="D615" s="327">
        <f>IF($B615="","",COUNTIF($B$6:$B615,$B615))</f>
        <v>7</v>
      </c>
      <c r="E615" s="361" t="s">
        <v>2245</v>
      </c>
      <c r="F615" s="362" t="s">
        <v>386</v>
      </c>
      <c r="G615" s="327" t="s">
        <v>329</v>
      </c>
      <c r="H615" s="325"/>
      <c r="I615" s="327">
        <v>2</v>
      </c>
      <c r="J615" s="361" t="s">
        <v>726</v>
      </c>
      <c r="K615" s="327" t="s">
        <v>531</v>
      </c>
      <c r="L615" s="348">
        <f t="shared" si="53"/>
        <v>0</v>
      </c>
      <c r="M615" s="355"/>
      <c r="N615" s="355" t="str">
        <f t="shared" si="40"/>
        <v>PR</v>
      </c>
      <c r="O615" s="347">
        <v>19</v>
      </c>
      <c r="P615" s="325"/>
      <c r="Q615" s="351"/>
      <c r="R615" s="351"/>
      <c r="S615" s="351">
        <v>6</v>
      </c>
      <c r="T615" s="351">
        <v>0</v>
      </c>
      <c r="U615" s="329">
        <f>IF($N615=$N$4,IFERROR(INDEX(DanhMuc!$E$154:$E$165,MATCH(MID($B615,4,2),DanhMuc!$B$154:$B$165,0)),""),"")</f>
        <v>6000</v>
      </c>
      <c r="V615" s="325"/>
      <c r="W615" s="352" t="str">
        <f>+IF(AND($A615&lt;&gt;"",LEN($B615)&gt;=8,COUNTIF($B$6:$B615,$B615)=1),$W$5,"")</f>
        <v/>
      </c>
      <c r="X615" s="329" t="str">
        <f t="shared" si="54"/>
        <v>XW</v>
      </c>
      <c r="Y615" s="1128" t="s">
        <v>3380</v>
      </c>
      <c r="Z615" s="1128" t="s">
        <v>3381</v>
      </c>
      <c r="AA615" s="1128" t="s">
        <v>3384</v>
      </c>
      <c r="AC615" s="73"/>
    </row>
    <row r="616" spans="1:29" s="20" customFormat="1">
      <c r="A616" s="327" t="str">
        <f>IF(AND($B616&lt;&gt;"",$C616&lt;&gt;""),MAX($A$4:A615)+1,"")</f>
        <v/>
      </c>
      <c r="B616" s="361" t="s">
        <v>1867</v>
      </c>
      <c r="C616" s="364"/>
      <c r="D616" s="327">
        <f>IF($B616="","",COUNTIF($B$6:$B616,$B616))</f>
        <v>8</v>
      </c>
      <c r="E616" s="361" t="s">
        <v>2245</v>
      </c>
      <c r="F616" s="362" t="s">
        <v>386</v>
      </c>
      <c r="G616" s="327" t="s">
        <v>328</v>
      </c>
      <c r="H616" s="325"/>
      <c r="I616" s="327">
        <v>2</v>
      </c>
      <c r="J616" s="361" t="s">
        <v>707</v>
      </c>
      <c r="K616" s="327" t="s">
        <v>531</v>
      </c>
      <c r="L616" s="348">
        <f t="shared" si="53"/>
        <v>0</v>
      </c>
      <c r="M616" s="355"/>
      <c r="N616" s="355" t="str">
        <f t="shared" si="40"/>
        <v>PR</v>
      </c>
      <c r="O616" s="347">
        <v>19</v>
      </c>
      <c r="P616" s="325"/>
      <c r="Q616" s="351"/>
      <c r="R616" s="351"/>
      <c r="S616" s="351">
        <v>6</v>
      </c>
      <c r="T616" s="351">
        <v>0</v>
      </c>
      <c r="U616" s="329">
        <f>IF($N616=$N$4,IFERROR(INDEX(DanhMuc!$E$154:$E$165,MATCH(MID($B616,4,2),DanhMuc!$B$154:$B$165,0)),""),"")</f>
        <v>6000</v>
      </c>
      <c r="V616" s="325"/>
      <c r="W616" s="352" t="str">
        <f>+IF(AND($A616&lt;&gt;"",LEN($B616)&gt;=8,COUNTIF($B$6:$B616,$B616)=1),$W$5,"")</f>
        <v/>
      </c>
      <c r="X616" s="329" t="str">
        <f t="shared" si="54"/>
        <v>XW</v>
      </c>
      <c r="Y616" s="1128" t="s">
        <v>3380</v>
      </c>
      <c r="Z616" s="1128" t="s">
        <v>3381</v>
      </c>
      <c r="AA616" s="1128" t="s">
        <v>3384</v>
      </c>
      <c r="AC616" s="73"/>
    </row>
    <row r="617" spans="1:29" s="20" customFormat="1">
      <c r="A617" s="327" t="str">
        <f>IF(AND($B617&lt;&gt;"",$C617&lt;&gt;""),MAX($A$4:A616)+1,"")</f>
        <v/>
      </c>
      <c r="B617" s="361" t="s">
        <v>1867</v>
      </c>
      <c r="C617" s="364"/>
      <c r="D617" s="327">
        <f>IF($B617="","",COUNTIF($B$6:$B617,$B617))</f>
        <v>9</v>
      </c>
      <c r="E617" s="361" t="s">
        <v>2246</v>
      </c>
      <c r="F617" s="362" t="s">
        <v>631</v>
      </c>
      <c r="G617" s="327" t="s">
        <v>329</v>
      </c>
      <c r="H617" s="325"/>
      <c r="I617" s="327">
        <v>2</v>
      </c>
      <c r="J617" s="361" t="s">
        <v>726</v>
      </c>
      <c r="K617" s="327" t="s">
        <v>531</v>
      </c>
      <c r="L617" s="348">
        <f t="shared" si="53"/>
        <v>117599.99999999997</v>
      </c>
      <c r="M617" s="355"/>
      <c r="N617" s="355" t="str">
        <f t="shared" si="40"/>
        <v>PR</v>
      </c>
      <c r="O617" s="347">
        <v>20</v>
      </c>
      <c r="P617" s="325"/>
      <c r="Q617" s="351"/>
      <c r="R617" s="351">
        <v>1.2</v>
      </c>
      <c r="S617" s="351">
        <v>6</v>
      </c>
      <c r="T617" s="351">
        <v>0.23333333333333331</v>
      </c>
      <c r="U617" s="329">
        <f>IF($N617=$N$4,IFERROR(INDEX(DanhMuc!$E$154:$E$165,MATCH(MID($B617,4,2),DanhMuc!$B$154:$B$165,0)),""),"")</f>
        <v>6000</v>
      </c>
      <c r="V617" s="325"/>
      <c r="W617" s="352" t="str">
        <f>+IF(AND($A617&lt;&gt;"",LEN($B617)&gt;=8,COUNTIF($B$6:$B617,$B617)=1),$W$5,"")</f>
        <v/>
      </c>
      <c r="X617" s="329" t="str">
        <f t="shared" si="54"/>
        <v>XW</v>
      </c>
      <c r="Y617" s="1128" t="s">
        <v>3380</v>
      </c>
      <c r="Z617" s="1128" t="s">
        <v>3381</v>
      </c>
      <c r="AA617" s="1128" t="s">
        <v>3384</v>
      </c>
      <c r="AC617" s="73"/>
    </row>
    <row r="618" spans="1:29" s="20" customFormat="1">
      <c r="A618" s="327" t="str">
        <f>IF(AND($B618&lt;&gt;"",$C618&lt;&gt;""),MAX($A$4:A617)+1,"")</f>
        <v/>
      </c>
      <c r="B618" s="361" t="s">
        <v>1867</v>
      </c>
      <c r="C618" s="364"/>
      <c r="D618" s="327">
        <f>IF($B618="","",COUNTIF($B$6:$B618,$B618))</f>
        <v>10</v>
      </c>
      <c r="E618" s="361" t="s">
        <v>2246</v>
      </c>
      <c r="F618" s="362" t="s">
        <v>631</v>
      </c>
      <c r="G618" s="327" t="s">
        <v>328</v>
      </c>
      <c r="H618" s="325"/>
      <c r="I618" s="327">
        <v>2</v>
      </c>
      <c r="J618" s="361" t="s">
        <v>707</v>
      </c>
      <c r="K618" s="327" t="s">
        <v>531</v>
      </c>
      <c r="L618" s="348">
        <f t="shared" si="53"/>
        <v>117599.99999999997</v>
      </c>
      <c r="M618" s="355"/>
      <c r="N618" s="355" t="str">
        <f t="shared" si="40"/>
        <v>PR</v>
      </c>
      <c r="O618" s="347">
        <v>20</v>
      </c>
      <c r="P618" s="325"/>
      <c r="Q618" s="351"/>
      <c r="R618" s="351">
        <v>1.2</v>
      </c>
      <c r="S618" s="351">
        <v>6</v>
      </c>
      <c r="T618" s="351">
        <v>0.23333333333333331</v>
      </c>
      <c r="U618" s="329">
        <f>IF($N618=$N$4,IFERROR(INDEX(DanhMuc!$E$154:$E$165,MATCH(MID($B618,4,2),DanhMuc!$B$154:$B$165,0)),""),"")</f>
        <v>6000</v>
      </c>
      <c r="V618" s="325"/>
      <c r="W618" s="352" t="str">
        <f>+IF(AND($A618&lt;&gt;"",LEN($B618)&gt;=8,COUNTIF($B$6:$B618,$B618)=1),$W$5,"")</f>
        <v/>
      </c>
      <c r="X618" s="329" t="str">
        <f t="shared" si="54"/>
        <v>XW</v>
      </c>
      <c r="Y618" s="1128" t="s">
        <v>3380</v>
      </c>
      <c r="Z618" s="1128" t="s">
        <v>3381</v>
      </c>
      <c r="AA618" s="1128" t="s">
        <v>3384</v>
      </c>
      <c r="AC618" s="73"/>
    </row>
    <row r="619" spans="1:29" s="20" customFormat="1" ht="39">
      <c r="A619" s="327">
        <f>IF(AND($B619&lt;&gt;"",$C619&lt;&gt;""),MAX($A$4:A618)+1,"")</f>
        <v>53</v>
      </c>
      <c r="B619" s="359" t="s">
        <v>1868</v>
      </c>
      <c r="C619" s="360" t="s">
        <v>1895</v>
      </c>
      <c r="D619" s="327">
        <f>IF($B619="","",COUNTIF($B$6:$B619,$B619))</f>
        <v>1</v>
      </c>
      <c r="E619" s="363" t="s">
        <v>2269</v>
      </c>
      <c r="F619" s="382" t="s">
        <v>695</v>
      </c>
      <c r="G619" s="327" t="s">
        <v>329</v>
      </c>
      <c r="H619" s="325"/>
      <c r="I619" s="327">
        <v>2</v>
      </c>
      <c r="J619" s="361" t="s">
        <v>81</v>
      </c>
      <c r="K619" s="327" t="s">
        <v>516</v>
      </c>
      <c r="L619" s="348">
        <f t="shared" si="53"/>
        <v>376320</v>
      </c>
      <c r="M619" s="355"/>
      <c r="N619" s="355" t="str">
        <f t="shared" si="40"/>
        <v>PR</v>
      </c>
      <c r="O619" s="345"/>
      <c r="P619" s="325"/>
      <c r="Q619" s="351"/>
      <c r="R619" s="351">
        <v>1.2</v>
      </c>
      <c r="S619" s="351">
        <v>6</v>
      </c>
      <c r="T619" s="351">
        <v>0.7466666666666667</v>
      </c>
      <c r="U619" s="329">
        <f>IF($N619=$N$4,IFERROR(INDEX(DanhMuc!$E$154:$E$165,MATCH(MID($B619,4,2),DanhMuc!$B$154:$B$165,0)),""),"")</f>
        <v>6000</v>
      </c>
      <c r="V619" s="325"/>
      <c r="W619" s="352" t="str">
        <f>+IF(AND($A619&lt;&gt;"",LEN($B619)&gt;=8,COUNTIF($B$6:$B619,$B619)=1),$W$5,"")</f>
        <v>DMCua</v>
      </c>
      <c r="X619" s="329" t="str">
        <f t="shared" si="54"/>
        <v>XW</v>
      </c>
      <c r="Y619" s="1128" t="s">
        <v>3380</v>
      </c>
      <c r="Z619" s="1128" t="s">
        <v>3381</v>
      </c>
      <c r="AA619" s="1128" t="s">
        <v>3384</v>
      </c>
      <c r="AC619" s="73"/>
    </row>
    <row r="620" spans="1:29" s="20" customFormat="1">
      <c r="A620" s="327" t="str">
        <f>IF(AND($B620&lt;&gt;"",$C620&lt;&gt;""),MAX($A$4:A619)+1,"")</f>
        <v/>
      </c>
      <c r="B620" s="361" t="s">
        <v>1868</v>
      </c>
      <c r="C620" s="364"/>
      <c r="D620" s="327">
        <f>IF($B620="","",COUNTIF($B$6:$B620,$B620))</f>
        <v>2</v>
      </c>
      <c r="E620" s="363" t="s">
        <v>2269</v>
      </c>
      <c r="F620" s="382" t="s">
        <v>695</v>
      </c>
      <c r="G620" s="327" t="s">
        <v>328</v>
      </c>
      <c r="H620" s="325"/>
      <c r="I620" s="327">
        <v>2</v>
      </c>
      <c r="J620" s="361" t="s">
        <v>80</v>
      </c>
      <c r="K620" s="327" t="s">
        <v>516</v>
      </c>
      <c r="L620" s="348">
        <f t="shared" si="53"/>
        <v>376320</v>
      </c>
      <c r="M620" s="355"/>
      <c r="N620" s="355" t="str">
        <f t="shared" si="40"/>
        <v>PR</v>
      </c>
      <c r="O620" s="345"/>
      <c r="P620" s="325"/>
      <c r="Q620" s="351"/>
      <c r="R620" s="351">
        <v>1.2</v>
      </c>
      <c r="S620" s="351">
        <v>6</v>
      </c>
      <c r="T620" s="351">
        <v>0.7466666666666667</v>
      </c>
      <c r="U620" s="329">
        <f>IF($N620=$N$4,IFERROR(INDEX(DanhMuc!$E$154:$E$165,MATCH(MID($B620,4,2),DanhMuc!$B$154:$B$165,0)),""),"")</f>
        <v>6000</v>
      </c>
      <c r="V620" s="325"/>
      <c r="W620" s="352" t="str">
        <f>+IF(AND($A620&lt;&gt;"",LEN($B620)&gt;=8,COUNTIF($B$6:$B620,$B620)=1),$W$5,"")</f>
        <v/>
      </c>
      <c r="X620" s="329" t="str">
        <f t="shared" si="54"/>
        <v>XW</v>
      </c>
      <c r="Y620" s="1128" t="s">
        <v>3380</v>
      </c>
      <c r="Z620" s="1128" t="s">
        <v>3381</v>
      </c>
      <c r="AA620" s="1128" t="s">
        <v>3384</v>
      </c>
      <c r="AC620" s="73"/>
    </row>
    <row r="621" spans="1:29" s="20" customFormat="1">
      <c r="A621" s="327" t="str">
        <f>IF(AND($B621&lt;&gt;"",$C621&lt;&gt;""),MAX($A$4:A620)+1,"")</f>
        <v/>
      </c>
      <c r="B621" s="361" t="s">
        <v>1868</v>
      </c>
      <c r="C621" s="364"/>
      <c r="D621" s="327">
        <f>IF($B621="","",COUNTIF($B$6:$B621,$B621))</f>
        <v>3</v>
      </c>
      <c r="E621" s="361" t="s">
        <v>2270</v>
      </c>
      <c r="F621" s="362" t="s">
        <v>696</v>
      </c>
      <c r="G621" s="327" t="s">
        <v>329</v>
      </c>
      <c r="H621" s="325"/>
      <c r="I621" s="327">
        <v>4</v>
      </c>
      <c r="J621" s="361" t="s">
        <v>745</v>
      </c>
      <c r="K621" s="327" t="s">
        <v>516</v>
      </c>
      <c r="L621" s="348">
        <f t="shared" si="53"/>
        <v>470399.99999999988</v>
      </c>
      <c r="M621" s="355"/>
      <c r="N621" s="355" t="str">
        <f t="shared" si="40"/>
        <v>PR</v>
      </c>
      <c r="O621" s="345"/>
      <c r="P621" s="325"/>
      <c r="Q621" s="351"/>
      <c r="R621" s="351">
        <v>1.2</v>
      </c>
      <c r="S621" s="351">
        <v>6</v>
      </c>
      <c r="T621" s="351">
        <v>0.93333333333333324</v>
      </c>
      <c r="U621" s="329">
        <f>IF($N621=$N$4,IFERROR(INDEX(DanhMuc!$E$154:$E$165,MATCH(MID($B621,4,2),DanhMuc!$B$154:$B$165,0)),""),"")</f>
        <v>6000</v>
      </c>
      <c r="V621" s="325"/>
      <c r="W621" s="352" t="str">
        <f>+IF(AND($A621&lt;&gt;"",LEN($B621)&gt;=8,COUNTIF($B$6:$B621,$B621)=1),$W$5,"")</f>
        <v/>
      </c>
      <c r="X621" s="329" t="str">
        <f t="shared" si="54"/>
        <v>XW</v>
      </c>
      <c r="Y621" s="1128" t="s">
        <v>3380</v>
      </c>
      <c r="Z621" s="1128" t="s">
        <v>3381</v>
      </c>
      <c r="AA621" s="1128" t="s">
        <v>3384</v>
      </c>
      <c r="AC621" s="73"/>
    </row>
    <row r="622" spans="1:29" s="20" customFormat="1">
      <c r="A622" s="327" t="str">
        <f>IF(AND($B622&lt;&gt;"",$C622&lt;&gt;""),MAX($A$4:A621)+1,"")</f>
        <v/>
      </c>
      <c r="B622" s="361" t="s">
        <v>1868</v>
      </c>
      <c r="C622" s="364"/>
      <c r="D622" s="327">
        <f>IF($B622="","",COUNTIF($B$6:$B622,$B622))</f>
        <v>4</v>
      </c>
      <c r="E622" s="361" t="s">
        <v>2270</v>
      </c>
      <c r="F622" s="362" t="s">
        <v>696</v>
      </c>
      <c r="G622" s="327" t="s">
        <v>328</v>
      </c>
      <c r="H622" s="325"/>
      <c r="I622" s="327">
        <v>4</v>
      </c>
      <c r="J622" s="361" t="s">
        <v>698</v>
      </c>
      <c r="K622" s="327" t="s">
        <v>516</v>
      </c>
      <c r="L622" s="348">
        <f t="shared" si="53"/>
        <v>470399.99999999988</v>
      </c>
      <c r="M622" s="355"/>
      <c r="N622" s="355" t="str">
        <f t="shared" si="40"/>
        <v>PR</v>
      </c>
      <c r="O622" s="345"/>
      <c r="P622" s="325"/>
      <c r="Q622" s="351"/>
      <c r="R622" s="351">
        <v>1.2</v>
      </c>
      <c r="S622" s="351">
        <v>6</v>
      </c>
      <c r="T622" s="351">
        <v>0.93333333333333324</v>
      </c>
      <c r="U622" s="329">
        <f>IF($N622=$N$4,IFERROR(INDEX(DanhMuc!$E$154:$E$165,MATCH(MID($B622,4,2),DanhMuc!$B$154:$B$165,0)),""),"")</f>
        <v>6000</v>
      </c>
      <c r="V622" s="325"/>
      <c r="W622" s="352" t="str">
        <f>+IF(AND($A622&lt;&gt;"",LEN($B622)&gt;=8,COUNTIF($B$6:$B622,$B622)=1),$W$5,"")</f>
        <v/>
      </c>
      <c r="X622" s="329" t="str">
        <f t="shared" si="54"/>
        <v>XW</v>
      </c>
      <c r="Y622" s="1128" t="s">
        <v>3380</v>
      </c>
      <c r="Z622" s="1128" t="s">
        <v>3381</v>
      </c>
      <c r="AA622" s="1128" t="s">
        <v>3384</v>
      </c>
      <c r="AC622" s="73"/>
    </row>
    <row r="623" spans="1:29" s="20" customFormat="1">
      <c r="A623" s="327" t="str">
        <f>IF(AND($B623&lt;&gt;"",$C623&lt;&gt;""),MAX($A$4:A622)+1,"")</f>
        <v/>
      </c>
      <c r="B623" s="361" t="s">
        <v>1868</v>
      </c>
      <c r="C623" s="364"/>
      <c r="D623" s="327">
        <f>IF($B623="","",COUNTIF($B$6:$B623,$B623))</f>
        <v>5</v>
      </c>
      <c r="E623" s="361" t="s">
        <v>2271</v>
      </c>
      <c r="F623" s="362" t="s">
        <v>719</v>
      </c>
      <c r="G623" s="327" t="s">
        <v>328</v>
      </c>
      <c r="H623" s="325"/>
      <c r="I623" s="327">
        <v>1</v>
      </c>
      <c r="J623" s="361" t="s">
        <v>718</v>
      </c>
      <c r="K623" s="327" t="s">
        <v>531</v>
      </c>
      <c r="L623" s="348">
        <f t="shared" ref="L623:L673" si="55">+$T623*$L$391*$S623</f>
        <v>445200</v>
      </c>
      <c r="M623" s="355"/>
      <c r="N623" s="355" t="str">
        <f t="shared" si="40"/>
        <v>PR</v>
      </c>
      <c r="O623" s="345"/>
      <c r="P623" s="325"/>
      <c r="Q623" s="351"/>
      <c r="R623" s="351">
        <v>1.2</v>
      </c>
      <c r="S623" s="351">
        <v>6</v>
      </c>
      <c r="T623" s="351">
        <v>0.8833333333333333</v>
      </c>
      <c r="U623" s="329">
        <f>IF($N623=$N$4,IFERROR(INDEX(DanhMuc!$E$154:$E$165,MATCH(MID($B623,4,2),DanhMuc!$B$154:$B$165,0)),""),"")</f>
        <v>6000</v>
      </c>
      <c r="V623" s="325"/>
      <c r="W623" s="352" t="str">
        <f>+IF(AND($A623&lt;&gt;"",LEN($B623)&gt;=8,COUNTIF($B$6:$B623,$B623)=1),$W$5,"")</f>
        <v/>
      </c>
      <c r="X623" s="329" t="str">
        <f t="shared" si="54"/>
        <v>XW</v>
      </c>
      <c r="Y623" s="1128" t="s">
        <v>3380</v>
      </c>
      <c r="Z623" s="1128" t="s">
        <v>3381</v>
      </c>
      <c r="AA623" s="1128" t="s">
        <v>3384</v>
      </c>
      <c r="AC623" s="73"/>
    </row>
    <row r="624" spans="1:29" s="20" customFormat="1">
      <c r="A624" s="327" t="str">
        <f>IF(AND($B624&lt;&gt;"",$C624&lt;&gt;""),MAX($A$4:A623)+1,"")</f>
        <v/>
      </c>
      <c r="B624" s="361" t="s">
        <v>1868</v>
      </c>
      <c r="C624" s="364"/>
      <c r="D624" s="327">
        <f>IF($B624="","",COUNTIF($B$6:$B624,$B624))</f>
        <v>6</v>
      </c>
      <c r="E624" s="361" t="s">
        <v>2244</v>
      </c>
      <c r="F624" s="362" t="s">
        <v>346</v>
      </c>
      <c r="G624" s="327" t="s">
        <v>329</v>
      </c>
      <c r="H624" s="325"/>
      <c r="I624" s="327">
        <v>4</v>
      </c>
      <c r="J624" s="361" t="s">
        <v>746</v>
      </c>
      <c r="K624" s="327" t="s">
        <v>531</v>
      </c>
      <c r="L624" s="348">
        <f t="shared" si="55"/>
        <v>142800</v>
      </c>
      <c r="M624" s="355"/>
      <c r="N624" s="355" t="str">
        <f t="shared" si="40"/>
        <v>PR</v>
      </c>
      <c r="O624" s="347">
        <v>10</v>
      </c>
      <c r="P624" s="325"/>
      <c r="Q624" s="351"/>
      <c r="R624" s="351">
        <v>1.2</v>
      </c>
      <c r="S624" s="351">
        <v>6</v>
      </c>
      <c r="T624" s="351">
        <v>0.28333333333333333</v>
      </c>
      <c r="U624" s="329">
        <f>IF($N624=$N$4,IFERROR(INDEX(DanhMuc!$E$154:$E$165,MATCH(MID($B624,4,2),DanhMuc!$B$154:$B$165,0)),""),"")</f>
        <v>6000</v>
      </c>
      <c r="V624" s="325"/>
      <c r="W624" s="352" t="str">
        <f>+IF(AND($A624&lt;&gt;"",LEN($B624)&gt;=8,COUNTIF($B$6:$B624,$B624)=1),$W$5,"")</f>
        <v/>
      </c>
      <c r="X624" s="329" t="str">
        <f t="shared" si="54"/>
        <v>XW</v>
      </c>
      <c r="Y624" s="1128" t="s">
        <v>3380</v>
      </c>
      <c r="Z624" s="1128" t="s">
        <v>3381</v>
      </c>
      <c r="AA624" s="1128" t="s">
        <v>3384</v>
      </c>
      <c r="AC624" s="73"/>
    </row>
    <row r="625" spans="1:29" s="20" customFormat="1">
      <c r="A625" s="327" t="str">
        <f>IF(AND($B625&lt;&gt;"",$C625&lt;&gt;""),MAX($A$4:A624)+1,"")</f>
        <v/>
      </c>
      <c r="B625" s="361" t="s">
        <v>1868</v>
      </c>
      <c r="C625" s="364"/>
      <c r="D625" s="327">
        <f>IF($B625="","",COUNTIF($B$6:$B625,$B625))</f>
        <v>7</v>
      </c>
      <c r="E625" s="361" t="s">
        <v>2244</v>
      </c>
      <c r="F625" s="362" t="s">
        <v>346</v>
      </c>
      <c r="G625" s="327" t="s">
        <v>328</v>
      </c>
      <c r="H625" s="325"/>
      <c r="I625" s="327">
        <v>4</v>
      </c>
      <c r="J625" s="361" t="s">
        <v>707</v>
      </c>
      <c r="K625" s="327" t="s">
        <v>531</v>
      </c>
      <c r="L625" s="348">
        <f t="shared" si="55"/>
        <v>142800</v>
      </c>
      <c r="M625" s="355"/>
      <c r="N625" s="355" t="str">
        <f t="shared" si="40"/>
        <v>PR</v>
      </c>
      <c r="O625" s="347">
        <v>10</v>
      </c>
      <c r="P625" s="325"/>
      <c r="Q625" s="351"/>
      <c r="R625" s="351">
        <v>1.2</v>
      </c>
      <c r="S625" s="351">
        <v>6</v>
      </c>
      <c r="T625" s="351">
        <v>0.28333333333333333</v>
      </c>
      <c r="U625" s="329">
        <f>IF($N625=$N$4,IFERROR(INDEX(DanhMuc!$E$154:$E$165,MATCH(MID($B625,4,2),DanhMuc!$B$154:$B$165,0)),""),"")</f>
        <v>6000</v>
      </c>
      <c r="V625" s="325"/>
      <c r="W625" s="352" t="str">
        <f>+IF(AND($A625&lt;&gt;"",LEN($B625)&gt;=8,COUNTIF($B$6:$B625,$B625)=1),$W$5,"")</f>
        <v/>
      </c>
      <c r="X625" s="329" t="str">
        <f t="shared" si="54"/>
        <v>XW</v>
      </c>
      <c r="Y625" s="1128" t="s">
        <v>3380</v>
      </c>
      <c r="Z625" s="1128" t="s">
        <v>3381</v>
      </c>
      <c r="AA625" s="1128" t="s">
        <v>3384</v>
      </c>
      <c r="AC625" s="73"/>
    </row>
    <row r="626" spans="1:29" s="20" customFormat="1">
      <c r="A626" s="327" t="str">
        <f>IF(AND($B626&lt;&gt;"",$C626&lt;&gt;""),MAX($A$4:A625)+1,"")</f>
        <v/>
      </c>
      <c r="B626" s="361" t="s">
        <v>1868</v>
      </c>
      <c r="C626" s="364"/>
      <c r="D626" s="327">
        <f>IF($B626="","",COUNTIF($B$6:$B626,$B626))</f>
        <v>8</v>
      </c>
      <c r="E626" s="361" t="s">
        <v>2245</v>
      </c>
      <c r="F626" s="362" t="s">
        <v>386</v>
      </c>
      <c r="G626" s="327" t="s">
        <v>329</v>
      </c>
      <c r="H626" s="325"/>
      <c r="I626" s="327">
        <v>4</v>
      </c>
      <c r="J626" s="361" t="s">
        <v>746</v>
      </c>
      <c r="K626" s="327" t="s">
        <v>531</v>
      </c>
      <c r="L626" s="348">
        <f t="shared" si="55"/>
        <v>0</v>
      </c>
      <c r="M626" s="355"/>
      <c r="N626" s="355" t="str">
        <f t="shared" si="40"/>
        <v>PR</v>
      </c>
      <c r="O626" s="347">
        <v>19</v>
      </c>
      <c r="P626" s="325"/>
      <c r="Q626" s="351"/>
      <c r="R626" s="351"/>
      <c r="S626" s="351">
        <v>6</v>
      </c>
      <c r="T626" s="351">
        <v>0</v>
      </c>
      <c r="U626" s="329">
        <f>IF($N626=$N$4,IFERROR(INDEX(DanhMuc!$E$154:$E$165,MATCH(MID($B626,4,2),DanhMuc!$B$154:$B$165,0)),""),"")</f>
        <v>6000</v>
      </c>
      <c r="V626" s="325"/>
      <c r="W626" s="352" t="str">
        <f>+IF(AND($A626&lt;&gt;"",LEN($B626)&gt;=8,COUNTIF($B$6:$B626,$B626)=1),$W$5,"")</f>
        <v/>
      </c>
      <c r="X626" s="329" t="str">
        <f t="shared" si="54"/>
        <v>XW</v>
      </c>
      <c r="Y626" s="1128" t="s">
        <v>3380</v>
      </c>
      <c r="Z626" s="1128" t="s">
        <v>3381</v>
      </c>
      <c r="AA626" s="1128" t="s">
        <v>3384</v>
      </c>
      <c r="AC626" s="73"/>
    </row>
    <row r="627" spans="1:29" s="20" customFormat="1">
      <c r="A627" s="327" t="str">
        <f>IF(AND($B627&lt;&gt;"",$C627&lt;&gt;""),MAX($A$4:A626)+1,"")</f>
        <v/>
      </c>
      <c r="B627" s="361" t="s">
        <v>1868</v>
      </c>
      <c r="C627" s="364"/>
      <c r="D627" s="327">
        <f>IF($B627="","",COUNTIF($B$6:$B627,$B627))</f>
        <v>9</v>
      </c>
      <c r="E627" s="361" t="s">
        <v>2245</v>
      </c>
      <c r="F627" s="362" t="s">
        <v>386</v>
      </c>
      <c r="G627" s="327" t="s">
        <v>328</v>
      </c>
      <c r="H627" s="325"/>
      <c r="I627" s="327">
        <v>4</v>
      </c>
      <c r="J627" s="361" t="s">
        <v>707</v>
      </c>
      <c r="K627" s="327" t="s">
        <v>531</v>
      </c>
      <c r="L627" s="348">
        <f t="shared" si="55"/>
        <v>0</v>
      </c>
      <c r="M627" s="355"/>
      <c r="N627" s="355" t="str">
        <f t="shared" si="40"/>
        <v>PR</v>
      </c>
      <c r="O627" s="347">
        <v>19</v>
      </c>
      <c r="P627" s="325"/>
      <c r="Q627" s="351"/>
      <c r="R627" s="351"/>
      <c r="S627" s="351">
        <v>6</v>
      </c>
      <c r="T627" s="351">
        <v>0</v>
      </c>
      <c r="U627" s="329">
        <f>IF($N627=$N$4,IFERROR(INDEX(DanhMuc!$E$154:$E$165,MATCH(MID($B627,4,2),DanhMuc!$B$154:$B$165,0)),""),"")</f>
        <v>6000</v>
      </c>
      <c r="V627" s="325"/>
      <c r="W627" s="352" t="str">
        <f>+IF(AND($A627&lt;&gt;"",LEN($B627)&gt;=8,COUNTIF($B$6:$B627,$B627)=1),$W$5,"")</f>
        <v/>
      </c>
      <c r="X627" s="329" t="str">
        <f t="shared" si="54"/>
        <v>XW</v>
      </c>
      <c r="Y627" s="1128" t="s">
        <v>3380</v>
      </c>
      <c r="Z627" s="1128" t="s">
        <v>3381</v>
      </c>
      <c r="AA627" s="1128" t="s">
        <v>3384</v>
      </c>
      <c r="AC627" s="73"/>
    </row>
    <row r="628" spans="1:29" s="20" customFormat="1">
      <c r="A628" s="327" t="str">
        <f>IF(AND($B628&lt;&gt;"",$C628&lt;&gt;""),MAX($A$4:A627)+1,"")</f>
        <v/>
      </c>
      <c r="B628" s="361" t="s">
        <v>1868</v>
      </c>
      <c r="C628" s="364"/>
      <c r="D628" s="327">
        <f>IF($B628="","",COUNTIF($B$6:$B628,$B628))</f>
        <v>10</v>
      </c>
      <c r="E628" s="361" t="s">
        <v>2246</v>
      </c>
      <c r="F628" s="362" t="s">
        <v>631</v>
      </c>
      <c r="G628" s="327" t="s">
        <v>329</v>
      </c>
      <c r="H628" s="325"/>
      <c r="I628" s="327">
        <v>4</v>
      </c>
      <c r="J628" s="361" t="s">
        <v>746</v>
      </c>
      <c r="K628" s="327" t="s">
        <v>531</v>
      </c>
      <c r="L628" s="348">
        <f t="shared" si="55"/>
        <v>117599.99999999997</v>
      </c>
      <c r="M628" s="355"/>
      <c r="N628" s="355" t="str">
        <f t="shared" si="40"/>
        <v>PR</v>
      </c>
      <c r="O628" s="347">
        <v>20</v>
      </c>
      <c r="P628" s="325"/>
      <c r="Q628" s="351"/>
      <c r="R628" s="351">
        <v>1.2</v>
      </c>
      <c r="S628" s="351">
        <v>6</v>
      </c>
      <c r="T628" s="351">
        <v>0.23333333333333331</v>
      </c>
      <c r="U628" s="329">
        <f>IF($N628=$N$4,IFERROR(INDEX(DanhMuc!$E$154:$E$165,MATCH(MID($B628,4,2),DanhMuc!$B$154:$B$165,0)),""),"")</f>
        <v>6000</v>
      </c>
      <c r="V628" s="325"/>
      <c r="W628" s="352" t="str">
        <f>+IF(AND($A628&lt;&gt;"",LEN($B628)&gt;=8,COUNTIF($B$6:$B628,$B628)=1),$W$5,"")</f>
        <v/>
      </c>
      <c r="X628" s="329" t="str">
        <f t="shared" si="54"/>
        <v>XW</v>
      </c>
      <c r="Y628" s="1128" t="s">
        <v>3380</v>
      </c>
      <c r="Z628" s="1128" t="s">
        <v>3381</v>
      </c>
      <c r="AA628" s="1128" t="s">
        <v>3384</v>
      </c>
      <c r="AC628" s="73"/>
    </row>
    <row r="629" spans="1:29" s="20" customFormat="1">
      <c r="A629" s="327" t="str">
        <f>IF(AND($B629&lt;&gt;"",$C629&lt;&gt;""),MAX($A$4:A628)+1,"")</f>
        <v/>
      </c>
      <c r="B629" s="361" t="s">
        <v>1868</v>
      </c>
      <c r="C629" s="364"/>
      <c r="D629" s="327">
        <f>IF($B629="","",COUNTIF($B$6:$B629,$B629))</f>
        <v>11</v>
      </c>
      <c r="E629" s="361" t="s">
        <v>2246</v>
      </c>
      <c r="F629" s="362" t="s">
        <v>631</v>
      </c>
      <c r="G629" s="327" t="s">
        <v>328</v>
      </c>
      <c r="H629" s="325"/>
      <c r="I629" s="327">
        <v>4</v>
      </c>
      <c r="J629" s="361" t="s">
        <v>707</v>
      </c>
      <c r="K629" s="327" t="s">
        <v>531</v>
      </c>
      <c r="L629" s="348">
        <f t="shared" si="55"/>
        <v>117599.99999999997</v>
      </c>
      <c r="M629" s="355"/>
      <c r="N629" s="355" t="str">
        <f t="shared" si="40"/>
        <v>PR</v>
      </c>
      <c r="O629" s="347">
        <v>20</v>
      </c>
      <c r="P629" s="325"/>
      <c r="Q629" s="351"/>
      <c r="R629" s="351">
        <v>1.2</v>
      </c>
      <c r="S629" s="351">
        <v>6</v>
      </c>
      <c r="T629" s="351">
        <v>0.23333333333333331</v>
      </c>
      <c r="U629" s="329">
        <f>IF($N629=$N$4,IFERROR(INDEX(DanhMuc!$E$154:$E$165,MATCH(MID($B629,4,2),DanhMuc!$B$154:$B$165,0)),""),"")</f>
        <v>6000</v>
      </c>
      <c r="V629" s="325"/>
      <c r="W629" s="352" t="str">
        <f>+IF(AND($A629&lt;&gt;"",LEN($B629)&gt;=8,COUNTIF($B$6:$B629,$B629)=1),$W$5,"")</f>
        <v/>
      </c>
      <c r="X629" s="329" t="str">
        <f t="shared" si="54"/>
        <v>XW</v>
      </c>
      <c r="Y629" s="1128" t="s">
        <v>3380</v>
      </c>
      <c r="Z629" s="1128" t="s">
        <v>3381</v>
      </c>
      <c r="AA629" s="1128" t="s">
        <v>3384</v>
      </c>
      <c r="AC629" s="73"/>
    </row>
    <row r="630" spans="1:29" s="20" customFormat="1" ht="39">
      <c r="A630" s="327">
        <f>IF(AND($B630&lt;&gt;"",$C630&lt;&gt;""),MAX($A$4:A629)+1,"")</f>
        <v>54</v>
      </c>
      <c r="B630" s="359" t="s">
        <v>1869</v>
      </c>
      <c r="C630" s="360" t="s">
        <v>1896</v>
      </c>
      <c r="D630" s="327">
        <f>IF($B630="","",COUNTIF($B$6:$B630,$B630))</f>
        <v>1</v>
      </c>
      <c r="E630" s="363" t="s">
        <v>2251</v>
      </c>
      <c r="F630" s="362" t="s">
        <v>334</v>
      </c>
      <c r="G630" s="327" t="s">
        <v>329</v>
      </c>
      <c r="H630" s="325"/>
      <c r="I630" s="327">
        <v>1</v>
      </c>
      <c r="J630" s="361" t="s">
        <v>594</v>
      </c>
      <c r="K630" s="327" t="s">
        <v>531</v>
      </c>
      <c r="L630" s="348">
        <f t="shared" si="55"/>
        <v>605640</v>
      </c>
      <c r="M630" s="373"/>
      <c r="N630" s="355" t="str">
        <f t="shared" si="40"/>
        <v>PR</v>
      </c>
      <c r="O630" s="345"/>
      <c r="P630" s="325"/>
      <c r="Q630" s="351"/>
      <c r="R630" s="351">
        <v>1.6</v>
      </c>
      <c r="S630" s="351">
        <v>6</v>
      </c>
      <c r="T630" s="351">
        <v>1.2016666666666667</v>
      </c>
      <c r="U630" s="329">
        <f>IF($N630=$N$4,IFERROR(INDEX(DanhMuc!$E$154:$E$165,MATCH(MID($B630,4,2),DanhMuc!$B$154:$B$165,0)),""),"")</f>
        <v>6000</v>
      </c>
      <c r="V630" s="325"/>
      <c r="W630" s="352" t="str">
        <f>+IF(AND($A630&lt;&gt;"",LEN($B630)&gt;=8,COUNTIF($B$6:$B630,$B630)=1),$W$5,"")</f>
        <v>DMCua</v>
      </c>
      <c r="X630" s="329" t="str">
        <f t="shared" si="54"/>
        <v>XW</v>
      </c>
      <c r="Y630" s="1128" t="s">
        <v>3380</v>
      </c>
      <c r="Z630" s="1128" t="s">
        <v>3381</v>
      </c>
      <c r="AA630" s="1128" t="s">
        <v>3384</v>
      </c>
      <c r="AC630" s="73"/>
    </row>
    <row r="631" spans="1:29" s="20" customFormat="1" ht="25">
      <c r="A631" s="327" t="str">
        <f>IF(AND($B631&lt;&gt;"",$C631&lt;&gt;""),MAX($A$4:A630)+1,"")</f>
        <v/>
      </c>
      <c r="B631" s="361" t="s">
        <v>1869</v>
      </c>
      <c r="C631" s="360"/>
      <c r="D631" s="327">
        <f>IF($B631="","",COUNTIF($B$6:$B631,$B631))</f>
        <v>2</v>
      </c>
      <c r="E631" s="361" t="s">
        <v>2252</v>
      </c>
      <c r="F631" s="362" t="s">
        <v>1903</v>
      </c>
      <c r="G631" s="327" t="s">
        <v>329</v>
      </c>
      <c r="H631" s="325"/>
      <c r="I631" s="327">
        <v>1</v>
      </c>
      <c r="J631" s="361" t="s">
        <v>594</v>
      </c>
      <c r="K631" s="327" t="s">
        <v>531</v>
      </c>
      <c r="L631" s="348">
        <f t="shared" si="55"/>
        <v>578759.99999999988</v>
      </c>
      <c r="M631" s="355"/>
      <c r="N631" s="355" t="str">
        <f t="shared" si="40"/>
        <v>PR</v>
      </c>
      <c r="O631" s="345"/>
      <c r="P631" s="325"/>
      <c r="Q631" s="351"/>
      <c r="R631" s="351">
        <v>1.6</v>
      </c>
      <c r="S631" s="351">
        <v>6</v>
      </c>
      <c r="T631" s="351">
        <v>1.1483333333333332</v>
      </c>
      <c r="U631" s="329">
        <f>IF($N631=$N$4,IFERROR(INDEX(DanhMuc!$E$154:$E$165,MATCH(MID($B631,4,2),DanhMuc!$B$154:$B$165,0)),""),"")</f>
        <v>6000</v>
      </c>
      <c r="V631" s="325"/>
      <c r="W631" s="352" t="str">
        <f>+IF(AND($A631&lt;&gt;"",LEN($B631)&gt;=8,COUNTIF($B$6:$B631,$B631)=1),$W$5,"")</f>
        <v/>
      </c>
      <c r="X631" s="329" t="str">
        <f t="shared" si="54"/>
        <v>XW</v>
      </c>
      <c r="Y631" s="1128" t="s">
        <v>3380</v>
      </c>
      <c r="Z631" s="1128" t="s">
        <v>3381</v>
      </c>
      <c r="AA631" s="1128" t="s">
        <v>3384</v>
      </c>
      <c r="AC631" s="73"/>
    </row>
    <row r="632" spans="1:29" s="20" customFormat="1">
      <c r="A632" s="327" t="str">
        <f>IF(AND($B632&lt;&gt;"",$C632&lt;&gt;""),MAX($A$4:A631)+1,"")</f>
        <v/>
      </c>
      <c r="B632" s="361" t="s">
        <v>1869</v>
      </c>
      <c r="C632" s="360"/>
      <c r="D632" s="327">
        <f>IF($B632="","",COUNTIF($B$6:$B632,$B632))</f>
        <v>3</v>
      </c>
      <c r="E632" s="361" t="s">
        <v>2253</v>
      </c>
      <c r="F632" s="362" t="s">
        <v>445</v>
      </c>
      <c r="G632" s="327" t="s">
        <v>328</v>
      </c>
      <c r="H632" s="325"/>
      <c r="I632" s="327">
        <v>2</v>
      </c>
      <c r="J632" s="361" t="s">
        <v>80</v>
      </c>
      <c r="K632" s="327" t="s">
        <v>531</v>
      </c>
      <c r="L632" s="348">
        <f t="shared" si="55"/>
        <v>464520</v>
      </c>
      <c r="M632" s="355"/>
      <c r="N632" s="355" t="str">
        <f t="shared" si="40"/>
        <v>PR</v>
      </c>
      <c r="O632" s="345"/>
      <c r="P632" s="325"/>
      <c r="Q632" s="351"/>
      <c r="R632" s="351">
        <v>1.6</v>
      </c>
      <c r="S632" s="351">
        <v>6</v>
      </c>
      <c r="T632" s="351">
        <v>0.92166666666666675</v>
      </c>
      <c r="U632" s="329">
        <f>IF($N632=$N$4,IFERROR(INDEX(DanhMuc!$E$154:$E$165,MATCH(MID($B632,4,2),DanhMuc!$B$154:$B$165,0)),""),"")</f>
        <v>6000</v>
      </c>
      <c r="V632" s="325"/>
      <c r="W632" s="352" t="str">
        <f>+IF(AND($A632&lt;&gt;"",LEN($B632)&gt;=8,COUNTIF($B$6:$B632,$B632)=1),$W$5,"")</f>
        <v/>
      </c>
      <c r="X632" s="329" t="str">
        <f t="shared" si="54"/>
        <v>XW</v>
      </c>
      <c r="Y632" s="1128" t="s">
        <v>3380</v>
      </c>
      <c r="Z632" s="1128" t="s">
        <v>3381</v>
      </c>
      <c r="AA632" s="1128" t="s">
        <v>3384</v>
      </c>
      <c r="AC632" s="73"/>
    </row>
    <row r="633" spans="1:29" s="20" customFormat="1">
      <c r="A633" s="327" t="str">
        <f>IF(AND($B633&lt;&gt;"",$C633&lt;&gt;""),MAX($A$4:A632)+1,"")</f>
        <v/>
      </c>
      <c r="B633" s="361" t="s">
        <v>1869</v>
      </c>
      <c r="C633" s="360"/>
      <c r="D633" s="327">
        <f>IF($B633="","",COUNTIF($B$6:$B633,$B633))</f>
        <v>4</v>
      </c>
      <c r="E633" s="361" t="s">
        <v>2254</v>
      </c>
      <c r="F633" s="362" t="s">
        <v>338</v>
      </c>
      <c r="G633" s="327" t="s">
        <v>329</v>
      </c>
      <c r="H633" s="325"/>
      <c r="I633" s="327">
        <v>2</v>
      </c>
      <c r="J633" s="361" t="s">
        <v>736</v>
      </c>
      <c r="K633" s="327" t="s">
        <v>531</v>
      </c>
      <c r="L633" s="348">
        <f t="shared" si="55"/>
        <v>416640</v>
      </c>
      <c r="M633" s="355"/>
      <c r="N633" s="355" t="str">
        <f t="shared" si="40"/>
        <v>PR</v>
      </c>
      <c r="O633" s="345"/>
      <c r="P633" s="325"/>
      <c r="Q633" s="351"/>
      <c r="R633" s="351">
        <v>1.6</v>
      </c>
      <c r="S633" s="351">
        <v>6</v>
      </c>
      <c r="T633" s="351">
        <v>0.82666666666666666</v>
      </c>
      <c r="U633" s="329">
        <f>IF($N633=$N$4,IFERROR(INDEX(DanhMuc!$E$154:$E$165,MATCH(MID($B633,4,2),DanhMuc!$B$154:$B$165,0)),""),"")</f>
        <v>6000</v>
      </c>
      <c r="V633" s="325"/>
      <c r="W633" s="352" t="str">
        <f>+IF(AND($A633&lt;&gt;"",LEN($B633)&gt;=8,COUNTIF($B$6:$B633,$B633)=1),$W$5,"")</f>
        <v/>
      </c>
      <c r="X633" s="329" t="str">
        <f t="shared" si="54"/>
        <v>XW</v>
      </c>
      <c r="Y633" s="1128" t="s">
        <v>3380</v>
      </c>
      <c r="Z633" s="1128" t="s">
        <v>3381</v>
      </c>
      <c r="AA633" s="1128" t="s">
        <v>3384</v>
      </c>
      <c r="AC633" s="73"/>
    </row>
    <row r="634" spans="1:29" s="20" customFormat="1">
      <c r="A634" s="327" t="str">
        <f>IF(AND($B634&lt;&gt;"",$C634&lt;&gt;""),MAX($A$4:A633)+1,"")</f>
        <v/>
      </c>
      <c r="B634" s="361" t="s">
        <v>1869</v>
      </c>
      <c r="C634" s="360"/>
      <c r="D634" s="327">
        <f>IF($B634="","",COUNTIF($B$6:$B634,$B634))</f>
        <v>5</v>
      </c>
      <c r="E634" s="361" t="s">
        <v>2255</v>
      </c>
      <c r="F634" s="362" t="s">
        <v>337</v>
      </c>
      <c r="G634" s="327" t="s">
        <v>329</v>
      </c>
      <c r="H634" s="325"/>
      <c r="I634" s="327">
        <v>2</v>
      </c>
      <c r="J634" s="361" t="s">
        <v>736</v>
      </c>
      <c r="K634" s="327" t="s">
        <v>531</v>
      </c>
      <c r="L634" s="348">
        <f t="shared" si="55"/>
        <v>420000</v>
      </c>
      <c r="M634" s="355"/>
      <c r="N634" s="355" t="str">
        <f t="shared" si="40"/>
        <v>PR</v>
      </c>
      <c r="O634" s="345"/>
      <c r="P634" s="325"/>
      <c r="Q634" s="351"/>
      <c r="R634" s="351">
        <v>1.6</v>
      </c>
      <c r="S634" s="351">
        <v>6</v>
      </c>
      <c r="T634" s="351">
        <v>0.83333333333333337</v>
      </c>
      <c r="U634" s="329">
        <f>IF($N634=$N$4,IFERROR(INDEX(DanhMuc!$E$154:$E$165,MATCH(MID($B634,4,2),DanhMuc!$B$154:$B$165,0)),""),"")</f>
        <v>6000</v>
      </c>
      <c r="V634" s="325"/>
      <c r="W634" s="352" t="str">
        <f>+IF(AND($A634&lt;&gt;"",LEN($B634)&gt;=8,COUNTIF($B$6:$B634,$B634)=1),$W$5,"")</f>
        <v/>
      </c>
      <c r="X634" s="329" t="str">
        <f t="shared" si="54"/>
        <v>XW</v>
      </c>
      <c r="Y634" s="1128" t="s">
        <v>3380</v>
      </c>
      <c r="Z634" s="1128" t="s">
        <v>3381</v>
      </c>
      <c r="AA634" s="1128" t="s">
        <v>3384</v>
      </c>
      <c r="AC634" s="73"/>
    </row>
    <row r="635" spans="1:29" s="20" customFormat="1">
      <c r="A635" s="327" t="str">
        <f>IF(AND($B635&lt;&gt;"",$C635&lt;&gt;""),MAX($A$4:A634)+1,"")</f>
        <v/>
      </c>
      <c r="B635" s="361" t="s">
        <v>1869</v>
      </c>
      <c r="C635" s="360"/>
      <c r="D635" s="327">
        <f>IF($B635="","",COUNTIF($B$6:$B635,$B635))</f>
        <v>6</v>
      </c>
      <c r="E635" s="361" t="s">
        <v>2256</v>
      </c>
      <c r="F635" s="362" t="s">
        <v>335</v>
      </c>
      <c r="G635" s="327" t="s">
        <v>328</v>
      </c>
      <c r="H635" s="325"/>
      <c r="I635" s="327">
        <v>2</v>
      </c>
      <c r="J635" s="361" t="s">
        <v>737</v>
      </c>
      <c r="K635" s="327" t="s">
        <v>531</v>
      </c>
      <c r="L635" s="348">
        <f t="shared" si="55"/>
        <v>537600</v>
      </c>
      <c r="M635" s="355"/>
      <c r="N635" s="355" t="str">
        <f t="shared" si="40"/>
        <v>PR</v>
      </c>
      <c r="O635" s="345"/>
      <c r="P635" s="325"/>
      <c r="Q635" s="351"/>
      <c r="R635" s="351">
        <v>1.6</v>
      </c>
      <c r="S635" s="351">
        <v>6</v>
      </c>
      <c r="T635" s="351">
        <v>1.0666666666666667</v>
      </c>
      <c r="U635" s="329">
        <f>IF($N635=$N$4,IFERROR(INDEX(DanhMuc!$E$154:$E$165,MATCH(MID($B635,4,2),DanhMuc!$B$154:$B$165,0)),""),"")</f>
        <v>6000</v>
      </c>
      <c r="V635" s="325"/>
      <c r="W635" s="352" t="str">
        <f>+IF(AND($A635&lt;&gt;"",LEN($B635)&gt;=8,COUNTIF($B$6:$B635,$B635)=1),$W$5,"")</f>
        <v/>
      </c>
      <c r="X635" s="329" t="str">
        <f t="shared" si="54"/>
        <v>XW</v>
      </c>
      <c r="Y635" s="1128" t="s">
        <v>3380</v>
      </c>
      <c r="Z635" s="1128" t="s">
        <v>3381</v>
      </c>
      <c r="AA635" s="1128" t="s">
        <v>3384</v>
      </c>
      <c r="AC635" s="73"/>
    </row>
    <row r="636" spans="1:29" s="20" customFormat="1">
      <c r="A636" s="327" t="str">
        <f>IF(AND($B636&lt;&gt;"",$C636&lt;&gt;""),MAX($A$4:A635)+1,"")</f>
        <v/>
      </c>
      <c r="B636" s="361" t="s">
        <v>1869</v>
      </c>
      <c r="C636" s="360"/>
      <c r="D636" s="327">
        <f>IF($B636="","",COUNTIF($B$6:$B636,$B636))</f>
        <v>7</v>
      </c>
      <c r="E636" s="361" t="s">
        <v>2257</v>
      </c>
      <c r="F636" s="362" t="s">
        <v>336</v>
      </c>
      <c r="G636" s="327" t="s">
        <v>328</v>
      </c>
      <c r="H636" s="325"/>
      <c r="I636" s="327">
        <v>2</v>
      </c>
      <c r="J636" s="361" t="s">
        <v>737</v>
      </c>
      <c r="K636" s="327" t="s">
        <v>531</v>
      </c>
      <c r="L636" s="348">
        <f t="shared" si="55"/>
        <v>452760</v>
      </c>
      <c r="M636" s="355"/>
      <c r="N636" s="355" t="str">
        <f t="shared" si="40"/>
        <v>PR</v>
      </c>
      <c r="O636" s="345"/>
      <c r="P636" s="325"/>
      <c r="Q636" s="351"/>
      <c r="R636" s="351">
        <v>1.6</v>
      </c>
      <c r="S636" s="351">
        <v>6</v>
      </c>
      <c r="T636" s="351">
        <v>0.89833333333333332</v>
      </c>
      <c r="U636" s="329">
        <f>IF($N636=$N$4,IFERROR(INDEX(DanhMuc!$E$154:$E$165,MATCH(MID($B636,4,2),DanhMuc!$B$154:$B$165,0)),""),"")</f>
        <v>6000</v>
      </c>
      <c r="V636" s="325"/>
      <c r="W636" s="352" t="str">
        <f>+IF(AND($A636&lt;&gt;"",LEN($B636)&gt;=8,COUNTIF($B$6:$B636,$B636)=1),$W$5,"")</f>
        <v/>
      </c>
      <c r="X636" s="329" t="str">
        <f t="shared" si="54"/>
        <v>XW</v>
      </c>
      <c r="Y636" s="1128" t="s">
        <v>3380</v>
      </c>
      <c r="Z636" s="1128" t="s">
        <v>3381</v>
      </c>
      <c r="AA636" s="1128" t="s">
        <v>3384</v>
      </c>
      <c r="AC636" s="73"/>
    </row>
    <row r="637" spans="1:29" s="20" customFormat="1" ht="39">
      <c r="A637" s="327">
        <f>IF(AND($B637&lt;&gt;"",$C637&lt;&gt;""),MAX($A$4:A636)+1,"")</f>
        <v>55</v>
      </c>
      <c r="B637" s="359" t="s">
        <v>1871</v>
      </c>
      <c r="C637" s="360" t="s">
        <v>1898</v>
      </c>
      <c r="D637" s="327">
        <f>IF($B637="","",COUNTIF($B$6:$B637,$B637))</f>
        <v>1</v>
      </c>
      <c r="E637" s="363" t="s">
        <v>2251</v>
      </c>
      <c r="F637" s="362" t="s">
        <v>334</v>
      </c>
      <c r="G637" s="327" t="s">
        <v>329</v>
      </c>
      <c r="H637" s="325"/>
      <c r="I637" s="327">
        <v>1</v>
      </c>
      <c r="J637" s="361" t="s">
        <v>594</v>
      </c>
      <c r="K637" s="327" t="s">
        <v>531</v>
      </c>
      <c r="L637" s="348">
        <f t="shared" si="55"/>
        <v>605640</v>
      </c>
      <c r="M637" s="373"/>
      <c r="N637" s="355" t="str">
        <f t="shared" si="40"/>
        <v>PR</v>
      </c>
      <c r="O637" s="345"/>
      <c r="P637" s="325"/>
      <c r="Q637" s="351"/>
      <c r="R637" s="351">
        <v>1.6</v>
      </c>
      <c r="S637" s="351">
        <v>6</v>
      </c>
      <c r="T637" s="351">
        <v>1.2016666666666667</v>
      </c>
      <c r="U637" s="329">
        <f>IF($N637=$N$4,IFERROR(INDEX(DanhMuc!$E$154:$E$165,MATCH(MID($B637,4,2),DanhMuc!$B$154:$B$165,0)),""),"")</f>
        <v>6000</v>
      </c>
      <c r="V637" s="325"/>
      <c r="W637" s="352" t="str">
        <f>+IF(AND($A637&lt;&gt;"",LEN($B637)&gt;=8,COUNTIF($B$6:$B637,$B637)=1),$W$5,"")</f>
        <v>DMCua</v>
      </c>
      <c r="X637" s="329" t="str">
        <f t="shared" si="54"/>
        <v>XW</v>
      </c>
      <c r="Y637" s="1128" t="s">
        <v>3380</v>
      </c>
      <c r="Z637" s="1128" t="s">
        <v>3381</v>
      </c>
      <c r="AA637" s="1128" t="s">
        <v>3384</v>
      </c>
      <c r="AC637" s="73"/>
    </row>
    <row r="638" spans="1:29" s="20" customFormat="1" ht="25">
      <c r="A638" s="327" t="str">
        <f>IF(AND($B638&lt;&gt;"",$C638&lt;&gt;""),MAX($A$4:A637)+1,"")</f>
        <v/>
      </c>
      <c r="B638" s="361" t="s">
        <v>1871</v>
      </c>
      <c r="C638" s="360"/>
      <c r="D638" s="327">
        <f>IF($B638="","",COUNTIF($B$6:$B638,$B638))</f>
        <v>2</v>
      </c>
      <c r="E638" s="361" t="s">
        <v>2252</v>
      </c>
      <c r="F638" s="362" t="s">
        <v>1903</v>
      </c>
      <c r="G638" s="327" t="s">
        <v>329</v>
      </c>
      <c r="H638" s="325"/>
      <c r="I638" s="327">
        <v>1</v>
      </c>
      <c r="J638" s="361" t="s">
        <v>594</v>
      </c>
      <c r="K638" s="327" t="s">
        <v>531</v>
      </c>
      <c r="L638" s="348">
        <f t="shared" si="55"/>
        <v>578759.99999999988</v>
      </c>
      <c r="M638" s="355"/>
      <c r="N638" s="355" t="str">
        <f t="shared" si="40"/>
        <v>PR</v>
      </c>
      <c r="O638" s="345"/>
      <c r="P638" s="325"/>
      <c r="Q638" s="351"/>
      <c r="R638" s="351">
        <v>1.6</v>
      </c>
      <c r="S638" s="351">
        <v>6</v>
      </c>
      <c r="T638" s="351">
        <v>1.1483333333333332</v>
      </c>
      <c r="U638" s="329">
        <f>IF($N638=$N$4,IFERROR(INDEX(DanhMuc!$E$154:$E$165,MATCH(MID($B638,4,2),DanhMuc!$B$154:$B$165,0)),""),"")</f>
        <v>6000</v>
      </c>
      <c r="V638" s="325"/>
      <c r="W638" s="352" t="str">
        <f>+IF(AND($A638&lt;&gt;"",LEN($B638)&gt;=8,COUNTIF($B$6:$B638,$B638)=1),$W$5,"")</f>
        <v/>
      </c>
      <c r="X638" s="329" t="str">
        <f t="shared" si="54"/>
        <v>XW</v>
      </c>
      <c r="Y638" s="1128" t="s">
        <v>3380</v>
      </c>
      <c r="Z638" s="1128" t="s">
        <v>3381</v>
      </c>
      <c r="AA638" s="1128" t="s">
        <v>3384</v>
      </c>
      <c r="AC638" s="73"/>
    </row>
    <row r="639" spans="1:29" s="20" customFormat="1">
      <c r="A639" s="327" t="str">
        <f>IF(AND($B639&lt;&gt;"",$C639&lt;&gt;""),MAX($A$4:A638)+1,"")</f>
        <v/>
      </c>
      <c r="B639" s="361" t="s">
        <v>1871</v>
      </c>
      <c r="C639" s="360"/>
      <c r="D639" s="327">
        <f>IF($B639="","",COUNTIF($B$6:$B639,$B639))</f>
        <v>3</v>
      </c>
      <c r="E639" s="361" t="s">
        <v>2253</v>
      </c>
      <c r="F639" s="362" t="s">
        <v>445</v>
      </c>
      <c r="G639" s="327" t="s">
        <v>328</v>
      </c>
      <c r="H639" s="325"/>
      <c r="I639" s="327">
        <v>2</v>
      </c>
      <c r="J639" s="361" t="s">
        <v>80</v>
      </c>
      <c r="K639" s="327" t="s">
        <v>531</v>
      </c>
      <c r="L639" s="348">
        <f t="shared" si="55"/>
        <v>464520</v>
      </c>
      <c r="M639" s="355"/>
      <c r="N639" s="355" t="str">
        <f t="shared" si="40"/>
        <v>PR</v>
      </c>
      <c r="O639" s="345"/>
      <c r="P639" s="325"/>
      <c r="Q639" s="351"/>
      <c r="R639" s="351">
        <v>1.6</v>
      </c>
      <c r="S639" s="351">
        <v>6</v>
      </c>
      <c r="T639" s="351">
        <v>0.92166666666666675</v>
      </c>
      <c r="U639" s="329">
        <f>IF($N639=$N$4,IFERROR(INDEX(DanhMuc!$E$154:$E$165,MATCH(MID($B639,4,2),DanhMuc!$B$154:$B$165,0)),""),"")</f>
        <v>6000</v>
      </c>
      <c r="V639" s="325"/>
      <c r="W639" s="352" t="str">
        <f>+IF(AND($A639&lt;&gt;"",LEN($B639)&gt;=8,COUNTIF($B$6:$B639,$B639)=1),$W$5,"")</f>
        <v/>
      </c>
      <c r="X639" s="329" t="str">
        <f t="shared" si="54"/>
        <v>XW</v>
      </c>
      <c r="Y639" s="1128" t="s">
        <v>3380</v>
      </c>
      <c r="Z639" s="1128" t="s">
        <v>3381</v>
      </c>
      <c r="AA639" s="1128" t="s">
        <v>3384</v>
      </c>
      <c r="AC639" s="73"/>
    </row>
    <row r="640" spans="1:29" s="20" customFormat="1">
      <c r="A640" s="327" t="str">
        <f>IF(AND($B640&lt;&gt;"",$C640&lt;&gt;""),MAX($A$4:A639)+1,"")</f>
        <v/>
      </c>
      <c r="B640" s="361" t="s">
        <v>1871</v>
      </c>
      <c r="C640" s="360"/>
      <c r="D640" s="327">
        <f>IF($B640="","",COUNTIF($B$6:$B640,$B640))</f>
        <v>4</v>
      </c>
      <c r="E640" s="361" t="s">
        <v>2254</v>
      </c>
      <c r="F640" s="362" t="s">
        <v>338</v>
      </c>
      <c r="G640" s="327" t="s">
        <v>329</v>
      </c>
      <c r="H640" s="325"/>
      <c r="I640" s="327">
        <v>4</v>
      </c>
      <c r="J640" s="361" t="s">
        <v>743</v>
      </c>
      <c r="K640" s="327" t="s">
        <v>531</v>
      </c>
      <c r="L640" s="348">
        <f t="shared" si="55"/>
        <v>416640</v>
      </c>
      <c r="M640" s="355"/>
      <c r="N640" s="355" t="str">
        <f t="shared" si="40"/>
        <v>PR</v>
      </c>
      <c r="O640" s="345"/>
      <c r="P640" s="325"/>
      <c r="Q640" s="351"/>
      <c r="R640" s="351">
        <v>1.6</v>
      </c>
      <c r="S640" s="351">
        <v>6</v>
      </c>
      <c r="T640" s="351">
        <v>0.82666666666666666</v>
      </c>
      <c r="U640" s="329">
        <f>IF($N640=$N$4,IFERROR(INDEX(DanhMuc!$E$154:$E$165,MATCH(MID($B640,4,2),DanhMuc!$B$154:$B$165,0)),""),"")</f>
        <v>6000</v>
      </c>
      <c r="V640" s="325"/>
      <c r="W640" s="352" t="str">
        <f>+IF(AND($A640&lt;&gt;"",LEN($B640)&gt;=8,COUNTIF($B$6:$B640,$B640)=1),$W$5,"")</f>
        <v/>
      </c>
      <c r="X640" s="329" t="str">
        <f t="shared" si="54"/>
        <v>XW</v>
      </c>
      <c r="Y640" s="1128" t="s">
        <v>3380</v>
      </c>
      <c r="Z640" s="1128" t="s">
        <v>3381</v>
      </c>
      <c r="AA640" s="1128" t="s">
        <v>3384</v>
      </c>
      <c r="AC640" s="73"/>
    </row>
    <row r="641" spans="1:29" s="20" customFormat="1">
      <c r="A641" s="327" t="str">
        <f>IF(AND($B641&lt;&gt;"",$C641&lt;&gt;""),MAX($A$4:A640)+1,"")</f>
        <v/>
      </c>
      <c r="B641" s="361" t="s">
        <v>1871</v>
      </c>
      <c r="C641" s="360"/>
      <c r="D641" s="327">
        <f>IF($B641="","",COUNTIF($B$6:$B641,$B641))</f>
        <v>5</v>
      </c>
      <c r="E641" s="361" t="s">
        <v>2255</v>
      </c>
      <c r="F641" s="362" t="s">
        <v>337</v>
      </c>
      <c r="G641" s="327" t="s">
        <v>329</v>
      </c>
      <c r="H641" s="325"/>
      <c r="I641" s="327">
        <v>4</v>
      </c>
      <c r="J641" s="361" t="s">
        <v>743</v>
      </c>
      <c r="K641" s="327" t="s">
        <v>531</v>
      </c>
      <c r="L641" s="348">
        <f t="shared" si="55"/>
        <v>420000</v>
      </c>
      <c r="M641" s="355"/>
      <c r="N641" s="355" t="str">
        <f t="shared" si="40"/>
        <v>PR</v>
      </c>
      <c r="O641" s="345"/>
      <c r="P641" s="325"/>
      <c r="Q641" s="351"/>
      <c r="R641" s="351">
        <v>1.6</v>
      </c>
      <c r="S641" s="351">
        <v>6</v>
      </c>
      <c r="T641" s="351">
        <v>0.83333333333333337</v>
      </c>
      <c r="U641" s="329">
        <f>IF($N641=$N$4,IFERROR(INDEX(DanhMuc!$E$154:$E$165,MATCH(MID($B641,4,2),DanhMuc!$B$154:$B$165,0)),""),"")</f>
        <v>6000</v>
      </c>
      <c r="V641" s="325"/>
      <c r="W641" s="352" t="str">
        <f>+IF(AND($A641&lt;&gt;"",LEN($B641)&gt;=8,COUNTIF($B$6:$B641,$B641)=1),$W$5,"")</f>
        <v/>
      </c>
      <c r="X641" s="329" t="str">
        <f t="shared" si="54"/>
        <v>XW</v>
      </c>
      <c r="Y641" s="1128" t="s">
        <v>3380</v>
      </c>
      <c r="Z641" s="1128" t="s">
        <v>3381</v>
      </c>
      <c r="AA641" s="1128" t="s">
        <v>3384</v>
      </c>
      <c r="AC641" s="73"/>
    </row>
    <row r="642" spans="1:29" s="20" customFormat="1">
      <c r="A642" s="327" t="str">
        <f>IF(AND($B642&lt;&gt;"",$C642&lt;&gt;""),MAX($A$4:A641)+1,"")</f>
        <v/>
      </c>
      <c r="B642" s="361" t="s">
        <v>1871</v>
      </c>
      <c r="C642" s="360"/>
      <c r="D642" s="327">
        <f>IF($B642="","",COUNTIF($B$6:$B642,$B642))</f>
        <v>6</v>
      </c>
      <c r="E642" s="361" t="s">
        <v>2256</v>
      </c>
      <c r="F642" s="362" t="s">
        <v>335</v>
      </c>
      <c r="G642" s="327" t="s">
        <v>328</v>
      </c>
      <c r="H642" s="325"/>
      <c r="I642" s="327">
        <v>4</v>
      </c>
      <c r="J642" s="361" t="s">
        <v>737</v>
      </c>
      <c r="K642" s="327" t="s">
        <v>531</v>
      </c>
      <c r="L642" s="348">
        <f t="shared" si="55"/>
        <v>537600</v>
      </c>
      <c r="M642" s="355"/>
      <c r="N642" s="355" t="str">
        <f t="shared" si="40"/>
        <v>PR</v>
      </c>
      <c r="O642" s="345"/>
      <c r="P642" s="325"/>
      <c r="Q642" s="351"/>
      <c r="R642" s="351">
        <v>1.6</v>
      </c>
      <c r="S642" s="351">
        <v>6</v>
      </c>
      <c r="T642" s="351">
        <v>1.0666666666666667</v>
      </c>
      <c r="U642" s="329">
        <f>IF($N642=$N$4,IFERROR(INDEX(DanhMuc!$E$154:$E$165,MATCH(MID($B642,4,2),DanhMuc!$B$154:$B$165,0)),""),"")</f>
        <v>6000</v>
      </c>
      <c r="V642" s="325"/>
      <c r="W642" s="352" t="str">
        <f>+IF(AND($A642&lt;&gt;"",LEN($B642)&gt;=8,COUNTIF($B$6:$B642,$B642)=1),$W$5,"")</f>
        <v/>
      </c>
      <c r="X642" s="329" t="str">
        <f t="shared" si="54"/>
        <v>XW</v>
      </c>
      <c r="Y642" s="1128" t="s">
        <v>3380</v>
      </c>
      <c r="Z642" s="1128" t="s">
        <v>3381</v>
      </c>
      <c r="AA642" s="1128" t="s">
        <v>3384</v>
      </c>
      <c r="AC642" s="73"/>
    </row>
    <row r="643" spans="1:29" s="20" customFormat="1">
      <c r="A643" s="327" t="str">
        <f>IF(AND($B643&lt;&gt;"",$C643&lt;&gt;""),MAX($A$4:A642)+1,"")</f>
        <v/>
      </c>
      <c r="B643" s="361" t="s">
        <v>1871</v>
      </c>
      <c r="C643" s="360"/>
      <c r="D643" s="327">
        <f>IF($B643="","",COUNTIF($B$6:$B643,$B643))</f>
        <v>7</v>
      </c>
      <c r="E643" s="361" t="s">
        <v>2257</v>
      </c>
      <c r="F643" s="362" t="s">
        <v>336</v>
      </c>
      <c r="G643" s="327" t="s">
        <v>328</v>
      </c>
      <c r="H643" s="325"/>
      <c r="I643" s="327">
        <v>4</v>
      </c>
      <c r="J643" s="361" t="s">
        <v>737</v>
      </c>
      <c r="K643" s="327" t="s">
        <v>531</v>
      </c>
      <c r="L643" s="348">
        <f t="shared" si="55"/>
        <v>452760</v>
      </c>
      <c r="M643" s="355"/>
      <c r="N643" s="355" t="str">
        <f t="shared" si="40"/>
        <v>PR</v>
      </c>
      <c r="O643" s="345"/>
      <c r="P643" s="325"/>
      <c r="Q643" s="351"/>
      <c r="R643" s="351">
        <v>1.6</v>
      </c>
      <c r="S643" s="351">
        <v>6</v>
      </c>
      <c r="T643" s="351">
        <v>0.89833333333333332</v>
      </c>
      <c r="U643" s="329">
        <f>IF($N643=$N$4,IFERROR(INDEX(DanhMuc!$E$154:$E$165,MATCH(MID($B643,4,2),DanhMuc!$B$154:$B$165,0)),""),"")</f>
        <v>6000</v>
      </c>
      <c r="V643" s="325"/>
      <c r="W643" s="352" t="str">
        <f>+IF(AND($A643&lt;&gt;"",LEN($B643)&gt;=8,COUNTIF($B$6:$B643,$B643)=1),$W$5,"")</f>
        <v/>
      </c>
      <c r="X643" s="329" t="str">
        <f t="shared" si="54"/>
        <v>XW</v>
      </c>
      <c r="Y643" s="1128" t="s">
        <v>3380</v>
      </c>
      <c r="Z643" s="1128" t="s">
        <v>3381</v>
      </c>
      <c r="AA643" s="1128" t="s">
        <v>3384</v>
      </c>
      <c r="AC643" s="73"/>
    </row>
    <row r="644" spans="1:29" s="20" customFormat="1">
      <c r="A644" s="327" t="str">
        <f>IF(AND($B644&lt;&gt;"",$C644&lt;&gt;""),MAX($A$4:A643)+1,"")</f>
        <v/>
      </c>
      <c r="B644" s="361" t="s">
        <v>1871</v>
      </c>
      <c r="C644" s="360"/>
      <c r="D644" s="327">
        <f>IF($B644="","",COUNTIF($B$6:$B644,$B644))</f>
        <v>8</v>
      </c>
      <c r="E644" s="361" t="s">
        <v>2258</v>
      </c>
      <c r="F644" s="362" t="s">
        <v>446</v>
      </c>
      <c r="G644" s="327" t="s">
        <v>328</v>
      </c>
      <c r="H644" s="325"/>
      <c r="I644" s="327">
        <v>1</v>
      </c>
      <c r="J644" s="361" t="s">
        <v>737</v>
      </c>
      <c r="K644" s="327" t="s">
        <v>531</v>
      </c>
      <c r="L644" s="348">
        <f t="shared" si="55"/>
        <v>292320</v>
      </c>
      <c r="M644" s="355"/>
      <c r="N644" s="355" t="str">
        <f t="shared" si="40"/>
        <v>PR</v>
      </c>
      <c r="O644" s="345"/>
      <c r="P644" s="325"/>
      <c r="Q644" s="351"/>
      <c r="R644" s="351">
        <v>1.6</v>
      </c>
      <c r="S644" s="351">
        <v>6</v>
      </c>
      <c r="T644" s="351">
        <v>0.57999999999999996</v>
      </c>
      <c r="U644" s="329">
        <f>IF($N644=$N$4,IFERROR(INDEX(DanhMuc!$E$154:$E$165,MATCH(MID($B644,4,2),DanhMuc!$B$154:$B$165,0)),""),"")</f>
        <v>6000</v>
      </c>
      <c r="V644" s="325"/>
      <c r="W644" s="352" t="str">
        <f>+IF(AND($A644&lt;&gt;"",LEN($B644)&gt;=8,COUNTIF($B$6:$B644,$B644)=1),$W$5,"")</f>
        <v/>
      </c>
      <c r="X644" s="329" t="str">
        <f t="shared" si="54"/>
        <v>XW</v>
      </c>
      <c r="Y644" s="1128" t="s">
        <v>3380</v>
      </c>
      <c r="Z644" s="1128" t="s">
        <v>3381</v>
      </c>
      <c r="AA644" s="1128" t="s">
        <v>3384</v>
      </c>
      <c r="AC644" s="73"/>
    </row>
    <row r="645" spans="1:29" s="20" customFormat="1" ht="39">
      <c r="A645" s="327">
        <f>IF(AND($B645&lt;&gt;"",$C645&lt;&gt;""),MAX($A$4:A644)+1,"")</f>
        <v>56</v>
      </c>
      <c r="B645" s="359" t="s">
        <v>1872</v>
      </c>
      <c r="C645" s="360" t="s">
        <v>1899</v>
      </c>
      <c r="D645" s="327">
        <f>IF($B645="","",COUNTIF($B$6:$B645,$B645))</f>
        <v>1</v>
      </c>
      <c r="E645" s="361" t="s">
        <v>2259</v>
      </c>
      <c r="F645" s="362" t="s">
        <v>32</v>
      </c>
      <c r="G645" s="327" t="s">
        <v>329</v>
      </c>
      <c r="H645" s="325"/>
      <c r="I645" s="327">
        <v>2</v>
      </c>
      <c r="J645" s="363" t="s">
        <v>81</v>
      </c>
      <c r="K645" s="327" t="s">
        <v>516</v>
      </c>
      <c r="L645" s="348">
        <f t="shared" si="55"/>
        <v>420000</v>
      </c>
      <c r="M645" s="355"/>
      <c r="N645" s="355" t="str">
        <f t="shared" si="40"/>
        <v>PR</v>
      </c>
      <c r="O645" s="347"/>
      <c r="P645" s="325"/>
      <c r="Q645" s="351"/>
      <c r="R645" s="351">
        <v>1.2</v>
      </c>
      <c r="S645" s="351">
        <v>6</v>
      </c>
      <c r="T645" s="351">
        <v>0.83333333333333337</v>
      </c>
      <c r="U645" s="329">
        <f>IF($N645=$N$4,IFERROR(INDEX(DanhMuc!$E$154:$E$165,MATCH(MID($B645,4,2),DanhMuc!$B$154:$B$165,0)),""),"")</f>
        <v>6000</v>
      </c>
      <c r="V645" s="325"/>
      <c r="W645" s="352" t="str">
        <f>+IF(AND($A645&lt;&gt;"",LEN($B645)&gt;=8,COUNTIF($B$6:$B645,$B645)=1),$W$5,"")</f>
        <v>DMCua</v>
      </c>
      <c r="X645" s="329" t="str">
        <f t="shared" si="54"/>
        <v>XW</v>
      </c>
      <c r="Y645" s="1128" t="s">
        <v>3380</v>
      </c>
      <c r="Z645" s="1128" t="s">
        <v>3381</v>
      </c>
      <c r="AA645" s="1128" t="s">
        <v>3384</v>
      </c>
      <c r="AC645" s="73"/>
    </row>
    <row r="646" spans="1:29" s="20" customFormat="1">
      <c r="A646" s="327" t="str">
        <f>IF(AND($B646&lt;&gt;"",$C646&lt;&gt;""),MAX($A$4:A645)+1,"")</f>
        <v/>
      </c>
      <c r="B646" s="361" t="s">
        <v>1872</v>
      </c>
      <c r="C646" s="360"/>
      <c r="D646" s="327">
        <f>IF($B646="","",COUNTIF($B$6:$B646,$B646))</f>
        <v>2</v>
      </c>
      <c r="E646" s="361" t="s">
        <v>2259</v>
      </c>
      <c r="F646" s="362" t="s">
        <v>32</v>
      </c>
      <c r="G646" s="327" t="s">
        <v>328</v>
      </c>
      <c r="H646" s="325"/>
      <c r="I646" s="327">
        <v>2</v>
      </c>
      <c r="J646" s="361" t="s">
        <v>80</v>
      </c>
      <c r="K646" s="327" t="s">
        <v>516</v>
      </c>
      <c r="L646" s="348">
        <f t="shared" si="55"/>
        <v>420000</v>
      </c>
      <c r="M646" s="355"/>
      <c r="N646" s="355" t="str">
        <f t="shared" si="40"/>
        <v>PR</v>
      </c>
      <c r="O646" s="347"/>
      <c r="P646" s="325"/>
      <c r="Q646" s="351"/>
      <c r="R646" s="351">
        <v>1.2</v>
      </c>
      <c r="S646" s="351">
        <v>6</v>
      </c>
      <c r="T646" s="351">
        <v>0.83333333333333337</v>
      </c>
      <c r="U646" s="329">
        <f>IF($N646=$N$4,IFERROR(INDEX(DanhMuc!$E$154:$E$165,MATCH(MID($B646,4,2),DanhMuc!$B$154:$B$165,0)),""),"")</f>
        <v>6000</v>
      </c>
      <c r="V646" s="325"/>
      <c r="W646" s="352" t="str">
        <f>+IF(AND($A646&lt;&gt;"",LEN($B646)&gt;=8,COUNTIF($B$6:$B646,$B646)=1),$W$5,"")</f>
        <v/>
      </c>
      <c r="X646" s="329" t="str">
        <f t="shared" si="54"/>
        <v>XW</v>
      </c>
      <c r="Y646" s="1128" t="s">
        <v>3380</v>
      </c>
      <c r="Z646" s="1128" t="s">
        <v>3381</v>
      </c>
      <c r="AA646" s="1128" t="s">
        <v>3384</v>
      </c>
      <c r="AC646" s="73"/>
    </row>
    <row r="647" spans="1:29" s="20" customFormat="1">
      <c r="A647" s="327" t="str">
        <f>IF(AND($B647&lt;&gt;"",$C647&lt;&gt;""),MAX($A$4:A646)+1,"")</f>
        <v/>
      </c>
      <c r="B647" s="361" t="s">
        <v>1872</v>
      </c>
      <c r="C647" s="360"/>
      <c r="D647" s="327">
        <f>IF($B647="","",COUNTIF($B$6:$B647,$B647))</f>
        <v>3</v>
      </c>
      <c r="E647" s="361" t="s">
        <v>2260</v>
      </c>
      <c r="F647" s="362" t="s">
        <v>34</v>
      </c>
      <c r="G647" s="327" t="s">
        <v>329</v>
      </c>
      <c r="H647" s="325"/>
      <c r="I647" s="327">
        <v>4</v>
      </c>
      <c r="J647" s="361" t="s">
        <v>970</v>
      </c>
      <c r="K647" s="327" t="s">
        <v>516</v>
      </c>
      <c r="L647" s="348">
        <f t="shared" si="55"/>
        <v>420000</v>
      </c>
      <c r="M647" s="355"/>
      <c r="N647" s="355" t="str">
        <f t="shared" si="40"/>
        <v>PR</v>
      </c>
      <c r="O647" s="347"/>
      <c r="P647" s="325"/>
      <c r="Q647" s="351"/>
      <c r="R647" s="351">
        <v>1.2</v>
      </c>
      <c r="S647" s="351">
        <v>6</v>
      </c>
      <c r="T647" s="351">
        <v>0.83333333333333337</v>
      </c>
      <c r="U647" s="329">
        <f>IF($N647=$N$4,IFERROR(INDEX(DanhMuc!$E$154:$E$165,MATCH(MID($B647,4,2),DanhMuc!$B$154:$B$165,0)),""),"")</f>
        <v>6000</v>
      </c>
      <c r="V647" s="325"/>
      <c r="W647" s="352" t="str">
        <f>+IF(AND($A647&lt;&gt;"",LEN($B647)&gt;=8,COUNTIF($B$6:$B647,$B647)=1),$W$5,"")</f>
        <v/>
      </c>
      <c r="X647" s="329" t="str">
        <f t="shared" si="54"/>
        <v>XW</v>
      </c>
      <c r="Y647" s="1128" t="s">
        <v>3380</v>
      </c>
      <c r="Z647" s="1128" t="s">
        <v>3381</v>
      </c>
      <c r="AA647" s="1128" t="s">
        <v>3384</v>
      </c>
      <c r="AC647" s="73"/>
    </row>
    <row r="648" spans="1:29" s="20" customFormat="1">
      <c r="A648" s="327" t="str">
        <f>IF(AND($B648&lt;&gt;"",$C648&lt;&gt;""),MAX($A$4:A647)+1,"")</f>
        <v/>
      </c>
      <c r="B648" s="361" t="s">
        <v>1872</v>
      </c>
      <c r="C648" s="360"/>
      <c r="D648" s="327">
        <f>IF($B648="","",COUNTIF($B$6:$B648,$B648))</f>
        <v>4</v>
      </c>
      <c r="E648" s="361" t="s">
        <v>2260</v>
      </c>
      <c r="F648" s="362" t="s">
        <v>34</v>
      </c>
      <c r="G648" s="327" t="s">
        <v>328</v>
      </c>
      <c r="H648" s="325"/>
      <c r="I648" s="327">
        <v>4</v>
      </c>
      <c r="J648" s="361" t="s">
        <v>971</v>
      </c>
      <c r="K648" s="327" t="s">
        <v>516</v>
      </c>
      <c r="L648" s="348">
        <f t="shared" si="55"/>
        <v>420000</v>
      </c>
      <c r="M648" s="355"/>
      <c r="N648" s="355" t="str">
        <f t="shared" si="40"/>
        <v>PR</v>
      </c>
      <c r="O648" s="347"/>
      <c r="P648" s="325"/>
      <c r="Q648" s="351"/>
      <c r="R648" s="351">
        <v>1.2</v>
      </c>
      <c r="S648" s="351">
        <v>6</v>
      </c>
      <c r="T648" s="351">
        <v>0.83333333333333337</v>
      </c>
      <c r="U648" s="329">
        <f>IF($N648=$N$4,IFERROR(INDEX(DanhMuc!$E$154:$E$165,MATCH(MID($B648,4,2),DanhMuc!$B$154:$B$165,0)),""),"")</f>
        <v>6000</v>
      </c>
      <c r="V648" s="325"/>
      <c r="W648" s="352" t="str">
        <f>+IF(AND($A648&lt;&gt;"",LEN($B648)&gt;=8,COUNTIF($B$6:$B648,$B648)=1),$W$5,"")</f>
        <v/>
      </c>
      <c r="X648" s="329" t="str">
        <f t="shared" si="54"/>
        <v>XW</v>
      </c>
      <c r="Y648" s="1128" t="s">
        <v>3380</v>
      </c>
      <c r="Z648" s="1128" t="s">
        <v>3381</v>
      </c>
      <c r="AA648" s="1128" t="s">
        <v>3384</v>
      </c>
      <c r="AC648" s="73"/>
    </row>
    <row r="649" spans="1:29" s="20" customFormat="1">
      <c r="A649" s="327" t="str">
        <f>IF(AND($B649&lt;&gt;"",$C649&lt;&gt;""),MAX($A$4:A648)+1,"")</f>
        <v/>
      </c>
      <c r="B649" s="361" t="s">
        <v>1872</v>
      </c>
      <c r="C649" s="360"/>
      <c r="D649" s="327">
        <f>IF($B649="","",COUNTIF($B$6:$B649,$B649))</f>
        <v>5</v>
      </c>
      <c r="E649" s="361" t="s">
        <v>2261</v>
      </c>
      <c r="F649" s="362" t="s">
        <v>36</v>
      </c>
      <c r="G649" s="327" t="s">
        <v>328</v>
      </c>
      <c r="H649" s="325"/>
      <c r="I649" s="327">
        <v>2</v>
      </c>
      <c r="J649" s="361" t="s">
        <v>971</v>
      </c>
      <c r="K649" s="327" t="s">
        <v>531</v>
      </c>
      <c r="L649" s="348">
        <f t="shared" si="55"/>
        <v>176400.00000000003</v>
      </c>
      <c r="M649" s="355"/>
      <c r="N649" s="355" t="str">
        <f t="shared" si="40"/>
        <v>PR</v>
      </c>
      <c r="O649" s="347"/>
      <c r="P649" s="325"/>
      <c r="Q649" s="351"/>
      <c r="R649" s="351">
        <v>1.2</v>
      </c>
      <c r="S649" s="351">
        <v>6</v>
      </c>
      <c r="T649" s="351">
        <v>0.35000000000000003</v>
      </c>
      <c r="U649" s="329">
        <f>IF($N649=$N$4,IFERROR(INDEX(DanhMuc!$E$154:$E$165,MATCH(MID($B649,4,2),DanhMuc!$B$154:$B$165,0)),""),"")</f>
        <v>6000</v>
      </c>
      <c r="V649" s="325"/>
      <c r="W649" s="352" t="str">
        <f>+IF(AND($A649&lt;&gt;"",LEN($B649)&gt;=8,COUNTIF($B$6:$B649,$B649)=1),$W$5,"")</f>
        <v/>
      </c>
      <c r="X649" s="329" t="str">
        <f t="shared" si="54"/>
        <v>XW</v>
      </c>
      <c r="Y649" s="1128" t="s">
        <v>3380</v>
      </c>
      <c r="Z649" s="1128" t="s">
        <v>3381</v>
      </c>
      <c r="AA649" s="1128" t="s">
        <v>3384</v>
      </c>
      <c r="AC649" s="73"/>
    </row>
    <row r="650" spans="1:29" s="20" customFormat="1">
      <c r="A650" s="327" t="str">
        <f>IF(AND($B650&lt;&gt;"",$C650&lt;&gt;""),MAX($A$4:A649)+1,"")</f>
        <v/>
      </c>
      <c r="B650" s="361" t="s">
        <v>1872</v>
      </c>
      <c r="C650" s="360"/>
      <c r="D650" s="327">
        <f>IF($B650="","",COUNTIF($B$6:$B650,$B650))</f>
        <v>6</v>
      </c>
      <c r="E650" s="361" t="s">
        <v>2262</v>
      </c>
      <c r="F650" s="362" t="s">
        <v>40</v>
      </c>
      <c r="G650" s="327" t="s">
        <v>330</v>
      </c>
      <c r="H650" s="325"/>
      <c r="I650" s="327">
        <v>1</v>
      </c>
      <c r="J650" s="361" t="s">
        <v>1189</v>
      </c>
      <c r="K650" s="327" t="s">
        <v>531</v>
      </c>
      <c r="L650" s="348">
        <f t="shared" si="55"/>
        <v>89040</v>
      </c>
      <c r="M650" s="355"/>
      <c r="N650" s="355" t="str">
        <f t="shared" si="40"/>
        <v>PR</v>
      </c>
      <c r="O650" s="347"/>
      <c r="P650" s="325"/>
      <c r="Q650" s="351"/>
      <c r="R650" s="351">
        <v>1.2</v>
      </c>
      <c r="S650" s="351">
        <v>6</v>
      </c>
      <c r="T650" s="351">
        <v>0.17666666666666667</v>
      </c>
      <c r="U650" s="329">
        <f>IF($N650=$N$4,IFERROR(INDEX(DanhMuc!$E$154:$E$165,MATCH(MID($B650,4,2),DanhMuc!$B$154:$B$165,0)),""),"")</f>
        <v>6000</v>
      </c>
      <c r="V650" s="325"/>
      <c r="W650" s="352" t="str">
        <f>+IF(AND($A650&lt;&gt;"",LEN($B650)&gt;=8,COUNTIF($B$6:$B650,$B650)=1),$W$5,"")</f>
        <v/>
      </c>
      <c r="X650" s="329" t="str">
        <f t="shared" si="54"/>
        <v>XW</v>
      </c>
      <c r="Y650" s="1128" t="s">
        <v>3380</v>
      </c>
      <c r="Z650" s="1128" t="s">
        <v>3381</v>
      </c>
      <c r="AA650" s="1128" t="s">
        <v>3384</v>
      </c>
      <c r="AC650" s="73"/>
    </row>
    <row r="651" spans="1:29" s="20" customFormat="1" ht="39">
      <c r="A651" s="327">
        <f>IF(AND($B651&lt;&gt;"",$C651&lt;&gt;""),MAX($A$4:A650)+1,"")</f>
        <v>57</v>
      </c>
      <c r="B651" s="359" t="s">
        <v>1873</v>
      </c>
      <c r="C651" s="360" t="s">
        <v>1900</v>
      </c>
      <c r="D651" s="327">
        <f>IF($B651="","",COUNTIF($B$6:$B651,$B651))</f>
        <v>1</v>
      </c>
      <c r="E651" s="361" t="s">
        <v>2259</v>
      </c>
      <c r="F651" s="362" t="s">
        <v>32</v>
      </c>
      <c r="G651" s="327" t="s">
        <v>329</v>
      </c>
      <c r="H651" s="325"/>
      <c r="I651" s="327">
        <v>2</v>
      </c>
      <c r="J651" s="363" t="s">
        <v>81</v>
      </c>
      <c r="K651" s="327" t="s">
        <v>516</v>
      </c>
      <c r="L651" s="348">
        <f t="shared" si="55"/>
        <v>420000</v>
      </c>
      <c r="M651" s="355"/>
      <c r="N651" s="355" t="str">
        <f t="shared" si="40"/>
        <v>PR</v>
      </c>
      <c r="O651" s="347"/>
      <c r="P651" s="325"/>
      <c r="Q651" s="351"/>
      <c r="R651" s="351">
        <v>1.2</v>
      </c>
      <c r="S651" s="351">
        <v>6</v>
      </c>
      <c r="T651" s="351">
        <v>0.83333333333333337</v>
      </c>
      <c r="U651" s="329">
        <f>IF($N651=$N$4,IFERROR(INDEX(DanhMuc!$E$154:$E$165,MATCH(MID($B651,4,2),DanhMuc!$B$154:$B$165,0)),""),"")</f>
        <v>6000</v>
      </c>
      <c r="V651" s="325"/>
      <c r="W651" s="352" t="str">
        <f>+IF(AND($A651&lt;&gt;"",LEN($B651)&gt;=8,COUNTIF($B$6:$B651,$B651)=1),$W$5,"")</f>
        <v>DMCua</v>
      </c>
      <c r="X651" s="329" t="str">
        <f t="shared" si="54"/>
        <v>XW</v>
      </c>
      <c r="Y651" s="1128" t="s">
        <v>3380</v>
      </c>
      <c r="Z651" s="1128" t="s">
        <v>3381</v>
      </c>
      <c r="AA651" s="1128" t="s">
        <v>3384</v>
      </c>
      <c r="AC651" s="73"/>
    </row>
    <row r="652" spans="1:29" s="20" customFormat="1">
      <c r="A652" s="327" t="str">
        <f>IF(AND($B652&lt;&gt;"",$C652&lt;&gt;""),MAX($A$4:A651)+1,"")</f>
        <v/>
      </c>
      <c r="B652" s="361" t="s">
        <v>1873</v>
      </c>
      <c r="C652" s="360"/>
      <c r="D652" s="327">
        <f>IF($B652="","",COUNTIF($B$6:$B652,$B652))</f>
        <v>2</v>
      </c>
      <c r="E652" s="361" t="s">
        <v>2259</v>
      </c>
      <c r="F652" s="362" t="s">
        <v>32</v>
      </c>
      <c r="G652" s="327" t="s">
        <v>328</v>
      </c>
      <c r="H652" s="325"/>
      <c r="I652" s="327">
        <v>2</v>
      </c>
      <c r="J652" s="361" t="s">
        <v>80</v>
      </c>
      <c r="K652" s="327" t="s">
        <v>516</v>
      </c>
      <c r="L652" s="348">
        <f t="shared" si="55"/>
        <v>420000</v>
      </c>
      <c r="M652" s="355"/>
      <c r="N652" s="355" t="str">
        <f t="shared" si="40"/>
        <v>PR</v>
      </c>
      <c r="O652" s="347"/>
      <c r="P652" s="325"/>
      <c r="Q652" s="351"/>
      <c r="R652" s="351">
        <v>1.2</v>
      </c>
      <c r="S652" s="351">
        <v>6</v>
      </c>
      <c r="T652" s="351">
        <v>0.83333333333333337</v>
      </c>
      <c r="U652" s="329">
        <f>IF($N652=$N$4,IFERROR(INDEX(DanhMuc!$E$154:$E$165,MATCH(MID($B652,4,2),DanhMuc!$B$154:$B$165,0)),""),"")</f>
        <v>6000</v>
      </c>
      <c r="V652" s="325"/>
      <c r="W652" s="352" t="str">
        <f>+IF(AND($A652&lt;&gt;"",LEN($B652)&gt;=8,COUNTIF($B$6:$B652,$B652)=1),$W$5,"")</f>
        <v/>
      </c>
      <c r="X652" s="329" t="str">
        <f t="shared" si="54"/>
        <v>XW</v>
      </c>
      <c r="Y652" s="1128" t="s">
        <v>3380</v>
      </c>
      <c r="Z652" s="1128" t="s">
        <v>3381</v>
      </c>
      <c r="AA652" s="1128" t="s">
        <v>3384</v>
      </c>
      <c r="AC652" s="73"/>
    </row>
    <row r="653" spans="1:29" s="20" customFormat="1">
      <c r="A653" s="327" t="str">
        <f>IF(AND($B653&lt;&gt;"",$C653&lt;&gt;""),MAX($A$4:A652)+1,"")</f>
        <v/>
      </c>
      <c r="B653" s="361" t="s">
        <v>1873</v>
      </c>
      <c r="C653" s="360"/>
      <c r="D653" s="327">
        <f>IF($B653="","",COUNTIF($B$6:$B653,$B653))</f>
        <v>3</v>
      </c>
      <c r="E653" s="361" t="s">
        <v>2260</v>
      </c>
      <c r="F653" s="362" t="s">
        <v>34</v>
      </c>
      <c r="G653" s="327" t="s">
        <v>329</v>
      </c>
      <c r="H653" s="325"/>
      <c r="I653" s="327">
        <v>8</v>
      </c>
      <c r="J653" s="361" t="s">
        <v>1190</v>
      </c>
      <c r="K653" s="327" t="s">
        <v>516</v>
      </c>
      <c r="L653" s="348">
        <f t="shared" si="55"/>
        <v>420000</v>
      </c>
      <c r="M653" s="355"/>
      <c r="N653" s="355" t="str">
        <f t="shared" si="40"/>
        <v>PR</v>
      </c>
      <c r="O653" s="347"/>
      <c r="P653" s="325"/>
      <c r="Q653" s="351"/>
      <c r="R653" s="351">
        <v>1.2</v>
      </c>
      <c r="S653" s="351">
        <v>6</v>
      </c>
      <c r="T653" s="351">
        <v>0.83333333333333337</v>
      </c>
      <c r="U653" s="329">
        <f>IF($N653=$N$4,IFERROR(INDEX(DanhMuc!$E$154:$E$165,MATCH(MID($B653,4,2),DanhMuc!$B$154:$B$165,0)),""),"")</f>
        <v>6000</v>
      </c>
      <c r="V653" s="325"/>
      <c r="W653" s="352" t="str">
        <f>+IF(AND($A653&lt;&gt;"",LEN($B653)&gt;=8,COUNTIF($B$6:$B653,$B653)=1),$W$5,"")</f>
        <v/>
      </c>
      <c r="X653" s="329" t="str">
        <f t="shared" si="54"/>
        <v>XW</v>
      </c>
      <c r="Y653" s="1128" t="s">
        <v>3380</v>
      </c>
      <c r="Z653" s="1128" t="s">
        <v>3381</v>
      </c>
      <c r="AA653" s="1128" t="s">
        <v>3384</v>
      </c>
      <c r="AC653" s="73"/>
    </row>
    <row r="654" spans="1:29" s="20" customFormat="1">
      <c r="A654" s="327" t="str">
        <f>IF(AND($B654&lt;&gt;"",$C654&lt;&gt;""),MAX($A$4:A653)+1,"")</f>
        <v/>
      </c>
      <c r="B654" s="361" t="s">
        <v>1873</v>
      </c>
      <c r="C654" s="360"/>
      <c r="D654" s="327">
        <f>IF($B654="","",COUNTIF($B$6:$B654,$B654))</f>
        <v>4</v>
      </c>
      <c r="E654" s="361" t="s">
        <v>2260</v>
      </c>
      <c r="F654" s="362" t="s">
        <v>34</v>
      </c>
      <c r="G654" s="327" t="s">
        <v>328</v>
      </c>
      <c r="H654" s="325"/>
      <c r="I654" s="327">
        <v>8</v>
      </c>
      <c r="J654" s="361" t="s">
        <v>971</v>
      </c>
      <c r="K654" s="327" t="s">
        <v>516</v>
      </c>
      <c r="L654" s="348">
        <f t="shared" si="55"/>
        <v>420000</v>
      </c>
      <c r="M654" s="355"/>
      <c r="N654" s="355" t="str">
        <f t="shared" si="40"/>
        <v>PR</v>
      </c>
      <c r="O654" s="347"/>
      <c r="P654" s="325"/>
      <c r="Q654" s="351"/>
      <c r="R654" s="351">
        <v>1.2</v>
      </c>
      <c r="S654" s="351">
        <v>6</v>
      </c>
      <c r="T654" s="351">
        <v>0.83333333333333337</v>
      </c>
      <c r="U654" s="329">
        <f>IF($N654=$N$4,IFERROR(INDEX(DanhMuc!$E$154:$E$165,MATCH(MID($B654,4,2),DanhMuc!$B$154:$B$165,0)),""),"")</f>
        <v>6000</v>
      </c>
      <c r="V654" s="325"/>
      <c r="W654" s="352" t="str">
        <f>+IF(AND($A654&lt;&gt;"",LEN($B654)&gt;=8,COUNTIF($B$6:$B654,$B654)=1),$W$5,"")</f>
        <v/>
      </c>
      <c r="X654" s="329" t="str">
        <f t="shared" si="54"/>
        <v>XW</v>
      </c>
      <c r="Y654" s="1128" t="s">
        <v>3380</v>
      </c>
      <c r="Z654" s="1128" t="s">
        <v>3381</v>
      </c>
      <c r="AA654" s="1128" t="s">
        <v>3384</v>
      </c>
      <c r="AC654" s="73"/>
    </row>
    <row r="655" spans="1:29" s="20" customFormat="1">
      <c r="A655" s="327" t="str">
        <f>IF(AND($B655&lt;&gt;"",$C655&lt;&gt;""),MAX($A$4:A654)+1,"")</f>
        <v/>
      </c>
      <c r="B655" s="361" t="s">
        <v>1873</v>
      </c>
      <c r="C655" s="360"/>
      <c r="D655" s="327">
        <f>IF($B655="","",COUNTIF($B$6:$B655,$B655))</f>
        <v>5</v>
      </c>
      <c r="E655" s="361" t="s">
        <v>2261</v>
      </c>
      <c r="F655" s="362" t="s">
        <v>36</v>
      </c>
      <c r="G655" s="327" t="s">
        <v>328</v>
      </c>
      <c r="H655" s="325"/>
      <c r="I655" s="327">
        <v>4</v>
      </c>
      <c r="J655" s="361" t="s">
        <v>971</v>
      </c>
      <c r="K655" s="327" t="s">
        <v>531</v>
      </c>
      <c r="L655" s="348">
        <f t="shared" si="55"/>
        <v>176400.00000000003</v>
      </c>
      <c r="M655" s="355"/>
      <c r="N655" s="355" t="str">
        <f t="shared" si="40"/>
        <v>PR</v>
      </c>
      <c r="O655" s="347"/>
      <c r="P655" s="325"/>
      <c r="Q655" s="351"/>
      <c r="R655" s="351">
        <v>1.2</v>
      </c>
      <c r="S655" s="351">
        <v>6</v>
      </c>
      <c r="T655" s="351">
        <v>0.35000000000000003</v>
      </c>
      <c r="U655" s="329">
        <f>IF($N655=$N$4,IFERROR(INDEX(DanhMuc!$E$154:$E$165,MATCH(MID($B655,4,2),DanhMuc!$B$154:$B$165,0)),""),"")</f>
        <v>6000</v>
      </c>
      <c r="V655" s="325"/>
      <c r="W655" s="352" t="str">
        <f>+IF(AND($A655&lt;&gt;"",LEN($B655)&gt;=8,COUNTIF($B$6:$B655,$B655)=1),$W$5,"")</f>
        <v/>
      </c>
      <c r="X655" s="329" t="str">
        <f t="shared" si="54"/>
        <v>XW</v>
      </c>
      <c r="Y655" s="1128" t="s">
        <v>3380</v>
      </c>
      <c r="Z655" s="1128" t="s">
        <v>3381</v>
      </c>
      <c r="AA655" s="1128" t="s">
        <v>3384</v>
      </c>
      <c r="AC655" s="73"/>
    </row>
    <row r="656" spans="1:29" s="20" customFormat="1">
      <c r="A656" s="327" t="str">
        <f>IF(AND($B656&lt;&gt;"",$C656&lt;&gt;""),MAX($A$4:A655)+1,"")</f>
        <v/>
      </c>
      <c r="B656" s="361" t="s">
        <v>1873</v>
      </c>
      <c r="C656" s="360"/>
      <c r="D656" s="327">
        <f>IF($B656="","",COUNTIF($B$6:$B656,$B656))</f>
        <v>6</v>
      </c>
      <c r="E656" s="361" t="s">
        <v>2262</v>
      </c>
      <c r="F656" s="362" t="s">
        <v>40</v>
      </c>
      <c r="G656" s="327" t="s">
        <v>330</v>
      </c>
      <c r="H656" s="325"/>
      <c r="I656" s="327">
        <v>1</v>
      </c>
      <c r="J656" s="361" t="s">
        <v>1189</v>
      </c>
      <c r="K656" s="327" t="s">
        <v>531</v>
      </c>
      <c r="L656" s="348">
        <f t="shared" si="55"/>
        <v>89040</v>
      </c>
      <c r="M656" s="355"/>
      <c r="N656" s="355" t="str">
        <f t="shared" si="40"/>
        <v>PR</v>
      </c>
      <c r="O656" s="347"/>
      <c r="P656" s="325"/>
      <c r="Q656" s="351"/>
      <c r="R656" s="351">
        <v>1.2</v>
      </c>
      <c r="S656" s="351">
        <v>6</v>
      </c>
      <c r="T656" s="351">
        <v>0.17666666666666667</v>
      </c>
      <c r="U656" s="329">
        <f>IF($N656=$N$4,IFERROR(INDEX(DanhMuc!$E$154:$E$165,MATCH(MID($B656,4,2),DanhMuc!$B$154:$B$165,0)),""),"")</f>
        <v>6000</v>
      </c>
      <c r="V656" s="325"/>
      <c r="W656" s="352" t="str">
        <f>+IF(AND($A656&lt;&gt;"",LEN($B656)&gt;=8,COUNTIF($B$6:$B656,$B656)=1),$W$5,"")</f>
        <v/>
      </c>
      <c r="X656" s="329" t="str">
        <f t="shared" si="54"/>
        <v>XW</v>
      </c>
      <c r="Y656" s="1128" t="s">
        <v>3380</v>
      </c>
      <c r="Z656" s="1128" t="s">
        <v>3381</v>
      </c>
      <c r="AA656" s="1128" t="s">
        <v>3384</v>
      </c>
      <c r="AC656" s="73"/>
    </row>
    <row r="657" spans="1:29" s="20" customFormat="1">
      <c r="A657" s="327" t="str">
        <f>IF(AND($B657&lt;&gt;"",$C657&lt;&gt;""),MAX($A$4:A656)+1,"")</f>
        <v/>
      </c>
      <c r="B657" s="361" t="s">
        <v>1873</v>
      </c>
      <c r="C657" s="364"/>
      <c r="D657" s="327">
        <f>IF($B657="","",COUNTIF($B$6:$B657,$B657))</f>
        <v>7</v>
      </c>
      <c r="E657" s="361" t="s">
        <v>2263</v>
      </c>
      <c r="F657" s="362" t="s">
        <v>38</v>
      </c>
      <c r="G657" s="327" t="s">
        <v>328</v>
      </c>
      <c r="H657" s="325"/>
      <c r="I657" s="327">
        <v>1</v>
      </c>
      <c r="J657" s="361" t="s">
        <v>971</v>
      </c>
      <c r="K657" s="327" t="s">
        <v>531</v>
      </c>
      <c r="L657" s="348">
        <f t="shared" si="55"/>
        <v>109200</v>
      </c>
      <c r="M657" s="355"/>
      <c r="N657" s="355" t="str">
        <f t="shared" si="40"/>
        <v>PR</v>
      </c>
      <c r="O657" s="345"/>
      <c r="P657" s="325"/>
      <c r="Q657" s="351"/>
      <c r="R657" s="351">
        <v>1.2</v>
      </c>
      <c r="S657" s="351">
        <v>6</v>
      </c>
      <c r="T657" s="351">
        <v>0.21666666666666667</v>
      </c>
      <c r="U657" s="329">
        <f>IF($N657=$N$4,IFERROR(INDEX(DanhMuc!$E$154:$E$165,MATCH(MID($B657,4,2),DanhMuc!$B$154:$B$165,0)),""),"")</f>
        <v>6000</v>
      </c>
      <c r="V657" s="325"/>
      <c r="W657" s="352" t="str">
        <f>+IF(AND($A657&lt;&gt;"",LEN($B657)&gt;=8,COUNTIF($B$6:$B657,$B657)=1),$W$5,"")</f>
        <v/>
      </c>
      <c r="X657" s="329" t="str">
        <f t="shared" si="54"/>
        <v>XW</v>
      </c>
      <c r="Y657" s="1128" t="s">
        <v>3380</v>
      </c>
      <c r="Z657" s="1128" t="s">
        <v>3381</v>
      </c>
      <c r="AA657" s="1128" t="s">
        <v>3384</v>
      </c>
      <c r="AC657" s="73"/>
    </row>
    <row r="658" spans="1:29" s="20" customFormat="1" ht="39">
      <c r="A658" s="327">
        <f>IF(AND($B658&lt;&gt;"",$C658&lt;&gt;""),MAX($A$4:A644)+1,"")</f>
        <v>56</v>
      </c>
      <c r="B658" s="359" t="s">
        <v>1874</v>
      </c>
      <c r="C658" s="360" t="s">
        <v>1901</v>
      </c>
      <c r="D658" s="327">
        <f>IF($B658="","",COUNTIF($B$6:$B658,$B658))</f>
        <v>1</v>
      </c>
      <c r="E658" s="363" t="s">
        <v>2272</v>
      </c>
      <c r="F658" s="382" t="s">
        <v>83</v>
      </c>
      <c r="G658" s="327" t="s">
        <v>329</v>
      </c>
      <c r="H658" s="325"/>
      <c r="I658" s="327">
        <v>2</v>
      </c>
      <c r="J658" s="363" t="s">
        <v>81</v>
      </c>
      <c r="K658" s="327" t="s">
        <v>516</v>
      </c>
      <c r="L658" s="348">
        <f t="shared" si="55"/>
        <v>358679.99999999994</v>
      </c>
      <c r="M658" s="355"/>
      <c r="N658" s="355" t="str">
        <f t="shared" si="40"/>
        <v>PR</v>
      </c>
      <c r="O658" s="345"/>
      <c r="P658" s="325"/>
      <c r="Q658" s="351"/>
      <c r="R658" s="351">
        <v>1.2</v>
      </c>
      <c r="S658" s="351">
        <v>6</v>
      </c>
      <c r="T658" s="351">
        <v>0.71166666666666656</v>
      </c>
      <c r="U658" s="329">
        <f>IF($N658=$N$4,IFERROR(INDEX(DanhMuc!$E$154:$E$165,MATCH(MID($B658,4,2),DanhMuc!$B$154:$B$165,0)),""),"")</f>
        <v>6000</v>
      </c>
      <c r="V658" s="325"/>
      <c r="W658" s="352" t="str">
        <f>+IF(AND($A658&lt;&gt;"",LEN($B658)&gt;=8,COUNTIF($B$6:$B658,$B658)=1),$W$5,"")</f>
        <v>DMCua</v>
      </c>
      <c r="X658" s="329" t="str">
        <f t="shared" si="54"/>
        <v>XW</v>
      </c>
      <c r="Y658" s="1128" t="s">
        <v>3380</v>
      </c>
      <c r="Z658" s="1128" t="s">
        <v>3381</v>
      </c>
      <c r="AA658" s="1128" t="s">
        <v>3384</v>
      </c>
      <c r="AC658" s="73"/>
    </row>
    <row r="659" spans="1:29" s="20" customFormat="1">
      <c r="A659" s="327" t="str">
        <f>IF(AND($B659&lt;&gt;"",$C659&lt;&gt;""),MAX($A$4:A658)+1,"")</f>
        <v/>
      </c>
      <c r="B659" s="361" t="s">
        <v>1874</v>
      </c>
      <c r="C659" s="364"/>
      <c r="D659" s="327">
        <f>IF($B659="","",COUNTIF($B$6:$B659,$B659))</f>
        <v>2</v>
      </c>
      <c r="E659" s="361" t="s">
        <v>2272</v>
      </c>
      <c r="F659" s="362" t="s">
        <v>83</v>
      </c>
      <c r="G659" s="327" t="s">
        <v>328</v>
      </c>
      <c r="H659" s="325"/>
      <c r="I659" s="327">
        <v>2</v>
      </c>
      <c r="J659" s="361" t="s">
        <v>80</v>
      </c>
      <c r="K659" s="327" t="s">
        <v>516</v>
      </c>
      <c r="L659" s="348">
        <f t="shared" si="55"/>
        <v>358679.99999999994</v>
      </c>
      <c r="M659" s="355"/>
      <c r="N659" s="355" t="str">
        <f t="shared" si="40"/>
        <v>PR</v>
      </c>
      <c r="O659" s="345"/>
      <c r="P659" s="325"/>
      <c r="Q659" s="351"/>
      <c r="R659" s="351">
        <v>1.2</v>
      </c>
      <c r="S659" s="351">
        <v>6</v>
      </c>
      <c r="T659" s="351">
        <v>0.71166666666666656</v>
      </c>
      <c r="U659" s="329">
        <f>IF($N659=$N$4,IFERROR(INDEX(DanhMuc!$E$154:$E$165,MATCH(MID($B659,4,2),DanhMuc!$B$154:$B$165,0)),""),"")</f>
        <v>6000</v>
      </c>
      <c r="V659" s="325"/>
      <c r="W659" s="352" t="str">
        <f>+IF(AND($A659&lt;&gt;"",LEN($B659)&gt;=8,COUNTIF($B$6:$B659,$B659)=1),$W$5,"")</f>
        <v/>
      </c>
      <c r="X659" s="329" t="str">
        <f t="shared" si="54"/>
        <v>XW</v>
      </c>
      <c r="Y659" s="1128" t="s">
        <v>3380</v>
      </c>
      <c r="Z659" s="1128" t="s">
        <v>3381</v>
      </c>
      <c r="AA659" s="1128" t="s">
        <v>3384</v>
      </c>
      <c r="AC659" s="73"/>
    </row>
    <row r="660" spans="1:29" s="20" customFormat="1">
      <c r="A660" s="327" t="str">
        <f>IF(AND($B660&lt;&gt;"",$C660&lt;&gt;""),MAX($A$4:A659)+1,"")</f>
        <v/>
      </c>
      <c r="B660" s="361" t="s">
        <v>1874</v>
      </c>
      <c r="C660" s="364"/>
      <c r="D660" s="327">
        <f>IF($B660="","",COUNTIF($B$6:$B660,$B660))</f>
        <v>3</v>
      </c>
      <c r="E660" s="361" t="s">
        <v>2244</v>
      </c>
      <c r="F660" s="362" t="s">
        <v>346</v>
      </c>
      <c r="G660" s="327" t="s">
        <v>329</v>
      </c>
      <c r="H660" s="325"/>
      <c r="I660" s="327">
        <v>2</v>
      </c>
      <c r="J660" s="361" t="s">
        <v>927</v>
      </c>
      <c r="K660" s="327" t="s">
        <v>531</v>
      </c>
      <c r="L660" s="348">
        <f t="shared" si="55"/>
        <v>142800</v>
      </c>
      <c r="M660" s="355"/>
      <c r="N660" s="355" t="str">
        <f t="shared" si="40"/>
        <v>PR</v>
      </c>
      <c r="O660" s="347">
        <v>10</v>
      </c>
      <c r="P660" s="325"/>
      <c r="Q660" s="351"/>
      <c r="R660" s="351">
        <v>1.2</v>
      </c>
      <c r="S660" s="351">
        <v>6</v>
      </c>
      <c r="T660" s="351">
        <v>0.28333333333333333</v>
      </c>
      <c r="U660" s="329">
        <f>IF($N660=$N$4,IFERROR(INDEX(DanhMuc!$E$154:$E$165,MATCH(MID($B660,4,2),DanhMuc!$B$154:$B$165,0)),""),"")</f>
        <v>6000</v>
      </c>
      <c r="V660" s="325"/>
      <c r="W660" s="352" t="str">
        <f>+IF(AND($A660&lt;&gt;"",LEN($B660)&gt;=8,COUNTIF($B$6:$B660,$B660)=1),$W$5,"")</f>
        <v/>
      </c>
      <c r="X660" s="329" t="str">
        <f t="shared" si="54"/>
        <v>XW</v>
      </c>
      <c r="Y660" s="1128" t="s">
        <v>3380</v>
      </c>
      <c r="Z660" s="1128" t="s">
        <v>3381</v>
      </c>
      <c r="AA660" s="1128" t="s">
        <v>3384</v>
      </c>
      <c r="AC660" s="73"/>
    </row>
    <row r="661" spans="1:29" s="20" customFormat="1">
      <c r="A661" s="327" t="str">
        <f>IF(AND($B661&lt;&gt;"",$C661&lt;&gt;""),MAX($A$4:A660)+1,"")</f>
        <v/>
      </c>
      <c r="B661" s="361" t="s">
        <v>1874</v>
      </c>
      <c r="C661" s="364"/>
      <c r="D661" s="327">
        <f>IF($B661="","",COUNTIF($B$6:$B661,$B661))</f>
        <v>4</v>
      </c>
      <c r="E661" s="361" t="s">
        <v>2244</v>
      </c>
      <c r="F661" s="362" t="s">
        <v>346</v>
      </c>
      <c r="G661" s="327" t="s">
        <v>328</v>
      </c>
      <c r="H661" s="325"/>
      <c r="I661" s="327">
        <v>2</v>
      </c>
      <c r="J661" s="361" t="s">
        <v>928</v>
      </c>
      <c r="K661" s="327" t="s">
        <v>531</v>
      </c>
      <c r="L661" s="348">
        <f t="shared" si="55"/>
        <v>142800</v>
      </c>
      <c r="M661" s="355"/>
      <c r="N661" s="355" t="str">
        <f t="shared" si="40"/>
        <v>PR</v>
      </c>
      <c r="O661" s="347">
        <v>10</v>
      </c>
      <c r="P661" s="325"/>
      <c r="Q661" s="351"/>
      <c r="R661" s="351">
        <v>1.2</v>
      </c>
      <c r="S661" s="351">
        <v>6</v>
      </c>
      <c r="T661" s="351">
        <v>0.28333333333333333</v>
      </c>
      <c r="U661" s="329">
        <f>IF($N661=$N$4,IFERROR(INDEX(DanhMuc!$E$154:$E$165,MATCH(MID($B661,4,2),DanhMuc!$B$154:$B$165,0)),""),"")</f>
        <v>6000</v>
      </c>
      <c r="V661" s="325"/>
      <c r="W661" s="352" t="str">
        <f>+IF(AND($A661&lt;&gt;"",LEN($B661)&gt;=8,COUNTIF($B$6:$B661,$B661)=1),$W$5,"")</f>
        <v/>
      </c>
      <c r="X661" s="329" t="str">
        <f t="shared" si="54"/>
        <v>XW</v>
      </c>
      <c r="Y661" s="1128" t="s">
        <v>3380</v>
      </c>
      <c r="Z661" s="1128" t="s">
        <v>3381</v>
      </c>
      <c r="AA661" s="1128" t="s">
        <v>3384</v>
      </c>
      <c r="AC661" s="73"/>
    </row>
    <row r="662" spans="1:29" s="20" customFormat="1">
      <c r="A662" s="327" t="str">
        <f>IF(AND($B662&lt;&gt;"",$C662&lt;&gt;""),MAX($A$4:A661)+1,"")</f>
        <v/>
      </c>
      <c r="B662" s="361" t="s">
        <v>1874</v>
      </c>
      <c r="C662" s="364"/>
      <c r="D662" s="327">
        <f>IF($B662="","",COUNTIF($B$6:$B662,$B662))</f>
        <v>5</v>
      </c>
      <c r="E662" s="361" t="s">
        <v>2245</v>
      </c>
      <c r="F662" s="362" t="s">
        <v>386</v>
      </c>
      <c r="G662" s="327" t="s">
        <v>329</v>
      </c>
      <c r="H662" s="325"/>
      <c r="I662" s="327">
        <v>2</v>
      </c>
      <c r="J662" s="361" t="s">
        <v>927</v>
      </c>
      <c r="K662" s="327" t="s">
        <v>531</v>
      </c>
      <c r="L662" s="348">
        <f t="shared" si="55"/>
        <v>0</v>
      </c>
      <c r="M662" s="355"/>
      <c r="N662" s="355" t="str">
        <f t="shared" si="40"/>
        <v>PR</v>
      </c>
      <c r="O662" s="347">
        <v>19</v>
      </c>
      <c r="P662" s="325"/>
      <c r="Q662" s="351"/>
      <c r="R662" s="351"/>
      <c r="S662" s="351">
        <v>6</v>
      </c>
      <c r="T662" s="351">
        <v>0</v>
      </c>
      <c r="U662" s="329">
        <f>IF($N662=$N$4,IFERROR(INDEX(DanhMuc!$E$154:$E$165,MATCH(MID($B662,4,2),DanhMuc!$B$154:$B$165,0)),""),"")</f>
        <v>6000</v>
      </c>
      <c r="V662" s="325"/>
      <c r="W662" s="352" t="str">
        <f>+IF(AND($A662&lt;&gt;"",LEN($B662)&gt;=8,COUNTIF($B$6:$B662,$B662)=1),$W$5,"")</f>
        <v/>
      </c>
      <c r="X662" s="329" t="str">
        <f t="shared" si="54"/>
        <v>XW</v>
      </c>
      <c r="Y662" s="1128" t="s">
        <v>3380</v>
      </c>
      <c r="Z662" s="1128" t="s">
        <v>3381</v>
      </c>
      <c r="AA662" s="1128" t="s">
        <v>3384</v>
      </c>
      <c r="AC662" s="73"/>
    </row>
    <row r="663" spans="1:29" s="20" customFormat="1">
      <c r="A663" s="327" t="str">
        <f>IF(AND($B663&lt;&gt;"",$C663&lt;&gt;""),MAX($A$4:A662)+1,"")</f>
        <v/>
      </c>
      <c r="B663" s="361" t="s">
        <v>1874</v>
      </c>
      <c r="C663" s="364"/>
      <c r="D663" s="327">
        <f>IF($B663="","",COUNTIF($B$6:$B663,$B663))</f>
        <v>6</v>
      </c>
      <c r="E663" s="361" t="s">
        <v>2245</v>
      </c>
      <c r="F663" s="362" t="s">
        <v>386</v>
      </c>
      <c r="G663" s="327" t="s">
        <v>328</v>
      </c>
      <c r="H663" s="325"/>
      <c r="I663" s="327">
        <v>2</v>
      </c>
      <c r="J663" s="361" t="s">
        <v>928</v>
      </c>
      <c r="K663" s="327" t="s">
        <v>531</v>
      </c>
      <c r="L663" s="348">
        <f t="shared" si="55"/>
        <v>0</v>
      </c>
      <c r="M663" s="355"/>
      <c r="N663" s="355" t="str">
        <f t="shared" si="40"/>
        <v>PR</v>
      </c>
      <c r="O663" s="347">
        <v>19</v>
      </c>
      <c r="P663" s="325"/>
      <c r="Q663" s="351"/>
      <c r="R663" s="351"/>
      <c r="S663" s="351">
        <v>6</v>
      </c>
      <c r="T663" s="351">
        <v>0</v>
      </c>
      <c r="U663" s="329">
        <f>IF($N663=$N$4,IFERROR(INDEX(DanhMuc!$E$154:$E$165,MATCH(MID($B663,4,2),DanhMuc!$B$154:$B$165,0)),""),"")</f>
        <v>6000</v>
      </c>
      <c r="V663" s="325"/>
      <c r="W663" s="352" t="str">
        <f>+IF(AND($A663&lt;&gt;"",LEN($B663)&gt;=8,COUNTIF($B$6:$B663,$B663)=1),$W$5,"")</f>
        <v/>
      </c>
      <c r="X663" s="329" t="str">
        <f t="shared" si="54"/>
        <v>XW</v>
      </c>
      <c r="Y663" s="1128" t="s">
        <v>3380</v>
      </c>
      <c r="Z663" s="1128" t="s">
        <v>3381</v>
      </c>
      <c r="AA663" s="1128" t="s">
        <v>3384</v>
      </c>
      <c r="AC663" s="73"/>
    </row>
    <row r="664" spans="1:29" s="20" customFormat="1">
      <c r="A664" s="327" t="str">
        <f>IF(AND($B664&lt;&gt;"",$C664&lt;&gt;""),MAX($A$4:A663)+1,"")</f>
        <v/>
      </c>
      <c r="B664" s="361" t="s">
        <v>1874</v>
      </c>
      <c r="C664" s="364"/>
      <c r="D664" s="327">
        <f>IF($B664="","",COUNTIF($B$6:$B664,$B664))</f>
        <v>7</v>
      </c>
      <c r="E664" s="361" t="s">
        <v>2246</v>
      </c>
      <c r="F664" s="362" t="s">
        <v>631</v>
      </c>
      <c r="G664" s="327" t="s">
        <v>329</v>
      </c>
      <c r="H664" s="325"/>
      <c r="I664" s="327">
        <v>2</v>
      </c>
      <c r="J664" s="361" t="s">
        <v>927</v>
      </c>
      <c r="K664" s="327" t="s">
        <v>531</v>
      </c>
      <c r="L664" s="348">
        <f t="shared" si="55"/>
        <v>117599.99999999997</v>
      </c>
      <c r="M664" s="355"/>
      <c r="N664" s="355" t="str">
        <f t="shared" si="40"/>
        <v>PR</v>
      </c>
      <c r="O664" s="347">
        <v>20</v>
      </c>
      <c r="P664" s="325"/>
      <c r="Q664" s="351"/>
      <c r="R664" s="351">
        <v>1.2</v>
      </c>
      <c r="S664" s="351">
        <v>6</v>
      </c>
      <c r="T664" s="351">
        <v>0.23333333333333331</v>
      </c>
      <c r="U664" s="329">
        <f>IF($N664=$N$4,IFERROR(INDEX(DanhMuc!$E$154:$E$165,MATCH(MID($B664,4,2),DanhMuc!$B$154:$B$165,0)),""),"")</f>
        <v>6000</v>
      </c>
      <c r="V664" s="325"/>
      <c r="W664" s="352" t="str">
        <f>+IF(AND($A664&lt;&gt;"",LEN($B664)&gt;=8,COUNTIF($B$6:$B664,$B664)=1),$W$5,"")</f>
        <v/>
      </c>
      <c r="X664" s="329" t="str">
        <f t="shared" si="54"/>
        <v>XW</v>
      </c>
      <c r="Y664" s="1128" t="s">
        <v>3380</v>
      </c>
      <c r="Z664" s="1128" t="s">
        <v>3381</v>
      </c>
      <c r="AA664" s="1128" t="s">
        <v>3384</v>
      </c>
      <c r="AC664" s="73"/>
    </row>
    <row r="665" spans="1:29" s="20" customFormat="1">
      <c r="A665" s="327" t="str">
        <f>IF(AND($B665&lt;&gt;"",$C665&lt;&gt;""),MAX($A$4:A664)+1,"")</f>
        <v/>
      </c>
      <c r="B665" s="361" t="s">
        <v>1874</v>
      </c>
      <c r="C665" s="364"/>
      <c r="D665" s="327">
        <f>IF($B665="","",COUNTIF($B$6:$B665,$B665))</f>
        <v>8</v>
      </c>
      <c r="E665" s="361" t="s">
        <v>2246</v>
      </c>
      <c r="F665" s="362" t="s">
        <v>631</v>
      </c>
      <c r="G665" s="327" t="s">
        <v>328</v>
      </c>
      <c r="H665" s="325"/>
      <c r="I665" s="327">
        <v>2</v>
      </c>
      <c r="J665" s="361" t="s">
        <v>928</v>
      </c>
      <c r="K665" s="327" t="s">
        <v>531</v>
      </c>
      <c r="L665" s="348">
        <f t="shared" si="55"/>
        <v>117599.99999999997</v>
      </c>
      <c r="M665" s="355"/>
      <c r="N665" s="355" t="str">
        <f t="shared" si="40"/>
        <v>PR</v>
      </c>
      <c r="O665" s="347">
        <v>20</v>
      </c>
      <c r="P665" s="325"/>
      <c r="Q665" s="351"/>
      <c r="R665" s="351">
        <v>1.2</v>
      </c>
      <c r="S665" s="351">
        <v>6</v>
      </c>
      <c r="T665" s="351">
        <v>0.23333333333333331</v>
      </c>
      <c r="U665" s="329">
        <f>IF($N665=$N$4,IFERROR(INDEX(DanhMuc!$E$154:$E$165,MATCH(MID($B665,4,2),DanhMuc!$B$154:$B$165,0)),""),"")</f>
        <v>6000</v>
      </c>
      <c r="V665" s="325"/>
      <c r="W665" s="352" t="str">
        <f>+IF(AND($A665&lt;&gt;"",LEN($B665)&gt;=8,COUNTIF($B$6:$B665,$B665)=1),$W$5,"")</f>
        <v/>
      </c>
      <c r="X665" s="329" t="str">
        <f t="shared" si="54"/>
        <v>XW</v>
      </c>
      <c r="Y665" s="1128" t="s">
        <v>3380</v>
      </c>
      <c r="Z665" s="1128" t="s">
        <v>3381</v>
      </c>
      <c r="AA665" s="1128" t="s">
        <v>3384</v>
      </c>
      <c r="AC665" s="73"/>
    </row>
    <row r="666" spans="1:29" s="20" customFormat="1" ht="39">
      <c r="A666" s="327">
        <f>IF(AND($B666&lt;&gt;"",$C666&lt;&gt;""),MAX($A$4:A652)+1,"")</f>
        <v>58</v>
      </c>
      <c r="B666" s="359" t="s">
        <v>2348</v>
      </c>
      <c r="C666" s="360" t="s">
        <v>2351</v>
      </c>
      <c r="D666" s="327">
        <f>IF($B666="","",COUNTIF($B$6:$B666,$B666))</f>
        <v>1</v>
      </c>
      <c r="E666" s="363" t="s">
        <v>2349</v>
      </c>
      <c r="F666" s="382" t="s">
        <v>597</v>
      </c>
      <c r="G666" s="327" t="s">
        <v>329</v>
      </c>
      <c r="H666" s="325"/>
      <c r="I666" s="327">
        <v>2</v>
      </c>
      <c r="J666" s="363" t="s">
        <v>2346</v>
      </c>
      <c r="K666" s="327" t="s">
        <v>531</v>
      </c>
      <c r="L666" s="348">
        <f t="shared" si="55"/>
        <v>480480</v>
      </c>
      <c r="M666" s="355"/>
      <c r="N666" s="355" t="str">
        <f t="shared" si="40"/>
        <v>PR</v>
      </c>
      <c r="O666" s="345"/>
      <c r="P666" s="325"/>
      <c r="Q666" s="351"/>
      <c r="R666" s="351">
        <v>1.6</v>
      </c>
      <c r="S666" s="351">
        <v>6</v>
      </c>
      <c r="T666" s="351">
        <f>5.72/S666</f>
        <v>0.95333333333333325</v>
      </c>
      <c r="U666" s="329">
        <f>IF($N666=$N$4,IFERROR(INDEX(DanhMuc!$E$154:$E$165,MATCH(MID($B666,4,2),DanhMuc!$B$154:$B$165,0)),""),"")</f>
        <v>6000</v>
      </c>
      <c r="V666" s="325"/>
      <c r="W666" s="352" t="str">
        <f>+IF(AND($A666&lt;&gt;"",LEN($B666)&gt;=8,COUNTIF($B$6:$B666,$B666)=1),$W$5,"")</f>
        <v>DMCua</v>
      </c>
      <c r="X666" s="329" t="str">
        <f t="shared" si="54"/>
        <v>XW</v>
      </c>
      <c r="Y666" s="1128" t="s">
        <v>3380</v>
      </c>
      <c r="Z666" s="1128" t="s">
        <v>3381</v>
      </c>
      <c r="AA666" s="1128" t="s">
        <v>3384</v>
      </c>
      <c r="AC666" s="73"/>
    </row>
    <row r="667" spans="1:29" s="20" customFormat="1">
      <c r="A667" s="327" t="str">
        <f>IF(AND($B667&lt;&gt;"",$C667&lt;&gt;""),MAX($A$4:A666)+1,"")</f>
        <v/>
      </c>
      <c r="B667" s="361" t="s">
        <v>2348</v>
      </c>
      <c r="C667" s="364"/>
      <c r="D667" s="327">
        <f>IF($B667="","",COUNTIF($B$6:$B667,$B667))</f>
        <v>2</v>
      </c>
      <c r="E667" s="363" t="s">
        <v>2349</v>
      </c>
      <c r="F667" s="382" t="s">
        <v>597</v>
      </c>
      <c r="G667" s="327" t="s">
        <v>328</v>
      </c>
      <c r="H667" s="325"/>
      <c r="I667" s="327">
        <v>2</v>
      </c>
      <c r="J667" s="361" t="s">
        <v>80</v>
      </c>
      <c r="K667" s="327" t="s">
        <v>531</v>
      </c>
      <c r="L667" s="348">
        <f t="shared" si="55"/>
        <v>480480</v>
      </c>
      <c r="M667" s="355"/>
      <c r="N667" s="355" t="str">
        <f t="shared" si="40"/>
        <v>PR</v>
      </c>
      <c r="O667" s="345"/>
      <c r="P667" s="325"/>
      <c r="Q667" s="351"/>
      <c r="R667" s="351">
        <v>1.6</v>
      </c>
      <c r="S667" s="351">
        <v>6</v>
      </c>
      <c r="T667" s="351">
        <f>5.72/S667</f>
        <v>0.95333333333333325</v>
      </c>
      <c r="U667" s="329">
        <f>IF($N667=$N$4,IFERROR(INDEX(DanhMuc!$E$154:$E$165,MATCH(MID($B667,4,2),DanhMuc!$B$154:$B$165,0)),""),"")</f>
        <v>6000</v>
      </c>
      <c r="V667" s="325"/>
      <c r="W667" s="352" t="str">
        <f>+IF(AND($A667&lt;&gt;"",LEN($B667)&gt;=8,COUNTIF($B$6:$B667,$B667)=1),$W$5,"")</f>
        <v/>
      </c>
      <c r="X667" s="329" t="str">
        <f t="shared" si="54"/>
        <v>XW</v>
      </c>
      <c r="Y667" s="1128" t="s">
        <v>3380</v>
      </c>
      <c r="Z667" s="1128" t="s">
        <v>3381</v>
      </c>
      <c r="AA667" s="1128" t="s">
        <v>3384</v>
      </c>
      <c r="AC667" s="73"/>
    </row>
    <row r="668" spans="1:29" s="20" customFormat="1" ht="25">
      <c r="A668" s="327" t="str">
        <f>IF(AND($B668&lt;&gt;"",$C668&lt;&gt;""),MAX($A$4:A667)+1,"")</f>
        <v/>
      </c>
      <c r="B668" s="361" t="s">
        <v>2348</v>
      </c>
      <c r="C668" s="364"/>
      <c r="D668" s="327">
        <f>IF($B668="","",COUNTIF($B$6:$B668,$B668))</f>
        <v>3</v>
      </c>
      <c r="E668" s="365" t="s">
        <v>2350</v>
      </c>
      <c r="F668" s="368" t="s">
        <v>2347</v>
      </c>
      <c r="G668" s="327" t="s">
        <v>329</v>
      </c>
      <c r="H668" s="325"/>
      <c r="I668" s="327">
        <v>2</v>
      </c>
      <c r="J668" s="363" t="s">
        <v>2346</v>
      </c>
      <c r="K668" s="327" t="s">
        <v>516</v>
      </c>
      <c r="L668" s="348">
        <f t="shared" si="55"/>
        <v>84000</v>
      </c>
      <c r="M668" s="355"/>
      <c r="N668" s="355" t="str">
        <f t="shared" si="40"/>
        <v>PR</v>
      </c>
      <c r="O668" s="347">
        <v>10</v>
      </c>
      <c r="P668" s="325"/>
      <c r="Q668" s="351"/>
      <c r="R668" s="351">
        <v>1.6</v>
      </c>
      <c r="S668" s="351">
        <v>6</v>
      </c>
      <c r="T668" s="351">
        <f>1/S668</f>
        <v>0.16666666666666666</v>
      </c>
      <c r="U668" s="329">
        <f>IF($N668=$N$4,IFERROR(INDEX(DanhMuc!$E$154:$E$165,MATCH(MID($B668,4,2),DanhMuc!$B$154:$B$165,0)),""),"")</f>
        <v>6000</v>
      </c>
      <c r="V668" s="325"/>
      <c r="W668" s="352" t="str">
        <f>+IF(AND($A668&lt;&gt;"",LEN($B668)&gt;=8,COUNTIF($B$6:$B668,$B668)=1),$W$5,"")</f>
        <v/>
      </c>
      <c r="X668" s="329" t="str">
        <f t="shared" si="54"/>
        <v>XW</v>
      </c>
      <c r="Y668" s="1128" t="s">
        <v>3380</v>
      </c>
      <c r="Z668" s="1128" t="s">
        <v>3381</v>
      </c>
      <c r="AA668" s="1128" t="s">
        <v>3384</v>
      </c>
      <c r="AC668" s="73"/>
    </row>
    <row r="669" spans="1:29" s="20" customFormat="1" ht="25">
      <c r="A669" s="327" t="str">
        <f>IF(AND($B669&lt;&gt;"",$C669&lt;&gt;""),MAX($A$4:A668)+1,"")</f>
        <v/>
      </c>
      <c r="B669" s="361" t="s">
        <v>2348</v>
      </c>
      <c r="C669" s="364"/>
      <c r="D669" s="327">
        <f>IF($B669="","",COUNTIF($B$6:$B669,$B669))</f>
        <v>4</v>
      </c>
      <c r="E669" s="365" t="s">
        <v>2350</v>
      </c>
      <c r="F669" s="368" t="s">
        <v>2347</v>
      </c>
      <c r="G669" s="327" t="s">
        <v>328</v>
      </c>
      <c r="H669" s="325"/>
      <c r="I669" s="327">
        <v>2</v>
      </c>
      <c r="J669" s="361" t="s">
        <v>2352</v>
      </c>
      <c r="K669" s="327" t="s">
        <v>516</v>
      </c>
      <c r="L669" s="348">
        <f t="shared" si="55"/>
        <v>84000</v>
      </c>
      <c r="M669" s="355"/>
      <c r="N669" s="355" t="str">
        <f t="shared" si="40"/>
        <v>PR</v>
      </c>
      <c r="O669" s="347">
        <v>10</v>
      </c>
      <c r="P669" s="325"/>
      <c r="Q669" s="351"/>
      <c r="R669" s="351">
        <v>1.6</v>
      </c>
      <c r="S669" s="351">
        <v>6</v>
      </c>
      <c r="T669" s="351">
        <f>1/S669</f>
        <v>0.16666666666666666</v>
      </c>
      <c r="U669" s="329">
        <f>IF($N669=$N$4,IFERROR(INDEX(DanhMuc!$E$154:$E$165,MATCH(MID($B669,4,2),DanhMuc!$B$154:$B$165,0)),""),"")</f>
        <v>6000</v>
      </c>
      <c r="V669" s="325"/>
      <c r="W669" s="352" t="str">
        <f>+IF(AND($A669&lt;&gt;"",LEN($B669)&gt;=8,COUNTIF($B$6:$B669,$B669)=1),$W$5,"")</f>
        <v/>
      </c>
      <c r="X669" s="329" t="str">
        <f t="shared" si="54"/>
        <v>XW</v>
      </c>
      <c r="Y669" s="1128" t="s">
        <v>3380</v>
      </c>
      <c r="Z669" s="1128" t="s">
        <v>3381</v>
      </c>
      <c r="AA669" s="1128" t="s">
        <v>3384</v>
      </c>
      <c r="AC669" s="73"/>
    </row>
    <row r="670" spans="1:29" s="20" customFormat="1" ht="26">
      <c r="A670" s="327">
        <f>IF(AND($B670&lt;&gt;"",$C670&lt;&gt;""),MAX($A$4:A652)+1,"")</f>
        <v>58</v>
      </c>
      <c r="B670" s="359" t="s">
        <v>1875</v>
      </c>
      <c r="C670" s="360" t="s">
        <v>1902</v>
      </c>
      <c r="D670" s="327">
        <f>IF($B670="","",COUNTIF($B$6:$B670,$B670))</f>
        <v>1</v>
      </c>
      <c r="E670" s="363" t="s">
        <v>2272</v>
      </c>
      <c r="F670" s="382" t="s">
        <v>83</v>
      </c>
      <c r="G670" s="327" t="s">
        <v>329</v>
      </c>
      <c r="H670" s="325"/>
      <c r="I670" s="327">
        <v>2</v>
      </c>
      <c r="J670" s="363" t="s">
        <v>81</v>
      </c>
      <c r="K670" s="327" t="s">
        <v>516</v>
      </c>
      <c r="L670" s="348">
        <f t="shared" si="55"/>
        <v>358679.99999999994</v>
      </c>
      <c r="M670" s="355"/>
      <c r="N670" s="355" t="str">
        <f t="shared" si="40"/>
        <v>PR</v>
      </c>
      <c r="O670" s="345"/>
      <c r="P670" s="325"/>
      <c r="Q670" s="351"/>
      <c r="R670" s="351">
        <v>1.2</v>
      </c>
      <c r="S670" s="351">
        <v>6</v>
      </c>
      <c r="T670" s="351">
        <v>0.71166666666666656</v>
      </c>
      <c r="U670" s="329">
        <f>IF($N670=$N$4,IFERROR(INDEX(DanhMuc!$E$154:$E$165,MATCH(MID($B670,4,2),DanhMuc!$B$154:$B$165,0)),""),"")</f>
        <v>6000</v>
      </c>
      <c r="V670" s="325"/>
      <c r="W670" s="352" t="str">
        <f>+IF(AND($A670&lt;&gt;"",LEN($B670)&gt;=8,COUNTIF($B$6:$B670,$B670)=1),$W$5,"")</f>
        <v>DMCua</v>
      </c>
      <c r="X670" s="329" t="str">
        <f t="shared" si="54"/>
        <v>XW</v>
      </c>
      <c r="Y670" s="1128" t="s">
        <v>3380</v>
      </c>
      <c r="Z670" s="1128" t="s">
        <v>3381</v>
      </c>
      <c r="AA670" s="1128" t="s">
        <v>3384</v>
      </c>
      <c r="AC670" s="73"/>
    </row>
    <row r="671" spans="1:29" s="20" customFormat="1">
      <c r="A671" s="327" t="str">
        <f>IF(AND($B671&lt;&gt;"",$C671&lt;&gt;""),MAX($A$4:A670)+1,"")</f>
        <v/>
      </c>
      <c r="B671" s="361" t="s">
        <v>1875</v>
      </c>
      <c r="C671" s="364"/>
      <c r="D671" s="327">
        <f>IF($B671="","",COUNTIF($B$6:$B671,$B671))</f>
        <v>2</v>
      </c>
      <c r="E671" s="361" t="s">
        <v>2272</v>
      </c>
      <c r="F671" s="362" t="s">
        <v>83</v>
      </c>
      <c r="G671" s="327" t="s">
        <v>328</v>
      </c>
      <c r="H671" s="325"/>
      <c r="I671" s="327">
        <v>2</v>
      </c>
      <c r="J671" s="361" t="s">
        <v>80</v>
      </c>
      <c r="K671" s="327" t="s">
        <v>516</v>
      </c>
      <c r="L671" s="348">
        <f t="shared" si="55"/>
        <v>358679.99999999994</v>
      </c>
      <c r="M671" s="355"/>
      <c r="N671" s="355" t="str">
        <f t="shared" si="40"/>
        <v>PR</v>
      </c>
      <c r="O671" s="345"/>
      <c r="P671" s="325"/>
      <c r="Q671" s="351"/>
      <c r="R671" s="351">
        <v>1.2</v>
      </c>
      <c r="S671" s="351">
        <v>6</v>
      </c>
      <c r="T671" s="351">
        <v>0.71166666666666656</v>
      </c>
      <c r="U671" s="329">
        <f>IF($N671=$N$4,IFERROR(INDEX(DanhMuc!$E$154:$E$165,MATCH(MID($B671,4,2),DanhMuc!$B$154:$B$165,0)),""),"")</f>
        <v>6000</v>
      </c>
      <c r="V671" s="325"/>
      <c r="W671" s="352" t="str">
        <f>+IF(AND($A671&lt;&gt;"",LEN($B671)&gt;=8,COUNTIF($B$6:$B671,$B671)=1),$W$5,"")</f>
        <v/>
      </c>
      <c r="X671" s="329" t="str">
        <f t="shared" ref="X671:X768" si="56">IF(IFERROR(SEARCH("thép",$F671,1),0)&gt;=1,"T" &amp;MID($B671,4,2),MID($B671,4,2))</f>
        <v>XW</v>
      </c>
      <c r="Y671" s="1128" t="s">
        <v>3380</v>
      </c>
      <c r="Z671" s="1128" t="s">
        <v>3381</v>
      </c>
      <c r="AA671" s="1128" t="s">
        <v>3384</v>
      </c>
      <c r="AC671" s="73"/>
    </row>
    <row r="672" spans="1:29" s="20" customFormat="1">
      <c r="A672" s="327" t="str">
        <f>IF(AND($B672&lt;&gt;"",$C672&lt;&gt;""),MAX($A$4:A671)+1,"")</f>
        <v/>
      </c>
      <c r="B672" s="361" t="s">
        <v>1875</v>
      </c>
      <c r="C672" s="364"/>
      <c r="D672" s="327">
        <f>IF($B672="","",COUNTIF($B$6:$B672,$B672))</f>
        <v>3</v>
      </c>
      <c r="E672" s="361" t="s">
        <v>2273</v>
      </c>
      <c r="F672" s="362" t="s">
        <v>977</v>
      </c>
      <c r="G672" s="327" t="s">
        <v>328</v>
      </c>
      <c r="H672" s="325"/>
      <c r="I672" s="327">
        <v>2</v>
      </c>
      <c r="J672" s="361" t="s">
        <v>1817</v>
      </c>
      <c r="K672" s="327" t="s">
        <v>531</v>
      </c>
      <c r="L672" s="348">
        <f t="shared" si="55"/>
        <v>183960</v>
      </c>
      <c r="M672" s="355"/>
      <c r="N672" s="355" t="str">
        <f t="shared" si="40"/>
        <v>PR</v>
      </c>
      <c r="O672" s="345"/>
      <c r="P672" s="325"/>
      <c r="Q672" s="351"/>
      <c r="R672" s="351">
        <v>1.2</v>
      </c>
      <c r="S672" s="351">
        <v>6</v>
      </c>
      <c r="T672" s="351">
        <v>0.36499999999999999</v>
      </c>
      <c r="U672" s="329">
        <f>IF($N672=$N$4,IFERROR(INDEX(DanhMuc!$E$154:$E$165,MATCH(MID($B672,4,2),DanhMuc!$B$154:$B$165,0)),""),"")</f>
        <v>6000</v>
      </c>
      <c r="V672" s="325"/>
      <c r="W672" s="352" t="str">
        <f>+IF(AND($A672&lt;&gt;"",LEN($B672)&gt;=8,COUNTIF($B$6:$B672,$B672)=1),$W$5,"")</f>
        <v/>
      </c>
      <c r="X672" s="329" t="str">
        <f t="shared" si="56"/>
        <v>XW</v>
      </c>
      <c r="Y672" s="1128" t="s">
        <v>3380</v>
      </c>
      <c r="Z672" s="1128" t="s">
        <v>3381</v>
      </c>
      <c r="AA672" s="1128" t="s">
        <v>3384</v>
      </c>
      <c r="AC672" s="73"/>
    </row>
    <row r="673" spans="1:29" s="20" customFormat="1">
      <c r="A673" s="327" t="str">
        <f>IF(AND($B673&lt;&gt;"",$C673&lt;&gt;""),MAX($A$4:A672)+1,"")</f>
        <v/>
      </c>
      <c r="B673" s="361" t="s">
        <v>1875</v>
      </c>
      <c r="C673" s="364"/>
      <c r="D673" s="327">
        <f>IF($B673="","",COUNTIF($B$6:$B673,$B673))</f>
        <v>4</v>
      </c>
      <c r="E673" s="361" t="s">
        <v>2274</v>
      </c>
      <c r="F673" s="362" t="s">
        <v>975</v>
      </c>
      <c r="G673" s="327" t="s">
        <v>329</v>
      </c>
      <c r="H673" s="325"/>
      <c r="I673" s="327" t="s">
        <v>1818</v>
      </c>
      <c r="J673" s="361" t="s">
        <v>1819</v>
      </c>
      <c r="K673" s="327" t="s">
        <v>531</v>
      </c>
      <c r="L673" s="348">
        <f t="shared" si="55"/>
        <v>167160</v>
      </c>
      <c r="M673" s="355"/>
      <c r="N673" s="355" t="str">
        <f t="shared" si="40"/>
        <v>PR</v>
      </c>
      <c r="O673" s="345"/>
      <c r="P673" s="325"/>
      <c r="Q673" s="351"/>
      <c r="R673" s="351">
        <v>1.2</v>
      </c>
      <c r="S673" s="351">
        <v>6</v>
      </c>
      <c r="T673" s="351">
        <v>0.33166666666666667</v>
      </c>
      <c r="U673" s="329">
        <f>IF($N673=$N$4,IFERROR(INDEX(DanhMuc!$E$154:$E$165,MATCH(MID($B673,4,2),DanhMuc!$B$154:$B$165,0)),""),"")</f>
        <v>6000</v>
      </c>
      <c r="V673" s="325"/>
      <c r="W673" s="352" t="str">
        <f>+IF(AND($A673&lt;&gt;"",LEN($B673)&gt;=8,COUNTIF($B$6:$B673,$B673)=1),$W$5,"")</f>
        <v/>
      </c>
      <c r="X673" s="329" t="str">
        <f t="shared" si="56"/>
        <v>XW</v>
      </c>
      <c r="Y673" s="1128" t="s">
        <v>3380</v>
      </c>
      <c r="Z673" s="1128" t="s">
        <v>3381</v>
      </c>
      <c r="AA673" s="1128" t="s">
        <v>3384</v>
      </c>
      <c r="AC673" s="73"/>
    </row>
    <row r="674" spans="1:29" s="72" customFormat="1">
      <c r="A674" s="339"/>
      <c r="B674" s="338" t="s">
        <v>3252</v>
      </c>
      <c r="C674" s="340" t="s">
        <v>3253</v>
      </c>
      <c r="D674" s="339"/>
      <c r="E674" s="339"/>
      <c r="F674" s="341"/>
      <c r="G674" s="339"/>
      <c r="H674" s="342"/>
      <c r="I674" s="339"/>
      <c r="J674" s="339"/>
      <c r="K674" s="339"/>
      <c r="L674" s="635">
        <v>125000</v>
      </c>
      <c r="M674" s="343"/>
      <c r="N674" s="343"/>
      <c r="O674" s="344"/>
      <c r="P674" s="342"/>
      <c r="Q674" s="342"/>
      <c r="R674" s="351"/>
      <c r="S674" s="351"/>
      <c r="T674" s="351"/>
      <c r="U674" s="329" t="str">
        <f>IF($N674=$N$4,IFERROR(INDEX(DanhMuc!$E$154:$E$165,MATCH(MID($B674,4,2),DanhMuc!$B$154:$B$165,0)),""),"")</f>
        <v/>
      </c>
      <c r="V674" s="342"/>
      <c r="W674" s="338"/>
      <c r="X674" s="329" t="str">
        <f t="shared" si="56"/>
        <v/>
      </c>
      <c r="Y674" s="1128" t="s">
        <v>3380</v>
      </c>
      <c r="Z674" s="1128" t="s">
        <v>3381</v>
      </c>
      <c r="AA674" s="1128" t="s">
        <v>3384</v>
      </c>
      <c r="AB674" s="20"/>
      <c r="AC674" s="73"/>
    </row>
    <row r="675" spans="1:29" s="20" customFormat="1" ht="26">
      <c r="A675" s="327">
        <f>IF(AND($B675&lt;&gt;"",$C675&lt;&gt;""),MAX($A$4:A674)+1,"")</f>
        <v>59</v>
      </c>
      <c r="B675" s="359" t="s">
        <v>3266</v>
      </c>
      <c r="C675" s="360" t="s">
        <v>3265</v>
      </c>
      <c r="D675" s="327">
        <f>IF($B675="","",COUNTIF($B$6:$B675,$B675))</f>
        <v>1</v>
      </c>
      <c r="E675" s="361" t="s">
        <v>3254</v>
      </c>
      <c r="F675" s="362" t="s">
        <v>3255</v>
      </c>
      <c r="G675" s="327" t="s">
        <v>330</v>
      </c>
      <c r="H675" s="325"/>
      <c r="I675" s="327">
        <v>1</v>
      </c>
      <c r="J675" s="361" t="s">
        <v>81</v>
      </c>
      <c r="K675" s="327" t="s">
        <v>516</v>
      </c>
      <c r="L675" s="348">
        <f>+$T675*$S675*$L$674</f>
        <v>1145199.9999999998</v>
      </c>
      <c r="M675" s="355"/>
      <c r="N675" s="355" t="str">
        <f t="shared" ref="N675:N707" si="57">+$N$4</f>
        <v>PR</v>
      </c>
      <c r="O675" s="347"/>
      <c r="P675" s="325"/>
      <c r="Q675" s="351"/>
      <c r="R675" s="351">
        <v>2.5</v>
      </c>
      <c r="S675" s="351">
        <v>5.6</v>
      </c>
      <c r="T675" s="351">
        <v>1.6359999999999999</v>
      </c>
      <c r="U675" s="329">
        <f>IF($N675=$N$4,IFERROR(INDEX(DanhMuc!$E$154:$E$165,MATCH(MID($B675,4,2),DanhMuc!$B$154:$B$165,0)),""),"")</f>
        <v>5600</v>
      </c>
      <c r="V675" s="325"/>
      <c r="W675" s="352" t="str">
        <f>+IF(AND($A675&lt;&gt;"",LEN($B675)&gt;=8,COUNTIF($B$6:$B675,$B675)=1),$W$5,"")</f>
        <v>DMCua</v>
      </c>
      <c r="X675" s="329" t="str">
        <f t="shared" si="56"/>
        <v>MP</v>
      </c>
      <c r="Y675" s="1128" t="s">
        <v>3380</v>
      </c>
      <c r="Z675" s="1128" t="s">
        <v>3381</v>
      </c>
      <c r="AA675" s="1128" t="s">
        <v>3384</v>
      </c>
      <c r="AC675" s="73"/>
    </row>
    <row r="676" spans="1:29" s="20" customFormat="1">
      <c r="A676" s="327" t="str">
        <f>IF(AND($B676&lt;&gt;"",$C676&lt;&gt;""),MAX($A$4:A675)+1,"")</f>
        <v/>
      </c>
      <c r="B676" s="361" t="s">
        <v>3266</v>
      </c>
      <c r="C676" s="360"/>
      <c r="D676" s="327">
        <f>IF($B676="","",COUNTIF($B$6:$B676,$B676))</f>
        <v>2</v>
      </c>
      <c r="E676" s="363" t="s">
        <v>3254</v>
      </c>
      <c r="F676" s="362" t="s">
        <v>3255</v>
      </c>
      <c r="G676" s="327" t="s">
        <v>328</v>
      </c>
      <c r="H676" s="325"/>
      <c r="I676" s="327">
        <v>2</v>
      </c>
      <c r="J676" s="363" t="s">
        <v>80</v>
      </c>
      <c r="K676" s="327" t="s">
        <v>1141</v>
      </c>
      <c r="L676" s="348">
        <f t="shared" ref="L676:L707" si="58">+$T676*$S676*$L$674</f>
        <v>1145199.9999999998</v>
      </c>
      <c r="M676" s="355"/>
      <c r="N676" s="355" t="str">
        <f t="shared" si="57"/>
        <v>PR</v>
      </c>
      <c r="O676" s="347"/>
      <c r="P676" s="325"/>
      <c r="Q676" s="351"/>
      <c r="R676" s="351">
        <v>2.5</v>
      </c>
      <c r="S676" s="351">
        <v>5.6</v>
      </c>
      <c r="T676" s="351">
        <v>1.6359999999999999</v>
      </c>
      <c r="U676" s="329">
        <f>IF($N676=$N$4,IFERROR(INDEX(DanhMuc!$E$154:$E$165,MATCH(MID($B676,4,2),DanhMuc!$B$154:$B$165,0)),""),"")</f>
        <v>5600</v>
      </c>
      <c r="V676" s="325"/>
      <c r="W676" s="352" t="str">
        <f>+IF(AND($A676&lt;&gt;"",LEN($B676)&gt;=8,COUNTIF($B$6:$B676,$B676)=1),$W$5,"")</f>
        <v/>
      </c>
      <c r="X676" s="329" t="str">
        <f t="shared" si="56"/>
        <v>MP</v>
      </c>
      <c r="Y676" s="1128" t="s">
        <v>3380</v>
      </c>
      <c r="Z676" s="1128" t="s">
        <v>3381</v>
      </c>
      <c r="AA676" s="1128" t="s">
        <v>3384</v>
      </c>
      <c r="AC676" s="73"/>
    </row>
    <row r="677" spans="1:29" s="20" customFormat="1">
      <c r="A677" s="327" t="str">
        <f>IF(AND($B677&lt;&gt;"",$C677&lt;&gt;""),MAX($A$4:A676)+1,"")</f>
        <v/>
      </c>
      <c r="B677" s="361" t="s">
        <v>3266</v>
      </c>
      <c r="C677" s="360"/>
      <c r="D677" s="327">
        <f>IF($B677="","",COUNTIF($B$6:$B677,$B677))</f>
        <v>3</v>
      </c>
      <c r="E677" s="363" t="s">
        <v>3348</v>
      </c>
      <c r="F677" s="362" t="s">
        <v>3349</v>
      </c>
      <c r="G677" s="327" t="s">
        <v>328</v>
      </c>
      <c r="H677" s="325"/>
      <c r="I677" s="327">
        <v>2</v>
      </c>
      <c r="J677" s="363" t="s">
        <v>3350</v>
      </c>
      <c r="K677" s="327" t="s">
        <v>1141</v>
      </c>
      <c r="L677" s="348" t="s">
        <v>2341</v>
      </c>
      <c r="M677" s="355"/>
      <c r="N677" s="355" t="str">
        <f t="shared" si="57"/>
        <v>PR</v>
      </c>
      <c r="O677" s="347" t="s">
        <v>1476</v>
      </c>
      <c r="P677" s="325"/>
      <c r="Q677" s="351"/>
      <c r="R677" s="351">
        <v>2.5</v>
      </c>
      <c r="S677" s="351">
        <v>5.6</v>
      </c>
      <c r="T677" s="351">
        <v>1.6359999999999999</v>
      </c>
      <c r="U677" s="329">
        <f>IF($N677=$N$4,IFERROR(INDEX(DanhMuc!$E$154:$E$165,MATCH(MID($B677,4,2),DanhMuc!$B$154:$B$165,0)),""),"")</f>
        <v>5600</v>
      </c>
      <c r="V677" s="325"/>
      <c r="W677" s="352" t="str">
        <f>+IF(AND($A677&lt;&gt;"",LEN($B677)&gt;=8,COUNTIF($B$6:$B677,$B677)=1),$W$5,"")</f>
        <v/>
      </c>
      <c r="X677" s="329" t="str">
        <f t="shared" si="56"/>
        <v>MP</v>
      </c>
      <c r="Y677" s="1128" t="s">
        <v>3380</v>
      </c>
      <c r="Z677" s="1128" t="s">
        <v>3381</v>
      </c>
      <c r="AA677" s="1128" t="s">
        <v>3384</v>
      </c>
      <c r="AC677" s="73"/>
    </row>
    <row r="678" spans="1:29" s="20" customFormat="1">
      <c r="A678" s="327" t="str">
        <f>IF(AND($B678&lt;&gt;"",$C678&lt;&gt;""),MAX($A$4:A676)+1,"")</f>
        <v/>
      </c>
      <c r="B678" s="361" t="s">
        <v>3266</v>
      </c>
      <c r="C678" s="364"/>
      <c r="D678" s="327">
        <f>IF($B678="","",COUNTIF($B$6:$B678,$B678))</f>
        <v>4</v>
      </c>
      <c r="E678" s="361" t="s">
        <v>3258</v>
      </c>
      <c r="F678" s="362" t="s">
        <v>3256</v>
      </c>
      <c r="G678" s="327" t="s">
        <v>329</v>
      </c>
      <c r="H678" s="325"/>
      <c r="I678" s="327">
        <v>2</v>
      </c>
      <c r="J678" s="361" t="s">
        <v>3267</v>
      </c>
      <c r="K678" s="327" t="s">
        <v>516</v>
      </c>
      <c r="L678" s="348">
        <f t="shared" si="58"/>
        <v>1556800</v>
      </c>
      <c r="M678" s="355"/>
      <c r="N678" s="355" t="str">
        <f t="shared" si="57"/>
        <v>PR</v>
      </c>
      <c r="O678" s="345" t="s">
        <v>19</v>
      </c>
      <c r="P678" s="325"/>
      <c r="Q678" s="351"/>
      <c r="R678" s="351">
        <v>2.5</v>
      </c>
      <c r="S678" s="351">
        <v>5.6</v>
      </c>
      <c r="T678" s="351">
        <v>2.2240000000000002</v>
      </c>
      <c r="U678" s="329">
        <f>IF($N678=$N$4,IFERROR(INDEX(DanhMuc!$E$154:$E$165,MATCH(MID($B678,4,2),DanhMuc!$B$154:$B$165,0)),""),"")</f>
        <v>5600</v>
      </c>
      <c r="V678" s="325"/>
      <c r="W678" s="352" t="str">
        <f>+IF(AND($A678&lt;&gt;"",LEN($B678)&gt;=8,COUNTIF($B$6:$B678,$B678)=1),$W$5,"")</f>
        <v/>
      </c>
      <c r="X678" s="329" t="str">
        <f t="shared" si="56"/>
        <v>MP</v>
      </c>
      <c r="Y678" s="1128" t="s">
        <v>3380</v>
      </c>
      <c r="Z678" s="1128" t="s">
        <v>3381</v>
      </c>
      <c r="AA678" s="1128" t="s">
        <v>3384</v>
      </c>
      <c r="AC678" s="73"/>
    </row>
    <row r="679" spans="1:29" s="20" customFormat="1">
      <c r="A679" s="327" t="str">
        <f>IF(AND($B679&lt;&gt;"",$C679&lt;&gt;""),MAX($A$4:A678)+1,"")</f>
        <v/>
      </c>
      <c r="B679" s="361" t="s">
        <v>3266</v>
      </c>
      <c r="C679" s="364"/>
      <c r="D679" s="327">
        <f>IF($B679="","",COUNTIF($B$6:$B679,$B679))</f>
        <v>5</v>
      </c>
      <c r="E679" s="361" t="s">
        <v>3258</v>
      </c>
      <c r="F679" s="362" t="s">
        <v>3256</v>
      </c>
      <c r="G679" s="327" t="s">
        <v>328</v>
      </c>
      <c r="H679" s="325"/>
      <c r="I679" s="327">
        <v>2</v>
      </c>
      <c r="J679" s="361" t="s">
        <v>3268</v>
      </c>
      <c r="K679" s="327" t="s">
        <v>516</v>
      </c>
      <c r="L679" s="348">
        <f t="shared" si="58"/>
        <v>1556800</v>
      </c>
      <c r="M679" s="355"/>
      <c r="N679" s="355" t="str">
        <f t="shared" si="57"/>
        <v>PR</v>
      </c>
      <c r="O679" s="345" t="s">
        <v>19</v>
      </c>
      <c r="P679" s="325"/>
      <c r="Q679" s="351"/>
      <c r="R679" s="351">
        <v>2.5</v>
      </c>
      <c r="S679" s="351">
        <v>5.6</v>
      </c>
      <c r="T679" s="351">
        <v>2.2240000000000002</v>
      </c>
      <c r="U679" s="329">
        <f>IF($N679=$N$4,IFERROR(INDEX(DanhMuc!$E$154:$E$165,MATCH(MID($B679,4,2),DanhMuc!$B$154:$B$165,0)),""),"")</f>
        <v>5600</v>
      </c>
      <c r="V679" s="325"/>
      <c r="W679" s="352" t="str">
        <f>+IF(AND($A679&lt;&gt;"",LEN($B679)&gt;=8,COUNTIF($B$6:$B679,$B679)=1),$W$5,"")</f>
        <v/>
      </c>
      <c r="X679" s="329" t="str">
        <f t="shared" si="56"/>
        <v>MP</v>
      </c>
      <c r="Y679" s="1128" t="s">
        <v>3380</v>
      </c>
      <c r="Z679" s="1128" t="s">
        <v>3381</v>
      </c>
      <c r="AA679" s="1128" t="s">
        <v>3384</v>
      </c>
      <c r="AC679" s="73"/>
    </row>
    <row r="680" spans="1:29" s="20" customFormat="1">
      <c r="A680" s="327" t="str">
        <f>IF(AND($B680&lt;&gt;"",$C680&lt;&gt;""),MAX($A$4:A679)+1,"")</f>
        <v/>
      </c>
      <c r="B680" s="361" t="s">
        <v>3266</v>
      </c>
      <c r="C680" s="364"/>
      <c r="D680" s="327">
        <f>IF($B680="","",COUNTIF($B$6:$B680,$B680))</f>
        <v>6</v>
      </c>
      <c r="E680" s="361" t="s">
        <v>3273</v>
      </c>
      <c r="F680" s="362" t="s">
        <v>3257</v>
      </c>
      <c r="G680" s="327" t="s">
        <v>329</v>
      </c>
      <c r="H680" s="325"/>
      <c r="I680" s="327">
        <v>2</v>
      </c>
      <c r="J680" s="361" t="s">
        <v>3267</v>
      </c>
      <c r="K680" s="327" t="s">
        <v>516</v>
      </c>
      <c r="L680" s="348">
        <f t="shared" si="58"/>
        <v>1556800</v>
      </c>
      <c r="M680" s="355"/>
      <c r="N680" s="355" t="str">
        <f t="shared" si="57"/>
        <v>PR</v>
      </c>
      <c r="O680" s="345" t="s">
        <v>16</v>
      </c>
      <c r="P680" s="325"/>
      <c r="Q680" s="351"/>
      <c r="R680" s="351">
        <v>2.5</v>
      </c>
      <c r="S680" s="351">
        <v>5.6</v>
      </c>
      <c r="T680" s="351">
        <v>2.2240000000000002</v>
      </c>
      <c r="U680" s="329">
        <f>IF($N680=$N$4,IFERROR(INDEX(DanhMuc!$E$154:$E$165,MATCH(MID($B680,4,2),DanhMuc!$B$154:$B$165,0)),""),"")</f>
        <v>5600</v>
      </c>
      <c r="V680" s="325"/>
      <c r="W680" s="352" t="str">
        <f>+IF(AND($A680&lt;&gt;"",LEN($B680)&gt;=8,COUNTIF($B$6:$B680,$B680)=1),$W$5,"")</f>
        <v/>
      </c>
      <c r="X680" s="329" t="str">
        <f t="shared" si="56"/>
        <v>MP</v>
      </c>
      <c r="Y680" s="1128" t="s">
        <v>3380</v>
      </c>
      <c r="Z680" s="1128" t="s">
        <v>3381</v>
      </c>
      <c r="AA680" s="1128" t="s">
        <v>3384</v>
      </c>
      <c r="AC680" s="73"/>
    </row>
    <row r="681" spans="1:29" s="20" customFormat="1">
      <c r="A681" s="327" t="str">
        <f>IF(AND($B681&lt;&gt;"",$C681&lt;&gt;""),MAX($A$4:A680)+1,"")</f>
        <v/>
      </c>
      <c r="B681" s="361" t="s">
        <v>3266</v>
      </c>
      <c r="C681" s="364"/>
      <c r="D681" s="327">
        <f>IF($B681="","",COUNTIF($B$6:$B681,$B681))</f>
        <v>7</v>
      </c>
      <c r="E681" s="361" t="s">
        <v>3273</v>
      </c>
      <c r="F681" s="362" t="s">
        <v>3257</v>
      </c>
      <c r="G681" s="327" t="s">
        <v>328</v>
      </c>
      <c r="H681" s="325"/>
      <c r="I681" s="327">
        <v>2</v>
      </c>
      <c r="J681" s="361" t="s">
        <v>3268</v>
      </c>
      <c r="K681" s="327" t="s">
        <v>516</v>
      </c>
      <c r="L681" s="348">
        <f t="shared" si="58"/>
        <v>1556800</v>
      </c>
      <c r="M681" s="355"/>
      <c r="N681" s="355" t="str">
        <f t="shared" si="57"/>
        <v>PR</v>
      </c>
      <c r="O681" s="345" t="s">
        <v>16</v>
      </c>
      <c r="P681" s="325"/>
      <c r="Q681" s="351"/>
      <c r="R681" s="351">
        <v>2.5</v>
      </c>
      <c r="S681" s="351">
        <v>5.6</v>
      </c>
      <c r="T681" s="351">
        <v>2.2240000000000002</v>
      </c>
      <c r="U681" s="329">
        <f>IF($N681=$N$4,IFERROR(INDEX(DanhMuc!$E$154:$E$165,MATCH(MID($B681,4,2),DanhMuc!$B$154:$B$165,0)),""),"")</f>
        <v>5600</v>
      </c>
      <c r="V681" s="325"/>
      <c r="W681" s="352" t="str">
        <f>+IF(AND($A681&lt;&gt;"",LEN($B681)&gt;=8,COUNTIF($B$6:$B681,$B681)=1),$W$5,"")</f>
        <v/>
      </c>
      <c r="X681" s="329" t="str">
        <f t="shared" si="56"/>
        <v>MP</v>
      </c>
      <c r="Y681" s="1128" t="s">
        <v>3380</v>
      </c>
      <c r="Z681" s="1128" t="s">
        <v>3381</v>
      </c>
      <c r="AA681" s="1128" t="s">
        <v>3384</v>
      </c>
      <c r="AC681" s="73"/>
    </row>
    <row r="682" spans="1:29" s="22" customFormat="1">
      <c r="A682" s="327" t="str">
        <f>IF(AND($B682&lt;&gt;"",$C682&lt;&gt;""),MAX($A$4:A681)+1,"")</f>
        <v/>
      </c>
      <c r="B682" s="361" t="s">
        <v>3266</v>
      </c>
      <c r="C682" s="366"/>
      <c r="D682" s="367">
        <f>IF($B682="","",COUNTIF($B$6:$B682,$B682))</f>
        <v>8</v>
      </c>
      <c r="E682" s="365" t="s">
        <v>3259</v>
      </c>
      <c r="F682" s="368" t="s">
        <v>3262</v>
      </c>
      <c r="G682" s="367" t="s">
        <v>329</v>
      </c>
      <c r="H682" s="325"/>
      <c r="I682" s="367">
        <v>1</v>
      </c>
      <c r="J682" s="361" t="s">
        <v>3269</v>
      </c>
      <c r="K682" s="367" t="s">
        <v>531</v>
      </c>
      <c r="L682" s="348">
        <f t="shared" si="58"/>
        <v>325500</v>
      </c>
      <c r="M682" s="369"/>
      <c r="N682" s="369" t="str">
        <f t="shared" si="57"/>
        <v>PR</v>
      </c>
      <c r="O682" s="347" t="s">
        <v>1475</v>
      </c>
      <c r="P682" s="329"/>
      <c r="Q682" s="367"/>
      <c r="R682" s="351">
        <v>1.2</v>
      </c>
      <c r="S682" s="351">
        <v>5.6</v>
      </c>
      <c r="T682" s="351">
        <v>0.46500000000000002</v>
      </c>
      <c r="U682" s="329">
        <f>IF($N682=$N$4,IFERROR(INDEX(DanhMuc!$E$154:$E$165,MATCH(MID($B682,4,2),DanhMuc!$B$154:$B$165,0)),""),"")</f>
        <v>5600</v>
      </c>
      <c r="V682" s="329"/>
      <c r="W682" s="352" t="str">
        <f>+IF(AND($A682&lt;&gt;"",LEN($B682)&gt;=8,COUNTIF($B$6:$B682,$B682)=1),$W$5,"")</f>
        <v/>
      </c>
      <c r="X682" s="329" t="str">
        <f t="shared" si="56"/>
        <v>MP</v>
      </c>
      <c r="Y682" s="1128" t="s">
        <v>3380</v>
      </c>
      <c r="Z682" s="1128" t="s">
        <v>3381</v>
      </c>
      <c r="AA682" s="1128" t="s">
        <v>3384</v>
      </c>
      <c r="AB682" s="20"/>
      <c r="AC682" s="73"/>
    </row>
    <row r="683" spans="1:29" s="22" customFormat="1">
      <c r="A683" s="327" t="str">
        <f>IF(AND($B683&lt;&gt;"",$C683&lt;&gt;""),MAX($A$4:A682)+1,"")</f>
        <v/>
      </c>
      <c r="B683" s="361" t="s">
        <v>3266</v>
      </c>
      <c r="C683" s="366"/>
      <c r="D683" s="623">
        <f>IF($B683="","",COUNTIF($B$6:$B683,$B683))</f>
        <v>9</v>
      </c>
      <c r="E683" s="621" t="s">
        <v>3261</v>
      </c>
      <c r="F683" s="624" t="s">
        <v>865</v>
      </c>
      <c r="G683" s="623" t="s">
        <v>329</v>
      </c>
      <c r="H683" s="325"/>
      <c r="I683" s="367">
        <v>1</v>
      </c>
      <c r="J683" s="361" t="s">
        <v>3269</v>
      </c>
      <c r="K683" s="367" t="s">
        <v>531</v>
      </c>
      <c r="L683" s="348" t="s">
        <v>2341</v>
      </c>
      <c r="M683" s="369"/>
      <c r="N683" s="369" t="str">
        <f t="shared" si="57"/>
        <v>PR</v>
      </c>
      <c r="O683" s="347" t="s">
        <v>1476</v>
      </c>
      <c r="P683" s="329"/>
      <c r="Q683" s="367"/>
      <c r="R683" s="351">
        <v>1.2</v>
      </c>
      <c r="S683" s="351">
        <v>5.6</v>
      </c>
      <c r="T683" s="351"/>
      <c r="U683" s="329">
        <f>IF($N683=$N$4,IFERROR(INDEX(DanhMuc!$E$154:$E$165,MATCH(MID($B683,4,2),DanhMuc!$B$154:$B$165,0)),""),"")</f>
        <v>5600</v>
      </c>
      <c r="V683" s="329"/>
      <c r="W683" s="352" t="str">
        <f>+IF(AND($A683&lt;&gt;"",LEN($B683)&gt;=8,COUNTIF($B$6:$B683,$B683)=1),$W$5,"")</f>
        <v/>
      </c>
      <c r="X683" s="329" t="str">
        <f t="shared" si="56"/>
        <v>MP</v>
      </c>
      <c r="Y683" s="1128" t="s">
        <v>3380</v>
      </c>
      <c r="Z683" s="1128" t="s">
        <v>3381</v>
      </c>
      <c r="AA683" s="1128" t="s">
        <v>3384</v>
      </c>
      <c r="AB683" s="20"/>
      <c r="AC683" s="73"/>
    </row>
    <row r="684" spans="1:29" s="20" customFormat="1">
      <c r="A684" s="327" t="str">
        <f>IF(AND($B684&lt;&gt;"",$C684&lt;&gt;""),MAX($A$4:A683)+1,"")</f>
        <v/>
      </c>
      <c r="B684" s="361" t="s">
        <v>3266</v>
      </c>
      <c r="C684" s="364"/>
      <c r="D684" s="327">
        <f>IF($B684="","",COUNTIF($B$6:$B684,$B684))</f>
        <v>10</v>
      </c>
      <c r="E684" s="361" t="s">
        <v>3260</v>
      </c>
      <c r="F684" s="362" t="s">
        <v>3276</v>
      </c>
      <c r="G684" s="327" t="s">
        <v>329</v>
      </c>
      <c r="H684" s="325"/>
      <c r="I684" s="327">
        <v>2</v>
      </c>
      <c r="J684" s="361" t="s">
        <v>3270</v>
      </c>
      <c r="K684" s="327" t="s">
        <v>531</v>
      </c>
      <c r="L684" s="348">
        <f t="shared" si="58"/>
        <v>195300</v>
      </c>
      <c r="M684" s="355"/>
      <c r="N684" s="355" t="str">
        <f t="shared" si="57"/>
        <v>PR</v>
      </c>
      <c r="O684" s="347">
        <v>10</v>
      </c>
      <c r="P684" s="329"/>
      <c r="Q684" s="367"/>
      <c r="R684" s="351">
        <v>1.2</v>
      </c>
      <c r="S684" s="351">
        <v>5.6</v>
      </c>
      <c r="T684" s="351">
        <v>0.27900000000000003</v>
      </c>
      <c r="U684" s="329">
        <f>IF($N684=$N$4,IFERROR(INDEX(DanhMuc!$E$154:$E$165,MATCH(MID($B684,4,2),DanhMuc!$B$154:$B$165,0)),""),"")</f>
        <v>5600</v>
      </c>
      <c r="V684" s="325"/>
      <c r="W684" s="352" t="str">
        <f>+IF(AND($A684&lt;&gt;"",LEN($B684)&gt;=8,COUNTIF($B$6:$B684,$B684)=1),$W$5,"")</f>
        <v/>
      </c>
      <c r="X684" s="329" t="str">
        <f t="shared" si="56"/>
        <v>MP</v>
      </c>
      <c r="Y684" s="1128" t="s">
        <v>3380</v>
      </c>
      <c r="Z684" s="1128" t="s">
        <v>3381</v>
      </c>
      <c r="AA684" s="1128" t="s">
        <v>3384</v>
      </c>
      <c r="AC684" s="73"/>
    </row>
    <row r="685" spans="1:29" s="20" customFormat="1">
      <c r="A685" s="327" t="str">
        <f>IF(AND($B685&lt;&gt;"",$C685&lt;&gt;""),MAX($A$4:A684)+1,"")</f>
        <v/>
      </c>
      <c r="B685" s="361" t="s">
        <v>3266</v>
      </c>
      <c r="C685" s="364"/>
      <c r="D685" s="327">
        <f>IF($B685="","",COUNTIF($B$6:$B685,$B685))</f>
        <v>11</v>
      </c>
      <c r="E685" s="361" t="s">
        <v>3260</v>
      </c>
      <c r="F685" s="362" t="s">
        <v>3276</v>
      </c>
      <c r="G685" s="327" t="s">
        <v>328</v>
      </c>
      <c r="H685" s="325"/>
      <c r="I685" s="327">
        <v>2</v>
      </c>
      <c r="J685" s="361" t="s">
        <v>3271</v>
      </c>
      <c r="K685" s="327" t="s">
        <v>531</v>
      </c>
      <c r="L685" s="348">
        <f t="shared" si="58"/>
        <v>195300</v>
      </c>
      <c r="M685" s="355"/>
      <c r="N685" s="355" t="str">
        <f t="shared" si="57"/>
        <v>PR</v>
      </c>
      <c r="O685" s="347">
        <v>10</v>
      </c>
      <c r="P685" s="325"/>
      <c r="Q685" s="351"/>
      <c r="R685" s="351">
        <v>1.2</v>
      </c>
      <c r="S685" s="351">
        <v>5.6</v>
      </c>
      <c r="T685" s="351">
        <v>0.27900000000000003</v>
      </c>
      <c r="U685" s="329">
        <f>IF($N685=$N$4,IFERROR(INDEX(DanhMuc!$E$154:$E$165,MATCH(MID($B685,4,2),DanhMuc!$B$154:$B$165,0)),""),"")</f>
        <v>5600</v>
      </c>
      <c r="V685" s="325"/>
      <c r="W685" s="352" t="str">
        <f>+IF(AND($A685&lt;&gt;"",LEN($B685)&gt;=8,COUNTIF($B$6:$B685,$B685)=1),$W$5,"")</f>
        <v/>
      </c>
      <c r="X685" s="329" t="str">
        <f t="shared" si="56"/>
        <v>MP</v>
      </c>
      <c r="Y685" s="1128" t="s">
        <v>3380</v>
      </c>
      <c r="Z685" s="1128" t="s">
        <v>3381</v>
      </c>
      <c r="AA685" s="1128" t="s">
        <v>3384</v>
      </c>
      <c r="AC685" s="73"/>
    </row>
    <row r="686" spans="1:29" s="20" customFormat="1">
      <c r="A686" s="327" t="str">
        <f>IF(AND($B686&lt;&gt;"",$C686&lt;&gt;""),MAX($A$4:A685)+1,"")</f>
        <v/>
      </c>
      <c r="B686" s="361" t="s">
        <v>3266</v>
      </c>
      <c r="C686" s="364"/>
      <c r="D686" s="327">
        <f>IF($B686="","",COUNTIF($B$6:$B686,$B686))</f>
        <v>12</v>
      </c>
      <c r="E686" s="361" t="s">
        <v>3263</v>
      </c>
      <c r="F686" s="362" t="s">
        <v>3274</v>
      </c>
      <c r="G686" s="327" t="s">
        <v>329</v>
      </c>
      <c r="H686" s="325"/>
      <c r="I686" s="327">
        <v>2</v>
      </c>
      <c r="J686" s="361" t="s">
        <v>3270</v>
      </c>
      <c r="K686" s="327" t="s">
        <v>531</v>
      </c>
      <c r="L686" s="348">
        <f t="shared" si="58"/>
        <v>174299.99999999997</v>
      </c>
      <c r="M686" s="355"/>
      <c r="N686" s="355" t="str">
        <f t="shared" si="57"/>
        <v>PR</v>
      </c>
      <c r="O686" s="347">
        <v>19</v>
      </c>
      <c r="P686" s="325"/>
      <c r="Q686" s="351"/>
      <c r="R686" s="351">
        <v>1.2</v>
      </c>
      <c r="S686" s="351">
        <v>5.6</v>
      </c>
      <c r="T686" s="351">
        <v>0.249</v>
      </c>
      <c r="U686" s="329">
        <f>IF($N686=$N$4,IFERROR(INDEX(DanhMuc!$E$154:$E$165,MATCH(MID($B686,4,2),DanhMuc!$B$154:$B$165,0)),""),"")</f>
        <v>5600</v>
      </c>
      <c r="V686" s="325"/>
      <c r="W686" s="352" t="str">
        <f>+IF(AND($A686&lt;&gt;"",LEN($B686)&gt;=8,COUNTIF($B$6:$B686,$B686)=1),$W$5,"")</f>
        <v/>
      </c>
      <c r="X686" s="329" t="str">
        <f t="shared" si="56"/>
        <v>MP</v>
      </c>
      <c r="Y686" s="1128" t="s">
        <v>3380</v>
      </c>
      <c r="Z686" s="1128" t="s">
        <v>3381</v>
      </c>
      <c r="AA686" s="1128" t="s">
        <v>3384</v>
      </c>
      <c r="AC686" s="73"/>
    </row>
    <row r="687" spans="1:29" s="20" customFormat="1">
      <c r="A687" s="327" t="str">
        <f>IF(AND($B687&lt;&gt;"",$C687&lt;&gt;""),MAX($A$4:A686)+1,"")</f>
        <v/>
      </c>
      <c r="B687" s="361" t="s">
        <v>3266</v>
      </c>
      <c r="C687" s="364"/>
      <c r="D687" s="327">
        <f>IF($B687="","",COUNTIF($B$6:$B687,$B687))</f>
        <v>13</v>
      </c>
      <c r="E687" s="361" t="s">
        <v>3263</v>
      </c>
      <c r="F687" s="362" t="s">
        <v>3274</v>
      </c>
      <c r="G687" s="327" t="s">
        <v>328</v>
      </c>
      <c r="H687" s="325"/>
      <c r="I687" s="327">
        <v>2</v>
      </c>
      <c r="J687" s="361" t="s">
        <v>3271</v>
      </c>
      <c r="K687" s="327" t="s">
        <v>531</v>
      </c>
      <c r="L687" s="348">
        <f t="shared" si="58"/>
        <v>174299.99999999997</v>
      </c>
      <c r="M687" s="355"/>
      <c r="N687" s="355" t="str">
        <f t="shared" si="57"/>
        <v>PR</v>
      </c>
      <c r="O687" s="347">
        <v>19</v>
      </c>
      <c r="P687" s="325"/>
      <c r="Q687" s="351"/>
      <c r="R687" s="351">
        <v>1.2</v>
      </c>
      <c r="S687" s="351">
        <v>5.6</v>
      </c>
      <c r="T687" s="351">
        <v>0.249</v>
      </c>
      <c r="U687" s="329">
        <f>IF($N687=$N$4,IFERROR(INDEX(DanhMuc!$E$154:$E$165,MATCH(MID($B687,4,2),DanhMuc!$B$154:$B$165,0)),""),"")</f>
        <v>5600</v>
      </c>
      <c r="V687" s="325"/>
      <c r="W687" s="352" t="str">
        <f>+IF(AND($A687&lt;&gt;"",LEN($B687)&gt;=8,COUNTIF($B$6:$B687,$B687)=1),$W$5,"")</f>
        <v/>
      </c>
      <c r="X687" s="329" t="str">
        <f t="shared" si="56"/>
        <v>MP</v>
      </c>
      <c r="Y687" s="1128" t="s">
        <v>3380</v>
      </c>
      <c r="Z687" s="1128" t="s">
        <v>3381</v>
      </c>
      <c r="AA687" s="1128" t="s">
        <v>3384</v>
      </c>
      <c r="AC687" s="73"/>
    </row>
    <row r="688" spans="1:29" s="20" customFormat="1">
      <c r="A688" s="327" t="str">
        <f>IF(AND($B688&lt;&gt;"",$C688&lt;&gt;""),MAX($A$4:A687)+1,"")</f>
        <v/>
      </c>
      <c r="B688" s="361" t="s">
        <v>3266</v>
      </c>
      <c r="C688" s="364"/>
      <c r="D688" s="327">
        <f>IF($B688="","",COUNTIF($B$6:$B688,$B688))</f>
        <v>14</v>
      </c>
      <c r="E688" s="361" t="s">
        <v>3264</v>
      </c>
      <c r="F688" s="362" t="s">
        <v>3275</v>
      </c>
      <c r="G688" s="327" t="s">
        <v>329</v>
      </c>
      <c r="H688" s="325"/>
      <c r="I688" s="327">
        <v>2</v>
      </c>
      <c r="J688" s="361" t="s">
        <v>3270</v>
      </c>
      <c r="K688" s="327" t="s">
        <v>531</v>
      </c>
      <c r="L688" s="348">
        <f t="shared" si="58"/>
        <v>144200</v>
      </c>
      <c r="M688" s="355"/>
      <c r="N688" s="355" t="str">
        <f t="shared" si="57"/>
        <v>PR</v>
      </c>
      <c r="O688" s="347">
        <v>20</v>
      </c>
      <c r="P688" s="325"/>
      <c r="Q688" s="351"/>
      <c r="R688" s="351">
        <v>1.2</v>
      </c>
      <c r="S688" s="351">
        <v>5.6</v>
      </c>
      <c r="T688" s="351">
        <v>0.20599999999999999</v>
      </c>
      <c r="U688" s="329">
        <f>IF($N688=$N$4,IFERROR(INDEX(DanhMuc!$E$154:$E$165,MATCH(MID($B688,4,2),DanhMuc!$B$154:$B$165,0)),""),"")</f>
        <v>5600</v>
      </c>
      <c r="V688" s="325"/>
      <c r="W688" s="352" t="str">
        <f>+IF(AND($A688&lt;&gt;"",LEN($B688)&gt;=8,COUNTIF($B$6:$B688,$B688)=1),$W$5,"")</f>
        <v/>
      </c>
      <c r="X688" s="329" t="str">
        <f t="shared" si="56"/>
        <v>MP</v>
      </c>
      <c r="Y688" s="1128" t="s">
        <v>3380</v>
      </c>
      <c r="Z688" s="1128" t="s">
        <v>3381</v>
      </c>
      <c r="AA688" s="1128" t="s">
        <v>3384</v>
      </c>
      <c r="AC688" s="73"/>
    </row>
    <row r="689" spans="1:29" s="20" customFormat="1">
      <c r="A689" s="327" t="str">
        <f>IF(AND($B689&lt;&gt;"",$C689&lt;&gt;""),MAX($A$4:A688)+1,"")</f>
        <v/>
      </c>
      <c r="B689" s="361" t="s">
        <v>3266</v>
      </c>
      <c r="C689" s="364"/>
      <c r="D689" s="327">
        <f>IF($B689="","",COUNTIF($B$6:$B689,$B689))</f>
        <v>15</v>
      </c>
      <c r="E689" s="361" t="s">
        <v>3264</v>
      </c>
      <c r="F689" s="362" t="s">
        <v>3275</v>
      </c>
      <c r="G689" s="327" t="s">
        <v>328</v>
      </c>
      <c r="H689" s="325"/>
      <c r="I689" s="327">
        <v>2</v>
      </c>
      <c r="J689" s="361" t="s">
        <v>3271</v>
      </c>
      <c r="K689" s="327" t="s">
        <v>531</v>
      </c>
      <c r="L689" s="348">
        <f t="shared" si="58"/>
        <v>144200</v>
      </c>
      <c r="M689" s="355"/>
      <c r="N689" s="355" t="str">
        <f t="shared" si="57"/>
        <v>PR</v>
      </c>
      <c r="O689" s="347">
        <v>20</v>
      </c>
      <c r="P689" s="325"/>
      <c r="Q689" s="351"/>
      <c r="R689" s="351">
        <v>1.2</v>
      </c>
      <c r="S689" s="351">
        <v>5.6</v>
      </c>
      <c r="T689" s="351">
        <v>0.20599999999999999</v>
      </c>
      <c r="U689" s="329">
        <f>IF($N689=$N$4,IFERROR(INDEX(DanhMuc!$E$154:$E$165,MATCH(MID($B689,4,2),DanhMuc!$B$154:$B$165,0)),""),"")</f>
        <v>5600</v>
      </c>
      <c r="V689" s="325"/>
      <c r="W689" s="352" t="str">
        <f>+IF(AND($A689&lt;&gt;"",LEN($B689)&gt;=8,COUNTIF($B$6:$B689,$B689)=1),$W$5,"")</f>
        <v/>
      </c>
      <c r="X689" s="329" t="str">
        <f t="shared" si="56"/>
        <v>MP</v>
      </c>
      <c r="Y689" s="1128" t="s">
        <v>3380</v>
      </c>
      <c r="Z689" s="1128" t="s">
        <v>3381</v>
      </c>
      <c r="AA689" s="1128" t="s">
        <v>3384</v>
      </c>
      <c r="AC689" s="73"/>
    </row>
    <row r="690" spans="1:29" s="20" customFormat="1" ht="26">
      <c r="A690" s="327">
        <f>IF(AND($B690&lt;&gt;"",$C690&lt;&gt;""),MAX($A$4:A689)+1,"")</f>
        <v>60</v>
      </c>
      <c r="B690" s="359" t="s">
        <v>3346</v>
      </c>
      <c r="C690" s="360" t="s">
        <v>3347</v>
      </c>
      <c r="D690" s="327">
        <f>IF($B690="","",COUNTIF($B$6:$B690,$B690))</f>
        <v>1</v>
      </c>
      <c r="E690" s="361" t="s">
        <v>3254</v>
      </c>
      <c r="F690" s="362" t="s">
        <v>3255</v>
      </c>
      <c r="G690" s="327" t="s">
        <v>330</v>
      </c>
      <c r="H690" s="325"/>
      <c r="I690" s="327">
        <v>1</v>
      </c>
      <c r="J690" s="361" t="s">
        <v>81</v>
      </c>
      <c r="K690" s="327" t="s">
        <v>516</v>
      </c>
      <c r="L690" s="348">
        <f>+$T690*$S690*$L$674</f>
        <v>1145199.9999999998</v>
      </c>
      <c r="M690" s="355"/>
      <c r="N690" s="355" t="str">
        <f t="shared" si="57"/>
        <v>PR</v>
      </c>
      <c r="O690" s="347"/>
      <c r="P690" s="325"/>
      <c r="Q690" s="351"/>
      <c r="R690" s="351">
        <v>2.5</v>
      </c>
      <c r="S690" s="351">
        <v>5.6</v>
      </c>
      <c r="T690" s="351">
        <v>1.6359999999999999</v>
      </c>
      <c r="U690" s="329">
        <f>IF($N690=$N$4,IFERROR(INDEX(DanhMuc!$E$154:$E$165,MATCH(MID($B690,4,2),DanhMuc!$B$154:$B$165,0)),""),"")</f>
        <v>5600</v>
      </c>
      <c r="V690" s="325"/>
      <c r="W690" s="352" t="str">
        <f>+IF(AND($A690&lt;&gt;"",LEN($B690)&gt;=8,COUNTIF($B$6:$B690,$B690)=1),$W$5,"")</f>
        <v>DMCua</v>
      </c>
      <c r="X690" s="329" t="str">
        <f t="shared" si="56"/>
        <v>MP</v>
      </c>
      <c r="Y690" s="1128" t="s">
        <v>3380</v>
      </c>
      <c r="Z690" s="1128" t="s">
        <v>3381</v>
      </c>
      <c r="AA690" s="1128" t="s">
        <v>3384</v>
      </c>
      <c r="AC690" s="73"/>
    </row>
    <row r="691" spans="1:29" s="20" customFormat="1">
      <c r="A691" s="327" t="str">
        <f>IF(AND($B691&lt;&gt;"",$C691&lt;&gt;""),MAX($A$4:A690)+1,"")</f>
        <v/>
      </c>
      <c r="B691" s="361" t="s">
        <v>3346</v>
      </c>
      <c r="C691" s="360"/>
      <c r="D691" s="327">
        <f>IF($B691="","",COUNTIF($B$6:$B691,$B691))</f>
        <v>2</v>
      </c>
      <c r="E691" s="363" t="s">
        <v>3254</v>
      </c>
      <c r="F691" s="362" t="s">
        <v>3255</v>
      </c>
      <c r="G691" s="327" t="s">
        <v>328</v>
      </c>
      <c r="H691" s="325"/>
      <c r="I691" s="327">
        <v>2</v>
      </c>
      <c r="J691" s="363" t="s">
        <v>80</v>
      </c>
      <c r="K691" s="327" t="s">
        <v>1141</v>
      </c>
      <c r="L691" s="348">
        <f t="shared" si="58"/>
        <v>1145199.9999999998</v>
      </c>
      <c r="M691" s="355"/>
      <c r="N691" s="355" t="str">
        <f t="shared" si="57"/>
        <v>PR</v>
      </c>
      <c r="O691" s="347"/>
      <c r="P691" s="325"/>
      <c r="Q691" s="351"/>
      <c r="R691" s="351">
        <v>2.5</v>
      </c>
      <c r="S691" s="351">
        <v>5.6</v>
      </c>
      <c r="T691" s="351">
        <v>1.6359999999999999</v>
      </c>
      <c r="U691" s="329">
        <f>IF($N691=$N$4,IFERROR(INDEX(DanhMuc!$E$154:$E$165,MATCH(MID($B691,4,2),DanhMuc!$B$154:$B$165,0)),""),"")</f>
        <v>5600</v>
      </c>
      <c r="V691" s="325"/>
      <c r="W691" s="352" t="str">
        <f>+IF(AND($A691&lt;&gt;"",LEN($B691)&gt;=8,COUNTIF($B$6:$B691,$B691)=1),$W$5,"")</f>
        <v/>
      </c>
      <c r="X691" s="329" t="str">
        <f t="shared" si="56"/>
        <v>MP</v>
      </c>
      <c r="Y691" s="1128" t="s">
        <v>3380</v>
      </c>
      <c r="Z691" s="1128" t="s">
        <v>3381</v>
      </c>
      <c r="AA691" s="1128" t="s">
        <v>3384</v>
      </c>
      <c r="AC691" s="73"/>
    </row>
    <row r="692" spans="1:29" s="20" customFormat="1">
      <c r="A692" s="327" t="str">
        <f>IF(AND($B692&lt;&gt;"",$C692&lt;&gt;""),MAX($A$4:A691)+1,"")</f>
        <v/>
      </c>
      <c r="B692" s="361" t="s">
        <v>3346</v>
      </c>
      <c r="C692" s="360"/>
      <c r="D692" s="327">
        <f>IF($B692="","",COUNTIF($B$6:$B692,$B692))</f>
        <v>3</v>
      </c>
      <c r="E692" s="363" t="s">
        <v>3348</v>
      </c>
      <c r="F692" s="362" t="s">
        <v>3349</v>
      </c>
      <c r="G692" s="327" t="s">
        <v>328</v>
      </c>
      <c r="H692" s="325"/>
      <c r="I692" s="327">
        <v>2</v>
      </c>
      <c r="J692" s="363" t="s">
        <v>3350</v>
      </c>
      <c r="K692" s="327" t="s">
        <v>1141</v>
      </c>
      <c r="L692" s="348" t="s">
        <v>2341</v>
      </c>
      <c r="M692" s="355"/>
      <c r="N692" s="355" t="str">
        <f t="shared" si="57"/>
        <v>PR</v>
      </c>
      <c r="O692" s="347" t="s">
        <v>1476</v>
      </c>
      <c r="P692" s="325"/>
      <c r="Q692" s="351"/>
      <c r="R692" s="351">
        <v>2.5</v>
      </c>
      <c r="S692" s="351">
        <v>5.6</v>
      </c>
      <c r="T692" s="351">
        <v>1.6359999999999999</v>
      </c>
      <c r="U692" s="329">
        <f>IF($N692=$N$4,IFERROR(INDEX(DanhMuc!$E$154:$E$165,MATCH(MID($B692,4,2),DanhMuc!$B$154:$B$165,0)),""),"")</f>
        <v>5600</v>
      </c>
      <c r="V692" s="325"/>
      <c r="W692" s="352" t="str">
        <f>+IF(AND($A692&lt;&gt;"",LEN($B692)&gt;=8,COUNTIF($B$6:$B692,$B692)=1),$W$5,"")</f>
        <v/>
      </c>
      <c r="X692" s="329" t="str">
        <f t="shared" si="56"/>
        <v>MP</v>
      </c>
      <c r="Y692" s="1128" t="s">
        <v>3380</v>
      </c>
      <c r="Z692" s="1128" t="s">
        <v>3381</v>
      </c>
      <c r="AA692" s="1128" t="s">
        <v>3384</v>
      </c>
      <c r="AC692" s="73"/>
    </row>
    <row r="693" spans="1:29" s="20" customFormat="1">
      <c r="A693" s="327" t="str">
        <f>IF(AND($B693&lt;&gt;"",$C693&lt;&gt;""),MAX($A$4:A691)+1,"")</f>
        <v/>
      </c>
      <c r="B693" s="361" t="s">
        <v>3346</v>
      </c>
      <c r="C693" s="364"/>
      <c r="D693" s="327">
        <f>IF($B693="","",COUNTIF($B$6:$B693,$B693))</f>
        <v>4</v>
      </c>
      <c r="E693" s="361" t="s">
        <v>3258</v>
      </c>
      <c r="F693" s="362" t="s">
        <v>3256</v>
      </c>
      <c r="G693" s="327" t="s">
        <v>329</v>
      </c>
      <c r="H693" s="325"/>
      <c r="I693" s="327">
        <v>2</v>
      </c>
      <c r="J693" s="361" t="s">
        <v>3351</v>
      </c>
      <c r="K693" s="327" t="s">
        <v>516</v>
      </c>
      <c r="L693" s="348">
        <f t="shared" si="58"/>
        <v>1556800</v>
      </c>
      <c r="M693" s="355"/>
      <c r="N693" s="355" t="str">
        <f t="shared" si="57"/>
        <v>PR</v>
      </c>
      <c r="O693" s="345" t="s">
        <v>19</v>
      </c>
      <c r="P693" s="325"/>
      <c r="Q693" s="351"/>
      <c r="R693" s="351">
        <v>2.5</v>
      </c>
      <c r="S693" s="351">
        <v>5.6</v>
      </c>
      <c r="T693" s="351">
        <v>2.2240000000000002</v>
      </c>
      <c r="U693" s="329">
        <f>IF($N693=$N$4,IFERROR(INDEX(DanhMuc!$E$154:$E$165,MATCH(MID($B693,4,2),DanhMuc!$B$154:$B$165,0)),""),"")</f>
        <v>5600</v>
      </c>
      <c r="V693" s="325"/>
      <c r="W693" s="352" t="str">
        <f>+IF(AND($A693&lt;&gt;"",LEN($B693)&gt;=8,COUNTIF($B$6:$B693,$B693)=1),$W$5,"")</f>
        <v/>
      </c>
      <c r="X693" s="329" t="str">
        <f t="shared" si="56"/>
        <v>MP</v>
      </c>
      <c r="Y693" s="1128" t="s">
        <v>3380</v>
      </c>
      <c r="Z693" s="1128" t="s">
        <v>3381</v>
      </c>
      <c r="AA693" s="1128" t="s">
        <v>3384</v>
      </c>
      <c r="AC693" s="73"/>
    </row>
    <row r="694" spans="1:29" s="20" customFormat="1">
      <c r="A694" s="327" t="str">
        <f>IF(AND($B694&lt;&gt;"",$C694&lt;&gt;""),MAX($A$4:A693)+1,"")</f>
        <v/>
      </c>
      <c r="B694" s="361" t="s">
        <v>3346</v>
      </c>
      <c r="C694" s="364"/>
      <c r="D694" s="327">
        <f>IF($B694="","",COUNTIF($B$6:$B694,$B694))</f>
        <v>5</v>
      </c>
      <c r="E694" s="361" t="s">
        <v>3258</v>
      </c>
      <c r="F694" s="362" t="s">
        <v>3256</v>
      </c>
      <c r="G694" s="327" t="s">
        <v>328</v>
      </c>
      <c r="H694" s="325"/>
      <c r="I694" s="327">
        <v>2</v>
      </c>
      <c r="J694" s="361" t="s">
        <v>3268</v>
      </c>
      <c r="K694" s="327" t="s">
        <v>516</v>
      </c>
      <c r="L694" s="348">
        <f t="shared" si="58"/>
        <v>1556800</v>
      </c>
      <c r="M694" s="355"/>
      <c r="N694" s="355" t="str">
        <f t="shared" si="57"/>
        <v>PR</v>
      </c>
      <c r="O694" s="345" t="s">
        <v>19</v>
      </c>
      <c r="P694" s="325"/>
      <c r="Q694" s="351"/>
      <c r="R694" s="351">
        <v>2.5</v>
      </c>
      <c r="S694" s="351">
        <v>5.6</v>
      </c>
      <c r="T694" s="351">
        <v>2.2240000000000002</v>
      </c>
      <c r="U694" s="329">
        <f>IF($N694=$N$4,IFERROR(INDEX(DanhMuc!$E$154:$E$165,MATCH(MID($B694,4,2),DanhMuc!$B$154:$B$165,0)),""),"")</f>
        <v>5600</v>
      </c>
      <c r="V694" s="325"/>
      <c r="W694" s="352" t="str">
        <f>+IF(AND($A694&lt;&gt;"",LEN($B694)&gt;=8,COUNTIF($B$6:$B694,$B694)=1),$W$5,"")</f>
        <v/>
      </c>
      <c r="X694" s="329" t="str">
        <f t="shared" si="56"/>
        <v>MP</v>
      </c>
      <c r="Y694" s="1128" t="s">
        <v>3380</v>
      </c>
      <c r="Z694" s="1128" t="s">
        <v>3381</v>
      </c>
      <c r="AA694" s="1128" t="s">
        <v>3384</v>
      </c>
      <c r="AC694" s="73"/>
    </row>
    <row r="695" spans="1:29" s="20" customFormat="1">
      <c r="A695" s="327" t="str">
        <f>IF(AND($B695&lt;&gt;"",$C695&lt;&gt;""),MAX($A$4:A694)+1,"")</f>
        <v/>
      </c>
      <c r="B695" s="361" t="s">
        <v>3346</v>
      </c>
      <c r="C695" s="364"/>
      <c r="D695" s="327">
        <f>IF($B695="","",COUNTIF($B$6:$B695,$B695))</f>
        <v>6</v>
      </c>
      <c r="E695" s="361" t="s">
        <v>3273</v>
      </c>
      <c r="F695" s="362" t="s">
        <v>3257</v>
      </c>
      <c r="G695" s="327" t="s">
        <v>329</v>
      </c>
      <c r="H695" s="325"/>
      <c r="I695" s="327">
        <v>2</v>
      </c>
      <c r="J695" s="361" t="s">
        <v>3351</v>
      </c>
      <c r="K695" s="327" t="s">
        <v>516</v>
      </c>
      <c r="L695" s="348">
        <f t="shared" si="58"/>
        <v>1556800</v>
      </c>
      <c r="M695" s="355"/>
      <c r="N695" s="355" t="str">
        <f t="shared" si="57"/>
        <v>PR</v>
      </c>
      <c r="O695" s="345" t="s">
        <v>16</v>
      </c>
      <c r="P695" s="325"/>
      <c r="Q695" s="351"/>
      <c r="R695" s="351">
        <v>2.5</v>
      </c>
      <c r="S695" s="351">
        <v>5.6</v>
      </c>
      <c r="T695" s="351">
        <v>2.2240000000000002</v>
      </c>
      <c r="U695" s="329">
        <f>IF($N695=$N$4,IFERROR(INDEX(DanhMuc!$E$154:$E$165,MATCH(MID($B695,4,2),DanhMuc!$B$154:$B$165,0)),""),"")</f>
        <v>5600</v>
      </c>
      <c r="V695" s="325"/>
      <c r="W695" s="352" t="str">
        <f>+IF(AND($A695&lt;&gt;"",LEN($B695)&gt;=8,COUNTIF($B$6:$B695,$B695)=1),$W$5,"")</f>
        <v/>
      </c>
      <c r="X695" s="329" t="str">
        <f t="shared" si="56"/>
        <v>MP</v>
      </c>
      <c r="Y695" s="1128" t="s">
        <v>3380</v>
      </c>
      <c r="Z695" s="1128" t="s">
        <v>3381</v>
      </c>
      <c r="AA695" s="1128" t="s">
        <v>3384</v>
      </c>
      <c r="AC695" s="73"/>
    </row>
    <row r="696" spans="1:29" s="20" customFormat="1">
      <c r="A696" s="327" t="str">
        <f>IF(AND($B696&lt;&gt;"",$C696&lt;&gt;""),MAX($A$4:A695)+1,"")</f>
        <v/>
      </c>
      <c r="B696" s="361" t="s">
        <v>3346</v>
      </c>
      <c r="C696" s="364"/>
      <c r="D696" s="327">
        <f>IF($B696="","",COUNTIF($B$6:$B696,$B696))</f>
        <v>7</v>
      </c>
      <c r="E696" s="361" t="s">
        <v>3273</v>
      </c>
      <c r="F696" s="362" t="s">
        <v>3257</v>
      </c>
      <c r="G696" s="327" t="s">
        <v>328</v>
      </c>
      <c r="H696" s="325"/>
      <c r="I696" s="327">
        <v>2</v>
      </c>
      <c r="J696" s="361" t="s">
        <v>3268</v>
      </c>
      <c r="K696" s="327" t="s">
        <v>516</v>
      </c>
      <c r="L696" s="348">
        <f t="shared" si="58"/>
        <v>1556800</v>
      </c>
      <c r="M696" s="355"/>
      <c r="N696" s="355" t="str">
        <f t="shared" si="57"/>
        <v>PR</v>
      </c>
      <c r="O696" s="345" t="s">
        <v>16</v>
      </c>
      <c r="P696" s="325"/>
      <c r="Q696" s="351"/>
      <c r="R696" s="351">
        <v>2.5</v>
      </c>
      <c r="S696" s="351">
        <v>5.6</v>
      </c>
      <c r="T696" s="351">
        <v>2.2240000000000002</v>
      </c>
      <c r="U696" s="329">
        <f>IF($N696=$N$4,IFERROR(INDEX(DanhMuc!$E$154:$E$165,MATCH(MID($B696,4,2),DanhMuc!$B$154:$B$165,0)),""),"")</f>
        <v>5600</v>
      </c>
      <c r="V696" s="325"/>
      <c r="W696" s="352" t="str">
        <f>+IF(AND($A696&lt;&gt;"",LEN($B696)&gt;=8,COUNTIF($B$6:$B696,$B696)=1),$W$5,"")</f>
        <v/>
      </c>
      <c r="X696" s="329" t="str">
        <f t="shared" si="56"/>
        <v>MP</v>
      </c>
      <c r="Y696" s="1128" t="s">
        <v>3380</v>
      </c>
      <c r="Z696" s="1128" t="s">
        <v>3381</v>
      </c>
      <c r="AA696" s="1128" t="s">
        <v>3384</v>
      </c>
      <c r="AC696" s="73"/>
    </row>
    <row r="697" spans="1:29" s="22" customFormat="1">
      <c r="A697" s="327" t="str">
        <f>IF(AND($B697&lt;&gt;"",$C697&lt;&gt;""),MAX($A$4:A696)+1,"")</f>
        <v/>
      </c>
      <c r="B697" s="361" t="s">
        <v>3346</v>
      </c>
      <c r="C697" s="366"/>
      <c r="D697" s="367">
        <f>IF($B697="","",COUNTIF($B$6:$B697,$B697))</f>
        <v>8</v>
      </c>
      <c r="E697" s="365" t="s">
        <v>3259</v>
      </c>
      <c r="F697" s="368" t="s">
        <v>3262</v>
      </c>
      <c r="G697" s="367" t="s">
        <v>329</v>
      </c>
      <c r="H697" s="325"/>
      <c r="I697" s="367">
        <v>1</v>
      </c>
      <c r="J697" s="361" t="s">
        <v>3352</v>
      </c>
      <c r="K697" s="367" t="s">
        <v>531</v>
      </c>
      <c r="L697" s="348">
        <f t="shared" si="58"/>
        <v>325500</v>
      </c>
      <c r="M697" s="369"/>
      <c r="N697" s="369" t="str">
        <f t="shared" si="57"/>
        <v>PR</v>
      </c>
      <c r="O697" s="347" t="s">
        <v>1475</v>
      </c>
      <c r="P697" s="329"/>
      <c r="Q697" s="367"/>
      <c r="R697" s="351">
        <v>1.2</v>
      </c>
      <c r="S697" s="351">
        <v>5.6</v>
      </c>
      <c r="T697" s="351">
        <v>0.46500000000000002</v>
      </c>
      <c r="U697" s="329">
        <f>IF($N697=$N$4,IFERROR(INDEX(DanhMuc!$E$154:$E$165,MATCH(MID($B697,4,2),DanhMuc!$B$154:$B$165,0)),""),"")</f>
        <v>5600</v>
      </c>
      <c r="V697" s="329"/>
      <c r="W697" s="352" t="str">
        <f>+IF(AND($A697&lt;&gt;"",LEN($B697)&gt;=8,COUNTIF($B$6:$B697,$B697)=1),$W$5,"")</f>
        <v/>
      </c>
      <c r="X697" s="329" t="str">
        <f t="shared" si="56"/>
        <v>MP</v>
      </c>
      <c r="Y697" s="1128" t="s">
        <v>3380</v>
      </c>
      <c r="Z697" s="1128" t="s">
        <v>3381</v>
      </c>
      <c r="AA697" s="1128" t="s">
        <v>3384</v>
      </c>
      <c r="AB697" s="20"/>
      <c r="AC697" s="73"/>
    </row>
    <row r="698" spans="1:29" s="22" customFormat="1">
      <c r="A698" s="327" t="str">
        <f>IF(AND($B698&lt;&gt;"",$C698&lt;&gt;""),MAX($A$4:A697)+1,"")</f>
        <v/>
      </c>
      <c r="B698" s="361" t="s">
        <v>3346</v>
      </c>
      <c r="C698" s="366"/>
      <c r="D698" s="623">
        <f>IF($B698="","",COUNTIF($B$6:$B698,$B698))</f>
        <v>9</v>
      </c>
      <c r="E698" s="621" t="s">
        <v>3261</v>
      </c>
      <c r="F698" s="624" t="s">
        <v>865</v>
      </c>
      <c r="G698" s="623" t="s">
        <v>329</v>
      </c>
      <c r="H698" s="325"/>
      <c r="I698" s="367">
        <v>1</v>
      </c>
      <c r="J698" s="361" t="s">
        <v>3352</v>
      </c>
      <c r="K698" s="367" t="s">
        <v>531</v>
      </c>
      <c r="L698" s="348" t="s">
        <v>2341</v>
      </c>
      <c r="M698" s="369"/>
      <c r="N698" s="369" t="str">
        <f t="shared" si="57"/>
        <v>PR</v>
      </c>
      <c r="O698" s="347" t="s">
        <v>1476</v>
      </c>
      <c r="P698" s="329"/>
      <c r="Q698" s="367"/>
      <c r="R698" s="351">
        <v>1.2</v>
      </c>
      <c r="S698" s="351">
        <v>5.6</v>
      </c>
      <c r="T698" s="351"/>
      <c r="U698" s="329">
        <f>IF($N698=$N$4,IFERROR(INDEX(DanhMuc!$E$154:$E$165,MATCH(MID($B698,4,2),DanhMuc!$B$154:$B$165,0)),""),"")</f>
        <v>5600</v>
      </c>
      <c r="V698" s="329"/>
      <c r="W698" s="352" t="str">
        <f>+IF(AND($A698&lt;&gt;"",LEN($B698)&gt;=8,COUNTIF($B$6:$B698,$B698)=1),$W$5,"")</f>
        <v/>
      </c>
      <c r="X698" s="329" t="str">
        <f t="shared" si="56"/>
        <v>MP</v>
      </c>
      <c r="Y698" s="1128" t="s">
        <v>3380</v>
      </c>
      <c r="Z698" s="1128" t="s">
        <v>3381</v>
      </c>
      <c r="AA698" s="1128" t="s">
        <v>3384</v>
      </c>
      <c r="AB698" s="20"/>
      <c r="AC698" s="73"/>
    </row>
    <row r="699" spans="1:29" s="20" customFormat="1">
      <c r="A699" s="327" t="str">
        <f>IF(AND($B699&lt;&gt;"",$C699&lt;&gt;""),MAX($A$4:A698)+1,"")</f>
        <v/>
      </c>
      <c r="B699" s="361" t="s">
        <v>3346</v>
      </c>
      <c r="C699" s="364"/>
      <c r="D699" s="327">
        <f>IF($B699="","",COUNTIF($B$6:$B699,$B699))</f>
        <v>10</v>
      </c>
      <c r="E699" s="361" t="s">
        <v>3353</v>
      </c>
      <c r="F699" s="362" t="s">
        <v>3354</v>
      </c>
      <c r="G699" s="327" t="s">
        <v>328</v>
      </c>
      <c r="H699" s="325"/>
      <c r="I699" s="327">
        <v>2</v>
      </c>
      <c r="J699" s="361" t="s">
        <v>3355</v>
      </c>
      <c r="K699" s="327" t="s">
        <v>516</v>
      </c>
      <c r="L699" s="348">
        <f t="shared" si="58"/>
        <v>867300.00000000012</v>
      </c>
      <c r="M699" s="355"/>
      <c r="N699" s="355" t="str">
        <f t="shared" si="57"/>
        <v>PR</v>
      </c>
      <c r="O699" s="345" t="s">
        <v>635</v>
      </c>
      <c r="P699" s="325"/>
      <c r="Q699" s="351"/>
      <c r="R699" s="351">
        <v>2.5</v>
      </c>
      <c r="S699" s="351">
        <v>5.6</v>
      </c>
      <c r="T699" s="351">
        <v>1.2390000000000001</v>
      </c>
      <c r="U699" s="329">
        <f>IF($N699=$N$4,IFERROR(INDEX(DanhMuc!$E$154:$E$165,MATCH(MID($B699,4,2),DanhMuc!$B$154:$B$165,0)),""),"")</f>
        <v>5600</v>
      </c>
      <c r="V699" s="325"/>
      <c r="W699" s="352" t="str">
        <f>+IF(AND($A699&lt;&gt;"",LEN($B699)&gt;=8,COUNTIF($B$6:$B699,$B699)=1),$W$5,"")</f>
        <v/>
      </c>
      <c r="X699" s="329" t="str">
        <f t="shared" si="56"/>
        <v>MP</v>
      </c>
      <c r="Y699" s="1128" t="s">
        <v>3380</v>
      </c>
      <c r="Z699" s="1128" t="s">
        <v>3381</v>
      </c>
      <c r="AA699" s="1128" t="s">
        <v>3384</v>
      </c>
      <c r="AC699" s="73"/>
    </row>
    <row r="700" spans="1:29" s="20" customFormat="1">
      <c r="A700" s="327" t="str">
        <f>IF(AND($B700&lt;&gt;"",$C700&lt;&gt;""),MAX($A$4:A699)+1,"")</f>
        <v/>
      </c>
      <c r="B700" s="361" t="s">
        <v>3346</v>
      </c>
      <c r="C700" s="364"/>
      <c r="D700" s="327">
        <f>IF($B700="","",COUNTIF($B$6:$B700,$B700))</f>
        <v>11</v>
      </c>
      <c r="E700" s="361" t="s">
        <v>3353</v>
      </c>
      <c r="F700" s="362" t="s">
        <v>3354</v>
      </c>
      <c r="G700" s="327" t="s">
        <v>328</v>
      </c>
      <c r="H700" s="325"/>
      <c r="I700" s="327">
        <v>2</v>
      </c>
      <c r="J700" s="361" t="s">
        <v>3356</v>
      </c>
      <c r="K700" s="327" t="s">
        <v>516</v>
      </c>
      <c r="L700" s="348">
        <f t="shared" si="58"/>
        <v>867300.00000000012</v>
      </c>
      <c r="M700" s="355"/>
      <c r="N700" s="355" t="str">
        <f t="shared" si="57"/>
        <v>PR</v>
      </c>
      <c r="O700" s="347" t="s">
        <v>1476</v>
      </c>
      <c r="P700" s="325"/>
      <c r="Q700" s="351"/>
      <c r="R700" s="351">
        <v>2.5</v>
      </c>
      <c r="S700" s="351">
        <v>5.6</v>
      </c>
      <c r="T700" s="351">
        <v>1.2390000000000001</v>
      </c>
      <c r="U700" s="329">
        <f>IF($N700=$N$4,IFERROR(INDEX(DanhMuc!$E$154:$E$165,MATCH(MID($B700,4,2),DanhMuc!$B$154:$B$165,0)),""),"")</f>
        <v>5600</v>
      </c>
      <c r="V700" s="325"/>
      <c r="W700" s="352" t="str">
        <f>+IF(AND($A700&lt;&gt;"",LEN($B700)&gt;=8,COUNTIF($B$6:$B700,$B700)=1),$W$5,"")</f>
        <v/>
      </c>
      <c r="X700" s="329" t="str">
        <f t="shared" si="56"/>
        <v>MP</v>
      </c>
      <c r="Y700" s="1128" t="s">
        <v>3380</v>
      </c>
      <c r="Z700" s="1128" t="s">
        <v>3381</v>
      </c>
      <c r="AA700" s="1128" t="s">
        <v>3384</v>
      </c>
      <c r="AC700" s="73"/>
    </row>
    <row r="701" spans="1:29" s="20" customFormat="1">
      <c r="A701" s="327" t="str">
        <f>IF(AND($B701&lt;&gt;"",$C701&lt;&gt;""),MAX($A$4:A700)+1,"")</f>
        <v/>
      </c>
      <c r="B701" s="361" t="s">
        <v>3346</v>
      </c>
      <c r="C701" s="364"/>
      <c r="D701" s="327">
        <f>IF($B701="","",COUNTIF($B$6:$B701,$B701))</f>
        <v>12</v>
      </c>
      <c r="E701" s="361" t="s">
        <v>3353</v>
      </c>
      <c r="F701" s="362" t="s">
        <v>3354</v>
      </c>
      <c r="G701" s="327" t="s">
        <v>328</v>
      </c>
      <c r="H701" s="325"/>
      <c r="I701" s="327">
        <v>2</v>
      </c>
      <c r="J701" s="361" t="s">
        <v>3358</v>
      </c>
      <c r="K701" s="327" t="s">
        <v>516</v>
      </c>
      <c r="L701" s="348">
        <f t="shared" si="58"/>
        <v>867300.00000000012</v>
      </c>
      <c r="M701" s="355"/>
      <c r="N701" s="355" t="str">
        <f t="shared" si="57"/>
        <v>PR</v>
      </c>
      <c r="O701" s="347" t="s">
        <v>1475</v>
      </c>
      <c r="P701" s="325"/>
      <c r="Q701" s="351"/>
      <c r="R701" s="351">
        <v>2.5</v>
      </c>
      <c r="S701" s="351">
        <v>5.6</v>
      </c>
      <c r="T701" s="351">
        <v>1.2390000000000001</v>
      </c>
      <c r="U701" s="329">
        <f>IF($N701=$N$4,IFERROR(INDEX(DanhMuc!$E$154:$E$165,MATCH(MID($B701,4,2),DanhMuc!$B$154:$B$165,0)),""),"")</f>
        <v>5600</v>
      </c>
      <c r="V701" s="325"/>
      <c r="W701" s="352" t="str">
        <f>+IF(AND($A701&lt;&gt;"",LEN($B701)&gt;=8,COUNTIF($B$6:$B701,$B701)=1),$W$5,"")</f>
        <v/>
      </c>
      <c r="X701" s="329" t="str">
        <f t="shared" si="56"/>
        <v>MP</v>
      </c>
      <c r="Y701" s="1128" t="s">
        <v>3380</v>
      </c>
      <c r="Z701" s="1128" t="s">
        <v>3381</v>
      </c>
      <c r="AA701" s="1128" t="s">
        <v>3384</v>
      </c>
      <c r="AC701" s="73"/>
    </row>
    <row r="702" spans="1:29" s="20" customFormat="1">
      <c r="A702" s="327" t="str">
        <f>IF(AND($B702&lt;&gt;"",$C702&lt;&gt;""),MAX($A$4:A698)+1,"")</f>
        <v/>
      </c>
      <c r="B702" s="361" t="s">
        <v>3346</v>
      </c>
      <c r="C702" s="364"/>
      <c r="D702" s="327">
        <f>IF($B702="","",COUNTIF($B$6:$B702,$B702))</f>
        <v>13</v>
      </c>
      <c r="E702" s="361" t="s">
        <v>3260</v>
      </c>
      <c r="F702" s="362" t="s">
        <v>3276</v>
      </c>
      <c r="G702" s="327" t="s">
        <v>329</v>
      </c>
      <c r="H702" s="325"/>
      <c r="I702" s="327">
        <v>2</v>
      </c>
      <c r="J702" s="361" t="s">
        <v>3357</v>
      </c>
      <c r="K702" s="327" t="s">
        <v>531</v>
      </c>
      <c r="L702" s="348">
        <f t="shared" si="58"/>
        <v>195300</v>
      </c>
      <c r="M702" s="355"/>
      <c r="N702" s="355" t="str">
        <f t="shared" si="57"/>
        <v>PR</v>
      </c>
      <c r="O702" s="347">
        <v>10</v>
      </c>
      <c r="P702" s="329"/>
      <c r="Q702" s="367"/>
      <c r="R702" s="351">
        <v>1.2</v>
      </c>
      <c r="S702" s="351">
        <v>5.6</v>
      </c>
      <c r="T702" s="351">
        <v>0.27900000000000003</v>
      </c>
      <c r="U702" s="329">
        <f>IF($N702=$N$4,IFERROR(INDEX(DanhMuc!$E$154:$E$165,MATCH(MID($B702,4,2),DanhMuc!$B$154:$B$165,0)),""),"")</f>
        <v>5600</v>
      </c>
      <c r="V702" s="325"/>
      <c r="W702" s="352" t="str">
        <f>+IF(AND($A702&lt;&gt;"",LEN($B702)&gt;=8,COUNTIF($B$6:$B702,$B702)=1),$W$5,"")</f>
        <v/>
      </c>
      <c r="X702" s="329" t="str">
        <f t="shared" si="56"/>
        <v>MP</v>
      </c>
      <c r="Y702" s="1128" t="s">
        <v>3380</v>
      </c>
      <c r="Z702" s="1128" t="s">
        <v>3381</v>
      </c>
      <c r="AA702" s="1128" t="s">
        <v>3384</v>
      </c>
      <c r="AC702" s="73"/>
    </row>
    <row r="703" spans="1:29" s="20" customFormat="1">
      <c r="A703" s="327" t="str">
        <f>IF(AND($B703&lt;&gt;"",$C703&lt;&gt;""),MAX($A$4:A702)+1,"")</f>
        <v/>
      </c>
      <c r="B703" s="361" t="s">
        <v>3346</v>
      </c>
      <c r="C703" s="364"/>
      <c r="D703" s="327">
        <f>IF($B703="","",COUNTIF($B$6:$B703,$B703))</f>
        <v>14</v>
      </c>
      <c r="E703" s="361" t="s">
        <v>3260</v>
      </c>
      <c r="F703" s="362" t="s">
        <v>3276</v>
      </c>
      <c r="G703" s="327" t="s">
        <v>328</v>
      </c>
      <c r="H703" s="325"/>
      <c r="I703" s="327">
        <v>2</v>
      </c>
      <c r="J703" s="361" t="s">
        <v>3271</v>
      </c>
      <c r="K703" s="327" t="s">
        <v>531</v>
      </c>
      <c r="L703" s="348">
        <f t="shared" si="58"/>
        <v>195300</v>
      </c>
      <c r="M703" s="355"/>
      <c r="N703" s="355" t="str">
        <f t="shared" si="57"/>
        <v>PR</v>
      </c>
      <c r="O703" s="347">
        <v>10</v>
      </c>
      <c r="P703" s="325"/>
      <c r="Q703" s="351"/>
      <c r="R703" s="351">
        <v>1.2</v>
      </c>
      <c r="S703" s="351">
        <v>5.6</v>
      </c>
      <c r="T703" s="351">
        <v>0.27900000000000003</v>
      </c>
      <c r="U703" s="329">
        <f>IF($N703=$N$4,IFERROR(INDEX(DanhMuc!$E$154:$E$165,MATCH(MID($B703,4,2),DanhMuc!$B$154:$B$165,0)),""),"")</f>
        <v>5600</v>
      </c>
      <c r="V703" s="325"/>
      <c r="W703" s="352" t="str">
        <f>+IF(AND($A703&lt;&gt;"",LEN($B703)&gt;=8,COUNTIF($B$6:$B703,$B703)=1),$W$5,"")</f>
        <v/>
      </c>
      <c r="X703" s="329" t="str">
        <f t="shared" si="56"/>
        <v>MP</v>
      </c>
      <c r="Y703" s="1128" t="s">
        <v>3380</v>
      </c>
      <c r="Z703" s="1128" t="s">
        <v>3381</v>
      </c>
      <c r="AA703" s="1128" t="s">
        <v>3384</v>
      </c>
      <c r="AC703" s="73"/>
    </row>
    <row r="704" spans="1:29" s="20" customFormat="1">
      <c r="A704" s="327" t="str">
        <f>IF(AND($B704&lt;&gt;"",$C704&lt;&gt;""),MAX($A$4:A703)+1,"")</f>
        <v/>
      </c>
      <c r="B704" s="361" t="s">
        <v>3346</v>
      </c>
      <c r="C704" s="364"/>
      <c r="D704" s="327">
        <f>IF($B704="","",COUNTIF($B$6:$B704,$B704))</f>
        <v>15</v>
      </c>
      <c r="E704" s="361" t="s">
        <v>3263</v>
      </c>
      <c r="F704" s="362" t="s">
        <v>3274</v>
      </c>
      <c r="G704" s="327" t="s">
        <v>329</v>
      </c>
      <c r="H704" s="325"/>
      <c r="I704" s="327">
        <v>2</v>
      </c>
      <c r="J704" s="361" t="s">
        <v>3270</v>
      </c>
      <c r="K704" s="327" t="s">
        <v>531</v>
      </c>
      <c r="L704" s="348">
        <f t="shared" si="58"/>
        <v>174299.99999999997</v>
      </c>
      <c r="M704" s="355"/>
      <c r="N704" s="355" t="str">
        <f t="shared" si="57"/>
        <v>PR</v>
      </c>
      <c r="O704" s="347">
        <v>19</v>
      </c>
      <c r="P704" s="325"/>
      <c r="Q704" s="351"/>
      <c r="R704" s="351">
        <v>1.2</v>
      </c>
      <c r="S704" s="351">
        <v>5.6</v>
      </c>
      <c r="T704" s="351">
        <v>0.249</v>
      </c>
      <c r="U704" s="329">
        <f>IF($N704=$N$4,IFERROR(INDEX(DanhMuc!$E$154:$E$165,MATCH(MID($B704,4,2),DanhMuc!$B$154:$B$165,0)),""),"")</f>
        <v>5600</v>
      </c>
      <c r="V704" s="325"/>
      <c r="W704" s="352" t="str">
        <f>+IF(AND($A704&lt;&gt;"",LEN($B704)&gt;=8,COUNTIF($B$6:$B704,$B704)=1),$W$5,"")</f>
        <v/>
      </c>
      <c r="X704" s="329" t="str">
        <f t="shared" si="56"/>
        <v>MP</v>
      </c>
      <c r="Y704" s="1128" t="s">
        <v>3380</v>
      </c>
      <c r="Z704" s="1128" t="s">
        <v>3381</v>
      </c>
      <c r="AA704" s="1128" t="s">
        <v>3384</v>
      </c>
      <c r="AC704" s="73"/>
    </row>
    <row r="705" spans="1:29" s="20" customFormat="1">
      <c r="A705" s="327" t="str">
        <f>IF(AND($B705&lt;&gt;"",$C705&lt;&gt;""),MAX($A$4:A704)+1,"")</f>
        <v/>
      </c>
      <c r="B705" s="361" t="s">
        <v>3346</v>
      </c>
      <c r="C705" s="364"/>
      <c r="D705" s="327">
        <f>IF($B705="","",COUNTIF($B$6:$B705,$B705))</f>
        <v>16</v>
      </c>
      <c r="E705" s="361" t="s">
        <v>3263</v>
      </c>
      <c r="F705" s="362" t="s">
        <v>3274</v>
      </c>
      <c r="G705" s="327" t="s">
        <v>328</v>
      </c>
      <c r="H705" s="325"/>
      <c r="I705" s="327">
        <v>2</v>
      </c>
      <c r="J705" s="361" t="s">
        <v>3271</v>
      </c>
      <c r="K705" s="327" t="s">
        <v>531</v>
      </c>
      <c r="L705" s="348">
        <f t="shared" si="58"/>
        <v>174299.99999999997</v>
      </c>
      <c r="M705" s="355"/>
      <c r="N705" s="355" t="str">
        <f t="shared" si="57"/>
        <v>PR</v>
      </c>
      <c r="O705" s="347">
        <v>19</v>
      </c>
      <c r="P705" s="325"/>
      <c r="Q705" s="351"/>
      <c r="R705" s="351">
        <v>1.2</v>
      </c>
      <c r="S705" s="351">
        <v>5.6</v>
      </c>
      <c r="T705" s="351">
        <v>0.249</v>
      </c>
      <c r="U705" s="329">
        <f>IF($N705=$N$4,IFERROR(INDEX(DanhMuc!$E$154:$E$165,MATCH(MID($B705,4,2),DanhMuc!$B$154:$B$165,0)),""),"")</f>
        <v>5600</v>
      </c>
      <c r="V705" s="325"/>
      <c r="W705" s="352" t="str">
        <f>+IF(AND($A705&lt;&gt;"",LEN($B705)&gt;=8,COUNTIF($B$6:$B705,$B705)=1),$W$5,"")</f>
        <v/>
      </c>
      <c r="X705" s="329" t="str">
        <f t="shared" si="56"/>
        <v>MP</v>
      </c>
      <c r="Y705" s="1128" t="s">
        <v>3380</v>
      </c>
      <c r="Z705" s="1128" t="s">
        <v>3381</v>
      </c>
      <c r="AA705" s="1128" t="s">
        <v>3384</v>
      </c>
      <c r="AC705" s="73"/>
    </row>
    <row r="706" spans="1:29" s="20" customFormat="1">
      <c r="A706" s="327" t="str">
        <f>IF(AND($B706&lt;&gt;"",$C706&lt;&gt;""),MAX($A$4:A705)+1,"")</f>
        <v/>
      </c>
      <c r="B706" s="361" t="s">
        <v>3346</v>
      </c>
      <c r="C706" s="364"/>
      <c r="D706" s="327">
        <f>IF($B706="","",COUNTIF($B$6:$B706,$B706))</f>
        <v>17</v>
      </c>
      <c r="E706" s="361" t="s">
        <v>3264</v>
      </c>
      <c r="F706" s="362" t="s">
        <v>3275</v>
      </c>
      <c r="G706" s="327" t="s">
        <v>329</v>
      </c>
      <c r="H706" s="325"/>
      <c r="I706" s="327">
        <v>2</v>
      </c>
      <c r="J706" s="361" t="s">
        <v>3270</v>
      </c>
      <c r="K706" s="327" t="s">
        <v>531</v>
      </c>
      <c r="L706" s="348">
        <f t="shared" si="58"/>
        <v>144200</v>
      </c>
      <c r="M706" s="355"/>
      <c r="N706" s="355" t="str">
        <f t="shared" si="57"/>
        <v>PR</v>
      </c>
      <c r="O706" s="347">
        <v>20</v>
      </c>
      <c r="P706" s="325"/>
      <c r="Q706" s="351"/>
      <c r="R706" s="351">
        <v>1.2</v>
      </c>
      <c r="S706" s="351">
        <v>5.6</v>
      </c>
      <c r="T706" s="351">
        <v>0.20599999999999999</v>
      </c>
      <c r="U706" s="329">
        <f>IF($N706=$N$4,IFERROR(INDEX(DanhMuc!$E$154:$E$165,MATCH(MID($B706,4,2),DanhMuc!$B$154:$B$165,0)),""),"")</f>
        <v>5600</v>
      </c>
      <c r="V706" s="325"/>
      <c r="W706" s="352" t="str">
        <f>+IF(AND($A706&lt;&gt;"",LEN($B706)&gt;=8,COUNTIF($B$6:$B706,$B706)=1),$W$5,"")</f>
        <v/>
      </c>
      <c r="X706" s="329" t="str">
        <f t="shared" si="56"/>
        <v>MP</v>
      </c>
      <c r="Y706" s="1128" t="s">
        <v>3380</v>
      </c>
      <c r="Z706" s="1128" t="s">
        <v>3381</v>
      </c>
      <c r="AA706" s="1128" t="s">
        <v>3384</v>
      </c>
      <c r="AC706" s="73"/>
    </row>
    <row r="707" spans="1:29" s="20" customFormat="1">
      <c r="A707" s="327" t="str">
        <f>IF(AND($B707&lt;&gt;"",$C707&lt;&gt;""),MAX($A$4:A706)+1,"")</f>
        <v/>
      </c>
      <c r="B707" s="361" t="s">
        <v>3346</v>
      </c>
      <c r="C707" s="364"/>
      <c r="D707" s="327">
        <f>IF($B707="","",COUNTIF($B$6:$B707,$B707))</f>
        <v>18</v>
      </c>
      <c r="E707" s="361" t="s">
        <v>3264</v>
      </c>
      <c r="F707" s="362" t="s">
        <v>3275</v>
      </c>
      <c r="G707" s="327" t="s">
        <v>328</v>
      </c>
      <c r="H707" s="325"/>
      <c r="I707" s="327">
        <v>2</v>
      </c>
      <c r="J707" s="361" t="s">
        <v>3271</v>
      </c>
      <c r="K707" s="327" t="s">
        <v>531</v>
      </c>
      <c r="L707" s="348">
        <f t="shared" si="58"/>
        <v>144200</v>
      </c>
      <c r="M707" s="355"/>
      <c r="N707" s="355" t="str">
        <f t="shared" si="57"/>
        <v>PR</v>
      </c>
      <c r="O707" s="347">
        <v>20</v>
      </c>
      <c r="P707" s="325"/>
      <c r="Q707" s="351"/>
      <c r="R707" s="351">
        <v>1.2</v>
      </c>
      <c r="S707" s="351">
        <v>5.6</v>
      </c>
      <c r="T707" s="351">
        <v>0.20599999999999999</v>
      </c>
      <c r="U707" s="329">
        <f>IF($N707=$N$4,IFERROR(INDEX(DanhMuc!$E$154:$E$165,MATCH(MID($B707,4,2),DanhMuc!$B$154:$B$165,0)),""),"")</f>
        <v>5600</v>
      </c>
      <c r="V707" s="325"/>
      <c r="W707" s="352" t="str">
        <f>+IF(AND($A707&lt;&gt;"",LEN($B707)&gt;=8,COUNTIF($B$6:$B707,$B707)=1),$W$5,"")</f>
        <v/>
      </c>
      <c r="X707" s="329" t="str">
        <f t="shared" si="56"/>
        <v>MP</v>
      </c>
      <c r="Y707" s="1128" t="s">
        <v>3380</v>
      </c>
      <c r="Z707" s="1128" t="s">
        <v>3381</v>
      </c>
      <c r="AA707" s="1128" t="s">
        <v>3384</v>
      </c>
      <c r="AC707" s="73"/>
    </row>
    <row r="708" spans="1:29" s="72" customFormat="1">
      <c r="A708" s="327">
        <f>IF(AND($B708&lt;&gt;"",$C708&lt;&gt;""),MAX($A$4:A390)+1,"")</f>
        <v>36</v>
      </c>
      <c r="B708" s="338" t="s">
        <v>141</v>
      </c>
      <c r="C708" s="340" t="s">
        <v>249</v>
      </c>
      <c r="D708" s="339"/>
      <c r="E708" s="339" t="s">
        <v>2449</v>
      </c>
      <c r="F708" s="341" t="s">
        <v>2447</v>
      </c>
      <c r="G708" s="339"/>
      <c r="H708" s="342"/>
      <c r="I708" s="339"/>
      <c r="J708" s="339"/>
      <c r="K708" s="383">
        <v>30000</v>
      </c>
      <c r="L708" s="383">
        <v>53000</v>
      </c>
      <c r="M708" s="343"/>
      <c r="N708" s="343"/>
      <c r="O708" s="344"/>
      <c r="P708" s="342"/>
      <c r="Q708" s="342"/>
      <c r="R708" s="351"/>
      <c r="S708" s="351"/>
      <c r="T708" s="351"/>
      <c r="U708" s="329" t="str">
        <f>IF($N708=$N$4,IFERROR(INDEX(DanhMuc!$E$154:$E$165,MATCH(MID($B708,4,2),DanhMuc!$B$154:$B$165,0)),""),"")</f>
        <v/>
      </c>
      <c r="V708" s="342"/>
      <c r="W708" s="352" t="str">
        <f>+IF(AND($A708&lt;&gt;"",LEN($B708)&gt;=8,COUNTIF($B$6:$B708,$B708)=1),$W$5,"")</f>
        <v/>
      </c>
      <c r="X708" s="329" t="str">
        <f t="shared" si="56"/>
        <v>T</v>
      </c>
      <c r="Y708" s="1128" t="s">
        <v>3380</v>
      </c>
      <c r="Z708" s="1128" t="s">
        <v>3381</v>
      </c>
      <c r="AA708" s="1128" t="s">
        <v>3384</v>
      </c>
      <c r="AB708" s="20"/>
      <c r="AC708" s="73"/>
    </row>
    <row r="709" spans="1:29" s="20" customFormat="1" ht="26">
      <c r="A709" s="327">
        <f>IF(AND($B709&lt;&gt;"",$C709&lt;&gt;""),MAX($A$4:A708)+1,"")</f>
        <v>61</v>
      </c>
      <c r="B709" s="359" t="s">
        <v>615</v>
      </c>
      <c r="C709" s="370" t="s">
        <v>1558</v>
      </c>
      <c r="D709" s="327">
        <f>IF($B709="","",COUNTIF($B$6:$B709,$B709))</f>
        <v>1</v>
      </c>
      <c r="E709" s="363" t="s">
        <v>375</v>
      </c>
      <c r="F709" s="362" t="s">
        <v>376</v>
      </c>
      <c r="G709" s="361" t="s">
        <v>329</v>
      </c>
      <c r="H709" s="325"/>
      <c r="I709" s="327">
        <v>1</v>
      </c>
      <c r="J709" s="361" t="s">
        <v>762</v>
      </c>
      <c r="K709" s="327" t="s">
        <v>516</v>
      </c>
      <c r="L709" s="348">
        <f>+$T709*$S709*IF(IFERROR(SEARCH("THÉP",$F709,1),0)&lt;1,$L$708,$K$708)</f>
        <v>403923.6</v>
      </c>
      <c r="M709" s="355"/>
      <c r="N709" s="355" t="str">
        <f t="shared" ref="N709:N719" si="59">+$N$4</f>
        <v>PR</v>
      </c>
      <c r="O709" s="345"/>
      <c r="P709" s="325"/>
      <c r="Q709" s="351">
        <v>86</v>
      </c>
      <c r="R709" s="351">
        <v>0</v>
      </c>
      <c r="S709" s="351">
        <v>5.8</v>
      </c>
      <c r="T709" s="351">
        <v>1.3140000000000001</v>
      </c>
      <c r="U709" s="329">
        <f>IF($N709=$N$4,IFERROR(INDEX(DanhMuc!$E$154:$E$165,MATCH(MID($B709,4,2),DanhMuc!$B$154:$B$165,0)),""),"")</f>
        <v>5800</v>
      </c>
      <c r="V709" s="325"/>
      <c r="W709" s="352" t="str">
        <f>+IF(AND($A709&lt;&gt;"",LEN($B709)&gt;=8,COUNTIF($B$6:$B709,$B709)=1),$W$5,"")</f>
        <v>DMCua</v>
      </c>
      <c r="X709" s="329" t="str">
        <f t="shared" si="56"/>
        <v>SL</v>
      </c>
      <c r="Y709" s="1128" t="s">
        <v>3380</v>
      </c>
      <c r="Z709" s="1128" t="s">
        <v>3381</v>
      </c>
      <c r="AA709" s="1128" t="s">
        <v>3384</v>
      </c>
      <c r="AC709" s="73"/>
    </row>
    <row r="710" spans="1:29" s="20" customFormat="1">
      <c r="A710" s="327" t="str">
        <f>IF(AND($B710&lt;&gt;"",$C710&lt;&gt;""),MAX($A$4:A709)+1,"")</f>
        <v/>
      </c>
      <c r="B710" s="361" t="s">
        <v>615</v>
      </c>
      <c r="C710" s="364"/>
      <c r="D710" s="327">
        <f>IF($B710="","",COUNTIF($B$6:$B710,$B710))</f>
        <v>2</v>
      </c>
      <c r="E710" s="363" t="s">
        <v>375</v>
      </c>
      <c r="F710" s="362" t="s">
        <v>376</v>
      </c>
      <c r="G710" s="361" t="s">
        <v>328</v>
      </c>
      <c r="H710" s="325"/>
      <c r="I710" s="327">
        <v>2</v>
      </c>
      <c r="J710" s="361" t="s">
        <v>814</v>
      </c>
      <c r="K710" s="327" t="s">
        <v>1141</v>
      </c>
      <c r="L710" s="348">
        <f t="shared" ref="L710:L775" si="60">+$T710*$S710*IF(IFERROR(SEARCH("THÉP",$F710,1),0)&lt;1,$L$708,$K$708)</f>
        <v>403923.6</v>
      </c>
      <c r="M710" s="355"/>
      <c r="N710" s="355" t="str">
        <f t="shared" si="59"/>
        <v>PR</v>
      </c>
      <c r="O710" s="347"/>
      <c r="P710" s="325"/>
      <c r="Q710" s="351">
        <v>86</v>
      </c>
      <c r="R710" s="351">
        <v>0</v>
      </c>
      <c r="S710" s="351">
        <v>5.8</v>
      </c>
      <c r="T710" s="351">
        <v>1.3140000000000001</v>
      </c>
      <c r="U710" s="329">
        <f>IF($N710=$N$4,IFERROR(INDEX(DanhMuc!$E$154:$E$165,MATCH(MID($B710,4,2),DanhMuc!$B$154:$B$165,0)),""),"")</f>
        <v>5800</v>
      </c>
      <c r="V710" s="325"/>
      <c r="W710" s="352" t="str">
        <f>+IF(AND($A710&lt;&gt;"",LEN($B710)&gt;=8,COUNTIF($B$6:$B710,$B710)=1),$W$5,"")</f>
        <v/>
      </c>
      <c r="X710" s="329" t="str">
        <f t="shared" si="56"/>
        <v>SL</v>
      </c>
      <c r="Y710" s="1128" t="s">
        <v>3380</v>
      </c>
      <c r="Z710" s="1128" t="s">
        <v>3381</v>
      </c>
      <c r="AA710" s="1128" t="s">
        <v>3384</v>
      </c>
      <c r="AC710" s="73"/>
    </row>
    <row r="711" spans="1:29" s="20" customFormat="1">
      <c r="A711" s="327" t="str">
        <f>IF(AND($B711&lt;&gt;"",$C711&lt;&gt;""),MAX($A$4:A710)+1,"")</f>
        <v/>
      </c>
      <c r="B711" s="361" t="s">
        <v>615</v>
      </c>
      <c r="C711" s="364"/>
      <c r="D711" s="327">
        <f>IF($B711="","",COUNTIF($B$6:$B711,$B711))</f>
        <v>3</v>
      </c>
      <c r="E711" s="361" t="s">
        <v>377</v>
      </c>
      <c r="F711" s="362" t="s">
        <v>378</v>
      </c>
      <c r="G711" s="361" t="s">
        <v>329</v>
      </c>
      <c r="H711" s="325"/>
      <c r="I711" s="327">
        <v>2</v>
      </c>
      <c r="J711" s="361" t="s">
        <v>815</v>
      </c>
      <c r="K711" s="327" t="s">
        <v>516</v>
      </c>
      <c r="L711" s="348">
        <f t="shared" si="60"/>
        <v>510898.8</v>
      </c>
      <c r="M711" s="355"/>
      <c r="N711" s="355" t="str">
        <f t="shared" si="59"/>
        <v>PR</v>
      </c>
      <c r="O711" s="345" t="s">
        <v>19</v>
      </c>
      <c r="P711" s="325"/>
      <c r="Q711" s="351">
        <v>65</v>
      </c>
      <c r="R711" s="351">
        <v>0</v>
      </c>
      <c r="S711" s="351">
        <v>5.8</v>
      </c>
      <c r="T711" s="351">
        <v>1.6619999999999999</v>
      </c>
      <c r="U711" s="329">
        <f>IF($N711=$N$4,IFERROR(INDEX(DanhMuc!$E$154:$E$165,MATCH(MID($B711,4,2),DanhMuc!$B$154:$B$165,0)),""),"")</f>
        <v>5800</v>
      </c>
      <c r="V711" s="325"/>
      <c r="W711" s="352" t="str">
        <f>+IF(AND($A711&lt;&gt;"",LEN($B711)&gt;=8,COUNTIF($B$6:$B711,$B711)=1),$W$5,"")</f>
        <v/>
      </c>
      <c r="X711" s="329" t="str">
        <f t="shared" si="56"/>
        <v>SL</v>
      </c>
      <c r="Y711" s="1128" t="s">
        <v>3380</v>
      </c>
      <c r="Z711" s="1128" t="s">
        <v>3381</v>
      </c>
      <c r="AA711" s="1128" t="s">
        <v>3384</v>
      </c>
      <c r="AC711" s="73"/>
    </row>
    <row r="712" spans="1:29" s="20" customFormat="1">
      <c r="A712" s="327" t="str">
        <f>IF(AND($B712&lt;&gt;"",$C712&lt;&gt;""),MAX($A$4:A711)+1,"")</f>
        <v/>
      </c>
      <c r="B712" s="361" t="s">
        <v>615</v>
      </c>
      <c r="C712" s="364"/>
      <c r="D712" s="327">
        <f>IF($B712="","",COUNTIF($B$6:$B712,$B712))</f>
        <v>4</v>
      </c>
      <c r="E712" s="361" t="s">
        <v>377</v>
      </c>
      <c r="F712" s="362" t="s">
        <v>378</v>
      </c>
      <c r="G712" s="361" t="s">
        <v>328</v>
      </c>
      <c r="H712" s="325"/>
      <c r="I712" s="327">
        <v>2</v>
      </c>
      <c r="J712" s="361" t="s">
        <v>816</v>
      </c>
      <c r="K712" s="327" t="s">
        <v>516</v>
      </c>
      <c r="L712" s="348">
        <f t="shared" si="60"/>
        <v>510898.8</v>
      </c>
      <c r="M712" s="355"/>
      <c r="N712" s="355" t="str">
        <f t="shared" si="59"/>
        <v>PR</v>
      </c>
      <c r="O712" s="345" t="s">
        <v>19</v>
      </c>
      <c r="P712" s="325"/>
      <c r="Q712" s="351">
        <v>65</v>
      </c>
      <c r="R712" s="351">
        <v>0</v>
      </c>
      <c r="S712" s="351">
        <v>5.8</v>
      </c>
      <c r="T712" s="351">
        <v>1.6619999999999999</v>
      </c>
      <c r="U712" s="329">
        <f>IF($N712=$N$4,IFERROR(INDEX(DanhMuc!$E$154:$E$165,MATCH(MID($B712,4,2),DanhMuc!$B$154:$B$165,0)),""),"")</f>
        <v>5800</v>
      </c>
      <c r="V712" s="325"/>
      <c r="W712" s="352" t="str">
        <f>+IF(AND($A712&lt;&gt;"",LEN($B712)&gt;=8,COUNTIF($B$6:$B712,$B712)=1),$W$5,"")</f>
        <v/>
      </c>
      <c r="X712" s="329" t="str">
        <f t="shared" si="56"/>
        <v>SL</v>
      </c>
      <c r="Y712" s="1128" t="s">
        <v>3380</v>
      </c>
      <c r="Z712" s="1128" t="s">
        <v>3381</v>
      </c>
      <c r="AA712" s="1128" t="s">
        <v>3384</v>
      </c>
      <c r="AC712" s="73"/>
    </row>
    <row r="713" spans="1:29" s="20" customFormat="1">
      <c r="A713" s="327" t="str">
        <f>IF(AND($B713&lt;&gt;"",$C713&lt;&gt;""),MAX($A$4:A712)+1,"")</f>
        <v/>
      </c>
      <c r="B713" s="361" t="s">
        <v>615</v>
      </c>
      <c r="C713" s="364"/>
      <c r="D713" s="327">
        <f>IF($B713="","",COUNTIF($B$6:$B713,$B713))</f>
        <v>5</v>
      </c>
      <c r="E713" s="361" t="s">
        <v>379</v>
      </c>
      <c r="F713" s="362" t="s">
        <v>380</v>
      </c>
      <c r="G713" s="361" t="s">
        <v>329</v>
      </c>
      <c r="H713" s="325"/>
      <c r="I713" s="327">
        <v>2</v>
      </c>
      <c r="J713" s="361" t="s">
        <v>815</v>
      </c>
      <c r="K713" s="327" t="s">
        <v>516</v>
      </c>
      <c r="L713" s="348">
        <f t="shared" si="60"/>
        <v>516124.60000000003</v>
      </c>
      <c r="M713" s="355"/>
      <c r="N713" s="355" t="str">
        <f t="shared" si="59"/>
        <v>PR</v>
      </c>
      <c r="O713" s="345" t="s">
        <v>16</v>
      </c>
      <c r="P713" s="325"/>
      <c r="Q713" s="351">
        <v>65</v>
      </c>
      <c r="R713" s="351">
        <v>0</v>
      </c>
      <c r="S713" s="351">
        <v>5.8</v>
      </c>
      <c r="T713" s="351">
        <v>1.679</v>
      </c>
      <c r="U713" s="329">
        <f>IF($N713=$N$4,IFERROR(INDEX(DanhMuc!$E$154:$E$165,MATCH(MID($B713,4,2),DanhMuc!$B$154:$B$165,0)),""),"")</f>
        <v>5800</v>
      </c>
      <c r="V713" s="325"/>
      <c r="W713" s="352" t="str">
        <f>+IF(AND($A713&lt;&gt;"",LEN($B713)&gt;=8,COUNTIF($B$6:$B713,$B713)=1),$W$5,"")</f>
        <v/>
      </c>
      <c r="X713" s="329" t="str">
        <f t="shared" si="56"/>
        <v>SL</v>
      </c>
      <c r="Y713" s="1128" t="s">
        <v>3380</v>
      </c>
      <c r="Z713" s="1128" t="s">
        <v>3381</v>
      </c>
      <c r="AA713" s="1128" t="s">
        <v>3384</v>
      </c>
      <c r="AC713" s="73"/>
    </row>
    <row r="714" spans="1:29" s="20" customFormat="1">
      <c r="A714" s="327" t="str">
        <f>IF(AND($B714&lt;&gt;"",$C714&lt;&gt;""),MAX($A$4:A713)+1,"")</f>
        <v/>
      </c>
      <c r="B714" s="361" t="s">
        <v>615</v>
      </c>
      <c r="C714" s="364"/>
      <c r="D714" s="327">
        <f>IF($B714="","",COUNTIF($B$6:$B714,$B714))</f>
        <v>6</v>
      </c>
      <c r="E714" s="361" t="s">
        <v>379</v>
      </c>
      <c r="F714" s="362" t="s">
        <v>380</v>
      </c>
      <c r="G714" s="361" t="s">
        <v>328</v>
      </c>
      <c r="H714" s="325"/>
      <c r="I714" s="327">
        <v>2</v>
      </c>
      <c r="J714" s="361" t="s">
        <v>816</v>
      </c>
      <c r="K714" s="327" t="s">
        <v>516</v>
      </c>
      <c r="L714" s="348">
        <f t="shared" si="60"/>
        <v>516124.60000000003</v>
      </c>
      <c r="M714" s="355"/>
      <c r="N714" s="355" t="str">
        <f t="shared" si="59"/>
        <v>PR</v>
      </c>
      <c r="O714" s="345" t="s">
        <v>16</v>
      </c>
      <c r="P714" s="325"/>
      <c r="Q714" s="351">
        <v>65</v>
      </c>
      <c r="R714" s="351">
        <v>0</v>
      </c>
      <c r="S714" s="351">
        <v>5.8</v>
      </c>
      <c r="T714" s="351">
        <v>1.679</v>
      </c>
      <c r="U714" s="329">
        <f>IF($N714=$N$4,IFERROR(INDEX(DanhMuc!$E$154:$E$165,MATCH(MID($B714,4,2),DanhMuc!$B$154:$B$165,0)),""),"")</f>
        <v>5800</v>
      </c>
      <c r="V714" s="325"/>
      <c r="W714" s="352" t="str">
        <f>+IF(AND($A714&lt;&gt;"",LEN($B714)&gt;=8,COUNTIF($B$6:$B714,$B714)=1),$W$5,"")</f>
        <v/>
      </c>
      <c r="X714" s="329" t="str">
        <f t="shared" si="56"/>
        <v>SL</v>
      </c>
      <c r="Y714" s="1128" t="s">
        <v>3380</v>
      </c>
      <c r="Z714" s="1128" t="s">
        <v>3381</v>
      </c>
      <c r="AA714" s="1128" t="s">
        <v>3384</v>
      </c>
      <c r="AC714" s="73"/>
    </row>
    <row r="715" spans="1:29" s="20" customFormat="1">
      <c r="A715" s="327" t="str">
        <f>IF(AND($B715&lt;&gt;"",$C715&lt;&gt;""),MAX($A$4:A714)+1,"")</f>
        <v/>
      </c>
      <c r="B715" s="361" t="s">
        <v>615</v>
      </c>
      <c r="C715" s="364"/>
      <c r="D715" s="327">
        <f>IF($B715="","",COUNTIF($B$6:$B715,$B715))</f>
        <v>7</v>
      </c>
      <c r="E715" s="361" t="s">
        <v>625</v>
      </c>
      <c r="F715" s="362" t="s">
        <v>437</v>
      </c>
      <c r="G715" s="361" t="s">
        <v>329</v>
      </c>
      <c r="H715" s="325"/>
      <c r="I715" s="327">
        <v>1</v>
      </c>
      <c r="J715" s="361" t="s">
        <v>817</v>
      </c>
      <c r="K715" s="327" t="s">
        <v>531</v>
      </c>
      <c r="L715" s="348">
        <f t="shared" si="60"/>
        <v>196857.14285714296</v>
      </c>
      <c r="M715" s="355"/>
      <c r="N715" s="355" t="str">
        <f t="shared" si="59"/>
        <v>PR</v>
      </c>
      <c r="O715" s="347" t="s">
        <v>1475</v>
      </c>
      <c r="P715" s="325"/>
      <c r="Q715" s="351"/>
      <c r="R715" s="351">
        <v>0</v>
      </c>
      <c r="S715" s="351">
        <v>5.8</v>
      </c>
      <c r="T715" s="351">
        <v>0.64039408866995107</v>
      </c>
      <c r="U715" s="329">
        <f>IF($N715=$N$4,IFERROR(INDEX(DanhMuc!$E$154:$E$165,MATCH(MID($B715,4,2),DanhMuc!$B$154:$B$165,0)),""),"")</f>
        <v>5800</v>
      </c>
      <c r="V715" s="325" t="s">
        <v>626</v>
      </c>
      <c r="W715" s="352" t="str">
        <f>+IF(AND($A715&lt;&gt;"",LEN($B715)&gt;=8,COUNTIF($B$6:$B715,$B715)=1),$W$5,"")</f>
        <v/>
      </c>
      <c r="X715" s="329" t="str">
        <f t="shared" si="56"/>
        <v>SL</v>
      </c>
      <c r="Y715" s="1128" t="s">
        <v>3380</v>
      </c>
      <c r="Z715" s="1128" t="s">
        <v>3381</v>
      </c>
      <c r="AA715" s="1128" t="s">
        <v>3384</v>
      </c>
      <c r="AC715" s="73"/>
    </row>
    <row r="716" spans="1:29" s="20" customFormat="1">
      <c r="A716" s="327" t="str">
        <f>IF(AND($B716&lt;&gt;"",$C716&lt;&gt;""),MAX($A$4:A715)+1,"")</f>
        <v/>
      </c>
      <c r="B716" s="628" t="s">
        <v>615</v>
      </c>
      <c r="C716" s="629"/>
      <c r="D716" s="630">
        <f>IF($B716="","",COUNTIF($B$6:$B716,$B716))</f>
        <v>8</v>
      </c>
      <c r="E716" s="628" t="s">
        <v>623</v>
      </c>
      <c r="F716" s="631" t="s">
        <v>865</v>
      </c>
      <c r="G716" s="628" t="s">
        <v>329</v>
      </c>
      <c r="H716" s="325"/>
      <c r="I716" s="327">
        <v>1</v>
      </c>
      <c r="J716" s="361" t="s">
        <v>866</v>
      </c>
      <c r="K716" s="327" t="s">
        <v>531</v>
      </c>
      <c r="L716" s="625">
        <f t="shared" ref="L716" si="61">+$T716*$S716*$L$37</f>
        <v>536931.81818181812</v>
      </c>
      <c r="M716" s="355"/>
      <c r="N716" s="355" t="str">
        <f t="shared" si="59"/>
        <v>PR</v>
      </c>
      <c r="O716" s="347" t="s">
        <v>1476</v>
      </c>
      <c r="P716" s="632"/>
      <c r="Q716" s="627"/>
      <c r="R716" s="627"/>
      <c r="S716" s="627">
        <v>5.8</v>
      </c>
      <c r="T716" s="627">
        <v>0.8816614420062695</v>
      </c>
      <c r="U716" s="329">
        <f>IF($N716=$N$4,IFERROR(INDEX(DanhMuc!$E$154:$E$165,MATCH(MID($B716,4,2),DanhMuc!$B$154:$B$165,0)),""),"")</f>
        <v>5800</v>
      </c>
      <c r="V716" s="325" t="s">
        <v>624</v>
      </c>
      <c r="W716" s="352" t="str">
        <f>+IF(AND($A716&lt;&gt;"",LEN($B716)&gt;=8,COUNTIF($B$6:$B716,$B716)=1),$W$5,"")</f>
        <v/>
      </c>
      <c r="X716" s="329" t="str">
        <f t="shared" si="56"/>
        <v>SL</v>
      </c>
      <c r="Y716" s="1128" t="s">
        <v>3380</v>
      </c>
      <c r="Z716" s="1128" t="s">
        <v>3381</v>
      </c>
      <c r="AA716" s="1128" t="s">
        <v>3384</v>
      </c>
      <c r="AC716" s="73"/>
    </row>
    <row r="717" spans="1:29" s="20" customFormat="1">
      <c r="A717" s="327" t="str">
        <f>IF(AND($B717&lt;&gt;"",$C717&lt;&gt;""),MAX($A$4:A716)+1,"")</f>
        <v/>
      </c>
      <c r="B717" s="361" t="s">
        <v>615</v>
      </c>
      <c r="C717" s="364"/>
      <c r="D717" s="327">
        <f>IF($B717="","",COUNTIF($B$6:$B717,$B717))</f>
        <v>9</v>
      </c>
      <c r="E717" s="361" t="s">
        <v>381</v>
      </c>
      <c r="F717" s="362" t="s">
        <v>896</v>
      </c>
      <c r="G717" s="361" t="s">
        <v>329</v>
      </c>
      <c r="H717" s="325"/>
      <c r="I717" s="327">
        <v>2</v>
      </c>
      <c r="J717" s="361" t="s">
        <v>819</v>
      </c>
      <c r="K717" s="327" t="s">
        <v>516</v>
      </c>
      <c r="L717" s="348">
        <f t="shared" si="60"/>
        <v>89146</v>
      </c>
      <c r="M717" s="355"/>
      <c r="N717" s="355" t="str">
        <f t="shared" si="59"/>
        <v>PR</v>
      </c>
      <c r="O717" s="347">
        <v>7</v>
      </c>
      <c r="P717" s="325"/>
      <c r="Q717" s="351">
        <v>0</v>
      </c>
      <c r="R717" s="351">
        <v>0</v>
      </c>
      <c r="S717" s="351">
        <v>5.8</v>
      </c>
      <c r="T717" s="351">
        <v>0.28999999999999998</v>
      </c>
      <c r="U717" s="329">
        <f>IF($N717=$N$4,IFERROR(INDEX(DanhMuc!$E$154:$E$165,MATCH(MID($B717,4,2),DanhMuc!$B$154:$B$165,0)),""),"")</f>
        <v>5800</v>
      </c>
      <c r="V717" s="325"/>
      <c r="W717" s="352" t="str">
        <f>+IF(AND($A717&lt;&gt;"",LEN($B717)&gt;=8,COUNTIF($B$6:$B717,$B717)=1),$W$5,"")</f>
        <v/>
      </c>
      <c r="X717" s="329" t="str">
        <f t="shared" si="56"/>
        <v>SL</v>
      </c>
      <c r="Y717" s="1128" t="s">
        <v>3380</v>
      </c>
      <c r="Z717" s="1128" t="s">
        <v>3381</v>
      </c>
      <c r="AA717" s="1128" t="s">
        <v>3384</v>
      </c>
      <c r="AC717" s="73"/>
    </row>
    <row r="718" spans="1:29" s="20" customFormat="1">
      <c r="A718" s="327" t="str">
        <f>IF(AND($B718&lt;&gt;"",$C718&lt;&gt;""),MAX($A$4:A717)+1,"")</f>
        <v/>
      </c>
      <c r="B718" s="361" t="s">
        <v>615</v>
      </c>
      <c r="C718" s="364"/>
      <c r="D718" s="327">
        <f>IF($B718="","",COUNTIF($B$6:$B718,$B718))</f>
        <v>10</v>
      </c>
      <c r="E718" s="361" t="s">
        <v>381</v>
      </c>
      <c r="F718" s="362" t="s">
        <v>896</v>
      </c>
      <c r="G718" s="361" t="s">
        <v>328</v>
      </c>
      <c r="H718" s="325"/>
      <c r="I718" s="327">
        <v>2</v>
      </c>
      <c r="J718" s="363" t="s">
        <v>820</v>
      </c>
      <c r="K718" s="327" t="s">
        <v>516</v>
      </c>
      <c r="L718" s="348">
        <f t="shared" si="60"/>
        <v>89146</v>
      </c>
      <c r="M718" s="355"/>
      <c r="N718" s="355" t="str">
        <f t="shared" si="59"/>
        <v>PR</v>
      </c>
      <c r="O718" s="347">
        <v>7</v>
      </c>
      <c r="P718" s="325"/>
      <c r="Q718" s="351">
        <v>0</v>
      </c>
      <c r="R718" s="351">
        <v>0</v>
      </c>
      <c r="S718" s="351">
        <v>5.8</v>
      </c>
      <c r="T718" s="351">
        <v>0.28999999999999998</v>
      </c>
      <c r="U718" s="329">
        <f>IF($N718=$N$4,IFERROR(INDEX(DanhMuc!$E$154:$E$165,MATCH(MID($B718,4,2),DanhMuc!$B$154:$B$165,0)),""),"")</f>
        <v>5800</v>
      </c>
      <c r="V718" s="325"/>
      <c r="W718" s="352" t="str">
        <f>+IF(AND($A718&lt;&gt;"",LEN($B718)&gt;=8,COUNTIF($B$6:$B718,$B718)=1),$W$5,"")</f>
        <v/>
      </c>
      <c r="X718" s="329" t="str">
        <f t="shared" si="56"/>
        <v>SL</v>
      </c>
      <c r="Y718" s="1128" t="s">
        <v>3380</v>
      </c>
      <c r="Z718" s="1128" t="s">
        <v>3381</v>
      </c>
      <c r="AA718" s="1128" t="s">
        <v>3384</v>
      </c>
      <c r="AC718" s="73"/>
    </row>
    <row r="719" spans="1:29" s="20" customFormat="1">
      <c r="A719" s="327" t="str">
        <f>IF(AND($B719&lt;&gt;"",$C719&lt;&gt;""),MAX($A$4:A718)+1,"")</f>
        <v/>
      </c>
      <c r="B719" s="361" t="s">
        <v>615</v>
      </c>
      <c r="C719" s="364"/>
      <c r="D719" s="327">
        <f>IF($B719="","",COUNTIF($B$6:$B719,$B719))</f>
        <v>11</v>
      </c>
      <c r="E719" s="361" t="s">
        <v>382</v>
      </c>
      <c r="F719" s="362" t="s">
        <v>897</v>
      </c>
      <c r="G719" s="361" t="s">
        <v>329</v>
      </c>
      <c r="H719" s="325"/>
      <c r="I719" s="327">
        <v>2</v>
      </c>
      <c r="J719" s="361" t="s">
        <v>819</v>
      </c>
      <c r="K719" s="327" t="s">
        <v>516</v>
      </c>
      <c r="L719" s="348">
        <f t="shared" si="60"/>
        <v>82075.8</v>
      </c>
      <c r="M719" s="355"/>
      <c r="N719" s="355" t="str">
        <f t="shared" si="59"/>
        <v>PR</v>
      </c>
      <c r="O719" s="347">
        <v>11</v>
      </c>
      <c r="P719" s="325"/>
      <c r="Q719" s="351">
        <v>0</v>
      </c>
      <c r="R719" s="351">
        <v>0</v>
      </c>
      <c r="S719" s="351">
        <v>5.8</v>
      </c>
      <c r="T719" s="351">
        <v>0.26700000000000002</v>
      </c>
      <c r="U719" s="329">
        <f>IF($N719=$N$4,IFERROR(INDEX(DanhMuc!$E$154:$E$165,MATCH(MID($B719,4,2),DanhMuc!$B$154:$B$165,0)),""),"")</f>
        <v>5800</v>
      </c>
      <c r="V719" s="325"/>
      <c r="W719" s="352" t="str">
        <f>+IF(AND($A719&lt;&gt;"",LEN($B719)&gt;=8,COUNTIF($B$6:$B719,$B719)=1),$W$5,"")</f>
        <v/>
      </c>
      <c r="X719" s="329" t="str">
        <f t="shared" si="56"/>
        <v>SL</v>
      </c>
      <c r="Y719" s="1128" t="s">
        <v>3380</v>
      </c>
      <c r="Z719" s="1128" t="s">
        <v>3381</v>
      </c>
      <c r="AA719" s="1128" t="s">
        <v>3384</v>
      </c>
      <c r="AC719" s="73"/>
    </row>
    <row r="720" spans="1:29" s="20" customFormat="1">
      <c r="A720" s="327" t="str">
        <f>IF(AND($B720&lt;&gt;"",$C720&lt;&gt;""),MAX($A$4:A719)+1,"")</f>
        <v/>
      </c>
      <c r="B720" s="361" t="s">
        <v>615</v>
      </c>
      <c r="C720" s="364"/>
      <c r="D720" s="327">
        <f>IF($B720="","",COUNTIF($B$6:$B720,$B720))</f>
        <v>12</v>
      </c>
      <c r="E720" s="361" t="s">
        <v>382</v>
      </c>
      <c r="F720" s="362" t="s">
        <v>897</v>
      </c>
      <c r="G720" s="361" t="s">
        <v>328</v>
      </c>
      <c r="H720" s="325"/>
      <c r="I720" s="327">
        <v>2</v>
      </c>
      <c r="J720" s="363" t="s">
        <v>820</v>
      </c>
      <c r="K720" s="327" t="s">
        <v>516</v>
      </c>
      <c r="L720" s="348">
        <f t="shared" si="60"/>
        <v>82075.8</v>
      </c>
      <c r="M720" s="355"/>
      <c r="N720" s="355" t="str">
        <f t="shared" ref="N720:N1320" si="62">+$N$4</f>
        <v>PR</v>
      </c>
      <c r="O720" s="347">
        <v>11</v>
      </c>
      <c r="P720" s="325"/>
      <c r="Q720" s="351">
        <v>0</v>
      </c>
      <c r="R720" s="351">
        <v>0</v>
      </c>
      <c r="S720" s="351">
        <v>5.8</v>
      </c>
      <c r="T720" s="351">
        <v>0.26700000000000002</v>
      </c>
      <c r="U720" s="329">
        <f>IF($N720=$N$4,IFERROR(INDEX(DanhMuc!$E$154:$E$165,MATCH(MID($B720,4,2),DanhMuc!$B$154:$B$165,0)),""),"")</f>
        <v>5800</v>
      </c>
      <c r="V720" s="325"/>
      <c r="W720" s="352" t="str">
        <f>+IF(AND($A720&lt;&gt;"",LEN($B720)&gt;=8,COUNTIF($B$6:$B720,$B720)=1),$W$5,"")</f>
        <v/>
      </c>
      <c r="X720" s="329" t="str">
        <f t="shared" si="56"/>
        <v>SL</v>
      </c>
      <c r="Y720" s="1128" t="s">
        <v>3380</v>
      </c>
      <c r="Z720" s="1128" t="s">
        <v>3381</v>
      </c>
      <c r="AA720" s="1128" t="s">
        <v>3384</v>
      </c>
      <c r="AC720" s="73"/>
    </row>
    <row r="721" spans="1:29" s="20" customFormat="1">
      <c r="A721" s="327" t="str">
        <f>IF(AND($B721&lt;&gt;"",$C721&lt;&gt;""),MAX($A$4:A720)+1,"")</f>
        <v/>
      </c>
      <c r="B721" s="361" t="s">
        <v>615</v>
      </c>
      <c r="C721" s="364"/>
      <c r="D721" s="327">
        <f>IF($B721="","",COUNTIF($B$6:$B721,$B721))</f>
        <v>13</v>
      </c>
      <c r="E721" s="361" t="s">
        <v>895</v>
      </c>
      <c r="F721" s="362" t="s">
        <v>2065</v>
      </c>
      <c r="G721" s="361" t="s">
        <v>329</v>
      </c>
      <c r="H721" s="325"/>
      <c r="I721" s="327">
        <v>2</v>
      </c>
      <c r="J721" s="361" t="s">
        <v>819</v>
      </c>
      <c r="K721" s="327" t="s">
        <v>516</v>
      </c>
      <c r="L721" s="348">
        <f t="shared" si="60"/>
        <v>66091</v>
      </c>
      <c r="M721" s="355"/>
      <c r="N721" s="355" t="str">
        <f t="shared" si="62"/>
        <v>PR</v>
      </c>
      <c r="O721" s="347">
        <v>19</v>
      </c>
      <c r="P721" s="325"/>
      <c r="Q721" s="351">
        <v>0</v>
      </c>
      <c r="R721" s="351">
        <v>0</v>
      </c>
      <c r="S721" s="351">
        <v>5.8</v>
      </c>
      <c r="T721" s="351">
        <v>0.215</v>
      </c>
      <c r="U721" s="329">
        <f>IF($N721=$N$4,IFERROR(INDEX(DanhMuc!$E$154:$E$165,MATCH(MID($B721,4,2),DanhMuc!$B$154:$B$165,0)),""),"")</f>
        <v>5800</v>
      </c>
      <c r="V721" s="325"/>
      <c r="W721" s="352" t="str">
        <f>+IF(AND($A721&lt;&gt;"",LEN($B721)&gt;=8,COUNTIF($B$6:$B721,$B721)=1),$W$5,"")</f>
        <v/>
      </c>
      <c r="X721" s="329" t="str">
        <f t="shared" si="56"/>
        <v>SL</v>
      </c>
      <c r="Y721" s="1128" t="s">
        <v>3380</v>
      </c>
      <c r="Z721" s="1128" t="s">
        <v>3381</v>
      </c>
      <c r="AA721" s="1128" t="s">
        <v>3384</v>
      </c>
      <c r="AC721" s="73"/>
    </row>
    <row r="722" spans="1:29" s="20" customFormat="1">
      <c r="A722" s="327" t="str">
        <f>IF(AND($B722&lt;&gt;"",$C722&lt;&gt;""),MAX($A$4:A721)+1,"")</f>
        <v/>
      </c>
      <c r="B722" s="361" t="s">
        <v>615</v>
      </c>
      <c r="C722" s="364"/>
      <c r="D722" s="327">
        <f>IF($B722="","",COUNTIF($B$6:$B722,$B722))</f>
        <v>14</v>
      </c>
      <c r="E722" s="361" t="s">
        <v>895</v>
      </c>
      <c r="F722" s="362" t="s">
        <v>2065</v>
      </c>
      <c r="G722" s="361" t="s">
        <v>328</v>
      </c>
      <c r="H722" s="325"/>
      <c r="I722" s="327">
        <v>2</v>
      </c>
      <c r="J722" s="363" t="s">
        <v>820</v>
      </c>
      <c r="K722" s="327" t="s">
        <v>516</v>
      </c>
      <c r="L722" s="348">
        <f t="shared" si="60"/>
        <v>66091</v>
      </c>
      <c r="M722" s="355"/>
      <c r="N722" s="355" t="str">
        <f t="shared" si="62"/>
        <v>PR</v>
      </c>
      <c r="O722" s="347">
        <v>19</v>
      </c>
      <c r="P722" s="325"/>
      <c r="Q722" s="351">
        <v>0</v>
      </c>
      <c r="R722" s="351">
        <v>0</v>
      </c>
      <c r="S722" s="351">
        <v>5.8</v>
      </c>
      <c r="T722" s="351">
        <v>0.215</v>
      </c>
      <c r="U722" s="329">
        <f>IF($N722=$N$4,IFERROR(INDEX(DanhMuc!$E$154:$E$165,MATCH(MID($B722,4,2),DanhMuc!$B$154:$B$165,0)),""),"")</f>
        <v>5800</v>
      </c>
      <c r="V722" s="325"/>
      <c r="W722" s="352" t="str">
        <f>+IF(AND($A722&lt;&gt;"",LEN($B722)&gt;=8,COUNTIF($B$6:$B722,$B722)=1),$W$5,"")</f>
        <v/>
      </c>
      <c r="X722" s="329" t="str">
        <f t="shared" si="56"/>
        <v>SL</v>
      </c>
      <c r="Y722" s="1128" t="s">
        <v>3380</v>
      </c>
      <c r="Z722" s="1128" t="s">
        <v>3381</v>
      </c>
      <c r="AA722" s="1128" t="s">
        <v>3384</v>
      </c>
      <c r="AC722" s="73"/>
    </row>
    <row r="723" spans="1:29" s="20" customFormat="1">
      <c r="A723" s="327" t="str">
        <f>IF(AND($B723&lt;&gt;"",$C723&lt;&gt;""),MAX($A$4:A722)+1,"")</f>
        <v/>
      </c>
      <c r="B723" s="361" t="s">
        <v>615</v>
      </c>
      <c r="C723" s="364"/>
      <c r="D723" s="327">
        <f>IF($B723="","",COUNTIF($B$6:$B723,$B723))</f>
        <v>15</v>
      </c>
      <c r="E723" s="361" t="s">
        <v>2294</v>
      </c>
      <c r="F723" s="362" t="s">
        <v>612</v>
      </c>
      <c r="G723" s="361" t="s">
        <v>329</v>
      </c>
      <c r="H723" s="328" t="s">
        <v>536</v>
      </c>
      <c r="I723" s="327">
        <v>1</v>
      </c>
      <c r="J723" s="361" t="s">
        <v>1149</v>
      </c>
      <c r="K723" s="327" t="s">
        <v>531</v>
      </c>
      <c r="L723" s="348">
        <f t="shared" si="60"/>
        <v>234000</v>
      </c>
      <c r="M723" s="355"/>
      <c r="N723" s="355" t="str">
        <f t="shared" si="62"/>
        <v>PR</v>
      </c>
      <c r="O723" s="345"/>
      <c r="P723" s="325"/>
      <c r="Q723" s="351">
        <v>86</v>
      </c>
      <c r="R723" s="351">
        <v>1.5</v>
      </c>
      <c r="S723" s="351">
        <v>5.8</v>
      </c>
      <c r="T723" s="351">
        <f>7.8/S723</f>
        <v>1.3448275862068966</v>
      </c>
      <c r="U723" s="329">
        <f>IF($N723=$N$4,IFERROR(INDEX(DanhMuc!$E$154:$E$165,MATCH(MID($B723,4,2),DanhMuc!$B$154:$B$165,0)),""),"")</f>
        <v>5800</v>
      </c>
      <c r="V723" s="325"/>
      <c r="W723" s="352" t="str">
        <f>+IF(AND($A723&lt;&gt;"",LEN($B723)&gt;=8,COUNTIF($B$6:$B723,$B723)=1),$W$5,"")</f>
        <v/>
      </c>
      <c r="X723" s="329" t="str">
        <f t="shared" si="56"/>
        <v>TSL</v>
      </c>
      <c r="Y723" s="1128" t="s">
        <v>3380</v>
      </c>
      <c r="Z723" s="1128" t="s">
        <v>3381</v>
      </c>
      <c r="AA723" s="1128" t="s">
        <v>3384</v>
      </c>
      <c r="AC723" s="73"/>
    </row>
    <row r="724" spans="1:29" s="20" customFormat="1">
      <c r="A724" s="327" t="str">
        <f>IF(AND($B724&lt;&gt;"",$C724&lt;&gt;""),MAX($A$4:A723)+1,"")</f>
        <v/>
      </c>
      <c r="B724" s="361" t="s">
        <v>615</v>
      </c>
      <c r="C724" s="364"/>
      <c r="D724" s="327">
        <f>IF($B724="","",COUNTIF($B$6:$B724,$B724))</f>
        <v>16</v>
      </c>
      <c r="E724" s="361" t="s">
        <v>2294</v>
      </c>
      <c r="F724" s="362" t="s">
        <v>612</v>
      </c>
      <c r="G724" s="361" t="s">
        <v>328</v>
      </c>
      <c r="H724" s="328" t="s">
        <v>536</v>
      </c>
      <c r="I724" s="327">
        <v>2</v>
      </c>
      <c r="J724" s="361" t="s">
        <v>1150</v>
      </c>
      <c r="K724" s="327" t="s">
        <v>531</v>
      </c>
      <c r="L724" s="348">
        <f t="shared" si="60"/>
        <v>234000</v>
      </c>
      <c r="M724" s="355"/>
      <c r="N724" s="355" t="str">
        <f t="shared" si="62"/>
        <v>PR</v>
      </c>
      <c r="O724" s="345"/>
      <c r="P724" s="325"/>
      <c r="Q724" s="351">
        <v>86</v>
      </c>
      <c r="R724" s="351">
        <v>1.5</v>
      </c>
      <c r="S724" s="351">
        <v>5.8</v>
      </c>
      <c r="T724" s="351">
        <f>7.8/S724</f>
        <v>1.3448275862068966</v>
      </c>
      <c r="U724" s="329">
        <f>IF($N724=$N$4,IFERROR(INDEX(DanhMuc!$E$154:$E$165,MATCH(MID($B724,4,2),DanhMuc!$B$154:$B$165,0)),""),"")</f>
        <v>5800</v>
      </c>
      <c r="V724" s="325"/>
      <c r="W724" s="352" t="str">
        <f>+IF(AND($A724&lt;&gt;"",LEN($B724)&gt;=8,COUNTIF($B$6:$B724,$B724)=1),$W$5,"")</f>
        <v/>
      </c>
      <c r="X724" s="329" t="str">
        <f t="shared" si="56"/>
        <v>TSL</v>
      </c>
      <c r="Y724" s="1128" t="s">
        <v>3380</v>
      </c>
      <c r="Z724" s="1128" t="s">
        <v>3381</v>
      </c>
      <c r="AA724" s="1128" t="s">
        <v>3384</v>
      </c>
      <c r="AC724" s="73"/>
    </row>
    <row r="725" spans="1:29" s="20" customFormat="1">
      <c r="A725" s="327" t="str">
        <f>IF(AND($B725&lt;&gt;"",$C725&lt;&gt;""),MAX($A$4:A724)+1,"")</f>
        <v/>
      </c>
      <c r="B725" s="361" t="s">
        <v>615</v>
      </c>
      <c r="C725" s="364"/>
      <c r="D725" s="327">
        <f>IF($B725="","",COUNTIF($B$6:$B725,$B725))</f>
        <v>17</v>
      </c>
      <c r="E725" s="361" t="s">
        <v>2296</v>
      </c>
      <c r="F725" s="362" t="s">
        <v>613</v>
      </c>
      <c r="G725" s="361" t="s">
        <v>329</v>
      </c>
      <c r="H725" s="328" t="s">
        <v>536</v>
      </c>
      <c r="I725" s="327">
        <v>2</v>
      </c>
      <c r="J725" s="361" t="s">
        <v>1298</v>
      </c>
      <c r="K725" s="327" t="s">
        <v>531</v>
      </c>
      <c r="L725" s="348">
        <f t="shared" si="60"/>
        <v>354000</v>
      </c>
      <c r="M725" s="355"/>
      <c r="N725" s="355" t="str">
        <f t="shared" si="62"/>
        <v>PR</v>
      </c>
      <c r="O725" s="345"/>
      <c r="P725" s="325"/>
      <c r="Q725" s="351">
        <v>130</v>
      </c>
      <c r="R725" s="351">
        <v>1.5</v>
      </c>
      <c r="S725" s="351">
        <v>5.8</v>
      </c>
      <c r="T725" s="351">
        <f>11.8/S725</f>
        <v>2.0344827586206899</v>
      </c>
      <c r="U725" s="329">
        <f>IF($N725=$N$4,IFERROR(INDEX(DanhMuc!$E$154:$E$165,MATCH(MID($B725,4,2),DanhMuc!$B$154:$B$165,0)),""),"")</f>
        <v>5800</v>
      </c>
      <c r="V725" s="325"/>
      <c r="W725" s="352" t="str">
        <f>+IF(AND($A725&lt;&gt;"",LEN($B725)&gt;=8,COUNTIF($B$6:$B725,$B725)=1),$W$5,"")</f>
        <v/>
      </c>
      <c r="X725" s="329" t="str">
        <f t="shared" si="56"/>
        <v>TSL</v>
      </c>
      <c r="Y725" s="1128" t="s">
        <v>3380</v>
      </c>
      <c r="Z725" s="1128" t="s">
        <v>3381</v>
      </c>
      <c r="AA725" s="1128" t="s">
        <v>3384</v>
      </c>
      <c r="AC725" s="73"/>
    </row>
    <row r="726" spans="1:29" s="20" customFormat="1">
      <c r="A726" s="327" t="str">
        <f>IF(AND($B726&lt;&gt;"",$C726&lt;&gt;""),MAX($A$4:A725)+1,"")</f>
        <v/>
      </c>
      <c r="B726" s="361" t="s">
        <v>615</v>
      </c>
      <c r="C726" s="364"/>
      <c r="D726" s="327">
        <f>IF($B726="","",COUNTIF($B$6:$B726,$B726))</f>
        <v>18</v>
      </c>
      <c r="E726" s="361" t="s">
        <v>2296</v>
      </c>
      <c r="F726" s="362" t="s">
        <v>613</v>
      </c>
      <c r="G726" s="361" t="s">
        <v>328</v>
      </c>
      <c r="H726" s="328" t="s">
        <v>536</v>
      </c>
      <c r="I726" s="327">
        <v>2</v>
      </c>
      <c r="J726" s="361" t="s">
        <v>1296</v>
      </c>
      <c r="K726" s="327" t="s">
        <v>531</v>
      </c>
      <c r="L726" s="348">
        <f t="shared" si="60"/>
        <v>354000</v>
      </c>
      <c r="M726" s="355"/>
      <c r="N726" s="355" t="str">
        <f t="shared" si="62"/>
        <v>PR</v>
      </c>
      <c r="O726" s="345"/>
      <c r="P726" s="325"/>
      <c r="Q726" s="351">
        <v>130</v>
      </c>
      <c r="R726" s="351">
        <v>1.5</v>
      </c>
      <c r="S726" s="351">
        <v>5.8</v>
      </c>
      <c r="T726" s="351">
        <f>11.8/S726</f>
        <v>2.0344827586206899</v>
      </c>
      <c r="U726" s="329">
        <f>IF($N726=$N$4,IFERROR(INDEX(DanhMuc!$E$154:$E$165,MATCH(MID($B726,4,2),DanhMuc!$B$154:$B$165,0)),""),"")</f>
        <v>5800</v>
      </c>
      <c r="V726" s="325"/>
      <c r="W726" s="352" t="str">
        <f>+IF(AND($A726&lt;&gt;"",LEN($B726)&gt;=8,COUNTIF($B$6:$B726,$B726)=1),$W$5,"")</f>
        <v/>
      </c>
      <c r="X726" s="329" t="str">
        <f t="shared" si="56"/>
        <v>TSL</v>
      </c>
      <c r="Y726" s="1128" t="s">
        <v>3380</v>
      </c>
      <c r="Z726" s="1128" t="s">
        <v>3381</v>
      </c>
      <c r="AA726" s="1128" t="s">
        <v>3384</v>
      </c>
      <c r="AC726" s="73"/>
    </row>
    <row r="727" spans="1:29" s="20" customFormat="1" ht="26">
      <c r="A727" s="327">
        <f>IF(AND($B727&lt;&gt;"",$C727&lt;&gt;""),MAX($A$4:A726)+1,"")</f>
        <v>62</v>
      </c>
      <c r="B727" s="359" t="s">
        <v>821</v>
      </c>
      <c r="C727" s="370" t="s">
        <v>1557</v>
      </c>
      <c r="D727" s="327">
        <f>IF($B727="","",COUNTIF($B$6:$B727,$B727))</f>
        <v>1</v>
      </c>
      <c r="E727" s="363" t="s">
        <v>617</v>
      </c>
      <c r="F727" s="362" t="s">
        <v>618</v>
      </c>
      <c r="G727" s="361" t="s">
        <v>329</v>
      </c>
      <c r="H727" s="325"/>
      <c r="I727" s="327">
        <v>1</v>
      </c>
      <c r="J727" s="361" t="s">
        <v>762</v>
      </c>
      <c r="K727" s="327" t="s">
        <v>516</v>
      </c>
      <c r="L727" s="348">
        <f t="shared" si="60"/>
        <v>315084.99999999994</v>
      </c>
      <c r="M727" s="355"/>
      <c r="N727" s="355" t="str">
        <f t="shared" si="62"/>
        <v>PR</v>
      </c>
      <c r="O727" s="345"/>
      <c r="P727" s="325"/>
      <c r="Q727" s="351">
        <v>86</v>
      </c>
      <c r="R727" s="351">
        <v>0</v>
      </c>
      <c r="S727" s="351">
        <v>5.8</v>
      </c>
      <c r="T727" s="351">
        <v>1.0249999999999999</v>
      </c>
      <c r="U727" s="329">
        <f>IF($N727=$N$4,IFERROR(INDEX(DanhMuc!$E$154:$E$165,MATCH(MID($B727,4,2),DanhMuc!$B$154:$B$165,0)),""),"")</f>
        <v>5800</v>
      </c>
      <c r="V727" s="325"/>
      <c r="W727" s="352" t="str">
        <f>+IF(AND($A727&lt;&gt;"",LEN($B727)&gt;=8,COUNTIF($B$6:$B727,$B727)=1),$W$5,"")</f>
        <v>DMCua</v>
      </c>
      <c r="X727" s="329" t="str">
        <f t="shared" si="56"/>
        <v>SL</v>
      </c>
      <c r="Y727" s="1128" t="s">
        <v>3380</v>
      </c>
      <c r="Z727" s="1128" t="s">
        <v>3381</v>
      </c>
      <c r="AA727" s="1128" t="s">
        <v>3384</v>
      </c>
      <c r="AC727" s="73"/>
    </row>
    <row r="728" spans="1:29" s="20" customFormat="1">
      <c r="A728" s="327" t="str">
        <f>IF(AND($B728&lt;&gt;"",$C728&lt;&gt;""),MAX($A$4:A727)+1,"")</f>
        <v/>
      </c>
      <c r="B728" s="361" t="s">
        <v>821</v>
      </c>
      <c r="C728" s="364"/>
      <c r="D728" s="327">
        <f>IF($B728="","",COUNTIF($B$6:$B728,$B728))</f>
        <v>2</v>
      </c>
      <c r="E728" s="363" t="s">
        <v>617</v>
      </c>
      <c r="F728" s="362" t="s">
        <v>618</v>
      </c>
      <c r="G728" s="361" t="s">
        <v>328</v>
      </c>
      <c r="H728" s="325"/>
      <c r="I728" s="327">
        <v>2</v>
      </c>
      <c r="J728" s="361" t="s">
        <v>814</v>
      </c>
      <c r="K728" s="327" t="s">
        <v>1141</v>
      </c>
      <c r="L728" s="348">
        <f t="shared" si="60"/>
        <v>315084.99999999994</v>
      </c>
      <c r="M728" s="355"/>
      <c r="N728" s="355" t="str">
        <f t="shared" si="62"/>
        <v>PR</v>
      </c>
      <c r="O728" s="347"/>
      <c r="P728" s="325"/>
      <c r="Q728" s="351">
        <v>86</v>
      </c>
      <c r="R728" s="351">
        <v>0</v>
      </c>
      <c r="S728" s="351">
        <v>5.8</v>
      </c>
      <c r="T728" s="351">
        <v>1.0249999999999999</v>
      </c>
      <c r="U728" s="329">
        <f>IF($N728=$N$4,IFERROR(INDEX(DanhMuc!$E$154:$E$165,MATCH(MID($B728,4,2),DanhMuc!$B$154:$B$165,0)),""),"")</f>
        <v>5800</v>
      </c>
      <c r="V728" s="325"/>
      <c r="W728" s="352" t="str">
        <f>+IF(AND($A728&lt;&gt;"",LEN($B728)&gt;=8,COUNTIF($B$6:$B728,$B728)=1),$W$5,"")</f>
        <v/>
      </c>
      <c r="X728" s="329" t="str">
        <f t="shared" si="56"/>
        <v>SL</v>
      </c>
      <c r="Y728" s="1128" t="s">
        <v>3380</v>
      </c>
      <c r="Z728" s="1128" t="s">
        <v>3381</v>
      </c>
      <c r="AA728" s="1128" t="s">
        <v>3384</v>
      </c>
      <c r="AC728" s="73"/>
    </row>
    <row r="729" spans="1:29" s="20" customFormat="1">
      <c r="A729" s="327" t="str">
        <f>IF(AND($B729&lt;&gt;"",$C729&lt;&gt;""),MAX($A$4:A728)+1,"")</f>
        <v/>
      </c>
      <c r="B729" s="361" t="s">
        <v>821</v>
      </c>
      <c r="C729" s="364"/>
      <c r="D729" s="327">
        <f>IF($B729="","",COUNTIF($B$6:$B729,$B729))</f>
        <v>3</v>
      </c>
      <c r="E729" s="361" t="s">
        <v>377</v>
      </c>
      <c r="F729" s="362" t="s">
        <v>378</v>
      </c>
      <c r="G729" s="361" t="s">
        <v>329</v>
      </c>
      <c r="H729" s="325"/>
      <c r="I729" s="327">
        <v>2</v>
      </c>
      <c r="J729" s="361" t="s">
        <v>828</v>
      </c>
      <c r="K729" s="327" t="s">
        <v>516</v>
      </c>
      <c r="L729" s="348">
        <f t="shared" si="60"/>
        <v>510898.8</v>
      </c>
      <c r="M729" s="355"/>
      <c r="N729" s="355" t="str">
        <f t="shared" si="62"/>
        <v>PR</v>
      </c>
      <c r="O729" s="345" t="s">
        <v>19</v>
      </c>
      <c r="P729" s="325"/>
      <c r="Q729" s="351">
        <v>65</v>
      </c>
      <c r="R729" s="351">
        <v>0</v>
      </c>
      <c r="S729" s="351">
        <v>5.8</v>
      </c>
      <c r="T729" s="351">
        <v>1.6619999999999999</v>
      </c>
      <c r="U729" s="329">
        <f>IF($N729=$N$4,IFERROR(INDEX(DanhMuc!$E$154:$E$165,MATCH(MID($B729,4,2),DanhMuc!$B$154:$B$165,0)),""),"")</f>
        <v>5800</v>
      </c>
      <c r="V729" s="325"/>
      <c r="W729" s="352" t="str">
        <f>+IF(AND($A729&lt;&gt;"",LEN($B729)&gt;=8,COUNTIF($B$6:$B729,$B729)=1),$W$5,"")</f>
        <v/>
      </c>
      <c r="X729" s="329" t="str">
        <f t="shared" si="56"/>
        <v>SL</v>
      </c>
      <c r="Y729" s="1128" t="s">
        <v>3380</v>
      </c>
      <c r="Z729" s="1128" t="s">
        <v>3381</v>
      </c>
      <c r="AA729" s="1128" t="s">
        <v>3384</v>
      </c>
      <c r="AC729" s="73"/>
    </row>
    <row r="730" spans="1:29" s="20" customFormat="1">
      <c r="A730" s="327" t="str">
        <f>IF(AND($B730&lt;&gt;"",$C730&lt;&gt;""),MAX($A$4:A729)+1,"")</f>
        <v/>
      </c>
      <c r="B730" s="361" t="s">
        <v>821</v>
      </c>
      <c r="C730" s="364"/>
      <c r="D730" s="327">
        <f>IF($B730="","",COUNTIF($B$6:$B730,$B730))</f>
        <v>4</v>
      </c>
      <c r="E730" s="361" t="s">
        <v>377</v>
      </c>
      <c r="F730" s="362" t="s">
        <v>378</v>
      </c>
      <c r="G730" s="361" t="s">
        <v>328</v>
      </c>
      <c r="H730" s="325"/>
      <c r="I730" s="327">
        <v>2</v>
      </c>
      <c r="J730" s="361" t="s">
        <v>829</v>
      </c>
      <c r="K730" s="327" t="s">
        <v>516</v>
      </c>
      <c r="L730" s="348">
        <f t="shared" si="60"/>
        <v>510898.8</v>
      </c>
      <c r="M730" s="355"/>
      <c r="N730" s="355" t="str">
        <f t="shared" si="62"/>
        <v>PR</v>
      </c>
      <c r="O730" s="345" t="s">
        <v>19</v>
      </c>
      <c r="P730" s="325"/>
      <c r="Q730" s="351">
        <v>65</v>
      </c>
      <c r="R730" s="351">
        <v>0</v>
      </c>
      <c r="S730" s="351">
        <v>5.8</v>
      </c>
      <c r="T730" s="351">
        <v>1.6619999999999999</v>
      </c>
      <c r="U730" s="329">
        <f>IF($N730=$N$4,IFERROR(INDEX(DanhMuc!$E$154:$E$165,MATCH(MID($B730,4,2),DanhMuc!$B$154:$B$165,0)),""),"")</f>
        <v>5800</v>
      </c>
      <c r="V730" s="325"/>
      <c r="W730" s="352" t="str">
        <f>+IF(AND($A730&lt;&gt;"",LEN($B730)&gt;=8,COUNTIF($B$6:$B730,$B730)=1),$W$5,"")</f>
        <v/>
      </c>
      <c r="X730" s="329" t="str">
        <f t="shared" si="56"/>
        <v>SL</v>
      </c>
      <c r="Y730" s="1128" t="s">
        <v>3380</v>
      </c>
      <c r="Z730" s="1128" t="s">
        <v>3381</v>
      </c>
      <c r="AA730" s="1128" t="s">
        <v>3384</v>
      </c>
      <c r="AC730" s="73"/>
    </row>
    <row r="731" spans="1:29" s="20" customFormat="1">
      <c r="A731" s="327" t="str">
        <f>IF(AND($B731&lt;&gt;"",$C731&lt;&gt;""),MAX($A$4:A730)+1,"")</f>
        <v/>
      </c>
      <c r="B731" s="361" t="s">
        <v>821</v>
      </c>
      <c r="C731" s="364"/>
      <c r="D731" s="327">
        <f>IF($B731="","",COUNTIF($B$6:$B731,$B731))</f>
        <v>5</v>
      </c>
      <c r="E731" s="361" t="s">
        <v>379</v>
      </c>
      <c r="F731" s="362" t="s">
        <v>380</v>
      </c>
      <c r="G731" s="361" t="s">
        <v>329</v>
      </c>
      <c r="H731" s="325"/>
      <c r="I731" s="327">
        <v>2</v>
      </c>
      <c r="J731" s="361" t="s">
        <v>828</v>
      </c>
      <c r="K731" s="327" t="s">
        <v>516</v>
      </c>
      <c r="L731" s="348">
        <f t="shared" si="60"/>
        <v>516124.60000000003</v>
      </c>
      <c r="M731" s="355"/>
      <c r="N731" s="355" t="str">
        <f t="shared" si="62"/>
        <v>PR</v>
      </c>
      <c r="O731" s="345" t="s">
        <v>16</v>
      </c>
      <c r="P731" s="325"/>
      <c r="Q731" s="351">
        <v>65</v>
      </c>
      <c r="R731" s="351">
        <v>0</v>
      </c>
      <c r="S731" s="351">
        <v>5.8</v>
      </c>
      <c r="T731" s="351">
        <v>1.679</v>
      </c>
      <c r="U731" s="329">
        <f>IF($N731=$N$4,IFERROR(INDEX(DanhMuc!$E$154:$E$165,MATCH(MID($B731,4,2),DanhMuc!$B$154:$B$165,0)),""),"")</f>
        <v>5800</v>
      </c>
      <c r="V731" s="325"/>
      <c r="W731" s="352" t="str">
        <f>+IF(AND($A731&lt;&gt;"",LEN($B731)&gt;=8,COUNTIF($B$6:$B731,$B731)=1),$W$5,"")</f>
        <v/>
      </c>
      <c r="X731" s="329" t="str">
        <f t="shared" si="56"/>
        <v>SL</v>
      </c>
      <c r="Y731" s="1128" t="s">
        <v>3380</v>
      </c>
      <c r="Z731" s="1128" t="s">
        <v>3381</v>
      </c>
      <c r="AA731" s="1128" t="s">
        <v>3384</v>
      </c>
      <c r="AC731" s="73"/>
    </row>
    <row r="732" spans="1:29" s="20" customFormat="1">
      <c r="A732" s="327" t="str">
        <f>IF(AND($B732&lt;&gt;"",$C732&lt;&gt;""),MAX($A$4:A731)+1,"")</f>
        <v/>
      </c>
      <c r="B732" s="361" t="s">
        <v>821</v>
      </c>
      <c r="C732" s="364"/>
      <c r="D732" s="327">
        <f>IF($B732="","",COUNTIF($B$6:$B732,$B732))</f>
        <v>6</v>
      </c>
      <c r="E732" s="361" t="s">
        <v>379</v>
      </c>
      <c r="F732" s="362" t="s">
        <v>380</v>
      </c>
      <c r="G732" s="361" t="s">
        <v>328</v>
      </c>
      <c r="H732" s="325"/>
      <c r="I732" s="327">
        <v>2</v>
      </c>
      <c r="J732" s="361" t="s">
        <v>829</v>
      </c>
      <c r="K732" s="327" t="s">
        <v>516</v>
      </c>
      <c r="L732" s="348">
        <f t="shared" si="60"/>
        <v>516124.60000000003</v>
      </c>
      <c r="M732" s="355"/>
      <c r="N732" s="355" t="str">
        <f t="shared" si="62"/>
        <v>PR</v>
      </c>
      <c r="O732" s="345" t="s">
        <v>16</v>
      </c>
      <c r="P732" s="325"/>
      <c r="Q732" s="351">
        <v>65</v>
      </c>
      <c r="R732" s="351">
        <v>0</v>
      </c>
      <c r="S732" s="351">
        <v>5.8</v>
      </c>
      <c r="T732" s="351">
        <v>1.679</v>
      </c>
      <c r="U732" s="329">
        <f>IF($N732=$N$4,IFERROR(INDEX(DanhMuc!$E$154:$E$165,MATCH(MID($B732,4,2),DanhMuc!$B$154:$B$165,0)),""),"")</f>
        <v>5800</v>
      </c>
      <c r="V732" s="325"/>
      <c r="W732" s="352" t="str">
        <f>+IF(AND($A732&lt;&gt;"",LEN($B732)&gt;=8,COUNTIF($B$6:$B732,$B732)=1),$W$5,"")</f>
        <v/>
      </c>
      <c r="X732" s="329" t="str">
        <f t="shared" si="56"/>
        <v>SL</v>
      </c>
      <c r="Y732" s="1128" t="s">
        <v>3380</v>
      </c>
      <c r="Z732" s="1128" t="s">
        <v>3381</v>
      </c>
      <c r="AA732" s="1128" t="s">
        <v>3384</v>
      </c>
      <c r="AC732" s="73"/>
    </row>
    <row r="733" spans="1:29" s="20" customFormat="1">
      <c r="A733" s="327" t="str">
        <f>IF(AND($B733&lt;&gt;"",$C733&lt;&gt;""),MAX($A$4:A732)+1,"")</f>
        <v/>
      </c>
      <c r="B733" s="361" t="s">
        <v>821</v>
      </c>
      <c r="C733" s="364"/>
      <c r="D733" s="327">
        <f>IF($B733="","",COUNTIF($B$6:$B733,$B733))</f>
        <v>7</v>
      </c>
      <c r="E733" s="361" t="s">
        <v>625</v>
      </c>
      <c r="F733" s="362" t="s">
        <v>437</v>
      </c>
      <c r="G733" s="361" t="s">
        <v>329</v>
      </c>
      <c r="H733" s="325"/>
      <c r="I733" s="327">
        <v>1</v>
      </c>
      <c r="J733" s="361" t="s">
        <v>830</v>
      </c>
      <c r="K733" s="327" t="s">
        <v>531</v>
      </c>
      <c r="L733" s="348">
        <f t="shared" si="60"/>
        <v>196857.14285714296</v>
      </c>
      <c r="M733" s="355"/>
      <c r="N733" s="355" t="str">
        <f t="shared" si="62"/>
        <v>PR</v>
      </c>
      <c r="O733" s="347" t="s">
        <v>1475</v>
      </c>
      <c r="P733" s="325"/>
      <c r="Q733" s="351"/>
      <c r="R733" s="351">
        <v>0</v>
      </c>
      <c r="S733" s="351">
        <v>5.8</v>
      </c>
      <c r="T733" s="351">
        <v>0.64039408866995107</v>
      </c>
      <c r="U733" s="329">
        <f>IF($N733=$N$4,IFERROR(INDEX(DanhMuc!$E$154:$E$165,MATCH(MID($B733,4,2),DanhMuc!$B$154:$B$165,0)),""),"")</f>
        <v>5800</v>
      </c>
      <c r="V733" s="325" t="s">
        <v>626</v>
      </c>
      <c r="W733" s="352" t="str">
        <f>+IF(AND($A733&lt;&gt;"",LEN($B733)&gt;=8,COUNTIF($B$6:$B733,$B733)=1),$W$5,"")</f>
        <v/>
      </c>
      <c r="X733" s="329" t="str">
        <f t="shared" si="56"/>
        <v>SL</v>
      </c>
      <c r="Y733" s="1128" t="s">
        <v>3380</v>
      </c>
      <c r="Z733" s="1128" t="s">
        <v>3381</v>
      </c>
      <c r="AA733" s="1128" t="s">
        <v>3384</v>
      </c>
      <c r="AC733" s="73"/>
    </row>
    <row r="734" spans="1:29" s="20" customFormat="1">
      <c r="A734" s="327" t="str">
        <f>IF(AND($B734&lt;&gt;"",$C734&lt;&gt;""),MAX($A$4:A733)+1,"")</f>
        <v/>
      </c>
      <c r="B734" s="628" t="s">
        <v>821</v>
      </c>
      <c r="C734" s="629"/>
      <c r="D734" s="630">
        <f>IF($B734="","",COUNTIF($B$6:$B734,$B734))</f>
        <v>8</v>
      </c>
      <c r="E734" s="628" t="s">
        <v>623</v>
      </c>
      <c r="F734" s="631" t="s">
        <v>865</v>
      </c>
      <c r="G734" s="628" t="s">
        <v>329</v>
      </c>
      <c r="H734" s="325"/>
      <c r="I734" s="327">
        <v>1</v>
      </c>
      <c r="J734" s="361" t="s">
        <v>818</v>
      </c>
      <c r="K734" s="327" t="s">
        <v>531</v>
      </c>
      <c r="L734" s="625">
        <f t="shared" ref="L734" si="63">+$T734*$S734*$L$37</f>
        <v>536931.81818181812</v>
      </c>
      <c r="M734" s="355"/>
      <c r="N734" s="355" t="str">
        <f t="shared" si="62"/>
        <v>PR</v>
      </c>
      <c r="O734" s="347" t="s">
        <v>1476</v>
      </c>
      <c r="P734" s="632"/>
      <c r="Q734" s="627"/>
      <c r="R734" s="627"/>
      <c r="S734" s="627">
        <v>5.8</v>
      </c>
      <c r="T734" s="627">
        <v>0.8816614420062695</v>
      </c>
      <c r="U734" s="329">
        <f>IF($N734=$N$4,IFERROR(INDEX(DanhMuc!$E$154:$E$165,MATCH(MID($B734,4,2),DanhMuc!$B$154:$B$165,0)),""),"")</f>
        <v>5800</v>
      </c>
      <c r="V734" s="325" t="s">
        <v>624</v>
      </c>
      <c r="W734" s="352" t="str">
        <f>+IF(AND($A734&lt;&gt;"",LEN($B734)&gt;=8,COUNTIF($B$6:$B734,$B734)=1),$W$5,"")</f>
        <v/>
      </c>
      <c r="X734" s="329" t="str">
        <f t="shared" si="56"/>
        <v>SL</v>
      </c>
      <c r="Y734" s="1128" t="s">
        <v>3380</v>
      </c>
      <c r="Z734" s="1128" t="s">
        <v>3381</v>
      </c>
      <c r="AA734" s="1128" t="s">
        <v>3384</v>
      </c>
      <c r="AC734" s="73"/>
    </row>
    <row r="735" spans="1:29" s="20" customFormat="1">
      <c r="A735" s="327" t="str">
        <f>IF(AND($B735&lt;&gt;"",$C735&lt;&gt;""),MAX($A$4:A734)+1,"")</f>
        <v/>
      </c>
      <c r="B735" s="361" t="s">
        <v>821</v>
      </c>
      <c r="C735" s="364"/>
      <c r="D735" s="327">
        <f>IF($B735="","",COUNTIF($B$6:$B735,$B735))</f>
        <v>9</v>
      </c>
      <c r="E735" s="361" t="s">
        <v>381</v>
      </c>
      <c r="F735" s="362" t="s">
        <v>896</v>
      </c>
      <c r="G735" s="361" t="s">
        <v>329</v>
      </c>
      <c r="H735" s="325"/>
      <c r="I735" s="327">
        <v>2</v>
      </c>
      <c r="J735" s="361" t="s">
        <v>831</v>
      </c>
      <c r="K735" s="327" t="s">
        <v>516</v>
      </c>
      <c r="L735" s="348">
        <f t="shared" si="60"/>
        <v>89146</v>
      </c>
      <c r="M735" s="355"/>
      <c r="N735" s="355" t="str">
        <f t="shared" si="62"/>
        <v>PR</v>
      </c>
      <c r="O735" s="347">
        <v>7</v>
      </c>
      <c r="P735" s="325"/>
      <c r="Q735" s="351">
        <v>0</v>
      </c>
      <c r="R735" s="351">
        <v>0</v>
      </c>
      <c r="S735" s="351">
        <v>5.8</v>
      </c>
      <c r="T735" s="351">
        <v>0.28999999999999998</v>
      </c>
      <c r="U735" s="329">
        <f>IF($N735=$N$4,IFERROR(INDEX(DanhMuc!$E$154:$E$165,MATCH(MID($B735,4,2),DanhMuc!$B$154:$B$165,0)),""),"")</f>
        <v>5800</v>
      </c>
      <c r="V735" s="325"/>
      <c r="W735" s="352" t="str">
        <f>+IF(AND($A735&lt;&gt;"",LEN($B735)&gt;=8,COUNTIF($B$6:$B735,$B735)=1),$W$5,"")</f>
        <v/>
      </c>
      <c r="X735" s="329" t="str">
        <f t="shared" si="56"/>
        <v>SL</v>
      </c>
      <c r="Y735" s="1128" t="s">
        <v>3380</v>
      </c>
      <c r="Z735" s="1128" t="s">
        <v>3381</v>
      </c>
      <c r="AA735" s="1128" t="s">
        <v>3384</v>
      </c>
      <c r="AC735" s="73"/>
    </row>
    <row r="736" spans="1:29" s="20" customFormat="1">
      <c r="A736" s="327" t="str">
        <f>IF(AND($B736&lt;&gt;"",$C736&lt;&gt;""),MAX($A$4:A735)+1,"")</f>
        <v/>
      </c>
      <c r="B736" s="361" t="s">
        <v>821</v>
      </c>
      <c r="C736" s="364"/>
      <c r="D736" s="327">
        <f>IF($B736="","",COUNTIF($B$6:$B736,$B736))</f>
        <v>10</v>
      </c>
      <c r="E736" s="361" t="s">
        <v>381</v>
      </c>
      <c r="F736" s="362" t="s">
        <v>896</v>
      </c>
      <c r="G736" s="361" t="s">
        <v>328</v>
      </c>
      <c r="H736" s="325"/>
      <c r="I736" s="327">
        <v>2</v>
      </c>
      <c r="J736" s="363" t="s">
        <v>832</v>
      </c>
      <c r="K736" s="327" t="s">
        <v>516</v>
      </c>
      <c r="L736" s="348">
        <f t="shared" si="60"/>
        <v>89146</v>
      </c>
      <c r="M736" s="355"/>
      <c r="N736" s="355" t="str">
        <f t="shared" si="62"/>
        <v>PR</v>
      </c>
      <c r="O736" s="347">
        <v>7</v>
      </c>
      <c r="P736" s="325"/>
      <c r="Q736" s="351">
        <v>0</v>
      </c>
      <c r="R736" s="351">
        <v>0</v>
      </c>
      <c r="S736" s="351">
        <v>5.8</v>
      </c>
      <c r="T736" s="351">
        <v>0.28999999999999998</v>
      </c>
      <c r="U736" s="329">
        <f>IF($N736=$N$4,IFERROR(INDEX(DanhMuc!$E$154:$E$165,MATCH(MID($B736,4,2),DanhMuc!$B$154:$B$165,0)),""),"")</f>
        <v>5800</v>
      </c>
      <c r="V736" s="325"/>
      <c r="W736" s="352" t="str">
        <f>+IF(AND($A736&lt;&gt;"",LEN($B736)&gt;=8,COUNTIF($B$6:$B736,$B736)=1),$W$5,"")</f>
        <v/>
      </c>
      <c r="X736" s="329" t="str">
        <f t="shared" si="56"/>
        <v>SL</v>
      </c>
      <c r="Y736" s="1128" t="s">
        <v>3380</v>
      </c>
      <c r="Z736" s="1128" t="s">
        <v>3381</v>
      </c>
      <c r="AA736" s="1128" t="s">
        <v>3384</v>
      </c>
      <c r="AC736" s="73"/>
    </row>
    <row r="737" spans="1:29" s="20" customFormat="1">
      <c r="A737" s="327" t="str">
        <f>IF(AND($B737&lt;&gt;"",$C737&lt;&gt;""),MAX($A$4:A736)+1,"")</f>
        <v/>
      </c>
      <c r="B737" s="361" t="s">
        <v>821</v>
      </c>
      <c r="C737" s="364"/>
      <c r="D737" s="327">
        <f>IF($B737="","",COUNTIF($B$6:$B737,$B737))</f>
        <v>11</v>
      </c>
      <c r="E737" s="361" t="s">
        <v>382</v>
      </c>
      <c r="F737" s="362" t="s">
        <v>897</v>
      </c>
      <c r="G737" s="361" t="s">
        <v>329</v>
      </c>
      <c r="H737" s="325"/>
      <c r="I737" s="327">
        <v>2</v>
      </c>
      <c r="J737" s="361" t="s">
        <v>831</v>
      </c>
      <c r="K737" s="327" t="s">
        <v>516</v>
      </c>
      <c r="L737" s="348">
        <f t="shared" si="60"/>
        <v>82075.8</v>
      </c>
      <c r="M737" s="355"/>
      <c r="N737" s="355" t="str">
        <f t="shared" si="62"/>
        <v>PR</v>
      </c>
      <c r="O737" s="347">
        <v>11</v>
      </c>
      <c r="P737" s="325"/>
      <c r="Q737" s="351">
        <v>0</v>
      </c>
      <c r="R737" s="351">
        <v>0</v>
      </c>
      <c r="S737" s="351">
        <v>5.8</v>
      </c>
      <c r="T737" s="351">
        <v>0.26700000000000002</v>
      </c>
      <c r="U737" s="329">
        <f>IF($N737=$N$4,IFERROR(INDEX(DanhMuc!$E$154:$E$165,MATCH(MID($B737,4,2),DanhMuc!$B$154:$B$165,0)),""),"")</f>
        <v>5800</v>
      </c>
      <c r="V737" s="325"/>
      <c r="W737" s="352" t="str">
        <f>+IF(AND($A737&lt;&gt;"",LEN($B737)&gt;=8,COUNTIF($B$6:$B737,$B737)=1),$W$5,"")</f>
        <v/>
      </c>
      <c r="X737" s="329" t="str">
        <f t="shared" si="56"/>
        <v>SL</v>
      </c>
      <c r="Y737" s="1128" t="s">
        <v>3380</v>
      </c>
      <c r="Z737" s="1128" t="s">
        <v>3381</v>
      </c>
      <c r="AA737" s="1128" t="s">
        <v>3384</v>
      </c>
      <c r="AC737" s="73"/>
    </row>
    <row r="738" spans="1:29" s="20" customFormat="1">
      <c r="A738" s="327" t="str">
        <f>IF(AND($B738&lt;&gt;"",$C738&lt;&gt;""),MAX($A$4:A737)+1,"")</f>
        <v/>
      </c>
      <c r="B738" s="361" t="s">
        <v>821</v>
      </c>
      <c r="C738" s="364"/>
      <c r="D738" s="327">
        <f>IF($B738="","",COUNTIF($B$6:$B738,$B738))</f>
        <v>12</v>
      </c>
      <c r="E738" s="361" t="s">
        <v>382</v>
      </c>
      <c r="F738" s="362" t="s">
        <v>897</v>
      </c>
      <c r="G738" s="361" t="s">
        <v>328</v>
      </c>
      <c r="H738" s="325"/>
      <c r="I738" s="327">
        <v>2</v>
      </c>
      <c r="J738" s="363" t="s">
        <v>832</v>
      </c>
      <c r="K738" s="327" t="s">
        <v>516</v>
      </c>
      <c r="L738" s="348">
        <f t="shared" si="60"/>
        <v>82075.8</v>
      </c>
      <c r="M738" s="355"/>
      <c r="N738" s="355" t="str">
        <f t="shared" si="62"/>
        <v>PR</v>
      </c>
      <c r="O738" s="347">
        <v>11</v>
      </c>
      <c r="P738" s="325"/>
      <c r="Q738" s="351">
        <v>0</v>
      </c>
      <c r="R738" s="351">
        <v>0</v>
      </c>
      <c r="S738" s="351">
        <v>5.8</v>
      </c>
      <c r="T738" s="351">
        <v>0.26700000000000002</v>
      </c>
      <c r="U738" s="329">
        <f>IF($N738=$N$4,IFERROR(INDEX(DanhMuc!$E$154:$E$165,MATCH(MID($B738,4,2),DanhMuc!$B$154:$B$165,0)),""),"")</f>
        <v>5800</v>
      </c>
      <c r="V738" s="325"/>
      <c r="W738" s="352" t="str">
        <f>+IF(AND($A738&lt;&gt;"",LEN($B738)&gt;=8,COUNTIF($B$6:$B738,$B738)=1),$W$5,"")</f>
        <v/>
      </c>
      <c r="X738" s="329" t="str">
        <f t="shared" si="56"/>
        <v>SL</v>
      </c>
      <c r="Y738" s="1128" t="s">
        <v>3380</v>
      </c>
      <c r="Z738" s="1128" t="s">
        <v>3381</v>
      </c>
      <c r="AA738" s="1128" t="s">
        <v>3384</v>
      </c>
      <c r="AC738" s="73"/>
    </row>
    <row r="739" spans="1:29" s="20" customFormat="1">
      <c r="A739" s="327" t="str">
        <f>IF(AND($B739&lt;&gt;"",$C739&lt;&gt;""),MAX($A$4:A738)+1,"")</f>
        <v/>
      </c>
      <c r="B739" s="361" t="s">
        <v>821</v>
      </c>
      <c r="C739" s="364"/>
      <c r="D739" s="327">
        <f>IF($B739="","",COUNTIF($B$6:$B739,$B739))</f>
        <v>13</v>
      </c>
      <c r="E739" s="361" t="s">
        <v>895</v>
      </c>
      <c r="F739" s="362" t="s">
        <v>2065</v>
      </c>
      <c r="G739" s="361" t="s">
        <v>329</v>
      </c>
      <c r="H739" s="325"/>
      <c r="I739" s="327">
        <v>2</v>
      </c>
      <c r="J739" s="361" t="s">
        <v>831</v>
      </c>
      <c r="K739" s="327" t="s">
        <v>516</v>
      </c>
      <c r="L739" s="348">
        <f t="shared" si="60"/>
        <v>66091</v>
      </c>
      <c r="M739" s="355"/>
      <c r="N739" s="355" t="str">
        <f t="shared" si="62"/>
        <v>PR</v>
      </c>
      <c r="O739" s="347">
        <v>19</v>
      </c>
      <c r="P739" s="325"/>
      <c r="Q739" s="351">
        <v>0</v>
      </c>
      <c r="R739" s="351">
        <v>0</v>
      </c>
      <c r="S739" s="351">
        <v>5.8</v>
      </c>
      <c r="T739" s="351">
        <v>0.215</v>
      </c>
      <c r="U739" s="329">
        <f>IF($N739=$N$4,IFERROR(INDEX(DanhMuc!$E$154:$E$165,MATCH(MID($B739,4,2),DanhMuc!$B$154:$B$165,0)),""),"")</f>
        <v>5800</v>
      </c>
      <c r="V739" s="325"/>
      <c r="W739" s="352" t="str">
        <f>+IF(AND($A739&lt;&gt;"",LEN($B739)&gt;=8,COUNTIF($B$6:$B739,$B739)=1),$W$5,"")</f>
        <v/>
      </c>
      <c r="X739" s="329" t="str">
        <f t="shared" si="56"/>
        <v>SL</v>
      </c>
      <c r="Y739" s="1128" t="s">
        <v>3380</v>
      </c>
      <c r="Z739" s="1128" t="s">
        <v>3381</v>
      </c>
      <c r="AA739" s="1128" t="s">
        <v>3384</v>
      </c>
      <c r="AC739" s="73"/>
    </row>
    <row r="740" spans="1:29" s="20" customFormat="1">
      <c r="A740" s="327" t="str">
        <f>IF(AND($B740&lt;&gt;"",$C740&lt;&gt;""),MAX($A$4:A739)+1,"")</f>
        <v/>
      </c>
      <c r="B740" s="361" t="s">
        <v>821</v>
      </c>
      <c r="C740" s="364"/>
      <c r="D740" s="327">
        <f>IF($B740="","",COUNTIF($B$6:$B740,$B740))</f>
        <v>14</v>
      </c>
      <c r="E740" s="361" t="s">
        <v>895</v>
      </c>
      <c r="F740" s="362" t="s">
        <v>2065</v>
      </c>
      <c r="G740" s="361" t="s">
        <v>328</v>
      </c>
      <c r="H740" s="325"/>
      <c r="I740" s="327">
        <v>2</v>
      </c>
      <c r="J740" s="363" t="s">
        <v>832</v>
      </c>
      <c r="K740" s="327" t="s">
        <v>516</v>
      </c>
      <c r="L740" s="348">
        <f t="shared" si="60"/>
        <v>66091</v>
      </c>
      <c r="M740" s="355"/>
      <c r="N740" s="355" t="str">
        <f t="shared" si="62"/>
        <v>PR</v>
      </c>
      <c r="O740" s="347">
        <v>19</v>
      </c>
      <c r="P740" s="325"/>
      <c r="Q740" s="351">
        <v>0</v>
      </c>
      <c r="R740" s="351">
        <v>0</v>
      </c>
      <c r="S740" s="351">
        <v>5.8</v>
      </c>
      <c r="T740" s="351">
        <v>0.215</v>
      </c>
      <c r="U740" s="329">
        <f>IF($N740=$N$4,IFERROR(INDEX(DanhMuc!$E$154:$E$165,MATCH(MID($B740,4,2),DanhMuc!$B$154:$B$165,0)),""),"")</f>
        <v>5800</v>
      </c>
      <c r="V740" s="325"/>
      <c r="W740" s="352" t="str">
        <f>+IF(AND($A740&lt;&gt;"",LEN($B740)&gt;=8,COUNTIF($B$6:$B740,$B740)=1),$W$5,"")</f>
        <v/>
      </c>
      <c r="X740" s="329" t="str">
        <f t="shared" si="56"/>
        <v>SL</v>
      </c>
      <c r="Y740" s="1128" t="s">
        <v>3380</v>
      </c>
      <c r="Z740" s="1128" t="s">
        <v>3381</v>
      </c>
      <c r="AA740" s="1128" t="s">
        <v>3384</v>
      </c>
      <c r="AC740" s="73"/>
    </row>
    <row r="741" spans="1:29" s="20" customFormat="1">
      <c r="A741" s="327" t="str">
        <f>IF(AND($B741&lt;&gt;"",$C741&lt;&gt;""),MAX($A$4:A740)+1,"")</f>
        <v/>
      </c>
      <c r="B741" s="361" t="s">
        <v>821</v>
      </c>
      <c r="C741" s="364"/>
      <c r="D741" s="327">
        <f>IF($B741="","",COUNTIF($B$6:$B741,$B741))</f>
        <v>15</v>
      </c>
      <c r="E741" s="361" t="s">
        <v>2291</v>
      </c>
      <c r="F741" s="362" t="s">
        <v>769</v>
      </c>
      <c r="G741" s="361" t="s">
        <v>329</v>
      </c>
      <c r="H741" s="328" t="s">
        <v>536</v>
      </c>
      <c r="I741" s="327">
        <v>1</v>
      </c>
      <c r="J741" s="361" t="s">
        <v>1211</v>
      </c>
      <c r="K741" s="327" t="s">
        <v>531</v>
      </c>
      <c r="L741" s="348">
        <f t="shared" si="60"/>
        <v>191999.99999999997</v>
      </c>
      <c r="M741" s="355"/>
      <c r="N741" s="355" t="str">
        <f t="shared" si="62"/>
        <v>PR</v>
      </c>
      <c r="O741" s="345"/>
      <c r="P741" s="325"/>
      <c r="Q741" s="351">
        <v>86</v>
      </c>
      <c r="R741" s="351">
        <v>1.5</v>
      </c>
      <c r="S741" s="351">
        <v>5.8</v>
      </c>
      <c r="T741" s="351">
        <f>6.4/S741</f>
        <v>1.103448275862069</v>
      </c>
      <c r="U741" s="329">
        <f>IF($N741=$N$4,IFERROR(INDEX(DanhMuc!$E$154:$E$165,MATCH(MID($B741,4,2),DanhMuc!$B$154:$B$165,0)),""),"")</f>
        <v>5800</v>
      </c>
      <c r="V741" s="325"/>
      <c r="W741" s="352" t="str">
        <f>+IF(AND($A741&lt;&gt;"",LEN($B741)&gt;=8,COUNTIF($B$6:$B741,$B741)=1),$W$5,"")</f>
        <v/>
      </c>
      <c r="X741" s="329" t="str">
        <f t="shared" si="56"/>
        <v>TSL</v>
      </c>
      <c r="Y741" s="1128" t="s">
        <v>3380</v>
      </c>
      <c r="Z741" s="1128" t="s">
        <v>3381</v>
      </c>
      <c r="AA741" s="1128" t="s">
        <v>3384</v>
      </c>
      <c r="AC741" s="73"/>
    </row>
    <row r="742" spans="1:29" s="20" customFormat="1">
      <c r="A742" s="327" t="str">
        <f>IF(AND($B742&lt;&gt;"",$C742&lt;&gt;""),MAX($A$4:A741)+1,"")</f>
        <v/>
      </c>
      <c r="B742" s="361" t="s">
        <v>821</v>
      </c>
      <c r="C742" s="364"/>
      <c r="D742" s="327">
        <f>IF($B742="","",COUNTIF($B$6:$B742,$B742))</f>
        <v>16</v>
      </c>
      <c r="E742" s="361" t="s">
        <v>2291</v>
      </c>
      <c r="F742" s="362" t="s">
        <v>769</v>
      </c>
      <c r="G742" s="361" t="s">
        <v>328</v>
      </c>
      <c r="H742" s="328" t="s">
        <v>536</v>
      </c>
      <c r="I742" s="327">
        <v>2</v>
      </c>
      <c r="J742" s="361" t="s">
        <v>1294</v>
      </c>
      <c r="K742" s="327" t="s">
        <v>531</v>
      </c>
      <c r="L742" s="348">
        <f t="shared" si="60"/>
        <v>191999.99999999997</v>
      </c>
      <c r="M742" s="355"/>
      <c r="N742" s="355" t="str">
        <f t="shared" si="62"/>
        <v>PR</v>
      </c>
      <c r="O742" s="345"/>
      <c r="P742" s="325"/>
      <c r="Q742" s="351">
        <v>86</v>
      </c>
      <c r="R742" s="351">
        <v>1.5</v>
      </c>
      <c r="S742" s="351">
        <v>5.8</v>
      </c>
      <c r="T742" s="351">
        <f>6.4/S742</f>
        <v>1.103448275862069</v>
      </c>
      <c r="U742" s="329">
        <f>IF($N742=$N$4,IFERROR(INDEX(DanhMuc!$E$154:$E$165,MATCH(MID($B742,4,2),DanhMuc!$B$154:$B$165,0)),""),"")</f>
        <v>5800</v>
      </c>
      <c r="V742" s="325"/>
      <c r="W742" s="352" t="str">
        <f>+IF(AND($A742&lt;&gt;"",LEN($B742)&gt;=8,COUNTIF($B$6:$B742,$B742)=1),$W$5,"")</f>
        <v/>
      </c>
      <c r="X742" s="329" t="str">
        <f t="shared" si="56"/>
        <v>TSL</v>
      </c>
      <c r="Y742" s="1128" t="s">
        <v>3380</v>
      </c>
      <c r="Z742" s="1128" t="s">
        <v>3381</v>
      </c>
      <c r="AA742" s="1128" t="s">
        <v>3384</v>
      </c>
      <c r="AC742" s="73"/>
    </row>
    <row r="743" spans="1:29" s="20" customFormat="1">
      <c r="A743" s="327" t="str">
        <f>IF(AND($B743&lt;&gt;"",$C743&lt;&gt;""),MAX($A$4:A742)+1,"")</f>
        <v/>
      </c>
      <c r="B743" s="361" t="s">
        <v>821</v>
      </c>
      <c r="C743" s="364"/>
      <c r="D743" s="327">
        <f>IF($B743="","",COUNTIF($B$6:$B743,$B743))</f>
        <v>17</v>
      </c>
      <c r="E743" s="361" t="s">
        <v>2296</v>
      </c>
      <c r="F743" s="362" t="s">
        <v>613</v>
      </c>
      <c r="G743" s="361" t="s">
        <v>329</v>
      </c>
      <c r="H743" s="328" t="s">
        <v>536</v>
      </c>
      <c r="I743" s="327">
        <v>2</v>
      </c>
      <c r="J743" s="361" t="s">
        <v>1297</v>
      </c>
      <c r="K743" s="327" t="s">
        <v>531</v>
      </c>
      <c r="L743" s="348">
        <f t="shared" si="60"/>
        <v>354000</v>
      </c>
      <c r="M743" s="355"/>
      <c r="N743" s="355" t="str">
        <f t="shared" si="62"/>
        <v>PR</v>
      </c>
      <c r="O743" s="345"/>
      <c r="P743" s="325"/>
      <c r="Q743" s="351">
        <v>130</v>
      </c>
      <c r="R743" s="351">
        <v>1.5</v>
      </c>
      <c r="S743" s="351">
        <v>5.8</v>
      </c>
      <c r="T743" s="351">
        <f t="shared" ref="T743:T744" si="64">11.8/S743</f>
        <v>2.0344827586206899</v>
      </c>
      <c r="U743" s="329">
        <f>IF($N743=$N$4,IFERROR(INDEX(DanhMuc!$E$154:$E$165,MATCH(MID($B743,4,2),DanhMuc!$B$154:$B$165,0)),""),"")</f>
        <v>5800</v>
      </c>
      <c r="V743" s="325"/>
      <c r="W743" s="352" t="str">
        <f>+IF(AND($A743&lt;&gt;"",LEN($B743)&gt;=8,COUNTIF($B$6:$B743,$B743)=1),$W$5,"")</f>
        <v/>
      </c>
      <c r="X743" s="329" t="str">
        <f t="shared" si="56"/>
        <v>TSL</v>
      </c>
      <c r="Y743" s="1128" t="s">
        <v>3380</v>
      </c>
      <c r="Z743" s="1128" t="s">
        <v>3381</v>
      </c>
      <c r="AA743" s="1128" t="s">
        <v>3384</v>
      </c>
      <c r="AC743" s="73"/>
    </row>
    <row r="744" spans="1:29" s="20" customFormat="1">
      <c r="A744" s="327" t="str">
        <f>IF(AND($B744&lt;&gt;"",$C744&lt;&gt;""),MAX($A$4:A743)+1,"")</f>
        <v/>
      </c>
      <c r="B744" s="361" t="s">
        <v>821</v>
      </c>
      <c r="C744" s="364"/>
      <c r="D744" s="327">
        <f>IF($B744="","",COUNTIF($B$6:$B744,$B744))</f>
        <v>18</v>
      </c>
      <c r="E744" s="361" t="s">
        <v>2296</v>
      </c>
      <c r="F744" s="362" t="s">
        <v>613</v>
      </c>
      <c r="G744" s="361" t="s">
        <v>328</v>
      </c>
      <c r="H744" s="328" t="s">
        <v>536</v>
      </c>
      <c r="I744" s="327">
        <v>2</v>
      </c>
      <c r="J744" s="361" t="s">
        <v>1293</v>
      </c>
      <c r="K744" s="327" t="s">
        <v>531</v>
      </c>
      <c r="L744" s="348">
        <f t="shared" si="60"/>
        <v>354000</v>
      </c>
      <c r="M744" s="355"/>
      <c r="N744" s="355" t="str">
        <f t="shared" si="62"/>
        <v>PR</v>
      </c>
      <c r="O744" s="345"/>
      <c r="P744" s="325"/>
      <c r="Q744" s="351">
        <v>130</v>
      </c>
      <c r="R744" s="351">
        <v>1.5</v>
      </c>
      <c r="S744" s="351">
        <v>5.8</v>
      </c>
      <c r="T744" s="351">
        <f t="shared" si="64"/>
        <v>2.0344827586206899</v>
      </c>
      <c r="U744" s="329">
        <f>IF($N744=$N$4,IFERROR(INDEX(DanhMuc!$E$154:$E$165,MATCH(MID($B744,4,2),DanhMuc!$B$154:$B$165,0)),""),"")</f>
        <v>5800</v>
      </c>
      <c r="V744" s="325"/>
      <c r="W744" s="352" t="str">
        <f>+IF(AND($A744&lt;&gt;"",LEN($B744)&gt;=8,COUNTIF($B$6:$B744,$B744)=1),$W$5,"")</f>
        <v/>
      </c>
      <c r="X744" s="329" t="str">
        <f t="shared" si="56"/>
        <v>TSL</v>
      </c>
      <c r="Y744" s="1128" t="s">
        <v>3380</v>
      </c>
      <c r="Z744" s="1128" t="s">
        <v>3381</v>
      </c>
      <c r="AA744" s="1128" t="s">
        <v>3384</v>
      </c>
      <c r="AC744" s="73"/>
    </row>
    <row r="745" spans="1:29" s="20" customFormat="1" ht="39">
      <c r="A745" s="327">
        <f>IF(AND($B745&lt;&gt;"",$C745&lt;&gt;""),MAX($A$4:A744)+1,"")</f>
        <v>63</v>
      </c>
      <c r="B745" s="359" t="s">
        <v>823</v>
      </c>
      <c r="C745" s="370" t="s">
        <v>1556</v>
      </c>
      <c r="D745" s="327">
        <f>IF($B745="","",COUNTIF($B$6:$B745,$B745))</f>
        <v>1</v>
      </c>
      <c r="E745" s="363" t="s">
        <v>375</v>
      </c>
      <c r="F745" s="362" t="s">
        <v>376</v>
      </c>
      <c r="G745" s="361" t="s">
        <v>329</v>
      </c>
      <c r="H745" s="325"/>
      <c r="I745" s="327">
        <v>1</v>
      </c>
      <c r="J745" s="361" t="s">
        <v>762</v>
      </c>
      <c r="K745" s="327" t="s">
        <v>516</v>
      </c>
      <c r="L745" s="348">
        <f t="shared" si="60"/>
        <v>403923.6</v>
      </c>
      <c r="M745" s="355"/>
      <c r="N745" s="355" t="str">
        <f t="shared" si="62"/>
        <v>PR</v>
      </c>
      <c r="O745" s="345"/>
      <c r="P745" s="325"/>
      <c r="Q745" s="351">
        <v>86</v>
      </c>
      <c r="R745" s="351">
        <v>0</v>
      </c>
      <c r="S745" s="351">
        <v>5.8</v>
      </c>
      <c r="T745" s="351">
        <v>1.3140000000000001</v>
      </c>
      <c r="U745" s="329">
        <f>IF($N745=$N$4,IFERROR(INDEX(DanhMuc!$E$154:$E$165,MATCH(MID($B745,4,2),DanhMuc!$B$154:$B$165,0)),""),"")</f>
        <v>5800</v>
      </c>
      <c r="V745" s="325"/>
      <c r="W745" s="352" t="str">
        <f>+IF(AND($A745&lt;&gt;"",LEN($B745)&gt;=8,COUNTIF($B$6:$B745,$B745)=1),$W$5,"")</f>
        <v>DMCua</v>
      </c>
      <c r="X745" s="329" t="str">
        <f t="shared" si="56"/>
        <v>SL</v>
      </c>
      <c r="Y745" s="1128" t="s">
        <v>3380</v>
      </c>
      <c r="Z745" s="1128" t="s">
        <v>3381</v>
      </c>
      <c r="AA745" s="1128" t="s">
        <v>3384</v>
      </c>
      <c r="AC745" s="73"/>
    </row>
    <row r="746" spans="1:29" s="20" customFormat="1">
      <c r="A746" s="327" t="str">
        <f>IF(AND($B746&lt;&gt;"",$C746&lt;&gt;""),MAX($A$4:A745)+1,"")</f>
        <v/>
      </c>
      <c r="B746" s="361" t="s">
        <v>823</v>
      </c>
      <c r="C746" s="364"/>
      <c r="D746" s="327">
        <f>IF($B746="","",COUNTIF($B$6:$B746,$B746))</f>
        <v>2</v>
      </c>
      <c r="E746" s="363" t="s">
        <v>375</v>
      </c>
      <c r="F746" s="362" t="s">
        <v>376</v>
      </c>
      <c r="G746" s="361" t="s">
        <v>328</v>
      </c>
      <c r="H746" s="325"/>
      <c r="I746" s="327">
        <v>2</v>
      </c>
      <c r="J746" s="361" t="s">
        <v>814</v>
      </c>
      <c r="K746" s="327" t="s">
        <v>1141</v>
      </c>
      <c r="L746" s="348">
        <f t="shared" si="60"/>
        <v>403923.6</v>
      </c>
      <c r="M746" s="355"/>
      <c r="N746" s="355" t="str">
        <f t="shared" si="62"/>
        <v>PR</v>
      </c>
      <c r="O746" s="347"/>
      <c r="P746" s="325"/>
      <c r="Q746" s="351">
        <v>86</v>
      </c>
      <c r="R746" s="351">
        <v>0</v>
      </c>
      <c r="S746" s="351">
        <v>5.8</v>
      </c>
      <c r="T746" s="351">
        <v>1.3140000000000001</v>
      </c>
      <c r="U746" s="329">
        <f>IF($N746=$N$4,IFERROR(INDEX(DanhMuc!$E$154:$E$165,MATCH(MID($B746,4,2),DanhMuc!$B$154:$B$165,0)),""),"")</f>
        <v>5800</v>
      </c>
      <c r="V746" s="325"/>
      <c r="W746" s="352" t="str">
        <f>+IF(AND($A746&lt;&gt;"",LEN($B746)&gt;=8,COUNTIF($B$6:$B746,$B746)=1),$W$5,"")</f>
        <v/>
      </c>
      <c r="X746" s="329" t="str">
        <f t="shared" si="56"/>
        <v>SL</v>
      </c>
      <c r="Y746" s="1128" t="s">
        <v>3380</v>
      </c>
      <c r="Z746" s="1128" t="s">
        <v>3381</v>
      </c>
      <c r="AA746" s="1128" t="s">
        <v>3384</v>
      </c>
      <c r="AC746" s="73"/>
    </row>
    <row r="747" spans="1:29" s="20" customFormat="1">
      <c r="A747" s="327" t="str">
        <f>IF(AND($B747&lt;&gt;"",$C747&lt;&gt;""),MAX($A$4:A746)+1,"")</f>
        <v/>
      </c>
      <c r="B747" s="361" t="s">
        <v>823</v>
      </c>
      <c r="C747" s="364"/>
      <c r="D747" s="327">
        <f>IF($B747="","",COUNTIF($B$6:$B747,$B747))</f>
        <v>3</v>
      </c>
      <c r="E747" s="361" t="s">
        <v>377</v>
      </c>
      <c r="F747" s="362" t="s">
        <v>378</v>
      </c>
      <c r="G747" s="361" t="s">
        <v>329</v>
      </c>
      <c r="H747" s="325"/>
      <c r="I747" s="327">
        <v>4</v>
      </c>
      <c r="J747" s="361" t="s">
        <v>833</v>
      </c>
      <c r="K747" s="327" t="s">
        <v>516</v>
      </c>
      <c r="L747" s="348">
        <f t="shared" si="60"/>
        <v>510898.8</v>
      </c>
      <c r="M747" s="355"/>
      <c r="N747" s="355" t="str">
        <f t="shared" si="62"/>
        <v>PR</v>
      </c>
      <c r="O747" s="345" t="s">
        <v>19</v>
      </c>
      <c r="P747" s="325"/>
      <c r="Q747" s="351">
        <v>65</v>
      </c>
      <c r="R747" s="351">
        <v>0</v>
      </c>
      <c r="S747" s="351">
        <v>5.8</v>
      </c>
      <c r="T747" s="351">
        <v>1.6619999999999999</v>
      </c>
      <c r="U747" s="329">
        <f>IF($N747=$N$4,IFERROR(INDEX(DanhMuc!$E$154:$E$165,MATCH(MID($B747,4,2),DanhMuc!$B$154:$B$165,0)),""),"")</f>
        <v>5800</v>
      </c>
      <c r="V747" s="325"/>
      <c r="W747" s="352" t="str">
        <f>+IF(AND($A747&lt;&gt;"",LEN($B747)&gt;=8,COUNTIF($B$6:$B747,$B747)=1),$W$5,"")</f>
        <v/>
      </c>
      <c r="X747" s="329" t="str">
        <f t="shared" si="56"/>
        <v>SL</v>
      </c>
      <c r="Y747" s="1128" t="s">
        <v>3380</v>
      </c>
      <c r="Z747" s="1128" t="s">
        <v>3381</v>
      </c>
      <c r="AA747" s="1128" t="s">
        <v>3384</v>
      </c>
      <c r="AC747" s="73"/>
    </row>
    <row r="748" spans="1:29" s="20" customFormat="1">
      <c r="A748" s="327" t="str">
        <f>IF(AND($B748&lt;&gt;"",$C748&lt;&gt;""),MAX($A$4:A747)+1,"")</f>
        <v/>
      </c>
      <c r="B748" s="361" t="s">
        <v>823</v>
      </c>
      <c r="C748" s="364"/>
      <c r="D748" s="327">
        <f>IF($B748="","",COUNTIF($B$6:$B748,$B748))</f>
        <v>4</v>
      </c>
      <c r="E748" s="361" t="s">
        <v>377</v>
      </c>
      <c r="F748" s="362" t="s">
        <v>378</v>
      </c>
      <c r="G748" s="361" t="s">
        <v>328</v>
      </c>
      <c r="H748" s="325"/>
      <c r="I748" s="327">
        <v>4</v>
      </c>
      <c r="J748" s="361" t="s">
        <v>816</v>
      </c>
      <c r="K748" s="327" t="s">
        <v>516</v>
      </c>
      <c r="L748" s="348">
        <f t="shared" si="60"/>
        <v>510898.8</v>
      </c>
      <c r="M748" s="355"/>
      <c r="N748" s="355" t="str">
        <f t="shared" si="62"/>
        <v>PR</v>
      </c>
      <c r="O748" s="345" t="s">
        <v>19</v>
      </c>
      <c r="P748" s="325"/>
      <c r="Q748" s="351">
        <v>65</v>
      </c>
      <c r="R748" s="351">
        <v>0</v>
      </c>
      <c r="S748" s="351">
        <v>5.8</v>
      </c>
      <c r="T748" s="351">
        <v>1.6619999999999999</v>
      </c>
      <c r="U748" s="329">
        <f>IF($N748=$N$4,IFERROR(INDEX(DanhMuc!$E$154:$E$165,MATCH(MID($B748,4,2),DanhMuc!$B$154:$B$165,0)),""),"")</f>
        <v>5800</v>
      </c>
      <c r="V748" s="325"/>
      <c r="W748" s="352" t="str">
        <f>+IF(AND($A748&lt;&gt;"",LEN($B748)&gt;=8,COUNTIF($B$6:$B748,$B748)=1),$W$5,"")</f>
        <v/>
      </c>
      <c r="X748" s="329" t="str">
        <f t="shared" si="56"/>
        <v>SL</v>
      </c>
      <c r="Y748" s="1128" t="s">
        <v>3380</v>
      </c>
      <c r="Z748" s="1128" t="s">
        <v>3381</v>
      </c>
      <c r="AA748" s="1128" t="s">
        <v>3384</v>
      </c>
      <c r="AC748" s="73"/>
    </row>
    <row r="749" spans="1:29" s="20" customFormat="1">
      <c r="A749" s="327" t="str">
        <f>IF(AND($B749&lt;&gt;"",$C749&lt;&gt;""),MAX($A$4:A748)+1,"")</f>
        <v/>
      </c>
      <c r="B749" s="361" t="s">
        <v>823</v>
      </c>
      <c r="C749" s="364"/>
      <c r="D749" s="327">
        <f>IF($B749="","",COUNTIF($B$6:$B749,$B749))</f>
        <v>5</v>
      </c>
      <c r="E749" s="361" t="s">
        <v>379</v>
      </c>
      <c r="F749" s="362" t="s">
        <v>380</v>
      </c>
      <c r="G749" s="361" t="s">
        <v>329</v>
      </c>
      <c r="H749" s="325"/>
      <c r="I749" s="327">
        <v>4</v>
      </c>
      <c r="J749" s="361" t="s">
        <v>833</v>
      </c>
      <c r="K749" s="327" t="s">
        <v>516</v>
      </c>
      <c r="L749" s="348">
        <f t="shared" si="60"/>
        <v>516124.60000000003</v>
      </c>
      <c r="M749" s="355"/>
      <c r="N749" s="355" t="str">
        <f t="shared" si="62"/>
        <v>PR</v>
      </c>
      <c r="O749" s="345" t="s">
        <v>16</v>
      </c>
      <c r="P749" s="325"/>
      <c r="Q749" s="351">
        <v>65</v>
      </c>
      <c r="R749" s="351">
        <v>0</v>
      </c>
      <c r="S749" s="351">
        <v>5.8</v>
      </c>
      <c r="T749" s="351">
        <v>1.679</v>
      </c>
      <c r="U749" s="329">
        <f>IF($N749=$N$4,IFERROR(INDEX(DanhMuc!$E$154:$E$165,MATCH(MID($B749,4,2),DanhMuc!$B$154:$B$165,0)),""),"")</f>
        <v>5800</v>
      </c>
      <c r="V749" s="325"/>
      <c r="W749" s="352" t="str">
        <f>+IF(AND($A749&lt;&gt;"",LEN($B749)&gt;=8,COUNTIF($B$6:$B749,$B749)=1),$W$5,"")</f>
        <v/>
      </c>
      <c r="X749" s="329" t="str">
        <f t="shared" si="56"/>
        <v>SL</v>
      </c>
      <c r="Y749" s="1128" t="s">
        <v>3380</v>
      </c>
      <c r="Z749" s="1128" t="s">
        <v>3381</v>
      </c>
      <c r="AA749" s="1128" t="s">
        <v>3384</v>
      </c>
      <c r="AC749" s="73"/>
    </row>
    <row r="750" spans="1:29" s="20" customFormat="1">
      <c r="A750" s="327" t="str">
        <f>IF(AND($B750&lt;&gt;"",$C750&lt;&gt;""),MAX($A$4:A749)+1,"")</f>
        <v/>
      </c>
      <c r="B750" s="361" t="s">
        <v>823</v>
      </c>
      <c r="C750" s="364"/>
      <c r="D750" s="327">
        <f>IF($B750="","",COUNTIF($B$6:$B750,$B750))</f>
        <v>6</v>
      </c>
      <c r="E750" s="361" t="s">
        <v>379</v>
      </c>
      <c r="F750" s="362" t="s">
        <v>380</v>
      </c>
      <c r="G750" s="361" t="s">
        <v>328</v>
      </c>
      <c r="H750" s="325"/>
      <c r="I750" s="327">
        <v>4</v>
      </c>
      <c r="J750" s="361" t="s">
        <v>816</v>
      </c>
      <c r="K750" s="327" t="s">
        <v>516</v>
      </c>
      <c r="L750" s="348">
        <f t="shared" si="60"/>
        <v>516124.60000000003</v>
      </c>
      <c r="M750" s="355"/>
      <c r="N750" s="355" t="str">
        <f t="shared" si="62"/>
        <v>PR</v>
      </c>
      <c r="O750" s="345" t="s">
        <v>16</v>
      </c>
      <c r="P750" s="325"/>
      <c r="Q750" s="351">
        <v>65</v>
      </c>
      <c r="R750" s="351">
        <v>0</v>
      </c>
      <c r="S750" s="351">
        <v>5.8</v>
      </c>
      <c r="T750" s="351">
        <v>1.679</v>
      </c>
      <c r="U750" s="329">
        <f>IF($N750=$N$4,IFERROR(INDEX(DanhMuc!$E$154:$E$165,MATCH(MID($B750,4,2),DanhMuc!$B$154:$B$165,0)),""),"")</f>
        <v>5800</v>
      </c>
      <c r="V750" s="325"/>
      <c r="W750" s="352" t="str">
        <f>+IF(AND($A750&lt;&gt;"",LEN($B750)&gt;=8,COUNTIF($B$6:$B750,$B750)=1),$W$5,"")</f>
        <v/>
      </c>
      <c r="X750" s="329" t="str">
        <f t="shared" si="56"/>
        <v>SL</v>
      </c>
      <c r="Y750" s="1128" t="s">
        <v>3380</v>
      </c>
      <c r="Z750" s="1128" t="s">
        <v>3381</v>
      </c>
      <c r="AA750" s="1128" t="s">
        <v>3384</v>
      </c>
      <c r="AC750" s="73"/>
    </row>
    <row r="751" spans="1:29" s="20" customFormat="1">
      <c r="A751" s="327" t="str">
        <f>IF(AND($B751&lt;&gt;"",$C751&lt;&gt;""),MAX($A$4:A750)+1,"")</f>
        <v/>
      </c>
      <c r="B751" s="361" t="s">
        <v>823</v>
      </c>
      <c r="C751" s="364"/>
      <c r="D751" s="327">
        <f>IF($B751="","",COUNTIF($B$6:$B751,$B751))</f>
        <v>7</v>
      </c>
      <c r="E751" s="361" t="s">
        <v>625</v>
      </c>
      <c r="F751" s="362" t="s">
        <v>437</v>
      </c>
      <c r="G751" s="361" t="s">
        <v>329</v>
      </c>
      <c r="H751" s="325"/>
      <c r="I751" s="327">
        <v>2</v>
      </c>
      <c r="J751" s="361" t="s">
        <v>834</v>
      </c>
      <c r="K751" s="327" t="s">
        <v>531</v>
      </c>
      <c r="L751" s="348">
        <f t="shared" si="60"/>
        <v>196857.14285714296</v>
      </c>
      <c r="M751" s="355"/>
      <c r="N751" s="355" t="str">
        <f t="shared" si="62"/>
        <v>PR</v>
      </c>
      <c r="O751" s="347" t="s">
        <v>1475</v>
      </c>
      <c r="P751" s="325"/>
      <c r="Q751" s="351"/>
      <c r="R751" s="351">
        <v>0</v>
      </c>
      <c r="S751" s="351">
        <v>5.8</v>
      </c>
      <c r="T751" s="351">
        <v>0.64039408866995107</v>
      </c>
      <c r="U751" s="329">
        <f>IF($N751=$N$4,IFERROR(INDEX(DanhMuc!$E$154:$E$165,MATCH(MID($B751,4,2),DanhMuc!$B$154:$B$165,0)),""),"")</f>
        <v>5800</v>
      </c>
      <c r="V751" s="325" t="s">
        <v>626</v>
      </c>
      <c r="W751" s="352" t="str">
        <f>+IF(AND($A751&lt;&gt;"",LEN($B751)&gt;=8,COUNTIF($B$6:$B751,$B751)=1),$W$5,"")</f>
        <v/>
      </c>
      <c r="X751" s="329" t="str">
        <f t="shared" si="56"/>
        <v>SL</v>
      </c>
      <c r="Y751" s="1128" t="s">
        <v>3380</v>
      </c>
      <c r="Z751" s="1128" t="s">
        <v>3381</v>
      </c>
      <c r="AA751" s="1128" t="s">
        <v>3384</v>
      </c>
      <c r="AC751" s="73"/>
    </row>
    <row r="752" spans="1:29" s="20" customFormat="1">
      <c r="A752" s="327" t="str">
        <f>IF(AND($B752&lt;&gt;"",$C752&lt;&gt;""),MAX($A$4:A751)+1,"")</f>
        <v/>
      </c>
      <c r="B752" s="628" t="s">
        <v>823</v>
      </c>
      <c r="C752" s="629"/>
      <c r="D752" s="630">
        <f>IF($B752="","",COUNTIF($B$6:$B752,$B752))</f>
        <v>8</v>
      </c>
      <c r="E752" s="628" t="s">
        <v>623</v>
      </c>
      <c r="F752" s="631" t="s">
        <v>865</v>
      </c>
      <c r="G752" s="628" t="s">
        <v>329</v>
      </c>
      <c r="H752" s="325"/>
      <c r="I752" s="327">
        <v>1</v>
      </c>
      <c r="J752" s="361" t="s">
        <v>866</v>
      </c>
      <c r="K752" s="327" t="s">
        <v>531</v>
      </c>
      <c r="L752" s="625">
        <f t="shared" ref="L752" si="65">+$T752*$S752*$L$37</f>
        <v>536931.81818181812</v>
      </c>
      <c r="M752" s="355"/>
      <c r="N752" s="355" t="str">
        <f t="shared" si="62"/>
        <v>PR</v>
      </c>
      <c r="O752" s="347" t="s">
        <v>1476</v>
      </c>
      <c r="P752" s="632"/>
      <c r="Q752" s="627"/>
      <c r="R752" s="627"/>
      <c r="S752" s="627">
        <v>5.8</v>
      </c>
      <c r="T752" s="627">
        <v>0.8816614420062695</v>
      </c>
      <c r="U752" s="329">
        <f>IF($N752=$N$4,IFERROR(INDEX(DanhMuc!$E$154:$E$165,MATCH(MID($B752,4,2),DanhMuc!$B$154:$B$165,0)),""),"")</f>
        <v>5800</v>
      </c>
      <c r="V752" s="325" t="s">
        <v>624</v>
      </c>
      <c r="W752" s="352" t="str">
        <f>+IF(AND($A752&lt;&gt;"",LEN($B752)&gt;=8,COUNTIF($B$6:$B752,$B752)=1),$W$5,"")</f>
        <v/>
      </c>
      <c r="X752" s="329" t="str">
        <f t="shared" si="56"/>
        <v>SL</v>
      </c>
      <c r="Y752" s="1128" t="s">
        <v>3380</v>
      </c>
      <c r="Z752" s="1128" t="s">
        <v>3381</v>
      </c>
      <c r="AA752" s="1128" t="s">
        <v>3384</v>
      </c>
      <c r="AC752" s="73"/>
    </row>
    <row r="753" spans="1:29" s="20" customFormat="1">
      <c r="A753" s="327" t="str">
        <f>IF(AND($B753&lt;&gt;"",$C753&lt;&gt;""),MAX($A$4:A752)+1,"")</f>
        <v/>
      </c>
      <c r="B753" s="361" t="s">
        <v>823</v>
      </c>
      <c r="C753" s="364"/>
      <c r="D753" s="327">
        <f>IF($B753="","",COUNTIF($B$6:$B753,$B753))</f>
        <v>9</v>
      </c>
      <c r="E753" s="361" t="s">
        <v>776</v>
      </c>
      <c r="F753" s="362" t="s">
        <v>761</v>
      </c>
      <c r="G753" s="361" t="s">
        <v>328</v>
      </c>
      <c r="H753" s="325"/>
      <c r="I753" s="327">
        <v>1</v>
      </c>
      <c r="J753" s="361" t="s">
        <v>1437</v>
      </c>
      <c r="K753" s="327" t="s">
        <v>531</v>
      </c>
      <c r="L753" s="348">
        <f t="shared" si="60"/>
        <v>282808</v>
      </c>
      <c r="M753" s="355"/>
      <c r="N753" s="355" t="str">
        <f t="shared" ref="N753" si="66">+$N$4</f>
        <v>PR</v>
      </c>
      <c r="O753" s="345"/>
      <c r="P753" s="325"/>
      <c r="Q753" s="351"/>
      <c r="R753" s="351">
        <v>0</v>
      </c>
      <c r="S753" s="351">
        <v>5.8</v>
      </c>
      <c r="T753" s="351">
        <v>0.92</v>
      </c>
      <c r="U753" s="329">
        <f>IF($N753=$N$4,IFERROR(INDEX(DanhMuc!$E$154:$E$165,MATCH(MID($B753,4,2),DanhMuc!$B$154:$B$165,0)),""),"")</f>
        <v>5800</v>
      </c>
      <c r="V753" s="325"/>
      <c r="W753" s="352" t="str">
        <f>+IF(AND($A753&lt;&gt;"",LEN($B753)&gt;=8,COUNTIF($B$6:$B753,$B753)=1),$W$5,"")</f>
        <v/>
      </c>
      <c r="X753" s="329" t="str">
        <f t="shared" si="56"/>
        <v>SL</v>
      </c>
      <c r="Y753" s="1128" t="s">
        <v>3380</v>
      </c>
      <c r="Z753" s="1128" t="s">
        <v>3381</v>
      </c>
      <c r="AA753" s="1128" t="s">
        <v>3384</v>
      </c>
      <c r="AC753" s="73"/>
    </row>
    <row r="754" spans="1:29" s="20" customFormat="1">
      <c r="A754" s="327" t="str">
        <f>IF(AND($B754&lt;&gt;"",$C754&lt;&gt;""),MAX($A$4:A753)+1,"")</f>
        <v/>
      </c>
      <c r="B754" s="361" t="s">
        <v>823</v>
      </c>
      <c r="C754" s="364"/>
      <c r="D754" s="327">
        <f>IF($B754="","",COUNTIF($B$6:$B754,$B754))</f>
        <v>10</v>
      </c>
      <c r="E754" s="361" t="s">
        <v>381</v>
      </c>
      <c r="F754" s="362" t="s">
        <v>896</v>
      </c>
      <c r="G754" s="361" t="s">
        <v>329</v>
      </c>
      <c r="H754" s="325"/>
      <c r="I754" s="327">
        <v>4</v>
      </c>
      <c r="J754" s="361" t="s">
        <v>835</v>
      </c>
      <c r="K754" s="327" t="s">
        <v>516</v>
      </c>
      <c r="L754" s="348">
        <f t="shared" si="60"/>
        <v>89146</v>
      </c>
      <c r="M754" s="355"/>
      <c r="N754" s="355" t="str">
        <f t="shared" si="62"/>
        <v>PR</v>
      </c>
      <c r="O754" s="347">
        <v>7</v>
      </c>
      <c r="P754" s="325"/>
      <c r="Q754" s="351">
        <v>0</v>
      </c>
      <c r="R754" s="351">
        <v>0</v>
      </c>
      <c r="S754" s="351">
        <v>5.8</v>
      </c>
      <c r="T754" s="351">
        <v>0.28999999999999998</v>
      </c>
      <c r="U754" s="329">
        <f>IF($N754=$N$4,IFERROR(INDEX(DanhMuc!$E$154:$E$165,MATCH(MID($B754,4,2),DanhMuc!$B$154:$B$165,0)),""),"")</f>
        <v>5800</v>
      </c>
      <c r="V754" s="325"/>
      <c r="W754" s="352" t="str">
        <f>+IF(AND($A754&lt;&gt;"",LEN($B754)&gt;=8,COUNTIF($B$6:$B754,$B754)=1),$W$5,"")</f>
        <v/>
      </c>
      <c r="X754" s="329" t="str">
        <f t="shared" si="56"/>
        <v>SL</v>
      </c>
      <c r="Y754" s="1128" t="s">
        <v>3380</v>
      </c>
      <c r="Z754" s="1128" t="s">
        <v>3381</v>
      </c>
      <c r="AA754" s="1128" t="s">
        <v>3384</v>
      </c>
      <c r="AC754" s="73"/>
    </row>
    <row r="755" spans="1:29" s="20" customFormat="1">
      <c r="A755" s="327" t="str">
        <f>IF(AND($B755&lt;&gt;"",$C755&lt;&gt;""),MAX($A$4:A754)+1,"")</f>
        <v/>
      </c>
      <c r="B755" s="361" t="s">
        <v>823</v>
      </c>
      <c r="C755" s="364"/>
      <c r="D755" s="327">
        <f>IF($B755="","",COUNTIF($B$6:$B755,$B755))</f>
        <v>11</v>
      </c>
      <c r="E755" s="361" t="s">
        <v>381</v>
      </c>
      <c r="F755" s="362" t="s">
        <v>896</v>
      </c>
      <c r="G755" s="361" t="s">
        <v>328</v>
      </c>
      <c r="H755" s="325"/>
      <c r="I755" s="327">
        <v>4</v>
      </c>
      <c r="J755" s="363" t="s">
        <v>820</v>
      </c>
      <c r="K755" s="327" t="s">
        <v>516</v>
      </c>
      <c r="L755" s="348">
        <f t="shared" si="60"/>
        <v>89146</v>
      </c>
      <c r="M755" s="355"/>
      <c r="N755" s="355" t="str">
        <f t="shared" si="62"/>
        <v>PR</v>
      </c>
      <c r="O755" s="347">
        <v>7</v>
      </c>
      <c r="P755" s="325"/>
      <c r="Q755" s="351">
        <v>0</v>
      </c>
      <c r="R755" s="351">
        <v>0</v>
      </c>
      <c r="S755" s="351">
        <v>5.8</v>
      </c>
      <c r="T755" s="351">
        <v>0.28999999999999998</v>
      </c>
      <c r="U755" s="329">
        <f>IF($N755=$N$4,IFERROR(INDEX(DanhMuc!$E$154:$E$165,MATCH(MID($B755,4,2),DanhMuc!$B$154:$B$165,0)),""),"")</f>
        <v>5800</v>
      </c>
      <c r="V755" s="325"/>
      <c r="W755" s="352" t="str">
        <f>+IF(AND($A755&lt;&gt;"",LEN($B755)&gt;=8,COUNTIF($B$6:$B755,$B755)=1),$W$5,"")</f>
        <v/>
      </c>
      <c r="X755" s="329" t="str">
        <f t="shared" si="56"/>
        <v>SL</v>
      </c>
      <c r="Y755" s="1128" t="s">
        <v>3380</v>
      </c>
      <c r="Z755" s="1128" t="s">
        <v>3381</v>
      </c>
      <c r="AA755" s="1128" t="s">
        <v>3384</v>
      </c>
      <c r="AC755" s="73"/>
    </row>
    <row r="756" spans="1:29" s="20" customFormat="1">
      <c r="A756" s="327" t="str">
        <f>IF(AND($B756&lt;&gt;"",$C756&lt;&gt;""),MAX($A$4:A755)+1,"")</f>
        <v/>
      </c>
      <c r="B756" s="361" t="s">
        <v>823</v>
      </c>
      <c r="C756" s="364"/>
      <c r="D756" s="327">
        <f>IF($B756="","",COUNTIF($B$6:$B756,$B756))</f>
        <v>12</v>
      </c>
      <c r="E756" s="361" t="s">
        <v>382</v>
      </c>
      <c r="F756" s="362" t="s">
        <v>897</v>
      </c>
      <c r="G756" s="361" t="s">
        <v>329</v>
      </c>
      <c r="H756" s="325"/>
      <c r="I756" s="327">
        <v>4</v>
      </c>
      <c r="J756" s="361" t="s">
        <v>835</v>
      </c>
      <c r="K756" s="327" t="s">
        <v>516</v>
      </c>
      <c r="L756" s="348">
        <f t="shared" si="60"/>
        <v>82075.8</v>
      </c>
      <c r="M756" s="355"/>
      <c r="N756" s="355" t="str">
        <f t="shared" si="62"/>
        <v>PR</v>
      </c>
      <c r="O756" s="347">
        <v>11</v>
      </c>
      <c r="P756" s="325"/>
      <c r="Q756" s="351">
        <v>0</v>
      </c>
      <c r="R756" s="351">
        <v>0</v>
      </c>
      <c r="S756" s="351">
        <v>5.8</v>
      </c>
      <c r="T756" s="351">
        <v>0.26700000000000002</v>
      </c>
      <c r="U756" s="329">
        <f>IF($N756=$N$4,IFERROR(INDEX(DanhMuc!$E$154:$E$165,MATCH(MID($B756,4,2),DanhMuc!$B$154:$B$165,0)),""),"")</f>
        <v>5800</v>
      </c>
      <c r="V756" s="325"/>
      <c r="W756" s="352" t="str">
        <f>+IF(AND($A756&lt;&gt;"",LEN($B756)&gt;=8,COUNTIF($B$6:$B756,$B756)=1),$W$5,"")</f>
        <v/>
      </c>
      <c r="X756" s="329" t="str">
        <f t="shared" si="56"/>
        <v>SL</v>
      </c>
      <c r="Y756" s="1128" t="s">
        <v>3380</v>
      </c>
      <c r="Z756" s="1128" t="s">
        <v>3381</v>
      </c>
      <c r="AA756" s="1128" t="s">
        <v>3384</v>
      </c>
      <c r="AC756" s="73"/>
    </row>
    <row r="757" spans="1:29" s="20" customFormat="1">
      <c r="A757" s="327" t="str">
        <f>IF(AND($B757&lt;&gt;"",$C757&lt;&gt;""),MAX($A$4:A756)+1,"")</f>
        <v/>
      </c>
      <c r="B757" s="361" t="s">
        <v>823</v>
      </c>
      <c r="C757" s="364"/>
      <c r="D757" s="327">
        <f>IF($B757="","",COUNTIF($B$6:$B757,$B757))</f>
        <v>13</v>
      </c>
      <c r="E757" s="361" t="s">
        <v>382</v>
      </c>
      <c r="F757" s="362" t="s">
        <v>897</v>
      </c>
      <c r="G757" s="361" t="s">
        <v>328</v>
      </c>
      <c r="H757" s="325"/>
      <c r="I757" s="327">
        <v>4</v>
      </c>
      <c r="J757" s="363" t="s">
        <v>820</v>
      </c>
      <c r="K757" s="327" t="s">
        <v>516</v>
      </c>
      <c r="L757" s="348">
        <f t="shared" si="60"/>
        <v>82075.8</v>
      </c>
      <c r="M757" s="355"/>
      <c r="N757" s="355" t="str">
        <f t="shared" si="62"/>
        <v>PR</v>
      </c>
      <c r="O757" s="347">
        <v>11</v>
      </c>
      <c r="P757" s="325"/>
      <c r="Q757" s="351">
        <v>0</v>
      </c>
      <c r="R757" s="351">
        <v>0</v>
      </c>
      <c r="S757" s="351">
        <v>5.8</v>
      </c>
      <c r="T757" s="351">
        <v>0.26700000000000002</v>
      </c>
      <c r="U757" s="329">
        <f>IF($N757=$N$4,IFERROR(INDEX(DanhMuc!$E$154:$E$165,MATCH(MID($B757,4,2),DanhMuc!$B$154:$B$165,0)),""),"")</f>
        <v>5800</v>
      </c>
      <c r="V757" s="325"/>
      <c r="W757" s="352" t="str">
        <f>+IF(AND($A757&lt;&gt;"",LEN($B757)&gt;=8,COUNTIF($B$6:$B757,$B757)=1),$W$5,"")</f>
        <v/>
      </c>
      <c r="X757" s="329" t="str">
        <f t="shared" si="56"/>
        <v>SL</v>
      </c>
      <c r="Y757" s="1128" t="s">
        <v>3380</v>
      </c>
      <c r="Z757" s="1128" t="s">
        <v>3381</v>
      </c>
      <c r="AA757" s="1128" t="s">
        <v>3384</v>
      </c>
      <c r="AC757" s="73"/>
    </row>
    <row r="758" spans="1:29" s="20" customFormat="1">
      <c r="A758" s="327" t="str">
        <f>IF(AND($B758&lt;&gt;"",$C758&lt;&gt;""),MAX($A$4:A757)+1,"")</f>
        <v/>
      </c>
      <c r="B758" s="361" t="s">
        <v>823</v>
      </c>
      <c r="C758" s="364"/>
      <c r="D758" s="327">
        <f>IF($B758="","",COUNTIF($B$6:$B758,$B758))</f>
        <v>14</v>
      </c>
      <c r="E758" s="361" t="s">
        <v>895</v>
      </c>
      <c r="F758" s="362" t="s">
        <v>2065</v>
      </c>
      <c r="G758" s="361" t="s">
        <v>329</v>
      </c>
      <c r="H758" s="325"/>
      <c r="I758" s="327">
        <v>4</v>
      </c>
      <c r="J758" s="361" t="s">
        <v>835</v>
      </c>
      <c r="K758" s="327" t="s">
        <v>516</v>
      </c>
      <c r="L758" s="348">
        <f t="shared" si="60"/>
        <v>66091</v>
      </c>
      <c r="M758" s="355"/>
      <c r="N758" s="355" t="str">
        <f t="shared" si="62"/>
        <v>PR</v>
      </c>
      <c r="O758" s="347">
        <v>19</v>
      </c>
      <c r="P758" s="325"/>
      <c r="Q758" s="351">
        <v>0</v>
      </c>
      <c r="R758" s="351">
        <v>0</v>
      </c>
      <c r="S758" s="351">
        <v>5.8</v>
      </c>
      <c r="T758" s="351">
        <v>0.215</v>
      </c>
      <c r="U758" s="329">
        <f>IF($N758=$N$4,IFERROR(INDEX(DanhMuc!$E$154:$E$165,MATCH(MID($B758,4,2),DanhMuc!$B$154:$B$165,0)),""),"")</f>
        <v>5800</v>
      </c>
      <c r="V758" s="325"/>
      <c r="W758" s="352" t="str">
        <f>+IF(AND($A758&lt;&gt;"",LEN($B758)&gt;=8,COUNTIF($B$6:$B758,$B758)=1),$W$5,"")</f>
        <v/>
      </c>
      <c r="X758" s="329" t="str">
        <f t="shared" si="56"/>
        <v>SL</v>
      </c>
      <c r="Y758" s="1128" t="s">
        <v>3380</v>
      </c>
      <c r="Z758" s="1128" t="s">
        <v>3381</v>
      </c>
      <c r="AA758" s="1128" t="s">
        <v>3384</v>
      </c>
      <c r="AC758" s="73"/>
    </row>
    <row r="759" spans="1:29" s="20" customFormat="1">
      <c r="A759" s="327" t="str">
        <f>IF(AND($B759&lt;&gt;"",$C759&lt;&gt;""),MAX($A$4:A758)+1,"")</f>
        <v/>
      </c>
      <c r="B759" s="361" t="s">
        <v>823</v>
      </c>
      <c r="C759" s="364"/>
      <c r="D759" s="327">
        <f>IF($B759="","",COUNTIF($B$6:$B759,$B759))</f>
        <v>15</v>
      </c>
      <c r="E759" s="361" t="s">
        <v>895</v>
      </c>
      <c r="F759" s="362" t="s">
        <v>2065</v>
      </c>
      <c r="G759" s="361" t="s">
        <v>328</v>
      </c>
      <c r="H759" s="325"/>
      <c r="I759" s="327">
        <v>4</v>
      </c>
      <c r="J759" s="363" t="s">
        <v>820</v>
      </c>
      <c r="K759" s="327" t="s">
        <v>516</v>
      </c>
      <c r="L759" s="348">
        <f t="shared" si="60"/>
        <v>66091</v>
      </c>
      <c r="M759" s="355"/>
      <c r="N759" s="355" t="str">
        <f t="shared" si="62"/>
        <v>PR</v>
      </c>
      <c r="O759" s="347">
        <v>19</v>
      </c>
      <c r="P759" s="325"/>
      <c r="Q759" s="351">
        <v>0</v>
      </c>
      <c r="R759" s="351">
        <v>0</v>
      </c>
      <c r="S759" s="351">
        <v>5.8</v>
      </c>
      <c r="T759" s="351">
        <v>0.215</v>
      </c>
      <c r="U759" s="329">
        <f>IF($N759=$N$4,IFERROR(INDEX(DanhMuc!$E$154:$E$165,MATCH(MID($B759,4,2),DanhMuc!$B$154:$B$165,0)),""),"")</f>
        <v>5800</v>
      </c>
      <c r="V759" s="325"/>
      <c r="W759" s="352" t="str">
        <f>+IF(AND($A759&lt;&gt;"",LEN($B759)&gt;=8,COUNTIF($B$6:$B759,$B759)=1),$W$5,"")</f>
        <v/>
      </c>
      <c r="X759" s="329" t="str">
        <f t="shared" si="56"/>
        <v>SL</v>
      </c>
      <c r="Y759" s="1128" t="s">
        <v>3380</v>
      </c>
      <c r="Z759" s="1128" t="s">
        <v>3381</v>
      </c>
      <c r="AA759" s="1128" t="s">
        <v>3384</v>
      </c>
      <c r="AC759" s="73"/>
    </row>
    <row r="760" spans="1:29" s="20" customFormat="1">
      <c r="A760" s="327" t="str">
        <f>IF(AND($B760&lt;&gt;"",$C760&lt;&gt;""),MAX($A$4:A759)+1,"")</f>
        <v/>
      </c>
      <c r="B760" s="361" t="s">
        <v>823</v>
      </c>
      <c r="C760" s="364"/>
      <c r="D760" s="327">
        <f>IF($B760="","",COUNTIF($B$6:$B760,$B760))</f>
        <v>16</v>
      </c>
      <c r="E760" s="361" t="s">
        <v>2294</v>
      </c>
      <c r="F760" s="362" t="s">
        <v>612</v>
      </c>
      <c r="G760" s="361" t="s">
        <v>329</v>
      </c>
      <c r="H760" s="328" t="s">
        <v>536</v>
      </c>
      <c r="I760" s="327">
        <v>1</v>
      </c>
      <c r="J760" s="361" t="s">
        <v>1149</v>
      </c>
      <c r="K760" s="327" t="s">
        <v>531</v>
      </c>
      <c r="L760" s="348">
        <f t="shared" si="60"/>
        <v>234000</v>
      </c>
      <c r="M760" s="355"/>
      <c r="N760" s="355" t="str">
        <f t="shared" si="62"/>
        <v>PR</v>
      </c>
      <c r="O760" s="345"/>
      <c r="P760" s="325"/>
      <c r="Q760" s="351">
        <v>86</v>
      </c>
      <c r="R760" s="351">
        <v>1.5</v>
      </c>
      <c r="S760" s="351">
        <v>5.8</v>
      </c>
      <c r="T760" s="351">
        <f t="shared" ref="T760:T761" si="67">7.8/S760</f>
        <v>1.3448275862068966</v>
      </c>
      <c r="U760" s="329">
        <f>IF($N760=$N$4,IFERROR(INDEX(DanhMuc!$E$154:$E$165,MATCH(MID($B760,4,2),DanhMuc!$B$154:$B$165,0)),""),"")</f>
        <v>5800</v>
      </c>
      <c r="V760" s="325"/>
      <c r="W760" s="352" t="str">
        <f>+IF(AND($A760&lt;&gt;"",LEN($B760)&gt;=8,COUNTIF($B$6:$B760,$B760)=1),$W$5,"")</f>
        <v/>
      </c>
      <c r="X760" s="329" t="str">
        <f t="shared" si="56"/>
        <v>TSL</v>
      </c>
      <c r="Y760" s="1128" t="s">
        <v>3380</v>
      </c>
      <c r="Z760" s="1128" t="s">
        <v>3381</v>
      </c>
      <c r="AA760" s="1128" t="s">
        <v>3384</v>
      </c>
      <c r="AC760" s="73"/>
    </row>
    <row r="761" spans="1:29" s="20" customFormat="1">
      <c r="A761" s="327" t="str">
        <f>IF(AND($B761&lt;&gt;"",$C761&lt;&gt;""),MAX($A$4:A760)+1,"")</f>
        <v/>
      </c>
      <c r="B761" s="361" t="s">
        <v>823</v>
      </c>
      <c r="C761" s="364"/>
      <c r="D761" s="327">
        <f>IF($B761="","",COUNTIF($B$6:$B761,$B761))</f>
        <v>17</v>
      </c>
      <c r="E761" s="361" t="s">
        <v>2294</v>
      </c>
      <c r="F761" s="362" t="s">
        <v>612</v>
      </c>
      <c r="G761" s="361" t="s">
        <v>328</v>
      </c>
      <c r="H761" s="328" t="s">
        <v>536</v>
      </c>
      <c r="I761" s="327">
        <v>2</v>
      </c>
      <c r="J761" s="361" t="s">
        <v>1150</v>
      </c>
      <c r="K761" s="327" t="s">
        <v>531</v>
      </c>
      <c r="L761" s="348">
        <f t="shared" si="60"/>
        <v>234000</v>
      </c>
      <c r="M761" s="355"/>
      <c r="N761" s="355" t="str">
        <f t="shared" si="62"/>
        <v>PR</v>
      </c>
      <c r="O761" s="345"/>
      <c r="P761" s="325"/>
      <c r="Q761" s="351">
        <v>86</v>
      </c>
      <c r="R761" s="351">
        <v>1.5</v>
      </c>
      <c r="S761" s="351">
        <v>5.8</v>
      </c>
      <c r="T761" s="351">
        <f t="shared" si="67"/>
        <v>1.3448275862068966</v>
      </c>
      <c r="U761" s="329">
        <f>IF($N761=$N$4,IFERROR(INDEX(DanhMuc!$E$154:$E$165,MATCH(MID($B761,4,2),DanhMuc!$B$154:$B$165,0)),""),"")</f>
        <v>5800</v>
      </c>
      <c r="V761" s="325"/>
      <c r="W761" s="352" t="str">
        <f>+IF(AND($A761&lt;&gt;"",LEN($B761)&gt;=8,COUNTIF($B$6:$B761,$B761)=1),$W$5,"")</f>
        <v/>
      </c>
      <c r="X761" s="329" t="str">
        <f t="shared" si="56"/>
        <v>TSL</v>
      </c>
      <c r="Y761" s="1128" t="s">
        <v>3380</v>
      </c>
      <c r="Z761" s="1128" t="s">
        <v>3381</v>
      </c>
      <c r="AA761" s="1128" t="s">
        <v>3384</v>
      </c>
      <c r="AC761" s="73"/>
    </row>
    <row r="762" spans="1:29" s="20" customFormat="1">
      <c r="A762" s="327" t="str">
        <f>IF(AND($B762&lt;&gt;"",$C762&lt;&gt;""),MAX($A$4:A761)+1,"")</f>
        <v/>
      </c>
      <c r="B762" s="361" t="s">
        <v>823</v>
      </c>
      <c r="C762" s="364"/>
      <c r="D762" s="327">
        <f>IF($B762="","",COUNTIF($B$6:$B762,$B762))</f>
        <v>18</v>
      </c>
      <c r="E762" s="361" t="s">
        <v>2296</v>
      </c>
      <c r="F762" s="362" t="s">
        <v>613</v>
      </c>
      <c r="G762" s="361" t="s">
        <v>329</v>
      </c>
      <c r="H762" s="328" t="s">
        <v>536</v>
      </c>
      <c r="I762" s="327">
        <v>4</v>
      </c>
      <c r="J762" s="361" t="s">
        <v>1295</v>
      </c>
      <c r="K762" s="327" t="s">
        <v>531</v>
      </c>
      <c r="L762" s="348">
        <f t="shared" si="60"/>
        <v>354000</v>
      </c>
      <c r="M762" s="355"/>
      <c r="N762" s="355" t="str">
        <f t="shared" si="62"/>
        <v>PR</v>
      </c>
      <c r="O762" s="345"/>
      <c r="P762" s="325"/>
      <c r="Q762" s="351">
        <v>130</v>
      </c>
      <c r="R762" s="351">
        <v>1.5</v>
      </c>
      <c r="S762" s="351">
        <v>5.8</v>
      </c>
      <c r="T762" s="351">
        <f t="shared" ref="T762:T763" si="68">11.8/S762</f>
        <v>2.0344827586206899</v>
      </c>
      <c r="U762" s="329">
        <f>IF($N762=$N$4,IFERROR(INDEX(DanhMuc!$E$154:$E$165,MATCH(MID($B762,4,2),DanhMuc!$B$154:$B$165,0)),""),"")</f>
        <v>5800</v>
      </c>
      <c r="V762" s="325"/>
      <c r="W762" s="352" t="str">
        <f>+IF(AND($A762&lt;&gt;"",LEN($B762)&gt;=8,COUNTIF($B$6:$B762,$B762)=1),$W$5,"")</f>
        <v/>
      </c>
      <c r="X762" s="329" t="str">
        <f t="shared" si="56"/>
        <v>TSL</v>
      </c>
      <c r="Y762" s="1128" t="s">
        <v>3380</v>
      </c>
      <c r="Z762" s="1128" t="s">
        <v>3381</v>
      </c>
      <c r="AA762" s="1128" t="s">
        <v>3384</v>
      </c>
      <c r="AC762" s="73"/>
    </row>
    <row r="763" spans="1:29" s="20" customFormat="1">
      <c r="A763" s="327" t="str">
        <f>IF(AND($B763&lt;&gt;"",$C763&lt;&gt;""),MAX($A$4:A762)+1,"")</f>
        <v/>
      </c>
      <c r="B763" s="361" t="s">
        <v>823</v>
      </c>
      <c r="C763" s="364"/>
      <c r="D763" s="327">
        <f>IF($B763="","",COUNTIF($B$6:$B763,$B763))</f>
        <v>19</v>
      </c>
      <c r="E763" s="361" t="s">
        <v>2296</v>
      </c>
      <c r="F763" s="362" t="s">
        <v>613</v>
      </c>
      <c r="G763" s="361" t="s">
        <v>328</v>
      </c>
      <c r="H763" s="328" t="s">
        <v>536</v>
      </c>
      <c r="I763" s="327">
        <v>4</v>
      </c>
      <c r="J763" s="361" t="s">
        <v>1296</v>
      </c>
      <c r="K763" s="327" t="s">
        <v>531</v>
      </c>
      <c r="L763" s="348">
        <f t="shared" si="60"/>
        <v>354000</v>
      </c>
      <c r="M763" s="355"/>
      <c r="N763" s="355" t="str">
        <f t="shared" si="62"/>
        <v>PR</v>
      </c>
      <c r="O763" s="345"/>
      <c r="P763" s="325"/>
      <c r="Q763" s="351">
        <v>130</v>
      </c>
      <c r="R763" s="351">
        <v>1.5</v>
      </c>
      <c r="S763" s="351">
        <v>5.8</v>
      </c>
      <c r="T763" s="351">
        <f t="shared" si="68"/>
        <v>2.0344827586206899</v>
      </c>
      <c r="U763" s="329">
        <f>IF($N763=$N$4,IFERROR(INDEX(DanhMuc!$E$154:$E$165,MATCH(MID($B763,4,2),DanhMuc!$B$154:$B$165,0)),""),"")</f>
        <v>5800</v>
      </c>
      <c r="V763" s="325"/>
      <c r="W763" s="352" t="str">
        <f>+IF(AND($A763&lt;&gt;"",LEN($B763)&gt;=8,COUNTIF($B$6:$B763,$B763)=1),$W$5,"")</f>
        <v/>
      </c>
      <c r="X763" s="329" t="str">
        <f t="shared" si="56"/>
        <v>TSL</v>
      </c>
      <c r="Y763" s="1128" t="s">
        <v>3380</v>
      </c>
      <c r="Z763" s="1128" t="s">
        <v>3381</v>
      </c>
      <c r="AA763" s="1128" t="s">
        <v>3384</v>
      </c>
      <c r="AC763" s="73"/>
    </row>
    <row r="764" spans="1:29" s="20" customFormat="1" ht="26">
      <c r="A764" s="327">
        <f>IF(AND($B764&lt;&gt;"",$C764&lt;&gt;""),MAX($A$4:A763)+1,"")</f>
        <v>64</v>
      </c>
      <c r="B764" s="359" t="s">
        <v>826</v>
      </c>
      <c r="C764" s="370" t="s">
        <v>1559</v>
      </c>
      <c r="D764" s="327">
        <f>IF($B764="","",COUNTIF($B$6:$B764,$B764))</f>
        <v>1</v>
      </c>
      <c r="E764" s="363" t="s">
        <v>617</v>
      </c>
      <c r="F764" s="362" t="s">
        <v>618</v>
      </c>
      <c r="G764" s="361" t="s">
        <v>329</v>
      </c>
      <c r="H764" s="325"/>
      <c r="I764" s="327">
        <v>1</v>
      </c>
      <c r="J764" s="361" t="s">
        <v>762</v>
      </c>
      <c r="K764" s="327" t="s">
        <v>516</v>
      </c>
      <c r="L764" s="348">
        <f t="shared" si="60"/>
        <v>315084.99999999994</v>
      </c>
      <c r="M764" s="355"/>
      <c r="N764" s="355" t="str">
        <f t="shared" si="62"/>
        <v>PR</v>
      </c>
      <c r="O764" s="345"/>
      <c r="P764" s="325"/>
      <c r="Q764" s="351">
        <v>86</v>
      </c>
      <c r="R764" s="351">
        <v>0</v>
      </c>
      <c r="S764" s="351">
        <v>5.8</v>
      </c>
      <c r="T764" s="351">
        <v>1.0249999999999999</v>
      </c>
      <c r="U764" s="329">
        <f>IF($N764=$N$4,IFERROR(INDEX(DanhMuc!$E$154:$E$165,MATCH(MID($B764,4,2),DanhMuc!$B$154:$B$165,0)),""),"")</f>
        <v>5800</v>
      </c>
      <c r="V764" s="325"/>
      <c r="W764" s="352" t="str">
        <f>+IF(AND($A764&lt;&gt;"",LEN($B764)&gt;=8,COUNTIF($B$6:$B764,$B764)=1),$W$5,"")</f>
        <v>DMCua</v>
      </c>
      <c r="X764" s="329" t="str">
        <f t="shared" si="56"/>
        <v>SL</v>
      </c>
      <c r="Y764" s="1128" t="s">
        <v>3380</v>
      </c>
      <c r="Z764" s="1128" t="s">
        <v>3381</v>
      </c>
      <c r="AA764" s="1128" t="s">
        <v>3384</v>
      </c>
      <c r="AC764" s="73"/>
    </row>
    <row r="765" spans="1:29" s="20" customFormat="1">
      <c r="A765" s="327" t="str">
        <f>IF(AND($B765&lt;&gt;"",$C765&lt;&gt;""),MAX($A$4:A764)+1,"")</f>
        <v/>
      </c>
      <c r="B765" s="361" t="s">
        <v>826</v>
      </c>
      <c r="C765" s="364"/>
      <c r="D765" s="327">
        <f>IF($B765="","",COUNTIF($B$6:$B765,$B765))</f>
        <v>2</v>
      </c>
      <c r="E765" s="363" t="s">
        <v>617</v>
      </c>
      <c r="F765" s="362" t="s">
        <v>618</v>
      </c>
      <c r="G765" s="361" t="s">
        <v>328</v>
      </c>
      <c r="H765" s="325"/>
      <c r="I765" s="327">
        <v>2</v>
      </c>
      <c r="J765" s="361" t="s">
        <v>814</v>
      </c>
      <c r="K765" s="327" t="s">
        <v>1141</v>
      </c>
      <c r="L765" s="348">
        <f t="shared" si="60"/>
        <v>315084.99999999994</v>
      </c>
      <c r="M765" s="355"/>
      <c r="N765" s="355" t="str">
        <f t="shared" si="62"/>
        <v>PR</v>
      </c>
      <c r="O765" s="347"/>
      <c r="P765" s="325"/>
      <c r="Q765" s="351">
        <v>86</v>
      </c>
      <c r="R765" s="351">
        <v>0</v>
      </c>
      <c r="S765" s="351">
        <v>5.8</v>
      </c>
      <c r="T765" s="351">
        <v>1.0249999999999999</v>
      </c>
      <c r="U765" s="329">
        <f>IF($N765=$N$4,IFERROR(INDEX(DanhMuc!$E$154:$E$165,MATCH(MID($B765,4,2),DanhMuc!$B$154:$B$165,0)),""),"")</f>
        <v>5800</v>
      </c>
      <c r="V765" s="325"/>
      <c r="W765" s="352" t="str">
        <f>+IF(AND($A765&lt;&gt;"",LEN($B765)&gt;=8,COUNTIF($B$6:$B765,$B765)=1),$W$5,"")</f>
        <v/>
      </c>
      <c r="X765" s="329" t="str">
        <f t="shared" si="56"/>
        <v>SL</v>
      </c>
      <c r="Y765" s="1128" t="s">
        <v>3380</v>
      </c>
      <c r="Z765" s="1128" t="s">
        <v>3381</v>
      </c>
      <c r="AA765" s="1128" t="s">
        <v>3384</v>
      </c>
      <c r="AC765" s="73"/>
    </row>
    <row r="766" spans="1:29" s="20" customFormat="1">
      <c r="A766" s="327" t="str">
        <f>IF(AND($B766&lt;&gt;"",$C766&lt;&gt;""),MAX($A$4:A765)+1,"")</f>
        <v/>
      </c>
      <c r="B766" s="361" t="s">
        <v>826</v>
      </c>
      <c r="C766" s="364"/>
      <c r="D766" s="327">
        <f>IF($B766="","",COUNTIF($B$6:$B766,$B766))</f>
        <v>3</v>
      </c>
      <c r="E766" s="361" t="s">
        <v>377</v>
      </c>
      <c r="F766" s="362" t="s">
        <v>378</v>
      </c>
      <c r="G766" s="361" t="s">
        <v>329</v>
      </c>
      <c r="H766" s="325"/>
      <c r="I766" s="327">
        <v>4</v>
      </c>
      <c r="J766" s="361" t="s">
        <v>775</v>
      </c>
      <c r="K766" s="327" t="s">
        <v>516</v>
      </c>
      <c r="L766" s="348">
        <f t="shared" si="60"/>
        <v>510898.8</v>
      </c>
      <c r="M766" s="355"/>
      <c r="N766" s="355" t="str">
        <f t="shared" si="62"/>
        <v>PR</v>
      </c>
      <c r="O766" s="345" t="s">
        <v>19</v>
      </c>
      <c r="P766" s="325"/>
      <c r="Q766" s="351">
        <v>65</v>
      </c>
      <c r="R766" s="351">
        <v>0</v>
      </c>
      <c r="S766" s="351">
        <v>5.8</v>
      </c>
      <c r="T766" s="351">
        <v>1.6619999999999999</v>
      </c>
      <c r="U766" s="329">
        <f>IF($N766=$N$4,IFERROR(INDEX(DanhMuc!$E$154:$E$165,MATCH(MID($B766,4,2),DanhMuc!$B$154:$B$165,0)),""),"")</f>
        <v>5800</v>
      </c>
      <c r="V766" s="325"/>
      <c r="W766" s="352" t="str">
        <f>+IF(AND($A766&lt;&gt;"",LEN($B766)&gt;=8,COUNTIF($B$6:$B766,$B766)=1),$W$5,"")</f>
        <v/>
      </c>
      <c r="X766" s="329" t="str">
        <f t="shared" si="56"/>
        <v>SL</v>
      </c>
      <c r="Y766" s="1128" t="s">
        <v>3380</v>
      </c>
      <c r="Z766" s="1128" t="s">
        <v>3381</v>
      </c>
      <c r="AA766" s="1128" t="s">
        <v>3384</v>
      </c>
      <c r="AC766" s="73"/>
    </row>
    <row r="767" spans="1:29" s="20" customFormat="1">
      <c r="A767" s="327" t="str">
        <f>IF(AND($B767&lt;&gt;"",$C767&lt;&gt;""),MAX($A$4:A766)+1,"")</f>
        <v/>
      </c>
      <c r="B767" s="361" t="s">
        <v>826</v>
      </c>
      <c r="C767" s="364"/>
      <c r="D767" s="327">
        <f>IF($B767="","",COUNTIF($B$6:$B767,$B767))</f>
        <v>4</v>
      </c>
      <c r="E767" s="361" t="s">
        <v>377</v>
      </c>
      <c r="F767" s="362" t="s">
        <v>378</v>
      </c>
      <c r="G767" s="361" t="s">
        <v>328</v>
      </c>
      <c r="H767" s="325"/>
      <c r="I767" s="327">
        <v>4</v>
      </c>
      <c r="J767" s="361" t="s">
        <v>829</v>
      </c>
      <c r="K767" s="327" t="s">
        <v>516</v>
      </c>
      <c r="L767" s="348">
        <f t="shared" si="60"/>
        <v>510898.8</v>
      </c>
      <c r="M767" s="355"/>
      <c r="N767" s="355" t="str">
        <f t="shared" si="62"/>
        <v>PR</v>
      </c>
      <c r="O767" s="345" t="s">
        <v>19</v>
      </c>
      <c r="P767" s="325"/>
      <c r="Q767" s="351">
        <v>65</v>
      </c>
      <c r="R767" s="351">
        <v>0</v>
      </c>
      <c r="S767" s="351">
        <v>5.8</v>
      </c>
      <c r="T767" s="351">
        <v>1.6619999999999999</v>
      </c>
      <c r="U767" s="329">
        <f>IF($N767=$N$4,IFERROR(INDEX(DanhMuc!$E$154:$E$165,MATCH(MID($B767,4,2),DanhMuc!$B$154:$B$165,0)),""),"")</f>
        <v>5800</v>
      </c>
      <c r="V767" s="325"/>
      <c r="W767" s="352" t="str">
        <f>+IF(AND($A767&lt;&gt;"",LEN($B767)&gt;=8,COUNTIF($B$6:$B767,$B767)=1),$W$5,"")</f>
        <v/>
      </c>
      <c r="X767" s="329" t="str">
        <f t="shared" si="56"/>
        <v>SL</v>
      </c>
      <c r="Y767" s="1128" t="s">
        <v>3380</v>
      </c>
      <c r="Z767" s="1128" t="s">
        <v>3381</v>
      </c>
      <c r="AA767" s="1128" t="s">
        <v>3384</v>
      </c>
      <c r="AC767" s="73"/>
    </row>
    <row r="768" spans="1:29" s="20" customFormat="1">
      <c r="A768" s="327" t="str">
        <f>IF(AND($B768&lt;&gt;"",$C768&lt;&gt;""),MAX($A$4:A767)+1,"")</f>
        <v/>
      </c>
      <c r="B768" s="361" t="s">
        <v>826</v>
      </c>
      <c r="C768" s="364"/>
      <c r="D768" s="327">
        <f>IF($B768="","",COUNTIF($B$6:$B768,$B768))</f>
        <v>5</v>
      </c>
      <c r="E768" s="361" t="s">
        <v>379</v>
      </c>
      <c r="F768" s="362" t="s">
        <v>380</v>
      </c>
      <c r="G768" s="361" t="s">
        <v>329</v>
      </c>
      <c r="H768" s="325"/>
      <c r="I768" s="327">
        <v>4</v>
      </c>
      <c r="J768" s="361" t="s">
        <v>775</v>
      </c>
      <c r="K768" s="327" t="s">
        <v>516</v>
      </c>
      <c r="L768" s="348">
        <f t="shared" si="60"/>
        <v>516124.60000000003</v>
      </c>
      <c r="M768" s="355"/>
      <c r="N768" s="355" t="str">
        <f t="shared" si="62"/>
        <v>PR</v>
      </c>
      <c r="O768" s="345" t="s">
        <v>16</v>
      </c>
      <c r="P768" s="325"/>
      <c r="Q768" s="351">
        <v>65</v>
      </c>
      <c r="R768" s="351">
        <v>0</v>
      </c>
      <c r="S768" s="351">
        <v>5.8</v>
      </c>
      <c r="T768" s="351">
        <v>1.679</v>
      </c>
      <c r="U768" s="329">
        <f>IF($N768=$N$4,IFERROR(INDEX(DanhMuc!$E$154:$E$165,MATCH(MID($B768,4,2),DanhMuc!$B$154:$B$165,0)),""),"")</f>
        <v>5800</v>
      </c>
      <c r="V768" s="325"/>
      <c r="W768" s="352" t="str">
        <f>+IF(AND($A768&lt;&gt;"",LEN($B768)&gt;=8,COUNTIF($B$6:$B768,$B768)=1),$W$5,"")</f>
        <v/>
      </c>
      <c r="X768" s="329" t="str">
        <f t="shared" si="56"/>
        <v>SL</v>
      </c>
      <c r="Y768" s="1128" t="s">
        <v>3380</v>
      </c>
      <c r="Z768" s="1128" t="s">
        <v>3381</v>
      </c>
      <c r="AA768" s="1128" t="s">
        <v>3384</v>
      </c>
      <c r="AC768" s="73"/>
    </row>
    <row r="769" spans="1:29" s="20" customFormat="1">
      <c r="A769" s="327" t="str">
        <f>IF(AND($B769&lt;&gt;"",$C769&lt;&gt;""),MAX($A$4:A768)+1,"")</f>
        <v/>
      </c>
      <c r="B769" s="361" t="s">
        <v>826</v>
      </c>
      <c r="C769" s="364"/>
      <c r="D769" s="327">
        <f>IF($B769="","",COUNTIF($B$6:$B769,$B769))</f>
        <v>6</v>
      </c>
      <c r="E769" s="361" t="s">
        <v>379</v>
      </c>
      <c r="F769" s="362" t="s">
        <v>380</v>
      </c>
      <c r="G769" s="361" t="s">
        <v>328</v>
      </c>
      <c r="H769" s="325"/>
      <c r="I769" s="327">
        <v>4</v>
      </c>
      <c r="J769" s="361" t="s">
        <v>829</v>
      </c>
      <c r="K769" s="327" t="s">
        <v>516</v>
      </c>
      <c r="L769" s="348">
        <f t="shared" si="60"/>
        <v>516124.60000000003</v>
      </c>
      <c r="M769" s="355"/>
      <c r="N769" s="355" t="str">
        <f t="shared" si="62"/>
        <v>PR</v>
      </c>
      <c r="O769" s="345" t="s">
        <v>16</v>
      </c>
      <c r="P769" s="325"/>
      <c r="Q769" s="351">
        <v>65</v>
      </c>
      <c r="R769" s="351">
        <v>0</v>
      </c>
      <c r="S769" s="351">
        <v>5.8</v>
      </c>
      <c r="T769" s="351">
        <v>1.679</v>
      </c>
      <c r="U769" s="329">
        <f>IF($N769=$N$4,IFERROR(INDEX(DanhMuc!$E$154:$E$165,MATCH(MID($B769,4,2),DanhMuc!$B$154:$B$165,0)),""),"")</f>
        <v>5800</v>
      </c>
      <c r="V769" s="325"/>
      <c r="W769" s="352" t="str">
        <f>+IF(AND($A769&lt;&gt;"",LEN($B769)&gt;=8,COUNTIF($B$6:$B769,$B769)=1),$W$5,"")</f>
        <v/>
      </c>
      <c r="X769" s="329" t="str">
        <f t="shared" ref="X769:X832" si="69">IF(IFERROR(SEARCH("thép",$F769,1),0)&gt;=1,"T" &amp;MID($B769,4,2),MID($B769,4,2))</f>
        <v>SL</v>
      </c>
      <c r="Y769" s="1128" t="s">
        <v>3380</v>
      </c>
      <c r="Z769" s="1128" t="s">
        <v>3381</v>
      </c>
      <c r="AA769" s="1128" t="s">
        <v>3384</v>
      </c>
      <c r="AC769" s="73"/>
    </row>
    <row r="770" spans="1:29" s="20" customFormat="1">
      <c r="A770" s="327" t="str">
        <f>IF(AND($B770&lt;&gt;"",$C770&lt;&gt;""),MAX($A$4:A769)+1,"")</f>
        <v/>
      </c>
      <c r="B770" s="361" t="s">
        <v>826</v>
      </c>
      <c r="C770" s="364"/>
      <c r="D770" s="327">
        <f>IF($B770="","",COUNTIF($B$6:$B770,$B770))</f>
        <v>7</v>
      </c>
      <c r="E770" s="361" t="s">
        <v>625</v>
      </c>
      <c r="F770" s="362" t="s">
        <v>437</v>
      </c>
      <c r="G770" s="361" t="s">
        <v>329</v>
      </c>
      <c r="H770" s="325"/>
      <c r="I770" s="327">
        <v>2</v>
      </c>
      <c r="J770" s="361" t="s">
        <v>836</v>
      </c>
      <c r="K770" s="327" t="s">
        <v>531</v>
      </c>
      <c r="L770" s="348">
        <f t="shared" si="60"/>
        <v>196857.14285714296</v>
      </c>
      <c r="M770" s="355"/>
      <c r="N770" s="355" t="str">
        <f t="shared" si="62"/>
        <v>PR</v>
      </c>
      <c r="O770" s="347" t="s">
        <v>1475</v>
      </c>
      <c r="P770" s="325"/>
      <c r="Q770" s="351"/>
      <c r="R770" s="351">
        <v>0</v>
      </c>
      <c r="S770" s="351">
        <v>5.8</v>
      </c>
      <c r="T770" s="351">
        <v>0.64039408866995107</v>
      </c>
      <c r="U770" s="329">
        <f>IF($N770=$N$4,IFERROR(INDEX(DanhMuc!$E$154:$E$165,MATCH(MID($B770,4,2),DanhMuc!$B$154:$B$165,0)),""),"")</f>
        <v>5800</v>
      </c>
      <c r="V770" s="325" t="s">
        <v>626</v>
      </c>
      <c r="W770" s="352" t="str">
        <f>+IF(AND($A770&lt;&gt;"",LEN($B770)&gt;=8,COUNTIF($B$6:$B770,$B770)=1),$W$5,"")</f>
        <v/>
      </c>
      <c r="X770" s="329" t="str">
        <f t="shared" si="69"/>
        <v>SL</v>
      </c>
      <c r="Y770" s="1128" t="s">
        <v>3380</v>
      </c>
      <c r="Z770" s="1128" t="s">
        <v>3381</v>
      </c>
      <c r="AA770" s="1128" t="s">
        <v>3384</v>
      </c>
      <c r="AC770" s="73"/>
    </row>
    <row r="771" spans="1:29" s="20" customFormat="1">
      <c r="A771" s="327" t="str">
        <f>IF(AND($B771&lt;&gt;"",$C771&lt;&gt;""),MAX($A$4:A770)+1,"")</f>
        <v/>
      </c>
      <c r="B771" s="628" t="s">
        <v>826</v>
      </c>
      <c r="C771" s="629"/>
      <c r="D771" s="630">
        <f>IF($B771="","",COUNTIF($B$6:$B771,$B771))</f>
        <v>8</v>
      </c>
      <c r="E771" s="628" t="s">
        <v>623</v>
      </c>
      <c r="F771" s="631" t="s">
        <v>865</v>
      </c>
      <c r="G771" s="628" t="s">
        <v>329</v>
      </c>
      <c r="H771" s="325"/>
      <c r="I771" s="327">
        <v>1</v>
      </c>
      <c r="J771" s="361" t="s">
        <v>818</v>
      </c>
      <c r="K771" s="327" t="s">
        <v>531</v>
      </c>
      <c r="L771" s="625">
        <f t="shared" ref="L771" si="70">+$T771*$S771*$L$37</f>
        <v>536931.81818181812</v>
      </c>
      <c r="M771" s="355"/>
      <c r="N771" s="355" t="str">
        <f t="shared" si="62"/>
        <v>PR</v>
      </c>
      <c r="O771" s="347" t="s">
        <v>1476</v>
      </c>
      <c r="P771" s="632"/>
      <c r="Q771" s="627"/>
      <c r="R771" s="627"/>
      <c r="S771" s="627">
        <v>5.8</v>
      </c>
      <c r="T771" s="627">
        <v>0.8816614420062695</v>
      </c>
      <c r="U771" s="329">
        <f>IF($N771=$N$4,IFERROR(INDEX(DanhMuc!$E$154:$E$165,MATCH(MID($B771,4,2),DanhMuc!$B$154:$B$165,0)),""),"")</f>
        <v>5800</v>
      </c>
      <c r="V771" s="325" t="s">
        <v>624</v>
      </c>
      <c r="W771" s="352" t="str">
        <f>+IF(AND($A771&lt;&gt;"",LEN($B771)&gt;=8,COUNTIF($B$6:$B771,$B771)=1),$W$5,"")</f>
        <v/>
      </c>
      <c r="X771" s="329" t="str">
        <f t="shared" si="69"/>
        <v>SL</v>
      </c>
      <c r="Y771" s="1128" t="s">
        <v>3380</v>
      </c>
      <c r="Z771" s="1128" t="s">
        <v>3381</v>
      </c>
      <c r="AA771" s="1128" t="s">
        <v>3384</v>
      </c>
      <c r="AC771" s="73"/>
    </row>
    <row r="772" spans="1:29" s="20" customFormat="1">
      <c r="A772" s="327" t="str">
        <f>IF(AND($B772&lt;&gt;"",$C772&lt;&gt;""),MAX($A$4:A771)+1,"")</f>
        <v/>
      </c>
      <c r="B772" s="361" t="s">
        <v>826</v>
      </c>
      <c r="C772" s="364"/>
      <c r="D772" s="327">
        <f>IF($B772="","",COUNTIF($B$6:$B772,$B772))</f>
        <v>9</v>
      </c>
      <c r="E772" s="361" t="s">
        <v>776</v>
      </c>
      <c r="F772" s="362" t="s">
        <v>761</v>
      </c>
      <c r="G772" s="361" t="s">
        <v>328</v>
      </c>
      <c r="H772" s="325"/>
      <c r="I772" s="327">
        <v>1</v>
      </c>
      <c r="J772" s="361" t="s">
        <v>1438</v>
      </c>
      <c r="K772" s="327" t="s">
        <v>531</v>
      </c>
      <c r="L772" s="348">
        <f t="shared" si="60"/>
        <v>282808</v>
      </c>
      <c r="M772" s="355"/>
      <c r="N772" s="355" t="str">
        <f t="shared" ref="N772" si="71">+$N$4</f>
        <v>PR</v>
      </c>
      <c r="O772" s="345"/>
      <c r="P772" s="325"/>
      <c r="Q772" s="351"/>
      <c r="R772" s="351">
        <v>0</v>
      </c>
      <c r="S772" s="351">
        <v>5.8</v>
      </c>
      <c r="T772" s="351">
        <v>0.92</v>
      </c>
      <c r="U772" s="329">
        <f>IF($N772=$N$4,IFERROR(INDEX(DanhMuc!$E$154:$E$165,MATCH(MID($B772,4,2),DanhMuc!$B$154:$B$165,0)),""),"")</f>
        <v>5800</v>
      </c>
      <c r="V772" s="325"/>
      <c r="W772" s="352" t="str">
        <f>+IF(AND($A772&lt;&gt;"",LEN($B772)&gt;=8,COUNTIF($B$6:$B772,$B772)=1),$W$5,"")</f>
        <v/>
      </c>
      <c r="X772" s="329" t="str">
        <f t="shared" si="69"/>
        <v>SL</v>
      </c>
      <c r="Y772" s="1128" t="s">
        <v>3380</v>
      </c>
      <c r="Z772" s="1128" t="s">
        <v>3381</v>
      </c>
      <c r="AA772" s="1128" t="s">
        <v>3384</v>
      </c>
      <c r="AC772" s="73"/>
    </row>
    <row r="773" spans="1:29" s="20" customFormat="1">
      <c r="A773" s="327" t="str">
        <f>IF(AND($B773&lt;&gt;"",$C773&lt;&gt;""),MAX($A$4:A772)+1,"")</f>
        <v/>
      </c>
      <c r="B773" s="361" t="s">
        <v>826</v>
      </c>
      <c r="C773" s="364"/>
      <c r="D773" s="327">
        <f>IF($B773="","",COUNTIF($B$6:$B773,$B773))</f>
        <v>10</v>
      </c>
      <c r="E773" s="361" t="s">
        <v>381</v>
      </c>
      <c r="F773" s="362" t="s">
        <v>896</v>
      </c>
      <c r="G773" s="361" t="s">
        <v>329</v>
      </c>
      <c r="H773" s="325"/>
      <c r="I773" s="327">
        <v>4</v>
      </c>
      <c r="J773" s="361" t="s">
        <v>837</v>
      </c>
      <c r="K773" s="327" t="s">
        <v>516</v>
      </c>
      <c r="L773" s="348">
        <f t="shared" si="60"/>
        <v>89146</v>
      </c>
      <c r="M773" s="355"/>
      <c r="N773" s="355" t="str">
        <f t="shared" si="62"/>
        <v>PR</v>
      </c>
      <c r="O773" s="347">
        <v>7</v>
      </c>
      <c r="P773" s="325"/>
      <c r="Q773" s="351">
        <v>0</v>
      </c>
      <c r="R773" s="351">
        <v>0</v>
      </c>
      <c r="S773" s="351">
        <v>5.8</v>
      </c>
      <c r="T773" s="351">
        <v>0.28999999999999998</v>
      </c>
      <c r="U773" s="329">
        <f>IF($N773=$N$4,IFERROR(INDEX(DanhMuc!$E$154:$E$165,MATCH(MID($B773,4,2),DanhMuc!$B$154:$B$165,0)),""),"")</f>
        <v>5800</v>
      </c>
      <c r="V773" s="325"/>
      <c r="W773" s="352" t="str">
        <f>+IF(AND($A773&lt;&gt;"",LEN($B773)&gt;=8,COUNTIF($B$6:$B773,$B773)=1),$W$5,"")</f>
        <v/>
      </c>
      <c r="X773" s="329" t="str">
        <f t="shared" si="69"/>
        <v>SL</v>
      </c>
      <c r="Y773" s="1128" t="s">
        <v>3380</v>
      </c>
      <c r="Z773" s="1128" t="s">
        <v>3381</v>
      </c>
      <c r="AA773" s="1128" t="s">
        <v>3384</v>
      </c>
      <c r="AC773" s="73"/>
    </row>
    <row r="774" spans="1:29" s="20" customFormat="1">
      <c r="A774" s="327" t="str">
        <f>IF(AND($B774&lt;&gt;"",$C774&lt;&gt;""),MAX($A$4:A773)+1,"")</f>
        <v/>
      </c>
      <c r="B774" s="361" t="s">
        <v>826</v>
      </c>
      <c r="C774" s="364"/>
      <c r="D774" s="327">
        <f>IF($B774="","",COUNTIF($B$6:$B774,$B774))</f>
        <v>11</v>
      </c>
      <c r="E774" s="361" t="s">
        <v>381</v>
      </c>
      <c r="F774" s="362" t="s">
        <v>896</v>
      </c>
      <c r="G774" s="361" t="s">
        <v>328</v>
      </c>
      <c r="H774" s="325"/>
      <c r="I774" s="327">
        <v>4</v>
      </c>
      <c r="J774" s="363" t="s">
        <v>832</v>
      </c>
      <c r="K774" s="327" t="s">
        <v>516</v>
      </c>
      <c r="L774" s="348">
        <f t="shared" si="60"/>
        <v>89146</v>
      </c>
      <c r="M774" s="355"/>
      <c r="N774" s="355" t="str">
        <f t="shared" si="62"/>
        <v>PR</v>
      </c>
      <c r="O774" s="347">
        <v>7</v>
      </c>
      <c r="P774" s="325"/>
      <c r="Q774" s="351">
        <v>0</v>
      </c>
      <c r="R774" s="351">
        <v>0</v>
      </c>
      <c r="S774" s="351">
        <v>5.8</v>
      </c>
      <c r="T774" s="351">
        <v>0.28999999999999998</v>
      </c>
      <c r="U774" s="329">
        <f>IF($N774=$N$4,IFERROR(INDEX(DanhMuc!$E$154:$E$165,MATCH(MID($B774,4,2),DanhMuc!$B$154:$B$165,0)),""),"")</f>
        <v>5800</v>
      </c>
      <c r="V774" s="325"/>
      <c r="W774" s="352" t="str">
        <f>+IF(AND($A774&lt;&gt;"",LEN($B774)&gt;=8,COUNTIF($B$6:$B774,$B774)=1),$W$5,"")</f>
        <v/>
      </c>
      <c r="X774" s="329" t="str">
        <f t="shared" si="69"/>
        <v>SL</v>
      </c>
      <c r="Y774" s="1128" t="s">
        <v>3380</v>
      </c>
      <c r="Z774" s="1128" t="s">
        <v>3381</v>
      </c>
      <c r="AA774" s="1128" t="s">
        <v>3384</v>
      </c>
      <c r="AC774" s="73"/>
    </row>
    <row r="775" spans="1:29" s="20" customFormat="1">
      <c r="A775" s="327" t="str">
        <f>IF(AND($B775&lt;&gt;"",$C775&lt;&gt;""),MAX($A$4:A774)+1,"")</f>
        <v/>
      </c>
      <c r="B775" s="361" t="s">
        <v>826</v>
      </c>
      <c r="C775" s="364"/>
      <c r="D775" s="327">
        <f>IF($B775="","",COUNTIF($B$6:$B775,$B775))</f>
        <v>12</v>
      </c>
      <c r="E775" s="361" t="s">
        <v>382</v>
      </c>
      <c r="F775" s="362" t="s">
        <v>897</v>
      </c>
      <c r="G775" s="361" t="s">
        <v>329</v>
      </c>
      <c r="H775" s="325"/>
      <c r="I775" s="327">
        <v>4</v>
      </c>
      <c r="J775" s="361" t="s">
        <v>837</v>
      </c>
      <c r="K775" s="327" t="s">
        <v>516</v>
      </c>
      <c r="L775" s="348">
        <f t="shared" si="60"/>
        <v>82075.8</v>
      </c>
      <c r="M775" s="355"/>
      <c r="N775" s="355" t="str">
        <f t="shared" si="62"/>
        <v>PR</v>
      </c>
      <c r="O775" s="347">
        <v>11</v>
      </c>
      <c r="P775" s="325"/>
      <c r="Q775" s="351">
        <v>0</v>
      </c>
      <c r="R775" s="351">
        <v>0</v>
      </c>
      <c r="S775" s="351">
        <v>5.8</v>
      </c>
      <c r="T775" s="351">
        <v>0.26700000000000002</v>
      </c>
      <c r="U775" s="329">
        <f>IF($N775=$N$4,IFERROR(INDEX(DanhMuc!$E$154:$E$165,MATCH(MID($B775,4,2),DanhMuc!$B$154:$B$165,0)),""),"")</f>
        <v>5800</v>
      </c>
      <c r="V775" s="325"/>
      <c r="W775" s="352" t="str">
        <f>+IF(AND($A775&lt;&gt;"",LEN($B775)&gt;=8,COUNTIF($B$6:$B775,$B775)=1),$W$5,"")</f>
        <v/>
      </c>
      <c r="X775" s="329" t="str">
        <f t="shared" si="69"/>
        <v>SL</v>
      </c>
      <c r="Y775" s="1128" t="s">
        <v>3380</v>
      </c>
      <c r="Z775" s="1128" t="s">
        <v>3381</v>
      </c>
      <c r="AA775" s="1128" t="s">
        <v>3384</v>
      </c>
      <c r="AC775" s="73"/>
    </row>
    <row r="776" spans="1:29" s="20" customFormat="1">
      <c r="A776" s="327" t="str">
        <f>IF(AND($B776&lt;&gt;"",$C776&lt;&gt;""),MAX($A$4:A775)+1,"")</f>
        <v/>
      </c>
      <c r="B776" s="361" t="s">
        <v>826</v>
      </c>
      <c r="C776" s="364"/>
      <c r="D776" s="327">
        <f>IF($B776="","",COUNTIF($B$6:$B776,$B776))</f>
        <v>13</v>
      </c>
      <c r="E776" s="361" t="s">
        <v>382</v>
      </c>
      <c r="F776" s="362" t="s">
        <v>897</v>
      </c>
      <c r="G776" s="361" t="s">
        <v>328</v>
      </c>
      <c r="H776" s="325"/>
      <c r="I776" s="327">
        <v>4</v>
      </c>
      <c r="J776" s="363" t="s">
        <v>832</v>
      </c>
      <c r="K776" s="327" t="s">
        <v>516</v>
      </c>
      <c r="L776" s="348">
        <f t="shared" ref="L776:L878" si="72">+$T776*$S776*IF(IFERROR(SEARCH("THÉP",$F776,1),0)&lt;1,$L$708,$K$708)</f>
        <v>82075.8</v>
      </c>
      <c r="M776" s="355"/>
      <c r="N776" s="355" t="str">
        <f t="shared" si="62"/>
        <v>PR</v>
      </c>
      <c r="O776" s="347">
        <v>11</v>
      </c>
      <c r="P776" s="325"/>
      <c r="Q776" s="351">
        <v>0</v>
      </c>
      <c r="R776" s="351">
        <v>0</v>
      </c>
      <c r="S776" s="351">
        <v>5.8</v>
      </c>
      <c r="T776" s="351">
        <v>0.26700000000000002</v>
      </c>
      <c r="U776" s="329">
        <f>IF($N776=$N$4,IFERROR(INDEX(DanhMuc!$E$154:$E$165,MATCH(MID($B776,4,2),DanhMuc!$B$154:$B$165,0)),""),"")</f>
        <v>5800</v>
      </c>
      <c r="V776" s="325"/>
      <c r="W776" s="352" t="str">
        <f>+IF(AND($A776&lt;&gt;"",LEN($B776)&gt;=8,COUNTIF($B$6:$B776,$B776)=1),$W$5,"")</f>
        <v/>
      </c>
      <c r="X776" s="329" t="str">
        <f t="shared" si="69"/>
        <v>SL</v>
      </c>
      <c r="Y776" s="1128" t="s">
        <v>3380</v>
      </c>
      <c r="Z776" s="1128" t="s">
        <v>3381</v>
      </c>
      <c r="AA776" s="1128" t="s">
        <v>3384</v>
      </c>
      <c r="AC776" s="73"/>
    </row>
    <row r="777" spans="1:29" s="20" customFormat="1">
      <c r="A777" s="327" t="str">
        <f>IF(AND($B777&lt;&gt;"",$C777&lt;&gt;""),MAX($A$4:A776)+1,"")</f>
        <v/>
      </c>
      <c r="B777" s="361" t="s">
        <v>826</v>
      </c>
      <c r="C777" s="364"/>
      <c r="D777" s="327">
        <f>IF($B777="","",COUNTIF($B$6:$B777,$B777))</f>
        <v>14</v>
      </c>
      <c r="E777" s="361" t="s">
        <v>895</v>
      </c>
      <c r="F777" s="362" t="s">
        <v>2065</v>
      </c>
      <c r="G777" s="361" t="s">
        <v>329</v>
      </c>
      <c r="H777" s="325"/>
      <c r="I777" s="327">
        <v>4</v>
      </c>
      <c r="J777" s="361" t="s">
        <v>837</v>
      </c>
      <c r="K777" s="327" t="s">
        <v>516</v>
      </c>
      <c r="L777" s="348">
        <f t="shared" si="72"/>
        <v>66091</v>
      </c>
      <c r="M777" s="355"/>
      <c r="N777" s="355" t="str">
        <f t="shared" si="62"/>
        <v>PR</v>
      </c>
      <c r="O777" s="347">
        <v>19</v>
      </c>
      <c r="P777" s="325"/>
      <c r="Q777" s="351">
        <v>0</v>
      </c>
      <c r="R777" s="351">
        <v>0</v>
      </c>
      <c r="S777" s="351">
        <v>5.8</v>
      </c>
      <c r="T777" s="351">
        <v>0.215</v>
      </c>
      <c r="U777" s="329">
        <f>IF($N777=$N$4,IFERROR(INDEX(DanhMuc!$E$154:$E$165,MATCH(MID($B777,4,2),DanhMuc!$B$154:$B$165,0)),""),"")</f>
        <v>5800</v>
      </c>
      <c r="V777" s="325"/>
      <c r="W777" s="352" t="str">
        <f>+IF(AND($A777&lt;&gt;"",LEN($B777)&gt;=8,COUNTIF($B$6:$B777,$B777)=1),$W$5,"")</f>
        <v/>
      </c>
      <c r="X777" s="329" t="str">
        <f t="shared" si="69"/>
        <v>SL</v>
      </c>
      <c r="Y777" s="1128" t="s">
        <v>3380</v>
      </c>
      <c r="Z777" s="1128" t="s">
        <v>3381</v>
      </c>
      <c r="AA777" s="1128" t="s">
        <v>3384</v>
      </c>
      <c r="AC777" s="73"/>
    </row>
    <row r="778" spans="1:29" s="20" customFormat="1">
      <c r="A778" s="327" t="str">
        <f>IF(AND($B778&lt;&gt;"",$C778&lt;&gt;""),MAX($A$4:A777)+1,"")</f>
        <v/>
      </c>
      <c r="B778" s="361" t="s">
        <v>826</v>
      </c>
      <c r="C778" s="364"/>
      <c r="D778" s="327">
        <f>IF($B778="","",COUNTIF($B$6:$B778,$B778))</f>
        <v>15</v>
      </c>
      <c r="E778" s="361" t="s">
        <v>895</v>
      </c>
      <c r="F778" s="362" t="s">
        <v>2065</v>
      </c>
      <c r="G778" s="361" t="s">
        <v>328</v>
      </c>
      <c r="H778" s="325"/>
      <c r="I778" s="327">
        <v>4</v>
      </c>
      <c r="J778" s="363" t="s">
        <v>832</v>
      </c>
      <c r="K778" s="327" t="s">
        <v>516</v>
      </c>
      <c r="L778" s="348">
        <f t="shared" si="72"/>
        <v>66091</v>
      </c>
      <c r="M778" s="355"/>
      <c r="N778" s="355" t="str">
        <f t="shared" si="62"/>
        <v>PR</v>
      </c>
      <c r="O778" s="347">
        <v>19</v>
      </c>
      <c r="P778" s="325"/>
      <c r="Q778" s="351">
        <v>0</v>
      </c>
      <c r="R778" s="351">
        <v>0</v>
      </c>
      <c r="S778" s="351">
        <v>5.8</v>
      </c>
      <c r="T778" s="351">
        <v>0.215</v>
      </c>
      <c r="U778" s="329">
        <f>IF($N778=$N$4,IFERROR(INDEX(DanhMuc!$E$154:$E$165,MATCH(MID($B778,4,2),DanhMuc!$B$154:$B$165,0)),""),"")</f>
        <v>5800</v>
      </c>
      <c r="V778" s="325"/>
      <c r="W778" s="352" t="str">
        <f>+IF(AND($A778&lt;&gt;"",LEN($B778)&gt;=8,COUNTIF($B$6:$B778,$B778)=1),$W$5,"")</f>
        <v/>
      </c>
      <c r="X778" s="329" t="str">
        <f t="shared" si="69"/>
        <v>SL</v>
      </c>
      <c r="Y778" s="1128" t="s">
        <v>3380</v>
      </c>
      <c r="Z778" s="1128" t="s">
        <v>3381</v>
      </c>
      <c r="AA778" s="1128" t="s">
        <v>3384</v>
      </c>
      <c r="AC778" s="73"/>
    </row>
    <row r="779" spans="1:29" s="20" customFormat="1">
      <c r="A779" s="327" t="str">
        <f>IF(AND($B779&lt;&gt;"",$C779&lt;&gt;""),MAX($A$4:A778)+1,"")</f>
        <v/>
      </c>
      <c r="B779" s="361" t="s">
        <v>826</v>
      </c>
      <c r="C779" s="364"/>
      <c r="D779" s="327">
        <f>IF($B779="","",COUNTIF($B$6:$B779,$B779))</f>
        <v>16</v>
      </c>
      <c r="E779" s="361" t="s">
        <v>2291</v>
      </c>
      <c r="F779" s="362" t="s">
        <v>769</v>
      </c>
      <c r="G779" s="361" t="s">
        <v>329</v>
      </c>
      <c r="H779" s="328" t="s">
        <v>536</v>
      </c>
      <c r="I779" s="327">
        <v>1</v>
      </c>
      <c r="J779" s="361" t="s">
        <v>1211</v>
      </c>
      <c r="K779" s="327" t="s">
        <v>531</v>
      </c>
      <c r="L779" s="348">
        <f t="shared" si="72"/>
        <v>191999.99999999997</v>
      </c>
      <c r="M779" s="355"/>
      <c r="N779" s="355" t="str">
        <f t="shared" si="62"/>
        <v>PR</v>
      </c>
      <c r="O779" s="345"/>
      <c r="P779" s="325"/>
      <c r="Q779" s="351">
        <v>86</v>
      </c>
      <c r="R779" s="351">
        <v>1.5</v>
      </c>
      <c r="S779" s="351">
        <v>5.8</v>
      </c>
      <c r="T779" s="351">
        <f t="shared" ref="T779:T780" si="73">6.4/S779</f>
        <v>1.103448275862069</v>
      </c>
      <c r="U779" s="329">
        <f>IF($N779=$N$4,IFERROR(INDEX(DanhMuc!$E$154:$E$165,MATCH(MID($B779,4,2),DanhMuc!$B$154:$B$165,0)),""),"")</f>
        <v>5800</v>
      </c>
      <c r="V779" s="325"/>
      <c r="W779" s="352" t="str">
        <f>+IF(AND($A779&lt;&gt;"",LEN($B779)&gt;=8,COUNTIF($B$6:$B779,$B779)=1),$W$5,"")</f>
        <v/>
      </c>
      <c r="X779" s="329" t="str">
        <f t="shared" si="69"/>
        <v>TSL</v>
      </c>
      <c r="Y779" s="1128" t="s">
        <v>3380</v>
      </c>
      <c r="Z779" s="1128" t="s">
        <v>3381</v>
      </c>
      <c r="AA779" s="1128" t="s">
        <v>3384</v>
      </c>
      <c r="AC779" s="73"/>
    </row>
    <row r="780" spans="1:29" s="20" customFormat="1">
      <c r="A780" s="327" t="str">
        <f>IF(AND($B780&lt;&gt;"",$C780&lt;&gt;""),MAX($A$4:A779)+1,"")</f>
        <v/>
      </c>
      <c r="B780" s="361" t="s">
        <v>826</v>
      </c>
      <c r="C780" s="364"/>
      <c r="D780" s="327">
        <f>IF($B780="","",COUNTIF($B$6:$B780,$B780))</f>
        <v>17</v>
      </c>
      <c r="E780" s="361" t="s">
        <v>2291</v>
      </c>
      <c r="F780" s="362" t="s">
        <v>769</v>
      </c>
      <c r="G780" s="361" t="s">
        <v>328</v>
      </c>
      <c r="H780" s="328" t="s">
        <v>536</v>
      </c>
      <c r="I780" s="327">
        <v>2</v>
      </c>
      <c r="J780" s="361" t="s">
        <v>1294</v>
      </c>
      <c r="K780" s="327" t="s">
        <v>531</v>
      </c>
      <c r="L780" s="348">
        <f t="shared" si="72"/>
        <v>191999.99999999997</v>
      </c>
      <c r="M780" s="355"/>
      <c r="N780" s="355" t="str">
        <f t="shared" si="62"/>
        <v>PR</v>
      </c>
      <c r="O780" s="345"/>
      <c r="P780" s="325"/>
      <c r="Q780" s="351">
        <v>86</v>
      </c>
      <c r="R780" s="351">
        <v>1.5</v>
      </c>
      <c r="S780" s="351">
        <v>5.8</v>
      </c>
      <c r="T780" s="351">
        <f t="shared" si="73"/>
        <v>1.103448275862069</v>
      </c>
      <c r="U780" s="329">
        <f>IF($N780=$N$4,IFERROR(INDEX(DanhMuc!$E$154:$E$165,MATCH(MID($B780,4,2),DanhMuc!$B$154:$B$165,0)),""),"")</f>
        <v>5800</v>
      </c>
      <c r="V780" s="325"/>
      <c r="W780" s="352" t="str">
        <f>+IF(AND($A780&lt;&gt;"",LEN($B780)&gt;=8,COUNTIF($B$6:$B780,$B780)=1),$W$5,"")</f>
        <v/>
      </c>
      <c r="X780" s="329" t="str">
        <f t="shared" si="69"/>
        <v>TSL</v>
      </c>
      <c r="Y780" s="1128" t="s">
        <v>3380</v>
      </c>
      <c r="Z780" s="1128" t="s">
        <v>3381</v>
      </c>
      <c r="AA780" s="1128" t="s">
        <v>3384</v>
      </c>
      <c r="AC780" s="73"/>
    </row>
    <row r="781" spans="1:29" s="20" customFormat="1">
      <c r="A781" s="327" t="str">
        <f>IF(AND($B781&lt;&gt;"",$C781&lt;&gt;""),MAX($A$4:A780)+1,"")</f>
        <v/>
      </c>
      <c r="B781" s="361" t="s">
        <v>826</v>
      </c>
      <c r="C781" s="364"/>
      <c r="D781" s="327">
        <f>IF($B781="","",COUNTIF($B$6:$B781,$B781))</f>
        <v>18</v>
      </c>
      <c r="E781" s="361" t="s">
        <v>2296</v>
      </c>
      <c r="F781" s="362" t="s">
        <v>613</v>
      </c>
      <c r="G781" s="361" t="s">
        <v>329</v>
      </c>
      <c r="H781" s="328" t="s">
        <v>536</v>
      </c>
      <c r="I781" s="327">
        <v>4</v>
      </c>
      <c r="J781" s="361" t="s">
        <v>1292</v>
      </c>
      <c r="K781" s="327" t="s">
        <v>531</v>
      </c>
      <c r="L781" s="348">
        <f t="shared" si="72"/>
        <v>354000</v>
      </c>
      <c r="M781" s="355"/>
      <c r="N781" s="355" t="str">
        <f t="shared" si="62"/>
        <v>PR</v>
      </c>
      <c r="O781" s="345"/>
      <c r="P781" s="325"/>
      <c r="Q781" s="351">
        <v>130</v>
      </c>
      <c r="R781" s="351">
        <v>1.5</v>
      </c>
      <c r="S781" s="351">
        <v>5.8</v>
      </c>
      <c r="T781" s="351">
        <f t="shared" ref="T781:T782" si="74">11.8/S781</f>
        <v>2.0344827586206899</v>
      </c>
      <c r="U781" s="329">
        <f>IF($N781=$N$4,IFERROR(INDEX(DanhMuc!$E$154:$E$165,MATCH(MID($B781,4,2),DanhMuc!$B$154:$B$165,0)),""),"")</f>
        <v>5800</v>
      </c>
      <c r="V781" s="325"/>
      <c r="W781" s="352" t="str">
        <f>+IF(AND($A781&lt;&gt;"",LEN($B781)&gt;=8,COUNTIF($B$6:$B781,$B781)=1),$W$5,"")</f>
        <v/>
      </c>
      <c r="X781" s="329" t="str">
        <f t="shared" si="69"/>
        <v>TSL</v>
      </c>
      <c r="Y781" s="1128" t="s">
        <v>3380</v>
      </c>
      <c r="Z781" s="1128" t="s">
        <v>3381</v>
      </c>
      <c r="AA781" s="1128" t="s">
        <v>3384</v>
      </c>
      <c r="AC781" s="73"/>
    </row>
    <row r="782" spans="1:29" s="20" customFormat="1">
      <c r="A782" s="327" t="str">
        <f>IF(AND($B782&lt;&gt;"",$C782&lt;&gt;""),MAX($A$4:A781)+1,"")</f>
        <v/>
      </c>
      <c r="B782" s="361" t="s">
        <v>826</v>
      </c>
      <c r="C782" s="364"/>
      <c r="D782" s="327">
        <f>IF($B782="","",COUNTIF($B$6:$B782,$B782))</f>
        <v>19</v>
      </c>
      <c r="E782" s="361" t="s">
        <v>2296</v>
      </c>
      <c r="F782" s="362" t="s">
        <v>613</v>
      </c>
      <c r="G782" s="361" t="s">
        <v>328</v>
      </c>
      <c r="H782" s="328" t="s">
        <v>536</v>
      </c>
      <c r="I782" s="327">
        <v>4</v>
      </c>
      <c r="J782" s="361" t="s">
        <v>1293</v>
      </c>
      <c r="K782" s="327" t="s">
        <v>531</v>
      </c>
      <c r="L782" s="348">
        <f t="shared" si="72"/>
        <v>354000</v>
      </c>
      <c r="M782" s="355"/>
      <c r="N782" s="355" t="str">
        <f t="shared" si="62"/>
        <v>PR</v>
      </c>
      <c r="O782" s="345"/>
      <c r="P782" s="325"/>
      <c r="Q782" s="351">
        <v>130</v>
      </c>
      <c r="R782" s="351">
        <v>1.5</v>
      </c>
      <c r="S782" s="351">
        <v>5.8</v>
      </c>
      <c r="T782" s="351">
        <f t="shared" si="74"/>
        <v>2.0344827586206899</v>
      </c>
      <c r="U782" s="329">
        <f>IF($N782=$N$4,IFERROR(INDEX(DanhMuc!$E$154:$E$165,MATCH(MID($B782,4,2),DanhMuc!$B$154:$B$165,0)),""),"")</f>
        <v>5800</v>
      </c>
      <c r="V782" s="325"/>
      <c r="W782" s="352" t="str">
        <f>+IF(AND($A782&lt;&gt;"",LEN($B782)&gt;=8,COUNTIF($B$6:$B782,$B782)=1),$W$5,"")</f>
        <v/>
      </c>
      <c r="X782" s="329" t="str">
        <f t="shared" si="69"/>
        <v>TSL</v>
      </c>
      <c r="Y782" s="1128" t="s">
        <v>3380</v>
      </c>
      <c r="Z782" s="1128" t="s">
        <v>3381</v>
      </c>
      <c r="AA782" s="1128" t="s">
        <v>3384</v>
      </c>
      <c r="AC782" s="73"/>
    </row>
    <row r="783" spans="1:29" s="20" customFormat="1" ht="39">
      <c r="A783" s="327">
        <f>IF(AND($B783&lt;&gt;"",$C783&lt;&gt;""),MAX($A$4:A782)+1,"")</f>
        <v>65</v>
      </c>
      <c r="B783" s="359" t="s">
        <v>1937</v>
      </c>
      <c r="C783" s="370" t="s">
        <v>1938</v>
      </c>
      <c r="D783" s="327">
        <f>IF($B783="","",COUNTIF($B$6:$B783,$B783))</f>
        <v>1</v>
      </c>
      <c r="E783" s="363" t="s">
        <v>375</v>
      </c>
      <c r="F783" s="362" t="s">
        <v>376</v>
      </c>
      <c r="G783" s="361" t="s">
        <v>329</v>
      </c>
      <c r="H783" s="325"/>
      <c r="I783" s="327">
        <v>1</v>
      </c>
      <c r="J783" s="361" t="s">
        <v>762</v>
      </c>
      <c r="K783" s="327" t="s">
        <v>516</v>
      </c>
      <c r="L783" s="348">
        <f t="shared" si="72"/>
        <v>403923.6</v>
      </c>
      <c r="M783" s="355"/>
      <c r="N783" s="355" t="str">
        <f t="shared" ref="N783:N824" si="75">+$N$4</f>
        <v>PR</v>
      </c>
      <c r="O783" s="345"/>
      <c r="P783" s="325"/>
      <c r="Q783" s="351">
        <v>86</v>
      </c>
      <c r="R783" s="351">
        <v>0</v>
      </c>
      <c r="S783" s="351">
        <v>5.8</v>
      </c>
      <c r="T783" s="351">
        <v>1.3140000000000001</v>
      </c>
      <c r="U783" s="329">
        <f>IF($N783=$N$4,IFERROR(INDEX(DanhMuc!$E$154:$E$165,MATCH(MID($B783,4,2),DanhMuc!$B$154:$B$165,0)),""),"")</f>
        <v>5800</v>
      </c>
      <c r="V783" s="325"/>
      <c r="W783" s="352" t="str">
        <f>+IF(AND($A783&lt;&gt;"",LEN($B783)&gt;=8,COUNTIF($B$6:$B783,$B783)=1),$W$5,"")</f>
        <v>DMCua</v>
      </c>
      <c r="X783" s="329" t="str">
        <f t="shared" si="69"/>
        <v>SL</v>
      </c>
      <c r="Y783" s="1128" t="s">
        <v>3380</v>
      </c>
      <c r="Z783" s="1128" t="s">
        <v>3381</v>
      </c>
      <c r="AA783" s="1128" t="s">
        <v>3384</v>
      </c>
      <c r="AC783" s="73"/>
    </row>
    <row r="784" spans="1:29" s="20" customFormat="1">
      <c r="A784" s="327" t="str">
        <f>IF(AND($B784&lt;&gt;"",$C784&lt;&gt;""),MAX($A$4:A783)+1,"")</f>
        <v/>
      </c>
      <c r="B784" s="361" t="s">
        <v>1937</v>
      </c>
      <c r="C784" s="364"/>
      <c r="D784" s="327">
        <f>IF($B784="","",COUNTIF($B$6:$B784,$B784))</f>
        <v>2</v>
      </c>
      <c r="E784" s="363" t="s">
        <v>375</v>
      </c>
      <c r="F784" s="362" t="s">
        <v>376</v>
      </c>
      <c r="G784" s="361" t="s">
        <v>328</v>
      </c>
      <c r="H784" s="325"/>
      <c r="I784" s="327">
        <v>2</v>
      </c>
      <c r="J784" s="361" t="s">
        <v>814</v>
      </c>
      <c r="K784" s="327" t="s">
        <v>1141</v>
      </c>
      <c r="L784" s="348">
        <f t="shared" si="72"/>
        <v>403923.6</v>
      </c>
      <c r="M784" s="355"/>
      <c r="N784" s="355" t="str">
        <f t="shared" si="75"/>
        <v>PR</v>
      </c>
      <c r="O784" s="347"/>
      <c r="P784" s="325"/>
      <c r="Q784" s="351">
        <v>86</v>
      </c>
      <c r="R784" s="351">
        <v>0</v>
      </c>
      <c r="S784" s="351">
        <v>5.8</v>
      </c>
      <c r="T784" s="351">
        <v>1.3140000000000001</v>
      </c>
      <c r="U784" s="329">
        <f>IF($N784=$N$4,IFERROR(INDEX(DanhMuc!$E$154:$E$165,MATCH(MID($B784,4,2),DanhMuc!$B$154:$B$165,0)),""),"")</f>
        <v>5800</v>
      </c>
      <c r="V784" s="325"/>
      <c r="W784" s="352" t="str">
        <f>+IF(AND($A784&lt;&gt;"",LEN($B784)&gt;=8,COUNTIF($B$6:$B784,$B784)=1),$W$5,"")</f>
        <v/>
      </c>
      <c r="X784" s="329" t="str">
        <f t="shared" si="69"/>
        <v>SL</v>
      </c>
      <c r="Y784" s="1128" t="s">
        <v>3380</v>
      </c>
      <c r="Z784" s="1128" t="s">
        <v>3381</v>
      </c>
      <c r="AA784" s="1128" t="s">
        <v>3384</v>
      </c>
      <c r="AC784" s="73"/>
    </row>
    <row r="785" spans="1:29" s="20" customFormat="1">
      <c r="A785" s="327" t="str">
        <f>IF(AND($B785&lt;&gt;"",$C785&lt;&gt;""),MAX($A$4:A784)+1,"")</f>
        <v/>
      </c>
      <c r="B785" s="361" t="s">
        <v>1937</v>
      </c>
      <c r="C785" s="364"/>
      <c r="D785" s="327">
        <f>IF($B785="","",COUNTIF($B$6:$B785,$B785))</f>
        <v>3</v>
      </c>
      <c r="E785" s="361" t="s">
        <v>377</v>
      </c>
      <c r="F785" s="362" t="s">
        <v>378</v>
      </c>
      <c r="G785" s="361" t="s">
        <v>329</v>
      </c>
      <c r="H785" s="325"/>
      <c r="I785" s="327">
        <v>6</v>
      </c>
      <c r="J785" s="361" t="s">
        <v>1939</v>
      </c>
      <c r="K785" s="327" t="s">
        <v>516</v>
      </c>
      <c r="L785" s="348">
        <f t="shared" si="72"/>
        <v>510898.8</v>
      </c>
      <c r="M785" s="355"/>
      <c r="N785" s="355" t="str">
        <f t="shared" si="75"/>
        <v>PR</v>
      </c>
      <c r="O785" s="345" t="s">
        <v>19</v>
      </c>
      <c r="P785" s="325"/>
      <c r="Q785" s="351">
        <v>65</v>
      </c>
      <c r="R785" s="351">
        <v>0</v>
      </c>
      <c r="S785" s="351">
        <v>5.8</v>
      </c>
      <c r="T785" s="351">
        <v>1.6619999999999999</v>
      </c>
      <c r="U785" s="329">
        <f>IF($N785=$N$4,IFERROR(INDEX(DanhMuc!$E$154:$E$165,MATCH(MID($B785,4,2),DanhMuc!$B$154:$B$165,0)),""),"")</f>
        <v>5800</v>
      </c>
      <c r="V785" s="325"/>
      <c r="W785" s="352" t="str">
        <f>+IF(AND($A785&lt;&gt;"",LEN($B785)&gt;=8,COUNTIF($B$6:$B785,$B785)=1),$W$5,"")</f>
        <v/>
      </c>
      <c r="X785" s="329" t="str">
        <f t="shared" si="69"/>
        <v>SL</v>
      </c>
      <c r="Y785" s="1128" t="s">
        <v>3380</v>
      </c>
      <c r="Z785" s="1128" t="s">
        <v>3381</v>
      </c>
      <c r="AA785" s="1128" t="s">
        <v>3384</v>
      </c>
      <c r="AC785" s="73"/>
    </row>
    <row r="786" spans="1:29" s="20" customFormat="1">
      <c r="A786" s="327" t="str">
        <f>IF(AND($B786&lt;&gt;"",$C786&lt;&gt;""),MAX($A$4:A784)+1,"")</f>
        <v/>
      </c>
      <c r="B786" s="361" t="s">
        <v>1937</v>
      </c>
      <c r="C786" s="364"/>
      <c r="D786" s="327">
        <f>IF($B786="","",COUNTIF($B$6:$B786,$B786))</f>
        <v>4</v>
      </c>
      <c r="E786" s="361" t="s">
        <v>379</v>
      </c>
      <c r="F786" s="362" t="s">
        <v>380</v>
      </c>
      <c r="G786" s="361" t="s">
        <v>328</v>
      </c>
      <c r="H786" s="325"/>
      <c r="I786" s="327">
        <v>1</v>
      </c>
      <c r="J786" s="361" t="s">
        <v>816</v>
      </c>
      <c r="K786" s="327" t="s">
        <v>516</v>
      </c>
      <c r="L786" s="348">
        <f t="shared" si="72"/>
        <v>516124.60000000003</v>
      </c>
      <c r="M786" s="355"/>
      <c r="N786" s="355" t="str">
        <f t="shared" si="75"/>
        <v>PR</v>
      </c>
      <c r="O786" s="345" t="s">
        <v>19</v>
      </c>
      <c r="P786" s="325"/>
      <c r="Q786" s="351">
        <v>65</v>
      </c>
      <c r="R786" s="351">
        <v>0</v>
      </c>
      <c r="S786" s="351">
        <v>5.8</v>
      </c>
      <c r="T786" s="351">
        <v>1.679</v>
      </c>
      <c r="U786" s="329">
        <f>IF($N786=$N$4,IFERROR(INDEX(DanhMuc!$E$154:$E$165,MATCH(MID($B786,4,2),DanhMuc!$B$154:$B$165,0)),""),"")</f>
        <v>5800</v>
      </c>
      <c r="V786" s="325"/>
      <c r="W786" s="352" t="str">
        <f>+IF(AND($A786&lt;&gt;"",LEN($B786)&gt;=8,COUNTIF($B$6:$B786,$B786)=1),$W$5,"")</f>
        <v/>
      </c>
      <c r="X786" s="329" t="str">
        <f t="shared" si="69"/>
        <v>SL</v>
      </c>
      <c r="Y786" s="1128" t="s">
        <v>3380</v>
      </c>
      <c r="Z786" s="1128" t="s">
        <v>3381</v>
      </c>
      <c r="AA786" s="1128" t="s">
        <v>3384</v>
      </c>
      <c r="AC786" s="73"/>
    </row>
    <row r="787" spans="1:29" s="20" customFormat="1">
      <c r="A787" s="327" t="str">
        <f>IF(AND($B787&lt;&gt;"",$C787&lt;&gt;""),MAX($A$4:A785)+1,"")</f>
        <v/>
      </c>
      <c r="B787" s="361" t="s">
        <v>1937</v>
      </c>
      <c r="C787" s="364"/>
      <c r="D787" s="327">
        <f>IF($B787="","",COUNTIF($B$6:$B787,$B787))</f>
        <v>5</v>
      </c>
      <c r="E787" s="361" t="s">
        <v>377</v>
      </c>
      <c r="F787" s="362" t="s">
        <v>378</v>
      </c>
      <c r="G787" s="361" t="s">
        <v>328</v>
      </c>
      <c r="H787" s="325"/>
      <c r="I787" s="327">
        <v>5</v>
      </c>
      <c r="J787" s="361" t="s">
        <v>816</v>
      </c>
      <c r="K787" s="327" t="s">
        <v>516</v>
      </c>
      <c r="L787" s="348">
        <f t="shared" si="72"/>
        <v>510898.8</v>
      </c>
      <c r="M787" s="355"/>
      <c r="N787" s="355" t="str">
        <f t="shared" si="75"/>
        <v>PR</v>
      </c>
      <c r="O787" s="345" t="s">
        <v>19</v>
      </c>
      <c r="P787" s="325"/>
      <c r="Q787" s="351">
        <v>65</v>
      </c>
      <c r="R787" s="351">
        <v>0</v>
      </c>
      <c r="S787" s="351">
        <v>5.8</v>
      </c>
      <c r="T787" s="351">
        <v>1.6619999999999999</v>
      </c>
      <c r="U787" s="329">
        <f>IF($N787=$N$4,IFERROR(INDEX(DanhMuc!$E$154:$E$165,MATCH(MID($B787,4,2),DanhMuc!$B$154:$B$165,0)),""),"")</f>
        <v>5800</v>
      </c>
      <c r="V787" s="325"/>
      <c r="W787" s="352" t="str">
        <f>+IF(AND($A787&lt;&gt;"",LEN($B787)&gt;=8,COUNTIF($B$6:$B787,$B787)=1),$W$5,"")</f>
        <v/>
      </c>
      <c r="X787" s="329" t="str">
        <f t="shared" si="69"/>
        <v>SL</v>
      </c>
      <c r="Y787" s="1128" t="s">
        <v>3380</v>
      </c>
      <c r="Z787" s="1128" t="s">
        <v>3381</v>
      </c>
      <c r="AA787" s="1128" t="s">
        <v>3384</v>
      </c>
      <c r="AC787" s="73"/>
    </row>
    <row r="788" spans="1:29" s="20" customFormat="1">
      <c r="A788" s="327" t="str">
        <f>IF(AND($B788&lt;&gt;"",$C788&lt;&gt;""),MAX($A$4:A786)+1,"")</f>
        <v/>
      </c>
      <c r="B788" s="361" t="s">
        <v>1937</v>
      </c>
      <c r="C788" s="364"/>
      <c r="D788" s="327">
        <f>IF($B788="","",COUNTIF($B$6:$B788,$B788))</f>
        <v>6</v>
      </c>
      <c r="E788" s="361" t="s">
        <v>379</v>
      </c>
      <c r="F788" s="362" t="s">
        <v>380</v>
      </c>
      <c r="G788" s="361" t="s">
        <v>329</v>
      </c>
      <c r="H788" s="325"/>
      <c r="I788" s="327">
        <v>6</v>
      </c>
      <c r="J788" s="361" t="s">
        <v>1939</v>
      </c>
      <c r="K788" s="327" t="s">
        <v>516</v>
      </c>
      <c r="L788" s="348">
        <f t="shared" si="72"/>
        <v>516124.60000000003</v>
      </c>
      <c r="M788" s="355"/>
      <c r="N788" s="355" t="str">
        <f t="shared" si="75"/>
        <v>PR</v>
      </c>
      <c r="O788" s="345" t="s">
        <v>16</v>
      </c>
      <c r="P788" s="325"/>
      <c r="Q788" s="351">
        <v>65</v>
      </c>
      <c r="R788" s="351">
        <v>0</v>
      </c>
      <c r="S788" s="351">
        <v>5.8</v>
      </c>
      <c r="T788" s="351">
        <v>1.679</v>
      </c>
      <c r="U788" s="329">
        <f>IF($N788=$N$4,IFERROR(INDEX(DanhMuc!$E$154:$E$165,MATCH(MID($B788,4,2),DanhMuc!$B$154:$B$165,0)),""),"")</f>
        <v>5800</v>
      </c>
      <c r="V788" s="325"/>
      <c r="W788" s="352" t="str">
        <f>+IF(AND($A788&lt;&gt;"",LEN($B788)&gt;=8,COUNTIF($B$6:$B788,$B788)=1),$W$5,"")</f>
        <v/>
      </c>
      <c r="X788" s="329" t="str">
        <f t="shared" si="69"/>
        <v>SL</v>
      </c>
      <c r="Y788" s="1128" t="s">
        <v>3380</v>
      </c>
      <c r="Z788" s="1128" t="s">
        <v>3381</v>
      </c>
      <c r="AA788" s="1128" t="s">
        <v>3384</v>
      </c>
      <c r="AC788" s="73"/>
    </row>
    <row r="789" spans="1:29" s="20" customFormat="1">
      <c r="A789" s="327" t="str">
        <f>IF(AND($B789&lt;&gt;"",$C789&lt;&gt;""),MAX($A$4:A787)+1,"")</f>
        <v/>
      </c>
      <c r="B789" s="361" t="s">
        <v>1937</v>
      </c>
      <c r="C789" s="364"/>
      <c r="D789" s="327">
        <f>IF($B789="","",COUNTIF($B$6:$B789,$B789))</f>
        <v>7</v>
      </c>
      <c r="E789" s="361" t="s">
        <v>377</v>
      </c>
      <c r="F789" s="362" t="s">
        <v>378</v>
      </c>
      <c r="G789" s="361" t="s">
        <v>328</v>
      </c>
      <c r="H789" s="325"/>
      <c r="I789" s="327">
        <v>1</v>
      </c>
      <c r="J789" s="361" t="s">
        <v>816</v>
      </c>
      <c r="K789" s="327" t="s">
        <v>516</v>
      </c>
      <c r="L789" s="348">
        <f t="shared" si="72"/>
        <v>510898.8</v>
      </c>
      <c r="M789" s="355"/>
      <c r="N789" s="355" t="str">
        <f t="shared" si="75"/>
        <v>PR</v>
      </c>
      <c r="O789" s="345" t="s">
        <v>16</v>
      </c>
      <c r="P789" s="325"/>
      <c r="Q789" s="351">
        <v>65</v>
      </c>
      <c r="R789" s="351">
        <v>0</v>
      </c>
      <c r="S789" s="351">
        <v>5.8</v>
      </c>
      <c r="T789" s="351">
        <v>1.6619999999999999</v>
      </c>
      <c r="U789" s="329">
        <f>IF($N789=$N$4,IFERROR(INDEX(DanhMuc!$E$154:$E$165,MATCH(MID($B789,4,2),DanhMuc!$B$154:$B$165,0)),""),"")</f>
        <v>5800</v>
      </c>
      <c r="V789" s="325"/>
      <c r="W789" s="352" t="str">
        <f>+IF(AND($A789&lt;&gt;"",LEN($B789)&gt;=8,COUNTIF($B$6:$B789,$B789)=1),$W$5,"")</f>
        <v/>
      </c>
      <c r="X789" s="329" t="str">
        <f t="shared" si="69"/>
        <v>SL</v>
      </c>
      <c r="Y789" s="1128" t="s">
        <v>3380</v>
      </c>
      <c r="Z789" s="1128" t="s">
        <v>3381</v>
      </c>
      <c r="AA789" s="1128" t="s">
        <v>3384</v>
      </c>
      <c r="AC789" s="73"/>
    </row>
    <row r="790" spans="1:29" s="20" customFormat="1">
      <c r="A790" s="327" t="str">
        <f>IF(AND($B790&lt;&gt;"",$C790&lt;&gt;""),MAX($A$4:A788)+1,"")</f>
        <v/>
      </c>
      <c r="B790" s="361" t="s">
        <v>1937</v>
      </c>
      <c r="C790" s="364"/>
      <c r="D790" s="327">
        <f>IF($B790="","",COUNTIF($B$6:$B790,$B790))</f>
        <v>8</v>
      </c>
      <c r="E790" s="361" t="s">
        <v>379</v>
      </c>
      <c r="F790" s="362" t="s">
        <v>380</v>
      </c>
      <c r="G790" s="361" t="s">
        <v>328</v>
      </c>
      <c r="H790" s="325"/>
      <c r="I790" s="327">
        <v>5</v>
      </c>
      <c r="J790" s="361" t="s">
        <v>816</v>
      </c>
      <c r="K790" s="327" t="s">
        <v>516</v>
      </c>
      <c r="L790" s="348">
        <f t="shared" si="72"/>
        <v>516124.60000000003</v>
      </c>
      <c r="M790" s="355"/>
      <c r="N790" s="355" t="str">
        <f t="shared" si="75"/>
        <v>PR</v>
      </c>
      <c r="O790" s="345" t="s">
        <v>16</v>
      </c>
      <c r="P790" s="325"/>
      <c r="Q790" s="351">
        <v>65</v>
      </c>
      <c r="R790" s="351">
        <v>0</v>
      </c>
      <c r="S790" s="351">
        <v>5.8</v>
      </c>
      <c r="T790" s="351">
        <v>1.679</v>
      </c>
      <c r="U790" s="329">
        <f>IF($N790=$N$4,IFERROR(INDEX(DanhMuc!$E$154:$E$165,MATCH(MID($B790,4,2),DanhMuc!$B$154:$B$165,0)),""),"")</f>
        <v>5800</v>
      </c>
      <c r="V790" s="325"/>
      <c r="W790" s="352" t="str">
        <f>+IF(AND($A790&lt;&gt;"",LEN($B790)&gt;=8,COUNTIF($B$6:$B790,$B790)=1),$W$5,"")</f>
        <v/>
      </c>
      <c r="X790" s="329" t="str">
        <f t="shared" si="69"/>
        <v>SL</v>
      </c>
      <c r="Y790" s="1128" t="s">
        <v>3380</v>
      </c>
      <c r="Z790" s="1128" t="s">
        <v>3381</v>
      </c>
      <c r="AA790" s="1128" t="s">
        <v>3384</v>
      </c>
      <c r="AC790" s="73"/>
    </row>
    <row r="791" spans="1:29" s="20" customFormat="1">
      <c r="A791" s="327" t="str">
        <f>IF(AND($B791&lt;&gt;"",$C791&lt;&gt;""),MAX($A$4:A789)+1,"")</f>
        <v/>
      </c>
      <c r="B791" s="361" t="s">
        <v>1937</v>
      </c>
      <c r="C791" s="364"/>
      <c r="D791" s="327">
        <f>IF($B791="","",COUNTIF($B$6:$B791,$B791))</f>
        <v>9</v>
      </c>
      <c r="E791" s="361" t="s">
        <v>776</v>
      </c>
      <c r="F791" s="362" t="s">
        <v>761</v>
      </c>
      <c r="G791" s="361" t="s">
        <v>328</v>
      </c>
      <c r="H791" s="325"/>
      <c r="I791" s="327">
        <v>1</v>
      </c>
      <c r="J791" s="361" t="s">
        <v>1940</v>
      </c>
      <c r="K791" s="327" t="s">
        <v>531</v>
      </c>
      <c r="L791" s="348">
        <f t="shared" si="72"/>
        <v>282808</v>
      </c>
      <c r="M791" s="355"/>
      <c r="N791" s="355" t="str">
        <f t="shared" si="75"/>
        <v>PR</v>
      </c>
      <c r="O791" s="345"/>
      <c r="P791" s="325"/>
      <c r="Q791" s="351"/>
      <c r="R791" s="351">
        <v>0</v>
      </c>
      <c r="S791" s="351">
        <v>5.8</v>
      </c>
      <c r="T791" s="351">
        <v>0.92</v>
      </c>
      <c r="U791" s="329">
        <f>IF($N791=$N$4,IFERROR(INDEX(DanhMuc!$E$154:$E$165,MATCH(MID($B791,4,2),DanhMuc!$B$154:$B$165,0)),""),"")</f>
        <v>5800</v>
      </c>
      <c r="V791" s="325"/>
      <c r="W791" s="352" t="str">
        <f>+IF(AND($A791&lt;&gt;"",LEN($B791)&gt;=8,COUNTIF($B$6:$B791,$B791)=1),$W$5,"")</f>
        <v/>
      </c>
      <c r="X791" s="329" t="str">
        <f t="shared" si="69"/>
        <v>SL</v>
      </c>
      <c r="Y791" s="1128" t="s">
        <v>3380</v>
      </c>
      <c r="Z791" s="1128" t="s">
        <v>3381</v>
      </c>
      <c r="AA791" s="1128" t="s">
        <v>3384</v>
      </c>
      <c r="AC791" s="73"/>
    </row>
    <row r="792" spans="1:29" s="20" customFormat="1">
      <c r="A792" s="327" t="str">
        <f>IF(AND($B792&lt;&gt;"",$C792&lt;&gt;""),MAX($A$4:A790)+1,"")</f>
        <v/>
      </c>
      <c r="B792" s="361" t="s">
        <v>1937</v>
      </c>
      <c r="C792" s="364"/>
      <c r="D792" s="327">
        <f>IF($B792="","",COUNTIF($B$6:$B792,$B792))</f>
        <v>10</v>
      </c>
      <c r="E792" s="361" t="s">
        <v>625</v>
      </c>
      <c r="F792" s="362" t="s">
        <v>437</v>
      </c>
      <c r="G792" s="361" t="s">
        <v>329</v>
      </c>
      <c r="H792" s="325"/>
      <c r="I792" s="327">
        <v>3</v>
      </c>
      <c r="J792" s="361" t="s">
        <v>1941</v>
      </c>
      <c r="K792" s="327" t="s">
        <v>531</v>
      </c>
      <c r="L792" s="348">
        <f t="shared" si="72"/>
        <v>196857.14285714296</v>
      </c>
      <c r="M792" s="355"/>
      <c r="N792" s="355" t="str">
        <f t="shared" si="75"/>
        <v>PR</v>
      </c>
      <c r="O792" s="347" t="s">
        <v>1475</v>
      </c>
      <c r="P792" s="325"/>
      <c r="Q792" s="351"/>
      <c r="R792" s="351">
        <v>0</v>
      </c>
      <c r="S792" s="351">
        <v>5.8</v>
      </c>
      <c r="T792" s="351">
        <v>0.64039408866995107</v>
      </c>
      <c r="U792" s="329">
        <f>IF($N792=$N$4,IFERROR(INDEX(DanhMuc!$E$154:$E$165,MATCH(MID($B792,4,2),DanhMuc!$B$154:$B$165,0)),""),"")</f>
        <v>5800</v>
      </c>
      <c r="V792" s="325" t="s">
        <v>626</v>
      </c>
      <c r="W792" s="352" t="str">
        <f>+IF(AND($A792&lt;&gt;"",LEN($B792)&gt;=8,COUNTIF($B$6:$B792,$B792)=1),$W$5,"")</f>
        <v/>
      </c>
      <c r="X792" s="329" t="str">
        <f t="shared" si="69"/>
        <v>SL</v>
      </c>
      <c r="Y792" s="1128" t="s">
        <v>3380</v>
      </c>
      <c r="Z792" s="1128" t="s">
        <v>3381</v>
      </c>
      <c r="AA792" s="1128" t="s">
        <v>3384</v>
      </c>
      <c r="AC792" s="73"/>
    </row>
    <row r="793" spans="1:29" s="20" customFormat="1">
      <c r="A793" s="327" t="str">
        <f>IF(AND($B793&lt;&gt;"",$C793&lt;&gt;""),MAX($A$4:A791)+1,"")</f>
        <v/>
      </c>
      <c r="B793" s="361" t="s">
        <v>1937</v>
      </c>
      <c r="C793" s="629"/>
      <c r="D793" s="630">
        <f>IF($B793="","",COUNTIF($B$6:$B793,$B793))</f>
        <v>11</v>
      </c>
      <c r="E793" s="628" t="s">
        <v>623</v>
      </c>
      <c r="F793" s="631" t="s">
        <v>865</v>
      </c>
      <c r="G793" s="628" t="s">
        <v>329</v>
      </c>
      <c r="H793" s="325"/>
      <c r="I793" s="327">
        <v>1</v>
      </c>
      <c r="J793" s="361" t="s">
        <v>866</v>
      </c>
      <c r="K793" s="327" t="s">
        <v>531</v>
      </c>
      <c r="L793" s="625">
        <f t="shared" ref="L793" si="76">+$T793*$S793*$L$37</f>
        <v>536931.81818181812</v>
      </c>
      <c r="M793" s="355"/>
      <c r="N793" s="355" t="str">
        <f t="shared" si="75"/>
        <v>PR</v>
      </c>
      <c r="O793" s="347" t="s">
        <v>1476</v>
      </c>
      <c r="P793" s="632"/>
      <c r="Q793" s="627"/>
      <c r="R793" s="627"/>
      <c r="S793" s="627">
        <v>5.8</v>
      </c>
      <c r="T793" s="627">
        <v>0.8816614420062695</v>
      </c>
      <c r="U793" s="329">
        <f>IF($N793=$N$4,IFERROR(INDEX(DanhMuc!$E$154:$E$165,MATCH(MID($B793,4,2),DanhMuc!$B$154:$B$165,0)),""),"")</f>
        <v>5800</v>
      </c>
      <c r="V793" s="325" t="s">
        <v>624</v>
      </c>
      <c r="W793" s="352" t="str">
        <f>+IF(AND($A793&lt;&gt;"",LEN($B793)&gt;=8,COUNTIF($B$6:$B793,$B793)=1),$W$5,"")</f>
        <v/>
      </c>
      <c r="X793" s="329" t="str">
        <f t="shared" si="69"/>
        <v>SL</v>
      </c>
      <c r="Y793" s="1128" t="s">
        <v>3380</v>
      </c>
      <c r="Z793" s="1128" t="s">
        <v>3381</v>
      </c>
      <c r="AA793" s="1128" t="s">
        <v>3384</v>
      </c>
      <c r="AC793" s="73"/>
    </row>
    <row r="794" spans="1:29" s="20" customFormat="1">
      <c r="A794" s="327" t="str">
        <f>IF(AND($B794&lt;&gt;"",$C794&lt;&gt;""),MAX($A$4:A792)+1,"")</f>
        <v/>
      </c>
      <c r="B794" s="361" t="s">
        <v>1937</v>
      </c>
      <c r="C794" s="364"/>
      <c r="D794" s="327">
        <f>IF($B794="","",COUNTIF($B$6:$B794,$B794))</f>
        <v>12</v>
      </c>
      <c r="E794" s="361" t="s">
        <v>381</v>
      </c>
      <c r="F794" s="362" t="s">
        <v>896</v>
      </c>
      <c r="G794" s="361" t="s">
        <v>329</v>
      </c>
      <c r="H794" s="325"/>
      <c r="I794" s="327">
        <v>6</v>
      </c>
      <c r="J794" s="361" t="s">
        <v>1942</v>
      </c>
      <c r="K794" s="327" t="s">
        <v>516</v>
      </c>
      <c r="L794" s="348">
        <f t="shared" si="72"/>
        <v>89146</v>
      </c>
      <c r="M794" s="355"/>
      <c r="N794" s="355" t="str">
        <f t="shared" si="75"/>
        <v>PR</v>
      </c>
      <c r="O794" s="347">
        <v>7</v>
      </c>
      <c r="P794" s="325"/>
      <c r="Q794" s="351">
        <v>0</v>
      </c>
      <c r="R794" s="351">
        <v>0</v>
      </c>
      <c r="S794" s="351">
        <v>5.8</v>
      </c>
      <c r="T794" s="351">
        <v>0.28999999999999998</v>
      </c>
      <c r="U794" s="329">
        <f>IF($N794=$N$4,IFERROR(INDEX(DanhMuc!$E$154:$E$165,MATCH(MID($B794,4,2),DanhMuc!$B$154:$B$165,0)),""),"")</f>
        <v>5800</v>
      </c>
      <c r="V794" s="325"/>
      <c r="W794" s="352" t="str">
        <f>+IF(AND($A794&lt;&gt;"",LEN($B794)&gt;=8,COUNTIF($B$6:$B794,$B794)=1),$W$5,"")</f>
        <v/>
      </c>
      <c r="X794" s="329" t="str">
        <f t="shared" si="69"/>
        <v>SL</v>
      </c>
      <c r="Y794" s="1128" t="s">
        <v>3380</v>
      </c>
      <c r="Z794" s="1128" t="s">
        <v>3381</v>
      </c>
      <c r="AA794" s="1128" t="s">
        <v>3384</v>
      </c>
      <c r="AC794" s="73"/>
    </row>
    <row r="795" spans="1:29" s="20" customFormat="1">
      <c r="A795" s="327" t="str">
        <f>IF(AND($B795&lt;&gt;"",$C795&lt;&gt;""),MAX($A$4:A793)+1,"")</f>
        <v/>
      </c>
      <c r="B795" s="361" t="s">
        <v>1937</v>
      </c>
      <c r="C795" s="364"/>
      <c r="D795" s="327">
        <f>IF($B795="","",COUNTIF($B$6:$B795,$B795))</f>
        <v>13</v>
      </c>
      <c r="E795" s="361" t="s">
        <v>381</v>
      </c>
      <c r="F795" s="362" t="s">
        <v>896</v>
      </c>
      <c r="G795" s="361" t="s">
        <v>328</v>
      </c>
      <c r="H795" s="325"/>
      <c r="I795" s="327">
        <v>6</v>
      </c>
      <c r="J795" s="363" t="s">
        <v>1943</v>
      </c>
      <c r="K795" s="327" t="s">
        <v>516</v>
      </c>
      <c r="L795" s="348">
        <f t="shared" si="72"/>
        <v>89146</v>
      </c>
      <c r="M795" s="355"/>
      <c r="N795" s="355" t="str">
        <f t="shared" si="75"/>
        <v>PR</v>
      </c>
      <c r="O795" s="347">
        <v>7</v>
      </c>
      <c r="P795" s="325"/>
      <c r="Q795" s="351">
        <v>0</v>
      </c>
      <c r="R795" s="351">
        <v>0</v>
      </c>
      <c r="S795" s="351">
        <v>5.8</v>
      </c>
      <c r="T795" s="351">
        <v>0.28999999999999998</v>
      </c>
      <c r="U795" s="329">
        <f>IF($N795=$N$4,IFERROR(INDEX(DanhMuc!$E$154:$E$165,MATCH(MID($B795,4,2),DanhMuc!$B$154:$B$165,0)),""),"")</f>
        <v>5800</v>
      </c>
      <c r="V795" s="325"/>
      <c r="W795" s="352" t="str">
        <f>+IF(AND($A795&lt;&gt;"",LEN($B795)&gt;=8,COUNTIF($B$6:$B795,$B795)=1),$W$5,"")</f>
        <v/>
      </c>
      <c r="X795" s="329" t="str">
        <f t="shared" si="69"/>
        <v>SL</v>
      </c>
      <c r="Y795" s="1128" t="s">
        <v>3380</v>
      </c>
      <c r="Z795" s="1128" t="s">
        <v>3381</v>
      </c>
      <c r="AA795" s="1128" t="s">
        <v>3384</v>
      </c>
      <c r="AC795" s="73"/>
    </row>
    <row r="796" spans="1:29" s="20" customFormat="1">
      <c r="A796" s="327" t="str">
        <f>IF(AND($B796&lt;&gt;"",$C796&lt;&gt;""),MAX($A$4:A794)+1,"")</f>
        <v/>
      </c>
      <c r="B796" s="361" t="s">
        <v>1937</v>
      </c>
      <c r="C796" s="364"/>
      <c r="D796" s="327">
        <f>IF($B796="","",COUNTIF($B$6:$B796,$B796))</f>
        <v>14</v>
      </c>
      <c r="E796" s="361" t="s">
        <v>382</v>
      </c>
      <c r="F796" s="362" t="s">
        <v>897</v>
      </c>
      <c r="G796" s="361" t="s">
        <v>329</v>
      </c>
      <c r="H796" s="325"/>
      <c r="I796" s="327">
        <v>6</v>
      </c>
      <c r="J796" s="361" t="s">
        <v>1942</v>
      </c>
      <c r="K796" s="327" t="s">
        <v>516</v>
      </c>
      <c r="L796" s="348">
        <f t="shared" si="72"/>
        <v>82075.8</v>
      </c>
      <c r="M796" s="355"/>
      <c r="N796" s="355" t="str">
        <f t="shared" si="75"/>
        <v>PR</v>
      </c>
      <c r="O796" s="347">
        <v>11</v>
      </c>
      <c r="P796" s="325"/>
      <c r="Q796" s="351">
        <v>0</v>
      </c>
      <c r="R796" s="351">
        <v>0</v>
      </c>
      <c r="S796" s="351">
        <v>5.8</v>
      </c>
      <c r="T796" s="351">
        <v>0.26700000000000002</v>
      </c>
      <c r="U796" s="329">
        <f>IF($N796=$N$4,IFERROR(INDEX(DanhMuc!$E$154:$E$165,MATCH(MID($B796,4,2),DanhMuc!$B$154:$B$165,0)),""),"")</f>
        <v>5800</v>
      </c>
      <c r="V796" s="325"/>
      <c r="W796" s="352" t="str">
        <f>+IF(AND($A796&lt;&gt;"",LEN($B796)&gt;=8,COUNTIF($B$6:$B796,$B796)=1),$W$5,"")</f>
        <v/>
      </c>
      <c r="X796" s="329" t="str">
        <f t="shared" si="69"/>
        <v>SL</v>
      </c>
      <c r="Y796" s="1128" t="s">
        <v>3380</v>
      </c>
      <c r="Z796" s="1128" t="s">
        <v>3381</v>
      </c>
      <c r="AA796" s="1128" t="s">
        <v>3384</v>
      </c>
      <c r="AC796" s="73"/>
    </row>
    <row r="797" spans="1:29" s="20" customFormat="1">
      <c r="A797" s="327" t="str">
        <f>IF(AND($B797&lt;&gt;"",$C797&lt;&gt;""),MAX($A$4:A796)+1,"")</f>
        <v/>
      </c>
      <c r="B797" s="361" t="s">
        <v>1937</v>
      </c>
      <c r="C797" s="364"/>
      <c r="D797" s="327">
        <f>IF($B797="","",COUNTIF($B$6:$B797,$B797))</f>
        <v>15</v>
      </c>
      <c r="E797" s="361" t="s">
        <v>382</v>
      </c>
      <c r="F797" s="362" t="s">
        <v>897</v>
      </c>
      <c r="G797" s="361" t="s">
        <v>328</v>
      </c>
      <c r="H797" s="325"/>
      <c r="I797" s="327">
        <v>6</v>
      </c>
      <c r="J797" s="363" t="s">
        <v>1943</v>
      </c>
      <c r="K797" s="327" t="s">
        <v>516</v>
      </c>
      <c r="L797" s="348">
        <f t="shared" si="72"/>
        <v>82075.8</v>
      </c>
      <c r="M797" s="355"/>
      <c r="N797" s="355" t="str">
        <f t="shared" si="75"/>
        <v>PR</v>
      </c>
      <c r="O797" s="347">
        <v>11</v>
      </c>
      <c r="P797" s="325"/>
      <c r="Q797" s="351">
        <v>0</v>
      </c>
      <c r="R797" s="351">
        <v>0</v>
      </c>
      <c r="S797" s="351">
        <v>5.8</v>
      </c>
      <c r="T797" s="351">
        <v>0.26700000000000002</v>
      </c>
      <c r="U797" s="329">
        <f>IF($N797=$N$4,IFERROR(INDEX(DanhMuc!$E$154:$E$165,MATCH(MID($B797,4,2),DanhMuc!$B$154:$B$165,0)),""),"")</f>
        <v>5800</v>
      </c>
      <c r="V797" s="325"/>
      <c r="W797" s="352" t="str">
        <f>+IF(AND($A797&lt;&gt;"",LEN($B797)&gt;=8,COUNTIF($B$6:$B797,$B797)=1),$W$5,"")</f>
        <v/>
      </c>
      <c r="X797" s="329" t="str">
        <f t="shared" si="69"/>
        <v>SL</v>
      </c>
      <c r="Y797" s="1128" t="s">
        <v>3380</v>
      </c>
      <c r="Z797" s="1128" t="s">
        <v>3381</v>
      </c>
      <c r="AA797" s="1128" t="s">
        <v>3384</v>
      </c>
      <c r="AC797" s="73"/>
    </row>
    <row r="798" spans="1:29" s="20" customFormat="1">
      <c r="A798" s="327" t="str">
        <f>IF(AND($B798&lt;&gt;"",$C798&lt;&gt;""),MAX($A$4:A797)+1,"")</f>
        <v/>
      </c>
      <c r="B798" s="361" t="s">
        <v>1937</v>
      </c>
      <c r="C798" s="364"/>
      <c r="D798" s="327">
        <f>IF($B798="","",COUNTIF($B$6:$B798,$B798))</f>
        <v>16</v>
      </c>
      <c r="E798" s="361" t="s">
        <v>895</v>
      </c>
      <c r="F798" s="362" t="s">
        <v>2065</v>
      </c>
      <c r="G798" s="361" t="s">
        <v>329</v>
      </c>
      <c r="H798" s="325"/>
      <c r="I798" s="327">
        <v>6</v>
      </c>
      <c r="J798" s="361" t="s">
        <v>1942</v>
      </c>
      <c r="K798" s="327" t="s">
        <v>516</v>
      </c>
      <c r="L798" s="348">
        <f t="shared" si="72"/>
        <v>66091</v>
      </c>
      <c r="M798" s="355"/>
      <c r="N798" s="355" t="str">
        <f t="shared" si="75"/>
        <v>PR</v>
      </c>
      <c r="O798" s="347">
        <v>19</v>
      </c>
      <c r="P798" s="325"/>
      <c r="Q798" s="351">
        <v>0</v>
      </c>
      <c r="R798" s="351">
        <v>0</v>
      </c>
      <c r="S798" s="351">
        <v>5.8</v>
      </c>
      <c r="T798" s="351">
        <v>0.215</v>
      </c>
      <c r="U798" s="329">
        <f>IF($N798=$N$4,IFERROR(INDEX(DanhMuc!$E$154:$E$165,MATCH(MID($B798,4,2),DanhMuc!$B$154:$B$165,0)),""),"")</f>
        <v>5800</v>
      </c>
      <c r="V798" s="325"/>
      <c r="W798" s="352" t="str">
        <f>+IF(AND($A798&lt;&gt;"",LEN($B798)&gt;=8,COUNTIF($B$6:$B798,$B798)=1),$W$5,"")</f>
        <v/>
      </c>
      <c r="X798" s="329" t="str">
        <f t="shared" si="69"/>
        <v>SL</v>
      </c>
      <c r="Y798" s="1128" t="s">
        <v>3380</v>
      </c>
      <c r="Z798" s="1128" t="s">
        <v>3381</v>
      </c>
      <c r="AA798" s="1128" t="s">
        <v>3384</v>
      </c>
      <c r="AC798" s="73"/>
    </row>
    <row r="799" spans="1:29" s="20" customFormat="1">
      <c r="A799" s="327" t="str">
        <f>IF(AND($B799&lt;&gt;"",$C799&lt;&gt;""),MAX($A$4:A798)+1,"")</f>
        <v/>
      </c>
      <c r="B799" s="361" t="s">
        <v>1937</v>
      </c>
      <c r="C799" s="364"/>
      <c r="D799" s="327">
        <f>IF($B799="","",COUNTIF($B$6:$B799,$B799))</f>
        <v>17</v>
      </c>
      <c r="E799" s="361" t="s">
        <v>895</v>
      </c>
      <c r="F799" s="362" t="s">
        <v>2065</v>
      </c>
      <c r="G799" s="361" t="s">
        <v>328</v>
      </c>
      <c r="H799" s="325"/>
      <c r="I799" s="327">
        <v>6</v>
      </c>
      <c r="J799" s="363" t="s">
        <v>1943</v>
      </c>
      <c r="K799" s="327" t="s">
        <v>516</v>
      </c>
      <c r="L799" s="348">
        <f t="shared" si="72"/>
        <v>66091</v>
      </c>
      <c r="M799" s="355"/>
      <c r="N799" s="355" t="str">
        <f t="shared" si="75"/>
        <v>PR</v>
      </c>
      <c r="O799" s="347">
        <v>19</v>
      </c>
      <c r="P799" s="325"/>
      <c r="Q799" s="351">
        <v>0</v>
      </c>
      <c r="R799" s="351">
        <v>0</v>
      </c>
      <c r="S799" s="351">
        <v>5.8</v>
      </c>
      <c r="T799" s="351">
        <v>0.215</v>
      </c>
      <c r="U799" s="329">
        <f>IF($N799=$N$4,IFERROR(INDEX(DanhMuc!$E$154:$E$165,MATCH(MID($B799,4,2),DanhMuc!$B$154:$B$165,0)),""),"")</f>
        <v>5800</v>
      </c>
      <c r="V799" s="325"/>
      <c r="W799" s="352" t="str">
        <f>+IF(AND($A799&lt;&gt;"",LEN($B799)&gt;=8,COUNTIF($B$6:$B799,$B799)=1),$W$5,"")</f>
        <v/>
      </c>
      <c r="X799" s="329" t="str">
        <f t="shared" si="69"/>
        <v>SL</v>
      </c>
      <c r="Y799" s="1128" t="s">
        <v>3380</v>
      </c>
      <c r="Z799" s="1128" t="s">
        <v>3381</v>
      </c>
      <c r="AA799" s="1128" t="s">
        <v>3384</v>
      </c>
      <c r="AC799" s="73"/>
    </row>
    <row r="800" spans="1:29" s="20" customFormat="1">
      <c r="A800" s="327" t="str">
        <f>IF(AND($B800&lt;&gt;"",$C800&lt;&gt;""),MAX($A$4:A799)+1,"")</f>
        <v/>
      </c>
      <c r="B800" s="361" t="s">
        <v>1937</v>
      </c>
      <c r="C800" s="364"/>
      <c r="D800" s="327">
        <f>IF($B800="","",COUNTIF($B$6:$B800,$B800))</f>
        <v>18</v>
      </c>
      <c r="E800" s="361" t="s">
        <v>2294</v>
      </c>
      <c r="F800" s="362" t="s">
        <v>612</v>
      </c>
      <c r="G800" s="361" t="s">
        <v>329</v>
      </c>
      <c r="H800" s="328" t="s">
        <v>536</v>
      </c>
      <c r="I800" s="327">
        <v>1</v>
      </c>
      <c r="J800" s="361" t="s">
        <v>1944</v>
      </c>
      <c r="K800" s="327" t="s">
        <v>531</v>
      </c>
      <c r="L800" s="348">
        <f t="shared" si="72"/>
        <v>234000</v>
      </c>
      <c r="M800" s="355"/>
      <c r="N800" s="355" t="str">
        <f t="shared" si="75"/>
        <v>PR</v>
      </c>
      <c r="O800" s="345"/>
      <c r="P800" s="325"/>
      <c r="Q800" s="351">
        <v>86</v>
      </c>
      <c r="R800" s="351">
        <v>1.5</v>
      </c>
      <c r="S800" s="351">
        <v>5.8</v>
      </c>
      <c r="T800" s="351">
        <f t="shared" ref="T800:T801" si="77">7.8/S800</f>
        <v>1.3448275862068966</v>
      </c>
      <c r="U800" s="329">
        <f>IF($N800=$N$4,IFERROR(INDEX(DanhMuc!$E$154:$E$165,MATCH(MID($B800,4,2),DanhMuc!$B$154:$B$165,0)),""),"")</f>
        <v>5800</v>
      </c>
      <c r="V800" s="325"/>
      <c r="W800" s="352" t="str">
        <f>+IF(AND($A800&lt;&gt;"",LEN($B800)&gt;=8,COUNTIF($B$6:$B800,$B800)=1),$W$5,"")</f>
        <v/>
      </c>
      <c r="X800" s="329" t="str">
        <f t="shared" si="69"/>
        <v>TSL</v>
      </c>
      <c r="Y800" s="1128" t="s">
        <v>3380</v>
      </c>
      <c r="Z800" s="1128" t="s">
        <v>3381</v>
      </c>
      <c r="AA800" s="1128" t="s">
        <v>3384</v>
      </c>
      <c r="AC800" s="73"/>
    </row>
    <row r="801" spans="1:29" s="20" customFormat="1">
      <c r="A801" s="327" t="str">
        <f>IF(AND($B801&lt;&gt;"",$C801&lt;&gt;""),MAX($A$4:A800)+1,"")</f>
        <v/>
      </c>
      <c r="B801" s="361" t="s">
        <v>1937</v>
      </c>
      <c r="C801" s="364"/>
      <c r="D801" s="327">
        <f>IF($B801="","",COUNTIF($B$6:$B801,$B801))</f>
        <v>19</v>
      </c>
      <c r="E801" s="361" t="s">
        <v>2294</v>
      </c>
      <c r="F801" s="362" t="s">
        <v>612</v>
      </c>
      <c r="G801" s="361" t="s">
        <v>328</v>
      </c>
      <c r="H801" s="328" t="s">
        <v>536</v>
      </c>
      <c r="I801" s="327">
        <v>2</v>
      </c>
      <c r="J801" s="361" t="s">
        <v>1945</v>
      </c>
      <c r="K801" s="327" t="s">
        <v>531</v>
      </c>
      <c r="L801" s="348">
        <f t="shared" si="72"/>
        <v>234000</v>
      </c>
      <c r="M801" s="355"/>
      <c r="N801" s="355" t="str">
        <f t="shared" si="75"/>
        <v>PR</v>
      </c>
      <c r="O801" s="345"/>
      <c r="P801" s="325"/>
      <c r="Q801" s="351">
        <v>86</v>
      </c>
      <c r="R801" s="351">
        <v>1.5</v>
      </c>
      <c r="S801" s="351">
        <v>5.8</v>
      </c>
      <c r="T801" s="351">
        <f t="shared" si="77"/>
        <v>1.3448275862068966</v>
      </c>
      <c r="U801" s="329">
        <f>IF($N801=$N$4,IFERROR(INDEX(DanhMuc!$E$154:$E$165,MATCH(MID($B801,4,2),DanhMuc!$B$154:$B$165,0)),""),"")</f>
        <v>5800</v>
      </c>
      <c r="V801" s="325"/>
      <c r="W801" s="352" t="str">
        <f>+IF(AND($A801&lt;&gt;"",LEN($B801)&gt;=8,COUNTIF($B$6:$B801,$B801)=1),$W$5,"")</f>
        <v/>
      </c>
      <c r="X801" s="329" t="str">
        <f t="shared" si="69"/>
        <v>TSL</v>
      </c>
      <c r="Y801" s="1128" t="s">
        <v>3380</v>
      </c>
      <c r="Z801" s="1128" t="s">
        <v>3381</v>
      </c>
      <c r="AA801" s="1128" t="s">
        <v>3384</v>
      </c>
      <c r="AC801" s="73"/>
    </row>
    <row r="802" spans="1:29" s="20" customFormat="1">
      <c r="A802" s="327" t="str">
        <f>IF(AND($B802&lt;&gt;"",$C802&lt;&gt;""),MAX($A$4:A801)+1,"")</f>
        <v/>
      </c>
      <c r="B802" s="361" t="s">
        <v>1937</v>
      </c>
      <c r="C802" s="364"/>
      <c r="D802" s="327">
        <f>IF($B802="","",COUNTIF($B$6:$B802,$B802))</f>
        <v>20</v>
      </c>
      <c r="E802" s="361" t="s">
        <v>2296</v>
      </c>
      <c r="F802" s="362" t="s">
        <v>613</v>
      </c>
      <c r="G802" s="361" t="s">
        <v>329</v>
      </c>
      <c r="H802" s="328" t="s">
        <v>536</v>
      </c>
      <c r="I802" s="327">
        <v>6</v>
      </c>
      <c r="J802" s="361" t="s">
        <v>1946</v>
      </c>
      <c r="K802" s="327" t="s">
        <v>531</v>
      </c>
      <c r="L802" s="348">
        <f t="shared" si="72"/>
        <v>354000</v>
      </c>
      <c r="M802" s="355"/>
      <c r="N802" s="355" t="str">
        <f t="shared" si="75"/>
        <v>PR</v>
      </c>
      <c r="O802" s="345"/>
      <c r="P802" s="325"/>
      <c r="Q802" s="351">
        <v>130</v>
      </c>
      <c r="R802" s="351">
        <v>1.5</v>
      </c>
      <c r="S802" s="351">
        <v>5.8</v>
      </c>
      <c r="T802" s="351">
        <f t="shared" ref="T802:T803" si="78">11.8/S802</f>
        <v>2.0344827586206899</v>
      </c>
      <c r="U802" s="329">
        <f>IF($N802=$N$4,IFERROR(INDEX(DanhMuc!$E$154:$E$165,MATCH(MID($B802,4,2),DanhMuc!$B$154:$B$165,0)),""),"")</f>
        <v>5800</v>
      </c>
      <c r="V802" s="325"/>
      <c r="W802" s="352" t="str">
        <f>+IF(AND($A802&lt;&gt;"",LEN($B802)&gt;=8,COUNTIF($B$6:$B802,$B802)=1),$W$5,"")</f>
        <v/>
      </c>
      <c r="X802" s="329" t="str">
        <f t="shared" si="69"/>
        <v>TSL</v>
      </c>
      <c r="Y802" s="1128" t="s">
        <v>3380</v>
      </c>
      <c r="Z802" s="1128" t="s">
        <v>3381</v>
      </c>
      <c r="AA802" s="1128" t="s">
        <v>3384</v>
      </c>
      <c r="AC802" s="73"/>
    </row>
    <row r="803" spans="1:29" s="20" customFormat="1">
      <c r="A803" s="327" t="str">
        <f>IF(AND($B803&lt;&gt;"",$C803&lt;&gt;""),MAX($A$4:A802)+1,"")</f>
        <v/>
      </c>
      <c r="B803" s="361" t="s">
        <v>1937</v>
      </c>
      <c r="C803" s="364"/>
      <c r="D803" s="327">
        <f>IF($B803="","",COUNTIF($B$6:$B803,$B803))</f>
        <v>21</v>
      </c>
      <c r="E803" s="361" t="s">
        <v>2296</v>
      </c>
      <c r="F803" s="362" t="s">
        <v>613</v>
      </c>
      <c r="G803" s="361" t="s">
        <v>328</v>
      </c>
      <c r="H803" s="328" t="s">
        <v>536</v>
      </c>
      <c r="I803" s="327">
        <v>6</v>
      </c>
      <c r="J803" s="361" t="s">
        <v>1296</v>
      </c>
      <c r="K803" s="327" t="s">
        <v>531</v>
      </c>
      <c r="L803" s="348">
        <f t="shared" si="72"/>
        <v>354000</v>
      </c>
      <c r="M803" s="355"/>
      <c r="N803" s="355" t="str">
        <f t="shared" si="75"/>
        <v>PR</v>
      </c>
      <c r="O803" s="345"/>
      <c r="P803" s="325"/>
      <c r="Q803" s="351">
        <v>130</v>
      </c>
      <c r="R803" s="351">
        <v>1.5</v>
      </c>
      <c r="S803" s="351">
        <v>5.8</v>
      </c>
      <c r="T803" s="351">
        <f t="shared" si="78"/>
        <v>2.0344827586206899</v>
      </c>
      <c r="U803" s="329">
        <f>IF($N803=$N$4,IFERROR(INDEX(DanhMuc!$E$154:$E$165,MATCH(MID($B803,4,2),DanhMuc!$B$154:$B$165,0)),""),"")</f>
        <v>5800</v>
      </c>
      <c r="V803" s="325"/>
      <c r="W803" s="352" t="str">
        <f>+IF(AND($A803&lt;&gt;"",LEN($B803)&gt;=8,COUNTIF($B$6:$B803,$B803)=1),$W$5,"")</f>
        <v/>
      </c>
      <c r="X803" s="329" t="str">
        <f t="shared" si="69"/>
        <v>TSL</v>
      </c>
      <c r="Y803" s="1128" t="s">
        <v>3380</v>
      </c>
      <c r="Z803" s="1128" t="s">
        <v>3381</v>
      </c>
      <c r="AA803" s="1128" t="s">
        <v>3384</v>
      </c>
      <c r="AC803" s="73"/>
    </row>
    <row r="804" spans="1:29" s="20" customFormat="1" ht="39">
      <c r="A804" s="327">
        <f>IF(AND($B804&lt;&gt;"",$C804&lt;&gt;""),MAX($A$4:A803)+1,"")</f>
        <v>66</v>
      </c>
      <c r="B804" s="359" t="s">
        <v>1951</v>
      </c>
      <c r="C804" s="370" t="s">
        <v>1950</v>
      </c>
      <c r="D804" s="327">
        <f>IF($B804="","",COUNTIF($B$6:$B804,$B804))</f>
        <v>1</v>
      </c>
      <c r="E804" s="363" t="s">
        <v>375</v>
      </c>
      <c r="F804" s="362" t="s">
        <v>376</v>
      </c>
      <c r="G804" s="327" t="s">
        <v>329</v>
      </c>
      <c r="H804" s="325"/>
      <c r="I804" s="327">
        <v>1</v>
      </c>
      <c r="J804" s="361" t="s">
        <v>762</v>
      </c>
      <c r="K804" s="327" t="s">
        <v>516</v>
      </c>
      <c r="L804" s="348">
        <f t="shared" si="72"/>
        <v>403923.6</v>
      </c>
      <c r="M804" s="355"/>
      <c r="N804" s="355" t="str">
        <f t="shared" si="75"/>
        <v>PR</v>
      </c>
      <c r="O804" s="345"/>
      <c r="P804" s="325"/>
      <c r="Q804" s="351">
        <v>86</v>
      </c>
      <c r="R804" s="351">
        <v>0</v>
      </c>
      <c r="S804" s="351">
        <v>5.8</v>
      </c>
      <c r="T804" s="351">
        <v>1.3140000000000001</v>
      </c>
      <c r="U804" s="329">
        <f>IF($N804=$N$4,IFERROR(INDEX(DanhMuc!$E$154:$E$165,MATCH(MID($B804,4,2),DanhMuc!$B$154:$B$165,0)),""),"")</f>
        <v>5800</v>
      </c>
      <c r="V804" s="325"/>
      <c r="W804" s="352" t="str">
        <f>+IF(AND($A804&lt;&gt;"",LEN($B804)&gt;=8,COUNTIF($B$6:$B804,$B804)=1),$W$5,"")</f>
        <v>DMCua</v>
      </c>
      <c r="X804" s="329" t="str">
        <f t="shared" si="69"/>
        <v>SL</v>
      </c>
      <c r="Y804" s="1128" t="s">
        <v>3380</v>
      </c>
      <c r="Z804" s="1128" t="s">
        <v>3381</v>
      </c>
      <c r="AA804" s="1128" t="s">
        <v>3384</v>
      </c>
      <c r="AC804" s="73"/>
    </row>
    <row r="805" spans="1:29" s="20" customFormat="1">
      <c r="A805" s="327" t="str">
        <f>IF(AND($B805&lt;&gt;"",$C805&lt;&gt;""),MAX($A$4:A804)+1,"")</f>
        <v/>
      </c>
      <c r="B805" s="361" t="s">
        <v>1951</v>
      </c>
      <c r="C805" s="364"/>
      <c r="D805" s="327">
        <f>IF($B805="","",COUNTIF($B$6:$B805,$B805))</f>
        <v>2</v>
      </c>
      <c r="E805" s="363" t="s">
        <v>375</v>
      </c>
      <c r="F805" s="362" t="s">
        <v>376</v>
      </c>
      <c r="G805" s="327" t="s">
        <v>328</v>
      </c>
      <c r="H805" s="325"/>
      <c r="I805" s="327">
        <v>2</v>
      </c>
      <c r="J805" s="361" t="s">
        <v>814</v>
      </c>
      <c r="K805" s="327" t="s">
        <v>1141</v>
      </c>
      <c r="L805" s="348">
        <f t="shared" si="72"/>
        <v>403923.6</v>
      </c>
      <c r="M805" s="355"/>
      <c r="N805" s="355" t="str">
        <f t="shared" si="75"/>
        <v>PR</v>
      </c>
      <c r="O805" s="347"/>
      <c r="P805" s="325"/>
      <c r="Q805" s="351">
        <v>86</v>
      </c>
      <c r="R805" s="351">
        <v>0</v>
      </c>
      <c r="S805" s="351">
        <v>5.8</v>
      </c>
      <c r="T805" s="351">
        <v>1.3140000000000001</v>
      </c>
      <c r="U805" s="329">
        <f>IF($N805=$N$4,IFERROR(INDEX(DanhMuc!$E$154:$E$165,MATCH(MID($B805,4,2),DanhMuc!$B$154:$B$165,0)),""),"")</f>
        <v>5800</v>
      </c>
      <c r="V805" s="325"/>
      <c r="W805" s="352" t="str">
        <f>+IF(AND($A805&lt;&gt;"",LEN($B805)&gt;=8,COUNTIF($B$6:$B805,$B805)=1),$W$5,"")</f>
        <v/>
      </c>
      <c r="X805" s="329" t="str">
        <f t="shared" si="69"/>
        <v>SL</v>
      </c>
      <c r="Y805" s="1128" t="s">
        <v>3380</v>
      </c>
      <c r="Z805" s="1128" t="s">
        <v>3381</v>
      </c>
      <c r="AA805" s="1128" t="s">
        <v>3384</v>
      </c>
      <c r="AC805" s="73"/>
    </row>
    <row r="806" spans="1:29" s="20" customFormat="1">
      <c r="A806" s="327" t="str">
        <f>IF(AND($B806&lt;&gt;"",$C806&lt;&gt;""),MAX($A$4:A805)+1,"")</f>
        <v/>
      </c>
      <c r="B806" s="361" t="s">
        <v>1951</v>
      </c>
      <c r="C806" s="364"/>
      <c r="D806" s="327">
        <f>IF($B806="","",COUNTIF($B$6:$B806,$B806))</f>
        <v>3</v>
      </c>
      <c r="E806" s="361" t="s">
        <v>377</v>
      </c>
      <c r="F806" s="362" t="s">
        <v>378</v>
      </c>
      <c r="G806" s="327" t="s">
        <v>329</v>
      </c>
      <c r="H806" s="325"/>
      <c r="I806" s="327">
        <v>8</v>
      </c>
      <c r="J806" s="361" t="s">
        <v>1952</v>
      </c>
      <c r="K806" s="327" t="s">
        <v>516</v>
      </c>
      <c r="L806" s="348">
        <f t="shared" si="72"/>
        <v>510898.8</v>
      </c>
      <c r="M806" s="355"/>
      <c r="N806" s="355" t="str">
        <f t="shared" si="75"/>
        <v>PR</v>
      </c>
      <c r="O806" s="345" t="s">
        <v>19</v>
      </c>
      <c r="P806" s="325"/>
      <c r="Q806" s="351">
        <v>65</v>
      </c>
      <c r="R806" s="351">
        <v>0</v>
      </c>
      <c r="S806" s="351">
        <v>5.8</v>
      </c>
      <c r="T806" s="351">
        <v>1.6619999999999999</v>
      </c>
      <c r="U806" s="329">
        <f>IF($N806=$N$4,IFERROR(INDEX(DanhMuc!$E$154:$E$165,MATCH(MID($B806,4,2),DanhMuc!$B$154:$B$165,0)),""),"")</f>
        <v>5800</v>
      </c>
      <c r="V806" s="325"/>
      <c r="W806" s="352" t="str">
        <f>+IF(AND($A806&lt;&gt;"",LEN($B806)&gt;=8,COUNTIF($B$6:$B806,$B806)=1),$W$5,"")</f>
        <v/>
      </c>
      <c r="X806" s="329" t="str">
        <f t="shared" si="69"/>
        <v>SL</v>
      </c>
      <c r="Y806" s="1128" t="s">
        <v>3380</v>
      </c>
      <c r="Z806" s="1128" t="s">
        <v>3381</v>
      </c>
      <c r="AA806" s="1128" t="s">
        <v>3384</v>
      </c>
      <c r="AC806" s="73"/>
    </row>
    <row r="807" spans="1:29" s="20" customFormat="1">
      <c r="A807" s="327" t="str">
        <f>IF(AND($B807&lt;&gt;"",$C807&lt;&gt;""),MAX($A$4:A805)+1,"")</f>
        <v/>
      </c>
      <c r="B807" s="361" t="s">
        <v>1951</v>
      </c>
      <c r="C807" s="364"/>
      <c r="D807" s="327">
        <f>IF($B807="","",COUNTIF($B$6:$B807,$B807))</f>
        <v>4</v>
      </c>
      <c r="E807" s="361" t="s">
        <v>379</v>
      </c>
      <c r="F807" s="362" t="s">
        <v>380</v>
      </c>
      <c r="G807" s="327" t="s">
        <v>328</v>
      </c>
      <c r="H807" s="325"/>
      <c r="I807" s="327">
        <v>2</v>
      </c>
      <c r="J807" s="361" t="s">
        <v>816</v>
      </c>
      <c r="K807" s="327" t="s">
        <v>516</v>
      </c>
      <c r="L807" s="348">
        <f t="shared" si="72"/>
        <v>516124.60000000003</v>
      </c>
      <c r="M807" s="355"/>
      <c r="N807" s="355" t="str">
        <f t="shared" si="75"/>
        <v>PR</v>
      </c>
      <c r="O807" s="345" t="s">
        <v>19</v>
      </c>
      <c r="P807" s="325"/>
      <c r="Q807" s="351">
        <v>65</v>
      </c>
      <c r="R807" s="351">
        <v>0</v>
      </c>
      <c r="S807" s="351">
        <v>5.8</v>
      </c>
      <c r="T807" s="351">
        <v>1.679</v>
      </c>
      <c r="U807" s="329">
        <f>IF($N807=$N$4,IFERROR(INDEX(DanhMuc!$E$154:$E$165,MATCH(MID($B807,4,2),DanhMuc!$B$154:$B$165,0)),""),"")</f>
        <v>5800</v>
      </c>
      <c r="V807" s="325"/>
      <c r="W807" s="352" t="str">
        <f>+IF(AND($A807&lt;&gt;"",LEN($B807)&gt;=8,COUNTIF($B$6:$B807,$B807)=1),$W$5,"")</f>
        <v/>
      </c>
      <c r="X807" s="329" t="str">
        <f t="shared" si="69"/>
        <v>SL</v>
      </c>
      <c r="Y807" s="1128" t="s">
        <v>3380</v>
      </c>
      <c r="Z807" s="1128" t="s">
        <v>3381</v>
      </c>
      <c r="AA807" s="1128" t="s">
        <v>3384</v>
      </c>
      <c r="AC807" s="73"/>
    </row>
    <row r="808" spans="1:29" s="20" customFormat="1">
      <c r="A808" s="327" t="str">
        <f>IF(AND($B808&lt;&gt;"",$C808&lt;&gt;""),MAX($A$4:A806)+1,"")</f>
        <v/>
      </c>
      <c r="B808" s="361" t="s">
        <v>1951</v>
      </c>
      <c r="C808" s="364"/>
      <c r="D808" s="327">
        <f>IF($B808="","",COUNTIF($B$6:$B808,$B808))</f>
        <v>5</v>
      </c>
      <c r="E808" s="361" t="s">
        <v>377</v>
      </c>
      <c r="F808" s="362" t="s">
        <v>378</v>
      </c>
      <c r="G808" s="327" t="s">
        <v>328</v>
      </c>
      <c r="H808" s="325"/>
      <c r="I808" s="327">
        <v>6</v>
      </c>
      <c r="J808" s="361" t="s">
        <v>816</v>
      </c>
      <c r="K808" s="327" t="s">
        <v>516</v>
      </c>
      <c r="L808" s="348">
        <f t="shared" si="72"/>
        <v>510898.8</v>
      </c>
      <c r="M808" s="355"/>
      <c r="N808" s="355" t="str">
        <f t="shared" si="75"/>
        <v>PR</v>
      </c>
      <c r="O808" s="345" t="s">
        <v>19</v>
      </c>
      <c r="P808" s="325"/>
      <c r="Q808" s="351">
        <v>65</v>
      </c>
      <c r="R808" s="351">
        <v>0</v>
      </c>
      <c r="S808" s="351">
        <v>5.8</v>
      </c>
      <c r="T808" s="351">
        <v>1.6619999999999999</v>
      </c>
      <c r="U808" s="329">
        <f>IF($N808=$N$4,IFERROR(INDEX(DanhMuc!$E$154:$E$165,MATCH(MID($B808,4,2),DanhMuc!$B$154:$B$165,0)),""),"")</f>
        <v>5800</v>
      </c>
      <c r="V808" s="325"/>
      <c r="W808" s="352" t="str">
        <f>+IF(AND($A808&lt;&gt;"",LEN($B808)&gt;=8,COUNTIF($B$6:$B808,$B808)=1),$W$5,"")</f>
        <v/>
      </c>
      <c r="X808" s="329" t="str">
        <f t="shared" si="69"/>
        <v>SL</v>
      </c>
      <c r="Y808" s="1128" t="s">
        <v>3380</v>
      </c>
      <c r="Z808" s="1128" t="s">
        <v>3381</v>
      </c>
      <c r="AA808" s="1128" t="s">
        <v>3384</v>
      </c>
      <c r="AC808" s="73"/>
    </row>
    <row r="809" spans="1:29" s="20" customFormat="1">
      <c r="A809" s="327" t="str">
        <f>IF(AND($B809&lt;&gt;"",$C809&lt;&gt;""),MAX($A$4:A807)+1,"")</f>
        <v/>
      </c>
      <c r="B809" s="361" t="s">
        <v>1951</v>
      </c>
      <c r="C809" s="364"/>
      <c r="D809" s="327">
        <f>IF($B809="","",COUNTIF($B$6:$B809,$B809))</f>
        <v>6</v>
      </c>
      <c r="E809" s="361" t="s">
        <v>379</v>
      </c>
      <c r="F809" s="362" t="s">
        <v>380</v>
      </c>
      <c r="G809" s="327" t="s">
        <v>329</v>
      </c>
      <c r="H809" s="325"/>
      <c r="I809" s="327">
        <v>8</v>
      </c>
      <c r="J809" s="361" t="s">
        <v>1952</v>
      </c>
      <c r="K809" s="327" t="s">
        <v>516</v>
      </c>
      <c r="L809" s="348">
        <f t="shared" si="72"/>
        <v>516124.60000000003</v>
      </c>
      <c r="M809" s="355"/>
      <c r="N809" s="355" t="str">
        <f t="shared" si="75"/>
        <v>PR</v>
      </c>
      <c r="O809" s="345" t="s">
        <v>16</v>
      </c>
      <c r="P809" s="325"/>
      <c r="Q809" s="351">
        <v>65</v>
      </c>
      <c r="R809" s="351">
        <v>0</v>
      </c>
      <c r="S809" s="351">
        <v>5.8</v>
      </c>
      <c r="T809" s="351">
        <v>1.679</v>
      </c>
      <c r="U809" s="329">
        <f>IF($N809=$N$4,IFERROR(INDEX(DanhMuc!$E$154:$E$165,MATCH(MID($B809,4,2),DanhMuc!$B$154:$B$165,0)),""),"")</f>
        <v>5800</v>
      </c>
      <c r="V809" s="325"/>
      <c r="W809" s="352" t="str">
        <f>+IF(AND($A809&lt;&gt;"",LEN($B809)&gt;=8,COUNTIF($B$6:$B809,$B809)=1),$W$5,"")</f>
        <v/>
      </c>
      <c r="X809" s="329" t="str">
        <f t="shared" si="69"/>
        <v>SL</v>
      </c>
      <c r="Y809" s="1128" t="s">
        <v>3380</v>
      </c>
      <c r="Z809" s="1128" t="s">
        <v>3381</v>
      </c>
      <c r="AA809" s="1128" t="s">
        <v>3384</v>
      </c>
      <c r="AC809" s="73"/>
    </row>
    <row r="810" spans="1:29" s="20" customFormat="1">
      <c r="A810" s="327" t="str">
        <f>IF(AND($B810&lt;&gt;"",$C810&lt;&gt;""),MAX($A$4:A808)+1,"")</f>
        <v/>
      </c>
      <c r="B810" s="361" t="s">
        <v>1951</v>
      </c>
      <c r="C810" s="364"/>
      <c r="D810" s="327">
        <f>IF($B810="","",COUNTIF($B$6:$B810,$B810))</f>
        <v>7</v>
      </c>
      <c r="E810" s="361" t="s">
        <v>377</v>
      </c>
      <c r="F810" s="362" t="s">
        <v>378</v>
      </c>
      <c r="G810" s="327" t="s">
        <v>328</v>
      </c>
      <c r="H810" s="325"/>
      <c r="I810" s="327">
        <v>2</v>
      </c>
      <c r="J810" s="361" t="s">
        <v>816</v>
      </c>
      <c r="K810" s="327" t="s">
        <v>516</v>
      </c>
      <c r="L810" s="348">
        <f t="shared" si="72"/>
        <v>510898.8</v>
      </c>
      <c r="M810" s="355"/>
      <c r="N810" s="355" t="str">
        <f t="shared" si="75"/>
        <v>PR</v>
      </c>
      <c r="O810" s="345" t="s">
        <v>16</v>
      </c>
      <c r="P810" s="325"/>
      <c r="Q810" s="351">
        <v>65</v>
      </c>
      <c r="R810" s="351">
        <v>0</v>
      </c>
      <c r="S810" s="351">
        <v>5.8</v>
      </c>
      <c r="T810" s="351">
        <v>1.6619999999999999</v>
      </c>
      <c r="U810" s="329">
        <f>IF($N810=$N$4,IFERROR(INDEX(DanhMuc!$E$154:$E$165,MATCH(MID($B810,4,2),DanhMuc!$B$154:$B$165,0)),""),"")</f>
        <v>5800</v>
      </c>
      <c r="V810" s="325"/>
      <c r="W810" s="352" t="str">
        <f>+IF(AND($A810&lt;&gt;"",LEN($B810)&gt;=8,COUNTIF($B$6:$B810,$B810)=1),$W$5,"")</f>
        <v/>
      </c>
      <c r="X810" s="329" t="str">
        <f t="shared" si="69"/>
        <v>SL</v>
      </c>
      <c r="Y810" s="1128" t="s">
        <v>3380</v>
      </c>
      <c r="Z810" s="1128" t="s">
        <v>3381</v>
      </c>
      <c r="AA810" s="1128" t="s">
        <v>3384</v>
      </c>
      <c r="AC810" s="73"/>
    </row>
    <row r="811" spans="1:29" s="20" customFormat="1">
      <c r="A811" s="327" t="str">
        <f>IF(AND($B811&lt;&gt;"",$C811&lt;&gt;""),MAX($A$4:A809)+1,"")</f>
        <v/>
      </c>
      <c r="B811" s="361" t="s">
        <v>1951</v>
      </c>
      <c r="C811" s="364"/>
      <c r="D811" s="327">
        <f>IF($B811="","",COUNTIF($B$6:$B811,$B811))</f>
        <v>8</v>
      </c>
      <c r="E811" s="361" t="s">
        <v>379</v>
      </c>
      <c r="F811" s="362" t="s">
        <v>380</v>
      </c>
      <c r="G811" s="327" t="s">
        <v>328</v>
      </c>
      <c r="H811" s="325"/>
      <c r="I811" s="327">
        <v>6</v>
      </c>
      <c r="J811" s="361" t="s">
        <v>816</v>
      </c>
      <c r="K811" s="327" t="s">
        <v>516</v>
      </c>
      <c r="L811" s="348">
        <f t="shared" si="72"/>
        <v>516124.60000000003</v>
      </c>
      <c r="M811" s="355"/>
      <c r="N811" s="355" t="str">
        <f t="shared" si="75"/>
        <v>PR</v>
      </c>
      <c r="O811" s="345" t="s">
        <v>16</v>
      </c>
      <c r="P811" s="325"/>
      <c r="Q811" s="351">
        <v>65</v>
      </c>
      <c r="R811" s="351">
        <v>0</v>
      </c>
      <c r="S811" s="351">
        <v>5.8</v>
      </c>
      <c r="T811" s="351">
        <v>1.679</v>
      </c>
      <c r="U811" s="329">
        <f>IF($N811=$N$4,IFERROR(INDEX(DanhMuc!$E$154:$E$165,MATCH(MID($B811,4,2),DanhMuc!$B$154:$B$165,0)),""),"")</f>
        <v>5800</v>
      </c>
      <c r="V811" s="325"/>
      <c r="W811" s="352" t="str">
        <f>+IF(AND($A811&lt;&gt;"",LEN($B811)&gt;=8,COUNTIF($B$6:$B811,$B811)=1),$W$5,"")</f>
        <v/>
      </c>
      <c r="X811" s="329" t="str">
        <f t="shared" si="69"/>
        <v>SL</v>
      </c>
      <c r="Y811" s="1128" t="s">
        <v>3380</v>
      </c>
      <c r="Z811" s="1128" t="s">
        <v>3381</v>
      </c>
      <c r="AA811" s="1128" t="s">
        <v>3384</v>
      </c>
      <c r="AC811" s="73"/>
    </row>
    <row r="812" spans="1:29" s="20" customFormat="1">
      <c r="A812" s="327" t="str">
        <f>IF(AND($B812&lt;&gt;"",$C812&lt;&gt;""),MAX($A$4:A810)+1,"")</f>
        <v/>
      </c>
      <c r="B812" s="361" t="s">
        <v>1951</v>
      </c>
      <c r="C812" s="364"/>
      <c r="D812" s="327">
        <f>IF($B812="","",COUNTIF($B$6:$B812,$B812))</f>
        <v>9</v>
      </c>
      <c r="E812" s="361" t="s">
        <v>776</v>
      </c>
      <c r="F812" s="362" t="s">
        <v>761</v>
      </c>
      <c r="G812" s="327" t="s">
        <v>328</v>
      </c>
      <c r="H812" s="325"/>
      <c r="I812" s="327">
        <v>1</v>
      </c>
      <c r="J812" s="361" t="s">
        <v>1940</v>
      </c>
      <c r="K812" s="327" t="s">
        <v>531</v>
      </c>
      <c r="L812" s="348">
        <f t="shared" si="72"/>
        <v>282808</v>
      </c>
      <c r="M812" s="355"/>
      <c r="N812" s="355" t="str">
        <f t="shared" si="75"/>
        <v>PR</v>
      </c>
      <c r="O812" s="345"/>
      <c r="P812" s="325"/>
      <c r="Q812" s="351"/>
      <c r="R812" s="351">
        <v>0</v>
      </c>
      <c r="S812" s="351">
        <v>5.8</v>
      </c>
      <c r="T812" s="351">
        <v>0.92</v>
      </c>
      <c r="U812" s="329">
        <f>IF($N812=$N$4,IFERROR(INDEX(DanhMuc!$E$154:$E$165,MATCH(MID($B812,4,2),DanhMuc!$B$154:$B$165,0)),""),"")</f>
        <v>5800</v>
      </c>
      <c r="V812" s="325"/>
      <c r="W812" s="352" t="str">
        <f>+IF(AND($A812&lt;&gt;"",LEN($B812)&gt;=8,COUNTIF($B$6:$B812,$B812)=1),$W$5,"")</f>
        <v/>
      </c>
      <c r="X812" s="329" t="str">
        <f t="shared" si="69"/>
        <v>SL</v>
      </c>
      <c r="Y812" s="1128" t="s">
        <v>3380</v>
      </c>
      <c r="Z812" s="1128" t="s">
        <v>3381</v>
      </c>
      <c r="AA812" s="1128" t="s">
        <v>3384</v>
      </c>
      <c r="AC812" s="73"/>
    </row>
    <row r="813" spans="1:29" s="20" customFormat="1">
      <c r="A813" s="327" t="str">
        <f>IF(AND($B813&lt;&gt;"",$C813&lt;&gt;""),MAX($A$4:A811)+1,"")</f>
        <v/>
      </c>
      <c r="B813" s="361" t="s">
        <v>1951</v>
      </c>
      <c r="C813" s="364"/>
      <c r="D813" s="327">
        <f>IF($B813="","",COUNTIF($B$6:$B813,$B813))</f>
        <v>10</v>
      </c>
      <c r="E813" s="361" t="s">
        <v>625</v>
      </c>
      <c r="F813" s="362" t="s">
        <v>437</v>
      </c>
      <c r="G813" s="327" t="s">
        <v>329</v>
      </c>
      <c r="H813" s="325"/>
      <c r="I813" s="327">
        <v>3</v>
      </c>
      <c r="J813" s="361" t="s">
        <v>1953</v>
      </c>
      <c r="K813" s="327" t="s">
        <v>531</v>
      </c>
      <c r="L813" s="348">
        <f t="shared" si="72"/>
        <v>196857.14285714296</v>
      </c>
      <c r="M813" s="355"/>
      <c r="N813" s="355" t="str">
        <f t="shared" si="75"/>
        <v>PR</v>
      </c>
      <c r="O813" s="347" t="s">
        <v>1475</v>
      </c>
      <c r="P813" s="325"/>
      <c r="Q813" s="351"/>
      <c r="R813" s="351">
        <v>0</v>
      </c>
      <c r="S813" s="351">
        <v>5.8</v>
      </c>
      <c r="T813" s="351">
        <v>0.64039408866995107</v>
      </c>
      <c r="U813" s="329">
        <f>IF($N813=$N$4,IFERROR(INDEX(DanhMuc!$E$154:$E$165,MATCH(MID($B813,4,2),DanhMuc!$B$154:$B$165,0)),""),"")</f>
        <v>5800</v>
      </c>
      <c r="V813" s="325" t="s">
        <v>626</v>
      </c>
      <c r="W813" s="352" t="str">
        <f>+IF(AND($A813&lt;&gt;"",LEN($B813)&gt;=8,COUNTIF($B$6:$B813,$B813)=1),$W$5,"")</f>
        <v/>
      </c>
      <c r="X813" s="329" t="str">
        <f t="shared" si="69"/>
        <v>SL</v>
      </c>
      <c r="Y813" s="1128" t="s">
        <v>3380</v>
      </c>
      <c r="Z813" s="1128" t="s">
        <v>3381</v>
      </c>
      <c r="AA813" s="1128" t="s">
        <v>3384</v>
      </c>
      <c r="AC813" s="73"/>
    </row>
    <row r="814" spans="1:29" s="20" customFormat="1">
      <c r="A814" s="327" t="str">
        <f>IF(AND($B814&lt;&gt;"",$C814&lt;&gt;""),MAX($A$4:A812)+1,"")</f>
        <v/>
      </c>
      <c r="B814" s="361" t="s">
        <v>1951</v>
      </c>
      <c r="C814" s="629"/>
      <c r="D814" s="630">
        <f>IF($B814="","",COUNTIF($B$6:$B814,$B814))</f>
        <v>11</v>
      </c>
      <c r="E814" s="628" t="s">
        <v>623</v>
      </c>
      <c r="F814" s="631" t="s">
        <v>865</v>
      </c>
      <c r="G814" s="630" t="s">
        <v>329</v>
      </c>
      <c r="H814" s="325"/>
      <c r="I814" s="327">
        <v>1</v>
      </c>
      <c r="J814" s="361" t="s">
        <v>866</v>
      </c>
      <c r="K814" s="327" t="s">
        <v>531</v>
      </c>
      <c r="L814" s="625">
        <f t="shared" ref="L814" si="79">+$T814*$S814*$L$37</f>
        <v>536931.81818181812</v>
      </c>
      <c r="M814" s="355"/>
      <c r="N814" s="355" t="str">
        <f t="shared" si="75"/>
        <v>PR</v>
      </c>
      <c r="O814" s="347" t="s">
        <v>1476</v>
      </c>
      <c r="P814" s="632"/>
      <c r="Q814" s="627"/>
      <c r="R814" s="627"/>
      <c r="S814" s="627">
        <v>5.8</v>
      </c>
      <c r="T814" s="627">
        <v>0.8816614420062695</v>
      </c>
      <c r="U814" s="329">
        <f>IF($N814=$N$4,IFERROR(INDEX(DanhMuc!$E$154:$E$165,MATCH(MID($B814,4,2),DanhMuc!$B$154:$B$165,0)),""),"")</f>
        <v>5800</v>
      </c>
      <c r="V814" s="325" t="s">
        <v>624</v>
      </c>
      <c r="W814" s="352" t="str">
        <f>+IF(AND($A814&lt;&gt;"",LEN($B814)&gt;=8,COUNTIF($B$6:$B814,$B814)=1),$W$5,"")</f>
        <v/>
      </c>
      <c r="X814" s="329" t="str">
        <f t="shared" si="69"/>
        <v>SL</v>
      </c>
      <c r="Y814" s="1128" t="s">
        <v>3380</v>
      </c>
      <c r="Z814" s="1128" t="s">
        <v>3381</v>
      </c>
      <c r="AA814" s="1128" t="s">
        <v>3384</v>
      </c>
      <c r="AC814" s="73"/>
    </row>
    <row r="815" spans="1:29" s="20" customFormat="1">
      <c r="A815" s="327" t="str">
        <f>IF(AND($B815&lt;&gt;"",$C815&lt;&gt;""),MAX($A$4:A813)+1,"")</f>
        <v/>
      </c>
      <c r="B815" s="361" t="s">
        <v>1951</v>
      </c>
      <c r="C815" s="364"/>
      <c r="D815" s="327">
        <f>IF($B815="","",COUNTIF($B$6:$B815,$B815))</f>
        <v>12</v>
      </c>
      <c r="E815" s="361" t="s">
        <v>381</v>
      </c>
      <c r="F815" s="362" t="s">
        <v>896</v>
      </c>
      <c r="G815" s="327" t="s">
        <v>329</v>
      </c>
      <c r="H815" s="325"/>
      <c r="I815" s="327">
        <v>8</v>
      </c>
      <c r="J815" s="361" t="s">
        <v>1954</v>
      </c>
      <c r="K815" s="327" t="s">
        <v>516</v>
      </c>
      <c r="L815" s="348">
        <f t="shared" si="72"/>
        <v>89146</v>
      </c>
      <c r="M815" s="355"/>
      <c r="N815" s="355" t="str">
        <f t="shared" si="75"/>
        <v>PR</v>
      </c>
      <c r="O815" s="347">
        <v>7</v>
      </c>
      <c r="P815" s="325"/>
      <c r="Q815" s="351">
        <v>0</v>
      </c>
      <c r="R815" s="351">
        <v>0</v>
      </c>
      <c r="S815" s="351">
        <v>5.8</v>
      </c>
      <c r="T815" s="351">
        <v>0.28999999999999998</v>
      </c>
      <c r="U815" s="329">
        <f>IF($N815=$N$4,IFERROR(INDEX(DanhMuc!$E$154:$E$165,MATCH(MID($B815,4,2),DanhMuc!$B$154:$B$165,0)),""),"")</f>
        <v>5800</v>
      </c>
      <c r="V815" s="325"/>
      <c r="W815" s="352" t="str">
        <f>+IF(AND($A815&lt;&gt;"",LEN($B815)&gt;=8,COUNTIF($B$6:$B815,$B815)=1),$W$5,"")</f>
        <v/>
      </c>
      <c r="X815" s="329" t="str">
        <f t="shared" si="69"/>
        <v>SL</v>
      </c>
      <c r="Y815" s="1128" t="s">
        <v>3380</v>
      </c>
      <c r="Z815" s="1128" t="s">
        <v>3381</v>
      </c>
      <c r="AA815" s="1128" t="s">
        <v>3384</v>
      </c>
      <c r="AC815" s="73"/>
    </row>
    <row r="816" spans="1:29" s="20" customFormat="1">
      <c r="A816" s="327" t="str">
        <f>IF(AND($B816&lt;&gt;"",$C816&lt;&gt;""),MAX($A$4:A814)+1,"")</f>
        <v/>
      </c>
      <c r="B816" s="361" t="s">
        <v>1951</v>
      </c>
      <c r="C816" s="364"/>
      <c r="D816" s="327">
        <f>IF($B816="","",COUNTIF($B$6:$B816,$B816))</f>
        <v>13</v>
      </c>
      <c r="E816" s="361" t="s">
        <v>381</v>
      </c>
      <c r="F816" s="362" t="s">
        <v>896</v>
      </c>
      <c r="G816" s="327" t="s">
        <v>328</v>
      </c>
      <c r="H816" s="325"/>
      <c r="I816" s="327">
        <v>8</v>
      </c>
      <c r="J816" s="361" t="s">
        <v>1943</v>
      </c>
      <c r="K816" s="327" t="s">
        <v>516</v>
      </c>
      <c r="L816" s="348">
        <f t="shared" si="72"/>
        <v>89146</v>
      </c>
      <c r="M816" s="355"/>
      <c r="N816" s="355" t="str">
        <f t="shared" si="75"/>
        <v>PR</v>
      </c>
      <c r="O816" s="347">
        <v>7</v>
      </c>
      <c r="P816" s="325"/>
      <c r="Q816" s="351">
        <v>0</v>
      </c>
      <c r="R816" s="351">
        <v>0</v>
      </c>
      <c r="S816" s="351">
        <v>5.8</v>
      </c>
      <c r="T816" s="351">
        <v>0.28999999999999998</v>
      </c>
      <c r="U816" s="329">
        <f>IF($N816=$N$4,IFERROR(INDEX(DanhMuc!$E$154:$E$165,MATCH(MID($B816,4,2),DanhMuc!$B$154:$B$165,0)),""),"")</f>
        <v>5800</v>
      </c>
      <c r="V816" s="325"/>
      <c r="W816" s="352" t="str">
        <f>+IF(AND($A816&lt;&gt;"",LEN($B816)&gt;=8,COUNTIF($B$6:$B816,$B816)=1),$W$5,"")</f>
        <v/>
      </c>
      <c r="X816" s="329" t="str">
        <f t="shared" si="69"/>
        <v>SL</v>
      </c>
      <c r="Y816" s="1128" t="s">
        <v>3380</v>
      </c>
      <c r="Z816" s="1128" t="s">
        <v>3381</v>
      </c>
      <c r="AA816" s="1128" t="s">
        <v>3384</v>
      </c>
      <c r="AC816" s="73"/>
    </row>
    <row r="817" spans="1:29" s="20" customFormat="1">
      <c r="A817" s="327" t="str">
        <f>IF(AND($B817&lt;&gt;"",$C817&lt;&gt;""),MAX($A$4:A815)+1,"")</f>
        <v/>
      </c>
      <c r="B817" s="361" t="s">
        <v>1951</v>
      </c>
      <c r="C817" s="364"/>
      <c r="D817" s="327">
        <f>IF($B817="","",COUNTIF($B$6:$B817,$B817))</f>
        <v>14</v>
      </c>
      <c r="E817" s="361" t="s">
        <v>382</v>
      </c>
      <c r="F817" s="362" t="s">
        <v>897</v>
      </c>
      <c r="G817" s="327" t="s">
        <v>329</v>
      </c>
      <c r="H817" s="325"/>
      <c r="I817" s="327">
        <v>8</v>
      </c>
      <c r="J817" s="361" t="s">
        <v>1954</v>
      </c>
      <c r="K817" s="327" t="s">
        <v>516</v>
      </c>
      <c r="L817" s="348">
        <f t="shared" si="72"/>
        <v>82075.8</v>
      </c>
      <c r="M817" s="355"/>
      <c r="N817" s="355" t="str">
        <f t="shared" si="75"/>
        <v>PR</v>
      </c>
      <c r="O817" s="347">
        <v>11</v>
      </c>
      <c r="P817" s="325"/>
      <c r="Q817" s="351">
        <v>0</v>
      </c>
      <c r="R817" s="351">
        <v>0</v>
      </c>
      <c r="S817" s="351">
        <v>5.8</v>
      </c>
      <c r="T817" s="351">
        <v>0.26700000000000002</v>
      </c>
      <c r="U817" s="329">
        <f>IF($N817=$N$4,IFERROR(INDEX(DanhMuc!$E$154:$E$165,MATCH(MID($B817,4,2),DanhMuc!$B$154:$B$165,0)),""),"")</f>
        <v>5800</v>
      </c>
      <c r="V817" s="325"/>
      <c r="W817" s="352" t="str">
        <f>+IF(AND($A817&lt;&gt;"",LEN($B817)&gt;=8,COUNTIF($B$6:$B817,$B817)=1),$W$5,"")</f>
        <v/>
      </c>
      <c r="X817" s="329" t="str">
        <f t="shared" si="69"/>
        <v>SL</v>
      </c>
      <c r="Y817" s="1128" t="s">
        <v>3380</v>
      </c>
      <c r="Z817" s="1128" t="s">
        <v>3381</v>
      </c>
      <c r="AA817" s="1128" t="s">
        <v>3384</v>
      </c>
      <c r="AC817" s="73"/>
    </row>
    <row r="818" spans="1:29" s="20" customFormat="1">
      <c r="A818" s="327" t="str">
        <f>IF(AND($B818&lt;&gt;"",$C818&lt;&gt;""),MAX($A$4:A817)+1,"")</f>
        <v/>
      </c>
      <c r="B818" s="361" t="s">
        <v>1951</v>
      </c>
      <c r="C818" s="364"/>
      <c r="D818" s="327">
        <f>IF($B818="","",COUNTIF($B$6:$B818,$B818))</f>
        <v>15</v>
      </c>
      <c r="E818" s="361" t="s">
        <v>382</v>
      </c>
      <c r="F818" s="362" t="s">
        <v>897</v>
      </c>
      <c r="G818" s="327" t="s">
        <v>328</v>
      </c>
      <c r="H818" s="325"/>
      <c r="I818" s="327">
        <v>8</v>
      </c>
      <c r="J818" s="363" t="s">
        <v>1943</v>
      </c>
      <c r="K818" s="327" t="s">
        <v>516</v>
      </c>
      <c r="L818" s="348">
        <f t="shared" si="72"/>
        <v>82075.8</v>
      </c>
      <c r="M818" s="355"/>
      <c r="N818" s="355" t="str">
        <f t="shared" si="75"/>
        <v>PR</v>
      </c>
      <c r="O818" s="347">
        <v>11</v>
      </c>
      <c r="P818" s="325"/>
      <c r="Q818" s="351">
        <v>0</v>
      </c>
      <c r="R818" s="351">
        <v>0</v>
      </c>
      <c r="S818" s="351">
        <v>5.8</v>
      </c>
      <c r="T818" s="351">
        <v>0.26700000000000002</v>
      </c>
      <c r="U818" s="329">
        <f>IF($N818=$N$4,IFERROR(INDEX(DanhMuc!$E$154:$E$165,MATCH(MID($B818,4,2),DanhMuc!$B$154:$B$165,0)),""),"")</f>
        <v>5800</v>
      </c>
      <c r="V818" s="325"/>
      <c r="W818" s="352" t="str">
        <f>+IF(AND($A818&lt;&gt;"",LEN($B818)&gt;=8,COUNTIF($B$6:$B818,$B818)=1),$W$5,"")</f>
        <v/>
      </c>
      <c r="X818" s="329" t="str">
        <f t="shared" si="69"/>
        <v>SL</v>
      </c>
      <c r="Y818" s="1128" t="s">
        <v>3380</v>
      </c>
      <c r="Z818" s="1128" t="s">
        <v>3381</v>
      </c>
      <c r="AA818" s="1128" t="s">
        <v>3384</v>
      </c>
      <c r="AC818" s="73"/>
    </row>
    <row r="819" spans="1:29" s="20" customFormat="1">
      <c r="A819" s="327" t="str">
        <f>IF(AND($B819&lt;&gt;"",$C819&lt;&gt;""),MAX($A$4:A818)+1,"")</f>
        <v/>
      </c>
      <c r="B819" s="361" t="s">
        <v>1951</v>
      </c>
      <c r="C819" s="364"/>
      <c r="D819" s="327">
        <f>IF($B819="","",COUNTIF($B$6:$B819,$B819))</f>
        <v>16</v>
      </c>
      <c r="E819" s="361" t="s">
        <v>895</v>
      </c>
      <c r="F819" s="362" t="s">
        <v>2065</v>
      </c>
      <c r="G819" s="327" t="s">
        <v>329</v>
      </c>
      <c r="H819" s="325"/>
      <c r="I819" s="327">
        <v>8</v>
      </c>
      <c r="J819" s="361" t="s">
        <v>1954</v>
      </c>
      <c r="K819" s="327" t="s">
        <v>516</v>
      </c>
      <c r="L819" s="348">
        <f t="shared" si="72"/>
        <v>66091</v>
      </c>
      <c r="M819" s="355"/>
      <c r="N819" s="355" t="str">
        <f t="shared" si="75"/>
        <v>PR</v>
      </c>
      <c r="O819" s="347">
        <v>19</v>
      </c>
      <c r="P819" s="325"/>
      <c r="Q819" s="351">
        <v>0</v>
      </c>
      <c r="R819" s="351">
        <v>0</v>
      </c>
      <c r="S819" s="351">
        <v>5.8</v>
      </c>
      <c r="T819" s="351">
        <v>0.215</v>
      </c>
      <c r="U819" s="329">
        <f>IF($N819=$N$4,IFERROR(INDEX(DanhMuc!$E$154:$E$165,MATCH(MID($B819,4,2),DanhMuc!$B$154:$B$165,0)),""),"")</f>
        <v>5800</v>
      </c>
      <c r="V819" s="325"/>
      <c r="W819" s="352" t="str">
        <f>+IF(AND($A819&lt;&gt;"",LEN($B819)&gt;=8,COUNTIF($B$6:$B819,$B819)=1),$W$5,"")</f>
        <v/>
      </c>
      <c r="X819" s="329" t="str">
        <f t="shared" si="69"/>
        <v>SL</v>
      </c>
      <c r="Y819" s="1128" t="s">
        <v>3380</v>
      </c>
      <c r="Z819" s="1128" t="s">
        <v>3381</v>
      </c>
      <c r="AA819" s="1128" t="s">
        <v>3384</v>
      </c>
      <c r="AC819" s="73"/>
    </row>
    <row r="820" spans="1:29" s="20" customFormat="1">
      <c r="A820" s="327" t="str">
        <f>IF(AND($B820&lt;&gt;"",$C820&lt;&gt;""),MAX($A$4:A819)+1,"")</f>
        <v/>
      </c>
      <c r="B820" s="361" t="s">
        <v>1951</v>
      </c>
      <c r="C820" s="364"/>
      <c r="D820" s="327">
        <f>IF($B820="","",COUNTIF($B$6:$B820,$B820))</f>
        <v>17</v>
      </c>
      <c r="E820" s="361" t="s">
        <v>895</v>
      </c>
      <c r="F820" s="362" t="s">
        <v>2065</v>
      </c>
      <c r="G820" s="327" t="s">
        <v>328</v>
      </c>
      <c r="H820" s="325"/>
      <c r="I820" s="327">
        <v>8</v>
      </c>
      <c r="J820" s="363" t="s">
        <v>1943</v>
      </c>
      <c r="K820" s="327" t="s">
        <v>516</v>
      </c>
      <c r="L820" s="348">
        <f t="shared" si="72"/>
        <v>66091</v>
      </c>
      <c r="M820" s="355"/>
      <c r="N820" s="355" t="str">
        <f t="shared" si="75"/>
        <v>PR</v>
      </c>
      <c r="O820" s="347">
        <v>19</v>
      </c>
      <c r="P820" s="325"/>
      <c r="Q820" s="351">
        <v>0</v>
      </c>
      <c r="R820" s="351">
        <v>0</v>
      </c>
      <c r="S820" s="351">
        <v>5.8</v>
      </c>
      <c r="T820" s="351">
        <v>0.215</v>
      </c>
      <c r="U820" s="329">
        <f>IF($N820=$N$4,IFERROR(INDEX(DanhMuc!$E$154:$E$165,MATCH(MID($B820,4,2),DanhMuc!$B$154:$B$165,0)),""),"")</f>
        <v>5800</v>
      </c>
      <c r="V820" s="325"/>
      <c r="W820" s="352" t="str">
        <f>+IF(AND($A820&lt;&gt;"",LEN($B820)&gt;=8,COUNTIF($B$6:$B820,$B820)=1),$W$5,"")</f>
        <v/>
      </c>
      <c r="X820" s="329" t="str">
        <f t="shared" si="69"/>
        <v>SL</v>
      </c>
      <c r="Y820" s="1128" t="s">
        <v>3380</v>
      </c>
      <c r="Z820" s="1128" t="s">
        <v>3381</v>
      </c>
      <c r="AA820" s="1128" t="s">
        <v>3384</v>
      </c>
      <c r="AC820" s="73"/>
    </row>
    <row r="821" spans="1:29" s="20" customFormat="1">
      <c r="A821" s="327" t="str">
        <f>IF(AND($B821&lt;&gt;"",$C821&lt;&gt;""),MAX($A$4:A820)+1,"")</f>
        <v/>
      </c>
      <c r="B821" s="361" t="s">
        <v>1951</v>
      </c>
      <c r="C821" s="364"/>
      <c r="D821" s="327">
        <f>IF($B821="","",COUNTIF($B$6:$B821,$B821))</f>
        <v>18</v>
      </c>
      <c r="E821" s="361" t="s">
        <v>2294</v>
      </c>
      <c r="F821" s="362" t="s">
        <v>612</v>
      </c>
      <c r="G821" s="327" t="s">
        <v>329</v>
      </c>
      <c r="H821" s="328" t="s">
        <v>536</v>
      </c>
      <c r="I821" s="327">
        <v>1</v>
      </c>
      <c r="J821" s="361" t="s">
        <v>1944</v>
      </c>
      <c r="K821" s="327" t="s">
        <v>531</v>
      </c>
      <c r="L821" s="348">
        <f t="shared" si="72"/>
        <v>234000</v>
      </c>
      <c r="M821" s="355"/>
      <c r="N821" s="355" t="str">
        <f t="shared" si="75"/>
        <v>PR</v>
      </c>
      <c r="O821" s="345"/>
      <c r="P821" s="325"/>
      <c r="Q821" s="351">
        <v>86</v>
      </c>
      <c r="R821" s="351">
        <v>1.5</v>
      </c>
      <c r="S821" s="351">
        <v>5.8</v>
      </c>
      <c r="T821" s="351">
        <f t="shared" ref="T821:T822" si="80">7.8/S821</f>
        <v>1.3448275862068966</v>
      </c>
      <c r="U821" s="329">
        <f>IF($N821=$N$4,IFERROR(INDEX(DanhMuc!$E$154:$E$165,MATCH(MID($B821,4,2),DanhMuc!$B$154:$B$165,0)),""),"")</f>
        <v>5800</v>
      </c>
      <c r="V821" s="325"/>
      <c r="W821" s="352" t="str">
        <f>+IF(AND($A821&lt;&gt;"",LEN($B821)&gt;=8,COUNTIF($B$6:$B821,$B821)=1),$W$5,"")</f>
        <v/>
      </c>
      <c r="X821" s="329" t="str">
        <f t="shared" si="69"/>
        <v>TSL</v>
      </c>
      <c r="Y821" s="1128" t="s">
        <v>3380</v>
      </c>
      <c r="Z821" s="1128" t="s">
        <v>3381</v>
      </c>
      <c r="AA821" s="1128" t="s">
        <v>3384</v>
      </c>
      <c r="AC821" s="73"/>
    </row>
    <row r="822" spans="1:29" s="20" customFormat="1">
      <c r="A822" s="327" t="str">
        <f>IF(AND($B822&lt;&gt;"",$C822&lt;&gt;""),MAX($A$4:A821)+1,"")</f>
        <v/>
      </c>
      <c r="B822" s="361" t="s">
        <v>1951</v>
      </c>
      <c r="C822" s="364"/>
      <c r="D822" s="327">
        <f>IF($B822="","",COUNTIF($B$6:$B822,$B822))</f>
        <v>19</v>
      </c>
      <c r="E822" s="361" t="s">
        <v>2294</v>
      </c>
      <c r="F822" s="362" t="s">
        <v>612</v>
      </c>
      <c r="G822" s="327" t="s">
        <v>328</v>
      </c>
      <c r="H822" s="328" t="s">
        <v>536</v>
      </c>
      <c r="I822" s="327">
        <v>2</v>
      </c>
      <c r="J822" s="361" t="s">
        <v>1945</v>
      </c>
      <c r="K822" s="327" t="s">
        <v>531</v>
      </c>
      <c r="L822" s="348">
        <f t="shared" si="72"/>
        <v>234000</v>
      </c>
      <c r="M822" s="355"/>
      <c r="N822" s="355" t="str">
        <f t="shared" si="75"/>
        <v>PR</v>
      </c>
      <c r="O822" s="345"/>
      <c r="P822" s="325"/>
      <c r="Q822" s="351">
        <v>86</v>
      </c>
      <c r="R822" s="351">
        <v>1.5</v>
      </c>
      <c r="S822" s="351">
        <v>5.8</v>
      </c>
      <c r="T822" s="351">
        <f t="shared" si="80"/>
        <v>1.3448275862068966</v>
      </c>
      <c r="U822" s="329">
        <f>IF($N822=$N$4,IFERROR(INDEX(DanhMuc!$E$154:$E$165,MATCH(MID($B822,4,2),DanhMuc!$B$154:$B$165,0)),""),"")</f>
        <v>5800</v>
      </c>
      <c r="V822" s="325"/>
      <c r="W822" s="352" t="str">
        <f>+IF(AND($A822&lt;&gt;"",LEN($B822)&gt;=8,COUNTIF($B$6:$B822,$B822)=1),$W$5,"")</f>
        <v/>
      </c>
      <c r="X822" s="329" t="str">
        <f t="shared" si="69"/>
        <v>TSL</v>
      </c>
      <c r="Y822" s="1128" t="s">
        <v>3380</v>
      </c>
      <c r="Z822" s="1128" t="s">
        <v>3381</v>
      </c>
      <c r="AA822" s="1128" t="s">
        <v>3384</v>
      </c>
      <c r="AC822" s="73"/>
    </row>
    <row r="823" spans="1:29" s="20" customFormat="1">
      <c r="A823" s="327" t="str">
        <f>IF(AND($B823&lt;&gt;"",$C823&lt;&gt;""),MAX($A$4:A822)+1,"")</f>
        <v/>
      </c>
      <c r="B823" s="361" t="s">
        <v>1951</v>
      </c>
      <c r="C823" s="364"/>
      <c r="D823" s="327">
        <f>IF($B823="","",COUNTIF($B$6:$B823,$B823))</f>
        <v>20</v>
      </c>
      <c r="E823" s="361" t="s">
        <v>2296</v>
      </c>
      <c r="F823" s="362" t="s">
        <v>613</v>
      </c>
      <c r="G823" s="327" t="s">
        <v>329</v>
      </c>
      <c r="H823" s="328" t="s">
        <v>536</v>
      </c>
      <c r="I823" s="327">
        <v>8</v>
      </c>
      <c r="J823" s="361" t="s">
        <v>1955</v>
      </c>
      <c r="K823" s="327" t="s">
        <v>531</v>
      </c>
      <c r="L823" s="348">
        <f t="shared" si="72"/>
        <v>354000</v>
      </c>
      <c r="M823" s="355"/>
      <c r="N823" s="355" t="str">
        <f t="shared" si="75"/>
        <v>PR</v>
      </c>
      <c r="O823" s="345"/>
      <c r="P823" s="325"/>
      <c r="Q823" s="351">
        <v>130</v>
      </c>
      <c r="R823" s="351">
        <v>1.5</v>
      </c>
      <c r="S823" s="351">
        <v>5.8</v>
      </c>
      <c r="T823" s="351">
        <f t="shared" ref="T823:T824" si="81">11.8/S823</f>
        <v>2.0344827586206899</v>
      </c>
      <c r="U823" s="329">
        <f>IF($N823=$N$4,IFERROR(INDEX(DanhMuc!$E$154:$E$165,MATCH(MID($B823,4,2),DanhMuc!$B$154:$B$165,0)),""),"")</f>
        <v>5800</v>
      </c>
      <c r="V823" s="325"/>
      <c r="W823" s="352" t="str">
        <f>+IF(AND($A823&lt;&gt;"",LEN($B823)&gt;=8,COUNTIF($B$6:$B823,$B823)=1),$W$5,"")</f>
        <v/>
      </c>
      <c r="X823" s="329" t="str">
        <f t="shared" si="69"/>
        <v>TSL</v>
      </c>
      <c r="Y823" s="1128" t="s">
        <v>3380</v>
      </c>
      <c r="Z823" s="1128" t="s">
        <v>3381</v>
      </c>
      <c r="AA823" s="1128" t="s">
        <v>3384</v>
      </c>
      <c r="AC823" s="73"/>
    </row>
    <row r="824" spans="1:29" s="20" customFormat="1">
      <c r="A824" s="327" t="str">
        <f>IF(AND($B824&lt;&gt;"",$C824&lt;&gt;""),MAX($A$4:A823)+1,"")</f>
        <v/>
      </c>
      <c r="B824" s="361" t="s">
        <v>1951</v>
      </c>
      <c r="C824" s="364"/>
      <c r="D824" s="327">
        <f>IF($B824="","",COUNTIF($B$6:$B824,$B824))</f>
        <v>21</v>
      </c>
      <c r="E824" s="361" t="s">
        <v>2296</v>
      </c>
      <c r="F824" s="362" t="s">
        <v>613</v>
      </c>
      <c r="G824" s="327" t="s">
        <v>328</v>
      </c>
      <c r="H824" s="328" t="s">
        <v>536</v>
      </c>
      <c r="I824" s="327">
        <v>8</v>
      </c>
      <c r="J824" s="361" t="s">
        <v>1296</v>
      </c>
      <c r="K824" s="327" t="s">
        <v>531</v>
      </c>
      <c r="L824" s="348">
        <f t="shared" si="72"/>
        <v>354000</v>
      </c>
      <c r="M824" s="355"/>
      <c r="N824" s="355" t="str">
        <f t="shared" si="75"/>
        <v>PR</v>
      </c>
      <c r="O824" s="345"/>
      <c r="P824" s="325"/>
      <c r="Q824" s="351">
        <v>130</v>
      </c>
      <c r="R824" s="351">
        <v>1.5</v>
      </c>
      <c r="S824" s="351">
        <v>5.8</v>
      </c>
      <c r="T824" s="351">
        <f t="shared" si="81"/>
        <v>2.0344827586206899</v>
      </c>
      <c r="U824" s="329">
        <f>IF($N824=$N$4,IFERROR(INDEX(DanhMuc!$E$154:$E$165,MATCH(MID($B824,4,2),DanhMuc!$B$154:$B$165,0)),""),"")</f>
        <v>5800</v>
      </c>
      <c r="V824" s="325"/>
      <c r="W824" s="352" t="str">
        <f>+IF(AND($A824&lt;&gt;"",LEN($B824)&gt;=8,COUNTIF($B$6:$B824,$B824)=1),$W$5,"")</f>
        <v/>
      </c>
      <c r="X824" s="329" t="str">
        <f t="shared" si="69"/>
        <v>TSL</v>
      </c>
      <c r="Y824" s="1128" t="s">
        <v>3380</v>
      </c>
      <c r="Z824" s="1128" t="s">
        <v>3381</v>
      </c>
      <c r="AA824" s="1128" t="s">
        <v>3384</v>
      </c>
      <c r="AC824" s="73"/>
    </row>
    <row r="825" spans="1:29" s="20" customFormat="1" ht="26">
      <c r="A825" s="327">
        <f>IF(AND($B825&lt;&gt;"",$C825&lt;&gt;""),MAX($A$4:A782)+1,"")</f>
        <v>65</v>
      </c>
      <c r="B825" s="359" t="s">
        <v>838</v>
      </c>
      <c r="C825" s="370" t="s">
        <v>1562</v>
      </c>
      <c r="D825" s="327">
        <f>IF($B825="","",COUNTIF($B$6:$B825,$B825))</f>
        <v>1</v>
      </c>
      <c r="E825" s="363" t="s">
        <v>787</v>
      </c>
      <c r="F825" s="362" t="s">
        <v>788</v>
      </c>
      <c r="G825" s="361" t="s">
        <v>329</v>
      </c>
      <c r="H825" s="325"/>
      <c r="I825" s="327">
        <v>2</v>
      </c>
      <c r="J825" s="361" t="s">
        <v>762</v>
      </c>
      <c r="K825" s="327" t="s">
        <v>516</v>
      </c>
      <c r="L825" s="348">
        <f t="shared" si="72"/>
        <v>370724.39999999997</v>
      </c>
      <c r="M825" s="355"/>
      <c r="N825" s="355" t="str">
        <f t="shared" si="62"/>
        <v>PR</v>
      </c>
      <c r="O825" s="345"/>
      <c r="P825" s="325"/>
      <c r="Q825" s="351"/>
      <c r="R825" s="351">
        <v>0</v>
      </c>
      <c r="S825" s="351">
        <v>5.8</v>
      </c>
      <c r="T825" s="351">
        <v>1.206</v>
      </c>
      <c r="U825" s="329">
        <f>IF($N825=$N$4,IFERROR(INDEX(DanhMuc!$E$154:$E$165,MATCH(MID($B825,4,2),DanhMuc!$B$154:$B$165,0)),""),"")</f>
        <v>5800</v>
      </c>
      <c r="V825" s="325"/>
      <c r="W825" s="352" t="str">
        <f>+IF(AND($A825&lt;&gt;"",LEN($B825)&gt;=8,COUNTIF($B$6:$B825,$B825)=1),$W$5,"")</f>
        <v>DMCua</v>
      </c>
      <c r="X825" s="329" t="str">
        <f t="shared" si="69"/>
        <v>SL</v>
      </c>
      <c r="Y825" s="1128" t="s">
        <v>3380</v>
      </c>
      <c r="Z825" s="1128" t="s">
        <v>3381</v>
      </c>
      <c r="AA825" s="1128" t="s">
        <v>3384</v>
      </c>
      <c r="AC825" s="73"/>
    </row>
    <row r="826" spans="1:29" s="20" customFormat="1">
      <c r="A826" s="327" t="str">
        <f>IF(AND($B826&lt;&gt;"",$C826&lt;&gt;""),MAX($A$4:A825)+1,"")</f>
        <v/>
      </c>
      <c r="B826" s="361" t="s">
        <v>838</v>
      </c>
      <c r="C826" s="364"/>
      <c r="D826" s="327">
        <f>IF($B826="","",COUNTIF($B$6:$B826,$B826))</f>
        <v>2</v>
      </c>
      <c r="E826" s="363" t="s">
        <v>787</v>
      </c>
      <c r="F826" s="362" t="s">
        <v>788</v>
      </c>
      <c r="G826" s="361" t="s">
        <v>328</v>
      </c>
      <c r="H826" s="325"/>
      <c r="I826" s="327">
        <v>2</v>
      </c>
      <c r="J826" s="361" t="s">
        <v>763</v>
      </c>
      <c r="K826" s="327" t="s">
        <v>516</v>
      </c>
      <c r="L826" s="348">
        <f t="shared" si="72"/>
        <v>370724.39999999997</v>
      </c>
      <c r="M826" s="355"/>
      <c r="N826" s="355" t="str">
        <f t="shared" si="62"/>
        <v>PR</v>
      </c>
      <c r="O826" s="347"/>
      <c r="P826" s="325"/>
      <c r="Q826" s="351"/>
      <c r="R826" s="351">
        <v>0</v>
      </c>
      <c r="S826" s="351">
        <v>5.8</v>
      </c>
      <c r="T826" s="351">
        <v>1.206</v>
      </c>
      <c r="U826" s="329">
        <f>IF($N826=$N$4,IFERROR(INDEX(DanhMuc!$E$154:$E$165,MATCH(MID($B826,4,2),DanhMuc!$B$154:$B$165,0)),""),"")</f>
        <v>5800</v>
      </c>
      <c r="V826" s="325"/>
      <c r="W826" s="352" t="str">
        <f>+IF(AND($A826&lt;&gt;"",LEN($B826)&gt;=8,COUNTIF($B$6:$B826,$B826)=1),$W$5,"")</f>
        <v/>
      </c>
      <c r="X826" s="329" t="str">
        <f t="shared" si="69"/>
        <v>SL</v>
      </c>
      <c r="Y826" s="1128" t="s">
        <v>3380</v>
      </c>
      <c r="Z826" s="1128" t="s">
        <v>3381</v>
      </c>
      <c r="AA826" s="1128" t="s">
        <v>3384</v>
      </c>
      <c r="AC826" s="73"/>
    </row>
    <row r="827" spans="1:29" s="20" customFormat="1">
      <c r="A827" s="327" t="str">
        <f>IF(AND($B827&lt;&gt;"",$C827&lt;&gt;""),MAX($A$4:A826)+1,"")</f>
        <v/>
      </c>
      <c r="B827" s="361" t="s">
        <v>838</v>
      </c>
      <c r="C827" s="364"/>
      <c r="D827" s="327">
        <f>IF($B827="","",COUNTIF($B$6:$B827,$B827))</f>
        <v>3</v>
      </c>
      <c r="E827" s="363" t="s">
        <v>789</v>
      </c>
      <c r="F827" s="362" t="s">
        <v>790</v>
      </c>
      <c r="G827" s="361" t="s">
        <v>329</v>
      </c>
      <c r="H827" s="325"/>
      <c r="I827" s="327">
        <v>2</v>
      </c>
      <c r="J827" s="361" t="s">
        <v>791</v>
      </c>
      <c r="K827" s="327" t="s">
        <v>531</v>
      </c>
      <c r="L827" s="348">
        <f t="shared" si="72"/>
        <v>24090.909090909088</v>
      </c>
      <c r="M827" s="355"/>
      <c r="N827" s="355" t="str">
        <f t="shared" si="62"/>
        <v>PR</v>
      </c>
      <c r="O827" s="347"/>
      <c r="P827" s="325"/>
      <c r="Q827" s="351"/>
      <c r="R827" s="351">
        <v>0</v>
      </c>
      <c r="S827" s="351">
        <v>5.8</v>
      </c>
      <c r="T827" s="351">
        <v>7.8369905956112845E-2</v>
      </c>
      <c r="U827" s="329">
        <f>IF($N827=$N$4,IFERROR(INDEX(DanhMuc!$E$154:$E$165,MATCH(MID($B827,4,2),DanhMuc!$B$154:$B$165,0)),""),"")</f>
        <v>5800</v>
      </c>
      <c r="V827" s="325"/>
      <c r="W827" s="352" t="str">
        <f>+IF(AND($A827&lt;&gt;"",LEN($B827)&gt;=8,COUNTIF($B$6:$B827,$B827)=1),$W$5,"")</f>
        <v/>
      </c>
      <c r="X827" s="329" t="str">
        <f t="shared" si="69"/>
        <v>SL</v>
      </c>
      <c r="Y827" s="1128" t="s">
        <v>3380</v>
      </c>
      <c r="Z827" s="1128" t="s">
        <v>3381</v>
      </c>
      <c r="AA827" s="1128" t="s">
        <v>3384</v>
      </c>
      <c r="AC827" s="73"/>
    </row>
    <row r="828" spans="1:29" s="20" customFormat="1">
      <c r="A828" s="327" t="str">
        <f>IF(AND($B828&lt;&gt;"",$C828&lt;&gt;""),MAX($A$4:A827)+1,"")</f>
        <v/>
      </c>
      <c r="B828" s="361" t="s">
        <v>838</v>
      </c>
      <c r="C828" s="364"/>
      <c r="D828" s="327">
        <f>IF($B828="","",COUNTIF($B$6:$B828,$B828))</f>
        <v>4</v>
      </c>
      <c r="E828" s="361" t="s">
        <v>839</v>
      </c>
      <c r="F828" s="362" t="s">
        <v>840</v>
      </c>
      <c r="G828" s="361" t="s">
        <v>329</v>
      </c>
      <c r="H828" s="325"/>
      <c r="I828" s="327">
        <v>4</v>
      </c>
      <c r="J828" s="361" t="s">
        <v>844</v>
      </c>
      <c r="K828" s="327" t="s">
        <v>516</v>
      </c>
      <c r="L828" s="348">
        <f t="shared" si="72"/>
        <v>387324</v>
      </c>
      <c r="M828" s="355"/>
      <c r="N828" s="355" t="str">
        <f t="shared" si="62"/>
        <v>PR</v>
      </c>
      <c r="O828" s="345"/>
      <c r="P828" s="325"/>
      <c r="Q828" s="351"/>
      <c r="R828" s="351">
        <v>0</v>
      </c>
      <c r="S828" s="351">
        <v>5.8</v>
      </c>
      <c r="T828" s="351">
        <v>1.26</v>
      </c>
      <c r="U828" s="329">
        <f>IF($N828=$N$4,IFERROR(INDEX(DanhMuc!$E$154:$E$165,MATCH(MID($B828,4,2),DanhMuc!$B$154:$B$165,0)),""),"")</f>
        <v>5800</v>
      </c>
      <c r="V828" s="325"/>
      <c r="W828" s="352" t="str">
        <f>+IF(AND($A828&lt;&gt;"",LEN($B828)&gt;=8,COUNTIF($B$6:$B828,$B828)=1),$W$5,"")</f>
        <v/>
      </c>
      <c r="X828" s="329" t="str">
        <f t="shared" si="69"/>
        <v>SL</v>
      </c>
      <c r="Y828" s="1128" t="s">
        <v>3380</v>
      </c>
      <c r="Z828" s="1128" t="s">
        <v>3381</v>
      </c>
      <c r="AA828" s="1128" t="s">
        <v>3384</v>
      </c>
      <c r="AC828" s="73"/>
    </row>
    <row r="829" spans="1:29" s="20" customFormat="1">
      <c r="A829" s="327" t="str">
        <f>IF(AND($B829&lt;&gt;"",$C829&lt;&gt;""),MAX($A$4:A828)+1,"")</f>
        <v/>
      </c>
      <c r="B829" s="361" t="s">
        <v>838</v>
      </c>
      <c r="C829" s="364"/>
      <c r="D829" s="327">
        <f>IF($B829="","",COUNTIF($B$6:$B829,$B829))</f>
        <v>5</v>
      </c>
      <c r="E829" s="361" t="s">
        <v>839</v>
      </c>
      <c r="F829" s="362" t="s">
        <v>840</v>
      </c>
      <c r="G829" s="361" t="s">
        <v>328</v>
      </c>
      <c r="H829" s="325"/>
      <c r="I829" s="327">
        <v>4</v>
      </c>
      <c r="J829" s="361" t="s">
        <v>793</v>
      </c>
      <c r="K829" s="327" t="s">
        <v>516</v>
      </c>
      <c r="L829" s="348">
        <f t="shared" si="72"/>
        <v>387324</v>
      </c>
      <c r="M829" s="355"/>
      <c r="N829" s="355" t="str">
        <f t="shared" si="62"/>
        <v>PR</v>
      </c>
      <c r="O829" s="345"/>
      <c r="P829" s="325"/>
      <c r="Q829" s="351"/>
      <c r="R829" s="351">
        <v>0</v>
      </c>
      <c r="S829" s="351">
        <v>5.8</v>
      </c>
      <c r="T829" s="351">
        <v>1.26</v>
      </c>
      <c r="U829" s="329">
        <f>IF($N829=$N$4,IFERROR(INDEX(DanhMuc!$E$154:$E$165,MATCH(MID($B829,4,2),DanhMuc!$B$154:$B$165,0)),""),"")</f>
        <v>5800</v>
      </c>
      <c r="V829" s="325"/>
      <c r="W829" s="352" t="str">
        <f>+IF(AND($A829&lt;&gt;"",LEN($B829)&gt;=8,COUNTIF($B$6:$B829,$B829)=1),$W$5,"")</f>
        <v/>
      </c>
      <c r="X829" s="329" t="str">
        <f t="shared" si="69"/>
        <v>SL</v>
      </c>
      <c r="Y829" s="1128" t="s">
        <v>3380</v>
      </c>
      <c r="Z829" s="1128" t="s">
        <v>3381</v>
      </c>
      <c r="AA829" s="1128" t="s">
        <v>3384</v>
      </c>
      <c r="AC829" s="73"/>
    </row>
    <row r="830" spans="1:29" s="20" customFormat="1">
      <c r="A830" s="327" t="str">
        <f>IF(AND($B830&lt;&gt;"",$C830&lt;&gt;""),MAX($A$4:A829)+1,"")</f>
        <v/>
      </c>
      <c r="B830" s="361" t="s">
        <v>838</v>
      </c>
      <c r="C830" s="364"/>
      <c r="D830" s="327">
        <f>IF($B830="","",COUNTIF($B$6:$B830,$B830))</f>
        <v>6</v>
      </c>
      <c r="E830" s="361" t="s">
        <v>841</v>
      </c>
      <c r="F830" s="362" t="s">
        <v>842</v>
      </c>
      <c r="G830" s="361" t="s">
        <v>328</v>
      </c>
      <c r="H830" s="325"/>
      <c r="I830" s="327">
        <v>2</v>
      </c>
      <c r="J830" s="361" t="s">
        <v>796</v>
      </c>
      <c r="K830" s="327" t="s">
        <v>531</v>
      </c>
      <c r="L830" s="348">
        <f t="shared" si="72"/>
        <v>82998</v>
      </c>
      <c r="M830" s="355"/>
      <c r="N830" s="355" t="str">
        <f t="shared" si="62"/>
        <v>PR</v>
      </c>
      <c r="O830" s="345"/>
      <c r="P830" s="325"/>
      <c r="Q830" s="351"/>
      <c r="R830" s="351">
        <v>0</v>
      </c>
      <c r="S830" s="351">
        <v>5.8</v>
      </c>
      <c r="T830" s="351">
        <v>0.27</v>
      </c>
      <c r="U830" s="329">
        <f>IF($N830=$N$4,IFERROR(INDEX(DanhMuc!$E$154:$E$165,MATCH(MID($B830,4,2),DanhMuc!$B$154:$B$165,0)),""),"")</f>
        <v>5800</v>
      </c>
      <c r="V830" s="325"/>
      <c r="W830" s="352" t="str">
        <f>+IF(AND($A830&lt;&gt;"",LEN($B830)&gt;=8,COUNTIF($B$6:$B830,$B830)=1),$W$5,"")</f>
        <v/>
      </c>
      <c r="X830" s="329" t="str">
        <f t="shared" si="69"/>
        <v>SL</v>
      </c>
      <c r="Y830" s="1128" t="s">
        <v>3380</v>
      </c>
      <c r="Z830" s="1128" t="s">
        <v>3381</v>
      </c>
      <c r="AA830" s="1128" t="s">
        <v>3384</v>
      </c>
      <c r="AC830" s="73"/>
    </row>
    <row r="831" spans="1:29" s="20" customFormat="1">
      <c r="A831" s="327" t="str">
        <f>IF(AND($B831&lt;&gt;"",$C831&lt;&gt;""),MAX($A$4:A830)+1,"")</f>
        <v/>
      </c>
      <c r="B831" s="361" t="s">
        <v>838</v>
      </c>
      <c r="C831" s="364"/>
      <c r="D831" s="327">
        <f>IF($B831="","",COUNTIF($B$6:$B831,$B831))</f>
        <v>7</v>
      </c>
      <c r="E831" s="361" t="s">
        <v>947</v>
      </c>
      <c r="F831" s="362" t="s">
        <v>948</v>
      </c>
      <c r="G831" s="361" t="s">
        <v>329</v>
      </c>
      <c r="H831" s="325"/>
      <c r="I831" s="327">
        <v>4</v>
      </c>
      <c r="J831" s="361" t="s">
        <v>845</v>
      </c>
      <c r="K831" s="327" t="s">
        <v>516</v>
      </c>
      <c r="L831" s="348">
        <f t="shared" si="72"/>
        <v>69165</v>
      </c>
      <c r="M831" s="355"/>
      <c r="N831" s="355" t="str">
        <f t="shared" si="62"/>
        <v>PR</v>
      </c>
      <c r="O831" s="347">
        <v>7</v>
      </c>
      <c r="P831" s="325"/>
      <c r="Q831" s="351"/>
      <c r="R831" s="351">
        <v>0</v>
      </c>
      <c r="S831" s="351">
        <v>5.8</v>
      </c>
      <c r="T831" s="351">
        <v>0.22500000000000001</v>
      </c>
      <c r="U831" s="329">
        <f>IF($N831=$N$4,IFERROR(INDEX(DanhMuc!$E$154:$E$165,MATCH(MID($B831,4,2),DanhMuc!$B$154:$B$165,0)),""),"")</f>
        <v>5800</v>
      </c>
      <c r="V831" s="325"/>
      <c r="W831" s="352" t="str">
        <f>+IF(AND($A831&lt;&gt;"",LEN($B831)&gt;=8,COUNTIF($B$6:$B831,$B831)=1),$W$5,"")</f>
        <v/>
      </c>
      <c r="X831" s="329" t="str">
        <f t="shared" si="69"/>
        <v>SL</v>
      </c>
      <c r="Y831" s="1128" t="s">
        <v>3380</v>
      </c>
      <c r="Z831" s="1128" t="s">
        <v>3381</v>
      </c>
      <c r="AA831" s="1128" t="s">
        <v>3384</v>
      </c>
      <c r="AC831" s="73"/>
    </row>
    <row r="832" spans="1:29" s="20" customFormat="1">
      <c r="A832" s="327" t="str">
        <f>IF(AND($B832&lt;&gt;"",$C832&lt;&gt;""),MAX($A$4:A831)+1,"")</f>
        <v/>
      </c>
      <c r="B832" s="361" t="s">
        <v>838</v>
      </c>
      <c r="C832" s="364"/>
      <c r="D832" s="327">
        <f>IF($B832="","",COUNTIF($B$6:$B832,$B832))</f>
        <v>8</v>
      </c>
      <c r="E832" s="361" t="s">
        <v>947</v>
      </c>
      <c r="F832" s="362" t="s">
        <v>948</v>
      </c>
      <c r="G832" s="361" t="s">
        <v>328</v>
      </c>
      <c r="H832" s="325"/>
      <c r="I832" s="327">
        <v>4</v>
      </c>
      <c r="J832" s="361" t="s">
        <v>846</v>
      </c>
      <c r="K832" s="327" t="s">
        <v>516</v>
      </c>
      <c r="L832" s="348">
        <f t="shared" si="72"/>
        <v>69165</v>
      </c>
      <c r="M832" s="355"/>
      <c r="N832" s="355" t="str">
        <f t="shared" si="62"/>
        <v>PR</v>
      </c>
      <c r="O832" s="347">
        <v>7</v>
      </c>
      <c r="P832" s="325"/>
      <c r="Q832" s="351"/>
      <c r="R832" s="351">
        <v>0</v>
      </c>
      <c r="S832" s="351">
        <v>5.8</v>
      </c>
      <c r="T832" s="351">
        <v>0.22500000000000001</v>
      </c>
      <c r="U832" s="329">
        <f>IF($N832=$N$4,IFERROR(INDEX(DanhMuc!$E$154:$E$165,MATCH(MID($B832,4,2),DanhMuc!$B$154:$B$165,0)),""),"")</f>
        <v>5800</v>
      </c>
      <c r="V832" s="325"/>
      <c r="W832" s="352" t="str">
        <f>+IF(AND($A832&lt;&gt;"",LEN($B832)&gt;=8,COUNTIF($B$6:$B832,$B832)=1),$W$5,"")</f>
        <v/>
      </c>
      <c r="X832" s="329" t="str">
        <f t="shared" si="69"/>
        <v>SL</v>
      </c>
      <c r="Y832" s="1128" t="s">
        <v>3380</v>
      </c>
      <c r="Z832" s="1128" t="s">
        <v>3381</v>
      </c>
      <c r="AA832" s="1128" t="s">
        <v>3384</v>
      </c>
      <c r="AC832" s="73"/>
    </row>
    <row r="833" spans="1:29" s="20" customFormat="1">
      <c r="A833" s="327" t="str">
        <f>IF(AND($B833&lt;&gt;"",$C833&lt;&gt;""),MAX($A$4:A832)+1,"")</f>
        <v/>
      </c>
      <c r="B833" s="361" t="s">
        <v>838</v>
      </c>
      <c r="C833" s="364"/>
      <c r="D833" s="327">
        <f>IF($B833="","",COUNTIF($B$6:$B833,$B833))</f>
        <v>9</v>
      </c>
      <c r="E833" s="361" t="s">
        <v>894</v>
      </c>
      <c r="F833" s="362" t="s">
        <v>949</v>
      </c>
      <c r="G833" s="361" t="s">
        <v>329</v>
      </c>
      <c r="H833" s="325"/>
      <c r="I833" s="327">
        <v>4</v>
      </c>
      <c r="J833" s="361" t="s">
        <v>845</v>
      </c>
      <c r="K833" s="327" t="s">
        <v>516</v>
      </c>
      <c r="L833" s="348">
        <f t="shared" si="72"/>
        <v>64554</v>
      </c>
      <c r="M833" s="355"/>
      <c r="N833" s="355" t="str">
        <f t="shared" si="62"/>
        <v>PR</v>
      </c>
      <c r="O833" s="347">
        <v>11</v>
      </c>
      <c r="P833" s="325"/>
      <c r="Q833" s="351"/>
      <c r="R833" s="351">
        <v>0</v>
      </c>
      <c r="S833" s="351">
        <v>5.8</v>
      </c>
      <c r="T833" s="351">
        <v>0.21</v>
      </c>
      <c r="U833" s="329">
        <f>IF($N833=$N$4,IFERROR(INDEX(DanhMuc!$E$154:$E$165,MATCH(MID($B833,4,2),DanhMuc!$B$154:$B$165,0)),""),"")</f>
        <v>5800</v>
      </c>
      <c r="V833" s="325"/>
      <c r="W833" s="352" t="str">
        <f>+IF(AND($A833&lt;&gt;"",LEN($B833)&gt;=8,COUNTIF($B$6:$B833,$B833)=1),$W$5,"")</f>
        <v/>
      </c>
      <c r="X833" s="329" t="str">
        <f t="shared" ref="X833:X896" si="82">IF(IFERROR(SEARCH("thép",$F833,1),0)&gt;=1,"T" &amp;MID($B833,4,2),MID($B833,4,2))</f>
        <v>SL</v>
      </c>
      <c r="Y833" s="1128" t="s">
        <v>3380</v>
      </c>
      <c r="Z833" s="1128" t="s">
        <v>3381</v>
      </c>
      <c r="AA833" s="1128" t="s">
        <v>3384</v>
      </c>
      <c r="AC833" s="73"/>
    </row>
    <row r="834" spans="1:29" s="20" customFormat="1">
      <c r="A834" s="327" t="str">
        <f>IF(AND($B834&lt;&gt;"",$C834&lt;&gt;""),MAX($A$4:A833)+1,"")</f>
        <v/>
      </c>
      <c r="B834" s="361" t="s">
        <v>838</v>
      </c>
      <c r="C834" s="364"/>
      <c r="D834" s="327">
        <f>IF($B834="","",COUNTIF($B$6:$B834,$B834))</f>
        <v>10</v>
      </c>
      <c r="E834" s="361" t="s">
        <v>894</v>
      </c>
      <c r="F834" s="362" t="s">
        <v>949</v>
      </c>
      <c r="G834" s="361" t="s">
        <v>328</v>
      </c>
      <c r="H834" s="325"/>
      <c r="I834" s="327">
        <v>4</v>
      </c>
      <c r="J834" s="361" t="s">
        <v>846</v>
      </c>
      <c r="K834" s="327" t="s">
        <v>516</v>
      </c>
      <c r="L834" s="348">
        <f t="shared" si="72"/>
        <v>64554</v>
      </c>
      <c r="M834" s="355"/>
      <c r="N834" s="355" t="str">
        <f t="shared" si="62"/>
        <v>PR</v>
      </c>
      <c r="O834" s="347">
        <v>11</v>
      </c>
      <c r="P834" s="325"/>
      <c r="Q834" s="351"/>
      <c r="R834" s="351">
        <v>0</v>
      </c>
      <c r="S834" s="351">
        <v>5.8</v>
      </c>
      <c r="T834" s="351">
        <v>0.21</v>
      </c>
      <c r="U834" s="329">
        <f>IF($N834=$N$4,IFERROR(INDEX(DanhMuc!$E$154:$E$165,MATCH(MID($B834,4,2),DanhMuc!$B$154:$B$165,0)),""),"")</f>
        <v>5800</v>
      </c>
      <c r="V834" s="325"/>
      <c r="W834" s="352" t="str">
        <f>+IF(AND($A834&lt;&gt;"",LEN($B834)&gt;=8,COUNTIF($B$6:$B834,$B834)=1),$W$5,"")</f>
        <v/>
      </c>
      <c r="X834" s="329" t="str">
        <f t="shared" si="82"/>
        <v>SL</v>
      </c>
      <c r="Y834" s="1128" t="s">
        <v>3380</v>
      </c>
      <c r="Z834" s="1128" t="s">
        <v>3381</v>
      </c>
      <c r="AA834" s="1128" t="s">
        <v>3384</v>
      </c>
      <c r="AC834" s="73"/>
    </row>
    <row r="835" spans="1:29" s="20" customFormat="1">
      <c r="A835" s="327" t="str">
        <f>IF(AND($B835&lt;&gt;"",$C835&lt;&gt;""),MAX($A$4:A834)+1,"")</f>
        <v/>
      </c>
      <c r="B835" s="361" t="s">
        <v>838</v>
      </c>
      <c r="C835" s="364"/>
      <c r="D835" s="327">
        <f>IF($B835="","",COUNTIF($B$6:$B835,$B835))</f>
        <v>11</v>
      </c>
      <c r="E835" s="361" t="s">
        <v>946</v>
      </c>
      <c r="F835" s="362" t="s">
        <v>383</v>
      </c>
      <c r="G835" s="361" t="s">
        <v>329</v>
      </c>
      <c r="H835" s="325"/>
      <c r="I835" s="327">
        <v>4</v>
      </c>
      <c r="J835" s="361" t="s">
        <v>845</v>
      </c>
      <c r="K835" s="327" t="s">
        <v>516</v>
      </c>
      <c r="L835" s="348">
        <f t="shared" si="72"/>
        <v>46110</v>
      </c>
      <c r="M835" s="355"/>
      <c r="N835" s="355" t="str">
        <f t="shared" ref="N835:N836" si="83">+$N$4</f>
        <v>PR</v>
      </c>
      <c r="O835" s="347">
        <v>19</v>
      </c>
      <c r="P835" s="325"/>
      <c r="Q835" s="351"/>
      <c r="R835" s="351">
        <v>0</v>
      </c>
      <c r="S835" s="351">
        <v>5.8</v>
      </c>
      <c r="T835" s="351">
        <v>0.15</v>
      </c>
      <c r="U835" s="329">
        <f>IF($N835=$N$4,IFERROR(INDEX(DanhMuc!$E$154:$E$165,MATCH(MID($B835,4,2),DanhMuc!$B$154:$B$165,0)),""),"")</f>
        <v>5800</v>
      </c>
      <c r="V835" s="325"/>
      <c r="W835" s="352" t="str">
        <f>+IF(AND($A835&lt;&gt;"",LEN($B835)&gt;=8,COUNTIF($B$6:$B835,$B835)=1),$W$5,"")</f>
        <v/>
      </c>
      <c r="X835" s="329" t="str">
        <f t="shared" si="82"/>
        <v>SL</v>
      </c>
      <c r="Y835" s="1128" t="s">
        <v>3380</v>
      </c>
      <c r="Z835" s="1128" t="s">
        <v>3381</v>
      </c>
      <c r="AA835" s="1128" t="s">
        <v>3384</v>
      </c>
      <c r="AC835" s="73"/>
    </row>
    <row r="836" spans="1:29" s="20" customFormat="1">
      <c r="A836" s="327" t="str">
        <f>IF(AND($B836&lt;&gt;"",$C836&lt;&gt;""),MAX($A$4:A835)+1,"")</f>
        <v/>
      </c>
      <c r="B836" s="361" t="s">
        <v>838</v>
      </c>
      <c r="C836" s="364"/>
      <c r="D836" s="327">
        <f>IF($B836="","",COUNTIF($B$6:$B836,$B836))</f>
        <v>12</v>
      </c>
      <c r="E836" s="361" t="s">
        <v>946</v>
      </c>
      <c r="F836" s="362" t="s">
        <v>383</v>
      </c>
      <c r="G836" s="361" t="s">
        <v>328</v>
      </c>
      <c r="H836" s="325"/>
      <c r="I836" s="327">
        <v>4</v>
      </c>
      <c r="J836" s="361" t="s">
        <v>846</v>
      </c>
      <c r="K836" s="327" t="s">
        <v>516</v>
      </c>
      <c r="L836" s="348">
        <f t="shared" si="72"/>
        <v>46110</v>
      </c>
      <c r="M836" s="355"/>
      <c r="N836" s="355" t="str">
        <f t="shared" si="83"/>
        <v>PR</v>
      </c>
      <c r="O836" s="347">
        <v>19</v>
      </c>
      <c r="P836" s="325"/>
      <c r="Q836" s="351"/>
      <c r="R836" s="351">
        <v>0</v>
      </c>
      <c r="S836" s="351">
        <v>5.8</v>
      </c>
      <c r="T836" s="351">
        <v>0.15</v>
      </c>
      <c r="U836" s="329">
        <f>IF($N836=$N$4,IFERROR(INDEX(DanhMuc!$E$154:$E$165,MATCH(MID($B836,4,2),DanhMuc!$B$154:$B$165,0)),""),"")</f>
        <v>5800</v>
      </c>
      <c r="V836" s="325"/>
      <c r="W836" s="352" t="str">
        <f>+IF(AND($A836&lt;&gt;"",LEN($B836)&gt;=8,COUNTIF($B$6:$B836,$B836)=1),$W$5,"")</f>
        <v/>
      </c>
      <c r="X836" s="329" t="str">
        <f t="shared" si="82"/>
        <v>SL</v>
      </c>
      <c r="Y836" s="1128" t="s">
        <v>3380</v>
      </c>
      <c r="Z836" s="1128" t="s">
        <v>3381</v>
      </c>
      <c r="AA836" s="1128" t="s">
        <v>3384</v>
      </c>
      <c r="AC836" s="73"/>
    </row>
    <row r="837" spans="1:29" s="20" customFormat="1">
      <c r="A837" s="327" t="str">
        <f>IF(AND($B837&lt;&gt;"",$C837&lt;&gt;""),MAX($A$4:A836)+1,"")</f>
        <v/>
      </c>
      <c r="B837" s="361" t="s">
        <v>838</v>
      </c>
      <c r="C837" s="364"/>
      <c r="D837" s="327">
        <f>IF($B837="","",COUNTIF($B$6:$B837,$B837))</f>
        <v>13</v>
      </c>
      <c r="E837" s="361" t="s">
        <v>2293</v>
      </c>
      <c r="F837" s="362" t="s">
        <v>806</v>
      </c>
      <c r="G837" s="361" t="s">
        <v>329</v>
      </c>
      <c r="H837" s="328" t="s">
        <v>536</v>
      </c>
      <c r="I837" s="327">
        <v>2</v>
      </c>
      <c r="J837" s="361" t="s">
        <v>1211</v>
      </c>
      <c r="K837" s="327" t="s">
        <v>531</v>
      </c>
      <c r="L837" s="348">
        <f t="shared" si="72"/>
        <v>203999.99999999997</v>
      </c>
      <c r="M837" s="355"/>
      <c r="N837" s="355" t="str">
        <f t="shared" si="62"/>
        <v>PR</v>
      </c>
      <c r="O837" s="345"/>
      <c r="P837" s="325"/>
      <c r="Q837" s="351"/>
      <c r="R837" s="351">
        <v>1.5</v>
      </c>
      <c r="S837" s="351">
        <v>5.8</v>
      </c>
      <c r="T837" s="351">
        <f>6.8/S837</f>
        <v>1.1724137931034482</v>
      </c>
      <c r="U837" s="329">
        <f>IF($N837=$N$4,IFERROR(INDEX(DanhMuc!$E$154:$E$165,MATCH(MID($B837,4,2),DanhMuc!$B$154:$B$165,0)),""),"")</f>
        <v>5800</v>
      </c>
      <c r="V837" s="325"/>
      <c r="W837" s="352" t="str">
        <f>+IF(AND($A837&lt;&gt;"",LEN($B837)&gt;=8,COUNTIF($B$6:$B837,$B837)=1),$W$5,"")</f>
        <v/>
      </c>
      <c r="X837" s="329" t="str">
        <f t="shared" si="82"/>
        <v>TSL</v>
      </c>
      <c r="Y837" s="1128" t="s">
        <v>3380</v>
      </c>
      <c r="Z837" s="1128" t="s">
        <v>3381</v>
      </c>
      <c r="AA837" s="1128" t="s">
        <v>3384</v>
      </c>
      <c r="AC837" s="73"/>
    </row>
    <row r="838" spans="1:29" s="20" customFormat="1">
      <c r="A838" s="327" t="str">
        <f>IF(AND($B838&lt;&gt;"",$C838&lt;&gt;""),MAX($A$4:A837)+1,"")</f>
        <v/>
      </c>
      <c r="B838" s="361" t="s">
        <v>838</v>
      </c>
      <c r="C838" s="364"/>
      <c r="D838" s="327">
        <f>IF($B838="","",COUNTIF($B$6:$B838,$B838))</f>
        <v>14</v>
      </c>
      <c r="E838" s="361" t="s">
        <v>2293</v>
      </c>
      <c r="F838" s="362" t="s">
        <v>806</v>
      </c>
      <c r="G838" s="361" t="s">
        <v>328</v>
      </c>
      <c r="H838" s="328" t="s">
        <v>536</v>
      </c>
      <c r="I838" s="327">
        <v>2</v>
      </c>
      <c r="J838" s="361" t="s">
        <v>1212</v>
      </c>
      <c r="K838" s="327" t="s">
        <v>531</v>
      </c>
      <c r="L838" s="348">
        <f t="shared" si="72"/>
        <v>203999.99999999997</v>
      </c>
      <c r="M838" s="355"/>
      <c r="N838" s="355" t="str">
        <f t="shared" si="62"/>
        <v>PR</v>
      </c>
      <c r="O838" s="345"/>
      <c r="P838" s="325"/>
      <c r="Q838" s="351"/>
      <c r="R838" s="351">
        <v>1.5</v>
      </c>
      <c r="S838" s="351">
        <v>5.8</v>
      </c>
      <c r="T838" s="351">
        <f>6.8/S838</f>
        <v>1.1724137931034482</v>
      </c>
      <c r="U838" s="329">
        <f>IF($N838=$N$4,IFERROR(INDEX(DanhMuc!$E$154:$E$165,MATCH(MID($B838,4,2),DanhMuc!$B$154:$B$165,0)),""),"")</f>
        <v>5800</v>
      </c>
      <c r="V838" s="325"/>
      <c r="W838" s="352" t="str">
        <f>+IF(AND($A838&lt;&gt;"",LEN($B838)&gt;=8,COUNTIF($B$6:$B838,$B838)=1),$W$5,"")</f>
        <v/>
      </c>
      <c r="X838" s="329" t="str">
        <f t="shared" si="82"/>
        <v>TSL</v>
      </c>
      <c r="Y838" s="1128" t="s">
        <v>3380</v>
      </c>
      <c r="Z838" s="1128" t="s">
        <v>3381</v>
      </c>
      <c r="AA838" s="1128" t="s">
        <v>3384</v>
      </c>
      <c r="AC838" s="73"/>
    </row>
    <row r="839" spans="1:29" s="20" customFormat="1">
      <c r="A839" s="327" t="str">
        <f>IF(AND($B839&lt;&gt;"",$C839&lt;&gt;""),MAX($A$4:A838)+1,"")</f>
        <v/>
      </c>
      <c r="B839" s="361" t="s">
        <v>838</v>
      </c>
      <c r="C839" s="364"/>
      <c r="D839" s="327">
        <f>IF($B839="","",COUNTIF($B$6:$B839,$B839))</f>
        <v>15</v>
      </c>
      <c r="E839" s="361" t="s">
        <v>2299</v>
      </c>
      <c r="F839" s="362" t="s">
        <v>843</v>
      </c>
      <c r="G839" s="361" t="s">
        <v>329</v>
      </c>
      <c r="H839" s="328" t="s">
        <v>536</v>
      </c>
      <c r="I839" s="327">
        <v>4</v>
      </c>
      <c r="J839" s="361" t="s">
        <v>1291</v>
      </c>
      <c r="K839" s="327" t="s">
        <v>531</v>
      </c>
      <c r="L839" s="348">
        <f t="shared" si="72"/>
        <v>231000</v>
      </c>
      <c r="M839" s="355"/>
      <c r="N839" s="355" t="str">
        <f t="shared" si="62"/>
        <v>PR</v>
      </c>
      <c r="O839" s="345"/>
      <c r="P839" s="325"/>
      <c r="Q839" s="351"/>
      <c r="R839" s="351">
        <v>1.5</v>
      </c>
      <c r="S839" s="351">
        <v>5.8</v>
      </c>
      <c r="T839" s="351">
        <f>7.7/S839</f>
        <v>1.3275862068965518</v>
      </c>
      <c r="U839" s="329">
        <f>IF($N839=$N$4,IFERROR(INDEX(DanhMuc!$E$154:$E$165,MATCH(MID($B839,4,2),DanhMuc!$B$154:$B$165,0)),""),"")</f>
        <v>5800</v>
      </c>
      <c r="V839" s="325"/>
      <c r="W839" s="352" t="str">
        <f>+IF(AND($A839&lt;&gt;"",LEN($B839)&gt;=8,COUNTIF($B$6:$B839,$B839)=1),$W$5,"")</f>
        <v/>
      </c>
      <c r="X839" s="329" t="str">
        <f t="shared" si="82"/>
        <v>TSL</v>
      </c>
      <c r="Y839" s="1128" t="s">
        <v>3380</v>
      </c>
      <c r="Z839" s="1128" t="s">
        <v>3381</v>
      </c>
      <c r="AA839" s="1128" t="s">
        <v>3384</v>
      </c>
      <c r="AC839" s="73"/>
    </row>
    <row r="840" spans="1:29" s="20" customFormat="1">
      <c r="A840" s="327" t="str">
        <f>IF(AND($B840&lt;&gt;"",$C840&lt;&gt;""),MAX($A$4:A839)+1,"")</f>
        <v/>
      </c>
      <c r="B840" s="361" t="s">
        <v>838</v>
      </c>
      <c r="C840" s="364"/>
      <c r="D840" s="327">
        <f>IF($B840="","",COUNTIF($B$6:$B840,$B840))</f>
        <v>16</v>
      </c>
      <c r="E840" s="361" t="s">
        <v>2299</v>
      </c>
      <c r="F840" s="362" t="s">
        <v>843</v>
      </c>
      <c r="G840" s="361" t="s">
        <v>328</v>
      </c>
      <c r="H840" s="328" t="s">
        <v>536</v>
      </c>
      <c r="I840" s="327">
        <v>4</v>
      </c>
      <c r="J840" s="361" t="s">
        <v>1288</v>
      </c>
      <c r="K840" s="327" t="s">
        <v>531</v>
      </c>
      <c r="L840" s="348">
        <f t="shared" si="72"/>
        <v>231000</v>
      </c>
      <c r="M840" s="355"/>
      <c r="N840" s="355" t="str">
        <f t="shared" si="62"/>
        <v>PR</v>
      </c>
      <c r="O840" s="345"/>
      <c r="P840" s="325"/>
      <c r="Q840" s="351"/>
      <c r="R840" s="351">
        <v>1.5</v>
      </c>
      <c r="S840" s="351">
        <v>5.8</v>
      </c>
      <c r="T840" s="351">
        <f>7.7/S840</f>
        <v>1.3275862068965518</v>
      </c>
      <c r="U840" s="329">
        <f>IF($N840=$N$4,IFERROR(INDEX(DanhMuc!$E$154:$E$165,MATCH(MID($B840,4,2),DanhMuc!$B$154:$B$165,0)),""),"")</f>
        <v>5800</v>
      </c>
      <c r="V840" s="325"/>
      <c r="W840" s="352" t="str">
        <f>+IF(AND($A840&lt;&gt;"",LEN($B840)&gt;=8,COUNTIF($B$6:$B840,$B840)=1),$W$5,"")</f>
        <v/>
      </c>
      <c r="X840" s="329" t="str">
        <f t="shared" si="82"/>
        <v>TSL</v>
      </c>
      <c r="Y840" s="1128" t="s">
        <v>3380</v>
      </c>
      <c r="Z840" s="1128" t="s">
        <v>3381</v>
      </c>
      <c r="AA840" s="1128" t="s">
        <v>3384</v>
      </c>
      <c r="AC840" s="73"/>
    </row>
    <row r="841" spans="1:29" s="20" customFormat="1" ht="26">
      <c r="A841" s="327">
        <f>IF(AND($B841&lt;&gt;"",$C841&lt;&gt;""),MAX($A$4:A840)+1,"")</f>
        <v>67</v>
      </c>
      <c r="B841" s="359" t="s">
        <v>848</v>
      </c>
      <c r="C841" s="370" t="s">
        <v>1563</v>
      </c>
      <c r="D841" s="327">
        <f>IF($B841="","",COUNTIF($B$6:$B841,$B841))</f>
        <v>1</v>
      </c>
      <c r="E841" s="363" t="s">
        <v>787</v>
      </c>
      <c r="F841" s="362" t="s">
        <v>788</v>
      </c>
      <c r="G841" s="361" t="s">
        <v>329</v>
      </c>
      <c r="H841" s="325"/>
      <c r="I841" s="327">
        <v>2</v>
      </c>
      <c r="J841" s="361" t="s">
        <v>762</v>
      </c>
      <c r="K841" s="327" t="s">
        <v>516</v>
      </c>
      <c r="L841" s="348">
        <f t="shared" si="72"/>
        <v>370724.39999999997</v>
      </c>
      <c r="M841" s="355"/>
      <c r="N841" s="355" t="str">
        <f t="shared" si="62"/>
        <v>PR</v>
      </c>
      <c r="O841" s="345"/>
      <c r="P841" s="325"/>
      <c r="Q841" s="351"/>
      <c r="R841" s="351">
        <v>0</v>
      </c>
      <c r="S841" s="351">
        <v>5.8</v>
      </c>
      <c r="T841" s="351">
        <v>1.206</v>
      </c>
      <c r="U841" s="329">
        <f>IF($N841=$N$4,IFERROR(INDEX(DanhMuc!$E$154:$E$165,MATCH(MID($B841,4,2),DanhMuc!$B$154:$B$165,0)),""),"")</f>
        <v>5800</v>
      </c>
      <c r="V841" s="325"/>
      <c r="W841" s="352" t="str">
        <f>+IF(AND($A841&lt;&gt;"",LEN($B841)&gt;=8,COUNTIF($B$6:$B841,$B841)=1),$W$5,"")</f>
        <v>DMCua</v>
      </c>
      <c r="X841" s="329" t="str">
        <f t="shared" si="82"/>
        <v>SL</v>
      </c>
      <c r="Y841" s="1128" t="s">
        <v>3380</v>
      </c>
      <c r="Z841" s="1128" t="s">
        <v>3381</v>
      </c>
      <c r="AA841" s="1128" t="s">
        <v>3384</v>
      </c>
      <c r="AC841" s="73"/>
    </row>
    <row r="842" spans="1:29" s="20" customFormat="1">
      <c r="A842" s="327" t="str">
        <f>IF(AND($B842&lt;&gt;"",$C842&lt;&gt;""),MAX($A$4:A841)+1,"")</f>
        <v/>
      </c>
      <c r="B842" s="361" t="s">
        <v>848</v>
      </c>
      <c r="C842" s="364"/>
      <c r="D842" s="327">
        <f>IF($B842="","",COUNTIF($B$6:$B842,$B842))</f>
        <v>2</v>
      </c>
      <c r="E842" s="363" t="s">
        <v>787</v>
      </c>
      <c r="F842" s="362" t="s">
        <v>788</v>
      </c>
      <c r="G842" s="361" t="s">
        <v>328</v>
      </c>
      <c r="H842" s="325"/>
      <c r="I842" s="327">
        <v>2</v>
      </c>
      <c r="J842" s="361" t="s">
        <v>763</v>
      </c>
      <c r="K842" s="327" t="s">
        <v>516</v>
      </c>
      <c r="L842" s="348">
        <f t="shared" si="72"/>
        <v>370724.39999999997</v>
      </c>
      <c r="M842" s="355"/>
      <c r="N842" s="355" t="str">
        <f t="shared" si="62"/>
        <v>PR</v>
      </c>
      <c r="O842" s="347"/>
      <c r="P842" s="325"/>
      <c r="Q842" s="351"/>
      <c r="R842" s="351">
        <v>0</v>
      </c>
      <c r="S842" s="351">
        <v>5.8</v>
      </c>
      <c r="T842" s="351">
        <v>1.206</v>
      </c>
      <c r="U842" s="329">
        <f>IF($N842=$N$4,IFERROR(INDEX(DanhMuc!$E$154:$E$165,MATCH(MID($B842,4,2),DanhMuc!$B$154:$B$165,0)),""),"")</f>
        <v>5800</v>
      </c>
      <c r="V842" s="325"/>
      <c r="W842" s="352" t="str">
        <f>+IF(AND($A842&lt;&gt;"",LEN($B842)&gt;=8,COUNTIF($B$6:$B842,$B842)=1),$W$5,"")</f>
        <v/>
      </c>
      <c r="X842" s="329" t="str">
        <f t="shared" si="82"/>
        <v>SL</v>
      </c>
      <c r="Y842" s="1128" t="s">
        <v>3380</v>
      </c>
      <c r="Z842" s="1128" t="s">
        <v>3381</v>
      </c>
      <c r="AA842" s="1128" t="s">
        <v>3384</v>
      </c>
      <c r="AC842" s="73"/>
    </row>
    <row r="843" spans="1:29" s="20" customFormat="1">
      <c r="A843" s="327" t="str">
        <f>IF(AND($B843&lt;&gt;"",$C843&lt;&gt;""),MAX($A$4:A842)+1,"")</f>
        <v/>
      </c>
      <c r="B843" s="361" t="s">
        <v>848</v>
      </c>
      <c r="C843" s="364"/>
      <c r="D843" s="327">
        <f>IF($B843="","",COUNTIF($B$6:$B843,$B843))</f>
        <v>3</v>
      </c>
      <c r="E843" s="363" t="s">
        <v>789</v>
      </c>
      <c r="F843" s="362" t="s">
        <v>790</v>
      </c>
      <c r="G843" s="361" t="s">
        <v>329</v>
      </c>
      <c r="H843" s="325"/>
      <c r="I843" s="327">
        <v>2</v>
      </c>
      <c r="J843" s="361" t="s">
        <v>791</v>
      </c>
      <c r="K843" s="327" t="s">
        <v>531</v>
      </c>
      <c r="L843" s="348">
        <f t="shared" si="72"/>
        <v>24090.909090909088</v>
      </c>
      <c r="M843" s="355"/>
      <c r="N843" s="355" t="str">
        <f t="shared" si="62"/>
        <v>PR</v>
      </c>
      <c r="O843" s="347"/>
      <c r="P843" s="325"/>
      <c r="Q843" s="351"/>
      <c r="R843" s="351">
        <v>0</v>
      </c>
      <c r="S843" s="351">
        <v>5.8</v>
      </c>
      <c r="T843" s="351">
        <v>7.8369905956112845E-2</v>
      </c>
      <c r="U843" s="329">
        <f>IF($N843=$N$4,IFERROR(INDEX(DanhMuc!$E$154:$E$165,MATCH(MID($B843,4,2),DanhMuc!$B$154:$B$165,0)),""),"")</f>
        <v>5800</v>
      </c>
      <c r="V843" s="325"/>
      <c r="W843" s="352" t="str">
        <f>+IF(AND($A843&lt;&gt;"",LEN($B843)&gt;=8,COUNTIF($B$6:$B843,$B843)=1),$W$5,"")</f>
        <v/>
      </c>
      <c r="X843" s="329" t="str">
        <f t="shared" si="82"/>
        <v>SL</v>
      </c>
      <c r="Y843" s="1128" t="s">
        <v>3380</v>
      </c>
      <c r="Z843" s="1128" t="s">
        <v>3381</v>
      </c>
      <c r="AA843" s="1128" t="s">
        <v>3384</v>
      </c>
      <c r="AC843" s="73"/>
    </row>
    <row r="844" spans="1:29" s="20" customFormat="1">
      <c r="A844" s="327" t="str">
        <f>IF(AND($B844&lt;&gt;"",$C844&lt;&gt;""),MAX($A$4:A843)+1,"")</f>
        <v/>
      </c>
      <c r="B844" s="361" t="s">
        <v>848</v>
      </c>
      <c r="C844" s="364"/>
      <c r="D844" s="327">
        <f>IF($B844="","",COUNTIF($B$6:$B844,$B844))</f>
        <v>4</v>
      </c>
      <c r="E844" s="361" t="s">
        <v>839</v>
      </c>
      <c r="F844" s="362" t="s">
        <v>840</v>
      </c>
      <c r="G844" s="361" t="s">
        <v>329</v>
      </c>
      <c r="H844" s="325"/>
      <c r="I844" s="327">
        <v>4</v>
      </c>
      <c r="J844" s="361" t="s">
        <v>851</v>
      </c>
      <c r="K844" s="327" t="s">
        <v>516</v>
      </c>
      <c r="L844" s="348">
        <f t="shared" si="72"/>
        <v>387324</v>
      </c>
      <c r="M844" s="355"/>
      <c r="N844" s="355" t="str">
        <f t="shared" si="62"/>
        <v>PR</v>
      </c>
      <c r="O844" s="345"/>
      <c r="P844" s="325"/>
      <c r="Q844" s="351"/>
      <c r="R844" s="351">
        <v>0</v>
      </c>
      <c r="S844" s="351">
        <v>5.8</v>
      </c>
      <c r="T844" s="351">
        <v>1.26</v>
      </c>
      <c r="U844" s="329">
        <f>IF($N844=$N$4,IFERROR(INDEX(DanhMuc!$E$154:$E$165,MATCH(MID($B844,4,2),DanhMuc!$B$154:$B$165,0)),""),"")</f>
        <v>5800</v>
      </c>
      <c r="V844" s="325"/>
      <c r="W844" s="352" t="str">
        <f>+IF(AND($A844&lt;&gt;"",LEN($B844)&gt;=8,COUNTIF($B$6:$B844,$B844)=1),$W$5,"")</f>
        <v/>
      </c>
      <c r="X844" s="329" t="str">
        <f t="shared" si="82"/>
        <v>SL</v>
      </c>
      <c r="Y844" s="1128" t="s">
        <v>3380</v>
      </c>
      <c r="Z844" s="1128" t="s">
        <v>3381</v>
      </c>
      <c r="AA844" s="1128" t="s">
        <v>3384</v>
      </c>
      <c r="AC844" s="73"/>
    </row>
    <row r="845" spans="1:29" s="20" customFormat="1">
      <c r="A845" s="327" t="str">
        <f>IF(AND($B845&lt;&gt;"",$C845&lt;&gt;""),MAX($A$4:A844)+1,"")</f>
        <v/>
      </c>
      <c r="B845" s="361" t="s">
        <v>848</v>
      </c>
      <c r="C845" s="364"/>
      <c r="D845" s="327">
        <f>IF($B845="","",COUNTIF($B$6:$B845,$B845))</f>
        <v>5</v>
      </c>
      <c r="E845" s="361" t="s">
        <v>839</v>
      </c>
      <c r="F845" s="362" t="s">
        <v>840</v>
      </c>
      <c r="G845" s="361" t="s">
        <v>329</v>
      </c>
      <c r="H845" s="325"/>
      <c r="I845" s="327">
        <v>2</v>
      </c>
      <c r="J845" s="361" t="s">
        <v>852</v>
      </c>
      <c r="K845" s="327" t="s">
        <v>516</v>
      </c>
      <c r="L845" s="348">
        <f t="shared" si="72"/>
        <v>387324</v>
      </c>
      <c r="M845" s="355"/>
      <c r="N845" s="355" t="str">
        <f t="shared" si="62"/>
        <v>PR</v>
      </c>
      <c r="O845" s="345"/>
      <c r="P845" s="325"/>
      <c r="Q845" s="351"/>
      <c r="R845" s="351">
        <v>0</v>
      </c>
      <c r="S845" s="351">
        <v>5.8</v>
      </c>
      <c r="T845" s="351">
        <v>1.26</v>
      </c>
      <c r="U845" s="329">
        <f>IF($N845=$N$4,IFERROR(INDEX(DanhMuc!$E$154:$E$165,MATCH(MID($B845,4,2),DanhMuc!$B$154:$B$165,0)),""),"")</f>
        <v>5800</v>
      </c>
      <c r="V845" s="325"/>
      <c r="W845" s="352" t="str">
        <f>+IF(AND($A845&lt;&gt;"",LEN($B845)&gt;=8,COUNTIF($B$6:$B845,$B845)=1),$W$5,"")</f>
        <v/>
      </c>
      <c r="X845" s="329" t="str">
        <f t="shared" si="82"/>
        <v>SL</v>
      </c>
      <c r="Y845" s="1128" t="s">
        <v>3380</v>
      </c>
      <c r="Z845" s="1128" t="s">
        <v>3381</v>
      </c>
      <c r="AA845" s="1128" t="s">
        <v>3384</v>
      </c>
      <c r="AC845" s="73"/>
    </row>
    <row r="846" spans="1:29" s="20" customFormat="1">
      <c r="A846" s="327" t="str">
        <f>IF(AND($B846&lt;&gt;"",$C846&lt;&gt;""),MAX($A$4:A845)+1,"")</f>
        <v/>
      </c>
      <c r="B846" s="361" t="s">
        <v>848</v>
      </c>
      <c r="C846" s="364"/>
      <c r="D846" s="327">
        <f>IF($B846="","",COUNTIF($B$6:$B846,$B846))</f>
        <v>6</v>
      </c>
      <c r="E846" s="361" t="s">
        <v>839</v>
      </c>
      <c r="F846" s="362" t="s">
        <v>840</v>
      </c>
      <c r="G846" s="361" t="s">
        <v>328</v>
      </c>
      <c r="H846" s="325"/>
      <c r="I846" s="327">
        <v>6</v>
      </c>
      <c r="J846" s="361" t="s">
        <v>793</v>
      </c>
      <c r="K846" s="327" t="s">
        <v>516</v>
      </c>
      <c r="L846" s="348">
        <f t="shared" si="72"/>
        <v>387324</v>
      </c>
      <c r="M846" s="355"/>
      <c r="N846" s="355" t="str">
        <f t="shared" si="62"/>
        <v>PR</v>
      </c>
      <c r="O846" s="345"/>
      <c r="P846" s="325"/>
      <c r="Q846" s="351"/>
      <c r="R846" s="351">
        <v>0</v>
      </c>
      <c r="S846" s="351">
        <v>5.8</v>
      </c>
      <c r="T846" s="351">
        <v>1.26</v>
      </c>
      <c r="U846" s="329">
        <f>IF($N846=$N$4,IFERROR(INDEX(DanhMuc!$E$154:$E$165,MATCH(MID($B846,4,2),DanhMuc!$B$154:$B$165,0)),""),"")</f>
        <v>5800</v>
      </c>
      <c r="V846" s="325"/>
      <c r="W846" s="352" t="str">
        <f>+IF(AND($A846&lt;&gt;"",LEN($B846)&gt;=8,COUNTIF($B$6:$B846,$B846)=1),$W$5,"")</f>
        <v/>
      </c>
      <c r="X846" s="329" t="str">
        <f t="shared" si="82"/>
        <v>SL</v>
      </c>
      <c r="Y846" s="1128" t="s">
        <v>3380</v>
      </c>
      <c r="Z846" s="1128" t="s">
        <v>3381</v>
      </c>
      <c r="AA846" s="1128" t="s">
        <v>3384</v>
      </c>
      <c r="AC846" s="73"/>
    </row>
    <row r="847" spans="1:29" s="20" customFormat="1">
      <c r="A847" s="327" t="str">
        <f>IF(AND($B847&lt;&gt;"",$C847&lt;&gt;""),MAX($A$4:A846)+1,"")</f>
        <v/>
      </c>
      <c r="B847" s="361" t="s">
        <v>848</v>
      </c>
      <c r="C847" s="364"/>
      <c r="D847" s="327">
        <f>IF($B847="","",COUNTIF($B$6:$B847,$B847))</f>
        <v>7</v>
      </c>
      <c r="E847" s="361" t="s">
        <v>841</v>
      </c>
      <c r="F847" s="362" t="s">
        <v>842</v>
      </c>
      <c r="G847" s="361" t="s">
        <v>328</v>
      </c>
      <c r="H847" s="325"/>
      <c r="I847" s="327">
        <v>4</v>
      </c>
      <c r="J847" s="361" t="s">
        <v>796</v>
      </c>
      <c r="K847" s="327" t="s">
        <v>531</v>
      </c>
      <c r="L847" s="348">
        <f t="shared" si="72"/>
        <v>82998</v>
      </c>
      <c r="M847" s="355"/>
      <c r="N847" s="355" t="str">
        <f t="shared" si="62"/>
        <v>PR</v>
      </c>
      <c r="O847" s="345"/>
      <c r="P847" s="325"/>
      <c r="Q847" s="351"/>
      <c r="R847" s="351">
        <v>0</v>
      </c>
      <c r="S847" s="351">
        <v>5.8</v>
      </c>
      <c r="T847" s="351">
        <v>0.27</v>
      </c>
      <c r="U847" s="329">
        <f>IF($N847=$N$4,IFERROR(INDEX(DanhMuc!$E$154:$E$165,MATCH(MID($B847,4,2),DanhMuc!$B$154:$B$165,0)),""),"")</f>
        <v>5800</v>
      </c>
      <c r="V847" s="325"/>
      <c r="W847" s="352" t="str">
        <f>+IF(AND($A847&lt;&gt;"",LEN($B847)&gt;=8,COUNTIF($B$6:$B847,$B847)=1),$W$5,"")</f>
        <v/>
      </c>
      <c r="X847" s="329" t="str">
        <f t="shared" si="82"/>
        <v>SL</v>
      </c>
      <c r="Y847" s="1128" t="s">
        <v>3380</v>
      </c>
      <c r="Z847" s="1128" t="s">
        <v>3381</v>
      </c>
      <c r="AA847" s="1128" t="s">
        <v>3384</v>
      </c>
      <c r="AC847" s="73"/>
    </row>
    <row r="848" spans="1:29" s="20" customFormat="1">
      <c r="A848" s="327" t="str">
        <f>IF(AND($B848&lt;&gt;"",$C848&lt;&gt;""),MAX($A$4:A847)+1,"")</f>
        <v/>
      </c>
      <c r="B848" s="361" t="s">
        <v>848</v>
      </c>
      <c r="C848" s="364"/>
      <c r="D848" s="327">
        <f>IF($B848="","",COUNTIF($B$6:$B848,$B848))</f>
        <v>8</v>
      </c>
      <c r="E848" s="361" t="s">
        <v>947</v>
      </c>
      <c r="F848" s="362" t="s">
        <v>948</v>
      </c>
      <c r="G848" s="361" t="s">
        <v>329</v>
      </c>
      <c r="H848" s="325"/>
      <c r="I848" s="327">
        <v>4</v>
      </c>
      <c r="J848" s="361" t="s">
        <v>853</v>
      </c>
      <c r="K848" s="327" t="s">
        <v>516</v>
      </c>
      <c r="L848" s="348">
        <f t="shared" si="72"/>
        <v>69165</v>
      </c>
      <c r="M848" s="355"/>
      <c r="N848" s="355" t="str">
        <f t="shared" si="62"/>
        <v>PR</v>
      </c>
      <c r="O848" s="347">
        <v>7</v>
      </c>
      <c r="P848" s="325"/>
      <c r="Q848" s="351"/>
      <c r="R848" s="351">
        <v>0</v>
      </c>
      <c r="S848" s="351">
        <v>5.8</v>
      </c>
      <c r="T848" s="351">
        <v>0.22500000000000001</v>
      </c>
      <c r="U848" s="329">
        <f>IF($N848=$N$4,IFERROR(INDEX(DanhMuc!$E$154:$E$165,MATCH(MID($B848,4,2),DanhMuc!$B$154:$B$165,0)),""),"")</f>
        <v>5800</v>
      </c>
      <c r="V848" s="325"/>
      <c r="W848" s="352" t="str">
        <f>+IF(AND($A848&lt;&gt;"",LEN($B848)&gt;=8,COUNTIF($B$6:$B848,$B848)=1),$W$5,"")</f>
        <v/>
      </c>
      <c r="X848" s="329" t="str">
        <f t="shared" si="82"/>
        <v>SL</v>
      </c>
      <c r="Y848" s="1128" t="s">
        <v>3380</v>
      </c>
      <c r="Z848" s="1128" t="s">
        <v>3381</v>
      </c>
      <c r="AA848" s="1128" t="s">
        <v>3384</v>
      </c>
      <c r="AC848" s="73"/>
    </row>
    <row r="849" spans="1:29" s="20" customFormat="1">
      <c r="A849" s="327" t="str">
        <f>IF(AND($B849&lt;&gt;"",$C849&lt;&gt;""),MAX($A$4:A848)+1,"")</f>
        <v/>
      </c>
      <c r="B849" s="361" t="s">
        <v>848</v>
      </c>
      <c r="C849" s="364"/>
      <c r="D849" s="327">
        <f>IF($B849="","",COUNTIF($B$6:$B849,$B849))</f>
        <v>9</v>
      </c>
      <c r="E849" s="361" t="s">
        <v>947</v>
      </c>
      <c r="F849" s="362" t="s">
        <v>948</v>
      </c>
      <c r="G849" s="361" t="s">
        <v>329</v>
      </c>
      <c r="H849" s="325"/>
      <c r="I849" s="327">
        <v>2</v>
      </c>
      <c r="J849" s="361" t="s">
        <v>854</v>
      </c>
      <c r="K849" s="327" t="s">
        <v>516</v>
      </c>
      <c r="L849" s="348">
        <f t="shared" si="72"/>
        <v>69165</v>
      </c>
      <c r="M849" s="355"/>
      <c r="N849" s="355" t="str">
        <f t="shared" si="62"/>
        <v>PR</v>
      </c>
      <c r="O849" s="347">
        <v>7</v>
      </c>
      <c r="P849" s="325"/>
      <c r="Q849" s="351"/>
      <c r="R849" s="351">
        <v>0</v>
      </c>
      <c r="S849" s="351">
        <v>5.8</v>
      </c>
      <c r="T849" s="351">
        <v>0.22500000000000001</v>
      </c>
      <c r="U849" s="329">
        <f>IF($N849=$N$4,IFERROR(INDEX(DanhMuc!$E$154:$E$165,MATCH(MID($B849,4,2),DanhMuc!$B$154:$B$165,0)),""),"")</f>
        <v>5800</v>
      </c>
      <c r="V849" s="325"/>
      <c r="W849" s="352" t="str">
        <f>+IF(AND($A849&lt;&gt;"",LEN($B849)&gt;=8,COUNTIF($B$6:$B849,$B849)=1),$W$5,"")</f>
        <v/>
      </c>
      <c r="X849" s="329" t="str">
        <f t="shared" si="82"/>
        <v>SL</v>
      </c>
      <c r="Y849" s="1128" t="s">
        <v>3380</v>
      </c>
      <c r="Z849" s="1128" t="s">
        <v>3381</v>
      </c>
      <c r="AA849" s="1128" t="s">
        <v>3384</v>
      </c>
      <c r="AC849" s="73"/>
    </row>
    <row r="850" spans="1:29" s="20" customFormat="1">
      <c r="A850" s="327" t="str">
        <f>IF(AND($B850&lt;&gt;"",$C850&lt;&gt;""),MAX($A$4:A849)+1,"")</f>
        <v/>
      </c>
      <c r="B850" s="361" t="s">
        <v>848</v>
      </c>
      <c r="C850" s="364"/>
      <c r="D850" s="327">
        <f>IF($B850="","",COUNTIF($B$6:$B850,$B850))</f>
        <v>10</v>
      </c>
      <c r="E850" s="361" t="s">
        <v>947</v>
      </c>
      <c r="F850" s="362" t="s">
        <v>948</v>
      </c>
      <c r="G850" s="361" t="s">
        <v>328</v>
      </c>
      <c r="H850" s="325"/>
      <c r="I850" s="327">
        <v>6</v>
      </c>
      <c r="J850" s="361" t="s">
        <v>846</v>
      </c>
      <c r="K850" s="327" t="s">
        <v>516</v>
      </c>
      <c r="L850" s="348">
        <f t="shared" si="72"/>
        <v>69165</v>
      </c>
      <c r="M850" s="355"/>
      <c r="N850" s="355" t="str">
        <f t="shared" si="62"/>
        <v>PR</v>
      </c>
      <c r="O850" s="347">
        <v>7</v>
      </c>
      <c r="P850" s="325"/>
      <c r="Q850" s="351"/>
      <c r="R850" s="351">
        <v>0</v>
      </c>
      <c r="S850" s="351">
        <v>5.8</v>
      </c>
      <c r="T850" s="351">
        <v>0.22500000000000001</v>
      </c>
      <c r="U850" s="329">
        <f>IF($N850=$N$4,IFERROR(INDEX(DanhMuc!$E$154:$E$165,MATCH(MID($B850,4,2),DanhMuc!$B$154:$B$165,0)),""),"")</f>
        <v>5800</v>
      </c>
      <c r="V850" s="325"/>
      <c r="W850" s="352" t="str">
        <f>+IF(AND($A850&lt;&gt;"",LEN($B850)&gt;=8,COUNTIF($B$6:$B850,$B850)=1),$W$5,"")</f>
        <v/>
      </c>
      <c r="X850" s="329" t="str">
        <f t="shared" si="82"/>
        <v>SL</v>
      </c>
      <c r="Y850" s="1128" t="s">
        <v>3380</v>
      </c>
      <c r="Z850" s="1128" t="s">
        <v>3381</v>
      </c>
      <c r="AA850" s="1128" t="s">
        <v>3384</v>
      </c>
      <c r="AC850" s="73"/>
    </row>
    <row r="851" spans="1:29" s="20" customFormat="1">
      <c r="A851" s="327" t="str">
        <f>IF(AND($B851&lt;&gt;"",$C851&lt;&gt;""),MAX($A$4:A850)+1,"")</f>
        <v/>
      </c>
      <c r="B851" s="361" t="s">
        <v>848</v>
      </c>
      <c r="C851" s="364"/>
      <c r="D851" s="327">
        <f>IF($B851="","",COUNTIF($B$6:$B851,$B851))</f>
        <v>11</v>
      </c>
      <c r="E851" s="361" t="s">
        <v>894</v>
      </c>
      <c r="F851" s="362" t="s">
        <v>949</v>
      </c>
      <c r="G851" s="361" t="s">
        <v>329</v>
      </c>
      <c r="H851" s="325"/>
      <c r="I851" s="327">
        <v>4</v>
      </c>
      <c r="J851" s="361" t="s">
        <v>853</v>
      </c>
      <c r="K851" s="327" t="s">
        <v>516</v>
      </c>
      <c r="L851" s="348">
        <f t="shared" si="72"/>
        <v>64554</v>
      </c>
      <c r="M851" s="355"/>
      <c r="N851" s="355" t="str">
        <f t="shared" si="62"/>
        <v>PR</v>
      </c>
      <c r="O851" s="347">
        <v>11</v>
      </c>
      <c r="P851" s="325"/>
      <c r="Q851" s="351"/>
      <c r="R851" s="351">
        <v>0</v>
      </c>
      <c r="S851" s="351">
        <v>5.8</v>
      </c>
      <c r="T851" s="351">
        <v>0.21</v>
      </c>
      <c r="U851" s="329">
        <f>IF($N851=$N$4,IFERROR(INDEX(DanhMuc!$E$154:$E$165,MATCH(MID($B851,4,2),DanhMuc!$B$154:$B$165,0)),""),"")</f>
        <v>5800</v>
      </c>
      <c r="V851" s="325"/>
      <c r="W851" s="352" t="str">
        <f>+IF(AND($A851&lt;&gt;"",LEN($B851)&gt;=8,COUNTIF($B$6:$B851,$B851)=1),$W$5,"")</f>
        <v/>
      </c>
      <c r="X851" s="329" t="str">
        <f t="shared" si="82"/>
        <v>SL</v>
      </c>
      <c r="Y851" s="1128" t="s">
        <v>3380</v>
      </c>
      <c r="Z851" s="1128" t="s">
        <v>3381</v>
      </c>
      <c r="AA851" s="1128" t="s">
        <v>3384</v>
      </c>
      <c r="AC851" s="73"/>
    </row>
    <row r="852" spans="1:29" s="20" customFormat="1">
      <c r="A852" s="327" t="str">
        <f>IF(AND($B852&lt;&gt;"",$C852&lt;&gt;""),MAX($A$4:A851)+1,"")</f>
        <v/>
      </c>
      <c r="B852" s="361" t="s">
        <v>848</v>
      </c>
      <c r="C852" s="364"/>
      <c r="D852" s="327">
        <f>IF($B852="","",COUNTIF($B$6:$B852,$B852))</f>
        <v>12</v>
      </c>
      <c r="E852" s="361" t="s">
        <v>894</v>
      </c>
      <c r="F852" s="362" t="s">
        <v>949</v>
      </c>
      <c r="G852" s="361" t="s">
        <v>329</v>
      </c>
      <c r="H852" s="325"/>
      <c r="I852" s="327">
        <v>2</v>
      </c>
      <c r="J852" s="361" t="s">
        <v>854</v>
      </c>
      <c r="K852" s="327" t="s">
        <v>516</v>
      </c>
      <c r="L852" s="348">
        <f t="shared" si="72"/>
        <v>64554</v>
      </c>
      <c r="M852" s="355"/>
      <c r="N852" s="355" t="str">
        <f t="shared" si="62"/>
        <v>PR</v>
      </c>
      <c r="O852" s="347">
        <v>11</v>
      </c>
      <c r="P852" s="325"/>
      <c r="Q852" s="351"/>
      <c r="R852" s="351">
        <v>0</v>
      </c>
      <c r="S852" s="351">
        <v>5.8</v>
      </c>
      <c r="T852" s="351">
        <v>0.21</v>
      </c>
      <c r="U852" s="329">
        <f>IF($N852=$N$4,IFERROR(INDEX(DanhMuc!$E$154:$E$165,MATCH(MID($B852,4,2),DanhMuc!$B$154:$B$165,0)),""),"")</f>
        <v>5800</v>
      </c>
      <c r="V852" s="325"/>
      <c r="W852" s="352" t="str">
        <f>+IF(AND($A852&lt;&gt;"",LEN($B852)&gt;=8,COUNTIF($B$6:$B852,$B852)=1),$W$5,"")</f>
        <v/>
      </c>
      <c r="X852" s="329" t="str">
        <f t="shared" si="82"/>
        <v>SL</v>
      </c>
      <c r="Y852" s="1128" t="s">
        <v>3380</v>
      </c>
      <c r="Z852" s="1128" t="s">
        <v>3381</v>
      </c>
      <c r="AA852" s="1128" t="s">
        <v>3384</v>
      </c>
      <c r="AC852" s="73"/>
    </row>
    <row r="853" spans="1:29" s="20" customFormat="1">
      <c r="A853" s="327" t="str">
        <f>IF(AND($B853&lt;&gt;"",$C853&lt;&gt;""),MAX($A$4:A852)+1,"")</f>
        <v/>
      </c>
      <c r="B853" s="361" t="s">
        <v>848</v>
      </c>
      <c r="C853" s="364"/>
      <c r="D853" s="327">
        <f>IF($B853="","",COUNTIF($B$6:$B853,$B853))</f>
        <v>13</v>
      </c>
      <c r="E853" s="361" t="s">
        <v>894</v>
      </c>
      <c r="F853" s="362" t="s">
        <v>949</v>
      </c>
      <c r="G853" s="361" t="s">
        <v>328</v>
      </c>
      <c r="H853" s="325"/>
      <c r="I853" s="327">
        <v>6</v>
      </c>
      <c r="J853" s="361" t="s">
        <v>846</v>
      </c>
      <c r="K853" s="327" t="s">
        <v>516</v>
      </c>
      <c r="L853" s="348">
        <f t="shared" si="72"/>
        <v>64554</v>
      </c>
      <c r="M853" s="355"/>
      <c r="N853" s="355" t="str">
        <f t="shared" si="62"/>
        <v>PR</v>
      </c>
      <c r="O853" s="347">
        <v>11</v>
      </c>
      <c r="P853" s="325"/>
      <c r="Q853" s="351"/>
      <c r="R853" s="351">
        <v>0</v>
      </c>
      <c r="S853" s="351">
        <v>5.8</v>
      </c>
      <c r="T853" s="351">
        <v>0.21</v>
      </c>
      <c r="U853" s="329">
        <f>IF($N853=$N$4,IFERROR(INDEX(DanhMuc!$E$154:$E$165,MATCH(MID($B853,4,2),DanhMuc!$B$154:$B$165,0)),""),"")</f>
        <v>5800</v>
      </c>
      <c r="V853" s="325"/>
      <c r="W853" s="352" t="str">
        <f>+IF(AND($A853&lt;&gt;"",LEN($B853)&gt;=8,COUNTIF($B$6:$B853,$B853)=1),$W$5,"")</f>
        <v/>
      </c>
      <c r="X853" s="329" t="str">
        <f t="shared" si="82"/>
        <v>SL</v>
      </c>
      <c r="Y853" s="1128" t="s">
        <v>3380</v>
      </c>
      <c r="Z853" s="1128" t="s">
        <v>3381</v>
      </c>
      <c r="AA853" s="1128" t="s">
        <v>3384</v>
      </c>
      <c r="AC853" s="73"/>
    </row>
    <row r="854" spans="1:29" s="20" customFormat="1">
      <c r="A854" s="327" t="str">
        <f>IF(AND($B854&lt;&gt;"",$C854&lt;&gt;""),MAX($A$4:A853)+1,"")</f>
        <v/>
      </c>
      <c r="B854" s="361" t="s">
        <v>848</v>
      </c>
      <c r="C854" s="364"/>
      <c r="D854" s="327">
        <f>IF($B854="","",COUNTIF($B$6:$B854,$B854))</f>
        <v>14</v>
      </c>
      <c r="E854" s="361" t="s">
        <v>946</v>
      </c>
      <c r="F854" s="362" t="s">
        <v>383</v>
      </c>
      <c r="G854" s="361" t="s">
        <v>329</v>
      </c>
      <c r="H854" s="325"/>
      <c r="I854" s="327">
        <v>4</v>
      </c>
      <c r="J854" s="361" t="s">
        <v>853</v>
      </c>
      <c r="K854" s="327" t="s">
        <v>516</v>
      </c>
      <c r="L854" s="348">
        <f t="shared" si="72"/>
        <v>46110</v>
      </c>
      <c r="M854" s="355"/>
      <c r="N854" s="355" t="str">
        <f t="shared" si="62"/>
        <v>PR</v>
      </c>
      <c r="O854" s="347">
        <v>19</v>
      </c>
      <c r="P854" s="325"/>
      <c r="Q854" s="351"/>
      <c r="R854" s="351">
        <v>0</v>
      </c>
      <c r="S854" s="351">
        <v>5.8</v>
      </c>
      <c r="T854" s="351">
        <v>0.15</v>
      </c>
      <c r="U854" s="329">
        <f>IF($N854=$N$4,IFERROR(INDEX(DanhMuc!$E$154:$E$165,MATCH(MID($B854,4,2),DanhMuc!$B$154:$B$165,0)),""),"")</f>
        <v>5800</v>
      </c>
      <c r="V854" s="325"/>
      <c r="W854" s="352" t="str">
        <f>+IF(AND($A854&lt;&gt;"",LEN($B854)&gt;=8,COUNTIF($B$6:$B854,$B854)=1),$W$5,"")</f>
        <v/>
      </c>
      <c r="X854" s="329" t="str">
        <f t="shared" si="82"/>
        <v>SL</v>
      </c>
      <c r="Y854" s="1128" t="s">
        <v>3380</v>
      </c>
      <c r="Z854" s="1128" t="s">
        <v>3381</v>
      </c>
      <c r="AA854" s="1128" t="s">
        <v>3384</v>
      </c>
      <c r="AC854" s="73"/>
    </row>
    <row r="855" spans="1:29" s="20" customFormat="1">
      <c r="A855" s="327" t="str">
        <f>IF(AND($B855&lt;&gt;"",$C855&lt;&gt;""),MAX($A$4:A854)+1,"")</f>
        <v/>
      </c>
      <c r="B855" s="361" t="s">
        <v>848</v>
      </c>
      <c r="C855" s="364"/>
      <c r="D855" s="327">
        <f>IF($B855="","",COUNTIF($B$6:$B855,$B855))</f>
        <v>15</v>
      </c>
      <c r="E855" s="361" t="s">
        <v>946</v>
      </c>
      <c r="F855" s="362" t="s">
        <v>383</v>
      </c>
      <c r="G855" s="361" t="s">
        <v>329</v>
      </c>
      <c r="H855" s="325"/>
      <c r="I855" s="327">
        <v>2</v>
      </c>
      <c r="J855" s="361" t="s">
        <v>854</v>
      </c>
      <c r="K855" s="327" t="s">
        <v>516</v>
      </c>
      <c r="L855" s="348">
        <f t="shared" si="72"/>
        <v>46110</v>
      </c>
      <c r="M855" s="355"/>
      <c r="N855" s="355" t="str">
        <f t="shared" si="62"/>
        <v>PR</v>
      </c>
      <c r="O855" s="347">
        <v>19</v>
      </c>
      <c r="P855" s="325"/>
      <c r="Q855" s="351"/>
      <c r="R855" s="351">
        <v>0</v>
      </c>
      <c r="S855" s="351">
        <v>5.8</v>
      </c>
      <c r="T855" s="351">
        <v>0.15</v>
      </c>
      <c r="U855" s="329">
        <f>IF($N855=$N$4,IFERROR(INDEX(DanhMuc!$E$154:$E$165,MATCH(MID($B855,4,2),DanhMuc!$B$154:$B$165,0)),""),"")</f>
        <v>5800</v>
      </c>
      <c r="V855" s="325"/>
      <c r="W855" s="352" t="str">
        <f>+IF(AND($A855&lt;&gt;"",LEN($B855)&gt;=8,COUNTIF($B$6:$B855,$B855)=1),$W$5,"")</f>
        <v/>
      </c>
      <c r="X855" s="329" t="str">
        <f t="shared" si="82"/>
        <v>SL</v>
      </c>
      <c r="Y855" s="1128" t="s">
        <v>3380</v>
      </c>
      <c r="Z855" s="1128" t="s">
        <v>3381</v>
      </c>
      <c r="AA855" s="1128" t="s">
        <v>3384</v>
      </c>
      <c r="AC855" s="73"/>
    </row>
    <row r="856" spans="1:29" s="20" customFormat="1">
      <c r="A856" s="327" t="str">
        <f>IF(AND($B856&lt;&gt;"",$C856&lt;&gt;""),MAX($A$4:A855)+1,"")</f>
        <v/>
      </c>
      <c r="B856" s="361" t="s">
        <v>848</v>
      </c>
      <c r="C856" s="364"/>
      <c r="D856" s="327">
        <f>IF($B856="","",COUNTIF($B$6:$B856,$B856))</f>
        <v>16</v>
      </c>
      <c r="E856" s="361" t="s">
        <v>946</v>
      </c>
      <c r="F856" s="362" t="s">
        <v>383</v>
      </c>
      <c r="G856" s="361" t="s">
        <v>328</v>
      </c>
      <c r="H856" s="325"/>
      <c r="I856" s="327">
        <v>6</v>
      </c>
      <c r="J856" s="361" t="s">
        <v>846</v>
      </c>
      <c r="K856" s="327" t="s">
        <v>516</v>
      </c>
      <c r="L856" s="348">
        <f t="shared" si="72"/>
        <v>46110</v>
      </c>
      <c r="M856" s="355"/>
      <c r="N856" s="355" t="str">
        <f t="shared" si="62"/>
        <v>PR</v>
      </c>
      <c r="O856" s="347">
        <v>19</v>
      </c>
      <c r="P856" s="325"/>
      <c r="Q856" s="351"/>
      <c r="R856" s="351">
        <v>0</v>
      </c>
      <c r="S856" s="351">
        <v>5.8</v>
      </c>
      <c r="T856" s="351">
        <v>0.15</v>
      </c>
      <c r="U856" s="329">
        <f>IF($N856=$N$4,IFERROR(INDEX(DanhMuc!$E$154:$E$165,MATCH(MID($B856,4,2),DanhMuc!$B$154:$B$165,0)),""),"")</f>
        <v>5800</v>
      </c>
      <c r="V856" s="325"/>
      <c r="W856" s="352" t="str">
        <f>+IF(AND($A856&lt;&gt;"",LEN($B856)&gt;=8,COUNTIF($B$6:$B856,$B856)=1),$W$5,"")</f>
        <v/>
      </c>
      <c r="X856" s="329" t="str">
        <f t="shared" si="82"/>
        <v>SL</v>
      </c>
      <c r="Y856" s="1128" t="s">
        <v>3380</v>
      </c>
      <c r="Z856" s="1128" t="s">
        <v>3381</v>
      </c>
      <c r="AA856" s="1128" t="s">
        <v>3384</v>
      </c>
      <c r="AC856" s="73"/>
    </row>
    <row r="857" spans="1:29" s="20" customFormat="1">
      <c r="A857" s="327" t="str">
        <f>IF(AND($B857&lt;&gt;"",$C857&lt;&gt;""),MAX($A$4:A856)+1,"")</f>
        <v/>
      </c>
      <c r="B857" s="361" t="s">
        <v>848</v>
      </c>
      <c r="C857" s="364"/>
      <c r="D857" s="327">
        <f>IF($B857="","",COUNTIF($B$6:$B857,$B857))</f>
        <v>17</v>
      </c>
      <c r="E857" s="361" t="s">
        <v>2293</v>
      </c>
      <c r="F857" s="362" t="s">
        <v>806</v>
      </c>
      <c r="G857" s="361" t="s">
        <v>329</v>
      </c>
      <c r="H857" s="328" t="s">
        <v>536</v>
      </c>
      <c r="I857" s="327">
        <v>2</v>
      </c>
      <c r="J857" s="361" t="s">
        <v>1211</v>
      </c>
      <c r="K857" s="327" t="s">
        <v>531</v>
      </c>
      <c r="L857" s="348">
        <f t="shared" si="72"/>
        <v>203999.99999999997</v>
      </c>
      <c r="M857" s="355"/>
      <c r="N857" s="355" t="str">
        <f t="shared" si="62"/>
        <v>PR</v>
      </c>
      <c r="O857" s="345"/>
      <c r="P857" s="325"/>
      <c r="Q857" s="351"/>
      <c r="R857" s="351">
        <v>1.5</v>
      </c>
      <c r="S857" s="351">
        <v>5.8</v>
      </c>
      <c r="T857" s="351">
        <f t="shared" ref="T857:T858" si="84">6.8/S857</f>
        <v>1.1724137931034482</v>
      </c>
      <c r="U857" s="329">
        <f>IF($N857=$N$4,IFERROR(INDEX(DanhMuc!$E$154:$E$165,MATCH(MID($B857,4,2),DanhMuc!$B$154:$B$165,0)),""),"")</f>
        <v>5800</v>
      </c>
      <c r="V857" s="325"/>
      <c r="W857" s="352" t="str">
        <f>+IF(AND($A857&lt;&gt;"",LEN($B857)&gt;=8,COUNTIF($B$6:$B857,$B857)=1),$W$5,"")</f>
        <v/>
      </c>
      <c r="X857" s="329" t="str">
        <f t="shared" si="82"/>
        <v>TSL</v>
      </c>
      <c r="Y857" s="1128" t="s">
        <v>3380</v>
      </c>
      <c r="Z857" s="1128" t="s">
        <v>3381</v>
      </c>
      <c r="AA857" s="1128" t="s">
        <v>3384</v>
      </c>
      <c r="AC857" s="73"/>
    </row>
    <row r="858" spans="1:29" s="20" customFormat="1">
      <c r="A858" s="327" t="str">
        <f>IF(AND($B858&lt;&gt;"",$C858&lt;&gt;""),MAX($A$4:A857)+1,"")</f>
        <v/>
      </c>
      <c r="B858" s="361" t="s">
        <v>848</v>
      </c>
      <c r="C858" s="364"/>
      <c r="D858" s="327">
        <f>IF($B858="","",COUNTIF($B$6:$B858,$B858))</f>
        <v>18</v>
      </c>
      <c r="E858" s="361" t="s">
        <v>2293</v>
      </c>
      <c r="F858" s="362" t="s">
        <v>806</v>
      </c>
      <c r="G858" s="361" t="s">
        <v>328</v>
      </c>
      <c r="H858" s="328" t="s">
        <v>536</v>
      </c>
      <c r="I858" s="327">
        <v>2</v>
      </c>
      <c r="J858" s="361" t="s">
        <v>1212</v>
      </c>
      <c r="K858" s="327" t="s">
        <v>531</v>
      </c>
      <c r="L858" s="348">
        <f t="shared" si="72"/>
        <v>203999.99999999997</v>
      </c>
      <c r="M858" s="355"/>
      <c r="N858" s="355" t="str">
        <f t="shared" si="62"/>
        <v>PR</v>
      </c>
      <c r="O858" s="345"/>
      <c r="P858" s="325"/>
      <c r="Q858" s="351"/>
      <c r="R858" s="351">
        <v>1.5</v>
      </c>
      <c r="S858" s="351">
        <v>5.8</v>
      </c>
      <c r="T858" s="351">
        <f t="shared" si="84"/>
        <v>1.1724137931034482</v>
      </c>
      <c r="U858" s="329">
        <f>IF($N858=$N$4,IFERROR(INDEX(DanhMuc!$E$154:$E$165,MATCH(MID($B858,4,2),DanhMuc!$B$154:$B$165,0)),""),"")</f>
        <v>5800</v>
      </c>
      <c r="V858" s="325"/>
      <c r="W858" s="352" t="str">
        <f>+IF(AND($A858&lt;&gt;"",LEN($B858)&gt;=8,COUNTIF($B$6:$B858,$B858)=1),$W$5,"")</f>
        <v/>
      </c>
      <c r="X858" s="329" t="str">
        <f t="shared" si="82"/>
        <v>TSL</v>
      </c>
      <c r="Y858" s="1128" t="s">
        <v>3380</v>
      </c>
      <c r="Z858" s="1128" t="s">
        <v>3381</v>
      </c>
      <c r="AA858" s="1128" t="s">
        <v>3384</v>
      </c>
      <c r="AC858" s="73"/>
    </row>
    <row r="859" spans="1:29" s="20" customFormat="1">
      <c r="A859" s="327" t="str">
        <f>IF(AND($B859&lt;&gt;"",$C859&lt;&gt;""),MAX($A$4:A858)+1,"")</f>
        <v/>
      </c>
      <c r="B859" s="361" t="s">
        <v>848</v>
      </c>
      <c r="C859" s="364"/>
      <c r="D859" s="327">
        <f>IF($B859="","",COUNTIF($B$6:$B859,$B859))</f>
        <v>19</v>
      </c>
      <c r="E859" s="361" t="s">
        <v>2299</v>
      </c>
      <c r="F859" s="362" t="s">
        <v>843</v>
      </c>
      <c r="G859" s="361" t="s">
        <v>329</v>
      </c>
      <c r="H859" s="328" t="s">
        <v>536</v>
      </c>
      <c r="I859" s="327">
        <v>4</v>
      </c>
      <c r="J859" s="361" t="s">
        <v>1289</v>
      </c>
      <c r="K859" s="327" t="s">
        <v>531</v>
      </c>
      <c r="L859" s="348">
        <f t="shared" si="72"/>
        <v>231000</v>
      </c>
      <c r="M859" s="355"/>
      <c r="N859" s="355" t="str">
        <f t="shared" si="62"/>
        <v>PR</v>
      </c>
      <c r="O859" s="345"/>
      <c r="P859" s="325"/>
      <c r="Q859" s="351"/>
      <c r="R859" s="351">
        <v>1.5</v>
      </c>
      <c r="S859" s="351">
        <v>5.8</v>
      </c>
      <c r="T859" s="351">
        <f t="shared" ref="T859:T861" si="85">7.7/S859</f>
        <v>1.3275862068965518</v>
      </c>
      <c r="U859" s="329">
        <f>IF($N859=$N$4,IFERROR(INDEX(DanhMuc!$E$154:$E$165,MATCH(MID($B859,4,2),DanhMuc!$B$154:$B$165,0)),""),"")</f>
        <v>5800</v>
      </c>
      <c r="V859" s="325"/>
      <c r="W859" s="352" t="str">
        <f>+IF(AND($A859&lt;&gt;"",LEN($B859)&gt;=8,COUNTIF($B$6:$B859,$B859)=1),$W$5,"")</f>
        <v/>
      </c>
      <c r="X859" s="329" t="str">
        <f t="shared" si="82"/>
        <v>TSL</v>
      </c>
      <c r="Y859" s="1128" t="s">
        <v>3380</v>
      </c>
      <c r="Z859" s="1128" t="s">
        <v>3381</v>
      </c>
      <c r="AA859" s="1128" t="s">
        <v>3384</v>
      </c>
      <c r="AC859" s="73"/>
    </row>
    <row r="860" spans="1:29" s="20" customFormat="1">
      <c r="A860" s="327" t="str">
        <f>IF(AND($B860&lt;&gt;"",$C860&lt;&gt;""),MAX($A$4:A859)+1,"")</f>
        <v/>
      </c>
      <c r="B860" s="361" t="s">
        <v>848</v>
      </c>
      <c r="C860" s="364"/>
      <c r="D860" s="327">
        <f>IF($B860="","",COUNTIF($B$6:$B860,$B860))</f>
        <v>20</v>
      </c>
      <c r="E860" s="361" t="s">
        <v>2299</v>
      </c>
      <c r="F860" s="362" t="s">
        <v>843</v>
      </c>
      <c r="G860" s="361" t="s">
        <v>329</v>
      </c>
      <c r="H860" s="328" t="s">
        <v>536</v>
      </c>
      <c r="I860" s="327">
        <v>2</v>
      </c>
      <c r="J860" s="361" t="s">
        <v>1290</v>
      </c>
      <c r="K860" s="327" t="s">
        <v>531</v>
      </c>
      <c r="L860" s="348">
        <f t="shared" si="72"/>
        <v>231000</v>
      </c>
      <c r="M860" s="355"/>
      <c r="N860" s="355" t="str">
        <f t="shared" si="62"/>
        <v>PR</v>
      </c>
      <c r="O860" s="345"/>
      <c r="P860" s="325"/>
      <c r="Q860" s="351"/>
      <c r="R860" s="351">
        <v>1.5</v>
      </c>
      <c r="S860" s="351">
        <v>5.8</v>
      </c>
      <c r="T860" s="351">
        <f t="shared" si="85"/>
        <v>1.3275862068965518</v>
      </c>
      <c r="U860" s="329">
        <f>IF($N860=$N$4,IFERROR(INDEX(DanhMuc!$E$154:$E$165,MATCH(MID($B860,4,2),DanhMuc!$B$154:$B$165,0)),""),"")</f>
        <v>5800</v>
      </c>
      <c r="V860" s="325"/>
      <c r="W860" s="352" t="str">
        <f>+IF(AND($A860&lt;&gt;"",LEN($B860)&gt;=8,COUNTIF($B$6:$B860,$B860)=1),$W$5,"")</f>
        <v/>
      </c>
      <c r="X860" s="329" t="str">
        <f t="shared" si="82"/>
        <v>TSL</v>
      </c>
      <c r="Y860" s="1128" t="s">
        <v>3380</v>
      </c>
      <c r="Z860" s="1128" t="s">
        <v>3381</v>
      </c>
      <c r="AA860" s="1128" t="s">
        <v>3384</v>
      </c>
      <c r="AC860" s="73"/>
    </row>
    <row r="861" spans="1:29" s="20" customFormat="1">
      <c r="A861" s="327" t="str">
        <f>IF(AND($B861&lt;&gt;"",$C861&lt;&gt;""),MAX($A$4:A860)+1,"")</f>
        <v/>
      </c>
      <c r="B861" s="361" t="s">
        <v>848</v>
      </c>
      <c r="C861" s="364"/>
      <c r="D861" s="327">
        <f>IF($B861="","",COUNTIF($B$6:$B861,$B861))</f>
        <v>21</v>
      </c>
      <c r="E861" s="361" t="s">
        <v>2299</v>
      </c>
      <c r="F861" s="362" t="s">
        <v>843</v>
      </c>
      <c r="G861" s="361" t="s">
        <v>328</v>
      </c>
      <c r="H861" s="328" t="s">
        <v>536</v>
      </c>
      <c r="I861" s="327">
        <v>6</v>
      </c>
      <c r="J861" s="361" t="s">
        <v>1288</v>
      </c>
      <c r="K861" s="327" t="s">
        <v>531</v>
      </c>
      <c r="L861" s="348">
        <f t="shared" si="72"/>
        <v>231000</v>
      </c>
      <c r="M861" s="355"/>
      <c r="N861" s="355" t="str">
        <f t="shared" si="62"/>
        <v>PR</v>
      </c>
      <c r="O861" s="345"/>
      <c r="P861" s="325"/>
      <c r="Q861" s="351"/>
      <c r="R861" s="351">
        <v>1.5</v>
      </c>
      <c r="S861" s="351">
        <v>5.8</v>
      </c>
      <c r="T861" s="351">
        <f t="shared" si="85"/>
        <v>1.3275862068965518</v>
      </c>
      <c r="U861" s="329">
        <f>IF($N861=$N$4,IFERROR(INDEX(DanhMuc!$E$154:$E$165,MATCH(MID($B861,4,2),DanhMuc!$B$154:$B$165,0)),""),"")</f>
        <v>5800</v>
      </c>
      <c r="V861" s="325"/>
      <c r="W861" s="352" t="str">
        <f>+IF(AND($A861&lt;&gt;"",LEN($B861)&gt;=8,COUNTIF($B$6:$B861,$B861)=1),$W$5,"")</f>
        <v/>
      </c>
      <c r="X861" s="329" t="str">
        <f t="shared" si="82"/>
        <v>TSL</v>
      </c>
      <c r="Y861" s="1128" t="s">
        <v>3380</v>
      </c>
      <c r="Z861" s="1128" t="s">
        <v>3381</v>
      </c>
      <c r="AA861" s="1128" t="s">
        <v>3384</v>
      </c>
      <c r="AC861" s="73"/>
    </row>
    <row r="862" spans="1:29" s="20" customFormat="1" ht="26">
      <c r="A862" s="327">
        <f>IF(AND($B862&lt;&gt;"",$C862&lt;&gt;""),MAX($A$4:A861)+1,"")</f>
        <v>68</v>
      </c>
      <c r="B862" s="359" t="s">
        <v>855</v>
      </c>
      <c r="C862" s="370" t="s">
        <v>1564</v>
      </c>
      <c r="D862" s="327">
        <f>IF($B862="","",COUNTIF($B$6:$B862,$B862))</f>
        <v>1</v>
      </c>
      <c r="E862" s="363" t="s">
        <v>787</v>
      </c>
      <c r="F862" s="362" t="s">
        <v>788</v>
      </c>
      <c r="G862" s="361" t="s">
        <v>329</v>
      </c>
      <c r="H862" s="325"/>
      <c r="I862" s="327">
        <v>2</v>
      </c>
      <c r="J862" s="361" t="s">
        <v>762</v>
      </c>
      <c r="K862" s="327" t="s">
        <v>516</v>
      </c>
      <c r="L862" s="348">
        <f t="shared" si="72"/>
        <v>370724.39999999997</v>
      </c>
      <c r="M862" s="355"/>
      <c r="N862" s="355" t="str">
        <f t="shared" si="62"/>
        <v>PR</v>
      </c>
      <c r="O862" s="345"/>
      <c r="P862" s="325"/>
      <c r="Q862" s="351"/>
      <c r="R862" s="351">
        <v>0</v>
      </c>
      <c r="S862" s="351">
        <v>5.8</v>
      </c>
      <c r="T862" s="351">
        <v>1.206</v>
      </c>
      <c r="U862" s="329">
        <f>IF($N862=$N$4,IFERROR(INDEX(DanhMuc!$E$154:$E$165,MATCH(MID($B862,4,2),DanhMuc!$B$154:$B$165,0)),""),"")</f>
        <v>5800</v>
      </c>
      <c r="V862" s="325"/>
      <c r="W862" s="352" t="str">
        <f>+IF(AND($A862&lt;&gt;"",LEN($B862)&gt;=8,COUNTIF($B$6:$B862,$B862)=1),$W$5,"")</f>
        <v>DMCua</v>
      </c>
      <c r="X862" s="329" t="str">
        <f t="shared" si="82"/>
        <v>SL</v>
      </c>
      <c r="Y862" s="1128" t="s">
        <v>3380</v>
      </c>
      <c r="Z862" s="1128" t="s">
        <v>3381</v>
      </c>
      <c r="AA862" s="1128" t="s">
        <v>3384</v>
      </c>
      <c r="AC862" s="73"/>
    </row>
    <row r="863" spans="1:29" s="20" customFormat="1">
      <c r="A863" s="327" t="str">
        <f>IF(AND($B863&lt;&gt;"",$C863&lt;&gt;""),MAX($A$4:A862)+1,"")</f>
        <v/>
      </c>
      <c r="B863" s="361" t="s">
        <v>855</v>
      </c>
      <c r="C863" s="364"/>
      <c r="D863" s="327">
        <f>IF($B863="","",COUNTIF($B$6:$B863,$B863))</f>
        <v>2</v>
      </c>
      <c r="E863" s="363" t="s">
        <v>787</v>
      </c>
      <c r="F863" s="362" t="s">
        <v>788</v>
      </c>
      <c r="G863" s="361" t="s">
        <v>328</v>
      </c>
      <c r="H863" s="325"/>
      <c r="I863" s="327">
        <v>2</v>
      </c>
      <c r="J863" s="361" t="s">
        <v>763</v>
      </c>
      <c r="K863" s="327" t="s">
        <v>516</v>
      </c>
      <c r="L863" s="348">
        <f t="shared" si="72"/>
        <v>370724.39999999997</v>
      </c>
      <c r="M863" s="355"/>
      <c r="N863" s="355" t="str">
        <f t="shared" si="62"/>
        <v>PR</v>
      </c>
      <c r="O863" s="347"/>
      <c r="P863" s="325"/>
      <c r="Q863" s="351"/>
      <c r="R863" s="351">
        <v>0</v>
      </c>
      <c r="S863" s="351">
        <v>5.8</v>
      </c>
      <c r="T863" s="351">
        <v>1.206</v>
      </c>
      <c r="U863" s="329">
        <f>IF($N863=$N$4,IFERROR(INDEX(DanhMuc!$E$154:$E$165,MATCH(MID($B863,4,2),DanhMuc!$B$154:$B$165,0)),""),"")</f>
        <v>5800</v>
      </c>
      <c r="V863" s="325"/>
      <c r="W863" s="352" t="str">
        <f>+IF(AND($A863&lt;&gt;"",LEN($B863)&gt;=8,COUNTIF($B$6:$B863,$B863)=1),$W$5,"")</f>
        <v/>
      </c>
      <c r="X863" s="329" t="str">
        <f t="shared" si="82"/>
        <v>SL</v>
      </c>
      <c r="Y863" s="1128" t="s">
        <v>3380</v>
      </c>
      <c r="Z863" s="1128" t="s">
        <v>3381</v>
      </c>
      <c r="AA863" s="1128" t="s">
        <v>3384</v>
      </c>
      <c r="AC863" s="73"/>
    </row>
    <row r="864" spans="1:29" s="20" customFormat="1">
      <c r="A864" s="327" t="str">
        <f>IF(AND($B864&lt;&gt;"",$C864&lt;&gt;""),MAX($A$4:A863)+1,"")</f>
        <v/>
      </c>
      <c r="B864" s="361" t="s">
        <v>855</v>
      </c>
      <c r="C864" s="364"/>
      <c r="D864" s="327">
        <f>IF($B864="","",COUNTIF($B$6:$B864,$B864))</f>
        <v>3</v>
      </c>
      <c r="E864" s="363" t="s">
        <v>789</v>
      </c>
      <c r="F864" s="362" t="s">
        <v>790</v>
      </c>
      <c r="G864" s="361" t="s">
        <v>329</v>
      </c>
      <c r="H864" s="325"/>
      <c r="I864" s="327">
        <v>2</v>
      </c>
      <c r="J864" s="361" t="s">
        <v>791</v>
      </c>
      <c r="K864" s="327" t="s">
        <v>531</v>
      </c>
      <c r="L864" s="348">
        <f t="shared" si="72"/>
        <v>24090.909090909088</v>
      </c>
      <c r="M864" s="355"/>
      <c r="N864" s="355" t="str">
        <f t="shared" si="62"/>
        <v>PR</v>
      </c>
      <c r="O864" s="347"/>
      <c r="P864" s="325"/>
      <c r="Q864" s="351"/>
      <c r="R864" s="351">
        <v>0</v>
      </c>
      <c r="S864" s="351">
        <v>5.8</v>
      </c>
      <c r="T864" s="351">
        <v>7.8369905956112845E-2</v>
      </c>
      <c r="U864" s="329">
        <f>IF($N864=$N$4,IFERROR(INDEX(DanhMuc!$E$154:$E$165,MATCH(MID($B864,4,2),DanhMuc!$B$154:$B$165,0)),""),"")</f>
        <v>5800</v>
      </c>
      <c r="V864" s="325"/>
      <c r="W864" s="352" t="str">
        <f>+IF(AND($A864&lt;&gt;"",LEN($B864)&gt;=8,COUNTIF($B$6:$B864,$B864)=1),$W$5,"")</f>
        <v/>
      </c>
      <c r="X864" s="329" t="str">
        <f t="shared" si="82"/>
        <v>SL</v>
      </c>
      <c r="Y864" s="1128" t="s">
        <v>3380</v>
      </c>
      <c r="Z864" s="1128" t="s">
        <v>3381</v>
      </c>
      <c r="AA864" s="1128" t="s">
        <v>3384</v>
      </c>
      <c r="AC864" s="73"/>
    </row>
    <row r="865" spans="1:29" s="20" customFormat="1">
      <c r="A865" s="327" t="str">
        <f>IF(AND($B865&lt;&gt;"",$C865&lt;&gt;""),MAX($A$4:A864)+1,"")</f>
        <v/>
      </c>
      <c r="B865" s="361" t="s">
        <v>855</v>
      </c>
      <c r="C865" s="364"/>
      <c r="D865" s="327">
        <f>IF($B865="","",COUNTIF($B$6:$B865,$B865))</f>
        <v>4</v>
      </c>
      <c r="E865" s="361" t="s">
        <v>839</v>
      </c>
      <c r="F865" s="362" t="s">
        <v>840</v>
      </c>
      <c r="G865" s="361" t="s">
        <v>329</v>
      </c>
      <c r="H865" s="325"/>
      <c r="I865" s="327">
        <v>8</v>
      </c>
      <c r="J865" s="361" t="s">
        <v>856</v>
      </c>
      <c r="K865" s="327" t="s">
        <v>516</v>
      </c>
      <c r="L865" s="348">
        <f t="shared" si="72"/>
        <v>387324</v>
      </c>
      <c r="M865" s="355"/>
      <c r="N865" s="355" t="str">
        <f t="shared" si="62"/>
        <v>PR</v>
      </c>
      <c r="O865" s="345"/>
      <c r="P865" s="325"/>
      <c r="Q865" s="351"/>
      <c r="R865" s="351">
        <v>0</v>
      </c>
      <c r="S865" s="351">
        <v>5.8</v>
      </c>
      <c r="T865" s="351">
        <v>1.26</v>
      </c>
      <c r="U865" s="329">
        <f>IF($N865=$N$4,IFERROR(INDEX(DanhMuc!$E$154:$E$165,MATCH(MID($B865,4,2),DanhMuc!$B$154:$B$165,0)),""),"")</f>
        <v>5800</v>
      </c>
      <c r="V865" s="325"/>
      <c r="W865" s="352" t="str">
        <f>+IF(AND($A865&lt;&gt;"",LEN($B865)&gt;=8,COUNTIF($B$6:$B865,$B865)=1),$W$5,"")</f>
        <v/>
      </c>
      <c r="X865" s="329" t="str">
        <f t="shared" si="82"/>
        <v>SL</v>
      </c>
      <c r="Y865" s="1128" t="s">
        <v>3380</v>
      </c>
      <c r="Z865" s="1128" t="s">
        <v>3381</v>
      </c>
      <c r="AA865" s="1128" t="s">
        <v>3384</v>
      </c>
      <c r="AC865" s="73"/>
    </row>
    <row r="866" spans="1:29" s="20" customFormat="1">
      <c r="A866" s="327" t="str">
        <f>IF(AND($B866&lt;&gt;"",$C866&lt;&gt;""),MAX($A$4:A865)+1,"")</f>
        <v/>
      </c>
      <c r="B866" s="361" t="s">
        <v>855</v>
      </c>
      <c r="C866" s="364"/>
      <c r="D866" s="327">
        <f>IF($B866="","",COUNTIF($B$6:$B866,$B866))</f>
        <v>5</v>
      </c>
      <c r="E866" s="361" t="s">
        <v>839</v>
      </c>
      <c r="F866" s="362" t="s">
        <v>840</v>
      </c>
      <c r="G866" s="361" t="s">
        <v>328</v>
      </c>
      <c r="H866" s="325"/>
      <c r="I866" s="327">
        <v>8</v>
      </c>
      <c r="J866" s="361" t="s">
        <v>793</v>
      </c>
      <c r="K866" s="327" t="s">
        <v>516</v>
      </c>
      <c r="L866" s="348">
        <f t="shared" si="72"/>
        <v>387324</v>
      </c>
      <c r="M866" s="355"/>
      <c r="N866" s="355" t="str">
        <f t="shared" si="62"/>
        <v>PR</v>
      </c>
      <c r="O866" s="345"/>
      <c r="P866" s="325"/>
      <c r="Q866" s="351"/>
      <c r="R866" s="351">
        <v>0</v>
      </c>
      <c r="S866" s="351">
        <v>5.8</v>
      </c>
      <c r="T866" s="351">
        <v>1.26</v>
      </c>
      <c r="U866" s="329">
        <f>IF($N866=$N$4,IFERROR(INDEX(DanhMuc!$E$154:$E$165,MATCH(MID($B866,4,2),DanhMuc!$B$154:$B$165,0)),""),"")</f>
        <v>5800</v>
      </c>
      <c r="V866" s="325"/>
      <c r="W866" s="352" t="str">
        <f>+IF(AND($A866&lt;&gt;"",LEN($B866)&gt;=8,COUNTIF($B$6:$B866,$B866)=1),$W$5,"")</f>
        <v/>
      </c>
      <c r="X866" s="329" t="str">
        <f t="shared" si="82"/>
        <v>SL</v>
      </c>
      <c r="Y866" s="1128" t="s">
        <v>3380</v>
      </c>
      <c r="Z866" s="1128" t="s">
        <v>3381</v>
      </c>
      <c r="AA866" s="1128" t="s">
        <v>3384</v>
      </c>
      <c r="AC866" s="73"/>
    </row>
    <row r="867" spans="1:29" s="20" customFormat="1">
      <c r="A867" s="327" t="str">
        <f>IF(AND($B867&lt;&gt;"",$C867&lt;&gt;""),MAX($A$4:A865)+1,"")</f>
        <v/>
      </c>
      <c r="B867" s="361" t="s">
        <v>855</v>
      </c>
      <c r="C867" s="364"/>
      <c r="D867" s="327">
        <f>IF($B867="","",COUNTIF($B$6:$B867,$B867))</f>
        <v>6</v>
      </c>
      <c r="E867" s="361" t="s">
        <v>2079</v>
      </c>
      <c r="F867" s="362" t="s">
        <v>2064</v>
      </c>
      <c r="G867" s="361" t="s">
        <v>328</v>
      </c>
      <c r="H867" s="325"/>
      <c r="I867" s="327">
        <v>1</v>
      </c>
      <c r="J867" s="361" t="s">
        <v>796</v>
      </c>
      <c r="K867" s="327" t="s">
        <v>531</v>
      </c>
      <c r="L867" s="348">
        <f t="shared" si="72"/>
        <v>144478</v>
      </c>
      <c r="M867" s="355"/>
      <c r="N867" s="355" t="str">
        <f t="shared" ref="N867" si="86">+$N$4</f>
        <v>PR</v>
      </c>
      <c r="O867" s="345"/>
      <c r="P867" s="325"/>
      <c r="Q867" s="351"/>
      <c r="R867" s="351">
        <v>0</v>
      </c>
      <c r="S867" s="351">
        <v>5.8</v>
      </c>
      <c r="T867" s="351">
        <v>0.47</v>
      </c>
      <c r="U867" s="329">
        <f>IF($N867=$N$4,IFERROR(INDEX(DanhMuc!$E$154:$E$165,MATCH(MID($B867,4,2),DanhMuc!$B$154:$B$165,0)),""),"")</f>
        <v>5800</v>
      </c>
      <c r="V867" s="325"/>
      <c r="W867" s="352" t="str">
        <f>+IF(AND($A867&lt;&gt;"",LEN($B867)&gt;=8,COUNTIF($B$6:$B867,$B867)=1),$W$5,"")</f>
        <v/>
      </c>
      <c r="X867" s="329" t="str">
        <f t="shared" si="82"/>
        <v>SL</v>
      </c>
      <c r="Y867" s="1128" t="s">
        <v>3380</v>
      </c>
      <c r="Z867" s="1128" t="s">
        <v>3381</v>
      </c>
      <c r="AA867" s="1128" t="s">
        <v>3384</v>
      </c>
      <c r="AC867" s="73"/>
    </row>
    <row r="868" spans="1:29" s="20" customFormat="1">
      <c r="A868" s="327" t="str">
        <f>IF(AND($B868&lt;&gt;"",$C868&lt;&gt;""),MAX($A$4:A866)+1,"")</f>
        <v/>
      </c>
      <c r="B868" s="361" t="s">
        <v>855</v>
      </c>
      <c r="C868" s="364"/>
      <c r="D868" s="327">
        <f>IF($B868="","",COUNTIF($B$6:$B868,$B868))</f>
        <v>7</v>
      </c>
      <c r="E868" s="361" t="s">
        <v>841</v>
      </c>
      <c r="F868" s="362" t="s">
        <v>842</v>
      </c>
      <c r="G868" s="361" t="s">
        <v>328</v>
      </c>
      <c r="H868" s="325"/>
      <c r="I868" s="327">
        <v>4</v>
      </c>
      <c r="J868" s="361" t="s">
        <v>796</v>
      </c>
      <c r="K868" s="327" t="s">
        <v>531</v>
      </c>
      <c r="L868" s="348">
        <f t="shared" si="72"/>
        <v>82998</v>
      </c>
      <c r="M868" s="355"/>
      <c r="N868" s="355" t="str">
        <f t="shared" si="62"/>
        <v>PR</v>
      </c>
      <c r="O868" s="345"/>
      <c r="P868" s="325"/>
      <c r="Q868" s="351"/>
      <c r="R868" s="351">
        <v>0</v>
      </c>
      <c r="S868" s="351">
        <v>5.8</v>
      </c>
      <c r="T868" s="351">
        <v>0.27</v>
      </c>
      <c r="U868" s="329">
        <f>IF($N868=$N$4,IFERROR(INDEX(DanhMuc!$E$154:$E$165,MATCH(MID($B868,4,2),DanhMuc!$B$154:$B$165,0)),""),"")</f>
        <v>5800</v>
      </c>
      <c r="V868" s="325"/>
      <c r="W868" s="352" t="str">
        <f>+IF(AND($A868&lt;&gt;"",LEN($B868)&gt;=8,COUNTIF($B$6:$B868,$B868)=1),$W$5,"")</f>
        <v/>
      </c>
      <c r="X868" s="329" t="str">
        <f t="shared" si="82"/>
        <v>SL</v>
      </c>
      <c r="Y868" s="1128" t="s">
        <v>3380</v>
      </c>
      <c r="Z868" s="1128" t="s">
        <v>3381</v>
      </c>
      <c r="AA868" s="1128" t="s">
        <v>3384</v>
      </c>
      <c r="AC868" s="73"/>
    </row>
    <row r="869" spans="1:29" s="20" customFormat="1">
      <c r="A869" s="327" t="str">
        <f>IF(AND($B869&lt;&gt;"",$C869&lt;&gt;""),MAX($A$4:A868)+1,"")</f>
        <v/>
      </c>
      <c r="B869" s="361" t="s">
        <v>855</v>
      </c>
      <c r="C869" s="364"/>
      <c r="D869" s="327">
        <f>IF($B869="","",COUNTIF($B$6:$B869,$B869))</f>
        <v>8</v>
      </c>
      <c r="E869" s="361" t="s">
        <v>947</v>
      </c>
      <c r="F869" s="362" t="s">
        <v>948</v>
      </c>
      <c r="G869" s="361" t="s">
        <v>329</v>
      </c>
      <c r="H869" s="325"/>
      <c r="I869" s="327">
        <v>8</v>
      </c>
      <c r="J869" s="361" t="s">
        <v>857</v>
      </c>
      <c r="K869" s="327" t="s">
        <v>516</v>
      </c>
      <c r="L869" s="348">
        <f t="shared" si="72"/>
        <v>69165</v>
      </c>
      <c r="M869" s="355"/>
      <c r="N869" s="355" t="str">
        <f t="shared" si="62"/>
        <v>PR</v>
      </c>
      <c r="O869" s="347">
        <v>7</v>
      </c>
      <c r="P869" s="325"/>
      <c r="Q869" s="351"/>
      <c r="R869" s="351">
        <v>0</v>
      </c>
      <c r="S869" s="351">
        <v>5.8</v>
      </c>
      <c r="T869" s="351">
        <v>0.22500000000000001</v>
      </c>
      <c r="U869" s="329">
        <f>IF($N869=$N$4,IFERROR(INDEX(DanhMuc!$E$154:$E$165,MATCH(MID($B869,4,2),DanhMuc!$B$154:$B$165,0)),""),"")</f>
        <v>5800</v>
      </c>
      <c r="V869" s="325"/>
      <c r="W869" s="352" t="str">
        <f>+IF(AND($A869&lt;&gt;"",LEN($B869)&gt;=8,COUNTIF($B$6:$B869,$B869)=1),$W$5,"")</f>
        <v/>
      </c>
      <c r="X869" s="329" t="str">
        <f t="shared" si="82"/>
        <v>SL</v>
      </c>
      <c r="Y869" s="1128" t="s">
        <v>3380</v>
      </c>
      <c r="Z869" s="1128" t="s">
        <v>3381</v>
      </c>
      <c r="AA869" s="1128" t="s">
        <v>3384</v>
      </c>
      <c r="AC869" s="73"/>
    </row>
    <row r="870" spans="1:29" s="20" customFormat="1">
      <c r="A870" s="327" t="str">
        <f>IF(AND($B870&lt;&gt;"",$C870&lt;&gt;""),MAX($A$4:A869)+1,"")</f>
        <v/>
      </c>
      <c r="B870" s="361" t="s">
        <v>855</v>
      </c>
      <c r="C870" s="364"/>
      <c r="D870" s="327">
        <f>IF($B870="","",COUNTIF($B$6:$B870,$B870))</f>
        <v>9</v>
      </c>
      <c r="E870" s="361" t="s">
        <v>947</v>
      </c>
      <c r="F870" s="362" t="s">
        <v>948</v>
      </c>
      <c r="G870" s="361" t="s">
        <v>328</v>
      </c>
      <c r="H870" s="325"/>
      <c r="I870" s="327">
        <v>8</v>
      </c>
      <c r="J870" s="361" t="s">
        <v>846</v>
      </c>
      <c r="K870" s="327" t="s">
        <v>516</v>
      </c>
      <c r="L870" s="348">
        <f t="shared" si="72"/>
        <v>69165</v>
      </c>
      <c r="M870" s="355"/>
      <c r="N870" s="355" t="str">
        <f t="shared" si="62"/>
        <v>PR</v>
      </c>
      <c r="O870" s="347">
        <v>7</v>
      </c>
      <c r="P870" s="325"/>
      <c r="Q870" s="351"/>
      <c r="R870" s="351">
        <v>0</v>
      </c>
      <c r="S870" s="351">
        <v>5.8</v>
      </c>
      <c r="T870" s="351">
        <v>0.22500000000000001</v>
      </c>
      <c r="U870" s="329">
        <f>IF($N870=$N$4,IFERROR(INDEX(DanhMuc!$E$154:$E$165,MATCH(MID($B870,4,2),DanhMuc!$B$154:$B$165,0)),""),"")</f>
        <v>5800</v>
      </c>
      <c r="V870" s="325"/>
      <c r="W870" s="352" t="str">
        <f>+IF(AND($A870&lt;&gt;"",LEN($B870)&gt;=8,COUNTIF($B$6:$B870,$B870)=1),$W$5,"")</f>
        <v/>
      </c>
      <c r="X870" s="329" t="str">
        <f t="shared" si="82"/>
        <v>SL</v>
      </c>
      <c r="Y870" s="1128" t="s">
        <v>3380</v>
      </c>
      <c r="Z870" s="1128" t="s">
        <v>3381</v>
      </c>
      <c r="AA870" s="1128" t="s">
        <v>3384</v>
      </c>
      <c r="AC870" s="73"/>
    </row>
    <row r="871" spans="1:29" s="20" customFormat="1">
      <c r="A871" s="327" t="str">
        <f>IF(AND($B871&lt;&gt;"",$C871&lt;&gt;""),MAX($A$4:A870)+1,"")</f>
        <v/>
      </c>
      <c r="B871" s="361" t="s">
        <v>855</v>
      </c>
      <c r="C871" s="364"/>
      <c r="D871" s="327">
        <f>IF($B871="","",COUNTIF($B$6:$B871,$B871))</f>
        <v>10</v>
      </c>
      <c r="E871" s="361" t="s">
        <v>894</v>
      </c>
      <c r="F871" s="362" t="s">
        <v>949</v>
      </c>
      <c r="G871" s="361" t="s">
        <v>329</v>
      </c>
      <c r="H871" s="325"/>
      <c r="I871" s="327">
        <v>8</v>
      </c>
      <c r="J871" s="361" t="s">
        <v>857</v>
      </c>
      <c r="K871" s="327" t="s">
        <v>516</v>
      </c>
      <c r="L871" s="348">
        <f t="shared" si="72"/>
        <v>64554</v>
      </c>
      <c r="M871" s="355"/>
      <c r="N871" s="355" t="str">
        <f t="shared" si="62"/>
        <v>PR</v>
      </c>
      <c r="O871" s="347">
        <v>11</v>
      </c>
      <c r="P871" s="325"/>
      <c r="Q871" s="351"/>
      <c r="R871" s="351">
        <v>0</v>
      </c>
      <c r="S871" s="351">
        <v>5.8</v>
      </c>
      <c r="T871" s="351">
        <v>0.21</v>
      </c>
      <c r="U871" s="329">
        <f>IF($N871=$N$4,IFERROR(INDEX(DanhMuc!$E$154:$E$165,MATCH(MID($B871,4,2),DanhMuc!$B$154:$B$165,0)),""),"")</f>
        <v>5800</v>
      </c>
      <c r="V871" s="325"/>
      <c r="W871" s="352" t="str">
        <f>+IF(AND($A871&lt;&gt;"",LEN($B871)&gt;=8,COUNTIF($B$6:$B871,$B871)=1),$W$5,"")</f>
        <v/>
      </c>
      <c r="X871" s="329" t="str">
        <f t="shared" si="82"/>
        <v>SL</v>
      </c>
      <c r="Y871" s="1128" t="s">
        <v>3380</v>
      </c>
      <c r="Z871" s="1128" t="s">
        <v>3381</v>
      </c>
      <c r="AA871" s="1128" t="s">
        <v>3384</v>
      </c>
      <c r="AC871" s="73"/>
    </row>
    <row r="872" spans="1:29" s="20" customFormat="1">
      <c r="A872" s="327" t="str">
        <f>IF(AND($B872&lt;&gt;"",$C872&lt;&gt;""),MAX($A$4:A871)+1,"")</f>
        <v/>
      </c>
      <c r="B872" s="361" t="s">
        <v>855</v>
      </c>
      <c r="C872" s="364"/>
      <c r="D872" s="327">
        <f>IF($B872="","",COUNTIF($B$6:$B872,$B872))</f>
        <v>11</v>
      </c>
      <c r="E872" s="361" t="s">
        <v>894</v>
      </c>
      <c r="F872" s="362" t="s">
        <v>949</v>
      </c>
      <c r="G872" s="361" t="s">
        <v>328</v>
      </c>
      <c r="H872" s="325"/>
      <c r="I872" s="327">
        <v>8</v>
      </c>
      <c r="J872" s="361" t="s">
        <v>846</v>
      </c>
      <c r="K872" s="327" t="s">
        <v>516</v>
      </c>
      <c r="L872" s="348">
        <f t="shared" si="72"/>
        <v>64554</v>
      </c>
      <c r="M872" s="355"/>
      <c r="N872" s="355" t="str">
        <f t="shared" si="62"/>
        <v>PR</v>
      </c>
      <c r="O872" s="347">
        <v>11</v>
      </c>
      <c r="P872" s="325"/>
      <c r="Q872" s="351"/>
      <c r="R872" s="351">
        <v>0</v>
      </c>
      <c r="S872" s="351">
        <v>5.8</v>
      </c>
      <c r="T872" s="351">
        <v>0.21</v>
      </c>
      <c r="U872" s="329">
        <f>IF($N872=$N$4,IFERROR(INDEX(DanhMuc!$E$154:$E$165,MATCH(MID($B872,4,2),DanhMuc!$B$154:$B$165,0)),""),"")</f>
        <v>5800</v>
      </c>
      <c r="V872" s="325"/>
      <c r="W872" s="352" t="str">
        <f>+IF(AND($A872&lt;&gt;"",LEN($B872)&gt;=8,COUNTIF($B$6:$B872,$B872)=1),$W$5,"")</f>
        <v/>
      </c>
      <c r="X872" s="329" t="str">
        <f t="shared" si="82"/>
        <v>SL</v>
      </c>
      <c r="Y872" s="1128" t="s">
        <v>3380</v>
      </c>
      <c r="Z872" s="1128" t="s">
        <v>3381</v>
      </c>
      <c r="AA872" s="1128" t="s">
        <v>3384</v>
      </c>
      <c r="AC872" s="73"/>
    </row>
    <row r="873" spans="1:29" s="20" customFormat="1">
      <c r="A873" s="327" t="str">
        <f>IF(AND($B873&lt;&gt;"",$C873&lt;&gt;""),MAX($A$4:A872)+1,"")</f>
        <v/>
      </c>
      <c r="B873" s="361" t="s">
        <v>855</v>
      </c>
      <c r="C873" s="364"/>
      <c r="D873" s="327">
        <f>IF($B873="","",COUNTIF($B$6:$B873,$B873))</f>
        <v>12</v>
      </c>
      <c r="E873" s="361" t="s">
        <v>946</v>
      </c>
      <c r="F873" s="362" t="s">
        <v>383</v>
      </c>
      <c r="G873" s="361" t="s">
        <v>329</v>
      </c>
      <c r="H873" s="325"/>
      <c r="I873" s="327">
        <v>8</v>
      </c>
      <c r="J873" s="361" t="s">
        <v>857</v>
      </c>
      <c r="K873" s="327" t="s">
        <v>516</v>
      </c>
      <c r="L873" s="348">
        <f t="shared" si="72"/>
        <v>46110</v>
      </c>
      <c r="M873" s="355"/>
      <c r="N873" s="355" t="str">
        <f t="shared" ref="N873:N874" si="87">+$N$4</f>
        <v>PR</v>
      </c>
      <c r="O873" s="347">
        <v>19</v>
      </c>
      <c r="P873" s="325"/>
      <c r="Q873" s="351"/>
      <c r="R873" s="351">
        <v>0</v>
      </c>
      <c r="S873" s="351">
        <v>5.8</v>
      </c>
      <c r="T873" s="351">
        <v>0.15</v>
      </c>
      <c r="U873" s="329">
        <f>IF($N873=$N$4,IFERROR(INDEX(DanhMuc!$E$154:$E$165,MATCH(MID($B873,4,2),DanhMuc!$B$154:$B$165,0)),""),"")</f>
        <v>5800</v>
      </c>
      <c r="V873" s="325"/>
      <c r="W873" s="352" t="str">
        <f>+IF(AND($A873&lt;&gt;"",LEN($B873)&gt;=8,COUNTIF($B$6:$B873,$B873)=1),$W$5,"")</f>
        <v/>
      </c>
      <c r="X873" s="329" t="str">
        <f t="shared" si="82"/>
        <v>SL</v>
      </c>
      <c r="Y873" s="1128" t="s">
        <v>3380</v>
      </c>
      <c r="Z873" s="1128" t="s">
        <v>3381</v>
      </c>
      <c r="AA873" s="1128" t="s">
        <v>3384</v>
      </c>
      <c r="AC873" s="73"/>
    </row>
    <row r="874" spans="1:29" s="20" customFormat="1">
      <c r="A874" s="327" t="str">
        <f>IF(AND($B874&lt;&gt;"",$C874&lt;&gt;""),MAX($A$4:A873)+1,"")</f>
        <v/>
      </c>
      <c r="B874" s="361" t="s">
        <v>855</v>
      </c>
      <c r="C874" s="364"/>
      <c r="D874" s="327">
        <f>IF($B874="","",COUNTIF($B$6:$B874,$B874))</f>
        <v>13</v>
      </c>
      <c r="E874" s="361" t="s">
        <v>946</v>
      </c>
      <c r="F874" s="362" t="s">
        <v>383</v>
      </c>
      <c r="G874" s="361" t="s">
        <v>328</v>
      </c>
      <c r="H874" s="325"/>
      <c r="I874" s="327">
        <v>8</v>
      </c>
      <c r="J874" s="361" t="s">
        <v>846</v>
      </c>
      <c r="K874" s="327" t="s">
        <v>516</v>
      </c>
      <c r="L874" s="348">
        <f t="shared" si="72"/>
        <v>46110</v>
      </c>
      <c r="M874" s="355"/>
      <c r="N874" s="355" t="str">
        <f t="shared" si="87"/>
        <v>PR</v>
      </c>
      <c r="O874" s="347">
        <v>19</v>
      </c>
      <c r="P874" s="325"/>
      <c r="Q874" s="351"/>
      <c r="R874" s="351">
        <v>0</v>
      </c>
      <c r="S874" s="351">
        <v>5.8</v>
      </c>
      <c r="T874" s="351">
        <v>0.15</v>
      </c>
      <c r="U874" s="329">
        <f>IF($N874=$N$4,IFERROR(INDEX(DanhMuc!$E$154:$E$165,MATCH(MID($B874,4,2),DanhMuc!$B$154:$B$165,0)),""),"")</f>
        <v>5800</v>
      </c>
      <c r="V874" s="325"/>
      <c r="W874" s="352" t="str">
        <f>+IF(AND($A874&lt;&gt;"",LEN($B874)&gt;=8,COUNTIF($B$6:$B874,$B874)=1),$W$5,"")</f>
        <v/>
      </c>
      <c r="X874" s="329" t="str">
        <f t="shared" si="82"/>
        <v>SL</v>
      </c>
      <c r="Y874" s="1128" t="s">
        <v>3380</v>
      </c>
      <c r="Z874" s="1128" t="s">
        <v>3381</v>
      </c>
      <c r="AA874" s="1128" t="s">
        <v>3384</v>
      </c>
      <c r="AC874" s="73"/>
    </row>
    <row r="875" spans="1:29" s="20" customFormat="1">
      <c r="A875" s="327" t="str">
        <f>IF(AND($B875&lt;&gt;"",$C875&lt;&gt;""),MAX($A$4:A874)+1,"")</f>
        <v/>
      </c>
      <c r="B875" s="361" t="s">
        <v>855</v>
      </c>
      <c r="C875" s="364"/>
      <c r="D875" s="327">
        <f>IF($B875="","",COUNTIF($B$6:$B875,$B875))</f>
        <v>14</v>
      </c>
      <c r="E875" s="361" t="s">
        <v>2293</v>
      </c>
      <c r="F875" s="362" t="s">
        <v>806</v>
      </c>
      <c r="G875" s="361" t="s">
        <v>329</v>
      </c>
      <c r="H875" s="328" t="s">
        <v>536</v>
      </c>
      <c r="I875" s="327">
        <v>2</v>
      </c>
      <c r="J875" s="361" t="s">
        <v>1211</v>
      </c>
      <c r="K875" s="327" t="s">
        <v>531</v>
      </c>
      <c r="L875" s="348">
        <f t="shared" si="72"/>
        <v>203999.99999999997</v>
      </c>
      <c r="M875" s="355"/>
      <c r="N875" s="355" t="str">
        <f t="shared" si="62"/>
        <v>PR</v>
      </c>
      <c r="O875" s="345"/>
      <c r="P875" s="325"/>
      <c r="Q875" s="351"/>
      <c r="R875" s="351">
        <v>1.5</v>
      </c>
      <c r="S875" s="351">
        <v>5.8</v>
      </c>
      <c r="T875" s="351">
        <f t="shared" ref="T875:T876" si="88">6.8/S875</f>
        <v>1.1724137931034482</v>
      </c>
      <c r="U875" s="329">
        <f>IF($N875=$N$4,IFERROR(INDEX(DanhMuc!$E$154:$E$165,MATCH(MID($B875,4,2),DanhMuc!$B$154:$B$165,0)),""),"")</f>
        <v>5800</v>
      </c>
      <c r="V875" s="325"/>
      <c r="W875" s="352" t="str">
        <f>+IF(AND($A875&lt;&gt;"",LEN($B875)&gt;=8,COUNTIF($B$6:$B875,$B875)=1),$W$5,"")</f>
        <v/>
      </c>
      <c r="X875" s="329" t="str">
        <f t="shared" si="82"/>
        <v>TSL</v>
      </c>
      <c r="Y875" s="1128" t="s">
        <v>3380</v>
      </c>
      <c r="Z875" s="1128" t="s">
        <v>3381</v>
      </c>
      <c r="AA875" s="1128" t="s">
        <v>3384</v>
      </c>
      <c r="AC875" s="73"/>
    </row>
    <row r="876" spans="1:29" s="20" customFormat="1">
      <c r="A876" s="327" t="str">
        <f>IF(AND($B876&lt;&gt;"",$C876&lt;&gt;""),MAX($A$4:A875)+1,"")</f>
        <v/>
      </c>
      <c r="B876" s="361" t="s">
        <v>855</v>
      </c>
      <c r="C876" s="364"/>
      <c r="D876" s="327">
        <f>IF($B876="","",COUNTIF($B$6:$B876,$B876))</f>
        <v>15</v>
      </c>
      <c r="E876" s="361" t="s">
        <v>2293</v>
      </c>
      <c r="F876" s="362" t="s">
        <v>806</v>
      </c>
      <c r="G876" s="361" t="s">
        <v>328</v>
      </c>
      <c r="H876" s="328" t="s">
        <v>536</v>
      </c>
      <c r="I876" s="327">
        <v>2</v>
      </c>
      <c r="J876" s="361" t="s">
        <v>1212</v>
      </c>
      <c r="K876" s="327" t="s">
        <v>531</v>
      </c>
      <c r="L876" s="348">
        <f t="shared" si="72"/>
        <v>203999.99999999997</v>
      </c>
      <c r="M876" s="355"/>
      <c r="N876" s="355" t="str">
        <f t="shared" si="62"/>
        <v>PR</v>
      </c>
      <c r="O876" s="345"/>
      <c r="P876" s="325"/>
      <c r="Q876" s="351"/>
      <c r="R876" s="351">
        <v>1.5</v>
      </c>
      <c r="S876" s="351">
        <v>5.8</v>
      </c>
      <c r="T876" s="351">
        <f t="shared" si="88"/>
        <v>1.1724137931034482</v>
      </c>
      <c r="U876" s="329">
        <f>IF($N876=$N$4,IFERROR(INDEX(DanhMuc!$E$154:$E$165,MATCH(MID($B876,4,2),DanhMuc!$B$154:$B$165,0)),""),"")</f>
        <v>5800</v>
      </c>
      <c r="V876" s="325"/>
      <c r="W876" s="352" t="str">
        <f>+IF(AND($A876&lt;&gt;"",LEN($B876)&gt;=8,COUNTIF($B$6:$B876,$B876)=1),$W$5,"")</f>
        <v/>
      </c>
      <c r="X876" s="329" t="str">
        <f t="shared" si="82"/>
        <v>TSL</v>
      </c>
      <c r="Y876" s="1128" t="s">
        <v>3380</v>
      </c>
      <c r="Z876" s="1128" t="s">
        <v>3381</v>
      </c>
      <c r="AA876" s="1128" t="s">
        <v>3384</v>
      </c>
      <c r="AC876" s="73"/>
    </row>
    <row r="877" spans="1:29" s="20" customFormat="1">
      <c r="A877" s="327" t="str">
        <f>IF(AND($B877&lt;&gt;"",$C877&lt;&gt;""),MAX($A$4:A876)+1,"")</f>
        <v/>
      </c>
      <c r="B877" s="361" t="s">
        <v>855</v>
      </c>
      <c r="C877" s="364"/>
      <c r="D877" s="327">
        <f>IF($B877="","",COUNTIF($B$6:$B877,$B877))</f>
        <v>16</v>
      </c>
      <c r="E877" s="361" t="s">
        <v>2299</v>
      </c>
      <c r="F877" s="362" t="s">
        <v>843</v>
      </c>
      <c r="G877" s="361" t="s">
        <v>329</v>
      </c>
      <c r="H877" s="328" t="s">
        <v>536</v>
      </c>
      <c r="I877" s="327">
        <v>8</v>
      </c>
      <c r="J877" s="361" t="s">
        <v>1287</v>
      </c>
      <c r="K877" s="327" t="s">
        <v>531</v>
      </c>
      <c r="L877" s="348">
        <f t="shared" si="72"/>
        <v>231000</v>
      </c>
      <c r="M877" s="355"/>
      <c r="N877" s="355" t="str">
        <f t="shared" si="62"/>
        <v>PR</v>
      </c>
      <c r="O877" s="345"/>
      <c r="P877" s="325"/>
      <c r="Q877" s="351"/>
      <c r="R877" s="351">
        <v>1.5</v>
      </c>
      <c r="S877" s="351">
        <v>5.8</v>
      </c>
      <c r="T877" s="351">
        <f t="shared" ref="T877:T878" si="89">7.7/S877</f>
        <v>1.3275862068965518</v>
      </c>
      <c r="U877" s="329">
        <f>IF($N877=$N$4,IFERROR(INDEX(DanhMuc!$E$154:$E$165,MATCH(MID($B877,4,2),DanhMuc!$B$154:$B$165,0)),""),"")</f>
        <v>5800</v>
      </c>
      <c r="V877" s="325"/>
      <c r="W877" s="352" t="str">
        <f>+IF(AND($A877&lt;&gt;"",LEN($B877)&gt;=8,COUNTIF($B$6:$B877,$B877)=1),$W$5,"")</f>
        <v/>
      </c>
      <c r="X877" s="329" t="str">
        <f t="shared" si="82"/>
        <v>TSL</v>
      </c>
      <c r="Y877" s="1128" t="s">
        <v>3380</v>
      </c>
      <c r="Z877" s="1128" t="s">
        <v>3381</v>
      </c>
      <c r="AA877" s="1128" t="s">
        <v>3384</v>
      </c>
      <c r="AC877" s="73"/>
    </row>
    <row r="878" spans="1:29" s="20" customFormat="1">
      <c r="A878" s="327" t="str">
        <f>IF(AND($B878&lt;&gt;"",$C878&lt;&gt;""),MAX($A$4:A877)+1,"")</f>
        <v/>
      </c>
      <c r="B878" s="361" t="s">
        <v>855</v>
      </c>
      <c r="C878" s="364"/>
      <c r="D878" s="327">
        <f>IF($B878="","",COUNTIF($B$6:$B878,$B878))</f>
        <v>17</v>
      </c>
      <c r="E878" s="361" t="s">
        <v>2299</v>
      </c>
      <c r="F878" s="362" t="s">
        <v>843</v>
      </c>
      <c r="G878" s="361" t="s">
        <v>328</v>
      </c>
      <c r="H878" s="328" t="s">
        <v>536</v>
      </c>
      <c r="I878" s="327">
        <v>8</v>
      </c>
      <c r="J878" s="361" t="s">
        <v>1288</v>
      </c>
      <c r="K878" s="327" t="s">
        <v>531</v>
      </c>
      <c r="L878" s="348">
        <f t="shared" si="72"/>
        <v>231000</v>
      </c>
      <c r="M878" s="355"/>
      <c r="N878" s="355" t="str">
        <f t="shared" si="62"/>
        <v>PR</v>
      </c>
      <c r="O878" s="345"/>
      <c r="P878" s="325"/>
      <c r="Q878" s="351"/>
      <c r="R878" s="351">
        <v>1.5</v>
      </c>
      <c r="S878" s="351">
        <v>5.8</v>
      </c>
      <c r="T878" s="351">
        <f t="shared" si="89"/>
        <v>1.3275862068965518</v>
      </c>
      <c r="U878" s="329">
        <f>IF($N878=$N$4,IFERROR(INDEX(DanhMuc!$E$154:$E$165,MATCH(MID($B878,4,2),DanhMuc!$B$154:$B$165,0)),""),"")</f>
        <v>5800</v>
      </c>
      <c r="V878" s="325"/>
      <c r="W878" s="352" t="str">
        <f>+IF(AND($A878&lt;&gt;"",LEN($B878)&gt;=8,COUNTIF($B$6:$B878,$B878)=1),$W$5,"")</f>
        <v/>
      </c>
      <c r="X878" s="329" t="str">
        <f t="shared" si="82"/>
        <v>TSL</v>
      </c>
      <c r="Y878" s="1128" t="s">
        <v>3380</v>
      </c>
      <c r="Z878" s="1128" t="s">
        <v>3381</v>
      </c>
      <c r="AA878" s="1128" t="s">
        <v>3384</v>
      </c>
      <c r="AC878" s="73"/>
    </row>
    <row r="879" spans="1:29" s="20" customFormat="1" ht="26">
      <c r="A879" s="327">
        <f>IF(AND($B879&lt;&gt;"",$C879&lt;&gt;""),MAX($A$4:A878)+1,"")</f>
        <v>69</v>
      </c>
      <c r="B879" s="359" t="s">
        <v>616</v>
      </c>
      <c r="C879" s="370" t="s">
        <v>1565</v>
      </c>
      <c r="D879" s="327">
        <f>IF($B879="","",COUNTIF($B$6:$B879,$B879))</f>
        <v>1</v>
      </c>
      <c r="E879" s="363" t="s">
        <v>617</v>
      </c>
      <c r="F879" s="362" t="s">
        <v>618</v>
      </c>
      <c r="G879" s="361" t="s">
        <v>329</v>
      </c>
      <c r="H879" s="325"/>
      <c r="I879" s="327">
        <v>2</v>
      </c>
      <c r="J879" s="361" t="s">
        <v>762</v>
      </c>
      <c r="K879" s="327" t="s">
        <v>516</v>
      </c>
      <c r="L879" s="348">
        <f t="shared" ref="L879:L942" si="90">+$T879*$S879*IF(IFERROR(SEARCH("THÉP",$F879,1),0)&lt;1,$L$708,$K$708)</f>
        <v>315084.99999999994</v>
      </c>
      <c r="M879" s="355"/>
      <c r="N879" s="355" t="str">
        <f t="shared" si="62"/>
        <v>PR</v>
      </c>
      <c r="O879" s="345"/>
      <c r="P879" s="325"/>
      <c r="Q879" s="351"/>
      <c r="R879" s="351">
        <v>0</v>
      </c>
      <c r="S879" s="351">
        <v>5.8</v>
      </c>
      <c r="T879" s="351">
        <v>1.0249999999999999</v>
      </c>
      <c r="U879" s="329">
        <f>IF($N879=$N$4,IFERROR(INDEX(DanhMuc!$E$154:$E$165,MATCH(MID($B879,4,2),DanhMuc!$B$154:$B$165,0)),""),"")</f>
        <v>5800</v>
      </c>
      <c r="V879" s="325"/>
      <c r="W879" s="352" t="str">
        <f>+IF(AND($A879&lt;&gt;"",LEN($B879)&gt;=8,COUNTIF($B$6:$B879,$B879)=1),$W$5,"")</f>
        <v>DMCua</v>
      </c>
      <c r="X879" s="329" t="str">
        <f t="shared" si="82"/>
        <v>SL</v>
      </c>
      <c r="Y879" s="1128" t="s">
        <v>3380</v>
      </c>
      <c r="Z879" s="1128" t="s">
        <v>3381</v>
      </c>
      <c r="AA879" s="1128" t="s">
        <v>3384</v>
      </c>
      <c r="AC879" s="73"/>
    </row>
    <row r="880" spans="1:29" s="20" customFormat="1">
      <c r="A880" s="327" t="str">
        <f>IF(AND($B880&lt;&gt;"",$C880&lt;&gt;""),MAX($A$4:A879)+1,"")</f>
        <v/>
      </c>
      <c r="B880" s="361" t="s">
        <v>616</v>
      </c>
      <c r="C880" s="364"/>
      <c r="D880" s="327">
        <f>IF($B880="","",COUNTIF($B$6:$B880,$B880))</f>
        <v>2</v>
      </c>
      <c r="E880" s="363" t="s">
        <v>617</v>
      </c>
      <c r="F880" s="362" t="s">
        <v>618</v>
      </c>
      <c r="G880" s="361" t="s">
        <v>328</v>
      </c>
      <c r="H880" s="325"/>
      <c r="I880" s="327">
        <v>2</v>
      </c>
      <c r="J880" s="361" t="s">
        <v>763</v>
      </c>
      <c r="K880" s="327" t="s">
        <v>516</v>
      </c>
      <c r="L880" s="348">
        <f t="shared" si="90"/>
        <v>315084.99999999994</v>
      </c>
      <c r="M880" s="355"/>
      <c r="N880" s="355" t="str">
        <f t="shared" si="62"/>
        <v>PR</v>
      </c>
      <c r="O880" s="347"/>
      <c r="P880" s="325"/>
      <c r="Q880" s="351"/>
      <c r="R880" s="351">
        <v>0</v>
      </c>
      <c r="S880" s="351">
        <v>5.8</v>
      </c>
      <c r="T880" s="351">
        <v>1.0249999999999999</v>
      </c>
      <c r="U880" s="329">
        <f>IF($N880=$N$4,IFERROR(INDEX(DanhMuc!$E$154:$E$165,MATCH(MID($B880,4,2),DanhMuc!$B$154:$B$165,0)),""),"")</f>
        <v>5800</v>
      </c>
      <c r="V880" s="325"/>
      <c r="W880" s="352" t="str">
        <f>+IF(AND($A880&lt;&gt;"",LEN($B880)&gt;=8,COUNTIF($B$6:$B880,$B880)=1),$W$5,"")</f>
        <v/>
      </c>
      <c r="X880" s="329" t="str">
        <f t="shared" si="82"/>
        <v>SL</v>
      </c>
      <c r="Y880" s="1128" t="s">
        <v>3380</v>
      </c>
      <c r="Z880" s="1128" t="s">
        <v>3381</v>
      </c>
      <c r="AA880" s="1128" t="s">
        <v>3384</v>
      </c>
      <c r="AC880" s="73"/>
    </row>
    <row r="881" spans="1:29" s="20" customFormat="1">
      <c r="A881" s="327" t="str">
        <f>IF(AND($B881&lt;&gt;"",$C881&lt;&gt;""),MAX($A$4:A880)+1,"")</f>
        <v/>
      </c>
      <c r="B881" s="361" t="s">
        <v>616</v>
      </c>
      <c r="C881" s="364"/>
      <c r="D881" s="327">
        <f>IF($B881="","",COUNTIF($B$6:$B881,$B881))</f>
        <v>3</v>
      </c>
      <c r="E881" s="361" t="s">
        <v>619</v>
      </c>
      <c r="F881" s="362" t="s">
        <v>620</v>
      </c>
      <c r="G881" s="361" t="s">
        <v>329</v>
      </c>
      <c r="H881" s="325"/>
      <c r="I881" s="327">
        <v>2</v>
      </c>
      <c r="J881" s="361" t="s">
        <v>764</v>
      </c>
      <c r="K881" s="327" t="s">
        <v>516</v>
      </c>
      <c r="L881" s="348">
        <f t="shared" si="90"/>
        <v>356584</v>
      </c>
      <c r="M881" s="355"/>
      <c r="N881" s="355" t="str">
        <f t="shared" si="62"/>
        <v>PR</v>
      </c>
      <c r="O881" s="345" t="s">
        <v>19</v>
      </c>
      <c r="P881" s="325"/>
      <c r="Q881" s="351"/>
      <c r="R881" s="351">
        <v>0</v>
      </c>
      <c r="S881" s="351">
        <v>5.8</v>
      </c>
      <c r="T881" s="351">
        <v>1.1599999999999999</v>
      </c>
      <c r="U881" s="329">
        <f>IF($N881=$N$4,IFERROR(INDEX(DanhMuc!$E$154:$E$165,MATCH(MID($B881,4,2),DanhMuc!$B$154:$B$165,0)),""),"")</f>
        <v>5800</v>
      </c>
      <c r="V881" s="325"/>
      <c r="W881" s="352" t="str">
        <f>+IF(AND($A881&lt;&gt;"",LEN($B881)&gt;=8,COUNTIF($B$6:$B881,$B881)=1),$W$5,"")</f>
        <v/>
      </c>
      <c r="X881" s="329" t="str">
        <f t="shared" si="82"/>
        <v>SL</v>
      </c>
      <c r="Y881" s="1128" t="s">
        <v>3380</v>
      </c>
      <c r="Z881" s="1128" t="s">
        <v>3381</v>
      </c>
      <c r="AA881" s="1128" t="s">
        <v>3384</v>
      </c>
      <c r="AC881" s="73"/>
    </row>
    <row r="882" spans="1:29" s="20" customFormat="1">
      <c r="A882" s="327" t="str">
        <f>IF(AND($B882&lt;&gt;"",$C882&lt;&gt;""),MAX($A$4:A881)+1,"")</f>
        <v/>
      </c>
      <c r="B882" s="361" t="s">
        <v>616</v>
      </c>
      <c r="C882" s="364"/>
      <c r="D882" s="327">
        <f>IF($B882="","",COUNTIF($B$6:$B882,$B882))</f>
        <v>4</v>
      </c>
      <c r="E882" s="361" t="s">
        <v>619</v>
      </c>
      <c r="F882" s="362" t="s">
        <v>620</v>
      </c>
      <c r="G882" s="361" t="s">
        <v>328</v>
      </c>
      <c r="H882" s="325"/>
      <c r="I882" s="327">
        <v>2</v>
      </c>
      <c r="J882" s="361" t="s">
        <v>765</v>
      </c>
      <c r="K882" s="327" t="s">
        <v>516</v>
      </c>
      <c r="L882" s="348">
        <f t="shared" si="90"/>
        <v>356584</v>
      </c>
      <c r="M882" s="355"/>
      <c r="N882" s="355" t="str">
        <f t="shared" si="62"/>
        <v>PR</v>
      </c>
      <c r="O882" s="345" t="s">
        <v>19</v>
      </c>
      <c r="P882" s="325"/>
      <c r="Q882" s="351"/>
      <c r="R882" s="351">
        <v>0</v>
      </c>
      <c r="S882" s="351">
        <v>5.8</v>
      </c>
      <c r="T882" s="351">
        <v>1.1599999999999999</v>
      </c>
      <c r="U882" s="329">
        <f>IF($N882=$N$4,IFERROR(INDEX(DanhMuc!$E$154:$E$165,MATCH(MID($B882,4,2),DanhMuc!$B$154:$B$165,0)),""),"")</f>
        <v>5800</v>
      </c>
      <c r="V882" s="325"/>
      <c r="W882" s="352" t="str">
        <f>+IF(AND($A882&lt;&gt;"",LEN($B882)&gt;=8,COUNTIF($B$6:$B882,$B882)=1),$W$5,"")</f>
        <v/>
      </c>
      <c r="X882" s="329" t="str">
        <f t="shared" si="82"/>
        <v>SL</v>
      </c>
      <c r="Y882" s="1128" t="s">
        <v>3380</v>
      </c>
      <c r="Z882" s="1128" t="s">
        <v>3381</v>
      </c>
      <c r="AA882" s="1128" t="s">
        <v>3384</v>
      </c>
      <c r="AC882" s="73"/>
    </row>
    <row r="883" spans="1:29" s="20" customFormat="1">
      <c r="A883" s="327" t="str">
        <f>IF(AND($B883&lt;&gt;"",$C883&lt;&gt;""),MAX($A$4:A882)+1,"")</f>
        <v/>
      </c>
      <c r="B883" s="361" t="s">
        <v>616</v>
      </c>
      <c r="C883" s="364"/>
      <c r="D883" s="327">
        <f>IF($B883="","",COUNTIF($B$6:$B883,$B883))</f>
        <v>5</v>
      </c>
      <c r="E883" s="361" t="s">
        <v>621</v>
      </c>
      <c r="F883" s="362" t="s">
        <v>622</v>
      </c>
      <c r="G883" s="361" t="s">
        <v>329</v>
      </c>
      <c r="H883" s="325"/>
      <c r="I883" s="327">
        <v>2</v>
      </c>
      <c r="J883" s="361" t="s">
        <v>764</v>
      </c>
      <c r="K883" s="327" t="s">
        <v>516</v>
      </c>
      <c r="L883" s="348">
        <f t="shared" si="90"/>
        <v>356584</v>
      </c>
      <c r="M883" s="355"/>
      <c r="N883" s="355" t="str">
        <f t="shared" si="62"/>
        <v>PR</v>
      </c>
      <c r="O883" s="345" t="s">
        <v>16</v>
      </c>
      <c r="P883" s="325"/>
      <c r="Q883" s="351"/>
      <c r="R883" s="351">
        <v>0</v>
      </c>
      <c r="S883" s="351">
        <v>5.8</v>
      </c>
      <c r="T883" s="351">
        <v>1.1599999999999999</v>
      </c>
      <c r="U883" s="329">
        <f>IF($N883=$N$4,IFERROR(INDEX(DanhMuc!$E$154:$E$165,MATCH(MID($B883,4,2),DanhMuc!$B$154:$B$165,0)),""),"")</f>
        <v>5800</v>
      </c>
      <c r="V883" s="325"/>
      <c r="W883" s="352" t="str">
        <f>+IF(AND($A883&lt;&gt;"",LEN($B883)&gt;=8,COUNTIF($B$6:$B883,$B883)=1),$W$5,"")</f>
        <v/>
      </c>
      <c r="X883" s="329" t="str">
        <f t="shared" si="82"/>
        <v>SL</v>
      </c>
      <c r="Y883" s="1128" t="s">
        <v>3380</v>
      </c>
      <c r="Z883" s="1128" t="s">
        <v>3381</v>
      </c>
      <c r="AA883" s="1128" t="s">
        <v>3384</v>
      </c>
      <c r="AC883" s="73"/>
    </row>
    <row r="884" spans="1:29" s="20" customFormat="1">
      <c r="A884" s="327" t="str">
        <f>IF(AND($B884&lt;&gt;"",$C884&lt;&gt;""),MAX($A$4:A883)+1,"")</f>
        <v/>
      </c>
      <c r="B884" s="361" t="s">
        <v>616</v>
      </c>
      <c r="C884" s="364"/>
      <c r="D884" s="327">
        <f>IF($B884="","",COUNTIF($B$6:$B884,$B884))</f>
        <v>6</v>
      </c>
      <c r="E884" s="361" t="s">
        <v>621</v>
      </c>
      <c r="F884" s="362" t="s">
        <v>622</v>
      </c>
      <c r="G884" s="361" t="s">
        <v>328</v>
      </c>
      <c r="H884" s="325"/>
      <c r="I884" s="327">
        <v>2</v>
      </c>
      <c r="J884" s="361" t="s">
        <v>765</v>
      </c>
      <c r="K884" s="327" t="s">
        <v>516</v>
      </c>
      <c r="L884" s="348">
        <f t="shared" si="90"/>
        <v>356584</v>
      </c>
      <c r="M884" s="355"/>
      <c r="N884" s="355" t="str">
        <f t="shared" si="62"/>
        <v>PR</v>
      </c>
      <c r="O884" s="345" t="s">
        <v>16</v>
      </c>
      <c r="P884" s="325"/>
      <c r="Q884" s="351"/>
      <c r="R884" s="351">
        <v>0</v>
      </c>
      <c r="S884" s="351">
        <v>5.8</v>
      </c>
      <c r="T884" s="351">
        <v>1.1599999999999999</v>
      </c>
      <c r="U884" s="329">
        <f>IF($N884=$N$4,IFERROR(INDEX(DanhMuc!$E$154:$E$165,MATCH(MID($B884,4,2),DanhMuc!$B$154:$B$165,0)),""),"")</f>
        <v>5800</v>
      </c>
      <c r="V884" s="325"/>
      <c r="W884" s="352" t="str">
        <f>+IF(AND($A884&lt;&gt;"",LEN($B884)&gt;=8,COUNTIF($B$6:$B884,$B884)=1),$W$5,"")</f>
        <v/>
      </c>
      <c r="X884" s="329" t="str">
        <f t="shared" si="82"/>
        <v>SL</v>
      </c>
      <c r="Y884" s="1128" t="s">
        <v>3380</v>
      </c>
      <c r="Z884" s="1128" t="s">
        <v>3381</v>
      </c>
      <c r="AA884" s="1128" t="s">
        <v>3384</v>
      </c>
      <c r="AC884" s="73"/>
    </row>
    <row r="885" spans="1:29" s="20" customFormat="1">
      <c r="A885" s="327" t="str">
        <f>IF(AND($B885&lt;&gt;"",$C885&lt;&gt;""),MAX($A$4:A884)+1,"")</f>
        <v/>
      </c>
      <c r="B885" s="361" t="s">
        <v>616</v>
      </c>
      <c r="C885" s="364"/>
      <c r="D885" s="327">
        <f>IF($B885="","",COUNTIF($B$6:$B885,$B885))</f>
        <v>7</v>
      </c>
      <c r="E885" s="361" t="s">
        <v>381</v>
      </c>
      <c r="F885" s="362" t="s">
        <v>896</v>
      </c>
      <c r="G885" s="361" t="s">
        <v>329</v>
      </c>
      <c r="H885" s="325"/>
      <c r="I885" s="327">
        <v>2</v>
      </c>
      <c r="J885" s="361" t="s">
        <v>766</v>
      </c>
      <c r="K885" s="327" t="s">
        <v>516</v>
      </c>
      <c r="L885" s="348">
        <f t="shared" si="90"/>
        <v>89146</v>
      </c>
      <c r="M885" s="355"/>
      <c r="N885" s="355" t="str">
        <f t="shared" si="62"/>
        <v>PR</v>
      </c>
      <c r="O885" s="347">
        <v>7</v>
      </c>
      <c r="P885" s="325"/>
      <c r="Q885" s="351"/>
      <c r="R885" s="351">
        <v>0</v>
      </c>
      <c r="S885" s="351">
        <v>5.8</v>
      </c>
      <c r="T885" s="351">
        <v>0.28999999999999998</v>
      </c>
      <c r="U885" s="329">
        <f>IF($N885=$N$4,IFERROR(INDEX(DanhMuc!$E$154:$E$165,MATCH(MID($B885,4,2),DanhMuc!$B$154:$B$165,0)),""),"")</f>
        <v>5800</v>
      </c>
      <c r="V885" s="325"/>
      <c r="W885" s="352" t="str">
        <f>+IF(AND($A885&lt;&gt;"",LEN($B885)&gt;=8,COUNTIF($B$6:$B885,$B885)=1),$W$5,"")</f>
        <v/>
      </c>
      <c r="X885" s="329" t="str">
        <f t="shared" si="82"/>
        <v>SL</v>
      </c>
      <c r="Y885" s="1128" t="s">
        <v>3380</v>
      </c>
      <c r="Z885" s="1128" t="s">
        <v>3381</v>
      </c>
      <c r="AA885" s="1128" t="s">
        <v>3384</v>
      </c>
      <c r="AC885" s="73"/>
    </row>
    <row r="886" spans="1:29" s="20" customFormat="1">
      <c r="A886" s="327" t="str">
        <f>IF(AND($B886&lt;&gt;"",$C886&lt;&gt;""),MAX($A$4:A885)+1,"")</f>
        <v/>
      </c>
      <c r="B886" s="361" t="s">
        <v>616</v>
      </c>
      <c r="C886" s="364"/>
      <c r="D886" s="327">
        <f>IF($B886="","",COUNTIF($B$6:$B886,$B886))</f>
        <v>8</v>
      </c>
      <c r="E886" s="361" t="s">
        <v>381</v>
      </c>
      <c r="F886" s="362" t="s">
        <v>896</v>
      </c>
      <c r="G886" s="361" t="s">
        <v>328</v>
      </c>
      <c r="H886" s="325"/>
      <c r="I886" s="327">
        <v>2</v>
      </c>
      <c r="J886" s="361" t="s">
        <v>767</v>
      </c>
      <c r="K886" s="327" t="s">
        <v>516</v>
      </c>
      <c r="L886" s="348">
        <f t="shared" si="90"/>
        <v>89146</v>
      </c>
      <c r="M886" s="355"/>
      <c r="N886" s="355" t="str">
        <f t="shared" si="62"/>
        <v>PR</v>
      </c>
      <c r="O886" s="347">
        <v>7</v>
      </c>
      <c r="P886" s="325"/>
      <c r="Q886" s="351"/>
      <c r="R886" s="351">
        <v>0</v>
      </c>
      <c r="S886" s="351">
        <v>5.8</v>
      </c>
      <c r="T886" s="351">
        <v>0.28999999999999998</v>
      </c>
      <c r="U886" s="329">
        <f>IF($N886=$N$4,IFERROR(INDEX(DanhMuc!$E$154:$E$165,MATCH(MID($B886,4,2),DanhMuc!$B$154:$B$165,0)),""),"")</f>
        <v>5800</v>
      </c>
      <c r="V886" s="325"/>
      <c r="W886" s="352" t="str">
        <f>+IF(AND($A886&lt;&gt;"",LEN($B886)&gt;=8,COUNTIF($B$6:$B886,$B886)=1),$W$5,"")</f>
        <v/>
      </c>
      <c r="X886" s="329" t="str">
        <f t="shared" si="82"/>
        <v>SL</v>
      </c>
      <c r="Y886" s="1128" t="s">
        <v>3380</v>
      </c>
      <c r="Z886" s="1128" t="s">
        <v>3381</v>
      </c>
      <c r="AA886" s="1128" t="s">
        <v>3384</v>
      </c>
      <c r="AC886" s="73"/>
    </row>
    <row r="887" spans="1:29" s="20" customFormat="1">
      <c r="A887" s="327" t="str">
        <f>IF(AND($B887&lt;&gt;"",$C887&lt;&gt;""),MAX($A$4:A886)+1,"")</f>
        <v/>
      </c>
      <c r="B887" s="361" t="s">
        <v>616</v>
      </c>
      <c r="C887" s="364"/>
      <c r="D887" s="327">
        <f>IF($B887="","",COUNTIF($B$6:$B887,$B887))</f>
        <v>9</v>
      </c>
      <c r="E887" s="361" t="s">
        <v>382</v>
      </c>
      <c r="F887" s="362" t="s">
        <v>897</v>
      </c>
      <c r="G887" s="361" t="s">
        <v>329</v>
      </c>
      <c r="H887" s="325"/>
      <c r="I887" s="327">
        <v>2</v>
      </c>
      <c r="J887" s="361" t="s">
        <v>766</v>
      </c>
      <c r="K887" s="327" t="s">
        <v>516</v>
      </c>
      <c r="L887" s="348">
        <f t="shared" si="90"/>
        <v>82075.8</v>
      </c>
      <c r="M887" s="355"/>
      <c r="N887" s="355" t="str">
        <f t="shared" si="62"/>
        <v>PR</v>
      </c>
      <c r="O887" s="347">
        <v>11</v>
      </c>
      <c r="P887" s="325"/>
      <c r="Q887" s="351"/>
      <c r="R887" s="351">
        <v>0</v>
      </c>
      <c r="S887" s="351">
        <v>5.8</v>
      </c>
      <c r="T887" s="351">
        <v>0.26700000000000002</v>
      </c>
      <c r="U887" s="329">
        <f>IF($N887=$N$4,IFERROR(INDEX(DanhMuc!$E$154:$E$165,MATCH(MID($B887,4,2),DanhMuc!$B$154:$B$165,0)),""),"")</f>
        <v>5800</v>
      </c>
      <c r="V887" s="325"/>
      <c r="W887" s="352" t="str">
        <f>+IF(AND($A887&lt;&gt;"",LEN($B887)&gt;=8,COUNTIF($B$6:$B887,$B887)=1),$W$5,"")</f>
        <v/>
      </c>
      <c r="X887" s="329" t="str">
        <f t="shared" si="82"/>
        <v>SL</v>
      </c>
      <c r="Y887" s="1128" t="s">
        <v>3380</v>
      </c>
      <c r="Z887" s="1128" t="s">
        <v>3381</v>
      </c>
      <c r="AA887" s="1128" t="s">
        <v>3384</v>
      </c>
      <c r="AC887" s="73"/>
    </row>
    <row r="888" spans="1:29" s="20" customFormat="1">
      <c r="A888" s="327" t="str">
        <f>IF(AND($B888&lt;&gt;"",$C888&lt;&gt;""),MAX($A$4:A887)+1,"")</f>
        <v/>
      </c>
      <c r="B888" s="361" t="s">
        <v>616</v>
      </c>
      <c r="C888" s="364"/>
      <c r="D888" s="327">
        <f>IF($B888="","",COUNTIF($B$6:$B888,$B888))</f>
        <v>10</v>
      </c>
      <c r="E888" s="361" t="s">
        <v>382</v>
      </c>
      <c r="F888" s="362" t="s">
        <v>897</v>
      </c>
      <c r="G888" s="361" t="s">
        <v>328</v>
      </c>
      <c r="H888" s="325"/>
      <c r="I888" s="327">
        <v>2</v>
      </c>
      <c r="J888" s="361" t="s">
        <v>767</v>
      </c>
      <c r="K888" s="327" t="s">
        <v>516</v>
      </c>
      <c r="L888" s="348">
        <f t="shared" si="90"/>
        <v>82075.8</v>
      </c>
      <c r="M888" s="355"/>
      <c r="N888" s="355" t="str">
        <f t="shared" si="62"/>
        <v>PR</v>
      </c>
      <c r="O888" s="347">
        <v>11</v>
      </c>
      <c r="P888" s="325"/>
      <c r="Q888" s="351"/>
      <c r="R888" s="351">
        <v>0</v>
      </c>
      <c r="S888" s="351">
        <v>5.8</v>
      </c>
      <c r="T888" s="351">
        <v>0.26700000000000002</v>
      </c>
      <c r="U888" s="329">
        <f>IF($N888=$N$4,IFERROR(INDEX(DanhMuc!$E$154:$E$165,MATCH(MID($B888,4,2),DanhMuc!$B$154:$B$165,0)),""),"")</f>
        <v>5800</v>
      </c>
      <c r="V888" s="325"/>
      <c r="W888" s="352" t="str">
        <f>+IF(AND($A888&lt;&gt;"",LEN($B888)&gt;=8,COUNTIF($B$6:$B888,$B888)=1),$W$5,"")</f>
        <v/>
      </c>
      <c r="X888" s="329" t="str">
        <f t="shared" si="82"/>
        <v>SL</v>
      </c>
      <c r="Y888" s="1128" t="s">
        <v>3380</v>
      </c>
      <c r="Z888" s="1128" t="s">
        <v>3381</v>
      </c>
      <c r="AA888" s="1128" t="s">
        <v>3384</v>
      </c>
      <c r="AC888" s="73"/>
    </row>
    <row r="889" spans="1:29" s="20" customFormat="1">
      <c r="A889" s="327" t="str">
        <f>IF(AND($B889&lt;&gt;"",$C889&lt;&gt;""),MAX($A$4:A888)+1,"")</f>
        <v/>
      </c>
      <c r="B889" s="361" t="s">
        <v>616</v>
      </c>
      <c r="C889" s="364"/>
      <c r="D889" s="327">
        <f>IF($B889="","",COUNTIF($B$6:$B889,$B889))</f>
        <v>11</v>
      </c>
      <c r="E889" s="361" t="s">
        <v>895</v>
      </c>
      <c r="F889" s="362" t="s">
        <v>2065</v>
      </c>
      <c r="G889" s="361" t="s">
        <v>329</v>
      </c>
      <c r="H889" s="325"/>
      <c r="I889" s="327">
        <v>2</v>
      </c>
      <c r="J889" s="361" t="s">
        <v>766</v>
      </c>
      <c r="K889" s="327" t="s">
        <v>516</v>
      </c>
      <c r="L889" s="348">
        <f t="shared" si="90"/>
        <v>66091</v>
      </c>
      <c r="M889" s="355"/>
      <c r="N889" s="355" t="str">
        <f t="shared" si="62"/>
        <v>PR</v>
      </c>
      <c r="O889" s="347">
        <v>19</v>
      </c>
      <c r="P889" s="325"/>
      <c r="Q889" s="351"/>
      <c r="R889" s="351">
        <v>0</v>
      </c>
      <c r="S889" s="351">
        <v>5.8</v>
      </c>
      <c r="T889" s="351">
        <v>0.215</v>
      </c>
      <c r="U889" s="329">
        <f>IF($N889=$N$4,IFERROR(INDEX(DanhMuc!$E$154:$E$165,MATCH(MID($B889,4,2),DanhMuc!$B$154:$B$165,0)),""),"")</f>
        <v>5800</v>
      </c>
      <c r="V889" s="325"/>
      <c r="W889" s="352" t="str">
        <f>+IF(AND($A889&lt;&gt;"",LEN($B889)&gt;=8,COUNTIF($B$6:$B889,$B889)=1),$W$5,"")</f>
        <v/>
      </c>
      <c r="X889" s="329" t="str">
        <f t="shared" si="82"/>
        <v>SL</v>
      </c>
      <c r="Y889" s="1128" t="s">
        <v>3380</v>
      </c>
      <c r="Z889" s="1128" t="s">
        <v>3381</v>
      </c>
      <c r="AA889" s="1128" t="s">
        <v>3384</v>
      </c>
      <c r="AC889" s="73"/>
    </row>
    <row r="890" spans="1:29" s="20" customFormat="1">
      <c r="A890" s="327" t="str">
        <f>IF(AND($B890&lt;&gt;"",$C890&lt;&gt;""),MAX($A$4:A889)+1,"")</f>
        <v/>
      </c>
      <c r="B890" s="361" t="s">
        <v>616</v>
      </c>
      <c r="C890" s="364"/>
      <c r="D890" s="327">
        <f>IF($B890="","",COUNTIF($B$6:$B890,$B890))</f>
        <v>12</v>
      </c>
      <c r="E890" s="361" t="s">
        <v>895</v>
      </c>
      <c r="F890" s="362" t="s">
        <v>2065</v>
      </c>
      <c r="G890" s="361" t="s">
        <v>328</v>
      </c>
      <c r="H890" s="325"/>
      <c r="I890" s="327">
        <v>2</v>
      </c>
      <c r="J890" s="361" t="s">
        <v>767</v>
      </c>
      <c r="K890" s="327" t="s">
        <v>516</v>
      </c>
      <c r="L890" s="348">
        <f t="shared" si="90"/>
        <v>66091</v>
      </c>
      <c r="M890" s="355"/>
      <c r="N890" s="355" t="str">
        <f t="shared" si="62"/>
        <v>PR</v>
      </c>
      <c r="O890" s="347">
        <v>19</v>
      </c>
      <c r="P890" s="325"/>
      <c r="Q890" s="351"/>
      <c r="R890" s="351">
        <v>0</v>
      </c>
      <c r="S890" s="351">
        <v>5.8</v>
      </c>
      <c r="T890" s="351">
        <v>0.215</v>
      </c>
      <c r="U890" s="329">
        <f>IF($N890=$N$4,IFERROR(INDEX(DanhMuc!$E$154:$E$165,MATCH(MID($B890,4,2),DanhMuc!$B$154:$B$165,0)),""),"")</f>
        <v>5800</v>
      </c>
      <c r="V890" s="325"/>
      <c r="W890" s="352" t="str">
        <f>+IF(AND($A890&lt;&gt;"",LEN($B890)&gt;=8,COUNTIF($B$6:$B890,$B890)=1),$W$5,"")</f>
        <v/>
      </c>
      <c r="X890" s="329" t="str">
        <f t="shared" si="82"/>
        <v>SL</v>
      </c>
      <c r="Y890" s="1128" t="s">
        <v>3380</v>
      </c>
      <c r="Z890" s="1128" t="s">
        <v>3381</v>
      </c>
      <c r="AA890" s="1128" t="s">
        <v>3384</v>
      </c>
      <c r="AC890" s="73"/>
    </row>
    <row r="891" spans="1:29" s="20" customFormat="1">
      <c r="A891" s="327" t="str">
        <f>IF(AND($B891&lt;&gt;"",$C891&lt;&gt;""),MAX($A$4:A890)+1,"")</f>
        <v/>
      </c>
      <c r="B891" s="361" t="s">
        <v>616</v>
      </c>
      <c r="C891" s="364"/>
      <c r="D891" s="327">
        <f>IF($B891="","",COUNTIF($B$6:$B891,$B891))</f>
        <v>13</v>
      </c>
      <c r="E891" s="361" t="s">
        <v>2291</v>
      </c>
      <c r="F891" s="362" t="s">
        <v>769</v>
      </c>
      <c r="G891" s="361" t="s">
        <v>329</v>
      </c>
      <c r="H891" s="328" t="s">
        <v>536</v>
      </c>
      <c r="I891" s="327">
        <v>2</v>
      </c>
      <c r="J891" s="361" t="s">
        <v>1211</v>
      </c>
      <c r="K891" s="327" t="s">
        <v>531</v>
      </c>
      <c r="L891" s="348">
        <f t="shared" si="90"/>
        <v>191999.99999999997</v>
      </c>
      <c r="M891" s="355"/>
      <c r="N891" s="355" t="str">
        <f t="shared" si="62"/>
        <v>PR</v>
      </c>
      <c r="O891" s="345"/>
      <c r="P891" s="325"/>
      <c r="Q891" s="351">
        <v>86</v>
      </c>
      <c r="R891" s="351">
        <v>1.5</v>
      </c>
      <c r="S891" s="351">
        <v>5.8</v>
      </c>
      <c r="T891" s="351">
        <f t="shared" ref="T891:T892" si="91">6.4/S891</f>
        <v>1.103448275862069</v>
      </c>
      <c r="U891" s="329">
        <f>IF($N891=$N$4,IFERROR(INDEX(DanhMuc!$E$154:$E$165,MATCH(MID($B891,4,2),DanhMuc!$B$154:$B$165,0)),""),"")</f>
        <v>5800</v>
      </c>
      <c r="V891" s="325"/>
      <c r="W891" s="352" t="str">
        <f>+IF(AND($A891&lt;&gt;"",LEN($B891)&gt;=8,COUNTIF($B$6:$B891,$B891)=1),$W$5,"")</f>
        <v/>
      </c>
      <c r="X891" s="329" t="str">
        <f t="shared" si="82"/>
        <v>TSL</v>
      </c>
      <c r="Y891" s="1128" t="s">
        <v>3380</v>
      </c>
      <c r="Z891" s="1128" t="s">
        <v>3381</v>
      </c>
      <c r="AA891" s="1128" t="s">
        <v>3384</v>
      </c>
      <c r="AC891" s="73"/>
    </row>
    <row r="892" spans="1:29" s="20" customFormat="1">
      <c r="A892" s="327" t="str">
        <f>IF(AND($B892&lt;&gt;"",$C892&lt;&gt;""),MAX($A$4:A891)+1,"")</f>
        <v/>
      </c>
      <c r="B892" s="361" t="s">
        <v>616</v>
      </c>
      <c r="C892" s="364"/>
      <c r="D892" s="327">
        <f>IF($B892="","",COUNTIF($B$6:$B892,$B892))</f>
        <v>14</v>
      </c>
      <c r="E892" s="361" t="s">
        <v>2291</v>
      </c>
      <c r="F892" s="362" t="s">
        <v>769</v>
      </c>
      <c r="G892" s="361" t="s">
        <v>328</v>
      </c>
      <c r="H892" s="328" t="s">
        <v>536</v>
      </c>
      <c r="I892" s="327">
        <v>2</v>
      </c>
      <c r="J892" s="361" t="s">
        <v>1212</v>
      </c>
      <c r="K892" s="327" t="s">
        <v>531</v>
      </c>
      <c r="L892" s="348">
        <f t="shared" si="90"/>
        <v>191999.99999999997</v>
      </c>
      <c r="M892" s="355"/>
      <c r="N892" s="355" t="str">
        <f t="shared" si="62"/>
        <v>PR</v>
      </c>
      <c r="O892" s="345"/>
      <c r="P892" s="325"/>
      <c r="Q892" s="351">
        <v>86</v>
      </c>
      <c r="R892" s="351">
        <v>1.5</v>
      </c>
      <c r="S892" s="351">
        <v>5.8</v>
      </c>
      <c r="T892" s="351">
        <f t="shared" si="91"/>
        <v>1.103448275862069</v>
      </c>
      <c r="U892" s="329">
        <f>IF($N892=$N$4,IFERROR(INDEX(DanhMuc!$E$154:$E$165,MATCH(MID($B892,4,2),DanhMuc!$B$154:$B$165,0)),""),"")</f>
        <v>5800</v>
      </c>
      <c r="V892" s="325"/>
      <c r="W892" s="352" t="str">
        <f>+IF(AND($A892&lt;&gt;"",LEN($B892)&gt;=8,COUNTIF($B$6:$B892,$B892)=1),$W$5,"")</f>
        <v/>
      </c>
      <c r="X892" s="329" t="str">
        <f t="shared" si="82"/>
        <v>TSL</v>
      </c>
      <c r="Y892" s="1128" t="s">
        <v>3380</v>
      </c>
      <c r="Z892" s="1128" t="s">
        <v>3381</v>
      </c>
      <c r="AA892" s="1128" t="s">
        <v>3384</v>
      </c>
      <c r="AC892" s="73"/>
    </row>
    <row r="893" spans="1:29" s="20" customFormat="1">
      <c r="A893" s="327" t="str">
        <f>IF(AND($B893&lt;&gt;"",$C893&lt;&gt;""),MAX($A$4:A892)+1,"")</f>
        <v/>
      </c>
      <c r="B893" s="361" t="s">
        <v>616</v>
      </c>
      <c r="C893" s="364"/>
      <c r="D893" s="327">
        <f>IF($B893="","",COUNTIF($B$6:$B893,$B893))</f>
        <v>15</v>
      </c>
      <c r="E893" s="361" t="s">
        <v>2298</v>
      </c>
      <c r="F893" s="362" t="s">
        <v>770</v>
      </c>
      <c r="G893" s="361" t="s">
        <v>329</v>
      </c>
      <c r="H893" s="328" t="s">
        <v>536</v>
      </c>
      <c r="I893" s="327">
        <v>2</v>
      </c>
      <c r="J893" s="361" t="s">
        <v>1213</v>
      </c>
      <c r="K893" s="327" t="s">
        <v>531</v>
      </c>
      <c r="L893" s="348">
        <f t="shared" si="90"/>
        <v>203999.99999999997</v>
      </c>
      <c r="M893" s="355"/>
      <c r="N893" s="355" t="str">
        <f t="shared" si="62"/>
        <v>PR</v>
      </c>
      <c r="O893" s="345"/>
      <c r="P893" s="325"/>
      <c r="Q893" s="351"/>
      <c r="R893" s="351">
        <v>1.5</v>
      </c>
      <c r="S893" s="351">
        <v>5.8</v>
      </c>
      <c r="T893" s="351">
        <f>6.8/S893</f>
        <v>1.1724137931034482</v>
      </c>
      <c r="U893" s="329">
        <f>IF($N893=$N$4,IFERROR(INDEX(DanhMuc!$E$154:$E$165,MATCH(MID($B893,4,2),DanhMuc!$B$154:$B$165,0)),""),"")</f>
        <v>5800</v>
      </c>
      <c r="V893" s="325"/>
      <c r="W893" s="352" t="str">
        <f>+IF(AND($A893&lt;&gt;"",LEN($B893)&gt;=8,COUNTIF($B$6:$B893,$B893)=1),$W$5,"")</f>
        <v/>
      </c>
      <c r="X893" s="329" t="str">
        <f t="shared" si="82"/>
        <v>TSL</v>
      </c>
      <c r="Y893" s="1128" t="s">
        <v>3380</v>
      </c>
      <c r="Z893" s="1128" t="s">
        <v>3381</v>
      </c>
      <c r="AA893" s="1128" t="s">
        <v>3384</v>
      </c>
      <c r="AC893" s="73"/>
    </row>
    <row r="894" spans="1:29" s="20" customFormat="1">
      <c r="A894" s="327" t="str">
        <f>IF(AND($B894&lt;&gt;"",$C894&lt;&gt;""),MAX($A$4:A893)+1,"")</f>
        <v/>
      </c>
      <c r="B894" s="361" t="s">
        <v>616</v>
      </c>
      <c r="C894" s="364"/>
      <c r="D894" s="327">
        <f>IF($B894="","",COUNTIF($B$6:$B894,$B894))</f>
        <v>16</v>
      </c>
      <c r="E894" s="361" t="s">
        <v>2298</v>
      </c>
      <c r="F894" s="362" t="s">
        <v>770</v>
      </c>
      <c r="G894" s="361" t="s">
        <v>328</v>
      </c>
      <c r="H894" s="328" t="s">
        <v>536</v>
      </c>
      <c r="I894" s="327">
        <v>2</v>
      </c>
      <c r="J894" s="361" t="s">
        <v>1214</v>
      </c>
      <c r="K894" s="327" t="s">
        <v>531</v>
      </c>
      <c r="L894" s="348">
        <f t="shared" si="90"/>
        <v>203999.99999999997</v>
      </c>
      <c r="M894" s="355"/>
      <c r="N894" s="355" t="str">
        <f t="shared" si="62"/>
        <v>PR</v>
      </c>
      <c r="O894" s="345"/>
      <c r="P894" s="325"/>
      <c r="Q894" s="351"/>
      <c r="R894" s="351">
        <v>1.5</v>
      </c>
      <c r="S894" s="351">
        <v>5.8</v>
      </c>
      <c r="T894" s="351">
        <f>6.8/S894</f>
        <v>1.1724137931034482</v>
      </c>
      <c r="U894" s="329">
        <f>IF($N894=$N$4,IFERROR(INDEX(DanhMuc!$E$154:$E$165,MATCH(MID($B894,4,2),DanhMuc!$B$154:$B$165,0)),""),"")</f>
        <v>5800</v>
      </c>
      <c r="V894" s="325"/>
      <c r="W894" s="352" t="str">
        <f>+IF(AND($A894&lt;&gt;"",LEN($B894)&gt;=8,COUNTIF($B$6:$B894,$B894)=1),$W$5,"")</f>
        <v/>
      </c>
      <c r="X894" s="329" t="str">
        <f t="shared" si="82"/>
        <v>TSL</v>
      </c>
      <c r="Y894" s="1128" t="s">
        <v>3380</v>
      </c>
      <c r="Z894" s="1128" t="s">
        <v>3381</v>
      </c>
      <c r="AA894" s="1128" t="s">
        <v>3384</v>
      </c>
      <c r="AC894" s="73"/>
    </row>
    <row r="895" spans="1:29" s="20" customFormat="1" ht="26">
      <c r="A895" s="327">
        <f>IF(AND($B895&lt;&gt;"",$C895&lt;&gt;""),MAX($A$4:A894)+1,"")</f>
        <v>70</v>
      </c>
      <c r="B895" s="359" t="s">
        <v>773</v>
      </c>
      <c r="C895" s="370" t="s">
        <v>1566</v>
      </c>
      <c r="D895" s="327">
        <f>IF($B895="","",COUNTIF($B$6:$B895,$B895))</f>
        <v>1</v>
      </c>
      <c r="E895" s="363" t="s">
        <v>617</v>
      </c>
      <c r="F895" s="362" t="s">
        <v>618</v>
      </c>
      <c r="G895" s="361" t="s">
        <v>329</v>
      </c>
      <c r="H895" s="325"/>
      <c r="I895" s="327">
        <v>2</v>
      </c>
      <c r="J895" s="361" t="s">
        <v>762</v>
      </c>
      <c r="K895" s="327" t="s">
        <v>516</v>
      </c>
      <c r="L895" s="348">
        <f t="shared" si="90"/>
        <v>315084.99999999994</v>
      </c>
      <c r="M895" s="355"/>
      <c r="N895" s="355" t="str">
        <f t="shared" si="62"/>
        <v>PR</v>
      </c>
      <c r="O895" s="345"/>
      <c r="P895" s="325"/>
      <c r="Q895" s="351"/>
      <c r="R895" s="351">
        <v>0</v>
      </c>
      <c r="S895" s="351">
        <v>5.8</v>
      </c>
      <c r="T895" s="351">
        <v>1.0249999999999999</v>
      </c>
      <c r="U895" s="329">
        <f>IF($N895=$N$4,IFERROR(INDEX(DanhMuc!$E$154:$E$165,MATCH(MID($B895,4,2),DanhMuc!$B$154:$B$165,0)),""),"")</f>
        <v>5800</v>
      </c>
      <c r="V895" s="325"/>
      <c r="W895" s="352" t="str">
        <f>+IF(AND($A895&lt;&gt;"",LEN($B895)&gt;=8,COUNTIF($B$6:$B895,$B895)=1),$W$5,"")</f>
        <v>DMCua</v>
      </c>
      <c r="X895" s="329" t="str">
        <f t="shared" si="82"/>
        <v>SL</v>
      </c>
      <c r="Y895" s="1128" t="s">
        <v>3380</v>
      </c>
      <c r="Z895" s="1128" t="s">
        <v>3381</v>
      </c>
      <c r="AA895" s="1128" t="s">
        <v>3384</v>
      </c>
      <c r="AC895" s="73"/>
    </row>
    <row r="896" spans="1:29" s="20" customFormat="1">
      <c r="A896" s="327" t="str">
        <f>IF(AND($B896&lt;&gt;"",$C896&lt;&gt;""),MAX($A$4:A895)+1,"")</f>
        <v/>
      </c>
      <c r="B896" s="361" t="s">
        <v>773</v>
      </c>
      <c r="C896" s="364"/>
      <c r="D896" s="327">
        <f>IF($B896="","",COUNTIF($B$6:$B896,$B896))</f>
        <v>2</v>
      </c>
      <c r="E896" s="363" t="s">
        <v>617</v>
      </c>
      <c r="F896" s="362" t="s">
        <v>618</v>
      </c>
      <c r="G896" s="361" t="s">
        <v>328</v>
      </c>
      <c r="H896" s="325"/>
      <c r="I896" s="327">
        <v>2</v>
      </c>
      <c r="J896" s="361" t="s">
        <v>763</v>
      </c>
      <c r="K896" s="327" t="s">
        <v>516</v>
      </c>
      <c r="L896" s="348">
        <f t="shared" si="90"/>
        <v>315084.99999999994</v>
      </c>
      <c r="M896" s="355"/>
      <c r="N896" s="355" t="str">
        <f t="shared" si="62"/>
        <v>PR</v>
      </c>
      <c r="O896" s="347"/>
      <c r="P896" s="325"/>
      <c r="Q896" s="351"/>
      <c r="R896" s="351">
        <v>0</v>
      </c>
      <c r="S896" s="351">
        <v>5.8</v>
      </c>
      <c r="T896" s="351">
        <v>1.0249999999999999</v>
      </c>
      <c r="U896" s="329">
        <f>IF($N896=$N$4,IFERROR(INDEX(DanhMuc!$E$154:$E$165,MATCH(MID($B896,4,2),DanhMuc!$B$154:$B$165,0)),""),"")</f>
        <v>5800</v>
      </c>
      <c r="V896" s="325"/>
      <c r="W896" s="352" t="str">
        <f>+IF(AND($A896&lt;&gt;"",LEN($B896)&gt;=8,COUNTIF($B$6:$B896,$B896)=1),$W$5,"")</f>
        <v/>
      </c>
      <c r="X896" s="329" t="str">
        <f t="shared" si="82"/>
        <v>SL</v>
      </c>
      <c r="Y896" s="1128" t="s">
        <v>3380</v>
      </c>
      <c r="Z896" s="1128" t="s">
        <v>3381</v>
      </c>
      <c r="AA896" s="1128" t="s">
        <v>3384</v>
      </c>
      <c r="AC896" s="73"/>
    </row>
    <row r="897" spans="1:29" s="20" customFormat="1">
      <c r="A897" s="327" t="str">
        <f>IF(AND($B897&lt;&gt;"",$C897&lt;&gt;""),MAX($A$4:A896)+1,"")</f>
        <v/>
      </c>
      <c r="B897" s="361" t="s">
        <v>773</v>
      </c>
      <c r="C897" s="364"/>
      <c r="D897" s="327">
        <f>IF($B897="","",COUNTIF($B$6:$B897,$B897))</f>
        <v>3</v>
      </c>
      <c r="E897" s="361" t="s">
        <v>619</v>
      </c>
      <c r="F897" s="362" t="s">
        <v>620</v>
      </c>
      <c r="G897" s="361" t="s">
        <v>329</v>
      </c>
      <c r="H897" s="325"/>
      <c r="I897" s="327">
        <v>4</v>
      </c>
      <c r="J897" s="361" t="s">
        <v>775</v>
      </c>
      <c r="K897" s="327" t="s">
        <v>516</v>
      </c>
      <c r="L897" s="348">
        <f t="shared" si="90"/>
        <v>356584</v>
      </c>
      <c r="M897" s="355"/>
      <c r="N897" s="355" t="str">
        <f t="shared" si="62"/>
        <v>PR</v>
      </c>
      <c r="O897" s="345" t="s">
        <v>19</v>
      </c>
      <c r="P897" s="325"/>
      <c r="Q897" s="351"/>
      <c r="R897" s="351">
        <v>0</v>
      </c>
      <c r="S897" s="351">
        <v>5.8</v>
      </c>
      <c r="T897" s="351">
        <v>1.1599999999999999</v>
      </c>
      <c r="U897" s="329">
        <f>IF($N897=$N$4,IFERROR(INDEX(DanhMuc!$E$154:$E$165,MATCH(MID($B897,4,2),DanhMuc!$B$154:$B$165,0)),""),"")</f>
        <v>5800</v>
      </c>
      <c r="V897" s="325"/>
      <c r="W897" s="352" t="str">
        <f>+IF(AND($A897&lt;&gt;"",LEN($B897)&gt;=8,COUNTIF($B$6:$B897,$B897)=1),$W$5,"")</f>
        <v/>
      </c>
      <c r="X897" s="329" t="str">
        <f t="shared" ref="X897:X960" si="92">IF(IFERROR(SEARCH("thép",$F897,1),0)&gt;=1,"T" &amp;MID($B897,4,2),MID($B897,4,2))</f>
        <v>SL</v>
      </c>
      <c r="Y897" s="1128" t="s">
        <v>3380</v>
      </c>
      <c r="Z897" s="1128" t="s">
        <v>3381</v>
      </c>
      <c r="AA897" s="1128" t="s">
        <v>3384</v>
      </c>
      <c r="AC897" s="73"/>
    </row>
    <row r="898" spans="1:29" s="20" customFormat="1">
      <c r="A898" s="327" t="str">
        <f>IF(AND($B898&lt;&gt;"",$C898&lt;&gt;""),MAX($A$4:A897)+1,"")</f>
        <v/>
      </c>
      <c r="B898" s="361" t="s">
        <v>773</v>
      </c>
      <c r="C898" s="364"/>
      <c r="D898" s="327">
        <f>IF($B898="","",COUNTIF($B$6:$B898,$B898))</f>
        <v>4</v>
      </c>
      <c r="E898" s="361" t="s">
        <v>619</v>
      </c>
      <c r="F898" s="362" t="s">
        <v>620</v>
      </c>
      <c r="G898" s="361" t="s">
        <v>328</v>
      </c>
      <c r="H898" s="325"/>
      <c r="I898" s="327">
        <v>4</v>
      </c>
      <c r="J898" s="361" t="s">
        <v>765</v>
      </c>
      <c r="K898" s="327" t="s">
        <v>516</v>
      </c>
      <c r="L898" s="348">
        <f t="shared" si="90"/>
        <v>356584</v>
      </c>
      <c r="M898" s="355"/>
      <c r="N898" s="355" t="str">
        <f t="shared" si="62"/>
        <v>PR</v>
      </c>
      <c r="O898" s="345" t="s">
        <v>19</v>
      </c>
      <c r="P898" s="325"/>
      <c r="Q898" s="351"/>
      <c r="R898" s="351">
        <v>0</v>
      </c>
      <c r="S898" s="351">
        <v>5.8</v>
      </c>
      <c r="T898" s="351">
        <v>1.1599999999999999</v>
      </c>
      <c r="U898" s="329">
        <f>IF($N898=$N$4,IFERROR(INDEX(DanhMuc!$E$154:$E$165,MATCH(MID($B898,4,2),DanhMuc!$B$154:$B$165,0)),""),"")</f>
        <v>5800</v>
      </c>
      <c r="V898" s="325"/>
      <c r="W898" s="352" t="str">
        <f>+IF(AND($A898&lt;&gt;"",LEN($B898)&gt;=8,COUNTIF($B$6:$B898,$B898)=1),$W$5,"")</f>
        <v/>
      </c>
      <c r="X898" s="329" t="str">
        <f t="shared" si="92"/>
        <v>SL</v>
      </c>
      <c r="Y898" s="1128" t="s">
        <v>3380</v>
      </c>
      <c r="Z898" s="1128" t="s">
        <v>3381</v>
      </c>
      <c r="AA898" s="1128" t="s">
        <v>3384</v>
      </c>
      <c r="AC898" s="73"/>
    </row>
    <row r="899" spans="1:29" s="20" customFormat="1">
      <c r="A899" s="327" t="str">
        <f>IF(AND($B899&lt;&gt;"",$C899&lt;&gt;""),MAX($A$4:A898)+1,"")</f>
        <v/>
      </c>
      <c r="B899" s="361" t="s">
        <v>773</v>
      </c>
      <c r="C899" s="364"/>
      <c r="D899" s="327">
        <f>IF($B899="","",COUNTIF($B$6:$B899,$B899))</f>
        <v>5</v>
      </c>
      <c r="E899" s="361" t="s">
        <v>621</v>
      </c>
      <c r="F899" s="362" t="s">
        <v>622</v>
      </c>
      <c r="G899" s="361" t="s">
        <v>329</v>
      </c>
      <c r="H899" s="325"/>
      <c r="I899" s="327">
        <v>4</v>
      </c>
      <c r="J899" s="361" t="s">
        <v>775</v>
      </c>
      <c r="K899" s="327" t="s">
        <v>516</v>
      </c>
      <c r="L899" s="348">
        <f t="shared" si="90"/>
        <v>356584</v>
      </c>
      <c r="M899" s="355"/>
      <c r="N899" s="355" t="str">
        <f t="shared" si="62"/>
        <v>PR</v>
      </c>
      <c r="O899" s="345" t="s">
        <v>16</v>
      </c>
      <c r="P899" s="325"/>
      <c r="Q899" s="351"/>
      <c r="R899" s="351">
        <v>0</v>
      </c>
      <c r="S899" s="351">
        <v>5.8</v>
      </c>
      <c r="T899" s="351">
        <v>1.1599999999999999</v>
      </c>
      <c r="U899" s="329">
        <f>IF($N899=$N$4,IFERROR(INDEX(DanhMuc!$E$154:$E$165,MATCH(MID($B899,4,2),DanhMuc!$B$154:$B$165,0)),""),"")</f>
        <v>5800</v>
      </c>
      <c r="V899" s="325"/>
      <c r="W899" s="352" t="str">
        <f>+IF(AND($A899&lt;&gt;"",LEN($B899)&gt;=8,COUNTIF($B$6:$B899,$B899)=1),$W$5,"")</f>
        <v/>
      </c>
      <c r="X899" s="329" t="str">
        <f t="shared" si="92"/>
        <v>SL</v>
      </c>
      <c r="Y899" s="1128" t="s">
        <v>3380</v>
      </c>
      <c r="Z899" s="1128" t="s">
        <v>3381</v>
      </c>
      <c r="AA899" s="1128" t="s">
        <v>3384</v>
      </c>
      <c r="AC899" s="73"/>
    </row>
    <row r="900" spans="1:29" s="20" customFormat="1">
      <c r="A900" s="327" t="str">
        <f>IF(AND($B900&lt;&gt;"",$C900&lt;&gt;""),MAX($A$4:A899)+1,"")</f>
        <v/>
      </c>
      <c r="B900" s="361" t="s">
        <v>773</v>
      </c>
      <c r="C900" s="364"/>
      <c r="D900" s="327">
        <f>IF($B900="","",COUNTIF($B$6:$B900,$B900))</f>
        <v>6</v>
      </c>
      <c r="E900" s="361" t="s">
        <v>621</v>
      </c>
      <c r="F900" s="362" t="s">
        <v>622</v>
      </c>
      <c r="G900" s="361" t="s">
        <v>328</v>
      </c>
      <c r="H900" s="325"/>
      <c r="I900" s="327">
        <v>4</v>
      </c>
      <c r="J900" s="361" t="s">
        <v>765</v>
      </c>
      <c r="K900" s="327" t="s">
        <v>516</v>
      </c>
      <c r="L900" s="348">
        <f t="shared" si="90"/>
        <v>356584</v>
      </c>
      <c r="M900" s="355"/>
      <c r="N900" s="355" t="str">
        <f t="shared" si="62"/>
        <v>PR</v>
      </c>
      <c r="O900" s="345" t="s">
        <v>16</v>
      </c>
      <c r="P900" s="325"/>
      <c r="Q900" s="351"/>
      <c r="R900" s="351">
        <v>0</v>
      </c>
      <c r="S900" s="351">
        <v>5.8</v>
      </c>
      <c r="T900" s="351">
        <v>1.1599999999999999</v>
      </c>
      <c r="U900" s="329">
        <f>IF($N900=$N$4,IFERROR(INDEX(DanhMuc!$E$154:$E$165,MATCH(MID($B900,4,2),DanhMuc!$B$154:$B$165,0)),""),"")</f>
        <v>5800</v>
      </c>
      <c r="V900" s="325"/>
      <c r="W900" s="352" t="str">
        <f>+IF(AND($A900&lt;&gt;"",LEN($B900)&gt;=8,COUNTIF($B$6:$B900,$B900)=1),$W$5,"")</f>
        <v/>
      </c>
      <c r="X900" s="329" t="str">
        <f t="shared" si="92"/>
        <v>SL</v>
      </c>
      <c r="Y900" s="1128" t="s">
        <v>3380</v>
      </c>
      <c r="Z900" s="1128" t="s">
        <v>3381</v>
      </c>
      <c r="AA900" s="1128" t="s">
        <v>3384</v>
      </c>
      <c r="AC900" s="73"/>
    </row>
    <row r="901" spans="1:29" s="20" customFormat="1">
      <c r="A901" s="327" t="str">
        <f>IF(AND($B901&lt;&gt;"",$C901&lt;&gt;""),MAX($A$4:A900)+1,"")</f>
        <v/>
      </c>
      <c r="B901" s="361" t="s">
        <v>773</v>
      </c>
      <c r="C901" s="364"/>
      <c r="D901" s="327">
        <f>IF($B901="","",COUNTIF($B$6:$B901,$B901))</f>
        <v>7</v>
      </c>
      <c r="E901" s="361" t="s">
        <v>776</v>
      </c>
      <c r="F901" s="362" t="s">
        <v>761</v>
      </c>
      <c r="G901" s="361" t="s">
        <v>328</v>
      </c>
      <c r="H901" s="325"/>
      <c r="I901" s="327">
        <v>1</v>
      </c>
      <c r="J901" s="361" t="s">
        <v>1278</v>
      </c>
      <c r="K901" s="327" t="s">
        <v>531</v>
      </c>
      <c r="L901" s="348">
        <f t="shared" si="90"/>
        <v>282808</v>
      </c>
      <c r="M901" s="355"/>
      <c r="N901" s="355" t="str">
        <f t="shared" si="62"/>
        <v>PR</v>
      </c>
      <c r="O901" s="345"/>
      <c r="P901" s="325"/>
      <c r="Q901" s="351"/>
      <c r="R901" s="351">
        <v>0</v>
      </c>
      <c r="S901" s="351">
        <v>5.8</v>
      </c>
      <c r="T901" s="351">
        <v>0.92</v>
      </c>
      <c r="U901" s="329">
        <f>IF($N901=$N$4,IFERROR(INDEX(DanhMuc!$E$154:$E$165,MATCH(MID($B901,4,2),DanhMuc!$B$154:$B$165,0)),""),"")</f>
        <v>5800</v>
      </c>
      <c r="V901" s="325"/>
      <c r="W901" s="352" t="str">
        <f>+IF(AND($A901&lt;&gt;"",LEN($B901)&gt;=8,COUNTIF($B$6:$B901,$B901)=1),$W$5,"")</f>
        <v/>
      </c>
      <c r="X901" s="329" t="str">
        <f t="shared" si="92"/>
        <v>SL</v>
      </c>
      <c r="Y901" s="1128" t="s">
        <v>3380</v>
      </c>
      <c r="Z901" s="1128" t="s">
        <v>3381</v>
      </c>
      <c r="AA901" s="1128" t="s">
        <v>3384</v>
      </c>
      <c r="AC901" s="73"/>
    </row>
    <row r="902" spans="1:29" s="20" customFormat="1">
      <c r="A902" s="327" t="str">
        <f>IF(AND($B902&lt;&gt;"",$C902&lt;&gt;""),MAX($A$4:A901)+1,"")</f>
        <v/>
      </c>
      <c r="B902" s="361" t="s">
        <v>773</v>
      </c>
      <c r="C902" s="364"/>
      <c r="D902" s="327">
        <f>IF($B902="","",COUNTIF($B$6:$B902,$B902))</f>
        <v>8</v>
      </c>
      <c r="E902" s="361" t="s">
        <v>381</v>
      </c>
      <c r="F902" s="362" t="s">
        <v>896</v>
      </c>
      <c r="G902" s="361" t="s">
        <v>329</v>
      </c>
      <c r="H902" s="325"/>
      <c r="I902" s="327">
        <v>4</v>
      </c>
      <c r="J902" s="361" t="s">
        <v>777</v>
      </c>
      <c r="K902" s="327" t="s">
        <v>516</v>
      </c>
      <c r="L902" s="348">
        <f t="shared" si="90"/>
        <v>89146</v>
      </c>
      <c r="M902" s="355"/>
      <c r="N902" s="355" t="str">
        <f t="shared" si="62"/>
        <v>PR</v>
      </c>
      <c r="O902" s="347">
        <v>7</v>
      </c>
      <c r="P902" s="325"/>
      <c r="Q902" s="351"/>
      <c r="R902" s="351">
        <v>0</v>
      </c>
      <c r="S902" s="351">
        <v>5.8</v>
      </c>
      <c r="T902" s="351">
        <v>0.28999999999999998</v>
      </c>
      <c r="U902" s="329">
        <f>IF($N902=$N$4,IFERROR(INDEX(DanhMuc!$E$154:$E$165,MATCH(MID($B902,4,2),DanhMuc!$B$154:$B$165,0)),""),"")</f>
        <v>5800</v>
      </c>
      <c r="V902" s="325"/>
      <c r="W902" s="352" t="str">
        <f>+IF(AND($A902&lt;&gt;"",LEN($B902)&gt;=8,COUNTIF($B$6:$B902,$B902)=1),$W$5,"")</f>
        <v/>
      </c>
      <c r="X902" s="329" t="str">
        <f t="shared" si="92"/>
        <v>SL</v>
      </c>
      <c r="Y902" s="1128" t="s">
        <v>3380</v>
      </c>
      <c r="Z902" s="1128" t="s">
        <v>3381</v>
      </c>
      <c r="AA902" s="1128" t="s">
        <v>3384</v>
      </c>
      <c r="AC902" s="73"/>
    </row>
    <row r="903" spans="1:29" s="20" customFormat="1">
      <c r="A903" s="327" t="str">
        <f>IF(AND($B903&lt;&gt;"",$C903&lt;&gt;""),MAX($A$4:A902)+1,"")</f>
        <v/>
      </c>
      <c r="B903" s="361" t="s">
        <v>773</v>
      </c>
      <c r="C903" s="364"/>
      <c r="D903" s="327">
        <f>IF($B903="","",COUNTIF($B$6:$B903,$B903))</f>
        <v>9</v>
      </c>
      <c r="E903" s="361" t="s">
        <v>381</v>
      </c>
      <c r="F903" s="362" t="s">
        <v>896</v>
      </c>
      <c r="G903" s="361" t="s">
        <v>328</v>
      </c>
      <c r="H903" s="325"/>
      <c r="I903" s="327">
        <v>4</v>
      </c>
      <c r="J903" s="361" t="s">
        <v>767</v>
      </c>
      <c r="K903" s="327" t="s">
        <v>516</v>
      </c>
      <c r="L903" s="348">
        <f t="shared" si="90"/>
        <v>89146</v>
      </c>
      <c r="M903" s="355"/>
      <c r="N903" s="355" t="str">
        <f t="shared" si="62"/>
        <v>PR</v>
      </c>
      <c r="O903" s="347">
        <v>7</v>
      </c>
      <c r="P903" s="325"/>
      <c r="Q903" s="351"/>
      <c r="R903" s="351">
        <v>0</v>
      </c>
      <c r="S903" s="351">
        <v>5.8</v>
      </c>
      <c r="T903" s="351">
        <v>0.28999999999999998</v>
      </c>
      <c r="U903" s="329">
        <f>IF($N903=$N$4,IFERROR(INDEX(DanhMuc!$E$154:$E$165,MATCH(MID($B903,4,2),DanhMuc!$B$154:$B$165,0)),""),"")</f>
        <v>5800</v>
      </c>
      <c r="V903" s="325"/>
      <c r="W903" s="352" t="str">
        <f>+IF(AND($A903&lt;&gt;"",LEN($B903)&gt;=8,COUNTIF($B$6:$B903,$B903)=1),$W$5,"")</f>
        <v/>
      </c>
      <c r="X903" s="329" t="str">
        <f t="shared" si="92"/>
        <v>SL</v>
      </c>
      <c r="Y903" s="1128" t="s">
        <v>3380</v>
      </c>
      <c r="Z903" s="1128" t="s">
        <v>3381</v>
      </c>
      <c r="AA903" s="1128" t="s">
        <v>3384</v>
      </c>
      <c r="AC903" s="73"/>
    </row>
    <row r="904" spans="1:29" s="20" customFormat="1">
      <c r="A904" s="327" t="str">
        <f>IF(AND($B904&lt;&gt;"",$C904&lt;&gt;""),MAX($A$4:A903)+1,"")</f>
        <v/>
      </c>
      <c r="B904" s="361" t="s">
        <v>773</v>
      </c>
      <c r="C904" s="364"/>
      <c r="D904" s="327">
        <f>IF($B904="","",COUNTIF($B$6:$B904,$B904))</f>
        <v>10</v>
      </c>
      <c r="E904" s="361" t="s">
        <v>382</v>
      </c>
      <c r="F904" s="362" t="s">
        <v>897</v>
      </c>
      <c r="G904" s="361" t="s">
        <v>329</v>
      </c>
      <c r="H904" s="325"/>
      <c r="I904" s="327">
        <v>4</v>
      </c>
      <c r="J904" s="361" t="s">
        <v>777</v>
      </c>
      <c r="K904" s="327" t="s">
        <v>516</v>
      </c>
      <c r="L904" s="348">
        <f t="shared" si="90"/>
        <v>82075.8</v>
      </c>
      <c r="M904" s="355"/>
      <c r="N904" s="355" t="str">
        <f t="shared" si="62"/>
        <v>PR</v>
      </c>
      <c r="O904" s="347">
        <v>11</v>
      </c>
      <c r="P904" s="325"/>
      <c r="Q904" s="351"/>
      <c r="R904" s="351">
        <v>0</v>
      </c>
      <c r="S904" s="351">
        <v>5.8</v>
      </c>
      <c r="T904" s="351">
        <v>0.26700000000000002</v>
      </c>
      <c r="U904" s="329">
        <f>IF($N904=$N$4,IFERROR(INDEX(DanhMuc!$E$154:$E$165,MATCH(MID($B904,4,2),DanhMuc!$B$154:$B$165,0)),""),"")</f>
        <v>5800</v>
      </c>
      <c r="V904" s="325"/>
      <c r="W904" s="352" t="str">
        <f>+IF(AND($A904&lt;&gt;"",LEN($B904)&gt;=8,COUNTIF($B$6:$B904,$B904)=1),$W$5,"")</f>
        <v/>
      </c>
      <c r="X904" s="329" t="str">
        <f t="shared" si="92"/>
        <v>SL</v>
      </c>
      <c r="Y904" s="1128" t="s">
        <v>3380</v>
      </c>
      <c r="Z904" s="1128" t="s">
        <v>3381</v>
      </c>
      <c r="AA904" s="1128" t="s">
        <v>3384</v>
      </c>
      <c r="AC904" s="73"/>
    </row>
    <row r="905" spans="1:29" s="20" customFormat="1">
      <c r="A905" s="327" t="str">
        <f>IF(AND($B905&lt;&gt;"",$C905&lt;&gt;""),MAX($A$4:A904)+1,"")</f>
        <v/>
      </c>
      <c r="B905" s="361" t="s">
        <v>773</v>
      </c>
      <c r="C905" s="364"/>
      <c r="D905" s="327">
        <f>IF($B905="","",COUNTIF($B$6:$B905,$B905))</f>
        <v>11</v>
      </c>
      <c r="E905" s="361" t="s">
        <v>382</v>
      </c>
      <c r="F905" s="362" t="s">
        <v>897</v>
      </c>
      <c r="G905" s="361" t="s">
        <v>328</v>
      </c>
      <c r="H905" s="325"/>
      <c r="I905" s="327">
        <v>4</v>
      </c>
      <c r="J905" s="361" t="s">
        <v>767</v>
      </c>
      <c r="K905" s="327" t="s">
        <v>516</v>
      </c>
      <c r="L905" s="348">
        <f t="shared" si="90"/>
        <v>82075.8</v>
      </c>
      <c r="M905" s="355"/>
      <c r="N905" s="355" t="str">
        <f t="shared" si="62"/>
        <v>PR</v>
      </c>
      <c r="O905" s="347">
        <v>11</v>
      </c>
      <c r="P905" s="325"/>
      <c r="Q905" s="351"/>
      <c r="R905" s="351">
        <v>0</v>
      </c>
      <c r="S905" s="351">
        <v>5.8</v>
      </c>
      <c r="T905" s="351">
        <v>0.26700000000000002</v>
      </c>
      <c r="U905" s="329">
        <f>IF($N905=$N$4,IFERROR(INDEX(DanhMuc!$E$154:$E$165,MATCH(MID($B905,4,2),DanhMuc!$B$154:$B$165,0)),""),"")</f>
        <v>5800</v>
      </c>
      <c r="V905" s="325"/>
      <c r="W905" s="352" t="str">
        <f>+IF(AND($A905&lt;&gt;"",LEN($B905)&gt;=8,COUNTIF($B$6:$B905,$B905)=1),$W$5,"")</f>
        <v/>
      </c>
      <c r="X905" s="329" t="str">
        <f t="shared" si="92"/>
        <v>SL</v>
      </c>
      <c r="Y905" s="1128" t="s">
        <v>3380</v>
      </c>
      <c r="Z905" s="1128" t="s">
        <v>3381</v>
      </c>
      <c r="AA905" s="1128" t="s">
        <v>3384</v>
      </c>
      <c r="AC905" s="73"/>
    </row>
    <row r="906" spans="1:29" s="20" customFormat="1">
      <c r="A906" s="327" t="str">
        <f>IF(AND($B906&lt;&gt;"",$C906&lt;&gt;""),MAX($A$4:A905)+1,"")</f>
        <v/>
      </c>
      <c r="B906" s="361" t="s">
        <v>773</v>
      </c>
      <c r="C906" s="364"/>
      <c r="D906" s="327">
        <f>IF($B906="","",COUNTIF($B$6:$B906,$B906))</f>
        <v>12</v>
      </c>
      <c r="E906" s="361" t="s">
        <v>895</v>
      </c>
      <c r="F906" s="362" t="s">
        <v>2065</v>
      </c>
      <c r="G906" s="361" t="s">
        <v>329</v>
      </c>
      <c r="H906" s="325"/>
      <c r="I906" s="327">
        <v>4</v>
      </c>
      <c r="J906" s="361" t="s">
        <v>777</v>
      </c>
      <c r="K906" s="327" t="s">
        <v>516</v>
      </c>
      <c r="L906" s="348">
        <f t="shared" si="90"/>
        <v>66091</v>
      </c>
      <c r="M906" s="355"/>
      <c r="N906" s="355" t="str">
        <f t="shared" si="62"/>
        <v>PR</v>
      </c>
      <c r="O906" s="347">
        <v>19</v>
      </c>
      <c r="P906" s="325"/>
      <c r="Q906" s="351"/>
      <c r="R906" s="351">
        <v>0</v>
      </c>
      <c r="S906" s="351">
        <v>5.8</v>
      </c>
      <c r="T906" s="351">
        <v>0.215</v>
      </c>
      <c r="U906" s="329">
        <f>IF($N906=$N$4,IFERROR(INDEX(DanhMuc!$E$154:$E$165,MATCH(MID($B906,4,2),DanhMuc!$B$154:$B$165,0)),""),"")</f>
        <v>5800</v>
      </c>
      <c r="V906" s="325"/>
      <c r="W906" s="352" t="str">
        <f>+IF(AND($A906&lt;&gt;"",LEN($B906)&gt;=8,COUNTIF($B$6:$B906,$B906)=1),$W$5,"")</f>
        <v/>
      </c>
      <c r="X906" s="329" t="str">
        <f t="shared" si="92"/>
        <v>SL</v>
      </c>
      <c r="Y906" s="1128" t="s">
        <v>3380</v>
      </c>
      <c r="Z906" s="1128" t="s">
        <v>3381</v>
      </c>
      <c r="AA906" s="1128" t="s">
        <v>3384</v>
      </c>
      <c r="AC906" s="73"/>
    </row>
    <row r="907" spans="1:29" s="20" customFormat="1">
      <c r="A907" s="327" t="str">
        <f>IF(AND($B907&lt;&gt;"",$C907&lt;&gt;""),MAX($A$4:A906)+1,"")</f>
        <v/>
      </c>
      <c r="B907" s="361" t="s">
        <v>773</v>
      </c>
      <c r="C907" s="364"/>
      <c r="D907" s="327">
        <f>IF($B907="","",COUNTIF($B$6:$B907,$B907))</f>
        <v>13</v>
      </c>
      <c r="E907" s="361" t="s">
        <v>895</v>
      </c>
      <c r="F907" s="362" t="s">
        <v>2065</v>
      </c>
      <c r="G907" s="361" t="s">
        <v>328</v>
      </c>
      <c r="H907" s="325"/>
      <c r="I907" s="327">
        <v>4</v>
      </c>
      <c r="J907" s="361" t="s">
        <v>767</v>
      </c>
      <c r="K907" s="327" t="s">
        <v>516</v>
      </c>
      <c r="L907" s="348">
        <f t="shared" si="90"/>
        <v>66091</v>
      </c>
      <c r="M907" s="355"/>
      <c r="N907" s="355" t="str">
        <f t="shared" si="62"/>
        <v>PR</v>
      </c>
      <c r="O907" s="347">
        <v>19</v>
      </c>
      <c r="P907" s="325"/>
      <c r="Q907" s="351"/>
      <c r="R907" s="351">
        <v>0</v>
      </c>
      <c r="S907" s="351">
        <v>5.8</v>
      </c>
      <c r="T907" s="351">
        <v>0.215</v>
      </c>
      <c r="U907" s="329">
        <f>IF($N907=$N$4,IFERROR(INDEX(DanhMuc!$E$154:$E$165,MATCH(MID($B907,4,2),DanhMuc!$B$154:$B$165,0)),""),"")</f>
        <v>5800</v>
      </c>
      <c r="V907" s="325"/>
      <c r="W907" s="352" t="str">
        <f>+IF(AND($A907&lt;&gt;"",LEN($B907)&gt;=8,COUNTIF($B$6:$B907,$B907)=1),$W$5,"")</f>
        <v/>
      </c>
      <c r="X907" s="329" t="str">
        <f t="shared" si="92"/>
        <v>SL</v>
      </c>
      <c r="Y907" s="1128" t="s">
        <v>3380</v>
      </c>
      <c r="Z907" s="1128" t="s">
        <v>3381</v>
      </c>
      <c r="AA907" s="1128" t="s">
        <v>3384</v>
      </c>
      <c r="AC907" s="73"/>
    </row>
    <row r="908" spans="1:29" s="20" customFormat="1">
      <c r="A908" s="327" t="str">
        <f>IF(AND($B908&lt;&gt;"",$C908&lt;&gt;""),MAX($A$4:A907)+1,"")</f>
        <v/>
      </c>
      <c r="B908" s="361" t="s">
        <v>773</v>
      </c>
      <c r="C908" s="364"/>
      <c r="D908" s="327">
        <f>IF($B908="","",COUNTIF($B$6:$B908,$B908))</f>
        <v>14</v>
      </c>
      <c r="E908" s="361" t="s">
        <v>2291</v>
      </c>
      <c r="F908" s="362" t="s">
        <v>769</v>
      </c>
      <c r="G908" s="361" t="s">
        <v>329</v>
      </c>
      <c r="H908" s="328" t="s">
        <v>536</v>
      </c>
      <c r="I908" s="327">
        <v>2</v>
      </c>
      <c r="J908" s="361" t="s">
        <v>1211</v>
      </c>
      <c r="K908" s="327" t="s">
        <v>531</v>
      </c>
      <c r="L908" s="348">
        <f t="shared" si="90"/>
        <v>191999.99999999997</v>
      </c>
      <c r="M908" s="355"/>
      <c r="N908" s="355" t="str">
        <f t="shared" si="62"/>
        <v>PR</v>
      </c>
      <c r="O908" s="345"/>
      <c r="P908" s="325"/>
      <c r="Q908" s="351">
        <v>86</v>
      </c>
      <c r="R908" s="351">
        <v>1.5</v>
      </c>
      <c r="S908" s="351">
        <v>5.8</v>
      </c>
      <c r="T908" s="351">
        <f t="shared" ref="T908:T909" si="93">6.4/S908</f>
        <v>1.103448275862069</v>
      </c>
      <c r="U908" s="329">
        <f>IF($N908=$N$4,IFERROR(INDEX(DanhMuc!$E$154:$E$165,MATCH(MID($B908,4,2),DanhMuc!$B$154:$B$165,0)),""),"")</f>
        <v>5800</v>
      </c>
      <c r="V908" s="325"/>
      <c r="W908" s="352" t="str">
        <f>+IF(AND($A908&lt;&gt;"",LEN($B908)&gt;=8,COUNTIF($B$6:$B908,$B908)=1),$W$5,"")</f>
        <v/>
      </c>
      <c r="X908" s="329" t="str">
        <f t="shared" si="92"/>
        <v>TSL</v>
      </c>
      <c r="Y908" s="1128" t="s">
        <v>3380</v>
      </c>
      <c r="Z908" s="1128" t="s">
        <v>3381</v>
      </c>
      <c r="AA908" s="1128" t="s">
        <v>3384</v>
      </c>
      <c r="AC908" s="73"/>
    </row>
    <row r="909" spans="1:29" s="20" customFormat="1">
      <c r="A909" s="327" t="str">
        <f>IF(AND($B909&lt;&gt;"",$C909&lt;&gt;""),MAX($A$4:A908)+1,"")</f>
        <v/>
      </c>
      <c r="B909" s="361" t="s">
        <v>773</v>
      </c>
      <c r="C909" s="364"/>
      <c r="D909" s="327">
        <f>IF($B909="","",COUNTIF($B$6:$B909,$B909))</f>
        <v>15</v>
      </c>
      <c r="E909" s="361" t="s">
        <v>2291</v>
      </c>
      <c r="F909" s="362" t="s">
        <v>769</v>
      </c>
      <c r="G909" s="361" t="s">
        <v>328</v>
      </c>
      <c r="H909" s="328" t="s">
        <v>536</v>
      </c>
      <c r="I909" s="327">
        <v>2</v>
      </c>
      <c r="J909" s="361" t="s">
        <v>1212</v>
      </c>
      <c r="K909" s="327" t="s">
        <v>531</v>
      </c>
      <c r="L909" s="348">
        <f t="shared" si="90"/>
        <v>191999.99999999997</v>
      </c>
      <c r="M909" s="355"/>
      <c r="N909" s="355" t="str">
        <f t="shared" si="62"/>
        <v>PR</v>
      </c>
      <c r="O909" s="345"/>
      <c r="P909" s="325"/>
      <c r="Q909" s="351">
        <v>86</v>
      </c>
      <c r="R909" s="351">
        <v>1.5</v>
      </c>
      <c r="S909" s="351">
        <v>5.8</v>
      </c>
      <c r="T909" s="351">
        <f t="shared" si="93"/>
        <v>1.103448275862069</v>
      </c>
      <c r="U909" s="329">
        <f>IF($N909=$N$4,IFERROR(INDEX(DanhMuc!$E$154:$E$165,MATCH(MID($B909,4,2),DanhMuc!$B$154:$B$165,0)),""),"")</f>
        <v>5800</v>
      </c>
      <c r="V909" s="325"/>
      <c r="W909" s="352" t="str">
        <f>+IF(AND($A909&lt;&gt;"",LEN($B909)&gt;=8,COUNTIF($B$6:$B909,$B909)=1),$W$5,"")</f>
        <v/>
      </c>
      <c r="X909" s="329" t="str">
        <f t="shared" si="92"/>
        <v>TSL</v>
      </c>
      <c r="Y909" s="1128" t="s">
        <v>3380</v>
      </c>
      <c r="Z909" s="1128" t="s">
        <v>3381</v>
      </c>
      <c r="AA909" s="1128" t="s">
        <v>3384</v>
      </c>
      <c r="AC909" s="73"/>
    </row>
    <row r="910" spans="1:29" s="20" customFormat="1">
      <c r="A910" s="327" t="str">
        <f>IF(AND($B910&lt;&gt;"",$C910&lt;&gt;""),MAX($A$4:A909)+1,"")</f>
        <v/>
      </c>
      <c r="B910" s="361" t="s">
        <v>773</v>
      </c>
      <c r="C910" s="364"/>
      <c r="D910" s="327">
        <f>IF($B910="","",COUNTIF($B$6:$B910,$B910))</f>
        <v>16</v>
      </c>
      <c r="E910" s="361" t="s">
        <v>2298</v>
      </c>
      <c r="F910" s="362" t="s">
        <v>770</v>
      </c>
      <c r="G910" s="361" t="s">
        <v>329</v>
      </c>
      <c r="H910" s="328" t="s">
        <v>536</v>
      </c>
      <c r="I910" s="327">
        <v>4</v>
      </c>
      <c r="J910" s="361" t="s">
        <v>1215</v>
      </c>
      <c r="K910" s="327" t="s">
        <v>531</v>
      </c>
      <c r="L910" s="348">
        <f t="shared" si="90"/>
        <v>203999.99999999997</v>
      </c>
      <c r="M910" s="355"/>
      <c r="N910" s="355" t="str">
        <f t="shared" si="62"/>
        <v>PR</v>
      </c>
      <c r="O910" s="345"/>
      <c r="P910" s="325"/>
      <c r="Q910" s="351"/>
      <c r="R910" s="351">
        <v>1.5</v>
      </c>
      <c r="S910" s="351">
        <v>5.8</v>
      </c>
      <c r="T910" s="351">
        <f t="shared" ref="T910:T911" si="94">6.8/S910</f>
        <v>1.1724137931034482</v>
      </c>
      <c r="U910" s="329">
        <f>IF($N910=$N$4,IFERROR(INDEX(DanhMuc!$E$154:$E$165,MATCH(MID($B910,4,2),DanhMuc!$B$154:$B$165,0)),""),"")</f>
        <v>5800</v>
      </c>
      <c r="V910" s="325"/>
      <c r="W910" s="352" t="str">
        <f>+IF(AND($A910&lt;&gt;"",LEN($B910)&gt;=8,COUNTIF($B$6:$B910,$B910)=1),$W$5,"")</f>
        <v/>
      </c>
      <c r="X910" s="329" t="str">
        <f t="shared" si="92"/>
        <v>TSL</v>
      </c>
      <c r="Y910" s="1128" t="s">
        <v>3380</v>
      </c>
      <c r="Z910" s="1128" t="s">
        <v>3381</v>
      </c>
      <c r="AA910" s="1128" t="s">
        <v>3384</v>
      </c>
      <c r="AC910" s="73"/>
    </row>
    <row r="911" spans="1:29" s="20" customFormat="1">
      <c r="A911" s="327" t="str">
        <f>IF(AND($B911&lt;&gt;"",$C911&lt;&gt;""),MAX($A$4:A910)+1,"")</f>
        <v/>
      </c>
      <c r="B911" s="361" t="s">
        <v>773</v>
      </c>
      <c r="C911" s="364"/>
      <c r="D911" s="327">
        <f>IF($B911="","",COUNTIF($B$6:$B911,$B911))</f>
        <v>17</v>
      </c>
      <c r="E911" s="361" t="s">
        <v>2298</v>
      </c>
      <c r="F911" s="362" t="s">
        <v>770</v>
      </c>
      <c r="G911" s="361" t="s">
        <v>328</v>
      </c>
      <c r="H911" s="328" t="s">
        <v>536</v>
      </c>
      <c r="I911" s="327">
        <v>4</v>
      </c>
      <c r="J911" s="361" t="s">
        <v>1214</v>
      </c>
      <c r="K911" s="327" t="s">
        <v>531</v>
      </c>
      <c r="L911" s="348">
        <f t="shared" si="90"/>
        <v>203999.99999999997</v>
      </c>
      <c r="M911" s="355"/>
      <c r="N911" s="355" t="str">
        <f t="shared" si="62"/>
        <v>PR</v>
      </c>
      <c r="O911" s="345"/>
      <c r="P911" s="325"/>
      <c r="Q911" s="351"/>
      <c r="R911" s="351">
        <v>1.5</v>
      </c>
      <c r="S911" s="351">
        <v>5.8</v>
      </c>
      <c r="T911" s="351">
        <f t="shared" si="94"/>
        <v>1.1724137931034482</v>
      </c>
      <c r="U911" s="329">
        <f>IF($N911=$N$4,IFERROR(INDEX(DanhMuc!$E$154:$E$165,MATCH(MID($B911,4,2),DanhMuc!$B$154:$B$165,0)),""),"")</f>
        <v>5800</v>
      </c>
      <c r="V911" s="325"/>
      <c r="W911" s="352" t="str">
        <f>+IF(AND($A911&lt;&gt;"",LEN($B911)&gt;=8,COUNTIF($B$6:$B911,$B911)=1),$W$5,"")</f>
        <v/>
      </c>
      <c r="X911" s="329" t="str">
        <f t="shared" si="92"/>
        <v>TSL</v>
      </c>
      <c r="Y911" s="1128" t="s">
        <v>3380</v>
      </c>
      <c r="Z911" s="1128" t="s">
        <v>3381</v>
      </c>
      <c r="AA911" s="1128" t="s">
        <v>3384</v>
      </c>
      <c r="AC911" s="73"/>
    </row>
    <row r="912" spans="1:29" s="20" customFormat="1" ht="26">
      <c r="A912" s="327">
        <f>IF(AND($B912&lt;&gt;"",$C912&lt;&gt;""),MAX($A$4:A911)+1,"")</f>
        <v>71</v>
      </c>
      <c r="B912" s="359" t="s">
        <v>780</v>
      </c>
      <c r="C912" s="370" t="s">
        <v>1567</v>
      </c>
      <c r="D912" s="327">
        <f>IF($B912="","",COUNTIF($B$6:$B912,$B912))</f>
        <v>1</v>
      </c>
      <c r="E912" s="363" t="s">
        <v>617</v>
      </c>
      <c r="F912" s="362" t="s">
        <v>618</v>
      </c>
      <c r="G912" s="361" t="s">
        <v>329</v>
      </c>
      <c r="H912" s="325"/>
      <c r="I912" s="327">
        <v>2</v>
      </c>
      <c r="J912" s="361" t="s">
        <v>762</v>
      </c>
      <c r="K912" s="327" t="s">
        <v>516</v>
      </c>
      <c r="L912" s="348">
        <f t="shared" si="90"/>
        <v>315084.99999999994</v>
      </c>
      <c r="M912" s="355"/>
      <c r="N912" s="355" t="str">
        <f t="shared" si="62"/>
        <v>PR</v>
      </c>
      <c r="O912" s="345"/>
      <c r="P912" s="325"/>
      <c r="Q912" s="351"/>
      <c r="R912" s="351">
        <v>0</v>
      </c>
      <c r="S912" s="351">
        <v>5.8</v>
      </c>
      <c r="T912" s="351">
        <v>1.0249999999999999</v>
      </c>
      <c r="U912" s="329">
        <f>IF($N912=$N$4,IFERROR(INDEX(DanhMuc!$E$154:$E$165,MATCH(MID($B912,4,2),DanhMuc!$B$154:$B$165,0)),""),"")</f>
        <v>5800</v>
      </c>
      <c r="V912" s="325"/>
      <c r="W912" s="352" t="str">
        <f>+IF(AND($A912&lt;&gt;"",LEN($B912)&gt;=8,COUNTIF($B$6:$B912,$B912)=1),$W$5,"")</f>
        <v>DMCua</v>
      </c>
      <c r="X912" s="329" t="str">
        <f t="shared" si="92"/>
        <v>SL</v>
      </c>
      <c r="Y912" s="1128" t="s">
        <v>3380</v>
      </c>
      <c r="Z912" s="1128" t="s">
        <v>3381</v>
      </c>
      <c r="AA912" s="1128" t="s">
        <v>3384</v>
      </c>
      <c r="AC912" s="73"/>
    </row>
    <row r="913" spans="1:29" s="20" customFormat="1">
      <c r="A913" s="327" t="str">
        <f>IF(AND($B913&lt;&gt;"",$C913&lt;&gt;""),MAX($A$4:A912)+1,"")</f>
        <v/>
      </c>
      <c r="B913" s="361" t="s">
        <v>780</v>
      </c>
      <c r="C913" s="364"/>
      <c r="D913" s="327">
        <f>IF($B913="","",COUNTIF($B$6:$B913,$B913))</f>
        <v>2</v>
      </c>
      <c r="E913" s="363" t="s">
        <v>617</v>
      </c>
      <c r="F913" s="362" t="s">
        <v>618</v>
      </c>
      <c r="G913" s="361" t="s">
        <v>328</v>
      </c>
      <c r="H913" s="325"/>
      <c r="I913" s="327">
        <v>2</v>
      </c>
      <c r="J913" s="361" t="s">
        <v>763</v>
      </c>
      <c r="K913" s="327" t="s">
        <v>516</v>
      </c>
      <c r="L913" s="348">
        <f t="shared" si="90"/>
        <v>315084.99999999994</v>
      </c>
      <c r="M913" s="355"/>
      <c r="N913" s="355" t="str">
        <f t="shared" si="62"/>
        <v>PR</v>
      </c>
      <c r="O913" s="347"/>
      <c r="P913" s="325"/>
      <c r="Q913" s="351"/>
      <c r="R913" s="351">
        <v>0</v>
      </c>
      <c r="S913" s="351">
        <v>5.8</v>
      </c>
      <c r="T913" s="351">
        <v>1.0249999999999999</v>
      </c>
      <c r="U913" s="329">
        <f>IF($N913=$N$4,IFERROR(INDEX(DanhMuc!$E$154:$E$165,MATCH(MID($B913,4,2),DanhMuc!$B$154:$B$165,0)),""),"")</f>
        <v>5800</v>
      </c>
      <c r="V913" s="325"/>
      <c r="W913" s="352" t="str">
        <f>+IF(AND($A913&lt;&gt;"",LEN($B913)&gt;=8,COUNTIF($B$6:$B913,$B913)=1),$W$5,"")</f>
        <v/>
      </c>
      <c r="X913" s="329" t="str">
        <f t="shared" si="92"/>
        <v>SL</v>
      </c>
      <c r="Y913" s="1128" t="s">
        <v>3380</v>
      </c>
      <c r="Z913" s="1128" t="s">
        <v>3381</v>
      </c>
      <c r="AA913" s="1128" t="s">
        <v>3384</v>
      </c>
      <c r="AC913" s="73"/>
    </row>
    <row r="914" spans="1:29" s="20" customFormat="1">
      <c r="A914" s="327" t="str">
        <f>IF(AND($B914&lt;&gt;"",$C914&lt;&gt;""),MAX($A$4:A913)+1,"")</f>
        <v/>
      </c>
      <c r="B914" s="361" t="s">
        <v>780</v>
      </c>
      <c r="C914" s="364"/>
      <c r="D914" s="327">
        <f>IF($B914="","",COUNTIF($B$6:$B914,$B914))</f>
        <v>3</v>
      </c>
      <c r="E914" s="361" t="s">
        <v>619</v>
      </c>
      <c r="F914" s="362" t="s">
        <v>620</v>
      </c>
      <c r="G914" s="361" t="s">
        <v>329</v>
      </c>
      <c r="H914" s="325"/>
      <c r="I914" s="327">
        <v>6</v>
      </c>
      <c r="J914" s="361" t="s">
        <v>859</v>
      </c>
      <c r="K914" s="327" t="s">
        <v>516</v>
      </c>
      <c r="L914" s="348">
        <f t="shared" si="90"/>
        <v>356584</v>
      </c>
      <c r="M914" s="355"/>
      <c r="N914" s="355" t="str">
        <f t="shared" si="62"/>
        <v>PR</v>
      </c>
      <c r="O914" s="345" t="s">
        <v>19</v>
      </c>
      <c r="P914" s="325"/>
      <c r="Q914" s="351"/>
      <c r="R914" s="351">
        <v>0</v>
      </c>
      <c r="S914" s="351">
        <v>5.8</v>
      </c>
      <c r="T914" s="351">
        <v>1.1599999999999999</v>
      </c>
      <c r="U914" s="329">
        <f>IF($N914=$N$4,IFERROR(INDEX(DanhMuc!$E$154:$E$165,MATCH(MID($B914,4,2),DanhMuc!$B$154:$B$165,0)),""),"")</f>
        <v>5800</v>
      </c>
      <c r="V914" s="325"/>
      <c r="W914" s="352" t="str">
        <f>+IF(AND($A914&lt;&gt;"",LEN($B914)&gt;=8,COUNTIF($B$6:$B914,$B914)=1),$W$5,"")</f>
        <v/>
      </c>
      <c r="X914" s="329" t="str">
        <f t="shared" si="92"/>
        <v>SL</v>
      </c>
      <c r="Y914" s="1128" t="s">
        <v>3380</v>
      </c>
      <c r="Z914" s="1128" t="s">
        <v>3381</v>
      </c>
      <c r="AA914" s="1128" t="s">
        <v>3384</v>
      </c>
      <c r="AC914" s="73"/>
    </row>
    <row r="915" spans="1:29" s="20" customFormat="1">
      <c r="A915" s="327" t="str">
        <f>IF(AND($B915&lt;&gt;"",$C915&lt;&gt;""),MAX($A$4:A914)+1,"")</f>
        <v/>
      </c>
      <c r="B915" s="361" t="s">
        <v>780</v>
      </c>
      <c r="C915" s="364"/>
      <c r="D915" s="327">
        <f>IF($B915="","",COUNTIF($B$6:$B915,$B915))</f>
        <v>4</v>
      </c>
      <c r="E915" s="361" t="s">
        <v>619</v>
      </c>
      <c r="F915" s="362" t="s">
        <v>620</v>
      </c>
      <c r="G915" s="361" t="s">
        <v>328</v>
      </c>
      <c r="H915" s="325"/>
      <c r="I915" s="327">
        <v>6</v>
      </c>
      <c r="J915" s="361" t="s">
        <v>765</v>
      </c>
      <c r="K915" s="327" t="s">
        <v>516</v>
      </c>
      <c r="L915" s="348">
        <f t="shared" si="90"/>
        <v>356584</v>
      </c>
      <c r="M915" s="355"/>
      <c r="N915" s="355" t="str">
        <f t="shared" si="62"/>
        <v>PR</v>
      </c>
      <c r="O915" s="345" t="s">
        <v>19</v>
      </c>
      <c r="P915" s="325"/>
      <c r="Q915" s="351"/>
      <c r="R915" s="351">
        <v>0</v>
      </c>
      <c r="S915" s="351">
        <v>5.8</v>
      </c>
      <c r="T915" s="351">
        <v>1.1599999999999999</v>
      </c>
      <c r="U915" s="329">
        <f>IF($N915=$N$4,IFERROR(INDEX(DanhMuc!$E$154:$E$165,MATCH(MID($B915,4,2),DanhMuc!$B$154:$B$165,0)),""),"")</f>
        <v>5800</v>
      </c>
      <c r="V915" s="325"/>
      <c r="W915" s="352" t="str">
        <f>+IF(AND($A915&lt;&gt;"",LEN($B915)&gt;=8,COUNTIF($B$6:$B915,$B915)=1),$W$5,"")</f>
        <v/>
      </c>
      <c r="X915" s="329" t="str">
        <f t="shared" si="92"/>
        <v>SL</v>
      </c>
      <c r="Y915" s="1128" t="s">
        <v>3380</v>
      </c>
      <c r="Z915" s="1128" t="s">
        <v>3381</v>
      </c>
      <c r="AA915" s="1128" t="s">
        <v>3384</v>
      </c>
      <c r="AC915" s="73"/>
    </row>
    <row r="916" spans="1:29" s="20" customFormat="1">
      <c r="A916" s="327" t="str">
        <f>IF(AND($B916&lt;&gt;"",$C916&lt;&gt;""),MAX($A$4:A915)+1,"")</f>
        <v/>
      </c>
      <c r="B916" s="361" t="s">
        <v>780</v>
      </c>
      <c r="C916" s="364"/>
      <c r="D916" s="327">
        <f>IF($B916="","",COUNTIF($B$6:$B916,$B916))</f>
        <v>5</v>
      </c>
      <c r="E916" s="361" t="s">
        <v>621</v>
      </c>
      <c r="F916" s="362" t="s">
        <v>622</v>
      </c>
      <c r="G916" s="361" t="s">
        <v>329</v>
      </c>
      <c r="H916" s="325"/>
      <c r="I916" s="327">
        <v>6</v>
      </c>
      <c r="J916" s="361" t="s">
        <v>859</v>
      </c>
      <c r="K916" s="327" t="s">
        <v>516</v>
      </c>
      <c r="L916" s="348">
        <f t="shared" si="90"/>
        <v>356584</v>
      </c>
      <c r="M916" s="355"/>
      <c r="N916" s="355" t="str">
        <f t="shared" si="62"/>
        <v>PR</v>
      </c>
      <c r="O916" s="345" t="s">
        <v>16</v>
      </c>
      <c r="P916" s="325"/>
      <c r="Q916" s="351"/>
      <c r="R916" s="351">
        <v>0</v>
      </c>
      <c r="S916" s="351">
        <v>5.8</v>
      </c>
      <c r="T916" s="351">
        <v>1.1599999999999999</v>
      </c>
      <c r="U916" s="329">
        <f>IF($N916=$N$4,IFERROR(INDEX(DanhMuc!$E$154:$E$165,MATCH(MID($B916,4,2),DanhMuc!$B$154:$B$165,0)),""),"")</f>
        <v>5800</v>
      </c>
      <c r="V916" s="325"/>
      <c r="W916" s="352" t="str">
        <f>+IF(AND($A916&lt;&gt;"",LEN($B916)&gt;=8,COUNTIF($B$6:$B916,$B916)=1),$W$5,"")</f>
        <v/>
      </c>
      <c r="X916" s="329" t="str">
        <f t="shared" si="92"/>
        <v>SL</v>
      </c>
      <c r="Y916" s="1128" t="s">
        <v>3380</v>
      </c>
      <c r="Z916" s="1128" t="s">
        <v>3381</v>
      </c>
      <c r="AA916" s="1128" t="s">
        <v>3384</v>
      </c>
      <c r="AC916" s="73"/>
    </row>
    <row r="917" spans="1:29" s="20" customFormat="1">
      <c r="A917" s="327" t="str">
        <f>IF(AND($B917&lt;&gt;"",$C917&lt;&gt;""),MAX($A$4:A916)+1,"")</f>
        <v/>
      </c>
      <c r="B917" s="361" t="s">
        <v>780</v>
      </c>
      <c r="C917" s="364"/>
      <c r="D917" s="327">
        <f>IF($B917="","",COUNTIF($B$6:$B917,$B917))</f>
        <v>6</v>
      </c>
      <c r="E917" s="361" t="s">
        <v>621</v>
      </c>
      <c r="F917" s="362" t="s">
        <v>622</v>
      </c>
      <c r="G917" s="361" t="s">
        <v>328</v>
      </c>
      <c r="H917" s="325"/>
      <c r="I917" s="327">
        <v>6</v>
      </c>
      <c r="J917" s="361" t="s">
        <v>765</v>
      </c>
      <c r="K917" s="327" t="s">
        <v>516</v>
      </c>
      <c r="L917" s="348">
        <f t="shared" si="90"/>
        <v>356584</v>
      </c>
      <c r="M917" s="355"/>
      <c r="N917" s="355" t="str">
        <f t="shared" si="62"/>
        <v>PR</v>
      </c>
      <c r="O917" s="345" t="s">
        <v>16</v>
      </c>
      <c r="P917" s="325"/>
      <c r="Q917" s="351"/>
      <c r="R917" s="351">
        <v>0</v>
      </c>
      <c r="S917" s="351">
        <v>5.8</v>
      </c>
      <c r="T917" s="351">
        <v>1.1599999999999999</v>
      </c>
      <c r="U917" s="329">
        <f>IF($N917=$N$4,IFERROR(INDEX(DanhMuc!$E$154:$E$165,MATCH(MID($B917,4,2),DanhMuc!$B$154:$B$165,0)),""),"")</f>
        <v>5800</v>
      </c>
      <c r="V917" s="325"/>
      <c r="W917" s="352" t="str">
        <f>+IF(AND($A917&lt;&gt;"",LEN($B917)&gt;=8,COUNTIF($B$6:$B917,$B917)=1),$W$5,"")</f>
        <v/>
      </c>
      <c r="X917" s="329" t="str">
        <f t="shared" si="92"/>
        <v>SL</v>
      </c>
      <c r="Y917" s="1128" t="s">
        <v>3380</v>
      </c>
      <c r="Z917" s="1128" t="s">
        <v>3381</v>
      </c>
      <c r="AA917" s="1128" t="s">
        <v>3384</v>
      </c>
      <c r="AC917" s="73"/>
    </row>
    <row r="918" spans="1:29" s="20" customFormat="1">
      <c r="A918" s="327" t="str">
        <f>IF(AND($B918&lt;&gt;"",$C918&lt;&gt;""),MAX($A$4:A917)+1,"")</f>
        <v/>
      </c>
      <c r="B918" s="361" t="s">
        <v>780</v>
      </c>
      <c r="C918" s="364"/>
      <c r="D918" s="327">
        <f>IF($B918="","",COUNTIF($B$6:$B918,$B918))</f>
        <v>7</v>
      </c>
      <c r="E918" s="361" t="s">
        <v>443</v>
      </c>
      <c r="F918" s="362" t="s">
        <v>444</v>
      </c>
      <c r="G918" s="361" t="s">
        <v>329</v>
      </c>
      <c r="H918" s="325"/>
      <c r="I918" s="327">
        <v>1</v>
      </c>
      <c r="J918" s="361" t="s">
        <v>768</v>
      </c>
      <c r="K918" s="327" t="s">
        <v>531</v>
      </c>
      <c r="L918" s="348">
        <f t="shared" si="90"/>
        <v>342751</v>
      </c>
      <c r="M918" s="355"/>
      <c r="N918" s="355" t="str">
        <f t="shared" si="62"/>
        <v>PR</v>
      </c>
      <c r="O918" s="345" t="s">
        <v>19</v>
      </c>
      <c r="P918" s="325"/>
      <c r="Q918" s="351"/>
      <c r="R918" s="351">
        <v>0</v>
      </c>
      <c r="S918" s="351">
        <v>5.8</v>
      </c>
      <c r="T918" s="351">
        <v>1.115</v>
      </c>
      <c r="U918" s="329">
        <f>IF($N918=$N$4,IFERROR(INDEX(DanhMuc!$E$154:$E$165,MATCH(MID($B918,4,2),DanhMuc!$B$154:$B$165,0)),""),"")</f>
        <v>5800</v>
      </c>
      <c r="V918" s="325"/>
      <c r="W918" s="352" t="str">
        <f>+IF(AND($A918&lt;&gt;"",LEN($B918)&gt;=8,COUNTIF($B$6:$B918,$B918)=1),$W$5,"")</f>
        <v/>
      </c>
      <c r="X918" s="329" t="str">
        <f t="shared" si="92"/>
        <v>SL</v>
      </c>
      <c r="Y918" s="1128" t="s">
        <v>3380</v>
      </c>
      <c r="Z918" s="1128" t="s">
        <v>3381</v>
      </c>
      <c r="AA918" s="1128" t="s">
        <v>3384</v>
      </c>
      <c r="AC918" s="73"/>
    </row>
    <row r="919" spans="1:29" s="20" customFormat="1">
      <c r="A919" s="327" t="str">
        <f>IF(AND($B919&lt;&gt;"",$C919&lt;&gt;""),MAX($A$4:A918)+1,"")</f>
        <v/>
      </c>
      <c r="B919" s="361" t="s">
        <v>780</v>
      </c>
      <c r="C919" s="364"/>
      <c r="D919" s="327">
        <f>IF($B919="","",COUNTIF($B$6:$B919,$B919))</f>
        <v>8</v>
      </c>
      <c r="E919" s="361" t="s">
        <v>776</v>
      </c>
      <c r="F919" s="362" t="s">
        <v>761</v>
      </c>
      <c r="G919" s="361" t="s">
        <v>328</v>
      </c>
      <c r="H919" s="325"/>
      <c r="I919" s="327">
        <v>1</v>
      </c>
      <c r="J919" s="361" t="s">
        <v>1278</v>
      </c>
      <c r="K919" s="327" t="s">
        <v>531</v>
      </c>
      <c r="L919" s="348">
        <f t="shared" si="90"/>
        <v>282808</v>
      </c>
      <c r="M919" s="355"/>
      <c r="N919" s="355" t="str">
        <f t="shared" si="62"/>
        <v>PR</v>
      </c>
      <c r="O919" s="345"/>
      <c r="P919" s="325"/>
      <c r="Q919" s="351"/>
      <c r="R919" s="351">
        <v>0</v>
      </c>
      <c r="S919" s="351">
        <v>5.8</v>
      </c>
      <c r="T919" s="351">
        <v>0.92</v>
      </c>
      <c r="U919" s="329">
        <f>IF($N919=$N$4,IFERROR(INDEX(DanhMuc!$E$154:$E$165,MATCH(MID($B919,4,2),DanhMuc!$B$154:$B$165,0)),""),"")</f>
        <v>5800</v>
      </c>
      <c r="V919" s="325"/>
      <c r="W919" s="352" t="str">
        <f>+IF(AND($A919&lt;&gt;"",LEN($B919)&gt;=8,COUNTIF($B$6:$B919,$B919)=1),$W$5,"")</f>
        <v/>
      </c>
      <c r="X919" s="329" t="str">
        <f t="shared" si="92"/>
        <v>SL</v>
      </c>
      <c r="Y919" s="1128" t="s">
        <v>3380</v>
      </c>
      <c r="Z919" s="1128" t="s">
        <v>3381</v>
      </c>
      <c r="AA919" s="1128" t="s">
        <v>3384</v>
      </c>
      <c r="AC919" s="73"/>
    </row>
    <row r="920" spans="1:29" s="20" customFormat="1">
      <c r="A920" s="327" t="str">
        <f>IF(AND($B920&lt;&gt;"",$C920&lt;&gt;""),MAX($A$4:A919)+1,"")</f>
        <v/>
      </c>
      <c r="B920" s="361" t="s">
        <v>780</v>
      </c>
      <c r="C920" s="364"/>
      <c r="D920" s="327">
        <f>IF($B920="","",COUNTIF($B$6:$B920,$B920))</f>
        <v>9</v>
      </c>
      <c r="E920" s="361" t="s">
        <v>381</v>
      </c>
      <c r="F920" s="362" t="s">
        <v>896</v>
      </c>
      <c r="G920" s="361" t="s">
        <v>329</v>
      </c>
      <c r="H920" s="325"/>
      <c r="I920" s="327">
        <v>6</v>
      </c>
      <c r="J920" s="361" t="s">
        <v>860</v>
      </c>
      <c r="K920" s="327" t="s">
        <v>516</v>
      </c>
      <c r="L920" s="348">
        <f t="shared" si="90"/>
        <v>89146</v>
      </c>
      <c r="M920" s="355"/>
      <c r="N920" s="355" t="str">
        <f t="shared" si="62"/>
        <v>PR</v>
      </c>
      <c r="O920" s="347">
        <v>7</v>
      </c>
      <c r="P920" s="325"/>
      <c r="Q920" s="351"/>
      <c r="R920" s="351">
        <v>0</v>
      </c>
      <c r="S920" s="351">
        <v>5.8</v>
      </c>
      <c r="T920" s="351">
        <v>0.28999999999999998</v>
      </c>
      <c r="U920" s="329">
        <f>IF($N920=$N$4,IFERROR(INDEX(DanhMuc!$E$154:$E$165,MATCH(MID($B920,4,2),DanhMuc!$B$154:$B$165,0)),""),"")</f>
        <v>5800</v>
      </c>
      <c r="V920" s="325"/>
      <c r="W920" s="352" t="str">
        <f>+IF(AND($A920&lt;&gt;"",LEN($B920)&gt;=8,COUNTIF($B$6:$B920,$B920)=1),$W$5,"")</f>
        <v/>
      </c>
      <c r="X920" s="329" t="str">
        <f t="shared" si="92"/>
        <v>SL</v>
      </c>
      <c r="Y920" s="1128" t="s">
        <v>3380</v>
      </c>
      <c r="Z920" s="1128" t="s">
        <v>3381</v>
      </c>
      <c r="AA920" s="1128" t="s">
        <v>3384</v>
      </c>
      <c r="AC920" s="73"/>
    </row>
    <row r="921" spans="1:29" s="20" customFormat="1">
      <c r="A921" s="327" t="str">
        <f>IF(AND($B921&lt;&gt;"",$C921&lt;&gt;""),MAX($A$4:A920)+1,"")</f>
        <v/>
      </c>
      <c r="B921" s="361" t="s">
        <v>780</v>
      </c>
      <c r="C921" s="364"/>
      <c r="D921" s="327">
        <f>IF($B921="","",COUNTIF($B$6:$B921,$B921))</f>
        <v>10</v>
      </c>
      <c r="E921" s="361" t="s">
        <v>381</v>
      </c>
      <c r="F921" s="362" t="s">
        <v>896</v>
      </c>
      <c r="G921" s="361" t="s">
        <v>328</v>
      </c>
      <c r="H921" s="325"/>
      <c r="I921" s="327">
        <v>6</v>
      </c>
      <c r="J921" s="361" t="s">
        <v>767</v>
      </c>
      <c r="K921" s="327" t="s">
        <v>516</v>
      </c>
      <c r="L921" s="348">
        <f t="shared" si="90"/>
        <v>89146</v>
      </c>
      <c r="M921" s="355"/>
      <c r="N921" s="355" t="str">
        <f t="shared" si="62"/>
        <v>PR</v>
      </c>
      <c r="O921" s="347">
        <v>7</v>
      </c>
      <c r="P921" s="325"/>
      <c r="Q921" s="351"/>
      <c r="R921" s="351">
        <v>0</v>
      </c>
      <c r="S921" s="351">
        <v>5.8</v>
      </c>
      <c r="T921" s="351">
        <v>0.28999999999999998</v>
      </c>
      <c r="U921" s="329">
        <f>IF($N921=$N$4,IFERROR(INDEX(DanhMuc!$E$154:$E$165,MATCH(MID($B921,4,2),DanhMuc!$B$154:$B$165,0)),""),"")</f>
        <v>5800</v>
      </c>
      <c r="V921" s="325"/>
      <c r="W921" s="352" t="str">
        <f>+IF(AND($A921&lt;&gt;"",LEN($B921)&gt;=8,COUNTIF($B$6:$B921,$B921)=1),$W$5,"")</f>
        <v/>
      </c>
      <c r="X921" s="329" t="str">
        <f t="shared" si="92"/>
        <v>SL</v>
      </c>
      <c r="Y921" s="1128" t="s">
        <v>3380</v>
      </c>
      <c r="Z921" s="1128" t="s">
        <v>3381</v>
      </c>
      <c r="AA921" s="1128" t="s">
        <v>3384</v>
      </c>
      <c r="AC921" s="73"/>
    </row>
    <row r="922" spans="1:29" s="20" customFormat="1">
      <c r="A922" s="327" t="str">
        <f>IF(AND($B922&lt;&gt;"",$C922&lt;&gt;""),MAX($A$4:A921)+1,"")</f>
        <v/>
      </c>
      <c r="B922" s="361" t="s">
        <v>780</v>
      </c>
      <c r="C922" s="364"/>
      <c r="D922" s="327">
        <f>IF($B922="","",COUNTIF($B$6:$B922,$B922))</f>
        <v>11</v>
      </c>
      <c r="E922" s="361" t="s">
        <v>382</v>
      </c>
      <c r="F922" s="362" t="s">
        <v>897</v>
      </c>
      <c r="G922" s="361" t="s">
        <v>329</v>
      </c>
      <c r="H922" s="325"/>
      <c r="I922" s="327">
        <v>6</v>
      </c>
      <c r="J922" s="361" t="s">
        <v>860</v>
      </c>
      <c r="K922" s="327" t="s">
        <v>516</v>
      </c>
      <c r="L922" s="348">
        <f t="shared" si="90"/>
        <v>82075.8</v>
      </c>
      <c r="M922" s="355"/>
      <c r="N922" s="355" t="str">
        <f t="shared" si="62"/>
        <v>PR</v>
      </c>
      <c r="O922" s="347">
        <v>11</v>
      </c>
      <c r="P922" s="325"/>
      <c r="Q922" s="351"/>
      <c r="R922" s="351">
        <v>0</v>
      </c>
      <c r="S922" s="351">
        <v>5.8</v>
      </c>
      <c r="T922" s="351">
        <v>0.26700000000000002</v>
      </c>
      <c r="U922" s="329">
        <f>IF($N922=$N$4,IFERROR(INDEX(DanhMuc!$E$154:$E$165,MATCH(MID($B922,4,2),DanhMuc!$B$154:$B$165,0)),""),"")</f>
        <v>5800</v>
      </c>
      <c r="V922" s="325"/>
      <c r="W922" s="352" t="str">
        <f>+IF(AND($A922&lt;&gt;"",LEN($B922)&gt;=8,COUNTIF($B$6:$B922,$B922)=1),$W$5,"")</f>
        <v/>
      </c>
      <c r="X922" s="329" t="str">
        <f t="shared" si="92"/>
        <v>SL</v>
      </c>
      <c r="Y922" s="1128" t="s">
        <v>3380</v>
      </c>
      <c r="Z922" s="1128" t="s">
        <v>3381</v>
      </c>
      <c r="AA922" s="1128" t="s">
        <v>3384</v>
      </c>
      <c r="AC922" s="73"/>
    </row>
    <row r="923" spans="1:29" s="20" customFormat="1">
      <c r="A923" s="327" t="str">
        <f>IF(AND($B923&lt;&gt;"",$C923&lt;&gt;""),MAX($A$4:A922)+1,"")</f>
        <v/>
      </c>
      <c r="B923" s="361" t="s">
        <v>780</v>
      </c>
      <c r="C923" s="364"/>
      <c r="D923" s="327">
        <f>IF($B923="","",COUNTIF($B$6:$B923,$B923))</f>
        <v>12</v>
      </c>
      <c r="E923" s="361" t="s">
        <v>382</v>
      </c>
      <c r="F923" s="362" t="s">
        <v>897</v>
      </c>
      <c r="G923" s="361" t="s">
        <v>328</v>
      </c>
      <c r="H923" s="325"/>
      <c r="I923" s="327">
        <v>6</v>
      </c>
      <c r="J923" s="361" t="s">
        <v>767</v>
      </c>
      <c r="K923" s="327" t="s">
        <v>516</v>
      </c>
      <c r="L923" s="348">
        <f t="shared" si="90"/>
        <v>82075.8</v>
      </c>
      <c r="M923" s="355"/>
      <c r="N923" s="355" t="str">
        <f t="shared" si="62"/>
        <v>PR</v>
      </c>
      <c r="O923" s="347">
        <v>11</v>
      </c>
      <c r="P923" s="325"/>
      <c r="Q923" s="351"/>
      <c r="R923" s="351">
        <v>0</v>
      </c>
      <c r="S923" s="351">
        <v>5.8</v>
      </c>
      <c r="T923" s="351">
        <v>0.26700000000000002</v>
      </c>
      <c r="U923" s="329">
        <f>IF($N923=$N$4,IFERROR(INDEX(DanhMuc!$E$154:$E$165,MATCH(MID($B923,4,2),DanhMuc!$B$154:$B$165,0)),""),"")</f>
        <v>5800</v>
      </c>
      <c r="V923" s="325"/>
      <c r="W923" s="352" t="str">
        <f>+IF(AND($A923&lt;&gt;"",LEN($B923)&gt;=8,COUNTIF($B$6:$B923,$B923)=1),$W$5,"")</f>
        <v/>
      </c>
      <c r="X923" s="329" t="str">
        <f t="shared" si="92"/>
        <v>SL</v>
      </c>
      <c r="Y923" s="1128" t="s">
        <v>3380</v>
      </c>
      <c r="Z923" s="1128" t="s">
        <v>3381</v>
      </c>
      <c r="AA923" s="1128" t="s">
        <v>3384</v>
      </c>
      <c r="AC923" s="73"/>
    </row>
    <row r="924" spans="1:29" s="20" customFormat="1">
      <c r="A924" s="327" t="str">
        <f>IF(AND($B924&lt;&gt;"",$C924&lt;&gt;""),MAX($A$4:A923)+1,"")</f>
        <v/>
      </c>
      <c r="B924" s="361" t="s">
        <v>780</v>
      </c>
      <c r="C924" s="364"/>
      <c r="D924" s="327">
        <f>IF($B924="","",COUNTIF($B$6:$B924,$B924))</f>
        <v>13</v>
      </c>
      <c r="E924" s="361" t="s">
        <v>895</v>
      </c>
      <c r="F924" s="362" t="s">
        <v>2065</v>
      </c>
      <c r="G924" s="361" t="s">
        <v>329</v>
      </c>
      <c r="H924" s="325"/>
      <c r="I924" s="327">
        <v>6</v>
      </c>
      <c r="J924" s="361" t="s">
        <v>860</v>
      </c>
      <c r="K924" s="327" t="s">
        <v>516</v>
      </c>
      <c r="L924" s="348">
        <f t="shared" si="90"/>
        <v>66091</v>
      </c>
      <c r="M924" s="355"/>
      <c r="N924" s="355" t="str">
        <f t="shared" si="62"/>
        <v>PR</v>
      </c>
      <c r="O924" s="347">
        <v>19</v>
      </c>
      <c r="P924" s="325"/>
      <c r="Q924" s="351"/>
      <c r="R924" s="351">
        <v>0</v>
      </c>
      <c r="S924" s="351">
        <v>5.8</v>
      </c>
      <c r="T924" s="351">
        <v>0.215</v>
      </c>
      <c r="U924" s="329">
        <f>IF($N924=$N$4,IFERROR(INDEX(DanhMuc!$E$154:$E$165,MATCH(MID($B924,4,2),DanhMuc!$B$154:$B$165,0)),""),"")</f>
        <v>5800</v>
      </c>
      <c r="V924" s="325"/>
      <c r="W924" s="352" t="str">
        <f>+IF(AND($A924&lt;&gt;"",LEN($B924)&gt;=8,COUNTIF($B$6:$B924,$B924)=1),$W$5,"")</f>
        <v/>
      </c>
      <c r="X924" s="329" t="str">
        <f t="shared" si="92"/>
        <v>SL</v>
      </c>
      <c r="Y924" s="1128" t="s">
        <v>3380</v>
      </c>
      <c r="Z924" s="1128" t="s">
        <v>3381</v>
      </c>
      <c r="AA924" s="1128" t="s">
        <v>3384</v>
      </c>
      <c r="AC924" s="73"/>
    </row>
    <row r="925" spans="1:29" s="20" customFormat="1">
      <c r="A925" s="327" t="str">
        <f>IF(AND($B925&lt;&gt;"",$C925&lt;&gt;""),MAX($A$4:A924)+1,"")</f>
        <v/>
      </c>
      <c r="B925" s="361" t="s">
        <v>780</v>
      </c>
      <c r="C925" s="364"/>
      <c r="D925" s="327">
        <f>IF($B925="","",COUNTIF($B$6:$B925,$B925))</f>
        <v>14</v>
      </c>
      <c r="E925" s="361" t="s">
        <v>895</v>
      </c>
      <c r="F925" s="362" t="s">
        <v>2065</v>
      </c>
      <c r="G925" s="361" t="s">
        <v>328</v>
      </c>
      <c r="H925" s="325"/>
      <c r="I925" s="327">
        <v>6</v>
      </c>
      <c r="J925" s="361" t="s">
        <v>767</v>
      </c>
      <c r="K925" s="327" t="s">
        <v>516</v>
      </c>
      <c r="L925" s="348">
        <f t="shared" si="90"/>
        <v>66091</v>
      </c>
      <c r="M925" s="355"/>
      <c r="N925" s="355" t="str">
        <f t="shared" si="62"/>
        <v>PR</v>
      </c>
      <c r="O925" s="347">
        <v>19</v>
      </c>
      <c r="P925" s="325"/>
      <c r="Q925" s="351"/>
      <c r="R925" s="351">
        <v>0</v>
      </c>
      <c r="S925" s="351">
        <v>5.8</v>
      </c>
      <c r="T925" s="351">
        <v>0.215</v>
      </c>
      <c r="U925" s="329">
        <f>IF($N925=$N$4,IFERROR(INDEX(DanhMuc!$E$154:$E$165,MATCH(MID($B925,4,2),DanhMuc!$B$154:$B$165,0)),""),"")</f>
        <v>5800</v>
      </c>
      <c r="V925" s="325"/>
      <c r="W925" s="352" t="str">
        <f>+IF(AND($A925&lt;&gt;"",LEN($B925)&gt;=8,COUNTIF($B$6:$B925,$B925)=1),$W$5,"")</f>
        <v/>
      </c>
      <c r="X925" s="329" t="str">
        <f t="shared" si="92"/>
        <v>SL</v>
      </c>
      <c r="Y925" s="1128" t="s">
        <v>3380</v>
      </c>
      <c r="Z925" s="1128" t="s">
        <v>3381</v>
      </c>
      <c r="AA925" s="1128" t="s">
        <v>3384</v>
      </c>
      <c r="AC925" s="73"/>
    </row>
    <row r="926" spans="1:29" s="20" customFormat="1">
      <c r="A926" s="327" t="str">
        <f>IF(AND($B926&lt;&gt;"",$C926&lt;&gt;""),MAX($A$4:A925)+1,"")</f>
        <v/>
      </c>
      <c r="B926" s="361" t="s">
        <v>780</v>
      </c>
      <c r="C926" s="364"/>
      <c r="D926" s="327">
        <f>IF($B926="","",COUNTIF($B$6:$B926,$B926))</f>
        <v>15</v>
      </c>
      <c r="E926" s="361" t="s">
        <v>2291</v>
      </c>
      <c r="F926" s="362" t="s">
        <v>769</v>
      </c>
      <c r="G926" s="361" t="s">
        <v>329</v>
      </c>
      <c r="H926" s="328" t="s">
        <v>536</v>
      </c>
      <c r="I926" s="327">
        <v>2</v>
      </c>
      <c r="J926" s="361" t="s">
        <v>1211</v>
      </c>
      <c r="K926" s="327" t="s">
        <v>531</v>
      </c>
      <c r="L926" s="348">
        <f t="shared" si="90"/>
        <v>191999.99999999997</v>
      </c>
      <c r="M926" s="355"/>
      <c r="N926" s="355" t="str">
        <f t="shared" si="62"/>
        <v>PR</v>
      </c>
      <c r="O926" s="345"/>
      <c r="P926" s="325"/>
      <c r="Q926" s="351">
        <v>86</v>
      </c>
      <c r="R926" s="351">
        <v>1.5</v>
      </c>
      <c r="S926" s="351">
        <v>5.8</v>
      </c>
      <c r="T926" s="351">
        <f t="shared" ref="T926:T927" si="95">6.4/S926</f>
        <v>1.103448275862069</v>
      </c>
      <c r="U926" s="329">
        <f>IF($N926=$N$4,IFERROR(INDEX(DanhMuc!$E$154:$E$165,MATCH(MID($B926,4,2),DanhMuc!$B$154:$B$165,0)),""),"")</f>
        <v>5800</v>
      </c>
      <c r="V926" s="325"/>
      <c r="W926" s="352" t="str">
        <f>+IF(AND($A926&lt;&gt;"",LEN($B926)&gt;=8,COUNTIF($B$6:$B926,$B926)=1),$W$5,"")</f>
        <v/>
      </c>
      <c r="X926" s="329" t="str">
        <f t="shared" si="92"/>
        <v>TSL</v>
      </c>
      <c r="Y926" s="1128" t="s">
        <v>3380</v>
      </c>
      <c r="Z926" s="1128" t="s">
        <v>3381</v>
      </c>
      <c r="AA926" s="1128" t="s">
        <v>3384</v>
      </c>
      <c r="AC926" s="73"/>
    </row>
    <row r="927" spans="1:29" s="20" customFormat="1">
      <c r="A927" s="327" t="str">
        <f>IF(AND($B927&lt;&gt;"",$C927&lt;&gt;""),MAX($A$4:A926)+1,"")</f>
        <v/>
      </c>
      <c r="B927" s="361" t="s">
        <v>780</v>
      </c>
      <c r="C927" s="364"/>
      <c r="D927" s="327">
        <f>IF($B927="","",COUNTIF($B$6:$B927,$B927))</f>
        <v>16</v>
      </c>
      <c r="E927" s="361" t="s">
        <v>2291</v>
      </c>
      <c r="F927" s="362" t="s">
        <v>769</v>
      </c>
      <c r="G927" s="361" t="s">
        <v>328</v>
      </c>
      <c r="H927" s="328" t="s">
        <v>536</v>
      </c>
      <c r="I927" s="327">
        <v>2</v>
      </c>
      <c r="J927" s="361" t="s">
        <v>1212</v>
      </c>
      <c r="K927" s="327" t="s">
        <v>531</v>
      </c>
      <c r="L927" s="348">
        <f t="shared" si="90"/>
        <v>191999.99999999997</v>
      </c>
      <c r="M927" s="355"/>
      <c r="N927" s="355" t="str">
        <f t="shared" si="62"/>
        <v>PR</v>
      </c>
      <c r="O927" s="345"/>
      <c r="P927" s="325"/>
      <c r="Q927" s="351">
        <v>86</v>
      </c>
      <c r="R927" s="351">
        <v>1.5</v>
      </c>
      <c r="S927" s="351">
        <v>5.8</v>
      </c>
      <c r="T927" s="351">
        <f t="shared" si="95"/>
        <v>1.103448275862069</v>
      </c>
      <c r="U927" s="329">
        <f>IF($N927=$N$4,IFERROR(INDEX(DanhMuc!$E$154:$E$165,MATCH(MID($B927,4,2),DanhMuc!$B$154:$B$165,0)),""),"")</f>
        <v>5800</v>
      </c>
      <c r="V927" s="325"/>
      <c r="W927" s="352" t="str">
        <f>+IF(AND($A927&lt;&gt;"",LEN($B927)&gt;=8,COUNTIF($B$6:$B927,$B927)=1),$W$5,"")</f>
        <v/>
      </c>
      <c r="X927" s="329" t="str">
        <f t="shared" si="92"/>
        <v>TSL</v>
      </c>
      <c r="Y927" s="1128" t="s">
        <v>3380</v>
      </c>
      <c r="Z927" s="1128" t="s">
        <v>3381</v>
      </c>
      <c r="AA927" s="1128" t="s">
        <v>3384</v>
      </c>
      <c r="AC927" s="73"/>
    </row>
    <row r="928" spans="1:29" s="20" customFormat="1">
      <c r="A928" s="327" t="str">
        <f>IF(AND($B928&lt;&gt;"",$C928&lt;&gt;""),MAX($A$4:A927)+1,"")</f>
        <v/>
      </c>
      <c r="B928" s="361" t="s">
        <v>780</v>
      </c>
      <c r="C928" s="364"/>
      <c r="D928" s="327">
        <f>IF($B928="","",COUNTIF($B$6:$B928,$B928))</f>
        <v>17</v>
      </c>
      <c r="E928" s="361" t="s">
        <v>2298</v>
      </c>
      <c r="F928" s="362" t="s">
        <v>770</v>
      </c>
      <c r="G928" s="361" t="s">
        <v>329</v>
      </c>
      <c r="H928" s="328" t="s">
        <v>536</v>
      </c>
      <c r="I928" s="327">
        <v>6</v>
      </c>
      <c r="J928" s="361" t="s">
        <v>1216</v>
      </c>
      <c r="K928" s="327" t="s">
        <v>531</v>
      </c>
      <c r="L928" s="348">
        <f t="shared" si="90"/>
        <v>203999.99999999997</v>
      </c>
      <c r="M928" s="355"/>
      <c r="N928" s="355" t="str">
        <f t="shared" si="62"/>
        <v>PR</v>
      </c>
      <c r="O928" s="345"/>
      <c r="P928" s="325"/>
      <c r="Q928" s="351"/>
      <c r="R928" s="351">
        <v>1.5</v>
      </c>
      <c r="S928" s="351">
        <v>5.8</v>
      </c>
      <c r="T928" s="351">
        <f t="shared" ref="T928:T929" si="96">6.8/S928</f>
        <v>1.1724137931034482</v>
      </c>
      <c r="U928" s="329">
        <f>IF($N928=$N$4,IFERROR(INDEX(DanhMuc!$E$154:$E$165,MATCH(MID($B928,4,2),DanhMuc!$B$154:$B$165,0)),""),"")</f>
        <v>5800</v>
      </c>
      <c r="V928" s="325"/>
      <c r="W928" s="352" t="str">
        <f>+IF(AND($A928&lt;&gt;"",LEN($B928)&gt;=8,COUNTIF($B$6:$B928,$B928)=1),$W$5,"")</f>
        <v/>
      </c>
      <c r="X928" s="329" t="str">
        <f t="shared" si="92"/>
        <v>TSL</v>
      </c>
      <c r="Y928" s="1128" t="s">
        <v>3380</v>
      </c>
      <c r="Z928" s="1128" t="s">
        <v>3381</v>
      </c>
      <c r="AA928" s="1128" t="s">
        <v>3384</v>
      </c>
      <c r="AC928" s="73"/>
    </row>
    <row r="929" spans="1:29" s="20" customFormat="1">
      <c r="A929" s="327" t="str">
        <f>IF(AND($B929&lt;&gt;"",$C929&lt;&gt;""),MAX($A$4:A928)+1,"")</f>
        <v/>
      </c>
      <c r="B929" s="361" t="s">
        <v>780</v>
      </c>
      <c r="C929" s="364"/>
      <c r="D929" s="327">
        <f>IF($B929="","",COUNTIF($B$6:$B929,$B929))</f>
        <v>18</v>
      </c>
      <c r="E929" s="361" t="s">
        <v>2298</v>
      </c>
      <c r="F929" s="362" t="s">
        <v>770</v>
      </c>
      <c r="G929" s="361" t="s">
        <v>328</v>
      </c>
      <c r="H929" s="328" t="s">
        <v>536</v>
      </c>
      <c r="I929" s="327">
        <v>6</v>
      </c>
      <c r="J929" s="361" t="s">
        <v>1214</v>
      </c>
      <c r="K929" s="327" t="s">
        <v>531</v>
      </c>
      <c r="L929" s="348">
        <f t="shared" si="90"/>
        <v>203999.99999999997</v>
      </c>
      <c r="M929" s="355"/>
      <c r="N929" s="355" t="str">
        <f t="shared" si="62"/>
        <v>PR</v>
      </c>
      <c r="O929" s="345"/>
      <c r="P929" s="325"/>
      <c r="Q929" s="351"/>
      <c r="R929" s="351">
        <v>1.5</v>
      </c>
      <c r="S929" s="351">
        <v>5.8</v>
      </c>
      <c r="T929" s="351">
        <f t="shared" si="96"/>
        <v>1.1724137931034482</v>
      </c>
      <c r="U929" s="329">
        <f>IF($N929=$N$4,IFERROR(INDEX(DanhMuc!$E$154:$E$165,MATCH(MID($B929,4,2),DanhMuc!$B$154:$B$165,0)),""),"")</f>
        <v>5800</v>
      </c>
      <c r="V929" s="325"/>
      <c r="W929" s="352" t="str">
        <f>+IF(AND($A929&lt;&gt;"",LEN($B929)&gt;=8,COUNTIF($B$6:$B929,$B929)=1),$W$5,"")</f>
        <v/>
      </c>
      <c r="X929" s="329" t="str">
        <f t="shared" si="92"/>
        <v>TSL</v>
      </c>
      <c r="Y929" s="1128" t="s">
        <v>3380</v>
      </c>
      <c r="Z929" s="1128" t="s">
        <v>3381</v>
      </c>
      <c r="AA929" s="1128" t="s">
        <v>3384</v>
      </c>
      <c r="AC929" s="73"/>
    </row>
    <row r="930" spans="1:29" s="20" customFormat="1">
      <c r="A930" s="327" t="str">
        <f>IF(AND($B930&lt;&gt;"",$C930&lt;&gt;""),MAX($A$4:A929)+1,"")</f>
        <v/>
      </c>
      <c r="B930" s="361" t="s">
        <v>780</v>
      </c>
      <c r="C930" s="364"/>
      <c r="D930" s="327">
        <f>IF($B930="","",COUNTIF($B$6:$B930,$B930))</f>
        <v>19</v>
      </c>
      <c r="E930" s="361" t="s">
        <v>2295</v>
      </c>
      <c r="F930" s="362" t="s">
        <v>772</v>
      </c>
      <c r="G930" s="361" t="s">
        <v>329</v>
      </c>
      <c r="H930" s="328" t="s">
        <v>536</v>
      </c>
      <c r="I930" s="327">
        <v>1</v>
      </c>
      <c r="J930" s="361" t="s">
        <v>768</v>
      </c>
      <c r="K930" s="327" t="s">
        <v>531</v>
      </c>
      <c r="L930" s="348">
        <f t="shared" si="90"/>
        <v>180000</v>
      </c>
      <c r="M930" s="355"/>
      <c r="N930" s="355" t="str">
        <f t="shared" si="62"/>
        <v>PR</v>
      </c>
      <c r="O930" s="345"/>
      <c r="P930" s="325"/>
      <c r="Q930" s="351"/>
      <c r="R930" s="351">
        <v>1.5</v>
      </c>
      <c r="S930" s="351">
        <v>5.8</v>
      </c>
      <c r="T930" s="351">
        <f>6/S930</f>
        <v>1.0344827586206897</v>
      </c>
      <c r="U930" s="329">
        <f>IF($N930=$N$4,IFERROR(INDEX(DanhMuc!$E$154:$E$165,MATCH(MID($B930,4,2),DanhMuc!$B$154:$B$165,0)),""),"")</f>
        <v>5800</v>
      </c>
      <c r="V930" s="325"/>
      <c r="W930" s="352" t="str">
        <f>+IF(AND($A930&lt;&gt;"",LEN($B930)&gt;=8,COUNTIF($B$6:$B930,$B930)=1),$W$5,"")</f>
        <v/>
      </c>
      <c r="X930" s="329" t="str">
        <f t="shared" si="92"/>
        <v>TSL</v>
      </c>
      <c r="Y930" s="1128" t="s">
        <v>3380</v>
      </c>
      <c r="Z930" s="1128" t="s">
        <v>3381</v>
      </c>
      <c r="AA930" s="1128" t="s">
        <v>3384</v>
      </c>
      <c r="AC930" s="73"/>
    </row>
    <row r="931" spans="1:29" s="20" customFormat="1" ht="26">
      <c r="A931" s="327">
        <f>IF(AND($B931&lt;&gt;"",$C931&lt;&gt;""),MAX($A$4:A930)+1,"")</f>
        <v>72</v>
      </c>
      <c r="B931" s="359" t="s">
        <v>781</v>
      </c>
      <c r="C931" s="370" t="s">
        <v>1568</v>
      </c>
      <c r="D931" s="327">
        <f>IF($B931="","",COUNTIF($B$6:$B931,$B931))</f>
        <v>1</v>
      </c>
      <c r="E931" s="363" t="s">
        <v>617</v>
      </c>
      <c r="F931" s="362" t="s">
        <v>618</v>
      </c>
      <c r="G931" s="361" t="s">
        <v>329</v>
      </c>
      <c r="H931" s="325"/>
      <c r="I931" s="327">
        <v>2</v>
      </c>
      <c r="J931" s="361" t="s">
        <v>762</v>
      </c>
      <c r="K931" s="327" t="s">
        <v>516</v>
      </c>
      <c r="L931" s="348">
        <f t="shared" si="90"/>
        <v>315084.99999999994</v>
      </c>
      <c r="M931" s="355"/>
      <c r="N931" s="355" t="str">
        <f t="shared" si="62"/>
        <v>PR</v>
      </c>
      <c r="O931" s="345"/>
      <c r="P931" s="325"/>
      <c r="Q931" s="351"/>
      <c r="R931" s="351">
        <v>0</v>
      </c>
      <c r="S931" s="351">
        <v>5.8</v>
      </c>
      <c r="T931" s="351">
        <v>1.0249999999999999</v>
      </c>
      <c r="U931" s="329">
        <f>IF($N931=$N$4,IFERROR(INDEX(DanhMuc!$E$154:$E$165,MATCH(MID($B931,4,2),DanhMuc!$B$154:$B$165,0)),""),"")</f>
        <v>5800</v>
      </c>
      <c r="V931" s="325"/>
      <c r="W931" s="352" t="str">
        <f>+IF(AND($A931&lt;&gt;"",LEN($B931)&gt;=8,COUNTIF($B$6:$B931,$B931)=1),$W$5,"")</f>
        <v>DMCua</v>
      </c>
      <c r="X931" s="329" t="str">
        <f t="shared" si="92"/>
        <v>SL</v>
      </c>
      <c r="Y931" s="1128" t="s">
        <v>3380</v>
      </c>
      <c r="Z931" s="1128" t="s">
        <v>3381</v>
      </c>
      <c r="AA931" s="1128" t="s">
        <v>3384</v>
      </c>
      <c r="AC931" s="73"/>
    </row>
    <row r="932" spans="1:29" s="20" customFormat="1">
      <c r="A932" s="327" t="str">
        <f>IF(AND($B932&lt;&gt;"",$C932&lt;&gt;""),MAX($A$4:A931)+1,"")</f>
        <v/>
      </c>
      <c r="B932" s="361" t="s">
        <v>781</v>
      </c>
      <c r="C932" s="364"/>
      <c r="D932" s="327">
        <f>IF($B932="","",COUNTIF($B$6:$B932,$B932))</f>
        <v>2</v>
      </c>
      <c r="E932" s="363" t="s">
        <v>617</v>
      </c>
      <c r="F932" s="362" t="s">
        <v>618</v>
      </c>
      <c r="G932" s="361" t="s">
        <v>328</v>
      </c>
      <c r="H932" s="325"/>
      <c r="I932" s="327">
        <v>2</v>
      </c>
      <c r="J932" s="361" t="s">
        <v>763</v>
      </c>
      <c r="K932" s="327" t="s">
        <v>516</v>
      </c>
      <c r="L932" s="348">
        <f t="shared" si="90"/>
        <v>315084.99999999994</v>
      </c>
      <c r="M932" s="355"/>
      <c r="N932" s="355" t="str">
        <f t="shared" si="62"/>
        <v>PR</v>
      </c>
      <c r="O932" s="347"/>
      <c r="P932" s="325"/>
      <c r="Q932" s="351"/>
      <c r="R932" s="351">
        <v>0</v>
      </c>
      <c r="S932" s="351">
        <v>5.8</v>
      </c>
      <c r="T932" s="351">
        <v>1.0249999999999999</v>
      </c>
      <c r="U932" s="329">
        <f>IF($N932=$N$4,IFERROR(INDEX(DanhMuc!$E$154:$E$165,MATCH(MID($B932,4,2),DanhMuc!$B$154:$B$165,0)),""),"")</f>
        <v>5800</v>
      </c>
      <c r="V932" s="325"/>
      <c r="W932" s="352" t="str">
        <f>+IF(AND($A932&lt;&gt;"",LEN($B932)&gt;=8,COUNTIF($B$6:$B932,$B932)=1),$W$5,"")</f>
        <v/>
      </c>
      <c r="X932" s="329" t="str">
        <f t="shared" si="92"/>
        <v>SL</v>
      </c>
      <c r="Y932" s="1128" t="s">
        <v>3380</v>
      </c>
      <c r="Z932" s="1128" t="s">
        <v>3381</v>
      </c>
      <c r="AA932" s="1128" t="s">
        <v>3384</v>
      </c>
      <c r="AC932" s="73"/>
    </row>
    <row r="933" spans="1:29" s="20" customFormat="1">
      <c r="A933" s="327" t="str">
        <f>IF(AND($B933&lt;&gt;"",$C933&lt;&gt;""),MAX($A$4:A932)+1,"")</f>
        <v/>
      </c>
      <c r="B933" s="361" t="s">
        <v>781</v>
      </c>
      <c r="C933" s="364"/>
      <c r="D933" s="327">
        <f>IF($B933="","",COUNTIF($B$6:$B933,$B933))</f>
        <v>3</v>
      </c>
      <c r="E933" s="361" t="s">
        <v>619</v>
      </c>
      <c r="F933" s="362" t="s">
        <v>620</v>
      </c>
      <c r="G933" s="361" t="s">
        <v>329</v>
      </c>
      <c r="H933" s="325"/>
      <c r="I933" s="327">
        <v>8</v>
      </c>
      <c r="J933" s="361" t="s">
        <v>782</v>
      </c>
      <c r="K933" s="327" t="s">
        <v>516</v>
      </c>
      <c r="L933" s="348">
        <f t="shared" si="90"/>
        <v>356584</v>
      </c>
      <c r="M933" s="355"/>
      <c r="N933" s="355" t="str">
        <f t="shared" si="62"/>
        <v>PR</v>
      </c>
      <c r="O933" s="345" t="s">
        <v>19</v>
      </c>
      <c r="P933" s="325"/>
      <c r="Q933" s="351"/>
      <c r="R933" s="351">
        <v>0</v>
      </c>
      <c r="S933" s="351">
        <v>5.8</v>
      </c>
      <c r="T933" s="351">
        <v>1.1599999999999999</v>
      </c>
      <c r="U933" s="329">
        <f>IF($N933=$N$4,IFERROR(INDEX(DanhMuc!$E$154:$E$165,MATCH(MID($B933,4,2),DanhMuc!$B$154:$B$165,0)),""),"")</f>
        <v>5800</v>
      </c>
      <c r="V933" s="325"/>
      <c r="W933" s="352" t="str">
        <f>+IF(AND($A933&lt;&gt;"",LEN($B933)&gt;=8,COUNTIF($B$6:$B933,$B933)=1),$W$5,"")</f>
        <v/>
      </c>
      <c r="X933" s="329" t="str">
        <f t="shared" si="92"/>
        <v>SL</v>
      </c>
      <c r="Y933" s="1128" t="s">
        <v>3380</v>
      </c>
      <c r="Z933" s="1128" t="s">
        <v>3381</v>
      </c>
      <c r="AA933" s="1128" t="s">
        <v>3384</v>
      </c>
      <c r="AC933" s="73"/>
    </row>
    <row r="934" spans="1:29" s="20" customFormat="1">
      <c r="A934" s="327" t="str">
        <f>IF(AND($B934&lt;&gt;"",$C934&lt;&gt;""),MAX($A$4:A933)+1,"")</f>
        <v/>
      </c>
      <c r="B934" s="361" t="s">
        <v>781</v>
      </c>
      <c r="C934" s="364"/>
      <c r="D934" s="327">
        <f>IF($B934="","",COUNTIF($B$6:$B934,$B934))</f>
        <v>4</v>
      </c>
      <c r="E934" s="361" t="s">
        <v>619</v>
      </c>
      <c r="F934" s="362" t="s">
        <v>620</v>
      </c>
      <c r="G934" s="361" t="s">
        <v>328</v>
      </c>
      <c r="H934" s="325"/>
      <c r="I934" s="327">
        <v>8</v>
      </c>
      <c r="J934" s="361" t="s">
        <v>765</v>
      </c>
      <c r="K934" s="327" t="s">
        <v>516</v>
      </c>
      <c r="L934" s="348">
        <f t="shared" si="90"/>
        <v>356584</v>
      </c>
      <c r="M934" s="355"/>
      <c r="N934" s="355" t="str">
        <f t="shared" si="62"/>
        <v>PR</v>
      </c>
      <c r="O934" s="345" t="s">
        <v>19</v>
      </c>
      <c r="P934" s="325"/>
      <c r="Q934" s="351"/>
      <c r="R934" s="351">
        <v>0</v>
      </c>
      <c r="S934" s="351">
        <v>5.8</v>
      </c>
      <c r="T934" s="351">
        <v>1.1599999999999999</v>
      </c>
      <c r="U934" s="329">
        <f>IF($N934=$N$4,IFERROR(INDEX(DanhMuc!$E$154:$E$165,MATCH(MID($B934,4,2),DanhMuc!$B$154:$B$165,0)),""),"")</f>
        <v>5800</v>
      </c>
      <c r="V934" s="325"/>
      <c r="W934" s="352" t="str">
        <f>+IF(AND($A934&lt;&gt;"",LEN($B934)&gt;=8,COUNTIF($B$6:$B934,$B934)=1),$W$5,"")</f>
        <v/>
      </c>
      <c r="X934" s="329" t="str">
        <f t="shared" si="92"/>
        <v>SL</v>
      </c>
      <c r="Y934" s="1128" t="s">
        <v>3380</v>
      </c>
      <c r="Z934" s="1128" t="s">
        <v>3381</v>
      </c>
      <c r="AA934" s="1128" t="s">
        <v>3384</v>
      </c>
      <c r="AC934" s="73"/>
    </row>
    <row r="935" spans="1:29" s="20" customFormat="1">
      <c r="A935" s="327" t="str">
        <f>IF(AND($B935&lt;&gt;"",$C935&lt;&gt;""),MAX($A$4:A934)+1,"")</f>
        <v/>
      </c>
      <c r="B935" s="361" t="s">
        <v>781</v>
      </c>
      <c r="C935" s="364"/>
      <c r="D935" s="327">
        <f>IF($B935="","",COUNTIF($B$6:$B935,$B935))</f>
        <v>5</v>
      </c>
      <c r="E935" s="361" t="s">
        <v>621</v>
      </c>
      <c r="F935" s="362" t="s">
        <v>622</v>
      </c>
      <c r="G935" s="361" t="s">
        <v>329</v>
      </c>
      <c r="H935" s="325"/>
      <c r="I935" s="327">
        <v>8</v>
      </c>
      <c r="J935" s="361" t="s">
        <v>782</v>
      </c>
      <c r="K935" s="327" t="s">
        <v>516</v>
      </c>
      <c r="L935" s="348">
        <f t="shared" si="90"/>
        <v>356584</v>
      </c>
      <c r="M935" s="355"/>
      <c r="N935" s="355" t="str">
        <f t="shared" si="62"/>
        <v>PR</v>
      </c>
      <c r="O935" s="345" t="s">
        <v>16</v>
      </c>
      <c r="P935" s="325"/>
      <c r="Q935" s="351"/>
      <c r="R935" s="351">
        <v>0</v>
      </c>
      <c r="S935" s="351">
        <v>5.8</v>
      </c>
      <c r="T935" s="351">
        <v>1.1599999999999999</v>
      </c>
      <c r="U935" s="329">
        <f>IF($N935=$N$4,IFERROR(INDEX(DanhMuc!$E$154:$E$165,MATCH(MID($B935,4,2),DanhMuc!$B$154:$B$165,0)),""),"")</f>
        <v>5800</v>
      </c>
      <c r="V935" s="325"/>
      <c r="W935" s="352" t="str">
        <f>+IF(AND($A935&lt;&gt;"",LEN($B935)&gt;=8,COUNTIF($B$6:$B935,$B935)=1),$W$5,"")</f>
        <v/>
      </c>
      <c r="X935" s="329" t="str">
        <f t="shared" si="92"/>
        <v>SL</v>
      </c>
      <c r="Y935" s="1128" t="s">
        <v>3380</v>
      </c>
      <c r="Z935" s="1128" t="s">
        <v>3381</v>
      </c>
      <c r="AA935" s="1128" t="s">
        <v>3384</v>
      </c>
      <c r="AC935" s="73"/>
    </row>
    <row r="936" spans="1:29" s="20" customFormat="1">
      <c r="A936" s="327" t="str">
        <f>IF(AND($B936&lt;&gt;"",$C936&lt;&gt;""),MAX($A$4:A935)+1,"")</f>
        <v/>
      </c>
      <c r="B936" s="361" t="s">
        <v>781</v>
      </c>
      <c r="C936" s="364"/>
      <c r="D936" s="327">
        <f>IF($B936="","",COUNTIF($B$6:$B936,$B936))</f>
        <v>6</v>
      </c>
      <c r="E936" s="361" t="s">
        <v>621</v>
      </c>
      <c r="F936" s="362" t="s">
        <v>622</v>
      </c>
      <c r="G936" s="361" t="s">
        <v>328</v>
      </c>
      <c r="H936" s="325"/>
      <c r="I936" s="327">
        <v>8</v>
      </c>
      <c r="J936" s="361" t="s">
        <v>765</v>
      </c>
      <c r="K936" s="327" t="s">
        <v>516</v>
      </c>
      <c r="L936" s="348">
        <f t="shared" si="90"/>
        <v>356584</v>
      </c>
      <c r="M936" s="355"/>
      <c r="N936" s="355" t="str">
        <f t="shared" si="62"/>
        <v>PR</v>
      </c>
      <c r="O936" s="345" t="s">
        <v>16</v>
      </c>
      <c r="P936" s="325"/>
      <c r="Q936" s="351"/>
      <c r="R936" s="351">
        <v>0</v>
      </c>
      <c r="S936" s="351">
        <v>5.8</v>
      </c>
      <c r="T936" s="351">
        <v>1.1599999999999999</v>
      </c>
      <c r="U936" s="329">
        <f>IF($N936=$N$4,IFERROR(INDEX(DanhMuc!$E$154:$E$165,MATCH(MID($B936,4,2),DanhMuc!$B$154:$B$165,0)),""),"")</f>
        <v>5800</v>
      </c>
      <c r="V936" s="325"/>
      <c r="W936" s="352" t="str">
        <f>+IF(AND($A936&lt;&gt;"",LEN($B936)&gt;=8,COUNTIF($B$6:$B936,$B936)=1),$W$5,"")</f>
        <v/>
      </c>
      <c r="X936" s="329" t="str">
        <f t="shared" si="92"/>
        <v>SL</v>
      </c>
      <c r="Y936" s="1128" t="s">
        <v>3380</v>
      </c>
      <c r="Z936" s="1128" t="s">
        <v>3381</v>
      </c>
      <c r="AA936" s="1128" t="s">
        <v>3384</v>
      </c>
      <c r="AC936" s="73"/>
    </row>
    <row r="937" spans="1:29" s="20" customFormat="1">
      <c r="A937" s="327" t="str">
        <f>IF(AND($B937&lt;&gt;"",$C937&lt;&gt;""),MAX($A$4:A936)+1,"")</f>
        <v/>
      </c>
      <c r="B937" s="361" t="s">
        <v>781</v>
      </c>
      <c r="C937" s="364"/>
      <c r="D937" s="327">
        <f>IF($B937="","",COUNTIF($B$6:$B937,$B937))</f>
        <v>7</v>
      </c>
      <c r="E937" s="361" t="s">
        <v>443</v>
      </c>
      <c r="F937" s="362" t="s">
        <v>444</v>
      </c>
      <c r="G937" s="361" t="s">
        <v>329</v>
      </c>
      <c r="H937" s="325"/>
      <c r="I937" s="327">
        <v>2</v>
      </c>
      <c r="J937" s="361" t="s">
        <v>768</v>
      </c>
      <c r="K937" s="327" t="s">
        <v>531</v>
      </c>
      <c r="L937" s="348">
        <f t="shared" si="90"/>
        <v>342751</v>
      </c>
      <c r="M937" s="355"/>
      <c r="N937" s="355" t="str">
        <f t="shared" si="62"/>
        <v>PR</v>
      </c>
      <c r="O937" s="345" t="s">
        <v>19</v>
      </c>
      <c r="P937" s="325"/>
      <c r="Q937" s="351"/>
      <c r="R937" s="351">
        <v>0</v>
      </c>
      <c r="S937" s="351">
        <v>5.8</v>
      </c>
      <c r="T937" s="351">
        <v>1.115</v>
      </c>
      <c r="U937" s="329">
        <f>IF($N937=$N$4,IFERROR(INDEX(DanhMuc!$E$154:$E$165,MATCH(MID($B937,4,2),DanhMuc!$B$154:$B$165,0)),""),"")</f>
        <v>5800</v>
      </c>
      <c r="V937" s="325"/>
      <c r="W937" s="352" t="str">
        <f>+IF(AND($A937&lt;&gt;"",LEN($B937)&gt;=8,COUNTIF($B$6:$B937,$B937)=1),$W$5,"")</f>
        <v/>
      </c>
      <c r="X937" s="329" t="str">
        <f t="shared" si="92"/>
        <v>SL</v>
      </c>
      <c r="Y937" s="1128" t="s">
        <v>3380</v>
      </c>
      <c r="Z937" s="1128" t="s">
        <v>3381</v>
      </c>
      <c r="AA937" s="1128" t="s">
        <v>3384</v>
      </c>
      <c r="AC937" s="73"/>
    </row>
    <row r="938" spans="1:29" s="20" customFormat="1">
      <c r="A938" s="327" t="str">
        <f>IF(AND($B938&lt;&gt;"",$C938&lt;&gt;""),MAX($A$4:A937)+1,"")</f>
        <v/>
      </c>
      <c r="B938" s="361" t="s">
        <v>781</v>
      </c>
      <c r="C938" s="364"/>
      <c r="D938" s="327">
        <f>IF($B938="","",COUNTIF($B$6:$B938,$B938))</f>
        <v>8</v>
      </c>
      <c r="E938" s="361" t="s">
        <v>776</v>
      </c>
      <c r="F938" s="362" t="s">
        <v>761</v>
      </c>
      <c r="G938" s="361" t="s">
        <v>328</v>
      </c>
      <c r="H938" s="325"/>
      <c r="I938" s="327">
        <v>1</v>
      </c>
      <c r="J938" s="361" t="s">
        <v>1278</v>
      </c>
      <c r="K938" s="327" t="s">
        <v>531</v>
      </c>
      <c r="L938" s="348">
        <f t="shared" si="90"/>
        <v>282808</v>
      </c>
      <c r="M938" s="355"/>
      <c r="N938" s="355" t="str">
        <f t="shared" si="62"/>
        <v>PR</v>
      </c>
      <c r="O938" s="345"/>
      <c r="P938" s="325"/>
      <c r="Q938" s="351"/>
      <c r="R938" s="351">
        <v>0</v>
      </c>
      <c r="S938" s="351">
        <v>5.8</v>
      </c>
      <c r="T938" s="351">
        <v>0.92</v>
      </c>
      <c r="U938" s="329">
        <f>IF($N938=$N$4,IFERROR(INDEX(DanhMuc!$E$154:$E$165,MATCH(MID($B938,4,2),DanhMuc!$B$154:$B$165,0)),""),"")</f>
        <v>5800</v>
      </c>
      <c r="V938" s="325"/>
      <c r="W938" s="352" t="str">
        <f>+IF(AND($A938&lt;&gt;"",LEN($B938)&gt;=8,COUNTIF($B$6:$B938,$B938)=1),$W$5,"")</f>
        <v/>
      </c>
      <c r="X938" s="329" t="str">
        <f t="shared" si="92"/>
        <v>SL</v>
      </c>
      <c r="Y938" s="1128" t="s">
        <v>3380</v>
      </c>
      <c r="Z938" s="1128" t="s">
        <v>3381</v>
      </c>
      <c r="AA938" s="1128" t="s">
        <v>3384</v>
      </c>
      <c r="AC938" s="73"/>
    </row>
    <row r="939" spans="1:29" s="20" customFormat="1">
      <c r="A939" s="327" t="str">
        <f>IF(AND($B939&lt;&gt;"",$C939&lt;&gt;""),MAX($A$4:A938)+1,"")</f>
        <v/>
      </c>
      <c r="B939" s="361" t="s">
        <v>781</v>
      </c>
      <c r="C939" s="364"/>
      <c r="D939" s="327">
        <f>IF($B939="","",COUNTIF($B$6:$B939,$B939))</f>
        <v>9</v>
      </c>
      <c r="E939" s="361" t="s">
        <v>381</v>
      </c>
      <c r="F939" s="362" t="s">
        <v>896</v>
      </c>
      <c r="G939" s="361" t="s">
        <v>329</v>
      </c>
      <c r="H939" s="325"/>
      <c r="I939" s="327">
        <v>8</v>
      </c>
      <c r="J939" s="361" t="s">
        <v>783</v>
      </c>
      <c r="K939" s="327" t="s">
        <v>516</v>
      </c>
      <c r="L939" s="348">
        <f t="shared" si="90"/>
        <v>89146</v>
      </c>
      <c r="M939" s="355"/>
      <c r="N939" s="355" t="str">
        <f t="shared" si="62"/>
        <v>PR</v>
      </c>
      <c r="O939" s="347">
        <v>7</v>
      </c>
      <c r="P939" s="325"/>
      <c r="Q939" s="351"/>
      <c r="R939" s="351">
        <v>0</v>
      </c>
      <c r="S939" s="351">
        <v>5.8</v>
      </c>
      <c r="T939" s="351">
        <v>0.28999999999999998</v>
      </c>
      <c r="U939" s="329">
        <f>IF($N939=$N$4,IFERROR(INDEX(DanhMuc!$E$154:$E$165,MATCH(MID($B939,4,2),DanhMuc!$B$154:$B$165,0)),""),"")</f>
        <v>5800</v>
      </c>
      <c r="V939" s="325"/>
      <c r="W939" s="352" t="str">
        <f>+IF(AND($A939&lt;&gt;"",LEN($B939)&gt;=8,COUNTIF($B$6:$B939,$B939)=1),$W$5,"")</f>
        <v/>
      </c>
      <c r="X939" s="329" t="str">
        <f t="shared" si="92"/>
        <v>SL</v>
      </c>
      <c r="Y939" s="1128" t="s">
        <v>3380</v>
      </c>
      <c r="Z939" s="1128" t="s">
        <v>3381</v>
      </c>
      <c r="AA939" s="1128" t="s">
        <v>3384</v>
      </c>
      <c r="AC939" s="73"/>
    </row>
    <row r="940" spans="1:29" s="20" customFormat="1">
      <c r="A940" s="327" t="str">
        <f>IF(AND($B940&lt;&gt;"",$C940&lt;&gt;""),MAX($A$4:A939)+1,"")</f>
        <v/>
      </c>
      <c r="B940" s="361" t="s">
        <v>781</v>
      </c>
      <c r="C940" s="364"/>
      <c r="D940" s="327">
        <f>IF($B940="","",COUNTIF($B$6:$B940,$B940))</f>
        <v>10</v>
      </c>
      <c r="E940" s="361" t="s">
        <v>381</v>
      </c>
      <c r="F940" s="362" t="s">
        <v>896</v>
      </c>
      <c r="G940" s="361" t="s">
        <v>328</v>
      </c>
      <c r="H940" s="325"/>
      <c r="I940" s="327">
        <v>8</v>
      </c>
      <c r="J940" s="361" t="s">
        <v>767</v>
      </c>
      <c r="K940" s="327" t="s">
        <v>516</v>
      </c>
      <c r="L940" s="348">
        <f t="shared" si="90"/>
        <v>89146</v>
      </c>
      <c r="M940" s="355"/>
      <c r="N940" s="355" t="str">
        <f t="shared" si="62"/>
        <v>PR</v>
      </c>
      <c r="O940" s="347">
        <v>7</v>
      </c>
      <c r="P940" s="325"/>
      <c r="Q940" s="351"/>
      <c r="R940" s="351">
        <v>0</v>
      </c>
      <c r="S940" s="351">
        <v>5.8</v>
      </c>
      <c r="T940" s="351">
        <v>0.28999999999999998</v>
      </c>
      <c r="U940" s="329">
        <f>IF($N940=$N$4,IFERROR(INDEX(DanhMuc!$E$154:$E$165,MATCH(MID($B940,4,2),DanhMuc!$B$154:$B$165,0)),""),"")</f>
        <v>5800</v>
      </c>
      <c r="V940" s="325"/>
      <c r="W940" s="352" t="str">
        <f>+IF(AND($A940&lt;&gt;"",LEN($B940)&gt;=8,COUNTIF($B$6:$B940,$B940)=1),$W$5,"")</f>
        <v/>
      </c>
      <c r="X940" s="329" t="str">
        <f t="shared" si="92"/>
        <v>SL</v>
      </c>
      <c r="Y940" s="1128" t="s">
        <v>3380</v>
      </c>
      <c r="Z940" s="1128" t="s">
        <v>3381</v>
      </c>
      <c r="AA940" s="1128" t="s">
        <v>3384</v>
      </c>
      <c r="AC940" s="73"/>
    </row>
    <row r="941" spans="1:29" s="20" customFormat="1">
      <c r="A941" s="327" t="str">
        <f>IF(AND($B941&lt;&gt;"",$C941&lt;&gt;""),MAX($A$4:A940)+1,"")</f>
        <v/>
      </c>
      <c r="B941" s="361" t="s">
        <v>781</v>
      </c>
      <c r="C941" s="364"/>
      <c r="D941" s="327">
        <f>IF($B941="","",COUNTIF($B$6:$B941,$B941))</f>
        <v>11</v>
      </c>
      <c r="E941" s="361" t="s">
        <v>382</v>
      </c>
      <c r="F941" s="362" t="s">
        <v>897</v>
      </c>
      <c r="G941" s="361" t="s">
        <v>329</v>
      </c>
      <c r="H941" s="325"/>
      <c r="I941" s="327">
        <v>8</v>
      </c>
      <c r="J941" s="361" t="s">
        <v>783</v>
      </c>
      <c r="K941" s="327" t="s">
        <v>516</v>
      </c>
      <c r="L941" s="348">
        <f t="shared" si="90"/>
        <v>82075.8</v>
      </c>
      <c r="M941" s="355"/>
      <c r="N941" s="355" t="str">
        <f t="shared" si="62"/>
        <v>PR</v>
      </c>
      <c r="O941" s="347">
        <v>11</v>
      </c>
      <c r="P941" s="325"/>
      <c r="Q941" s="351"/>
      <c r="R941" s="351">
        <v>0</v>
      </c>
      <c r="S941" s="351">
        <v>5.8</v>
      </c>
      <c r="T941" s="351">
        <v>0.26700000000000002</v>
      </c>
      <c r="U941" s="329">
        <f>IF($N941=$N$4,IFERROR(INDEX(DanhMuc!$E$154:$E$165,MATCH(MID($B941,4,2),DanhMuc!$B$154:$B$165,0)),""),"")</f>
        <v>5800</v>
      </c>
      <c r="V941" s="325"/>
      <c r="W941" s="352" t="str">
        <f>+IF(AND($A941&lt;&gt;"",LEN($B941)&gt;=8,COUNTIF($B$6:$B941,$B941)=1),$W$5,"")</f>
        <v/>
      </c>
      <c r="X941" s="329" t="str">
        <f t="shared" si="92"/>
        <v>SL</v>
      </c>
      <c r="Y941" s="1128" t="s">
        <v>3380</v>
      </c>
      <c r="Z941" s="1128" t="s">
        <v>3381</v>
      </c>
      <c r="AA941" s="1128" t="s">
        <v>3384</v>
      </c>
      <c r="AC941" s="73"/>
    </row>
    <row r="942" spans="1:29" s="20" customFormat="1">
      <c r="A942" s="327" t="str">
        <f>IF(AND($B942&lt;&gt;"",$C942&lt;&gt;""),MAX($A$4:A941)+1,"")</f>
        <v/>
      </c>
      <c r="B942" s="361" t="s">
        <v>781</v>
      </c>
      <c r="C942" s="364"/>
      <c r="D942" s="327">
        <f>IF($B942="","",COUNTIF($B$6:$B942,$B942))</f>
        <v>12</v>
      </c>
      <c r="E942" s="361" t="s">
        <v>382</v>
      </c>
      <c r="F942" s="362" t="s">
        <v>897</v>
      </c>
      <c r="G942" s="361" t="s">
        <v>328</v>
      </c>
      <c r="H942" s="325"/>
      <c r="I942" s="327">
        <v>8</v>
      </c>
      <c r="J942" s="361" t="s">
        <v>767</v>
      </c>
      <c r="K942" s="327" t="s">
        <v>516</v>
      </c>
      <c r="L942" s="348">
        <f t="shared" si="90"/>
        <v>82075.8</v>
      </c>
      <c r="M942" s="355"/>
      <c r="N942" s="355" t="str">
        <f t="shared" si="62"/>
        <v>PR</v>
      </c>
      <c r="O942" s="347">
        <v>11</v>
      </c>
      <c r="P942" s="325"/>
      <c r="Q942" s="351"/>
      <c r="R942" s="351">
        <v>0</v>
      </c>
      <c r="S942" s="351">
        <v>5.8</v>
      </c>
      <c r="T942" s="351">
        <v>0.26700000000000002</v>
      </c>
      <c r="U942" s="329">
        <f>IF($N942=$N$4,IFERROR(INDEX(DanhMuc!$E$154:$E$165,MATCH(MID($B942,4,2),DanhMuc!$B$154:$B$165,0)),""),"")</f>
        <v>5800</v>
      </c>
      <c r="V942" s="325"/>
      <c r="W942" s="352" t="str">
        <f>+IF(AND($A942&lt;&gt;"",LEN($B942)&gt;=8,COUNTIF($B$6:$B942,$B942)=1),$W$5,"")</f>
        <v/>
      </c>
      <c r="X942" s="329" t="str">
        <f t="shared" si="92"/>
        <v>SL</v>
      </c>
      <c r="Y942" s="1128" t="s">
        <v>3380</v>
      </c>
      <c r="Z942" s="1128" t="s">
        <v>3381</v>
      </c>
      <c r="AA942" s="1128" t="s">
        <v>3384</v>
      </c>
      <c r="AC942" s="73"/>
    </row>
    <row r="943" spans="1:29" s="20" customFormat="1">
      <c r="A943" s="327" t="str">
        <f>IF(AND($B943&lt;&gt;"",$C943&lt;&gt;""),MAX($A$4:A942)+1,"")</f>
        <v/>
      </c>
      <c r="B943" s="361" t="s">
        <v>781</v>
      </c>
      <c r="C943" s="364"/>
      <c r="D943" s="327">
        <f>IF($B943="","",COUNTIF($B$6:$B943,$B943))</f>
        <v>13</v>
      </c>
      <c r="E943" s="361" t="s">
        <v>895</v>
      </c>
      <c r="F943" s="362" t="s">
        <v>2065</v>
      </c>
      <c r="G943" s="361" t="s">
        <v>329</v>
      </c>
      <c r="H943" s="325"/>
      <c r="I943" s="327">
        <v>8</v>
      </c>
      <c r="J943" s="361" t="s">
        <v>783</v>
      </c>
      <c r="K943" s="327" t="s">
        <v>516</v>
      </c>
      <c r="L943" s="348">
        <f t="shared" ref="L943:L1007" si="97">+$T943*$S943*IF(IFERROR(SEARCH("THÉP",$F943,1),0)&lt;1,$L$708,$K$708)</f>
        <v>66091</v>
      </c>
      <c r="M943" s="355"/>
      <c r="N943" s="355" t="str">
        <f t="shared" si="62"/>
        <v>PR</v>
      </c>
      <c r="O943" s="347">
        <v>19</v>
      </c>
      <c r="P943" s="325"/>
      <c r="Q943" s="351"/>
      <c r="R943" s="351">
        <v>0</v>
      </c>
      <c r="S943" s="351">
        <v>5.8</v>
      </c>
      <c r="T943" s="351">
        <v>0.215</v>
      </c>
      <c r="U943" s="329">
        <f>IF($N943=$N$4,IFERROR(INDEX(DanhMuc!$E$154:$E$165,MATCH(MID($B943,4,2),DanhMuc!$B$154:$B$165,0)),""),"")</f>
        <v>5800</v>
      </c>
      <c r="V943" s="325"/>
      <c r="W943" s="352" t="str">
        <f>+IF(AND($A943&lt;&gt;"",LEN($B943)&gt;=8,COUNTIF($B$6:$B943,$B943)=1),$W$5,"")</f>
        <v/>
      </c>
      <c r="X943" s="329" t="str">
        <f t="shared" si="92"/>
        <v>SL</v>
      </c>
      <c r="Y943" s="1128" t="s">
        <v>3380</v>
      </c>
      <c r="Z943" s="1128" t="s">
        <v>3381</v>
      </c>
      <c r="AA943" s="1128" t="s">
        <v>3384</v>
      </c>
      <c r="AC943" s="73"/>
    </row>
    <row r="944" spans="1:29" s="20" customFormat="1">
      <c r="A944" s="327" t="str">
        <f>IF(AND($B944&lt;&gt;"",$C944&lt;&gt;""),MAX($A$4:A943)+1,"")</f>
        <v/>
      </c>
      <c r="B944" s="361" t="s">
        <v>781</v>
      </c>
      <c r="C944" s="364"/>
      <c r="D944" s="327">
        <f>IF($B944="","",COUNTIF($B$6:$B944,$B944))</f>
        <v>14</v>
      </c>
      <c r="E944" s="361" t="s">
        <v>895</v>
      </c>
      <c r="F944" s="362" t="s">
        <v>2065</v>
      </c>
      <c r="G944" s="361" t="s">
        <v>328</v>
      </c>
      <c r="H944" s="325"/>
      <c r="I944" s="327">
        <v>8</v>
      </c>
      <c r="J944" s="361" t="s">
        <v>767</v>
      </c>
      <c r="K944" s="327" t="s">
        <v>516</v>
      </c>
      <c r="L944" s="348">
        <f t="shared" si="97"/>
        <v>66091</v>
      </c>
      <c r="M944" s="355"/>
      <c r="N944" s="355" t="str">
        <f t="shared" si="62"/>
        <v>PR</v>
      </c>
      <c r="O944" s="347">
        <v>19</v>
      </c>
      <c r="P944" s="325"/>
      <c r="Q944" s="351"/>
      <c r="R944" s="351">
        <v>0</v>
      </c>
      <c r="S944" s="351">
        <v>5.8</v>
      </c>
      <c r="T944" s="351">
        <v>0.215</v>
      </c>
      <c r="U944" s="329">
        <f>IF($N944=$N$4,IFERROR(INDEX(DanhMuc!$E$154:$E$165,MATCH(MID($B944,4,2),DanhMuc!$B$154:$B$165,0)),""),"")</f>
        <v>5800</v>
      </c>
      <c r="V944" s="325"/>
      <c r="W944" s="352" t="str">
        <f>+IF(AND($A944&lt;&gt;"",LEN($B944)&gt;=8,COUNTIF($B$6:$B944,$B944)=1),$W$5,"")</f>
        <v/>
      </c>
      <c r="X944" s="329" t="str">
        <f t="shared" si="92"/>
        <v>SL</v>
      </c>
      <c r="Y944" s="1128" t="s">
        <v>3380</v>
      </c>
      <c r="Z944" s="1128" t="s">
        <v>3381</v>
      </c>
      <c r="AA944" s="1128" t="s">
        <v>3384</v>
      </c>
      <c r="AC944" s="73"/>
    </row>
    <row r="945" spans="1:29" s="20" customFormat="1">
      <c r="A945" s="327" t="str">
        <f>IF(AND($B945&lt;&gt;"",$C945&lt;&gt;""),MAX($A$4:A944)+1,"")</f>
        <v/>
      </c>
      <c r="B945" s="361" t="s">
        <v>781</v>
      </c>
      <c r="C945" s="364"/>
      <c r="D945" s="327">
        <f>IF($B945="","",COUNTIF($B$6:$B945,$B945))</f>
        <v>15</v>
      </c>
      <c r="E945" s="361" t="s">
        <v>2291</v>
      </c>
      <c r="F945" s="362" t="s">
        <v>769</v>
      </c>
      <c r="G945" s="361" t="s">
        <v>329</v>
      </c>
      <c r="H945" s="328" t="s">
        <v>536</v>
      </c>
      <c r="I945" s="327">
        <v>2</v>
      </c>
      <c r="J945" s="361" t="s">
        <v>1211</v>
      </c>
      <c r="K945" s="327" t="s">
        <v>531</v>
      </c>
      <c r="L945" s="348">
        <f t="shared" si="97"/>
        <v>191999.99999999997</v>
      </c>
      <c r="M945" s="355"/>
      <c r="N945" s="355" t="str">
        <f t="shared" si="62"/>
        <v>PR</v>
      </c>
      <c r="O945" s="345"/>
      <c r="P945" s="325"/>
      <c r="Q945" s="351">
        <v>86</v>
      </c>
      <c r="R945" s="351">
        <v>1.5</v>
      </c>
      <c r="S945" s="351">
        <v>5.8</v>
      </c>
      <c r="T945" s="351">
        <f t="shared" ref="T945:T946" si="98">6.4/S945</f>
        <v>1.103448275862069</v>
      </c>
      <c r="U945" s="329">
        <f>IF($N945=$N$4,IFERROR(INDEX(DanhMuc!$E$154:$E$165,MATCH(MID($B945,4,2),DanhMuc!$B$154:$B$165,0)),""),"")</f>
        <v>5800</v>
      </c>
      <c r="V945" s="325"/>
      <c r="W945" s="352" t="str">
        <f>+IF(AND($A945&lt;&gt;"",LEN($B945)&gt;=8,COUNTIF($B$6:$B945,$B945)=1),$W$5,"")</f>
        <v/>
      </c>
      <c r="X945" s="329" t="str">
        <f t="shared" si="92"/>
        <v>TSL</v>
      </c>
      <c r="Y945" s="1128" t="s">
        <v>3380</v>
      </c>
      <c r="Z945" s="1128" t="s">
        <v>3381</v>
      </c>
      <c r="AA945" s="1128" t="s">
        <v>3384</v>
      </c>
      <c r="AC945" s="73"/>
    </row>
    <row r="946" spans="1:29" s="20" customFormat="1">
      <c r="A946" s="327" t="str">
        <f>IF(AND($B946&lt;&gt;"",$C946&lt;&gt;""),MAX($A$4:A945)+1,"")</f>
        <v/>
      </c>
      <c r="B946" s="361" t="s">
        <v>781</v>
      </c>
      <c r="C946" s="364"/>
      <c r="D946" s="327">
        <f>IF($B946="","",COUNTIF($B$6:$B946,$B946))</f>
        <v>16</v>
      </c>
      <c r="E946" s="361" t="s">
        <v>2291</v>
      </c>
      <c r="F946" s="362" t="s">
        <v>769</v>
      </c>
      <c r="G946" s="361" t="s">
        <v>328</v>
      </c>
      <c r="H946" s="328" t="s">
        <v>536</v>
      </c>
      <c r="I946" s="327">
        <v>2</v>
      </c>
      <c r="J946" s="361" t="s">
        <v>1212</v>
      </c>
      <c r="K946" s="327" t="s">
        <v>531</v>
      </c>
      <c r="L946" s="348">
        <f t="shared" si="97"/>
        <v>191999.99999999997</v>
      </c>
      <c r="M946" s="355"/>
      <c r="N946" s="355" t="str">
        <f t="shared" si="62"/>
        <v>PR</v>
      </c>
      <c r="O946" s="345"/>
      <c r="P946" s="325"/>
      <c r="Q946" s="351">
        <v>86</v>
      </c>
      <c r="R946" s="351">
        <v>1.5</v>
      </c>
      <c r="S946" s="351">
        <v>5.8</v>
      </c>
      <c r="T946" s="351">
        <f t="shared" si="98"/>
        <v>1.103448275862069</v>
      </c>
      <c r="U946" s="329">
        <f>IF($N946=$N$4,IFERROR(INDEX(DanhMuc!$E$154:$E$165,MATCH(MID($B946,4,2),DanhMuc!$B$154:$B$165,0)),""),"")</f>
        <v>5800</v>
      </c>
      <c r="V946" s="325"/>
      <c r="W946" s="352" t="str">
        <f>+IF(AND($A946&lt;&gt;"",LEN($B946)&gt;=8,COUNTIF($B$6:$B946,$B946)=1),$W$5,"")</f>
        <v/>
      </c>
      <c r="X946" s="329" t="str">
        <f t="shared" si="92"/>
        <v>TSL</v>
      </c>
      <c r="Y946" s="1128" t="s">
        <v>3380</v>
      </c>
      <c r="Z946" s="1128" t="s">
        <v>3381</v>
      </c>
      <c r="AA946" s="1128" t="s">
        <v>3384</v>
      </c>
      <c r="AC946" s="73"/>
    </row>
    <row r="947" spans="1:29" s="20" customFormat="1">
      <c r="A947" s="327" t="str">
        <f>IF(AND($B947&lt;&gt;"",$C947&lt;&gt;""),MAX($A$4:A946)+1,"")</f>
        <v/>
      </c>
      <c r="B947" s="361" t="s">
        <v>781</v>
      </c>
      <c r="C947" s="364"/>
      <c r="D947" s="327">
        <f>IF($B947="","",COUNTIF($B$6:$B947,$B947))</f>
        <v>17</v>
      </c>
      <c r="E947" s="361" t="s">
        <v>2298</v>
      </c>
      <c r="F947" s="362" t="s">
        <v>770</v>
      </c>
      <c r="G947" s="361" t="s">
        <v>329</v>
      </c>
      <c r="H947" s="328" t="s">
        <v>536</v>
      </c>
      <c r="I947" s="327">
        <v>8</v>
      </c>
      <c r="J947" s="361" t="s">
        <v>1217</v>
      </c>
      <c r="K947" s="327" t="s">
        <v>531</v>
      </c>
      <c r="L947" s="348">
        <f t="shared" si="97"/>
        <v>203999.99999999997</v>
      </c>
      <c r="M947" s="355"/>
      <c r="N947" s="355" t="str">
        <f t="shared" si="62"/>
        <v>PR</v>
      </c>
      <c r="O947" s="345"/>
      <c r="P947" s="325"/>
      <c r="Q947" s="351"/>
      <c r="R947" s="351">
        <v>1.5</v>
      </c>
      <c r="S947" s="351">
        <v>5.8</v>
      </c>
      <c r="T947" s="351">
        <f t="shared" ref="T947:T948" si="99">6.8/S947</f>
        <v>1.1724137931034482</v>
      </c>
      <c r="U947" s="329">
        <f>IF($N947=$N$4,IFERROR(INDEX(DanhMuc!$E$154:$E$165,MATCH(MID($B947,4,2),DanhMuc!$B$154:$B$165,0)),""),"")</f>
        <v>5800</v>
      </c>
      <c r="V947" s="325"/>
      <c r="W947" s="352" t="str">
        <f>+IF(AND($A947&lt;&gt;"",LEN($B947)&gt;=8,COUNTIF($B$6:$B947,$B947)=1),$W$5,"")</f>
        <v/>
      </c>
      <c r="X947" s="329" t="str">
        <f t="shared" si="92"/>
        <v>TSL</v>
      </c>
      <c r="Y947" s="1128" t="s">
        <v>3380</v>
      </c>
      <c r="Z947" s="1128" t="s">
        <v>3381</v>
      </c>
      <c r="AA947" s="1128" t="s">
        <v>3384</v>
      </c>
      <c r="AC947" s="73"/>
    </row>
    <row r="948" spans="1:29" s="20" customFormat="1">
      <c r="A948" s="327" t="str">
        <f>IF(AND($B948&lt;&gt;"",$C948&lt;&gt;""),MAX($A$4:A947)+1,"")</f>
        <v/>
      </c>
      <c r="B948" s="361" t="s">
        <v>781</v>
      </c>
      <c r="C948" s="364"/>
      <c r="D948" s="327">
        <f>IF($B948="","",COUNTIF($B$6:$B948,$B948))</f>
        <v>18</v>
      </c>
      <c r="E948" s="361" t="s">
        <v>2298</v>
      </c>
      <c r="F948" s="362" t="s">
        <v>770</v>
      </c>
      <c r="G948" s="361" t="s">
        <v>328</v>
      </c>
      <c r="H948" s="328" t="s">
        <v>536</v>
      </c>
      <c r="I948" s="327">
        <v>8</v>
      </c>
      <c r="J948" s="361" t="s">
        <v>1214</v>
      </c>
      <c r="K948" s="327" t="s">
        <v>531</v>
      </c>
      <c r="L948" s="348">
        <f t="shared" si="97"/>
        <v>203999.99999999997</v>
      </c>
      <c r="M948" s="355"/>
      <c r="N948" s="355" t="str">
        <f t="shared" si="62"/>
        <v>PR</v>
      </c>
      <c r="O948" s="345"/>
      <c r="P948" s="325"/>
      <c r="Q948" s="351"/>
      <c r="R948" s="351">
        <v>1.5</v>
      </c>
      <c r="S948" s="351">
        <v>5.8</v>
      </c>
      <c r="T948" s="351">
        <f t="shared" si="99"/>
        <v>1.1724137931034482</v>
      </c>
      <c r="U948" s="329">
        <f>IF($N948=$N$4,IFERROR(INDEX(DanhMuc!$E$154:$E$165,MATCH(MID($B948,4,2),DanhMuc!$B$154:$B$165,0)),""),"")</f>
        <v>5800</v>
      </c>
      <c r="V948" s="325"/>
      <c r="W948" s="352" t="str">
        <f>+IF(AND($A948&lt;&gt;"",LEN($B948)&gt;=8,COUNTIF($B$6:$B948,$B948)=1),$W$5,"")</f>
        <v/>
      </c>
      <c r="X948" s="329" t="str">
        <f t="shared" si="92"/>
        <v>TSL</v>
      </c>
      <c r="Y948" s="1128" t="s">
        <v>3380</v>
      </c>
      <c r="Z948" s="1128" t="s">
        <v>3381</v>
      </c>
      <c r="AA948" s="1128" t="s">
        <v>3384</v>
      </c>
      <c r="AC948" s="73"/>
    </row>
    <row r="949" spans="1:29" s="20" customFormat="1">
      <c r="A949" s="327" t="str">
        <f>IF(AND($B949&lt;&gt;"",$C949&lt;&gt;""),MAX($A$4:A948)+1,"")</f>
        <v/>
      </c>
      <c r="B949" s="361" t="s">
        <v>781</v>
      </c>
      <c r="C949" s="364"/>
      <c r="D949" s="327">
        <f>IF($B949="","",COUNTIF($B$6:$B949,$B949))</f>
        <v>19</v>
      </c>
      <c r="E949" s="361" t="s">
        <v>2295</v>
      </c>
      <c r="F949" s="362" t="s">
        <v>772</v>
      </c>
      <c r="G949" s="361" t="s">
        <v>329</v>
      </c>
      <c r="H949" s="328" t="s">
        <v>536</v>
      </c>
      <c r="I949" s="327">
        <v>2</v>
      </c>
      <c r="J949" s="361" t="s">
        <v>768</v>
      </c>
      <c r="K949" s="327" t="s">
        <v>531</v>
      </c>
      <c r="L949" s="348">
        <f t="shared" si="97"/>
        <v>180000</v>
      </c>
      <c r="M949" s="355"/>
      <c r="N949" s="355" t="str">
        <f t="shared" si="62"/>
        <v>PR</v>
      </c>
      <c r="O949" s="345"/>
      <c r="P949" s="325"/>
      <c r="Q949" s="351"/>
      <c r="R949" s="351">
        <v>1.5</v>
      </c>
      <c r="S949" s="351">
        <v>5.8</v>
      </c>
      <c r="T949" s="351">
        <f>6/S949</f>
        <v>1.0344827586206897</v>
      </c>
      <c r="U949" s="329">
        <f>IF($N949=$N$4,IFERROR(INDEX(DanhMuc!$E$154:$E$165,MATCH(MID($B949,4,2),DanhMuc!$B$154:$B$165,0)),""),"")</f>
        <v>5800</v>
      </c>
      <c r="V949" s="325"/>
      <c r="W949" s="352" t="str">
        <f>+IF(AND($A949&lt;&gt;"",LEN($B949)&gt;=8,COUNTIF($B$6:$B949,$B949)=1),$W$5,"")</f>
        <v/>
      </c>
      <c r="X949" s="329" t="str">
        <f t="shared" si="92"/>
        <v>TSL</v>
      </c>
      <c r="Y949" s="1128" t="s">
        <v>3380</v>
      </c>
      <c r="Z949" s="1128" t="s">
        <v>3381</v>
      </c>
      <c r="AA949" s="1128" t="s">
        <v>3384</v>
      </c>
      <c r="AC949" s="73"/>
    </row>
    <row r="950" spans="1:29" s="20" customFormat="1" ht="26">
      <c r="A950" s="327">
        <f>IF(AND($B950&lt;&gt;"",$C950&lt;&gt;""),MAX($A$4:A949)+1,"")</f>
        <v>73</v>
      </c>
      <c r="B950" s="359" t="s">
        <v>862</v>
      </c>
      <c r="C950" s="370" t="s">
        <v>1595</v>
      </c>
      <c r="D950" s="327">
        <f>IF($B950="","",COUNTIF($B$6:$B950,$B950))</f>
        <v>1</v>
      </c>
      <c r="E950" s="363" t="s">
        <v>617</v>
      </c>
      <c r="F950" s="362" t="s">
        <v>618</v>
      </c>
      <c r="G950" s="361" t="s">
        <v>329</v>
      </c>
      <c r="H950" s="325"/>
      <c r="I950" s="327">
        <v>2</v>
      </c>
      <c r="J950" s="361" t="s">
        <v>762</v>
      </c>
      <c r="K950" s="327" t="s">
        <v>516</v>
      </c>
      <c r="L950" s="348">
        <f t="shared" si="97"/>
        <v>315084.99999999994</v>
      </c>
      <c r="M950" s="355"/>
      <c r="N950" s="355" t="str">
        <f t="shared" ref="N950:N963" si="100">+$N$4</f>
        <v>PR</v>
      </c>
      <c r="O950" s="345"/>
      <c r="P950" s="325"/>
      <c r="Q950" s="351"/>
      <c r="R950" s="351">
        <v>0</v>
      </c>
      <c r="S950" s="351">
        <v>5.8</v>
      </c>
      <c r="T950" s="351">
        <v>1.0249999999999999</v>
      </c>
      <c r="U950" s="329">
        <f>IF($N950=$N$4,IFERROR(INDEX(DanhMuc!$E$154:$E$165,MATCH(MID($B950,4,2),DanhMuc!$B$154:$B$165,0)),""),"")</f>
        <v>5800</v>
      </c>
      <c r="V950" s="325"/>
      <c r="W950" s="352" t="str">
        <f>+IF(AND($A950&lt;&gt;"",LEN($B950)&gt;=8,COUNTIF($B$6:$B950,$B950)=1),$W$5,"")</f>
        <v>DMCua</v>
      </c>
      <c r="X950" s="329" t="str">
        <f t="shared" si="92"/>
        <v>SL</v>
      </c>
      <c r="Y950" s="1128" t="s">
        <v>3380</v>
      </c>
      <c r="Z950" s="1128" t="s">
        <v>3381</v>
      </c>
      <c r="AA950" s="1128" t="s">
        <v>3384</v>
      </c>
      <c r="AC950" s="73"/>
    </row>
    <row r="951" spans="1:29" s="20" customFormat="1">
      <c r="A951" s="327" t="str">
        <f>IF(AND($B951&lt;&gt;"",$C951&lt;&gt;""),MAX($A$4:A950)+1,"")</f>
        <v/>
      </c>
      <c r="B951" s="361" t="s">
        <v>862</v>
      </c>
      <c r="C951" s="364"/>
      <c r="D951" s="327">
        <f>IF($B951="","",COUNTIF($B$6:$B951,$B951))</f>
        <v>2</v>
      </c>
      <c r="E951" s="363" t="s">
        <v>617</v>
      </c>
      <c r="F951" s="362" t="s">
        <v>618</v>
      </c>
      <c r="G951" s="361" t="s">
        <v>328</v>
      </c>
      <c r="H951" s="325"/>
      <c r="I951" s="327">
        <v>2</v>
      </c>
      <c r="J951" s="361" t="s">
        <v>763</v>
      </c>
      <c r="K951" s="327" t="s">
        <v>516</v>
      </c>
      <c r="L951" s="348">
        <f t="shared" si="97"/>
        <v>315084.99999999994</v>
      </c>
      <c r="M951" s="355"/>
      <c r="N951" s="355" t="str">
        <f t="shared" si="100"/>
        <v>PR</v>
      </c>
      <c r="O951" s="347"/>
      <c r="P951" s="325"/>
      <c r="Q951" s="351"/>
      <c r="R951" s="351">
        <v>0</v>
      </c>
      <c r="S951" s="351">
        <v>5.8</v>
      </c>
      <c r="T951" s="351">
        <v>1.0249999999999999</v>
      </c>
      <c r="U951" s="329">
        <f>IF($N951=$N$4,IFERROR(INDEX(DanhMuc!$E$154:$E$165,MATCH(MID($B951,4,2),DanhMuc!$B$154:$B$165,0)),""),"")</f>
        <v>5800</v>
      </c>
      <c r="V951" s="325"/>
      <c r="W951" s="352" t="str">
        <f>+IF(AND($A951&lt;&gt;"",LEN($B951)&gt;=8,COUNTIF($B$6:$B951,$B951)=1),$W$5,"")</f>
        <v/>
      </c>
      <c r="X951" s="329" t="str">
        <f t="shared" si="92"/>
        <v>SL</v>
      </c>
      <c r="Y951" s="1128" t="s">
        <v>3380</v>
      </c>
      <c r="Z951" s="1128" t="s">
        <v>3381</v>
      </c>
      <c r="AA951" s="1128" t="s">
        <v>3384</v>
      </c>
      <c r="AC951" s="73"/>
    </row>
    <row r="952" spans="1:29" s="20" customFormat="1">
      <c r="A952" s="327" t="str">
        <f>IF(AND($B952&lt;&gt;"",$C952&lt;&gt;""),MAX($A$4:A951)+1,"")</f>
        <v/>
      </c>
      <c r="B952" s="361" t="s">
        <v>862</v>
      </c>
      <c r="C952" s="364"/>
      <c r="D952" s="327">
        <f>IF($B952="","",COUNTIF($B$6:$B952,$B952))</f>
        <v>3</v>
      </c>
      <c r="E952" s="361" t="s">
        <v>619</v>
      </c>
      <c r="F952" s="362" t="s">
        <v>620</v>
      </c>
      <c r="G952" s="361" t="s">
        <v>329</v>
      </c>
      <c r="H952" s="325"/>
      <c r="I952" s="327">
        <v>2</v>
      </c>
      <c r="J952" s="361" t="s">
        <v>764</v>
      </c>
      <c r="K952" s="327" t="s">
        <v>516</v>
      </c>
      <c r="L952" s="348">
        <f t="shared" si="97"/>
        <v>356584</v>
      </c>
      <c r="M952" s="355"/>
      <c r="N952" s="355" t="str">
        <f t="shared" si="100"/>
        <v>PR</v>
      </c>
      <c r="O952" s="345"/>
      <c r="P952" s="325"/>
      <c r="Q952" s="351"/>
      <c r="R952" s="351">
        <v>0</v>
      </c>
      <c r="S952" s="351">
        <v>5.8</v>
      </c>
      <c r="T952" s="351">
        <v>1.1599999999999999</v>
      </c>
      <c r="U952" s="329">
        <f>IF($N952=$N$4,IFERROR(INDEX(DanhMuc!$E$154:$E$165,MATCH(MID($B952,4,2),DanhMuc!$B$154:$B$165,0)),""),"")</f>
        <v>5800</v>
      </c>
      <c r="V952" s="325"/>
      <c r="W952" s="352" t="str">
        <f>+IF(AND($A952&lt;&gt;"",LEN($B952)&gt;=8,COUNTIF($B$6:$B952,$B952)=1),$W$5,"")</f>
        <v/>
      </c>
      <c r="X952" s="329" t="str">
        <f t="shared" si="92"/>
        <v>SL</v>
      </c>
      <c r="Y952" s="1128" t="s">
        <v>3380</v>
      </c>
      <c r="Z952" s="1128" t="s">
        <v>3381</v>
      </c>
      <c r="AA952" s="1128" t="s">
        <v>3384</v>
      </c>
      <c r="AC952" s="73"/>
    </row>
    <row r="953" spans="1:29" s="20" customFormat="1">
      <c r="A953" s="327" t="str">
        <f>IF(AND($B953&lt;&gt;"",$C953&lt;&gt;""),MAX($A$4:A952)+1,"")</f>
        <v/>
      </c>
      <c r="B953" s="361" t="s">
        <v>862</v>
      </c>
      <c r="C953" s="364"/>
      <c r="D953" s="327">
        <f>IF($B953="","",COUNTIF($B$6:$B953,$B953))</f>
        <v>4</v>
      </c>
      <c r="E953" s="361" t="s">
        <v>619</v>
      </c>
      <c r="F953" s="362" t="s">
        <v>620</v>
      </c>
      <c r="G953" s="361" t="s">
        <v>328</v>
      </c>
      <c r="H953" s="325"/>
      <c r="I953" s="327">
        <v>2</v>
      </c>
      <c r="J953" s="361" t="s">
        <v>765</v>
      </c>
      <c r="K953" s="327" t="s">
        <v>516</v>
      </c>
      <c r="L953" s="348">
        <f t="shared" si="97"/>
        <v>356584</v>
      </c>
      <c r="M953" s="355"/>
      <c r="N953" s="355" t="str">
        <f t="shared" si="100"/>
        <v>PR</v>
      </c>
      <c r="O953" s="345"/>
      <c r="P953" s="325"/>
      <c r="Q953" s="351"/>
      <c r="R953" s="351">
        <v>0</v>
      </c>
      <c r="S953" s="351">
        <v>5.8</v>
      </c>
      <c r="T953" s="351">
        <v>1.1599999999999999</v>
      </c>
      <c r="U953" s="329">
        <f>IF($N953=$N$4,IFERROR(INDEX(DanhMuc!$E$154:$E$165,MATCH(MID($B953,4,2),DanhMuc!$B$154:$B$165,0)),""),"")</f>
        <v>5800</v>
      </c>
      <c r="V953" s="325"/>
      <c r="W953" s="352" t="str">
        <f>+IF(AND($A953&lt;&gt;"",LEN($B953)&gt;=8,COUNTIF($B$6:$B953,$B953)=1),$W$5,"")</f>
        <v/>
      </c>
      <c r="X953" s="329" t="str">
        <f t="shared" si="92"/>
        <v>SL</v>
      </c>
      <c r="Y953" s="1128" t="s">
        <v>3380</v>
      </c>
      <c r="Z953" s="1128" t="s">
        <v>3381</v>
      </c>
      <c r="AA953" s="1128" t="s">
        <v>3384</v>
      </c>
      <c r="AC953" s="73"/>
    </row>
    <row r="954" spans="1:29" s="20" customFormat="1">
      <c r="A954" s="327" t="str">
        <f>IF(AND($B954&lt;&gt;"",$C954&lt;&gt;""),MAX($A$4:A953)+1,"")</f>
        <v/>
      </c>
      <c r="B954" s="361" t="s">
        <v>862</v>
      </c>
      <c r="C954" s="364"/>
      <c r="D954" s="327">
        <f>IF($B954="","",COUNTIF($B$6:$B954,$B954))</f>
        <v>5</v>
      </c>
      <c r="E954" s="361" t="s">
        <v>381</v>
      </c>
      <c r="F954" s="362" t="s">
        <v>896</v>
      </c>
      <c r="G954" s="361" t="s">
        <v>329</v>
      </c>
      <c r="H954" s="325"/>
      <c r="I954" s="327">
        <v>2</v>
      </c>
      <c r="J954" s="361" t="s">
        <v>766</v>
      </c>
      <c r="K954" s="327" t="s">
        <v>516</v>
      </c>
      <c r="L954" s="348">
        <f t="shared" si="97"/>
        <v>89146</v>
      </c>
      <c r="M954" s="355"/>
      <c r="N954" s="355" t="str">
        <f t="shared" si="100"/>
        <v>PR</v>
      </c>
      <c r="O954" s="347">
        <v>7</v>
      </c>
      <c r="P954" s="325"/>
      <c r="Q954" s="351"/>
      <c r="R954" s="351">
        <v>0</v>
      </c>
      <c r="S954" s="351">
        <v>5.8</v>
      </c>
      <c r="T954" s="351">
        <v>0.28999999999999998</v>
      </c>
      <c r="U954" s="329">
        <f>IF($N954=$N$4,IFERROR(INDEX(DanhMuc!$E$154:$E$165,MATCH(MID($B954,4,2),DanhMuc!$B$154:$B$165,0)),""),"")</f>
        <v>5800</v>
      </c>
      <c r="V954" s="325"/>
      <c r="W954" s="352" t="str">
        <f>+IF(AND($A954&lt;&gt;"",LEN($B954)&gt;=8,COUNTIF($B$6:$B954,$B954)=1),$W$5,"")</f>
        <v/>
      </c>
      <c r="X954" s="329" t="str">
        <f t="shared" si="92"/>
        <v>SL</v>
      </c>
      <c r="Y954" s="1128" t="s">
        <v>3380</v>
      </c>
      <c r="Z954" s="1128" t="s">
        <v>3381</v>
      </c>
      <c r="AA954" s="1128" t="s">
        <v>3384</v>
      </c>
      <c r="AC954" s="73"/>
    </row>
    <row r="955" spans="1:29" s="20" customFormat="1">
      <c r="A955" s="327" t="str">
        <f>IF(AND($B955&lt;&gt;"",$C955&lt;&gt;""),MAX($A$4:A954)+1,"")</f>
        <v/>
      </c>
      <c r="B955" s="361" t="s">
        <v>862</v>
      </c>
      <c r="C955" s="364"/>
      <c r="D955" s="327">
        <f>IF($B955="","",COUNTIF($B$6:$B955,$B955))</f>
        <v>6</v>
      </c>
      <c r="E955" s="361" t="s">
        <v>381</v>
      </c>
      <c r="F955" s="362" t="s">
        <v>896</v>
      </c>
      <c r="G955" s="361" t="s">
        <v>328</v>
      </c>
      <c r="H955" s="325"/>
      <c r="I955" s="327">
        <v>2</v>
      </c>
      <c r="J955" s="361" t="s">
        <v>767</v>
      </c>
      <c r="K955" s="327" t="s">
        <v>516</v>
      </c>
      <c r="L955" s="348">
        <f t="shared" si="97"/>
        <v>89146</v>
      </c>
      <c r="M955" s="355"/>
      <c r="N955" s="355" t="str">
        <f t="shared" si="100"/>
        <v>PR</v>
      </c>
      <c r="O955" s="347">
        <v>7</v>
      </c>
      <c r="P955" s="325"/>
      <c r="Q955" s="351"/>
      <c r="R955" s="351">
        <v>0</v>
      </c>
      <c r="S955" s="351">
        <v>5.8</v>
      </c>
      <c r="T955" s="351">
        <v>0.28999999999999998</v>
      </c>
      <c r="U955" s="329">
        <f>IF($N955=$N$4,IFERROR(INDEX(DanhMuc!$E$154:$E$165,MATCH(MID($B955,4,2),DanhMuc!$B$154:$B$165,0)),""),"")</f>
        <v>5800</v>
      </c>
      <c r="V955" s="325"/>
      <c r="W955" s="352" t="str">
        <f>+IF(AND($A955&lt;&gt;"",LEN($B955)&gt;=8,COUNTIF($B$6:$B955,$B955)=1),$W$5,"")</f>
        <v/>
      </c>
      <c r="X955" s="329" t="str">
        <f t="shared" si="92"/>
        <v>SL</v>
      </c>
      <c r="Y955" s="1128" t="s">
        <v>3380</v>
      </c>
      <c r="Z955" s="1128" t="s">
        <v>3381</v>
      </c>
      <c r="AA955" s="1128" t="s">
        <v>3384</v>
      </c>
      <c r="AC955" s="73"/>
    </row>
    <row r="956" spans="1:29" s="20" customFormat="1">
      <c r="A956" s="327" t="str">
        <f>IF(AND($B956&lt;&gt;"",$C956&lt;&gt;""),MAX($A$4:A955)+1,"")</f>
        <v/>
      </c>
      <c r="B956" s="361" t="s">
        <v>862</v>
      </c>
      <c r="C956" s="364"/>
      <c r="D956" s="327">
        <f>IF($B956="","",COUNTIF($B$6:$B956,$B956))</f>
        <v>7</v>
      </c>
      <c r="E956" s="361" t="s">
        <v>382</v>
      </c>
      <c r="F956" s="362" t="s">
        <v>897</v>
      </c>
      <c r="G956" s="361" t="s">
        <v>329</v>
      </c>
      <c r="H956" s="325"/>
      <c r="I956" s="327">
        <v>2</v>
      </c>
      <c r="J956" s="361" t="s">
        <v>766</v>
      </c>
      <c r="K956" s="327" t="s">
        <v>516</v>
      </c>
      <c r="L956" s="348">
        <f t="shared" si="97"/>
        <v>82075.8</v>
      </c>
      <c r="M956" s="355"/>
      <c r="N956" s="355" t="str">
        <f t="shared" si="100"/>
        <v>PR</v>
      </c>
      <c r="O956" s="347">
        <v>11</v>
      </c>
      <c r="P956" s="325"/>
      <c r="Q956" s="351"/>
      <c r="R956" s="351">
        <v>0</v>
      </c>
      <c r="S956" s="351">
        <v>5.8</v>
      </c>
      <c r="T956" s="351">
        <v>0.26700000000000002</v>
      </c>
      <c r="U956" s="329">
        <f>IF($N956=$N$4,IFERROR(INDEX(DanhMuc!$E$154:$E$165,MATCH(MID($B956,4,2),DanhMuc!$B$154:$B$165,0)),""),"")</f>
        <v>5800</v>
      </c>
      <c r="V956" s="325"/>
      <c r="W956" s="352" t="str">
        <f>+IF(AND($A956&lt;&gt;"",LEN($B956)&gt;=8,COUNTIF($B$6:$B956,$B956)=1),$W$5,"")</f>
        <v/>
      </c>
      <c r="X956" s="329" t="str">
        <f t="shared" si="92"/>
        <v>SL</v>
      </c>
      <c r="Y956" s="1128" t="s">
        <v>3380</v>
      </c>
      <c r="Z956" s="1128" t="s">
        <v>3381</v>
      </c>
      <c r="AA956" s="1128" t="s">
        <v>3384</v>
      </c>
      <c r="AC956" s="73"/>
    </row>
    <row r="957" spans="1:29" s="20" customFormat="1">
      <c r="A957" s="327" t="str">
        <f>IF(AND($B957&lt;&gt;"",$C957&lt;&gt;""),MAX($A$4:A956)+1,"")</f>
        <v/>
      </c>
      <c r="B957" s="361" t="s">
        <v>862</v>
      </c>
      <c r="C957" s="364"/>
      <c r="D957" s="327">
        <f>IF($B957="","",COUNTIF($B$6:$B957,$B957))</f>
        <v>8</v>
      </c>
      <c r="E957" s="361" t="s">
        <v>382</v>
      </c>
      <c r="F957" s="362" t="s">
        <v>897</v>
      </c>
      <c r="G957" s="361" t="s">
        <v>328</v>
      </c>
      <c r="H957" s="325"/>
      <c r="I957" s="327">
        <v>2</v>
      </c>
      <c r="J957" s="361" t="s">
        <v>767</v>
      </c>
      <c r="K957" s="327" t="s">
        <v>516</v>
      </c>
      <c r="L957" s="348">
        <f t="shared" si="97"/>
        <v>82075.8</v>
      </c>
      <c r="M957" s="355"/>
      <c r="N957" s="355" t="str">
        <f t="shared" si="100"/>
        <v>PR</v>
      </c>
      <c r="O957" s="347">
        <v>11</v>
      </c>
      <c r="P957" s="325"/>
      <c r="Q957" s="351"/>
      <c r="R957" s="351">
        <v>0</v>
      </c>
      <c r="S957" s="351">
        <v>5.8</v>
      </c>
      <c r="T957" s="351">
        <v>0.26700000000000002</v>
      </c>
      <c r="U957" s="329">
        <f>IF($N957=$N$4,IFERROR(INDEX(DanhMuc!$E$154:$E$165,MATCH(MID($B957,4,2),DanhMuc!$B$154:$B$165,0)),""),"")</f>
        <v>5800</v>
      </c>
      <c r="V957" s="325"/>
      <c r="W957" s="352" t="str">
        <f>+IF(AND($A957&lt;&gt;"",LEN($B957)&gt;=8,COUNTIF($B$6:$B957,$B957)=1),$W$5,"")</f>
        <v/>
      </c>
      <c r="X957" s="329" t="str">
        <f t="shared" si="92"/>
        <v>SL</v>
      </c>
      <c r="Y957" s="1128" t="s">
        <v>3380</v>
      </c>
      <c r="Z957" s="1128" t="s">
        <v>3381</v>
      </c>
      <c r="AA957" s="1128" t="s">
        <v>3384</v>
      </c>
      <c r="AC957" s="73"/>
    </row>
    <row r="958" spans="1:29" s="20" customFormat="1">
      <c r="A958" s="327" t="str">
        <f>IF(AND($B958&lt;&gt;"",$C958&lt;&gt;""),MAX($A$4:A957)+1,"")</f>
        <v/>
      </c>
      <c r="B958" s="361" t="s">
        <v>862</v>
      </c>
      <c r="C958" s="364"/>
      <c r="D958" s="327">
        <f>IF($B958="","",COUNTIF($B$6:$B958,$B958))</f>
        <v>9</v>
      </c>
      <c r="E958" s="361" t="s">
        <v>895</v>
      </c>
      <c r="F958" s="362" t="s">
        <v>2065</v>
      </c>
      <c r="G958" s="361" t="s">
        <v>329</v>
      </c>
      <c r="H958" s="325"/>
      <c r="I958" s="327">
        <v>2</v>
      </c>
      <c r="J958" s="361" t="s">
        <v>766</v>
      </c>
      <c r="K958" s="327" t="s">
        <v>516</v>
      </c>
      <c r="L958" s="348">
        <f t="shared" si="97"/>
        <v>66091</v>
      </c>
      <c r="M958" s="355"/>
      <c r="N958" s="355" t="str">
        <f t="shared" si="100"/>
        <v>PR</v>
      </c>
      <c r="O958" s="347">
        <v>19</v>
      </c>
      <c r="P958" s="325"/>
      <c r="Q958" s="351"/>
      <c r="R958" s="351">
        <v>0</v>
      </c>
      <c r="S958" s="351">
        <v>5.8</v>
      </c>
      <c r="T958" s="351">
        <v>0.215</v>
      </c>
      <c r="U958" s="329">
        <f>IF($N958=$N$4,IFERROR(INDEX(DanhMuc!$E$154:$E$165,MATCH(MID($B958,4,2),DanhMuc!$B$154:$B$165,0)),""),"")</f>
        <v>5800</v>
      </c>
      <c r="V958" s="325"/>
      <c r="W958" s="352" t="str">
        <f>+IF(AND($A958&lt;&gt;"",LEN($B958)&gt;=8,COUNTIF($B$6:$B958,$B958)=1),$W$5,"")</f>
        <v/>
      </c>
      <c r="X958" s="329" t="str">
        <f t="shared" si="92"/>
        <v>SL</v>
      </c>
      <c r="Y958" s="1128" t="s">
        <v>3380</v>
      </c>
      <c r="Z958" s="1128" t="s">
        <v>3381</v>
      </c>
      <c r="AA958" s="1128" t="s">
        <v>3384</v>
      </c>
      <c r="AC958" s="73"/>
    </row>
    <row r="959" spans="1:29" s="20" customFormat="1">
      <c r="A959" s="327" t="str">
        <f>IF(AND($B959&lt;&gt;"",$C959&lt;&gt;""),MAX($A$4:A958)+1,"")</f>
        <v/>
      </c>
      <c r="B959" s="361" t="s">
        <v>862</v>
      </c>
      <c r="C959" s="364"/>
      <c r="D959" s="327">
        <f>IF($B959="","",COUNTIF($B$6:$B959,$B959))</f>
        <v>10</v>
      </c>
      <c r="E959" s="361" t="s">
        <v>895</v>
      </c>
      <c r="F959" s="362" t="s">
        <v>2065</v>
      </c>
      <c r="G959" s="361" t="s">
        <v>328</v>
      </c>
      <c r="H959" s="325"/>
      <c r="I959" s="327">
        <v>2</v>
      </c>
      <c r="J959" s="361" t="s">
        <v>767</v>
      </c>
      <c r="K959" s="327" t="s">
        <v>516</v>
      </c>
      <c r="L959" s="348">
        <f t="shared" si="97"/>
        <v>66091</v>
      </c>
      <c r="M959" s="355"/>
      <c r="N959" s="355" t="str">
        <f t="shared" si="100"/>
        <v>PR</v>
      </c>
      <c r="O959" s="347">
        <v>19</v>
      </c>
      <c r="P959" s="325"/>
      <c r="Q959" s="351"/>
      <c r="R959" s="351">
        <v>0</v>
      </c>
      <c r="S959" s="351">
        <v>5.8</v>
      </c>
      <c r="T959" s="351">
        <v>0.215</v>
      </c>
      <c r="U959" s="329">
        <f>IF($N959=$N$4,IFERROR(INDEX(DanhMuc!$E$154:$E$165,MATCH(MID($B959,4,2),DanhMuc!$B$154:$B$165,0)),""),"")</f>
        <v>5800</v>
      </c>
      <c r="V959" s="325"/>
      <c r="W959" s="352" t="str">
        <f>+IF(AND($A959&lt;&gt;"",LEN($B959)&gt;=8,COUNTIF($B$6:$B959,$B959)=1),$W$5,"")</f>
        <v/>
      </c>
      <c r="X959" s="329" t="str">
        <f t="shared" si="92"/>
        <v>SL</v>
      </c>
      <c r="Y959" s="1128" t="s">
        <v>3380</v>
      </c>
      <c r="Z959" s="1128" t="s">
        <v>3381</v>
      </c>
      <c r="AA959" s="1128" t="s">
        <v>3384</v>
      </c>
      <c r="AC959" s="73"/>
    </row>
    <row r="960" spans="1:29" s="20" customFormat="1">
      <c r="A960" s="327" t="str">
        <f>IF(AND($B960&lt;&gt;"",$C960&lt;&gt;""),MAX($A$4:A959)+1,"")</f>
        <v/>
      </c>
      <c r="B960" s="361" t="s">
        <v>862</v>
      </c>
      <c r="C960" s="364"/>
      <c r="D960" s="327">
        <f>IF($B960="","",COUNTIF($B$6:$B960,$B960))</f>
        <v>11</v>
      </c>
      <c r="E960" s="361" t="s">
        <v>2291</v>
      </c>
      <c r="F960" s="362" t="s">
        <v>769</v>
      </c>
      <c r="G960" s="361" t="s">
        <v>329</v>
      </c>
      <c r="H960" s="328" t="s">
        <v>536</v>
      </c>
      <c r="I960" s="327">
        <v>2</v>
      </c>
      <c r="J960" s="361" t="s">
        <v>1211</v>
      </c>
      <c r="K960" s="327" t="s">
        <v>531</v>
      </c>
      <c r="L960" s="348">
        <f t="shared" si="97"/>
        <v>191999.99999999997</v>
      </c>
      <c r="M960" s="355"/>
      <c r="N960" s="355" t="str">
        <f t="shared" si="100"/>
        <v>PR</v>
      </c>
      <c r="O960" s="345"/>
      <c r="P960" s="325"/>
      <c r="Q960" s="351">
        <v>86</v>
      </c>
      <c r="R960" s="351">
        <v>1.5</v>
      </c>
      <c r="S960" s="351">
        <v>5.8</v>
      </c>
      <c r="T960" s="351">
        <f t="shared" ref="T960:T961" si="101">6.4/S960</f>
        <v>1.103448275862069</v>
      </c>
      <c r="U960" s="329">
        <f>IF($N960=$N$4,IFERROR(INDEX(DanhMuc!$E$154:$E$165,MATCH(MID($B960,4,2),DanhMuc!$B$154:$B$165,0)),""),"")</f>
        <v>5800</v>
      </c>
      <c r="V960" s="325"/>
      <c r="W960" s="352" t="str">
        <f>+IF(AND($A960&lt;&gt;"",LEN($B960)&gt;=8,COUNTIF($B$6:$B960,$B960)=1),$W$5,"")</f>
        <v/>
      </c>
      <c r="X960" s="329" t="str">
        <f t="shared" si="92"/>
        <v>TSL</v>
      </c>
      <c r="Y960" s="1128" t="s">
        <v>3380</v>
      </c>
      <c r="Z960" s="1128" t="s">
        <v>3381</v>
      </c>
      <c r="AA960" s="1128" t="s">
        <v>3384</v>
      </c>
      <c r="AC960" s="73"/>
    </row>
    <row r="961" spans="1:29" s="20" customFormat="1">
      <c r="A961" s="327" t="str">
        <f>IF(AND($B961&lt;&gt;"",$C961&lt;&gt;""),MAX($A$4:A960)+1,"")</f>
        <v/>
      </c>
      <c r="B961" s="361" t="s">
        <v>862</v>
      </c>
      <c r="C961" s="364"/>
      <c r="D961" s="327">
        <f>IF($B961="","",COUNTIF($B$6:$B961,$B961))</f>
        <v>12</v>
      </c>
      <c r="E961" s="361" t="s">
        <v>2291</v>
      </c>
      <c r="F961" s="362" t="s">
        <v>769</v>
      </c>
      <c r="G961" s="361" t="s">
        <v>328</v>
      </c>
      <c r="H961" s="328" t="s">
        <v>536</v>
      </c>
      <c r="I961" s="327">
        <v>2</v>
      </c>
      <c r="J961" s="361" t="s">
        <v>1280</v>
      </c>
      <c r="K961" s="327" t="s">
        <v>531</v>
      </c>
      <c r="L961" s="348">
        <f t="shared" si="97"/>
        <v>191999.99999999997</v>
      </c>
      <c r="M961" s="355"/>
      <c r="N961" s="355" t="str">
        <f t="shared" si="100"/>
        <v>PR</v>
      </c>
      <c r="O961" s="345"/>
      <c r="P961" s="325"/>
      <c r="Q961" s="351">
        <v>86</v>
      </c>
      <c r="R961" s="351">
        <v>1.5</v>
      </c>
      <c r="S961" s="351">
        <v>5.8</v>
      </c>
      <c r="T961" s="351">
        <f t="shared" si="101"/>
        <v>1.103448275862069</v>
      </c>
      <c r="U961" s="329">
        <f>IF($N961=$N$4,IFERROR(INDEX(DanhMuc!$E$154:$E$165,MATCH(MID($B961,4,2),DanhMuc!$B$154:$B$165,0)),""),"")</f>
        <v>5800</v>
      </c>
      <c r="V961" s="325"/>
      <c r="W961" s="352" t="str">
        <f>+IF(AND($A961&lt;&gt;"",LEN($B961)&gt;=8,COUNTIF($B$6:$B961,$B961)=1),$W$5,"")</f>
        <v/>
      </c>
      <c r="X961" s="329" t="str">
        <f t="shared" ref="X961:X1024" si="102">IF(IFERROR(SEARCH("thép",$F961,1),0)&gt;=1,"T" &amp;MID($B961,4,2),MID($B961,4,2))</f>
        <v>TSL</v>
      </c>
      <c r="Y961" s="1128" t="s">
        <v>3380</v>
      </c>
      <c r="Z961" s="1128" t="s">
        <v>3381</v>
      </c>
      <c r="AA961" s="1128" t="s">
        <v>3384</v>
      </c>
      <c r="AC961" s="73"/>
    </row>
    <row r="962" spans="1:29" s="20" customFormat="1">
      <c r="A962" s="327" t="str">
        <f>IF(AND($B962&lt;&gt;"",$C962&lt;&gt;""),MAX($A$4:A961)+1,"")</f>
        <v/>
      </c>
      <c r="B962" s="361" t="s">
        <v>862</v>
      </c>
      <c r="C962" s="364"/>
      <c r="D962" s="327">
        <f>IF($B962="","",COUNTIF($B$6:$B962,$B962))</f>
        <v>13</v>
      </c>
      <c r="E962" s="361" t="s">
        <v>2298</v>
      </c>
      <c r="F962" s="362" t="s">
        <v>770</v>
      </c>
      <c r="G962" s="361" t="s">
        <v>329</v>
      </c>
      <c r="H962" s="328" t="s">
        <v>536</v>
      </c>
      <c r="I962" s="327">
        <v>2</v>
      </c>
      <c r="J962" s="361" t="s">
        <v>1213</v>
      </c>
      <c r="K962" s="327" t="s">
        <v>531</v>
      </c>
      <c r="L962" s="348">
        <f t="shared" si="97"/>
        <v>203999.99999999997</v>
      </c>
      <c r="M962" s="355"/>
      <c r="N962" s="355" t="str">
        <f t="shared" si="100"/>
        <v>PR</v>
      </c>
      <c r="O962" s="345"/>
      <c r="P962" s="325"/>
      <c r="Q962" s="351"/>
      <c r="R962" s="351">
        <v>1.5</v>
      </c>
      <c r="S962" s="351">
        <v>5.8</v>
      </c>
      <c r="T962" s="351">
        <f t="shared" ref="T962:T963" si="103">6.8/S962</f>
        <v>1.1724137931034482</v>
      </c>
      <c r="U962" s="329">
        <f>IF($N962=$N$4,IFERROR(INDEX(DanhMuc!$E$154:$E$165,MATCH(MID($B962,4,2),DanhMuc!$B$154:$B$165,0)),""),"")</f>
        <v>5800</v>
      </c>
      <c r="V962" s="325"/>
      <c r="W962" s="352" t="str">
        <f>+IF(AND($A962&lt;&gt;"",LEN($B962)&gt;=8,COUNTIF($B$6:$B962,$B962)=1),$W$5,"")</f>
        <v/>
      </c>
      <c r="X962" s="329" t="str">
        <f t="shared" si="102"/>
        <v>TSL</v>
      </c>
      <c r="Y962" s="1128" t="s">
        <v>3380</v>
      </c>
      <c r="Z962" s="1128" t="s">
        <v>3381</v>
      </c>
      <c r="AA962" s="1128" t="s">
        <v>3384</v>
      </c>
      <c r="AC962" s="73"/>
    </row>
    <row r="963" spans="1:29" s="20" customFormat="1">
      <c r="A963" s="327" t="str">
        <f>IF(AND($B963&lt;&gt;"",$C963&lt;&gt;""),MAX($A$4:A962)+1,"")</f>
        <v/>
      </c>
      <c r="B963" s="361" t="s">
        <v>862</v>
      </c>
      <c r="C963" s="364"/>
      <c r="D963" s="327">
        <f>IF($B963="","",COUNTIF($B$6:$B963,$B963))</f>
        <v>14</v>
      </c>
      <c r="E963" s="361" t="s">
        <v>2298</v>
      </c>
      <c r="F963" s="362" t="s">
        <v>770</v>
      </c>
      <c r="G963" s="361" t="s">
        <v>328</v>
      </c>
      <c r="H963" s="328" t="s">
        <v>536</v>
      </c>
      <c r="I963" s="327">
        <v>2</v>
      </c>
      <c r="J963" s="361" t="s">
        <v>1214</v>
      </c>
      <c r="K963" s="327" t="s">
        <v>531</v>
      </c>
      <c r="L963" s="348">
        <f t="shared" si="97"/>
        <v>203999.99999999997</v>
      </c>
      <c r="M963" s="355"/>
      <c r="N963" s="355" t="str">
        <f t="shared" si="100"/>
        <v>PR</v>
      </c>
      <c r="O963" s="345"/>
      <c r="P963" s="325"/>
      <c r="Q963" s="351"/>
      <c r="R963" s="351">
        <v>1.5</v>
      </c>
      <c r="S963" s="351">
        <v>5.8</v>
      </c>
      <c r="T963" s="351">
        <f t="shared" si="103"/>
        <v>1.1724137931034482</v>
      </c>
      <c r="U963" s="329">
        <f>IF($N963=$N$4,IFERROR(INDEX(DanhMuc!$E$154:$E$165,MATCH(MID($B963,4,2),DanhMuc!$B$154:$B$165,0)),""),"")</f>
        <v>5800</v>
      </c>
      <c r="V963" s="325"/>
      <c r="W963" s="352" t="str">
        <f>+IF(AND($A963&lt;&gt;"",LEN($B963)&gt;=8,COUNTIF($B$6:$B963,$B963)=1),$W$5,"")</f>
        <v/>
      </c>
      <c r="X963" s="329" t="str">
        <f t="shared" si="102"/>
        <v>TSL</v>
      </c>
      <c r="Y963" s="1128" t="s">
        <v>3380</v>
      </c>
      <c r="Z963" s="1128" t="s">
        <v>3381</v>
      </c>
      <c r="AA963" s="1128" t="s">
        <v>3384</v>
      </c>
      <c r="AC963" s="73"/>
    </row>
    <row r="964" spans="1:29" s="20" customFormat="1" ht="26">
      <c r="A964" s="327">
        <f>IF(AND($B964&lt;&gt;"",$C964&lt;&gt;""),MAX($A$4:A963)+1,"")</f>
        <v>74</v>
      </c>
      <c r="B964" s="359" t="s">
        <v>786</v>
      </c>
      <c r="C964" s="370" t="s">
        <v>1569</v>
      </c>
      <c r="D964" s="327">
        <f>IF($B964="","",COUNTIF($B$6:$B964,$B964))</f>
        <v>1</v>
      </c>
      <c r="E964" s="363" t="s">
        <v>787</v>
      </c>
      <c r="F964" s="362" t="s">
        <v>788</v>
      </c>
      <c r="G964" s="361" t="s">
        <v>329</v>
      </c>
      <c r="H964" s="325"/>
      <c r="I964" s="327">
        <v>2</v>
      </c>
      <c r="J964" s="361" t="s">
        <v>762</v>
      </c>
      <c r="K964" s="327" t="s">
        <v>516</v>
      </c>
      <c r="L964" s="348">
        <f t="shared" si="97"/>
        <v>370724.39999999997</v>
      </c>
      <c r="M964" s="355"/>
      <c r="N964" s="355" t="str">
        <f t="shared" si="62"/>
        <v>PR</v>
      </c>
      <c r="O964" s="345"/>
      <c r="P964" s="325"/>
      <c r="Q964" s="351"/>
      <c r="R964" s="351">
        <v>0</v>
      </c>
      <c r="S964" s="351">
        <v>5.8</v>
      </c>
      <c r="T964" s="351">
        <v>1.206</v>
      </c>
      <c r="U964" s="329">
        <f>IF($N964=$N$4,IFERROR(INDEX(DanhMuc!$E$154:$E$165,MATCH(MID($B964,4,2),DanhMuc!$B$154:$B$165,0)),""),"")</f>
        <v>5800</v>
      </c>
      <c r="V964" s="325"/>
      <c r="W964" s="352" t="str">
        <f>+IF(AND($A964&lt;&gt;"",LEN($B964)&gt;=8,COUNTIF($B$6:$B964,$B964)=1),$W$5,"")</f>
        <v>DMCua</v>
      </c>
      <c r="X964" s="329" t="str">
        <f t="shared" si="102"/>
        <v>SL</v>
      </c>
      <c r="Y964" s="1128" t="s">
        <v>3380</v>
      </c>
      <c r="Z964" s="1128" t="s">
        <v>3381</v>
      </c>
      <c r="AA964" s="1128" t="s">
        <v>3384</v>
      </c>
      <c r="AC964" s="73"/>
    </row>
    <row r="965" spans="1:29" s="20" customFormat="1">
      <c r="A965" s="327" t="str">
        <f>IF(AND($B965&lt;&gt;"",$C965&lt;&gt;""),MAX($A$4:A964)+1,"")</f>
        <v/>
      </c>
      <c r="B965" s="361" t="s">
        <v>786</v>
      </c>
      <c r="C965" s="364"/>
      <c r="D965" s="327">
        <f>IF($B965="","",COUNTIF($B$6:$B965,$B965))</f>
        <v>2</v>
      </c>
      <c r="E965" s="363" t="s">
        <v>787</v>
      </c>
      <c r="F965" s="362" t="s">
        <v>788</v>
      </c>
      <c r="G965" s="361" t="s">
        <v>328</v>
      </c>
      <c r="H965" s="325"/>
      <c r="I965" s="327">
        <v>2</v>
      </c>
      <c r="J965" s="361" t="s">
        <v>763</v>
      </c>
      <c r="K965" s="327" t="s">
        <v>516</v>
      </c>
      <c r="L965" s="348">
        <f t="shared" si="97"/>
        <v>370724.39999999997</v>
      </c>
      <c r="M965" s="355"/>
      <c r="N965" s="355" t="str">
        <f t="shared" si="62"/>
        <v>PR</v>
      </c>
      <c r="O965" s="347"/>
      <c r="P965" s="325"/>
      <c r="Q965" s="351"/>
      <c r="R965" s="351">
        <v>0</v>
      </c>
      <c r="S965" s="351">
        <v>5.8</v>
      </c>
      <c r="T965" s="351">
        <v>1.206</v>
      </c>
      <c r="U965" s="329">
        <f>IF($N965=$N$4,IFERROR(INDEX(DanhMuc!$E$154:$E$165,MATCH(MID($B965,4,2),DanhMuc!$B$154:$B$165,0)),""),"")</f>
        <v>5800</v>
      </c>
      <c r="V965" s="325"/>
      <c r="W965" s="352" t="str">
        <f>+IF(AND($A965&lt;&gt;"",LEN($B965)&gt;=8,COUNTIF($B$6:$B965,$B965)=1),$W$5,"")</f>
        <v/>
      </c>
      <c r="X965" s="329" t="str">
        <f t="shared" si="102"/>
        <v>SL</v>
      </c>
      <c r="Y965" s="1128" t="s">
        <v>3380</v>
      </c>
      <c r="Z965" s="1128" t="s">
        <v>3381</v>
      </c>
      <c r="AA965" s="1128" t="s">
        <v>3384</v>
      </c>
      <c r="AC965" s="73"/>
    </row>
    <row r="966" spans="1:29" s="20" customFormat="1">
      <c r="A966" s="327" t="str">
        <f>IF(AND($B966&lt;&gt;"",$C966&lt;&gt;""),MAX($A$4:A965)+1,"")</f>
        <v/>
      </c>
      <c r="B966" s="361" t="s">
        <v>786</v>
      </c>
      <c r="C966" s="364"/>
      <c r="D966" s="327">
        <f>IF($B966="","",COUNTIF($B$6:$B966,$B966))</f>
        <v>3</v>
      </c>
      <c r="E966" s="363" t="s">
        <v>789</v>
      </c>
      <c r="F966" s="362" t="s">
        <v>790</v>
      </c>
      <c r="G966" s="361" t="s">
        <v>329</v>
      </c>
      <c r="H966" s="325"/>
      <c r="I966" s="327">
        <v>2</v>
      </c>
      <c r="J966" s="361" t="s">
        <v>791</v>
      </c>
      <c r="K966" s="327" t="s">
        <v>531</v>
      </c>
      <c r="L966" s="348">
        <f t="shared" si="97"/>
        <v>24090.909090909088</v>
      </c>
      <c r="M966" s="355"/>
      <c r="N966" s="355" t="str">
        <f t="shared" si="62"/>
        <v>PR</v>
      </c>
      <c r="O966" s="347"/>
      <c r="P966" s="325"/>
      <c r="Q966" s="351"/>
      <c r="R966" s="351">
        <v>0</v>
      </c>
      <c r="S966" s="351">
        <v>5.8</v>
      </c>
      <c r="T966" s="351">
        <v>7.8369905956112845E-2</v>
      </c>
      <c r="U966" s="329">
        <f>IF($N966=$N$4,IFERROR(INDEX(DanhMuc!$E$154:$E$165,MATCH(MID($B966,4,2),DanhMuc!$B$154:$B$165,0)),""),"")</f>
        <v>5800</v>
      </c>
      <c r="V966" s="325"/>
      <c r="W966" s="352" t="str">
        <f>+IF(AND($A966&lt;&gt;"",LEN($B966)&gt;=8,COUNTIF($B$6:$B966,$B966)=1),$W$5,"")</f>
        <v/>
      </c>
      <c r="X966" s="329" t="str">
        <f t="shared" si="102"/>
        <v>SL</v>
      </c>
      <c r="Y966" s="1128" t="s">
        <v>3380</v>
      </c>
      <c r="Z966" s="1128" t="s">
        <v>3381</v>
      </c>
      <c r="AA966" s="1128" t="s">
        <v>3384</v>
      </c>
      <c r="AC966" s="73"/>
    </row>
    <row r="967" spans="1:29" s="20" customFormat="1">
      <c r="A967" s="327" t="str">
        <f>IF(AND($B967&lt;&gt;"",$C967&lt;&gt;""),MAX($A$4:A966)+1,"")</f>
        <v/>
      </c>
      <c r="B967" s="361" t="s">
        <v>786</v>
      </c>
      <c r="C967" s="364"/>
      <c r="D967" s="327">
        <f>IF($B967="","",COUNTIF($B$6:$B967,$B967))</f>
        <v>4</v>
      </c>
      <c r="E967" s="361" t="s">
        <v>801</v>
      </c>
      <c r="F967" s="362" t="s">
        <v>802</v>
      </c>
      <c r="G967" s="361" t="s">
        <v>329</v>
      </c>
      <c r="H967" s="325"/>
      <c r="I967" s="327">
        <v>4</v>
      </c>
      <c r="J967" s="361" t="s">
        <v>792</v>
      </c>
      <c r="K967" s="327" t="s">
        <v>516</v>
      </c>
      <c r="L967" s="348">
        <f t="shared" si="97"/>
        <v>304326</v>
      </c>
      <c r="M967" s="355"/>
      <c r="N967" s="355" t="str">
        <f t="shared" si="62"/>
        <v>PR</v>
      </c>
      <c r="O967" s="345"/>
      <c r="P967" s="325"/>
      <c r="Q967" s="351"/>
      <c r="R967" s="351">
        <v>0</v>
      </c>
      <c r="S967" s="351">
        <v>5.8</v>
      </c>
      <c r="T967" s="351">
        <v>0.99</v>
      </c>
      <c r="U967" s="329">
        <f>IF($N967=$N$4,IFERROR(INDEX(DanhMuc!$E$154:$E$165,MATCH(MID($B967,4,2),DanhMuc!$B$154:$B$165,0)),""),"")</f>
        <v>5800</v>
      </c>
      <c r="V967" s="325"/>
      <c r="W967" s="352" t="str">
        <f>+IF(AND($A967&lt;&gt;"",LEN($B967)&gt;=8,COUNTIF($B$6:$B967,$B967)=1),$W$5,"")</f>
        <v/>
      </c>
      <c r="X967" s="329" t="str">
        <f t="shared" si="102"/>
        <v>SL</v>
      </c>
      <c r="Y967" s="1128" t="s">
        <v>3380</v>
      </c>
      <c r="Z967" s="1128" t="s">
        <v>3381</v>
      </c>
      <c r="AA967" s="1128" t="s">
        <v>3384</v>
      </c>
      <c r="AC967" s="73"/>
    </row>
    <row r="968" spans="1:29" s="20" customFormat="1">
      <c r="A968" s="327" t="str">
        <f>IF(AND($B968&lt;&gt;"",$C968&lt;&gt;""),MAX($A$4:A967)+1,"")</f>
        <v/>
      </c>
      <c r="B968" s="361" t="s">
        <v>786</v>
      </c>
      <c r="C968" s="364"/>
      <c r="D968" s="327">
        <f>IF($B968="","",COUNTIF($B$6:$B968,$B968))</f>
        <v>5</v>
      </c>
      <c r="E968" s="361" t="s">
        <v>801</v>
      </c>
      <c r="F968" s="362" t="s">
        <v>802</v>
      </c>
      <c r="G968" s="361" t="s">
        <v>328</v>
      </c>
      <c r="H968" s="325"/>
      <c r="I968" s="327">
        <v>4</v>
      </c>
      <c r="J968" s="361" t="s">
        <v>793</v>
      </c>
      <c r="K968" s="327" t="s">
        <v>516</v>
      </c>
      <c r="L968" s="348">
        <f t="shared" si="97"/>
        <v>304326</v>
      </c>
      <c r="M968" s="355"/>
      <c r="N968" s="355" t="str">
        <f t="shared" si="62"/>
        <v>PR</v>
      </c>
      <c r="O968" s="345"/>
      <c r="P968" s="325"/>
      <c r="Q968" s="351"/>
      <c r="R968" s="351">
        <v>0</v>
      </c>
      <c r="S968" s="351">
        <v>5.8</v>
      </c>
      <c r="T968" s="351">
        <v>0.99</v>
      </c>
      <c r="U968" s="329">
        <f>IF($N968=$N$4,IFERROR(INDEX(DanhMuc!$E$154:$E$165,MATCH(MID($B968,4,2),DanhMuc!$B$154:$B$165,0)),""),"")</f>
        <v>5800</v>
      </c>
      <c r="V968" s="325"/>
      <c r="W968" s="352" t="str">
        <f>+IF(AND($A968&lt;&gt;"",LEN($B968)&gt;=8,COUNTIF($B$6:$B968,$B968)=1),$W$5,"")</f>
        <v/>
      </c>
      <c r="X968" s="329" t="str">
        <f t="shared" si="102"/>
        <v>SL</v>
      </c>
      <c r="Y968" s="1128" t="s">
        <v>3380</v>
      </c>
      <c r="Z968" s="1128" t="s">
        <v>3381</v>
      </c>
      <c r="AA968" s="1128" t="s">
        <v>3384</v>
      </c>
      <c r="AC968" s="73"/>
    </row>
    <row r="969" spans="1:29" s="20" customFormat="1">
      <c r="A969" s="327" t="str">
        <f>IF(AND($B969&lt;&gt;"",$C969&lt;&gt;""),MAX($A$4:A968)+1,"")</f>
        <v/>
      </c>
      <c r="B969" s="361" t="s">
        <v>786</v>
      </c>
      <c r="C969" s="364"/>
      <c r="D969" s="327">
        <f>IF($B969="","",COUNTIF($B$6:$B969,$B969))</f>
        <v>6</v>
      </c>
      <c r="E969" s="361" t="s">
        <v>794</v>
      </c>
      <c r="F969" s="362" t="s">
        <v>795</v>
      </c>
      <c r="G969" s="361" t="s">
        <v>328</v>
      </c>
      <c r="H969" s="325"/>
      <c r="I969" s="327">
        <v>2</v>
      </c>
      <c r="J969" s="361" t="s">
        <v>796</v>
      </c>
      <c r="K969" s="327" t="s">
        <v>531</v>
      </c>
      <c r="L969" s="348">
        <f t="shared" si="97"/>
        <v>73776</v>
      </c>
      <c r="M969" s="355"/>
      <c r="N969" s="355" t="str">
        <f t="shared" si="62"/>
        <v>PR</v>
      </c>
      <c r="O969" s="345"/>
      <c r="P969" s="325"/>
      <c r="Q969" s="351"/>
      <c r="R969" s="351">
        <v>0</v>
      </c>
      <c r="S969" s="351">
        <v>5.8</v>
      </c>
      <c r="T969" s="351">
        <v>0.24</v>
      </c>
      <c r="U969" s="329">
        <f>IF($N969=$N$4,IFERROR(INDEX(DanhMuc!$E$154:$E$165,MATCH(MID($B969,4,2),DanhMuc!$B$154:$B$165,0)),""),"")</f>
        <v>5800</v>
      </c>
      <c r="V969" s="325"/>
      <c r="W969" s="352" t="str">
        <f>+IF(AND($A969&lt;&gt;"",LEN($B969)&gt;=8,COUNTIF($B$6:$B969,$B969)=1),$W$5,"")</f>
        <v/>
      </c>
      <c r="X969" s="329" t="str">
        <f t="shared" si="102"/>
        <v>SL</v>
      </c>
      <c r="Y969" s="1128" t="s">
        <v>3380</v>
      </c>
      <c r="Z969" s="1128" t="s">
        <v>3381</v>
      </c>
      <c r="AA969" s="1128" t="s">
        <v>3384</v>
      </c>
      <c r="AC969" s="73"/>
    </row>
    <row r="970" spans="1:29" s="20" customFormat="1">
      <c r="A970" s="327" t="str">
        <f>IF(AND($B970&lt;&gt;"",$C970&lt;&gt;""),MAX($A$4:A969)+1,"")</f>
        <v/>
      </c>
      <c r="B970" s="361" t="s">
        <v>786</v>
      </c>
      <c r="C970" s="364"/>
      <c r="D970" s="327">
        <f>IF($B970="","",COUNTIF($B$6:$B970,$B970))</f>
        <v>7</v>
      </c>
      <c r="E970" s="361" t="s">
        <v>947</v>
      </c>
      <c r="F970" s="362" t="s">
        <v>948</v>
      </c>
      <c r="G970" s="361" t="s">
        <v>329</v>
      </c>
      <c r="H970" s="325"/>
      <c r="I970" s="327">
        <v>4</v>
      </c>
      <c r="J970" s="361" t="s">
        <v>797</v>
      </c>
      <c r="K970" s="327" t="s">
        <v>516</v>
      </c>
      <c r="L970" s="348">
        <f t="shared" si="97"/>
        <v>69165</v>
      </c>
      <c r="M970" s="355"/>
      <c r="N970" s="355" t="str">
        <f t="shared" si="62"/>
        <v>PR</v>
      </c>
      <c r="O970" s="347">
        <v>7</v>
      </c>
      <c r="P970" s="325"/>
      <c r="Q970" s="351"/>
      <c r="R970" s="351">
        <v>0</v>
      </c>
      <c r="S970" s="351">
        <v>5.8</v>
      </c>
      <c r="T970" s="351">
        <v>0.22500000000000001</v>
      </c>
      <c r="U970" s="329">
        <f>IF($N970=$N$4,IFERROR(INDEX(DanhMuc!$E$154:$E$165,MATCH(MID($B970,4,2),DanhMuc!$B$154:$B$165,0)),""),"")</f>
        <v>5800</v>
      </c>
      <c r="V970" s="325"/>
      <c r="W970" s="352" t="str">
        <f>+IF(AND($A970&lt;&gt;"",LEN($B970)&gt;=8,COUNTIF($B$6:$B970,$B970)=1),$W$5,"")</f>
        <v/>
      </c>
      <c r="X970" s="329" t="str">
        <f t="shared" si="102"/>
        <v>SL</v>
      </c>
      <c r="Y970" s="1128" t="s">
        <v>3380</v>
      </c>
      <c r="Z970" s="1128" t="s">
        <v>3381</v>
      </c>
      <c r="AA970" s="1128" t="s">
        <v>3384</v>
      </c>
      <c r="AC970" s="73"/>
    </row>
    <row r="971" spans="1:29" s="20" customFormat="1">
      <c r="A971" s="327" t="str">
        <f>IF(AND($B971&lt;&gt;"",$C971&lt;&gt;""),MAX($A$4:A970)+1,"")</f>
        <v/>
      </c>
      <c r="B971" s="361" t="s">
        <v>786</v>
      </c>
      <c r="C971" s="364"/>
      <c r="D971" s="327">
        <f>IF($B971="","",COUNTIF($B$6:$B971,$B971))</f>
        <v>8</v>
      </c>
      <c r="E971" s="361" t="s">
        <v>947</v>
      </c>
      <c r="F971" s="362" t="s">
        <v>948</v>
      </c>
      <c r="G971" s="361" t="s">
        <v>328</v>
      </c>
      <c r="H971" s="325"/>
      <c r="I971" s="327">
        <v>4</v>
      </c>
      <c r="J971" s="361" t="s">
        <v>798</v>
      </c>
      <c r="K971" s="327" t="s">
        <v>516</v>
      </c>
      <c r="L971" s="348">
        <f t="shared" si="97"/>
        <v>69165</v>
      </c>
      <c r="M971" s="355"/>
      <c r="N971" s="355" t="str">
        <f t="shared" si="62"/>
        <v>PR</v>
      </c>
      <c r="O971" s="347">
        <v>7</v>
      </c>
      <c r="P971" s="325"/>
      <c r="Q971" s="351"/>
      <c r="R971" s="351">
        <v>0</v>
      </c>
      <c r="S971" s="351">
        <v>5.8</v>
      </c>
      <c r="T971" s="351">
        <v>0.22500000000000001</v>
      </c>
      <c r="U971" s="329">
        <f>IF($N971=$N$4,IFERROR(INDEX(DanhMuc!$E$154:$E$165,MATCH(MID($B971,4,2),DanhMuc!$B$154:$B$165,0)),""),"")</f>
        <v>5800</v>
      </c>
      <c r="V971" s="325"/>
      <c r="W971" s="352" t="str">
        <f>+IF(AND($A971&lt;&gt;"",LEN($B971)&gt;=8,COUNTIF($B$6:$B971,$B971)=1),$W$5,"")</f>
        <v/>
      </c>
      <c r="X971" s="329" t="str">
        <f t="shared" si="102"/>
        <v>SL</v>
      </c>
      <c r="Y971" s="1128" t="s">
        <v>3380</v>
      </c>
      <c r="Z971" s="1128" t="s">
        <v>3381</v>
      </c>
      <c r="AA971" s="1128" t="s">
        <v>3384</v>
      </c>
      <c r="AC971" s="73"/>
    </row>
    <row r="972" spans="1:29" s="20" customFormat="1">
      <c r="A972" s="327" t="str">
        <f>IF(AND($B972&lt;&gt;"",$C972&lt;&gt;""),MAX($A$4:A971)+1,"")</f>
        <v/>
      </c>
      <c r="B972" s="361" t="s">
        <v>786</v>
      </c>
      <c r="C972" s="364"/>
      <c r="D972" s="327">
        <f>IF($B972="","",COUNTIF($B$6:$B972,$B972))</f>
        <v>9</v>
      </c>
      <c r="E972" s="361" t="s">
        <v>894</v>
      </c>
      <c r="F972" s="362" t="s">
        <v>949</v>
      </c>
      <c r="G972" s="361" t="s">
        <v>329</v>
      </c>
      <c r="H972" s="325"/>
      <c r="I972" s="327">
        <v>4</v>
      </c>
      <c r="J972" s="361" t="s">
        <v>797</v>
      </c>
      <c r="K972" s="327" t="s">
        <v>516</v>
      </c>
      <c r="L972" s="348">
        <f t="shared" si="97"/>
        <v>64554</v>
      </c>
      <c r="M972" s="355"/>
      <c r="N972" s="355" t="str">
        <f t="shared" si="62"/>
        <v>PR</v>
      </c>
      <c r="O972" s="347">
        <v>11</v>
      </c>
      <c r="P972" s="325"/>
      <c r="Q972" s="351"/>
      <c r="R972" s="351">
        <v>0</v>
      </c>
      <c r="S972" s="351">
        <v>5.8</v>
      </c>
      <c r="T972" s="351">
        <v>0.21</v>
      </c>
      <c r="U972" s="329">
        <f>IF($N972=$N$4,IFERROR(INDEX(DanhMuc!$E$154:$E$165,MATCH(MID($B972,4,2),DanhMuc!$B$154:$B$165,0)),""),"")</f>
        <v>5800</v>
      </c>
      <c r="V972" s="325"/>
      <c r="W972" s="352" t="str">
        <f>+IF(AND($A972&lt;&gt;"",LEN($B972)&gt;=8,COUNTIF($B$6:$B972,$B972)=1),$W$5,"")</f>
        <v/>
      </c>
      <c r="X972" s="329" t="str">
        <f t="shared" si="102"/>
        <v>SL</v>
      </c>
      <c r="Y972" s="1128" t="s">
        <v>3380</v>
      </c>
      <c r="Z972" s="1128" t="s">
        <v>3381</v>
      </c>
      <c r="AA972" s="1128" t="s">
        <v>3384</v>
      </c>
      <c r="AC972" s="73"/>
    </row>
    <row r="973" spans="1:29" s="20" customFormat="1">
      <c r="A973" s="327" t="str">
        <f>IF(AND($B973&lt;&gt;"",$C973&lt;&gt;""),MAX($A$4:A972)+1,"")</f>
        <v/>
      </c>
      <c r="B973" s="361" t="s">
        <v>786</v>
      </c>
      <c r="C973" s="364"/>
      <c r="D973" s="327">
        <f>IF($B973="","",COUNTIF($B$6:$B973,$B973))</f>
        <v>10</v>
      </c>
      <c r="E973" s="361" t="s">
        <v>894</v>
      </c>
      <c r="F973" s="362" t="s">
        <v>949</v>
      </c>
      <c r="G973" s="361" t="s">
        <v>328</v>
      </c>
      <c r="H973" s="325"/>
      <c r="I973" s="327">
        <v>4</v>
      </c>
      <c r="J973" s="361" t="s">
        <v>798</v>
      </c>
      <c r="K973" s="327" t="s">
        <v>516</v>
      </c>
      <c r="L973" s="348">
        <f t="shared" si="97"/>
        <v>64554</v>
      </c>
      <c r="M973" s="355"/>
      <c r="N973" s="355" t="str">
        <f t="shared" si="62"/>
        <v>PR</v>
      </c>
      <c r="O973" s="347">
        <v>11</v>
      </c>
      <c r="P973" s="325"/>
      <c r="Q973" s="351"/>
      <c r="R973" s="351">
        <v>0</v>
      </c>
      <c r="S973" s="351">
        <v>5.8</v>
      </c>
      <c r="T973" s="351">
        <v>0.21</v>
      </c>
      <c r="U973" s="329">
        <f>IF($N973=$N$4,IFERROR(INDEX(DanhMuc!$E$154:$E$165,MATCH(MID($B973,4,2),DanhMuc!$B$154:$B$165,0)),""),"")</f>
        <v>5800</v>
      </c>
      <c r="V973" s="325"/>
      <c r="W973" s="352" t="str">
        <f>+IF(AND($A973&lt;&gt;"",LEN($B973)&gt;=8,COUNTIF($B$6:$B973,$B973)=1),$W$5,"")</f>
        <v/>
      </c>
      <c r="X973" s="329" t="str">
        <f t="shared" si="102"/>
        <v>SL</v>
      </c>
      <c r="Y973" s="1128" t="s">
        <v>3380</v>
      </c>
      <c r="Z973" s="1128" t="s">
        <v>3381</v>
      </c>
      <c r="AA973" s="1128" t="s">
        <v>3384</v>
      </c>
      <c r="AC973" s="73"/>
    </row>
    <row r="974" spans="1:29" s="20" customFormat="1">
      <c r="A974" s="327" t="str">
        <f>IF(AND($B974&lt;&gt;"",$C974&lt;&gt;""),MAX($A$4:A973)+1,"")</f>
        <v/>
      </c>
      <c r="B974" s="361" t="s">
        <v>786</v>
      </c>
      <c r="C974" s="364"/>
      <c r="D974" s="327">
        <f>IF($B974="","",COUNTIF($B$6:$B974,$B974))</f>
        <v>11</v>
      </c>
      <c r="E974" s="361" t="s">
        <v>946</v>
      </c>
      <c r="F974" s="362" t="s">
        <v>383</v>
      </c>
      <c r="G974" s="361" t="s">
        <v>329</v>
      </c>
      <c r="H974" s="325"/>
      <c r="I974" s="327">
        <v>4</v>
      </c>
      <c r="J974" s="361" t="s">
        <v>797</v>
      </c>
      <c r="K974" s="327" t="s">
        <v>516</v>
      </c>
      <c r="L974" s="348">
        <f t="shared" si="97"/>
        <v>46110</v>
      </c>
      <c r="M974" s="355"/>
      <c r="N974" s="355" t="str">
        <f t="shared" si="62"/>
        <v>PR</v>
      </c>
      <c r="O974" s="347">
        <v>19</v>
      </c>
      <c r="P974" s="325"/>
      <c r="Q974" s="351"/>
      <c r="R974" s="351">
        <v>0</v>
      </c>
      <c r="S974" s="351">
        <v>5.8</v>
      </c>
      <c r="T974" s="351">
        <v>0.15</v>
      </c>
      <c r="U974" s="329">
        <f>IF($N974=$N$4,IFERROR(INDEX(DanhMuc!$E$154:$E$165,MATCH(MID($B974,4,2),DanhMuc!$B$154:$B$165,0)),""),"")</f>
        <v>5800</v>
      </c>
      <c r="V974" s="325"/>
      <c r="W974" s="352" t="str">
        <f>+IF(AND($A974&lt;&gt;"",LEN($B974)&gt;=8,COUNTIF($B$6:$B974,$B974)=1),$W$5,"")</f>
        <v/>
      </c>
      <c r="X974" s="329" t="str">
        <f t="shared" si="102"/>
        <v>SL</v>
      </c>
      <c r="Y974" s="1128" t="s">
        <v>3380</v>
      </c>
      <c r="Z974" s="1128" t="s">
        <v>3381</v>
      </c>
      <c r="AA974" s="1128" t="s">
        <v>3384</v>
      </c>
      <c r="AC974" s="73"/>
    </row>
    <row r="975" spans="1:29" s="20" customFormat="1">
      <c r="A975" s="327" t="str">
        <f>IF(AND($B975&lt;&gt;"",$C975&lt;&gt;""),MAX($A$4:A974)+1,"")</f>
        <v/>
      </c>
      <c r="B975" s="361" t="s">
        <v>786</v>
      </c>
      <c r="C975" s="364"/>
      <c r="D975" s="327">
        <f>IF($B975="","",COUNTIF($B$6:$B975,$B975))</f>
        <v>12</v>
      </c>
      <c r="E975" s="361" t="s">
        <v>946</v>
      </c>
      <c r="F975" s="362" t="s">
        <v>383</v>
      </c>
      <c r="G975" s="361" t="s">
        <v>328</v>
      </c>
      <c r="H975" s="325"/>
      <c r="I975" s="327">
        <v>4</v>
      </c>
      <c r="J975" s="361" t="s">
        <v>798</v>
      </c>
      <c r="K975" s="327" t="s">
        <v>516</v>
      </c>
      <c r="L975" s="348">
        <f t="shared" si="97"/>
        <v>46110</v>
      </c>
      <c r="M975" s="355"/>
      <c r="N975" s="355" t="str">
        <f t="shared" si="62"/>
        <v>PR</v>
      </c>
      <c r="O975" s="347">
        <v>19</v>
      </c>
      <c r="P975" s="325"/>
      <c r="Q975" s="351"/>
      <c r="R975" s="351">
        <v>0</v>
      </c>
      <c r="S975" s="351">
        <v>5.8</v>
      </c>
      <c r="T975" s="351">
        <v>0.15</v>
      </c>
      <c r="U975" s="329">
        <f>IF($N975=$N$4,IFERROR(INDEX(DanhMuc!$E$154:$E$165,MATCH(MID($B975,4,2),DanhMuc!$B$154:$B$165,0)),""),"")</f>
        <v>5800</v>
      </c>
      <c r="V975" s="325"/>
      <c r="W975" s="352" t="str">
        <f>+IF(AND($A975&lt;&gt;"",LEN($B975)&gt;=8,COUNTIF($B$6:$B975,$B975)=1),$W$5,"")</f>
        <v/>
      </c>
      <c r="X975" s="329" t="str">
        <f t="shared" si="102"/>
        <v>SL</v>
      </c>
      <c r="Y975" s="1128" t="s">
        <v>3380</v>
      </c>
      <c r="Z975" s="1128" t="s">
        <v>3381</v>
      </c>
      <c r="AA975" s="1128" t="s">
        <v>3384</v>
      </c>
      <c r="AC975" s="73"/>
    </row>
    <row r="976" spans="1:29" s="20" customFormat="1">
      <c r="A976" s="327" t="str">
        <f>IF(AND($B976&lt;&gt;"",$C976&lt;&gt;""),MAX($A$4:A975)+1,"")</f>
        <v/>
      </c>
      <c r="B976" s="361" t="s">
        <v>786</v>
      </c>
      <c r="C976" s="364"/>
      <c r="D976" s="327">
        <f>IF($B976="","",COUNTIF($B$6:$B976,$B976))</f>
        <v>13</v>
      </c>
      <c r="E976" s="361" t="s">
        <v>2293</v>
      </c>
      <c r="F976" s="362" t="s">
        <v>806</v>
      </c>
      <c r="G976" s="361" t="s">
        <v>329</v>
      </c>
      <c r="H976" s="328" t="s">
        <v>536</v>
      </c>
      <c r="I976" s="327">
        <v>2</v>
      </c>
      <c r="J976" s="361" t="s">
        <v>1211</v>
      </c>
      <c r="K976" s="327" t="s">
        <v>531</v>
      </c>
      <c r="L976" s="348">
        <f t="shared" si="97"/>
        <v>203999.99999999997</v>
      </c>
      <c r="M976" s="355"/>
      <c r="N976" s="355" t="str">
        <f t="shared" si="62"/>
        <v>PR</v>
      </c>
      <c r="O976" s="345"/>
      <c r="P976" s="325"/>
      <c r="Q976" s="351"/>
      <c r="R976" s="351">
        <v>1.5</v>
      </c>
      <c r="S976" s="351">
        <v>5.8</v>
      </c>
      <c r="T976" s="351">
        <f t="shared" ref="T976:T977" si="104">6.8/S976</f>
        <v>1.1724137931034482</v>
      </c>
      <c r="U976" s="329">
        <f>IF($N976=$N$4,IFERROR(INDEX(DanhMuc!$E$154:$E$165,MATCH(MID($B976,4,2),DanhMuc!$B$154:$B$165,0)),""),"")</f>
        <v>5800</v>
      </c>
      <c r="V976" s="325"/>
      <c r="W976" s="352" t="str">
        <f>+IF(AND($A976&lt;&gt;"",LEN($B976)&gt;=8,COUNTIF($B$6:$B976,$B976)=1),$W$5,"")</f>
        <v/>
      </c>
      <c r="X976" s="329" t="str">
        <f t="shared" si="102"/>
        <v>TSL</v>
      </c>
      <c r="Y976" s="1128" t="s">
        <v>3380</v>
      </c>
      <c r="Z976" s="1128" t="s">
        <v>3381</v>
      </c>
      <c r="AA976" s="1128" t="s">
        <v>3384</v>
      </c>
      <c r="AC976" s="73"/>
    </row>
    <row r="977" spans="1:29" s="20" customFormat="1">
      <c r="A977" s="327" t="str">
        <f>IF(AND($B977&lt;&gt;"",$C977&lt;&gt;""),MAX($A$4:A976)+1,"")</f>
        <v/>
      </c>
      <c r="B977" s="361" t="s">
        <v>786</v>
      </c>
      <c r="C977" s="364"/>
      <c r="D977" s="327">
        <f>IF($B977="","",COUNTIF($B$6:$B977,$B977))</f>
        <v>14</v>
      </c>
      <c r="E977" s="361" t="s">
        <v>2293</v>
      </c>
      <c r="F977" s="362" t="s">
        <v>806</v>
      </c>
      <c r="G977" s="361" t="s">
        <v>328</v>
      </c>
      <c r="H977" s="328" t="s">
        <v>536</v>
      </c>
      <c r="I977" s="327">
        <v>2</v>
      </c>
      <c r="J977" s="361" t="s">
        <v>1212</v>
      </c>
      <c r="K977" s="327" t="s">
        <v>531</v>
      </c>
      <c r="L977" s="348">
        <f t="shared" si="97"/>
        <v>203999.99999999997</v>
      </c>
      <c r="M977" s="355"/>
      <c r="N977" s="355" t="str">
        <f t="shared" si="62"/>
        <v>PR</v>
      </c>
      <c r="O977" s="345"/>
      <c r="P977" s="325"/>
      <c r="Q977" s="351"/>
      <c r="R977" s="351">
        <v>1.5</v>
      </c>
      <c r="S977" s="351">
        <v>5.8</v>
      </c>
      <c r="T977" s="351">
        <f t="shared" si="104"/>
        <v>1.1724137931034482</v>
      </c>
      <c r="U977" s="329">
        <f>IF($N977=$N$4,IFERROR(INDEX(DanhMuc!$E$154:$E$165,MATCH(MID($B977,4,2),DanhMuc!$B$154:$B$165,0)),""),"")</f>
        <v>5800</v>
      </c>
      <c r="V977" s="325"/>
      <c r="W977" s="352" t="str">
        <f>+IF(AND($A977&lt;&gt;"",LEN($B977)&gt;=8,COUNTIF($B$6:$B977,$B977)=1),$W$5,"")</f>
        <v/>
      </c>
      <c r="X977" s="329" t="str">
        <f t="shared" si="102"/>
        <v>TSL</v>
      </c>
      <c r="Y977" s="1128" t="s">
        <v>3380</v>
      </c>
      <c r="Z977" s="1128" t="s">
        <v>3381</v>
      </c>
      <c r="AA977" s="1128" t="s">
        <v>3384</v>
      </c>
      <c r="AC977" s="73"/>
    </row>
    <row r="978" spans="1:29" s="20" customFormat="1">
      <c r="A978" s="327" t="str">
        <f>IF(AND($B978&lt;&gt;"",$C978&lt;&gt;""),MAX($A$4:A977)+1,"")</f>
        <v/>
      </c>
      <c r="B978" s="361" t="s">
        <v>786</v>
      </c>
      <c r="C978" s="364"/>
      <c r="D978" s="327">
        <f>IF($B978="","",COUNTIF($B$6:$B978,$B978))</f>
        <v>15</v>
      </c>
      <c r="E978" s="361" t="s">
        <v>2297</v>
      </c>
      <c r="F978" s="362" t="s">
        <v>807</v>
      </c>
      <c r="G978" s="361" t="s">
        <v>329</v>
      </c>
      <c r="H978" s="328" t="s">
        <v>536</v>
      </c>
      <c r="I978" s="327">
        <v>4</v>
      </c>
      <c r="J978" s="361" t="s">
        <v>1281</v>
      </c>
      <c r="K978" s="327" t="s">
        <v>531</v>
      </c>
      <c r="L978" s="348">
        <f t="shared" si="97"/>
        <v>150000</v>
      </c>
      <c r="M978" s="355"/>
      <c r="N978" s="355" t="str">
        <f t="shared" si="62"/>
        <v>PR</v>
      </c>
      <c r="O978" s="345"/>
      <c r="P978" s="325"/>
      <c r="Q978" s="351"/>
      <c r="R978" s="351">
        <v>1.5</v>
      </c>
      <c r="S978" s="351">
        <v>5.8</v>
      </c>
      <c r="T978" s="351">
        <f>5/S978</f>
        <v>0.86206896551724144</v>
      </c>
      <c r="U978" s="329">
        <f>IF($N978=$N$4,IFERROR(INDEX(DanhMuc!$E$154:$E$165,MATCH(MID($B978,4,2),DanhMuc!$B$154:$B$165,0)),""),"")</f>
        <v>5800</v>
      </c>
      <c r="V978" s="325"/>
      <c r="W978" s="352" t="str">
        <f>+IF(AND($A978&lt;&gt;"",LEN($B978)&gt;=8,COUNTIF($B$6:$B978,$B978)=1),$W$5,"")</f>
        <v/>
      </c>
      <c r="X978" s="329" t="str">
        <f t="shared" si="102"/>
        <v>TSL</v>
      </c>
      <c r="Y978" s="1128" t="s">
        <v>3380</v>
      </c>
      <c r="Z978" s="1128" t="s">
        <v>3381</v>
      </c>
      <c r="AA978" s="1128" t="s">
        <v>3384</v>
      </c>
      <c r="AC978" s="73"/>
    </row>
    <row r="979" spans="1:29" s="20" customFormat="1">
      <c r="A979" s="327" t="str">
        <f>IF(AND($B979&lt;&gt;"",$C979&lt;&gt;""),MAX($A$4:A978)+1,"")</f>
        <v/>
      </c>
      <c r="B979" s="361" t="s">
        <v>786</v>
      </c>
      <c r="C979" s="364"/>
      <c r="D979" s="327">
        <f>IF($B979="","",COUNTIF($B$6:$B979,$B979))</f>
        <v>16</v>
      </c>
      <c r="E979" s="361" t="s">
        <v>2297</v>
      </c>
      <c r="F979" s="362" t="s">
        <v>807</v>
      </c>
      <c r="G979" s="361" t="s">
        <v>328</v>
      </c>
      <c r="H979" s="328" t="s">
        <v>536</v>
      </c>
      <c r="I979" s="327">
        <v>4</v>
      </c>
      <c r="J979" s="361" t="s">
        <v>1282</v>
      </c>
      <c r="K979" s="327" t="s">
        <v>531</v>
      </c>
      <c r="L979" s="348">
        <f t="shared" si="97"/>
        <v>150000</v>
      </c>
      <c r="M979" s="355"/>
      <c r="N979" s="355" t="str">
        <f t="shared" si="62"/>
        <v>PR</v>
      </c>
      <c r="O979" s="345"/>
      <c r="P979" s="325"/>
      <c r="Q979" s="351"/>
      <c r="R979" s="351">
        <v>1.5</v>
      </c>
      <c r="S979" s="351">
        <v>5.8</v>
      </c>
      <c r="T979" s="351">
        <f>5/S979</f>
        <v>0.86206896551724144</v>
      </c>
      <c r="U979" s="329">
        <f>IF($N979=$N$4,IFERROR(INDEX(DanhMuc!$E$154:$E$165,MATCH(MID($B979,4,2),DanhMuc!$B$154:$B$165,0)),""),"")</f>
        <v>5800</v>
      </c>
      <c r="V979" s="325"/>
      <c r="W979" s="352" t="str">
        <f>+IF(AND($A979&lt;&gt;"",LEN($B979)&gt;=8,COUNTIF($B$6:$B979,$B979)=1),$W$5,"")</f>
        <v/>
      </c>
      <c r="X979" s="329" t="str">
        <f t="shared" si="102"/>
        <v>TSL</v>
      </c>
      <c r="Y979" s="1128" t="s">
        <v>3380</v>
      </c>
      <c r="Z979" s="1128" t="s">
        <v>3381</v>
      </c>
      <c r="AA979" s="1128" t="s">
        <v>3384</v>
      </c>
      <c r="AC979" s="73"/>
    </row>
    <row r="980" spans="1:29" s="20" customFormat="1" ht="26">
      <c r="A980" s="327">
        <f>IF(AND($B980&lt;&gt;"",$C980&lt;&gt;""),MAX($A$4:A979)+1,"")</f>
        <v>75</v>
      </c>
      <c r="B980" s="359" t="s">
        <v>799</v>
      </c>
      <c r="C980" s="370" t="s">
        <v>1570</v>
      </c>
      <c r="D980" s="327">
        <f>IF($B980="","",COUNTIF($B$6:$B980,$B980))</f>
        <v>1</v>
      </c>
      <c r="E980" s="363" t="s">
        <v>787</v>
      </c>
      <c r="F980" s="362" t="s">
        <v>788</v>
      </c>
      <c r="G980" s="361" t="s">
        <v>329</v>
      </c>
      <c r="H980" s="325"/>
      <c r="I980" s="327">
        <v>2</v>
      </c>
      <c r="J980" s="361" t="s">
        <v>762</v>
      </c>
      <c r="K980" s="327" t="s">
        <v>516</v>
      </c>
      <c r="L980" s="348">
        <f t="shared" si="97"/>
        <v>370724.39999999997</v>
      </c>
      <c r="M980" s="355"/>
      <c r="N980" s="355" t="str">
        <f t="shared" si="62"/>
        <v>PR</v>
      </c>
      <c r="O980" s="345"/>
      <c r="P980" s="325"/>
      <c r="Q980" s="351"/>
      <c r="R980" s="351">
        <v>0</v>
      </c>
      <c r="S980" s="351">
        <v>5.8</v>
      </c>
      <c r="T980" s="351">
        <v>1.206</v>
      </c>
      <c r="U980" s="329">
        <f>IF($N980=$N$4,IFERROR(INDEX(DanhMuc!$E$154:$E$165,MATCH(MID($B980,4,2),DanhMuc!$B$154:$B$165,0)),""),"")</f>
        <v>5800</v>
      </c>
      <c r="V980" s="325"/>
      <c r="W980" s="352" t="str">
        <f>+IF(AND($A980&lt;&gt;"",LEN($B980)&gt;=8,COUNTIF($B$6:$B980,$B980)=1),$W$5,"")</f>
        <v>DMCua</v>
      </c>
      <c r="X980" s="329" t="str">
        <f t="shared" si="102"/>
        <v>SL</v>
      </c>
      <c r="Y980" s="1128" t="s">
        <v>3380</v>
      </c>
      <c r="Z980" s="1128" t="s">
        <v>3381</v>
      </c>
      <c r="AA980" s="1128" t="s">
        <v>3384</v>
      </c>
      <c r="AC980" s="73"/>
    </row>
    <row r="981" spans="1:29" s="20" customFormat="1">
      <c r="A981" s="327" t="str">
        <f>IF(AND($B981&lt;&gt;"",$C981&lt;&gt;""),MAX($A$4:A980)+1,"")</f>
        <v/>
      </c>
      <c r="B981" s="361" t="s">
        <v>799</v>
      </c>
      <c r="C981" s="364"/>
      <c r="D981" s="327">
        <f>IF($B981="","",COUNTIF($B$6:$B981,$B981))</f>
        <v>2</v>
      </c>
      <c r="E981" s="363" t="s">
        <v>787</v>
      </c>
      <c r="F981" s="362" t="s">
        <v>788</v>
      </c>
      <c r="G981" s="361" t="s">
        <v>328</v>
      </c>
      <c r="H981" s="325"/>
      <c r="I981" s="327">
        <v>2</v>
      </c>
      <c r="J981" s="361" t="s">
        <v>763</v>
      </c>
      <c r="K981" s="327" t="s">
        <v>516</v>
      </c>
      <c r="L981" s="348">
        <f t="shared" si="97"/>
        <v>370724.39999999997</v>
      </c>
      <c r="M981" s="355"/>
      <c r="N981" s="355" t="str">
        <f t="shared" si="62"/>
        <v>PR</v>
      </c>
      <c r="O981" s="347"/>
      <c r="P981" s="325"/>
      <c r="Q981" s="351"/>
      <c r="R981" s="351">
        <v>0</v>
      </c>
      <c r="S981" s="351">
        <v>5.8</v>
      </c>
      <c r="T981" s="351">
        <v>1.206</v>
      </c>
      <c r="U981" s="329">
        <f>IF($N981=$N$4,IFERROR(INDEX(DanhMuc!$E$154:$E$165,MATCH(MID($B981,4,2),DanhMuc!$B$154:$B$165,0)),""),"")</f>
        <v>5800</v>
      </c>
      <c r="V981" s="325"/>
      <c r="W981" s="352" t="str">
        <f>+IF(AND($A981&lt;&gt;"",LEN($B981)&gt;=8,COUNTIF($B$6:$B981,$B981)=1),$W$5,"")</f>
        <v/>
      </c>
      <c r="X981" s="329" t="str">
        <f t="shared" si="102"/>
        <v>SL</v>
      </c>
      <c r="Y981" s="1128" t="s">
        <v>3380</v>
      </c>
      <c r="Z981" s="1128" t="s">
        <v>3381</v>
      </c>
      <c r="AA981" s="1128" t="s">
        <v>3384</v>
      </c>
      <c r="AC981" s="73"/>
    </row>
    <row r="982" spans="1:29" s="20" customFormat="1">
      <c r="A982" s="327" t="str">
        <f>IF(AND($B982&lt;&gt;"",$C982&lt;&gt;""),MAX($A$4:A981)+1,"")</f>
        <v/>
      </c>
      <c r="B982" s="361" t="s">
        <v>799</v>
      </c>
      <c r="C982" s="364"/>
      <c r="D982" s="327">
        <f>IF($B982="","",COUNTIF($B$6:$B982,$B982))</f>
        <v>3</v>
      </c>
      <c r="E982" s="363" t="s">
        <v>789</v>
      </c>
      <c r="F982" s="362" t="s">
        <v>790</v>
      </c>
      <c r="G982" s="361" t="s">
        <v>329</v>
      </c>
      <c r="H982" s="325"/>
      <c r="I982" s="327">
        <v>2</v>
      </c>
      <c r="J982" s="361" t="s">
        <v>791</v>
      </c>
      <c r="K982" s="327" t="s">
        <v>531</v>
      </c>
      <c r="L982" s="348">
        <f t="shared" si="97"/>
        <v>24090.909090909088</v>
      </c>
      <c r="M982" s="355"/>
      <c r="N982" s="355" t="str">
        <f t="shared" si="62"/>
        <v>PR</v>
      </c>
      <c r="O982" s="347"/>
      <c r="P982" s="325"/>
      <c r="Q982" s="351"/>
      <c r="R982" s="351">
        <v>0</v>
      </c>
      <c r="S982" s="351">
        <v>5.8</v>
      </c>
      <c r="T982" s="351">
        <v>7.8369905956112845E-2</v>
      </c>
      <c r="U982" s="329">
        <f>IF($N982=$N$4,IFERROR(INDEX(DanhMuc!$E$154:$E$165,MATCH(MID($B982,4,2),DanhMuc!$B$154:$B$165,0)),""),"")</f>
        <v>5800</v>
      </c>
      <c r="V982" s="325"/>
      <c r="W982" s="352" t="str">
        <f>+IF(AND($A982&lt;&gt;"",LEN($B982)&gt;=8,COUNTIF($B$6:$B982,$B982)=1),$W$5,"")</f>
        <v/>
      </c>
      <c r="X982" s="329" t="str">
        <f t="shared" si="102"/>
        <v>SL</v>
      </c>
      <c r="Y982" s="1128" t="s">
        <v>3380</v>
      </c>
      <c r="Z982" s="1128" t="s">
        <v>3381</v>
      </c>
      <c r="AA982" s="1128" t="s">
        <v>3384</v>
      </c>
      <c r="AC982" s="73"/>
    </row>
    <row r="983" spans="1:29" s="20" customFormat="1">
      <c r="A983" s="327" t="str">
        <f>IF(AND($B983&lt;&gt;"",$C983&lt;&gt;""),MAX($A$4:A982)+1,"")</f>
        <v/>
      </c>
      <c r="B983" s="361" t="s">
        <v>799</v>
      </c>
      <c r="C983" s="364"/>
      <c r="D983" s="327">
        <f>IF($B983="","",COUNTIF($B$6:$B983,$B983))</f>
        <v>4</v>
      </c>
      <c r="E983" s="361" t="s">
        <v>801</v>
      </c>
      <c r="F983" s="362" t="s">
        <v>802</v>
      </c>
      <c r="G983" s="361" t="s">
        <v>329</v>
      </c>
      <c r="H983" s="325"/>
      <c r="I983" s="327">
        <v>4</v>
      </c>
      <c r="J983" s="361" t="s">
        <v>800</v>
      </c>
      <c r="K983" s="327" t="s">
        <v>516</v>
      </c>
      <c r="L983" s="348">
        <f t="shared" si="97"/>
        <v>304326</v>
      </c>
      <c r="M983" s="355"/>
      <c r="N983" s="355" t="str">
        <f t="shared" si="62"/>
        <v>PR</v>
      </c>
      <c r="O983" s="345"/>
      <c r="P983" s="325"/>
      <c r="Q983" s="351"/>
      <c r="R983" s="351">
        <v>0</v>
      </c>
      <c r="S983" s="351">
        <v>5.8</v>
      </c>
      <c r="T983" s="351">
        <v>0.99</v>
      </c>
      <c r="U983" s="329">
        <f>IF($N983=$N$4,IFERROR(INDEX(DanhMuc!$E$154:$E$165,MATCH(MID($B983,4,2),DanhMuc!$B$154:$B$165,0)),""),"")</f>
        <v>5800</v>
      </c>
      <c r="V983" s="325"/>
      <c r="W983" s="352" t="str">
        <f>+IF(AND($A983&lt;&gt;"",LEN($B983)&gt;=8,COUNTIF($B$6:$B983,$B983)=1),$W$5,"")</f>
        <v/>
      </c>
      <c r="X983" s="329" t="str">
        <f t="shared" si="102"/>
        <v>SL</v>
      </c>
      <c r="Y983" s="1128" t="s">
        <v>3380</v>
      </c>
      <c r="Z983" s="1128" t="s">
        <v>3381</v>
      </c>
      <c r="AA983" s="1128" t="s">
        <v>3384</v>
      </c>
      <c r="AC983" s="73"/>
    </row>
    <row r="984" spans="1:29" s="20" customFormat="1">
      <c r="A984" s="327" t="str">
        <f>IF(AND($B984&lt;&gt;"",$C984&lt;&gt;""),MAX($A$4:A983)+1,"")</f>
        <v/>
      </c>
      <c r="B984" s="361" t="s">
        <v>799</v>
      </c>
      <c r="C984" s="364"/>
      <c r="D984" s="327">
        <f>IF($B984="","",COUNTIF($B$6:$B984,$B984))</f>
        <v>5</v>
      </c>
      <c r="E984" s="361" t="s">
        <v>801</v>
      </c>
      <c r="F984" s="362" t="s">
        <v>802</v>
      </c>
      <c r="G984" s="361" t="s">
        <v>329</v>
      </c>
      <c r="H984" s="325"/>
      <c r="I984" s="327">
        <v>2</v>
      </c>
      <c r="J984" s="361" t="s">
        <v>803</v>
      </c>
      <c r="K984" s="327" t="s">
        <v>516</v>
      </c>
      <c r="L984" s="348">
        <f t="shared" si="97"/>
        <v>304326</v>
      </c>
      <c r="M984" s="355"/>
      <c r="N984" s="355" t="str">
        <f t="shared" si="62"/>
        <v>PR</v>
      </c>
      <c r="O984" s="345"/>
      <c r="P984" s="325"/>
      <c r="Q984" s="351"/>
      <c r="R984" s="351">
        <v>0</v>
      </c>
      <c r="S984" s="351">
        <v>5.8</v>
      </c>
      <c r="T984" s="351">
        <v>0.99</v>
      </c>
      <c r="U984" s="329">
        <f>IF($N984=$N$4,IFERROR(INDEX(DanhMuc!$E$154:$E$165,MATCH(MID($B984,4,2),DanhMuc!$B$154:$B$165,0)),""),"")</f>
        <v>5800</v>
      </c>
      <c r="V984" s="325"/>
      <c r="W984" s="352" t="str">
        <f>+IF(AND($A984&lt;&gt;"",LEN($B984)&gt;=8,COUNTIF($B$6:$B984,$B984)=1),$W$5,"")</f>
        <v/>
      </c>
      <c r="X984" s="329" t="str">
        <f t="shared" si="102"/>
        <v>SL</v>
      </c>
      <c r="Y984" s="1128" t="s">
        <v>3380</v>
      </c>
      <c r="Z984" s="1128" t="s">
        <v>3381</v>
      </c>
      <c r="AA984" s="1128" t="s">
        <v>3384</v>
      </c>
      <c r="AC984" s="73"/>
    </row>
    <row r="985" spans="1:29" s="20" customFormat="1">
      <c r="A985" s="327" t="str">
        <f>IF(AND($B985&lt;&gt;"",$C985&lt;&gt;""),MAX($A$4:A984)+1,"")</f>
        <v/>
      </c>
      <c r="B985" s="361" t="s">
        <v>799</v>
      </c>
      <c r="C985" s="364"/>
      <c r="D985" s="327">
        <f>IF($B985="","",COUNTIF($B$6:$B985,$B985))</f>
        <v>6</v>
      </c>
      <c r="E985" s="361" t="s">
        <v>801</v>
      </c>
      <c r="F985" s="362" t="s">
        <v>802</v>
      </c>
      <c r="G985" s="361" t="s">
        <v>328</v>
      </c>
      <c r="H985" s="325"/>
      <c r="I985" s="327">
        <v>6</v>
      </c>
      <c r="J985" s="361" t="s">
        <v>793</v>
      </c>
      <c r="K985" s="327" t="s">
        <v>516</v>
      </c>
      <c r="L985" s="348">
        <f t="shared" si="97"/>
        <v>304326</v>
      </c>
      <c r="M985" s="355"/>
      <c r="N985" s="355" t="str">
        <f t="shared" si="62"/>
        <v>PR</v>
      </c>
      <c r="O985" s="345"/>
      <c r="P985" s="325"/>
      <c r="Q985" s="351"/>
      <c r="R985" s="351">
        <v>0</v>
      </c>
      <c r="S985" s="351">
        <v>5.8</v>
      </c>
      <c r="T985" s="351">
        <v>0.99</v>
      </c>
      <c r="U985" s="329">
        <f>IF($N985=$N$4,IFERROR(INDEX(DanhMuc!$E$154:$E$165,MATCH(MID($B985,4,2),DanhMuc!$B$154:$B$165,0)),""),"")</f>
        <v>5800</v>
      </c>
      <c r="V985" s="325"/>
      <c r="W985" s="352" t="str">
        <f>+IF(AND($A985&lt;&gt;"",LEN($B985)&gt;=8,COUNTIF($B$6:$B985,$B985)=1),$W$5,"")</f>
        <v/>
      </c>
      <c r="X985" s="329" t="str">
        <f t="shared" si="102"/>
        <v>SL</v>
      </c>
      <c r="Y985" s="1128" t="s">
        <v>3380</v>
      </c>
      <c r="Z985" s="1128" t="s">
        <v>3381</v>
      </c>
      <c r="AA985" s="1128" t="s">
        <v>3384</v>
      </c>
      <c r="AC985" s="73"/>
    </row>
    <row r="986" spans="1:29" s="20" customFormat="1">
      <c r="A986" s="327" t="str">
        <f>IF(AND($B986&lt;&gt;"",$C986&lt;&gt;""),MAX($A$4:A985)+1,"")</f>
        <v/>
      </c>
      <c r="B986" s="361" t="s">
        <v>799</v>
      </c>
      <c r="C986" s="364"/>
      <c r="D986" s="327">
        <f>IF($B986="","",COUNTIF($B$6:$B986,$B986))</f>
        <v>7</v>
      </c>
      <c r="E986" s="361" t="s">
        <v>794</v>
      </c>
      <c r="F986" s="362" t="s">
        <v>795</v>
      </c>
      <c r="G986" s="361" t="s">
        <v>328</v>
      </c>
      <c r="H986" s="325"/>
      <c r="I986" s="327">
        <v>4</v>
      </c>
      <c r="J986" s="361" t="s">
        <v>796</v>
      </c>
      <c r="K986" s="327" t="s">
        <v>531</v>
      </c>
      <c r="L986" s="348">
        <f t="shared" si="97"/>
        <v>73776</v>
      </c>
      <c r="M986" s="355"/>
      <c r="N986" s="355" t="str">
        <f t="shared" si="62"/>
        <v>PR</v>
      </c>
      <c r="O986" s="345"/>
      <c r="P986" s="325"/>
      <c r="Q986" s="351"/>
      <c r="R986" s="351">
        <v>0</v>
      </c>
      <c r="S986" s="351">
        <v>5.8</v>
      </c>
      <c r="T986" s="351">
        <v>0.24</v>
      </c>
      <c r="U986" s="329">
        <f>IF($N986=$N$4,IFERROR(INDEX(DanhMuc!$E$154:$E$165,MATCH(MID($B986,4,2),DanhMuc!$B$154:$B$165,0)),""),"")</f>
        <v>5800</v>
      </c>
      <c r="V986" s="325"/>
      <c r="W986" s="352" t="str">
        <f>+IF(AND($A986&lt;&gt;"",LEN($B986)&gt;=8,COUNTIF($B$6:$B986,$B986)=1),$W$5,"")</f>
        <v/>
      </c>
      <c r="X986" s="329" t="str">
        <f t="shared" si="102"/>
        <v>SL</v>
      </c>
      <c r="Y986" s="1128" t="s">
        <v>3380</v>
      </c>
      <c r="Z986" s="1128" t="s">
        <v>3381</v>
      </c>
      <c r="AA986" s="1128" t="s">
        <v>3384</v>
      </c>
      <c r="AC986" s="73"/>
    </row>
    <row r="987" spans="1:29" s="20" customFormat="1">
      <c r="A987" s="327" t="str">
        <f>IF(AND($B987&lt;&gt;"",$C987&lt;&gt;""),MAX($A$4:A986)+1,"")</f>
        <v/>
      </c>
      <c r="B987" s="361" t="s">
        <v>799</v>
      </c>
      <c r="C987" s="364"/>
      <c r="D987" s="327">
        <f>IF($B987="","",COUNTIF($B$6:$B987,$B987))</f>
        <v>8</v>
      </c>
      <c r="E987" s="361" t="s">
        <v>947</v>
      </c>
      <c r="F987" s="362" t="s">
        <v>948</v>
      </c>
      <c r="G987" s="361" t="s">
        <v>329</v>
      </c>
      <c r="H987" s="325"/>
      <c r="I987" s="327">
        <v>4</v>
      </c>
      <c r="J987" s="361" t="s">
        <v>804</v>
      </c>
      <c r="K987" s="327" t="s">
        <v>516</v>
      </c>
      <c r="L987" s="348">
        <f t="shared" si="97"/>
        <v>69165</v>
      </c>
      <c r="M987" s="355"/>
      <c r="N987" s="355" t="str">
        <f t="shared" si="62"/>
        <v>PR</v>
      </c>
      <c r="O987" s="347">
        <v>7</v>
      </c>
      <c r="P987" s="325"/>
      <c r="Q987" s="351"/>
      <c r="R987" s="351">
        <v>0</v>
      </c>
      <c r="S987" s="351">
        <v>5.8</v>
      </c>
      <c r="T987" s="351">
        <v>0.22500000000000001</v>
      </c>
      <c r="U987" s="329">
        <f>IF($N987=$N$4,IFERROR(INDEX(DanhMuc!$E$154:$E$165,MATCH(MID($B987,4,2),DanhMuc!$B$154:$B$165,0)),""),"")</f>
        <v>5800</v>
      </c>
      <c r="V987" s="325"/>
      <c r="W987" s="352" t="str">
        <f>+IF(AND($A987&lt;&gt;"",LEN($B987)&gt;=8,COUNTIF($B$6:$B987,$B987)=1),$W$5,"")</f>
        <v/>
      </c>
      <c r="X987" s="329" t="str">
        <f t="shared" si="102"/>
        <v>SL</v>
      </c>
      <c r="Y987" s="1128" t="s">
        <v>3380</v>
      </c>
      <c r="Z987" s="1128" t="s">
        <v>3381</v>
      </c>
      <c r="AA987" s="1128" t="s">
        <v>3384</v>
      </c>
      <c r="AC987" s="73"/>
    </row>
    <row r="988" spans="1:29" s="20" customFormat="1">
      <c r="A988" s="327" t="str">
        <f>IF(AND($B988&lt;&gt;"",$C988&lt;&gt;""),MAX($A$4:A987)+1,"")</f>
        <v/>
      </c>
      <c r="B988" s="361" t="s">
        <v>799</v>
      </c>
      <c r="C988" s="364"/>
      <c r="D988" s="327">
        <f>IF($B988="","",COUNTIF($B$6:$B988,$B988))</f>
        <v>9</v>
      </c>
      <c r="E988" s="361" t="s">
        <v>947</v>
      </c>
      <c r="F988" s="362" t="s">
        <v>948</v>
      </c>
      <c r="G988" s="361" t="s">
        <v>329</v>
      </c>
      <c r="H988" s="325"/>
      <c r="I988" s="327">
        <v>2</v>
      </c>
      <c r="J988" s="361" t="s">
        <v>805</v>
      </c>
      <c r="K988" s="327" t="s">
        <v>516</v>
      </c>
      <c r="L988" s="348">
        <f t="shared" si="97"/>
        <v>69165</v>
      </c>
      <c r="M988" s="355"/>
      <c r="N988" s="355" t="str">
        <f t="shared" si="62"/>
        <v>PR</v>
      </c>
      <c r="O988" s="347">
        <v>7</v>
      </c>
      <c r="P988" s="325"/>
      <c r="Q988" s="351"/>
      <c r="R988" s="351">
        <v>0</v>
      </c>
      <c r="S988" s="351">
        <v>5.8</v>
      </c>
      <c r="T988" s="351">
        <v>0.22500000000000001</v>
      </c>
      <c r="U988" s="329">
        <f>IF($N988=$N$4,IFERROR(INDEX(DanhMuc!$E$154:$E$165,MATCH(MID($B988,4,2),DanhMuc!$B$154:$B$165,0)),""),"")</f>
        <v>5800</v>
      </c>
      <c r="V988" s="325"/>
      <c r="W988" s="352" t="str">
        <f>+IF(AND($A988&lt;&gt;"",LEN($B988)&gt;=8,COUNTIF($B$6:$B988,$B988)=1),$W$5,"")</f>
        <v/>
      </c>
      <c r="X988" s="329" t="str">
        <f t="shared" si="102"/>
        <v>SL</v>
      </c>
      <c r="Y988" s="1128" t="s">
        <v>3380</v>
      </c>
      <c r="Z988" s="1128" t="s">
        <v>3381</v>
      </c>
      <c r="AA988" s="1128" t="s">
        <v>3384</v>
      </c>
      <c r="AC988" s="73"/>
    </row>
    <row r="989" spans="1:29" s="20" customFormat="1">
      <c r="A989" s="327" t="str">
        <f>IF(AND($B989&lt;&gt;"",$C989&lt;&gt;""),MAX($A$4:A988)+1,"")</f>
        <v/>
      </c>
      <c r="B989" s="361" t="s">
        <v>799</v>
      </c>
      <c r="C989" s="364"/>
      <c r="D989" s="327">
        <f>IF($B989="","",COUNTIF($B$6:$B989,$B989))</f>
        <v>10</v>
      </c>
      <c r="E989" s="361" t="s">
        <v>947</v>
      </c>
      <c r="F989" s="362" t="s">
        <v>948</v>
      </c>
      <c r="G989" s="361" t="s">
        <v>328</v>
      </c>
      <c r="H989" s="325"/>
      <c r="I989" s="327">
        <v>6</v>
      </c>
      <c r="J989" s="361" t="s">
        <v>798</v>
      </c>
      <c r="K989" s="327" t="s">
        <v>516</v>
      </c>
      <c r="L989" s="348">
        <f t="shared" si="97"/>
        <v>69165</v>
      </c>
      <c r="M989" s="355"/>
      <c r="N989" s="355" t="str">
        <f t="shared" si="62"/>
        <v>PR</v>
      </c>
      <c r="O989" s="347">
        <v>7</v>
      </c>
      <c r="P989" s="325"/>
      <c r="Q989" s="351"/>
      <c r="R989" s="351">
        <v>0</v>
      </c>
      <c r="S989" s="351">
        <v>5.8</v>
      </c>
      <c r="T989" s="351">
        <v>0.22500000000000001</v>
      </c>
      <c r="U989" s="329">
        <f>IF($N989=$N$4,IFERROR(INDEX(DanhMuc!$E$154:$E$165,MATCH(MID($B989,4,2),DanhMuc!$B$154:$B$165,0)),""),"")</f>
        <v>5800</v>
      </c>
      <c r="V989" s="325"/>
      <c r="W989" s="352" t="str">
        <f>+IF(AND($A989&lt;&gt;"",LEN($B989)&gt;=8,COUNTIF($B$6:$B989,$B989)=1),$W$5,"")</f>
        <v/>
      </c>
      <c r="X989" s="329" t="str">
        <f t="shared" si="102"/>
        <v>SL</v>
      </c>
      <c r="Y989" s="1128" t="s">
        <v>3380</v>
      </c>
      <c r="Z989" s="1128" t="s">
        <v>3381</v>
      </c>
      <c r="AA989" s="1128" t="s">
        <v>3384</v>
      </c>
      <c r="AC989" s="73"/>
    </row>
    <row r="990" spans="1:29" s="20" customFormat="1">
      <c r="A990" s="327" t="str">
        <f>IF(AND($B990&lt;&gt;"",$C990&lt;&gt;""),MAX($A$4:A989)+1,"")</f>
        <v/>
      </c>
      <c r="B990" s="361" t="s">
        <v>799</v>
      </c>
      <c r="C990" s="364"/>
      <c r="D990" s="327">
        <f>IF($B990="","",COUNTIF($B$6:$B990,$B990))</f>
        <v>11</v>
      </c>
      <c r="E990" s="361" t="s">
        <v>894</v>
      </c>
      <c r="F990" s="362" t="s">
        <v>949</v>
      </c>
      <c r="G990" s="361" t="s">
        <v>329</v>
      </c>
      <c r="H990" s="325"/>
      <c r="I990" s="327">
        <v>4</v>
      </c>
      <c r="J990" s="361" t="s">
        <v>804</v>
      </c>
      <c r="K990" s="327" t="s">
        <v>516</v>
      </c>
      <c r="L990" s="348">
        <f t="shared" si="97"/>
        <v>64554</v>
      </c>
      <c r="M990" s="355"/>
      <c r="N990" s="355" t="str">
        <f t="shared" si="62"/>
        <v>PR</v>
      </c>
      <c r="O990" s="347">
        <v>11</v>
      </c>
      <c r="P990" s="325"/>
      <c r="Q990" s="351"/>
      <c r="R990" s="351">
        <v>0</v>
      </c>
      <c r="S990" s="351">
        <v>5.8</v>
      </c>
      <c r="T990" s="351">
        <v>0.21</v>
      </c>
      <c r="U990" s="329">
        <f>IF($N990=$N$4,IFERROR(INDEX(DanhMuc!$E$154:$E$165,MATCH(MID($B990,4,2),DanhMuc!$B$154:$B$165,0)),""),"")</f>
        <v>5800</v>
      </c>
      <c r="V990" s="325"/>
      <c r="W990" s="352" t="str">
        <f>+IF(AND($A990&lt;&gt;"",LEN($B990)&gt;=8,COUNTIF($B$6:$B990,$B990)=1),$W$5,"")</f>
        <v/>
      </c>
      <c r="X990" s="329" t="str">
        <f t="shared" si="102"/>
        <v>SL</v>
      </c>
      <c r="Y990" s="1128" t="s">
        <v>3380</v>
      </c>
      <c r="Z990" s="1128" t="s">
        <v>3381</v>
      </c>
      <c r="AA990" s="1128" t="s">
        <v>3384</v>
      </c>
      <c r="AC990" s="73"/>
    </row>
    <row r="991" spans="1:29" s="20" customFormat="1">
      <c r="A991" s="327" t="str">
        <f>IF(AND($B991&lt;&gt;"",$C991&lt;&gt;""),MAX($A$4:A990)+1,"")</f>
        <v/>
      </c>
      <c r="B991" s="361" t="s">
        <v>799</v>
      </c>
      <c r="C991" s="364"/>
      <c r="D991" s="327">
        <f>IF($B991="","",COUNTIF($B$6:$B991,$B991))</f>
        <v>12</v>
      </c>
      <c r="E991" s="361" t="s">
        <v>894</v>
      </c>
      <c r="F991" s="362" t="s">
        <v>949</v>
      </c>
      <c r="G991" s="361" t="s">
        <v>329</v>
      </c>
      <c r="H991" s="325"/>
      <c r="I991" s="327">
        <v>2</v>
      </c>
      <c r="J991" s="361" t="s">
        <v>805</v>
      </c>
      <c r="K991" s="327" t="s">
        <v>516</v>
      </c>
      <c r="L991" s="348">
        <f t="shared" si="97"/>
        <v>64554</v>
      </c>
      <c r="M991" s="355"/>
      <c r="N991" s="355" t="str">
        <f t="shared" si="62"/>
        <v>PR</v>
      </c>
      <c r="O991" s="347">
        <v>11</v>
      </c>
      <c r="P991" s="325"/>
      <c r="Q991" s="351"/>
      <c r="R991" s="351">
        <v>0</v>
      </c>
      <c r="S991" s="351">
        <v>5.8</v>
      </c>
      <c r="T991" s="351">
        <v>0.21</v>
      </c>
      <c r="U991" s="329">
        <f>IF($N991=$N$4,IFERROR(INDEX(DanhMuc!$E$154:$E$165,MATCH(MID($B991,4,2),DanhMuc!$B$154:$B$165,0)),""),"")</f>
        <v>5800</v>
      </c>
      <c r="V991" s="325"/>
      <c r="W991" s="352" t="str">
        <f>+IF(AND($A991&lt;&gt;"",LEN($B991)&gt;=8,COUNTIF($B$6:$B991,$B991)=1),$W$5,"")</f>
        <v/>
      </c>
      <c r="X991" s="329" t="str">
        <f t="shared" si="102"/>
        <v>SL</v>
      </c>
      <c r="Y991" s="1128" t="s">
        <v>3380</v>
      </c>
      <c r="Z991" s="1128" t="s">
        <v>3381</v>
      </c>
      <c r="AA991" s="1128" t="s">
        <v>3384</v>
      </c>
      <c r="AC991" s="73"/>
    </row>
    <row r="992" spans="1:29" s="20" customFormat="1">
      <c r="A992" s="327" t="str">
        <f>IF(AND($B992&lt;&gt;"",$C992&lt;&gt;""),MAX($A$4:A991)+1,"")</f>
        <v/>
      </c>
      <c r="B992" s="361" t="s">
        <v>799</v>
      </c>
      <c r="C992" s="364"/>
      <c r="D992" s="327">
        <f>IF($B992="","",COUNTIF($B$6:$B992,$B992))</f>
        <v>13</v>
      </c>
      <c r="E992" s="361" t="s">
        <v>894</v>
      </c>
      <c r="F992" s="362" t="s">
        <v>949</v>
      </c>
      <c r="G992" s="361" t="s">
        <v>328</v>
      </c>
      <c r="H992" s="325"/>
      <c r="I992" s="327">
        <v>6</v>
      </c>
      <c r="J992" s="361" t="s">
        <v>798</v>
      </c>
      <c r="K992" s="327" t="s">
        <v>516</v>
      </c>
      <c r="L992" s="348">
        <f t="shared" si="97"/>
        <v>64554</v>
      </c>
      <c r="M992" s="355"/>
      <c r="N992" s="355" t="str">
        <f t="shared" si="62"/>
        <v>PR</v>
      </c>
      <c r="O992" s="347">
        <v>11</v>
      </c>
      <c r="P992" s="325"/>
      <c r="Q992" s="351"/>
      <c r="R992" s="351">
        <v>0</v>
      </c>
      <c r="S992" s="351">
        <v>5.8</v>
      </c>
      <c r="T992" s="351">
        <v>0.21</v>
      </c>
      <c r="U992" s="329">
        <f>IF($N992=$N$4,IFERROR(INDEX(DanhMuc!$E$154:$E$165,MATCH(MID($B992,4,2),DanhMuc!$B$154:$B$165,0)),""),"")</f>
        <v>5800</v>
      </c>
      <c r="V992" s="325"/>
      <c r="W992" s="352" t="str">
        <f>+IF(AND($A992&lt;&gt;"",LEN($B992)&gt;=8,COUNTIF($B$6:$B992,$B992)=1),$W$5,"")</f>
        <v/>
      </c>
      <c r="X992" s="329" t="str">
        <f t="shared" si="102"/>
        <v>SL</v>
      </c>
      <c r="Y992" s="1128" t="s">
        <v>3380</v>
      </c>
      <c r="Z992" s="1128" t="s">
        <v>3381</v>
      </c>
      <c r="AA992" s="1128" t="s">
        <v>3384</v>
      </c>
      <c r="AC992" s="73"/>
    </row>
    <row r="993" spans="1:29" s="20" customFormat="1">
      <c r="A993" s="327" t="str">
        <f>IF(AND($B993&lt;&gt;"",$C993&lt;&gt;""),MAX($A$4:A992)+1,"")</f>
        <v/>
      </c>
      <c r="B993" s="361" t="s">
        <v>799</v>
      </c>
      <c r="C993" s="364"/>
      <c r="D993" s="327">
        <f>IF($B993="","",COUNTIF($B$6:$B993,$B993))</f>
        <v>14</v>
      </c>
      <c r="E993" s="361" t="s">
        <v>946</v>
      </c>
      <c r="F993" s="362" t="s">
        <v>383</v>
      </c>
      <c r="G993" s="361" t="s">
        <v>329</v>
      </c>
      <c r="H993" s="325"/>
      <c r="I993" s="327">
        <v>4</v>
      </c>
      <c r="J993" s="361" t="s">
        <v>804</v>
      </c>
      <c r="K993" s="327" t="s">
        <v>516</v>
      </c>
      <c r="L993" s="348">
        <f t="shared" si="97"/>
        <v>46110</v>
      </c>
      <c r="M993" s="355"/>
      <c r="N993" s="355" t="str">
        <f t="shared" si="62"/>
        <v>PR</v>
      </c>
      <c r="O993" s="347">
        <v>19</v>
      </c>
      <c r="P993" s="325"/>
      <c r="Q993" s="351"/>
      <c r="R993" s="351">
        <v>0</v>
      </c>
      <c r="S993" s="351">
        <v>5.8</v>
      </c>
      <c r="T993" s="351">
        <v>0.15</v>
      </c>
      <c r="U993" s="329">
        <f>IF($N993=$N$4,IFERROR(INDEX(DanhMuc!$E$154:$E$165,MATCH(MID($B993,4,2),DanhMuc!$B$154:$B$165,0)),""),"")</f>
        <v>5800</v>
      </c>
      <c r="V993" s="325"/>
      <c r="W993" s="352" t="str">
        <f>+IF(AND($A993&lt;&gt;"",LEN($B993)&gt;=8,COUNTIF($B$6:$B993,$B993)=1),$W$5,"")</f>
        <v/>
      </c>
      <c r="X993" s="329" t="str">
        <f t="shared" si="102"/>
        <v>SL</v>
      </c>
      <c r="Y993" s="1128" t="s">
        <v>3380</v>
      </c>
      <c r="Z993" s="1128" t="s">
        <v>3381</v>
      </c>
      <c r="AA993" s="1128" t="s">
        <v>3384</v>
      </c>
      <c r="AC993" s="73"/>
    </row>
    <row r="994" spans="1:29" s="20" customFormat="1">
      <c r="A994" s="327" t="str">
        <f>IF(AND($B994&lt;&gt;"",$C994&lt;&gt;""),MAX($A$4:A993)+1,"")</f>
        <v/>
      </c>
      <c r="B994" s="361" t="s">
        <v>799</v>
      </c>
      <c r="C994" s="364"/>
      <c r="D994" s="327">
        <f>IF($B994="","",COUNTIF($B$6:$B994,$B994))</f>
        <v>15</v>
      </c>
      <c r="E994" s="361" t="s">
        <v>946</v>
      </c>
      <c r="F994" s="362" t="s">
        <v>383</v>
      </c>
      <c r="G994" s="361" t="s">
        <v>329</v>
      </c>
      <c r="H994" s="325"/>
      <c r="I994" s="327">
        <v>2</v>
      </c>
      <c r="J994" s="361" t="s">
        <v>805</v>
      </c>
      <c r="K994" s="327" t="s">
        <v>516</v>
      </c>
      <c r="L994" s="348">
        <f t="shared" si="97"/>
        <v>46110</v>
      </c>
      <c r="M994" s="355"/>
      <c r="N994" s="355" t="str">
        <f t="shared" si="62"/>
        <v>PR</v>
      </c>
      <c r="O994" s="347">
        <v>19</v>
      </c>
      <c r="P994" s="325"/>
      <c r="Q994" s="351"/>
      <c r="R994" s="351">
        <v>0</v>
      </c>
      <c r="S994" s="351">
        <v>5.8</v>
      </c>
      <c r="T994" s="351">
        <v>0.15</v>
      </c>
      <c r="U994" s="329">
        <f>IF($N994=$N$4,IFERROR(INDEX(DanhMuc!$E$154:$E$165,MATCH(MID($B994,4,2),DanhMuc!$B$154:$B$165,0)),""),"")</f>
        <v>5800</v>
      </c>
      <c r="V994" s="325"/>
      <c r="W994" s="352" t="str">
        <f>+IF(AND($A994&lt;&gt;"",LEN($B994)&gt;=8,COUNTIF($B$6:$B994,$B994)=1),$W$5,"")</f>
        <v/>
      </c>
      <c r="X994" s="329" t="str">
        <f t="shared" si="102"/>
        <v>SL</v>
      </c>
      <c r="Y994" s="1128" t="s">
        <v>3380</v>
      </c>
      <c r="Z994" s="1128" t="s">
        <v>3381</v>
      </c>
      <c r="AA994" s="1128" t="s">
        <v>3384</v>
      </c>
      <c r="AC994" s="73"/>
    </row>
    <row r="995" spans="1:29" s="20" customFormat="1">
      <c r="A995" s="327" t="str">
        <f>IF(AND($B995&lt;&gt;"",$C995&lt;&gt;""),MAX($A$4:A994)+1,"")</f>
        <v/>
      </c>
      <c r="B995" s="361" t="s">
        <v>799</v>
      </c>
      <c r="C995" s="364"/>
      <c r="D995" s="327">
        <f>IF($B995="","",COUNTIF($B$6:$B995,$B995))</f>
        <v>16</v>
      </c>
      <c r="E995" s="361" t="s">
        <v>946</v>
      </c>
      <c r="F995" s="362" t="s">
        <v>383</v>
      </c>
      <c r="G995" s="361" t="s">
        <v>328</v>
      </c>
      <c r="H995" s="325"/>
      <c r="I995" s="327">
        <v>6</v>
      </c>
      <c r="J995" s="361" t="s">
        <v>798</v>
      </c>
      <c r="K995" s="327" t="s">
        <v>516</v>
      </c>
      <c r="L995" s="348">
        <f t="shared" si="97"/>
        <v>46110</v>
      </c>
      <c r="M995" s="355"/>
      <c r="N995" s="355" t="str">
        <f t="shared" si="62"/>
        <v>PR</v>
      </c>
      <c r="O995" s="347">
        <v>19</v>
      </c>
      <c r="P995" s="325"/>
      <c r="Q995" s="351"/>
      <c r="R995" s="351">
        <v>0</v>
      </c>
      <c r="S995" s="351">
        <v>5.8</v>
      </c>
      <c r="T995" s="351">
        <v>0.15</v>
      </c>
      <c r="U995" s="329">
        <f>IF($N995=$N$4,IFERROR(INDEX(DanhMuc!$E$154:$E$165,MATCH(MID($B995,4,2),DanhMuc!$B$154:$B$165,0)),""),"")</f>
        <v>5800</v>
      </c>
      <c r="V995" s="325"/>
      <c r="W995" s="352" t="str">
        <f>+IF(AND($A995&lt;&gt;"",LEN($B995)&gt;=8,COUNTIF($B$6:$B995,$B995)=1),$W$5,"")</f>
        <v/>
      </c>
      <c r="X995" s="329" t="str">
        <f t="shared" si="102"/>
        <v>SL</v>
      </c>
      <c r="Y995" s="1128" t="s">
        <v>3380</v>
      </c>
      <c r="Z995" s="1128" t="s">
        <v>3381</v>
      </c>
      <c r="AA995" s="1128" t="s">
        <v>3384</v>
      </c>
      <c r="AC995" s="73"/>
    </row>
    <row r="996" spans="1:29" s="20" customFormat="1">
      <c r="A996" s="327" t="str">
        <f>IF(AND($B996&lt;&gt;"",$C996&lt;&gt;""),MAX($A$4:A995)+1,"")</f>
        <v/>
      </c>
      <c r="B996" s="361" t="s">
        <v>799</v>
      </c>
      <c r="C996" s="364"/>
      <c r="D996" s="327">
        <f>IF($B996="","",COUNTIF($B$6:$B996,$B996))</f>
        <v>17</v>
      </c>
      <c r="E996" s="361" t="s">
        <v>2293</v>
      </c>
      <c r="F996" s="362" t="s">
        <v>806</v>
      </c>
      <c r="G996" s="361" t="s">
        <v>329</v>
      </c>
      <c r="H996" s="328" t="s">
        <v>536</v>
      </c>
      <c r="I996" s="327">
        <v>2</v>
      </c>
      <c r="J996" s="361" t="s">
        <v>1211</v>
      </c>
      <c r="K996" s="327" t="s">
        <v>531</v>
      </c>
      <c r="L996" s="348">
        <f t="shared" si="97"/>
        <v>203999.99999999997</v>
      </c>
      <c r="M996" s="355"/>
      <c r="N996" s="355" t="str">
        <f t="shared" si="62"/>
        <v>PR</v>
      </c>
      <c r="O996" s="345"/>
      <c r="P996" s="325"/>
      <c r="Q996" s="351"/>
      <c r="R996" s="351">
        <v>1.5</v>
      </c>
      <c r="S996" s="351">
        <v>5.8</v>
      </c>
      <c r="T996" s="351">
        <f t="shared" ref="T996:T997" si="105">6.8/S996</f>
        <v>1.1724137931034482</v>
      </c>
      <c r="U996" s="329">
        <f>IF($N996=$N$4,IFERROR(INDEX(DanhMuc!$E$154:$E$165,MATCH(MID($B996,4,2),DanhMuc!$B$154:$B$165,0)),""),"")</f>
        <v>5800</v>
      </c>
      <c r="V996" s="325"/>
      <c r="W996" s="352" t="str">
        <f>+IF(AND($A996&lt;&gt;"",LEN($B996)&gt;=8,COUNTIF($B$6:$B996,$B996)=1),$W$5,"")</f>
        <v/>
      </c>
      <c r="X996" s="329" t="str">
        <f t="shared" si="102"/>
        <v>TSL</v>
      </c>
      <c r="Y996" s="1128" t="s">
        <v>3380</v>
      </c>
      <c r="Z996" s="1128" t="s">
        <v>3381</v>
      </c>
      <c r="AA996" s="1128" t="s">
        <v>3384</v>
      </c>
      <c r="AC996" s="73"/>
    </row>
    <row r="997" spans="1:29" s="20" customFormat="1">
      <c r="A997" s="327" t="str">
        <f>IF(AND($B997&lt;&gt;"",$C997&lt;&gt;""),MAX($A$4:A996)+1,"")</f>
        <v/>
      </c>
      <c r="B997" s="361" t="s">
        <v>799</v>
      </c>
      <c r="C997" s="364"/>
      <c r="D997" s="327">
        <f>IF($B997="","",COUNTIF($B$6:$B997,$B997))</f>
        <v>18</v>
      </c>
      <c r="E997" s="361" t="s">
        <v>2293</v>
      </c>
      <c r="F997" s="362" t="s">
        <v>806</v>
      </c>
      <c r="G997" s="361" t="s">
        <v>328</v>
      </c>
      <c r="H997" s="328" t="s">
        <v>536</v>
      </c>
      <c r="I997" s="327">
        <v>2</v>
      </c>
      <c r="J997" s="361" t="s">
        <v>1212</v>
      </c>
      <c r="K997" s="327" t="s">
        <v>531</v>
      </c>
      <c r="L997" s="348">
        <f t="shared" si="97"/>
        <v>203999.99999999997</v>
      </c>
      <c r="M997" s="355"/>
      <c r="N997" s="355" t="str">
        <f t="shared" si="62"/>
        <v>PR</v>
      </c>
      <c r="O997" s="345"/>
      <c r="P997" s="325"/>
      <c r="Q997" s="351"/>
      <c r="R997" s="351">
        <v>1.5</v>
      </c>
      <c r="S997" s="351">
        <v>5.8</v>
      </c>
      <c r="T997" s="351">
        <f t="shared" si="105"/>
        <v>1.1724137931034482</v>
      </c>
      <c r="U997" s="329">
        <f>IF($N997=$N$4,IFERROR(INDEX(DanhMuc!$E$154:$E$165,MATCH(MID($B997,4,2),DanhMuc!$B$154:$B$165,0)),""),"")</f>
        <v>5800</v>
      </c>
      <c r="V997" s="325"/>
      <c r="W997" s="352" t="str">
        <f>+IF(AND($A997&lt;&gt;"",LEN($B997)&gt;=8,COUNTIF($B$6:$B997,$B997)=1),$W$5,"")</f>
        <v/>
      </c>
      <c r="X997" s="329" t="str">
        <f t="shared" si="102"/>
        <v>TSL</v>
      </c>
      <c r="Y997" s="1128" t="s">
        <v>3380</v>
      </c>
      <c r="Z997" s="1128" t="s">
        <v>3381</v>
      </c>
      <c r="AA997" s="1128" t="s">
        <v>3384</v>
      </c>
      <c r="AC997" s="73"/>
    </row>
    <row r="998" spans="1:29" s="20" customFormat="1">
      <c r="A998" s="327" t="str">
        <f>IF(AND($B998&lt;&gt;"",$C998&lt;&gt;""),MAX($A$4:A997)+1,"")</f>
        <v/>
      </c>
      <c r="B998" s="361" t="s">
        <v>799</v>
      </c>
      <c r="C998" s="364"/>
      <c r="D998" s="327">
        <f>IF($B998="","",COUNTIF($B$6:$B998,$B998))</f>
        <v>19</v>
      </c>
      <c r="E998" s="361" t="s">
        <v>2297</v>
      </c>
      <c r="F998" s="362" t="s">
        <v>807</v>
      </c>
      <c r="G998" s="361" t="s">
        <v>329</v>
      </c>
      <c r="H998" s="328" t="s">
        <v>536</v>
      </c>
      <c r="I998" s="327">
        <v>4</v>
      </c>
      <c r="J998" s="361" t="s">
        <v>1283</v>
      </c>
      <c r="K998" s="327" t="s">
        <v>531</v>
      </c>
      <c r="L998" s="348">
        <f t="shared" si="97"/>
        <v>150000</v>
      </c>
      <c r="M998" s="355"/>
      <c r="N998" s="355" t="str">
        <f t="shared" si="62"/>
        <v>PR</v>
      </c>
      <c r="O998" s="345"/>
      <c r="P998" s="325"/>
      <c r="Q998" s="351"/>
      <c r="R998" s="351">
        <v>1.5</v>
      </c>
      <c r="S998" s="351">
        <v>5.8</v>
      </c>
      <c r="T998" s="351">
        <f t="shared" ref="T998:T1000" si="106">5/S998</f>
        <v>0.86206896551724144</v>
      </c>
      <c r="U998" s="329">
        <f>IF($N998=$N$4,IFERROR(INDEX(DanhMuc!$E$154:$E$165,MATCH(MID($B998,4,2),DanhMuc!$B$154:$B$165,0)),""),"")</f>
        <v>5800</v>
      </c>
      <c r="V998" s="325"/>
      <c r="W998" s="352" t="str">
        <f>+IF(AND($A998&lt;&gt;"",LEN($B998)&gt;=8,COUNTIF($B$6:$B998,$B998)=1),$W$5,"")</f>
        <v/>
      </c>
      <c r="X998" s="329" t="str">
        <f t="shared" si="102"/>
        <v>TSL</v>
      </c>
      <c r="Y998" s="1128" t="s">
        <v>3380</v>
      </c>
      <c r="Z998" s="1128" t="s">
        <v>3381</v>
      </c>
      <c r="AA998" s="1128" t="s">
        <v>3384</v>
      </c>
      <c r="AC998" s="73"/>
    </row>
    <row r="999" spans="1:29" s="20" customFormat="1">
      <c r="A999" s="327" t="str">
        <f>IF(AND($B999&lt;&gt;"",$C999&lt;&gt;""),MAX($A$4:A998)+1,"")</f>
        <v/>
      </c>
      <c r="B999" s="361" t="s">
        <v>799</v>
      </c>
      <c r="C999" s="364"/>
      <c r="D999" s="327">
        <f>IF($B999="","",COUNTIF($B$6:$B999,$B999))</f>
        <v>20</v>
      </c>
      <c r="E999" s="361" t="s">
        <v>2297</v>
      </c>
      <c r="F999" s="362" t="s">
        <v>807</v>
      </c>
      <c r="G999" s="361" t="s">
        <v>329</v>
      </c>
      <c r="H999" s="328" t="s">
        <v>536</v>
      </c>
      <c r="I999" s="327">
        <v>2</v>
      </c>
      <c r="J999" s="361" t="s">
        <v>1284</v>
      </c>
      <c r="K999" s="327" t="s">
        <v>531</v>
      </c>
      <c r="L999" s="348">
        <f t="shared" si="97"/>
        <v>150000</v>
      </c>
      <c r="M999" s="355"/>
      <c r="N999" s="355" t="str">
        <f t="shared" si="62"/>
        <v>PR</v>
      </c>
      <c r="O999" s="345"/>
      <c r="P999" s="325"/>
      <c r="Q999" s="351"/>
      <c r="R999" s="351">
        <v>1.5</v>
      </c>
      <c r="S999" s="351">
        <v>5.8</v>
      </c>
      <c r="T999" s="351">
        <f t="shared" si="106"/>
        <v>0.86206896551724144</v>
      </c>
      <c r="U999" s="329">
        <f>IF($N999=$N$4,IFERROR(INDEX(DanhMuc!$E$154:$E$165,MATCH(MID($B999,4,2),DanhMuc!$B$154:$B$165,0)),""),"")</f>
        <v>5800</v>
      </c>
      <c r="V999" s="325"/>
      <c r="W999" s="352" t="str">
        <f>+IF(AND($A999&lt;&gt;"",LEN($B999)&gt;=8,COUNTIF($B$6:$B999,$B999)=1),$W$5,"")</f>
        <v/>
      </c>
      <c r="X999" s="329" t="str">
        <f t="shared" si="102"/>
        <v>TSL</v>
      </c>
      <c r="Y999" s="1128" t="s">
        <v>3380</v>
      </c>
      <c r="Z999" s="1128" t="s">
        <v>3381</v>
      </c>
      <c r="AA999" s="1128" t="s">
        <v>3384</v>
      </c>
      <c r="AC999" s="73"/>
    </row>
    <row r="1000" spans="1:29" s="20" customFormat="1">
      <c r="A1000" s="327" t="str">
        <f>IF(AND($B1000&lt;&gt;"",$C1000&lt;&gt;""),MAX($A$4:A999)+1,"")</f>
        <v/>
      </c>
      <c r="B1000" s="361" t="s">
        <v>799</v>
      </c>
      <c r="C1000" s="364"/>
      <c r="D1000" s="327">
        <f>IF($B1000="","",COUNTIF($B$6:$B1000,$B1000))</f>
        <v>21</v>
      </c>
      <c r="E1000" s="361" t="s">
        <v>2297</v>
      </c>
      <c r="F1000" s="362" t="s">
        <v>807</v>
      </c>
      <c r="G1000" s="361" t="s">
        <v>328</v>
      </c>
      <c r="H1000" s="328" t="s">
        <v>536</v>
      </c>
      <c r="I1000" s="327">
        <v>6</v>
      </c>
      <c r="J1000" s="361" t="s">
        <v>1282</v>
      </c>
      <c r="K1000" s="327" t="s">
        <v>531</v>
      </c>
      <c r="L1000" s="348">
        <f t="shared" si="97"/>
        <v>150000</v>
      </c>
      <c r="M1000" s="355"/>
      <c r="N1000" s="355" t="str">
        <f t="shared" si="62"/>
        <v>PR</v>
      </c>
      <c r="O1000" s="345"/>
      <c r="P1000" s="325"/>
      <c r="Q1000" s="351"/>
      <c r="R1000" s="351">
        <v>1.5</v>
      </c>
      <c r="S1000" s="351">
        <v>5.8</v>
      </c>
      <c r="T1000" s="351">
        <f t="shared" si="106"/>
        <v>0.86206896551724144</v>
      </c>
      <c r="U1000" s="329">
        <f>IF($N1000=$N$4,IFERROR(INDEX(DanhMuc!$E$154:$E$165,MATCH(MID($B1000,4,2),DanhMuc!$B$154:$B$165,0)),""),"")</f>
        <v>5800</v>
      </c>
      <c r="V1000" s="325"/>
      <c r="W1000" s="352" t="str">
        <f>+IF(AND($A1000&lt;&gt;"",LEN($B1000)&gt;=8,COUNTIF($B$6:$B1000,$B1000)=1),$W$5,"")</f>
        <v/>
      </c>
      <c r="X1000" s="329" t="str">
        <f t="shared" si="102"/>
        <v>TSL</v>
      </c>
      <c r="Y1000" s="1128" t="s">
        <v>3380</v>
      </c>
      <c r="Z1000" s="1128" t="s">
        <v>3381</v>
      </c>
      <c r="AA1000" s="1128" t="s">
        <v>3384</v>
      </c>
      <c r="AC1000" s="73"/>
    </row>
    <row r="1001" spans="1:29" s="20" customFormat="1" ht="26">
      <c r="A1001" s="327">
        <f>IF(AND($B1001&lt;&gt;"",$C1001&lt;&gt;""),MAX($A$4:A1000)+1,"")</f>
        <v>76</v>
      </c>
      <c r="B1001" s="359" t="s">
        <v>811</v>
      </c>
      <c r="C1001" s="370" t="s">
        <v>1571</v>
      </c>
      <c r="D1001" s="327">
        <f>IF($B1001="","",COUNTIF($B$6:$B1001,$B1001))</f>
        <v>1</v>
      </c>
      <c r="E1001" s="363" t="s">
        <v>787</v>
      </c>
      <c r="F1001" s="362" t="s">
        <v>788</v>
      </c>
      <c r="G1001" s="361" t="s">
        <v>329</v>
      </c>
      <c r="H1001" s="325"/>
      <c r="I1001" s="327">
        <v>2</v>
      </c>
      <c r="J1001" s="361" t="s">
        <v>762</v>
      </c>
      <c r="K1001" s="327" t="s">
        <v>516</v>
      </c>
      <c r="L1001" s="348">
        <f t="shared" si="97"/>
        <v>370724.39999999997</v>
      </c>
      <c r="M1001" s="355"/>
      <c r="N1001" s="355" t="str">
        <f t="shared" si="62"/>
        <v>PR</v>
      </c>
      <c r="O1001" s="345"/>
      <c r="P1001" s="325"/>
      <c r="Q1001" s="351"/>
      <c r="R1001" s="351">
        <v>0</v>
      </c>
      <c r="S1001" s="351">
        <v>5.8</v>
      </c>
      <c r="T1001" s="351">
        <v>1.206</v>
      </c>
      <c r="U1001" s="329">
        <f>IF($N1001=$N$4,IFERROR(INDEX(DanhMuc!$E$154:$E$165,MATCH(MID($B1001,4,2),DanhMuc!$B$154:$B$165,0)),""),"")</f>
        <v>5800</v>
      </c>
      <c r="V1001" s="325"/>
      <c r="W1001" s="352" t="str">
        <f>+IF(AND($A1001&lt;&gt;"",LEN($B1001)&gt;=8,COUNTIF($B$6:$B1001,$B1001)=1),$W$5,"")</f>
        <v>DMCua</v>
      </c>
      <c r="X1001" s="329" t="str">
        <f t="shared" si="102"/>
        <v>SL</v>
      </c>
      <c r="Y1001" s="1128" t="s">
        <v>3380</v>
      </c>
      <c r="Z1001" s="1128" t="s">
        <v>3381</v>
      </c>
      <c r="AA1001" s="1128" t="s">
        <v>3384</v>
      </c>
      <c r="AC1001" s="73"/>
    </row>
    <row r="1002" spans="1:29" s="20" customFormat="1">
      <c r="A1002" s="327" t="str">
        <f>IF(AND($B1002&lt;&gt;"",$C1002&lt;&gt;""),MAX($A$4:A1001)+1,"")</f>
        <v/>
      </c>
      <c r="B1002" s="361" t="s">
        <v>811</v>
      </c>
      <c r="C1002" s="364"/>
      <c r="D1002" s="327">
        <f>IF($B1002="","",COUNTIF($B$6:$B1002,$B1002))</f>
        <v>2</v>
      </c>
      <c r="E1002" s="363" t="s">
        <v>787</v>
      </c>
      <c r="F1002" s="362" t="s">
        <v>788</v>
      </c>
      <c r="G1002" s="361" t="s">
        <v>328</v>
      </c>
      <c r="H1002" s="325"/>
      <c r="I1002" s="327">
        <v>2</v>
      </c>
      <c r="J1002" s="361" t="s">
        <v>763</v>
      </c>
      <c r="K1002" s="327" t="s">
        <v>516</v>
      </c>
      <c r="L1002" s="348">
        <f t="shared" si="97"/>
        <v>370724.39999999997</v>
      </c>
      <c r="M1002" s="355"/>
      <c r="N1002" s="355" t="str">
        <f t="shared" si="62"/>
        <v>PR</v>
      </c>
      <c r="O1002" s="347"/>
      <c r="P1002" s="325"/>
      <c r="Q1002" s="351"/>
      <c r="R1002" s="351">
        <v>0</v>
      </c>
      <c r="S1002" s="351">
        <v>5.8</v>
      </c>
      <c r="T1002" s="351">
        <v>1.206</v>
      </c>
      <c r="U1002" s="329">
        <f>IF($N1002=$N$4,IFERROR(INDEX(DanhMuc!$E$154:$E$165,MATCH(MID($B1002,4,2),DanhMuc!$B$154:$B$165,0)),""),"")</f>
        <v>5800</v>
      </c>
      <c r="V1002" s="325"/>
      <c r="W1002" s="352" t="str">
        <f>+IF(AND($A1002&lt;&gt;"",LEN($B1002)&gt;=8,COUNTIF($B$6:$B1002,$B1002)=1),$W$5,"")</f>
        <v/>
      </c>
      <c r="X1002" s="329" t="str">
        <f t="shared" si="102"/>
        <v>SL</v>
      </c>
      <c r="Y1002" s="1128" t="s">
        <v>3380</v>
      </c>
      <c r="Z1002" s="1128" t="s">
        <v>3381</v>
      </c>
      <c r="AA1002" s="1128" t="s">
        <v>3384</v>
      </c>
      <c r="AC1002" s="73"/>
    </row>
    <row r="1003" spans="1:29" s="20" customFormat="1">
      <c r="A1003" s="327" t="str">
        <f>IF(AND($B1003&lt;&gt;"",$C1003&lt;&gt;""),MAX($A$4:A1002)+1,"")</f>
        <v/>
      </c>
      <c r="B1003" s="361" t="s">
        <v>811</v>
      </c>
      <c r="C1003" s="364"/>
      <c r="D1003" s="327">
        <f>IF($B1003="","",COUNTIF($B$6:$B1003,$B1003))</f>
        <v>3</v>
      </c>
      <c r="E1003" s="363" t="s">
        <v>789</v>
      </c>
      <c r="F1003" s="362" t="s">
        <v>790</v>
      </c>
      <c r="G1003" s="361" t="s">
        <v>329</v>
      </c>
      <c r="H1003" s="325"/>
      <c r="I1003" s="327">
        <v>2</v>
      </c>
      <c r="J1003" s="361" t="s">
        <v>791</v>
      </c>
      <c r="K1003" s="327" t="s">
        <v>531</v>
      </c>
      <c r="L1003" s="348">
        <f t="shared" si="97"/>
        <v>24090.909090909088</v>
      </c>
      <c r="M1003" s="355"/>
      <c r="N1003" s="355" t="str">
        <f t="shared" si="62"/>
        <v>PR</v>
      </c>
      <c r="O1003" s="347"/>
      <c r="P1003" s="325"/>
      <c r="Q1003" s="351"/>
      <c r="R1003" s="351">
        <v>0</v>
      </c>
      <c r="S1003" s="351">
        <v>5.8</v>
      </c>
      <c r="T1003" s="351">
        <v>7.8369905956112845E-2</v>
      </c>
      <c r="U1003" s="329">
        <f>IF($N1003=$N$4,IFERROR(INDEX(DanhMuc!$E$154:$E$165,MATCH(MID($B1003,4,2),DanhMuc!$B$154:$B$165,0)),""),"")</f>
        <v>5800</v>
      </c>
      <c r="V1003" s="325"/>
      <c r="W1003" s="352" t="str">
        <f>+IF(AND($A1003&lt;&gt;"",LEN($B1003)&gt;=8,COUNTIF($B$6:$B1003,$B1003)=1),$W$5,"")</f>
        <v/>
      </c>
      <c r="X1003" s="329" t="str">
        <f t="shared" si="102"/>
        <v>SL</v>
      </c>
      <c r="Y1003" s="1128" t="s">
        <v>3380</v>
      </c>
      <c r="Z1003" s="1128" t="s">
        <v>3381</v>
      </c>
      <c r="AA1003" s="1128" t="s">
        <v>3384</v>
      </c>
      <c r="AC1003" s="73"/>
    </row>
    <row r="1004" spans="1:29" s="20" customFormat="1">
      <c r="A1004" s="327" t="str">
        <f>IF(AND($B1004&lt;&gt;"",$C1004&lt;&gt;""),MAX($A$4:A1003)+1,"")</f>
        <v/>
      </c>
      <c r="B1004" s="361" t="s">
        <v>811</v>
      </c>
      <c r="C1004" s="364"/>
      <c r="D1004" s="327">
        <f>IF($B1004="","",COUNTIF($B$6:$B1004,$B1004))</f>
        <v>4</v>
      </c>
      <c r="E1004" s="361" t="s">
        <v>801</v>
      </c>
      <c r="F1004" s="362" t="s">
        <v>802</v>
      </c>
      <c r="G1004" s="361" t="s">
        <v>329</v>
      </c>
      <c r="H1004" s="325"/>
      <c r="I1004" s="327">
        <v>8</v>
      </c>
      <c r="J1004" s="361" t="s">
        <v>812</v>
      </c>
      <c r="K1004" s="327" t="s">
        <v>516</v>
      </c>
      <c r="L1004" s="348">
        <f t="shared" si="97"/>
        <v>304326</v>
      </c>
      <c r="M1004" s="355"/>
      <c r="N1004" s="355" t="str">
        <f t="shared" si="62"/>
        <v>PR</v>
      </c>
      <c r="O1004" s="345"/>
      <c r="P1004" s="325"/>
      <c r="Q1004" s="351"/>
      <c r="R1004" s="351">
        <v>0</v>
      </c>
      <c r="S1004" s="351">
        <v>5.8</v>
      </c>
      <c r="T1004" s="351">
        <v>0.99</v>
      </c>
      <c r="U1004" s="329">
        <f>IF($N1004=$N$4,IFERROR(INDEX(DanhMuc!$E$154:$E$165,MATCH(MID($B1004,4,2),DanhMuc!$B$154:$B$165,0)),""),"")</f>
        <v>5800</v>
      </c>
      <c r="V1004" s="325"/>
      <c r="W1004" s="352" t="str">
        <f>+IF(AND($A1004&lt;&gt;"",LEN($B1004)&gt;=8,COUNTIF($B$6:$B1004,$B1004)=1),$W$5,"")</f>
        <v/>
      </c>
      <c r="X1004" s="329" t="str">
        <f t="shared" si="102"/>
        <v>SL</v>
      </c>
      <c r="Y1004" s="1128" t="s">
        <v>3380</v>
      </c>
      <c r="Z1004" s="1128" t="s">
        <v>3381</v>
      </c>
      <c r="AA1004" s="1128" t="s">
        <v>3384</v>
      </c>
      <c r="AC1004" s="73"/>
    </row>
    <row r="1005" spans="1:29" s="20" customFormat="1">
      <c r="A1005" s="327" t="str">
        <f>IF(AND($B1005&lt;&gt;"",$C1005&lt;&gt;""),MAX($A$4:A1004)+1,"")</f>
        <v/>
      </c>
      <c r="B1005" s="361" t="s">
        <v>811</v>
      </c>
      <c r="C1005" s="364"/>
      <c r="D1005" s="327">
        <f>IF($B1005="","",COUNTIF($B$6:$B1005,$B1005))</f>
        <v>5</v>
      </c>
      <c r="E1005" s="361" t="s">
        <v>801</v>
      </c>
      <c r="F1005" s="362" t="s">
        <v>802</v>
      </c>
      <c r="G1005" s="361" t="s">
        <v>328</v>
      </c>
      <c r="H1005" s="325"/>
      <c r="I1005" s="327">
        <v>8</v>
      </c>
      <c r="J1005" s="361" t="s">
        <v>793</v>
      </c>
      <c r="K1005" s="327" t="s">
        <v>516</v>
      </c>
      <c r="L1005" s="348">
        <f t="shared" si="97"/>
        <v>304326</v>
      </c>
      <c r="M1005" s="355"/>
      <c r="N1005" s="355" t="str">
        <f t="shared" si="62"/>
        <v>PR</v>
      </c>
      <c r="O1005" s="345"/>
      <c r="P1005" s="325"/>
      <c r="Q1005" s="351"/>
      <c r="R1005" s="351">
        <v>0</v>
      </c>
      <c r="S1005" s="351">
        <v>5.8</v>
      </c>
      <c r="T1005" s="351">
        <v>0.99</v>
      </c>
      <c r="U1005" s="329">
        <f>IF($N1005=$N$4,IFERROR(INDEX(DanhMuc!$E$154:$E$165,MATCH(MID($B1005,4,2),DanhMuc!$B$154:$B$165,0)),""),"")</f>
        <v>5800</v>
      </c>
      <c r="V1005" s="325"/>
      <c r="W1005" s="352" t="str">
        <f>+IF(AND($A1005&lt;&gt;"",LEN($B1005)&gt;=8,COUNTIF($B$6:$B1005,$B1005)=1),$W$5,"")</f>
        <v/>
      </c>
      <c r="X1005" s="329" t="str">
        <f t="shared" si="102"/>
        <v>SL</v>
      </c>
      <c r="Y1005" s="1128" t="s">
        <v>3380</v>
      </c>
      <c r="Z1005" s="1128" t="s">
        <v>3381</v>
      </c>
      <c r="AA1005" s="1128" t="s">
        <v>3384</v>
      </c>
      <c r="AC1005" s="73"/>
    </row>
    <row r="1006" spans="1:29" s="20" customFormat="1">
      <c r="A1006" s="327" t="str">
        <f>IF(AND($B1006&lt;&gt;"",$C1006&lt;&gt;""),MAX($A$4:A1004)+1,"")</f>
        <v/>
      </c>
      <c r="B1006" s="361" t="s">
        <v>811</v>
      </c>
      <c r="C1006" s="364"/>
      <c r="D1006" s="327">
        <f>IF($B1006="","",COUNTIF($B$6:$B1006,$B1006))</f>
        <v>6</v>
      </c>
      <c r="E1006" s="361" t="s">
        <v>2079</v>
      </c>
      <c r="F1006" s="362" t="s">
        <v>2064</v>
      </c>
      <c r="G1006" s="361" t="s">
        <v>328</v>
      </c>
      <c r="H1006" s="325"/>
      <c r="I1006" s="327">
        <v>1</v>
      </c>
      <c r="J1006" s="361" t="s">
        <v>796</v>
      </c>
      <c r="K1006" s="327" t="s">
        <v>531</v>
      </c>
      <c r="L1006" s="348">
        <f t="shared" si="97"/>
        <v>144478</v>
      </c>
      <c r="M1006" s="355"/>
      <c r="N1006" s="355" t="str">
        <f t="shared" ref="N1006" si="107">+$N$4</f>
        <v>PR</v>
      </c>
      <c r="O1006" s="345"/>
      <c r="P1006" s="325"/>
      <c r="Q1006" s="351"/>
      <c r="R1006" s="351">
        <v>0</v>
      </c>
      <c r="S1006" s="351">
        <v>5.8</v>
      </c>
      <c r="T1006" s="351">
        <v>0.47</v>
      </c>
      <c r="U1006" s="329">
        <f>IF($N1006=$N$4,IFERROR(INDEX(DanhMuc!$E$154:$E$165,MATCH(MID($B1006,4,2),DanhMuc!$B$154:$B$165,0)),""),"")</f>
        <v>5800</v>
      </c>
      <c r="V1006" s="325"/>
      <c r="W1006" s="352" t="str">
        <f>+IF(AND($A1006&lt;&gt;"",LEN($B1006)&gt;=8,COUNTIF($B$6:$B1006,$B1006)=1),$W$5,"")</f>
        <v/>
      </c>
      <c r="X1006" s="329" t="str">
        <f t="shared" si="102"/>
        <v>SL</v>
      </c>
      <c r="Y1006" s="1128" t="s">
        <v>3380</v>
      </c>
      <c r="Z1006" s="1128" t="s">
        <v>3381</v>
      </c>
      <c r="AA1006" s="1128" t="s">
        <v>3384</v>
      </c>
      <c r="AC1006" s="73"/>
    </row>
    <row r="1007" spans="1:29" s="20" customFormat="1">
      <c r="A1007" s="327" t="str">
        <f>IF(AND($B1007&lt;&gt;"",$C1007&lt;&gt;""),MAX($A$4:A1005)+1,"")</f>
        <v/>
      </c>
      <c r="B1007" s="361" t="s">
        <v>811</v>
      </c>
      <c r="C1007" s="364"/>
      <c r="D1007" s="327">
        <f>IF($B1007="","",COUNTIF($B$6:$B1007,$B1007))</f>
        <v>7</v>
      </c>
      <c r="E1007" s="361" t="s">
        <v>794</v>
      </c>
      <c r="F1007" s="362" t="s">
        <v>795</v>
      </c>
      <c r="G1007" s="361" t="s">
        <v>328</v>
      </c>
      <c r="H1007" s="325"/>
      <c r="I1007" s="327">
        <v>2</v>
      </c>
      <c r="J1007" s="361" t="s">
        <v>796</v>
      </c>
      <c r="K1007" s="327" t="s">
        <v>531</v>
      </c>
      <c r="L1007" s="348">
        <f t="shared" si="97"/>
        <v>73776</v>
      </c>
      <c r="M1007" s="355"/>
      <c r="N1007" s="355" t="str">
        <f t="shared" si="62"/>
        <v>PR</v>
      </c>
      <c r="O1007" s="345"/>
      <c r="P1007" s="325"/>
      <c r="Q1007" s="351"/>
      <c r="R1007" s="351">
        <v>0</v>
      </c>
      <c r="S1007" s="351">
        <v>5.8</v>
      </c>
      <c r="T1007" s="351">
        <v>0.24</v>
      </c>
      <c r="U1007" s="329">
        <f>IF($N1007=$N$4,IFERROR(INDEX(DanhMuc!$E$154:$E$165,MATCH(MID($B1007,4,2),DanhMuc!$B$154:$B$165,0)),""),"")</f>
        <v>5800</v>
      </c>
      <c r="V1007" s="325"/>
      <c r="W1007" s="352" t="str">
        <f>+IF(AND($A1007&lt;&gt;"",LEN($B1007)&gt;=8,COUNTIF($B$6:$B1007,$B1007)=1),$W$5,"")</f>
        <v/>
      </c>
      <c r="X1007" s="329" t="str">
        <f t="shared" si="102"/>
        <v>SL</v>
      </c>
      <c r="Y1007" s="1128" t="s">
        <v>3380</v>
      </c>
      <c r="Z1007" s="1128" t="s">
        <v>3381</v>
      </c>
      <c r="AA1007" s="1128" t="s">
        <v>3384</v>
      </c>
      <c r="AC1007" s="73"/>
    </row>
    <row r="1008" spans="1:29" s="20" customFormat="1">
      <c r="A1008" s="327" t="str">
        <f>IF(AND($B1008&lt;&gt;"",$C1008&lt;&gt;""),MAX($A$4:A1007)+1,"")</f>
        <v/>
      </c>
      <c r="B1008" s="361" t="s">
        <v>811</v>
      </c>
      <c r="C1008" s="364"/>
      <c r="D1008" s="327">
        <f>IF($B1008="","",COUNTIF($B$6:$B1008,$B1008))</f>
        <v>8</v>
      </c>
      <c r="E1008" s="361" t="s">
        <v>947</v>
      </c>
      <c r="F1008" s="362" t="s">
        <v>948</v>
      </c>
      <c r="G1008" s="361" t="s">
        <v>329</v>
      </c>
      <c r="H1008" s="325"/>
      <c r="I1008" s="327">
        <v>8</v>
      </c>
      <c r="J1008" s="361" t="s">
        <v>813</v>
      </c>
      <c r="K1008" s="327" t="s">
        <v>516</v>
      </c>
      <c r="L1008" s="348">
        <f t="shared" ref="L1008:L1037" si="108">+$T1008*$S1008*IF(IFERROR(SEARCH("THÉP",$F1008,1),0)&lt;1,$L$708,$K$708)</f>
        <v>69165</v>
      </c>
      <c r="M1008" s="355"/>
      <c r="N1008" s="355" t="str">
        <f t="shared" si="62"/>
        <v>PR</v>
      </c>
      <c r="O1008" s="347">
        <v>7</v>
      </c>
      <c r="P1008" s="325"/>
      <c r="Q1008" s="351"/>
      <c r="R1008" s="351">
        <v>0</v>
      </c>
      <c r="S1008" s="351">
        <v>5.8</v>
      </c>
      <c r="T1008" s="351">
        <v>0.22500000000000001</v>
      </c>
      <c r="U1008" s="329">
        <f>IF($N1008=$N$4,IFERROR(INDEX(DanhMuc!$E$154:$E$165,MATCH(MID($B1008,4,2),DanhMuc!$B$154:$B$165,0)),""),"")</f>
        <v>5800</v>
      </c>
      <c r="V1008" s="325"/>
      <c r="W1008" s="352" t="str">
        <f>+IF(AND($A1008&lt;&gt;"",LEN($B1008)&gt;=8,COUNTIF($B$6:$B1008,$B1008)=1),$W$5,"")</f>
        <v/>
      </c>
      <c r="X1008" s="329" t="str">
        <f t="shared" si="102"/>
        <v>SL</v>
      </c>
      <c r="Y1008" s="1128" t="s">
        <v>3380</v>
      </c>
      <c r="Z1008" s="1128" t="s">
        <v>3381</v>
      </c>
      <c r="AA1008" s="1128" t="s">
        <v>3384</v>
      </c>
      <c r="AC1008" s="73"/>
    </row>
    <row r="1009" spans="1:29" s="20" customFormat="1">
      <c r="A1009" s="327" t="str">
        <f>IF(AND($B1009&lt;&gt;"",$C1009&lt;&gt;""),MAX($A$4:A1008)+1,"")</f>
        <v/>
      </c>
      <c r="B1009" s="361" t="s">
        <v>811</v>
      </c>
      <c r="C1009" s="364"/>
      <c r="D1009" s="327">
        <f>IF($B1009="","",COUNTIF($B$6:$B1009,$B1009))</f>
        <v>9</v>
      </c>
      <c r="E1009" s="361" t="s">
        <v>947</v>
      </c>
      <c r="F1009" s="362" t="s">
        <v>948</v>
      </c>
      <c r="G1009" s="361" t="s">
        <v>328</v>
      </c>
      <c r="H1009" s="325"/>
      <c r="I1009" s="327">
        <v>8</v>
      </c>
      <c r="J1009" s="361" t="s">
        <v>798</v>
      </c>
      <c r="K1009" s="327" t="s">
        <v>516</v>
      </c>
      <c r="L1009" s="348">
        <f t="shared" si="108"/>
        <v>69165</v>
      </c>
      <c r="M1009" s="355"/>
      <c r="N1009" s="355" t="str">
        <f t="shared" si="62"/>
        <v>PR</v>
      </c>
      <c r="O1009" s="347">
        <v>7</v>
      </c>
      <c r="P1009" s="325"/>
      <c r="Q1009" s="351"/>
      <c r="R1009" s="351">
        <v>0</v>
      </c>
      <c r="S1009" s="351">
        <v>5.8</v>
      </c>
      <c r="T1009" s="351">
        <v>0.22500000000000001</v>
      </c>
      <c r="U1009" s="329">
        <f>IF($N1009=$N$4,IFERROR(INDEX(DanhMuc!$E$154:$E$165,MATCH(MID($B1009,4,2),DanhMuc!$B$154:$B$165,0)),""),"")</f>
        <v>5800</v>
      </c>
      <c r="V1009" s="325"/>
      <c r="W1009" s="352" t="str">
        <f>+IF(AND($A1009&lt;&gt;"",LEN($B1009)&gt;=8,COUNTIF($B$6:$B1009,$B1009)=1),$W$5,"")</f>
        <v/>
      </c>
      <c r="X1009" s="329" t="str">
        <f t="shared" si="102"/>
        <v>SL</v>
      </c>
      <c r="Y1009" s="1128" t="s">
        <v>3380</v>
      </c>
      <c r="Z1009" s="1128" t="s">
        <v>3381</v>
      </c>
      <c r="AA1009" s="1128" t="s">
        <v>3384</v>
      </c>
      <c r="AC1009" s="73"/>
    </row>
    <row r="1010" spans="1:29" s="20" customFormat="1">
      <c r="A1010" s="327" t="str">
        <f>IF(AND($B1010&lt;&gt;"",$C1010&lt;&gt;""),MAX($A$4:A1009)+1,"")</f>
        <v/>
      </c>
      <c r="B1010" s="361" t="s">
        <v>811</v>
      </c>
      <c r="C1010" s="364"/>
      <c r="D1010" s="327">
        <f>IF($B1010="","",COUNTIF($B$6:$B1010,$B1010))</f>
        <v>10</v>
      </c>
      <c r="E1010" s="361" t="s">
        <v>894</v>
      </c>
      <c r="F1010" s="362" t="s">
        <v>949</v>
      </c>
      <c r="G1010" s="361" t="s">
        <v>329</v>
      </c>
      <c r="H1010" s="325"/>
      <c r="I1010" s="327">
        <v>8</v>
      </c>
      <c r="J1010" s="361" t="s">
        <v>813</v>
      </c>
      <c r="K1010" s="327" t="s">
        <v>516</v>
      </c>
      <c r="L1010" s="348">
        <f t="shared" si="108"/>
        <v>64554</v>
      </c>
      <c r="M1010" s="355"/>
      <c r="N1010" s="355" t="str">
        <f t="shared" si="62"/>
        <v>PR</v>
      </c>
      <c r="O1010" s="347">
        <v>11</v>
      </c>
      <c r="P1010" s="325"/>
      <c r="Q1010" s="351"/>
      <c r="R1010" s="351">
        <v>0</v>
      </c>
      <c r="S1010" s="351">
        <v>5.8</v>
      </c>
      <c r="T1010" s="351">
        <v>0.21</v>
      </c>
      <c r="U1010" s="329">
        <f>IF($N1010=$N$4,IFERROR(INDEX(DanhMuc!$E$154:$E$165,MATCH(MID($B1010,4,2),DanhMuc!$B$154:$B$165,0)),""),"")</f>
        <v>5800</v>
      </c>
      <c r="V1010" s="325"/>
      <c r="W1010" s="352" t="str">
        <f>+IF(AND($A1010&lt;&gt;"",LEN($B1010)&gt;=8,COUNTIF($B$6:$B1010,$B1010)=1),$W$5,"")</f>
        <v/>
      </c>
      <c r="X1010" s="329" t="str">
        <f t="shared" si="102"/>
        <v>SL</v>
      </c>
      <c r="Y1010" s="1128" t="s">
        <v>3380</v>
      </c>
      <c r="Z1010" s="1128" t="s">
        <v>3381</v>
      </c>
      <c r="AA1010" s="1128" t="s">
        <v>3384</v>
      </c>
      <c r="AC1010" s="73"/>
    </row>
    <row r="1011" spans="1:29" s="20" customFormat="1">
      <c r="A1011" s="327" t="str">
        <f>IF(AND($B1011&lt;&gt;"",$C1011&lt;&gt;""),MAX($A$4:A1010)+1,"")</f>
        <v/>
      </c>
      <c r="B1011" s="361" t="s">
        <v>811</v>
      </c>
      <c r="C1011" s="364"/>
      <c r="D1011" s="327">
        <f>IF($B1011="","",COUNTIF($B$6:$B1011,$B1011))</f>
        <v>11</v>
      </c>
      <c r="E1011" s="361" t="s">
        <v>894</v>
      </c>
      <c r="F1011" s="362" t="s">
        <v>949</v>
      </c>
      <c r="G1011" s="361" t="s">
        <v>328</v>
      </c>
      <c r="H1011" s="325"/>
      <c r="I1011" s="327">
        <v>8</v>
      </c>
      <c r="J1011" s="361" t="s">
        <v>798</v>
      </c>
      <c r="K1011" s="327" t="s">
        <v>516</v>
      </c>
      <c r="L1011" s="348">
        <f t="shared" si="108"/>
        <v>64554</v>
      </c>
      <c r="M1011" s="355"/>
      <c r="N1011" s="355" t="str">
        <f t="shared" si="62"/>
        <v>PR</v>
      </c>
      <c r="O1011" s="347">
        <v>11</v>
      </c>
      <c r="P1011" s="325"/>
      <c r="Q1011" s="351"/>
      <c r="R1011" s="351">
        <v>0</v>
      </c>
      <c r="S1011" s="351">
        <v>5.8</v>
      </c>
      <c r="T1011" s="351">
        <v>0.21</v>
      </c>
      <c r="U1011" s="329">
        <f>IF($N1011=$N$4,IFERROR(INDEX(DanhMuc!$E$154:$E$165,MATCH(MID($B1011,4,2),DanhMuc!$B$154:$B$165,0)),""),"")</f>
        <v>5800</v>
      </c>
      <c r="V1011" s="325"/>
      <c r="W1011" s="352" t="str">
        <f>+IF(AND($A1011&lt;&gt;"",LEN($B1011)&gt;=8,COUNTIF($B$6:$B1011,$B1011)=1),$W$5,"")</f>
        <v/>
      </c>
      <c r="X1011" s="329" t="str">
        <f t="shared" si="102"/>
        <v>SL</v>
      </c>
      <c r="Y1011" s="1128" t="s">
        <v>3380</v>
      </c>
      <c r="Z1011" s="1128" t="s">
        <v>3381</v>
      </c>
      <c r="AA1011" s="1128" t="s">
        <v>3384</v>
      </c>
      <c r="AC1011" s="73"/>
    </row>
    <row r="1012" spans="1:29" s="20" customFormat="1">
      <c r="A1012" s="327" t="str">
        <f>IF(AND($B1012&lt;&gt;"",$C1012&lt;&gt;""),MAX($A$4:A1011)+1,"")</f>
        <v/>
      </c>
      <c r="B1012" s="361" t="s">
        <v>811</v>
      </c>
      <c r="C1012" s="364"/>
      <c r="D1012" s="327">
        <f>IF($B1012="","",COUNTIF($B$6:$B1012,$B1012))</f>
        <v>12</v>
      </c>
      <c r="E1012" s="361" t="s">
        <v>946</v>
      </c>
      <c r="F1012" s="362" t="s">
        <v>383</v>
      </c>
      <c r="G1012" s="361" t="s">
        <v>329</v>
      </c>
      <c r="H1012" s="325"/>
      <c r="I1012" s="327">
        <v>8</v>
      </c>
      <c r="J1012" s="361" t="s">
        <v>813</v>
      </c>
      <c r="K1012" s="327" t="s">
        <v>516</v>
      </c>
      <c r="L1012" s="348">
        <f t="shared" si="108"/>
        <v>46110</v>
      </c>
      <c r="M1012" s="355"/>
      <c r="N1012" s="355" t="str">
        <f t="shared" si="62"/>
        <v>PR</v>
      </c>
      <c r="O1012" s="347">
        <v>19</v>
      </c>
      <c r="P1012" s="325"/>
      <c r="Q1012" s="351"/>
      <c r="R1012" s="351">
        <v>0</v>
      </c>
      <c r="S1012" s="351">
        <v>5.8</v>
      </c>
      <c r="T1012" s="351">
        <v>0.15</v>
      </c>
      <c r="U1012" s="329">
        <f>IF($N1012=$N$4,IFERROR(INDEX(DanhMuc!$E$154:$E$165,MATCH(MID($B1012,4,2),DanhMuc!$B$154:$B$165,0)),""),"")</f>
        <v>5800</v>
      </c>
      <c r="V1012" s="325"/>
      <c r="W1012" s="352" t="str">
        <f>+IF(AND($A1012&lt;&gt;"",LEN($B1012)&gt;=8,COUNTIF($B$6:$B1012,$B1012)=1),$W$5,"")</f>
        <v/>
      </c>
      <c r="X1012" s="329" t="str">
        <f t="shared" si="102"/>
        <v>SL</v>
      </c>
      <c r="Y1012" s="1128" t="s">
        <v>3380</v>
      </c>
      <c r="Z1012" s="1128" t="s">
        <v>3381</v>
      </c>
      <c r="AA1012" s="1128" t="s">
        <v>3384</v>
      </c>
      <c r="AC1012" s="73"/>
    </row>
    <row r="1013" spans="1:29" s="20" customFormat="1">
      <c r="A1013" s="327" t="str">
        <f>IF(AND($B1013&lt;&gt;"",$C1013&lt;&gt;""),MAX($A$4:A1012)+1,"")</f>
        <v/>
      </c>
      <c r="B1013" s="361" t="s">
        <v>811</v>
      </c>
      <c r="C1013" s="364"/>
      <c r="D1013" s="327">
        <f>IF($B1013="","",COUNTIF($B$6:$B1013,$B1013))</f>
        <v>13</v>
      </c>
      <c r="E1013" s="361" t="s">
        <v>946</v>
      </c>
      <c r="F1013" s="362" t="s">
        <v>383</v>
      </c>
      <c r="G1013" s="361" t="s">
        <v>328</v>
      </c>
      <c r="H1013" s="325"/>
      <c r="I1013" s="327">
        <v>8</v>
      </c>
      <c r="J1013" s="361" t="s">
        <v>798</v>
      </c>
      <c r="K1013" s="327" t="s">
        <v>516</v>
      </c>
      <c r="L1013" s="348">
        <f t="shared" si="108"/>
        <v>46110</v>
      </c>
      <c r="M1013" s="355"/>
      <c r="N1013" s="355" t="str">
        <f t="shared" si="62"/>
        <v>PR</v>
      </c>
      <c r="O1013" s="347">
        <v>19</v>
      </c>
      <c r="P1013" s="325"/>
      <c r="Q1013" s="351"/>
      <c r="R1013" s="351">
        <v>0</v>
      </c>
      <c r="S1013" s="351">
        <v>5.8</v>
      </c>
      <c r="T1013" s="351">
        <v>0.15</v>
      </c>
      <c r="U1013" s="329">
        <f>IF($N1013=$N$4,IFERROR(INDEX(DanhMuc!$E$154:$E$165,MATCH(MID($B1013,4,2),DanhMuc!$B$154:$B$165,0)),""),"")</f>
        <v>5800</v>
      </c>
      <c r="V1013" s="325"/>
      <c r="W1013" s="352" t="str">
        <f>+IF(AND($A1013&lt;&gt;"",LEN($B1013)&gt;=8,COUNTIF($B$6:$B1013,$B1013)=1),$W$5,"")</f>
        <v/>
      </c>
      <c r="X1013" s="329" t="str">
        <f t="shared" si="102"/>
        <v>SL</v>
      </c>
      <c r="Y1013" s="1128" t="s">
        <v>3380</v>
      </c>
      <c r="Z1013" s="1128" t="s">
        <v>3381</v>
      </c>
      <c r="AA1013" s="1128" t="s">
        <v>3384</v>
      </c>
      <c r="AC1013" s="73"/>
    </row>
    <row r="1014" spans="1:29" s="20" customFormat="1">
      <c r="A1014" s="327" t="str">
        <f>IF(AND($B1014&lt;&gt;"",$C1014&lt;&gt;""),MAX($A$4:A1013)+1,"")</f>
        <v/>
      </c>
      <c r="B1014" s="361" t="s">
        <v>811</v>
      </c>
      <c r="C1014" s="364"/>
      <c r="D1014" s="327">
        <f>IF($B1014="","",COUNTIF($B$6:$B1014,$B1014))</f>
        <v>14</v>
      </c>
      <c r="E1014" s="361" t="s">
        <v>2293</v>
      </c>
      <c r="F1014" s="362" t="s">
        <v>806</v>
      </c>
      <c r="G1014" s="361" t="s">
        <v>329</v>
      </c>
      <c r="H1014" s="328" t="s">
        <v>536</v>
      </c>
      <c r="I1014" s="327">
        <v>2</v>
      </c>
      <c r="J1014" s="361" t="s">
        <v>1211</v>
      </c>
      <c r="K1014" s="327" t="s">
        <v>531</v>
      </c>
      <c r="L1014" s="348">
        <f t="shared" si="108"/>
        <v>203999.99999999997</v>
      </c>
      <c r="M1014" s="355"/>
      <c r="N1014" s="355" t="str">
        <f t="shared" si="62"/>
        <v>PR</v>
      </c>
      <c r="O1014" s="345"/>
      <c r="P1014" s="325"/>
      <c r="Q1014" s="351"/>
      <c r="R1014" s="351">
        <v>1.5</v>
      </c>
      <c r="S1014" s="351">
        <v>5.8</v>
      </c>
      <c r="T1014" s="351">
        <f t="shared" ref="T1014:T1015" si="109">6.8/S1014</f>
        <v>1.1724137931034482</v>
      </c>
      <c r="U1014" s="329">
        <f>IF($N1014=$N$4,IFERROR(INDEX(DanhMuc!$E$154:$E$165,MATCH(MID($B1014,4,2),DanhMuc!$B$154:$B$165,0)),""),"")</f>
        <v>5800</v>
      </c>
      <c r="V1014" s="325"/>
      <c r="W1014" s="352" t="str">
        <f>+IF(AND($A1014&lt;&gt;"",LEN($B1014)&gt;=8,COUNTIF($B$6:$B1014,$B1014)=1),$W$5,"")</f>
        <v/>
      </c>
      <c r="X1014" s="329" t="str">
        <f t="shared" si="102"/>
        <v>TSL</v>
      </c>
      <c r="Y1014" s="1128" t="s">
        <v>3380</v>
      </c>
      <c r="Z1014" s="1128" t="s">
        <v>3381</v>
      </c>
      <c r="AA1014" s="1128" t="s">
        <v>3384</v>
      </c>
      <c r="AC1014" s="73"/>
    </row>
    <row r="1015" spans="1:29" s="20" customFormat="1">
      <c r="A1015" s="327" t="str">
        <f>IF(AND($B1015&lt;&gt;"",$C1015&lt;&gt;""),MAX($A$4:A1014)+1,"")</f>
        <v/>
      </c>
      <c r="B1015" s="361" t="s">
        <v>811</v>
      </c>
      <c r="C1015" s="364"/>
      <c r="D1015" s="327">
        <f>IF($B1015="","",COUNTIF($B$6:$B1015,$B1015))</f>
        <v>15</v>
      </c>
      <c r="E1015" s="361" t="s">
        <v>2293</v>
      </c>
      <c r="F1015" s="362" t="s">
        <v>806</v>
      </c>
      <c r="G1015" s="361" t="s">
        <v>328</v>
      </c>
      <c r="H1015" s="328" t="s">
        <v>536</v>
      </c>
      <c r="I1015" s="327">
        <v>2</v>
      </c>
      <c r="J1015" s="361" t="s">
        <v>1212</v>
      </c>
      <c r="K1015" s="327" t="s">
        <v>531</v>
      </c>
      <c r="L1015" s="348">
        <f t="shared" si="108"/>
        <v>203999.99999999997</v>
      </c>
      <c r="M1015" s="355"/>
      <c r="N1015" s="355" t="str">
        <f t="shared" si="62"/>
        <v>PR</v>
      </c>
      <c r="O1015" s="345"/>
      <c r="P1015" s="325"/>
      <c r="Q1015" s="351"/>
      <c r="R1015" s="351">
        <v>1.5</v>
      </c>
      <c r="S1015" s="351">
        <v>5.8</v>
      </c>
      <c r="T1015" s="351">
        <f t="shared" si="109"/>
        <v>1.1724137931034482</v>
      </c>
      <c r="U1015" s="329">
        <f>IF($N1015=$N$4,IFERROR(INDEX(DanhMuc!$E$154:$E$165,MATCH(MID($B1015,4,2),DanhMuc!$B$154:$B$165,0)),""),"")</f>
        <v>5800</v>
      </c>
      <c r="V1015" s="325"/>
      <c r="W1015" s="352" t="str">
        <f>+IF(AND($A1015&lt;&gt;"",LEN($B1015)&gt;=8,COUNTIF($B$6:$B1015,$B1015)=1),$W$5,"")</f>
        <v/>
      </c>
      <c r="X1015" s="329" t="str">
        <f t="shared" si="102"/>
        <v>TSL</v>
      </c>
      <c r="Y1015" s="1128" t="s">
        <v>3380</v>
      </c>
      <c r="Z1015" s="1128" t="s">
        <v>3381</v>
      </c>
      <c r="AA1015" s="1128" t="s">
        <v>3384</v>
      </c>
      <c r="AC1015" s="73"/>
    </row>
    <row r="1016" spans="1:29" s="20" customFormat="1">
      <c r="A1016" s="327" t="str">
        <f>IF(AND($B1016&lt;&gt;"",$C1016&lt;&gt;""),MAX($A$4:A1015)+1,"")</f>
        <v/>
      </c>
      <c r="B1016" s="361" t="s">
        <v>811</v>
      </c>
      <c r="C1016" s="364"/>
      <c r="D1016" s="327">
        <f>IF($B1016="","",COUNTIF($B$6:$B1016,$B1016))</f>
        <v>16</v>
      </c>
      <c r="E1016" s="361" t="s">
        <v>2297</v>
      </c>
      <c r="F1016" s="362" t="s">
        <v>807</v>
      </c>
      <c r="G1016" s="361" t="s">
        <v>329</v>
      </c>
      <c r="H1016" s="328" t="s">
        <v>536</v>
      </c>
      <c r="I1016" s="327">
        <v>8</v>
      </c>
      <c r="J1016" s="361" t="s">
        <v>1285</v>
      </c>
      <c r="K1016" s="327" t="s">
        <v>531</v>
      </c>
      <c r="L1016" s="348">
        <f t="shared" si="108"/>
        <v>150000</v>
      </c>
      <c r="M1016" s="355"/>
      <c r="N1016" s="355" t="str">
        <f t="shared" si="62"/>
        <v>PR</v>
      </c>
      <c r="O1016" s="345"/>
      <c r="P1016" s="325"/>
      <c r="Q1016" s="351"/>
      <c r="R1016" s="351">
        <v>1.5</v>
      </c>
      <c r="S1016" s="351">
        <v>5.8</v>
      </c>
      <c r="T1016" s="351">
        <f t="shared" ref="T1016:T1017" si="110">5/S1016</f>
        <v>0.86206896551724144</v>
      </c>
      <c r="U1016" s="329">
        <f>IF($N1016=$N$4,IFERROR(INDEX(DanhMuc!$E$154:$E$165,MATCH(MID($B1016,4,2),DanhMuc!$B$154:$B$165,0)),""),"")</f>
        <v>5800</v>
      </c>
      <c r="V1016" s="325"/>
      <c r="W1016" s="352" t="str">
        <f>+IF(AND($A1016&lt;&gt;"",LEN($B1016)&gt;=8,COUNTIF($B$6:$B1016,$B1016)=1),$W$5,"")</f>
        <v/>
      </c>
      <c r="X1016" s="329" t="str">
        <f t="shared" si="102"/>
        <v>TSL</v>
      </c>
      <c r="Y1016" s="1128" t="s">
        <v>3380</v>
      </c>
      <c r="Z1016" s="1128" t="s">
        <v>3381</v>
      </c>
      <c r="AA1016" s="1128" t="s">
        <v>3384</v>
      </c>
      <c r="AC1016" s="73"/>
    </row>
    <row r="1017" spans="1:29" s="20" customFormat="1">
      <c r="A1017" s="327" t="str">
        <f>IF(AND($B1017&lt;&gt;"",$C1017&lt;&gt;""),MAX($A$4:A1016)+1,"")</f>
        <v/>
      </c>
      <c r="B1017" s="361" t="s">
        <v>811</v>
      </c>
      <c r="C1017" s="364"/>
      <c r="D1017" s="327">
        <f>IF($B1017="","",COUNTIF($B$6:$B1017,$B1017))</f>
        <v>17</v>
      </c>
      <c r="E1017" s="361" t="s">
        <v>2297</v>
      </c>
      <c r="F1017" s="362" t="s">
        <v>807</v>
      </c>
      <c r="G1017" s="361" t="s">
        <v>328</v>
      </c>
      <c r="H1017" s="328" t="s">
        <v>536</v>
      </c>
      <c r="I1017" s="327">
        <v>8</v>
      </c>
      <c r="J1017" s="361" t="s">
        <v>1282</v>
      </c>
      <c r="K1017" s="327" t="s">
        <v>531</v>
      </c>
      <c r="L1017" s="348">
        <f t="shared" si="108"/>
        <v>150000</v>
      </c>
      <c r="M1017" s="355"/>
      <c r="N1017" s="355" t="str">
        <f t="shared" si="62"/>
        <v>PR</v>
      </c>
      <c r="O1017" s="345"/>
      <c r="P1017" s="325"/>
      <c r="Q1017" s="351"/>
      <c r="R1017" s="351">
        <v>1.5</v>
      </c>
      <c r="S1017" s="351">
        <v>5.8</v>
      </c>
      <c r="T1017" s="351">
        <f t="shared" si="110"/>
        <v>0.86206896551724144</v>
      </c>
      <c r="U1017" s="329">
        <f>IF($N1017=$N$4,IFERROR(INDEX(DanhMuc!$E$154:$E$165,MATCH(MID($B1017,4,2),DanhMuc!$B$154:$B$165,0)),""),"")</f>
        <v>5800</v>
      </c>
      <c r="V1017" s="325"/>
      <c r="W1017" s="352" t="str">
        <f>+IF(AND($A1017&lt;&gt;"",LEN($B1017)&gt;=8,COUNTIF($B$6:$B1017,$B1017)=1),$W$5,"")</f>
        <v/>
      </c>
      <c r="X1017" s="329" t="str">
        <f t="shared" si="102"/>
        <v>TSL</v>
      </c>
      <c r="Y1017" s="1128" t="s">
        <v>3380</v>
      </c>
      <c r="Z1017" s="1128" t="s">
        <v>3381</v>
      </c>
      <c r="AA1017" s="1128" t="s">
        <v>3384</v>
      </c>
      <c r="AC1017" s="73"/>
    </row>
    <row r="1018" spans="1:29" s="20" customFormat="1" ht="26">
      <c r="A1018" s="327">
        <f>IF(AND($B1018&lt;&gt;"",$C1018&lt;&gt;""),MAX($A$4:A1017)+1,"")</f>
        <v>77</v>
      </c>
      <c r="B1018" s="359" t="s">
        <v>929</v>
      </c>
      <c r="C1018" s="370" t="s">
        <v>1572</v>
      </c>
      <c r="D1018" s="327">
        <f>IF($B1018="","",COUNTIF($B$6:$B1018,$B1018))</f>
        <v>1</v>
      </c>
      <c r="E1018" s="363" t="s">
        <v>617</v>
      </c>
      <c r="F1018" s="362" t="s">
        <v>618</v>
      </c>
      <c r="G1018" s="361" t="s">
        <v>329</v>
      </c>
      <c r="H1018" s="325"/>
      <c r="I1018" s="327">
        <v>2</v>
      </c>
      <c r="J1018" s="361" t="s">
        <v>762</v>
      </c>
      <c r="K1018" s="327" t="s">
        <v>516</v>
      </c>
      <c r="L1018" s="348">
        <f t="shared" si="108"/>
        <v>315084.99999999994</v>
      </c>
      <c r="M1018" s="355"/>
      <c r="N1018" s="355" t="str">
        <f t="shared" ref="N1018:N1037" si="111">+$N$4</f>
        <v>PR</v>
      </c>
      <c r="O1018" s="345"/>
      <c r="P1018" s="325"/>
      <c r="Q1018" s="351"/>
      <c r="R1018" s="351">
        <v>0</v>
      </c>
      <c r="S1018" s="351">
        <v>5.8</v>
      </c>
      <c r="T1018" s="351">
        <v>1.0249999999999999</v>
      </c>
      <c r="U1018" s="329">
        <f>IF($N1018=$N$4,IFERROR(INDEX(DanhMuc!$E$154:$E$165,MATCH(MID($B1018,4,2),DanhMuc!$B$154:$B$165,0)),""),"")</f>
        <v>5800</v>
      </c>
      <c r="V1018" s="325"/>
      <c r="W1018" s="352" t="str">
        <f>+IF(AND($A1018&lt;&gt;"",LEN($B1018)&gt;=8,COUNTIF($B$6:$B1018,$B1018)=1),$W$5,"")</f>
        <v>DMCua</v>
      </c>
      <c r="X1018" s="329" t="str">
        <f t="shared" si="102"/>
        <v>SL</v>
      </c>
      <c r="Y1018" s="1128" t="s">
        <v>3380</v>
      </c>
      <c r="Z1018" s="1128" t="s">
        <v>3381</v>
      </c>
      <c r="AA1018" s="1128" t="s">
        <v>3384</v>
      </c>
      <c r="AC1018" s="73"/>
    </row>
    <row r="1019" spans="1:29" s="20" customFormat="1">
      <c r="A1019" s="327" t="str">
        <f>IF(AND($B1019&lt;&gt;"",$C1019&lt;&gt;""),MAX($A$4:A1018)+1,"")</f>
        <v/>
      </c>
      <c r="B1019" s="361" t="s">
        <v>929</v>
      </c>
      <c r="C1019" s="364"/>
      <c r="D1019" s="327">
        <f>IF($B1019="","",COUNTIF($B$6:$B1019,$B1019))</f>
        <v>2</v>
      </c>
      <c r="E1019" s="363" t="s">
        <v>617</v>
      </c>
      <c r="F1019" s="362" t="s">
        <v>618</v>
      </c>
      <c r="G1019" s="361" t="s">
        <v>328</v>
      </c>
      <c r="H1019" s="325"/>
      <c r="I1019" s="327">
        <v>2</v>
      </c>
      <c r="J1019" s="361" t="s">
        <v>763</v>
      </c>
      <c r="K1019" s="327" t="s">
        <v>516</v>
      </c>
      <c r="L1019" s="348">
        <f t="shared" si="108"/>
        <v>315084.99999999994</v>
      </c>
      <c r="M1019" s="355"/>
      <c r="N1019" s="355" t="str">
        <f t="shared" si="111"/>
        <v>PR</v>
      </c>
      <c r="O1019" s="347"/>
      <c r="P1019" s="325"/>
      <c r="Q1019" s="351"/>
      <c r="R1019" s="351">
        <v>0</v>
      </c>
      <c r="S1019" s="351">
        <v>5.8</v>
      </c>
      <c r="T1019" s="351">
        <v>1.0249999999999999</v>
      </c>
      <c r="U1019" s="329">
        <f>IF($N1019=$N$4,IFERROR(INDEX(DanhMuc!$E$154:$E$165,MATCH(MID($B1019,4,2),DanhMuc!$B$154:$B$165,0)),""),"")</f>
        <v>5800</v>
      </c>
      <c r="V1019" s="325"/>
      <c r="W1019" s="352" t="str">
        <f>+IF(AND($A1019&lt;&gt;"",LEN($B1019)&gt;=8,COUNTIF($B$6:$B1019,$B1019)=1),$W$5,"")</f>
        <v/>
      </c>
      <c r="X1019" s="329" t="str">
        <f t="shared" si="102"/>
        <v>SL</v>
      </c>
      <c r="Y1019" s="1128" t="s">
        <v>3380</v>
      </c>
      <c r="Z1019" s="1128" t="s">
        <v>3381</v>
      </c>
      <c r="AA1019" s="1128" t="s">
        <v>3384</v>
      </c>
      <c r="AC1019" s="73"/>
    </row>
    <row r="1020" spans="1:29" s="20" customFormat="1">
      <c r="A1020" s="327" t="str">
        <f>IF(AND($B1020&lt;&gt;"",$C1020&lt;&gt;""),MAX($A$4:A1019)+1,"")</f>
        <v/>
      </c>
      <c r="B1020" s="361" t="s">
        <v>929</v>
      </c>
      <c r="C1020" s="364"/>
      <c r="D1020" s="327">
        <f>IF($B1020="","",COUNTIF($B$6:$B1020,$B1020))</f>
        <v>3</v>
      </c>
      <c r="E1020" s="361" t="s">
        <v>381</v>
      </c>
      <c r="F1020" s="362" t="s">
        <v>896</v>
      </c>
      <c r="G1020" s="361" t="s">
        <v>329</v>
      </c>
      <c r="H1020" s="325"/>
      <c r="I1020" s="327">
        <v>2</v>
      </c>
      <c r="J1020" s="361" t="s">
        <v>930</v>
      </c>
      <c r="K1020" s="327" t="s">
        <v>516</v>
      </c>
      <c r="L1020" s="348">
        <f t="shared" si="108"/>
        <v>89146</v>
      </c>
      <c r="M1020" s="355"/>
      <c r="N1020" s="355" t="str">
        <f t="shared" si="111"/>
        <v>PR</v>
      </c>
      <c r="O1020" s="347">
        <v>7</v>
      </c>
      <c r="P1020" s="325"/>
      <c r="Q1020" s="351"/>
      <c r="R1020" s="351">
        <v>0</v>
      </c>
      <c r="S1020" s="351">
        <v>5.8</v>
      </c>
      <c r="T1020" s="351">
        <v>0.28999999999999998</v>
      </c>
      <c r="U1020" s="329">
        <f>IF($N1020=$N$4,IFERROR(INDEX(DanhMuc!$E$154:$E$165,MATCH(MID($B1020,4,2),DanhMuc!$B$154:$B$165,0)),""),"")</f>
        <v>5800</v>
      </c>
      <c r="V1020" s="325"/>
      <c r="W1020" s="352" t="str">
        <f>+IF(AND($A1020&lt;&gt;"",LEN($B1020)&gt;=8,COUNTIF($B$6:$B1020,$B1020)=1),$W$5,"")</f>
        <v/>
      </c>
      <c r="X1020" s="329" t="str">
        <f t="shared" si="102"/>
        <v>SL</v>
      </c>
      <c r="Y1020" s="1128" t="s">
        <v>3380</v>
      </c>
      <c r="Z1020" s="1128" t="s">
        <v>3381</v>
      </c>
      <c r="AA1020" s="1128" t="s">
        <v>3384</v>
      </c>
      <c r="AC1020" s="73"/>
    </row>
    <row r="1021" spans="1:29" s="20" customFormat="1">
      <c r="A1021" s="327" t="str">
        <f>IF(AND($B1021&lt;&gt;"",$C1021&lt;&gt;""),MAX($A$4:A1020)+1,"")</f>
        <v/>
      </c>
      <c r="B1021" s="361" t="s">
        <v>929</v>
      </c>
      <c r="C1021" s="364"/>
      <c r="D1021" s="327">
        <f>IF($B1021="","",COUNTIF($B$6:$B1021,$B1021))</f>
        <v>4</v>
      </c>
      <c r="E1021" s="361" t="s">
        <v>381</v>
      </c>
      <c r="F1021" s="362" t="s">
        <v>896</v>
      </c>
      <c r="G1021" s="361" t="s">
        <v>328</v>
      </c>
      <c r="H1021" s="325"/>
      <c r="I1021" s="327">
        <v>2</v>
      </c>
      <c r="J1021" s="361" t="s">
        <v>931</v>
      </c>
      <c r="K1021" s="327" t="s">
        <v>516</v>
      </c>
      <c r="L1021" s="348">
        <f t="shared" si="108"/>
        <v>89146</v>
      </c>
      <c r="M1021" s="355"/>
      <c r="N1021" s="355" t="str">
        <f t="shared" si="111"/>
        <v>PR</v>
      </c>
      <c r="O1021" s="347">
        <v>7</v>
      </c>
      <c r="P1021" s="325"/>
      <c r="Q1021" s="351"/>
      <c r="R1021" s="351">
        <v>0</v>
      </c>
      <c r="S1021" s="351">
        <v>5.8</v>
      </c>
      <c r="T1021" s="351">
        <v>0.28999999999999998</v>
      </c>
      <c r="U1021" s="329">
        <f>IF($N1021=$N$4,IFERROR(INDEX(DanhMuc!$E$154:$E$165,MATCH(MID($B1021,4,2),DanhMuc!$B$154:$B$165,0)),""),"")</f>
        <v>5800</v>
      </c>
      <c r="V1021" s="325"/>
      <c r="W1021" s="352" t="str">
        <f>+IF(AND($A1021&lt;&gt;"",LEN($B1021)&gt;=8,COUNTIF($B$6:$B1021,$B1021)=1),$W$5,"")</f>
        <v/>
      </c>
      <c r="X1021" s="329" t="str">
        <f t="shared" si="102"/>
        <v>SL</v>
      </c>
      <c r="Y1021" s="1128" t="s">
        <v>3380</v>
      </c>
      <c r="Z1021" s="1128" t="s">
        <v>3381</v>
      </c>
      <c r="AA1021" s="1128" t="s">
        <v>3384</v>
      </c>
      <c r="AC1021" s="73"/>
    </row>
    <row r="1022" spans="1:29" s="20" customFormat="1">
      <c r="A1022" s="327" t="str">
        <f>IF(AND($B1022&lt;&gt;"",$C1022&lt;&gt;""),MAX($A$4:A1021)+1,"")</f>
        <v/>
      </c>
      <c r="B1022" s="361" t="s">
        <v>929</v>
      </c>
      <c r="C1022" s="364"/>
      <c r="D1022" s="327">
        <f>IF($B1022="","",COUNTIF($B$6:$B1022,$B1022))</f>
        <v>5</v>
      </c>
      <c r="E1022" s="361" t="s">
        <v>382</v>
      </c>
      <c r="F1022" s="362" t="s">
        <v>897</v>
      </c>
      <c r="G1022" s="361" t="s">
        <v>329</v>
      </c>
      <c r="H1022" s="325"/>
      <c r="I1022" s="327">
        <v>2</v>
      </c>
      <c r="J1022" s="361" t="s">
        <v>930</v>
      </c>
      <c r="K1022" s="327" t="s">
        <v>516</v>
      </c>
      <c r="L1022" s="348">
        <f t="shared" si="108"/>
        <v>82075.8</v>
      </c>
      <c r="M1022" s="355"/>
      <c r="N1022" s="355" t="str">
        <f t="shared" si="111"/>
        <v>PR</v>
      </c>
      <c r="O1022" s="347">
        <v>11</v>
      </c>
      <c r="P1022" s="325"/>
      <c r="Q1022" s="351"/>
      <c r="R1022" s="351">
        <v>0</v>
      </c>
      <c r="S1022" s="351">
        <v>5.8</v>
      </c>
      <c r="T1022" s="351">
        <v>0.26700000000000002</v>
      </c>
      <c r="U1022" s="329">
        <f>IF($N1022=$N$4,IFERROR(INDEX(DanhMuc!$E$154:$E$165,MATCH(MID($B1022,4,2),DanhMuc!$B$154:$B$165,0)),""),"")</f>
        <v>5800</v>
      </c>
      <c r="V1022" s="325"/>
      <c r="W1022" s="352" t="str">
        <f>+IF(AND($A1022&lt;&gt;"",LEN($B1022)&gt;=8,COUNTIF($B$6:$B1022,$B1022)=1),$W$5,"")</f>
        <v/>
      </c>
      <c r="X1022" s="329" t="str">
        <f t="shared" si="102"/>
        <v>SL</v>
      </c>
      <c r="Y1022" s="1128" t="s">
        <v>3380</v>
      </c>
      <c r="Z1022" s="1128" t="s">
        <v>3381</v>
      </c>
      <c r="AA1022" s="1128" t="s">
        <v>3384</v>
      </c>
      <c r="AC1022" s="73"/>
    </row>
    <row r="1023" spans="1:29" s="20" customFormat="1">
      <c r="A1023" s="327" t="str">
        <f>IF(AND($B1023&lt;&gt;"",$C1023&lt;&gt;""),MAX($A$4:A1022)+1,"")</f>
        <v/>
      </c>
      <c r="B1023" s="361" t="s">
        <v>929</v>
      </c>
      <c r="C1023" s="364"/>
      <c r="D1023" s="327">
        <f>IF($B1023="","",COUNTIF($B$6:$B1023,$B1023))</f>
        <v>6</v>
      </c>
      <c r="E1023" s="361" t="s">
        <v>382</v>
      </c>
      <c r="F1023" s="362" t="s">
        <v>897</v>
      </c>
      <c r="G1023" s="361" t="s">
        <v>328</v>
      </c>
      <c r="H1023" s="325"/>
      <c r="I1023" s="327">
        <v>2</v>
      </c>
      <c r="J1023" s="361" t="s">
        <v>931</v>
      </c>
      <c r="K1023" s="327" t="s">
        <v>516</v>
      </c>
      <c r="L1023" s="348">
        <f t="shared" si="108"/>
        <v>82075.8</v>
      </c>
      <c r="M1023" s="355"/>
      <c r="N1023" s="355" t="str">
        <f t="shared" si="111"/>
        <v>PR</v>
      </c>
      <c r="O1023" s="347">
        <v>11</v>
      </c>
      <c r="P1023" s="325"/>
      <c r="Q1023" s="351"/>
      <c r="R1023" s="351">
        <v>0</v>
      </c>
      <c r="S1023" s="351">
        <v>5.8</v>
      </c>
      <c r="T1023" s="351">
        <v>0.26700000000000002</v>
      </c>
      <c r="U1023" s="329">
        <f>IF($N1023=$N$4,IFERROR(INDEX(DanhMuc!$E$154:$E$165,MATCH(MID($B1023,4,2),DanhMuc!$B$154:$B$165,0)),""),"")</f>
        <v>5800</v>
      </c>
      <c r="V1023" s="325"/>
      <c r="W1023" s="352" t="str">
        <f>+IF(AND($A1023&lt;&gt;"",LEN($B1023)&gt;=8,COUNTIF($B$6:$B1023,$B1023)=1),$W$5,"")</f>
        <v/>
      </c>
      <c r="X1023" s="329" t="str">
        <f t="shared" si="102"/>
        <v>SL</v>
      </c>
      <c r="Y1023" s="1128" t="s">
        <v>3380</v>
      </c>
      <c r="Z1023" s="1128" t="s">
        <v>3381</v>
      </c>
      <c r="AA1023" s="1128" t="s">
        <v>3384</v>
      </c>
      <c r="AC1023" s="73"/>
    </row>
    <row r="1024" spans="1:29" s="20" customFormat="1">
      <c r="A1024" s="327" t="str">
        <f>IF(AND($B1024&lt;&gt;"",$C1024&lt;&gt;""),MAX($A$4:A1023)+1,"")</f>
        <v/>
      </c>
      <c r="B1024" s="361" t="s">
        <v>929</v>
      </c>
      <c r="C1024" s="364"/>
      <c r="D1024" s="327">
        <f>IF($B1024="","",COUNTIF($B$6:$B1024,$B1024))</f>
        <v>7</v>
      </c>
      <c r="E1024" s="361" t="s">
        <v>895</v>
      </c>
      <c r="F1024" s="362" t="s">
        <v>2065</v>
      </c>
      <c r="G1024" s="361" t="s">
        <v>329</v>
      </c>
      <c r="H1024" s="325"/>
      <c r="I1024" s="327">
        <v>2</v>
      </c>
      <c r="J1024" s="361" t="s">
        <v>930</v>
      </c>
      <c r="K1024" s="327" t="s">
        <v>516</v>
      </c>
      <c r="L1024" s="348">
        <f t="shared" si="108"/>
        <v>66091</v>
      </c>
      <c r="M1024" s="355"/>
      <c r="N1024" s="355" t="str">
        <f t="shared" si="111"/>
        <v>PR</v>
      </c>
      <c r="O1024" s="347">
        <v>19</v>
      </c>
      <c r="P1024" s="325"/>
      <c r="Q1024" s="351"/>
      <c r="R1024" s="351">
        <v>0</v>
      </c>
      <c r="S1024" s="351">
        <v>5.8</v>
      </c>
      <c r="T1024" s="351">
        <v>0.215</v>
      </c>
      <c r="U1024" s="329">
        <f>IF($N1024=$N$4,IFERROR(INDEX(DanhMuc!$E$154:$E$165,MATCH(MID($B1024,4,2),DanhMuc!$B$154:$B$165,0)),""),"")</f>
        <v>5800</v>
      </c>
      <c r="V1024" s="325"/>
      <c r="W1024" s="352" t="str">
        <f>+IF(AND($A1024&lt;&gt;"",LEN($B1024)&gt;=8,COUNTIF($B$6:$B1024,$B1024)=1),$W$5,"")</f>
        <v/>
      </c>
      <c r="X1024" s="329" t="str">
        <f t="shared" si="102"/>
        <v>SL</v>
      </c>
      <c r="Y1024" s="1128" t="s">
        <v>3380</v>
      </c>
      <c r="Z1024" s="1128" t="s">
        <v>3381</v>
      </c>
      <c r="AA1024" s="1128" t="s">
        <v>3384</v>
      </c>
      <c r="AC1024" s="73"/>
    </row>
    <row r="1025" spans="1:29" s="20" customFormat="1">
      <c r="A1025" s="327" t="str">
        <f>IF(AND($B1025&lt;&gt;"",$C1025&lt;&gt;""),MAX($A$4:A1024)+1,"")</f>
        <v/>
      </c>
      <c r="B1025" s="361" t="s">
        <v>929</v>
      </c>
      <c r="C1025" s="364"/>
      <c r="D1025" s="327">
        <f>IF($B1025="","",COUNTIF($B$6:$B1025,$B1025))</f>
        <v>8</v>
      </c>
      <c r="E1025" s="361" t="s">
        <v>895</v>
      </c>
      <c r="F1025" s="362" t="s">
        <v>2065</v>
      </c>
      <c r="G1025" s="361" t="s">
        <v>328</v>
      </c>
      <c r="H1025" s="325"/>
      <c r="I1025" s="327">
        <v>2</v>
      </c>
      <c r="J1025" s="361" t="s">
        <v>931</v>
      </c>
      <c r="K1025" s="327" t="s">
        <v>516</v>
      </c>
      <c r="L1025" s="348">
        <f t="shared" si="108"/>
        <v>66091</v>
      </c>
      <c r="M1025" s="355"/>
      <c r="N1025" s="355" t="str">
        <f t="shared" si="111"/>
        <v>PR</v>
      </c>
      <c r="O1025" s="347">
        <v>19</v>
      </c>
      <c r="P1025" s="325"/>
      <c r="Q1025" s="351"/>
      <c r="R1025" s="351">
        <v>0</v>
      </c>
      <c r="S1025" s="351">
        <v>5.8</v>
      </c>
      <c r="T1025" s="351">
        <v>0.215</v>
      </c>
      <c r="U1025" s="329">
        <f>IF($N1025=$N$4,IFERROR(INDEX(DanhMuc!$E$154:$E$165,MATCH(MID($B1025,4,2),DanhMuc!$B$154:$B$165,0)),""),"")</f>
        <v>5800</v>
      </c>
      <c r="V1025" s="325"/>
      <c r="W1025" s="352" t="str">
        <f>+IF(AND($A1025&lt;&gt;"",LEN($B1025)&gt;=8,COUNTIF($B$6:$B1025,$B1025)=1),$W$5,"")</f>
        <v/>
      </c>
      <c r="X1025" s="329" t="str">
        <f t="shared" ref="X1025:X1088" si="112">IF(IFERROR(SEARCH("thép",$F1025,1),0)&gt;=1,"T" &amp;MID($B1025,4,2),MID($B1025,4,2))</f>
        <v>SL</v>
      </c>
      <c r="Y1025" s="1128" t="s">
        <v>3380</v>
      </c>
      <c r="Z1025" s="1128" t="s">
        <v>3381</v>
      </c>
      <c r="AA1025" s="1128" t="s">
        <v>3384</v>
      </c>
      <c r="AC1025" s="73"/>
    </row>
    <row r="1026" spans="1:29" s="20" customFormat="1">
      <c r="A1026" s="327" t="str">
        <f>IF(AND($B1026&lt;&gt;"",$C1026&lt;&gt;""),MAX($A$4:A1025)+1,"")</f>
        <v/>
      </c>
      <c r="B1026" s="361" t="s">
        <v>929</v>
      </c>
      <c r="C1026" s="364"/>
      <c r="D1026" s="327">
        <f>IF($B1026="","",COUNTIF($B$6:$B1026,$B1026))</f>
        <v>9</v>
      </c>
      <c r="E1026" s="361" t="s">
        <v>2291</v>
      </c>
      <c r="F1026" s="362" t="s">
        <v>769</v>
      </c>
      <c r="G1026" s="361" t="s">
        <v>329</v>
      </c>
      <c r="H1026" s="328" t="s">
        <v>536</v>
      </c>
      <c r="I1026" s="327">
        <v>2</v>
      </c>
      <c r="J1026" s="361" t="s">
        <v>1211</v>
      </c>
      <c r="K1026" s="327" t="s">
        <v>531</v>
      </c>
      <c r="L1026" s="348">
        <f t="shared" si="108"/>
        <v>191999.99999999997</v>
      </c>
      <c r="M1026" s="355"/>
      <c r="N1026" s="355" t="str">
        <f t="shared" si="111"/>
        <v>PR</v>
      </c>
      <c r="O1026" s="345"/>
      <c r="P1026" s="325"/>
      <c r="Q1026" s="351">
        <v>86</v>
      </c>
      <c r="R1026" s="351">
        <v>1.5</v>
      </c>
      <c r="S1026" s="351">
        <v>5.8</v>
      </c>
      <c r="T1026" s="351">
        <f t="shared" ref="T1026:T1027" si="113">6.4/S1026</f>
        <v>1.103448275862069</v>
      </c>
      <c r="U1026" s="329">
        <f>IF($N1026=$N$4,IFERROR(INDEX(DanhMuc!$E$154:$E$165,MATCH(MID($B1026,4,2),DanhMuc!$B$154:$B$165,0)),""),"")</f>
        <v>5800</v>
      </c>
      <c r="V1026" s="325"/>
      <c r="W1026" s="352" t="str">
        <f>+IF(AND($A1026&lt;&gt;"",LEN($B1026)&gt;=8,COUNTIF($B$6:$B1026,$B1026)=1),$W$5,"")</f>
        <v/>
      </c>
      <c r="X1026" s="329" t="str">
        <f t="shared" si="112"/>
        <v>TSL</v>
      </c>
      <c r="Y1026" s="1128" t="s">
        <v>3380</v>
      </c>
      <c r="Z1026" s="1128" t="s">
        <v>3381</v>
      </c>
      <c r="AA1026" s="1128" t="s">
        <v>3384</v>
      </c>
      <c r="AC1026" s="73"/>
    </row>
    <row r="1027" spans="1:29" s="20" customFormat="1">
      <c r="A1027" s="327" t="str">
        <f>IF(AND($B1027&lt;&gt;"",$C1027&lt;&gt;""),MAX($A$4:A1026)+1,"")</f>
        <v/>
      </c>
      <c r="B1027" s="361" t="s">
        <v>929</v>
      </c>
      <c r="C1027" s="364"/>
      <c r="D1027" s="327">
        <f>IF($B1027="","",COUNTIF($B$6:$B1027,$B1027))</f>
        <v>10</v>
      </c>
      <c r="E1027" s="361" t="s">
        <v>2291</v>
      </c>
      <c r="F1027" s="362" t="s">
        <v>769</v>
      </c>
      <c r="G1027" s="361" t="s">
        <v>328</v>
      </c>
      <c r="H1027" s="328" t="s">
        <v>536</v>
      </c>
      <c r="I1027" s="327">
        <v>2</v>
      </c>
      <c r="J1027" s="361" t="s">
        <v>1212</v>
      </c>
      <c r="K1027" s="327" t="s">
        <v>531</v>
      </c>
      <c r="L1027" s="348">
        <f t="shared" si="108"/>
        <v>191999.99999999997</v>
      </c>
      <c r="M1027" s="355"/>
      <c r="N1027" s="355" t="str">
        <f t="shared" si="111"/>
        <v>PR</v>
      </c>
      <c r="O1027" s="345"/>
      <c r="P1027" s="325"/>
      <c r="Q1027" s="351">
        <v>86</v>
      </c>
      <c r="R1027" s="351">
        <v>1.5</v>
      </c>
      <c r="S1027" s="351">
        <v>5.8</v>
      </c>
      <c r="T1027" s="351">
        <f t="shared" si="113"/>
        <v>1.103448275862069</v>
      </c>
      <c r="U1027" s="329">
        <f>IF($N1027=$N$4,IFERROR(INDEX(DanhMuc!$E$154:$E$165,MATCH(MID($B1027,4,2),DanhMuc!$B$154:$B$165,0)),""),"")</f>
        <v>5800</v>
      </c>
      <c r="V1027" s="325"/>
      <c r="W1027" s="352" t="str">
        <f>+IF(AND($A1027&lt;&gt;"",LEN($B1027)&gt;=8,COUNTIF($B$6:$B1027,$B1027)=1),$W$5,"")</f>
        <v/>
      </c>
      <c r="X1027" s="329" t="str">
        <f t="shared" si="112"/>
        <v>TSL</v>
      </c>
      <c r="Y1027" s="1128" t="s">
        <v>3380</v>
      </c>
      <c r="Z1027" s="1128" t="s">
        <v>3381</v>
      </c>
      <c r="AA1027" s="1128" t="s">
        <v>3384</v>
      </c>
      <c r="AC1027" s="73"/>
    </row>
    <row r="1028" spans="1:29" s="20" customFormat="1" ht="26">
      <c r="A1028" s="327">
        <f>IF(AND($B1028&lt;&gt;"",$C1028&lt;&gt;""),MAX($A$4:A1027)+1,"")</f>
        <v>78</v>
      </c>
      <c r="B1028" s="359" t="s">
        <v>932</v>
      </c>
      <c r="C1028" s="370" t="s">
        <v>1573</v>
      </c>
      <c r="D1028" s="327">
        <f>IF($B1028="","",COUNTIF($B$6:$B1028,$B1028))</f>
        <v>1</v>
      </c>
      <c r="E1028" s="363" t="s">
        <v>375</v>
      </c>
      <c r="F1028" s="362" t="s">
        <v>376</v>
      </c>
      <c r="G1028" s="361" t="s">
        <v>329</v>
      </c>
      <c r="H1028" s="325"/>
      <c r="I1028" s="327">
        <v>2</v>
      </c>
      <c r="J1028" s="361" t="s">
        <v>762</v>
      </c>
      <c r="K1028" s="327" t="s">
        <v>516</v>
      </c>
      <c r="L1028" s="348">
        <f t="shared" si="108"/>
        <v>403923.6</v>
      </c>
      <c r="M1028" s="355"/>
      <c r="N1028" s="355" t="str">
        <f t="shared" si="111"/>
        <v>PR</v>
      </c>
      <c r="O1028" s="345"/>
      <c r="P1028" s="325"/>
      <c r="Q1028" s="351"/>
      <c r="R1028" s="351">
        <v>0</v>
      </c>
      <c r="S1028" s="351">
        <v>5.8</v>
      </c>
      <c r="T1028" s="351">
        <v>1.3140000000000001</v>
      </c>
      <c r="U1028" s="329">
        <f>IF($N1028=$N$4,IFERROR(INDEX(DanhMuc!$E$154:$E$165,MATCH(MID($B1028,4,2),DanhMuc!$B$154:$B$165,0)),""),"")</f>
        <v>5800</v>
      </c>
      <c r="V1028" s="325"/>
      <c r="W1028" s="352" t="str">
        <f>+IF(AND($A1028&lt;&gt;"",LEN($B1028)&gt;=8,COUNTIF($B$6:$B1028,$B1028)=1),$W$5,"")</f>
        <v>DMCua</v>
      </c>
      <c r="X1028" s="329" t="str">
        <f t="shared" si="112"/>
        <v>SL</v>
      </c>
      <c r="Y1028" s="1128" t="s">
        <v>3380</v>
      </c>
      <c r="Z1028" s="1128" t="s">
        <v>3381</v>
      </c>
      <c r="AA1028" s="1128" t="s">
        <v>3384</v>
      </c>
      <c r="AC1028" s="73"/>
    </row>
    <row r="1029" spans="1:29" s="20" customFormat="1">
      <c r="A1029" s="327" t="str">
        <f>IF(AND($B1029&lt;&gt;"",$C1029&lt;&gt;""),MAX($A$4:A1028)+1,"")</f>
        <v/>
      </c>
      <c r="B1029" s="361" t="s">
        <v>932</v>
      </c>
      <c r="C1029" s="364"/>
      <c r="D1029" s="327">
        <f>IF($B1029="","",COUNTIF($B$6:$B1029,$B1029))</f>
        <v>2</v>
      </c>
      <c r="E1029" s="363" t="s">
        <v>375</v>
      </c>
      <c r="F1029" s="362" t="s">
        <v>376</v>
      </c>
      <c r="G1029" s="361" t="s">
        <v>328</v>
      </c>
      <c r="H1029" s="325"/>
      <c r="I1029" s="327">
        <v>2</v>
      </c>
      <c r="J1029" s="361" t="s">
        <v>763</v>
      </c>
      <c r="K1029" s="327" t="s">
        <v>516</v>
      </c>
      <c r="L1029" s="348">
        <f t="shared" si="108"/>
        <v>403923.6</v>
      </c>
      <c r="M1029" s="355"/>
      <c r="N1029" s="355" t="str">
        <f t="shared" si="111"/>
        <v>PR</v>
      </c>
      <c r="O1029" s="347"/>
      <c r="P1029" s="325"/>
      <c r="Q1029" s="351"/>
      <c r="R1029" s="351">
        <v>0</v>
      </c>
      <c r="S1029" s="351">
        <v>5.8</v>
      </c>
      <c r="T1029" s="351">
        <v>1.3140000000000001</v>
      </c>
      <c r="U1029" s="329">
        <f>IF($N1029=$N$4,IFERROR(INDEX(DanhMuc!$E$154:$E$165,MATCH(MID($B1029,4,2),DanhMuc!$B$154:$B$165,0)),""),"")</f>
        <v>5800</v>
      </c>
      <c r="V1029" s="325"/>
      <c r="W1029" s="352" t="str">
        <f>+IF(AND($A1029&lt;&gt;"",LEN($B1029)&gt;=8,COUNTIF($B$6:$B1029,$B1029)=1),$W$5,"")</f>
        <v/>
      </c>
      <c r="X1029" s="329" t="str">
        <f t="shared" si="112"/>
        <v>SL</v>
      </c>
      <c r="Y1029" s="1128" t="s">
        <v>3380</v>
      </c>
      <c r="Z1029" s="1128" t="s">
        <v>3381</v>
      </c>
      <c r="AA1029" s="1128" t="s">
        <v>3384</v>
      </c>
      <c r="AC1029" s="73"/>
    </row>
    <row r="1030" spans="1:29" s="20" customFormat="1">
      <c r="A1030" s="327" t="str">
        <f>IF(AND($B1030&lt;&gt;"",$C1030&lt;&gt;""),MAX($A$4:A1029)+1,"")</f>
        <v/>
      </c>
      <c r="B1030" s="361" t="s">
        <v>932</v>
      </c>
      <c r="C1030" s="364"/>
      <c r="D1030" s="327">
        <f>IF($B1030="","",COUNTIF($B$6:$B1030,$B1030))</f>
        <v>3</v>
      </c>
      <c r="E1030" s="361" t="s">
        <v>381</v>
      </c>
      <c r="F1030" s="362" t="s">
        <v>896</v>
      </c>
      <c r="G1030" s="361" t="s">
        <v>329</v>
      </c>
      <c r="H1030" s="325"/>
      <c r="I1030" s="327">
        <v>2</v>
      </c>
      <c r="J1030" s="361" t="s">
        <v>933</v>
      </c>
      <c r="K1030" s="327" t="s">
        <v>516</v>
      </c>
      <c r="L1030" s="348">
        <f t="shared" si="108"/>
        <v>89146</v>
      </c>
      <c r="M1030" s="355"/>
      <c r="N1030" s="355" t="str">
        <f t="shared" si="111"/>
        <v>PR</v>
      </c>
      <c r="O1030" s="347">
        <v>7</v>
      </c>
      <c r="P1030" s="325"/>
      <c r="Q1030" s="351"/>
      <c r="R1030" s="351">
        <v>0</v>
      </c>
      <c r="S1030" s="351">
        <v>5.8</v>
      </c>
      <c r="T1030" s="351">
        <v>0.28999999999999998</v>
      </c>
      <c r="U1030" s="329">
        <f>IF($N1030=$N$4,IFERROR(INDEX(DanhMuc!$E$154:$E$165,MATCH(MID($B1030,4,2),DanhMuc!$B$154:$B$165,0)),""),"")</f>
        <v>5800</v>
      </c>
      <c r="V1030" s="325"/>
      <c r="W1030" s="352" t="str">
        <f>+IF(AND($A1030&lt;&gt;"",LEN($B1030)&gt;=8,COUNTIF($B$6:$B1030,$B1030)=1),$W$5,"")</f>
        <v/>
      </c>
      <c r="X1030" s="329" t="str">
        <f t="shared" si="112"/>
        <v>SL</v>
      </c>
      <c r="Y1030" s="1128" t="s">
        <v>3380</v>
      </c>
      <c r="Z1030" s="1128" t="s">
        <v>3381</v>
      </c>
      <c r="AA1030" s="1128" t="s">
        <v>3384</v>
      </c>
      <c r="AC1030" s="73"/>
    </row>
    <row r="1031" spans="1:29" s="20" customFormat="1">
      <c r="A1031" s="327" t="str">
        <f>IF(AND($B1031&lt;&gt;"",$C1031&lt;&gt;""),MAX($A$4:A1030)+1,"")</f>
        <v/>
      </c>
      <c r="B1031" s="361" t="s">
        <v>932</v>
      </c>
      <c r="C1031" s="364"/>
      <c r="D1031" s="327">
        <f>IF($B1031="","",COUNTIF($B$6:$B1031,$B1031))</f>
        <v>4</v>
      </c>
      <c r="E1031" s="361" t="s">
        <v>381</v>
      </c>
      <c r="F1031" s="362" t="s">
        <v>896</v>
      </c>
      <c r="G1031" s="361" t="s">
        <v>328</v>
      </c>
      <c r="H1031" s="325"/>
      <c r="I1031" s="327">
        <v>2</v>
      </c>
      <c r="J1031" s="361" t="s">
        <v>928</v>
      </c>
      <c r="K1031" s="327" t="s">
        <v>516</v>
      </c>
      <c r="L1031" s="348">
        <f t="shared" si="108"/>
        <v>89146</v>
      </c>
      <c r="M1031" s="355"/>
      <c r="N1031" s="355" t="str">
        <f t="shared" si="111"/>
        <v>PR</v>
      </c>
      <c r="O1031" s="347">
        <v>7</v>
      </c>
      <c r="P1031" s="325"/>
      <c r="Q1031" s="351"/>
      <c r="R1031" s="351">
        <v>0</v>
      </c>
      <c r="S1031" s="351">
        <v>5.8</v>
      </c>
      <c r="T1031" s="351">
        <v>0.28999999999999998</v>
      </c>
      <c r="U1031" s="329">
        <f>IF($N1031=$N$4,IFERROR(INDEX(DanhMuc!$E$154:$E$165,MATCH(MID($B1031,4,2),DanhMuc!$B$154:$B$165,0)),""),"")</f>
        <v>5800</v>
      </c>
      <c r="V1031" s="325"/>
      <c r="W1031" s="352" t="str">
        <f>+IF(AND($A1031&lt;&gt;"",LEN($B1031)&gt;=8,COUNTIF($B$6:$B1031,$B1031)=1),$W$5,"")</f>
        <v/>
      </c>
      <c r="X1031" s="329" t="str">
        <f t="shared" si="112"/>
        <v>SL</v>
      </c>
      <c r="Y1031" s="1128" t="s">
        <v>3380</v>
      </c>
      <c r="Z1031" s="1128" t="s">
        <v>3381</v>
      </c>
      <c r="AA1031" s="1128" t="s">
        <v>3384</v>
      </c>
      <c r="AC1031" s="73"/>
    </row>
    <row r="1032" spans="1:29" s="20" customFormat="1">
      <c r="A1032" s="327" t="str">
        <f>IF(AND($B1032&lt;&gt;"",$C1032&lt;&gt;""),MAX($A$4:A1031)+1,"")</f>
        <v/>
      </c>
      <c r="B1032" s="361" t="s">
        <v>932</v>
      </c>
      <c r="C1032" s="364"/>
      <c r="D1032" s="327">
        <f>IF($B1032="","",COUNTIF($B$6:$B1032,$B1032))</f>
        <v>5</v>
      </c>
      <c r="E1032" s="361" t="s">
        <v>382</v>
      </c>
      <c r="F1032" s="362" t="s">
        <v>897</v>
      </c>
      <c r="G1032" s="361" t="s">
        <v>329</v>
      </c>
      <c r="H1032" s="325"/>
      <c r="I1032" s="327">
        <v>2</v>
      </c>
      <c r="J1032" s="361" t="s">
        <v>933</v>
      </c>
      <c r="K1032" s="327" t="s">
        <v>516</v>
      </c>
      <c r="L1032" s="348">
        <f t="shared" si="108"/>
        <v>82075.8</v>
      </c>
      <c r="M1032" s="355"/>
      <c r="N1032" s="355" t="str">
        <f t="shared" si="111"/>
        <v>PR</v>
      </c>
      <c r="O1032" s="347">
        <v>11</v>
      </c>
      <c r="P1032" s="325"/>
      <c r="Q1032" s="351"/>
      <c r="R1032" s="351">
        <v>0</v>
      </c>
      <c r="S1032" s="351">
        <v>5.8</v>
      </c>
      <c r="T1032" s="351">
        <v>0.26700000000000002</v>
      </c>
      <c r="U1032" s="329">
        <f>IF($N1032=$N$4,IFERROR(INDEX(DanhMuc!$E$154:$E$165,MATCH(MID($B1032,4,2),DanhMuc!$B$154:$B$165,0)),""),"")</f>
        <v>5800</v>
      </c>
      <c r="V1032" s="325"/>
      <c r="W1032" s="352" t="str">
        <f>+IF(AND($A1032&lt;&gt;"",LEN($B1032)&gt;=8,COUNTIF($B$6:$B1032,$B1032)=1),$W$5,"")</f>
        <v/>
      </c>
      <c r="X1032" s="329" t="str">
        <f t="shared" si="112"/>
        <v>SL</v>
      </c>
      <c r="Y1032" s="1128" t="s">
        <v>3380</v>
      </c>
      <c r="Z1032" s="1128" t="s">
        <v>3381</v>
      </c>
      <c r="AA1032" s="1128" t="s">
        <v>3384</v>
      </c>
      <c r="AC1032" s="73"/>
    </row>
    <row r="1033" spans="1:29" s="20" customFormat="1">
      <c r="A1033" s="327" t="str">
        <f>IF(AND($B1033&lt;&gt;"",$C1033&lt;&gt;""),MAX($A$4:A1032)+1,"")</f>
        <v/>
      </c>
      <c r="B1033" s="361" t="s">
        <v>932</v>
      </c>
      <c r="C1033" s="364"/>
      <c r="D1033" s="327">
        <f>IF($B1033="","",COUNTIF($B$6:$B1033,$B1033))</f>
        <v>6</v>
      </c>
      <c r="E1033" s="361" t="s">
        <v>382</v>
      </c>
      <c r="F1033" s="362" t="s">
        <v>897</v>
      </c>
      <c r="G1033" s="361" t="s">
        <v>328</v>
      </c>
      <c r="H1033" s="325"/>
      <c r="I1033" s="327">
        <v>2</v>
      </c>
      <c r="J1033" s="361" t="s">
        <v>928</v>
      </c>
      <c r="K1033" s="327" t="s">
        <v>516</v>
      </c>
      <c r="L1033" s="348">
        <f t="shared" si="108"/>
        <v>82075.8</v>
      </c>
      <c r="M1033" s="355"/>
      <c r="N1033" s="355" t="str">
        <f t="shared" si="111"/>
        <v>PR</v>
      </c>
      <c r="O1033" s="347">
        <v>11</v>
      </c>
      <c r="P1033" s="325"/>
      <c r="Q1033" s="351"/>
      <c r="R1033" s="351">
        <v>0</v>
      </c>
      <c r="S1033" s="351">
        <v>5.8</v>
      </c>
      <c r="T1033" s="351">
        <v>0.26700000000000002</v>
      </c>
      <c r="U1033" s="329">
        <f>IF($N1033=$N$4,IFERROR(INDEX(DanhMuc!$E$154:$E$165,MATCH(MID($B1033,4,2),DanhMuc!$B$154:$B$165,0)),""),"")</f>
        <v>5800</v>
      </c>
      <c r="V1033" s="325"/>
      <c r="W1033" s="352" t="str">
        <f>+IF(AND($A1033&lt;&gt;"",LEN($B1033)&gt;=8,COUNTIF($B$6:$B1033,$B1033)=1),$W$5,"")</f>
        <v/>
      </c>
      <c r="X1033" s="329" t="str">
        <f t="shared" si="112"/>
        <v>SL</v>
      </c>
      <c r="Y1033" s="1128" t="s">
        <v>3380</v>
      </c>
      <c r="Z1033" s="1128" t="s">
        <v>3381</v>
      </c>
      <c r="AA1033" s="1128" t="s">
        <v>3384</v>
      </c>
      <c r="AC1033" s="73"/>
    </row>
    <row r="1034" spans="1:29" s="20" customFormat="1">
      <c r="A1034" s="327" t="str">
        <f>IF(AND($B1034&lt;&gt;"",$C1034&lt;&gt;""),MAX($A$4:A1033)+1,"")</f>
        <v/>
      </c>
      <c r="B1034" s="361" t="s">
        <v>932</v>
      </c>
      <c r="C1034" s="364"/>
      <c r="D1034" s="327">
        <f>IF($B1034="","",COUNTIF($B$6:$B1034,$B1034))</f>
        <v>7</v>
      </c>
      <c r="E1034" s="361" t="s">
        <v>895</v>
      </c>
      <c r="F1034" s="362" t="s">
        <v>2065</v>
      </c>
      <c r="G1034" s="361" t="s">
        <v>329</v>
      </c>
      <c r="H1034" s="325"/>
      <c r="I1034" s="327">
        <v>2</v>
      </c>
      <c r="J1034" s="361" t="s">
        <v>933</v>
      </c>
      <c r="K1034" s="327" t="s">
        <v>516</v>
      </c>
      <c r="L1034" s="348">
        <f t="shared" si="108"/>
        <v>66091</v>
      </c>
      <c r="M1034" s="355"/>
      <c r="N1034" s="355" t="str">
        <f t="shared" si="111"/>
        <v>PR</v>
      </c>
      <c r="O1034" s="347">
        <v>19</v>
      </c>
      <c r="P1034" s="325"/>
      <c r="Q1034" s="351"/>
      <c r="R1034" s="351">
        <v>0</v>
      </c>
      <c r="S1034" s="351">
        <v>5.8</v>
      </c>
      <c r="T1034" s="351">
        <v>0.215</v>
      </c>
      <c r="U1034" s="329">
        <f>IF($N1034=$N$4,IFERROR(INDEX(DanhMuc!$E$154:$E$165,MATCH(MID($B1034,4,2),DanhMuc!$B$154:$B$165,0)),""),"")</f>
        <v>5800</v>
      </c>
      <c r="V1034" s="325"/>
      <c r="W1034" s="352" t="str">
        <f>+IF(AND($A1034&lt;&gt;"",LEN($B1034)&gt;=8,COUNTIF($B$6:$B1034,$B1034)=1),$W$5,"")</f>
        <v/>
      </c>
      <c r="X1034" s="329" t="str">
        <f t="shared" si="112"/>
        <v>SL</v>
      </c>
      <c r="Y1034" s="1128" t="s">
        <v>3380</v>
      </c>
      <c r="Z1034" s="1128" t="s">
        <v>3381</v>
      </c>
      <c r="AA1034" s="1128" t="s">
        <v>3384</v>
      </c>
      <c r="AC1034" s="73"/>
    </row>
    <row r="1035" spans="1:29" s="20" customFormat="1">
      <c r="A1035" s="327" t="str">
        <f>IF(AND($B1035&lt;&gt;"",$C1035&lt;&gt;""),MAX($A$4:A1034)+1,"")</f>
        <v/>
      </c>
      <c r="B1035" s="361" t="s">
        <v>932</v>
      </c>
      <c r="C1035" s="364"/>
      <c r="D1035" s="327">
        <f>IF($B1035="","",COUNTIF($B$6:$B1035,$B1035))</f>
        <v>8</v>
      </c>
      <c r="E1035" s="361" t="s">
        <v>895</v>
      </c>
      <c r="F1035" s="362" t="s">
        <v>2065</v>
      </c>
      <c r="G1035" s="361" t="s">
        <v>328</v>
      </c>
      <c r="H1035" s="325"/>
      <c r="I1035" s="327">
        <v>2</v>
      </c>
      <c r="J1035" s="361" t="s">
        <v>928</v>
      </c>
      <c r="K1035" s="327" t="s">
        <v>516</v>
      </c>
      <c r="L1035" s="348">
        <f t="shared" si="108"/>
        <v>66091</v>
      </c>
      <c r="M1035" s="355"/>
      <c r="N1035" s="355" t="str">
        <f t="shared" si="111"/>
        <v>PR</v>
      </c>
      <c r="O1035" s="347">
        <v>19</v>
      </c>
      <c r="P1035" s="325"/>
      <c r="Q1035" s="351"/>
      <c r="R1035" s="351">
        <v>0</v>
      </c>
      <c r="S1035" s="351">
        <v>5.8</v>
      </c>
      <c r="T1035" s="351">
        <v>0.215</v>
      </c>
      <c r="U1035" s="329">
        <f>IF($N1035=$N$4,IFERROR(INDEX(DanhMuc!$E$154:$E$165,MATCH(MID($B1035,4,2),DanhMuc!$B$154:$B$165,0)),""),"")</f>
        <v>5800</v>
      </c>
      <c r="V1035" s="325"/>
      <c r="W1035" s="352" t="str">
        <f>+IF(AND($A1035&lt;&gt;"",LEN($B1035)&gt;=8,COUNTIF($B$6:$B1035,$B1035)=1),$W$5,"")</f>
        <v/>
      </c>
      <c r="X1035" s="329" t="str">
        <f t="shared" si="112"/>
        <v>SL</v>
      </c>
      <c r="Y1035" s="1128" t="s">
        <v>3380</v>
      </c>
      <c r="Z1035" s="1128" t="s">
        <v>3381</v>
      </c>
      <c r="AA1035" s="1128" t="s">
        <v>3384</v>
      </c>
      <c r="AC1035" s="73"/>
    </row>
    <row r="1036" spans="1:29" s="20" customFormat="1">
      <c r="A1036" s="327" t="str">
        <f>IF(AND($B1036&lt;&gt;"",$C1036&lt;&gt;""),MAX($A$4:A1035)+1,"")</f>
        <v/>
      </c>
      <c r="B1036" s="361" t="s">
        <v>932</v>
      </c>
      <c r="C1036" s="364"/>
      <c r="D1036" s="327">
        <f>IF($B1036="","",COUNTIF($B$6:$B1036,$B1036))</f>
        <v>9</v>
      </c>
      <c r="E1036" s="361" t="s">
        <v>2294</v>
      </c>
      <c r="F1036" s="362" t="s">
        <v>612</v>
      </c>
      <c r="G1036" s="361" t="s">
        <v>329</v>
      </c>
      <c r="H1036" s="328" t="s">
        <v>536</v>
      </c>
      <c r="I1036" s="327">
        <v>2</v>
      </c>
      <c r="J1036" s="361" t="s">
        <v>1149</v>
      </c>
      <c r="K1036" s="327" t="s">
        <v>531</v>
      </c>
      <c r="L1036" s="348">
        <f t="shared" si="108"/>
        <v>234000</v>
      </c>
      <c r="M1036" s="355"/>
      <c r="N1036" s="355" t="str">
        <f t="shared" si="111"/>
        <v>PR</v>
      </c>
      <c r="O1036" s="345"/>
      <c r="P1036" s="325"/>
      <c r="Q1036" s="351">
        <v>86</v>
      </c>
      <c r="R1036" s="351">
        <v>1.5</v>
      </c>
      <c r="S1036" s="351">
        <v>5.8</v>
      </c>
      <c r="T1036" s="351">
        <f t="shared" ref="T1036:T1037" si="114">7.8/S1036</f>
        <v>1.3448275862068966</v>
      </c>
      <c r="U1036" s="329">
        <f>IF($N1036=$N$4,IFERROR(INDEX(DanhMuc!$E$154:$E$165,MATCH(MID($B1036,4,2),DanhMuc!$B$154:$B$165,0)),""),"")</f>
        <v>5800</v>
      </c>
      <c r="V1036" s="325"/>
      <c r="W1036" s="352" t="str">
        <f>+IF(AND($A1036&lt;&gt;"",LEN($B1036)&gt;=8,COUNTIF($B$6:$B1036,$B1036)=1),$W$5,"")</f>
        <v/>
      </c>
      <c r="X1036" s="329" t="str">
        <f t="shared" si="112"/>
        <v>TSL</v>
      </c>
      <c r="Y1036" s="1128" t="s">
        <v>3380</v>
      </c>
      <c r="Z1036" s="1128" t="s">
        <v>3381</v>
      </c>
      <c r="AA1036" s="1128" t="s">
        <v>3384</v>
      </c>
      <c r="AC1036" s="73"/>
    </row>
    <row r="1037" spans="1:29" s="20" customFormat="1">
      <c r="A1037" s="327" t="str">
        <f>IF(AND($B1037&lt;&gt;"",$C1037&lt;&gt;""),MAX($A$4:A1036)+1,"")</f>
        <v/>
      </c>
      <c r="B1037" s="361" t="s">
        <v>932</v>
      </c>
      <c r="C1037" s="364"/>
      <c r="D1037" s="327">
        <f>IF($B1037="","",COUNTIF($B$6:$B1037,$B1037))</f>
        <v>10</v>
      </c>
      <c r="E1037" s="361" t="s">
        <v>2294</v>
      </c>
      <c r="F1037" s="362" t="s">
        <v>612</v>
      </c>
      <c r="G1037" s="361" t="s">
        <v>328</v>
      </c>
      <c r="H1037" s="328" t="s">
        <v>536</v>
      </c>
      <c r="I1037" s="327">
        <v>2</v>
      </c>
      <c r="J1037" s="361" t="s">
        <v>1286</v>
      </c>
      <c r="K1037" s="327" t="s">
        <v>531</v>
      </c>
      <c r="L1037" s="348">
        <f t="shared" si="108"/>
        <v>234000</v>
      </c>
      <c r="M1037" s="355"/>
      <c r="N1037" s="355" t="str">
        <f t="shared" si="111"/>
        <v>PR</v>
      </c>
      <c r="O1037" s="345"/>
      <c r="P1037" s="325"/>
      <c r="Q1037" s="351">
        <v>86</v>
      </c>
      <c r="R1037" s="351">
        <v>1.5</v>
      </c>
      <c r="S1037" s="351">
        <v>5.8</v>
      </c>
      <c r="T1037" s="351">
        <f t="shared" si="114"/>
        <v>1.3448275862068966</v>
      </c>
      <c r="U1037" s="329">
        <f>IF($N1037=$N$4,IFERROR(INDEX(DanhMuc!$E$154:$E$165,MATCH(MID($B1037,4,2),DanhMuc!$B$154:$B$165,0)),""),"")</f>
        <v>5800</v>
      </c>
      <c r="V1037" s="325"/>
      <c r="W1037" s="352" t="str">
        <f>+IF(AND($A1037&lt;&gt;"",LEN($B1037)&gt;=8,COUNTIF($B$6:$B1037,$B1037)=1),$W$5,"")</f>
        <v/>
      </c>
      <c r="X1037" s="329" t="str">
        <f t="shared" si="112"/>
        <v>TSL</v>
      </c>
      <c r="Y1037" s="1128" t="s">
        <v>3380</v>
      </c>
      <c r="Z1037" s="1128" t="s">
        <v>3381</v>
      </c>
      <c r="AA1037" s="1128" t="s">
        <v>3384</v>
      </c>
      <c r="AC1037" s="73"/>
    </row>
    <row r="1038" spans="1:29" s="72" customFormat="1">
      <c r="A1038" s="327">
        <f>IF(AND($B1038&lt;&gt;"",$C1038&lt;&gt;""),MAX($A$4:A1037)+1,"")</f>
        <v>79</v>
      </c>
      <c r="B1038" s="338" t="s">
        <v>268</v>
      </c>
      <c r="C1038" s="340" t="s">
        <v>245</v>
      </c>
      <c r="D1038" s="339"/>
      <c r="E1038" s="339" t="s">
        <v>2450</v>
      </c>
      <c r="F1038" s="341" t="s">
        <v>2448</v>
      </c>
      <c r="G1038" s="339"/>
      <c r="H1038" s="339"/>
      <c r="I1038" s="339"/>
      <c r="J1038" s="339"/>
      <c r="K1038" s="383">
        <f>+K708</f>
        <v>30000</v>
      </c>
      <c r="L1038" s="383"/>
      <c r="M1038" s="343"/>
      <c r="N1038" s="343"/>
      <c r="O1038" s="344"/>
      <c r="P1038" s="344"/>
      <c r="Q1038" s="344"/>
      <c r="R1038" s="344"/>
      <c r="S1038" s="344"/>
      <c r="T1038" s="344" t="s">
        <v>2290</v>
      </c>
      <c r="U1038" s="329" t="str">
        <f>IF($N1038=$N$4,IFERROR(INDEX(DanhMuc!$E$154:$E$165,MATCH(MID($B1038,4,2),DanhMuc!$B$154:$B$165,0)),""),"")</f>
        <v/>
      </c>
      <c r="V1038" s="342"/>
      <c r="W1038" s="352" t="str">
        <f>+IF(AND($A1038&lt;&gt;"",LEN($B1038)&gt;=8,COUNTIF($B$6:$B1038,$B1038)=1),$W$5,"")</f>
        <v/>
      </c>
      <c r="X1038" s="329" t="str">
        <f t="shared" si="112"/>
        <v>T</v>
      </c>
      <c r="Y1038" s="1128" t="s">
        <v>3380</v>
      </c>
      <c r="Z1038" s="1128" t="s">
        <v>3381</v>
      </c>
      <c r="AA1038" s="1128" t="s">
        <v>3384</v>
      </c>
      <c r="AB1038" s="20"/>
      <c r="AC1038" s="73"/>
    </row>
    <row r="1039" spans="1:29" s="20" customFormat="1" ht="26">
      <c r="A1039" s="327">
        <f>IF(AND($B1039&lt;&gt;"",$C1039&lt;&gt;""),MAX($A$4:A1038)+1,"")</f>
        <v>80</v>
      </c>
      <c r="B1039" s="359" t="s">
        <v>972</v>
      </c>
      <c r="C1039" s="370" t="s">
        <v>1574</v>
      </c>
      <c r="D1039" s="327">
        <f>IF($B1039="","",COUNTIF($B$6:$B1039,$B1039))</f>
        <v>1</v>
      </c>
      <c r="E1039" s="363">
        <v>500373</v>
      </c>
      <c r="F1039" s="362" t="s">
        <v>1140</v>
      </c>
      <c r="G1039" s="361" t="s">
        <v>329</v>
      </c>
      <c r="H1039" s="325"/>
      <c r="I1039" s="327">
        <v>1</v>
      </c>
      <c r="J1039" s="361" t="s">
        <v>762</v>
      </c>
      <c r="K1039" s="327" t="s">
        <v>516</v>
      </c>
      <c r="L1039" s="348">
        <v>613654</v>
      </c>
      <c r="M1039" s="355"/>
      <c r="N1039" s="355" t="str">
        <f t="shared" si="62"/>
        <v>PR</v>
      </c>
      <c r="O1039" s="345"/>
      <c r="P1039" s="325"/>
      <c r="Q1039" s="351"/>
      <c r="R1039" s="351"/>
      <c r="S1039" s="618">
        <v>5.8</v>
      </c>
      <c r="T1039" s="619">
        <v>7.9923999999999999</v>
      </c>
      <c r="U1039" s="329">
        <f>IF($N1039=$N$4,IFERROR(INDEX(DanhMuc!$E$154:$E$165,MATCH(MID($B1039,4,2),DanhMuc!$B$154:$B$165,0)),""),"")</f>
        <v>5800</v>
      </c>
      <c r="V1039" s="325"/>
      <c r="W1039" s="352" t="str">
        <f>+IF(AND($A1039&lt;&gt;"",LEN($B1039)&gt;=8,COUNTIF($B$6:$B1039,$B1039)=1),$W$5,"")</f>
        <v>DMCua</v>
      </c>
      <c r="X1039" s="329" t="str">
        <f t="shared" si="112"/>
        <v>RH</v>
      </c>
      <c r="Y1039" s="1128" t="s">
        <v>3380</v>
      </c>
      <c r="Z1039" s="1128" t="s">
        <v>3381</v>
      </c>
      <c r="AA1039" s="1128" t="s">
        <v>3384</v>
      </c>
      <c r="AC1039" s="73"/>
    </row>
    <row r="1040" spans="1:29" s="20" customFormat="1">
      <c r="A1040" s="327" t="str">
        <f>IF(AND($B1040&lt;&gt;"",$C1040&lt;&gt;""),MAX($A$4:A1039)+1,"")</f>
        <v/>
      </c>
      <c r="B1040" s="361" t="s">
        <v>972</v>
      </c>
      <c r="C1040" s="364"/>
      <c r="D1040" s="327">
        <f>IF($B1040="","",COUNTIF($B$6:$B1040,$B1040))</f>
        <v>2</v>
      </c>
      <c r="E1040" s="363">
        <v>500373</v>
      </c>
      <c r="F1040" s="362" t="s">
        <v>1140</v>
      </c>
      <c r="G1040" s="361" t="s">
        <v>328</v>
      </c>
      <c r="H1040" s="325"/>
      <c r="I1040" s="327">
        <v>2</v>
      </c>
      <c r="J1040" s="361" t="s">
        <v>814</v>
      </c>
      <c r="K1040" s="327" t="s">
        <v>1141</v>
      </c>
      <c r="L1040" s="348">
        <v>613654</v>
      </c>
      <c r="M1040" s="355"/>
      <c r="N1040" s="355" t="str">
        <f t="shared" si="62"/>
        <v>PR</v>
      </c>
      <c r="O1040" s="347"/>
      <c r="P1040" s="325"/>
      <c r="Q1040" s="351"/>
      <c r="R1040" s="351"/>
      <c r="S1040" s="618">
        <v>5.8</v>
      </c>
      <c r="T1040" s="619">
        <v>7.9923999999999999</v>
      </c>
      <c r="U1040" s="329">
        <f>IF($N1040=$N$4,IFERROR(INDEX(DanhMuc!$E$154:$E$165,MATCH(MID($B1040,4,2),DanhMuc!$B$154:$B$165,0)),""),"")</f>
        <v>5800</v>
      </c>
      <c r="V1040" s="325"/>
      <c r="W1040" s="352" t="str">
        <f>+IF(AND($A1040&lt;&gt;"",LEN($B1040)&gt;=8,COUNTIF($B$6:$B1040,$B1040)=1),$W$5,"")</f>
        <v/>
      </c>
      <c r="X1040" s="329" t="str">
        <f t="shared" si="112"/>
        <v>RH</v>
      </c>
      <c r="Y1040" s="1128" t="s">
        <v>3380</v>
      </c>
      <c r="Z1040" s="1128" t="s">
        <v>3381</v>
      </c>
      <c r="AA1040" s="1128" t="s">
        <v>3384</v>
      </c>
      <c r="AC1040" s="73"/>
    </row>
    <row r="1041" spans="1:29" s="20" customFormat="1">
      <c r="A1041" s="327" t="str">
        <f>IF(AND($B1041&lt;&gt;"",$C1041&lt;&gt;""),MAX($A$4:A1040)+1,"")</f>
        <v/>
      </c>
      <c r="B1041" s="361" t="s">
        <v>972</v>
      </c>
      <c r="C1041" s="364"/>
      <c r="D1041" s="327">
        <f>IF($B1041="","",COUNTIF($B$6:$B1041,$B1041))</f>
        <v>3</v>
      </c>
      <c r="E1041" s="361">
        <v>500183</v>
      </c>
      <c r="F1041" s="362" t="s">
        <v>1142</v>
      </c>
      <c r="G1041" s="361" t="s">
        <v>329</v>
      </c>
      <c r="H1041" s="325"/>
      <c r="I1041" s="327">
        <v>2</v>
      </c>
      <c r="J1041" s="361" t="s">
        <v>1144</v>
      </c>
      <c r="K1041" s="327" t="s">
        <v>516</v>
      </c>
      <c r="L1041" s="348">
        <v>865740</v>
      </c>
      <c r="M1041" s="355"/>
      <c r="N1041" s="355" t="str">
        <f t="shared" si="62"/>
        <v>PR</v>
      </c>
      <c r="O1041" s="345" t="s">
        <v>19</v>
      </c>
      <c r="P1041" s="325"/>
      <c r="Q1041" s="351"/>
      <c r="R1041" s="351"/>
      <c r="S1041" s="618">
        <v>5.8</v>
      </c>
      <c r="T1041" s="619">
        <v>10.4864</v>
      </c>
      <c r="U1041" s="329">
        <f>IF($N1041=$N$4,IFERROR(INDEX(DanhMuc!$E$154:$E$165,MATCH(MID($B1041,4,2),DanhMuc!$B$154:$B$165,0)),""),"")</f>
        <v>5800</v>
      </c>
      <c r="V1041" s="325"/>
      <c r="W1041" s="352" t="str">
        <f>+IF(AND($A1041&lt;&gt;"",LEN($B1041)&gt;=8,COUNTIF($B$6:$B1041,$B1041)=1),$W$5,"")</f>
        <v/>
      </c>
      <c r="X1041" s="329" t="str">
        <f t="shared" si="112"/>
        <v>RH</v>
      </c>
      <c r="Y1041" s="1128" t="s">
        <v>3380</v>
      </c>
      <c r="Z1041" s="1128" t="s">
        <v>3381</v>
      </c>
      <c r="AA1041" s="1128" t="s">
        <v>3384</v>
      </c>
      <c r="AC1041" s="73"/>
    </row>
    <row r="1042" spans="1:29" s="20" customFormat="1">
      <c r="A1042" s="327" t="str">
        <f>IF(AND($B1042&lt;&gt;"",$C1042&lt;&gt;""),MAX($A$4:A1041)+1,"")</f>
        <v/>
      </c>
      <c r="B1042" s="361" t="s">
        <v>972</v>
      </c>
      <c r="C1042" s="364"/>
      <c r="D1042" s="327">
        <f>IF($B1042="","",COUNTIF($B$6:$B1042,$B1042))</f>
        <v>4</v>
      </c>
      <c r="E1042" s="361">
        <v>500183</v>
      </c>
      <c r="F1042" s="362" t="s">
        <v>1142</v>
      </c>
      <c r="G1042" s="361" t="s">
        <v>328</v>
      </c>
      <c r="H1042" s="325"/>
      <c r="I1042" s="327">
        <v>2</v>
      </c>
      <c r="J1042" s="361" t="s">
        <v>1145</v>
      </c>
      <c r="K1042" s="327" t="s">
        <v>516</v>
      </c>
      <c r="L1042" s="348">
        <v>865740</v>
      </c>
      <c r="M1042" s="355"/>
      <c r="N1042" s="355" t="str">
        <f t="shared" si="62"/>
        <v>PR</v>
      </c>
      <c r="O1042" s="345" t="s">
        <v>19</v>
      </c>
      <c r="P1042" s="325"/>
      <c r="Q1042" s="351"/>
      <c r="R1042" s="351"/>
      <c r="S1042" s="618">
        <v>5.8</v>
      </c>
      <c r="T1042" s="619">
        <v>10.4864</v>
      </c>
      <c r="U1042" s="329">
        <f>IF($N1042=$N$4,IFERROR(INDEX(DanhMuc!$E$154:$E$165,MATCH(MID($B1042,4,2),DanhMuc!$B$154:$B$165,0)),""),"")</f>
        <v>5800</v>
      </c>
      <c r="V1042" s="325"/>
      <c r="W1042" s="352" t="str">
        <f>+IF(AND($A1042&lt;&gt;"",LEN($B1042)&gt;=8,COUNTIF($B$6:$B1042,$B1042)=1),$W$5,"")</f>
        <v/>
      </c>
      <c r="X1042" s="329" t="str">
        <f t="shared" si="112"/>
        <v>RH</v>
      </c>
      <c r="Y1042" s="1128" t="s">
        <v>3380</v>
      </c>
      <c r="Z1042" s="1128" t="s">
        <v>3381</v>
      </c>
      <c r="AA1042" s="1128" t="s">
        <v>3384</v>
      </c>
      <c r="AC1042" s="73"/>
    </row>
    <row r="1043" spans="1:29" s="20" customFormat="1">
      <c r="A1043" s="327" t="str">
        <f>IF(AND($B1043&lt;&gt;"",$C1043&lt;&gt;""),MAX($A$4:A1042)+1,"")</f>
        <v/>
      </c>
      <c r="B1043" s="361" t="s">
        <v>972</v>
      </c>
      <c r="C1043" s="364"/>
      <c r="D1043" s="327">
        <f>IF($B1043="","",COUNTIF($B$6:$B1043,$B1043))</f>
        <v>5</v>
      </c>
      <c r="E1043" s="361">
        <v>500173</v>
      </c>
      <c r="F1043" s="362" t="s">
        <v>1143</v>
      </c>
      <c r="G1043" s="361" t="s">
        <v>328</v>
      </c>
      <c r="H1043" s="325"/>
      <c r="I1043" s="327">
        <v>2</v>
      </c>
      <c r="J1043" s="361" t="s">
        <v>1144</v>
      </c>
      <c r="K1043" s="327" t="s">
        <v>516</v>
      </c>
      <c r="L1043" s="348">
        <v>818580</v>
      </c>
      <c r="M1043" s="355"/>
      <c r="N1043" s="355" t="str">
        <f t="shared" ref="N1043:N1044" si="115">+$N$4</f>
        <v>PR</v>
      </c>
      <c r="O1043" s="345" t="s">
        <v>16</v>
      </c>
      <c r="P1043" s="325"/>
      <c r="Q1043" s="351"/>
      <c r="R1043" s="351"/>
      <c r="S1043" s="618">
        <v>5.8</v>
      </c>
      <c r="T1043" s="619">
        <v>9.9238</v>
      </c>
      <c r="U1043" s="329">
        <f>IF($N1043=$N$4,IFERROR(INDEX(DanhMuc!$E$154:$E$165,MATCH(MID($B1043,4,2),DanhMuc!$B$154:$B$165,0)),""),"")</f>
        <v>5800</v>
      </c>
      <c r="V1043" s="325"/>
      <c r="W1043" s="352" t="str">
        <f>+IF(AND($A1043&lt;&gt;"",LEN($B1043)&gt;=8,COUNTIF($B$6:$B1043,$B1043)=1),$W$5,"")</f>
        <v/>
      </c>
      <c r="X1043" s="329" t="str">
        <f t="shared" si="112"/>
        <v>RH</v>
      </c>
      <c r="Y1043" s="1128" t="s">
        <v>3380</v>
      </c>
      <c r="Z1043" s="1128" t="s">
        <v>3381</v>
      </c>
      <c r="AA1043" s="1128" t="s">
        <v>3384</v>
      </c>
      <c r="AC1043" s="73"/>
    </row>
    <row r="1044" spans="1:29" s="20" customFormat="1">
      <c r="A1044" s="327" t="str">
        <f>IF(AND($B1044&lt;&gt;"",$C1044&lt;&gt;""),MAX($A$4:A1043)+1,"")</f>
        <v/>
      </c>
      <c r="B1044" s="361" t="s">
        <v>972</v>
      </c>
      <c r="C1044" s="364"/>
      <c r="D1044" s="327">
        <f>IF($B1044="","",COUNTIF($B$6:$B1044,$B1044))</f>
        <v>6</v>
      </c>
      <c r="E1044" s="361">
        <v>500173</v>
      </c>
      <c r="F1044" s="362" t="s">
        <v>1143</v>
      </c>
      <c r="G1044" s="361" t="s">
        <v>328</v>
      </c>
      <c r="H1044" s="325"/>
      <c r="I1044" s="327">
        <v>2</v>
      </c>
      <c r="J1044" s="361" t="s">
        <v>1145</v>
      </c>
      <c r="K1044" s="327" t="s">
        <v>516</v>
      </c>
      <c r="L1044" s="348">
        <v>818580</v>
      </c>
      <c r="M1044" s="355"/>
      <c r="N1044" s="355" t="str">
        <f t="shared" si="115"/>
        <v>PR</v>
      </c>
      <c r="O1044" s="345" t="s">
        <v>16</v>
      </c>
      <c r="P1044" s="325"/>
      <c r="Q1044" s="351"/>
      <c r="R1044" s="351"/>
      <c r="S1044" s="618">
        <v>5.8</v>
      </c>
      <c r="T1044" s="619">
        <v>9.9238</v>
      </c>
      <c r="U1044" s="329">
        <f>IF($N1044=$N$4,IFERROR(INDEX(DanhMuc!$E$154:$E$165,MATCH(MID($B1044,4,2),DanhMuc!$B$154:$B$165,0)),""),"")</f>
        <v>5800</v>
      </c>
      <c r="V1044" s="325"/>
      <c r="W1044" s="352" t="str">
        <f>+IF(AND($A1044&lt;&gt;"",LEN($B1044)&gt;=8,COUNTIF($B$6:$B1044,$B1044)=1),$W$5,"")</f>
        <v/>
      </c>
      <c r="X1044" s="329" t="str">
        <f t="shared" si="112"/>
        <v>RH</v>
      </c>
      <c r="Y1044" s="1128" t="s">
        <v>3380</v>
      </c>
      <c r="Z1044" s="1128" t="s">
        <v>3381</v>
      </c>
      <c r="AA1044" s="1128" t="s">
        <v>3384</v>
      </c>
      <c r="AC1044" s="73"/>
    </row>
    <row r="1045" spans="1:29" s="20" customFormat="1">
      <c r="A1045" s="327" t="str">
        <f>IF(AND($B1045&lt;&gt;"",$C1045&lt;&gt;""),MAX($A$4:A1044)+1,"")</f>
        <v/>
      </c>
      <c r="B1045" s="361" t="s">
        <v>972</v>
      </c>
      <c r="C1045" s="364"/>
      <c r="D1045" s="327">
        <f>IF($B1045="","",COUNTIF($B$6:$B1045,$B1045))</f>
        <v>7</v>
      </c>
      <c r="E1045" s="361" t="s">
        <v>899</v>
      </c>
      <c r="F1045" s="362" t="s">
        <v>898</v>
      </c>
      <c r="G1045" s="361" t="s">
        <v>329</v>
      </c>
      <c r="H1045" s="325"/>
      <c r="I1045" s="327">
        <v>2</v>
      </c>
      <c r="J1045" s="361" t="s">
        <v>1146</v>
      </c>
      <c r="K1045" s="327" t="s">
        <v>516</v>
      </c>
      <c r="L1045" s="348">
        <v>0</v>
      </c>
      <c r="M1045" s="355"/>
      <c r="N1045" s="355" t="str">
        <f t="shared" si="62"/>
        <v>PR</v>
      </c>
      <c r="O1045" s="347"/>
      <c r="P1045" s="325"/>
      <c r="Q1045" s="351"/>
      <c r="R1045" s="351"/>
      <c r="S1045" s="618"/>
      <c r="T1045" s="619"/>
      <c r="U1045" s="329">
        <f>IF($N1045=$N$4,IFERROR(INDEX(DanhMuc!$E$154:$E$165,MATCH(MID($B1045,4,2),DanhMuc!$B$154:$B$165,0)),""),"")</f>
        <v>5800</v>
      </c>
      <c r="V1045" s="325"/>
      <c r="W1045" s="352" t="str">
        <f>+IF(AND($A1045&lt;&gt;"",LEN($B1045)&gt;=8,COUNTIF($B$6:$B1045,$B1045)=1),$W$5,"")</f>
        <v/>
      </c>
      <c r="X1045" s="329" t="str">
        <f t="shared" si="112"/>
        <v>RH</v>
      </c>
      <c r="Y1045" s="1128" t="s">
        <v>3380</v>
      </c>
      <c r="Z1045" s="1128" t="s">
        <v>3381</v>
      </c>
      <c r="AA1045" s="1128" t="s">
        <v>3384</v>
      </c>
      <c r="AC1045" s="73"/>
    </row>
    <row r="1046" spans="1:29" s="20" customFormat="1">
      <c r="A1046" s="327" t="str">
        <f>IF(AND($B1046&lt;&gt;"",$C1046&lt;&gt;""),MAX($A$4:A1045)+1,"")</f>
        <v/>
      </c>
      <c r="B1046" s="361" t="s">
        <v>972</v>
      </c>
      <c r="C1046" s="364"/>
      <c r="D1046" s="327">
        <f>IF($B1046="","",COUNTIF($B$6:$B1046,$B1046))</f>
        <v>8</v>
      </c>
      <c r="E1046" s="361" t="s">
        <v>899</v>
      </c>
      <c r="F1046" s="362" t="s">
        <v>898</v>
      </c>
      <c r="G1046" s="361" t="s">
        <v>328</v>
      </c>
      <c r="H1046" s="325"/>
      <c r="I1046" s="327">
        <v>2</v>
      </c>
      <c r="J1046" s="361" t="s">
        <v>1147</v>
      </c>
      <c r="K1046" s="327" t="s">
        <v>516</v>
      </c>
      <c r="L1046" s="348">
        <v>0</v>
      </c>
      <c r="M1046" s="355"/>
      <c r="N1046" s="355" t="str">
        <f t="shared" si="62"/>
        <v>PR</v>
      </c>
      <c r="O1046" s="347"/>
      <c r="P1046" s="325"/>
      <c r="Q1046" s="351"/>
      <c r="R1046" s="351"/>
      <c r="S1046" s="618"/>
      <c r="T1046" s="619"/>
      <c r="U1046" s="329">
        <f>IF($N1046=$N$4,IFERROR(INDEX(DanhMuc!$E$154:$E$165,MATCH(MID($B1046,4,2),DanhMuc!$B$154:$B$165,0)),""),"")</f>
        <v>5800</v>
      </c>
      <c r="V1046" s="325"/>
      <c r="W1046" s="352" t="str">
        <f>+IF(AND($A1046&lt;&gt;"",LEN($B1046)&gt;=8,COUNTIF($B$6:$B1046,$B1046)=1),$W$5,"")</f>
        <v/>
      </c>
      <c r="X1046" s="329" t="str">
        <f t="shared" si="112"/>
        <v>RH</v>
      </c>
      <c r="Y1046" s="1128" t="s">
        <v>3380</v>
      </c>
      <c r="Z1046" s="1128" t="s">
        <v>3381</v>
      </c>
      <c r="AA1046" s="1128" t="s">
        <v>3384</v>
      </c>
      <c r="AC1046" s="73"/>
    </row>
    <row r="1047" spans="1:29" s="20" customFormat="1">
      <c r="A1047" s="327" t="str">
        <f>IF(AND($B1047&lt;&gt;"",$C1047&lt;&gt;""),MAX($A$4:A1046)+1,"")</f>
        <v/>
      </c>
      <c r="B1047" s="361" t="s">
        <v>972</v>
      </c>
      <c r="C1047" s="364"/>
      <c r="D1047" s="327">
        <f>IF($B1047="","",COUNTIF($B$6:$B1047,$B1047))</f>
        <v>9</v>
      </c>
      <c r="E1047" s="361">
        <v>229184</v>
      </c>
      <c r="F1047" s="362" t="s">
        <v>1371</v>
      </c>
      <c r="G1047" s="361" t="s">
        <v>329</v>
      </c>
      <c r="H1047" s="325"/>
      <c r="I1047" s="327">
        <v>1</v>
      </c>
      <c r="J1047" s="361" t="s">
        <v>1148</v>
      </c>
      <c r="K1047" s="327" t="s">
        <v>531</v>
      </c>
      <c r="L1047" s="348">
        <v>556948</v>
      </c>
      <c r="M1047" s="355"/>
      <c r="N1047" s="355" t="str">
        <f t="shared" ref="N1047" si="116">+$N$4</f>
        <v>PR</v>
      </c>
      <c r="O1047" s="347" t="s">
        <v>566</v>
      </c>
      <c r="P1047" s="325"/>
      <c r="Q1047" s="351"/>
      <c r="R1047" s="351"/>
      <c r="S1047" s="618">
        <v>5.8</v>
      </c>
      <c r="T1047" s="619">
        <v>3.1377999999999999</v>
      </c>
      <c r="U1047" s="329">
        <f>IF($N1047=$N$4,IFERROR(INDEX(DanhMuc!$E$154:$E$165,MATCH(MID($B1047,4,2),DanhMuc!$B$154:$B$165,0)),""),"")</f>
        <v>5800</v>
      </c>
      <c r="V1047" s="325"/>
      <c r="W1047" s="352" t="str">
        <f>+IF(AND($A1047&lt;&gt;"",LEN($B1047)&gt;=8,COUNTIF($B$6:$B1047,$B1047)=1),$W$5,"")</f>
        <v/>
      </c>
      <c r="X1047" s="329" t="str">
        <f t="shared" si="112"/>
        <v>RH</v>
      </c>
      <c r="Y1047" s="1128" t="s">
        <v>3380</v>
      </c>
      <c r="Z1047" s="1128" t="s">
        <v>3381</v>
      </c>
      <c r="AA1047" s="1128" t="s">
        <v>3384</v>
      </c>
      <c r="AC1047" s="73"/>
    </row>
    <row r="1048" spans="1:29" s="20" customFormat="1">
      <c r="A1048" s="327" t="str">
        <f>IF(AND($B1048&lt;&gt;"",$C1048&lt;&gt;""),MAX($A$4:A1047)+1,"")</f>
        <v/>
      </c>
      <c r="B1048" s="361" t="s">
        <v>972</v>
      </c>
      <c r="C1048" s="364"/>
      <c r="D1048" s="327">
        <f>IF($B1048="","",COUNTIF($B$6:$B1048,$B1048))</f>
        <v>10</v>
      </c>
      <c r="E1048" s="361">
        <v>221877</v>
      </c>
      <c r="F1048" s="362" t="s">
        <v>1446</v>
      </c>
      <c r="G1048" s="361" t="s">
        <v>329</v>
      </c>
      <c r="H1048" s="328" t="s">
        <v>536</v>
      </c>
      <c r="I1048" s="327">
        <v>1</v>
      </c>
      <c r="J1048" s="361" t="s">
        <v>1149</v>
      </c>
      <c r="K1048" s="327" t="s">
        <v>531</v>
      </c>
      <c r="L1048" s="348">
        <f>+$K$1038*$T1048*$S1048</f>
        <v>315000</v>
      </c>
      <c r="M1048" s="355"/>
      <c r="N1048" s="355" t="str">
        <f t="shared" si="62"/>
        <v>PR</v>
      </c>
      <c r="O1048" s="345"/>
      <c r="P1048" s="325"/>
      <c r="Q1048" s="351"/>
      <c r="R1048" s="351"/>
      <c r="S1048" s="618">
        <v>6</v>
      </c>
      <c r="T1048" s="619">
        <f>10.5/S1048</f>
        <v>1.75</v>
      </c>
      <c r="U1048" s="329">
        <f>IF($N1048=$N$4,IFERROR(INDEX(DanhMuc!$E$154:$E$165,MATCH(MID($B1048,4,2),DanhMuc!$B$154:$B$165,0)),""),"")</f>
        <v>5800</v>
      </c>
      <c r="V1048" s="325"/>
      <c r="W1048" s="352" t="str">
        <f>+IF(AND($A1048&lt;&gt;"",LEN($B1048)&gt;=8,COUNTIF($B$6:$B1048,$B1048)=1),$W$5,"")</f>
        <v/>
      </c>
      <c r="X1048" s="329" t="str">
        <f t="shared" si="112"/>
        <v>TRH</v>
      </c>
      <c r="Y1048" s="1128" t="s">
        <v>3380</v>
      </c>
      <c r="Z1048" s="1128" t="s">
        <v>3381</v>
      </c>
      <c r="AA1048" s="1128" t="s">
        <v>3384</v>
      </c>
      <c r="AC1048" s="73"/>
    </row>
    <row r="1049" spans="1:29" s="20" customFormat="1">
      <c r="A1049" s="327" t="str">
        <f>IF(AND($B1049&lt;&gt;"",$C1049&lt;&gt;""),MAX($A$4:A1048)+1,"")</f>
        <v/>
      </c>
      <c r="B1049" s="361" t="s">
        <v>972</v>
      </c>
      <c r="C1049" s="364"/>
      <c r="D1049" s="327">
        <f>IF($B1049="","",COUNTIF($B$6:$B1049,$B1049))</f>
        <v>11</v>
      </c>
      <c r="E1049" s="361">
        <v>221877</v>
      </c>
      <c r="F1049" s="362" t="s">
        <v>1446</v>
      </c>
      <c r="G1049" s="361" t="s">
        <v>328</v>
      </c>
      <c r="H1049" s="328" t="s">
        <v>536</v>
      </c>
      <c r="I1049" s="327">
        <v>2</v>
      </c>
      <c r="J1049" s="361" t="s">
        <v>1150</v>
      </c>
      <c r="K1049" s="327" t="s">
        <v>531</v>
      </c>
      <c r="L1049" s="348">
        <f t="shared" ref="L1049:L1051" si="117">+$K$1038*$T1049*$S1049</f>
        <v>315000</v>
      </c>
      <c r="M1049" s="355"/>
      <c r="N1049" s="355" t="str">
        <f t="shared" si="62"/>
        <v>PR</v>
      </c>
      <c r="O1049" s="345"/>
      <c r="P1049" s="325"/>
      <c r="Q1049" s="351"/>
      <c r="R1049" s="351"/>
      <c r="S1049" s="618">
        <v>6</v>
      </c>
      <c r="T1049" s="619">
        <f>10.5/S1049</f>
        <v>1.75</v>
      </c>
      <c r="U1049" s="329">
        <f>IF($N1049=$N$4,IFERROR(INDEX(DanhMuc!$E$154:$E$165,MATCH(MID($B1049,4,2),DanhMuc!$B$154:$B$165,0)),""),"")</f>
        <v>5800</v>
      </c>
      <c r="V1049" s="325"/>
      <c r="W1049" s="352" t="str">
        <f>+IF(AND($A1049&lt;&gt;"",LEN($B1049)&gt;=8,COUNTIF($B$6:$B1049,$B1049)=1),$W$5,"")</f>
        <v/>
      </c>
      <c r="X1049" s="329" t="str">
        <f t="shared" si="112"/>
        <v>TRH</v>
      </c>
      <c r="Y1049" s="1128" t="s">
        <v>3380</v>
      </c>
      <c r="Z1049" s="1128" t="s">
        <v>3381</v>
      </c>
      <c r="AA1049" s="1128" t="s">
        <v>3384</v>
      </c>
      <c r="AC1049" s="73"/>
    </row>
    <row r="1050" spans="1:29" s="20" customFormat="1">
      <c r="A1050" s="327" t="str">
        <f>IF(AND($B1050&lt;&gt;"",$C1050&lt;&gt;""),MAX($A$4:A1049)+1,"")</f>
        <v/>
      </c>
      <c r="B1050" s="361" t="s">
        <v>972</v>
      </c>
      <c r="C1050" s="364"/>
      <c r="D1050" s="327">
        <f>IF($B1050="","",COUNTIF($B$6:$B1050,$B1050))</f>
        <v>12</v>
      </c>
      <c r="E1050" s="361">
        <v>221871</v>
      </c>
      <c r="F1050" s="362" t="s">
        <v>613</v>
      </c>
      <c r="G1050" s="361" t="s">
        <v>329</v>
      </c>
      <c r="H1050" s="328" t="s">
        <v>536</v>
      </c>
      <c r="I1050" s="327">
        <v>2</v>
      </c>
      <c r="J1050" s="361" t="s">
        <v>1151</v>
      </c>
      <c r="K1050" s="327" t="s">
        <v>531</v>
      </c>
      <c r="L1050" s="348">
        <f t="shared" si="117"/>
        <v>372000.00000000006</v>
      </c>
      <c r="M1050" s="355"/>
      <c r="N1050" s="355" t="str">
        <f t="shared" si="62"/>
        <v>PR</v>
      </c>
      <c r="O1050" s="345"/>
      <c r="P1050" s="325"/>
      <c r="Q1050" s="351"/>
      <c r="R1050" s="351"/>
      <c r="S1050" s="618">
        <v>6</v>
      </c>
      <c r="T1050" s="619">
        <f>12.4/S1050</f>
        <v>2.0666666666666669</v>
      </c>
      <c r="U1050" s="329">
        <f>IF($N1050=$N$4,IFERROR(INDEX(DanhMuc!$E$154:$E$165,MATCH(MID($B1050,4,2),DanhMuc!$B$154:$B$165,0)),""),"")</f>
        <v>5800</v>
      </c>
      <c r="V1050" s="325"/>
      <c r="W1050" s="352" t="str">
        <f>+IF(AND($A1050&lt;&gt;"",LEN($B1050)&gt;=8,COUNTIF($B$6:$B1050,$B1050)=1),$W$5,"")</f>
        <v/>
      </c>
      <c r="X1050" s="329" t="str">
        <f t="shared" si="112"/>
        <v>TRH</v>
      </c>
      <c r="Y1050" s="1128" t="s">
        <v>3380</v>
      </c>
      <c r="Z1050" s="1128" t="s">
        <v>3381</v>
      </c>
      <c r="AA1050" s="1128" t="s">
        <v>3384</v>
      </c>
      <c r="AC1050" s="73"/>
    </row>
    <row r="1051" spans="1:29" s="20" customFormat="1">
      <c r="A1051" s="327" t="str">
        <f>IF(AND($B1051&lt;&gt;"",$C1051&lt;&gt;""),MAX($A$4:A1050)+1,"")</f>
        <v/>
      </c>
      <c r="B1051" s="361" t="s">
        <v>972</v>
      </c>
      <c r="C1051" s="364"/>
      <c r="D1051" s="327">
        <f>IF($B1051="","",COUNTIF($B$6:$B1051,$B1051))</f>
        <v>13</v>
      </c>
      <c r="E1051" s="361">
        <v>221871</v>
      </c>
      <c r="F1051" s="362" t="s">
        <v>613</v>
      </c>
      <c r="G1051" s="361" t="s">
        <v>328</v>
      </c>
      <c r="H1051" s="328" t="s">
        <v>536</v>
      </c>
      <c r="I1051" s="327">
        <v>2</v>
      </c>
      <c r="J1051" s="361" t="s">
        <v>1152</v>
      </c>
      <c r="K1051" s="327" t="s">
        <v>531</v>
      </c>
      <c r="L1051" s="348">
        <f t="shared" si="117"/>
        <v>372000.00000000006</v>
      </c>
      <c r="M1051" s="355"/>
      <c r="N1051" s="355" t="str">
        <f t="shared" ref="N1051:N1097" si="118">+$N$4</f>
        <v>PR</v>
      </c>
      <c r="O1051" s="345"/>
      <c r="P1051" s="325"/>
      <c r="Q1051" s="351"/>
      <c r="R1051" s="351"/>
      <c r="S1051" s="618">
        <v>6</v>
      </c>
      <c r="T1051" s="619">
        <f>12.4/S1051</f>
        <v>2.0666666666666669</v>
      </c>
      <c r="U1051" s="329">
        <f>IF($N1051=$N$4,IFERROR(INDEX(DanhMuc!$E$154:$E$165,MATCH(MID($B1051,4,2),DanhMuc!$B$154:$B$165,0)),""),"")</f>
        <v>5800</v>
      </c>
      <c r="V1051" s="325"/>
      <c r="W1051" s="352" t="str">
        <f>+IF(AND($A1051&lt;&gt;"",LEN($B1051)&gt;=8,COUNTIF($B$6:$B1051,$B1051)=1),$W$5,"")</f>
        <v/>
      </c>
      <c r="X1051" s="329" t="str">
        <f t="shared" si="112"/>
        <v>TRH</v>
      </c>
      <c r="Y1051" s="1128" t="s">
        <v>3380</v>
      </c>
      <c r="Z1051" s="1128" t="s">
        <v>3381</v>
      </c>
      <c r="AA1051" s="1128" t="s">
        <v>3384</v>
      </c>
      <c r="AC1051" s="73"/>
    </row>
    <row r="1052" spans="1:29" s="20" customFormat="1" ht="26">
      <c r="A1052" s="327">
        <f>IF(AND($B1052&lt;&gt;"",$C1052&lt;&gt;""),MAX($A$4:A1051)+1,"")</f>
        <v>81</v>
      </c>
      <c r="B1052" s="359" t="s">
        <v>973</v>
      </c>
      <c r="C1052" s="360" t="s">
        <v>1575</v>
      </c>
      <c r="D1052" s="327">
        <f>IF($B1052="","",COUNTIF($B$6:$B1052,$B1052))</f>
        <v>1</v>
      </c>
      <c r="E1052" s="363">
        <v>500373</v>
      </c>
      <c r="F1052" s="362" t="s">
        <v>1140</v>
      </c>
      <c r="G1052" s="361" t="s">
        <v>329</v>
      </c>
      <c r="H1052" s="325"/>
      <c r="I1052" s="327">
        <v>1</v>
      </c>
      <c r="J1052" s="361" t="s">
        <v>762</v>
      </c>
      <c r="K1052" s="327" t="s">
        <v>516</v>
      </c>
      <c r="L1052" s="348">
        <v>613654</v>
      </c>
      <c r="M1052" s="355"/>
      <c r="N1052" s="355" t="str">
        <f t="shared" si="118"/>
        <v>PR</v>
      </c>
      <c r="O1052" s="345"/>
      <c r="P1052" s="325"/>
      <c r="Q1052" s="351"/>
      <c r="R1052" s="351"/>
      <c r="S1052" s="618">
        <v>5.8</v>
      </c>
      <c r="T1052" s="619">
        <v>7.9923999999999999</v>
      </c>
      <c r="U1052" s="329">
        <f>IF($N1052=$N$4,IFERROR(INDEX(DanhMuc!$E$154:$E$165,MATCH(MID($B1052,4,2),DanhMuc!$B$154:$B$165,0)),""),"")</f>
        <v>5800</v>
      </c>
      <c r="V1052" s="325"/>
      <c r="W1052" s="352" t="str">
        <f>+IF(AND($A1052&lt;&gt;"",LEN($B1052)&gt;=8,COUNTIF($B$6:$B1052,$B1052)=1),$W$5,"")</f>
        <v>DMCua</v>
      </c>
      <c r="X1052" s="329" t="str">
        <f t="shared" si="112"/>
        <v>RH</v>
      </c>
      <c r="Y1052" s="1128" t="s">
        <v>3380</v>
      </c>
      <c r="Z1052" s="1128" t="s">
        <v>3381</v>
      </c>
      <c r="AA1052" s="1128" t="s">
        <v>3384</v>
      </c>
      <c r="AC1052" s="73"/>
    </row>
    <row r="1053" spans="1:29" s="20" customFormat="1">
      <c r="A1053" s="327" t="str">
        <f>IF(AND($B1053&lt;&gt;"",$C1053&lt;&gt;""),MAX($A$4:A1052)+1,"")</f>
        <v/>
      </c>
      <c r="B1053" s="361" t="s">
        <v>973</v>
      </c>
      <c r="C1053" s="364"/>
      <c r="D1053" s="327">
        <f>IF($B1053="","",COUNTIF($B$6:$B1053,$B1053))</f>
        <v>2</v>
      </c>
      <c r="E1053" s="363">
        <v>500373</v>
      </c>
      <c r="F1053" s="362" t="s">
        <v>1140</v>
      </c>
      <c r="G1053" s="361" t="s">
        <v>328</v>
      </c>
      <c r="H1053" s="325"/>
      <c r="I1053" s="327">
        <v>2</v>
      </c>
      <c r="J1053" s="361" t="s">
        <v>814</v>
      </c>
      <c r="K1053" s="327" t="s">
        <v>1141</v>
      </c>
      <c r="L1053" s="348">
        <v>613654</v>
      </c>
      <c r="M1053" s="355"/>
      <c r="N1053" s="355" t="str">
        <f t="shared" si="118"/>
        <v>PR</v>
      </c>
      <c r="O1053" s="347"/>
      <c r="P1053" s="325"/>
      <c r="Q1053" s="351"/>
      <c r="R1053" s="351"/>
      <c r="S1053" s="618">
        <v>5.8</v>
      </c>
      <c r="T1053" s="619">
        <v>7.9923999999999999</v>
      </c>
      <c r="U1053" s="329">
        <f>IF($N1053=$N$4,IFERROR(INDEX(DanhMuc!$E$154:$E$165,MATCH(MID($B1053,4,2),DanhMuc!$B$154:$B$165,0)),""),"")</f>
        <v>5800</v>
      </c>
      <c r="V1053" s="325"/>
      <c r="W1053" s="352" t="str">
        <f>+IF(AND($A1053&lt;&gt;"",LEN($B1053)&gt;=8,COUNTIF($B$6:$B1053,$B1053)=1),$W$5,"")</f>
        <v/>
      </c>
      <c r="X1053" s="329" t="str">
        <f t="shared" si="112"/>
        <v>RH</v>
      </c>
      <c r="Y1053" s="1128" t="s">
        <v>3380</v>
      </c>
      <c r="Z1053" s="1128" t="s">
        <v>3381</v>
      </c>
      <c r="AA1053" s="1128" t="s">
        <v>3384</v>
      </c>
      <c r="AC1053" s="73"/>
    </row>
    <row r="1054" spans="1:29" s="20" customFormat="1">
      <c r="A1054" s="327" t="str">
        <f>IF(AND($B1054&lt;&gt;"",$C1054&lt;&gt;""),MAX($A$4:A1053)+1,"")</f>
        <v/>
      </c>
      <c r="B1054" s="361" t="s">
        <v>973</v>
      </c>
      <c r="C1054" s="364"/>
      <c r="D1054" s="327">
        <f>IF($B1054="","",COUNTIF($B$6:$B1054,$B1054))</f>
        <v>3</v>
      </c>
      <c r="E1054" s="361">
        <v>500183</v>
      </c>
      <c r="F1054" s="362" t="s">
        <v>1142</v>
      </c>
      <c r="G1054" s="361" t="s">
        <v>329</v>
      </c>
      <c r="H1054" s="325"/>
      <c r="I1054" s="327">
        <v>4</v>
      </c>
      <c r="J1054" s="361" t="s">
        <v>1154</v>
      </c>
      <c r="K1054" s="327" t="s">
        <v>516</v>
      </c>
      <c r="L1054" s="348">
        <v>865740</v>
      </c>
      <c r="M1054" s="355"/>
      <c r="N1054" s="355" t="str">
        <f t="shared" si="118"/>
        <v>PR</v>
      </c>
      <c r="O1054" s="345" t="s">
        <v>19</v>
      </c>
      <c r="P1054" s="325"/>
      <c r="Q1054" s="351"/>
      <c r="R1054" s="351"/>
      <c r="S1054" s="618">
        <v>5.8</v>
      </c>
      <c r="T1054" s="619">
        <v>10.4864</v>
      </c>
      <c r="U1054" s="329">
        <f>IF($N1054=$N$4,IFERROR(INDEX(DanhMuc!$E$154:$E$165,MATCH(MID($B1054,4,2),DanhMuc!$B$154:$B$165,0)),""),"")</f>
        <v>5800</v>
      </c>
      <c r="V1054" s="325"/>
      <c r="W1054" s="352" t="str">
        <f>+IF(AND($A1054&lt;&gt;"",LEN($B1054)&gt;=8,COUNTIF($B$6:$B1054,$B1054)=1),$W$5,"")</f>
        <v/>
      </c>
      <c r="X1054" s="329" t="str">
        <f t="shared" si="112"/>
        <v>RH</v>
      </c>
      <c r="Y1054" s="1128" t="s">
        <v>3380</v>
      </c>
      <c r="Z1054" s="1128" t="s">
        <v>3381</v>
      </c>
      <c r="AA1054" s="1128" t="s">
        <v>3384</v>
      </c>
      <c r="AC1054" s="73"/>
    </row>
    <row r="1055" spans="1:29" s="20" customFormat="1">
      <c r="A1055" s="327" t="str">
        <f>IF(AND($B1055&lt;&gt;"",$C1055&lt;&gt;""),MAX($A$4:A1054)+1,"")</f>
        <v/>
      </c>
      <c r="B1055" s="361" t="s">
        <v>973</v>
      </c>
      <c r="C1055" s="364"/>
      <c r="D1055" s="327">
        <f>IF($B1055="","",COUNTIF($B$6:$B1055,$B1055))</f>
        <v>4</v>
      </c>
      <c r="E1055" s="361">
        <v>500183</v>
      </c>
      <c r="F1055" s="362" t="s">
        <v>1142</v>
      </c>
      <c r="G1055" s="361" t="s">
        <v>328</v>
      </c>
      <c r="H1055" s="325"/>
      <c r="I1055" s="327">
        <v>4</v>
      </c>
      <c r="J1055" s="361" t="s">
        <v>1145</v>
      </c>
      <c r="K1055" s="327" t="s">
        <v>516</v>
      </c>
      <c r="L1055" s="348">
        <v>865740</v>
      </c>
      <c r="M1055" s="355"/>
      <c r="N1055" s="355" t="str">
        <f t="shared" si="118"/>
        <v>PR</v>
      </c>
      <c r="O1055" s="345" t="s">
        <v>19</v>
      </c>
      <c r="P1055" s="325"/>
      <c r="Q1055" s="351"/>
      <c r="R1055" s="351"/>
      <c r="S1055" s="618">
        <v>5.8</v>
      </c>
      <c r="T1055" s="619">
        <v>10.4864</v>
      </c>
      <c r="U1055" s="329">
        <f>IF($N1055=$N$4,IFERROR(INDEX(DanhMuc!$E$154:$E$165,MATCH(MID($B1055,4,2),DanhMuc!$B$154:$B$165,0)),""),"")</f>
        <v>5800</v>
      </c>
      <c r="V1055" s="325"/>
      <c r="W1055" s="352" t="str">
        <f>+IF(AND($A1055&lt;&gt;"",LEN($B1055)&gt;=8,COUNTIF($B$6:$B1055,$B1055)=1),$W$5,"")</f>
        <v/>
      </c>
      <c r="X1055" s="329" t="str">
        <f t="shared" si="112"/>
        <v>RH</v>
      </c>
      <c r="Y1055" s="1128" t="s">
        <v>3380</v>
      </c>
      <c r="Z1055" s="1128" t="s">
        <v>3381</v>
      </c>
      <c r="AA1055" s="1128" t="s">
        <v>3384</v>
      </c>
      <c r="AC1055" s="73"/>
    </row>
    <row r="1056" spans="1:29" s="20" customFormat="1">
      <c r="A1056" s="327" t="str">
        <f>IF(AND($B1056&lt;&gt;"",$C1056&lt;&gt;""),MAX($A$4:A1055)+1,"")</f>
        <v/>
      </c>
      <c r="B1056" s="361" t="s">
        <v>973</v>
      </c>
      <c r="C1056" s="364"/>
      <c r="D1056" s="327">
        <f>IF($B1056="","",COUNTIF($B$6:$B1056,$B1056))</f>
        <v>5</v>
      </c>
      <c r="E1056" s="361">
        <v>500173</v>
      </c>
      <c r="F1056" s="362" t="s">
        <v>1143</v>
      </c>
      <c r="G1056" s="361" t="s">
        <v>328</v>
      </c>
      <c r="H1056" s="325"/>
      <c r="I1056" s="327">
        <v>4</v>
      </c>
      <c r="J1056" s="361" t="s">
        <v>1154</v>
      </c>
      <c r="K1056" s="327" t="s">
        <v>516</v>
      </c>
      <c r="L1056" s="348">
        <v>818580</v>
      </c>
      <c r="M1056" s="355"/>
      <c r="N1056" s="355" t="str">
        <f t="shared" si="118"/>
        <v>PR</v>
      </c>
      <c r="O1056" s="345" t="s">
        <v>16</v>
      </c>
      <c r="P1056" s="325"/>
      <c r="Q1056" s="351"/>
      <c r="R1056" s="351"/>
      <c r="S1056" s="618">
        <v>5.8</v>
      </c>
      <c r="T1056" s="619">
        <v>9.9238</v>
      </c>
      <c r="U1056" s="329">
        <f>IF($N1056=$N$4,IFERROR(INDEX(DanhMuc!$E$154:$E$165,MATCH(MID($B1056,4,2),DanhMuc!$B$154:$B$165,0)),""),"")</f>
        <v>5800</v>
      </c>
      <c r="V1056" s="325"/>
      <c r="W1056" s="352" t="str">
        <f>+IF(AND($A1056&lt;&gt;"",LEN($B1056)&gt;=8,COUNTIF($B$6:$B1056,$B1056)=1),$W$5,"")</f>
        <v/>
      </c>
      <c r="X1056" s="329" t="str">
        <f t="shared" si="112"/>
        <v>RH</v>
      </c>
      <c r="Y1056" s="1128" t="s">
        <v>3380</v>
      </c>
      <c r="Z1056" s="1128" t="s">
        <v>3381</v>
      </c>
      <c r="AA1056" s="1128" t="s">
        <v>3384</v>
      </c>
      <c r="AC1056" s="73"/>
    </row>
    <row r="1057" spans="1:29" s="20" customFormat="1">
      <c r="A1057" s="327" t="str">
        <f>IF(AND($B1057&lt;&gt;"",$C1057&lt;&gt;""),MAX($A$4:A1056)+1,"")</f>
        <v/>
      </c>
      <c r="B1057" s="361" t="s">
        <v>973</v>
      </c>
      <c r="C1057" s="364"/>
      <c r="D1057" s="327">
        <f>IF($B1057="","",COUNTIF($B$6:$B1057,$B1057))</f>
        <v>6</v>
      </c>
      <c r="E1057" s="361">
        <v>500173</v>
      </c>
      <c r="F1057" s="362" t="s">
        <v>1143</v>
      </c>
      <c r="G1057" s="361" t="s">
        <v>328</v>
      </c>
      <c r="H1057" s="325"/>
      <c r="I1057" s="327">
        <v>4</v>
      </c>
      <c r="J1057" s="361" t="s">
        <v>1145</v>
      </c>
      <c r="K1057" s="327" t="s">
        <v>516</v>
      </c>
      <c r="L1057" s="348">
        <v>818580</v>
      </c>
      <c r="M1057" s="355"/>
      <c r="N1057" s="355" t="str">
        <f t="shared" si="118"/>
        <v>PR</v>
      </c>
      <c r="O1057" s="345" t="s">
        <v>16</v>
      </c>
      <c r="P1057" s="325"/>
      <c r="Q1057" s="351"/>
      <c r="R1057" s="351"/>
      <c r="S1057" s="618">
        <v>5.8</v>
      </c>
      <c r="T1057" s="619">
        <v>9.9238</v>
      </c>
      <c r="U1057" s="329">
        <f>IF($N1057=$N$4,IFERROR(INDEX(DanhMuc!$E$154:$E$165,MATCH(MID($B1057,4,2),DanhMuc!$B$154:$B$165,0)),""),"")</f>
        <v>5800</v>
      </c>
      <c r="V1057" s="325"/>
      <c r="W1057" s="352" t="str">
        <f>+IF(AND($A1057&lt;&gt;"",LEN($B1057)&gt;=8,COUNTIF($B$6:$B1057,$B1057)=1),$W$5,"")</f>
        <v/>
      </c>
      <c r="X1057" s="329" t="str">
        <f t="shared" si="112"/>
        <v>RH</v>
      </c>
      <c r="Y1057" s="1128" t="s">
        <v>3380</v>
      </c>
      <c r="Z1057" s="1128" t="s">
        <v>3381</v>
      </c>
      <c r="AA1057" s="1128" t="s">
        <v>3384</v>
      </c>
      <c r="AC1057" s="73"/>
    </row>
    <row r="1058" spans="1:29" s="20" customFormat="1">
      <c r="A1058" s="327" t="str">
        <f>IF(AND($B1058&lt;&gt;"",$C1058&lt;&gt;""),MAX($A$4:A1057)+1,"")</f>
        <v/>
      </c>
      <c r="B1058" s="361" t="s">
        <v>973</v>
      </c>
      <c r="C1058" s="364"/>
      <c r="D1058" s="327">
        <f>IF($B1058="","",COUNTIF($B$6:$B1058,$B1058))</f>
        <v>7</v>
      </c>
      <c r="E1058" s="361" t="s">
        <v>899</v>
      </c>
      <c r="F1058" s="362" t="s">
        <v>898</v>
      </c>
      <c r="G1058" s="361" t="s">
        <v>329</v>
      </c>
      <c r="H1058" s="325"/>
      <c r="I1058" s="327">
        <v>4</v>
      </c>
      <c r="J1058" s="361" t="s">
        <v>1155</v>
      </c>
      <c r="K1058" s="327" t="s">
        <v>516</v>
      </c>
      <c r="L1058" s="348">
        <v>0</v>
      </c>
      <c r="M1058" s="355"/>
      <c r="N1058" s="355" t="str">
        <f t="shared" si="118"/>
        <v>PR</v>
      </c>
      <c r="O1058" s="347"/>
      <c r="P1058" s="325"/>
      <c r="Q1058" s="351"/>
      <c r="R1058" s="351"/>
      <c r="S1058" s="618"/>
      <c r="T1058" s="619"/>
      <c r="U1058" s="329">
        <f>IF($N1058=$N$4,IFERROR(INDEX(DanhMuc!$E$154:$E$165,MATCH(MID($B1058,4,2),DanhMuc!$B$154:$B$165,0)),""),"")</f>
        <v>5800</v>
      </c>
      <c r="V1058" s="325"/>
      <c r="W1058" s="352" t="str">
        <f>+IF(AND($A1058&lt;&gt;"",LEN($B1058)&gt;=8,COUNTIF($B$6:$B1058,$B1058)=1),$W$5,"")</f>
        <v/>
      </c>
      <c r="X1058" s="329" t="str">
        <f t="shared" si="112"/>
        <v>RH</v>
      </c>
      <c r="Y1058" s="1128" t="s">
        <v>3380</v>
      </c>
      <c r="Z1058" s="1128" t="s">
        <v>3381</v>
      </c>
      <c r="AA1058" s="1128" t="s">
        <v>3384</v>
      </c>
      <c r="AC1058" s="73"/>
    </row>
    <row r="1059" spans="1:29" s="20" customFormat="1">
      <c r="A1059" s="327" t="str">
        <f>IF(AND($B1059&lt;&gt;"",$C1059&lt;&gt;""),MAX($A$4:A1058)+1,"")</f>
        <v/>
      </c>
      <c r="B1059" s="361" t="s">
        <v>973</v>
      </c>
      <c r="C1059" s="364"/>
      <c r="D1059" s="327">
        <f>IF($B1059="","",COUNTIF($B$6:$B1059,$B1059))</f>
        <v>8</v>
      </c>
      <c r="E1059" s="361" t="s">
        <v>899</v>
      </c>
      <c r="F1059" s="362" t="s">
        <v>898</v>
      </c>
      <c r="G1059" s="361" t="s">
        <v>328</v>
      </c>
      <c r="H1059" s="325"/>
      <c r="I1059" s="327">
        <v>4</v>
      </c>
      <c r="J1059" s="361" t="s">
        <v>1147</v>
      </c>
      <c r="K1059" s="327" t="s">
        <v>516</v>
      </c>
      <c r="L1059" s="348">
        <v>0</v>
      </c>
      <c r="M1059" s="355"/>
      <c r="N1059" s="355" t="str">
        <f t="shared" si="118"/>
        <v>PR</v>
      </c>
      <c r="O1059" s="347"/>
      <c r="P1059" s="325"/>
      <c r="Q1059" s="351"/>
      <c r="R1059" s="351"/>
      <c r="S1059" s="618"/>
      <c r="T1059" s="619"/>
      <c r="U1059" s="329">
        <f>IF($N1059=$N$4,IFERROR(INDEX(DanhMuc!$E$154:$E$165,MATCH(MID($B1059,4,2),DanhMuc!$B$154:$B$165,0)),""),"")</f>
        <v>5800</v>
      </c>
      <c r="V1059" s="325"/>
      <c r="W1059" s="352" t="str">
        <f>+IF(AND($A1059&lt;&gt;"",LEN($B1059)&gt;=8,COUNTIF($B$6:$B1059,$B1059)=1),$W$5,"")</f>
        <v/>
      </c>
      <c r="X1059" s="329" t="str">
        <f t="shared" si="112"/>
        <v>RH</v>
      </c>
      <c r="Y1059" s="1128" t="s">
        <v>3380</v>
      </c>
      <c r="Z1059" s="1128" t="s">
        <v>3381</v>
      </c>
      <c r="AA1059" s="1128" t="s">
        <v>3384</v>
      </c>
      <c r="AC1059" s="73"/>
    </row>
    <row r="1060" spans="1:29" s="20" customFormat="1">
      <c r="A1060" s="327" t="str">
        <f>IF(AND($B1060&lt;&gt;"",$C1060&lt;&gt;""),MAX($A$4:A1059)+1,"")</f>
        <v/>
      </c>
      <c r="B1060" s="361" t="s">
        <v>973</v>
      </c>
      <c r="C1060" s="364"/>
      <c r="D1060" s="327">
        <f>IF($B1060="","",COUNTIF($B$6:$B1060,$B1060))</f>
        <v>9</v>
      </c>
      <c r="E1060" s="361">
        <v>554230</v>
      </c>
      <c r="F1060" s="362" t="s">
        <v>761</v>
      </c>
      <c r="G1060" s="361" t="s">
        <v>328</v>
      </c>
      <c r="H1060" s="325"/>
      <c r="I1060" s="327">
        <v>1</v>
      </c>
      <c r="J1060" s="361" t="s">
        <v>1156</v>
      </c>
      <c r="K1060" s="327" t="s">
        <v>531</v>
      </c>
      <c r="L1060" s="348">
        <v>793373</v>
      </c>
      <c r="M1060" s="355"/>
      <c r="N1060" s="355" t="str">
        <f t="shared" si="118"/>
        <v>PR</v>
      </c>
      <c r="O1060" s="347"/>
      <c r="P1060" s="325"/>
      <c r="Q1060" s="351"/>
      <c r="R1060" s="351"/>
      <c r="S1060" s="618">
        <v>6</v>
      </c>
      <c r="T1060" s="619">
        <v>5.484</v>
      </c>
      <c r="U1060" s="329">
        <f>IF($N1060=$N$4,IFERROR(INDEX(DanhMuc!$E$154:$E$165,MATCH(MID($B1060,4,2),DanhMuc!$B$154:$B$165,0)),""),"")</f>
        <v>5800</v>
      </c>
      <c r="V1060" s="325"/>
      <c r="W1060" s="352" t="str">
        <f>+IF(AND($A1060&lt;&gt;"",LEN($B1060)&gt;=8,COUNTIF($B$6:$B1060,$B1060)=1),$W$5,"")</f>
        <v/>
      </c>
      <c r="X1060" s="329" t="str">
        <f t="shared" si="112"/>
        <v>RH</v>
      </c>
      <c r="Y1060" s="1128" t="s">
        <v>3380</v>
      </c>
      <c r="Z1060" s="1128" t="s">
        <v>3381</v>
      </c>
      <c r="AA1060" s="1128" t="s">
        <v>3384</v>
      </c>
      <c r="AC1060" s="73"/>
    </row>
    <row r="1061" spans="1:29" s="20" customFormat="1">
      <c r="A1061" s="327" t="str">
        <f>IF(AND($B1061&lt;&gt;"",$C1061&lt;&gt;""),MAX($A$4:A1060)+1,"")</f>
        <v/>
      </c>
      <c r="B1061" s="361" t="s">
        <v>973</v>
      </c>
      <c r="C1061" s="364"/>
      <c r="D1061" s="327">
        <f>IF($B1061="","",COUNTIF($B$6:$B1061,$B1061))</f>
        <v>10</v>
      </c>
      <c r="E1061" s="361">
        <v>229184</v>
      </c>
      <c r="F1061" s="362" t="s">
        <v>1371</v>
      </c>
      <c r="G1061" s="361" t="s">
        <v>329</v>
      </c>
      <c r="H1061" s="325"/>
      <c r="I1061" s="327">
        <v>1</v>
      </c>
      <c r="J1061" s="361" t="s">
        <v>1148</v>
      </c>
      <c r="K1061" s="327" t="s">
        <v>531</v>
      </c>
      <c r="L1061" s="348">
        <v>556948</v>
      </c>
      <c r="M1061" s="355"/>
      <c r="N1061" s="355" t="str">
        <f t="shared" si="118"/>
        <v>PR</v>
      </c>
      <c r="O1061" s="347" t="s">
        <v>566</v>
      </c>
      <c r="P1061" s="325"/>
      <c r="Q1061" s="351"/>
      <c r="R1061" s="351"/>
      <c r="S1061" s="618">
        <v>5.8</v>
      </c>
      <c r="T1061" s="619">
        <v>3.1377999999999999</v>
      </c>
      <c r="U1061" s="329">
        <f>IF($N1061=$N$4,IFERROR(INDEX(DanhMuc!$E$154:$E$165,MATCH(MID($B1061,4,2),DanhMuc!$B$154:$B$165,0)),""),"")</f>
        <v>5800</v>
      </c>
      <c r="V1061" s="325"/>
      <c r="W1061" s="352" t="str">
        <f>+IF(AND($A1061&lt;&gt;"",LEN($B1061)&gt;=8,COUNTIF($B$6:$B1061,$B1061)=1),$W$5,"")</f>
        <v/>
      </c>
      <c r="X1061" s="329" t="str">
        <f t="shared" si="112"/>
        <v>RH</v>
      </c>
      <c r="Y1061" s="1128" t="s">
        <v>3380</v>
      </c>
      <c r="Z1061" s="1128" t="s">
        <v>3381</v>
      </c>
      <c r="AA1061" s="1128" t="s">
        <v>3384</v>
      </c>
      <c r="AC1061" s="73"/>
    </row>
    <row r="1062" spans="1:29" s="20" customFormat="1">
      <c r="A1062" s="327" t="str">
        <f>IF(AND($B1062&lt;&gt;"",$C1062&lt;&gt;""),MAX($A$4:A1061)+1,"")</f>
        <v/>
      </c>
      <c r="B1062" s="361" t="s">
        <v>973</v>
      </c>
      <c r="C1062" s="364"/>
      <c r="D1062" s="327">
        <f>IF($B1062="","",COUNTIF($B$6:$B1062,$B1062))</f>
        <v>11</v>
      </c>
      <c r="E1062" s="361">
        <v>221877</v>
      </c>
      <c r="F1062" s="362" t="s">
        <v>1446</v>
      </c>
      <c r="G1062" s="361" t="s">
        <v>329</v>
      </c>
      <c r="H1062" s="328" t="s">
        <v>536</v>
      </c>
      <c r="I1062" s="327">
        <v>1</v>
      </c>
      <c r="J1062" s="361" t="s">
        <v>1149</v>
      </c>
      <c r="K1062" s="327" t="s">
        <v>531</v>
      </c>
      <c r="L1062" s="348">
        <f t="shared" ref="L1062:L1065" si="119">+$K$1038*$T1062*$S1062</f>
        <v>315000</v>
      </c>
      <c r="M1062" s="355"/>
      <c r="N1062" s="355" t="str">
        <f t="shared" si="118"/>
        <v>PR</v>
      </c>
      <c r="O1062" s="345"/>
      <c r="P1062" s="325"/>
      <c r="Q1062" s="351"/>
      <c r="R1062" s="351"/>
      <c r="S1062" s="618">
        <v>6</v>
      </c>
      <c r="T1062" s="619">
        <f t="shared" ref="T1062:T1063" si="120">10.5/S1062</f>
        <v>1.75</v>
      </c>
      <c r="U1062" s="329">
        <f>IF($N1062=$N$4,IFERROR(INDEX(DanhMuc!$E$154:$E$165,MATCH(MID($B1062,4,2),DanhMuc!$B$154:$B$165,0)),""),"")</f>
        <v>5800</v>
      </c>
      <c r="V1062" s="325"/>
      <c r="W1062" s="352" t="str">
        <f>+IF(AND($A1062&lt;&gt;"",LEN($B1062)&gt;=8,COUNTIF($B$6:$B1062,$B1062)=1),$W$5,"")</f>
        <v/>
      </c>
      <c r="X1062" s="329" t="str">
        <f t="shared" si="112"/>
        <v>TRH</v>
      </c>
      <c r="Y1062" s="1128" t="s">
        <v>3380</v>
      </c>
      <c r="Z1062" s="1128" t="s">
        <v>3381</v>
      </c>
      <c r="AA1062" s="1128" t="s">
        <v>3384</v>
      </c>
      <c r="AC1062" s="73"/>
    </row>
    <row r="1063" spans="1:29" s="20" customFormat="1">
      <c r="A1063" s="327" t="str">
        <f>IF(AND($B1063&lt;&gt;"",$C1063&lt;&gt;""),MAX($A$4:A1062)+1,"")</f>
        <v/>
      </c>
      <c r="B1063" s="361" t="s">
        <v>973</v>
      </c>
      <c r="C1063" s="364"/>
      <c r="D1063" s="327">
        <f>IF($B1063="","",COUNTIF($B$6:$B1063,$B1063))</f>
        <v>12</v>
      </c>
      <c r="E1063" s="361">
        <v>221877</v>
      </c>
      <c r="F1063" s="362" t="s">
        <v>1446</v>
      </c>
      <c r="G1063" s="361" t="s">
        <v>328</v>
      </c>
      <c r="H1063" s="328" t="s">
        <v>536</v>
      </c>
      <c r="I1063" s="327">
        <v>2</v>
      </c>
      <c r="J1063" s="361" t="s">
        <v>1150</v>
      </c>
      <c r="K1063" s="327" t="s">
        <v>531</v>
      </c>
      <c r="L1063" s="348">
        <f t="shared" si="119"/>
        <v>315000</v>
      </c>
      <c r="M1063" s="355"/>
      <c r="N1063" s="355" t="str">
        <f t="shared" si="118"/>
        <v>PR</v>
      </c>
      <c r="O1063" s="345"/>
      <c r="P1063" s="325"/>
      <c r="Q1063" s="351"/>
      <c r="R1063" s="351"/>
      <c r="S1063" s="618">
        <v>6</v>
      </c>
      <c r="T1063" s="619">
        <f t="shared" si="120"/>
        <v>1.75</v>
      </c>
      <c r="U1063" s="329">
        <f>IF($N1063=$N$4,IFERROR(INDEX(DanhMuc!$E$154:$E$165,MATCH(MID($B1063,4,2),DanhMuc!$B$154:$B$165,0)),""),"")</f>
        <v>5800</v>
      </c>
      <c r="V1063" s="325"/>
      <c r="W1063" s="352" t="str">
        <f>+IF(AND($A1063&lt;&gt;"",LEN($B1063)&gt;=8,COUNTIF($B$6:$B1063,$B1063)=1),$W$5,"")</f>
        <v/>
      </c>
      <c r="X1063" s="329" t="str">
        <f t="shared" si="112"/>
        <v>TRH</v>
      </c>
      <c r="Y1063" s="1128" t="s">
        <v>3380</v>
      </c>
      <c r="Z1063" s="1128" t="s">
        <v>3381</v>
      </c>
      <c r="AA1063" s="1128" t="s">
        <v>3384</v>
      </c>
      <c r="AC1063" s="73"/>
    </row>
    <row r="1064" spans="1:29" s="20" customFormat="1">
      <c r="A1064" s="327" t="str">
        <f>IF(AND($B1064&lt;&gt;"",$C1064&lt;&gt;""),MAX($A$4:A1063)+1,"")</f>
        <v/>
      </c>
      <c r="B1064" s="361" t="s">
        <v>973</v>
      </c>
      <c r="C1064" s="364"/>
      <c r="D1064" s="327">
        <f>IF($B1064="","",COUNTIF($B$6:$B1064,$B1064))</f>
        <v>13</v>
      </c>
      <c r="E1064" s="361">
        <v>221871</v>
      </c>
      <c r="F1064" s="362" t="s">
        <v>613</v>
      </c>
      <c r="G1064" s="361" t="s">
        <v>329</v>
      </c>
      <c r="H1064" s="328" t="s">
        <v>536</v>
      </c>
      <c r="I1064" s="327">
        <v>4</v>
      </c>
      <c r="J1064" s="361" t="s">
        <v>1157</v>
      </c>
      <c r="K1064" s="327" t="s">
        <v>531</v>
      </c>
      <c r="L1064" s="348">
        <f t="shared" si="119"/>
        <v>372000.00000000006</v>
      </c>
      <c r="M1064" s="355"/>
      <c r="N1064" s="355" t="str">
        <f t="shared" si="118"/>
        <v>PR</v>
      </c>
      <c r="O1064" s="345"/>
      <c r="P1064" s="325"/>
      <c r="Q1064" s="351"/>
      <c r="R1064" s="351"/>
      <c r="S1064" s="618">
        <v>6</v>
      </c>
      <c r="T1064" s="619">
        <f t="shared" ref="T1064:T1065" si="121">12.4/S1064</f>
        <v>2.0666666666666669</v>
      </c>
      <c r="U1064" s="329">
        <f>IF($N1064=$N$4,IFERROR(INDEX(DanhMuc!$E$154:$E$165,MATCH(MID($B1064,4,2),DanhMuc!$B$154:$B$165,0)),""),"")</f>
        <v>5800</v>
      </c>
      <c r="V1064" s="325"/>
      <c r="W1064" s="352" t="str">
        <f>+IF(AND($A1064&lt;&gt;"",LEN($B1064)&gt;=8,COUNTIF($B$6:$B1064,$B1064)=1),$W$5,"")</f>
        <v/>
      </c>
      <c r="X1064" s="329" t="str">
        <f t="shared" si="112"/>
        <v>TRH</v>
      </c>
      <c r="Y1064" s="1128" t="s">
        <v>3380</v>
      </c>
      <c r="Z1064" s="1128" t="s">
        <v>3381</v>
      </c>
      <c r="AA1064" s="1128" t="s">
        <v>3384</v>
      </c>
      <c r="AC1064" s="73"/>
    </row>
    <row r="1065" spans="1:29" s="20" customFormat="1">
      <c r="A1065" s="327" t="str">
        <f>IF(AND($B1065&lt;&gt;"",$C1065&lt;&gt;""),MAX($A$4:A1064)+1,"")</f>
        <v/>
      </c>
      <c r="B1065" s="361" t="s">
        <v>973</v>
      </c>
      <c r="C1065" s="364"/>
      <c r="D1065" s="327">
        <f>IF($B1065="","",COUNTIF($B$6:$B1065,$B1065))</f>
        <v>14</v>
      </c>
      <c r="E1065" s="361">
        <v>221871</v>
      </c>
      <c r="F1065" s="362" t="s">
        <v>613</v>
      </c>
      <c r="G1065" s="361" t="s">
        <v>328</v>
      </c>
      <c r="H1065" s="328" t="s">
        <v>536</v>
      </c>
      <c r="I1065" s="327">
        <v>4</v>
      </c>
      <c r="J1065" s="361" t="s">
        <v>1152</v>
      </c>
      <c r="K1065" s="327" t="s">
        <v>531</v>
      </c>
      <c r="L1065" s="348">
        <f t="shared" si="119"/>
        <v>372000.00000000006</v>
      </c>
      <c r="M1065" s="355"/>
      <c r="N1065" s="355" t="str">
        <f t="shared" si="118"/>
        <v>PR</v>
      </c>
      <c r="O1065" s="345"/>
      <c r="P1065" s="325"/>
      <c r="Q1065" s="351"/>
      <c r="R1065" s="351"/>
      <c r="S1065" s="618">
        <v>6</v>
      </c>
      <c r="T1065" s="619">
        <f t="shared" si="121"/>
        <v>2.0666666666666669</v>
      </c>
      <c r="U1065" s="329">
        <f>IF($N1065=$N$4,IFERROR(INDEX(DanhMuc!$E$154:$E$165,MATCH(MID($B1065,4,2),DanhMuc!$B$154:$B$165,0)),""),"")</f>
        <v>5800</v>
      </c>
      <c r="V1065" s="325"/>
      <c r="W1065" s="352" t="str">
        <f>+IF(AND($A1065&lt;&gt;"",LEN($B1065)&gt;=8,COUNTIF($B$6:$B1065,$B1065)=1),$W$5,"")</f>
        <v/>
      </c>
      <c r="X1065" s="329" t="str">
        <f t="shared" si="112"/>
        <v>TRH</v>
      </c>
      <c r="Y1065" s="1128" t="s">
        <v>3380</v>
      </c>
      <c r="Z1065" s="1128" t="s">
        <v>3381</v>
      </c>
      <c r="AA1065" s="1128" t="s">
        <v>3384</v>
      </c>
      <c r="AC1065" s="73"/>
    </row>
    <row r="1066" spans="1:29" s="20" customFormat="1" ht="26">
      <c r="A1066" s="327">
        <f>IF(AND($B1066&lt;&gt;"",$C1066&lt;&gt;""),MAX($A$4:A1049)+1,"")</f>
        <v>81</v>
      </c>
      <c r="B1066" s="359" t="s">
        <v>1958</v>
      </c>
      <c r="C1066" s="370" t="s">
        <v>1957</v>
      </c>
      <c r="D1066" s="327">
        <f>IF($B1066="","",COUNTIF($B$6:$B1066,$B1066))</f>
        <v>1</v>
      </c>
      <c r="E1066" s="363">
        <v>500373</v>
      </c>
      <c r="F1066" s="362" t="s">
        <v>1140</v>
      </c>
      <c r="G1066" s="361" t="s">
        <v>329</v>
      </c>
      <c r="H1066" s="325"/>
      <c r="I1066" s="327">
        <v>1</v>
      </c>
      <c r="J1066" s="361" t="s">
        <v>762</v>
      </c>
      <c r="K1066" s="327" t="s">
        <v>516</v>
      </c>
      <c r="L1066" s="348">
        <v>613654</v>
      </c>
      <c r="M1066" s="355"/>
      <c r="N1066" s="355" t="str">
        <f t="shared" si="118"/>
        <v>PR</v>
      </c>
      <c r="O1066" s="345"/>
      <c r="P1066" s="325"/>
      <c r="Q1066" s="351"/>
      <c r="R1066" s="351"/>
      <c r="S1066" s="618">
        <v>5.8</v>
      </c>
      <c r="T1066" s="619">
        <v>7.9923999999999999</v>
      </c>
      <c r="U1066" s="329">
        <f>IF($N1066=$N$4,IFERROR(INDEX(DanhMuc!$E$154:$E$165,MATCH(MID($B1066,4,2),DanhMuc!$B$154:$B$165,0)),""),"")</f>
        <v>5800</v>
      </c>
      <c r="V1066" s="325"/>
      <c r="W1066" s="352" t="str">
        <f>+IF(AND($A1066&lt;&gt;"",LEN($B1066)&gt;=8,COUNTIF($B$6:$B1066,$B1066)=1),$W$5,"")</f>
        <v>DMCua</v>
      </c>
      <c r="X1066" s="329" t="str">
        <f t="shared" si="112"/>
        <v>RH</v>
      </c>
      <c r="Y1066" s="1128" t="s">
        <v>3380</v>
      </c>
      <c r="Z1066" s="1128" t="s">
        <v>3381</v>
      </c>
      <c r="AA1066" s="1128" t="s">
        <v>3384</v>
      </c>
      <c r="AC1066" s="73"/>
    </row>
    <row r="1067" spans="1:29" s="20" customFormat="1">
      <c r="A1067" s="327" t="str">
        <f>IF(AND($B1067&lt;&gt;"",$C1067&lt;&gt;""),MAX($A$4:A1066)+1,"")</f>
        <v/>
      </c>
      <c r="B1067" s="361" t="s">
        <v>1958</v>
      </c>
      <c r="C1067" s="364"/>
      <c r="D1067" s="327">
        <f>IF($B1067="","",COUNTIF($B$6:$B1067,$B1067))</f>
        <v>2</v>
      </c>
      <c r="E1067" s="363">
        <v>500373</v>
      </c>
      <c r="F1067" s="362" t="s">
        <v>1140</v>
      </c>
      <c r="G1067" s="361" t="s">
        <v>328</v>
      </c>
      <c r="H1067" s="325"/>
      <c r="I1067" s="327">
        <v>2</v>
      </c>
      <c r="J1067" s="361" t="s">
        <v>814</v>
      </c>
      <c r="K1067" s="327" t="s">
        <v>1141</v>
      </c>
      <c r="L1067" s="348">
        <v>613654</v>
      </c>
      <c r="M1067" s="355"/>
      <c r="N1067" s="355" t="str">
        <f t="shared" si="118"/>
        <v>PR</v>
      </c>
      <c r="O1067" s="347"/>
      <c r="P1067" s="325"/>
      <c r="Q1067" s="351"/>
      <c r="R1067" s="351"/>
      <c r="S1067" s="618">
        <v>5.8</v>
      </c>
      <c r="T1067" s="619">
        <v>7.9923999999999999</v>
      </c>
      <c r="U1067" s="329">
        <f>IF($N1067=$N$4,IFERROR(INDEX(DanhMuc!$E$154:$E$165,MATCH(MID($B1067,4,2),DanhMuc!$B$154:$B$165,0)),""),"")</f>
        <v>5800</v>
      </c>
      <c r="V1067" s="325"/>
      <c r="W1067" s="352" t="str">
        <f>+IF(AND($A1067&lt;&gt;"",LEN($B1067)&gt;=8,COUNTIF($B$6:$B1067,$B1067)=1),$W$5,"")</f>
        <v/>
      </c>
      <c r="X1067" s="329" t="str">
        <f t="shared" si="112"/>
        <v>RH</v>
      </c>
      <c r="Y1067" s="1128" t="s">
        <v>3380</v>
      </c>
      <c r="Z1067" s="1128" t="s">
        <v>3381</v>
      </c>
      <c r="AA1067" s="1128" t="s">
        <v>3384</v>
      </c>
      <c r="AC1067" s="73"/>
    </row>
    <row r="1068" spans="1:29" s="20" customFormat="1">
      <c r="A1068" s="327" t="str">
        <f>IF(AND($B1068&lt;&gt;"",$C1068&lt;&gt;""),MAX($A$4:A1067)+1,"")</f>
        <v/>
      </c>
      <c r="B1068" s="361" t="s">
        <v>1958</v>
      </c>
      <c r="C1068" s="364"/>
      <c r="D1068" s="327">
        <f>IF($B1068="","",COUNTIF($B$6:$B1068,$B1068))</f>
        <v>3</v>
      </c>
      <c r="E1068" s="361">
        <v>500183</v>
      </c>
      <c r="F1068" s="362" t="s">
        <v>1142</v>
      </c>
      <c r="G1068" s="361" t="s">
        <v>329</v>
      </c>
      <c r="H1068" s="325"/>
      <c r="I1068" s="327">
        <v>6</v>
      </c>
      <c r="J1068" s="361" t="s">
        <v>1959</v>
      </c>
      <c r="K1068" s="327" t="s">
        <v>516</v>
      </c>
      <c r="L1068" s="348">
        <v>865740</v>
      </c>
      <c r="M1068" s="355"/>
      <c r="N1068" s="355" t="str">
        <f t="shared" si="118"/>
        <v>PR</v>
      </c>
      <c r="O1068" s="345" t="s">
        <v>19</v>
      </c>
      <c r="P1068" s="325"/>
      <c r="Q1068" s="351"/>
      <c r="R1068" s="351"/>
      <c r="S1068" s="618">
        <v>5.8</v>
      </c>
      <c r="T1068" s="619">
        <v>10.4864</v>
      </c>
      <c r="U1068" s="329">
        <f>IF($N1068=$N$4,IFERROR(INDEX(DanhMuc!$E$154:$E$165,MATCH(MID($B1068,4,2),DanhMuc!$B$154:$B$165,0)),""),"")</f>
        <v>5800</v>
      </c>
      <c r="V1068" s="325"/>
      <c r="W1068" s="352" t="str">
        <f>+IF(AND($A1068&lt;&gt;"",LEN($B1068)&gt;=8,COUNTIF($B$6:$B1068,$B1068)=1),$W$5,"")</f>
        <v/>
      </c>
      <c r="X1068" s="329" t="str">
        <f t="shared" si="112"/>
        <v>RH</v>
      </c>
      <c r="Y1068" s="1128" t="s">
        <v>3380</v>
      </c>
      <c r="Z1068" s="1128" t="s">
        <v>3381</v>
      </c>
      <c r="AA1068" s="1128" t="s">
        <v>3384</v>
      </c>
      <c r="AC1068" s="73"/>
    </row>
    <row r="1069" spans="1:29" s="20" customFormat="1">
      <c r="A1069" s="327" t="str">
        <f>IF(AND($B1069&lt;&gt;"",$C1069&lt;&gt;""),MAX($A$4:A1068)+1,"")</f>
        <v/>
      </c>
      <c r="B1069" s="361" t="s">
        <v>1958</v>
      </c>
      <c r="C1069" s="364"/>
      <c r="D1069" s="327">
        <f>IF($B1069="","",COUNTIF($B$6:$B1069,$B1069))</f>
        <v>4</v>
      </c>
      <c r="E1069" s="361">
        <v>500183</v>
      </c>
      <c r="F1069" s="362" t="s">
        <v>1142</v>
      </c>
      <c r="G1069" s="361" t="s">
        <v>328</v>
      </c>
      <c r="H1069" s="325"/>
      <c r="I1069" s="327">
        <v>5</v>
      </c>
      <c r="J1069" s="361" t="s">
        <v>1145</v>
      </c>
      <c r="K1069" s="327" t="s">
        <v>516</v>
      </c>
      <c r="L1069" s="348">
        <v>865740</v>
      </c>
      <c r="M1069" s="355"/>
      <c r="N1069" s="355" t="str">
        <f t="shared" si="118"/>
        <v>PR</v>
      </c>
      <c r="O1069" s="345" t="s">
        <v>19</v>
      </c>
      <c r="P1069" s="325"/>
      <c r="Q1069" s="351"/>
      <c r="R1069" s="351"/>
      <c r="S1069" s="618">
        <v>5.8</v>
      </c>
      <c r="T1069" s="619">
        <v>10.4864</v>
      </c>
      <c r="U1069" s="329">
        <f>IF($N1069=$N$4,IFERROR(INDEX(DanhMuc!$E$154:$E$165,MATCH(MID($B1069,4,2),DanhMuc!$B$154:$B$165,0)),""),"")</f>
        <v>5800</v>
      </c>
      <c r="V1069" s="325"/>
      <c r="W1069" s="352" t="str">
        <f>+IF(AND($A1069&lt;&gt;"",LEN($B1069)&gt;=8,COUNTIF($B$6:$B1069,$B1069)=1),$W$5,"")</f>
        <v/>
      </c>
      <c r="X1069" s="329" t="str">
        <f t="shared" si="112"/>
        <v>RH</v>
      </c>
      <c r="Y1069" s="1128" t="s">
        <v>3380</v>
      </c>
      <c r="Z1069" s="1128" t="s">
        <v>3381</v>
      </c>
      <c r="AA1069" s="1128" t="s">
        <v>3384</v>
      </c>
      <c r="AC1069" s="73"/>
    </row>
    <row r="1070" spans="1:29" s="20" customFormat="1">
      <c r="A1070" s="327" t="str">
        <f>IF(AND($B1070&lt;&gt;"",$C1070&lt;&gt;""),MAX($A$4:A1069)+1,"")</f>
        <v/>
      </c>
      <c r="B1070" s="361" t="s">
        <v>1958</v>
      </c>
      <c r="C1070" s="364"/>
      <c r="D1070" s="327">
        <f>IF($B1070="","",COUNTIF($B$6:$B1070,$B1070))</f>
        <v>5</v>
      </c>
      <c r="E1070" s="361">
        <v>500173</v>
      </c>
      <c r="F1070" s="362" t="s">
        <v>1143</v>
      </c>
      <c r="G1070" s="361" t="s">
        <v>328</v>
      </c>
      <c r="H1070" s="325"/>
      <c r="I1070" s="327">
        <v>1</v>
      </c>
      <c r="J1070" s="361" t="s">
        <v>1145</v>
      </c>
      <c r="K1070" s="327" t="s">
        <v>516</v>
      </c>
      <c r="L1070" s="348">
        <v>818580</v>
      </c>
      <c r="M1070" s="355"/>
      <c r="N1070" s="355" t="str">
        <f t="shared" si="118"/>
        <v>PR</v>
      </c>
      <c r="O1070" s="345" t="s">
        <v>19</v>
      </c>
      <c r="P1070" s="325"/>
      <c r="Q1070" s="351"/>
      <c r="R1070" s="351"/>
      <c r="S1070" s="618">
        <v>5.8</v>
      </c>
      <c r="T1070" s="619">
        <v>9.9238</v>
      </c>
      <c r="U1070" s="329">
        <f>IF($N1070=$N$4,IFERROR(INDEX(DanhMuc!$E$154:$E$165,MATCH(MID($B1070,4,2),DanhMuc!$B$154:$B$165,0)),""),"")</f>
        <v>5800</v>
      </c>
      <c r="V1070" s="325"/>
      <c r="W1070" s="352" t="str">
        <f>+IF(AND($A1070&lt;&gt;"",LEN($B1070)&gt;=8,COUNTIF($B$6:$B1070,$B1070)=1),$W$5,"")</f>
        <v/>
      </c>
      <c r="X1070" s="329" t="str">
        <f t="shared" si="112"/>
        <v>RH</v>
      </c>
      <c r="Y1070" s="1128" t="s">
        <v>3380</v>
      </c>
      <c r="Z1070" s="1128" t="s">
        <v>3381</v>
      </c>
      <c r="AA1070" s="1128" t="s">
        <v>3384</v>
      </c>
      <c r="AC1070" s="73"/>
    </row>
    <row r="1071" spans="1:29" s="20" customFormat="1">
      <c r="A1071" s="327" t="str">
        <f>IF(AND($B1071&lt;&gt;"",$C1071&lt;&gt;""),MAX($A$4:A1070)+1,"")</f>
        <v/>
      </c>
      <c r="B1071" s="361" t="s">
        <v>1958</v>
      </c>
      <c r="C1071" s="364"/>
      <c r="D1071" s="327">
        <f>IF($B1071="","",COUNTIF($B$6:$B1071,$B1071))</f>
        <v>6</v>
      </c>
      <c r="E1071" s="361">
        <v>500173</v>
      </c>
      <c r="F1071" s="362" t="s">
        <v>1143</v>
      </c>
      <c r="G1071" s="361" t="s">
        <v>329</v>
      </c>
      <c r="H1071" s="325"/>
      <c r="I1071" s="327">
        <v>6</v>
      </c>
      <c r="J1071" s="361" t="s">
        <v>1959</v>
      </c>
      <c r="K1071" s="327" t="s">
        <v>516</v>
      </c>
      <c r="L1071" s="348">
        <v>818580</v>
      </c>
      <c r="M1071" s="355"/>
      <c r="N1071" s="355" t="str">
        <f t="shared" si="118"/>
        <v>PR</v>
      </c>
      <c r="O1071" s="345" t="s">
        <v>16</v>
      </c>
      <c r="P1071" s="325"/>
      <c r="Q1071" s="351"/>
      <c r="R1071" s="351"/>
      <c r="S1071" s="618">
        <v>5.8</v>
      </c>
      <c r="T1071" s="619">
        <v>9.9238</v>
      </c>
      <c r="U1071" s="329">
        <f>IF($N1071=$N$4,IFERROR(INDEX(DanhMuc!$E$154:$E$165,MATCH(MID($B1071,4,2),DanhMuc!$B$154:$B$165,0)),""),"")</f>
        <v>5800</v>
      </c>
      <c r="V1071" s="325"/>
      <c r="W1071" s="352" t="str">
        <f>+IF(AND($A1071&lt;&gt;"",LEN($B1071)&gt;=8,COUNTIF($B$6:$B1071,$B1071)=1),$W$5,"")</f>
        <v/>
      </c>
      <c r="X1071" s="329" t="str">
        <f t="shared" si="112"/>
        <v>RH</v>
      </c>
      <c r="Y1071" s="1128" t="s">
        <v>3380</v>
      </c>
      <c r="Z1071" s="1128" t="s">
        <v>3381</v>
      </c>
      <c r="AA1071" s="1128" t="s">
        <v>3384</v>
      </c>
      <c r="AC1071" s="73"/>
    </row>
    <row r="1072" spans="1:29" s="20" customFormat="1">
      <c r="A1072" s="327" t="str">
        <f>IF(AND($B1072&lt;&gt;"",$C1072&lt;&gt;""),MAX($A$4:A1071)+1,"")</f>
        <v/>
      </c>
      <c r="B1072" s="361" t="s">
        <v>1958</v>
      </c>
      <c r="C1072" s="364"/>
      <c r="D1072" s="327">
        <f>IF($B1072="","",COUNTIF($B$6:$B1072,$B1072))</f>
        <v>7</v>
      </c>
      <c r="E1072" s="361">
        <v>500173</v>
      </c>
      <c r="F1072" s="362" t="s">
        <v>1143</v>
      </c>
      <c r="G1072" s="361" t="s">
        <v>328</v>
      </c>
      <c r="H1072" s="325"/>
      <c r="I1072" s="327">
        <v>5</v>
      </c>
      <c r="J1072" s="361" t="s">
        <v>1145</v>
      </c>
      <c r="K1072" s="327" t="s">
        <v>516</v>
      </c>
      <c r="L1072" s="348">
        <v>818580</v>
      </c>
      <c r="M1072" s="355"/>
      <c r="N1072" s="355" t="str">
        <f t="shared" si="118"/>
        <v>PR</v>
      </c>
      <c r="O1072" s="345" t="s">
        <v>16</v>
      </c>
      <c r="P1072" s="325"/>
      <c r="Q1072" s="351"/>
      <c r="R1072" s="351"/>
      <c r="S1072" s="618">
        <v>5.8</v>
      </c>
      <c r="T1072" s="619">
        <v>9.9238</v>
      </c>
      <c r="U1072" s="329">
        <f>IF($N1072=$N$4,IFERROR(INDEX(DanhMuc!$E$154:$E$165,MATCH(MID($B1072,4,2),DanhMuc!$B$154:$B$165,0)),""),"")</f>
        <v>5800</v>
      </c>
      <c r="V1072" s="325"/>
      <c r="W1072" s="352" t="str">
        <f>+IF(AND($A1072&lt;&gt;"",LEN($B1072)&gt;=8,COUNTIF($B$6:$B1072,$B1072)=1),$W$5,"")</f>
        <v/>
      </c>
      <c r="X1072" s="329" t="str">
        <f t="shared" si="112"/>
        <v>RH</v>
      </c>
      <c r="Y1072" s="1128" t="s">
        <v>3380</v>
      </c>
      <c r="Z1072" s="1128" t="s">
        <v>3381</v>
      </c>
      <c r="AA1072" s="1128" t="s">
        <v>3384</v>
      </c>
      <c r="AC1072" s="73"/>
    </row>
    <row r="1073" spans="1:29" s="20" customFormat="1">
      <c r="A1073" s="327" t="str">
        <f>IF(AND($B1073&lt;&gt;"",$C1073&lt;&gt;""),MAX($A$4:A1072)+1,"")</f>
        <v/>
      </c>
      <c r="B1073" s="361" t="s">
        <v>1958</v>
      </c>
      <c r="C1073" s="364"/>
      <c r="D1073" s="327">
        <f>IF($B1073="","",COUNTIF($B$6:$B1073,$B1073))</f>
        <v>8</v>
      </c>
      <c r="E1073" s="361">
        <v>500183</v>
      </c>
      <c r="F1073" s="362" t="s">
        <v>1142</v>
      </c>
      <c r="G1073" s="361" t="s">
        <v>328</v>
      </c>
      <c r="H1073" s="325"/>
      <c r="I1073" s="327">
        <v>1</v>
      </c>
      <c r="J1073" s="361" t="s">
        <v>1145</v>
      </c>
      <c r="K1073" s="327" t="s">
        <v>516</v>
      </c>
      <c r="L1073" s="348">
        <v>865740</v>
      </c>
      <c r="M1073" s="355"/>
      <c r="N1073" s="355" t="str">
        <f t="shared" si="118"/>
        <v>PR</v>
      </c>
      <c r="O1073" s="345" t="s">
        <v>16</v>
      </c>
      <c r="P1073" s="325"/>
      <c r="Q1073" s="351"/>
      <c r="R1073" s="351"/>
      <c r="S1073" s="618">
        <v>5.8</v>
      </c>
      <c r="T1073" s="619">
        <v>10.4864</v>
      </c>
      <c r="U1073" s="329">
        <f>IF($N1073=$N$4,IFERROR(INDEX(DanhMuc!$E$154:$E$165,MATCH(MID($B1073,4,2),DanhMuc!$B$154:$B$165,0)),""),"")</f>
        <v>5800</v>
      </c>
      <c r="V1073" s="325"/>
      <c r="W1073" s="352" t="str">
        <f>+IF(AND($A1073&lt;&gt;"",LEN($B1073)&gt;=8,COUNTIF($B$6:$B1073,$B1073)=1),$W$5,"")</f>
        <v/>
      </c>
      <c r="X1073" s="329" t="str">
        <f t="shared" si="112"/>
        <v>RH</v>
      </c>
      <c r="Y1073" s="1128" t="s">
        <v>3380</v>
      </c>
      <c r="Z1073" s="1128" t="s">
        <v>3381</v>
      </c>
      <c r="AA1073" s="1128" t="s">
        <v>3384</v>
      </c>
      <c r="AC1073" s="73"/>
    </row>
    <row r="1074" spans="1:29" s="20" customFormat="1">
      <c r="A1074" s="327" t="str">
        <f>IF(AND($B1074&lt;&gt;"",$C1074&lt;&gt;""),MAX($A$4:A1073)+1,"")</f>
        <v/>
      </c>
      <c r="B1074" s="361" t="s">
        <v>1958</v>
      </c>
      <c r="C1074" s="364"/>
      <c r="D1074" s="327">
        <f>IF($B1074="","",COUNTIF($B$6:$B1074,$B1074))</f>
        <v>9</v>
      </c>
      <c r="E1074" s="361" t="s">
        <v>899</v>
      </c>
      <c r="F1074" s="362" t="s">
        <v>898</v>
      </c>
      <c r="G1074" s="361" t="s">
        <v>329</v>
      </c>
      <c r="H1074" s="325"/>
      <c r="I1074" s="327">
        <v>6</v>
      </c>
      <c r="J1074" s="361" t="s">
        <v>1960</v>
      </c>
      <c r="K1074" s="327" t="s">
        <v>516</v>
      </c>
      <c r="L1074" s="348">
        <v>0</v>
      </c>
      <c r="M1074" s="355"/>
      <c r="N1074" s="355" t="str">
        <f t="shared" si="118"/>
        <v>PR</v>
      </c>
      <c r="O1074" s="347"/>
      <c r="P1074" s="325"/>
      <c r="Q1074" s="351"/>
      <c r="R1074" s="351"/>
      <c r="S1074" s="618"/>
      <c r="T1074" s="619"/>
      <c r="U1074" s="329">
        <f>IF($N1074=$N$4,IFERROR(INDEX(DanhMuc!$E$154:$E$165,MATCH(MID($B1074,4,2),DanhMuc!$B$154:$B$165,0)),""),"")</f>
        <v>5800</v>
      </c>
      <c r="V1074" s="325"/>
      <c r="W1074" s="352" t="str">
        <f>+IF(AND($A1074&lt;&gt;"",LEN($B1074)&gt;=8,COUNTIF($B$6:$B1074,$B1074)=1),$W$5,"")</f>
        <v/>
      </c>
      <c r="X1074" s="329" t="str">
        <f t="shared" si="112"/>
        <v>RH</v>
      </c>
      <c r="Y1074" s="1128" t="s">
        <v>3380</v>
      </c>
      <c r="Z1074" s="1128" t="s">
        <v>3381</v>
      </c>
      <c r="AA1074" s="1128" t="s">
        <v>3384</v>
      </c>
      <c r="AC1074" s="73"/>
    </row>
    <row r="1075" spans="1:29" s="20" customFormat="1">
      <c r="A1075" s="327" t="str">
        <f>IF(AND($B1075&lt;&gt;"",$C1075&lt;&gt;""),MAX($A$4:A1074)+1,"")</f>
        <v/>
      </c>
      <c r="B1075" s="361" t="s">
        <v>1958</v>
      </c>
      <c r="C1075" s="364"/>
      <c r="D1075" s="327">
        <f>IF($B1075="","",COUNTIF($B$6:$B1075,$B1075))</f>
        <v>10</v>
      </c>
      <c r="E1075" s="361" t="s">
        <v>899</v>
      </c>
      <c r="F1075" s="362" t="s">
        <v>898</v>
      </c>
      <c r="G1075" s="361" t="s">
        <v>328</v>
      </c>
      <c r="H1075" s="325"/>
      <c r="I1075" s="327">
        <v>6</v>
      </c>
      <c r="J1075" s="361" t="s">
        <v>1147</v>
      </c>
      <c r="K1075" s="327" t="s">
        <v>516</v>
      </c>
      <c r="L1075" s="348">
        <v>0</v>
      </c>
      <c r="M1075" s="355"/>
      <c r="N1075" s="355" t="str">
        <f t="shared" si="118"/>
        <v>PR</v>
      </c>
      <c r="O1075" s="347"/>
      <c r="P1075" s="325"/>
      <c r="Q1075" s="351"/>
      <c r="R1075" s="351"/>
      <c r="S1075" s="618"/>
      <c r="T1075" s="619"/>
      <c r="U1075" s="329">
        <f>IF($N1075=$N$4,IFERROR(INDEX(DanhMuc!$E$154:$E$165,MATCH(MID($B1075,4,2),DanhMuc!$B$154:$B$165,0)),""),"")</f>
        <v>5800</v>
      </c>
      <c r="V1075" s="325"/>
      <c r="W1075" s="352" t="str">
        <f>+IF(AND($A1075&lt;&gt;"",LEN($B1075)&gt;=8,COUNTIF($B$6:$B1075,$B1075)=1),$W$5,"")</f>
        <v/>
      </c>
      <c r="X1075" s="329" t="str">
        <f t="shared" si="112"/>
        <v>RH</v>
      </c>
      <c r="Y1075" s="1128" t="s">
        <v>3380</v>
      </c>
      <c r="Z1075" s="1128" t="s">
        <v>3381</v>
      </c>
      <c r="AA1075" s="1128" t="s">
        <v>3384</v>
      </c>
      <c r="AC1075" s="73"/>
    </row>
    <row r="1076" spans="1:29" s="20" customFormat="1">
      <c r="A1076" s="327" t="str">
        <f>IF(AND($B1076&lt;&gt;"",$C1076&lt;&gt;""),MAX($A$4:A1075)+1,"")</f>
        <v/>
      </c>
      <c r="B1076" s="361" t="s">
        <v>1958</v>
      </c>
      <c r="C1076" s="364"/>
      <c r="D1076" s="327">
        <f>IF($B1076="","",COUNTIF($B$6:$B1076,$B1076))</f>
        <v>11</v>
      </c>
      <c r="E1076" s="361">
        <v>554230</v>
      </c>
      <c r="F1076" s="362" t="s">
        <v>761</v>
      </c>
      <c r="G1076" s="361" t="s">
        <v>328</v>
      </c>
      <c r="H1076" s="325"/>
      <c r="I1076" s="327">
        <v>1</v>
      </c>
      <c r="J1076" s="361" t="s">
        <v>1156</v>
      </c>
      <c r="K1076" s="327" t="s">
        <v>531</v>
      </c>
      <c r="L1076" s="348">
        <v>793373</v>
      </c>
      <c r="M1076" s="355"/>
      <c r="N1076" s="355" t="str">
        <f t="shared" si="118"/>
        <v>PR</v>
      </c>
      <c r="O1076" s="347"/>
      <c r="P1076" s="325"/>
      <c r="Q1076" s="351"/>
      <c r="R1076" s="351"/>
      <c r="S1076" s="618">
        <v>6</v>
      </c>
      <c r="T1076" s="619">
        <v>5.484</v>
      </c>
      <c r="U1076" s="329">
        <f>IF($N1076=$N$4,IFERROR(INDEX(DanhMuc!$E$154:$E$165,MATCH(MID($B1076,4,2),DanhMuc!$B$154:$B$165,0)),""),"")</f>
        <v>5800</v>
      </c>
      <c r="V1076" s="325"/>
      <c r="W1076" s="352" t="str">
        <f>+IF(AND($A1076&lt;&gt;"",LEN($B1076)&gt;=8,COUNTIF($B$6:$B1076,$B1076)=1),$W$5,"")</f>
        <v/>
      </c>
      <c r="X1076" s="329" t="str">
        <f t="shared" si="112"/>
        <v>RH</v>
      </c>
      <c r="Y1076" s="1128" t="s">
        <v>3380</v>
      </c>
      <c r="Z1076" s="1128" t="s">
        <v>3381</v>
      </c>
      <c r="AA1076" s="1128" t="s">
        <v>3384</v>
      </c>
      <c r="AC1076" s="73"/>
    </row>
    <row r="1077" spans="1:29" s="20" customFormat="1">
      <c r="A1077" s="327" t="str">
        <f>IF(AND($B1077&lt;&gt;"",$C1077&lt;&gt;""),MAX($A$4:A1076)+1,"")</f>
        <v/>
      </c>
      <c r="B1077" s="361" t="s">
        <v>1958</v>
      </c>
      <c r="C1077" s="364"/>
      <c r="D1077" s="327">
        <f>IF($B1077="","",COUNTIF($B$6:$B1077,$B1077))</f>
        <v>12</v>
      </c>
      <c r="E1077" s="361">
        <v>229184</v>
      </c>
      <c r="F1077" s="362" t="s">
        <v>1371</v>
      </c>
      <c r="G1077" s="361" t="s">
        <v>329</v>
      </c>
      <c r="H1077" s="325"/>
      <c r="I1077" s="327">
        <v>1</v>
      </c>
      <c r="J1077" s="361" t="s">
        <v>1148</v>
      </c>
      <c r="K1077" s="327" t="s">
        <v>531</v>
      </c>
      <c r="L1077" s="348">
        <v>556948</v>
      </c>
      <c r="M1077" s="355"/>
      <c r="N1077" s="355" t="str">
        <f t="shared" si="118"/>
        <v>PR</v>
      </c>
      <c r="O1077" s="347" t="s">
        <v>566</v>
      </c>
      <c r="P1077" s="325"/>
      <c r="Q1077" s="351"/>
      <c r="R1077" s="351"/>
      <c r="S1077" s="618">
        <v>5.8</v>
      </c>
      <c r="T1077" s="619">
        <v>3.1377999999999999</v>
      </c>
      <c r="U1077" s="329">
        <f>IF($N1077=$N$4,IFERROR(INDEX(DanhMuc!$E$154:$E$165,MATCH(MID($B1077,4,2),DanhMuc!$B$154:$B$165,0)),""),"")</f>
        <v>5800</v>
      </c>
      <c r="V1077" s="325"/>
      <c r="W1077" s="352" t="str">
        <f>+IF(AND($A1077&lt;&gt;"",LEN($B1077)&gt;=8,COUNTIF($B$6:$B1077,$B1077)=1),$W$5,"")</f>
        <v/>
      </c>
      <c r="X1077" s="329" t="str">
        <f t="shared" si="112"/>
        <v>RH</v>
      </c>
      <c r="Y1077" s="1128" t="s">
        <v>3380</v>
      </c>
      <c r="Z1077" s="1128" t="s">
        <v>3381</v>
      </c>
      <c r="AA1077" s="1128" t="s">
        <v>3384</v>
      </c>
      <c r="AC1077" s="73"/>
    </row>
    <row r="1078" spans="1:29" s="20" customFormat="1">
      <c r="A1078" s="327" t="str">
        <f>IF(AND($B1078&lt;&gt;"",$C1078&lt;&gt;""),MAX($A$4:A1077)+1,"")</f>
        <v/>
      </c>
      <c r="B1078" s="361" t="s">
        <v>1958</v>
      </c>
      <c r="C1078" s="364"/>
      <c r="D1078" s="327">
        <f>IF($B1078="","",COUNTIF($B$6:$B1078,$B1078))</f>
        <v>13</v>
      </c>
      <c r="E1078" s="361">
        <v>221877</v>
      </c>
      <c r="F1078" s="362" t="s">
        <v>1446</v>
      </c>
      <c r="G1078" s="361" t="s">
        <v>329</v>
      </c>
      <c r="H1078" s="328" t="s">
        <v>536</v>
      </c>
      <c r="I1078" s="327">
        <v>1</v>
      </c>
      <c r="J1078" s="361" t="s">
        <v>1149</v>
      </c>
      <c r="K1078" s="327" t="s">
        <v>531</v>
      </c>
      <c r="L1078" s="348">
        <f t="shared" ref="L1078:L1081" si="122">+$K$1038*$T1078*$S1078</f>
        <v>315000</v>
      </c>
      <c r="M1078" s="355"/>
      <c r="N1078" s="355" t="str">
        <f t="shared" si="118"/>
        <v>PR</v>
      </c>
      <c r="O1078" s="345"/>
      <c r="P1078" s="325"/>
      <c r="Q1078" s="351"/>
      <c r="R1078" s="351"/>
      <c r="S1078" s="618">
        <v>6</v>
      </c>
      <c r="T1078" s="619">
        <f t="shared" ref="T1078:T1079" si="123">10.5/S1078</f>
        <v>1.75</v>
      </c>
      <c r="U1078" s="329">
        <f>IF($N1078=$N$4,IFERROR(INDEX(DanhMuc!$E$154:$E$165,MATCH(MID($B1078,4,2),DanhMuc!$B$154:$B$165,0)),""),"")</f>
        <v>5800</v>
      </c>
      <c r="V1078" s="325"/>
      <c r="W1078" s="352" t="str">
        <f>+IF(AND($A1078&lt;&gt;"",LEN($B1078)&gt;=8,COUNTIF($B$6:$B1078,$B1078)=1),$W$5,"")</f>
        <v/>
      </c>
      <c r="X1078" s="329" t="str">
        <f t="shared" si="112"/>
        <v>TRH</v>
      </c>
      <c r="Y1078" s="1128" t="s">
        <v>3380</v>
      </c>
      <c r="Z1078" s="1128" t="s">
        <v>3381</v>
      </c>
      <c r="AA1078" s="1128" t="s">
        <v>3384</v>
      </c>
      <c r="AC1078" s="73"/>
    </row>
    <row r="1079" spans="1:29" s="20" customFormat="1">
      <c r="A1079" s="327" t="str">
        <f>IF(AND($B1079&lt;&gt;"",$C1079&lt;&gt;""),MAX($A$4:A1078)+1,"")</f>
        <v/>
      </c>
      <c r="B1079" s="361" t="s">
        <v>1958</v>
      </c>
      <c r="C1079" s="364"/>
      <c r="D1079" s="327">
        <f>IF($B1079="","",COUNTIF($B$6:$B1079,$B1079))</f>
        <v>14</v>
      </c>
      <c r="E1079" s="361">
        <v>221877</v>
      </c>
      <c r="F1079" s="362" t="s">
        <v>1446</v>
      </c>
      <c r="G1079" s="361" t="s">
        <v>328</v>
      </c>
      <c r="H1079" s="328" t="s">
        <v>536</v>
      </c>
      <c r="I1079" s="327">
        <v>2</v>
      </c>
      <c r="J1079" s="361" t="s">
        <v>1150</v>
      </c>
      <c r="K1079" s="327" t="s">
        <v>531</v>
      </c>
      <c r="L1079" s="348">
        <f t="shared" si="122"/>
        <v>315000</v>
      </c>
      <c r="M1079" s="355"/>
      <c r="N1079" s="355" t="str">
        <f t="shared" si="118"/>
        <v>PR</v>
      </c>
      <c r="O1079" s="345"/>
      <c r="P1079" s="325"/>
      <c r="Q1079" s="351"/>
      <c r="R1079" s="351"/>
      <c r="S1079" s="618">
        <v>6</v>
      </c>
      <c r="T1079" s="619">
        <f t="shared" si="123"/>
        <v>1.75</v>
      </c>
      <c r="U1079" s="329">
        <f>IF($N1079=$N$4,IFERROR(INDEX(DanhMuc!$E$154:$E$165,MATCH(MID($B1079,4,2),DanhMuc!$B$154:$B$165,0)),""),"")</f>
        <v>5800</v>
      </c>
      <c r="V1079" s="325"/>
      <c r="W1079" s="352" t="str">
        <f>+IF(AND($A1079&lt;&gt;"",LEN($B1079)&gt;=8,COUNTIF($B$6:$B1079,$B1079)=1),$W$5,"")</f>
        <v/>
      </c>
      <c r="X1079" s="329" t="str">
        <f t="shared" si="112"/>
        <v>TRH</v>
      </c>
      <c r="Y1079" s="1128" t="s">
        <v>3380</v>
      </c>
      <c r="Z1079" s="1128" t="s">
        <v>3381</v>
      </c>
      <c r="AA1079" s="1128" t="s">
        <v>3384</v>
      </c>
      <c r="AC1079" s="73"/>
    </row>
    <row r="1080" spans="1:29" s="20" customFormat="1">
      <c r="A1080" s="327" t="str">
        <f>IF(AND($B1080&lt;&gt;"",$C1080&lt;&gt;""),MAX($A$4:A1079)+1,"")</f>
        <v/>
      </c>
      <c r="B1080" s="361" t="s">
        <v>1958</v>
      </c>
      <c r="C1080" s="364"/>
      <c r="D1080" s="327">
        <f>IF($B1080="","",COUNTIF($B$6:$B1080,$B1080))</f>
        <v>15</v>
      </c>
      <c r="E1080" s="361">
        <v>221871</v>
      </c>
      <c r="F1080" s="362" t="s">
        <v>613</v>
      </c>
      <c r="G1080" s="361" t="s">
        <v>329</v>
      </c>
      <c r="H1080" s="328" t="s">
        <v>536</v>
      </c>
      <c r="I1080" s="327">
        <v>6</v>
      </c>
      <c r="J1080" s="361" t="s">
        <v>1961</v>
      </c>
      <c r="K1080" s="327" t="s">
        <v>531</v>
      </c>
      <c r="L1080" s="348">
        <f t="shared" si="122"/>
        <v>372000.00000000006</v>
      </c>
      <c r="M1080" s="355"/>
      <c r="N1080" s="355" t="str">
        <f t="shared" si="118"/>
        <v>PR</v>
      </c>
      <c r="O1080" s="345"/>
      <c r="P1080" s="325"/>
      <c r="Q1080" s="351"/>
      <c r="R1080" s="351"/>
      <c r="S1080" s="618">
        <v>6</v>
      </c>
      <c r="T1080" s="619">
        <f t="shared" ref="T1080:T1081" si="124">12.4/S1080</f>
        <v>2.0666666666666669</v>
      </c>
      <c r="U1080" s="329">
        <f>IF($N1080=$N$4,IFERROR(INDEX(DanhMuc!$E$154:$E$165,MATCH(MID($B1080,4,2),DanhMuc!$B$154:$B$165,0)),""),"")</f>
        <v>5800</v>
      </c>
      <c r="V1080" s="325"/>
      <c r="W1080" s="352" t="str">
        <f>+IF(AND($A1080&lt;&gt;"",LEN($B1080)&gt;=8,COUNTIF($B$6:$B1080,$B1080)=1),$W$5,"")</f>
        <v/>
      </c>
      <c r="X1080" s="329" t="str">
        <f t="shared" si="112"/>
        <v>TRH</v>
      </c>
      <c r="Y1080" s="1128" t="s">
        <v>3380</v>
      </c>
      <c r="Z1080" s="1128" t="s">
        <v>3381</v>
      </c>
      <c r="AA1080" s="1128" t="s">
        <v>3384</v>
      </c>
      <c r="AC1080" s="73"/>
    </row>
    <row r="1081" spans="1:29" s="20" customFormat="1">
      <c r="A1081" s="327" t="str">
        <f>IF(AND($B1081&lt;&gt;"",$C1081&lt;&gt;""),MAX($A$4:A1080)+1,"")</f>
        <v/>
      </c>
      <c r="B1081" s="361" t="s">
        <v>1958</v>
      </c>
      <c r="C1081" s="364"/>
      <c r="D1081" s="327">
        <f>IF($B1081="","",COUNTIF($B$6:$B1081,$B1081))</f>
        <v>16</v>
      </c>
      <c r="E1081" s="361">
        <v>221871</v>
      </c>
      <c r="F1081" s="362" t="s">
        <v>613</v>
      </c>
      <c r="G1081" s="361" t="s">
        <v>328</v>
      </c>
      <c r="H1081" s="328" t="s">
        <v>536</v>
      </c>
      <c r="I1081" s="327">
        <v>6</v>
      </c>
      <c r="J1081" s="361" t="s">
        <v>1152</v>
      </c>
      <c r="K1081" s="327" t="s">
        <v>531</v>
      </c>
      <c r="L1081" s="348">
        <f t="shared" si="122"/>
        <v>372000.00000000006</v>
      </c>
      <c r="M1081" s="355"/>
      <c r="N1081" s="355" t="str">
        <f t="shared" si="118"/>
        <v>PR</v>
      </c>
      <c r="O1081" s="345"/>
      <c r="P1081" s="325"/>
      <c r="Q1081" s="351"/>
      <c r="R1081" s="351"/>
      <c r="S1081" s="618">
        <v>6</v>
      </c>
      <c r="T1081" s="619">
        <f t="shared" si="124"/>
        <v>2.0666666666666669</v>
      </c>
      <c r="U1081" s="329">
        <f>IF($N1081=$N$4,IFERROR(INDEX(DanhMuc!$E$154:$E$165,MATCH(MID($B1081,4,2),DanhMuc!$B$154:$B$165,0)),""),"")</f>
        <v>5800</v>
      </c>
      <c r="V1081" s="325"/>
      <c r="W1081" s="352" t="str">
        <f>+IF(AND($A1081&lt;&gt;"",LEN($B1081)&gt;=8,COUNTIF($B$6:$B1081,$B1081)=1),$W$5,"")</f>
        <v/>
      </c>
      <c r="X1081" s="329" t="str">
        <f t="shared" si="112"/>
        <v>TRH</v>
      </c>
      <c r="Y1081" s="1128" t="s">
        <v>3380</v>
      </c>
      <c r="Z1081" s="1128" t="s">
        <v>3381</v>
      </c>
      <c r="AA1081" s="1128" t="s">
        <v>3384</v>
      </c>
      <c r="AC1081" s="73"/>
    </row>
    <row r="1082" spans="1:29" s="20" customFormat="1" ht="26">
      <c r="A1082" s="327">
        <f>IF(AND($B1082&lt;&gt;"",$C1082&lt;&gt;""),MAX($A$4:A1065)+1,"")</f>
        <v>82</v>
      </c>
      <c r="B1082" s="359" t="s">
        <v>1158</v>
      </c>
      <c r="C1082" s="370" t="s">
        <v>1593</v>
      </c>
      <c r="D1082" s="327">
        <f>IF($B1082="","",COUNTIF($B$6:$B1082,$B1082))</f>
        <v>1</v>
      </c>
      <c r="E1082" s="363">
        <v>500373</v>
      </c>
      <c r="F1082" s="362" t="s">
        <v>1140</v>
      </c>
      <c r="G1082" s="361" t="s">
        <v>329</v>
      </c>
      <c r="H1082" s="325"/>
      <c r="I1082" s="327">
        <v>1</v>
      </c>
      <c r="J1082" s="361" t="s">
        <v>762</v>
      </c>
      <c r="K1082" s="327" t="s">
        <v>516</v>
      </c>
      <c r="L1082" s="348">
        <v>613654</v>
      </c>
      <c r="M1082" s="355"/>
      <c r="N1082" s="355" t="str">
        <f t="shared" si="118"/>
        <v>PR</v>
      </c>
      <c r="O1082" s="345"/>
      <c r="P1082" s="325"/>
      <c r="Q1082" s="351"/>
      <c r="R1082" s="351"/>
      <c r="S1082" s="618">
        <v>5.8</v>
      </c>
      <c r="T1082" s="619">
        <v>7.9923999999999999</v>
      </c>
      <c r="U1082" s="329">
        <f>IF($N1082=$N$4,IFERROR(INDEX(DanhMuc!$E$154:$E$165,MATCH(MID($B1082,4,2),DanhMuc!$B$154:$B$165,0)),""),"")</f>
        <v>5800</v>
      </c>
      <c r="V1082" s="325"/>
      <c r="W1082" s="352" t="str">
        <f>+IF(AND($A1082&lt;&gt;"",LEN($B1082)&gt;=8,COUNTIF($B$6:$B1082,$B1082)=1),$W$5,"")</f>
        <v>DMCua</v>
      </c>
      <c r="X1082" s="329" t="str">
        <f t="shared" si="112"/>
        <v>RH</v>
      </c>
      <c r="Y1082" s="1128" t="s">
        <v>3380</v>
      </c>
      <c r="Z1082" s="1128" t="s">
        <v>3381</v>
      </c>
      <c r="AA1082" s="1128" t="s">
        <v>3384</v>
      </c>
      <c r="AC1082" s="73"/>
    </row>
    <row r="1083" spans="1:29" s="20" customFormat="1">
      <c r="A1083" s="327" t="str">
        <f>IF(AND($B1083&lt;&gt;"",$C1083&lt;&gt;""),MAX($A$4:A1082)+1,"")</f>
        <v/>
      </c>
      <c r="B1083" s="361" t="s">
        <v>1158</v>
      </c>
      <c r="C1083" s="364"/>
      <c r="D1083" s="327">
        <f>IF($B1083="","",COUNTIF($B$6:$B1083,$B1083))</f>
        <v>2</v>
      </c>
      <c r="E1083" s="363">
        <v>500373</v>
      </c>
      <c r="F1083" s="362" t="s">
        <v>1140</v>
      </c>
      <c r="G1083" s="361" t="s">
        <v>328</v>
      </c>
      <c r="H1083" s="325"/>
      <c r="I1083" s="327">
        <v>2</v>
      </c>
      <c r="J1083" s="361" t="s">
        <v>814</v>
      </c>
      <c r="K1083" s="327" t="s">
        <v>1141</v>
      </c>
      <c r="L1083" s="348">
        <v>613654</v>
      </c>
      <c r="M1083" s="355"/>
      <c r="N1083" s="355" t="str">
        <f t="shared" si="118"/>
        <v>PR</v>
      </c>
      <c r="O1083" s="347"/>
      <c r="P1083" s="325"/>
      <c r="Q1083" s="351"/>
      <c r="R1083" s="351"/>
      <c r="S1083" s="618">
        <v>5.8</v>
      </c>
      <c r="T1083" s="619">
        <v>7.9923999999999999</v>
      </c>
      <c r="U1083" s="329">
        <f>IF($N1083=$N$4,IFERROR(INDEX(DanhMuc!$E$154:$E$165,MATCH(MID($B1083,4,2),DanhMuc!$B$154:$B$165,0)),""),"")</f>
        <v>5800</v>
      </c>
      <c r="V1083" s="325"/>
      <c r="W1083" s="352" t="str">
        <f>+IF(AND($A1083&lt;&gt;"",LEN($B1083)&gt;=8,COUNTIF($B$6:$B1083,$B1083)=1),$W$5,"")</f>
        <v/>
      </c>
      <c r="X1083" s="329" t="str">
        <f t="shared" si="112"/>
        <v>RH</v>
      </c>
      <c r="Y1083" s="1128" t="s">
        <v>3380</v>
      </c>
      <c r="Z1083" s="1128" t="s">
        <v>3381</v>
      </c>
      <c r="AA1083" s="1128" t="s">
        <v>3384</v>
      </c>
      <c r="AC1083" s="73"/>
    </row>
    <row r="1084" spans="1:29" s="20" customFormat="1">
      <c r="A1084" s="327" t="str">
        <f>IF(AND($B1084&lt;&gt;"",$C1084&lt;&gt;""),MAX($A$4:A1083)+1,"")</f>
        <v/>
      </c>
      <c r="B1084" s="361" t="s">
        <v>1158</v>
      </c>
      <c r="C1084" s="364"/>
      <c r="D1084" s="327">
        <f>IF($B1084="","",COUNTIF($B$6:$B1084,$B1084))</f>
        <v>3</v>
      </c>
      <c r="E1084" s="361">
        <v>500183</v>
      </c>
      <c r="F1084" s="362" t="s">
        <v>1142</v>
      </c>
      <c r="G1084" s="361" t="s">
        <v>329</v>
      </c>
      <c r="H1084" s="325"/>
      <c r="I1084" s="327">
        <v>8</v>
      </c>
      <c r="J1084" s="361" t="s">
        <v>1160</v>
      </c>
      <c r="K1084" s="327" t="s">
        <v>516</v>
      </c>
      <c r="L1084" s="348">
        <v>865740</v>
      </c>
      <c r="M1084" s="355"/>
      <c r="N1084" s="355" t="str">
        <f t="shared" si="118"/>
        <v>PR</v>
      </c>
      <c r="O1084" s="345" t="s">
        <v>19</v>
      </c>
      <c r="P1084" s="325"/>
      <c r="Q1084" s="351"/>
      <c r="R1084" s="351"/>
      <c r="S1084" s="618">
        <v>5.8</v>
      </c>
      <c r="T1084" s="619">
        <v>10.4864</v>
      </c>
      <c r="U1084" s="329">
        <f>IF($N1084=$N$4,IFERROR(INDEX(DanhMuc!$E$154:$E$165,MATCH(MID($B1084,4,2),DanhMuc!$B$154:$B$165,0)),""),"")</f>
        <v>5800</v>
      </c>
      <c r="V1084" s="325"/>
      <c r="W1084" s="352" t="str">
        <f>+IF(AND($A1084&lt;&gt;"",LEN($B1084)&gt;=8,COUNTIF($B$6:$B1084,$B1084)=1),$W$5,"")</f>
        <v/>
      </c>
      <c r="X1084" s="329" t="str">
        <f t="shared" si="112"/>
        <v>RH</v>
      </c>
      <c r="Y1084" s="1128" t="s">
        <v>3380</v>
      </c>
      <c r="Z1084" s="1128" t="s">
        <v>3381</v>
      </c>
      <c r="AA1084" s="1128" t="s">
        <v>3384</v>
      </c>
      <c r="AC1084" s="73"/>
    </row>
    <row r="1085" spans="1:29" s="20" customFormat="1">
      <c r="A1085" s="327" t="str">
        <f>IF(AND($B1085&lt;&gt;"",$C1085&lt;&gt;""),MAX($A$4:A1084)+1,"")</f>
        <v/>
      </c>
      <c r="B1085" s="361" t="s">
        <v>1158</v>
      </c>
      <c r="C1085" s="364"/>
      <c r="D1085" s="327">
        <f>IF($B1085="","",COUNTIF($B$6:$B1085,$B1085))</f>
        <v>4</v>
      </c>
      <c r="E1085" s="361">
        <v>500183</v>
      </c>
      <c r="F1085" s="362" t="s">
        <v>1142</v>
      </c>
      <c r="G1085" s="361" t="s">
        <v>328</v>
      </c>
      <c r="H1085" s="325"/>
      <c r="I1085" s="327">
        <v>6</v>
      </c>
      <c r="J1085" s="361" t="s">
        <v>1145</v>
      </c>
      <c r="K1085" s="327" t="s">
        <v>516</v>
      </c>
      <c r="L1085" s="348">
        <v>865740</v>
      </c>
      <c r="M1085" s="355"/>
      <c r="N1085" s="355" t="str">
        <f t="shared" si="118"/>
        <v>PR</v>
      </c>
      <c r="O1085" s="345" t="s">
        <v>19</v>
      </c>
      <c r="P1085" s="325"/>
      <c r="Q1085" s="351"/>
      <c r="R1085" s="351"/>
      <c r="S1085" s="618">
        <v>5.8</v>
      </c>
      <c r="T1085" s="619">
        <v>10.4864</v>
      </c>
      <c r="U1085" s="329">
        <f>IF($N1085=$N$4,IFERROR(INDEX(DanhMuc!$E$154:$E$165,MATCH(MID($B1085,4,2),DanhMuc!$B$154:$B$165,0)),""),"")</f>
        <v>5800</v>
      </c>
      <c r="V1085" s="325"/>
      <c r="W1085" s="352" t="str">
        <f>+IF(AND($A1085&lt;&gt;"",LEN($B1085)&gt;=8,COUNTIF($B$6:$B1085,$B1085)=1),$W$5,"")</f>
        <v/>
      </c>
      <c r="X1085" s="329" t="str">
        <f t="shared" si="112"/>
        <v>RH</v>
      </c>
      <c r="Y1085" s="1128" t="s">
        <v>3380</v>
      </c>
      <c r="Z1085" s="1128" t="s">
        <v>3381</v>
      </c>
      <c r="AA1085" s="1128" t="s">
        <v>3384</v>
      </c>
      <c r="AC1085" s="73"/>
    </row>
    <row r="1086" spans="1:29" s="20" customFormat="1">
      <c r="A1086" s="327" t="str">
        <f>IF(AND($B1086&lt;&gt;"",$C1086&lt;&gt;""),MAX($A$4:A1085)+1,"")</f>
        <v/>
      </c>
      <c r="B1086" s="361" t="s">
        <v>1158</v>
      </c>
      <c r="C1086" s="364"/>
      <c r="D1086" s="327">
        <f>IF($B1086="","",COUNTIF($B$6:$B1086,$B1086))</f>
        <v>5</v>
      </c>
      <c r="E1086" s="361">
        <v>500173</v>
      </c>
      <c r="F1086" s="362" t="s">
        <v>1143</v>
      </c>
      <c r="G1086" s="361" t="s">
        <v>328</v>
      </c>
      <c r="H1086" s="325"/>
      <c r="I1086" s="327">
        <v>2</v>
      </c>
      <c r="J1086" s="361" t="s">
        <v>1145</v>
      </c>
      <c r="K1086" s="327" t="s">
        <v>516</v>
      </c>
      <c r="L1086" s="348">
        <v>818580</v>
      </c>
      <c r="M1086" s="355"/>
      <c r="N1086" s="355" t="str">
        <f t="shared" si="118"/>
        <v>PR</v>
      </c>
      <c r="O1086" s="345" t="s">
        <v>19</v>
      </c>
      <c r="P1086" s="325"/>
      <c r="Q1086" s="351"/>
      <c r="R1086" s="351"/>
      <c r="S1086" s="618">
        <v>5.8</v>
      </c>
      <c r="T1086" s="619">
        <v>9.9238</v>
      </c>
      <c r="U1086" s="329">
        <f>IF($N1086=$N$4,IFERROR(INDEX(DanhMuc!$E$154:$E$165,MATCH(MID($B1086,4,2),DanhMuc!$B$154:$B$165,0)),""),"")</f>
        <v>5800</v>
      </c>
      <c r="V1086" s="325"/>
      <c r="W1086" s="352" t="str">
        <f>+IF(AND($A1086&lt;&gt;"",LEN($B1086)&gt;=8,COUNTIF($B$6:$B1086,$B1086)=1),$W$5,"")</f>
        <v/>
      </c>
      <c r="X1086" s="329" t="str">
        <f t="shared" si="112"/>
        <v>RH</v>
      </c>
      <c r="Y1086" s="1128" t="s">
        <v>3380</v>
      </c>
      <c r="Z1086" s="1128" t="s">
        <v>3381</v>
      </c>
      <c r="AA1086" s="1128" t="s">
        <v>3384</v>
      </c>
      <c r="AC1086" s="73"/>
    </row>
    <row r="1087" spans="1:29" s="20" customFormat="1">
      <c r="A1087" s="327" t="str">
        <f>IF(AND($B1087&lt;&gt;"",$C1087&lt;&gt;""),MAX($A$4:A1086)+1,"")</f>
        <v/>
      </c>
      <c r="B1087" s="361" t="s">
        <v>1158</v>
      </c>
      <c r="C1087" s="364"/>
      <c r="D1087" s="327">
        <f>IF($B1087="","",COUNTIF($B$6:$B1087,$B1087))</f>
        <v>6</v>
      </c>
      <c r="E1087" s="361">
        <v>500173</v>
      </c>
      <c r="F1087" s="362" t="s">
        <v>1143</v>
      </c>
      <c r="G1087" s="361" t="s">
        <v>329</v>
      </c>
      <c r="H1087" s="325"/>
      <c r="I1087" s="327">
        <v>8</v>
      </c>
      <c r="J1087" s="361" t="s">
        <v>1160</v>
      </c>
      <c r="K1087" s="327" t="s">
        <v>516</v>
      </c>
      <c r="L1087" s="348">
        <v>818580</v>
      </c>
      <c r="M1087" s="355"/>
      <c r="N1087" s="355" t="str">
        <f t="shared" si="118"/>
        <v>PR</v>
      </c>
      <c r="O1087" s="345" t="s">
        <v>16</v>
      </c>
      <c r="P1087" s="325"/>
      <c r="Q1087" s="351"/>
      <c r="R1087" s="351"/>
      <c r="S1087" s="618">
        <v>5.8</v>
      </c>
      <c r="T1087" s="619">
        <v>9.9238</v>
      </c>
      <c r="U1087" s="329">
        <f>IF($N1087=$N$4,IFERROR(INDEX(DanhMuc!$E$154:$E$165,MATCH(MID($B1087,4,2),DanhMuc!$B$154:$B$165,0)),""),"")</f>
        <v>5800</v>
      </c>
      <c r="V1087" s="325"/>
      <c r="W1087" s="352" t="str">
        <f>+IF(AND($A1087&lt;&gt;"",LEN($B1087)&gt;=8,COUNTIF($B$6:$B1087,$B1087)=1),$W$5,"")</f>
        <v/>
      </c>
      <c r="X1087" s="329" t="str">
        <f t="shared" si="112"/>
        <v>RH</v>
      </c>
      <c r="Y1087" s="1128" t="s">
        <v>3380</v>
      </c>
      <c r="Z1087" s="1128" t="s">
        <v>3381</v>
      </c>
      <c r="AA1087" s="1128" t="s">
        <v>3384</v>
      </c>
      <c r="AC1087" s="73"/>
    </row>
    <row r="1088" spans="1:29" s="20" customFormat="1">
      <c r="A1088" s="327" t="str">
        <f>IF(AND($B1088&lt;&gt;"",$C1088&lt;&gt;""),MAX($A$4:A1087)+1,"")</f>
        <v/>
      </c>
      <c r="B1088" s="361" t="s">
        <v>1158</v>
      </c>
      <c r="C1088" s="364"/>
      <c r="D1088" s="327">
        <f>IF($B1088="","",COUNTIF($B$6:$B1088,$B1088))</f>
        <v>7</v>
      </c>
      <c r="E1088" s="361">
        <v>500173</v>
      </c>
      <c r="F1088" s="362" t="s">
        <v>1143</v>
      </c>
      <c r="G1088" s="361" t="s">
        <v>328</v>
      </c>
      <c r="H1088" s="325"/>
      <c r="I1088" s="327">
        <v>6</v>
      </c>
      <c r="J1088" s="361" t="s">
        <v>1145</v>
      </c>
      <c r="K1088" s="327" t="s">
        <v>516</v>
      </c>
      <c r="L1088" s="348">
        <v>818580</v>
      </c>
      <c r="M1088" s="355"/>
      <c r="N1088" s="355" t="str">
        <f t="shared" si="118"/>
        <v>PR</v>
      </c>
      <c r="O1088" s="345" t="s">
        <v>16</v>
      </c>
      <c r="P1088" s="325"/>
      <c r="Q1088" s="351"/>
      <c r="R1088" s="351"/>
      <c r="S1088" s="618">
        <v>5.8</v>
      </c>
      <c r="T1088" s="619">
        <v>9.9238</v>
      </c>
      <c r="U1088" s="329">
        <f>IF($N1088=$N$4,IFERROR(INDEX(DanhMuc!$E$154:$E$165,MATCH(MID($B1088,4,2),DanhMuc!$B$154:$B$165,0)),""),"")</f>
        <v>5800</v>
      </c>
      <c r="V1088" s="325"/>
      <c r="W1088" s="352" t="str">
        <f>+IF(AND($A1088&lt;&gt;"",LEN($B1088)&gt;=8,COUNTIF($B$6:$B1088,$B1088)=1),$W$5,"")</f>
        <v/>
      </c>
      <c r="X1088" s="329" t="str">
        <f t="shared" si="112"/>
        <v>RH</v>
      </c>
      <c r="Y1088" s="1128" t="s">
        <v>3380</v>
      </c>
      <c r="Z1088" s="1128" t="s">
        <v>3381</v>
      </c>
      <c r="AA1088" s="1128" t="s">
        <v>3384</v>
      </c>
      <c r="AC1088" s="73"/>
    </row>
    <row r="1089" spans="1:29" s="20" customFormat="1">
      <c r="A1089" s="327" t="str">
        <f>IF(AND($B1089&lt;&gt;"",$C1089&lt;&gt;""),MAX($A$4:A1088)+1,"")</f>
        <v/>
      </c>
      <c r="B1089" s="361" t="s">
        <v>1158</v>
      </c>
      <c r="C1089" s="364"/>
      <c r="D1089" s="327">
        <f>IF($B1089="","",COUNTIF($B$6:$B1089,$B1089))</f>
        <v>8</v>
      </c>
      <c r="E1089" s="361">
        <v>500183</v>
      </c>
      <c r="F1089" s="362" t="s">
        <v>1142</v>
      </c>
      <c r="G1089" s="361" t="s">
        <v>328</v>
      </c>
      <c r="H1089" s="325"/>
      <c r="I1089" s="327">
        <v>2</v>
      </c>
      <c r="J1089" s="361" t="s">
        <v>1145</v>
      </c>
      <c r="K1089" s="327" t="s">
        <v>516</v>
      </c>
      <c r="L1089" s="348">
        <v>865740</v>
      </c>
      <c r="M1089" s="355"/>
      <c r="N1089" s="355" t="str">
        <f t="shared" si="118"/>
        <v>PR</v>
      </c>
      <c r="O1089" s="345" t="s">
        <v>16</v>
      </c>
      <c r="P1089" s="325"/>
      <c r="Q1089" s="351"/>
      <c r="R1089" s="351"/>
      <c r="S1089" s="618">
        <v>5.8</v>
      </c>
      <c r="T1089" s="619">
        <v>10.4864</v>
      </c>
      <c r="U1089" s="329">
        <f>IF($N1089=$N$4,IFERROR(INDEX(DanhMuc!$E$154:$E$165,MATCH(MID($B1089,4,2),DanhMuc!$B$154:$B$165,0)),""),"")</f>
        <v>5800</v>
      </c>
      <c r="V1089" s="325"/>
      <c r="W1089" s="352" t="str">
        <f>+IF(AND($A1089&lt;&gt;"",LEN($B1089)&gt;=8,COUNTIF($B$6:$B1089,$B1089)=1),$W$5,"")</f>
        <v/>
      </c>
      <c r="X1089" s="329" t="str">
        <f t="shared" ref="X1089:X1152" si="125">IF(IFERROR(SEARCH("thép",$F1089,1),0)&gt;=1,"T" &amp;MID($B1089,4,2),MID($B1089,4,2))</f>
        <v>RH</v>
      </c>
      <c r="Y1089" s="1128" t="s">
        <v>3380</v>
      </c>
      <c r="Z1089" s="1128" t="s">
        <v>3381</v>
      </c>
      <c r="AA1089" s="1128" t="s">
        <v>3384</v>
      </c>
      <c r="AC1089" s="73"/>
    </row>
    <row r="1090" spans="1:29" s="20" customFormat="1">
      <c r="A1090" s="327" t="str">
        <f>IF(AND($B1090&lt;&gt;"",$C1090&lt;&gt;""),MAX($A$4:A1089)+1,"")</f>
        <v/>
      </c>
      <c r="B1090" s="361" t="s">
        <v>1158</v>
      </c>
      <c r="C1090" s="364"/>
      <c r="D1090" s="327">
        <f>IF($B1090="","",COUNTIF($B$6:$B1090,$B1090))</f>
        <v>9</v>
      </c>
      <c r="E1090" s="361" t="s">
        <v>899</v>
      </c>
      <c r="F1090" s="362" t="s">
        <v>898</v>
      </c>
      <c r="G1090" s="361" t="s">
        <v>329</v>
      </c>
      <c r="H1090" s="325"/>
      <c r="I1090" s="327">
        <v>8</v>
      </c>
      <c r="J1090" s="361" t="s">
        <v>1161</v>
      </c>
      <c r="K1090" s="327" t="s">
        <v>516</v>
      </c>
      <c r="L1090" s="348">
        <v>0</v>
      </c>
      <c r="M1090" s="355"/>
      <c r="N1090" s="355" t="str">
        <f t="shared" si="118"/>
        <v>PR</v>
      </c>
      <c r="O1090" s="347"/>
      <c r="P1090" s="325"/>
      <c r="Q1090" s="351"/>
      <c r="R1090" s="351"/>
      <c r="S1090" s="618"/>
      <c r="T1090" s="619"/>
      <c r="U1090" s="329">
        <f>IF($N1090=$N$4,IFERROR(INDEX(DanhMuc!$E$154:$E$165,MATCH(MID($B1090,4,2),DanhMuc!$B$154:$B$165,0)),""),"")</f>
        <v>5800</v>
      </c>
      <c r="V1090" s="325"/>
      <c r="W1090" s="352" t="str">
        <f>+IF(AND($A1090&lt;&gt;"",LEN($B1090)&gt;=8,COUNTIF($B$6:$B1090,$B1090)=1),$W$5,"")</f>
        <v/>
      </c>
      <c r="X1090" s="329" t="str">
        <f t="shared" si="125"/>
        <v>RH</v>
      </c>
      <c r="Y1090" s="1128" t="s">
        <v>3380</v>
      </c>
      <c r="Z1090" s="1128" t="s">
        <v>3381</v>
      </c>
      <c r="AA1090" s="1128" t="s">
        <v>3384</v>
      </c>
      <c r="AC1090" s="73"/>
    </row>
    <row r="1091" spans="1:29" s="20" customFormat="1">
      <c r="A1091" s="327" t="str">
        <f>IF(AND($B1091&lt;&gt;"",$C1091&lt;&gt;""),MAX($A$4:A1090)+1,"")</f>
        <v/>
      </c>
      <c r="B1091" s="361" t="s">
        <v>1158</v>
      </c>
      <c r="C1091" s="364"/>
      <c r="D1091" s="327">
        <f>IF($B1091="","",COUNTIF($B$6:$B1091,$B1091))</f>
        <v>10</v>
      </c>
      <c r="E1091" s="361" t="s">
        <v>899</v>
      </c>
      <c r="F1091" s="362" t="s">
        <v>898</v>
      </c>
      <c r="G1091" s="361" t="s">
        <v>328</v>
      </c>
      <c r="H1091" s="325"/>
      <c r="I1091" s="327">
        <v>8</v>
      </c>
      <c r="J1091" s="361" t="s">
        <v>1147</v>
      </c>
      <c r="K1091" s="327" t="s">
        <v>516</v>
      </c>
      <c r="L1091" s="348">
        <v>0</v>
      </c>
      <c r="M1091" s="355"/>
      <c r="N1091" s="355" t="str">
        <f t="shared" si="118"/>
        <v>PR</v>
      </c>
      <c r="O1091" s="347"/>
      <c r="P1091" s="325"/>
      <c r="Q1091" s="351"/>
      <c r="R1091" s="351"/>
      <c r="S1091" s="618"/>
      <c r="T1091" s="619"/>
      <c r="U1091" s="329">
        <f>IF($N1091=$N$4,IFERROR(INDEX(DanhMuc!$E$154:$E$165,MATCH(MID($B1091,4,2),DanhMuc!$B$154:$B$165,0)),""),"")</f>
        <v>5800</v>
      </c>
      <c r="V1091" s="325"/>
      <c r="W1091" s="352" t="str">
        <f>+IF(AND($A1091&lt;&gt;"",LEN($B1091)&gt;=8,COUNTIF($B$6:$B1091,$B1091)=1),$W$5,"")</f>
        <v/>
      </c>
      <c r="X1091" s="329" t="str">
        <f t="shared" si="125"/>
        <v>RH</v>
      </c>
      <c r="Y1091" s="1128" t="s">
        <v>3380</v>
      </c>
      <c r="Z1091" s="1128" t="s">
        <v>3381</v>
      </c>
      <c r="AA1091" s="1128" t="s">
        <v>3384</v>
      </c>
      <c r="AC1091" s="73"/>
    </row>
    <row r="1092" spans="1:29" s="20" customFormat="1">
      <c r="A1092" s="327" t="str">
        <f>IF(AND($B1092&lt;&gt;"",$C1092&lt;&gt;""),MAX($A$4:A1091)+1,"")</f>
        <v/>
      </c>
      <c r="B1092" s="361" t="s">
        <v>1158</v>
      </c>
      <c r="C1092" s="364"/>
      <c r="D1092" s="327">
        <f>IF($B1092="","",COUNTIF($B$6:$B1092,$B1092))</f>
        <v>11</v>
      </c>
      <c r="E1092" s="361">
        <v>554230</v>
      </c>
      <c r="F1092" s="362" t="s">
        <v>761</v>
      </c>
      <c r="G1092" s="361" t="s">
        <v>328</v>
      </c>
      <c r="H1092" s="325"/>
      <c r="I1092" s="327">
        <v>1</v>
      </c>
      <c r="J1092" s="361" t="s">
        <v>1156</v>
      </c>
      <c r="K1092" s="327" t="s">
        <v>531</v>
      </c>
      <c r="L1092" s="348">
        <v>793373</v>
      </c>
      <c r="M1092" s="355"/>
      <c r="N1092" s="355" t="str">
        <f t="shared" si="118"/>
        <v>PR</v>
      </c>
      <c r="O1092" s="347"/>
      <c r="P1092" s="325"/>
      <c r="Q1092" s="351"/>
      <c r="R1092" s="351"/>
      <c r="S1092" s="618">
        <v>6</v>
      </c>
      <c r="T1092" s="619">
        <v>5.484</v>
      </c>
      <c r="U1092" s="329">
        <f>IF($N1092=$N$4,IFERROR(INDEX(DanhMuc!$E$154:$E$165,MATCH(MID($B1092,4,2),DanhMuc!$B$154:$B$165,0)),""),"")</f>
        <v>5800</v>
      </c>
      <c r="V1092" s="325"/>
      <c r="W1092" s="352" t="str">
        <f>+IF(AND($A1092&lt;&gt;"",LEN($B1092)&gt;=8,COUNTIF($B$6:$B1092,$B1092)=1),$W$5,"")</f>
        <v/>
      </c>
      <c r="X1092" s="329" t="str">
        <f t="shared" si="125"/>
        <v>RH</v>
      </c>
      <c r="Y1092" s="1128" t="s">
        <v>3380</v>
      </c>
      <c r="Z1092" s="1128" t="s">
        <v>3381</v>
      </c>
      <c r="AA1092" s="1128" t="s">
        <v>3384</v>
      </c>
      <c r="AC1092" s="73"/>
    </row>
    <row r="1093" spans="1:29" s="20" customFormat="1">
      <c r="A1093" s="327" t="str">
        <f>IF(AND($B1093&lt;&gt;"",$C1093&lt;&gt;""),MAX($A$4:A1092)+1,"")</f>
        <v/>
      </c>
      <c r="B1093" s="361" t="s">
        <v>1158</v>
      </c>
      <c r="C1093" s="364"/>
      <c r="D1093" s="327">
        <f>IF($B1093="","",COUNTIF($B$6:$B1093,$B1093))</f>
        <v>12</v>
      </c>
      <c r="E1093" s="361">
        <v>229184</v>
      </c>
      <c r="F1093" s="362" t="s">
        <v>1371</v>
      </c>
      <c r="G1093" s="361" t="s">
        <v>329</v>
      </c>
      <c r="H1093" s="325"/>
      <c r="I1093" s="327">
        <v>1</v>
      </c>
      <c r="J1093" s="361" t="s">
        <v>1148</v>
      </c>
      <c r="K1093" s="327" t="s">
        <v>531</v>
      </c>
      <c r="L1093" s="348">
        <v>556948</v>
      </c>
      <c r="M1093" s="355"/>
      <c r="N1093" s="355" t="str">
        <f t="shared" si="118"/>
        <v>PR</v>
      </c>
      <c r="O1093" s="347" t="s">
        <v>566</v>
      </c>
      <c r="P1093" s="325"/>
      <c r="Q1093" s="351"/>
      <c r="R1093" s="351"/>
      <c r="S1093" s="618">
        <v>5.8</v>
      </c>
      <c r="T1093" s="619">
        <v>3.1377999999999999</v>
      </c>
      <c r="U1093" s="329">
        <f>IF($N1093=$N$4,IFERROR(INDEX(DanhMuc!$E$154:$E$165,MATCH(MID($B1093,4,2),DanhMuc!$B$154:$B$165,0)),""),"")</f>
        <v>5800</v>
      </c>
      <c r="V1093" s="325"/>
      <c r="W1093" s="352" t="str">
        <f>+IF(AND($A1093&lt;&gt;"",LEN($B1093)&gt;=8,COUNTIF($B$6:$B1093,$B1093)=1),$W$5,"")</f>
        <v/>
      </c>
      <c r="X1093" s="329" t="str">
        <f t="shared" si="125"/>
        <v>RH</v>
      </c>
      <c r="Y1093" s="1128" t="s">
        <v>3380</v>
      </c>
      <c r="Z1093" s="1128" t="s">
        <v>3381</v>
      </c>
      <c r="AA1093" s="1128" t="s">
        <v>3384</v>
      </c>
      <c r="AC1093" s="73"/>
    </row>
    <row r="1094" spans="1:29" s="20" customFormat="1">
      <c r="A1094" s="327" t="str">
        <f>IF(AND($B1094&lt;&gt;"",$C1094&lt;&gt;""),MAX($A$4:A1093)+1,"")</f>
        <v/>
      </c>
      <c r="B1094" s="361" t="s">
        <v>1158</v>
      </c>
      <c r="C1094" s="364"/>
      <c r="D1094" s="327">
        <f>IF($B1094="","",COUNTIF($B$6:$B1094,$B1094))</f>
        <v>13</v>
      </c>
      <c r="E1094" s="361">
        <v>221877</v>
      </c>
      <c r="F1094" s="362" t="s">
        <v>1446</v>
      </c>
      <c r="G1094" s="361" t="s">
        <v>329</v>
      </c>
      <c r="H1094" s="328" t="s">
        <v>536</v>
      </c>
      <c r="I1094" s="327">
        <v>1</v>
      </c>
      <c r="J1094" s="361" t="s">
        <v>1149</v>
      </c>
      <c r="K1094" s="327" t="s">
        <v>531</v>
      </c>
      <c r="L1094" s="348">
        <f t="shared" ref="L1094:L1097" si="126">+$K$1038*$T1094*$S1094</f>
        <v>315000</v>
      </c>
      <c r="M1094" s="355"/>
      <c r="N1094" s="355" t="str">
        <f t="shared" si="118"/>
        <v>PR</v>
      </c>
      <c r="O1094" s="345"/>
      <c r="P1094" s="325"/>
      <c r="Q1094" s="351"/>
      <c r="R1094" s="351"/>
      <c r="S1094" s="618">
        <v>6</v>
      </c>
      <c r="T1094" s="619">
        <f t="shared" ref="T1094:T1095" si="127">10.5/S1094</f>
        <v>1.75</v>
      </c>
      <c r="U1094" s="329">
        <f>IF($N1094=$N$4,IFERROR(INDEX(DanhMuc!$E$154:$E$165,MATCH(MID($B1094,4,2),DanhMuc!$B$154:$B$165,0)),""),"")</f>
        <v>5800</v>
      </c>
      <c r="V1094" s="325"/>
      <c r="W1094" s="352" t="str">
        <f>+IF(AND($A1094&lt;&gt;"",LEN($B1094)&gt;=8,COUNTIF($B$6:$B1094,$B1094)=1),$W$5,"")</f>
        <v/>
      </c>
      <c r="X1094" s="329" t="str">
        <f t="shared" si="125"/>
        <v>TRH</v>
      </c>
      <c r="Y1094" s="1128" t="s">
        <v>3380</v>
      </c>
      <c r="Z1094" s="1128" t="s">
        <v>3381</v>
      </c>
      <c r="AA1094" s="1128" t="s">
        <v>3384</v>
      </c>
      <c r="AC1094" s="73"/>
    </row>
    <row r="1095" spans="1:29" s="20" customFormat="1">
      <c r="A1095" s="327" t="str">
        <f>IF(AND($B1095&lt;&gt;"",$C1095&lt;&gt;""),MAX($A$4:A1094)+1,"")</f>
        <v/>
      </c>
      <c r="B1095" s="361" t="s">
        <v>1158</v>
      </c>
      <c r="C1095" s="364"/>
      <c r="D1095" s="327">
        <f>IF($B1095="","",COUNTIF($B$6:$B1095,$B1095))</f>
        <v>14</v>
      </c>
      <c r="E1095" s="361">
        <v>221877</v>
      </c>
      <c r="F1095" s="362" t="s">
        <v>1446</v>
      </c>
      <c r="G1095" s="361" t="s">
        <v>328</v>
      </c>
      <c r="H1095" s="328" t="s">
        <v>536</v>
      </c>
      <c r="I1095" s="327">
        <v>2</v>
      </c>
      <c r="J1095" s="361" t="s">
        <v>1150</v>
      </c>
      <c r="K1095" s="327" t="s">
        <v>531</v>
      </c>
      <c r="L1095" s="348">
        <f t="shared" si="126"/>
        <v>315000</v>
      </c>
      <c r="M1095" s="355"/>
      <c r="N1095" s="355" t="str">
        <f t="shared" si="118"/>
        <v>PR</v>
      </c>
      <c r="O1095" s="345"/>
      <c r="P1095" s="325"/>
      <c r="Q1095" s="351"/>
      <c r="R1095" s="351"/>
      <c r="S1095" s="618">
        <v>6</v>
      </c>
      <c r="T1095" s="619">
        <f t="shared" si="127"/>
        <v>1.75</v>
      </c>
      <c r="U1095" s="329">
        <f>IF($N1095=$N$4,IFERROR(INDEX(DanhMuc!$E$154:$E$165,MATCH(MID($B1095,4,2),DanhMuc!$B$154:$B$165,0)),""),"")</f>
        <v>5800</v>
      </c>
      <c r="V1095" s="325"/>
      <c r="W1095" s="352" t="str">
        <f>+IF(AND($A1095&lt;&gt;"",LEN($B1095)&gt;=8,COUNTIF($B$6:$B1095,$B1095)=1),$W$5,"")</f>
        <v/>
      </c>
      <c r="X1095" s="329" t="str">
        <f t="shared" si="125"/>
        <v>TRH</v>
      </c>
      <c r="Y1095" s="1128" t="s">
        <v>3380</v>
      </c>
      <c r="Z1095" s="1128" t="s">
        <v>3381</v>
      </c>
      <c r="AA1095" s="1128" t="s">
        <v>3384</v>
      </c>
      <c r="AC1095" s="73"/>
    </row>
    <row r="1096" spans="1:29" s="20" customFormat="1">
      <c r="A1096" s="327" t="str">
        <f>IF(AND($B1096&lt;&gt;"",$C1096&lt;&gt;""),MAX($A$4:A1095)+1,"")</f>
        <v/>
      </c>
      <c r="B1096" s="361" t="s">
        <v>1158</v>
      </c>
      <c r="C1096" s="364"/>
      <c r="D1096" s="327">
        <f>IF($B1096="","",COUNTIF($B$6:$B1096,$B1096))</f>
        <v>15</v>
      </c>
      <c r="E1096" s="361">
        <v>221871</v>
      </c>
      <c r="F1096" s="362" t="s">
        <v>613</v>
      </c>
      <c r="G1096" s="361" t="s">
        <v>329</v>
      </c>
      <c r="H1096" s="328" t="s">
        <v>536</v>
      </c>
      <c r="I1096" s="327">
        <v>8</v>
      </c>
      <c r="J1096" s="361" t="s">
        <v>1162</v>
      </c>
      <c r="K1096" s="327" t="s">
        <v>531</v>
      </c>
      <c r="L1096" s="348">
        <f t="shared" si="126"/>
        <v>372000.00000000006</v>
      </c>
      <c r="M1096" s="355"/>
      <c r="N1096" s="355" t="str">
        <f t="shared" si="118"/>
        <v>PR</v>
      </c>
      <c r="O1096" s="345"/>
      <c r="P1096" s="325"/>
      <c r="Q1096" s="351"/>
      <c r="R1096" s="351"/>
      <c r="S1096" s="618">
        <v>6</v>
      </c>
      <c r="T1096" s="619">
        <f t="shared" ref="T1096:T1097" si="128">12.4/S1096</f>
        <v>2.0666666666666669</v>
      </c>
      <c r="U1096" s="329">
        <f>IF($N1096=$N$4,IFERROR(INDEX(DanhMuc!$E$154:$E$165,MATCH(MID($B1096,4,2),DanhMuc!$B$154:$B$165,0)),""),"")</f>
        <v>5800</v>
      </c>
      <c r="V1096" s="325"/>
      <c r="W1096" s="352" t="str">
        <f>+IF(AND($A1096&lt;&gt;"",LEN($B1096)&gt;=8,COUNTIF($B$6:$B1096,$B1096)=1),$W$5,"")</f>
        <v/>
      </c>
      <c r="X1096" s="329" t="str">
        <f t="shared" si="125"/>
        <v>TRH</v>
      </c>
      <c r="Y1096" s="1128" t="s">
        <v>3380</v>
      </c>
      <c r="Z1096" s="1128" t="s">
        <v>3381</v>
      </c>
      <c r="AA1096" s="1128" t="s">
        <v>3384</v>
      </c>
      <c r="AC1096" s="73"/>
    </row>
    <row r="1097" spans="1:29" s="20" customFormat="1">
      <c r="A1097" s="327" t="str">
        <f>IF(AND($B1097&lt;&gt;"",$C1097&lt;&gt;""),MAX($A$4:A1096)+1,"")</f>
        <v/>
      </c>
      <c r="B1097" s="361" t="s">
        <v>1158</v>
      </c>
      <c r="C1097" s="364"/>
      <c r="D1097" s="327">
        <f>IF($B1097="","",COUNTIF($B$6:$B1097,$B1097))</f>
        <v>16</v>
      </c>
      <c r="E1097" s="361">
        <v>221871</v>
      </c>
      <c r="F1097" s="362" t="s">
        <v>613</v>
      </c>
      <c r="G1097" s="361" t="s">
        <v>328</v>
      </c>
      <c r="H1097" s="328" t="s">
        <v>536</v>
      </c>
      <c r="I1097" s="327">
        <v>8</v>
      </c>
      <c r="J1097" s="361" t="s">
        <v>1152</v>
      </c>
      <c r="K1097" s="327" t="s">
        <v>531</v>
      </c>
      <c r="L1097" s="348">
        <f t="shared" si="126"/>
        <v>372000.00000000006</v>
      </c>
      <c r="M1097" s="355"/>
      <c r="N1097" s="355" t="str">
        <f t="shared" si="118"/>
        <v>PR</v>
      </c>
      <c r="O1097" s="345"/>
      <c r="P1097" s="325"/>
      <c r="Q1097" s="351"/>
      <c r="R1097" s="351"/>
      <c r="S1097" s="618">
        <v>6</v>
      </c>
      <c r="T1097" s="619">
        <f t="shared" si="128"/>
        <v>2.0666666666666669</v>
      </c>
      <c r="U1097" s="329">
        <f>IF($N1097=$N$4,IFERROR(INDEX(DanhMuc!$E$154:$E$165,MATCH(MID($B1097,4,2),DanhMuc!$B$154:$B$165,0)),""),"")</f>
        <v>5800</v>
      </c>
      <c r="V1097" s="325"/>
      <c r="W1097" s="352" t="str">
        <f>+IF(AND($A1097&lt;&gt;"",LEN($B1097)&gt;=8,COUNTIF($B$6:$B1097,$B1097)=1),$W$5,"")</f>
        <v/>
      </c>
      <c r="X1097" s="329" t="str">
        <f t="shared" si="125"/>
        <v>TRH</v>
      </c>
      <c r="Y1097" s="1128" t="s">
        <v>3380</v>
      </c>
      <c r="Z1097" s="1128" t="s">
        <v>3381</v>
      </c>
      <c r="AA1097" s="1128" t="s">
        <v>3384</v>
      </c>
      <c r="AC1097" s="73"/>
    </row>
    <row r="1098" spans="1:29" s="20" customFormat="1" ht="26">
      <c r="A1098" s="327">
        <f>IF(AND($B1098&lt;&gt;"",$C1098&lt;&gt;""),MAX($A$4:A1097)+1,"")</f>
        <v>83</v>
      </c>
      <c r="B1098" s="359" t="s">
        <v>1066</v>
      </c>
      <c r="C1098" s="370" t="s">
        <v>1576</v>
      </c>
      <c r="D1098" s="327">
        <f>IF($B1098="","",COUNTIF($B$6:$B1098,$B1098))</f>
        <v>1</v>
      </c>
      <c r="E1098" s="363">
        <v>500013</v>
      </c>
      <c r="F1098" s="362" t="s">
        <v>938</v>
      </c>
      <c r="G1098" s="361" t="s">
        <v>329</v>
      </c>
      <c r="H1098" s="325"/>
      <c r="I1098" s="327">
        <v>2</v>
      </c>
      <c r="J1098" s="361" t="s">
        <v>762</v>
      </c>
      <c r="K1098" s="327" t="s">
        <v>516</v>
      </c>
      <c r="L1098" s="348">
        <v>432870</v>
      </c>
      <c r="M1098" s="355"/>
      <c r="N1098" s="355" t="str">
        <f t="shared" ref="N1098:N1145" si="129">+$N$4</f>
        <v>PR</v>
      </c>
      <c r="O1098" s="345" t="s">
        <v>1832</v>
      </c>
      <c r="P1098" s="325"/>
      <c r="Q1098" s="351"/>
      <c r="R1098" s="351"/>
      <c r="S1098" s="618">
        <v>5.8</v>
      </c>
      <c r="T1098" s="619">
        <v>6.3220000000000001</v>
      </c>
      <c r="U1098" s="329">
        <f>IF($N1098=$N$4,IFERROR(INDEX(DanhMuc!$E$154:$E$165,MATCH(MID($B1098,4,2),DanhMuc!$B$154:$B$165,0)),""),"")</f>
        <v>5800</v>
      </c>
      <c r="V1098" s="325"/>
      <c r="W1098" s="352" t="str">
        <f>+IF(AND($A1098&lt;&gt;"",LEN($B1098)&gt;=8,COUNTIF($B$6:$B1098,$B1098)=1),$W$5,"")</f>
        <v>DMCua</v>
      </c>
      <c r="X1098" s="329" t="str">
        <f t="shared" si="125"/>
        <v>RH</v>
      </c>
      <c r="Y1098" s="1128" t="s">
        <v>3380</v>
      </c>
      <c r="Z1098" s="1128" t="s">
        <v>3381</v>
      </c>
      <c r="AA1098" s="1128" t="s">
        <v>3384</v>
      </c>
      <c r="AC1098" s="73"/>
    </row>
    <row r="1099" spans="1:29" s="20" customFormat="1">
      <c r="A1099" s="327" t="str">
        <f>IF(AND($B1099&lt;&gt;"",$C1099&lt;&gt;""),MAX($A$4:A1098)+1,"")</f>
        <v/>
      </c>
      <c r="B1099" s="361" t="s">
        <v>1066</v>
      </c>
      <c r="C1099" s="370"/>
      <c r="D1099" s="327">
        <f>IF($B1099="","",COUNTIF($B$6:$B1099,$B1099))</f>
        <v>2</v>
      </c>
      <c r="E1099" s="363">
        <v>500013</v>
      </c>
      <c r="F1099" s="362" t="s">
        <v>938</v>
      </c>
      <c r="G1099" s="361" t="s">
        <v>329</v>
      </c>
      <c r="H1099" s="325"/>
      <c r="I1099" s="327">
        <v>1</v>
      </c>
      <c r="J1099" s="361" t="s">
        <v>762</v>
      </c>
      <c r="K1099" s="327" t="s">
        <v>516</v>
      </c>
      <c r="L1099" s="348">
        <v>432870</v>
      </c>
      <c r="M1099" s="355"/>
      <c r="N1099" s="355" t="str">
        <f t="shared" si="129"/>
        <v>PR</v>
      </c>
      <c r="O1099" s="345" t="s">
        <v>1831</v>
      </c>
      <c r="P1099" s="325"/>
      <c r="Q1099" s="351"/>
      <c r="R1099" s="351"/>
      <c r="S1099" s="618">
        <v>5.8</v>
      </c>
      <c r="T1099" s="619">
        <v>6.3220000000000001</v>
      </c>
      <c r="U1099" s="329">
        <f>IF($N1099=$N$4,IFERROR(INDEX(DanhMuc!$E$154:$E$165,MATCH(MID($B1099,4,2),DanhMuc!$B$154:$B$165,0)),""),"")</f>
        <v>5800</v>
      </c>
      <c r="V1099" s="325"/>
      <c r="W1099" s="352" t="str">
        <f>+IF(AND($A1099&lt;&gt;"",LEN($B1099)&gt;=8,COUNTIF($B$6:$B1099,$B1099)=1),$W$5,"")</f>
        <v/>
      </c>
      <c r="X1099" s="329" t="str">
        <f t="shared" si="125"/>
        <v>RH</v>
      </c>
      <c r="Y1099" s="1128" t="s">
        <v>3380</v>
      </c>
      <c r="Z1099" s="1128" t="s">
        <v>3381</v>
      </c>
      <c r="AA1099" s="1128" t="s">
        <v>3384</v>
      </c>
      <c r="AC1099" s="73"/>
    </row>
    <row r="1100" spans="1:29" s="20" customFormat="1">
      <c r="A1100" s="327" t="str">
        <f>IF(AND($B1100&lt;&gt;"",$C1100&lt;&gt;""),MAX($A$4:A1099)+1,"")</f>
        <v/>
      </c>
      <c r="B1100" s="361" t="s">
        <v>1066</v>
      </c>
      <c r="C1100" s="364"/>
      <c r="D1100" s="327">
        <f>IF($B1100="","",COUNTIF($B$6:$B1100,$B1100))</f>
        <v>3</v>
      </c>
      <c r="E1100" s="363">
        <v>500013</v>
      </c>
      <c r="F1100" s="362" t="s">
        <v>938</v>
      </c>
      <c r="G1100" s="361" t="s">
        <v>328</v>
      </c>
      <c r="H1100" s="325"/>
      <c r="I1100" s="327">
        <v>2</v>
      </c>
      <c r="J1100" s="361" t="s">
        <v>763</v>
      </c>
      <c r="K1100" s="327" t="s">
        <v>516</v>
      </c>
      <c r="L1100" s="348">
        <v>432870</v>
      </c>
      <c r="M1100" s="355"/>
      <c r="N1100" s="355" t="str">
        <f t="shared" si="129"/>
        <v>PR</v>
      </c>
      <c r="O1100" s="345" t="s">
        <v>1832</v>
      </c>
      <c r="P1100" s="325"/>
      <c r="Q1100" s="351"/>
      <c r="R1100" s="351"/>
      <c r="S1100" s="618">
        <v>5.8</v>
      </c>
      <c r="T1100" s="619">
        <v>6.3220000000000001</v>
      </c>
      <c r="U1100" s="329">
        <f>IF($N1100=$N$4,IFERROR(INDEX(DanhMuc!$E$154:$E$165,MATCH(MID($B1100,4,2),DanhMuc!$B$154:$B$165,0)),""),"")</f>
        <v>5800</v>
      </c>
      <c r="V1100" s="325"/>
      <c r="W1100" s="352" t="str">
        <f>+IF(AND($A1100&lt;&gt;"",LEN($B1100)&gt;=8,COUNTIF($B$6:$B1100,$B1100)=1),$W$5,"")</f>
        <v/>
      </c>
      <c r="X1100" s="329" t="str">
        <f t="shared" si="125"/>
        <v>RH</v>
      </c>
      <c r="Y1100" s="1128" t="s">
        <v>3380</v>
      </c>
      <c r="Z1100" s="1128" t="s">
        <v>3381</v>
      </c>
      <c r="AA1100" s="1128" t="s">
        <v>3384</v>
      </c>
      <c r="AC1100" s="73"/>
    </row>
    <row r="1101" spans="1:29" s="20" customFormat="1">
      <c r="A1101" s="327" t="str">
        <f>IF(AND($B1101&lt;&gt;"",$C1101&lt;&gt;""),MAX($A$4:A1100)+1,"")</f>
        <v/>
      </c>
      <c r="B1101" s="361" t="s">
        <v>1066</v>
      </c>
      <c r="C1101" s="364"/>
      <c r="D1101" s="327">
        <f>IF($B1101="","",COUNTIF($B$6:$B1101,$B1101))</f>
        <v>4</v>
      </c>
      <c r="E1101" s="363">
        <v>500013</v>
      </c>
      <c r="F1101" s="362" t="s">
        <v>938</v>
      </c>
      <c r="G1101" s="361" t="s">
        <v>328</v>
      </c>
      <c r="H1101" s="325"/>
      <c r="I1101" s="327">
        <v>2</v>
      </c>
      <c r="J1101" s="361" t="s">
        <v>814</v>
      </c>
      <c r="K1101" s="327" t="s">
        <v>1835</v>
      </c>
      <c r="L1101" s="348">
        <v>432870</v>
      </c>
      <c r="M1101" s="355"/>
      <c r="N1101" s="355" t="str">
        <f t="shared" si="129"/>
        <v>PR</v>
      </c>
      <c r="O1101" s="345" t="s">
        <v>1831</v>
      </c>
      <c r="P1101" s="325"/>
      <c r="Q1101" s="351"/>
      <c r="R1101" s="351"/>
      <c r="S1101" s="618">
        <v>5.8</v>
      </c>
      <c r="T1101" s="619">
        <v>6.3220000000000001</v>
      </c>
      <c r="U1101" s="329">
        <f>IF($N1101=$N$4,IFERROR(INDEX(DanhMuc!$E$154:$E$165,MATCH(MID($B1101,4,2),DanhMuc!$B$154:$B$165,0)),""),"")</f>
        <v>5800</v>
      </c>
      <c r="V1101" s="325"/>
      <c r="W1101" s="352" t="str">
        <f>+IF(AND($A1101&lt;&gt;"",LEN($B1101)&gt;=8,COUNTIF($B$6:$B1101,$B1101)=1),$W$5,"")</f>
        <v/>
      </c>
      <c r="X1101" s="329" t="str">
        <f t="shared" si="125"/>
        <v>RH</v>
      </c>
      <c r="Y1101" s="1128" t="s">
        <v>3380</v>
      </c>
      <c r="Z1101" s="1128" t="s">
        <v>3381</v>
      </c>
      <c r="AA1101" s="1128" t="s">
        <v>3384</v>
      </c>
      <c r="AC1101" s="73"/>
    </row>
    <row r="1102" spans="1:29" s="20" customFormat="1">
      <c r="A1102" s="327" t="str">
        <f>IF(AND($B1102&lt;&gt;"",$C1102&lt;&gt;""),MAX($A$4:A1101)+1,"")</f>
        <v/>
      </c>
      <c r="B1102" s="361" t="s">
        <v>1066</v>
      </c>
      <c r="C1102" s="364"/>
      <c r="D1102" s="327">
        <f>IF($B1102="","",COUNTIF($B$6:$B1102,$B1102))</f>
        <v>5</v>
      </c>
      <c r="E1102" s="363">
        <v>221842</v>
      </c>
      <c r="F1102" s="362" t="s">
        <v>1373</v>
      </c>
      <c r="G1102" s="361" t="s">
        <v>329</v>
      </c>
      <c r="H1102" s="325"/>
      <c r="I1102" s="327">
        <v>2</v>
      </c>
      <c r="J1102" s="361" t="s">
        <v>916</v>
      </c>
      <c r="K1102" s="327" t="s">
        <v>531</v>
      </c>
      <c r="L1102" s="348">
        <v>87023</v>
      </c>
      <c r="M1102" s="355"/>
      <c r="N1102" s="355" t="str">
        <f t="shared" si="129"/>
        <v>PR</v>
      </c>
      <c r="O1102" s="345" t="s">
        <v>1832</v>
      </c>
      <c r="P1102" s="325"/>
      <c r="Q1102" s="351"/>
      <c r="R1102" s="351"/>
      <c r="S1102" s="618">
        <v>5.8</v>
      </c>
      <c r="T1102" s="619">
        <v>0.55100000000000005</v>
      </c>
      <c r="U1102" s="329">
        <f>IF($N1102=$N$4,IFERROR(INDEX(DanhMuc!$E$154:$E$165,MATCH(MID($B1102,4,2),DanhMuc!$B$154:$B$165,0)),""),"")</f>
        <v>5800</v>
      </c>
      <c r="V1102" s="325"/>
      <c r="W1102" s="352" t="str">
        <f>+IF(AND($A1102&lt;&gt;"",LEN($B1102)&gt;=8,COUNTIF($B$6:$B1102,$B1102)=1),$W$5,"")</f>
        <v/>
      </c>
      <c r="X1102" s="329" t="str">
        <f t="shared" si="125"/>
        <v>RH</v>
      </c>
      <c r="Y1102" s="1128" t="s">
        <v>3380</v>
      </c>
      <c r="Z1102" s="1128" t="s">
        <v>3381</v>
      </c>
      <c r="AA1102" s="1128" t="s">
        <v>3384</v>
      </c>
      <c r="AC1102" s="73"/>
    </row>
    <row r="1103" spans="1:29" s="20" customFormat="1">
      <c r="A1103" s="327" t="str">
        <f>IF(AND($B1103&lt;&gt;"",$C1103&lt;&gt;""),MAX($A$4:A1102)+1,"")</f>
        <v/>
      </c>
      <c r="B1103" s="361" t="s">
        <v>1066</v>
      </c>
      <c r="C1103" s="364"/>
      <c r="D1103" s="327">
        <f>IF($B1103="","",COUNTIF($B$6:$B1103,$B1103))</f>
        <v>6</v>
      </c>
      <c r="E1103" s="363">
        <v>320086</v>
      </c>
      <c r="F1103" s="362" t="s">
        <v>1833</v>
      </c>
      <c r="G1103" s="361" t="s">
        <v>329</v>
      </c>
      <c r="H1103" s="325"/>
      <c r="I1103" s="327">
        <v>1</v>
      </c>
      <c r="J1103" s="361" t="s">
        <v>2109</v>
      </c>
      <c r="K1103" s="327" t="s">
        <v>531</v>
      </c>
      <c r="L1103" s="348">
        <v>1162181</v>
      </c>
      <c r="M1103" s="355"/>
      <c r="N1103" s="355" t="str">
        <f t="shared" si="129"/>
        <v>PR</v>
      </c>
      <c r="O1103" s="345" t="s">
        <v>1831</v>
      </c>
      <c r="P1103" s="325"/>
      <c r="Q1103" s="351"/>
      <c r="R1103" s="351"/>
      <c r="S1103" s="618">
        <v>5.8</v>
      </c>
      <c r="T1103" s="619">
        <v>6.2640000000000002</v>
      </c>
      <c r="U1103" s="329">
        <f>IF($N1103=$N$4,IFERROR(INDEX(DanhMuc!$E$154:$E$165,MATCH(MID($B1103,4,2),DanhMuc!$B$154:$B$165,0)),""),"")</f>
        <v>5800</v>
      </c>
      <c r="V1103" s="325"/>
      <c r="W1103" s="352" t="str">
        <f>+IF(AND($A1103&lt;&gt;"",LEN($B1103)&gt;=8,COUNTIF($B$6:$B1103,$B1103)=1),$W$5,"")</f>
        <v/>
      </c>
      <c r="X1103" s="329" t="str">
        <f t="shared" si="125"/>
        <v>RH</v>
      </c>
      <c r="Y1103" s="1128" t="s">
        <v>3380</v>
      </c>
      <c r="Z1103" s="1128" t="s">
        <v>3381</v>
      </c>
      <c r="AA1103" s="1128" t="s">
        <v>3384</v>
      </c>
      <c r="AC1103" s="73"/>
    </row>
    <row r="1104" spans="1:29" s="20" customFormat="1">
      <c r="A1104" s="327" t="str">
        <f>IF(AND($B1104&lt;&gt;"",$C1104&lt;&gt;""),MAX($A$4:A1103)+1,"")</f>
        <v/>
      </c>
      <c r="B1104" s="361" t="s">
        <v>1066</v>
      </c>
      <c r="C1104" s="364"/>
      <c r="D1104" s="327">
        <f>IF($B1104="","",COUNTIF($B$6:$B1104,$B1104))</f>
        <v>7</v>
      </c>
      <c r="E1104" s="361">
        <v>500403</v>
      </c>
      <c r="F1104" s="362" t="s">
        <v>840</v>
      </c>
      <c r="G1104" s="361" t="s">
        <v>329</v>
      </c>
      <c r="H1104" s="325"/>
      <c r="I1104" s="327">
        <v>4</v>
      </c>
      <c r="J1104" s="361" t="s">
        <v>1183</v>
      </c>
      <c r="K1104" s="327" t="s">
        <v>516</v>
      </c>
      <c r="L1104" s="348">
        <v>545720</v>
      </c>
      <c r="M1104" s="355"/>
      <c r="N1104" s="355" t="str">
        <f t="shared" si="129"/>
        <v>PR</v>
      </c>
      <c r="O1104" s="345"/>
      <c r="P1104" s="325"/>
      <c r="Q1104" s="351"/>
      <c r="R1104" s="351"/>
      <c r="S1104" s="618">
        <v>5.8</v>
      </c>
      <c r="T1104" s="619">
        <v>7.2325999999999997</v>
      </c>
      <c r="U1104" s="329">
        <f>IF($N1104=$N$4,IFERROR(INDEX(DanhMuc!$E$154:$E$165,MATCH(MID($B1104,4,2),DanhMuc!$B$154:$B$165,0)),""),"")</f>
        <v>5800</v>
      </c>
      <c r="V1104" s="325"/>
      <c r="W1104" s="352" t="str">
        <f>+IF(AND($A1104&lt;&gt;"",LEN($B1104)&gt;=8,COUNTIF($B$6:$B1104,$B1104)=1),$W$5,"")</f>
        <v/>
      </c>
      <c r="X1104" s="329" t="str">
        <f t="shared" si="125"/>
        <v>RH</v>
      </c>
      <c r="Y1104" s="1128" t="s">
        <v>3380</v>
      </c>
      <c r="Z1104" s="1128" t="s">
        <v>3381</v>
      </c>
      <c r="AA1104" s="1128" t="s">
        <v>3384</v>
      </c>
      <c r="AC1104" s="73"/>
    </row>
    <row r="1105" spans="1:29" s="20" customFormat="1">
      <c r="A1105" s="327" t="str">
        <f>IF(AND($B1105&lt;&gt;"",$C1105&lt;&gt;""),MAX($A$4:A1104)+1,"")</f>
        <v/>
      </c>
      <c r="B1105" s="361" t="s">
        <v>1066</v>
      </c>
      <c r="C1105" s="364"/>
      <c r="D1105" s="327">
        <f>IF($B1105="","",COUNTIF($B$6:$B1105,$B1105))</f>
        <v>8</v>
      </c>
      <c r="E1105" s="361">
        <v>500403</v>
      </c>
      <c r="F1105" s="362" t="s">
        <v>840</v>
      </c>
      <c r="G1105" s="361" t="s">
        <v>328</v>
      </c>
      <c r="H1105" s="325"/>
      <c r="I1105" s="327">
        <v>4</v>
      </c>
      <c r="J1105" s="361" t="s">
        <v>919</v>
      </c>
      <c r="K1105" s="327" t="s">
        <v>516</v>
      </c>
      <c r="L1105" s="348">
        <v>545720</v>
      </c>
      <c r="M1105" s="355"/>
      <c r="N1105" s="355" t="str">
        <f t="shared" si="129"/>
        <v>PR</v>
      </c>
      <c r="O1105" s="345" t="s">
        <v>1832</v>
      </c>
      <c r="P1105" s="325"/>
      <c r="Q1105" s="351"/>
      <c r="R1105" s="351"/>
      <c r="S1105" s="618">
        <v>5.8</v>
      </c>
      <c r="T1105" s="619">
        <v>7.2325999999999997</v>
      </c>
      <c r="U1105" s="329">
        <f>IF($N1105=$N$4,IFERROR(INDEX(DanhMuc!$E$154:$E$165,MATCH(MID($B1105,4,2),DanhMuc!$B$154:$B$165,0)),""),"")</f>
        <v>5800</v>
      </c>
      <c r="V1105" s="325"/>
      <c r="W1105" s="352" t="str">
        <f>+IF(AND($A1105&lt;&gt;"",LEN($B1105)&gt;=8,COUNTIF($B$6:$B1105,$B1105)=1),$W$5,"")</f>
        <v/>
      </c>
      <c r="X1105" s="329" t="str">
        <f t="shared" si="125"/>
        <v>RH</v>
      </c>
      <c r="Y1105" s="1128" t="s">
        <v>3380</v>
      </c>
      <c r="Z1105" s="1128" t="s">
        <v>3381</v>
      </c>
      <c r="AA1105" s="1128" t="s">
        <v>3384</v>
      </c>
      <c r="AC1105" s="73"/>
    </row>
    <row r="1106" spans="1:29" s="20" customFormat="1">
      <c r="A1106" s="327" t="str">
        <f>IF(AND($B1106&lt;&gt;"",$C1106&lt;&gt;""),MAX($A$4:A1105)+1,"")</f>
        <v/>
      </c>
      <c r="B1106" s="361" t="s">
        <v>1066</v>
      </c>
      <c r="C1106" s="364"/>
      <c r="D1106" s="327">
        <f>IF($B1106="","",COUNTIF($B$6:$B1106,$B1106))</f>
        <v>9</v>
      </c>
      <c r="E1106" s="361">
        <v>500403</v>
      </c>
      <c r="F1106" s="362" t="s">
        <v>840</v>
      </c>
      <c r="G1106" s="361" t="s">
        <v>328</v>
      </c>
      <c r="H1106" s="325"/>
      <c r="I1106" s="327">
        <v>4</v>
      </c>
      <c r="J1106" s="361" t="s">
        <v>1834</v>
      </c>
      <c r="K1106" s="327" t="s">
        <v>516</v>
      </c>
      <c r="L1106" s="348">
        <v>545720</v>
      </c>
      <c r="M1106" s="355"/>
      <c r="N1106" s="355" t="str">
        <f t="shared" si="129"/>
        <v>PR</v>
      </c>
      <c r="O1106" s="345" t="s">
        <v>1831</v>
      </c>
      <c r="P1106" s="325"/>
      <c r="Q1106" s="351"/>
      <c r="R1106" s="351"/>
      <c r="S1106" s="618">
        <v>5.8</v>
      </c>
      <c r="T1106" s="619">
        <v>7.2325999999999997</v>
      </c>
      <c r="U1106" s="329">
        <f>IF($N1106=$N$4,IFERROR(INDEX(DanhMuc!$E$154:$E$165,MATCH(MID($B1106,4,2),DanhMuc!$B$154:$B$165,0)),""),"")</f>
        <v>5800</v>
      </c>
      <c r="V1106" s="325"/>
      <c r="W1106" s="352" t="str">
        <f>+IF(AND($A1106&lt;&gt;"",LEN($B1106)&gt;=8,COUNTIF($B$6:$B1106,$B1106)=1),$W$5,"")</f>
        <v/>
      </c>
      <c r="X1106" s="329" t="str">
        <f t="shared" si="125"/>
        <v>RH</v>
      </c>
      <c r="Y1106" s="1128" t="s">
        <v>3380</v>
      </c>
      <c r="Z1106" s="1128" t="s">
        <v>3381</v>
      </c>
      <c r="AA1106" s="1128" t="s">
        <v>3384</v>
      </c>
      <c r="AC1106" s="73"/>
    </row>
    <row r="1107" spans="1:29" s="20" customFormat="1">
      <c r="A1107" s="327" t="str">
        <f>IF(AND($B1107&lt;&gt;"",$C1107&lt;&gt;""),MAX($A$4:A1106)+1,"")</f>
        <v/>
      </c>
      <c r="B1107" s="361" t="s">
        <v>1066</v>
      </c>
      <c r="C1107" s="364"/>
      <c r="D1107" s="327">
        <f>IF($B1107="","",COUNTIF($B$6:$B1107,$B1107))</f>
        <v>10</v>
      </c>
      <c r="E1107" s="361">
        <v>500063</v>
      </c>
      <c r="F1107" s="362" t="s">
        <v>842</v>
      </c>
      <c r="G1107" s="361" t="s">
        <v>328</v>
      </c>
      <c r="H1107" s="325"/>
      <c r="I1107" s="327">
        <v>2</v>
      </c>
      <c r="J1107" s="361" t="s">
        <v>920</v>
      </c>
      <c r="K1107" s="327" t="s">
        <v>531</v>
      </c>
      <c r="L1107" s="348">
        <v>185837</v>
      </c>
      <c r="M1107" s="355"/>
      <c r="N1107" s="355" t="str">
        <f t="shared" si="129"/>
        <v>PR</v>
      </c>
      <c r="O1107" s="345" t="s">
        <v>1832</v>
      </c>
      <c r="P1107" s="325"/>
      <c r="Q1107" s="351"/>
      <c r="R1107" s="351"/>
      <c r="S1107" s="618">
        <v>5.8</v>
      </c>
      <c r="T1107" s="619">
        <v>2.0821999999999998</v>
      </c>
      <c r="U1107" s="329">
        <f>IF($N1107=$N$4,IFERROR(INDEX(DanhMuc!$E$154:$E$165,MATCH(MID($B1107,4,2),DanhMuc!$B$154:$B$165,0)),""),"")</f>
        <v>5800</v>
      </c>
      <c r="V1107" s="325"/>
      <c r="W1107" s="352" t="str">
        <f>+IF(AND($A1107&lt;&gt;"",LEN($B1107)&gt;=8,COUNTIF($B$6:$B1107,$B1107)=1),$W$5,"")</f>
        <v/>
      </c>
      <c r="X1107" s="329" t="str">
        <f t="shared" si="125"/>
        <v>RH</v>
      </c>
      <c r="Y1107" s="1128" t="s">
        <v>3380</v>
      </c>
      <c r="Z1107" s="1128" t="s">
        <v>3381</v>
      </c>
      <c r="AA1107" s="1128" t="s">
        <v>3384</v>
      </c>
      <c r="AC1107" s="73"/>
    </row>
    <row r="1108" spans="1:29" s="20" customFormat="1">
      <c r="A1108" s="327" t="str">
        <f>IF(AND($B1108&lt;&gt;"",$C1108&lt;&gt;""),MAX($A$4:A1107)+1,"")</f>
        <v/>
      </c>
      <c r="B1108" s="361" t="s">
        <v>1066</v>
      </c>
      <c r="C1108" s="364"/>
      <c r="D1108" s="327">
        <f>IF($B1108="","",COUNTIF($B$6:$B1108,$B1108))</f>
        <v>11</v>
      </c>
      <c r="E1108" s="361">
        <v>500063</v>
      </c>
      <c r="F1108" s="362" t="s">
        <v>842</v>
      </c>
      <c r="G1108" s="361" t="s">
        <v>328</v>
      </c>
      <c r="H1108" s="325"/>
      <c r="I1108" s="327">
        <v>2</v>
      </c>
      <c r="J1108" s="361" t="s">
        <v>1837</v>
      </c>
      <c r="K1108" s="327" t="s">
        <v>531</v>
      </c>
      <c r="L1108" s="348">
        <v>185837</v>
      </c>
      <c r="M1108" s="355"/>
      <c r="N1108" s="355" t="str">
        <f t="shared" si="129"/>
        <v>PR</v>
      </c>
      <c r="O1108" s="345" t="s">
        <v>1831</v>
      </c>
      <c r="P1108" s="325"/>
      <c r="Q1108" s="351"/>
      <c r="R1108" s="351"/>
      <c r="S1108" s="618">
        <v>5.8</v>
      </c>
      <c r="T1108" s="619">
        <v>2.0821999999999998</v>
      </c>
      <c r="U1108" s="329">
        <f>IF($N1108=$N$4,IFERROR(INDEX(DanhMuc!$E$154:$E$165,MATCH(MID($B1108,4,2),DanhMuc!$B$154:$B$165,0)),""),"")</f>
        <v>5800</v>
      </c>
      <c r="V1108" s="325"/>
      <c r="W1108" s="352" t="str">
        <f>+IF(AND($A1108&lt;&gt;"",LEN($B1108)&gt;=8,COUNTIF($B$6:$B1108,$B1108)=1),$W$5,"")</f>
        <v/>
      </c>
      <c r="X1108" s="329" t="str">
        <f t="shared" si="125"/>
        <v>RH</v>
      </c>
      <c r="Y1108" s="1128" t="s">
        <v>3380</v>
      </c>
      <c r="Z1108" s="1128" t="s">
        <v>3381</v>
      </c>
      <c r="AA1108" s="1128" t="s">
        <v>3384</v>
      </c>
      <c r="AC1108" s="73"/>
    </row>
    <row r="1109" spans="1:29" s="20" customFormat="1">
      <c r="A1109" s="327" t="str">
        <f>IF(AND($B1109&lt;&gt;"",$C1109&lt;&gt;""),MAX($A$4:A1108)+1,"")</f>
        <v/>
      </c>
      <c r="B1109" s="361" t="s">
        <v>1066</v>
      </c>
      <c r="C1109" s="364"/>
      <c r="D1109" s="327">
        <f>IF($B1109="","",COUNTIF($B$6:$B1109,$B1109))</f>
        <v>12</v>
      </c>
      <c r="E1109" s="361" t="s">
        <v>899</v>
      </c>
      <c r="F1109" s="362" t="s">
        <v>898</v>
      </c>
      <c r="G1109" s="361" t="s">
        <v>329</v>
      </c>
      <c r="H1109" s="325"/>
      <c r="I1109" s="327">
        <v>4</v>
      </c>
      <c r="J1109" s="361" t="s">
        <v>1184</v>
      </c>
      <c r="K1109" s="327" t="s">
        <v>516</v>
      </c>
      <c r="L1109" s="348">
        <v>0</v>
      </c>
      <c r="M1109" s="355"/>
      <c r="N1109" s="355" t="str">
        <f t="shared" si="129"/>
        <v>PR</v>
      </c>
      <c r="O1109" s="347"/>
      <c r="P1109" s="325"/>
      <c r="Q1109" s="351"/>
      <c r="R1109" s="351"/>
      <c r="S1109" s="618"/>
      <c r="T1109" s="619"/>
      <c r="U1109" s="329">
        <f>IF($N1109=$N$4,IFERROR(INDEX(DanhMuc!$E$154:$E$165,MATCH(MID($B1109,4,2),DanhMuc!$B$154:$B$165,0)),""),"")</f>
        <v>5800</v>
      </c>
      <c r="V1109" s="325"/>
      <c r="W1109" s="352" t="str">
        <f>+IF(AND($A1109&lt;&gt;"",LEN($B1109)&gt;=8,COUNTIF($B$6:$B1109,$B1109)=1),$W$5,"")</f>
        <v/>
      </c>
      <c r="X1109" s="329" t="str">
        <f t="shared" si="125"/>
        <v>RH</v>
      </c>
      <c r="Y1109" s="1128" t="s">
        <v>3380</v>
      </c>
      <c r="Z1109" s="1128" t="s">
        <v>3381</v>
      </c>
      <c r="AA1109" s="1128" t="s">
        <v>3384</v>
      </c>
      <c r="AC1109" s="73"/>
    </row>
    <row r="1110" spans="1:29" s="20" customFormat="1">
      <c r="A1110" s="327" t="str">
        <f>IF(AND($B1110&lt;&gt;"",$C1110&lt;&gt;""),MAX($A$4:A1109)+1,"")</f>
        <v/>
      </c>
      <c r="B1110" s="361" t="s">
        <v>1066</v>
      </c>
      <c r="C1110" s="364"/>
      <c r="D1110" s="327">
        <f>IF($B1110="","",COUNTIF($B$6:$B1110,$B1110))</f>
        <v>13</v>
      </c>
      <c r="E1110" s="361" t="s">
        <v>899</v>
      </c>
      <c r="F1110" s="362" t="s">
        <v>898</v>
      </c>
      <c r="G1110" s="361" t="s">
        <v>328</v>
      </c>
      <c r="H1110" s="325"/>
      <c r="I1110" s="327">
        <v>4</v>
      </c>
      <c r="J1110" s="361" t="s">
        <v>1176</v>
      </c>
      <c r="K1110" s="327" t="s">
        <v>516</v>
      </c>
      <c r="L1110" s="348">
        <v>0</v>
      </c>
      <c r="M1110" s="355"/>
      <c r="N1110" s="355" t="str">
        <f t="shared" si="129"/>
        <v>PR</v>
      </c>
      <c r="O1110" s="345" t="s">
        <v>1832</v>
      </c>
      <c r="P1110" s="325"/>
      <c r="Q1110" s="351"/>
      <c r="R1110" s="351"/>
      <c r="S1110" s="618"/>
      <c r="T1110" s="619"/>
      <c r="U1110" s="329">
        <f>IF($N1110=$N$4,IFERROR(INDEX(DanhMuc!$E$154:$E$165,MATCH(MID($B1110,4,2),DanhMuc!$B$154:$B$165,0)),""),"")</f>
        <v>5800</v>
      </c>
      <c r="V1110" s="325"/>
      <c r="W1110" s="352" t="str">
        <f>+IF(AND($A1110&lt;&gt;"",LEN($B1110)&gt;=8,COUNTIF($B$6:$B1110,$B1110)=1),$W$5,"")</f>
        <v/>
      </c>
      <c r="X1110" s="329" t="str">
        <f t="shared" si="125"/>
        <v>RH</v>
      </c>
      <c r="Y1110" s="1128" t="s">
        <v>3380</v>
      </c>
      <c r="Z1110" s="1128" t="s">
        <v>3381</v>
      </c>
      <c r="AA1110" s="1128" t="s">
        <v>3384</v>
      </c>
      <c r="AC1110" s="73"/>
    </row>
    <row r="1111" spans="1:29" s="20" customFormat="1">
      <c r="A1111" s="327" t="str">
        <f>IF(AND($B1111&lt;&gt;"",$C1111&lt;&gt;""),MAX($A$4:A1110)+1,"")</f>
        <v/>
      </c>
      <c r="B1111" s="361" t="s">
        <v>1066</v>
      </c>
      <c r="C1111" s="364"/>
      <c r="D1111" s="327">
        <f>IF($B1111="","",COUNTIF($B$6:$B1111,$B1111))</f>
        <v>14</v>
      </c>
      <c r="E1111" s="361" t="s">
        <v>899</v>
      </c>
      <c r="F1111" s="362" t="s">
        <v>898</v>
      </c>
      <c r="G1111" s="361" t="s">
        <v>328</v>
      </c>
      <c r="H1111" s="325"/>
      <c r="I1111" s="327">
        <v>4</v>
      </c>
      <c r="J1111" s="361" t="s">
        <v>1838</v>
      </c>
      <c r="K1111" s="327" t="s">
        <v>516</v>
      </c>
      <c r="L1111" s="348">
        <v>0</v>
      </c>
      <c r="M1111" s="355"/>
      <c r="N1111" s="355" t="str">
        <f t="shared" si="129"/>
        <v>PR</v>
      </c>
      <c r="O1111" s="345" t="s">
        <v>1831</v>
      </c>
      <c r="P1111" s="325"/>
      <c r="Q1111" s="351"/>
      <c r="R1111" s="351"/>
      <c r="S1111" s="618"/>
      <c r="T1111" s="619"/>
      <c r="U1111" s="329">
        <f>IF($N1111=$N$4,IFERROR(INDEX(DanhMuc!$E$154:$E$165,MATCH(MID($B1111,4,2),DanhMuc!$B$154:$B$165,0)),""),"")</f>
        <v>5800</v>
      </c>
      <c r="V1111" s="325"/>
      <c r="W1111" s="352" t="str">
        <f>+IF(AND($A1111&lt;&gt;"",LEN($B1111)&gt;=8,COUNTIF($B$6:$B1111,$B1111)=1),$W$5,"")</f>
        <v/>
      </c>
      <c r="X1111" s="329" t="str">
        <f t="shared" si="125"/>
        <v>RH</v>
      </c>
      <c r="Y1111" s="1128" t="s">
        <v>3380</v>
      </c>
      <c r="Z1111" s="1128" t="s">
        <v>3381</v>
      </c>
      <c r="AA1111" s="1128" t="s">
        <v>3384</v>
      </c>
      <c r="AC1111" s="73"/>
    </row>
    <row r="1112" spans="1:29" s="20" customFormat="1">
      <c r="A1112" s="327" t="str">
        <f>IF(AND($B1112&lt;&gt;"",$C1112&lt;&gt;""),MAX($A$4:A1111)+1,"")</f>
        <v/>
      </c>
      <c r="B1112" s="361" t="s">
        <v>1066</v>
      </c>
      <c r="C1112" s="364"/>
      <c r="D1112" s="327">
        <f>IF($B1112="","",COUNTIF($B$6:$B1112,$B1112))</f>
        <v>15</v>
      </c>
      <c r="E1112" s="361">
        <v>221857</v>
      </c>
      <c r="F1112" s="362" t="s">
        <v>1447</v>
      </c>
      <c r="G1112" s="361" t="s">
        <v>329</v>
      </c>
      <c r="H1112" s="328" t="s">
        <v>536</v>
      </c>
      <c r="I1112" s="327">
        <v>2</v>
      </c>
      <c r="J1112" s="361" t="s">
        <v>1299</v>
      </c>
      <c r="K1112" s="327" t="s">
        <v>531</v>
      </c>
      <c r="L1112" s="348">
        <f t="shared" ref="L1112:L1117" si="130">+$K$1038*$T1112*$S1112</f>
        <v>183000</v>
      </c>
      <c r="M1112" s="355"/>
      <c r="N1112" s="355" t="str">
        <f t="shared" si="129"/>
        <v>PR</v>
      </c>
      <c r="O1112" s="345" t="s">
        <v>1832</v>
      </c>
      <c r="P1112" s="325"/>
      <c r="Q1112" s="351"/>
      <c r="R1112" s="351"/>
      <c r="S1112" s="618">
        <v>6</v>
      </c>
      <c r="T1112" s="619">
        <f>6.1/S1112</f>
        <v>1.0166666666666666</v>
      </c>
      <c r="U1112" s="329">
        <f>IF($N1112=$N$4,IFERROR(INDEX(DanhMuc!$E$154:$E$165,MATCH(MID($B1112,4,2),DanhMuc!$B$154:$B$165,0)),""),"")</f>
        <v>5800</v>
      </c>
      <c r="V1112" s="325"/>
      <c r="W1112" s="352" t="str">
        <f>+IF(AND($A1112&lt;&gt;"",LEN($B1112)&gt;=8,COUNTIF($B$6:$B1112,$B1112)=1),$W$5,"")</f>
        <v/>
      </c>
      <c r="X1112" s="329" t="str">
        <f t="shared" si="125"/>
        <v>TRH</v>
      </c>
      <c r="Y1112" s="1128" t="s">
        <v>3380</v>
      </c>
      <c r="Z1112" s="1128" t="s">
        <v>3381</v>
      </c>
      <c r="AA1112" s="1128" t="s">
        <v>3384</v>
      </c>
      <c r="AC1112" s="73"/>
    </row>
    <row r="1113" spans="1:29" s="20" customFormat="1">
      <c r="A1113" s="327" t="str">
        <f>IF(AND($B1113&lt;&gt;"",$C1113&lt;&gt;""),MAX($A$4:A1112)+1,"")</f>
        <v/>
      </c>
      <c r="B1113" s="361" t="s">
        <v>1066</v>
      </c>
      <c r="C1113" s="364"/>
      <c r="D1113" s="327">
        <f>IF($B1113="","",COUNTIF($B$6:$B1113,$B1113))</f>
        <v>16</v>
      </c>
      <c r="E1113" s="361">
        <v>221857</v>
      </c>
      <c r="F1113" s="362" t="s">
        <v>1447</v>
      </c>
      <c r="G1113" s="361" t="s">
        <v>329</v>
      </c>
      <c r="H1113" s="328" t="s">
        <v>536</v>
      </c>
      <c r="I1113" s="327">
        <v>1</v>
      </c>
      <c r="J1113" s="361" t="s">
        <v>1299</v>
      </c>
      <c r="K1113" s="327" t="s">
        <v>531</v>
      </c>
      <c r="L1113" s="348">
        <f t="shared" si="130"/>
        <v>183000</v>
      </c>
      <c r="M1113" s="355"/>
      <c r="N1113" s="355" t="str">
        <f t="shared" si="129"/>
        <v>PR</v>
      </c>
      <c r="O1113" s="345" t="s">
        <v>1831</v>
      </c>
      <c r="P1113" s="325"/>
      <c r="Q1113" s="351"/>
      <c r="R1113" s="351"/>
      <c r="S1113" s="618">
        <v>6</v>
      </c>
      <c r="T1113" s="619">
        <f t="shared" ref="T1113:T1114" si="131">6.1/S1113</f>
        <v>1.0166666666666666</v>
      </c>
      <c r="U1113" s="329">
        <f>IF($N1113=$N$4,IFERROR(INDEX(DanhMuc!$E$154:$E$165,MATCH(MID($B1113,4,2),DanhMuc!$B$154:$B$165,0)),""),"")</f>
        <v>5800</v>
      </c>
      <c r="V1113" s="325"/>
      <c r="W1113" s="352" t="str">
        <f>+IF(AND($A1113&lt;&gt;"",LEN($B1113)&gt;=8,COUNTIF($B$6:$B1113,$B1113)=1),$W$5,"")</f>
        <v/>
      </c>
      <c r="X1113" s="329" t="str">
        <f t="shared" si="125"/>
        <v>TRH</v>
      </c>
      <c r="Y1113" s="1128" t="s">
        <v>3380</v>
      </c>
      <c r="Z1113" s="1128" t="s">
        <v>3381</v>
      </c>
      <c r="AA1113" s="1128" t="s">
        <v>3384</v>
      </c>
      <c r="AC1113" s="73"/>
    </row>
    <row r="1114" spans="1:29" s="20" customFormat="1">
      <c r="A1114" s="327" t="str">
        <f>IF(AND($B1114&lt;&gt;"",$C1114&lt;&gt;""),MAX($A$4:A1113)+1,"")</f>
        <v/>
      </c>
      <c r="B1114" s="361" t="s">
        <v>1066</v>
      </c>
      <c r="C1114" s="364"/>
      <c r="D1114" s="327">
        <f>IF($B1114="","",COUNTIF($B$6:$B1114,$B1114))</f>
        <v>17</v>
      </c>
      <c r="E1114" s="361">
        <v>221857</v>
      </c>
      <c r="F1114" s="362" t="s">
        <v>1447</v>
      </c>
      <c r="G1114" s="361" t="s">
        <v>328</v>
      </c>
      <c r="H1114" s="328" t="s">
        <v>536</v>
      </c>
      <c r="I1114" s="327">
        <v>2</v>
      </c>
      <c r="J1114" s="361" t="s">
        <v>1300</v>
      </c>
      <c r="K1114" s="327" t="s">
        <v>531</v>
      </c>
      <c r="L1114" s="348">
        <f t="shared" si="130"/>
        <v>183000</v>
      </c>
      <c r="M1114" s="355"/>
      <c r="N1114" s="355" t="str">
        <f t="shared" si="129"/>
        <v>PR</v>
      </c>
      <c r="O1114" s="345"/>
      <c r="P1114" s="325"/>
      <c r="Q1114" s="351"/>
      <c r="R1114" s="351"/>
      <c r="S1114" s="618">
        <v>6</v>
      </c>
      <c r="T1114" s="619">
        <f t="shared" si="131"/>
        <v>1.0166666666666666</v>
      </c>
      <c r="U1114" s="329">
        <f>IF($N1114=$N$4,IFERROR(INDEX(DanhMuc!$E$154:$E$165,MATCH(MID($B1114,4,2),DanhMuc!$B$154:$B$165,0)),""),"")</f>
        <v>5800</v>
      </c>
      <c r="V1114" s="325"/>
      <c r="W1114" s="352" t="str">
        <f>+IF(AND($A1114&lt;&gt;"",LEN($B1114)&gt;=8,COUNTIF($B$6:$B1114,$B1114)=1),$W$5,"")</f>
        <v/>
      </c>
      <c r="X1114" s="329" t="str">
        <f t="shared" si="125"/>
        <v>TRH</v>
      </c>
      <c r="Y1114" s="1128" t="s">
        <v>3380</v>
      </c>
      <c r="Z1114" s="1128" t="s">
        <v>3381</v>
      </c>
      <c r="AA1114" s="1128" t="s">
        <v>3384</v>
      </c>
      <c r="AC1114" s="73"/>
    </row>
    <row r="1115" spans="1:29" s="20" customFormat="1">
      <c r="A1115" s="327" t="str">
        <f>IF(AND($B1115&lt;&gt;"",$C1115&lt;&gt;""),MAX($A$4:A1114)+1,"")</f>
        <v/>
      </c>
      <c r="B1115" s="361" t="s">
        <v>1066</v>
      </c>
      <c r="C1115" s="364"/>
      <c r="D1115" s="327">
        <f>IF($B1115="","",COUNTIF($B$6:$B1115,$B1115))</f>
        <v>18</v>
      </c>
      <c r="E1115" s="361">
        <v>221860</v>
      </c>
      <c r="F1115" s="362" t="s">
        <v>1448</v>
      </c>
      <c r="G1115" s="361" t="s">
        <v>329</v>
      </c>
      <c r="H1115" s="328" t="s">
        <v>536</v>
      </c>
      <c r="I1115" s="327">
        <v>4</v>
      </c>
      <c r="J1115" s="361" t="s">
        <v>1301</v>
      </c>
      <c r="K1115" s="327" t="s">
        <v>531</v>
      </c>
      <c r="L1115" s="348">
        <f t="shared" si="130"/>
        <v>270000</v>
      </c>
      <c r="M1115" s="355"/>
      <c r="N1115" s="355" t="str">
        <f t="shared" si="129"/>
        <v>PR</v>
      </c>
      <c r="O1115" s="345"/>
      <c r="P1115" s="325"/>
      <c r="Q1115" s="351"/>
      <c r="R1115" s="351"/>
      <c r="S1115" s="618">
        <v>6</v>
      </c>
      <c r="T1115" s="619">
        <f>9/S1115</f>
        <v>1.5</v>
      </c>
      <c r="U1115" s="329">
        <f>IF($N1115=$N$4,IFERROR(INDEX(DanhMuc!$E$154:$E$165,MATCH(MID($B1115,4,2),DanhMuc!$B$154:$B$165,0)),""),"")</f>
        <v>5800</v>
      </c>
      <c r="V1115" s="325"/>
      <c r="W1115" s="352" t="str">
        <f>+IF(AND($A1115&lt;&gt;"",LEN($B1115)&gt;=8,COUNTIF($B$6:$B1115,$B1115)=1),$W$5,"")</f>
        <v/>
      </c>
      <c r="X1115" s="329" t="str">
        <f t="shared" si="125"/>
        <v>TRH</v>
      </c>
      <c r="Y1115" s="1128" t="s">
        <v>3380</v>
      </c>
      <c r="Z1115" s="1128" t="s">
        <v>3381</v>
      </c>
      <c r="AA1115" s="1128" t="s">
        <v>3384</v>
      </c>
      <c r="AC1115" s="73"/>
    </row>
    <row r="1116" spans="1:29" s="20" customFormat="1">
      <c r="A1116" s="327" t="str">
        <f>IF(AND($B1116&lt;&gt;"",$C1116&lt;&gt;""),MAX($A$4:A1115)+1,"")</f>
        <v/>
      </c>
      <c r="B1116" s="361" t="s">
        <v>1066</v>
      </c>
      <c r="C1116" s="364"/>
      <c r="D1116" s="327">
        <f>IF($B1116="","",COUNTIF($B$6:$B1116,$B1116))</f>
        <v>19</v>
      </c>
      <c r="E1116" s="361">
        <v>221860</v>
      </c>
      <c r="F1116" s="362" t="s">
        <v>1448</v>
      </c>
      <c r="G1116" s="361" t="s">
        <v>328</v>
      </c>
      <c r="H1116" s="328" t="s">
        <v>536</v>
      </c>
      <c r="I1116" s="327">
        <v>4</v>
      </c>
      <c r="J1116" s="361" t="s">
        <v>1302</v>
      </c>
      <c r="K1116" s="327" t="s">
        <v>531</v>
      </c>
      <c r="L1116" s="348">
        <f t="shared" si="130"/>
        <v>270000</v>
      </c>
      <c r="M1116" s="355"/>
      <c r="N1116" s="355" t="str">
        <f t="shared" si="129"/>
        <v>PR</v>
      </c>
      <c r="O1116" s="345" t="s">
        <v>1832</v>
      </c>
      <c r="P1116" s="325"/>
      <c r="Q1116" s="351"/>
      <c r="R1116" s="351"/>
      <c r="S1116" s="618">
        <v>6</v>
      </c>
      <c r="T1116" s="619">
        <f t="shared" ref="T1116:T1117" si="132">9/S1116</f>
        <v>1.5</v>
      </c>
      <c r="U1116" s="329">
        <f>IF($N1116=$N$4,IFERROR(INDEX(DanhMuc!$E$154:$E$165,MATCH(MID($B1116,4,2),DanhMuc!$B$154:$B$165,0)),""),"")</f>
        <v>5800</v>
      </c>
      <c r="V1116" s="325"/>
      <c r="W1116" s="352" t="str">
        <f>+IF(AND($A1116&lt;&gt;"",LEN($B1116)&gt;=8,COUNTIF($B$6:$B1116,$B1116)=1),$W$5,"")</f>
        <v/>
      </c>
      <c r="X1116" s="329" t="str">
        <f t="shared" si="125"/>
        <v>TRH</v>
      </c>
      <c r="Y1116" s="1128" t="s">
        <v>3380</v>
      </c>
      <c r="Z1116" s="1128" t="s">
        <v>3381</v>
      </c>
      <c r="AA1116" s="1128" t="s">
        <v>3384</v>
      </c>
      <c r="AC1116" s="73"/>
    </row>
    <row r="1117" spans="1:29" s="20" customFormat="1">
      <c r="A1117" s="327" t="str">
        <f>IF(AND($B1117&lt;&gt;"",$C1117&lt;&gt;""),MAX($A$4:A1116)+1,"")</f>
        <v/>
      </c>
      <c r="B1117" s="361" t="s">
        <v>1066</v>
      </c>
      <c r="C1117" s="364"/>
      <c r="D1117" s="327">
        <f>IF($B1117="","",COUNTIF($B$6:$B1117,$B1117))</f>
        <v>20</v>
      </c>
      <c r="E1117" s="361">
        <v>221860</v>
      </c>
      <c r="F1117" s="362" t="s">
        <v>1448</v>
      </c>
      <c r="G1117" s="361" t="s">
        <v>328</v>
      </c>
      <c r="H1117" s="328" t="s">
        <v>536</v>
      </c>
      <c r="I1117" s="327">
        <v>4</v>
      </c>
      <c r="J1117" s="361" t="s">
        <v>1839</v>
      </c>
      <c r="K1117" s="327" t="s">
        <v>531</v>
      </c>
      <c r="L1117" s="348">
        <f t="shared" si="130"/>
        <v>270000</v>
      </c>
      <c r="M1117" s="355"/>
      <c r="N1117" s="355" t="str">
        <f t="shared" si="129"/>
        <v>PR</v>
      </c>
      <c r="O1117" s="345" t="s">
        <v>1831</v>
      </c>
      <c r="P1117" s="325"/>
      <c r="Q1117" s="351"/>
      <c r="R1117" s="351"/>
      <c r="S1117" s="618">
        <v>6</v>
      </c>
      <c r="T1117" s="619">
        <f t="shared" si="132"/>
        <v>1.5</v>
      </c>
      <c r="U1117" s="329">
        <f>IF($N1117=$N$4,IFERROR(INDEX(DanhMuc!$E$154:$E$165,MATCH(MID($B1117,4,2),DanhMuc!$B$154:$B$165,0)),""),"")</f>
        <v>5800</v>
      </c>
      <c r="V1117" s="325"/>
      <c r="W1117" s="352" t="str">
        <f>+IF(AND($A1117&lt;&gt;"",LEN($B1117)&gt;=8,COUNTIF($B$6:$B1117,$B1117)=1),$W$5,"")</f>
        <v/>
      </c>
      <c r="X1117" s="329" t="str">
        <f t="shared" si="125"/>
        <v>TRH</v>
      </c>
      <c r="Y1117" s="1128" t="s">
        <v>3380</v>
      </c>
      <c r="Z1117" s="1128" t="s">
        <v>3381</v>
      </c>
      <c r="AA1117" s="1128" t="s">
        <v>3384</v>
      </c>
      <c r="AC1117" s="73"/>
    </row>
    <row r="1118" spans="1:29" s="20" customFormat="1" ht="26">
      <c r="A1118" s="327">
        <f>IF(AND($B1118&lt;&gt;"",$C1118&lt;&gt;""),MAX($A$4:A1117)+1,"")</f>
        <v>84</v>
      </c>
      <c r="B1118" s="359" t="s">
        <v>1068</v>
      </c>
      <c r="C1118" s="370" t="s">
        <v>1578</v>
      </c>
      <c r="D1118" s="327">
        <f>IF($B1118="","",COUNTIF($B$6:$B1118,$B1118))</f>
        <v>1</v>
      </c>
      <c r="E1118" s="363">
        <v>500013</v>
      </c>
      <c r="F1118" s="362" t="s">
        <v>938</v>
      </c>
      <c r="G1118" s="361" t="s">
        <v>329</v>
      </c>
      <c r="H1118" s="325"/>
      <c r="I1118" s="327">
        <v>2</v>
      </c>
      <c r="J1118" s="361" t="s">
        <v>762</v>
      </c>
      <c r="K1118" s="327" t="s">
        <v>516</v>
      </c>
      <c r="L1118" s="348">
        <v>432870</v>
      </c>
      <c r="M1118" s="355"/>
      <c r="N1118" s="355" t="str">
        <f t="shared" si="129"/>
        <v>PR</v>
      </c>
      <c r="O1118" s="345" t="s">
        <v>1832</v>
      </c>
      <c r="P1118" s="325"/>
      <c r="Q1118" s="351"/>
      <c r="R1118" s="351"/>
      <c r="S1118" s="618">
        <v>5.8</v>
      </c>
      <c r="T1118" s="619">
        <v>6.3220000000000001</v>
      </c>
      <c r="U1118" s="329">
        <f>IF($N1118=$N$4,IFERROR(INDEX(DanhMuc!$E$154:$E$165,MATCH(MID($B1118,4,2),DanhMuc!$B$154:$B$165,0)),""),"")</f>
        <v>5800</v>
      </c>
      <c r="V1118" s="325"/>
      <c r="W1118" s="352" t="str">
        <f>+IF(AND($A1118&lt;&gt;"",LEN($B1118)&gt;=8,COUNTIF($B$6:$B1118,$B1118)=1),$W$5,"")</f>
        <v>DMCua</v>
      </c>
      <c r="X1118" s="329" t="str">
        <f t="shared" si="125"/>
        <v>RH</v>
      </c>
      <c r="Y1118" s="1128" t="s">
        <v>3380</v>
      </c>
      <c r="Z1118" s="1128" t="s">
        <v>3381</v>
      </c>
      <c r="AA1118" s="1128" t="s">
        <v>3384</v>
      </c>
      <c r="AC1118" s="73"/>
    </row>
    <row r="1119" spans="1:29" s="20" customFormat="1">
      <c r="A1119" s="327" t="str">
        <f>IF(AND($B1119&lt;&gt;"",$C1119&lt;&gt;""),MAX($A$4:A1118)+1,"")</f>
        <v/>
      </c>
      <c r="B1119" s="361" t="s">
        <v>1068</v>
      </c>
      <c r="C1119" s="370"/>
      <c r="D1119" s="327">
        <f>IF($B1119="","",COUNTIF($B$6:$B1119,$B1119))</f>
        <v>2</v>
      </c>
      <c r="E1119" s="363">
        <v>500013</v>
      </c>
      <c r="F1119" s="362" t="s">
        <v>938</v>
      </c>
      <c r="G1119" s="361" t="s">
        <v>329</v>
      </c>
      <c r="H1119" s="325"/>
      <c r="I1119" s="327">
        <v>1</v>
      </c>
      <c r="J1119" s="361" t="s">
        <v>762</v>
      </c>
      <c r="K1119" s="327" t="s">
        <v>516</v>
      </c>
      <c r="L1119" s="348">
        <v>432870</v>
      </c>
      <c r="M1119" s="355"/>
      <c r="N1119" s="355" t="str">
        <f t="shared" si="129"/>
        <v>PR</v>
      </c>
      <c r="O1119" s="404" t="s">
        <v>1831</v>
      </c>
      <c r="P1119" s="325"/>
      <c r="Q1119" s="351"/>
      <c r="R1119" s="351"/>
      <c r="S1119" s="618">
        <v>5.8</v>
      </c>
      <c r="T1119" s="619">
        <v>6.3220000000000001</v>
      </c>
      <c r="U1119" s="329">
        <f>IF($N1119=$N$4,IFERROR(INDEX(DanhMuc!$E$154:$E$165,MATCH(MID($B1119,4,2),DanhMuc!$B$154:$B$165,0)),""),"")</f>
        <v>5800</v>
      </c>
      <c r="V1119" s="325"/>
      <c r="W1119" s="352" t="str">
        <f>+IF(AND($A1119&lt;&gt;"",LEN($B1119)&gt;=8,COUNTIF($B$6:$B1119,$B1119)=1),$W$5,"")</f>
        <v/>
      </c>
      <c r="X1119" s="329" t="str">
        <f t="shared" si="125"/>
        <v>RH</v>
      </c>
      <c r="Y1119" s="1128" t="s">
        <v>3380</v>
      </c>
      <c r="Z1119" s="1128" t="s">
        <v>3381</v>
      </c>
      <c r="AA1119" s="1128" t="s">
        <v>3384</v>
      </c>
      <c r="AC1119" s="73"/>
    </row>
    <row r="1120" spans="1:29" s="20" customFormat="1">
      <c r="A1120" s="327" t="str">
        <f>IF(AND($B1120&lt;&gt;"",$C1120&lt;&gt;""),MAX($A$4:A1119)+1,"")</f>
        <v/>
      </c>
      <c r="B1120" s="361" t="s">
        <v>1068</v>
      </c>
      <c r="C1120" s="364"/>
      <c r="D1120" s="327">
        <f>IF($B1120="","",COUNTIF($B$6:$B1120,$B1120))</f>
        <v>3</v>
      </c>
      <c r="E1120" s="363">
        <v>500013</v>
      </c>
      <c r="F1120" s="362" t="s">
        <v>938</v>
      </c>
      <c r="G1120" s="361" t="s">
        <v>328</v>
      </c>
      <c r="H1120" s="325"/>
      <c r="I1120" s="327">
        <v>2</v>
      </c>
      <c r="J1120" s="361" t="s">
        <v>763</v>
      </c>
      <c r="K1120" s="327" t="s">
        <v>516</v>
      </c>
      <c r="L1120" s="348">
        <v>432870</v>
      </c>
      <c r="M1120" s="355"/>
      <c r="N1120" s="355" t="str">
        <f t="shared" si="129"/>
        <v>PR</v>
      </c>
      <c r="O1120" s="345" t="s">
        <v>1832</v>
      </c>
      <c r="P1120" s="325"/>
      <c r="Q1120" s="351"/>
      <c r="R1120" s="351"/>
      <c r="S1120" s="618">
        <v>5.8</v>
      </c>
      <c r="T1120" s="619">
        <v>6.3220000000000001</v>
      </c>
      <c r="U1120" s="329">
        <f>IF($N1120=$N$4,IFERROR(INDEX(DanhMuc!$E$154:$E$165,MATCH(MID($B1120,4,2),DanhMuc!$B$154:$B$165,0)),""),"")</f>
        <v>5800</v>
      </c>
      <c r="V1120" s="325"/>
      <c r="W1120" s="352" t="str">
        <f>+IF(AND($A1120&lt;&gt;"",LEN($B1120)&gt;=8,COUNTIF($B$6:$B1120,$B1120)=1),$W$5,"")</f>
        <v/>
      </c>
      <c r="X1120" s="329" t="str">
        <f t="shared" si="125"/>
        <v>RH</v>
      </c>
      <c r="Y1120" s="1128" t="s">
        <v>3380</v>
      </c>
      <c r="Z1120" s="1128" t="s">
        <v>3381</v>
      </c>
      <c r="AA1120" s="1128" t="s">
        <v>3384</v>
      </c>
      <c r="AC1120" s="73"/>
    </row>
    <row r="1121" spans="1:29" s="20" customFormat="1">
      <c r="A1121" s="327" t="str">
        <f>IF(AND($B1121&lt;&gt;"",$C1121&lt;&gt;""),MAX($A$4:A1120)+1,"")</f>
        <v/>
      </c>
      <c r="B1121" s="361" t="s">
        <v>1068</v>
      </c>
      <c r="C1121" s="364"/>
      <c r="D1121" s="327">
        <f>IF($B1121="","",COUNTIF($B$6:$B1121,$B1121))</f>
        <v>4</v>
      </c>
      <c r="E1121" s="363">
        <v>500013</v>
      </c>
      <c r="F1121" s="362" t="s">
        <v>938</v>
      </c>
      <c r="G1121" s="361" t="s">
        <v>328</v>
      </c>
      <c r="H1121" s="325"/>
      <c r="I1121" s="327">
        <v>2</v>
      </c>
      <c r="J1121" s="361" t="s">
        <v>814</v>
      </c>
      <c r="K1121" s="327" t="s">
        <v>1835</v>
      </c>
      <c r="L1121" s="348">
        <v>432870</v>
      </c>
      <c r="M1121" s="355"/>
      <c r="N1121" s="355" t="str">
        <f t="shared" si="129"/>
        <v>PR</v>
      </c>
      <c r="O1121" s="404" t="s">
        <v>1831</v>
      </c>
      <c r="P1121" s="325"/>
      <c r="Q1121" s="351"/>
      <c r="R1121" s="351"/>
      <c r="S1121" s="618">
        <v>5.8</v>
      </c>
      <c r="T1121" s="619">
        <v>6.3220000000000001</v>
      </c>
      <c r="U1121" s="329">
        <f>IF($N1121=$N$4,IFERROR(INDEX(DanhMuc!$E$154:$E$165,MATCH(MID($B1121,4,2),DanhMuc!$B$154:$B$165,0)),""),"")</f>
        <v>5800</v>
      </c>
      <c r="V1121" s="325"/>
      <c r="W1121" s="352" t="str">
        <f>+IF(AND($A1121&lt;&gt;"",LEN($B1121)&gt;=8,COUNTIF($B$6:$B1121,$B1121)=1),$W$5,"")</f>
        <v/>
      </c>
      <c r="X1121" s="329" t="str">
        <f t="shared" si="125"/>
        <v>RH</v>
      </c>
      <c r="Y1121" s="1128" t="s">
        <v>3380</v>
      </c>
      <c r="Z1121" s="1128" t="s">
        <v>3381</v>
      </c>
      <c r="AA1121" s="1128" t="s">
        <v>3384</v>
      </c>
      <c r="AC1121" s="73"/>
    </row>
    <row r="1122" spans="1:29" s="20" customFormat="1">
      <c r="A1122" s="327" t="str">
        <f>IF(AND($B1122&lt;&gt;"",$C1122&lt;&gt;""),MAX($A$4:A1121)+1,"")</f>
        <v/>
      </c>
      <c r="B1122" s="361" t="s">
        <v>1068</v>
      </c>
      <c r="C1122" s="364"/>
      <c r="D1122" s="327">
        <f>IF($B1122="","",COUNTIF($B$6:$B1122,$B1122))</f>
        <v>5</v>
      </c>
      <c r="E1122" s="363">
        <v>221842</v>
      </c>
      <c r="F1122" s="362" t="s">
        <v>915</v>
      </c>
      <c r="G1122" s="361" t="s">
        <v>329</v>
      </c>
      <c r="H1122" s="325"/>
      <c r="I1122" s="327">
        <v>2</v>
      </c>
      <c r="J1122" s="361" t="s">
        <v>916</v>
      </c>
      <c r="K1122" s="327" t="s">
        <v>531</v>
      </c>
      <c r="L1122" s="348">
        <v>87023</v>
      </c>
      <c r="M1122" s="355"/>
      <c r="N1122" s="355" t="str">
        <f t="shared" si="129"/>
        <v>PR</v>
      </c>
      <c r="O1122" s="345" t="s">
        <v>1832</v>
      </c>
      <c r="P1122" s="325"/>
      <c r="Q1122" s="351"/>
      <c r="R1122" s="351"/>
      <c r="S1122" s="618">
        <v>5.8</v>
      </c>
      <c r="T1122" s="619">
        <v>0.55100000000000005</v>
      </c>
      <c r="U1122" s="329">
        <f>IF($N1122=$N$4,IFERROR(INDEX(DanhMuc!$E$154:$E$165,MATCH(MID($B1122,4,2),DanhMuc!$B$154:$B$165,0)),""),"")</f>
        <v>5800</v>
      </c>
      <c r="V1122" s="325"/>
      <c r="W1122" s="352" t="str">
        <f>+IF(AND($A1122&lt;&gt;"",LEN($B1122)&gt;=8,COUNTIF($B$6:$B1122,$B1122)=1),$W$5,"")</f>
        <v/>
      </c>
      <c r="X1122" s="329" t="str">
        <f t="shared" si="125"/>
        <v>RH</v>
      </c>
      <c r="Y1122" s="1128" t="s">
        <v>3380</v>
      </c>
      <c r="Z1122" s="1128" t="s">
        <v>3381</v>
      </c>
      <c r="AA1122" s="1128" t="s">
        <v>3384</v>
      </c>
      <c r="AC1122" s="73"/>
    </row>
    <row r="1123" spans="1:29" s="20" customFormat="1">
      <c r="A1123" s="327" t="str">
        <f>IF(AND($B1123&lt;&gt;"",$C1123&lt;&gt;""),MAX($A$4:A1122)+1,"")</f>
        <v/>
      </c>
      <c r="B1123" s="361" t="s">
        <v>1068</v>
      </c>
      <c r="C1123" s="364"/>
      <c r="D1123" s="327">
        <f>IF($B1123="","",COUNTIF($B$6:$B1123,$B1123))</f>
        <v>6</v>
      </c>
      <c r="E1123" s="363">
        <v>320086</v>
      </c>
      <c r="F1123" s="362" t="s">
        <v>1833</v>
      </c>
      <c r="G1123" s="361" t="s">
        <v>329</v>
      </c>
      <c r="H1123" s="325"/>
      <c r="I1123" s="327">
        <v>1</v>
      </c>
      <c r="J1123" s="361" t="s">
        <v>2109</v>
      </c>
      <c r="K1123" s="327" t="s">
        <v>531</v>
      </c>
      <c r="L1123" s="348">
        <v>1162181</v>
      </c>
      <c r="M1123" s="355"/>
      <c r="N1123" s="355" t="str">
        <f t="shared" si="129"/>
        <v>PR</v>
      </c>
      <c r="O1123" s="404" t="s">
        <v>1831</v>
      </c>
      <c r="P1123" s="325"/>
      <c r="Q1123" s="351"/>
      <c r="R1123" s="351"/>
      <c r="S1123" s="618">
        <v>5.8</v>
      </c>
      <c r="T1123" s="619">
        <v>6.2640000000000002</v>
      </c>
      <c r="U1123" s="329">
        <f>IF($N1123=$N$4,IFERROR(INDEX(DanhMuc!$E$154:$E$165,MATCH(MID($B1123,4,2),DanhMuc!$B$154:$B$165,0)),""),"")</f>
        <v>5800</v>
      </c>
      <c r="V1123" s="325"/>
      <c r="W1123" s="352" t="str">
        <f>+IF(AND($A1123&lt;&gt;"",LEN($B1123)&gt;=8,COUNTIF($B$6:$B1123,$B1123)=1),$W$5,"")</f>
        <v/>
      </c>
      <c r="X1123" s="329" t="str">
        <f t="shared" si="125"/>
        <v>RH</v>
      </c>
      <c r="Y1123" s="1128" t="s">
        <v>3380</v>
      </c>
      <c r="Z1123" s="1128" t="s">
        <v>3381</v>
      </c>
      <c r="AA1123" s="1128" t="s">
        <v>3384</v>
      </c>
      <c r="AC1123" s="73"/>
    </row>
    <row r="1124" spans="1:29" s="20" customFormat="1">
      <c r="A1124" s="327" t="str">
        <f>IF(AND($B1124&lt;&gt;"",$C1124&lt;&gt;""),MAX($A$4:A1123)+1,"")</f>
        <v/>
      </c>
      <c r="B1124" s="361" t="s">
        <v>1068</v>
      </c>
      <c r="C1124" s="364"/>
      <c r="D1124" s="327">
        <f>IF($B1124="","",COUNTIF($B$6:$B1124,$B1124))</f>
        <v>7</v>
      </c>
      <c r="E1124" s="361">
        <v>500403</v>
      </c>
      <c r="F1124" s="362" t="s">
        <v>840</v>
      </c>
      <c r="G1124" s="361" t="s">
        <v>329</v>
      </c>
      <c r="H1124" s="325"/>
      <c r="I1124" s="327">
        <v>8</v>
      </c>
      <c r="J1124" s="361" t="s">
        <v>856</v>
      </c>
      <c r="K1124" s="327" t="s">
        <v>516</v>
      </c>
      <c r="L1124" s="348">
        <v>545720</v>
      </c>
      <c r="M1124" s="355"/>
      <c r="N1124" s="355" t="str">
        <f t="shared" si="129"/>
        <v>PR</v>
      </c>
      <c r="O1124" s="345"/>
      <c r="P1124" s="325"/>
      <c r="Q1124" s="351"/>
      <c r="R1124" s="351"/>
      <c r="S1124" s="618">
        <v>5.8</v>
      </c>
      <c r="T1124" s="619">
        <v>7.2325999999999997</v>
      </c>
      <c r="U1124" s="329">
        <f>IF($N1124=$N$4,IFERROR(INDEX(DanhMuc!$E$154:$E$165,MATCH(MID($B1124,4,2),DanhMuc!$B$154:$B$165,0)),""),"")</f>
        <v>5800</v>
      </c>
      <c r="V1124" s="325"/>
      <c r="W1124" s="352" t="str">
        <f>+IF(AND($A1124&lt;&gt;"",LEN($B1124)&gt;=8,COUNTIF($B$6:$B1124,$B1124)=1),$W$5,"")</f>
        <v/>
      </c>
      <c r="X1124" s="329" t="str">
        <f t="shared" si="125"/>
        <v>RH</v>
      </c>
      <c r="Y1124" s="1128" t="s">
        <v>3380</v>
      </c>
      <c r="Z1124" s="1128" t="s">
        <v>3381</v>
      </c>
      <c r="AA1124" s="1128" t="s">
        <v>3384</v>
      </c>
      <c r="AC1124" s="73"/>
    </row>
    <row r="1125" spans="1:29" s="20" customFormat="1">
      <c r="A1125" s="327" t="str">
        <f>IF(AND($B1125&lt;&gt;"",$C1125&lt;&gt;""),MAX($A$4:A1124)+1,"")</f>
        <v/>
      </c>
      <c r="B1125" s="361" t="s">
        <v>1068</v>
      </c>
      <c r="C1125" s="364"/>
      <c r="D1125" s="327">
        <f>IF($B1125="","",COUNTIF($B$6:$B1125,$B1125))</f>
        <v>8</v>
      </c>
      <c r="E1125" s="361">
        <v>500403</v>
      </c>
      <c r="F1125" s="362" t="s">
        <v>840</v>
      </c>
      <c r="G1125" s="361" t="s">
        <v>328</v>
      </c>
      <c r="H1125" s="325"/>
      <c r="I1125" s="327">
        <v>8</v>
      </c>
      <c r="J1125" s="361" t="s">
        <v>919</v>
      </c>
      <c r="K1125" s="327" t="s">
        <v>516</v>
      </c>
      <c r="L1125" s="348">
        <v>545720</v>
      </c>
      <c r="M1125" s="355"/>
      <c r="N1125" s="355" t="str">
        <f t="shared" si="129"/>
        <v>PR</v>
      </c>
      <c r="O1125" s="345" t="s">
        <v>1832</v>
      </c>
      <c r="P1125" s="325"/>
      <c r="Q1125" s="351"/>
      <c r="R1125" s="351"/>
      <c r="S1125" s="618">
        <v>5.8</v>
      </c>
      <c r="T1125" s="619">
        <v>7.2325999999999997</v>
      </c>
      <c r="U1125" s="329">
        <f>IF($N1125=$N$4,IFERROR(INDEX(DanhMuc!$E$154:$E$165,MATCH(MID($B1125,4,2),DanhMuc!$B$154:$B$165,0)),""),"")</f>
        <v>5800</v>
      </c>
      <c r="V1125" s="325"/>
      <c r="W1125" s="352" t="str">
        <f>+IF(AND($A1125&lt;&gt;"",LEN($B1125)&gt;=8,COUNTIF($B$6:$B1125,$B1125)=1),$W$5,"")</f>
        <v/>
      </c>
      <c r="X1125" s="329" t="str">
        <f t="shared" si="125"/>
        <v>RH</v>
      </c>
      <c r="Y1125" s="1128" t="s">
        <v>3380</v>
      </c>
      <c r="Z1125" s="1128" t="s">
        <v>3381</v>
      </c>
      <c r="AA1125" s="1128" t="s">
        <v>3384</v>
      </c>
      <c r="AC1125" s="73"/>
    </row>
    <row r="1126" spans="1:29" s="20" customFormat="1">
      <c r="A1126" s="327" t="str">
        <f>IF(AND($B1126&lt;&gt;"",$C1126&lt;&gt;""),MAX($A$4:A1125)+1,"")</f>
        <v/>
      </c>
      <c r="B1126" s="361" t="s">
        <v>1068</v>
      </c>
      <c r="C1126" s="364"/>
      <c r="D1126" s="327">
        <f>IF($B1126="","",COUNTIF($B$6:$B1126,$B1126))</f>
        <v>9</v>
      </c>
      <c r="E1126" s="361">
        <v>500403</v>
      </c>
      <c r="F1126" s="362" t="s">
        <v>840</v>
      </c>
      <c r="G1126" s="361" t="s">
        <v>328</v>
      </c>
      <c r="H1126" s="325"/>
      <c r="I1126" s="327">
        <v>8</v>
      </c>
      <c r="J1126" s="361" t="s">
        <v>1834</v>
      </c>
      <c r="K1126" s="327" t="s">
        <v>516</v>
      </c>
      <c r="L1126" s="348">
        <v>545720</v>
      </c>
      <c r="M1126" s="355"/>
      <c r="N1126" s="355" t="str">
        <f t="shared" si="129"/>
        <v>PR</v>
      </c>
      <c r="O1126" s="404" t="s">
        <v>1831</v>
      </c>
      <c r="P1126" s="325"/>
      <c r="Q1126" s="351"/>
      <c r="R1126" s="351"/>
      <c r="S1126" s="618">
        <v>5.8</v>
      </c>
      <c r="T1126" s="619">
        <v>7.2325999999999997</v>
      </c>
      <c r="U1126" s="329">
        <f>IF($N1126=$N$4,IFERROR(INDEX(DanhMuc!$E$154:$E$165,MATCH(MID($B1126,4,2),DanhMuc!$B$154:$B$165,0)),""),"")</f>
        <v>5800</v>
      </c>
      <c r="V1126" s="325"/>
      <c r="W1126" s="352" t="str">
        <f>+IF(AND($A1126&lt;&gt;"",LEN($B1126)&gt;=8,COUNTIF($B$6:$B1126,$B1126)=1),$W$5,"")</f>
        <v/>
      </c>
      <c r="X1126" s="329" t="str">
        <f t="shared" si="125"/>
        <v>RH</v>
      </c>
      <c r="Y1126" s="1128" t="s">
        <v>3380</v>
      </c>
      <c r="Z1126" s="1128" t="s">
        <v>3381</v>
      </c>
      <c r="AA1126" s="1128" t="s">
        <v>3384</v>
      </c>
      <c r="AC1126" s="73"/>
    </row>
    <row r="1127" spans="1:29" s="20" customFormat="1">
      <c r="A1127" s="327" t="str">
        <f>IF(AND($B1127&lt;&gt;"",$C1127&lt;&gt;""),MAX($A$4:A1126)+1,"")</f>
        <v/>
      </c>
      <c r="B1127" s="361" t="s">
        <v>1068</v>
      </c>
      <c r="C1127" s="364"/>
      <c r="D1127" s="327">
        <f>IF($B1127="","",COUNTIF($B$6:$B1127,$B1127))</f>
        <v>10</v>
      </c>
      <c r="E1127" s="605">
        <v>557035</v>
      </c>
      <c r="F1127" s="362" t="s">
        <v>1372</v>
      </c>
      <c r="G1127" s="361" t="s">
        <v>328</v>
      </c>
      <c r="H1127" s="325"/>
      <c r="I1127" s="327">
        <v>1</v>
      </c>
      <c r="J1127" s="361" t="s">
        <v>920</v>
      </c>
      <c r="K1127" s="327" t="s">
        <v>531</v>
      </c>
      <c r="L1127" s="348">
        <v>629587</v>
      </c>
      <c r="M1127" s="355"/>
      <c r="N1127" s="355" t="str">
        <f t="shared" si="129"/>
        <v>PR</v>
      </c>
      <c r="O1127" s="345" t="s">
        <v>1832</v>
      </c>
      <c r="P1127" s="325"/>
      <c r="Q1127" s="351"/>
      <c r="R1127" s="351"/>
      <c r="S1127" s="618">
        <v>6</v>
      </c>
      <c r="T1127" s="619">
        <v>2.6640000000000001</v>
      </c>
      <c r="U1127" s="329">
        <f>IF($N1127=$N$4,IFERROR(INDEX(DanhMuc!$E$154:$E$165,MATCH(MID($B1127,4,2),DanhMuc!$B$154:$B$165,0)),""),"")</f>
        <v>5800</v>
      </c>
      <c r="V1127" s="325"/>
      <c r="W1127" s="352" t="str">
        <f>+IF(AND($A1127&lt;&gt;"",LEN($B1127)&gt;=8,COUNTIF($B$6:$B1127,$B1127)=1),$W$5,"")</f>
        <v/>
      </c>
      <c r="X1127" s="329" t="str">
        <f t="shared" si="125"/>
        <v>RH</v>
      </c>
      <c r="Y1127" s="1128" t="s">
        <v>3380</v>
      </c>
      <c r="Z1127" s="1128" t="s">
        <v>3381</v>
      </c>
      <c r="AA1127" s="1128" t="s">
        <v>3384</v>
      </c>
      <c r="AC1127" s="73"/>
    </row>
    <row r="1128" spans="1:29" s="20" customFormat="1">
      <c r="A1128" s="327" t="str">
        <f>IF(AND($B1128&lt;&gt;"",$C1128&lt;&gt;""),MAX($A$4:A1127)+1,"")</f>
        <v/>
      </c>
      <c r="B1128" s="361" t="s">
        <v>1068</v>
      </c>
      <c r="C1128" s="364"/>
      <c r="D1128" s="327">
        <f>IF($B1128="","",COUNTIF($B$6:$B1128,$B1128))</f>
        <v>11</v>
      </c>
      <c r="E1128" s="605">
        <v>557035</v>
      </c>
      <c r="F1128" s="362" t="s">
        <v>1372</v>
      </c>
      <c r="G1128" s="361" t="s">
        <v>328</v>
      </c>
      <c r="H1128" s="325"/>
      <c r="I1128" s="327">
        <v>1</v>
      </c>
      <c r="J1128" s="361" t="s">
        <v>1837</v>
      </c>
      <c r="K1128" s="327" t="s">
        <v>531</v>
      </c>
      <c r="L1128" s="348">
        <v>629587</v>
      </c>
      <c r="M1128" s="355"/>
      <c r="N1128" s="355" t="str">
        <f t="shared" si="129"/>
        <v>PR</v>
      </c>
      <c r="O1128" s="404" t="s">
        <v>1831</v>
      </c>
      <c r="P1128" s="325"/>
      <c r="Q1128" s="351"/>
      <c r="R1128" s="351"/>
      <c r="S1128" s="618">
        <v>6</v>
      </c>
      <c r="T1128" s="619">
        <v>2.6640000000000001</v>
      </c>
      <c r="U1128" s="329">
        <f>IF($N1128=$N$4,IFERROR(INDEX(DanhMuc!$E$154:$E$165,MATCH(MID($B1128,4,2),DanhMuc!$B$154:$B$165,0)),""),"")</f>
        <v>5800</v>
      </c>
      <c r="V1128" s="325"/>
      <c r="W1128" s="352" t="str">
        <f>+IF(AND($A1128&lt;&gt;"",LEN($B1128)&gt;=8,COUNTIF($B$6:$B1128,$B1128)=1),$W$5,"")</f>
        <v/>
      </c>
      <c r="X1128" s="329" t="str">
        <f t="shared" si="125"/>
        <v>RH</v>
      </c>
      <c r="Y1128" s="1128" t="s">
        <v>3380</v>
      </c>
      <c r="Z1128" s="1128" t="s">
        <v>3381</v>
      </c>
      <c r="AA1128" s="1128" t="s">
        <v>3384</v>
      </c>
      <c r="AC1128" s="73"/>
    </row>
    <row r="1129" spans="1:29" s="20" customFormat="1">
      <c r="A1129" s="327" t="str">
        <f>IF(AND($B1129&lt;&gt;"",$C1129&lt;&gt;""),MAX($A$4:A1128)+1,"")</f>
        <v/>
      </c>
      <c r="B1129" s="361" t="s">
        <v>1068</v>
      </c>
      <c r="C1129" s="364"/>
      <c r="D1129" s="327">
        <f>IF($B1129="","",COUNTIF($B$6:$B1129,$B1129))</f>
        <v>12</v>
      </c>
      <c r="E1129" s="361">
        <v>500063</v>
      </c>
      <c r="F1129" s="362" t="s">
        <v>842</v>
      </c>
      <c r="G1129" s="361" t="s">
        <v>328</v>
      </c>
      <c r="H1129" s="325"/>
      <c r="I1129" s="327">
        <v>4</v>
      </c>
      <c r="J1129" s="361" t="s">
        <v>920</v>
      </c>
      <c r="K1129" s="327" t="s">
        <v>531</v>
      </c>
      <c r="L1129" s="348">
        <v>185837</v>
      </c>
      <c r="M1129" s="355"/>
      <c r="N1129" s="355" t="str">
        <f t="shared" si="129"/>
        <v>PR</v>
      </c>
      <c r="O1129" s="345" t="s">
        <v>1832</v>
      </c>
      <c r="P1129" s="325"/>
      <c r="Q1129" s="351"/>
      <c r="R1129" s="351"/>
      <c r="S1129" s="618">
        <v>5.8</v>
      </c>
      <c r="T1129" s="619">
        <v>2.0821999999999998</v>
      </c>
      <c r="U1129" s="329">
        <f>IF($N1129=$N$4,IFERROR(INDEX(DanhMuc!$E$154:$E$165,MATCH(MID($B1129,4,2),DanhMuc!$B$154:$B$165,0)),""),"")</f>
        <v>5800</v>
      </c>
      <c r="V1129" s="325"/>
      <c r="W1129" s="352" t="str">
        <f>+IF(AND($A1129&lt;&gt;"",LEN($B1129)&gt;=8,COUNTIF($B$6:$B1129,$B1129)=1),$W$5,"")</f>
        <v/>
      </c>
      <c r="X1129" s="329" t="str">
        <f t="shared" si="125"/>
        <v>RH</v>
      </c>
      <c r="Y1129" s="1128" t="s">
        <v>3380</v>
      </c>
      <c r="Z1129" s="1128" t="s">
        <v>3381</v>
      </c>
      <c r="AA1129" s="1128" t="s">
        <v>3384</v>
      </c>
      <c r="AC1129" s="73"/>
    </row>
    <row r="1130" spans="1:29" s="20" customFormat="1">
      <c r="A1130" s="327" t="str">
        <f>IF(AND($B1130&lt;&gt;"",$C1130&lt;&gt;""),MAX($A$4:A1129)+1,"")</f>
        <v/>
      </c>
      <c r="B1130" s="361" t="s">
        <v>1068</v>
      </c>
      <c r="C1130" s="364"/>
      <c r="D1130" s="327">
        <f>IF($B1130="","",COUNTIF($B$6:$B1130,$B1130))</f>
        <v>13</v>
      </c>
      <c r="E1130" s="361">
        <v>500063</v>
      </c>
      <c r="F1130" s="362" t="s">
        <v>842</v>
      </c>
      <c r="G1130" s="361" t="s">
        <v>328</v>
      </c>
      <c r="H1130" s="325"/>
      <c r="I1130" s="327">
        <v>4</v>
      </c>
      <c r="J1130" s="361" t="s">
        <v>1837</v>
      </c>
      <c r="K1130" s="327" t="s">
        <v>531</v>
      </c>
      <c r="L1130" s="348">
        <v>185837</v>
      </c>
      <c r="M1130" s="355"/>
      <c r="N1130" s="355" t="str">
        <f t="shared" si="129"/>
        <v>PR</v>
      </c>
      <c r="O1130" s="404" t="s">
        <v>1831</v>
      </c>
      <c r="P1130" s="325"/>
      <c r="Q1130" s="351"/>
      <c r="R1130" s="351"/>
      <c r="S1130" s="618">
        <v>5.8</v>
      </c>
      <c r="T1130" s="619">
        <v>2.0821999999999998</v>
      </c>
      <c r="U1130" s="329">
        <f>IF($N1130=$N$4,IFERROR(INDEX(DanhMuc!$E$154:$E$165,MATCH(MID($B1130,4,2),DanhMuc!$B$154:$B$165,0)),""),"")</f>
        <v>5800</v>
      </c>
      <c r="V1130" s="325"/>
      <c r="W1130" s="352" t="str">
        <f>+IF(AND($A1130&lt;&gt;"",LEN($B1130)&gt;=8,COUNTIF($B$6:$B1130,$B1130)=1),$W$5,"")</f>
        <v/>
      </c>
      <c r="X1130" s="329" t="str">
        <f t="shared" si="125"/>
        <v>RH</v>
      </c>
      <c r="Y1130" s="1128" t="s">
        <v>3380</v>
      </c>
      <c r="Z1130" s="1128" t="s">
        <v>3381</v>
      </c>
      <c r="AA1130" s="1128" t="s">
        <v>3384</v>
      </c>
      <c r="AC1130" s="73"/>
    </row>
    <row r="1131" spans="1:29" s="20" customFormat="1">
      <c r="A1131" s="327" t="str">
        <f>IF(AND($B1131&lt;&gt;"",$C1131&lt;&gt;""),MAX($A$4:A1130)+1,"")</f>
        <v/>
      </c>
      <c r="B1131" s="361" t="s">
        <v>1068</v>
      </c>
      <c r="C1131" s="364"/>
      <c r="D1131" s="327">
        <f>IF($B1131="","",COUNTIF($B$6:$B1131,$B1131))</f>
        <v>14</v>
      </c>
      <c r="E1131" s="361" t="s">
        <v>899</v>
      </c>
      <c r="F1131" s="362" t="s">
        <v>898</v>
      </c>
      <c r="G1131" s="361" t="s">
        <v>329</v>
      </c>
      <c r="H1131" s="325"/>
      <c r="I1131" s="327">
        <v>8</v>
      </c>
      <c r="J1131" s="361" t="s">
        <v>1185</v>
      </c>
      <c r="K1131" s="327" t="s">
        <v>516</v>
      </c>
      <c r="L1131" s="348">
        <v>0</v>
      </c>
      <c r="M1131" s="355"/>
      <c r="N1131" s="355" t="str">
        <f t="shared" si="129"/>
        <v>PR</v>
      </c>
      <c r="O1131" s="347"/>
      <c r="P1131" s="325"/>
      <c r="Q1131" s="351"/>
      <c r="R1131" s="351"/>
      <c r="S1131" s="618"/>
      <c r="T1131" s="619"/>
      <c r="U1131" s="329">
        <f>IF($N1131=$N$4,IFERROR(INDEX(DanhMuc!$E$154:$E$165,MATCH(MID($B1131,4,2),DanhMuc!$B$154:$B$165,0)),""),"")</f>
        <v>5800</v>
      </c>
      <c r="V1131" s="325"/>
      <c r="W1131" s="352" t="str">
        <f>+IF(AND($A1131&lt;&gt;"",LEN($B1131)&gt;=8,COUNTIF($B$6:$B1131,$B1131)=1),$W$5,"")</f>
        <v/>
      </c>
      <c r="X1131" s="329" t="str">
        <f t="shared" si="125"/>
        <v>RH</v>
      </c>
      <c r="Y1131" s="1128" t="s">
        <v>3380</v>
      </c>
      <c r="Z1131" s="1128" t="s">
        <v>3381</v>
      </c>
      <c r="AA1131" s="1128" t="s">
        <v>3384</v>
      </c>
      <c r="AC1131" s="73"/>
    </row>
    <row r="1132" spans="1:29" s="20" customFormat="1">
      <c r="A1132" s="327" t="str">
        <f>IF(AND($B1132&lt;&gt;"",$C1132&lt;&gt;""),MAX($A$4:A1131)+1,"")</f>
        <v/>
      </c>
      <c r="B1132" s="361" t="s">
        <v>1068</v>
      </c>
      <c r="C1132" s="364"/>
      <c r="D1132" s="327">
        <f>IF($B1132="","",COUNTIF($B$6:$B1132,$B1132))</f>
        <v>15</v>
      </c>
      <c r="E1132" s="361" t="s">
        <v>899</v>
      </c>
      <c r="F1132" s="362" t="s">
        <v>898</v>
      </c>
      <c r="G1132" s="361" t="s">
        <v>328</v>
      </c>
      <c r="H1132" s="325"/>
      <c r="I1132" s="327">
        <v>8</v>
      </c>
      <c r="J1132" s="361" t="s">
        <v>1176</v>
      </c>
      <c r="K1132" s="327" t="s">
        <v>516</v>
      </c>
      <c r="L1132" s="348">
        <v>0</v>
      </c>
      <c r="M1132" s="355"/>
      <c r="N1132" s="355" t="str">
        <f t="shared" si="129"/>
        <v>PR</v>
      </c>
      <c r="O1132" s="345" t="s">
        <v>1832</v>
      </c>
      <c r="P1132" s="325"/>
      <c r="Q1132" s="351"/>
      <c r="R1132" s="351"/>
      <c r="S1132" s="618"/>
      <c r="T1132" s="619"/>
      <c r="U1132" s="329">
        <f>IF($N1132=$N$4,IFERROR(INDEX(DanhMuc!$E$154:$E$165,MATCH(MID($B1132,4,2),DanhMuc!$B$154:$B$165,0)),""),"")</f>
        <v>5800</v>
      </c>
      <c r="V1132" s="325"/>
      <c r="W1132" s="352" t="str">
        <f>+IF(AND($A1132&lt;&gt;"",LEN($B1132)&gt;=8,COUNTIF($B$6:$B1132,$B1132)=1),$W$5,"")</f>
        <v/>
      </c>
      <c r="X1132" s="329" t="str">
        <f t="shared" si="125"/>
        <v>RH</v>
      </c>
      <c r="Y1132" s="1128" t="s">
        <v>3380</v>
      </c>
      <c r="Z1132" s="1128" t="s">
        <v>3381</v>
      </c>
      <c r="AA1132" s="1128" t="s">
        <v>3384</v>
      </c>
      <c r="AC1132" s="73"/>
    </row>
    <row r="1133" spans="1:29" s="20" customFormat="1">
      <c r="A1133" s="327" t="str">
        <f>IF(AND($B1133&lt;&gt;"",$C1133&lt;&gt;""),MAX($A$4:A1132)+1,"")</f>
        <v/>
      </c>
      <c r="B1133" s="361" t="s">
        <v>1068</v>
      </c>
      <c r="C1133" s="364"/>
      <c r="D1133" s="327">
        <f>IF($B1133="","",COUNTIF($B$6:$B1133,$B1133))</f>
        <v>16</v>
      </c>
      <c r="E1133" s="361" t="s">
        <v>899</v>
      </c>
      <c r="F1133" s="362" t="s">
        <v>898</v>
      </c>
      <c r="G1133" s="361" t="s">
        <v>328</v>
      </c>
      <c r="H1133" s="325"/>
      <c r="I1133" s="327">
        <v>8</v>
      </c>
      <c r="J1133" s="361" t="s">
        <v>1838</v>
      </c>
      <c r="K1133" s="327" t="s">
        <v>516</v>
      </c>
      <c r="L1133" s="348">
        <v>0</v>
      </c>
      <c r="M1133" s="355"/>
      <c r="N1133" s="355" t="str">
        <f t="shared" si="129"/>
        <v>PR</v>
      </c>
      <c r="O1133" s="404" t="s">
        <v>1831</v>
      </c>
      <c r="P1133" s="325"/>
      <c r="Q1133" s="351"/>
      <c r="R1133" s="351"/>
      <c r="S1133" s="618"/>
      <c r="T1133" s="619"/>
      <c r="U1133" s="329">
        <f>IF($N1133=$N$4,IFERROR(INDEX(DanhMuc!$E$154:$E$165,MATCH(MID($B1133,4,2),DanhMuc!$B$154:$B$165,0)),""),"")</f>
        <v>5800</v>
      </c>
      <c r="V1133" s="325"/>
      <c r="W1133" s="352" t="str">
        <f>+IF(AND($A1133&lt;&gt;"",LEN($B1133)&gt;=8,COUNTIF($B$6:$B1133,$B1133)=1),$W$5,"")</f>
        <v/>
      </c>
      <c r="X1133" s="329" t="str">
        <f t="shared" si="125"/>
        <v>RH</v>
      </c>
      <c r="Y1133" s="1128" t="s">
        <v>3380</v>
      </c>
      <c r="Z1133" s="1128" t="s">
        <v>3381</v>
      </c>
      <c r="AA1133" s="1128" t="s">
        <v>3384</v>
      </c>
      <c r="AC1133" s="73"/>
    </row>
    <row r="1134" spans="1:29" s="20" customFormat="1">
      <c r="A1134" s="327" t="str">
        <f>IF(AND($B1134&lt;&gt;"",$C1134&lt;&gt;""),MAX($A$4:A1133)+1,"")</f>
        <v/>
      </c>
      <c r="B1134" s="361" t="s">
        <v>1068</v>
      </c>
      <c r="C1134" s="364"/>
      <c r="D1134" s="327">
        <f>IF($B1134="","",COUNTIF($B$6:$B1134,$B1134))</f>
        <v>17</v>
      </c>
      <c r="E1134" s="361">
        <v>221857</v>
      </c>
      <c r="F1134" s="362" t="s">
        <v>1447</v>
      </c>
      <c r="G1134" s="361" t="s">
        <v>329</v>
      </c>
      <c r="H1134" s="328" t="s">
        <v>536</v>
      </c>
      <c r="I1134" s="327">
        <v>2</v>
      </c>
      <c r="J1134" s="361" t="s">
        <v>1299</v>
      </c>
      <c r="K1134" s="327" t="s">
        <v>531</v>
      </c>
      <c r="L1134" s="348">
        <f t="shared" ref="L1134:L1139" si="133">+$K$1038*$T1134*$S1134</f>
        <v>183000</v>
      </c>
      <c r="M1134" s="355"/>
      <c r="N1134" s="355" t="str">
        <f t="shared" si="129"/>
        <v>PR</v>
      </c>
      <c r="O1134" s="345" t="s">
        <v>1832</v>
      </c>
      <c r="P1134" s="325"/>
      <c r="Q1134" s="351"/>
      <c r="R1134" s="351"/>
      <c r="S1134" s="618">
        <v>6</v>
      </c>
      <c r="T1134" s="619">
        <f t="shared" ref="T1134:T1136" si="134">6.1/S1134</f>
        <v>1.0166666666666666</v>
      </c>
      <c r="U1134" s="329">
        <f>IF($N1134=$N$4,IFERROR(INDEX(DanhMuc!$E$154:$E$165,MATCH(MID($B1134,4,2),DanhMuc!$B$154:$B$165,0)),""),"")</f>
        <v>5800</v>
      </c>
      <c r="V1134" s="325"/>
      <c r="W1134" s="352" t="str">
        <f>+IF(AND($A1134&lt;&gt;"",LEN($B1134)&gt;=8,COUNTIF($B$6:$B1134,$B1134)=1),$W$5,"")</f>
        <v/>
      </c>
      <c r="X1134" s="329" t="str">
        <f t="shared" si="125"/>
        <v>TRH</v>
      </c>
      <c r="Y1134" s="1128" t="s">
        <v>3380</v>
      </c>
      <c r="Z1134" s="1128" t="s">
        <v>3381</v>
      </c>
      <c r="AA1134" s="1128" t="s">
        <v>3384</v>
      </c>
      <c r="AC1134" s="73"/>
    </row>
    <row r="1135" spans="1:29" s="20" customFormat="1">
      <c r="A1135" s="327" t="str">
        <f>IF(AND($B1135&lt;&gt;"",$C1135&lt;&gt;""),MAX($A$4:A1134)+1,"")</f>
        <v/>
      </c>
      <c r="B1135" s="361" t="s">
        <v>1068</v>
      </c>
      <c r="C1135" s="364"/>
      <c r="D1135" s="327">
        <f>IF($B1135="","",COUNTIF($B$6:$B1135,$B1135))</f>
        <v>18</v>
      </c>
      <c r="E1135" s="361">
        <v>221857</v>
      </c>
      <c r="F1135" s="362" t="s">
        <v>1447</v>
      </c>
      <c r="G1135" s="361" t="s">
        <v>329</v>
      </c>
      <c r="H1135" s="328" t="s">
        <v>536</v>
      </c>
      <c r="I1135" s="327">
        <v>1</v>
      </c>
      <c r="J1135" s="361" t="s">
        <v>1299</v>
      </c>
      <c r="K1135" s="327" t="s">
        <v>531</v>
      </c>
      <c r="L1135" s="348">
        <f t="shared" si="133"/>
        <v>183000</v>
      </c>
      <c r="M1135" s="355"/>
      <c r="N1135" s="355" t="str">
        <f t="shared" si="129"/>
        <v>PR</v>
      </c>
      <c r="O1135" s="404" t="s">
        <v>1831</v>
      </c>
      <c r="P1135" s="325"/>
      <c r="Q1135" s="351"/>
      <c r="R1135" s="351"/>
      <c r="S1135" s="618">
        <v>6</v>
      </c>
      <c r="T1135" s="619">
        <f t="shared" si="134"/>
        <v>1.0166666666666666</v>
      </c>
      <c r="U1135" s="329">
        <f>IF($N1135=$N$4,IFERROR(INDEX(DanhMuc!$E$154:$E$165,MATCH(MID($B1135,4,2),DanhMuc!$B$154:$B$165,0)),""),"")</f>
        <v>5800</v>
      </c>
      <c r="V1135" s="325"/>
      <c r="W1135" s="352" t="str">
        <f>+IF(AND($A1135&lt;&gt;"",LEN($B1135)&gt;=8,COUNTIF($B$6:$B1135,$B1135)=1),$W$5,"")</f>
        <v/>
      </c>
      <c r="X1135" s="329" t="str">
        <f t="shared" si="125"/>
        <v>TRH</v>
      </c>
      <c r="Y1135" s="1128" t="s">
        <v>3380</v>
      </c>
      <c r="Z1135" s="1128" t="s">
        <v>3381</v>
      </c>
      <c r="AA1135" s="1128" t="s">
        <v>3384</v>
      </c>
      <c r="AC1135" s="73"/>
    </row>
    <row r="1136" spans="1:29" s="20" customFormat="1">
      <c r="A1136" s="327" t="str">
        <f>IF(AND($B1136&lt;&gt;"",$C1136&lt;&gt;""),MAX($A$4:A1135)+1,"")</f>
        <v/>
      </c>
      <c r="B1136" s="361" t="s">
        <v>1068</v>
      </c>
      <c r="C1136" s="364"/>
      <c r="D1136" s="327">
        <f>IF($B1136="","",COUNTIF($B$6:$B1136,$B1136))</f>
        <v>19</v>
      </c>
      <c r="E1136" s="361">
        <v>221857</v>
      </c>
      <c r="F1136" s="362" t="s">
        <v>1447</v>
      </c>
      <c r="G1136" s="361" t="s">
        <v>328</v>
      </c>
      <c r="H1136" s="328" t="s">
        <v>536</v>
      </c>
      <c r="I1136" s="327">
        <v>2</v>
      </c>
      <c r="J1136" s="361" t="s">
        <v>1300</v>
      </c>
      <c r="K1136" s="327" t="s">
        <v>531</v>
      </c>
      <c r="L1136" s="348">
        <f t="shared" si="133"/>
        <v>183000</v>
      </c>
      <c r="M1136" s="355"/>
      <c r="N1136" s="355" t="str">
        <f t="shared" si="129"/>
        <v>PR</v>
      </c>
      <c r="O1136" s="345"/>
      <c r="P1136" s="325"/>
      <c r="Q1136" s="351"/>
      <c r="R1136" s="351"/>
      <c r="S1136" s="618">
        <v>6</v>
      </c>
      <c r="T1136" s="619">
        <f t="shared" si="134"/>
        <v>1.0166666666666666</v>
      </c>
      <c r="U1136" s="329">
        <f>IF($N1136=$N$4,IFERROR(INDEX(DanhMuc!$E$154:$E$165,MATCH(MID($B1136,4,2),DanhMuc!$B$154:$B$165,0)),""),"")</f>
        <v>5800</v>
      </c>
      <c r="V1136" s="325"/>
      <c r="W1136" s="352" t="str">
        <f>+IF(AND($A1136&lt;&gt;"",LEN($B1136)&gt;=8,COUNTIF($B$6:$B1136,$B1136)=1),$W$5,"")</f>
        <v/>
      </c>
      <c r="X1136" s="329" t="str">
        <f t="shared" si="125"/>
        <v>TRH</v>
      </c>
      <c r="Y1136" s="1128" t="s">
        <v>3380</v>
      </c>
      <c r="Z1136" s="1128" t="s">
        <v>3381</v>
      </c>
      <c r="AA1136" s="1128" t="s">
        <v>3384</v>
      </c>
      <c r="AC1136" s="73"/>
    </row>
    <row r="1137" spans="1:29" s="20" customFormat="1">
      <c r="A1137" s="327" t="str">
        <f>IF(AND($B1137&lt;&gt;"",$C1137&lt;&gt;""),MAX($A$4:A1136)+1,"")</f>
        <v/>
      </c>
      <c r="B1137" s="361" t="s">
        <v>1068</v>
      </c>
      <c r="C1137" s="364"/>
      <c r="D1137" s="327">
        <f>IF($B1137="","",COUNTIF($B$6:$B1137,$B1137))</f>
        <v>20</v>
      </c>
      <c r="E1137" s="361">
        <v>221860</v>
      </c>
      <c r="F1137" s="362" t="s">
        <v>1448</v>
      </c>
      <c r="G1137" s="361" t="s">
        <v>329</v>
      </c>
      <c r="H1137" s="328" t="s">
        <v>536</v>
      </c>
      <c r="I1137" s="327">
        <v>8</v>
      </c>
      <c r="J1137" s="361" t="s">
        <v>1287</v>
      </c>
      <c r="K1137" s="327" t="s">
        <v>531</v>
      </c>
      <c r="L1137" s="348">
        <f t="shared" si="133"/>
        <v>270000</v>
      </c>
      <c r="M1137" s="355"/>
      <c r="N1137" s="355" t="str">
        <f t="shared" si="129"/>
        <v>PR</v>
      </c>
      <c r="O1137" s="345"/>
      <c r="P1137" s="325"/>
      <c r="Q1137" s="351"/>
      <c r="R1137" s="351"/>
      <c r="S1137" s="618">
        <v>6</v>
      </c>
      <c r="T1137" s="619">
        <f t="shared" ref="T1137:T1139" si="135">9/S1137</f>
        <v>1.5</v>
      </c>
      <c r="U1137" s="329">
        <f>IF($N1137=$N$4,IFERROR(INDEX(DanhMuc!$E$154:$E$165,MATCH(MID($B1137,4,2),DanhMuc!$B$154:$B$165,0)),""),"")</f>
        <v>5800</v>
      </c>
      <c r="V1137" s="325"/>
      <c r="W1137" s="352" t="str">
        <f>+IF(AND($A1137&lt;&gt;"",LEN($B1137)&gt;=8,COUNTIF($B$6:$B1137,$B1137)=1),$W$5,"")</f>
        <v/>
      </c>
      <c r="X1137" s="329" t="str">
        <f t="shared" si="125"/>
        <v>TRH</v>
      </c>
      <c r="Y1137" s="1128" t="s">
        <v>3380</v>
      </c>
      <c r="Z1137" s="1128" t="s">
        <v>3381</v>
      </c>
      <c r="AA1137" s="1128" t="s">
        <v>3384</v>
      </c>
      <c r="AC1137" s="73"/>
    </row>
    <row r="1138" spans="1:29" s="20" customFormat="1">
      <c r="A1138" s="327" t="str">
        <f>IF(AND($B1138&lt;&gt;"",$C1138&lt;&gt;""),MAX($A$4:A1137)+1,"")</f>
        <v/>
      </c>
      <c r="B1138" s="361" t="s">
        <v>1068</v>
      </c>
      <c r="C1138" s="364"/>
      <c r="D1138" s="327">
        <f>IF($B1138="","",COUNTIF($B$6:$B1138,$B1138))</f>
        <v>21</v>
      </c>
      <c r="E1138" s="361">
        <v>221860</v>
      </c>
      <c r="F1138" s="362" t="s">
        <v>1448</v>
      </c>
      <c r="G1138" s="361" t="s">
        <v>328</v>
      </c>
      <c r="H1138" s="328" t="s">
        <v>536</v>
      </c>
      <c r="I1138" s="327">
        <v>8</v>
      </c>
      <c r="J1138" s="361" t="s">
        <v>1302</v>
      </c>
      <c r="K1138" s="327" t="s">
        <v>531</v>
      </c>
      <c r="L1138" s="348">
        <f t="shared" si="133"/>
        <v>270000</v>
      </c>
      <c r="M1138" s="355"/>
      <c r="N1138" s="355" t="str">
        <f t="shared" si="129"/>
        <v>PR</v>
      </c>
      <c r="O1138" s="345" t="s">
        <v>1832</v>
      </c>
      <c r="P1138" s="325"/>
      <c r="Q1138" s="351"/>
      <c r="R1138" s="351"/>
      <c r="S1138" s="618">
        <v>6</v>
      </c>
      <c r="T1138" s="619">
        <f t="shared" si="135"/>
        <v>1.5</v>
      </c>
      <c r="U1138" s="329">
        <f>IF($N1138=$N$4,IFERROR(INDEX(DanhMuc!$E$154:$E$165,MATCH(MID($B1138,4,2),DanhMuc!$B$154:$B$165,0)),""),"")</f>
        <v>5800</v>
      </c>
      <c r="V1138" s="325"/>
      <c r="W1138" s="352" t="str">
        <f>+IF(AND($A1138&lt;&gt;"",LEN($B1138)&gt;=8,COUNTIF($B$6:$B1138,$B1138)=1),$W$5,"")</f>
        <v/>
      </c>
      <c r="X1138" s="329" t="str">
        <f t="shared" si="125"/>
        <v>TRH</v>
      </c>
      <c r="Y1138" s="1128" t="s">
        <v>3380</v>
      </c>
      <c r="Z1138" s="1128" t="s">
        <v>3381</v>
      </c>
      <c r="AA1138" s="1128" t="s">
        <v>3384</v>
      </c>
      <c r="AC1138" s="73"/>
    </row>
    <row r="1139" spans="1:29" s="20" customFormat="1">
      <c r="A1139" s="327" t="str">
        <f>IF(AND($B1139&lt;&gt;"",$C1139&lt;&gt;""),MAX($A$4:A1138)+1,"")</f>
        <v/>
      </c>
      <c r="B1139" s="361" t="s">
        <v>1068</v>
      </c>
      <c r="C1139" s="364"/>
      <c r="D1139" s="327">
        <f>IF($B1139="","",COUNTIF($B$6:$B1139,$B1139))</f>
        <v>22</v>
      </c>
      <c r="E1139" s="361">
        <v>221860</v>
      </c>
      <c r="F1139" s="362" t="s">
        <v>1448</v>
      </c>
      <c r="G1139" s="361" t="s">
        <v>328</v>
      </c>
      <c r="H1139" s="328" t="s">
        <v>536</v>
      </c>
      <c r="I1139" s="327">
        <v>8</v>
      </c>
      <c r="J1139" s="361" t="s">
        <v>1839</v>
      </c>
      <c r="K1139" s="327" t="s">
        <v>531</v>
      </c>
      <c r="L1139" s="348">
        <f t="shared" si="133"/>
        <v>270000</v>
      </c>
      <c r="M1139" s="355"/>
      <c r="N1139" s="355" t="str">
        <f t="shared" si="129"/>
        <v>PR</v>
      </c>
      <c r="O1139" s="404" t="s">
        <v>1831</v>
      </c>
      <c r="P1139" s="325"/>
      <c r="Q1139" s="351"/>
      <c r="R1139" s="351"/>
      <c r="S1139" s="618">
        <v>6</v>
      </c>
      <c r="T1139" s="619">
        <f t="shared" si="135"/>
        <v>1.5</v>
      </c>
      <c r="U1139" s="329">
        <f>IF($N1139=$N$4,IFERROR(INDEX(DanhMuc!$E$154:$E$165,MATCH(MID($B1139,4,2),DanhMuc!$B$154:$B$165,0)),""),"")</f>
        <v>5800</v>
      </c>
      <c r="V1139" s="325"/>
      <c r="W1139" s="352" t="str">
        <f>+IF(AND($A1139&lt;&gt;"",LEN($B1139)&gt;=8,COUNTIF($B$6:$B1139,$B1139)=1),$W$5,"")</f>
        <v/>
      </c>
      <c r="X1139" s="329" t="str">
        <f t="shared" si="125"/>
        <v>TRH</v>
      </c>
      <c r="Y1139" s="1128" t="s">
        <v>3380</v>
      </c>
      <c r="Z1139" s="1128" t="s">
        <v>3381</v>
      </c>
      <c r="AA1139" s="1128" t="s">
        <v>3384</v>
      </c>
      <c r="AC1139" s="73"/>
    </row>
    <row r="1140" spans="1:29" s="20" customFormat="1" ht="39">
      <c r="A1140" s="327">
        <f>IF(AND($B1140&lt;&gt;"",$C1140&lt;&gt;""),MAX($A$4:A1139)+1,"")</f>
        <v>85</v>
      </c>
      <c r="B1140" s="359" t="s">
        <v>1165</v>
      </c>
      <c r="C1140" s="370" t="s">
        <v>1579</v>
      </c>
      <c r="D1140" s="327">
        <f>IF($B1140="","",COUNTIF($B$6:$B1140,$B1140))</f>
        <v>1</v>
      </c>
      <c r="E1140" s="363">
        <v>500373</v>
      </c>
      <c r="F1140" s="362" t="s">
        <v>1140</v>
      </c>
      <c r="G1140" s="361" t="s">
        <v>329</v>
      </c>
      <c r="H1140" s="325"/>
      <c r="I1140" s="327">
        <v>1</v>
      </c>
      <c r="J1140" s="361" t="s">
        <v>762</v>
      </c>
      <c r="K1140" s="327" t="s">
        <v>516</v>
      </c>
      <c r="L1140" s="348">
        <v>613654</v>
      </c>
      <c r="M1140" s="355"/>
      <c r="N1140" s="355" t="str">
        <f t="shared" si="129"/>
        <v>PR</v>
      </c>
      <c r="O1140" s="345"/>
      <c r="P1140" s="325"/>
      <c r="Q1140" s="351"/>
      <c r="R1140" s="351"/>
      <c r="S1140" s="618">
        <v>5.8</v>
      </c>
      <c r="T1140" s="619">
        <v>7.9923999999999999</v>
      </c>
      <c r="U1140" s="329">
        <f>IF($N1140=$N$4,IFERROR(INDEX(DanhMuc!$E$154:$E$165,MATCH(MID($B1140,4,2),DanhMuc!$B$154:$B$165,0)),""),"")</f>
        <v>5800</v>
      </c>
      <c r="V1140" s="325"/>
      <c r="W1140" s="352" t="str">
        <f>+IF(AND($A1140&lt;&gt;"",LEN($B1140)&gt;=8,COUNTIF($B$6:$B1140,$B1140)=1),$W$5,"")</f>
        <v>DMCua</v>
      </c>
      <c r="X1140" s="329" t="str">
        <f t="shared" si="125"/>
        <v>RH</v>
      </c>
      <c r="Y1140" s="1128" t="s">
        <v>3380</v>
      </c>
      <c r="Z1140" s="1128" t="s">
        <v>3381</v>
      </c>
      <c r="AA1140" s="1128" t="s">
        <v>3384</v>
      </c>
      <c r="AC1140" s="73"/>
    </row>
    <row r="1141" spans="1:29" s="20" customFormat="1">
      <c r="A1141" s="327" t="str">
        <f>IF(AND($B1141&lt;&gt;"",$C1141&lt;&gt;""),MAX($A$4:A1140)+1,"")</f>
        <v/>
      </c>
      <c r="B1141" s="361" t="s">
        <v>1165</v>
      </c>
      <c r="C1141" s="364"/>
      <c r="D1141" s="327">
        <f>IF($B1141="","",COUNTIF($B$6:$B1141,$B1141))</f>
        <v>2</v>
      </c>
      <c r="E1141" s="363">
        <v>500373</v>
      </c>
      <c r="F1141" s="362" t="s">
        <v>1140</v>
      </c>
      <c r="G1141" s="361" t="s">
        <v>328</v>
      </c>
      <c r="H1141" s="325"/>
      <c r="I1141" s="327">
        <v>2</v>
      </c>
      <c r="J1141" s="361" t="s">
        <v>1171</v>
      </c>
      <c r="K1141" s="327" t="s">
        <v>1141</v>
      </c>
      <c r="L1141" s="348">
        <v>613654</v>
      </c>
      <c r="M1141" s="355"/>
      <c r="N1141" s="355" t="str">
        <f t="shared" si="129"/>
        <v>PR</v>
      </c>
      <c r="O1141" s="347"/>
      <c r="P1141" s="325"/>
      <c r="Q1141" s="351"/>
      <c r="R1141" s="351"/>
      <c r="S1141" s="618">
        <v>5.8</v>
      </c>
      <c r="T1141" s="619">
        <v>7.9923999999999999</v>
      </c>
      <c r="U1141" s="329">
        <f>IF($N1141=$N$4,IFERROR(INDEX(DanhMuc!$E$154:$E$165,MATCH(MID($B1141,4,2),DanhMuc!$B$154:$B$165,0)),""),"")</f>
        <v>5800</v>
      </c>
      <c r="V1141" s="325"/>
      <c r="W1141" s="352" t="str">
        <f>+IF(AND($A1141&lt;&gt;"",LEN($B1141)&gt;=8,COUNTIF($B$6:$B1141,$B1141)=1),$W$5,"")</f>
        <v/>
      </c>
      <c r="X1141" s="329" t="str">
        <f t="shared" si="125"/>
        <v>RH</v>
      </c>
      <c r="Y1141" s="1128" t="s">
        <v>3380</v>
      </c>
      <c r="Z1141" s="1128" t="s">
        <v>3381</v>
      </c>
      <c r="AA1141" s="1128" t="s">
        <v>3384</v>
      </c>
      <c r="AC1141" s="73"/>
    </row>
    <row r="1142" spans="1:29" s="20" customFormat="1">
      <c r="A1142" s="327" t="str">
        <f>IF(AND($B1142&lt;&gt;"",$C1142&lt;&gt;""),MAX($A$4:A1141)+1,"")</f>
        <v/>
      </c>
      <c r="B1142" s="361" t="s">
        <v>1165</v>
      </c>
      <c r="C1142" s="364"/>
      <c r="D1142" s="327">
        <f>IF($B1142="","",COUNTIF($B$6:$B1142,$B1142))</f>
        <v>3</v>
      </c>
      <c r="E1142" s="363" t="s">
        <v>1166</v>
      </c>
      <c r="F1142" s="362" t="s">
        <v>1167</v>
      </c>
      <c r="G1142" s="361" t="s">
        <v>328</v>
      </c>
      <c r="H1142" s="325"/>
      <c r="I1142" s="327">
        <v>1</v>
      </c>
      <c r="J1142" s="361" t="s">
        <v>81</v>
      </c>
      <c r="K1142" s="327" t="s">
        <v>531</v>
      </c>
      <c r="L1142" s="935" t="s">
        <v>2341</v>
      </c>
      <c r="M1142" s="355"/>
      <c r="N1142" s="355" t="str">
        <f t="shared" si="129"/>
        <v>PR</v>
      </c>
      <c r="O1142" s="347"/>
      <c r="P1142" s="325"/>
      <c r="Q1142" s="351"/>
      <c r="R1142" s="351"/>
      <c r="S1142" s="618"/>
      <c r="T1142" s="619"/>
      <c r="U1142" s="329">
        <f>IF($N1142=$N$4,IFERROR(INDEX(DanhMuc!$E$154:$E$165,MATCH(MID($B1142,4,2),DanhMuc!$B$154:$B$165,0)),""),"")</f>
        <v>5800</v>
      </c>
      <c r="V1142" s="325"/>
      <c r="W1142" s="352" t="str">
        <f>+IF(AND($A1142&lt;&gt;"",LEN($B1142)&gt;=8,COUNTIF($B$6:$B1142,$B1142)=1),$W$5,"")</f>
        <v/>
      </c>
      <c r="X1142" s="329" t="str">
        <f t="shared" si="125"/>
        <v>RH</v>
      </c>
      <c r="Y1142" s="1128" t="s">
        <v>3380</v>
      </c>
      <c r="Z1142" s="1128" t="s">
        <v>3381</v>
      </c>
      <c r="AA1142" s="1128" t="s">
        <v>3384</v>
      </c>
      <c r="AC1142" s="73"/>
    </row>
    <row r="1143" spans="1:29" s="20" customFormat="1">
      <c r="A1143" s="327" t="str">
        <f>IF(AND($B1143&lt;&gt;"",$C1143&lt;&gt;""),MAX($A$4:A1142)+1,"")</f>
        <v/>
      </c>
      <c r="B1143" s="361" t="s">
        <v>1165</v>
      </c>
      <c r="C1143" s="364"/>
      <c r="D1143" s="327">
        <f>IF($B1143="","",COUNTIF($B$6:$B1143,$B1143))</f>
        <v>4</v>
      </c>
      <c r="E1143" s="361">
        <v>500183</v>
      </c>
      <c r="F1143" s="362" t="s">
        <v>1142</v>
      </c>
      <c r="G1143" s="361" t="s">
        <v>329</v>
      </c>
      <c r="H1143" s="325"/>
      <c r="I1143" s="327">
        <v>6</v>
      </c>
      <c r="J1143" s="361" t="s">
        <v>1481</v>
      </c>
      <c r="K1143" s="327" t="s">
        <v>516</v>
      </c>
      <c r="L1143" s="348">
        <v>865740</v>
      </c>
      <c r="M1143" s="355"/>
      <c r="N1143" s="355" t="str">
        <f t="shared" si="129"/>
        <v>PR</v>
      </c>
      <c r="O1143" s="345" t="s">
        <v>19</v>
      </c>
      <c r="P1143" s="325"/>
      <c r="Q1143" s="351"/>
      <c r="R1143" s="351"/>
      <c r="S1143" s="618">
        <v>5.8</v>
      </c>
      <c r="T1143" s="619">
        <v>10.4864</v>
      </c>
      <c r="U1143" s="329">
        <f>IF($N1143=$N$4,IFERROR(INDEX(DanhMuc!$E$154:$E$165,MATCH(MID($B1143,4,2),DanhMuc!$B$154:$B$165,0)),""),"")</f>
        <v>5800</v>
      </c>
      <c r="V1143" s="325"/>
      <c r="W1143" s="352" t="str">
        <f>+IF(AND($A1143&lt;&gt;"",LEN($B1143)&gt;=8,COUNTIF($B$6:$B1143,$B1143)=1),$W$5,"")</f>
        <v/>
      </c>
      <c r="X1143" s="329" t="str">
        <f t="shared" si="125"/>
        <v>RH</v>
      </c>
      <c r="Y1143" s="1128" t="s">
        <v>3380</v>
      </c>
      <c r="Z1143" s="1128" t="s">
        <v>3381</v>
      </c>
      <c r="AA1143" s="1128" t="s">
        <v>3384</v>
      </c>
      <c r="AC1143" s="73"/>
    </row>
    <row r="1144" spans="1:29" s="20" customFormat="1">
      <c r="A1144" s="327" t="str">
        <f>IF(AND($B1144&lt;&gt;"",$C1144&lt;&gt;""),MAX($A$4:A1143)+1,"")</f>
        <v/>
      </c>
      <c r="B1144" s="361" t="s">
        <v>1165</v>
      </c>
      <c r="C1144" s="364"/>
      <c r="D1144" s="327">
        <f>IF($B1144="","",COUNTIF($B$6:$B1144,$B1144))</f>
        <v>5</v>
      </c>
      <c r="E1144" s="361">
        <v>500183</v>
      </c>
      <c r="F1144" s="362" t="s">
        <v>1142</v>
      </c>
      <c r="G1144" s="361" t="s">
        <v>328</v>
      </c>
      <c r="H1144" s="325"/>
      <c r="I1144" s="327">
        <v>4</v>
      </c>
      <c r="J1144" s="361" t="s">
        <v>1168</v>
      </c>
      <c r="K1144" s="327" t="s">
        <v>516</v>
      </c>
      <c r="L1144" s="348">
        <v>865740</v>
      </c>
      <c r="M1144" s="355"/>
      <c r="N1144" s="355" t="str">
        <f t="shared" si="129"/>
        <v>PR</v>
      </c>
      <c r="O1144" s="345" t="s">
        <v>19</v>
      </c>
      <c r="P1144" s="325"/>
      <c r="Q1144" s="351"/>
      <c r="R1144" s="351"/>
      <c r="S1144" s="618">
        <v>5.8</v>
      </c>
      <c r="T1144" s="619">
        <v>10.4864</v>
      </c>
      <c r="U1144" s="329">
        <f>IF($N1144=$N$4,IFERROR(INDEX(DanhMuc!$E$154:$E$165,MATCH(MID($B1144,4,2),DanhMuc!$B$154:$B$165,0)),""),"")</f>
        <v>5800</v>
      </c>
      <c r="V1144" s="325"/>
      <c r="W1144" s="352" t="str">
        <f>+IF(AND($A1144&lt;&gt;"",LEN($B1144)&gt;=8,COUNTIF($B$6:$B1144,$B1144)=1),$W$5,"")</f>
        <v/>
      </c>
      <c r="X1144" s="329" t="str">
        <f t="shared" si="125"/>
        <v>RH</v>
      </c>
      <c r="Y1144" s="1128" t="s">
        <v>3380</v>
      </c>
      <c r="Z1144" s="1128" t="s">
        <v>3381</v>
      </c>
      <c r="AA1144" s="1128" t="s">
        <v>3384</v>
      </c>
      <c r="AC1144" s="73"/>
    </row>
    <row r="1145" spans="1:29" s="20" customFormat="1">
      <c r="A1145" s="327" t="str">
        <f>IF(AND($B1145&lt;&gt;"",$C1145&lt;&gt;""),MAX($A$4:A1144)+1,"")</f>
        <v/>
      </c>
      <c r="B1145" s="361" t="s">
        <v>1165</v>
      </c>
      <c r="C1145" s="364"/>
      <c r="D1145" s="327">
        <f>IF($B1145="","",COUNTIF($B$6:$B1145,$B1145))</f>
        <v>6</v>
      </c>
      <c r="E1145" s="361">
        <v>500173</v>
      </c>
      <c r="F1145" s="362" t="s">
        <v>1143</v>
      </c>
      <c r="G1145" s="361" t="s">
        <v>328</v>
      </c>
      <c r="H1145" s="325"/>
      <c r="I1145" s="327">
        <v>2</v>
      </c>
      <c r="J1145" s="361" t="s">
        <v>1168</v>
      </c>
      <c r="K1145" s="327" t="s">
        <v>516</v>
      </c>
      <c r="L1145" s="348">
        <v>818580</v>
      </c>
      <c r="M1145" s="355"/>
      <c r="N1145" s="355" t="str">
        <f t="shared" si="129"/>
        <v>PR</v>
      </c>
      <c r="O1145" s="345" t="s">
        <v>19</v>
      </c>
      <c r="P1145" s="325"/>
      <c r="Q1145" s="351"/>
      <c r="R1145" s="351"/>
      <c r="S1145" s="618">
        <v>5.8</v>
      </c>
      <c r="T1145" s="619">
        <v>9.9238</v>
      </c>
      <c r="U1145" s="329">
        <f>IF($N1145=$N$4,IFERROR(INDEX(DanhMuc!$E$154:$E$165,MATCH(MID($B1145,4,2),DanhMuc!$B$154:$B$165,0)),""),"")</f>
        <v>5800</v>
      </c>
      <c r="V1145" s="325"/>
      <c r="W1145" s="352" t="str">
        <f>+IF(AND($A1145&lt;&gt;"",LEN($B1145)&gt;=8,COUNTIF($B$6:$B1145,$B1145)=1),$W$5,"")</f>
        <v/>
      </c>
      <c r="X1145" s="329" t="str">
        <f t="shared" si="125"/>
        <v>RH</v>
      </c>
      <c r="Y1145" s="1128" t="s">
        <v>3380</v>
      </c>
      <c r="Z1145" s="1128" t="s">
        <v>3381</v>
      </c>
      <c r="AA1145" s="1128" t="s">
        <v>3384</v>
      </c>
      <c r="AC1145" s="73"/>
    </row>
    <row r="1146" spans="1:29" s="20" customFormat="1">
      <c r="A1146" s="327" t="str">
        <f>IF(AND($B1146&lt;&gt;"",$C1146&lt;&gt;""),MAX($A$4:A1145)+1,"")</f>
        <v/>
      </c>
      <c r="B1146" s="361" t="s">
        <v>1165</v>
      </c>
      <c r="C1146" s="364"/>
      <c r="D1146" s="327">
        <f>IF($B1146="","",COUNTIF($B$6:$B1146,$B1146))</f>
        <v>7</v>
      </c>
      <c r="E1146" s="361">
        <v>500173</v>
      </c>
      <c r="F1146" s="362" t="s">
        <v>1143</v>
      </c>
      <c r="G1146" s="361" t="s">
        <v>329</v>
      </c>
      <c r="H1146" s="325"/>
      <c r="I1146" s="327">
        <v>6</v>
      </c>
      <c r="J1146" s="361" t="s">
        <v>1481</v>
      </c>
      <c r="K1146" s="327" t="s">
        <v>516</v>
      </c>
      <c r="L1146" s="348">
        <v>818580</v>
      </c>
      <c r="M1146" s="355"/>
      <c r="N1146" s="355" t="str">
        <f t="shared" ref="N1146:N1209" si="136">+$N$4</f>
        <v>PR</v>
      </c>
      <c r="O1146" s="345" t="s">
        <v>16</v>
      </c>
      <c r="P1146" s="325"/>
      <c r="Q1146" s="351"/>
      <c r="R1146" s="351"/>
      <c r="S1146" s="618">
        <v>5.8</v>
      </c>
      <c r="T1146" s="619">
        <v>9.9238</v>
      </c>
      <c r="U1146" s="329">
        <f>IF($N1146=$N$4,IFERROR(INDEX(DanhMuc!$E$154:$E$165,MATCH(MID($B1146,4,2),DanhMuc!$B$154:$B$165,0)),""),"")</f>
        <v>5800</v>
      </c>
      <c r="V1146" s="325"/>
      <c r="W1146" s="352" t="str">
        <f>+IF(AND($A1146&lt;&gt;"",LEN($B1146)&gt;=8,COUNTIF($B$6:$B1146,$B1146)=1),$W$5,"")</f>
        <v/>
      </c>
      <c r="X1146" s="329" t="str">
        <f t="shared" si="125"/>
        <v>RH</v>
      </c>
      <c r="Y1146" s="1128" t="s">
        <v>3380</v>
      </c>
      <c r="Z1146" s="1128" t="s">
        <v>3381</v>
      </c>
      <c r="AA1146" s="1128" t="s">
        <v>3384</v>
      </c>
      <c r="AC1146" s="73"/>
    </row>
    <row r="1147" spans="1:29" s="20" customFormat="1">
      <c r="A1147" s="327" t="str">
        <f>IF(AND($B1147&lt;&gt;"",$C1147&lt;&gt;""),MAX($A$4:A1146)+1,"")</f>
        <v/>
      </c>
      <c r="B1147" s="361" t="s">
        <v>1165</v>
      </c>
      <c r="C1147" s="364"/>
      <c r="D1147" s="327">
        <f>IF($B1147="","",COUNTIF($B$6:$B1147,$B1147))</f>
        <v>8</v>
      </c>
      <c r="E1147" s="361">
        <v>500173</v>
      </c>
      <c r="F1147" s="362" t="s">
        <v>1143</v>
      </c>
      <c r="G1147" s="361" t="s">
        <v>328</v>
      </c>
      <c r="H1147" s="325"/>
      <c r="I1147" s="327">
        <v>4</v>
      </c>
      <c r="J1147" s="361" t="s">
        <v>1168</v>
      </c>
      <c r="K1147" s="327" t="s">
        <v>516</v>
      </c>
      <c r="L1147" s="348">
        <v>818580</v>
      </c>
      <c r="M1147" s="355"/>
      <c r="N1147" s="355" t="str">
        <f t="shared" si="136"/>
        <v>PR</v>
      </c>
      <c r="O1147" s="345" t="s">
        <v>16</v>
      </c>
      <c r="P1147" s="325"/>
      <c r="Q1147" s="351"/>
      <c r="R1147" s="351"/>
      <c r="S1147" s="618">
        <v>5.8</v>
      </c>
      <c r="T1147" s="619">
        <v>9.9238</v>
      </c>
      <c r="U1147" s="329">
        <f>IF($N1147=$N$4,IFERROR(INDEX(DanhMuc!$E$154:$E$165,MATCH(MID($B1147,4,2),DanhMuc!$B$154:$B$165,0)),""),"")</f>
        <v>5800</v>
      </c>
      <c r="V1147" s="325"/>
      <c r="W1147" s="352" t="str">
        <f>+IF(AND($A1147&lt;&gt;"",LEN($B1147)&gt;=8,COUNTIF($B$6:$B1147,$B1147)=1),$W$5,"")</f>
        <v/>
      </c>
      <c r="X1147" s="329" t="str">
        <f t="shared" si="125"/>
        <v>RH</v>
      </c>
      <c r="Y1147" s="1128" t="s">
        <v>3380</v>
      </c>
      <c r="Z1147" s="1128" t="s">
        <v>3381</v>
      </c>
      <c r="AA1147" s="1128" t="s">
        <v>3384</v>
      </c>
      <c r="AC1147" s="73"/>
    </row>
    <row r="1148" spans="1:29" s="20" customFormat="1">
      <c r="A1148" s="327" t="str">
        <f>IF(AND($B1148&lt;&gt;"",$C1148&lt;&gt;""),MAX($A$4:A1147)+1,"")</f>
        <v/>
      </c>
      <c r="B1148" s="361" t="s">
        <v>1165</v>
      </c>
      <c r="C1148" s="364"/>
      <c r="D1148" s="327">
        <f>IF($B1148="","",COUNTIF($B$6:$B1148,$B1148))</f>
        <v>9</v>
      </c>
      <c r="E1148" s="361">
        <v>500183</v>
      </c>
      <c r="F1148" s="362" t="s">
        <v>1142</v>
      </c>
      <c r="G1148" s="361" t="s">
        <v>328</v>
      </c>
      <c r="H1148" s="325"/>
      <c r="I1148" s="327">
        <v>2</v>
      </c>
      <c r="J1148" s="361" t="s">
        <v>1168</v>
      </c>
      <c r="K1148" s="327" t="s">
        <v>516</v>
      </c>
      <c r="L1148" s="348">
        <v>865740</v>
      </c>
      <c r="M1148" s="355"/>
      <c r="N1148" s="355" t="str">
        <f t="shared" si="136"/>
        <v>PR</v>
      </c>
      <c r="O1148" s="345" t="s">
        <v>16</v>
      </c>
      <c r="P1148" s="325"/>
      <c r="Q1148" s="351"/>
      <c r="R1148" s="351"/>
      <c r="S1148" s="618">
        <v>5.8</v>
      </c>
      <c r="T1148" s="619">
        <v>10.4864</v>
      </c>
      <c r="U1148" s="329">
        <f>IF($N1148=$N$4,IFERROR(INDEX(DanhMuc!$E$154:$E$165,MATCH(MID($B1148,4,2),DanhMuc!$B$154:$B$165,0)),""),"")</f>
        <v>5800</v>
      </c>
      <c r="V1148" s="325"/>
      <c r="W1148" s="352" t="str">
        <f>+IF(AND($A1148&lt;&gt;"",LEN($B1148)&gt;=8,COUNTIF($B$6:$B1148,$B1148)=1),$W$5,"")</f>
        <v/>
      </c>
      <c r="X1148" s="329" t="str">
        <f t="shared" si="125"/>
        <v>RH</v>
      </c>
      <c r="Y1148" s="1128" t="s">
        <v>3380</v>
      </c>
      <c r="Z1148" s="1128" t="s">
        <v>3381</v>
      </c>
      <c r="AA1148" s="1128" t="s">
        <v>3384</v>
      </c>
      <c r="AC1148" s="73"/>
    </row>
    <row r="1149" spans="1:29" s="20" customFormat="1">
      <c r="A1149" s="327" t="str">
        <f>IF(AND($B1149&lt;&gt;"",$C1149&lt;&gt;""),MAX($A$4:A1148)+1,"")</f>
        <v/>
      </c>
      <c r="B1149" s="361" t="s">
        <v>1165</v>
      </c>
      <c r="C1149" s="364"/>
      <c r="D1149" s="327">
        <f>IF($B1149="","",COUNTIF($B$6:$B1149,$B1149))</f>
        <v>10</v>
      </c>
      <c r="E1149" s="361" t="s">
        <v>899</v>
      </c>
      <c r="F1149" s="362" t="s">
        <v>898</v>
      </c>
      <c r="G1149" s="361" t="s">
        <v>329</v>
      </c>
      <c r="H1149" s="325"/>
      <c r="I1149" s="327">
        <v>6</v>
      </c>
      <c r="J1149" s="361" t="s">
        <v>1482</v>
      </c>
      <c r="K1149" s="327" t="s">
        <v>516</v>
      </c>
      <c r="L1149" s="348">
        <v>0</v>
      </c>
      <c r="M1149" s="355"/>
      <c r="N1149" s="355" t="str">
        <f t="shared" si="136"/>
        <v>PR</v>
      </c>
      <c r="O1149" s="347"/>
      <c r="P1149" s="325"/>
      <c r="Q1149" s="351"/>
      <c r="R1149" s="351"/>
      <c r="S1149" s="618"/>
      <c r="T1149" s="619"/>
      <c r="U1149" s="329">
        <f>IF($N1149=$N$4,IFERROR(INDEX(DanhMuc!$E$154:$E$165,MATCH(MID($B1149,4,2),DanhMuc!$B$154:$B$165,0)),""),"")</f>
        <v>5800</v>
      </c>
      <c r="V1149" s="325"/>
      <c r="W1149" s="352" t="str">
        <f>+IF(AND($A1149&lt;&gt;"",LEN($B1149)&gt;=8,COUNTIF($B$6:$B1149,$B1149)=1),$W$5,"")</f>
        <v/>
      </c>
      <c r="X1149" s="329" t="str">
        <f t="shared" si="125"/>
        <v>RH</v>
      </c>
      <c r="Y1149" s="1128" t="s">
        <v>3380</v>
      </c>
      <c r="Z1149" s="1128" t="s">
        <v>3381</v>
      </c>
      <c r="AA1149" s="1128" t="s">
        <v>3384</v>
      </c>
      <c r="AC1149" s="73"/>
    </row>
    <row r="1150" spans="1:29" s="20" customFormat="1">
      <c r="A1150" s="327" t="str">
        <f>IF(AND($B1150&lt;&gt;"",$C1150&lt;&gt;""),MAX($A$4:A1149)+1,"")</f>
        <v/>
      </c>
      <c r="B1150" s="361" t="s">
        <v>1165</v>
      </c>
      <c r="C1150" s="364"/>
      <c r="D1150" s="327">
        <f>IF($B1150="","",COUNTIF($B$6:$B1150,$B1150))</f>
        <v>11</v>
      </c>
      <c r="E1150" s="361" t="s">
        <v>899</v>
      </c>
      <c r="F1150" s="362" t="s">
        <v>898</v>
      </c>
      <c r="G1150" s="361" t="s">
        <v>328</v>
      </c>
      <c r="H1150" s="325"/>
      <c r="I1150" s="327">
        <v>6</v>
      </c>
      <c r="J1150" s="361" t="s">
        <v>1169</v>
      </c>
      <c r="K1150" s="327" t="s">
        <v>516</v>
      </c>
      <c r="L1150" s="348">
        <v>0</v>
      </c>
      <c r="M1150" s="355"/>
      <c r="N1150" s="355" t="str">
        <f t="shared" si="136"/>
        <v>PR</v>
      </c>
      <c r="O1150" s="347"/>
      <c r="P1150" s="325"/>
      <c r="Q1150" s="351"/>
      <c r="R1150" s="351"/>
      <c r="S1150" s="618"/>
      <c r="T1150" s="619"/>
      <c r="U1150" s="329">
        <f>IF($N1150=$N$4,IFERROR(INDEX(DanhMuc!$E$154:$E$165,MATCH(MID($B1150,4,2),DanhMuc!$B$154:$B$165,0)),""),"")</f>
        <v>5800</v>
      </c>
      <c r="V1150" s="325"/>
      <c r="W1150" s="352" t="str">
        <f>+IF(AND($A1150&lt;&gt;"",LEN($B1150)&gt;=8,COUNTIF($B$6:$B1150,$B1150)=1),$W$5,"")</f>
        <v/>
      </c>
      <c r="X1150" s="329" t="str">
        <f t="shared" si="125"/>
        <v>RH</v>
      </c>
      <c r="Y1150" s="1128" t="s">
        <v>3380</v>
      </c>
      <c r="Z1150" s="1128" t="s">
        <v>3381</v>
      </c>
      <c r="AA1150" s="1128" t="s">
        <v>3384</v>
      </c>
      <c r="AC1150" s="73"/>
    </row>
    <row r="1151" spans="1:29" s="20" customFormat="1">
      <c r="A1151" s="327" t="str">
        <f>IF(AND($B1151&lt;&gt;"",$C1151&lt;&gt;""),MAX($A$4:A1150)+1,"")</f>
        <v/>
      </c>
      <c r="B1151" s="361" t="s">
        <v>1165</v>
      </c>
      <c r="C1151" s="364"/>
      <c r="D1151" s="327">
        <f>IF($B1151="","",COUNTIF($B$6:$B1151,$B1151))</f>
        <v>12</v>
      </c>
      <c r="E1151" s="361">
        <v>554230</v>
      </c>
      <c r="F1151" s="362" t="s">
        <v>761</v>
      </c>
      <c r="G1151" s="361" t="s">
        <v>328</v>
      </c>
      <c r="H1151" s="325"/>
      <c r="I1151" s="327">
        <v>1</v>
      </c>
      <c r="J1151" s="361" t="s">
        <v>1170</v>
      </c>
      <c r="K1151" s="327" t="s">
        <v>531</v>
      </c>
      <c r="L1151" s="348">
        <v>793373</v>
      </c>
      <c r="M1151" s="355"/>
      <c r="N1151" s="355" t="str">
        <f t="shared" si="136"/>
        <v>PR</v>
      </c>
      <c r="O1151" s="347"/>
      <c r="P1151" s="325"/>
      <c r="Q1151" s="351"/>
      <c r="R1151" s="351"/>
      <c r="S1151" s="618">
        <v>6</v>
      </c>
      <c r="T1151" s="619">
        <v>5.484</v>
      </c>
      <c r="U1151" s="329">
        <f>IF($N1151=$N$4,IFERROR(INDEX(DanhMuc!$E$154:$E$165,MATCH(MID($B1151,4,2),DanhMuc!$B$154:$B$165,0)),""),"")</f>
        <v>5800</v>
      </c>
      <c r="V1151" s="325"/>
      <c r="W1151" s="352" t="str">
        <f>+IF(AND($A1151&lt;&gt;"",LEN($B1151)&gt;=8,COUNTIF($B$6:$B1151,$B1151)=1),$W$5,"")</f>
        <v/>
      </c>
      <c r="X1151" s="329" t="str">
        <f t="shared" si="125"/>
        <v>RH</v>
      </c>
      <c r="Y1151" s="1128" t="s">
        <v>3380</v>
      </c>
      <c r="Z1151" s="1128" t="s">
        <v>3381</v>
      </c>
      <c r="AA1151" s="1128" t="s">
        <v>3384</v>
      </c>
      <c r="AC1151" s="73"/>
    </row>
    <row r="1152" spans="1:29" s="20" customFormat="1">
      <c r="A1152" s="327" t="str">
        <f>IF(AND($B1152&lt;&gt;"",$C1152&lt;&gt;""),MAX($A$4:A1151)+1,"")</f>
        <v/>
      </c>
      <c r="B1152" s="361" t="s">
        <v>1165</v>
      </c>
      <c r="C1152" s="364"/>
      <c r="D1152" s="327">
        <f>IF($B1152="","",COUNTIF($B$6:$B1152,$B1152))</f>
        <v>13</v>
      </c>
      <c r="E1152" s="361">
        <v>229184</v>
      </c>
      <c r="F1152" s="362" t="s">
        <v>1371</v>
      </c>
      <c r="G1152" s="361" t="s">
        <v>329</v>
      </c>
      <c r="H1152" s="325"/>
      <c r="I1152" s="327">
        <v>1</v>
      </c>
      <c r="J1152" s="361" t="s">
        <v>1148</v>
      </c>
      <c r="K1152" s="327" t="s">
        <v>531</v>
      </c>
      <c r="L1152" s="348">
        <v>556948</v>
      </c>
      <c r="M1152" s="355"/>
      <c r="N1152" s="355" t="str">
        <f t="shared" si="136"/>
        <v>PR</v>
      </c>
      <c r="O1152" s="347" t="s">
        <v>566</v>
      </c>
      <c r="P1152" s="325"/>
      <c r="Q1152" s="351"/>
      <c r="R1152" s="351"/>
      <c r="S1152" s="618">
        <v>5.8</v>
      </c>
      <c r="T1152" s="619">
        <v>3.1377999999999999</v>
      </c>
      <c r="U1152" s="329">
        <f>IF($N1152=$N$4,IFERROR(INDEX(DanhMuc!$E$154:$E$165,MATCH(MID($B1152,4,2),DanhMuc!$B$154:$B$165,0)),""),"")</f>
        <v>5800</v>
      </c>
      <c r="V1152" s="325"/>
      <c r="W1152" s="352" t="str">
        <f>+IF(AND($A1152&lt;&gt;"",LEN($B1152)&gt;=8,COUNTIF($B$6:$B1152,$B1152)=1),$W$5,"")</f>
        <v/>
      </c>
      <c r="X1152" s="329" t="str">
        <f t="shared" si="125"/>
        <v>RH</v>
      </c>
      <c r="Y1152" s="1128" t="s">
        <v>3380</v>
      </c>
      <c r="Z1152" s="1128" t="s">
        <v>3381</v>
      </c>
      <c r="AA1152" s="1128" t="s">
        <v>3384</v>
      </c>
      <c r="AC1152" s="73"/>
    </row>
    <row r="1153" spans="1:29" s="20" customFormat="1">
      <c r="A1153" s="327" t="str">
        <f>IF(AND($B1153&lt;&gt;"",$C1153&lt;&gt;""),MAX($A$4:A1152)+1,"")</f>
        <v/>
      </c>
      <c r="B1153" s="361" t="s">
        <v>1165</v>
      </c>
      <c r="C1153" s="364"/>
      <c r="D1153" s="327">
        <f>IF($B1153="","",COUNTIF($B$6:$B1153,$B1153))</f>
        <v>14</v>
      </c>
      <c r="E1153" s="361">
        <v>221877</v>
      </c>
      <c r="F1153" s="362" t="s">
        <v>1446</v>
      </c>
      <c r="G1153" s="361" t="s">
        <v>329</v>
      </c>
      <c r="H1153" s="328" t="s">
        <v>536</v>
      </c>
      <c r="I1153" s="327">
        <v>1</v>
      </c>
      <c r="J1153" s="361" t="s">
        <v>1149</v>
      </c>
      <c r="K1153" s="327" t="s">
        <v>531</v>
      </c>
      <c r="L1153" s="348">
        <f t="shared" ref="L1153:L1156" si="137">+$K$1038*$T1153*$S1153</f>
        <v>315000</v>
      </c>
      <c r="M1153" s="355"/>
      <c r="N1153" s="355" t="str">
        <f t="shared" si="136"/>
        <v>PR</v>
      </c>
      <c r="O1153" s="345"/>
      <c r="P1153" s="325"/>
      <c r="Q1153" s="351"/>
      <c r="R1153" s="351"/>
      <c r="S1153" s="618">
        <v>6</v>
      </c>
      <c r="T1153" s="619">
        <f t="shared" ref="T1153:T1154" si="138">10.5/S1153</f>
        <v>1.75</v>
      </c>
      <c r="U1153" s="329">
        <f>IF($N1153=$N$4,IFERROR(INDEX(DanhMuc!$E$154:$E$165,MATCH(MID($B1153,4,2),DanhMuc!$B$154:$B$165,0)),""),"")</f>
        <v>5800</v>
      </c>
      <c r="V1153" s="325"/>
      <c r="W1153" s="352" t="str">
        <f>+IF(AND($A1153&lt;&gt;"",LEN($B1153)&gt;=8,COUNTIF($B$6:$B1153,$B1153)=1),$W$5,"")</f>
        <v/>
      </c>
      <c r="X1153" s="329" t="str">
        <f t="shared" ref="X1153:X1216" si="139">IF(IFERROR(SEARCH("thép",$F1153,1),0)&gt;=1,"T" &amp;MID($B1153,4,2),MID($B1153,4,2))</f>
        <v>TRH</v>
      </c>
      <c r="Y1153" s="1128" t="s">
        <v>3380</v>
      </c>
      <c r="Z1153" s="1128" t="s">
        <v>3381</v>
      </c>
      <c r="AA1153" s="1128" t="s">
        <v>3384</v>
      </c>
      <c r="AC1153" s="73"/>
    </row>
    <row r="1154" spans="1:29" s="20" customFormat="1">
      <c r="A1154" s="327" t="str">
        <f>IF(AND($B1154&lt;&gt;"",$C1154&lt;&gt;""),MAX($A$4:A1153)+1,"")</f>
        <v/>
      </c>
      <c r="B1154" s="361" t="s">
        <v>1165</v>
      </c>
      <c r="C1154" s="364"/>
      <c r="D1154" s="327">
        <f>IF($B1154="","",COUNTIF($B$6:$B1154,$B1154))</f>
        <v>15</v>
      </c>
      <c r="E1154" s="361">
        <v>221877</v>
      </c>
      <c r="F1154" s="362" t="s">
        <v>1446</v>
      </c>
      <c r="G1154" s="361" t="s">
        <v>328</v>
      </c>
      <c r="H1154" s="328" t="s">
        <v>536</v>
      </c>
      <c r="I1154" s="327">
        <v>2</v>
      </c>
      <c r="J1154" s="361" t="s">
        <v>1172</v>
      </c>
      <c r="K1154" s="327" t="s">
        <v>531</v>
      </c>
      <c r="L1154" s="348">
        <f t="shared" si="137"/>
        <v>315000</v>
      </c>
      <c r="M1154" s="355"/>
      <c r="N1154" s="355" t="str">
        <f t="shared" si="136"/>
        <v>PR</v>
      </c>
      <c r="O1154" s="345"/>
      <c r="P1154" s="325"/>
      <c r="Q1154" s="351"/>
      <c r="R1154" s="351"/>
      <c r="S1154" s="618">
        <v>6</v>
      </c>
      <c r="T1154" s="619">
        <f t="shared" si="138"/>
        <v>1.75</v>
      </c>
      <c r="U1154" s="329">
        <f>IF($N1154=$N$4,IFERROR(INDEX(DanhMuc!$E$154:$E$165,MATCH(MID($B1154,4,2),DanhMuc!$B$154:$B$165,0)),""),"")</f>
        <v>5800</v>
      </c>
      <c r="V1154" s="325"/>
      <c r="W1154" s="352" t="str">
        <f>+IF(AND($A1154&lt;&gt;"",LEN($B1154)&gt;=8,COUNTIF($B$6:$B1154,$B1154)=1),$W$5,"")</f>
        <v/>
      </c>
      <c r="X1154" s="329" t="str">
        <f t="shared" si="139"/>
        <v>TRH</v>
      </c>
      <c r="Y1154" s="1128" t="s">
        <v>3380</v>
      </c>
      <c r="Z1154" s="1128" t="s">
        <v>3381</v>
      </c>
      <c r="AA1154" s="1128" t="s">
        <v>3384</v>
      </c>
      <c r="AC1154" s="73"/>
    </row>
    <row r="1155" spans="1:29" s="20" customFormat="1">
      <c r="A1155" s="327" t="str">
        <f>IF(AND($B1155&lt;&gt;"",$C1155&lt;&gt;""),MAX($A$4:A1154)+1,"")</f>
        <v/>
      </c>
      <c r="B1155" s="361" t="s">
        <v>1165</v>
      </c>
      <c r="C1155" s="364"/>
      <c r="D1155" s="327">
        <f>IF($B1155="","",COUNTIF($B$6:$B1155,$B1155))</f>
        <v>16</v>
      </c>
      <c r="E1155" s="361">
        <v>221871</v>
      </c>
      <c r="F1155" s="362" t="s">
        <v>613</v>
      </c>
      <c r="G1155" s="361" t="s">
        <v>329</v>
      </c>
      <c r="H1155" s="328" t="s">
        <v>536</v>
      </c>
      <c r="I1155" s="327">
        <v>6</v>
      </c>
      <c r="J1155" s="361" t="s">
        <v>1483</v>
      </c>
      <c r="K1155" s="327" t="s">
        <v>531</v>
      </c>
      <c r="L1155" s="348">
        <f t="shared" si="137"/>
        <v>372000.00000000006</v>
      </c>
      <c r="M1155" s="355"/>
      <c r="N1155" s="355" t="str">
        <f t="shared" si="136"/>
        <v>PR</v>
      </c>
      <c r="O1155" s="345"/>
      <c r="P1155" s="325"/>
      <c r="Q1155" s="351"/>
      <c r="R1155" s="351"/>
      <c r="S1155" s="618">
        <v>6</v>
      </c>
      <c r="T1155" s="619">
        <f t="shared" ref="T1155:T1156" si="140">12.4/S1155</f>
        <v>2.0666666666666669</v>
      </c>
      <c r="U1155" s="329">
        <f>IF($N1155=$N$4,IFERROR(INDEX(DanhMuc!$E$154:$E$165,MATCH(MID($B1155,4,2),DanhMuc!$B$154:$B$165,0)),""),"")</f>
        <v>5800</v>
      </c>
      <c r="V1155" s="325"/>
      <c r="W1155" s="352" t="str">
        <f>+IF(AND($A1155&lt;&gt;"",LEN($B1155)&gt;=8,COUNTIF($B$6:$B1155,$B1155)=1),$W$5,"")</f>
        <v/>
      </c>
      <c r="X1155" s="329" t="str">
        <f t="shared" si="139"/>
        <v>TRH</v>
      </c>
      <c r="Y1155" s="1128" t="s">
        <v>3380</v>
      </c>
      <c r="Z1155" s="1128" t="s">
        <v>3381</v>
      </c>
      <c r="AA1155" s="1128" t="s">
        <v>3384</v>
      </c>
      <c r="AC1155" s="73"/>
    </row>
    <row r="1156" spans="1:29" s="20" customFormat="1">
      <c r="A1156" s="327" t="str">
        <f>IF(AND($B1156&lt;&gt;"",$C1156&lt;&gt;""),MAX($A$4:A1155)+1,"")</f>
        <v/>
      </c>
      <c r="B1156" s="361" t="s">
        <v>1165</v>
      </c>
      <c r="C1156" s="364"/>
      <c r="D1156" s="327">
        <f>IF($B1156="","",COUNTIF($B$6:$B1156,$B1156))</f>
        <v>17</v>
      </c>
      <c r="E1156" s="361">
        <v>221871</v>
      </c>
      <c r="F1156" s="362" t="s">
        <v>613</v>
      </c>
      <c r="G1156" s="361" t="s">
        <v>328</v>
      </c>
      <c r="H1156" s="328" t="s">
        <v>536</v>
      </c>
      <c r="I1156" s="327">
        <v>6</v>
      </c>
      <c r="J1156" s="361" t="s">
        <v>1173</v>
      </c>
      <c r="K1156" s="327" t="s">
        <v>531</v>
      </c>
      <c r="L1156" s="348">
        <f t="shared" si="137"/>
        <v>372000.00000000006</v>
      </c>
      <c r="M1156" s="355"/>
      <c r="N1156" s="355" t="str">
        <f t="shared" si="136"/>
        <v>PR</v>
      </c>
      <c r="O1156" s="345"/>
      <c r="P1156" s="325"/>
      <c r="Q1156" s="351"/>
      <c r="R1156" s="351"/>
      <c r="S1156" s="618">
        <v>6</v>
      </c>
      <c r="T1156" s="619">
        <f t="shared" si="140"/>
        <v>2.0666666666666669</v>
      </c>
      <c r="U1156" s="329">
        <f>IF($N1156=$N$4,IFERROR(INDEX(DanhMuc!$E$154:$E$165,MATCH(MID($B1156,4,2),DanhMuc!$B$154:$B$165,0)),""),"")</f>
        <v>5800</v>
      </c>
      <c r="V1156" s="325"/>
      <c r="W1156" s="352" t="str">
        <f>+IF(AND($A1156&lt;&gt;"",LEN($B1156)&gt;=8,COUNTIF($B$6:$B1156,$B1156)=1),$W$5,"")</f>
        <v/>
      </c>
      <c r="X1156" s="329" t="str">
        <f t="shared" si="139"/>
        <v>TRH</v>
      </c>
      <c r="Y1156" s="1128" t="s">
        <v>3380</v>
      </c>
      <c r="Z1156" s="1128" t="s">
        <v>3381</v>
      </c>
      <c r="AA1156" s="1128" t="s">
        <v>3384</v>
      </c>
      <c r="AC1156" s="73"/>
    </row>
    <row r="1157" spans="1:29" s="20" customFormat="1" ht="39">
      <c r="A1157" s="327">
        <f>IF(AND($B1157&lt;&gt;"",$C1157&lt;&gt;""),MAX($A$4:A1156)+1,"")</f>
        <v>86</v>
      </c>
      <c r="B1157" s="359" t="s">
        <v>1174</v>
      </c>
      <c r="C1157" s="370" t="s">
        <v>1580</v>
      </c>
      <c r="D1157" s="327">
        <f>IF($B1157="","",COUNTIF($B$6:$B1157,$B1157))</f>
        <v>1</v>
      </c>
      <c r="E1157" s="363">
        <v>500373</v>
      </c>
      <c r="F1157" s="362" t="s">
        <v>1140</v>
      </c>
      <c r="G1157" s="361" t="s">
        <v>329</v>
      </c>
      <c r="H1157" s="325"/>
      <c r="I1157" s="327">
        <v>1</v>
      </c>
      <c r="J1157" s="361" t="s">
        <v>762</v>
      </c>
      <c r="K1157" s="327" t="s">
        <v>516</v>
      </c>
      <c r="L1157" s="348">
        <v>613654</v>
      </c>
      <c r="M1157" s="355"/>
      <c r="N1157" s="355" t="str">
        <f t="shared" si="136"/>
        <v>PR</v>
      </c>
      <c r="O1157" s="345"/>
      <c r="P1157" s="325"/>
      <c r="Q1157" s="351"/>
      <c r="R1157" s="351"/>
      <c r="S1157" s="618">
        <v>5.8</v>
      </c>
      <c r="T1157" s="619">
        <v>7.9923999999999999</v>
      </c>
      <c r="U1157" s="329">
        <f>IF($N1157=$N$4,IFERROR(INDEX(DanhMuc!$E$154:$E$165,MATCH(MID($B1157,4,2),DanhMuc!$B$154:$B$165,0)),""),"")</f>
        <v>5800</v>
      </c>
      <c r="V1157" s="325"/>
      <c r="W1157" s="352" t="str">
        <f>+IF(AND($A1157&lt;&gt;"",LEN($B1157)&gt;=8,COUNTIF($B$6:$B1157,$B1157)=1),$W$5,"")</f>
        <v>DMCua</v>
      </c>
      <c r="X1157" s="329" t="str">
        <f t="shared" si="139"/>
        <v>RH</v>
      </c>
      <c r="Y1157" s="1128" t="s">
        <v>3380</v>
      </c>
      <c r="Z1157" s="1128" t="s">
        <v>3381</v>
      </c>
      <c r="AA1157" s="1128" t="s">
        <v>3384</v>
      </c>
      <c r="AC1157" s="73"/>
    </row>
    <row r="1158" spans="1:29" s="20" customFormat="1">
      <c r="A1158" s="327" t="str">
        <f>IF(AND($B1158&lt;&gt;"",$C1158&lt;&gt;""),MAX($A$4:A1157)+1,"")</f>
        <v/>
      </c>
      <c r="B1158" s="361" t="s">
        <v>1174</v>
      </c>
      <c r="C1158" s="364"/>
      <c r="D1158" s="327">
        <f>IF($B1158="","",COUNTIF($B$6:$B1158,$B1158))</f>
        <v>2</v>
      </c>
      <c r="E1158" s="363">
        <v>500373</v>
      </c>
      <c r="F1158" s="362" t="s">
        <v>1140</v>
      </c>
      <c r="G1158" s="361" t="s">
        <v>328</v>
      </c>
      <c r="H1158" s="325"/>
      <c r="I1158" s="327">
        <v>2</v>
      </c>
      <c r="J1158" s="361" t="s">
        <v>1171</v>
      </c>
      <c r="K1158" s="327" t="s">
        <v>1141</v>
      </c>
      <c r="L1158" s="348">
        <v>613654</v>
      </c>
      <c r="M1158" s="355"/>
      <c r="N1158" s="355" t="str">
        <f t="shared" si="136"/>
        <v>PR</v>
      </c>
      <c r="O1158" s="347"/>
      <c r="P1158" s="325"/>
      <c r="Q1158" s="351"/>
      <c r="R1158" s="351"/>
      <c r="S1158" s="618">
        <v>5.8</v>
      </c>
      <c r="T1158" s="619">
        <v>7.9923999999999999</v>
      </c>
      <c r="U1158" s="329">
        <f>IF($N1158=$N$4,IFERROR(INDEX(DanhMuc!$E$154:$E$165,MATCH(MID($B1158,4,2),DanhMuc!$B$154:$B$165,0)),""),"")</f>
        <v>5800</v>
      </c>
      <c r="V1158" s="325"/>
      <c r="W1158" s="352" t="str">
        <f>+IF(AND($A1158&lt;&gt;"",LEN($B1158)&gt;=8,COUNTIF($B$6:$B1158,$B1158)=1),$W$5,"")</f>
        <v/>
      </c>
      <c r="X1158" s="329" t="str">
        <f t="shared" si="139"/>
        <v>RH</v>
      </c>
      <c r="Y1158" s="1128" t="s">
        <v>3380</v>
      </c>
      <c r="Z1158" s="1128" t="s">
        <v>3381</v>
      </c>
      <c r="AA1158" s="1128" t="s">
        <v>3384</v>
      </c>
      <c r="AC1158" s="73"/>
    </row>
    <row r="1159" spans="1:29" s="20" customFormat="1">
      <c r="A1159" s="327" t="str">
        <f>IF(AND($B1159&lt;&gt;"",$C1159&lt;&gt;""),MAX($A$4:A1158)+1,"")</f>
        <v/>
      </c>
      <c r="B1159" s="361" t="s">
        <v>1174</v>
      </c>
      <c r="C1159" s="364"/>
      <c r="D1159" s="327">
        <f>IF($B1159="","",COUNTIF($B$6:$B1159,$B1159))</f>
        <v>3</v>
      </c>
      <c r="E1159" s="363" t="s">
        <v>1166</v>
      </c>
      <c r="F1159" s="362" t="s">
        <v>1167</v>
      </c>
      <c r="G1159" s="361" t="s">
        <v>328</v>
      </c>
      <c r="H1159" s="325"/>
      <c r="I1159" s="327">
        <v>1</v>
      </c>
      <c r="J1159" s="361" t="s">
        <v>81</v>
      </c>
      <c r="K1159" s="327" t="s">
        <v>531</v>
      </c>
      <c r="L1159" s="935" t="s">
        <v>2341</v>
      </c>
      <c r="M1159" s="355"/>
      <c r="N1159" s="355" t="str">
        <f t="shared" si="136"/>
        <v>PR</v>
      </c>
      <c r="O1159" s="347"/>
      <c r="P1159" s="325"/>
      <c r="Q1159" s="351"/>
      <c r="R1159" s="351"/>
      <c r="S1159" s="618"/>
      <c r="T1159" s="619"/>
      <c r="U1159" s="329">
        <f>IF($N1159=$N$4,IFERROR(INDEX(DanhMuc!$E$154:$E$165,MATCH(MID($B1159,4,2),DanhMuc!$B$154:$B$165,0)),""),"")</f>
        <v>5800</v>
      </c>
      <c r="V1159" s="325"/>
      <c r="W1159" s="352" t="str">
        <f>+IF(AND($A1159&lt;&gt;"",LEN($B1159)&gt;=8,COUNTIF($B$6:$B1159,$B1159)=1),$W$5,"")</f>
        <v/>
      </c>
      <c r="X1159" s="329" t="str">
        <f t="shared" si="139"/>
        <v>RH</v>
      </c>
      <c r="Y1159" s="1128" t="s">
        <v>3380</v>
      </c>
      <c r="Z1159" s="1128" t="s">
        <v>3381</v>
      </c>
      <c r="AA1159" s="1128" t="s">
        <v>3384</v>
      </c>
      <c r="AC1159" s="73"/>
    </row>
    <row r="1160" spans="1:29" s="20" customFormat="1">
      <c r="A1160" s="327" t="str">
        <f>IF(AND($B1160&lt;&gt;"",$C1160&lt;&gt;""),MAX($A$4:A1159)+1,"")</f>
        <v/>
      </c>
      <c r="B1160" s="361" t="s">
        <v>1174</v>
      </c>
      <c r="C1160" s="364"/>
      <c r="D1160" s="327">
        <f>IF($B1160="","",COUNTIF($B$6:$B1160,$B1160))</f>
        <v>4</v>
      </c>
      <c r="E1160" s="361">
        <v>500183</v>
      </c>
      <c r="F1160" s="362" t="s">
        <v>1142</v>
      </c>
      <c r="G1160" s="361" t="s">
        <v>329</v>
      </c>
      <c r="H1160" s="325"/>
      <c r="I1160" s="327">
        <v>8</v>
      </c>
      <c r="J1160" s="361" t="s">
        <v>1485</v>
      </c>
      <c r="K1160" s="327" t="s">
        <v>516</v>
      </c>
      <c r="L1160" s="348">
        <v>865740</v>
      </c>
      <c r="M1160" s="355"/>
      <c r="N1160" s="355" t="str">
        <f t="shared" si="136"/>
        <v>PR</v>
      </c>
      <c r="O1160" s="345" t="s">
        <v>19</v>
      </c>
      <c r="P1160" s="325"/>
      <c r="Q1160" s="351"/>
      <c r="R1160" s="351"/>
      <c r="S1160" s="618">
        <v>5.8</v>
      </c>
      <c r="T1160" s="619">
        <v>10.4864</v>
      </c>
      <c r="U1160" s="329">
        <f>IF($N1160=$N$4,IFERROR(INDEX(DanhMuc!$E$154:$E$165,MATCH(MID($B1160,4,2),DanhMuc!$B$154:$B$165,0)),""),"")</f>
        <v>5800</v>
      </c>
      <c r="V1160" s="325"/>
      <c r="W1160" s="352" t="str">
        <f>+IF(AND($A1160&lt;&gt;"",LEN($B1160)&gt;=8,COUNTIF($B$6:$B1160,$B1160)=1),$W$5,"")</f>
        <v/>
      </c>
      <c r="X1160" s="329" t="str">
        <f t="shared" si="139"/>
        <v>RH</v>
      </c>
      <c r="Y1160" s="1128" t="s">
        <v>3380</v>
      </c>
      <c r="Z1160" s="1128" t="s">
        <v>3381</v>
      </c>
      <c r="AA1160" s="1128" t="s">
        <v>3384</v>
      </c>
      <c r="AC1160" s="73"/>
    </row>
    <row r="1161" spans="1:29" s="20" customFormat="1">
      <c r="A1161" s="327" t="str">
        <f>IF(AND($B1161&lt;&gt;"",$C1161&lt;&gt;""),MAX($A$4:A1160)+1,"")</f>
        <v/>
      </c>
      <c r="B1161" s="361" t="s">
        <v>1174</v>
      </c>
      <c r="C1161" s="364"/>
      <c r="D1161" s="327">
        <f>IF($B1161="","",COUNTIF($B$6:$B1161,$B1161))</f>
        <v>5</v>
      </c>
      <c r="E1161" s="361">
        <v>500183</v>
      </c>
      <c r="F1161" s="362" t="s">
        <v>1142</v>
      </c>
      <c r="G1161" s="361" t="s">
        <v>328</v>
      </c>
      <c r="H1161" s="325"/>
      <c r="I1161" s="327">
        <v>6</v>
      </c>
      <c r="J1161" s="361" t="s">
        <v>1168</v>
      </c>
      <c r="K1161" s="327" t="s">
        <v>516</v>
      </c>
      <c r="L1161" s="348">
        <v>865740</v>
      </c>
      <c r="M1161" s="355"/>
      <c r="N1161" s="355" t="str">
        <f t="shared" si="136"/>
        <v>PR</v>
      </c>
      <c r="O1161" s="345" t="s">
        <v>19</v>
      </c>
      <c r="P1161" s="325"/>
      <c r="Q1161" s="351"/>
      <c r="R1161" s="351"/>
      <c r="S1161" s="618">
        <v>5.8</v>
      </c>
      <c r="T1161" s="619">
        <v>10.4864</v>
      </c>
      <c r="U1161" s="329">
        <f>IF($N1161=$N$4,IFERROR(INDEX(DanhMuc!$E$154:$E$165,MATCH(MID($B1161,4,2),DanhMuc!$B$154:$B$165,0)),""),"")</f>
        <v>5800</v>
      </c>
      <c r="V1161" s="325"/>
      <c r="W1161" s="352" t="str">
        <f>+IF(AND($A1161&lt;&gt;"",LEN($B1161)&gt;=8,COUNTIF($B$6:$B1161,$B1161)=1),$W$5,"")</f>
        <v/>
      </c>
      <c r="X1161" s="329" t="str">
        <f t="shared" si="139"/>
        <v>RH</v>
      </c>
      <c r="Y1161" s="1128" t="s">
        <v>3380</v>
      </c>
      <c r="Z1161" s="1128" t="s">
        <v>3381</v>
      </c>
      <c r="AA1161" s="1128" t="s">
        <v>3384</v>
      </c>
      <c r="AC1161" s="73"/>
    </row>
    <row r="1162" spans="1:29" s="20" customFormat="1">
      <c r="A1162" s="327" t="str">
        <f>IF(AND($B1162&lt;&gt;"",$C1162&lt;&gt;""),MAX($A$4:A1161)+1,"")</f>
        <v/>
      </c>
      <c r="B1162" s="361" t="s">
        <v>1174</v>
      </c>
      <c r="C1162" s="364"/>
      <c r="D1162" s="327">
        <f>IF($B1162="","",COUNTIF($B$6:$B1162,$B1162))</f>
        <v>6</v>
      </c>
      <c r="E1162" s="361">
        <v>500173</v>
      </c>
      <c r="F1162" s="362" t="s">
        <v>1143</v>
      </c>
      <c r="G1162" s="361" t="s">
        <v>328</v>
      </c>
      <c r="H1162" s="325"/>
      <c r="I1162" s="327">
        <v>2</v>
      </c>
      <c r="J1162" s="361" t="s">
        <v>1168</v>
      </c>
      <c r="K1162" s="327" t="s">
        <v>516</v>
      </c>
      <c r="L1162" s="348">
        <v>818580</v>
      </c>
      <c r="M1162" s="355"/>
      <c r="N1162" s="355" t="str">
        <f t="shared" si="136"/>
        <v>PR</v>
      </c>
      <c r="O1162" s="345" t="s">
        <v>19</v>
      </c>
      <c r="P1162" s="325"/>
      <c r="Q1162" s="351"/>
      <c r="R1162" s="351"/>
      <c r="S1162" s="618">
        <v>5.8</v>
      </c>
      <c r="T1162" s="619">
        <v>9.9238</v>
      </c>
      <c r="U1162" s="329">
        <f>IF($N1162=$N$4,IFERROR(INDEX(DanhMuc!$E$154:$E$165,MATCH(MID($B1162,4,2),DanhMuc!$B$154:$B$165,0)),""),"")</f>
        <v>5800</v>
      </c>
      <c r="V1162" s="325"/>
      <c r="W1162" s="352" t="str">
        <f>+IF(AND($A1162&lt;&gt;"",LEN($B1162)&gt;=8,COUNTIF($B$6:$B1162,$B1162)=1),$W$5,"")</f>
        <v/>
      </c>
      <c r="X1162" s="329" t="str">
        <f t="shared" si="139"/>
        <v>RH</v>
      </c>
      <c r="Y1162" s="1128" t="s">
        <v>3380</v>
      </c>
      <c r="Z1162" s="1128" t="s">
        <v>3381</v>
      </c>
      <c r="AA1162" s="1128" t="s">
        <v>3384</v>
      </c>
      <c r="AC1162" s="73"/>
    </row>
    <row r="1163" spans="1:29" s="20" customFormat="1">
      <c r="A1163" s="327" t="str">
        <f>IF(AND($B1163&lt;&gt;"",$C1163&lt;&gt;""),MAX($A$4:A1162)+1,"")</f>
        <v/>
      </c>
      <c r="B1163" s="361" t="s">
        <v>1174</v>
      </c>
      <c r="C1163" s="364"/>
      <c r="D1163" s="327">
        <f>IF($B1163="","",COUNTIF($B$6:$B1163,$B1163))</f>
        <v>7</v>
      </c>
      <c r="E1163" s="361">
        <v>500173</v>
      </c>
      <c r="F1163" s="362" t="s">
        <v>1143</v>
      </c>
      <c r="G1163" s="361" t="s">
        <v>329</v>
      </c>
      <c r="H1163" s="325"/>
      <c r="I1163" s="327">
        <v>8</v>
      </c>
      <c r="J1163" s="361" t="s">
        <v>1485</v>
      </c>
      <c r="K1163" s="327" t="s">
        <v>516</v>
      </c>
      <c r="L1163" s="348">
        <v>818580</v>
      </c>
      <c r="M1163" s="355"/>
      <c r="N1163" s="355" t="str">
        <f t="shared" si="136"/>
        <v>PR</v>
      </c>
      <c r="O1163" s="345" t="s">
        <v>16</v>
      </c>
      <c r="P1163" s="325"/>
      <c r="Q1163" s="351"/>
      <c r="R1163" s="351"/>
      <c r="S1163" s="618">
        <v>5.8</v>
      </c>
      <c r="T1163" s="619">
        <v>9.9238</v>
      </c>
      <c r="U1163" s="329">
        <f>IF($N1163=$N$4,IFERROR(INDEX(DanhMuc!$E$154:$E$165,MATCH(MID($B1163,4,2),DanhMuc!$B$154:$B$165,0)),""),"")</f>
        <v>5800</v>
      </c>
      <c r="V1163" s="325"/>
      <c r="W1163" s="352" t="str">
        <f>+IF(AND($A1163&lt;&gt;"",LEN($B1163)&gt;=8,COUNTIF($B$6:$B1163,$B1163)=1),$W$5,"")</f>
        <v/>
      </c>
      <c r="X1163" s="329" t="str">
        <f t="shared" si="139"/>
        <v>RH</v>
      </c>
      <c r="Y1163" s="1128" t="s">
        <v>3380</v>
      </c>
      <c r="Z1163" s="1128" t="s">
        <v>3381</v>
      </c>
      <c r="AA1163" s="1128" t="s">
        <v>3384</v>
      </c>
      <c r="AC1163" s="73"/>
    </row>
    <row r="1164" spans="1:29" s="20" customFormat="1">
      <c r="A1164" s="327" t="str">
        <f>IF(AND($B1164&lt;&gt;"",$C1164&lt;&gt;""),MAX($A$4:A1163)+1,"")</f>
        <v/>
      </c>
      <c r="B1164" s="361" t="s">
        <v>1174</v>
      </c>
      <c r="C1164" s="364"/>
      <c r="D1164" s="327">
        <f>IF($B1164="","",COUNTIF($B$6:$B1164,$B1164))</f>
        <v>8</v>
      </c>
      <c r="E1164" s="361">
        <v>500173</v>
      </c>
      <c r="F1164" s="362" t="s">
        <v>1143</v>
      </c>
      <c r="G1164" s="361" t="s">
        <v>328</v>
      </c>
      <c r="H1164" s="325"/>
      <c r="I1164" s="327">
        <v>6</v>
      </c>
      <c r="J1164" s="361" t="s">
        <v>1168</v>
      </c>
      <c r="K1164" s="327" t="s">
        <v>516</v>
      </c>
      <c r="L1164" s="348">
        <v>818580</v>
      </c>
      <c r="M1164" s="355"/>
      <c r="N1164" s="355" t="str">
        <f t="shared" si="136"/>
        <v>PR</v>
      </c>
      <c r="O1164" s="345" t="s">
        <v>16</v>
      </c>
      <c r="P1164" s="325"/>
      <c r="Q1164" s="351"/>
      <c r="R1164" s="351"/>
      <c r="S1164" s="618">
        <v>5.8</v>
      </c>
      <c r="T1164" s="619">
        <v>9.9238</v>
      </c>
      <c r="U1164" s="329">
        <f>IF($N1164=$N$4,IFERROR(INDEX(DanhMuc!$E$154:$E$165,MATCH(MID($B1164,4,2),DanhMuc!$B$154:$B$165,0)),""),"")</f>
        <v>5800</v>
      </c>
      <c r="V1164" s="325"/>
      <c r="W1164" s="352" t="str">
        <f>+IF(AND($A1164&lt;&gt;"",LEN($B1164)&gt;=8,COUNTIF($B$6:$B1164,$B1164)=1),$W$5,"")</f>
        <v/>
      </c>
      <c r="X1164" s="329" t="str">
        <f t="shared" si="139"/>
        <v>RH</v>
      </c>
      <c r="Y1164" s="1128" t="s">
        <v>3380</v>
      </c>
      <c r="Z1164" s="1128" t="s">
        <v>3381</v>
      </c>
      <c r="AA1164" s="1128" t="s">
        <v>3384</v>
      </c>
      <c r="AC1164" s="73"/>
    </row>
    <row r="1165" spans="1:29" s="20" customFormat="1">
      <c r="A1165" s="327" t="str">
        <f>IF(AND($B1165&lt;&gt;"",$C1165&lt;&gt;""),MAX($A$4:A1164)+1,"")</f>
        <v/>
      </c>
      <c r="B1165" s="361" t="s">
        <v>1174</v>
      </c>
      <c r="C1165" s="364"/>
      <c r="D1165" s="327">
        <f>IF($B1165="","",COUNTIF($B$6:$B1165,$B1165))</f>
        <v>9</v>
      </c>
      <c r="E1165" s="361">
        <v>500183</v>
      </c>
      <c r="F1165" s="362" t="s">
        <v>1142</v>
      </c>
      <c r="G1165" s="361" t="s">
        <v>328</v>
      </c>
      <c r="H1165" s="325"/>
      <c r="I1165" s="327">
        <v>2</v>
      </c>
      <c r="J1165" s="361" t="s">
        <v>1168</v>
      </c>
      <c r="K1165" s="327" t="s">
        <v>516</v>
      </c>
      <c r="L1165" s="348">
        <v>865740</v>
      </c>
      <c r="M1165" s="355"/>
      <c r="N1165" s="355" t="str">
        <f t="shared" si="136"/>
        <v>PR</v>
      </c>
      <c r="O1165" s="345" t="s">
        <v>16</v>
      </c>
      <c r="P1165" s="325"/>
      <c r="Q1165" s="351"/>
      <c r="R1165" s="351"/>
      <c r="S1165" s="618">
        <v>5.8</v>
      </c>
      <c r="T1165" s="619">
        <v>10.4864</v>
      </c>
      <c r="U1165" s="329">
        <f>IF($N1165=$N$4,IFERROR(INDEX(DanhMuc!$E$154:$E$165,MATCH(MID($B1165,4,2),DanhMuc!$B$154:$B$165,0)),""),"")</f>
        <v>5800</v>
      </c>
      <c r="V1165" s="325"/>
      <c r="W1165" s="352" t="str">
        <f>+IF(AND($A1165&lt;&gt;"",LEN($B1165)&gt;=8,COUNTIF($B$6:$B1165,$B1165)=1),$W$5,"")</f>
        <v/>
      </c>
      <c r="X1165" s="329" t="str">
        <f t="shared" si="139"/>
        <v>RH</v>
      </c>
      <c r="Y1165" s="1128" t="s">
        <v>3380</v>
      </c>
      <c r="Z1165" s="1128" t="s">
        <v>3381</v>
      </c>
      <c r="AA1165" s="1128" t="s">
        <v>3384</v>
      </c>
      <c r="AC1165" s="73"/>
    </row>
    <row r="1166" spans="1:29" s="20" customFormat="1">
      <c r="A1166" s="327" t="str">
        <f>IF(AND($B1166&lt;&gt;"",$C1166&lt;&gt;""),MAX($A$4:A1165)+1,"")</f>
        <v/>
      </c>
      <c r="B1166" s="361" t="s">
        <v>1174</v>
      </c>
      <c r="C1166" s="364"/>
      <c r="D1166" s="327">
        <f>IF($B1166="","",COUNTIF($B$6:$B1166,$B1166))</f>
        <v>10</v>
      </c>
      <c r="E1166" s="361" t="s">
        <v>899</v>
      </c>
      <c r="F1166" s="362" t="s">
        <v>898</v>
      </c>
      <c r="G1166" s="361" t="s">
        <v>329</v>
      </c>
      <c r="H1166" s="325"/>
      <c r="I1166" s="327">
        <v>8</v>
      </c>
      <c r="J1166" s="361" t="s">
        <v>1487</v>
      </c>
      <c r="K1166" s="327" t="s">
        <v>516</v>
      </c>
      <c r="L1166" s="348">
        <v>0</v>
      </c>
      <c r="M1166" s="355"/>
      <c r="N1166" s="355" t="str">
        <f t="shared" si="136"/>
        <v>PR</v>
      </c>
      <c r="O1166" s="347"/>
      <c r="P1166" s="325"/>
      <c r="Q1166" s="351"/>
      <c r="R1166" s="351"/>
      <c r="S1166" s="618"/>
      <c r="T1166" s="619"/>
      <c r="U1166" s="329">
        <f>IF($N1166=$N$4,IFERROR(INDEX(DanhMuc!$E$154:$E$165,MATCH(MID($B1166,4,2),DanhMuc!$B$154:$B$165,0)),""),"")</f>
        <v>5800</v>
      </c>
      <c r="V1166" s="325"/>
      <c r="W1166" s="352" t="str">
        <f>+IF(AND($A1166&lt;&gt;"",LEN($B1166)&gt;=8,COUNTIF($B$6:$B1166,$B1166)=1),$W$5,"")</f>
        <v/>
      </c>
      <c r="X1166" s="329" t="str">
        <f t="shared" si="139"/>
        <v>RH</v>
      </c>
      <c r="Y1166" s="1128" t="s">
        <v>3380</v>
      </c>
      <c r="Z1166" s="1128" t="s">
        <v>3381</v>
      </c>
      <c r="AA1166" s="1128" t="s">
        <v>3384</v>
      </c>
      <c r="AC1166" s="73"/>
    </row>
    <row r="1167" spans="1:29" s="20" customFormat="1">
      <c r="A1167" s="327" t="str">
        <f>IF(AND($B1167&lt;&gt;"",$C1167&lt;&gt;""),MAX($A$4:A1166)+1,"")</f>
        <v/>
      </c>
      <c r="B1167" s="361" t="s">
        <v>1174</v>
      </c>
      <c r="C1167" s="364"/>
      <c r="D1167" s="327">
        <f>IF($B1167="","",COUNTIF($B$6:$B1167,$B1167))</f>
        <v>11</v>
      </c>
      <c r="E1167" s="361" t="s">
        <v>899</v>
      </c>
      <c r="F1167" s="362" t="s">
        <v>898</v>
      </c>
      <c r="G1167" s="361" t="s">
        <v>328</v>
      </c>
      <c r="H1167" s="325"/>
      <c r="I1167" s="327">
        <v>8</v>
      </c>
      <c r="J1167" s="361" t="s">
        <v>1169</v>
      </c>
      <c r="K1167" s="327" t="s">
        <v>516</v>
      </c>
      <c r="L1167" s="348">
        <v>0</v>
      </c>
      <c r="M1167" s="355"/>
      <c r="N1167" s="355" t="str">
        <f t="shared" si="136"/>
        <v>PR</v>
      </c>
      <c r="O1167" s="347"/>
      <c r="P1167" s="325"/>
      <c r="Q1167" s="351"/>
      <c r="R1167" s="351"/>
      <c r="S1167" s="618"/>
      <c r="T1167" s="619"/>
      <c r="U1167" s="329">
        <f>IF($N1167=$N$4,IFERROR(INDEX(DanhMuc!$E$154:$E$165,MATCH(MID($B1167,4,2),DanhMuc!$B$154:$B$165,0)),""),"")</f>
        <v>5800</v>
      </c>
      <c r="V1167" s="325"/>
      <c r="W1167" s="352" t="str">
        <f>+IF(AND($A1167&lt;&gt;"",LEN($B1167)&gt;=8,COUNTIF($B$6:$B1167,$B1167)=1),$W$5,"")</f>
        <v/>
      </c>
      <c r="X1167" s="329" t="str">
        <f t="shared" si="139"/>
        <v>RH</v>
      </c>
      <c r="Y1167" s="1128" t="s">
        <v>3380</v>
      </c>
      <c r="Z1167" s="1128" t="s">
        <v>3381</v>
      </c>
      <c r="AA1167" s="1128" t="s">
        <v>3384</v>
      </c>
      <c r="AC1167" s="73"/>
    </row>
    <row r="1168" spans="1:29" s="20" customFormat="1">
      <c r="A1168" s="327" t="str">
        <f>IF(AND($B1168&lt;&gt;"",$C1168&lt;&gt;""),MAX($A$4:A1167)+1,"")</f>
        <v/>
      </c>
      <c r="B1168" s="361" t="s">
        <v>1174</v>
      </c>
      <c r="C1168" s="364"/>
      <c r="D1168" s="327">
        <f>IF($B1168="","",COUNTIF($B$6:$B1168,$B1168))</f>
        <v>12</v>
      </c>
      <c r="E1168" s="361">
        <v>554230</v>
      </c>
      <c r="F1168" s="362" t="s">
        <v>761</v>
      </c>
      <c r="G1168" s="361" t="s">
        <v>328</v>
      </c>
      <c r="H1168" s="325"/>
      <c r="I1168" s="327">
        <v>1</v>
      </c>
      <c r="J1168" s="361" t="s">
        <v>1170</v>
      </c>
      <c r="K1168" s="327" t="s">
        <v>531</v>
      </c>
      <c r="L1168" s="348">
        <v>793373</v>
      </c>
      <c r="M1168" s="355"/>
      <c r="N1168" s="355" t="str">
        <f t="shared" si="136"/>
        <v>PR</v>
      </c>
      <c r="O1168" s="347"/>
      <c r="P1168" s="325"/>
      <c r="Q1168" s="351"/>
      <c r="R1168" s="351"/>
      <c r="S1168" s="618">
        <v>6</v>
      </c>
      <c r="T1168" s="619">
        <v>5.484</v>
      </c>
      <c r="U1168" s="329">
        <f>IF($N1168=$N$4,IFERROR(INDEX(DanhMuc!$E$154:$E$165,MATCH(MID($B1168,4,2),DanhMuc!$B$154:$B$165,0)),""),"")</f>
        <v>5800</v>
      </c>
      <c r="V1168" s="325"/>
      <c r="W1168" s="352" t="str">
        <f>+IF(AND($A1168&lt;&gt;"",LEN($B1168)&gt;=8,COUNTIF($B$6:$B1168,$B1168)=1),$W$5,"")</f>
        <v/>
      </c>
      <c r="X1168" s="329" t="str">
        <f t="shared" si="139"/>
        <v>RH</v>
      </c>
      <c r="Y1168" s="1128" t="s">
        <v>3380</v>
      </c>
      <c r="Z1168" s="1128" t="s">
        <v>3381</v>
      </c>
      <c r="AA1168" s="1128" t="s">
        <v>3384</v>
      </c>
      <c r="AC1168" s="73"/>
    </row>
    <row r="1169" spans="1:29" s="20" customFormat="1">
      <c r="A1169" s="327" t="str">
        <f>IF(AND($B1169&lt;&gt;"",$C1169&lt;&gt;""),MAX($A$4:A1168)+1,"")</f>
        <v/>
      </c>
      <c r="B1169" s="361" t="s">
        <v>1174</v>
      </c>
      <c r="C1169" s="364"/>
      <c r="D1169" s="327">
        <f>IF($B1169="","",COUNTIF($B$6:$B1169,$B1169))</f>
        <v>13</v>
      </c>
      <c r="E1169" s="361">
        <v>229184</v>
      </c>
      <c r="F1169" s="362" t="s">
        <v>1371</v>
      </c>
      <c r="G1169" s="361" t="s">
        <v>329</v>
      </c>
      <c r="H1169" s="325"/>
      <c r="I1169" s="327">
        <v>1</v>
      </c>
      <c r="J1169" s="361" t="s">
        <v>1148</v>
      </c>
      <c r="K1169" s="327" t="s">
        <v>531</v>
      </c>
      <c r="L1169" s="348">
        <v>556948</v>
      </c>
      <c r="M1169" s="355"/>
      <c r="N1169" s="355" t="str">
        <f t="shared" si="136"/>
        <v>PR</v>
      </c>
      <c r="O1169" s="347" t="s">
        <v>566</v>
      </c>
      <c r="P1169" s="325"/>
      <c r="Q1169" s="351"/>
      <c r="R1169" s="351"/>
      <c r="S1169" s="618">
        <v>5.8</v>
      </c>
      <c r="T1169" s="619">
        <v>3.1377999999999999</v>
      </c>
      <c r="U1169" s="329">
        <f>IF($N1169=$N$4,IFERROR(INDEX(DanhMuc!$E$154:$E$165,MATCH(MID($B1169,4,2),DanhMuc!$B$154:$B$165,0)),""),"")</f>
        <v>5800</v>
      </c>
      <c r="V1169" s="325"/>
      <c r="W1169" s="352" t="str">
        <f>+IF(AND($A1169&lt;&gt;"",LEN($B1169)&gt;=8,COUNTIF($B$6:$B1169,$B1169)=1),$W$5,"")</f>
        <v/>
      </c>
      <c r="X1169" s="329" t="str">
        <f t="shared" si="139"/>
        <v>RH</v>
      </c>
      <c r="Y1169" s="1128" t="s">
        <v>3380</v>
      </c>
      <c r="Z1169" s="1128" t="s">
        <v>3381</v>
      </c>
      <c r="AA1169" s="1128" t="s">
        <v>3384</v>
      </c>
      <c r="AC1169" s="73"/>
    </row>
    <row r="1170" spans="1:29" s="20" customFormat="1">
      <c r="A1170" s="327" t="str">
        <f>IF(AND($B1170&lt;&gt;"",$C1170&lt;&gt;""),MAX($A$4:A1169)+1,"")</f>
        <v/>
      </c>
      <c r="B1170" s="361" t="s">
        <v>1174</v>
      </c>
      <c r="C1170" s="364"/>
      <c r="D1170" s="327">
        <f>IF($B1170="","",COUNTIF($B$6:$B1170,$B1170))</f>
        <v>14</v>
      </c>
      <c r="E1170" s="361">
        <v>221877</v>
      </c>
      <c r="F1170" s="362" t="s">
        <v>1446</v>
      </c>
      <c r="G1170" s="361" t="s">
        <v>329</v>
      </c>
      <c r="H1170" s="328" t="s">
        <v>536</v>
      </c>
      <c r="I1170" s="327">
        <v>1</v>
      </c>
      <c r="J1170" s="361" t="s">
        <v>1149</v>
      </c>
      <c r="K1170" s="327" t="s">
        <v>531</v>
      </c>
      <c r="L1170" s="348">
        <f t="shared" ref="L1170:L1173" si="141">+$K$1038*$T1170*$S1170</f>
        <v>315000</v>
      </c>
      <c r="M1170" s="355"/>
      <c r="N1170" s="355" t="str">
        <f t="shared" si="136"/>
        <v>PR</v>
      </c>
      <c r="O1170" s="345"/>
      <c r="P1170" s="325"/>
      <c r="Q1170" s="351"/>
      <c r="R1170" s="351"/>
      <c r="S1170" s="618">
        <v>6</v>
      </c>
      <c r="T1170" s="619">
        <f t="shared" ref="T1170:T1171" si="142">10.5/S1170</f>
        <v>1.75</v>
      </c>
      <c r="U1170" s="329">
        <f>IF($N1170=$N$4,IFERROR(INDEX(DanhMuc!$E$154:$E$165,MATCH(MID($B1170,4,2),DanhMuc!$B$154:$B$165,0)),""),"")</f>
        <v>5800</v>
      </c>
      <c r="V1170" s="325"/>
      <c r="W1170" s="352" t="str">
        <f>+IF(AND($A1170&lt;&gt;"",LEN($B1170)&gt;=8,COUNTIF($B$6:$B1170,$B1170)=1),$W$5,"")</f>
        <v/>
      </c>
      <c r="X1170" s="329" t="str">
        <f t="shared" si="139"/>
        <v>TRH</v>
      </c>
      <c r="Y1170" s="1128" t="s">
        <v>3380</v>
      </c>
      <c r="Z1170" s="1128" t="s">
        <v>3381</v>
      </c>
      <c r="AA1170" s="1128" t="s">
        <v>3384</v>
      </c>
      <c r="AC1170" s="73"/>
    </row>
    <row r="1171" spans="1:29" s="20" customFormat="1">
      <c r="A1171" s="327" t="str">
        <f>IF(AND($B1171&lt;&gt;"",$C1171&lt;&gt;""),MAX($A$4:A1170)+1,"")</f>
        <v/>
      </c>
      <c r="B1171" s="361" t="s">
        <v>1174</v>
      </c>
      <c r="C1171" s="364"/>
      <c r="D1171" s="327">
        <f>IF($B1171="","",COUNTIF($B$6:$B1171,$B1171))</f>
        <v>15</v>
      </c>
      <c r="E1171" s="361">
        <v>221877</v>
      </c>
      <c r="F1171" s="362" t="s">
        <v>1446</v>
      </c>
      <c r="G1171" s="361" t="s">
        <v>328</v>
      </c>
      <c r="H1171" s="328" t="s">
        <v>536</v>
      </c>
      <c r="I1171" s="327">
        <v>2</v>
      </c>
      <c r="J1171" s="361" t="s">
        <v>1172</v>
      </c>
      <c r="K1171" s="327" t="s">
        <v>531</v>
      </c>
      <c r="L1171" s="348">
        <f t="shared" si="141"/>
        <v>315000</v>
      </c>
      <c r="M1171" s="355"/>
      <c r="N1171" s="355" t="str">
        <f t="shared" si="136"/>
        <v>PR</v>
      </c>
      <c r="O1171" s="345"/>
      <c r="P1171" s="325"/>
      <c r="Q1171" s="351"/>
      <c r="R1171" s="351"/>
      <c r="S1171" s="618">
        <v>6</v>
      </c>
      <c r="T1171" s="619">
        <f t="shared" si="142"/>
        <v>1.75</v>
      </c>
      <c r="U1171" s="329">
        <f>IF($N1171=$N$4,IFERROR(INDEX(DanhMuc!$E$154:$E$165,MATCH(MID($B1171,4,2),DanhMuc!$B$154:$B$165,0)),""),"")</f>
        <v>5800</v>
      </c>
      <c r="V1171" s="325"/>
      <c r="W1171" s="352" t="str">
        <f>+IF(AND($A1171&lt;&gt;"",LEN($B1171)&gt;=8,COUNTIF($B$6:$B1171,$B1171)=1),$W$5,"")</f>
        <v/>
      </c>
      <c r="X1171" s="329" t="str">
        <f t="shared" si="139"/>
        <v>TRH</v>
      </c>
      <c r="Y1171" s="1128" t="s">
        <v>3380</v>
      </c>
      <c r="Z1171" s="1128" t="s">
        <v>3381</v>
      </c>
      <c r="AA1171" s="1128" t="s">
        <v>3384</v>
      </c>
      <c r="AC1171" s="73"/>
    </row>
    <row r="1172" spans="1:29" s="20" customFormat="1">
      <c r="A1172" s="327" t="str">
        <f>IF(AND($B1172&lt;&gt;"",$C1172&lt;&gt;""),MAX($A$4:A1171)+1,"")</f>
        <v/>
      </c>
      <c r="B1172" s="361" t="s">
        <v>1174</v>
      </c>
      <c r="C1172" s="364"/>
      <c r="D1172" s="327">
        <f>IF($B1172="","",COUNTIF($B$6:$B1172,$B1172))</f>
        <v>16</v>
      </c>
      <c r="E1172" s="361">
        <v>221871</v>
      </c>
      <c r="F1172" s="362" t="s">
        <v>613</v>
      </c>
      <c r="G1172" s="361" t="s">
        <v>329</v>
      </c>
      <c r="H1172" s="328" t="s">
        <v>536</v>
      </c>
      <c r="I1172" s="327">
        <v>8</v>
      </c>
      <c r="J1172" s="361" t="s">
        <v>1486</v>
      </c>
      <c r="K1172" s="327" t="s">
        <v>531</v>
      </c>
      <c r="L1172" s="348">
        <f t="shared" si="141"/>
        <v>372000.00000000006</v>
      </c>
      <c r="M1172" s="355"/>
      <c r="N1172" s="355" t="str">
        <f t="shared" si="136"/>
        <v>PR</v>
      </c>
      <c r="O1172" s="345"/>
      <c r="P1172" s="325"/>
      <c r="Q1172" s="351"/>
      <c r="R1172" s="351"/>
      <c r="S1172" s="618">
        <v>6</v>
      </c>
      <c r="T1172" s="619">
        <f t="shared" ref="T1172:T1173" si="143">12.4/S1172</f>
        <v>2.0666666666666669</v>
      </c>
      <c r="U1172" s="329">
        <f>IF($N1172=$N$4,IFERROR(INDEX(DanhMuc!$E$154:$E$165,MATCH(MID($B1172,4,2),DanhMuc!$B$154:$B$165,0)),""),"")</f>
        <v>5800</v>
      </c>
      <c r="V1172" s="325"/>
      <c r="W1172" s="352" t="str">
        <f>+IF(AND($A1172&lt;&gt;"",LEN($B1172)&gt;=8,COUNTIF($B$6:$B1172,$B1172)=1),$W$5,"")</f>
        <v/>
      </c>
      <c r="X1172" s="329" t="str">
        <f t="shared" si="139"/>
        <v>TRH</v>
      </c>
      <c r="Y1172" s="1128" t="s">
        <v>3380</v>
      </c>
      <c r="Z1172" s="1128" t="s">
        <v>3381</v>
      </c>
      <c r="AA1172" s="1128" t="s">
        <v>3384</v>
      </c>
      <c r="AC1172" s="73"/>
    </row>
    <row r="1173" spans="1:29" s="20" customFormat="1">
      <c r="A1173" s="327" t="str">
        <f>IF(AND($B1173&lt;&gt;"",$C1173&lt;&gt;""),MAX($A$4:A1172)+1,"")</f>
        <v/>
      </c>
      <c r="B1173" s="361" t="s">
        <v>1174</v>
      </c>
      <c r="C1173" s="364"/>
      <c r="D1173" s="327">
        <f>IF($B1173="","",COUNTIF($B$6:$B1173,$B1173))</f>
        <v>17</v>
      </c>
      <c r="E1173" s="361">
        <v>221871</v>
      </c>
      <c r="F1173" s="362" t="s">
        <v>613</v>
      </c>
      <c r="G1173" s="361" t="s">
        <v>328</v>
      </c>
      <c r="H1173" s="328" t="s">
        <v>536</v>
      </c>
      <c r="I1173" s="327">
        <v>8</v>
      </c>
      <c r="J1173" s="361" t="s">
        <v>1173</v>
      </c>
      <c r="K1173" s="327" t="s">
        <v>531</v>
      </c>
      <c r="L1173" s="348">
        <f t="shared" si="141"/>
        <v>372000.00000000006</v>
      </c>
      <c r="M1173" s="355"/>
      <c r="N1173" s="355" t="str">
        <f t="shared" si="136"/>
        <v>PR</v>
      </c>
      <c r="O1173" s="345"/>
      <c r="P1173" s="325"/>
      <c r="Q1173" s="351"/>
      <c r="R1173" s="351"/>
      <c r="S1173" s="618">
        <v>6</v>
      </c>
      <c r="T1173" s="619">
        <f t="shared" si="143"/>
        <v>2.0666666666666669</v>
      </c>
      <c r="U1173" s="329">
        <f>IF($N1173=$N$4,IFERROR(INDEX(DanhMuc!$E$154:$E$165,MATCH(MID($B1173,4,2),DanhMuc!$B$154:$B$165,0)),""),"")</f>
        <v>5800</v>
      </c>
      <c r="V1173" s="325"/>
      <c r="W1173" s="352" t="str">
        <f>+IF(AND($A1173&lt;&gt;"",LEN($B1173)&gt;=8,COUNTIF($B$6:$B1173,$B1173)=1),$W$5,"")</f>
        <v/>
      </c>
      <c r="X1173" s="329" t="str">
        <f t="shared" si="139"/>
        <v>TRH</v>
      </c>
      <c r="Y1173" s="1128" t="s">
        <v>3380</v>
      </c>
      <c r="Z1173" s="1128" t="s">
        <v>3381</v>
      </c>
      <c r="AA1173" s="1128" t="s">
        <v>3384</v>
      </c>
      <c r="AC1173" s="73"/>
    </row>
    <row r="1174" spans="1:29" s="20" customFormat="1" ht="39">
      <c r="A1174" s="327">
        <f>IF(AND($B1174&lt;&gt;"",$C1174&lt;&gt;""),MAX($A$4:A1173)+1,"")</f>
        <v>87</v>
      </c>
      <c r="B1174" s="359" t="s">
        <v>1175</v>
      </c>
      <c r="C1174" s="370" t="s">
        <v>1581</v>
      </c>
      <c r="D1174" s="327">
        <f>IF($B1174="","",COUNTIF($B$6:$B1174,$B1174))</f>
        <v>1</v>
      </c>
      <c r="E1174" s="363">
        <v>500373</v>
      </c>
      <c r="F1174" s="362" t="s">
        <v>1140</v>
      </c>
      <c r="G1174" s="361" t="s">
        <v>329</v>
      </c>
      <c r="H1174" s="325"/>
      <c r="I1174" s="327">
        <v>1</v>
      </c>
      <c r="J1174" s="361" t="s">
        <v>762</v>
      </c>
      <c r="K1174" s="327" t="s">
        <v>516</v>
      </c>
      <c r="L1174" s="348">
        <v>613654</v>
      </c>
      <c r="M1174" s="355"/>
      <c r="N1174" s="355" t="str">
        <f t="shared" si="136"/>
        <v>PR</v>
      </c>
      <c r="O1174" s="345"/>
      <c r="P1174" s="325"/>
      <c r="Q1174" s="351"/>
      <c r="R1174" s="351"/>
      <c r="S1174" s="618">
        <v>5.8</v>
      </c>
      <c r="T1174" s="619">
        <v>7.9923999999999999</v>
      </c>
      <c r="U1174" s="329">
        <f>IF($N1174=$N$4,IFERROR(INDEX(DanhMuc!$E$154:$E$165,MATCH(MID($B1174,4,2),DanhMuc!$B$154:$B$165,0)),""),"")</f>
        <v>5800</v>
      </c>
      <c r="V1174" s="325"/>
      <c r="W1174" s="352" t="str">
        <f>+IF(AND($A1174&lt;&gt;"",LEN($B1174)&gt;=8,COUNTIF($B$6:$B1174,$B1174)=1),$W$5,"")</f>
        <v>DMCua</v>
      </c>
      <c r="X1174" s="329" t="str">
        <f t="shared" si="139"/>
        <v>RH</v>
      </c>
      <c r="Y1174" s="1128" t="s">
        <v>3380</v>
      </c>
      <c r="Z1174" s="1128" t="s">
        <v>3381</v>
      </c>
      <c r="AA1174" s="1128" t="s">
        <v>3384</v>
      </c>
      <c r="AC1174" s="73"/>
    </row>
    <row r="1175" spans="1:29" s="20" customFormat="1">
      <c r="A1175" s="327" t="str">
        <f>IF(AND($B1175&lt;&gt;"",$C1175&lt;&gt;""),MAX($A$4:A1174)+1,"")</f>
        <v/>
      </c>
      <c r="B1175" s="361" t="s">
        <v>1175</v>
      </c>
      <c r="C1175" s="364"/>
      <c r="D1175" s="327">
        <f>IF($B1175="","",COUNTIF($B$6:$B1175,$B1175))</f>
        <v>2</v>
      </c>
      <c r="E1175" s="363">
        <v>500373</v>
      </c>
      <c r="F1175" s="362" t="s">
        <v>1140</v>
      </c>
      <c r="G1175" s="361" t="s">
        <v>328</v>
      </c>
      <c r="H1175" s="325"/>
      <c r="I1175" s="327">
        <v>2</v>
      </c>
      <c r="J1175" s="361" t="s">
        <v>1171</v>
      </c>
      <c r="K1175" s="327" t="s">
        <v>1141</v>
      </c>
      <c r="L1175" s="348">
        <v>613654</v>
      </c>
      <c r="M1175" s="355"/>
      <c r="N1175" s="355" t="str">
        <f t="shared" si="136"/>
        <v>PR</v>
      </c>
      <c r="O1175" s="347"/>
      <c r="P1175" s="325"/>
      <c r="Q1175" s="351"/>
      <c r="R1175" s="351"/>
      <c r="S1175" s="618">
        <v>5.8</v>
      </c>
      <c r="T1175" s="619">
        <v>7.9923999999999999</v>
      </c>
      <c r="U1175" s="329">
        <f>IF($N1175=$N$4,IFERROR(INDEX(DanhMuc!$E$154:$E$165,MATCH(MID($B1175,4,2),DanhMuc!$B$154:$B$165,0)),""),"")</f>
        <v>5800</v>
      </c>
      <c r="V1175" s="325"/>
      <c r="W1175" s="352" t="str">
        <f>+IF(AND($A1175&lt;&gt;"",LEN($B1175)&gt;=8,COUNTIF($B$6:$B1175,$B1175)=1),$W$5,"")</f>
        <v/>
      </c>
      <c r="X1175" s="329" t="str">
        <f t="shared" si="139"/>
        <v>RH</v>
      </c>
      <c r="Y1175" s="1128" t="s">
        <v>3380</v>
      </c>
      <c r="Z1175" s="1128" t="s">
        <v>3381</v>
      </c>
      <c r="AA1175" s="1128" t="s">
        <v>3384</v>
      </c>
      <c r="AC1175" s="73"/>
    </row>
    <row r="1176" spans="1:29" s="20" customFormat="1">
      <c r="A1176" s="327" t="str">
        <f>IF(AND($B1176&lt;&gt;"",$C1176&lt;&gt;""),MAX($A$4:A1175)+1,"")</f>
        <v/>
      </c>
      <c r="B1176" s="361" t="s">
        <v>1175</v>
      </c>
      <c r="C1176" s="364"/>
      <c r="D1176" s="327">
        <f>IF($B1176="","",COUNTIF($B$6:$B1176,$B1176))</f>
        <v>3</v>
      </c>
      <c r="E1176" s="363" t="s">
        <v>1166</v>
      </c>
      <c r="F1176" s="362" t="s">
        <v>1167</v>
      </c>
      <c r="G1176" s="361" t="s">
        <v>328</v>
      </c>
      <c r="H1176" s="325"/>
      <c r="I1176" s="327">
        <v>1</v>
      </c>
      <c r="J1176" s="361" t="s">
        <v>81</v>
      </c>
      <c r="K1176" s="327" t="s">
        <v>531</v>
      </c>
      <c r="L1176" s="935" t="s">
        <v>2341</v>
      </c>
      <c r="M1176" s="355"/>
      <c r="N1176" s="355" t="str">
        <f t="shared" si="136"/>
        <v>PR</v>
      </c>
      <c r="O1176" s="347"/>
      <c r="P1176" s="325"/>
      <c r="Q1176" s="351"/>
      <c r="R1176" s="351"/>
      <c r="S1176" s="618"/>
      <c r="T1176" s="619"/>
      <c r="U1176" s="329">
        <f>IF($N1176=$N$4,IFERROR(INDEX(DanhMuc!$E$154:$E$165,MATCH(MID($B1176,4,2),DanhMuc!$B$154:$B$165,0)),""),"")</f>
        <v>5800</v>
      </c>
      <c r="V1176" s="325"/>
      <c r="W1176" s="352" t="str">
        <f>+IF(AND($A1176&lt;&gt;"",LEN($B1176)&gt;=8,COUNTIF($B$6:$B1176,$B1176)=1),$W$5,"")</f>
        <v/>
      </c>
      <c r="X1176" s="329" t="str">
        <f t="shared" si="139"/>
        <v>RH</v>
      </c>
      <c r="Y1176" s="1128" t="s">
        <v>3380</v>
      </c>
      <c r="Z1176" s="1128" t="s">
        <v>3381</v>
      </c>
      <c r="AA1176" s="1128" t="s">
        <v>3384</v>
      </c>
      <c r="AC1176" s="73"/>
    </row>
    <row r="1177" spans="1:29" s="20" customFormat="1">
      <c r="A1177" s="327" t="str">
        <f>IF(AND($B1177&lt;&gt;"",$C1177&lt;&gt;""),MAX($A$4:A1176)+1,"")</f>
        <v/>
      </c>
      <c r="B1177" s="361" t="s">
        <v>1175</v>
      </c>
      <c r="C1177" s="364"/>
      <c r="D1177" s="327">
        <f>IF($B1177="","",COUNTIF($B$6:$B1177,$B1177))</f>
        <v>4</v>
      </c>
      <c r="E1177" s="361">
        <v>500183</v>
      </c>
      <c r="F1177" s="362" t="s">
        <v>1142</v>
      </c>
      <c r="G1177" s="361" t="s">
        <v>329</v>
      </c>
      <c r="H1177" s="325"/>
      <c r="I1177" s="327">
        <v>10</v>
      </c>
      <c r="J1177" s="361" t="s">
        <v>1481</v>
      </c>
      <c r="K1177" s="327" t="s">
        <v>516</v>
      </c>
      <c r="L1177" s="348">
        <v>865740</v>
      </c>
      <c r="M1177" s="355"/>
      <c r="N1177" s="355" t="str">
        <f t="shared" si="136"/>
        <v>PR</v>
      </c>
      <c r="O1177" s="345" t="s">
        <v>19</v>
      </c>
      <c r="P1177" s="325"/>
      <c r="Q1177" s="351"/>
      <c r="R1177" s="351"/>
      <c r="S1177" s="618">
        <v>5.8</v>
      </c>
      <c r="T1177" s="619">
        <v>10.4864</v>
      </c>
      <c r="U1177" s="329">
        <f>IF($N1177=$N$4,IFERROR(INDEX(DanhMuc!$E$154:$E$165,MATCH(MID($B1177,4,2),DanhMuc!$B$154:$B$165,0)),""),"")</f>
        <v>5800</v>
      </c>
      <c r="V1177" s="325"/>
      <c r="W1177" s="352" t="str">
        <f>+IF(AND($A1177&lt;&gt;"",LEN($B1177)&gt;=8,COUNTIF($B$6:$B1177,$B1177)=1),$W$5,"")</f>
        <v/>
      </c>
      <c r="X1177" s="329" t="str">
        <f t="shared" si="139"/>
        <v>RH</v>
      </c>
      <c r="Y1177" s="1128" t="s">
        <v>3380</v>
      </c>
      <c r="Z1177" s="1128" t="s">
        <v>3381</v>
      </c>
      <c r="AA1177" s="1128" t="s">
        <v>3384</v>
      </c>
      <c r="AC1177" s="73"/>
    </row>
    <row r="1178" spans="1:29" s="20" customFormat="1">
      <c r="A1178" s="327" t="str">
        <f>IF(AND($B1178&lt;&gt;"",$C1178&lt;&gt;""),MAX($A$4:A1177)+1,"")</f>
        <v/>
      </c>
      <c r="B1178" s="361" t="s">
        <v>1175</v>
      </c>
      <c r="C1178" s="364"/>
      <c r="D1178" s="327">
        <f>IF($B1178="","",COUNTIF($B$6:$B1178,$B1178))</f>
        <v>5</v>
      </c>
      <c r="E1178" s="361">
        <v>500183</v>
      </c>
      <c r="F1178" s="362" t="s">
        <v>1142</v>
      </c>
      <c r="G1178" s="361" t="s">
        <v>328</v>
      </c>
      <c r="H1178" s="325"/>
      <c r="I1178" s="327">
        <v>6</v>
      </c>
      <c r="J1178" s="361" t="s">
        <v>1168</v>
      </c>
      <c r="K1178" s="327" t="s">
        <v>516</v>
      </c>
      <c r="L1178" s="348">
        <v>865740</v>
      </c>
      <c r="M1178" s="355"/>
      <c r="N1178" s="355" t="str">
        <f t="shared" si="136"/>
        <v>PR</v>
      </c>
      <c r="O1178" s="345" t="s">
        <v>19</v>
      </c>
      <c r="P1178" s="325"/>
      <c r="Q1178" s="351"/>
      <c r="R1178" s="351"/>
      <c r="S1178" s="618">
        <v>5.8</v>
      </c>
      <c r="T1178" s="619">
        <v>10.4864</v>
      </c>
      <c r="U1178" s="329">
        <f>IF($N1178=$N$4,IFERROR(INDEX(DanhMuc!$E$154:$E$165,MATCH(MID($B1178,4,2),DanhMuc!$B$154:$B$165,0)),""),"")</f>
        <v>5800</v>
      </c>
      <c r="V1178" s="325"/>
      <c r="W1178" s="352" t="str">
        <f>+IF(AND($A1178&lt;&gt;"",LEN($B1178)&gt;=8,COUNTIF($B$6:$B1178,$B1178)=1),$W$5,"")</f>
        <v/>
      </c>
      <c r="X1178" s="329" t="str">
        <f t="shared" si="139"/>
        <v>RH</v>
      </c>
      <c r="Y1178" s="1128" t="s">
        <v>3380</v>
      </c>
      <c r="Z1178" s="1128" t="s">
        <v>3381</v>
      </c>
      <c r="AA1178" s="1128" t="s">
        <v>3384</v>
      </c>
      <c r="AC1178" s="73"/>
    </row>
    <row r="1179" spans="1:29" s="20" customFormat="1">
      <c r="A1179" s="327" t="str">
        <f>IF(AND($B1179&lt;&gt;"",$C1179&lt;&gt;""),MAX($A$4:A1178)+1,"")</f>
        <v/>
      </c>
      <c r="B1179" s="361" t="s">
        <v>1175</v>
      </c>
      <c r="C1179" s="364"/>
      <c r="D1179" s="327">
        <f>IF($B1179="","",COUNTIF($B$6:$B1179,$B1179))</f>
        <v>6</v>
      </c>
      <c r="E1179" s="361">
        <v>500173</v>
      </c>
      <c r="F1179" s="362" t="s">
        <v>1143</v>
      </c>
      <c r="G1179" s="361" t="s">
        <v>328</v>
      </c>
      <c r="H1179" s="325"/>
      <c r="I1179" s="327">
        <v>4</v>
      </c>
      <c r="J1179" s="361" t="s">
        <v>1168</v>
      </c>
      <c r="K1179" s="327" t="s">
        <v>516</v>
      </c>
      <c r="L1179" s="348">
        <v>818580</v>
      </c>
      <c r="M1179" s="355"/>
      <c r="N1179" s="355" t="str">
        <f t="shared" si="136"/>
        <v>PR</v>
      </c>
      <c r="O1179" s="345" t="s">
        <v>19</v>
      </c>
      <c r="P1179" s="325"/>
      <c r="Q1179" s="351"/>
      <c r="R1179" s="351"/>
      <c r="S1179" s="618">
        <v>5.8</v>
      </c>
      <c r="T1179" s="619">
        <v>9.9238</v>
      </c>
      <c r="U1179" s="329">
        <f>IF($N1179=$N$4,IFERROR(INDEX(DanhMuc!$E$154:$E$165,MATCH(MID($B1179,4,2),DanhMuc!$B$154:$B$165,0)),""),"")</f>
        <v>5800</v>
      </c>
      <c r="V1179" s="325"/>
      <c r="W1179" s="352" t="str">
        <f>+IF(AND($A1179&lt;&gt;"",LEN($B1179)&gt;=8,COUNTIF($B$6:$B1179,$B1179)=1),$W$5,"")</f>
        <v/>
      </c>
      <c r="X1179" s="329" t="str">
        <f t="shared" si="139"/>
        <v>RH</v>
      </c>
      <c r="Y1179" s="1128" t="s">
        <v>3380</v>
      </c>
      <c r="Z1179" s="1128" t="s">
        <v>3381</v>
      </c>
      <c r="AA1179" s="1128" t="s">
        <v>3384</v>
      </c>
      <c r="AC1179" s="73"/>
    </row>
    <row r="1180" spans="1:29" s="20" customFormat="1">
      <c r="A1180" s="327" t="str">
        <f>IF(AND($B1180&lt;&gt;"",$C1180&lt;&gt;""),MAX($A$4:A1179)+1,"")</f>
        <v/>
      </c>
      <c r="B1180" s="361" t="s">
        <v>1175</v>
      </c>
      <c r="C1180" s="364"/>
      <c r="D1180" s="327">
        <f>IF($B1180="","",COUNTIF($B$6:$B1180,$B1180))</f>
        <v>7</v>
      </c>
      <c r="E1180" s="361">
        <v>500173</v>
      </c>
      <c r="F1180" s="362" t="s">
        <v>1143</v>
      </c>
      <c r="G1180" s="361" t="s">
        <v>329</v>
      </c>
      <c r="H1180" s="325"/>
      <c r="I1180" s="327">
        <v>10</v>
      </c>
      <c r="J1180" s="361" t="s">
        <v>1481</v>
      </c>
      <c r="K1180" s="327" t="s">
        <v>516</v>
      </c>
      <c r="L1180" s="348">
        <v>818580</v>
      </c>
      <c r="M1180" s="355"/>
      <c r="N1180" s="355" t="str">
        <f t="shared" si="136"/>
        <v>PR</v>
      </c>
      <c r="O1180" s="345" t="s">
        <v>16</v>
      </c>
      <c r="P1180" s="325"/>
      <c r="Q1180" s="351"/>
      <c r="R1180" s="351"/>
      <c r="S1180" s="618">
        <v>5.8</v>
      </c>
      <c r="T1180" s="619">
        <v>9.9238</v>
      </c>
      <c r="U1180" s="329">
        <f>IF($N1180=$N$4,IFERROR(INDEX(DanhMuc!$E$154:$E$165,MATCH(MID($B1180,4,2),DanhMuc!$B$154:$B$165,0)),""),"")</f>
        <v>5800</v>
      </c>
      <c r="V1180" s="325"/>
      <c r="W1180" s="352" t="str">
        <f>+IF(AND($A1180&lt;&gt;"",LEN($B1180)&gt;=8,COUNTIF($B$6:$B1180,$B1180)=1),$W$5,"")</f>
        <v/>
      </c>
      <c r="X1180" s="329" t="str">
        <f t="shared" si="139"/>
        <v>RH</v>
      </c>
      <c r="Y1180" s="1128" t="s">
        <v>3380</v>
      </c>
      <c r="Z1180" s="1128" t="s">
        <v>3381</v>
      </c>
      <c r="AA1180" s="1128" t="s">
        <v>3384</v>
      </c>
      <c r="AC1180" s="73"/>
    </row>
    <row r="1181" spans="1:29" s="20" customFormat="1">
      <c r="A1181" s="327" t="str">
        <f>IF(AND($B1181&lt;&gt;"",$C1181&lt;&gt;""),MAX($A$4:A1180)+1,"")</f>
        <v/>
      </c>
      <c r="B1181" s="361" t="s">
        <v>1175</v>
      </c>
      <c r="C1181" s="364"/>
      <c r="D1181" s="327">
        <f>IF($B1181="","",COUNTIF($B$6:$B1181,$B1181))</f>
        <v>8</v>
      </c>
      <c r="E1181" s="361">
        <v>500173</v>
      </c>
      <c r="F1181" s="362" t="s">
        <v>1143</v>
      </c>
      <c r="G1181" s="361" t="s">
        <v>328</v>
      </c>
      <c r="H1181" s="325"/>
      <c r="I1181" s="327">
        <v>6</v>
      </c>
      <c r="J1181" s="361" t="s">
        <v>1168</v>
      </c>
      <c r="K1181" s="327" t="s">
        <v>516</v>
      </c>
      <c r="L1181" s="348">
        <v>818580</v>
      </c>
      <c r="M1181" s="355"/>
      <c r="N1181" s="355" t="str">
        <f t="shared" si="136"/>
        <v>PR</v>
      </c>
      <c r="O1181" s="345" t="s">
        <v>16</v>
      </c>
      <c r="P1181" s="325"/>
      <c r="Q1181" s="351"/>
      <c r="R1181" s="351"/>
      <c r="S1181" s="618">
        <v>5.8</v>
      </c>
      <c r="T1181" s="619">
        <v>9.9238</v>
      </c>
      <c r="U1181" s="329">
        <f>IF($N1181=$N$4,IFERROR(INDEX(DanhMuc!$E$154:$E$165,MATCH(MID($B1181,4,2),DanhMuc!$B$154:$B$165,0)),""),"")</f>
        <v>5800</v>
      </c>
      <c r="V1181" s="325"/>
      <c r="W1181" s="352" t="str">
        <f>+IF(AND($A1181&lt;&gt;"",LEN($B1181)&gt;=8,COUNTIF($B$6:$B1181,$B1181)=1),$W$5,"")</f>
        <v/>
      </c>
      <c r="X1181" s="329" t="str">
        <f t="shared" si="139"/>
        <v>RH</v>
      </c>
      <c r="Y1181" s="1128" t="s">
        <v>3380</v>
      </c>
      <c r="Z1181" s="1128" t="s">
        <v>3381</v>
      </c>
      <c r="AA1181" s="1128" t="s">
        <v>3384</v>
      </c>
      <c r="AC1181" s="73"/>
    </row>
    <row r="1182" spans="1:29" s="20" customFormat="1">
      <c r="A1182" s="327" t="str">
        <f>IF(AND($B1182&lt;&gt;"",$C1182&lt;&gt;""),MAX($A$4:A1181)+1,"")</f>
        <v/>
      </c>
      <c r="B1182" s="361" t="s">
        <v>1175</v>
      </c>
      <c r="C1182" s="364"/>
      <c r="D1182" s="327">
        <f>IF($B1182="","",COUNTIF($B$6:$B1182,$B1182))</f>
        <v>9</v>
      </c>
      <c r="E1182" s="361">
        <v>500183</v>
      </c>
      <c r="F1182" s="362" t="s">
        <v>1142</v>
      </c>
      <c r="G1182" s="361" t="s">
        <v>328</v>
      </c>
      <c r="H1182" s="325"/>
      <c r="I1182" s="327">
        <v>4</v>
      </c>
      <c r="J1182" s="361" t="s">
        <v>1168</v>
      </c>
      <c r="K1182" s="327" t="s">
        <v>516</v>
      </c>
      <c r="L1182" s="348">
        <v>865740</v>
      </c>
      <c r="M1182" s="355"/>
      <c r="N1182" s="355" t="str">
        <f t="shared" si="136"/>
        <v>PR</v>
      </c>
      <c r="O1182" s="345" t="s">
        <v>16</v>
      </c>
      <c r="P1182" s="325"/>
      <c r="Q1182" s="351"/>
      <c r="R1182" s="351"/>
      <c r="S1182" s="618">
        <v>5.8</v>
      </c>
      <c r="T1182" s="619">
        <v>10.4864</v>
      </c>
      <c r="U1182" s="329">
        <f>IF($N1182=$N$4,IFERROR(INDEX(DanhMuc!$E$154:$E$165,MATCH(MID($B1182,4,2),DanhMuc!$B$154:$B$165,0)),""),"")</f>
        <v>5800</v>
      </c>
      <c r="V1182" s="325"/>
      <c r="W1182" s="352" t="str">
        <f>+IF(AND($A1182&lt;&gt;"",LEN($B1182)&gt;=8,COUNTIF($B$6:$B1182,$B1182)=1),$W$5,"")</f>
        <v/>
      </c>
      <c r="X1182" s="329" t="str">
        <f t="shared" si="139"/>
        <v>RH</v>
      </c>
      <c r="Y1182" s="1128" t="s">
        <v>3380</v>
      </c>
      <c r="Z1182" s="1128" t="s">
        <v>3381</v>
      </c>
      <c r="AA1182" s="1128" t="s">
        <v>3384</v>
      </c>
      <c r="AC1182" s="73"/>
    </row>
    <row r="1183" spans="1:29" s="20" customFormat="1">
      <c r="A1183" s="327" t="str">
        <f>IF(AND($B1183&lt;&gt;"",$C1183&lt;&gt;""),MAX($A$4:A1182)+1,"")</f>
        <v/>
      </c>
      <c r="B1183" s="361" t="s">
        <v>1175</v>
      </c>
      <c r="C1183" s="364"/>
      <c r="D1183" s="327">
        <f>IF($B1183="","",COUNTIF($B$6:$B1183,$B1183))</f>
        <v>10</v>
      </c>
      <c r="E1183" s="361" t="s">
        <v>899</v>
      </c>
      <c r="F1183" s="362" t="s">
        <v>898</v>
      </c>
      <c r="G1183" s="361" t="s">
        <v>329</v>
      </c>
      <c r="H1183" s="325"/>
      <c r="I1183" s="327">
        <v>10</v>
      </c>
      <c r="J1183" s="361" t="s">
        <v>1482</v>
      </c>
      <c r="K1183" s="327" t="s">
        <v>516</v>
      </c>
      <c r="L1183" s="348">
        <v>0</v>
      </c>
      <c r="M1183" s="355"/>
      <c r="N1183" s="355" t="str">
        <f t="shared" si="136"/>
        <v>PR</v>
      </c>
      <c r="O1183" s="347"/>
      <c r="P1183" s="325"/>
      <c r="Q1183" s="351"/>
      <c r="R1183" s="351"/>
      <c r="S1183" s="618"/>
      <c r="T1183" s="619"/>
      <c r="U1183" s="329">
        <f>IF($N1183=$N$4,IFERROR(INDEX(DanhMuc!$E$154:$E$165,MATCH(MID($B1183,4,2),DanhMuc!$B$154:$B$165,0)),""),"")</f>
        <v>5800</v>
      </c>
      <c r="V1183" s="325"/>
      <c r="W1183" s="352" t="str">
        <f>+IF(AND($A1183&lt;&gt;"",LEN($B1183)&gt;=8,COUNTIF($B$6:$B1183,$B1183)=1),$W$5,"")</f>
        <v/>
      </c>
      <c r="X1183" s="329" t="str">
        <f t="shared" si="139"/>
        <v>RH</v>
      </c>
      <c r="Y1183" s="1128" t="s">
        <v>3380</v>
      </c>
      <c r="Z1183" s="1128" t="s">
        <v>3381</v>
      </c>
      <c r="AA1183" s="1128" t="s">
        <v>3384</v>
      </c>
      <c r="AC1183" s="73"/>
    </row>
    <row r="1184" spans="1:29" s="20" customFormat="1">
      <c r="A1184" s="327" t="str">
        <f>IF(AND($B1184&lt;&gt;"",$C1184&lt;&gt;""),MAX($A$4:A1183)+1,"")</f>
        <v/>
      </c>
      <c r="B1184" s="361" t="s">
        <v>1175</v>
      </c>
      <c r="C1184" s="364"/>
      <c r="D1184" s="327">
        <f>IF($B1184="","",COUNTIF($B$6:$B1184,$B1184))</f>
        <v>11</v>
      </c>
      <c r="E1184" s="361" t="s">
        <v>899</v>
      </c>
      <c r="F1184" s="362" t="s">
        <v>898</v>
      </c>
      <c r="G1184" s="361" t="s">
        <v>328</v>
      </c>
      <c r="H1184" s="325"/>
      <c r="I1184" s="327">
        <v>10</v>
      </c>
      <c r="J1184" s="361" t="s">
        <v>1169</v>
      </c>
      <c r="K1184" s="327" t="s">
        <v>516</v>
      </c>
      <c r="L1184" s="348">
        <v>0</v>
      </c>
      <c r="M1184" s="355"/>
      <c r="N1184" s="355" t="str">
        <f t="shared" si="136"/>
        <v>PR</v>
      </c>
      <c r="O1184" s="347"/>
      <c r="P1184" s="325"/>
      <c r="Q1184" s="351"/>
      <c r="R1184" s="351"/>
      <c r="S1184" s="618"/>
      <c r="T1184" s="619"/>
      <c r="U1184" s="329">
        <f>IF($N1184=$N$4,IFERROR(INDEX(DanhMuc!$E$154:$E$165,MATCH(MID($B1184,4,2),DanhMuc!$B$154:$B$165,0)),""),"")</f>
        <v>5800</v>
      </c>
      <c r="V1184" s="325"/>
      <c r="W1184" s="352" t="str">
        <f>+IF(AND($A1184&lt;&gt;"",LEN($B1184)&gt;=8,COUNTIF($B$6:$B1184,$B1184)=1),$W$5,"")</f>
        <v/>
      </c>
      <c r="X1184" s="329" t="str">
        <f t="shared" si="139"/>
        <v>RH</v>
      </c>
      <c r="Y1184" s="1128" t="s">
        <v>3380</v>
      </c>
      <c r="Z1184" s="1128" t="s">
        <v>3381</v>
      </c>
      <c r="AA1184" s="1128" t="s">
        <v>3384</v>
      </c>
      <c r="AC1184" s="73"/>
    </row>
    <row r="1185" spans="1:29" s="20" customFormat="1">
      <c r="A1185" s="327" t="str">
        <f>IF(AND($B1185&lt;&gt;"",$C1185&lt;&gt;""),MAX($A$4:A1184)+1,"")</f>
        <v/>
      </c>
      <c r="B1185" s="361" t="s">
        <v>1175</v>
      </c>
      <c r="C1185" s="364"/>
      <c r="D1185" s="327">
        <f>IF($B1185="","",COUNTIF($B$6:$B1185,$B1185))</f>
        <v>12</v>
      </c>
      <c r="E1185" s="361">
        <v>554230</v>
      </c>
      <c r="F1185" s="362" t="s">
        <v>761</v>
      </c>
      <c r="G1185" s="361" t="s">
        <v>328</v>
      </c>
      <c r="H1185" s="325"/>
      <c r="I1185" s="327">
        <v>1</v>
      </c>
      <c r="J1185" s="361" t="s">
        <v>1170</v>
      </c>
      <c r="K1185" s="327" t="s">
        <v>531</v>
      </c>
      <c r="L1185" s="348">
        <v>793373</v>
      </c>
      <c r="M1185" s="355"/>
      <c r="N1185" s="355" t="str">
        <f t="shared" si="136"/>
        <v>PR</v>
      </c>
      <c r="O1185" s="347"/>
      <c r="P1185" s="325"/>
      <c r="Q1185" s="351"/>
      <c r="R1185" s="351"/>
      <c r="S1185" s="618">
        <v>6</v>
      </c>
      <c r="T1185" s="619">
        <v>5.484</v>
      </c>
      <c r="U1185" s="329">
        <f>IF($N1185=$N$4,IFERROR(INDEX(DanhMuc!$E$154:$E$165,MATCH(MID($B1185,4,2),DanhMuc!$B$154:$B$165,0)),""),"")</f>
        <v>5800</v>
      </c>
      <c r="V1185" s="325"/>
      <c r="W1185" s="352" t="str">
        <f>+IF(AND($A1185&lt;&gt;"",LEN($B1185)&gt;=8,COUNTIF($B$6:$B1185,$B1185)=1),$W$5,"")</f>
        <v/>
      </c>
      <c r="X1185" s="329" t="str">
        <f t="shared" si="139"/>
        <v>RH</v>
      </c>
      <c r="Y1185" s="1128" t="s">
        <v>3380</v>
      </c>
      <c r="Z1185" s="1128" t="s">
        <v>3381</v>
      </c>
      <c r="AA1185" s="1128" t="s">
        <v>3384</v>
      </c>
      <c r="AC1185" s="73"/>
    </row>
    <row r="1186" spans="1:29" s="20" customFormat="1">
      <c r="A1186" s="327" t="str">
        <f>IF(AND($B1186&lt;&gt;"",$C1186&lt;&gt;""),MAX($A$4:A1185)+1,"")</f>
        <v/>
      </c>
      <c r="B1186" s="361" t="s">
        <v>1175</v>
      </c>
      <c r="C1186" s="364"/>
      <c r="D1186" s="327">
        <f>IF($B1186="","",COUNTIF($B$6:$B1186,$B1186))</f>
        <v>13</v>
      </c>
      <c r="E1186" s="361">
        <v>229184</v>
      </c>
      <c r="F1186" s="362" t="s">
        <v>1371</v>
      </c>
      <c r="G1186" s="361" t="s">
        <v>329</v>
      </c>
      <c r="H1186" s="325"/>
      <c r="I1186" s="327">
        <v>1</v>
      </c>
      <c r="J1186" s="361" t="s">
        <v>1148</v>
      </c>
      <c r="K1186" s="327" t="s">
        <v>531</v>
      </c>
      <c r="L1186" s="348">
        <v>556948</v>
      </c>
      <c r="M1186" s="355"/>
      <c r="N1186" s="355" t="str">
        <f t="shared" si="136"/>
        <v>PR</v>
      </c>
      <c r="O1186" s="347" t="s">
        <v>566</v>
      </c>
      <c r="P1186" s="325"/>
      <c r="Q1186" s="351"/>
      <c r="R1186" s="351"/>
      <c r="S1186" s="618">
        <v>5.8</v>
      </c>
      <c r="T1186" s="619">
        <v>3.1377999999999999</v>
      </c>
      <c r="U1186" s="329">
        <f>IF($N1186=$N$4,IFERROR(INDEX(DanhMuc!$E$154:$E$165,MATCH(MID($B1186,4,2),DanhMuc!$B$154:$B$165,0)),""),"")</f>
        <v>5800</v>
      </c>
      <c r="V1186" s="325"/>
      <c r="W1186" s="352" t="str">
        <f>+IF(AND($A1186&lt;&gt;"",LEN($B1186)&gt;=8,COUNTIF($B$6:$B1186,$B1186)=1),$W$5,"")</f>
        <v/>
      </c>
      <c r="X1186" s="329" t="str">
        <f t="shared" si="139"/>
        <v>RH</v>
      </c>
      <c r="Y1186" s="1128" t="s">
        <v>3380</v>
      </c>
      <c r="Z1186" s="1128" t="s">
        <v>3381</v>
      </c>
      <c r="AA1186" s="1128" t="s">
        <v>3384</v>
      </c>
      <c r="AC1186" s="73"/>
    </row>
    <row r="1187" spans="1:29" s="20" customFormat="1">
      <c r="A1187" s="327" t="str">
        <f>IF(AND($B1187&lt;&gt;"",$C1187&lt;&gt;""),MAX($A$4:A1186)+1,"")</f>
        <v/>
      </c>
      <c r="B1187" s="361" t="s">
        <v>1175</v>
      </c>
      <c r="C1187" s="364"/>
      <c r="D1187" s="327">
        <f>IF($B1187="","",COUNTIF($B$6:$B1187,$B1187))</f>
        <v>14</v>
      </c>
      <c r="E1187" s="361">
        <v>221877</v>
      </c>
      <c r="F1187" s="362" t="s">
        <v>1446</v>
      </c>
      <c r="G1187" s="361" t="s">
        <v>329</v>
      </c>
      <c r="H1187" s="328" t="s">
        <v>536</v>
      </c>
      <c r="I1187" s="327">
        <v>1</v>
      </c>
      <c r="J1187" s="361" t="s">
        <v>1149</v>
      </c>
      <c r="K1187" s="327" t="s">
        <v>531</v>
      </c>
      <c r="L1187" s="348">
        <f t="shared" ref="L1187:L1190" si="144">+$K$1038*$T1187*$S1187</f>
        <v>315000</v>
      </c>
      <c r="M1187" s="355"/>
      <c r="N1187" s="355" t="str">
        <f t="shared" si="136"/>
        <v>PR</v>
      </c>
      <c r="O1187" s="345"/>
      <c r="P1187" s="325"/>
      <c r="Q1187" s="351"/>
      <c r="R1187" s="351"/>
      <c r="S1187" s="618">
        <v>6</v>
      </c>
      <c r="T1187" s="619">
        <f t="shared" ref="T1187:T1188" si="145">10.5/S1187</f>
        <v>1.75</v>
      </c>
      <c r="U1187" s="329">
        <f>IF($N1187=$N$4,IFERROR(INDEX(DanhMuc!$E$154:$E$165,MATCH(MID($B1187,4,2),DanhMuc!$B$154:$B$165,0)),""),"")</f>
        <v>5800</v>
      </c>
      <c r="V1187" s="325"/>
      <c r="W1187" s="352" t="str">
        <f>+IF(AND($A1187&lt;&gt;"",LEN($B1187)&gt;=8,COUNTIF($B$6:$B1187,$B1187)=1),$W$5,"")</f>
        <v/>
      </c>
      <c r="X1187" s="329" t="str">
        <f t="shared" si="139"/>
        <v>TRH</v>
      </c>
      <c r="Y1187" s="1128" t="s">
        <v>3380</v>
      </c>
      <c r="Z1187" s="1128" t="s">
        <v>3381</v>
      </c>
      <c r="AA1187" s="1128" t="s">
        <v>3384</v>
      </c>
      <c r="AC1187" s="73"/>
    </row>
    <row r="1188" spans="1:29" s="20" customFormat="1">
      <c r="A1188" s="327" t="str">
        <f>IF(AND($B1188&lt;&gt;"",$C1188&lt;&gt;""),MAX($A$4:A1187)+1,"")</f>
        <v/>
      </c>
      <c r="B1188" s="361" t="s">
        <v>1175</v>
      </c>
      <c r="C1188" s="364"/>
      <c r="D1188" s="327">
        <f>IF($B1188="","",COUNTIF($B$6:$B1188,$B1188))</f>
        <v>15</v>
      </c>
      <c r="E1188" s="361">
        <v>221877</v>
      </c>
      <c r="F1188" s="362" t="s">
        <v>1446</v>
      </c>
      <c r="G1188" s="361" t="s">
        <v>328</v>
      </c>
      <c r="H1188" s="328" t="s">
        <v>536</v>
      </c>
      <c r="I1188" s="327">
        <v>2</v>
      </c>
      <c r="J1188" s="361" t="s">
        <v>1172</v>
      </c>
      <c r="K1188" s="327" t="s">
        <v>531</v>
      </c>
      <c r="L1188" s="348">
        <f t="shared" si="144"/>
        <v>315000</v>
      </c>
      <c r="M1188" s="355"/>
      <c r="N1188" s="355" t="str">
        <f t="shared" si="136"/>
        <v>PR</v>
      </c>
      <c r="O1188" s="345"/>
      <c r="P1188" s="325"/>
      <c r="Q1188" s="351"/>
      <c r="R1188" s="351"/>
      <c r="S1188" s="618">
        <v>6</v>
      </c>
      <c r="T1188" s="619">
        <f t="shared" si="145"/>
        <v>1.75</v>
      </c>
      <c r="U1188" s="329">
        <f>IF($N1188=$N$4,IFERROR(INDEX(DanhMuc!$E$154:$E$165,MATCH(MID($B1188,4,2),DanhMuc!$B$154:$B$165,0)),""),"")</f>
        <v>5800</v>
      </c>
      <c r="V1188" s="325"/>
      <c r="W1188" s="352" t="str">
        <f>+IF(AND($A1188&lt;&gt;"",LEN($B1188)&gt;=8,COUNTIF($B$6:$B1188,$B1188)=1),$W$5,"")</f>
        <v/>
      </c>
      <c r="X1188" s="329" t="str">
        <f t="shared" si="139"/>
        <v>TRH</v>
      </c>
      <c r="Y1188" s="1128" t="s">
        <v>3380</v>
      </c>
      <c r="Z1188" s="1128" t="s">
        <v>3381</v>
      </c>
      <c r="AA1188" s="1128" t="s">
        <v>3384</v>
      </c>
      <c r="AC1188" s="73"/>
    </row>
    <row r="1189" spans="1:29" s="20" customFormat="1">
      <c r="A1189" s="327" t="str">
        <f>IF(AND($B1189&lt;&gt;"",$C1189&lt;&gt;""),MAX($A$4:A1188)+1,"")</f>
        <v/>
      </c>
      <c r="B1189" s="361" t="s">
        <v>1175</v>
      </c>
      <c r="C1189" s="364"/>
      <c r="D1189" s="327">
        <f>IF($B1189="","",COUNTIF($B$6:$B1189,$B1189))</f>
        <v>16</v>
      </c>
      <c r="E1189" s="361">
        <v>221871</v>
      </c>
      <c r="F1189" s="362" t="s">
        <v>613</v>
      </c>
      <c r="G1189" s="361" t="s">
        <v>329</v>
      </c>
      <c r="H1189" s="328" t="s">
        <v>536</v>
      </c>
      <c r="I1189" s="327">
        <v>10</v>
      </c>
      <c r="J1189" s="361" t="s">
        <v>1483</v>
      </c>
      <c r="K1189" s="327" t="s">
        <v>531</v>
      </c>
      <c r="L1189" s="348">
        <f t="shared" si="144"/>
        <v>372000.00000000006</v>
      </c>
      <c r="M1189" s="355"/>
      <c r="N1189" s="355" t="str">
        <f t="shared" si="136"/>
        <v>PR</v>
      </c>
      <c r="O1189" s="345"/>
      <c r="P1189" s="325"/>
      <c r="Q1189" s="351"/>
      <c r="R1189" s="351"/>
      <c r="S1189" s="618">
        <v>6</v>
      </c>
      <c r="T1189" s="619">
        <f t="shared" ref="T1189:T1190" si="146">12.4/S1189</f>
        <v>2.0666666666666669</v>
      </c>
      <c r="U1189" s="329">
        <f>IF($N1189=$N$4,IFERROR(INDEX(DanhMuc!$E$154:$E$165,MATCH(MID($B1189,4,2),DanhMuc!$B$154:$B$165,0)),""),"")</f>
        <v>5800</v>
      </c>
      <c r="V1189" s="325"/>
      <c r="W1189" s="352" t="str">
        <f>+IF(AND($A1189&lt;&gt;"",LEN($B1189)&gt;=8,COUNTIF($B$6:$B1189,$B1189)=1),$W$5,"")</f>
        <v/>
      </c>
      <c r="X1189" s="329" t="str">
        <f t="shared" si="139"/>
        <v>TRH</v>
      </c>
      <c r="Y1189" s="1128" t="s">
        <v>3380</v>
      </c>
      <c r="Z1189" s="1128" t="s">
        <v>3381</v>
      </c>
      <c r="AA1189" s="1128" t="s">
        <v>3384</v>
      </c>
      <c r="AC1189" s="73"/>
    </row>
    <row r="1190" spans="1:29" s="20" customFormat="1">
      <c r="A1190" s="327" t="str">
        <f>IF(AND($B1190&lt;&gt;"",$C1190&lt;&gt;""),MAX($A$4:A1189)+1,"")</f>
        <v/>
      </c>
      <c r="B1190" s="361" t="s">
        <v>1175</v>
      </c>
      <c r="C1190" s="364"/>
      <c r="D1190" s="327">
        <f>IF($B1190="","",COUNTIF($B$6:$B1190,$B1190))</f>
        <v>17</v>
      </c>
      <c r="E1190" s="361">
        <v>221871</v>
      </c>
      <c r="F1190" s="362" t="s">
        <v>613</v>
      </c>
      <c r="G1190" s="361" t="s">
        <v>328</v>
      </c>
      <c r="H1190" s="328" t="s">
        <v>536</v>
      </c>
      <c r="I1190" s="327">
        <v>10</v>
      </c>
      <c r="J1190" s="361" t="s">
        <v>1173</v>
      </c>
      <c r="K1190" s="327" t="s">
        <v>531</v>
      </c>
      <c r="L1190" s="348">
        <f t="shared" si="144"/>
        <v>372000.00000000006</v>
      </c>
      <c r="M1190" s="355"/>
      <c r="N1190" s="355" t="str">
        <f t="shared" si="136"/>
        <v>PR</v>
      </c>
      <c r="O1190" s="345"/>
      <c r="P1190" s="325"/>
      <c r="Q1190" s="351"/>
      <c r="R1190" s="351"/>
      <c r="S1190" s="618">
        <v>6</v>
      </c>
      <c r="T1190" s="619">
        <f t="shared" si="146"/>
        <v>2.0666666666666669</v>
      </c>
      <c r="U1190" s="329">
        <f>IF($N1190=$N$4,IFERROR(INDEX(DanhMuc!$E$154:$E$165,MATCH(MID($B1190,4,2),DanhMuc!$B$154:$B$165,0)),""),"")</f>
        <v>5800</v>
      </c>
      <c r="V1190" s="325"/>
      <c r="W1190" s="352" t="str">
        <f>+IF(AND($A1190&lt;&gt;"",LEN($B1190)&gt;=8,COUNTIF($B$6:$B1190,$B1190)=1),$W$5,"")</f>
        <v/>
      </c>
      <c r="X1190" s="329" t="str">
        <f t="shared" si="139"/>
        <v>TRH</v>
      </c>
      <c r="Y1190" s="1128" t="s">
        <v>3380</v>
      </c>
      <c r="Z1190" s="1128" t="s">
        <v>3381</v>
      </c>
      <c r="AA1190" s="1128" t="s">
        <v>3384</v>
      </c>
      <c r="AC1190" s="73"/>
    </row>
    <row r="1191" spans="1:29" s="20" customFormat="1" ht="39">
      <c r="A1191" s="327">
        <f>IF(AND($B1191&lt;&gt;"",$C1191&lt;&gt;""),MAX($A$4:A1190)+1,"")</f>
        <v>88</v>
      </c>
      <c r="B1191" s="359" t="s">
        <v>1479</v>
      </c>
      <c r="C1191" s="370" t="s">
        <v>1582</v>
      </c>
      <c r="D1191" s="327">
        <f>IF($B1191="","",COUNTIF($B$6:$B1191,$B1191))</f>
        <v>1</v>
      </c>
      <c r="E1191" s="363">
        <v>500373</v>
      </c>
      <c r="F1191" s="362" t="s">
        <v>1140</v>
      </c>
      <c r="G1191" s="361" t="s">
        <v>329</v>
      </c>
      <c r="H1191" s="325"/>
      <c r="I1191" s="327">
        <v>1</v>
      </c>
      <c r="J1191" s="361" t="s">
        <v>762</v>
      </c>
      <c r="K1191" s="327" t="s">
        <v>516</v>
      </c>
      <c r="L1191" s="348">
        <v>613654</v>
      </c>
      <c r="M1191" s="355"/>
      <c r="N1191" s="355" t="str">
        <f t="shared" si="136"/>
        <v>PR</v>
      </c>
      <c r="O1191" s="345"/>
      <c r="P1191" s="325"/>
      <c r="Q1191" s="351"/>
      <c r="R1191" s="351"/>
      <c r="S1191" s="618">
        <v>5.8</v>
      </c>
      <c r="T1191" s="619">
        <v>7.9923999999999999</v>
      </c>
      <c r="U1191" s="329">
        <f>IF($N1191=$N$4,IFERROR(INDEX(DanhMuc!$E$154:$E$165,MATCH(MID($B1191,4,2),DanhMuc!$B$154:$B$165,0)),""),"")</f>
        <v>5800</v>
      </c>
      <c r="V1191" s="325"/>
      <c r="W1191" s="352" t="str">
        <f>+IF(AND($A1191&lt;&gt;"",LEN($B1191)&gt;=8,COUNTIF($B$6:$B1191,$B1191)=1),$W$5,"")</f>
        <v>DMCua</v>
      </c>
      <c r="X1191" s="329" t="str">
        <f t="shared" si="139"/>
        <v>RH</v>
      </c>
      <c r="Y1191" s="1128" t="s">
        <v>3380</v>
      </c>
      <c r="Z1191" s="1128" t="s">
        <v>3381</v>
      </c>
      <c r="AA1191" s="1128" t="s">
        <v>3384</v>
      </c>
      <c r="AC1191" s="73"/>
    </row>
    <row r="1192" spans="1:29" s="20" customFormat="1">
      <c r="A1192" s="327" t="str">
        <f>IF(AND($B1192&lt;&gt;"",$C1192&lt;&gt;""),MAX($A$4:A1191)+1,"")</f>
        <v/>
      </c>
      <c r="B1192" s="361" t="s">
        <v>1479</v>
      </c>
      <c r="C1192" s="364"/>
      <c r="D1192" s="327">
        <f>IF($B1192="","",COUNTIF($B$6:$B1192,$B1192))</f>
        <v>2</v>
      </c>
      <c r="E1192" s="363">
        <v>500373</v>
      </c>
      <c r="F1192" s="362" t="s">
        <v>1140</v>
      </c>
      <c r="G1192" s="361" t="s">
        <v>328</v>
      </c>
      <c r="H1192" s="325"/>
      <c r="I1192" s="327">
        <v>2</v>
      </c>
      <c r="J1192" s="361" t="s">
        <v>1171</v>
      </c>
      <c r="K1192" s="327" t="s">
        <v>1141</v>
      </c>
      <c r="L1192" s="348">
        <v>613654</v>
      </c>
      <c r="M1192" s="355"/>
      <c r="N1192" s="355" t="str">
        <f t="shared" si="136"/>
        <v>PR</v>
      </c>
      <c r="O1192" s="347"/>
      <c r="P1192" s="325"/>
      <c r="Q1192" s="351"/>
      <c r="R1192" s="351"/>
      <c r="S1192" s="618">
        <v>5.8</v>
      </c>
      <c r="T1192" s="619">
        <v>7.9923999999999999</v>
      </c>
      <c r="U1192" s="329">
        <f>IF($N1192=$N$4,IFERROR(INDEX(DanhMuc!$E$154:$E$165,MATCH(MID($B1192,4,2),DanhMuc!$B$154:$B$165,0)),""),"")</f>
        <v>5800</v>
      </c>
      <c r="V1192" s="325"/>
      <c r="W1192" s="352" t="str">
        <f>+IF(AND($A1192&lt;&gt;"",LEN($B1192)&gt;=8,COUNTIF($B$6:$B1192,$B1192)=1),$W$5,"")</f>
        <v/>
      </c>
      <c r="X1192" s="329" t="str">
        <f t="shared" si="139"/>
        <v>RH</v>
      </c>
      <c r="Y1192" s="1128" t="s">
        <v>3380</v>
      </c>
      <c r="Z1192" s="1128" t="s">
        <v>3381</v>
      </c>
      <c r="AA1192" s="1128" t="s">
        <v>3384</v>
      </c>
      <c r="AC1192" s="73"/>
    </row>
    <row r="1193" spans="1:29" s="20" customFormat="1">
      <c r="A1193" s="327" t="str">
        <f>IF(AND($B1193&lt;&gt;"",$C1193&lt;&gt;""),MAX($A$4:A1192)+1,"")</f>
        <v/>
      </c>
      <c r="B1193" s="361" t="s">
        <v>1479</v>
      </c>
      <c r="C1193" s="364"/>
      <c r="D1193" s="327">
        <f>IF($B1193="","",COUNTIF($B$6:$B1193,$B1193))</f>
        <v>3</v>
      </c>
      <c r="E1193" s="363" t="s">
        <v>1166</v>
      </c>
      <c r="F1193" s="362" t="s">
        <v>1167</v>
      </c>
      <c r="G1193" s="361" t="s">
        <v>328</v>
      </c>
      <c r="H1193" s="325"/>
      <c r="I1193" s="327">
        <v>1</v>
      </c>
      <c r="J1193" s="361" t="s">
        <v>81</v>
      </c>
      <c r="K1193" s="327" t="s">
        <v>531</v>
      </c>
      <c r="L1193" s="935" t="s">
        <v>2341</v>
      </c>
      <c r="M1193" s="355"/>
      <c r="N1193" s="355" t="str">
        <f t="shared" si="136"/>
        <v>PR</v>
      </c>
      <c r="O1193" s="347"/>
      <c r="P1193" s="325"/>
      <c r="Q1193" s="351"/>
      <c r="R1193" s="351"/>
      <c r="S1193" s="618"/>
      <c r="T1193" s="619"/>
      <c r="U1193" s="329">
        <f>IF($N1193=$N$4,IFERROR(INDEX(DanhMuc!$E$154:$E$165,MATCH(MID($B1193,4,2),DanhMuc!$B$154:$B$165,0)),""),"")</f>
        <v>5800</v>
      </c>
      <c r="V1193" s="325"/>
      <c r="W1193" s="352" t="str">
        <f>+IF(AND($A1193&lt;&gt;"",LEN($B1193)&gt;=8,COUNTIF($B$6:$B1193,$B1193)=1),$W$5,"")</f>
        <v/>
      </c>
      <c r="X1193" s="329" t="str">
        <f t="shared" si="139"/>
        <v>RH</v>
      </c>
      <c r="Y1193" s="1128" t="s">
        <v>3380</v>
      </c>
      <c r="Z1193" s="1128" t="s">
        <v>3381</v>
      </c>
      <c r="AA1193" s="1128" t="s">
        <v>3384</v>
      </c>
      <c r="AC1193" s="73"/>
    </row>
    <row r="1194" spans="1:29" s="20" customFormat="1">
      <c r="A1194" s="327" t="str">
        <f>IF(AND($B1194&lt;&gt;"",$C1194&lt;&gt;""),MAX($A$4:A1193)+1,"")</f>
        <v/>
      </c>
      <c r="B1194" s="361" t="s">
        <v>1479</v>
      </c>
      <c r="C1194" s="364"/>
      <c r="D1194" s="327">
        <f>IF($B1194="","",COUNTIF($B$6:$B1194,$B1194))</f>
        <v>4</v>
      </c>
      <c r="E1194" s="361">
        <v>500183</v>
      </c>
      <c r="F1194" s="362" t="s">
        <v>1142</v>
      </c>
      <c r="G1194" s="361" t="s">
        <v>329</v>
      </c>
      <c r="H1194" s="325"/>
      <c r="I1194" s="327">
        <v>12</v>
      </c>
      <c r="J1194" s="361" t="s">
        <v>1490</v>
      </c>
      <c r="K1194" s="327" t="s">
        <v>516</v>
      </c>
      <c r="L1194" s="348">
        <v>865740</v>
      </c>
      <c r="M1194" s="355"/>
      <c r="N1194" s="355" t="str">
        <f t="shared" si="136"/>
        <v>PR</v>
      </c>
      <c r="O1194" s="345" t="s">
        <v>19</v>
      </c>
      <c r="P1194" s="325"/>
      <c r="Q1194" s="351"/>
      <c r="R1194" s="351"/>
      <c r="S1194" s="618">
        <v>5.8</v>
      </c>
      <c r="T1194" s="619">
        <v>10.4864</v>
      </c>
      <c r="U1194" s="329">
        <f>IF($N1194=$N$4,IFERROR(INDEX(DanhMuc!$E$154:$E$165,MATCH(MID($B1194,4,2),DanhMuc!$B$154:$B$165,0)),""),"")</f>
        <v>5800</v>
      </c>
      <c r="V1194" s="325"/>
      <c r="W1194" s="352" t="str">
        <f>+IF(AND($A1194&lt;&gt;"",LEN($B1194)&gt;=8,COUNTIF($B$6:$B1194,$B1194)=1),$W$5,"")</f>
        <v/>
      </c>
      <c r="X1194" s="329" t="str">
        <f t="shared" si="139"/>
        <v>RH</v>
      </c>
      <c r="Y1194" s="1128" t="s">
        <v>3380</v>
      </c>
      <c r="Z1194" s="1128" t="s">
        <v>3381</v>
      </c>
      <c r="AA1194" s="1128" t="s">
        <v>3384</v>
      </c>
      <c r="AC1194" s="73"/>
    </row>
    <row r="1195" spans="1:29" s="20" customFormat="1">
      <c r="A1195" s="327" t="str">
        <f>IF(AND($B1195&lt;&gt;"",$C1195&lt;&gt;""),MAX($A$4:A1194)+1,"")</f>
        <v/>
      </c>
      <c r="B1195" s="361" t="s">
        <v>1479</v>
      </c>
      <c r="C1195" s="364"/>
      <c r="D1195" s="327">
        <f>IF($B1195="","",COUNTIF($B$6:$B1195,$B1195))</f>
        <v>5</v>
      </c>
      <c r="E1195" s="361">
        <v>500183</v>
      </c>
      <c r="F1195" s="362" t="s">
        <v>1142</v>
      </c>
      <c r="G1195" s="361" t="s">
        <v>328</v>
      </c>
      <c r="H1195" s="325"/>
      <c r="I1195" s="327">
        <v>8</v>
      </c>
      <c r="J1195" s="361" t="s">
        <v>1168</v>
      </c>
      <c r="K1195" s="327" t="s">
        <v>516</v>
      </c>
      <c r="L1195" s="348">
        <v>865740</v>
      </c>
      <c r="M1195" s="355"/>
      <c r="N1195" s="355" t="str">
        <f t="shared" si="136"/>
        <v>PR</v>
      </c>
      <c r="O1195" s="345" t="s">
        <v>19</v>
      </c>
      <c r="P1195" s="325"/>
      <c r="Q1195" s="351"/>
      <c r="R1195" s="351"/>
      <c r="S1195" s="618">
        <v>5.8</v>
      </c>
      <c r="T1195" s="619">
        <v>10.4864</v>
      </c>
      <c r="U1195" s="329">
        <f>IF($N1195=$N$4,IFERROR(INDEX(DanhMuc!$E$154:$E$165,MATCH(MID($B1195,4,2),DanhMuc!$B$154:$B$165,0)),""),"")</f>
        <v>5800</v>
      </c>
      <c r="V1195" s="325"/>
      <c r="W1195" s="352" t="str">
        <f>+IF(AND($A1195&lt;&gt;"",LEN($B1195)&gt;=8,COUNTIF($B$6:$B1195,$B1195)=1),$W$5,"")</f>
        <v/>
      </c>
      <c r="X1195" s="329" t="str">
        <f t="shared" si="139"/>
        <v>RH</v>
      </c>
      <c r="Y1195" s="1128" t="s">
        <v>3380</v>
      </c>
      <c r="Z1195" s="1128" t="s">
        <v>3381</v>
      </c>
      <c r="AA1195" s="1128" t="s">
        <v>3384</v>
      </c>
      <c r="AC1195" s="73"/>
    </row>
    <row r="1196" spans="1:29" s="20" customFormat="1">
      <c r="A1196" s="327" t="str">
        <f>IF(AND($B1196&lt;&gt;"",$C1196&lt;&gt;""),MAX($A$4:A1195)+1,"")</f>
        <v/>
      </c>
      <c r="B1196" s="361" t="s">
        <v>1479</v>
      </c>
      <c r="C1196" s="364"/>
      <c r="D1196" s="327">
        <f>IF($B1196="","",COUNTIF($B$6:$B1196,$B1196))</f>
        <v>6</v>
      </c>
      <c r="E1196" s="361">
        <v>500173</v>
      </c>
      <c r="F1196" s="362" t="s">
        <v>1143</v>
      </c>
      <c r="G1196" s="361" t="s">
        <v>328</v>
      </c>
      <c r="H1196" s="325"/>
      <c r="I1196" s="327">
        <v>4</v>
      </c>
      <c r="J1196" s="361" t="s">
        <v>1168</v>
      </c>
      <c r="K1196" s="327" t="s">
        <v>516</v>
      </c>
      <c r="L1196" s="348">
        <v>818580</v>
      </c>
      <c r="M1196" s="355"/>
      <c r="N1196" s="355" t="str">
        <f t="shared" si="136"/>
        <v>PR</v>
      </c>
      <c r="O1196" s="345" t="s">
        <v>19</v>
      </c>
      <c r="P1196" s="325"/>
      <c r="Q1196" s="351"/>
      <c r="R1196" s="351"/>
      <c r="S1196" s="618">
        <v>5.8</v>
      </c>
      <c r="T1196" s="619">
        <v>9.9238</v>
      </c>
      <c r="U1196" s="329">
        <f>IF($N1196=$N$4,IFERROR(INDEX(DanhMuc!$E$154:$E$165,MATCH(MID($B1196,4,2),DanhMuc!$B$154:$B$165,0)),""),"")</f>
        <v>5800</v>
      </c>
      <c r="V1196" s="325"/>
      <c r="W1196" s="352" t="str">
        <f>+IF(AND($A1196&lt;&gt;"",LEN($B1196)&gt;=8,COUNTIF($B$6:$B1196,$B1196)=1),$W$5,"")</f>
        <v/>
      </c>
      <c r="X1196" s="329" t="str">
        <f t="shared" si="139"/>
        <v>RH</v>
      </c>
      <c r="Y1196" s="1128" t="s">
        <v>3380</v>
      </c>
      <c r="Z1196" s="1128" t="s">
        <v>3381</v>
      </c>
      <c r="AA1196" s="1128" t="s">
        <v>3384</v>
      </c>
      <c r="AC1196" s="73"/>
    </row>
    <row r="1197" spans="1:29" s="20" customFormat="1">
      <c r="A1197" s="327" t="str">
        <f>IF(AND($B1197&lt;&gt;"",$C1197&lt;&gt;""),MAX($A$4:A1196)+1,"")</f>
        <v/>
      </c>
      <c r="B1197" s="361" t="s">
        <v>1479</v>
      </c>
      <c r="C1197" s="364"/>
      <c r="D1197" s="327">
        <f>IF($B1197="","",COUNTIF($B$6:$B1197,$B1197))</f>
        <v>7</v>
      </c>
      <c r="E1197" s="361">
        <v>500173</v>
      </c>
      <c r="F1197" s="362" t="s">
        <v>1143</v>
      </c>
      <c r="G1197" s="361" t="s">
        <v>329</v>
      </c>
      <c r="H1197" s="325"/>
      <c r="I1197" s="327">
        <v>12</v>
      </c>
      <c r="J1197" s="361" t="s">
        <v>1490</v>
      </c>
      <c r="K1197" s="327" t="s">
        <v>516</v>
      </c>
      <c r="L1197" s="348">
        <v>818580</v>
      </c>
      <c r="M1197" s="355"/>
      <c r="N1197" s="355" t="str">
        <f t="shared" si="136"/>
        <v>PR</v>
      </c>
      <c r="O1197" s="345" t="s">
        <v>16</v>
      </c>
      <c r="P1197" s="325"/>
      <c r="Q1197" s="351"/>
      <c r="R1197" s="351"/>
      <c r="S1197" s="618">
        <v>5.8</v>
      </c>
      <c r="T1197" s="619">
        <v>9.9238</v>
      </c>
      <c r="U1197" s="329">
        <f>IF($N1197=$N$4,IFERROR(INDEX(DanhMuc!$E$154:$E$165,MATCH(MID($B1197,4,2),DanhMuc!$B$154:$B$165,0)),""),"")</f>
        <v>5800</v>
      </c>
      <c r="V1197" s="325"/>
      <c r="W1197" s="352" t="str">
        <f>+IF(AND($A1197&lt;&gt;"",LEN($B1197)&gt;=8,COUNTIF($B$6:$B1197,$B1197)=1),$W$5,"")</f>
        <v/>
      </c>
      <c r="X1197" s="329" t="str">
        <f t="shared" si="139"/>
        <v>RH</v>
      </c>
      <c r="Y1197" s="1128" t="s">
        <v>3380</v>
      </c>
      <c r="Z1197" s="1128" t="s">
        <v>3381</v>
      </c>
      <c r="AA1197" s="1128" t="s">
        <v>3384</v>
      </c>
      <c r="AC1197" s="73"/>
    </row>
    <row r="1198" spans="1:29" s="20" customFormat="1">
      <c r="A1198" s="327" t="str">
        <f>IF(AND($B1198&lt;&gt;"",$C1198&lt;&gt;""),MAX($A$4:A1197)+1,"")</f>
        <v/>
      </c>
      <c r="B1198" s="361" t="s">
        <v>1479</v>
      </c>
      <c r="C1198" s="364"/>
      <c r="D1198" s="327">
        <f>IF($B1198="","",COUNTIF($B$6:$B1198,$B1198))</f>
        <v>8</v>
      </c>
      <c r="E1198" s="361">
        <v>500173</v>
      </c>
      <c r="F1198" s="362" t="s">
        <v>1143</v>
      </c>
      <c r="G1198" s="361" t="s">
        <v>328</v>
      </c>
      <c r="H1198" s="325"/>
      <c r="I1198" s="327">
        <v>8</v>
      </c>
      <c r="J1198" s="361" t="s">
        <v>1168</v>
      </c>
      <c r="K1198" s="327" t="s">
        <v>516</v>
      </c>
      <c r="L1198" s="348">
        <v>818580</v>
      </c>
      <c r="M1198" s="355"/>
      <c r="N1198" s="355" t="str">
        <f t="shared" si="136"/>
        <v>PR</v>
      </c>
      <c r="O1198" s="345" t="s">
        <v>16</v>
      </c>
      <c r="P1198" s="325"/>
      <c r="Q1198" s="351"/>
      <c r="R1198" s="351"/>
      <c r="S1198" s="618">
        <v>5.8</v>
      </c>
      <c r="T1198" s="619">
        <v>9.9238</v>
      </c>
      <c r="U1198" s="329">
        <f>IF($N1198=$N$4,IFERROR(INDEX(DanhMuc!$E$154:$E$165,MATCH(MID($B1198,4,2),DanhMuc!$B$154:$B$165,0)),""),"")</f>
        <v>5800</v>
      </c>
      <c r="V1198" s="325"/>
      <c r="W1198" s="352" t="str">
        <f>+IF(AND($A1198&lt;&gt;"",LEN($B1198)&gt;=8,COUNTIF($B$6:$B1198,$B1198)=1),$W$5,"")</f>
        <v/>
      </c>
      <c r="X1198" s="329" t="str">
        <f t="shared" si="139"/>
        <v>RH</v>
      </c>
      <c r="Y1198" s="1128" t="s">
        <v>3380</v>
      </c>
      <c r="Z1198" s="1128" t="s">
        <v>3381</v>
      </c>
      <c r="AA1198" s="1128" t="s">
        <v>3384</v>
      </c>
      <c r="AC1198" s="73"/>
    </row>
    <row r="1199" spans="1:29" s="20" customFormat="1">
      <c r="A1199" s="327" t="str">
        <f>IF(AND($B1199&lt;&gt;"",$C1199&lt;&gt;""),MAX($A$4:A1198)+1,"")</f>
        <v/>
      </c>
      <c r="B1199" s="361" t="s">
        <v>1479</v>
      </c>
      <c r="C1199" s="364"/>
      <c r="D1199" s="327">
        <f>IF($B1199="","",COUNTIF($B$6:$B1199,$B1199))</f>
        <v>9</v>
      </c>
      <c r="E1199" s="361">
        <v>500183</v>
      </c>
      <c r="F1199" s="362" t="s">
        <v>1142</v>
      </c>
      <c r="G1199" s="361" t="s">
        <v>328</v>
      </c>
      <c r="H1199" s="325"/>
      <c r="I1199" s="327">
        <v>4</v>
      </c>
      <c r="J1199" s="361" t="s">
        <v>1168</v>
      </c>
      <c r="K1199" s="327" t="s">
        <v>516</v>
      </c>
      <c r="L1199" s="348">
        <v>865740</v>
      </c>
      <c r="M1199" s="355"/>
      <c r="N1199" s="355" t="str">
        <f t="shared" si="136"/>
        <v>PR</v>
      </c>
      <c r="O1199" s="345" t="s">
        <v>16</v>
      </c>
      <c r="P1199" s="325"/>
      <c r="Q1199" s="351"/>
      <c r="R1199" s="351"/>
      <c r="S1199" s="618">
        <v>5.8</v>
      </c>
      <c r="T1199" s="619">
        <v>10.4864</v>
      </c>
      <c r="U1199" s="329">
        <f>IF($N1199=$N$4,IFERROR(INDEX(DanhMuc!$E$154:$E$165,MATCH(MID($B1199,4,2),DanhMuc!$B$154:$B$165,0)),""),"")</f>
        <v>5800</v>
      </c>
      <c r="V1199" s="325"/>
      <c r="W1199" s="352" t="str">
        <f>+IF(AND($A1199&lt;&gt;"",LEN($B1199)&gt;=8,COUNTIF($B$6:$B1199,$B1199)=1),$W$5,"")</f>
        <v/>
      </c>
      <c r="X1199" s="329" t="str">
        <f t="shared" si="139"/>
        <v>RH</v>
      </c>
      <c r="Y1199" s="1128" t="s">
        <v>3380</v>
      </c>
      <c r="Z1199" s="1128" t="s">
        <v>3381</v>
      </c>
      <c r="AA1199" s="1128" t="s">
        <v>3384</v>
      </c>
      <c r="AC1199" s="73"/>
    </row>
    <row r="1200" spans="1:29" s="20" customFormat="1">
      <c r="A1200" s="327" t="str">
        <f>IF(AND($B1200&lt;&gt;"",$C1200&lt;&gt;""),MAX($A$4:A1199)+1,"")</f>
        <v/>
      </c>
      <c r="B1200" s="361" t="s">
        <v>1479</v>
      </c>
      <c r="C1200" s="364"/>
      <c r="D1200" s="327">
        <f>IF($B1200="","",COUNTIF($B$6:$B1200,$B1200))</f>
        <v>10</v>
      </c>
      <c r="E1200" s="361" t="s">
        <v>899</v>
      </c>
      <c r="F1200" s="362" t="s">
        <v>898</v>
      </c>
      <c r="G1200" s="361" t="s">
        <v>329</v>
      </c>
      <c r="H1200" s="325"/>
      <c r="I1200" s="327">
        <v>12</v>
      </c>
      <c r="J1200" s="361" t="s">
        <v>1491</v>
      </c>
      <c r="K1200" s="327" t="s">
        <v>516</v>
      </c>
      <c r="L1200" s="348">
        <v>0</v>
      </c>
      <c r="M1200" s="355"/>
      <c r="N1200" s="355" t="str">
        <f t="shared" si="136"/>
        <v>PR</v>
      </c>
      <c r="O1200" s="347"/>
      <c r="P1200" s="325"/>
      <c r="Q1200" s="351"/>
      <c r="R1200" s="351"/>
      <c r="S1200" s="618"/>
      <c r="T1200" s="619"/>
      <c r="U1200" s="329">
        <f>IF($N1200=$N$4,IFERROR(INDEX(DanhMuc!$E$154:$E$165,MATCH(MID($B1200,4,2),DanhMuc!$B$154:$B$165,0)),""),"")</f>
        <v>5800</v>
      </c>
      <c r="V1200" s="325"/>
      <c r="W1200" s="352" t="str">
        <f>+IF(AND($A1200&lt;&gt;"",LEN($B1200)&gt;=8,COUNTIF($B$6:$B1200,$B1200)=1),$W$5,"")</f>
        <v/>
      </c>
      <c r="X1200" s="329" t="str">
        <f t="shared" si="139"/>
        <v>RH</v>
      </c>
      <c r="Y1200" s="1128" t="s">
        <v>3380</v>
      </c>
      <c r="Z1200" s="1128" t="s">
        <v>3381</v>
      </c>
      <c r="AA1200" s="1128" t="s">
        <v>3384</v>
      </c>
      <c r="AC1200" s="73"/>
    </row>
    <row r="1201" spans="1:29" s="20" customFormat="1">
      <c r="A1201" s="327" t="str">
        <f>IF(AND($B1201&lt;&gt;"",$C1201&lt;&gt;""),MAX($A$4:A1200)+1,"")</f>
        <v/>
      </c>
      <c r="B1201" s="361" t="s">
        <v>1479</v>
      </c>
      <c r="C1201" s="364"/>
      <c r="D1201" s="327">
        <f>IF($B1201="","",COUNTIF($B$6:$B1201,$B1201))</f>
        <v>11</v>
      </c>
      <c r="E1201" s="361" t="s">
        <v>899</v>
      </c>
      <c r="F1201" s="362" t="s">
        <v>898</v>
      </c>
      <c r="G1201" s="361" t="s">
        <v>328</v>
      </c>
      <c r="H1201" s="325"/>
      <c r="I1201" s="327">
        <v>12</v>
      </c>
      <c r="J1201" s="361" t="s">
        <v>1169</v>
      </c>
      <c r="K1201" s="327" t="s">
        <v>516</v>
      </c>
      <c r="L1201" s="348">
        <v>0</v>
      </c>
      <c r="M1201" s="355"/>
      <c r="N1201" s="355" t="str">
        <f t="shared" si="136"/>
        <v>PR</v>
      </c>
      <c r="O1201" s="347"/>
      <c r="P1201" s="325"/>
      <c r="Q1201" s="351"/>
      <c r="R1201" s="351"/>
      <c r="S1201" s="618"/>
      <c r="T1201" s="619"/>
      <c r="U1201" s="329">
        <f>IF($N1201=$N$4,IFERROR(INDEX(DanhMuc!$E$154:$E$165,MATCH(MID($B1201,4,2),DanhMuc!$B$154:$B$165,0)),""),"")</f>
        <v>5800</v>
      </c>
      <c r="V1201" s="325"/>
      <c r="W1201" s="352" t="str">
        <f>+IF(AND($A1201&lt;&gt;"",LEN($B1201)&gt;=8,COUNTIF($B$6:$B1201,$B1201)=1),$W$5,"")</f>
        <v/>
      </c>
      <c r="X1201" s="329" t="str">
        <f t="shared" si="139"/>
        <v>RH</v>
      </c>
      <c r="Y1201" s="1128" t="s">
        <v>3380</v>
      </c>
      <c r="Z1201" s="1128" t="s">
        <v>3381</v>
      </c>
      <c r="AA1201" s="1128" t="s">
        <v>3384</v>
      </c>
      <c r="AC1201" s="73"/>
    </row>
    <row r="1202" spans="1:29" s="20" customFormat="1">
      <c r="A1202" s="327" t="str">
        <f>IF(AND($B1202&lt;&gt;"",$C1202&lt;&gt;""),MAX($A$4:A1201)+1,"")</f>
        <v/>
      </c>
      <c r="B1202" s="361" t="s">
        <v>1479</v>
      </c>
      <c r="C1202" s="364"/>
      <c r="D1202" s="327">
        <f>IF($B1202="","",COUNTIF($B$6:$B1202,$B1202))</f>
        <v>12</v>
      </c>
      <c r="E1202" s="361">
        <v>554230</v>
      </c>
      <c r="F1202" s="362" t="s">
        <v>761</v>
      </c>
      <c r="G1202" s="361" t="s">
        <v>328</v>
      </c>
      <c r="H1202" s="325"/>
      <c r="I1202" s="327">
        <v>1</v>
      </c>
      <c r="J1202" s="361" t="s">
        <v>1170</v>
      </c>
      <c r="K1202" s="327" t="s">
        <v>531</v>
      </c>
      <c r="L1202" s="348">
        <v>793373</v>
      </c>
      <c r="M1202" s="355"/>
      <c r="N1202" s="355" t="str">
        <f t="shared" si="136"/>
        <v>PR</v>
      </c>
      <c r="O1202" s="347"/>
      <c r="P1202" s="325"/>
      <c r="Q1202" s="351"/>
      <c r="R1202" s="351"/>
      <c r="S1202" s="618">
        <v>6</v>
      </c>
      <c r="T1202" s="619">
        <v>5.484</v>
      </c>
      <c r="U1202" s="329">
        <f>IF($N1202=$N$4,IFERROR(INDEX(DanhMuc!$E$154:$E$165,MATCH(MID($B1202,4,2),DanhMuc!$B$154:$B$165,0)),""),"")</f>
        <v>5800</v>
      </c>
      <c r="V1202" s="325"/>
      <c r="W1202" s="352" t="str">
        <f>+IF(AND($A1202&lt;&gt;"",LEN($B1202)&gt;=8,COUNTIF($B$6:$B1202,$B1202)=1),$W$5,"")</f>
        <v/>
      </c>
      <c r="X1202" s="329" t="str">
        <f t="shared" si="139"/>
        <v>RH</v>
      </c>
      <c r="Y1202" s="1128" t="s">
        <v>3380</v>
      </c>
      <c r="Z1202" s="1128" t="s">
        <v>3381</v>
      </c>
      <c r="AA1202" s="1128" t="s">
        <v>3384</v>
      </c>
      <c r="AC1202" s="73"/>
    </row>
    <row r="1203" spans="1:29" s="20" customFormat="1">
      <c r="A1203" s="327" t="str">
        <f>IF(AND($B1203&lt;&gt;"",$C1203&lt;&gt;""),MAX($A$4:A1202)+1,"")</f>
        <v/>
      </c>
      <c r="B1203" s="361" t="s">
        <v>1479</v>
      </c>
      <c r="C1203" s="364"/>
      <c r="D1203" s="327">
        <f>IF($B1203="","",COUNTIF($B$6:$B1203,$B1203))</f>
        <v>13</v>
      </c>
      <c r="E1203" s="361">
        <v>229184</v>
      </c>
      <c r="F1203" s="362" t="s">
        <v>1371</v>
      </c>
      <c r="G1203" s="361" t="s">
        <v>329</v>
      </c>
      <c r="H1203" s="325"/>
      <c r="I1203" s="327">
        <v>1</v>
      </c>
      <c r="J1203" s="361" t="s">
        <v>1148</v>
      </c>
      <c r="K1203" s="327" t="s">
        <v>531</v>
      </c>
      <c r="L1203" s="348">
        <v>556948</v>
      </c>
      <c r="M1203" s="355"/>
      <c r="N1203" s="355" t="str">
        <f t="shared" si="136"/>
        <v>PR</v>
      </c>
      <c r="O1203" s="347" t="s">
        <v>566</v>
      </c>
      <c r="P1203" s="325"/>
      <c r="Q1203" s="351"/>
      <c r="R1203" s="351"/>
      <c r="S1203" s="618">
        <v>5.8</v>
      </c>
      <c r="T1203" s="619">
        <v>3.1377999999999999</v>
      </c>
      <c r="U1203" s="329">
        <f>IF($N1203=$N$4,IFERROR(INDEX(DanhMuc!$E$154:$E$165,MATCH(MID($B1203,4,2),DanhMuc!$B$154:$B$165,0)),""),"")</f>
        <v>5800</v>
      </c>
      <c r="V1203" s="325"/>
      <c r="W1203" s="352" t="str">
        <f>+IF(AND($A1203&lt;&gt;"",LEN($B1203)&gt;=8,COUNTIF($B$6:$B1203,$B1203)=1),$W$5,"")</f>
        <v/>
      </c>
      <c r="X1203" s="329" t="str">
        <f t="shared" si="139"/>
        <v>RH</v>
      </c>
      <c r="Y1203" s="1128" t="s">
        <v>3380</v>
      </c>
      <c r="Z1203" s="1128" t="s">
        <v>3381</v>
      </c>
      <c r="AA1203" s="1128" t="s">
        <v>3384</v>
      </c>
      <c r="AC1203" s="73"/>
    </row>
    <row r="1204" spans="1:29" s="20" customFormat="1">
      <c r="A1204" s="327" t="str">
        <f>IF(AND($B1204&lt;&gt;"",$C1204&lt;&gt;""),MAX($A$4:A1203)+1,"")</f>
        <v/>
      </c>
      <c r="B1204" s="361" t="s">
        <v>1479</v>
      </c>
      <c r="C1204" s="364"/>
      <c r="D1204" s="327">
        <f>IF($B1204="","",COUNTIF($B$6:$B1204,$B1204))</f>
        <v>14</v>
      </c>
      <c r="E1204" s="361">
        <v>221877</v>
      </c>
      <c r="F1204" s="362" t="s">
        <v>1446</v>
      </c>
      <c r="G1204" s="361" t="s">
        <v>329</v>
      </c>
      <c r="H1204" s="328" t="s">
        <v>536</v>
      </c>
      <c r="I1204" s="327">
        <v>1</v>
      </c>
      <c r="J1204" s="361" t="s">
        <v>1149</v>
      </c>
      <c r="K1204" s="327" t="s">
        <v>531</v>
      </c>
      <c r="L1204" s="348">
        <f t="shared" ref="L1204:L1207" si="147">+$K$1038*$T1204*$S1204</f>
        <v>315000</v>
      </c>
      <c r="M1204" s="355"/>
      <c r="N1204" s="355" t="str">
        <f t="shared" si="136"/>
        <v>PR</v>
      </c>
      <c r="O1204" s="345"/>
      <c r="P1204" s="325"/>
      <c r="Q1204" s="351"/>
      <c r="R1204" s="351"/>
      <c r="S1204" s="618">
        <v>6</v>
      </c>
      <c r="T1204" s="619">
        <f t="shared" ref="T1204:T1205" si="148">10.5/S1204</f>
        <v>1.75</v>
      </c>
      <c r="U1204" s="329">
        <f>IF($N1204=$N$4,IFERROR(INDEX(DanhMuc!$E$154:$E$165,MATCH(MID($B1204,4,2),DanhMuc!$B$154:$B$165,0)),""),"")</f>
        <v>5800</v>
      </c>
      <c r="V1204" s="325"/>
      <c r="W1204" s="352" t="str">
        <f>+IF(AND($A1204&lt;&gt;"",LEN($B1204)&gt;=8,COUNTIF($B$6:$B1204,$B1204)=1),$W$5,"")</f>
        <v/>
      </c>
      <c r="X1204" s="329" t="str">
        <f t="shared" si="139"/>
        <v>TRH</v>
      </c>
      <c r="Y1204" s="1128" t="s">
        <v>3380</v>
      </c>
      <c r="Z1204" s="1128" t="s">
        <v>3381</v>
      </c>
      <c r="AA1204" s="1128" t="s">
        <v>3384</v>
      </c>
      <c r="AC1204" s="73"/>
    </row>
    <row r="1205" spans="1:29" s="20" customFormat="1">
      <c r="A1205" s="327" t="str">
        <f>IF(AND($B1205&lt;&gt;"",$C1205&lt;&gt;""),MAX($A$4:A1204)+1,"")</f>
        <v/>
      </c>
      <c r="B1205" s="361" t="s">
        <v>1479</v>
      </c>
      <c r="C1205" s="364"/>
      <c r="D1205" s="327">
        <f>IF($B1205="","",COUNTIF($B$6:$B1205,$B1205))</f>
        <v>15</v>
      </c>
      <c r="E1205" s="361">
        <v>221877</v>
      </c>
      <c r="F1205" s="362" t="s">
        <v>1446</v>
      </c>
      <c r="G1205" s="361" t="s">
        <v>328</v>
      </c>
      <c r="H1205" s="328" t="s">
        <v>536</v>
      </c>
      <c r="I1205" s="327">
        <v>2</v>
      </c>
      <c r="J1205" s="361" t="s">
        <v>1172</v>
      </c>
      <c r="K1205" s="327" t="s">
        <v>531</v>
      </c>
      <c r="L1205" s="348">
        <f t="shared" si="147"/>
        <v>315000</v>
      </c>
      <c r="M1205" s="355"/>
      <c r="N1205" s="355" t="str">
        <f t="shared" si="136"/>
        <v>PR</v>
      </c>
      <c r="O1205" s="345"/>
      <c r="P1205" s="325"/>
      <c r="Q1205" s="351"/>
      <c r="R1205" s="351"/>
      <c r="S1205" s="618">
        <v>6</v>
      </c>
      <c r="T1205" s="619">
        <f t="shared" si="148"/>
        <v>1.75</v>
      </c>
      <c r="U1205" s="329">
        <f>IF($N1205=$N$4,IFERROR(INDEX(DanhMuc!$E$154:$E$165,MATCH(MID($B1205,4,2),DanhMuc!$B$154:$B$165,0)),""),"")</f>
        <v>5800</v>
      </c>
      <c r="V1205" s="325"/>
      <c r="W1205" s="352" t="str">
        <f>+IF(AND($A1205&lt;&gt;"",LEN($B1205)&gt;=8,COUNTIF($B$6:$B1205,$B1205)=1),$W$5,"")</f>
        <v/>
      </c>
      <c r="X1205" s="329" t="str">
        <f t="shared" si="139"/>
        <v>TRH</v>
      </c>
      <c r="Y1205" s="1128" t="s">
        <v>3380</v>
      </c>
      <c r="Z1205" s="1128" t="s">
        <v>3381</v>
      </c>
      <c r="AA1205" s="1128" t="s">
        <v>3384</v>
      </c>
      <c r="AC1205" s="73"/>
    </row>
    <row r="1206" spans="1:29" s="20" customFormat="1">
      <c r="A1206" s="327" t="str">
        <f>IF(AND($B1206&lt;&gt;"",$C1206&lt;&gt;""),MAX($A$4:A1205)+1,"")</f>
        <v/>
      </c>
      <c r="B1206" s="361" t="s">
        <v>1479</v>
      </c>
      <c r="C1206" s="364"/>
      <c r="D1206" s="327">
        <f>IF($B1206="","",COUNTIF($B$6:$B1206,$B1206))</f>
        <v>16</v>
      </c>
      <c r="E1206" s="361">
        <v>221871</v>
      </c>
      <c r="F1206" s="362" t="s">
        <v>613</v>
      </c>
      <c r="G1206" s="361" t="s">
        <v>329</v>
      </c>
      <c r="H1206" s="328" t="s">
        <v>536</v>
      </c>
      <c r="I1206" s="327">
        <v>12</v>
      </c>
      <c r="J1206" s="361" t="s">
        <v>1492</v>
      </c>
      <c r="K1206" s="327" t="s">
        <v>531</v>
      </c>
      <c r="L1206" s="348">
        <f t="shared" si="147"/>
        <v>372000.00000000006</v>
      </c>
      <c r="M1206" s="355"/>
      <c r="N1206" s="355" t="str">
        <f t="shared" si="136"/>
        <v>PR</v>
      </c>
      <c r="O1206" s="345"/>
      <c r="P1206" s="325"/>
      <c r="Q1206" s="351"/>
      <c r="R1206" s="351"/>
      <c r="S1206" s="618">
        <v>6</v>
      </c>
      <c r="T1206" s="619">
        <f t="shared" ref="T1206:T1207" si="149">12.4/S1206</f>
        <v>2.0666666666666669</v>
      </c>
      <c r="U1206" s="329">
        <f>IF($N1206=$N$4,IFERROR(INDEX(DanhMuc!$E$154:$E$165,MATCH(MID($B1206,4,2),DanhMuc!$B$154:$B$165,0)),""),"")</f>
        <v>5800</v>
      </c>
      <c r="V1206" s="325"/>
      <c r="W1206" s="352" t="str">
        <f>+IF(AND($A1206&lt;&gt;"",LEN($B1206)&gt;=8,COUNTIF($B$6:$B1206,$B1206)=1),$W$5,"")</f>
        <v/>
      </c>
      <c r="X1206" s="329" t="str">
        <f t="shared" si="139"/>
        <v>TRH</v>
      </c>
      <c r="Y1206" s="1128" t="s">
        <v>3380</v>
      </c>
      <c r="Z1206" s="1128" t="s">
        <v>3381</v>
      </c>
      <c r="AA1206" s="1128" t="s">
        <v>3384</v>
      </c>
      <c r="AC1206" s="73"/>
    </row>
    <row r="1207" spans="1:29" s="20" customFormat="1">
      <c r="A1207" s="327" t="str">
        <f>IF(AND($B1207&lt;&gt;"",$C1207&lt;&gt;""),MAX($A$4:A1206)+1,"")</f>
        <v/>
      </c>
      <c r="B1207" s="361" t="s">
        <v>1479</v>
      </c>
      <c r="C1207" s="364"/>
      <c r="D1207" s="327">
        <f>IF($B1207="","",COUNTIF($B$6:$B1207,$B1207))</f>
        <v>17</v>
      </c>
      <c r="E1207" s="361">
        <v>221871</v>
      </c>
      <c r="F1207" s="362" t="s">
        <v>613</v>
      </c>
      <c r="G1207" s="361" t="s">
        <v>328</v>
      </c>
      <c r="H1207" s="328" t="s">
        <v>536</v>
      </c>
      <c r="I1207" s="327">
        <v>12</v>
      </c>
      <c r="J1207" s="361" t="s">
        <v>1173</v>
      </c>
      <c r="K1207" s="327" t="s">
        <v>531</v>
      </c>
      <c r="L1207" s="348">
        <f t="shared" si="147"/>
        <v>372000.00000000006</v>
      </c>
      <c r="M1207" s="355"/>
      <c r="N1207" s="355" t="str">
        <f t="shared" si="136"/>
        <v>PR</v>
      </c>
      <c r="O1207" s="345"/>
      <c r="P1207" s="325"/>
      <c r="Q1207" s="351"/>
      <c r="R1207" s="351"/>
      <c r="S1207" s="618">
        <v>6</v>
      </c>
      <c r="T1207" s="619">
        <f t="shared" si="149"/>
        <v>2.0666666666666669</v>
      </c>
      <c r="U1207" s="329">
        <f>IF($N1207=$N$4,IFERROR(INDEX(DanhMuc!$E$154:$E$165,MATCH(MID($B1207,4,2),DanhMuc!$B$154:$B$165,0)),""),"")</f>
        <v>5800</v>
      </c>
      <c r="V1207" s="325"/>
      <c r="W1207" s="352" t="str">
        <f>+IF(AND($A1207&lt;&gt;"",LEN($B1207)&gt;=8,COUNTIF($B$6:$B1207,$B1207)=1),$W$5,"")</f>
        <v/>
      </c>
      <c r="X1207" s="329" t="str">
        <f t="shared" si="139"/>
        <v>TRH</v>
      </c>
      <c r="Y1207" s="1128" t="s">
        <v>3380</v>
      </c>
      <c r="Z1207" s="1128" t="s">
        <v>3381</v>
      </c>
      <c r="AA1207" s="1128" t="s">
        <v>3384</v>
      </c>
      <c r="AC1207" s="73"/>
    </row>
    <row r="1208" spans="1:29" s="20" customFormat="1" ht="39">
      <c r="A1208" s="327">
        <f>IF(AND($B1208&lt;&gt;"",$C1208&lt;&gt;""),MAX($A$4:A1207)+1,"")</f>
        <v>89</v>
      </c>
      <c r="B1208" s="359" t="s">
        <v>1480</v>
      </c>
      <c r="C1208" s="370" t="s">
        <v>1583</v>
      </c>
      <c r="D1208" s="327">
        <f>IF($B1208="","",COUNTIF($B$6:$B1208,$B1208))</f>
        <v>1</v>
      </c>
      <c r="E1208" s="363">
        <v>500373</v>
      </c>
      <c r="F1208" s="362" t="s">
        <v>1140</v>
      </c>
      <c r="G1208" s="361" t="s">
        <v>329</v>
      </c>
      <c r="H1208" s="325"/>
      <c r="I1208" s="327">
        <v>1</v>
      </c>
      <c r="J1208" s="361" t="s">
        <v>762</v>
      </c>
      <c r="K1208" s="327" t="s">
        <v>516</v>
      </c>
      <c r="L1208" s="348">
        <v>613654</v>
      </c>
      <c r="M1208" s="355"/>
      <c r="N1208" s="355" t="str">
        <f t="shared" si="136"/>
        <v>PR</v>
      </c>
      <c r="O1208" s="345"/>
      <c r="P1208" s="325"/>
      <c r="Q1208" s="351"/>
      <c r="R1208" s="351"/>
      <c r="S1208" s="618">
        <v>5.8</v>
      </c>
      <c r="T1208" s="619">
        <v>7.9923999999999999</v>
      </c>
      <c r="U1208" s="329">
        <f>IF($N1208=$N$4,IFERROR(INDEX(DanhMuc!$E$154:$E$165,MATCH(MID($B1208,4,2),DanhMuc!$B$154:$B$165,0)),""),"")</f>
        <v>5800</v>
      </c>
      <c r="V1208" s="325"/>
      <c r="W1208" s="352" t="str">
        <f>+IF(AND($A1208&lt;&gt;"",LEN($B1208)&gt;=8,COUNTIF($B$6:$B1208,$B1208)=1),$W$5,"")</f>
        <v>DMCua</v>
      </c>
      <c r="X1208" s="329" t="str">
        <f t="shared" si="139"/>
        <v>RH</v>
      </c>
      <c r="Y1208" s="1128" t="s">
        <v>3380</v>
      </c>
      <c r="Z1208" s="1128" t="s">
        <v>3381</v>
      </c>
      <c r="AA1208" s="1128" t="s">
        <v>3384</v>
      </c>
      <c r="AC1208" s="73"/>
    </row>
    <row r="1209" spans="1:29" s="20" customFormat="1">
      <c r="A1209" s="327" t="str">
        <f>IF(AND($B1209&lt;&gt;"",$C1209&lt;&gt;""),MAX($A$4:A1208)+1,"")</f>
        <v/>
      </c>
      <c r="B1209" s="361" t="s">
        <v>1480</v>
      </c>
      <c r="C1209" s="364"/>
      <c r="D1209" s="327">
        <f>IF($B1209="","",COUNTIF($B$6:$B1209,$B1209))</f>
        <v>2</v>
      </c>
      <c r="E1209" s="363">
        <v>500373</v>
      </c>
      <c r="F1209" s="362" t="s">
        <v>1140</v>
      </c>
      <c r="G1209" s="361" t="s">
        <v>328</v>
      </c>
      <c r="H1209" s="325"/>
      <c r="I1209" s="327">
        <v>2</v>
      </c>
      <c r="J1209" s="361" t="s">
        <v>1171</v>
      </c>
      <c r="K1209" s="327" t="s">
        <v>1141</v>
      </c>
      <c r="L1209" s="348">
        <v>613654</v>
      </c>
      <c r="M1209" s="355"/>
      <c r="N1209" s="355" t="str">
        <f t="shared" si="136"/>
        <v>PR</v>
      </c>
      <c r="O1209" s="347"/>
      <c r="P1209" s="325"/>
      <c r="Q1209" s="351"/>
      <c r="R1209" s="351"/>
      <c r="S1209" s="618">
        <v>5.8</v>
      </c>
      <c r="T1209" s="619">
        <v>7.9923999999999999</v>
      </c>
      <c r="U1209" s="329">
        <f>IF($N1209=$N$4,IFERROR(INDEX(DanhMuc!$E$154:$E$165,MATCH(MID($B1209,4,2),DanhMuc!$B$154:$B$165,0)),""),"")</f>
        <v>5800</v>
      </c>
      <c r="V1209" s="325"/>
      <c r="W1209" s="352" t="str">
        <f>+IF(AND($A1209&lt;&gt;"",LEN($B1209)&gt;=8,COUNTIF($B$6:$B1209,$B1209)=1),$W$5,"")</f>
        <v/>
      </c>
      <c r="X1209" s="329" t="str">
        <f t="shared" si="139"/>
        <v>RH</v>
      </c>
      <c r="Y1209" s="1128" t="s">
        <v>3380</v>
      </c>
      <c r="Z1209" s="1128" t="s">
        <v>3381</v>
      </c>
      <c r="AA1209" s="1128" t="s">
        <v>3384</v>
      </c>
      <c r="AC1209" s="73"/>
    </row>
    <row r="1210" spans="1:29" s="20" customFormat="1">
      <c r="A1210" s="327" t="str">
        <f>IF(AND($B1210&lt;&gt;"",$C1210&lt;&gt;""),MAX($A$4:A1209)+1,"")</f>
        <v/>
      </c>
      <c r="B1210" s="361" t="s">
        <v>1480</v>
      </c>
      <c r="C1210" s="364"/>
      <c r="D1210" s="327">
        <f>IF($B1210="","",COUNTIF($B$6:$B1210,$B1210))</f>
        <v>3</v>
      </c>
      <c r="E1210" s="363" t="s">
        <v>1166</v>
      </c>
      <c r="F1210" s="362" t="s">
        <v>1167</v>
      </c>
      <c r="G1210" s="361" t="s">
        <v>328</v>
      </c>
      <c r="H1210" s="325"/>
      <c r="I1210" s="327">
        <v>1</v>
      </c>
      <c r="J1210" s="361" t="s">
        <v>81</v>
      </c>
      <c r="K1210" s="327" t="s">
        <v>531</v>
      </c>
      <c r="L1210" s="935" t="s">
        <v>2341</v>
      </c>
      <c r="M1210" s="355"/>
      <c r="N1210" s="355" t="str">
        <f t="shared" ref="N1210:N1224" si="150">+$N$4</f>
        <v>PR</v>
      </c>
      <c r="O1210" s="347"/>
      <c r="P1210" s="325"/>
      <c r="Q1210" s="351"/>
      <c r="R1210" s="351"/>
      <c r="S1210" s="618"/>
      <c r="T1210" s="619"/>
      <c r="U1210" s="329">
        <f>IF($N1210=$N$4,IFERROR(INDEX(DanhMuc!$E$154:$E$165,MATCH(MID($B1210,4,2),DanhMuc!$B$154:$B$165,0)),""),"")</f>
        <v>5800</v>
      </c>
      <c r="V1210" s="325"/>
      <c r="W1210" s="352" t="str">
        <f>+IF(AND($A1210&lt;&gt;"",LEN($B1210)&gt;=8,COUNTIF($B$6:$B1210,$B1210)=1),$W$5,"")</f>
        <v/>
      </c>
      <c r="X1210" s="329" t="str">
        <f t="shared" si="139"/>
        <v>RH</v>
      </c>
      <c r="Y1210" s="1128" t="s">
        <v>3380</v>
      </c>
      <c r="Z1210" s="1128" t="s">
        <v>3381</v>
      </c>
      <c r="AA1210" s="1128" t="s">
        <v>3384</v>
      </c>
      <c r="AC1210" s="73"/>
    </row>
    <row r="1211" spans="1:29" s="20" customFormat="1">
      <c r="A1211" s="327" t="str">
        <f>IF(AND($B1211&lt;&gt;"",$C1211&lt;&gt;""),MAX($A$4:A1210)+1,"")</f>
        <v/>
      </c>
      <c r="B1211" s="361" t="s">
        <v>1480</v>
      </c>
      <c r="C1211" s="364"/>
      <c r="D1211" s="327">
        <f>IF($B1211="","",COUNTIF($B$6:$B1211,$B1211))</f>
        <v>4</v>
      </c>
      <c r="E1211" s="361">
        <v>500183</v>
      </c>
      <c r="F1211" s="362" t="s">
        <v>1142</v>
      </c>
      <c r="G1211" s="361" t="s">
        <v>329</v>
      </c>
      <c r="H1211" s="325"/>
      <c r="I1211" s="327">
        <v>12</v>
      </c>
      <c r="J1211" s="361" t="s">
        <v>1485</v>
      </c>
      <c r="K1211" s="327" t="s">
        <v>516</v>
      </c>
      <c r="L1211" s="348">
        <v>865740</v>
      </c>
      <c r="M1211" s="355"/>
      <c r="N1211" s="355" t="str">
        <f t="shared" si="150"/>
        <v>PR</v>
      </c>
      <c r="O1211" s="345" t="s">
        <v>19</v>
      </c>
      <c r="P1211" s="325"/>
      <c r="Q1211" s="351"/>
      <c r="R1211" s="351"/>
      <c r="S1211" s="618">
        <v>5.8</v>
      </c>
      <c r="T1211" s="619">
        <v>10.4864</v>
      </c>
      <c r="U1211" s="329">
        <f>IF($N1211=$N$4,IFERROR(INDEX(DanhMuc!$E$154:$E$165,MATCH(MID($B1211,4,2),DanhMuc!$B$154:$B$165,0)),""),"")</f>
        <v>5800</v>
      </c>
      <c r="V1211" s="325"/>
      <c r="W1211" s="352" t="str">
        <f>+IF(AND($A1211&lt;&gt;"",LEN($B1211)&gt;=8,COUNTIF($B$6:$B1211,$B1211)=1),$W$5,"")</f>
        <v/>
      </c>
      <c r="X1211" s="329" t="str">
        <f t="shared" si="139"/>
        <v>RH</v>
      </c>
      <c r="Y1211" s="1128" t="s">
        <v>3380</v>
      </c>
      <c r="Z1211" s="1128" t="s">
        <v>3381</v>
      </c>
      <c r="AA1211" s="1128" t="s">
        <v>3384</v>
      </c>
      <c r="AC1211" s="73"/>
    </row>
    <row r="1212" spans="1:29" s="20" customFormat="1">
      <c r="A1212" s="327" t="str">
        <f>IF(AND($B1212&lt;&gt;"",$C1212&lt;&gt;""),MAX($A$4:A1211)+1,"")</f>
        <v/>
      </c>
      <c r="B1212" s="361" t="s">
        <v>1480</v>
      </c>
      <c r="C1212" s="364"/>
      <c r="D1212" s="327">
        <f>IF($B1212="","",COUNTIF($B$6:$B1212,$B1212))</f>
        <v>5</v>
      </c>
      <c r="E1212" s="361">
        <v>500183</v>
      </c>
      <c r="F1212" s="362" t="s">
        <v>1142</v>
      </c>
      <c r="G1212" s="361" t="s">
        <v>328</v>
      </c>
      <c r="H1212" s="325"/>
      <c r="I1212" s="327">
        <v>8</v>
      </c>
      <c r="J1212" s="361" t="s">
        <v>1168</v>
      </c>
      <c r="K1212" s="327" t="s">
        <v>516</v>
      </c>
      <c r="L1212" s="348">
        <v>865740</v>
      </c>
      <c r="M1212" s="355"/>
      <c r="N1212" s="355" t="str">
        <f t="shared" si="150"/>
        <v>PR</v>
      </c>
      <c r="O1212" s="345" t="s">
        <v>19</v>
      </c>
      <c r="P1212" s="325"/>
      <c r="Q1212" s="351"/>
      <c r="R1212" s="351"/>
      <c r="S1212" s="618">
        <v>5.8</v>
      </c>
      <c r="T1212" s="619">
        <v>10.4864</v>
      </c>
      <c r="U1212" s="329">
        <f>IF($N1212=$N$4,IFERROR(INDEX(DanhMuc!$E$154:$E$165,MATCH(MID($B1212,4,2),DanhMuc!$B$154:$B$165,0)),""),"")</f>
        <v>5800</v>
      </c>
      <c r="V1212" s="325"/>
      <c r="W1212" s="352" t="str">
        <f>+IF(AND($A1212&lt;&gt;"",LEN($B1212)&gt;=8,COUNTIF($B$6:$B1212,$B1212)=1),$W$5,"")</f>
        <v/>
      </c>
      <c r="X1212" s="329" t="str">
        <f t="shared" si="139"/>
        <v>RH</v>
      </c>
      <c r="Y1212" s="1128" t="s">
        <v>3380</v>
      </c>
      <c r="Z1212" s="1128" t="s">
        <v>3381</v>
      </c>
      <c r="AA1212" s="1128" t="s">
        <v>3384</v>
      </c>
      <c r="AC1212" s="73"/>
    </row>
    <row r="1213" spans="1:29" s="20" customFormat="1">
      <c r="A1213" s="327" t="str">
        <f>IF(AND($B1213&lt;&gt;"",$C1213&lt;&gt;""),MAX($A$4:A1212)+1,"")</f>
        <v/>
      </c>
      <c r="B1213" s="361" t="s">
        <v>1480</v>
      </c>
      <c r="C1213" s="364"/>
      <c r="D1213" s="327">
        <f>IF($B1213="","",COUNTIF($B$6:$B1213,$B1213))</f>
        <v>6</v>
      </c>
      <c r="E1213" s="361">
        <v>500173</v>
      </c>
      <c r="F1213" s="362" t="s">
        <v>1143</v>
      </c>
      <c r="G1213" s="361" t="s">
        <v>328</v>
      </c>
      <c r="H1213" s="325"/>
      <c r="I1213" s="327">
        <v>4</v>
      </c>
      <c r="J1213" s="361" t="s">
        <v>1168</v>
      </c>
      <c r="K1213" s="327" t="s">
        <v>516</v>
      </c>
      <c r="L1213" s="348">
        <v>818580</v>
      </c>
      <c r="M1213" s="355"/>
      <c r="N1213" s="355" t="str">
        <f t="shared" si="150"/>
        <v>PR</v>
      </c>
      <c r="O1213" s="345" t="s">
        <v>19</v>
      </c>
      <c r="P1213" s="325"/>
      <c r="Q1213" s="351"/>
      <c r="R1213" s="351"/>
      <c r="S1213" s="618">
        <v>5.8</v>
      </c>
      <c r="T1213" s="619">
        <v>9.9238</v>
      </c>
      <c r="U1213" s="329">
        <f>IF($N1213=$N$4,IFERROR(INDEX(DanhMuc!$E$154:$E$165,MATCH(MID($B1213,4,2),DanhMuc!$B$154:$B$165,0)),""),"")</f>
        <v>5800</v>
      </c>
      <c r="V1213" s="325"/>
      <c r="W1213" s="352" t="str">
        <f>+IF(AND($A1213&lt;&gt;"",LEN($B1213)&gt;=8,COUNTIF($B$6:$B1213,$B1213)=1),$W$5,"")</f>
        <v/>
      </c>
      <c r="X1213" s="329" t="str">
        <f t="shared" si="139"/>
        <v>RH</v>
      </c>
      <c r="Y1213" s="1128" t="s">
        <v>3380</v>
      </c>
      <c r="Z1213" s="1128" t="s">
        <v>3381</v>
      </c>
      <c r="AA1213" s="1128" t="s">
        <v>3384</v>
      </c>
      <c r="AC1213" s="73"/>
    </row>
    <row r="1214" spans="1:29" s="20" customFormat="1">
      <c r="A1214" s="327" t="str">
        <f>IF(AND($B1214&lt;&gt;"",$C1214&lt;&gt;""),MAX($A$4:A1213)+1,"")</f>
        <v/>
      </c>
      <c r="B1214" s="361" t="s">
        <v>1480</v>
      </c>
      <c r="C1214" s="364"/>
      <c r="D1214" s="327">
        <f>IF($B1214="","",COUNTIF($B$6:$B1214,$B1214))</f>
        <v>7</v>
      </c>
      <c r="E1214" s="361">
        <v>500173</v>
      </c>
      <c r="F1214" s="362" t="s">
        <v>1143</v>
      </c>
      <c r="G1214" s="361" t="s">
        <v>329</v>
      </c>
      <c r="H1214" s="325"/>
      <c r="I1214" s="327">
        <v>12</v>
      </c>
      <c r="J1214" s="361" t="s">
        <v>1485</v>
      </c>
      <c r="K1214" s="327" t="s">
        <v>516</v>
      </c>
      <c r="L1214" s="348">
        <v>818580</v>
      </c>
      <c r="M1214" s="355"/>
      <c r="N1214" s="355" t="str">
        <f t="shared" si="150"/>
        <v>PR</v>
      </c>
      <c r="O1214" s="345" t="s">
        <v>16</v>
      </c>
      <c r="P1214" s="325"/>
      <c r="Q1214" s="351"/>
      <c r="R1214" s="351"/>
      <c r="S1214" s="618">
        <v>5.8</v>
      </c>
      <c r="T1214" s="619">
        <v>9.9238</v>
      </c>
      <c r="U1214" s="329">
        <f>IF($N1214=$N$4,IFERROR(INDEX(DanhMuc!$E$154:$E$165,MATCH(MID($B1214,4,2),DanhMuc!$B$154:$B$165,0)),""),"")</f>
        <v>5800</v>
      </c>
      <c r="V1214" s="325"/>
      <c r="W1214" s="352" t="str">
        <f>+IF(AND($A1214&lt;&gt;"",LEN($B1214)&gt;=8,COUNTIF($B$6:$B1214,$B1214)=1),$W$5,"")</f>
        <v/>
      </c>
      <c r="X1214" s="329" t="str">
        <f t="shared" si="139"/>
        <v>RH</v>
      </c>
      <c r="Y1214" s="1128" t="s">
        <v>3380</v>
      </c>
      <c r="Z1214" s="1128" t="s">
        <v>3381</v>
      </c>
      <c r="AA1214" s="1128" t="s">
        <v>3384</v>
      </c>
      <c r="AC1214" s="73"/>
    </row>
    <row r="1215" spans="1:29" s="20" customFormat="1">
      <c r="A1215" s="327" t="str">
        <f>IF(AND($B1215&lt;&gt;"",$C1215&lt;&gt;""),MAX($A$4:A1214)+1,"")</f>
        <v/>
      </c>
      <c r="B1215" s="361" t="s">
        <v>1480</v>
      </c>
      <c r="C1215" s="364"/>
      <c r="D1215" s="327">
        <f>IF($B1215="","",COUNTIF($B$6:$B1215,$B1215))</f>
        <v>8</v>
      </c>
      <c r="E1215" s="361">
        <v>500173</v>
      </c>
      <c r="F1215" s="362" t="s">
        <v>1143</v>
      </c>
      <c r="G1215" s="361" t="s">
        <v>328</v>
      </c>
      <c r="H1215" s="325"/>
      <c r="I1215" s="327">
        <v>8</v>
      </c>
      <c r="J1215" s="361" t="s">
        <v>1168</v>
      </c>
      <c r="K1215" s="327" t="s">
        <v>516</v>
      </c>
      <c r="L1215" s="348">
        <v>818580</v>
      </c>
      <c r="M1215" s="355"/>
      <c r="N1215" s="355" t="str">
        <f t="shared" si="150"/>
        <v>PR</v>
      </c>
      <c r="O1215" s="345" t="s">
        <v>16</v>
      </c>
      <c r="P1215" s="325"/>
      <c r="Q1215" s="351"/>
      <c r="R1215" s="351"/>
      <c r="S1215" s="618">
        <v>5.8</v>
      </c>
      <c r="T1215" s="619">
        <v>9.9238</v>
      </c>
      <c r="U1215" s="329">
        <f>IF($N1215=$N$4,IFERROR(INDEX(DanhMuc!$E$154:$E$165,MATCH(MID($B1215,4,2),DanhMuc!$B$154:$B$165,0)),""),"")</f>
        <v>5800</v>
      </c>
      <c r="V1215" s="325"/>
      <c r="W1215" s="352" t="str">
        <f>+IF(AND($A1215&lt;&gt;"",LEN($B1215)&gt;=8,COUNTIF($B$6:$B1215,$B1215)=1),$W$5,"")</f>
        <v/>
      </c>
      <c r="X1215" s="329" t="str">
        <f t="shared" si="139"/>
        <v>RH</v>
      </c>
      <c r="Y1215" s="1128" t="s">
        <v>3380</v>
      </c>
      <c r="Z1215" s="1128" t="s">
        <v>3381</v>
      </c>
      <c r="AA1215" s="1128" t="s">
        <v>3384</v>
      </c>
      <c r="AC1215" s="73"/>
    </row>
    <row r="1216" spans="1:29" s="20" customFormat="1">
      <c r="A1216" s="327" t="str">
        <f>IF(AND($B1216&lt;&gt;"",$C1216&lt;&gt;""),MAX($A$4:A1215)+1,"")</f>
        <v/>
      </c>
      <c r="B1216" s="361" t="s">
        <v>1480</v>
      </c>
      <c r="C1216" s="364"/>
      <c r="D1216" s="327">
        <f>IF($B1216="","",COUNTIF($B$6:$B1216,$B1216))</f>
        <v>9</v>
      </c>
      <c r="E1216" s="361">
        <v>500183</v>
      </c>
      <c r="F1216" s="362" t="s">
        <v>1142</v>
      </c>
      <c r="G1216" s="361" t="s">
        <v>328</v>
      </c>
      <c r="H1216" s="325"/>
      <c r="I1216" s="327">
        <v>4</v>
      </c>
      <c r="J1216" s="361" t="s">
        <v>1168</v>
      </c>
      <c r="K1216" s="327" t="s">
        <v>516</v>
      </c>
      <c r="L1216" s="348">
        <v>865740</v>
      </c>
      <c r="M1216" s="355"/>
      <c r="N1216" s="355" t="str">
        <f t="shared" si="150"/>
        <v>PR</v>
      </c>
      <c r="O1216" s="345" t="s">
        <v>16</v>
      </c>
      <c r="P1216" s="325"/>
      <c r="Q1216" s="351"/>
      <c r="R1216" s="351"/>
      <c r="S1216" s="618">
        <v>5.8</v>
      </c>
      <c r="T1216" s="619">
        <v>10.4864</v>
      </c>
      <c r="U1216" s="329">
        <f>IF($N1216=$N$4,IFERROR(INDEX(DanhMuc!$E$154:$E$165,MATCH(MID($B1216,4,2),DanhMuc!$B$154:$B$165,0)),""),"")</f>
        <v>5800</v>
      </c>
      <c r="V1216" s="325"/>
      <c r="W1216" s="352" t="str">
        <f>+IF(AND($A1216&lt;&gt;"",LEN($B1216)&gt;=8,COUNTIF($B$6:$B1216,$B1216)=1),$W$5,"")</f>
        <v/>
      </c>
      <c r="X1216" s="329" t="str">
        <f t="shared" si="139"/>
        <v>RH</v>
      </c>
      <c r="Y1216" s="1128" t="s">
        <v>3380</v>
      </c>
      <c r="Z1216" s="1128" t="s">
        <v>3381</v>
      </c>
      <c r="AA1216" s="1128" t="s">
        <v>3384</v>
      </c>
      <c r="AC1216" s="73"/>
    </row>
    <row r="1217" spans="1:29" s="20" customFormat="1">
      <c r="A1217" s="327" t="str">
        <f>IF(AND($B1217&lt;&gt;"",$C1217&lt;&gt;""),MAX($A$4:A1216)+1,"")</f>
        <v/>
      </c>
      <c r="B1217" s="361" t="s">
        <v>1480</v>
      </c>
      <c r="C1217" s="364"/>
      <c r="D1217" s="327">
        <f>IF($B1217="","",COUNTIF($B$6:$B1217,$B1217))</f>
        <v>10</v>
      </c>
      <c r="E1217" s="361" t="s">
        <v>899</v>
      </c>
      <c r="F1217" s="362" t="s">
        <v>898</v>
      </c>
      <c r="G1217" s="361" t="s">
        <v>329</v>
      </c>
      <c r="H1217" s="325"/>
      <c r="I1217" s="327">
        <v>12</v>
      </c>
      <c r="J1217" s="361" t="s">
        <v>1487</v>
      </c>
      <c r="K1217" s="327" t="s">
        <v>516</v>
      </c>
      <c r="L1217" s="348">
        <v>0</v>
      </c>
      <c r="M1217" s="355"/>
      <c r="N1217" s="355" t="str">
        <f t="shared" si="150"/>
        <v>PR</v>
      </c>
      <c r="O1217" s="347"/>
      <c r="P1217" s="325"/>
      <c r="Q1217" s="351"/>
      <c r="R1217" s="351"/>
      <c r="S1217" s="618"/>
      <c r="T1217" s="619"/>
      <c r="U1217" s="329">
        <f>IF($N1217=$N$4,IFERROR(INDEX(DanhMuc!$E$154:$E$165,MATCH(MID($B1217,4,2),DanhMuc!$B$154:$B$165,0)),""),"")</f>
        <v>5800</v>
      </c>
      <c r="V1217" s="325"/>
      <c r="W1217" s="352" t="str">
        <f>+IF(AND($A1217&lt;&gt;"",LEN($B1217)&gt;=8,COUNTIF($B$6:$B1217,$B1217)=1),$W$5,"")</f>
        <v/>
      </c>
      <c r="X1217" s="329" t="str">
        <f t="shared" ref="X1217:X1280" si="151">IF(IFERROR(SEARCH("thép",$F1217,1),0)&gt;=1,"T" &amp;MID($B1217,4,2),MID($B1217,4,2))</f>
        <v>RH</v>
      </c>
      <c r="Y1217" s="1128" t="s">
        <v>3380</v>
      </c>
      <c r="Z1217" s="1128" t="s">
        <v>3381</v>
      </c>
      <c r="AA1217" s="1128" t="s">
        <v>3384</v>
      </c>
      <c r="AC1217" s="73"/>
    </row>
    <row r="1218" spans="1:29" s="20" customFormat="1">
      <c r="A1218" s="327" t="str">
        <f>IF(AND($B1218&lt;&gt;"",$C1218&lt;&gt;""),MAX($A$4:A1217)+1,"")</f>
        <v/>
      </c>
      <c r="B1218" s="361" t="s">
        <v>1480</v>
      </c>
      <c r="C1218" s="364"/>
      <c r="D1218" s="327">
        <f>IF($B1218="","",COUNTIF($B$6:$B1218,$B1218))</f>
        <v>11</v>
      </c>
      <c r="E1218" s="361" t="s">
        <v>899</v>
      </c>
      <c r="F1218" s="362" t="s">
        <v>898</v>
      </c>
      <c r="G1218" s="361" t="s">
        <v>328</v>
      </c>
      <c r="H1218" s="325"/>
      <c r="I1218" s="327">
        <v>12</v>
      </c>
      <c r="J1218" s="361" t="s">
        <v>1169</v>
      </c>
      <c r="K1218" s="327" t="s">
        <v>516</v>
      </c>
      <c r="L1218" s="348">
        <v>0</v>
      </c>
      <c r="M1218" s="355"/>
      <c r="N1218" s="355" t="str">
        <f t="shared" si="150"/>
        <v>PR</v>
      </c>
      <c r="O1218" s="347"/>
      <c r="P1218" s="325"/>
      <c r="Q1218" s="351"/>
      <c r="R1218" s="351"/>
      <c r="S1218" s="618"/>
      <c r="T1218" s="619"/>
      <c r="U1218" s="329">
        <f>IF($N1218=$N$4,IFERROR(INDEX(DanhMuc!$E$154:$E$165,MATCH(MID($B1218,4,2),DanhMuc!$B$154:$B$165,0)),""),"")</f>
        <v>5800</v>
      </c>
      <c r="V1218" s="325"/>
      <c r="W1218" s="352" t="str">
        <f>+IF(AND($A1218&lt;&gt;"",LEN($B1218)&gt;=8,COUNTIF($B$6:$B1218,$B1218)=1),$W$5,"")</f>
        <v/>
      </c>
      <c r="X1218" s="329" t="str">
        <f t="shared" si="151"/>
        <v>RH</v>
      </c>
      <c r="Y1218" s="1128" t="s">
        <v>3380</v>
      </c>
      <c r="Z1218" s="1128" t="s">
        <v>3381</v>
      </c>
      <c r="AA1218" s="1128" t="s">
        <v>3384</v>
      </c>
      <c r="AC1218" s="73"/>
    </row>
    <row r="1219" spans="1:29" s="20" customFormat="1">
      <c r="A1219" s="327" t="str">
        <f>IF(AND($B1219&lt;&gt;"",$C1219&lt;&gt;""),MAX($A$4:A1218)+1,"")</f>
        <v/>
      </c>
      <c r="B1219" s="361" t="s">
        <v>1480</v>
      </c>
      <c r="C1219" s="364"/>
      <c r="D1219" s="327">
        <f>IF($B1219="","",COUNTIF($B$6:$B1219,$B1219))</f>
        <v>12</v>
      </c>
      <c r="E1219" s="361">
        <v>554230</v>
      </c>
      <c r="F1219" s="362" t="s">
        <v>761</v>
      </c>
      <c r="G1219" s="361" t="s">
        <v>328</v>
      </c>
      <c r="H1219" s="325"/>
      <c r="I1219" s="327">
        <v>1</v>
      </c>
      <c r="J1219" s="361" t="s">
        <v>1170</v>
      </c>
      <c r="K1219" s="327" t="s">
        <v>531</v>
      </c>
      <c r="L1219" s="348">
        <v>793373</v>
      </c>
      <c r="M1219" s="355"/>
      <c r="N1219" s="355" t="str">
        <f t="shared" si="150"/>
        <v>PR</v>
      </c>
      <c r="O1219" s="347"/>
      <c r="P1219" s="325"/>
      <c r="Q1219" s="351"/>
      <c r="R1219" s="351"/>
      <c r="S1219" s="618">
        <v>6</v>
      </c>
      <c r="T1219" s="619">
        <v>5.484</v>
      </c>
      <c r="U1219" s="329">
        <f>IF($N1219=$N$4,IFERROR(INDEX(DanhMuc!$E$154:$E$165,MATCH(MID($B1219,4,2),DanhMuc!$B$154:$B$165,0)),""),"")</f>
        <v>5800</v>
      </c>
      <c r="V1219" s="325"/>
      <c r="W1219" s="352" t="str">
        <f>+IF(AND($A1219&lt;&gt;"",LEN($B1219)&gt;=8,COUNTIF($B$6:$B1219,$B1219)=1),$W$5,"")</f>
        <v/>
      </c>
      <c r="X1219" s="329" t="str">
        <f t="shared" si="151"/>
        <v>RH</v>
      </c>
      <c r="Y1219" s="1128" t="s">
        <v>3380</v>
      </c>
      <c r="Z1219" s="1128" t="s">
        <v>3381</v>
      </c>
      <c r="AA1219" s="1128" t="s">
        <v>3384</v>
      </c>
      <c r="AC1219" s="73"/>
    </row>
    <row r="1220" spans="1:29" s="20" customFormat="1">
      <c r="A1220" s="327" t="str">
        <f>IF(AND($B1220&lt;&gt;"",$C1220&lt;&gt;""),MAX($A$4:A1219)+1,"")</f>
        <v/>
      </c>
      <c r="B1220" s="361" t="s">
        <v>1480</v>
      </c>
      <c r="C1220" s="364"/>
      <c r="D1220" s="327">
        <f>IF($B1220="","",COUNTIF($B$6:$B1220,$B1220))</f>
        <v>13</v>
      </c>
      <c r="E1220" s="361">
        <v>229184</v>
      </c>
      <c r="F1220" s="362" t="s">
        <v>1371</v>
      </c>
      <c r="G1220" s="361" t="s">
        <v>329</v>
      </c>
      <c r="H1220" s="325"/>
      <c r="I1220" s="327">
        <v>1</v>
      </c>
      <c r="J1220" s="361" t="s">
        <v>1148</v>
      </c>
      <c r="K1220" s="327" t="s">
        <v>531</v>
      </c>
      <c r="L1220" s="348">
        <v>556948</v>
      </c>
      <c r="M1220" s="355"/>
      <c r="N1220" s="355" t="str">
        <f t="shared" si="150"/>
        <v>PR</v>
      </c>
      <c r="O1220" s="347" t="s">
        <v>566</v>
      </c>
      <c r="P1220" s="325"/>
      <c r="Q1220" s="351"/>
      <c r="R1220" s="351"/>
      <c r="S1220" s="618">
        <v>5.8</v>
      </c>
      <c r="T1220" s="619">
        <v>3.1377999999999999</v>
      </c>
      <c r="U1220" s="329">
        <f>IF($N1220=$N$4,IFERROR(INDEX(DanhMuc!$E$154:$E$165,MATCH(MID($B1220,4,2),DanhMuc!$B$154:$B$165,0)),""),"")</f>
        <v>5800</v>
      </c>
      <c r="V1220" s="325"/>
      <c r="W1220" s="352" t="str">
        <f>+IF(AND($A1220&lt;&gt;"",LEN($B1220)&gt;=8,COUNTIF($B$6:$B1220,$B1220)=1),$W$5,"")</f>
        <v/>
      </c>
      <c r="X1220" s="329" t="str">
        <f t="shared" si="151"/>
        <v>RH</v>
      </c>
      <c r="Y1220" s="1128" t="s">
        <v>3380</v>
      </c>
      <c r="Z1220" s="1128" t="s">
        <v>3381</v>
      </c>
      <c r="AA1220" s="1128" t="s">
        <v>3384</v>
      </c>
      <c r="AC1220" s="73"/>
    </row>
    <row r="1221" spans="1:29" s="20" customFormat="1">
      <c r="A1221" s="327" t="str">
        <f>IF(AND($B1221&lt;&gt;"",$C1221&lt;&gt;""),MAX($A$4:A1220)+1,"")</f>
        <v/>
      </c>
      <c r="B1221" s="361" t="s">
        <v>1480</v>
      </c>
      <c r="C1221" s="364"/>
      <c r="D1221" s="327">
        <f>IF($B1221="","",COUNTIF($B$6:$B1221,$B1221))</f>
        <v>14</v>
      </c>
      <c r="E1221" s="361">
        <v>221877</v>
      </c>
      <c r="F1221" s="362" t="s">
        <v>1446</v>
      </c>
      <c r="G1221" s="361" t="s">
        <v>329</v>
      </c>
      <c r="H1221" s="328" t="s">
        <v>536</v>
      </c>
      <c r="I1221" s="327">
        <v>1</v>
      </c>
      <c r="J1221" s="361" t="s">
        <v>1149</v>
      </c>
      <c r="K1221" s="327" t="s">
        <v>531</v>
      </c>
      <c r="L1221" s="348">
        <f t="shared" ref="L1221:L1224" si="152">+$K$1038*$T1221*$S1221</f>
        <v>315000</v>
      </c>
      <c r="M1221" s="355"/>
      <c r="N1221" s="355" t="str">
        <f t="shared" si="150"/>
        <v>PR</v>
      </c>
      <c r="O1221" s="345"/>
      <c r="P1221" s="325"/>
      <c r="Q1221" s="351"/>
      <c r="R1221" s="351"/>
      <c r="S1221" s="618">
        <v>6</v>
      </c>
      <c r="T1221" s="619">
        <f t="shared" ref="T1221:T1222" si="153">10.5/S1221</f>
        <v>1.75</v>
      </c>
      <c r="U1221" s="329">
        <f>IF($N1221=$N$4,IFERROR(INDEX(DanhMuc!$E$154:$E$165,MATCH(MID($B1221,4,2),DanhMuc!$B$154:$B$165,0)),""),"")</f>
        <v>5800</v>
      </c>
      <c r="V1221" s="325"/>
      <c r="W1221" s="352" t="str">
        <f>+IF(AND($A1221&lt;&gt;"",LEN($B1221)&gt;=8,COUNTIF($B$6:$B1221,$B1221)=1),$W$5,"")</f>
        <v/>
      </c>
      <c r="X1221" s="329" t="str">
        <f t="shared" si="151"/>
        <v>TRH</v>
      </c>
      <c r="Y1221" s="1128" t="s">
        <v>3380</v>
      </c>
      <c r="Z1221" s="1128" t="s">
        <v>3381</v>
      </c>
      <c r="AA1221" s="1128" t="s">
        <v>3384</v>
      </c>
      <c r="AC1221" s="73"/>
    </row>
    <row r="1222" spans="1:29" s="20" customFormat="1">
      <c r="A1222" s="327" t="str">
        <f>IF(AND($B1222&lt;&gt;"",$C1222&lt;&gt;""),MAX($A$4:A1221)+1,"")</f>
        <v/>
      </c>
      <c r="B1222" s="361" t="s">
        <v>1480</v>
      </c>
      <c r="C1222" s="364"/>
      <c r="D1222" s="327">
        <f>IF($B1222="","",COUNTIF($B$6:$B1222,$B1222))</f>
        <v>15</v>
      </c>
      <c r="E1222" s="361">
        <v>221877</v>
      </c>
      <c r="F1222" s="362" t="s">
        <v>1446</v>
      </c>
      <c r="G1222" s="361" t="s">
        <v>328</v>
      </c>
      <c r="H1222" s="328" t="s">
        <v>536</v>
      </c>
      <c r="I1222" s="327">
        <v>2</v>
      </c>
      <c r="J1222" s="361" t="s">
        <v>1172</v>
      </c>
      <c r="K1222" s="327" t="s">
        <v>531</v>
      </c>
      <c r="L1222" s="348">
        <f t="shared" si="152"/>
        <v>315000</v>
      </c>
      <c r="M1222" s="355"/>
      <c r="N1222" s="355" t="str">
        <f t="shared" si="150"/>
        <v>PR</v>
      </c>
      <c r="O1222" s="345"/>
      <c r="P1222" s="325"/>
      <c r="Q1222" s="351"/>
      <c r="R1222" s="351"/>
      <c r="S1222" s="618">
        <v>6</v>
      </c>
      <c r="T1222" s="619">
        <f t="shared" si="153"/>
        <v>1.75</v>
      </c>
      <c r="U1222" s="329">
        <f>IF($N1222=$N$4,IFERROR(INDEX(DanhMuc!$E$154:$E$165,MATCH(MID($B1222,4,2),DanhMuc!$B$154:$B$165,0)),""),"")</f>
        <v>5800</v>
      </c>
      <c r="V1222" s="325"/>
      <c r="W1222" s="352" t="str">
        <f>+IF(AND($A1222&lt;&gt;"",LEN($B1222)&gt;=8,COUNTIF($B$6:$B1222,$B1222)=1),$W$5,"")</f>
        <v/>
      </c>
      <c r="X1222" s="329" t="str">
        <f t="shared" si="151"/>
        <v>TRH</v>
      </c>
      <c r="Y1222" s="1128" t="s">
        <v>3380</v>
      </c>
      <c r="Z1222" s="1128" t="s">
        <v>3381</v>
      </c>
      <c r="AA1222" s="1128" t="s">
        <v>3384</v>
      </c>
      <c r="AC1222" s="73"/>
    </row>
    <row r="1223" spans="1:29" s="20" customFormat="1">
      <c r="A1223" s="327" t="str">
        <f>IF(AND($B1223&lt;&gt;"",$C1223&lt;&gt;""),MAX($A$4:A1222)+1,"")</f>
        <v/>
      </c>
      <c r="B1223" s="361" t="s">
        <v>1480</v>
      </c>
      <c r="C1223" s="364"/>
      <c r="D1223" s="327">
        <f>IF($B1223="","",COUNTIF($B$6:$B1223,$B1223))</f>
        <v>16</v>
      </c>
      <c r="E1223" s="361">
        <v>221871</v>
      </c>
      <c r="F1223" s="362" t="s">
        <v>613</v>
      </c>
      <c r="G1223" s="361" t="s">
        <v>329</v>
      </c>
      <c r="H1223" s="328" t="s">
        <v>536</v>
      </c>
      <c r="I1223" s="327">
        <v>12</v>
      </c>
      <c r="J1223" s="361" t="s">
        <v>1486</v>
      </c>
      <c r="K1223" s="327" t="s">
        <v>531</v>
      </c>
      <c r="L1223" s="348">
        <f t="shared" si="152"/>
        <v>372000.00000000006</v>
      </c>
      <c r="M1223" s="355"/>
      <c r="N1223" s="355" t="str">
        <f t="shared" si="150"/>
        <v>PR</v>
      </c>
      <c r="O1223" s="345"/>
      <c r="P1223" s="325"/>
      <c r="Q1223" s="351"/>
      <c r="R1223" s="351"/>
      <c r="S1223" s="618">
        <v>6</v>
      </c>
      <c r="T1223" s="619">
        <f t="shared" ref="T1223:T1224" si="154">12.4/S1223</f>
        <v>2.0666666666666669</v>
      </c>
      <c r="U1223" s="329">
        <f>IF($N1223=$N$4,IFERROR(INDEX(DanhMuc!$E$154:$E$165,MATCH(MID($B1223,4,2),DanhMuc!$B$154:$B$165,0)),""),"")</f>
        <v>5800</v>
      </c>
      <c r="V1223" s="325"/>
      <c r="W1223" s="352" t="str">
        <f>+IF(AND($A1223&lt;&gt;"",LEN($B1223)&gt;=8,COUNTIF($B$6:$B1223,$B1223)=1),$W$5,"")</f>
        <v/>
      </c>
      <c r="X1223" s="329" t="str">
        <f t="shared" si="151"/>
        <v>TRH</v>
      </c>
      <c r="Y1223" s="1128" t="s">
        <v>3380</v>
      </c>
      <c r="Z1223" s="1128" t="s">
        <v>3381</v>
      </c>
      <c r="AA1223" s="1128" t="s">
        <v>3384</v>
      </c>
      <c r="AC1223" s="73"/>
    </row>
    <row r="1224" spans="1:29" s="20" customFormat="1">
      <c r="A1224" s="327" t="str">
        <f>IF(AND($B1224&lt;&gt;"",$C1224&lt;&gt;""),MAX($A$4:A1223)+1,"")</f>
        <v/>
      </c>
      <c r="B1224" s="361" t="s">
        <v>1480</v>
      </c>
      <c r="C1224" s="364"/>
      <c r="D1224" s="327">
        <f>IF($B1224="","",COUNTIF($B$6:$B1224,$B1224))</f>
        <v>17</v>
      </c>
      <c r="E1224" s="361">
        <v>221871</v>
      </c>
      <c r="F1224" s="362" t="s">
        <v>613</v>
      </c>
      <c r="G1224" s="361" t="s">
        <v>328</v>
      </c>
      <c r="H1224" s="328" t="s">
        <v>536</v>
      </c>
      <c r="I1224" s="327">
        <v>12</v>
      </c>
      <c r="J1224" s="361" t="s">
        <v>1173</v>
      </c>
      <c r="K1224" s="327" t="s">
        <v>531</v>
      </c>
      <c r="L1224" s="348">
        <f t="shared" si="152"/>
        <v>372000.00000000006</v>
      </c>
      <c r="M1224" s="355"/>
      <c r="N1224" s="355" t="str">
        <f t="shared" si="150"/>
        <v>PR</v>
      </c>
      <c r="O1224" s="345"/>
      <c r="P1224" s="325"/>
      <c r="Q1224" s="351"/>
      <c r="R1224" s="351"/>
      <c r="S1224" s="618">
        <v>6</v>
      </c>
      <c r="T1224" s="619">
        <f t="shared" si="154"/>
        <v>2.0666666666666669</v>
      </c>
      <c r="U1224" s="329">
        <f>IF($N1224=$N$4,IFERROR(INDEX(DanhMuc!$E$154:$E$165,MATCH(MID($B1224,4,2),DanhMuc!$B$154:$B$165,0)),""),"")</f>
        <v>5800</v>
      </c>
      <c r="V1224" s="325"/>
      <c r="W1224" s="352" t="str">
        <f>+IF(AND($A1224&lt;&gt;"",LEN($B1224)&gt;=8,COUNTIF($B$6:$B1224,$B1224)=1),$W$5,"")</f>
        <v/>
      </c>
      <c r="X1224" s="329" t="str">
        <f t="shared" si="151"/>
        <v>TRH</v>
      </c>
      <c r="Y1224" s="1128" t="s">
        <v>3380</v>
      </c>
      <c r="Z1224" s="1128" t="s">
        <v>3381</v>
      </c>
      <c r="AA1224" s="1128" t="s">
        <v>3384</v>
      </c>
      <c r="AC1224" s="73"/>
    </row>
    <row r="1225" spans="1:29" s="20" customFormat="1" ht="26">
      <c r="A1225" s="327">
        <f>IF(AND($B1225&lt;&gt;"",$C1225&lt;&gt;""),MAX($A$4:A1138)+1,"")</f>
        <v>85</v>
      </c>
      <c r="B1225" s="359" t="s">
        <v>863</v>
      </c>
      <c r="C1225" s="370" t="s">
        <v>1584</v>
      </c>
      <c r="D1225" s="327">
        <f>IF($B1225="","",COUNTIF($B$6:$B1225,$B1225))</f>
        <v>1</v>
      </c>
      <c r="E1225" s="363">
        <v>500113</v>
      </c>
      <c r="F1225" s="362" t="s">
        <v>618</v>
      </c>
      <c r="G1225" s="361" t="s">
        <v>329</v>
      </c>
      <c r="H1225" s="325"/>
      <c r="I1225" s="327">
        <v>2</v>
      </c>
      <c r="J1225" s="361" t="s">
        <v>762</v>
      </c>
      <c r="K1225" s="327" t="s">
        <v>516</v>
      </c>
      <c r="L1225" s="348">
        <v>414904</v>
      </c>
      <c r="M1225" s="355"/>
      <c r="N1225" s="355" t="str">
        <f t="shared" si="62"/>
        <v>PR</v>
      </c>
      <c r="O1225" s="345"/>
      <c r="P1225" s="325"/>
      <c r="Q1225" s="351"/>
      <c r="R1225" s="351"/>
      <c r="S1225" s="618">
        <v>5.8</v>
      </c>
      <c r="T1225" s="619">
        <v>6.3220000000000001</v>
      </c>
      <c r="U1225" s="329">
        <f>IF($N1225=$N$4,IFERROR(INDEX(DanhMuc!$E$154:$E$165,MATCH(MID($B1225,4,2),DanhMuc!$B$154:$B$165,0)),""),"")</f>
        <v>5800</v>
      </c>
      <c r="V1225" s="325"/>
      <c r="W1225" s="352" t="str">
        <f>+IF(AND($A1225&lt;&gt;"",LEN($B1225)&gt;=8,COUNTIF($B$6:$B1225,$B1225)=1),$W$5,"")</f>
        <v>DMCua</v>
      </c>
      <c r="X1225" s="329" t="str">
        <f t="shared" si="151"/>
        <v>RH</v>
      </c>
      <c r="Y1225" s="1128" t="s">
        <v>3380</v>
      </c>
      <c r="Z1225" s="1128" t="s">
        <v>3381</v>
      </c>
      <c r="AA1225" s="1128" t="s">
        <v>3384</v>
      </c>
      <c r="AC1225" s="73"/>
    </row>
    <row r="1226" spans="1:29" s="20" customFormat="1">
      <c r="A1226" s="327" t="str">
        <f>IF(AND($B1226&lt;&gt;"",$C1226&lt;&gt;""),MAX($A$4:A1225)+1,"")</f>
        <v/>
      </c>
      <c r="B1226" s="361" t="s">
        <v>863</v>
      </c>
      <c r="C1226" s="364"/>
      <c r="D1226" s="327">
        <f>IF($B1226="","",COUNTIF($B$6:$B1226,$B1226))</f>
        <v>2</v>
      </c>
      <c r="E1226" s="363">
        <v>500113</v>
      </c>
      <c r="F1226" s="362" t="s">
        <v>618</v>
      </c>
      <c r="G1226" s="361" t="s">
        <v>328</v>
      </c>
      <c r="H1226" s="325"/>
      <c r="I1226" s="327">
        <v>2</v>
      </c>
      <c r="J1226" s="361" t="s">
        <v>763</v>
      </c>
      <c r="K1226" s="327" t="s">
        <v>516</v>
      </c>
      <c r="L1226" s="348">
        <v>414904</v>
      </c>
      <c r="M1226" s="355"/>
      <c r="N1226" s="355" t="str">
        <f t="shared" si="62"/>
        <v>PR</v>
      </c>
      <c r="O1226" s="347"/>
      <c r="P1226" s="325"/>
      <c r="Q1226" s="351"/>
      <c r="R1226" s="351"/>
      <c r="S1226" s="618">
        <v>5.8</v>
      </c>
      <c r="T1226" s="619">
        <v>6.3220000000000001</v>
      </c>
      <c r="U1226" s="329">
        <f>IF($N1226=$N$4,IFERROR(INDEX(DanhMuc!$E$154:$E$165,MATCH(MID($B1226,4,2),DanhMuc!$B$154:$B$165,0)),""),"")</f>
        <v>5800</v>
      </c>
      <c r="V1226" s="325"/>
      <c r="W1226" s="352" t="str">
        <f>+IF(AND($A1226&lt;&gt;"",LEN($B1226)&gt;=8,COUNTIF($B$6:$B1226,$B1226)=1),$W$5,"")</f>
        <v/>
      </c>
      <c r="X1226" s="329" t="str">
        <f t="shared" si="151"/>
        <v>RH</v>
      </c>
      <c r="Y1226" s="1128" t="s">
        <v>3380</v>
      </c>
      <c r="Z1226" s="1128" t="s">
        <v>3381</v>
      </c>
      <c r="AA1226" s="1128" t="s">
        <v>3384</v>
      </c>
      <c r="AC1226" s="73"/>
    </row>
    <row r="1227" spans="1:29" s="20" customFormat="1">
      <c r="A1227" s="327" t="str">
        <f>IF(AND($B1227&lt;&gt;"",$C1227&lt;&gt;""),MAX($A$4:A1226)+1,"")</f>
        <v/>
      </c>
      <c r="B1227" s="361" t="s">
        <v>863</v>
      </c>
      <c r="C1227" s="364"/>
      <c r="D1227" s="327">
        <f>IF($B1227="","",COUNTIF($B$6:$B1227,$B1227))</f>
        <v>3</v>
      </c>
      <c r="E1227" s="361">
        <v>500163</v>
      </c>
      <c r="F1227" s="362" t="s">
        <v>620</v>
      </c>
      <c r="G1227" s="361" t="s">
        <v>329</v>
      </c>
      <c r="H1227" s="325"/>
      <c r="I1227" s="327">
        <v>2</v>
      </c>
      <c r="J1227" s="361" t="s">
        <v>864</v>
      </c>
      <c r="K1227" s="327" t="s">
        <v>516</v>
      </c>
      <c r="L1227" s="348">
        <v>450275</v>
      </c>
      <c r="M1227" s="355"/>
      <c r="N1227" s="355" t="str">
        <f t="shared" si="62"/>
        <v>PR</v>
      </c>
      <c r="O1227" s="345"/>
      <c r="P1227" s="325"/>
      <c r="Q1227" s="351"/>
      <c r="R1227" s="351"/>
      <c r="S1227" s="618">
        <v>5.8</v>
      </c>
      <c r="T1227" s="619">
        <v>6.5133999999999999</v>
      </c>
      <c r="U1227" s="329">
        <f>IF($N1227=$N$4,IFERROR(INDEX(DanhMuc!$E$154:$E$165,MATCH(MID($B1227,4,2),DanhMuc!$B$154:$B$165,0)),""),"")</f>
        <v>5800</v>
      </c>
      <c r="V1227" s="325"/>
      <c r="W1227" s="352" t="str">
        <f>+IF(AND($A1227&lt;&gt;"",LEN($B1227)&gt;=8,COUNTIF($B$6:$B1227,$B1227)=1),$W$5,"")</f>
        <v/>
      </c>
      <c r="X1227" s="329" t="str">
        <f t="shared" si="151"/>
        <v>RH</v>
      </c>
      <c r="Y1227" s="1128" t="s">
        <v>3380</v>
      </c>
      <c r="Z1227" s="1128" t="s">
        <v>3381</v>
      </c>
      <c r="AA1227" s="1128" t="s">
        <v>3384</v>
      </c>
      <c r="AC1227" s="73"/>
    </row>
    <row r="1228" spans="1:29" s="20" customFormat="1">
      <c r="A1228" s="327" t="str">
        <f>IF(AND($B1228&lt;&gt;"",$C1228&lt;&gt;""),MAX($A$4:A1227)+1,"")</f>
        <v/>
      </c>
      <c r="B1228" s="361" t="s">
        <v>863</v>
      </c>
      <c r="C1228" s="364"/>
      <c r="D1228" s="327">
        <f>IF($B1228="","",COUNTIF($B$6:$B1228,$B1228))</f>
        <v>4</v>
      </c>
      <c r="E1228" s="361">
        <v>500163</v>
      </c>
      <c r="F1228" s="362" t="s">
        <v>620</v>
      </c>
      <c r="G1228" s="361" t="s">
        <v>328</v>
      </c>
      <c r="H1228" s="325"/>
      <c r="I1228" s="327">
        <v>2</v>
      </c>
      <c r="J1228" s="361" t="s">
        <v>765</v>
      </c>
      <c r="K1228" s="327" t="s">
        <v>516</v>
      </c>
      <c r="L1228" s="348">
        <v>450275</v>
      </c>
      <c r="M1228" s="355"/>
      <c r="N1228" s="355" t="str">
        <f t="shared" si="62"/>
        <v>PR</v>
      </c>
      <c r="O1228" s="345"/>
      <c r="P1228" s="325"/>
      <c r="Q1228" s="351"/>
      <c r="R1228" s="351"/>
      <c r="S1228" s="618">
        <v>5.8</v>
      </c>
      <c r="T1228" s="619">
        <v>6.5133999999999999</v>
      </c>
      <c r="U1228" s="329">
        <f>IF($N1228=$N$4,IFERROR(INDEX(DanhMuc!$E$154:$E$165,MATCH(MID($B1228,4,2),DanhMuc!$B$154:$B$165,0)),""),"")</f>
        <v>5800</v>
      </c>
      <c r="V1228" s="325"/>
      <c r="W1228" s="352" t="str">
        <f>+IF(AND($A1228&lt;&gt;"",LEN($B1228)&gt;=8,COUNTIF($B$6:$B1228,$B1228)=1),$W$5,"")</f>
        <v/>
      </c>
      <c r="X1228" s="329" t="str">
        <f t="shared" si="151"/>
        <v>RH</v>
      </c>
      <c r="Y1228" s="1128" t="s">
        <v>3380</v>
      </c>
      <c r="Z1228" s="1128" t="s">
        <v>3381</v>
      </c>
      <c r="AA1228" s="1128" t="s">
        <v>3384</v>
      </c>
      <c r="AC1228" s="73"/>
    </row>
    <row r="1229" spans="1:29" s="20" customFormat="1">
      <c r="A1229" s="327" t="str">
        <f>IF(AND($B1229&lt;&gt;"",$C1229&lt;&gt;""),MAX($A$4:A1228)+1,"")</f>
        <v/>
      </c>
      <c r="B1229" s="361" t="s">
        <v>863</v>
      </c>
      <c r="C1229" s="364"/>
      <c r="D1229" s="327">
        <f>IF($B1229="","",COUNTIF($B$6:$B1229,$B1229))</f>
        <v>5</v>
      </c>
      <c r="E1229" s="361" t="s">
        <v>899</v>
      </c>
      <c r="F1229" s="362" t="s">
        <v>898</v>
      </c>
      <c r="G1229" s="361" t="s">
        <v>329</v>
      </c>
      <c r="H1229" s="325"/>
      <c r="I1229" s="327">
        <v>2</v>
      </c>
      <c r="J1229" s="361" t="s">
        <v>901</v>
      </c>
      <c r="K1229" s="327" t="s">
        <v>516</v>
      </c>
      <c r="L1229" s="348">
        <v>0</v>
      </c>
      <c r="M1229" s="355"/>
      <c r="N1229" s="355" t="str">
        <f t="shared" si="62"/>
        <v>PR</v>
      </c>
      <c r="O1229" s="347"/>
      <c r="P1229" s="325"/>
      <c r="Q1229" s="351"/>
      <c r="R1229" s="351"/>
      <c r="S1229" s="618"/>
      <c r="T1229" s="619"/>
      <c r="U1229" s="329">
        <f>IF($N1229=$N$4,IFERROR(INDEX(DanhMuc!$E$154:$E$165,MATCH(MID($B1229,4,2),DanhMuc!$B$154:$B$165,0)),""),"")</f>
        <v>5800</v>
      </c>
      <c r="V1229" s="325"/>
      <c r="W1229" s="352" t="str">
        <f>+IF(AND($A1229&lt;&gt;"",LEN($B1229)&gt;=8,COUNTIF($B$6:$B1229,$B1229)=1),$W$5,"")</f>
        <v/>
      </c>
      <c r="X1229" s="329" t="str">
        <f t="shared" si="151"/>
        <v>RH</v>
      </c>
      <c r="Y1229" s="1128" t="s">
        <v>3380</v>
      </c>
      <c r="Z1229" s="1128" t="s">
        <v>3381</v>
      </c>
      <c r="AA1229" s="1128" t="s">
        <v>3384</v>
      </c>
      <c r="AC1229" s="73"/>
    </row>
    <row r="1230" spans="1:29" s="20" customFormat="1">
      <c r="A1230" s="327" t="str">
        <f>IF(AND($B1230&lt;&gt;"",$C1230&lt;&gt;""),MAX($A$4:A1229)+1,"")</f>
        <v/>
      </c>
      <c r="B1230" s="361" t="s">
        <v>863</v>
      </c>
      <c r="C1230" s="364"/>
      <c r="D1230" s="327">
        <f>IF($B1230="","",COUNTIF($B$6:$B1230,$B1230))</f>
        <v>6</v>
      </c>
      <c r="E1230" s="361" t="s">
        <v>899</v>
      </c>
      <c r="F1230" s="362" t="s">
        <v>898</v>
      </c>
      <c r="G1230" s="361" t="s">
        <v>328</v>
      </c>
      <c r="H1230" s="325"/>
      <c r="I1230" s="327">
        <v>2</v>
      </c>
      <c r="J1230" s="361" t="s">
        <v>771</v>
      </c>
      <c r="K1230" s="327" t="s">
        <v>516</v>
      </c>
      <c r="L1230" s="348">
        <v>0</v>
      </c>
      <c r="M1230" s="355"/>
      <c r="N1230" s="355" t="str">
        <f t="shared" si="62"/>
        <v>PR</v>
      </c>
      <c r="O1230" s="347"/>
      <c r="P1230" s="325"/>
      <c r="Q1230" s="351"/>
      <c r="R1230" s="351"/>
      <c r="S1230" s="618"/>
      <c r="T1230" s="619"/>
      <c r="U1230" s="329">
        <f>IF($N1230=$N$4,IFERROR(INDEX(DanhMuc!$E$154:$E$165,MATCH(MID($B1230,4,2),DanhMuc!$B$154:$B$165,0)),""),"")</f>
        <v>5800</v>
      </c>
      <c r="V1230" s="325"/>
      <c r="W1230" s="352" t="str">
        <f>+IF(AND($A1230&lt;&gt;"",LEN($B1230)&gt;=8,COUNTIF($B$6:$B1230,$B1230)=1),$W$5,"")</f>
        <v/>
      </c>
      <c r="X1230" s="329" t="str">
        <f t="shared" si="151"/>
        <v>RH</v>
      </c>
      <c r="Y1230" s="1128" t="s">
        <v>3380</v>
      </c>
      <c r="Z1230" s="1128" t="s">
        <v>3381</v>
      </c>
      <c r="AA1230" s="1128" t="s">
        <v>3384</v>
      </c>
      <c r="AC1230" s="73"/>
    </row>
    <row r="1231" spans="1:29" s="20" customFormat="1">
      <c r="A1231" s="327" t="str">
        <f>IF(AND($B1231&lt;&gt;"",$C1231&lt;&gt;""),MAX($A$4:A1230)+1,"")</f>
        <v/>
      </c>
      <c r="B1231" s="361" t="s">
        <v>863</v>
      </c>
      <c r="C1231" s="364"/>
      <c r="D1231" s="327">
        <f>IF($B1231="","",COUNTIF($B$6:$B1231,$B1231))</f>
        <v>7</v>
      </c>
      <c r="E1231" s="361">
        <v>221876</v>
      </c>
      <c r="F1231" s="362" t="s">
        <v>1449</v>
      </c>
      <c r="G1231" s="361" t="s">
        <v>329</v>
      </c>
      <c r="H1231" s="328" t="s">
        <v>536</v>
      </c>
      <c r="I1231" s="327">
        <v>2</v>
      </c>
      <c r="J1231" s="361" t="s">
        <v>1211</v>
      </c>
      <c r="K1231" s="327" t="s">
        <v>531</v>
      </c>
      <c r="L1231" s="348">
        <f t="shared" ref="L1231:L1234" si="155">+$K$1038*$T1231*$S1231</f>
        <v>276000</v>
      </c>
      <c r="M1231" s="355"/>
      <c r="N1231" s="355" t="str">
        <f t="shared" ref="N1231:N1309" si="156">+$N$4</f>
        <v>PR</v>
      </c>
      <c r="O1231" s="345"/>
      <c r="P1231" s="325"/>
      <c r="Q1231" s="351"/>
      <c r="R1231" s="351"/>
      <c r="S1231" s="618">
        <v>6</v>
      </c>
      <c r="T1231" s="619">
        <f>9.2/S1231</f>
        <v>1.5333333333333332</v>
      </c>
      <c r="U1231" s="329">
        <f>IF($N1231=$N$4,IFERROR(INDEX(DanhMuc!$E$154:$E$165,MATCH(MID($B1231,4,2),DanhMuc!$B$154:$B$165,0)),""),"")</f>
        <v>5800</v>
      </c>
      <c r="V1231" s="325"/>
      <c r="W1231" s="352" t="str">
        <f>+IF(AND($A1231&lt;&gt;"",LEN($B1231)&gt;=8,COUNTIF($B$6:$B1231,$B1231)=1),$W$5,"")</f>
        <v/>
      </c>
      <c r="X1231" s="329" t="str">
        <f t="shared" si="151"/>
        <v>TRH</v>
      </c>
      <c r="Y1231" s="1128" t="s">
        <v>3380</v>
      </c>
      <c r="Z1231" s="1128" t="s">
        <v>3381</v>
      </c>
      <c r="AA1231" s="1128" t="s">
        <v>3384</v>
      </c>
      <c r="AC1231" s="73"/>
    </row>
    <row r="1232" spans="1:29" s="20" customFormat="1">
      <c r="A1232" s="327" t="str">
        <f>IF(AND($B1232&lt;&gt;"",$C1232&lt;&gt;""),MAX($A$4:A1231)+1,"")</f>
        <v/>
      </c>
      <c r="B1232" s="361" t="s">
        <v>863</v>
      </c>
      <c r="C1232" s="364"/>
      <c r="D1232" s="327">
        <f>IF($B1232="","",COUNTIF($B$6:$B1232,$B1232))</f>
        <v>8</v>
      </c>
      <c r="E1232" s="361">
        <v>221876</v>
      </c>
      <c r="F1232" s="362" t="s">
        <v>1449</v>
      </c>
      <c r="G1232" s="361" t="s">
        <v>328</v>
      </c>
      <c r="H1232" s="328" t="s">
        <v>536</v>
      </c>
      <c r="I1232" s="327">
        <v>2</v>
      </c>
      <c r="J1232" s="361" t="s">
        <v>1212</v>
      </c>
      <c r="K1232" s="327" t="s">
        <v>531</v>
      </c>
      <c r="L1232" s="348">
        <f t="shared" si="155"/>
        <v>276000</v>
      </c>
      <c r="M1232" s="355"/>
      <c r="N1232" s="355" t="str">
        <f t="shared" si="156"/>
        <v>PR</v>
      </c>
      <c r="O1232" s="345"/>
      <c r="P1232" s="325"/>
      <c r="Q1232" s="351"/>
      <c r="R1232" s="351"/>
      <c r="S1232" s="618">
        <v>6</v>
      </c>
      <c r="T1232" s="619">
        <f>9.2/S1232</f>
        <v>1.5333333333333332</v>
      </c>
      <c r="U1232" s="329">
        <f>IF($N1232=$N$4,IFERROR(INDEX(DanhMuc!$E$154:$E$165,MATCH(MID($B1232,4,2),DanhMuc!$B$154:$B$165,0)),""),"")</f>
        <v>5800</v>
      </c>
      <c r="V1232" s="325"/>
      <c r="W1232" s="352" t="str">
        <f>+IF(AND($A1232&lt;&gt;"",LEN($B1232)&gt;=8,COUNTIF($B$6:$B1232,$B1232)=1),$W$5,"")</f>
        <v/>
      </c>
      <c r="X1232" s="329" t="str">
        <f t="shared" si="151"/>
        <v>TRH</v>
      </c>
      <c r="Y1232" s="1128" t="s">
        <v>3380</v>
      </c>
      <c r="Z1232" s="1128" t="s">
        <v>3381</v>
      </c>
      <c r="AA1232" s="1128" t="s">
        <v>3384</v>
      </c>
      <c r="AC1232" s="73"/>
    </row>
    <row r="1233" spans="1:29" s="20" customFormat="1">
      <c r="A1233" s="327" t="str">
        <f>IF(AND($B1233&lt;&gt;"",$C1233&lt;&gt;""),MAX($A$4:A1232)+1,"")</f>
        <v/>
      </c>
      <c r="B1233" s="361" t="s">
        <v>863</v>
      </c>
      <c r="C1233" s="364"/>
      <c r="D1233" s="327">
        <f>IF($B1233="","",COUNTIF($B$6:$B1233,$B1233))</f>
        <v>9</v>
      </c>
      <c r="E1233" s="361">
        <v>221873</v>
      </c>
      <c r="F1233" s="362" t="s">
        <v>770</v>
      </c>
      <c r="G1233" s="361" t="s">
        <v>329</v>
      </c>
      <c r="H1233" s="328" t="s">
        <v>536</v>
      </c>
      <c r="I1233" s="327">
        <v>2</v>
      </c>
      <c r="J1233" s="361" t="s">
        <v>1303</v>
      </c>
      <c r="K1233" s="327" t="s">
        <v>531</v>
      </c>
      <c r="L1233" s="348">
        <f t="shared" si="155"/>
        <v>222000</v>
      </c>
      <c r="M1233" s="355"/>
      <c r="N1233" s="355" t="str">
        <f t="shared" si="156"/>
        <v>PR</v>
      </c>
      <c r="O1233" s="345"/>
      <c r="P1233" s="325"/>
      <c r="Q1233" s="351"/>
      <c r="R1233" s="351"/>
      <c r="S1233" s="618">
        <v>6</v>
      </c>
      <c r="T1233" s="619">
        <f>7.4/S1233</f>
        <v>1.2333333333333334</v>
      </c>
      <c r="U1233" s="329">
        <f>IF($N1233=$N$4,IFERROR(INDEX(DanhMuc!$E$154:$E$165,MATCH(MID($B1233,4,2),DanhMuc!$B$154:$B$165,0)),""),"")</f>
        <v>5800</v>
      </c>
      <c r="V1233" s="325"/>
      <c r="W1233" s="352" t="str">
        <f>+IF(AND($A1233&lt;&gt;"",LEN($B1233)&gt;=8,COUNTIF($B$6:$B1233,$B1233)=1),$W$5,"")</f>
        <v/>
      </c>
      <c r="X1233" s="329" t="str">
        <f t="shared" si="151"/>
        <v>TRH</v>
      </c>
      <c r="Y1233" s="1128" t="s">
        <v>3380</v>
      </c>
      <c r="Z1233" s="1128" t="s">
        <v>3381</v>
      </c>
      <c r="AA1233" s="1128" t="s">
        <v>3384</v>
      </c>
      <c r="AC1233" s="73"/>
    </row>
    <row r="1234" spans="1:29" s="20" customFormat="1">
      <c r="A1234" s="327" t="str">
        <f>IF(AND($B1234&lt;&gt;"",$C1234&lt;&gt;""),MAX($A$4:A1233)+1,"")</f>
        <v/>
      </c>
      <c r="B1234" s="361" t="s">
        <v>863</v>
      </c>
      <c r="C1234" s="364"/>
      <c r="D1234" s="327">
        <f>IF($B1234="","",COUNTIF($B$6:$B1234,$B1234))</f>
        <v>10</v>
      </c>
      <c r="E1234" s="361">
        <v>221873</v>
      </c>
      <c r="F1234" s="362" t="s">
        <v>770</v>
      </c>
      <c r="G1234" s="361" t="s">
        <v>328</v>
      </c>
      <c r="H1234" s="328" t="s">
        <v>536</v>
      </c>
      <c r="I1234" s="327">
        <v>2</v>
      </c>
      <c r="J1234" s="361" t="s">
        <v>1214</v>
      </c>
      <c r="K1234" s="327" t="s">
        <v>531</v>
      </c>
      <c r="L1234" s="348">
        <f t="shared" si="155"/>
        <v>222000</v>
      </c>
      <c r="M1234" s="355"/>
      <c r="N1234" s="355" t="str">
        <f t="shared" si="156"/>
        <v>PR</v>
      </c>
      <c r="O1234" s="345"/>
      <c r="P1234" s="325"/>
      <c r="Q1234" s="351"/>
      <c r="R1234" s="351"/>
      <c r="S1234" s="618">
        <v>6</v>
      </c>
      <c r="T1234" s="619">
        <f>7.4/S1234</f>
        <v>1.2333333333333334</v>
      </c>
      <c r="U1234" s="329">
        <f>IF($N1234=$N$4,IFERROR(INDEX(DanhMuc!$E$154:$E$165,MATCH(MID($B1234,4,2),DanhMuc!$B$154:$B$165,0)),""),"")</f>
        <v>5800</v>
      </c>
      <c r="V1234" s="325"/>
      <c r="W1234" s="352" t="str">
        <f>+IF(AND($A1234&lt;&gt;"",LEN($B1234)&gt;=8,COUNTIF($B$6:$B1234,$B1234)=1),$W$5,"")</f>
        <v/>
      </c>
      <c r="X1234" s="329" t="str">
        <f t="shared" si="151"/>
        <v>TRH</v>
      </c>
      <c r="Y1234" s="1128" t="s">
        <v>3380</v>
      </c>
      <c r="Z1234" s="1128" t="s">
        <v>3381</v>
      </c>
      <c r="AA1234" s="1128" t="s">
        <v>3384</v>
      </c>
      <c r="AC1234" s="73"/>
    </row>
    <row r="1235" spans="1:29" s="20" customFormat="1" ht="26">
      <c r="A1235" s="327">
        <f>IF(AND($B1235&lt;&gt;"",$C1235&lt;&gt;""),MAX($A$4:A1234)+1,"")</f>
        <v>90</v>
      </c>
      <c r="B1235" s="359" t="s">
        <v>906</v>
      </c>
      <c r="C1235" s="370" t="s">
        <v>1585</v>
      </c>
      <c r="D1235" s="327">
        <f>IF($B1235="","",COUNTIF($B$6:$B1235,$B1235))</f>
        <v>1</v>
      </c>
      <c r="E1235" s="363">
        <v>500113</v>
      </c>
      <c r="F1235" s="362" t="s">
        <v>618</v>
      </c>
      <c r="G1235" s="361" t="s">
        <v>329</v>
      </c>
      <c r="H1235" s="325"/>
      <c r="I1235" s="327">
        <v>2</v>
      </c>
      <c r="J1235" s="361" t="s">
        <v>762</v>
      </c>
      <c r="K1235" s="327" t="s">
        <v>516</v>
      </c>
      <c r="L1235" s="348">
        <v>414904</v>
      </c>
      <c r="M1235" s="355"/>
      <c r="N1235" s="355" t="str">
        <f t="shared" si="156"/>
        <v>PR</v>
      </c>
      <c r="O1235" s="345"/>
      <c r="P1235" s="325"/>
      <c r="Q1235" s="351"/>
      <c r="R1235" s="351"/>
      <c r="S1235" s="618">
        <v>5.8</v>
      </c>
      <c r="T1235" s="619">
        <v>6.3220000000000001</v>
      </c>
      <c r="U1235" s="329">
        <f>IF($N1235=$N$4,IFERROR(INDEX(DanhMuc!$E$154:$E$165,MATCH(MID($B1235,4,2),DanhMuc!$B$154:$B$165,0)),""),"")</f>
        <v>5800</v>
      </c>
      <c r="V1235" s="325"/>
      <c r="W1235" s="352" t="str">
        <f>+IF(AND($A1235&lt;&gt;"",LEN($B1235)&gt;=8,COUNTIF($B$6:$B1235,$B1235)=1),$W$5,"")</f>
        <v>DMCua</v>
      </c>
      <c r="X1235" s="329" t="str">
        <f t="shared" si="151"/>
        <v>RH</v>
      </c>
      <c r="Y1235" s="1128" t="s">
        <v>3380</v>
      </c>
      <c r="Z1235" s="1128" t="s">
        <v>3381</v>
      </c>
      <c r="AA1235" s="1128" t="s">
        <v>3384</v>
      </c>
      <c r="AC1235" s="73"/>
    </row>
    <row r="1236" spans="1:29" s="20" customFormat="1">
      <c r="A1236" s="327" t="str">
        <f>IF(AND($B1236&lt;&gt;"",$C1236&lt;&gt;""),MAX($A$4:A1235)+1,"")</f>
        <v/>
      </c>
      <c r="B1236" s="361" t="s">
        <v>906</v>
      </c>
      <c r="C1236" s="364"/>
      <c r="D1236" s="327">
        <f>IF($B1236="","",COUNTIF($B$6:$B1236,$B1236))</f>
        <v>2</v>
      </c>
      <c r="E1236" s="363">
        <v>500113</v>
      </c>
      <c r="F1236" s="362" t="s">
        <v>618</v>
      </c>
      <c r="G1236" s="361" t="s">
        <v>328</v>
      </c>
      <c r="H1236" s="325"/>
      <c r="I1236" s="327">
        <v>2</v>
      </c>
      <c r="J1236" s="361" t="s">
        <v>763</v>
      </c>
      <c r="K1236" s="327" t="s">
        <v>516</v>
      </c>
      <c r="L1236" s="348">
        <v>414904</v>
      </c>
      <c r="M1236" s="355"/>
      <c r="N1236" s="355" t="str">
        <f t="shared" si="156"/>
        <v>PR</v>
      </c>
      <c r="O1236" s="347"/>
      <c r="P1236" s="325"/>
      <c r="Q1236" s="351"/>
      <c r="R1236" s="351"/>
      <c r="S1236" s="618">
        <v>5.8</v>
      </c>
      <c r="T1236" s="619">
        <v>6.3220000000000001</v>
      </c>
      <c r="U1236" s="329">
        <f>IF($N1236=$N$4,IFERROR(INDEX(DanhMuc!$E$154:$E$165,MATCH(MID($B1236,4,2),DanhMuc!$B$154:$B$165,0)),""),"")</f>
        <v>5800</v>
      </c>
      <c r="V1236" s="325"/>
      <c r="W1236" s="352" t="str">
        <f>+IF(AND($A1236&lt;&gt;"",LEN($B1236)&gt;=8,COUNTIF($B$6:$B1236,$B1236)=1),$W$5,"")</f>
        <v/>
      </c>
      <c r="X1236" s="329" t="str">
        <f t="shared" si="151"/>
        <v>RH</v>
      </c>
      <c r="Y1236" s="1128" t="s">
        <v>3380</v>
      </c>
      <c r="Z1236" s="1128" t="s">
        <v>3381</v>
      </c>
      <c r="AA1236" s="1128" t="s">
        <v>3384</v>
      </c>
      <c r="AC1236" s="73"/>
    </row>
    <row r="1237" spans="1:29" s="20" customFormat="1">
      <c r="A1237" s="327" t="str">
        <f>IF(AND($B1237&lt;&gt;"",$C1237&lt;&gt;""),MAX($A$4:A1236)+1,"")</f>
        <v/>
      </c>
      <c r="B1237" s="361" t="s">
        <v>906</v>
      </c>
      <c r="C1237" s="364"/>
      <c r="D1237" s="327">
        <f>IF($B1237="","",COUNTIF($B$6:$B1237,$B1237))</f>
        <v>3</v>
      </c>
      <c r="E1237" s="361">
        <v>500163</v>
      </c>
      <c r="F1237" s="362" t="s">
        <v>620</v>
      </c>
      <c r="G1237" s="361" t="s">
        <v>329</v>
      </c>
      <c r="H1237" s="325"/>
      <c r="I1237" s="327">
        <v>4</v>
      </c>
      <c r="J1237" s="361" t="s">
        <v>775</v>
      </c>
      <c r="K1237" s="327" t="s">
        <v>516</v>
      </c>
      <c r="L1237" s="348">
        <v>450275</v>
      </c>
      <c r="M1237" s="355"/>
      <c r="N1237" s="355" t="str">
        <f t="shared" si="156"/>
        <v>PR</v>
      </c>
      <c r="O1237" s="345"/>
      <c r="P1237" s="325"/>
      <c r="Q1237" s="351"/>
      <c r="R1237" s="351"/>
      <c r="S1237" s="618">
        <v>5.8</v>
      </c>
      <c r="T1237" s="619">
        <v>6.5133999999999999</v>
      </c>
      <c r="U1237" s="329">
        <f>IF($N1237=$N$4,IFERROR(INDEX(DanhMuc!$E$154:$E$165,MATCH(MID($B1237,4,2),DanhMuc!$B$154:$B$165,0)),""),"")</f>
        <v>5800</v>
      </c>
      <c r="V1237" s="325"/>
      <c r="W1237" s="352" t="str">
        <f>+IF(AND($A1237&lt;&gt;"",LEN($B1237)&gt;=8,COUNTIF($B$6:$B1237,$B1237)=1),$W$5,"")</f>
        <v/>
      </c>
      <c r="X1237" s="329" t="str">
        <f t="shared" si="151"/>
        <v>RH</v>
      </c>
      <c r="Y1237" s="1128" t="s">
        <v>3380</v>
      </c>
      <c r="Z1237" s="1128" t="s">
        <v>3381</v>
      </c>
      <c r="AA1237" s="1128" t="s">
        <v>3384</v>
      </c>
      <c r="AC1237" s="73"/>
    </row>
    <row r="1238" spans="1:29" s="20" customFormat="1">
      <c r="A1238" s="327" t="str">
        <f>IF(AND($B1238&lt;&gt;"",$C1238&lt;&gt;""),MAX($A$4:A1237)+1,"")</f>
        <v/>
      </c>
      <c r="B1238" s="361" t="s">
        <v>906</v>
      </c>
      <c r="C1238" s="364"/>
      <c r="D1238" s="327">
        <f>IF($B1238="","",COUNTIF($B$6:$B1238,$B1238))</f>
        <v>4</v>
      </c>
      <c r="E1238" s="361">
        <v>500163</v>
      </c>
      <c r="F1238" s="362" t="s">
        <v>620</v>
      </c>
      <c r="G1238" s="361" t="s">
        <v>328</v>
      </c>
      <c r="H1238" s="325"/>
      <c r="I1238" s="327">
        <v>4</v>
      </c>
      <c r="J1238" s="361" t="s">
        <v>765</v>
      </c>
      <c r="K1238" s="327" t="s">
        <v>516</v>
      </c>
      <c r="L1238" s="348">
        <v>450275</v>
      </c>
      <c r="M1238" s="355"/>
      <c r="N1238" s="355" t="str">
        <f t="shared" si="156"/>
        <v>PR</v>
      </c>
      <c r="O1238" s="345"/>
      <c r="P1238" s="325"/>
      <c r="Q1238" s="351"/>
      <c r="R1238" s="351"/>
      <c r="S1238" s="618">
        <v>5.8</v>
      </c>
      <c r="T1238" s="619">
        <v>6.5133999999999999</v>
      </c>
      <c r="U1238" s="329">
        <f>IF($N1238=$N$4,IFERROR(INDEX(DanhMuc!$E$154:$E$165,MATCH(MID($B1238,4,2),DanhMuc!$B$154:$B$165,0)),""),"")</f>
        <v>5800</v>
      </c>
      <c r="V1238" s="325"/>
      <c r="W1238" s="352" t="str">
        <f>+IF(AND($A1238&lt;&gt;"",LEN($B1238)&gt;=8,COUNTIF($B$6:$B1238,$B1238)=1),$W$5,"")</f>
        <v/>
      </c>
      <c r="X1238" s="329" t="str">
        <f t="shared" si="151"/>
        <v>RH</v>
      </c>
      <c r="Y1238" s="1128" t="s">
        <v>3380</v>
      </c>
      <c r="Z1238" s="1128" t="s">
        <v>3381</v>
      </c>
      <c r="AA1238" s="1128" t="s">
        <v>3384</v>
      </c>
      <c r="AC1238" s="73"/>
    </row>
    <row r="1239" spans="1:29" s="20" customFormat="1">
      <c r="A1239" s="327" t="str">
        <f>IF(AND($B1239&lt;&gt;"",$C1239&lt;&gt;""),MAX($A$4:A1238)+1,"")</f>
        <v/>
      </c>
      <c r="B1239" s="361" t="s">
        <v>906</v>
      </c>
      <c r="C1239" s="364"/>
      <c r="D1239" s="327">
        <f>IF($B1239="","",COUNTIF($B$6:$B1239,$B1239))</f>
        <v>5</v>
      </c>
      <c r="E1239" s="361">
        <v>554230</v>
      </c>
      <c r="F1239" s="362" t="s">
        <v>761</v>
      </c>
      <c r="G1239" s="361" t="s">
        <v>328</v>
      </c>
      <c r="H1239" s="325"/>
      <c r="I1239" s="327">
        <v>1</v>
      </c>
      <c r="J1239" s="361" t="s">
        <v>1279</v>
      </c>
      <c r="K1239" s="327" t="s">
        <v>531</v>
      </c>
      <c r="L1239" s="348">
        <v>793373</v>
      </c>
      <c r="M1239" s="355"/>
      <c r="N1239" s="355" t="str">
        <f t="shared" si="156"/>
        <v>PR</v>
      </c>
      <c r="O1239" s="345"/>
      <c r="P1239" s="325"/>
      <c r="Q1239" s="351"/>
      <c r="R1239" s="351"/>
      <c r="S1239" s="618">
        <v>6</v>
      </c>
      <c r="T1239" s="619">
        <v>5.484</v>
      </c>
      <c r="U1239" s="329">
        <f>IF($N1239=$N$4,IFERROR(INDEX(DanhMuc!$E$154:$E$165,MATCH(MID($B1239,4,2),DanhMuc!$B$154:$B$165,0)),""),"")</f>
        <v>5800</v>
      </c>
      <c r="V1239" s="325"/>
      <c r="W1239" s="352" t="str">
        <f>+IF(AND($A1239&lt;&gt;"",LEN($B1239)&gt;=8,COUNTIF($B$6:$B1239,$B1239)=1),$W$5,"")</f>
        <v/>
      </c>
      <c r="X1239" s="329" t="str">
        <f t="shared" si="151"/>
        <v>RH</v>
      </c>
      <c r="Y1239" s="1128" t="s">
        <v>3380</v>
      </c>
      <c r="Z1239" s="1128" t="s">
        <v>3381</v>
      </c>
      <c r="AA1239" s="1128" t="s">
        <v>3384</v>
      </c>
      <c r="AC1239" s="73"/>
    </row>
    <row r="1240" spans="1:29" s="20" customFormat="1">
      <c r="A1240" s="327" t="str">
        <f>IF(AND($B1240&lt;&gt;"",$C1240&lt;&gt;""),MAX($A$4:A1239)+1,"")</f>
        <v/>
      </c>
      <c r="B1240" s="361" t="s">
        <v>906</v>
      </c>
      <c r="C1240" s="364"/>
      <c r="D1240" s="327">
        <f>IF($B1240="","",COUNTIF($B$6:$B1240,$B1240))</f>
        <v>6</v>
      </c>
      <c r="E1240" s="361" t="s">
        <v>899</v>
      </c>
      <c r="F1240" s="362" t="s">
        <v>898</v>
      </c>
      <c r="G1240" s="361" t="s">
        <v>329</v>
      </c>
      <c r="H1240" s="325"/>
      <c r="I1240" s="327">
        <v>4</v>
      </c>
      <c r="J1240" s="361" t="s">
        <v>778</v>
      </c>
      <c r="K1240" s="327" t="s">
        <v>516</v>
      </c>
      <c r="L1240" s="348">
        <v>0</v>
      </c>
      <c r="M1240" s="355"/>
      <c r="N1240" s="355" t="str">
        <f t="shared" si="156"/>
        <v>PR</v>
      </c>
      <c r="O1240" s="347"/>
      <c r="P1240" s="325"/>
      <c r="Q1240" s="351"/>
      <c r="R1240" s="351"/>
      <c r="S1240" s="618"/>
      <c r="T1240" s="619"/>
      <c r="U1240" s="329">
        <f>IF($N1240=$N$4,IFERROR(INDEX(DanhMuc!$E$154:$E$165,MATCH(MID($B1240,4,2),DanhMuc!$B$154:$B$165,0)),""),"")</f>
        <v>5800</v>
      </c>
      <c r="V1240" s="325"/>
      <c r="W1240" s="352" t="str">
        <f>+IF(AND($A1240&lt;&gt;"",LEN($B1240)&gt;=8,COUNTIF($B$6:$B1240,$B1240)=1),$W$5,"")</f>
        <v/>
      </c>
      <c r="X1240" s="329" t="str">
        <f t="shared" si="151"/>
        <v>RH</v>
      </c>
      <c r="Y1240" s="1128" t="s">
        <v>3380</v>
      </c>
      <c r="Z1240" s="1128" t="s">
        <v>3381</v>
      </c>
      <c r="AA1240" s="1128" t="s">
        <v>3384</v>
      </c>
      <c r="AC1240" s="73"/>
    </row>
    <row r="1241" spans="1:29" s="20" customFormat="1">
      <c r="A1241" s="327" t="str">
        <f>IF(AND($B1241&lt;&gt;"",$C1241&lt;&gt;""),MAX($A$4:A1240)+1,"")</f>
        <v/>
      </c>
      <c r="B1241" s="361" t="s">
        <v>906</v>
      </c>
      <c r="C1241" s="364"/>
      <c r="D1241" s="327">
        <f>IF($B1241="","",COUNTIF($B$6:$B1241,$B1241))</f>
        <v>7</v>
      </c>
      <c r="E1241" s="361" t="s">
        <v>899</v>
      </c>
      <c r="F1241" s="362" t="s">
        <v>898</v>
      </c>
      <c r="G1241" s="361" t="s">
        <v>328</v>
      </c>
      <c r="H1241" s="325"/>
      <c r="I1241" s="327">
        <v>4</v>
      </c>
      <c r="J1241" s="361" t="s">
        <v>771</v>
      </c>
      <c r="K1241" s="327" t="s">
        <v>516</v>
      </c>
      <c r="L1241" s="348">
        <v>0</v>
      </c>
      <c r="M1241" s="355"/>
      <c r="N1241" s="355" t="str">
        <f t="shared" si="156"/>
        <v>PR</v>
      </c>
      <c r="O1241" s="347"/>
      <c r="P1241" s="325"/>
      <c r="Q1241" s="351"/>
      <c r="R1241" s="351"/>
      <c r="S1241" s="618"/>
      <c r="T1241" s="619"/>
      <c r="U1241" s="329">
        <f>IF($N1241=$N$4,IFERROR(INDEX(DanhMuc!$E$154:$E$165,MATCH(MID($B1241,4,2),DanhMuc!$B$154:$B$165,0)),""),"")</f>
        <v>5800</v>
      </c>
      <c r="V1241" s="325"/>
      <c r="W1241" s="352" t="str">
        <f>+IF(AND($A1241&lt;&gt;"",LEN($B1241)&gt;=8,COUNTIF($B$6:$B1241,$B1241)=1),$W$5,"")</f>
        <v/>
      </c>
      <c r="X1241" s="329" t="str">
        <f t="shared" si="151"/>
        <v>RH</v>
      </c>
      <c r="Y1241" s="1128" t="s">
        <v>3380</v>
      </c>
      <c r="Z1241" s="1128" t="s">
        <v>3381</v>
      </c>
      <c r="AA1241" s="1128" t="s">
        <v>3384</v>
      </c>
      <c r="AC1241" s="73"/>
    </row>
    <row r="1242" spans="1:29" s="20" customFormat="1">
      <c r="A1242" s="327" t="str">
        <f>IF(AND($B1242&lt;&gt;"",$C1242&lt;&gt;""),MAX($A$4:A1241)+1,"")</f>
        <v/>
      </c>
      <c r="B1242" s="361" t="s">
        <v>906</v>
      </c>
      <c r="C1242" s="364"/>
      <c r="D1242" s="327">
        <f>IF($B1242="","",COUNTIF($B$6:$B1242,$B1242))</f>
        <v>8</v>
      </c>
      <c r="E1242" s="361">
        <v>221876</v>
      </c>
      <c r="F1242" s="362" t="s">
        <v>1449</v>
      </c>
      <c r="G1242" s="361" t="s">
        <v>329</v>
      </c>
      <c r="H1242" s="328" t="s">
        <v>536</v>
      </c>
      <c r="I1242" s="327">
        <v>2</v>
      </c>
      <c r="J1242" s="361" t="s">
        <v>1211</v>
      </c>
      <c r="K1242" s="327" t="s">
        <v>531</v>
      </c>
      <c r="L1242" s="348">
        <f t="shared" ref="L1242:L1245" si="157">+$K$1038*$T1242*$S1242</f>
        <v>276000</v>
      </c>
      <c r="M1242" s="355"/>
      <c r="N1242" s="355" t="str">
        <f t="shared" si="156"/>
        <v>PR</v>
      </c>
      <c r="O1242" s="345"/>
      <c r="P1242" s="325"/>
      <c r="Q1242" s="351"/>
      <c r="R1242" s="351"/>
      <c r="S1242" s="618">
        <v>6</v>
      </c>
      <c r="T1242" s="619">
        <f t="shared" ref="T1242:T1243" si="158">9.2/S1242</f>
        <v>1.5333333333333332</v>
      </c>
      <c r="U1242" s="329">
        <f>IF($N1242=$N$4,IFERROR(INDEX(DanhMuc!$E$154:$E$165,MATCH(MID($B1242,4,2),DanhMuc!$B$154:$B$165,0)),""),"")</f>
        <v>5800</v>
      </c>
      <c r="V1242" s="325"/>
      <c r="W1242" s="352" t="str">
        <f>+IF(AND($A1242&lt;&gt;"",LEN($B1242)&gt;=8,COUNTIF($B$6:$B1242,$B1242)=1),$W$5,"")</f>
        <v/>
      </c>
      <c r="X1242" s="329" t="str">
        <f t="shared" si="151"/>
        <v>TRH</v>
      </c>
      <c r="Y1242" s="1128" t="s">
        <v>3380</v>
      </c>
      <c r="Z1242" s="1128" t="s">
        <v>3381</v>
      </c>
      <c r="AA1242" s="1128" t="s">
        <v>3384</v>
      </c>
      <c r="AC1242" s="73"/>
    </row>
    <row r="1243" spans="1:29" s="20" customFormat="1">
      <c r="A1243" s="327" t="str">
        <f>IF(AND($B1243&lt;&gt;"",$C1243&lt;&gt;""),MAX($A$4:A1242)+1,"")</f>
        <v/>
      </c>
      <c r="B1243" s="361" t="s">
        <v>906</v>
      </c>
      <c r="C1243" s="364"/>
      <c r="D1243" s="327">
        <f>IF($B1243="","",COUNTIF($B$6:$B1243,$B1243))</f>
        <v>9</v>
      </c>
      <c r="E1243" s="361">
        <v>221876</v>
      </c>
      <c r="F1243" s="362" t="s">
        <v>1449</v>
      </c>
      <c r="G1243" s="361" t="s">
        <v>328</v>
      </c>
      <c r="H1243" s="328" t="s">
        <v>536</v>
      </c>
      <c r="I1243" s="327">
        <v>2</v>
      </c>
      <c r="J1243" s="361" t="s">
        <v>1212</v>
      </c>
      <c r="K1243" s="327" t="s">
        <v>531</v>
      </c>
      <c r="L1243" s="348">
        <f t="shared" si="157"/>
        <v>276000</v>
      </c>
      <c r="M1243" s="355"/>
      <c r="N1243" s="355" t="str">
        <f t="shared" si="156"/>
        <v>PR</v>
      </c>
      <c r="O1243" s="345"/>
      <c r="P1243" s="325"/>
      <c r="Q1243" s="351"/>
      <c r="R1243" s="351"/>
      <c r="S1243" s="618">
        <v>6</v>
      </c>
      <c r="T1243" s="619">
        <f t="shared" si="158"/>
        <v>1.5333333333333332</v>
      </c>
      <c r="U1243" s="329">
        <f>IF($N1243=$N$4,IFERROR(INDEX(DanhMuc!$E$154:$E$165,MATCH(MID($B1243,4,2),DanhMuc!$B$154:$B$165,0)),""),"")</f>
        <v>5800</v>
      </c>
      <c r="V1243" s="325"/>
      <c r="W1243" s="352" t="str">
        <f>+IF(AND($A1243&lt;&gt;"",LEN($B1243)&gt;=8,COUNTIF($B$6:$B1243,$B1243)=1),$W$5,"")</f>
        <v/>
      </c>
      <c r="X1243" s="329" t="str">
        <f t="shared" si="151"/>
        <v>TRH</v>
      </c>
      <c r="Y1243" s="1128" t="s">
        <v>3380</v>
      </c>
      <c r="Z1243" s="1128" t="s">
        <v>3381</v>
      </c>
      <c r="AA1243" s="1128" t="s">
        <v>3384</v>
      </c>
      <c r="AC1243" s="73"/>
    </row>
    <row r="1244" spans="1:29" s="20" customFormat="1">
      <c r="A1244" s="327" t="str">
        <f>IF(AND($B1244&lt;&gt;"",$C1244&lt;&gt;""),MAX($A$4:A1243)+1,"")</f>
        <v/>
      </c>
      <c r="B1244" s="361" t="s">
        <v>906</v>
      </c>
      <c r="C1244" s="364"/>
      <c r="D1244" s="327">
        <f>IF($B1244="","",COUNTIF($B$6:$B1244,$B1244))</f>
        <v>10</v>
      </c>
      <c r="E1244" s="361">
        <v>221873</v>
      </c>
      <c r="F1244" s="362" t="s">
        <v>770</v>
      </c>
      <c r="G1244" s="361" t="s">
        <v>329</v>
      </c>
      <c r="H1244" s="328" t="s">
        <v>536</v>
      </c>
      <c r="I1244" s="327">
        <v>4</v>
      </c>
      <c r="J1244" s="361" t="s">
        <v>1215</v>
      </c>
      <c r="K1244" s="327" t="s">
        <v>531</v>
      </c>
      <c r="L1244" s="348">
        <f t="shared" si="157"/>
        <v>222000</v>
      </c>
      <c r="M1244" s="355"/>
      <c r="N1244" s="355" t="str">
        <f t="shared" si="156"/>
        <v>PR</v>
      </c>
      <c r="O1244" s="345"/>
      <c r="P1244" s="325"/>
      <c r="Q1244" s="351"/>
      <c r="R1244" s="351"/>
      <c r="S1244" s="618">
        <v>6</v>
      </c>
      <c r="T1244" s="619">
        <f t="shared" ref="T1244:T1245" si="159">7.4/S1244</f>
        <v>1.2333333333333334</v>
      </c>
      <c r="U1244" s="329">
        <f>IF($N1244=$N$4,IFERROR(INDEX(DanhMuc!$E$154:$E$165,MATCH(MID($B1244,4,2),DanhMuc!$B$154:$B$165,0)),""),"")</f>
        <v>5800</v>
      </c>
      <c r="V1244" s="325"/>
      <c r="W1244" s="352" t="str">
        <f>+IF(AND($A1244&lt;&gt;"",LEN($B1244)&gt;=8,COUNTIF($B$6:$B1244,$B1244)=1),$W$5,"")</f>
        <v/>
      </c>
      <c r="X1244" s="329" t="str">
        <f t="shared" si="151"/>
        <v>TRH</v>
      </c>
      <c r="Y1244" s="1128" t="s">
        <v>3380</v>
      </c>
      <c r="Z1244" s="1128" t="s">
        <v>3381</v>
      </c>
      <c r="AA1244" s="1128" t="s">
        <v>3384</v>
      </c>
      <c r="AC1244" s="73"/>
    </row>
    <row r="1245" spans="1:29" s="20" customFormat="1">
      <c r="A1245" s="327" t="str">
        <f>IF(AND($B1245&lt;&gt;"",$C1245&lt;&gt;""),MAX($A$4:A1244)+1,"")</f>
        <v/>
      </c>
      <c r="B1245" s="361" t="s">
        <v>906</v>
      </c>
      <c r="C1245" s="364"/>
      <c r="D1245" s="327">
        <f>IF($B1245="","",COUNTIF($B$6:$B1245,$B1245))</f>
        <v>11</v>
      </c>
      <c r="E1245" s="361">
        <v>221873</v>
      </c>
      <c r="F1245" s="362" t="s">
        <v>770</v>
      </c>
      <c r="G1245" s="361" t="s">
        <v>328</v>
      </c>
      <c r="H1245" s="328" t="s">
        <v>536</v>
      </c>
      <c r="I1245" s="327">
        <v>4</v>
      </c>
      <c r="J1245" s="361" t="s">
        <v>1214</v>
      </c>
      <c r="K1245" s="327" t="s">
        <v>531</v>
      </c>
      <c r="L1245" s="348">
        <f t="shared" si="157"/>
        <v>222000</v>
      </c>
      <c r="M1245" s="355"/>
      <c r="N1245" s="355" t="str">
        <f t="shared" si="156"/>
        <v>PR</v>
      </c>
      <c r="O1245" s="345"/>
      <c r="P1245" s="325"/>
      <c r="Q1245" s="351"/>
      <c r="R1245" s="351"/>
      <c r="S1245" s="618">
        <v>6</v>
      </c>
      <c r="T1245" s="619">
        <f t="shared" si="159"/>
        <v>1.2333333333333334</v>
      </c>
      <c r="U1245" s="329">
        <f>IF($N1245=$N$4,IFERROR(INDEX(DanhMuc!$E$154:$E$165,MATCH(MID($B1245,4,2),DanhMuc!$B$154:$B$165,0)),""),"")</f>
        <v>5800</v>
      </c>
      <c r="V1245" s="325"/>
      <c r="W1245" s="352" t="str">
        <f>+IF(AND($A1245&lt;&gt;"",LEN($B1245)&gt;=8,COUNTIF($B$6:$B1245,$B1245)=1),$W$5,"")</f>
        <v/>
      </c>
      <c r="X1245" s="329" t="str">
        <f t="shared" si="151"/>
        <v>TRH</v>
      </c>
      <c r="Y1245" s="1128" t="s">
        <v>3380</v>
      </c>
      <c r="Z1245" s="1128" t="s">
        <v>3381</v>
      </c>
      <c r="AA1245" s="1128" t="s">
        <v>3384</v>
      </c>
      <c r="AC1245" s="73"/>
    </row>
    <row r="1246" spans="1:29" s="20" customFormat="1" ht="26">
      <c r="A1246" s="327">
        <f>IF(AND($B1246&lt;&gt;"",$C1246&lt;&gt;""),MAX($A$4:A1245)+1,"")</f>
        <v>91</v>
      </c>
      <c r="B1246" s="359" t="s">
        <v>907</v>
      </c>
      <c r="C1246" s="370" t="s">
        <v>1586</v>
      </c>
      <c r="D1246" s="327">
        <f>IF($B1246="","",COUNTIF($B$6:$B1246,$B1246))</f>
        <v>1</v>
      </c>
      <c r="E1246" s="363">
        <v>500113</v>
      </c>
      <c r="F1246" s="362" t="s">
        <v>618</v>
      </c>
      <c r="G1246" s="361" t="s">
        <v>329</v>
      </c>
      <c r="H1246" s="325"/>
      <c r="I1246" s="327">
        <v>2</v>
      </c>
      <c r="J1246" s="361" t="s">
        <v>762</v>
      </c>
      <c r="K1246" s="327" t="s">
        <v>516</v>
      </c>
      <c r="L1246" s="348">
        <v>414904</v>
      </c>
      <c r="M1246" s="355"/>
      <c r="N1246" s="355" t="str">
        <f t="shared" si="156"/>
        <v>PR</v>
      </c>
      <c r="O1246" s="345"/>
      <c r="P1246" s="325"/>
      <c r="Q1246" s="351"/>
      <c r="R1246" s="351"/>
      <c r="S1246" s="618">
        <v>5.8</v>
      </c>
      <c r="T1246" s="619">
        <v>6.3220000000000001</v>
      </c>
      <c r="U1246" s="329">
        <f>IF($N1246=$N$4,IFERROR(INDEX(DanhMuc!$E$154:$E$165,MATCH(MID($B1246,4,2),DanhMuc!$B$154:$B$165,0)),""),"")</f>
        <v>5800</v>
      </c>
      <c r="V1246" s="325"/>
      <c r="W1246" s="352" t="str">
        <f>+IF(AND($A1246&lt;&gt;"",LEN($B1246)&gt;=8,COUNTIF($B$6:$B1246,$B1246)=1),$W$5,"")</f>
        <v>DMCua</v>
      </c>
      <c r="X1246" s="329" t="str">
        <f t="shared" si="151"/>
        <v>RH</v>
      </c>
      <c r="Y1246" s="1128" t="s">
        <v>3380</v>
      </c>
      <c r="Z1246" s="1128" t="s">
        <v>3381</v>
      </c>
      <c r="AA1246" s="1128" t="s">
        <v>3384</v>
      </c>
      <c r="AC1246" s="73"/>
    </row>
    <row r="1247" spans="1:29" s="20" customFormat="1">
      <c r="A1247" s="327" t="str">
        <f>IF(AND($B1247&lt;&gt;"",$C1247&lt;&gt;""),MAX($A$4:A1246)+1,"")</f>
        <v/>
      </c>
      <c r="B1247" s="361" t="s">
        <v>907</v>
      </c>
      <c r="C1247" s="364"/>
      <c r="D1247" s="327">
        <f>IF($B1247="","",COUNTIF($B$6:$B1247,$B1247))</f>
        <v>2</v>
      </c>
      <c r="E1247" s="363">
        <v>500113</v>
      </c>
      <c r="F1247" s="362" t="s">
        <v>618</v>
      </c>
      <c r="G1247" s="361" t="s">
        <v>328</v>
      </c>
      <c r="H1247" s="325"/>
      <c r="I1247" s="327">
        <v>2</v>
      </c>
      <c r="J1247" s="361" t="s">
        <v>763</v>
      </c>
      <c r="K1247" s="327" t="s">
        <v>516</v>
      </c>
      <c r="L1247" s="348">
        <v>414904</v>
      </c>
      <c r="M1247" s="355"/>
      <c r="N1247" s="355" t="str">
        <f t="shared" si="156"/>
        <v>PR</v>
      </c>
      <c r="O1247" s="347"/>
      <c r="P1247" s="325"/>
      <c r="Q1247" s="351"/>
      <c r="R1247" s="351"/>
      <c r="S1247" s="618">
        <v>5.8</v>
      </c>
      <c r="T1247" s="619">
        <v>6.3220000000000001</v>
      </c>
      <c r="U1247" s="329">
        <f>IF($N1247=$N$4,IFERROR(INDEX(DanhMuc!$E$154:$E$165,MATCH(MID($B1247,4,2),DanhMuc!$B$154:$B$165,0)),""),"")</f>
        <v>5800</v>
      </c>
      <c r="V1247" s="325"/>
      <c r="W1247" s="352" t="str">
        <f>+IF(AND($A1247&lt;&gt;"",LEN($B1247)&gt;=8,COUNTIF($B$6:$B1247,$B1247)=1),$W$5,"")</f>
        <v/>
      </c>
      <c r="X1247" s="329" t="str">
        <f t="shared" si="151"/>
        <v>RH</v>
      </c>
      <c r="Y1247" s="1128" t="s">
        <v>3380</v>
      </c>
      <c r="Z1247" s="1128" t="s">
        <v>3381</v>
      </c>
      <c r="AA1247" s="1128" t="s">
        <v>3384</v>
      </c>
      <c r="AC1247" s="73"/>
    </row>
    <row r="1248" spans="1:29" s="20" customFormat="1">
      <c r="A1248" s="327" t="str">
        <f>IF(AND($B1248&lt;&gt;"",$C1248&lt;&gt;""),MAX($A$4:A1247)+1,"")</f>
        <v/>
      </c>
      <c r="B1248" s="361" t="s">
        <v>907</v>
      </c>
      <c r="C1248" s="364"/>
      <c r="D1248" s="327">
        <f>IF($B1248="","",COUNTIF($B$6:$B1248,$B1248))</f>
        <v>3</v>
      </c>
      <c r="E1248" s="361">
        <v>500163</v>
      </c>
      <c r="F1248" s="362" t="s">
        <v>620</v>
      </c>
      <c r="G1248" s="361" t="s">
        <v>329</v>
      </c>
      <c r="H1248" s="325"/>
      <c r="I1248" s="327">
        <v>6</v>
      </c>
      <c r="J1248" s="361" t="s">
        <v>908</v>
      </c>
      <c r="K1248" s="327" t="s">
        <v>516</v>
      </c>
      <c r="L1248" s="348">
        <v>450275</v>
      </c>
      <c r="M1248" s="355"/>
      <c r="N1248" s="355" t="str">
        <f t="shared" si="156"/>
        <v>PR</v>
      </c>
      <c r="O1248" s="345"/>
      <c r="P1248" s="325"/>
      <c r="Q1248" s="351"/>
      <c r="R1248" s="351"/>
      <c r="S1248" s="618">
        <v>5.8</v>
      </c>
      <c r="T1248" s="619">
        <v>6.5133999999999999</v>
      </c>
      <c r="U1248" s="329">
        <f>IF($N1248=$N$4,IFERROR(INDEX(DanhMuc!$E$154:$E$165,MATCH(MID($B1248,4,2),DanhMuc!$B$154:$B$165,0)),""),"")</f>
        <v>5800</v>
      </c>
      <c r="V1248" s="325"/>
      <c r="W1248" s="352" t="str">
        <f>+IF(AND($A1248&lt;&gt;"",LEN($B1248)&gt;=8,COUNTIF($B$6:$B1248,$B1248)=1),$W$5,"")</f>
        <v/>
      </c>
      <c r="X1248" s="329" t="str">
        <f t="shared" si="151"/>
        <v>RH</v>
      </c>
      <c r="Y1248" s="1128" t="s">
        <v>3380</v>
      </c>
      <c r="Z1248" s="1128" t="s">
        <v>3381</v>
      </c>
      <c r="AA1248" s="1128" t="s">
        <v>3384</v>
      </c>
      <c r="AC1248" s="73"/>
    </row>
    <row r="1249" spans="1:29" s="20" customFormat="1">
      <c r="A1249" s="327" t="str">
        <f>IF(AND($B1249&lt;&gt;"",$C1249&lt;&gt;""),MAX($A$4:A1248)+1,"")</f>
        <v/>
      </c>
      <c r="B1249" s="361" t="s">
        <v>907</v>
      </c>
      <c r="C1249" s="364"/>
      <c r="D1249" s="327">
        <f>IF($B1249="","",COUNTIF($B$6:$B1249,$B1249))</f>
        <v>4</v>
      </c>
      <c r="E1249" s="361">
        <v>500163</v>
      </c>
      <c r="F1249" s="362" t="s">
        <v>620</v>
      </c>
      <c r="G1249" s="361" t="s">
        <v>328</v>
      </c>
      <c r="H1249" s="325"/>
      <c r="I1249" s="327">
        <v>6</v>
      </c>
      <c r="J1249" s="361" t="s">
        <v>765</v>
      </c>
      <c r="K1249" s="327" t="s">
        <v>516</v>
      </c>
      <c r="L1249" s="348">
        <v>450275</v>
      </c>
      <c r="M1249" s="355"/>
      <c r="N1249" s="355" t="str">
        <f t="shared" si="156"/>
        <v>PR</v>
      </c>
      <c r="O1249" s="345"/>
      <c r="P1249" s="325"/>
      <c r="Q1249" s="351"/>
      <c r="R1249" s="351"/>
      <c r="S1249" s="618">
        <v>5.8</v>
      </c>
      <c r="T1249" s="619">
        <v>6.5133999999999999</v>
      </c>
      <c r="U1249" s="329">
        <f>IF($N1249=$N$4,IFERROR(INDEX(DanhMuc!$E$154:$E$165,MATCH(MID($B1249,4,2),DanhMuc!$B$154:$B$165,0)),""),"")</f>
        <v>5800</v>
      </c>
      <c r="V1249" s="325"/>
      <c r="W1249" s="352" t="str">
        <f>+IF(AND($A1249&lt;&gt;"",LEN($B1249)&gt;=8,COUNTIF($B$6:$B1249,$B1249)=1),$W$5,"")</f>
        <v/>
      </c>
      <c r="X1249" s="329" t="str">
        <f t="shared" si="151"/>
        <v>RH</v>
      </c>
      <c r="Y1249" s="1128" t="s">
        <v>3380</v>
      </c>
      <c r="Z1249" s="1128" t="s">
        <v>3381</v>
      </c>
      <c r="AA1249" s="1128" t="s">
        <v>3384</v>
      </c>
      <c r="AC1249" s="73"/>
    </row>
    <row r="1250" spans="1:29" s="20" customFormat="1">
      <c r="A1250" s="327" t="str">
        <f>IF(AND($B1250&lt;&gt;"",$C1250&lt;&gt;""),MAX($A$4:A1249)+1,"")</f>
        <v/>
      </c>
      <c r="B1250" s="361" t="s">
        <v>907</v>
      </c>
      <c r="C1250" s="364"/>
      <c r="D1250" s="327">
        <f>IF($B1250="","",COUNTIF($B$6:$B1250,$B1250))</f>
        <v>5</v>
      </c>
      <c r="E1250" s="361">
        <v>500213</v>
      </c>
      <c r="F1250" s="362" t="s">
        <v>1429</v>
      </c>
      <c r="G1250" s="361" t="s">
        <v>328</v>
      </c>
      <c r="H1250" s="325"/>
      <c r="I1250" s="327">
        <v>1</v>
      </c>
      <c r="J1250" s="361" t="s">
        <v>768</v>
      </c>
      <c r="K1250" s="327" t="s">
        <v>531</v>
      </c>
      <c r="L1250" s="348">
        <v>492383</v>
      </c>
      <c r="M1250" s="355"/>
      <c r="N1250" s="355" t="str">
        <f t="shared" si="156"/>
        <v>PR</v>
      </c>
      <c r="O1250" s="345"/>
      <c r="P1250" s="325"/>
      <c r="Q1250" s="351"/>
      <c r="R1250" s="351"/>
      <c r="S1250" s="351">
        <v>5.8</v>
      </c>
      <c r="T1250" s="351">
        <v>7.25</v>
      </c>
      <c r="U1250" s="329">
        <f>IF($N1250=$N$4,IFERROR(INDEX(DanhMuc!$E$154:$E$165,MATCH(MID($B1250,4,2),DanhMuc!$B$154:$B$165,0)),""),"")</f>
        <v>5800</v>
      </c>
      <c r="V1250" s="325"/>
      <c r="W1250" s="352" t="str">
        <f>+IF(AND($A1250&lt;&gt;"",LEN($B1250)&gt;=8,COUNTIF($B$6:$B1250,$B1250)=1),$W$5,"")</f>
        <v/>
      </c>
      <c r="X1250" s="329" t="str">
        <f t="shared" si="151"/>
        <v>RH</v>
      </c>
      <c r="Y1250" s="1128" t="s">
        <v>3380</v>
      </c>
      <c r="Z1250" s="1128" t="s">
        <v>3381</v>
      </c>
      <c r="AA1250" s="1128" t="s">
        <v>3384</v>
      </c>
      <c r="AC1250" s="73"/>
    </row>
    <row r="1251" spans="1:29" s="20" customFormat="1">
      <c r="A1251" s="327" t="str">
        <f>IF(AND($B1251&lt;&gt;"",$C1251&lt;&gt;""),MAX($A$4:A1250)+1,"")</f>
        <v/>
      </c>
      <c r="B1251" s="361" t="s">
        <v>907</v>
      </c>
      <c r="C1251" s="364"/>
      <c r="D1251" s="327">
        <f>IF($B1251="","",COUNTIF($B$6:$B1251,$B1251))</f>
        <v>6</v>
      </c>
      <c r="E1251" s="361">
        <v>554230</v>
      </c>
      <c r="F1251" s="362" t="s">
        <v>761</v>
      </c>
      <c r="G1251" s="361" t="s">
        <v>328</v>
      </c>
      <c r="H1251" s="325"/>
      <c r="I1251" s="327">
        <v>1</v>
      </c>
      <c r="J1251" s="361" t="s">
        <v>1279</v>
      </c>
      <c r="K1251" s="327" t="s">
        <v>531</v>
      </c>
      <c r="L1251" s="348">
        <v>793373</v>
      </c>
      <c r="M1251" s="355"/>
      <c r="N1251" s="355" t="str">
        <f t="shared" si="156"/>
        <v>PR</v>
      </c>
      <c r="O1251" s="345"/>
      <c r="P1251" s="325"/>
      <c r="Q1251" s="351"/>
      <c r="R1251" s="351"/>
      <c r="S1251" s="618">
        <v>6</v>
      </c>
      <c r="T1251" s="619">
        <v>5.484</v>
      </c>
      <c r="U1251" s="329">
        <f>IF($N1251=$N$4,IFERROR(INDEX(DanhMuc!$E$154:$E$165,MATCH(MID($B1251,4,2),DanhMuc!$B$154:$B$165,0)),""),"")</f>
        <v>5800</v>
      </c>
      <c r="V1251" s="325"/>
      <c r="W1251" s="352" t="str">
        <f>+IF(AND($A1251&lt;&gt;"",LEN($B1251)&gt;=8,COUNTIF($B$6:$B1251,$B1251)=1),$W$5,"")</f>
        <v/>
      </c>
      <c r="X1251" s="329" t="str">
        <f t="shared" si="151"/>
        <v>RH</v>
      </c>
      <c r="Y1251" s="1128" t="s">
        <v>3380</v>
      </c>
      <c r="Z1251" s="1128" t="s">
        <v>3381</v>
      </c>
      <c r="AA1251" s="1128" t="s">
        <v>3384</v>
      </c>
      <c r="AC1251" s="73"/>
    </row>
    <row r="1252" spans="1:29" s="20" customFormat="1">
      <c r="A1252" s="327" t="str">
        <f>IF(AND($B1252&lt;&gt;"",$C1252&lt;&gt;""),MAX($A$4:A1251)+1,"")</f>
        <v/>
      </c>
      <c r="B1252" s="361" t="s">
        <v>907</v>
      </c>
      <c r="C1252" s="364"/>
      <c r="D1252" s="327">
        <f>IF($B1252="","",COUNTIF($B$6:$B1252,$B1252))</f>
        <v>7</v>
      </c>
      <c r="E1252" s="361" t="s">
        <v>899</v>
      </c>
      <c r="F1252" s="362" t="s">
        <v>898</v>
      </c>
      <c r="G1252" s="361" t="s">
        <v>329</v>
      </c>
      <c r="H1252" s="325"/>
      <c r="I1252" s="327">
        <v>6</v>
      </c>
      <c r="J1252" s="361" t="s">
        <v>909</v>
      </c>
      <c r="K1252" s="327" t="s">
        <v>516</v>
      </c>
      <c r="L1252" s="348">
        <v>0</v>
      </c>
      <c r="M1252" s="355"/>
      <c r="N1252" s="355" t="str">
        <f t="shared" si="156"/>
        <v>PR</v>
      </c>
      <c r="O1252" s="347"/>
      <c r="P1252" s="325"/>
      <c r="Q1252" s="351"/>
      <c r="R1252" s="351"/>
      <c r="S1252" s="618"/>
      <c r="T1252" s="619"/>
      <c r="U1252" s="329">
        <f>IF($N1252=$N$4,IFERROR(INDEX(DanhMuc!$E$154:$E$165,MATCH(MID($B1252,4,2),DanhMuc!$B$154:$B$165,0)),""),"")</f>
        <v>5800</v>
      </c>
      <c r="V1252" s="325"/>
      <c r="W1252" s="352" t="str">
        <f>+IF(AND($A1252&lt;&gt;"",LEN($B1252)&gt;=8,COUNTIF($B$6:$B1252,$B1252)=1),$W$5,"")</f>
        <v/>
      </c>
      <c r="X1252" s="329" t="str">
        <f t="shared" si="151"/>
        <v>RH</v>
      </c>
      <c r="Y1252" s="1128" t="s">
        <v>3380</v>
      </c>
      <c r="Z1252" s="1128" t="s">
        <v>3381</v>
      </c>
      <c r="AA1252" s="1128" t="s">
        <v>3384</v>
      </c>
      <c r="AC1252" s="73"/>
    </row>
    <row r="1253" spans="1:29" s="20" customFormat="1">
      <c r="A1253" s="327" t="str">
        <f>IF(AND($B1253&lt;&gt;"",$C1253&lt;&gt;""),MAX($A$4:A1252)+1,"")</f>
        <v/>
      </c>
      <c r="B1253" s="361" t="s">
        <v>907</v>
      </c>
      <c r="C1253" s="364"/>
      <c r="D1253" s="327">
        <f>IF($B1253="","",COUNTIF($B$6:$B1253,$B1253))</f>
        <v>8</v>
      </c>
      <c r="E1253" s="361" t="s">
        <v>899</v>
      </c>
      <c r="F1253" s="362" t="s">
        <v>898</v>
      </c>
      <c r="G1253" s="361" t="s">
        <v>328</v>
      </c>
      <c r="H1253" s="325"/>
      <c r="I1253" s="327">
        <v>6</v>
      </c>
      <c r="J1253" s="361" t="s">
        <v>771</v>
      </c>
      <c r="K1253" s="327" t="s">
        <v>516</v>
      </c>
      <c r="L1253" s="348">
        <v>0</v>
      </c>
      <c r="M1253" s="355"/>
      <c r="N1253" s="355" t="str">
        <f t="shared" si="156"/>
        <v>PR</v>
      </c>
      <c r="O1253" s="347"/>
      <c r="P1253" s="325"/>
      <c r="Q1253" s="351"/>
      <c r="R1253" s="351"/>
      <c r="S1253" s="618"/>
      <c r="T1253" s="619"/>
      <c r="U1253" s="329">
        <f>IF($N1253=$N$4,IFERROR(INDEX(DanhMuc!$E$154:$E$165,MATCH(MID($B1253,4,2),DanhMuc!$B$154:$B$165,0)),""),"")</f>
        <v>5800</v>
      </c>
      <c r="V1253" s="325"/>
      <c r="W1253" s="352" t="str">
        <f>+IF(AND($A1253&lt;&gt;"",LEN($B1253)&gt;=8,COUNTIF($B$6:$B1253,$B1253)=1),$W$5,"")</f>
        <v/>
      </c>
      <c r="X1253" s="329" t="str">
        <f t="shared" si="151"/>
        <v>RH</v>
      </c>
      <c r="Y1253" s="1128" t="s">
        <v>3380</v>
      </c>
      <c r="Z1253" s="1128" t="s">
        <v>3381</v>
      </c>
      <c r="AA1253" s="1128" t="s">
        <v>3384</v>
      </c>
      <c r="AC1253" s="73"/>
    </row>
    <row r="1254" spans="1:29" s="20" customFormat="1">
      <c r="A1254" s="327" t="str">
        <f>IF(AND($B1254&lt;&gt;"",$C1254&lt;&gt;""),MAX($A$4:A1253)+1,"")</f>
        <v/>
      </c>
      <c r="B1254" s="361" t="s">
        <v>907</v>
      </c>
      <c r="C1254" s="364"/>
      <c r="D1254" s="327">
        <f>IF($B1254="","",COUNTIF($B$6:$B1254,$B1254))</f>
        <v>9</v>
      </c>
      <c r="E1254" s="361">
        <v>221876</v>
      </c>
      <c r="F1254" s="362" t="s">
        <v>1449</v>
      </c>
      <c r="G1254" s="361" t="s">
        <v>329</v>
      </c>
      <c r="H1254" s="328" t="s">
        <v>536</v>
      </c>
      <c r="I1254" s="327">
        <v>2</v>
      </c>
      <c r="J1254" s="361" t="s">
        <v>1211</v>
      </c>
      <c r="K1254" s="327" t="s">
        <v>531</v>
      </c>
      <c r="L1254" s="348">
        <f t="shared" ref="L1254:L1258" si="160">+$K$1038*$T1254*$S1254</f>
        <v>276000</v>
      </c>
      <c r="M1254" s="355"/>
      <c r="N1254" s="355" t="str">
        <f t="shared" si="156"/>
        <v>PR</v>
      </c>
      <c r="O1254" s="345"/>
      <c r="P1254" s="325"/>
      <c r="Q1254" s="351"/>
      <c r="R1254" s="351"/>
      <c r="S1254" s="618">
        <v>6</v>
      </c>
      <c r="T1254" s="619">
        <f t="shared" ref="T1254:T1255" si="161">9.2/S1254</f>
        <v>1.5333333333333332</v>
      </c>
      <c r="U1254" s="329">
        <f>IF($N1254=$N$4,IFERROR(INDEX(DanhMuc!$E$154:$E$165,MATCH(MID($B1254,4,2),DanhMuc!$B$154:$B$165,0)),""),"")</f>
        <v>5800</v>
      </c>
      <c r="V1254" s="325"/>
      <c r="W1254" s="352" t="str">
        <f>+IF(AND($A1254&lt;&gt;"",LEN($B1254)&gt;=8,COUNTIF($B$6:$B1254,$B1254)=1),$W$5,"")</f>
        <v/>
      </c>
      <c r="X1254" s="329" t="str">
        <f t="shared" si="151"/>
        <v>TRH</v>
      </c>
      <c r="Y1254" s="1128" t="s">
        <v>3380</v>
      </c>
      <c r="Z1254" s="1128" t="s">
        <v>3381</v>
      </c>
      <c r="AA1254" s="1128" t="s">
        <v>3384</v>
      </c>
      <c r="AC1254" s="73"/>
    </row>
    <row r="1255" spans="1:29" s="20" customFormat="1">
      <c r="A1255" s="327" t="str">
        <f>IF(AND($B1255&lt;&gt;"",$C1255&lt;&gt;""),MAX($A$4:A1254)+1,"")</f>
        <v/>
      </c>
      <c r="B1255" s="361" t="s">
        <v>907</v>
      </c>
      <c r="C1255" s="364"/>
      <c r="D1255" s="327">
        <f>IF($B1255="","",COUNTIF($B$6:$B1255,$B1255))</f>
        <v>10</v>
      </c>
      <c r="E1255" s="361">
        <v>221876</v>
      </c>
      <c r="F1255" s="362" t="s">
        <v>1449</v>
      </c>
      <c r="G1255" s="361" t="s">
        <v>328</v>
      </c>
      <c r="H1255" s="328" t="s">
        <v>536</v>
      </c>
      <c r="I1255" s="327">
        <v>2</v>
      </c>
      <c r="J1255" s="361" t="s">
        <v>1212</v>
      </c>
      <c r="K1255" s="327" t="s">
        <v>531</v>
      </c>
      <c r="L1255" s="348">
        <f t="shared" si="160"/>
        <v>276000</v>
      </c>
      <c r="M1255" s="355"/>
      <c r="N1255" s="355" t="str">
        <f t="shared" si="156"/>
        <v>PR</v>
      </c>
      <c r="O1255" s="345"/>
      <c r="P1255" s="325"/>
      <c r="Q1255" s="351"/>
      <c r="R1255" s="351"/>
      <c r="S1255" s="618">
        <v>6</v>
      </c>
      <c r="T1255" s="619">
        <f t="shared" si="161"/>
        <v>1.5333333333333332</v>
      </c>
      <c r="U1255" s="329">
        <f>IF($N1255=$N$4,IFERROR(INDEX(DanhMuc!$E$154:$E$165,MATCH(MID($B1255,4,2),DanhMuc!$B$154:$B$165,0)),""),"")</f>
        <v>5800</v>
      </c>
      <c r="V1255" s="325"/>
      <c r="W1255" s="352" t="str">
        <f>+IF(AND($A1255&lt;&gt;"",LEN($B1255)&gt;=8,COUNTIF($B$6:$B1255,$B1255)=1),$W$5,"")</f>
        <v/>
      </c>
      <c r="X1255" s="329" t="str">
        <f t="shared" si="151"/>
        <v>TRH</v>
      </c>
      <c r="Y1255" s="1128" t="s">
        <v>3380</v>
      </c>
      <c r="Z1255" s="1128" t="s">
        <v>3381</v>
      </c>
      <c r="AA1255" s="1128" t="s">
        <v>3384</v>
      </c>
      <c r="AC1255" s="73"/>
    </row>
    <row r="1256" spans="1:29" s="20" customFormat="1">
      <c r="A1256" s="327" t="str">
        <f>IF(AND($B1256&lt;&gt;"",$C1256&lt;&gt;""),MAX($A$4:A1255)+1,"")</f>
        <v/>
      </c>
      <c r="B1256" s="361" t="s">
        <v>907</v>
      </c>
      <c r="C1256" s="364"/>
      <c r="D1256" s="327">
        <f>IF($B1256="","",COUNTIF($B$6:$B1256,$B1256))</f>
        <v>11</v>
      </c>
      <c r="E1256" s="361">
        <v>221873</v>
      </c>
      <c r="F1256" s="362" t="s">
        <v>770</v>
      </c>
      <c r="G1256" s="361" t="s">
        <v>329</v>
      </c>
      <c r="H1256" s="328" t="s">
        <v>536</v>
      </c>
      <c r="I1256" s="327">
        <v>6</v>
      </c>
      <c r="J1256" s="361" t="s">
        <v>1304</v>
      </c>
      <c r="K1256" s="327" t="s">
        <v>531</v>
      </c>
      <c r="L1256" s="348">
        <f t="shared" si="160"/>
        <v>222000</v>
      </c>
      <c r="M1256" s="355"/>
      <c r="N1256" s="355" t="str">
        <f t="shared" si="156"/>
        <v>PR</v>
      </c>
      <c r="O1256" s="345"/>
      <c r="P1256" s="325"/>
      <c r="Q1256" s="351"/>
      <c r="R1256" s="351"/>
      <c r="S1256" s="618">
        <v>6</v>
      </c>
      <c r="T1256" s="619">
        <f t="shared" ref="T1256:T1257" si="162">7.4/S1256</f>
        <v>1.2333333333333334</v>
      </c>
      <c r="U1256" s="329">
        <f>IF($N1256=$N$4,IFERROR(INDEX(DanhMuc!$E$154:$E$165,MATCH(MID($B1256,4,2),DanhMuc!$B$154:$B$165,0)),""),"")</f>
        <v>5800</v>
      </c>
      <c r="V1256" s="325"/>
      <c r="W1256" s="352" t="str">
        <f>+IF(AND($A1256&lt;&gt;"",LEN($B1256)&gt;=8,COUNTIF($B$6:$B1256,$B1256)=1),$W$5,"")</f>
        <v/>
      </c>
      <c r="X1256" s="329" t="str">
        <f t="shared" si="151"/>
        <v>TRH</v>
      </c>
      <c r="Y1256" s="1128" t="s">
        <v>3380</v>
      </c>
      <c r="Z1256" s="1128" t="s">
        <v>3381</v>
      </c>
      <c r="AA1256" s="1128" t="s">
        <v>3384</v>
      </c>
      <c r="AC1256" s="73"/>
    </row>
    <row r="1257" spans="1:29" s="20" customFormat="1">
      <c r="A1257" s="327" t="str">
        <f>IF(AND($B1257&lt;&gt;"",$C1257&lt;&gt;""),MAX($A$4:A1256)+1,"")</f>
        <v/>
      </c>
      <c r="B1257" s="361" t="s">
        <v>907</v>
      </c>
      <c r="C1257" s="364"/>
      <c r="D1257" s="327">
        <f>IF($B1257="","",COUNTIF($B$6:$B1257,$B1257))</f>
        <v>12</v>
      </c>
      <c r="E1257" s="361">
        <v>221873</v>
      </c>
      <c r="F1257" s="362" t="s">
        <v>770</v>
      </c>
      <c r="G1257" s="361" t="s">
        <v>328</v>
      </c>
      <c r="H1257" s="328" t="s">
        <v>536</v>
      </c>
      <c r="I1257" s="327">
        <v>6</v>
      </c>
      <c r="J1257" s="361" t="s">
        <v>1214</v>
      </c>
      <c r="K1257" s="327" t="s">
        <v>531</v>
      </c>
      <c r="L1257" s="348">
        <f t="shared" si="160"/>
        <v>222000</v>
      </c>
      <c r="M1257" s="355"/>
      <c r="N1257" s="355" t="str">
        <f t="shared" si="156"/>
        <v>PR</v>
      </c>
      <c r="O1257" s="345"/>
      <c r="P1257" s="325"/>
      <c r="Q1257" s="351"/>
      <c r="R1257" s="351"/>
      <c r="S1257" s="618">
        <v>6</v>
      </c>
      <c r="T1257" s="619">
        <f t="shared" si="162"/>
        <v>1.2333333333333334</v>
      </c>
      <c r="U1257" s="329">
        <f>IF($N1257=$N$4,IFERROR(INDEX(DanhMuc!$E$154:$E$165,MATCH(MID($B1257,4,2),DanhMuc!$B$154:$B$165,0)),""),"")</f>
        <v>5800</v>
      </c>
      <c r="V1257" s="325"/>
      <c r="W1257" s="352" t="str">
        <f>+IF(AND($A1257&lt;&gt;"",LEN($B1257)&gt;=8,COUNTIF($B$6:$B1257,$B1257)=1),$W$5,"")</f>
        <v/>
      </c>
      <c r="X1257" s="329" t="str">
        <f t="shared" si="151"/>
        <v>TRH</v>
      </c>
      <c r="Y1257" s="1128" t="s">
        <v>3380</v>
      </c>
      <c r="Z1257" s="1128" t="s">
        <v>3381</v>
      </c>
      <c r="AA1257" s="1128" t="s">
        <v>3384</v>
      </c>
      <c r="AC1257" s="73"/>
    </row>
    <row r="1258" spans="1:29" s="20" customFormat="1" ht="25">
      <c r="A1258" s="327" t="str">
        <f>IF(AND($B1258&lt;&gt;"",$C1258&lt;&gt;""),MAX($A$4:A1257)+1,"")</f>
        <v/>
      </c>
      <c r="B1258" s="361" t="s">
        <v>907</v>
      </c>
      <c r="C1258" s="364"/>
      <c r="D1258" s="327">
        <f>IF($B1258="","",COUNTIF($B$6:$B1258,$B1258))</f>
        <v>13</v>
      </c>
      <c r="E1258" s="361">
        <v>221877</v>
      </c>
      <c r="F1258" s="362" t="s">
        <v>1459</v>
      </c>
      <c r="G1258" s="361" t="s">
        <v>328</v>
      </c>
      <c r="H1258" s="328" t="s">
        <v>536</v>
      </c>
      <c r="I1258" s="327">
        <v>1</v>
      </c>
      <c r="J1258" s="361" t="s">
        <v>768</v>
      </c>
      <c r="K1258" s="327" t="s">
        <v>531</v>
      </c>
      <c r="L1258" s="348">
        <f t="shared" si="160"/>
        <v>315000</v>
      </c>
      <c r="M1258" s="355"/>
      <c r="N1258" s="355" t="str">
        <f t="shared" si="156"/>
        <v>PR</v>
      </c>
      <c r="O1258" s="345"/>
      <c r="P1258" s="325"/>
      <c r="Q1258" s="351"/>
      <c r="R1258" s="351"/>
      <c r="S1258" s="618">
        <v>6</v>
      </c>
      <c r="T1258" s="619">
        <f>10.5/S1258</f>
        <v>1.75</v>
      </c>
      <c r="U1258" s="329">
        <f>IF($N1258=$N$4,IFERROR(INDEX(DanhMuc!$E$154:$E$165,MATCH(MID($B1258,4,2),DanhMuc!$B$154:$B$165,0)),""),"")</f>
        <v>5800</v>
      </c>
      <c r="V1258" s="325"/>
      <c r="W1258" s="352" t="str">
        <f>+IF(AND($A1258&lt;&gt;"",LEN($B1258)&gt;=8,COUNTIF($B$6:$B1258,$B1258)=1),$W$5,"")</f>
        <v/>
      </c>
      <c r="X1258" s="329" t="str">
        <f t="shared" si="151"/>
        <v>TRH</v>
      </c>
      <c r="Y1258" s="1128" t="s">
        <v>3380</v>
      </c>
      <c r="Z1258" s="1128" t="s">
        <v>3381</v>
      </c>
      <c r="AA1258" s="1128" t="s">
        <v>3384</v>
      </c>
      <c r="AC1258" s="73"/>
    </row>
    <row r="1259" spans="1:29" s="20" customFormat="1" ht="26">
      <c r="A1259" s="327">
        <f>IF(AND($B1259&lt;&gt;"",$C1259&lt;&gt;""),MAX($A$4:A1257)+1,"")</f>
        <v>92</v>
      </c>
      <c r="B1259" s="359" t="s">
        <v>910</v>
      </c>
      <c r="C1259" s="370" t="s">
        <v>1587</v>
      </c>
      <c r="D1259" s="327">
        <f>IF($B1259="","",COUNTIF($B$6:$B1259,$B1259))</f>
        <v>1</v>
      </c>
      <c r="E1259" s="363">
        <v>500113</v>
      </c>
      <c r="F1259" s="362" t="s">
        <v>618</v>
      </c>
      <c r="G1259" s="361" t="s">
        <v>329</v>
      </c>
      <c r="H1259" s="325"/>
      <c r="I1259" s="327">
        <v>2</v>
      </c>
      <c r="J1259" s="361" t="s">
        <v>762</v>
      </c>
      <c r="K1259" s="327" t="s">
        <v>516</v>
      </c>
      <c r="L1259" s="348">
        <v>414904</v>
      </c>
      <c r="M1259" s="355"/>
      <c r="N1259" s="355" t="str">
        <f t="shared" si="156"/>
        <v>PR</v>
      </c>
      <c r="O1259" s="345"/>
      <c r="P1259" s="325"/>
      <c r="Q1259" s="351"/>
      <c r="R1259" s="351"/>
      <c r="S1259" s="618">
        <v>5.8</v>
      </c>
      <c r="T1259" s="619">
        <v>6.3220000000000001</v>
      </c>
      <c r="U1259" s="329">
        <f>IF($N1259=$N$4,IFERROR(INDEX(DanhMuc!$E$154:$E$165,MATCH(MID($B1259,4,2),DanhMuc!$B$154:$B$165,0)),""),"")</f>
        <v>5800</v>
      </c>
      <c r="V1259" s="325"/>
      <c r="W1259" s="352" t="str">
        <f>+IF(AND($A1259&lt;&gt;"",LEN($B1259)&gt;=8,COUNTIF($B$6:$B1259,$B1259)=1),$W$5,"")</f>
        <v>DMCua</v>
      </c>
      <c r="X1259" s="329" t="str">
        <f t="shared" si="151"/>
        <v>RH</v>
      </c>
      <c r="Y1259" s="1128" t="s">
        <v>3380</v>
      </c>
      <c r="Z1259" s="1128" t="s">
        <v>3381</v>
      </c>
      <c r="AA1259" s="1128" t="s">
        <v>3384</v>
      </c>
      <c r="AC1259" s="73"/>
    </row>
    <row r="1260" spans="1:29" s="20" customFormat="1">
      <c r="A1260" s="327" t="str">
        <f>IF(AND($B1260&lt;&gt;"",$C1260&lt;&gt;""),MAX($A$4:A1259)+1,"")</f>
        <v/>
      </c>
      <c r="B1260" s="361" t="s">
        <v>910</v>
      </c>
      <c r="C1260" s="364"/>
      <c r="D1260" s="327">
        <f>IF($B1260="","",COUNTIF($B$6:$B1260,$B1260))</f>
        <v>2</v>
      </c>
      <c r="E1260" s="363">
        <v>500113</v>
      </c>
      <c r="F1260" s="362" t="s">
        <v>618</v>
      </c>
      <c r="G1260" s="361" t="s">
        <v>328</v>
      </c>
      <c r="H1260" s="325"/>
      <c r="I1260" s="327">
        <v>2</v>
      </c>
      <c r="J1260" s="361" t="s">
        <v>763</v>
      </c>
      <c r="K1260" s="327" t="s">
        <v>516</v>
      </c>
      <c r="L1260" s="348">
        <v>414904</v>
      </c>
      <c r="M1260" s="355"/>
      <c r="N1260" s="355" t="str">
        <f t="shared" si="156"/>
        <v>PR</v>
      </c>
      <c r="O1260" s="347"/>
      <c r="P1260" s="325"/>
      <c r="Q1260" s="351"/>
      <c r="R1260" s="351"/>
      <c r="S1260" s="618">
        <v>5.8</v>
      </c>
      <c r="T1260" s="619">
        <v>6.3220000000000001</v>
      </c>
      <c r="U1260" s="329">
        <f>IF($N1260=$N$4,IFERROR(INDEX(DanhMuc!$E$154:$E$165,MATCH(MID($B1260,4,2),DanhMuc!$B$154:$B$165,0)),""),"")</f>
        <v>5800</v>
      </c>
      <c r="V1260" s="325"/>
      <c r="W1260" s="352" t="str">
        <f>+IF(AND($A1260&lt;&gt;"",LEN($B1260)&gt;=8,COUNTIF($B$6:$B1260,$B1260)=1),$W$5,"")</f>
        <v/>
      </c>
      <c r="X1260" s="329" t="str">
        <f t="shared" si="151"/>
        <v>RH</v>
      </c>
      <c r="Y1260" s="1128" t="s">
        <v>3380</v>
      </c>
      <c r="Z1260" s="1128" t="s">
        <v>3381</v>
      </c>
      <c r="AA1260" s="1128" t="s">
        <v>3384</v>
      </c>
      <c r="AC1260" s="73"/>
    </row>
    <row r="1261" spans="1:29" s="20" customFormat="1">
      <c r="A1261" s="327" t="str">
        <f>IF(AND($B1261&lt;&gt;"",$C1261&lt;&gt;""),MAX($A$4:A1260)+1,"")</f>
        <v/>
      </c>
      <c r="B1261" s="361" t="s">
        <v>910</v>
      </c>
      <c r="C1261" s="364"/>
      <c r="D1261" s="327">
        <f>IF($B1261="","",COUNTIF($B$6:$B1261,$B1261))</f>
        <v>3</v>
      </c>
      <c r="E1261" s="361">
        <v>500163</v>
      </c>
      <c r="F1261" s="362" t="s">
        <v>620</v>
      </c>
      <c r="G1261" s="361" t="s">
        <v>329</v>
      </c>
      <c r="H1261" s="325"/>
      <c r="I1261" s="327">
        <v>8</v>
      </c>
      <c r="J1261" s="361" t="s">
        <v>913</v>
      </c>
      <c r="K1261" s="327" t="s">
        <v>516</v>
      </c>
      <c r="L1261" s="348">
        <v>450275</v>
      </c>
      <c r="M1261" s="355"/>
      <c r="N1261" s="355" t="str">
        <f t="shared" si="156"/>
        <v>PR</v>
      </c>
      <c r="O1261" s="345"/>
      <c r="P1261" s="325"/>
      <c r="Q1261" s="351"/>
      <c r="R1261" s="351"/>
      <c r="S1261" s="618">
        <v>5.8</v>
      </c>
      <c r="T1261" s="619">
        <v>6.5133999999999999</v>
      </c>
      <c r="U1261" s="329">
        <f>IF($N1261=$N$4,IFERROR(INDEX(DanhMuc!$E$154:$E$165,MATCH(MID($B1261,4,2),DanhMuc!$B$154:$B$165,0)),""),"")</f>
        <v>5800</v>
      </c>
      <c r="V1261" s="325"/>
      <c r="W1261" s="352" t="str">
        <f>+IF(AND($A1261&lt;&gt;"",LEN($B1261)&gt;=8,COUNTIF($B$6:$B1261,$B1261)=1),$W$5,"")</f>
        <v/>
      </c>
      <c r="X1261" s="329" t="str">
        <f t="shared" si="151"/>
        <v>RH</v>
      </c>
      <c r="Y1261" s="1128" t="s">
        <v>3380</v>
      </c>
      <c r="Z1261" s="1128" t="s">
        <v>3381</v>
      </c>
      <c r="AA1261" s="1128" t="s">
        <v>3384</v>
      </c>
      <c r="AC1261" s="73"/>
    </row>
    <row r="1262" spans="1:29" s="20" customFormat="1">
      <c r="A1262" s="327" t="str">
        <f>IF(AND($B1262&lt;&gt;"",$C1262&lt;&gt;""),MAX($A$4:A1261)+1,"")</f>
        <v/>
      </c>
      <c r="B1262" s="361" t="s">
        <v>910</v>
      </c>
      <c r="C1262" s="364"/>
      <c r="D1262" s="327">
        <f>IF($B1262="","",COUNTIF($B$6:$B1262,$B1262))</f>
        <v>4</v>
      </c>
      <c r="E1262" s="361">
        <v>500163</v>
      </c>
      <c r="F1262" s="362" t="s">
        <v>620</v>
      </c>
      <c r="G1262" s="361" t="s">
        <v>328</v>
      </c>
      <c r="H1262" s="325"/>
      <c r="I1262" s="327">
        <v>8</v>
      </c>
      <c r="J1262" s="361" t="s">
        <v>765</v>
      </c>
      <c r="K1262" s="327" t="s">
        <v>516</v>
      </c>
      <c r="L1262" s="348">
        <v>450275</v>
      </c>
      <c r="M1262" s="355"/>
      <c r="N1262" s="355" t="str">
        <f t="shared" si="156"/>
        <v>PR</v>
      </c>
      <c r="O1262" s="345"/>
      <c r="P1262" s="325"/>
      <c r="Q1262" s="351"/>
      <c r="R1262" s="351"/>
      <c r="S1262" s="618">
        <v>5.8</v>
      </c>
      <c r="T1262" s="619">
        <v>6.5133999999999999</v>
      </c>
      <c r="U1262" s="329">
        <f>IF($N1262=$N$4,IFERROR(INDEX(DanhMuc!$E$154:$E$165,MATCH(MID($B1262,4,2),DanhMuc!$B$154:$B$165,0)),""),"")</f>
        <v>5800</v>
      </c>
      <c r="V1262" s="325"/>
      <c r="W1262" s="352" t="str">
        <f>+IF(AND($A1262&lt;&gt;"",LEN($B1262)&gt;=8,COUNTIF($B$6:$B1262,$B1262)=1),$W$5,"")</f>
        <v/>
      </c>
      <c r="X1262" s="329" t="str">
        <f t="shared" si="151"/>
        <v>RH</v>
      </c>
      <c r="Y1262" s="1128" t="s">
        <v>3380</v>
      </c>
      <c r="Z1262" s="1128" t="s">
        <v>3381</v>
      </c>
      <c r="AA1262" s="1128" t="s">
        <v>3384</v>
      </c>
      <c r="AC1262" s="73"/>
    </row>
    <row r="1263" spans="1:29" s="20" customFormat="1">
      <c r="A1263" s="327" t="str">
        <f>IF(AND($B1263&lt;&gt;"",$C1263&lt;&gt;""),MAX($A$4:A1262)+1,"")</f>
        <v/>
      </c>
      <c r="B1263" s="361" t="s">
        <v>910</v>
      </c>
      <c r="C1263" s="364"/>
      <c r="D1263" s="327">
        <f>IF($B1263="","",COUNTIF($B$6:$B1263,$B1263))</f>
        <v>5</v>
      </c>
      <c r="E1263" s="361">
        <v>500213</v>
      </c>
      <c r="F1263" s="362" t="s">
        <v>1429</v>
      </c>
      <c r="G1263" s="361" t="s">
        <v>328</v>
      </c>
      <c r="H1263" s="325"/>
      <c r="I1263" s="327">
        <v>2</v>
      </c>
      <c r="J1263" s="361" t="s">
        <v>768</v>
      </c>
      <c r="K1263" s="327" t="s">
        <v>531</v>
      </c>
      <c r="L1263" s="348">
        <v>492383</v>
      </c>
      <c r="M1263" s="355"/>
      <c r="N1263" s="355" t="str">
        <f t="shared" si="156"/>
        <v>PR</v>
      </c>
      <c r="O1263" s="345"/>
      <c r="P1263" s="325"/>
      <c r="Q1263" s="351"/>
      <c r="R1263" s="351"/>
      <c r="S1263" s="351">
        <v>5.8</v>
      </c>
      <c r="T1263" s="351">
        <v>7.25</v>
      </c>
      <c r="U1263" s="329">
        <f>IF($N1263=$N$4,IFERROR(INDEX(DanhMuc!$E$154:$E$165,MATCH(MID($B1263,4,2),DanhMuc!$B$154:$B$165,0)),""),"")</f>
        <v>5800</v>
      </c>
      <c r="V1263" s="325"/>
      <c r="W1263" s="352" t="str">
        <f>+IF(AND($A1263&lt;&gt;"",LEN($B1263)&gt;=8,COUNTIF($B$6:$B1263,$B1263)=1),$W$5,"")</f>
        <v/>
      </c>
      <c r="X1263" s="329" t="str">
        <f t="shared" si="151"/>
        <v>RH</v>
      </c>
      <c r="Y1263" s="1128" t="s">
        <v>3380</v>
      </c>
      <c r="Z1263" s="1128" t="s">
        <v>3381</v>
      </c>
      <c r="AA1263" s="1128" t="s">
        <v>3384</v>
      </c>
      <c r="AC1263" s="73"/>
    </row>
    <row r="1264" spans="1:29" s="20" customFormat="1">
      <c r="A1264" s="327" t="str">
        <f>IF(AND($B1264&lt;&gt;"",$C1264&lt;&gt;""),MAX($A$4:A1263)+1,"")</f>
        <v/>
      </c>
      <c r="B1264" s="361" t="s">
        <v>910</v>
      </c>
      <c r="C1264" s="364"/>
      <c r="D1264" s="327">
        <f>IF($B1264="","",COUNTIF($B$6:$B1264,$B1264))</f>
        <v>6</v>
      </c>
      <c r="E1264" s="361">
        <v>554230</v>
      </c>
      <c r="F1264" s="362" t="s">
        <v>761</v>
      </c>
      <c r="G1264" s="361" t="s">
        <v>328</v>
      </c>
      <c r="H1264" s="325"/>
      <c r="I1264" s="327">
        <v>1</v>
      </c>
      <c r="J1264" s="361" t="s">
        <v>1279</v>
      </c>
      <c r="K1264" s="327" t="s">
        <v>531</v>
      </c>
      <c r="L1264" s="348">
        <v>793373</v>
      </c>
      <c r="M1264" s="355"/>
      <c r="N1264" s="355" t="str">
        <f t="shared" si="156"/>
        <v>PR</v>
      </c>
      <c r="O1264" s="345"/>
      <c r="P1264" s="325"/>
      <c r="Q1264" s="351"/>
      <c r="R1264" s="351"/>
      <c r="S1264" s="618">
        <v>6</v>
      </c>
      <c r="T1264" s="619">
        <v>5.484</v>
      </c>
      <c r="U1264" s="329">
        <f>IF($N1264=$N$4,IFERROR(INDEX(DanhMuc!$E$154:$E$165,MATCH(MID($B1264,4,2),DanhMuc!$B$154:$B$165,0)),""),"")</f>
        <v>5800</v>
      </c>
      <c r="V1264" s="325"/>
      <c r="W1264" s="352" t="str">
        <f>+IF(AND($A1264&lt;&gt;"",LEN($B1264)&gt;=8,COUNTIF($B$6:$B1264,$B1264)=1),$W$5,"")</f>
        <v/>
      </c>
      <c r="X1264" s="329" t="str">
        <f t="shared" si="151"/>
        <v>RH</v>
      </c>
      <c r="Y1264" s="1128" t="s">
        <v>3380</v>
      </c>
      <c r="Z1264" s="1128" t="s">
        <v>3381</v>
      </c>
      <c r="AA1264" s="1128" t="s">
        <v>3384</v>
      </c>
      <c r="AC1264" s="73"/>
    </row>
    <row r="1265" spans="1:29" s="20" customFormat="1">
      <c r="A1265" s="327" t="str">
        <f>IF(AND($B1265&lt;&gt;"",$C1265&lt;&gt;""),MAX($A$4:A1264)+1,"")</f>
        <v/>
      </c>
      <c r="B1265" s="361" t="s">
        <v>910</v>
      </c>
      <c r="C1265" s="364"/>
      <c r="D1265" s="327">
        <f>IF($B1265="","",COUNTIF($B$6:$B1265,$B1265))</f>
        <v>7</v>
      </c>
      <c r="E1265" s="361" t="s">
        <v>899</v>
      </c>
      <c r="F1265" s="362" t="s">
        <v>898</v>
      </c>
      <c r="G1265" s="361" t="s">
        <v>329</v>
      </c>
      <c r="H1265" s="325"/>
      <c r="I1265" s="327">
        <v>8</v>
      </c>
      <c r="J1265" s="361" t="s">
        <v>914</v>
      </c>
      <c r="K1265" s="327" t="s">
        <v>516</v>
      </c>
      <c r="L1265" s="348">
        <v>0</v>
      </c>
      <c r="M1265" s="355"/>
      <c r="N1265" s="355" t="str">
        <f t="shared" si="156"/>
        <v>PR</v>
      </c>
      <c r="O1265" s="347"/>
      <c r="P1265" s="325"/>
      <c r="Q1265" s="351"/>
      <c r="R1265" s="351"/>
      <c r="S1265" s="618"/>
      <c r="T1265" s="619"/>
      <c r="U1265" s="329">
        <f>IF($N1265=$N$4,IFERROR(INDEX(DanhMuc!$E$154:$E$165,MATCH(MID($B1265,4,2),DanhMuc!$B$154:$B$165,0)),""),"")</f>
        <v>5800</v>
      </c>
      <c r="V1265" s="325"/>
      <c r="W1265" s="352" t="str">
        <f>+IF(AND($A1265&lt;&gt;"",LEN($B1265)&gt;=8,COUNTIF($B$6:$B1265,$B1265)=1),$W$5,"")</f>
        <v/>
      </c>
      <c r="X1265" s="329" t="str">
        <f t="shared" si="151"/>
        <v>RH</v>
      </c>
      <c r="Y1265" s="1128" t="s">
        <v>3380</v>
      </c>
      <c r="Z1265" s="1128" t="s">
        <v>3381</v>
      </c>
      <c r="AA1265" s="1128" t="s">
        <v>3384</v>
      </c>
      <c r="AC1265" s="73"/>
    </row>
    <row r="1266" spans="1:29" s="20" customFormat="1">
      <c r="A1266" s="327" t="str">
        <f>IF(AND($B1266&lt;&gt;"",$C1266&lt;&gt;""),MAX($A$4:A1265)+1,"")</f>
        <v/>
      </c>
      <c r="B1266" s="361" t="s">
        <v>910</v>
      </c>
      <c r="C1266" s="364"/>
      <c r="D1266" s="327">
        <f>IF($B1266="","",COUNTIF($B$6:$B1266,$B1266))</f>
        <v>8</v>
      </c>
      <c r="E1266" s="361" t="s">
        <v>899</v>
      </c>
      <c r="F1266" s="362" t="s">
        <v>898</v>
      </c>
      <c r="G1266" s="361" t="s">
        <v>328</v>
      </c>
      <c r="H1266" s="325"/>
      <c r="I1266" s="327">
        <v>8</v>
      </c>
      <c r="J1266" s="361" t="s">
        <v>771</v>
      </c>
      <c r="K1266" s="327" t="s">
        <v>516</v>
      </c>
      <c r="L1266" s="348">
        <v>0</v>
      </c>
      <c r="M1266" s="355"/>
      <c r="N1266" s="355" t="str">
        <f t="shared" si="156"/>
        <v>PR</v>
      </c>
      <c r="O1266" s="347"/>
      <c r="P1266" s="325"/>
      <c r="Q1266" s="351"/>
      <c r="R1266" s="351"/>
      <c r="S1266" s="618"/>
      <c r="T1266" s="619"/>
      <c r="U1266" s="329">
        <f>IF($N1266=$N$4,IFERROR(INDEX(DanhMuc!$E$154:$E$165,MATCH(MID($B1266,4,2),DanhMuc!$B$154:$B$165,0)),""),"")</f>
        <v>5800</v>
      </c>
      <c r="V1266" s="325"/>
      <c r="W1266" s="352" t="str">
        <f>+IF(AND($A1266&lt;&gt;"",LEN($B1266)&gt;=8,COUNTIF($B$6:$B1266,$B1266)=1),$W$5,"")</f>
        <v/>
      </c>
      <c r="X1266" s="329" t="str">
        <f t="shared" si="151"/>
        <v>RH</v>
      </c>
      <c r="Y1266" s="1128" t="s">
        <v>3380</v>
      </c>
      <c r="Z1266" s="1128" t="s">
        <v>3381</v>
      </c>
      <c r="AA1266" s="1128" t="s">
        <v>3384</v>
      </c>
      <c r="AC1266" s="73"/>
    </row>
    <row r="1267" spans="1:29" s="20" customFormat="1">
      <c r="A1267" s="327" t="str">
        <f>IF(AND($B1267&lt;&gt;"",$C1267&lt;&gt;""),MAX($A$4:A1266)+1,"")</f>
        <v/>
      </c>
      <c r="B1267" s="361" t="s">
        <v>910</v>
      </c>
      <c r="C1267" s="364"/>
      <c r="D1267" s="327">
        <f>IF($B1267="","",COUNTIF($B$6:$B1267,$B1267))</f>
        <v>9</v>
      </c>
      <c r="E1267" s="361">
        <v>221876</v>
      </c>
      <c r="F1267" s="362" t="s">
        <v>1449</v>
      </c>
      <c r="G1267" s="361" t="s">
        <v>329</v>
      </c>
      <c r="H1267" s="328" t="s">
        <v>536</v>
      </c>
      <c r="I1267" s="327">
        <v>2</v>
      </c>
      <c r="J1267" s="361" t="s">
        <v>1211</v>
      </c>
      <c r="K1267" s="327" t="s">
        <v>531</v>
      </c>
      <c r="L1267" s="348">
        <f t="shared" ref="L1267:L1271" si="163">+$K$1038*$T1267*$S1267</f>
        <v>276000</v>
      </c>
      <c r="M1267" s="355"/>
      <c r="N1267" s="355" t="str">
        <f t="shared" si="156"/>
        <v>PR</v>
      </c>
      <c r="O1267" s="345"/>
      <c r="P1267" s="325"/>
      <c r="Q1267" s="351"/>
      <c r="R1267" s="351"/>
      <c r="S1267" s="618">
        <v>6</v>
      </c>
      <c r="T1267" s="619">
        <f t="shared" ref="T1267:T1268" si="164">9.2/S1267</f>
        <v>1.5333333333333332</v>
      </c>
      <c r="U1267" s="329">
        <f>IF($N1267=$N$4,IFERROR(INDEX(DanhMuc!$E$154:$E$165,MATCH(MID($B1267,4,2),DanhMuc!$B$154:$B$165,0)),""),"")</f>
        <v>5800</v>
      </c>
      <c r="V1267" s="325"/>
      <c r="W1267" s="352" t="str">
        <f>+IF(AND($A1267&lt;&gt;"",LEN($B1267)&gt;=8,COUNTIF($B$6:$B1267,$B1267)=1),$W$5,"")</f>
        <v/>
      </c>
      <c r="X1267" s="329" t="str">
        <f t="shared" si="151"/>
        <v>TRH</v>
      </c>
      <c r="Y1267" s="1128" t="s">
        <v>3380</v>
      </c>
      <c r="Z1267" s="1128" t="s">
        <v>3381</v>
      </c>
      <c r="AA1267" s="1128" t="s">
        <v>3384</v>
      </c>
      <c r="AC1267" s="73"/>
    </row>
    <row r="1268" spans="1:29" s="20" customFormat="1">
      <c r="A1268" s="327" t="str">
        <f>IF(AND($B1268&lt;&gt;"",$C1268&lt;&gt;""),MAX($A$4:A1267)+1,"")</f>
        <v/>
      </c>
      <c r="B1268" s="361" t="s">
        <v>910</v>
      </c>
      <c r="C1268" s="364"/>
      <c r="D1268" s="327">
        <f>IF($B1268="","",COUNTIF($B$6:$B1268,$B1268))</f>
        <v>10</v>
      </c>
      <c r="E1268" s="361">
        <v>221876</v>
      </c>
      <c r="F1268" s="362" t="s">
        <v>1449</v>
      </c>
      <c r="G1268" s="361" t="s">
        <v>328</v>
      </c>
      <c r="H1268" s="328" t="s">
        <v>536</v>
      </c>
      <c r="I1268" s="327">
        <v>2</v>
      </c>
      <c r="J1268" s="361" t="s">
        <v>1212</v>
      </c>
      <c r="K1268" s="327" t="s">
        <v>531</v>
      </c>
      <c r="L1268" s="348">
        <f t="shared" si="163"/>
        <v>276000</v>
      </c>
      <c r="M1268" s="355"/>
      <c r="N1268" s="355" t="str">
        <f t="shared" si="156"/>
        <v>PR</v>
      </c>
      <c r="O1268" s="345"/>
      <c r="P1268" s="325"/>
      <c r="Q1268" s="351"/>
      <c r="R1268" s="351"/>
      <c r="S1268" s="618">
        <v>6</v>
      </c>
      <c r="T1268" s="619">
        <f t="shared" si="164"/>
        <v>1.5333333333333332</v>
      </c>
      <c r="U1268" s="329">
        <f>IF($N1268=$N$4,IFERROR(INDEX(DanhMuc!$E$154:$E$165,MATCH(MID($B1268,4,2),DanhMuc!$B$154:$B$165,0)),""),"")</f>
        <v>5800</v>
      </c>
      <c r="V1268" s="325"/>
      <c r="W1268" s="352" t="str">
        <f>+IF(AND($A1268&lt;&gt;"",LEN($B1268)&gt;=8,COUNTIF($B$6:$B1268,$B1268)=1),$W$5,"")</f>
        <v/>
      </c>
      <c r="X1268" s="329" t="str">
        <f t="shared" si="151"/>
        <v>TRH</v>
      </c>
      <c r="Y1268" s="1128" t="s">
        <v>3380</v>
      </c>
      <c r="Z1268" s="1128" t="s">
        <v>3381</v>
      </c>
      <c r="AA1268" s="1128" t="s">
        <v>3384</v>
      </c>
      <c r="AC1268" s="73"/>
    </row>
    <row r="1269" spans="1:29" s="20" customFormat="1">
      <c r="A1269" s="327" t="str">
        <f>IF(AND($B1269&lt;&gt;"",$C1269&lt;&gt;""),MAX($A$4:A1268)+1,"")</f>
        <v/>
      </c>
      <c r="B1269" s="361" t="s">
        <v>910</v>
      </c>
      <c r="C1269" s="364"/>
      <c r="D1269" s="327">
        <f>IF($B1269="","",COUNTIF($B$6:$B1269,$B1269))</f>
        <v>11</v>
      </c>
      <c r="E1269" s="361">
        <v>221873</v>
      </c>
      <c r="F1269" s="362" t="s">
        <v>770</v>
      </c>
      <c r="G1269" s="361" t="s">
        <v>329</v>
      </c>
      <c r="H1269" s="328" t="s">
        <v>536</v>
      </c>
      <c r="I1269" s="327">
        <v>8</v>
      </c>
      <c r="J1269" s="361" t="s">
        <v>1305</v>
      </c>
      <c r="K1269" s="327" t="s">
        <v>531</v>
      </c>
      <c r="L1269" s="348">
        <f t="shared" si="163"/>
        <v>222000</v>
      </c>
      <c r="M1269" s="355"/>
      <c r="N1269" s="355" t="str">
        <f t="shared" si="156"/>
        <v>PR</v>
      </c>
      <c r="O1269" s="345"/>
      <c r="P1269" s="325"/>
      <c r="Q1269" s="351"/>
      <c r="R1269" s="351"/>
      <c r="S1269" s="618">
        <v>6</v>
      </c>
      <c r="T1269" s="619">
        <f t="shared" ref="T1269:T1270" si="165">7.4/S1269</f>
        <v>1.2333333333333334</v>
      </c>
      <c r="U1269" s="329">
        <f>IF($N1269=$N$4,IFERROR(INDEX(DanhMuc!$E$154:$E$165,MATCH(MID($B1269,4,2),DanhMuc!$B$154:$B$165,0)),""),"")</f>
        <v>5800</v>
      </c>
      <c r="V1269" s="325"/>
      <c r="W1269" s="352" t="str">
        <f>+IF(AND($A1269&lt;&gt;"",LEN($B1269)&gt;=8,COUNTIF($B$6:$B1269,$B1269)=1),$W$5,"")</f>
        <v/>
      </c>
      <c r="X1269" s="329" t="str">
        <f t="shared" si="151"/>
        <v>TRH</v>
      </c>
      <c r="Y1269" s="1128" t="s">
        <v>3380</v>
      </c>
      <c r="Z1269" s="1128" t="s">
        <v>3381</v>
      </c>
      <c r="AA1269" s="1128" t="s">
        <v>3384</v>
      </c>
      <c r="AC1269" s="73"/>
    </row>
    <row r="1270" spans="1:29" s="20" customFormat="1">
      <c r="A1270" s="327" t="str">
        <f>IF(AND($B1270&lt;&gt;"",$C1270&lt;&gt;""),MAX($A$4:A1269)+1,"")</f>
        <v/>
      </c>
      <c r="B1270" s="361" t="s">
        <v>910</v>
      </c>
      <c r="C1270" s="364"/>
      <c r="D1270" s="327">
        <f>IF($B1270="","",COUNTIF($B$6:$B1270,$B1270))</f>
        <v>12</v>
      </c>
      <c r="E1270" s="361">
        <v>221873</v>
      </c>
      <c r="F1270" s="362" t="s">
        <v>770</v>
      </c>
      <c r="G1270" s="361" t="s">
        <v>328</v>
      </c>
      <c r="H1270" s="328" t="s">
        <v>536</v>
      </c>
      <c r="I1270" s="327">
        <v>8</v>
      </c>
      <c r="J1270" s="361" t="s">
        <v>1214</v>
      </c>
      <c r="K1270" s="327" t="s">
        <v>531</v>
      </c>
      <c r="L1270" s="348">
        <f t="shared" si="163"/>
        <v>222000</v>
      </c>
      <c r="M1270" s="355"/>
      <c r="N1270" s="355" t="str">
        <f t="shared" si="156"/>
        <v>PR</v>
      </c>
      <c r="O1270" s="345"/>
      <c r="P1270" s="325"/>
      <c r="Q1270" s="351"/>
      <c r="R1270" s="351"/>
      <c r="S1270" s="618">
        <v>6</v>
      </c>
      <c r="T1270" s="619">
        <f t="shared" si="165"/>
        <v>1.2333333333333334</v>
      </c>
      <c r="U1270" s="329">
        <f>IF($N1270=$N$4,IFERROR(INDEX(DanhMuc!$E$154:$E$165,MATCH(MID($B1270,4,2),DanhMuc!$B$154:$B$165,0)),""),"")</f>
        <v>5800</v>
      </c>
      <c r="V1270" s="325"/>
      <c r="W1270" s="352" t="str">
        <f>+IF(AND($A1270&lt;&gt;"",LEN($B1270)&gt;=8,COUNTIF($B$6:$B1270,$B1270)=1),$W$5,"")</f>
        <v/>
      </c>
      <c r="X1270" s="329" t="str">
        <f t="shared" si="151"/>
        <v>TRH</v>
      </c>
      <c r="Y1270" s="1128" t="s">
        <v>3380</v>
      </c>
      <c r="Z1270" s="1128" t="s">
        <v>3381</v>
      </c>
      <c r="AA1270" s="1128" t="s">
        <v>3384</v>
      </c>
      <c r="AC1270" s="73"/>
    </row>
    <row r="1271" spans="1:29" s="20" customFormat="1" ht="25">
      <c r="A1271" s="327" t="str">
        <f>IF(AND($B1271&lt;&gt;"",$C1271&lt;&gt;""),MAX($A$4:A1270)+1,"")</f>
        <v/>
      </c>
      <c r="B1271" s="361" t="s">
        <v>910</v>
      </c>
      <c r="C1271" s="364"/>
      <c r="D1271" s="327">
        <f>IF($B1271="","",COUNTIF($B$6:$B1271,$B1271))</f>
        <v>13</v>
      </c>
      <c r="E1271" s="361">
        <v>221877</v>
      </c>
      <c r="F1271" s="362" t="s">
        <v>1459</v>
      </c>
      <c r="G1271" s="361" t="s">
        <v>328</v>
      </c>
      <c r="H1271" s="328" t="s">
        <v>536</v>
      </c>
      <c r="I1271" s="327">
        <v>1</v>
      </c>
      <c r="J1271" s="361" t="s">
        <v>768</v>
      </c>
      <c r="K1271" s="327" t="s">
        <v>531</v>
      </c>
      <c r="L1271" s="348">
        <f t="shared" si="163"/>
        <v>315000</v>
      </c>
      <c r="M1271" s="355"/>
      <c r="N1271" s="355" t="str">
        <f t="shared" si="156"/>
        <v>PR</v>
      </c>
      <c r="O1271" s="345"/>
      <c r="P1271" s="325"/>
      <c r="Q1271" s="351"/>
      <c r="R1271" s="351"/>
      <c r="S1271" s="618">
        <v>6</v>
      </c>
      <c r="T1271" s="619">
        <f>10.5/S1271</f>
        <v>1.75</v>
      </c>
      <c r="U1271" s="329">
        <f>IF($N1271=$N$4,IFERROR(INDEX(DanhMuc!$E$154:$E$165,MATCH(MID($B1271,4,2),DanhMuc!$B$154:$B$165,0)),""),"")</f>
        <v>5800</v>
      </c>
      <c r="V1271" s="325"/>
      <c r="W1271" s="352" t="str">
        <f>+IF(AND($A1271&lt;&gt;"",LEN($B1271)&gt;=8,COUNTIF($B$6:$B1271,$B1271)=1),$W$5,"")</f>
        <v/>
      </c>
      <c r="X1271" s="329" t="str">
        <f t="shared" si="151"/>
        <v>TRH</v>
      </c>
      <c r="Y1271" s="1128" t="s">
        <v>3380</v>
      </c>
      <c r="Z1271" s="1128" t="s">
        <v>3381</v>
      </c>
      <c r="AA1271" s="1128" t="s">
        <v>3384</v>
      </c>
      <c r="AC1271" s="73"/>
    </row>
    <row r="1272" spans="1:29" s="20" customFormat="1" ht="26">
      <c r="A1272" s="327">
        <f>IF(AND($B1272&lt;&gt;"",$C1272&lt;&gt;""),MAX($A$4:A1270)+1,"")</f>
        <v>93</v>
      </c>
      <c r="B1272" s="359" t="s">
        <v>905</v>
      </c>
      <c r="C1272" s="370" t="s">
        <v>1594</v>
      </c>
      <c r="D1272" s="327">
        <f>IF($B1272="","",COUNTIF($B$6:$B1272,$B1272))</f>
        <v>1</v>
      </c>
      <c r="E1272" s="363">
        <v>500113</v>
      </c>
      <c r="F1272" s="362" t="s">
        <v>618</v>
      </c>
      <c r="G1272" s="361" t="s">
        <v>329</v>
      </c>
      <c r="H1272" s="325"/>
      <c r="I1272" s="327">
        <v>2</v>
      </c>
      <c r="J1272" s="361" t="s">
        <v>762</v>
      </c>
      <c r="K1272" s="327" t="s">
        <v>516</v>
      </c>
      <c r="L1272" s="348">
        <v>414904</v>
      </c>
      <c r="M1272" s="355"/>
      <c r="N1272" s="355" t="str">
        <f t="shared" si="62"/>
        <v>PR</v>
      </c>
      <c r="O1272" s="345"/>
      <c r="P1272" s="325"/>
      <c r="Q1272" s="351"/>
      <c r="R1272" s="351"/>
      <c r="S1272" s="618">
        <v>5.8</v>
      </c>
      <c r="T1272" s="619">
        <v>6.3220000000000001</v>
      </c>
      <c r="U1272" s="329">
        <f>IF($N1272=$N$4,IFERROR(INDEX(DanhMuc!$E$154:$E$165,MATCH(MID($B1272,4,2),DanhMuc!$B$154:$B$165,0)),""),"")</f>
        <v>5800</v>
      </c>
      <c r="V1272" s="325"/>
      <c r="W1272" s="352" t="str">
        <f>+IF(AND($A1272&lt;&gt;"",LEN($B1272)&gt;=8,COUNTIF($B$6:$B1272,$B1272)=1),$W$5,"")</f>
        <v>DMCua</v>
      </c>
      <c r="X1272" s="329" t="str">
        <f t="shared" si="151"/>
        <v>RH</v>
      </c>
      <c r="Y1272" s="1128" t="s">
        <v>3380</v>
      </c>
      <c r="Z1272" s="1128" t="s">
        <v>3381</v>
      </c>
      <c r="AA1272" s="1128" t="s">
        <v>3384</v>
      </c>
      <c r="AC1272" s="73"/>
    </row>
    <row r="1273" spans="1:29" s="20" customFormat="1">
      <c r="A1273" s="327" t="str">
        <f>IF(AND($B1273&lt;&gt;"",$C1273&lt;&gt;""),MAX($A$4:A1272)+1,"")</f>
        <v/>
      </c>
      <c r="B1273" s="361" t="s">
        <v>905</v>
      </c>
      <c r="C1273" s="364"/>
      <c r="D1273" s="327">
        <f>IF($B1273="","",COUNTIF($B$6:$B1273,$B1273))</f>
        <v>2</v>
      </c>
      <c r="E1273" s="363">
        <v>500113</v>
      </c>
      <c r="F1273" s="362" t="s">
        <v>618</v>
      </c>
      <c r="G1273" s="361" t="s">
        <v>328</v>
      </c>
      <c r="H1273" s="325"/>
      <c r="I1273" s="327">
        <v>2</v>
      </c>
      <c r="J1273" s="361" t="s">
        <v>763</v>
      </c>
      <c r="K1273" s="327" t="s">
        <v>516</v>
      </c>
      <c r="L1273" s="348">
        <v>414904</v>
      </c>
      <c r="M1273" s="355"/>
      <c r="N1273" s="355" t="str">
        <f t="shared" ref="N1273:N1278" si="166">+$N$4</f>
        <v>PR</v>
      </c>
      <c r="O1273" s="347"/>
      <c r="P1273" s="325"/>
      <c r="Q1273" s="351"/>
      <c r="R1273" s="351"/>
      <c r="S1273" s="618">
        <v>5.8</v>
      </c>
      <c r="T1273" s="619">
        <v>6.3220000000000001</v>
      </c>
      <c r="U1273" s="329">
        <f>IF($N1273=$N$4,IFERROR(INDEX(DanhMuc!$E$154:$E$165,MATCH(MID($B1273,4,2),DanhMuc!$B$154:$B$165,0)),""),"")</f>
        <v>5800</v>
      </c>
      <c r="V1273" s="325"/>
      <c r="W1273" s="352" t="str">
        <f>+IF(AND($A1273&lt;&gt;"",LEN($B1273)&gt;=8,COUNTIF($B$6:$B1273,$B1273)=1),$W$5,"")</f>
        <v/>
      </c>
      <c r="X1273" s="329" t="str">
        <f t="shared" si="151"/>
        <v>RH</v>
      </c>
      <c r="Y1273" s="1128" t="s">
        <v>3380</v>
      </c>
      <c r="Z1273" s="1128" t="s">
        <v>3381</v>
      </c>
      <c r="AA1273" s="1128" t="s">
        <v>3384</v>
      </c>
      <c r="AC1273" s="73"/>
    </row>
    <row r="1274" spans="1:29" s="20" customFormat="1">
      <c r="A1274" s="327" t="str">
        <f>IF(AND($B1274&lt;&gt;"",$C1274&lt;&gt;""),MAX($A$4:A1273)+1,"")</f>
        <v/>
      </c>
      <c r="B1274" s="361" t="s">
        <v>905</v>
      </c>
      <c r="C1274" s="364"/>
      <c r="D1274" s="327">
        <f>IF($B1274="","",COUNTIF($B$6:$B1274,$B1274))</f>
        <v>3</v>
      </c>
      <c r="E1274" s="361">
        <v>500163</v>
      </c>
      <c r="F1274" s="362" t="s">
        <v>620</v>
      </c>
      <c r="G1274" s="361" t="s">
        <v>329</v>
      </c>
      <c r="H1274" s="325"/>
      <c r="I1274" s="327">
        <v>2</v>
      </c>
      <c r="J1274" s="361" t="s">
        <v>864</v>
      </c>
      <c r="K1274" s="327" t="s">
        <v>516</v>
      </c>
      <c r="L1274" s="348">
        <v>450275</v>
      </c>
      <c r="M1274" s="355"/>
      <c r="N1274" s="355" t="str">
        <f t="shared" si="166"/>
        <v>PR</v>
      </c>
      <c r="O1274" s="345"/>
      <c r="P1274" s="325"/>
      <c r="Q1274" s="351"/>
      <c r="R1274" s="351"/>
      <c r="S1274" s="618">
        <v>5.8</v>
      </c>
      <c r="T1274" s="619">
        <v>6.5133999999999999</v>
      </c>
      <c r="U1274" s="329">
        <f>IF($N1274=$N$4,IFERROR(INDEX(DanhMuc!$E$154:$E$165,MATCH(MID($B1274,4,2),DanhMuc!$B$154:$B$165,0)),""),"")</f>
        <v>5800</v>
      </c>
      <c r="V1274" s="325"/>
      <c r="W1274" s="352" t="str">
        <f>+IF(AND($A1274&lt;&gt;"",LEN($B1274)&gt;=8,COUNTIF($B$6:$B1274,$B1274)=1),$W$5,"")</f>
        <v/>
      </c>
      <c r="X1274" s="329" t="str">
        <f t="shared" si="151"/>
        <v>RH</v>
      </c>
      <c r="Y1274" s="1128" t="s">
        <v>3380</v>
      </c>
      <c r="Z1274" s="1128" t="s">
        <v>3381</v>
      </c>
      <c r="AA1274" s="1128" t="s">
        <v>3384</v>
      </c>
      <c r="AC1274" s="73"/>
    </row>
    <row r="1275" spans="1:29" s="20" customFormat="1">
      <c r="A1275" s="327" t="str">
        <f>IF(AND($B1275&lt;&gt;"",$C1275&lt;&gt;""),MAX($A$4:A1274)+1,"")</f>
        <v/>
      </c>
      <c r="B1275" s="361" t="s">
        <v>905</v>
      </c>
      <c r="C1275" s="364"/>
      <c r="D1275" s="327">
        <f>IF($B1275="","",COUNTIF($B$6:$B1275,$B1275))</f>
        <v>4</v>
      </c>
      <c r="E1275" s="361">
        <v>500163</v>
      </c>
      <c r="F1275" s="362" t="s">
        <v>620</v>
      </c>
      <c r="G1275" s="361" t="s">
        <v>328</v>
      </c>
      <c r="H1275" s="325"/>
      <c r="I1275" s="327">
        <v>2</v>
      </c>
      <c r="J1275" s="361" t="s">
        <v>765</v>
      </c>
      <c r="K1275" s="327" t="s">
        <v>516</v>
      </c>
      <c r="L1275" s="348">
        <v>450275</v>
      </c>
      <c r="M1275" s="355"/>
      <c r="N1275" s="355" t="str">
        <f t="shared" si="166"/>
        <v>PR</v>
      </c>
      <c r="O1275" s="345"/>
      <c r="P1275" s="325"/>
      <c r="Q1275" s="351"/>
      <c r="R1275" s="351"/>
      <c r="S1275" s="618">
        <v>5.8</v>
      </c>
      <c r="T1275" s="619">
        <v>6.5133999999999999</v>
      </c>
      <c r="U1275" s="329">
        <f>IF($N1275=$N$4,IFERROR(INDEX(DanhMuc!$E$154:$E$165,MATCH(MID($B1275,4,2),DanhMuc!$B$154:$B$165,0)),""),"")</f>
        <v>5800</v>
      </c>
      <c r="V1275" s="325"/>
      <c r="W1275" s="352" t="str">
        <f>+IF(AND($A1275&lt;&gt;"",LEN($B1275)&gt;=8,COUNTIF($B$6:$B1275,$B1275)=1),$W$5,"")</f>
        <v/>
      </c>
      <c r="X1275" s="329" t="str">
        <f t="shared" si="151"/>
        <v>RH</v>
      </c>
      <c r="Y1275" s="1128" t="s">
        <v>3380</v>
      </c>
      <c r="Z1275" s="1128" t="s">
        <v>3381</v>
      </c>
      <c r="AA1275" s="1128" t="s">
        <v>3384</v>
      </c>
      <c r="AC1275" s="73"/>
    </row>
    <row r="1276" spans="1:29" s="20" customFormat="1">
      <c r="A1276" s="327" t="str">
        <f>IF(AND($B1276&lt;&gt;"",$C1276&lt;&gt;""),MAX($A$4:A1275)+1,"")</f>
        <v/>
      </c>
      <c r="B1276" s="361" t="s">
        <v>905</v>
      </c>
      <c r="C1276" s="364"/>
      <c r="D1276" s="327">
        <f>IF($B1276="","",COUNTIF($B$6:$B1276,$B1276))</f>
        <v>5</v>
      </c>
      <c r="E1276" s="361">
        <v>500213</v>
      </c>
      <c r="F1276" s="362" t="s">
        <v>1429</v>
      </c>
      <c r="G1276" s="361" t="s">
        <v>328</v>
      </c>
      <c r="H1276" s="325"/>
      <c r="I1276" s="327">
        <v>0</v>
      </c>
      <c r="J1276" s="361" t="s">
        <v>768</v>
      </c>
      <c r="K1276" s="327" t="s">
        <v>531</v>
      </c>
      <c r="L1276" s="348">
        <v>492383</v>
      </c>
      <c r="M1276" s="355"/>
      <c r="N1276" s="355" t="str">
        <f t="shared" si="166"/>
        <v>PR</v>
      </c>
      <c r="O1276" s="345"/>
      <c r="P1276" s="325"/>
      <c r="Q1276" s="351"/>
      <c r="R1276" s="351"/>
      <c r="S1276" s="351">
        <v>5.8</v>
      </c>
      <c r="T1276" s="351">
        <v>7.25</v>
      </c>
      <c r="U1276" s="329">
        <f>IF($N1276=$N$4,IFERROR(INDEX(DanhMuc!$E$154:$E$165,MATCH(MID($B1276,4,2),DanhMuc!$B$154:$B$165,0)),""),"")</f>
        <v>5800</v>
      </c>
      <c r="V1276" s="325"/>
      <c r="W1276" s="352" t="str">
        <f>+IF(AND($A1276&lt;&gt;"",LEN($B1276)&gt;=8,COUNTIF($B$6:$B1276,$B1276)=1),$W$5,"")</f>
        <v/>
      </c>
      <c r="X1276" s="329" t="str">
        <f t="shared" si="151"/>
        <v>RH</v>
      </c>
      <c r="Y1276" s="1128" t="s">
        <v>3380</v>
      </c>
      <c r="Z1276" s="1128" t="s">
        <v>3381</v>
      </c>
      <c r="AA1276" s="1128" t="s">
        <v>3384</v>
      </c>
      <c r="AC1276" s="73"/>
    </row>
    <row r="1277" spans="1:29" s="20" customFormat="1">
      <c r="A1277" s="327" t="str">
        <f>IF(AND($B1277&lt;&gt;"",$C1277&lt;&gt;""),MAX($A$4:A1276)+1,"")</f>
        <v/>
      </c>
      <c r="B1277" s="361" t="s">
        <v>905</v>
      </c>
      <c r="C1277" s="364"/>
      <c r="D1277" s="327">
        <f>IF($B1277="","",COUNTIF($B$6:$B1277,$B1277))</f>
        <v>6</v>
      </c>
      <c r="E1277" s="361" t="s">
        <v>899</v>
      </c>
      <c r="F1277" s="362" t="s">
        <v>898</v>
      </c>
      <c r="G1277" s="361" t="s">
        <v>329</v>
      </c>
      <c r="H1277" s="325"/>
      <c r="I1277" s="327">
        <v>2</v>
      </c>
      <c r="J1277" s="361" t="s">
        <v>901</v>
      </c>
      <c r="K1277" s="327" t="s">
        <v>516</v>
      </c>
      <c r="L1277" s="348">
        <v>0</v>
      </c>
      <c r="M1277" s="355"/>
      <c r="N1277" s="355" t="str">
        <f t="shared" si="166"/>
        <v>PR</v>
      </c>
      <c r="O1277" s="347"/>
      <c r="P1277" s="325"/>
      <c r="Q1277" s="351"/>
      <c r="R1277" s="351"/>
      <c r="S1277" s="618"/>
      <c r="T1277" s="619"/>
      <c r="U1277" s="329">
        <f>IF($N1277=$N$4,IFERROR(INDEX(DanhMuc!$E$154:$E$165,MATCH(MID($B1277,4,2),DanhMuc!$B$154:$B$165,0)),""),"")</f>
        <v>5800</v>
      </c>
      <c r="V1277" s="325"/>
      <c r="W1277" s="352" t="str">
        <f>+IF(AND($A1277&lt;&gt;"",LEN($B1277)&gt;=8,COUNTIF($B$6:$B1277,$B1277)=1),$W$5,"")</f>
        <v/>
      </c>
      <c r="X1277" s="329" t="str">
        <f t="shared" si="151"/>
        <v>RH</v>
      </c>
      <c r="Y1277" s="1128" t="s">
        <v>3380</v>
      </c>
      <c r="Z1277" s="1128" t="s">
        <v>3381</v>
      </c>
      <c r="AA1277" s="1128" t="s">
        <v>3384</v>
      </c>
      <c r="AC1277" s="73"/>
    </row>
    <row r="1278" spans="1:29" s="20" customFormat="1">
      <c r="A1278" s="327" t="str">
        <f>IF(AND($B1278&lt;&gt;"",$C1278&lt;&gt;""),MAX($A$4:A1277)+1,"")</f>
        <v/>
      </c>
      <c r="B1278" s="361" t="s">
        <v>905</v>
      </c>
      <c r="C1278" s="364"/>
      <c r="D1278" s="327">
        <f>IF($B1278="","",COUNTIF($B$6:$B1278,$B1278))</f>
        <v>7</v>
      </c>
      <c r="E1278" s="361" t="s">
        <v>899</v>
      </c>
      <c r="F1278" s="362" t="s">
        <v>898</v>
      </c>
      <c r="G1278" s="361" t="s">
        <v>328</v>
      </c>
      <c r="H1278" s="325"/>
      <c r="I1278" s="327">
        <v>2</v>
      </c>
      <c r="J1278" s="361" t="s">
        <v>771</v>
      </c>
      <c r="K1278" s="327" t="s">
        <v>516</v>
      </c>
      <c r="L1278" s="348">
        <v>0</v>
      </c>
      <c r="M1278" s="355"/>
      <c r="N1278" s="355" t="str">
        <f t="shared" si="166"/>
        <v>PR</v>
      </c>
      <c r="O1278" s="347"/>
      <c r="P1278" s="325"/>
      <c r="Q1278" s="351"/>
      <c r="R1278" s="351"/>
      <c r="S1278" s="618"/>
      <c r="T1278" s="619"/>
      <c r="U1278" s="329">
        <f>IF($N1278=$N$4,IFERROR(INDEX(DanhMuc!$E$154:$E$165,MATCH(MID($B1278,4,2),DanhMuc!$B$154:$B$165,0)),""),"")</f>
        <v>5800</v>
      </c>
      <c r="V1278" s="325"/>
      <c r="W1278" s="352" t="str">
        <f>+IF(AND($A1278&lt;&gt;"",LEN($B1278)&gt;=8,COUNTIF($B$6:$B1278,$B1278)=1),$W$5,"")</f>
        <v/>
      </c>
      <c r="X1278" s="329" t="str">
        <f t="shared" si="151"/>
        <v>RH</v>
      </c>
      <c r="Y1278" s="1128" t="s">
        <v>3380</v>
      </c>
      <c r="Z1278" s="1128" t="s">
        <v>3381</v>
      </c>
      <c r="AA1278" s="1128" t="s">
        <v>3384</v>
      </c>
      <c r="AC1278" s="73"/>
    </row>
    <row r="1279" spans="1:29" s="20" customFormat="1">
      <c r="A1279" s="327" t="str">
        <f>IF(AND($B1279&lt;&gt;"",$C1279&lt;&gt;""),MAX($A$4:A1278)+1,"")</f>
        <v/>
      </c>
      <c r="B1279" s="361" t="s">
        <v>905</v>
      </c>
      <c r="C1279" s="364"/>
      <c r="D1279" s="327">
        <f>IF($B1279="","",COUNTIF($B$6:$B1279,$B1279))</f>
        <v>8</v>
      </c>
      <c r="E1279" s="361">
        <v>221876</v>
      </c>
      <c r="F1279" s="362" t="s">
        <v>1449</v>
      </c>
      <c r="G1279" s="361" t="s">
        <v>329</v>
      </c>
      <c r="H1279" s="328" t="s">
        <v>536</v>
      </c>
      <c r="I1279" s="327">
        <v>2</v>
      </c>
      <c r="J1279" s="361" t="s">
        <v>1211</v>
      </c>
      <c r="K1279" s="327" t="s">
        <v>531</v>
      </c>
      <c r="L1279" s="348">
        <f t="shared" ref="L1279:L1282" si="167">+$K$1038*$T1279*$S1279</f>
        <v>276000</v>
      </c>
      <c r="M1279" s="355"/>
      <c r="N1279" s="355" t="str">
        <f t="shared" si="156"/>
        <v>PR</v>
      </c>
      <c r="O1279" s="345"/>
      <c r="P1279" s="325"/>
      <c r="Q1279" s="351"/>
      <c r="R1279" s="351"/>
      <c r="S1279" s="618">
        <v>6</v>
      </c>
      <c r="T1279" s="619">
        <f t="shared" ref="T1279:T1280" si="168">9.2/S1279</f>
        <v>1.5333333333333332</v>
      </c>
      <c r="U1279" s="329">
        <f>IF($N1279=$N$4,IFERROR(INDEX(DanhMuc!$E$154:$E$165,MATCH(MID($B1279,4,2),DanhMuc!$B$154:$B$165,0)),""),"")</f>
        <v>5800</v>
      </c>
      <c r="V1279" s="325"/>
      <c r="W1279" s="352" t="str">
        <f>+IF(AND($A1279&lt;&gt;"",LEN($B1279)&gt;=8,COUNTIF($B$6:$B1279,$B1279)=1),$W$5,"")</f>
        <v/>
      </c>
      <c r="X1279" s="329" t="str">
        <f t="shared" si="151"/>
        <v>TRH</v>
      </c>
      <c r="Y1279" s="1128" t="s">
        <v>3380</v>
      </c>
      <c r="Z1279" s="1128" t="s">
        <v>3381</v>
      </c>
      <c r="AA1279" s="1128" t="s">
        <v>3384</v>
      </c>
      <c r="AC1279" s="73"/>
    </row>
    <row r="1280" spans="1:29" s="20" customFormat="1">
      <c r="A1280" s="327" t="str">
        <f>IF(AND($B1280&lt;&gt;"",$C1280&lt;&gt;""),MAX($A$4:A1279)+1,"")</f>
        <v/>
      </c>
      <c r="B1280" s="361" t="s">
        <v>905</v>
      </c>
      <c r="C1280" s="364"/>
      <c r="D1280" s="327">
        <f>IF($B1280="","",COUNTIF($B$6:$B1280,$B1280))</f>
        <v>9</v>
      </c>
      <c r="E1280" s="361">
        <v>221876</v>
      </c>
      <c r="F1280" s="362" t="s">
        <v>1449</v>
      </c>
      <c r="G1280" s="361" t="s">
        <v>328</v>
      </c>
      <c r="H1280" s="328" t="s">
        <v>536</v>
      </c>
      <c r="I1280" s="327">
        <v>2</v>
      </c>
      <c r="J1280" s="361" t="s">
        <v>1212</v>
      </c>
      <c r="K1280" s="327" t="s">
        <v>531</v>
      </c>
      <c r="L1280" s="348">
        <f t="shared" si="167"/>
        <v>276000</v>
      </c>
      <c r="M1280" s="355"/>
      <c r="N1280" s="355" t="str">
        <f t="shared" si="156"/>
        <v>PR</v>
      </c>
      <c r="O1280" s="345"/>
      <c r="P1280" s="325"/>
      <c r="Q1280" s="351"/>
      <c r="R1280" s="351"/>
      <c r="S1280" s="618">
        <v>6</v>
      </c>
      <c r="T1280" s="619">
        <f t="shared" si="168"/>
        <v>1.5333333333333332</v>
      </c>
      <c r="U1280" s="329">
        <f>IF($N1280=$N$4,IFERROR(INDEX(DanhMuc!$E$154:$E$165,MATCH(MID($B1280,4,2),DanhMuc!$B$154:$B$165,0)),""),"")</f>
        <v>5800</v>
      </c>
      <c r="V1280" s="325"/>
      <c r="W1280" s="352" t="str">
        <f>+IF(AND($A1280&lt;&gt;"",LEN($B1280)&gt;=8,COUNTIF($B$6:$B1280,$B1280)=1),$W$5,"")</f>
        <v/>
      </c>
      <c r="X1280" s="329" t="str">
        <f t="shared" si="151"/>
        <v>TRH</v>
      </c>
      <c r="Y1280" s="1128" t="s">
        <v>3380</v>
      </c>
      <c r="Z1280" s="1128" t="s">
        <v>3381</v>
      </c>
      <c r="AA1280" s="1128" t="s">
        <v>3384</v>
      </c>
      <c r="AC1280" s="73"/>
    </row>
    <row r="1281" spans="1:29" s="20" customFormat="1">
      <c r="A1281" s="327" t="str">
        <f>IF(AND($B1281&lt;&gt;"",$C1281&lt;&gt;""),MAX($A$4:A1280)+1,"")</f>
        <v/>
      </c>
      <c r="B1281" s="361" t="s">
        <v>905</v>
      </c>
      <c r="C1281" s="364"/>
      <c r="D1281" s="327">
        <f>IF($B1281="","",COUNTIF($B$6:$B1281,$B1281))</f>
        <v>10</v>
      </c>
      <c r="E1281" s="361">
        <v>221873</v>
      </c>
      <c r="F1281" s="362" t="s">
        <v>770</v>
      </c>
      <c r="G1281" s="361" t="s">
        <v>329</v>
      </c>
      <c r="H1281" s="328" t="s">
        <v>536</v>
      </c>
      <c r="I1281" s="327">
        <v>2</v>
      </c>
      <c r="J1281" s="361" t="s">
        <v>1303</v>
      </c>
      <c r="K1281" s="327" t="s">
        <v>531</v>
      </c>
      <c r="L1281" s="348">
        <f t="shared" si="167"/>
        <v>222000</v>
      </c>
      <c r="M1281" s="355"/>
      <c r="N1281" s="355" t="str">
        <f t="shared" si="156"/>
        <v>PR</v>
      </c>
      <c r="O1281" s="345"/>
      <c r="P1281" s="325"/>
      <c r="Q1281" s="351"/>
      <c r="R1281" s="351"/>
      <c r="S1281" s="618">
        <v>6</v>
      </c>
      <c r="T1281" s="619">
        <f t="shared" ref="T1281:T1282" si="169">7.4/S1281</f>
        <v>1.2333333333333334</v>
      </c>
      <c r="U1281" s="329">
        <f>IF($N1281=$N$4,IFERROR(INDEX(DanhMuc!$E$154:$E$165,MATCH(MID($B1281,4,2),DanhMuc!$B$154:$B$165,0)),""),"")</f>
        <v>5800</v>
      </c>
      <c r="V1281" s="325"/>
      <c r="W1281" s="352" t="str">
        <f>+IF(AND($A1281&lt;&gt;"",LEN($B1281)&gt;=8,COUNTIF($B$6:$B1281,$B1281)=1),$W$5,"")</f>
        <v/>
      </c>
      <c r="X1281" s="329" t="str">
        <f t="shared" ref="X1281:X1344" si="170">IF(IFERROR(SEARCH("thép",$F1281,1),0)&gt;=1,"T" &amp;MID($B1281,4,2),MID($B1281,4,2))</f>
        <v>TRH</v>
      </c>
      <c r="Y1281" s="1128" t="s">
        <v>3380</v>
      </c>
      <c r="Z1281" s="1128" t="s">
        <v>3381</v>
      </c>
      <c r="AA1281" s="1128" t="s">
        <v>3384</v>
      </c>
      <c r="AC1281" s="73"/>
    </row>
    <row r="1282" spans="1:29" s="20" customFormat="1">
      <c r="A1282" s="327" t="str">
        <f>IF(AND($B1282&lt;&gt;"",$C1282&lt;&gt;""),MAX($A$4:A1281)+1,"")</f>
        <v/>
      </c>
      <c r="B1282" s="361" t="s">
        <v>905</v>
      </c>
      <c r="C1282" s="364"/>
      <c r="D1282" s="327">
        <f>IF($B1282="","",COUNTIF($B$6:$B1282,$B1282))</f>
        <v>11</v>
      </c>
      <c r="E1282" s="361">
        <v>221873</v>
      </c>
      <c r="F1282" s="362" t="s">
        <v>770</v>
      </c>
      <c r="G1282" s="361" t="s">
        <v>328</v>
      </c>
      <c r="H1282" s="328" t="s">
        <v>536</v>
      </c>
      <c r="I1282" s="327">
        <v>2</v>
      </c>
      <c r="J1282" s="361" t="s">
        <v>1214</v>
      </c>
      <c r="K1282" s="327" t="s">
        <v>531</v>
      </c>
      <c r="L1282" s="348">
        <f t="shared" si="167"/>
        <v>222000</v>
      </c>
      <c r="M1282" s="355"/>
      <c r="N1282" s="355" t="str">
        <f t="shared" si="156"/>
        <v>PR</v>
      </c>
      <c r="O1282" s="345"/>
      <c r="P1282" s="325"/>
      <c r="Q1282" s="351"/>
      <c r="R1282" s="351"/>
      <c r="S1282" s="618">
        <v>6</v>
      </c>
      <c r="T1282" s="619">
        <f t="shared" si="169"/>
        <v>1.2333333333333334</v>
      </c>
      <c r="U1282" s="329">
        <f>IF($N1282=$N$4,IFERROR(INDEX(DanhMuc!$E$154:$E$165,MATCH(MID($B1282,4,2),DanhMuc!$B$154:$B$165,0)),""),"")</f>
        <v>5800</v>
      </c>
      <c r="V1282" s="325"/>
      <c r="W1282" s="352" t="str">
        <f>+IF(AND($A1282&lt;&gt;"",LEN($B1282)&gt;=8,COUNTIF($B$6:$B1282,$B1282)=1),$W$5,"")</f>
        <v/>
      </c>
      <c r="X1282" s="329" t="str">
        <f t="shared" si="170"/>
        <v>TRH</v>
      </c>
      <c r="Y1282" s="1128" t="s">
        <v>3380</v>
      </c>
      <c r="Z1282" s="1128" t="s">
        <v>3381</v>
      </c>
      <c r="AA1282" s="1128" t="s">
        <v>3384</v>
      </c>
      <c r="AC1282" s="73"/>
    </row>
    <row r="1283" spans="1:29" s="20" customFormat="1" ht="26">
      <c r="A1283" s="327">
        <f>IF(AND($B1283&lt;&gt;"",$C1283&lt;&gt;""),MAX($A$4:A1282)+1,"")</f>
        <v>94</v>
      </c>
      <c r="B1283" s="359" t="s">
        <v>1069</v>
      </c>
      <c r="C1283" s="370" t="s">
        <v>1588</v>
      </c>
      <c r="D1283" s="327">
        <f>IF($B1283="","",COUNTIF($B$6:$B1283,$B1283))</f>
        <v>1</v>
      </c>
      <c r="E1283" s="363">
        <v>500013</v>
      </c>
      <c r="F1283" s="362" t="s">
        <v>938</v>
      </c>
      <c r="G1283" s="361" t="s">
        <v>329</v>
      </c>
      <c r="H1283" s="325"/>
      <c r="I1283" s="327">
        <v>2</v>
      </c>
      <c r="J1283" s="361" t="s">
        <v>762</v>
      </c>
      <c r="K1283" s="327" t="s">
        <v>516</v>
      </c>
      <c r="L1283" s="348">
        <v>432870</v>
      </c>
      <c r="M1283" s="355"/>
      <c r="N1283" s="355" t="str">
        <f t="shared" si="156"/>
        <v>PR</v>
      </c>
      <c r="O1283" s="345"/>
      <c r="P1283" s="325"/>
      <c r="Q1283" s="351"/>
      <c r="R1283" s="351"/>
      <c r="S1283" s="618">
        <v>5.8</v>
      </c>
      <c r="T1283" s="619">
        <v>6.3220000000000001</v>
      </c>
      <c r="U1283" s="329">
        <f>IF($N1283=$N$4,IFERROR(INDEX(DanhMuc!$E$154:$E$165,MATCH(MID($B1283,4,2),DanhMuc!$B$154:$B$165,0)),""),"")</f>
        <v>5800</v>
      </c>
      <c r="V1283" s="325"/>
      <c r="W1283" s="352" t="str">
        <f>+IF(AND($A1283&lt;&gt;"",LEN($B1283)&gt;=8,COUNTIF($B$6:$B1283,$B1283)=1),$W$5,"")</f>
        <v>DMCua</v>
      </c>
      <c r="X1283" s="329" t="str">
        <f t="shared" si="170"/>
        <v>RH</v>
      </c>
      <c r="Y1283" s="1128" t="s">
        <v>3380</v>
      </c>
      <c r="Z1283" s="1128" t="s">
        <v>3381</v>
      </c>
      <c r="AA1283" s="1128" t="s">
        <v>3384</v>
      </c>
      <c r="AC1283" s="73"/>
    </row>
    <row r="1284" spans="1:29" s="20" customFormat="1">
      <c r="A1284" s="327" t="str">
        <f>IF(AND($B1284&lt;&gt;"",$C1284&lt;&gt;""),MAX($A$4:A1283)+1,"")</f>
        <v/>
      </c>
      <c r="B1284" s="361" t="s">
        <v>1069</v>
      </c>
      <c r="C1284" s="364"/>
      <c r="D1284" s="327">
        <f>IF($B1284="","",COUNTIF($B$6:$B1284,$B1284))</f>
        <v>2</v>
      </c>
      <c r="E1284" s="363">
        <v>500013</v>
      </c>
      <c r="F1284" s="362" t="s">
        <v>938</v>
      </c>
      <c r="G1284" s="361" t="s">
        <v>328</v>
      </c>
      <c r="H1284" s="325"/>
      <c r="I1284" s="327">
        <v>2</v>
      </c>
      <c r="J1284" s="361" t="s">
        <v>763</v>
      </c>
      <c r="K1284" s="327" t="s">
        <v>516</v>
      </c>
      <c r="L1284" s="348">
        <v>432870</v>
      </c>
      <c r="M1284" s="355"/>
      <c r="N1284" s="355" t="str">
        <f t="shared" si="156"/>
        <v>PR</v>
      </c>
      <c r="O1284" s="347"/>
      <c r="P1284" s="325"/>
      <c r="Q1284" s="351"/>
      <c r="R1284" s="351"/>
      <c r="S1284" s="618">
        <v>5.8</v>
      </c>
      <c r="T1284" s="619">
        <v>6.3220000000000001</v>
      </c>
      <c r="U1284" s="329">
        <f>IF($N1284=$N$4,IFERROR(INDEX(DanhMuc!$E$154:$E$165,MATCH(MID($B1284,4,2),DanhMuc!$B$154:$B$165,0)),""),"")</f>
        <v>5800</v>
      </c>
      <c r="V1284" s="325"/>
      <c r="W1284" s="352" t="str">
        <f>+IF(AND($A1284&lt;&gt;"",LEN($B1284)&gt;=8,COUNTIF($B$6:$B1284,$B1284)=1),$W$5,"")</f>
        <v/>
      </c>
      <c r="X1284" s="329" t="str">
        <f t="shared" si="170"/>
        <v>RH</v>
      </c>
      <c r="Y1284" s="1128" t="s">
        <v>3380</v>
      </c>
      <c r="Z1284" s="1128" t="s">
        <v>3381</v>
      </c>
      <c r="AA1284" s="1128" t="s">
        <v>3384</v>
      </c>
      <c r="AC1284" s="73"/>
    </row>
    <row r="1285" spans="1:29" s="20" customFormat="1">
      <c r="A1285" s="327" t="str">
        <f>IF(AND($B1285&lt;&gt;"",$C1285&lt;&gt;""),MAX($A$4:A1284)+1,"")</f>
        <v/>
      </c>
      <c r="B1285" s="361" t="s">
        <v>1069</v>
      </c>
      <c r="C1285" s="364"/>
      <c r="D1285" s="327">
        <f>IF($B1285="","",COUNTIF($B$6:$B1285,$B1285))</f>
        <v>3</v>
      </c>
      <c r="E1285" s="363">
        <v>221842</v>
      </c>
      <c r="F1285" s="362" t="s">
        <v>915</v>
      </c>
      <c r="G1285" s="361" t="s">
        <v>329</v>
      </c>
      <c r="H1285" s="325"/>
      <c r="I1285" s="327">
        <v>2</v>
      </c>
      <c r="J1285" s="361" t="s">
        <v>916</v>
      </c>
      <c r="K1285" s="327" t="s">
        <v>531</v>
      </c>
      <c r="L1285" s="348">
        <v>87023</v>
      </c>
      <c r="M1285" s="355"/>
      <c r="N1285" s="355" t="str">
        <f t="shared" si="156"/>
        <v>PR</v>
      </c>
      <c r="O1285" s="347"/>
      <c r="P1285" s="325"/>
      <c r="Q1285" s="351"/>
      <c r="R1285" s="351"/>
      <c r="S1285" s="618">
        <v>5.8</v>
      </c>
      <c r="T1285" s="619">
        <v>0.55100000000000005</v>
      </c>
      <c r="U1285" s="329">
        <f>IF($N1285=$N$4,IFERROR(INDEX(DanhMuc!$E$154:$E$165,MATCH(MID($B1285,4,2),DanhMuc!$B$154:$B$165,0)),""),"")</f>
        <v>5800</v>
      </c>
      <c r="V1285" s="325"/>
      <c r="W1285" s="352" t="str">
        <f>+IF(AND($A1285&lt;&gt;"",LEN($B1285)&gt;=8,COUNTIF($B$6:$B1285,$B1285)=1),$W$5,"")</f>
        <v/>
      </c>
      <c r="X1285" s="329" t="str">
        <f t="shared" si="170"/>
        <v>RH</v>
      </c>
      <c r="Y1285" s="1128" t="s">
        <v>3380</v>
      </c>
      <c r="Z1285" s="1128" t="s">
        <v>3381</v>
      </c>
      <c r="AA1285" s="1128" t="s">
        <v>3384</v>
      </c>
      <c r="AC1285" s="73"/>
    </row>
    <row r="1286" spans="1:29" s="20" customFormat="1">
      <c r="A1286" s="327" t="str">
        <f>IF(AND($B1286&lt;&gt;"",$C1286&lt;&gt;""),MAX($A$4:A1285)+1,"")</f>
        <v/>
      </c>
      <c r="B1286" s="361" t="s">
        <v>1069</v>
      </c>
      <c r="C1286" s="364"/>
      <c r="D1286" s="327">
        <f>IF($B1286="","",COUNTIF($B$6:$B1286,$B1286))</f>
        <v>4</v>
      </c>
      <c r="E1286" s="361">
        <v>500033</v>
      </c>
      <c r="F1286" s="362" t="s">
        <v>917</v>
      </c>
      <c r="G1286" s="361" t="s">
        <v>329</v>
      </c>
      <c r="H1286" s="325"/>
      <c r="I1286" s="327">
        <v>4</v>
      </c>
      <c r="J1286" s="361" t="s">
        <v>918</v>
      </c>
      <c r="K1286" s="327" t="s">
        <v>516</v>
      </c>
      <c r="L1286" s="348">
        <v>424449</v>
      </c>
      <c r="M1286" s="355"/>
      <c r="N1286" s="355" t="str">
        <f t="shared" si="156"/>
        <v>PR</v>
      </c>
      <c r="O1286" s="345"/>
      <c r="P1286" s="325"/>
      <c r="Q1286" s="351"/>
      <c r="R1286" s="351"/>
      <c r="S1286" s="618">
        <v>5.8</v>
      </c>
      <c r="T1286" s="619">
        <v>6.0435999999999996</v>
      </c>
      <c r="U1286" s="329">
        <f>IF($N1286=$N$4,IFERROR(INDEX(DanhMuc!$E$154:$E$165,MATCH(MID($B1286,4,2),DanhMuc!$B$154:$B$165,0)),""),"")</f>
        <v>5800</v>
      </c>
      <c r="V1286" s="325"/>
      <c r="W1286" s="352" t="str">
        <f>+IF(AND($A1286&lt;&gt;"",LEN($B1286)&gt;=8,COUNTIF($B$6:$B1286,$B1286)=1),$W$5,"")</f>
        <v/>
      </c>
      <c r="X1286" s="329" t="str">
        <f t="shared" si="170"/>
        <v>RH</v>
      </c>
      <c r="Y1286" s="1128" t="s">
        <v>3380</v>
      </c>
      <c r="Z1286" s="1128" t="s">
        <v>3381</v>
      </c>
      <c r="AA1286" s="1128" t="s">
        <v>3384</v>
      </c>
      <c r="AC1286" s="73"/>
    </row>
    <row r="1287" spans="1:29" s="20" customFormat="1">
      <c r="A1287" s="327" t="str">
        <f>IF(AND($B1287&lt;&gt;"",$C1287&lt;&gt;""),MAX($A$4:A1286)+1,"")</f>
        <v/>
      </c>
      <c r="B1287" s="361" t="s">
        <v>1069</v>
      </c>
      <c r="C1287" s="364"/>
      <c r="D1287" s="327">
        <f>IF($B1287="","",COUNTIF($B$6:$B1287,$B1287))</f>
        <v>5</v>
      </c>
      <c r="E1287" s="361">
        <v>500033</v>
      </c>
      <c r="F1287" s="362" t="s">
        <v>917</v>
      </c>
      <c r="G1287" s="361" t="s">
        <v>328</v>
      </c>
      <c r="H1287" s="325"/>
      <c r="I1287" s="327">
        <v>4</v>
      </c>
      <c r="J1287" s="361" t="s">
        <v>919</v>
      </c>
      <c r="K1287" s="327" t="s">
        <v>516</v>
      </c>
      <c r="L1287" s="348">
        <v>424449</v>
      </c>
      <c r="M1287" s="355"/>
      <c r="N1287" s="355" t="str">
        <f t="shared" si="156"/>
        <v>PR</v>
      </c>
      <c r="O1287" s="345"/>
      <c r="P1287" s="325"/>
      <c r="Q1287" s="351"/>
      <c r="R1287" s="351"/>
      <c r="S1287" s="618">
        <v>5.8</v>
      </c>
      <c r="T1287" s="619">
        <v>6.0435999999999996</v>
      </c>
      <c r="U1287" s="329">
        <f>IF($N1287=$N$4,IFERROR(INDEX(DanhMuc!$E$154:$E$165,MATCH(MID($B1287,4,2),DanhMuc!$B$154:$B$165,0)),""),"")</f>
        <v>5800</v>
      </c>
      <c r="V1287" s="325"/>
      <c r="W1287" s="352" t="str">
        <f>+IF(AND($A1287&lt;&gt;"",LEN($B1287)&gt;=8,COUNTIF($B$6:$B1287,$B1287)=1),$W$5,"")</f>
        <v/>
      </c>
      <c r="X1287" s="329" t="str">
        <f t="shared" si="170"/>
        <v>RH</v>
      </c>
      <c r="Y1287" s="1128" t="s">
        <v>3380</v>
      </c>
      <c r="Z1287" s="1128" t="s">
        <v>3381</v>
      </c>
      <c r="AA1287" s="1128" t="s">
        <v>3384</v>
      </c>
      <c r="AC1287" s="73"/>
    </row>
    <row r="1288" spans="1:29" s="20" customFormat="1">
      <c r="A1288" s="327" t="str">
        <f>IF(AND($B1288&lt;&gt;"",$C1288&lt;&gt;""),MAX($A$4:A1287)+1,"")</f>
        <v/>
      </c>
      <c r="B1288" s="361" t="s">
        <v>1069</v>
      </c>
      <c r="C1288" s="364"/>
      <c r="D1288" s="327">
        <f>IF($B1288="","",COUNTIF($B$6:$B1288,$B1288))</f>
        <v>6</v>
      </c>
      <c r="E1288" s="361">
        <v>500053</v>
      </c>
      <c r="F1288" s="362" t="s">
        <v>795</v>
      </c>
      <c r="G1288" s="361" t="s">
        <v>328</v>
      </c>
      <c r="H1288" s="325"/>
      <c r="I1288" s="327">
        <v>2</v>
      </c>
      <c r="J1288" s="361" t="s">
        <v>920</v>
      </c>
      <c r="K1288" s="327" t="s">
        <v>531</v>
      </c>
      <c r="L1288" s="348">
        <v>184152</v>
      </c>
      <c r="M1288" s="355"/>
      <c r="N1288" s="355" t="str">
        <f t="shared" si="156"/>
        <v>PR</v>
      </c>
      <c r="O1288" s="345"/>
      <c r="P1288" s="325"/>
      <c r="Q1288" s="351"/>
      <c r="R1288" s="351"/>
      <c r="S1288" s="618">
        <v>5.8</v>
      </c>
      <c r="T1288" s="619">
        <v>1.9372</v>
      </c>
      <c r="U1288" s="329">
        <f>IF($N1288=$N$4,IFERROR(INDEX(DanhMuc!$E$154:$E$165,MATCH(MID($B1288,4,2),DanhMuc!$B$154:$B$165,0)),""),"")</f>
        <v>5800</v>
      </c>
      <c r="V1288" s="325"/>
      <c r="W1288" s="352" t="str">
        <f>+IF(AND($A1288&lt;&gt;"",LEN($B1288)&gt;=8,COUNTIF($B$6:$B1288,$B1288)=1),$W$5,"")</f>
        <v/>
      </c>
      <c r="X1288" s="329" t="str">
        <f t="shared" si="170"/>
        <v>RH</v>
      </c>
      <c r="Y1288" s="1128" t="s">
        <v>3380</v>
      </c>
      <c r="Z1288" s="1128" t="s">
        <v>3381</v>
      </c>
      <c r="AA1288" s="1128" t="s">
        <v>3384</v>
      </c>
      <c r="AC1288" s="73"/>
    </row>
    <row r="1289" spans="1:29" s="20" customFormat="1">
      <c r="A1289" s="327" t="str">
        <f>IF(AND($B1289&lt;&gt;"",$C1289&lt;&gt;""),MAX($A$4:A1288)+1,"")</f>
        <v/>
      </c>
      <c r="B1289" s="361" t="s">
        <v>1069</v>
      </c>
      <c r="C1289" s="364"/>
      <c r="D1289" s="327">
        <f>IF($B1289="","",COUNTIF($B$6:$B1289,$B1289))</f>
        <v>7</v>
      </c>
      <c r="E1289" s="361" t="s">
        <v>899</v>
      </c>
      <c r="F1289" s="362" t="s">
        <v>898</v>
      </c>
      <c r="G1289" s="361" t="s">
        <v>329</v>
      </c>
      <c r="H1289" s="325"/>
      <c r="I1289" s="327">
        <v>4</v>
      </c>
      <c r="J1289" s="361" t="s">
        <v>921</v>
      </c>
      <c r="K1289" s="327" t="s">
        <v>516</v>
      </c>
      <c r="L1289" s="348">
        <v>0</v>
      </c>
      <c r="M1289" s="355"/>
      <c r="N1289" s="355" t="str">
        <f t="shared" si="156"/>
        <v>PR</v>
      </c>
      <c r="O1289" s="347"/>
      <c r="P1289" s="325"/>
      <c r="Q1289" s="351"/>
      <c r="R1289" s="351"/>
      <c r="S1289" s="618"/>
      <c r="T1289" s="619"/>
      <c r="U1289" s="329">
        <f>IF($N1289=$N$4,IFERROR(INDEX(DanhMuc!$E$154:$E$165,MATCH(MID($B1289,4,2),DanhMuc!$B$154:$B$165,0)),""),"")</f>
        <v>5800</v>
      </c>
      <c r="V1289" s="325"/>
      <c r="W1289" s="352" t="str">
        <f>+IF(AND($A1289&lt;&gt;"",LEN($B1289)&gt;=8,COUNTIF($B$6:$B1289,$B1289)=1),$W$5,"")</f>
        <v/>
      </c>
      <c r="X1289" s="329" t="str">
        <f t="shared" si="170"/>
        <v>RH</v>
      </c>
      <c r="Y1289" s="1128" t="s">
        <v>3380</v>
      </c>
      <c r="Z1289" s="1128" t="s">
        <v>3381</v>
      </c>
      <c r="AA1289" s="1128" t="s">
        <v>3384</v>
      </c>
      <c r="AC1289" s="73"/>
    </row>
    <row r="1290" spans="1:29" s="20" customFormat="1">
      <c r="A1290" s="327" t="str">
        <f>IF(AND($B1290&lt;&gt;"",$C1290&lt;&gt;""),MAX($A$4:A1289)+1,"")</f>
        <v/>
      </c>
      <c r="B1290" s="361" t="s">
        <v>1069</v>
      </c>
      <c r="C1290" s="364"/>
      <c r="D1290" s="327">
        <f>IF($B1290="","",COUNTIF($B$6:$B1290,$B1290))</f>
        <v>8</v>
      </c>
      <c r="E1290" s="361" t="s">
        <v>899</v>
      </c>
      <c r="F1290" s="362" t="s">
        <v>898</v>
      </c>
      <c r="G1290" s="361" t="s">
        <v>328</v>
      </c>
      <c r="H1290" s="325"/>
      <c r="I1290" s="327">
        <v>4</v>
      </c>
      <c r="J1290" s="361" t="s">
        <v>922</v>
      </c>
      <c r="K1290" s="327" t="s">
        <v>516</v>
      </c>
      <c r="L1290" s="348">
        <v>0</v>
      </c>
      <c r="M1290" s="355"/>
      <c r="N1290" s="355" t="str">
        <f t="shared" si="156"/>
        <v>PR</v>
      </c>
      <c r="O1290" s="347"/>
      <c r="P1290" s="325"/>
      <c r="Q1290" s="351"/>
      <c r="R1290" s="351"/>
      <c r="S1290" s="618"/>
      <c r="T1290" s="619"/>
      <c r="U1290" s="329">
        <f>IF($N1290=$N$4,IFERROR(INDEX(DanhMuc!$E$154:$E$165,MATCH(MID($B1290,4,2),DanhMuc!$B$154:$B$165,0)),""),"")</f>
        <v>5800</v>
      </c>
      <c r="V1290" s="325"/>
      <c r="W1290" s="352" t="str">
        <f>+IF(AND($A1290&lt;&gt;"",LEN($B1290)&gt;=8,COUNTIF($B$6:$B1290,$B1290)=1),$W$5,"")</f>
        <v/>
      </c>
      <c r="X1290" s="329" t="str">
        <f t="shared" si="170"/>
        <v>RH</v>
      </c>
      <c r="Y1290" s="1128" t="s">
        <v>3380</v>
      </c>
      <c r="Z1290" s="1128" t="s">
        <v>3381</v>
      </c>
      <c r="AA1290" s="1128" t="s">
        <v>3384</v>
      </c>
      <c r="AC1290" s="73"/>
    </row>
    <row r="1291" spans="1:29" s="20" customFormat="1">
      <c r="A1291" s="327" t="str">
        <f>IF(AND($B1291&lt;&gt;"",$C1291&lt;&gt;""),MAX($A$4:A1290)+1,"")</f>
        <v/>
      </c>
      <c r="B1291" s="361" t="s">
        <v>1069</v>
      </c>
      <c r="C1291" s="364"/>
      <c r="D1291" s="327">
        <f>IF($B1291="","",COUNTIF($B$6:$B1291,$B1291))</f>
        <v>9</v>
      </c>
      <c r="E1291" s="361">
        <v>221857</v>
      </c>
      <c r="F1291" s="362" t="s">
        <v>1447</v>
      </c>
      <c r="G1291" s="361" t="s">
        <v>329</v>
      </c>
      <c r="H1291" s="328" t="s">
        <v>536</v>
      </c>
      <c r="I1291" s="327">
        <v>2</v>
      </c>
      <c r="J1291" s="361" t="s">
        <v>1211</v>
      </c>
      <c r="K1291" s="327" t="s">
        <v>531</v>
      </c>
      <c r="L1291" s="348">
        <f t="shared" ref="L1291:L1294" si="171">+$K$1038*$T1291*$S1291</f>
        <v>183000</v>
      </c>
      <c r="M1291" s="355"/>
      <c r="N1291" s="355" t="str">
        <f t="shared" si="156"/>
        <v>PR</v>
      </c>
      <c r="O1291" s="345"/>
      <c r="P1291" s="325"/>
      <c r="Q1291" s="351"/>
      <c r="R1291" s="351"/>
      <c r="S1291" s="618">
        <v>6</v>
      </c>
      <c r="T1291" s="619">
        <f t="shared" ref="T1291:T1292" si="172">6.1/S1291</f>
        <v>1.0166666666666666</v>
      </c>
      <c r="U1291" s="329">
        <f>IF($N1291=$N$4,IFERROR(INDEX(DanhMuc!$E$154:$E$165,MATCH(MID($B1291,4,2),DanhMuc!$B$154:$B$165,0)),""),"")</f>
        <v>5800</v>
      </c>
      <c r="V1291" s="325"/>
      <c r="W1291" s="352" t="str">
        <f>+IF(AND($A1291&lt;&gt;"",LEN($B1291)&gt;=8,COUNTIF($B$6:$B1291,$B1291)=1),$W$5,"")</f>
        <v/>
      </c>
      <c r="X1291" s="329" t="str">
        <f t="shared" si="170"/>
        <v>TRH</v>
      </c>
      <c r="Y1291" s="1128" t="s">
        <v>3380</v>
      </c>
      <c r="Z1291" s="1128" t="s">
        <v>3381</v>
      </c>
      <c r="AA1291" s="1128" t="s">
        <v>3384</v>
      </c>
      <c r="AC1291" s="73"/>
    </row>
    <row r="1292" spans="1:29" s="20" customFormat="1">
      <c r="A1292" s="327" t="str">
        <f>IF(AND($B1292&lt;&gt;"",$C1292&lt;&gt;""),MAX($A$4:A1291)+1,"")</f>
        <v/>
      </c>
      <c r="B1292" s="361" t="s">
        <v>1069</v>
      </c>
      <c r="C1292" s="364"/>
      <c r="D1292" s="327">
        <f>IF($B1292="","",COUNTIF($B$6:$B1292,$B1292))</f>
        <v>10</v>
      </c>
      <c r="E1292" s="361">
        <v>221857</v>
      </c>
      <c r="F1292" s="362" t="s">
        <v>1447</v>
      </c>
      <c r="G1292" s="361" t="s">
        <v>328</v>
      </c>
      <c r="H1292" s="328" t="s">
        <v>536</v>
      </c>
      <c r="I1292" s="327">
        <v>2</v>
      </c>
      <c r="J1292" s="361" t="s">
        <v>1212</v>
      </c>
      <c r="K1292" s="327" t="s">
        <v>531</v>
      </c>
      <c r="L1292" s="348">
        <f t="shared" si="171"/>
        <v>183000</v>
      </c>
      <c r="M1292" s="355"/>
      <c r="N1292" s="355" t="str">
        <f t="shared" si="156"/>
        <v>PR</v>
      </c>
      <c r="O1292" s="345"/>
      <c r="P1292" s="325"/>
      <c r="Q1292" s="351"/>
      <c r="R1292" s="351"/>
      <c r="S1292" s="618">
        <v>6</v>
      </c>
      <c r="T1292" s="619">
        <f t="shared" si="172"/>
        <v>1.0166666666666666</v>
      </c>
      <c r="U1292" s="329">
        <f>IF($N1292=$N$4,IFERROR(INDEX(DanhMuc!$E$154:$E$165,MATCH(MID($B1292,4,2),DanhMuc!$B$154:$B$165,0)),""),"")</f>
        <v>5800</v>
      </c>
      <c r="V1292" s="325"/>
      <c r="W1292" s="352" t="str">
        <f>+IF(AND($A1292&lt;&gt;"",LEN($B1292)&gt;=8,COUNTIF($B$6:$B1292,$B1292)=1),$W$5,"")</f>
        <v/>
      </c>
      <c r="X1292" s="329" t="str">
        <f t="shared" si="170"/>
        <v>TRH</v>
      </c>
      <c r="Y1292" s="1128" t="s">
        <v>3380</v>
      </c>
      <c r="Z1292" s="1128" t="s">
        <v>3381</v>
      </c>
      <c r="AA1292" s="1128" t="s">
        <v>3384</v>
      </c>
      <c r="AC1292" s="73"/>
    </row>
    <row r="1293" spans="1:29" s="20" customFormat="1">
      <c r="A1293" s="327" t="str">
        <f>IF(AND($B1293&lt;&gt;"",$C1293&lt;&gt;""),MAX($A$4:A1292)+1,"")</f>
        <v/>
      </c>
      <c r="B1293" s="361" t="s">
        <v>1069</v>
      </c>
      <c r="C1293" s="364"/>
      <c r="D1293" s="327">
        <f>IF($B1293="","",COUNTIF($B$6:$B1293,$B1293))</f>
        <v>11</v>
      </c>
      <c r="E1293" s="361">
        <v>221858</v>
      </c>
      <c r="F1293" s="362" t="s">
        <v>807</v>
      </c>
      <c r="G1293" s="361" t="s">
        <v>329</v>
      </c>
      <c r="H1293" s="328" t="s">
        <v>536</v>
      </c>
      <c r="I1293" s="327">
        <v>4</v>
      </c>
      <c r="J1293" s="361" t="s">
        <v>1306</v>
      </c>
      <c r="K1293" s="327" t="s">
        <v>531</v>
      </c>
      <c r="L1293" s="348">
        <f t="shared" si="171"/>
        <v>180000</v>
      </c>
      <c r="M1293" s="355"/>
      <c r="N1293" s="355" t="str">
        <f t="shared" si="156"/>
        <v>PR</v>
      </c>
      <c r="O1293" s="345"/>
      <c r="P1293" s="325"/>
      <c r="Q1293" s="351"/>
      <c r="R1293" s="351"/>
      <c r="S1293" s="618">
        <v>6</v>
      </c>
      <c r="T1293" s="619">
        <f>6/S1293</f>
        <v>1</v>
      </c>
      <c r="U1293" s="329">
        <f>IF($N1293=$N$4,IFERROR(INDEX(DanhMuc!$E$154:$E$165,MATCH(MID($B1293,4,2),DanhMuc!$B$154:$B$165,0)),""),"")</f>
        <v>5800</v>
      </c>
      <c r="V1293" s="325"/>
      <c r="W1293" s="352" t="str">
        <f>+IF(AND($A1293&lt;&gt;"",LEN($B1293)&gt;=8,COUNTIF($B$6:$B1293,$B1293)=1),$W$5,"")</f>
        <v/>
      </c>
      <c r="X1293" s="329" t="str">
        <f t="shared" si="170"/>
        <v>TRH</v>
      </c>
      <c r="Y1293" s="1128" t="s">
        <v>3380</v>
      </c>
      <c r="Z1293" s="1128" t="s">
        <v>3381</v>
      </c>
      <c r="AA1293" s="1128" t="s">
        <v>3384</v>
      </c>
      <c r="AC1293" s="73"/>
    </row>
    <row r="1294" spans="1:29" s="20" customFormat="1">
      <c r="A1294" s="327" t="str">
        <f>IF(AND($B1294&lt;&gt;"",$C1294&lt;&gt;""),MAX($A$4:A1293)+1,"")</f>
        <v/>
      </c>
      <c r="B1294" s="361" t="s">
        <v>1069</v>
      </c>
      <c r="C1294" s="364"/>
      <c r="D1294" s="327">
        <f>IF($B1294="","",COUNTIF($B$6:$B1294,$B1294))</f>
        <v>12</v>
      </c>
      <c r="E1294" s="361">
        <v>221858</v>
      </c>
      <c r="F1294" s="362" t="s">
        <v>807</v>
      </c>
      <c r="G1294" s="361" t="s">
        <v>328</v>
      </c>
      <c r="H1294" s="328" t="s">
        <v>536</v>
      </c>
      <c r="I1294" s="327">
        <v>4</v>
      </c>
      <c r="J1294" s="361" t="s">
        <v>1307</v>
      </c>
      <c r="K1294" s="327" t="s">
        <v>531</v>
      </c>
      <c r="L1294" s="348">
        <f t="shared" si="171"/>
        <v>180000</v>
      </c>
      <c r="M1294" s="355"/>
      <c r="N1294" s="355" t="str">
        <f t="shared" si="156"/>
        <v>PR</v>
      </c>
      <c r="O1294" s="345"/>
      <c r="P1294" s="325"/>
      <c r="Q1294" s="351"/>
      <c r="R1294" s="351"/>
      <c r="S1294" s="618">
        <v>6</v>
      </c>
      <c r="T1294" s="619">
        <f>6/S1294</f>
        <v>1</v>
      </c>
      <c r="U1294" s="329">
        <f>IF($N1294=$N$4,IFERROR(INDEX(DanhMuc!$E$154:$E$165,MATCH(MID($B1294,4,2),DanhMuc!$B$154:$B$165,0)),""),"")</f>
        <v>5800</v>
      </c>
      <c r="V1294" s="325"/>
      <c r="W1294" s="352" t="str">
        <f>+IF(AND($A1294&lt;&gt;"",LEN($B1294)&gt;=8,COUNTIF($B$6:$B1294,$B1294)=1),$W$5,"")</f>
        <v/>
      </c>
      <c r="X1294" s="329" t="str">
        <f t="shared" si="170"/>
        <v>TRH</v>
      </c>
      <c r="Y1294" s="1128" t="s">
        <v>3380</v>
      </c>
      <c r="Z1294" s="1128" t="s">
        <v>3381</v>
      </c>
      <c r="AA1294" s="1128" t="s">
        <v>3384</v>
      </c>
      <c r="AC1294" s="73"/>
    </row>
    <row r="1295" spans="1:29" s="20" customFormat="1" ht="26">
      <c r="A1295" s="327">
        <f>IF(AND($B1295&lt;&gt;"",$C1295&lt;&gt;""),MAX($A$4:A1294)+1,"")</f>
        <v>95</v>
      </c>
      <c r="B1295" s="359" t="s">
        <v>1180</v>
      </c>
      <c r="C1295" s="370" t="s">
        <v>1590</v>
      </c>
      <c r="D1295" s="327">
        <f>IF($B1295="","",COUNTIF($B$6:$B1295,$B1295))</f>
        <v>1</v>
      </c>
      <c r="E1295" s="363">
        <v>500013</v>
      </c>
      <c r="F1295" s="362" t="s">
        <v>938</v>
      </c>
      <c r="G1295" s="361" t="s">
        <v>329</v>
      </c>
      <c r="H1295" s="325"/>
      <c r="I1295" s="327">
        <v>2</v>
      </c>
      <c r="J1295" s="361" t="s">
        <v>762</v>
      </c>
      <c r="K1295" s="327" t="s">
        <v>516</v>
      </c>
      <c r="L1295" s="348">
        <v>432870</v>
      </c>
      <c r="M1295" s="355"/>
      <c r="N1295" s="355" t="str">
        <f t="shared" si="156"/>
        <v>PR</v>
      </c>
      <c r="O1295" s="345"/>
      <c r="P1295" s="325"/>
      <c r="Q1295" s="351"/>
      <c r="R1295" s="351"/>
      <c r="S1295" s="618">
        <v>5.8</v>
      </c>
      <c r="T1295" s="619">
        <v>6.3220000000000001</v>
      </c>
      <c r="U1295" s="329">
        <f>IF($N1295=$N$4,IFERROR(INDEX(DanhMuc!$E$154:$E$165,MATCH(MID($B1295,4,2),DanhMuc!$B$154:$B$165,0)),""),"")</f>
        <v>5800</v>
      </c>
      <c r="V1295" s="325"/>
      <c r="W1295" s="352" t="str">
        <f>+IF(AND($A1295&lt;&gt;"",LEN($B1295)&gt;=8,COUNTIF($B$6:$B1295,$B1295)=1),$W$5,"")</f>
        <v>DMCua</v>
      </c>
      <c r="X1295" s="329" t="str">
        <f t="shared" si="170"/>
        <v>RH</v>
      </c>
      <c r="Y1295" s="1128" t="s">
        <v>3380</v>
      </c>
      <c r="Z1295" s="1128" t="s">
        <v>3381</v>
      </c>
      <c r="AA1295" s="1128" t="s">
        <v>3384</v>
      </c>
      <c r="AC1295" s="73"/>
    </row>
    <row r="1296" spans="1:29" s="20" customFormat="1">
      <c r="A1296" s="327" t="str">
        <f>IF(AND($B1296&lt;&gt;"",$C1296&lt;&gt;""),MAX($A$4:A1295)+1,"")</f>
        <v/>
      </c>
      <c r="B1296" s="361" t="s">
        <v>1180</v>
      </c>
      <c r="C1296" s="364"/>
      <c r="D1296" s="327">
        <f>IF($B1296="","",COUNTIF($B$6:$B1296,$B1296))</f>
        <v>2</v>
      </c>
      <c r="E1296" s="363">
        <v>500013</v>
      </c>
      <c r="F1296" s="362" t="s">
        <v>938</v>
      </c>
      <c r="G1296" s="361" t="s">
        <v>328</v>
      </c>
      <c r="H1296" s="325"/>
      <c r="I1296" s="327">
        <v>2</v>
      </c>
      <c r="J1296" s="361" t="s">
        <v>763</v>
      </c>
      <c r="K1296" s="327" t="s">
        <v>516</v>
      </c>
      <c r="L1296" s="348">
        <v>432870</v>
      </c>
      <c r="M1296" s="355"/>
      <c r="N1296" s="355" t="str">
        <f t="shared" si="156"/>
        <v>PR</v>
      </c>
      <c r="O1296" s="347"/>
      <c r="P1296" s="325"/>
      <c r="Q1296" s="351"/>
      <c r="R1296" s="351"/>
      <c r="S1296" s="618">
        <v>5.8</v>
      </c>
      <c r="T1296" s="619">
        <v>6.3220000000000001</v>
      </c>
      <c r="U1296" s="329">
        <f>IF($N1296=$N$4,IFERROR(INDEX(DanhMuc!$E$154:$E$165,MATCH(MID($B1296,4,2),DanhMuc!$B$154:$B$165,0)),""),"")</f>
        <v>5800</v>
      </c>
      <c r="V1296" s="325"/>
      <c r="W1296" s="352" t="str">
        <f>+IF(AND($A1296&lt;&gt;"",LEN($B1296)&gt;=8,COUNTIF($B$6:$B1296,$B1296)=1),$W$5,"")</f>
        <v/>
      </c>
      <c r="X1296" s="329" t="str">
        <f t="shared" si="170"/>
        <v>RH</v>
      </c>
      <c r="Y1296" s="1128" t="s">
        <v>3380</v>
      </c>
      <c r="Z1296" s="1128" t="s">
        <v>3381</v>
      </c>
      <c r="AA1296" s="1128" t="s">
        <v>3384</v>
      </c>
      <c r="AC1296" s="73"/>
    </row>
    <row r="1297" spans="1:29" s="20" customFormat="1">
      <c r="A1297" s="327" t="str">
        <f>IF(AND($B1297&lt;&gt;"",$C1297&lt;&gt;""),MAX($A$4:A1296)+1,"")</f>
        <v/>
      </c>
      <c r="B1297" s="361" t="s">
        <v>1180</v>
      </c>
      <c r="C1297" s="364"/>
      <c r="D1297" s="327">
        <f>IF($B1297="","",COUNTIF($B$6:$B1297,$B1297))</f>
        <v>3</v>
      </c>
      <c r="E1297" s="363">
        <v>221842</v>
      </c>
      <c r="F1297" s="362" t="s">
        <v>915</v>
      </c>
      <c r="G1297" s="361" t="s">
        <v>329</v>
      </c>
      <c r="H1297" s="325"/>
      <c r="I1297" s="327">
        <v>2</v>
      </c>
      <c r="J1297" s="361" t="s">
        <v>916</v>
      </c>
      <c r="K1297" s="327" t="s">
        <v>531</v>
      </c>
      <c r="L1297" s="348">
        <v>87023</v>
      </c>
      <c r="M1297" s="355"/>
      <c r="N1297" s="355" t="str">
        <f t="shared" si="156"/>
        <v>PR</v>
      </c>
      <c r="O1297" s="347"/>
      <c r="P1297" s="325"/>
      <c r="Q1297" s="351"/>
      <c r="R1297" s="351"/>
      <c r="S1297" s="618">
        <v>5.8</v>
      </c>
      <c r="T1297" s="619">
        <v>0.55100000000000005</v>
      </c>
      <c r="U1297" s="329">
        <f>IF($N1297=$N$4,IFERROR(INDEX(DanhMuc!$E$154:$E$165,MATCH(MID($B1297,4,2),DanhMuc!$B$154:$B$165,0)),""),"")</f>
        <v>5800</v>
      </c>
      <c r="V1297" s="325"/>
      <c r="W1297" s="352" t="str">
        <f>+IF(AND($A1297&lt;&gt;"",LEN($B1297)&gt;=8,COUNTIF($B$6:$B1297,$B1297)=1),$W$5,"")</f>
        <v/>
      </c>
      <c r="X1297" s="329" t="str">
        <f t="shared" si="170"/>
        <v>RH</v>
      </c>
      <c r="Y1297" s="1128" t="s">
        <v>3380</v>
      </c>
      <c r="Z1297" s="1128" t="s">
        <v>3381</v>
      </c>
      <c r="AA1297" s="1128" t="s">
        <v>3384</v>
      </c>
      <c r="AC1297" s="73"/>
    </row>
    <row r="1298" spans="1:29" s="20" customFormat="1">
      <c r="A1298" s="327" t="str">
        <f>IF(AND($B1298&lt;&gt;"",$C1298&lt;&gt;""),MAX($A$4:A1297)+1,"")</f>
        <v/>
      </c>
      <c r="B1298" s="361" t="s">
        <v>1180</v>
      </c>
      <c r="C1298" s="364"/>
      <c r="D1298" s="327">
        <f>IF($B1298="","",COUNTIF($B$6:$B1298,$B1298))</f>
        <v>4</v>
      </c>
      <c r="E1298" s="361">
        <v>500033</v>
      </c>
      <c r="F1298" s="362" t="s">
        <v>917</v>
      </c>
      <c r="G1298" s="361" t="s">
        <v>329</v>
      </c>
      <c r="H1298" s="325"/>
      <c r="I1298" s="327">
        <v>8</v>
      </c>
      <c r="J1298" s="361" t="s">
        <v>1181</v>
      </c>
      <c r="K1298" s="327" t="s">
        <v>516</v>
      </c>
      <c r="L1298" s="348">
        <v>424449</v>
      </c>
      <c r="M1298" s="355"/>
      <c r="N1298" s="355" t="str">
        <f t="shared" si="156"/>
        <v>PR</v>
      </c>
      <c r="O1298" s="345"/>
      <c r="P1298" s="325"/>
      <c r="Q1298" s="351"/>
      <c r="R1298" s="351"/>
      <c r="S1298" s="618">
        <v>5.8</v>
      </c>
      <c r="T1298" s="619">
        <v>6.0435999999999996</v>
      </c>
      <c r="U1298" s="329">
        <f>IF($N1298=$N$4,IFERROR(INDEX(DanhMuc!$E$154:$E$165,MATCH(MID($B1298,4,2),DanhMuc!$B$154:$B$165,0)),""),"")</f>
        <v>5800</v>
      </c>
      <c r="V1298" s="325"/>
      <c r="W1298" s="352" t="str">
        <f>+IF(AND($A1298&lt;&gt;"",LEN($B1298)&gt;=8,COUNTIF($B$6:$B1298,$B1298)=1),$W$5,"")</f>
        <v/>
      </c>
      <c r="X1298" s="329" t="str">
        <f t="shared" si="170"/>
        <v>RH</v>
      </c>
      <c r="Y1298" s="1128" t="s">
        <v>3380</v>
      </c>
      <c r="Z1298" s="1128" t="s">
        <v>3381</v>
      </c>
      <c r="AA1298" s="1128" t="s">
        <v>3384</v>
      </c>
      <c r="AC1298" s="73"/>
    </row>
    <row r="1299" spans="1:29" s="20" customFormat="1">
      <c r="A1299" s="327" t="str">
        <f>IF(AND($B1299&lt;&gt;"",$C1299&lt;&gt;""),MAX($A$4:A1298)+1,"")</f>
        <v/>
      </c>
      <c r="B1299" s="361" t="s">
        <v>1180</v>
      </c>
      <c r="C1299" s="364"/>
      <c r="D1299" s="327">
        <f>IF($B1299="","",COUNTIF($B$6:$B1299,$B1299))</f>
        <v>5</v>
      </c>
      <c r="E1299" s="361">
        <v>500033</v>
      </c>
      <c r="F1299" s="362" t="s">
        <v>917</v>
      </c>
      <c r="G1299" s="361" t="s">
        <v>328</v>
      </c>
      <c r="H1299" s="325"/>
      <c r="I1299" s="327">
        <v>8</v>
      </c>
      <c r="J1299" s="361" t="s">
        <v>919</v>
      </c>
      <c r="K1299" s="327" t="s">
        <v>516</v>
      </c>
      <c r="L1299" s="348">
        <v>424449</v>
      </c>
      <c r="M1299" s="355"/>
      <c r="N1299" s="355" t="str">
        <f t="shared" si="156"/>
        <v>PR</v>
      </c>
      <c r="O1299" s="345"/>
      <c r="P1299" s="325"/>
      <c r="Q1299" s="351"/>
      <c r="R1299" s="351"/>
      <c r="S1299" s="618">
        <v>5.8</v>
      </c>
      <c r="T1299" s="619">
        <v>6.0435999999999996</v>
      </c>
      <c r="U1299" s="329">
        <f>IF($N1299=$N$4,IFERROR(INDEX(DanhMuc!$E$154:$E$165,MATCH(MID($B1299,4,2),DanhMuc!$B$154:$B$165,0)),""),"")</f>
        <v>5800</v>
      </c>
      <c r="V1299" s="325"/>
      <c r="W1299" s="352" t="str">
        <f>+IF(AND($A1299&lt;&gt;"",LEN($B1299)&gt;=8,COUNTIF($B$6:$B1299,$B1299)=1),$W$5,"")</f>
        <v/>
      </c>
      <c r="X1299" s="329" t="str">
        <f t="shared" si="170"/>
        <v>RH</v>
      </c>
      <c r="Y1299" s="1128" t="s">
        <v>3380</v>
      </c>
      <c r="Z1299" s="1128" t="s">
        <v>3381</v>
      </c>
      <c r="AA1299" s="1128" t="s">
        <v>3384</v>
      </c>
      <c r="AC1299" s="73"/>
    </row>
    <row r="1300" spans="1:29" s="20" customFormat="1">
      <c r="A1300" s="327" t="str">
        <f>IF(AND($B1300&lt;&gt;"",$C1300&lt;&gt;""),MAX($A$4:A1299)+1,"")</f>
        <v/>
      </c>
      <c r="B1300" s="361" t="s">
        <v>1180</v>
      </c>
      <c r="C1300" s="364"/>
      <c r="D1300" s="327">
        <f>IF($B1300="","",COUNTIF($B$6:$B1300,$B1300))</f>
        <v>6</v>
      </c>
      <c r="E1300" s="605">
        <v>557035</v>
      </c>
      <c r="F1300" s="362" t="s">
        <v>1372</v>
      </c>
      <c r="G1300" s="361" t="s">
        <v>328</v>
      </c>
      <c r="H1300" s="325"/>
      <c r="I1300" s="327">
        <v>1</v>
      </c>
      <c r="J1300" s="361" t="s">
        <v>920</v>
      </c>
      <c r="K1300" s="327" t="s">
        <v>531</v>
      </c>
      <c r="L1300" s="348">
        <v>629587</v>
      </c>
      <c r="M1300" s="355"/>
      <c r="N1300" s="355" t="str">
        <f t="shared" si="156"/>
        <v>PR</v>
      </c>
      <c r="O1300" s="345"/>
      <c r="P1300" s="325"/>
      <c r="Q1300" s="351"/>
      <c r="R1300" s="351"/>
      <c r="S1300" s="618">
        <v>6</v>
      </c>
      <c r="T1300" s="619">
        <v>2.6640000000000001</v>
      </c>
      <c r="U1300" s="329">
        <f>IF($N1300=$N$4,IFERROR(INDEX(DanhMuc!$E$154:$E$165,MATCH(MID($B1300,4,2),DanhMuc!$B$154:$B$165,0)),""),"")</f>
        <v>5800</v>
      </c>
      <c r="V1300" s="325"/>
      <c r="W1300" s="352" t="str">
        <f>+IF(AND($A1300&lt;&gt;"",LEN($B1300)&gt;=8,COUNTIF($B$6:$B1300,$B1300)=1),$W$5,"")</f>
        <v/>
      </c>
      <c r="X1300" s="329" t="str">
        <f t="shared" si="170"/>
        <v>RH</v>
      </c>
      <c r="Y1300" s="1128" t="s">
        <v>3380</v>
      </c>
      <c r="Z1300" s="1128" t="s">
        <v>3381</v>
      </c>
      <c r="AA1300" s="1128" t="s">
        <v>3384</v>
      </c>
      <c r="AC1300" s="73"/>
    </row>
    <row r="1301" spans="1:29" s="20" customFormat="1">
      <c r="A1301" s="327" t="str">
        <f>IF(AND($B1301&lt;&gt;"",$C1301&lt;&gt;""),MAX($A$4:A1300)+1,"")</f>
        <v/>
      </c>
      <c r="B1301" s="361" t="s">
        <v>1180</v>
      </c>
      <c r="C1301" s="364"/>
      <c r="D1301" s="327">
        <f>IF($B1301="","",COUNTIF($B$6:$B1301,$B1301))</f>
        <v>7</v>
      </c>
      <c r="E1301" s="361">
        <v>500053</v>
      </c>
      <c r="F1301" s="362" t="s">
        <v>795</v>
      </c>
      <c r="G1301" s="361" t="s">
        <v>328</v>
      </c>
      <c r="H1301" s="325"/>
      <c r="I1301" s="327">
        <v>4</v>
      </c>
      <c r="J1301" s="361" t="s">
        <v>920</v>
      </c>
      <c r="K1301" s="327" t="s">
        <v>531</v>
      </c>
      <c r="L1301" s="348">
        <v>184152</v>
      </c>
      <c r="M1301" s="355"/>
      <c r="N1301" s="355" t="str">
        <f t="shared" si="156"/>
        <v>PR</v>
      </c>
      <c r="O1301" s="345"/>
      <c r="P1301" s="325"/>
      <c r="Q1301" s="351"/>
      <c r="R1301" s="351"/>
      <c r="S1301" s="618">
        <v>5.8</v>
      </c>
      <c r="T1301" s="619">
        <v>1.9372</v>
      </c>
      <c r="U1301" s="329">
        <f>IF($N1301=$N$4,IFERROR(INDEX(DanhMuc!$E$154:$E$165,MATCH(MID($B1301,4,2),DanhMuc!$B$154:$B$165,0)),""),"")</f>
        <v>5800</v>
      </c>
      <c r="V1301" s="325"/>
      <c r="W1301" s="352" t="str">
        <f>+IF(AND($A1301&lt;&gt;"",LEN($B1301)&gt;=8,COUNTIF($B$6:$B1301,$B1301)=1),$W$5,"")</f>
        <v/>
      </c>
      <c r="X1301" s="329" t="str">
        <f t="shared" si="170"/>
        <v>RH</v>
      </c>
      <c r="Y1301" s="1128" t="s">
        <v>3380</v>
      </c>
      <c r="Z1301" s="1128" t="s">
        <v>3381</v>
      </c>
      <c r="AA1301" s="1128" t="s">
        <v>3384</v>
      </c>
      <c r="AC1301" s="73"/>
    </row>
    <row r="1302" spans="1:29" s="20" customFormat="1">
      <c r="A1302" s="327" t="str">
        <f>IF(AND($B1302&lt;&gt;"",$C1302&lt;&gt;""),MAX($A$4:A1301)+1,"")</f>
        <v/>
      </c>
      <c r="B1302" s="361" t="s">
        <v>1180</v>
      </c>
      <c r="C1302" s="364"/>
      <c r="D1302" s="327">
        <f>IF($B1302="","",COUNTIF($B$6:$B1302,$B1302))</f>
        <v>8</v>
      </c>
      <c r="E1302" s="361" t="s">
        <v>899</v>
      </c>
      <c r="F1302" s="362" t="s">
        <v>898</v>
      </c>
      <c r="G1302" s="361" t="s">
        <v>329</v>
      </c>
      <c r="H1302" s="325"/>
      <c r="I1302" s="327">
        <v>8</v>
      </c>
      <c r="J1302" s="361" t="s">
        <v>1182</v>
      </c>
      <c r="K1302" s="327" t="s">
        <v>516</v>
      </c>
      <c r="L1302" s="348">
        <v>0</v>
      </c>
      <c r="M1302" s="355"/>
      <c r="N1302" s="355" t="str">
        <f t="shared" si="156"/>
        <v>PR</v>
      </c>
      <c r="O1302" s="347"/>
      <c r="P1302" s="325"/>
      <c r="Q1302" s="351"/>
      <c r="R1302" s="351"/>
      <c r="S1302" s="618"/>
      <c r="T1302" s="619"/>
      <c r="U1302" s="329">
        <f>IF($N1302=$N$4,IFERROR(INDEX(DanhMuc!$E$154:$E$165,MATCH(MID($B1302,4,2),DanhMuc!$B$154:$B$165,0)),""),"")</f>
        <v>5800</v>
      </c>
      <c r="V1302" s="325"/>
      <c r="W1302" s="352" t="str">
        <f>+IF(AND($A1302&lt;&gt;"",LEN($B1302)&gt;=8,COUNTIF($B$6:$B1302,$B1302)=1),$W$5,"")</f>
        <v/>
      </c>
      <c r="X1302" s="329" t="str">
        <f t="shared" si="170"/>
        <v>RH</v>
      </c>
      <c r="Y1302" s="1128" t="s">
        <v>3380</v>
      </c>
      <c r="Z1302" s="1128" t="s">
        <v>3381</v>
      </c>
      <c r="AA1302" s="1128" t="s">
        <v>3384</v>
      </c>
      <c r="AC1302" s="73"/>
    </row>
    <row r="1303" spans="1:29" s="20" customFormat="1">
      <c r="A1303" s="327" t="str">
        <f>IF(AND($B1303&lt;&gt;"",$C1303&lt;&gt;""),MAX($A$4:A1302)+1,"")</f>
        <v/>
      </c>
      <c r="B1303" s="361" t="s">
        <v>1180</v>
      </c>
      <c r="C1303" s="364"/>
      <c r="D1303" s="327">
        <f>IF($B1303="","",COUNTIF($B$6:$B1303,$B1303))</f>
        <v>9</v>
      </c>
      <c r="E1303" s="361" t="s">
        <v>899</v>
      </c>
      <c r="F1303" s="362" t="s">
        <v>898</v>
      </c>
      <c r="G1303" s="361" t="s">
        <v>328</v>
      </c>
      <c r="H1303" s="325"/>
      <c r="I1303" s="327">
        <v>8</v>
      </c>
      <c r="J1303" s="361" t="s">
        <v>922</v>
      </c>
      <c r="K1303" s="327" t="s">
        <v>516</v>
      </c>
      <c r="L1303" s="348">
        <v>0</v>
      </c>
      <c r="M1303" s="355"/>
      <c r="N1303" s="355" t="str">
        <f t="shared" si="156"/>
        <v>PR</v>
      </c>
      <c r="O1303" s="347"/>
      <c r="P1303" s="325"/>
      <c r="Q1303" s="351"/>
      <c r="R1303" s="351"/>
      <c r="S1303" s="618"/>
      <c r="T1303" s="619"/>
      <c r="U1303" s="329">
        <f>IF($N1303=$N$4,IFERROR(INDEX(DanhMuc!$E$154:$E$165,MATCH(MID($B1303,4,2),DanhMuc!$B$154:$B$165,0)),""),"")</f>
        <v>5800</v>
      </c>
      <c r="V1303" s="325"/>
      <c r="W1303" s="352" t="str">
        <f>+IF(AND($A1303&lt;&gt;"",LEN($B1303)&gt;=8,COUNTIF($B$6:$B1303,$B1303)=1),$W$5,"")</f>
        <v/>
      </c>
      <c r="X1303" s="329" t="str">
        <f t="shared" si="170"/>
        <v>RH</v>
      </c>
      <c r="Y1303" s="1128" t="s">
        <v>3380</v>
      </c>
      <c r="Z1303" s="1128" t="s">
        <v>3381</v>
      </c>
      <c r="AA1303" s="1128" t="s">
        <v>3384</v>
      </c>
      <c r="AC1303" s="73"/>
    </row>
    <row r="1304" spans="1:29" s="20" customFormat="1">
      <c r="A1304" s="327" t="str">
        <f>IF(AND($B1304&lt;&gt;"",$C1304&lt;&gt;""),MAX($A$4:A1303)+1,"")</f>
        <v/>
      </c>
      <c r="B1304" s="361" t="s">
        <v>1180</v>
      </c>
      <c r="C1304" s="364"/>
      <c r="D1304" s="327">
        <f>IF($B1304="","",COUNTIF($B$6:$B1304,$B1304))</f>
        <v>10</v>
      </c>
      <c r="E1304" s="361">
        <v>221857</v>
      </c>
      <c r="F1304" s="362" t="s">
        <v>1447</v>
      </c>
      <c r="G1304" s="361" t="s">
        <v>329</v>
      </c>
      <c r="H1304" s="328" t="s">
        <v>536</v>
      </c>
      <c r="I1304" s="327">
        <v>2</v>
      </c>
      <c r="J1304" s="361" t="s">
        <v>1211</v>
      </c>
      <c r="K1304" s="327" t="s">
        <v>531</v>
      </c>
      <c r="L1304" s="348">
        <f t="shared" ref="L1304:L1307" si="173">+$K$1038*$T1304*$S1304</f>
        <v>183000</v>
      </c>
      <c r="M1304" s="355"/>
      <c r="N1304" s="355" t="str">
        <f t="shared" si="156"/>
        <v>PR</v>
      </c>
      <c r="O1304" s="345"/>
      <c r="P1304" s="325"/>
      <c r="Q1304" s="351"/>
      <c r="R1304" s="351"/>
      <c r="S1304" s="618">
        <v>6</v>
      </c>
      <c r="T1304" s="619">
        <f t="shared" ref="T1304:T1305" si="174">6.1/S1304</f>
        <v>1.0166666666666666</v>
      </c>
      <c r="U1304" s="329">
        <f>IF($N1304=$N$4,IFERROR(INDEX(DanhMuc!$E$154:$E$165,MATCH(MID($B1304,4,2),DanhMuc!$B$154:$B$165,0)),""),"")</f>
        <v>5800</v>
      </c>
      <c r="V1304" s="325"/>
      <c r="W1304" s="352" t="str">
        <f>+IF(AND($A1304&lt;&gt;"",LEN($B1304)&gt;=8,COUNTIF($B$6:$B1304,$B1304)=1),$W$5,"")</f>
        <v/>
      </c>
      <c r="X1304" s="329" t="str">
        <f t="shared" si="170"/>
        <v>TRH</v>
      </c>
      <c r="Y1304" s="1128" t="s">
        <v>3380</v>
      </c>
      <c r="Z1304" s="1128" t="s">
        <v>3381</v>
      </c>
      <c r="AA1304" s="1128" t="s">
        <v>3384</v>
      </c>
      <c r="AC1304" s="73"/>
    </row>
    <row r="1305" spans="1:29" s="20" customFormat="1">
      <c r="A1305" s="327" t="str">
        <f>IF(AND($B1305&lt;&gt;"",$C1305&lt;&gt;""),MAX($A$4:A1304)+1,"")</f>
        <v/>
      </c>
      <c r="B1305" s="361" t="s">
        <v>1180</v>
      </c>
      <c r="C1305" s="364"/>
      <c r="D1305" s="327">
        <f>IF($B1305="","",COUNTIF($B$6:$B1305,$B1305))</f>
        <v>11</v>
      </c>
      <c r="E1305" s="361">
        <v>221857</v>
      </c>
      <c r="F1305" s="362" t="s">
        <v>1447</v>
      </c>
      <c r="G1305" s="361" t="s">
        <v>328</v>
      </c>
      <c r="H1305" s="328" t="s">
        <v>536</v>
      </c>
      <c r="I1305" s="327">
        <v>2</v>
      </c>
      <c r="J1305" s="361" t="s">
        <v>1212</v>
      </c>
      <c r="K1305" s="327" t="s">
        <v>531</v>
      </c>
      <c r="L1305" s="348">
        <f t="shared" si="173"/>
        <v>183000</v>
      </c>
      <c r="M1305" s="355"/>
      <c r="N1305" s="355" t="str">
        <f t="shared" si="156"/>
        <v>PR</v>
      </c>
      <c r="O1305" s="345"/>
      <c r="P1305" s="325"/>
      <c r="Q1305" s="351"/>
      <c r="R1305" s="351"/>
      <c r="S1305" s="618">
        <v>6</v>
      </c>
      <c r="T1305" s="619">
        <f t="shared" si="174"/>
        <v>1.0166666666666666</v>
      </c>
      <c r="U1305" s="329">
        <f>IF($N1305=$N$4,IFERROR(INDEX(DanhMuc!$E$154:$E$165,MATCH(MID($B1305,4,2),DanhMuc!$B$154:$B$165,0)),""),"")</f>
        <v>5800</v>
      </c>
      <c r="V1305" s="325"/>
      <c r="W1305" s="352" t="str">
        <f>+IF(AND($A1305&lt;&gt;"",LEN($B1305)&gt;=8,COUNTIF($B$6:$B1305,$B1305)=1),$W$5,"")</f>
        <v/>
      </c>
      <c r="X1305" s="329" t="str">
        <f t="shared" si="170"/>
        <v>TRH</v>
      </c>
      <c r="Y1305" s="1128" t="s">
        <v>3380</v>
      </c>
      <c r="Z1305" s="1128" t="s">
        <v>3381</v>
      </c>
      <c r="AA1305" s="1128" t="s">
        <v>3384</v>
      </c>
      <c r="AC1305" s="73"/>
    </row>
    <row r="1306" spans="1:29" s="20" customFormat="1">
      <c r="A1306" s="327" t="str">
        <f>IF(AND($B1306&lt;&gt;"",$C1306&lt;&gt;""),MAX($A$4:A1305)+1,"")</f>
        <v/>
      </c>
      <c r="B1306" s="361" t="s">
        <v>1180</v>
      </c>
      <c r="C1306" s="364"/>
      <c r="D1306" s="327">
        <f>IF($B1306="","",COUNTIF($B$6:$B1306,$B1306))</f>
        <v>12</v>
      </c>
      <c r="E1306" s="361">
        <v>221858</v>
      </c>
      <c r="F1306" s="362" t="s">
        <v>807</v>
      </c>
      <c r="G1306" s="361" t="s">
        <v>329</v>
      </c>
      <c r="H1306" s="328" t="s">
        <v>536</v>
      </c>
      <c r="I1306" s="327">
        <v>8</v>
      </c>
      <c r="J1306" s="361" t="s">
        <v>1308</v>
      </c>
      <c r="K1306" s="327" t="s">
        <v>531</v>
      </c>
      <c r="L1306" s="348">
        <f t="shared" si="173"/>
        <v>180000</v>
      </c>
      <c r="M1306" s="355"/>
      <c r="N1306" s="355" t="str">
        <f t="shared" si="156"/>
        <v>PR</v>
      </c>
      <c r="O1306" s="345"/>
      <c r="P1306" s="325"/>
      <c r="Q1306" s="351"/>
      <c r="R1306" s="351"/>
      <c r="S1306" s="618">
        <v>6</v>
      </c>
      <c r="T1306" s="619">
        <f t="shared" ref="T1306:T1307" si="175">6/S1306</f>
        <v>1</v>
      </c>
      <c r="U1306" s="329">
        <f>IF($N1306=$N$4,IFERROR(INDEX(DanhMuc!$E$154:$E$165,MATCH(MID($B1306,4,2),DanhMuc!$B$154:$B$165,0)),""),"")</f>
        <v>5800</v>
      </c>
      <c r="V1306" s="325"/>
      <c r="W1306" s="352" t="str">
        <f>+IF(AND($A1306&lt;&gt;"",LEN($B1306)&gt;=8,COUNTIF($B$6:$B1306,$B1306)=1),$W$5,"")</f>
        <v/>
      </c>
      <c r="X1306" s="329" t="str">
        <f t="shared" si="170"/>
        <v>TRH</v>
      </c>
      <c r="Y1306" s="1128" t="s">
        <v>3380</v>
      </c>
      <c r="Z1306" s="1128" t="s">
        <v>3381</v>
      </c>
      <c r="AA1306" s="1128" t="s">
        <v>3384</v>
      </c>
      <c r="AC1306" s="73"/>
    </row>
    <row r="1307" spans="1:29" s="20" customFormat="1">
      <c r="A1307" s="327" t="str">
        <f>IF(AND($B1307&lt;&gt;"",$C1307&lt;&gt;""),MAX($A$4:A1306)+1,"")</f>
        <v/>
      </c>
      <c r="B1307" s="361" t="s">
        <v>1180</v>
      </c>
      <c r="C1307" s="364"/>
      <c r="D1307" s="327">
        <f>IF($B1307="","",COUNTIF($B$6:$B1307,$B1307))</f>
        <v>13</v>
      </c>
      <c r="E1307" s="361">
        <v>221858</v>
      </c>
      <c r="F1307" s="362" t="s">
        <v>807</v>
      </c>
      <c r="G1307" s="361" t="s">
        <v>328</v>
      </c>
      <c r="H1307" s="328" t="s">
        <v>536</v>
      </c>
      <c r="I1307" s="327">
        <v>8</v>
      </c>
      <c r="J1307" s="361" t="s">
        <v>1307</v>
      </c>
      <c r="K1307" s="327" t="s">
        <v>531</v>
      </c>
      <c r="L1307" s="348">
        <f t="shared" si="173"/>
        <v>180000</v>
      </c>
      <c r="M1307" s="355"/>
      <c r="N1307" s="355" t="str">
        <f t="shared" si="156"/>
        <v>PR</v>
      </c>
      <c r="O1307" s="345"/>
      <c r="P1307" s="325"/>
      <c r="Q1307" s="351"/>
      <c r="R1307" s="351"/>
      <c r="S1307" s="618">
        <v>6</v>
      </c>
      <c r="T1307" s="619">
        <f t="shared" si="175"/>
        <v>1</v>
      </c>
      <c r="U1307" s="329">
        <f>IF($N1307=$N$4,IFERROR(INDEX(DanhMuc!$E$154:$E$165,MATCH(MID($B1307,4,2),DanhMuc!$B$154:$B$165,0)),""),"")</f>
        <v>5800</v>
      </c>
      <c r="V1307" s="325"/>
      <c r="W1307" s="352" t="str">
        <f>+IF(AND($A1307&lt;&gt;"",LEN($B1307)&gt;=8,COUNTIF($B$6:$B1307,$B1307)=1),$W$5,"")</f>
        <v/>
      </c>
      <c r="X1307" s="329" t="str">
        <f t="shared" si="170"/>
        <v>TRH</v>
      </c>
      <c r="Y1307" s="1128" t="s">
        <v>3380</v>
      </c>
      <c r="Z1307" s="1128" t="s">
        <v>3381</v>
      </c>
      <c r="AA1307" s="1128" t="s">
        <v>3384</v>
      </c>
      <c r="AC1307" s="73"/>
    </row>
    <row r="1308" spans="1:29" s="20" customFormat="1" ht="26">
      <c r="A1308" s="327">
        <f>IF(AND($B1308&lt;&gt;"",$C1308&lt;&gt;""),MAX($A$4:A1294)+1,"")</f>
        <v>95</v>
      </c>
      <c r="B1308" s="359" t="s">
        <v>934</v>
      </c>
      <c r="C1308" s="370" t="s">
        <v>1591</v>
      </c>
      <c r="D1308" s="327">
        <f>IF($B1308="","",COUNTIF($B$6:$B1308,$B1308))</f>
        <v>1</v>
      </c>
      <c r="E1308" s="363">
        <v>500113</v>
      </c>
      <c r="F1308" s="362" t="s">
        <v>618</v>
      </c>
      <c r="G1308" s="361" t="s">
        <v>329</v>
      </c>
      <c r="H1308" s="325"/>
      <c r="I1308" s="327">
        <v>2</v>
      </c>
      <c r="J1308" s="361" t="s">
        <v>762</v>
      </c>
      <c r="K1308" s="327" t="s">
        <v>516</v>
      </c>
      <c r="L1308" s="348">
        <v>414904</v>
      </c>
      <c r="M1308" s="355"/>
      <c r="N1308" s="355" t="str">
        <f t="shared" si="156"/>
        <v>PR</v>
      </c>
      <c r="O1308" s="345"/>
      <c r="P1308" s="325"/>
      <c r="Q1308" s="351"/>
      <c r="R1308" s="351"/>
      <c r="S1308" s="618">
        <v>5.8</v>
      </c>
      <c r="T1308" s="619">
        <v>6.3220000000000001</v>
      </c>
      <c r="U1308" s="329">
        <f>IF($N1308=$N$4,IFERROR(INDEX(DanhMuc!$E$154:$E$165,MATCH(MID($B1308,4,2),DanhMuc!$B$154:$B$165,0)),""),"")</f>
        <v>5800</v>
      </c>
      <c r="V1308" s="325"/>
      <c r="W1308" s="352" t="str">
        <f>+IF(AND($A1308&lt;&gt;"",LEN($B1308)&gt;=8,COUNTIF($B$6:$B1308,$B1308)=1),$W$5,"")</f>
        <v>DMCua</v>
      </c>
      <c r="X1308" s="329" t="str">
        <f t="shared" si="170"/>
        <v>RH</v>
      </c>
      <c r="Y1308" s="1128" t="s">
        <v>3380</v>
      </c>
      <c r="Z1308" s="1128" t="s">
        <v>3381</v>
      </c>
      <c r="AA1308" s="1128" t="s">
        <v>3384</v>
      </c>
      <c r="AC1308" s="73"/>
    </row>
    <row r="1309" spans="1:29" s="20" customFormat="1">
      <c r="A1309" s="327" t="str">
        <f>IF(AND($B1309&lt;&gt;"",$C1309&lt;&gt;""),MAX($A$4:A1308)+1,"")</f>
        <v/>
      </c>
      <c r="B1309" s="361" t="s">
        <v>934</v>
      </c>
      <c r="C1309" s="364"/>
      <c r="D1309" s="327">
        <f>IF($B1309="","",COUNTIF($B$6:$B1309,$B1309))</f>
        <v>2</v>
      </c>
      <c r="E1309" s="363">
        <v>500113</v>
      </c>
      <c r="F1309" s="362" t="s">
        <v>618</v>
      </c>
      <c r="G1309" s="361" t="s">
        <v>328</v>
      </c>
      <c r="H1309" s="325"/>
      <c r="I1309" s="327">
        <v>2</v>
      </c>
      <c r="J1309" s="361" t="s">
        <v>763</v>
      </c>
      <c r="K1309" s="327" t="s">
        <v>516</v>
      </c>
      <c r="L1309" s="348">
        <v>414904</v>
      </c>
      <c r="M1309" s="355"/>
      <c r="N1309" s="355" t="str">
        <f t="shared" si="156"/>
        <v>PR</v>
      </c>
      <c r="O1309" s="347"/>
      <c r="P1309" s="325"/>
      <c r="Q1309" s="351"/>
      <c r="R1309" s="351"/>
      <c r="S1309" s="618">
        <v>5.8</v>
      </c>
      <c r="T1309" s="619">
        <v>6.3220000000000001</v>
      </c>
      <c r="U1309" s="329">
        <f>IF($N1309=$N$4,IFERROR(INDEX(DanhMuc!$E$154:$E$165,MATCH(MID($B1309,4,2),DanhMuc!$B$154:$B$165,0)),""),"")</f>
        <v>5800</v>
      </c>
      <c r="V1309" s="325"/>
      <c r="W1309" s="352" t="str">
        <f>+IF(AND($A1309&lt;&gt;"",LEN($B1309)&gt;=8,COUNTIF($B$6:$B1309,$B1309)=1),$W$5,"")</f>
        <v/>
      </c>
      <c r="X1309" s="329" t="str">
        <f t="shared" si="170"/>
        <v>RH</v>
      </c>
      <c r="Y1309" s="1128" t="s">
        <v>3380</v>
      </c>
      <c r="Z1309" s="1128" t="s">
        <v>3381</v>
      </c>
      <c r="AA1309" s="1128" t="s">
        <v>3384</v>
      </c>
      <c r="AC1309" s="73"/>
    </row>
    <row r="1310" spans="1:29" s="20" customFormat="1">
      <c r="A1310" s="327" t="str">
        <f>IF(AND($B1310&lt;&gt;"",$C1310&lt;&gt;""),MAX($A$4:A1309)+1,"")</f>
        <v/>
      </c>
      <c r="B1310" s="361" t="s">
        <v>934</v>
      </c>
      <c r="C1310" s="364"/>
      <c r="D1310" s="327">
        <f>IF($B1310="","",COUNTIF($B$6:$B1310,$B1310))</f>
        <v>3</v>
      </c>
      <c r="E1310" s="361" t="s">
        <v>899</v>
      </c>
      <c r="F1310" s="362" t="s">
        <v>898</v>
      </c>
      <c r="G1310" s="361" t="s">
        <v>329</v>
      </c>
      <c r="H1310" s="325"/>
      <c r="I1310" s="327">
        <v>2</v>
      </c>
      <c r="J1310" s="361" t="s">
        <v>930</v>
      </c>
      <c r="K1310" s="327" t="s">
        <v>516</v>
      </c>
      <c r="L1310" s="348">
        <v>0</v>
      </c>
      <c r="M1310" s="355"/>
      <c r="N1310" s="355" t="str">
        <f t="shared" ref="N1310:N1319" si="176">+$N$4</f>
        <v>PR</v>
      </c>
      <c r="O1310" s="347"/>
      <c r="P1310" s="325"/>
      <c r="Q1310" s="351"/>
      <c r="R1310" s="351"/>
      <c r="S1310" s="618"/>
      <c r="T1310" s="619"/>
      <c r="U1310" s="329">
        <f>IF($N1310=$N$4,IFERROR(INDEX(DanhMuc!$E$154:$E$165,MATCH(MID($B1310,4,2),DanhMuc!$B$154:$B$165,0)),""),"")</f>
        <v>5800</v>
      </c>
      <c r="V1310" s="325"/>
      <c r="W1310" s="352" t="str">
        <f>+IF(AND($A1310&lt;&gt;"",LEN($B1310)&gt;=8,COUNTIF($B$6:$B1310,$B1310)=1),$W$5,"")</f>
        <v/>
      </c>
      <c r="X1310" s="329" t="str">
        <f t="shared" si="170"/>
        <v>RH</v>
      </c>
      <c r="Y1310" s="1128" t="s">
        <v>3380</v>
      </c>
      <c r="Z1310" s="1128" t="s">
        <v>3381</v>
      </c>
      <c r="AA1310" s="1128" t="s">
        <v>3384</v>
      </c>
      <c r="AC1310" s="73"/>
    </row>
    <row r="1311" spans="1:29" s="20" customFormat="1">
      <c r="A1311" s="327" t="str">
        <f>IF(AND($B1311&lt;&gt;"",$C1311&lt;&gt;""),MAX($A$4:A1310)+1,"")</f>
        <v/>
      </c>
      <c r="B1311" s="361" t="s">
        <v>934</v>
      </c>
      <c r="C1311" s="364"/>
      <c r="D1311" s="327">
        <f>IF($B1311="","",COUNTIF($B$6:$B1311,$B1311))</f>
        <v>4</v>
      </c>
      <c r="E1311" s="361" t="s">
        <v>899</v>
      </c>
      <c r="F1311" s="362" t="s">
        <v>898</v>
      </c>
      <c r="G1311" s="361" t="s">
        <v>328</v>
      </c>
      <c r="H1311" s="325"/>
      <c r="I1311" s="327">
        <v>2</v>
      </c>
      <c r="J1311" s="361" t="s">
        <v>931</v>
      </c>
      <c r="K1311" s="327" t="s">
        <v>516</v>
      </c>
      <c r="L1311" s="348">
        <v>0</v>
      </c>
      <c r="M1311" s="355"/>
      <c r="N1311" s="355" t="str">
        <f t="shared" si="176"/>
        <v>PR</v>
      </c>
      <c r="O1311" s="347"/>
      <c r="P1311" s="325"/>
      <c r="Q1311" s="351"/>
      <c r="R1311" s="351"/>
      <c r="S1311" s="618"/>
      <c r="T1311" s="619"/>
      <c r="U1311" s="329">
        <f>IF($N1311=$N$4,IFERROR(INDEX(DanhMuc!$E$154:$E$165,MATCH(MID($B1311,4,2),DanhMuc!$B$154:$B$165,0)),""),"")</f>
        <v>5800</v>
      </c>
      <c r="V1311" s="325"/>
      <c r="W1311" s="352" t="str">
        <f>+IF(AND($A1311&lt;&gt;"",LEN($B1311)&gt;=8,COUNTIF($B$6:$B1311,$B1311)=1),$W$5,"")</f>
        <v/>
      </c>
      <c r="X1311" s="329" t="str">
        <f t="shared" si="170"/>
        <v>RH</v>
      </c>
      <c r="Y1311" s="1128" t="s">
        <v>3380</v>
      </c>
      <c r="Z1311" s="1128" t="s">
        <v>3381</v>
      </c>
      <c r="AA1311" s="1128" t="s">
        <v>3384</v>
      </c>
      <c r="AC1311" s="73"/>
    </row>
    <row r="1312" spans="1:29" s="20" customFormat="1">
      <c r="A1312" s="327" t="str">
        <f>IF(AND($B1312&lt;&gt;"",$C1312&lt;&gt;""),MAX($A$4:A1311)+1,"")</f>
        <v/>
      </c>
      <c r="B1312" s="361" t="s">
        <v>934</v>
      </c>
      <c r="C1312" s="364"/>
      <c r="D1312" s="327">
        <f>IF($B1312="","",COUNTIF($B$6:$B1312,$B1312))</f>
        <v>5</v>
      </c>
      <c r="E1312" s="361">
        <v>221876</v>
      </c>
      <c r="F1312" s="362" t="s">
        <v>1449</v>
      </c>
      <c r="G1312" s="361" t="s">
        <v>329</v>
      </c>
      <c r="H1312" s="328" t="s">
        <v>536</v>
      </c>
      <c r="I1312" s="327">
        <v>2</v>
      </c>
      <c r="J1312" s="361" t="s">
        <v>1211</v>
      </c>
      <c r="K1312" s="327" t="s">
        <v>531</v>
      </c>
      <c r="L1312" s="348">
        <f t="shared" ref="L1312:L1313" si="177">+$K$1038*$T1312*$S1312</f>
        <v>276000</v>
      </c>
      <c r="M1312" s="355"/>
      <c r="N1312" s="355" t="str">
        <f t="shared" si="176"/>
        <v>PR</v>
      </c>
      <c r="O1312" s="345"/>
      <c r="P1312" s="325"/>
      <c r="Q1312" s="351"/>
      <c r="R1312" s="351"/>
      <c r="S1312" s="618">
        <v>6</v>
      </c>
      <c r="T1312" s="619">
        <f t="shared" ref="T1312:T1313" si="178">9.2/S1312</f>
        <v>1.5333333333333332</v>
      </c>
      <c r="U1312" s="329">
        <f>IF($N1312=$N$4,IFERROR(INDEX(DanhMuc!$E$154:$E$165,MATCH(MID($B1312,4,2),DanhMuc!$B$154:$B$165,0)),""),"")</f>
        <v>5800</v>
      </c>
      <c r="V1312" s="325"/>
      <c r="W1312" s="352" t="str">
        <f>+IF(AND($A1312&lt;&gt;"",LEN($B1312)&gt;=8,COUNTIF($B$6:$B1312,$B1312)=1),$W$5,"")</f>
        <v/>
      </c>
      <c r="X1312" s="329" t="str">
        <f t="shared" si="170"/>
        <v>TRH</v>
      </c>
      <c r="Y1312" s="1128" t="s">
        <v>3380</v>
      </c>
      <c r="Z1312" s="1128" t="s">
        <v>3381</v>
      </c>
      <c r="AA1312" s="1128" t="s">
        <v>3384</v>
      </c>
      <c r="AC1312" s="73"/>
    </row>
    <row r="1313" spans="1:29" s="20" customFormat="1">
      <c r="A1313" s="327" t="str">
        <f>IF(AND($B1313&lt;&gt;"",$C1313&lt;&gt;""),MAX($A$4:A1312)+1,"")</f>
        <v/>
      </c>
      <c r="B1313" s="361" t="s">
        <v>934</v>
      </c>
      <c r="C1313" s="364"/>
      <c r="D1313" s="327">
        <f>IF($B1313="","",COUNTIF($B$6:$B1313,$B1313))</f>
        <v>6</v>
      </c>
      <c r="E1313" s="361">
        <v>221876</v>
      </c>
      <c r="F1313" s="362" t="s">
        <v>1449</v>
      </c>
      <c r="G1313" s="361" t="s">
        <v>328</v>
      </c>
      <c r="H1313" s="328" t="s">
        <v>536</v>
      </c>
      <c r="I1313" s="327">
        <v>2</v>
      </c>
      <c r="J1313" s="361" t="s">
        <v>1212</v>
      </c>
      <c r="K1313" s="327" t="s">
        <v>531</v>
      </c>
      <c r="L1313" s="348">
        <f t="shared" si="177"/>
        <v>276000</v>
      </c>
      <c r="M1313" s="355"/>
      <c r="N1313" s="355" t="str">
        <f t="shared" si="176"/>
        <v>PR</v>
      </c>
      <c r="O1313" s="345"/>
      <c r="P1313" s="325"/>
      <c r="Q1313" s="351"/>
      <c r="R1313" s="351"/>
      <c r="S1313" s="618">
        <v>6</v>
      </c>
      <c r="T1313" s="619">
        <f t="shared" si="178"/>
        <v>1.5333333333333332</v>
      </c>
      <c r="U1313" s="329">
        <f>IF($N1313=$N$4,IFERROR(INDEX(DanhMuc!$E$154:$E$165,MATCH(MID($B1313,4,2),DanhMuc!$B$154:$B$165,0)),""),"")</f>
        <v>5800</v>
      </c>
      <c r="V1313" s="325"/>
      <c r="W1313" s="352" t="str">
        <f>+IF(AND($A1313&lt;&gt;"",LEN($B1313)&gt;=8,COUNTIF($B$6:$B1313,$B1313)=1),$W$5,"")</f>
        <v/>
      </c>
      <c r="X1313" s="329" t="str">
        <f t="shared" si="170"/>
        <v>TRH</v>
      </c>
      <c r="Y1313" s="1128" t="s">
        <v>3380</v>
      </c>
      <c r="Z1313" s="1128" t="s">
        <v>3381</v>
      </c>
      <c r="AA1313" s="1128" t="s">
        <v>3384</v>
      </c>
      <c r="AC1313" s="73"/>
    </row>
    <row r="1314" spans="1:29" s="20" customFormat="1" ht="26">
      <c r="A1314" s="327">
        <f>IF(AND($B1314&lt;&gt;"",$C1314&lt;&gt;""),MAX($A$4:A1313)+1,"")</f>
        <v>96</v>
      </c>
      <c r="B1314" s="359" t="s">
        <v>935</v>
      </c>
      <c r="C1314" s="370" t="s">
        <v>1592</v>
      </c>
      <c r="D1314" s="327">
        <f>IF($B1314="","",COUNTIF($B$6:$B1314,$B1314))</f>
        <v>1</v>
      </c>
      <c r="E1314" s="363">
        <v>500373</v>
      </c>
      <c r="F1314" s="362" t="s">
        <v>939</v>
      </c>
      <c r="G1314" s="361" t="s">
        <v>329</v>
      </c>
      <c r="H1314" s="325"/>
      <c r="I1314" s="327">
        <v>2</v>
      </c>
      <c r="J1314" s="361" t="s">
        <v>762</v>
      </c>
      <c r="K1314" s="327" t="s">
        <v>516</v>
      </c>
      <c r="L1314" s="348">
        <v>613654</v>
      </c>
      <c r="M1314" s="355"/>
      <c r="N1314" s="355" t="str">
        <f t="shared" si="176"/>
        <v>PR</v>
      </c>
      <c r="O1314" s="345"/>
      <c r="P1314" s="325"/>
      <c r="Q1314" s="351"/>
      <c r="R1314" s="351"/>
      <c r="S1314" s="618">
        <v>5.8</v>
      </c>
      <c r="T1314" s="619">
        <v>7.9923999999999999</v>
      </c>
      <c r="U1314" s="329">
        <f>IF($N1314=$N$4,IFERROR(INDEX(DanhMuc!$E$154:$E$165,MATCH(MID($B1314,4,2),DanhMuc!$B$154:$B$165,0)),""),"")</f>
        <v>5800</v>
      </c>
      <c r="V1314" s="325"/>
      <c r="W1314" s="352" t="str">
        <f>+IF(AND($A1314&lt;&gt;"",LEN($B1314)&gt;=8,COUNTIF($B$6:$B1314,$B1314)=1),$W$5,"")</f>
        <v>DMCua</v>
      </c>
      <c r="X1314" s="329" t="str">
        <f t="shared" si="170"/>
        <v>RH</v>
      </c>
      <c r="Y1314" s="1128" t="s">
        <v>3380</v>
      </c>
      <c r="Z1314" s="1128" t="s">
        <v>3381</v>
      </c>
      <c r="AA1314" s="1128" t="s">
        <v>3384</v>
      </c>
      <c r="AC1314" s="73"/>
    </row>
    <row r="1315" spans="1:29" s="20" customFormat="1">
      <c r="A1315" s="327" t="str">
        <f>IF(AND($B1315&lt;&gt;"",$C1315&lt;&gt;""),MAX($A$4:A1314)+1,"")</f>
        <v/>
      </c>
      <c r="B1315" s="361" t="s">
        <v>935</v>
      </c>
      <c r="C1315" s="364"/>
      <c r="D1315" s="327">
        <f>IF($B1315="","",COUNTIF($B$6:$B1315,$B1315))</f>
        <v>2</v>
      </c>
      <c r="E1315" s="363">
        <v>500373</v>
      </c>
      <c r="F1315" s="362" t="s">
        <v>939</v>
      </c>
      <c r="G1315" s="361" t="s">
        <v>328</v>
      </c>
      <c r="H1315" s="325"/>
      <c r="I1315" s="327">
        <v>2</v>
      </c>
      <c r="J1315" s="361" t="s">
        <v>763</v>
      </c>
      <c r="K1315" s="327" t="s">
        <v>516</v>
      </c>
      <c r="L1315" s="348">
        <v>613654</v>
      </c>
      <c r="M1315" s="355"/>
      <c r="N1315" s="355" t="str">
        <f t="shared" si="176"/>
        <v>PR</v>
      </c>
      <c r="O1315" s="347"/>
      <c r="P1315" s="325"/>
      <c r="Q1315" s="351"/>
      <c r="R1315" s="351"/>
      <c r="S1315" s="618">
        <v>5.8</v>
      </c>
      <c r="T1315" s="619">
        <v>7.9923999999999999</v>
      </c>
      <c r="U1315" s="329">
        <f>IF($N1315=$N$4,IFERROR(INDEX(DanhMuc!$E$154:$E$165,MATCH(MID($B1315,4,2),DanhMuc!$B$154:$B$165,0)),""),"")</f>
        <v>5800</v>
      </c>
      <c r="V1315" s="325"/>
      <c r="W1315" s="352" t="str">
        <f>+IF(AND($A1315&lt;&gt;"",LEN($B1315)&gt;=8,COUNTIF($B$6:$B1315,$B1315)=1),$W$5,"")</f>
        <v/>
      </c>
      <c r="X1315" s="329" t="str">
        <f t="shared" si="170"/>
        <v>RH</v>
      </c>
      <c r="Y1315" s="1128" t="s">
        <v>3380</v>
      </c>
      <c r="Z1315" s="1128" t="s">
        <v>3381</v>
      </c>
      <c r="AA1315" s="1128" t="s">
        <v>3384</v>
      </c>
      <c r="AC1315" s="73"/>
    </row>
    <row r="1316" spans="1:29" s="20" customFormat="1">
      <c r="A1316" s="327" t="str">
        <f>IF(AND($B1316&lt;&gt;"",$C1316&lt;&gt;""),MAX($A$4:A1315)+1,"")</f>
        <v/>
      </c>
      <c r="B1316" s="361" t="s">
        <v>935</v>
      </c>
      <c r="C1316" s="364"/>
      <c r="D1316" s="327">
        <f>IF($B1316="","",COUNTIF($B$6:$B1316,$B1316))</f>
        <v>3</v>
      </c>
      <c r="E1316" s="361" t="s">
        <v>899</v>
      </c>
      <c r="F1316" s="362" t="s">
        <v>898</v>
      </c>
      <c r="G1316" s="361" t="s">
        <v>329</v>
      </c>
      <c r="H1316" s="325"/>
      <c r="I1316" s="327">
        <v>2</v>
      </c>
      <c r="J1316" s="361" t="s">
        <v>936</v>
      </c>
      <c r="K1316" s="327" t="s">
        <v>516</v>
      </c>
      <c r="L1316" s="348">
        <v>0</v>
      </c>
      <c r="M1316" s="355"/>
      <c r="N1316" s="355" t="str">
        <f t="shared" si="176"/>
        <v>PR</v>
      </c>
      <c r="O1316" s="347"/>
      <c r="P1316" s="325"/>
      <c r="Q1316" s="351"/>
      <c r="R1316" s="351"/>
      <c r="S1316" s="618"/>
      <c r="T1316" s="619"/>
      <c r="U1316" s="329">
        <f>IF($N1316=$N$4,IFERROR(INDEX(DanhMuc!$E$154:$E$165,MATCH(MID($B1316,4,2),DanhMuc!$B$154:$B$165,0)),""),"")</f>
        <v>5800</v>
      </c>
      <c r="V1316" s="325"/>
      <c r="W1316" s="352" t="str">
        <f>+IF(AND($A1316&lt;&gt;"",LEN($B1316)&gt;=8,COUNTIF($B$6:$B1316,$B1316)=1),$W$5,"")</f>
        <v/>
      </c>
      <c r="X1316" s="329" t="str">
        <f t="shared" si="170"/>
        <v>RH</v>
      </c>
      <c r="Y1316" s="1128" t="s">
        <v>3380</v>
      </c>
      <c r="Z1316" s="1128" t="s">
        <v>3381</v>
      </c>
      <c r="AA1316" s="1128" t="s">
        <v>3384</v>
      </c>
      <c r="AC1316" s="73"/>
    </row>
    <row r="1317" spans="1:29" s="20" customFormat="1">
      <c r="A1317" s="327" t="str">
        <f>IF(AND($B1317&lt;&gt;"",$C1317&lt;&gt;""),MAX($A$4:A1316)+1,"")</f>
        <v/>
      </c>
      <c r="B1317" s="361" t="s">
        <v>935</v>
      </c>
      <c r="C1317" s="364"/>
      <c r="D1317" s="327">
        <f>IF($B1317="","",COUNTIF($B$6:$B1317,$B1317))</f>
        <v>4</v>
      </c>
      <c r="E1317" s="361" t="s">
        <v>899</v>
      </c>
      <c r="F1317" s="362" t="s">
        <v>898</v>
      </c>
      <c r="G1317" s="361" t="s">
        <v>328</v>
      </c>
      <c r="H1317" s="325"/>
      <c r="I1317" s="327">
        <v>2</v>
      </c>
      <c r="J1317" s="361" t="s">
        <v>937</v>
      </c>
      <c r="K1317" s="327" t="s">
        <v>516</v>
      </c>
      <c r="L1317" s="348">
        <v>0</v>
      </c>
      <c r="M1317" s="355"/>
      <c r="N1317" s="355" t="str">
        <f t="shared" si="176"/>
        <v>PR</v>
      </c>
      <c r="O1317" s="347"/>
      <c r="P1317" s="325"/>
      <c r="Q1317" s="351"/>
      <c r="R1317" s="351"/>
      <c r="S1317" s="618"/>
      <c r="T1317" s="619"/>
      <c r="U1317" s="329">
        <f>IF($N1317=$N$4,IFERROR(INDEX(DanhMuc!$E$154:$E$165,MATCH(MID($B1317,4,2),DanhMuc!$B$154:$B$165,0)),""),"")</f>
        <v>5800</v>
      </c>
      <c r="V1317" s="325"/>
      <c r="W1317" s="352" t="str">
        <f>+IF(AND($A1317&lt;&gt;"",LEN($B1317)&gt;=8,COUNTIF($B$6:$B1317,$B1317)=1),$W$5,"")</f>
        <v/>
      </c>
      <c r="X1317" s="329" t="str">
        <f t="shared" si="170"/>
        <v>RH</v>
      </c>
      <c r="Y1317" s="1128" t="s">
        <v>3380</v>
      </c>
      <c r="Z1317" s="1128" t="s">
        <v>3381</v>
      </c>
      <c r="AA1317" s="1128" t="s">
        <v>3384</v>
      </c>
      <c r="AC1317" s="73"/>
    </row>
    <row r="1318" spans="1:29" s="20" customFormat="1">
      <c r="A1318" s="327" t="str">
        <f>IF(AND($B1318&lt;&gt;"",$C1318&lt;&gt;""),MAX($A$4:A1317)+1,"")</f>
        <v/>
      </c>
      <c r="B1318" s="361" t="s">
        <v>935</v>
      </c>
      <c r="C1318" s="364"/>
      <c r="D1318" s="327">
        <f>IF($B1318="","",COUNTIF($B$6:$B1318,$B1318))</f>
        <v>5</v>
      </c>
      <c r="E1318" s="361">
        <v>221877</v>
      </c>
      <c r="F1318" s="362" t="s">
        <v>1446</v>
      </c>
      <c r="G1318" s="361" t="s">
        <v>329</v>
      </c>
      <c r="H1318" s="328" t="s">
        <v>536</v>
      </c>
      <c r="I1318" s="327">
        <v>2</v>
      </c>
      <c r="J1318" s="361" t="s">
        <v>1149</v>
      </c>
      <c r="K1318" s="327" t="s">
        <v>531</v>
      </c>
      <c r="L1318" s="348">
        <f t="shared" ref="L1318:L1319" si="179">+$K$1038*$T1318*$S1318</f>
        <v>315000</v>
      </c>
      <c r="M1318" s="355"/>
      <c r="N1318" s="355" t="str">
        <f t="shared" si="176"/>
        <v>PR</v>
      </c>
      <c r="O1318" s="345"/>
      <c r="P1318" s="325"/>
      <c r="Q1318" s="351"/>
      <c r="R1318" s="351"/>
      <c r="S1318" s="618">
        <v>6</v>
      </c>
      <c r="T1318" s="619">
        <f t="shared" ref="T1318:T1319" si="180">10.5/S1318</f>
        <v>1.75</v>
      </c>
      <c r="U1318" s="329">
        <f>IF($N1318=$N$4,IFERROR(INDEX(DanhMuc!$E$154:$E$165,MATCH(MID($B1318,4,2),DanhMuc!$B$154:$B$165,0)),""),"")</f>
        <v>5800</v>
      </c>
      <c r="V1318" s="325"/>
      <c r="W1318" s="352" t="str">
        <f>+IF(AND($A1318&lt;&gt;"",LEN($B1318)&gt;=8,COUNTIF($B$6:$B1318,$B1318)=1),$W$5,"")</f>
        <v/>
      </c>
      <c r="X1318" s="329" t="str">
        <f t="shared" si="170"/>
        <v>TRH</v>
      </c>
      <c r="Y1318" s="1128" t="s">
        <v>3380</v>
      </c>
      <c r="Z1318" s="1128" t="s">
        <v>3381</v>
      </c>
      <c r="AA1318" s="1128" t="s">
        <v>3384</v>
      </c>
      <c r="AC1318" s="73"/>
    </row>
    <row r="1319" spans="1:29" s="20" customFormat="1">
      <c r="A1319" s="327" t="str">
        <f>IF(AND($B1319&lt;&gt;"",$C1319&lt;&gt;""),MAX($A$4:A1318)+1,"")</f>
        <v/>
      </c>
      <c r="B1319" s="361" t="s">
        <v>935</v>
      </c>
      <c r="C1319" s="364"/>
      <c r="D1319" s="327">
        <f>IF($B1319="","",COUNTIF($B$6:$B1319,$B1319))</f>
        <v>6</v>
      </c>
      <c r="E1319" s="361">
        <v>221877</v>
      </c>
      <c r="F1319" s="362" t="s">
        <v>1446</v>
      </c>
      <c r="G1319" s="361" t="s">
        <v>328</v>
      </c>
      <c r="H1319" s="328" t="s">
        <v>536</v>
      </c>
      <c r="I1319" s="327">
        <v>2</v>
      </c>
      <c r="J1319" s="361" t="s">
        <v>1286</v>
      </c>
      <c r="K1319" s="327" t="s">
        <v>531</v>
      </c>
      <c r="L1319" s="348">
        <f t="shared" si="179"/>
        <v>315000</v>
      </c>
      <c r="M1319" s="355"/>
      <c r="N1319" s="355" t="str">
        <f t="shared" si="176"/>
        <v>PR</v>
      </c>
      <c r="O1319" s="345"/>
      <c r="P1319" s="325"/>
      <c r="Q1319" s="351"/>
      <c r="R1319" s="351"/>
      <c r="S1319" s="618">
        <v>6</v>
      </c>
      <c r="T1319" s="619">
        <f t="shared" si="180"/>
        <v>1.75</v>
      </c>
      <c r="U1319" s="329">
        <f>IF($N1319=$N$4,IFERROR(INDEX(DanhMuc!$E$154:$E$165,MATCH(MID($B1319,4,2),DanhMuc!$B$154:$B$165,0)),""),"")</f>
        <v>5800</v>
      </c>
      <c r="V1319" s="325"/>
      <c r="W1319" s="352" t="str">
        <f>+IF(AND($A1319&lt;&gt;"",LEN($B1319)&gt;=8,COUNTIF($B$6:$B1319,$B1319)=1),$W$5,"")</f>
        <v/>
      </c>
      <c r="X1319" s="329" t="str">
        <f t="shared" si="170"/>
        <v>TRH</v>
      </c>
      <c r="Y1319" s="1128" t="s">
        <v>3380</v>
      </c>
      <c r="Z1319" s="1128" t="s">
        <v>3381</v>
      </c>
      <c r="AA1319" s="1128" t="s">
        <v>3384</v>
      </c>
      <c r="AC1319" s="73"/>
    </row>
    <row r="1320" spans="1:29" s="20" customFormat="1">
      <c r="A1320" s="327" t="str">
        <f>IF(AND($B1320&lt;&gt;"",$C1320&lt;&gt;""),MAX($A$4:A1319)+1,"")</f>
        <v/>
      </c>
      <c r="B1320" s="361"/>
      <c r="C1320" s="364"/>
      <c r="D1320" s="327" t="str">
        <f>IF($B1320="","",COUNTIF($B$6:$B1320,$B1320))</f>
        <v/>
      </c>
      <c r="E1320" s="361"/>
      <c r="F1320" s="362"/>
      <c r="G1320" s="361"/>
      <c r="H1320" s="325"/>
      <c r="I1320" s="327"/>
      <c r="J1320" s="361"/>
      <c r="K1320" s="327"/>
      <c r="L1320" s="348">
        <v>0</v>
      </c>
      <c r="M1320" s="355"/>
      <c r="N1320" s="355" t="str">
        <f t="shared" si="62"/>
        <v>PR</v>
      </c>
      <c r="O1320" s="345"/>
      <c r="P1320" s="325"/>
      <c r="Q1320" s="351"/>
      <c r="R1320" s="351"/>
      <c r="S1320" s="618"/>
      <c r="T1320" s="619"/>
      <c r="U1320" s="329" t="str">
        <f>IF($N1320=$N$4,IFERROR(INDEX(DanhMuc!$E$154:$E$165,MATCH(MID($B1320,4,2),DanhMuc!$B$154:$B$165,0)),""),"")</f>
        <v/>
      </c>
      <c r="V1320" s="325"/>
      <c r="W1320" s="352" t="str">
        <f>+IF(AND($A1320&lt;&gt;"",LEN($B1320)&gt;=8,COUNTIF($B$6:$B1320,$B1320)=1),$W$5,"")</f>
        <v/>
      </c>
      <c r="X1320" s="329" t="str">
        <f t="shared" si="170"/>
        <v/>
      </c>
      <c r="Y1320" s="1128" t="s">
        <v>3380</v>
      </c>
      <c r="Z1320" s="1128" t="s">
        <v>3381</v>
      </c>
      <c r="AA1320" s="1128" t="s">
        <v>3384</v>
      </c>
      <c r="AC1320" s="73"/>
    </row>
    <row r="1321" spans="1:29" s="73" customFormat="1">
      <c r="A1321" s="327" t="str">
        <f>IF(AND($B1321&lt;&gt;"",$C1321&lt;&gt;""),MAX($A$4:A1320)+1,"")</f>
        <v/>
      </c>
      <c r="B1321" s="345" t="s">
        <v>900</v>
      </c>
      <c r="C1321" s="366"/>
      <c r="D1321" s="347">
        <f>IF($B1321="","",COUNTIF($B$6:$B1321,$B1321))</f>
        <v>1</v>
      </c>
      <c r="E1321" s="345">
        <v>560580</v>
      </c>
      <c r="F1321" s="346" t="s">
        <v>891</v>
      </c>
      <c r="G1321" s="345"/>
      <c r="H1321" s="328"/>
      <c r="I1321" s="347"/>
      <c r="J1321" s="345"/>
      <c r="K1321" s="347"/>
      <c r="L1321" s="348">
        <v>117902</v>
      </c>
      <c r="M1321" s="349"/>
      <c r="N1321" s="349" t="str">
        <f t="shared" ref="N1321:N1554" si="181">+$N$4</f>
        <v>PR</v>
      </c>
      <c r="O1321" s="345"/>
      <c r="P1321" s="328"/>
      <c r="Q1321" s="351"/>
      <c r="R1321" s="351"/>
      <c r="S1321" s="618">
        <v>5.8</v>
      </c>
      <c r="T1321" s="619">
        <v>0.86072000000000004</v>
      </c>
      <c r="U1321" s="329">
        <f>IF($N1321=$N$4,IFERROR(INDEX(DanhMuc!$E$154:$E$165,MATCH(MID($B1321,4,2),DanhMuc!$B$154:$B$165,0)),""),"")</f>
        <v>5800</v>
      </c>
      <c r="V1321" s="328"/>
      <c r="W1321" s="352" t="str">
        <f>+IF(AND($A1321&lt;&gt;"",LEN($B1321)&gt;=8,COUNTIF($B$6:$B1321,$B1321)=1),$W$5,"")</f>
        <v/>
      </c>
      <c r="X1321" s="329" t="str">
        <f t="shared" si="170"/>
        <v>RH</v>
      </c>
      <c r="Y1321" s="1128" t="s">
        <v>3380</v>
      </c>
      <c r="Z1321" s="1128" t="s">
        <v>3381</v>
      </c>
      <c r="AA1321" s="1128" t="s">
        <v>3384</v>
      </c>
      <c r="AB1321" s="20"/>
    </row>
    <row r="1322" spans="1:29" s="73" customFormat="1">
      <c r="A1322" s="327" t="str">
        <f>IF(AND($B1322&lt;&gt;"",$C1322&lt;&gt;""),MAX($A$4:A1321)+1,"")</f>
        <v/>
      </c>
      <c r="B1322" s="345" t="s">
        <v>900</v>
      </c>
      <c r="C1322" s="366"/>
      <c r="D1322" s="347">
        <f>IF($B1322="","",COUNTIF($B$6:$B1322,$B1322))</f>
        <v>2</v>
      </c>
      <c r="E1322" s="345">
        <v>560590</v>
      </c>
      <c r="F1322" s="346" t="s">
        <v>890</v>
      </c>
      <c r="G1322" s="345"/>
      <c r="H1322" s="328"/>
      <c r="I1322" s="347"/>
      <c r="J1322" s="345"/>
      <c r="K1322" s="347"/>
      <c r="L1322" s="620">
        <v>0</v>
      </c>
      <c r="M1322" s="349"/>
      <c r="N1322" s="349" t="str">
        <f t="shared" si="181"/>
        <v>PR</v>
      </c>
      <c r="O1322" s="345"/>
      <c r="P1322" s="328"/>
      <c r="Q1322" s="351"/>
      <c r="R1322" s="351"/>
      <c r="S1322" s="618">
        <v>5800</v>
      </c>
      <c r="T1322" s="619"/>
      <c r="U1322" s="329">
        <f>IF($N1322=$N$4,IFERROR(INDEX(DanhMuc!$E$154:$E$165,MATCH(MID($B1322,4,2),DanhMuc!$B$154:$B$165,0)),""),"")</f>
        <v>5800</v>
      </c>
      <c r="V1322" s="328"/>
      <c r="W1322" s="352" t="str">
        <f>+IF(AND($A1322&lt;&gt;"",LEN($B1322)&gt;=8,COUNTIF($B$6:$B1322,$B1322)=1),$W$5,"")</f>
        <v/>
      </c>
      <c r="X1322" s="329" t="str">
        <f t="shared" si="170"/>
        <v>RH</v>
      </c>
      <c r="Y1322" s="1128" t="s">
        <v>3380</v>
      </c>
      <c r="Z1322" s="1128" t="s">
        <v>3381</v>
      </c>
      <c r="AA1322" s="1128" t="s">
        <v>3384</v>
      </c>
      <c r="AB1322" s="20"/>
    </row>
    <row r="1323" spans="1:29" s="73" customFormat="1">
      <c r="A1323" s="327" t="str">
        <f>IF(AND($B1323&lt;&gt;"",$C1323&lt;&gt;""),MAX($A$4:A1322)+1,"")</f>
        <v/>
      </c>
      <c r="B1323" s="345" t="s">
        <v>900</v>
      </c>
      <c r="C1323" s="366"/>
      <c r="D1323" s="347">
        <f>IF($B1323="","",COUNTIF($B$6:$B1323,$B1323))</f>
        <v>3</v>
      </c>
      <c r="E1323" s="345">
        <v>560600</v>
      </c>
      <c r="F1323" s="346" t="s">
        <v>889</v>
      </c>
      <c r="G1323" s="345"/>
      <c r="H1323" s="328"/>
      <c r="I1323" s="347"/>
      <c r="J1323" s="345"/>
      <c r="K1323" s="347"/>
      <c r="L1323" s="620">
        <v>0</v>
      </c>
      <c r="M1323" s="349"/>
      <c r="N1323" s="349" t="str">
        <f t="shared" si="181"/>
        <v>PR</v>
      </c>
      <c r="O1323" s="345"/>
      <c r="P1323" s="328"/>
      <c r="Q1323" s="351"/>
      <c r="R1323" s="351"/>
      <c r="S1323" s="618"/>
      <c r="T1323" s="619"/>
      <c r="U1323" s="329">
        <f>IF($N1323=$N$4,IFERROR(INDEX(DanhMuc!$E$154:$E$165,MATCH(MID($B1323,4,2),DanhMuc!$B$154:$B$165,0)),""),"")</f>
        <v>5800</v>
      </c>
      <c r="V1323" s="328"/>
      <c r="W1323" s="352" t="str">
        <f>+IF(AND($A1323&lt;&gt;"",LEN($B1323)&gt;=8,COUNTIF($B$6:$B1323,$B1323)=1),$W$5,"")</f>
        <v/>
      </c>
      <c r="X1323" s="329" t="str">
        <f t="shared" si="170"/>
        <v>RH</v>
      </c>
      <c r="Y1323" s="1128" t="s">
        <v>3380</v>
      </c>
      <c r="Z1323" s="1128" t="s">
        <v>3381</v>
      </c>
      <c r="AA1323" s="1128" t="s">
        <v>3384</v>
      </c>
      <c r="AB1323" s="20"/>
    </row>
    <row r="1324" spans="1:29" s="73" customFormat="1">
      <c r="A1324" s="327" t="str">
        <f>IF(AND($B1324&lt;&gt;"",$C1324&lt;&gt;""),MAX($A$4:A1323)+1,"")</f>
        <v/>
      </c>
      <c r="B1324" s="345" t="s">
        <v>900</v>
      </c>
      <c r="C1324" s="366"/>
      <c r="D1324" s="347">
        <f>IF($B1324="","",COUNTIF($B$6:$B1324,$B1324))</f>
        <v>4</v>
      </c>
      <c r="E1324" s="345">
        <v>560610</v>
      </c>
      <c r="F1324" s="346" t="s">
        <v>888</v>
      </c>
      <c r="G1324" s="345"/>
      <c r="H1324" s="328"/>
      <c r="I1324" s="347"/>
      <c r="J1324" s="345"/>
      <c r="K1324" s="347"/>
      <c r="L1324" s="348">
        <v>116723</v>
      </c>
      <c r="M1324" s="349"/>
      <c r="N1324" s="349" t="str">
        <f t="shared" si="181"/>
        <v>PR</v>
      </c>
      <c r="O1324" s="345"/>
      <c r="P1324" s="328"/>
      <c r="Q1324" s="351"/>
      <c r="R1324" s="351"/>
      <c r="S1324" s="618">
        <v>5.8</v>
      </c>
      <c r="T1324" s="619">
        <v>1.155</v>
      </c>
      <c r="U1324" s="329">
        <f>IF($N1324=$N$4,IFERROR(INDEX(DanhMuc!$E$154:$E$165,MATCH(MID($B1324,4,2),DanhMuc!$B$154:$B$165,0)),""),"")</f>
        <v>5800</v>
      </c>
      <c r="V1324" s="328"/>
      <c r="W1324" s="352" t="str">
        <f>+IF(AND($A1324&lt;&gt;"",LEN($B1324)&gt;=8,COUNTIF($B$6:$B1324,$B1324)=1),$W$5,"")</f>
        <v/>
      </c>
      <c r="X1324" s="329" t="str">
        <f t="shared" si="170"/>
        <v>RH</v>
      </c>
      <c r="Y1324" s="1128" t="s">
        <v>3380</v>
      </c>
      <c r="Z1324" s="1128" t="s">
        <v>3381</v>
      </c>
      <c r="AA1324" s="1128" t="s">
        <v>3384</v>
      </c>
      <c r="AB1324" s="20"/>
    </row>
    <row r="1325" spans="1:29" s="73" customFormat="1">
      <c r="A1325" s="327" t="str">
        <f>IF(AND($B1325&lt;&gt;"",$C1325&lt;&gt;""),MAX($A$4:A1324)+1,"")</f>
        <v/>
      </c>
      <c r="B1325" s="345" t="s">
        <v>900</v>
      </c>
      <c r="C1325" s="366"/>
      <c r="D1325" s="347">
        <f>IF($B1325="","",COUNTIF($B$6:$B1325,$B1325))</f>
        <v>5</v>
      </c>
      <c r="E1325" s="345">
        <v>560510</v>
      </c>
      <c r="F1325" s="346" t="s">
        <v>887</v>
      </c>
      <c r="G1325" s="345"/>
      <c r="H1325" s="328"/>
      <c r="I1325" s="347"/>
      <c r="J1325" s="345"/>
      <c r="K1325" s="347"/>
      <c r="L1325" s="348">
        <v>372293</v>
      </c>
      <c r="M1325" s="349"/>
      <c r="N1325" s="349" t="str">
        <f t="shared" si="181"/>
        <v>PR</v>
      </c>
      <c r="O1325" s="345"/>
      <c r="P1325" s="328"/>
      <c r="Q1325" s="351"/>
      <c r="R1325" s="351"/>
      <c r="S1325" s="618">
        <v>6</v>
      </c>
      <c r="T1325" s="619">
        <v>1.32</v>
      </c>
      <c r="U1325" s="329">
        <f>IF($N1325=$N$4,IFERROR(INDEX(DanhMuc!$E$154:$E$165,MATCH(MID($B1325,4,2),DanhMuc!$B$154:$B$165,0)),""),"")</f>
        <v>5800</v>
      </c>
      <c r="V1325" s="328"/>
      <c r="W1325" s="352" t="str">
        <f>+IF(AND($A1325&lt;&gt;"",LEN($B1325)&gt;=8,COUNTIF($B$6:$B1325,$B1325)=1),$W$5,"")</f>
        <v/>
      </c>
      <c r="X1325" s="329" t="str">
        <f t="shared" si="170"/>
        <v>RH</v>
      </c>
      <c r="Y1325" s="1128" t="s">
        <v>3380</v>
      </c>
      <c r="Z1325" s="1128" t="s">
        <v>3381</v>
      </c>
      <c r="AA1325" s="1128" t="s">
        <v>3384</v>
      </c>
      <c r="AB1325" s="20"/>
    </row>
    <row r="1326" spans="1:29" s="73" customFormat="1">
      <c r="A1326" s="327" t="str">
        <f>IF(AND($B1326&lt;&gt;"",$C1326&lt;&gt;""),MAX($A$4:A1325)+1,"")</f>
        <v/>
      </c>
      <c r="B1326" s="345" t="s">
        <v>900</v>
      </c>
      <c r="C1326" s="366"/>
      <c r="D1326" s="347">
        <f>IF($B1326="","",COUNTIF($B$6:$B1326,$B1326))</f>
        <v>6</v>
      </c>
      <c r="E1326" s="345">
        <v>560620</v>
      </c>
      <c r="F1326" s="346" t="s">
        <v>886</v>
      </c>
      <c r="G1326" s="345"/>
      <c r="H1326" s="328"/>
      <c r="I1326" s="347"/>
      <c r="J1326" s="345"/>
      <c r="K1326" s="347"/>
      <c r="L1326" s="348">
        <v>347318</v>
      </c>
      <c r="M1326" s="349"/>
      <c r="N1326" s="349" t="str">
        <f t="shared" si="181"/>
        <v>PR</v>
      </c>
      <c r="O1326" s="345"/>
      <c r="P1326" s="328"/>
      <c r="Q1326" s="351"/>
      <c r="R1326" s="351"/>
      <c r="S1326" s="618">
        <v>6</v>
      </c>
      <c r="T1326" s="619">
        <v>0.88919999999999999</v>
      </c>
      <c r="U1326" s="329">
        <f>IF($N1326=$N$4,IFERROR(INDEX(DanhMuc!$E$154:$E$165,MATCH(MID($B1326,4,2),DanhMuc!$B$154:$B$165,0)),""),"")</f>
        <v>5800</v>
      </c>
      <c r="V1326" s="328"/>
      <c r="W1326" s="352" t="str">
        <f>+IF(AND($A1326&lt;&gt;"",LEN($B1326)&gt;=8,COUNTIF($B$6:$B1326,$B1326)=1),$W$5,"")</f>
        <v/>
      </c>
      <c r="X1326" s="329" t="str">
        <f t="shared" si="170"/>
        <v>RH</v>
      </c>
      <c r="Y1326" s="1128" t="s">
        <v>3380</v>
      </c>
      <c r="Z1326" s="1128" t="s">
        <v>3381</v>
      </c>
      <c r="AA1326" s="1128" t="s">
        <v>3384</v>
      </c>
      <c r="AB1326" s="20"/>
    </row>
    <row r="1327" spans="1:29" s="73" customFormat="1">
      <c r="A1327" s="327" t="str">
        <f>IF(AND($B1327&lt;&gt;"",$C1327&lt;&gt;""),MAX($A$4:A1326)+1,"")</f>
        <v/>
      </c>
      <c r="B1327" s="345" t="s">
        <v>900</v>
      </c>
      <c r="C1327" s="366"/>
      <c r="D1327" s="347">
        <f>IF($B1327="","",COUNTIF($B$6:$B1327,$B1327))</f>
        <v>7</v>
      </c>
      <c r="E1327" s="345">
        <v>561520</v>
      </c>
      <c r="F1327" s="346" t="s">
        <v>885</v>
      </c>
      <c r="G1327" s="345"/>
      <c r="H1327" s="328"/>
      <c r="I1327" s="347"/>
      <c r="J1327" s="345"/>
      <c r="K1327" s="347"/>
      <c r="L1327" s="348">
        <v>263683</v>
      </c>
      <c r="M1327" s="349"/>
      <c r="N1327" s="349" t="str">
        <f t="shared" si="181"/>
        <v>PR</v>
      </c>
      <c r="O1327" s="345"/>
      <c r="P1327" s="328"/>
      <c r="Q1327" s="351"/>
      <c r="R1327" s="351"/>
      <c r="S1327" s="618">
        <v>6</v>
      </c>
      <c r="T1327" s="619">
        <v>1.5569999999999999</v>
      </c>
      <c r="U1327" s="329">
        <f>IF($N1327=$N$4,IFERROR(INDEX(DanhMuc!$E$154:$E$165,MATCH(MID($B1327,4,2),DanhMuc!$B$154:$B$165,0)),""),"")</f>
        <v>5800</v>
      </c>
      <c r="V1327" s="328"/>
      <c r="W1327" s="352" t="str">
        <f>+IF(AND($A1327&lt;&gt;"",LEN($B1327)&gt;=8,COUNTIF($B$6:$B1327,$B1327)=1),$W$5,"")</f>
        <v/>
      </c>
      <c r="X1327" s="329" t="str">
        <f t="shared" si="170"/>
        <v>RH</v>
      </c>
      <c r="Y1327" s="1128" t="s">
        <v>3380</v>
      </c>
      <c r="Z1327" s="1128" t="s">
        <v>3381</v>
      </c>
      <c r="AA1327" s="1128" t="s">
        <v>3384</v>
      </c>
      <c r="AB1327" s="20"/>
    </row>
    <row r="1328" spans="1:29" s="73" customFormat="1">
      <c r="A1328" s="327" t="str">
        <f>IF(AND($B1328&lt;&gt;"",$C1328&lt;&gt;""),MAX($A$4:A1327)+1,"")</f>
        <v/>
      </c>
      <c r="B1328" s="345" t="s">
        <v>900</v>
      </c>
      <c r="C1328" s="366"/>
      <c r="D1328" s="347">
        <f>IF($B1328="","",COUNTIF($B$6:$B1328,$B1328))</f>
        <v>8</v>
      </c>
      <c r="E1328" s="345">
        <v>561530</v>
      </c>
      <c r="F1328" s="346" t="s">
        <v>884</v>
      </c>
      <c r="G1328" s="345"/>
      <c r="H1328" s="328"/>
      <c r="I1328" s="347"/>
      <c r="J1328" s="345"/>
      <c r="K1328" s="347"/>
      <c r="L1328" s="620">
        <v>0</v>
      </c>
      <c r="M1328" s="349"/>
      <c r="N1328" s="349" t="str">
        <f t="shared" si="181"/>
        <v>PR</v>
      </c>
      <c r="O1328" s="345"/>
      <c r="P1328" s="328"/>
      <c r="Q1328" s="351"/>
      <c r="R1328" s="351"/>
      <c r="S1328" s="618"/>
      <c r="T1328" s="619"/>
      <c r="U1328" s="329">
        <f>IF($N1328=$N$4,IFERROR(INDEX(DanhMuc!$E$154:$E$165,MATCH(MID($B1328,4,2),DanhMuc!$B$154:$B$165,0)),""),"")</f>
        <v>5800</v>
      </c>
      <c r="V1328" s="328"/>
      <c r="W1328" s="352" t="str">
        <f>+IF(AND($A1328&lt;&gt;"",LEN($B1328)&gt;=8,COUNTIF($B$6:$B1328,$B1328)=1),$W$5,"")</f>
        <v/>
      </c>
      <c r="X1328" s="329" t="str">
        <f t="shared" si="170"/>
        <v>RH</v>
      </c>
      <c r="Y1328" s="1128" t="s">
        <v>3380</v>
      </c>
      <c r="Z1328" s="1128" t="s">
        <v>3381</v>
      </c>
      <c r="AA1328" s="1128" t="s">
        <v>3384</v>
      </c>
      <c r="AB1328" s="20"/>
    </row>
    <row r="1329" spans="1:29" s="72" customFormat="1">
      <c r="A1329" s="327">
        <f>IF(AND($B1329&lt;&gt;"",$C1329&lt;&gt;""),MAX($A$4:A1328)+1,"")</f>
        <v>97</v>
      </c>
      <c r="B1329" s="338" t="s">
        <v>1517</v>
      </c>
      <c r="C1329" s="340" t="s">
        <v>244</v>
      </c>
      <c r="D1329" s="339"/>
      <c r="E1329" s="339"/>
      <c r="F1329" s="341"/>
      <c r="G1329" s="339"/>
      <c r="H1329" s="342"/>
      <c r="I1329" s="339"/>
      <c r="J1329" s="339"/>
      <c r="K1329" s="383"/>
      <c r="L1329" s="604"/>
      <c r="M1329" s="343"/>
      <c r="N1329" s="343"/>
      <c r="O1329" s="344"/>
      <c r="P1329" s="342"/>
      <c r="Q1329" s="342"/>
      <c r="R1329" s="351"/>
      <c r="S1329" s="351"/>
      <c r="T1329" s="351"/>
      <c r="U1329" s="329" t="str">
        <f>IF($N1329=$N$4,IFERROR(INDEX(DanhMuc!$E$154:$E$165,MATCH(MID($B1329,4,2),DanhMuc!$B$154:$B$165,0)),""),"")</f>
        <v/>
      </c>
      <c r="V1329" s="342"/>
      <c r="W1329" s="352" t="str">
        <f>+IF(AND($A1329&lt;&gt;"",LEN($B1329)&gt;=8,COUNTIF($B$6:$B1329,$B1329)=1),$W$5,"")</f>
        <v/>
      </c>
      <c r="X1329" s="329" t="str">
        <f t="shared" si="170"/>
        <v/>
      </c>
      <c r="Y1329" s="1128" t="s">
        <v>3380</v>
      </c>
      <c r="Z1329" s="1128" t="s">
        <v>3381</v>
      </c>
      <c r="AA1329" s="1128" t="s">
        <v>3384</v>
      </c>
      <c r="AB1329" s="20"/>
      <c r="AC1329" s="73"/>
    </row>
    <row r="1330" spans="1:29" s="20" customFormat="1" ht="39">
      <c r="A1330" s="327">
        <f>IF(AND($B1330&lt;&gt;"",$C1330&lt;&gt;""),MAX($A$4:A1329)+1,"")</f>
        <v>98</v>
      </c>
      <c r="B1330" s="359" t="s">
        <v>1518</v>
      </c>
      <c r="C1330" s="370" t="s">
        <v>1596</v>
      </c>
      <c r="D1330" s="327">
        <f>IF($B1330="","",COUNTIF($B$6:$B1330,$B1330))</f>
        <v>1</v>
      </c>
      <c r="E1330" s="363">
        <v>1101</v>
      </c>
      <c r="F1330" s="362" t="s">
        <v>1519</v>
      </c>
      <c r="G1330" s="361" t="s">
        <v>329</v>
      </c>
      <c r="H1330" s="325"/>
      <c r="I1330" s="327">
        <v>1</v>
      </c>
      <c r="J1330" s="361" t="s">
        <v>81</v>
      </c>
      <c r="K1330" s="327" t="s">
        <v>516</v>
      </c>
      <c r="L1330" s="348">
        <f>978000*$L$1329</f>
        <v>0</v>
      </c>
      <c r="M1330" s="355"/>
      <c r="N1330" s="355" t="str">
        <f t="shared" ref="N1330:N1461" si="182">+$N$4</f>
        <v>PR</v>
      </c>
      <c r="O1330" s="345"/>
      <c r="P1330" s="325"/>
      <c r="Q1330" s="351"/>
      <c r="R1330" s="351">
        <v>1.8</v>
      </c>
      <c r="S1330" s="351">
        <v>6</v>
      </c>
      <c r="T1330" s="351"/>
      <c r="U1330" s="329">
        <f>IF($N1330=$N$4,IFERROR(INDEX(DanhMuc!$E$154:$E$165,MATCH(MID($B1330,4,2),DanhMuc!$B$154:$B$165,0)),""),"")</f>
        <v>6000</v>
      </c>
      <c r="V1330" s="325"/>
      <c r="W1330" s="352" t="str">
        <f>+IF(AND($A1330&lt;&gt;"",LEN($B1330)&gt;=8,COUNTIF($B$6:$B1330,$B1330)=1),$W$5,"")</f>
        <v>DMCua</v>
      </c>
      <c r="X1330" s="329" t="str">
        <f t="shared" si="170"/>
        <v>LV</v>
      </c>
      <c r="Y1330" s="1128" t="s">
        <v>3380</v>
      </c>
      <c r="Z1330" s="1128" t="s">
        <v>3381</v>
      </c>
      <c r="AA1330" s="1128" t="s">
        <v>3384</v>
      </c>
      <c r="AC1330" s="73"/>
    </row>
    <row r="1331" spans="1:29" s="20" customFormat="1">
      <c r="A1331" s="327" t="str">
        <f>IF(AND($B1331&lt;&gt;"",$C1331&lt;&gt;""),MAX($A$4:A1330)+1,"")</f>
        <v/>
      </c>
      <c r="B1331" s="361" t="s">
        <v>1518</v>
      </c>
      <c r="C1331" s="364"/>
      <c r="D1331" s="327">
        <f>IF($B1331="","",COUNTIF($B$6:$B1331,$B1331))</f>
        <v>2</v>
      </c>
      <c r="E1331" s="363">
        <v>1101</v>
      </c>
      <c r="F1331" s="362" t="s">
        <v>1519</v>
      </c>
      <c r="G1331" s="361" t="s">
        <v>328</v>
      </c>
      <c r="H1331" s="325"/>
      <c r="I1331" s="327">
        <v>2</v>
      </c>
      <c r="J1331" s="361" t="s">
        <v>80</v>
      </c>
      <c r="K1331" s="327" t="s">
        <v>1141</v>
      </c>
      <c r="L1331" s="348">
        <f>978000*$L$1329</f>
        <v>0</v>
      </c>
      <c r="M1331" s="355"/>
      <c r="N1331" s="355" t="str">
        <f t="shared" si="182"/>
        <v>PR</v>
      </c>
      <c r="O1331" s="347"/>
      <c r="P1331" s="325"/>
      <c r="Q1331" s="351"/>
      <c r="R1331" s="351">
        <v>1.8</v>
      </c>
      <c r="S1331" s="351">
        <v>6</v>
      </c>
      <c r="T1331" s="351"/>
      <c r="U1331" s="329">
        <f>IF($N1331=$N$4,IFERROR(INDEX(DanhMuc!$E$154:$E$165,MATCH(MID($B1331,4,2),DanhMuc!$B$154:$B$165,0)),""),"")</f>
        <v>6000</v>
      </c>
      <c r="V1331" s="325"/>
      <c r="W1331" s="352" t="str">
        <f>+IF(AND($A1331&lt;&gt;"",LEN($B1331)&gt;=8,COUNTIF($B$6:$B1331,$B1331)=1),$W$5,"")</f>
        <v/>
      </c>
      <c r="X1331" s="329" t="str">
        <f t="shared" si="170"/>
        <v>LV</v>
      </c>
      <c r="Y1331" s="1128" t="s">
        <v>3380</v>
      </c>
      <c r="Z1331" s="1128" t="s">
        <v>3381</v>
      </c>
      <c r="AA1331" s="1128" t="s">
        <v>3384</v>
      </c>
      <c r="AC1331" s="73"/>
    </row>
    <row r="1332" spans="1:29" s="20" customFormat="1">
      <c r="A1332" s="327" t="str">
        <f>IF(AND($B1332&lt;&gt;"",$C1332&lt;&gt;""),MAX($A$4:A1331)+1,"")</f>
        <v/>
      </c>
      <c r="B1332" s="361" t="s">
        <v>1518</v>
      </c>
      <c r="C1332" s="364"/>
      <c r="D1332" s="327">
        <f>IF($B1332="","",COUNTIF($B$6:$B1332,$B1332))</f>
        <v>3</v>
      </c>
      <c r="E1332" s="361">
        <v>1106</v>
      </c>
      <c r="F1332" s="362" t="s">
        <v>1520</v>
      </c>
      <c r="G1332" s="361" t="s">
        <v>329</v>
      </c>
      <c r="H1332" s="325"/>
      <c r="I1332" s="327">
        <v>2</v>
      </c>
      <c r="J1332" s="361" t="s">
        <v>1524</v>
      </c>
      <c r="K1332" s="327" t="s">
        <v>516</v>
      </c>
      <c r="L1332" s="348">
        <f>1362000*$L$1329</f>
        <v>0</v>
      </c>
      <c r="M1332" s="355"/>
      <c r="N1332" s="355" t="str">
        <f t="shared" si="182"/>
        <v>PR</v>
      </c>
      <c r="O1332" s="345" t="s">
        <v>19</v>
      </c>
      <c r="P1332" s="325"/>
      <c r="Q1332" s="351"/>
      <c r="R1332" s="351">
        <v>1.8</v>
      </c>
      <c r="S1332" s="351">
        <v>6</v>
      </c>
      <c r="T1332" s="351"/>
      <c r="U1332" s="329">
        <f>IF($N1332=$N$4,IFERROR(INDEX(DanhMuc!$E$154:$E$165,MATCH(MID($B1332,4,2),DanhMuc!$B$154:$B$165,0)),""),"")</f>
        <v>6000</v>
      </c>
      <c r="V1332" s="325"/>
      <c r="W1332" s="352" t="str">
        <f>+IF(AND($A1332&lt;&gt;"",LEN($B1332)&gt;=8,COUNTIF($B$6:$B1332,$B1332)=1),$W$5,"")</f>
        <v/>
      </c>
      <c r="X1332" s="329" t="str">
        <f t="shared" si="170"/>
        <v>LV</v>
      </c>
      <c r="Y1332" s="1128" t="s">
        <v>3380</v>
      </c>
      <c r="Z1332" s="1128" t="s">
        <v>3381</v>
      </c>
      <c r="AA1332" s="1128" t="s">
        <v>3384</v>
      </c>
      <c r="AC1332" s="73"/>
    </row>
    <row r="1333" spans="1:29" s="20" customFormat="1">
      <c r="A1333" s="327" t="str">
        <f>IF(AND($B1333&lt;&gt;"",$C1333&lt;&gt;""),MAX($A$4:A1332)+1,"")</f>
        <v/>
      </c>
      <c r="B1333" s="361" t="s">
        <v>1518</v>
      </c>
      <c r="C1333" s="364"/>
      <c r="D1333" s="327">
        <f>IF($B1333="","",COUNTIF($B$6:$B1333,$B1333))</f>
        <v>4</v>
      </c>
      <c r="E1333" s="361">
        <v>1106</v>
      </c>
      <c r="F1333" s="362" t="s">
        <v>1520</v>
      </c>
      <c r="G1333" s="361" t="s">
        <v>328</v>
      </c>
      <c r="H1333" s="325"/>
      <c r="I1333" s="327">
        <v>2</v>
      </c>
      <c r="J1333" s="361" t="s">
        <v>1640</v>
      </c>
      <c r="K1333" s="327" t="s">
        <v>516</v>
      </c>
      <c r="L1333" s="348">
        <f>1362000*$L$1329</f>
        <v>0</v>
      </c>
      <c r="M1333" s="355"/>
      <c r="N1333" s="355" t="str">
        <f t="shared" si="182"/>
        <v>PR</v>
      </c>
      <c r="O1333" s="345" t="s">
        <v>19</v>
      </c>
      <c r="P1333" s="325"/>
      <c r="Q1333" s="351"/>
      <c r="R1333" s="351">
        <v>1.8</v>
      </c>
      <c r="S1333" s="351">
        <v>6</v>
      </c>
      <c r="T1333" s="351"/>
      <c r="U1333" s="329">
        <f>IF($N1333=$N$4,IFERROR(INDEX(DanhMuc!$E$154:$E$165,MATCH(MID($B1333,4,2),DanhMuc!$B$154:$B$165,0)),""),"")</f>
        <v>6000</v>
      </c>
      <c r="V1333" s="325"/>
      <c r="W1333" s="352" t="str">
        <f>+IF(AND($A1333&lt;&gt;"",LEN($B1333)&gt;=8,COUNTIF($B$6:$B1333,$B1333)=1),$W$5,"")</f>
        <v/>
      </c>
      <c r="X1333" s="329" t="str">
        <f t="shared" si="170"/>
        <v>LV</v>
      </c>
      <c r="Y1333" s="1128" t="s">
        <v>3380</v>
      </c>
      <c r="Z1333" s="1128" t="s">
        <v>3381</v>
      </c>
      <c r="AA1333" s="1128" t="s">
        <v>3384</v>
      </c>
      <c r="AC1333" s="73"/>
    </row>
    <row r="1334" spans="1:29" s="20" customFormat="1">
      <c r="A1334" s="327" t="str">
        <f>IF(AND($B1334&lt;&gt;"",$C1334&lt;&gt;""),MAX($A$4:A1333)+1,"")</f>
        <v/>
      </c>
      <c r="B1334" s="361" t="s">
        <v>1518</v>
      </c>
      <c r="C1334" s="364"/>
      <c r="D1334" s="327">
        <f>IF($B1334="","",COUNTIF($B$6:$B1334,$B1334))</f>
        <v>5</v>
      </c>
      <c r="E1334" s="361">
        <v>1107</v>
      </c>
      <c r="F1334" s="362" t="s">
        <v>1521</v>
      </c>
      <c r="G1334" s="361" t="s">
        <v>329</v>
      </c>
      <c r="H1334" s="325"/>
      <c r="I1334" s="327">
        <v>2</v>
      </c>
      <c r="J1334" s="361" t="s">
        <v>1524</v>
      </c>
      <c r="K1334" s="327" t="s">
        <v>516</v>
      </c>
      <c r="L1334" s="348">
        <f>1362000*$L$1329</f>
        <v>0</v>
      </c>
      <c r="M1334" s="355"/>
      <c r="N1334" s="355" t="str">
        <f t="shared" si="182"/>
        <v>PR</v>
      </c>
      <c r="O1334" s="345" t="s">
        <v>16</v>
      </c>
      <c r="P1334" s="325"/>
      <c r="Q1334" s="351"/>
      <c r="R1334" s="351">
        <v>1.8</v>
      </c>
      <c r="S1334" s="351">
        <v>6</v>
      </c>
      <c r="T1334" s="351"/>
      <c r="U1334" s="329">
        <f>IF($N1334=$N$4,IFERROR(INDEX(DanhMuc!$E$154:$E$165,MATCH(MID($B1334,4,2),DanhMuc!$B$154:$B$165,0)),""),"")</f>
        <v>6000</v>
      </c>
      <c r="V1334" s="325"/>
      <c r="W1334" s="352" t="str">
        <f>+IF(AND($A1334&lt;&gt;"",LEN($B1334)&gt;=8,COUNTIF($B$6:$B1334,$B1334)=1),$W$5,"")</f>
        <v/>
      </c>
      <c r="X1334" s="329" t="str">
        <f t="shared" si="170"/>
        <v>LV</v>
      </c>
      <c r="Y1334" s="1128" t="s">
        <v>3380</v>
      </c>
      <c r="Z1334" s="1128" t="s">
        <v>3381</v>
      </c>
      <c r="AA1334" s="1128" t="s">
        <v>3384</v>
      </c>
      <c r="AC1334" s="73"/>
    </row>
    <row r="1335" spans="1:29" s="20" customFormat="1">
      <c r="A1335" s="327" t="str">
        <f>IF(AND($B1335&lt;&gt;"",$C1335&lt;&gt;""),MAX($A$4:A1334)+1,"")</f>
        <v/>
      </c>
      <c r="B1335" s="361" t="s">
        <v>1518</v>
      </c>
      <c r="C1335" s="364"/>
      <c r="D1335" s="327">
        <f>IF($B1335="","",COUNTIF($B$6:$B1335,$B1335))</f>
        <v>6</v>
      </c>
      <c r="E1335" s="361">
        <v>1107</v>
      </c>
      <c r="F1335" s="362" t="s">
        <v>1521</v>
      </c>
      <c r="G1335" s="361" t="s">
        <v>328</v>
      </c>
      <c r="H1335" s="325"/>
      <c r="I1335" s="327">
        <v>2</v>
      </c>
      <c r="J1335" s="361" t="s">
        <v>1640</v>
      </c>
      <c r="K1335" s="327" t="s">
        <v>516</v>
      </c>
      <c r="L1335" s="348">
        <f>1362000*$L$1329</f>
        <v>0</v>
      </c>
      <c r="M1335" s="355"/>
      <c r="N1335" s="355" t="str">
        <f t="shared" si="182"/>
        <v>PR</v>
      </c>
      <c r="O1335" s="345" t="s">
        <v>16</v>
      </c>
      <c r="P1335" s="325"/>
      <c r="Q1335" s="351"/>
      <c r="R1335" s="351">
        <v>1.8</v>
      </c>
      <c r="S1335" s="351">
        <v>6</v>
      </c>
      <c r="T1335" s="351"/>
      <c r="U1335" s="329">
        <f>IF($N1335=$N$4,IFERROR(INDEX(DanhMuc!$E$154:$E$165,MATCH(MID($B1335,4,2),DanhMuc!$B$154:$B$165,0)),""),"")</f>
        <v>6000</v>
      </c>
      <c r="V1335" s="325"/>
      <c r="W1335" s="352" t="str">
        <f>+IF(AND($A1335&lt;&gt;"",LEN($B1335)&gt;=8,COUNTIF($B$6:$B1335,$B1335)=1),$W$5,"")</f>
        <v/>
      </c>
      <c r="X1335" s="329" t="str">
        <f t="shared" si="170"/>
        <v>LV</v>
      </c>
      <c r="Y1335" s="1128" t="s">
        <v>3380</v>
      </c>
      <c r="Z1335" s="1128" t="s">
        <v>3381</v>
      </c>
      <c r="AA1335" s="1128" t="s">
        <v>3384</v>
      </c>
      <c r="AC1335" s="73"/>
    </row>
    <row r="1336" spans="1:29" s="20" customFormat="1">
      <c r="A1336" s="327" t="str">
        <f>IF(AND($B1336&lt;&gt;"",$C1336&lt;&gt;""),MAX($A$4:A1335)+1,"")</f>
        <v/>
      </c>
      <c r="B1336" s="361" t="s">
        <v>1518</v>
      </c>
      <c r="C1336" s="364"/>
      <c r="D1336" s="327">
        <f>IF($B1336="","",COUNTIF($B$6:$B1336,$B1336))</f>
        <v>7</v>
      </c>
      <c r="E1336" s="361">
        <v>1112</v>
      </c>
      <c r="F1336" s="362" t="s">
        <v>1638</v>
      </c>
      <c r="G1336" s="361" t="s">
        <v>329</v>
      </c>
      <c r="H1336" s="325"/>
      <c r="I1336" s="327">
        <v>1</v>
      </c>
      <c r="J1336" s="361" t="s">
        <v>1525</v>
      </c>
      <c r="K1336" s="327" t="s">
        <v>531</v>
      </c>
      <c r="L1336" s="348">
        <f>284000*$L$1329</f>
        <v>0</v>
      </c>
      <c r="M1336" s="355"/>
      <c r="N1336" s="355" t="str">
        <f t="shared" si="182"/>
        <v>PR</v>
      </c>
      <c r="O1336" s="347" t="s">
        <v>1475</v>
      </c>
      <c r="P1336" s="325"/>
      <c r="Q1336" s="351"/>
      <c r="R1336" s="351">
        <v>1.2</v>
      </c>
      <c r="S1336" s="351">
        <v>6</v>
      </c>
      <c r="T1336" s="351"/>
      <c r="U1336" s="329">
        <f>IF($N1336=$N$4,IFERROR(INDEX(DanhMuc!$E$154:$E$165,MATCH(MID($B1336,4,2),DanhMuc!$B$154:$B$165,0)),""),"")</f>
        <v>6000</v>
      </c>
      <c r="V1336" s="325"/>
      <c r="W1336" s="352" t="str">
        <f>+IF(AND($A1336&lt;&gt;"",LEN($B1336)&gt;=8,COUNTIF($B$6:$B1336,$B1336)=1),$W$5,"")</f>
        <v/>
      </c>
      <c r="X1336" s="329" t="str">
        <f t="shared" si="170"/>
        <v>LV</v>
      </c>
      <c r="Y1336" s="1128" t="s">
        <v>3380</v>
      </c>
      <c r="Z1336" s="1128" t="s">
        <v>3381</v>
      </c>
      <c r="AA1336" s="1128" t="s">
        <v>3384</v>
      </c>
      <c r="AC1336" s="73"/>
    </row>
    <row r="1337" spans="1:29" s="20" customFormat="1">
      <c r="A1337" s="327" t="str">
        <f>IF(AND($B1337&lt;&gt;"",$C1337&lt;&gt;""),MAX($A$4:A1336)+1,"")</f>
        <v/>
      </c>
      <c r="B1337" s="361" t="s">
        <v>1518</v>
      </c>
      <c r="C1337" s="364"/>
      <c r="D1337" s="327">
        <f>IF($B1337="","",COUNTIF($B$6:$B1337,$B1337))</f>
        <v>8</v>
      </c>
      <c r="E1337" s="361">
        <v>1126</v>
      </c>
      <c r="F1337" s="362" t="s">
        <v>1523</v>
      </c>
      <c r="G1337" s="361" t="s">
        <v>329</v>
      </c>
      <c r="H1337" s="325"/>
      <c r="I1337" s="327">
        <v>2</v>
      </c>
      <c r="J1337" s="361" t="s">
        <v>1526</v>
      </c>
      <c r="K1337" s="327" t="s">
        <v>531</v>
      </c>
      <c r="L1337" s="348">
        <f>177000*$L$1329</f>
        <v>0</v>
      </c>
      <c r="M1337" s="355"/>
      <c r="N1337" s="355" t="str">
        <f t="shared" si="182"/>
        <v>PR</v>
      </c>
      <c r="O1337" s="347">
        <v>12</v>
      </c>
      <c r="P1337" s="325"/>
      <c r="Q1337" s="351"/>
      <c r="R1337" s="351">
        <v>1.1000000000000001</v>
      </c>
      <c r="S1337" s="351">
        <v>6</v>
      </c>
      <c r="T1337" s="351"/>
      <c r="U1337" s="329">
        <f>IF($N1337=$N$4,IFERROR(INDEX(DanhMuc!$E$154:$E$165,MATCH(MID($B1337,4,2),DanhMuc!$B$154:$B$165,0)),""),"")</f>
        <v>6000</v>
      </c>
      <c r="V1337" s="325"/>
      <c r="W1337" s="352" t="str">
        <f>+IF(AND($A1337&lt;&gt;"",LEN($B1337)&gt;=8,COUNTIF($B$6:$B1337,$B1337)=1),$W$5,"")</f>
        <v/>
      </c>
      <c r="X1337" s="329" t="str">
        <f t="shared" si="170"/>
        <v>LV</v>
      </c>
      <c r="Y1337" s="1128" t="s">
        <v>3380</v>
      </c>
      <c r="Z1337" s="1128" t="s">
        <v>3381</v>
      </c>
      <c r="AA1337" s="1128" t="s">
        <v>3384</v>
      </c>
      <c r="AC1337" s="73"/>
    </row>
    <row r="1338" spans="1:29" s="20" customFormat="1">
      <c r="A1338" s="327" t="str">
        <f>IF(AND($B1338&lt;&gt;"",$C1338&lt;&gt;""),MAX($A$4:A1337)+1,"")</f>
        <v/>
      </c>
      <c r="B1338" s="361" t="s">
        <v>1518</v>
      </c>
      <c r="C1338" s="364"/>
      <c r="D1338" s="327">
        <f>IF($B1338="","",COUNTIF($B$6:$B1338,$B1338))</f>
        <v>9</v>
      </c>
      <c r="E1338" s="361">
        <v>1126</v>
      </c>
      <c r="F1338" s="362" t="s">
        <v>1523</v>
      </c>
      <c r="G1338" s="361" t="s">
        <v>328</v>
      </c>
      <c r="H1338" s="325"/>
      <c r="I1338" s="327">
        <v>2</v>
      </c>
      <c r="J1338" s="361" t="s">
        <v>1641</v>
      </c>
      <c r="K1338" s="327" t="s">
        <v>531</v>
      </c>
      <c r="L1338" s="348">
        <f>177000*$L$1329</f>
        <v>0</v>
      </c>
      <c r="M1338" s="355"/>
      <c r="N1338" s="355" t="str">
        <f t="shared" si="182"/>
        <v>PR</v>
      </c>
      <c r="O1338" s="347">
        <v>12</v>
      </c>
      <c r="P1338" s="325"/>
      <c r="Q1338" s="351"/>
      <c r="R1338" s="351">
        <v>1.1000000000000001</v>
      </c>
      <c r="S1338" s="351">
        <v>6</v>
      </c>
      <c r="T1338" s="351"/>
      <c r="U1338" s="329">
        <f>IF($N1338=$N$4,IFERROR(INDEX(DanhMuc!$E$154:$E$165,MATCH(MID($B1338,4,2),DanhMuc!$B$154:$B$165,0)),""),"")</f>
        <v>6000</v>
      </c>
      <c r="V1338" s="325"/>
      <c r="W1338" s="352" t="str">
        <f>+IF(AND($A1338&lt;&gt;"",LEN($B1338)&gt;=8,COUNTIF($B$6:$B1338,$B1338)=1),$W$5,"")</f>
        <v/>
      </c>
      <c r="X1338" s="329" t="str">
        <f t="shared" si="170"/>
        <v>LV</v>
      </c>
      <c r="Y1338" s="1128" t="s">
        <v>3380</v>
      </c>
      <c r="Z1338" s="1128" t="s">
        <v>3381</v>
      </c>
      <c r="AA1338" s="1128" t="s">
        <v>3384</v>
      </c>
      <c r="AC1338" s="73"/>
    </row>
    <row r="1339" spans="1:29" s="20" customFormat="1">
      <c r="A1339" s="327" t="str">
        <f>IF(AND($B1339&lt;&gt;"",$C1339&lt;&gt;""),MAX($A$4:A1338)+1,"")</f>
        <v/>
      </c>
      <c r="B1339" s="361" t="s">
        <v>1518</v>
      </c>
      <c r="C1339" s="364"/>
      <c r="D1339" s="327">
        <f>IF($B1339="","",COUNTIF($B$6:$B1339,$B1339))</f>
        <v>10</v>
      </c>
      <c r="E1339" s="361">
        <v>1127</v>
      </c>
      <c r="F1339" s="362" t="s">
        <v>1522</v>
      </c>
      <c r="G1339" s="361" t="s">
        <v>329</v>
      </c>
      <c r="H1339" s="325"/>
      <c r="I1339" s="327">
        <v>2</v>
      </c>
      <c r="J1339" s="361" t="s">
        <v>1526</v>
      </c>
      <c r="K1339" s="327" t="s">
        <v>531</v>
      </c>
      <c r="L1339" s="348">
        <f>200000*$L$1329</f>
        <v>0</v>
      </c>
      <c r="M1339" s="355"/>
      <c r="N1339" s="355" t="str">
        <f t="shared" si="182"/>
        <v>PR</v>
      </c>
      <c r="O1339" s="347">
        <v>11</v>
      </c>
      <c r="P1339" s="325"/>
      <c r="Q1339" s="351"/>
      <c r="R1339" s="351">
        <v>1.1000000000000001</v>
      </c>
      <c r="S1339" s="351">
        <v>6</v>
      </c>
      <c r="T1339" s="351"/>
      <c r="U1339" s="329">
        <f>IF($N1339=$N$4,IFERROR(INDEX(DanhMuc!$E$154:$E$165,MATCH(MID($B1339,4,2),DanhMuc!$B$154:$B$165,0)),""),"")</f>
        <v>6000</v>
      </c>
      <c r="V1339" s="325"/>
      <c r="W1339" s="352" t="str">
        <f>+IF(AND($A1339&lt;&gt;"",LEN($B1339)&gt;=8,COUNTIF($B$6:$B1339,$B1339)=1),$W$5,"")</f>
        <v/>
      </c>
      <c r="X1339" s="329" t="str">
        <f t="shared" si="170"/>
        <v>LV</v>
      </c>
      <c r="Y1339" s="1128" t="s">
        <v>3380</v>
      </c>
      <c r="Z1339" s="1128" t="s">
        <v>3381</v>
      </c>
      <c r="AA1339" s="1128" t="s">
        <v>3384</v>
      </c>
      <c r="AC1339" s="73"/>
    </row>
    <row r="1340" spans="1:29" s="20" customFormat="1">
      <c r="A1340" s="327" t="str">
        <f>IF(AND($B1340&lt;&gt;"",$C1340&lt;&gt;""),MAX($A$4:A1339)+1,"")</f>
        <v/>
      </c>
      <c r="B1340" s="361" t="s">
        <v>1518</v>
      </c>
      <c r="C1340" s="364"/>
      <c r="D1340" s="327">
        <f>IF($B1340="","",COUNTIF($B$6:$B1340,$B1340))</f>
        <v>11</v>
      </c>
      <c r="E1340" s="361">
        <v>1127</v>
      </c>
      <c r="F1340" s="362" t="s">
        <v>1522</v>
      </c>
      <c r="G1340" s="361" t="s">
        <v>328</v>
      </c>
      <c r="H1340" s="325"/>
      <c r="I1340" s="327">
        <v>2</v>
      </c>
      <c r="J1340" s="361" t="s">
        <v>1641</v>
      </c>
      <c r="K1340" s="327" t="s">
        <v>531</v>
      </c>
      <c r="L1340" s="348">
        <f>200000*$L$1329</f>
        <v>0</v>
      </c>
      <c r="M1340" s="355"/>
      <c r="N1340" s="355" t="str">
        <f t="shared" si="182"/>
        <v>PR</v>
      </c>
      <c r="O1340" s="347">
        <v>11</v>
      </c>
      <c r="P1340" s="325"/>
      <c r="Q1340" s="351"/>
      <c r="R1340" s="351">
        <v>1.1000000000000001</v>
      </c>
      <c r="S1340" s="351">
        <v>6</v>
      </c>
      <c r="T1340" s="351"/>
      <c r="U1340" s="329">
        <f>IF($N1340=$N$4,IFERROR(INDEX(DanhMuc!$E$154:$E$165,MATCH(MID($B1340,4,2),DanhMuc!$B$154:$B$165,0)),""),"")</f>
        <v>6000</v>
      </c>
      <c r="V1340" s="325"/>
      <c r="W1340" s="352" t="str">
        <f>+IF(AND($A1340&lt;&gt;"",LEN($B1340)&gt;=8,COUNTIF($B$6:$B1340,$B1340)=1),$W$5,"")</f>
        <v/>
      </c>
      <c r="X1340" s="329" t="str">
        <f t="shared" si="170"/>
        <v>LV</v>
      </c>
      <c r="Y1340" s="1128" t="s">
        <v>3380</v>
      </c>
      <c r="Z1340" s="1128" t="s">
        <v>3381</v>
      </c>
      <c r="AA1340" s="1128" t="s">
        <v>3384</v>
      </c>
      <c r="AC1340" s="73"/>
    </row>
    <row r="1341" spans="1:29" s="20" customFormat="1" ht="39">
      <c r="A1341" s="327">
        <f>IF(AND($B1341&lt;&gt;"",$C1341&lt;&gt;""),MAX($A$4:A1340)+1,"")</f>
        <v>99</v>
      </c>
      <c r="B1341" s="359" t="s">
        <v>1636</v>
      </c>
      <c r="C1341" s="370" t="s">
        <v>1635</v>
      </c>
      <c r="D1341" s="327">
        <f>IF($B1341="","",COUNTIF($B$6:$B1341,$B1341))</f>
        <v>1</v>
      </c>
      <c r="E1341" s="363">
        <v>1101</v>
      </c>
      <c r="F1341" s="362" t="s">
        <v>1519</v>
      </c>
      <c r="G1341" s="361" t="s">
        <v>329</v>
      </c>
      <c r="H1341" s="325"/>
      <c r="I1341" s="327">
        <v>1</v>
      </c>
      <c r="J1341" s="361" t="s">
        <v>81</v>
      </c>
      <c r="K1341" s="327" t="s">
        <v>516</v>
      </c>
      <c r="L1341" s="348">
        <f>978000*$L$1329</f>
        <v>0</v>
      </c>
      <c r="M1341" s="355"/>
      <c r="N1341" s="355" t="str">
        <f t="shared" si="182"/>
        <v>PR</v>
      </c>
      <c r="O1341" s="345"/>
      <c r="P1341" s="325"/>
      <c r="Q1341" s="351"/>
      <c r="R1341" s="351">
        <v>1.8</v>
      </c>
      <c r="S1341" s="351">
        <v>6</v>
      </c>
      <c r="T1341" s="351"/>
      <c r="U1341" s="329">
        <f>IF($N1341=$N$4,IFERROR(INDEX(DanhMuc!$E$154:$E$165,MATCH(MID($B1341,4,2),DanhMuc!$B$154:$B$165,0)),""),"")</f>
        <v>6000</v>
      </c>
      <c r="V1341" s="325"/>
      <c r="W1341" s="352" t="str">
        <f>+IF(AND($A1341&lt;&gt;"",LEN($B1341)&gt;=8,COUNTIF($B$6:$B1341,$B1341)=1),$W$5,"")</f>
        <v>DMCua</v>
      </c>
      <c r="X1341" s="329" t="str">
        <f t="shared" si="170"/>
        <v>LV</v>
      </c>
      <c r="Y1341" s="1128" t="s">
        <v>3380</v>
      </c>
      <c r="Z1341" s="1128" t="s">
        <v>3381</v>
      </c>
      <c r="AA1341" s="1128" t="s">
        <v>3384</v>
      </c>
      <c r="AC1341" s="73"/>
    </row>
    <row r="1342" spans="1:29" s="20" customFormat="1">
      <c r="A1342" s="327" t="str">
        <f>IF(AND($B1342&lt;&gt;"",$C1342&lt;&gt;""),MAX($A$4:A1341)+1,"")</f>
        <v/>
      </c>
      <c r="B1342" s="361" t="s">
        <v>1636</v>
      </c>
      <c r="C1342" s="364"/>
      <c r="D1342" s="327">
        <f>IF($B1342="","",COUNTIF($B$6:$B1342,$B1342))</f>
        <v>2</v>
      </c>
      <c r="E1342" s="363">
        <v>1101</v>
      </c>
      <c r="F1342" s="362" t="s">
        <v>1519</v>
      </c>
      <c r="G1342" s="361" t="s">
        <v>328</v>
      </c>
      <c r="H1342" s="325"/>
      <c r="I1342" s="327">
        <v>2</v>
      </c>
      <c r="J1342" s="361" t="s">
        <v>80</v>
      </c>
      <c r="K1342" s="327" t="s">
        <v>1141</v>
      </c>
      <c r="L1342" s="348">
        <f>978000*$L$1329</f>
        <v>0</v>
      </c>
      <c r="M1342" s="355"/>
      <c r="N1342" s="355" t="str">
        <f t="shared" si="182"/>
        <v>PR</v>
      </c>
      <c r="O1342" s="347"/>
      <c r="P1342" s="325"/>
      <c r="Q1342" s="351"/>
      <c r="R1342" s="351">
        <v>1.8</v>
      </c>
      <c r="S1342" s="351">
        <v>6</v>
      </c>
      <c r="T1342" s="351"/>
      <c r="U1342" s="329">
        <f>IF($N1342=$N$4,IFERROR(INDEX(DanhMuc!$E$154:$E$165,MATCH(MID($B1342,4,2),DanhMuc!$B$154:$B$165,0)),""),"")</f>
        <v>6000</v>
      </c>
      <c r="V1342" s="325"/>
      <c r="W1342" s="352" t="str">
        <f>+IF(AND($A1342&lt;&gt;"",LEN($B1342)&gt;=8,COUNTIF($B$6:$B1342,$B1342)=1),$W$5,"")</f>
        <v/>
      </c>
      <c r="X1342" s="329" t="str">
        <f t="shared" si="170"/>
        <v>LV</v>
      </c>
      <c r="Y1342" s="1128" t="s">
        <v>3380</v>
      </c>
      <c r="Z1342" s="1128" t="s">
        <v>3381</v>
      </c>
      <c r="AA1342" s="1128" t="s">
        <v>3384</v>
      </c>
      <c r="AC1342" s="73"/>
    </row>
    <row r="1343" spans="1:29" s="20" customFormat="1">
      <c r="A1343" s="327" t="str">
        <f>IF(AND($B1343&lt;&gt;"",$C1343&lt;&gt;""),MAX($A$4:A1342)+1,"")</f>
        <v/>
      </c>
      <c r="B1343" s="361" t="s">
        <v>1636</v>
      </c>
      <c r="C1343" s="364"/>
      <c r="D1343" s="327">
        <f>IF($B1343="","",COUNTIF($B$6:$B1343,$B1343))</f>
        <v>3</v>
      </c>
      <c r="E1343" s="361">
        <v>1106</v>
      </c>
      <c r="F1343" s="362" t="s">
        <v>1520</v>
      </c>
      <c r="G1343" s="361" t="s">
        <v>329</v>
      </c>
      <c r="H1343" s="325"/>
      <c r="I1343" s="327">
        <v>4</v>
      </c>
      <c r="J1343" s="361" t="s">
        <v>1639</v>
      </c>
      <c r="K1343" s="327" t="s">
        <v>516</v>
      </c>
      <c r="L1343" s="348">
        <f>1362000*$L$1329</f>
        <v>0</v>
      </c>
      <c r="M1343" s="355"/>
      <c r="N1343" s="355" t="str">
        <f t="shared" si="182"/>
        <v>PR</v>
      </c>
      <c r="O1343" s="345" t="s">
        <v>19</v>
      </c>
      <c r="P1343" s="325"/>
      <c r="Q1343" s="351"/>
      <c r="R1343" s="351">
        <v>1.8</v>
      </c>
      <c r="S1343" s="351">
        <v>6</v>
      </c>
      <c r="T1343" s="351"/>
      <c r="U1343" s="329">
        <f>IF($N1343=$N$4,IFERROR(INDEX(DanhMuc!$E$154:$E$165,MATCH(MID($B1343,4,2),DanhMuc!$B$154:$B$165,0)),""),"")</f>
        <v>6000</v>
      </c>
      <c r="V1343" s="325"/>
      <c r="W1343" s="352" t="str">
        <f>+IF(AND($A1343&lt;&gt;"",LEN($B1343)&gt;=8,COUNTIF($B$6:$B1343,$B1343)=1),$W$5,"")</f>
        <v/>
      </c>
      <c r="X1343" s="329" t="str">
        <f t="shared" si="170"/>
        <v>LV</v>
      </c>
      <c r="Y1343" s="1128" t="s">
        <v>3380</v>
      </c>
      <c r="Z1343" s="1128" t="s">
        <v>3381</v>
      </c>
      <c r="AA1343" s="1128" t="s">
        <v>3384</v>
      </c>
      <c r="AC1343" s="73"/>
    </row>
    <row r="1344" spans="1:29" s="20" customFormat="1">
      <c r="A1344" s="327" t="str">
        <f>IF(AND($B1344&lt;&gt;"",$C1344&lt;&gt;""),MAX($A$4:A1343)+1,"")</f>
        <v/>
      </c>
      <c r="B1344" s="361" t="s">
        <v>1636</v>
      </c>
      <c r="C1344" s="364"/>
      <c r="D1344" s="327">
        <f>IF($B1344="","",COUNTIF($B$6:$B1344,$B1344))</f>
        <v>4</v>
      </c>
      <c r="E1344" s="361">
        <v>1106</v>
      </c>
      <c r="F1344" s="362" t="s">
        <v>1520</v>
      </c>
      <c r="G1344" s="361" t="s">
        <v>328</v>
      </c>
      <c r="H1344" s="325"/>
      <c r="I1344" s="327">
        <v>4</v>
      </c>
      <c r="J1344" s="361" t="s">
        <v>1640</v>
      </c>
      <c r="K1344" s="327" t="s">
        <v>516</v>
      </c>
      <c r="L1344" s="348">
        <f>1362000*$L$1329</f>
        <v>0</v>
      </c>
      <c r="M1344" s="355"/>
      <c r="N1344" s="355" t="str">
        <f t="shared" si="182"/>
        <v>PR</v>
      </c>
      <c r="O1344" s="345" t="s">
        <v>19</v>
      </c>
      <c r="P1344" s="325"/>
      <c r="Q1344" s="351"/>
      <c r="R1344" s="351">
        <v>1.8</v>
      </c>
      <c r="S1344" s="351">
        <v>6</v>
      </c>
      <c r="T1344" s="351"/>
      <c r="U1344" s="329">
        <f>IF($N1344=$N$4,IFERROR(INDEX(DanhMuc!$E$154:$E$165,MATCH(MID($B1344,4,2),DanhMuc!$B$154:$B$165,0)),""),"")</f>
        <v>6000</v>
      </c>
      <c r="V1344" s="325"/>
      <c r="W1344" s="352" t="str">
        <f>+IF(AND($A1344&lt;&gt;"",LEN($B1344)&gt;=8,COUNTIF($B$6:$B1344,$B1344)=1),$W$5,"")</f>
        <v/>
      </c>
      <c r="X1344" s="329" t="str">
        <f t="shared" si="170"/>
        <v>LV</v>
      </c>
      <c r="Y1344" s="1128" t="s">
        <v>3380</v>
      </c>
      <c r="Z1344" s="1128" t="s">
        <v>3381</v>
      </c>
      <c r="AA1344" s="1128" t="s">
        <v>3384</v>
      </c>
      <c r="AC1344" s="73"/>
    </row>
    <row r="1345" spans="1:29" s="20" customFormat="1">
      <c r="A1345" s="327" t="str">
        <f>IF(AND($B1345&lt;&gt;"",$C1345&lt;&gt;""),MAX($A$4:A1344)+1,"")</f>
        <v/>
      </c>
      <c r="B1345" s="361" t="s">
        <v>1636</v>
      </c>
      <c r="C1345" s="364"/>
      <c r="D1345" s="327">
        <f>IF($B1345="","",COUNTIF($B$6:$B1345,$B1345))</f>
        <v>5</v>
      </c>
      <c r="E1345" s="361">
        <v>1107</v>
      </c>
      <c r="F1345" s="362" t="s">
        <v>1521</v>
      </c>
      <c r="G1345" s="361" t="s">
        <v>329</v>
      </c>
      <c r="H1345" s="325"/>
      <c r="I1345" s="327">
        <v>4</v>
      </c>
      <c r="J1345" s="361" t="s">
        <v>1639</v>
      </c>
      <c r="K1345" s="327" t="s">
        <v>516</v>
      </c>
      <c r="L1345" s="348">
        <f>1362000*$L$1329</f>
        <v>0</v>
      </c>
      <c r="M1345" s="355"/>
      <c r="N1345" s="355" t="str">
        <f t="shared" si="182"/>
        <v>PR</v>
      </c>
      <c r="O1345" s="345" t="s">
        <v>16</v>
      </c>
      <c r="P1345" s="325"/>
      <c r="Q1345" s="351"/>
      <c r="R1345" s="351">
        <v>1.8</v>
      </c>
      <c r="S1345" s="351">
        <v>6</v>
      </c>
      <c r="T1345" s="351"/>
      <c r="U1345" s="329">
        <f>IF($N1345=$N$4,IFERROR(INDEX(DanhMuc!$E$154:$E$165,MATCH(MID($B1345,4,2),DanhMuc!$B$154:$B$165,0)),""),"")</f>
        <v>6000</v>
      </c>
      <c r="V1345" s="325"/>
      <c r="W1345" s="352" t="str">
        <f>+IF(AND($A1345&lt;&gt;"",LEN($B1345)&gt;=8,COUNTIF($B$6:$B1345,$B1345)=1),$W$5,"")</f>
        <v/>
      </c>
      <c r="X1345" s="329" t="str">
        <f t="shared" ref="X1345:X1408" si="183">IF(IFERROR(SEARCH("thép",$F1345,1),0)&gt;=1,"T" &amp;MID($B1345,4,2),MID($B1345,4,2))</f>
        <v>LV</v>
      </c>
      <c r="Y1345" s="1128" t="s">
        <v>3380</v>
      </c>
      <c r="Z1345" s="1128" t="s">
        <v>3381</v>
      </c>
      <c r="AA1345" s="1128" t="s">
        <v>3384</v>
      </c>
      <c r="AC1345" s="73"/>
    </row>
    <row r="1346" spans="1:29" s="20" customFormat="1">
      <c r="A1346" s="327" t="str">
        <f>IF(AND($B1346&lt;&gt;"",$C1346&lt;&gt;""),MAX($A$4:A1345)+1,"")</f>
        <v/>
      </c>
      <c r="B1346" s="361" t="s">
        <v>1636</v>
      </c>
      <c r="C1346" s="364"/>
      <c r="D1346" s="327">
        <f>IF($B1346="","",COUNTIF($B$6:$B1346,$B1346))</f>
        <v>6</v>
      </c>
      <c r="E1346" s="361">
        <v>1107</v>
      </c>
      <c r="F1346" s="362" t="s">
        <v>1521</v>
      </c>
      <c r="G1346" s="361" t="s">
        <v>328</v>
      </c>
      <c r="H1346" s="325"/>
      <c r="I1346" s="327">
        <v>4</v>
      </c>
      <c r="J1346" s="361" t="s">
        <v>1640</v>
      </c>
      <c r="K1346" s="327" t="s">
        <v>516</v>
      </c>
      <c r="L1346" s="348">
        <f>1362000*$L$1329</f>
        <v>0</v>
      </c>
      <c r="M1346" s="355"/>
      <c r="N1346" s="355" t="str">
        <f t="shared" si="182"/>
        <v>PR</v>
      </c>
      <c r="O1346" s="345" t="s">
        <v>16</v>
      </c>
      <c r="P1346" s="325"/>
      <c r="Q1346" s="351"/>
      <c r="R1346" s="351">
        <v>1.8</v>
      </c>
      <c r="S1346" s="351">
        <v>6</v>
      </c>
      <c r="T1346" s="351"/>
      <c r="U1346" s="329">
        <f>IF($N1346=$N$4,IFERROR(INDEX(DanhMuc!$E$154:$E$165,MATCH(MID($B1346,4,2),DanhMuc!$B$154:$B$165,0)),""),"")</f>
        <v>6000</v>
      </c>
      <c r="V1346" s="325"/>
      <c r="W1346" s="352" t="str">
        <f>+IF(AND($A1346&lt;&gt;"",LEN($B1346)&gt;=8,COUNTIF($B$6:$B1346,$B1346)=1),$W$5,"")</f>
        <v/>
      </c>
      <c r="X1346" s="329" t="str">
        <f t="shared" si="183"/>
        <v>LV</v>
      </c>
      <c r="Y1346" s="1128" t="s">
        <v>3380</v>
      </c>
      <c r="Z1346" s="1128" t="s">
        <v>3381</v>
      </c>
      <c r="AA1346" s="1128" t="s">
        <v>3384</v>
      </c>
      <c r="AC1346" s="73"/>
    </row>
    <row r="1347" spans="1:29" s="20" customFormat="1">
      <c r="A1347" s="327" t="str">
        <f>IF(AND($B1347&lt;&gt;"",$C1347&lt;&gt;""),MAX($A$4:A1346)+1,"")</f>
        <v/>
      </c>
      <c r="B1347" s="361" t="s">
        <v>1636</v>
      </c>
      <c r="C1347" s="364"/>
      <c r="D1347" s="327">
        <f>IF($B1347="","",COUNTIF($B$6:$B1347,$B1347))</f>
        <v>7</v>
      </c>
      <c r="E1347" s="361">
        <v>1112</v>
      </c>
      <c r="F1347" s="362" t="s">
        <v>1638</v>
      </c>
      <c r="G1347" s="361" t="s">
        <v>329</v>
      </c>
      <c r="H1347" s="325"/>
      <c r="I1347" s="327">
        <v>2</v>
      </c>
      <c r="J1347" s="361" t="s">
        <v>1659</v>
      </c>
      <c r="K1347" s="327" t="s">
        <v>531</v>
      </c>
      <c r="L1347" s="348">
        <f>284000*$L$1329</f>
        <v>0</v>
      </c>
      <c r="M1347" s="355"/>
      <c r="N1347" s="355" t="str">
        <f t="shared" si="182"/>
        <v>PR</v>
      </c>
      <c r="O1347" s="347" t="s">
        <v>1475</v>
      </c>
      <c r="P1347" s="325"/>
      <c r="Q1347" s="351"/>
      <c r="R1347" s="351">
        <v>1.2</v>
      </c>
      <c r="S1347" s="351">
        <v>6</v>
      </c>
      <c r="T1347" s="351"/>
      <c r="U1347" s="329">
        <f>IF($N1347=$N$4,IFERROR(INDEX(DanhMuc!$E$154:$E$165,MATCH(MID($B1347,4,2),DanhMuc!$B$154:$B$165,0)),""),"")</f>
        <v>6000</v>
      </c>
      <c r="V1347" s="325"/>
      <c r="W1347" s="352" t="str">
        <f>+IF(AND($A1347&lt;&gt;"",LEN($B1347)&gt;=8,COUNTIF($B$6:$B1347,$B1347)=1),$W$5,"")</f>
        <v/>
      </c>
      <c r="X1347" s="329" t="str">
        <f t="shared" si="183"/>
        <v>LV</v>
      </c>
      <c r="Y1347" s="1128" t="s">
        <v>3380</v>
      </c>
      <c r="Z1347" s="1128" t="s">
        <v>3381</v>
      </c>
      <c r="AA1347" s="1128" t="s">
        <v>3384</v>
      </c>
      <c r="AC1347" s="73"/>
    </row>
    <row r="1348" spans="1:29" s="20" customFormat="1">
      <c r="A1348" s="327" t="str">
        <f>IF(AND($B1348&lt;&gt;"",$C1348&lt;&gt;""),MAX($A$4:A1347)+1,"")</f>
        <v/>
      </c>
      <c r="B1348" s="361" t="s">
        <v>1636</v>
      </c>
      <c r="C1348" s="364"/>
      <c r="D1348" s="327">
        <f>IF($B1348="","",COUNTIF($B$6:$B1348,$B1348))</f>
        <v>8</v>
      </c>
      <c r="E1348" s="361">
        <v>1111</v>
      </c>
      <c r="F1348" s="362" t="s">
        <v>1637</v>
      </c>
      <c r="G1348" s="361" t="s">
        <v>328</v>
      </c>
      <c r="H1348" s="325"/>
      <c r="I1348" s="327">
        <v>1</v>
      </c>
      <c r="J1348" s="361" t="s">
        <v>1658</v>
      </c>
      <c r="K1348" s="327" t="s">
        <v>531</v>
      </c>
      <c r="L1348" s="348">
        <f>982000*$L$1329</f>
        <v>0</v>
      </c>
      <c r="M1348" s="355"/>
      <c r="N1348" s="355" t="str">
        <f t="shared" si="182"/>
        <v>PR</v>
      </c>
      <c r="O1348" s="347"/>
      <c r="P1348" s="325"/>
      <c r="Q1348" s="351"/>
      <c r="R1348" s="351">
        <v>1.8</v>
      </c>
      <c r="S1348" s="351">
        <v>6</v>
      </c>
      <c r="T1348" s="351"/>
      <c r="U1348" s="329">
        <f>IF($N1348=$N$4,IFERROR(INDEX(DanhMuc!$E$154:$E$165,MATCH(MID($B1348,4,2),DanhMuc!$B$154:$B$165,0)),""),"")</f>
        <v>6000</v>
      </c>
      <c r="V1348" s="325"/>
      <c r="W1348" s="352" t="str">
        <f>+IF(AND($A1348&lt;&gt;"",LEN($B1348)&gt;=8,COUNTIF($B$6:$B1348,$B1348)=1),$W$5,"")</f>
        <v/>
      </c>
      <c r="X1348" s="329" t="str">
        <f t="shared" si="183"/>
        <v>LV</v>
      </c>
      <c r="Y1348" s="1128" t="s">
        <v>3380</v>
      </c>
      <c r="Z1348" s="1128" t="s">
        <v>3381</v>
      </c>
      <c r="AA1348" s="1128" t="s">
        <v>3384</v>
      </c>
      <c r="AC1348" s="73"/>
    </row>
    <row r="1349" spans="1:29" s="20" customFormat="1">
      <c r="A1349" s="327" t="str">
        <f>IF(AND($B1349&lt;&gt;"",$C1349&lt;&gt;""),MAX($A$4:A1348)+1,"")</f>
        <v/>
      </c>
      <c r="B1349" s="361" t="s">
        <v>1636</v>
      </c>
      <c r="C1349" s="364"/>
      <c r="D1349" s="327">
        <f>IF($B1349="","",COUNTIF($B$6:$B1349,$B1349))</f>
        <v>9</v>
      </c>
      <c r="E1349" s="361">
        <v>1126</v>
      </c>
      <c r="F1349" s="362" t="s">
        <v>1523</v>
      </c>
      <c r="G1349" s="361" t="s">
        <v>329</v>
      </c>
      <c r="H1349" s="325"/>
      <c r="I1349" s="327">
        <v>4</v>
      </c>
      <c r="J1349" s="361" t="s">
        <v>1642</v>
      </c>
      <c r="K1349" s="327" t="s">
        <v>531</v>
      </c>
      <c r="L1349" s="348">
        <f>177000*$L$1329</f>
        <v>0</v>
      </c>
      <c r="M1349" s="355"/>
      <c r="N1349" s="355" t="str">
        <f t="shared" si="182"/>
        <v>PR</v>
      </c>
      <c r="O1349" s="347">
        <v>12</v>
      </c>
      <c r="P1349" s="325"/>
      <c r="Q1349" s="351"/>
      <c r="R1349" s="351">
        <v>1.1000000000000001</v>
      </c>
      <c r="S1349" s="351">
        <v>6</v>
      </c>
      <c r="T1349" s="351"/>
      <c r="U1349" s="329">
        <f>IF($N1349=$N$4,IFERROR(INDEX(DanhMuc!$E$154:$E$165,MATCH(MID($B1349,4,2),DanhMuc!$B$154:$B$165,0)),""),"")</f>
        <v>6000</v>
      </c>
      <c r="V1349" s="325"/>
      <c r="W1349" s="352" t="str">
        <f>+IF(AND($A1349&lt;&gt;"",LEN($B1349)&gt;=8,COUNTIF($B$6:$B1349,$B1349)=1),$W$5,"")</f>
        <v/>
      </c>
      <c r="X1349" s="329" t="str">
        <f t="shared" si="183"/>
        <v>LV</v>
      </c>
      <c r="Y1349" s="1128" t="s">
        <v>3380</v>
      </c>
      <c r="Z1349" s="1128" t="s">
        <v>3381</v>
      </c>
      <c r="AA1349" s="1128" t="s">
        <v>3384</v>
      </c>
      <c r="AC1349" s="73"/>
    </row>
    <row r="1350" spans="1:29" s="20" customFormat="1">
      <c r="A1350" s="327" t="str">
        <f>IF(AND($B1350&lt;&gt;"",$C1350&lt;&gt;""),MAX($A$4:A1349)+1,"")</f>
        <v/>
      </c>
      <c r="B1350" s="361" t="s">
        <v>1636</v>
      </c>
      <c r="C1350" s="364"/>
      <c r="D1350" s="327">
        <f>IF($B1350="","",COUNTIF($B$6:$B1350,$B1350))</f>
        <v>10</v>
      </c>
      <c r="E1350" s="361">
        <v>1126</v>
      </c>
      <c r="F1350" s="362" t="s">
        <v>1523</v>
      </c>
      <c r="G1350" s="361" t="s">
        <v>328</v>
      </c>
      <c r="H1350" s="325"/>
      <c r="I1350" s="327">
        <v>4</v>
      </c>
      <c r="J1350" s="361" t="s">
        <v>1641</v>
      </c>
      <c r="K1350" s="327" t="s">
        <v>531</v>
      </c>
      <c r="L1350" s="348">
        <f>177000*$L$1329</f>
        <v>0</v>
      </c>
      <c r="M1350" s="355"/>
      <c r="N1350" s="355" t="str">
        <f t="shared" si="182"/>
        <v>PR</v>
      </c>
      <c r="O1350" s="347">
        <v>12</v>
      </c>
      <c r="P1350" s="325"/>
      <c r="Q1350" s="351"/>
      <c r="R1350" s="351">
        <v>1.1000000000000001</v>
      </c>
      <c r="S1350" s="351">
        <v>6</v>
      </c>
      <c r="T1350" s="351"/>
      <c r="U1350" s="329">
        <f>IF($N1350=$N$4,IFERROR(INDEX(DanhMuc!$E$154:$E$165,MATCH(MID($B1350,4,2),DanhMuc!$B$154:$B$165,0)),""),"")</f>
        <v>6000</v>
      </c>
      <c r="V1350" s="325"/>
      <c r="W1350" s="352" t="str">
        <f>+IF(AND($A1350&lt;&gt;"",LEN($B1350)&gt;=8,COUNTIF($B$6:$B1350,$B1350)=1),$W$5,"")</f>
        <v/>
      </c>
      <c r="X1350" s="329" t="str">
        <f t="shared" si="183"/>
        <v>LV</v>
      </c>
      <c r="Y1350" s="1128" t="s">
        <v>3380</v>
      </c>
      <c r="Z1350" s="1128" t="s">
        <v>3381</v>
      </c>
      <c r="AA1350" s="1128" t="s">
        <v>3384</v>
      </c>
      <c r="AC1350" s="73"/>
    </row>
    <row r="1351" spans="1:29" s="20" customFormat="1">
      <c r="A1351" s="327" t="str">
        <f>IF(AND($B1351&lt;&gt;"",$C1351&lt;&gt;""),MAX($A$4:A1350)+1,"")</f>
        <v/>
      </c>
      <c r="B1351" s="361" t="s">
        <v>1636</v>
      </c>
      <c r="C1351" s="364"/>
      <c r="D1351" s="327">
        <f>IF($B1351="","",COUNTIF($B$6:$B1351,$B1351))</f>
        <v>11</v>
      </c>
      <c r="E1351" s="361">
        <v>1127</v>
      </c>
      <c r="F1351" s="362" t="s">
        <v>1522</v>
      </c>
      <c r="G1351" s="361" t="s">
        <v>329</v>
      </c>
      <c r="H1351" s="325"/>
      <c r="I1351" s="327">
        <v>4</v>
      </c>
      <c r="J1351" s="361" t="s">
        <v>1642</v>
      </c>
      <c r="K1351" s="327" t="s">
        <v>531</v>
      </c>
      <c r="L1351" s="348">
        <f>200000*$L$1329</f>
        <v>0</v>
      </c>
      <c r="M1351" s="355"/>
      <c r="N1351" s="355" t="str">
        <f t="shared" si="182"/>
        <v>PR</v>
      </c>
      <c r="O1351" s="347">
        <v>11</v>
      </c>
      <c r="P1351" s="325"/>
      <c r="Q1351" s="351"/>
      <c r="R1351" s="351">
        <v>1.1000000000000001</v>
      </c>
      <c r="S1351" s="351">
        <v>6</v>
      </c>
      <c r="T1351" s="351"/>
      <c r="U1351" s="329">
        <f>IF($N1351=$N$4,IFERROR(INDEX(DanhMuc!$E$154:$E$165,MATCH(MID($B1351,4,2),DanhMuc!$B$154:$B$165,0)),""),"")</f>
        <v>6000</v>
      </c>
      <c r="V1351" s="325"/>
      <c r="W1351" s="352" t="str">
        <f>+IF(AND($A1351&lt;&gt;"",LEN($B1351)&gt;=8,COUNTIF($B$6:$B1351,$B1351)=1),$W$5,"")</f>
        <v/>
      </c>
      <c r="X1351" s="329" t="str">
        <f t="shared" si="183"/>
        <v>LV</v>
      </c>
      <c r="Y1351" s="1128" t="s">
        <v>3380</v>
      </c>
      <c r="Z1351" s="1128" t="s">
        <v>3381</v>
      </c>
      <c r="AA1351" s="1128" t="s">
        <v>3384</v>
      </c>
      <c r="AC1351" s="73"/>
    </row>
    <row r="1352" spans="1:29" s="20" customFormat="1">
      <c r="A1352" s="327" t="str">
        <f>IF(AND($B1352&lt;&gt;"",$C1352&lt;&gt;""),MAX($A$4:A1351)+1,"")</f>
        <v/>
      </c>
      <c r="B1352" s="361" t="s">
        <v>1636</v>
      </c>
      <c r="C1352" s="364"/>
      <c r="D1352" s="327">
        <f>IF($B1352="","",COUNTIF($B$6:$B1352,$B1352))</f>
        <v>12</v>
      </c>
      <c r="E1352" s="361">
        <v>1127</v>
      </c>
      <c r="F1352" s="362" t="s">
        <v>1522</v>
      </c>
      <c r="G1352" s="361" t="s">
        <v>328</v>
      </c>
      <c r="H1352" s="325"/>
      <c r="I1352" s="327">
        <v>4</v>
      </c>
      <c r="J1352" s="361" t="s">
        <v>1641</v>
      </c>
      <c r="K1352" s="327" t="s">
        <v>531</v>
      </c>
      <c r="L1352" s="348">
        <f>200000*$L$1329</f>
        <v>0</v>
      </c>
      <c r="M1352" s="355"/>
      <c r="N1352" s="355" t="str">
        <f t="shared" si="182"/>
        <v>PR</v>
      </c>
      <c r="O1352" s="347">
        <v>11</v>
      </c>
      <c r="P1352" s="325"/>
      <c r="Q1352" s="351"/>
      <c r="R1352" s="351">
        <v>1.1000000000000001</v>
      </c>
      <c r="S1352" s="351">
        <v>6</v>
      </c>
      <c r="T1352" s="351"/>
      <c r="U1352" s="329">
        <f>IF($N1352=$N$4,IFERROR(INDEX(DanhMuc!$E$154:$E$165,MATCH(MID($B1352,4,2),DanhMuc!$B$154:$B$165,0)),""),"")</f>
        <v>6000</v>
      </c>
      <c r="V1352" s="325"/>
      <c r="W1352" s="352" t="str">
        <f>+IF(AND($A1352&lt;&gt;"",LEN($B1352)&gt;=8,COUNTIF($B$6:$B1352,$B1352)=1),$W$5,"")</f>
        <v/>
      </c>
      <c r="X1352" s="329" t="str">
        <f t="shared" si="183"/>
        <v>LV</v>
      </c>
      <c r="Y1352" s="1128" t="s">
        <v>3380</v>
      </c>
      <c r="Z1352" s="1128" t="s">
        <v>3381</v>
      </c>
      <c r="AA1352" s="1128" t="s">
        <v>3384</v>
      </c>
      <c r="AC1352" s="73"/>
    </row>
    <row r="1353" spans="1:29" s="20" customFormat="1" ht="39">
      <c r="A1353" s="327">
        <f>IF(AND($B1353&lt;&gt;"",$C1353&lt;&gt;""),MAX($A$4:A1335)+1,"")</f>
        <v>99</v>
      </c>
      <c r="B1353" s="359" t="s">
        <v>2183</v>
      </c>
      <c r="C1353" s="370" t="s">
        <v>2184</v>
      </c>
      <c r="D1353" s="327">
        <f>IF($B1353="","",COUNTIF($B$6:$B1353,$B1353))</f>
        <v>1</v>
      </c>
      <c r="E1353" s="363">
        <v>1101</v>
      </c>
      <c r="F1353" s="362" t="s">
        <v>1519</v>
      </c>
      <c r="G1353" s="361" t="s">
        <v>329</v>
      </c>
      <c r="H1353" s="325"/>
      <c r="I1353" s="327">
        <v>1</v>
      </c>
      <c r="J1353" s="361" t="s">
        <v>81</v>
      </c>
      <c r="K1353" s="327" t="s">
        <v>516</v>
      </c>
      <c r="L1353" s="348">
        <f>978000*$L$1329</f>
        <v>0</v>
      </c>
      <c r="M1353" s="355"/>
      <c r="N1353" s="355" t="str">
        <f t="shared" si="182"/>
        <v>PR</v>
      </c>
      <c r="O1353" s="345"/>
      <c r="P1353" s="325"/>
      <c r="Q1353" s="351"/>
      <c r="R1353" s="351">
        <v>1.8</v>
      </c>
      <c r="S1353" s="351">
        <v>6</v>
      </c>
      <c r="T1353" s="351"/>
      <c r="U1353" s="329">
        <f>IF($N1353=$N$4,IFERROR(INDEX(DanhMuc!$E$154:$E$165,MATCH(MID($B1353,4,2),DanhMuc!$B$154:$B$165,0)),""),"")</f>
        <v>6000</v>
      </c>
      <c r="V1353" s="325"/>
      <c r="W1353" s="352" t="str">
        <f>+IF(AND($A1353&lt;&gt;"",LEN($B1353)&gt;=8,COUNTIF($B$6:$B1353,$B1353)=1),$W$5,"")</f>
        <v>DMCua</v>
      </c>
      <c r="X1353" s="329" t="str">
        <f t="shared" si="183"/>
        <v>LV</v>
      </c>
      <c r="Y1353" s="1128" t="s">
        <v>3380</v>
      </c>
      <c r="Z1353" s="1128" t="s">
        <v>3381</v>
      </c>
      <c r="AA1353" s="1128" t="s">
        <v>3384</v>
      </c>
      <c r="AC1353" s="73"/>
    </row>
    <row r="1354" spans="1:29" s="20" customFormat="1">
      <c r="A1354" s="327" t="str">
        <f>IF(AND($B1354&lt;&gt;"",$C1354&lt;&gt;""),MAX($A$4:A1353)+1,"")</f>
        <v/>
      </c>
      <c r="B1354" s="361" t="s">
        <v>2183</v>
      </c>
      <c r="C1354" s="364"/>
      <c r="D1354" s="327">
        <f>IF($B1354="","",COUNTIF($B$6:$B1354,$B1354))</f>
        <v>2</v>
      </c>
      <c r="E1354" s="363">
        <v>1101</v>
      </c>
      <c r="F1354" s="362" t="s">
        <v>1519</v>
      </c>
      <c r="G1354" s="361" t="s">
        <v>328</v>
      </c>
      <c r="H1354" s="325"/>
      <c r="I1354" s="327">
        <v>2</v>
      </c>
      <c r="J1354" s="361" t="s">
        <v>80</v>
      </c>
      <c r="K1354" s="327" t="s">
        <v>1141</v>
      </c>
      <c r="L1354" s="348">
        <f>978000*$L$1329</f>
        <v>0</v>
      </c>
      <c r="M1354" s="355"/>
      <c r="N1354" s="355" t="str">
        <f t="shared" si="182"/>
        <v>PR</v>
      </c>
      <c r="O1354" s="347"/>
      <c r="P1354" s="325"/>
      <c r="Q1354" s="351"/>
      <c r="R1354" s="351">
        <v>1.8</v>
      </c>
      <c r="S1354" s="351">
        <v>6</v>
      </c>
      <c r="T1354" s="351"/>
      <c r="U1354" s="329">
        <f>IF($N1354=$N$4,IFERROR(INDEX(DanhMuc!$E$154:$E$165,MATCH(MID($B1354,4,2),DanhMuc!$B$154:$B$165,0)),""),"")</f>
        <v>6000</v>
      </c>
      <c r="V1354" s="325"/>
      <c r="W1354" s="352" t="str">
        <f>+IF(AND($A1354&lt;&gt;"",LEN($B1354)&gt;=8,COUNTIF($B$6:$B1354,$B1354)=1),$W$5,"")</f>
        <v/>
      </c>
      <c r="X1354" s="329" t="str">
        <f t="shared" si="183"/>
        <v>LV</v>
      </c>
      <c r="Y1354" s="1128" t="s">
        <v>3380</v>
      </c>
      <c r="Z1354" s="1128" t="s">
        <v>3381</v>
      </c>
      <c r="AA1354" s="1128" t="s">
        <v>3384</v>
      </c>
      <c r="AC1354" s="73"/>
    </row>
    <row r="1355" spans="1:29" s="20" customFormat="1">
      <c r="A1355" s="327" t="str">
        <f>IF(AND($B1355&lt;&gt;"",$C1355&lt;&gt;""),MAX($A$4:A1354)+1,"")</f>
        <v/>
      </c>
      <c r="B1355" s="361" t="s">
        <v>2183</v>
      </c>
      <c r="C1355" s="364"/>
      <c r="D1355" s="327">
        <f>IF($B1355="","",COUNTIF($B$6:$B1355,$B1355))</f>
        <v>3</v>
      </c>
      <c r="E1355" s="361">
        <v>1106</v>
      </c>
      <c r="F1355" s="362" t="s">
        <v>1520</v>
      </c>
      <c r="G1355" s="361" t="s">
        <v>329</v>
      </c>
      <c r="H1355" s="325"/>
      <c r="I1355" s="327">
        <v>4</v>
      </c>
      <c r="J1355" s="361" t="s">
        <v>2185</v>
      </c>
      <c r="K1355" s="327" t="s">
        <v>516</v>
      </c>
      <c r="L1355" s="348">
        <f t="shared" ref="L1355:L1360" si="184">1362000*$L$1329</f>
        <v>0</v>
      </c>
      <c r="M1355" s="355"/>
      <c r="N1355" s="355" t="str">
        <f t="shared" si="182"/>
        <v>PR</v>
      </c>
      <c r="O1355" s="345" t="s">
        <v>19</v>
      </c>
      <c r="P1355" s="325"/>
      <c r="Q1355" s="351"/>
      <c r="R1355" s="351">
        <v>1.8</v>
      </c>
      <c r="S1355" s="351">
        <v>6</v>
      </c>
      <c r="T1355" s="351"/>
      <c r="U1355" s="329">
        <f>IF($N1355=$N$4,IFERROR(INDEX(DanhMuc!$E$154:$E$165,MATCH(MID($B1355,4,2),DanhMuc!$B$154:$B$165,0)),""),"")</f>
        <v>6000</v>
      </c>
      <c r="V1355" s="325"/>
      <c r="W1355" s="352" t="str">
        <f>+IF(AND($A1355&lt;&gt;"",LEN($B1355)&gt;=8,COUNTIF($B$6:$B1355,$B1355)=1),$W$5,"")</f>
        <v/>
      </c>
      <c r="X1355" s="329" t="str">
        <f t="shared" si="183"/>
        <v>LV</v>
      </c>
      <c r="Y1355" s="1128" t="s">
        <v>3380</v>
      </c>
      <c r="Z1355" s="1128" t="s">
        <v>3381</v>
      </c>
      <c r="AA1355" s="1128" t="s">
        <v>3384</v>
      </c>
      <c r="AC1355" s="73"/>
    </row>
    <row r="1356" spans="1:29" s="20" customFormat="1">
      <c r="A1356" s="327" t="str">
        <f>IF(AND($B1356&lt;&gt;"",$C1356&lt;&gt;""),MAX($A$4:A1355)+1,"")</f>
        <v/>
      </c>
      <c r="B1356" s="361" t="s">
        <v>2183</v>
      </c>
      <c r="C1356" s="364"/>
      <c r="D1356" s="327">
        <f>IF($B1356="","",COUNTIF($B$6:$B1356,$B1356))</f>
        <v>4</v>
      </c>
      <c r="E1356" s="361">
        <v>1106</v>
      </c>
      <c r="F1356" s="362" t="s">
        <v>1520</v>
      </c>
      <c r="G1356" s="361" t="s">
        <v>329</v>
      </c>
      <c r="H1356" s="325"/>
      <c r="I1356" s="327">
        <v>2</v>
      </c>
      <c r="J1356" s="361" t="s">
        <v>2186</v>
      </c>
      <c r="K1356" s="327" t="s">
        <v>516</v>
      </c>
      <c r="L1356" s="348">
        <f t="shared" si="184"/>
        <v>0</v>
      </c>
      <c r="M1356" s="355"/>
      <c r="N1356" s="355" t="str">
        <f t="shared" si="182"/>
        <v>PR</v>
      </c>
      <c r="O1356" s="345" t="s">
        <v>19</v>
      </c>
      <c r="P1356" s="325"/>
      <c r="Q1356" s="351"/>
      <c r="R1356" s="351">
        <v>1.8</v>
      </c>
      <c r="S1356" s="351">
        <v>6</v>
      </c>
      <c r="T1356" s="351"/>
      <c r="U1356" s="329">
        <f>IF($N1356=$N$4,IFERROR(INDEX(DanhMuc!$E$154:$E$165,MATCH(MID($B1356,4,2),DanhMuc!$B$154:$B$165,0)),""),"")</f>
        <v>6000</v>
      </c>
      <c r="V1356" s="325"/>
      <c r="W1356" s="352" t="str">
        <f>+IF(AND($A1356&lt;&gt;"",LEN($B1356)&gt;=8,COUNTIF($B$6:$B1356,$B1356)=1),$W$5,"")</f>
        <v/>
      </c>
      <c r="X1356" s="329" t="str">
        <f t="shared" si="183"/>
        <v>LV</v>
      </c>
      <c r="Y1356" s="1128" t="s">
        <v>3380</v>
      </c>
      <c r="Z1356" s="1128" t="s">
        <v>3381</v>
      </c>
      <c r="AA1356" s="1128" t="s">
        <v>3384</v>
      </c>
      <c r="AC1356" s="73"/>
    </row>
    <row r="1357" spans="1:29" s="20" customFormat="1">
      <c r="A1357" s="327" t="str">
        <f>IF(AND($B1357&lt;&gt;"",$C1357&lt;&gt;""),MAX($A$4:A1356)+1,"")</f>
        <v/>
      </c>
      <c r="B1357" s="361" t="s">
        <v>2183</v>
      </c>
      <c r="C1357" s="364"/>
      <c r="D1357" s="327">
        <f>IF($B1357="","",COUNTIF($B$6:$B1357,$B1357))</f>
        <v>5</v>
      </c>
      <c r="E1357" s="361">
        <v>1106</v>
      </c>
      <c r="F1357" s="362" t="s">
        <v>1520</v>
      </c>
      <c r="G1357" s="361" t="s">
        <v>328</v>
      </c>
      <c r="H1357" s="325"/>
      <c r="I1357" s="327">
        <v>6</v>
      </c>
      <c r="J1357" s="361" t="s">
        <v>1640</v>
      </c>
      <c r="K1357" s="327" t="s">
        <v>516</v>
      </c>
      <c r="L1357" s="348">
        <f t="shared" si="184"/>
        <v>0</v>
      </c>
      <c r="M1357" s="355"/>
      <c r="N1357" s="355" t="str">
        <f t="shared" si="182"/>
        <v>PR</v>
      </c>
      <c r="O1357" s="345" t="s">
        <v>19</v>
      </c>
      <c r="P1357" s="325"/>
      <c r="Q1357" s="351"/>
      <c r="R1357" s="351">
        <v>1.8</v>
      </c>
      <c r="S1357" s="351">
        <v>6</v>
      </c>
      <c r="T1357" s="351"/>
      <c r="U1357" s="329">
        <f>IF($N1357=$N$4,IFERROR(INDEX(DanhMuc!$E$154:$E$165,MATCH(MID($B1357,4,2),DanhMuc!$B$154:$B$165,0)),""),"")</f>
        <v>6000</v>
      </c>
      <c r="V1357" s="325"/>
      <c r="W1357" s="352" t="str">
        <f>+IF(AND($A1357&lt;&gt;"",LEN($B1357)&gt;=8,COUNTIF($B$6:$B1357,$B1357)=1),$W$5,"")</f>
        <v/>
      </c>
      <c r="X1357" s="329" t="str">
        <f t="shared" si="183"/>
        <v>LV</v>
      </c>
      <c r="Y1357" s="1128" t="s">
        <v>3380</v>
      </c>
      <c r="Z1357" s="1128" t="s">
        <v>3381</v>
      </c>
      <c r="AA1357" s="1128" t="s">
        <v>3384</v>
      </c>
      <c r="AC1357" s="73"/>
    </row>
    <row r="1358" spans="1:29" s="20" customFormat="1">
      <c r="A1358" s="327" t="str">
        <f>IF(AND($B1358&lt;&gt;"",$C1358&lt;&gt;""),MAX($A$4:A1357)+1,"")</f>
        <v/>
      </c>
      <c r="B1358" s="361" t="s">
        <v>2183</v>
      </c>
      <c r="C1358" s="364"/>
      <c r="D1358" s="327">
        <f>IF($B1358="","",COUNTIF($B$6:$B1358,$B1358))</f>
        <v>6</v>
      </c>
      <c r="E1358" s="361">
        <v>1107</v>
      </c>
      <c r="F1358" s="362" t="s">
        <v>1521</v>
      </c>
      <c r="G1358" s="361" t="s">
        <v>329</v>
      </c>
      <c r="H1358" s="325"/>
      <c r="I1358" s="327">
        <v>4</v>
      </c>
      <c r="J1358" s="361" t="s">
        <v>2185</v>
      </c>
      <c r="K1358" s="327" t="s">
        <v>516</v>
      </c>
      <c r="L1358" s="348">
        <f t="shared" si="184"/>
        <v>0</v>
      </c>
      <c r="M1358" s="355"/>
      <c r="N1358" s="355" t="str">
        <f t="shared" si="182"/>
        <v>PR</v>
      </c>
      <c r="O1358" s="345" t="s">
        <v>16</v>
      </c>
      <c r="P1358" s="325"/>
      <c r="Q1358" s="351"/>
      <c r="R1358" s="351">
        <v>1.8</v>
      </c>
      <c r="S1358" s="351">
        <v>6</v>
      </c>
      <c r="T1358" s="351"/>
      <c r="U1358" s="329">
        <f>IF($N1358=$N$4,IFERROR(INDEX(DanhMuc!$E$154:$E$165,MATCH(MID($B1358,4,2),DanhMuc!$B$154:$B$165,0)),""),"")</f>
        <v>6000</v>
      </c>
      <c r="V1358" s="325"/>
      <c r="W1358" s="352" t="str">
        <f>+IF(AND($A1358&lt;&gt;"",LEN($B1358)&gt;=8,COUNTIF($B$6:$B1358,$B1358)=1),$W$5,"")</f>
        <v/>
      </c>
      <c r="X1358" s="329" t="str">
        <f t="shared" si="183"/>
        <v>LV</v>
      </c>
      <c r="Y1358" s="1128" t="s">
        <v>3380</v>
      </c>
      <c r="Z1358" s="1128" t="s">
        <v>3381</v>
      </c>
      <c r="AA1358" s="1128" t="s">
        <v>3384</v>
      </c>
      <c r="AC1358" s="73"/>
    </row>
    <row r="1359" spans="1:29" s="20" customFormat="1">
      <c r="A1359" s="327" t="str">
        <f>IF(AND($B1359&lt;&gt;"",$C1359&lt;&gt;""),MAX($A$4:A1358)+1,"")</f>
        <v/>
      </c>
      <c r="B1359" s="361" t="s">
        <v>2183</v>
      </c>
      <c r="C1359" s="364"/>
      <c r="D1359" s="327">
        <f>IF($B1359="","",COUNTIF($B$6:$B1359,$B1359))</f>
        <v>7</v>
      </c>
      <c r="E1359" s="361">
        <v>1107</v>
      </c>
      <c r="F1359" s="362" t="s">
        <v>1521</v>
      </c>
      <c r="G1359" s="361" t="s">
        <v>329</v>
      </c>
      <c r="H1359" s="325"/>
      <c r="I1359" s="327">
        <v>2</v>
      </c>
      <c r="J1359" s="361" t="s">
        <v>2186</v>
      </c>
      <c r="K1359" s="327" t="s">
        <v>516</v>
      </c>
      <c r="L1359" s="348">
        <f t="shared" si="184"/>
        <v>0</v>
      </c>
      <c r="M1359" s="355"/>
      <c r="N1359" s="355" t="str">
        <f t="shared" si="182"/>
        <v>PR</v>
      </c>
      <c r="O1359" s="345" t="s">
        <v>16</v>
      </c>
      <c r="P1359" s="325"/>
      <c r="Q1359" s="351"/>
      <c r="R1359" s="351">
        <v>1.8</v>
      </c>
      <c r="S1359" s="351">
        <v>6</v>
      </c>
      <c r="T1359" s="351"/>
      <c r="U1359" s="329">
        <f>IF($N1359=$N$4,IFERROR(INDEX(DanhMuc!$E$154:$E$165,MATCH(MID($B1359,4,2),DanhMuc!$B$154:$B$165,0)),""),"")</f>
        <v>6000</v>
      </c>
      <c r="V1359" s="325"/>
      <c r="W1359" s="352" t="str">
        <f>+IF(AND($A1359&lt;&gt;"",LEN($B1359)&gt;=8,COUNTIF($B$6:$B1359,$B1359)=1),$W$5,"")</f>
        <v/>
      </c>
      <c r="X1359" s="329" t="str">
        <f t="shared" si="183"/>
        <v>LV</v>
      </c>
      <c r="Y1359" s="1128" t="s">
        <v>3380</v>
      </c>
      <c r="Z1359" s="1128" t="s">
        <v>3381</v>
      </c>
      <c r="AA1359" s="1128" t="s">
        <v>3384</v>
      </c>
      <c r="AC1359" s="73"/>
    </row>
    <row r="1360" spans="1:29" s="20" customFormat="1">
      <c r="A1360" s="327" t="str">
        <f>IF(AND($B1360&lt;&gt;"",$C1360&lt;&gt;""),MAX($A$4:A1359)+1,"")</f>
        <v/>
      </c>
      <c r="B1360" s="361" t="s">
        <v>2183</v>
      </c>
      <c r="C1360" s="364"/>
      <c r="D1360" s="327">
        <f>IF($B1360="","",COUNTIF($B$6:$B1360,$B1360))</f>
        <v>8</v>
      </c>
      <c r="E1360" s="361">
        <v>1107</v>
      </c>
      <c r="F1360" s="362" t="s">
        <v>1521</v>
      </c>
      <c r="G1360" s="361" t="s">
        <v>328</v>
      </c>
      <c r="H1360" s="325"/>
      <c r="I1360" s="327">
        <v>6</v>
      </c>
      <c r="J1360" s="361" t="s">
        <v>1640</v>
      </c>
      <c r="K1360" s="327" t="s">
        <v>516</v>
      </c>
      <c r="L1360" s="348">
        <f t="shared" si="184"/>
        <v>0</v>
      </c>
      <c r="M1360" s="355"/>
      <c r="N1360" s="355" t="str">
        <f t="shared" si="182"/>
        <v>PR</v>
      </c>
      <c r="O1360" s="345" t="s">
        <v>16</v>
      </c>
      <c r="P1360" s="325"/>
      <c r="Q1360" s="351"/>
      <c r="R1360" s="351">
        <v>1.8</v>
      </c>
      <c r="S1360" s="351">
        <v>6</v>
      </c>
      <c r="T1360" s="351"/>
      <c r="U1360" s="329">
        <f>IF($N1360=$N$4,IFERROR(INDEX(DanhMuc!$E$154:$E$165,MATCH(MID($B1360,4,2),DanhMuc!$B$154:$B$165,0)),""),"")</f>
        <v>6000</v>
      </c>
      <c r="V1360" s="325"/>
      <c r="W1360" s="352" t="str">
        <f>+IF(AND($A1360&lt;&gt;"",LEN($B1360)&gt;=8,COUNTIF($B$6:$B1360,$B1360)=1),$W$5,"")</f>
        <v/>
      </c>
      <c r="X1360" s="329" t="str">
        <f t="shared" si="183"/>
        <v>LV</v>
      </c>
      <c r="Y1360" s="1128" t="s">
        <v>3380</v>
      </c>
      <c r="Z1360" s="1128" t="s">
        <v>3381</v>
      </c>
      <c r="AA1360" s="1128" t="s">
        <v>3384</v>
      </c>
      <c r="AC1360" s="73"/>
    </row>
    <row r="1361" spans="1:29" s="20" customFormat="1">
      <c r="A1361" s="327" t="str">
        <f>IF(AND($B1361&lt;&gt;"",$C1361&lt;&gt;""),MAX($A$4:A1360)+1,"")</f>
        <v/>
      </c>
      <c r="B1361" s="361" t="s">
        <v>2183</v>
      </c>
      <c r="C1361" s="364"/>
      <c r="D1361" s="327">
        <f>IF($B1361="","",COUNTIF($B$6:$B1361,$B1361))</f>
        <v>9</v>
      </c>
      <c r="E1361" s="361">
        <v>1112</v>
      </c>
      <c r="F1361" s="362" t="s">
        <v>1638</v>
      </c>
      <c r="G1361" s="361" t="s">
        <v>329</v>
      </c>
      <c r="H1361" s="325"/>
      <c r="I1361" s="327">
        <v>2</v>
      </c>
      <c r="J1361" s="361" t="s">
        <v>2187</v>
      </c>
      <c r="K1361" s="327" t="s">
        <v>531</v>
      </c>
      <c r="L1361" s="348">
        <f>284000*$L$1329</f>
        <v>0</v>
      </c>
      <c r="M1361" s="355"/>
      <c r="N1361" s="355" t="str">
        <f t="shared" si="182"/>
        <v>PR</v>
      </c>
      <c r="O1361" s="347" t="s">
        <v>1475</v>
      </c>
      <c r="P1361" s="325"/>
      <c r="Q1361" s="351"/>
      <c r="R1361" s="351">
        <v>1.2</v>
      </c>
      <c r="S1361" s="351">
        <v>6</v>
      </c>
      <c r="T1361" s="351"/>
      <c r="U1361" s="329">
        <f>IF($N1361=$N$4,IFERROR(INDEX(DanhMuc!$E$154:$E$165,MATCH(MID($B1361,4,2),DanhMuc!$B$154:$B$165,0)),""),"")</f>
        <v>6000</v>
      </c>
      <c r="V1361" s="325"/>
      <c r="W1361" s="352" t="str">
        <f>+IF(AND($A1361&lt;&gt;"",LEN($B1361)&gt;=8,COUNTIF($B$6:$B1361,$B1361)=1),$W$5,"")</f>
        <v/>
      </c>
      <c r="X1361" s="329" t="str">
        <f t="shared" si="183"/>
        <v>LV</v>
      </c>
      <c r="Y1361" s="1128" t="s">
        <v>3380</v>
      </c>
      <c r="Z1361" s="1128" t="s">
        <v>3381</v>
      </c>
      <c r="AA1361" s="1128" t="s">
        <v>3384</v>
      </c>
      <c r="AC1361" s="73"/>
    </row>
    <row r="1362" spans="1:29" s="20" customFormat="1">
      <c r="A1362" s="327" t="str">
        <f>IF(AND($B1362&lt;&gt;"",$C1362&lt;&gt;""),MAX($A$4:A1361)+1,"")</f>
        <v/>
      </c>
      <c r="B1362" s="361" t="s">
        <v>2183</v>
      </c>
      <c r="C1362" s="364"/>
      <c r="D1362" s="327">
        <f>IF($B1362="","",COUNTIF($B$6:$B1362,$B1362))</f>
        <v>10</v>
      </c>
      <c r="E1362" s="361">
        <v>1112</v>
      </c>
      <c r="F1362" s="362" t="s">
        <v>1638</v>
      </c>
      <c r="G1362" s="361" t="s">
        <v>329</v>
      </c>
      <c r="H1362" s="325"/>
      <c r="I1362" s="327">
        <v>1</v>
      </c>
      <c r="J1362" s="361" t="s">
        <v>2188</v>
      </c>
      <c r="K1362" s="327" t="s">
        <v>531</v>
      </c>
      <c r="L1362" s="348">
        <f>284000*$L$1329</f>
        <v>0</v>
      </c>
      <c r="M1362" s="355"/>
      <c r="N1362" s="355" t="str">
        <f t="shared" si="182"/>
        <v>PR</v>
      </c>
      <c r="O1362" s="347" t="s">
        <v>1475</v>
      </c>
      <c r="P1362" s="325"/>
      <c r="Q1362" s="351"/>
      <c r="R1362" s="351">
        <v>1.2</v>
      </c>
      <c r="S1362" s="351">
        <v>6</v>
      </c>
      <c r="T1362" s="351"/>
      <c r="U1362" s="329">
        <f>IF($N1362=$N$4,IFERROR(INDEX(DanhMuc!$E$154:$E$165,MATCH(MID($B1362,4,2),DanhMuc!$B$154:$B$165,0)),""),"")</f>
        <v>6000</v>
      </c>
      <c r="V1362" s="325"/>
      <c r="W1362" s="352" t="str">
        <f>+IF(AND($A1362&lt;&gt;"",LEN($B1362)&gt;=8,COUNTIF($B$6:$B1362,$B1362)=1),$W$5,"")</f>
        <v/>
      </c>
      <c r="X1362" s="329" t="str">
        <f t="shared" si="183"/>
        <v>LV</v>
      </c>
      <c r="Y1362" s="1128" t="s">
        <v>3380</v>
      </c>
      <c r="Z1362" s="1128" t="s">
        <v>3381</v>
      </c>
      <c r="AA1362" s="1128" t="s">
        <v>3384</v>
      </c>
      <c r="AC1362" s="73"/>
    </row>
    <row r="1363" spans="1:29" s="20" customFormat="1">
      <c r="A1363" s="327" t="str">
        <f>IF(AND($B1363&lt;&gt;"",$C1363&lt;&gt;""),MAX($A$4:A1362)+1,"")</f>
        <v/>
      </c>
      <c r="B1363" s="361" t="s">
        <v>2183</v>
      </c>
      <c r="C1363" s="364"/>
      <c r="D1363" s="327">
        <f>IF($B1363="","",COUNTIF($B$6:$B1363,$B1363))</f>
        <v>11</v>
      </c>
      <c r="E1363" s="361">
        <v>1111</v>
      </c>
      <c r="F1363" s="362" t="s">
        <v>1637</v>
      </c>
      <c r="G1363" s="361" t="s">
        <v>328</v>
      </c>
      <c r="H1363" s="325"/>
      <c r="I1363" s="327">
        <v>2</v>
      </c>
      <c r="J1363" s="361" t="s">
        <v>1658</v>
      </c>
      <c r="K1363" s="327" t="s">
        <v>531</v>
      </c>
      <c r="L1363" s="348">
        <f>982000*$L$1329</f>
        <v>0</v>
      </c>
      <c r="M1363" s="355"/>
      <c r="N1363" s="355" t="str">
        <f t="shared" si="182"/>
        <v>PR</v>
      </c>
      <c r="O1363" s="347"/>
      <c r="P1363" s="325"/>
      <c r="Q1363" s="351"/>
      <c r="R1363" s="351">
        <v>1.8</v>
      </c>
      <c r="S1363" s="351">
        <v>6</v>
      </c>
      <c r="T1363" s="351"/>
      <c r="U1363" s="329">
        <f>IF($N1363=$N$4,IFERROR(INDEX(DanhMuc!$E$154:$E$165,MATCH(MID($B1363,4,2),DanhMuc!$B$154:$B$165,0)),""),"")</f>
        <v>6000</v>
      </c>
      <c r="V1363" s="325"/>
      <c r="W1363" s="352" t="str">
        <f>+IF(AND($A1363&lt;&gt;"",LEN($B1363)&gt;=8,COUNTIF($B$6:$B1363,$B1363)=1),$W$5,"")</f>
        <v/>
      </c>
      <c r="X1363" s="329" t="str">
        <f t="shared" si="183"/>
        <v>LV</v>
      </c>
      <c r="Y1363" s="1128" t="s">
        <v>3380</v>
      </c>
      <c r="Z1363" s="1128" t="s">
        <v>3381</v>
      </c>
      <c r="AA1363" s="1128" t="s">
        <v>3384</v>
      </c>
      <c r="AC1363" s="73"/>
    </row>
    <row r="1364" spans="1:29" s="20" customFormat="1">
      <c r="A1364" s="327" t="str">
        <f>IF(AND($B1364&lt;&gt;"",$C1364&lt;&gt;""),MAX($A$4:A1363)+1,"")</f>
        <v/>
      </c>
      <c r="B1364" s="361" t="s">
        <v>2183</v>
      </c>
      <c r="C1364" s="364"/>
      <c r="D1364" s="327">
        <f>IF($B1364="","",COUNTIF($B$6:$B1364,$B1364))</f>
        <v>12</v>
      </c>
      <c r="E1364" s="361">
        <v>1126</v>
      </c>
      <c r="F1364" s="362" t="s">
        <v>1523</v>
      </c>
      <c r="G1364" s="361" t="s">
        <v>329</v>
      </c>
      <c r="H1364" s="325"/>
      <c r="I1364" s="327">
        <v>4</v>
      </c>
      <c r="J1364" s="361" t="s">
        <v>2189</v>
      </c>
      <c r="K1364" s="327" t="s">
        <v>531</v>
      </c>
      <c r="L1364" s="348">
        <f>177000*$L$1329</f>
        <v>0</v>
      </c>
      <c r="M1364" s="355"/>
      <c r="N1364" s="355" t="str">
        <f t="shared" si="182"/>
        <v>PR</v>
      </c>
      <c r="O1364" s="347">
        <v>12</v>
      </c>
      <c r="P1364" s="325"/>
      <c r="Q1364" s="351"/>
      <c r="R1364" s="351">
        <v>1.1000000000000001</v>
      </c>
      <c r="S1364" s="351">
        <v>6</v>
      </c>
      <c r="T1364" s="351"/>
      <c r="U1364" s="329">
        <f>IF($N1364=$N$4,IFERROR(INDEX(DanhMuc!$E$154:$E$165,MATCH(MID($B1364,4,2),DanhMuc!$B$154:$B$165,0)),""),"")</f>
        <v>6000</v>
      </c>
      <c r="V1364" s="325"/>
      <c r="W1364" s="352" t="str">
        <f>+IF(AND($A1364&lt;&gt;"",LEN($B1364)&gt;=8,COUNTIF($B$6:$B1364,$B1364)=1),$W$5,"")</f>
        <v/>
      </c>
      <c r="X1364" s="329" t="str">
        <f t="shared" si="183"/>
        <v>LV</v>
      </c>
      <c r="Y1364" s="1128" t="s">
        <v>3380</v>
      </c>
      <c r="Z1364" s="1128" t="s">
        <v>3381</v>
      </c>
      <c r="AA1364" s="1128" t="s">
        <v>3384</v>
      </c>
      <c r="AC1364" s="73"/>
    </row>
    <row r="1365" spans="1:29" s="20" customFormat="1">
      <c r="A1365" s="327" t="str">
        <f>IF(AND($B1365&lt;&gt;"",$C1365&lt;&gt;""),MAX($A$4:A1364)+1,"")</f>
        <v/>
      </c>
      <c r="B1365" s="361" t="s">
        <v>2183</v>
      </c>
      <c r="C1365" s="364"/>
      <c r="D1365" s="327">
        <f>IF($B1365="","",COUNTIF($B$6:$B1365,$B1365))</f>
        <v>13</v>
      </c>
      <c r="E1365" s="361">
        <v>1126</v>
      </c>
      <c r="F1365" s="362" t="s">
        <v>1523</v>
      </c>
      <c r="G1365" s="361" t="s">
        <v>329</v>
      </c>
      <c r="H1365" s="325"/>
      <c r="I1365" s="327">
        <v>2</v>
      </c>
      <c r="J1365" s="361" t="s">
        <v>2190</v>
      </c>
      <c r="K1365" s="327" t="s">
        <v>531</v>
      </c>
      <c r="L1365" s="348">
        <f>177000*$L$1329</f>
        <v>0</v>
      </c>
      <c r="M1365" s="355"/>
      <c r="N1365" s="355" t="str">
        <f t="shared" si="182"/>
        <v>PR</v>
      </c>
      <c r="O1365" s="347">
        <v>12</v>
      </c>
      <c r="P1365" s="325"/>
      <c r="Q1365" s="351"/>
      <c r="R1365" s="351">
        <v>1.1000000000000001</v>
      </c>
      <c r="S1365" s="351">
        <v>6</v>
      </c>
      <c r="T1365" s="351"/>
      <c r="U1365" s="329">
        <f>IF($N1365=$N$4,IFERROR(INDEX(DanhMuc!$E$154:$E$165,MATCH(MID($B1365,4,2),DanhMuc!$B$154:$B$165,0)),""),"")</f>
        <v>6000</v>
      </c>
      <c r="V1365" s="325"/>
      <c r="W1365" s="352" t="str">
        <f>+IF(AND($A1365&lt;&gt;"",LEN($B1365)&gt;=8,COUNTIF($B$6:$B1365,$B1365)=1),$W$5,"")</f>
        <v/>
      </c>
      <c r="X1365" s="329" t="str">
        <f t="shared" si="183"/>
        <v>LV</v>
      </c>
      <c r="Y1365" s="1128" t="s">
        <v>3380</v>
      </c>
      <c r="Z1365" s="1128" t="s">
        <v>3381</v>
      </c>
      <c r="AA1365" s="1128" t="s">
        <v>3384</v>
      </c>
      <c r="AC1365" s="73"/>
    </row>
    <row r="1366" spans="1:29" s="20" customFormat="1">
      <c r="A1366" s="327" t="str">
        <f>IF(AND($B1366&lt;&gt;"",$C1366&lt;&gt;""),MAX($A$4:A1365)+1,"")</f>
        <v/>
      </c>
      <c r="B1366" s="361" t="s">
        <v>2183</v>
      </c>
      <c r="C1366" s="364"/>
      <c r="D1366" s="327">
        <f>IF($B1366="","",COUNTIF($B$6:$B1366,$B1366))</f>
        <v>14</v>
      </c>
      <c r="E1366" s="361">
        <v>1126</v>
      </c>
      <c r="F1366" s="362" t="s">
        <v>1523</v>
      </c>
      <c r="G1366" s="361" t="s">
        <v>328</v>
      </c>
      <c r="H1366" s="325"/>
      <c r="I1366" s="327">
        <v>6</v>
      </c>
      <c r="J1366" s="361" t="s">
        <v>1641</v>
      </c>
      <c r="K1366" s="327" t="s">
        <v>531</v>
      </c>
      <c r="L1366" s="348">
        <f>177000*$L$1329</f>
        <v>0</v>
      </c>
      <c r="M1366" s="355"/>
      <c r="N1366" s="355" t="str">
        <f t="shared" si="182"/>
        <v>PR</v>
      </c>
      <c r="O1366" s="347">
        <v>12</v>
      </c>
      <c r="P1366" s="325"/>
      <c r="Q1366" s="351"/>
      <c r="R1366" s="351">
        <v>1.1000000000000001</v>
      </c>
      <c r="S1366" s="351">
        <v>6</v>
      </c>
      <c r="T1366" s="351"/>
      <c r="U1366" s="329">
        <f>IF($N1366=$N$4,IFERROR(INDEX(DanhMuc!$E$154:$E$165,MATCH(MID($B1366,4,2),DanhMuc!$B$154:$B$165,0)),""),"")</f>
        <v>6000</v>
      </c>
      <c r="V1366" s="325"/>
      <c r="W1366" s="352" t="str">
        <f>+IF(AND($A1366&lt;&gt;"",LEN($B1366)&gt;=8,COUNTIF($B$6:$B1366,$B1366)=1),$W$5,"")</f>
        <v/>
      </c>
      <c r="X1366" s="329" t="str">
        <f t="shared" si="183"/>
        <v>LV</v>
      </c>
      <c r="Y1366" s="1128" t="s">
        <v>3380</v>
      </c>
      <c r="Z1366" s="1128" t="s">
        <v>3381</v>
      </c>
      <c r="AA1366" s="1128" t="s">
        <v>3384</v>
      </c>
      <c r="AC1366" s="73"/>
    </row>
    <row r="1367" spans="1:29" s="20" customFormat="1">
      <c r="A1367" s="327" t="str">
        <f>IF(AND($B1367&lt;&gt;"",$C1367&lt;&gt;""),MAX($A$4:A1366)+1,"")</f>
        <v/>
      </c>
      <c r="B1367" s="361" t="s">
        <v>2183</v>
      </c>
      <c r="C1367" s="364"/>
      <c r="D1367" s="327">
        <f>IF($B1367="","",COUNTIF($B$6:$B1367,$B1367))</f>
        <v>15</v>
      </c>
      <c r="E1367" s="361">
        <v>1127</v>
      </c>
      <c r="F1367" s="362" t="s">
        <v>1522</v>
      </c>
      <c r="G1367" s="361" t="s">
        <v>329</v>
      </c>
      <c r="H1367" s="325"/>
      <c r="I1367" s="327">
        <v>4</v>
      </c>
      <c r="J1367" s="361" t="s">
        <v>2189</v>
      </c>
      <c r="K1367" s="327" t="s">
        <v>531</v>
      </c>
      <c r="L1367" s="348">
        <f>200000*$L$1329</f>
        <v>0</v>
      </c>
      <c r="M1367" s="355"/>
      <c r="N1367" s="355" t="str">
        <f t="shared" si="182"/>
        <v>PR</v>
      </c>
      <c r="O1367" s="347">
        <v>11</v>
      </c>
      <c r="P1367" s="325"/>
      <c r="Q1367" s="351"/>
      <c r="R1367" s="351">
        <v>1.1000000000000001</v>
      </c>
      <c r="S1367" s="351">
        <v>6</v>
      </c>
      <c r="T1367" s="351"/>
      <c r="U1367" s="329">
        <f>IF($N1367=$N$4,IFERROR(INDEX(DanhMuc!$E$154:$E$165,MATCH(MID($B1367,4,2),DanhMuc!$B$154:$B$165,0)),""),"")</f>
        <v>6000</v>
      </c>
      <c r="V1367" s="325"/>
      <c r="W1367" s="352" t="str">
        <f>+IF(AND($A1367&lt;&gt;"",LEN($B1367)&gt;=8,COUNTIF($B$6:$B1367,$B1367)=1),$W$5,"")</f>
        <v/>
      </c>
      <c r="X1367" s="329" t="str">
        <f t="shared" si="183"/>
        <v>LV</v>
      </c>
      <c r="Y1367" s="1128" t="s">
        <v>3380</v>
      </c>
      <c r="Z1367" s="1128" t="s">
        <v>3381</v>
      </c>
      <c r="AA1367" s="1128" t="s">
        <v>3384</v>
      </c>
      <c r="AC1367" s="73"/>
    </row>
    <row r="1368" spans="1:29" s="20" customFormat="1">
      <c r="A1368" s="327" t="str">
        <f>IF(AND($B1368&lt;&gt;"",$C1368&lt;&gt;""),MAX($A$4:A1367)+1,"")</f>
        <v/>
      </c>
      <c r="B1368" s="361" t="s">
        <v>2183</v>
      </c>
      <c r="C1368" s="364"/>
      <c r="D1368" s="327">
        <f>IF($B1368="","",COUNTIF($B$6:$B1368,$B1368))</f>
        <v>16</v>
      </c>
      <c r="E1368" s="361">
        <v>1127</v>
      </c>
      <c r="F1368" s="362" t="s">
        <v>1522</v>
      </c>
      <c r="G1368" s="361" t="s">
        <v>329</v>
      </c>
      <c r="H1368" s="325"/>
      <c r="I1368" s="327">
        <v>2</v>
      </c>
      <c r="J1368" s="361" t="s">
        <v>2190</v>
      </c>
      <c r="K1368" s="327" t="s">
        <v>531</v>
      </c>
      <c r="L1368" s="348">
        <f>200000*$L$1329</f>
        <v>0</v>
      </c>
      <c r="M1368" s="355"/>
      <c r="N1368" s="355" t="str">
        <f t="shared" si="182"/>
        <v>PR</v>
      </c>
      <c r="O1368" s="347">
        <v>11</v>
      </c>
      <c r="P1368" s="325"/>
      <c r="Q1368" s="351"/>
      <c r="R1368" s="351">
        <v>1.1000000000000001</v>
      </c>
      <c r="S1368" s="351">
        <v>6</v>
      </c>
      <c r="T1368" s="351"/>
      <c r="U1368" s="329">
        <f>IF($N1368=$N$4,IFERROR(INDEX(DanhMuc!$E$154:$E$165,MATCH(MID($B1368,4,2),DanhMuc!$B$154:$B$165,0)),""),"")</f>
        <v>6000</v>
      </c>
      <c r="V1368" s="325"/>
      <c r="W1368" s="352" t="str">
        <f>+IF(AND($A1368&lt;&gt;"",LEN($B1368)&gt;=8,COUNTIF($B$6:$B1368,$B1368)=1),$W$5,"")</f>
        <v/>
      </c>
      <c r="X1368" s="329" t="str">
        <f t="shared" si="183"/>
        <v>LV</v>
      </c>
      <c r="Y1368" s="1128" t="s">
        <v>3380</v>
      </c>
      <c r="Z1368" s="1128" t="s">
        <v>3381</v>
      </c>
      <c r="AA1368" s="1128" t="s">
        <v>3384</v>
      </c>
      <c r="AC1368" s="73"/>
    </row>
    <row r="1369" spans="1:29" s="20" customFormat="1">
      <c r="A1369" s="327" t="str">
        <f>IF(AND($B1369&lt;&gt;"",$C1369&lt;&gt;""),MAX($A$4:A1368)+1,"")</f>
        <v/>
      </c>
      <c r="B1369" s="361" t="s">
        <v>2183</v>
      </c>
      <c r="C1369" s="364"/>
      <c r="D1369" s="327">
        <f>IF($B1369="","",COUNTIF($B$6:$B1369,$B1369))</f>
        <v>17</v>
      </c>
      <c r="E1369" s="361">
        <v>1127</v>
      </c>
      <c r="F1369" s="362" t="s">
        <v>1522</v>
      </c>
      <c r="G1369" s="361" t="s">
        <v>328</v>
      </c>
      <c r="H1369" s="325"/>
      <c r="I1369" s="327">
        <v>6</v>
      </c>
      <c r="J1369" s="361" t="s">
        <v>1641</v>
      </c>
      <c r="K1369" s="327" t="s">
        <v>531</v>
      </c>
      <c r="L1369" s="348">
        <f>200000*$L$1329</f>
        <v>0</v>
      </c>
      <c r="M1369" s="355"/>
      <c r="N1369" s="355" t="str">
        <f t="shared" si="182"/>
        <v>PR</v>
      </c>
      <c r="O1369" s="347">
        <v>11</v>
      </c>
      <c r="P1369" s="325"/>
      <c r="Q1369" s="351"/>
      <c r="R1369" s="351">
        <v>1.1000000000000001</v>
      </c>
      <c r="S1369" s="351">
        <v>6</v>
      </c>
      <c r="T1369" s="351"/>
      <c r="U1369" s="329">
        <f>IF($N1369=$N$4,IFERROR(INDEX(DanhMuc!$E$154:$E$165,MATCH(MID($B1369,4,2),DanhMuc!$B$154:$B$165,0)),""),"")</f>
        <v>6000</v>
      </c>
      <c r="V1369" s="325"/>
      <c r="W1369" s="352" t="str">
        <f>+IF(AND($A1369&lt;&gt;"",LEN($B1369)&gt;=8,COUNTIF($B$6:$B1369,$B1369)=1),$W$5,"")</f>
        <v/>
      </c>
      <c r="X1369" s="329" t="str">
        <f t="shared" si="183"/>
        <v>LV</v>
      </c>
      <c r="Y1369" s="1128" t="s">
        <v>3380</v>
      </c>
      <c r="Z1369" s="1128" t="s">
        <v>3381</v>
      </c>
      <c r="AA1369" s="1128" t="s">
        <v>3384</v>
      </c>
      <c r="AC1369" s="73"/>
    </row>
    <row r="1370" spans="1:29" s="20" customFormat="1" ht="39">
      <c r="A1370" s="327">
        <f>IF(AND($B1370&lt;&gt;"",$C1370&lt;&gt;""),MAX($A$4:A1352)+1,"")</f>
        <v>100</v>
      </c>
      <c r="B1370" s="359" t="s">
        <v>1661</v>
      </c>
      <c r="C1370" s="370" t="s">
        <v>1660</v>
      </c>
      <c r="D1370" s="327">
        <f>IF($B1370="","",COUNTIF($B$6:$B1370,$B1370))</f>
        <v>1</v>
      </c>
      <c r="E1370" s="363">
        <v>1101</v>
      </c>
      <c r="F1370" s="362" t="s">
        <v>1519</v>
      </c>
      <c r="G1370" s="361" t="s">
        <v>329</v>
      </c>
      <c r="H1370" s="325"/>
      <c r="I1370" s="327">
        <v>1</v>
      </c>
      <c r="J1370" s="361" t="s">
        <v>81</v>
      </c>
      <c r="K1370" s="327" t="s">
        <v>516</v>
      </c>
      <c r="L1370" s="348">
        <f>978000*$L$1329</f>
        <v>0</v>
      </c>
      <c r="M1370" s="355"/>
      <c r="N1370" s="355" t="str">
        <f t="shared" si="182"/>
        <v>PR</v>
      </c>
      <c r="O1370" s="345"/>
      <c r="P1370" s="325"/>
      <c r="Q1370" s="351"/>
      <c r="R1370" s="351">
        <v>1.8</v>
      </c>
      <c r="S1370" s="351">
        <v>6</v>
      </c>
      <c r="T1370" s="351"/>
      <c r="U1370" s="329">
        <f>IF($N1370=$N$4,IFERROR(INDEX(DanhMuc!$E$154:$E$165,MATCH(MID($B1370,4,2),DanhMuc!$B$154:$B$165,0)),""),"")</f>
        <v>6000</v>
      </c>
      <c r="V1370" s="325"/>
      <c r="W1370" s="352" t="str">
        <f>+IF(AND($A1370&lt;&gt;"",LEN($B1370)&gt;=8,COUNTIF($B$6:$B1370,$B1370)=1),$W$5,"")</f>
        <v>DMCua</v>
      </c>
      <c r="X1370" s="329" t="str">
        <f t="shared" si="183"/>
        <v>LV</v>
      </c>
      <c r="Y1370" s="1128" t="s">
        <v>3380</v>
      </c>
      <c r="Z1370" s="1128" t="s">
        <v>3381</v>
      </c>
      <c r="AA1370" s="1128" t="s">
        <v>3384</v>
      </c>
      <c r="AC1370" s="73"/>
    </row>
    <row r="1371" spans="1:29" s="20" customFormat="1">
      <c r="A1371" s="327" t="str">
        <f>IF(AND($B1371&lt;&gt;"",$C1371&lt;&gt;""),MAX($A$4:A1370)+1,"")</f>
        <v/>
      </c>
      <c r="B1371" s="361" t="s">
        <v>1661</v>
      </c>
      <c r="C1371" s="364"/>
      <c r="D1371" s="327">
        <f>IF($B1371="","",COUNTIF($B$6:$B1371,$B1371))</f>
        <v>2</v>
      </c>
      <c r="E1371" s="363">
        <v>1101</v>
      </c>
      <c r="F1371" s="362" t="s">
        <v>1519</v>
      </c>
      <c r="G1371" s="361" t="s">
        <v>328</v>
      </c>
      <c r="H1371" s="325"/>
      <c r="I1371" s="327">
        <v>2</v>
      </c>
      <c r="J1371" s="361" t="s">
        <v>80</v>
      </c>
      <c r="K1371" s="327" t="s">
        <v>1141</v>
      </c>
      <c r="L1371" s="348">
        <f>978000*$L$1329</f>
        <v>0</v>
      </c>
      <c r="M1371" s="355"/>
      <c r="N1371" s="355" t="str">
        <f t="shared" si="182"/>
        <v>PR</v>
      </c>
      <c r="O1371" s="347"/>
      <c r="P1371" s="325"/>
      <c r="Q1371" s="351"/>
      <c r="R1371" s="351">
        <v>1.8</v>
      </c>
      <c r="S1371" s="351">
        <v>6</v>
      </c>
      <c r="T1371" s="351"/>
      <c r="U1371" s="329">
        <f>IF($N1371=$N$4,IFERROR(INDEX(DanhMuc!$E$154:$E$165,MATCH(MID($B1371,4,2),DanhMuc!$B$154:$B$165,0)),""),"")</f>
        <v>6000</v>
      </c>
      <c r="V1371" s="325"/>
      <c r="W1371" s="352" t="str">
        <f>+IF(AND($A1371&lt;&gt;"",LEN($B1371)&gt;=8,COUNTIF($B$6:$B1371,$B1371)=1),$W$5,"")</f>
        <v/>
      </c>
      <c r="X1371" s="329" t="str">
        <f t="shared" si="183"/>
        <v>LV</v>
      </c>
      <c r="Y1371" s="1128" t="s">
        <v>3380</v>
      </c>
      <c r="Z1371" s="1128" t="s">
        <v>3381</v>
      </c>
      <c r="AA1371" s="1128" t="s">
        <v>3384</v>
      </c>
      <c r="AC1371" s="73"/>
    </row>
    <row r="1372" spans="1:29" s="20" customFormat="1">
      <c r="A1372" s="327" t="str">
        <f>IF(AND($B1372&lt;&gt;"",$C1372&lt;&gt;""),MAX($A$4:A1371)+1,"")</f>
        <v/>
      </c>
      <c r="B1372" s="361" t="s">
        <v>1661</v>
      </c>
      <c r="C1372" s="364"/>
      <c r="D1372" s="327">
        <f>IF($B1372="","",COUNTIF($B$6:$B1372,$B1372))</f>
        <v>3</v>
      </c>
      <c r="E1372" s="361">
        <v>1106</v>
      </c>
      <c r="F1372" s="362" t="s">
        <v>1520</v>
      </c>
      <c r="G1372" s="361" t="s">
        <v>329</v>
      </c>
      <c r="H1372" s="325"/>
      <c r="I1372" s="327">
        <v>4</v>
      </c>
      <c r="J1372" s="361" t="s">
        <v>1662</v>
      </c>
      <c r="K1372" s="327" t="s">
        <v>516</v>
      </c>
      <c r="L1372" s="348">
        <f t="shared" ref="L1372:L1377" si="185">1362000*$L$1329</f>
        <v>0</v>
      </c>
      <c r="M1372" s="355"/>
      <c r="N1372" s="355" t="str">
        <f t="shared" si="182"/>
        <v>PR</v>
      </c>
      <c r="O1372" s="345" t="s">
        <v>19</v>
      </c>
      <c r="P1372" s="325"/>
      <c r="Q1372" s="351"/>
      <c r="R1372" s="351">
        <v>1.8</v>
      </c>
      <c r="S1372" s="351">
        <v>6</v>
      </c>
      <c r="T1372" s="351"/>
      <c r="U1372" s="329">
        <f>IF($N1372=$N$4,IFERROR(INDEX(DanhMuc!$E$154:$E$165,MATCH(MID($B1372,4,2),DanhMuc!$B$154:$B$165,0)),""),"")</f>
        <v>6000</v>
      </c>
      <c r="V1372" s="325"/>
      <c r="W1372" s="352" t="str">
        <f>+IF(AND($A1372&lt;&gt;"",LEN($B1372)&gt;=8,COUNTIF($B$6:$B1372,$B1372)=1),$W$5,"")</f>
        <v/>
      </c>
      <c r="X1372" s="329" t="str">
        <f t="shared" si="183"/>
        <v>LV</v>
      </c>
      <c r="Y1372" s="1128" t="s">
        <v>3380</v>
      </c>
      <c r="Z1372" s="1128" t="s">
        <v>3381</v>
      </c>
      <c r="AA1372" s="1128" t="s">
        <v>3384</v>
      </c>
      <c r="AC1372" s="73"/>
    </row>
    <row r="1373" spans="1:29" s="20" customFormat="1">
      <c r="A1373" s="327" t="str">
        <f>IF(AND($B1373&lt;&gt;"",$C1373&lt;&gt;""),MAX($A$4:A1372)+1,"")</f>
        <v/>
      </c>
      <c r="B1373" s="361" t="s">
        <v>1661</v>
      </c>
      <c r="C1373" s="364"/>
      <c r="D1373" s="327">
        <f>IF($B1373="","",COUNTIF($B$6:$B1373,$B1373))</f>
        <v>4</v>
      </c>
      <c r="E1373" s="361">
        <v>1106</v>
      </c>
      <c r="F1373" s="362" t="s">
        <v>1520</v>
      </c>
      <c r="G1373" s="361" t="s">
        <v>329</v>
      </c>
      <c r="H1373" s="325"/>
      <c r="I1373" s="327">
        <v>4</v>
      </c>
      <c r="J1373" s="361" t="s">
        <v>1663</v>
      </c>
      <c r="K1373" s="327" t="s">
        <v>516</v>
      </c>
      <c r="L1373" s="348">
        <f t="shared" si="185"/>
        <v>0</v>
      </c>
      <c r="M1373" s="355"/>
      <c r="N1373" s="355" t="str">
        <f t="shared" si="182"/>
        <v>PR</v>
      </c>
      <c r="O1373" s="345" t="s">
        <v>19</v>
      </c>
      <c r="P1373" s="325"/>
      <c r="Q1373" s="351"/>
      <c r="R1373" s="351">
        <v>1.8</v>
      </c>
      <c r="S1373" s="351">
        <v>6</v>
      </c>
      <c r="T1373" s="351"/>
      <c r="U1373" s="329">
        <f>IF($N1373=$N$4,IFERROR(INDEX(DanhMuc!$E$154:$E$165,MATCH(MID($B1373,4,2),DanhMuc!$B$154:$B$165,0)),""),"")</f>
        <v>6000</v>
      </c>
      <c r="V1373" s="325"/>
      <c r="W1373" s="352" t="str">
        <f>+IF(AND($A1373&lt;&gt;"",LEN($B1373)&gt;=8,COUNTIF($B$6:$B1373,$B1373)=1),$W$5,"")</f>
        <v/>
      </c>
      <c r="X1373" s="329" t="str">
        <f t="shared" si="183"/>
        <v>LV</v>
      </c>
      <c r="Y1373" s="1128" t="s">
        <v>3380</v>
      </c>
      <c r="Z1373" s="1128" t="s">
        <v>3381</v>
      </c>
      <c r="AA1373" s="1128" t="s">
        <v>3384</v>
      </c>
      <c r="AC1373" s="73"/>
    </row>
    <row r="1374" spans="1:29" s="20" customFormat="1">
      <c r="A1374" s="327" t="str">
        <f>IF(AND($B1374&lt;&gt;"",$C1374&lt;&gt;""),MAX($A$4:A1373)+1,"")</f>
        <v/>
      </c>
      <c r="B1374" s="361" t="s">
        <v>1661</v>
      </c>
      <c r="C1374" s="364"/>
      <c r="D1374" s="327">
        <f>IF($B1374="","",COUNTIF($B$6:$B1374,$B1374))</f>
        <v>5</v>
      </c>
      <c r="E1374" s="361">
        <v>1106</v>
      </c>
      <c r="F1374" s="362" t="s">
        <v>1520</v>
      </c>
      <c r="G1374" s="361" t="s">
        <v>328</v>
      </c>
      <c r="H1374" s="325"/>
      <c r="I1374" s="327">
        <v>8</v>
      </c>
      <c r="J1374" s="361" t="s">
        <v>1640</v>
      </c>
      <c r="K1374" s="327" t="s">
        <v>516</v>
      </c>
      <c r="L1374" s="348">
        <f t="shared" si="185"/>
        <v>0</v>
      </c>
      <c r="M1374" s="355"/>
      <c r="N1374" s="355" t="str">
        <f t="shared" si="182"/>
        <v>PR</v>
      </c>
      <c r="O1374" s="345" t="s">
        <v>19</v>
      </c>
      <c r="P1374" s="325"/>
      <c r="Q1374" s="351"/>
      <c r="R1374" s="351">
        <v>1.8</v>
      </c>
      <c r="S1374" s="351">
        <v>6</v>
      </c>
      <c r="T1374" s="351"/>
      <c r="U1374" s="329">
        <f>IF($N1374=$N$4,IFERROR(INDEX(DanhMuc!$E$154:$E$165,MATCH(MID($B1374,4,2),DanhMuc!$B$154:$B$165,0)),""),"")</f>
        <v>6000</v>
      </c>
      <c r="V1374" s="325"/>
      <c r="W1374" s="352" t="str">
        <f>+IF(AND($A1374&lt;&gt;"",LEN($B1374)&gt;=8,COUNTIF($B$6:$B1374,$B1374)=1),$W$5,"")</f>
        <v/>
      </c>
      <c r="X1374" s="329" t="str">
        <f t="shared" si="183"/>
        <v>LV</v>
      </c>
      <c r="Y1374" s="1128" t="s">
        <v>3380</v>
      </c>
      <c r="Z1374" s="1128" t="s">
        <v>3381</v>
      </c>
      <c r="AA1374" s="1128" t="s">
        <v>3384</v>
      </c>
      <c r="AC1374" s="73"/>
    </row>
    <row r="1375" spans="1:29" s="20" customFormat="1">
      <c r="A1375" s="327" t="str">
        <f>IF(AND($B1375&lt;&gt;"",$C1375&lt;&gt;""),MAX($A$4:A1374)+1,"")</f>
        <v/>
      </c>
      <c r="B1375" s="361" t="s">
        <v>1661</v>
      </c>
      <c r="C1375" s="364"/>
      <c r="D1375" s="327">
        <f>IF($B1375="","",COUNTIF($B$6:$B1375,$B1375))</f>
        <v>6</v>
      </c>
      <c r="E1375" s="361">
        <v>1107</v>
      </c>
      <c r="F1375" s="362" t="s">
        <v>1521</v>
      </c>
      <c r="G1375" s="361" t="s">
        <v>329</v>
      </c>
      <c r="H1375" s="325"/>
      <c r="I1375" s="327">
        <v>4</v>
      </c>
      <c r="J1375" s="361" t="s">
        <v>1662</v>
      </c>
      <c r="K1375" s="327" t="s">
        <v>516</v>
      </c>
      <c r="L1375" s="348">
        <f t="shared" si="185"/>
        <v>0</v>
      </c>
      <c r="M1375" s="355"/>
      <c r="N1375" s="355" t="str">
        <f t="shared" si="182"/>
        <v>PR</v>
      </c>
      <c r="O1375" s="345" t="s">
        <v>16</v>
      </c>
      <c r="P1375" s="325"/>
      <c r="Q1375" s="351"/>
      <c r="R1375" s="351">
        <v>1.8</v>
      </c>
      <c r="S1375" s="351">
        <v>6</v>
      </c>
      <c r="T1375" s="351"/>
      <c r="U1375" s="329">
        <f>IF($N1375=$N$4,IFERROR(INDEX(DanhMuc!$E$154:$E$165,MATCH(MID($B1375,4,2),DanhMuc!$B$154:$B$165,0)),""),"")</f>
        <v>6000</v>
      </c>
      <c r="V1375" s="325"/>
      <c r="W1375" s="352" t="str">
        <f>+IF(AND($A1375&lt;&gt;"",LEN($B1375)&gt;=8,COUNTIF($B$6:$B1375,$B1375)=1),$W$5,"")</f>
        <v/>
      </c>
      <c r="X1375" s="329" t="str">
        <f t="shared" si="183"/>
        <v>LV</v>
      </c>
      <c r="Y1375" s="1128" t="s">
        <v>3380</v>
      </c>
      <c r="Z1375" s="1128" t="s">
        <v>3381</v>
      </c>
      <c r="AA1375" s="1128" t="s">
        <v>3384</v>
      </c>
      <c r="AC1375" s="73"/>
    </row>
    <row r="1376" spans="1:29" s="20" customFormat="1">
      <c r="A1376" s="327" t="str">
        <f>IF(AND($B1376&lt;&gt;"",$C1376&lt;&gt;""),MAX($A$4:A1375)+1,"")</f>
        <v/>
      </c>
      <c r="B1376" s="361" t="s">
        <v>1661</v>
      </c>
      <c r="C1376" s="364"/>
      <c r="D1376" s="327">
        <f>IF($B1376="","",COUNTIF($B$6:$B1376,$B1376))</f>
        <v>7</v>
      </c>
      <c r="E1376" s="361">
        <v>1107</v>
      </c>
      <c r="F1376" s="362" t="s">
        <v>1521</v>
      </c>
      <c r="G1376" s="361" t="s">
        <v>329</v>
      </c>
      <c r="H1376" s="325"/>
      <c r="I1376" s="327">
        <v>4</v>
      </c>
      <c r="J1376" s="361" t="s">
        <v>1663</v>
      </c>
      <c r="K1376" s="327" t="s">
        <v>516</v>
      </c>
      <c r="L1376" s="348">
        <f t="shared" si="185"/>
        <v>0</v>
      </c>
      <c r="M1376" s="355"/>
      <c r="N1376" s="355" t="str">
        <f t="shared" si="182"/>
        <v>PR</v>
      </c>
      <c r="O1376" s="345" t="s">
        <v>16</v>
      </c>
      <c r="P1376" s="325"/>
      <c r="Q1376" s="351"/>
      <c r="R1376" s="351">
        <v>1.8</v>
      </c>
      <c r="S1376" s="351">
        <v>6</v>
      </c>
      <c r="T1376" s="351"/>
      <c r="U1376" s="329">
        <f>IF($N1376=$N$4,IFERROR(INDEX(DanhMuc!$E$154:$E$165,MATCH(MID($B1376,4,2),DanhMuc!$B$154:$B$165,0)),""),"")</f>
        <v>6000</v>
      </c>
      <c r="V1376" s="325"/>
      <c r="W1376" s="352" t="str">
        <f>+IF(AND($A1376&lt;&gt;"",LEN($B1376)&gt;=8,COUNTIF($B$6:$B1376,$B1376)=1),$W$5,"")</f>
        <v/>
      </c>
      <c r="X1376" s="329" t="str">
        <f t="shared" si="183"/>
        <v>LV</v>
      </c>
      <c r="Y1376" s="1128" t="s">
        <v>3380</v>
      </c>
      <c r="Z1376" s="1128" t="s">
        <v>3381</v>
      </c>
      <c r="AA1376" s="1128" t="s">
        <v>3384</v>
      </c>
      <c r="AC1376" s="73"/>
    </row>
    <row r="1377" spans="1:29" s="20" customFormat="1">
      <c r="A1377" s="327" t="str">
        <f>IF(AND($B1377&lt;&gt;"",$C1377&lt;&gt;""),MAX($A$4:A1376)+1,"")</f>
        <v/>
      </c>
      <c r="B1377" s="361" t="s">
        <v>1661</v>
      </c>
      <c r="C1377" s="364"/>
      <c r="D1377" s="327">
        <f>IF($B1377="","",COUNTIF($B$6:$B1377,$B1377))</f>
        <v>8</v>
      </c>
      <c r="E1377" s="361">
        <v>1107</v>
      </c>
      <c r="F1377" s="362" t="s">
        <v>1521</v>
      </c>
      <c r="G1377" s="361" t="s">
        <v>328</v>
      </c>
      <c r="H1377" s="325"/>
      <c r="I1377" s="327">
        <v>8</v>
      </c>
      <c r="J1377" s="361" t="s">
        <v>1640</v>
      </c>
      <c r="K1377" s="327" t="s">
        <v>516</v>
      </c>
      <c r="L1377" s="348">
        <f t="shared" si="185"/>
        <v>0</v>
      </c>
      <c r="M1377" s="355"/>
      <c r="N1377" s="355" t="str">
        <f t="shared" si="182"/>
        <v>PR</v>
      </c>
      <c r="O1377" s="345" t="s">
        <v>16</v>
      </c>
      <c r="P1377" s="325"/>
      <c r="Q1377" s="351"/>
      <c r="R1377" s="351">
        <v>1.8</v>
      </c>
      <c r="S1377" s="351">
        <v>6</v>
      </c>
      <c r="T1377" s="351"/>
      <c r="U1377" s="329">
        <f>IF($N1377=$N$4,IFERROR(INDEX(DanhMuc!$E$154:$E$165,MATCH(MID($B1377,4,2),DanhMuc!$B$154:$B$165,0)),""),"")</f>
        <v>6000</v>
      </c>
      <c r="V1377" s="325"/>
      <c r="W1377" s="352" t="str">
        <f>+IF(AND($A1377&lt;&gt;"",LEN($B1377)&gt;=8,COUNTIF($B$6:$B1377,$B1377)=1),$W$5,"")</f>
        <v/>
      </c>
      <c r="X1377" s="329" t="str">
        <f t="shared" si="183"/>
        <v>LV</v>
      </c>
      <c r="Y1377" s="1128" t="s">
        <v>3380</v>
      </c>
      <c r="Z1377" s="1128" t="s">
        <v>3381</v>
      </c>
      <c r="AA1377" s="1128" t="s">
        <v>3384</v>
      </c>
      <c r="AC1377" s="73"/>
    </row>
    <row r="1378" spans="1:29" s="20" customFormat="1">
      <c r="A1378" s="327" t="str">
        <f>IF(AND($B1378&lt;&gt;"",$C1378&lt;&gt;""),MAX($A$4:A1377)+1,"")</f>
        <v/>
      </c>
      <c r="B1378" s="361" t="s">
        <v>1661</v>
      </c>
      <c r="C1378" s="364"/>
      <c r="D1378" s="327">
        <f>IF($B1378="","",COUNTIF($B$6:$B1378,$B1378))</f>
        <v>9</v>
      </c>
      <c r="E1378" s="361">
        <v>1112</v>
      </c>
      <c r="F1378" s="362" t="s">
        <v>1638</v>
      </c>
      <c r="G1378" s="361" t="s">
        <v>329</v>
      </c>
      <c r="H1378" s="325"/>
      <c r="I1378" s="327">
        <v>2</v>
      </c>
      <c r="J1378" s="361" t="s">
        <v>1664</v>
      </c>
      <c r="K1378" s="327" t="s">
        <v>531</v>
      </c>
      <c r="L1378" s="348">
        <f>284000*$L$1329</f>
        <v>0</v>
      </c>
      <c r="M1378" s="355"/>
      <c r="N1378" s="355" t="str">
        <f t="shared" si="182"/>
        <v>PR</v>
      </c>
      <c r="O1378" s="347" t="s">
        <v>1475</v>
      </c>
      <c r="P1378" s="325"/>
      <c r="Q1378" s="351"/>
      <c r="R1378" s="351">
        <v>1.2</v>
      </c>
      <c r="S1378" s="351">
        <v>6</v>
      </c>
      <c r="T1378" s="351"/>
      <c r="U1378" s="329">
        <f>IF($N1378=$N$4,IFERROR(INDEX(DanhMuc!$E$154:$E$165,MATCH(MID($B1378,4,2),DanhMuc!$B$154:$B$165,0)),""),"")</f>
        <v>6000</v>
      </c>
      <c r="V1378" s="325"/>
      <c r="W1378" s="352" t="str">
        <f>+IF(AND($A1378&lt;&gt;"",LEN($B1378)&gt;=8,COUNTIF($B$6:$B1378,$B1378)=1),$W$5,"")</f>
        <v/>
      </c>
      <c r="X1378" s="329" t="str">
        <f t="shared" si="183"/>
        <v>LV</v>
      </c>
      <c r="Y1378" s="1128" t="s">
        <v>3380</v>
      </c>
      <c r="Z1378" s="1128" t="s">
        <v>3381</v>
      </c>
      <c r="AA1378" s="1128" t="s">
        <v>3384</v>
      </c>
      <c r="AC1378" s="73"/>
    </row>
    <row r="1379" spans="1:29" s="20" customFormat="1">
      <c r="A1379" s="327" t="str">
        <f>IF(AND($B1379&lt;&gt;"",$C1379&lt;&gt;""),MAX($A$4:A1378)+1,"")</f>
        <v/>
      </c>
      <c r="B1379" s="361" t="s">
        <v>1661</v>
      </c>
      <c r="C1379" s="364"/>
      <c r="D1379" s="327">
        <f>IF($B1379="","",COUNTIF($B$6:$B1379,$B1379))</f>
        <v>10</v>
      </c>
      <c r="E1379" s="361">
        <v>1112</v>
      </c>
      <c r="F1379" s="362" t="s">
        <v>1638</v>
      </c>
      <c r="G1379" s="361" t="s">
        <v>329</v>
      </c>
      <c r="H1379" s="325"/>
      <c r="I1379" s="327">
        <v>2</v>
      </c>
      <c r="J1379" s="361" t="s">
        <v>1665</v>
      </c>
      <c r="K1379" s="327" t="s">
        <v>531</v>
      </c>
      <c r="L1379" s="348">
        <f>284000*$L$1329</f>
        <v>0</v>
      </c>
      <c r="M1379" s="355"/>
      <c r="N1379" s="355" t="str">
        <f t="shared" si="182"/>
        <v>PR</v>
      </c>
      <c r="O1379" s="347" t="s">
        <v>1475</v>
      </c>
      <c r="P1379" s="325"/>
      <c r="Q1379" s="351"/>
      <c r="R1379" s="351">
        <v>1.2</v>
      </c>
      <c r="S1379" s="351">
        <v>6</v>
      </c>
      <c r="T1379" s="351"/>
      <c r="U1379" s="329">
        <f>IF($N1379=$N$4,IFERROR(INDEX(DanhMuc!$E$154:$E$165,MATCH(MID($B1379,4,2),DanhMuc!$B$154:$B$165,0)),""),"")</f>
        <v>6000</v>
      </c>
      <c r="V1379" s="325"/>
      <c r="W1379" s="352" t="str">
        <f>+IF(AND($A1379&lt;&gt;"",LEN($B1379)&gt;=8,COUNTIF($B$6:$B1379,$B1379)=1),$W$5,"")</f>
        <v/>
      </c>
      <c r="X1379" s="329" t="str">
        <f t="shared" si="183"/>
        <v>LV</v>
      </c>
      <c r="Y1379" s="1128" t="s">
        <v>3380</v>
      </c>
      <c r="Z1379" s="1128" t="s">
        <v>3381</v>
      </c>
      <c r="AA1379" s="1128" t="s">
        <v>3384</v>
      </c>
      <c r="AC1379" s="73"/>
    </row>
    <row r="1380" spans="1:29" s="20" customFormat="1">
      <c r="A1380" s="327" t="str">
        <f>IF(AND($B1380&lt;&gt;"",$C1380&lt;&gt;""),MAX($A$4:A1379)+1,"")</f>
        <v/>
      </c>
      <c r="B1380" s="361" t="s">
        <v>1661</v>
      </c>
      <c r="C1380" s="364"/>
      <c r="D1380" s="327">
        <f>IF($B1380="","",COUNTIF($B$6:$B1380,$B1380))</f>
        <v>11</v>
      </c>
      <c r="E1380" s="361">
        <v>1111</v>
      </c>
      <c r="F1380" s="362" t="s">
        <v>1637</v>
      </c>
      <c r="G1380" s="361" t="s">
        <v>328</v>
      </c>
      <c r="H1380" s="325"/>
      <c r="I1380" s="327">
        <v>3</v>
      </c>
      <c r="J1380" s="361" t="s">
        <v>1658</v>
      </c>
      <c r="K1380" s="327" t="s">
        <v>531</v>
      </c>
      <c r="L1380" s="348">
        <f>982000*$L$1329</f>
        <v>0</v>
      </c>
      <c r="M1380" s="355"/>
      <c r="N1380" s="355" t="str">
        <f t="shared" si="182"/>
        <v>PR</v>
      </c>
      <c r="O1380" s="347"/>
      <c r="P1380" s="325"/>
      <c r="Q1380" s="351"/>
      <c r="R1380" s="351">
        <v>1.8</v>
      </c>
      <c r="S1380" s="351">
        <v>6</v>
      </c>
      <c r="T1380" s="351"/>
      <c r="U1380" s="329">
        <f>IF($N1380=$N$4,IFERROR(INDEX(DanhMuc!$E$154:$E$165,MATCH(MID($B1380,4,2),DanhMuc!$B$154:$B$165,0)),""),"")</f>
        <v>6000</v>
      </c>
      <c r="V1380" s="325"/>
      <c r="W1380" s="352" t="str">
        <f>+IF(AND($A1380&lt;&gt;"",LEN($B1380)&gt;=8,COUNTIF($B$6:$B1380,$B1380)=1),$W$5,"")</f>
        <v/>
      </c>
      <c r="X1380" s="329" t="str">
        <f t="shared" si="183"/>
        <v>LV</v>
      </c>
      <c r="Y1380" s="1128" t="s">
        <v>3380</v>
      </c>
      <c r="Z1380" s="1128" t="s">
        <v>3381</v>
      </c>
      <c r="AA1380" s="1128" t="s">
        <v>3384</v>
      </c>
      <c r="AC1380" s="73"/>
    </row>
    <row r="1381" spans="1:29" s="20" customFormat="1">
      <c r="A1381" s="327" t="str">
        <f>IF(AND($B1381&lt;&gt;"",$C1381&lt;&gt;""),MAX($A$4:A1380)+1,"")</f>
        <v/>
      </c>
      <c r="B1381" s="361" t="s">
        <v>1661</v>
      </c>
      <c r="C1381" s="364"/>
      <c r="D1381" s="327">
        <f>IF($B1381="","",COUNTIF($B$6:$B1381,$B1381))</f>
        <v>12</v>
      </c>
      <c r="E1381" s="361">
        <v>1126</v>
      </c>
      <c r="F1381" s="362" t="s">
        <v>1523</v>
      </c>
      <c r="G1381" s="361" t="s">
        <v>329</v>
      </c>
      <c r="H1381" s="325"/>
      <c r="I1381" s="327">
        <v>4</v>
      </c>
      <c r="J1381" s="361" t="s">
        <v>1666</v>
      </c>
      <c r="K1381" s="327" t="s">
        <v>531</v>
      </c>
      <c r="L1381" s="348">
        <f>177000*$L$1329</f>
        <v>0</v>
      </c>
      <c r="M1381" s="355"/>
      <c r="N1381" s="355" t="str">
        <f t="shared" si="182"/>
        <v>PR</v>
      </c>
      <c r="O1381" s="347">
        <v>12</v>
      </c>
      <c r="P1381" s="325"/>
      <c r="Q1381" s="351"/>
      <c r="R1381" s="351">
        <v>1.1000000000000001</v>
      </c>
      <c r="S1381" s="351">
        <v>6</v>
      </c>
      <c r="T1381" s="351"/>
      <c r="U1381" s="329">
        <f>IF($N1381=$N$4,IFERROR(INDEX(DanhMuc!$E$154:$E$165,MATCH(MID($B1381,4,2),DanhMuc!$B$154:$B$165,0)),""),"")</f>
        <v>6000</v>
      </c>
      <c r="V1381" s="325"/>
      <c r="W1381" s="352" t="str">
        <f>+IF(AND($A1381&lt;&gt;"",LEN($B1381)&gt;=8,COUNTIF($B$6:$B1381,$B1381)=1),$W$5,"")</f>
        <v/>
      </c>
      <c r="X1381" s="329" t="str">
        <f t="shared" si="183"/>
        <v>LV</v>
      </c>
      <c r="Y1381" s="1128" t="s">
        <v>3380</v>
      </c>
      <c r="Z1381" s="1128" t="s">
        <v>3381</v>
      </c>
      <c r="AA1381" s="1128" t="s">
        <v>3384</v>
      </c>
      <c r="AC1381" s="73"/>
    </row>
    <row r="1382" spans="1:29" s="20" customFormat="1">
      <c r="A1382" s="327" t="str">
        <f>IF(AND($B1382&lt;&gt;"",$C1382&lt;&gt;""),MAX($A$4:A1381)+1,"")</f>
        <v/>
      </c>
      <c r="B1382" s="361" t="s">
        <v>1661</v>
      </c>
      <c r="C1382" s="364"/>
      <c r="D1382" s="327">
        <f>IF($B1382="","",COUNTIF($B$6:$B1382,$B1382))</f>
        <v>13</v>
      </c>
      <c r="E1382" s="361">
        <v>1126</v>
      </c>
      <c r="F1382" s="362" t="s">
        <v>1523</v>
      </c>
      <c r="G1382" s="361" t="s">
        <v>329</v>
      </c>
      <c r="H1382" s="325"/>
      <c r="I1382" s="327">
        <v>4</v>
      </c>
      <c r="J1382" s="361" t="s">
        <v>1667</v>
      </c>
      <c r="K1382" s="327" t="s">
        <v>531</v>
      </c>
      <c r="L1382" s="348">
        <f>177000*$L$1329</f>
        <v>0</v>
      </c>
      <c r="M1382" s="355"/>
      <c r="N1382" s="355" t="str">
        <f t="shared" si="182"/>
        <v>PR</v>
      </c>
      <c r="O1382" s="347">
        <v>12</v>
      </c>
      <c r="P1382" s="325"/>
      <c r="Q1382" s="351"/>
      <c r="R1382" s="351">
        <v>1.1000000000000001</v>
      </c>
      <c r="S1382" s="351">
        <v>6</v>
      </c>
      <c r="T1382" s="351"/>
      <c r="U1382" s="329">
        <f>IF($N1382=$N$4,IFERROR(INDEX(DanhMuc!$E$154:$E$165,MATCH(MID($B1382,4,2),DanhMuc!$B$154:$B$165,0)),""),"")</f>
        <v>6000</v>
      </c>
      <c r="V1382" s="325"/>
      <c r="W1382" s="352" t="str">
        <f>+IF(AND($A1382&lt;&gt;"",LEN($B1382)&gt;=8,COUNTIF($B$6:$B1382,$B1382)=1),$W$5,"")</f>
        <v/>
      </c>
      <c r="X1382" s="329" t="str">
        <f t="shared" si="183"/>
        <v>LV</v>
      </c>
      <c r="Y1382" s="1128" t="s">
        <v>3380</v>
      </c>
      <c r="Z1382" s="1128" t="s">
        <v>3381</v>
      </c>
      <c r="AA1382" s="1128" t="s">
        <v>3384</v>
      </c>
      <c r="AC1382" s="73"/>
    </row>
    <row r="1383" spans="1:29" s="20" customFormat="1">
      <c r="A1383" s="327" t="str">
        <f>IF(AND($B1383&lt;&gt;"",$C1383&lt;&gt;""),MAX($A$4:A1382)+1,"")</f>
        <v/>
      </c>
      <c r="B1383" s="361" t="s">
        <v>1661</v>
      </c>
      <c r="C1383" s="364"/>
      <c r="D1383" s="327">
        <f>IF($B1383="","",COUNTIF($B$6:$B1383,$B1383))</f>
        <v>14</v>
      </c>
      <c r="E1383" s="361">
        <v>1126</v>
      </c>
      <c r="F1383" s="362" t="s">
        <v>1523</v>
      </c>
      <c r="G1383" s="361" t="s">
        <v>328</v>
      </c>
      <c r="H1383" s="325"/>
      <c r="I1383" s="327">
        <v>8</v>
      </c>
      <c r="J1383" s="361" t="s">
        <v>1641</v>
      </c>
      <c r="K1383" s="327" t="s">
        <v>531</v>
      </c>
      <c r="L1383" s="348">
        <f>177000*$L$1329</f>
        <v>0</v>
      </c>
      <c r="M1383" s="355"/>
      <c r="N1383" s="355" t="str">
        <f t="shared" si="182"/>
        <v>PR</v>
      </c>
      <c r="O1383" s="347">
        <v>12</v>
      </c>
      <c r="P1383" s="325"/>
      <c r="Q1383" s="351"/>
      <c r="R1383" s="351">
        <v>1.1000000000000001</v>
      </c>
      <c r="S1383" s="351">
        <v>6</v>
      </c>
      <c r="T1383" s="351"/>
      <c r="U1383" s="329">
        <f>IF($N1383=$N$4,IFERROR(INDEX(DanhMuc!$E$154:$E$165,MATCH(MID($B1383,4,2),DanhMuc!$B$154:$B$165,0)),""),"")</f>
        <v>6000</v>
      </c>
      <c r="V1383" s="325"/>
      <c r="W1383" s="352" t="str">
        <f>+IF(AND($A1383&lt;&gt;"",LEN($B1383)&gt;=8,COUNTIF($B$6:$B1383,$B1383)=1),$W$5,"")</f>
        <v/>
      </c>
      <c r="X1383" s="329" t="str">
        <f t="shared" si="183"/>
        <v>LV</v>
      </c>
      <c r="Y1383" s="1128" t="s">
        <v>3380</v>
      </c>
      <c r="Z1383" s="1128" t="s">
        <v>3381</v>
      </c>
      <c r="AA1383" s="1128" t="s">
        <v>3384</v>
      </c>
      <c r="AC1383" s="73"/>
    </row>
    <row r="1384" spans="1:29" s="20" customFormat="1">
      <c r="A1384" s="327" t="str">
        <f>IF(AND($B1384&lt;&gt;"",$C1384&lt;&gt;""),MAX($A$4:A1383)+1,"")</f>
        <v/>
      </c>
      <c r="B1384" s="361" t="s">
        <v>1661</v>
      </c>
      <c r="C1384" s="364"/>
      <c r="D1384" s="327">
        <f>IF($B1384="","",COUNTIF($B$6:$B1384,$B1384))</f>
        <v>15</v>
      </c>
      <c r="E1384" s="361">
        <v>1127</v>
      </c>
      <c r="F1384" s="362" t="s">
        <v>1522</v>
      </c>
      <c r="G1384" s="361" t="s">
        <v>329</v>
      </c>
      <c r="H1384" s="325"/>
      <c r="I1384" s="327">
        <v>4</v>
      </c>
      <c r="J1384" s="361" t="s">
        <v>1666</v>
      </c>
      <c r="K1384" s="327" t="s">
        <v>531</v>
      </c>
      <c r="L1384" s="348">
        <f>200000*$L$1329</f>
        <v>0</v>
      </c>
      <c r="M1384" s="355"/>
      <c r="N1384" s="355" t="str">
        <f t="shared" si="182"/>
        <v>PR</v>
      </c>
      <c r="O1384" s="347">
        <v>11</v>
      </c>
      <c r="P1384" s="325"/>
      <c r="Q1384" s="351"/>
      <c r="R1384" s="351">
        <v>1.1000000000000001</v>
      </c>
      <c r="S1384" s="351">
        <v>6</v>
      </c>
      <c r="T1384" s="351"/>
      <c r="U1384" s="329">
        <f>IF($N1384=$N$4,IFERROR(INDEX(DanhMuc!$E$154:$E$165,MATCH(MID($B1384,4,2),DanhMuc!$B$154:$B$165,0)),""),"")</f>
        <v>6000</v>
      </c>
      <c r="V1384" s="325"/>
      <c r="W1384" s="352" t="str">
        <f>+IF(AND($A1384&lt;&gt;"",LEN($B1384)&gt;=8,COUNTIF($B$6:$B1384,$B1384)=1),$W$5,"")</f>
        <v/>
      </c>
      <c r="X1384" s="329" t="str">
        <f t="shared" si="183"/>
        <v>LV</v>
      </c>
      <c r="Y1384" s="1128" t="s">
        <v>3380</v>
      </c>
      <c r="Z1384" s="1128" t="s">
        <v>3381</v>
      </c>
      <c r="AA1384" s="1128" t="s">
        <v>3384</v>
      </c>
      <c r="AC1384" s="73"/>
    </row>
    <row r="1385" spans="1:29" s="20" customFormat="1">
      <c r="A1385" s="327" t="str">
        <f>IF(AND($B1385&lt;&gt;"",$C1385&lt;&gt;""),MAX($A$4:A1384)+1,"")</f>
        <v/>
      </c>
      <c r="B1385" s="361" t="s">
        <v>1661</v>
      </c>
      <c r="C1385" s="364"/>
      <c r="D1385" s="327">
        <f>IF($B1385="","",COUNTIF($B$6:$B1385,$B1385))</f>
        <v>16</v>
      </c>
      <c r="E1385" s="361">
        <v>1127</v>
      </c>
      <c r="F1385" s="362" t="s">
        <v>1522</v>
      </c>
      <c r="G1385" s="361" t="s">
        <v>329</v>
      </c>
      <c r="H1385" s="325"/>
      <c r="I1385" s="327">
        <v>4</v>
      </c>
      <c r="J1385" s="361" t="s">
        <v>1667</v>
      </c>
      <c r="K1385" s="327" t="s">
        <v>531</v>
      </c>
      <c r="L1385" s="348">
        <f>200000*$L$1329</f>
        <v>0</v>
      </c>
      <c r="M1385" s="355"/>
      <c r="N1385" s="355" t="str">
        <f t="shared" si="182"/>
        <v>PR</v>
      </c>
      <c r="O1385" s="347">
        <v>11</v>
      </c>
      <c r="P1385" s="325"/>
      <c r="Q1385" s="351"/>
      <c r="R1385" s="351">
        <v>1.1000000000000001</v>
      </c>
      <c r="S1385" s="351">
        <v>6</v>
      </c>
      <c r="T1385" s="351"/>
      <c r="U1385" s="329">
        <f>IF($N1385=$N$4,IFERROR(INDEX(DanhMuc!$E$154:$E$165,MATCH(MID($B1385,4,2),DanhMuc!$B$154:$B$165,0)),""),"")</f>
        <v>6000</v>
      </c>
      <c r="V1385" s="325"/>
      <c r="W1385" s="352" t="str">
        <f>+IF(AND($A1385&lt;&gt;"",LEN($B1385)&gt;=8,COUNTIF($B$6:$B1385,$B1385)=1),$W$5,"")</f>
        <v/>
      </c>
      <c r="X1385" s="329" t="str">
        <f t="shared" si="183"/>
        <v>LV</v>
      </c>
      <c r="Y1385" s="1128" t="s">
        <v>3380</v>
      </c>
      <c r="Z1385" s="1128" t="s">
        <v>3381</v>
      </c>
      <c r="AA1385" s="1128" t="s">
        <v>3384</v>
      </c>
      <c r="AC1385" s="73"/>
    </row>
    <row r="1386" spans="1:29" s="20" customFormat="1">
      <c r="A1386" s="327" t="str">
        <f>IF(AND($B1386&lt;&gt;"",$C1386&lt;&gt;""),MAX($A$4:A1385)+1,"")</f>
        <v/>
      </c>
      <c r="B1386" s="361" t="s">
        <v>1661</v>
      </c>
      <c r="C1386" s="364"/>
      <c r="D1386" s="327">
        <f>IF($B1386="","",COUNTIF($B$6:$B1386,$B1386))</f>
        <v>17</v>
      </c>
      <c r="E1386" s="361">
        <v>1127</v>
      </c>
      <c r="F1386" s="362" t="s">
        <v>1522</v>
      </c>
      <c r="G1386" s="361" t="s">
        <v>328</v>
      </c>
      <c r="H1386" s="325"/>
      <c r="I1386" s="327">
        <v>8</v>
      </c>
      <c r="J1386" s="361" t="s">
        <v>1641</v>
      </c>
      <c r="K1386" s="327" t="s">
        <v>531</v>
      </c>
      <c r="L1386" s="348">
        <f>200000*$L$1329</f>
        <v>0</v>
      </c>
      <c r="M1386" s="355"/>
      <c r="N1386" s="355" t="str">
        <f t="shared" si="182"/>
        <v>PR</v>
      </c>
      <c r="O1386" s="347">
        <v>11</v>
      </c>
      <c r="P1386" s="325"/>
      <c r="Q1386" s="351"/>
      <c r="R1386" s="351">
        <v>1.1000000000000001</v>
      </c>
      <c r="S1386" s="351">
        <v>6</v>
      </c>
      <c r="T1386" s="351"/>
      <c r="U1386" s="329">
        <f>IF($N1386=$N$4,IFERROR(INDEX(DanhMuc!$E$154:$E$165,MATCH(MID($B1386,4,2),DanhMuc!$B$154:$B$165,0)),""),"")</f>
        <v>6000</v>
      </c>
      <c r="V1386" s="325"/>
      <c r="W1386" s="352" t="str">
        <f>+IF(AND($A1386&lt;&gt;"",LEN($B1386)&gt;=8,COUNTIF($B$6:$B1386,$B1386)=1),$W$5,"")</f>
        <v/>
      </c>
      <c r="X1386" s="329" t="str">
        <f t="shared" si="183"/>
        <v>LV</v>
      </c>
      <c r="Y1386" s="1128" t="s">
        <v>3380</v>
      </c>
      <c r="Z1386" s="1128" t="s">
        <v>3381</v>
      </c>
      <c r="AA1386" s="1128" t="s">
        <v>3384</v>
      </c>
      <c r="AC1386" s="73"/>
    </row>
    <row r="1387" spans="1:29" s="20" customFormat="1" ht="39">
      <c r="A1387" s="327">
        <f>IF(AND($B1387&lt;&gt;"",$C1387&lt;&gt;""),MAX($A$4:A1386)+1,"")</f>
        <v>101</v>
      </c>
      <c r="B1387" s="359" t="s">
        <v>1733</v>
      </c>
      <c r="C1387" s="370" t="s">
        <v>1732</v>
      </c>
      <c r="D1387" s="327">
        <f>IF($B1387="","",COUNTIF($B$6:$B1387,$B1387))</f>
        <v>1</v>
      </c>
      <c r="E1387" s="363">
        <v>2101</v>
      </c>
      <c r="F1387" s="362" t="s">
        <v>1736</v>
      </c>
      <c r="G1387" s="361" t="s">
        <v>329</v>
      </c>
      <c r="H1387" s="325"/>
      <c r="I1387" s="327">
        <v>2</v>
      </c>
      <c r="J1387" s="361" t="s">
        <v>81</v>
      </c>
      <c r="K1387" s="327" t="s">
        <v>516</v>
      </c>
      <c r="L1387" s="348">
        <f>1115000*$L$1329</f>
        <v>0</v>
      </c>
      <c r="M1387" s="355"/>
      <c r="N1387" s="355" t="str">
        <f t="shared" si="182"/>
        <v>PR</v>
      </c>
      <c r="O1387" s="345"/>
      <c r="P1387" s="325"/>
      <c r="Q1387" s="351"/>
      <c r="R1387" s="351">
        <v>1.8</v>
      </c>
      <c r="S1387" s="351">
        <v>6</v>
      </c>
      <c r="T1387" s="351"/>
      <c r="U1387" s="329">
        <f>IF($N1387=$N$4,IFERROR(INDEX(DanhMuc!$E$154:$E$165,MATCH(MID($B1387,4,2),DanhMuc!$B$154:$B$165,0)),""),"")</f>
        <v>6000</v>
      </c>
      <c r="V1387" s="325"/>
      <c r="W1387" s="352" t="str">
        <f>+IF(AND($A1387&lt;&gt;"",LEN($B1387)&gt;=8,COUNTIF($B$6:$B1387,$B1387)=1),$W$5,"")</f>
        <v>DMCua</v>
      </c>
      <c r="X1387" s="329" t="str">
        <f t="shared" si="183"/>
        <v>LV</v>
      </c>
      <c r="Y1387" s="1128" t="s">
        <v>3380</v>
      </c>
      <c r="Z1387" s="1128" t="s">
        <v>3381</v>
      </c>
      <c r="AA1387" s="1128" t="s">
        <v>3384</v>
      </c>
      <c r="AC1387" s="73"/>
    </row>
    <row r="1388" spans="1:29" s="20" customFormat="1" ht="25">
      <c r="A1388" s="327" t="str">
        <f>IF(AND($B1388&lt;&gt;"",$C1388&lt;&gt;""),MAX($A$4:A1387)+1,"")</f>
        <v/>
      </c>
      <c r="B1388" s="361" t="s">
        <v>1733</v>
      </c>
      <c r="C1388" s="364"/>
      <c r="D1388" s="327">
        <f>IF($B1388="","",COUNTIF($B$6:$B1388,$B1388))</f>
        <v>2</v>
      </c>
      <c r="E1388" s="363">
        <v>2101</v>
      </c>
      <c r="F1388" s="362" t="s">
        <v>1736</v>
      </c>
      <c r="G1388" s="361" t="s">
        <v>328</v>
      </c>
      <c r="H1388" s="325"/>
      <c r="I1388" s="327">
        <v>2</v>
      </c>
      <c r="J1388" s="361" t="s">
        <v>80</v>
      </c>
      <c r="K1388" s="327" t="s">
        <v>516</v>
      </c>
      <c r="L1388" s="348">
        <f>1115000*$L$1329</f>
        <v>0</v>
      </c>
      <c r="M1388" s="355"/>
      <c r="N1388" s="355" t="str">
        <f t="shared" si="182"/>
        <v>PR</v>
      </c>
      <c r="O1388" s="347"/>
      <c r="P1388" s="325"/>
      <c r="Q1388" s="351"/>
      <c r="R1388" s="351">
        <v>1.8</v>
      </c>
      <c r="S1388" s="351">
        <v>6</v>
      </c>
      <c r="T1388" s="351"/>
      <c r="U1388" s="329">
        <f>IF($N1388=$N$4,IFERROR(INDEX(DanhMuc!$E$154:$E$165,MATCH(MID($B1388,4,2),DanhMuc!$B$154:$B$165,0)),""),"")</f>
        <v>6000</v>
      </c>
      <c r="V1388" s="325"/>
      <c r="W1388" s="352" t="str">
        <f>+IF(AND($A1388&lt;&gt;"",LEN($B1388)&gt;=8,COUNTIF($B$6:$B1388,$B1388)=1),$W$5,"")</f>
        <v/>
      </c>
      <c r="X1388" s="329" t="str">
        <f t="shared" si="183"/>
        <v>LV</v>
      </c>
      <c r="Y1388" s="1128" t="s">
        <v>3380</v>
      </c>
      <c r="Z1388" s="1128" t="s">
        <v>3381</v>
      </c>
      <c r="AA1388" s="1128" t="s">
        <v>3384</v>
      </c>
      <c r="AC1388" s="73"/>
    </row>
    <row r="1389" spans="1:29" s="20" customFormat="1">
      <c r="A1389" s="327" t="str">
        <f>IF(AND($B1389&lt;&gt;"",$C1389&lt;&gt;""),MAX($A$4:A1388)+1,"")</f>
        <v/>
      </c>
      <c r="B1389" s="361" t="s">
        <v>1733</v>
      </c>
      <c r="C1389" s="364"/>
      <c r="D1389" s="327">
        <f>IF($B1389="","",COUNTIF($B$6:$B1389,$B1389))</f>
        <v>3</v>
      </c>
      <c r="E1389" s="361">
        <v>2111</v>
      </c>
      <c r="F1389" s="362" t="s">
        <v>1737</v>
      </c>
      <c r="G1389" s="361" t="s">
        <v>329</v>
      </c>
      <c r="H1389" s="325"/>
      <c r="I1389" s="327">
        <v>2</v>
      </c>
      <c r="J1389" s="361" t="s">
        <v>791</v>
      </c>
      <c r="K1389" s="327" t="s">
        <v>531</v>
      </c>
      <c r="L1389" s="348">
        <f>81000*$L$1329</f>
        <v>0</v>
      </c>
      <c r="M1389" s="355"/>
      <c r="N1389" s="355" t="str">
        <f t="shared" si="182"/>
        <v>PR</v>
      </c>
      <c r="O1389" s="345"/>
      <c r="P1389" s="325"/>
      <c r="Q1389" s="351"/>
      <c r="R1389" s="351">
        <v>1.8</v>
      </c>
      <c r="S1389" s="351">
        <v>6</v>
      </c>
      <c r="T1389" s="351"/>
      <c r="U1389" s="329">
        <f>IF($N1389=$N$4,IFERROR(INDEX(DanhMuc!$E$154:$E$165,MATCH(MID($B1389,4,2),DanhMuc!$B$154:$B$165,0)),""),"")</f>
        <v>6000</v>
      </c>
      <c r="V1389" s="325"/>
      <c r="W1389" s="352" t="str">
        <f>+IF(AND($A1389&lt;&gt;"",LEN($B1389)&gt;=8,COUNTIF($B$6:$B1389,$B1389)=1),$W$5,"")</f>
        <v/>
      </c>
      <c r="X1389" s="329" t="str">
        <f t="shared" si="183"/>
        <v>LV</v>
      </c>
      <c r="Y1389" s="1128" t="s">
        <v>3380</v>
      </c>
      <c r="Z1389" s="1128" t="s">
        <v>3381</v>
      </c>
      <c r="AA1389" s="1128" t="s">
        <v>3384</v>
      </c>
      <c r="AC1389" s="73"/>
    </row>
    <row r="1390" spans="1:29" s="20" customFormat="1">
      <c r="A1390" s="327" t="str">
        <f>IF(AND($B1390&lt;&gt;"",$C1390&lt;&gt;""),MAX($A$4:A1389)+1,"")</f>
        <v/>
      </c>
      <c r="B1390" s="361" t="s">
        <v>1733</v>
      </c>
      <c r="C1390" s="364"/>
      <c r="D1390" s="327">
        <f>IF($B1390="","",COUNTIF($B$6:$B1390,$B1390))</f>
        <v>4</v>
      </c>
      <c r="E1390" s="361">
        <v>2112</v>
      </c>
      <c r="F1390" s="362" t="s">
        <v>1734</v>
      </c>
      <c r="G1390" s="361" t="s">
        <v>329</v>
      </c>
      <c r="H1390" s="325"/>
      <c r="I1390" s="327">
        <v>2</v>
      </c>
      <c r="J1390" s="361" t="s">
        <v>791</v>
      </c>
      <c r="K1390" s="327" t="s">
        <v>531</v>
      </c>
      <c r="L1390" s="348">
        <f>67000*$L$1329</f>
        <v>0</v>
      </c>
      <c r="M1390" s="355"/>
      <c r="N1390" s="355" t="str">
        <f t="shared" si="182"/>
        <v>PR</v>
      </c>
      <c r="O1390" s="345"/>
      <c r="P1390" s="325"/>
      <c r="Q1390" s="351"/>
      <c r="R1390" s="351">
        <v>1.8</v>
      </c>
      <c r="S1390" s="351">
        <v>6</v>
      </c>
      <c r="T1390" s="351"/>
      <c r="U1390" s="329">
        <f>IF($N1390=$N$4,IFERROR(INDEX(DanhMuc!$E$154:$E$165,MATCH(MID($B1390,4,2),DanhMuc!$B$154:$B$165,0)),""),"")</f>
        <v>6000</v>
      </c>
      <c r="V1390" s="325"/>
      <c r="W1390" s="352" t="str">
        <f>+IF(AND($A1390&lt;&gt;"",LEN($B1390)&gt;=8,COUNTIF($B$6:$B1390,$B1390)=1),$W$5,"")</f>
        <v/>
      </c>
      <c r="X1390" s="329" t="str">
        <f t="shared" si="183"/>
        <v>LV</v>
      </c>
      <c r="Y1390" s="1128" t="s">
        <v>3380</v>
      </c>
      <c r="Z1390" s="1128" t="s">
        <v>3381</v>
      </c>
      <c r="AA1390" s="1128" t="s">
        <v>3384</v>
      </c>
      <c r="AC1390" s="73"/>
    </row>
    <row r="1391" spans="1:29" s="20" customFormat="1">
      <c r="A1391" s="327" t="str">
        <f>IF(AND($B1391&lt;&gt;"",$C1391&lt;&gt;""),MAX($A$4:A1390)+1,"")</f>
        <v/>
      </c>
      <c r="B1391" s="361" t="s">
        <v>1733</v>
      </c>
      <c r="C1391" s="364"/>
      <c r="D1391" s="327">
        <f>IF($B1391="","",COUNTIF($B$6:$B1391,$B1391))</f>
        <v>5</v>
      </c>
      <c r="E1391" s="361">
        <v>2112</v>
      </c>
      <c r="F1391" s="362" t="s">
        <v>1734</v>
      </c>
      <c r="G1391" s="361" t="s">
        <v>328</v>
      </c>
      <c r="H1391" s="325"/>
      <c r="I1391" s="327">
        <v>4</v>
      </c>
      <c r="J1391" s="361" t="s">
        <v>1741</v>
      </c>
      <c r="K1391" s="327" t="s">
        <v>531</v>
      </c>
      <c r="L1391" s="348">
        <f>67000*$L$1329</f>
        <v>0</v>
      </c>
      <c r="M1391" s="355"/>
      <c r="N1391" s="355" t="str">
        <f t="shared" si="182"/>
        <v>PR</v>
      </c>
      <c r="O1391" s="345"/>
      <c r="P1391" s="325"/>
      <c r="Q1391" s="351"/>
      <c r="R1391" s="351">
        <v>1.8</v>
      </c>
      <c r="S1391" s="351">
        <v>6</v>
      </c>
      <c r="T1391" s="351"/>
      <c r="U1391" s="329">
        <f>IF($N1391=$N$4,IFERROR(INDEX(DanhMuc!$E$154:$E$165,MATCH(MID($B1391,4,2),DanhMuc!$B$154:$B$165,0)),""),"")</f>
        <v>6000</v>
      </c>
      <c r="V1391" s="325"/>
      <c r="W1391" s="352" t="str">
        <f>+IF(AND($A1391&lt;&gt;"",LEN($B1391)&gt;=8,COUNTIF($B$6:$B1391,$B1391)=1),$W$5,"")</f>
        <v/>
      </c>
      <c r="X1391" s="329" t="str">
        <f t="shared" si="183"/>
        <v>LV</v>
      </c>
      <c r="Y1391" s="1128" t="s">
        <v>3380</v>
      </c>
      <c r="Z1391" s="1128" t="s">
        <v>3381</v>
      </c>
      <c r="AA1391" s="1128" t="s">
        <v>3384</v>
      </c>
      <c r="AC1391" s="73"/>
    </row>
    <row r="1392" spans="1:29" s="20" customFormat="1">
      <c r="A1392" s="327" t="str">
        <f>IF(AND($B1392&lt;&gt;"",$C1392&lt;&gt;""),MAX($A$4:A1391)+1,"")</f>
        <v/>
      </c>
      <c r="B1392" s="361" t="s">
        <v>1733</v>
      </c>
      <c r="C1392" s="364"/>
      <c r="D1392" s="327">
        <f>IF($B1392="","",COUNTIF($B$6:$B1392,$B1392))</f>
        <v>6</v>
      </c>
      <c r="E1392" s="361">
        <v>2104</v>
      </c>
      <c r="F1392" s="362" t="s">
        <v>1738</v>
      </c>
      <c r="G1392" s="361" t="s">
        <v>329</v>
      </c>
      <c r="H1392" s="325"/>
      <c r="I1392" s="327">
        <v>4</v>
      </c>
      <c r="J1392" s="361" t="s">
        <v>1742</v>
      </c>
      <c r="K1392" s="327" t="s">
        <v>516</v>
      </c>
      <c r="L1392" s="348">
        <f>808000*$L$1329</f>
        <v>0</v>
      </c>
      <c r="M1392" s="355"/>
      <c r="N1392" s="355" t="str">
        <f t="shared" si="182"/>
        <v>PR</v>
      </c>
      <c r="O1392" s="345"/>
      <c r="P1392" s="325"/>
      <c r="Q1392" s="351"/>
      <c r="R1392" s="351">
        <v>1.4</v>
      </c>
      <c r="S1392" s="351">
        <v>6</v>
      </c>
      <c r="T1392" s="351"/>
      <c r="U1392" s="329">
        <f>IF($N1392=$N$4,IFERROR(INDEX(DanhMuc!$E$154:$E$165,MATCH(MID($B1392,4,2),DanhMuc!$B$154:$B$165,0)),""),"")</f>
        <v>6000</v>
      </c>
      <c r="V1392" s="325"/>
      <c r="W1392" s="352" t="str">
        <f>+IF(AND($A1392&lt;&gt;"",LEN($B1392)&gt;=8,COUNTIF($B$6:$B1392,$B1392)=1),$W$5,"")</f>
        <v/>
      </c>
      <c r="X1392" s="329" t="str">
        <f t="shared" si="183"/>
        <v>LV</v>
      </c>
      <c r="Y1392" s="1128" t="s">
        <v>3380</v>
      </c>
      <c r="Z1392" s="1128" t="s">
        <v>3381</v>
      </c>
      <c r="AA1392" s="1128" t="s">
        <v>3384</v>
      </c>
      <c r="AC1392" s="73"/>
    </row>
    <row r="1393" spans="1:29" s="20" customFormat="1">
      <c r="A1393" s="327" t="str">
        <f>IF(AND($B1393&lt;&gt;"",$C1393&lt;&gt;""),MAX($A$4:A1392)+1,"")</f>
        <v/>
      </c>
      <c r="B1393" s="361" t="s">
        <v>1733</v>
      </c>
      <c r="C1393" s="364"/>
      <c r="D1393" s="327">
        <f>IF($B1393="","",COUNTIF($B$6:$B1393,$B1393))</f>
        <v>7</v>
      </c>
      <c r="E1393" s="361">
        <v>2104</v>
      </c>
      <c r="F1393" s="362" t="s">
        <v>1738</v>
      </c>
      <c r="G1393" s="361" t="s">
        <v>328</v>
      </c>
      <c r="H1393" s="325"/>
      <c r="I1393" s="327">
        <v>4</v>
      </c>
      <c r="J1393" s="361" t="s">
        <v>1743</v>
      </c>
      <c r="K1393" s="327" t="s">
        <v>516</v>
      </c>
      <c r="L1393" s="348">
        <f>808000*$L$1329</f>
        <v>0</v>
      </c>
      <c r="M1393" s="355"/>
      <c r="N1393" s="355" t="str">
        <f t="shared" si="182"/>
        <v>PR</v>
      </c>
      <c r="O1393" s="347"/>
      <c r="P1393" s="325"/>
      <c r="Q1393" s="351"/>
      <c r="R1393" s="351">
        <v>1.4</v>
      </c>
      <c r="S1393" s="351">
        <v>6</v>
      </c>
      <c r="T1393" s="351"/>
      <c r="U1393" s="329">
        <f>IF($N1393=$N$4,IFERROR(INDEX(DanhMuc!$E$154:$E$165,MATCH(MID($B1393,4,2),DanhMuc!$B$154:$B$165,0)),""),"")</f>
        <v>6000</v>
      </c>
      <c r="V1393" s="325"/>
      <c r="W1393" s="352" t="str">
        <f>+IF(AND($A1393&lt;&gt;"",LEN($B1393)&gt;=8,COUNTIF($B$6:$B1393,$B1393)=1),$W$5,"")</f>
        <v/>
      </c>
      <c r="X1393" s="329" t="str">
        <f t="shared" si="183"/>
        <v>LV</v>
      </c>
      <c r="Y1393" s="1128" t="s">
        <v>3380</v>
      </c>
      <c r="Z1393" s="1128" t="s">
        <v>3381</v>
      </c>
      <c r="AA1393" s="1128" t="s">
        <v>3384</v>
      </c>
      <c r="AC1393" s="73"/>
    </row>
    <row r="1394" spans="1:29" s="20" customFormat="1">
      <c r="A1394" s="327" t="str">
        <f>IF(AND($B1394&lt;&gt;"",$C1394&lt;&gt;""),MAX($A$4:A1393)+1,"")</f>
        <v/>
      </c>
      <c r="B1394" s="361" t="s">
        <v>1733</v>
      </c>
      <c r="C1394" s="364"/>
      <c r="D1394" s="327">
        <f>IF($B1394="","",COUNTIF($B$6:$B1394,$B1394))</f>
        <v>8</v>
      </c>
      <c r="E1394" s="361">
        <v>2109</v>
      </c>
      <c r="F1394" s="362" t="s">
        <v>1735</v>
      </c>
      <c r="G1394" s="361" t="s">
        <v>328</v>
      </c>
      <c r="H1394" s="325"/>
      <c r="I1394" s="327">
        <v>2</v>
      </c>
      <c r="J1394" s="361" t="s">
        <v>1743</v>
      </c>
      <c r="K1394" s="327" t="s">
        <v>531</v>
      </c>
      <c r="L1394" s="348">
        <f>277000*$L$1329</f>
        <v>0</v>
      </c>
      <c r="M1394" s="355"/>
      <c r="N1394" s="355" t="str">
        <f t="shared" si="182"/>
        <v>PR</v>
      </c>
      <c r="O1394" s="347"/>
      <c r="P1394" s="325"/>
      <c r="Q1394" s="351"/>
      <c r="R1394" s="351">
        <v>1.2</v>
      </c>
      <c r="S1394" s="351">
        <v>6</v>
      </c>
      <c r="T1394" s="351"/>
      <c r="U1394" s="329">
        <f>IF($N1394=$N$4,IFERROR(INDEX(DanhMuc!$E$154:$E$165,MATCH(MID($B1394,4,2),DanhMuc!$B$154:$B$165,0)),""),"")</f>
        <v>6000</v>
      </c>
      <c r="V1394" s="325"/>
      <c r="W1394" s="352" t="str">
        <f>+IF(AND($A1394&lt;&gt;"",LEN($B1394)&gt;=8,COUNTIF($B$6:$B1394,$B1394)=1),$W$5,"")</f>
        <v/>
      </c>
      <c r="X1394" s="329" t="str">
        <f t="shared" si="183"/>
        <v>LV</v>
      </c>
      <c r="Y1394" s="1128" t="s">
        <v>3380</v>
      </c>
      <c r="Z1394" s="1128" t="s">
        <v>3381</v>
      </c>
      <c r="AA1394" s="1128" t="s">
        <v>3384</v>
      </c>
      <c r="AC1394" s="73"/>
    </row>
    <row r="1395" spans="1:29" s="20" customFormat="1">
      <c r="A1395" s="327" t="str">
        <f>IF(AND($B1395&lt;&gt;"",$C1395&lt;&gt;""),MAX($A$4:A1394)+1,"")</f>
        <v/>
      </c>
      <c r="B1395" s="361" t="s">
        <v>1733</v>
      </c>
      <c r="C1395" s="364"/>
      <c r="D1395" s="327">
        <f>IF($B1395="","",COUNTIF($B$6:$B1395,$B1395))</f>
        <v>9</v>
      </c>
      <c r="E1395" s="361">
        <v>2116</v>
      </c>
      <c r="F1395" s="362" t="s">
        <v>1739</v>
      </c>
      <c r="G1395" s="361" t="s">
        <v>329</v>
      </c>
      <c r="H1395" s="325"/>
      <c r="I1395" s="327">
        <v>4</v>
      </c>
      <c r="J1395" s="361" t="s">
        <v>1744</v>
      </c>
      <c r="K1395" s="327" t="s">
        <v>531</v>
      </c>
      <c r="L1395" s="348">
        <f>116000*$L$1329</f>
        <v>0</v>
      </c>
      <c r="M1395" s="355"/>
      <c r="N1395" s="355" t="str">
        <f t="shared" si="182"/>
        <v>PR</v>
      </c>
      <c r="O1395" s="347">
        <v>12</v>
      </c>
      <c r="P1395" s="325"/>
      <c r="Q1395" s="351"/>
      <c r="R1395" s="351">
        <v>1</v>
      </c>
      <c r="S1395" s="351">
        <v>6</v>
      </c>
      <c r="T1395" s="351"/>
      <c r="U1395" s="329">
        <f>IF($N1395=$N$4,IFERROR(INDEX(DanhMuc!$E$154:$E$165,MATCH(MID($B1395,4,2),DanhMuc!$B$154:$B$165,0)),""),"")</f>
        <v>6000</v>
      </c>
      <c r="V1395" s="325"/>
      <c r="W1395" s="352" t="str">
        <f>+IF(AND($A1395&lt;&gt;"",LEN($B1395)&gt;=8,COUNTIF($B$6:$B1395,$B1395)=1),$W$5,"")</f>
        <v/>
      </c>
      <c r="X1395" s="329" t="str">
        <f t="shared" si="183"/>
        <v>LV</v>
      </c>
      <c r="Y1395" s="1128" t="s">
        <v>3380</v>
      </c>
      <c r="Z1395" s="1128" t="s">
        <v>3381</v>
      </c>
      <c r="AA1395" s="1128" t="s">
        <v>3384</v>
      </c>
      <c r="AC1395" s="73"/>
    </row>
    <row r="1396" spans="1:29" s="20" customFormat="1">
      <c r="A1396" s="327" t="str">
        <f>IF(AND($B1396&lt;&gt;"",$C1396&lt;&gt;""),MAX($A$4:A1395)+1,"")</f>
        <v/>
      </c>
      <c r="B1396" s="361" t="s">
        <v>1733</v>
      </c>
      <c r="C1396" s="364"/>
      <c r="D1396" s="327">
        <f>IF($B1396="","",COUNTIF($B$6:$B1396,$B1396))</f>
        <v>10</v>
      </c>
      <c r="E1396" s="361">
        <v>2116</v>
      </c>
      <c r="F1396" s="362" t="s">
        <v>1739</v>
      </c>
      <c r="G1396" s="361" t="s">
        <v>328</v>
      </c>
      <c r="H1396" s="325"/>
      <c r="I1396" s="327">
        <v>4</v>
      </c>
      <c r="J1396" s="361" t="s">
        <v>1745</v>
      </c>
      <c r="K1396" s="327" t="s">
        <v>531</v>
      </c>
      <c r="L1396" s="348">
        <f>116000*$L$1329</f>
        <v>0</v>
      </c>
      <c r="M1396" s="355"/>
      <c r="N1396" s="355" t="str">
        <f t="shared" si="182"/>
        <v>PR</v>
      </c>
      <c r="O1396" s="347">
        <v>12</v>
      </c>
      <c r="P1396" s="325"/>
      <c r="Q1396" s="351"/>
      <c r="R1396" s="351">
        <v>1</v>
      </c>
      <c r="S1396" s="351">
        <v>6</v>
      </c>
      <c r="T1396" s="351"/>
      <c r="U1396" s="329">
        <f>IF($N1396=$N$4,IFERROR(INDEX(DanhMuc!$E$154:$E$165,MATCH(MID($B1396,4,2),DanhMuc!$B$154:$B$165,0)),""),"")</f>
        <v>6000</v>
      </c>
      <c r="V1396" s="325"/>
      <c r="W1396" s="352" t="str">
        <f>+IF(AND($A1396&lt;&gt;"",LEN($B1396)&gt;=8,COUNTIF($B$6:$B1396,$B1396)=1),$W$5,"")</f>
        <v/>
      </c>
      <c r="X1396" s="329" t="str">
        <f t="shared" si="183"/>
        <v>LV</v>
      </c>
      <c r="Y1396" s="1128" t="s">
        <v>3380</v>
      </c>
      <c r="Z1396" s="1128" t="s">
        <v>3381</v>
      </c>
      <c r="AA1396" s="1128" t="s">
        <v>3384</v>
      </c>
      <c r="AC1396" s="73"/>
    </row>
    <row r="1397" spans="1:29" s="20" customFormat="1">
      <c r="A1397" s="327" t="str">
        <f>IF(AND($B1397&lt;&gt;"",$C1397&lt;&gt;""),MAX($A$4:A1396)+1,"")</f>
        <v/>
      </c>
      <c r="B1397" s="361" t="s">
        <v>1733</v>
      </c>
      <c r="C1397" s="364"/>
      <c r="D1397" s="327">
        <f>IF($B1397="","",COUNTIF($B$6:$B1397,$B1397))</f>
        <v>11</v>
      </c>
      <c r="E1397" s="361">
        <v>2117</v>
      </c>
      <c r="F1397" s="362" t="s">
        <v>1740</v>
      </c>
      <c r="G1397" s="361" t="s">
        <v>329</v>
      </c>
      <c r="H1397" s="325"/>
      <c r="I1397" s="327">
        <v>4</v>
      </c>
      <c r="J1397" s="361" t="s">
        <v>1744</v>
      </c>
      <c r="K1397" s="327" t="s">
        <v>531</v>
      </c>
      <c r="L1397" s="348">
        <f>134000*$L$1329</f>
        <v>0</v>
      </c>
      <c r="M1397" s="355"/>
      <c r="N1397" s="355" t="str">
        <f t="shared" si="182"/>
        <v>PR</v>
      </c>
      <c r="O1397" s="347">
        <v>11</v>
      </c>
      <c r="P1397" s="325"/>
      <c r="Q1397" s="351"/>
      <c r="R1397" s="351">
        <v>1</v>
      </c>
      <c r="S1397" s="351">
        <v>6</v>
      </c>
      <c r="T1397" s="351"/>
      <c r="U1397" s="329">
        <f>IF($N1397=$N$4,IFERROR(INDEX(DanhMuc!$E$154:$E$165,MATCH(MID($B1397,4,2),DanhMuc!$B$154:$B$165,0)),""),"")</f>
        <v>6000</v>
      </c>
      <c r="V1397" s="325"/>
      <c r="W1397" s="352" t="str">
        <f>+IF(AND($A1397&lt;&gt;"",LEN($B1397)&gt;=8,COUNTIF($B$6:$B1397,$B1397)=1),$W$5,"")</f>
        <v/>
      </c>
      <c r="X1397" s="329" t="str">
        <f t="shared" si="183"/>
        <v>LV</v>
      </c>
      <c r="Y1397" s="1128" t="s">
        <v>3380</v>
      </c>
      <c r="Z1397" s="1128" t="s">
        <v>3381</v>
      </c>
      <c r="AA1397" s="1128" t="s">
        <v>3384</v>
      </c>
      <c r="AC1397" s="73"/>
    </row>
    <row r="1398" spans="1:29" s="20" customFormat="1">
      <c r="A1398" s="327" t="str">
        <f>IF(AND($B1398&lt;&gt;"",$C1398&lt;&gt;""),MAX($A$4:A1397)+1,"")</f>
        <v/>
      </c>
      <c r="B1398" s="361" t="s">
        <v>1733</v>
      </c>
      <c r="C1398" s="364"/>
      <c r="D1398" s="327">
        <f>IF($B1398="","",COUNTIF($B$6:$B1398,$B1398))</f>
        <v>12</v>
      </c>
      <c r="E1398" s="361">
        <v>2117</v>
      </c>
      <c r="F1398" s="362" t="s">
        <v>1740</v>
      </c>
      <c r="G1398" s="361" t="s">
        <v>328</v>
      </c>
      <c r="H1398" s="325"/>
      <c r="I1398" s="327">
        <v>4</v>
      </c>
      <c r="J1398" s="361" t="s">
        <v>1745</v>
      </c>
      <c r="K1398" s="327" t="s">
        <v>531</v>
      </c>
      <c r="L1398" s="348">
        <f>134000*$L$1329</f>
        <v>0</v>
      </c>
      <c r="M1398" s="355"/>
      <c r="N1398" s="355" t="str">
        <f t="shared" si="182"/>
        <v>PR</v>
      </c>
      <c r="O1398" s="347">
        <v>11</v>
      </c>
      <c r="P1398" s="325"/>
      <c r="Q1398" s="351"/>
      <c r="R1398" s="351">
        <v>1</v>
      </c>
      <c r="S1398" s="351">
        <v>6</v>
      </c>
      <c r="T1398" s="351"/>
      <c r="U1398" s="329">
        <f>IF($N1398=$N$4,IFERROR(INDEX(DanhMuc!$E$154:$E$165,MATCH(MID($B1398,4,2),DanhMuc!$B$154:$B$165,0)),""),"")</f>
        <v>6000</v>
      </c>
      <c r="V1398" s="325"/>
      <c r="W1398" s="352" t="str">
        <f>+IF(AND($A1398&lt;&gt;"",LEN($B1398)&gt;=8,COUNTIF($B$6:$B1398,$B1398)=1),$W$5,"")</f>
        <v/>
      </c>
      <c r="X1398" s="329" t="str">
        <f t="shared" si="183"/>
        <v>LV</v>
      </c>
      <c r="Y1398" s="1128" t="s">
        <v>3380</v>
      </c>
      <c r="Z1398" s="1128" t="s">
        <v>3381</v>
      </c>
      <c r="AA1398" s="1128" t="s">
        <v>3384</v>
      </c>
      <c r="AC1398" s="73"/>
    </row>
    <row r="1399" spans="1:29" s="20" customFormat="1" ht="39">
      <c r="A1399" s="327">
        <f>IF(AND($B1399&lt;&gt;"",$C1399&lt;&gt;""),MAX($A$4:A1398)+1,"")</f>
        <v>102</v>
      </c>
      <c r="B1399" s="359" t="s">
        <v>2209</v>
      </c>
      <c r="C1399" s="370" t="s">
        <v>2210</v>
      </c>
      <c r="D1399" s="327">
        <f>IF($B1399="","",COUNTIF($B$6:$B1399,$B1399))</f>
        <v>1</v>
      </c>
      <c r="E1399" s="363">
        <v>2101</v>
      </c>
      <c r="F1399" s="362" t="s">
        <v>1736</v>
      </c>
      <c r="G1399" s="361" t="s">
        <v>329</v>
      </c>
      <c r="H1399" s="325"/>
      <c r="I1399" s="327">
        <v>2</v>
      </c>
      <c r="J1399" s="361" t="s">
        <v>81</v>
      </c>
      <c r="K1399" s="327" t="s">
        <v>516</v>
      </c>
      <c r="L1399" s="348">
        <f>1115000*$L$1329</f>
        <v>0</v>
      </c>
      <c r="M1399" s="355"/>
      <c r="N1399" s="355" t="str">
        <f t="shared" si="182"/>
        <v>PR</v>
      </c>
      <c r="O1399" s="345"/>
      <c r="P1399" s="325"/>
      <c r="Q1399" s="351"/>
      <c r="R1399" s="351">
        <v>1.8</v>
      </c>
      <c r="S1399" s="351">
        <v>6</v>
      </c>
      <c r="T1399" s="351"/>
      <c r="U1399" s="329">
        <f>IF($N1399=$N$4,IFERROR(INDEX(DanhMuc!$E$154:$E$165,MATCH(MID($B1399,4,2),DanhMuc!$B$154:$B$165,0)),""),"")</f>
        <v>6000</v>
      </c>
      <c r="V1399" s="325"/>
      <c r="W1399" s="352" t="str">
        <f>+IF(AND($A1399&lt;&gt;"",LEN($B1399)&gt;=8,COUNTIF($B$6:$B1399,$B1399)=1),$W$5,"")</f>
        <v>DMCua</v>
      </c>
      <c r="X1399" s="329" t="str">
        <f t="shared" si="183"/>
        <v>LV</v>
      </c>
      <c r="Y1399" s="1128" t="s">
        <v>3380</v>
      </c>
      <c r="Z1399" s="1128" t="s">
        <v>3381</v>
      </c>
      <c r="AA1399" s="1128" t="s">
        <v>3384</v>
      </c>
      <c r="AC1399" s="73"/>
    </row>
    <row r="1400" spans="1:29" s="20" customFormat="1" ht="25">
      <c r="A1400" s="327" t="str">
        <f>IF(AND($B1400&lt;&gt;"",$C1400&lt;&gt;""),MAX($A$4:A1399)+1,"")</f>
        <v/>
      </c>
      <c r="B1400" s="361" t="s">
        <v>2209</v>
      </c>
      <c r="C1400" s="364"/>
      <c r="D1400" s="327">
        <f>IF($B1400="","",COUNTIF($B$6:$B1400,$B1400))</f>
        <v>2</v>
      </c>
      <c r="E1400" s="363">
        <v>2101</v>
      </c>
      <c r="F1400" s="362" t="s">
        <v>1736</v>
      </c>
      <c r="G1400" s="361" t="s">
        <v>328</v>
      </c>
      <c r="H1400" s="325"/>
      <c r="I1400" s="327">
        <v>2</v>
      </c>
      <c r="J1400" s="361" t="s">
        <v>80</v>
      </c>
      <c r="K1400" s="327" t="s">
        <v>516</v>
      </c>
      <c r="L1400" s="348">
        <f>1115000*$L$1329</f>
        <v>0</v>
      </c>
      <c r="M1400" s="355"/>
      <c r="N1400" s="355" t="str">
        <f t="shared" si="182"/>
        <v>PR</v>
      </c>
      <c r="O1400" s="347"/>
      <c r="P1400" s="325"/>
      <c r="Q1400" s="351"/>
      <c r="R1400" s="351">
        <v>1.8</v>
      </c>
      <c r="S1400" s="351">
        <v>6</v>
      </c>
      <c r="T1400" s="351"/>
      <c r="U1400" s="329">
        <f>IF($N1400=$N$4,IFERROR(INDEX(DanhMuc!$E$154:$E$165,MATCH(MID($B1400,4,2),DanhMuc!$B$154:$B$165,0)),""),"")</f>
        <v>6000</v>
      </c>
      <c r="V1400" s="325"/>
      <c r="W1400" s="352" t="str">
        <f>+IF(AND($A1400&lt;&gt;"",LEN($B1400)&gt;=8,COUNTIF($B$6:$B1400,$B1400)=1),$W$5,"")</f>
        <v/>
      </c>
      <c r="X1400" s="329" t="str">
        <f t="shared" si="183"/>
        <v>LV</v>
      </c>
      <c r="Y1400" s="1128" t="s">
        <v>3380</v>
      </c>
      <c r="Z1400" s="1128" t="s">
        <v>3381</v>
      </c>
      <c r="AA1400" s="1128" t="s">
        <v>3384</v>
      </c>
      <c r="AC1400" s="73"/>
    </row>
    <row r="1401" spans="1:29" s="20" customFormat="1">
      <c r="A1401" s="327" t="str">
        <f>IF(AND($B1401&lt;&gt;"",$C1401&lt;&gt;""),MAX($A$4:A1400)+1,"")</f>
        <v/>
      </c>
      <c r="B1401" s="361" t="s">
        <v>2209</v>
      </c>
      <c r="C1401" s="364"/>
      <c r="D1401" s="327">
        <f>IF($B1401="","",COUNTIF($B$6:$B1401,$B1401))</f>
        <v>3</v>
      </c>
      <c r="E1401" s="361">
        <v>2111</v>
      </c>
      <c r="F1401" s="362" t="s">
        <v>1737</v>
      </c>
      <c r="G1401" s="361" t="s">
        <v>329</v>
      </c>
      <c r="H1401" s="325"/>
      <c r="I1401" s="327">
        <v>2</v>
      </c>
      <c r="J1401" s="361" t="s">
        <v>791</v>
      </c>
      <c r="K1401" s="327" t="s">
        <v>531</v>
      </c>
      <c r="L1401" s="348">
        <f>81000*$L$1329</f>
        <v>0</v>
      </c>
      <c r="M1401" s="355"/>
      <c r="N1401" s="355" t="str">
        <f t="shared" si="182"/>
        <v>PR</v>
      </c>
      <c r="O1401" s="345"/>
      <c r="P1401" s="325"/>
      <c r="Q1401" s="351"/>
      <c r="R1401" s="351">
        <v>1.8</v>
      </c>
      <c r="S1401" s="351">
        <v>6</v>
      </c>
      <c r="T1401" s="351"/>
      <c r="U1401" s="329">
        <f>IF($N1401=$N$4,IFERROR(INDEX(DanhMuc!$E$154:$E$165,MATCH(MID($B1401,4,2),DanhMuc!$B$154:$B$165,0)),""),"")</f>
        <v>6000</v>
      </c>
      <c r="V1401" s="325"/>
      <c r="W1401" s="352" t="str">
        <f>+IF(AND($A1401&lt;&gt;"",LEN($B1401)&gt;=8,COUNTIF($B$6:$B1401,$B1401)=1),$W$5,"")</f>
        <v/>
      </c>
      <c r="X1401" s="329" t="str">
        <f t="shared" si="183"/>
        <v>LV</v>
      </c>
      <c r="Y1401" s="1128" t="s">
        <v>3380</v>
      </c>
      <c r="Z1401" s="1128" t="s">
        <v>3381</v>
      </c>
      <c r="AA1401" s="1128" t="s">
        <v>3384</v>
      </c>
      <c r="AC1401" s="73"/>
    </row>
    <row r="1402" spans="1:29" s="20" customFormat="1">
      <c r="A1402" s="327" t="str">
        <f>IF(AND($B1402&lt;&gt;"",$C1402&lt;&gt;""),MAX($A$4:A1401)+1,"")</f>
        <v/>
      </c>
      <c r="B1402" s="361" t="s">
        <v>2209</v>
      </c>
      <c r="C1402" s="364"/>
      <c r="D1402" s="327">
        <f>IF($B1402="","",COUNTIF($B$6:$B1402,$B1402))</f>
        <v>4</v>
      </c>
      <c r="E1402" s="361">
        <v>2112</v>
      </c>
      <c r="F1402" s="362" t="s">
        <v>1734</v>
      </c>
      <c r="G1402" s="361" t="s">
        <v>329</v>
      </c>
      <c r="H1402" s="325"/>
      <c r="I1402" s="327">
        <v>2</v>
      </c>
      <c r="J1402" s="361" t="s">
        <v>791</v>
      </c>
      <c r="K1402" s="327" t="s">
        <v>531</v>
      </c>
      <c r="L1402" s="348">
        <f>67000*$L$1329</f>
        <v>0</v>
      </c>
      <c r="M1402" s="355"/>
      <c r="N1402" s="355" t="str">
        <f t="shared" si="182"/>
        <v>PR</v>
      </c>
      <c r="O1402" s="345"/>
      <c r="P1402" s="325"/>
      <c r="Q1402" s="351"/>
      <c r="R1402" s="351">
        <v>1.8</v>
      </c>
      <c r="S1402" s="351">
        <v>6</v>
      </c>
      <c r="T1402" s="351"/>
      <c r="U1402" s="329">
        <f>IF($N1402=$N$4,IFERROR(INDEX(DanhMuc!$E$154:$E$165,MATCH(MID($B1402,4,2),DanhMuc!$B$154:$B$165,0)),""),"")</f>
        <v>6000</v>
      </c>
      <c r="V1402" s="325"/>
      <c r="W1402" s="352" t="str">
        <f>+IF(AND($A1402&lt;&gt;"",LEN($B1402)&gt;=8,COUNTIF($B$6:$B1402,$B1402)=1),$W$5,"")</f>
        <v/>
      </c>
      <c r="X1402" s="329" t="str">
        <f t="shared" si="183"/>
        <v>LV</v>
      </c>
      <c r="Y1402" s="1128" t="s">
        <v>3380</v>
      </c>
      <c r="Z1402" s="1128" t="s">
        <v>3381</v>
      </c>
      <c r="AA1402" s="1128" t="s">
        <v>3384</v>
      </c>
      <c r="AC1402" s="73"/>
    </row>
    <row r="1403" spans="1:29" s="20" customFormat="1">
      <c r="A1403" s="327" t="str">
        <f>IF(AND($B1403&lt;&gt;"",$C1403&lt;&gt;""),MAX($A$4:A1402)+1,"")</f>
        <v/>
      </c>
      <c r="B1403" s="361" t="s">
        <v>2209</v>
      </c>
      <c r="C1403" s="364"/>
      <c r="D1403" s="327">
        <f>IF($B1403="","",COUNTIF($B$6:$B1403,$B1403))</f>
        <v>5</v>
      </c>
      <c r="E1403" s="361">
        <v>2112</v>
      </c>
      <c r="F1403" s="362" t="s">
        <v>1734</v>
      </c>
      <c r="G1403" s="361" t="s">
        <v>328</v>
      </c>
      <c r="H1403" s="325"/>
      <c r="I1403" s="327">
        <v>4</v>
      </c>
      <c r="J1403" s="361" t="s">
        <v>1741</v>
      </c>
      <c r="K1403" s="327" t="s">
        <v>531</v>
      </c>
      <c r="L1403" s="348">
        <f>67000*$L$1329</f>
        <v>0</v>
      </c>
      <c r="M1403" s="355"/>
      <c r="N1403" s="355" t="str">
        <f t="shared" si="182"/>
        <v>PR</v>
      </c>
      <c r="O1403" s="345"/>
      <c r="P1403" s="325"/>
      <c r="Q1403" s="351"/>
      <c r="R1403" s="351">
        <v>1.8</v>
      </c>
      <c r="S1403" s="351">
        <v>6</v>
      </c>
      <c r="T1403" s="351"/>
      <c r="U1403" s="329">
        <f>IF($N1403=$N$4,IFERROR(INDEX(DanhMuc!$E$154:$E$165,MATCH(MID($B1403,4,2),DanhMuc!$B$154:$B$165,0)),""),"")</f>
        <v>6000</v>
      </c>
      <c r="V1403" s="325"/>
      <c r="W1403" s="352" t="str">
        <f>+IF(AND($A1403&lt;&gt;"",LEN($B1403)&gt;=8,COUNTIF($B$6:$B1403,$B1403)=1),$W$5,"")</f>
        <v/>
      </c>
      <c r="X1403" s="329" t="str">
        <f t="shared" si="183"/>
        <v>LV</v>
      </c>
      <c r="Y1403" s="1128" t="s">
        <v>3380</v>
      </c>
      <c r="Z1403" s="1128" t="s">
        <v>3381</v>
      </c>
      <c r="AA1403" s="1128" t="s">
        <v>3384</v>
      </c>
      <c r="AC1403" s="73"/>
    </row>
    <row r="1404" spans="1:29" s="20" customFormat="1">
      <c r="A1404" s="327" t="str">
        <f>IF(AND($B1404&lt;&gt;"",$C1404&lt;&gt;""),MAX($A$4:A1403)+1,"")</f>
        <v/>
      </c>
      <c r="B1404" s="361" t="s">
        <v>2209</v>
      </c>
      <c r="C1404" s="364"/>
      <c r="D1404" s="327">
        <f>IF($B1404="","",COUNTIF($B$6:$B1404,$B1404))</f>
        <v>6</v>
      </c>
      <c r="E1404" s="361">
        <v>2104</v>
      </c>
      <c r="F1404" s="362" t="s">
        <v>1738</v>
      </c>
      <c r="G1404" s="361" t="s">
        <v>329</v>
      </c>
      <c r="H1404" s="325"/>
      <c r="I1404" s="327">
        <v>4</v>
      </c>
      <c r="J1404" s="361" t="s">
        <v>2211</v>
      </c>
      <c r="K1404" s="327" t="s">
        <v>516</v>
      </c>
      <c r="L1404" s="348">
        <f>808000*$L$1329</f>
        <v>0</v>
      </c>
      <c r="M1404" s="355"/>
      <c r="N1404" s="355" t="str">
        <f t="shared" si="182"/>
        <v>PR</v>
      </c>
      <c r="O1404" s="345"/>
      <c r="P1404" s="325"/>
      <c r="Q1404" s="351"/>
      <c r="R1404" s="351">
        <v>1.4</v>
      </c>
      <c r="S1404" s="351">
        <v>6</v>
      </c>
      <c r="T1404" s="351"/>
      <c r="U1404" s="329">
        <f>IF($N1404=$N$4,IFERROR(INDEX(DanhMuc!$E$154:$E$165,MATCH(MID($B1404,4,2),DanhMuc!$B$154:$B$165,0)),""),"")</f>
        <v>6000</v>
      </c>
      <c r="V1404" s="325"/>
      <c r="W1404" s="352" t="str">
        <f>+IF(AND($A1404&lt;&gt;"",LEN($B1404)&gt;=8,COUNTIF($B$6:$B1404,$B1404)=1),$W$5,"")</f>
        <v/>
      </c>
      <c r="X1404" s="329" t="str">
        <f t="shared" si="183"/>
        <v>LV</v>
      </c>
      <c r="Y1404" s="1128" t="s">
        <v>3380</v>
      </c>
      <c r="Z1404" s="1128" t="s">
        <v>3381</v>
      </c>
      <c r="AA1404" s="1128" t="s">
        <v>3384</v>
      </c>
      <c r="AC1404" s="73"/>
    </row>
    <row r="1405" spans="1:29" s="20" customFormat="1">
      <c r="A1405" s="327" t="str">
        <f>IF(AND($B1405&lt;&gt;"",$C1405&lt;&gt;""),MAX($A$4:A1404)+1,"")</f>
        <v/>
      </c>
      <c r="B1405" s="361" t="s">
        <v>2209</v>
      </c>
      <c r="C1405" s="364"/>
      <c r="D1405" s="327">
        <f>IF($B1405="","",COUNTIF($B$6:$B1405,$B1405))</f>
        <v>7</v>
      </c>
      <c r="E1405" s="361">
        <v>2104</v>
      </c>
      <c r="F1405" s="362" t="s">
        <v>1738</v>
      </c>
      <c r="G1405" s="361" t="s">
        <v>328</v>
      </c>
      <c r="H1405" s="325"/>
      <c r="I1405" s="327">
        <v>2</v>
      </c>
      <c r="J1405" s="361" t="s">
        <v>2212</v>
      </c>
      <c r="K1405" s="327" t="s">
        <v>516</v>
      </c>
      <c r="L1405" s="348">
        <f>808000*$L$1329</f>
        <v>0</v>
      </c>
      <c r="M1405" s="355"/>
      <c r="N1405" s="355" t="str">
        <f t="shared" si="182"/>
        <v>PR</v>
      </c>
      <c r="O1405" s="347"/>
      <c r="P1405" s="325"/>
      <c r="Q1405" s="351"/>
      <c r="R1405" s="351">
        <v>1.4</v>
      </c>
      <c r="S1405" s="351">
        <v>6</v>
      </c>
      <c r="T1405" s="351"/>
      <c r="U1405" s="329">
        <f>IF($N1405=$N$4,IFERROR(INDEX(DanhMuc!$E$154:$E$165,MATCH(MID($B1405,4,2),DanhMuc!$B$154:$B$165,0)),""),"")</f>
        <v>6000</v>
      </c>
      <c r="V1405" s="325"/>
      <c r="W1405" s="352" t="str">
        <f>+IF(AND($A1405&lt;&gt;"",LEN($B1405)&gt;=8,COUNTIF($B$6:$B1405,$B1405)=1),$W$5,"")</f>
        <v/>
      </c>
      <c r="X1405" s="329" t="str">
        <f t="shared" si="183"/>
        <v>LV</v>
      </c>
      <c r="Y1405" s="1128" t="s">
        <v>3380</v>
      </c>
      <c r="Z1405" s="1128" t="s">
        <v>3381</v>
      </c>
      <c r="AA1405" s="1128" t="s">
        <v>3384</v>
      </c>
      <c r="AC1405" s="73"/>
    </row>
    <row r="1406" spans="1:29" s="20" customFormat="1">
      <c r="A1406" s="327" t="str">
        <f>IF(AND($B1406&lt;&gt;"",$C1406&lt;&gt;""),MAX($A$4:A1405)+1,"")</f>
        <v/>
      </c>
      <c r="B1406" s="361" t="s">
        <v>2209</v>
      </c>
      <c r="C1406" s="364"/>
      <c r="D1406" s="327">
        <f>IF($B1406="","",COUNTIF($B$6:$B1406,$B1406))</f>
        <v>8</v>
      </c>
      <c r="E1406" s="361">
        <v>2104</v>
      </c>
      <c r="F1406" s="362" t="s">
        <v>1738</v>
      </c>
      <c r="G1406" s="361" t="s">
        <v>328</v>
      </c>
      <c r="H1406" s="325"/>
      <c r="I1406" s="327">
        <v>6</v>
      </c>
      <c r="J1406" s="361" t="s">
        <v>1743</v>
      </c>
      <c r="K1406" s="327" t="s">
        <v>516</v>
      </c>
      <c r="L1406" s="348">
        <f>808000*$L$1329</f>
        <v>0</v>
      </c>
      <c r="M1406" s="355"/>
      <c r="N1406" s="355" t="str">
        <f t="shared" si="182"/>
        <v>PR</v>
      </c>
      <c r="O1406" s="347"/>
      <c r="P1406" s="325"/>
      <c r="Q1406" s="351"/>
      <c r="R1406" s="351">
        <v>1.4</v>
      </c>
      <c r="S1406" s="351">
        <v>6</v>
      </c>
      <c r="T1406" s="351"/>
      <c r="U1406" s="329">
        <f>IF($N1406=$N$4,IFERROR(INDEX(DanhMuc!$E$154:$E$165,MATCH(MID($B1406,4,2),DanhMuc!$B$154:$B$165,0)),""),"")</f>
        <v>6000</v>
      </c>
      <c r="V1406" s="325"/>
      <c r="W1406" s="352" t="str">
        <f>+IF(AND($A1406&lt;&gt;"",LEN($B1406)&gt;=8,COUNTIF($B$6:$B1406,$B1406)=1),$W$5,"")</f>
        <v/>
      </c>
      <c r="X1406" s="329" t="str">
        <f t="shared" si="183"/>
        <v>LV</v>
      </c>
      <c r="Y1406" s="1128" t="s">
        <v>3380</v>
      </c>
      <c r="Z1406" s="1128" t="s">
        <v>3381</v>
      </c>
      <c r="AA1406" s="1128" t="s">
        <v>3384</v>
      </c>
      <c r="AC1406" s="73"/>
    </row>
    <row r="1407" spans="1:29" s="20" customFormat="1">
      <c r="A1407" s="327" t="str">
        <f>IF(AND($B1407&lt;&gt;"",$C1407&lt;&gt;""),MAX($A$4:A1406)+1,"")</f>
        <v/>
      </c>
      <c r="B1407" s="361" t="s">
        <v>2209</v>
      </c>
      <c r="C1407" s="364"/>
      <c r="D1407" s="327">
        <f>IF($B1407="","",COUNTIF($B$6:$B1407,$B1407))</f>
        <v>9</v>
      </c>
      <c r="E1407" s="361">
        <v>2109</v>
      </c>
      <c r="F1407" s="362" t="s">
        <v>1735</v>
      </c>
      <c r="G1407" s="361" t="s">
        <v>328</v>
      </c>
      <c r="H1407" s="325"/>
      <c r="I1407" s="327">
        <v>4</v>
      </c>
      <c r="J1407" s="361" t="s">
        <v>1743</v>
      </c>
      <c r="K1407" s="327" t="s">
        <v>531</v>
      </c>
      <c r="L1407" s="348">
        <f>277000*$L$1329</f>
        <v>0</v>
      </c>
      <c r="M1407" s="355"/>
      <c r="N1407" s="355" t="str">
        <f t="shared" si="182"/>
        <v>PR</v>
      </c>
      <c r="O1407" s="347"/>
      <c r="P1407" s="325"/>
      <c r="Q1407" s="351"/>
      <c r="R1407" s="351">
        <v>1.2</v>
      </c>
      <c r="S1407" s="351">
        <v>6</v>
      </c>
      <c r="T1407" s="351"/>
      <c r="U1407" s="329">
        <f>IF($N1407=$N$4,IFERROR(INDEX(DanhMuc!$E$154:$E$165,MATCH(MID($B1407,4,2),DanhMuc!$B$154:$B$165,0)),""),"")</f>
        <v>6000</v>
      </c>
      <c r="V1407" s="325"/>
      <c r="W1407" s="352" t="str">
        <f>+IF(AND($A1407&lt;&gt;"",LEN($B1407)&gt;=8,COUNTIF($B$6:$B1407,$B1407)=1),$W$5,"")</f>
        <v/>
      </c>
      <c r="X1407" s="329" t="str">
        <f t="shared" si="183"/>
        <v>LV</v>
      </c>
      <c r="Y1407" s="1128" t="s">
        <v>3380</v>
      </c>
      <c r="Z1407" s="1128" t="s">
        <v>3381</v>
      </c>
      <c r="AA1407" s="1128" t="s">
        <v>3384</v>
      </c>
      <c r="AC1407" s="73"/>
    </row>
    <row r="1408" spans="1:29" s="20" customFormat="1">
      <c r="A1408" s="327" t="str">
        <f>IF(AND($B1408&lt;&gt;"",$C1408&lt;&gt;""),MAX($A$4:A1407)+1,"")</f>
        <v/>
      </c>
      <c r="B1408" s="361" t="s">
        <v>2209</v>
      </c>
      <c r="C1408" s="364"/>
      <c r="D1408" s="327">
        <f>IF($B1408="","",COUNTIF($B$6:$B1408,$B1408))</f>
        <v>10</v>
      </c>
      <c r="E1408" s="361">
        <v>2116</v>
      </c>
      <c r="F1408" s="362" t="s">
        <v>1739</v>
      </c>
      <c r="G1408" s="361" t="s">
        <v>329</v>
      </c>
      <c r="H1408" s="325"/>
      <c r="I1408" s="327">
        <v>4</v>
      </c>
      <c r="J1408" s="361" t="s">
        <v>2213</v>
      </c>
      <c r="K1408" s="327" t="s">
        <v>531</v>
      </c>
      <c r="L1408" s="348">
        <f>116000*$L$1329</f>
        <v>0</v>
      </c>
      <c r="M1408" s="355"/>
      <c r="N1408" s="355" t="str">
        <f t="shared" si="182"/>
        <v>PR</v>
      </c>
      <c r="O1408" s="347">
        <v>12</v>
      </c>
      <c r="P1408" s="325"/>
      <c r="Q1408" s="351"/>
      <c r="R1408" s="351">
        <v>1</v>
      </c>
      <c r="S1408" s="351">
        <v>6</v>
      </c>
      <c r="T1408" s="351"/>
      <c r="U1408" s="329">
        <f>IF($N1408=$N$4,IFERROR(INDEX(DanhMuc!$E$154:$E$165,MATCH(MID($B1408,4,2),DanhMuc!$B$154:$B$165,0)),""),"")</f>
        <v>6000</v>
      </c>
      <c r="V1408" s="325"/>
      <c r="W1408" s="352" t="str">
        <f>+IF(AND($A1408&lt;&gt;"",LEN($B1408)&gt;=8,COUNTIF($B$6:$B1408,$B1408)=1),$W$5,"")</f>
        <v/>
      </c>
      <c r="X1408" s="329" t="str">
        <f t="shared" si="183"/>
        <v>LV</v>
      </c>
      <c r="Y1408" s="1128" t="s">
        <v>3380</v>
      </c>
      <c r="Z1408" s="1128" t="s">
        <v>3381</v>
      </c>
      <c r="AA1408" s="1128" t="s">
        <v>3384</v>
      </c>
      <c r="AC1408" s="73"/>
    </row>
    <row r="1409" spans="1:29" s="20" customFormat="1">
      <c r="A1409" s="327" t="str">
        <f>IF(AND($B1409&lt;&gt;"",$C1409&lt;&gt;""),MAX($A$4:A1408)+1,"")</f>
        <v/>
      </c>
      <c r="B1409" s="361" t="s">
        <v>2209</v>
      </c>
      <c r="C1409" s="364"/>
      <c r="D1409" s="327">
        <f>IF($B1409="","",COUNTIF($B$6:$B1409,$B1409))</f>
        <v>11</v>
      </c>
      <c r="E1409" s="361">
        <v>2116</v>
      </c>
      <c r="F1409" s="362" t="s">
        <v>1739</v>
      </c>
      <c r="G1409" s="361" t="s">
        <v>329</v>
      </c>
      <c r="H1409" s="325"/>
      <c r="I1409" s="327">
        <v>2</v>
      </c>
      <c r="J1409" s="361" t="s">
        <v>2214</v>
      </c>
      <c r="K1409" s="327" t="s">
        <v>531</v>
      </c>
      <c r="L1409" s="348">
        <f>116000*$L$1329</f>
        <v>0</v>
      </c>
      <c r="M1409" s="355"/>
      <c r="N1409" s="355" t="str">
        <f t="shared" si="182"/>
        <v>PR</v>
      </c>
      <c r="O1409" s="347">
        <v>12</v>
      </c>
      <c r="P1409" s="325"/>
      <c r="Q1409" s="351"/>
      <c r="R1409" s="351">
        <v>1</v>
      </c>
      <c r="S1409" s="351">
        <v>6</v>
      </c>
      <c r="T1409" s="351"/>
      <c r="U1409" s="329">
        <f>IF($N1409=$N$4,IFERROR(INDEX(DanhMuc!$E$154:$E$165,MATCH(MID($B1409,4,2),DanhMuc!$B$154:$B$165,0)),""),"")</f>
        <v>6000</v>
      </c>
      <c r="V1409" s="325"/>
      <c r="W1409" s="352" t="str">
        <f>+IF(AND($A1409&lt;&gt;"",LEN($B1409)&gt;=8,COUNTIF($B$6:$B1409,$B1409)=1),$W$5,"")</f>
        <v/>
      </c>
      <c r="X1409" s="329" t="str">
        <f t="shared" ref="X1409:X1472" si="186">IF(IFERROR(SEARCH("thép",$F1409,1),0)&gt;=1,"T" &amp;MID($B1409,4,2),MID($B1409,4,2))</f>
        <v>LV</v>
      </c>
      <c r="Y1409" s="1128" t="s">
        <v>3380</v>
      </c>
      <c r="Z1409" s="1128" t="s">
        <v>3381</v>
      </c>
      <c r="AA1409" s="1128" t="s">
        <v>3384</v>
      </c>
      <c r="AC1409" s="73"/>
    </row>
    <row r="1410" spans="1:29" s="20" customFormat="1">
      <c r="A1410" s="327" t="str">
        <f>IF(AND($B1410&lt;&gt;"",$C1410&lt;&gt;""),MAX($A$4:A1409)+1,"")</f>
        <v/>
      </c>
      <c r="B1410" s="361" t="s">
        <v>2209</v>
      </c>
      <c r="C1410" s="364"/>
      <c r="D1410" s="327">
        <f>IF($B1410="","",COUNTIF($B$6:$B1410,$B1410))</f>
        <v>12</v>
      </c>
      <c r="E1410" s="361">
        <v>2116</v>
      </c>
      <c r="F1410" s="362" t="s">
        <v>1739</v>
      </c>
      <c r="G1410" s="361" t="s">
        <v>328</v>
      </c>
      <c r="H1410" s="325"/>
      <c r="I1410" s="327">
        <v>6</v>
      </c>
      <c r="J1410" s="361" t="s">
        <v>1745</v>
      </c>
      <c r="K1410" s="327" t="s">
        <v>531</v>
      </c>
      <c r="L1410" s="348">
        <f>116000*$L$1329</f>
        <v>0</v>
      </c>
      <c r="M1410" s="355"/>
      <c r="N1410" s="355" t="str">
        <f t="shared" si="182"/>
        <v>PR</v>
      </c>
      <c r="O1410" s="347">
        <v>12</v>
      </c>
      <c r="P1410" s="325"/>
      <c r="Q1410" s="351"/>
      <c r="R1410" s="351">
        <v>1</v>
      </c>
      <c r="S1410" s="351">
        <v>6</v>
      </c>
      <c r="T1410" s="351"/>
      <c r="U1410" s="329">
        <f>IF($N1410=$N$4,IFERROR(INDEX(DanhMuc!$E$154:$E$165,MATCH(MID($B1410,4,2),DanhMuc!$B$154:$B$165,0)),""),"")</f>
        <v>6000</v>
      </c>
      <c r="V1410" s="325"/>
      <c r="W1410" s="352" t="str">
        <f>+IF(AND($A1410&lt;&gt;"",LEN($B1410)&gt;=8,COUNTIF($B$6:$B1410,$B1410)=1),$W$5,"")</f>
        <v/>
      </c>
      <c r="X1410" s="329" t="str">
        <f t="shared" si="186"/>
        <v>LV</v>
      </c>
      <c r="Y1410" s="1128" t="s">
        <v>3380</v>
      </c>
      <c r="Z1410" s="1128" t="s">
        <v>3381</v>
      </c>
      <c r="AA1410" s="1128" t="s">
        <v>3384</v>
      </c>
      <c r="AC1410" s="73"/>
    </row>
    <row r="1411" spans="1:29" s="20" customFormat="1">
      <c r="A1411" s="327" t="str">
        <f>IF(AND($B1411&lt;&gt;"",$C1411&lt;&gt;""),MAX($A$4:A1410)+1,"")</f>
        <v/>
      </c>
      <c r="B1411" s="361" t="s">
        <v>2209</v>
      </c>
      <c r="C1411" s="364"/>
      <c r="D1411" s="327">
        <f>IF($B1411="","",COUNTIF($B$6:$B1411,$B1411))</f>
        <v>13</v>
      </c>
      <c r="E1411" s="361">
        <v>2117</v>
      </c>
      <c r="F1411" s="362" t="s">
        <v>1740</v>
      </c>
      <c r="G1411" s="361" t="s">
        <v>329</v>
      </c>
      <c r="H1411" s="325"/>
      <c r="I1411" s="327">
        <v>4</v>
      </c>
      <c r="J1411" s="361" t="s">
        <v>2213</v>
      </c>
      <c r="K1411" s="327" t="s">
        <v>531</v>
      </c>
      <c r="L1411" s="348">
        <f>134000*$L$1329</f>
        <v>0</v>
      </c>
      <c r="M1411" s="355"/>
      <c r="N1411" s="355" t="str">
        <f t="shared" si="182"/>
        <v>PR</v>
      </c>
      <c r="O1411" s="347">
        <v>11</v>
      </c>
      <c r="P1411" s="325"/>
      <c r="Q1411" s="351"/>
      <c r="R1411" s="351">
        <v>1</v>
      </c>
      <c r="S1411" s="351">
        <v>6</v>
      </c>
      <c r="T1411" s="351"/>
      <c r="U1411" s="329">
        <f>IF($N1411=$N$4,IFERROR(INDEX(DanhMuc!$E$154:$E$165,MATCH(MID($B1411,4,2),DanhMuc!$B$154:$B$165,0)),""),"")</f>
        <v>6000</v>
      </c>
      <c r="V1411" s="325"/>
      <c r="W1411" s="352" t="str">
        <f>+IF(AND($A1411&lt;&gt;"",LEN($B1411)&gt;=8,COUNTIF($B$6:$B1411,$B1411)=1),$W$5,"")</f>
        <v/>
      </c>
      <c r="X1411" s="329" t="str">
        <f t="shared" si="186"/>
        <v>LV</v>
      </c>
      <c r="Y1411" s="1128" t="s">
        <v>3380</v>
      </c>
      <c r="Z1411" s="1128" t="s">
        <v>3381</v>
      </c>
      <c r="AA1411" s="1128" t="s">
        <v>3384</v>
      </c>
      <c r="AC1411" s="73"/>
    </row>
    <row r="1412" spans="1:29" s="20" customFormat="1">
      <c r="A1412" s="327" t="str">
        <f>IF(AND($B1412&lt;&gt;"",$C1412&lt;&gt;""),MAX($A$4:A1411)+1,"")</f>
        <v/>
      </c>
      <c r="B1412" s="361" t="s">
        <v>2209</v>
      </c>
      <c r="C1412" s="364"/>
      <c r="D1412" s="327">
        <f>IF($B1412="","",COUNTIF($B$6:$B1412,$B1412))</f>
        <v>14</v>
      </c>
      <c r="E1412" s="361">
        <v>2117</v>
      </c>
      <c r="F1412" s="362" t="s">
        <v>1740</v>
      </c>
      <c r="G1412" s="361" t="s">
        <v>329</v>
      </c>
      <c r="H1412" s="325"/>
      <c r="I1412" s="327">
        <v>2</v>
      </c>
      <c r="J1412" s="361" t="s">
        <v>2214</v>
      </c>
      <c r="K1412" s="327" t="s">
        <v>531</v>
      </c>
      <c r="L1412" s="348">
        <f>134000*$L$1329</f>
        <v>0</v>
      </c>
      <c r="M1412" s="355"/>
      <c r="N1412" s="355" t="str">
        <f t="shared" si="182"/>
        <v>PR</v>
      </c>
      <c r="O1412" s="347">
        <v>11</v>
      </c>
      <c r="P1412" s="325"/>
      <c r="Q1412" s="351"/>
      <c r="R1412" s="351">
        <v>1</v>
      </c>
      <c r="S1412" s="351">
        <v>6</v>
      </c>
      <c r="T1412" s="351"/>
      <c r="U1412" s="329">
        <f>IF($N1412=$N$4,IFERROR(INDEX(DanhMuc!$E$154:$E$165,MATCH(MID($B1412,4,2),DanhMuc!$B$154:$B$165,0)),""),"")</f>
        <v>6000</v>
      </c>
      <c r="V1412" s="325"/>
      <c r="W1412" s="352" t="str">
        <f>+IF(AND($A1412&lt;&gt;"",LEN($B1412)&gt;=8,COUNTIF($B$6:$B1412,$B1412)=1),$W$5,"")</f>
        <v/>
      </c>
      <c r="X1412" s="329" t="str">
        <f t="shared" si="186"/>
        <v>LV</v>
      </c>
      <c r="Y1412" s="1128" t="s">
        <v>3380</v>
      </c>
      <c r="Z1412" s="1128" t="s">
        <v>3381</v>
      </c>
      <c r="AA1412" s="1128" t="s">
        <v>3384</v>
      </c>
      <c r="AC1412" s="73"/>
    </row>
    <row r="1413" spans="1:29" s="20" customFormat="1">
      <c r="A1413" s="327" t="str">
        <f>IF(AND($B1413&lt;&gt;"",$C1413&lt;&gt;""),MAX($A$4:A1412)+1,"")</f>
        <v/>
      </c>
      <c r="B1413" s="361" t="s">
        <v>2209</v>
      </c>
      <c r="C1413" s="364"/>
      <c r="D1413" s="327">
        <f>IF($B1413="","",COUNTIF($B$6:$B1413,$B1413))</f>
        <v>15</v>
      </c>
      <c r="E1413" s="361">
        <v>2117</v>
      </c>
      <c r="F1413" s="362" t="s">
        <v>1740</v>
      </c>
      <c r="G1413" s="361" t="s">
        <v>328</v>
      </c>
      <c r="H1413" s="325"/>
      <c r="I1413" s="327">
        <v>6</v>
      </c>
      <c r="J1413" s="361" t="s">
        <v>1745</v>
      </c>
      <c r="K1413" s="327" t="s">
        <v>531</v>
      </c>
      <c r="L1413" s="348">
        <f>134000*$L$1329</f>
        <v>0</v>
      </c>
      <c r="M1413" s="355"/>
      <c r="N1413" s="355" t="str">
        <f t="shared" si="182"/>
        <v>PR</v>
      </c>
      <c r="O1413" s="347">
        <v>11</v>
      </c>
      <c r="P1413" s="325"/>
      <c r="Q1413" s="351"/>
      <c r="R1413" s="351">
        <v>1</v>
      </c>
      <c r="S1413" s="351">
        <v>6</v>
      </c>
      <c r="T1413" s="351"/>
      <c r="U1413" s="329">
        <f>IF($N1413=$N$4,IFERROR(INDEX(DanhMuc!$E$154:$E$165,MATCH(MID($B1413,4,2),DanhMuc!$B$154:$B$165,0)),""),"")</f>
        <v>6000</v>
      </c>
      <c r="V1413" s="325"/>
      <c r="W1413" s="352" t="str">
        <f>+IF(AND($A1413&lt;&gt;"",LEN($B1413)&gt;=8,COUNTIF($B$6:$B1413,$B1413)=1),$W$5,"")</f>
        <v/>
      </c>
      <c r="X1413" s="329" t="str">
        <f t="shared" si="186"/>
        <v>LV</v>
      </c>
      <c r="Y1413" s="1128" t="s">
        <v>3380</v>
      </c>
      <c r="Z1413" s="1128" t="s">
        <v>3381</v>
      </c>
      <c r="AA1413" s="1128" t="s">
        <v>3384</v>
      </c>
      <c r="AC1413" s="73"/>
    </row>
    <row r="1414" spans="1:29" s="20" customFormat="1" ht="39">
      <c r="A1414" s="327">
        <f>IF(AND($B1414&lt;&gt;"",$C1414&lt;&gt;""),MAX($A$4:A1398)+1,"")</f>
        <v>102</v>
      </c>
      <c r="B1414" s="359" t="s">
        <v>1749</v>
      </c>
      <c r="C1414" s="370" t="s">
        <v>1748</v>
      </c>
      <c r="D1414" s="327">
        <f>IF($B1414="","",COUNTIF($B$6:$B1414,$B1414))</f>
        <v>1</v>
      </c>
      <c r="E1414" s="363">
        <v>2101</v>
      </c>
      <c r="F1414" s="362" t="s">
        <v>1736</v>
      </c>
      <c r="G1414" s="361" t="s">
        <v>329</v>
      </c>
      <c r="H1414" s="325"/>
      <c r="I1414" s="327">
        <v>2</v>
      </c>
      <c r="J1414" s="361" t="s">
        <v>81</v>
      </c>
      <c r="K1414" s="327" t="s">
        <v>516</v>
      </c>
      <c r="L1414" s="348">
        <f>1115000*$L$1329</f>
        <v>0</v>
      </c>
      <c r="M1414" s="355"/>
      <c r="N1414" s="355" t="str">
        <f t="shared" si="182"/>
        <v>PR</v>
      </c>
      <c r="O1414" s="345"/>
      <c r="P1414" s="325"/>
      <c r="Q1414" s="351"/>
      <c r="R1414" s="351">
        <v>1.8</v>
      </c>
      <c r="S1414" s="351">
        <v>6</v>
      </c>
      <c r="T1414" s="351"/>
      <c r="U1414" s="329">
        <f>IF($N1414=$N$4,IFERROR(INDEX(DanhMuc!$E$154:$E$165,MATCH(MID($B1414,4,2),DanhMuc!$B$154:$B$165,0)),""),"")</f>
        <v>6000</v>
      </c>
      <c r="V1414" s="325"/>
      <c r="W1414" s="352" t="str">
        <f>+IF(AND($A1414&lt;&gt;"",LEN($B1414)&gt;=8,COUNTIF($B$6:$B1414,$B1414)=1),$W$5,"")</f>
        <v>DMCua</v>
      </c>
      <c r="X1414" s="329" t="str">
        <f t="shared" si="186"/>
        <v>LV</v>
      </c>
      <c r="Y1414" s="1128" t="s">
        <v>3380</v>
      </c>
      <c r="Z1414" s="1128" t="s">
        <v>3381</v>
      </c>
      <c r="AA1414" s="1128" t="s">
        <v>3384</v>
      </c>
      <c r="AC1414" s="73"/>
    </row>
    <row r="1415" spans="1:29" s="20" customFormat="1" ht="25">
      <c r="A1415" s="327" t="str">
        <f>IF(AND($B1415&lt;&gt;"",$C1415&lt;&gt;""),MAX($A$4:A1414)+1,"")</f>
        <v/>
      </c>
      <c r="B1415" s="361" t="s">
        <v>1749</v>
      </c>
      <c r="C1415" s="364"/>
      <c r="D1415" s="327">
        <f>IF($B1415="","",COUNTIF($B$6:$B1415,$B1415))</f>
        <v>2</v>
      </c>
      <c r="E1415" s="363">
        <v>2101</v>
      </c>
      <c r="F1415" s="362" t="s">
        <v>1736</v>
      </c>
      <c r="G1415" s="361" t="s">
        <v>328</v>
      </c>
      <c r="H1415" s="325"/>
      <c r="I1415" s="327">
        <v>2</v>
      </c>
      <c r="J1415" s="361" t="s">
        <v>80</v>
      </c>
      <c r="K1415" s="327" t="s">
        <v>516</v>
      </c>
      <c r="L1415" s="348">
        <f>1115000*$L$1329</f>
        <v>0</v>
      </c>
      <c r="M1415" s="355"/>
      <c r="N1415" s="355" t="str">
        <f t="shared" si="182"/>
        <v>PR</v>
      </c>
      <c r="O1415" s="347"/>
      <c r="P1415" s="325"/>
      <c r="Q1415" s="351"/>
      <c r="R1415" s="351">
        <v>1.8</v>
      </c>
      <c r="S1415" s="351">
        <v>6</v>
      </c>
      <c r="T1415" s="351"/>
      <c r="U1415" s="329">
        <f>IF($N1415=$N$4,IFERROR(INDEX(DanhMuc!$E$154:$E$165,MATCH(MID($B1415,4,2),DanhMuc!$B$154:$B$165,0)),""),"")</f>
        <v>6000</v>
      </c>
      <c r="V1415" s="325"/>
      <c r="W1415" s="352" t="str">
        <f>+IF(AND($A1415&lt;&gt;"",LEN($B1415)&gt;=8,COUNTIF($B$6:$B1415,$B1415)=1),$W$5,"")</f>
        <v/>
      </c>
      <c r="X1415" s="329" t="str">
        <f t="shared" si="186"/>
        <v>LV</v>
      </c>
      <c r="Y1415" s="1128" t="s">
        <v>3380</v>
      </c>
      <c r="Z1415" s="1128" t="s">
        <v>3381</v>
      </c>
      <c r="AA1415" s="1128" t="s">
        <v>3384</v>
      </c>
      <c r="AC1415" s="73"/>
    </row>
    <row r="1416" spans="1:29" s="20" customFormat="1">
      <c r="A1416" s="327" t="str">
        <f>IF(AND($B1416&lt;&gt;"",$C1416&lt;&gt;""),MAX($A$4:A1415)+1,"")</f>
        <v/>
      </c>
      <c r="B1416" s="361" t="s">
        <v>1749</v>
      </c>
      <c r="C1416" s="364"/>
      <c r="D1416" s="327">
        <f>IF($B1416="","",COUNTIF($B$6:$B1416,$B1416))</f>
        <v>3</v>
      </c>
      <c r="E1416" s="361">
        <v>2111</v>
      </c>
      <c r="F1416" s="362" t="s">
        <v>1737</v>
      </c>
      <c r="G1416" s="361" t="s">
        <v>329</v>
      </c>
      <c r="H1416" s="325"/>
      <c r="I1416" s="327">
        <v>2</v>
      </c>
      <c r="J1416" s="361" t="s">
        <v>791</v>
      </c>
      <c r="K1416" s="327" t="s">
        <v>531</v>
      </c>
      <c r="L1416" s="348">
        <f>81000*$L$1329</f>
        <v>0</v>
      </c>
      <c r="M1416" s="355"/>
      <c r="N1416" s="355" t="str">
        <f t="shared" si="182"/>
        <v>PR</v>
      </c>
      <c r="O1416" s="345"/>
      <c r="P1416" s="325"/>
      <c r="Q1416" s="351"/>
      <c r="R1416" s="351">
        <v>1.8</v>
      </c>
      <c r="S1416" s="351">
        <v>6</v>
      </c>
      <c r="T1416" s="351"/>
      <c r="U1416" s="329">
        <f>IF($N1416=$N$4,IFERROR(INDEX(DanhMuc!$E$154:$E$165,MATCH(MID($B1416,4,2),DanhMuc!$B$154:$B$165,0)),""),"")</f>
        <v>6000</v>
      </c>
      <c r="V1416" s="325"/>
      <c r="W1416" s="352" t="str">
        <f>+IF(AND($A1416&lt;&gt;"",LEN($B1416)&gt;=8,COUNTIF($B$6:$B1416,$B1416)=1),$W$5,"")</f>
        <v/>
      </c>
      <c r="X1416" s="329" t="str">
        <f t="shared" si="186"/>
        <v>LV</v>
      </c>
      <c r="Y1416" s="1128" t="s">
        <v>3380</v>
      </c>
      <c r="Z1416" s="1128" t="s">
        <v>3381</v>
      </c>
      <c r="AA1416" s="1128" t="s">
        <v>3384</v>
      </c>
      <c r="AC1416" s="73"/>
    </row>
    <row r="1417" spans="1:29" s="20" customFormat="1">
      <c r="A1417" s="327" t="str">
        <f>IF(AND($B1417&lt;&gt;"",$C1417&lt;&gt;""),MAX($A$4:A1416)+1,"")</f>
        <v/>
      </c>
      <c r="B1417" s="361" t="s">
        <v>1749</v>
      </c>
      <c r="C1417" s="364"/>
      <c r="D1417" s="327">
        <f>IF($B1417="","",COUNTIF($B$6:$B1417,$B1417))</f>
        <v>4</v>
      </c>
      <c r="E1417" s="361">
        <v>2112</v>
      </c>
      <c r="F1417" s="362" t="s">
        <v>1734</v>
      </c>
      <c r="G1417" s="361" t="s">
        <v>329</v>
      </c>
      <c r="H1417" s="325"/>
      <c r="I1417" s="327">
        <v>2</v>
      </c>
      <c r="J1417" s="361" t="s">
        <v>791</v>
      </c>
      <c r="K1417" s="327" t="s">
        <v>531</v>
      </c>
      <c r="L1417" s="348">
        <f>67000*$L$1329</f>
        <v>0</v>
      </c>
      <c r="M1417" s="355"/>
      <c r="N1417" s="355" t="str">
        <f t="shared" si="182"/>
        <v>PR</v>
      </c>
      <c r="O1417" s="345"/>
      <c r="P1417" s="325"/>
      <c r="Q1417" s="351"/>
      <c r="R1417" s="351">
        <v>1.8</v>
      </c>
      <c r="S1417" s="351">
        <v>6</v>
      </c>
      <c r="T1417" s="351"/>
      <c r="U1417" s="329">
        <f>IF($N1417=$N$4,IFERROR(INDEX(DanhMuc!$E$154:$E$165,MATCH(MID($B1417,4,2),DanhMuc!$B$154:$B$165,0)),""),"")</f>
        <v>6000</v>
      </c>
      <c r="V1417" s="325"/>
      <c r="W1417" s="352" t="str">
        <f>+IF(AND($A1417&lt;&gt;"",LEN($B1417)&gt;=8,COUNTIF($B$6:$B1417,$B1417)=1),$W$5,"")</f>
        <v/>
      </c>
      <c r="X1417" s="329" t="str">
        <f t="shared" si="186"/>
        <v>LV</v>
      </c>
      <c r="Y1417" s="1128" t="s">
        <v>3380</v>
      </c>
      <c r="Z1417" s="1128" t="s">
        <v>3381</v>
      </c>
      <c r="AA1417" s="1128" t="s">
        <v>3384</v>
      </c>
      <c r="AC1417" s="73"/>
    </row>
    <row r="1418" spans="1:29" s="20" customFormat="1">
      <c r="A1418" s="327" t="str">
        <f>IF(AND($B1418&lt;&gt;"",$C1418&lt;&gt;""),MAX($A$4:A1417)+1,"")</f>
        <v/>
      </c>
      <c r="B1418" s="361" t="s">
        <v>1749</v>
      </c>
      <c r="C1418" s="364"/>
      <c r="D1418" s="327">
        <f>IF($B1418="","",COUNTIF($B$6:$B1418,$B1418))</f>
        <v>5</v>
      </c>
      <c r="E1418" s="361">
        <v>2112</v>
      </c>
      <c r="F1418" s="362" t="s">
        <v>1734</v>
      </c>
      <c r="G1418" s="361" t="s">
        <v>328</v>
      </c>
      <c r="H1418" s="325"/>
      <c r="I1418" s="327">
        <v>4</v>
      </c>
      <c r="J1418" s="361" t="s">
        <v>1741</v>
      </c>
      <c r="K1418" s="327" t="s">
        <v>531</v>
      </c>
      <c r="L1418" s="348">
        <f>67000*$L$1329</f>
        <v>0</v>
      </c>
      <c r="M1418" s="355"/>
      <c r="N1418" s="355" t="str">
        <f t="shared" si="182"/>
        <v>PR</v>
      </c>
      <c r="O1418" s="345"/>
      <c r="P1418" s="325"/>
      <c r="Q1418" s="351"/>
      <c r="R1418" s="351">
        <v>1.8</v>
      </c>
      <c r="S1418" s="351">
        <v>6</v>
      </c>
      <c r="T1418" s="351"/>
      <c r="U1418" s="329">
        <f>IF($N1418=$N$4,IFERROR(INDEX(DanhMuc!$E$154:$E$165,MATCH(MID($B1418,4,2),DanhMuc!$B$154:$B$165,0)),""),"")</f>
        <v>6000</v>
      </c>
      <c r="V1418" s="325"/>
      <c r="W1418" s="352" t="str">
        <f>+IF(AND($A1418&lt;&gt;"",LEN($B1418)&gt;=8,COUNTIF($B$6:$B1418,$B1418)=1),$W$5,"")</f>
        <v/>
      </c>
      <c r="X1418" s="329" t="str">
        <f t="shared" si="186"/>
        <v>LV</v>
      </c>
      <c r="Y1418" s="1128" t="s">
        <v>3380</v>
      </c>
      <c r="Z1418" s="1128" t="s">
        <v>3381</v>
      </c>
      <c r="AA1418" s="1128" t="s">
        <v>3384</v>
      </c>
      <c r="AC1418" s="73"/>
    </row>
    <row r="1419" spans="1:29" s="20" customFormat="1">
      <c r="A1419" s="327" t="str">
        <f>IF(AND($B1419&lt;&gt;"",$C1419&lt;&gt;""),MAX($A$4:A1418)+1,"")</f>
        <v/>
      </c>
      <c r="B1419" s="361" t="s">
        <v>1749</v>
      </c>
      <c r="C1419" s="364"/>
      <c r="D1419" s="327">
        <f>IF($B1419="","",COUNTIF($B$6:$B1419,$B1419))</f>
        <v>6</v>
      </c>
      <c r="E1419" s="361">
        <v>2104</v>
      </c>
      <c r="F1419" s="362" t="s">
        <v>1738</v>
      </c>
      <c r="G1419" s="361" t="s">
        <v>329</v>
      </c>
      <c r="H1419" s="325"/>
      <c r="I1419" s="327">
        <v>8</v>
      </c>
      <c r="J1419" s="361" t="s">
        <v>1777</v>
      </c>
      <c r="K1419" s="327" t="s">
        <v>516</v>
      </c>
      <c r="L1419" s="348">
        <f>808000*$L$1329</f>
        <v>0</v>
      </c>
      <c r="M1419" s="355"/>
      <c r="N1419" s="355" t="str">
        <f t="shared" si="182"/>
        <v>PR</v>
      </c>
      <c r="O1419" s="345"/>
      <c r="P1419" s="325"/>
      <c r="Q1419" s="351"/>
      <c r="R1419" s="351">
        <v>1.4</v>
      </c>
      <c r="S1419" s="351">
        <v>6</v>
      </c>
      <c r="T1419" s="351"/>
      <c r="U1419" s="329">
        <f>IF($N1419=$N$4,IFERROR(INDEX(DanhMuc!$E$154:$E$165,MATCH(MID($B1419,4,2),DanhMuc!$B$154:$B$165,0)),""),"")</f>
        <v>6000</v>
      </c>
      <c r="V1419" s="325"/>
      <c r="W1419" s="352" t="str">
        <f>+IF(AND($A1419&lt;&gt;"",LEN($B1419)&gt;=8,COUNTIF($B$6:$B1419,$B1419)=1),$W$5,"")</f>
        <v/>
      </c>
      <c r="X1419" s="329" t="str">
        <f t="shared" si="186"/>
        <v>LV</v>
      </c>
      <c r="Y1419" s="1128" t="s">
        <v>3380</v>
      </c>
      <c r="Z1419" s="1128" t="s">
        <v>3381</v>
      </c>
      <c r="AA1419" s="1128" t="s">
        <v>3384</v>
      </c>
      <c r="AC1419" s="73"/>
    </row>
    <row r="1420" spans="1:29" s="20" customFormat="1">
      <c r="A1420" s="327" t="str">
        <f>IF(AND($B1420&lt;&gt;"",$C1420&lt;&gt;""),MAX($A$4:A1419)+1,"")</f>
        <v/>
      </c>
      <c r="B1420" s="361" t="s">
        <v>1749</v>
      </c>
      <c r="C1420" s="364"/>
      <c r="D1420" s="327">
        <f>IF($B1420="","",COUNTIF($B$6:$B1420,$B1420))</f>
        <v>7</v>
      </c>
      <c r="E1420" s="361">
        <v>2104</v>
      </c>
      <c r="F1420" s="362" t="s">
        <v>1738</v>
      </c>
      <c r="G1420" s="361" t="s">
        <v>328</v>
      </c>
      <c r="H1420" s="325"/>
      <c r="I1420" s="327">
        <v>8</v>
      </c>
      <c r="J1420" s="361" t="s">
        <v>1743</v>
      </c>
      <c r="K1420" s="327" t="s">
        <v>516</v>
      </c>
      <c r="L1420" s="348">
        <f>808000*$L$1329</f>
        <v>0</v>
      </c>
      <c r="M1420" s="355"/>
      <c r="N1420" s="355" t="str">
        <f t="shared" si="182"/>
        <v>PR</v>
      </c>
      <c r="O1420" s="347"/>
      <c r="P1420" s="325"/>
      <c r="Q1420" s="351"/>
      <c r="R1420" s="351">
        <v>1.4</v>
      </c>
      <c r="S1420" s="351">
        <v>6</v>
      </c>
      <c r="T1420" s="351"/>
      <c r="U1420" s="329">
        <f>IF($N1420=$N$4,IFERROR(INDEX(DanhMuc!$E$154:$E$165,MATCH(MID($B1420,4,2),DanhMuc!$B$154:$B$165,0)),""),"")</f>
        <v>6000</v>
      </c>
      <c r="V1420" s="325"/>
      <c r="W1420" s="352" t="str">
        <f>+IF(AND($A1420&lt;&gt;"",LEN($B1420)&gt;=8,COUNTIF($B$6:$B1420,$B1420)=1),$W$5,"")</f>
        <v/>
      </c>
      <c r="X1420" s="329" t="str">
        <f t="shared" si="186"/>
        <v>LV</v>
      </c>
      <c r="Y1420" s="1128" t="s">
        <v>3380</v>
      </c>
      <c r="Z1420" s="1128" t="s">
        <v>3381</v>
      </c>
      <c r="AA1420" s="1128" t="s">
        <v>3384</v>
      </c>
      <c r="AC1420" s="73"/>
    </row>
    <row r="1421" spans="1:29" s="20" customFormat="1">
      <c r="A1421" s="327" t="str">
        <f>IF(AND($B1421&lt;&gt;"",$C1421&lt;&gt;""),MAX($A$4:A1420)+1,"")</f>
        <v/>
      </c>
      <c r="B1421" s="361" t="s">
        <v>1749</v>
      </c>
      <c r="C1421" s="364"/>
      <c r="D1421" s="327">
        <f>IF($B1421="","",COUNTIF($B$6:$B1421,$B1421))</f>
        <v>8</v>
      </c>
      <c r="E1421" s="361">
        <v>2109</v>
      </c>
      <c r="F1421" s="362" t="s">
        <v>1776</v>
      </c>
      <c r="G1421" s="361" t="s">
        <v>328</v>
      </c>
      <c r="H1421" s="325"/>
      <c r="I1421" s="327">
        <v>4</v>
      </c>
      <c r="J1421" s="361" t="s">
        <v>1743</v>
      </c>
      <c r="K1421" s="327" t="s">
        <v>531</v>
      </c>
      <c r="L1421" s="348">
        <f>277000*$L$1329</f>
        <v>0</v>
      </c>
      <c r="M1421" s="355"/>
      <c r="N1421" s="355" t="str">
        <f t="shared" si="182"/>
        <v>PR</v>
      </c>
      <c r="O1421" s="347"/>
      <c r="P1421" s="325"/>
      <c r="Q1421" s="351"/>
      <c r="R1421" s="351">
        <v>1.2</v>
      </c>
      <c r="S1421" s="351">
        <v>6</v>
      </c>
      <c r="T1421" s="351"/>
      <c r="U1421" s="329">
        <f>IF($N1421=$N$4,IFERROR(INDEX(DanhMuc!$E$154:$E$165,MATCH(MID($B1421,4,2),DanhMuc!$B$154:$B$165,0)),""),"")</f>
        <v>6000</v>
      </c>
      <c r="V1421" s="325"/>
      <c r="W1421" s="352" t="str">
        <f>+IF(AND($A1421&lt;&gt;"",LEN($B1421)&gt;=8,COUNTIF($B$6:$B1421,$B1421)=1),$W$5,"")</f>
        <v/>
      </c>
      <c r="X1421" s="329" t="str">
        <f t="shared" si="186"/>
        <v>LV</v>
      </c>
      <c r="Y1421" s="1128" t="s">
        <v>3380</v>
      </c>
      <c r="Z1421" s="1128" t="s">
        <v>3381</v>
      </c>
      <c r="AA1421" s="1128" t="s">
        <v>3384</v>
      </c>
      <c r="AC1421" s="73"/>
    </row>
    <row r="1422" spans="1:29" s="20" customFormat="1">
      <c r="A1422" s="327" t="str">
        <f>IF(AND($B1422&lt;&gt;"",$C1422&lt;&gt;""),MAX($A$4:A1421)+1,"")</f>
        <v/>
      </c>
      <c r="B1422" s="361" t="s">
        <v>1749</v>
      </c>
      <c r="C1422" s="364"/>
      <c r="D1422" s="327">
        <f>IF($B1422="","",COUNTIF($B$6:$B1422,$B1422))</f>
        <v>9</v>
      </c>
      <c r="E1422" s="361">
        <v>2110</v>
      </c>
      <c r="F1422" s="362" t="s">
        <v>1775</v>
      </c>
      <c r="G1422" s="361" t="s">
        <v>328</v>
      </c>
      <c r="H1422" s="325"/>
      <c r="I1422" s="327">
        <v>1</v>
      </c>
      <c r="J1422" s="361" t="s">
        <v>1743</v>
      </c>
      <c r="K1422" s="327" t="s">
        <v>531</v>
      </c>
      <c r="L1422" s="348">
        <f>210000*$L$1329</f>
        <v>0</v>
      </c>
      <c r="M1422" s="355"/>
      <c r="N1422" s="355" t="str">
        <f t="shared" si="182"/>
        <v>PR</v>
      </c>
      <c r="O1422" s="347"/>
      <c r="P1422" s="325"/>
      <c r="Q1422" s="351"/>
      <c r="R1422" s="351">
        <v>1.2</v>
      </c>
      <c r="S1422" s="351">
        <v>6</v>
      </c>
      <c r="T1422" s="351"/>
      <c r="U1422" s="329">
        <f>IF($N1422=$N$4,IFERROR(INDEX(DanhMuc!$E$154:$E$165,MATCH(MID($B1422,4,2),DanhMuc!$B$154:$B$165,0)),""),"")</f>
        <v>6000</v>
      </c>
      <c r="V1422" s="325"/>
      <c r="W1422" s="352" t="str">
        <f>+IF(AND($A1422&lt;&gt;"",LEN($B1422)&gt;=8,COUNTIF($B$6:$B1422,$B1422)=1),$W$5,"")</f>
        <v/>
      </c>
      <c r="X1422" s="329" t="str">
        <f t="shared" si="186"/>
        <v>LV</v>
      </c>
      <c r="Y1422" s="1128" t="s">
        <v>3380</v>
      </c>
      <c r="Z1422" s="1128" t="s">
        <v>3381</v>
      </c>
      <c r="AA1422" s="1128" t="s">
        <v>3384</v>
      </c>
      <c r="AC1422" s="73"/>
    </row>
    <row r="1423" spans="1:29" s="20" customFormat="1">
      <c r="A1423" s="327" t="str">
        <f>IF(AND($B1423&lt;&gt;"",$C1423&lt;&gt;""),MAX($A$4:A1421)+1,"")</f>
        <v/>
      </c>
      <c r="B1423" s="361" t="s">
        <v>1749</v>
      </c>
      <c r="C1423" s="364"/>
      <c r="D1423" s="327">
        <f>IF($B1423="","",COUNTIF($B$6:$B1423,$B1423))</f>
        <v>10</v>
      </c>
      <c r="E1423" s="361">
        <v>2116</v>
      </c>
      <c r="F1423" s="362" t="s">
        <v>1739</v>
      </c>
      <c r="G1423" s="361" t="s">
        <v>329</v>
      </c>
      <c r="H1423" s="325"/>
      <c r="I1423" s="327">
        <v>8</v>
      </c>
      <c r="J1423" s="361" t="s">
        <v>1778</v>
      </c>
      <c r="K1423" s="327" t="s">
        <v>531</v>
      </c>
      <c r="L1423" s="348">
        <f>116000*$L$1329</f>
        <v>0</v>
      </c>
      <c r="M1423" s="355"/>
      <c r="N1423" s="355" t="str">
        <f t="shared" si="182"/>
        <v>PR</v>
      </c>
      <c r="O1423" s="347">
        <v>12</v>
      </c>
      <c r="P1423" s="325"/>
      <c r="Q1423" s="351"/>
      <c r="R1423" s="351">
        <v>1</v>
      </c>
      <c r="S1423" s="351">
        <v>6</v>
      </c>
      <c r="T1423" s="351"/>
      <c r="U1423" s="329">
        <f>IF($N1423=$N$4,IFERROR(INDEX(DanhMuc!$E$154:$E$165,MATCH(MID($B1423,4,2),DanhMuc!$B$154:$B$165,0)),""),"")</f>
        <v>6000</v>
      </c>
      <c r="V1423" s="325"/>
      <c r="W1423" s="352" t="str">
        <f>+IF(AND($A1423&lt;&gt;"",LEN($B1423)&gt;=8,COUNTIF($B$6:$B1423,$B1423)=1),$W$5,"")</f>
        <v/>
      </c>
      <c r="X1423" s="329" t="str">
        <f t="shared" si="186"/>
        <v>LV</v>
      </c>
      <c r="Y1423" s="1128" t="s">
        <v>3380</v>
      </c>
      <c r="Z1423" s="1128" t="s">
        <v>3381</v>
      </c>
      <c r="AA1423" s="1128" t="s">
        <v>3384</v>
      </c>
      <c r="AC1423" s="73"/>
    </row>
    <row r="1424" spans="1:29" s="20" customFormat="1">
      <c r="A1424" s="327" t="str">
        <f>IF(AND($B1424&lt;&gt;"",$C1424&lt;&gt;""),MAX($A$4:A1423)+1,"")</f>
        <v/>
      </c>
      <c r="B1424" s="361" t="s">
        <v>1749</v>
      </c>
      <c r="C1424" s="364"/>
      <c r="D1424" s="327">
        <f>IF($B1424="","",COUNTIF($B$6:$B1424,$B1424))</f>
        <v>11</v>
      </c>
      <c r="E1424" s="361">
        <v>2116</v>
      </c>
      <c r="F1424" s="362" t="s">
        <v>1739</v>
      </c>
      <c r="G1424" s="361" t="s">
        <v>328</v>
      </c>
      <c r="H1424" s="325"/>
      <c r="I1424" s="327">
        <v>8</v>
      </c>
      <c r="J1424" s="361" t="s">
        <v>1745</v>
      </c>
      <c r="K1424" s="327" t="s">
        <v>531</v>
      </c>
      <c r="L1424" s="348">
        <f>116000*$L$1329</f>
        <v>0</v>
      </c>
      <c r="M1424" s="355"/>
      <c r="N1424" s="355" t="str">
        <f t="shared" si="182"/>
        <v>PR</v>
      </c>
      <c r="O1424" s="347">
        <v>12</v>
      </c>
      <c r="P1424" s="325"/>
      <c r="Q1424" s="351"/>
      <c r="R1424" s="351">
        <v>1</v>
      </c>
      <c r="S1424" s="351">
        <v>6</v>
      </c>
      <c r="T1424" s="351"/>
      <c r="U1424" s="329">
        <f>IF($N1424=$N$4,IFERROR(INDEX(DanhMuc!$E$154:$E$165,MATCH(MID($B1424,4,2),DanhMuc!$B$154:$B$165,0)),""),"")</f>
        <v>6000</v>
      </c>
      <c r="V1424" s="325"/>
      <c r="W1424" s="352" t="str">
        <f>+IF(AND($A1424&lt;&gt;"",LEN($B1424)&gt;=8,COUNTIF($B$6:$B1424,$B1424)=1),$W$5,"")</f>
        <v/>
      </c>
      <c r="X1424" s="329" t="str">
        <f t="shared" si="186"/>
        <v>LV</v>
      </c>
      <c r="Y1424" s="1128" t="s">
        <v>3380</v>
      </c>
      <c r="Z1424" s="1128" t="s">
        <v>3381</v>
      </c>
      <c r="AA1424" s="1128" t="s">
        <v>3384</v>
      </c>
      <c r="AC1424" s="73"/>
    </row>
    <row r="1425" spans="1:29" s="20" customFormat="1">
      <c r="A1425" s="327" t="str">
        <f>IF(AND($B1425&lt;&gt;"",$C1425&lt;&gt;""),MAX($A$4:A1424)+1,"")</f>
        <v/>
      </c>
      <c r="B1425" s="361" t="s">
        <v>1749</v>
      </c>
      <c r="C1425" s="364"/>
      <c r="D1425" s="327">
        <f>IF($B1425="","",COUNTIF($B$6:$B1425,$B1425))</f>
        <v>12</v>
      </c>
      <c r="E1425" s="361">
        <v>2117</v>
      </c>
      <c r="F1425" s="362" t="s">
        <v>1740</v>
      </c>
      <c r="G1425" s="361" t="s">
        <v>329</v>
      </c>
      <c r="H1425" s="325"/>
      <c r="I1425" s="327">
        <v>8</v>
      </c>
      <c r="J1425" s="361" t="s">
        <v>1744</v>
      </c>
      <c r="K1425" s="327" t="s">
        <v>531</v>
      </c>
      <c r="L1425" s="348">
        <f>134000*$L$1329</f>
        <v>0</v>
      </c>
      <c r="M1425" s="355"/>
      <c r="N1425" s="355" t="str">
        <f t="shared" si="182"/>
        <v>PR</v>
      </c>
      <c r="O1425" s="347">
        <v>11</v>
      </c>
      <c r="P1425" s="325"/>
      <c r="Q1425" s="351"/>
      <c r="R1425" s="351">
        <v>1</v>
      </c>
      <c r="S1425" s="351">
        <v>6</v>
      </c>
      <c r="T1425" s="351"/>
      <c r="U1425" s="329">
        <f>IF($N1425=$N$4,IFERROR(INDEX(DanhMuc!$E$154:$E$165,MATCH(MID($B1425,4,2),DanhMuc!$B$154:$B$165,0)),""),"")</f>
        <v>6000</v>
      </c>
      <c r="V1425" s="325"/>
      <c r="W1425" s="352" t="str">
        <f>+IF(AND($A1425&lt;&gt;"",LEN($B1425)&gt;=8,COUNTIF($B$6:$B1425,$B1425)=1),$W$5,"")</f>
        <v/>
      </c>
      <c r="X1425" s="329" t="str">
        <f t="shared" si="186"/>
        <v>LV</v>
      </c>
      <c r="Y1425" s="1128" t="s">
        <v>3380</v>
      </c>
      <c r="Z1425" s="1128" t="s">
        <v>3381</v>
      </c>
      <c r="AA1425" s="1128" t="s">
        <v>3384</v>
      </c>
      <c r="AC1425" s="73"/>
    </row>
    <row r="1426" spans="1:29" s="20" customFormat="1">
      <c r="A1426" s="327" t="str">
        <f>IF(AND($B1426&lt;&gt;"",$C1426&lt;&gt;""),MAX($A$4:A1425)+1,"")</f>
        <v/>
      </c>
      <c r="B1426" s="361" t="s">
        <v>1749</v>
      </c>
      <c r="C1426" s="364"/>
      <c r="D1426" s="327">
        <f>IF($B1426="","",COUNTIF($B$6:$B1426,$B1426))</f>
        <v>13</v>
      </c>
      <c r="E1426" s="361">
        <v>2117</v>
      </c>
      <c r="F1426" s="362" t="s">
        <v>1740</v>
      </c>
      <c r="G1426" s="361" t="s">
        <v>328</v>
      </c>
      <c r="H1426" s="325"/>
      <c r="I1426" s="327">
        <v>8</v>
      </c>
      <c r="J1426" s="361" t="s">
        <v>1745</v>
      </c>
      <c r="K1426" s="327" t="s">
        <v>531</v>
      </c>
      <c r="L1426" s="348">
        <f>134000*$L$1329</f>
        <v>0</v>
      </c>
      <c r="M1426" s="355"/>
      <c r="N1426" s="355" t="str">
        <f t="shared" si="182"/>
        <v>PR</v>
      </c>
      <c r="O1426" s="347">
        <v>11</v>
      </c>
      <c r="P1426" s="325"/>
      <c r="Q1426" s="351"/>
      <c r="R1426" s="351">
        <v>1</v>
      </c>
      <c r="S1426" s="351">
        <v>6</v>
      </c>
      <c r="T1426" s="351"/>
      <c r="U1426" s="329">
        <f>IF($N1426=$N$4,IFERROR(INDEX(DanhMuc!$E$154:$E$165,MATCH(MID($B1426,4,2),DanhMuc!$B$154:$B$165,0)),""),"")</f>
        <v>6000</v>
      </c>
      <c r="V1426" s="325"/>
      <c r="W1426" s="352" t="str">
        <f>+IF(AND($A1426&lt;&gt;"",LEN($B1426)&gt;=8,COUNTIF($B$6:$B1426,$B1426)=1),$W$5,"")</f>
        <v/>
      </c>
      <c r="X1426" s="329" t="str">
        <f t="shared" si="186"/>
        <v>LV</v>
      </c>
      <c r="Y1426" s="1128" t="s">
        <v>3380</v>
      </c>
      <c r="Z1426" s="1128" t="s">
        <v>3381</v>
      </c>
      <c r="AA1426" s="1128" t="s">
        <v>3384</v>
      </c>
      <c r="AC1426" s="73"/>
    </row>
    <row r="1427" spans="1:29" s="20" customFormat="1" ht="39">
      <c r="A1427" s="327">
        <f>IF(AND($B1427&lt;&gt;"",$C1427&lt;&gt;""),MAX($A$4:A1386)+1,"")</f>
        <v>101</v>
      </c>
      <c r="B1427" s="359" t="s">
        <v>1676</v>
      </c>
      <c r="C1427" s="370" t="s">
        <v>1675</v>
      </c>
      <c r="D1427" s="327">
        <f>IF($B1427="","",COUNTIF($B$6:$B1427,$B1427))</f>
        <v>1</v>
      </c>
      <c r="E1427" s="363">
        <v>1102</v>
      </c>
      <c r="F1427" s="362" t="s">
        <v>1677</v>
      </c>
      <c r="G1427" s="361" t="s">
        <v>329</v>
      </c>
      <c r="H1427" s="325"/>
      <c r="I1427" s="327">
        <v>2</v>
      </c>
      <c r="J1427" s="361" t="s">
        <v>81</v>
      </c>
      <c r="K1427" s="327" t="s">
        <v>516</v>
      </c>
      <c r="L1427" s="348">
        <f>957000*$L$1329</f>
        <v>0</v>
      </c>
      <c r="M1427" s="355"/>
      <c r="N1427" s="355" t="str">
        <f t="shared" si="182"/>
        <v>PR</v>
      </c>
      <c r="O1427" s="345"/>
      <c r="P1427" s="325"/>
      <c r="Q1427" s="351"/>
      <c r="R1427" s="351">
        <v>1.8</v>
      </c>
      <c r="S1427" s="351">
        <v>6</v>
      </c>
      <c r="T1427" s="351"/>
      <c r="U1427" s="329">
        <f>IF($N1427=$N$4,IFERROR(INDEX(DanhMuc!$E$154:$E$165,MATCH(MID($B1427,4,2),DanhMuc!$B$154:$B$165,0)),""),"")</f>
        <v>6000</v>
      </c>
      <c r="V1427" s="325"/>
      <c r="W1427" s="352" t="str">
        <f>+IF(AND($A1427&lt;&gt;"",LEN($B1427)&gt;=8,COUNTIF($B$6:$B1427,$B1427)=1),$W$5,"")</f>
        <v>DMCua</v>
      </c>
      <c r="X1427" s="329" t="str">
        <f t="shared" si="186"/>
        <v>LV</v>
      </c>
      <c r="Y1427" s="1128" t="s">
        <v>3380</v>
      </c>
      <c r="Z1427" s="1128" t="s">
        <v>3381</v>
      </c>
      <c r="AA1427" s="1128" t="s">
        <v>3384</v>
      </c>
      <c r="AC1427" s="73"/>
    </row>
    <row r="1428" spans="1:29" s="20" customFormat="1">
      <c r="A1428" s="327" t="str">
        <f>IF(AND($B1428&lt;&gt;"",$C1428&lt;&gt;""),MAX($A$4:A1427)+1,"")</f>
        <v/>
      </c>
      <c r="B1428" s="361" t="s">
        <v>1676</v>
      </c>
      <c r="C1428" s="364"/>
      <c r="D1428" s="327">
        <f>IF($B1428="","",COUNTIF($B$6:$B1428,$B1428))</f>
        <v>2</v>
      </c>
      <c r="E1428" s="363">
        <v>1102</v>
      </c>
      <c r="F1428" s="362" t="s">
        <v>1677</v>
      </c>
      <c r="G1428" s="361" t="s">
        <v>328</v>
      </c>
      <c r="H1428" s="325"/>
      <c r="I1428" s="327">
        <v>2</v>
      </c>
      <c r="J1428" s="361" t="s">
        <v>80</v>
      </c>
      <c r="K1428" s="327" t="s">
        <v>516</v>
      </c>
      <c r="L1428" s="348">
        <f>957000*$L$1329</f>
        <v>0</v>
      </c>
      <c r="M1428" s="355"/>
      <c r="N1428" s="355" t="str">
        <f t="shared" si="182"/>
        <v>PR</v>
      </c>
      <c r="O1428" s="347"/>
      <c r="P1428" s="325"/>
      <c r="Q1428" s="351"/>
      <c r="R1428" s="351">
        <v>1.8</v>
      </c>
      <c r="S1428" s="351">
        <v>6</v>
      </c>
      <c r="T1428" s="351"/>
      <c r="U1428" s="329">
        <f>IF($N1428=$N$4,IFERROR(INDEX(DanhMuc!$E$154:$E$165,MATCH(MID($B1428,4,2),DanhMuc!$B$154:$B$165,0)),""),"")</f>
        <v>6000</v>
      </c>
      <c r="V1428" s="325"/>
      <c r="W1428" s="352" t="str">
        <f>+IF(AND($A1428&lt;&gt;"",LEN($B1428)&gt;=8,COUNTIF($B$6:$B1428,$B1428)=1),$W$5,"")</f>
        <v/>
      </c>
      <c r="X1428" s="329" t="str">
        <f t="shared" si="186"/>
        <v>LV</v>
      </c>
      <c r="Y1428" s="1128" t="s">
        <v>3380</v>
      </c>
      <c r="Z1428" s="1128" t="s">
        <v>3381</v>
      </c>
      <c r="AA1428" s="1128" t="s">
        <v>3384</v>
      </c>
      <c r="AC1428" s="73"/>
    </row>
    <row r="1429" spans="1:29" s="20" customFormat="1">
      <c r="A1429" s="327" t="str">
        <f>IF(AND($B1429&lt;&gt;"",$C1429&lt;&gt;""),MAX($A$4:A1428)+1,"")</f>
        <v/>
      </c>
      <c r="B1429" s="361" t="s">
        <v>1676</v>
      </c>
      <c r="C1429" s="364"/>
      <c r="D1429" s="327">
        <f>IF($B1429="","",COUNTIF($B$6:$B1429,$B1429))</f>
        <v>3</v>
      </c>
      <c r="E1429" s="361">
        <v>1104</v>
      </c>
      <c r="F1429" s="362" t="s">
        <v>1678</v>
      </c>
      <c r="G1429" s="361" t="s">
        <v>329</v>
      </c>
      <c r="H1429" s="325"/>
      <c r="I1429" s="327">
        <v>2</v>
      </c>
      <c r="J1429" s="361" t="s">
        <v>1524</v>
      </c>
      <c r="K1429" s="327" t="s">
        <v>516</v>
      </c>
      <c r="L1429" s="348">
        <f>1052000*$L$1329</f>
        <v>0</v>
      </c>
      <c r="M1429" s="355"/>
      <c r="N1429" s="355" t="str">
        <f t="shared" si="182"/>
        <v>PR</v>
      </c>
      <c r="O1429" s="345"/>
      <c r="P1429" s="325"/>
      <c r="Q1429" s="351"/>
      <c r="R1429" s="351">
        <v>1.5</v>
      </c>
      <c r="S1429" s="351">
        <v>6</v>
      </c>
      <c r="T1429" s="351"/>
      <c r="U1429" s="329">
        <f>IF($N1429=$N$4,IFERROR(INDEX(DanhMuc!$E$154:$E$165,MATCH(MID($B1429,4,2),DanhMuc!$B$154:$B$165,0)),""),"")</f>
        <v>6000</v>
      </c>
      <c r="V1429" s="325"/>
      <c r="W1429" s="352" t="str">
        <f>+IF(AND($A1429&lt;&gt;"",LEN($B1429)&gt;=8,COUNTIF($B$6:$B1429,$B1429)=1),$W$5,"")</f>
        <v/>
      </c>
      <c r="X1429" s="329" t="str">
        <f t="shared" si="186"/>
        <v>LV</v>
      </c>
      <c r="Y1429" s="1128" t="s">
        <v>3380</v>
      </c>
      <c r="Z1429" s="1128" t="s">
        <v>3381</v>
      </c>
      <c r="AA1429" s="1128" t="s">
        <v>3384</v>
      </c>
      <c r="AC1429" s="73"/>
    </row>
    <row r="1430" spans="1:29" s="20" customFormat="1">
      <c r="A1430" s="327" t="str">
        <f>IF(AND($B1430&lt;&gt;"",$C1430&lt;&gt;""),MAX($A$4:A1429)+1,"")</f>
        <v/>
      </c>
      <c r="B1430" s="361" t="s">
        <v>1676</v>
      </c>
      <c r="C1430" s="364"/>
      <c r="D1430" s="327">
        <f>IF($B1430="","",COUNTIF($B$6:$B1430,$B1430))</f>
        <v>4</v>
      </c>
      <c r="E1430" s="361">
        <v>1104</v>
      </c>
      <c r="F1430" s="362" t="s">
        <v>1678</v>
      </c>
      <c r="G1430" s="361" t="s">
        <v>328</v>
      </c>
      <c r="H1430" s="325"/>
      <c r="I1430" s="327">
        <v>2</v>
      </c>
      <c r="J1430" s="361" t="s">
        <v>1679</v>
      </c>
      <c r="K1430" s="327" t="s">
        <v>516</v>
      </c>
      <c r="L1430" s="348">
        <f>1052000*$L$1329</f>
        <v>0</v>
      </c>
      <c r="M1430" s="355"/>
      <c r="N1430" s="355" t="str">
        <f t="shared" si="182"/>
        <v>PR</v>
      </c>
      <c r="O1430" s="345"/>
      <c r="P1430" s="325"/>
      <c r="Q1430" s="351"/>
      <c r="R1430" s="351">
        <v>1.5</v>
      </c>
      <c r="S1430" s="351">
        <v>6</v>
      </c>
      <c r="T1430" s="351"/>
      <c r="U1430" s="329">
        <f>IF($N1430=$N$4,IFERROR(INDEX(DanhMuc!$E$154:$E$165,MATCH(MID($B1430,4,2),DanhMuc!$B$154:$B$165,0)),""),"")</f>
        <v>6000</v>
      </c>
      <c r="V1430" s="325"/>
      <c r="W1430" s="352" t="str">
        <f>+IF(AND($A1430&lt;&gt;"",LEN($B1430)&gt;=8,COUNTIF($B$6:$B1430,$B1430)=1),$W$5,"")</f>
        <v/>
      </c>
      <c r="X1430" s="329" t="str">
        <f t="shared" si="186"/>
        <v>LV</v>
      </c>
      <c r="Y1430" s="1128" t="s">
        <v>3380</v>
      </c>
      <c r="Z1430" s="1128" t="s">
        <v>3381</v>
      </c>
      <c r="AA1430" s="1128" t="s">
        <v>3384</v>
      </c>
      <c r="AC1430" s="73"/>
    </row>
    <row r="1431" spans="1:29" s="20" customFormat="1">
      <c r="A1431" s="327" t="str">
        <f>IF(AND($B1431&lt;&gt;"",$C1431&lt;&gt;""),MAX($A$4:A1430)+1,"")</f>
        <v/>
      </c>
      <c r="B1431" s="361" t="s">
        <v>1676</v>
      </c>
      <c r="C1431" s="364"/>
      <c r="D1431" s="327">
        <f>IF($B1431="","",COUNTIF($B$6:$B1431,$B1431))</f>
        <v>5</v>
      </c>
      <c r="E1431" s="361">
        <v>1126</v>
      </c>
      <c r="F1431" s="362" t="s">
        <v>1523</v>
      </c>
      <c r="G1431" s="361" t="s">
        <v>329</v>
      </c>
      <c r="H1431" s="325"/>
      <c r="I1431" s="327">
        <v>2</v>
      </c>
      <c r="J1431" s="361" t="s">
        <v>1681</v>
      </c>
      <c r="K1431" s="327" t="s">
        <v>531</v>
      </c>
      <c r="L1431" s="348">
        <f>177000*$L$1329</f>
        <v>0</v>
      </c>
      <c r="M1431" s="355"/>
      <c r="N1431" s="355" t="str">
        <f t="shared" si="182"/>
        <v>PR</v>
      </c>
      <c r="O1431" s="347">
        <v>12</v>
      </c>
      <c r="P1431" s="325"/>
      <c r="Q1431" s="351"/>
      <c r="R1431" s="351">
        <v>1.1000000000000001</v>
      </c>
      <c r="S1431" s="351">
        <v>6</v>
      </c>
      <c r="T1431" s="351"/>
      <c r="U1431" s="329">
        <f>IF($N1431=$N$4,IFERROR(INDEX(DanhMuc!$E$154:$E$165,MATCH(MID($B1431,4,2),DanhMuc!$B$154:$B$165,0)),""),"")</f>
        <v>6000</v>
      </c>
      <c r="V1431" s="325"/>
      <c r="W1431" s="352" t="str">
        <f>+IF(AND($A1431&lt;&gt;"",LEN($B1431)&gt;=8,COUNTIF($B$6:$B1431,$B1431)=1),$W$5,"")</f>
        <v/>
      </c>
      <c r="X1431" s="329" t="str">
        <f t="shared" si="186"/>
        <v>LV</v>
      </c>
      <c r="Y1431" s="1128" t="s">
        <v>3380</v>
      </c>
      <c r="Z1431" s="1128" t="s">
        <v>3381</v>
      </c>
      <c r="AA1431" s="1128" t="s">
        <v>3384</v>
      </c>
      <c r="AC1431" s="73"/>
    </row>
    <row r="1432" spans="1:29" s="20" customFormat="1">
      <c r="A1432" s="327" t="str">
        <f>IF(AND($B1432&lt;&gt;"",$C1432&lt;&gt;""),MAX($A$4:A1431)+1,"")</f>
        <v/>
      </c>
      <c r="B1432" s="361" t="s">
        <v>1676</v>
      </c>
      <c r="C1432" s="364"/>
      <c r="D1432" s="327">
        <f>IF($B1432="","",COUNTIF($B$6:$B1432,$B1432))</f>
        <v>6</v>
      </c>
      <c r="E1432" s="361">
        <v>1126</v>
      </c>
      <c r="F1432" s="362" t="s">
        <v>1523</v>
      </c>
      <c r="G1432" s="361" t="s">
        <v>328</v>
      </c>
      <c r="H1432" s="325"/>
      <c r="I1432" s="327">
        <v>2</v>
      </c>
      <c r="J1432" s="361" t="s">
        <v>1680</v>
      </c>
      <c r="K1432" s="327" t="s">
        <v>531</v>
      </c>
      <c r="L1432" s="348">
        <f>177000*$L$1329</f>
        <v>0</v>
      </c>
      <c r="M1432" s="355"/>
      <c r="N1432" s="355" t="str">
        <f t="shared" si="182"/>
        <v>PR</v>
      </c>
      <c r="O1432" s="347">
        <v>12</v>
      </c>
      <c r="P1432" s="325"/>
      <c r="Q1432" s="351"/>
      <c r="R1432" s="351">
        <v>1.1000000000000001</v>
      </c>
      <c r="S1432" s="351">
        <v>6</v>
      </c>
      <c r="T1432" s="351"/>
      <c r="U1432" s="329">
        <f>IF($N1432=$N$4,IFERROR(INDEX(DanhMuc!$E$154:$E$165,MATCH(MID($B1432,4,2),DanhMuc!$B$154:$B$165,0)),""),"")</f>
        <v>6000</v>
      </c>
      <c r="V1432" s="325"/>
      <c r="W1432" s="352" t="str">
        <f>+IF(AND($A1432&lt;&gt;"",LEN($B1432)&gt;=8,COUNTIF($B$6:$B1432,$B1432)=1),$W$5,"")</f>
        <v/>
      </c>
      <c r="X1432" s="329" t="str">
        <f t="shared" si="186"/>
        <v>LV</v>
      </c>
      <c r="Y1432" s="1128" t="s">
        <v>3380</v>
      </c>
      <c r="Z1432" s="1128" t="s">
        <v>3381</v>
      </c>
      <c r="AA1432" s="1128" t="s">
        <v>3384</v>
      </c>
      <c r="AC1432" s="73"/>
    </row>
    <row r="1433" spans="1:29" s="20" customFormat="1">
      <c r="A1433" s="327" t="str">
        <f>IF(AND($B1433&lt;&gt;"",$C1433&lt;&gt;""),MAX($A$4:A1432)+1,"")</f>
        <v/>
      </c>
      <c r="B1433" s="361" t="s">
        <v>1676</v>
      </c>
      <c r="C1433" s="364"/>
      <c r="D1433" s="327">
        <f>IF($B1433="","",COUNTIF($B$6:$B1433,$B1433))</f>
        <v>7</v>
      </c>
      <c r="E1433" s="361">
        <v>1127</v>
      </c>
      <c r="F1433" s="362" t="s">
        <v>1522</v>
      </c>
      <c r="G1433" s="361" t="s">
        <v>329</v>
      </c>
      <c r="H1433" s="325"/>
      <c r="I1433" s="327">
        <v>2</v>
      </c>
      <c r="J1433" s="361" t="s">
        <v>1681</v>
      </c>
      <c r="K1433" s="327" t="s">
        <v>531</v>
      </c>
      <c r="L1433" s="348">
        <f>200000*$L$1329</f>
        <v>0</v>
      </c>
      <c r="M1433" s="355"/>
      <c r="N1433" s="355" t="str">
        <f t="shared" si="182"/>
        <v>PR</v>
      </c>
      <c r="O1433" s="347">
        <v>11</v>
      </c>
      <c r="P1433" s="325"/>
      <c r="Q1433" s="351"/>
      <c r="R1433" s="351">
        <v>1.1000000000000001</v>
      </c>
      <c r="S1433" s="351">
        <v>6</v>
      </c>
      <c r="T1433" s="351"/>
      <c r="U1433" s="329">
        <f>IF($N1433=$N$4,IFERROR(INDEX(DanhMuc!$E$154:$E$165,MATCH(MID($B1433,4,2),DanhMuc!$B$154:$B$165,0)),""),"")</f>
        <v>6000</v>
      </c>
      <c r="V1433" s="325"/>
      <c r="W1433" s="352" t="str">
        <f>+IF(AND($A1433&lt;&gt;"",LEN($B1433)&gt;=8,COUNTIF($B$6:$B1433,$B1433)=1),$W$5,"")</f>
        <v/>
      </c>
      <c r="X1433" s="329" t="str">
        <f t="shared" si="186"/>
        <v>LV</v>
      </c>
      <c r="Y1433" s="1128" t="s">
        <v>3380</v>
      </c>
      <c r="Z1433" s="1128" t="s">
        <v>3381</v>
      </c>
      <c r="AA1433" s="1128" t="s">
        <v>3384</v>
      </c>
      <c r="AC1433" s="73"/>
    </row>
    <row r="1434" spans="1:29" s="20" customFormat="1">
      <c r="A1434" s="327" t="str">
        <f>IF(AND($B1434&lt;&gt;"",$C1434&lt;&gt;""),MAX($A$4:A1433)+1,"")</f>
        <v/>
      </c>
      <c r="B1434" s="361" t="s">
        <v>1676</v>
      </c>
      <c r="C1434" s="364"/>
      <c r="D1434" s="327">
        <f>IF($B1434="","",COUNTIF($B$6:$B1434,$B1434))</f>
        <v>8</v>
      </c>
      <c r="E1434" s="361">
        <v>1127</v>
      </c>
      <c r="F1434" s="362" t="s">
        <v>1522</v>
      </c>
      <c r="G1434" s="361" t="s">
        <v>328</v>
      </c>
      <c r="H1434" s="325"/>
      <c r="I1434" s="327">
        <v>2</v>
      </c>
      <c r="J1434" s="361" t="s">
        <v>1680</v>
      </c>
      <c r="K1434" s="327" t="s">
        <v>531</v>
      </c>
      <c r="L1434" s="348">
        <f>200000*$L$1329</f>
        <v>0</v>
      </c>
      <c r="M1434" s="355"/>
      <c r="N1434" s="355" t="str">
        <f t="shared" si="182"/>
        <v>PR</v>
      </c>
      <c r="O1434" s="347">
        <v>11</v>
      </c>
      <c r="P1434" s="325"/>
      <c r="Q1434" s="351"/>
      <c r="R1434" s="351">
        <v>1.1000000000000001</v>
      </c>
      <c r="S1434" s="351">
        <v>6</v>
      </c>
      <c r="T1434" s="351"/>
      <c r="U1434" s="329">
        <f>IF($N1434=$N$4,IFERROR(INDEX(DanhMuc!$E$154:$E$165,MATCH(MID($B1434,4,2),DanhMuc!$B$154:$B$165,0)),""),"")</f>
        <v>6000</v>
      </c>
      <c r="V1434" s="325"/>
      <c r="W1434" s="352" t="str">
        <f>+IF(AND($A1434&lt;&gt;"",LEN($B1434)&gt;=8,COUNTIF($B$6:$B1434,$B1434)=1),$W$5,"")</f>
        <v/>
      </c>
      <c r="X1434" s="329" t="str">
        <f t="shared" si="186"/>
        <v>LV</v>
      </c>
      <c r="Y1434" s="1128" t="s">
        <v>3380</v>
      </c>
      <c r="Z1434" s="1128" t="s">
        <v>3381</v>
      </c>
      <c r="AA1434" s="1128" t="s">
        <v>3384</v>
      </c>
      <c r="AC1434" s="73"/>
    </row>
    <row r="1435" spans="1:29" s="20" customFormat="1" ht="39">
      <c r="A1435" s="327">
        <f>IF(AND($B1435&lt;&gt;"",$C1435&lt;&gt;""),MAX($A$4:A1434)+1,"")</f>
        <v>103</v>
      </c>
      <c r="B1435" s="359" t="s">
        <v>1716</v>
      </c>
      <c r="C1435" s="370" t="s">
        <v>1715</v>
      </c>
      <c r="D1435" s="327">
        <f>IF($B1435="","",COUNTIF($B$6:$B1435,$B1435))</f>
        <v>1</v>
      </c>
      <c r="E1435" s="363">
        <v>1102</v>
      </c>
      <c r="F1435" s="362" t="s">
        <v>1677</v>
      </c>
      <c r="G1435" s="361" t="s">
        <v>329</v>
      </c>
      <c r="H1435" s="325"/>
      <c r="I1435" s="327">
        <v>2</v>
      </c>
      <c r="J1435" s="361" t="s">
        <v>81</v>
      </c>
      <c r="K1435" s="327" t="s">
        <v>516</v>
      </c>
      <c r="L1435" s="348">
        <f>957000*$L$1329</f>
        <v>0</v>
      </c>
      <c r="M1435" s="355"/>
      <c r="N1435" s="355" t="str">
        <f t="shared" si="182"/>
        <v>PR</v>
      </c>
      <c r="O1435" s="345"/>
      <c r="P1435" s="325"/>
      <c r="Q1435" s="351"/>
      <c r="R1435" s="351">
        <v>1.8</v>
      </c>
      <c r="S1435" s="351">
        <v>6</v>
      </c>
      <c r="T1435" s="351"/>
      <c r="U1435" s="329">
        <f>IF($N1435=$N$4,IFERROR(INDEX(DanhMuc!$E$154:$E$165,MATCH(MID($B1435,4,2),DanhMuc!$B$154:$B$165,0)),""),"")</f>
        <v>6000</v>
      </c>
      <c r="V1435" s="325"/>
      <c r="W1435" s="352" t="str">
        <f>+IF(AND($A1435&lt;&gt;"",LEN($B1435)&gt;=8,COUNTIF($B$6:$B1435,$B1435)=1),$W$5,"")</f>
        <v>DMCua</v>
      </c>
      <c r="X1435" s="329" t="str">
        <f t="shared" si="186"/>
        <v>LV</v>
      </c>
      <c r="Y1435" s="1128" t="s">
        <v>3380</v>
      </c>
      <c r="Z1435" s="1128" t="s">
        <v>3381</v>
      </c>
      <c r="AA1435" s="1128" t="s">
        <v>3384</v>
      </c>
      <c r="AC1435" s="73"/>
    </row>
    <row r="1436" spans="1:29" s="20" customFormat="1">
      <c r="A1436" s="327" t="str">
        <f>IF(AND($B1436&lt;&gt;"",$C1436&lt;&gt;""),MAX($A$4:A1435)+1,"")</f>
        <v/>
      </c>
      <c r="B1436" s="361" t="s">
        <v>1716</v>
      </c>
      <c r="C1436" s="364"/>
      <c r="D1436" s="327">
        <f>IF($B1436="","",COUNTIF($B$6:$B1436,$B1436))</f>
        <v>2</v>
      </c>
      <c r="E1436" s="363">
        <v>1102</v>
      </c>
      <c r="F1436" s="362" t="s">
        <v>1677</v>
      </c>
      <c r="G1436" s="361" t="s">
        <v>328</v>
      </c>
      <c r="H1436" s="325"/>
      <c r="I1436" s="327">
        <v>2</v>
      </c>
      <c r="J1436" s="361" t="s">
        <v>80</v>
      </c>
      <c r="K1436" s="327" t="s">
        <v>516</v>
      </c>
      <c r="L1436" s="348">
        <f>957000*$L$1329</f>
        <v>0</v>
      </c>
      <c r="M1436" s="355"/>
      <c r="N1436" s="355" t="str">
        <f t="shared" si="182"/>
        <v>PR</v>
      </c>
      <c r="O1436" s="347"/>
      <c r="P1436" s="325"/>
      <c r="Q1436" s="351"/>
      <c r="R1436" s="351">
        <v>1.8</v>
      </c>
      <c r="S1436" s="351">
        <v>6</v>
      </c>
      <c r="T1436" s="351"/>
      <c r="U1436" s="329">
        <f>IF($N1436=$N$4,IFERROR(INDEX(DanhMuc!$E$154:$E$165,MATCH(MID($B1436,4,2),DanhMuc!$B$154:$B$165,0)),""),"")</f>
        <v>6000</v>
      </c>
      <c r="V1436" s="325"/>
      <c r="W1436" s="352" t="str">
        <f>+IF(AND($A1436&lt;&gt;"",LEN($B1436)&gt;=8,COUNTIF($B$6:$B1436,$B1436)=1),$W$5,"")</f>
        <v/>
      </c>
      <c r="X1436" s="329" t="str">
        <f t="shared" si="186"/>
        <v>LV</v>
      </c>
      <c r="Y1436" s="1128" t="s">
        <v>3380</v>
      </c>
      <c r="Z1436" s="1128" t="s">
        <v>3381</v>
      </c>
      <c r="AA1436" s="1128" t="s">
        <v>3384</v>
      </c>
      <c r="AC1436" s="73"/>
    </row>
    <row r="1437" spans="1:29" s="20" customFormat="1">
      <c r="A1437" s="327" t="str">
        <f>IF(AND($B1437&lt;&gt;"",$C1437&lt;&gt;""),MAX($A$4:A1436)+1,"")</f>
        <v/>
      </c>
      <c r="B1437" s="361" t="s">
        <v>1716</v>
      </c>
      <c r="C1437" s="364"/>
      <c r="D1437" s="327">
        <f>IF($B1437="","",COUNTIF($B$6:$B1437,$B1437))</f>
        <v>3</v>
      </c>
      <c r="E1437" s="361">
        <v>1104</v>
      </c>
      <c r="F1437" s="362" t="s">
        <v>1678</v>
      </c>
      <c r="G1437" s="361" t="s">
        <v>329</v>
      </c>
      <c r="H1437" s="325"/>
      <c r="I1437" s="327">
        <v>4</v>
      </c>
      <c r="J1437" s="361" t="s">
        <v>1639</v>
      </c>
      <c r="K1437" s="327" t="s">
        <v>516</v>
      </c>
      <c r="L1437" s="348">
        <f>1052000*$L$1329</f>
        <v>0</v>
      </c>
      <c r="M1437" s="355"/>
      <c r="N1437" s="355" t="str">
        <f t="shared" si="182"/>
        <v>PR</v>
      </c>
      <c r="O1437" s="345"/>
      <c r="P1437" s="325"/>
      <c r="Q1437" s="351"/>
      <c r="R1437" s="351">
        <v>1.5</v>
      </c>
      <c r="S1437" s="351">
        <v>6</v>
      </c>
      <c r="T1437" s="351"/>
      <c r="U1437" s="329">
        <f>IF($N1437=$N$4,IFERROR(INDEX(DanhMuc!$E$154:$E$165,MATCH(MID($B1437,4,2),DanhMuc!$B$154:$B$165,0)),""),"")</f>
        <v>6000</v>
      </c>
      <c r="V1437" s="325"/>
      <c r="W1437" s="352" t="str">
        <f>+IF(AND($A1437&lt;&gt;"",LEN($B1437)&gt;=8,COUNTIF($B$6:$B1437,$B1437)=1),$W$5,"")</f>
        <v/>
      </c>
      <c r="X1437" s="329" t="str">
        <f t="shared" si="186"/>
        <v>LV</v>
      </c>
      <c r="Y1437" s="1128" t="s">
        <v>3380</v>
      </c>
      <c r="Z1437" s="1128" t="s">
        <v>3381</v>
      </c>
      <c r="AA1437" s="1128" t="s">
        <v>3384</v>
      </c>
      <c r="AC1437" s="73"/>
    </row>
    <row r="1438" spans="1:29" s="20" customFormat="1">
      <c r="A1438" s="327" t="str">
        <f>IF(AND($B1438&lt;&gt;"",$C1438&lt;&gt;""),MAX($A$4:A1437)+1,"")</f>
        <v/>
      </c>
      <c r="B1438" s="361" t="s">
        <v>1716</v>
      </c>
      <c r="C1438" s="364"/>
      <c r="D1438" s="327">
        <f>IF($B1438="","",COUNTIF($B$6:$B1438,$B1438))</f>
        <v>4</v>
      </c>
      <c r="E1438" s="361">
        <v>1104</v>
      </c>
      <c r="F1438" s="362" t="s">
        <v>1678</v>
      </c>
      <c r="G1438" s="361" t="s">
        <v>328</v>
      </c>
      <c r="H1438" s="325"/>
      <c r="I1438" s="327">
        <v>4</v>
      </c>
      <c r="J1438" s="361" t="s">
        <v>1679</v>
      </c>
      <c r="K1438" s="327" t="s">
        <v>516</v>
      </c>
      <c r="L1438" s="348">
        <f>1052000*$L$1329</f>
        <v>0</v>
      </c>
      <c r="M1438" s="355"/>
      <c r="N1438" s="355" t="str">
        <f t="shared" si="182"/>
        <v>PR</v>
      </c>
      <c r="O1438" s="345"/>
      <c r="P1438" s="325"/>
      <c r="Q1438" s="351"/>
      <c r="R1438" s="351">
        <v>1.5</v>
      </c>
      <c r="S1438" s="351">
        <v>6</v>
      </c>
      <c r="T1438" s="351"/>
      <c r="U1438" s="329">
        <f>IF($N1438=$N$4,IFERROR(INDEX(DanhMuc!$E$154:$E$165,MATCH(MID($B1438,4,2),DanhMuc!$B$154:$B$165,0)),""),"")</f>
        <v>6000</v>
      </c>
      <c r="V1438" s="325"/>
      <c r="W1438" s="352" t="str">
        <f>+IF(AND($A1438&lt;&gt;"",LEN($B1438)&gt;=8,COUNTIF($B$6:$B1438,$B1438)=1),$W$5,"")</f>
        <v/>
      </c>
      <c r="X1438" s="329" t="str">
        <f t="shared" si="186"/>
        <v>LV</v>
      </c>
      <c r="Y1438" s="1128" t="s">
        <v>3380</v>
      </c>
      <c r="Z1438" s="1128" t="s">
        <v>3381</v>
      </c>
      <c r="AA1438" s="1128" t="s">
        <v>3384</v>
      </c>
      <c r="AC1438" s="73"/>
    </row>
    <row r="1439" spans="1:29" s="20" customFormat="1">
      <c r="A1439" s="327" t="str">
        <f>IF(AND($B1439&lt;&gt;"",$C1439&lt;&gt;""),MAX($A$4:A1438)+1,"")</f>
        <v/>
      </c>
      <c r="B1439" s="361" t="s">
        <v>1716</v>
      </c>
      <c r="C1439" s="364"/>
      <c r="D1439" s="327">
        <f>IF($B1439="","",COUNTIF($B$6:$B1439,$B1439))</f>
        <v>5</v>
      </c>
      <c r="E1439" s="361">
        <v>1111</v>
      </c>
      <c r="F1439" s="362" t="s">
        <v>1637</v>
      </c>
      <c r="G1439" s="361" t="s">
        <v>328</v>
      </c>
      <c r="H1439" s="325"/>
      <c r="I1439" s="327">
        <v>1</v>
      </c>
      <c r="J1439" s="361" t="s">
        <v>1717</v>
      </c>
      <c r="K1439" s="327" t="s">
        <v>531</v>
      </c>
      <c r="L1439" s="348">
        <f>982000*$L$1329</f>
        <v>0</v>
      </c>
      <c r="M1439" s="355"/>
      <c r="N1439" s="355" t="str">
        <f t="shared" si="182"/>
        <v>PR</v>
      </c>
      <c r="O1439" s="347"/>
      <c r="P1439" s="325"/>
      <c r="Q1439" s="351"/>
      <c r="R1439" s="351">
        <v>1.8</v>
      </c>
      <c r="S1439" s="351">
        <v>6</v>
      </c>
      <c r="T1439" s="351"/>
      <c r="U1439" s="329">
        <f>IF($N1439=$N$4,IFERROR(INDEX(DanhMuc!$E$154:$E$165,MATCH(MID($B1439,4,2),DanhMuc!$B$154:$B$165,0)),""),"")</f>
        <v>6000</v>
      </c>
      <c r="V1439" s="325"/>
      <c r="W1439" s="352" t="str">
        <f>+IF(AND($A1439&lt;&gt;"",LEN($B1439)&gt;=8,COUNTIF($B$6:$B1439,$B1439)=1),$W$5,"")</f>
        <v/>
      </c>
      <c r="X1439" s="329" t="str">
        <f t="shared" si="186"/>
        <v>LV</v>
      </c>
      <c r="Y1439" s="1128" t="s">
        <v>3380</v>
      </c>
      <c r="Z1439" s="1128" t="s">
        <v>3381</v>
      </c>
      <c r="AA1439" s="1128" t="s">
        <v>3384</v>
      </c>
      <c r="AC1439" s="73"/>
    </row>
    <row r="1440" spans="1:29" s="20" customFormat="1">
      <c r="A1440" s="327" t="str">
        <f>IF(AND($B1440&lt;&gt;"",$C1440&lt;&gt;""),MAX($A$4:A1439)+1,"")</f>
        <v/>
      </c>
      <c r="B1440" s="361" t="s">
        <v>1716</v>
      </c>
      <c r="C1440" s="364"/>
      <c r="D1440" s="327">
        <f>IF($B1440="","",COUNTIF($B$6:$B1440,$B1440))</f>
        <v>6</v>
      </c>
      <c r="E1440" s="361">
        <v>1126</v>
      </c>
      <c r="F1440" s="362" t="s">
        <v>1523</v>
      </c>
      <c r="G1440" s="361" t="s">
        <v>329</v>
      </c>
      <c r="H1440" s="325"/>
      <c r="I1440" s="327">
        <v>4</v>
      </c>
      <c r="J1440" s="361" t="s">
        <v>1718</v>
      </c>
      <c r="K1440" s="327" t="s">
        <v>531</v>
      </c>
      <c r="L1440" s="348">
        <f>177000*$L$1329</f>
        <v>0</v>
      </c>
      <c r="M1440" s="355"/>
      <c r="N1440" s="355" t="str">
        <f t="shared" si="182"/>
        <v>PR</v>
      </c>
      <c r="O1440" s="347">
        <v>12</v>
      </c>
      <c r="P1440" s="325"/>
      <c r="Q1440" s="351"/>
      <c r="R1440" s="351">
        <v>1.1000000000000001</v>
      </c>
      <c r="S1440" s="351">
        <v>6</v>
      </c>
      <c r="T1440" s="351"/>
      <c r="U1440" s="329">
        <f>IF($N1440=$N$4,IFERROR(INDEX(DanhMuc!$E$154:$E$165,MATCH(MID($B1440,4,2),DanhMuc!$B$154:$B$165,0)),""),"")</f>
        <v>6000</v>
      </c>
      <c r="V1440" s="325"/>
      <c r="W1440" s="352" t="str">
        <f>+IF(AND($A1440&lt;&gt;"",LEN($B1440)&gt;=8,COUNTIF($B$6:$B1440,$B1440)=1),$W$5,"")</f>
        <v/>
      </c>
      <c r="X1440" s="329" t="str">
        <f t="shared" si="186"/>
        <v>LV</v>
      </c>
      <c r="Y1440" s="1128" t="s">
        <v>3380</v>
      </c>
      <c r="Z1440" s="1128" t="s">
        <v>3381</v>
      </c>
      <c r="AA1440" s="1128" t="s">
        <v>3384</v>
      </c>
      <c r="AC1440" s="73"/>
    </row>
    <row r="1441" spans="1:29" s="20" customFormat="1">
      <c r="A1441" s="327" t="str">
        <f>IF(AND($B1441&lt;&gt;"",$C1441&lt;&gt;""),MAX($A$4:A1440)+1,"")</f>
        <v/>
      </c>
      <c r="B1441" s="361" t="s">
        <v>1716</v>
      </c>
      <c r="C1441" s="364"/>
      <c r="D1441" s="327">
        <f>IF($B1441="","",COUNTIF($B$6:$B1441,$B1441))</f>
        <v>7</v>
      </c>
      <c r="E1441" s="361">
        <v>1126</v>
      </c>
      <c r="F1441" s="362" t="s">
        <v>1523</v>
      </c>
      <c r="G1441" s="361" t="s">
        <v>328</v>
      </c>
      <c r="H1441" s="325"/>
      <c r="I1441" s="327">
        <v>4</v>
      </c>
      <c r="J1441" s="361" t="s">
        <v>1680</v>
      </c>
      <c r="K1441" s="327" t="s">
        <v>531</v>
      </c>
      <c r="L1441" s="348">
        <f>177000*$L$1329</f>
        <v>0</v>
      </c>
      <c r="M1441" s="355"/>
      <c r="N1441" s="355" t="str">
        <f t="shared" si="182"/>
        <v>PR</v>
      </c>
      <c r="O1441" s="347">
        <v>12</v>
      </c>
      <c r="P1441" s="325"/>
      <c r="Q1441" s="351"/>
      <c r="R1441" s="351">
        <v>1.1000000000000001</v>
      </c>
      <c r="S1441" s="351">
        <v>6</v>
      </c>
      <c r="T1441" s="351"/>
      <c r="U1441" s="329">
        <f>IF($N1441=$N$4,IFERROR(INDEX(DanhMuc!$E$154:$E$165,MATCH(MID($B1441,4,2),DanhMuc!$B$154:$B$165,0)),""),"")</f>
        <v>6000</v>
      </c>
      <c r="V1441" s="325"/>
      <c r="W1441" s="352" t="str">
        <f>+IF(AND($A1441&lt;&gt;"",LEN($B1441)&gt;=8,COUNTIF($B$6:$B1441,$B1441)=1),$W$5,"")</f>
        <v/>
      </c>
      <c r="X1441" s="329" t="str">
        <f t="shared" si="186"/>
        <v>LV</v>
      </c>
      <c r="Y1441" s="1128" t="s">
        <v>3380</v>
      </c>
      <c r="Z1441" s="1128" t="s">
        <v>3381</v>
      </c>
      <c r="AA1441" s="1128" t="s">
        <v>3384</v>
      </c>
      <c r="AC1441" s="73"/>
    </row>
    <row r="1442" spans="1:29" s="20" customFormat="1">
      <c r="A1442" s="327" t="str">
        <f>IF(AND($B1442&lt;&gt;"",$C1442&lt;&gt;""),MAX($A$4:A1441)+1,"")</f>
        <v/>
      </c>
      <c r="B1442" s="361" t="s">
        <v>1716</v>
      </c>
      <c r="C1442" s="364"/>
      <c r="D1442" s="327">
        <f>IF($B1442="","",COUNTIF($B$6:$B1442,$B1442))</f>
        <v>8</v>
      </c>
      <c r="E1442" s="361">
        <v>1127</v>
      </c>
      <c r="F1442" s="362" t="s">
        <v>1522</v>
      </c>
      <c r="G1442" s="361" t="s">
        <v>329</v>
      </c>
      <c r="H1442" s="325"/>
      <c r="I1442" s="327">
        <v>4</v>
      </c>
      <c r="J1442" s="361" t="s">
        <v>1718</v>
      </c>
      <c r="K1442" s="327" t="s">
        <v>531</v>
      </c>
      <c r="L1442" s="348">
        <f>200000*$L$1329</f>
        <v>0</v>
      </c>
      <c r="M1442" s="355"/>
      <c r="N1442" s="355" t="str">
        <f t="shared" si="182"/>
        <v>PR</v>
      </c>
      <c r="O1442" s="347">
        <v>11</v>
      </c>
      <c r="P1442" s="325"/>
      <c r="Q1442" s="351"/>
      <c r="R1442" s="351">
        <v>1.1000000000000001</v>
      </c>
      <c r="S1442" s="351">
        <v>6</v>
      </c>
      <c r="T1442" s="351"/>
      <c r="U1442" s="329">
        <f>IF($N1442=$N$4,IFERROR(INDEX(DanhMuc!$E$154:$E$165,MATCH(MID($B1442,4,2),DanhMuc!$B$154:$B$165,0)),""),"")</f>
        <v>6000</v>
      </c>
      <c r="V1442" s="325"/>
      <c r="W1442" s="352" t="str">
        <f>+IF(AND($A1442&lt;&gt;"",LEN($B1442)&gt;=8,COUNTIF($B$6:$B1442,$B1442)=1),$W$5,"")</f>
        <v/>
      </c>
      <c r="X1442" s="329" t="str">
        <f t="shared" si="186"/>
        <v>LV</v>
      </c>
      <c r="Y1442" s="1128" t="s">
        <v>3380</v>
      </c>
      <c r="Z1442" s="1128" t="s">
        <v>3381</v>
      </c>
      <c r="AA1442" s="1128" t="s">
        <v>3384</v>
      </c>
      <c r="AC1442" s="73"/>
    </row>
    <row r="1443" spans="1:29" s="20" customFormat="1">
      <c r="A1443" s="327" t="str">
        <f>IF(AND($B1443&lt;&gt;"",$C1443&lt;&gt;""),MAX($A$4:A1442)+1,"")</f>
        <v/>
      </c>
      <c r="B1443" s="361" t="s">
        <v>1716</v>
      </c>
      <c r="C1443" s="364"/>
      <c r="D1443" s="327">
        <f>IF($B1443="","",COUNTIF($B$6:$B1443,$B1443))</f>
        <v>9</v>
      </c>
      <c r="E1443" s="361">
        <v>1127</v>
      </c>
      <c r="F1443" s="362" t="s">
        <v>1522</v>
      </c>
      <c r="G1443" s="361" t="s">
        <v>328</v>
      </c>
      <c r="H1443" s="325"/>
      <c r="I1443" s="327">
        <v>4</v>
      </c>
      <c r="J1443" s="361" t="s">
        <v>1680</v>
      </c>
      <c r="K1443" s="327" t="s">
        <v>531</v>
      </c>
      <c r="L1443" s="348">
        <f>200000*$L$1329</f>
        <v>0</v>
      </c>
      <c r="M1443" s="355"/>
      <c r="N1443" s="355" t="str">
        <f t="shared" si="182"/>
        <v>PR</v>
      </c>
      <c r="O1443" s="347">
        <v>11</v>
      </c>
      <c r="P1443" s="325"/>
      <c r="Q1443" s="351"/>
      <c r="R1443" s="351">
        <v>1.1000000000000001</v>
      </c>
      <c r="S1443" s="351">
        <v>6</v>
      </c>
      <c r="T1443" s="351"/>
      <c r="U1443" s="329">
        <f>IF($N1443=$N$4,IFERROR(INDEX(DanhMuc!$E$154:$E$165,MATCH(MID($B1443,4,2),DanhMuc!$B$154:$B$165,0)),""),"")</f>
        <v>6000</v>
      </c>
      <c r="V1443" s="325"/>
      <c r="W1443" s="352" t="str">
        <f>+IF(AND($A1443&lt;&gt;"",LEN($B1443)&gt;=8,COUNTIF($B$6:$B1443,$B1443)=1),$W$5,"")</f>
        <v/>
      </c>
      <c r="X1443" s="329" t="str">
        <f t="shared" si="186"/>
        <v>LV</v>
      </c>
      <c r="Y1443" s="1128" t="s">
        <v>3380</v>
      </c>
      <c r="Z1443" s="1128" t="s">
        <v>3381</v>
      </c>
      <c r="AA1443" s="1128" t="s">
        <v>3384</v>
      </c>
      <c r="AC1443" s="73"/>
    </row>
    <row r="1444" spans="1:29" s="20" customFormat="1" ht="39">
      <c r="A1444" s="327">
        <f>IF(AND($B1444&lt;&gt;"",$C1444&lt;&gt;""),MAX($A$4:A1433)+1,"")</f>
        <v>103</v>
      </c>
      <c r="B1444" s="359" t="s">
        <v>2193</v>
      </c>
      <c r="C1444" s="370" t="s">
        <v>2194</v>
      </c>
      <c r="D1444" s="327">
        <f>IF($B1444="","",COUNTIF($B$6:$B1444,$B1444))</f>
        <v>1</v>
      </c>
      <c r="E1444" s="363">
        <v>1102</v>
      </c>
      <c r="F1444" s="362" t="s">
        <v>1677</v>
      </c>
      <c r="G1444" s="361" t="s">
        <v>329</v>
      </c>
      <c r="H1444" s="325"/>
      <c r="I1444" s="327">
        <v>2</v>
      </c>
      <c r="J1444" s="361" t="s">
        <v>81</v>
      </c>
      <c r="K1444" s="327" t="s">
        <v>516</v>
      </c>
      <c r="L1444" s="348">
        <f>957000*$L$1329</f>
        <v>0</v>
      </c>
      <c r="M1444" s="355"/>
      <c r="N1444" s="355" t="str">
        <f t="shared" si="182"/>
        <v>PR</v>
      </c>
      <c r="O1444" s="345"/>
      <c r="P1444" s="325"/>
      <c r="Q1444" s="351"/>
      <c r="R1444" s="351">
        <v>1.8</v>
      </c>
      <c r="S1444" s="351">
        <v>6</v>
      </c>
      <c r="T1444" s="351"/>
      <c r="U1444" s="329">
        <f>IF($N1444=$N$4,IFERROR(INDEX(DanhMuc!$E$154:$E$165,MATCH(MID($B1444,4,2),DanhMuc!$B$154:$B$165,0)),""),"")</f>
        <v>6000</v>
      </c>
      <c r="V1444" s="325"/>
      <c r="W1444" s="352" t="str">
        <f>+IF(AND($A1444&lt;&gt;"",LEN($B1444)&gt;=8,COUNTIF($B$6:$B1444,$B1444)=1),$W$5,"")</f>
        <v>DMCua</v>
      </c>
      <c r="X1444" s="329" t="str">
        <f t="shared" si="186"/>
        <v>LV</v>
      </c>
      <c r="Y1444" s="1128" t="s">
        <v>3380</v>
      </c>
      <c r="Z1444" s="1128" t="s">
        <v>3381</v>
      </c>
      <c r="AA1444" s="1128" t="s">
        <v>3384</v>
      </c>
      <c r="AC1444" s="73"/>
    </row>
    <row r="1445" spans="1:29" s="20" customFormat="1">
      <c r="A1445" s="327" t="str">
        <f>IF(AND($B1445&lt;&gt;"",$C1445&lt;&gt;""),MAX($A$4:A1444)+1,"")</f>
        <v/>
      </c>
      <c r="B1445" s="361" t="s">
        <v>2193</v>
      </c>
      <c r="C1445" s="364"/>
      <c r="D1445" s="327">
        <f>IF($B1445="","",COUNTIF($B$6:$B1445,$B1445))</f>
        <v>2</v>
      </c>
      <c r="E1445" s="363">
        <v>1102</v>
      </c>
      <c r="F1445" s="362" t="s">
        <v>1677</v>
      </c>
      <c r="G1445" s="361" t="s">
        <v>328</v>
      </c>
      <c r="H1445" s="325"/>
      <c r="I1445" s="327">
        <v>2</v>
      </c>
      <c r="J1445" s="361" t="s">
        <v>80</v>
      </c>
      <c r="K1445" s="327" t="s">
        <v>516</v>
      </c>
      <c r="L1445" s="348">
        <f>957000*$L$1329</f>
        <v>0</v>
      </c>
      <c r="M1445" s="355"/>
      <c r="N1445" s="355" t="str">
        <f t="shared" si="182"/>
        <v>PR</v>
      </c>
      <c r="O1445" s="347"/>
      <c r="P1445" s="325"/>
      <c r="Q1445" s="351"/>
      <c r="R1445" s="351">
        <v>1.8</v>
      </c>
      <c r="S1445" s="351">
        <v>6</v>
      </c>
      <c r="T1445" s="351"/>
      <c r="U1445" s="329">
        <f>IF($N1445=$N$4,IFERROR(INDEX(DanhMuc!$E$154:$E$165,MATCH(MID($B1445,4,2),DanhMuc!$B$154:$B$165,0)),""),"")</f>
        <v>6000</v>
      </c>
      <c r="V1445" s="325"/>
      <c r="W1445" s="352" t="str">
        <f>+IF(AND($A1445&lt;&gt;"",LEN($B1445)&gt;=8,COUNTIF($B$6:$B1445,$B1445)=1),$W$5,"")</f>
        <v/>
      </c>
      <c r="X1445" s="329" t="str">
        <f t="shared" si="186"/>
        <v>LV</v>
      </c>
      <c r="Y1445" s="1128" t="s">
        <v>3380</v>
      </c>
      <c r="Z1445" s="1128" t="s">
        <v>3381</v>
      </c>
      <c r="AA1445" s="1128" t="s">
        <v>3384</v>
      </c>
      <c r="AC1445" s="73"/>
    </row>
    <row r="1446" spans="1:29" s="20" customFormat="1">
      <c r="A1446" s="327" t="str">
        <f>IF(AND($B1446&lt;&gt;"",$C1446&lt;&gt;""),MAX($A$4:A1445)+1,"")</f>
        <v/>
      </c>
      <c r="B1446" s="361" t="s">
        <v>2193</v>
      </c>
      <c r="C1446" s="364"/>
      <c r="D1446" s="327">
        <f>IF($B1446="","",COUNTIF($B$6:$B1446,$B1446))</f>
        <v>3</v>
      </c>
      <c r="E1446" s="361">
        <v>1104</v>
      </c>
      <c r="F1446" s="362" t="s">
        <v>1678</v>
      </c>
      <c r="G1446" s="361" t="s">
        <v>329</v>
      </c>
      <c r="H1446" s="325"/>
      <c r="I1446" s="327">
        <v>6</v>
      </c>
      <c r="J1446" s="361" t="s">
        <v>2195</v>
      </c>
      <c r="K1446" s="327" t="s">
        <v>516</v>
      </c>
      <c r="L1446" s="348">
        <f>1052000*$L$1329</f>
        <v>0</v>
      </c>
      <c r="M1446" s="355"/>
      <c r="N1446" s="355" t="str">
        <f t="shared" si="182"/>
        <v>PR</v>
      </c>
      <c r="O1446" s="345"/>
      <c r="P1446" s="325"/>
      <c r="Q1446" s="351"/>
      <c r="R1446" s="351">
        <v>1.5</v>
      </c>
      <c r="S1446" s="351">
        <v>6</v>
      </c>
      <c r="T1446" s="351"/>
      <c r="U1446" s="329">
        <f>IF($N1446=$N$4,IFERROR(INDEX(DanhMuc!$E$154:$E$165,MATCH(MID($B1446,4,2),DanhMuc!$B$154:$B$165,0)),""),"")</f>
        <v>6000</v>
      </c>
      <c r="V1446" s="325"/>
      <c r="W1446" s="352" t="str">
        <f>+IF(AND($A1446&lt;&gt;"",LEN($B1446)&gt;=8,COUNTIF($B$6:$B1446,$B1446)=1),$W$5,"")</f>
        <v/>
      </c>
      <c r="X1446" s="329" t="str">
        <f t="shared" si="186"/>
        <v>LV</v>
      </c>
      <c r="Y1446" s="1128" t="s">
        <v>3380</v>
      </c>
      <c r="Z1446" s="1128" t="s">
        <v>3381</v>
      </c>
      <c r="AA1446" s="1128" t="s">
        <v>3384</v>
      </c>
      <c r="AC1446" s="73"/>
    </row>
    <row r="1447" spans="1:29" s="20" customFormat="1">
      <c r="A1447" s="327" t="str">
        <f>IF(AND($B1447&lt;&gt;"",$C1447&lt;&gt;""),MAX($A$4:A1446)+1,"")</f>
        <v/>
      </c>
      <c r="B1447" s="361" t="s">
        <v>2193</v>
      </c>
      <c r="C1447" s="364"/>
      <c r="D1447" s="327">
        <f>IF($B1447="","",COUNTIF($B$6:$B1447,$B1447))</f>
        <v>4</v>
      </c>
      <c r="E1447" s="361">
        <v>1104</v>
      </c>
      <c r="F1447" s="362" t="s">
        <v>1678</v>
      </c>
      <c r="G1447" s="361" t="s">
        <v>328</v>
      </c>
      <c r="H1447" s="325"/>
      <c r="I1447" s="327">
        <v>6</v>
      </c>
      <c r="J1447" s="361" t="s">
        <v>1679</v>
      </c>
      <c r="K1447" s="327" t="s">
        <v>516</v>
      </c>
      <c r="L1447" s="348">
        <f>1052000*$L$1329</f>
        <v>0</v>
      </c>
      <c r="M1447" s="355"/>
      <c r="N1447" s="355" t="str">
        <f t="shared" si="182"/>
        <v>PR</v>
      </c>
      <c r="O1447" s="345"/>
      <c r="P1447" s="325"/>
      <c r="Q1447" s="351"/>
      <c r="R1447" s="351">
        <v>1.5</v>
      </c>
      <c r="S1447" s="351">
        <v>6</v>
      </c>
      <c r="T1447" s="351"/>
      <c r="U1447" s="329">
        <f>IF($N1447=$N$4,IFERROR(INDEX(DanhMuc!$E$154:$E$165,MATCH(MID($B1447,4,2),DanhMuc!$B$154:$B$165,0)),""),"")</f>
        <v>6000</v>
      </c>
      <c r="V1447" s="325"/>
      <c r="W1447" s="352" t="str">
        <f>+IF(AND($A1447&lt;&gt;"",LEN($B1447)&gt;=8,COUNTIF($B$6:$B1447,$B1447)=1),$W$5,"")</f>
        <v/>
      </c>
      <c r="X1447" s="329" t="str">
        <f t="shared" si="186"/>
        <v>LV</v>
      </c>
      <c r="Y1447" s="1128" t="s">
        <v>3380</v>
      </c>
      <c r="Z1447" s="1128" t="s">
        <v>3381</v>
      </c>
      <c r="AA1447" s="1128" t="s">
        <v>3384</v>
      </c>
      <c r="AC1447" s="73"/>
    </row>
    <row r="1448" spans="1:29" s="20" customFormat="1">
      <c r="A1448" s="327" t="str">
        <f>IF(AND($B1448&lt;&gt;"",$C1448&lt;&gt;""),MAX($A$4:A1447)+1,"")</f>
        <v/>
      </c>
      <c r="B1448" s="361" t="s">
        <v>2193</v>
      </c>
      <c r="C1448" s="364"/>
      <c r="D1448" s="327">
        <f>IF($B1448="","",COUNTIF($B$6:$B1448,$B1448))</f>
        <v>5</v>
      </c>
      <c r="E1448" s="361">
        <v>1103</v>
      </c>
      <c r="F1448" s="362" t="s">
        <v>1722</v>
      </c>
      <c r="G1448" s="361" t="s">
        <v>328</v>
      </c>
      <c r="H1448" s="325"/>
      <c r="I1448" s="327">
        <v>2</v>
      </c>
      <c r="J1448" s="361" t="s">
        <v>768</v>
      </c>
      <c r="K1448" s="327" t="s">
        <v>531</v>
      </c>
      <c r="L1448" s="348">
        <f>1165000*$L$1329</f>
        <v>0</v>
      </c>
      <c r="M1448" s="355"/>
      <c r="N1448" s="355" t="str">
        <f t="shared" si="182"/>
        <v>PR</v>
      </c>
      <c r="O1448" s="347"/>
      <c r="P1448" s="325"/>
      <c r="Q1448" s="351"/>
      <c r="R1448" s="351">
        <v>1.8</v>
      </c>
      <c r="S1448" s="351">
        <v>6</v>
      </c>
      <c r="T1448" s="351"/>
      <c r="U1448" s="329">
        <f>IF($N1448=$N$4,IFERROR(INDEX(DanhMuc!$E$154:$E$165,MATCH(MID($B1448,4,2),DanhMuc!$B$154:$B$165,0)),""),"")</f>
        <v>6000</v>
      </c>
      <c r="V1448" s="325"/>
      <c r="W1448" s="352" t="str">
        <f>+IF(AND($A1448&lt;&gt;"",LEN($B1448)&gt;=8,COUNTIF($B$6:$B1448,$B1448)=1),$W$5,"")</f>
        <v/>
      </c>
      <c r="X1448" s="329" t="str">
        <f t="shared" si="186"/>
        <v>LV</v>
      </c>
      <c r="Y1448" s="1128" t="s">
        <v>3380</v>
      </c>
      <c r="Z1448" s="1128" t="s">
        <v>3381</v>
      </c>
      <c r="AA1448" s="1128" t="s">
        <v>3384</v>
      </c>
      <c r="AC1448" s="73"/>
    </row>
    <row r="1449" spans="1:29" s="20" customFormat="1">
      <c r="A1449" s="327" t="str">
        <f>IF(AND($B1449&lt;&gt;"",$C1449&lt;&gt;""),MAX($A$4:A1448)+1,"")</f>
        <v/>
      </c>
      <c r="B1449" s="361" t="s">
        <v>2193</v>
      </c>
      <c r="C1449" s="364"/>
      <c r="D1449" s="327">
        <f>IF($B1449="","",COUNTIF($B$6:$B1449,$B1449))</f>
        <v>6</v>
      </c>
      <c r="E1449" s="361">
        <v>1111</v>
      </c>
      <c r="F1449" s="362" t="s">
        <v>1637</v>
      </c>
      <c r="G1449" s="361" t="s">
        <v>328</v>
      </c>
      <c r="H1449" s="325"/>
      <c r="I1449" s="327">
        <v>1</v>
      </c>
      <c r="J1449" s="361" t="s">
        <v>1717</v>
      </c>
      <c r="K1449" s="327" t="s">
        <v>531</v>
      </c>
      <c r="L1449" s="348">
        <f>982000*$L$1329</f>
        <v>0</v>
      </c>
      <c r="M1449" s="355"/>
      <c r="N1449" s="355" t="str">
        <f t="shared" si="182"/>
        <v>PR</v>
      </c>
      <c r="O1449" s="347"/>
      <c r="P1449" s="325"/>
      <c r="Q1449" s="351"/>
      <c r="R1449" s="351">
        <v>1.8</v>
      </c>
      <c r="S1449" s="351">
        <v>6</v>
      </c>
      <c r="T1449" s="351"/>
      <c r="U1449" s="329">
        <f>IF($N1449=$N$4,IFERROR(INDEX(DanhMuc!$E$154:$E$165,MATCH(MID($B1449,4,2),DanhMuc!$B$154:$B$165,0)),""),"")</f>
        <v>6000</v>
      </c>
      <c r="V1449" s="325"/>
      <c r="W1449" s="352" t="str">
        <f>+IF(AND($A1449&lt;&gt;"",LEN($B1449)&gt;=8,COUNTIF($B$6:$B1449,$B1449)=1),$W$5,"")</f>
        <v/>
      </c>
      <c r="X1449" s="329" t="str">
        <f t="shared" si="186"/>
        <v>LV</v>
      </c>
      <c r="Y1449" s="1128" t="s">
        <v>3380</v>
      </c>
      <c r="Z1449" s="1128" t="s">
        <v>3381</v>
      </c>
      <c r="AA1449" s="1128" t="s">
        <v>3384</v>
      </c>
      <c r="AC1449" s="73"/>
    </row>
    <row r="1450" spans="1:29" s="20" customFormat="1">
      <c r="A1450" s="327" t="str">
        <f>IF(AND($B1450&lt;&gt;"",$C1450&lt;&gt;""),MAX($A$4:A1449)+1,"")</f>
        <v/>
      </c>
      <c r="B1450" s="361" t="s">
        <v>2193</v>
      </c>
      <c r="C1450" s="364"/>
      <c r="D1450" s="327">
        <f>IF($B1450="","",COUNTIF($B$6:$B1450,$B1450))</f>
        <v>7</v>
      </c>
      <c r="E1450" s="361">
        <v>1126</v>
      </c>
      <c r="F1450" s="362" t="s">
        <v>1523</v>
      </c>
      <c r="G1450" s="361" t="s">
        <v>329</v>
      </c>
      <c r="H1450" s="325"/>
      <c r="I1450" s="327">
        <v>6</v>
      </c>
      <c r="J1450" s="361" t="s">
        <v>2196</v>
      </c>
      <c r="K1450" s="327" t="s">
        <v>531</v>
      </c>
      <c r="L1450" s="348">
        <f>177000*$L$1329</f>
        <v>0</v>
      </c>
      <c r="M1450" s="355"/>
      <c r="N1450" s="355" t="str">
        <f t="shared" si="182"/>
        <v>PR</v>
      </c>
      <c r="O1450" s="347">
        <v>12</v>
      </c>
      <c r="P1450" s="325"/>
      <c r="Q1450" s="351"/>
      <c r="R1450" s="351">
        <v>1.1000000000000001</v>
      </c>
      <c r="S1450" s="351">
        <v>6</v>
      </c>
      <c r="T1450" s="351"/>
      <c r="U1450" s="329">
        <f>IF($N1450=$N$4,IFERROR(INDEX(DanhMuc!$E$154:$E$165,MATCH(MID($B1450,4,2),DanhMuc!$B$154:$B$165,0)),""),"")</f>
        <v>6000</v>
      </c>
      <c r="V1450" s="325"/>
      <c r="W1450" s="352" t="str">
        <f>+IF(AND($A1450&lt;&gt;"",LEN($B1450)&gt;=8,COUNTIF($B$6:$B1450,$B1450)=1),$W$5,"")</f>
        <v/>
      </c>
      <c r="X1450" s="329" t="str">
        <f t="shared" si="186"/>
        <v>LV</v>
      </c>
      <c r="Y1450" s="1128" t="s">
        <v>3380</v>
      </c>
      <c r="Z1450" s="1128" t="s">
        <v>3381</v>
      </c>
      <c r="AA1450" s="1128" t="s">
        <v>3384</v>
      </c>
      <c r="AC1450" s="73"/>
    </row>
    <row r="1451" spans="1:29" s="20" customFormat="1">
      <c r="A1451" s="327" t="str">
        <f>IF(AND($B1451&lt;&gt;"",$C1451&lt;&gt;""),MAX($A$4:A1450)+1,"")</f>
        <v/>
      </c>
      <c r="B1451" s="361" t="s">
        <v>2193</v>
      </c>
      <c r="C1451" s="364"/>
      <c r="D1451" s="327">
        <f>IF($B1451="","",COUNTIF($B$6:$B1451,$B1451))</f>
        <v>8</v>
      </c>
      <c r="E1451" s="361">
        <v>1126</v>
      </c>
      <c r="F1451" s="362" t="s">
        <v>1523</v>
      </c>
      <c r="G1451" s="361" t="s">
        <v>328</v>
      </c>
      <c r="H1451" s="325"/>
      <c r="I1451" s="327">
        <v>6</v>
      </c>
      <c r="J1451" s="361" t="s">
        <v>1680</v>
      </c>
      <c r="K1451" s="327" t="s">
        <v>531</v>
      </c>
      <c r="L1451" s="348">
        <f>177000*$L$1329</f>
        <v>0</v>
      </c>
      <c r="M1451" s="355"/>
      <c r="N1451" s="355" t="str">
        <f t="shared" si="182"/>
        <v>PR</v>
      </c>
      <c r="O1451" s="347">
        <v>12</v>
      </c>
      <c r="P1451" s="325"/>
      <c r="Q1451" s="351"/>
      <c r="R1451" s="351">
        <v>1.1000000000000001</v>
      </c>
      <c r="S1451" s="351">
        <v>6</v>
      </c>
      <c r="T1451" s="351"/>
      <c r="U1451" s="329">
        <f>IF($N1451=$N$4,IFERROR(INDEX(DanhMuc!$E$154:$E$165,MATCH(MID($B1451,4,2),DanhMuc!$B$154:$B$165,0)),""),"")</f>
        <v>6000</v>
      </c>
      <c r="V1451" s="325"/>
      <c r="W1451" s="352" t="str">
        <f>+IF(AND($A1451&lt;&gt;"",LEN($B1451)&gt;=8,COUNTIF($B$6:$B1451,$B1451)=1),$W$5,"")</f>
        <v/>
      </c>
      <c r="X1451" s="329" t="str">
        <f t="shared" si="186"/>
        <v>LV</v>
      </c>
      <c r="Y1451" s="1128" t="s">
        <v>3380</v>
      </c>
      <c r="Z1451" s="1128" t="s">
        <v>3381</v>
      </c>
      <c r="AA1451" s="1128" t="s">
        <v>3384</v>
      </c>
      <c r="AC1451" s="73"/>
    </row>
    <row r="1452" spans="1:29" s="20" customFormat="1">
      <c r="A1452" s="327" t="str">
        <f>IF(AND($B1452&lt;&gt;"",$C1452&lt;&gt;""),MAX($A$4:A1451)+1,"")</f>
        <v/>
      </c>
      <c r="B1452" s="361" t="s">
        <v>2193</v>
      </c>
      <c r="C1452" s="364"/>
      <c r="D1452" s="327">
        <f>IF($B1452="","",COUNTIF($B$6:$B1452,$B1452))</f>
        <v>9</v>
      </c>
      <c r="E1452" s="361">
        <v>1127</v>
      </c>
      <c r="F1452" s="362" t="s">
        <v>1522</v>
      </c>
      <c r="G1452" s="361" t="s">
        <v>329</v>
      </c>
      <c r="H1452" s="325"/>
      <c r="I1452" s="327">
        <v>6</v>
      </c>
      <c r="J1452" s="361" t="s">
        <v>2196</v>
      </c>
      <c r="K1452" s="327" t="s">
        <v>531</v>
      </c>
      <c r="L1452" s="348">
        <f>200000*$L$1329</f>
        <v>0</v>
      </c>
      <c r="M1452" s="355"/>
      <c r="N1452" s="355" t="str">
        <f t="shared" si="182"/>
        <v>PR</v>
      </c>
      <c r="O1452" s="347">
        <v>11</v>
      </c>
      <c r="P1452" s="325"/>
      <c r="Q1452" s="351"/>
      <c r="R1452" s="351">
        <v>1.1000000000000001</v>
      </c>
      <c r="S1452" s="351">
        <v>6</v>
      </c>
      <c r="T1452" s="351"/>
      <c r="U1452" s="329">
        <f>IF($N1452=$N$4,IFERROR(INDEX(DanhMuc!$E$154:$E$165,MATCH(MID($B1452,4,2),DanhMuc!$B$154:$B$165,0)),""),"")</f>
        <v>6000</v>
      </c>
      <c r="V1452" s="325"/>
      <c r="W1452" s="352" t="str">
        <f>+IF(AND($A1452&lt;&gt;"",LEN($B1452)&gt;=8,COUNTIF($B$6:$B1452,$B1452)=1),$W$5,"")</f>
        <v/>
      </c>
      <c r="X1452" s="329" t="str">
        <f t="shared" si="186"/>
        <v>LV</v>
      </c>
      <c r="Y1452" s="1128" t="s">
        <v>3380</v>
      </c>
      <c r="Z1452" s="1128" t="s">
        <v>3381</v>
      </c>
      <c r="AA1452" s="1128" t="s">
        <v>3384</v>
      </c>
      <c r="AC1452" s="73"/>
    </row>
    <row r="1453" spans="1:29" s="20" customFormat="1">
      <c r="A1453" s="327" t="str">
        <f>IF(AND($B1453&lt;&gt;"",$C1453&lt;&gt;""),MAX($A$4:A1452)+1,"")</f>
        <v/>
      </c>
      <c r="B1453" s="361" t="s">
        <v>2193</v>
      </c>
      <c r="C1453" s="364"/>
      <c r="D1453" s="327">
        <f>IF($B1453="","",COUNTIF($B$6:$B1453,$B1453))</f>
        <v>10</v>
      </c>
      <c r="E1453" s="361">
        <v>1127</v>
      </c>
      <c r="F1453" s="362" t="s">
        <v>1522</v>
      </c>
      <c r="G1453" s="361" t="s">
        <v>328</v>
      </c>
      <c r="H1453" s="325"/>
      <c r="I1453" s="327">
        <v>6</v>
      </c>
      <c r="J1453" s="361" t="s">
        <v>1680</v>
      </c>
      <c r="K1453" s="327" t="s">
        <v>531</v>
      </c>
      <c r="L1453" s="348">
        <f>200000*$L$1329</f>
        <v>0</v>
      </c>
      <c r="M1453" s="355"/>
      <c r="N1453" s="355" t="str">
        <f t="shared" si="182"/>
        <v>PR</v>
      </c>
      <c r="O1453" s="347">
        <v>11</v>
      </c>
      <c r="P1453" s="325"/>
      <c r="Q1453" s="351"/>
      <c r="R1453" s="351">
        <v>1.1000000000000001</v>
      </c>
      <c r="S1453" s="351">
        <v>6</v>
      </c>
      <c r="T1453" s="351"/>
      <c r="U1453" s="329">
        <f>IF($N1453=$N$4,IFERROR(INDEX(DanhMuc!$E$154:$E$165,MATCH(MID($B1453,4,2),DanhMuc!$B$154:$B$165,0)),""),"")</f>
        <v>6000</v>
      </c>
      <c r="V1453" s="325"/>
      <c r="W1453" s="352" t="str">
        <f>+IF(AND($A1453&lt;&gt;"",LEN($B1453)&gt;=8,COUNTIF($B$6:$B1453,$B1453)=1),$W$5,"")</f>
        <v/>
      </c>
      <c r="X1453" s="329" t="str">
        <f t="shared" si="186"/>
        <v>LV</v>
      </c>
      <c r="Y1453" s="1128" t="s">
        <v>3380</v>
      </c>
      <c r="Z1453" s="1128" t="s">
        <v>3381</v>
      </c>
      <c r="AA1453" s="1128" t="s">
        <v>3384</v>
      </c>
      <c r="AC1453" s="73"/>
    </row>
    <row r="1454" spans="1:29" s="20" customFormat="1" ht="39">
      <c r="A1454" s="327">
        <f>IF(AND($B1454&lt;&gt;"",$C1454&lt;&gt;""),MAX($A$4:A1443)+1,"")</f>
        <v>104</v>
      </c>
      <c r="B1454" s="359" t="s">
        <v>1721</v>
      </c>
      <c r="C1454" s="370" t="s">
        <v>1720</v>
      </c>
      <c r="D1454" s="327">
        <f>IF($B1454="","",COUNTIF($B$6:$B1454,$B1454))</f>
        <v>1</v>
      </c>
      <c r="E1454" s="363">
        <v>1102</v>
      </c>
      <c r="F1454" s="362" t="s">
        <v>1677</v>
      </c>
      <c r="G1454" s="361" t="s">
        <v>329</v>
      </c>
      <c r="H1454" s="325"/>
      <c r="I1454" s="327">
        <v>2</v>
      </c>
      <c r="J1454" s="361" t="s">
        <v>81</v>
      </c>
      <c r="K1454" s="327" t="s">
        <v>516</v>
      </c>
      <c r="L1454" s="348">
        <f>957000*$L$1329</f>
        <v>0</v>
      </c>
      <c r="M1454" s="355"/>
      <c r="N1454" s="355" t="str">
        <f t="shared" si="182"/>
        <v>PR</v>
      </c>
      <c r="O1454" s="345"/>
      <c r="P1454" s="325"/>
      <c r="Q1454" s="351"/>
      <c r="R1454" s="351">
        <v>1.8</v>
      </c>
      <c r="S1454" s="351">
        <v>6</v>
      </c>
      <c r="T1454" s="351"/>
      <c r="U1454" s="329">
        <f>IF($N1454=$N$4,IFERROR(INDEX(DanhMuc!$E$154:$E$165,MATCH(MID($B1454,4,2),DanhMuc!$B$154:$B$165,0)),""),"")</f>
        <v>6000</v>
      </c>
      <c r="V1454" s="325"/>
      <c r="W1454" s="352" t="str">
        <f>+IF(AND($A1454&lt;&gt;"",LEN($B1454)&gt;=8,COUNTIF($B$6:$B1454,$B1454)=1),$W$5,"")</f>
        <v>DMCua</v>
      </c>
      <c r="X1454" s="329" t="str">
        <f t="shared" si="186"/>
        <v>LV</v>
      </c>
      <c r="Y1454" s="1128" t="s">
        <v>3380</v>
      </c>
      <c r="Z1454" s="1128" t="s">
        <v>3381</v>
      </c>
      <c r="AA1454" s="1128" t="s">
        <v>3384</v>
      </c>
      <c r="AC1454" s="73"/>
    </row>
    <row r="1455" spans="1:29" s="20" customFormat="1">
      <c r="A1455" s="327" t="str">
        <f>IF(AND($B1455&lt;&gt;"",$C1455&lt;&gt;""),MAX($A$4:A1454)+1,"")</f>
        <v/>
      </c>
      <c r="B1455" s="361" t="s">
        <v>1721</v>
      </c>
      <c r="C1455" s="364"/>
      <c r="D1455" s="327">
        <f>IF($B1455="","",COUNTIF($B$6:$B1455,$B1455))</f>
        <v>2</v>
      </c>
      <c r="E1455" s="363">
        <v>1102</v>
      </c>
      <c r="F1455" s="362" t="s">
        <v>1677</v>
      </c>
      <c r="G1455" s="361" t="s">
        <v>328</v>
      </c>
      <c r="H1455" s="325"/>
      <c r="I1455" s="327">
        <v>2</v>
      </c>
      <c r="J1455" s="361" t="s">
        <v>80</v>
      </c>
      <c r="K1455" s="327" t="s">
        <v>516</v>
      </c>
      <c r="L1455" s="348">
        <f>957000*$L$1329</f>
        <v>0</v>
      </c>
      <c r="M1455" s="355"/>
      <c r="N1455" s="355" t="str">
        <f t="shared" si="182"/>
        <v>PR</v>
      </c>
      <c r="O1455" s="347"/>
      <c r="P1455" s="325"/>
      <c r="Q1455" s="351"/>
      <c r="R1455" s="351">
        <v>1.8</v>
      </c>
      <c r="S1455" s="351">
        <v>6</v>
      </c>
      <c r="T1455" s="351"/>
      <c r="U1455" s="329">
        <f>IF($N1455=$N$4,IFERROR(INDEX(DanhMuc!$E$154:$E$165,MATCH(MID($B1455,4,2),DanhMuc!$B$154:$B$165,0)),""),"")</f>
        <v>6000</v>
      </c>
      <c r="V1455" s="325"/>
      <c r="W1455" s="352" t="str">
        <f>+IF(AND($A1455&lt;&gt;"",LEN($B1455)&gt;=8,COUNTIF($B$6:$B1455,$B1455)=1),$W$5,"")</f>
        <v/>
      </c>
      <c r="X1455" s="329" t="str">
        <f t="shared" si="186"/>
        <v>LV</v>
      </c>
      <c r="Y1455" s="1128" t="s">
        <v>3380</v>
      </c>
      <c r="Z1455" s="1128" t="s">
        <v>3381</v>
      </c>
      <c r="AA1455" s="1128" t="s">
        <v>3384</v>
      </c>
      <c r="AC1455" s="73"/>
    </row>
    <row r="1456" spans="1:29" s="20" customFormat="1">
      <c r="A1456" s="327" t="str">
        <f>IF(AND($B1456&lt;&gt;"",$C1456&lt;&gt;""),MAX($A$4:A1455)+1,"")</f>
        <v/>
      </c>
      <c r="B1456" s="361" t="s">
        <v>1721</v>
      </c>
      <c r="C1456" s="364"/>
      <c r="D1456" s="327">
        <f>IF($B1456="","",COUNTIF($B$6:$B1456,$B1456))</f>
        <v>3</v>
      </c>
      <c r="E1456" s="361">
        <v>1104</v>
      </c>
      <c r="F1456" s="362" t="s">
        <v>1678</v>
      </c>
      <c r="G1456" s="361" t="s">
        <v>329</v>
      </c>
      <c r="H1456" s="325"/>
      <c r="I1456" s="327">
        <v>8</v>
      </c>
      <c r="J1456" s="361" t="s">
        <v>1723</v>
      </c>
      <c r="K1456" s="327" t="s">
        <v>516</v>
      </c>
      <c r="L1456" s="348">
        <f>1052000*$L$1329</f>
        <v>0</v>
      </c>
      <c r="M1456" s="355"/>
      <c r="N1456" s="355" t="str">
        <f t="shared" si="182"/>
        <v>PR</v>
      </c>
      <c r="O1456" s="345"/>
      <c r="P1456" s="325"/>
      <c r="Q1456" s="351"/>
      <c r="R1456" s="351">
        <v>1.5</v>
      </c>
      <c r="S1456" s="351">
        <v>6</v>
      </c>
      <c r="T1456" s="351"/>
      <c r="U1456" s="329">
        <f>IF($N1456=$N$4,IFERROR(INDEX(DanhMuc!$E$154:$E$165,MATCH(MID($B1456,4,2),DanhMuc!$B$154:$B$165,0)),""),"")</f>
        <v>6000</v>
      </c>
      <c r="V1456" s="325"/>
      <c r="W1456" s="352" t="str">
        <f>+IF(AND($A1456&lt;&gt;"",LEN($B1456)&gt;=8,COUNTIF($B$6:$B1456,$B1456)=1),$W$5,"")</f>
        <v/>
      </c>
      <c r="X1456" s="329" t="str">
        <f t="shared" si="186"/>
        <v>LV</v>
      </c>
      <c r="Y1456" s="1128" t="s">
        <v>3380</v>
      </c>
      <c r="Z1456" s="1128" t="s">
        <v>3381</v>
      </c>
      <c r="AA1456" s="1128" t="s">
        <v>3384</v>
      </c>
      <c r="AC1456" s="73"/>
    </row>
    <row r="1457" spans="1:29" s="20" customFormat="1">
      <c r="A1457" s="327" t="str">
        <f>IF(AND($B1457&lt;&gt;"",$C1457&lt;&gt;""),MAX($A$4:A1456)+1,"")</f>
        <v/>
      </c>
      <c r="B1457" s="361" t="s">
        <v>1721</v>
      </c>
      <c r="C1457" s="364"/>
      <c r="D1457" s="327">
        <f>IF($B1457="","",COUNTIF($B$6:$B1457,$B1457))</f>
        <v>4</v>
      </c>
      <c r="E1457" s="361">
        <v>1104</v>
      </c>
      <c r="F1457" s="362" t="s">
        <v>1678</v>
      </c>
      <c r="G1457" s="361" t="s">
        <v>328</v>
      </c>
      <c r="H1457" s="325"/>
      <c r="I1457" s="327">
        <v>8</v>
      </c>
      <c r="J1457" s="361" t="s">
        <v>1679</v>
      </c>
      <c r="K1457" s="327" t="s">
        <v>516</v>
      </c>
      <c r="L1457" s="348">
        <f>1052000*$L$1329</f>
        <v>0</v>
      </c>
      <c r="M1457" s="355"/>
      <c r="N1457" s="355" t="str">
        <f t="shared" si="182"/>
        <v>PR</v>
      </c>
      <c r="O1457" s="345"/>
      <c r="P1457" s="325"/>
      <c r="Q1457" s="351"/>
      <c r="R1457" s="351">
        <v>1.5</v>
      </c>
      <c r="S1457" s="351">
        <v>6</v>
      </c>
      <c r="T1457" s="351"/>
      <c r="U1457" s="329">
        <f>IF($N1457=$N$4,IFERROR(INDEX(DanhMuc!$E$154:$E$165,MATCH(MID($B1457,4,2),DanhMuc!$B$154:$B$165,0)),""),"")</f>
        <v>6000</v>
      </c>
      <c r="V1457" s="325"/>
      <c r="W1457" s="352" t="str">
        <f>+IF(AND($A1457&lt;&gt;"",LEN($B1457)&gt;=8,COUNTIF($B$6:$B1457,$B1457)=1),$W$5,"")</f>
        <v/>
      </c>
      <c r="X1457" s="329" t="str">
        <f t="shared" si="186"/>
        <v>LV</v>
      </c>
      <c r="Y1457" s="1128" t="s">
        <v>3380</v>
      </c>
      <c r="Z1457" s="1128" t="s">
        <v>3381</v>
      </c>
      <c r="AA1457" s="1128" t="s">
        <v>3384</v>
      </c>
      <c r="AC1457" s="73"/>
    </row>
    <row r="1458" spans="1:29" s="20" customFormat="1">
      <c r="A1458" s="327" t="str">
        <f>IF(AND($B1458&lt;&gt;"",$C1458&lt;&gt;""),MAX($A$4:A1457)+1,"")</f>
        <v/>
      </c>
      <c r="B1458" s="361" t="s">
        <v>1721</v>
      </c>
      <c r="C1458" s="364"/>
      <c r="D1458" s="327">
        <f>IF($B1458="","",COUNTIF($B$6:$B1458,$B1458))</f>
        <v>5</v>
      </c>
      <c r="E1458" s="361">
        <v>1103</v>
      </c>
      <c r="F1458" s="362" t="s">
        <v>1722</v>
      </c>
      <c r="G1458" s="361" t="s">
        <v>328</v>
      </c>
      <c r="H1458" s="325"/>
      <c r="I1458" s="327">
        <v>2</v>
      </c>
      <c r="J1458" s="361" t="s">
        <v>768</v>
      </c>
      <c r="K1458" s="327" t="s">
        <v>531</v>
      </c>
      <c r="L1458" s="348">
        <f>1165000*$L$1329</f>
        <v>0</v>
      </c>
      <c r="M1458" s="355"/>
      <c r="N1458" s="355" t="str">
        <f t="shared" si="182"/>
        <v>PR</v>
      </c>
      <c r="O1458" s="347"/>
      <c r="P1458" s="325"/>
      <c r="Q1458" s="351"/>
      <c r="R1458" s="351">
        <v>1.8</v>
      </c>
      <c r="S1458" s="351">
        <v>6</v>
      </c>
      <c r="T1458" s="351"/>
      <c r="U1458" s="329">
        <f>IF($N1458=$N$4,IFERROR(INDEX(DanhMuc!$E$154:$E$165,MATCH(MID($B1458,4,2),DanhMuc!$B$154:$B$165,0)),""),"")</f>
        <v>6000</v>
      </c>
      <c r="V1458" s="325"/>
      <c r="W1458" s="352" t="str">
        <f>+IF(AND($A1458&lt;&gt;"",LEN($B1458)&gt;=8,COUNTIF($B$6:$B1458,$B1458)=1),$W$5,"")</f>
        <v/>
      </c>
      <c r="X1458" s="329" t="str">
        <f t="shared" si="186"/>
        <v>LV</v>
      </c>
      <c r="Y1458" s="1128" t="s">
        <v>3380</v>
      </c>
      <c r="Z1458" s="1128" t="s">
        <v>3381</v>
      </c>
      <c r="AA1458" s="1128" t="s">
        <v>3384</v>
      </c>
      <c r="AC1458" s="73"/>
    </row>
    <row r="1459" spans="1:29" s="20" customFormat="1">
      <c r="A1459" s="327" t="str">
        <f>IF(AND($B1459&lt;&gt;"",$C1459&lt;&gt;""),MAX($A$4:A1458)+1,"")</f>
        <v/>
      </c>
      <c r="B1459" s="361" t="s">
        <v>1721</v>
      </c>
      <c r="C1459" s="364"/>
      <c r="D1459" s="327">
        <f>IF($B1459="","",COUNTIF($B$6:$B1459,$B1459))</f>
        <v>6</v>
      </c>
      <c r="E1459" s="361">
        <v>1111</v>
      </c>
      <c r="F1459" s="362" t="s">
        <v>1637</v>
      </c>
      <c r="G1459" s="361" t="s">
        <v>328</v>
      </c>
      <c r="H1459" s="325"/>
      <c r="I1459" s="327">
        <v>1</v>
      </c>
      <c r="J1459" s="361" t="s">
        <v>1717</v>
      </c>
      <c r="K1459" s="327" t="s">
        <v>531</v>
      </c>
      <c r="L1459" s="348">
        <f>982000*$L$1329</f>
        <v>0</v>
      </c>
      <c r="M1459" s="355"/>
      <c r="N1459" s="355" t="str">
        <f t="shared" si="182"/>
        <v>PR</v>
      </c>
      <c r="O1459" s="347"/>
      <c r="P1459" s="325"/>
      <c r="Q1459" s="351"/>
      <c r="R1459" s="351">
        <v>1.8</v>
      </c>
      <c r="S1459" s="351">
        <v>6</v>
      </c>
      <c r="T1459" s="351"/>
      <c r="U1459" s="329">
        <f>IF($N1459=$N$4,IFERROR(INDEX(DanhMuc!$E$154:$E$165,MATCH(MID($B1459,4,2),DanhMuc!$B$154:$B$165,0)),""),"")</f>
        <v>6000</v>
      </c>
      <c r="V1459" s="325"/>
      <c r="W1459" s="352" t="str">
        <f>+IF(AND($A1459&lt;&gt;"",LEN($B1459)&gt;=8,COUNTIF($B$6:$B1459,$B1459)=1),$W$5,"")</f>
        <v/>
      </c>
      <c r="X1459" s="329" t="str">
        <f t="shared" si="186"/>
        <v>LV</v>
      </c>
      <c r="Y1459" s="1128" t="s">
        <v>3380</v>
      </c>
      <c r="Z1459" s="1128" t="s">
        <v>3381</v>
      </c>
      <c r="AA1459" s="1128" t="s">
        <v>3384</v>
      </c>
      <c r="AC1459" s="73"/>
    </row>
    <row r="1460" spans="1:29" s="20" customFormat="1">
      <c r="A1460" s="327" t="str">
        <f>IF(AND($B1460&lt;&gt;"",$C1460&lt;&gt;""),MAX($A$4:A1459)+1,"")</f>
        <v/>
      </c>
      <c r="B1460" s="361" t="s">
        <v>1721</v>
      </c>
      <c r="C1460" s="364"/>
      <c r="D1460" s="327">
        <f>IF($B1460="","",COUNTIF($B$6:$B1460,$B1460))</f>
        <v>7</v>
      </c>
      <c r="E1460" s="361">
        <v>1126</v>
      </c>
      <c r="F1460" s="362" t="s">
        <v>1523</v>
      </c>
      <c r="G1460" s="361" t="s">
        <v>329</v>
      </c>
      <c r="H1460" s="325"/>
      <c r="I1460" s="327">
        <v>8</v>
      </c>
      <c r="J1460" s="361" t="s">
        <v>1724</v>
      </c>
      <c r="K1460" s="327" t="s">
        <v>531</v>
      </c>
      <c r="L1460" s="348">
        <f>177000*$L$1329</f>
        <v>0</v>
      </c>
      <c r="M1460" s="355"/>
      <c r="N1460" s="355" t="str">
        <f t="shared" si="182"/>
        <v>PR</v>
      </c>
      <c r="O1460" s="347">
        <v>12</v>
      </c>
      <c r="P1460" s="325"/>
      <c r="Q1460" s="351"/>
      <c r="R1460" s="351">
        <v>1.1000000000000001</v>
      </c>
      <c r="S1460" s="351">
        <v>6</v>
      </c>
      <c r="T1460" s="351"/>
      <c r="U1460" s="329">
        <f>IF($N1460=$N$4,IFERROR(INDEX(DanhMuc!$E$154:$E$165,MATCH(MID($B1460,4,2),DanhMuc!$B$154:$B$165,0)),""),"")</f>
        <v>6000</v>
      </c>
      <c r="V1460" s="325"/>
      <c r="W1460" s="352" t="str">
        <f>+IF(AND($A1460&lt;&gt;"",LEN($B1460)&gt;=8,COUNTIF($B$6:$B1460,$B1460)=1),$W$5,"")</f>
        <v/>
      </c>
      <c r="X1460" s="329" t="str">
        <f t="shared" si="186"/>
        <v>LV</v>
      </c>
      <c r="Y1460" s="1128" t="s">
        <v>3380</v>
      </c>
      <c r="Z1460" s="1128" t="s">
        <v>3381</v>
      </c>
      <c r="AA1460" s="1128" t="s">
        <v>3384</v>
      </c>
      <c r="AC1460" s="73"/>
    </row>
    <row r="1461" spans="1:29" s="20" customFormat="1">
      <c r="A1461" s="327" t="str">
        <f>IF(AND($B1461&lt;&gt;"",$C1461&lt;&gt;""),MAX($A$4:A1460)+1,"")</f>
        <v/>
      </c>
      <c r="B1461" s="361" t="s">
        <v>1721</v>
      </c>
      <c r="C1461" s="364"/>
      <c r="D1461" s="327">
        <f>IF($B1461="","",COUNTIF($B$6:$B1461,$B1461))</f>
        <v>8</v>
      </c>
      <c r="E1461" s="361">
        <v>1126</v>
      </c>
      <c r="F1461" s="362" t="s">
        <v>1523</v>
      </c>
      <c r="G1461" s="361" t="s">
        <v>328</v>
      </c>
      <c r="H1461" s="325"/>
      <c r="I1461" s="327">
        <v>8</v>
      </c>
      <c r="J1461" s="361" t="s">
        <v>1680</v>
      </c>
      <c r="K1461" s="327" t="s">
        <v>531</v>
      </c>
      <c r="L1461" s="348">
        <f>177000*$L$1329</f>
        <v>0</v>
      </c>
      <c r="M1461" s="355"/>
      <c r="N1461" s="355" t="str">
        <f t="shared" si="182"/>
        <v>PR</v>
      </c>
      <c r="O1461" s="347">
        <v>12</v>
      </c>
      <c r="P1461" s="325"/>
      <c r="Q1461" s="351"/>
      <c r="R1461" s="351">
        <v>1.1000000000000001</v>
      </c>
      <c r="S1461" s="351">
        <v>6</v>
      </c>
      <c r="T1461" s="351"/>
      <c r="U1461" s="329">
        <f>IF($N1461=$N$4,IFERROR(INDEX(DanhMuc!$E$154:$E$165,MATCH(MID($B1461,4,2),DanhMuc!$B$154:$B$165,0)),""),"")</f>
        <v>6000</v>
      </c>
      <c r="V1461" s="325"/>
      <c r="W1461" s="352" t="str">
        <f>+IF(AND($A1461&lt;&gt;"",LEN($B1461)&gt;=8,COUNTIF($B$6:$B1461,$B1461)=1),$W$5,"")</f>
        <v/>
      </c>
      <c r="X1461" s="329" t="str">
        <f t="shared" si="186"/>
        <v>LV</v>
      </c>
      <c r="Y1461" s="1128" t="s">
        <v>3380</v>
      </c>
      <c r="Z1461" s="1128" t="s">
        <v>3381</v>
      </c>
      <c r="AA1461" s="1128" t="s">
        <v>3384</v>
      </c>
      <c r="AC1461" s="73"/>
    </row>
    <row r="1462" spans="1:29" s="20" customFormat="1">
      <c r="A1462" s="327" t="str">
        <f>IF(AND($B1462&lt;&gt;"",$C1462&lt;&gt;""),MAX($A$4:A1461)+1,"")</f>
        <v/>
      </c>
      <c r="B1462" s="361" t="s">
        <v>1721</v>
      </c>
      <c r="C1462" s="364"/>
      <c r="D1462" s="327">
        <f>IF($B1462="","",COUNTIF($B$6:$B1462,$B1462))</f>
        <v>9</v>
      </c>
      <c r="E1462" s="361">
        <v>1127</v>
      </c>
      <c r="F1462" s="362" t="s">
        <v>1522</v>
      </c>
      <c r="G1462" s="361" t="s">
        <v>329</v>
      </c>
      <c r="H1462" s="325"/>
      <c r="I1462" s="327">
        <v>8</v>
      </c>
      <c r="J1462" s="361" t="s">
        <v>1724</v>
      </c>
      <c r="K1462" s="327" t="s">
        <v>531</v>
      </c>
      <c r="L1462" s="348">
        <f>200000*$L$1329</f>
        <v>0</v>
      </c>
      <c r="M1462" s="355"/>
      <c r="N1462" s="355" t="str">
        <f t="shared" ref="N1462:N1517" si="187">+$N$4</f>
        <v>PR</v>
      </c>
      <c r="O1462" s="347">
        <v>11</v>
      </c>
      <c r="P1462" s="325"/>
      <c r="Q1462" s="351"/>
      <c r="R1462" s="351">
        <v>1.1000000000000001</v>
      </c>
      <c r="S1462" s="351">
        <v>6</v>
      </c>
      <c r="T1462" s="351"/>
      <c r="U1462" s="329">
        <f>IF($N1462=$N$4,IFERROR(INDEX(DanhMuc!$E$154:$E$165,MATCH(MID($B1462,4,2),DanhMuc!$B$154:$B$165,0)),""),"")</f>
        <v>6000</v>
      </c>
      <c r="V1462" s="325"/>
      <c r="W1462" s="352" t="str">
        <f>+IF(AND($A1462&lt;&gt;"",LEN($B1462)&gt;=8,COUNTIF($B$6:$B1462,$B1462)=1),$W$5,"")</f>
        <v/>
      </c>
      <c r="X1462" s="329" t="str">
        <f t="shared" si="186"/>
        <v>LV</v>
      </c>
      <c r="Y1462" s="1128" t="s">
        <v>3380</v>
      </c>
      <c r="Z1462" s="1128" t="s">
        <v>3381</v>
      </c>
      <c r="AA1462" s="1128" t="s">
        <v>3384</v>
      </c>
      <c r="AC1462" s="73"/>
    </row>
    <row r="1463" spans="1:29" s="20" customFormat="1">
      <c r="A1463" s="327" t="str">
        <f>IF(AND($B1463&lt;&gt;"",$C1463&lt;&gt;""),MAX($A$4:A1462)+1,"")</f>
        <v/>
      </c>
      <c r="B1463" s="361" t="s">
        <v>1721</v>
      </c>
      <c r="C1463" s="364"/>
      <c r="D1463" s="327">
        <f>IF($B1463="","",COUNTIF($B$6:$B1463,$B1463))</f>
        <v>10</v>
      </c>
      <c r="E1463" s="361">
        <v>1127</v>
      </c>
      <c r="F1463" s="362" t="s">
        <v>1522</v>
      </c>
      <c r="G1463" s="361" t="s">
        <v>328</v>
      </c>
      <c r="H1463" s="325"/>
      <c r="I1463" s="327">
        <v>8</v>
      </c>
      <c r="J1463" s="361" t="s">
        <v>1680</v>
      </c>
      <c r="K1463" s="327" t="s">
        <v>531</v>
      </c>
      <c r="L1463" s="348">
        <f>200000*$L$1329</f>
        <v>0</v>
      </c>
      <c r="M1463" s="355"/>
      <c r="N1463" s="355" t="str">
        <f t="shared" si="187"/>
        <v>PR</v>
      </c>
      <c r="O1463" s="347">
        <v>11</v>
      </c>
      <c r="P1463" s="325"/>
      <c r="Q1463" s="351"/>
      <c r="R1463" s="351">
        <v>1.1000000000000001</v>
      </c>
      <c r="S1463" s="351">
        <v>6</v>
      </c>
      <c r="T1463" s="351"/>
      <c r="U1463" s="329">
        <f>IF($N1463=$N$4,IFERROR(INDEX(DanhMuc!$E$154:$E$165,MATCH(MID($B1463,4,2),DanhMuc!$B$154:$B$165,0)),""),"")</f>
        <v>6000</v>
      </c>
      <c r="V1463" s="325"/>
      <c r="W1463" s="352" t="str">
        <f>+IF(AND($A1463&lt;&gt;"",LEN($B1463)&gt;=8,COUNTIF($B$6:$B1463,$B1463)=1),$W$5,"")</f>
        <v/>
      </c>
      <c r="X1463" s="329" t="str">
        <f t="shared" si="186"/>
        <v>LV</v>
      </c>
      <c r="Y1463" s="1128" t="s">
        <v>3380</v>
      </c>
      <c r="Z1463" s="1128" t="s">
        <v>3381</v>
      </c>
      <c r="AA1463" s="1128" t="s">
        <v>3384</v>
      </c>
      <c r="AC1463" s="73"/>
    </row>
    <row r="1464" spans="1:29" s="20" customFormat="1" ht="39">
      <c r="A1464" s="327">
        <f>IF(AND($B1464&lt;&gt;"",$C1464&lt;&gt;""),MAX($A$4:A1463)+1,"")</f>
        <v>105</v>
      </c>
      <c r="B1464" s="359" t="s">
        <v>1727</v>
      </c>
      <c r="C1464" s="370" t="s">
        <v>1729</v>
      </c>
      <c r="D1464" s="327">
        <f>IF($B1464="","",COUNTIF($B$6:$B1464,$B1464))</f>
        <v>1</v>
      </c>
      <c r="E1464" s="363">
        <v>1102</v>
      </c>
      <c r="F1464" s="362" t="s">
        <v>1677</v>
      </c>
      <c r="G1464" s="361" t="s">
        <v>329</v>
      </c>
      <c r="H1464" s="325"/>
      <c r="I1464" s="327">
        <v>2</v>
      </c>
      <c r="J1464" s="361" t="s">
        <v>81</v>
      </c>
      <c r="K1464" s="327" t="s">
        <v>516</v>
      </c>
      <c r="L1464" s="348">
        <f>957000*$L$1329</f>
        <v>0</v>
      </c>
      <c r="M1464" s="355"/>
      <c r="N1464" s="355" t="str">
        <f t="shared" si="187"/>
        <v>PR</v>
      </c>
      <c r="O1464" s="345"/>
      <c r="P1464" s="325"/>
      <c r="Q1464" s="351"/>
      <c r="R1464" s="351">
        <v>1.8</v>
      </c>
      <c r="S1464" s="351">
        <v>6</v>
      </c>
      <c r="T1464" s="351"/>
      <c r="U1464" s="329">
        <f>IF($N1464=$N$4,IFERROR(INDEX(DanhMuc!$E$154:$E$165,MATCH(MID($B1464,4,2),DanhMuc!$B$154:$B$165,0)),""),"")</f>
        <v>6000</v>
      </c>
      <c r="V1464" s="325"/>
      <c r="W1464" s="352" t="str">
        <f>+IF(AND($A1464&lt;&gt;"",LEN($B1464)&gt;=8,COUNTIF($B$6:$B1464,$B1464)=1),$W$5,"")</f>
        <v>DMCua</v>
      </c>
      <c r="X1464" s="329" t="str">
        <f t="shared" si="186"/>
        <v>LV</v>
      </c>
      <c r="Y1464" s="1128" t="s">
        <v>3380</v>
      </c>
      <c r="Z1464" s="1128" t="s">
        <v>3381</v>
      </c>
      <c r="AA1464" s="1128" t="s">
        <v>3384</v>
      </c>
      <c r="AC1464" s="73"/>
    </row>
    <row r="1465" spans="1:29" s="20" customFormat="1">
      <c r="A1465" s="327" t="str">
        <f>IF(AND($B1465&lt;&gt;"",$C1465&lt;&gt;""),MAX($A$4:A1464)+1,"")</f>
        <v/>
      </c>
      <c r="B1465" s="361" t="s">
        <v>1727</v>
      </c>
      <c r="C1465" s="364"/>
      <c r="D1465" s="327">
        <f>IF($B1465="","",COUNTIF($B$6:$B1465,$B1465))</f>
        <v>2</v>
      </c>
      <c r="E1465" s="363">
        <v>1102</v>
      </c>
      <c r="F1465" s="362" t="s">
        <v>1677</v>
      </c>
      <c r="G1465" s="361" t="s">
        <v>328</v>
      </c>
      <c r="H1465" s="325"/>
      <c r="I1465" s="327">
        <v>2</v>
      </c>
      <c r="J1465" s="361" t="s">
        <v>80</v>
      </c>
      <c r="K1465" s="327" t="s">
        <v>516</v>
      </c>
      <c r="L1465" s="348">
        <f>957000*$L$1329</f>
        <v>0</v>
      </c>
      <c r="M1465" s="355"/>
      <c r="N1465" s="355" t="str">
        <f t="shared" si="187"/>
        <v>PR</v>
      </c>
      <c r="O1465" s="347"/>
      <c r="P1465" s="325"/>
      <c r="Q1465" s="351"/>
      <c r="R1465" s="351">
        <v>1.8</v>
      </c>
      <c r="S1465" s="351">
        <v>6</v>
      </c>
      <c r="T1465" s="351"/>
      <c r="U1465" s="329">
        <f>IF($N1465=$N$4,IFERROR(INDEX(DanhMuc!$E$154:$E$165,MATCH(MID($B1465,4,2),DanhMuc!$B$154:$B$165,0)),""),"")</f>
        <v>6000</v>
      </c>
      <c r="V1465" s="325"/>
      <c r="W1465" s="352" t="str">
        <f>+IF(AND($A1465&lt;&gt;"",LEN($B1465)&gt;=8,COUNTIF($B$6:$B1465,$B1465)=1),$W$5,"")</f>
        <v/>
      </c>
      <c r="X1465" s="329" t="str">
        <f t="shared" si="186"/>
        <v>LV</v>
      </c>
      <c r="Y1465" s="1128" t="s">
        <v>3380</v>
      </c>
      <c r="Z1465" s="1128" t="s">
        <v>3381</v>
      </c>
      <c r="AA1465" s="1128" t="s">
        <v>3384</v>
      </c>
      <c r="AC1465" s="73"/>
    </row>
    <row r="1466" spans="1:29" s="20" customFormat="1">
      <c r="A1466" s="327" t="str">
        <f>IF(AND($B1466&lt;&gt;"",$C1466&lt;&gt;""),MAX($A$4:A1465)+1,"")</f>
        <v/>
      </c>
      <c r="B1466" s="361" t="s">
        <v>1727</v>
      </c>
      <c r="C1466" s="364"/>
      <c r="D1466" s="327">
        <f>IF($B1466="","",COUNTIF($B$6:$B1466,$B1466))</f>
        <v>3</v>
      </c>
      <c r="E1466" s="361">
        <v>1104</v>
      </c>
      <c r="F1466" s="362" t="s">
        <v>1678</v>
      </c>
      <c r="G1466" s="361" t="s">
        <v>329</v>
      </c>
      <c r="H1466" s="325"/>
      <c r="I1466" s="327">
        <v>2</v>
      </c>
      <c r="J1466" s="361" t="s">
        <v>1524</v>
      </c>
      <c r="K1466" s="327" t="s">
        <v>516</v>
      </c>
      <c r="L1466" s="348">
        <f>1052000*$L$1329</f>
        <v>0</v>
      </c>
      <c r="M1466" s="355"/>
      <c r="N1466" s="355" t="str">
        <f t="shared" si="187"/>
        <v>PR</v>
      </c>
      <c r="O1466" s="345"/>
      <c r="P1466" s="325"/>
      <c r="Q1466" s="351"/>
      <c r="R1466" s="351">
        <v>1.5</v>
      </c>
      <c r="S1466" s="351">
        <v>6</v>
      </c>
      <c r="T1466" s="351"/>
      <c r="U1466" s="329">
        <f>IF($N1466=$N$4,IFERROR(INDEX(DanhMuc!$E$154:$E$165,MATCH(MID($B1466,4,2),DanhMuc!$B$154:$B$165,0)),""),"")</f>
        <v>6000</v>
      </c>
      <c r="V1466" s="325"/>
      <c r="W1466" s="352" t="str">
        <f>+IF(AND($A1466&lt;&gt;"",LEN($B1466)&gt;=8,COUNTIF($B$6:$B1466,$B1466)=1),$W$5,"")</f>
        <v/>
      </c>
      <c r="X1466" s="329" t="str">
        <f t="shared" si="186"/>
        <v>LV</v>
      </c>
      <c r="Y1466" s="1128" t="s">
        <v>3380</v>
      </c>
      <c r="Z1466" s="1128" t="s">
        <v>3381</v>
      </c>
      <c r="AA1466" s="1128" t="s">
        <v>3384</v>
      </c>
      <c r="AC1466" s="73"/>
    </row>
    <row r="1467" spans="1:29" s="20" customFormat="1">
      <c r="A1467" s="327" t="str">
        <f>IF(AND($B1467&lt;&gt;"",$C1467&lt;&gt;""),MAX($A$4:A1466)+1,"")</f>
        <v/>
      </c>
      <c r="B1467" s="361" t="s">
        <v>1727</v>
      </c>
      <c r="C1467" s="364"/>
      <c r="D1467" s="327">
        <f>IF($B1467="","",COUNTIF($B$6:$B1467,$B1467))</f>
        <v>4</v>
      </c>
      <c r="E1467" s="361">
        <v>1104</v>
      </c>
      <c r="F1467" s="362" t="s">
        <v>1678</v>
      </c>
      <c r="G1467" s="361" t="s">
        <v>328</v>
      </c>
      <c r="H1467" s="325"/>
      <c r="I1467" s="327">
        <v>2</v>
      </c>
      <c r="J1467" s="361" t="s">
        <v>1679</v>
      </c>
      <c r="K1467" s="327" t="s">
        <v>516</v>
      </c>
      <c r="L1467" s="348">
        <f>1052000*$L$1329</f>
        <v>0</v>
      </c>
      <c r="M1467" s="355"/>
      <c r="N1467" s="355" t="str">
        <f t="shared" si="187"/>
        <v>PR</v>
      </c>
      <c r="O1467" s="345"/>
      <c r="P1467" s="325"/>
      <c r="Q1467" s="351"/>
      <c r="R1467" s="351">
        <v>1.5</v>
      </c>
      <c r="S1467" s="351">
        <v>6</v>
      </c>
      <c r="T1467" s="351"/>
      <c r="U1467" s="329">
        <f>IF($N1467=$N$4,IFERROR(INDEX(DanhMuc!$E$154:$E$165,MATCH(MID($B1467,4,2),DanhMuc!$B$154:$B$165,0)),""),"")</f>
        <v>6000</v>
      </c>
      <c r="V1467" s="325"/>
      <c r="W1467" s="352" t="str">
        <f>+IF(AND($A1467&lt;&gt;"",LEN($B1467)&gt;=8,COUNTIF($B$6:$B1467,$B1467)=1),$W$5,"")</f>
        <v/>
      </c>
      <c r="X1467" s="329" t="str">
        <f t="shared" si="186"/>
        <v>LV</v>
      </c>
      <c r="Y1467" s="1128" t="s">
        <v>3380</v>
      </c>
      <c r="Z1467" s="1128" t="s">
        <v>3381</v>
      </c>
      <c r="AA1467" s="1128" t="s">
        <v>3384</v>
      </c>
      <c r="AC1467" s="73"/>
    </row>
    <row r="1468" spans="1:29" s="20" customFormat="1">
      <c r="A1468" s="327" t="str">
        <f>IF(AND($B1468&lt;&gt;"",$C1468&lt;&gt;""),MAX($A$4:A1467)+1,"")</f>
        <v/>
      </c>
      <c r="B1468" s="361" t="s">
        <v>1727</v>
      </c>
      <c r="C1468" s="364"/>
      <c r="D1468" s="327">
        <f>IF($B1468="","",COUNTIF($B$6:$B1468,$B1468))</f>
        <v>5</v>
      </c>
      <c r="E1468" s="361">
        <v>1126</v>
      </c>
      <c r="F1468" s="362" t="s">
        <v>1523</v>
      </c>
      <c r="G1468" s="361" t="s">
        <v>329</v>
      </c>
      <c r="H1468" s="325"/>
      <c r="I1468" s="327">
        <v>2</v>
      </c>
      <c r="J1468" s="361" t="s">
        <v>1681</v>
      </c>
      <c r="K1468" s="327" t="s">
        <v>531</v>
      </c>
      <c r="L1468" s="348">
        <f>177000*$L$1329</f>
        <v>0</v>
      </c>
      <c r="M1468" s="355"/>
      <c r="N1468" s="355" t="str">
        <f t="shared" si="187"/>
        <v>PR</v>
      </c>
      <c r="O1468" s="347">
        <v>12</v>
      </c>
      <c r="P1468" s="325"/>
      <c r="Q1468" s="351"/>
      <c r="R1468" s="351">
        <v>1.1000000000000001</v>
      </c>
      <c r="S1468" s="351">
        <v>6</v>
      </c>
      <c r="T1468" s="351"/>
      <c r="U1468" s="329">
        <f>IF($N1468=$N$4,IFERROR(INDEX(DanhMuc!$E$154:$E$165,MATCH(MID($B1468,4,2),DanhMuc!$B$154:$B$165,0)),""),"")</f>
        <v>6000</v>
      </c>
      <c r="V1468" s="325"/>
      <c r="W1468" s="352" t="str">
        <f>+IF(AND($A1468&lt;&gt;"",LEN($B1468)&gt;=8,COUNTIF($B$6:$B1468,$B1468)=1),$W$5,"")</f>
        <v/>
      </c>
      <c r="X1468" s="329" t="str">
        <f t="shared" si="186"/>
        <v>LV</v>
      </c>
      <c r="Y1468" s="1128" t="s">
        <v>3380</v>
      </c>
      <c r="Z1468" s="1128" t="s">
        <v>3381</v>
      </c>
      <c r="AA1468" s="1128" t="s">
        <v>3384</v>
      </c>
      <c r="AC1468" s="73"/>
    </row>
    <row r="1469" spans="1:29" s="20" customFormat="1">
      <c r="A1469" s="327" t="str">
        <f>IF(AND($B1469&lt;&gt;"",$C1469&lt;&gt;""),MAX($A$4:A1468)+1,"")</f>
        <v/>
      </c>
      <c r="B1469" s="361" t="s">
        <v>1727</v>
      </c>
      <c r="C1469" s="364"/>
      <c r="D1469" s="327">
        <f>IF($B1469="","",COUNTIF($B$6:$B1469,$B1469))</f>
        <v>6</v>
      </c>
      <c r="E1469" s="361">
        <v>1126</v>
      </c>
      <c r="F1469" s="362" t="s">
        <v>1523</v>
      </c>
      <c r="G1469" s="361" t="s">
        <v>328</v>
      </c>
      <c r="H1469" s="325"/>
      <c r="I1469" s="327">
        <v>2</v>
      </c>
      <c r="J1469" s="361" t="s">
        <v>1680</v>
      </c>
      <c r="K1469" s="327" t="s">
        <v>531</v>
      </c>
      <c r="L1469" s="348">
        <f>177000*$L$1329</f>
        <v>0</v>
      </c>
      <c r="M1469" s="355"/>
      <c r="N1469" s="355" t="str">
        <f t="shared" si="187"/>
        <v>PR</v>
      </c>
      <c r="O1469" s="347">
        <v>12</v>
      </c>
      <c r="P1469" s="325"/>
      <c r="Q1469" s="351"/>
      <c r="R1469" s="351">
        <v>1.1000000000000001</v>
      </c>
      <c r="S1469" s="351">
        <v>6</v>
      </c>
      <c r="T1469" s="351"/>
      <c r="U1469" s="329">
        <f>IF($N1469=$N$4,IFERROR(INDEX(DanhMuc!$E$154:$E$165,MATCH(MID($B1469,4,2),DanhMuc!$B$154:$B$165,0)),""),"")</f>
        <v>6000</v>
      </c>
      <c r="V1469" s="325"/>
      <c r="W1469" s="352" t="str">
        <f>+IF(AND($A1469&lt;&gt;"",LEN($B1469)&gt;=8,COUNTIF($B$6:$B1469,$B1469)=1),$W$5,"")</f>
        <v/>
      </c>
      <c r="X1469" s="329" t="str">
        <f t="shared" si="186"/>
        <v>LV</v>
      </c>
      <c r="Y1469" s="1128" t="s">
        <v>3380</v>
      </c>
      <c r="Z1469" s="1128" t="s">
        <v>3381</v>
      </c>
      <c r="AA1469" s="1128" t="s">
        <v>3384</v>
      </c>
      <c r="AC1469" s="73"/>
    </row>
    <row r="1470" spans="1:29" s="20" customFormat="1">
      <c r="A1470" s="327" t="str">
        <f>IF(AND($B1470&lt;&gt;"",$C1470&lt;&gt;""),MAX($A$4:A1469)+1,"")</f>
        <v/>
      </c>
      <c r="B1470" s="361" t="s">
        <v>1727</v>
      </c>
      <c r="C1470" s="364"/>
      <c r="D1470" s="327">
        <f>IF($B1470="","",COUNTIF($B$6:$B1470,$B1470))</f>
        <v>7</v>
      </c>
      <c r="E1470" s="361">
        <v>1127</v>
      </c>
      <c r="F1470" s="362" t="s">
        <v>1522</v>
      </c>
      <c r="G1470" s="361" t="s">
        <v>329</v>
      </c>
      <c r="H1470" s="325"/>
      <c r="I1470" s="327">
        <v>2</v>
      </c>
      <c r="J1470" s="361" t="s">
        <v>1681</v>
      </c>
      <c r="K1470" s="327" t="s">
        <v>531</v>
      </c>
      <c r="L1470" s="348">
        <f>200000*$L$1329</f>
        <v>0</v>
      </c>
      <c r="M1470" s="355"/>
      <c r="N1470" s="355" t="str">
        <f t="shared" si="187"/>
        <v>PR</v>
      </c>
      <c r="O1470" s="347">
        <v>11</v>
      </c>
      <c r="P1470" s="325"/>
      <c r="Q1470" s="351"/>
      <c r="R1470" s="351">
        <v>1.1000000000000001</v>
      </c>
      <c r="S1470" s="351">
        <v>6</v>
      </c>
      <c r="T1470" s="351"/>
      <c r="U1470" s="329">
        <f>IF($N1470=$N$4,IFERROR(INDEX(DanhMuc!$E$154:$E$165,MATCH(MID($B1470,4,2),DanhMuc!$B$154:$B$165,0)),""),"")</f>
        <v>6000</v>
      </c>
      <c r="V1470" s="325"/>
      <c r="W1470" s="352" t="str">
        <f>+IF(AND($A1470&lt;&gt;"",LEN($B1470)&gt;=8,COUNTIF($B$6:$B1470,$B1470)=1),$W$5,"")</f>
        <v/>
      </c>
      <c r="X1470" s="329" t="str">
        <f t="shared" si="186"/>
        <v>LV</v>
      </c>
      <c r="Y1470" s="1128" t="s">
        <v>3380</v>
      </c>
      <c r="Z1470" s="1128" t="s">
        <v>3381</v>
      </c>
      <c r="AA1470" s="1128" t="s">
        <v>3384</v>
      </c>
      <c r="AC1470" s="73"/>
    </row>
    <row r="1471" spans="1:29" s="20" customFormat="1">
      <c r="A1471" s="327" t="str">
        <f>IF(AND($B1471&lt;&gt;"",$C1471&lt;&gt;""),MAX($A$4:A1470)+1,"")</f>
        <v/>
      </c>
      <c r="B1471" s="361" t="s">
        <v>1727</v>
      </c>
      <c r="C1471" s="364"/>
      <c r="D1471" s="327">
        <f>IF($B1471="","",COUNTIF($B$6:$B1471,$B1471))</f>
        <v>8</v>
      </c>
      <c r="E1471" s="361">
        <v>1127</v>
      </c>
      <c r="F1471" s="362" t="s">
        <v>1522</v>
      </c>
      <c r="G1471" s="361" t="s">
        <v>328</v>
      </c>
      <c r="H1471" s="325"/>
      <c r="I1471" s="327">
        <v>2</v>
      </c>
      <c r="J1471" s="361" t="s">
        <v>1680</v>
      </c>
      <c r="K1471" s="327" t="s">
        <v>531</v>
      </c>
      <c r="L1471" s="348">
        <f>200000*$L$1329</f>
        <v>0</v>
      </c>
      <c r="M1471" s="355"/>
      <c r="N1471" s="355" t="str">
        <f t="shared" si="187"/>
        <v>PR</v>
      </c>
      <c r="O1471" s="347">
        <v>11</v>
      </c>
      <c r="P1471" s="325"/>
      <c r="Q1471" s="351"/>
      <c r="R1471" s="351">
        <v>1.1000000000000001</v>
      </c>
      <c r="S1471" s="351">
        <v>6</v>
      </c>
      <c r="T1471" s="351"/>
      <c r="U1471" s="329">
        <f>IF($N1471=$N$4,IFERROR(INDEX(DanhMuc!$E$154:$E$165,MATCH(MID($B1471,4,2),DanhMuc!$B$154:$B$165,0)),""),"")</f>
        <v>6000</v>
      </c>
      <c r="V1471" s="325"/>
      <c r="W1471" s="352" t="str">
        <f>+IF(AND($A1471&lt;&gt;"",LEN($B1471)&gt;=8,COUNTIF($B$6:$B1471,$B1471)=1),$W$5,"")</f>
        <v/>
      </c>
      <c r="X1471" s="329" t="str">
        <f t="shared" si="186"/>
        <v>LV</v>
      </c>
      <c r="Y1471" s="1128" t="s">
        <v>3380</v>
      </c>
      <c r="Z1471" s="1128" t="s">
        <v>3381</v>
      </c>
      <c r="AA1471" s="1128" t="s">
        <v>3384</v>
      </c>
      <c r="AC1471" s="73"/>
    </row>
    <row r="1472" spans="1:29" s="20" customFormat="1" ht="39">
      <c r="A1472" s="327">
        <f>IF(AND($B1472&lt;&gt;"",$C1472&lt;&gt;""),MAX($A$4:A1471)+1,"")</f>
        <v>106</v>
      </c>
      <c r="B1472" s="359" t="s">
        <v>1750</v>
      </c>
      <c r="C1472" s="370" t="s">
        <v>1751</v>
      </c>
      <c r="D1472" s="327">
        <f>IF($B1472="","",COUNTIF($B$6:$B1472,$B1472))</f>
        <v>1</v>
      </c>
      <c r="E1472" s="363">
        <v>2101</v>
      </c>
      <c r="F1472" s="362" t="s">
        <v>1736</v>
      </c>
      <c r="G1472" s="361" t="s">
        <v>329</v>
      </c>
      <c r="H1472" s="325"/>
      <c r="I1472" s="327">
        <v>2</v>
      </c>
      <c r="J1472" s="361" t="s">
        <v>81</v>
      </c>
      <c r="K1472" s="327" t="s">
        <v>516</v>
      </c>
      <c r="L1472" s="348">
        <f>1115000*$L$1329</f>
        <v>0</v>
      </c>
      <c r="M1472" s="355"/>
      <c r="N1472" s="355" t="str">
        <f t="shared" si="187"/>
        <v>PR</v>
      </c>
      <c r="O1472" s="345"/>
      <c r="P1472" s="325"/>
      <c r="Q1472" s="351"/>
      <c r="R1472" s="351">
        <v>1.8</v>
      </c>
      <c r="S1472" s="351">
        <v>6</v>
      </c>
      <c r="T1472" s="351"/>
      <c r="U1472" s="329">
        <f>IF($N1472=$N$4,IFERROR(INDEX(DanhMuc!$E$154:$E$165,MATCH(MID($B1472,4,2),DanhMuc!$B$154:$B$165,0)),""),"")</f>
        <v>6000</v>
      </c>
      <c r="V1472" s="325"/>
      <c r="W1472" s="352" t="str">
        <f>+IF(AND($A1472&lt;&gt;"",LEN($B1472)&gt;=8,COUNTIF($B$6:$B1472,$B1472)=1),$W$5,"")</f>
        <v>DMCua</v>
      </c>
      <c r="X1472" s="329" t="str">
        <f t="shared" si="186"/>
        <v>LV</v>
      </c>
      <c r="Y1472" s="1128" t="s">
        <v>3380</v>
      </c>
      <c r="Z1472" s="1128" t="s">
        <v>3381</v>
      </c>
      <c r="AA1472" s="1128" t="s">
        <v>3384</v>
      </c>
      <c r="AC1472" s="73"/>
    </row>
    <row r="1473" spans="1:29" s="20" customFormat="1" ht="25">
      <c r="A1473" s="327" t="str">
        <f>IF(AND($B1473&lt;&gt;"",$C1473&lt;&gt;""),MAX($A$4:A1472)+1,"")</f>
        <v/>
      </c>
      <c r="B1473" s="361" t="s">
        <v>1750</v>
      </c>
      <c r="C1473" s="364"/>
      <c r="D1473" s="327">
        <f>IF($B1473="","",COUNTIF($B$6:$B1473,$B1473))</f>
        <v>2</v>
      </c>
      <c r="E1473" s="363">
        <v>2101</v>
      </c>
      <c r="F1473" s="362" t="s">
        <v>1736</v>
      </c>
      <c r="G1473" s="361" t="s">
        <v>328</v>
      </c>
      <c r="H1473" s="325"/>
      <c r="I1473" s="327">
        <v>2</v>
      </c>
      <c r="J1473" s="361" t="s">
        <v>80</v>
      </c>
      <c r="K1473" s="327" t="s">
        <v>516</v>
      </c>
      <c r="L1473" s="348">
        <f>1115000*$L$1329</f>
        <v>0</v>
      </c>
      <c r="M1473" s="355"/>
      <c r="N1473" s="355" t="str">
        <f t="shared" si="187"/>
        <v>PR</v>
      </c>
      <c r="O1473" s="347"/>
      <c r="P1473" s="325"/>
      <c r="Q1473" s="351"/>
      <c r="R1473" s="351">
        <v>1.8</v>
      </c>
      <c r="S1473" s="351">
        <v>6</v>
      </c>
      <c r="T1473" s="351"/>
      <c r="U1473" s="329">
        <f>IF($N1473=$N$4,IFERROR(INDEX(DanhMuc!$E$154:$E$165,MATCH(MID($B1473,4,2),DanhMuc!$B$154:$B$165,0)),""),"")</f>
        <v>6000</v>
      </c>
      <c r="V1473" s="325"/>
      <c r="W1473" s="352" t="str">
        <f>+IF(AND($A1473&lt;&gt;"",LEN($B1473)&gt;=8,COUNTIF($B$6:$B1473,$B1473)=1),$W$5,"")</f>
        <v/>
      </c>
      <c r="X1473" s="329" t="str">
        <f t="shared" ref="X1473:X1554" si="188">IF(IFERROR(SEARCH("thép",$F1473,1),0)&gt;=1,"T" &amp;MID($B1473,4,2),MID($B1473,4,2))</f>
        <v>LV</v>
      </c>
      <c r="Y1473" s="1128" t="s">
        <v>3380</v>
      </c>
      <c r="Z1473" s="1128" t="s">
        <v>3381</v>
      </c>
      <c r="AA1473" s="1128" t="s">
        <v>3384</v>
      </c>
      <c r="AC1473" s="73"/>
    </row>
    <row r="1474" spans="1:29" s="20" customFormat="1">
      <c r="A1474" s="327" t="str">
        <f>IF(AND($B1474&lt;&gt;"",$C1474&lt;&gt;""),MAX($A$4:A1473)+1,"")</f>
        <v/>
      </c>
      <c r="B1474" s="361" t="s">
        <v>1750</v>
      </c>
      <c r="C1474" s="364"/>
      <c r="D1474" s="327">
        <f>IF($B1474="","",COUNTIF($B$6:$B1474,$B1474))</f>
        <v>3</v>
      </c>
      <c r="E1474" s="361">
        <v>2111</v>
      </c>
      <c r="F1474" s="362" t="s">
        <v>1737</v>
      </c>
      <c r="G1474" s="361" t="s">
        <v>329</v>
      </c>
      <c r="H1474" s="325"/>
      <c r="I1474" s="327">
        <v>2</v>
      </c>
      <c r="J1474" s="361" t="s">
        <v>791</v>
      </c>
      <c r="K1474" s="327" t="s">
        <v>531</v>
      </c>
      <c r="L1474" s="348">
        <f>81000*$L$1329</f>
        <v>0</v>
      </c>
      <c r="M1474" s="355"/>
      <c r="N1474" s="355" t="str">
        <f t="shared" si="187"/>
        <v>PR</v>
      </c>
      <c r="O1474" s="345"/>
      <c r="P1474" s="325"/>
      <c r="Q1474" s="351"/>
      <c r="R1474" s="351">
        <v>1.8</v>
      </c>
      <c r="S1474" s="351">
        <v>6</v>
      </c>
      <c r="T1474" s="351"/>
      <c r="U1474" s="329">
        <f>IF($N1474=$N$4,IFERROR(INDEX(DanhMuc!$E$154:$E$165,MATCH(MID($B1474,4,2),DanhMuc!$B$154:$B$165,0)),""),"")</f>
        <v>6000</v>
      </c>
      <c r="V1474" s="325"/>
      <c r="W1474" s="352" t="str">
        <f>+IF(AND($A1474&lt;&gt;"",LEN($B1474)&gt;=8,COUNTIF($B$6:$B1474,$B1474)=1),$W$5,"")</f>
        <v/>
      </c>
      <c r="X1474" s="329" t="str">
        <f t="shared" si="188"/>
        <v>LV</v>
      </c>
      <c r="Y1474" s="1128" t="s">
        <v>3380</v>
      </c>
      <c r="Z1474" s="1128" t="s">
        <v>3381</v>
      </c>
      <c r="AA1474" s="1128" t="s">
        <v>3384</v>
      </c>
      <c r="AC1474" s="73"/>
    </row>
    <row r="1475" spans="1:29" s="20" customFormat="1">
      <c r="A1475" s="327" t="str">
        <f>IF(AND($B1475&lt;&gt;"",$C1475&lt;&gt;""),MAX($A$4:A1474)+1,"")</f>
        <v/>
      </c>
      <c r="B1475" s="361" t="s">
        <v>1750</v>
      </c>
      <c r="C1475" s="364"/>
      <c r="D1475" s="327">
        <f>IF($B1475="","",COUNTIF($B$6:$B1475,$B1475))</f>
        <v>4</v>
      </c>
      <c r="E1475" s="361">
        <v>2112</v>
      </c>
      <c r="F1475" s="362" t="s">
        <v>1734</v>
      </c>
      <c r="G1475" s="361" t="s">
        <v>329</v>
      </c>
      <c r="H1475" s="325"/>
      <c r="I1475" s="327">
        <v>2</v>
      </c>
      <c r="J1475" s="361" t="s">
        <v>791</v>
      </c>
      <c r="K1475" s="327" t="s">
        <v>531</v>
      </c>
      <c r="L1475" s="348">
        <f>67000*$L$1329</f>
        <v>0</v>
      </c>
      <c r="M1475" s="355"/>
      <c r="N1475" s="355" t="str">
        <f t="shared" si="187"/>
        <v>PR</v>
      </c>
      <c r="O1475" s="345"/>
      <c r="P1475" s="325"/>
      <c r="Q1475" s="351"/>
      <c r="R1475" s="351">
        <v>1.8</v>
      </c>
      <c r="S1475" s="351">
        <v>6</v>
      </c>
      <c r="T1475" s="351"/>
      <c r="U1475" s="329">
        <f>IF($N1475=$N$4,IFERROR(INDEX(DanhMuc!$E$154:$E$165,MATCH(MID($B1475,4,2),DanhMuc!$B$154:$B$165,0)),""),"")</f>
        <v>6000</v>
      </c>
      <c r="V1475" s="325"/>
      <c r="W1475" s="352" t="str">
        <f>+IF(AND($A1475&lt;&gt;"",LEN($B1475)&gt;=8,COUNTIF($B$6:$B1475,$B1475)=1),$W$5,"")</f>
        <v/>
      </c>
      <c r="X1475" s="329" t="str">
        <f t="shared" si="188"/>
        <v>LV</v>
      </c>
      <c r="Y1475" s="1128" t="s">
        <v>3380</v>
      </c>
      <c r="Z1475" s="1128" t="s">
        <v>3381</v>
      </c>
      <c r="AA1475" s="1128" t="s">
        <v>3384</v>
      </c>
      <c r="AC1475" s="73"/>
    </row>
    <row r="1476" spans="1:29" s="20" customFormat="1">
      <c r="A1476" s="327" t="str">
        <f>IF(AND($B1476&lt;&gt;"",$C1476&lt;&gt;""),MAX($A$4:A1475)+1,"")</f>
        <v/>
      </c>
      <c r="B1476" s="361" t="s">
        <v>1750</v>
      </c>
      <c r="C1476" s="364"/>
      <c r="D1476" s="327">
        <f>IF($B1476="","",COUNTIF($B$6:$B1476,$B1476))</f>
        <v>5</v>
      </c>
      <c r="E1476" s="361">
        <v>2112</v>
      </c>
      <c r="F1476" s="362" t="s">
        <v>1734</v>
      </c>
      <c r="G1476" s="361" t="s">
        <v>328</v>
      </c>
      <c r="H1476" s="325"/>
      <c r="I1476" s="327">
        <v>4</v>
      </c>
      <c r="J1476" s="361" t="s">
        <v>1741</v>
      </c>
      <c r="K1476" s="327" t="s">
        <v>531</v>
      </c>
      <c r="L1476" s="348">
        <f>67000*$L$1329</f>
        <v>0</v>
      </c>
      <c r="M1476" s="355"/>
      <c r="N1476" s="355" t="str">
        <f t="shared" si="187"/>
        <v>PR</v>
      </c>
      <c r="O1476" s="345"/>
      <c r="P1476" s="325"/>
      <c r="Q1476" s="351"/>
      <c r="R1476" s="351">
        <v>1.8</v>
      </c>
      <c r="S1476" s="351">
        <v>6</v>
      </c>
      <c r="T1476" s="351"/>
      <c r="U1476" s="329">
        <f>IF($N1476=$N$4,IFERROR(INDEX(DanhMuc!$E$154:$E$165,MATCH(MID($B1476,4,2),DanhMuc!$B$154:$B$165,0)),""),"")</f>
        <v>6000</v>
      </c>
      <c r="V1476" s="325"/>
      <c r="W1476" s="352" t="str">
        <f>+IF(AND($A1476&lt;&gt;"",LEN($B1476)&gt;=8,COUNTIF($B$6:$B1476,$B1476)=1),$W$5,"")</f>
        <v/>
      </c>
      <c r="X1476" s="329" t="str">
        <f t="shared" si="188"/>
        <v>LV</v>
      </c>
      <c r="Y1476" s="1128" t="s">
        <v>3380</v>
      </c>
      <c r="Z1476" s="1128" t="s">
        <v>3381</v>
      </c>
      <c r="AA1476" s="1128" t="s">
        <v>3384</v>
      </c>
      <c r="AC1476" s="73"/>
    </row>
    <row r="1477" spans="1:29" s="20" customFormat="1">
      <c r="A1477" s="327" t="str">
        <f>IF(AND($B1477&lt;&gt;"",$C1477&lt;&gt;""),MAX($A$4:A1476)+1,"")</f>
        <v/>
      </c>
      <c r="B1477" s="361" t="s">
        <v>1750</v>
      </c>
      <c r="C1477" s="364"/>
      <c r="D1477" s="327">
        <f>IF($B1477="","",COUNTIF($B$6:$B1477,$B1477))</f>
        <v>6</v>
      </c>
      <c r="E1477" s="361">
        <v>2104</v>
      </c>
      <c r="F1477" s="362" t="s">
        <v>1738</v>
      </c>
      <c r="G1477" s="361" t="s">
        <v>329</v>
      </c>
      <c r="H1477" s="325"/>
      <c r="I1477" s="327">
        <v>4</v>
      </c>
      <c r="J1477" s="361" t="s">
        <v>1742</v>
      </c>
      <c r="K1477" s="327" t="s">
        <v>516</v>
      </c>
      <c r="L1477" s="348">
        <f>808000*$L$1329</f>
        <v>0</v>
      </c>
      <c r="M1477" s="355"/>
      <c r="N1477" s="355" t="str">
        <f t="shared" si="187"/>
        <v>PR</v>
      </c>
      <c r="O1477" s="345"/>
      <c r="P1477" s="325"/>
      <c r="Q1477" s="351"/>
      <c r="R1477" s="351">
        <v>1.4</v>
      </c>
      <c r="S1477" s="351">
        <v>6</v>
      </c>
      <c r="T1477" s="351"/>
      <c r="U1477" s="329">
        <f>IF($N1477=$N$4,IFERROR(INDEX(DanhMuc!$E$154:$E$165,MATCH(MID($B1477,4,2),DanhMuc!$B$154:$B$165,0)),""),"")</f>
        <v>6000</v>
      </c>
      <c r="V1477" s="325"/>
      <c r="W1477" s="352" t="str">
        <f>+IF(AND($A1477&lt;&gt;"",LEN($B1477)&gt;=8,COUNTIF($B$6:$B1477,$B1477)=1),$W$5,"")</f>
        <v/>
      </c>
      <c r="X1477" s="329" t="str">
        <f t="shared" si="188"/>
        <v>LV</v>
      </c>
      <c r="Y1477" s="1128" t="s">
        <v>3380</v>
      </c>
      <c r="Z1477" s="1128" t="s">
        <v>3381</v>
      </c>
      <c r="AA1477" s="1128" t="s">
        <v>3384</v>
      </c>
      <c r="AC1477" s="73"/>
    </row>
    <row r="1478" spans="1:29" s="20" customFormat="1">
      <c r="A1478" s="327" t="str">
        <f>IF(AND($B1478&lt;&gt;"",$C1478&lt;&gt;""),MAX($A$4:A1477)+1,"")</f>
        <v/>
      </c>
      <c r="B1478" s="361" t="s">
        <v>1750</v>
      </c>
      <c r="C1478" s="364"/>
      <c r="D1478" s="327">
        <f>IF($B1478="","",COUNTIF($B$6:$B1478,$B1478))</f>
        <v>7</v>
      </c>
      <c r="E1478" s="361">
        <v>2104</v>
      </c>
      <c r="F1478" s="362" t="s">
        <v>1738</v>
      </c>
      <c r="G1478" s="361" t="s">
        <v>328</v>
      </c>
      <c r="H1478" s="325"/>
      <c r="I1478" s="327">
        <v>4</v>
      </c>
      <c r="J1478" s="361" t="s">
        <v>1743</v>
      </c>
      <c r="K1478" s="327" t="s">
        <v>516</v>
      </c>
      <c r="L1478" s="348">
        <f>808000*$L$1329</f>
        <v>0</v>
      </c>
      <c r="M1478" s="355"/>
      <c r="N1478" s="355" t="str">
        <f t="shared" si="187"/>
        <v>PR</v>
      </c>
      <c r="O1478" s="347"/>
      <c r="P1478" s="325"/>
      <c r="Q1478" s="351"/>
      <c r="R1478" s="351">
        <v>1.4</v>
      </c>
      <c r="S1478" s="351">
        <v>6</v>
      </c>
      <c r="T1478" s="351"/>
      <c r="U1478" s="329">
        <f>IF($N1478=$N$4,IFERROR(INDEX(DanhMuc!$E$154:$E$165,MATCH(MID($B1478,4,2),DanhMuc!$B$154:$B$165,0)),""),"")</f>
        <v>6000</v>
      </c>
      <c r="V1478" s="325"/>
      <c r="W1478" s="352" t="str">
        <f>+IF(AND($A1478&lt;&gt;"",LEN($B1478)&gt;=8,COUNTIF($B$6:$B1478,$B1478)=1),$W$5,"")</f>
        <v/>
      </c>
      <c r="X1478" s="329" t="str">
        <f t="shared" si="188"/>
        <v>LV</v>
      </c>
      <c r="Y1478" s="1128" t="s">
        <v>3380</v>
      </c>
      <c r="Z1478" s="1128" t="s">
        <v>3381</v>
      </c>
      <c r="AA1478" s="1128" t="s">
        <v>3384</v>
      </c>
      <c r="AC1478" s="73"/>
    </row>
    <row r="1479" spans="1:29" s="20" customFormat="1">
      <c r="A1479" s="327" t="str">
        <f>IF(AND($B1479&lt;&gt;"",$C1479&lt;&gt;""),MAX($A$4:A1478)+1,"")</f>
        <v/>
      </c>
      <c r="B1479" s="361" t="s">
        <v>1750</v>
      </c>
      <c r="C1479" s="364"/>
      <c r="D1479" s="327">
        <f>IF($B1479="","",COUNTIF($B$6:$B1479,$B1479))</f>
        <v>8</v>
      </c>
      <c r="E1479" s="361">
        <v>2109</v>
      </c>
      <c r="F1479" s="362" t="s">
        <v>1735</v>
      </c>
      <c r="G1479" s="361" t="s">
        <v>328</v>
      </c>
      <c r="H1479" s="325"/>
      <c r="I1479" s="327">
        <v>2</v>
      </c>
      <c r="J1479" s="361" t="s">
        <v>1743</v>
      </c>
      <c r="K1479" s="327" t="s">
        <v>531</v>
      </c>
      <c r="L1479" s="348">
        <f>277000*$L$1329</f>
        <v>0</v>
      </c>
      <c r="M1479" s="355"/>
      <c r="N1479" s="355" t="str">
        <f t="shared" si="187"/>
        <v>PR</v>
      </c>
      <c r="O1479" s="347"/>
      <c r="P1479" s="325"/>
      <c r="Q1479" s="351"/>
      <c r="R1479" s="351">
        <v>1.2</v>
      </c>
      <c r="S1479" s="351">
        <v>6</v>
      </c>
      <c r="T1479" s="351"/>
      <c r="U1479" s="329">
        <f>IF($N1479=$N$4,IFERROR(INDEX(DanhMuc!$E$154:$E$165,MATCH(MID($B1479,4,2),DanhMuc!$B$154:$B$165,0)),""),"")</f>
        <v>6000</v>
      </c>
      <c r="V1479" s="325"/>
      <c r="W1479" s="352" t="str">
        <f>+IF(AND($A1479&lt;&gt;"",LEN($B1479)&gt;=8,COUNTIF($B$6:$B1479,$B1479)=1),$W$5,"")</f>
        <v/>
      </c>
      <c r="X1479" s="329" t="str">
        <f t="shared" si="188"/>
        <v>LV</v>
      </c>
      <c r="Y1479" s="1128" t="s">
        <v>3380</v>
      </c>
      <c r="Z1479" s="1128" t="s">
        <v>3381</v>
      </c>
      <c r="AA1479" s="1128" t="s">
        <v>3384</v>
      </c>
      <c r="AC1479" s="73"/>
    </row>
    <row r="1480" spans="1:29" s="20" customFormat="1">
      <c r="A1480" s="327" t="str">
        <f>IF(AND($B1480&lt;&gt;"",$C1480&lt;&gt;""),MAX($A$4:A1479)+1,"")</f>
        <v/>
      </c>
      <c r="B1480" s="361" t="s">
        <v>1750</v>
      </c>
      <c r="C1480" s="364"/>
      <c r="D1480" s="327">
        <f>IF($B1480="","",COUNTIF($B$6:$B1480,$B1480))</f>
        <v>9</v>
      </c>
      <c r="E1480" s="361">
        <v>2116</v>
      </c>
      <c r="F1480" s="362" t="s">
        <v>1739</v>
      </c>
      <c r="G1480" s="361" t="s">
        <v>329</v>
      </c>
      <c r="H1480" s="325"/>
      <c r="I1480" s="327">
        <v>4</v>
      </c>
      <c r="J1480" s="361" t="s">
        <v>1744</v>
      </c>
      <c r="K1480" s="327" t="s">
        <v>531</v>
      </c>
      <c r="L1480" s="348">
        <f>116000*$L$1329</f>
        <v>0</v>
      </c>
      <c r="M1480" s="355"/>
      <c r="N1480" s="355" t="str">
        <f t="shared" si="187"/>
        <v>PR</v>
      </c>
      <c r="O1480" s="347">
        <v>12</v>
      </c>
      <c r="P1480" s="325"/>
      <c r="Q1480" s="351"/>
      <c r="R1480" s="351">
        <v>1</v>
      </c>
      <c r="S1480" s="351">
        <v>6</v>
      </c>
      <c r="T1480" s="351"/>
      <c r="U1480" s="329">
        <f>IF($N1480=$N$4,IFERROR(INDEX(DanhMuc!$E$154:$E$165,MATCH(MID($B1480,4,2),DanhMuc!$B$154:$B$165,0)),""),"")</f>
        <v>6000</v>
      </c>
      <c r="V1480" s="325"/>
      <c r="W1480" s="352" t="str">
        <f>+IF(AND($A1480&lt;&gt;"",LEN($B1480)&gt;=8,COUNTIF($B$6:$B1480,$B1480)=1),$W$5,"")</f>
        <v/>
      </c>
      <c r="X1480" s="329" t="str">
        <f t="shared" si="188"/>
        <v>LV</v>
      </c>
      <c r="Y1480" s="1128" t="s">
        <v>3380</v>
      </c>
      <c r="Z1480" s="1128" t="s">
        <v>3381</v>
      </c>
      <c r="AA1480" s="1128" t="s">
        <v>3384</v>
      </c>
      <c r="AC1480" s="73"/>
    </row>
    <row r="1481" spans="1:29" s="20" customFormat="1">
      <c r="A1481" s="327" t="str">
        <f>IF(AND($B1481&lt;&gt;"",$C1481&lt;&gt;""),MAX($A$4:A1480)+1,"")</f>
        <v/>
      </c>
      <c r="B1481" s="361" t="s">
        <v>1750</v>
      </c>
      <c r="C1481" s="364"/>
      <c r="D1481" s="327">
        <f>IF($B1481="","",COUNTIF($B$6:$B1481,$B1481))</f>
        <v>10</v>
      </c>
      <c r="E1481" s="361">
        <v>2116</v>
      </c>
      <c r="F1481" s="362" t="s">
        <v>1739</v>
      </c>
      <c r="G1481" s="361" t="s">
        <v>328</v>
      </c>
      <c r="H1481" s="325"/>
      <c r="I1481" s="327">
        <v>4</v>
      </c>
      <c r="J1481" s="361" t="s">
        <v>1745</v>
      </c>
      <c r="K1481" s="327" t="s">
        <v>531</v>
      </c>
      <c r="L1481" s="348">
        <f>116000*$L$1329</f>
        <v>0</v>
      </c>
      <c r="M1481" s="355"/>
      <c r="N1481" s="355" t="str">
        <f t="shared" si="187"/>
        <v>PR</v>
      </c>
      <c r="O1481" s="347">
        <v>12</v>
      </c>
      <c r="P1481" s="325"/>
      <c r="Q1481" s="351"/>
      <c r="R1481" s="351">
        <v>1</v>
      </c>
      <c r="S1481" s="351">
        <v>6</v>
      </c>
      <c r="T1481" s="351"/>
      <c r="U1481" s="329">
        <f>IF($N1481=$N$4,IFERROR(INDEX(DanhMuc!$E$154:$E$165,MATCH(MID($B1481,4,2),DanhMuc!$B$154:$B$165,0)),""),"")</f>
        <v>6000</v>
      </c>
      <c r="V1481" s="325"/>
      <c r="W1481" s="352" t="str">
        <f>+IF(AND($A1481&lt;&gt;"",LEN($B1481)&gt;=8,COUNTIF($B$6:$B1481,$B1481)=1),$W$5,"")</f>
        <v/>
      </c>
      <c r="X1481" s="329" t="str">
        <f t="shared" si="188"/>
        <v>LV</v>
      </c>
      <c r="Y1481" s="1128" t="s">
        <v>3380</v>
      </c>
      <c r="Z1481" s="1128" t="s">
        <v>3381</v>
      </c>
      <c r="AA1481" s="1128" t="s">
        <v>3384</v>
      </c>
      <c r="AC1481" s="73"/>
    </row>
    <row r="1482" spans="1:29" s="20" customFormat="1">
      <c r="A1482" s="327" t="str">
        <f>IF(AND($B1482&lt;&gt;"",$C1482&lt;&gt;""),MAX($A$4:A1481)+1,"")</f>
        <v/>
      </c>
      <c r="B1482" s="361" t="s">
        <v>1750</v>
      </c>
      <c r="C1482" s="364"/>
      <c r="D1482" s="327">
        <f>IF($B1482="","",COUNTIF($B$6:$B1482,$B1482))</f>
        <v>11</v>
      </c>
      <c r="E1482" s="361">
        <v>2117</v>
      </c>
      <c r="F1482" s="362" t="s">
        <v>1740</v>
      </c>
      <c r="G1482" s="361" t="s">
        <v>329</v>
      </c>
      <c r="H1482" s="325"/>
      <c r="I1482" s="327">
        <v>4</v>
      </c>
      <c r="J1482" s="361" t="s">
        <v>1744</v>
      </c>
      <c r="K1482" s="327" t="s">
        <v>531</v>
      </c>
      <c r="L1482" s="348">
        <f>134000*$L$1329</f>
        <v>0</v>
      </c>
      <c r="M1482" s="355"/>
      <c r="N1482" s="355" t="str">
        <f t="shared" si="187"/>
        <v>PR</v>
      </c>
      <c r="O1482" s="347">
        <v>11</v>
      </c>
      <c r="P1482" s="325"/>
      <c r="Q1482" s="351"/>
      <c r="R1482" s="351">
        <v>1</v>
      </c>
      <c r="S1482" s="351">
        <v>6</v>
      </c>
      <c r="T1482" s="351"/>
      <c r="U1482" s="329">
        <f>IF($N1482=$N$4,IFERROR(INDEX(DanhMuc!$E$154:$E$165,MATCH(MID($B1482,4,2),DanhMuc!$B$154:$B$165,0)),""),"")</f>
        <v>6000</v>
      </c>
      <c r="V1482" s="325"/>
      <c r="W1482" s="352" t="str">
        <f>+IF(AND($A1482&lt;&gt;"",LEN($B1482)&gt;=8,COUNTIF($B$6:$B1482,$B1482)=1),$W$5,"")</f>
        <v/>
      </c>
      <c r="X1482" s="329" t="str">
        <f t="shared" si="188"/>
        <v>LV</v>
      </c>
      <c r="Y1482" s="1128" t="s">
        <v>3380</v>
      </c>
      <c r="Z1482" s="1128" t="s">
        <v>3381</v>
      </c>
      <c r="AA1482" s="1128" t="s">
        <v>3384</v>
      </c>
      <c r="AC1482" s="73"/>
    </row>
    <row r="1483" spans="1:29" s="20" customFormat="1">
      <c r="A1483" s="327" t="str">
        <f>IF(AND($B1483&lt;&gt;"",$C1483&lt;&gt;""),MAX($A$4:A1482)+1,"")</f>
        <v/>
      </c>
      <c r="B1483" s="361" t="s">
        <v>1750</v>
      </c>
      <c r="C1483" s="364"/>
      <c r="D1483" s="327">
        <f>IF($B1483="","",COUNTIF($B$6:$B1483,$B1483))</f>
        <v>12</v>
      </c>
      <c r="E1483" s="361">
        <v>2117</v>
      </c>
      <c r="F1483" s="362" t="s">
        <v>1740</v>
      </c>
      <c r="G1483" s="361" t="s">
        <v>328</v>
      </c>
      <c r="H1483" s="325"/>
      <c r="I1483" s="327">
        <v>4</v>
      </c>
      <c r="J1483" s="361" t="s">
        <v>1745</v>
      </c>
      <c r="K1483" s="327" t="s">
        <v>531</v>
      </c>
      <c r="L1483" s="348">
        <f>134000*$L$1329</f>
        <v>0</v>
      </c>
      <c r="M1483" s="355"/>
      <c r="N1483" s="355" t="str">
        <f t="shared" si="187"/>
        <v>PR</v>
      </c>
      <c r="O1483" s="347">
        <v>11</v>
      </c>
      <c r="P1483" s="325"/>
      <c r="Q1483" s="351"/>
      <c r="R1483" s="351">
        <v>1</v>
      </c>
      <c r="S1483" s="351">
        <v>6</v>
      </c>
      <c r="T1483" s="351"/>
      <c r="U1483" s="329">
        <f>IF($N1483=$N$4,IFERROR(INDEX(DanhMuc!$E$154:$E$165,MATCH(MID($B1483,4,2),DanhMuc!$B$154:$B$165,0)),""),"")</f>
        <v>6000</v>
      </c>
      <c r="V1483" s="325"/>
      <c r="W1483" s="352" t="str">
        <f>+IF(AND($A1483&lt;&gt;"",LEN($B1483)&gt;=8,COUNTIF($B$6:$B1483,$B1483)=1),$W$5,"")</f>
        <v/>
      </c>
      <c r="X1483" s="329" t="str">
        <f t="shared" si="188"/>
        <v>LV</v>
      </c>
      <c r="Y1483" s="1128" t="s">
        <v>3380</v>
      </c>
      <c r="Z1483" s="1128" t="s">
        <v>3381</v>
      </c>
      <c r="AA1483" s="1128" t="s">
        <v>3384</v>
      </c>
      <c r="AC1483" s="73"/>
    </row>
    <row r="1484" spans="1:29" s="20" customFormat="1" ht="39">
      <c r="A1484" s="327">
        <f>IF(AND($B1484&lt;&gt;"",$C1484&lt;&gt;""),MAX($A$4:A1483)+1,"")</f>
        <v>107</v>
      </c>
      <c r="B1484" s="359" t="s">
        <v>2216</v>
      </c>
      <c r="C1484" s="370" t="s">
        <v>2215</v>
      </c>
      <c r="D1484" s="327">
        <f>IF($B1484="","",COUNTIF($B$6:$B1484,$B1484))</f>
        <v>1</v>
      </c>
      <c r="E1484" s="363">
        <v>2101</v>
      </c>
      <c r="F1484" s="362" t="s">
        <v>1736</v>
      </c>
      <c r="G1484" s="361" t="s">
        <v>329</v>
      </c>
      <c r="H1484" s="325"/>
      <c r="I1484" s="327">
        <v>2</v>
      </c>
      <c r="J1484" s="361" t="s">
        <v>81</v>
      </c>
      <c r="K1484" s="327" t="s">
        <v>516</v>
      </c>
      <c r="L1484" s="348">
        <f>1115000*$L$1329</f>
        <v>0</v>
      </c>
      <c r="M1484" s="355"/>
      <c r="N1484" s="355" t="str">
        <f t="shared" si="187"/>
        <v>PR</v>
      </c>
      <c r="O1484" s="345"/>
      <c r="P1484" s="325"/>
      <c r="Q1484" s="351"/>
      <c r="R1484" s="351">
        <v>1.8</v>
      </c>
      <c r="S1484" s="351">
        <v>6</v>
      </c>
      <c r="T1484" s="351"/>
      <c r="U1484" s="329">
        <f>IF($N1484=$N$4,IFERROR(INDEX(DanhMuc!$E$154:$E$165,MATCH(MID($B1484,4,2),DanhMuc!$B$154:$B$165,0)),""),"")</f>
        <v>6000</v>
      </c>
      <c r="V1484" s="325"/>
      <c r="W1484" s="352" t="str">
        <f>+IF(AND($A1484&lt;&gt;"",LEN($B1484)&gt;=8,COUNTIF($B$6:$B1484,$B1484)=1),$W$5,"")</f>
        <v>DMCua</v>
      </c>
      <c r="X1484" s="329" t="str">
        <f t="shared" si="188"/>
        <v>LV</v>
      </c>
      <c r="Y1484" s="1128" t="s">
        <v>3380</v>
      </c>
      <c r="Z1484" s="1128" t="s">
        <v>3381</v>
      </c>
      <c r="AA1484" s="1128" t="s">
        <v>3384</v>
      </c>
      <c r="AC1484" s="73"/>
    </row>
    <row r="1485" spans="1:29" s="20" customFormat="1" ht="25">
      <c r="A1485" s="327" t="str">
        <f>IF(AND($B1485&lt;&gt;"",$C1485&lt;&gt;""),MAX($A$4:A1484)+1,"")</f>
        <v/>
      </c>
      <c r="B1485" s="361" t="s">
        <v>2216</v>
      </c>
      <c r="C1485" s="364"/>
      <c r="D1485" s="327">
        <f>IF($B1485="","",COUNTIF($B$6:$B1485,$B1485))</f>
        <v>2</v>
      </c>
      <c r="E1485" s="363">
        <v>2101</v>
      </c>
      <c r="F1485" s="362" t="s">
        <v>1736</v>
      </c>
      <c r="G1485" s="361" t="s">
        <v>328</v>
      </c>
      <c r="H1485" s="325"/>
      <c r="I1485" s="327">
        <v>2</v>
      </c>
      <c r="J1485" s="361" t="s">
        <v>80</v>
      </c>
      <c r="K1485" s="327" t="s">
        <v>516</v>
      </c>
      <c r="L1485" s="348">
        <f>1115000*$L$1329</f>
        <v>0</v>
      </c>
      <c r="M1485" s="355"/>
      <c r="N1485" s="355" t="str">
        <f t="shared" si="187"/>
        <v>PR</v>
      </c>
      <c r="O1485" s="347"/>
      <c r="P1485" s="325"/>
      <c r="Q1485" s="351"/>
      <c r="R1485" s="351">
        <v>1.8</v>
      </c>
      <c r="S1485" s="351">
        <v>6</v>
      </c>
      <c r="T1485" s="351"/>
      <c r="U1485" s="329">
        <f>IF($N1485=$N$4,IFERROR(INDEX(DanhMuc!$E$154:$E$165,MATCH(MID($B1485,4,2),DanhMuc!$B$154:$B$165,0)),""),"")</f>
        <v>6000</v>
      </c>
      <c r="V1485" s="325"/>
      <c r="W1485" s="352" t="str">
        <f>+IF(AND($A1485&lt;&gt;"",LEN($B1485)&gt;=8,COUNTIF($B$6:$B1485,$B1485)=1),$W$5,"")</f>
        <v/>
      </c>
      <c r="X1485" s="329" t="str">
        <f t="shared" si="188"/>
        <v>LV</v>
      </c>
      <c r="Y1485" s="1128" t="s">
        <v>3380</v>
      </c>
      <c r="Z1485" s="1128" t="s">
        <v>3381</v>
      </c>
      <c r="AA1485" s="1128" t="s">
        <v>3384</v>
      </c>
      <c r="AC1485" s="73"/>
    </row>
    <row r="1486" spans="1:29" s="20" customFormat="1">
      <c r="A1486" s="327" t="str">
        <f>IF(AND($B1486&lt;&gt;"",$C1486&lt;&gt;""),MAX($A$4:A1485)+1,"")</f>
        <v/>
      </c>
      <c r="B1486" s="361" t="s">
        <v>2216</v>
      </c>
      <c r="C1486" s="364"/>
      <c r="D1486" s="327">
        <f>IF($B1486="","",COUNTIF($B$6:$B1486,$B1486))</f>
        <v>3</v>
      </c>
      <c r="E1486" s="361">
        <v>2111</v>
      </c>
      <c r="F1486" s="362" t="s">
        <v>1737</v>
      </c>
      <c r="G1486" s="361" t="s">
        <v>329</v>
      </c>
      <c r="H1486" s="325"/>
      <c r="I1486" s="327">
        <v>2</v>
      </c>
      <c r="J1486" s="361" t="s">
        <v>791</v>
      </c>
      <c r="K1486" s="327" t="s">
        <v>531</v>
      </c>
      <c r="L1486" s="348">
        <f>81000*$L$1329</f>
        <v>0</v>
      </c>
      <c r="M1486" s="355"/>
      <c r="N1486" s="355" t="str">
        <f t="shared" si="187"/>
        <v>PR</v>
      </c>
      <c r="O1486" s="345"/>
      <c r="P1486" s="325"/>
      <c r="Q1486" s="351"/>
      <c r="R1486" s="351">
        <v>1.8</v>
      </c>
      <c r="S1486" s="351">
        <v>6</v>
      </c>
      <c r="T1486" s="351"/>
      <c r="U1486" s="329">
        <f>IF($N1486=$N$4,IFERROR(INDEX(DanhMuc!$E$154:$E$165,MATCH(MID($B1486,4,2),DanhMuc!$B$154:$B$165,0)),""),"")</f>
        <v>6000</v>
      </c>
      <c r="V1486" s="325"/>
      <c r="W1486" s="352" t="str">
        <f>+IF(AND($A1486&lt;&gt;"",LEN($B1486)&gt;=8,COUNTIF($B$6:$B1486,$B1486)=1),$W$5,"")</f>
        <v/>
      </c>
      <c r="X1486" s="329" t="str">
        <f t="shared" si="188"/>
        <v>LV</v>
      </c>
      <c r="Y1486" s="1128" t="s">
        <v>3380</v>
      </c>
      <c r="Z1486" s="1128" t="s">
        <v>3381</v>
      </c>
      <c r="AA1486" s="1128" t="s">
        <v>3384</v>
      </c>
      <c r="AC1486" s="73"/>
    </row>
    <row r="1487" spans="1:29" s="20" customFormat="1">
      <c r="A1487" s="327" t="str">
        <f>IF(AND($B1487&lt;&gt;"",$C1487&lt;&gt;""),MAX($A$4:A1486)+1,"")</f>
        <v/>
      </c>
      <c r="B1487" s="361" t="s">
        <v>2216</v>
      </c>
      <c r="C1487" s="364"/>
      <c r="D1487" s="327">
        <f>IF($B1487="","",COUNTIF($B$6:$B1487,$B1487))</f>
        <v>4</v>
      </c>
      <c r="E1487" s="361">
        <v>2112</v>
      </c>
      <c r="F1487" s="362" t="s">
        <v>1734</v>
      </c>
      <c r="G1487" s="361" t="s">
        <v>329</v>
      </c>
      <c r="H1487" s="325"/>
      <c r="I1487" s="327">
        <v>2</v>
      </c>
      <c r="J1487" s="361" t="s">
        <v>791</v>
      </c>
      <c r="K1487" s="327" t="s">
        <v>531</v>
      </c>
      <c r="L1487" s="348">
        <f>67000*$L$1329</f>
        <v>0</v>
      </c>
      <c r="M1487" s="355"/>
      <c r="N1487" s="355" t="str">
        <f t="shared" si="187"/>
        <v>PR</v>
      </c>
      <c r="O1487" s="345"/>
      <c r="P1487" s="325"/>
      <c r="Q1487" s="351"/>
      <c r="R1487" s="351">
        <v>1.8</v>
      </c>
      <c r="S1487" s="351">
        <v>6</v>
      </c>
      <c r="T1487" s="351"/>
      <c r="U1487" s="329">
        <f>IF($N1487=$N$4,IFERROR(INDEX(DanhMuc!$E$154:$E$165,MATCH(MID($B1487,4,2),DanhMuc!$B$154:$B$165,0)),""),"")</f>
        <v>6000</v>
      </c>
      <c r="V1487" s="325"/>
      <c r="W1487" s="352" t="str">
        <f>+IF(AND($A1487&lt;&gt;"",LEN($B1487)&gt;=8,COUNTIF($B$6:$B1487,$B1487)=1),$W$5,"")</f>
        <v/>
      </c>
      <c r="X1487" s="329" t="str">
        <f t="shared" si="188"/>
        <v>LV</v>
      </c>
      <c r="Y1487" s="1128" t="s">
        <v>3380</v>
      </c>
      <c r="Z1487" s="1128" t="s">
        <v>3381</v>
      </c>
      <c r="AA1487" s="1128" t="s">
        <v>3384</v>
      </c>
      <c r="AC1487" s="73"/>
    </row>
    <row r="1488" spans="1:29" s="20" customFormat="1">
      <c r="A1488" s="327" t="str">
        <f>IF(AND($B1488&lt;&gt;"",$C1488&lt;&gt;""),MAX($A$4:A1487)+1,"")</f>
        <v/>
      </c>
      <c r="B1488" s="361" t="s">
        <v>2216</v>
      </c>
      <c r="C1488" s="364"/>
      <c r="D1488" s="327">
        <f>IF($B1488="","",COUNTIF($B$6:$B1488,$B1488))</f>
        <v>5</v>
      </c>
      <c r="E1488" s="361">
        <v>2112</v>
      </c>
      <c r="F1488" s="362" t="s">
        <v>1734</v>
      </c>
      <c r="G1488" s="361" t="s">
        <v>328</v>
      </c>
      <c r="H1488" s="325"/>
      <c r="I1488" s="327">
        <v>4</v>
      </c>
      <c r="J1488" s="361" t="s">
        <v>1741</v>
      </c>
      <c r="K1488" s="327" t="s">
        <v>531</v>
      </c>
      <c r="L1488" s="348">
        <f>67000*$L$1329</f>
        <v>0</v>
      </c>
      <c r="M1488" s="355"/>
      <c r="N1488" s="355" t="str">
        <f t="shared" si="187"/>
        <v>PR</v>
      </c>
      <c r="O1488" s="345"/>
      <c r="P1488" s="325"/>
      <c r="Q1488" s="351"/>
      <c r="R1488" s="351">
        <v>1.8</v>
      </c>
      <c r="S1488" s="351">
        <v>6</v>
      </c>
      <c r="T1488" s="351"/>
      <c r="U1488" s="329">
        <f>IF($N1488=$N$4,IFERROR(INDEX(DanhMuc!$E$154:$E$165,MATCH(MID($B1488,4,2),DanhMuc!$B$154:$B$165,0)),""),"")</f>
        <v>6000</v>
      </c>
      <c r="V1488" s="325"/>
      <c r="W1488" s="352" t="str">
        <f>+IF(AND($A1488&lt;&gt;"",LEN($B1488)&gt;=8,COUNTIF($B$6:$B1488,$B1488)=1),$W$5,"")</f>
        <v/>
      </c>
      <c r="X1488" s="329" t="str">
        <f t="shared" si="188"/>
        <v>LV</v>
      </c>
      <c r="Y1488" s="1128" t="s">
        <v>3380</v>
      </c>
      <c r="Z1488" s="1128" t="s">
        <v>3381</v>
      </c>
      <c r="AA1488" s="1128" t="s">
        <v>3384</v>
      </c>
      <c r="AC1488" s="73"/>
    </row>
    <row r="1489" spans="1:29" s="20" customFormat="1">
      <c r="A1489" s="327" t="str">
        <f>IF(AND($B1489&lt;&gt;"",$C1489&lt;&gt;""),MAX($A$4:A1488)+1,"")</f>
        <v/>
      </c>
      <c r="B1489" s="361" t="s">
        <v>2216</v>
      </c>
      <c r="C1489" s="364"/>
      <c r="D1489" s="327">
        <f>IF($B1489="","",COUNTIF($B$6:$B1489,$B1489))</f>
        <v>6</v>
      </c>
      <c r="E1489" s="361">
        <v>2104</v>
      </c>
      <c r="F1489" s="362" t="s">
        <v>1738</v>
      </c>
      <c r="G1489" s="361" t="s">
        <v>329</v>
      </c>
      <c r="H1489" s="325"/>
      <c r="I1489" s="327">
        <v>4</v>
      </c>
      <c r="J1489" s="361" t="s">
        <v>2211</v>
      </c>
      <c r="K1489" s="327" t="s">
        <v>516</v>
      </c>
      <c r="L1489" s="348">
        <f>808000*$L$1329</f>
        <v>0</v>
      </c>
      <c r="M1489" s="355"/>
      <c r="N1489" s="355" t="str">
        <f t="shared" si="187"/>
        <v>PR</v>
      </c>
      <c r="O1489" s="345"/>
      <c r="P1489" s="325"/>
      <c r="Q1489" s="351"/>
      <c r="R1489" s="351">
        <v>1.4</v>
      </c>
      <c r="S1489" s="351">
        <v>6</v>
      </c>
      <c r="T1489" s="351"/>
      <c r="U1489" s="329">
        <f>IF($N1489=$N$4,IFERROR(INDEX(DanhMuc!$E$154:$E$165,MATCH(MID($B1489,4,2),DanhMuc!$B$154:$B$165,0)),""),"")</f>
        <v>6000</v>
      </c>
      <c r="V1489" s="325"/>
      <c r="W1489" s="352" t="str">
        <f>+IF(AND($A1489&lt;&gt;"",LEN($B1489)&gt;=8,COUNTIF($B$6:$B1489,$B1489)=1),$W$5,"")</f>
        <v/>
      </c>
      <c r="X1489" s="329" t="str">
        <f t="shared" si="188"/>
        <v>LV</v>
      </c>
      <c r="Y1489" s="1128" t="s">
        <v>3380</v>
      </c>
      <c r="Z1489" s="1128" t="s">
        <v>3381</v>
      </c>
      <c r="AA1489" s="1128" t="s">
        <v>3384</v>
      </c>
      <c r="AC1489" s="73"/>
    </row>
    <row r="1490" spans="1:29" s="20" customFormat="1">
      <c r="A1490" s="327" t="str">
        <f>IF(AND($B1490&lt;&gt;"",$C1490&lt;&gt;""),MAX($A$4:A1489)+1,"")</f>
        <v/>
      </c>
      <c r="B1490" s="361" t="s">
        <v>2216</v>
      </c>
      <c r="C1490" s="364"/>
      <c r="D1490" s="327">
        <f>IF($B1490="","",COUNTIF($B$6:$B1490,$B1490))</f>
        <v>7</v>
      </c>
      <c r="E1490" s="361">
        <v>2104</v>
      </c>
      <c r="F1490" s="362" t="s">
        <v>1738</v>
      </c>
      <c r="G1490" s="361" t="s">
        <v>328</v>
      </c>
      <c r="H1490" s="325"/>
      <c r="I1490" s="327">
        <v>2</v>
      </c>
      <c r="J1490" s="361" t="s">
        <v>2212</v>
      </c>
      <c r="K1490" s="327" t="s">
        <v>516</v>
      </c>
      <c r="L1490" s="348">
        <f>808000*$L$1329</f>
        <v>0</v>
      </c>
      <c r="M1490" s="355"/>
      <c r="N1490" s="355" t="str">
        <f t="shared" si="187"/>
        <v>PR</v>
      </c>
      <c r="O1490" s="347"/>
      <c r="P1490" s="325"/>
      <c r="Q1490" s="351"/>
      <c r="R1490" s="351">
        <v>1.4</v>
      </c>
      <c r="S1490" s="351">
        <v>6</v>
      </c>
      <c r="T1490" s="351"/>
      <c r="U1490" s="329">
        <f>IF($N1490=$N$4,IFERROR(INDEX(DanhMuc!$E$154:$E$165,MATCH(MID($B1490,4,2),DanhMuc!$B$154:$B$165,0)),""),"")</f>
        <v>6000</v>
      </c>
      <c r="V1490" s="325"/>
      <c r="W1490" s="352" t="str">
        <f>+IF(AND($A1490&lt;&gt;"",LEN($B1490)&gt;=8,COUNTIF($B$6:$B1490,$B1490)=1),$W$5,"")</f>
        <v/>
      </c>
      <c r="X1490" s="329" t="str">
        <f t="shared" si="188"/>
        <v>LV</v>
      </c>
      <c r="Y1490" s="1128" t="s">
        <v>3380</v>
      </c>
      <c r="Z1490" s="1128" t="s">
        <v>3381</v>
      </c>
      <c r="AA1490" s="1128" t="s">
        <v>3384</v>
      </c>
      <c r="AC1490" s="73"/>
    </row>
    <row r="1491" spans="1:29" s="20" customFormat="1">
      <c r="A1491" s="327" t="str">
        <f>IF(AND($B1491&lt;&gt;"",$C1491&lt;&gt;""),MAX($A$4:A1490)+1,"")</f>
        <v/>
      </c>
      <c r="B1491" s="361" t="s">
        <v>2216</v>
      </c>
      <c r="C1491" s="364"/>
      <c r="D1491" s="327">
        <f>IF($B1491="","",COUNTIF($B$6:$B1491,$B1491))</f>
        <v>8</v>
      </c>
      <c r="E1491" s="361">
        <v>2104</v>
      </c>
      <c r="F1491" s="362" t="s">
        <v>1738</v>
      </c>
      <c r="G1491" s="361" t="s">
        <v>328</v>
      </c>
      <c r="H1491" s="325"/>
      <c r="I1491" s="327">
        <v>6</v>
      </c>
      <c r="J1491" s="361" t="s">
        <v>1743</v>
      </c>
      <c r="K1491" s="327" t="s">
        <v>516</v>
      </c>
      <c r="L1491" s="348">
        <f>808000*$L$1329</f>
        <v>0</v>
      </c>
      <c r="M1491" s="355"/>
      <c r="N1491" s="355" t="str">
        <f t="shared" si="187"/>
        <v>PR</v>
      </c>
      <c r="O1491" s="347"/>
      <c r="P1491" s="325"/>
      <c r="Q1491" s="351"/>
      <c r="R1491" s="351">
        <v>1.4</v>
      </c>
      <c r="S1491" s="351">
        <v>6</v>
      </c>
      <c r="T1491" s="351"/>
      <c r="U1491" s="329">
        <f>IF($N1491=$N$4,IFERROR(INDEX(DanhMuc!$E$154:$E$165,MATCH(MID($B1491,4,2),DanhMuc!$B$154:$B$165,0)),""),"")</f>
        <v>6000</v>
      </c>
      <c r="V1491" s="325"/>
      <c r="W1491" s="352" t="str">
        <f>+IF(AND($A1491&lt;&gt;"",LEN($B1491)&gt;=8,COUNTIF($B$6:$B1491,$B1491)=1),$W$5,"")</f>
        <v/>
      </c>
      <c r="X1491" s="329" t="str">
        <f t="shared" si="188"/>
        <v>LV</v>
      </c>
      <c r="Y1491" s="1128" t="s">
        <v>3380</v>
      </c>
      <c r="Z1491" s="1128" t="s">
        <v>3381</v>
      </c>
      <c r="AA1491" s="1128" t="s">
        <v>3384</v>
      </c>
      <c r="AC1491" s="73"/>
    </row>
    <row r="1492" spans="1:29" s="20" customFormat="1">
      <c r="A1492" s="327" t="str">
        <f>IF(AND($B1492&lt;&gt;"",$C1492&lt;&gt;""),MAX($A$4:A1491)+1,"")</f>
        <v/>
      </c>
      <c r="B1492" s="361" t="s">
        <v>2216</v>
      </c>
      <c r="C1492" s="364"/>
      <c r="D1492" s="327">
        <f>IF($B1492="","",COUNTIF($B$6:$B1492,$B1492))</f>
        <v>9</v>
      </c>
      <c r="E1492" s="361">
        <v>2109</v>
      </c>
      <c r="F1492" s="362" t="s">
        <v>1735</v>
      </c>
      <c r="G1492" s="361" t="s">
        <v>328</v>
      </c>
      <c r="H1492" s="325"/>
      <c r="I1492" s="327">
        <v>4</v>
      </c>
      <c r="J1492" s="361" t="s">
        <v>1743</v>
      </c>
      <c r="K1492" s="327" t="s">
        <v>531</v>
      </c>
      <c r="L1492" s="348">
        <f>277000*$L$1329</f>
        <v>0</v>
      </c>
      <c r="M1492" s="355"/>
      <c r="N1492" s="355" t="str">
        <f t="shared" si="187"/>
        <v>PR</v>
      </c>
      <c r="O1492" s="347"/>
      <c r="P1492" s="325"/>
      <c r="Q1492" s="351"/>
      <c r="R1492" s="351">
        <v>1.2</v>
      </c>
      <c r="S1492" s="351">
        <v>6</v>
      </c>
      <c r="T1492" s="351"/>
      <c r="U1492" s="329">
        <f>IF($N1492=$N$4,IFERROR(INDEX(DanhMuc!$E$154:$E$165,MATCH(MID($B1492,4,2),DanhMuc!$B$154:$B$165,0)),""),"")</f>
        <v>6000</v>
      </c>
      <c r="V1492" s="325"/>
      <c r="W1492" s="352" t="str">
        <f>+IF(AND($A1492&lt;&gt;"",LEN($B1492)&gt;=8,COUNTIF($B$6:$B1492,$B1492)=1),$W$5,"")</f>
        <v/>
      </c>
      <c r="X1492" s="329" t="str">
        <f t="shared" si="188"/>
        <v>LV</v>
      </c>
      <c r="Y1492" s="1128" t="s">
        <v>3380</v>
      </c>
      <c r="Z1492" s="1128" t="s">
        <v>3381</v>
      </c>
      <c r="AA1492" s="1128" t="s">
        <v>3384</v>
      </c>
      <c r="AC1492" s="73"/>
    </row>
    <row r="1493" spans="1:29" s="20" customFormat="1">
      <c r="A1493" s="327" t="str">
        <f>IF(AND($B1493&lt;&gt;"",$C1493&lt;&gt;""),MAX($A$4:A1492)+1,"")</f>
        <v/>
      </c>
      <c r="B1493" s="361" t="s">
        <v>2216</v>
      </c>
      <c r="C1493" s="364"/>
      <c r="D1493" s="327">
        <f>IF($B1493="","",COUNTIF($B$6:$B1493,$B1493))</f>
        <v>10</v>
      </c>
      <c r="E1493" s="361">
        <v>2116</v>
      </c>
      <c r="F1493" s="362" t="s">
        <v>1739</v>
      </c>
      <c r="G1493" s="361" t="s">
        <v>329</v>
      </c>
      <c r="H1493" s="325"/>
      <c r="I1493" s="327">
        <v>4</v>
      </c>
      <c r="J1493" s="361" t="s">
        <v>2213</v>
      </c>
      <c r="K1493" s="327" t="s">
        <v>531</v>
      </c>
      <c r="L1493" s="348">
        <f>116000*$L$1329</f>
        <v>0</v>
      </c>
      <c r="M1493" s="355"/>
      <c r="N1493" s="355" t="str">
        <f t="shared" si="187"/>
        <v>PR</v>
      </c>
      <c r="O1493" s="347">
        <v>12</v>
      </c>
      <c r="P1493" s="325"/>
      <c r="Q1493" s="351"/>
      <c r="R1493" s="351">
        <v>1</v>
      </c>
      <c r="S1493" s="351">
        <v>6</v>
      </c>
      <c r="T1493" s="351"/>
      <c r="U1493" s="329">
        <f>IF($N1493=$N$4,IFERROR(INDEX(DanhMuc!$E$154:$E$165,MATCH(MID($B1493,4,2),DanhMuc!$B$154:$B$165,0)),""),"")</f>
        <v>6000</v>
      </c>
      <c r="V1493" s="325"/>
      <c r="W1493" s="352" t="str">
        <f>+IF(AND($A1493&lt;&gt;"",LEN($B1493)&gt;=8,COUNTIF($B$6:$B1493,$B1493)=1),$W$5,"")</f>
        <v/>
      </c>
      <c r="X1493" s="329" t="str">
        <f t="shared" si="188"/>
        <v>LV</v>
      </c>
      <c r="Y1493" s="1128" t="s">
        <v>3380</v>
      </c>
      <c r="Z1493" s="1128" t="s">
        <v>3381</v>
      </c>
      <c r="AA1493" s="1128" t="s">
        <v>3384</v>
      </c>
      <c r="AC1493" s="73"/>
    </row>
    <row r="1494" spans="1:29" s="20" customFormat="1">
      <c r="A1494" s="327" t="str">
        <f>IF(AND($B1494&lt;&gt;"",$C1494&lt;&gt;""),MAX($A$4:A1493)+1,"")</f>
        <v/>
      </c>
      <c r="B1494" s="361" t="s">
        <v>2216</v>
      </c>
      <c r="C1494" s="364"/>
      <c r="D1494" s="327">
        <f>IF($B1494="","",COUNTIF($B$6:$B1494,$B1494))</f>
        <v>11</v>
      </c>
      <c r="E1494" s="361">
        <v>2116</v>
      </c>
      <c r="F1494" s="362" t="s">
        <v>1739</v>
      </c>
      <c r="G1494" s="361" t="s">
        <v>329</v>
      </c>
      <c r="H1494" s="325"/>
      <c r="I1494" s="327">
        <v>2</v>
      </c>
      <c r="J1494" s="361" t="s">
        <v>2214</v>
      </c>
      <c r="K1494" s="327" t="s">
        <v>531</v>
      </c>
      <c r="L1494" s="348">
        <f>116000*$L$1329</f>
        <v>0</v>
      </c>
      <c r="M1494" s="355"/>
      <c r="N1494" s="355" t="str">
        <f t="shared" si="187"/>
        <v>PR</v>
      </c>
      <c r="O1494" s="347">
        <v>12</v>
      </c>
      <c r="P1494" s="325"/>
      <c r="Q1494" s="351"/>
      <c r="R1494" s="351">
        <v>1</v>
      </c>
      <c r="S1494" s="351">
        <v>6</v>
      </c>
      <c r="T1494" s="351"/>
      <c r="U1494" s="329">
        <f>IF($N1494=$N$4,IFERROR(INDEX(DanhMuc!$E$154:$E$165,MATCH(MID($B1494,4,2),DanhMuc!$B$154:$B$165,0)),""),"")</f>
        <v>6000</v>
      </c>
      <c r="V1494" s="325"/>
      <c r="W1494" s="352" t="str">
        <f>+IF(AND($A1494&lt;&gt;"",LEN($B1494)&gt;=8,COUNTIF($B$6:$B1494,$B1494)=1),$W$5,"")</f>
        <v/>
      </c>
      <c r="X1494" s="329" t="str">
        <f t="shared" si="188"/>
        <v>LV</v>
      </c>
      <c r="Y1494" s="1128" t="s">
        <v>3380</v>
      </c>
      <c r="Z1494" s="1128" t="s">
        <v>3381</v>
      </c>
      <c r="AA1494" s="1128" t="s">
        <v>3384</v>
      </c>
      <c r="AC1494" s="73"/>
    </row>
    <row r="1495" spans="1:29" s="20" customFormat="1">
      <c r="A1495" s="327" t="str">
        <f>IF(AND($B1495&lt;&gt;"",$C1495&lt;&gt;""),MAX($A$4:A1494)+1,"")</f>
        <v/>
      </c>
      <c r="B1495" s="361" t="s">
        <v>2216</v>
      </c>
      <c r="C1495" s="364"/>
      <c r="D1495" s="327">
        <f>IF($B1495="","",COUNTIF($B$6:$B1495,$B1495))</f>
        <v>12</v>
      </c>
      <c r="E1495" s="361">
        <v>2116</v>
      </c>
      <c r="F1495" s="362" t="s">
        <v>1739</v>
      </c>
      <c r="G1495" s="361" t="s">
        <v>328</v>
      </c>
      <c r="H1495" s="325"/>
      <c r="I1495" s="327">
        <v>6</v>
      </c>
      <c r="J1495" s="361" t="s">
        <v>1745</v>
      </c>
      <c r="K1495" s="327" t="s">
        <v>531</v>
      </c>
      <c r="L1495" s="348">
        <f>116000*$L$1329</f>
        <v>0</v>
      </c>
      <c r="M1495" s="355"/>
      <c r="N1495" s="355" t="str">
        <f t="shared" si="187"/>
        <v>PR</v>
      </c>
      <c r="O1495" s="347">
        <v>12</v>
      </c>
      <c r="P1495" s="325"/>
      <c r="Q1495" s="351"/>
      <c r="R1495" s="351">
        <v>1</v>
      </c>
      <c r="S1495" s="351">
        <v>6</v>
      </c>
      <c r="T1495" s="351"/>
      <c r="U1495" s="329">
        <f>IF($N1495=$N$4,IFERROR(INDEX(DanhMuc!$E$154:$E$165,MATCH(MID($B1495,4,2),DanhMuc!$B$154:$B$165,0)),""),"")</f>
        <v>6000</v>
      </c>
      <c r="V1495" s="325"/>
      <c r="W1495" s="352" t="str">
        <f>+IF(AND($A1495&lt;&gt;"",LEN($B1495)&gt;=8,COUNTIF($B$6:$B1495,$B1495)=1),$W$5,"")</f>
        <v/>
      </c>
      <c r="X1495" s="329" t="str">
        <f t="shared" si="188"/>
        <v>LV</v>
      </c>
      <c r="Y1495" s="1128" t="s">
        <v>3380</v>
      </c>
      <c r="Z1495" s="1128" t="s">
        <v>3381</v>
      </c>
      <c r="AA1495" s="1128" t="s">
        <v>3384</v>
      </c>
      <c r="AC1495" s="73"/>
    </row>
    <row r="1496" spans="1:29" s="20" customFormat="1">
      <c r="A1496" s="327" t="str">
        <f>IF(AND($B1496&lt;&gt;"",$C1496&lt;&gt;""),MAX($A$4:A1495)+1,"")</f>
        <v/>
      </c>
      <c r="B1496" s="361" t="s">
        <v>2216</v>
      </c>
      <c r="C1496" s="364"/>
      <c r="D1496" s="327">
        <f>IF($B1496="","",COUNTIF($B$6:$B1496,$B1496))</f>
        <v>13</v>
      </c>
      <c r="E1496" s="361">
        <v>2117</v>
      </c>
      <c r="F1496" s="362" t="s">
        <v>1740</v>
      </c>
      <c r="G1496" s="361" t="s">
        <v>329</v>
      </c>
      <c r="H1496" s="325"/>
      <c r="I1496" s="327">
        <v>4</v>
      </c>
      <c r="J1496" s="361" t="s">
        <v>2213</v>
      </c>
      <c r="K1496" s="327" t="s">
        <v>531</v>
      </c>
      <c r="L1496" s="348">
        <f>134000*$L$1329</f>
        <v>0</v>
      </c>
      <c r="M1496" s="355"/>
      <c r="N1496" s="355" t="str">
        <f t="shared" si="187"/>
        <v>PR</v>
      </c>
      <c r="O1496" s="347">
        <v>11</v>
      </c>
      <c r="P1496" s="325"/>
      <c r="Q1496" s="351"/>
      <c r="R1496" s="351">
        <v>1</v>
      </c>
      <c r="S1496" s="351">
        <v>6</v>
      </c>
      <c r="T1496" s="351"/>
      <c r="U1496" s="329">
        <f>IF($N1496=$N$4,IFERROR(INDEX(DanhMuc!$E$154:$E$165,MATCH(MID($B1496,4,2),DanhMuc!$B$154:$B$165,0)),""),"")</f>
        <v>6000</v>
      </c>
      <c r="V1496" s="325"/>
      <c r="W1496" s="352" t="str">
        <f>+IF(AND($A1496&lt;&gt;"",LEN($B1496)&gt;=8,COUNTIF($B$6:$B1496,$B1496)=1),$W$5,"")</f>
        <v/>
      </c>
      <c r="X1496" s="329" t="str">
        <f t="shared" si="188"/>
        <v>LV</v>
      </c>
      <c r="Y1496" s="1128" t="s">
        <v>3380</v>
      </c>
      <c r="Z1496" s="1128" t="s">
        <v>3381</v>
      </c>
      <c r="AA1496" s="1128" t="s">
        <v>3384</v>
      </c>
      <c r="AC1496" s="73"/>
    </row>
    <row r="1497" spans="1:29" s="20" customFormat="1">
      <c r="A1497" s="327" t="str">
        <f>IF(AND($B1497&lt;&gt;"",$C1497&lt;&gt;""),MAX($A$4:A1496)+1,"")</f>
        <v/>
      </c>
      <c r="B1497" s="361" t="s">
        <v>2216</v>
      </c>
      <c r="C1497" s="364"/>
      <c r="D1497" s="327">
        <f>IF($B1497="","",COUNTIF($B$6:$B1497,$B1497))</f>
        <v>14</v>
      </c>
      <c r="E1497" s="361">
        <v>2117</v>
      </c>
      <c r="F1497" s="362" t="s">
        <v>1740</v>
      </c>
      <c r="G1497" s="361" t="s">
        <v>329</v>
      </c>
      <c r="H1497" s="325"/>
      <c r="I1497" s="327">
        <v>2</v>
      </c>
      <c r="J1497" s="361" t="s">
        <v>2214</v>
      </c>
      <c r="K1497" s="327" t="s">
        <v>531</v>
      </c>
      <c r="L1497" s="348">
        <f>134000*$L$1329</f>
        <v>0</v>
      </c>
      <c r="M1497" s="355"/>
      <c r="N1497" s="355" t="str">
        <f t="shared" si="187"/>
        <v>PR</v>
      </c>
      <c r="O1497" s="347">
        <v>11</v>
      </c>
      <c r="P1497" s="325"/>
      <c r="Q1497" s="351"/>
      <c r="R1497" s="351">
        <v>1</v>
      </c>
      <c r="S1497" s="351">
        <v>6</v>
      </c>
      <c r="T1497" s="351"/>
      <c r="U1497" s="329">
        <f>IF($N1497=$N$4,IFERROR(INDEX(DanhMuc!$E$154:$E$165,MATCH(MID($B1497,4,2),DanhMuc!$B$154:$B$165,0)),""),"")</f>
        <v>6000</v>
      </c>
      <c r="V1497" s="325"/>
      <c r="W1497" s="352" t="str">
        <f>+IF(AND($A1497&lt;&gt;"",LEN($B1497)&gt;=8,COUNTIF($B$6:$B1497,$B1497)=1),$W$5,"")</f>
        <v/>
      </c>
      <c r="X1497" s="329" t="str">
        <f t="shared" si="188"/>
        <v>LV</v>
      </c>
      <c r="Y1497" s="1128" t="s">
        <v>3380</v>
      </c>
      <c r="Z1497" s="1128" t="s">
        <v>3381</v>
      </c>
      <c r="AA1497" s="1128" t="s">
        <v>3384</v>
      </c>
      <c r="AC1497" s="73"/>
    </row>
    <row r="1498" spans="1:29" s="20" customFormat="1">
      <c r="A1498" s="327" t="str">
        <f>IF(AND($B1498&lt;&gt;"",$C1498&lt;&gt;""),MAX($A$4:A1497)+1,"")</f>
        <v/>
      </c>
      <c r="B1498" s="361" t="s">
        <v>2216</v>
      </c>
      <c r="C1498" s="364"/>
      <c r="D1498" s="327">
        <f>IF($B1498="","",COUNTIF($B$6:$B1498,$B1498))</f>
        <v>15</v>
      </c>
      <c r="E1498" s="361">
        <v>2117</v>
      </c>
      <c r="F1498" s="362" t="s">
        <v>1740</v>
      </c>
      <c r="G1498" s="361" t="s">
        <v>328</v>
      </c>
      <c r="H1498" s="325"/>
      <c r="I1498" s="327">
        <v>6</v>
      </c>
      <c r="J1498" s="361" t="s">
        <v>1745</v>
      </c>
      <c r="K1498" s="327" t="s">
        <v>531</v>
      </c>
      <c r="L1498" s="348">
        <f>134000*$L$1329</f>
        <v>0</v>
      </c>
      <c r="M1498" s="355"/>
      <c r="N1498" s="355" t="str">
        <f t="shared" si="187"/>
        <v>PR</v>
      </c>
      <c r="O1498" s="347">
        <v>11</v>
      </c>
      <c r="P1498" s="325"/>
      <c r="Q1498" s="351"/>
      <c r="R1498" s="351">
        <v>1</v>
      </c>
      <c r="S1498" s="351">
        <v>6</v>
      </c>
      <c r="T1498" s="351"/>
      <c r="U1498" s="329">
        <f>IF($N1498=$N$4,IFERROR(INDEX(DanhMuc!$E$154:$E$165,MATCH(MID($B1498,4,2),DanhMuc!$B$154:$B$165,0)),""),"")</f>
        <v>6000</v>
      </c>
      <c r="V1498" s="325"/>
      <c r="W1498" s="352" t="str">
        <f>+IF(AND($A1498&lt;&gt;"",LEN($B1498)&gt;=8,COUNTIF($B$6:$B1498,$B1498)=1),$W$5,"")</f>
        <v/>
      </c>
      <c r="X1498" s="329" t="str">
        <f t="shared" si="188"/>
        <v>LV</v>
      </c>
      <c r="Y1498" s="1128" t="s">
        <v>3380</v>
      </c>
      <c r="Z1498" s="1128" t="s">
        <v>3381</v>
      </c>
      <c r="AA1498" s="1128" t="s">
        <v>3384</v>
      </c>
      <c r="AC1498" s="73"/>
    </row>
    <row r="1499" spans="1:29" s="20" customFormat="1" ht="39">
      <c r="A1499" s="327">
        <f>IF(AND($B1499&lt;&gt;"",$C1499&lt;&gt;""),MAX($A$4:A1483)+1,"")</f>
        <v>107</v>
      </c>
      <c r="B1499" s="359" t="s">
        <v>1752</v>
      </c>
      <c r="C1499" s="370" t="s">
        <v>1753</v>
      </c>
      <c r="D1499" s="327">
        <f>IF($B1499="","",COUNTIF($B$6:$B1499,$B1499))</f>
        <v>1</v>
      </c>
      <c r="E1499" s="363">
        <v>2101</v>
      </c>
      <c r="F1499" s="362" t="s">
        <v>1736</v>
      </c>
      <c r="G1499" s="361" t="s">
        <v>329</v>
      </c>
      <c r="H1499" s="325"/>
      <c r="I1499" s="327">
        <v>2</v>
      </c>
      <c r="J1499" s="361" t="s">
        <v>81</v>
      </c>
      <c r="K1499" s="327" t="s">
        <v>516</v>
      </c>
      <c r="L1499" s="348">
        <f>1115000*$L$1329</f>
        <v>0</v>
      </c>
      <c r="M1499" s="355"/>
      <c r="N1499" s="355" t="str">
        <f t="shared" si="187"/>
        <v>PR</v>
      </c>
      <c r="O1499" s="345"/>
      <c r="P1499" s="325"/>
      <c r="Q1499" s="351"/>
      <c r="R1499" s="351">
        <v>1.8</v>
      </c>
      <c r="S1499" s="351">
        <v>6</v>
      </c>
      <c r="T1499" s="351"/>
      <c r="U1499" s="329">
        <f>IF($N1499=$N$4,IFERROR(INDEX(DanhMuc!$E$154:$E$165,MATCH(MID($B1499,4,2),DanhMuc!$B$154:$B$165,0)),""),"")</f>
        <v>6000</v>
      </c>
      <c r="V1499" s="325"/>
      <c r="W1499" s="352" t="str">
        <f>+IF(AND($A1499&lt;&gt;"",LEN($B1499)&gt;=8,COUNTIF($B$6:$B1499,$B1499)=1),$W$5,"")</f>
        <v>DMCua</v>
      </c>
      <c r="X1499" s="329" t="str">
        <f t="shared" si="188"/>
        <v>LV</v>
      </c>
      <c r="Y1499" s="1128" t="s">
        <v>3380</v>
      </c>
      <c r="Z1499" s="1128" t="s">
        <v>3381</v>
      </c>
      <c r="AA1499" s="1128" t="s">
        <v>3384</v>
      </c>
      <c r="AC1499" s="73"/>
    </row>
    <row r="1500" spans="1:29" s="20" customFormat="1" ht="25">
      <c r="A1500" s="327" t="str">
        <f>IF(AND($B1500&lt;&gt;"",$C1500&lt;&gt;""),MAX($A$4:A1499)+1,"")</f>
        <v/>
      </c>
      <c r="B1500" s="361" t="s">
        <v>1752</v>
      </c>
      <c r="C1500" s="364"/>
      <c r="D1500" s="327">
        <f>IF($B1500="","",COUNTIF($B$6:$B1500,$B1500))</f>
        <v>2</v>
      </c>
      <c r="E1500" s="363">
        <v>2101</v>
      </c>
      <c r="F1500" s="362" t="s">
        <v>1736</v>
      </c>
      <c r="G1500" s="361" t="s">
        <v>328</v>
      </c>
      <c r="H1500" s="325"/>
      <c r="I1500" s="327">
        <v>2</v>
      </c>
      <c r="J1500" s="361" t="s">
        <v>80</v>
      </c>
      <c r="K1500" s="327" t="s">
        <v>516</v>
      </c>
      <c r="L1500" s="348">
        <f>1115000*$L$1329</f>
        <v>0</v>
      </c>
      <c r="M1500" s="355"/>
      <c r="N1500" s="355" t="str">
        <f t="shared" si="187"/>
        <v>PR</v>
      </c>
      <c r="O1500" s="347"/>
      <c r="P1500" s="325"/>
      <c r="Q1500" s="351"/>
      <c r="R1500" s="351">
        <v>1.8</v>
      </c>
      <c r="S1500" s="351">
        <v>6</v>
      </c>
      <c r="T1500" s="351"/>
      <c r="U1500" s="329">
        <f>IF($N1500=$N$4,IFERROR(INDEX(DanhMuc!$E$154:$E$165,MATCH(MID($B1500,4,2),DanhMuc!$B$154:$B$165,0)),""),"")</f>
        <v>6000</v>
      </c>
      <c r="V1500" s="325"/>
      <c r="W1500" s="352" t="str">
        <f>+IF(AND($A1500&lt;&gt;"",LEN($B1500)&gt;=8,COUNTIF($B$6:$B1500,$B1500)=1),$W$5,"")</f>
        <v/>
      </c>
      <c r="X1500" s="329" t="str">
        <f t="shared" si="188"/>
        <v>LV</v>
      </c>
      <c r="Y1500" s="1128" t="s">
        <v>3380</v>
      </c>
      <c r="Z1500" s="1128" t="s">
        <v>3381</v>
      </c>
      <c r="AA1500" s="1128" t="s">
        <v>3384</v>
      </c>
      <c r="AC1500" s="73"/>
    </row>
    <row r="1501" spans="1:29" s="20" customFormat="1">
      <c r="A1501" s="327" t="str">
        <f>IF(AND($B1501&lt;&gt;"",$C1501&lt;&gt;""),MAX($A$4:A1500)+1,"")</f>
        <v/>
      </c>
      <c r="B1501" s="361" t="s">
        <v>1752</v>
      </c>
      <c r="C1501" s="364"/>
      <c r="D1501" s="327">
        <f>IF($B1501="","",COUNTIF($B$6:$B1501,$B1501))</f>
        <v>3</v>
      </c>
      <c r="E1501" s="361">
        <v>2111</v>
      </c>
      <c r="F1501" s="362" t="s">
        <v>1737</v>
      </c>
      <c r="G1501" s="361" t="s">
        <v>329</v>
      </c>
      <c r="H1501" s="325"/>
      <c r="I1501" s="327">
        <v>2</v>
      </c>
      <c r="J1501" s="361" t="s">
        <v>791</v>
      </c>
      <c r="K1501" s="327" t="s">
        <v>531</v>
      </c>
      <c r="L1501" s="348">
        <f>81000*$L$1329</f>
        <v>0</v>
      </c>
      <c r="M1501" s="355"/>
      <c r="N1501" s="355" t="str">
        <f t="shared" si="187"/>
        <v>PR</v>
      </c>
      <c r="O1501" s="345"/>
      <c r="P1501" s="325"/>
      <c r="Q1501" s="351"/>
      <c r="R1501" s="351">
        <v>1.8</v>
      </c>
      <c r="S1501" s="351">
        <v>6</v>
      </c>
      <c r="T1501" s="351"/>
      <c r="U1501" s="329">
        <f>IF($N1501=$N$4,IFERROR(INDEX(DanhMuc!$E$154:$E$165,MATCH(MID($B1501,4,2),DanhMuc!$B$154:$B$165,0)),""),"")</f>
        <v>6000</v>
      </c>
      <c r="V1501" s="325"/>
      <c r="W1501" s="352" t="str">
        <f>+IF(AND($A1501&lt;&gt;"",LEN($B1501)&gt;=8,COUNTIF($B$6:$B1501,$B1501)=1),$W$5,"")</f>
        <v/>
      </c>
      <c r="X1501" s="329" t="str">
        <f t="shared" si="188"/>
        <v>LV</v>
      </c>
      <c r="Y1501" s="1128" t="s">
        <v>3380</v>
      </c>
      <c r="Z1501" s="1128" t="s">
        <v>3381</v>
      </c>
      <c r="AA1501" s="1128" t="s">
        <v>3384</v>
      </c>
      <c r="AC1501" s="73"/>
    </row>
    <row r="1502" spans="1:29" s="20" customFormat="1">
      <c r="A1502" s="327" t="str">
        <f>IF(AND($B1502&lt;&gt;"",$C1502&lt;&gt;""),MAX($A$4:A1501)+1,"")</f>
        <v/>
      </c>
      <c r="B1502" s="361" t="s">
        <v>1752</v>
      </c>
      <c r="C1502" s="364"/>
      <c r="D1502" s="327">
        <f>IF($B1502="","",COUNTIF($B$6:$B1502,$B1502))</f>
        <v>4</v>
      </c>
      <c r="E1502" s="361">
        <v>2112</v>
      </c>
      <c r="F1502" s="362" t="s">
        <v>1734</v>
      </c>
      <c r="G1502" s="361" t="s">
        <v>329</v>
      </c>
      <c r="H1502" s="325"/>
      <c r="I1502" s="327">
        <v>2</v>
      </c>
      <c r="J1502" s="361" t="s">
        <v>791</v>
      </c>
      <c r="K1502" s="327" t="s">
        <v>531</v>
      </c>
      <c r="L1502" s="348">
        <f>67000*$L$1329</f>
        <v>0</v>
      </c>
      <c r="M1502" s="355"/>
      <c r="N1502" s="355" t="str">
        <f t="shared" si="187"/>
        <v>PR</v>
      </c>
      <c r="O1502" s="345"/>
      <c r="P1502" s="325"/>
      <c r="Q1502" s="351"/>
      <c r="R1502" s="351">
        <v>1.8</v>
      </c>
      <c r="S1502" s="351">
        <v>6</v>
      </c>
      <c r="T1502" s="351"/>
      <c r="U1502" s="329">
        <f>IF($N1502=$N$4,IFERROR(INDEX(DanhMuc!$E$154:$E$165,MATCH(MID($B1502,4,2),DanhMuc!$B$154:$B$165,0)),""),"")</f>
        <v>6000</v>
      </c>
      <c r="V1502" s="325"/>
      <c r="W1502" s="352" t="str">
        <f>+IF(AND($A1502&lt;&gt;"",LEN($B1502)&gt;=8,COUNTIF($B$6:$B1502,$B1502)=1),$W$5,"")</f>
        <v/>
      </c>
      <c r="X1502" s="329" t="str">
        <f t="shared" si="188"/>
        <v>LV</v>
      </c>
      <c r="Y1502" s="1128" t="s">
        <v>3380</v>
      </c>
      <c r="Z1502" s="1128" t="s">
        <v>3381</v>
      </c>
      <c r="AA1502" s="1128" t="s">
        <v>3384</v>
      </c>
      <c r="AC1502" s="73"/>
    </row>
    <row r="1503" spans="1:29" s="20" customFormat="1">
      <c r="A1503" s="327" t="str">
        <f>IF(AND($B1503&lt;&gt;"",$C1503&lt;&gt;""),MAX($A$4:A1502)+1,"")</f>
        <v/>
      </c>
      <c r="B1503" s="361" t="s">
        <v>1752</v>
      </c>
      <c r="C1503" s="364"/>
      <c r="D1503" s="327">
        <f>IF($B1503="","",COUNTIF($B$6:$B1503,$B1503))</f>
        <v>5</v>
      </c>
      <c r="E1503" s="361">
        <v>2112</v>
      </c>
      <c r="F1503" s="362" t="s">
        <v>1734</v>
      </c>
      <c r="G1503" s="361" t="s">
        <v>328</v>
      </c>
      <c r="H1503" s="325"/>
      <c r="I1503" s="327">
        <v>4</v>
      </c>
      <c r="J1503" s="361" t="s">
        <v>1741</v>
      </c>
      <c r="K1503" s="327" t="s">
        <v>531</v>
      </c>
      <c r="L1503" s="348">
        <f>67000*$L$1329</f>
        <v>0</v>
      </c>
      <c r="M1503" s="355"/>
      <c r="N1503" s="355" t="str">
        <f t="shared" si="187"/>
        <v>PR</v>
      </c>
      <c r="O1503" s="345"/>
      <c r="P1503" s="325"/>
      <c r="Q1503" s="351"/>
      <c r="R1503" s="351">
        <v>1.8</v>
      </c>
      <c r="S1503" s="351">
        <v>6</v>
      </c>
      <c r="T1503" s="351"/>
      <c r="U1503" s="329">
        <f>IF($N1503=$N$4,IFERROR(INDEX(DanhMuc!$E$154:$E$165,MATCH(MID($B1503,4,2),DanhMuc!$B$154:$B$165,0)),""),"")</f>
        <v>6000</v>
      </c>
      <c r="V1503" s="325"/>
      <c r="W1503" s="352" t="str">
        <f>+IF(AND($A1503&lt;&gt;"",LEN($B1503)&gt;=8,COUNTIF($B$6:$B1503,$B1503)=1),$W$5,"")</f>
        <v/>
      </c>
      <c r="X1503" s="329" t="str">
        <f t="shared" si="188"/>
        <v>LV</v>
      </c>
      <c r="Y1503" s="1128" t="s">
        <v>3380</v>
      </c>
      <c r="Z1503" s="1128" t="s">
        <v>3381</v>
      </c>
      <c r="AA1503" s="1128" t="s">
        <v>3384</v>
      </c>
      <c r="AC1503" s="73"/>
    </row>
    <row r="1504" spans="1:29" s="20" customFormat="1">
      <c r="A1504" s="327" t="str">
        <f>IF(AND($B1504&lt;&gt;"",$C1504&lt;&gt;""),MAX($A$4:A1503)+1,"")</f>
        <v/>
      </c>
      <c r="B1504" s="361" t="s">
        <v>1752</v>
      </c>
      <c r="C1504" s="364"/>
      <c r="D1504" s="327">
        <f>IF($B1504="","",COUNTIF($B$6:$B1504,$B1504))</f>
        <v>6</v>
      </c>
      <c r="E1504" s="361">
        <v>2104</v>
      </c>
      <c r="F1504" s="362" t="s">
        <v>1738</v>
      </c>
      <c r="G1504" s="361" t="s">
        <v>329</v>
      </c>
      <c r="H1504" s="325"/>
      <c r="I1504" s="327">
        <v>8</v>
      </c>
      <c r="J1504" s="361" t="s">
        <v>1777</v>
      </c>
      <c r="K1504" s="327" t="s">
        <v>516</v>
      </c>
      <c r="L1504" s="348">
        <f>808000*$L$1329</f>
        <v>0</v>
      </c>
      <c r="M1504" s="355"/>
      <c r="N1504" s="355" t="str">
        <f t="shared" si="187"/>
        <v>PR</v>
      </c>
      <c r="O1504" s="345"/>
      <c r="P1504" s="325"/>
      <c r="Q1504" s="351"/>
      <c r="R1504" s="351">
        <v>1.4</v>
      </c>
      <c r="S1504" s="351">
        <v>6</v>
      </c>
      <c r="T1504" s="351"/>
      <c r="U1504" s="329">
        <f>IF($N1504=$N$4,IFERROR(INDEX(DanhMuc!$E$154:$E$165,MATCH(MID($B1504,4,2),DanhMuc!$B$154:$B$165,0)),""),"")</f>
        <v>6000</v>
      </c>
      <c r="V1504" s="325"/>
      <c r="W1504" s="352" t="str">
        <f>+IF(AND($A1504&lt;&gt;"",LEN($B1504)&gt;=8,COUNTIF($B$6:$B1504,$B1504)=1),$W$5,"")</f>
        <v/>
      </c>
      <c r="X1504" s="329" t="str">
        <f t="shared" si="188"/>
        <v>LV</v>
      </c>
      <c r="Y1504" s="1128" t="s">
        <v>3380</v>
      </c>
      <c r="Z1504" s="1128" t="s">
        <v>3381</v>
      </c>
      <c r="AA1504" s="1128" t="s">
        <v>3384</v>
      </c>
      <c r="AC1504" s="73"/>
    </row>
    <row r="1505" spans="1:29" s="20" customFormat="1">
      <c r="A1505" s="327" t="str">
        <f>IF(AND($B1505&lt;&gt;"",$C1505&lt;&gt;""),MAX($A$4:A1504)+1,"")</f>
        <v/>
      </c>
      <c r="B1505" s="361" t="s">
        <v>1752</v>
      </c>
      <c r="C1505" s="364"/>
      <c r="D1505" s="327">
        <f>IF($B1505="","",COUNTIF($B$6:$B1505,$B1505))</f>
        <v>7</v>
      </c>
      <c r="E1505" s="361">
        <v>2104</v>
      </c>
      <c r="F1505" s="362" t="s">
        <v>1738</v>
      </c>
      <c r="G1505" s="361" t="s">
        <v>328</v>
      </c>
      <c r="H1505" s="325"/>
      <c r="I1505" s="327">
        <v>8</v>
      </c>
      <c r="J1505" s="361" t="s">
        <v>1743</v>
      </c>
      <c r="K1505" s="327" t="s">
        <v>516</v>
      </c>
      <c r="L1505" s="348">
        <f>808000*$L$1329</f>
        <v>0</v>
      </c>
      <c r="M1505" s="355"/>
      <c r="N1505" s="355" t="str">
        <f t="shared" si="187"/>
        <v>PR</v>
      </c>
      <c r="O1505" s="347"/>
      <c r="P1505" s="325"/>
      <c r="Q1505" s="351"/>
      <c r="R1505" s="351">
        <v>1.4</v>
      </c>
      <c r="S1505" s="351">
        <v>6</v>
      </c>
      <c r="T1505" s="351"/>
      <c r="U1505" s="329">
        <f>IF($N1505=$N$4,IFERROR(INDEX(DanhMuc!$E$154:$E$165,MATCH(MID($B1505,4,2),DanhMuc!$B$154:$B$165,0)),""),"")</f>
        <v>6000</v>
      </c>
      <c r="V1505" s="325"/>
      <c r="W1505" s="352" t="str">
        <f>+IF(AND($A1505&lt;&gt;"",LEN($B1505)&gt;=8,COUNTIF($B$6:$B1505,$B1505)=1),$W$5,"")</f>
        <v/>
      </c>
      <c r="X1505" s="329" t="str">
        <f t="shared" si="188"/>
        <v>LV</v>
      </c>
      <c r="Y1505" s="1128" t="s">
        <v>3380</v>
      </c>
      <c r="Z1505" s="1128" t="s">
        <v>3381</v>
      </c>
      <c r="AA1505" s="1128" t="s">
        <v>3384</v>
      </c>
      <c r="AC1505" s="73"/>
    </row>
    <row r="1506" spans="1:29" s="20" customFormat="1">
      <c r="A1506" s="327" t="str">
        <f>IF(AND($B1506&lt;&gt;"",$C1506&lt;&gt;""),MAX($A$4:A1505)+1,"")</f>
        <v/>
      </c>
      <c r="B1506" s="361" t="s">
        <v>1752</v>
      </c>
      <c r="C1506" s="364"/>
      <c r="D1506" s="327">
        <f>IF($B1506="","",COUNTIF($B$6:$B1506,$B1506))</f>
        <v>8</v>
      </c>
      <c r="E1506" s="361">
        <v>2109</v>
      </c>
      <c r="F1506" s="362" t="s">
        <v>1776</v>
      </c>
      <c r="G1506" s="361" t="s">
        <v>328</v>
      </c>
      <c r="H1506" s="325"/>
      <c r="I1506" s="327">
        <v>4</v>
      </c>
      <c r="J1506" s="361" t="s">
        <v>1743</v>
      </c>
      <c r="K1506" s="327" t="s">
        <v>531</v>
      </c>
      <c r="L1506" s="348">
        <f>277000*$L$1329</f>
        <v>0</v>
      </c>
      <c r="M1506" s="355"/>
      <c r="N1506" s="355" t="str">
        <f t="shared" si="187"/>
        <v>PR</v>
      </c>
      <c r="O1506" s="347"/>
      <c r="P1506" s="325"/>
      <c r="Q1506" s="351"/>
      <c r="R1506" s="351">
        <v>1.2</v>
      </c>
      <c r="S1506" s="351">
        <v>6</v>
      </c>
      <c r="T1506" s="351"/>
      <c r="U1506" s="329">
        <f>IF($N1506=$N$4,IFERROR(INDEX(DanhMuc!$E$154:$E$165,MATCH(MID($B1506,4,2),DanhMuc!$B$154:$B$165,0)),""),"")</f>
        <v>6000</v>
      </c>
      <c r="V1506" s="325"/>
      <c r="W1506" s="352" t="str">
        <f>+IF(AND($A1506&lt;&gt;"",LEN($B1506)&gt;=8,COUNTIF($B$6:$B1506,$B1506)=1),$W$5,"")</f>
        <v/>
      </c>
      <c r="X1506" s="329" t="str">
        <f t="shared" si="188"/>
        <v>LV</v>
      </c>
      <c r="Y1506" s="1128" t="s">
        <v>3380</v>
      </c>
      <c r="Z1506" s="1128" t="s">
        <v>3381</v>
      </c>
      <c r="AA1506" s="1128" t="s">
        <v>3384</v>
      </c>
      <c r="AC1506" s="73"/>
    </row>
    <row r="1507" spans="1:29" s="20" customFormat="1">
      <c r="A1507" s="327" t="str">
        <f>IF(AND($B1507&lt;&gt;"",$C1507&lt;&gt;""),MAX($A$4:A1506)+1,"")</f>
        <v/>
      </c>
      <c r="B1507" s="361" t="s">
        <v>1752</v>
      </c>
      <c r="C1507" s="364"/>
      <c r="D1507" s="327">
        <f>IF($B1507="","",COUNTIF($B$6:$B1507,$B1507))</f>
        <v>9</v>
      </c>
      <c r="E1507" s="361">
        <v>2110</v>
      </c>
      <c r="F1507" s="362" t="s">
        <v>1775</v>
      </c>
      <c r="G1507" s="361" t="s">
        <v>328</v>
      </c>
      <c r="H1507" s="325"/>
      <c r="I1507" s="327">
        <v>1</v>
      </c>
      <c r="J1507" s="361" t="s">
        <v>1743</v>
      </c>
      <c r="K1507" s="327" t="s">
        <v>531</v>
      </c>
      <c r="L1507" s="348">
        <f>210000*$L$1329</f>
        <v>0</v>
      </c>
      <c r="M1507" s="355"/>
      <c r="N1507" s="355" t="str">
        <f t="shared" si="187"/>
        <v>PR</v>
      </c>
      <c r="O1507" s="347"/>
      <c r="P1507" s="325"/>
      <c r="Q1507" s="351"/>
      <c r="R1507" s="351">
        <v>1.2</v>
      </c>
      <c r="S1507" s="351">
        <v>6</v>
      </c>
      <c r="T1507" s="351"/>
      <c r="U1507" s="329">
        <f>IF($N1507=$N$4,IFERROR(INDEX(DanhMuc!$E$154:$E$165,MATCH(MID($B1507,4,2),DanhMuc!$B$154:$B$165,0)),""),"")</f>
        <v>6000</v>
      </c>
      <c r="V1507" s="325"/>
      <c r="W1507" s="352" t="str">
        <f>+IF(AND($A1507&lt;&gt;"",LEN($B1507)&gt;=8,COUNTIF($B$6:$B1507,$B1507)=1),$W$5,"")</f>
        <v/>
      </c>
      <c r="X1507" s="329" t="str">
        <f t="shared" si="188"/>
        <v>LV</v>
      </c>
      <c r="Y1507" s="1128" t="s">
        <v>3380</v>
      </c>
      <c r="Z1507" s="1128" t="s">
        <v>3381</v>
      </c>
      <c r="AA1507" s="1128" t="s">
        <v>3384</v>
      </c>
      <c r="AC1507" s="73"/>
    </row>
    <row r="1508" spans="1:29" s="20" customFormat="1">
      <c r="A1508" s="327" t="str">
        <f>IF(AND($B1508&lt;&gt;"",$C1508&lt;&gt;""),MAX($A$4:A1507)+1,"")</f>
        <v/>
      </c>
      <c r="B1508" s="361" t="s">
        <v>1752</v>
      </c>
      <c r="C1508" s="364"/>
      <c r="D1508" s="327">
        <f>IF($B1508="","",COUNTIF($B$6:$B1508,$B1508))</f>
        <v>10</v>
      </c>
      <c r="E1508" s="361">
        <v>2116</v>
      </c>
      <c r="F1508" s="362" t="s">
        <v>1739</v>
      </c>
      <c r="G1508" s="361" t="s">
        <v>329</v>
      </c>
      <c r="H1508" s="325"/>
      <c r="I1508" s="327">
        <v>8</v>
      </c>
      <c r="J1508" s="361" t="s">
        <v>1778</v>
      </c>
      <c r="K1508" s="327" t="s">
        <v>531</v>
      </c>
      <c r="L1508" s="348">
        <f>116000*$L$1329</f>
        <v>0</v>
      </c>
      <c r="M1508" s="355"/>
      <c r="N1508" s="355" t="str">
        <f t="shared" si="187"/>
        <v>PR</v>
      </c>
      <c r="O1508" s="347">
        <v>12</v>
      </c>
      <c r="P1508" s="325"/>
      <c r="Q1508" s="351"/>
      <c r="R1508" s="351">
        <v>1</v>
      </c>
      <c r="S1508" s="351">
        <v>6</v>
      </c>
      <c r="T1508" s="351"/>
      <c r="U1508" s="329">
        <f>IF($N1508=$N$4,IFERROR(INDEX(DanhMuc!$E$154:$E$165,MATCH(MID($B1508,4,2),DanhMuc!$B$154:$B$165,0)),""),"")</f>
        <v>6000</v>
      </c>
      <c r="V1508" s="325"/>
      <c r="W1508" s="352" t="str">
        <f>+IF(AND($A1508&lt;&gt;"",LEN($B1508)&gt;=8,COUNTIF($B$6:$B1508,$B1508)=1),$W$5,"")</f>
        <v/>
      </c>
      <c r="X1508" s="329" t="str">
        <f t="shared" si="188"/>
        <v>LV</v>
      </c>
      <c r="Y1508" s="1128" t="s">
        <v>3380</v>
      </c>
      <c r="Z1508" s="1128" t="s">
        <v>3381</v>
      </c>
      <c r="AA1508" s="1128" t="s">
        <v>3384</v>
      </c>
      <c r="AC1508" s="73"/>
    </row>
    <row r="1509" spans="1:29" s="20" customFormat="1">
      <c r="A1509" s="327" t="str">
        <f>IF(AND($B1509&lt;&gt;"",$C1509&lt;&gt;""),MAX($A$4:A1508)+1,"")</f>
        <v/>
      </c>
      <c r="B1509" s="361" t="s">
        <v>1752</v>
      </c>
      <c r="C1509" s="364"/>
      <c r="D1509" s="327">
        <f>IF($B1509="","",COUNTIF($B$6:$B1509,$B1509))</f>
        <v>11</v>
      </c>
      <c r="E1509" s="361">
        <v>2116</v>
      </c>
      <c r="F1509" s="362" t="s">
        <v>1739</v>
      </c>
      <c r="G1509" s="361" t="s">
        <v>328</v>
      </c>
      <c r="H1509" s="325"/>
      <c r="I1509" s="327">
        <v>8</v>
      </c>
      <c r="J1509" s="361" t="s">
        <v>1745</v>
      </c>
      <c r="K1509" s="327" t="s">
        <v>531</v>
      </c>
      <c r="L1509" s="348">
        <f>116000*$L$1329</f>
        <v>0</v>
      </c>
      <c r="M1509" s="355"/>
      <c r="N1509" s="355" t="str">
        <f t="shared" si="187"/>
        <v>PR</v>
      </c>
      <c r="O1509" s="347">
        <v>12</v>
      </c>
      <c r="P1509" s="325"/>
      <c r="Q1509" s="351"/>
      <c r="R1509" s="351">
        <v>1</v>
      </c>
      <c r="S1509" s="351">
        <v>6</v>
      </c>
      <c r="T1509" s="351"/>
      <c r="U1509" s="329">
        <f>IF($N1509=$N$4,IFERROR(INDEX(DanhMuc!$E$154:$E$165,MATCH(MID($B1509,4,2),DanhMuc!$B$154:$B$165,0)),""),"")</f>
        <v>6000</v>
      </c>
      <c r="V1509" s="325"/>
      <c r="W1509" s="352" t="str">
        <f>+IF(AND($A1509&lt;&gt;"",LEN($B1509)&gt;=8,COUNTIF($B$6:$B1509,$B1509)=1),$W$5,"")</f>
        <v/>
      </c>
      <c r="X1509" s="329" t="str">
        <f t="shared" si="188"/>
        <v>LV</v>
      </c>
      <c r="Y1509" s="1128" t="s">
        <v>3380</v>
      </c>
      <c r="Z1509" s="1128" t="s">
        <v>3381</v>
      </c>
      <c r="AA1509" s="1128" t="s">
        <v>3384</v>
      </c>
      <c r="AC1509" s="73"/>
    </row>
    <row r="1510" spans="1:29" s="20" customFormat="1">
      <c r="A1510" s="327" t="str">
        <f>IF(AND($B1510&lt;&gt;"",$C1510&lt;&gt;""),MAX($A$4:A1509)+1,"")</f>
        <v/>
      </c>
      <c r="B1510" s="361" t="s">
        <v>1752</v>
      </c>
      <c r="C1510" s="364"/>
      <c r="D1510" s="327">
        <f>IF($B1510="","",COUNTIF($B$6:$B1510,$B1510))</f>
        <v>12</v>
      </c>
      <c r="E1510" s="361">
        <v>2117</v>
      </c>
      <c r="F1510" s="362" t="s">
        <v>1740</v>
      </c>
      <c r="G1510" s="361" t="s">
        <v>329</v>
      </c>
      <c r="H1510" s="325"/>
      <c r="I1510" s="327">
        <v>8</v>
      </c>
      <c r="J1510" s="361" t="s">
        <v>1744</v>
      </c>
      <c r="K1510" s="327" t="s">
        <v>531</v>
      </c>
      <c r="L1510" s="348">
        <f>134000*$L$1329</f>
        <v>0</v>
      </c>
      <c r="M1510" s="355"/>
      <c r="N1510" s="355" t="str">
        <f t="shared" si="187"/>
        <v>PR</v>
      </c>
      <c r="O1510" s="347">
        <v>11</v>
      </c>
      <c r="P1510" s="325"/>
      <c r="Q1510" s="351"/>
      <c r="R1510" s="351">
        <v>1</v>
      </c>
      <c r="S1510" s="351">
        <v>6</v>
      </c>
      <c r="T1510" s="351"/>
      <c r="U1510" s="329">
        <f>IF($N1510=$N$4,IFERROR(INDEX(DanhMuc!$E$154:$E$165,MATCH(MID($B1510,4,2),DanhMuc!$B$154:$B$165,0)),""),"")</f>
        <v>6000</v>
      </c>
      <c r="V1510" s="325"/>
      <c r="W1510" s="352" t="str">
        <f>+IF(AND($A1510&lt;&gt;"",LEN($B1510)&gt;=8,COUNTIF($B$6:$B1510,$B1510)=1),$W$5,"")</f>
        <v/>
      </c>
      <c r="X1510" s="329" t="str">
        <f t="shared" si="188"/>
        <v>LV</v>
      </c>
      <c r="Y1510" s="1128" t="s">
        <v>3380</v>
      </c>
      <c r="Z1510" s="1128" t="s">
        <v>3381</v>
      </c>
      <c r="AA1510" s="1128" t="s">
        <v>3384</v>
      </c>
      <c r="AC1510" s="73"/>
    </row>
    <row r="1511" spans="1:29" s="20" customFormat="1">
      <c r="A1511" s="327" t="str">
        <f>IF(AND($B1511&lt;&gt;"",$C1511&lt;&gt;""),MAX($A$4:A1510)+1,"")</f>
        <v/>
      </c>
      <c r="B1511" s="361" t="s">
        <v>1752</v>
      </c>
      <c r="C1511" s="364"/>
      <c r="D1511" s="327">
        <f>IF($B1511="","",COUNTIF($B$6:$B1511,$B1511))</f>
        <v>13</v>
      </c>
      <c r="E1511" s="361">
        <v>2117</v>
      </c>
      <c r="F1511" s="362" t="s">
        <v>1740</v>
      </c>
      <c r="G1511" s="361" t="s">
        <v>328</v>
      </c>
      <c r="H1511" s="325"/>
      <c r="I1511" s="327">
        <v>8</v>
      </c>
      <c r="J1511" s="361" t="s">
        <v>1745</v>
      </c>
      <c r="K1511" s="327" t="s">
        <v>531</v>
      </c>
      <c r="L1511" s="348">
        <f>134000*$L$1329</f>
        <v>0</v>
      </c>
      <c r="M1511" s="355"/>
      <c r="N1511" s="355" t="str">
        <f t="shared" si="187"/>
        <v>PR</v>
      </c>
      <c r="O1511" s="347">
        <v>11</v>
      </c>
      <c r="P1511" s="325"/>
      <c r="Q1511" s="351"/>
      <c r="R1511" s="351">
        <v>1</v>
      </c>
      <c r="S1511" s="351">
        <v>6</v>
      </c>
      <c r="T1511" s="351"/>
      <c r="U1511" s="329">
        <f>IF($N1511=$N$4,IFERROR(INDEX(DanhMuc!$E$154:$E$165,MATCH(MID($B1511,4,2),DanhMuc!$B$154:$B$165,0)),""),"")</f>
        <v>6000</v>
      </c>
      <c r="V1511" s="325"/>
      <c r="W1511" s="352" t="str">
        <f>+IF(AND($A1511&lt;&gt;"",LEN($B1511)&gt;=8,COUNTIF($B$6:$B1511,$B1511)=1),$W$5,"")</f>
        <v/>
      </c>
      <c r="X1511" s="329" t="str">
        <f t="shared" si="188"/>
        <v>LV</v>
      </c>
      <c r="Y1511" s="1128" t="s">
        <v>3380</v>
      </c>
      <c r="Z1511" s="1128" t="s">
        <v>3381</v>
      </c>
      <c r="AA1511" s="1128" t="s">
        <v>3384</v>
      </c>
      <c r="AC1511" s="73"/>
    </row>
    <row r="1512" spans="1:29" s="20" customFormat="1" ht="26">
      <c r="A1512" s="327">
        <f>IF(AND($B1512&lt;&gt;"",$C1512&lt;&gt;""),MAX($A$4:A1511)+1,"")</f>
        <v>108</v>
      </c>
      <c r="B1512" s="359" t="s">
        <v>1794</v>
      </c>
      <c r="C1512" s="370" t="s">
        <v>1795</v>
      </c>
      <c r="D1512" s="327">
        <f>IF($B1512="","",COUNTIF($B$6:$B1512,$B1512))</f>
        <v>1</v>
      </c>
      <c r="E1512" s="363">
        <v>1101</v>
      </c>
      <c r="F1512" s="362" t="s">
        <v>1519</v>
      </c>
      <c r="G1512" s="361" t="s">
        <v>329</v>
      </c>
      <c r="H1512" s="325"/>
      <c r="I1512" s="327">
        <v>2</v>
      </c>
      <c r="J1512" s="361" t="s">
        <v>81</v>
      </c>
      <c r="K1512" s="327" t="s">
        <v>516</v>
      </c>
      <c r="L1512" s="348">
        <f>978000*$L$1329</f>
        <v>0</v>
      </c>
      <c r="M1512" s="355"/>
      <c r="N1512" s="355" t="str">
        <f t="shared" si="187"/>
        <v>PR</v>
      </c>
      <c r="O1512" s="345"/>
      <c r="P1512" s="325"/>
      <c r="Q1512" s="351"/>
      <c r="R1512" s="351">
        <v>1.8</v>
      </c>
      <c r="S1512" s="351">
        <v>6</v>
      </c>
      <c r="T1512" s="351"/>
      <c r="U1512" s="329">
        <f>IF($N1512=$N$4,IFERROR(INDEX(DanhMuc!$E$154:$E$165,MATCH(MID($B1512,4,2),DanhMuc!$B$154:$B$165,0)),""),"")</f>
        <v>6000</v>
      </c>
      <c r="V1512" s="325"/>
      <c r="W1512" s="352" t="str">
        <f>+IF(AND($A1512&lt;&gt;"",LEN($B1512)&gt;=8,COUNTIF($B$6:$B1512,$B1512)=1),$W$5,"")</f>
        <v>DMCua</v>
      </c>
      <c r="X1512" s="329" t="str">
        <f t="shared" si="188"/>
        <v>LV</v>
      </c>
      <c r="Y1512" s="1128" t="s">
        <v>3380</v>
      </c>
      <c r="Z1512" s="1128" t="s">
        <v>3381</v>
      </c>
      <c r="AA1512" s="1128" t="s">
        <v>3384</v>
      </c>
      <c r="AC1512" s="73"/>
    </row>
    <row r="1513" spans="1:29" s="20" customFormat="1">
      <c r="A1513" s="327" t="str">
        <f>IF(AND($B1513&lt;&gt;"",$C1513&lt;&gt;""),MAX($A$4:A1512)+1,"")</f>
        <v/>
      </c>
      <c r="B1513" s="361" t="s">
        <v>1794</v>
      </c>
      <c r="C1513" s="364"/>
      <c r="D1513" s="327">
        <f>IF($B1513="","",COUNTIF($B$6:$B1513,$B1513))</f>
        <v>2</v>
      </c>
      <c r="E1513" s="363">
        <v>1101</v>
      </c>
      <c r="F1513" s="362" t="s">
        <v>1519</v>
      </c>
      <c r="G1513" s="361" t="s">
        <v>328</v>
      </c>
      <c r="H1513" s="325"/>
      <c r="I1513" s="327">
        <v>2</v>
      </c>
      <c r="J1513" s="361" t="s">
        <v>80</v>
      </c>
      <c r="K1513" s="327" t="s">
        <v>516</v>
      </c>
      <c r="L1513" s="348">
        <f>978000*$L$1329</f>
        <v>0</v>
      </c>
      <c r="M1513" s="355"/>
      <c r="N1513" s="355" t="str">
        <f t="shared" si="187"/>
        <v>PR</v>
      </c>
      <c r="O1513" s="347"/>
      <c r="P1513" s="325"/>
      <c r="Q1513" s="351"/>
      <c r="R1513" s="351">
        <v>1.8</v>
      </c>
      <c r="S1513" s="351">
        <v>6</v>
      </c>
      <c r="T1513" s="351"/>
      <c r="U1513" s="329">
        <f>IF($N1513=$N$4,IFERROR(INDEX(DanhMuc!$E$154:$E$165,MATCH(MID($B1513,4,2),DanhMuc!$B$154:$B$165,0)),""),"")</f>
        <v>6000</v>
      </c>
      <c r="V1513" s="325"/>
      <c r="W1513" s="352" t="str">
        <f>+IF(AND($A1513&lt;&gt;"",LEN($B1513)&gt;=8,COUNTIF($B$6:$B1513,$B1513)=1),$W$5,"")</f>
        <v/>
      </c>
      <c r="X1513" s="329" t="str">
        <f t="shared" si="188"/>
        <v>LV</v>
      </c>
      <c r="Y1513" s="1128" t="s">
        <v>3380</v>
      </c>
      <c r="Z1513" s="1128" t="s">
        <v>3381</v>
      </c>
      <c r="AA1513" s="1128" t="s">
        <v>3384</v>
      </c>
      <c r="AC1513" s="73"/>
    </row>
    <row r="1514" spans="1:29" s="20" customFormat="1">
      <c r="A1514" s="327" t="str">
        <f>IF(AND($B1514&lt;&gt;"",$C1514&lt;&gt;""),MAX($A$4:A1513)+1,"")</f>
        <v/>
      </c>
      <c r="B1514" s="361" t="s">
        <v>1794</v>
      </c>
      <c r="C1514" s="364"/>
      <c r="D1514" s="327">
        <f>IF($B1514="","",COUNTIF($B$6:$B1514,$B1514))</f>
        <v>3</v>
      </c>
      <c r="E1514" s="361">
        <v>1126</v>
      </c>
      <c r="F1514" s="362" t="s">
        <v>1523</v>
      </c>
      <c r="G1514" s="361" t="s">
        <v>329</v>
      </c>
      <c r="H1514" s="325"/>
      <c r="I1514" s="327">
        <v>2</v>
      </c>
      <c r="J1514" s="361" t="s">
        <v>1846</v>
      </c>
      <c r="K1514" s="327" t="s">
        <v>531</v>
      </c>
      <c r="L1514" s="348">
        <f>177000*$L$1329</f>
        <v>0</v>
      </c>
      <c r="M1514" s="355"/>
      <c r="N1514" s="355" t="str">
        <f t="shared" si="187"/>
        <v>PR</v>
      </c>
      <c r="O1514" s="347">
        <v>12</v>
      </c>
      <c r="P1514" s="325"/>
      <c r="Q1514" s="351"/>
      <c r="R1514" s="351">
        <v>1.1000000000000001</v>
      </c>
      <c r="S1514" s="351">
        <v>6</v>
      </c>
      <c r="T1514" s="351"/>
      <c r="U1514" s="329">
        <f>IF($N1514=$N$4,IFERROR(INDEX(DanhMuc!$E$154:$E$165,MATCH(MID($B1514,4,2),DanhMuc!$B$154:$B$165,0)),""),"")</f>
        <v>6000</v>
      </c>
      <c r="V1514" s="325"/>
      <c r="W1514" s="352" t="str">
        <f>+IF(AND($A1514&lt;&gt;"",LEN($B1514)&gt;=8,COUNTIF($B$6:$B1514,$B1514)=1),$W$5,"")</f>
        <v/>
      </c>
      <c r="X1514" s="329" t="str">
        <f t="shared" si="188"/>
        <v>LV</v>
      </c>
      <c r="Y1514" s="1128" t="s">
        <v>3380</v>
      </c>
      <c r="Z1514" s="1128" t="s">
        <v>3381</v>
      </c>
      <c r="AA1514" s="1128" t="s">
        <v>3384</v>
      </c>
      <c r="AC1514" s="73"/>
    </row>
    <row r="1515" spans="1:29" s="20" customFormat="1">
      <c r="A1515" s="327" t="str">
        <f>IF(AND($B1515&lt;&gt;"",$C1515&lt;&gt;""),MAX($A$4:A1514)+1,"")</f>
        <v/>
      </c>
      <c r="B1515" s="361" t="s">
        <v>1794</v>
      </c>
      <c r="C1515" s="364"/>
      <c r="D1515" s="327">
        <f>IF($B1515="","",COUNTIF($B$6:$B1515,$B1515))</f>
        <v>4</v>
      </c>
      <c r="E1515" s="361">
        <v>1126</v>
      </c>
      <c r="F1515" s="362" t="s">
        <v>1523</v>
      </c>
      <c r="G1515" s="361" t="s">
        <v>328</v>
      </c>
      <c r="H1515" s="325"/>
      <c r="I1515" s="327">
        <v>2</v>
      </c>
      <c r="J1515" s="361" t="s">
        <v>1741</v>
      </c>
      <c r="K1515" s="327" t="s">
        <v>531</v>
      </c>
      <c r="L1515" s="348">
        <f>177000*$L$1329</f>
        <v>0</v>
      </c>
      <c r="M1515" s="355"/>
      <c r="N1515" s="355" t="str">
        <f t="shared" si="187"/>
        <v>PR</v>
      </c>
      <c r="O1515" s="347">
        <v>12</v>
      </c>
      <c r="P1515" s="325"/>
      <c r="Q1515" s="351"/>
      <c r="R1515" s="351">
        <v>1.1000000000000001</v>
      </c>
      <c r="S1515" s="351">
        <v>6</v>
      </c>
      <c r="T1515" s="351"/>
      <c r="U1515" s="329">
        <f>IF($N1515=$N$4,IFERROR(INDEX(DanhMuc!$E$154:$E$165,MATCH(MID($B1515,4,2),DanhMuc!$B$154:$B$165,0)),""),"")</f>
        <v>6000</v>
      </c>
      <c r="V1515" s="325"/>
      <c r="W1515" s="352" t="str">
        <f>+IF(AND($A1515&lt;&gt;"",LEN($B1515)&gt;=8,COUNTIF($B$6:$B1515,$B1515)=1),$W$5,"")</f>
        <v/>
      </c>
      <c r="X1515" s="329" t="str">
        <f t="shared" si="188"/>
        <v>LV</v>
      </c>
      <c r="Y1515" s="1128" t="s">
        <v>3380</v>
      </c>
      <c r="Z1515" s="1128" t="s">
        <v>3381</v>
      </c>
      <c r="AA1515" s="1128" t="s">
        <v>3384</v>
      </c>
      <c r="AC1515" s="73"/>
    </row>
    <row r="1516" spans="1:29" s="20" customFormat="1">
      <c r="A1516" s="327" t="str">
        <f>IF(AND($B1516&lt;&gt;"",$C1516&lt;&gt;""),MAX($A$4:A1515)+1,"")</f>
        <v/>
      </c>
      <c r="B1516" s="361" t="s">
        <v>1794</v>
      </c>
      <c r="C1516" s="364"/>
      <c r="D1516" s="327">
        <f>IF($B1516="","",COUNTIF($B$6:$B1516,$B1516))</f>
        <v>5</v>
      </c>
      <c r="E1516" s="361">
        <v>1127</v>
      </c>
      <c r="F1516" s="362" t="s">
        <v>1522</v>
      </c>
      <c r="G1516" s="361" t="s">
        <v>329</v>
      </c>
      <c r="H1516" s="325"/>
      <c r="I1516" s="327">
        <v>2</v>
      </c>
      <c r="J1516" s="361" t="s">
        <v>1846</v>
      </c>
      <c r="K1516" s="327" t="s">
        <v>531</v>
      </c>
      <c r="L1516" s="348">
        <f>200000*$L$1329</f>
        <v>0</v>
      </c>
      <c r="M1516" s="355"/>
      <c r="N1516" s="355" t="str">
        <f t="shared" si="187"/>
        <v>PR</v>
      </c>
      <c r="O1516" s="347">
        <v>11</v>
      </c>
      <c r="P1516" s="325"/>
      <c r="Q1516" s="351"/>
      <c r="R1516" s="351">
        <v>1.1000000000000001</v>
      </c>
      <c r="S1516" s="351">
        <v>6</v>
      </c>
      <c r="T1516" s="351"/>
      <c r="U1516" s="329">
        <f>IF($N1516=$N$4,IFERROR(INDEX(DanhMuc!$E$154:$E$165,MATCH(MID($B1516,4,2),DanhMuc!$B$154:$B$165,0)),""),"")</f>
        <v>6000</v>
      </c>
      <c r="V1516" s="325"/>
      <c r="W1516" s="352" t="str">
        <f>+IF(AND($A1516&lt;&gt;"",LEN($B1516)&gt;=8,COUNTIF($B$6:$B1516,$B1516)=1),$W$5,"")</f>
        <v/>
      </c>
      <c r="X1516" s="329" t="str">
        <f t="shared" si="188"/>
        <v>LV</v>
      </c>
      <c r="Y1516" s="1128" t="s">
        <v>3380</v>
      </c>
      <c r="Z1516" s="1128" t="s">
        <v>3381</v>
      </c>
      <c r="AA1516" s="1128" t="s">
        <v>3384</v>
      </c>
      <c r="AC1516" s="73"/>
    </row>
    <row r="1517" spans="1:29" s="20" customFormat="1">
      <c r="A1517" s="327" t="str">
        <f>IF(AND($B1517&lt;&gt;"",$C1517&lt;&gt;""),MAX($A$4:A1516)+1,"")</f>
        <v/>
      </c>
      <c r="B1517" s="361" t="s">
        <v>1794</v>
      </c>
      <c r="C1517" s="364"/>
      <c r="D1517" s="327">
        <f>IF($B1517="","",COUNTIF($B$6:$B1517,$B1517))</f>
        <v>6</v>
      </c>
      <c r="E1517" s="361">
        <v>1127</v>
      </c>
      <c r="F1517" s="362" t="s">
        <v>1522</v>
      </c>
      <c r="G1517" s="361" t="s">
        <v>328</v>
      </c>
      <c r="H1517" s="325"/>
      <c r="I1517" s="327">
        <v>2</v>
      </c>
      <c r="J1517" s="361" t="s">
        <v>1741</v>
      </c>
      <c r="K1517" s="327" t="s">
        <v>531</v>
      </c>
      <c r="L1517" s="348">
        <f>200000*$L$1329</f>
        <v>0</v>
      </c>
      <c r="M1517" s="355"/>
      <c r="N1517" s="355" t="str">
        <f t="shared" si="187"/>
        <v>PR</v>
      </c>
      <c r="O1517" s="347">
        <v>11</v>
      </c>
      <c r="P1517" s="325"/>
      <c r="Q1517" s="351"/>
      <c r="R1517" s="351">
        <v>1.1000000000000001</v>
      </c>
      <c r="S1517" s="351">
        <v>6</v>
      </c>
      <c r="T1517" s="351"/>
      <c r="U1517" s="329">
        <f>IF($N1517=$N$4,IFERROR(INDEX(DanhMuc!$E$154:$E$165,MATCH(MID($B1517,4,2),DanhMuc!$B$154:$B$165,0)),""),"")</f>
        <v>6000</v>
      </c>
      <c r="V1517" s="325"/>
      <c r="W1517" s="352" t="str">
        <f>+IF(AND($A1517&lt;&gt;"",LEN($B1517)&gt;=8,COUNTIF($B$6:$B1517,$B1517)=1),$W$5,"")</f>
        <v/>
      </c>
      <c r="X1517" s="329" t="str">
        <f t="shared" si="188"/>
        <v>LV</v>
      </c>
      <c r="Y1517" s="1128" t="s">
        <v>3380</v>
      </c>
      <c r="Z1517" s="1128" t="s">
        <v>3381</v>
      </c>
      <c r="AA1517" s="1128" t="s">
        <v>3384</v>
      </c>
      <c r="AC1517" s="73"/>
    </row>
    <row r="1518" spans="1:29" s="72" customFormat="1">
      <c r="A1518" s="327">
        <f>IF(AND($B1518&lt;&gt;"",$C1518&lt;&gt;""),MAX($A$4:A1517)+1,"")</f>
        <v>109</v>
      </c>
      <c r="B1518" s="338" t="s">
        <v>2566</v>
      </c>
      <c r="C1518" s="340" t="s">
        <v>2567</v>
      </c>
      <c r="D1518" s="339"/>
      <c r="E1518" s="339"/>
      <c r="F1518" s="341"/>
      <c r="G1518" s="339"/>
      <c r="H1518" s="342"/>
      <c r="I1518" s="339"/>
      <c r="J1518" s="339"/>
      <c r="K1518" s="383"/>
      <c r="L1518" s="869">
        <v>91000</v>
      </c>
      <c r="M1518" s="343"/>
      <c r="N1518" s="343"/>
      <c r="O1518" s="344"/>
      <c r="P1518" s="342"/>
      <c r="Q1518" s="342"/>
      <c r="R1518" s="351"/>
      <c r="S1518" s="351"/>
      <c r="T1518" s="351"/>
      <c r="U1518" s="329" t="str">
        <f>IF($N1518=$N$4,IFERROR(INDEX(DanhMuc!$E$154:$E$165,MATCH(MID($B1518,4,2),DanhMuc!$B$154:$B$165,0)),""),"")</f>
        <v/>
      </c>
      <c r="V1518" s="342"/>
      <c r="W1518" s="352" t="str">
        <f>+IF(AND($A1518&lt;&gt;"",LEN($B1518)&gt;=8,COUNTIF($B$6:$B1518,$B1518)=1),$W$5,"")</f>
        <v/>
      </c>
      <c r="X1518" s="329" t="str">
        <f t="shared" si="188"/>
        <v/>
      </c>
      <c r="Y1518" s="1128" t="s">
        <v>3380</v>
      </c>
      <c r="Z1518" s="1128" t="s">
        <v>3381</v>
      </c>
      <c r="AA1518" s="1128" t="s">
        <v>3384</v>
      </c>
      <c r="AB1518" s="20"/>
      <c r="AC1518" s="73"/>
    </row>
    <row r="1519" spans="1:29" s="20" customFormat="1">
      <c r="A1519" s="327" t="str">
        <f>IF(AND($B1519&lt;&gt;"",$C1519&lt;&gt;""),MAX($A$4:A1517)+1,"")</f>
        <v/>
      </c>
      <c r="B1519" s="359" t="s">
        <v>3336</v>
      </c>
      <c r="C1519" s="360"/>
      <c r="D1519" s="327">
        <f>IF($B1519="","",COUNTIF($B$6:$B1519,$B1519))</f>
        <v>1</v>
      </c>
      <c r="E1519" s="361" t="s">
        <v>3334</v>
      </c>
      <c r="F1519" s="362" t="s">
        <v>3335</v>
      </c>
      <c r="G1519" s="327"/>
      <c r="H1519" s="325"/>
      <c r="I1519" s="327">
        <v>1</v>
      </c>
      <c r="J1519" s="361"/>
      <c r="K1519" s="327"/>
      <c r="L1519" s="348">
        <f>+$T1519*$L$391*$S1519</f>
        <v>156000</v>
      </c>
      <c r="M1519" s="355"/>
      <c r="N1519" s="355" t="str">
        <f t="shared" ref="N1519:N1532" si="189">+$N$4</f>
        <v>PR</v>
      </c>
      <c r="O1519" s="347"/>
      <c r="P1519" s="325"/>
      <c r="Q1519" s="351"/>
      <c r="R1519" s="351"/>
      <c r="S1519" s="351">
        <v>6</v>
      </c>
      <c r="T1519" s="1074">
        <f>169000/6/$L$1518</f>
        <v>0.30952380952380953</v>
      </c>
      <c r="U1519" s="329">
        <f>IF($N1519=$N$4,IFERROR(INDEX(DanhMuc!$E$154:$E$165,MATCH(MID($B1519,4,2),DanhMuc!$B$154:$B$165,0)),""),"")</f>
        <v>6000</v>
      </c>
      <c r="V1519" s="325"/>
      <c r="W1519" s="352" t="str">
        <f>+IF(AND($A1519&lt;&gt;"",LEN($B1519)&gt;=8,COUNTIF($B$6:$B1519,$B1519)=1),$W$5,"")</f>
        <v/>
      </c>
      <c r="X1519" s="329" t="str">
        <f t="shared" si="188"/>
        <v>VN</v>
      </c>
      <c r="Y1519" s="1128" t="s">
        <v>3380</v>
      </c>
      <c r="Z1519" s="1128" t="s">
        <v>3381</v>
      </c>
      <c r="AA1519" s="1128" t="s">
        <v>3384</v>
      </c>
      <c r="AC1519" s="73"/>
    </row>
    <row r="1520" spans="1:29" s="20" customFormat="1" ht="26">
      <c r="A1520" s="327">
        <f>IF(AND($B1520&lt;&gt;"",$C1520&lt;&gt;""),MAX($A$4:A1518)+1,"")</f>
        <v>110</v>
      </c>
      <c r="B1520" s="359" t="s">
        <v>3241</v>
      </c>
      <c r="C1520" s="360" t="s">
        <v>3248</v>
      </c>
      <c r="D1520" s="327">
        <f>IF($B1520="","",COUNTIF($B$6:$B1520,$B1520))</f>
        <v>1</v>
      </c>
      <c r="E1520" s="361" t="s">
        <v>3238</v>
      </c>
      <c r="F1520" s="362" t="s">
        <v>3277</v>
      </c>
      <c r="G1520" s="327" t="s">
        <v>330</v>
      </c>
      <c r="H1520" s="325"/>
      <c r="I1520" s="327">
        <v>1</v>
      </c>
      <c r="J1520" s="361" t="s">
        <v>3232</v>
      </c>
      <c r="K1520" s="327" t="s">
        <v>531</v>
      </c>
      <c r="L1520" s="348">
        <f>+$T1520*$L$391*$S1520</f>
        <v>219692.30769230766</v>
      </c>
      <c r="M1520" s="355"/>
      <c r="N1520" s="355" t="str">
        <f t="shared" si="189"/>
        <v>PR</v>
      </c>
      <c r="O1520" s="347"/>
      <c r="P1520" s="325"/>
      <c r="Q1520" s="351"/>
      <c r="R1520" s="351"/>
      <c r="S1520" s="351">
        <v>6</v>
      </c>
      <c r="T1520" s="1074">
        <f>238000/6/$L$1518</f>
        <v>0.43589743589743585</v>
      </c>
      <c r="U1520" s="329">
        <f>IF($N1520=$N$4,IFERROR(INDEX(DanhMuc!$E$154:$E$165,MATCH(MID($B1520,4,2),DanhMuc!$B$154:$B$165,0)),""),"")</f>
        <v>6000</v>
      </c>
      <c r="V1520" s="325"/>
      <c r="W1520" s="352" t="str">
        <f>+IF(AND($A1520&lt;&gt;"",LEN($B1520)&gt;=8,COUNTIF($B$6:$B1520,$B1520)=1),$W$5,"")</f>
        <v>DMCua</v>
      </c>
      <c r="X1520" s="329" t="str">
        <f t="shared" si="188"/>
        <v>VN</v>
      </c>
      <c r="Y1520" s="1128" t="s">
        <v>3380</v>
      </c>
      <c r="Z1520" s="1128" t="s">
        <v>3381</v>
      </c>
      <c r="AA1520" s="1128" t="s">
        <v>3384</v>
      </c>
      <c r="AC1520" s="73"/>
    </row>
    <row r="1521" spans="1:29" s="20" customFormat="1">
      <c r="A1521" s="327" t="str">
        <f>IF(AND($B1521&lt;&gt;"",$C1521&lt;&gt;""),MAX($A$4:A1520)+1,"")</f>
        <v/>
      </c>
      <c r="B1521" s="361" t="s">
        <v>3241</v>
      </c>
      <c r="C1521" s="360"/>
      <c r="D1521" s="327">
        <f>IF($B1521="","",COUNTIF($B$6:$B1521,$B1521))</f>
        <v>2</v>
      </c>
      <c r="E1521" s="361" t="s">
        <v>3238</v>
      </c>
      <c r="F1521" s="362" t="s">
        <v>3277</v>
      </c>
      <c r="G1521" s="327" t="s">
        <v>328</v>
      </c>
      <c r="H1521" s="325"/>
      <c r="I1521" s="327">
        <v>2</v>
      </c>
      <c r="J1521" s="363" t="s">
        <v>80</v>
      </c>
      <c r="K1521" s="327" t="s">
        <v>531</v>
      </c>
      <c r="L1521" s="348">
        <f t="shared" ref="L1521:L1531" si="190">+$T1521*$L$391*$S1521</f>
        <v>219692.30769230766</v>
      </c>
      <c r="M1521" s="355"/>
      <c r="N1521" s="355" t="str">
        <f t="shared" si="189"/>
        <v>PR</v>
      </c>
      <c r="O1521" s="347"/>
      <c r="P1521" s="325"/>
      <c r="Q1521" s="351"/>
      <c r="R1521" s="351"/>
      <c r="S1521" s="351">
        <v>6</v>
      </c>
      <c r="T1521" s="1074">
        <f>238000/6/$L$1518</f>
        <v>0.43589743589743585</v>
      </c>
      <c r="U1521" s="329">
        <f>IF($N1521=$N$4,IFERROR(INDEX(DanhMuc!$E$154:$E$165,MATCH(MID($B1521,4,2),DanhMuc!$B$154:$B$165,0)),""),"")</f>
        <v>6000</v>
      </c>
      <c r="V1521" s="325"/>
      <c r="W1521" s="352" t="str">
        <f>+IF(AND($A1521&lt;&gt;"",LEN($B1521)&gt;=8,COUNTIF($B$6:$B1521,$B1521)=1),$W$5,"")</f>
        <v/>
      </c>
      <c r="X1521" s="329" t="str">
        <f t="shared" si="188"/>
        <v>VN</v>
      </c>
      <c r="Y1521" s="1128" t="s">
        <v>3380</v>
      </c>
      <c r="Z1521" s="1128" t="s">
        <v>3381</v>
      </c>
      <c r="AA1521" s="1128" t="s">
        <v>3384</v>
      </c>
      <c r="AC1521" s="73"/>
    </row>
    <row r="1522" spans="1:29" s="20" customFormat="1">
      <c r="A1522" s="327" t="str">
        <f>IF(AND($B1522&lt;&gt;"",$C1522&lt;&gt;""),MAX($A$4:A1521)+1,"")</f>
        <v/>
      </c>
      <c r="B1522" s="361" t="s">
        <v>3241</v>
      </c>
      <c r="C1522" s="364"/>
      <c r="D1522" s="327">
        <f>IF($B1522="","",COUNTIF($B$6:$B1522,$B1522))</f>
        <v>3</v>
      </c>
      <c r="E1522" s="361" t="s">
        <v>3226</v>
      </c>
      <c r="F1522" s="362" t="s">
        <v>3229</v>
      </c>
      <c r="G1522" s="327" t="s">
        <v>329</v>
      </c>
      <c r="H1522" s="325"/>
      <c r="I1522" s="327">
        <v>2</v>
      </c>
      <c r="J1522" s="361" t="s">
        <v>818</v>
      </c>
      <c r="K1522" s="327" t="s">
        <v>516</v>
      </c>
      <c r="L1522" s="348">
        <f t="shared" si="190"/>
        <v>257538.46153846153</v>
      </c>
      <c r="M1522" s="355"/>
      <c r="N1522" s="355" t="str">
        <f t="shared" si="189"/>
        <v>PR</v>
      </c>
      <c r="O1522" s="345"/>
      <c r="P1522" s="325"/>
      <c r="Q1522" s="351"/>
      <c r="R1522" s="351"/>
      <c r="S1522" s="351">
        <v>6</v>
      </c>
      <c r="T1522" s="1074">
        <f>279000/6/$L$1518</f>
        <v>0.51098901098901095</v>
      </c>
      <c r="U1522" s="329">
        <f>IF($N1522=$N$4,IFERROR(INDEX(DanhMuc!$E$154:$E$165,MATCH(MID($B1522,4,2),DanhMuc!$B$154:$B$165,0)),""),"")</f>
        <v>6000</v>
      </c>
      <c r="V1522" s="325"/>
      <c r="W1522" s="352" t="str">
        <f>+IF(AND($A1522&lt;&gt;"",LEN($B1522)&gt;=8,COUNTIF($B$6:$B1522,$B1522)=1),$W$5,"")</f>
        <v/>
      </c>
      <c r="X1522" s="329" t="str">
        <f t="shared" si="188"/>
        <v>VN</v>
      </c>
      <c r="Y1522" s="1128" t="s">
        <v>3380</v>
      </c>
      <c r="Z1522" s="1128" t="s">
        <v>3381</v>
      </c>
      <c r="AA1522" s="1128" t="s">
        <v>3384</v>
      </c>
      <c r="AC1522" s="73"/>
    </row>
    <row r="1523" spans="1:29" s="20" customFormat="1">
      <c r="A1523" s="327" t="str">
        <f>IF(AND($B1523&lt;&gt;"",$C1523&lt;&gt;""),MAX($A$4:A1522)+1,"")</f>
        <v/>
      </c>
      <c r="B1523" s="361" t="s">
        <v>3241</v>
      </c>
      <c r="C1523" s="364"/>
      <c r="D1523" s="327">
        <f>IF($B1523="","",COUNTIF($B$6:$B1523,$B1523))</f>
        <v>4</v>
      </c>
      <c r="E1523" s="361" t="s">
        <v>3226</v>
      </c>
      <c r="F1523" s="362" t="s">
        <v>3229</v>
      </c>
      <c r="G1523" s="327" t="s">
        <v>328</v>
      </c>
      <c r="H1523" s="325"/>
      <c r="I1523" s="327">
        <v>1</v>
      </c>
      <c r="J1523" s="361" t="s">
        <v>3233</v>
      </c>
      <c r="K1523" s="327" t="s">
        <v>516</v>
      </c>
      <c r="L1523" s="348">
        <f t="shared" si="190"/>
        <v>257538.46153846153</v>
      </c>
      <c r="M1523" s="355"/>
      <c r="N1523" s="355" t="str">
        <f t="shared" si="189"/>
        <v>PR</v>
      </c>
      <c r="O1523" s="345"/>
      <c r="P1523" s="325"/>
      <c r="Q1523" s="351"/>
      <c r="R1523" s="351"/>
      <c r="S1523" s="351">
        <v>6</v>
      </c>
      <c r="T1523" s="1074">
        <f>279000/6/$L$1518</f>
        <v>0.51098901098901095</v>
      </c>
      <c r="U1523" s="329">
        <f>IF($N1523=$N$4,IFERROR(INDEX(DanhMuc!$E$154:$E$165,MATCH(MID($B1523,4,2),DanhMuc!$B$154:$B$165,0)),""),"")</f>
        <v>6000</v>
      </c>
      <c r="V1523" s="325"/>
      <c r="W1523" s="352" t="str">
        <f>+IF(AND($A1523&lt;&gt;"",LEN($B1523)&gt;=8,COUNTIF($B$6:$B1523,$B1523)=1),$W$5,"")</f>
        <v/>
      </c>
      <c r="X1523" s="329" t="str">
        <f t="shared" si="188"/>
        <v>VN</v>
      </c>
      <c r="Y1523" s="1128" t="s">
        <v>3380</v>
      </c>
      <c r="Z1523" s="1128" t="s">
        <v>3381</v>
      </c>
      <c r="AA1523" s="1128" t="s">
        <v>3384</v>
      </c>
      <c r="AC1523" s="73"/>
    </row>
    <row r="1524" spans="1:29" s="20" customFormat="1">
      <c r="A1524" s="327" t="str">
        <f>IF(AND($B1524&lt;&gt;"",$C1524&lt;&gt;""),MAX($A$4:A1523)+1,"")</f>
        <v/>
      </c>
      <c r="B1524" s="361" t="s">
        <v>3241</v>
      </c>
      <c r="C1524" s="364"/>
      <c r="D1524" s="327">
        <f>IF($B1524="","",COUNTIF($B$6:$B1524,$B1524))</f>
        <v>5</v>
      </c>
      <c r="E1524" s="361" t="s">
        <v>3227</v>
      </c>
      <c r="F1524" s="362" t="s">
        <v>3230</v>
      </c>
      <c r="G1524" s="327" t="s">
        <v>328</v>
      </c>
      <c r="H1524" s="325"/>
      <c r="I1524" s="327">
        <v>1</v>
      </c>
      <c r="J1524" s="361" t="s">
        <v>3233</v>
      </c>
      <c r="K1524" s="327" t="s">
        <v>516</v>
      </c>
      <c r="L1524" s="348">
        <f t="shared" si="190"/>
        <v>281538.4615384615</v>
      </c>
      <c r="M1524" s="355"/>
      <c r="N1524" s="355" t="str">
        <f t="shared" si="189"/>
        <v>PR</v>
      </c>
      <c r="O1524" s="345"/>
      <c r="P1524" s="325"/>
      <c r="Q1524" s="351"/>
      <c r="R1524" s="351"/>
      <c r="S1524" s="351">
        <v>6</v>
      </c>
      <c r="T1524" s="1074">
        <f>305000/6/$L$1518</f>
        <v>0.55860805860805862</v>
      </c>
      <c r="U1524" s="329">
        <f>IF($N1524=$N$4,IFERROR(INDEX(DanhMuc!$E$154:$E$165,MATCH(MID($B1524,4,2),DanhMuc!$B$154:$B$165,0)),""),"")</f>
        <v>6000</v>
      </c>
      <c r="V1524" s="325"/>
      <c r="W1524" s="352" t="str">
        <f>+IF(AND($A1524&lt;&gt;"",LEN($B1524)&gt;=8,COUNTIF($B$6:$B1524,$B1524)=1),$W$5,"")</f>
        <v/>
      </c>
      <c r="X1524" s="329" t="str">
        <f t="shared" si="188"/>
        <v>VN</v>
      </c>
      <c r="Y1524" s="1128" t="s">
        <v>3380</v>
      </c>
      <c r="Z1524" s="1128" t="s">
        <v>3381</v>
      </c>
      <c r="AA1524" s="1128" t="s">
        <v>3384</v>
      </c>
      <c r="AC1524" s="73"/>
    </row>
    <row r="1525" spans="1:29" s="20" customFormat="1">
      <c r="A1525" s="327" t="str">
        <f>IF(AND($B1525&lt;&gt;"",$C1525&lt;&gt;""),MAX($A$4:A1524)+1,"")</f>
        <v/>
      </c>
      <c r="B1525" s="361" t="s">
        <v>3241</v>
      </c>
      <c r="C1525" s="364"/>
      <c r="D1525" s="327">
        <f>IF($B1525="","",COUNTIF($B$6:$B1525,$B1525))</f>
        <v>6</v>
      </c>
      <c r="E1525" s="361" t="s">
        <v>3228</v>
      </c>
      <c r="F1525" s="362" t="s">
        <v>3231</v>
      </c>
      <c r="G1525" s="327" t="s">
        <v>329</v>
      </c>
      <c r="H1525" s="325"/>
      <c r="I1525" s="327">
        <v>1</v>
      </c>
      <c r="J1525" s="361" t="s">
        <v>3234</v>
      </c>
      <c r="K1525" s="327" t="s">
        <v>531</v>
      </c>
      <c r="L1525" s="348">
        <f t="shared" si="190"/>
        <v>417230.76923076919</v>
      </c>
      <c r="M1525" s="355"/>
      <c r="N1525" s="355" t="str">
        <f t="shared" si="189"/>
        <v>PR</v>
      </c>
      <c r="O1525" s="345"/>
      <c r="P1525" s="325"/>
      <c r="Q1525" s="351"/>
      <c r="R1525" s="351"/>
      <c r="S1525" s="351">
        <v>6</v>
      </c>
      <c r="T1525" s="1074">
        <f>452000/6/$L$1518</f>
        <v>0.82783882783882778</v>
      </c>
      <c r="U1525" s="329">
        <f>IF($N1525=$N$4,IFERROR(INDEX(DanhMuc!$E$154:$E$165,MATCH(MID($B1525,4,2),DanhMuc!$B$154:$B$165,0)),""),"")</f>
        <v>6000</v>
      </c>
      <c r="V1525" s="325"/>
      <c r="W1525" s="352" t="str">
        <f>+IF(AND($A1525&lt;&gt;"",LEN($B1525)&gt;=8,COUNTIF($B$6:$B1525,$B1525)=1),$W$5,"")</f>
        <v/>
      </c>
      <c r="X1525" s="329" t="str">
        <f t="shared" si="188"/>
        <v>VN</v>
      </c>
      <c r="Y1525" s="1128" t="s">
        <v>3380</v>
      </c>
      <c r="Z1525" s="1128" t="s">
        <v>3381</v>
      </c>
      <c r="AA1525" s="1128" t="s">
        <v>3384</v>
      </c>
      <c r="AC1525" s="73"/>
    </row>
    <row r="1526" spans="1:29" s="20" customFormat="1" ht="26">
      <c r="A1526" s="327">
        <f>IF(AND($B1526&lt;&gt;"",$C1526&lt;&gt;""),MAX($A$4:A1525)+1,"")</f>
        <v>111</v>
      </c>
      <c r="B1526" s="359" t="s">
        <v>3242</v>
      </c>
      <c r="C1526" s="360" t="s">
        <v>3249</v>
      </c>
      <c r="D1526" s="327">
        <f>IF($B1526="","",COUNTIF($B$6:$B1526,$B1526))</f>
        <v>1</v>
      </c>
      <c r="E1526" s="361" t="s">
        <v>3238</v>
      </c>
      <c r="F1526" s="362" t="s">
        <v>3277</v>
      </c>
      <c r="G1526" s="327" t="s">
        <v>330</v>
      </c>
      <c r="H1526" s="325"/>
      <c r="I1526" s="327">
        <v>1</v>
      </c>
      <c r="J1526" s="361" t="s">
        <v>3232</v>
      </c>
      <c r="K1526" s="327" t="s">
        <v>531</v>
      </c>
      <c r="L1526" s="348">
        <f>+$T1526*$L$391*$S1526</f>
        <v>219692.30769230766</v>
      </c>
      <c r="M1526" s="355"/>
      <c r="N1526" s="355" t="str">
        <f t="shared" si="189"/>
        <v>PR</v>
      </c>
      <c r="O1526" s="347"/>
      <c r="P1526" s="325"/>
      <c r="Q1526" s="351"/>
      <c r="R1526" s="351"/>
      <c r="S1526" s="351">
        <v>6</v>
      </c>
      <c r="T1526" s="1074">
        <f>238000/6/$L$1518</f>
        <v>0.43589743589743585</v>
      </c>
      <c r="U1526" s="329">
        <f>IF($N1526=$N$4,IFERROR(INDEX(DanhMuc!$E$154:$E$165,MATCH(MID($B1526,4,2),DanhMuc!$B$154:$B$165,0)),""),"")</f>
        <v>6000</v>
      </c>
      <c r="V1526" s="325"/>
      <c r="W1526" s="352" t="str">
        <f>+IF(AND($A1526&lt;&gt;"",LEN($B1526)&gt;=8,COUNTIF($B$6:$B1526,$B1526)=1),$W$5,"")</f>
        <v>DMCua</v>
      </c>
      <c r="X1526" s="329" t="str">
        <f t="shared" si="188"/>
        <v>VN</v>
      </c>
      <c r="Y1526" s="1128" t="s">
        <v>3380</v>
      </c>
      <c r="Z1526" s="1128" t="s">
        <v>3381</v>
      </c>
      <c r="AA1526" s="1128" t="s">
        <v>3384</v>
      </c>
      <c r="AC1526" s="73"/>
    </row>
    <row r="1527" spans="1:29" s="20" customFormat="1">
      <c r="A1527" s="327" t="str">
        <f>IF(AND($B1527&lt;&gt;"",$C1527&lt;&gt;""),MAX($A$4:A1526)+1,"")</f>
        <v/>
      </c>
      <c r="B1527" s="361" t="s">
        <v>3242</v>
      </c>
      <c r="C1527" s="360"/>
      <c r="D1527" s="327">
        <f>IF($B1527="","",COUNTIF($B$6:$B1527,$B1527))</f>
        <v>2</v>
      </c>
      <c r="E1527" s="361" t="s">
        <v>3238</v>
      </c>
      <c r="F1527" s="362" t="s">
        <v>3277</v>
      </c>
      <c r="G1527" s="327" t="s">
        <v>328</v>
      </c>
      <c r="H1527" s="325"/>
      <c r="I1527" s="327">
        <v>2</v>
      </c>
      <c r="J1527" s="363" t="s">
        <v>80</v>
      </c>
      <c r="K1527" s="327" t="s">
        <v>531</v>
      </c>
      <c r="L1527" s="348">
        <f t="shared" si="190"/>
        <v>219692.30769230766</v>
      </c>
      <c r="M1527" s="355"/>
      <c r="N1527" s="355" t="str">
        <f t="shared" si="189"/>
        <v>PR</v>
      </c>
      <c r="O1527" s="347"/>
      <c r="P1527" s="325"/>
      <c r="Q1527" s="351"/>
      <c r="R1527" s="351"/>
      <c r="S1527" s="351">
        <v>6</v>
      </c>
      <c r="T1527" s="1074">
        <f>238000/6/$L$1518</f>
        <v>0.43589743589743585</v>
      </c>
      <c r="U1527" s="329">
        <f>IF($N1527=$N$4,IFERROR(INDEX(DanhMuc!$E$154:$E$165,MATCH(MID($B1527,4,2),DanhMuc!$B$154:$B$165,0)),""),"")</f>
        <v>6000</v>
      </c>
      <c r="V1527" s="325"/>
      <c r="W1527" s="352" t="str">
        <f>+IF(AND($A1527&lt;&gt;"",LEN($B1527)&gt;=8,COUNTIF($B$6:$B1527,$B1527)=1),$W$5,"")</f>
        <v/>
      </c>
      <c r="X1527" s="329" t="str">
        <f t="shared" si="188"/>
        <v>VN</v>
      </c>
      <c r="Y1527" s="1128" t="s">
        <v>3380</v>
      </c>
      <c r="Z1527" s="1128" t="s">
        <v>3381</v>
      </c>
      <c r="AA1527" s="1128" t="s">
        <v>3384</v>
      </c>
      <c r="AC1527" s="73"/>
    </row>
    <row r="1528" spans="1:29" s="20" customFormat="1">
      <c r="A1528" s="327" t="str">
        <f>IF(AND($B1528&lt;&gt;"",$C1528&lt;&gt;""),MAX($A$4:A1527)+1,"")</f>
        <v/>
      </c>
      <c r="B1528" s="361" t="s">
        <v>3242</v>
      </c>
      <c r="C1528" s="364"/>
      <c r="D1528" s="327">
        <f>IF($B1528="","",COUNTIF($B$6:$B1528,$B1528))</f>
        <v>3</v>
      </c>
      <c r="E1528" s="361" t="s">
        <v>3226</v>
      </c>
      <c r="F1528" s="362" t="s">
        <v>3229</v>
      </c>
      <c r="G1528" s="327" t="s">
        <v>329</v>
      </c>
      <c r="H1528" s="325"/>
      <c r="I1528" s="327">
        <v>4</v>
      </c>
      <c r="J1528" s="361" t="s">
        <v>3235</v>
      </c>
      <c r="K1528" s="327" t="s">
        <v>516</v>
      </c>
      <c r="L1528" s="348">
        <f t="shared" si="190"/>
        <v>257538.46153846153</v>
      </c>
      <c r="M1528" s="355"/>
      <c r="N1528" s="355" t="str">
        <f t="shared" si="189"/>
        <v>PR</v>
      </c>
      <c r="O1528" s="345"/>
      <c r="P1528" s="325"/>
      <c r="Q1528" s="351"/>
      <c r="R1528" s="351"/>
      <c r="S1528" s="351">
        <v>6</v>
      </c>
      <c r="T1528" s="1074">
        <f>279000/6/$L$1518</f>
        <v>0.51098901098901095</v>
      </c>
      <c r="U1528" s="329">
        <f>IF($N1528=$N$4,IFERROR(INDEX(DanhMuc!$E$154:$E$165,MATCH(MID($B1528,4,2),DanhMuc!$B$154:$B$165,0)),""),"")</f>
        <v>6000</v>
      </c>
      <c r="V1528" s="325"/>
      <c r="W1528" s="352" t="str">
        <f>+IF(AND($A1528&lt;&gt;"",LEN($B1528)&gt;=8,COUNTIF($B$6:$B1528,$B1528)=1),$W$5,"")</f>
        <v/>
      </c>
      <c r="X1528" s="329" t="str">
        <f t="shared" si="188"/>
        <v>VN</v>
      </c>
      <c r="Y1528" s="1128" t="s">
        <v>3380</v>
      </c>
      <c r="Z1528" s="1128" t="s">
        <v>3381</v>
      </c>
      <c r="AA1528" s="1128" t="s">
        <v>3384</v>
      </c>
      <c r="AC1528" s="73"/>
    </row>
    <row r="1529" spans="1:29" s="20" customFormat="1">
      <c r="A1529" s="327" t="str">
        <f>IF(AND($B1529&lt;&gt;"",$C1529&lt;&gt;""),MAX($A$4:A1528)+1,"")</f>
        <v/>
      </c>
      <c r="B1529" s="361" t="s">
        <v>3242</v>
      </c>
      <c r="C1529" s="364"/>
      <c r="D1529" s="327">
        <f>IF($B1529="","",COUNTIF($B$6:$B1529,$B1529))</f>
        <v>4</v>
      </c>
      <c r="E1529" s="361" t="s">
        <v>3226</v>
      </c>
      <c r="F1529" s="362" t="s">
        <v>3229</v>
      </c>
      <c r="G1529" s="327" t="s">
        <v>328</v>
      </c>
      <c r="H1529" s="325"/>
      <c r="I1529" s="327">
        <v>2</v>
      </c>
      <c r="J1529" s="361" t="s">
        <v>3233</v>
      </c>
      <c r="K1529" s="327" t="s">
        <v>516</v>
      </c>
      <c r="L1529" s="348">
        <f t="shared" si="190"/>
        <v>257538.46153846153</v>
      </c>
      <c r="M1529" s="355"/>
      <c r="N1529" s="355" t="str">
        <f t="shared" si="189"/>
        <v>PR</v>
      </c>
      <c r="O1529" s="345"/>
      <c r="P1529" s="325"/>
      <c r="Q1529" s="351"/>
      <c r="R1529" s="351"/>
      <c r="S1529" s="351">
        <v>6</v>
      </c>
      <c r="T1529" s="1074">
        <f>279000/6/$L$1518</f>
        <v>0.51098901098901095</v>
      </c>
      <c r="U1529" s="329">
        <f>IF($N1529=$N$4,IFERROR(INDEX(DanhMuc!$E$154:$E$165,MATCH(MID($B1529,4,2),DanhMuc!$B$154:$B$165,0)),""),"")</f>
        <v>6000</v>
      </c>
      <c r="V1529" s="325"/>
      <c r="W1529" s="352" t="str">
        <f>+IF(AND($A1529&lt;&gt;"",LEN($B1529)&gt;=8,COUNTIF($B$6:$B1529,$B1529)=1),$W$5,"")</f>
        <v/>
      </c>
      <c r="X1529" s="329" t="str">
        <f t="shared" si="188"/>
        <v>VN</v>
      </c>
      <c r="Y1529" s="1128" t="s">
        <v>3380</v>
      </c>
      <c r="Z1529" s="1128" t="s">
        <v>3381</v>
      </c>
      <c r="AA1529" s="1128" t="s">
        <v>3384</v>
      </c>
      <c r="AC1529" s="73"/>
    </row>
    <row r="1530" spans="1:29" s="20" customFormat="1">
      <c r="A1530" s="327" t="str">
        <f>IF(AND($B1530&lt;&gt;"",$C1530&lt;&gt;""),MAX($A$4:A1529)+1,"")</f>
        <v/>
      </c>
      <c r="B1530" s="361" t="s">
        <v>3242</v>
      </c>
      <c r="C1530" s="364"/>
      <c r="D1530" s="327">
        <f>IF($B1530="","",COUNTIF($B$6:$B1530,$B1530))</f>
        <v>5</v>
      </c>
      <c r="E1530" s="361" t="s">
        <v>3227</v>
      </c>
      <c r="F1530" s="362" t="s">
        <v>3230</v>
      </c>
      <c r="G1530" s="327" t="s">
        <v>328</v>
      </c>
      <c r="H1530" s="325"/>
      <c r="I1530" s="327">
        <v>2</v>
      </c>
      <c r="J1530" s="361" t="s">
        <v>3233</v>
      </c>
      <c r="K1530" s="327" t="s">
        <v>516</v>
      </c>
      <c r="L1530" s="348">
        <f t="shared" si="190"/>
        <v>281538.4615384615</v>
      </c>
      <c r="M1530" s="355"/>
      <c r="N1530" s="355" t="str">
        <f t="shared" si="189"/>
        <v>PR</v>
      </c>
      <c r="O1530" s="345"/>
      <c r="P1530" s="325"/>
      <c r="Q1530" s="351"/>
      <c r="R1530" s="351"/>
      <c r="S1530" s="351">
        <v>6</v>
      </c>
      <c r="T1530" s="1074">
        <f>305000/6/$L$1518</f>
        <v>0.55860805860805862</v>
      </c>
      <c r="U1530" s="329">
        <f>IF($N1530=$N$4,IFERROR(INDEX(DanhMuc!$E$154:$E$165,MATCH(MID($B1530,4,2),DanhMuc!$B$154:$B$165,0)),""),"")</f>
        <v>6000</v>
      </c>
      <c r="V1530" s="325"/>
      <c r="W1530" s="352" t="str">
        <f>+IF(AND($A1530&lt;&gt;"",LEN($B1530)&gt;=8,COUNTIF($B$6:$B1530,$B1530)=1),$W$5,"")</f>
        <v/>
      </c>
      <c r="X1530" s="329" t="str">
        <f t="shared" si="188"/>
        <v>VN</v>
      </c>
      <c r="Y1530" s="1128" t="s">
        <v>3380</v>
      </c>
      <c r="Z1530" s="1128" t="s">
        <v>3381</v>
      </c>
      <c r="AA1530" s="1128" t="s">
        <v>3384</v>
      </c>
      <c r="AC1530" s="73"/>
    </row>
    <row r="1531" spans="1:29" s="20" customFormat="1">
      <c r="A1531" s="327" t="str">
        <f>IF(AND($B1531&lt;&gt;"",$C1531&lt;&gt;""),MAX($A$4:A1530)+1,"")</f>
        <v/>
      </c>
      <c r="B1531" s="361" t="s">
        <v>3242</v>
      </c>
      <c r="C1531" s="364"/>
      <c r="D1531" s="327">
        <f>IF($B1531="","",COUNTIF($B$6:$B1531,$B1531))</f>
        <v>6</v>
      </c>
      <c r="E1531" s="361" t="s">
        <v>3228</v>
      </c>
      <c r="F1531" s="362" t="s">
        <v>3231</v>
      </c>
      <c r="G1531" s="327" t="s">
        <v>329</v>
      </c>
      <c r="H1531" s="325"/>
      <c r="I1531" s="327">
        <v>2</v>
      </c>
      <c r="J1531" s="361" t="s">
        <v>3236</v>
      </c>
      <c r="K1531" s="327" t="s">
        <v>531</v>
      </c>
      <c r="L1531" s="348">
        <f t="shared" si="190"/>
        <v>417230.76923076919</v>
      </c>
      <c r="M1531" s="355"/>
      <c r="N1531" s="355" t="str">
        <f t="shared" si="189"/>
        <v>PR</v>
      </c>
      <c r="O1531" s="345"/>
      <c r="P1531" s="325"/>
      <c r="Q1531" s="351"/>
      <c r="R1531" s="351"/>
      <c r="S1531" s="351">
        <v>6</v>
      </c>
      <c r="T1531" s="1074">
        <f>452000/6/$L$1518</f>
        <v>0.82783882783882778</v>
      </c>
      <c r="U1531" s="329">
        <f>IF($N1531=$N$4,IFERROR(INDEX(DanhMuc!$E$154:$E$165,MATCH(MID($B1531,4,2),DanhMuc!$B$154:$B$165,0)),""),"")</f>
        <v>6000</v>
      </c>
      <c r="V1531" s="325"/>
      <c r="W1531" s="352" t="str">
        <f>+IF(AND($A1531&lt;&gt;"",LEN($B1531)&gt;=8,COUNTIF($B$6:$B1531,$B1531)=1),$W$5,"")</f>
        <v/>
      </c>
      <c r="X1531" s="329" t="str">
        <f t="shared" si="188"/>
        <v>VN</v>
      </c>
      <c r="Y1531" s="1128" t="s">
        <v>3380</v>
      </c>
      <c r="Z1531" s="1128" t="s">
        <v>3381</v>
      </c>
      <c r="AA1531" s="1128" t="s">
        <v>3384</v>
      </c>
      <c r="AC1531" s="73"/>
    </row>
    <row r="1532" spans="1:29" s="20" customFormat="1">
      <c r="A1532" s="327">
        <f>IF(AND($B1532&lt;&gt;"",$C1532&lt;&gt;""),MAX($A$4:A1514)+1,"")</f>
        <v>109</v>
      </c>
      <c r="B1532" s="359" t="s">
        <v>2568</v>
      </c>
      <c r="C1532" s="370" t="s">
        <v>3237</v>
      </c>
      <c r="D1532" s="327">
        <f>IF($B1532="","",COUNTIF($B$6:$B1532,$B1532))</f>
        <v>1</v>
      </c>
      <c r="E1532" s="361" t="s">
        <v>3238</v>
      </c>
      <c r="F1532" s="362" t="s">
        <v>3239</v>
      </c>
      <c r="G1532" s="361" t="s">
        <v>329</v>
      </c>
      <c r="H1532" s="325"/>
      <c r="I1532" s="327">
        <v>2</v>
      </c>
      <c r="J1532" s="361" t="s">
        <v>3240</v>
      </c>
      <c r="K1532" s="327" t="s">
        <v>531</v>
      </c>
      <c r="L1532" s="348">
        <f>+$T1532*$S1532*$L$1518</f>
        <v>237999.99999999997</v>
      </c>
      <c r="M1532" s="355"/>
      <c r="N1532" s="355" t="str">
        <f t="shared" si="189"/>
        <v>PR</v>
      </c>
      <c r="O1532" s="345"/>
      <c r="P1532" s="325"/>
      <c r="Q1532" s="351"/>
      <c r="R1532" s="351">
        <v>0.8</v>
      </c>
      <c r="S1532" s="351">
        <v>6</v>
      </c>
      <c r="T1532" s="1074">
        <f>238000/6/$L$1518</f>
        <v>0.43589743589743585</v>
      </c>
      <c r="U1532" s="329">
        <f>IF($N1532=$N$4,IFERROR(INDEX(DanhMuc!$E$154:$E$165,MATCH(MID($B1532,4,2),DanhMuc!$B$154:$B$165,0)),""),"")</f>
        <v>6000</v>
      </c>
      <c r="V1532" s="325"/>
      <c r="W1532" s="352" t="str">
        <f>+IF(AND($A1532&lt;&gt;"",LEN($B1532)&gt;=8,COUNTIF($B$6:$B1532,$B1532)=1),$W$5,"")</f>
        <v>DMCua</v>
      </c>
      <c r="X1532" s="329" t="str">
        <f t="shared" si="188"/>
        <v>VN</v>
      </c>
      <c r="Y1532" s="1128" t="s">
        <v>3380</v>
      </c>
      <c r="Z1532" s="1128" t="s">
        <v>3381</v>
      </c>
      <c r="AA1532" s="1128" t="s">
        <v>3384</v>
      </c>
      <c r="AC1532" s="73"/>
    </row>
    <row r="1533" spans="1:29" s="20" customFormat="1">
      <c r="A1533" s="327" t="str">
        <f>IF(AND($B1533&lt;&gt;"",$C1533&lt;&gt;""),MAX($A$4:A1507)+1,"")</f>
        <v/>
      </c>
      <c r="B1533" s="361" t="s">
        <v>2568</v>
      </c>
      <c r="C1533" s="364"/>
      <c r="D1533" s="327">
        <f>IF($B1533="","",COUNTIF($B$6:$B1533,$B1533))</f>
        <v>2</v>
      </c>
      <c r="E1533" s="361" t="s">
        <v>3238</v>
      </c>
      <c r="F1533" s="362" t="s">
        <v>3239</v>
      </c>
      <c r="G1533" s="361" t="s">
        <v>328</v>
      </c>
      <c r="H1533" s="325"/>
      <c r="I1533" s="327">
        <v>2</v>
      </c>
      <c r="J1533" s="361" t="s">
        <v>80</v>
      </c>
      <c r="K1533" s="327" t="s">
        <v>531</v>
      </c>
      <c r="L1533" s="348">
        <f t="shared" ref="L1533" si="191">+$T1533*$S1533*$L$1518</f>
        <v>237999.99999999997</v>
      </c>
      <c r="M1533" s="355"/>
      <c r="N1533" s="355" t="str">
        <f t="shared" si="181"/>
        <v>PR</v>
      </c>
      <c r="O1533" s="345"/>
      <c r="P1533" s="325"/>
      <c r="Q1533" s="351"/>
      <c r="R1533" s="351">
        <v>0.8</v>
      </c>
      <c r="S1533" s="351">
        <v>6</v>
      </c>
      <c r="T1533" s="1074">
        <f>238000/6/$L$1518</f>
        <v>0.43589743589743585</v>
      </c>
      <c r="U1533" s="329">
        <f>IF($N1533=$N$4,IFERROR(INDEX(DanhMuc!$E$154:$E$165,MATCH(MID($B1533,4,2),DanhMuc!$B$154:$B$165,0)),""),"")</f>
        <v>6000</v>
      </c>
      <c r="V1533" s="325"/>
      <c r="W1533" s="352" t="str">
        <f>+IF(AND($A1533&lt;&gt;"",LEN($B1533)&gt;=8,COUNTIF($B$6:$B1533,$B1533)=1),$W$5,"")</f>
        <v/>
      </c>
      <c r="X1533" s="329" t="str">
        <f t="shared" si="188"/>
        <v>VN</v>
      </c>
      <c r="Y1533" s="1128" t="s">
        <v>3380</v>
      </c>
      <c r="Z1533" s="1128" t="s">
        <v>3381</v>
      </c>
      <c r="AA1533" s="1128" t="s">
        <v>3384</v>
      </c>
      <c r="AC1533" s="73"/>
    </row>
    <row r="1534" spans="1:29" s="20" customFormat="1" ht="26">
      <c r="A1534" s="327">
        <f>IF(AND($B1534&lt;&gt;"",$C1534&lt;&gt;""),MAX($A$4:A1518)+1,"")</f>
        <v>110</v>
      </c>
      <c r="B1534" s="359" t="s">
        <v>3375</v>
      </c>
      <c r="C1534" s="370" t="s">
        <v>2574</v>
      </c>
      <c r="D1534" s="327">
        <f>IF($B1534="","",COUNTIF($B$6:$B1534,$B1534))</f>
        <v>1</v>
      </c>
      <c r="E1534" s="363" t="s">
        <v>2570</v>
      </c>
      <c r="F1534" s="362" t="s">
        <v>2572</v>
      </c>
      <c r="G1534" s="361" t="s">
        <v>329</v>
      </c>
      <c r="H1534" s="325"/>
      <c r="I1534" s="327">
        <v>2</v>
      </c>
      <c r="J1534" s="361" t="s">
        <v>81</v>
      </c>
      <c r="K1534" s="327" t="s">
        <v>516</v>
      </c>
      <c r="L1534" s="348">
        <f>+$T1534*$S1534*$L$1518</f>
        <v>115000</v>
      </c>
      <c r="M1534" s="355"/>
      <c r="N1534" s="355" t="str">
        <f t="shared" ref="N1534" si="192">+$N$4</f>
        <v>PR</v>
      </c>
      <c r="O1534" s="345"/>
      <c r="P1534" s="325"/>
      <c r="Q1534" s="351"/>
      <c r="R1534" s="351">
        <v>0.8</v>
      </c>
      <c r="S1534" s="351">
        <v>6</v>
      </c>
      <c r="T1534" s="1074">
        <f>230000/2/6/$L$1518</f>
        <v>0.21062271062271062</v>
      </c>
      <c r="U1534" s="329">
        <f>IF($N1534=$N$4,IFERROR(INDEX(DanhMuc!$E$154:$E$165,MATCH(MID($B1534,4,2),DanhMuc!$B$154:$B$165,0)),""),"")</f>
        <v>6000</v>
      </c>
      <c r="V1534" s="325"/>
      <c r="W1534" s="352" t="str">
        <f>+IF(AND($A1534&lt;&gt;"",LEN($B1534)&gt;=8,COUNTIF($B$6:$B1534,$B1534)=1),$W$5,"")</f>
        <v>DMCua</v>
      </c>
      <c r="X1534" s="329" t="str">
        <f t="shared" si="188"/>
        <v>NG</v>
      </c>
      <c r="Y1534" s="1128" t="s">
        <v>3380</v>
      </c>
      <c r="Z1534" s="1128" t="s">
        <v>3381</v>
      </c>
      <c r="AA1534" s="1128" t="s">
        <v>3384</v>
      </c>
      <c r="AC1534" s="73"/>
    </row>
    <row r="1535" spans="1:29" s="20" customFormat="1">
      <c r="A1535" s="327" t="str">
        <f>IF(AND($B1535&lt;&gt;"",$C1535&lt;&gt;""),MAX($A$4:A1511)+1,"")</f>
        <v/>
      </c>
      <c r="B1535" s="361" t="s">
        <v>3375</v>
      </c>
      <c r="C1535" s="364"/>
      <c r="D1535" s="327">
        <f>IF($B1535="","",COUNTIF($B$6:$B1535,$B1535))</f>
        <v>2</v>
      </c>
      <c r="E1535" s="361" t="s">
        <v>2570</v>
      </c>
      <c r="F1535" s="362" t="s">
        <v>2572</v>
      </c>
      <c r="G1535" s="361" t="s">
        <v>328</v>
      </c>
      <c r="H1535" s="325"/>
      <c r="I1535" s="327">
        <v>2</v>
      </c>
      <c r="J1535" s="361" t="s">
        <v>80</v>
      </c>
      <c r="K1535" s="327" t="s">
        <v>516</v>
      </c>
      <c r="L1535" s="348">
        <f t="shared" ref="L1535:L1554" si="193">+$T1535*$S1535*$L$1518</f>
        <v>115000</v>
      </c>
      <c r="M1535" s="355"/>
      <c r="N1535" s="355" t="str">
        <f t="shared" si="181"/>
        <v>PR</v>
      </c>
      <c r="O1535" s="345"/>
      <c r="P1535" s="325"/>
      <c r="Q1535" s="351"/>
      <c r="R1535" s="351">
        <v>0.8</v>
      </c>
      <c r="S1535" s="351">
        <v>6</v>
      </c>
      <c r="T1535" s="1074">
        <f t="shared" ref="T1535:T1537" si="194">230000/2/6/$L$1518</f>
        <v>0.21062271062271062</v>
      </c>
      <c r="U1535" s="329">
        <f>IF($N1535=$N$4,IFERROR(INDEX(DanhMuc!$E$154:$E$165,MATCH(MID($B1535,4,2),DanhMuc!$B$154:$B$165,0)),""),"")</f>
        <v>6000</v>
      </c>
      <c r="V1535" s="325"/>
      <c r="W1535" s="352" t="str">
        <f>+IF(AND($A1535&lt;&gt;"",LEN($B1535)&gt;=8,COUNTIF($B$6:$B1535,$B1535)=1),$W$5,"")</f>
        <v/>
      </c>
      <c r="X1535" s="329" t="str">
        <f t="shared" si="188"/>
        <v>NG</v>
      </c>
      <c r="Y1535" s="1128" t="s">
        <v>3380</v>
      </c>
      <c r="Z1535" s="1128" t="s">
        <v>3381</v>
      </c>
      <c r="AA1535" s="1128" t="s">
        <v>3384</v>
      </c>
      <c r="AC1535" s="73"/>
    </row>
    <row r="1536" spans="1:29" s="20" customFormat="1">
      <c r="A1536" s="327" t="str">
        <f>IF(AND($B1536&lt;&gt;"",$C1536&lt;&gt;""),MAX($A$4:A1512)+1,"")</f>
        <v/>
      </c>
      <c r="B1536" s="361" t="s">
        <v>3375</v>
      </c>
      <c r="C1536" s="364"/>
      <c r="D1536" s="327">
        <f>IF($B1536="","",COUNTIF($B$6:$B1536,$B1536))</f>
        <v>3</v>
      </c>
      <c r="E1536" s="361" t="s">
        <v>2571</v>
      </c>
      <c r="F1536" s="362" t="s">
        <v>2573</v>
      </c>
      <c r="G1536" s="361" t="s">
        <v>329</v>
      </c>
      <c r="H1536" s="325"/>
      <c r="I1536" s="327">
        <v>2</v>
      </c>
      <c r="J1536" s="361" t="s">
        <v>81</v>
      </c>
      <c r="K1536" s="327" t="s">
        <v>516</v>
      </c>
      <c r="L1536" s="348">
        <f t="shared" si="193"/>
        <v>115000</v>
      </c>
      <c r="M1536" s="355"/>
      <c r="N1536" s="355" t="str">
        <f t="shared" si="181"/>
        <v>PR</v>
      </c>
      <c r="O1536" s="345"/>
      <c r="P1536" s="325"/>
      <c r="Q1536" s="351"/>
      <c r="R1536" s="351">
        <v>0.8</v>
      </c>
      <c r="S1536" s="351">
        <v>6</v>
      </c>
      <c r="T1536" s="1074">
        <f t="shared" si="194"/>
        <v>0.21062271062271062</v>
      </c>
      <c r="U1536" s="329">
        <f>IF($N1536=$N$4,IFERROR(INDEX(DanhMuc!$E$154:$E$165,MATCH(MID($B1536,4,2),DanhMuc!$B$154:$B$165,0)),""),"")</f>
        <v>6000</v>
      </c>
      <c r="V1536" s="325"/>
      <c r="W1536" s="352" t="str">
        <f>+IF(AND($A1536&lt;&gt;"",LEN($B1536)&gt;=8,COUNTIF($B$6:$B1536,$B1536)=1),$W$5,"")</f>
        <v/>
      </c>
      <c r="X1536" s="329" t="str">
        <f t="shared" si="188"/>
        <v>NG</v>
      </c>
      <c r="Y1536" s="1128" t="s">
        <v>3380</v>
      </c>
      <c r="Z1536" s="1128" t="s">
        <v>3381</v>
      </c>
      <c r="AA1536" s="1128" t="s">
        <v>3384</v>
      </c>
      <c r="AC1536" s="73"/>
    </row>
    <row r="1537" spans="1:29" s="20" customFormat="1">
      <c r="A1537" s="327" t="str">
        <f>IF(AND($B1537&lt;&gt;"",$C1537&lt;&gt;""),MAX($A$4:A1513)+1,"")</f>
        <v/>
      </c>
      <c r="B1537" s="361" t="s">
        <v>3375</v>
      </c>
      <c r="C1537" s="364"/>
      <c r="D1537" s="327">
        <f>IF($B1537="","",COUNTIF($B$6:$B1537,$B1537))</f>
        <v>4</v>
      </c>
      <c r="E1537" s="361" t="s">
        <v>2571</v>
      </c>
      <c r="F1537" s="362" t="s">
        <v>2573</v>
      </c>
      <c r="G1537" s="361" t="s">
        <v>328</v>
      </c>
      <c r="H1537" s="325"/>
      <c r="I1537" s="327">
        <v>2</v>
      </c>
      <c r="J1537" s="361" t="s">
        <v>80</v>
      </c>
      <c r="K1537" s="327" t="s">
        <v>516</v>
      </c>
      <c r="L1537" s="348">
        <f t="shared" si="193"/>
        <v>115000</v>
      </c>
      <c r="M1537" s="355"/>
      <c r="N1537" s="355" t="str">
        <f t="shared" si="181"/>
        <v>PR</v>
      </c>
      <c r="O1537" s="345"/>
      <c r="P1537" s="325"/>
      <c r="Q1537" s="351"/>
      <c r="R1537" s="351">
        <v>0.8</v>
      </c>
      <c r="S1537" s="351">
        <v>6</v>
      </c>
      <c r="T1537" s="1074">
        <f t="shared" si="194"/>
        <v>0.21062271062271062</v>
      </c>
      <c r="U1537" s="329">
        <f>IF($N1537=$N$4,IFERROR(INDEX(DanhMuc!$E$154:$E$165,MATCH(MID($B1537,4,2),DanhMuc!$B$154:$B$165,0)),""),"")</f>
        <v>6000</v>
      </c>
      <c r="V1537" s="325"/>
      <c r="W1537" s="352" t="str">
        <f>+IF(AND($A1537&lt;&gt;"",LEN($B1537)&gt;=8,COUNTIF($B$6:$B1537,$B1537)=1),$W$5,"")</f>
        <v/>
      </c>
      <c r="X1537" s="329" t="str">
        <f t="shared" si="188"/>
        <v>NG</v>
      </c>
      <c r="Y1537" s="1128" t="s">
        <v>3380</v>
      </c>
      <c r="Z1537" s="1128" t="s">
        <v>3381</v>
      </c>
      <c r="AA1537" s="1128" t="s">
        <v>3384</v>
      </c>
      <c r="AC1537" s="73"/>
    </row>
    <row r="1538" spans="1:29" s="20" customFormat="1">
      <c r="A1538" s="327" t="str">
        <f>IF(AND($B1538&lt;&gt;"",$C1538&lt;&gt;""),MAX($A$4:A1514)+1,"")</f>
        <v/>
      </c>
      <c r="B1538" s="361"/>
      <c r="C1538" s="364"/>
      <c r="D1538" s="327" t="str">
        <f>IF($B1538="","",COUNTIF($B$6:$B1538,$B1538))</f>
        <v/>
      </c>
      <c r="E1538" s="361"/>
      <c r="F1538" s="362"/>
      <c r="G1538" s="361"/>
      <c r="H1538" s="325"/>
      <c r="I1538" s="327"/>
      <c r="J1538" s="361"/>
      <c r="K1538" s="327"/>
      <c r="L1538" s="348">
        <f t="shared" si="193"/>
        <v>0</v>
      </c>
      <c r="M1538" s="355"/>
      <c r="N1538" s="355" t="str">
        <f t="shared" si="181"/>
        <v>PR</v>
      </c>
      <c r="O1538" s="345"/>
      <c r="P1538" s="325"/>
      <c r="Q1538" s="351"/>
      <c r="R1538" s="351"/>
      <c r="S1538" s="351"/>
      <c r="T1538" s="351"/>
      <c r="U1538" s="329" t="str">
        <f>IF($N1538=$N$4,IFERROR(INDEX(DanhMuc!$E$154:$E$165,MATCH(MID($B1538,4,2),DanhMuc!$B$154:$B$165,0)),""),"")</f>
        <v/>
      </c>
      <c r="V1538" s="868"/>
      <c r="W1538" s="352" t="str">
        <f>+IF(AND($A1538&lt;&gt;"",LEN($B1538)&gt;=8,COUNTIF($B$6:$B1538,$B1538)=1),$W$5,"")</f>
        <v/>
      </c>
      <c r="X1538" s="329" t="str">
        <f t="shared" si="188"/>
        <v/>
      </c>
      <c r="Y1538" s="1128" t="s">
        <v>3380</v>
      </c>
      <c r="Z1538" s="1128" t="s">
        <v>3381</v>
      </c>
      <c r="AA1538" s="1128" t="s">
        <v>3384</v>
      </c>
      <c r="AC1538" s="73"/>
    </row>
    <row r="1539" spans="1:29" s="72" customFormat="1">
      <c r="A1539" s="327" t="str">
        <f>IF(AND($B1539&lt;&gt;"",$C1539&lt;&gt;""),MAX($A$4:A1538)+1,"")</f>
        <v/>
      </c>
      <c r="B1539" s="338" t="s">
        <v>2604</v>
      </c>
      <c r="C1539" s="340"/>
      <c r="D1539" s="339"/>
      <c r="E1539" s="339"/>
      <c r="F1539" s="341"/>
      <c r="G1539" s="339"/>
      <c r="H1539" s="342"/>
      <c r="I1539" s="339"/>
      <c r="J1539" s="339"/>
      <c r="K1539" s="383"/>
      <c r="L1539" s="869">
        <v>0</v>
      </c>
      <c r="M1539" s="343"/>
      <c r="N1539" s="343"/>
      <c r="O1539" s="344"/>
      <c r="P1539" s="342"/>
      <c r="Q1539" s="342"/>
      <c r="R1539" s="351"/>
      <c r="S1539" s="351"/>
      <c r="T1539" s="351"/>
      <c r="U1539" s="329" t="str">
        <f>IF($N1539=$N$4,IFERROR(INDEX(DanhMuc!$E$154:$E$165,MATCH(MID($B1539,4,2),DanhMuc!$B$154:$B$165,0)),""),"")</f>
        <v/>
      </c>
      <c r="V1539" s="342"/>
      <c r="W1539" s="352" t="str">
        <f>+IF(AND($A1539&lt;&gt;"",LEN($B1539)&gt;=8,COUNTIF($B$6:$B1539,$B1539)=1),$W$5,"")</f>
        <v/>
      </c>
      <c r="X1539" s="329" t="str">
        <f t="shared" si="188"/>
        <v xml:space="preserve">h </v>
      </c>
      <c r="Y1539" s="1128" t="s">
        <v>3380</v>
      </c>
      <c r="Z1539" s="1128" t="s">
        <v>3381</v>
      </c>
      <c r="AA1539" s="1128" t="s">
        <v>3384</v>
      </c>
      <c r="AB1539" s="20"/>
      <c r="AC1539" s="73"/>
    </row>
    <row r="1540" spans="1:29" s="20" customFormat="1">
      <c r="A1540" s="327">
        <f>IF(AND($B1540&lt;&gt;"",$C1540&lt;&gt;""),MAX($A$4:A1539)+1,"")</f>
        <v>112</v>
      </c>
      <c r="B1540" s="359" t="s">
        <v>2605</v>
      </c>
      <c r="C1540" s="370" t="s">
        <v>2604</v>
      </c>
      <c r="D1540" s="327">
        <f>IF($B1540="","",COUNTIF($B$6:$B1540,$B1540))</f>
        <v>1</v>
      </c>
      <c r="E1540" s="363" t="s">
        <v>152</v>
      </c>
      <c r="F1540" s="362" t="s">
        <v>2604</v>
      </c>
      <c r="G1540" s="361"/>
      <c r="H1540" s="325"/>
      <c r="I1540" s="327">
        <v>0</v>
      </c>
      <c r="J1540" s="361">
        <v>0</v>
      </c>
      <c r="K1540" s="327"/>
      <c r="L1540" s="348">
        <f t="shared" si="193"/>
        <v>0</v>
      </c>
      <c r="M1540" s="355"/>
      <c r="N1540" s="355" t="str">
        <f t="shared" ref="N1540" si="195">+$N$4</f>
        <v>PR</v>
      </c>
      <c r="O1540" s="345"/>
      <c r="P1540" s="325"/>
      <c r="Q1540" s="351"/>
      <c r="R1540" s="351"/>
      <c r="S1540" s="351"/>
      <c r="T1540" s="351">
        <v>0</v>
      </c>
      <c r="U1540" s="329">
        <f>IF($N1540=$N$4,IFERROR(INDEX(DanhMuc!$E$154:$E$165,MATCH(MID($B1540,4,2),DanhMuc!$B$154:$B$165,0)),""),"")</f>
        <v>6000</v>
      </c>
      <c r="V1540" s="325"/>
      <c r="W1540" s="352" t="str">
        <f>+IF(AND($A1540&lt;&gt;"",LEN($B1540)&gt;=8,COUNTIF($B$6:$B1540,$B1540)=1),$W$5,"")</f>
        <v>DMCua</v>
      </c>
      <c r="X1540" s="329" t="str">
        <f t="shared" si="188"/>
        <v>KI</v>
      </c>
      <c r="Y1540" s="1128" t="s">
        <v>3380</v>
      </c>
      <c r="Z1540" s="1128" t="s">
        <v>3381</v>
      </c>
      <c r="AA1540" s="1128" t="s">
        <v>3384</v>
      </c>
      <c r="AC1540" s="73"/>
    </row>
    <row r="1541" spans="1:29" s="20" customFormat="1">
      <c r="A1541" s="327" t="str">
        <f>IF(AND($B1541&lt;&gt;"",$C1541&lt;&gt;""),MAX($A$4:A1540)+1,"")</f>
        <v/>
      </c>
      <c r="B1541" s="361"/>
      <c r="C1541" s="364"/>
      <c r="D1541" s="327" t="str">
        <f>IF($B1541="","",COUNTIF($B$6:$B1541,$B1541))</f>
        <v/>
      </c>
      <c r="E1541" s="361"/>
      <c r="F1541" s="362"/>
      <c r="G1541" s="361"/>
      <c r="H1541" s="325"/>
      <c r="I1541" s="327"/>
      <c r="J1541" s="361"/>
      <c r="K1541" s="327"/>
      <c r="L1541" s="348">
        <f t="shared" si="193"/>
        <v>0</v>
      </c>
      <c r="M1541" s="355"/>
      <c r="N1541" s="355" t="str">
        <f t="shared" si="181"/>
        <v>PR</v>
      </c>
      <c r="O1541" s="345"/>
      <c r="P1541" s="325"/>
      <c r="Q1541" s="351"/>
      <c r="R1541" s="351"/>
      <c r="S1541" s="351"/>
      <c r="T1541" s="351"/>
      <c r="U1541" s="329" t="str">
        <f>IF($N1541=$N$4,IFERROR(INDEX(DanhMuc!$E$154:$E$165,MATCH(MID($B1541,4,2),DanhMuc!$B$154:$B$165,0)),""),"")</f>
        <v/>
      </c>
      <c r="V1541" s="325"/>
      <c r="W1541" s="352" t="str">
        <f>+IF(AND($A1541&lt;&gt;"",LEN($B1541)&gt;=8,COUNTIF($B$6:$B1541,$B1541)=1),$W$5,"")</f>
        <v/>
      </c>
      <c r="X1541" s="329" t="str">
        <f t="shared" si="188"/>
        <v/>
      </c>
      <c r="Y1541" s="1128" t="s">
        <v>3380</v>
      </c>
      <c r="Z1541" s="1128" t="s">
        <v>3381</v>
      </c>
      <c r="AA1541" s="1128" t="s">
        <v>3384</v>
      </c>
      <c r="AC1541" s="73"/>
    </row>
    <row r="1542" spans="1:29" s="72" customFormat="1">
      <c r="A1542" s="327">
        <f>IF(AND($B1542&lt;&gt;"",$C1542&lt;&gt;""),MAX($A$4:A1541)+1,"")</f>
        <v>113</v>
      </c>
      <c r="B1542" s="338" t="s">
        <v>3791</v>
      </c>
      <c r="C1542" s="340" t="s">
        <v>3792</v>
      </c>
      <c r="D1542" s="327">
        <f>IF($B1542="","",COUNTIF($B$6:$B1542,$B1542))</f>
        <v>1</v>
      </c>
      <c r="E1542" s="339"/>
      <c r="F1542" s="341"/>
      <c r="G1542" s="339"/>
      <c r="H1542" s="342"/>
      <c r="I1542" s="339"/>
      <c r="J1542" s="339"/>
      <c r="K1542" s="383"/>
      <c r="L1542" s="869">
        <v>0</v>
      </c>
      <c r="M1542" s="343"/>
      <c r="N1542" s="343"/>
      <c r="O1542" s="344"/>
      <c r="P1542" s="342"/>
      <c r="Q1542" s="342"/>
      <c r="R1542" s="351"/>
      <c r="S1542" s="351"/>
      <c r="T1542" s="351"/>
      <c r="U1542" s="329" t="str">
        <f>IF($N1542=$N$4,IFERROR(INDEX(DanhMuc!$E$154:$E$165,MATCH(MID($B1542,4,2),DanhMuc!$B$154:$B$165,0)),""),"")</f>
        <v/>
      </c>
      <c r="V1542" s="342"/>
      <c r="W1542" s="352" t="str">
        <f>+IF(AND($A1542&lt;&gt;"",LEN($B1542)&gt;=8,COUNTIF($B$6:$B1542,$B1542)=1),$W$5,"")</f>
        <v/>
      </c>
      <c r="X1542" s="329" t="str">
        <f t="shared" si="188"/>
        <v/>
      </c>
      <c r="Y1542" s="1128" t="s">
        <v>3380</v>
      </c>
      <c r="Z1542" s="1128" t="s">
        <v>3381</v>
      </c>
      <c r="AA1542" s="1128" t="s">
        <v>3384</v>
      </c>
      <c r="AB1542" s="20"/>
      <c r="AC1542" s="73"/>
    </row>
    <row r="1543" spans="1:29" ht="39">
      <c r="A1543" s="327">
        <f>IF(AND($B1543&lt;&gt;"",$C1543&lt;&gt;""),MAX($A$4:A1542)+1,"")</f>
        <v>114</v>
      </c>
      <c r="B1543" s="359" t="s">
        <v>3851</v>
      </c>
      <c r="C1543" s="360" t="s">
        <v>3770</v>
      </c>
      <c r="D1543" s="327">
        <f>IF($B1543="","",COUNTIF($B$6:$B1543,$B1543))</f>
        <v>1</v>
      </c>
      <c r="E1543" s="363" t="s">
        <v>152</v>
      </c>
      <c r="F1543" s="362" t="s">
        <v>3770</v>
      </c>
      <c r="G1543" s="327"/>
      <c r="H1543" s="361"/>
      <c r="I1543" s="327">
        <v>0</v>
      </c>
      <c r="J1543" s="361"/>
      <c r="K1543" s="327"/>
      <c r="L1543" s="389"/>
      <c r="M1543" s="355"/>
      <c r="N1543" s="355" t="str">
        <f t="shared" ref="N1543:N1548" si="196">+$N$4</f>
        <v>PR</v>
      </c>
      <c r="O1543" s="345"/>
      <c r="P1543" s="392"/>
      <c r="Q1543" s="327"/>
      <c r="R1543" s="351"/>
      <c r="S1543" s="351"/>
      <c r="T1543" s="351"/>
      <c r="U1543" s="329">
        <f>IF($N1543=$N$4,IFERROR(INDEX(DanhMuc!$E$154:$E$165,MATCH(MID($B1543,4,2),DanhMuc!$B$154:$B$165,0)),""),"")</f>
        <v>6000</v>
      </c>
      <c r="V1543" s="361"/>
      <c r="W1543" s="352" t="str">
        <f>+IF(AND($A1543&lt;&gt;"",LEN($B1543)&gt;=8,COUNTIF($B$6:$B1543,$B1543)=1),$W$5,"")</f>
        <v>DMCua</v>
      </c>
      <c r="X1543" s="329" t="str">
        <f t="shared" si="188"/>
        <v>KI</v>
      </c>
      <c r="Y1543" s="1128" t="s">
        <v>3380</v>
      </c>
      <c r="Z1543" s="1128" t="s">
        <v>3381</v>
      </c>
      <c r="AA1543" s="1128" t="s">
        <v>3384</v>
      </c>
      <c r="AB1543" s="20"/>
      <c r="AC1543" s="73"/>
    </row>
    <row r="1544" spans="1:29" ht="39">
      <c r="A1544" s="327">
        <f>IF(AND($B1544&lt;&gt;"",$C1544&lt;&gt;""),MAX($A$4:A1543)+1,"")</f>
        <v>115</v>
      </c>
      <c r="B1544" s="359" t="s">
        <v>3852</v>
      </c>
      <c r="C1544" s="360" t="s">
        <v>3796</v>
      </c>
      <c r="D1544" s="327">
        <f>IF($B1544="","",COUNTIF($B$6:$B1544,$B1544))</f>
        <v>1</v>
      </c>
      <c r="E1544" s="363" t="s">
        <v>152</v>
      </c>
      <c r="F1544" s="362" t="s">
        <v>3796</v>
      </c>
      <c r="G1544" s="327"/>
      <c r="H1544" s="361"/>
      <c r="I1544" s="327">
        <v>0</v>
      </c>
      <c r="J1544" s="361"/>
      <c r="K1544" s="327"/>
      <c r="L1544" s="389"/>
      <c r="M1544" s="355"/>
      <c r="N1544" s="355" t="str">
        <f t="shared" si="196"/>
        <v>PR</v>
      </c>
      <c r="O1544" s="345"/>
      <c r="P1544" s="392"/>
      <c r="Q1544" s="327"/>
      <c r="R1544" s="351"/>
      <c r="S1544" s="351"/>
      <c r="T1544" s="351"/>
      <c r="U1544" s="329">
        <f>IF($N1544=$N$4,IFERROR(INDEX(DanhMuc!$E$154:$E$165,MATCH(MID($B1544,4,2),DanhMuc!$B$154:$B$165,0)),""),"")</f>
        <v>6000</v>
      </c>
      <c r="V1544" s="361"/>
      <c r="W1544" s="352" t="str">
        <f>+IF(AND($A1544&lt;&gt;"",LEN($B1544)&gt;=8,COUNTIF($B$6:$B1544,$B1544)=1),$W$5,"")</f>
        <v>DMCua</v>
      </c>
      <c r="X1544" s="329" t="str">
        <f t="shared" si="188"/>
        <v>KI</v>
      </c>
      <c r="Y1544" s="1128" t="s">
        <v>3380</v>
      </c>
      <c r="Z1544" s="1128" t="s">
        <v>3381</v>
      </c>
      <c r="AA1544" s="1128" t="s">
        <v>3384</v>
      </c>
      <c r="AB1544" s="20"/>
      <c r="AC1544" s="73"/>
    </row>
    <row r="1545" spans="1:29" ht="52">
      <c r="A1545" s="327">
        <f>IF(AND($B1545&lt;&gt;"",$C1545&lt;&gt;""),MAX($A$4:A1544)+1,"")</f>
        <v>116</v>
      </c>
      <c r="B1545" s="359" t="s">
        <v>3853</v>
      </c>
      <c r="C1545" s="360" t="s">
        <v>3800</v>
      </c>
      <c r="D1545" s="327">
        <f>IF($B1545="","",COUNTIF($B$6:$B1545,$B1545))</f>
        <v>1</v>
      </c>
      <c r="E1545" s="363" t="s">
        <v>152</v>
      </c>
      <c r="F1545" s="362" t="s">
        <v>3800</v>
      </c>
      <c r="G1545" s="327"/>
      <c r="H1545" s="361"/>
      <c r="I1545" s="327">
        <v>0</v>
      </c>
      <c r="J1545" s="361"/>
      <c r="K1545" s="327"/>
      <c r="L1545" s="389"/>
      <c r="M1545" s="355"/>
      <c r="N1545" s="355" t="str">
        <f t="shared" si="196"/>
        <v>PR</v>
      </c>
      <c r="O1545" s="345"/>
      <c r="P1545" s="392"/>
      <c r="Q1545" s="327"/>
      <c r="R1545" s="351"/>
      <c r="S1545" s="351"/>
      <c r="T1545" s="351"/>
      <c r="U1545" s="329">
        <f>IF($N1545=$N$4,IFERROR(INDEX(DanhMuc!$E$154:$E$165,MATCH(MID($B1545,4,2),DanhMuc!$B$154:$B$165,0)),""),"")</f>
        <v>6000</v>
      </c>
      <c r="V1545" s="361"/>
      <c r="W1545" s="352" t="str">
        <f>+IF(AND($A1545&lt;&gt;"",LEN($B1545)&gt;=8,COUNTIF($B$6:$B1545,$B1545)=1),$W$5,"")</f>
        <v>DMCua</v>
      </c>
      <c r="X1545" s="329" t="str">
        <f t="shared" si="188"/>
        <v>KI</v>
      </c>
      <c r="Y1545" s="1128" t="s">
        <v>3380</v>
      </c>
      <c r="Z1545" s="1128" t="s">
        <v>3381</v>
      </c>
      <c r="AA1545" s="1128" t="s">
        <v>3384</v>
      </c>
      <c r="AB1545" s="20"/>
      <c r="AC1545" s="73"/>
    </row>
    <row r="1546" spans="1:29" ht="52">
      <c r="A1546" s="327">
        <f>IF(AND($B1546&lt;&gt;"",$C1546&lt;&gt;""),MAX($A$4:A1545)+1,"")</f>
        <v>117</v>
      </c>
      <c r="B1546" s="359" t="s">
        <v>3854</v>
      </c>
      <c r="C1546" s="360" t="s">
        <v>3803</v>
      </c>
      <c r="D1546" s="327">
        <f>IF($B1546="","",COUNTIF($B$6:$B1546,$B1546))</f>
        <v>1</v>
      </c>
      <c r="E1546" s="363" t="s">
        <v>152</v>
      </c>
      <c r="F1546" s="362" t="s">
        <v>3803</v>
      </c>
      <c r="G1546" s="327"/>
      <c r="H1546" s="361"/>
      <c r="I1546" s="327">
        <v>0</v>
      </c>
      <c r="J1546" s="361"/>
      <c r="K1546" s="327"/>
      <c r="L1546" s="389"/>
      <c r="M1546" s="355"/>
      <c r="N1546" s="355" t="str">
        <f t="shared" si="196"/>
        <v>PR</v>
      </c>
      <c r="O1546" s="345"/>
      <c r="P1546" s="392"/>
      <c r="Q1546" s="327"/>
      <c r="R1546" s="351"/>
      <c r="S1546" s="351"/>
      <c r="T1546" s="351"/>
      <c r="U1546" s="329">
        <f>IF($N1546=$N$4,IFERROR(INDEX(DanhMuc!$E$154:$E$165,MATCH(MID($B1546,4,2),DanhMuc!$B$154:$B$165,0)),""),"")</f>
        <v>6000</v>
      </c>
      <c r="V1546" s="361"/>
      <c r="W1546" s="352" t="str">
        <f>+IF(AND($A1546&lt;&gt;"",LEN($B1546)&gt;=8,COUNTIF($B$6:$B1546,$B1546)=1),$W$5,"")</f>
        <v>DMCua</v>
      </c>
      <c r="X1546" s="329" t="str">
        <f t="shared" si="188"/>
        <v>KI</v>
      </c>
      <c r="Y1546" s="1128" t="s">
        <v>3380</v>
      </c>
      <c r="Z1546" s="1128" t="s">
        <v>3381</v>
      </c>
      <c r="AA1546" s="1128" t="s">
        <v>3384</v>
      </c>
      <c r="AB1546" s="20"/>
      <c r="AC1546" s="73"/>
    </row>
    <row r="1547" spans="1:29" ht="52">
      <c r="A1547" s="327">
        <f>IF(AND($B1547&lt;&gt;"",$C1547&lt;&gt;""),MAX($A$4:A1546)+1,"")</f>
        <v>118</v>
      </c>
      <c r="B1547" s="359" t="s">
        <v>3855</v>
      </c>
      <c r="C1547" s="360" t="s">
        <v>3805</v>
      </c>
      <c r="D1547" s="327">
        <f>IF($B1547="","",COUNTIF($B$6:$B1547,$B1547))</f>
        <v>1</v>
      </c>
      <c r="E1547" s="363" t="s">
        <v>152</v>
      </c>
      <c r="F1547" s="362" t="s">
        <v>3805</v>
      </c>
      <c r="G1547" s="327"/>
      <c r="H1547" s="361"/>
      <c r="I1547" s="327">
        <v>0</v>
      </c>
      <c r="J1547" s="361"/>
      <c r="K1547" s="327"/>
      <c r="L1547" s="389"/>
      <c r="M1547" s="355"/>
      <c r="N1547" s="355" t="str">
        <f t="shared" si="196"/>
        <v>PR</v>
      </c>
      <c r="O1547" s="345"/>
      <c r="P1547" s="392"/>
      <c r="Q1547" s="327"/>
      <c r="R1547" s="351"/>
      <c r="S1547" s="351"/>
      <c r="T1547" s="351"/>
      <c r="U1547" s="329">
        <f>IF($N1547=$N$4,IFERROR(INDEX(DanhMuc!$E$154:$E$165,MATCH(MID($B1547,4,2),DanhMuc!$B$154:$B$165,0)),""),"")</f>
        <v>6000</v>
      </c>
      <c r="V1547" s="361"/>
      <c r="W1547" s="352" t="str">
        <f>+IF(AND($A1547&lt;&gt;"",LEN($B1547)&gt;=8,COUNTIF($B$6:$B1547,$B1547)=1),$W$5,"")</f>
        <v>DMCua</v>
      </c>
      <c r="X1547" s="329" t="str">
        <f t="shared" si="188"/>
        <v>KI</v>
      </c>
      <c r="Y1547" s="1128" t="s">
        <v>3380</v>
      </c>
      <c r="Z1547" s="1128" t="s">
        <v>3381</v>
      </c>
      <c r="AA1547" s="1128" t="s">
        <v>3384</v>
      </c>
      <c r="AB1547" s="20"/>
      <c r="AC1547" s="73"/>
    </row>
    <row r="1548" spans="1:29" ht="52">
      <c r="A1548" s="327">
        <f>IF(AND($B1548&lt;&gt;"",$C1548&lt;&gt;""),MAX($A$4:A1547)+1,"")</f>
        <v>119</v>
      </c>
      <c r="B1548" s="359" t="s">
        <v>3856</v>
      </c>
      <c r="C1548" s="360" t="s">
        <v>3806</v>
      </c>
      <c r="D1548" s="327">
        <f>IF($B1548="","",COUNTIF($B$6:$B1548,$B1548))</f>
        <v>1</v>
      </c>
      <c r="E1548" s="363" t="s">
        <v>152</v>
      </c>
      <c r="F1548" s="362" t="s">
        <v>3806</v>
      </c>
      <c r="G1548" s="327"/>
      <c r="H1548" s="361"/>
      <c r="I1548" s="327">
        <v>0</v>
      </c>
      <c r="J1548" s="361"/>
      <c r="K1548" s="327"/>
      <c r="L1548" s="389"/>
      <c r="M1548" s="355"/>
      <c r="N1548" s="355" t="str">
        <f t="shared" si="196"/>
        <v>PR</v>
      </c>
      <c r="O1548" s="345"/>
      <c r="P1548" s="392"/>
      <c r="Q1548" s="327"/>
      <c r="R1548" s="351"/>
      <c r="S1548" s="351"/>
      <c r="T1548" s="351"/>
      <c r="U1548" s="329">
        <f>IF($N1548=$N$4,IFERROR(INDEX(DanhMuc!$E$154:$E$165,MATCH(MID($B1548,4,2),DanhMuc!$B$154:$B$165,0)),""),"")</f>
        <v>6000</v>
      </c>
      <c r="V1548" s="361"/>
      <c r="W1548" s="352" t="str">
        <f>+IF(AND($A1548&lt;&gt;"",LEN($B1548)&gt;=8,COUNTIF($B$6:$B1548,$B1548)=1),$W$5,"")</f>
        <v>DMCua</v>
      </c>
      <c r="X1548" s="329" t="str">
        <f t="shared" si="188"/>
        <v>KI</v>
      </c>
      <c r="Y1548" s="1128" t="s">
        <v>3380</v>
      </c>
      <c r="Z1548" s="1128" t="s">
        <v>3381</v>
      </c>
      <c r="AA1548" s="1128" t="s">
        <v>3384</v>
      </c>
      <c r="AB1548" s="20"/>
      <c r="AC1548" s="73"/>
    </row>
    <row r="1549" spans="1:29" ht="39">
      <c r="A1549" s="327">
        <f>IF(AND($B1549&lt;&gt;"",$C1549&lt;&gt;""),MAX($A$4:A1548)+1,"")</f>
        <v>120</v>
      </c>
      <c r="B1549" s="359" t="s">
        <v>3857</v>
      </c>
      <c r="C1549" s="360" t="s">
        <v>3809</v>
      </c>
      <c r="D1549" s="327">
        <f>IF($B1549="","",COUNTIF($B$6:$B1549,$B1549))</f>
        <v>1</v>
      </c>
      <c r="E1549" s="363" t="s">
        <v>152</v>
      </c>
      <c r="F1549" s="362" t="s">
        <v>3809</v>
      </c>
      <c r="G1549" s="327"/>
      <c r="H1549" s="361"/>
      <c r="I1549" s="327">
        <v>0</v>
      </c>
      <c r="J1549" s="361"/>
      <c r="K1549" s="327"/>
      <c r="L1549" s="389"/>
      <c r="M1549" s="355"/>
      <c r="N1549" s="355" t="str">
        <f t="shared" ref="N1549:N1553" si="197">+$N$4</f>
        <v>PR</v>
      </c>
      <c r="O1549" s="345"/>
      <c r="P1549" s="392"/>
      <c r="Q1549" s="327"/>
      <c r="R1549" s="351"/>
      <c r="S1549" s="351"/>
      <c r="T1549" s="351"/>
      <c r="U1549" s="329">
        <f>IF($N1549=$N$4,IFERROR(INDEX(DanhMuc!$E$154:$E$165,MATCH(MID($B1549,4,2),DanhMuc!$B$154:$B$165,0)),""),"")</f>
        <v>6000</v>
      </c>
      <c r="V1549" s="361"/>
      <c r="W1549" s="352" t="str">
        <f>+IF(AND($A1549&lt;&gt;"",LEN($B1549)&gt;=8,COUNTIF($B$6:$B1549,$B1549)=1),$W$5,"")</f>
        <v>DMCua</v>
      </c>
      <c r="X1549" s="329" t="str">
        <f t="shared" si="188"/>
        <v>KI</v>
      </c>
      <c r="Y1549" s="1128" t="s">
        <v>3380</v>
      </c>
      <c r="Z1549" s="1128" t="s">
        <v>3381</v>
      </c>
      <c r="AA1549" s="1128" t="s">
        <v>3384</v>
      </c>
      <c r="AB1549" s="20"/>
      <c r="AC1549" s="73"/>
    </row>
    <row r="1550" spans="1:29" ht="52">
      <c r="A1550" s="327">
        <f>IF(AND($B1550&lt;&gt;"",$C1550&lt;&gt;""),MAX($A$4:A1549)+1,"")</f>
        <v>121</v>
      </c>
      <c r="B1550" s="359" t="s">
        <v>3861</v>
      </c>
      <c r="C1550" s="360" t="s">
        <v>3813</v>
      </c>
      <c r="D1550" s="327">
        <f>IF($B1550="","",COUNTIF($B$6:$B1550,$B1550))</f>
        <v>1</v>
      </c>
      <c r="E1550" s="363" t="s">
        <v>152</v>
      </c>
      <c r="F1550" s="362" t="s">
        <v>3813</v>
      </c>
      <c r="G1550" s="327"/>
      <c r="H1550" s="361"/>
      <c r="I1550" s="327">
        <v>0</v>
      </c>
      <c r="J1550" s="361"/>
      <c r="K1550" s="327"/>
      <c r="L1550" s="389"/>
      <c r="M1550" s="355"/>
      <c r="N1550" s="355" t="str">
        <f t="shared" si="197"/>
        <v>PR</v>
      </c>
      <c r="O1550" s="345"/>
      <c r="P1550" s="392"/>
      <c r="Q1550" s="327"/>
      <c r="R1550" s="351"/>
      <c r="S1550" s="351"/>
      <c r="T1550" s="351"/>
      <c r="U1550" s="329">
        <f>IF($N1550=$N$4,IFERROR(INDEX(DanhMuc!$E$154:$E$165,MATCH(MID($B1550,4,2),DanhMuc!$B$154:$B$165,0)),""),"")</f>
        <v>6000</v>
      </c>
      <c r="V1550" s="361"/>
      <c r="W1550" s="352" t="str">
        <f>+IF(AND($A1550&lt;&gt;"",LEN($B1550)&gt;=8,COUNTIF($B$6:$B1550,$B1550)=1),$W$5,"")</f>
        <v>DMCua</v>
      </c>
      <c r="X1550" s="329" t="str">
        <f t="shared" si="188"/>
        <v>KI</v>
      </c>
      <c r="Y1550" s="1128" t="s">
        <v>3380</v>
      </c>
      <c r="Z1550" s="1128" t="s">
        <v>3381</v>
      </c>
      <c r="AA1550" s="1128" t="s">
        <v>3384</v>
      </c>
      <c r="AB1550" s="20"/>
      <c r="AC1550" s="73"/>
    </row>
    <row r="1551" spans="1:29" ht="78">
      <c r="A1551" s="327">
        <f>IF(AND($B1551&lt;&gt;"",$C1551&lt;&gt;""),MAX($A$4:A1550)+1,"")</f>
        <v>122</v>
      </c>
      <c r="B1551" s="359" t="s">
        <v>3858</v>
      </c>
      <c r="C1551" s="360" t="s">
        <v>3818</v>
      </c>
      <c r="D1551" s="327">
        <f>IF($B1551="","",COUNTIF($B$6:$B1551,$B1551))</f>
        <v>1</v>
      </c>
      <c r="E1551" s="363" t="s">
        <v>152</v>
      </c>
      <c r="F1551" s="362" t="s">
        <v>3818</v>
      </c>
      <c r="G1551" s="327"/>
      <c r="H1551" s="361"/>
      <c r="I1551" s="327">
        <v>0</v>
      </c>
      <c r="J1551" s="361"/>
      <c r="K1551" s="327"/>
      <c r="L1551" s="389"/>
      <c r="M1551" s="355"/>
      <c r="N1551" s="355" t="str">
        <f t="shared" si="197"/>
        <v>PR</v>
      </c>
      <c r="O1551" s="345"/>
      <c r="P1551" s="392"/>
      <c r="Q1551" s="327"/>
      <c r="R1551" s="351"/>
      <c r="S1551" s="351"/>
      <c r="T1551" s="351"/>
      <c r="U1551" s="329">
        <f>IF($N1551=$N$4,IFERROR(INDEX(DanhMuc!$E$154:$E$165,MATCH(MID($B1551,4,2),DanhMuc!$B$154:$B$165,0)),""),"")</f>
        <v>6000</v>
      </c>
      <c r="V1551" s="361"/>
      <c r="W1551" s="352" t="str">
        <f>+IF(AND($A1551&lt;&gt;"",LEN($B1551)&gt;=8,COUNTIF($B$6:$B1551,$B1551)=1),$W$5,"")</f>
        <v>DMCua</v>
      </c>
      <c r="X1551" s="329" t="str">
        <f t="shared" si="188"/>
        <v>KI</v>
      </c>
      <c r="Y1551" s="1128" t="s">
        <v>3380</v>
      </c>
      <c r="Z1551" s="1128" t="s">
        <v>3381</v>
      </c>
      <c r="AA1551" s="1128" t="s">
        <v>3384</v>
      </c>
      <c r="AB1551" s="20"/>
      <c r="AC1551" s="73"/>
    </row>
    <row r="1552" spans="1:29" ht="52">
      <c r="A1552" s="327">
        <f>IF(AND($B1552&lt;&gt;"",$C1552&lt;&gt;""),MAX($A$4:A1551)+1,"")</f>
        <v>123</v>
      </c>
      <c r="B1552" s="359" t="s">
        <v>3859</v>
      </c>
      <c r="C1552" s="360" t="s">
        <v>3821</v>
      </c>
      <c r="D1552" s="327">
        <f>IF($B1552="","",COUNTIF($B$6:$B1552,$B1552))</f>
        <v>1</v>
      </c>
      <c r="E1552" s="363" t="s">
        <v>152</v>
      </c>
      <c r="F1552" s="362" t="s">
        <v>3821</v>
      </c>
      <c r="G1552" s="327"/>
      <c r="H1552" s="361"/>
      <c r="I1552" s="327">
        <v>0</v>
      </c>
      <c r="J1552" s="361"/>
      <c r="K1552" s="327"/>
      <c r="L1552" s="389"/>
      <c r="M1552" s="355"/>
      <c r="N1552" s="355" t="str">
        <f t="shared" si="197"/>
        <v>PR</v>
      </c>
      <c r="O1552" s="345"/>
      <c r="P1552" s="392"/>
      <c r="Q1552" s="327"/>
      <c r="R1552" s="351"/>
      <c r="S1552" s="351"/>
      <c r="T1552" s="351"/>
      <c r="U1552" s="329">
        <f>IF($N1552=$N$4,IFERROR(INDEX(DanhMuc!$E$154:$E$165,MATCH(MID($B1552,4,2),DanhMuc!$B$154:$B$165,0)),""),"")</f>
        <v>6000</v>
      </c>
      <c r="V1552" s="361"/>
      <c r="W1552" s="352" t="str">
        <f>+IF(AND($A1552&lt;&gt;"",LEN($B1552)&gt;=8,COUNTIF($B$6:$B1552,$B1552)=1),$W$5,"")</f>
        <v>DMCua</v>
      </c>
      <c r="X1552" s="329" t="str">
        <f t="shared" si="188"/>
        <v>KI</v>
      </c>
      <c r="Y1552" s="1128" t="s">
        <v>3380</v>
      </c>
      <c r="Z1552" s="1128" t="s">
        <v>3381</v>
      </c>
      <c r="AA1552" s="1128" t="s">
        <v>3384</v>
      </c>
      <c r="AB1552" s="20"/>
      <c r="AC1552" s="73"/>
    </row>
    <row r="1553" spans="1:29" ht="52">
      <c r="A1553" s="327">
        <f>IF(AND($B1553&lt;&gt;"",$C1553&lt;&gt;""),MAX($A$4:A1552)+1,"")</f>
        <v>124</v>
      </c>
      <c r="B1553" s="359" t="s">
        <v>3860</v>
      </c>
      <c r="C1553" s="360" t="s">
        <v>3847</v>
      </c>
      <c r="D1553" s="327">
        <f>IF($B1553="","",COUNTIF($B$6:$B1553,$B1553))</f>
        <v>1</v>
      </c>
      <c r="E1553" s="363" t="s">
        <v>152</v>
      </c>
      <c r="F1553" s="362" t="s">
        <v>3847</v>
      </c>
      <c r="G1553" s="327"/>
      <c r="H1553" s="361"/>
      <c r="I1553" s="327">
        <v>0</v>
      </c>
      <c r="J1553" s="361"/>
      <c r="K1553" s="327"/>
      <c r="L1553" s="389"/>
      <c r="M1553" s="355"/>
      <c r="N1553" s="355" t="str">
        <f t="shared" si="197"/>
        <v>PR</v>
      </c>
      <c r="O1553" s="345"/>
      <c r="P1553" s="392"/>
      <c r="Q1553" s="327"/>
      <c r="R1553" s="351"/>
      <c r="S1553" s="351"/>
      <c r="T1553" s="351"/>
      <c r="U1553" s="329">
        <f>IF($N1553=$N$4,IFERROR(INDEX(DanhMuc!$E$154:$E$165,MATCH(MID($B1553,4,2),DanhMuc!$B$154:$B$165,0)),""),"")</f>
        <v>6000</v>
      </c>
      <c r="V1553" s="361"/>
      <c r="W1553" s="352" t="str">
        <f>+IF(AND($A1553&lt;&gt;"",LEN($B1553)&gt;=8,COUNTIF($B$6:$B1553,$B1553)=1),$W$5,"")</f>
        <v>DMCua</v>
      </c>
      <c r="X1553" s="329" t="str">
        <f t="shared" si="188"/>
        <v>KI</v>
      </c>
      <c r="Y1553" s="1128" t="s">
        <v>3380</v>
      </c>
      <c r="Z1553" s="1128" t="s">
        <v>3381</v>
      </c>
      <c r="AA1553" s="1128" t="s">
        <v>3384</v>
      </c>
      <c r="AB1553" s="20"/>
      <c r="AC1553" s="73"/>
    </row>
    <row r="1554" spans="1:29" s="20" customFormat="1">
      <c r="A1554" s="327" t="str">
        <f>IF(AND($B1554&lt;&gt;"",$C1554&lt;&gt;""),MAX($A$4:A1553)+1,"")</f>
        <v/>
      </c>
      <c r="B1554" s="361"/>
      <c r="C1554" s="364"/>
      <c r="D1554" s="327" t="str">
        <f>IF($B1554="","",COUNTIF($B$6:$B1554,$B1554))</f>
        <v/>
      </c>
      <c r="E1554" s="361"/>
      <c r="F1554" s="362"/>
      <c r="G1554" s="361"/>
      <c r="H1554" s="325"/>
      <c r="I1554" s="327"/>
      <c r="J1554" s="361"/>
      <c r="K1554" s="327"/>
      <c r="L1554" s="348">
        <f t="shared" si="193"/>
        <v>0</v>
      </c>
      <c r="M1554" s="355"/>
      <c r="N1554" s="355" t="str">
        <f t="shared" si="181"/>
        <v>PR</v>
      </c>
      <c r="O1554" s="345"/>
      <c r="P1554" s="325"/>
      <c r="Q1554" s="351"/>
      <c r="R1554" s="351"/>
      <c r="S1554" s="351"/>
      <c r="T1554" s="351"/>
      <c r="U1554" s="329" t="str">
        <f>IF($N1554=$N$4,IFERROR(INDEX(DanhMuc!$E$154:$E$165,MATCH(MID($B1554,4,2),DanhMuc!$B$154:$B$165,0)),""),"")</f>
        <v/>
      </c>
      <c r="V1554" s="325"/>
      <c r="W1554" s="352" t="str">
        <f>+IF(AND($A1554&lt;&gt;"",LEN($B1554)&gt;=8,COUNTIF($B$6:$B1554,$B1554)=1),$W$5,"")</f>
        <v/>
      </c>
      <c r="X1554" s="329" t="str">
        <f t="shared" si="188"/>
        <v/>
      </c>
      <c r="Y1554" s="1128" t="s">
        <v>3380</v>
      </c>
      <c r="Z1554" s="1128" t="s">
        <v>3381</v>
      </c>
      <c r="AA1554" s="1128" t="s">
        <v>3384</v>
      </c>
      <c r="AC1554" s="73"/>
    </row>
    <row r="1555" spans="1:29" s="20" customFormat="1" ht="25">
      <c r="A1555" s="384"/>
      <c r="B1555" s="385" t="s">
        <v>2976</v>
      </c>
      <c r="C1555" s="386"/>
      <c r="D1555" s="385"/>
      <c r="E1555" s="385"/>
      <c r="F1555" s="386"/>
      <c r="G1555" s="387"/>
      <c r="H1555" s="325"/>
      <c r="I1555" s="387"/>
      <c r="J1555" s="385"/>
      <c r="K1555" s="388"/>
      <c r="L1555" s="389"/>
      <c r="M1555" s="390"/>
      <c r="N1555" s="391" t="s">
        <v>153</v>
      </c>
      <c r="O1555" s="385"/>
      <c r="P1555" s="392"/>
      <c r="Q1555" s="325"/>
      <c r="R1555" s="351"/>
      <c r="S1555" s="351"/>
      <c r="T1555" s="351"/>
      <c r="U1555" s="329" t="str">
        <f>IF($N1555=$N$4,IFERROR(INDEX(DanhMuc!$E$154:$E$165,MATCH(MID($B1555,4,2),DanhMuc!$B$154:$B$165,0)),""),"")</f>
        <v/>
      </c>
      <c r="V1555" s="325"/>
      <c r="W1555" s="345"/>
      <c r="X1555" s="329"/>
      <c r="Y1555" s="1128" t="s">
        <v>3380</v>
      </c>
      <c r="Z1555" s="1128" t="s">
        <v>3381</v>
      </c>
      <c r="AA1555" s="1128" t="s">
        <v>3384</v>
      </c>
      <c r="AC1555" s="73"/>
    </row>
    <row r="1556" spans="1:29" s="21" customFormat="1">
      <c r="A1556" s="393"/>
      <c r="B1556" s="394" t="s">
        <v>85</v>
      </c>
      <c r="C1556" s="395" t="s">
        <v>86</v>
      </c>
      <c r="D1556" s="396"/>
      <c r="E1556" s="396"/>
      <c r="F1556" s="397"/>
      <c r="G1556" s="396"/>
      <c r="H1556" s="351"/>
      <c r="I1556" s="396"/>
      <c r="J1556" s="396"/>
      <c r="K1556" s="393"/>
      <c r="L1556" s="389"/>
      <c r="M1556" s="398"/>
      <c r="N1556" s="398" t="str">
        <f t="shared" ref="N1556:N1568" si="198">+$N$1555</f>
        <v>PK</v>
      </c>
      <c r="O1556" s="394"/>
      <c r="P1556" s="392"/>
      <c r="Q1556" s="351"/>
      <c r="R1556" s="351"/>
      <c r="S1556" s="351"/>
      <c r="T1556" s="351"/>
      <c r="U1556" s="329" t="str">
        <f>IF($N1556=$N$4,IFERROR(INDEX(DanhMuc!$E$154:$E$165,MATCH(MID($B1556,4,2),DanhMuc!$B$154:$B$165,0)),""),"")</f>
        <v/>
      </c>
      <c r="V1556" s="351"/>
      <c r="W1556" s="345"/>
      <c r="X1556" s="329" t="str">
        <f>IF($N1556="PR",$E1556,MID($B1556,10,2))</f>
        <v/>
      </c>
      <c r="Y1556" s="1128" t="s">
        <v>3380</v>
      </c>
      <c r="Z1556" s="1128" t="s">
        <v>3381</v>
      </c>
      <c r="AA1556" s="1128" t="s">
        <v>3384</v>
      </c>
      <c r="AB1556" s="20"/>
      <c r="AC1556" s="73"/>
    </row>
    <row r="1557" spans="1:29" ht="26">
      <c r="A1557" s="327">
        <f>IF(AND($B1557&lt;&gt;"",$C1557&lt;&gt;""),MAX($A$1556:A1556)+1,"")</f>
        <v>1</v>
      </c>
      <c r="B1557" s="359" t="s">
        <v>1976</v>
      </c>
      <c r="C1557" s="360" t="s">
        <v>1527</v>
      </c>
      <c r="D1557" s="327">
        <f>IF($B1557="","",COUNTIF($B$6:$B1557,$B1557))</f>
        <v>1</v>
      </c>
      <c r="E1557" s="361" t="s">
        <v>87</v>
      </c>
      <c r="F1557" s="362" t="s">
        <v>196</v>
      </c>
      <c r="G1557" s="327" t="s">
        <v>344</v>
      </c>
      <c r="H1557" s="327"/>
      <c r="I1557" s="327">
        <v>1</v>
      </c>
      <c r="J1557" s="361"/>
      <c r="K1557" s="327"/>
      <c r="L1557" s="389">
        <v>135000</v>
      </c>
      <c r="M1557" s="371"/>
      <c r="N1557" s="355" t="str">
        <f t="shared" si="198"/>
        <v>PK</v>
      </c>
      <c r="O1557" s="345"/>
      <c r="P1557" s="392"/>
      <c r="Q1557" s="327"/>
      <c r="R1557" s="351"/>
      <c r="S1557" s="351"/>
      <c r="T1557" s="351"/>
      <c r="U1557" s="329" t="str">
        <f>IF($N1557=$N$4,IFERROR(INDEX(DanhMuc!$E$154:$E$165,MATCH(MID($B1557,4,2),DanhMuc!$B$154:$B$165,0)),""),"")</f>
        <v/>
      </c>
      <c r="V1557" s="361"/>
      <c r="W1557" s="345"/>
      <c r="X1557" s="329" t="str">
        <f t="shared" ref="X1557:X1632" si="199">IF($N1557="PR",$E1557,MID($B1557,10,2))</f>
        <v>3H</v>
      </c>
      <c r="Y1557" s="1128" t="s">
        <v>3380</v>
      </c>
      <c r="Z1557" s="1128" t="s">
        <v>3381</v>
      </c>
      <c r="AA1557" s="1128" t="s">
        <v>3384</v>
      </c>
      <c r="AB1557" s="20"/>
      <c r="AC1557" s="73"/>
    </row>
    <row r="1558" spans="1:29">
      <c r="A1558" s="327" t="str">
        <f>IF(AND($B1558&lt;&gt;"",$C1558&lt;&gt;""),MAX($A$1556:A1557)+1,"")</f>
        <v/>
      </c>
      <c r="B1558" s="361" t="s">
        <v>1976</v>
      </c>
      <c r="C1558" s="360"/>
      <c r="D1558" s="327">
        <f>IF($B1558="","",COUNTIF($B$6:$B1558,$B1558))</f>
        <v>2</v>
      </c>
      <c r="E1558" s="399" t="s">
        <v>22</v>
      </c>
      <c r="F1558" s="400" t="s">
        <v>323</v>
      </c>
      <c r="G1558" s="327" t="s">
        <v>155</v>
      </c>
      <c r="H1558" s="327" t="s">
        <v>536</v>
      </c>
      <c r="I1558" s="327">
        <v>1</v>
      </c>
      <c r="J1558" s="345"/>
      <c r="K1558" s="327"/>
      <c r="L1558" s="389">
        <v>140000</v>
      </c>
      <c r="M1558" s="371"/>
      <c r="N1558" s="355" t="str">
        <f t="shared" si="198"/>
        <v>PK</v>
      </c>
      <c r="O1558" s="345" t="s">
        <v>1060</v>
      </c>
      <c r="P1558" s="392"/>
      <c r="Q1558" s="327"/>
      <c r="R1558" s="351"/>
      <c r="S1558" s="351"/>
      <c r="T1558" s="351"/>
      <c r="U1558" s="329" t="str">
        <f>IF($N1558=$N$4,IFERROR(INDEX(DanhMuc!$E$154:$E$165,MATCH(MID($B1558,4,2),DanhMuc!$B$154:$B$165,0)),""),"")</f>
        <v/>
      </c>
      <c r="V1558" s="361"/>
      <c r="W1558" s="345"/>
      <c r="X1558" s="329" t="str">
        <f t="shared" si="199"/>
        <v>3H</v>
      </c>
      <c r="Y1558" s="1128" t="s">
        <v>3380</v>
      </c>
      <c r="Z1558" s="1128" t="s">
        <v>3381</v>
      </c>
      <c r="AA1558" s="1128" t="s">
        <v>3384</v>
      </c>
      <c r="AB1558" s="20"/>
      <c r="AC1558" s="73"/>
    </row>
    <row r="1559" spans="1:29">
      <c r="A1559" s="327" t="str">
        <f>IF(AND($B1559&lt;&gt;"",$C1559&lt;&gt;""),MAX($A$1556:A1558)+1,"")</f>
        <v/>
      </c>
      <c r="B1559" s="361" t="s">
        <v>1976</v>
      </c>
      <c r="C1559" s="360"/>
      <c r="D1559" s="327">
        <f>IF($B1559="","",COUNTIF($B$6:$B1559,$B1559))</f>
        <v>3</v>
      </c>
      <c r="E1559" s="399" t="s">
        <v>339</v>
      </c>
      <c r="F1559" s="400" t="s">
        <v>340</v>
      </c>
      <c r="G1559" s="327" t="s">
        <v>155</v>
      </c>
      <c r="H1559" s="327" t="s">
        <v>536</v>
      </c>
      <c r="I1559" s="327">
        <v>1</v>
      </c>
      <c r="J1559" s="345"/>
      <c r="K1559" s="327"/>
      <c r="L1559" s="389">
        <v>140000</v>
      </c>
      <c r="M1559" s="371"/>
      <c r="N1559" s="355" t="str">
        <f t="shared" si="198"/>
        <v>PK</v>
      </c>
      <c r="O1559" s="401" t="s">
        <v>2705</v>
      </c>
      <c r="P1559" s="392"/>
      <c r="Q1559" s="327"/>
      <c r="R1559" s="351"/>
      <c r="S1559" s="351"/>
      <c r="T1559" s="351"/>
      <c r="U1559" s="329" t="str">
        <f>IF($N1559=$N$4,IFERROR(INDEX(DanhMuc!$E$154:$E$165,MATCH(MID($B1559,4,2),DanhMuc!$B$154:$B$165,0)),""),"")</f>
        <v/>
      </c>
      <c r="V1559" s="361"/>
      <c r="W1559" s="345"/>
      <c r="X1559" s="329" t="str">
        <f t="shared" si="199"/>
        <v>3H</v>
      </c>
      <c r="Y1559" s="1128" t="s">
        <v>3380</v>
      </c>
      <c r="Z1559" s="1128" t="s">
        <v>3381</v>
      </c>
      <c r="AA1559" s="1128" t="s">
        <v>3384</v>
      </c>
      <c r="AB1559" s="20"/>
      <c r="AC1559" s="73"/>
    </row>
    <row r="1560" spans="1:29">
      <c r="A1560" s="327" t="str">
        <f>IF(AND($B1560&lt;&gt;"",$C1560&lt;&gt;""),MAX($A$1556:A1559)+1,"")</f>
        <v/>
      </c>
      <c r="B1560" s="361" t="s">
        <v>1976</v>
      </c>
      <c r="C1560" s="360"/>
      <c r="D1560" s="327">
        <f>IF($B1560="","",COUNTIF($B$6:$B1560,$B1560))</f>
        <v>4</v>
      </c>
      <c r="E1560" s="399" t="s">
        <v>2285</v>
      </c>
      <c r="F1560" s="400" t="s">
        <v>341</v>
      </c>
      <c r="G1560" s="327" t="s">
        <v>155</v>
      </c>
      <c r="H1560" s="327" t="s">
        <v>536</v>
      </c>
      <c r="I1560" s="327">
        <v>1</v>
      </c>
      <c r="J1560" s="345"/>
      <c r="K1560" s="327"/>
      <c r="L1560" s="389">
        <v>140000</v>
      </c>
      <c r="M1560" s="371"/>
      <c r="N1560" s="355" t="str">
        <f t="shared" si="198"/>
        <v>PK</v>
      </c>
      <c r="O1560" s="401" t="s">
        <v>2706</v>
      </c>
      <c r="P1560" s="392"/>
      <c r="Q1560" s="327"/>
      <c r="R1560" s="351"/>
      <c r="S1560" s="351"/>
      <c r="T1560" s="351"/>
      <c r="U1560" s="329" t="str">
        <f>IF($N1560=$N$4,IFERROR(INDEX(DanhMuc!$E$154:$E$165,MATCH(MID($B1560,4,2),DanhMuc!$B$154:$B$165,0)),""),"")</f>
        <v/>
      </c>
      <c r="V1560" s="361"/>
      <c r="W1560" s="345"/>
      <c r="X1560" s="329" t="str">
        <f t="shared" si="199"/>
        <v>3H</v>
      </c>
      <c r="Y1560" s="1128" t="s">
        <v>3380</v>
      </c>
      <c r="Z1560" s="1128" t="s">
        <v>3381</v>
      </c>
      <c r="AA1560" s="1128" t="s">
        <v>3384</v>
      </c>
      <c r="AB1560" s="20"/>
      <c r="AC1560" s="73"/>
    </row>
    <row r="1561" spans="1:29">
      <c r="A1561" s="327" t="str">
        <f>IF(AND($B1561&lt;&gt;"",$C1561&lt;&gt;""),MAX($A$1556:A1560)+1,"")</f>
        <v/>
      </c>
      <c r="B1561" s="361" t="s">
        <v>1976</v>
      </c>
      <c r="C1561" s="360"/>
      <c r="D1561" s="327">
        <f>IF($B1561="","",COUNTIF($B$6:$B1561,$B1561))</f>
        <v>5</v>
      </c>
      <c r="E1561" s="399" t="s">
        <v>2539</v>
      </c>
      <c r="F1561" s="400" t="s">
        <v>2540</v>
      </c>
      <c r="G1561" s="327" t="s">
        <v>155</v>
      </c>
      <c r="H1561" s="327" t="s">
        <v>536</v>
      </c>
      <c r="I1561" s="327">
        <v>1</v>
      </c>
      <c r="J1561" s="345"/>
      <c r="K1561" s="327"/>
      <c r="L1561" s="389">
        <v>140000</v>
      </c>
      <c r="M1561" s="371"/>
      <c r="N1561" s="355" t="str">
        <f t="shared" si="198"/>
        <v>PK</v>
      </c>
      <c r="O1561" s="401" t="s">
        <v>2701</v>
      </c>
      <c r="P1561" s="392"/>
      <c r="Q1561" s="327"/>
      <c r="R1561" s="351"/>
      <c r="S1561" s="351"/>
      <c r="T1561" s="351"/>
      <c r="U1561" s="329" t="str">
        <f>IF($N1561=$N$4,IFERROR(INDEX(DanhMuc!$E$154:$E$165,MATCH(MID($B1561,4,2),DanhMuc!$B$154:$B$165,0)),""),"")</f>
        <v/>
      </c>
      <c r="V1561" s="361"/>
      <c r="W1561" s="345"/>
      <c r="X1561" s="329" t="str">
        <f t="shared" si="199"/>
        <v>3H</v>
      </c>
      <c r="Y1561" s="1128" t="s">
        <v>3380</v>
      </c>
      <c r="Z1561" s="1128" t="s">
        <v>3381</v>
      </c>
      <c r="AA1561" s="1128" t="s">
        <v>3384</v>
      </c>
      <c r="AB1561" s="20"/>
      <c r="AC1561" s="73"/>
    </row>
    <row r="1562" spans="1:29">
      <c r="A1562" s="327" t="str">
        <f>IF(AND($B1562&lt;&gt;"",$C1562&lt;&gt;""),MAX($A$1556:A1561)+1,"")</f>
        <v/>
      </c>
      <c r="B1562" s="361" t="s">
        <v>1976</v>
      </c>
      <c r="C1562" s="360"/>
      <c r="D1562" s="327">
        <f>IF($B1562="","",COUNTIF($B$6:$B1562,$B1562))</f>
        <v>6</v>
      </c>
      <c r="E1562" s="399" t="s">
        <v>2669</v>
      </c>
      <c r="F1562" s="400" t="s">
        <v>2668</v>
      </c>
      <c r="G1562" s="327" t="s">
        <v>155</v>
      </c>
      <c r="H1562" s="327" t="s">
        <v>536</v>
      </c>
      <c r="I1562" s="327">
        <v>1</v>
      </c>
      <c r="J1562" s="345"/>
      <c r="K1562" s="327"/>
      <c r="L1562" s="389">
        <v>140000</v>
      </c>
      <c r="M1562" s="371"/>
      <c r="N1562" s="355" t="str">
        <f t="shared" si="198"/>
        <v>PK</v>
      </c>
      <c r="O1562" s="401" t="s">
        <v>2702</v>
      </c>
      <c r="P1562" s="392"/>
      <c r="Q1562" s="327"/>
      <c r="R1562" s="351"/>
      <c r="S1562" s="351"/>
      <c r="T1562" s="351"/>
      <c r="U1562" s="329" t="str">
        <f>IF($N1562=$N$4,IFERROR(INDEX(DanhMuc!$E$154:$E$165,MATCH(MID($B1562,4,2),DanhMuc!$B$154:$B$165,0)),""),"")</f>
        <v/>
      </c>
      <c r="V1562" s="361"/>
      <c r="W1562" s="345"/>
      <c r="X1562" s="329" t="str">
        <f t="shared" si="199"/>
        <v>3H</v>
      </c>
      <c r="Y1562" s="1128" t="s">
        <v>3380</v>
      </c>
      <c r="Z1562" s="1128" t="s">
        <v>3381</v>
      </c>
      <c r="AA1562" s="1128" t="s">
        <v>3384</v>
      </c>
      <c r="AB1562" s="20"/>
      <c r="AC1562" s="73"/>
    </row>
    <row r="1563" spans="1:29">
      <c r="A1563" s="327" t="str">
        <f>IF(AND($B1563&lt;&gt;"",$C1563&lt;&gt;""),MAX($A$1556:A1560)+1,"")</f>
        <v/>
      </c>
      <c r="B1563" s="361" t="s">
        <v>1976</v>
      </c>
      <c r="C1563" s="360"/>
      <c r="D1563" s="327">
        <f>IF($B1563="","",COUNTIF($B$6:$B1563,$B1563))</f>
        <v>7</v>
      </c>
      <c r="E1563" s="402" t="s">
        <v>2284</v>
      </c>
      <c r="F1563" s="403" t="s">
        <v>197</v>
      </c>
      <c r="G1563" s="327" t="s">
        <v>155</v>
      </c>
      <c r="H1563" s="327" t="s">
        <v>536</v>
      </c>
      <c r="I1563" s="327">
        <v>1</v>
      </c>
      <c r="J1563" s="345"/>
      <c r="K1563" s="327"/>
      <c r="L1563" s="389">
        <v>135000</v>
      </c>
      <c r="M1563" s="371"/>
      <c r="N1563" s="355" t="str">
        <f t="shared" si="198"/>
        <v>PK</v>
      </c>
      <c r="O1563" s="404" t="s">
        <v>1626</v>
      </c>
      <c r="P1563" s="392"/>
      <c r="Q1563" s="327"/>
      <c r="R1563" s="351"/>
      <c r="S1563" s="351"/>
      <c r="T1563" s="351"/>
      <c r="U1563" s="329" t="str">
        <f>IF($N1563=$N$4,IFERROR(INDEX(DanhMuc!$E$154:$E$165,MATCH(MID($B1563,4,2),DanhMuc!$B$154:$B$165,0)),""),"")</f>
        <v/>
      </c>
      <c r="V1563" s="361"/>
      <c r="W1563" s="345"/>
      <c r="X1563" s="329" t="str">
        <f t="shared" si="199"/>
        <v>3H</v>
      </c>
      <c r="Y1563" s="1128" t="s">
        <v>3380</v>
      </c>
      <c r="Z1563" s="1128" t="s">
        <v>3381</v>
      </c>
      <c r="AA1563" s="1128" t="s">
        <v>3384</v>
      </c>
      <c r="AB1563" s="20"/>
      <c r="AC1563" s="73"/>
    </row>
    <row r="1564" spans="1:29">
      <c r="A1564" s="327" t="str">
        <f>IF(AND($B1564&lt;&gt;"",$C1564&lt;&gt;""),MAX($A$1556:A1563)+1,"")</f>
        <v/>
      </c>
      <c r="B1564" s="361" t="s">
        <v>1976</v>
      </c>
      <c r="C1564" s="360"/>
      <c r="D1564" s="327">
        <f>IF($B1564="","",COUNTIF($B$6:$B1564,$B1564))</f>
        <v>8</v>
      </c>
      <c r="E1564" s="402" t="s">
        <v>20</v>
      </c>
      <c r="F1564" s="403" t="s">
        <v>79</v>
      </c>
      <c r="G1564" s="327" t="s">
        <v>155</v>
      </c>
      <c r="H1564" s="327" t="s">
        <v>536</v>
      </c>
      <c r="I1564" s="327">
        <v>1</v>
      </c>
      <c r="J1564" s="345"/>
      <c r="K1564" s="327"/>
      <c r="L1564" s="389">
        <v>185000</v>
      </c>
      <c r="M1564" s="371"/>
      <c r="N1564" s="355" t="str">
        <f t="shared" si="198"/>
        <v>PK</v>
      </c>
      <c r="O1564" s="404" t="s">
        <v>1623</v>
      </c>
      <c r="P1564" s="392"/>
      <c r="Q1564" s="327"/>
      <c r="R1564" s="351"/>
      <c r="S1564" s="351"/>
      <c r="T1564" s="351"/>
      <c r="U1564" s="329" t="str">
        <f>IF($N1564=$N$4,IFERROR(INDEX(DanhMuc!$E$154:$E$165,MATCH(MID($B1564,4,2),DanhMuc!$B$154:$B$165,0)),""),"")</f>
        <v/>
      </c>
      <c r="V1564" s="361"/>
      <c r="W1564" s="345"/>
      <c r="X1564" s="329" t="str">
        <f t="shared" si="199"/>
        <v>3H</v>
      </c>
      <c r="Y1564" s="1128" t="s">
        <v>3380</v>
      </c>
      <c r="Z1564" s="1128" t="s">
        <v>3381</v>
      </c>
      <c r="AA1564" s="1128" t="s">
        <v>3384</v>
      </c>
      <c r="AB1564" s="20"/>
      <c r="AC1564" s="73"/>
    </row>
    <row r="1565" spans="1:29">
      <c r="A1565" s="327" t="str">
        <f>IF(AND($B1565&lt;&gt;"",$C1565&lt;&gt;""),MAX($A$1556:A1564)+1,"")</f>
        <v/>
      </c>
      <c r="B1565" s="361" t="s">
        <v>1976</v>
      </c>
      <c r="C1565" s="360"/>
      <c r="D1565" s="327">
        <f>IF($B1565="","",COUNTIF($B$6:$B1565,$B1565))</f>
        <v>9</v>
      </c>
      <c r="E1565" s="361" t="s">
        <v>632</v>
      </c>
      <c r="F1565" s="362" t="s">
        <v>633</v>
      </c>
      <c r="G1565" s="327" t="s">
        <v>155</v>
      </c>
      <c r="H1565" s="327" t="s">
        <v>536</v>
      </c>
      <c r="I1565" s="327">
        <v>2</v>
      </c>
      <c r="J1565" s="345"/>
      <c r="K1565" s="327"/>
      <c r="L1565" s="389">
        <v>17000</v>
      </c>
      <c r="M1565" s="371"/>
      <c r="N1565" s="355" t="str">
        <f t="shared" si="198"/>
        <v>PK</v>
      </c>
      <c r="O1565" s="404" t="s">
        <v>1623</v>
      </c>
      <c r="P1565" s="392"/>
      <c r="Q1565" s="327"/>
      <c r="R1565" s="351"/>
      <c r="S1565" s="351"/>
      <c r="T1565" s="351"/>
      <c r="U1565" s="329" t="str">
        <f>IF($N1565=$N$4,IFERROR(INDEX(DanhMuc!$E$154:$E$165,MATCH(MID($B1565,4,2),DanhMuc!$B$154:$B$165,0)),""),"")</f>
        <v/>
      </c>
      <c r="V1565" s="361"/>
      <c r="W1565" s="345"/>
      <c r="X1565" s="329" t="str">
        <f t="shared" si="199"/>
        <v>3H</v>
      </c>
      <c r="Y1565" s="1128" t="s">
        <v>3380</v>
      </c>
      <c r="Z1565" s="1128" t="s">
        <v>3381</v>
      </c>
      <c r="AA1565" s="1128" t="s">
        <v>3384</v>
      </c>
      <c r="AB1565" s="20"/>
      <c r="AC1565" s="73"/>
    </row>
    <row r="1566" spans="1:29">
      <c r="A1566" s="327" t="str">
        <f>IF(AND($B1566&lt;&gt;"",$C1566&lt;&gt;""),MAX($A$1556:A1565)+1,"")</f>
        <v/>
      </c>
      <c r="B1566" s="361" t="s">
        <v>1976</v>
      </c>
      <c r="C1566" s="360"/>
      <c r="D1566" s="327">
        <f>IF($B1566="","",COUNTIF($B$6:$B1566,$B1566))</f>
        <v>10</v>
      </c>
      <c r="E1566" s="361" t="s">
        <v>89</v>
      </c>
      <c r="F1566" s="362" t="s">
        <v>90</v>
      </c>
      <c r="G1566" s="327" t="s">
        <v>155</v>
      </c>
      <c r="H1566" s="327" t="s">
        <v>536</v>
      </c>
      <c r="I1566" s="327">
        <v>2</v>
      </c>
      <c r="J1566" s="345"/>
      <c r="K1566" s="327"/>
      <c r="L1566" s="389">
        <v>6500</v>
      </c>
      <c r="M1566" s="371"/>
      <c r="N1566" s="355" t="str">
        <f t="shared" si="198"/>
        <v>PK</v>
      </c>
      <c r="O1566" s="404" t="s">
        <v>1623</v>
      </c>
      <c r="P1566" s="392"/>
      <c r="Q1566" s="327"/>
      <c r="R1566" s="351"/>
      <c r="S1566" s="351"/>
      <c r="T1566" s="351"/>
      <c r="U1566" s="329" t="str">
        <f>IF($N1566=$N$4,IFERROR(INDEX(DanhMuc!$E$154:$E$165,MATCH(MID($B1566,4,2),DanhMuc!$B$154:$B$165,0)),""),"")</f>
        <v/>
      </c>
      <c r="V1566" s="361"/>
      <c r="W1566" s="345"/>
      <c r="X1566" s="329" t="str">
        <f t="shared" si="199"/>
        <v>3H</v>
      </c>
      <c r="Y1566" s="1128" t="s">
        <v>3380</v>
      </c>
      <c r="Z1566" s="1128" t="s">
        <v>3381</v>
      </c>
      <c r="AA1566" s="1128" t="s">
        <v>3384</v>
      </c>
      <c r="AB1566" s="20"/>
      <c r="AC1566" s="73"/>
    </row>
    <row r="1567" spans="1:29" s="25" customFormat="1">
      <c r="A1567" s="327" t="str">
        <f>IF(AND($B1567&lt;&gt;"",$C1567&lt;&gt;""),MAX($A$1556:A1568)+1,"")</f>
        <v/>
      </c>
      <c r="B1567" s="361" t="s">
        <v>1976</v>
      </c>
      <c r="C1567" s="346"/>
      <c r="D1567" s="367">
        <f>IF($B1567="","",COUNTIF($B$6:$B1567,$B1567))</f>
        <v>11</v>
      </c>
      <c r="E1567" s="365" t="s">
        <v>327</v>
      </c>
      <c r="F1567" s="368" t="s">
        <v>345</v>
      </c>
      <c r="G1567" s="367" t="s">
        <v>690</v>
      </c>
      <c r="H1567" s="327" t="s">
        <v>536</v>
      </c>
      <c r="I1567" s="327">
        <v>1</v>
      </c>
      <c r="J1567" s="345" t="s">
        <v>634</v>
      </c>
      <c r="K1567" s="327"/>
      <c r="L1567" s="348">
        <f>+$S1567*$T1567*$L$37</f>
        <v>84651</v>
      </c>
      <c r="M1567" s="371"/>
      <c r="N1567" s="369" t="s">
        <v>150</v>
      </c>
      <c r="O1567" s="404" t="s">
        <v>1623</v>
      </c>
      <c r="P1567" s="392"/>
      <c r="Q1567" s="327"/>
      <c r="R1567" s="351">
        <v>2.5</v>
      </c>
      <c r="S1567" s="351">
        <v>5.8</v>
      </c>
      <c r="T1567" s="351">
        <v>0.13900000000000001</v>
      </c>
      <c r="U1567" s="329">
        <f>IF($N1567=$N$4,IFERROR(INDEX(DanhMuc!$E$154:$E$165,MATCH(MID($B1567,4,2),DanhMuc!$B$154:$B$165,0)),""),"")</f>
        <v>5800</v>
      </c>
      <c r="V1567" s="365"/>
      <c r="W1567" s="345"/>
      <c r="X1567" s="329" t="str">
        <f t="shared" si="199"/>
        <v>C459</v>
      </c>
      <c r="Y1567" s="1128" t="s">
        <v>3380</v>
      </c>
      <c r="Z1567" s="1128" t="s">
        <v>3381</v>
      </c>
      <c r="AA1567" s="1128" t="s">
        <v>3384</v>
      </c>
      <c r="AB1567" s="20"/>
      <c r="AC1567" s="73"/>
    </row>
    <row r="1568" spans="1:29">
      <c r="A1568" s="327" t="str">
        <f>IF(AND($B1568&lt;&gt;"",$C1568&lt;&gt;""),MAX($A$1556:A1566)+1,"")</f>
        <v/>
      </c>
      <c r="B1568" s="361" t="s">
        <v>1976</v>
      </c>
      <c r="C1568" s="360"/>
      <c r="D1568" s="327">
        <f>IF($B1568="","",COUNTIF($B$6:$B1568,$B1568))</f>
        <v>12</v>
      </c>
      <c r="E1568" s="361" t="s">
        <v>1076</v>
      </c>
      <c r="F1568" s="362" t="s">
        <v>88</v>
      </c>
      <c r="G1568" s="327" t="s">
        <v>155</v>
      </c>
      <c r="H1568" s="327" t="s">
        <v>536</v>
      </c>
      <c r="I1568" s="327">
        <v>1</v>
      </c>
      <c r="J1568" s="361"/>
      <c r="K1568" s="327"/>
      <c r="L1568" s="389">
        <v>26000</v>
      </c>
      <c r="M1568" s="371"/>
      <c r="N1568" s="355" t="str">
        <f t="shared" si="198"/>
        <v>PK</v>
      </c>
      <c r="O1568" s="345"/>
      <c r="P1568" s="392"/>
      <c r="Q1568" s="327"/>
      <c r="R1568" s="351"/>
      <c r="S1568" s="351"/>
      <c r="T1568" s="351"/>
      <c r="U1568" s="329" t="str">
        <f>IF($N1568=$N$4,IFERROR(INDEX(DanhMuc!$E$154:$E$165,MATCH(MID($B1568,4,2),DanhMuc!$B$154:$B$165,0)),""),"")</f>
        <v/>
      </c>
      <c r="V1568" s="361"/>
      <c r="W1568" s="345"/>
      <c r="X1568" s="329" t="str">
        <f t="shared" si="199"/>
        <v>3H</v>
      </c>
      <c r="Y1568" s="1128" t="s">
        <v>3380</v>
      </c>
      <c r="Z1568" s="1128" t="s">
        <v>3381</v>
      </c>
      <c r="AA1568" s="1128" t="s">
        <v>3384</v>
      </c>
      <c r="AB1568" s="20"/>
      <c r="AC1568" s="73"/>
    </row>
    <row r="1569" spans="1:29" ht="25">
      <c r="A1569" s="327" t="str">
        <f>IF(AND($B1569&lt;&gt;"",$C1569&lt;&gt;""),MAX($A$1556:A1567)+1,"")</f>
        <v/>
      </c>
      <c r="B1569" s="361" t="s">
        <v>1976</v>
      </c>
      <c r="C1569" s="360"/>
      <c r="D1569" s="327">
        <f>IF($B1569="","",COUNTIF($B$6:$B1569,$B1569))</f>
        <v>13</v>
      </c>
      <c r="E1569" s="405" t="s">
        <v>674</v>
      </c>
      <c r="F1569" s="406" t="s">
        <v>676</v>
      </c>
      <c r="G1569" s="327" t="s">
        <v>155</v>
      </c>
      <c r="H1569" s="327"/>
      <c r="I1569" s="327">
        <v>3</v>
      </c>
      <c r="J1569" s="345"/>
      <c r="K1569" s="327"/>
      <c r="L1569" s="389">
        <v>155000</v>
      </c>
      <c r="M1569" s="371"/>
      <c r="N1569" s="355" t="str">
        <f t="shared" ref="N1569:N1576" si="200">+$N$1555</f>
        <v>PK</v>
      </c>
      <c r="O1569" s="407" t="s">
        <v>686</v>
      </c>
      <c r="P1569" s="392"/>
      <c r="Q1569" s="327"/>
      <c r="R1569" s="351"/>
      <c r="S1569" s="351"/>
      <c r="T1569" s="351"/>
      <c r="U1569" s="329" t="str">
        <f>IF($N1569=$N$4,IFERROR(INDEX(DanhMuc!$E$154:$E$165,MATCH(MID($B1569,4,2),DanhMuc!$B$154:$B$165,0)),""),"")</f>
        <v/>
      </c>
      <c r="V1569" s="408" t="s">
        <v>343</v>
      </c>
      <c r="W1569" s="345"/>
      <c r="X1569" s="329" t="str">
        <f t="shared" si="199"/>
        <v>3H</v>
      </c>
      <c r="Y1569" s="1128" t="s">
        <v>3380</v>
      </c>
      <c r="Z1569" s="1128" t="s">
        <v>3381</v>
      </c>
      <c r="AA1569" s="1128" t="s">
        <v>3384</v>
      </c>
      <c r="AB1569" s="20"/>
      <c r="AC1569" s="73"/>
    </row>
    <row r="1570" spans="1:29" ht="25">
      <c r="A1570" s="327" t="str">
        <f>IF(AND($B1570&lt;&gt;"",$C1570&lt;&gt;""),MAX($A$1556:A1568)+1,"")</f>
        <v/>
      </c>
      <c r="B1570" s="361" t="s">
        <v>1976</v>
      </c>
      <c r="C1570" s="360"/>
      <c r="D1570" s="327">
        <f>IF($B1570="","",COUNTIF($B$6:$B1570,$B1570))</f>
        <v>14</v>
      </c>
      <c r="E1570" s="405" t="s">
        <v>675</v>
      </c>
      <c r="F1570" s="406" t="s">
        <v>677</v>
      </c>
      <c r="G1570" s="327" t="s">
        <v>155</v>
      </c>
      <c r="H1570" s="327"/>
      <c r="I1570" s="327">
        <v>3</v>
      </c>
      <c r="J1570" s="345"/>
      <c r="K1570" s="327"/>
      <c r="L1570" s="389">
        <v>155000</v>
      </c>
      <c r="M1570" s="371"/>
      <c r="N1570" s="355" t="str">
        <f t="shared" si="200"/>
        <v>PK</v>
      </c>
      <c r="O1570" s="407" t="s">
        <v>687</v>
      </c>
      <c r="P1570" s="392"/>
      <c r="Q1570" s="327"/>
      <c r="R1570" s="351"/>
      <c r="S1570" s="351"/>
      <c r="T1570" s="351"/>
      <c r="U1570" s="329" t="str">
        <f>IF($N1570=$N$4,IFERROR(INDEX(DanhMuc!$E$154:$E$165,MATCH(MID($B1570,4,2),DanhMuc!$B$154:$B$165,0)),""),"")</f>
        <v/>
      </c>
      <c r="V1570" s="408" t="s">
        <v>343</v>
      </c>
      <c r="W1570" s="345"/>
      <c r="X1570" s="329" t="str">
        <f t="shared" si="199"/>
        <v>3H</v>
      </c>
      <c r="Y1570" s="1128" t="s">
        <v>3380</v>
      </c>
      <c r="Z1570" s="1128" t="s">
        <v>3381</v>
      </c>
      <c r="AA1570" s="1128" t="s">
        <v>3384</v>
      </c>
      <c r="AB1570" s="20"/>
      <c r="AC1570" s="73"/>
    </row>
    <row r="1571" spans="1:29">
      <c r="A1571" s="327" t="str">
        <f>IF(AND($B1571&lt;&gt;"",$C1571&lt;&gt;""),MAX($A$1556:A1569)+1,"")</f>
        <v/>
      </c>
      <c r="B1571" s="361" t="s">
        <v>1976</v>
      </c>
      <c r="C1571" s="360"/>
      <c r="D1571" s="327">
        <f>IF($B1571="","",COUNTIF($B$6:$B1571,$B1571))</f>
        <v>15</v>
      </c>
      <c r="E1571" s="405" t="s">
        <v>2322</v>
      </c>
      <c r="F1571" s="406" t="s">
        <v>2316</v>
      </c>
      <c r="G1571" s="327" t="s">
        <v>155</v>
      </c>
      <c r="H1571" s="327"/>
      <c r="I1571" s="327">
        <v>3</v>
      </c>
      <c r="J1571" s="345"/>
      <c r="K1571" s="327"/>
      <c r="L1571" s="389">
        <v>160000</v>
      </c>
      <c r="M1571" s="371"/>
      <c r="N1571" s="355" t="str">
        <f t="shared" si="200"/>
        <v>PK</v>
      </c>
      <c r="O1571" s="407" t="s">
        <v>1806</v>
      </c>
      <c r="P1571" s="392"/>
      <c r="Q1571" s="327"/>
      <c r="R1571" s="351"/>
      <c r="S1571" s="351"/>
      <c r="T1571" s="351"/>
      <c r="U1571" s="329" t="str">
        <f>IF($N1571=$N$4,IFERROR(INDEX(DanhMuc!$E$154:$E$165,MATCH(MID($B1571,4,2),DanhMuc!$B$154:$B$165,0)),""),"")</f>
        <v/>
      </c>
      <c r="V1571" s="408" t="s">
        <v>343</v>
      </c>
      <c r="W1571" s="345"/>
      <c r="X1571" s="329" t="str">
        <f t="shared" si="199"/>
        <v>3H</v>
      </c>
      <c r="Y1571" s="1128" t="s">
        <v>3380</v>
      </c>
      <c r="Z1571" s="1128" t="s">
        <v>3381</v>
      </c>
      <c r="AA1571" s="1128" t="s">
        <v>3384</v>
      </c>
      <c r="AB1571" s="20"/>
      <c r="AC1571" s="73"/>
    </row>
    <row r="1572" spans="1:29">
      <c r="A1572" s="327" t="str">
        <f>IF(AND($B1572&lt;&gt;"",$C1572&lt;&gt;""),MAX($A$1556:A1570)+1,"")</f>
        <v/>
      </c>
      <c r="B1572" s="361" t="s">
        <v>1976</v>
      </c>
      <c r="C1572" s="360"/>
      <c r="D1572" s="327">
        <f>IF($B1572="","",COUNTIF($B$6:$B1572,$B1572))</f>
        <v>16</v>
      </c>
      <c r="E1572" s="405" t="s">
        <v>2323</v>
      </c>
      <c r="F1572" s="406" t="s">
        <v>2317</v>
      </c>
      <c r="G1572" s="327" t="s">
        <v>155</v>
      </c>
      <c r="H1572" s="327"/>
      <c r="I1572" s="327">
        <v>3</v>
      </c>
      <c r="J1572" s="345"/>
      <c r="K1572" s="327"/>
      <c r="L1572" s="389">
        <v>160000</v>
      </c>
      <c r="M1572" s="371"/>
      <c r="N1572" s="355" t="str">
        <f t="shared" si="200"/>
        <v>PK</v>
      </c>
      <c r="O1572" s="407" t="s">
        <v>1807</v>
      </c>
      <c r="P1572" s="392"/>
      <c r="Q1572" s="327"/>
      <c r="R1572" s="351"/>
      <c r="S1572" s="351"/>
      <c r="T1572" s="351"/>
      <c r="U1572" s="329" t="str">
        <f>IF($N1572=$N$4,IFERROR(INDEX(DanhMuc!$E$154:$E$165,MATCH(MID($B1572,4,2),DanhMuc!$B$154:$B$165,0)),""),"")</f>
        <v/>
      </c>
      <c r="V1572" s="408" t="s">
        <v>343</v>
      </c>
      <c r="W1572" s="345"/>
      <c r="X1572" s="329" t="str">
        <f t="shared" si="199"/>
        <v>3H</v>
      </c>
      <c r="Y1572" s="1128" t="s">
        <v>3380</v>
      </c>
      <c r="Z1572" s="1128" t="s">
        <v>3381</v>
      </c>
      <c r="AA1572" s="1128" t="s">
        <v>3384</v>
      </c>
      <c r="AB1572" s="20"/>
      <c r="AC1572" s="73"/>
    </row>
    <row r="1573" spans="1:29">
      <c r="A1573" s="327" t="str">
        <f>IF(AND($B1573&lt;&gt;"",$C1573&lt;&gt;""),MAX($A$1556:A1572)+1,"")</f>
        <v/>
      </c>
      <c r="B1573" s="361" t="s">
        <v>1976</v>
      </c>
      <c r="C1573" s="360"/>
      <c r="D1573" s="327">
        <f>IF($B1573="","",COUNTIF($B$6:$B1573,$B1573))</f>
        <v>17</v>
      </c>
      <c r="E1573" s="405" t="s">
        <v>3875</v>
      </c>
      <c r="F1573" s="406" t="s">
        <v>3866</v>
      </c>
      <c r="G1573" s="327" t="s">
        <v>155</v>
      </c>
      <c r="H1573" s="327"/>
      <c r="I1573" s="327">
        <v>3</v>
      </c>
      <c r="J1573" s="345"/>
      <c r="K1573" s="327"/>
      <c r="L1573" s="389">
        <v>55000</v>
      </c>
      <c r="M1573" s="371"/>
      <c r="N1573" s="355" t="str">
        <f t="shared" si="200"/>
        <v>PK</v>
      </c>
      <c r="O1573" s="407" t="s">
        <v>3868</v>
      </c>
      <c r="P1573" s="392"/>
      <c r="Q1573" s="327"/>
      <c r="R1573" s="351"/>
      <c r="S1573" s="351"/>
      <c r="T1573" s="351"/>
      <c r="U1573" s="329" t="str">
        <f>IF($N1573=$N$4,IFERROR(INDEX(DanhMuc!$E$154:$E$165,MATCH(MID($B1573,4,2),DanhMuc!$B$154:$B$165,0)),""),"")</f>
        <v/>
      </c>
      <c r="V1573" s="361"/>
      <c r="W1573" s="345"/>
      <c r="X1573" s="329" t="str">
        <f t="shared" si="199"/>
        <v>3H</v>
      </c>
      <c r="Y1573" s="1128" t="s">
        <v>3380</v>
      </c>
      <c r="Z1573" s="1128" t="s">
        <v>3381</v>
      </c>
      <c r="AA1573" s="1128" t="s">
        <v>3384</v>
      </c>
      <c r="AB1573" s="20"/>
      <c r="AC1573" s="73"/>
    </row>
    <row r="1574" spans="1:29">
      <c r="A1574" s="327" t="str">
        <f>IF(AND($B1574&lt;&gt;"",$C1574&lt;&gt;""),MAX($A$1556:A1573)+1,"")</f>
        <v/>
      </c>
      <c r="B1574" s="361" t="s">
        <v>1976</v>
      </c>
      <c r="C1574" s="360"/>
      <c r="D1574" s="327">
        <f>IF($B1574="","",COUNTIF($B$6:$B1574,$B1574))</f>
        <v>18</v>
      </c>
      <c r="E1574" s="405" t="s">
        <v>3876</v>
      </c>
      <c r="F1574" s="406" t="s">
        <v>3867</v>
      </c>
      <c r="G1574" s="327" t="s">
        <v>155</v>
      </c>
      <c r="H1574" s="327"/>
      <c r="I1574" s="327">
        <v>3</v>
      </c>
      <c r="J1574" s="345"/>
      <c r="K1574" s="327"/>
      <c r="L1574" s="389">
        <v>55000</v>
      </c>
      <c r="M1574" s="371"/>
      <c r="N1574" s="355" t="str">
        <f t="shared" si="200"/>
        <v>PK</v>
      </c>
      <c r="O1574" s="407" t="s">
        <v>3869</v>
      </c>
      <c r="P1574" s="392"/>
      <c r="Q1574" s="327"/>
      <c r="R1574" s="351"/>
      <c r="S1574" s="351"/>
      <c r="T1574" s="351"/>
      <c r="U1574" s="329" t="str">
        <f>IF($N1574=$N$4,IFERROR(INDEX(DanhMuc!$E$154:$E$165,MATCH(MID($B1574,4,2),DanhMuc!$B$154:$B$165,0)),""),"")</f>
        <v/>
      </c>
      <c r="V1574" s="361"/>
      <c r="W1574" s="345"/>
      <c r="X1574" s="329" t="str">
        <f t="shared" si="199"/>
        <v>3H</v>
      </c>
      <c r="Y1574" s="1128" t="s">
        <v>3380</v>
      </c>
      <c r="Z1574" s="1128" t="s">
        <v>3381</v>
      </c>
      <c r="AA1574" s="1128" t="s">
        <v>3384</v>
      </c>
      <c r="AB1574" s="20"/>
      <c r="AC1574" s="73"/>
    </row>
    <row r="1575" spans="1:29">
      <c r="A1575" s="327" t="str">
        <f>IF(AND($B1575&lt;&gt;"",$C1575&lt;&gt;""),MAX($A$1556:A1569)+1,"")</f>
        <v/>
      </c>
      <c r="B1575" s="361" t="s">
        <v>1976</v>
      </c>
      <c r="C1575" s="360"/>
      <c r="D1575" s="327">
        <f>IF($B1575="","",COUNTIF($B$6:$B1575,$B1575))</f>
        <v>19</v>
      </c>
      <c r="E1575" s="361" t="s">
        <v>986</v>
      </c>
      <c r="F1575" s="362" t="s">
        <v>985</v>
      </c>
      <c r="G1575" s="327" t="s">
        <v>297</v>
      </c>
      <c r="H1575" s="327"/>
      <c r="I1575" s="327">
        <v>1</v>
      </c>
      <c r="J1575" s="345"/>
      <c r="K1575" s="327"/>
      <c r="L1575" s="389">
        <v>2450</v>
      </c>
      <c r="M1575" s="371"/>
      <c r="N1575" s="355" t="str">
        <f t="shared" si="200"/>
        <v>PK</v>
      </c>
      <c r="O1575" s="347" t="s">
        <v>1475</v>
      </c>
      <c r="P1575" s="392"/>
      <c r="Q1575" s="327"/>
      <c r="R1575" s="351"/>
      <c r="S1575" s="351"/>
      <c r="T1575" s="351"/>
      <c r="U1575" s="329" t="str">
        <f>IF($N1575=$N$4,IFERROR(INDEX(DanhMuc!$E$154:$E$165,MATCH(MID($B1575,4,2),DanhMuc!$B$154:$B$165,0)),""),"")</f>
        <v/>
      </c>
      <c r="V1575" s="408" t="s">
        <v>343</v>
      </c>
      <c r="W1575" s="345"/>
      <c r="X1575" s="329" t="str">
        <f t="shared" si="199"/>
        <v>3H</v>
      </c>
      <c r="Y1575" s="1128" t="s">
        <v>3380</v>
      </c>
      <c r="Z1575" s="1128" t="s">
        <v>3381</v>
      </c>
      <c r="AA1575" s="1128" t="s">
        <v>3384</v>
      </c>
      <c r="AB1575" s="20"/>
      <c r="AC1575" s="73"/>
    </row>
    <row r="1576" spans="1:29" ht="26">
      <c r="A1576" s="327">
        <f>IF(AND($B1576&lt;&gt;"",$C1576&lt;&gt;""),MAX($A$1556:A1569)+1,"")</f>
        <v>2</v>
      </c>
      <c r="B1576" s="359" t="s">
        <v>1977</v>
      </c>
      <c r="C1576" s="360" t="s">
        <v>1528</v>
      </c>
      <c r="D1576" s="327">
        <f>IF($B1576="","",COUNTIF($B$6:$B1576,$B1576))</f>
        <v>1</v>
      </c>
      <c r="E1576" s="361" t="s">
        <v>87</v>
      </c>
      <c r="F1576" s="362" t="s">
        <v>196</v>
      </c>
      <c r="G1576" s="327" t="s">
        <v>344</v>
      </c>
      <c r="H1576" s="327"/>
      <c r="I1576" s="327">
        <v>1</v>
      </c>
      <c r="J1576" s="361"/>
      <c r="K1576" s="327"/>
      <c r="L1576" s="389">
        <v>135000</v>
      </c>
      <c r="M1576" s="371"/>
      <c r="N1576" s="355" t="str">
        <f t="shared" si="200"/>
        <v>PK</v>
      </c>
      <c r="O1576" s="345"/>
      <c r="P1576" s="392"/>
      <c r="Q1576" s="327"/>
      <c r="R1576" s="351"/>
      <c r="S1576" s="351"/>
      <c r="T1576" s="351"/>
      <c r="U1576" s="329" t="str">
        <f>IF($N1576=$N$4,IFERROR(INDEX(DanhMuc!$E$154:$E$165,MATCH(MID($B1576,4,2),DanhMuc!$B$154:$B$165,0)),""),"")</f>
        <v/>
      </c>
      <c r="V1576" s="361"/>
      <c r="W1576" s="345"/>
      <c r="X1576" s="329" t="str">
        <f t="shared" si="199"/>
        <v>3H</v>
      </c>
      <c r="Y1576" s="1128" t="s">
        <v>3380</v>
      </c>
      <c r="Z1576" s="1128" t="s">
        <v>3381</v>
      </c>
      <c r="AA1576" s="1128" t="s">
        <v>3384</v>
      </c>
      <c r="AB1576" s="20"/>
      <c r="AC1576" s="73"/>
    </row>
    <row r="1577" spans="1:29">
      <c r="A1577" s="327" t="str">
        <f>IF(AND($B1577&lt;&gt;"",$C1577&lt;&gt;""),MAX($A$1556:A1576)+1,"")</f>
        <v/>
      </c>
      <c r="B1577" s="361" t="s">
        <v>1977</v>
      </c>
      <c r="C1577" s="360"/>
      <c r="D1577" s="327">
        <f>IF($B1577="","",COUNTIF($B$6:$B1577,$B1577))</f>
        <v>2</v>
      </c>
      <c r="E1577" s="399" t="s">
        <v>22</v>
      </c>
      <c r="F1577" s="400" t="s">
        <v>323</v>
      </c>
      <c r="G1577" s="327" t="s">
        <v>155</v>
      </c>
      <c r="H1577" s="327" t="s">
        <v>536</v>
      </c>
      <c r="I1577" s="327">
        <v>1</v>
      </c>
      <c r="J1577" s="345"/>
      <c r="K1577" s="327"/>
      <c r="L1577" s="389">
        <v>140000</v>
      </c>
      <c r="M1577" s="371"/>
      <c r="N1577" s="355" t="str">
        <f t="shared" ref="N1577:N1584" si="201">+$N$1555</f>
        <v>PK</v>
      </c>
      <c r="O1577" s="345" t="s">
        <v>1060</v>
      </c>
      <c r="P1577" s="392"/>
      <c r="Q1577" s="327"/>
      <c r="R1577" s="351"/>
      <c r="S1577" s="351"/>
      <c r="T1577" s="351"/>
      <c r="U1577" s="329" t="str">
        <f>IF($N1577=$N$4,IFERROR(INDEX(DanhMuc!$E$154:$E$165,MATCH(MID($B1577,4,2),DanhMuc!$B$154:$B$165,0)),""),"")</f>
        <v/>
      </c>
      <c r="V1577" s="361"/>
      <c r="W1577" s="345"/>
      <c r="X1577" s="329" t="str">
        <f t="shared" si="199"/>
        <v>3H</v>
      </c>
      <c r="Y1577" s="1128" t="s">
        <v>3380</v>
      </c>
      <c r="Z1577" s="1128" t="s">
        <v>3381</v>
      </c>
      <c r="AA1577" s="1128" t="s">
        <v>3384</v>
      </c>
      <c r="AB1577" s="20"/>
      <c r="AC1577" s="73"/>
    </row>
    <row r="1578" spans="1:29">
      <c r="A1578" s="327" t="str">
        <f>IF(AND($B1578&lt;&gt;"",$C1578&lt;&gt;""),MAX($A$1556:A1577)+1,"")</f>
        <v/>
      </c>
      <c r="B1578" s="361" t="s">
        <v>1977</v>
      </c>
      <c r="C1578" s="360"/>
      <c r="D1578" s="327">
        <f>IF($B1578="","",COUNTIF($B$6:$B1578,$B1578))</f>
        <v>3</v>
      </c>
      <c r="E1578" s="399" t="s">
        <v>339</v>
      </c>
      <c r="F1578" s="400" t="s">
        <v>340</v>
      </c>
      <c r="G1578" s="327" t="s">
        <v>155</v>
      </c>
      <c r="H1578" s="327" t="s">
        <v>536</v>
      </c>
      <c r="I1578" s="327">
        <v>1</v>
      </c>
      <c r="J1578" s="345"/>
      <c r="K1578" s="327"/>
      <c r="L1578" s="389">
        <v>140000</v>
      </c>
      <c r="M1578" s="371"/>
      <c r="N1578" s="355" t="str">
        <f t="shared" si="201"/>
        <v>PK</v>
      </c>
      <c r="O1578" s="401" t="s">
        <v>2705</v>
      </c>
      <c r="P1578" s="392"/>
      <c r="Q1578" s="327"/>
      <c r="R1578" s="351"/>
      <c r="S1578" s="351"/>
      <c r="T1578" s="351"/>
      <c r="U1578" s="329" t="str">
        <f>IF($N1578=$N$4,IFERROR(INDEX(DanhMuc!$E$154:$E$165,MATCH(MID($B1578,4,2),DanhMuc!$B$154:$B$165,0)),""),"")</f>
        <v/>
      </c>
      <c r="V1578" s="361"/>
      <c r="W1578" s="345"/>
      <c r="X1578" s="329" t="str">
        <f t="shared" si="199"/>
        <v>3H</v>
      </c>
      <c r="Y1578" s="1128" t="s">
        <v>3380</v>
      </c>
      <c r="Z1578" s="1128" t="s">
        <v>3381</v>
      </c>
      <c r="AA1578" s="1128" t="s">
        <v>3384</v>
      </c>
      <c r="AB1578" s="20"/>
      <c r="AC1578" s="73"/>
    </row>
    <row r="1579" spans="1:29">
      <c r="A1579" s="327" t="str">
        <f>IF(AND($B1579&lt;&gt;"",$C1579&lt;&gt;""),MAX($A$1556:A1578)+1,"")</f>
        <v/>
      </c>
      <c r="B1579" s="361" t="s">
        <v>1977</v>
      </c>
      <c r="C1579" s="360"/>
      <c r="D1579" s="327">
        <f>IF($B1579="","",COUNTIF($B$6:$B1579,$B1579))</f>
        <v>4</v>
      </c>
      <c r="E1579" s="399" t="s">
        <v>2285</v>
      </c>
      <c r="F1579" s="400" t="s">
        <v>341</v>
      </c>
      <c r="G1579" s="327" t="s">
        <v>155</v>
      </c>
      <c r="H1579" s="327" t="s">
        <v>536</v>
      </c>
      <c r="I1579" s="327">
        <v>1</v>
      </c>
      <c r="J1579" s="345"/>
      <c r="K1579" s="327"/>
      <c r="L1579" s="389">
        <v>140000</v>
      </c>
      <c r="M1579" s="371"/>
      <c r="N1579" s="355" t="str">
        <f t="shared" si="201"/>
        <v>PK</v>
      </c>
      <c r="O1579" s="401" t="s">
        <v>2706</v>
      </c>
      <c r="P1579" s="392"/>
      <c r="Q1579" s="327"/>
      <c r="R1579" s="351"/>
      <c r="S1579" s="351"/>
      <c r="T1579" s="351"/>
      <c r="U1579" s="329" t="str">
        <f>IF($N1579=$N$4,IFERROR(INDEX(DanhMuc!$E$154:$E$165,MATCH(MID($B1579,4,2),DanhMuc!$B$154:$B$165,0)),""),"")</f>
        <v/>
      </c>
      <c r="V1579" s="361"/>
      <c r="W1579" s="345"/>
      <c r="X1579" s="329" t="str">
        <f t="shared" si="199"/>
        <v>3H</v>
      </c>
      <c r="Y1579" s="1128" t="s">
        <v>3380</v>
      </c>
      <c r="Z1579" s="1128" t="s">
        <v>3381</v>
      </c>
      <c r="AA1579" s="1128" t="s">
        <v>3384</v>
      </c>
      <c r="AB1579" s="20"/>
      <c r="AC1579" s="73"/>
    </row>
    <row r="1580" spans="1:29">
      <c r="A1580" s="327" t="str">
        <f>IF(AND($B1580&lt;&gt;"",$C1580&lt;&gt;""),MAX($A$1556:A1579)+1,"")</f>
        <v/>
      </c>
      <c r="B1580" s="361" t="s">
        <v>1977</v>
      </c>
      <c r="C1580" s="360"/>
      <c r="D1580" s="327">
        <f>IF($B1580="","",COUNTIF($B$6:$B1580,$B1580))</f>
        <v>5</v>
      </c>
      <c r="E1580" s="399" t="s">
        <v>2539</v>
      </c>
      <c r="F1580" s="400" t="s">
        <v>2540</v>
      </c>
      <c r="G1580" s="327" t="s">
        <v>155</v>
      </c>
      <c r="H1580" s="327" t="s">
        <v>536</v>
      </c>
      <c r="I1580" s="327">
        <v>1</v>
      </c>
      <c r="J1580" s="345"/>
      <c r="K1580" s="327"/>
      <c r="L1580" s="389">
        <v>140000</v>
      </c>
      <c r="M1580" s="371"/>
      <c r="N1580" s="355" t="str">
        <f t="shared" si="201"/>
        <v>PK</v>
      </c>
      <c r="O1580" s="401" t="s">
        <v>2701</v>
      </c>
      <c r="P1580" s="392"/>
      <c r="Q1580" s="327"/>
      <c r="R1580" s="351"/>
      <c r="S1580" s="351"/>
      <c r="T1580" s="351"/>
      <c r="U1580" s="329" t="str">
        <f>IF($N1580=$N$4,IFERROR(INDEX(DanhMuc!$E$154:$E$165,MATCH(MID($B1580,4,2),DanhMuc!$B$154:$B$165,0)),""),"")</f>
        <v/>
      </c>
      <c r="V1580" s="361"/>
      <c r="W1580" s="345"/>
      <c r="X1580" s="329" t="str">
        <f t="shared" si="199"/>
        <v>3H</v>
      </c>
      <c r="Y1580" s="1128" t="s">
        <v>3380</v>
      </c>
      <c r="Z1580" s="1128" t="s">
        <v>3381</v>
      </c>
      <c r="AA1580" s="1128" t="s">
        <v>3384</v>
      </c>
      <c r="AB1580" s="20"/>
      <c r="AC1580" s="73"/>
    </row>
    <row r="1581" spans="1:29">
      <c r="A1581" s="327" t="str">
        <f>IF(AND($B1581&lt;&gt;"",$C1581&lt;&gt;""),MAX($A$1556:A1580)+1,"")</f>
        <v/>
      </c>
      <c r="B1581" s="361" t="s">
        <v>1977</v>
      </c>
      <c r="C1581" s="360"/>
      <c r="D1581" s="327">
        <f>IF($B1581="","",COUNTIF($B$6:$B1581,$B1581))</f>
        <v>6</v>
      </c>
      <c r="E1581" s="399" t="s">
        <v>2669</v>
      </c>
      <c r="F1581" s="400" t="s">
        <v>2668</v>
      </c>
      <c r="G1581" s="327" t="s">
        <v>155</v>
      </c>
      <c r="H1581" s="327" t="s">
        <v>536</v>
      </c>
      <c r="I1581" s="327">
        <v>1</v>
      </c>
      <c r="J1581" s="345"/>
      <c r="K1581" s="327"/>
      <c r="L1581" s="389">
        <v>140000</v>
      </c>
      <c r="M1581" s="371"/>
      <c r="N1581" s="355" t="str">
        <f t="shared" si="201"/>
        <v>PK</v>
      </c>
      <c r="O1581" s="401" t="s">
        <v>2702</v>
      </c>
      <c r="P1581" s="392"/>
      <c r="Q1581" s="327"/>
      <c r="R1581" s="351"/>
      <c r="S1581" s="351"/>
      <c r="T1581" s="351"/>
      <c r="U1581" s="329" t="str">
        <f>IF($N1581=$N$4,IFERROR(INDEX(DanhMuc!$E$154:$E$165,MATCH(MID($B1581,4,2),DanhMuc!$B$154:$B$165,0)),""),"")</f>
        <v/>
      </c>
      <c r="V1581" s="361"/>
      <c r="W1581" s="345"/>
      <c r="X1581" s="329" t="str">
        <f t="shared" si="199"/>
        <v>3H</v>
      </c>
      <c r="Y1581" s="1128" t="s">
        <v>3380</v>
      </c>
      <c r="Z1581" s="1128" t="s">
        <v>3381</v>
      </c>
      <c r="AA1581" s="1128" t="s">
        <v>3384</v>
      </c>
      <c r="AB1581" s="20"/>
      <c r="AC1581" s="73"/>
    </row>
    <row r="1582" spans="1:29">
      <c r="A1582" s="327" t="str">
        <f>IF(AND($B1582&lt;&gt;"",$C1582&lt;&gt;""),MAX($A$1556:A1581)+1,"")</f>
        <v/>
      </c>
      <c r="B1582" s="361" t="s">
        <v>1977</v>
      </c>
      <c r="C1582" s="360"/>
      <c r="D1582" s="327">
        <f>IF($B1582="","",COUNTIF($B$6:$B1582,$B1582))</f>
        <v>7</v>
      </c>
      <c r="E1582" s="402" t="s">
        <v>2284</v>
      </c>
      <c r="F1582" s="403" t="s">
        <v>197</v>
      </c>
      <c r="G1582" s="327" t="s">
        <v>155</v>
      </c>
      <c r="H1582" s="327" t="s">
        <v>536</v>
      </c>
      <c r="I1582" s="327">
        <v>1</v>
      </c>
      <c r="J1582" s="345"/>
      <c r="K1582" s="327"/>
      <c r="L1582" s="389">
        <v>135000</v>
      </c>
      <c r="M1582" s="371"/>
      <c r="N1582" s="355" t="str">
        <f t="shared" si="201"/>
        <v>PK</v>
      </c>
      <c r="O1582" s="404" t="s">
        <v>1626</v>
      </c>
      <c r="P1582" s="392"/>
      <c r="Q1582" s="327"/>
      <c r="R1582" s="351"/>
      <c r="S1582" s="351"/>
      <c r="T1582" s="351"/>
      <c r="U1582" s="329" t="str">
        <f>IF($N1582=$N$4,IFERROR(INDEX(DanhMuc!$E$154:$E$165,MATCH(MID($B1582,4,2),DanhMuc!$B$154:$B$165,0)),""),"")</f>
        <v/>
      </c>
      <c r="V1582" s="361"/>
      <c r="W1582" s="345"/>
      <c r="X1582" s="329" t="str">
        <f t="shared" si="199"/>
        <v>3H</v>
      </c>
      <c r="Y1582" s="1128" t="s">
        <v>3380</v>
      </c>
      <c r="Z1582" s="1128" t="s">
        <v>3381</v>
      </c>
      <c r="AA1582" s="1128" t="s">
        <v>3384</v>
      </c>
      <c r="AB1582" s="20"/>
      <c r="AC1582" s="73"/>
    </row>
    <row r="1583" spans="1:29">
      <c r="A1583" s="327" t="str">
        <f>IF(AND($B1583&lt;&gt;"",$C1583&lt;&gt;""),MAX($A$1556:A1582)+1,"")</f>
        <v/>
      </c>
      <c r="B1583" s="361" t="s">
        <v>1977</v>
      </c>
      <c r="C1583" s="360"/>
      <c r="D1583" s="327">
        <f>IF($B1583="","",COUNTIF($B$6:$B1583,$B1583))</f>
        <v>8</v>
      </c>
      <c r="E1583" s="402" t="s">
        <v>20</v>
      </c>
      <c r="F1583" s="403" t="s">
        <v>79</v>
      </c>
      <c r="G1583" s="327" t="s">
        <v>155</v>
      </c>
      <c r="H1583" s="327" t="s">
        <v>536</v>
      </c>
      <c r="I1583" s="327">
        <v>1</v>
      </c>
      <c r="J1583" s="345"/>
      <c r="K1583" s="327"/>
      <c r="L1583" s="389">
        <v>185000</v>
      </c>
      <c r="M1583" s="371"/>
      <c r="N1583" s="355" t="str">
        <f t="shared" si="201"/>
        <v>PK</v>
      </c>
      <c r="O1583" s="404" t="s">
        <v>1623</v>
      </c>
      <c r="P1583" s="392"/>
      <c r="Q1583" s="327"/>
      <c r="R1583" s="351"/>
      <c r="S1583" s="351"/>
      <c r="T1583" s="351"/>
      <c r="U1583" s="329" t="str">
        <f>IF($N1583=$N$4,IFERROR(INDEX(DanhMuc!$E$154:$E$165,MATCH(MID($B1583,4,2),DanhMuc!$B$154:$B$165,0)),""),"")</f>
        <v/>
      </c>
      <c r="V1583" s="361"/>
      <c r="W1583" s="345"/>
      <c r="X1583" s="329" t="str">
        <f t="shared" si="199"/>
        <v>3H</v>
      </c>
      <c r="Y1583" s="1128" t="s">
        <v>3380</v>
      </c>
      <c r="Z1583" s="1128" t="s">
        <v>3381</v>
      </c>
      <c r="AA1583" s="1128" t="s">
        <v>3384</v>
      </c>
      <c r="AB1583" s="20"/>
      <c r="AC1583" s="73"/>
    </row>
    <row r="1584" spans="1:29">
      <c r="A1584" s="327" t="str">
        <f>IF(AND($B1584&lt;&gt;"",$C1584&lt;&gt;""),MAX($A$1556:A1583)+1,"")</f>
        <v/>
      </c>
      <c r="B1584" s="361" t="s">
        <v>1977</v>
      </c>
      <c r="C1584" s="360"/>
      <c r="D1584" s="327">
        <f>IF($B1584="","",COUNTIF($B$6:$B1584,$B1584))</f>
        <v>9</v>
      </c>
      <c r="E1584" s="361" t="s">
        <v>673</v>
      </c>
      <c r="F1584" s="362" t="s">
        <v>1075</v>
      </c>
      <c r="G1584" s="327" t="s">
        <v>155</v>
      </c>
      <c r="H1584" s="327" t="s">
        <v>536</v>
      </c>
      <c r="I1584" s="327">
        <v>2</v>
      </c>
      <c r="J1584" s="345"/>
      <c r="K1584" s="327"/>
      <c r="L1584" s="389">
        <v>17000</v>
      </c>
      <c r="M1584" s="371"/>
      <c r="N1584" s="355" t="str">
        <f t="shared" si="201"/>
        <v>PK</v>
      </c>
      <c r="O1584" s="404" t="s">
        <v>1623</v>
      </c>
      <c r="P1584" s="392"/>
      <c r="Q1584" s="327"/>
      <c r="R1584" s="351"/>
      <c r="S1584" s="351"/>
      <c r="T1584" s="351"/>
      <c r="U1584" s="329" t="str">
        <f>IF($N1584=$N$4,IFERROR(INDEX(DanhMuc!$E$154:$E$165,MATCH(MID($B1584,4,2),DanhMuc!$B$154:$B$165,0)),""),"")</f>
        <v/>
      </c>
      <c r="V1584" s="361"/>
      <c r="W1584" s="345"/>
      <c r="X1584" s="329" t="str">
        <f t="shared" si="199"/>
        <v>3H</v>
      </c>
      <c r="Y1584" s="1128" t="s">
        <v>3380</v>
      </c>
      <c r="Z1584" s="1128" t="s">
        <v>3381</v>
      </c>
      <c r="AA1584" s="1128" t="s">
        <v>3384</v>
      </c>
      <c r="AB1584" s="20"/>
      <c r="AC1584" s="73"/>
    </row>
    <row r="1585" spans="1:29">
      <c r="A1585" s="327" t="str">
        <f>IF(AND($B1585&lt;&gt;"",$C1585&lt;&gt;""),MAX($A$1556:A1584)+1,"")</f>
        <v/>
      </c>
      <c r="B1585" s="361" t="s">
        <v>1977</v>
      </c>
      <c r="C1585" s="360"/>
      <c r="D1585" s="327">
        <f>IF($B1585="","",COUNTIF($B$6:$B1585,$B1585))</f>
        <v>10</v>
      </c>
      <c r="E1585" s="402" t="s">
        <v>91</v>
      </c>
      <c r="F1585" s="403" t="s">
        <v>92</v>
      </c>
      <c r="G1585" s="327" t="s">
        <v>155</v>
      </c>
      <c r="H1585" s="327" t="s">
        <v>536</v>
      </c>
      <c r="I1585" s="327">
        <v>2</v>
      </c>
      <c r="J1585" s="345"/>
      <c r="K1585" s="327"/>
      <c r="L1585" s="389">
        <v>6500</v>
      </c>
      <c r="M1585" s="371"/>
      <c r="N1585" s="355" t="str">
        <f>+$N$1555</f>
        <v>PK</v>
      </c>
      <c r="O1585" s="404" t="s">
        <v>1623</v>
      </c>
      <c r="P1585" s="392"/>
      <c r="Q1585" s="327"/>
      <c r="R1585" s="351"/>
      <c r="S1585" s="351"/>
      <c r="T1585" s="351"/>
      <c r="U1585" s="329" t="str">
        <f>IF($N1585=$N$4,IFERROR(INDEX(DanhMuc!$E$154:$E$165,MATCH(MID($B1585,4,2),DanhMuc!$B$154:$B$165,0)),""),"")</f>
        <v/>
      </c>
      <c r="V1585" s="361"/>
      <c r="W1585" s="345"/>
      <c r="X1585" s="329" t="str">
        <f t="shared" si="199"/>
        <v>3H</v>
      </c>
      <c r="Y1585" s="1128" t="s">
        <v>3380</v>
      </c>
      <c r="Z1585" s="1128" t="s">
        <v>3381</v>
      </c>
      <c r="AA1585" s="1128" t="s">
        <v>3384</v>
      </c>
      <c r="AB1585" s="20"/>
      <c r="AC1585" s="73"/>
    </row>
    <row r="1586" spans="1:29" s="25" customFormat="1">
      <c r="A1586" s="327" t="str">
        <f>IF(AND($B1586&lt;&gt;"",$C1586&lt;&gt;""),MAX($A$1556:A1585)+1,"")</f>
        <v/>
      </c>
      <c r="B1586" s="361" t="s">
        <v>1977</v>
      </c>
      <c r="C1586" s="346"/>
      <c r="D1586" s="367">
        <f>IF($B1586="","",COUNTIF($B$6:$B1586,$B1586))</f>
        <v>11</v>
      </c>
      <c r="E1586" s="365" t="s">
        <v>327</v>
      </c>
      <c r="F1586" s="368" t="s">
        <v>345</v>
      </c>
      <c r="G1586" s="367" t="s">
        <v>690</v>
      </c>
      <c r="H1586" s="327" t="s">
        <v>536</v>
      </c>
      <c r="I1586" s="367">
        <v>1</v>
      </c>
      <c r="J1586" s="345" t="s">
        <v>634</v>
      </c>
      <c r="K1586" s="327"/>
      <c r="L1586" s="348">
        <f>+$S1586*$T1586*$L$37</f>
        <v>84651</v>
      </c>
      <c r="M1586" s="371"/>
      <c r="N1586" s="369" t="s">
        <v>150</v>
      </c>
      <c r="O1586" s="404" t="s">
        <v>1623</v>
      </c>
      <c r="P1586" s="392"/>
      <c r="Q1586" s="327"/>
      <c r="R1586" s="351">
        <v>2.5</v>
      </c>
      <c r="S1586" s="351">
        <v>5.8</v>
      </c>
      <c r="T1586" s="351">
        <v>0.13900000000000001</v>
      </c>
      <c r="U1586" s="329">
        <f>IF($N1586=$N$4,IFERROR(INDEX(DanhMuc!$E$154:$E$165,MATCH(MID($B1586,4,2),DanhMuc!$B$154:$B$165,0)),""),"")</f>
        <v>5800</v>
      </c>
      <c r="V1586" s="365"/>
      <c r="W1586" s="345"/>
      <c r="X1586" s="329" t="str">
        <f t="shared" si="199"/>
        <v>C459</v>
      </c>
      <c r="Y1586" s="1128" t="s">
        <v>3380</v>
      </c>
      <c r="Z1586" s="1128" t="s">
        <v>3381</v>
      </c>
      <c r="AA1586" s="1128" t="s">
        <v>3384</v>
      </c>
      <c r="AB1586" s="20"/>
      <c r="AC1586" s="73"/>
    </row>
    <row r="1587" spans="1:29">
      <c r="A1587" s="327" t="str">
        <f>IF(AND($B1587&lt;&gt;"",$C1587&lt;&gt;""),MAX($A$1556:A1586)+1,"")</f>
        <v/>
      </c>
      <c r="B1587" s="361" t="s">
        <v>1977</v>
      </c>
      <c r="C1587" s="360"/>
      <c r="D1587" s="327">
        <f>IF($B1587="","",COUNTIF($B$6:$B1587,$B1587))</f>
        <v>12</v>
      </c>
      <c r="E1587" s="361" t="s">
        <v>325</v>
      </c>
      <c r="F1587" s="362" t="s">
        <v>257</v>
      </c>
      <c r="G1587" s="327" t="s">
        <v>155</v>
      </c>
      <c r="H1587" s="327" t="s">
        <v>536</v>
      </c>
      <c r="I1587" s="327">
        <v>1</v>
      </c>
      <c r="J1587" s="361"/>
      <c r="K1587" s="327"/>
      <c r="L1587" s="389">
        <v>16000</v>
      </c>
      <c r="M1587" s="371"/>
      <c r="N1587" s="355" t="str">
        <f t="shared" ref="N1587:N1595" si="202">+$N$1555</f>
        <v>PK</v>
      </c>
      <c r="O1587" s="345"/>
      <c r="P1587" s="392"/>
      <c r="Q1587" s="327"/>
      <c r="R1587" s="351"/>
      <c r="S1587" s="351"/>
      <c r="T1587" s="351"/>
      <c r="U1587" s="329" t="str">
        <f>IF($N1587=$N$4,IFERROR(INDEX(DanhMuc!$E$154:$E$165,MATCH(MID($B1587,4,2),DanhMuc!$B$154:$B$165,0)),""),"")</f>
        <v/>
      </c>
      <c r="V1587" s="361"/>
      <c r="W1587" s="345"/>
      <c r="X1587" s="329" t="str">
        <f t="shared" si="199"/>
        <v>3H</v>
      </c>
      <c r="Y1587" s="1128" t="s">
        <v>3380</v>
      </c>
      <c r="Z1587" s="1128" t="s">
        <v>3381</v>
      </c>
      <c r="AA1587" s="1128" t="s">
        <v>3384</v>
      </c>
      <c r="AB1587" s="20"/>
      <c r="AC1587" s="73"/>
    </row>
    <row r="1588" spans="1:29" ht="25">
      <c r="A1588" s="327" t="str">
        <f>IF(AND($B1588&lt;&gt;"",$C1588&lt;&gt;""),MAX($A$1556:A1587)+1,"")</f>
        <v/>
      </c>
      <c r="B1588" s="361" t="s">
        <v>1977</v>
      </c>
      <c r="C1588" s="360"/>
      <c r="D1588" s="327">
        <f>IF($B1588="","",COUNTIF($B$6:$B1588,$B1588))</f>
        <v>13</v>
      </c>
      <c r="E1588" s="405" t="s">
        <v>674</v>
      </c>
      <c r="F1588" s="406" t="s">
        <v>676</v>
      </c>
      <c r="G1588" s="327" t="s">
        <v>155</v>
      </c>
      <c r="H1588" s="327"/>
      <c r="I1588" s="327">
        <v>3</v>
      </c>
      <c r="J1588" s="345"/>
      <c r="K1588" s="327"/>
      <c r="L1588" s="389">
        <v>155000</v>
      </c>
      <c r="M1588" s="371"/>
      <c r="N1588" s="355" t="str">
        <f t="shared" si="202"/>
        <v>PK</v>
      </c>
      <c r="O1588" s="407" t="s">
        <v>17</v>
      </c>
      <c r="P1588" s="392"/>
      <c r="Q1588" s="327"/>
      <c r="R1588" s="351"/>
      <c r="S1588" s="351"/>
      <c r="T1588" s="351"/>
      <c r="U1588" s="329" t="str">
        <f>IF($N1588=$N$4,IFERROR(INDEX(DanhMuc!$E$154:$E$165,MATCH(MID($B1588,4,2),DanhMuc!$B$154:$B$165,0)),""),"")</f>
        <v/>
      </c>
      <c r="V1588" s="408" t="s">
        <v>343</v>
      </c>
      <c r="W1588" s="345"/>
      <c r="X1588" s="329" t="str">
        <f t="shared" si="199"/>
        <v>3H</v>
      </c>
      <c r="Y1588" s="1128" t="s">
        <v>3380</v>
      </c>
      <c r="Z1588" s="1128" t="s">
        <v>3381</v>
      </c>
      <c r="AA1588" s="1128" t="s">
        <v>3384</v>
      </c>
      <c r="AB1588" s="20"/>
      <c r="AC1588" s="73"/>
    </row>
    <row r="1589" spans="1:29" ht="25">
      <c r="A1589" s="327" t="str">
        <f>IF(AND($B1589&lt;&gt;"",$C1589&lt;&gt;""),MAX($A$1556:A1588)+1,"")</f>
        <v/>
      </c>
      <c r="B1589" s="361" t="s">
        <v>1977</v>
      </c>
      <c r="C1589" s="360"/>
      <c r="D1589" s="327">
        <f>IF($B1589="","",COUNTIF($B$6:$B1589,$B1589))</f>
        <v>14</v>
      </c>
      <c r="E1589" s="405" t="s">
        <v>675</v>
      </c>
      <c r="F1589" s="406" t="s">
        <v>677</v>
      </c>
      <c r="G1589" s="327" t="s">
        <v>155</v>
      </c>
      <c r="H1589" s="327"/>
      <c r="I1589" s="327">
        <v>3</v>
      </c>
      <c r="J1589" s="345"/>
      <c r="K1589" s="327"/>
      <c r="L1589" s="389">
        <v>155000</v>
      </c>
      <c r="M1589" s="371"/>
      <c r="N1589" s="355" t="str">
        <f t="shared" si="202"/>
        <v>PK</v>
      </c>
      <c r="O1589" s="407" t="s">
        <v>17</v>
      </c>
      <c r="P1589" s="392"/>
      <c r="Q1589" s="327"/>
      <c r="R1589" s="351"/>
      <c r="S1589" s="351"/>
      <c r="T1589" s="351"/>
      <c r="U1589" s="329" t="str">
        <f>IF($N1589=$N$4,IFERROR(INDEX(DanhMuc!$E$154:$E$165,MATCH(MID($B1589,4,2),DanhMuc!$B$154:$B$165,0)),""),"")</f>
        <v/>
      </c>
      <c r="V1589" s="408" t="s">
        <v>343</v>
      </c>
      <c r="W1589" s="345"/>
      <c r="X1589" s="329" t="str">
        <f t="shared" si="199"/>
        <v>3H</v>
      </c>
      <c r="Y1589" s="1128" t="s">
        <v>3380</v>
      </c>
      <c r="Z1589" s="1128" t="s">
        <v>3381</v>
      </c>
      <c r="AA1589" s="1128" t="s">
        <v>3384</v>
      </c>
      <c r="AB1589" s="20"/>
      <c r="AC1589" s="73"/>
    </row>
    <row r="1590" spans="1:29">
      <c r="A1590" s="327" t="str">
        <f>IF(AND($B1590&lt;&gt;"",$C1590&lt;&gt;""),MAX($A$1556:A1588)+1,"")</f>
        <v/>
      </c>
      <c r="B1590" s="361" t="s">
        <v>1977</v>
      </c>
      <c r="C1590" s="360"/>
      <c r="D1590" s="327">
        <f>IF($B1590="","",COUNTIF($B$6:$B1590,$B1590))</f>
        <v>15</v>
      </c>
      <c r="E1590" s="405" t="s">
        <v>2322</v>
      </c>
      <c r="F1590" s="406" t="s">
        <v>2316</v>
      </c>
      <c r="G1590" s="327" t="s">
        <v>155</v>
      </c>
      <c r="H1590" s="327"/>
      <c r="I1590" s="327">
        <v>3</v>
      </c>
      <c r="J1590" s="345"/>
      <c r="K1590" s="327"/>
      <c r="L1590" s="389">
        <v>160000</v>
      </c>
      <c r="M1590" s="371"/>
      <c r="N1590" s="355" t="str">
        <f>+$N$1555</f>
        <v>PK</v>
      </c>
      <c r="O1590" s="407" t="s">
        <v>21</v>
      </c>
      <c r="P1590" s="392"/>
      <c r="Q1590" s="327"/>
      <c r="R1590" s="351"/>
      <c r="S1590" s="351"/>
      <c r="T1590" s="351"/>
      <c r="U1590" s="329" t="str">
        <f>IF($N1590=$N$4,IFERROR(INDEX(DanhMuc!$E$154:$E$165,MATCH(MID($B1590,4,2),DanhMuc!$B$154:$B$165,0)),""),"")</f>
        <v/>
      </c>
      <c r="V1590" s="408" t="s">
        <v>343</v>
      </c>
      <c r="W1590" s="345"/>
      <c r="X1590" s="329" t="str">
        <f t="shared" si="199"/>
        <v>3H</v>
      </c>
      <c r="Y1590" s="1128" t="s">
        <v>3380</v>
      </c>
      <c r="Z1590" s="1128" t="s">
        <v>3381</v>
      </c>
      <c r="AA1590" s="1128" t="s">
        <v>3384</v>
      </c>
      <c r="AB1590" s="20"/>
      <c r="AC1590" s="73"/>
    </row>
    <row r="1591" spans="1:29">
      <c r="A1591" s="327" t="str">
        <f>IF(AND($B1591&lt;&gt;"",$C1591&lt;&gt;""),MAX($A$1556:A1589)+1,"")</f>
        <v/>
      </c>
      <c r="B1591" s="361" t="s">
        <v>1977</v>
      </c>
      <c r="C1591" s="360"/>
      <c r="D1591" s="327">
        <f>IF($B1591="","",COUNTIF($B$6:$B1591,$B1591))</f>
        <v>16</v>
      </c>
      <c r="E1591" s="405" t="s">
        <v>2323</v>
      </c>
      <c r="F1591" s="406" t="s">
        <v>2317</v>
      </c>
      <c r="G1591" s="327" t="s">
        <v>155</v>
      </c>
      <c r="H1591" s="327"/>
      <c r="I1591" s="327">
        <v>3</v>
      </c>
      <c r="J1591" s="345"/>
      <c r="K1591" s="327"/>
      <c r="L1591" s="389">
        <v>160000</v>
      </c>
      <c r="M1591" s="371"/>
      <c r="N1591" s="355" t="str">
        <f>+$N$1555</f>
        <v>PK</v>
      </c>
      <c r="O1591" s="407" t="s">
        <v>21</v>
      </c>
      <c r="P1591" s="392"/>
      <c r="Q1591" s="327"/>
      <c r="R1591" s="351"/>
      <c r="S1591" s="351"/>
      <c r="T1591" s="351"/>
      <c r="U1591" s="329" t="str">
        <f>IF($N1591=$N$4,IFERROR(INDEX(DanhMuc!$E$154:$E$165,MATCH(MID($B1591,4,2),DanhMuc!$B$154:$B$165,0)),""),"")</f>
        <v/>
      </c>
      <c r="V1591" s="408" t="s">
        <v>343</v>
      </c>
      <c r="W1591" s="345"/>
      <c r="X1591" s="329" t="str">
        <f t="shared" si="199"/>
        <v>3H</v>
      </c>
      <c r="Y1591" s="1128" t="s">
        <v>3380</v>
      </c>
      <c r="Z1591" s="1128" t="s">
        <v>3381</v>
      </c>
      <c r="AA1591" s="1128" t="s">
        <v>3384</v>
      </c>
      <c r="AB1591" s="20"/>
      <c r="AC1591" s="73"/>
    </row>
    <row r="1592" spans="1:29">
      <c r="A1592" s="327" t="str">
        <f>IF(AND($B1592&lt;&gt;"",$C1592&lt;&gt;""),MAX($A$1556:A1591)+1,"")</f>
        <v/>
      </c>
      <c r="B1592" s="361" t="s">
        <v>1977</v>
      </c>
      <c r="C1592" s="360"/>
      <c r="D1592" s="327">
        <f>IF($B1592="","",COUNTIF($B$6:$B1592,$B1592))</f>
        <v>17</v>
      </c>
      <c r="E1592" s="405" t="s">
        <v>3875</v>
      </c>
      <c r="F1592" s="406" t="s">
        <v>3866</v>
      </c>
      <c r="G1592" s="327" t="s">
        <v>155</v>
      </c>
      <c r="H1592" s="327"/>
      <c r="I1592" s="327">
        <v>3</v>
      </c>
      <c r="J1592" s="345"/>
      <c r="K1592" s="327"/>
      <c r="L1592" s="389">
        <v>55000</v>
      </c>
      <c r="M1592" s="371"/>
      <c r="N1592" s="355" t="str">
        <f t="shared" ref="N1592:N1593" si="203">+$N$1555</f>
        <v>PK</v>
      </c>
      <c r="O1592" s="407" t="s">
        <v>442</v>
      </c>
      <c r="P1592" s="392"/>
      <c r="Q1592" s="327"/>
      <c r="R1592" s="351"/>
      <c r="S1592" s="351"/>
      <c r="T1592" s="351"/>
      <c r="U1592" s="329" t="str">
        <f>IF($N1592=$N$4,IFERROR(INDEX(DanhMuc!$E$154:$E$165,MATCH(MID($B1592,4,2),DanhMuc!$B$154:$B$165,0)),""),"")</f>
        <v/>
      </c>
      <c r="V1592" s="361"/>
      <c r="W1592" s="345"/>
      <c r="X1592" s="329" t="str">
        <f t="shared" si="199"/>
        <v>3H</v>
      </c>
      <c r="Y1592" s="1128" t="s">
        <v>3380</v>
      </c>
      <c r="Z1592" s="1128" t="s">
        <v>3381</v>
      </c>
      <c r="AA1592" s="1128" t="s">
        <v>3384</v>
      </c>
      <c r="AB1592" s="20"/>
      <c r="AC1592" s="73"/>
    </row>
    <row r="1593" spans="1:29">
      <c r="A1593" s="327" t="str">
        <f>IF(AND($B1593&lt;&gt;"",$C1593&lt;&gt;""),MAX($A$1556:A1592)+1,"")</f>
        <v/>
      </c>
      <c r="B1593" s="361" t="s">
        <v>1977</v>
      </c>
      <c r="C1593" s="360"/>
      <c r="D1593" s="327">
        <f>IF($B1593="","",COUNTIF($B$6:$B1593,$B1593))</f>
        <v>18</v>
      </c>
      <c r="E1593" s="405" t="s">
        <v>3876</v>
      </c>
      <c r="F1593" s="406" t="s">
        <v>3867</v>
      </c>
      <c r="G1593" s="327" t="s">
        <v>155</v>
      </c>
      <c r="H1593" s="327"/>
      <c r="I1593" s="327">
        <v>3</v>
      </c>
      <c r="J1593" s="345"/>
      <c r="K1593" s="327"/>
      <c r="L1593" s="389">
        <v>55000</v>
      </c>
      <c r="M1593" s="371"/>
      <c r="N1593" s="355" t="str">
        <f t="shared" si="203"/>
        <v>PK</v>
      </c>
      <c r="O1593" s="407" t="s">
        <v>442</v>
      </c>
      <c r="P1593" s="392"/>
      <c r="Q1593" s="327"/>
      <c r="R1593" s="351"/>
      <c r="S1593" s="351"/>
      <c r="T1593" s="351"/>
      <c r="U1593" s="329" t="str">
        <f>IF($N1593=$N$4,IFERROR(INDEX(DanhMuc!$E$154:$E$165,MATCH(MID($B1593,4,2),DanhMuc!$B$154:$B$165,0)),""),"")</f>
        <v/>
      </c>
      <c r="V1593" s="361"/>
      <c r="W1593" s="345"/>
      <c r="X1593" s="329" t="str">
        <f t="shared" si="199"/>
        <v>3H</v>
      </c>
      <c r="Y1593" s="1128" t="s">
        <v>3380</v>
      </c>
      <c r="Z1593" s="1128" t="s">
        <v>3381</v>
      </c>
      <c r="AA1593" s="1128" t="s">
        <v>3384</v>
      </c>
      <c r="AB1593" s="20"/>
      <c r="AC1593" s="73"/>
    </row>
    <row r="1594" spans="1:29">
      <c r="A1594" s="327" t="str">
        <f>IF(AND($B1594&lt;&gt;"",$C1594&lt;&gt;""),MAX($A$1556:A1589)+1,"")</f>
        <v/>
      </c>
      <c r="B1594" s="361" t="s">
        <v>1977</v>
      </c>
      <c r="C1594" s="360"/>
      <c r="D1594" s="327">
        <f>IF($B1594="","",COUNTIF($B$6:$B1594,$B1594))</f>
        <v>19</v>
      </c>
      <c r="E1594" s="402" t="s">
        <v>89</v>
      </c>
      <c r="F1594" s="362" t="s">
        <v>90</v>
      </c>
      <c r="G1594" s="327" t="s">
        <v>155</v>
      </c>
      <c r="H1594" s="327" t="s">
        <v>536</v>
      </c>
      <c r="I1594" s="327">
        <v>1</v>
      </c>
      <c r="J1594" s="345"/>
      <c r="K1594" s="327"/>
      <c r="L1594" s="389">
        <v>6500</v>
      </c>
      <c r="M1594" s="371"/>
      <c r="N1594" s="355" t="str">
        <f t="shared" si="202"/>
        <v>PK</v>
      </c>
      <c r="O1594" s="345"/>
      <c r="P1594" s="392"/>
      <c r="Q1594" s="327"/>
      <c r="R1594" s="351"/>
      <c r="S1594" s="351"/>
      <c r="T1594" s="351"/>
      <c r="U1594" s="329" t="str">
        <f>IF($N1594=$N$4,IFERROR(INDEX(DanhMuc!$E$154:$E$165,MATCH(MID($B1594,4,2),DanhMuc!$B$154:$B$165,0)),""),"")</f>
        <v/>
      </c>
      <c r="V1594" s="361"/>
      <c r="W1594" s="345"/>
      <c r="X1594" s="329" t="str">
        <f t="shared" si="199"/>
        <v>3H</v>
      </c>
      <c r="Y1594" s="1128" t="s">
        <v>3380</v>
      </c>
      <c r="Z1594" s="1128" t="s">
        <v>3381</v>
      </c>
      <c r="AA1594" s="1128" t="s">
        <v>3384</v>
      </c>
      <c r="AB1594" s="20"/>
      <c r="AC1594" s="73"/>
    </row>
    <row r="1595" spans="1:29" s="25" customFormat="1">
      <c r="A1595" s="327" t="str">
        <f>IF(AND($B1595&lt;&gt;"",$C1595&lt;&gt;""),MAX($A$1556:A1594)+1,"")</f>
        <v/>
      </c>
      <c r="B1595" s="361" t="s">
        <v>1977</v>
      </c>
      <c r="C1595" s="360"/>
      <c r="D1595" s="327">
        <f>IF($B1595="","",COUNTIF($B$6:$B1595,$B1595))</f>
        <v>20</v>
      </c>
      <c r="E1595" s="361" t="s">
        <v>2982</v>
      </c>
      <c r="F1595" s="362" t="s">
        <v>2981</v>
      </c>
      <c r="G1595" s="327" t="s">
        <v>344</v>
      </c>
      <c r="H1595" s="327"/>
      <c r="I1595" s="327">
        <v>2</v>
      </c>
      <c r="J1595" s="361"/>
      <c r="K1595" s="327"/>
      <c r="L1595" s="389">
        <v>60000</v>
      </c>
      <c r="M1595" s="371"/>
      <c r="N1595" s="355" t="str">
        <f t="shared" si="202"/>
        <v>PK</v>
      </c>
      <c r="O1595" s="345"/>
      <c r="P1595" s="392"/>
      <c r="Q1595" s="327"/>
      <c r="R1595" s="351"/>
      <c r="S1595" s="351"/>
      <c r="T1595" s="351"/>
      <c r="U1595" s="329" t="str">
        <f>IF($N1595=$N$4,IFERROR(INDEX(DanhMuc!$E$154:$E$165,MATCH(MID($B1595,4,2),DanhMuc!$B$154:$B$165,0)),""),"")</f>
        <v/>
      </c>
      <c r="V1595" s="365"/>
      <c r="W1595" s="345"/>
      <c r="X1595" s="329" t="str">
        <f t="shared" si="199"/>
        <v>3H</v>
      </c>
      <c r="Y1595" s="1128" t="s">
        <v>3380</v>
      </c>
      <c r="Z1595" s="1128" t="s">
        <v>3381</v>
      </c>
      <c r="AA1595" s="1128" t="s">
        <v>3384</v>
      </c>
      <c r="AB1595" s="20"/>
      <c r="AC1595" s="73"/>
    </row>
    <row r="1596" spans="1:29" s="25" customFormat="1">
      <c r="A1596" s="327" t="str">
        <f>IF(AND($B1596&lt;&gt;"",$C1596&lt;&gt;""),MAX($A$1556:A1595)+1,"")</f>
        <v/>
      </c>
      <c r="B1596" s="365" t="s">
        <v>1977</v>
      </c>
      <c r="C1596" s="346"/>
      <c r="D1596" s="367">
        <f>IF($B1596="","",COUNTIF($B$6:$B1596,$B1596))</f>
        <v>21</v>
      </c>
      <c r="E1596" s="365" t="s">
        <v>327</v>
      </c>
      <c r="F1596" s="368" t="s">
        <v>345</v>
      </c>
      <c r="G1596" s="367" t="s">
        <v>690</v>
      </c>
      <c r="H1596" s="327" t="s">
        <v>536</v>
      </c>
      <c r="I1596" s="367">
        <v>1</v>
      </c>
      <c r="J1596" s="345" t="s">
        <v>80</v>
      </c>
      <c r="K1596" s="327"/>
      <c r="L1596" s="348">
        <f>+$S1596*$T1596*$L$37</f>
        <v>84651</v>
      </c>
      <c r="M1596" s="371"/>
      <c r="N1596" s="369" t="s">
        <v>150</v>
      </c>
      <c r="O1596" s="345"/>
      <c r="P1596" s="392"/>
      <c r="Q1596" s="327"/>
      <c r="R1596" s="351">
        <v>2.5</v>
      </c>
      <c r="S1596" s="351">
        <v>5.8</v>
      </c>
      <c r="T1596" s="351">
        <v>0.13900000000000001</v>
      </c>
      <c r="U1596" s="329">
        <f>IF($N1596=$N$4,IFERROR(INDEX(DanhMuc!$E$154:$E$165,MATCH(MID($B1596,4,2),DanhMuc!$B$154:$B$165,0)),""),"")</f>
        <v>5800</v>
      </c>
      <c r="V1596" s="365"/>
      <c r="W1596" s="345"/>
      <c r="X1596" s="329" t="str">
        <f t="shared" si="199"/>
        <v>C459</v>
      </c>
      <c r="Y1596" s="1128" t="s">
        <v>3380</v>
      </c>
      <c r="Z1596" s="1128" t="s">
        <v>3381</v>
      </c>
      <c r="AA1596" s="1128" t="s">
        <v>3384</v>
      </c>
      <c r="AB1596" s="20"/>
      <c r="AC1596" s="73"/>
    </row>
    <row r="1597" spans="1:29">
      <c r="A1597" s="327" t="str">
        <f>IF(AND($B1597&lt;&gt;"",$C1597&lt;&gt;""),MAX($A$1556:A1596)+1,"")</f>
        <v/>
      </c>
      <c r="B1597" s="361" t="s">
        <v>1977</v>
      </c>
      <c r="C1597" s="360"/>
      <c r="D1597" s="327">
        <f>IF($B1597="","",COUNTIF($B$6:$B1597,$B1597))</f>
        <v>22</v>
      </c>
      <c r="E1597" s="361" t="s">
        <v>678</v>
      </c>
      <c r="F1597" s="362" t="s">
        <v>711</v>
      </c>
      <c r="G1597" s="327" t="s">
        <v>155</v>
      </c>
      <c r="H1597" s="327"/>
      <c r="I1597" s="327">
        <v>1</v>
      </c>
      <c r="J1597" s="361"/>
      <c r="K1597" s="327"/>
      <c r="L1597" s="389">
        <v>1250</v>
      </c>
      <c r="M1597" s="371"/>
      <c r="N1597" s="355" t="str">
        <f t="shared" ref="N1597:N1635" si="204">+$N$1555</f>
        <v>PK</v>
      </c>
      <c r="O1597" s="345"/>
      <c r="P1597" s="392"/>
      <c r="Q1597" s="327"/>
      <c r="R1597" s="351"/>
      <c r="S1597" s="351"/>
      <c r="T1597" s="351"/>
      <c r="U1597" s="329" t="str">
        <f>IF($N1597=$N$4,IFERROR(INDEX(DanhMuc!$E$154:$E$165,MATCH(MID($B1597,4,2),DanhMuc!$B$154:$B$165,0)),""),"")</f>
        <v/>
      </c>
      <c r="V1597" s="361"/>
      <c r="W1597" s="345"/>
      <c r="X1597" s="329" t="str">
        <f t="shared" si="199"/>
        <v>3H</v>
      </c>
      <c r="Y1597" s="1128" t="s">
        <v>3380</v>
      </c>
      <c r="Z1597" s="1128" t="s">
        <v>3381</v>
      </c>
      <c r="AA1597" s="1128" t="s">
        <v>3384</v>
      </c>
      <c r="AB1597" s="20"/>
      <c r="AC1597" s="73"/>
    </row>
    <row r="1598" spans="1:29">
      <c r="A1598" s="327" t="str">
        <f>IF(AND($B1598&lt;&gt;"",$C1598&lt;&gt;""),MAX($A$1556:A1597)+1,"")</f>
        <v/>
      </c>
      <c r="B1598" s="361" t="s">
        <v>1977</v>
      </c>
      <c r="C1598" s="360"/>
      <c r="D1598" s="327">
        <f>IF($B1598="","",COUNTIF($B$6:$B1598,$B1598))</f>
        <v>23</v>
      </c>
      <c r="E1598" s="361" t="s">
        <v>679</v>
      </c>
      <c r="F1598" s="362" t="s">
        <v>712</v>
      </c>
      <c r="G1598" s="327" t="s">
        <v>155</v>
      </c>
      <c r="H1598" s="327"/>
      <c r="I1598" s="327">
        <v>1</v>
      </c>
      <c r="J1598" s="361"/>
      <c r="K1598" s="327"/>
      <c r="L1598" s="389">
        <v>1250</v>
      </c>
      <c r="M1598" s="371"/>
      <c r="N1598" s="355" t="str">
        <f t="shared" si="204"/>
        <v>PK</v>
      </c>
      <c r="O1598" s="345"/>
      <c r="P1598" s="392"/>
      <c r="Q1598" s="327"/>
      <c r="R1598" s="351"/>
      <c r="S1598" s="351"/>
      <c r="T1598" s="351"/>
      <c r="U1598" s="329" t="str">
        <f>IF($N1598=$N$4,IFERROR(INDEX(DanhMuc!$E$154:$E$165,MATCH(MID($B1598,4,2),DanhMuc!$B$154:$B$165,0)),""),"")</f>
        <v/>
      </c>
      <c r="V1598" s="361"/>
      <c r="W1598" s="345"/>
      <c r="X1598" s="329" t="str">
        <f t="shared" si="199"/>
        <v>3H</v>
      </c>
      <c r="Y1598" s="1128" t="s">
        <v>3380</v>
      </c>
      <c r="Z1598" s="1128" t="s">
        <v>3381</v>
      </c>
      <c r="AA1598" s="1128" t="s">
        <v>3384</v>
      </c>
      <c r="AB1598" s="20"/>
      <c r="AC1598" s="73"/>
    </row>
    <row r="1599" spans="1:29">
      <c r="A1599" s="327" t="str">
        <f>IF(AND($B1599&lt;&gt;"",$C1599&lt;&gt;""),MAX($A$1556:A1597)+1,"")</f>
        <v/>
      </c>
      <c r="B1599" s="361" t="s">
        <v>1977</v>
      </c>
      <c r="C1599" s="360"/>
      <c r="D1599" s="327">
        <f>IF($B1599="","",COUNTIF($B$6:$B1599,$B1599))</f>
        <v>24</v>
      </c>
      <c r="E1599" s="361" t="s">
        <v>986</v>
      </c>
      <c r="F1599" s="362" t="s">
        <v>985</v>
      </c>
      <c r="G1599" s="327" t="s">
        <v>297</v>
      </c>
      <c r="H1599" s="327"/>
      <c r="I1599" s="327">
        <v>2</v>
      </c>
      <c r="J1599" s="345"/>
      <c r="K1599" s="327"/>
      <c r="L1599" s="389">
        <v>2450</v>
      </c>
      <c r="M1599" s="371"/>
      <c r="N1599" s="355" t="str">
        <f>+$N$1555</f>
        <v>PK</v>
      </c>
      <c r="O1599" s="347" t="s">
        <v>1475</v>
      </c>
      <c r="P1599" s="392"/>
      <c r="Q1599" s="327"/>
      <c r="R1599" s="351"/>
      <c r="S1599" s="351"/>
      <c r="T1599" s="351"/>
      <c r="U1599" s="329" t="str">
        <f>IF($N1599=$N$4,IFERROR(INDEX(DanhMuc!$E$154:$E$165,MATCH(MID($B1599,4,2),DanhMuc!$B$154:$B$165,0)),""),"")</f>
        <v/>
      </c>
      <c r="V1599" s="408" t="s">
        <v>343</v>
      </c>
      <c r="W1599" s="345"/>
      <c r="X1599" s="329" t="str">
        <f t="shared" si="199"/>
        <v>3H</v>
      </c>
      <c r="Y1599" s="1128" t="s">
        <v>3380</v>
      </c>
      <c r="Z1599" s="1128" t="s">
        <v>3381</v>
      </c>
      <c r="AA1599" s="1128" t="s">
        <v>3384</v>
      </c>
      <c r="AB1599" s="20"/>
      <c r="AC1599" s="73"/>
    </row>
    <row r="1600" spans="1:29" ht="26">
      <c r="A1600" s="327">
        <f>IF(AND($B1600&lt;&gt;"",$C1600&lt;&gt;""),MAX($A$1556:A1566)+1,"")</f>
        <v>2</v>
      </c>
      <c r="B1600" s="359" t="s">
        <v>1978</v>
      </c>
      <c r="C1600" s="360" t="s">
        <v>1529</v>
      </c>
      <c r="D1600" s="327">
        <f>IF($B1600="","",COUNTIF($B$6:$B1600,$B1600))</f>
        <v>1</v>
      </c>
      <c r="E1600" s="361" t="s">
        <v>87</v>
      </c>
      <c r="F1600" s="362" t="s">
        <v>196</v>
      </c>
      <c r="G1600" s="327" t="s">
        <v>344</v>
      </c>
      <c r="H1600" s="327"/>
      <c r="I1600" s="327">
        <v>1</v>
      </c>
      <c r="J1600" s="361"/>
      <c r="K1600" s="327"/>
      <c r="L1600" s="389">
        <v>135000</v>
      </c>
      <c r="M1600" s="371"/>
      <c r="N1600" s="355" t="str">
        <f t="shared" si="204"/>
        <v>PK</v>
      </c>
      <c r="O1600" s="345"/>
      <c r="P1600" s="392"/>
      <c r="Q1600" s="327"/>
      <c r="R1600" s="351"/>
      <c r="S1600" s="351"/>
      <c r="T1600" s="351"/>
      <c r="U1600" s="329" t="str">
        <f>IF($N1600=$N$4,IFERROR(INDEX(DanhMuc!$E$154:$E$165,MATCH(MID($B1600,4,2),DanhMuc!$B$154:$B$165,0)),""),"")</f>
        <v/>
      </c>
      <c r="V1600" s="361"/>
      <c r="W1600" s="345"/>
      <c r="X1600" s="329" t="str">
        <f t="shared" si="199"/>
        <v>3H</v>
      </c>
      <c r="Y1600" s="1128" t="s">
        <v>3380</v>
      </c>
      <c r="Z1600" s="1128" t="s">
        <v>3381</v>
      </c>
      <c r="AA1600" s="1128" t="s">
        <v>3384</v>
      </c>
      <c r="AB1600" s="20"/>
      <c r="AC1600" s="73"/>
    </row>
    <row r="1601" spans="1:29">
      <c r="A1601" s="327" t="str">
        <f>IF(AND($B1601&lt;&gt;"",$C1601&lt;&gt;""),MAX($A$1556:A1600)+1,"")</f>
        <v/>
      </c>
      <c r="B1601" s="361" t="s">
        <v>1978</v>
      </c>
      <c r="C1601" s="360"/>
      <c r="D1601" s="327">
        <f>IF($B1601="","",COUNTIF($B$6:$B1601,$B1601))</f>
        <v>2</v>
      </c>
      <c r="E1601" s="399" t="s">
        <v>22</v>
      </c>
      <c r="F1601" s="400" t="s">
        <v>323</v>
      </c>
      <c r="G1601" s="327" t="s">
        <v>155</v>
      </c>
      <c r="H1601" s="327" t="s">
        <v>536</v>
      </c>
      <c r="I1601" s="327">
        <v>1</v>
      </c>
      <c r="J1601" s="345"/>
      <c r="K1601" s="327"/>
      <c r="L1601" s="389">
        <v>140000</v>
      </c>
      <c r="M1601" s="371"/>
      <c r="N1601" s="355" t="str">
        <f t="shared" si="204"/>
        <v>PK</v>
      </c>
      <c r="O1601" s="345" t="s">
        <v>1060</v>
      </c>
      <c r="P1601" s="392"/>
      <c r="Q1601" s="327"/>
      <c r="R1601" s="351"/>
      <c r="S1601" s="351"/>
      <c r="T1601" s="351"/>
      <c r="U1601" s="329" t="str">
        <f>IF($N1601=$N$4,IFERROR(INDEX(DanhMuc!$E$154:$E$165,MATCH(MID($B1601,4,2),DanhMuc!$B$154:$B$165,0)),""),"")</f>
        <v/>
      </c>
      <c r="V1601" s="361"/>
      <c r="W1601" s="345"/>
      <c r="X1601" s="329" t="str">
        <f t="shared" si="199"/>
        <v>3H</v>
      </c>
      <c r="Y1601" s="1128" t="s">
        <v>3380</v>
      </c>
      <c r="Z1601" s="1128" t="s">
        <v>3381</v>
      </c>
      <c r="AA1601" s="1128" t="s">
        <v>3384</v>
      </c>
      <c r="AB1601" s="20"/>
      <c r="AC1601" s="73"/>
    </row>
    <row r="1602" spans="1:29">
      <c r="A1602" s="327" t="str">
        <f>IF(AND($B1602&lt;&gt;"",$C1602&lt;&gt;""),MAX($A$1556:A1601)+1,"")</f>
        <v/>
      </c>
      <c r="B1602" s="361" t="s">
        <v>1978</v>
      </c>
      <c r="C1602" s="360"/>
      <c r="D1602" s="327">
        <f>IF($B1602="","",COUNTIF($B$6:$B1602,$B1602))</f>
        <v>3</v>
      </c>
      <c r="E1602" s="399" t="s">
        <v>339</v>
      </c>
      <c r="F1602" s="400" t="s">
        <v>340</v>
      </c>
      <c r="G1602" s="327" t="s">
        <v>155</v>
      </c>
      <c r="H1602" s="327" t="s">
        <v>536</v>
      </c>
      <c r="I1602" s="327">
        <v>1</v>
      </c>
      <c r="J1602" s="345"/>
      <c r="K1602" s="327"/>
      <c r="L1602" s="389">
        <v>140000</v>
      </c>
      <c r="M1602" s="371"/>
      <c r="N1602" s="355" t="str">
        <f t="shared" si="204"/>
        <v>PK</v>
      </c>
      <c r="O1602" s="401" t="s">
        <v>2705</v>
      </c>
      <c r="P1602" s="392"/>
      <c r="Q1602" s="327"/>
      <c r="R1602" s="351"/>
      <c r="S1602" s="351"/>
      <c r="T1602" s="351"/>
      <c r="U1602" s="329" t="str">
        <f>IF($N1602=$N$4,IFERROR(INDEX(DanhMuc!$E$154:$E$165,MATCH(MID($B1602,4,2),DanhMuc!$B$154:$B$165,0)),""),"")</f>
        <v/>
      </c>
      <c r="V1602" s="361"/>
      <c r="W1602" s="345"/>
      <c r="X1602" s="329" t="str">
        <f t="shared" si="199"/>
        <v>3H</v>
      </c>
      <c r="Y1602" s="1128" t="s">
        <v>3380</v>
      </c>
      <c r="Z1602" s="1128" t="s">
        <v>3381</v>
      </c>
      <c r="AA1602" s="1128" t="s">
        <v>3384</v>
      </c>
      <c r="AB1602" s="20"/>
      <c r="AC1602" s="73"/>
    </row>
    <row r="1603" spans="1:29">
      <c r="A1603" s="327" t="str">
        <f>IF(AND($B1603&lt;&gt;"",$C1603&lt;&gt;""),MAX($A$1556:A1602)+1,"")</f>
        <v/>
      </c>
      <c r="B1603" s="361" t="s">
        <v>1978</v>
      </c>
      <c r="C1603" s="360"/>
      <c r="D1603" s="327">
        <f>IF($B1603="","",COUNTIF($B$6:$B1603,$B1603))</f>
        <v>4</v>
      </c>
      <c r="E1603" s="399" t="s">
        <v>2285</v>
      </c>
      <c r="F1603" s="400" t="s">
        <v>341</v>
      </c>
      <c r="G1603" s="327" t="s">
        <v>155</v>
      </c>
      <c r="H1603" s="327" t="s">
        <v>536</v>
      </c>
      <c r="I1603" s="327">
        <v>1</v>
      </c>
      <c r="J1603" s="345"/>
      <c r="K1603" s="327"/>
      <c r="L1603" s="389">
        <v>140000</v>
      </c>
      <c r="M1603" s="371"/>
      <c r="N1603" s="355" t="str">
        <f t="shared" si="204"/>
        <v>PK</v>
      </c>
      <c r="O1603" s="401" t="s">
        <v>2706</v>
      </c>
      <c r="P1603" s="392"/>
      <c r="Q1603" s="327"/>
      <c r="R1603" s="351"/>
      <c r="S1603" s="351"/>
      <c r="T1603" s="351"/>
      <c r="U1603" s="329" t="str">
        <f>IF($N1603=$N$4,IFERROR(INDEX(DanhMuc!$E$154:$E$165,MATCH(MID($B1603,4,2),DanhMuc!$B$154:$B$165,0)),""),"")</f>
        <v/>
      </c>
      <c r="V1603" s="361"/>
      <c r="W1603" s="345"/>
      <c r="X1603" s="329" t="str">
        <f t="shared" si="199"/>
        <v>3H</v>
      </c>
      <c r="Y1603" s="1128" t="s">
        <v>3380</v>
      </c>
      <c r="Z1603" s="1128" t="s">
        <v>3381</v>
      </c>
      <c r="AA1603" s="1128" t="s">
        <v>3384</v>
      </c>
      <c r="AB1603" s="20"/>
      <c r="AC1603" s="73"/>
    </row>
    <row r="1604" spans="1:29">
      <c r="A1604" s="327" t="str">
        <f>IF(AND($B1604&lt;&gt;"",$C1604&lt;&gt;""),MAX($A$1556:A1603)+1,"")</f>
        <v/>
      </c>
      <c r="B1604" s="361" t="s">
        <v>1978</v>
      </c>
      <c r="C1604" s="360"/>
      <c r="D1604" s="327">
        <f>IF($B1604="","",COUNTIF($B$6:$B1604,$B1604))</f>
        <v>5</v>
      </c>
      <c r="E1604" s="399" t="s">
        <v>2539</v>
      </c>
      <c r="F1604" s="400" t="s">
        <v>2540</v>
      </c>
      <c r="G1604" s="327" t="s">
        <v>155</v>
      </c>
      <c r="H1604" s="327" t="s">
        <v>536</v>
      </c>
      <c r="I1604" s="327">
        <v>1</v>
      </c>
      <c r="J1604" s="345"/>
      <c r="K1604" s="327"/>
      <c r="L1604" s="389">
        <v>140000</v>
      </c>
      <c r="M1604" s="371"/>
      <c r="N1604" s="355" t="str">
        <f t="shared" si="204"/>
        <v>PK</v>
      </c>
      <c r="O1604" s="401" t="s">
        <v>2701</v>
      </c>
      <c r="P1604" s="392"/>
      <c r="Q1604" s="327"/>
      <c r="R1604" s="351"/>
      <c r="S1604" s="351"/>
      <c r="T1604" s="351"/>
      <c r="U1604" s="329" t="str">
        <f>IF($N1604=$N$4,IFERROR(INDEX(DanhMuc!$E$154:$E$165,MATCH(MID($B1604,4,2),DanhMuc!$B$154:$B$165,0)),""),"")</f>
        <v/>
      </c>
      <c r="V1604" s="361"/>
      <c r="W1604" s="345"/>
      <c r="X1604" s="329" t="str">
        <f t="shared" si="199"/>
        <v>3H</v>
      </c>
      <c r="Y1604" s="1128" t="s">
        <v>3380</v>
      </c>
      <c r="Z1604" s="1128" t="s">
        <v>3381</v>
      </c>
      <c r="AA1604" s="1128" t="s">
        <v>3384</v>
      </c>
      <c r="AB1604" s="20"/>
      <c r="AC1604" s="73"/>
    </row>
    <row r="1605" spans="1:29">
      <c r="A1605" s="327" t="str">
        <f>IF(AND($B1605&lt;&gt;"",$C1605&lt;&gt;""),MAX($A$1556:A1604)+1,"")</f>
        <v/>
      </c>
      <c r="B1605" s="361" t="s">
        <v>1978</v>
      </c>
      <c r="C1605" s="360"/>
      <c r="D1605" s="327">
        <f>IF($B1605="","",COUNTIF($B$6:$B1605,$B1605))</f>
        <v>6</v>
      </c>
      <c r="E1605" s="399" t="s">
        <v>2669</v>
      </c>
      <c r="F1605" s="400" t="s">
        <v>2668</v>
      </c>
      <c r="G1605" s="327" t="s">
        <v>155</v>
      </c>
      <c r="H1605" s="327" t="s">
        <v>536</v>
      </c>
      <c r="I1605" s="327">
        <v>1</v>
      </c>
      <c r="J1605" s="345"/>
      <c r="K1605" s="327"/>
      <c r="L1605" s="389">
        <v>140000</v>
      </c>
      <c r="M1605" s="371"/>
      <c r="N1605" s="355" t="str">
        <f t="shared" si="204"/>
        <v>PK</v>
      </c>
      <c r="O1605" s="401" t="s">
        <v>2702</v>
      </c>
      <c r="P1605" s="392"/>
      <c r="Q1605" s="327"/>
      <c r="R1605" s="351"/>
      <c r="S1605" s="351"/>
      <c r="T1605" s="351"/>
      <c r="U1605" s="329" t="str">
        <f>IF($N1605=$N$4,IFERROR(INDEX(DanhMuc!$E$154:$E$165,MATCH(MID($B1605,4,2),DanhMuc!$B$154:$B$165,0)),""),"")</f>
        <v/>
      </c>
      <c r="V1605" s="361"/>
      <c r="W1605" s="345"/>
      <c r="X1605" s="329" t="str">
        <f t="shared" si="199"/>
        <v>3H</v>
      </c>
      <c r="Y1605" s="1128" t="s">
        <v>3380</v>
      </c>
      <c r="Z1605" s="1128" t="s">
        <v>3381</v>
      </c>
      <c r="AA1605" s="1128" t="s">
        <v>3384</v>
      </c>
      <c r="AB1605" s="20"/>
      <c r="AC1605" s="73"/>
    </row>
    <row r="1606" spans="1:29">
      <c r="A1606" s="327" t="str">
        <f>IF(AND($B1606&lt;&gt;"",$C1606&lt;&gt;""),MAX($A$1556:A1605)+1,"")</f>
        <v/>
      </c>
      <c r="B1606" s="361" t="s">
        <v>1978</v>
      </c>
      <c r="C1606" s="360"/>
      <c r="D1606" s="327">
        <f>IF($B1606="","",COUNTIF($B$6:$B1606,$B1606))</f>
        <v>7</v>
      </c>
      <c r="E1606" s="402" t="s">
        <v>2284</v>
      </c>
      <c r="F1606" s="403" t="s">
        <v>197</v>
      </c>
      <c r="G1606" s="327" t="s">
        <v>155</v>
      </c>
      <c r="H1606" s="327" t="s">
        <v>536</v>
      </c>
      <c r="I1606" s="327">
        <v>1</v>
      </c>
      <c r="J1606" s="345"/>
      <c r="K1606" s="327"/>
      <c r="L1606" s="389">
        <v>135000</v>
      </c>
      <c r="M1606" s="371"/>
      <c r="N1606" s="355" t="str">
        <f t="shared" si="204"/>
        <v>PK</v>
      </c>
      <c r="O1606" s="404" t="s">
        <v>1626</v>
      </c>
      <c r="P1606" s="392"/>
      <c r="Q1606" s="327"/>
      <c r="R1606" s="351"/>
      <c r="S1606" s="351"/>
      <c r="T1606" s="351"/>
      <c r="U1606" s="329" t="str">
        <f>IF($N1606=$N$4,IFERROR(INDEX(DanhMuc!$E$154:$E$165,MATCH(MID($B1606,4,2),DanhMuc!$B$154:$B$165,0)),""),"")</f>
        <v/>
      </c>
      <c r="V1606" s="361"/>
      <c r="W1606" s="345"/>
      <c r="X1606" s="329" t="str">
        <f t="shared" si="199"/>
        <v>3H</v>
      </c>
      <c r="Y1606" s="1128" t="s">
        <v>3380</v>
      </c>
      <c r="Z1606" s="1128" t="s">
        <v>3381</v>
      </c>
      <c r="AA1606" s="1128" t="s">
        <v>3384</v>
      </c>
      <c r="AB1606" s="20"/>
      <c r="AC1606" s="73"/>
    </row>
    <row r="1607" spans="1:29">
      <c r="A1607" s="327" t="str">
        <f>IF(AND($B1607&lt;&gt;"",$C1607&lt;&gt;""),MAX($A$1556:A1606)+1,"")</f>
        <v/>
      </c>
      <c r="B1607" s="361" t="s">
        <v>1978</v>
      </c>
      <c r="C1607" s="360"/>
      <c r="D1607" s="327">
        <f>IF($B1607="","",COUNTIF($B$6:$B1607,$B1607))</f>
        <v>8</v>
      </c>
      <c r="E1607" s="402" t="s">
        <v>20</v>
      </c>
      <c r="F1607" s="403" t="s">
        <v>79</v>
      </c>
      <c r="G1607" s="327" t="s">
        <v>155</v>
      </c>
      <c r="H1607" s="327" t="s">
        <v>536</v>
      </c>
      <c r="I1607" s="327">
        <v>1</v>
      </c>
      <c r="J1607" s="345"/>
      <c r="K1607" s="327"/>
      <c r="L1607" s="389">
        <v>185000</v>
      </c>
      <c r="M1607" s="371"/>
      <c r="N1607" s="355" t="str">
        <f t="shared" si="204"/>
        <v>PK</v>
      </c>
      <c r="O1607" s="404" t="s">
        <v>1623</v>
      </c>
      <c r="P1607" s="392"/>
      <c r="Q1607" s="327"/>
      <c r="R1607" s="351"/>
      <c r="S1607" s="351"/>
      <c r="T1607" s="351"/>
      <c r="U1607" s="329" t="str">
        <f>IF($N1607=$N$4,IFERROR(INDEX(DanhMuc!$E$154:$E$165,MATCH(MID($B1607,4,2),DanhMuc!$B$154:$B$165,0)),""),"")</f>
        <v/>
      </c>
      <c r="V1607" s="361"/>
      <c r="W1607" s="345"/>
      <c r="X1607" s="329" t="str">
        <f t="shared" si="199"/>
        <v>3H</v>
      </c>
      <c r="Y1607" s="1128" t="s">
        <v>3380</v>
      </c>
      <c r="Z1607" s="1128" t="s">
        <v>3381</v>
      </c>
      <c r="AA1607" s="1128" t="s">
        <v>3384</v>
      </c>
      <c r="AB1607" s="20"/>
      <c r="AC1607" s="73"/>
    </row>
    <row r="1608" spans="1:29">
      <c r="A1608" s="327" t="str">
        <f>IF(AND($B1608&lt;&gt;"",$C1608&lt;&gt;""),MAX($A$1556:A1607)+1,"")</f>
        <v/>
      </c>
      <c r="B1608" s="361" t="s">
        <v>1978</v>
      </c>
      <c r="C1608" s="360"/>
      <c r="D1608" s="327">
        <f>IF($B1608="","",COUNTIF($B$6:$B1608,$B1608))</f>
        <v>9</v>
      </c>
      <c r="E1608" s="361" t="s">
        <v>673</v>
      </c>
      <c r="F1608" s="362" t="s">
        <v>1075</v>
      </c>
      <c r="G1608" s="327" t="s">
        <v>155</v>
      </c>
      <c r="H1608" s="327" t="s">
        <v>536</v>
      </c>
      <c r="I1608" s="327">
        <v>2</v>
      </c>
      <c r="J1608" s="345"/>
      <c r="K1608" s="327"/>
      <c r="L1608" s="389">
        <v>17000</v>
      </c>
      <c r="M1608" s="371"/>
      <c r="N1608" s="355" t="str">
        <f t="shared" si="204"/>
        <v>PK</v>
      </c>
      <c r="O1608" s="404" t="s">
        <v>1623</v>
      </c>
      <c r="P1608" s="392"/>
      <c r="Q1608" s="327"/>
      <c r="R1608" s="351"/>
      <c r="S1608" s="351"/>
      <c r="T1608" s="351"/>
      <c r="U1608" s="329" t="str">
        <f>IF($N1608=$N$4,IFERROR(INDEX(DanhMuc!$E$154:$E$165,MATCH(MID($B1608,4,2),DanhMuc!$B$154:$B$165,0)),""),"")</f>
        <v/>
      </c>
      <c r="V1608" s="361"/>
      <c r="W1608" s="345"/>
      <c r="X1608" s="329" t="str">
        <f t="shared" si="199"/>
        <v>3H</v>
      </c>
      <c r="Y1608" s="1128" t="s">
        <v>3380</v>
      </c>
      <c r="Z1608" s="1128" t="s">
        <v>3381</v>
      </c>
      <c r="AA1608" s="1128" t="s">
        <v>3384</v>
      </c>
      <c r="AB1608" s="20"/>
      <c r="AC1608" s="73"/>
    </row>
    <row r="1609" spans="1:29">
      <c r="A1609" s="327" t="str">
        <f>IF(AND($B1609&lt;&gt;"",$C1609&lt;&gt;""),MAX($A$1556:A1608)+1,"")</f>
        <v/>
      </c>
      <c r="B1609" s="361" t="s">
        <v>1978</v>
      </c>
      <c r="C1609" s="360"/>
      <c r="D1609" s="327">
        <f>IF($B1609="","",COUNTIF($B$6:$B1609,$B1609))</f>
        <v>10</v>
      </c>
      <c r="E1609" s="402" t="s">
        <v>91</v>
      </c>
      <c r="F1609" s="403" t="s">
        <v>92</v>
      </c>
      <c r="G1609" s="327" t="s">
        <v>155</v>
      </c>
      <c r="H1609" s="327" t="s">
        <v>536</v>
      </c>
      <c r="I1609" s="327">
        <v>2</v>
      </c>
      <c r="J1609" s="345"/>
      <c r="K1609" s="327"/>
      <c r="L1609" s="389">
        <v>6500</v>
      </c>
      <c r="M1609" s="371"/>
      <c r="N1609" s="355" t="str">
        <f>+$N$1555</f>
        <v>PK</v>
      </c>
      <c r="O1609" s="404" t="s">
        <v>1623</v>
      </c>
      <c r="P1609" s="392"/>
      <c r="Q1609" s="327"/>
      <c r="R1609" s="351"/>
      <c r="S1609" s="351"/>
      <c r="T1609" s="351"/>
      <c r="U1609" s="329" t="str">
        <f>IF($N1609=$N$4,IFERROR(INDEX(DanhMuc!$E$154:$E$165,MATCH(MID($B1609,4,2),DanhMuc!$B$154:$B$165,0)),""),"")</f>
        <v/>
      </c>
      <c r="V1609" s="361"/>
      <c r="W1609" s="345"/>
      <c r="X1609" s="329" t="str">
        <f t="shared" si="199"/>
        <v>3H</v>
      </c>
      <c r="Y1609" s="1128" t="s">
        <v>3380</v>
      </c>
      <c r="Z1609" s="1128" t="s">
        <v>3381</v>
      </c>
      <c r="AA1609" s="1128" t="s">
        <v>3384</v>
      </c>
      <c r="AB1609" s="20"/>
      <c r="AC1609" s="73"/>
    </row>
    <row r="1610" spans="1:29">
      <c r="A1610" s="327" t="str">
        <f>IF(AND($B1610&lt;&gt;"",$C1610&lt;&gt;""),MAX($A$1556:A1609)+1,"")</f>
        <v/>
      </c>
      <c r="B1610" s="361" t="s">
        <v>1978</v>
      </c>
      <c r="C1610" s="360"/>
      <c r="D1610" s="327">
        <f>IF($B1610="","",COUNTIF($B$6:$B1610,$B1610))</f>
        <v>11</v>
      </c>
      <c r="E1610" s="365" t="s">
        <v>327</v>
      </c>
      <c r="F1610" s="368" t="s">
        <v>345</v>
      </c>
      <c r="G1610" s="367" t="s">
        <v>690</v>
      </c>
      <c r="H1610" s="327" t="s">
        <v>536</v>
      </c>
      <c r="I1610" s="327">
        <v>1</v>
      </c>
      <c r="J1610" s="345" t="s">
        <v>634</v>
      </c>
      <c r="K1610" s="327"/>
      <c r="L1610" s="348">
        <f>+$S1610*$T1610*$L$37</f>
        <v>84651</v>
      </c>
      <c r="M1610" s="371"/>
      <c r="N1610" s="369" t="s">
        <v>150</v>
      </c>
      <c r="O1610" s="404" t="s">
        <v>1623</v>
      </c>
      <c r="P1610" s="392"/>
      <c r="Q1610" s="327"/>
      <c r="R1610" s="351">
        <v>2.5</v>
      </c>
      <c r="S1610" s="351">
        <v>5.8</v>
      </c>
      <c r="T1610" s="351">
        <v>0.13900000000000001</v>
      </c>
      <c r="U1610" s="329">
        <f>IF($N1610=$N$4,IFERROR(INDEX(DanhMuc!$E$154:$E$165,MATCH(MID($B1610,4,2),DanhMuc!$B$154:$B$165,0)),""),"")</f>
        <v>5800</v>
      </c>
      <c r="V1610" s="361"/>
      <c r="W1610" s="345"/>
      <c r="X1610" s="329" t="str">
        <f t="shared" si="199"/>
        <v>C459</v>
      </c>
      <c r="Y1610" s="1128" t="s">
        <v>3380</v>
      </c>
      <c r="Z1610" s="1128" t="s">
        <v>3381</v>
      </c>
      <c r="AA1610" s="1128" t="s">
        <v>3384</v>
      </c>
      <c r="AB1610" s="20"/>
      <c r="AC1610" s="73"/>
    </row>
    <row r="1611" spans="1:29" ht="14">
      <c r="A1611" s="327" t="str">
        <f>IF(AND($B1611&lt;&gt;"",$C1611&lt;&gt;""),MAX($A$1556:A1610)+1,"")</f>
        <v/>
      </c>
      <c r="B1611" s="361" t="s">
        <v>1978</v>
      </c>
      <c r="C1611" s="360"/>
      <c r="D1611" s="327">
        <f>IF($B1611="","",COUNTIF($B$6:$B1611,$B1611))</f>
        <v>12</v>
      </c>
      <c r="E1611" s="409" t="s">
        <v>325</v>
      </c>
      <c r="F1611" s="362" t="s">
        <v>257</v>
      </c>
      <c r="G1611" s="327" t="s">
        <v>155</v>
      </c>
      <c r="H1611" s="327" t="s">
        <v>536</v>
      </c>
      <c r="I1611" s="327">
        <v>1</v>
      </c>
      <c r="J1611" s="361"/>
      <c r="K1611" s="327"/>
      <c r="L1611" s="389">
        <v>16000</v>
      </c>
      <c r="M1611" s="371"/>
      <c r="N1611" s="355" t="str">
        <f t="shared" ref="N1611:N1613" si="205">+$N$1555</f>
        <v>PK</v>
      </c>
      <c r="O1611" s="345"/>
      <c r="P1611" s="392"/>
      <c r="Q1611" s="327"/>
      <c r="R1611" s="351"/>
      <c r="S1611" s="351"/>
      <c r="T1611" s="351"/>
      <c r="U1611" s="329" t="str">
        <f>IF($N1611=$N$4,IFERROR(INDEX(DanhMuc!$E$154:$E$165,MATCH(MID($B1611,4,2),DanhMuc!$B$154:$B$165,0)),""),"")</f>
        <v/>
      </c>
      <c r="V1611" s="361"/>
      <c r="W1611" s="345"/>
      <c r="X1611" s="329" t="str">
        <f t="shared" si="199"/>
        <v>3H</v>
      </c>
      <c r="Y1611" s="1128" t="s">
        <v>3380</v>
      </c>
      <c r="Z1611" s="1128" t="s">
        <v>3381</v>
      </c>
      <c r="AA1611" s="1128" t="s">
        <v>3384</v>
      </c>
      <c r="AB1611" s="20"/>
      <c r="AC1611" s="73"/>
    </row>
    <row r="1612" spans="1:29">
      <c r="A1612" s="327" t="str">
        <f>IF(AND($B1612&lt;&gt;"",$C1612&lt;&gt;""),MAX($A$1556:A1611)+1,"")</f>
        <v/>
      </c>
      <c r="B1612" s="361" t="s">
        <v>1978</v>
      </c>
      <c r="C1612" s="360"/>
      <c r="D1612" s="327">
        <f>IF($B1612="","",COUNTIF($B$6:$B1612,$B1612))</f>
        <v>13</v>
      </c>
      <c r="E1612" s="402" t="s">
        <v>89</v>
      </c>
      <c r="F1612" s="362" t="s">
        <v>90</v>
      </c>
      <c r="G1612" s="327" t="s">
        <v>155</v>
      </c>
      <c r="H1612" s="327" t="s">
        <v>536</v>
      </c>
      <c r="I1612" s="327">
        <v>3</v>
      </c>
      <c r="J1612" s="345"/>
      <c r="K1612" s="327"/>
      <c r="L1612" s="389">
        <v>6500</v>
      </c>
      <c r="M1612" s="371"/>
      <c r="N1612" s="355" t="str">
        <f t="shared" si="205"/>
        <v>PK</v>
      </c>
      <c r="O1612" s="345"/>
      <c r="P1612" s="392"/>
      <c r="Q1612" s="327"/>
      <c r="R1612" s="351"/>
      <c r="S1612" s="351"/>
      <c r="T1612" s="351"/>
      <c r="U1612" s="329" t="str">
        <f>IF($N1612=$N$4,IFERROR(INDEX(DanhMuc!$E$154:$E$165,MATCH(MID($B1612,4,2),DanhMuc!$B$154:$B$165,0)),""),"")</f>
        <v/>
      </c>
      <c r="V1612" s="361"/>
      <c r="W1612" s="345"/>
      <c r="X1612" s="329" t="str">
        <f t="shared" si="199"/>
        <v>3H</v>
      </c>
      <c r="Y1612" s="1128" t="s">
        <v>3380</v>
      </c>
      <c r="Z1612" s="1128" t="s">
        <v>3381</v>
      </c>
      <c r="AA1612" s="1128" t="s">
        <v>3384</v>
      </c>
      <c r="AB1612" s="20"/>
      <c r="AC1612" s="73"/>
    </row>
    <row r="1613" spans="1:29" s="25" customFormat="1">
      <c r="A1613" s="327" t="str">
        <f>IF(AND($B1613&lt;&gt;"",$C1613&lt;&gt;""),MAX($A$1556:A1612)+1,"")</f>
        <v/>
      </c>
      <c r="B1613" s="361" t="s">
        <v>1978</v>
      </c>
      <c r="C1613" s="360"/>
      <c r="D1613" s="327">
        <f>IF($B1613="","",COUNTIF($B$6:$B1613,$B1613))</f>
        <v>14</v>
      </c>
      <c r="E1613" s="361" t="s">
        <v>2982</v>
      </c>
      <c r="F1613" s="362" t="s">
        <v>2981</v>
      </c>
      <c r="G1613" s="327" t="s">
        <v>344</v>
      </c>
      <c r="H1613" s="327"/>
      <c r="I1613" s="327">
        <v>4</v>
      </c>
      <c r="J1613" s="361"/>
      <c r="K1613" s="327"/>
      <c r="L1613" s="389">
        <v>60000</v>
      </c>
      <c r="M1613" s="371"/>
      <c r="N1613" s="355" t="str">
        <f t="shared" si="205"/>
        <v>PK</v>
      </c>
      <c r="O1613" s="345"/>
      <c r="P1613" s="392"/>
      <c r="Q1613" s="327"/>
      <c r="R1613" s="351"/>
      <c r="S1613" s="351"/>
      <c r="T1613" s="351"/>
      <c r="U1613" s="329" t="str">
        <f>IF($N1613=$N$4,IFERROR(INDEX(DanhMuc!$E$154:$E$165,MATCH(MID($B1613,4,2),DanhMuc!$B$154:$B$165,0)),""),"")</f>
        <v/>
      </c>
      <c r="V1613" s="365"/>
      <c r="W1613" s="345"/>
      <c r="X1613" s="329" t="str">
        <f t="shared" si="199"/>
        <v>3H</v>
      </c>
      <c r="Y1613" s="1128" t="s">
        <v>3380</v>
      </c>
      <c r="Z1613" s="1128" t="s">
        <v>3381</v>
      </c>
      <c r="AA1613" s="1128" t="s">
        <v>3384</v>
      </c>
      <c r="AB1613" s="20"/>
      <c r="AC1613" s="73"/>
    </row>
    <row r="1614" spans="1:29" s="25" customFormat="1">
      <c r="A1614" s="327" t="str">
        <f>IF(AND($B1614&lt;&gt;"",$C1614&lt;&gt;""),MAX($A$1556:A1613)+1,"")</f>
        <v/>
      </c>
      <c r="B1614" s="361" t="s">
        <v>1978</v>
      </c>
      <c r="C1614" s="346"/>
      <c r="D1614" s="367">
        <f>IF($B1614="","",COUNTIF($B$6:$B1614,$B1614))</f>
        <v>15</v>
      </c>
      <c r="E1614" s="365" t="s">
        <v>327</v>
      </c>
      <c r="F1614" s="368" t="s">
        <v>345</v>
      </c>
      <c r="G1614" s="367" t="s">
        <v>690</v>
      </c>
      <c r="H1614" s="327" t="s">
        <v>536</v>
      </c>
      <c r="I1614" s="367">
        <v>2</v>
      </c>
      <c r="J1614" s="365" t="s">
        <v>80</v>
      </c>
      <c r="K1614" s="367"/>
      <c r="L1614" s="348">
        <f>+$S1614*$T1614*$L$37</f>
        <v>84651</v>
      </c>
      <c r="M1614" s="371"/>
      <c r="N1614" s="369" t="s">
        <v>150</v>
      </c>
      <c r="O1614" s="345"/>
      <c r="P1614" s="392"/>
      <c r="Q1614" s="327"/>
      <c r="R1614" s="351">
        <v>2.5</v>
      </c>
      <c r="S1614" s="351">
        <v>5.8</v>
      </c>
      <c r="T1614" s="351">
        <v>0.13900000000000001</v>
      </c>
      <c r="U1614" s="329">
        <f>IF($N1614=$N$4,IFERROR(INDEX(DanhMuc!$E$154:$E$165,MATCH(MID($B1614,4,2),DanhMuc!$B$154:$B$165,0)),""),"")</f>
        <v>5800</v>
      </c>
      <c r="V1614" s="365"/>
      <c r="W1614" s="345"/>
      <c r="X1614" s="329" t="str">
        <f t="shared" si="199"/>
        <v>C459</v>
      </c>
      <c r="Y1614" s="1128" t="s">
        <v>3380</v>
      </c>
      <c r="Z1614" s="1128" t="s">
        <v>3381</v>
      </c>
      <c r="AA1614" s="1128" t="s">
        <v>3384</v>
      </c>
      <c r="AB1614" s="20"/>
      <c r="AC1614" s="73"/>
    </row>
    <row r="1615" spans="1:29" ht="25">
      <c r="A1615" s="327" t="str">
        <f>IF(AND($B1615&lt;&gt;"",$C1615&lt;&gt;""),MAX($A$1556:A1614)+1,"")</f>
        <v/>
      </c>
      <c r="B1615" s="361" t="s">
        <v>1978</v>
      </c>
      <c r="C1615" s="360"/>
      <c r="D1615" s="327">
        <f>IF($B1615="","",COUNTIF($B$6:$B1615,$B1615))</f>
        <v>16</v>
      </c>
      <c r="E1615" s="405" t="s">
        <v>674</v>
      </c>
      <c r="F1615" s="406" t="s">
        <v>676</v>
      </c>
      <c r="G1615" s="327" t="s">
        <v>155</v>
      </c>
      <c r="H1615" s="327"/>
      <c r="I1615" s="327">
        <v>3</v>
      </c>
      <c r="J1615" s="345"/>
      <c r="K1615" s="327"/>
      <c r="L1615" s="389">
        <v>155000</v>
      </c>
      <c r="M1615" s="371"/>
      <c r="N1615" s="355" t="str">
        <f t="shared" ref="N1615:N1626" si="206">+$N$1555</f>
        <v>PK</v>
      </c>
      <c r="O1615" s="407" t="s">
        <v>17</v>
      </c>
      <c r="P1615" s="392"/>
      <c r="Q1615" s="327"/>
      <c r="R1615" s="351"/>
      <c r="S1615" s="351"/>
      <c r="T1615" s="351"/>
      <c r="U1615" s="329" t="str">
        <f>IF($N1615=$N$4,IFERROR(INDEX(DanhMuc!$E$154:$E$165,MATCH(MID($B1615,4,2),DanhMuc!$B$154:$B$165,0)),""),"")</f>
        <v/>
      </c>
      <c r="V1615" s="408" t="s">
        <v>343</v>
      </c>
      <c r="W1615" s="345"/>
      <c r="X1615" s="329" t="str">
        <f t="shared" si="199"/>
        <v>3H</v>
      </c>
      <c r="Y1615" s="1128" t="s">
        <v>3380</v>
      </c>
      <c r="Z1615" s="1128" t="s">
        <v>3381</v>
      </c>
      <c r="AA1615" s="1128" t="s">
        <v>3384</v>
      </c>
      <c r="AB1615" s="20"/>
      <c r="AC1615" s="73"/>
    </row>
    <row r="1616" spans="1:29" ht="25">
      <c r="A1616" s="327" t="str">
        <f>IF(AND($B1616&lt;&gt;"",$C1616&lt;&gt;""),MAX($A$1556:A1615)+1,"")</f>
        <v/>
      </c>
      <c r="B1616" s="361" t="s">
        <v>1978</v>
      </c>
      <c r="C1616" s="360"/>
      <c r="D1616" s="327">
        <f>IF($B1616="","",COUNTIF($B$6:$B1616,$B1616))</f>
        <v>17</v>
      </c>
      <c r="E1616" s="405" t="s">
        <v>675</v>
      </c>
      <c r="F1616" s="406" t="s">
        <v>677</v>
      </c>
      <c r="G1616" s="327" t="s">
        <v>155</v>
      </c>
      <c r="H1616" s="327"/>
      <c r="I1616" s="327">
        <v>3</v>
      </c>
      <c r="J1616" s="345"/>
      <c r="K1616" s="327"/>
      <c r="L1616" s="389">
        <v>155000</v>
      </c>
      <c r="M1616" s="371"/>
      <c r="N1616" s="355" t="str">
        <f t="shared" si="206"/>
        <v>PK</v>
      </c>
      <c r="O1616" s="407" t="s">
        <v>17</v>
      </c>
      <c r="P1616" s="392"/>
      <c r="Q1616" s="327"/>
      <c r="R1616" s="351"/>
      <c r="S1616" s="351"/>
      <c r="T1616" s="351"/>
      <c r="U1616" s="329" t="str">
        <f>IF($N1616=$N$4,IFERROR(INDEX(DanhMuc!$E$154:$E$165,MATCH(MID($B1616,4,2),DanhMuc!$B$154:$B$165,0)),""),"")</f>
        <v/>
      </c>
      <c r="V1616" s="408" t="s">
        <v>343</v>
      </c>
      <c r="W1616" s="345"/>
      <c r="X1616" s="329" t="str">
        <f t="shared" si="199"/>
        <v>3H</v>
      </c>
      <c r="Y1616" s="1128" t="s">
        <v>3380</v>
      </c>
      <c r="Z1616" s="1128" t="s">
        <v>3381</v>
      </c>
      <c r="AA1616" s="1128" t="s">
        <v>3384</v>
      </c>
      <c r="AB1616" s="20"/>
      <c r="AC1616" s="73"/>
    </row>
    <row r="1617" spans="1:29">
      <c r="A1617" s="327" t="str">
        <f>IF(AND($B1617&lt;&gt;"",$C1617&lt;&gt;""),MAX($A$1556:A1615)+1,"")</f>
        <v/>
      </c>
      <c r="B1617" s="361" t="s">
        <v>1978</v>
      </c>
      <c r="C1617" s="360"/>
      <c r="D1617" s="327">
        <f>IF($B1617="","",COUNTIF($B$6:$B1617,$B1617))</f>
        <v>18</v>
      </c>
      <c r="E1617" s="405" t="s">
        <v>680</v>
      </c>
      <c r="F1617" s="406" t="s">
        <v>682</v>
      </c>
      <c r="G1617" s="327" t="s">
        <v>155</v>
      </c>
      <c r="H1617" s="327"/>
      <c r="I1617" s="327">
        <v>3</v>
      </c>
      <c r="J1617" s="345"/>
      <c r="K1617" s="327"/>
      <c r="L1617" s="389">
        <v>180000</v>
      </c>
      <c r="M1617" s="371"/>
      <c r="N1617" s="355" t="str">
        <f t="shared" si="206"/>
        <v>PK</v>
      </c>
      <c r="O1617" s="407" t="s">
        <v>686</v>
      </c>
      <c r="P1617" s="392"/>
      <c r="Q1617" s="327"/>
      <c r="R1617" s="351"/>
      <c r="S1617" s="351"/>
      <c r="T1617" s="351"/>
      <c r="U1617" s="329" t="str">
        <f>IF($N1617=$N$4,IFERROR(INDEX(DanhMuc!$E$154:$E$165,MATCH(MID($B1617,4,2),DanhMuc!$B$154:$B$165,0)),""),"")</f>
        <v/>
      </c>
      <c r="V1617" s="361"/>
      <c r="W1617" s="345"/>
      <c r="X1617" s="329" t="str">
        <f t="shared" si="199"/>
        <v>3H</v>
      </c>
      <c r="Y1617" s="1128" t="s">
        <v>3380</v>
      </c>
      <c r="Z1617" s="1128" t="s">
        <v>3381</v>
      </c>
      <c r="AA1617" s="1128" t="s">
        <v>3384</v>
      </c>
      <c r="AB1617" s="20"/>
      <c r="AC1617" s="73"/>
    </row>
    <row r="1618" spans="1:29">
      <c r="A1618" s="327" t="str">
        <f>IF(AND($B1618&lt;&gt;"",$C1618&lt;&gt;""),MAX($A$1556:A1616)+1,"")</f>
        <v/>
      </c>
      <c r="B1618" s="361" t="s">
        <v>1978</v>
      </c>
      <c r="C1618" s="360"/>
      <c r="D1618" s="327">
        <f>IF($B1618="","",COUNTIF($B$6:$B1618,$B1618))</f>
        <v>19</v>
      </c>
      <c r="E1618" s="405" t="s">
        <v>681</v>
      </c>
      <c r="F1618" s="406" t="s">
        <v>683</v>
      </c>
      <c r="G1618" s="327" t="s">
        <v>155</v>
      </c>
      <c r="H1618" s="327"/>
      <c r="I1618" s="327">
        <v>3</v>
      </c>
      <c r="J1618" s="345"/>
      <c r="K1618" s="327"/>
      <c r="L1618" s="389">
        <v>180000</v>
      </c>
      <c r="M1618" s="371"/>
      <c r="N1618" s="355" t="str">
        <f t="shared" si="206"/>
        <v>PK</v>
      </c>
      <c r="O1618" s="407" t="s">
        <v>687</v>
      </c>
      <c r="P1618" s="392"/>
      <c r="Q1618" s="327"/>
      <c r="R1618" s="351"/>
      <c r="S1618" s="351"/>
      <c r="T1618" s="351"/>
      <c r="U1618" s="329" t="str">
        <f>IF($N1618=$N$4,IFERROR(INDEX(DanhMuc!$E$154:$E$165,MATCH(MID($B1618,4,2),DanhMuc!$B$154:$B$165,0)),""),"")</f>
        <v/>
      </c>
      <c r="V1618" s="361"/>
      <c r="W1618" s="345"/>
      <c r="X1618" s="329" t="str">
        <f t="shared" si="199"/>
        <v>3H</v>
      </c>
      <c r="Y1618" s="1128" t="s">
        <v>3380</v>
      </c>
      <c r="Z1618" s="1128" t="s">
        <v>3381</v>
      </c>
      <c r="AA1618" s="1128" t="s">
        <v>3384</v>
      </c>
      <c r="AB1618" s="20"/>
      <c r="AC1618" s="73"/>
    </row>
    <row r="1619" spans="1:29">
      <c r="A1619" s="327" t="str">
        <f>IF(AND($B1619&lt;&gt;"",$C1619&lt;&gt;""),MAX($A$1556:A1617)+1,"")</f>
        <v/>
      </c>
      <c r="B1619" s="361" t="s">
        <v>1978</v>
      </c>
      <c r="C1619" s="360"/>
      <c r="D1619" s="327">
        <f>IF($B1619="","",COUNTIF($B$6:$B1619,$B1619))</f>
        <v>20</v>
      </c>
      <c r="E1619" s="405" t="s">
        <v>2322</v>
      </c>
      <c r="F1619" s="406" t="s">
        <v>2316</v>
      </c>
      <c r="G1619" s="327" t="s">
        <v>155</v>
      </c>
      <c r="H1619" s="327"/>
      <c r="I1619" s="327">
        <v>3</v>
      </c>
      <c r="J1619" s="345"/>
      <c r="K1619" s="327"/>
      <c r="L1619" s="389">
        <v>160000</v>
      </c>
      <c r="M1619" s="371"/>
      <c r="N1619" s="355" t="str">
        <f t="shared" si="206"/>
        <v>PK</v>
      </c>
      <c r="O1619" s="407" t="s">
        <v>21</v>
      </c>
      <c r="P1619" s="392"/>
      <c r="Q1619" s="327"/>
      <c r="R1619" s="351"/>
      <c r="S1619" s="351"/>
      <c r="T1619" s="351"/>
      <c r="U1619" s="329" t="str">
        <f>IF($N1619=$N$4,IFERROR(INDEX(DanhMuc!$E$154:$E$165,MATCH(MID($B1619,4,2),DanhMuc!$B$154:$B$165,0)),""),"")</f>
        <v/>
      </c>
      <c r="V1619" s="408" t="s">
        <v>343</v>
      </c>
      <c r="W1619" s="345"/>
      <c r="X1619" s="329" t="str">
        <f t="shared" si="199"/>
        <v>3H</v>
      </c>
      <c r="Y1619" s="1128" t="s">
        <v>3380</v>
      </c>
      <c r="Z1619" s="1128" t="s">
        <v>3381</v>
      </c>
      <c r="AA1619" s="1128" t="s">
        <v>3384</v>
      </c>
      <c r="AB1619" s="20"/>
      <c r="AC1619" s="73"/>
    </row>
    <row r="1620" spans="1:29">
      <c r="A1620" s="327" t="str">
        <f>IF(AND($B1620&lt;&gt;"",$C1620&lt;&gt;""),MAX($A$1556:A1618)+1,"")</f>
        <v/>
      </c>
      <c r="B1620" s="361" t="s">
        <v>1978</v>
      </c>
      <c r="C1620" s="360"/>
      <c r="D1620" s="327">
        <f>IF($B1620="","",COUNTIF($B$6:$B1620,$B1620))</f>
        <v>21</v>
      </c>
      <c r="E1620" s="405" t="s">
        <v>2323</v>
      </c>
      <c r="F1620" s="406" t="s">
        <v>2317</v>
      </c>
      <c r="G1620" s="327" t="s">
        <v>155</v>
      </c>
      <c r="H1620" s="327"/>
      <c r="I1620" s="327">
        <v>3</v>
      </c>
      <c r="J1620" s="345"/>
      <c r="K1620" s="327"/>
      <c r="L1620" s="389">
        <v>160000</v>
      </c>
      <c r="M1620" s="371"/>
      <c r="N1620" s="355" t="str">
        <f t="shared" si="206"/>
        <v>PK</v>
      </c>
      <c r="O1620" s="407" t="s">
        <v>21</v>
      </c>
      <c r="P1620" s="392"/>
      <c r="Q1620" s="327"/>
      <c r="R1620" s="351"/>
      <c r="S1620" s="351"/>
      <c r="T1620" s="351"/>
      <c r="U1620" s="329" t="str">
        <f>IF($N1620=$N$4,IFERROR(INDEX(DanhMuc!$E$154:$E$165,MATCH(MID($B1620,4,2),DanhMuc!$B$154:$B$165,0)),""),"")</f>
        <v/>
      </c>
      <c r="V1620" s="408" t="s">
        <v>343</v>
      </c>
      <c r="W1620" s="345"/>
      <c r="X1620" s="329" t="str">
        <f t="shared" si="199"/>
        <v>3H</v>
      </c>
      <c r="Y1620" s="1128" t="s">
        <v>3380</v>
      </c>
      <c r="Z1620" s="1128" t="s">
        <v>3381</v>
      </c>
      <c r="AA1620" s="1128" t="s">
        <v>3384</v>
      </c>
      <c r="AB1620" s="20"/>
      <c r="AC1620" s="73"/>
    </row>
    <row r="1621" spans="1:29">
      <c r="A1621" s="327" t="str">
        <f>IF(AND($B1621&lt;&gt;"",$C1621&lt;&gt;""),MAX($A$1556:A1619)+1,"")</f>
        <v/>
      </c>
      <c r="B1621" s="361" t="s">
        <v>1978</v>
      </c>
      <c r="C1621" s="360"/>
      <c r="D1621" s="327">
        <f>IF($B1621="","",COUNTIF($B$6:$B1621,$B1621))</f>
        <v>22</v>
      </c>
      <c r="E1621" s="405" t="s">
        <v>2320</v>
      </c>
      <c r="F1621" s="406" t="s">
        <v>2318</v>
      </c>
      <c r="G1621" s="327" t="s">
        <v>155</v>
      </c>
      <c r="H1621" s="327"/>
      <c r="I1621" s="327">
        <v>3</v>
      </c>
      <c r="J1621" s="345"/>
      <c r="K1621" s="327"/>
      <c r="L1621" s="389">
        <v>165000</v>
      </c>
      <c r="M1621" s="371"/>
      <c r="N1621" s="355" t="str">
        <f t="shared" si="206"/>
        <v>PK</v>
      </c>
      <c r="O1621" s="407" t="s">
        <v>1806</v>
      </c>
      <c r="P1621" s="392"/>
      <c r="Q1621" s="327"/>
      <c r="R1621" s="351"/>
      <c r="S1621" s="351"/>
      <c r="T1621" s="351"/>
      <c r="U1621" s="329" t="str">
        <f>IF($N1621=$N$4,IFERROR(INDEX(DanhMuc!$E$154:$E$165,MATCH(MID($B1621,4,2),DanhMuc!$B$154:$B$165,0)),""),"")</f>
        <v/>
      </c>
      <c r="V1621" s="361"/>
      <c r="W1621" s="345"/>
      <c r="X1621" s="329" t="str">
        <f t="shared" si="199"/>
        <v>3H</v>
      </c>
      <c r="Y1621" s="1128" t="s">
        <v>3380</v>
      </c>
      <c r="Z1621" s="1128" t="s">
        <v>3381</v>
      </c>
      <c r="AA1621" s="1128" t="s">
        <v>3384</v>
      </c>
      <c r="AB1621" s="20"/>
      <c r="AC1621" s="73"/>
    </row>
    <row r="1622" spans="1:29">
      <c r="A1622" s="327" t="str">
        <f>IF(AND($B1622&lt;&gt;"",$C1622&lt;&gt;""),MAX($A$1556:A1620)+1,"")</f>
        <v/>
      </c>
      <c r="B1622" s="361" t="s">
        <v>1978</v>
      </c>
      <c r="C1622" s="360"/>
      <c r="D1622" s="327">
        <f>IF($B1622="","",COUNTIF($B$6:$B1622,$B1622))</f>
        <v>23</v>
      </c>
      <c r="E1622" s="405" t="s">
        <v>2321</v>
      </c>
      <c r="F1622" s="406" t="s">
        <v>2319</v>
      </c>
      <c r="G1622" s="327" t="s">
        <v>155</v>
      </c>
      <c r="H1622" s="327"/>
      <c r="I1622" s="327">
        <v>3</v>
      </c>
      <c r="J1622" s="345"/>
      <c r="K1622" s="327"/>
      <c r="L1622" s="389">
        <v>165000</v>
      </c>
      <c r="M1622" s="371"/>
      <c r="N1622" s="355" t="str">
        <f t="shared" si="206"/>
        <v>PK</v>
      </c>
      <c r="O1622" s="407" t="s">
        <v>1807</v>
      </c>
      <c r="P1622" s="392"/>
      <c r="Q1622" s="327"/>
      <c r="R1622" s="351"/>
      <c r="S1622" s="351"/>
      <c r="T1622" s="351"/>
      <c r="U1622" s="329" t="str">
        <f>IF($N1622=$N$4,IFERROR(INDEX(DanhMuc!$E$154:$E$165,MATCH(MID($B1622,4,2),DanhMuc!$B$154:$B$165,0)),""),"")</f>
        <v/>
      </c>
      <c r="V1622" s="361"/>
      <c r="W1622" s="345"/>
      <c r="X1622" s="329" t="str">
        <f t="shared" si="199"/>
        <v>3H</v>
      </c>
      <c r="Y1622" s="1128" t="s">
        <v>3380</v>
      </c>
      <c r="Z1622" s="1128" t="s">
        <v>3381</v>
      </c>
      <c r="AA1622" s="1128" t="s">
        <v>3384</v>
      </c>
      <c r="AB1622" s="20"/>
      <c r="AC1622" s="73"/>
    </row>
    <row r="1623" spans="1:29">
      <c r="A1623" s="327" t="str">
        <f>IF(AND($B1623&lt;&gt;"",$C1623&lt;&gt;""),MAX($A$1556:A1617)+1,"")</f>
        <v/>
      </c>
      <c r="B1623" s="361" t="s">
        <v>1978</v>
      </c>
      <c r="C1623" s="360"/>
      <c r="D1623" s="327">
        <f>IF($B1623="","",COUNTIF($B$6:$B1623,$B1623))</f>
        <v>24</v>
      </c>
      <c r="E1623" s="361" t="s">
        <v>678</v>
      </c>
      <c r="F1623" s="362" t="s">
        <v>711</v>
      </c>
      <c r="G1623" s="327" t="s">
        <v>155</v>
      </c>
      <c r="H1623" s="327"/>
      <c r="I1623" s="327">
        <v>1</v>
      </c>
      <c r="J1623" s="361"/>
      <c r="K1623" s="327"/>
      <c r="L1623" s="389">
        <v>1250</v>
      </c>
      <c r="M1623" s="371"/>
      <c r="N1623" s="355" t="str">
        <f t="shared" si="206"/>
        <v>PK</v>
      </c>
      <c r="O1623" s="345"/>
      <c r="P1623" s="392"/>
      <c r="Q1623" s="327"/>
      <c r="R1623" s="351"/>
      <c r="S1623" s="351"/>
      <c r="T1623" s="351"/>
      <c r="U1623" s="329" t="str">
        <f>IF($N1623=$N$4,IFERROR(INDEX(DanhMuc!$E$154:$E$165,MATCH(MID($B1623,4,2),DanhMuc!$B$154:$B$165,0)),""),"")</f>
        <v/>
      </c>
      <c r="V1623" s="361"/>
      <c r="W1623" s="345"/>
      <c r="X1623" s="329" t="str">
        <f t="shared" si="199"/>
        <v>3H</v>
      </c>
      <c r="Y1623" s="1128" t="s">
        <v>3380</v>
      </c>
      <c r="Z1623" s="1128" t="s">
        <v>3381</v>
      </c>
      <c r="AA1623" s="1128" t="s">
        <v>3384</v>
      </c>
      <c r="AB1623" s="20"/>
      <c r="AC1623" s="73"/>
    </row>
    <row r="1624" spans="1:29">
      <c r="A1624" s="327" t="str">
        <f>IF(AND($B1624&lt;&gt;"",$C1624&lt;&gt;""),MAX($A$1556:A1623)+1,"")</f>
        <v/>
      </c>
      <c r="B1624" s="361" t="s">
        <v>1978</v>
      </c>
      <c r="C1624" s="360"/>
      <c r="D1624" s="327">
        <f>IF($B1624="","",COUNTIF($B$6:$B1624,$B1624))</f>
        <v>25</v>
      </c>
      <c r="E1624" s="361" t="s">
        <v>679</v>
      </c>
      <c r="F1624" s="362" t="s">
        <v>712</v>
      </c>
      <c r="G1624" s="327" t="s">
        <v>155</v>
      </c>
      <c r="H1624" s="327"/>
      <c r="I1624" s="327">
        <v>1</v>
      </c>
      <c r="J1624" s="361"/>
      <c r="K1624" s="327"/>
      <c r="L1624" s="389">
        <v>1250</v>
      </c>
      <c r="M1624" s="371"/>
      <c r="N1624" s="355" t="str">
        <f t="shared" si="206"/>
        <v>PK</v>
      </c>
      <c r="O1624" s="345"/>
      <c r="P1624" s="392"/>
      <c r="Q1624" s="327"/>
      <c r="R1624" s="351"/>
      <c r="S1624" s="351"/>
      <c r="T1624" s="351"/>
      <c r="U1624" s="329" t="str">
        <f>IF($N1624=$N$4,IFERROR(INDEX(DanhMuc!$E$154:$E$165,MATCH(MID($B1624,4,2),DanhMuc!$B$154:$B$165,0)),""),"")</f>
        <v/>
      </c>
      <c r="V1624" s="361"/>
      <c r="W1624" s="345"/>
      <c r="X1624" s="329" t="str">
        <f t="shared" si="199"/>
        <v>3H</v>
      </c>
      <c r="Y1624" s="1128" t="s">
        <v>3380</v>
      </c>
      <c r="Z1624" s="1128" t="s">
        <v>3381</v>
      </c>
      <c r="AA1624" s="1128" t="s">
        <v>3384</v>
      </c>
      <c r="AB1624" s="20"/>
      <c r="AC1624" s="73"/>
    </row>
    <row r="1625" spans="1:29">
      <c r="A1625" s="327" t="str">
        <f>IF(AND($B1625&lt;&gt;"",$C1625&lt;&gt;""),MAX($A$1556:A1623)+1,"")</f>
        <v/>
      </c>
      <c r="B1625" s="361" t="s">
        <v>1978</v>
      </c>
      <c r="C1625" s="360"/>
      <c r="D1625" s="327">
        <f>IF($B1625="","",COUNTIF($B$6:$B1625,$B1625))</f>
        <v>26</v>
      </c>
      <c r="E1625" s="361" t="s">
        <v>986</v>
      </c>
      <c r="F1625" s="362" t="s">
        <v>985</v>
      </c>
      <c r="G1625" s="327" t="s">
        <v>297</v>
      </c>
      <c r="H1625" s="327"/>
      <c r="I1625" s="327">
        <v>6</v>
      </c>
      <c r="J1625" s="345"/>
      <c r="K1625" s="327"/>
      <c r="L1625" s="389">
        <v>2450</v>
      </c>
      <c r="M1625" s="371"/>
      <c r="N1625" s="355" t="str">
        <f t="shared" si="206"/>
        <v>PK</v>
      </c>
      <c r="O1625" s="347" t="s">
        <v>1475</v>
      </c>
      <c r="P1625" s="392"/>
      <c r="Q1625" s="327"/>
      <c r="R1625" s="351"/>
      <c r="S1625" s="351"/>
      <c r="T1625" s="351"/>
      <c r="U1625" s="329" t="str">
        <f>IF($N1625=$N$4,IFERROR(INDEX(DanhMuc!$E$154:$E$165,MATCH(MID($B1625,4,2),DanhMuc!$B$154:$B$165,0)),""),"")</f>
        <v/>
      </c>
      <c r="V1625" s="408" t="s">
        <v>343</v>
      </c>
      <c r="W1625" s="345"/>
      <c r="X1625" s="329" t="str">
        <f t="shared" si="199"/>
        <v>3H</v>
      </c>
      <c r="Y1625" s="1128" t="s">
        <v>3380</v>
      </c>
      <c r="Z1625" s="1128" t="s">
        <v>3381</v>
      </c>
      <c r="AA1625" s="1128" t="s">
        <v>3384</v>
      </c>
      <c r="AB1625" s="20"/>
      <c r="AC1625" s="73"/>
    </row>
    <row r="1626" spans="1:29">
      <c r="A1626" s="327" t="str">
        <f>IF(AND($B1626&lt;&gt;"",$C1626&lt;&gt;""),MAX($A$1556:A1624)+1,"")</f>
        <v/>
      </c>
      <c r="B1626" s="361" t="s">
        <v>1978</v>
      </c>
      <c r="C1626" s="360"/>
      <c r="D1626" s="327">
        <f>IF($B1626="","",COUNTIF($B$6:$B1626,$B1626))</f>
        <v>27</v>
      </c>
      <c r="E1626" s="361" t="s">
        <v>1444</v>
      </c>
      <c r="F1626" s="362" t="s">
        <v>2356</v>
      </c>
      <c r="G1626" s="327" t="s">
        <v>297</v>
      </c>
      <c r="H1626" s="327"/>
      <c r="I1626" s="327">
        <v>1</v>
      </c>
      <c r="J1626" s="345"/>
      <c r="K1626" s="327"/>
      <c r="L1626" s="389">
        <v>17000</v>
      </c>
      <c r="M1626" s="371"/>
      <c r="N1626" s="355" t="str">
        <f t="shared" si="206"/>
        <v>PK</v>
      </c>
      <c r="O1626" s="347"/>
      <c r="P1626" s="392"/>
      <c r="Q1626" s="327"/>
      <c r="R1626" s="351"/>
      <c r="S1626" s="351"/>
      <c r="T1626" s="351"/>
      <c r="U1626" s="329" t="str">
        <f>IF($N1626=$N$4,IFERROR(INDEX(DanhMuc!$E$154:$E$165,MATCH(MID($B1626,4,2),DanhMuc!$B$154:$B$165,0)),""),"")</f>
        <v/>
      </c>
      <c r="V1626" s="408"/>
      <c r="W1626" s="345"/>
      <c r="X1626" s="329" t="str">
        <f t="shared" si="199"/>
        <v>3H</v>
      </c>
      <c r="Y1626" s="1128" t="s">
        <v>3380</v>
      </c>
      <c r="Z1626" s="1128" t="s">
        <v>3381</v>
      </c>
      <c r="AA1626" s="1128" t="s">
        <v>3384</v>
      </c>
      <c r="AB1626" s="20"/>
      <c r="AC1626" s="73"/>
    </row>
    <row r="1627" spans="1:29" ht="26">
      <c r="A1627" s="327">
        <f>IF(AND($B1627&lt;&gt;"",$C1627&lt;&gt;""),MAX($A$1556:A1597)+1,"")</f>
        <v>3</v>
      </c>
      <c r="B1627" s="359" t="s">
        <v>1979</v>
      </c>
      <c r="C1627" s="360" t="s">
        <v>1530</v>
      </c>
      <c r="D1627" s="327">
        <f>IF($B1627="","",COUNTIF($B$6:$B1627,$B1627))</f>
        <v>1</v>
      </c>
      <c r="E1627" s="361" t="s">
        <v>87</v>
      </c>
      <c r="F1627" s="362" t="s">
        <v>196</v>
      </c>
      <c r="G1627" s="327" t="s">
        <v>344</v>
      </c>
      <c r="H1627" s="327"/>
      <c r="I1627" s="327">
        <v>1</v>
      </c>
      <c r="J1627" s="361"/>
      <c r="K1627" s="327"/>
      <c r="L1627" s="389">
        <v>135000</v>
      </c>
      <c r="M1627" s="371"/>
      <c r="N1627" s="355" t="str">
        <f t="shared" si="204"/>
        <v>PK</v>
      </c>
      <c r="O1627" s="345"/>
      <c r="P1627" s="392"/>
      <c r="Q1627" s="327"/>
      <c r="R1627" s="351"/>
      <c r="S1627" s="351"/>
      <c r="T1627" s="351"/>
      <c r="U1627" s="329" t="str">
        <f>IF($N1627=$N$4,IFERROR(INDEX(DanhMuc!$E$154:$E$165,MATCH(MID($B1627,4,2),DanhMuc!$B$154:$B$165,0)),""),"")</f>
        <v/>
      </c>
      <c r="V1627" s="361"/>
      <c r="W1627" s="345"/>
      <c r="X1627" s="329" t="str">
        <f t="shared" si="199"/>
        <v>3H</v>
      </c>
      <c r="Y1627" s="1128" t="s">
        <v>3380</v>
      </c>
      <c r="Z1627" s="1128" t="s">
        <v>3381</v>
      </c>
      <c r="AA1627" s="1128" t="s">
        <v>3384</v>
      </c>
      <c r="AB1627" s="20"/>
      <c r="AC1627" s="73"/>
    </row>
    <row r="1628" spans="1:29">
      <c r="A1628" s="327" t="str">
        <f>IF(AND($B1628&lt;&gt;"",$C1628&lt;&gt;""),MAX($A$1556:A1627)+1,"")</f>
        <v/>
      </c>
      <c r="B1628" s="361" t="s">
        <v>1979</v>
      </c>
      <c r="C1628" s="360"/>
      <c r="D1628" s="327">
        <f>IF($B1628="","",COUNTIF($B$6:$B1628,$B1628))</f>
        <v>2</v>
      </c>
      <c r="E1628" s="399" t="s">
        <v>22</v>
      </c>
      <c r="F1628" s="400" t="s">
        <v>323</v>
      </c>
      <c r="G1628" s="327" t="s">
        <v>155</v>
      </c>
      <c r="H1628" s="327" t="s">
        <v>536</v>
      </c>
      <c r="I1628" s="327">
        <v>1</v>
      </c>
      <c r="J1628" s="345"/>
      <c r="K1628" s="327"/>
      <c r="L1628" s="389">
        <v>140000</v>
      </c>
      <c r="M1628" s="371"/>
      <c r="N1628" s="355" t="str">
        <f t="shared" si="204"/>
        <v>PK</v>
      </c>
      <c r="O1628" s="345" t="s">
        <v>1060</v>
      </c>
      <c r="P1628" s="392"/>
      <c r="Q1628" s="327"/>
      <c r="R1628" s="351"/>
      <c r="S1628" s="351"/>
      <c r="T1628" s="351"/>
      <c r="U1628" s="329" t="str">
        <f>IF($N1628=$N$4,IFERROR(INDEX(DanhMuc!$E$154:$E$165,MATCH(MID($B1628,4,2),DanhMuc!$B$154:$B$165,0)),""),"")</f>
        <v/>
      </c>
      <c r="V1628" s="361"/>
      <c r="W1628" s="345"/>
      <c r="X1628" s="329" t="str">
        <f t="shared" si="199"/>
        <v>3H</v>
      </c>
      <c r="Y1628" s="1128" t="s">
        <v>3380</v>
      </c>
      <c r="Z1628" s="1128" t="s">
        <v>3381</v>
      </c>
      <c r="AA1628" s="1128" t="s">
        <v>3384</v>
      </c>
      <c r="AB1628" s="20"/>
      <c r="AC1628" s="73"/>
    </row>
    <row r="1629" spans="1:29">
      <c r="A1629" s="327" t="str">
        <f>IF(AND($B1629&lt;&gt;"",$C1629&lt;&gt;""),MAX($A$1556:A1628)+1,"")</f>
        <v/>
      </c>
      <c r="B1629" s="361" t="s">
        <v>1979</v>
      </c>
      <c r="C1629" s="360"/>
      <c r="D1629" s="327">
        <f>IF($B1629="","",COUNTIF($B$6:$B1629,$B1629))</f>
        <v>3</v>
      </c>
      <c r="E1629" s="399" t="s">
        <v>339</v>
      </c>
      <c r="F1629" s="400" t="s">
        <v>340</v>
      </c>
      <c r="G1629" s="327" t="s">
        <v>155</v>
      </c>
      <c r="H1629" s="327" t="s">
        <v>536</v>
      </c>
      <c r="I1629" s="327">
        <v>1</v>
      </c>
      <c r="J1629" s="345"/>
      <c r="K1629" s="327"/>
      <c r="L1629" s="389">
        <v>140000</v>
      </c>
      <c r="M1629" s="371"/>
      <c r="N1629" s="355" t="str">
        <f t="shared" si="204"/>
        <v>PK</v>
      </c>
      <c r="O1629" s="401" t="s">
        <v>2705</v>
      </c>
      <c r="P1629" s="392"/>
      <c r="Q1629" s="327"/>
      <c r="R1629" s="351"/>
      <c r="S1629" s="351"/>
      <c r="T1629" s="351"/>
      <c r="U1629" s="329" t="str">
        <f>IF($N1629=$N$4,IFERROR(INDEX(DanhMuc!$E$154:$E$165,MATCH(MID($B1629,4,2),DanhMuc!$B$154:$B$165,0)),""),"")</f>
        <v/>
      </c>
      <c r="V1629" s="361"/>
      <c r="W1629" s="345"/>
      <c r="X1629" s="329" t="str">
        <f t="shared" si="199"/>
        <v>3H</v>
      </c>
      <c r="Y1629" s="1128" t="s">
        <v>3380</v>
      </c>
      <c r="Z1629" s="1128" t="s">
        <v>3381</v>
      </c>
      <c r="AA1629" s="1128" t="s">
        <v>3384</v>
      </c>
      <c r="AB1629" s="20"/>
      <c r="AC1629" s="73"/>
    </row>
    <row r="1630" spans="1:29">
      <c r="A1630" s="327" t="str">
        <f>IF(AND($B1630&lt;&gt;"",$C1630&lt;&gt;""),MAX($A$1556:A1629)+1,"")</f>
        <v/>
      </c>
      <c r="B1630" s="361" t="s">
        <v>1979</v>
      </c>
      <c r="C1630" s="360"/>
      <c r="D1630" s="327">
        <f>IF($B1630="","",COUNTIF($B$6:$B1630,$B1630))</f>
        <v>4</v>
      </c>
      <c r="E1630" s="399" t="s">
        <v>2285</v>
      </c>
      <c r="F1630" s="400" t="s">
        <v>341</v>
      </c>
      <c r="G1630" s="327" t="s">
        <v>155</v>
      </c>
      <c r="H1630" s="327" t="s">
        <v>536</v>
      </c>
      <c r="I1630" s="327">
        <v>1</v>
      </c>
      <c r="J1630" s="345"/>
      <c r="K1630" s="327"/>
      <c r="L1630" s="389">
        <v>140000</v>
      </c>
      <c r="M1630" s="371"/>
      <c r="N1630" s="355" t="str">
        <f t="shared" si="204"/>
        <v>PK</v>
      </c>
      <c r="O1630" s="401" t="s">
        <v>2706</v>
      </c>
      <c r="P1630" s="392"/>
      <c r="Q1630" s="327"/>
      <c r="R1630" s="351"/>
      <c r="S1630" s="351"/>
      <c r="T1630" s="351"/>
      <c r="U1630" s="329" t="str">
        <f>IF($N1630=$N$4,IFERROR(INDEX(DanhMuc!$E$154:$E$165,MATCH(MID($B1630,4,2),DanhMuc!$B$154:$B$165,0)),""),"")</f>
        <v/>
      </c>
      <c r="V1630" s="361"/>
      <c r="W1630" s="345"/>
      <c r="X1630" s="329" t="str">
        <f t="shared" ref="X1630:X1715" si="207">IF($N1630="PR",$E1630,MID($B1630,10,2))</f>
        <v>3H</v>
      </c>
      <c r="Y1630" s="1128" t="s">
        <v>3380</v>
      </c>
      <c r="Z1630" s="1128" t="s">
        <v>3381</v>
      </c>
      <c r="AA1630" s="1128" t="s">
        <v>3384</v>
      </c>
      <c r="AB1630" s="20"/>
      <c r="AC1630" s="73"/>
    </row>
    <row r="1631" spans="1:29">
      <c r="A1631" s="327" t="str">
        <f>IF(AND($B1631&lt;&gt;"",$C1631&lt;&gt;""),MAX($A$1556:A1630)+1,"")</f>
        <v/>
      </c>
      <c r="B1631" s="361" t="s">
        <v>1979</v>
      </c>
      <c r="C1631" s="360"/>
      <c r="D1631" s="327">
        <f>IF($B1631="","",COUNTIF($B$6:$B1631,$B1631))</f>
        <v>5</v>
      </c>
      <c r="E1631" s="399" t="s">
        <v>2539</v>
      </c>
      <c r="F1631" s="400" t="s">
        <v>2540</v>
      </c>
      <c r="G1631" s="327" t="s">
        <v>155</v>
      </c>
      <c r="H1631" s="327" t="s">
        <v>536</v>
      </c>
      <c r="I1631" s="327">
        <v>1</v>
      </c>
      <c r="J1631" s="345"/>
      <c r="K1631" s="327"/>
      <c r="L1631" s="389">
        <v>140000</v>
      </c>
      <c r="M1631" s="371"/>
      <c r="N1631" s="355" t="str">
        <f t="shared" si="204"/>
        <v>PK</v>
      </c>
      <c r="O1631" s="401" t="s">
        <v>2701</v>
      </c>
      <c r="P1631" s="392"/>
      <c r="Q1631" s="327"/>
      <c r="R1631" s="351"/>
      <c r="S1631" s="351"/>
      <c r="T1631" s="351"/>
      <c r="U1631" s="329" t="str">
        <f>IF($N1631=$N$4,IFERROR(INDEX(DanhMuc!$E$154:$E$165,MATCH(MID($B1631,4,2),DanhMuc!$B$154:$B$165,0)),""),"")</f>
        <v/>
      </c>
      <c r="V1631" s="361"/>
      <c r="W1631" s="345"/>
      <c r="X1631" s="329" t="str">
        <f t="shared" si="199"/>
        <v>3H</v>
      </c>
      <c r="Y1631" s="1128" t="s">
        <v>3380</v>
      </c>
      <c r="Z1631" s="1128" t="s">
        <v>3381</v>
      </c>
      <c r="AA1631" s="1128" t="s">
        <v>3384</v>
      </c>
      <c r="AB1631" s="20"/>
      <c r="AC1631" s="73"/>
    </row>
    <row r="1632" spans="1:29">
      <c r="A1632" s="327" t="str">
        <f>IF(AND($B1632&lt;&gt;"",$C1632&lt;&gt;""),MAX($A$1556:A1631)+1,"")</f>
        <v/>
      </c>
      <c r="B1632" s="361" t="s">
        <v>1979</v>
      </c>
      <c r="C1632" s="360"/>
      <c r="D1632" s="327">
        <f>IF($B1632="","",COUNTIF($B$6:$B1632,$B1632))</f>
        <v>6</v>
      </c>
      <c r="E1632" s="399" t="s">
        <v>2669</v>
      </c>
      <c r="F1632" s="400" t="s">
        <v>2668</v>
      </c>
      <c r="G1632" s="327" t="s">
        <v>155</v>
      </c>
      <c r="H1632" s="327" t="s">
        <v>536</v>
      </c>
      <c r="I1632" s="327">
        <v>1</v>
      </c>
      <c r="J1632" s="345"/>
      <c r="K1632" s="327"/>
      <c r="L1632" s="389">
        <v>140000</v>
      </c>
      <c r="M1632" s="371"/>
      <c r="N1632" s="355" t="str">
        <f t="shared" si="204"/>
        <v>PK</v>
      </c>
      <c r="O1632" s="401" t="s">
        <v>2702</v>
      </c>
      <c r="P1632" s="392"/>
      <c r="Q1632" s="327"/>
      <c r="R1632" s="351"/>
      <c r="S1632" s="351"/>
      <c r="T1632" s="351"/>
      <c r="U1632" s="329" t="str">
        <f>IF($N1632=$N$4,IFERROR(INDEX(DanhMuc!$E$154:$E$165,MATCH(MID($B1632,4,2),DanhMuc!$B$154:$B$165,0)),""),"")</f>
        <v/>
      </c>
      <c r="V1632" s="361"/>
      <c r="W1632" s="345"/>
      <c r="X1632" s="329" t="str">
        <f t="shared" si="199"/>
        <v>3H</v>
      </c>
      <c r="Y1632" s="1128" t="s">
        <v>3380</v>
      </c>
      <c r="Z1632" s="1128" t="s">
        <v>3381</v>
      </c>
      <c r="AA1632" s="1128" t="s">
        <v>3384</v>
      </c>
      <c r="AB1632" s="20"/>
      <c r="AC1632" s="73"/>
    </row>
    <row r="1633" spans="1:29">
      <c r="A1633" s="327" t="str">
        <f>IF(AND($B1633&lt;&gt;"",$C1633&lt;&gt;""),MAX($A$1556:A1632)+1,"")</f>
        <v/>
      </c>
      <c r="B1633" s="361" t="s">
        <v>1979</v>
      </c>
      <c r="C1633" s="360"/>
      <c r="D1633" s="327">
        <f>IF($B1633="","",COUNTIF($B$6:$B1633,$B1633))</f>
        <v>7</v>
      </c>
      <c r="E1633" s="402" t="s">
        <v>2284</v>
      </c>
      <c r="F1633" s="403" t="s">
        <v>197</v>
      </c>
      <c r="G1633" s="327" t="s">
        <v>155</v>
      </c>
      <c r="H1633" s="327" t="s">
        <v>536</v>
      </c>
      <c r="I1633" s="327">
        <v>1</v>
      </c>
      <c r="J1633" s="345"/>
      <c r="K1633" s="327"/>
      <c r="L1633" s="389">
        <v>135000</v>
      </c>
      <c r="M1633" s="371"/>
      <c r="N1633" s="355" t="str">
        <f t="shared" si="204"/>
        <v>PK</v>
      </c>
      <c r="O1633" s="404" t="s">
        <v>1626</v>
      </c>
      <c r="P1633" s="392"/>
      <c r="Q1633" s="327"/>
      <c r="R1633" s="351"/>
      <c r="S1633" s="351"/>
      <c r="T1633" s="351"/>
      <c r="U1633" s="329" t="str">
        <f>IF($N1633=$N$4,IFERROR(INDEX(DanhMuc!$E$154:$E$165,MATCH(MID($B1633,4,2),DanhMuc!$B$154:$B$165,0)),""),"")</f>
        <v/>
      </c>
      <c r="V1633" s="361"/>
      <c r="W1633" s="345"/>
      <c r="X1633" s="329" t="str">
        <f t="shared" si="207"/>
        <v>3H</v>
      </c>
      <c r="Y1633" s="1128" t="s">
        <v>3380</v>
      </c>
      <c r="Z1633" s="1128" t="s">
        <v>3381</v>
      </c>
      <c r="AA1633" s="1128" t="s">
        <v>3384</v>
      </c>
      <c r="AB1633" s="20"/>
      <c r="AC1633" s="73"/>
    </row>
    <row r="1634" spans="1:29">
      <c r="A1634" s="327" t="str">
        <f>IF(AND($B1634&lt;&gt;"",$C1634&lt;&gt;""),MAX($A$1556:A1633)+1,"")</f>
        <v/>
      </c>
      <c r="B1634" s="361" t="s">
        <v>1979</v>
      </c>
      <c r="C1634" s="360"/>
      <c r="D1634" s="327">
        <f>IF($B1634="","",COUNTIF($B$6:$B1634,$B1634))</f>
        <v>8</v>
      </c>
      <c r="E1634" s="402" t="s">
        <v>20</v>
      </c>
      <c r="F1634" s="403" t="s">
        <v>79</v>
      </c>
      <c r="G1634" s="327" t="s">
        <v>155</v>
      </c>
      <c r="H1634" s="327" t="s">
        <v>536</v>
      </c>
      <c r="I1634" s="327">
        <v>1</v>
      </c>
      <c r="J1634" s="345"/>
      <c r="K1634" s="327"/>
      <c r="L1634" s="389">
        <v>185000</v>
      </c>
      <c r="M1634" s="371"/>
      <c r="N1634" s="355" t="str">
        <f t="shared" si="204"/>
        <v>PK</v>
      </c>
      <c r="O1634" s="404" t="s">
        <v>1623</v>
      </c>
      <c r="P1634" s="392"/>
      <c r="Q1634" s="327"/>
      <c r="R1634" s="351"/>
      <c r="S1634" s="351"/>
      <c r="T1634" s="351"/>
      <c r="U1634" s="329" t="str">
        <f>IF($N1634=$N$4,IFERROR(INDEX(DanhMuc!$E$154:$E$165,MATCH(MID($B1634,4,2),DanhMuc!$B$154:$B$165,0)),""),"")</f>
        <v/>
      </c>
      <c r="V1634" s="361"/>
      <c r="W1634" s="345"/>
      <c r="X1634" s="329" t="str">
        <f t="shared" si="207"/>
        <v>3H</v>
      </c>
      <c r="Y1634" s="1128" t="s">
        <v>3380</v>
      </c>
      <c r="Z1634" s="1128" t="s">
        <v>3381</v>
      </c>
      <c r="AA1634" s="1128" t="s">
        <v>3384</v>
      </c>
      <c r="AB1634" s="20"/>
      <c r="AC1634" s="73"/>
    </row>
    <row r="1635" spans="1:29">
      <c r="A1635" s="327" t="str">
        <f>IF(AND($B1635&lt;&gt;"",$C1635&lt;&gt;""),MAX($A$1556:A1634)+1,"")</f>
        <v/>
      </c>
      <c r="B1635" s="361" t="s">
        <v>1979</v>
      </c>
      <c r="C1635" s="360"/>
      <c r="D1635" s="327">
        <f>IF($B1635="","",COUNTIF($B$6:$B1635,$B1635))</f>
        <v>9</v>
      </c>
      <c r="E1635" s="361" t="s">
        <v>673</v>
      </c>
      <c r="F1635" s="362" t="s">
        <v>1075</v>
      </c>
      <c r="G1635" s="327" t="s">
        <v>155</v>
      </c>
      <c r="H1635" s="327" t="s">
        <v>536</v>
      </c>
      <c r="I1635" s="327">
        <v>2</v>
      </c>
      <c r="J1635" s="345"/>
      <c r="K1635" s="327"/>
      <c r="L1635" s="389">
        <v>17000</v>
      </c>
      <c r="M1635" s="371"/>
      <c r="N1635" s="355" t="str">
        <f t="shared" si="204"/>
        <v>PK</v>
      </c>
      <c r="O1635" s="404" t="s">
        <v>1623</v>
      </c>
      <c r="P1635" s="392"/>
      <c r="Q1635" s="327"/>
      <c r="R1635" s="351"/>
      <c r="S1635" s="351"/>
      <c r="T1635" s="351"/>
      <c r="U1635" s="329" t="str">
        <f>IF($N1635=$N$4,IFERROR(INDEX(DanhMuc!$E$154:$E$165,MATCH(MID($B1635,4,2),DanhMuc!$B$154:$B$165,0)),""),"")</f>
        <v/>
      </c>
      <c r="V1635" s="361"/>
      <c r="W1635" s="345"/>
      <c r="X1635" s="329" t="str">
        <f t="shared" si="207"/>
        <v>3H</v>
      </c>
      <c r="Y1635" s="1128" t="s">
        <v>3380</v>
      </c>
      <c r="Z1635" s="1128" t="s">
        <v>3381</v>
      </c>
      <c r="AA1635" s="1128" t="s">
        <v>3384</v>
      </c>
      <c r="AB1635" s="20"/>
      <c r="AC1635" s="73"/>
    </row>
    <row r="1636" spans="1:29">
      <c r="A1636" s="327" t="str">
        <f>IF(AND($B1636&lt;&gt;"",$C1636&lt;&gt;""),MAX($A$1556:A1635)+1,"")</f>
        <v/>
      </c>
      <c r="B1636" s="361" t="s">
        <v>1979</v>
      </c>
      <c r="C1636" s="360"/>
      <c r="D1636" s="327">
        <f>IF($B1636="","",COUNTIF($B$6:$B1636,$B1636))</f>
        <v>10</v>
      </c>
      <c r="E1636" s="402" t="s">
        <v>91</v>
      </c>
      <c r="F1636" s="403" t="s">
        <v>92</v>
      </c>
      <c r="G1636" s="327" t="s">
        <v>155</v>
      </c>
      <c r="H1636" s="327" t="s">
        <v>536</v>
      </c>
      <c r="I1636" s="327">
        <v>2</v>
      </c>
      <c r="J1636" s="345"/>
      <c r="K1636" s="327"/>
      <c r="L1636" s="389">
        <v>6500</v>
      </c>
      <c r="M1636" s="371"/>
      <c r="N1636" s="355" t="str">
        <f>+$N$1555</f>
        <v>PK</v>
      </c>
      <c r="O1636" s="404" t="s">
        <v>1623</v>
      </c>
      <c r="P1636" s="392"/>
      <c r="Q1636" s="327"/>
      <c r="R1636" s="351"/>
      <c r="S1636" s="351"/>
      <c r="T1636" s="351"/>
      <c r="U1636" s="329" t="str">
        <f>IF($N1636=$N$4,IFERROR(INDEX(DanhMuc!$E$154:$E$165,MATCH(MID($B1636,4,2),DanhMuc!$B$154:$B$165,0)),""),"")</f>
        <v/>
      </c>
      <c r="V1636" s="361"/>
      <c r="W1636" s="345"/>
      <c r="X1636" s="329" t="str">
        <f t="shared" si="207"/>
        <v>3H</v>
      </c>
      <c r="Y1636" s="1128" t="s">
        <v>3380</v>
      </c>
      <c r="Z1636" s="1128" t="s">
        <v>3381</v>
      </c>
      <c r="AA1636" s="1128" t="s">
        <v>3384</v>
      </c>
      <c r="AB1636" s="20"/>
      <c r="AC1636" s="73"/>
    </row>
    <row r="1637" spans="1:29">
      <c r="A1637" s="327" t="str">
        <f>IF(AND($B1637&lt;&gt;"",$C1637&lt;&gt;""),MAX($A$1556:A1636)+1,"")</f>
        <v/>
      </c>
      <c r="B1637" s="361" t="s">
        <v>1979</v>
      </c>
      <c r="C1637" s="360"/>
      <c r="D1637" s="327">
        <f>IF($B1637="","",COUNTIF($B$6:$B1637,$B1637))</f>
        <v>11</v>
      </c>
      <c r="E1637" s="365" t="s">
        <v>327</v>
      </c>
      <c r="F1637" s="368" t="s">
        <v>345</v>
      </c>
      <c r="G1637" s="367" t="s">
        <v>690</v>
      </c>
      <c r="H1637" s="327" t="s">
        <v>536</v>
      </c>
      <c r="I1637" s="327">
        <v>1</v>
      </c>
      <c r="J1637" s="345" t="s">
        <v>634</v>
      </c>
      <c r="K1637" s="327"/>
      <c r="L1637" s="348">
        <f>+$S1637*$T1637*$L$37</f>
        <v>84651</v>
      </c>
      <c r="M1637" s="371"/>
      <c r="N1637" s="369" t="s">
        <v>150</v>
      </c>
      <c r="O1637" s="404" t="s">
        <v>1623</v>
      </c>
      <c r="P1637" s="392"/>
      <c r="Q1637" s="327"/>
      <c r="R1637" s="351">
        <v>2.5</v>
      </c>
      <c r="S1637" s="351">
        <v>5.8</v>
      </c>
      <c r="T1637" s="351">
        <v>0.13900000000000001</v>
      </c>
      <c r="U1637" s="329">
        <f>IF($N1637=$N$4,IFERROR(INDEX(DanhMuc!$E$154:$E$165,MATCH(MID($B1637,4,2),DanhMuc!$B$154:$B$165,0)),""),"")</f>
        <v>5800</v>
      </c>
      <c r="V1637" s="361"/>
      <c r="W1637" s="345"/>
      <c r="X1637" s="329" t="str">
        <f t="shared" si="207"/>
        <v>C459</v>
      </c>
      <c r="Y1637" s="1128" t="s">
        <v>3380</v>
      </c>
      <c r="Z1637" s="1128" t="s">
        <v>3381</v>
      </c>
      <c r="AA1637" s="1128" t="s">
        <v>3384</v>
      </c>
      <c r="AB1637" s="20"/>
      <c r="AC1637" s="73"/>
    </row>
    <row r="1638" spans="1:29" ht="14">
      <c r="A1638" s="327" t="str">
        <f>IF(AND($B1638&lt;&gt;"",$C1638&lt;&gt;""),MAX($A$1556:A1637)+1,"")</f>
        <v/>
      </c>
      <c r="B1638" s="361" t="s">
        <v>1979</v>
      </c>
      <c r="C1638" s="360"/>
      <c r="D1638" s="327">
        <f>IF($B1638="","",COUNTIF($B$6:$B1638,$B1638))</f>
        <v>12</v>
      </c>
      <c r="E1638" s="409" t="s">
        <v>325</v>
      </c>
      <c r="F1638" s="362" t="s">
        <v>257</v>
      </c>
      <c r="G1638" s="327" t="s">
        <v>155</v>
      </c>
      <c r="H1638" s="327" t="s">
        <v>536</v>
      </c>
      <c r="I1638" s="327">
        <v>1</v>
      </c>
      <c r="J1638" s="361"/>
      <c r="K1638" s="327"/>
      <c r="L1638" s="389">
        <v>16000</v>
      </c>
      <c r="M1638" s="371"/>
      <c r="N1638" s="355" t="str">
        <f t="shared" ref="N1638:N1640" si="208">+$N$1555</f>
        <v>PK</v>
      </c>
      <c r="O1638" s="345"/>
      <c r="P1638" s="392"/>
      <c r="Q1638" s="327"/>
      <c r="R1638" s="351"/>
      <c r="S1638" s="351"/>
      <c r="T1638" s="351"/>
      <c r="U1638" s="329" t="str">
        <f>IF($N1638=$N$4,IFERROR(INDEX(DanhMuc!$E$154:$E$165,MATCH(MID($B1638,4,2),DanhMuc!$B$154:$B$165,0)),""),"")</f>
        <v/>
      </c>
      <c r="V1638" s="361"/>
      <c r="W1638" s="345"/>
      <c r="X1638" s="329" t="str">
        <f t="shared" si="207"/>
        <v>3H</v>
      </c>
      <c r="Y1638" s="1128" t="s">
        <v>3380</v>
      </c>
      <c r="Z1638" s="1128" t="s">
        <v>3381</v>
      </c>
      <c r="AA1638" s="1128" t="s">
        <v>3384</v>
      </c>
      <c r="AB1638" s="20"/>
      <c r="AC1638" s="73"/>
    </row>
    <row r="1639" spans="1:29">
      <c r="A1639" s="327" t="str">
        <f>IF(AND($B1639&lt;&gt;"",$C1639&lt;&gt;""),MAX($A$1556:A1638)+1,"")</f>
        <v/>
      </c>
      <c r="B1639" s="361" t="s">
        <v>1979</v>
      </c>
      <c r="C1639" s="360"/>
      <c r="D1639" s="327">
        <f>IF($B1639="","",COUNTIF($B$6:$B1639,$B1639))</f>
        <v>13</v>
      </c>
      <c r="E1639" s="402" t="s">
        <v>89</v>
      </c>
      <c r="F1639" s="362" t="s">
        <v>90</v>
      </c>
      <c r="G1639" s="327" t="s">
        <v>155</v>
      </c>
      <c r="H1639" s="327" t="s">
        <v>536</v>
      </c>
      <c r="I1639" s="327">
        <v>3</v>
      </c>
      <c r="J1639" s="345"/>
      <c r="K1639" s="327"/>
      <c r="L1639" s="389">
        <v>6500</v>
      </c>
      <c r="M1639" s="371"/>
      <c r="N1639" s="355" t="str">
        <f t="shared" si="208"/>
        <v>PK</v>
      </c>
      <c r="O1639" s="345"/>
      <c r="P1639" s="392"/>
      <c r="Q1639" s="327"/>
      <c r="R1639" s="351"/>
      <c r="S1639" s="351"/>
      <c r="T1639" s="351"/>
      <c r="U1639" s="329" t="str">
        <f>IF($N1639=$N$4,IFERROR(INDEX(DanhMuc!$E$154:$E$165,MATCH(MID($B1639,4,2),DanhMuc!$B$154:$B$165,0)),""),"")</f>
        <v/>
      </c>
      <c r="V1639" s="361"/>
      <c r="W1639" s="345"/>
      <c r="X1639" s="329" t="str">
        <f t="shared" si="207"/>
        <v>3H</v>
      </c>
      <c r="Y1639" s="1128" t="s">
        <v>3380</v>
      </c>
      <c r="Z1639" s="1128" t="s">
        <v>3381</v>
      </c>
      <c r="AA1639" s="1128" t="s">
        <v>3384</v>
      </c>
      <c r="AB1639" s="20"/>
      <c r="AC1639" s="73"/>
    </row>
    <row r="1640" spans="1:29" s="25" customFormat="1">
      <c r="A1640" s="327" t="str">
        <f>IF(AND($B1640&lt;&gt;"",$C1640&lt;&gt;""),MAX($A$1556:A1639)+1,"")</f>
        <v/>
      </c>
      <c r="B1640" s="361" t="s">
        <v>1979</v>
      </c>
      <c r="C1640" s="360"/>
      <c r="D1640" s="327">
        <f>IF($B1640="","",COUNTIF($B$6:$B1640,$B1640))</f>
        <v>14</v>
      </c>
      <c r="E1640" s="361" t="s">
        <v>2982</v>
      </c>
      <c r="F1640" s="362" t="s">
        <v>2981</v>
      </c>
      <c r="G1640" s="327" t="s">
        <v>344</v>
      </c>
      <c r="H1640" s="327"/>
      <c r="I1640" s="327">
        <v>6</v>
      </c>
      <c r="J1640" s="361"/>
      <c r="K1640" s="327"/>
      <c r="L1640" s="389">
        <v>60000</v>
      </c>
      <c r="M1640" s="371"/>
      <c r="N1640" s="355" t="str">
        <f t="shared" si="208"/>
        <v>PK</v>
      </c>
      <c r="O1640" s="345"/>
      <c r="P1640" s="392"/>
      <c r="Q1640" s="327"/>
      <c r="R1640" s="351"/>
      <c r="S1640" s="351"/>
      <c r="T1640" s="351"/>
      <c r="U1640" s="329" t="str">
        <f>IF($N1640=$N$4,IFERROR(INDEX(DanhMuc!$E$154:$E$165,MATCH(MID($B1640,4,2),DanhMuc!$B$154:$B$165,0)),""),"")</f>
        <v/>
      </c>
      <c r="V1640" s="365"/>
      <c r="W1640" s="345"/>
      <c r="X1640" s="329" t="str">
        <f t="shared" si="207"/>
        <v>3H</v>
      </c>
      <c r="Y1640" s="1128" t="s">
        <v>3380</v>
      </c>
      <c r="Z1640" s="1128" t="s">
        <v>3381</v>
      </c>
      <c r="AA1640" s="1128" t="s">
        <v>3384</v>
      </c>
      <c r="AB1640" s="20"/>
      <c r="AC1640" s="73"/>
    </row>
    <row r="1641" spans="1:29" s="25" customFormat="1">
      <c r="A1641" s="327" t="str">
        <f>IF(AND($B1641&lt;&gt;"",$C1641&lt;&gt;""),MAX($A$1556:A1640)+1,"")</f>
        <v/>
      </c>
      <c r="B1641" s="361" t="s">
        <v>1979</v>
      </c>
      <c r="C1641" s="346"/>
      <c r="D1641" s="367">
        <f>IF($B1641="","",COUNTIF($B$6:$B1641,$B1641))</f>
        <v>15</v>
      </c>
      <c r="E1641" s="365" t="s">
        <v>327</v>
      </c>
      <c r="F1641" s="368" t="s">
        <v>345</v>
      </c>
      <c r="G1641" s="367" t="s">
        <v>690</v>
      </c>
      <c r="H1641" s="327" t="s">
        <v>536</v>
      </c>
      <c r="I1641" s="367">
        <v>3</v>
      </c>
      <c r="J1641" s="365" t="s">
        <v>80</v>
      </c>
      <c r="K1641" s="367"/>
      <c r="L1641" s="348">
        <f>+$S1641*$T1641*$L$37</f>
        <v>84651</v>
      </c>
      <c r="M1641" s="371"/>
      <c r="N1641" s="369" t="s">
        <v>150</v>
      </c>
      <c r="O1641" s="345"/>
      <c r="P1641" s="392"/>
      <c r="Q1641" s="327"/>
      <c r="R1641" s="351">
        <v>2.5</v>
      </c>
      <c r="S1641" s="351">
        <v>5.8</v>
      </c>
      <c r="T1641" s="351">
        <v>0.13900000000000001</v>
      </c>
      <c r="U1641" s="329">
        <f>IF($N1641=$N$4,IFERROR(INDEX(DanhMuc!$E$154:$E$165,MATCH(MID($B1641,4,2),DanhMuc!$B$154:$B$165,0)),""),"")</f>
        <v>5800</v>
      </c>
      <c r="V1641" s="365"/>
      <c r="W1641" s="345"/>
      <c r="X1641" s="329" t="str">
        <f t="shared" si="207"/>
        <v>C459</v>
      </c>
      <c r="Y1641" s="1128" t="s">
        <v>3380</v>
      </c>
      <c r="Z1641" s="1128" t="s">
        <v>3381</v>
      </c>
      <c r="AA1641" s="1128" t="s">
        <v>3384</v>
      </c>
      <c r="AB1641" s="20"/>
      <c r="AC1641" s="73"/>
    </row>
    <row r="1642" spans="1:29" ht="25">
      <c r="A1642" s="327" t="str">
        <f>IF(AND($B1642&lt;&gt;"",$C1642&lt;&gt;""),MAX($A$1556:A1641)+1,"")</f>
        <v/>
      </c>
      <c r="B1642" s="361" t="s">
        <v>1979</v>
      </c>
      <c r="C1642" s="360"/>
      <c r="D1642" s="327">
        <f>IF($B1642="","",COUNTIF($B$6:$B1642,$B1642))</f>
        <v>16</v>
      </c>
      <c r="E1642" s="405" t="s">
        <v>674</v>
      </c>
      <c r="F1642" s="406" t="s">
        <v>676</v>
      </c>
      <c r="G1642" s="327" t="s">
        <v>155</v>
      </c>
      <c r="H1642" s="327"/>
      <c r="I1642" s="327">
        <v>3</v>
      </c>
      <c r="J1642" s="345"/>
      <c r="K1642" s="327"/>
      <c r="L1642" s="389">
        <v>155000</v>
      </c>
      <c r="M1642" s="371"/>
      <c r="N1642" s="355" t="str">
        <f t="shared" ref="N1642:N1647" si="209">+$N$1555</f>
        <v>PK</v>
      </c>
      <c r="O1642" s="407" t="s">
        <v>17</v>
      </c>
      <c r="P1642" s="392"/>
      <c r="Q1642" s="327"/>
      <c r="R1642" s="351"/>
      <c r="S1642" s="351"/>
      <c r="T1642" s="351"/>
      <c r="U1642" s="329" t="str">
        <f>IF($N1642=$N$4,IFERROR(INDEX(DanhMuc!$E$154:$E$165,MATCH(MID($B1642,4,2),DanhMuc!$B$154:$B$165,0)),""),"")</f>
        <v/>
      </c>
      <c r="V1642" s="408" t="s">
        <v>343</v>
      </c>
      <c r="W1642" s="345"/>
      <c r="X1642" s="329" t="str">
        <f t="shared" si="207"/>
        <v>3H</v>
      </c>
      <c r="Y1642" s="1128" t="s">
        <v>3380</v>
      </c>
      <c r="Z1642" s="1128" t="s">
        <v>3381</v>
      </c>
      <c r="AA1642" s="1128" t="s">
        <v>3384</v>
      </c>
      <c r="AB1642" s="20"/>
      <c r="AC1642" s="73"/>
    </row>
    <row r="1643" spans="1:29" ht="25">
      <c r="A1643" s="327" t="str">
        <f>IF(AND($B1643&lt;&gt;"",$C1643&lt;&gt;""),MAX($A$1556:A1642)+1,"")</f>
        <v/>
      </c>
      <c r="B1643" s="361" t="s">
        <v>1979</v>
      </c>
      <c r="C1643" s="360"/>
      <c r="D1643" s="327">
        <f>IF($B1643="","",COUNTIF($B$6:$B1643,$B1643))</f>
        <v>17</v>
      </c>
      <c r="E1643" s="405" t="s">
        <v>675</v>
      </c>
      <c r="F1643" s="406" t="s">
        <v>677</v>
      </c>
      <c r="G1643" s="327" t="s">
        <v>155</v>
      </c>
      <c r="H1643" s="327"/>
      <c r="I1643" s="327">
        <v>3</v>
      </c>
      <c r="J1643" s="345"/>
      <c r="K1643" s="327"/>
      <c r="L1643" s="389">
        <v>155000</v>
      </c>
      <c r="M1643" s="371"/>
      <c r="N1643" s="355" t="str">
        <f t="shared" si="209"/>
        <v>PK</v>
      </c>
      <c r="O1643" s="407" t="s">
        <v>17</v>
      </c>
      <c r="P1643" s="392"/>
      <c r="Q1643" s="327"/>
      <c r="R1643" s="351"/>
      <c r="S1643" s="351"/>
      <c r="T1643" s="351"/>
      <c r="U1643" s="329" t="str">
        <f>IF($N1643=$N$4,IFERROR(INDEX(DanhMuc!$E$154:$E$165,MATCH(MID($B1643,4,2),DanhMuc!$B$154:$B$165,0)),""),"")</f>
        <v/>
      </c>
      <c r="V1643" s="408" t="s">
        <v>343</v>
      </c>
      <c r="W1643" s="345"/>
      <c r="X1643" s="329" t="str">
        <f t="shared" si="207"/>
        <v>3H</v>
      </c>
      <c r="Y1643" s="1128" t="s">
        <v>3380</v>
      </c>
      <c r="Z1643" s="1128" t="s">
        <v>3381</v>
      </c>
      <c r="AA1643" s="1128" t="s">
        <v>3384</v>
      </c>
      <c r="AB1643" s="20"/>
      <c r="AC1643" s="73"/>
    </row>
    <row r="1644" spans="1:29">
      <c r="A1644" s="327" t="str">
        <f>IF(AND($B1644&lt;&gt;"",$C1644&lt;&gt;""),MAX($A$1556:A1642)+1,"")</f>
        <v/>
      </c>
      <c r="B1644" s="361" t="s">
        <v>1979</v>
      </c>
      <c r="C1644" s="360"/>
      <c r="D1644" s="327">
        <f>IF($B1644="","",COUNTIF($B$6:$B1644,$B1644))</f>
        <v>18</v>
      </c>
      <c r="E1644" s="405" t="s">
        <v>680</v>
      </c>
      <c r="F1644" s="406" t="s">
        <v>682</v>
      </c>
      <c r="G1644" s="327" t="s">
        <v>155</v>
      </c>
      <c r="H1644" s="327"/>
      <c r="I1644" s="327">
        <v>3</v>
      </c>
      <c r="J1644" s="345"/>
      <c r="K1644" s="327"/>
      <c r="L1644" s="389">
        <v>180000</v>
      </c>
      <c r="M1644" s="371"/>
      <c r="N1644" s="355" t="str">
        <f t="shared" si="209"/>
        <v>PK</v>
      </c>
      <c r="O1644" s="407" t="s">
        <v>17</v>
      </c>
      <c r="P1644" s="392"/>
      <c r="Q1644" s="327"/>
      <c r="R1644" s="351"/>
      <c r="S1644" s="351"/>
      <c r="T1644" s="351"/>
      <c r="U1644" s="329" t="str">
        <f>IF($N1644=$N$4,IFERROR(INDEX(DanhMuc!$E$154:$E$165,MATCH(MID($B1644,4,2),DanhMuc!$B$154:$B$165,0)),""),"")</f>
        <v/>
      </c>
      <c r="V1644" s="361"/>
      <c r="W1644" s="345"/>
      <c r="X1644" s="329" t="str">
        <f t="shared" si="207"/>
        <v>3H</v>
      </c>
      <c r="Y1644" s="1128" t="s">
        <v>3380</v>
      </c>
      <c r="Z1644" s="1128" t="s">
        <v>3381</v>
      </c>
      <c r="AA1644" s="1128" t="s">
        <v>3384</v>
      </c>
      <c r="AB1644" s="20"/>
      <c r="AC1644" s="73"/>
    </row>
    <row r="1645" spans="1:29">
      <c r="A1645" s="327" t="str">
        <f>IF(AND($B1645&lt;&gt;"",$C1645&lt;&gt;""),MAX($A$1556:A1643)+1,"")</f>
        <v/>
      </c>
      <c r="B1645" s="361" t="s">
        <v>1979</v>
      </c>
      <c r="C1645" s="360"/>
      <c r="D1645" s="327">
        <f>IF($B1645="","",COUNTIF($B$6:$B1645,$B1645))</f>
        <v>19</v>
      </c>
      <c r="E1645" s="405" t="s">
        <v>681</v>
      </c>
      <c r="F1645" s="406" t="s">
        <v>683</v>
      </c>
      <c r="G1645" s="327" t="s">
        <v>155</v>
      </c>
      <c r="H1645" s="327"/>
      <c r="I1645" s="327">
        <v>3</v>
      </c>
      <c r="J1645" s="345"/>
      <c r="K1645" s="327"/>
      <c r="L1645" s="389">
        <v>180000</v>
      </c>
      <c r="M1645" s="371"/>
      <c r="N1645" s="355" t="str">
        <f t="shared" si="209"/>
        <v>PK</v>
      </c>
      <c r="O1645" s="407" t="s">
        <v>17</v>
      </c>
      <c r="P1645" s="392"/>
      <c r="Q1645" s="327"/>
      <c r="R1645" s="351"/>
      <c r="S1645" s="351"/>
      <c r="T1645" s="351"/>
      <c r="U1645" s="329" t="str">
        <f>IF($N1645=$N$4,IFERROR(INDEX(DanhMuc!$E$154:$E$165,MATCH(MID($B1645,4,2),DanhMuc!$B$154:$B$165,0)),""),"")</f>
        <v/>
      </c>
      <c r="V1645" s="361"/>
      <c r="W1645" s="345"/>
      <c r="X1645" s="329" t="str">
        <f t="shared" si="207"/>
        <v>3H</v>
      </c>
      <c r="Y1645" s="1128" t="s">
        <v>3380</v>
      </c>
      <c r="Z1645" s="1128" t="s">
        <v>3381</v>
      </c>
      <c r="AA1645" s="1128" t="s">
        <v>3384</v>
      </c>
      <c r="AB1645" s="20"/>
      <c r="AC1645" s="73"/>
    </row>
    <row r="1646" spans="1:29">
      <c r="A1646" s="327" t="str">
        <f>IF(AND($B1646&lt;&gt;"",$C1646&lt;&gt;""),MAX($A$1556:A1644)+1,"")</f>
        <v/>
      </c>
      <c r="B1646" s="361" t="s">
        <v>1979</v>
      </c>
      <c r="C1646" s="360"/>
      <c r="D1646" s="327">
        <f>IF($B1646="","",COUNTIF($B$6:$B1646,$B1646))</f>
        <v>20</v>
      </c>
      <c r="E1646" s="405" t="s">
        <v>2322</v>
      </c>
      <c r="F1646" s="406" t="s">
        <v>2316</v>
      </c>
      <c r="G1646" s="327" t="s">
        <v>155</v>
      </c>
      <c r="H1646" s="327"/>
      <c r="I1646" s="327">
        <v>3</v>
      </c>
      <c r="J1646" s="345"/>
      <c r="K1646" s="327"/>
      <c r="L1646" s="389">
        <v>160000</v>
      </c>
      <c r="M1646" s="371"/>
      <c r="N1646" s="355" t="str">
        <f t="shared" si="209"/>
        <v>PK</v>
      </c>
      <c r="O1646" s="407" t="s">
        <v>21</v>
      </c>
      <c r="P1646" s="392"/>
      <c r="Q1646" s="327"/>
      <c r="R1646" s="351"/>
      <c r="S1646" s="351"/>
      <c r="T1646" s="351"/>
      <c r="U1646" s="329" t="str">
        <f>IF($N1646=$N$4,IFERROR(INDEX(DanhMuc!$E$154:$E$165,MATCH(MID($B1646,4,2),DanhMuc!$B$154:$B$165,0)),""),"")</f>
        <v/>
      </c>
      <c r="V1646" s="408" t="s">
        <v>343</v>
      </c>
      <c r="W1646" s="345"/>
      <c r="X1646" s="329" t="str">
        <f t="shared" si="207"/>
        <v>3H</v>
      </c>
      <c r="Y1646" s="1128" t="s">
        <v>3380</v>
      </c>
      <c r="Z1646" s="1128" t="s">
        <v>3381</v>
      </c>
      <c r="AA1646" s="1128" t="s">
        <v>3384</v>
      </c>
      <c r="AB1646" s="20"/>
      <c r="AC1646" s="73"/>
    </row>
    <row r="1647" spans="1:29">
      <c r="A1647" s="327" t="str">
        <f>IF(AND($B1647&lt;&gt;"",$C1647&lt;&gt;""),MAX($A$1556:A1645)+1,"")</f>
        <v/>
      </c>
      <c r="B1647" s="361" t="s">
        <v>1979</v>
      </c>
      <c r="C1647" s="360"/>
      <c r="D1647" s="327">
        <f>IF($B1647="","",COUNTIF($B$6:$B1647,$B1647))</f>
        <v>21</v>
      </c>
      <c r="E1647" s="405" t="s">
        <v>2323</v>
      </c>
      <c r="F1647" s="406" t="s">
        <v>2317</v>
      </c>
      <c r="G1647" s="327" t="s">
        <v>155</v>
      </c>
      <c r="H1647" s="327"/>
      <c r="I1647" s="327">
        <v>3</v>
      </c>
      <c r="J1647" s="345"/>
      <c r="K1647" s="327"/>
      <c r="L1647" s="389">
        <v>160000</v>
      </c>
      <c r="M1647" s="371"/>
      <c r="N1647" s="355" t="str">
        <f t="shared" si="209"/>
        <v>PK</v>
      </c>
      <c r="O1647" s="407" t="s">
        <v>21</v>
      </c>
      <c r="P1647" s="392"/>
      <c r="Q1647" s="327"/>
      <c r="R1647" s="351"/>
      <c r="S1647" s="351"/>
      <c r="T1647" s="351"/>
      <c r="U1647" s="329" t="str">
        <f>IF($N1647=$N$4,IFERROR(INDEX(DanhMuc!$E$154:$E$165,MATCH(MID($B1647,4,2),DanhMuc!$B$154:$B$165,0)),""),"")</f>
        <v/>
      </c>
      <c r="V1647" s="408" t="s">
        <v>343</v>
      </c>
      <c r="W1647" s="345"/>
      <c r="X1647" s="329" t="str">
        <f t="shared" si="207"/>
        <v>3H</v>
      </c>
      <c r="Y1647" s="1128" t="s">
        <v>3380</v>
      </c>
      <c r="Z1647" s="1128" t="s">
        <v>3381</v>
      </c>
      <c r="AA1647" s="1128" t="s">
        <v>3384</v>
      </c>
      <c r="AB1647" s="20"/>
      <c r="AC1647" s="73"/>
    </row>
    <row r="1648" spans="1:29">
      <c r="A1648" s="327" t="str">
        <f>IF(AND($B1648&lt;&gt;"",$C1648&lt;&gt;""),MAX($A$1556:A1646)+1,"")</f>
        <v/>
      </c>
      <c r="B1648" s="361" t="s">
        <v>1979</v>
      </c>
      <c r="C1648" s="360"/>
      <c r="D1648" s="327">
        <f>IF($B1648="","",COUNTIF($B$6:$B1648,$B1648))</f>
        <v>22</v>
      </c>
      <c r="E1648" s="405" t="s">
        <v>2320</v>
      </c>
      <c r="F1648" s="406" t="s">
        <v>2318</v>
      </c>
      <c r="G1648" s="327" t="s">
        <v>155</v>
      </c>
      <c r="H1648" s="327"/>
      <c r="I1648" s="327">
        <v>3</v>
      </c>
      <c r="J1648" s="345"/>
      <c r="K1648" s="327"/>
      <c r="L1648" s="389">
        <v>165000</v>
      </c>
      <c r="M1648" s="371"/>
      <c r="N1648" s="355" t="str">
        <f t="shared" ref="N1648:N1649" si="210">+$N$1555</f>
        <v>PK</v>
      </c>
      <c r="O1648" s="407" t="s">
        <v>21</v>
      </c>
      <c r="P1648" s="392"/>
      <c r="Q1648" s="327"/>
      <c r="R1648" s="351"/>
      <c r="S1648" s="351"/>
      <c r="T1648" s="351"/>
      <c r="U1648" s="329" t="str">
        <f>IF($N1648=$N$4,IFERROR(INDEX(DanhMuc!$E$154:$E$165,MATCH(MID($B1648,4,2),DanhMuc!$B$154:$B$165,0)),""),"")</f>
        <v/>
      </c>
      <c r="V1648" s="361"/>
      <c r="W1648" s="345"/>
      <c r="X1648" s="329" t="str">
        <f t="shared" si="207"/>
        <v>3H</v>
      </c>
      <c r="Y1648" s="1128" t="s">
        <v>3380</v>
      </c>
      <c r="Z1648" s="1128" t="s">
        <v>3381</v>
      </c>
      <c r="AA1648" s="1128" t="s">
        <v>3384</v>
      </c>
      <c r="AB1648" s="20"/>
      <c r="AC1648" s="73"/>
    </row>
    <row r="1649" spans="1:29">
      <c r="A1649" s="327" t="str">
        <f>IF(AND($B1649&lt;&gt;"",$C1649&lt;&gt;""),MAX($A$1556:A1647)+1,"")</f>
        <v/>
      </c>
      <c r="B1649" s="361" t="s">
        <v>1979</v>
      </c>
      <c r="C1649" s="360"/>
      <c r="D1649" s="327">
        <f>IF($B1649="","",COUNTIF($B$6:$B1649,$B1649))</f>
        <v>23</v>
      </c>
      <c r="E1649" s="405" t="s">
        <v>2321</v>
      </c>
      <c r="F1649" s="406" t="s">
        <v>2319</v>
      </c>
      <c r="G1649" s="327" t="s">
        <v>155</v>
      </c>
      <c r="H1649" s="327"/>
      <c r="I1649" s="327">
        <v>3</v>
      </c>
      <c r="J1649" s="345"/>
      <c r="K1649" s="327"/>
      <c r="L1649" s="389">
        <v>165000</v>
      </c>
      <c r="M1649" s="371"/>
      <c r="N1649" s="355" t="str">
        <f t="shared" si="210"/>
        <v>PK</v>
      </c>
      <c r="O1649" s="407" t="s">
        <v>21</v>
      </c>
      <c r="P1649" s="392"/>
      <c r="Q1649" s="327"/>
      <c r="R1649" s="351"/>
      <c r="S1649" s="351"/>
      <c r="T1649" s="351"/>
      <c r="U1649" s="329" t="str">
        <f>IF($N1649=$N$4,IFERROR(INDEX(DanhMuc!$E$154:$E$165,MATCH(MID($B1649,4,2),DanhMuc!$B$154:$B$165,0)),""),"")</f>
        <v/>
      </c>
      <c r="V1649" s="361"/>
      <c r="W1649" s="345"/>
      <c r="X1649" s="329" t="str">
        <f t="shared" si="207"/>
        <v>3H</v>
      </c>
      <c r="Y1649" s="1128" t="s">
        <v>3380</v>
      </c>
      <c r="Z1649" s="1128" t="s">
        <v>3381</v>
      </c>
      <c r="AA1649" s="1128" t="s">
        <v>3384</v>
      </c>
      <c r="AB1649" s="20"/>
      <c r="AC1649" s="73"/>
    </row>
    <row r="1650" spans="1:29">
      <c r="A1650" s="327" t="str">
        <f>IF(AND($B1650&lt;&gt;"",$C1650&lt;&gt;""),MAX($A$1556:A1645)+1,"")</f>
        <v/>
      </c>
      <c r="B1650" s="361" t="s">
        <v>1979</v>
      </c>
      <c r="C1650" s="360"/>
      <c r="D1650" s="327">
        <f>IF($B1650="","",COUNTIF($B$6:$B1650,$B1650))</f>
        <v>24</v>
      </c>
      <c r="E1650" s="361" t="s">
        <v>678</v>
      </c>
      <c r="F1650" s="362" t="s">
        <v>711</v>
      </c>
      <c r="G1650" s="327" t="s">
        <v>155</v>
      </c>
      <c r="H1650" s="327"/>
      <c r="I1650" s="327">
        <v>3</v>
      </c>
      <c r="J1650" s="361"/>
      <c r="K1650" s="327"/>
      <c r="L1650" s="389">
        <v>1250</v>
      </c>
      <c r="M1650" s="371"/>
      <c r="N1650" s="355" t="str">
        <f t="shared" ref="N1650:N1658" si="211">+$N$1555</f>
        <v>PK</v>
      </c>
      <c r="O1650" s="345"/>
      <c r="P1650" s="392"/>
      <c r="Q1650" s="327"/>
      <c r="R1650" s="351"/>
      <c r="S1650" s="351"/>
      <c r="T1650" s="351"/>
      <c r="U1650" s="329" t="str">
        <f>IF($N1650=$N$4,IFERROR(INDEX(DanhMuc!$E$154:$E$165,MATCH(MID($B1650,4,2),DanhMuc!$B$154:$B$165,0)),""),"")</f>
        <v/>
      </c>
      <c r="V1650" s="361"/>
      <c r="W1650" s="345"/>
      <c r="X1650" s="329" t="str">
        <f t="shared" si="207"/>
        <v>3H</v>
      </c>
      <c r="Y1650" s="1128" t="s">
        <v>3380</v>
      </c>
      <c r="Z1650" s="1128" t="s">
        <v>3381</v>
      </c>
      <c r="AA1650" s="1128" t="s">
        <v>3384</v>
      </c>
      <c r="AB1650" s="20"/>
      <c r="AC1650" s="73"/>
    </row>
    <row r="1651" spans="1:29">
      <c r="A1651" s="327" t="str">
        <f>IF(AND($B1651&lt;&gt;"",$C1651&lt;&gt;""),MAX($A$1556:A1650)+1,"")</f>
        <v/>
      </c>
      <c r="B1651" s="361" t="s">
        <v>1979</v>
      </c>
      <c r="C1651" s="360"/>
      <c r="D1651" s="327">
        <f>IF($B1651="","",COUNTIF($B$6:$B1651,$B1651))</f>
        <v>25</v>
      </c>
      <c r="E1651" s="361" t="s">
        <v>679</v>
      </c>
      <c r="F1651" s="362" t="s">
        <v>712</v>
      </c>
      <c r="G1651" s="327" t="s">
        <v>155</v>
      </c>
      <c r="H1651" s="327"/>
      <c r="I1651" s="327">
        <v>3</v>
      </c>
      <c r="J1651" s="361"/>
      <c r="K1651" s="327"/>
      <c r="L1651" s="389">
        <v>1250</v>
      </c>
      <c r="M1651" s="371"/>
      <c r="N1651" s="355" t="str">
        <f t="shared" si="211"/>
        <v>PK</v>
      </c>
      <c r="O1651" s="345"/>
      <c r="P1651" s="392"/>
      <c r="Q1651" s="327"/>
      <c r="R1651" s="351"/>
      <c r="S1651" s="351"/>
      <c r="T1651" s="351"/>
      <c r="U1651" s="329" t="str">
        <f>IF($N1651=$N$4,IFERROR(INDEX(DanhMuc!$E$154:$E$165,MATCH(MID($B1651,4,2),DanhMuc!$B$154:$B$165,0)),""),"")</f>
        <v/>
      </c>
      <c r="V1651" s="361"/>
      <c r="W1651" s="345"/>
      <c r="X1651" s="329" t="str">
        <f t="shared" si="207"/>
        <v>3H</v>
      </c>
      <c r="Y1651" s="1128" t="s">
        <v>3380</v>
      </c>
      <c r="Z1651" s="1128" t="s">
        <v>3381</v>
      </c>
      <c r="AA1651" s="1128" t="s">
        <v>3384</v>
      </c>
      <c r="AB1651" s="20"/>
      <c r="AC1651" s="73"/>
    </row>
    <row r="1652" spans="1:29">
      <c r="A1652" s="327" t="str">
        <f>IF(AND($B1652&lt;&gt;"",$C1652&lt;&gt;""),MAX($A$1556:A1650)+1,"")</f>
        <v/>
      </c>
      <c r="B1652" s="361" t="s">
        <v>1979</v>
      </c>
      <c r="C1652" s="360"/>
      <c r="D1652" s="327">
        <f>IF($B1652="","",COUNTIF($B$6:$B1652,$B1652))</f>
        <v>26</v>
      </c>
      <c r="E1652" s="361" t="s">
        <v>986</v>
      </c>
      <c r="F1652" s="362" t="s">
        <v>985</v>
      </c>
      <c r="G1652" s="327" t="s">
        <v>297</v>
      </c>
      <c r="H1652" s="327"/>
      <c r="I1652" s="327">
        <v>8</v>
      </c>
      <c r="J1652" s="345"/>
      <c r="K1652" s="327"/>
      <c r="L1652" s="389">
        <v>2450</v>
      </c>
      <c r="M1652" s="371"/>
      <c r="N1652" s="355" t="str">
        <f t="shared" si="211"/>
        <v>PK</v>
      </c>
      <c r="O1652" s="347" t="s">
        <v>1475</v>
      </c>
      <c r="P1652" s="392"/>
      <c r="Q1652" s="327"/>
      <c r="R1652" s="351"/>
      <c r="S1652" s="351"/>
      <c r="T1652" s="351"/>
      <c r="U1652" s="329" t="str">
        <f>IF($N1652=$N$4,IFERROR(INDEX(DanhMuc!$E$154:$E$165,MATCH(MID($B1652,4,2),DanhMuc!$B$154:$B$165,0)),""),"")</f>
        <v/>
      </c>
      <c r="V1652" s="408" t="s">
        <v>343</v>
      </c>
      <c r="W1652" s="345"/>
      <c r="X1652" s="329" t="str">
        <f t="shared" si="207"/>
        <v>3H</v>
      </c>
      <c r="Y1652" s="1128" t="s">
        <v>3380</v>
      </c>
      <c r="Z1652" s="1128" t="s">
        <v>3381</v>
      </c>
      <c r="AA1652" s="1128" t="s">
        <v>3384</v>
      </c>
      <c r="AB1652" s="20"/>
      <c r="AC1652" s="73"/>
    </row>
    <row r="1653" spans="1:29">
      <c r="A1653" s="327" t="str">
        <f>IF(AND($B1653&lt;&gt;"",$C1653&lt;&gt;""),MAX($A$1556:A1651)+1,"")</f>
        <v/>
      </c>
      <c r="B1653" s="361" t="s">
        <v>1979</v>
      </c>
      <c r="C1653" s="360"/>
      <c r="D1653" s="327">
        <f>IF($B1653="","",COUNTIF($B$6:$B1653,$B1653))</f>
        <v>27</v>
      </c>
      <c r="E1653" s="361" t="s">
        <v>1444</v>
      </c>
      <c r="F1653" s="362" t="s">
        <v>2356</v>
      </c>
      <c r="G1653" s="327" t="s">
        <v>297</v>
      </c>
      <c r="H1653" s="327"/>
      <c r="I1653" s="327">
        <v>2</v>
      </c>
      <c r="J1653" s="345"/>
      <c r="K1653" s="327"/>
      <c r="L1653" s="389">
        <v>17000</v>
      </c>
      <c r="M1653" s="371"/>
      <c r="N1653" s="355" t="str">
        <f t="shared" si="211"/>
        <v>PK</v>
      </c>
      <c r="O1653" s="347"/>
      <c r="P1653" s="392"/>
      <c r="Q1653" s="327"/>
      <c r="R1653" s="351"/>
      <c r="S1653" s="351"/>
      <c r="T1653" s="351"/>
      <c r="U1653" s="329" t="str">
        <f>IF($N1653=$N$4,IFERROR(INDEX(DanhMuc!$E$154:$E$165,MATCH(MID($B1653,4,2),DanhMuc!$B$154:$B$165,0)),""),"")</f>
        <v/>
      </c>
      <c r="V1653" s="408" t="s">
        <v>343</v>
      </c>
      <c r="W1653" s="345"/>
      <c r="X1653" s="329" t="str">
        <f t="shared" si="207"/>
        <v>3H</v>
      </c>
      <c r="Y1653" s="1128" t="s">
        <v>3380</v>
      </c>
      <c r="Z1653" s="1128" t="s">
        <v>3381</v>
      </c>
      <c r="AA1653" s="1128" t="s">
        <v>3384</v>
      </c>
      <c r="AB1653" s="20"/>
      <c r="AC1653" s="73"/>
    </row>
    <row r="1654" spans="1:29" ht="37.5">
      <c r="A1654" s="327">
        <f>IF(AND($B1654&lt;&gt;"",$C1654&lt;&gt;""),MAX($A$1556:A1652)+1,"")</f>
        <v>4</v>
      </c>
      <c r="B1654" s="359" t="s">
        <v>1980</v>
      </c>
      <c r="C1654" s="360" t="s">
        <v>1531</v>
      </c>
      <c r="D1654" s="327">
        <f>IF($B1654="","",COUNTIF($B$6:$B1654,$B1654))</f>
        <v>1</v>
      </c>
      <c r="E1654" s="361" t="s">
        <v>739</v>
      </c>
      <c r="F1654" s="362" t="s">
        <v>2562</v>
      </c>
      <c r="G1654" s="327" t="s">
        <v>297</v>
      </c>
      <c r="H1654" s="327"/>
      <c r="I1654" s="327">
        <v>1</v>
      </c>
      <c r="J1654" s="345"/>
      <c r="K1654" s="327"/>
      <c r="L1654" s="389">
        <v>199000</v>
      </c>
      <c r="M1654" s="371"/>
      <c r="N1654" s="355" t="str">
        <f t="shared" si="211"/>
        <v>PK</v>
      </c>
      <c r="O1654" s="404" t="s">
        <v>2560</v>
      </c>
      <c r="P1654" s="392"/>
      <c r="Q1654" s="327"/>
      <c r="R1654" s="351"/>
      <c r="S1654" s="351"/>
      <c r="T1654" s="351"/>
      <c r="U1654" s="329" t="str">
        <f>IF($N1654=$N$4,IFERROR(INDEX(DanhMuc!$E$154:$E$165,MATCH(MID($B1654,4,2),DanhMuc!$B$154:$B$165,0)),""),"")</f>
        <v/>
      </c>
      <c r="V1654" s="361"/>
      <c r="W1654" s="345"/>
      <c r="X1654" s="329" t="str">
        <f t="shared" si="207"/>
        <v>3H</v>
      </c>
      <c r="Y1654" s="1128" t="s">
        <v>3380</v>
      </c>
      <c r="Z1654" s="1128" t="s">
        <v>3381</v>
      </c>
      <c r="AA1654" s="1128" t="s">
        <v>3384</v>
      </c>
      <c r="AB1654" s="20"/>
      <c r="AC1654" s="73"/>
    </row>
    <row r="1655" spans="1:29" ht="37.5">
      <c r="A1655" s="327" t="str">
        <f>IF(AND($B1655&lt;&gt;"",$C1655&lt;&gt;""),MAX($A$1556:A1654)+1,"")</f>
        <v/>
      </c>
      <c r="B1655" s="361" t="s">
        <v>1980</v>
      </c>
      <c r="C1655" s="360"/>
      <c r="D1655" s="327">
        <f>IF($B1655="","",COUNTIF($B$6:$B1655,$B1655))</f>
        <v>2</v>
      </c>
      <c r="E1655" s="361" t="s">
        <v>739</v>
      </c>
      <c r="F1655" s="362" t="s">
        <v>2563</v>
      </c>
      <c r="G1655" s="327" t="s">
        <v>297</v>
      </c>
      <c r="H1655" s="327"/>
      <c r="I1655" s="327">
        <v>1</v>
      </c>
      <c r="J1655" s="345"/>
      <c r="K1655" s="327"/>
      <c r="L1655" s="389">
        <v>199000</v>
      </c>
      <c r="M1655" s="371"/>
      <c r="N1655" s="355" t="str">
        <f t="shared" si="211"/>
        <v>PK</v>
      </c>
      <c r="O1655" s="404" t="s">
        <v>2561</v>
      </c>
      <c r="P1655" s="392"/>
      <c r="Q1655" s="327"/>
      <c r="R1655" s="351"/>
      <c r="S1655" s="351"/>
      <c r="T1655" s="351"/>
      <c r="U1655" s="329" t="str">
        <f>IF($N1655=$N$4,IFERROR(INDEX(DanhMuc!$E$154:$E$165,MATCH(MID($B1655,4,2),DanhMuc!$B$154:$B$165,0)),""),"")</f>
        <v/>
      </c>
      <c r="V1655" s="361"/>
      <c r="W1655" s="345"/>
      <c r="X1655" s="329" t="str">
        <f t="shared" si="207"/>
        <v>3H</v>
      </c>
      <c r="Y1655" s="1128" t="s">
        <v>3380</v>
      </c>
      <c r="Z1655" s="1128" t="s">
        <v>3381</v>
      </c>
      <c r="AA1655" s="1128" t="s">
        <v>3384</v>
      </c>
      <c r="AB1655" s="20"/>
      <c r="AC1655" s="73"/>
    </row>
    <row r="1656" spans="1:29">
      <c r="A1656" s="327" t="str">
        <f>IF(AND($B1656&lt;&gt;"",$C1656&lt;&gt;""),MAX($A$1556:A1655)+1,"")</f>
        <v/>
      </c>
      <c r="B1656" s="361" t="s">
        <v>1980</v>
      </c>
      <c r="C1656" s="360"/>
      <c r="D1656" s="327">
        <f>IF($B1656="","",COUNTIF($B$6:$B1656,$B1656))</f>
        <v>3</v>
      </c>
      <c r="E1656" s="361" t="s">
        <v>159</v>
      </c>
      <c r="F1656" s="362" t="s">
        <v>160</v>
      </c>
      <c r="G1656" s="327" t="s">
        <v>155</v>
      </c>
      <c r="H1656" s="327"/>
      <c r="I1656" s="327">
        <v>1</v>
      </c>
      <c r="J1656" s="345"/>
      <c r="K1656" s="327"/>
      <c r="L1656" s="389">
        <v>5000</v>
      </c>
      <c r="M1656" s="371"/>
      <c r="N1656" s="355" t="str">
        <f t="shared" si="211"/>
        <v>PK</v>
      </c>
      <c r="O1656" s="404" t="s">
        <v>1783</v>
      </c>
      <c r="P1656" s="392"/>
      <c r="Q1656" s="327"/>
      <c r="R1656" s="351"/>
      <c r="S1656" s="351"/>
      <c r="T1656" s="351"/>
      <c r="U1656" s="329" t="str">
        <f>IF($N1656=$N$4,IFERROR(INDEX(DanhMuc!$E$154:$E$165,MATCH(MID($B1656,4,2),DanhMuc!$B$154:$B$165,0)),""),"")</f>
        <v/>
      </c>
      <c r="V1656" s="361"/>
      <c r="W1656" s="345"/>
      <c r="X1656" s="329" t="str">
        <f t="shared" si="207"/>
        <v>3H</v>
      </c>
      <c r="Y1656" s="1128" t="s">
        <v>3380</v>
      </c>
      <c r="Z1656" s="1128" t="s">
        <v>3381</v>
      </c>
      <c r="AA1656" s="1128" t="s">
        <v>3384</v>
      </c>
      <c r="AB1656" s="20"/>
      <c r="AC1656" s="73"/>
    </row>
    <row r="1657" spans="1:29">
      <c r="A1657" s="327" t="str">
        <f>IF(AND($B1657&lt;&gt;"",$C1657&lt;&gt;""),MAX($A$1556:A1656)+1,"")</f>
        <v/>
      </c>
      <c r="B1657" s="361" t="s">
        <v>1980</v>
      </c>
      <c r="C1657" s="360"/>
      <c r="D1657" s="327">
        <f>IF($B1657="","",COUNTIF($B$6:$B1657,$B1657))</f>
        <v>4</v>
      </c>
      <c r="E1657" s="361" t="s">
        <v>3135</v>
      </c>
      <c r="F1657" s="362" t="s">
        <v>3136</v>
      </c>
      <c r="G1657" s="327" t="s">
        <v>155</v>
      </c>
      <c r="H1657" s="327"/>
      <c r="I1657" s="327">
        <v>1</v>
      </c>
      <c r="J1657" s="345"/>
      <c r="K1657" s="327"/>
      <c r="L1657" s="389">
        <v>140000</v>
      </c>
      <c r="M1657" s="371"/>
      <c r="N1657" s="355" t="str">
        <f t="shared" si="211"/>
        <v>PK</v>
      </c>
      <c r="O1657" s="404" t="s">
        <v>3137</v>
      </c>
      <c r="P1657" s="392"/>
      <c r="Q1657" s="327"/>
      <c r="R1657" s="351"/>
      <c r="S1657" s="351"/>
      <c r="T1657" s="351"/>
      <c r="U1657" s="329" t="str">
        <f>IF($N1657=$N$4,IFERROR(INDEX(DanhMuc!$E$154:$E$165,MATCH(MID($B1657,4,2),DanhMuc!$B$154:$B$165,0)),""),"")</f>
        <v/>
      </c>
      <c r="V1657" s="361"/>
      <c r="W1657" s="345"/>
      <c r="X1657" s="329" t="str">
        <f t="shared" si="207"/>
        <v>3H</v>
      </c>
      <c r="Y1657" s="1128" t="s">
        <v>3380</v>
      </c>
      <c r="Z1657" s="1128" t="s">
        <v>3381</v>
      </c>
      <c r="AA1657" s="1128" t="s">
        <v>3384</v>
      </c>
      <c r="AB1657" s="20"/>
      <c r="AC1657" s="73"/>
    </row>
    <row r="1658" spans="1:29">
      <c r="A1658" s="327" t="str">
        <f>IF(AND($B1658&lt;&gt;"",$C1658&lt;&gt;""),MAX($A$1556:A1657)+1,"")</f>
        <v/>
      </c>
      <c r="B1658" s="361" t="s">
        <v>1980</v>
      </c>
      <c r="C1658" s="360"/>
      <c r="D1658" s="327">
        <f>IF($B1658="","",COUNTIF($B$6:$B1658,$B1658))</f>
        <v>5</v>
      </c>
      <c r="E1658" s="361" t="s">
        <v>159</v>
      </c>
      <c r="F1658" s="362" t="s">
        <v>160</v>
      </c>
      <c r="G1658" s="327" t="s">
        <v>155</v>
      </c>
      <c r="H1658" s="327"/>
      <c r="I1658" s="327">
        <v>1</v>
      </c>
      <c r="J1658" s="345"/>
      <c r="K1658" s="327"/>
      <c r="L1658" s="389">
        <v>5000</v>
      </c>
      <c r="M1658" s="371"/>
      <c r="N1658" s="355" t="str">
        <f t="shared" si="211"/>
        <v>PK</v>
      </c>
      <c r="O1658" s="404" t="s">
        <v>3137</v>
      </c>
      <c r="P1658" s="392"/>
      <c r="Q1658" s="327"/>
      <c r="R1658" s="351"/>
      <c r="S1658" s="351"/>
      <c r="T1658" s="351"/>
      <c r="U1658" s="329" t="str">
        <f>IF($N1658=$N$4,IFERROR(INDEX(DanhMuc!$E$154:$E$165,MATCH(MID($B1658,4,2),DanhMuc!$B$154:$B$165,0)),""),"")</f>
        <v/>
      </c>
      <c r="V1658" s="361"/>
      <c r="W1658" s="345"/>
      <c r="X1658" s="329" t="str">
        <f t="shared" si="207"/>
        <v>3H</v>
      </c>
      <c r="Y1658" s="1128" t="s">
        <v>3380</v>
      </c>
      <c r="Z1658" s="1128" t="s">
        <v>3381</v>
      </c>
      <c r="AA1658" s="1128" t="s">
        <v>3384</v>
      </c>
      <c r="AB1658" s="20"/>
      <c r="AC1658" s="73"/>
    </row>
    <row r="1659" spans="1:29">
      <c r="A1659" s="327" t="str">
        <f>IF(AND($B1659&lt;&gt;"",$C1659&lt;&gt;""),MAX($A$1556:A1655)+1,"")</f>
        <v/>
      </c>
      <c r="B1659" s="361" t="s">
        <v>1980</v>
      </c>
      <c r="C1659" s="360"/>
      <c r="D1659" s="327">
        <f>IF($B1659="","",COUNTIF($B$6:$B1659,$B1659))</f>
        <v>6</v>
      </c>
      <c r="E1659" s="361" t="s">
        <v>157</v>
      </c>
      <c r="F1659" s="362" t="s">
        <v>158</v>
      </c>
      <c r="G1659" s="327" t="s">
        <v>155</v>
      </c>
      <c r="H1659" s="327"/>
      <c r="I1659" s="327">
        <v>1</v>
      </c>
      <c r="J1659" s="359"/>
      <c r="K1659" s="327"/>
      <c r="L1659" s="389">
        <v>45000</v>
      </c>
      <c r="M1659" s="371"/>
      <c r="N1659" s="355" t="s">
        <v>153</v>
      </c>
      <c r="O1659" s="345"/>
      <c r="P1659" s="392"/>
      <c r="Q1659" s="327"/>
      <c r="R1659" s="351"/>
      <c r="S1659" s="351"/>
      <c r="T1659" s="351"/>
      <c r="U1659" s="329" t="str">
        <f>IF($N1659=$N$4,IFERROR(INDEX(DanhMuc!$E$154:$E$165,MATCH(MID($B1659,4,2),DanhMuc!$B$154:$B$165,0)),""),"")</f>
        <v/>
      </c>
      <c r="V1659" s="361"/>
      <c r="W1659" s="345"/>
      <c r="X1659" s="329" t="str">
        <f t="shared" si="207"/>
        <v>3H</v>
      </c>
      <c r="Y1659" s="1128" t="s">
        <v>3380</v>
      </c>
      <c r="Z1659" s="1128" t="s">
        <v>3381</v>
      </c>
      <c r="AA1659" s="1128" t="s">
        <v>3384</v>
      </c>
      <c r="AB1659" s="20"/>
      <c r="AC1659" s="73"/>
    </row>
    <row r="1660" spans="1:29">
      <c r="A1660" s="327" t="str">
        <f>IF(AND($B1660&lt;&gt;"",$C1660&lt;&gt;""),MAX($A$1556:A1659)+1,"")</f>
        <v/>
      </c>
      <c r="B1660" s="361" t="s">
        <v>1980</v>
      </c>
      <c r="C1660" s="360"/>
      <c r="D1660" s="327">
        <f>IF($B1660="","",COUNTIF($B$6:$B1660,$B1660))</f>
        <v>7</v>
      </c>
      <c r="E1660" s="361" t="s">
        <v>159</v>
      </c>
      <c r="F1660" s="362" t="s">
        <v>160</v>
      </c>
      <c r="G1660" s="327" t="s">
        <v>155</v>
      </c>
      <c r="H1660" s="327"/>
      <c r="I1660" s="327">
        <v>1</v>
      </c>
      <c r="J1660" s="359"/>
      <c r="K1660" s="327"/>
      <c r="L1660" s="389">
        <v>5000</v>
      </c>
      <c r="M1660" s="371"/>
      <c r="N1660" s="355" t="s">
        <v>153</v>
      </c>
      <c r="O1660" s="345"/>
      <c r="P1660" s="392"/>
      <c r="Q1660" s="327"/>
      <c r="R1660" s="351"/>
      <c r="S1660" s="351"/>
      <c r="T1660" s="351"/>
      <c r="U1660" s="329" t="str">
        <f>IF($N1660=$N$4,IFERROR(INDEX(DanhMuc!$E$154:$E$165,MATCH(MID($B1660,4,2),DanhMuc!$B$154:$B$165,0)),""),"")</f>
        <v/>
      </c>
      <c r="V1660" s="361"/>
      <c r="W1660" s="345"/>
      <c r="X1660" s="329" t="str">
        <f t="shared" si="207"/>
        <v>3H</v>
      </c>
      <c r="Y1660" s="1128" t="s">
        <v>3380</v>
      </c>
      <c r="Z1660" s="1128" t="s">
        <v>3381</v>
      </c>
      <c r="AA1660" s="1128" t="s">
        <v>3384</v>
      </c>
      <c r="AB1660" s="20"/>
      <c r="AC1660" s="73"/>
    </row>
    <row r="1661" spans="1:29" ht="25">
      <c r="A1661" s="327" t="str">
        <f>IF(AND($B1661&lt;&gt;"",$C1661&lt;&gt;""),MAX($A$1556:A1660)+1,"")</f>
        <v/>
      </c>
      <c r="B1661" s="361" t="s">
        <v>1980</v>
      </c>
      <c r="C1661" s="360"/>
      <c r="D1661" s="327">
        <f>IF($B1661="","",COUNTIF($B$6:$B1661,$B1661))</f>
        <v>8</v>
      </c>
      <c r="E1661" s="361" t="s">
        <v>3141</v>
      </c>
      <c r="F1661" s="362" t="s">
        <v>3144</v>
      </c>
      <c r="G1661" s="327" t="s">
        <v>297</v>
      </c>
      <c r="H1661" s="327"/>
      <c r="I1661" s="327">
        <v>1</v>
      </c>
      <c r="J1661" s="345"/>
      <c r="K1661" s="327"/>
      <c r="L1661" s="389">
        <v>650000</v>
      </c>
      <c r="M1661" s="371"/>
      <c r="N1661" s="355" t="str">
        <f t="shared" ref="N1661:N1666" si="212">+$N$1555</f>
        <v>PK</v>
      </c>
      <c r="O1661" s="404" t="s">
        <v>3143</v>
      </c>
      <c r="P1661" s="392"/>
      <c r="Q1661" s="327"/>
      <c r="R1661" s="351"/>
      <c r="S1661" s="351"/>
      <c r="T1661" s="351"/>
      <c r="U1661" s="329" t="str">
        <f>IF($N1661=$N$4,IFERROR(INDEX(DanhMuc!$E$154:$E$165,MATCH(MID($B1661,4,2),DanhMuc!$B$154:$B$165,0)),""),"")</f>
        <v/>
      </c>
      <c r="V1661" s="361"/>
      <c r="W1661" s="345"/>
      <c r="X1661" s="329" t="str">
        <f t="shared" si="207"/>
        <v>3H</v>
      </c>
      <c r="Y1661" s="1128" t="s">
        <v>3380</v>
      </c>
      <c r="Z1661" s="1128" t="s">
        <v>3381</v>
      </c>
      <c r="AA1661" s="1128" t="s">
        <v>3384</v>
      </c>
      <c r="AB1661" s="20"/>
      <c r="AC1661" s="73"/>
    </row>
    <row r="1662" spans="1:29" ht="25">
      <c r="A1662" s="327" t="str">
        <f>IF(AND($B1662&lt;&gt;"",$C1662&lt;&gt;""),MAX($A$1556:A1661)+1,"")</f>
        <v/>
      </c>
      <c r="B1662" s="361" t="s">
        <v>1980</v>
      </c>
      <c r="C1662" s="360"/>
      <c r="D1662" s="327">
        <f>IF($B1662="","",COUNTIF($B$6:$B1662,$B1662))</f>
        <v>9</v>
      </c>
      <c r="E1662" s="361" t="s">
        <v>3141</v>
      </c>
      <c r="F1662" s="362" t="s">
        <v>3145</v>
      </c>
      <c r="G1662" s="327" t="s">
        <v>297</v>
      </c>
      <c r="H1662" s="327"/>
      <c r="I1662" s="327">
        <v>1</v>
      </c>
      <c r="J1662" s="345"/>
      <c r="K1662" s="327"/>
      <c r="L1662" s="389">
        <v>650000</v>
      </c>
      <c r="M1662" s="371"/>
      <c r="N1662" s="355" t="str">
        <f t="shared" si="212"/>
        <v>PK</v>
      </c>
      <c r="O1662" s="404" t="s">
        <v>3142</v>
      </c>
      <c r="P1662" s="392"/>
      <c r="Q1662" s="327"/>
      <c r="R1662" s="351"/>
      <c r="S1662" s="351"/>
      <c r="T1662" s="351"/>
      <c r="U1662" s="329" t="str">
        <f>IF($N1662=$N$4,IFERROR(INDEX(DanhMuc!$E$154:$E$165,MATCH(MID($B1662,4,2),DanhMuc!$B$154:$B$165,0)),""),"")</f>
        <v/>
      </c>
      <c r="V1662" s="361"/>
      <c r="W1662" s="345"/>
      <c r="X1662" s="329" t="str">
        <f t="shared" si="207"/>
        <v>3H</v>
      </c>
      <c r="Y1662" s="1128" t="s">
        <v>3380</v>
      </c>
      <c r="Z1662" s="1128" t="s">
        <v>3381</v>
      </c>
      <c r="AA1662" s="1128" t="s">
        <v>3384</v>
      </c>
      <c r="AB1662" s="20"/>
      <c r="AC1662" s="73"/>
    </row>
    <row r="1663" spans="1:29">
      <c r="A1663" s="327" t="str">
        <f>IF(AND($B1663&lt;&gt;"",$C1663&lt;&gt;""),MAX($A$1556:A1662)+1,"")</f>
        <v/>
      </c>
      <c r="B1663" s="361" t="s">
        <v>1980</v>
      </c>
      <c r="C1663" s="360"/>
      <c r="D1663" s="327">
        <f>IF($B1663="","",COUNTIF($B$6:$B1663,$B1663))</f>
        <v>10</v>
      </c>
      <c r="E1663" s="361" t="s">
        <v>3146</v>
      </c>
      <c r="F1663" s="362" t="s">
        <v>3147</v>
      </c>
      <c r="G1663" s="327" t="s">
        <v>155</v>
      </c>
      <c r="H1663" s="327"/>
      <c r="I1663" s="327">
        <v>1</v>
      </c>
      <c r="J1663" s="345"/>
      <c r="K1663" s="327"/>
      <c r="L1663" s="389">
        <v>48000</v>
      </c>
      <c r="M1663" s="371"/>
      <c r="N1663" s="355" t="str">
        <f t="shared" si="212"/>
        <v>PK</v>
      </c>
      <c r="O1663" s="404" t="s">
        <v>3148</v>
      </c>
      <c r="P1663" s="392"/>
      <c r="Q1663" s="327"/>
      <c r="R1663" s="351"/>
      <c r="S1663" s="351"/>
      <c r="T1663" s="351"/>
      <c r="U1663" s="329" t="str">
        <f>IF($N1663=$N$4,IFERROR(INDEX(DanhMuc!$E$154:$E$165,MATCH(MID($B1663,4,2),DanhMuc!$B$154:$B$165,0)),""),"")</f>
        <v/>
      </c>
      <c r="V1663" s="361"/>
      <c r="W1663" s="345"/>
      <c r="X1663" s="329" t="str">
        <f t="shared" si="207"/>
        <v>3H</v>
      </c>
      <c r="Y1663" s="1128" t="s">
        <v>3380</v>
      </c>
      <c r="Z1663" s="1128" t="s">
        <v>3381</v>
      </c>
      <c r="AA1663" s="1128" t="s">
        <v>3384</v>
      </c>
      <c r="AB1663" s="20"/>
      <c r="AC1663" s="73"/>
    </row>
    <row r="1664" spans="1:29">
      <c r="A1664" s="327" t="str">
        <f>IF(AND($B1664&lt;&gt;"",$C1664&lt;&gt;""),MAX($A$1556:A1663)+1,"")</f>
        <v/>
      </c>
      <c r="B1664" s="361" t="s">
        <v>1980</v>
      </c>
      <c r="C1664" s="360"/>
      <c r="D1664" s="327">
        <f>IF($B1664="","",COUNTIF($B$6:$B1664,$B1664))</f>
        <v>11</v>
      </c>
      <c r="E1664" s="361" t="s">
        <v>3149</v>
      </c>
      <c r="F1664" s="362" t="s">
        <v>1803</v>
      </c>
      <c r="G1664" s="327" t="s">
        <v>155</v>
      </c>
      <c r="H1664" s="327"/>
      <c r="I1664" s="327">
        <v>1</v>
      </c>
      <c r="J1664" s="345"/>
      <c r="K1664" s="327"/>
      <c r="L1664" s="389">
        <v>290000</v>
      </c>
      <c r="M1664" s="371"/>
      <c r="N1664" s="355" t="str">
        <f t="shared" si="212"/>
        <v>PK</v>
      </c>
      <c r="O1664" s="404" t="s">
        <v>3148</v>
      </c>
      <c r="P1664" s="392"/>
      <c r="Q1664" s="327"/>
      <c r="R1664" s="351"/>
      <c r="S1664" s="351"/>
      <c r="T1664" s="351"/>
      <c r="U1664" s="329" t="str">
        <f>IF($N1664=$N$4,IFERROR(INDEX(DanhMuc!$E$154:$E$165,MATCH(MID($B1664,4,2),DanhMuc!$B$154:$B$165,0)),""),"")</f>
        <v/>
      </c>
      <c r="V1664" s="361"/>
      <c r="W1664" s="345"/>
      <c r="X1664" s="329" t="str">
        <f t="shared" si="207"/>
        <v>3H</v>
      </c>
      <c r="Y1664" s="1128" t="s">
        <v>3380</v>
      </c>
      <c r="Z1664" s="1128" t="s">
        <v>3381</v>
      </c>
      <c r="AA1664" s="1128" t="s">
        <v>3384</v>
      </c>
      <c r="AB1664" s="20"/>
      <c r="AC1664" s="73"/>
    </row>
    <row r="1665" spans="1:29">
      <c r="A1665" s="327" t="str">
        <f>IF(AND($B1665&lt;&gt;"",$C1665&lt;&gt;""),MAX($A$1556:A1664)+1,"")</f>
        <v/>
      </c>
      <c r="B1665" s="361" t="s">
        <v>1980</v>
      </c>
      <c r="C1665" s="360"/>
      <c r="D1665" s="327">
        <f>IF($B1665="","",COUNTIF($B$6:$B1665,$B1665))</f>
        <v>12</v>
      </c>
      <c r="E1665" s="361" t="s">
        <v>3150</v>
      </c>
      <c r="F1665" s="362" t="s">
        <v>3151</v>
      </c>
      <c r="G1665" s="327" t="s">
        <v>155</v>
      </c>
      <c r="H1665" s="327"/>
      <c r="I1665" s="327">
        <v>1</v>
      </c>
      <c r="J1665" s="345"/>
      <c r="K1665" s="327"/>
      <c r="L1665" s="389">
        <v>90000</v>
      </c>
      <c r="M1665" s="371"/>
      <c r="N1665" s="355" t="str">
        <f t="shared" si="212"/>
        <v>PK</v>
      </c>
      <c r="O1665" s="404" t="s">
        <v>3148</v>
      </c>
      <c r="P1665" s="392"/>
      <c r="Q1665" s="327"/>
      <c r="R1665" s="351"/>
      <c r="S1665" s="351"/>
      <c r="T1665" s="351"/>
      <c r="U1665" s="329" t="str">
        <f>IF($N1665=$N$4,IFERROR(INDEX(DanhMuc!$E$154:$E$165,MATCH(MID($B1665,4,2),DanhMuc!$B$154:$B$165,0)),""),"")</f>
        <v/>
      </c>
      <c r="V1665" s="361"/>
      <c r="W1665" s="345"/>
      <c r="X1665" s="329" t="str">
        <f t="shared" si="207"/>
        <v>3H</v>
      </c>
      <c r="Y1665" s="1128" t="s">
        <v>3380</v>
      </c>
      <c r="Z1665" s="1128" t="s">
        <v>3381</v>
      </c>
      <c r="AA1665" s="1128" t="s">
        <v>3384</v>
      </c>
      <c r="AB1665" s="20"/>
      <c r="AC1665" s="73"/>
    </row>
    <row r="1666" spans="1:29">
      <c r="A1666" s="327" t="str">
        <f>IF(AND($B1666&lt;&gt;"",$C1666&lt;&gt;""),MAX($A$1556:A1665)+1,"")</f>
        <v/>
      </c>
      <c r="B1666" s="361" t="s">
        <v>1980</v>
      </c>
      <c r="C1666" s="360"/>
      <c r="D1666" s="327">
        <f>IF($B1666="","",COUNTIF($B$6:$B1666,$B1666))</f>
        <v>13</v>
      </c>
      <c r="E1666" s="361" t="s">
        <v>3152</v>
      </c>
      <c r="F1666" s="362" t="s">
        <v>3153</v>
      </c>
      <c r="G1666" s="327" t="s">
        <v>155</v>
      </c>
      <c r="H1666" s="327"/>
      <c r="I1666" s="327">
        <v>1</v>
      </c>
      <c r="J1666" s="345"/>
      <c r="K1666" s="327"/>
      <c r="L1666" s="389">
        <v>230000</v>
      </c>
      <c r="M1666" s="371"/>
      <c r="N1666" s="355" t="str">
        <f t="shared" si="212"/>
        <v>PK</v>
      </c>
      <c r="O1666" s="404" t="s">
        <v>3148</v>
      </c>
      <c r="P1666" s="392"/>
      <c r="Q1666" s="327"/>
      <c r="R1666" s="351"/>
      <c r="S1666" s="351"/>
      <c r="T1666" s="351"/>
      <c r="U1666" s="329" t="str">
        <f>IF($N1666=$N$4,IFERROR(INDEX(DanhMuc!$E$154:$E$165,MATCH(MID($B1666,4,2),DanhMuc!$B$154:$B$165,0)),""),"")</f>
        <v/>
      </c>
      <c r="V1666" s="361"/>
      <c r="W1666" s="345"/>
      <c r="X1666" s="329" t="str">
        <f t="shared" si="207"/>
        <v>3H</v>
      </c>
      <c r="Y1666" s="1128" t="s">
        <v>3380</v>
      </c>
      <c r="Z1666" s="1128" t="s">
        <v>3381</v>
      </c>
      <c r="AA1666" s="1128" t="s">
        <v>3384</v>
      </c>
      <c r="AB1666" s="20"/>
      <c r="AC1666" s="73"/>
    </row>
    <row r="1667" spans="1:29" ht="25">
      <c r="A1667" s="327" t="str">
        <f>IF(AND($B1667&lt;&gt;"",$C1667&lt;&gt;""),MAX($A$1556:A1660)+1,"")</f>
        <v/>
      </c>
      <c r="B1667" s="361" t="s">
        <v>1980</v>
      </c>
      <c r="C1667" s="360"/>
      <c r="D1667" s="327">
        <f>IF($B1667="","",COUNTIF($B$6:$B1667,$B1667))</f>
        <v>14</v>
      </c>
      <c r="E1667" s="361" t="s">
        <v>209</v>
      </c>
      <c r="F1667" s="362" t="s">
        <v>210</v>
      </c>
      <c r="G1667" s="327" t="s">
        <v>155</v>
      </c>
      <c r="H1667" s="327"/>
      <c r="I1667" s="327">
        <v>1</v>
      </c>
      <c r="J1667" s="359"/>
      <c r="K1667" s="327"/>
      <c r="L1667" s="389">
        <v>70000</v>
      </c>
      <c r="M1667" s="371"/>
      <c r="N1667" s="355" t="s">
        <v>153</v>
      </c>
      <c r="O1667" s="404" t="s">
        <v>1782</v>
      </c>
      <c r="P1667" s="392"/>
      <c r="Q1667" s="327"/>
      <c r="R1667" s="351"/>
      <c r="S1667" s="351"/>
      <c r="T1667" s="351"/>
      <c r="U1667" s="329" t="str">
        <f>IF($N1667=$N$4,IFERROR(INDEX(DanhMuc!$E$154:$E$165,MATCH(MID($B1667,4,2),DanhMuc!$B$154:$B$165,0)),""),"")</f>
        <v/>
      </c>
      <c r="V1667" s="361"/>
      <c r="W1667" s="345"/>
      <c r="X1667" s="329" t="str">
        <f t="shared" si="207"/>
        <v>3H</v>
      </c>
      <c r="Y1667" s="1128" t="s">
        <v>3380</v>
      </c>
      <c r="Z1667" s="1128" t="s">
        <v>3381</v>
      </c>
      <c r="AA1667" s="1128" t="s">
        <v>3384</v>
      </c>
      <c r="AB1667" s="20"/>
      <c r="AC1667" s="73"/>
    </row>
    <row r="1668" spans="1:29">
      <c r="A1668" s="327" t="str">
        <f>IF(AND($B1668&lt;&gt;"",$C1668&lt;&gt;""),MAX($A$1556:A1667)+1,"")</f>
        <v/>
      </c>
      <c r="B1668" s="361" t="s">
        <v>1980</v>
      </c>
      <c r="C1668" s="360"/>
      <c r="D1668" s="327">
        <f>IF($B1668="","",COUNTIF($B$6:$B1668,$B1668))</f>
        <v>15</v>
      </c>
      <c r="E1668" s="402" t="s">
        <v>952</v>
      </c>
      <c r="F1668" s="403" t="s">
        <v>953</v>
      </c>
      <c r="G1668" s="410" t="s">
        <v>156</v>
      </c>
      <c r="H1668" s="327" t="s">
        <v>536</v>
      </c>
      <c r="I1668" s="411" t="s">
        <v>1337</v>
      </c>
      <c r="J1668" s="404"/>
      <c r="K1668" s="410"/>
      <c r="L1668" s="389">
        <v>27000</v>
      </c>
      <c r="M1668" s="371"/>
      <c r="N1668" s="355" t="s">
        <v>153</v>
      </c>
      <c r="O1668" s="404" t="s">
        <v>1782</v>
      </c>
      <c r="P1668" s="392"/>
      <c r="Q1668" s="327"/>
      <c r="R1668" s="351"/>
      <c r="S1668" s="351"/>
      <c r="T1668" s="351"/>
      <c r="U1668" s="329" t="str">
        <f>IF($N1668=$N$4,IFERROR(INDEX(DanhMuc!$E$154:$E$165,MATCH(MID($B1668,4,2),DanhMuc!$B$154:$B$165,0)),""),"")</f>
        <v/>
      </c>
      <c r="V1668" s="361"/>
      <c r="W1668" s="345"/>
      <c r="X1668" s="329" t="str">
        <f t="shared" si="207"/>
        <v>3H</v>
      </c>
      <c r="Y1668" s="1128" t="s">
        <v>3380</v>
      </c>
      <c r="Z1668" s="1128" t="s">
        <v>3381</v>
      </c>
      <c r="AA1668" s="1128" t="s">
        <v>3384</v>
      </c>
      <c r="AB1668" s="20"/>
      <c r="AC1668" s="73"/>
    </row>
    <row r="1669" spans="1:29">
      <c r="A1669" s="327" t="str">
        <f>IF(AND($B1669&lt;&gt;"",$C1669&lt;&gt;""),MAX($A$1556:A1668)+1,"")</f>
        <v/>
      </c>
      <c r="B1669" s="361" t="s">
        <v>1980</v>
      </c>
      <c r="C1669" s="360"/>
      <c r="D1669" s="327">
        <f>IF($B1669="","",COUNTIF($B$6:$B1669,$B1669))</f>
        <v>16</v>
      </c>
      <c r="E1669" s="402" t="s">
        <v>954</v>
      </c>
      <c r="F1669" s="403" t="s">
        <v>1059</v>
      </c>
      <c r="G1669" s="410" t="s">
        <v>156</v>
      </c>
      <c r="H1669" s="327" t="s">
        <v>536</v>
      </c>
      <c r="I1669" s="411" t="s">
        <v>2853</v>
      </c>
      <c r="J1669" s="404"/>
      <c r="K1669" s="410"/>
      <c r="L1669" s="415">
        <v>35000</v>
      </c>
      <c r="M1669" s="371"/>
      <c r="N1669" s="355" t="s">
        <v>153</v>
      </c>
      <c r="O1669" s="404" t="s">
        <v>1782</v>
      </c>
      <c r="P1669" s="392"/>
      <c r="Q1669" s="327"/>
      <c r="R1669" s="351"/>
      <c r="S1669" s="351"/>
      <c r="T1669" s="351"/>
      <c r="U1669" s="329" t="str">
        <f>IF($N1669=$N$4,IFERROR(INDEX(DanhMuc!$E$154:$E$165,MATCH(MID($B1669,4,2),DanhMuc!$B$154:$B$165,0)),""),"")</f>
        <v/>
      </c>
      <c r="V1669" s="361"/>
      <c r="W1669" s="345"/>
      <c r="X1669" s="329" t="str">
        <f t="shared" si="207"/>
        <v>3H</v>
      </c>
      <c r="Y1669" s="1128" t="s">
        <v>3380</v>
      </c>
      <c r="Z1669" s="1128" t="s">
        <v>3381</v>
      </c>
      <c r="AA1669" s="1128" t="s">
        <v>3384</v>
      </c>
      <c r="AB1669" s="20"/>
      <c r="AC1669" s="73"/>
    </row>
    <row r="1670" spans="1:29">
      <c r="A1670" s="327" t="str">
        <f>IF(AND($B1670&lt;&gt;"",$C1670&lt;&gt;""),MAX($A$1556:A1669)+1,"")</f>
        <v/>
      </c>
      <c r="B1670" s="361" t="s">
        <v>1980</v>
      </c>
      <c r="C1670" s="360"/>
      <c r="D1670" s="327">
        <f>IF($B1670="","",COUNTIF($B$6:$B1670,$B1670))</f>
        <v>17</v>
      </c>
      <c r="E1670" s="402" t="s">
        <v>955</v>
      </c>
      <c r="F1670" s="403" t="s">
        <v>956</v>
      </c>
      <c r="G1670" s="410" t="s">
        <v>156</v>
      </c>
      <c r="H1670" s="327" t="s">
        <v>536</v>
      </c>
      <c r="I1670" s="411" t="s">
        <v>2854</v>
      </c>
      <c r="J1670" s="404"/>
      <c r="K1670" s="410"/>
      <c r="L1670" s="389">
        <v>37000</v>
      </c>
      <c r="M1670" s="371"/>
      <c r="N1670" s="355" t="s">
        <v>153</v>
      </c>
      <c r="O1670" s="404" t="s">
        <v>1782</v>
      </c>
      <c r="P1670" s="392"/>
      <c r="Q1670" s="327"/>
      <c r="R1670" s="351"/>
      <c r="S1670" s="351"/>
      <c r="T1670" s="351"/>
      <c r="U1670" s="329" t="str">
        <f>IF($N1670=$N$4,IFERROR(INDEX(DanhMuc!$E$154:$E$165,MATCH(MID($B1670,4,2),DanhMuc!$B$154:$B$165,0)),""),"")</f>
        <v/>
      </c>
      <c r="V1670" s="361"/>
      <c r="W1670" s="345"/>
      <c r="X1670" s="329" t="str">
        <f t="shared" si="207"/>
        <v>3H</v>
      </c>
      <c r="Y1670" s="1128" t="s">
        <v>3380</v>
      </c>
      <c r="Z1670" s="1128" t="s">
        <v>3381</v>
      </c>
      <c r="AA1670" s="1128" t="s">
        <v>3384</v>
      </c>
      <c r="AB1670" s="20"/>
      <c r="AC1670" s="73"/>
    </row>
    <row r="1671" spans="1:29">
      <c r="A1671" s="327" t="str">
        <f>IF(AND($B1671&lt;&gt;"",$C1671&lt;&gt;""),MAX($A$1556:A1670)+1,"")</f>
        <v/>
      </c>
      <c r="B1671" s="361" t="s">
        <v>1980</v>
      </c>
      <c r="C1671" s="360"/>
      <c r="D1671" s="327">
        <f>IF($B1671="","",COUNTIF($B$6:$B1671,$B1671))</f>
        <v>18</v>
      </c>
      <c r="E1671" s="402" t="s">
        <v>182</v>
      </c>
      <c r="F1671" s="403" t="s">
        <v>183</v>
      </c>
      <c r="G1671" s="410" t="s">
        <v>156</v>
      </c>
      <c r="H1671" s="327" t="s">
        <v>536</v>
      </c>
      <c r="I1671" s="411" t="s">
        <v>2855</v>
      </c>
      <c r="J1671" s="404"/>
      <c r="K1671" s="410"/>
      <c r="L1671" s="389">
        <v>45000</v>
      </c>
      <c r="M1671" s="371"/>
      <c r="N1671" s="355" t="s">
        <v>153</v>
      </c>
      <c r="O1671" s="404" t="s">
        <v>1782</v>
      </c>
      <c r="P1671" s="392"/>
      <c r="Q1671" s="327"/>
      <c r="R1671" s="351"/>
      <c r="S1671" s="351"/>
      <c r="T1671" s="351"/>
      <c r="U1671" s="329" t="str">
        <f>IF($N1671=$N$4,IFERROR(INDEX(DanhMuc!$E$154:$E$165,MATCH(MID($B1671,4,2),DanhMuc!$B$154:$B$165,0)),""),"")</f>
        <v/>
      </c>
      <c r="V1671" s="361"/>
      <c r="W1671" s="345"/>
      <c r="X1671" s="329" t="str">
        <f t="shared" si="207"/>
        <v>3H</v>
      </c>
      <c r="Y1671" s="1128" t="s">
        <v>3380</v>
      </c>
      <c r="Z1671" s="1128" t="s">
        <v>3381</v>
      </c>
      <c r="AA1671" s="1128" t="s">
        <v>3384</v>
      </c>
      <c r="AB1671" s="20"/>
      <c r="AC1671" s="73"/>
    </row>
    <row r="1672" spans="1:29">
      <c r="A1672" s="327" t="str">
        <f>IF(AND($B1672&lt;&gt;"",$C1672&lt;&gt;""),MAX($A$1556:A1671)+1,"")</f>
        <v/>
      </c>
      <c r="B1672" s="361" t="s">
        <v>1980</v>
      </c>
      <c r="C1672" s="360"/>
      <c r="D1672" s="327">
        <f>IF($B1672="","",COUNTIF($B$6:$B1672,$B1672))</f>
        <v>19</v>
      </c>
      <c r="E1672" s="361" t="s">
        <v>184</v>
      </c>
      <c r="F1672" s="362" t="s">
        <v>981</v>
      </c>
      <c r="G1672" s="327" t="s">
        <v>155</v>
      </c>
      <c r="H1672" s="327" t="s">
        <v>536</v>
      </c>
      <c r="I1672" s="327">
        <v>2</v>
      </c>
      <c r="J1672" s="359"/>
      <c r="K1672" s="327"/>
      <c r="L1672" s="389">
        <v>6500</v>
      </c>
      <c r="M1672" s="371"/>
      <c r="N1672" s="355" t="str">
        <f t="shared" ref="N1672:N1685" si="213">+$N$1555</f>
        <v>PK</v>
      </c>
      <c r="O1672" s="404" t="s">
        <v>1782</v>
      </c>
      <c r="P1672" s="392"/>
      <c r="Q1672" s="327"/>
      <c r="R1672" s="351"/>
      <c r="S1672" s="351"/>
      <c r="T1672" s="351"/>
      <c r="U1672" s="329" t="str">
        <f>IF($N1672=$N$4,IFERROR(INDEX(DanhMuc!$E$154:$E$165,MATCH(MID($B1672,4,2),DanhMuc!$B$154:$B$165,0)),""),"")</f>
        <v/>
      </c>
      <c r="V1672" s="361"/>
      <c r="W1672" s="345"/>
      <c r="X1672" s="329" t="str">
        <f t="shared" si="207"/>
        <v>3H</v>
      </c>
      <c r="Y1672" s="1128" t="s">
        <v>3380</v>
      </c>
      <c r="Z1672" s="1128" t="s">
        <v>3381</v>
      </c>
      <c r="AA1672" s="1128" t="s">
        <v>3384</v>
      </c>
      <c r="AB1672" s="20"/>
      <c r="AC1672" s="73"/>
    </row>
    <row r="1673" spans="1:29">
      <c r="A1673" s="327" t="str">
        <f>IF(AND($B1673&lt;&gt;"",$C1673&lt;&gt;""),MAX($A$1556:A1672)+1,"")</f>
        <v/>
      </c>
      <c r="B1673" s="361" t="s">
        <v>1980</v>
      </c>
      <c r="C1673" s="360"/>
      <c r="D1673" s="327">
        <f>IF($B1673="","",COUNTIF($B$6:$B1673,$B1673))</f>
        <v>20</v>
      </c>
      <c r="E1673" s="361" t="s">
        <v>187</v>
      </c>
      <c r="F1673" s="362" t="s">
        <v>189</v>
      </c>
      <c r="G1673" s="327" t="s">
        <v>155</v>
      </c>
      <c r="H1673" s="327"/>
      <c r="I1673" s="327">
        <v>4</v>
      </c>
      <c r="J1673" s="361"/>
      <c r="K1673" s="327"/>
      <c r="L1673" s="389">
        <v>5000</v>
      </c>
      <c r="M1673" s="371"/>
      <c r="N1673" s="355" t="str">
        <f t="shared" si="213"/>
        <v>PK</v>
      </c>
      <c r="O1673" s="345"/>
      <c r="P1673" s="392"/>
      <c r="Q1673" s="327"/>
      <c r="R1673" s="351"/>
      <c r="S1673" s="351"/>
      <c r="T1673" s="351"/>
      <c r="U1673" s="329" t="str">
        <f>IF($N1673=$N$4,IFERROR(INDEX(DanhMuc!$E$154:$E$165,MATCH(MID($B1673,4,2),DanhMuc!$B$154:$B$165,0)),""),"")</f>
        <v/>
      </c>
      <c r="V1673" s="361"/>
      <c r="W1673" s="345"/>
      <c r="X1673" s="329" t="str">
        <f t="shared" si="207"/>
        <v>3H</v>
      </c>
      <c r="Y1673" s="1128" t="s">
        <v>3380</v>
      </c>
      <c r="Z1673" s="1128" t="s">
        <v>3381</v>
      </c>
      <c r="AA1673" s="1128" t="s">
        <v>3384</v>
      </c>
      <c r="AB1673" s="20"/>
      <c r="AC1673" s="73"/>
    </row>
    <row r="1674" spans="1:29">
      <c r="A1674" s="327" t="str">
        <f>IF(AND($B1674&lt;&gt;"",$C1674&lt;&gt;""),MAX($A$1556:A1673)+1,"")</f>
        <v/>
      </c>
      <c r="B1674" s="361" t="s">
        <v>1980</v>
      </c>
      <c r="C1674" s="360"/>
      <c r="D1674" s="327">
        <f>IF($B1674="","",COUNTIF($B$6:$B1674,$B1674))</f>
        <v>21</v>
      </c>
      <c r="E1674" s="361" t="s">
        <v>172</v>
      </c>
      <c r="F1674" s="362" t="s">
        <v>173</v>
      </c>
      <c r="G1674" s="327" t="s">
        <v>155</v>
      </c>
      <c r="H1674" s="327"/>
      <c r="I1674" s="327">
        <v>1</v>
      </c>
      <c r="J1674" s="361"/>
      <c r="K1674" s="327"/>
      <c r="L1674" s="389">
        <v>6000</v>
      </c>
      <c r="M1674" s="371"/>
      <c r="N1674" s="355" t="str">
        <f t="shared" si="213"/>
        <v>PK</v>
      </c>
      <c r="O1674" s="345"/>
      <c r="P1674" s="392"/>
      <c r="Q1674" s="327"/>
      <c r="R1674" s="351"/>
      <c r="S1674" s="351"/>
      <c r="T1674" s="351"/>
      <c r="U1674" s="329" t="str">
        <f>IF($N1674=$N$4,IFERROR(INDEX(DanhMuc!$E$154:$E$165,MATCH(MID($B1674,4,2),DanhMuc!$B$154:$B$165,0)),""),"")</f>
        <v/>
      </c>
      <c r="V1674" s="361"/>
      <c r="W1674" s="345"/>
      <c r="X1674" s="329" t="str">
        <f t="shared" si="207"/>
        <v>3H</v>
      </c>
      <c r="Y1674" s="1128" t="s">
        <v>3380</v>
      </c>
      <c r="Z1674" s="1128" t="s">
        <v>3381</v>
      </c>
      <c r="AA1674" s="1128" t="s">
        <v>3384</v>
      </c>
      <c r="AB1674" s="20"/>
      <c r="AC1674" s="73"/>
    </row>
    <row r="1675" spans="1:29">
      <c r="A1675" s="327" t="str">
        <f>IF(AND($B1675&lt;&gt;"",$C1675&lt;&gt;""),MAX($A$1556:A1674)+1,"")</f>
        <v/>
      </c>
      <c r="B1675" s="361" t="s">
        <v>1980</v>
      </c>
      <c r="C1675" s="360"/>
      <c r="D1675" s="327">
        <f>IF($B1675="","",COUNTIF($B$6:$B1675,$B1675))</f>
        <v>22</v>
      </c>
      <c r="E1675" s="361" t="s">
        <v>163</v>
      </c>
      <c r="F1675" s="362" t="s">
        <v>164</v>
      </c>
      <c r="G1675" s="327" t="s">
        <v>155</v>
      </c>
      <c r="H1675" s="327"/>
      <c r="I1675" s="327">
        <v>2</v>
      </c>
      <c r="J1675" s="361"/>
      <c r="K1675" s="327"/>
      <c r="L1675" s="389">
        <v>2500</v>
      </c>
      <c r="M1675" s="371"/>
      <c r="N1675" s="355" t="str">
        <f t="shared" si="213"/>
        <v>PK</v>
      </c>
      <c r="O1675" s="345"/>
      <c r="P1675" s="392"/>
      <c r="Q1675" s="327"/>
      <c r="R1675" s="351"/>
      <c r="S1675" s="351"/>
      <c r="T1675" s="351"/>
      <c r="U1675" s="329" t="str">
        <f>IF($N1675=$N$4,IFERROR(INDEX(DanhMuc!$E$154:$E$165,MATCH(MID($B1675,4,2),DanhMuc!$B$154:$B$165,0)),""),"")</f>
        <v/>
      </c>
      <c r="V1675" s="408" t="s">
        <v>342</v>
      </c>
      <c r="W1675" s="345"/>
      <c r="X1675" s="329" t="str">
        <f t="shared" si="207"/>
        <v>3H</v>
      </c>
      <c r="Y1675" s="1128" t="s">
        <v>3380</v>
      </c>
      <c r="Z1675" s="1128" t="s">
        <v>3381</v>
      </c>
      <c r="AA1675" s="1128" t="s">
        <v>3384</v>
      </c>
      <c r="AB1675" s="20"/>
      <c r="AC1675" s="73"/>
    </row>
    <row r="1676" spans="1:29">
      <c r="A1676" s="327" t="str">
        <f>IF(AND($B1676&lt;&gt;"",$C1676&lt;&gt;""),MAX($A$1556:A1675)+1,"")</f>
        <v/>
      </c>
      <c r="B1676" s="361" t="s">
        <v>1980</v>
      </c>
      <c r="C1676" s="360"/>
      <c r="D1676" s="327">
        <f>IF($B1676="","",COUNTIF($B$6:$B1676,$B1676))</f>
        <v>23</v>
      </c>
      <c r="E1676" s="361" t="s">
        <v>185</v>
      </c>
      <c r="F1676" s="362" t="s">
        <v>186</v>
      </c>
      <c r="G1676" s="327" t="s">
        <v>155</v>
      </c>
      <c r="H1676" s="327" t="s">
        <v>536</v>
      </c>
      <c r="I1676" s="327">
        <v>4</v>
      </c>
      <c r="J1676" s="361"/>
      <c r="K1676" s="327"/>
      <c r="L1676" s="389">
        <v>41000</v>
      </c>
      <c r="M1676" s="371"/>
      <c r="N1676" s="355" t="str">
        <f t="shared" si="213"/>
        <v>PK</v>
      </c>
      <c r="O1676" s="345"/>
      <c r="P1676" s="392"/>
      <c r="Q1676" s="327"/>
      <c r="R1676" s="351"/>
      <c r="S1676" s="351"/>
      <c r="T1676" s="351"/>
      <c r="U1676" s="329" t="str">
        <f>IF($N1676=$N$4,IFERROR(INDEX(DanhMuc!$E$154:$E$165,MATCH(MID($B1676,4,2),DanhMuc!$B$154:$B$165,0)),""),"")</f>
        <v/>
      </c>
      <c r="V1676" s="361"/>
      <c r="W1676" s="345"/>
      <c r="X1676" s="329" t="str">
        <f t="shared" si="207"/>
        <v>3H</v>
      </c>
      <c r="Y1676" s="1128" t="s">
        <v>3380</v>
      </c>
      <c r="Z1676" s="1128" t="s">
        <v>3381</v>
      </c>
      <c r="AA1676" s="1128" t="s">
        <v>3384</v>
      </c>
      <c r="AB1676" s="20"/>
      <c r="AC1676" s="73"/>
    </row>
    <row r="1677" spans="1:29">
      <c r="A1677" s="327" t="str">
        <f>IF(AND($B1677&lt;&gt;"",$C1677&lt;&gt;""),MAX($A$1556:A1676)+1,"")</f>
        <v/>
      </c>
      <c r="B1677" s="361" t="s">
        <v>1980</v>
      </c>
      <c r="C1677" s="360"/>
      <c r="D1677" s="327">
        <f>IF($B1677="","",COUNTIF($B$6:$B1677,$B1677))</f>
        <v>24</v>
      </c>
      <c r="E1677" s="361" t="s">
        <v>165</v>
      </c>
      <c r="F1677" s="362" t="s">
        <v>166</v>
      </c>
      <c r="G1677" s="327" t="s">
        <v>155</v>
      </c>
      <c r="H1677" s="327"/>
      <c r="I1677" s="327">
        <v>2</v>
      </c>
      <c r="J1677" s="361"/>
      <c r="K1677" s="327"/>
      <c r="L1677" s="389">
        <v>1700</v>
      </c>
      <c r="M1677" s="371"/>
      <c r="N1677" s="355" t="str">
        <f t="shared" si="213"/>
        <v>PK</v>
      </c>
      <c r="O1677" s="345"/>
      <c r="P1677" s="392"/>
      <c r="Q1677" s="327"/>
      <c r="R1677" s="351"/>
      <c r="S1677" s="351"/>
      <c r="T1677" s="351"/>
      <c r="U1677" s="329" t="str">
        <f>IF($N1677=$N$4,IFERROR(INDEX(DanhMuc!$E$154:$E$165,MATCH(MID($B1677,4,2),DanhMuc!$B$154:$B$165,0)),""),"")</f>
        <v/>
      </c>
      <c r="V1677" s="361"/>
      <c r="W1677" s="345"/>
      <c r="X1677" s="329" t="str">
        <f t="shared" si="207"/>
        <v>3H</v>
      </c>
      <c r="Y1677" s="1128" t="s">
        <v>3380</v>
      </c>
      <c r="Z1677" s="1128" t="s">
        <v>3381</v>
      </c>
      <c r="AA1677" s="1128" t="s">
        <v>3384</v>
      </c>
      <c r="AB1677" s="20"/>
      <c r="AC1677" s="73"/>
    </row>
    <row r="1678" spans="1:29">
      <c r="A1678" s="327" t="str">
        <f>IF(AND($B1678&lt;&gt;"",$C1678&lt;&gt;""),MAX($A$1556:A1677)+1,"")</f>
        <v/>
      </c>
      <c r="B1678" s="361" t="s">
        <v>1980</v>
      </c>
      <c r="C1678" s="360"/>
      <c r="D1678" s="327">
        <f>IF($B1678="","",COUNTIF($B$6:$B1678,$B1678))</f>
        <v>25</v>
      </c>
      <c r="E1678" s="361" t="s">
        <v>167</v>
      </c>
      <c r="F1678" s="362" t="s">
        <v>168</v>
      </c>
      <c r="G1678" s="327" t="s">
        <v>155</v>
      </c>
      <c r="H1678" s="327"/>
      <c r="I1678" s="327">
        <v>2</v>
      </c>
      <c r="J1678" s="361"/>
      <c r="K1678" s="327"/>
      <c r="L1678" s="389">
        <v>1700</v>
      </c>
      <c r="M1678" s="371"/>
      <c r="N1678" s="355" t="str">
        <f t="shared" si="213"/>
        <v>PK</v>
      </c>
      <c r="O1678" s="345"/>
      <c r="P1678" s="392"/>
      <c r="Q1678" s="327"/>
      <c r="R1678" s="351"/>
      <c r="S1678" s="351"/>
      <c r="T1678" s="351"/>
      <c r="U1678" s="329" t="str">
        <f>IF($N1678=$N$4,IFERROR(INDEX(DanhMuc!$E$154:$E$165,MATCH(MID($B1678,4,2),DanhMuc!$B$154:$B$165,0)),""),"")</f>
        <v/>
      </c>
      <c r="V1678" s="361"/>
      <c r="W1678" s="345"/>
      <c r="X1678" s="329" t="str">
        <f t="shared" si="207"/>
        <v>3H</v>
      </c>
      <c r="Y1678" s="1128" t="s">
        <v>3380</v>
      </c>
      <c r="Z1678" s="1128" t="s">
        <v>3381</v>
      </c>
      <c r="AA1678" s="1128" t="s">
        <v>3384</v>
      </c>
      <c r="AB1678" s="20"/>
      <c r="AC1678" s="73"/>
    </row>
    <row r="1679" spans="1:29">
      <c r="A1679" s="327" t="str">
        <f>IF(AND($B1679&lt;&gt;"",$C1679&lt;&gt;""),MAX($A$1556:A1678)+1,"")</f>
        <v/>
      </c>
      <c r="B1679" s="361" t="s">
        <v>1980</v>
      </c>
      <c r="C1679" s="360"/>
      <c r="D1679" s="327">
        <f>IF($B1679="","",COUNTIF($B$6:$B1679,$B1679))</f>
        <v>26</v>
      </c>
      <c r="E1679" s="361" t="s">
        <v>169</v>
      </c>
      <c r="F1679" s="362" t="s">
        <v>170</v>
      </c>
      <c r="G1679" s="327" t="s">
        <v>155</v>
      </c>
      <c r="H1679" s="327"/>
      <c r="I1679" s="327">
        <v>2</v>
      </c>
      <c r="J1679" s="361"/>
      <c r="K1679" s="327"/>
      <c r="L1679" s="389">
        <v>1700</v>
      </c>
      <c r="M1679" s="371"/>
      <c r="N1679" s="355" t="str">
        <f t="shared" si="213"/>
        <v>PK</v>
      </c>
      <c r="O1679" s="345"/>
      <c r="P1679" s="392"/>
      <c r="Q1679" s="327"/>
      <c r="R1679" s="351"/>
      <c r="S1679" s="351"/>
      <c r="T1679" s="351"/>
      <c r="U1679" s="329" t="str">
        <f>IF($N1679=$N$4,IFERROR(INDEX(DanhMuc!$E$154:$E$165,MATCH(MID($B1679,4,2),DanhMuc!$B$154:$B$165,0)),""),"")</f>
        <v/>
      </c>
      <c r="V1679" s="361"/>
      <c r="W1679" s="345"/>
      <c r="X1679" s="329" t="str">
        <f t="shared" si="207"/>
        <v>3H</v>
      </c>
      <c r="Y1679" s="1128" t="s">
        <v>3380</v>
      </c>
      <c r="Z1679" s="1128" t="s">
        <v>3381</v>
      </c>
      <c r="AA1679" s="1128" t="s">
        <v>3384</v>
      </c>
      <c r="AB1679" s="20"/>
      <c r="AC1679" s="73"/>
    </row>
    <row r="1680" spans="1:29">
      <c r="A1680" s="327" t="str">
        <f>IF(AND($B1680&lt;&gt;"",$C1680&lt;&gt;""),MAX($A$1556:A1679)+1,"")</f>
        <v/>
      </c>
      <c r="B1680" s="361" t="s">
        <v>1980</v>
      </c>
      <c r="C1680" s="360"/>
      <c r="D1680" s="327">
        <f>IF($B1680="","",COUNTIF($B$6:$B1680,$B1680))</f>
        <v>27</v>
      </c>
      <c r="E1680" s="361" t="s">
        <v>171</v>
      </c>
      <c r="F1680" s="362" t="s">
        <v>291</v>
      </c>
      <c r="G1680" s="327" t="s">
        <v>155</v>
      </c>
      <c r="H1680" s="327"/>
      <c r="I1680" s="327">
        <v>2</v>
      </c>
      <c r="J1680" s="361"/>
      <c r="K1680" s="327"/>
      <c r="L1680" s="389">
        <v>1700</v>
      </c>
      <c r="M1680" s="371"/>
      <c r="N1680" s="355" t="str">
        <f t="shared" si="213"/>
        <v>PK</v>
      </c>
      <c r="O1680" s="345"/>
      <c r="P1680" s="392"/>
      <c r="Q1680" s="327"/>
      <c r="R1680" s="351"/>
      <c r="S1680" s="351"/>
      <c r="T1680" s="351"/>
      <c r="U1680" s="329" t="str">
        <f>IF($N1680=$N$4,IFERROR(INDEX(DanhMuc!$E$154:$E$165,MATCH(MID($B1680,4,2),DanhMuc!$B$154:$B$165,0)),""),"")</f>
        <v/>
      </c>
      <c r="V1680" s="361"/>
      <c r="W1680" s="345"/>
      <c r="X1680" s="329" t="str">
        <f t="shared" si="207"/>
        <v>3H</v>
      </c>
      <c r="Y1680" s="1128" t="s">
        <v>3380</v>
      </c>
      <c r="Z1680" s="1128" t="s">
        <v>3381</v>
      </c>
      <c r="AA1680" s="1128" t="s">
        <v>3384</v>
      </c>
      <c r="AB1680" s="20"/>
      <c r="AC1680" s="73"/>
    </row>
    <row r="1681" spans="1:29" ht="39">
      <c r="A1681" s="327">
        <f>IF(AND($B1681&lt;&gt;"",$C1681&lt;&gt;""),MAX($A$1556:A1680)+1,"")</f>
        <v>5</v>
      </c>
      <c r="B1681" s="359" t="s">
        <v>3158</v>
      </c>
      <c r="C1681" s="360" t="s">
        <v>1532</v>
      </c>
      <c r="D1681" s="327">
        <f>IF($B1681="","",COUNTIF($B$6:$B1681,$B1681))</f>
        <v>1</v>
      </c>
      <c r="E1681" s="361" t="s">
        <v>739</v>
      </c>
      <c r="F1681" s="362" t="s">
        <v>2562</v>
      </c>
      <c r="G1681" s="327" t="s">
        <v>297</v>
      </c>
      <c r="H1681" s="327"/>
      <c r="I1681" s="327">
        <v>1</v>
      </c>
      <c r="J1681" s="345"/>
      <c r="K1681" s="327"/>
      <c r="L1681" s="389">
        <v>199000</v>
      </c>
      <c r="M1681" s="371"/>
      <c r="N1681" s="355" t="str">
        <f t="shared" si="213"/>
        <v>PK</v>
      </c>
      <c r="O1681" s="404" t="s">
        <v>2560</v>
      </c>
      <c r="P1681" s="392"/>
      <c r="Q1681" s="327"/>
      <c r="R1681" s="351"/>
      <c r="S1681" s="351"/>
      <c r="T1681" s="351"/>
      <c r="U1681" s="329" t="str">
        <f>IF($N1681=$N$4,IFERROR(INDEX(DanhMuc!$E$154:$E$165,MATCH(MID($B1681,4,2),DanhMuc!$B$154:$B$165,0)),""),"")</f>
        <v/>
      </c>
      <c r="V1681" s="361"/>
      <c r="W1681" s="345"/>
      <c r="X1681" s="329" t="str">
        <f t="shared" si="207"/>
        <v>FI</v>
      </c>
      <c r="Y1681" s="1128" t="s">
        <v>3380</v>
      </c>
      <c r="Z1681" s="1128" t="s">
        <v>3381</v>
      </c>
      <c r="AA1681" s="1128" t="s">
        <v>3384</v>
      </c>
      <c r="AB1681" s="20"/>
      <c r="AC1681" s="73"/>
    </row>
    <row r="1682" spans="1:29" ht="37.5">
      <c r="A1682" s="327" t="str">
        <f>IF(AND($B1682&lt;&gt;"",$C1682&lt;&gt;""),MAX($A$1556:A1681)+1,"")</f>
        <v/>
      </c>
      <c r="B1682" s="361" t="s">
        <v>3158</v>
      </c>
      <c r="C1682" s="360"/>
      <c r="D1682" s="327">
        <f>IF($B1682="","",COUNTIF($B$6:$B1682,$B1682))</f>
        <v>2</v>
      </c>
      <c r="E1682" s="361" t="s">
        <v>739</v>
      </c>
      <c r="F1682" s="362" t="s">
        <v>2563</v>
      </c>
      <c r="G1682" s="327" t="s">
        <v>297</v>
      </c>
      <c r="H1682" s="327"/>
      <c r="I1682" s="327">
        <v>1</v>
      </c>
      <c r="J1682" s="345"/>
      <c r="K1682" s="327"/>
      <c r="L1682" s="389">
        <v>199000</v>
      </c>
      <c r="M1682" s="371"/>
      <c r="N1682" s="355" t="str">
        <f t="shared" si="213"/>
        <v>PK</v>
      </c>
      <c r="O1682" s="404" t="s">
        <v>2561</v>
      </c>
      <c r="P1682" s="392"/>
      <c r="Q1682" s="327"/>
      <c r="R1682" s="351"/>
      <c r="S1682" s="351"/>
      <c r="T1682" s="351"/>
      <c r="U1682" s="329" t="str">
        <f>IF($N1682=$N$4,IFERROR(INDEX(DanhMuc!$E$154:$E$165,MATCH(MID($B1682,4,2),DanhMuc!$B$154:$B$165,0)),""),"")</f>
        <v/>
      </c>
      <c r="V1682" s="361"/>
      <c r="W1682" s="345"/>
      <c r="X1682" s="329" t="str">
        <f t="shared" si="207"/>
        <v>FI</v>
      </c>
      <c r="Y1682" s="1128" t="s">
        <v>3380</v>
      </c>
      <c r="Z1682" s="1128" t="s">
        <v>3381</v>
      </c>
      <c r="AA1682" s="1128" t="s">
        <v>3384</v>
      </c>
      <c r="AB1682" s="20"/>
      <c r="AC1682" s="73"/>
    </row>
    <row r="1683" spans="1:29">
      <c r="A1683" s="327" t="str">
        <f>IF(AND($B1683&lt;&gt;"",$C1683&lt;&gt;""),MAX($A$1556:A1682)+1,"")</f>
        <v/>
      </c>
      <c r="B1683" s="361" t="s">
        <v>3158</v>
      </c>
      <c r="C1683" s="360"/>
      <c r="D1683" s="327">
        <f>IF($B1683="","",COUNTIF($B$6:$B1683,$B1683))</f>
        <v>3</v>
      </c>
      <c r="E1683" s="361" t="s">
        <v>159</v>
      </c>
      <c r="F1683" s="362" t="s">
        <v>160</v>
      </c>
      <c r="G1683" s="327" t="s">
        <v>155</v>
      </c>
      <c r="H1683" s="327"/>
      <c r="I1683" s="327">
        <v>1</v>
      </c>
      <c r="J1683" s="345"/>
      <c r="K1683" s="327"/>
      <c r="L1683" s="389">
        <v>5000</v>
      </c>
      <c r="M1683" s="371"/>
      <c r="N1683" s="355" t="str">
        <f t="shared" si="213"/>
        <v>PK</v>
      </c>
      <c r="O1683" s="404" t="s">
        <v>1783</v>
      </c>
      <c r="P1683" s="392"/>
      <c r="Q1683" s="327"/>
      <c r="R1683" s="351"/>
      <c r="S1683" s="351"/>
      <c r="T1683" s="351"/>
      <c r="U1683" s="329" t="str">
        <f>IF($N1683=$N$4,IFERROR(INDEX(DanhMuc!$E$154:$E$165,MATCH(MID($B1683,4,2),DanhMuc!$B$154:$B$165,0)),""),"")</f>
        <v/>
      </c>
      <c r="V1683" s="361"/>
      <c r="W1683" s="345"/>
      <c r="X1683" s="329" t="str">
        <f t="shared" si="207"/>
        <v>FI</v>
      </c>
      <c r="Y1683" s="1128" t="s">
        <v>3380</v>
      </c>
      <c r="Z1683" s="1128" t="s">
        <v>3381</v>
      </c>
      <c r="AA1683" s="1128" t="s">
        <v>3384</v>
      </c>
      <c r="AB1683" s="20"/>
      <c r="AC1683" s="73"/>
    </row>
    <row r="1684" spans="1:29">
      <c r="A1684" s="327" t="str">
        <f>IF(AND($B1684&lt;&gt;"",$C1684&lt;&gt;""),MAX($A$1556:A1683)+1,"")</f>
        <v/>
      </c>
      <c r="B1684" s="361" t="s">
        <v>3158</v>
      </c>
      <c r="C1684" s="360"/>
      <c r="D1684" s="327">
        <f>IF($B1684="","",COUNTIF($B$6:$B1684,$B1684))</f>
        <v>4</v>
      </c>
      <c r="E1684" s="361" t="s">
        <v>3135</v>
      </c>
      <c r="F1684" s="362" t="s">
        <v>3136</v>
      </c>
      <c r="G1684" s="327" t="s">
        <v>155</v>
      </c>
      <c r="H1684" s="327"/>
      <c r="I1684" s="327">
        <v>1</v>
      </c>
      <c r="J1684" s="345"/>
      <c r="K1684" s="327"/>
      <c r="L1684" s="389">
        <v>140000</v>
      </c>
      <c r="M1684" s="371"/>
      <c r="N1684" s="355" t="str">
        <f t="shared" si="213"/>
        <v>PK</v>
      </c>
      <c r="O1684" s="404" t="s">
        <v>3137</v>
      </c>
      <c r="P1684" s="392"/>
      <c r="Q1684" s="327"/>
      <c r="R1684" s="351"/>
      <c r="S1684" s="351"/>
      <c r="T1684" s="351"/>
      <c r="U1684" s="329" t="str">
        <f>IF($N1684=$N$4,IFERROR(INDEX(DanhMuc!$E$154:$E$165,MATCH(MID($B1684,4,2),DanhMuc!$B$154:$B$165,0)),""),"")</f>
        <v/>
      </c>
      <c r="V1684" s="361"/>
      <c r="W1684" s="345"/>
      <c r="X1684" s="329" t="str">
        <f t="shared" si="207"/>
        <v>FI</v>
      </c>
      <c r="Y1684" s="1128" t="s">
        <v>3380</v>
      </c>
      <c r="Z1684" s="1128" t="s">
        <v>3381</v>
      </c>
      <c r="AA1684" s="1128" t="s">
        <v>3384</v>
      </c>
      <c r="AB1684" s="20"/>
      <c r="AC1684" s="73"/>
    </row>
    <row r="1685" spans="1:29">
      <c r="A1685" s="327" t="str">
        <f>IF(AND($B1685&lt;&gt;"",$C1685&lt;&gt;""),MAX($A$1556:A1684)+1,"")</f>
        <v/>
      </c>
      <c r="B1685" s="361" t="s">
        <v>3158</v>
      </c>
      <c r="C1685" s="360"/>
      <c r="D1685" s="327">
        <f>IF($B1685="","",COUNTIF($B$6:$B1685,$B1685))</f>
        <v>5</v>
      </c>
      <c r="E1685" s="361" t="s">
        <v>159</v>
      </c>
      <c r="F1685" s="362" t="s">
        <v>160</v>
      </c>
      <c r="G1685" s="327" t="s">
        <v>155</v>
      </c>
      <c r="H1685" s="327"/>
      <c r="I1685" s="327">
        <v>1</v>
      </c>
      <c r="J1685" s="345"/>
      <c r="K1685" s="327"/>
      <c r="L1685" s="389">
        <v>5000</v>
      </c>
      <c r="M1685" s="371"/>
      <c r="N1685" s="355" t="str">
        <f t="shared" si="213"/>
        <v>PK</v>
      </c>
      <c r="O1685" s="404" t="s">
        <v>3137</v>
      </c>
      <c r="P1685" s="392"/>
      <c r="Q1685" s="327"/>
      <c r="R1685" s="351"/>
      <c r="S1685" s="351"/>
      <c r="T1685" s="351"/>
      <c r="U1685" s="329" t="str">
        <f>IF($N1685=$N$4,IFERROR(INDEX(DanhMuc!$E$154:$E$165,MATCH(MID($B1685,4,2),DanhMuc!$B$154:$B$165,0)),""),"")</f>
        <v/>
      </c>
      <c r="V1685" s="361"/>
      <c r="W1685" s="345"/>
      <c r="X1685" s="329" t="str">
        <f t="shared" si="207"/>
        <v>FI</v>
      </c>
      <c r="Y1685" s="1128" t="s">
        <v>3380</v>
      </c>
      <c r="Z1685" s="1128" t="s">
        <v>3381</v>
      </c>
      <c r="AA1685" s="1128" t="s">
        <v>3384</v>
      </c>
      <c r="AB1685" s="20"/>
      <c r="AC1685" s="73"/>
    </row>
    <row r="1686" spans="1:29">
      <c r="A1686" s="327" t="str">
        <f>IF(AND($B1686&lt;&gt;"",$C1686&lt;&gt;""),MAX($A$1556:A1682)+1,"")</f>
        <v/>
      </c>
      <c r="B1686" s="361" t="s">
        <v>3158</v>
      </c>
      <c r="C1686" s="360"/>
      <c r="D1686" s="327">
        <f>IF($B1686="","",COUNTIF($B$6:$B1686,$B1686))</f>
        <v>6</v>
      </c>
      <c r="E1686" s="361" t="s">
        <v>157</v>
      </c>
      <c r="F1686" s="362" t="s">
        <v>158</v>
      </c>
      <c r="G1686" s="327" t="s">
        <v>155</v>
      </c>
      <c r="H1686" s="327"/>
      <c r="I1686" s="327">
        <v>1</v>
      </c>
      <c r="J1686" s="359"/>
      <c r="K1686" s="327"/>
      <c r="L1686" s="389">
        <v>45000</v>
      </c>
      <c r="M1686" s="371"/>
      <c r="N1686" s="355" t="s">
        <v>153</v>
      </c>
      <c r="O1686" s="345"/>
      <c r="P1686" s="392"/>
      <c r="Q1686" s="327"/>
      <c r="R1686" s="351"/>
      <c r="S1686" s="351"/>
      <c r="T1686" s="351"/>
      <c r="U1686" s="329" t="str">
        <f>IF($N1686=$N$4,IFERROR(INDEX(DanhMuc!$E$154:$E$165,MATCH(MID($B1686,4,2),DanhMuc!$B$154:$B$165,0)),""),"")</f>
        <v/>
      </c>
      <c r="V1686" s="361"/>
      <c r="W1686" s="345"/>
      <c r="X1686" s="329" t="str">
        <f t="shared" si="207"/>
        <v>FI</v>
      </c>
      <c r="Y1686" s="1128" t="s">
        <v>3380</v>
      </c>
      <c r="Z1686" s="1128" t="s">
        <v>3381</v>
      </c>
      <c r="AA1686" s="1128" t="s">
        <v>3384</v>
      </c>
      <c r="AB1686" s="20"/>
      <c r="AC1686" s="73"/>
    </row>
    <row r="1687" spans="1:29">
      <c r="A1687" s="327" t="str">
        <f>IF(AND($B1687&lt;&gt;"",$C1687&lt;&gt;""),MAX($A$1556:A1686)+1,"")</f>
        <v/>
      </c>
      <c r="B1687" s="361" t="s">
        <v>3158</v>
      </c>
      <c r="C1687" s="360"/>
      <c r="D1687" s="327">
        <f>IF($B1687="","",COUNTIF($B$6:$B1687,$B1687))</f>
        <v>7</v>
      </c>
      <c r="E1687" s="361" t="s">
        <v>159</v>
      </c>
      <c r="F1687" s="362" t="s">
        <v>160</v>
      </c>
      <c r="G1687" s="327" t="s">
        <v>155</v>
      </c>
      <c r="H1687" s="327"/>
      <c r="I1687" s="327">
        <v>1</v>
      </c>
      <c r="J1687" s="359"/>
      <c r="K1687" s="327"/>
      <c r="L1687" s="389">
        <v>5000</v>
      </c>
      <c r="M1687" s="371"/>
      <c r="N1687" s="355" t="s">
        <v>153</v>
      </c>
      <c r="O1687" s="345"/>
      <c r="P1687" s="392"/>
      <c r="Q1687" s="327"/>
      <c r="R1687" s="351"/>
      <c r="S1687" s="351"/>
      <c r="T1687" s="351"/>
      <c r="U1687" s="329" t="str">
        <f>IF($N1687=$N$4,IFERROR(INDEX(DanhMuc!$E$154:$E$165,MATCH(MID($B1687,4,2),DanhMuc!$B$154:$B$165,0)),""),"")</f>
        <v/>
      </c>
      <c r="V1687" s="361"/>
      <c r="W1687" s="345"/>
      <c r="X1687" s="329" t="str">
        <f t="shared" si="207"/>
        <v>FI</v>
      </c>
      <c r="Y1687" s="1128" t="s">
        <v>3380</v>
      </c>
      <c r="Z1687" s="1128" t="s">
        <v>3381</v>
      </c>
      <c r="AA1687" s="1128" t="s">
        <v>3384</v>
      </c>
      <c r="AB1687" s="20"/>
      <c r="AC1687" s="73"/>
    </row>
    <row r="1688" spans="1:29" ht="25">
      <c r="A1688" s="327" t="str">
        <f>IF(AND($B1688&lt;&gt;"",$C1688&lt;&gt;""),MAX($A$1556:A1687)+1,"")</f>
        <v/>
      </c>
      <c r="B1688" s="361" t="s">
        <v>3158</v>
      </c>
      <c r="C1688" s="360"/>
      <c r="D1688" s="327">
        <f>IF($B1688="","",COUNTIF($B$6:$B1688,$B1688))</f>
        <v>8</v>
      </c>
      <c r="E1688" s="361" t="s">
        <v>3141</v>
      </c>
      <c r="F1688" s="362" t="s">
        <v>3144</v>
      </c>
      <c r="G1688" s="327" t="s">
        <v>297</v>
      </c>
      <c r="H1688" s="327"/>
      <c r="I1688" s="327">
        <v>1</v>
      </c>
      <c r="J1688" s="345"/>
      <c r="K1688" s="327"/>
      <c r="L1688" s="389">
        <v>650000</v>
      </c>
      <c r="M1688" s="371"/>
      <c r="N1688" s="355" t="str">
        <f t="shared" ref="N1688:N1693" si="214">+$N$1555</f>
        <v>PK</v>
      </c>
      <c r="O1688" s="404" t="s">
        <v>3143</v>
      </c>
      <c r="P1688" s="392"/>
      <c r="Q1688" s="327"/>
      <c r="R1688" s="351"/>
      <c r="S1688" s="351"/>
      <c r="T1688" s="351"/>
      <c r="U1688" s="329" t="str">
        <f>IF($N1688=$N$4,IFERROR(INDEX(DanhMuc!$E$154:$E$165,MATCH(MID($B1688,4,2),DanhMuc!$B$154:$B$165,0)),""),"")</f>
        <v/>
      </c>
      <c r="V1688" s="361"/>
      <c r="W1688" s="345"/>
      <c r="X1688" s="329" t="str">
        <f t="shared" si="207"/>
        <v>FI</v>
      </c>
      <c r="Y1688" s="1128" t="s">
        <v>3380</v>
      </c>
      <c r="Z1688" s="1128" t="s">
        <v>3381</v>
      </c>
      <c r="AA1688" s="1128" t="s">
        <v>3384</v>
      </c>
      <c r="AB1688" s="20"/>
      <c r="AC1688" s="73"/>
    </row>
    <row r="1689" spans="1:29" ht="25">
      <c r="A1689" s="327" t="str">
        <f>IF(AND($B1689&lt;&gt;"",$C1689&lt;&gt;""),MAX($A$1556:A1688)+1,"")</f>
        <v/>
      </c>
      <c r="B1689" s="361" t="s">
        <v>3158</v>
      </c>
      <c r="C1689" s="360"/>
      <c r="D1689" s="327">
        <f>IF($B1689="","",COUNTIF($B$6:$B1689,$B1689))</f>
        <v>9</v>
      </c>
      <c r="E1689" s="361" t="s">
        <v>3141</v>
      </c>
      <c r="F1689" s="362" t="s">
        <v>3145</v>
      </c>
      <c r="G1689" s="327" t="s">
        <v>297</v>
      </c>
      <c r="H1689" s="327"/>
      <c r="I1689" s="327">
        <v>1</v>
      </c>
      <c r="J1689" s="345"/>
      <c r="K1689" s="327"/>
      <c r="L1689" s="389">
        <v>650000</v>
      </c>
      <c r="M1689" s="371"/>
      <c r="N1689" s="355" t="str">
        <f t="shared" si="214"/>
        <v>PK</v>
      </c>
      <c r="O1689" s="404" t="s">
        <v>3142</v>
      </c>
      <c r="P1689" s="392"/>
      <c r="Q1689" s="327"/>
      <c r="R1689" s="351"/>
      <c r="S1689" s="351"/>
      <c r="T1689" s="351"/>
      <c r="U1689" s="329" t="str">
        <f>IF($N1689=$N$4,IFERROR(INDEX(DanhMuc!$E$154:$E$165,MATCH(MID($B1689,4,2),DanhMuc!$B$154:$B$165,0)),""),"")</f>
        <v/>
      </c>
      <c r="V1689" s="361"/>
      <c r="W1689" s="345"/>
      <c r="X1689" s="329" t="str">
        <f t="shared" si="207"/>
        <v>FI</v>
      </c>
      <c r="Y1689" s="1128" t="s">
        <v>3380</v>
      </c>
      <c r="Z1689" s="1128" t="s">
        <v>3381</v>
      </c>
      <c r="AA1689" s="1128" t="s">
        <v>3384</v>
      </c>
      <c r="AB1689" s="20"/>
      <c r="AC1689" s="73"/>
    </row>
    <row r="1690" spans="1:29">
      <c r="A1690" s="327" t="str">
        <f>IF(AND($B1690&lt;&gt;"",$C1690&lt;&gt;""),MAX($A$1556:A1689)+1,"")</f>
        <v/>
      </c>
      <c r="B1690" s="361" t="s">
        <v>3158</v>
      </c>
      <c r="C1690" s="360"/>
      <c r="D1690" s="327">
        <f>IF($B1690="","",COUNTIF($B$6:$B1690,$B1690))</f>
        <v>10</v>
      </c>
      <c r="E1690" s="361" t="s">
        <v>3146</v>
      </c>
      <c r="F1690" s="362" t="s">
        <v>3147</v>
      </c>
      <c r="G1690" s="327" t="s">
        <v>155</v>
      </c>
      <c r="H1690" s="327"/>
      <c r="I1690" s="327">
        <v>1</v>
      </c>
      <c r="J1690" s="345"/>
      <c r="K1690" s="327"/>
      <c r="L1690" s="389">
        <v>48000</v>
      </c>
      <c r="M1690" s="371"/>
      <c r="N1690" s="355" t="str">
        <f t="shared" si="214"/>
        <v>PK</v>
      </c>
      <c r="O1690" s="404" t="s">
        <v>3148</v>
      </c>
      <c r="P1690" s="392"/>
      <c r="Q1690" s="327"/>
      <c r="R1690" s="351"/>
      <c r="S1690" s="351"/>
      <c r="T1690" s="351"/>
      <c r="U1690" s="329" t="str">
        <f>IF($N1690=$N$4,IFERROR(INDEX(DanhMuc!$E$154:$E$165,MATCH(MID($B1690,4,2),DanhMuc!$B$154:$B$165,0)),""),"")</f>
        <v/>
      </c>
      <c r="V1690" s="361"/>
      <c r="W1690" s="345"/>
      <c r="X1690" s="329" t="str">
        <f t="shared" si="207"/>
        <v>FI</v>
      </c>
      <c r="Y1690" s="1128" t="s">
        <v>3380</v>
      </c>
      <c r="Z1690" s="1128" t="s">
        <v>3381</v>
      </c>
      <c r="AA1690" s="1128" t="s">
        <v>3384</v>
      </c>
      <c r="AB1690" s="20"/>
      <c r="AC1690" s="73"/>
    </row>
    <row r="1691" spans="1:29">
      <c r="A1691" s="327" t="str">
        <f>IF(AND($B1691&lt;&gt;"",$C1691&lt;&gt;""),MAX($A$1556:A1690)+1,"")</f>
        <v/>
      </c>
      <c r="B1691" s="361" t="s">
        <v>3158</v>
      </c>
      <c r="C1691" s="360"/>
      <c r="D1691" s="327">
        <f>IF($B1691="","",COUNTIF($B$6:$B1691,$B1691))</f>
        <v>11</v>
      </c>
      <c r="E1691" s="361" t="s">
        <v>3149</v>
      </c>
      <c r="F1691" s="362" t="s">
        <v>1803</v>
      </c>
      <c r="G1691" s="327" t="s">
        <v>155</v>
      </c>
      <c r="H1691" s="327"/>
      <c r="I1691" s="327">
        <v>1</v>
      </c>
      <c r="J1691" s="345"/>
      <c r="K1691" s="327"/>
      <c r="L1691" s="389">
        <v>290000</v>
      </c>
      <c r="M1691" s="371"/>
      <c r="N1691" s="355" t="str">
        <f t="shared" si="214"/>
        <v>PK</v>
      </c>
      <c r="O1691" s="404" t="s">
        <v>3148</v>
      </c>
      <c r="P1691" s="392"/>
      <c r="Q1691" s="327"/>
      <c r="R1691" s="351"/>
      <c r="S1691" s="351"/>
      <c r="T1691" s="351"/>
      <c r="U1691" s="329" t="str">
        <f>IF($N1691=$N$4,IFERROR(INDEX(DanhMuc!$E$154:$E$165,MATCH(MID($B1691,4,2),DanhMuc!$B$154:$B$165,0)),""),"")</f>
        <v/>
      </c>
      <c r="V1691" s="361"/>
      <c r="W1691" s="345"/>
      <c r="X1691" s="329" t="str">
        <f t="shared" si="207"/>
        <v>FI</v>
      </c>
      <c r="Y1691" s="1128" t="s">
        <v>3380</v>
      </c>
      <c r="Z1691" s="1128" t="s">
        <v>3381</v>
      </c>
      <c r="AA1691" s="1128" t="s">
        <v>3384</v>
      </c>
      <c r="AB1691" s="20"/>
      <c r="AC1691" s="73"/>
    </row>
    <row r="1692" spans="1:29">
      <c r="A1692" s="327" t="str">
        <f>IF(AND($B1692&lt;&gt;"",$C1692&lt;&gt;""),MAX($A$1556:A1691)+1,"")</f>
        <v/>
      </c>
      <c r="B1692" s="361" t="s">
        <v>3158</v>
      </c>
      <c r="C1692" s="360"/>
      <c r="D1692" s="327">
        <f>IF($B1692="","",COUNTIF($B$6:$B1692,$B1692))</f>
        <v>12</v>
      </c>
      <c r="E1692" s="361" t="s">
        <v>3150</v>
      </c>
      <c r="F1692" s="362" t="s">
        <v>3151</v>
      </c>
      <c r="G1692" s="327" t="s">
        <v>155</v>
      </c>
      <c r="H1692" s="327"/>
      <c r="I1692" s="327">
        <v>1</v>
      </c>
      <c r="J1692" s="345"/>
      <c r="K1692" s="327"/>
      <c r="L1692" s="389">
        <v>90000</v>
      </c>
      <c r="M1692" s="371"/>
      <c r="N1692" s="355" t="str">
        <f t="shared" si="214"/>
        <v>PK</v>
      </c>
      <c r="O1692" s="404" t="s">
        <v>3148</v>
      </c>
      <c r="P1692" s="392"/>
      <c r="Q1692" s="327"/>
      <c r="R1692" s="351"/>
      <c r="S1692" s="351"/>
      <c r="T1692" s="351"/>
      <c r="U1692" s="329" t="str">
        <f>IF($N1692=$N$4,IFERROR(INDEX(DanhMuc!$E$154:$E$165,MATCH(MID($B1692,4,2),DanhMuc!$B$154:$B$165,0)),""),"")</f>
        <v/>
      </c>
      <c r="V1692" s="361"/>
      <c r="W1692" s="345"/>
      <c r="X1692" s="329" t="str">
        <f t="shared" si="207"/>
        <v>FI</v>
      </c>
      <c r="Y1692" s="1128" t="s">
        <v>3380</v>
      </c>
      <c r="Z1692" s="1128" t="s">
        <v>3381</v>
      </c>
      <c r="AA1692" s="1128" t="s">
        <v>3384</v>
      </c>
      <c r="AB1692" s="20"/>
      <c r="AC1692" s="73"/>
    </row>
    <row r="1693" spans="1:29">
      <c r="A1693" s="327" t="str">
        <f>IF(AND($B1693&lt;&gt;"",$C1693&lt;&gt;""),MAX($A$1556:A1692)+1,"")</f>
        <v/>
      </c>
      <c r="B1693" s="361" t="s">
        <v>3158</v>
      </c>
      <c r="C1693" s="360"/>
      <c r="D1693" s="327">
        <f>IF($B1693="","",COUNTIF($B$6:$B1693,$B1693))</f>
        <v>13</v>
      </c>
      <c r="E1693" s="361" t="s">
        <v>3152</v>
      </c>
      <c r="F1693" s="362" t="s">
        <v>3153</v>
      </c>
      <c r="G1693" s="327" t="s">
        <v>155</v>
      </c>
      <c r="H1693" s="327"/>
      <c r="I1693" s="327">
        <v>1</v>
      </c>
      <c r="J1693" s="345"/>
      <c r="K1693" s="327"/>
      <c r="L1693" s="389">
        <v>230000</v>
      </c>
      <c r="M1693" s="371"/>
      <c r="N1693" s="355" t="str">
        <f t="shared" si="214"/>
        <v>PK</v>
      </c>
      <c r="O1693" s="404" t="s">
        <v>3148</v>
      </c>
      <c r="P1693" s="392"/>
      <c r="Q1693" s="327"/>
      <c r="R1693" s="351"/>
      <c r="S1693" s="351"/>
      <c r="T1693" s="351"/>
      <c r="U1693" s="329" t="str">
        <f>IF($N1693=$N$4,IFERROR(INDEX(DanhMuc!$E$154:$E$165,MATCH(MID($B1693,4,2),DanhMuc!$B$154:$B$165,0)),""),"")</f>
        <v/>
      </c>
      <c r="V1693" s="361"/>
      <c r="W1693" s="345"/>
      <c r="X1693" s="329" t="str">
        <f t="shared" si="207"/>
        <v>FI</v>
      </c>
      <c r="Y1693" s="1128" t="s">
        <v>3380</v>
      </c>
      <c r="Z1693" s="1128" t="s">
        <v>3381</v>
      </c>
      <c r="AA1693" s="1128" t="s">
        <v>3384</v>
      </c>
      <c r="AB1693" s="20"/>
      <c r="AC1693" s="73"/>
    </row>
    <row r="1694" spans="1:29" ht="25">
      <c r="A1694" s="327" t="str">
        <f>IF(AND($B1694&lt;&gt;"",$C1694&lt;&gt;""),MAX($A$1556:A1687)+1,"")</f>
        <v/>
      </c>
      <c r="B1694" s="361" t="s">
        <v>3158</v>
      </c>
      <c r="C1694" s="360"/>
      <c r="D1694" s="327">
        <f>IF($B1694="","",COUNTIF($B$6:$B1694,$B1694))</f>
        <v>14</v>
      </c>
      <c r="E1694" s="361" t="s">
        <v>209</v>
      </c>
      <c r="F1694" s="362" t="s">
        <v>210</v>
      </c>
      <c r="G1694" s="327" t="s">
        <v>155</v>
      </c>
      <c r="H1694" s="327"/>
      <c r="I1694" s="327">
        <v>1</v>
      </c>
      <c r="J1694" s="359"/>
      <c r="K1694" s="327"/>
      <c r="L1694" s="389">
        <v>70000</v>
      </c>
      <c r="M1694" s="371"/>
      <c r="N1694" s="355" t="s">
        <v>153</v>
      </c>
      <c r="O1694" s="404" t="s">
        <v>1782</v>
      </c>
      <c r="P1694" s="392"/>
      <c r="Q1694" s="327"/>
      <c r="R1694" s="351"/>
      <c r="S1694" s="351"/>
      <c r="T1694" s="351"/>
      <c r="U1694" s="329" t="str">
        <f>IF($N1694=$N$4,IFERROR(INDEX(DanhMuc!$E$154:$E$165,MATCH(MID($B1694,4,2),DanhMuc!$B$154:$B$165,0)),""),"")</f>
        <v/>
      </c>
      <c r="V1694" s="361"/>
      <c r="W1694" s="345"/>
      <c r="X1694" s="329" t="str">
        <f t="shared" si="207"/>
        <v>FI</v>
      </c>
      <c r="Y1694" s="1128" t="s">
        <v>3380</v>
      </c>
      <c r="Z1694" s="1128" t="s">
        <v>3381</v>
      </c>
      <c r="AA1694" s="1128" t="s">
        <v>3384</v>
      </c>
      <c r="AB1694" s="20"/>
      <c r="AC1694" s="73"/>
    </row>
    <row r="1695" spans="1:29">
      <c r="A1695" s="327" t="str">
        <f>IF(AND($B1695&lt;&gt;"",$C1695&lt;&gt;""),MAX($A$1556:A1694)+1,"")</f>
        <v/>
      </c>
      <c r="B1695" s="361" t="s">
        <v>3158</v>
      </c>
      <c r="C1695" s="360"/>
      <c r="D1695" s="327">
        <f>IF($B1695="","",COUNTIF($B$6:$B1695,$B1695))</f>
        <v>15</v>
      </c>
      <c r="E1695" s="402" t="s">
        <v>952</v>
      </c>
      <c r="F1695" s="403" t="s">
        <v>953</v>
      </c>
      <c r="G1695" s="410" t="s">
        <v>156</v>
      </c>
      <c r="H1695" s="327" t="s">
        <v>536</v>
      </c>
      <c r="I1695" s="411" t="s">
        <v>2856</v>
      </c>
      <c r="J1695" s="404"/>
      <c r="K1695" s="410"/>
      <c r="L1695" s="389">
        <v>27000</v>
      </c>
      <c r="M1695" s="371"/>
      <c r="N1695" s="355" t="s">
        <v>153</v>
      </c>
      <c r="O1695" s="404" t="s">
        <v>1782</v>
      </c>
      <c r="P1695" s="392"/>
      <c r="Q1695" s="327"/>
      <c r="R1695" s="351"/>
      <c r="S1695" s="351"/>
      <c r="T1695" s="351"/>
      <c r="U1695" s="329" t="str">
        <f>IF($N1695=$N$4,IFERROR(INDEX(DanhMuc!$E$154:$E$165,MATCH(MID($B1695,4,2),DanhMuc!$B$154:$B$165,0)),""),"")</f>
        <v/>
      </c>
      <c r="V1695" s="361"/>
      <c r="W1695" s="345"/>
      <c r="X1695" s="329" t="str">
        <f t="shared" si="207"/>
        <v>FI</v>
      </c>
      <c r="Y1695" s="1128" t="s">
        <v>3380</v>
      </c>
      <c r="Z1695" s="1128" t="s">
        <v>3381</v>
      </c>
      <c r="AA1695" s="1128" t="s">
        <v>3384</v>
      </c>
      <c r="AB1695" s="20"/>
      <c r="AC1695" s="73"/>
    </row>
    <row r="1696" spans="1:29">
      <c r="A1696" s="327" t="str">
        <f>IF(AND($B1696&lt;&gt;"",$C1696&lt;&gt;""),MAX($A$1556:A1695)+1,"")</f>
        <v/>
      </c>
      <c r="B1696" s="361" t="s">
        <v>3158</v>
      </c>
      <c r="C1696" s="360"/>
      <c r="D1696" s="327">
        <f>IF($B1696="","",COUNTIF($B$6:$B1696,$B1696))</f>
        <v>16</v>
      </c>
      <c r="E1696" s="402" t="s">
        <v>954</v>
      </c>
      <c r="F1696" s="403" t="s">
        <v>1059</v>
      </c>
      <c r="G1696" s="410" t="s">
        <v>156</v>
      </c>
      <c r="H1696" s="327" t="s">
        <v>536</v>
      </c>
      <c r="I1696" s="411" t="s">
        <v>2853</v>
      </c>
      <c r="J1696" s="404"/>
      <c r="K1696" s="410"/>
      <c r="L1696" s="415">
        <v>35000</v>
      </c>
      <c r="M1696" s="371"/>
      <c r="N1696" s="355" t="s">
        <v>153</v>
      </c>
      <c r="O1696" s="404" t="s">
        <v>1782</v>
      </c>
      <c r="P1696" s="392"/>
      <c r="Q1696" s="327"/>
      <c r="R1696" s="351"/>
      <c r="S1696" s="351"/>
      <c r="T1696" s="351"/>
      <c r="U1696" s="329" t="str">
        <f>IF($N1696=$N$4,IFERROR(INDEX(DanhMuc!$E$154:$E$165,MATCH(MID($B1696,4,2),DanhMuc!$B$154:$B$165,0)),""),"")</f>
        <v/>
      </c>
      <c r="V1696" s="361"/>
      <c r="W1696" s="345"/>
      <c r="X1696" s="329" t="str">
        <f t="shared" si="207"/>
        <v>FI</v>
      </c>
      <c r="Y1696" s="1128" t="s">
        <v>3380</v>
      </c>
      <c r="Z1696" s="1128" t="s">
        <v>3381</v>
      </c>
      <c r="AA1696" s="1128" t="s">
        <v>3384</v>
      </c>
      <c r="AB1696" s="20"/>
      <c r="AC1696" s="73"/>
    </row>
    <row r="1697" spans="1:29">
      <c r="A1697" s="327" t="str">
        <f>IF(AND($B1697&lt;&gt;"",$C1697&lt;&gt;""),MAX($A$1556:A1696)+1,"")</f>
        <v/>
      </c>
      <c r="B1697" s="361" t="s">
        <v>3158</v>
      </c>
      <c r="C1697" s="360"/>
      <c r="D1697" s="327">
        <f>IF($B1697="","",COUNTIF($B$6:$B1697,$B1697))</f>
        <v>17</v>
      </c>
      <c r="E1697" s="402" t="s">
        <v>955</v>
      </c>
      <c r="F1697" s="403" t="s">
        <v>956</v>
      </c>
      <c r="G1697" s="410" t="s">
        <v>156</v>
      </c>
      <c r="H1697" s="327" t="s">
        <v>536</v>
      </c>
      <c r="I1697" s="411" t="s">
        <v>2854</v>
      </c>
      <c r="J1697" s="404"/>
      <c r="K1697" s="410"/>
      <c r="L1697" s="389">
        <v>37000</v>
      </c>
      <c r="M1697" s="371"/>
      <c r="N1697" s="355" t="s">
        <v>153</v>
      </c>
      <c r="O1697" s="404" t="s">
        <v>1782</v>
      </c>
      <c r="P1697" s="392"/>
      <c r="Q1697" s="327"/>
      <c r="R1697" s="351"/>
      <c r="S1697" s="351"/>
      <c r="T1697" s="351"/>
      <c r="U1697" s="329" t="str">
        <f>IF($N1697=$N$4,IFERROR(INDEX(DanhMuc!$E$154:$E$165,MATCH(MID($B1697,4,2),DanhMuc!$B$154:$B$165,0)),""),"")</f>
        <v/>
      </c>
      <c r="V1697" s="361"/>
      <c r="W1697" s="345"/>
      <c r="X1697" s="329" t="str">
        <f t="shared" si="207"/>
        <v>FI</v>
      </c>
      <c r="Y1697" s="1128" t="s">
        <v>3380</v>
      </c>
      <c r="Z1697" s="1128" t="s">
        <v>3381</v>
      </c>
      <c r="AA1697" s="1128" t="s">
        <v>3384</v>
      </c>
      <c r="AB1697" s="20"/>
      <c r="AC1697" s="73"/>
    </row>
    <row r="1698" spans="1:29">
      <c r="A1698" s="327" t="str">
        <f>IF(AND($B1698&lt;&gt;"",$C1698&lt;&gt;""),MAX($A$1556:A1697)+1,"")</f>
        <v/>
      </c>
      <c r="B1698" s="361" t="s">
        <v>3158</v>
      </c>
      <c r="C1698" s="360"/>
      <c r="D1698" s="327">
        <f>IF($B1698="","",COUNTIF($B$6:$B1698,$B1698))</f>
        <v>18</v>
      </c>
      <c r="E1698" s="402" t="s">
        <v>182</v>
      </c>
      <c r="F1698" s="403" t="s">
        <v>183</v>
      </c>
      <c r="G1698" s="410" t="s">
        <v>156</v>
      </c>
      <c r="H1698" s="327" t="s">
        <v>536</v>
      </c>
      <c r="I1698" s="411" t="s">
        <v>2855</v>
      </c>
      <c r="J1698" s="404"/>
      <c r="K1698" s="410"/>
      <c r="L1698" s="389">
        <v>45000</v>
      </c>
      <c r="M1698" s="371"/>
      <c r="N1698" s="355" t="s">
        <v>153</v>
      </c>
      <c r="O1698" s="404" t="s">
        <v>1782</v>
      </c>
      <c r="P1698" s="392"/>
      <c r="Q1698" s="327"/>
      <c r="R1698" s="351"/>
      <c r="S1698" s="351"/>
      <c r="T1698" s="351"/>
      <c r="U1698" s="329" t="str">
        <f>IF($N1698=$N$4,IFERROR(INDEX(DanhMuc!$E$154:$E$165,MATCH(MID($B1698,4,2),DanhMuc!$B$154:$B$165,0)),""),"")</f>
        <v/>
      </c>
      <c r="V1698" s="361"/>
      <c r="W1698" s="345"/>
      <c r="X1698" s="329" t="str">
        <f t="shared" si="207"/>
        <v>FI</v>
      </c>
      <c r="Y1698" s="1128" t="s">
        <v>3380</v>
      </c>
      <c r="Z1698" s="1128" t="s">
        <v>3381</v>
      </c>
      <c r="AA1698" s="1128" t="s">
        <v>3384</v>
      </c>
      <c r="AB1698" s="20"/>
      <c r="AC1698" s="73"/>
    </row>
    <row r="1699" spans="1:29">
      <c r="A1699" s="327" t="str">
        <f>IF(AND($B1699&lt;&gt;"",$C1699&lt;&gt;""),MAX($A$1556:A1695)+1,"")</f>
        <v/>
      </c>
      <c r="B1699" s="361" t="s">
        <v>3158</v>
      </c>
      <c r="C1699" s="360"/>
      <c r="D1699" s="327">
        <f>IF($B1699="","",COUNTIF($B$6:$B1699,$B1699))</f>
        <v>19</v>
      </c>
      <c r="E1699" s="361" t="s">
        <v>184</v>
      </c>
      <c r="F1699" s="362" t="s">
        <v>981</v>
      </c>
      <c r="G1699" s="327" t="s">
        <v>155</v>
      </c>
      <c r="H1699" s="327" t="s">
        <v>536</v>
      </c>
      <c r="I1699" s="327">
        <v>2</v>
      </c>
      <c r="J1699" s="359"/>
      <c r="K1699" s="327"/>
      <c r="L1699" s="389">
        <v>6500</v>
      </c>
      <c r="M1699" s="371"/>
      <c r="N1699" s="355" t="str">
        <f t="shared" ref="N1699:N1712" si="215">+$N$1555</f>
        <v>PK</v>
      </c>
      <c r="O1699" s="404" t="s">
        <v>1782</v>
      </c>
      <c r="P1699" s="392"/>
      <c r="Q1699" s="327"/>
      <c r="R1699" s="351"/>
      <c r="S1699" s="351"/>
      <c r="T1699" s="351"/>
      <c r="U1699" s="329" t="str">
        <f>IF($N1699=$N$4,IFERROR(INDEX(DanhMuc!$E$154:$E$165,MATCH(MID($B1699,4,2),DanhMuc!$B$154:$B$165,0)),""),"")</f>
        <v/>
      </c>
      <c r="V1699" s="361"/>
      <c r="W1699" s="345"/>
      <c r="X1699" s="329" t="str">
        <f t="shared" si="207"/>
        <v>FI</v>
      </c>
      <c r="Y1699" s="1128" t="s">
        <v>3380</v>
      </c>
      <c r="Z1699" s="1128" t="s">
        <v>3381</v>
      </c>
      <c r="AA1699" s="1128" t="s">
        <v>3384</v>
      </c>
      <c r="AB1699" s="20"/>
      <c r="AC1699" s="73"/>
    </row>
    <row r="1700" spans="1:29">
      <c r="A1700" s="327" t="str">
        <f>IF(AND($B1700&lt;&gt;"",$C1700&lt;&gt;""),MAX($A$1556:A1699)+1,"")</f>
        <v/>
      </c>
      <c r="B1700" s="361" t="s">
        <v>3158</v>
      </c>
      <c r="C1700" s="360"/>
      <c r="D1700" s="327">
        <f>IF($B1700="","",COUNTIF($B$6:$B1700,$B1700))</f>
        <v>20</v>
      </c>
      <c r="E1700" s="361" t="s">
        <v>187</v>
      </c>
      <c r="F1700" s="362" t="s">
        <v>189</v>
      </c>
      <c r="G1700" s="327" t="s">
        <v>155</v>
      </c>
      <c r="H1700" s="327"/>
      <c r="I1700" s="327">
        <v>4</v>
      </c>
      <c r="J1700" s="361"/>
      <c r="K1700" s="327"/>
      <c r="L1700" s="389">
        <v>5000</v>
      </c>
      <c r="M1700" s="371"/>
      <c r="N1700" s="355" t="str">
        <f t="shared" si="215"/>
        <v>PK</v>
      </c>
      <c r="O1700" s="345"/>
      <c r="P1700" s="392"/>
      <c r="Q1700" s="327"/>
      <c r="R1700" s="351"/>
      <c r="S1700" s="351"/>
      <c r="T1700" s="351"/>
      <c r="U1700" s="329" t="str">
        <f>IF($N1700=$N$4,IFERROR(INDEX(DanhMuc!$E$154:$E$165,MATCH(MID($B1700,4,2),DanhMuc!$B$154:$B$165,0)),""),"")</f>
        <v/>
      </c>
      <c r="V1700" s="361"/>
      <c r="W1700" s="345"/>
      <c r="X1700" s="329" t="str">
        <f t="shared" si="207"/>
        <v>FI</v>
      </c>
      <c r="Y1700" s="1128" t="s">
        <v>3380</v>
      </c>
      <c r="Z1700" s="1128" t="s">
        <v>3381</v>
      </c>
      <c r="AA1700" s="1128" t="s">
        <v>3384</v>
      </c>
      <c r="AB1700" s="20"/>
      <c r="AC1700" s="73"/>
    </row>
    <row r="1701" spans="1:29">
      <c r="A1701" s="327" t="str">
        <f>IF(AND($B1701&lt;&gt;"",$C1701&lt;&gt;""),MAX($A$1556:A1700)+1,"")</f>
        <v/>
      </c>
      <c r="B1701" s="361" t="s">
        <v>3158</v>
      </c>
      <c r="C1701" s="360"/>
      <c r="D1701" s="327">
        <f>IF($B1701="","",COUNTIF($B$6:$B1701,$B1701))</f>
        <v>21</v>
      </c>
      <c r="E1701" s="361" t="s">
        <v>172</v>
      </c>
      <c r="F1701" s="362" t="s">
        <v>173</v>
      </c>
      <c r="G1701" s="327" t="s">
        <v>155</v>
      </c>
      <c r="H1701" s="327"/>
      <c r="I1701" s="327">
        <v>1</v>
      </c>
      <c r="J1701" s="361"/>
      <c r="K1701" s="327"/>
      <c r="L1701" s="389">
        <v>6000</v>
      </c>
      <c r="M1701" s="371"/>
      <c r="N1701" s="355" t="str">
        <f t="shared" si="215"/>
        <v>PK</v>
      </c>
      <c r="O1701" s="345"/>
      <c r="P1701" s="392"/>
      <c r="Q1701" s="327"/>
      <c r="R1701" s="351"/>
      <c r="S1701" s="351"/>
      <c r="T1701" s="351"/>
      <c r="U1701" s="329" t="str">
        <f>IF($N1701=$N$4,IFERROR(INDEX(DanhMuc!$E$154:$E$165,MATCH(MID($B1701,4,2),DanhMuc!$B$154:$B$165,0)),""),"")</f>
        <v/>
      </c>
      <c r="V1701" s="361"/>
      <c r="W1701" s="345"/>
      <c r="X1701" s="329" t="str">
        <f t="shared" si="207"/>
        <v>FI</v>
      </c>
      <c r="Y1701" s="1128" t="s">
        <v>3380</v>
      </c>
      <c r="Z1701" s="1128" t="s">
        <v>3381</v>
      </c>
      <c r="AA1701" s="1128" t="s">
        <v>3384</v>
      </c>
      <c r="AB1701" s="20"/>
      <c r="AC1701" s="73"/>
    </row>
    <row r="1702" spans="1:29">
      <c r="A1702" s="327" t="str">
        <f>IF(AND($B1702&lt;&gt;"",$C1702&lt;&gt;""),MAX($A$1556:A1701)+1,"")</f>
        <v/>
      </c>
      <c r="B1702" s="361" t="s">
        <v>3158</v>
      </c>
      <c r="C1702" s="360"/>
      <c r="D1702" s="327">
        <f>IF($B1702="","",COUNTIF($B$6:$B1702,$B1702))</f>
        <v>22</v>
      </c>
      <c r="E1702" s="361" t="s">
        <v>163</v>
      </c>
      <c r="F1702" s="362" t="s">
        <v>164</v>
      </c>
      <c r="G1702" s="327" t="s">
        <v>155</v>
      </c>
      <c r="H1702" s="327"/>
      <c r="I1702" s="327">
        <v>2</v>
      </c>
      <c r="J1702" s="361"/>
      <c r="K1702" s="327"/>
      <c r="L1702" s="389">
        <v>2500</v>
      </c>
      <c r="M1702" s="371"/>
      <c r="N1702" s="355" t="str">
        <f t="shared" si="215"/>
        <v>PK</v>
      </c>
      <c r="O1702" s="345"/>
      <c r="P1702" s="392"/>
      <c r="Q1702" s="327"/>
      <c r="R1702" s="351"/>
      <c r="S1702" s="351"/>
      <c r="T1702" s="351"/>
      <c r="U1702" s="329" t="str">
        <f>IF($N1702=$N$4,IFERROR(INDEX(DanhMuc!$E$154:$E$165,MATCH(MID($B1702,4,2),DanhMuc!$B$154:$B$165,0)),""),"")</f>
        <v/>
      </c>
      <c r="V1702" s="408" t="s">
        <v>342</v>
      </c>
      <c r="W1702" s="345"/>
      <c r="X1702" s="329" t="str">
        <f t="shared" si="207"/>
        <v>FI</v>
      </c>
      <c r="Y1702" s="1128" t="s">
        <v>3380</v>
      </c>
      <c r="Z1702" s="1128" t="s">
        <v>3381</v>
      </c>
      <c r="AA1702" s="1128" t="s">
        <v>3384</v>
      </c>
      <c r="AB1702" s="20"/>
      <c r="AC1702" s="73"/>
    </row>
    <row r="1703" spans="1:29">
      <c r="A1703" s="327" t="str">
        <f>IF(AND($B1703&lt;&gt;"",$C1703&lt;&gt;""),MAX($A$1556:A1702)+1,"")</f>
        <v/>
      </c>
      <c r="B1703" s="361" t="s">
        <v>3158</v>
      </c>
      <c r="C1703" s="360"/>
      <c r="D1703" s="327">
        <f>IF($B1703="","",COUNTIF($B$6:$B1703,$B1703))</f>
        <v>23</v>
      </c>
      <c r="E1703" s="361" t="s">
        <v>185</v>
      </c>
      <c r="F1703" s="362" t="s">
        <v>186</v>
      </c>
      <c r="G1703" s="327" t="s">
        <v>155</v>
      </c>
      <c r="H1703" s="327" t="s">
        <v>536</v>
      </c>
      <c r="I1703" s="327">
        <v>4</v>
      </c>
      <c r="J1703" s="361"/>
      <c r="K1703" s="327"/>
      <c r="L1703" s="389">
        <v>41000</v>
      </c>
      <c r="M1703" s="371"/>
      <c r="N1703" s="355" t="str">
        <f t="shared" si="215"/>
        <v>PK</v>
      </c>
      <c r="O1703" s="345"/>
      <c r="P1703" s="392"/>
      <c r="Q1703" s="327"/>
      <c r="R1703" s="351"/>
      <c r="S1703" s="351"/>
      <c r="T1703" s="351"/>
      <c r="U1703" s="329" t="str">
        <f>IF($N1703=$N$4,IFERROR(INDEX(DanhMuc!$E$154:$E$165,MATCH(MID($B1703,4,2),DanhMuc!$B$154:$B$165,0)),""),"")</f>
        <v/>
      </c>
      <c r="V1703" s="361"/>
      <c r="W1703" s="345"/>
      <c r="X1703" s="329" t="str">
        <f t="shared" si="207"/>
        <v>FI</v>
      </c>
      <c r="Y1703" s="1128" t="s">
        <v>3380</v>
      </c>
      <c r="Z1703" s="1128" t="s">
        <v>3381</v>
      </c>
      <c r="AA1703" s="1128" t="s">
        <v>3384</v>
      </c>
      <c r="AB1703" s="20"/>
      <c r="AC1703" s="73"/>
    </row>
    <row r="1704" spans="1:29">
      <c r="A1704" s="327" t="str">
        <f>IF(AND($B1704&lt;&gt;"",$C1704&lt;&gt;""),MAX($A$1556:A1703)+1,"")</f>
        <v/>
      </c>
      <c r="B1704" s="361" t="s">
        <v>3158</v>
      </c>
      <c r="C1704" s="360"/>
      <c r="D1704" s="327">
        <f>IF($B1704="","",COUNTIF($B$6:$B1704,$B1704))</f>
        <v>24</v>
      </c>
      <c r="E1704" s="361" t="s">
        <v>165</v>
      </c>
      <c r="F1704" s="362" t="s">
        <v>166</v>
      </c>
      <c r="G1704" s="327" t="s">
        <v>155</v>
      </c>
      <c r="H1704" s="327"/>
      <c r="I1704" s="327">
        <v>2</v>
      </c>
      <c r="J1704" s="361"/>
      <c r="K1704" s="327"/>
      <c r="L1704" s="389">
        <v>1700</v>
      </c>
      <c r="M1704" s="371"/>
      <c r="N1704" s="355" t="str">
        <f t="shared" si="215"/>
        <v>PK</v>
      </c>
      <c r="O1704" s="345"/>
      <c r="P1704" s="392"/>
      <c r="Q1704" s="327"/>
      <c r="R1704" s="351"/>
      <c r="S1704" s="351"/>
      <c r="T1704" s="351"/>
      <c r="U1704" s="329" t="str">
        <f>IF($N1704=$N$4,IFERROR(INDEX(DanhMuc!$E$154:$E$165,MATCH(MID($B1704,4,2),DanhMuc!$B$154:$B$165,0)),""),"")</f>
        <v/>
      </c>
      <c r="V1704" s="361"/>
      <c r="W1704" s="345"/>
      <c r="X1704" s="329" t="str">
        <f t="shared" si="207"/>
        <v>FI</v>
      </c>
      <c r="Y1704" s="1128" t="s">
        <v>3380</v>
      </c>
      <c r="Z1704" s="1128" t="s">
        <v>3381</v>
      </c>
      <c r="AA1704" s="1128" t="s">
        <v>3384</v>
      </c>
      <c r="AB1704" s="20"/>
      <c r="AC1704" s="73"/>
    </row>
    <row r="1705" spans="1:29">
      <c r="A1705" s="327" t="str">
        <f>IF(AND($B1705&lt;&gt;"",$C1705&lt;&gt;""),MAX($A$1556:A1704)+1,"")</f>
        <v/>
      </c>
      <c r="B1705" s="361" t="s">
        <v>3158</v>
      </c>
      <c r="C1705" s="360"/>
      <c r="D1705" s="327">
        <f>IF($B1705="","",COUNTIF($B$6:$B1705,$B1705))</f>
        <v>25</v>
      </c>
      <c r="E1705" s="361" t="s">
        <v>167</v>
      </c>
      <c r="F1705" s="362" t="s">
        <v>168</v>
      </c>
      <c r="G1705" s="327" t="s">
        <v>155</v>
      </c>
      <c r="H1705" s="327"/>
      <c r="I1705" s="327">
        <v>2</v>
      </c>
      <c r="J1705" s="361"/>
      <c r="K1705" s="327"/>
      <c r="L1705" s="389">
        <v>1700</v>
      </c>
      <c r="M1705" s="371"/>
      <c r="N1705" s="355" t="str">
        <f t="shared" si="215"/>
        <v>PK</v>
      </c>
      <c r="O1705" s="345"/>
      <c r="P1705" s="392"/>
      <c r="Q1705" s="327"/>
      <c r="R1705" s="351"/>
      <c r="S1705" s="351"/>
      <c r="T1705" s="351"/>
      <c r="U1705" s="329" t="str">
        <f>IF($N1705=$N$4,IFERROR(INDEX(DanhMuc!$E$154:$E$165,MATCH(MID($B1705,4,2),DanhMuc!$B$154:$B$165,0)),""),"")</f>
        <v/>
      </c>
      <c r="V1705" s="361"/>
      <c r="W1705" s="345"/>
      <c r="X1705" s="329" t="str">
        <f t="shared" si="207"/>
        <v>FI</v>
      </c>
      <c r="Y1705" s="1128" t="s">
        <v>3380</v>
      </c>
      <c r="Z1705" s="1128" t="s">
        <v>3381</v>
      </c>
      <c r="AA1705" s="1128" t="s">
        <v>3384</v>
      </c>
      <c r="AB1705" s="20"/>
      <c r="AC1705" s="73"/>
    </row>
    <row r="1706" spans="1:29">
      <c r="A1706" s="327" t="str">
        <f>IF(AND($B1706&lt;&gt;"",$C1706&lt;&gt;""),MAX($A$1556:A1705)+1,"")</f>
        <v/>
      </c>
      <c r="B1706" s="361" t="s">
        <v>3158</v>
      </c>
      <c r="C1706" s="360"/>
      <c r="D1706" s="327">
        <f>IF($B1706="","",COUNTIF($B$6:$B1706,$B1706))</f>
        <v>26</v>
      </c>
      <c r="E1706" s="361" t="s">
        <v>169</v>
      </c>
      <c r="F1706" s="362" t="s">
        <v>170</v>
      </c>
      <c r="G1706" s="327" t="s">
        <v>155</v>
      </c>
      <c r="H1706" s="327"/>
      <c r="I1706" s="327">
        <v>2</v>
      </c>
      <c r="J1706" s="361"/>
      <c r="K1706" s="327"/>
      <c r="L1706" s="389">
        <v>1700</v>
      </c>
      <c r="M1706" s="371"/>
      <c r="N1706" s="355" t="str">
        <f t="shared" si="215"/>
        <v>PK</v>
      </c>
      <c r="O1706" s="345"/>
      <c r="P1706" s="392"/>
      <c r="Q1706" s="327"/>
      <c r="R1706" s="351"/>
      <c r="S1706" s="351"/>
      <c r="T1706" s="351"/>
      <c r="U1706" s="329" t="str">
        <f>IF($N1706=$N$4,IFERROR(INDEX(DanhMuc!$E$154:$E$165,MATCH(MID($B1706,4,2),DanhMuc!$B$154:$B$165,0)),""),"")</f>
        <v/>
      </c>
      <c r="V1706" s="361"/>
      <c r="W1706" s="345"/>
      <c r="X1706" s="329" t="str">
        <f t="shared" si="207"/>
        <v>FI</v>
      </c>
      <c r="Y1706" s="1128" t="s">
        <v>3380</v>
      </c>
      <c r="Z1706" s="1128" t="s">
        <v>3381</v>
      </c>
      <c r="AA1706" s="1128" t="s">
        <v>3384</v>
      </c>
      <c r="AB1706" s="20"/>
      <c r="AC1706" s="73"/>
    </row>
    <row r="1707" spans="1:29">
      <c r="A1707" s="327" t="str">
        <f>IF(AND($B1707&lt;&gt;"",$C1707&lt;&gt;""),MAX($A$1556:A1706)+1,"")</f>
        <v/>
      </c>
      <c r="B1707" s="361" t="s">
        <v>3158</v>
      </c>
      <c r="C1707" s="360"/>
      <c r="D1707" s="327">
        <f>IF($B1707="","",COUNTIF($B$6:$B1707,$B1707))</f>
        <v>27</v>
      </c>
      <c r="E1707" s="361" t="s">
        <v>171</v>
      </c>
      <c r="F1707" s="362" t="s">
        <v>291</v>
      </c>
      <c r="G1707" s="327" t="s">
        <v>155</v>
      </c>
      <c r="H1707" s="327"/>
      <c r="I1707" s="327">
        <v>2</v>
      </c>
      <c r="J1707" s="361"/>
      <c r="K1707" s="327"/>
      <c r="L1707" s="389">
        <v>1700</v>
      </c>
      <c r="M1707" s="371"/>
      <c r="N1707" s="355" t="str">
        <f t="shared" si="215"/>
        <v>PK</v>
      </c>
      <c r="O1707" s="345"/>
      <c r="P1707" s="392"/>
      <c r="Q1707" s="327"/>
      <c r="R1707" s="351"/>
      <c r="S1707" s="351"/>
      <c r="T1707" s="351"/>
      <c r="U1707" s="329" t="str">
        <f>IF($N1707=$N$4,IFERROR(INDEX(DanhMuc!$E$154:$E$165,MATCH(MID($B1707,4,2),DanhMuc!$B$154:$B$165,0)),""),"")</f>
        <v/>
      </c>
      <c r="V1707" s="361"/>
      <c r="W1707" s="345"/>
      <c r="X1707" s="329" t="str">
        <f t="shared" si="207"/>
        <v>FI</v>
      </c>
      <c r="Y1707" s="1128" t="s">
        <v>3380</v>
      </c>
      <c r="Z1707" s="1128" t="s">
        <v>3381</v>
      </c>
      <c r="AA1707" s="1128" t="s">
        <v>3384</v>
      </c>
      <c r="AB1707" s="20"/>
      <c r="AC1707" s="73"/>
    </row>
    <row r="1708" spans="1:29" ht="39">
      <c r="A1708" s="327">
        <f>IF(AND($B1708&lt;&gt;"",$C1708&lt;&gt;""),MAX($A$1556:A1680)+1,"")</f>
        <v>5</v>
      </c>
      <c r="B1708" s="359" t="s">
        <v>1981</v>
      </c>
      <c r="C1708" s="360" t="s">
        <v>1533</v>
      </c>
      <c r="D1708" s="327">
        <f>IF($B1708="","",COUNTIF($B$6:$B1708,$B1708))</f>
        <v>1</v>
      </c>
      <c r="E1708" s="361" t="s">
        <v>739</v>
      </c>
      <c r="F1708" s="362" t="s">
        <v>2562</v>
      </c>
      <c r="G1708" s="327" t="s">
        <v>297</v>
      </c>
      <c r="H1708" s="327"/>
      <c r="I1708" s="327">
        <v>1</v>
      </c>
      <c r="J1708" s="345"/>
      <c r="K1708" s="327"/>
      <c r="L1708" s="389">
        <v>199000</v>
      </c>
      <c r="M1708" s="371"/>
      <c r="N1708" s="355" t="str">
        <f t="shared" si="215"/>
        <v>PK</v>
      </c>
      <c r="O1708" s="404" t="s">
        <v>2560</v>
      </c>
      <c r="P1708" s="392"/>
      <c r="Q1708" s="327"/>
      <c r="R1708" s="351"/>
      <c r="S1708" s="351"/>
      <c r="T1708" s="351"/>
      <c r="U1708" s="329" t="str">
        <f>IF($N1708=$N$4,IFERROR(INDEX(DanhMuc!$E$154:$E$165,MATCH(MID($B1708,4,2),DanhMuc!$B$154:$B$165,0)),""),"")</f>
        <v/>
      </c>
      <c r="V1708" s="361"/>
      <c r="W1708" s="345"/>
      <c r="X1708" s="329" t="str">
        <f t="shared" si="207"/>
        <v>3H</v>
      </c>
      <c r="Y1708" s="1128" t="s">
        <v>3380</v>
      </c>
      <c r="Z1708" s="1128" t="s">
        <v>3381</v>
      </c>
      <c r="AA1708" s="1128" t="s">
        <v>3384</v>
      </c>
      <c r="AB1708" s="20"/>
      <c r="AC1708" s="73"/>
    </row>
    <row r="1709" spans="1:29" ht="37.5">
      <c r="A1709" s="327" t="str">
        <f>IF(AND($B1709&lt;&gt;"",$C1709&lt;&gt;""),MAX($A$1556:A1708)+1,"")</f>
        <v/>
      </c>
      <c r="B1709" s="361" t="s">
        <v>1981</v>
      </c>
      <c r="C1709" s="360"/>
      <c r="D1709" s="327">
        <f>IF($B1709="","",COUNTIF($B$6:$B1709,$B1709))</f>
        <v>2</v>
      </c>
      <c r="E1709" s="361" t="s">
        <v>739</v>
      </c>
      <c r="F1709" s="362" t="s">
        <v>2563</v>
      </c>
      <c r="G1709" s="327" t="s">
        <v>297</v>
      </c>
      <c r="H1709" s="327"/>
      <c r="I1709" s="327">
        <v>1</v>
      </c>
      <c r="J1709" s="345"/>
      <c r="K1709" s="327"/>
      <c r="L1709" s="389">
        <v>199000</v>
      </c>
      <c r="M1709" s="371"/>
      <c r="N1709" s="355" t="str">
        <f t="shared" si="215"/>
        <v>PK</v>
      </c>
      <c r="O1709" s="404" t="s">
        <v>2561</v>
      </c>
      <c r="P1709" s="392"/>
      <c r="Q1709" s="327"/>
      <c r="R1709" s="351"/>
      <c r="S1709" s="351"/>
      <c r="T1709" s="351"/>
      <c r="U1709" s="329" t="str">
        <f>IF($N1709=$N$4,IFERROR(INDEX(DanhMuc!$E$154:$E$165,MATCH(MID($B1709,4,2),DanhMuc!$B$154:$B$165,0)),""),"")</f>
        <v/>
      </c>
      <c r="V1709" s="361"/>
      <c r="W1709" s="345"/>
      <c r="X1709" s="329" t="str">
        <f t="shared" si="207"/>
        <v>3H</v>
      </c>
      <c r="Y1709" s="1128" t="s">
        <v>3380</v>
      </c>
      <c r="Z1709" s="1128" t="s">
        <v>3381</v>
      </c>
      <c r="AA1709" s="1128" t="s">
        <v>3384</v>
      </c>
      <c r="AB1709" s="20"/>
      <c r="AC1709" s="73"/>
    </row>
    <row r="1710" spans="1:29">
      <c r="A1710" s="327" t="str">
        <f>IF(AND($B1710&lt;&gt;"",$C1710&lt;&gt;""),MAX($A$1556:A1709)+1,"")</f>
        <v/>
      </c>
      <c r="B1710" s="361" t="s">
        <v>1981</v>
      </c>
      <c r="C1710" s="360"/>
      <c r="D1710" s="327">
        <f>IF($B1710="","",COUNTIF($B$6:$B1710,$B1710))</f>
        <v>3</v>
      </c>
      <c r="E1710" s="361" t="s">
        <v>159</v>
      </c>
      <c r="F1710" s="362" t="s">
        <v>160</v>
      </c>
      <c r="G1710" s="327" t="s">
        <v>155</v>
      </c>
      <c r="H1710" s="327"/>
      <c r="I1710" s="327">
        <v>1</v>
      </c>
      <c r="J1710" s="345"/>
      <c r="K1710" s="327"/>
      <c r="L1710" s="389">
        <v>5000</v>
      </c>
      <c r="M1710" s="371"/>
      <c r="N1710" s="355" t="str">
        <f t="shared" si="215"/>
        <v>PK</v>
      </c>
      <c r="O1710" s="404" t="s">
        <v>1783</v>
      </c>
      <c r="P1710" s="392"/>
      <c r="Q1710" s="327"/>
      <c r="R1710" s="351"/>
      <c r="S1710" s="351"/>
      <c r="T1710" s="351"/>
      <c r="U1710" s="329" t="str">
        <f>IF($N1710=$N$4,IFERROR(INDEX(DanhMuc!$E$154:$E$165,MATCH(MID($B1710,4,2),DanhMuc!$B$154:$B$165,0)),""),"")</f>
        <v/>
      </c>
      <c r="V1710" s="361"/>
      <c r="W1710" s="345"/>
      <c r="X1710" s="329" t="str">
        <f t="shared" si="207"/>
        <v>3H</v>
      </c>
      <c r="Y1710" s="1128" t="s">
        <v>3380</v>
      </c>
      <c r="Z1710" s="1128" t="s">
        <v>3381</v>
      </c>
      <c r="AA1710" s="1128" t="s">
        <v>3384</v>
      </c>
      <c r="AB1710" s="20"/>
      <c r="AC1710" s="73"/>
    </row>
    <row r="1711" spans="1:29">
      <c r="A1711" s="327" t="str">
        <f>IF(AND($B1711&lt;&gt;"",$C1711&lt;&gt;""),MAX($A$1556:A1710)+1,"")</f>
        <v/>
      </c>
      <c r="B1711" s="361" t="s">
        <v>1981</v>
      </c>
      <c r="C1711" s="360"/>
      <c r="D1711" s="327">
        <f>IF($B1711="","",COUNTIF($B$6:$B1711,$B1711))</f>
        <v>4</v>
      </c>
      <c r="E1711" s="361" t="s">
        <v>3135</v>
      </c>
      <c r="F1711" s="362" t="s">
        <v>3136</v>
      </c>
      <c r="G1711" s="327" t="s">
        <v>155</v>
      </c>
      <c r="H1711" s="327"/>
      <c r="I1711" s="327">
        <v>1</v>
      </c>
      <c r="J1711" s="345"/>
      <c r="K1711" s="327"/>
      <c r="L1711" s="389">
        <v>140000</v>
      </c>
      <c r="M1711" s="371"/>
      <c r="N1711" s="355" t="str">
        <f t="shared" si="215"/>
        <v>PK</v>
      </c>
      <c r="O1711" s="404" t="s">
        <v>3137</v>
      </c>
      <c r="P1711" s="392"/>
      <c r="Q1711" s="327"/>
      <c r="R1711" s="351"/>
      <c r="S1711" s="351"/>
      <c r="T1711" s="351"/>
      <c r="U1711" s="329" t="str">
        <f>IF($N1711=$N$4,IFERROR(INDEX(DanhMuc!$E$154:$E$165,MATCH(MID($B1711,4,2),DanhMuc!$B$154:$B$165,0)),""),"")</f>
        <v/>
      </c>
      <c r="V1711" s="361"/>
      <c r="W1711" s="345"/>
      <c r="X1711" s="329" t="str">
        <f t="shared" si="207"/>
        <v>3H</v>
      </c>
      <c r="Y1711" s="1128" t="s">
        <v>3380</v>
      </c>
      <c r="Z1711" s="1128" t="s">
        <v>3381</v>
      </c>
      <c r="AA1711" s="1128" t="s">
        <v>3384</v>
      </c>
      <c r="AB1711" s="20"/>
      <c r="AC1711" s="73"/>
    </row>
    <row r="1712" spans="1:29">
      <c r="A1712" s="327" t="str">
        <f>IF(AND($B1712&lt;&gt;"",$C1712&lt;&gt;""),MAX($A$1556:A1711)+1,"")</f>
        <v/>
      </c>
      <c r="B1712" s="361" t="s">
        <v>1981</v>
      </c>
      <c r="C1712" s="360"/>
      <c r="D1712" s="327">
        <f>IF($B1712="","",COUNTIF($B$6:$B1712,$B1712))</f>
        <v>5</v>
      </c>
      <c r="E1712" s="361" t="s">
        <v>159</v>
      </c>
      <c r="F1712" s="362" t="s">
        <v>160</v>
      </c>
      <c r="G1712" s="327" t="s">
        <v>155</v>
      </c>
      <c r="H1712" s="327"/>
      <c r="I1712" s="327">
        <v>1</v>
      </c>
      <c r="J1712" s="345"/>
      <c r="K1712" s="327"/>
      <c r="L1712" s="389">
        <v>5000</v>
      </c>
      <c r="M1712" s="371"/>
      <c r="N1712" s="355" t="str">
        <f t="shared" si="215"/>
        <v>PK</v>
      </c>
      <c r="O1712" s="404" t="s">
        <v>3137</v>
      </c>
      <c r="P1712" s="392"/>
      <c r="Q1712" s="327"/>
      <c r="R1712" s="351"/>
      <c r="S1712" s="351"/>
      <c r="T1712" s="351"/>
      <c r="U1712" s="329" t="str">
        <f>IF($N1712=$N$4,IFERROR(INDEX(DanhMuc!$E$154:$E$165,MATCH(MID($B1712,4,2),DanhMuc!$B$154:$B$165,0)),""),"")</f>
        <v/>
      </c>
      <c r="V1712" s="361"/>
      <c r="W1712" s="345"/>
      <c r="X1712" s="329" t="str">
        <f t="shared" si="207"/>
        <v>3H</v>
      </c>
      <c r="Y1712" s="1128" t="s">
        <v>3380</v>
      </c>
      <c r="Z1712" s="1128" t="s">
        <v>3381</v>
      </c>
      <c r="AA1712" s="1128" t="s">
        <v>3384</v>
      </c>
      <c r="AB1712" s="20"/>
      <c r="AC1712" s="73"/>
    </row>
    <row r="1713" spans="1:29">
      <c r="A1713" s="327" t="str">
        <f>IF(AND($B1713&lt;&gt;"",$C1713&lt;&gt;""),MAX($A$1556:A1709)+1,"")</f>
        <v/>
      </c>
      <c r="B1713" s="361" t="s">
        <v>1981</v>
      </c>
      <c r="C1713" s="360"/>
      <c r="D1713" s="327">
        <f>IF($B1713="","",COUNTIF($B$6:$B1713,$B1713))</f>
        <v>6</v>
      </c>
      <c r="E1713" s="361" t="s">
        <v>157</v>
      </c>
      <c r="F1713" s="362" t="s">
        <v>158</v>
      </c>
      <c r="G1713" s="327" t="s">
        <v>155</v>
      </c>
      <c r="H1713" s="327"/>
      <c r="I1713" s="327">
        <v>1</v>
      </c>
      <c r="J1713" s="359"/>
      <c r="K1713" s="327"/>
      <c r="L1713" s="389">
        <v>45000</v>
      </c>
      <c r="M1713" s="371"/>
      <c r="N1713" s="355" t="s">
        <v>153</v>
      </c>
      <c r="O1713" s="345"/>
      <c r="P1713" s="392"/>
      <c r="Q1713" s="327"/>
      <c r="R1713" s="351"/>
      <c r="S1713" s="351"/>
      <c r="T1713" s="351"/>
      <c r="U1713" s="329" t="str">
        <f>IF($N1713=$N$4,IFERROR(INDEX(DanhMuc!$E$154:$E$165,MATCH(MID($B1713,4,2),DanhMuc!$B$154:$B$165,0)),""),"")</f>
        <v/>
      </c>
      <c r="V1713" s="361"/>
      <c r="W1713" s="345"/>
      <c r="X1713" s="329" t="str">
        <f t="shared" si="207"/>
        <v>3H</v>
      </c>
      <c r="Y1713" s="1128" t="s">
        <v>3380</v>
      </c>
      <c r="Z1713" s="1128" t="s">
        <v>3381</v>
      </c>
      <c r="AA1713" s="1128" t="s">
        <v>3384</v>
      </c>
      <c r="AB1713" s="20"/>
      <c r="AC1713" s="73"/>
    </row>
    <row r="1714" spans="1:29">
      <c r="A1714" s="327" t="str">
        <f>IF(AND($B1714&lt;&gt;"",$C1714&lt;&gt;""),MAX($A$1556:A1713)+1,"")</f>
        <v/>
      </c>
      <c r="B1714" s="361" t="s">
        <v>1981</v>
      </c>
      <c r="C1714" s="360"/>
      <c r="D1714" s="327">
        <f>IF($B1714="","",COUNTIF($B$6:$B1714,$B1714))</f>
        <v>7</v>
      </c>
      <c r="E1714" s="361" t="s">
        <v>159</v>
      </c>
      <c r="F1714" s="362" t="s">
        <v>160</v>
      </c>
      <c r="G1714" s="327" t="s">
        <v>155</v>
      </c>
      <c r="H1714" s="327"/>
      <c r="I1714" s="327">
        <v>1</v>
      </c>
      <c r="J1714" s="359"/>
      <c r="K1714" s="327"/>
      <c r="L1714" s="389">
        <v>5000</v>
      </c>
      <c r="M1714" s="371"/>
      <c r="N1714" s="355" t="s">
        <v>153</v>
      </c>
      <c r="O1714" s="345"/>
      <c r="P1714" s="392"/>
      <c r="Q1714" s="327"/>
      <c r="R1714" s="351"/>
      <c r="S1714" s="351"/>
      <c r="T1714" s="351"/>
      <c r="U1714" s="329" t="str">
        <f>IF($N1714=$N$4,IFERROR(INDEX(DanhMuc!$E$154:$E$165,MATCH(MID($B1714,4,2),DanhMuc!$B$154:$B$165,0)),""),"")</f>
        <v/>
      </c>
      <c r="V1714" s="361"/>
      <c r="W1714" s="345"/>
      <c r="X1714" s="329" t="str">
        <f t="shared" ref="X1714:X1860" si="216">IF($N1714="PR",$E1714,MID($B1714,10,2))</f>
        <v>3H</v>
      </c>
      <c r="Y1714" s="1128" t="s">
        <v>3380</v>
      </c>
      <c r="Z1714" s="1128" t="s">
        <v>3381</v>
      </c>
      <c r="AA1714" s="1128" t="s">
        <v>3384</v>
      </c>
      <c r="AB1714" s="20"/>
      <c r="AC1714" s="73"/>
    </row>
    <row r="1715" spans="1:29" ht="25">
      <c r="A1715" s="327" t="str">
        <f>IF(AND($B1715&lt;&gt;"",$C1715&lt;&gt;""),MAX($A$1556:A1714)+1,"")</f>
        <v/>
      </c>
      <c r="B1715" s="361" t="s">
        <v>1981</v>
      </c>
      <c r="C1715" s="360"/>
      <c r="D1715" s="327">
        <f>IF($B1715="","",COUNTIF($B$6:$B1715,$B1715))</f>
        <v>8</v>
      </c>
      <c r="E1715" s="361" t="s">
        <v>3141</v>
      </c>
      <c r="F1715" s="362" t="s">
        <v>3144</v>
      </c>
      <c r="G1715" s="327" t="s">
        <v>297</v>
      </c>
      <c r="H1715" s="327"/>
      <c r="I1715" s="327">
        <v>1</v>
      </c>
      <c r="J1715" s="345"/>
      <c r="K1715" s="327"/>
      <c r="L1715" s="389">
        <v>650000</v>
      </c>
      <c r="M1715" s="371"/>
      <c r="N1715" s="355" t="str">
        <f t="shared" ref="N1715:N1720" si="217">+$N$1555</f>
        <v>PK</v>
      </c>
      <c r="O1715" s="404" t="s">
        <v>3143</v>
      </c>
      <c r="P1715" s="392"/>
      <c r="Q1715" s="327"/>
      <c r="R1715" s="351"/>
      <c r="S1715" s="351"/>
      <c r="T1715" s="351"/>
      <c r="U1715" s="329" t="str">
        <f>IF($N1715=$N$4,IFERROR(INDEX(DanhMuc!$E$154:$E$165,MATCH(MID($B1715,4,2),DanhMuc!$B$154:$B$165,0)),""),"")</f>
        <v/>
      </c>
      <c r="V1715" s="361"/>
      <c r="W1715" s="345"/>
      <c r="X1715" s="329" t="str">
        <f t="shared" si="207"/>
        <v>3H</v>
      </c>
      <c r="Y1715" s="1128" t="s">
        <v>3380</v>
      </c>
      <c r="Z1715" s="1128" t="s">
        <v>3381</v>
      </c>
      <c r="AA1715" s="1128" t="s">
        <v>3384</v>
      </c>
      <c r="AB1715" s="20"/>
      <c r="AC1715" s="73"/>
    </row>
    <row r="1716" spans="1:29" ht="25">
      <c r="A1716" s="327" t="str">
        <f>IF(AND($B1716&lt;&gt;"",$C1716&lt;&gt;""),MAX($A$1556:A1715)+1,"")</f>
        <v/>
      </c>
      <c r="B1716" s="361" t="s">
        <v>1981</v>
      </c>
      <c r="C1716" s="360"/>
      <c r="D1716" s="327">
        <f>IF($B1716="","",COUNTIF($B$6:$B1716,$B1716))</f>
        <v>9</v>
      </c>
      <c r="E1716" s="361" t="s">
        <v>3141</v>
      </c>
      <c r="F1716" s="362" t="s">
        <v>3145</v>
      </c>
      <c r="G1716" s="327" t="s">
        <v>297</v>
      </c>
      <c r="H1716" s="327"/>
      <c r="I1716" s="327">
        <v>1</v>
      </c>
      <c r="J1716" s="345"/>
      <c r="K1716" s="327"/>
      <c r="L1716" s="389">
        <v>650000</v>
      </c>
      <c r="M1716" s="371"/>
      <c r="N1716" s="355" t="str">
        <f t="shared" si="217"/>
        <v>PK</v>
      </c>
      <c r="O1716" s="404" t="s">
        <v>3142</v>
      </c>
      <c r="P1716" s="392"/>
      <c r="Q1716" s="327"/>
      <c r="R1716" s="351"/>
      <c r="S1716" s="351"/>
      <c r="T1716" s="351"/>
      <c r="U1716" s="329" t="str">
        <f>IF($N1716=$N$4,IFERROR(INDEX(DanhMuc!$E$154:$E$165,MATCH(MID($B1716,4,2),DanhMuc!$B$154:$B$165,0)),""),"")</f>
        <v/>
      </c>
      <c r="V1716" s="361"/>
      <c r="W1716" s="345"/>
      <c r="X1716" s="329" t="str">
        <f t="shared" ref="X1716:X1720" si="218">IF($N1716="PR",$E1716,MID($B1716,10,2))</f>
        <v>3H</v>
      </c>
      <c r="Y1716" s="1128" t="s">
        <v>3380</v>
      </c>
      <c r="Z1716" s="1128" t="s">
        <v>3381</v>
      </c>
      <c r="AA1716" s="1128" t="s">
        <v>3384</v>
      </c>
      <c r="AB1716" s="20"/>
      <c r="AC1716" s="73"/>
    </row>
    <row r="1717" spans="1:29">
      <c r="A1717" s="327" t="str">
        <f>IF(AND($B1717&lt;&gt;"",$C1717&lt;&gt;""),MAX($A$1556:A1716)+1,"")</f>
        <v/>
      </c>
      <c r="B1717" s="361" t="s">
        <v>1981</v>
      </c>
      <c r="C1717" s="360"/>
      <c r="D1717" s="327">
        <f>IF($B1717="","",COUNTIF($B$6:$B1717,$B1717))</f>
        <v>10</v>
      </c>
      <c r="E1717" s="361" t="s">
        <v>3146</v>
      </c>
      <c r="F1717" s="362" t="s">
        <v>3147</v>
      </c>
      <c r="G1717" s="327" t="s">
        <v>155</v>
      </c>
      <c r="H1717" s="327"/>
      <c r="I1717" s="327">
        <v>1</v>
      </c>
      <c r="J1717" s="345"/>
      <c r="K1717" s="327"/>
      <c r="L1717" s="389">
        <v>48000</v>
      </c>
      <c r="M1717" s="371"/>
      <c r="N1717" s="355" t="str">
        <f t="shared" si="217"/>
        <v>PK</v>
      </c>
      <c r="O1717" s="404" t="s">
        <v>3148</v>
      </c>
      <c r="P1717" s="392"/>
      <c r="Q1717" s="327"/>
      <c r="R1717" s="351"/>
      <c r="S1717" s="351"/>
      <c r="T1717" s="351"/>
      <c r="U1717" s="329" t="str">
        <f>IF($N1717=$N$4,IFERROR(INDEX(DanhMuc!$E$154:$E$165,MATCH(MID($B1717,4,2),DanhMuc!$B$154:$B$165,0)),""),"")</f>
        <v/>
      </c>
      <c r="V1717" s="361"/>
      <c r="W1717" s="345"/>
      <c r="X1717" s="329" t="str">
        <f t="shared" si="218"/>
        <v>3H</v>
      </c>
      <c r="Y1717" s="1128" t="s">
        <v>3380</v>
      </c>
      <c r="Z1717" s="1128" t="s">
        <v>3381</v>
      </c>
      <c r="AA1717" s="1128" t="s">
        <v>3384</v>
      </c>
      <c r="AB1717" s="20"/>
      <c r="AC1717" s="73"/>
    </row>
    <row r="1718" spans="1:29">
      <c r="A1718" s="327" t="str">
        <f>IF(AND($B1718&lt;&gt;"",$C1718&lt;&gt;""),MAX($A$1556:A1717)+1,"")</f>
        <v/>
      </c>
      <c r="B1718" s="361" t="s">
        <v>1981</v>
      </c>
      <c r="C1718" s="360"/>
      <c r="D1718" s="327">
        <f>IF($B1718="","",COUNTIF($B$6:$B1718,$B1718))</f>
        <v>11</v>
      </c>
      <c r="E1718" s="361" t="s">
        <v>3149</v>
      </c>
      <c r="F1718" s="362" t="s">
        <v>1803</v>
      </c>
      <c r="G1718" s="327" t="s">
        <v>155</v>
      </c>
      <c r="H1718" s="327"/>
      <c r="I1718" s="327">
        <v>1</v>
      </c>
      <c r="J1718" s="345"/>
      <c r="K1718" s="327"/>
      <c r="L1718" s="389">
        <v>290000</v>
      </c>
      <c r="M1718" s="371"/>
      <c r="N1718" s="355" t="str">
        <f t="shared" si="217"/>
        <v>PK</v>
      </c>
      <c r="O1718" s="404" t="s">
        <v>3148</v>
      </c>
      <c r="P1718" s="392"/>
      <c r="Q1718" s="327"/>
      <c r="R1718" s="351"/>
      <c r="S1718" s="351"/>
      <c r="T1718" s="351"/>
      <c r="U1718" s="329" t="str">
        <f>IF($N1718=$N$4,IFERROR(INDEX(DanhMuc!$E$154:$E$165,MATCH(MID($B1718,4,2),DanhMuc!$B$154:$B$165,0)),""),"")</f>
        <v/>
      </c>
      <c r="V1718" s="361"/>
      <c r="W1718" s="345"/>
      <c r="X1718" s="329" t="str">
        <f t="shared" si="218"/>
        <v>3H</v>
      </c>
      <c r="Y1718" s="1128" t="s">
        <v>3380</v>
      </c>
      <c r="Z1718" s="1128" t="s">
        <v>3381</v>
      </c>
      <c r="AA1718" s="1128" t="s">
        <v>3384</v>
      </c>
      <c r="AB1718" s="20"/>
      <c r="AC1718" s="73"/>
    </row>
    <row r="1719" spans="1:29">
      <c r="A1719" s="327" t="str">
        <f>IF(AND($B1719&lt;&gt;"",$C1719&lt;&gt;""),MAX($A$1556:A1718)+1,"")</f>
        <v/>
      </c>
      <c r="B1719" s="361" t="s">
        <v>1981</v>
      </c>
      <c r="C1719" s="360"/>
      <c r="D1719" s="327">
        <f>IF($B1719="","",COUNTIF($B$6:$B1719,$B1719))</f>
        <v>12</v>
      </c>
      <c r="E1719" s="361" t="s">
        <v>3150</v>
      </c>
      <c r="F1719" s="362" t="s">
        <v>3151</v>
      </c>
      <c r="G1719" s="327" t="s">
        <v>155</v>
      </c>
      <c r="H1719" s="327"/>
      <c r="I1719" s="327">
        <v>1</v>
      </c>
      <c r="J1719" s="345"/>
      <c r="K1719" s="327"/>
      <c r="L1719" s="389">
        <v>90000</v>
      </c>
      <c r="M1719" s="371"/>
      <c r="N1719" s="355" t="str">
        <f t="shared" si="217"/>
        <v>PK</v>
      </c>
      <c r="O1719" s="404" t="s">
        <v>3148</v>
      </c>
      <c r="P1719" s="392"/>
      <c r="Q1719" s="327"/>
      <c r="R1719" s="351"/>
      <c r="S1719" s="351"/>
      <c r="T1719" s="351"/>
      <c r="U1719" s="329" t="str">
        <f>IF($N1719=$N$4,IFERROR(INDEX(DanhMuc!$E$154:$E$165,MATCH(MID($B1719,4,2),DanhMuc!$B$154:$B$165,0)),""),"")</f>
        <v/>
      </c>
      <c r="V1719" s="361"/>
      <c r="W1719" s="345"/>
      <c r="X1719" s="329" t="str">
        <f t="shared" si="218"/>
        <v>3H</v>
      </c>
      <c r="Y1719" s="1128" t="s">
        <v>3380</v>
      </c>
      <c r="Z1719" s="1128" t="s">
        <v>3381</v>
      </c>
      <c r="AA1719" s="1128" t="s">
        <v>3384</v>
      </c>
      <c r="AB1719" s="20"/>
      <c r="AC1719" s="73"/>
    </row>
    <row r="1720" spans="1:29">
      <c r="A1720" s="327" t="str">
        <f>IF(AND($B1720&lt;&gt;"",$C1720&lt;&gt;""),MAX($A$1556:A1719)+1,"")</f>
        <v/>
      </c>
      <c r="B1720" s="361" t="s">
        <v>1981</v>
      </c>
      <c r="C1720" s="360"/>
      <c r="D1720" s="327">
        <f>IF($B1720="","",COUNTIF($B$6:$B1720,$B1720))</f>
        <v>13</v>
      </c>
      <c r="E1720" s="361" t="s">
        <v>3152</v>
      </c>
      <c r="F1720" s="362" t="s">
        <v>3153</v>
      </c>
      <c r="G1720" s="327" t="s">
        <v>155</v>
      </c>
      <c r="H1720" s="327"/>
      <c r="I1720" s="327">
        <v>1</v>
      </c>
      <c r="J1720" s="345"/>
      <c r="K1720" s="327"/>
      <c r="L1720" s="389">
        <v>230000</v>
      </c>
      <c r="M1720" s="371"/>
      <c r="N1720" s="355" t="str">
        <f t="shared" si="217"/>
        <v>PK</v>
      </c>
      <c r="O1720" s="404" t="s">
        <v>3148</v>
      </c>
      <c r="P1720" s="392"/>
      <c r="Q1720" s="327"/>
      <c r="R1720" s="351"/>
      <c r="S1720" s="351"/>
      <c r="T1720" s="351"/>
      <c r="U1720" s="329" t="str">
        <f>IF($N1720=$N$4,IFERROR(INDEX(DanhMuc!$E$154:$E$165,MATCH(MID($B1720,4,2),DanhMuc!$B$154:$B$165,0)),""),"")</f>
        <v/>
      </c>
      <c r="V1720" s="361"/>
      <c r="W1720" s="345"/>
      <c r="X1720" s="329" t="str">
        <f t="shared" si="218"/>
        <v>3H</v>
      </c>
      <c r="Y1720" s="1128" t="s">
        <v>3380</v>
      </c>
      <c r="Z1720" s="1128" t="s">
        <v>3381</v>
      </c>
      <c r="AA1720" s="1128" t="s">
        <v>3384</v>
      </c>
      <c r="AB1720" s="20"/>
      <c r="AC1720" s="73"/>
    </row>
    <row r="1721" spans="1:29" ht="25">
      <c r="A1721" s="327" t="str">
        <f>IF(AND($B1721&lt;&gt;"",$C1721&lt;&gt;""),MAX($A$1556:A1714)+1,"")</f>
        <v/>
      </c>
      <c r="B1721" s="361" t="s">
        <v>1981</v>
      </c>
      <c r="C1721" s="360"/>
      <c r="D1721" s="327">
        <f>IF($B1721="","",COUNTIF($B$6:$B1721,$B1721))</f>
        <v>14</v>
      </c>
      <c r="E1721" s="361" t="s">
        <v>209</v>
      </c>
      <c r="F1721" s="362" t="s">
        <v>210</v>
      </c>
      <c r="G1721" s="327" t="s">
        <v>155</v>
      </c>
      <c r="H1721" s="327"/>
      <c r="I1721" s="327">
        <v>1</v>
      </c>
      <c r="J1721" s="359"/>
      <c r="K1721" s="327"/>
      <c r="L1721" s="389">
        <v>70000</v>
      </c>
      <c r="M1721" s="371"/>
      <c r="N1721" s="355" t="s">
        <v>153</v>
      </c>
      <c r="O1721" s="404" t="s">
        <v>1782</v>
      </c>
      <c r="P1721" s="392"/>
      <c r="Q1721" s="327"/>
      <c r="R1721" s="351"/>
      <c r="S1721" s="351"/>
      <c r="T1721" s="351"/>
      <c r="U1721" s="329" t="str">
        <f>IF($N1721=$N$4,IFERROR(INDEX(DanhMuc!$E$154:$E$165,MATCH(MID($B1721,4,2),DanhMuc!$B$154:$B$165,0)),""),"")</f>
        <v/>
      </c>
      <c r="V1721" s="361"/>
      <c r="W1721" s="345"/>
      <c r="X1721" s="329" t="str">
        <f t="shared" si="216"/>
        <v>3H</v>
      </c>
      <c r="Y1721" s="1128" t="s">
        <v>3380</v>
      </c>
      <c r="Z1721" s="1128" t="s">
        <v>3381</v>
      </c>
      <c r="AA1721" s="1128" t="s">
        <v>3384</v>
      </c>
      <c r="AB1721" s="20"/>
      <c r="AC1721" s="73"/>
    </row>
    <row r="1722" spans="1:29">
      <c r="A1722" s="327" t="str">
        <f>IF(AND($B1722&lt;&gt;"",$C1722&lt;&gt;""),MAX($A$1556:A1721)+1,"")</f>
        <v/>
      </c>
      <c r="B1722" s="361" t="s">
        <v>1981</v>
      </c>
      <c r="C1722" s="360"/>
      <c r="D1722" s="327">
        <f>IF($B1722="","",COUNTIF($B$6:$B1722,$B1722))</f>
        <v>15</v>
      </c>
      <c r="E1722" s="402" t="s">
        <v>952</v>
      </c>
      <c r="F1722" s="403" t="s">
        <v>953</v>
      </c>
      <c r="G1722" s="410" t="s">
        <v>156</v>
      </c>
      <c r="H1722" s="327" t="s">
        <v>536</v>
      </c>
      <c r="I1722" s="411" t="s">
        <v>2856</v>
      </c>
      <c r="J1722" s="404"/>
      <c r="K1722" s="410"/>
      <c r="L1722" s="389">
        <v>27000</v>
      </c>
      <c r="M1722" s="371"/>
      <c r="N1722" s="355" t="s">
        <v>153</v>
      </c>
      <c r="O1722" s="404" t="s">
        <v>1782</v>
      </c>
      <c r="P1722" s="392"/>
      <c r="Q1722" s="327"/>
      <c r="R1722" s="351"/>
      <c r="S1722" s="351"/>
      <c r="T1722" s="351"/>
      <c r="U1722" s="329" t="str">
        <f>IF($N1722=$N$4,IFERROR(INDEX(DanhMuc!$E$154:$E$165,MATCH(MID($B1722,4,2),DanhMuc!$B$154:$B$165,0)),""),"")</f>
        <v/>
      </c>
      <c r="V1722" s="361"/>
      <c r="W1722" s="345"/>
      <c r="X1722" s="329" t="str">
        <f t="shared" si="216"/>
        <v>3H</v>
      </c>
      <c r="Y1722" s="1128" t="s">
        <v>3380</v>
      </c>
      <c r="Z1722" s="1128" t="s">
        <v>3381</v>
      </c>
      <c r="AA1722" s="1128" t="s">
        <v>3384</v>
      </c>
      <c r="AB1722" s="20"/>
      <c r="AC1722" s="73"/>
    </row>
    <row r="1723" spans="1:29">
      <c r="A1723" s="327" t="str">
        <f>IF(AND($B1723&lt;&gt;"",$C1723&lt;&gt;""),MAX($A$1556:A1722)+1,"")</f>
        <v/>
      </c>
      <c r="B1723" s="361" t="s">
        <v>1981</v>
      </c>
      <c r="C1723" s="360"/>
      <c r="D1723" s="327">
        <f>IF($B1723="","",COUNTIF($B$6:$B1723,$B1723))</f>
        <v>16</v>
      </c>
      <c r="E1723" s="402" t="s">
        <v>954</v>
      </c>
      <c r="F1723" s="403" t="s">
        <v>1059</v>
      </c>
      <c r="G1723" s="410" t="s">
        <v>156</v>
      </c>
      <c r="H1723" s="327" t="s">
        <v>536</v>
      </c>
      <c r="I1723" s="411" t="s">
        <v>2853</v>
      </c>
      <c r="J1723" s="404"/>
      <c r="K1723" s="410"/>
      <c r="L1723" s="415">
        <v>35000</v>
      </c>
      <c r="M1723" s="371"/>
      <c r="N1723" s="355" t="s">
        <v>153</v>
      </c>
      <c r="O1723" s="404" t="s">
        <v>1782</v>
      </c>
      <c r="P1723" s="392"/>
      <c r="Q1723" s="327"/>
      <c r="R1723" s="351"/>
      <c r="S1723" s="351"/>
      <c r="T1723" s="351"/>
      <c r="U1723" s="329" t="str">
        <f>IF($N1723=$N$4,IFERROR(INDEX(DanhMuc!$E$154:$E$165,MATCH(MID($B1723,4,2),DanhMuc!$B$154:$B$165,0)),""),"")</f>
        <v/>
      </c>
      <c r="V1723" s="361"/>
      <c r="W1723" s="345"/>
      <c r="X1723" s="329" t="str">
        <f t="shared" si="216"/>
        <v>3H</v>
      </c>
      <c r="Y1723" s="1128" t="s">
        <v>3380</v>
      </c>
      <c r="Z1723" s="1128" t="s">
        <v>3381</v>
      </c>
      <c r="AA1723" s="1128" t="s">
        <v>3384</v>
      </c>
      <c r="AB1723" s="20"/>
      <c r="AC1723" s="73"/>
    </row>
    <row r="1724" spans="1:29">
      <c r="A1724" s="327" t="str">
        <f>IF(AND($B1724&lt;&gt;"",$C1724&lt;&gt;""),MAX($A$1556:A1723)+1,"")</f>
        <v/>
      </c>
      <c r="B1724" s="361" t="s">
        <v>1981</v>
      </c>
      <c r="C1724" s="360"/>
      <c r="D1724" s="327">
        <f>IF($B1724="","",COUNTIF($B$6:$B1724,$B1724))</f>
        <v>17</v>
      </c>
      <c r="E1724" s="402" t="s">
        <v>955</v>
      </c>
      <c r="F1724" s="403" t="s">
        <v>956</v>
      </c>
      <c r="G1724" s="410" t="s">
        <v>156</v>
      </c>
      <c r="H1724" s="327" t="s">
        <v>536</v>
      </c>
      <c r="I1724" s="411" t="s">
        <v>2854</v>
      </c>
      <c r="J1724" s="404"/>
      <c r="K1724" s="410"/>
      <c r="L1724" s="389">
        <v>37000</v>
      </c>
      <c r="M1724" s="371"/>
      <c r="N1724" s="355" t="s">
        <v>153</v>
      </c>
      <c r="O1724" s="404" t="s">
        <v>1782</v>
      </c>
      <c r="P1724" s="392"/>
      <c r="Q1724" s="327"/>
      <c r="R1724" s="351"/>
      <c r="S1724" s="351"/>
      <c r="T1724" s="351"/>
      <c r="U1724" s="329" t="str">
        <f>IF($N1724=$N$4,IFERROR(INDEX(DanhMuc!$E$154:$E$165,MATCH(MID($B1724,4,2),DanhMuc!$B$154:$B$165,0)),""),"")</f>
        <v/>
      </c>
      <c r="V1724" s="361"/>
      <c r="W1724" s="345"/>
      <c r="X1724" s="329" t="str">
        <f t="shared" si="216"/>
        <v>3H</v>
      </c>
      <c r="Y1724" s="1128" t="s">
        <v>3380</v>
      </c>
      <c r="Z1724" s="1128" t="s">
        <v>3381</v>
      </c>
      <c r="AA1724" s="1128" t="s">
        <v>3384</v>
      </c>
      <c r="AB1724" s="20"/>
      <c r="AC1724" s="73"/>
    </row>
    <row r="1725" spans="1:29">
      <c r="A1725" s="327" t="str">
        <f>IF(AND($B1725&lt;&gt;"",$C1725&lt;&gt;""),MAX($A$1556:A1724)+1,"")</f>
        <v/>
      </c>
      <c r="B1725" s="361" t="s">
        <v>1981</v>
      </c>
      <c r="C1725" s="360"/>
      <c r="D1725" s="327">
        <f>IF($B1725="","",COUNTIF($B$6:$B1725,$B1725))</f>
        <v>18</v>
      </c>
      <c r="E1725" s="402" t="s">
        <v>182</v>
      </c>
      <c r="F1725" s="403" t="s">
        <v>183</v>
      </c>
      <c r="G1725" s="410" t="s">
        <v>156</v>
      </c>
      <c r="H1725" s="327" t="s">
        <v>536</v>
      </c>
      <c r="I1725" s="411" t="s">
        <v>2855</v>
      </c>
      <c r="J1725" s="404"/>
      <c r="K1725" s="410"/>
      <c r="L1725" s="389">
        <v>45000</v>
      </c>
      <c r="M1725" s="371"/>
      <c r="N1725" s="355" t="s">
        <v>153</v>
      </c>
      <c r="O1725" s="404" t="s">
        <v>1782</v>
      </c>
      <c r="P1725" s="392"/>
      <c r="Q1725" s="327"/>
      <c r="R1725" s="351"/>
      <c r="S1725" s="351"/>
      <c r="T1725" s="351"/>
      <c r="U1725" s="329" t="str">
        <f>IF($N1725=$N$4,IFERROR(INDEX(DanhMuc!$E$154:$E$165,MATCH(MID($B1725,4,2),DanhMuc!$B$154:$B$165,0)),""),"")</f>
        <v/>
      </c>
      <c r="V1725" s="361"/>
      <c r="W1725" s="345"/>
      <c r="X1725" s="329" t="str">
        <f t="shared" si="216"/>
        <v>3H</v>
      </c>
      <c r="Y1725" s="1128" t="s">
        <v>3380</v>
      </c>
      <c r="Z1725" s="1128" t="s">
        <v>3381</v>
      </c>
      <c r="AA1725" s="1128" t="s">
        <v>3384</v>
      </c>
      <c r="AB1725" s="20"/>
      <c r="AC1725" s="73"/>
    </row>
    <row r="1726" spans="1:29">
      <c r="A1726" s="327" t="str">
        <f>IF(AND($B1726&lt;&gt;"",$C1726&lt;&gt;""),MAX($A$1556:A1725)+1,"")</f>
        <v/>
      </c>
      <c r="B1726" s="361" t="s">
        <v>1981</v>
      </c>
      <c r="C1726" s="360"/>
      <c r="D1726" s="327">
        <f>IF($B1726="","",COUNTIF($B$6:$B1726,$B1726))</f>
        <v>19</v>
      </c>
      <c r="E1726" s="361" t="s">
        <v>184</v>
      </c>
      <c r="F1726" s="362" t="s">
        <v>981</v>
      </c>
      <c r="G1726" s="327" t="s">
        <v>155</v>
      </c>
      <c r="H1726" s="327" t="s">
        <v>536</v>
      </c>
      <c r="I1726" s="327">
        <v>2</v>
      </c>
      <c r="J1726" s="359"/>
      <c r="K1726" s="327"/>
      <c r="L1726" s="389">
        <v>6500</v>
      </c>
      <c r="M1726" s="371"/>
      <c r="N1726" s="355" t="str">
        <f t="shared" ref="N1726:N1739" si="219">+$N$1555</f>
        <v>PK</v>
      </c>
      <c r="O1726" s="404" t="s">
        <v>1782</v>
      </c>
      <c r="P1726" s="392"/>
      <c r="Q1726" s="327"/>
      <c r="R1726" s="351"/>
      <c r="S1726" s="351"/>
      <c r="T1726" s="351"/>
      <c r="U1726" s="329" t="str">
        <f>IF($N1726=$N$4,IFERROR(INDEX(DanhMuc!$E$154:$E$165,MATCH(MID($B1726,4,2),DanhMuc!$B$154:$B$165,0)),""),"")</f>
        <v/>
      </c>
      <c r="V1726" s="361"/>
      <c r="W1726" s="345"/>
      <c r="X1726" s="329" t="str">
        <f t="shared" si="216"/>
        <v>3H</v>
      </c>
      <c r="Y1726" s="1128" t="s">
        <v>3380</v>
      </c>
      <c r="Z1726" s="1128" t="s">
        <v>3381</v>
      </c>
      <c r="AA1726" s="1128" t="s">
        <v>3384</v>
      </c>
      <c r="AB1726" s="20"/>
      <c r="AC1726" s="73"/>
    </row>
    <row r="1727" spans="1:29">
      <c r="A1727" s="327" t="str">
        <f>IF(AND($B1727&lt;&gt;"",$C1727&lt;&gt;""),MAX($A$1556:A1726)+1,"")</f>
        <v/>
      </c>
      <c r="B1727" s="361" t="s">
        <v>1981</v>
      </c>
      <c r="C1727" s="360"/>
      <c r="D1727" s="327">
        <f>IF($B1727="","",COUNTIF($B$6:$B1727,$B1727))</f>
        <v>20</v>
      </c>
      <c r="E1727" s="361" t="s">
        <v>187</v>
      </c>
      <c r="F1727" s="362" t="s">
        <v>189</v>
      </c>
      <c r="G1727" s="327" t="s">
        <v>155</v>
      </c>
      <c r="H1727" s="327"/>
      <c r="I1727" s="327">
        <v>4</v>
      </c>
      <c r="J1727" s="361"/>
      <c r="K1727" s="327"/>
      <c r="L1727" s="389">
        <v>5000</v>
      </c>
      <c r="M1727" s="371"/>
      <c r="N1727" s="355" t="str">
        <f t="shared" si="219"/>
        <v>PK</v>
      </c>
      <c r="O1727" s="345"/>
      <c r="P1727" s="392"/>
      <c r="Q1727" s="327"/>
      <c r="R1727" s="351"/>
      <c r="S1727" s="351"/>
      <c r="T1727" s="351"/>
      <c r="U1727" s="329" t="str">
        <f>IF($N1727=$N$4,IFERROR(INDEX(DanhMuc!$E$154:$E$165,MATCH(MID($B1727,4,2),DanhMuc!$B$154:$B$165,0)),""),"")</f>
        <v/>
      </c>
      <c r="V1727" s="361"/>
      <c r="W1727" s="345"/>
      <c r="X1727" s="329" t="str">
        <f t="shared" si="216"/>
        <v>3H</v>
      </c>
      <c r="Y1727" s="1128" t="s">
        <v>3380</v>
      </c>
      <c r="Z1727" s="1128" t="s">
        <v>3381</v>
      </c>
      <c r="AA1727" s="1128" t="s">
        <v>3384</v>
      </c>
      <c r="AB1727" s="20"/>
      <c r="AC1727" s="73"/>
    </row>
    <row r="1728" spans="1:29">
      <c r="A1728" s="327" t="str">
        <f>IF(AND($B1728&lt;&gt;"",$C1728&lt;&gt;""),MAX($A$1556:A1727)+1,"")</f>
        <v/>
      </c>
      <c r="B1728" s="361" t="s">
        <v>1981</v>
      </c>
      <c r="C1728" s="360"/>
      <c r="D1728" s="327">
        <f>IF($B1728="","",COUNTIF($B$6:$B1728,$B1728))</f>
        <v>21</v>
      </c>
      <c r="E1728" s="361" t="s">
        <v>172</v>
      </c>
      <c r="F1728" s="362" t="s">
        <v>173</v>
      </c>
      <c r="G1728" s="327" t="s">
        <v>155</v>
      </c>
      <c r="H1728" s="327"/>
      <c r="I1728" s="327">
        <v>1</v>
      </c>
      <c r="J1728" s="361"/>
      <c r="K1728" s="327"/>
      <c r="L1728" s="389">
        <v>6000</v>
      </c>
      <c r="M1728" s="371"/>
      <c r="N1728" s="355" t="str">
        <f t="shared" si="219"/>
        <v>PK</v>
      </c>
      <c r="O1728" s="345"/>
      <c r="P1728" s="392"/>
      <c r="Q1728" s="327"/>
      <c r="R1728" s="351"/>
      <c r="S1728" s="351"/>
      <c r="T1728" s="351"/>
      <c r="U1728" s="329" t="str">
        <f>IF($N1728=$N$4,IFERROR(INDEX(DanhMuc!$E$154:$E$165,MATCH(MID($B1728,4,2),DanhMuc!$B$154:$B$165,0)),""),"")</f>
        <v/>
      </c>
      <c r="V1728" s="361"/>
      <c r="W1728" s="345"/>
      <c r="X1728" s="329" t="str">
        <f t="shared" si="216"/>
        <v>3H</v>
      </c>
      <c r="Y1728" s="1128" t="s">
        <v>3380</v>
      </c>
      <c r="Z1728" s="1128" t="s">
        <v>3381</v>
      </c>
      <c r="AA1728" s="1128" t="s">
        <v>3384</v>
      </c>
      <c r="AB1728" s="20"/>
      <c r="AC1728" s="73"/>
    </row>
    <row r="1729" spans="1:29">
      <c r="A1729" s="327" t="str">
        <f>IF(AND($B1729&lt;&gt;"",$C1729&lt;&gt;""),MAX($A$1556:A1728)+1,"")</f>
        <v/>
      </c>
      <c r="B1729" s="361" t="s">
        <v>1981</v>
      </c>
      <c r="C1729" s="360"/>
      <c r="D1729" s="327">
        <f>IF($B1729="","",COUNTIF($B$6:$B1729,$B1729))</f>
        <v>22</v>
      </c>
      <c r="E1729" s="361" t="s">
        <v>163</v>
      </c>
      <c r="F1729" s="362" t="s">
        <v>164</v>
      </c>
      <c r="G1729" s="327" t="s">
        <v>155</v>
      </c>
      <c r="H1729" s="327"/>
      <c r="I1729" s="327">
        <v>2</v>
      </c>
      <c r="J1729" s="361"/>
      <c r="K1729" s="327"/>
      <c r="L1729" s="389">
        <v>2500</v>
      </c>
      <c r="M1729" s="371"/>
      <c r="N1729" s="355" t="str">
        <f t="shared" si="219"/>
        <v>PK</v>
      </c>
      <c r="O1729" s="345"/>
      <c r="P1729" s="392"/>
      <c r="Q1729" s="327"/>
      <c r="R1729" s="351"/>
      <c r="S1729" s="351"/>
      <c r="T1729" s="351"/>
      <c r="U1729" s="329" t="str">
        <f>IF($N1729=$N$4,IFERROR(INDEX(DanhMuc!$E$154:$E$165,MATCH(MID($B1729,4,2),DanhMuc!$B$154:$B$165,0)),""),"")</f>
        <v/>
      </c>
      <c r="V1729" s="408" t="s">
        <v>342</v>
      </c>
      <c r="W1729" s="345"/>
      <c r="X1729" s="329" t="str">
        <f t="shared" si="216"/>
        <v>3H</v>
      </c>
      <c r="Y1729" s="1128" t="s">
        <v>3380</v>
      </c>
      <c r="Z1729" s="1128" t="s">
        <v>3381</v>
      </c>
      <c r="AA1729" s="1128" t="s">
        <v>3384</v>
      </c>
      <c r="AB1729" s="20"/>
      <c r="AC1729" s="73"/>
    </row>
    <row r="1730" spans="1:29">
      <c r="A1730" s="327" t="str">
        <f>IF(AND($B1730&lt;&gt;"",$C1730&lt;&gt;""),MAX($A$1556:A1729)+1,"")</f>
        <v/>
      </c>
      <c r="B1730" s="361" t="s">
        <v>1981</v>
      </c>
      <c r="C1730" s="360"/>
      <c r="D1730" s="327">
        <f>IF($B1730="","",COUNTIF($B$6:$B1730,$B1730))</f>
        <v>23</v>
      </c>
      <c r="E1730" s="361" t="s">
        <v>185</v>
      </c>
      <c r="F1730" s="362" t="s">
        <v>186</v>
      </c>
      <c r="G1730" s="327" t="s">
        <v>155</v>
      </c>
      <c r="H1730" s="327" t="s">
        <v>536</v>
      </c>
      <c r="I1730" s="327">
        <v>6</v>
      </c>
      <c r="J1730" s="361"/>
      <c r="K1730" s="327"/>
      <c r="L1730" s="389">
        <v>41000</v>
      </c>
      <c r="M1730" s="371"/>
      <c r="N1730" s="355" t="str">
        <f t="shared" si="219"/>
        <v>PK</v>
      </c>
      <c r="O1730" s="345"/>
      <c r="P1730" s="392"/>
      <c r="Q1730" s="327"/>
      <c r="R1730" s="351"/>
      <c r="S1730" s="351"/>
      <c r="T1730" s="351"/>
      <c r="U1730" s="329" t="str">
        <f>IF($N1730=$N$4,IFERROR(INDEX(DanhMuc!$E$154:$E$165,MATCH(MID($B1730,4,2),DanhMuc!$B$154:$B$165,0)),""),"")</f>
        <v/>
      </c>
      <c r="V1730" s="361"/>
      <c r="W1730" s="345"/>
      <c r="X1730" s="329" t="str">
        <f t="shared" si="216"/>
        <v>3H</v>
      </c>
      <c r="Y1730" s="1128" t="s">
        <v>3380</v>
      </c>
      <c r="Z1730" s="1128" t="s">
        <v>3381</v>
      </c>
      <c r="AA1730" s="1128" t="s">
        <v>3384</v>
      </c>
      <c r="AB1730" s="20"/>
      <c r="AC1730" s="73"/>
    </row>
    <row r="1731" spans="1:29">
      <c r="A1731" s="327" t="str">
        <f>IF(AND($B1731&lt;&gt;"",$C1731&lt;&gt;""),MAX($A$1556:A1730)+1,"")</f>
        <v/>
      </c>
      <c r="B1731" s="361" t="s">
        <v>1981</v>
      </c>
      <c r="C1731" s="360"/>
      <c r="D1731" s="327">
        <f>IF($B1731="","",COUNTIF($B$6:$B1731,$B1731))</f>
        <v>24</v>
      </c>
      <c r="E1731" s="361" t="s">
        <v>165</v>
      </c>
      <c r="F1731" s="362" t="s">
        <v>166</v>
      </c>
      <c r="G1731" s="327" t="s">
        <v>155</v>
      </c>
      <c r="H1731" s="327"/>
      <c r="I1731" s="327">
        <v>2</v>
      </c>
      <c r="J1731" s="361"/>
      <c r="K1731" s="327"/>
      <c r="L1731" s="389">
        <v>1700</v>
      </c>
      <c r="M1731" s="371"/>
      <c r="N1731" s="355" t="str">
        <f t="shared" si="219"/>
        <v>PK</v>
      </c>
      <c r="O1731" s="345"/>
      <c r="P1731" s="392"/>
      <c r="Q1731" s="327"/>
      <c r="R1731" s="351"/>
      <c r="S1731" s="351"/>
      <c r="T1731" s="351"/>
      <c r="U1731" s="329" t="str">
        <f>IF($N1731=$N$4,IFERROR(INDEX(DanhMuc!$E$154:$E$165,MATCH(MID($B1731,4,2),DanhMuc!$B$154:$B$165,0)),""),"")</f>
        <v/>
      </c>
      <c r="V1731" s="361"/>
      <c r="W1731" s="345"/>
      <c r="X1731" s="329" t="str">
        <f t="shared" si="216"/>
        <v>3H</v>
      </c>
      <c r="Y1731" s="1128" t="s">
        <v>3380</v>
      </c>
      <c r="Z1731" s="1128" t="s">
        <v>3381</v>
      </c>
      <c r="AA1731" s="1128" t="s">
        <v>3384</v>
      </c>
      <c r="AB1731" s="20"/>
      <c r="AC1731" s="73"/>
    </row>
    <row r="1732" spans="1:29">
      <c r="A1732" s="327" t="str">
        <f>IF(AND($B1732&lt;&gt;"",$C1732&lt;&gt;""),MAX($A$1556:A1731)+1,"")</f>
        <v/>
      </c>
      <c r="B1732" s="361" t="s">
        <v>1981</v>
      </c>
      <c r="C1732" s="360"/>
      <c r="D1732" s="327">
        <f>IF($B1732="","",COUNTIF($B$6:$B1732,$B1732))</f>
        <v>25</v>
      </c>
      <c r="E1732" s="361" t="s">
        <v>167</v>
      </c>
      <c r="F1732" s="362" t="s">
        <v>168</v>
      </c>
      <c r="G1732" s="327" t="s">
        <v>155</v>
      </c>
      <c r="H1732" s="327"/>
      <c r="I1732" s="327">
        <v>2</v>
      </c>
      <c r="J1732" s="361"/>
      <c r="K1732" s="327"/>
      <c r="L1732" s="389">
        <v>1700</v>
      </c>
      <c r="M1732" s="371"/>
      <c r="N1732" s="355" t="str">
        <f t="shared" si="219"/>
        <v>PK</v>
      </c>
      <c r="O1732" s="345"/>
      <c r="P1732" s="392"/>
      <c r="Q1732" s="327"/>
      <c r="R1732" s="351"/>
      <c r="S1732" s="351"/>
      <c r="T1732" s="351"/>
      <c r="U1732" s="329" t="str">
        <f>IF($N1732=$N$4,IFERROR(INDEX(DanhMuc!$E$154:$E$165,MATCH(MID($B1732,4,2),DanhMuc!$B$154:$B$165,0)),""),"")</f>
        <v/>
      </c>
      <c r="V1732" s="361"/>
      <c r="W1732" s="345"/>
      <c r="X1732" s="329" t="str">
        <f t="shared" si="216"/>
        <v>3H</v>
      </c>
      <c r="Y1732" s="1128" t="s">
        <v>3380</v>
      </c>
      <c r="Z1732" s="1128" t="s">
        <v>3381</v>
      </c>
      <c r="AA1732" s="1128" t="s">
        <v>3384</v>
      </c>
      <c r="AB1732" s="20"/>
      <c r="AC1732" s="73"/>
    </row>
    <row r="1733" spans="1:29">
      <c r="A1733" s="327" t="str">
        <f>IF(AND($B1733&lt;&gt;"",$C1733&lt;&gt;""),MAX($A$1556:A1732)+1,"")</f>
        <v/>
      </c>
      <c r="B1733" s="361" t="s">
        <v>1981</v>
      </c>
      <c r="C1733" s="360"/>
      <c r="D1733" s="327">
        <f>IF($B1733="","",COUNTIF($B$6:$B1733,$B1733))</f>
        <v>26</v>
      </c>
      <c r="E1733" s="361" t="s">
        <v>169</v>
      </c>
      <c r="F1733" s="362" t="s">
        <v>170</v>
      </c>
      <c r="G1733" s="327" t="s">
        <v>155</v>
      </c>
      <c r="H1733" s="327"/>
      <c r="I1733" s="327">
        <v>4</v>
      </c>
      <c r="J1733" s="361"/>
      <c r="K1733" s="327"/>
      <c r="L1733" s="389">
        <v>1700</v>
      </c>
      <c r="M1733" s="371"/>
      <c r="N1733" s="355" t="str">
        <f t="shared" si="219"/>
        <v>PK</v>
      </c>
      <c r="O1733" s="345"/>
      <c r="P1733" s="392"/>
      <c r="Q1733" s="327"/>
      <c r="R1733" s="351"/>
      <c r="S1733" s="351"/>
      <c r="T1733" s="351"/>
      <c r="U1733" s="329" t="str">
        <f>IF($N1733=$N$4,IFERROR(INDEX(DanhMuc!$E$154:$E$165,MATCH(MID($B1733,4,2),DanhMuc!$B$154:$B$165,0)),""),"")</f>
        <v/>
      </c>
      <c r="V1733" s="361"/>
      <c r="W1733" s="345"/>
      <c r="X1733" s="329" t="str">
        <f t="shared" si="216"/>
        <v>3H</v>
      </c>
      <c r="Y1733" s="1128" t="s">
        <v>3380</v>
      </c>
      <c r="Z1733" s="1128" t="s">
        <v>3381</v>
      </c>
      <c r="AA1733" s="1128" t="s">
        <v>3384</v>
      </c>
      <c r="AB1733" s="20"/>
      <c r="AC1733" s="73"/>
    </row>
    <row r="1734" spans="1:29">
      <c r="A1734" s="327" t="str">
        <f>IF(AND($B1734&lt;&gt;"",$C1734&lt;&gt;""),MAX($A$1556:A1733)+1,"")</f>
        <v/>
      </c>
      <c r="B1734" s="361" t="s">
        <v>1981</v>
      </c>
      <c r="C1734" s="360"/>
      <c r="D1734" s="327">
        <f>IF($B1734="","",COUNTIF($B$6:$B1734,$B1734))</f>
        <v>27</v>
      </c>
      <c r="E1734" s="361" t="s">
        <v>171</v>
      </c>
      <c r="F1734" s="362" t="s">
        <v>291</v>
      </c>
      <c r="G1734" s="327" t="s">
        <v>155</v>
      </c>
      <c r="H1734" s="327"/>
      <c r="I1734" s="327">
        <v>4</v>
      </c>
      <c r="J1734" s="361"/>
      <c r="K1734" s="327"/>
      <c r="L1734" s="389">
        <v>1700</v>
      </c>
      <c r="M1734" s="371"/>
      <c r="N1734" s="355" t="str">
        <f t="shared" si="219"/>
        <v>PK</v>
      </c>
      <c r="O1734" s="345"/>
      <c r="P1734" s="392"/>
      <c r="Q1734" s="327"/>
      <c r="R1734" s="351"/>
      <c r="S1734" s="351"/>
      <c r="T1734" s="351"/>
      <c r="U1734" s="329" t="str">
        <f>IF($N1734=$N$4,IFERROR(INDEX(DanhMuc!$E$154:$E$165,MATCH(MID($B1734,4,2),DanhMuc!$B$154:$B$165,0)),""),"")</f>
        <v/>
      </c>
      <c r="V1734" s="361"/>
      <c r="W1734" s="345"/>
      <c r="X1734" s="329" t="str">
        <f t="shared" si="216"/>
        <v>3H</v>
      </c>
      <c r="Y1734" s="1128" t="s">
        <v>3380</v>
      </c>
      <c r="Z1734" s="1128" t="s">
        <v>3381</v>
      </c>
      <c r="AA1734" s="1128" t="s">
        <v>3384</v>
      </c>
      <c r="AB1734" s="20"/>
      <c r="AC1734" s="73"/>
    </row>
    <row r="1735" spans="1:29" ht="39">
      <c r="A1735" s="327">
        <f>IF(AND($B1735&lt;&gt;"",$C1735&lt;&gt;""),MAX($A$1556:A1707)+1,"")</f>
        <v>6</v>
      </c>
      <c r="B1735" s="359" t="s">
        <v>3166</v>
      </c>
      <c r="C1735" s="360" t="s">
        <v>3154</v>
      </c>
      <c r="D1735" s="327">
        <f>IF($B1735="","",COUNTIF($B$6:$B1735,$B1735))</f>
        <v>1</v>
      </c>
      <c r="E1735" s="361" t="s">
        <v>739</v>
      </c>
      <c r="F1735" s="362" t="s">
        <v>2562</v>
      </c>
      <c r="G1735" s="327" t="s">
        <v>297</v>
      </c>
      <c r="H1735" s="327"/>
      <c r="I1735" s="327">
        <v>1</v>
      </c>
      <c r="J1735" s="345"/>
      <c r="K1735" s="327"/>
      <c r="L1735" s="389">
        <v>199000</v>
      </c>
      <c r="M1735" s="371"/>
      <c r="N1735" s="355" t="str">
        <f t="shared" si="219"/>
        <v>PK</v>
      </c>
      <c r="O1735" s="404" t="s">
        <v>2560</v>
      </c>
      <c r="P1735" s="392"/>
      <c r="Q1735" s="327"/>
      <c r="R1735" s="351"/>
      <c r="S1735" s="351"/>
      <c r="T1735" s="351"/>
      <c r="U1735" s="329" t="str">
        <f>IF($N1735=$N$4,IFERROR(INDEX(DanhMuc!$E$154:$E$165,MATCH(MID($B1735,4,2),DanhMuc!$B$154:$B$165,0)),""),"")</f>
        <v/>
      </c>
      <c r="V1735" s="361"/>
      <c r="W1735" s="345"/>
      <c r="X1735" s="329" t="str">
        <f t="shared" si="216"/>
        <v>2R</v>
      </c>
      <c r="Y1735" s="1128" t="s">
        <v>3380</v>
      </c>
      <c r="Z1735" s="1128" t="s">
        <v>3381</v>
      </c>
      <c r="AA1735" s="1128" t="s">
        <v>3384</v>
      </c>
      <c r="AB1735" s="20"/>
      <c r="AC1735" s="73"/>
    </row>
    <row r="1736" spans="1:29" ht="37.5">
      <c r="A1736" s="327" t="str">
        <f>IF(AND($B1736&lt;&gt;"",$C1736&lt;&gt;""),MAX($A$1556:A1735)+1,"")</f>
        <v/>
      </c>
      <c r="B1736" s="361" t="s">
        <v>3166</v>
      </c>
      <c r="C1736" s="360"/>
      <c r="D1736" s="327">
        <f>IF($B1736="","",COUNTIF($B$6:$B1736,$B1736))</f>
        <v>2</v>
      </c>
      <c r="E1736" s="361" t="s">
        <v>739</v>
      </c>
      <c r="F1736" s="362" t="s">
        <v>2563</v>
      </c>
      <c r="G1736" s="327" t="s">
        <v>297</v>
      </c>
      <c r="H1736" s="327"/>
      <c r="I1736" s="327">
        <v>1</v>
      </c>
      <c r="J1736" s="345"/>
      <c r="K1736" s="327"/>
      <c r="L1736" s="389">
        <v>199000</v>
      </c>
      <c r="M1736" s="371"/>
      <c r="N1736" s="355" t="str">
        <f t="shared" si="219"/>
        <v>PK</v>
      </c>
      <c r="O1736" s="404" t="s">
        <v>2561</v>
      </c>
      <c r="P1736" s="392"/>
      <c r="Q1736" s="327"/>
      <c r="R1736" s="351"/>
      <c r="S1736" s="351"/>
      <c r="T1736" s="351"/>
      <c r="U1736" s="329" t="str">
        <f>IF($N1736=$N$4,IFERROR(INDEX(DanhMuc!$E$154:$E$165,MATCH(MID($B1736,4,2),DanhMuc!$B$154:$B$165,0)),""),"")</f>
        <v/>
      </c>
      <c r="V1736" s="361"/>
      <c r="W1736" s="345"/>
      <c r="X1736" s="329" t="str">
        <f t="shared" si="216"/>
        <v>2R</v>
      </c>
      <c r="Y1736" s="1128" t="s">
        <v>3380</v>
      </c>
      <c r="Z1736" s="1128" t="s">
        <v>3381</v>
      </c>
      <c r="AA1736" s="1128" t="s">
        <v>3384</v>
      </c>
      <c r="AB1736" s="20"/>
      <c r="AC1736" s="73"/>
    </row>
    <row r="1737" spans="1:29">
      <c r="A1737" s="327" t="str">
        <f>IF(AND($B1737&lt;&gt;"",$C1737&lt;&gt;""),MAX($A$1556:A1736)+1,"")</f>
        <v/>
      </c>
      <c r="B1737" s="361" t="s">
        <v>3166</v>
      </c>
      <c r="C1737" s="360"/>
      <c r="D1737" s="327">
        <f>IF($B1737="","",COUNTIF($B$6:$B1737,$B1737))</f>
        <v>3</v>
      </c>
      <c r="E1737" s="361" t="s">
        <v>159</v>
      </c>
      <c r="F1737" s="362" t="s">
        <v>160</v>
      </c>
      <c r="G1737" s="327" t="s">
        <v>155</v>
      </c>
      <c r="H1737" s="327"/>
      <c r="I1737" s="327">
        <v>1</v>
      </c>
      <c r="J1737" s="345"/>
      <c r="K1737" s="327"/>
      <c r="L1737" s="389">
        <v>5000</v>
      </c>
      <c r="M1737" s="371"/>
      <c r="N1737" s="355" t="str">
        <f t="shared" si="219"/>
        <v>PK</v>
      </c>
      <c r="O1737" s="404" t="s">
        <v>1783</v>
      </c>
      <c r="P1737" s="392"/>
      <c r="Q1737" s="327"/>
      <c r="R1737" s="351"/>
      <c r="S1737" s="351"/>
      <c r="T1737" s="351"/>
      <c r="U1737" s="329" t="str">
        <f>IF($N1737=$N$4,IFERROR(INDEX(DanhMuc!$E$154:$E$165,MATCH(MID($B1737,4,2),DanhMuc!$B$154:$B$165,0)),""),"")</f>
        <v/>
      </c>
      <c r="V1737" s="361"/>
      <c r="W1737" s="345"/>
      <c r="X1737" s="329" t="str">
        <f t="shared" si="216"/>
        <v>2R</v>
      </c>
      <c r="Y1737" s="1128" t="s">
        <v>3380</v>
      </c>
      <c r="Z1737" s="1128" t="s">
        <v>3381</v>
      </c>
      <c r="AA1737" s="1128" t="s">
        <v>3384</v>
      </c>
      <c r="AB1737" s="20"/>
      <c r="AC1737" s="73"/>
    </row>
    <row r="1738" spans="1:29">
      <c r="A1738" s="327" t="str">
        <f>IF(AND($B1738&lt;&gt;"",$C1738&lt;&gt;""),MAX($A$1556:A1737)+1,"")</f>
        <v/>
      </c>
      <c r="B1738" s="361" t="s">
        <v>3166</v>
      </c>
      <c r="C1738" s="360"/>
      <c r="D1738" s="327">
        <f>IF($B1738="","",COUNTIF($B$6:$B1738,$B1738))</f>
        <v>4</v>
      </c>
      <c r="E1738" s="361" t="s">
        <v>3135</v>
      </c>
      <c r="F1738" s="362" t="s">
        <v>3136</v>
      </c>
      <c r="G1738" s="327" t="s">
        <v>155</v>
      </c>
      <c r="H1738" s="327"/>
      <c r="I1738" s="327">
        <v>1</v>
      </c>
      <c r="J1738" s="345"/>
      <c r="K1738" s="327"/>
      <c r="L1738" s="389">
        <v>140000</v>
      </c>
      <c r="M1738" s="371"/>
      <c r="N1738" s="355" t="str">
        <f t="shared" si="219"/>
        <v>PK</v>
      </c>
      <c r="O1738" s="404" t="s">
        <v>3137</v>
      </c>
      <c r="P1738" s="392"/>
      <c r="Q1738" s="327"/>
      <c r="R1738" s="351"/>
      <c r="S1738" s="351"/>
      <c r="T1738" s="351"/>
      <c r="U1738" s="329" t="str">
        <f>IF($N1738=$N$4,IFERROR(INDEX(DanhMuc!$E$154:$E$165,MATCH(MID($B1738,4,2),DanhMuc!$B$154:$B$165,0)),""),"")</f>
        <v/>
      </c>
      <c r="V1738" s="361"/>
      <c r="W1738" s="345"/>
      <c r="X1738" s="329" t="str">
        <f t="shared" si="216"/>
        <v>2R</v>
      </c>
      <c r="Y1738" s="1128" t="s">
        <v>3380</v>
      </c>
      <c r="Z1738" s="1128" t="s">
        <v>3381</v>
      </c>
      <c r="AA1738" s="1128" t="s">
        <v>3384</v>
      </c>
      <c r="AB1738" s="20"/>
      <c r="AC1738" s="73"/>
    </row>
    <row r="1739" spans="1:29">
      <c r="A1739" s="327" t="str">
        <f>IF(AND($B1739&lt;&gt;"",$C1739&lt;&gt;""),MAX($A$1556:A1738)+1,"")</f>
        <v/>
      </c>
      <c r="B1739" s="361" t="s">
        <v>3166</v>
      </c>
      <c r="C1739" s="360"/>
      <c r="D1739" s="327">
        <f>IF($B1739="","",COUNTIF($B$6:$B1739,$B1739))</f>
        <v>5</v>
      </c>
      <c r="E1739" s="361" t="s">
        <v>159</v>
      </c>
      <c r="F1739" s="362" t="s">
        <v>160</v>
      </c>
      <c r="G1739" s="327" t="s">
        <v>155</v>
      </c>
      <c r="H1739" s="327"/>
      <c r="I1739" s="327">
        <v>1</v>
      </c>
      <c r="J1739" s="345"/>
      <c r="K1739" s="327"/>
      <c r="L1739" s="389">
        <v>5000</v>
      </c>
      <c r="M1739" s="371"/>
      <c r="N1739" s="355" t="str">
        <f t="shared" si="219"/>
        <v>PK</v>
      </c>
      <c r="O1739" s="404" t="s">
        <v>3137</v>
      </c>
      <c r="P1739" s="392"/>
      <c r="Q1739" s="327"/>
      <c r="R1739" s="351"/>
      <c r="S1739" s="351"/>
      <c r="T1739" s="351"/>
      <c r="U1739" s="329" t="str">
        <f>IF($N1739=$N$4,IFERROR(INDEX(DanhMuc!$E$154:$E$165,MATCH(MID($B1739,4,2),DanhMuc!$B$154:$B$165,0)),""),"")</f>
        <v/>
      </c>
      <c r="V1739" s="361"/>
      <c r="W1739" s="345"/>
      <c r="X1739" s="329" t="str">
        <f t="shared" si="216"/>
        <v>2R</v>
      </c>
      <c r="Y1739" s="1128" t="s">
        <v>3380</v>
      </c>
      <c r="Z1739" s="1128" t="s">
        <v>3381</v>
      </c>
      <c r="AA1739" s="1128" t="s">
        <v>3384</v>
      </c>
      <c r="AB1739" s="20"/>
      <c r="AC1739" s="73"/>
    </row>
    <row r="1740" spans="1:29">
      <c r="A1740" s="327" t="str">
        <f>IF(AND($B1740&lt;&gt;"",$C1740&lt;&gt;""),MAX($A$1556:A1736)+1,"")</f>
        <v/>
      </c>
      <c r="B1740" s="361" t="s">
        <v>3166</v>
      </c>
      <c r="C1740" s="360"/>
      <c r="D1740" s="327">
        <f>IF($B1740="","",COUNTIF($B$6:$B1740,$B1740))</f>
        <v>6</v>
      </c>
      <c r="E1740" s="361" t="s">
        <v>157</v>
      </c>
      <c r="F1740" s="362" t="s">
        <v>158</v>
      </c>
      <c r="G1740" s="327" t="s">
        <v>155</v>
      </c>
      <c r="H1740" s="327"/>
      <c r="I1740" s="327">
        <v>1</v>
      </c>
      <c r="J1740" s="359"/>
      <c r="K1740" s="327"/>
      <c r="L1740" s="389">
        <v>45000</v>
      </c>
      <c r="M1740" s="371"/>
      <c r="N1740" s="355" t="s">
        <v>153</v>
      </c>
      <c r="O1740" s="345"/>
      <c r="P1740" s="392"/>
      <c r="Q1740" s="327"/>
      <c r="R1740" s="351"/>
      <c r="S1740" s="351"/>
      <c r="T1740" s="351"/>
      <c r="U1740" s="329" t="str">
        <f>IF($N1740=$N$4,IFERROR(INDEX(DanhMuc!$E$154:$E$165,MATCH(MID($B1740,4,2),DanhMuc!$B$154:$B$165,0)),""),"")</f>
        <v/>
      </c>
      <c r="V1740" s="361"/>
      <c r="W1740" s="345"/>
      <c r="X1740" s="329" t="str">
        <f t="shared" si="216"/>
        <v>2R</v>
      </c>
      <c r="Y1740" s="1128" t="s">
        <v>3380</v>
      </c>
      <c r="Z1740" s="1128" t="s">
        <v>3381</v>
      </c>
      <c r="AA1740" s="1128" t="s">
        <v>3384</v>
      </c>
      <c r="AB1740" s="20"/>
      <c r="AC1740" s="73"/>
    </row>
    <row r="1741" spans="1:29">
      <c r="A1741" s="327" t="str">
        <f>IF(AND($B1741&lt;&gt;"",$C1741&lt;&gt;""),MAX($A$1556:A1740)+1,"")</f>
        <v/>
      </c>
      <c r="B1741" s="361" t="s">
        <v>3166</v>
      </c>
      <c r="C1741" s="360"/>
      <c r="D1741" s="327">
        <f>IF($B1741="","",COUNTIF($B$6:$B1741,$B1741))</f>
        <v>7</v>
      </c>
      <c r="E1741" s="361" t="s">
        <v>159</v>
      </c>
      <c r="F1741" s="362" t="s">
        <v>160</v>
      </c>
      <c r="G1741" s="327" t="s">
        <v>155</v>
      </c>
      <c r="H1741" s="327"/>
      <c r="I1741" s="327">
        <v>1</v>
      </c>
      <c r="J1741" s="359"/>
      <c r="K1741" s="327"/>
      <c r="L1741" s="389">
        <v>5000</v>
      </c>
      <c r="M1741" s="371"/>
      <c r="N1741" s="355" t="s">
        <v>153</v>
      </c>
      <c r="O1741" s="345"/>
      <c r="P1741" s="392"/>
      <c r="Q1741" s="327"/>
      <c r="R1741" s="351"/>
      <c r="S1741" s="351"/>
      <c r="T1741" s="351"/>
      <c r="U1741" s="329" t="str">
        <f>IF($N1741=$N$4,IFERROR(INDEX(DanhMuc!$E$154:$E$165,MATCH(MID($B1741,4,2),DanhMuc!$B$154:$B$165,0)),""),"")</f>
        <v/>
      </c>
      <c r="V1741" s="361"/>
      <c r="W1741" s="345"/>
      <c r="X1741" s="329" t="str">
        <f t="shared" si="216"/>
        <v>2R</v>
      </c>
      <c r="Y1741" s="1128" t="s">
        <v>3380</v>
      </c>
      <c r="Z1741" s="1128" t="s">
        <v>3381</v>
      </c>
      <c r="AA1741" s="1128" t="s">
        <v>3384</v>
      </c>
      <c r="AB1741" s="20"/>
      <c r="AC1741" s="73"/>
    </row>
    <row r="1742" spans="1:29" ht="25">
      <c r="A1742" s="327" t="str">
        <f>IF(AND($B1742&lt;&gt;"",$C1742&lt;&gt;""),MAX($A$1556:A1741)+1,"")</f>
        <v/>
      </c>
      <c r="B1742" s="361" t="s">
        <v>3166</v>
      </c>
      <c r="C1742" s="360"/>
      <c r="D1742" s="327">
        <f>IF($B1742="","",COUNTIF($B$6:$B1742,$B1742))</f>
        <v>8</v>
      </c>
      <c r="E1742" s="361" t="s">
        <v>3141</v>
      </c>
      <c r="F1742" s="362" t="s">
        <v>3144</v>
      </c>
      <c r="G1742" s="327" t="s">
        <v>297</v>
      </c>
      <c r="H1742" s="327"/>
      <c r="I1742" s="327">
        <v>1</v>
      </c>
      <c r="J1742" s="345"/>
      <c r="K1742" s="327"/>
      <c r="L1742" s="389">
        <v>650000</v>
      </c>
      <c r="M1742" s="371"/>
      <c r="N1742" s="355" t="str">
        <f t="shared" ref="N1742:N1747" si="220">+$N$1555</f>
        <v>PK</v>
      </c>
      <c r="O1742" s="404" t="s">
        <v>3143</v>
      </c>
      <c r="P1742" s="392"/>
      <c r="Q1742" s="327"/>
      <c r="R1742" s="351"/>
      <c r="S1742" s="351"/>
      <c r="T1742" s="351"/>
      <c r="U1742" s="329" t="str">
        <f>IF($N1742=$N$4,IFERROR(INDEX(DanhMuc!$E$154:$E$165,MATCH(MID($B1742,4,2),DanhMuc!$B$154:$B$165,0)),""),"")</f>
        <v/>
      </c>
      <c r="V1742" s="361"/>
      <c r="W1742" s="345"/>
      <c r="X1742" s="329" t="str">
        <f t="shared" si="216"/>
        <v>2R</v>
      </c>
      <c r="Y1742" s="1128" t="s">
        <v>3380</v>
      </c>
      <c r="Z1742" s="1128" t="s">
        <v>3381</v>
      </c>
      <c r="AA1742" s="1128" t="s">
        <v>3384</v>
      </c>
      <c r="AB1742" s="20"/>
      <c r="AC1742" s="73"/>
    </row>
    <row r="1743" spans="1:29" ht="25">
      <c r="A1743" s="327" t="str">
        <f>IF(AND($B1743&lt;&gt;"",$C1743&lt;&gt;""),MAX($A$1556:A1742)+1,"")</f>
        <v/>
      </c>
      <c r="B1743" s="361" t="s">
        <v>3166</v>
      </c>
      <c r="C1743" s="360"/>
      <c r="D1743" s="327">
        <f>IF($B1743="","",COUNTIF($B$6:$B1743,$B1743))</f>
        <v>9</v>
      </c>
      <c r="E1743" s="361" t="s">
        <v>3141</v>
      </c>
      <c r="F1743" s="362" t="s">
        <v>3145</v>
      </c>
      <c r="G1743" s="327" t="s">
        <v>297</v>
      </c>
      <c r="H1743" s="327"/>
      <c r="I1743" s="327">
        <v>1</v>
      </c>
      <c r="J1743" s="345"/>
      <c r="K1743" s="327"/>
      <c r="L1743" s="389">
        <v>650000</v>
      </c>
      <c r="M1743" s="371"/>
      <c r="N1743" s="355" t="str">
        <f t="shared" si="220"/>
        <v>PK</v>
      </c>
      <c r="O1743" s="404" t="s">
        <v>3142</v>
      </c>
      <c r="P1743" s="392"/>
      <c r="Q1743" s="327"/>
      <c r="R1743" s="351"/>
      <c r="S1743" s="351"/>
      <c r="T1743" s="351"/>
      <c r="U1743" s="329" t="str">
        <f>IF($N1743=$N$4,IFERROR(INDEX(DanhMuc!$E$154:$E$165,MATCH(MID($B1743,4,2),DanhMuc!$B$154:$B$165,0)),""),"")</f>
        <v/>
      </c>
      <c r="V1743" s="361"/>
      <c r="W1743" s="345"/>
      <c r="X1743" s="329" t="str">
        <f t="shared" si="216"/>
        <v>2R</v>
      </c>
      <c r="Y1743" s="1128" t="s">
        <v>3380</v>
      </c>
      <c r="Z1743" s="1128" t="s">
        <v>3381</v>
      </c>
      <c r="AA1743" s="1128" t="s">
        <v>3384</v>
      </c>
      <c r="AB1743" s="20"/>
      <c r="AC1743" s="73"/>
    </row>
    <row r="1744" spans="1:29">
      <c r="A1744" s="327" t="str">
        <f>IF(AND($B1744&lt;&gt;"",$C1744&lt;&gt;""),MAX($A$1556:A1743)+1,"")</f>
        <v/>
      </c>
      <c r="B1744" s="361" t="s">
        <v>3166</v>
      </c>
      <c r="C1744" s="360"/>
      <c r="D1744" s="327">
        <f>IF($B1744="","",COUNTIF($B$6:$B1744,$B1744))</f>
        <v>10</v>
      </c>
      <c r="E1744" s="361" t="s">
        <v>3146</v>
      </c>
      <c r="F1744" s="362" t="s">
        <v>3147</v>
      </c>
      <c r="G1744" s="327" t="s">
        <v>155</v>
      </c>
      <c r="H1744" s="327"/>
      <c r="I1744" s="327">
        <v>1</v>
      </c>
      <c r="J1744" s="345"/>
      <c r="K1744" s="327"/>
      <c r="L1744" s="389">
        <v>48000</v>
      </c>
      <c r="M1744" s="371"/>
      <c r="N1744" s="355" t="str">
        <f t="shared" si="220"/>
        <v>PK</v>
      </c>
      <c r="O1744" s="404" t="s">
        <v>3148</v>
      </c>
      <c r="P1744" s="392"/>
      <c r="Q1744" s="327"/>
      <c r="R1744" s="351"/>
      <c r="S1744" s="351"/>
      <c r="T1744" s="351"/>
      <c r="U1744" s="329" t="str">
        <f>IF($N1744=$N$4,IFERROR(INDEX(DanhMuc!$E$154:$E$165,MATCH(MID($B1744,4,2),DanhMuc!$B$154:$B$165,0)),""),"")</f>
        <v/>
      </c>
      <c r="V1744" s="361"/>
      <c r="W1744" s="345"/>
      <c r="X1744" s="329" t="str">
        <f t="shared" si="216"/>
        <v>2R</v>
      </c>
      <c r="Y1744" s="1128" t="s">
        <v>3380</v>
      </c>
      <c r="Z1744" s="1128" t="s">
        <v>3381</v>
      </c>
      <c r="AA1744" s="1128" t="s">
        <v>3384</v>
      </c>
      <c r="AB1744" s="20"/>
      <c r="AC1744" s="73"/>
    </row>
    <row r="1745" spans="1:29">
      <c r="A1745" s="327" t="str">
        <f>IF(AND($B1745&lt;&gt;"",$C1745&lt;&gt;""),MAX($A$1556:A1744)+1,"")</f>
        <v/>
      </c>
      <c r="B1745" s="361" t="s">
        <v>3166</v>
      </c>
      <c r="C1745" s="360"/>
      <c r="D1745" s="327">
        <f>IF($B1745="","",COUNTIF($B$6:$B1745,$B1745))</f>
        <v>11</v>
      </c>
      <c r="E1745" s="361" t="s">
        <v>3149</v>
      </c>
      <c r="F1745" s="362" t="s">
        <v>1803</v>
      </c>
      <c r="G1745" s="327" t="s">
        <v>155</v>
      </c>
      <c r="H1745" s="327"/>
      <c r="I1745" s="327">
        <v>1</v>
      </c>
      <c r="J1745" s="345"/>
      <c r="K1745" s="327"/>
      <c r="L1745" s="389">
        <v>290000</v>
      </c>
      <c r="M1745" s="371"/>
      <c r="N1745" s="355" t="str">
        <f t="shared" si="220"/>
        <v>PK</v>
      </c>
      <c r="O1745" s="404" t="s">
        <v>3148</v>
      </c>
      <c r="P1745" s="392"/>
      <c r="Q1745" s="327"/>
      <c r="R1745" s="351"/>
      <c r="S1745" s="351"/>
      <c r="T1745" s="351"/>
      <c r="U1745" s="329" t="str">
        <f>IF($N1745=$N$4,IFERROR(INDEX(DanhMuc!$E$154:$E$165,MATCH(MID($B1745,4,2),DanhMuc!$B$154:$B$165,0)),""),"")</f>
        <v/>
      </c>
      <c r="V1745" s="361"/>
      <c r="W1745" s="345"/>
      <c r="X1745" s="329" t="str">
        <f t="shared" si="216"/>
        <v>2R</v>
      </c>
      <c r="Y1745" s="1128" t="s">
        <v>3380</v>
      </c>
      <c r="Z1745" s="1128" t="s">
        <v>3381</v>
      </c>
      <c r="AA1745" s="1128" t="s">
        <v>3384</v>
      </c>
      <c r="AB1745" s="20"/>
      <c r="AC1745" s="73"/>
    </row>
    <row r="1746" spans="1:29">
      <c r="A1746" s="327" t="str">
        <f>IF(AND($B1746&lt;&gt;"",$C1746&lt;&gt;""),MAX($A$1556:A1745)+1,"")</f>
        <v/>
      </c>
      <c r="B1746" s="361" t="s">
        <v>3166</v>
      </c>
      <c r="C1746" s="360"/>
      <c r="D1746" s="327">
        <f>IF($B1746="","",COUNTIF($B$6:$B1746,$B1746))</f>
        <v>12</v>
      </c>
      <c r="E1746" s="361" t="s">
        <v>3150</v>
      </c>
      <c r="F1746" s="362" t="s">
        <v>3151</v>
      </c>
      <c r="G1746" s="327" t="s">
        <v>155</v>
      </c>
      <c r="H1746" s="327"/>
      <c r="I1746" s="327">
        <v>1</v>
      </c>
      <c r="J1746" s="345"/>
      <c r="K1746" s="327"/>
      <c r="L1746" s="389">
        <v>90000</v>
      </c>
      <c r="M1746" s="371"/>
      <c r="N1746" s="355" t="str">
        <f t="shared" si="220"/>
        <v>PK</v>
      </c>
      <c r="O1746" s="404" t="s">
        <v>3148</v>
      </c>
      <c r="P1746" s="392"/>
      <c r="Q1746" s="327"/>
      <c r="R1746" s="351"/>
      <c r="S1746" s="351"/>
      <c r="T1746" s="351"/>
      <c r="U1746" s="329" t="str">
        <f>IF($N1746=$N$4,IFERROR(INDEX(DanhMuc!$E$154:$E$165,MATCH(MID($B1746,4,2),DanhMuc!$B$154:$B$165,0)),""),"")</f>
        <v/>
      </c>
      <c r="V1746" s="361"/>
      <c r="W1746" s="345"/>
      <c r="X1746" s="329" t="str">
        <f t="shared" si="216"/>
        <v>2R</v>
      </c>
      <c r="Y1746" s="1128" t="s">
        <v>3380</v>
      </c>
      <c r="Z1746" s="1128" t="s">
        <v>3381</v>
      </c>
      <c r="AA1746" s="1128" t="s">
        <v>3384</v>
      </c>
      <c r="AB1746" s="20"/>
      <c r="AC1746" s="73"/>
    </row>
    <row r="1747" spans="1:29">
      <c r="A1747" s="327" t="str">
        <f>IF(AND($B1747&lt;&gt;"",$C1747&lt;&gt;""),MAX($A$1556:A1746)+1,"")</f>
        <v/>
      </c>
      <c r="B1747" s="361" t="s">
        <v>3166</v>
      </c>
      <c r="C1747" s="360"/>
      <c r="D1747" s="327">
        <f>IF($B1747="","",COUNTIF($B$6:$B1747,$B1747))</f>
        <v>13</v>
      </c>
      <c r="E1747" s="361" t="s">
        <v>3152</v>
      </c>
      <c r="F1747" s="362" t="s">
        <v>3153</v>
      </c>
      <c r="G1747" s="327" t="s">
        <v>155</v>
      </c>
      <c r="H1747" s="327"/>
      <c r="I1747" s="327">
        <v>1</v>
      </c>
      <c r="J1747" s="345"/>
      <c r="K1747" s="327"/>
      <c r="L1747" s="389">
        <v>230000</v>
      </c>
      <c r="M1747" s="371"/>
      <c r="N1747" s="355" t="str">
        <f t="shared" si="220"/>
        <v>PK</v>
      </c>
      <c r="O1747" s="404" t="s">
        <v>3148</v>
      </c>
      <c r="P1747" s="392"/>
      <c r="Q1747" s="327"/>
      <c r="R1747" s="351"/>
      <c r="S1747" s="351"/>
      <c r="T1747" s="351"/>
      <c r="U1747" s="329" t="str">
        <f>IF($N1747=$N$4,IFERROR(INDEX(DanhMuc!$E$154:$E$165,MATCH(MID($B1747,4,2),DanhMuc!$B$154:$B$165,0)),""),"")</f>
        <v/>
      </c>
      <c r="V1747" s="361"/>
      <c r="W1747" s="345"/>
      <c r="X1747" s="329" t="str">
        <f t="shared" si="216"/>
        <v>2R</v>
      </c>
      <c r="Y1747" s="1128" t="s">
        <v>3380</v>
      </c>
      <c r="Z1747" s="1128" t="s">
        <v>3381</v>
      </c>
      <c r="AA1747" s="1128" t="s">
        <v>3384</v>
      </c>
      <c r="AB1747" s="20"/>
      <c r="AC1747" s="73"/>
    </row>
    <row r="1748" spans="1:29" ht="25">
      <c r="A1748" s="327" t="str">
        <f>IF(AND($B1748&lt;&gt;"",$C1748&lt;&gt;""),MAX($A$1556:A1741)+1,"")</f>
        <v/>
      </c>
      <c r="B1748" s="361" t="s">
        <v>3166</v>
      </c>
      <c r="C1748" s="360"/>
      <c r="D1748" s="327">
        <f>IF($B1748="","",COUNTIF($B$6:$B1748,$B1748))</f>
        <v>14</v>
      </c>
      <c r="E1748" s="361" t="s">
        <v>209</v>
      </c>
      <c r="F1748" s="362" t="s">
        <v>210</v>
      </c>
      <c r="G1748" s="327" t="s">
        <v>155</v>
      </c>
      <c r="H1748" s="327"/>
      <c r="I1748" s="327">
        <v>1</v>
      </c>
      <c r="J1748" s="359"/>
      <c r="K1748" s="327"/>
      <c r="L1748" s="389">
        <v>70000</v>
      </c>
      <c r="M1748" s="371"/>
      <c r="N1748" s="355" t="s">
        <v>153</v>
      </c>
      <c r="O1748" s="404" t="s">
        <v>1782</v>
      </c>
      <c r="P1748" s="392"/>
      <c r="Q1748" s="327"/>
      <c r="R1748" s="351"/>
      <c r="S1748" s="351"/>
      <c r="T1748" s="351"/>
      <c r="U1748" s="329" t="str">
        <f>IF($N1748=$N$4,IFERROR(INDEX(DanhMuc!$E$154:$E$165,MATCH(MID($B1748,4,2),DanhMuc!$B$154:$B$165,0)),""),"")</f>
        <v/>
      </c>
      <c r="V1748" s="361"/>
      <c r="W1748" s="345"/>
      <c r="X1748" s="329" t="str">
        <f t="shared" si="216"/>
        <v>2R</v>
      </c>
      <c r="Y1748" s="1128" t="s">
        <v>3380</v>
      </c>
      <c r="Z1748" s="1128" t="s">
        <v>3381</v>
      </c>
      <c r="AA1748" s="1128" t="s">
        <v>3384</v>
      </c>
      <c r="AB1748" s="20"/>
      <c r="AC1748" s="73"/>
    </row>
    <row r="1749" spans="1:29">
      <c r="A1749" s="327" t="str">
        <f>IF(AND($B1749&lt;&gt;"",$C1749&lt;&gt;""),MAX($A$1556:A1748)+1,"")</f>
        <v/>
      </c>
      <c r="B1749" s="361" t="s">
        <v>3166</v>
      </c>
      <c r="C1749" s="360"/>
      <c r="D1749" s="327">
        <f>IF($B1749="","",COUNTIF($B$6:$B1749,$B1749))</f>
        <v>15</v>
      </c>
      <c r="E1749" s="402" t="s">
        <v>952</v>
      </c>
      <c r="F1749" s="403" t="s">
        <v>953</v>
      </c>
      <c r="G1749" s="410" t="s">
        <v>156</v>
      </c>
      <c r="H1749" s="327" t="s">
        <v>536</v>
      </c>
      <c r="I1749" s="411" t="s">
        <v>2856</v>
      </c>
      <c r="J1749" s="404"/>
      <c r="K1749" s="410"/>
      <c r="L1749" s="389">
        <v>27000</v>
      </c>
      <c r="M1749" s="371"/>
      <c r="N1749" s="355" t="s">
        <v>153</v>
      </c>
      <c r="O1749" s="404" t="s">
        <v>1782</v>
      </c>
      <c r="P1749" s="392"/>
      <c r="Q1749" s="327"/>
      <c r="R1749" s="351"/>
      <c r="S1749" s="351"/>
      <c r="T1749" s="351"/>
      <c r="U1749" s="329" t="str">
        <f>IF($N1749=$N$4,IFERROR(INDEX(DanhMuc!$E$154:$E$165,MATCH(MID($B1749,4,2),DanhMuc!$B$154:$B$165,0)),""),"")</f>
        <v/>
      </c>
      <c r="V1749" s="361"/>
      <c r="W1749" s="345"/>
      <c r="X1749" s="329" t="str">
        <f t="shared" si="216"/>
        <v>2R</v>
      </c>
      <c r="Y1749" s="1128" t="s">
        <v>3380</v>
      </c>
      <c r="Z1749" s="1128" t="s">
        <v>3381</v>
      </c>
      <c r="AA1749" s="1128" t="s">
        <v>3384</v>
      </c>
      <c r="AB1749" s="20"/>
      <c r="AC1749" s="73"/>
    </row>
    <row r="1750" spans="1:29">
      <c r="A1750" s="327" t="str">
        <f>IF(AND($B1750&lt;&gt;"",$C1750&lt;&gt;""),MAX($A$1556:A1749)+1,"")</f>
        <v/>
      </c>
      <c r="B1750" s="361" t="s">
        <v>3166</v>
      </c>
      <c r="C1750" s="360"/>
      <c r="D1750" s="327">
        <f>IF($B1750="","",COUNTIF($B$6:$B1750,$B1750))</f>
        <v>16</v>
      </c>
      <c r="E1750" s="402" t="s">
        <v>954</v>
      </c>
      <c r="F1750" s="403" t="s">
        <v>1059</v>
      </c>
      <c r="G1750" s="410" t="s">
        <v>156</v>
      </c>
      <c r="H1750" s="327" t="s">
        <v>536</v>
      </c>
      <c r="I1750" s="411" t="s">
        <v>2853</v>
      </c>
      <c r="J1750" s="404"/>
      <c r="K1750" s="410"/>
      <c r="L1750" s="415">
        <v>35000</v>
      </c>
      <c r="M1750" s="371"/>
      <c r="N1750" s="355" t="s">
        <v>153</v>
      </c>
      <c r="O1750" s="404" t="s">
        <v>1782</v>
      </c>
      <c r="P1750" s="392"/>
      <c r="Q1750" s="327"/>
      <c r="R1750" s="351"/>
      <c r="S1750" s="351"/>
      <c r="T1750" s="351"/>
      <c r="U1750" s="329" t="str">
        <f>IF($N1750=$N$4,IFERROR(INDEX(DanhMuc!$E$154:$E$165,MATCH(MID($B1750,4,2),DanhMuc!$B$154:$B$165,0)),""),"")</f>
        <v/>
      </c>
      <c r="V1750" s="361"/>
      <c r="W1750" s="345"/>
      <c r="X1750" s="329" t="str">
        <f t="shared" si="216"/>
        <v>2R</v>
      </c>
      <c r="Y1750" s="1128" t="s">
        <v>3380</v>
      </c>
      <c r="Z1750" s="1128" t="s">
        <v>3381</v>
      </c>
      <c r="AA1750" s="1128" t="s">
        <v>3384</v>
      </c>
      <c r="AB1750" s="20"/>
      <c r="AC1750" s="73"/>
    </row>
    <row r="1751" spans="1:29">
      <c r="A1751" s="327" t="str">
        <f>IF(AND($B1751&lt;&gt;"",$C1751&lt;&gt;""),MAX($A$1556:A1750)+1,"")</f>
        <v/>
      </c>
      <c r="B1751" s="361" t="s">
        <v>3166</v>
      </c>
      <c r="C1751" s="360"/>
      <c r="D1751" s="327">
        <f>IF($B1751="","",COUNTIF($B$6:$B1751,$B1751))</f>
        <v>17</v>
      </c>
      <c r="E1751" s="402" t="s">
        <v>955</v>
      </c>
      <c r="F1751" s="403" t="s">
        <v>956</v>
      </c>
      <c r="G1751" s="410" t="s">
        <v>156</v>
      </c>
      <c r="H1751" s="327" t="s">
        <v>536</v>
      </c>
      <c r="I1751" s="411" t="s">
        <v>2854</v>
      </c>
      <c r="J1751" s="404"/>
      <c r="K1751" s="410"/>
      <c r="L1751" s="389">
        <v>37000</v>
      </c>
      <c r="M1751" s="371"/>
      <c r="N1751" s="355" t="s">
        <v>153</v>
      </c>
      <c r="O1751" s="404" t="s">
        <v>1782</v>
      </c>
      <c r="P1751" s="392"/>
      <c r="Q1751" s="327"/>
      <c r="R1751" s="351"/>
      <c r="S1751" s="351"/>
      <c r="T1751" s="351"/>
      <c r="U1751" s="329" t="str">
        <f>IF($N1751=$N$4,IFERROR(INDEX(DanhMuc!$E$154:$E$165,MATCH(MID($B1751,4,2),DanhMuc!$B$154:$B$165,0)),""),"")</f>
        <v/>
      </c>
      <c r="V1751" s="361"/>
      <c r="W1751" s="345"/>
      <c r="X1751" s="329" t="str">
        <f t="shared" si="216"/>
        <v>2R</v>
      </c>
      <c r="Y1751" s="1128" t="s">
        <v>3380</v>
      </c>
      <c r="Z1751" s="1128" t="s">
        <v>3381</v>
      </c>
      <c r="AA1751" s="1128" t="s">
        <v>3384</v>
      </c>
      <c r="AB1751" s="20"/>
      <c r="AC1751" s="73"/>
    </row>
    <row r="1752" spans="1:29">
      <c r="A1752" s="327" t="str">
        <f>IF(AND($B1752&lt;&gt;"",$C1752&lt;&gt;""),MAX($A$1556:A1751)+1,"")</f>
        <v/>
      </c>
      <c r="B1752" s="361" t="s">
        <v>3166</v>
      </c>
      <c r="C1752" s="360"/>
      <c r="D1752" s="327">
        <f>IF($B1752="","",COUNTIF($B$6:$B1752,$B1752))</f>
        <v>18</v>
      </c>
      <c r="E1752" s="402" t="s">
        <v>182</v>
      </c>
      <c r="F1752" s="403" t="s">
        <v>183</v>
      </c>
      <c r="G1752" s="410" t="s">
        <v>156</v>
      </c>
      <c r="H1752" s="327" t="s">
        <v>536</v>
      </c>
      <c r="I1752" s="411" t="s">
        <v>2855</v>
      </c>
      <c r="J1752" s="404"/>
      <c r="K1752" s="410"/>
      <c r="L1752" s="389">
        <v>45000</v>
      </c>
      <c r="M1752" s="371"/>
      <c r="N1752" s="355" t="s">
        <v>153</v>
      </c>
      <c r="O1752" s="404" t="s">
        <v>1782</v>
      </c>
      <c r="P1752" s="392"/>
      <c r="Q1752" s="327"/>
      <c r="R1752" s="351"/>
      <c r="S1752" s="351"/>
      <c r="T1752" s="351"/>
      <c r="U1752" s="329" t="str">
        <f>IF($N1752=$N$4,IFERROR(INDEX(DanhMuc!$E$154:$E$165,MATCH(MID($B1752,4,2),DanhMuc!$B$154:$B$165,0)),""),"")</f>
        <v/>
      </c>
      <c r="V1752" s="361"/>
      <c r="W1752" s="345"/>
      <c r="X1752" s="329" t="str">
        <f t="shared" si="216"/>
        <v>2R</v>
      </c>
      <c r="Y1752" s="1128" t="s">
        <v>3380</v>
      </c>
      <c r="Z1752" s="1128" t="s">
        <v>3381</v>
      </c>
      <c r="AA1752" s="1128" t="s">
        <v>3384</v>
      </c>
      <c r="AB1752" s="20"/>
      <c r="AC1752" s="73"/>
    </row>
    <row r="1753" spans="1:29">
      <c r="A1753" s="327" t="str">
        <f>IF(AND($B1753&lt;&gt;"",$C1753&lt;&gt;""),MAX($A$1556:A1752)+1,"")</f>
        <v/>
      </c>
      <c r="B1753" s="361" t="s">
        <v>3166</v>
      </c>
      <c r="C1753" s="360"/>
      <c r="D1753" s="327">
        <f>IF($B1753="","",COUNTIF($B$6:$B1753,$B1753))</f>
        <v>19</v>
      </c>
      <c r="E1753" s="361" t="s">
        <v>184</v>
      </c>
      <c r="F1753" s="362" t="s">
        <v>981</v>
      </c>
      <c r="G1753" s="327" t="s">
        <v>155</v>
      </c>
      <c r="H1753" s="327" t="s">
        <v>536</v>
      </c>
      <c r="I1753" s="327">
        <v>2</v>
      </c>
      <c r="J1753" s="359"/>
      <c r="K1753" s="327"/>
      <c r="L1753" s="389">
        <v>6500</v>
      </c>
      <c r="M1753" s="371"/>
      <c r="N1753" s="355" t="str">
        <f t="shared" ref="N1753:N1761" si="221">+$N$1555</f>
        <v>PK</v>
      </c>
      <c r="O1753" s="404" t="s">
        <v>1782</v>
      </c>
      <c r="P1753" s="392"/>
      <c r="Q1753" s="327"/>
      <c r="R1753" s="351"/>
      <c r="S1753" s="351"/>
      <c r="T1753" s="351"/>
      <c r="U1753" s="329" t="str">
        <f>IF($N1753=$N$4,IFERROR(INDEX(DanhMuc!$E$154:$E$165,MATCH(MID($B1753,4,2),DanhMuc!$B$154:$B$165,0)),""),"")</f>
        <v/>
      </c>
      <c r="V1753" s="361"/>
      <c r="W1753" s="345"/>
      <c r="X1753" s="329" t="str">
        <f t="shared" si="216"/>
        <v>2R</v>
      </c>
      <c r="Y1753" s="1128" t="s">
        <v>3380</v>
      </c>
      <c r="Z1753" s="1128" t="s">
        <v>3381</v>
      </c>
      <c r="AA1753" s="1128" t="s">
        <v>3384</v>
      </c>
      <c r="AB1753" s="20"/>
      <c r="AC1753" s="73"/>
    </row>
    <row r="1754" spans="1:29">
      <c r="A1754" s="327" t="str">
        <f>IF(AND($B1754&lt;&gt;"",$C1754&lt;&gt;""),MAX($A$1556:A1753)+1,"")</f>
        <v/>
      </c>
      <c r="B1754" s="361" t="s">
        <v>3166</v>
      </c>
      <c r="C1754" s="360"/>
      <c r="D1754" s="327">
        <f>IF($B1754="","",COUNTIF($B$6:$B1754,$B1754))</f>
        <v>20</v>
      </c>
      <c r="E1754" s="361" t="s">
        <v>187</v>
      </c>
      <c r="F1754" s="362" t="s">
        <v>189</v>
      </c>
      <c r="G1754" s="327" t="s">
        <v>155</v>
      </c>
      <c r="H1754" s="327"/>
      <c r="I1754" s="327">
        <v>4</v>
      </c>
      <c r="J1754" s="361"/>
      <c r="K1754" s="327"/>
      <c r="L1754" s="389">
        <v>5000</v>
      </c>
      <c r="M1754" s="371"/>
      <c r="N1754" s="355" t="str">
        <f t="shared" si="221"/>
        <v>PK</v>
      </c>
      <c r="O1754" s="345"/>
      <c r="P1754" s="392"/>
      <c r="Q1754" s="327"/>
      <c r="R1754" s="351"/>
      <c r="S1754" s="351"/>
      <c r="T1754" s="351"/>
      <c r="U1754" s="329" t="str">
        <f>IF($N1754=$N$4,IFERROR(INDEX(DanhMuc!$E$154:$E$165,MATCH(MID($B1754,4,2),DanhMuc!$B$154:$B$165,0)),""),"")</f>
        <v/>
      </c>
      <c r="V1754" s="361"/>
      <c r="W1754" s="345"/>
      <c r="X1754" s="329" t="str">
        <f t="shared" si="216"/>
        <v>2R</v>
      </c>
      <c r="Y1754" s="1128" t="s">
        <v>3380</v>
      </c>
      <c r="Z1754" s="1128" t="s">
        <v>3381</v>
      </c>
      <c r="AA1754" s="1128" t="s">
        <v>3384</v>
      </c>
      <c r="AB1754" s="20"/>
      <c r="AC1754" s="73"/>
    </row>
    <row r="1755" spans="1:29">
      <c r="A1755" s="327" t="str">
        <f>IF(AND($B1755&lt;&gt;"",$C1755&lt;&gt;""),MAX($A$1556:A1754)+1,"")</f>
        <v/>
      </c>
      <c r="B1755" s="361" t="s">
        <v>3166</v>
      </c>
      <c r="C1755" s="360"/>
      <c r="D1755" s="327">
        <f>IF($B1755="","",COUNTIF($B$6:$B1755,$B1755))</f>
        <v>21</v>
      </c>
      <c r="E1755" s="361" t="s">
        <v>172</v>
      </c>
      <c r="F1755" s="362" t="s">
        <v>173</v>
      </c>
      <c r="G1755" s="327" t="s">
        <v>155</v>
      </c>
      <c r="H1755" s="327"/>
      <c r="I1755" s="327">
        <v>1</v>
      </c>
      <c r="J1755" s="361"/>
      <c r="K1755" s="327"/>
      <c r="L1755" s="389">
        <v>6000</v>
      </c>
      <c r="M1755" s="371"/>
      <c r="N1755" s="355" t="str">
        <f t="shared" si="221"/>
        <v>PK</v>
      </c>
      <c r="O1755" s="345"/>
      <c r="P1755" s="392"/>
      <c r="Q1755" s="327"/>
      <c r="R1755" s="351"/>
      <c r="S1755" s="351"/>
      <c r="T1755" s="351"/>
      <c r="U1755" s="329" t="str">
        <f>IF($N1755=$N$4,IFERROR(INDEX(DanhMuc!$E$154:$E$165,MATCH(MID($B1755,4,2),DanhMuc!$B$154:$B$165,0)),""),"")</f>
        <v/>
      </c>
      <c r="V1755" s="361"/>
      <c r="W1755" s="345"/>
      <c r="X1755" s="329" t="str">
        <f t="shared" si="216"/>
        <v>2R</v>
      </c>
      <c r="Y1755" s="1128" t="s">
        <v>3380</v>
      </c>
      <c r="Z1755" s="1128" t="s">
        <v>3381</v>
      </c>
      <c r="AA1755" s="1128" t="s">
        <v>3384</v>
      </c>
      <c r="AB1755" s="20"/>
      <c r="AC1755" s="73"/>
    </row>
    <row r="1756" spans="1:29">
      <c r="A1756" s="327" t="str">
        <f>IF(AND($B1756&lt;&gt;"",$C1756&lt;&gt;""),MAX($A$1556:A1755)+1,"")</f>
        <v/>
      </c>
      <c r="B1756" s="361" t="s">
        <v>3166</v>
      </c>
      <c r="C1756" s="360"/>
      <c r="D1756" s="327">
        <f>IF($B1756="","",COUNTIF($B$6:$B1756,$B1756))</f>
        <v>22</v>
      </c>
      <c r="E1756" s="361" t="s">
        <v>163</v>
      </c>
      <c r="F1756" s="362" t="s">
        <v>164</v>
      </c>
      <c r="G1756" s="327" t="s">
        <v>155</v>
      </c>
      <c r="H1756" s="327"/>
      <c r="I1756" s="327">
        <v>2</v>
      </c>
      <c r="J1756" s="361"/>
      <c r="K1756" s="327"/>
      <c r="L1756" s="389">
        <v>2500</v>
      </c>
      <c r="M1756" s="371"/>
      <c r="N1756" s="355" t="str">
        <f t="shared" si="221"/>
        <v>PK</v>
      </c>
      <c r="O1756" s="345"/>
      <c r="P1756" s="392"/>
      <c r="Q1756" s="327"/>
      <c r="R1756" s="351"/>
      <c r="S1756" s="351"/>
      <c r="T1756" s="351"/>
      <c r="U1756" s="329" t="str">
        <f>IF($N1756=$N$4,IFERROR(INDEX(DanhMuc!$E$154:$E$165,MATCH(MID($B1756,4,2),DanhMuc!$B$154:$B$165,0)),""),"")</f>
        <v/>
      </c>
      <c r="V1756" s="408" t="s">
        <v>342</v>
      </c>
      <c r="W1756" s="345"/>
      <c r="X1756" s="329" t="str">
        <f t="shared" si="216"/>
        <v>2R</v>
      </c>
      <c r="Y1756" s="1128" t="s">
        <v>3380</v>
      </c>
      <c r="Z1756" s="1128" t="s">
        <v>3381</v>
      </c>
      <c r="AA1756" s="1128" t="s">
        <v>3384</v>
      </c>
      <c r="AB1756" s="20"/>
      <c r="AC1756" s="73"/>
    </row>
    <row r="1757" spans="1:29">
      <c r="A1757" s="327" t="str">
        <f>IF(AND($B1757&lt;&gt;"",$C1757&lt;&gt;""),MAX($A$1556:A1756)+1,"")</f>
        <v/>
      </c>
      <c r="B1757" s="361" t="s">
        <v>3166</v>
      </c>
      <c r="C1757" s="360"/>
      <c r="D1757" s="327">
        <f>IF($B1757="","",COUNTIF($B$6:$B1757,$B1757))</f>
        <v>23</v>
      </c>
      <c r="E1757" s="361" t="s">
        <v>185</v>
      </c>
      <c r="F1757" s="362" t="s">
        <v>186</v>
      </c>
      <c r="G1757" s="327" t="s">
        <v>155</v>
      </c>
      <c r="H1757" s="327" t="s">
        <v>536</v>
      </c>
      <c r="I1757" s="327">
        <v>6</v>
      </c>
      <c r="J1757" s="361"/>
      <c r="K1757" s="327"/>
      <c r="L1757" s="389">
        <v>41000</v>
      </c>
      <c r="M1757" s="371"/>
      <c r="N1757" s="355" t="str">
        <f t="shared" si="221"/>
        <v>PK</v>
      </c>
      <c r="O1757" s="345"/>
      <c r="P1757" s="392"/>
      <c r="Q1757" s="327"/>
      <c r="R1757" s="351"/>
      <c r="S1757" s="351"/>
      <c r="T1757" s="351"/>
      <c r="U1757" s="329" t="str">
        <f>IF($N1757=$N$4,IFERROR(INDEX(DanhMuc!$E$154:$E$165,MATCH(MID($B1757,4,2),DanhMuc!$B$154:$B$165,0)),""),"")</f>
        <v/>
      </c>
      <c r="V1757" s="361"/>
      <c r="W1757" s="345"/>
      <c r="X1757" s="329" t="str">
        <f t="shared" si="216"/>
        <v>2R</v>
      </c>
      <c r="Y1757" s="1128" t="s">
        <v>3380</v>
      </c>
      <c r="Z1757" s="1128" t="s">
        <v>3381</v>
      </c>
      <c r="AA1757" s="1128" t="s">
        <v>3384</v>
      </c>
      <c r="AB1757" s="20"/>
      <c r="AC1757" s="73"/>
    </row>
    <row r="1758" spans="1:29">
      <c r="A1758" s="327" t="str">
        <f>IF(AND($B1758&lt;&gt;"",$C1758&lt;&gt;""),MAX($A$1556:A1757)+1,"")</f>
        <v/>
      </c>
      <c r="B1758" s="361" t="s">
        <v>3166</v>
      </c>
      <c r="C1758" s="360"/>
      <c r="D1758" s="327">
        <f>IF($B1758="","",COUNTIF($B$6:$B1758,$B1758))</f>
        <v>24</v>
      </c>
      <c r="E1758" s="361" t="s">
        <v>165</v>
      </c>
      <c r="F1758" s="362" t="s">
        <v>166</v>
      </c>
      <c r="G1758" s="327" t="s">
        <v>155</v>
      </c>
      <c r="H1758" s="327"/>
      <c r="I1758" s="327">
        <v>2</v>
      </c>
      <c r="J1758" s="361"/>
      <c r="K1758" s="327"/>
      <c r="L1758" s="389">
        <v>1700</v>
      </c>
      <c r="M1758" s="371"/>
      <c r="N1758" s="355" t="str">
        <f t="shared" si="221"/>
        <v>PK</v>
      </c>
      <c r="O1758" s="345"/>
      <c r="P1758" s="392"/>
      <c r="Q1758" s="327"/>
      <c r="R1758" s="351"/>
      <c r="S1758" s="351"/>
      <c r="T1758" s="351"/>
      <c r="U1758" s="329" t="str">
        <f>IF($N1758=$N$4,IFERROR(INDEX(DanhMuc!$E$154:$E$165,MATCH(MID($B1758,4,2),DanhMuc!$B$154:$B$165,0)),""),"")</f>
        <v/>
      </c>
      <c r="V1758" s="361"/>
      <c r="W1758" s="345"/>
      <c r="X1758" s="329" t="str">
        <f t="shared" si="216"/>
        <v>2R</v>
      </c>
      <c r="Y1758" s="1128" t="s">
        <v>3380</v>
      </c>
      <c r="Z1758" s="1128" t="s">
        <v>3381</v>
      </c>
      <c r="AA1758" s="1128" t="s">
        <v>3384</v>
      </c>
      <c r="AB1758" s="20"/>
      <c r="AC1758" s="73"/>
    </row>
    <row r="1759" spans="1:29">
      <c r="A1759" s="327" t="str">
        <f>IF(AND($B1759&lt;&gt;"",$C1759&lt;&gt;""),MAX($A$1556:A1758)+1,"")</f>
        <v/>
      </c>
      <c r="B1759" s="361" t="s">
        <v>3166</v>
      </c>
      <c r="C1759" s="360"/>
      <c r="D1759" s="327">
        <f>IF($B1759="","",COUNTIF($B$6:$B1759,$B1759))</f>
        <v>25</v>
      </c>
      <c r="E1759" s="361" t="s">
        <v>167</v>
      </c>
      <c r="F1759" s="362" t="s">
        <v>168</v>
      </c>
      <c r="G1759" s="327" t="s">
        <v>155</v>
      </c>
      <c r="H1759" s="327"/>
      <c r="I1759" s="327">
        <v>2</v>
      </c>
      <c r="J1759" s="361"/>
      <c r="K1759" s="327"/>
      <c r="L1759" s="389">
        <v>1700</v>
      </c>
      <c r="M1759" s="371"/>
      <c r="N1759" s="355" t="str">
        <f t="shared" si="221"/>
        <v>PK</v>
      </c>
      <c r="O1759" s="345"/>
      <c r="P1759" s="392"/>
      <c r="Q1759" s="327"/>
      <c r="R1759" s="351"/>
      <c r="S1759" s="351"/>
      <c r="T1759" s="351"/>
      <c r="U1759" s="329" t="str">
        <f>IF($N1759=$N$4,IFERROR(INDEX(DanhMuc!$E$154:$E$165,MATCH(MID($B1759,4,2),DanhMuc!$B$154:$B$165,0)),""),"")</f>
        <v/>
      </c>
      <c r="V1759" s="361"/>
      <c r="W1759" s="345"/>
      <c r="X1759" s="329" t="str">
        <f t="shared" si="216"/>
        <v>2R</v>
      </c>
      <c r="Y1759" s="1128" t="s">
        <v>3380</v>
      </c>
      <c r="Z1759" s="1128" t="s">
        <v>3381</v>
      </c>
      <c r="AA1759" s="1128" t="s">
        <v>3384</v>
      </c>
      <c r="AB1759" s="20"/>
      <c r="AC1759" s="73"/>
    </row>
    <row r="1760" spans="1:29">
      <c r="A1760" s="327" t="str">
        <f>IF(AND($B1760&lt;&gt;"",$C1760&lt;&gt;""),MAX($A$1556:A1759)+1,"")</f>
        <v/>
      </c>
      <c r="B1760" s="361" t="s">
        <v>3166</v>
      </c>
      <c r="C1760" s="360"/>
      <c r="D1760" s="327">
        <f>IF($B1760="","",COUNTIF($B$6:$B1760,$B1760))</f>
        <v>26</v>
      </c>
      <c r="E1760" s="361" t="s">
        <v>169</v>
      </c>
      <c r="F1760" s="362" t="s">
        <v>170</v>
      </c>
      <c r="G1760" s="327" t="s">
        <v>155</v>
      </c>
      <c r="H1760" s="327"/>
      <c r="I1760" s="327">
        <v>4</v>
      </c>
      <c r="J1760" s="361"/>
      <c r="K1760" s="327"/>
      <c r="L1760" s="389">
        <v>1700</v>
      </c>
      <c r="M1760" s="371"/>
      <c r="N1760" s="355" t="str">
        <f t="shared" si="221"/>
        <v>PK</v>
      </c>
      <c r="O1760" s="345"/>
      <c r="P1760" s="392"/>
      <c r="Q1760" s="327"/>
      <c r="R1760" s="351"/>
      <c r="S1760" s="351"/>
      <c r="T1760" s="351"/>
      <c r="U1760" s="329" t="str">
        <f>IF($N1760=$N$4,IFERROR(INDEX(DanhMuc!$E$154:$E$165,MATCH(MID($B1760,4,2),DanhMuc!$B$154:$B$165,0)),""),"")</f>
        <v/>
      </c>
      <c r="V1760" s="361"/>
      <c r="W1760" s="345"/>
      <c r="X1760" s="329" t="str">
        <f t="shared" si="216"/>
        <v>2R</v>
      </c>
      <c r="Y1760" s="1128" t="s">
        <v>3380</v>
      </c>
      <c r="Z1760" s="1128" t="s">
        <v>3381</v>
      </c>
      <c r="AA1760" s="1128" t="s">
        <v>3384</v>
      </c>
      <c r="AB1760" s="20"/>
      <c r="AC1760" s="73"/>
    </row>
    <row r="1761" spans="1:29">
      <c r="A1761" s="327" t="str">
        <f>IF(AND($B1761&lt;&gt;"",$C1761&lt;&gt;""),MAX($A$1556:A1760)+1,"")</f>
        <v/>
      </c>
      <c r="B1761" s="361" t="s">
        <v>3166</v>
      </c>
      <c r="C1761" s="360"/>
      <c r="D1761" s="327">
        <f>IF($B1761="","",COUNTIF($B$6:$B1761,$B1761))</f>
        <v>27</v>
      </c>
      <c r="E1761" s="361" t="s">
        <v>171</v>
      </c>
      <c r="F1761" s="362" t="s">
        <v>291</v>
      </c>
      <c r="G1761" s="327" t="s">
        <v>155</v>
      </c>
      <c r="H1761" s="327"/>
      <c r="I1761" s="327">
        <v>4</v>
      </c>
      <c r="J1761" s="361"/>
      <c r="K1761" s="327"/>
      <c r="L1761" s="389">
        <v>1700</v>
      </c>
      <c r="M1761" s="371"/>
      <c r="N1761" s="355" t="str">
        <f t="shared" si="221"/>
        <v>PK</v>
      </c>
      <c r="O1761" s="345"/>
      <c r="P1761" s="392"/>
      <c r="Q1761" s="327"/>
      <c r="R1761" s="351"/>
      <c r="S1761" s="351"/>
      <c r="T1761" s="351"/>
      <c r="U1761" s="329" t="str">
        <f>IF($N1761=$N$4,IFERROR(INDEX(DanhMuc!$E$154:$E$165,MATCH(MID($B1761,4,2),DanhMuc!$B$154:$B$165,0)),""),"")</f>
        <v/>
      </c>
      <c r="V1761" s="361"/>
      <c r="W1761" s="345"/>
      <c r="X1761" s="329" t="str">
        <f t="shared" si="216"/>
        <v>2R</v>
      </c>
      <c r="Y1761" s="1128" t="s">
        <v>3380</v>
      </c>
      <c r="Z1761" s="1128" t="s">
        <v>3381</v>
      </c>
      <c r="AA1761" s="1128" t="s">
        <v>3384</v>
      </c>
      <c r="AB1761" s="20"/>
      <c r="AC1761" s="73"/>
    </row>
    <row r="1762" spans="1:29" ht="37.5">
      <c r="A1762" s="327">
        <f>IF(AND($B1762&lt;&gt;"",$C1762&lt;&gt;""),MAX($A$1556:A1680)+1,"")</f>
        <v>5</v>
      </c>
      <c r="B1762" s="359" t="s">
        <v>1982</v>
      </c>
      <c r="C1762" s="360" t="s">
        <v>1534</v>
      </c>
      <c r="D1762" s="327">
        <f>IF($B1762="","",COUNTIF($B$6:$B1762,$B1762))</f>
        <v>1</v>
      </c>
      <c r="E1762" s="361" t="s">
        <v>739</v>
      </c>
      <c r="F1762" s="362" t="s">
        <v>2562</v>
      </c>
      <c r="G1762" s="327" t="s">
        <v>297</v>
      </c>
      <c r="H1762" s="327"/>
      <c r="I1762" s="327">
        <v>1</v>
      </c>
      <c r="J1762" s="345"/>
      <c r="K1762" s="327"/>
      <c r="L1762" s="389">
        <v>199000</v>
      </c>
      <c r="M1762" s="371"/>
      <c r="N1762" s="355" t="str">
        <f t="shared" ref="N1762:N1766" si="222">+$N$1555</f>
        <v>PK</v>
      </c>
      <c r="O1762" s="404" t="s">
        <v>2560</v>
      </c>
      <c r="P1762" s="392"/>
      <c r="Q1762" s="327"/>
      <c r="R1762" s="351"/>
      <c r="S1762" s="351"/>
      <c r="T1762" s="351"/>
      <c r="U1762" s="329" t="str">
        <f>IF($N1762=$N$4,IFERROR(INDEX(DanhMuc!$E$154:$E$165,MATCH(MID($B1762,4,2),DanhMuc!$B$154:$B$165,0)),""),"")</f>
        <v/>
      </c>
      <c r="V1762" s="361"/>
      <c r="W1762" s="345"/>
      <c r="X1762" s="329" t="str">
        <f t="shared" si="216"/>
        <v>3H</v>
      </c>
      <c r="Y1762" s="1128" t="s">
        <v>3380</v>
      </c>
      <c r="Z1762" s="1128" t="s">
        <v>3381</v>
      </c>
      <c r="AA1762" s="1128" t="s">
        <v>3384</v>
      </c>
      <c r="AB1762" s="20"/>
      <c r="AC1762" s="73"/>
    </row>
    <row r="1763" spans="1:29" ht="37.5">
      <c r="A1763" s="327" t="str">
        <f>IF(AND($B1763&lt;&gt;"",$C1763&lt;&gt;""),MAX($A$1556:A1762)+1,"")</f>
        <v/>
      </c>
      <c r="B1763" s="361" t="s">
        <v>1982</v>
      </c>
      <c r="C1763" s="360"/>
      <c r="D1763" s="327">
        <f>IF($B1763="","",COUNTIF($B$6:$B1763,$B1763))</f>
        <v>2</v>
      </c>
      <c r="E1763" s="361" t="s">
        <v>739</v>
      </c>
      <c r="F1763" s="362" t="s">
        <v>2563</v>
      </c>
      <c r="G1763" s="327" t="s">
        <v>297</v>
      </c>
      <c r="H1763" s="327"/>
      <c r="I1763" s="327">
        <v>1</v>
      </c>
      <c r="J1763" s="345"/>
      <c r="K1763" s="327"/>
      <c r="L1763" s="389">
        <v>199000</v>
      </c>
      <c r="M1763" s="371"/>
      <c r="N1763" s="355" t="str">
        <f t="shared" si="222"/>
        <v>PK</v>
      </c>
      <c r="O1763" s="404" t="s">
        <v>2561</v>
      </c>
      <c r="P1763" s="392"/>
      <c r="Q1763" s="327"/>
      <c r="R1763" s="351"/>
      <c r="S1763" s="351"/>
      <c r="T1763" s="351"/>
      <c r="U1763" s="329" t="str">
        <f>IF($N1763=$N$4,IFERROR(INDEX(DanhMuc!$E$154:$E$165,MATCH(MID($B1763,4,2),DanhMuc!$B$154:$B$165,0)),""),"")</f>
        <v/>
      </c>
      <c r="V1763" s="361"/>
      <c r="W1763" s="345"/>
      <c r="X1763" s="329" t="str">
        <f t="shared" si="216"/>
        <v>3H</v>
      </c>
      <c r="Y1763" s="1128" t="s">
        <v>3380</v>
      </c>
      <c r="Z1763" s="1128" t="s">
        <v>3381</v>
      </c>
      <c r="AA1763" s="1128" t="s">
        <v>3384</v>
      </c>
      <c r="AB1763" s="20"/>
      <c r="AC1763" s="73"/>
    </row>
    <row r="1764" spans="1:29">
      <c r="A1764" s="327" t="str">
        <f>IF(AND($B1764&lt;&gt;"",$C1764&lt;&gt;""),MAX($A$1556:A1763)+1,"")</f>
        <v/>
      </c>
      <c r="B1764" s="361" t="s">
        <v>1982</v>
      </c>
      <c r="C1764" s="360"/>
      <c r="D1764" s="327">
        <f>IF($B1764="","",COUNTIF($B$6:$B1764,$B1764))</f>
        <v>3</v>
      </c>
      <c r="E1764" s="361" t="s">
        <v>159</v>
      </c>
      <c r="F1764" s="362" t="s">
        <v>160</v>
      </c>
      <c r="G1764" s="327" t="s">
        <v>155</v>
      </c>
      <c r="H1764" s="327"/>
      <c r="I1764" s="327">
        <v>1</v>
      </c>
      <c r="J1764" s="345"/>
      <c r="K1764" s="327"/>
      <c r="L1764" s="389">
        <v>5000</v>
      </c>
      <c r="M1764" s="371"/>
      <c r="N1764" s="355" t="str">
        <f t="shared" si="222"/>
        <v>PK</v>
      </c>
      <c r="O1764" s="404" t="s">
        <v>1783</v>
      </c>
      <c r="P1764" s="392"/>
      <c r="Q1764" s="327"/>
      <c r="R1764" s="351"/>
      <c r="S1764" s="351"/>
      <c r="T1764" s="351"/>
      <c r="U1764" s="329" t="str">
        <f>IF($N1764=$N$4,IFERROR(INDEX(DanhMuc!$E$154:$E$165,MATCH(MID($B1764,4,2),DanhMuc!$B$154:$B$165,0)),""),"")</f>
        <v/>
      </c>
      <c r="V1764" s="361"/>
      <c r="W1764" s="345"/>
      <c r="X1764" s="329" t="str">
        <f t="shared" si="216"/>
        <v>3H</v>
      </c>
      <c r="Y1764" s="1128" t="s">
        <v>3380</v>
      </c>
      <c r="Z1764" s="1128" t="s">
        <v>3381</v>
      </c>
      <c r="AA1764" s="1128" t="s">
        <v>3384</v>
      </c>
      <c r="AB1764" s="20"/>
      <c r="AC1764" s="73"/>
    </row>
    <row r="1765" spans="1:29">
      <c r="A1765" s="327" t="str">
        <f>IF(AND($B1765&lt;&gt;"",$C1765&lt;&gt;""),MAX($A$1556:A1764)+1,"")</f>
        <v/>
      </c>
      <c r="B1765" s="361" t="s">
        <v>1982</v>
      </c>
      <c r="C1765" s="360"/>
      <c r="D1765" s="327">
        <f>IF($B1765="","",COUNTIF($B$6:$B1765,$B1765))</f>
        <v>4</v>
      </c>
      <c r="E1765" s="361" t="s">
        <v>3135</v>
      </c>
      <c r="F1765" s="362" t="s">
        <v>3136</v>
      </c>
      <c r="G1765" s="327" t="s">
        <v>155</v>
      </c>
      <c r="H1765" s="327"/>
      <c r="I1765" s="327">
        <v>1</v>
      </c>
      <c r="J1765" s="345"/>
      <c r="K1765" s="327"/>
      <c r="L1765" s="389">
        <v>140000</v>
      </c>
      <c r="M1765" s="371"/>
      <c r="N1765" s="355" t="str">
        <f t="shared" si="222"/>
        <v>PK</v>
      </c>
      <c r="O1765" s="404" t="s">
        <v>3137</v>
      </c>
      <c r="P1765" s="392"/>
      <c r="Q1765" s="327"/>
      <c r="R1765" s="351"/>
      <c r="S1765" s="351"/>
      <c r="T1765" s="351"/>
      <c r="U1765" s="329" t="str">
        <f>IF($N1765=$N$4,IFERROR(INDEX(DanhMuc!$E$154:$E$165,MATCH(MID($B1765,4,2),DanhMuc!$B$154:$B$165,0)),""),"")</f>
        <v/>
      </c>
      <c r="V1765" s="361"/>
      <c r="W1765" s="345"/>
      <c r="X1765" s="329" t="str">
        <f t="shared" si="216"/>
        <v>3H</v>
      </c>
      <c r="Y1765" s="1128" t="s">
        <v>3380</v>
      </c>
      <c r="Z1765" s="1128" t="s">
        <v>3381</v>
      </c>
      <c r="AA1765" s="1128" t="s">
        <v>3384</v>
      </c>
      <c r="AB1765" s="20"/>
      <c r="AC1765" s="73"/>
    </row>
    <row r="1766" spans="1:29">
      <c r="A1766" s="327" t="str">
        <f>IF(AND($B1766&lt;&gt;"",$C1766&lt;&gt;""),MAX($A$1556:A1765)+1,"")</f>
        <v/>
      </c>
      <c r="B1766" s="361" t="s">
        <v>1982</v>
      </c>
      <c r="C1766" s="360"/>
      <c r="D1766" s="327">
        <f>IF($B1766="","",COUNTIF($B$6:$B1766,$B1766))</f>
        <v>5</v>
      </c>
      <c r="E1766" s="361" t="s">
        <v>159</v>
      </c>
      <c r="F1766" s="362" t="s">
        <v>160</v>
      </c>
      <c r="G1766" s="327" t="s">
        <v>155</v>
      </c>
      <c r="H1766" s="327"/>
      <c r="I1766" s="327">
        <v>1</v>
      </c>
      <c r="J1766" s="345"/>
      <c r="K1766" s="327"/>
      <c r="L1766" s="389">
        <v>5000</v>
      </c>
      <c r="M1766" s="371"/>
      <c r="N1766" s="355" t="str">
        <f t="shared" si="222"/>
        <v>PK</v>
      </c>
      <c r="O1766" s="404" t="s">
        <v>3137</v>
      </c>
      <c r="P1766" s="392"/>
      <c r="Q1766" s="327"/>
      <c r="R1766" s="351"/>
      <c r="S1766" s="351"/>
      <c r="T1766" s="351"/>
      <c r="U1766" s="329" t="str">
        <f>IF($N1766=$N$4,IFERROR(INDEX(DanhMuc!$E$154:$E$165,MATCH(MID($B1766,4,2),DanhMuc!$B$154:$B$165,0)),""),"")</f>
        <v/>
      </c>
      <c r="V1766" s="361"/>
      <c r="W1766" s="345"/>
      <c r="X1766" s="329" t="str">
        <f t="shared" si="216"/>
        <v>3H</v>
      </c>
      <c r="Y1766" s="1128" t="s">
        <v>3380</v>
      </c>
      <c r="Z1766" s="1128" t="s">
        <v>3381</v>
      </c>
      <c r="AA1766" s="1128" t="s">
        <v>3384</v>
      </c>
      <c r="AB1766" s="20"/>
      <c r="AC1766" s="73"/>
    </row>
    <row r="1767" spans="1:29">
      <c r="A1767" s="327" t="str">
        <f>IF(AND($B1767&lt;&gt;"",$C1767&lt;&gt;""),MAX($A$1556:A1763)+1,"")</f>
        <v/>
      </c>
      <c r="B1767" s="361" t="s">
        <v>1982</v>
      </c>
      <c r="C1767" s="360"/>
      <c r="D1767" s="327">
        <f>IF($B1767="","",COUNTIF($B$6:$B1767,$B1767))</f>
        <v>6</v>
      </c>
      <c r="E1767" s="361" t="s">
        <v>157</v>
      </c>
      <c r="F1767" s="362" t="s">
        <v>158</v>
      </c>
      <c r="G1767" s="327" t="s">
        <v>155</v>
      </c>
      <c r="H1767" s="327"/>
      <c r="I1767" s="327">
        <v>2</v>
      </c>
      <c r="J1767" s="359"/>
      <c r="K1767" s="327"/>
      <c r="L1767" s="389">
        <v>45000</v>
      </c>
      <c r="M1767" s="371"/>
      <c r="N1767" s="355" t="s">
        <v>153</v>
      </c>
      <c r="O1767" s="345"/>
      <c r="P1767" s="392"/>
      <c r="Q1767" s="327"/>
      <c r="R1767" s="351"/>
      <c r="S1767" s="351"/>
      <c r="T1767" s="351"/>
      <c r="U1767" s="329" t="str">
        <f>IF($N1767=$N$4,IFERROR(INDEX(DanhMuc!$E$154:$E$165,MATCH(MID($B1767,4,2),DanhMuc!$B$154:$B$165,0)),""),"")</f>
        <v/>
      </c>
      <c r="V1767" s="361"/>
      <c r="W1767" s="345"/>
      <c r="X1767" s="329" t="str">
        <f t="shared" si="216"/>
        <v>3H</v>
      </c>
      <c r="Y1767" s="1128" t="s">
        <v>3380</v>
      </c>
      <c r="Z1767" s="1128" t="s">
        <v>3381</v>
      </c>
      <c r="AA1767" s="1128" t="s">
        <v>3384</v>
      </c>
      <c r="AB1767" s="20"/>
      <c r="AC1767" s="73"/>
    </row>
    <row r="1768" spans="1:29">
      <c r="A1768" s="327" t="str">
        <f>IF(AND($B1768&lt;&gt;"",$C1768&lt;&gt;""),MAX($A$1556:A1767)+1,"")</f>
        <v/>
      </c>
      <c r="B1768" s="361" t="s">
        <v>1982</v>
      </c>
      <c r="C1768" s="360"/>
      <c r="D1768" s="327">
        <f>IF($B1768="","",COUNTIF($B$6:$B1768,$B1768))</f>
        <v>7</v>
      </c>
      <c r="E1768" s="361" t="s">
        <v>159</v>
      </c>
      <c r="F1768" s="362" t="s">
        <v>160</v>
      </c>
      <c r="G1768" s="327" t="s">
        <v>155</v>
      </c>
      <c r="H1768" s="327"/>
      <c r="I1768" s="327">
        <v>2</v>
      </c>
      <c r="J1768" s="359"/>
      <c r="K1768" s="327"/>
      <c r="L1768" s="389">
        <v>5000</v>
      </c>
      <c r="M1768" s="371"/>
      <c r="N1768" s="355" t="s">
        <v>153</v>
      </c>
      <c r="O1768" s="345"/>
      <c r="P1768" s="392"/>
      <c r="Q1768" s="327"/>
      <c r="R1768" s="351"/>
      <c r="S1768" s="351"/>
      <c r="T1768" s="351"/>
      <c r="U1768" s="329" t="str">
        <f>IF($N1768=$N$4,IFERROR(INDEX(DanhMuc!$E$154:$E$165,MATCH(MID($B1768,4,2),DanhMuc!$B$154:$B$165,0)),""),"")</f>
        <v/>
      </c>
      <c r="V1768" s="361"/>
      <c r="W1768" s="345"/>
      <c r="X1768" s="329" t="str">
        <f t="shared" si="216"/>
        <v>3H</v>
      </c>
      <c r="Y1768" s="1128" t="s">
        <v>3380</v>
      </c>
      <c r="Z1768" s="1128" t="s">
        <v>3381</v>
      </c>
      <c r="AA1768" s="1128" t="s">
        <v>3384</v>
      </c>
      <c r="AB1768" s="20"/>
      <c r="AC1768" s="73"/>
    </row>
    <row r="1769" spans="1:29" ht="25">
      <c r="A1769" s="327" t="str">
        <f>IF(AND($B1769&lt;&gt;"",$C1769&lt;&gt;""),MAX($A$1556:A1768)+1,"")</f>
        <v/>
      </c>
      <c r="B1769" s="361" t="s">
        <v>1982</v>
      </c>
      <c r="C1769" s="360"/>
      <c r="D1769" s="327">
        <f>IF($B1769="","",COUNTIF($B$6:$B1769,$B1769))</f>
        <v>8</v>
      </c>
      <c r="E1769" s="361" t="s">
        <v>3141</v>
      </c>
      <c r="F1769" s="362" t="s">
        <v>3144</v>
      </c>
      <c r="G1769" s="327" t="s">
        <v>297</v>
      </c>
      <c r="H1769" s="327"/>
      <c r="I1769" s="327">
        <v>1</v>
      </c>
      <c r="J1769" s="345"/>
      <c r="K1769" s="327"/>
      <c r="L1769" s="389">
        <v>650000</v>
      </c>
      <c r="M1769" s="371"/>
      <c r="N1769" s="355" t="str">
        <f t="shared" ref="N1769:N1774" si="223">+$N$1555</f>
        <v>PK</v>
      </c>
      <c r="O1769" s="404" t="s">
        <v>3143</v>
      </c>
      <c r="P1769" s="392"/>
      <c r="Q1769" s="327"/>
      <c r="R1769" s="351"/>
      <c r="S1769" s="351"/>
      <c r="T1769" s="351"/>
      <c r="U1769" s="329" t="str">
        <f>IF($N1769=$N$4,IFERROR(INDEX(DanhMuc!$E$154:$E$165,MATCH(MID($B1769,4,2),DanhMuc!$B$154:$B$165,0)),""),"")</f>
        <v/>
      </c>
      <c r="V1769" s="361"/>
      <c r="W1769" s="345"/>
      <c r="X1769" s="329" t="str">
        <f t="shared" si="216"/>
        <v>3H</v>
      </c>
      <c r="Y1769" s="1128" t="s">
        <v>3380</v>
      </c>
      <c r="Z1769" s="1128" t="s">
        <v>3381</v>
      </c>
      <c r="AA1769" s="1128" t="s">
        <v>3384</v>
      </c>
      <c r="AB1769" s="20"/>
      <c r="AC1769" s="73"/>
    </row>
    <row r="1770" spans="1:29" ht="25">
      <c r="A1770" s="327" t="str">
        <f>IF(AND($B1770&lt;&gt;"",$C1770&lt;&gt;""),MAX($A$1556:A1769)+1,"")</f>
        <v/>
      </c>
      <c r="B1770" s="361" t="s">
        <v>1982</v>
      </c>
      <c r="C1770" s="360"/>
      <c r="D1770" s="327">
        <f>IF($B1770="","",COUNTIF($B$6:$B1770,$B1770))</f>
        <v>9</v>
      </c>
      <c r="E1770" s="361" t="s">
        <v>3141</v>
      </c>
      <c r="F1770" s="362" t="s">
        <v>3145</v>
      </c>
      <c r="G1770" s="327" t="s">
        <v>297</v>
      </c>
      <c r="H1770" s="327"/>
      <c r="I1770" s="327">
        <v>1</v>
      </c>
      <c r="J1770" s="345"/>
      <c r="K1770" s="327"/>
      <c r="L1770" s="389">
        <v>650000</v>
      </c>
      <c r="M1770" s="371"/>
      <c r="N1770" s="355" t="str">
        <f t="shared" si="223"/>
        <v>PK</v>
      </c>
      <c r="O1770" s="404" t="s">
        <v>3142</v>
      </c>
      <c r="P1770" s="392"/>
      <c r="Q1770" s="327"/>
      <c r="R1770" s="351"/>
      <c r="S1770" s="351"/>
      <c r="T1770" s="351"/>
      <c r="U1770" s="329" t="str">
        <f>IF($N1770=$N$4,IFERROR(INDEX(DanhMuc!$E$154:$E$165,MATCH(MID($B1770,4,2),DanhMuc!$B$154:$B$165,0)),""),"")</f>
        <v/>
      </c>
      <c r="V1770" s="361"/>
      <c r="W1770" s="345"/>
      <c r="X1770" s="329" t="str">
        <f t="shared" si="216"/>
        <v>3H</v>
      </c>
      <c r="Y1770" s="1128" t="s">
        <v>3380</v>
      </c>
      <c r="Z1770" s="1128" t="s">
        <v>3381</v>
      </c>
      <c r="AA1770" s="1128" t="s">
        <v>3384</v>
      </c>
      <c r="AB1770" s="20"/>
      <c r="AC1770" s="73"/>
    </row>
    <row r="1771" spans="1:29">
      <c r="A1771" s="327" t="str">
        <f>IF(AND($B1771&lt;&gt;"",$C1771&lt;&gt;""),MAX($A$1556:A1770)+1,"")</f>
        <v/>
      </c>
      <c r="B1771" s="361" t="s">
        <v>1982</v>
      </c>
      <c r="C1771" s="360"/>
      <c r="D1771" s="327">
        <f>IF($B1771="","",COUNTIF($B$6:$B1771,$B1771))</f>
        <v>10</v>
      </c>
      <c r="E1771" s="361" t="s">
        <v>3146</v>
      </c>
      <c r="F1771" s="362" t="s">
        <v>3147</v>
      </c>
      <c r="G1771" s="327" t="s">
        <v>155</v>
      </c>
      <c r="H1771" s="327"/>
      <c r="I1771" s="327">
        <v>1</v>
      </c>
      <c r="J1771" s="345"/>
      <c r="K1771" s="327"/>
      <c r="L1771" s="389">
        <v>48000</v>
      </c>
      <c r="M1771" s="371"/>
      <c r="N1771" s="355" t="str">
        <f t="shared" si="223"/>
        <v>PK</v>
      </c>
      <c r="O1771" s="404" t="s">
        <v>3148</v>
      </c>
      <c r="P1771" s="392"/>
      <c r="Q1771" s="327"/>
      <c r="R1771" s="351"/>
      <c r="S1771" s="351"/>
      <c r="T1771" s="351"/>
      <c r="U1771" s="329" t="str">
        <f>IF($N1771=$N$4,IFERROR(INDEX(DanhMuc!$E$154:$E$165,MATCH(MID($B1771,4,2),DanhMuc!$B$154:$B$165,0)),""),"")</f>
        <v/>
      </c>
      <c r="V1771" s="361"/>
      <c r="W1771" s="345"/>
      <c r="X1771" s="329" t="str">
        <f t="shared" si="216"/>
        <v>3H</v>
      </c>
      <c r="Y1771" s="1128" t="s">
        <v>3380</v>
      </c>
      <c r="Z1771" s="1128" t="s">
        <v>3381</v>
      </c>
      <c r="AA1771" s="1128" t="s">
        <v>3384</v>
      </c>
      <c r="AB1771" s="20"/>
      <c r="AC1771" s="73"/>
    </row>
    <row r="1772" spans="1:29">
      <c r="A1772" s="327" t="str">
        <f>IF(AND($B1772&lt;&gt;"",$C1772&lt;&gt;""),MAX($A$1556:A1771)+1,"")</f>
        <v/>
      </c>
      <c r="B1772" s="361" t="s">
        <v>1982</v>
      </c>
      <c r="C1772" s="360"/>
      <c r="D1772" s="327">
        <f>IF($B1772="","",COUNTIF($B$6:$B1772,$B1772))</f>
        <v>11</v>
      </c>
      <c r="E1772" s="361" t="s">
        <v>3149</v>
      </c>
      <c r="F1772" s="362" t="s">
        <v>1803</v>
      </c>
      <c r="G1772" s="327" t="s">
        <v>155</v>
      </c>
      <c r="H1772" s="327"/>
      <c r="I1772" s="327">
        <v>1</v>
      </c>
      <c r="J1772" s="345"/>
      <c r="K1772" s="327"/>
      <c r="L1772" s="389">
        <v>290000</v>
      </c>
      <c r="M1772" s="371"/>
      <c r="N1772" s="355" t="str">
        <f t="shared" si="223"/>
        <v>PK</v>
      </c>
      <c r="O1772" s="404" t="s">
        <v>3148</v>
      </c>
      <c r="P1772" s="392"/>
      <c r="Q1772" s="327"/>
      <c r="R1772" s="351"/>
      <c r="S1772" s="351"/>
      <c r="T1772" s="351"/>
      <c r="U1772" s="329" t="str">
        <f>IF($N1772=$N$4,IFERROR(INDEX(DanhMuc!$E$154:$E$165,MATCH(MID($B1772,4,2),DanhMuc!$B$154:$B$165,0)),""),"")</f>
        <v/>
      </c>
      <c r="V1772" s="361"/>
      <c r="W1772" s="345"/>
      <c r="X1772" s="329" t="str">
        <f t="shared" si="216"/>
        <v>3H</v>
      </c>
      <c r="Y1772" s="1128" t="s">
        <v>3380</v>
      </c>
      <c r="Z1772" s="1128" t="s">
        <v>3381</v>
      </c>
      <c r="AA1772" s="1128" t="s">
        <v>3384</v>
      </c>
      <c r="AB1772" s="20"/>
      <c r="AC1772" s="73"/>
    </row>
    <row r="1773" spans="1:29">
      <c r="A1773" s="327" t="str">
        <f>IF(AND($B1773&lt;&gt;"",$C1773&lt;&gt;""),MAX($A$1556:A1772)+1,"")</f>
        <v/>
      </c>
      <c r="B1773" s="361" t="s">
        <v>1982</v>
      </c>
      <c r="C1773" s="360"/>
      <c r="D1773" s="327">
        <f>IF($B1773="","",COUNTIF($B$6:$B1773,$B1773))</f>
        <v>12</v>
      </c>
      <c r="E1773" s="361" t="s">
        <v>3150</v>
      </c>
      <c r="F1773" s="362" t="s">
        <v>3151</v>
      </c>
      <c r="G1773" s="327" t="s">
        <v>155</v>
      </c>
      <c r="H1773" s="327"/>
      <c r="I1773" s="327">
        <v>1</v>
      </c>
      <c r="J1773" s="345"/>
      <c r="K1773" s="327"/>
      <c r="L1773" s="389">
        <v>90000</v>
      </c>
      <c r="M1773" s="371"/>
      <c r="N1773" s="355" t="str">
        <f t="shared" si="223"/>
        <v>PK</v>
      </c>
      <c r="O1773" s="404" t="s">
        <v>3148</v>
      </c>
      <c r="P1773" s="392"/>
      <c r="Q1773" s="327"/>
      <c r="R1773" s="351"/>
      <c r="S1773" s="351"/>
      <c r="T1773" s="351"/>
      <c r="U1773" s="329" t="str">
        <f>IF($N1773=$N$4,IFERROR(INDEX(DanhMuc!$E$154:$E$165,MATCH(MID($B1773,4,2),DanhMuc!$B$154:$B$165,0)),""),"")</f>
        <v/>
      </c>
      <c r="V1773" s="361"/>
      <c r="W1773" s="345"/>
      <c r="X1773" s="329" t="str">
        <f t="shared" si="216"/>
        <v>3H</v>
      </c>
      <c r="Y1773" s="1128" t="s">
        <v>3380</v>
      </c>
      <c r="Z1773" s="1128" t="s">
        <v>3381</v>
      </c>
      <c r="AA1773" s="1128" t="s">
        <v>3384</v>
      </c>
      <c r="AB1773" s="20"/>
      <c r="AC1773" s="73"/>
    </row>
    <row r="1774" spans="1:29">
      <c r="A1774" s="327" t="str">
        <f>IF(AND($B1774&lt;&gt;"",$C1774&lt;&gt;""),MAX($A$1556:A1773)+1,"")</f>
        <v/>
      </c>
      <c r="B1774" s="361" t="s">
        <v>1982</v>
      </c>
      <c r="C1774" s="360"/>
      <c r="D1774" s="327">
        <f>IF($B1774="","",COUNTIF($B$6:$B1774,$B1774))</f>
        <v>13</v>
      </c>
      <c r="E1774" s="361" t="s">
        <v>3152</v>
      </c>
      <c r="F1774" s="362" t="s">
        <v>3153</v>
      </c>
      <c r="G1774" s="327" t="s">
        <v>155</v>
      </c>
      <c r="H1774" s="327"/>
      <c r="I1774" s="327">
        <v>1</v>
      </c>
      <c r="J1774" s="345"/>
      <c r="K1774" s="327"/>
      <c r="L1774" s="389">
        <v>230000</v>
      </c>
      <c r="M1774" s="371"/>
      <c r="N1774" s="355" t="str">
        <f t="shared" si="223"/>
        <v>PK</v>
      </c>
      <c r="O1774" s="404" t="s">
        <v>3148</v>
      </c>
      <c r="P1774" s="392"/>
      <c r="Q1774" s="327"/>
      <c r="R1774" s="351"/>
      <c r="S1774" s="351"/>
      <c r="T1774" s="351"/>
      <c r="U1774" s="329" t="str">
        <f>IF($N1774=$N$4,IFERROR(INDEX(DanhMuc!$E$154:$E$165,MATCH(MID($B1774,4,2),DanhMuc!$B$154:$B$165,0)),""),"")</f>
        <v/>
      </c>
      <c r="V1774" s="361"/>
      <c r="W1774" s="345"/>
      <c r="X1774" s="329" t="str">
        <f t="shared" si="216"/>
        <v>3H</v>
      </c>
      <c r="Y1774" s="1128" t="s">
        <v>3380</v>
      </c>
      <c r="Z1774" s="1128" t="s">
        <v>3381</v>
      </c>
      <c r="AA1774" s="1128" t="s">
        <v>3384</v>
      </c>
      <c r="AB1774" s="20"/>
      <c r="AC1774" s="73"/>
    </row>
    <row r="1775" spans="1:29" ht="25">
      <c r="A1775" s="327" t="str">
        <f>IF(AND($B1775&lt;&gt;"",$C1775&lt;&gt;""),MAX($A$1556:A1768)+1,"")</f>
        <v/>
      </c>
      <c r="B1775" s="361" t="s">
        <v>1982</v>
      </c>
      <c r="C1775" s="360"/>
      <c r="D1775" s="327">
        <f>IF($B1775="","",COUNTIF($B$6:$B1775,$B1775))</f>
        <v>14</v>
      </c>
      <c r="E1775" s="361" t="s">
        <v>209</v>
      </c>
      <c r="F1775" s="362" t="s">
        <v>210</v>
      </c>
      <c r="G1775" s="327" t="s">
        <v>155</v>
      </c>
      <c r="H1775" s="327"/>
      <c r="I1775" s="327">
        <v>1</v>
      </c>
      <c r="J1775" s="359"/>
      <c r="K1775" s="327"/>
      <c r="L1775" s="389">
        <v>70000</v>
      </c>
      <c r="M1775" s="371"/>
      <c r="N1775" s="355" t="s">
        <v>153</v>
      </c>
      <c r="O1775" s="404" t="s">
        <v>1782</v>
      </c>
      <c r="P1775" s="392"/>
      <c r="Q1775" s="327"/>
      <c r="R1775" s="351"/>
      <c r="S1775" s="351"/>
      <c r="T1775" s="351"/>
      <c r="U1775" s="329" t="str">
        <f>IF($N1775=$N$4,IFERROR(INDEX(DanhMuc!$E$154:$E$165,MATCH(MID($B1775,4,2),DanhMuc!$B$154:$B$165,0)),""),"")</f>
        <v/>
      </c>
      <c r="V1775" s="361"/>
      <c r="W1775" s="345"/>
      <c r="X1775" s="329" t="str">
        <f t="shared" si="216"/>
        <v>3H</v>
      </c>
      <c r="Y1775" s="1128" t="s">
        <v>3380</v>
      </c>
      <c r="Z1775" s="1128" t="s">
        <v>3381</v>
      </c>
      <c r="AA1775" s="1128" t="s">
        <v>3384</v>
      </c>
      <c r="AB1775" s="20"/>
      <c r="AC1775" s="73"/>
    </row>
    <row r="1776" spans="1:29">
      <c r="A1776" s="327" t="str">
        <f>IF(AND($B1776&lt;&gt;"",$C1776&lt;&gt;""),MAX($A$1556:A1775)+1,"")</f>
        <v/>
      </c>
      <c r="B1776" s="361" t="s">
        <v>1982</v>
      </c>
      <c r="C1776" s="360"/>
      <c r="D1776" s="327">
        <f>IF($B1776="","",COUNTIF($B$6:$B1776,$B1776))</f>
        <v>15</v>
      </c>
      <c r="E1776" s="402" t="s">
        <v>952</v>
      </c>
      <c r="F1776" s="403" t="s">
        <v>953</v>
      </c>
      <c r="G1776" s="410" t="s">
        <v>156</v>
      </c>
      <c r="H1776" s="327" t="s">
        <v>536</v>
      </c>
      <c r="I1776" s="411" t="s">
        <v>2856</v>
      </c>
      <c r="J1776" s="404"/>
      <c r="K1776" s="410"/>
      <c r="L1776" s="389">
        <v>27000</v>
      </c>
      <c r="M1776" s="371"/>
      <c r="N1776" s="355" t="s">
        <v>153</v>
      </c>
      <c r="O1776" s="404" t="s">
        <v>1782</v>
      </c>
      <c r="P1776" s="392"/>
      <c r="Q1776" s="327"/>
      <c r="R1776" s="351"/>
      <c r="S1776" s="351"/>
      <c r="T1776" s="351"/>
      <c r="U1776" s="329" t="str">
        <f>IF($N1776=$N$4,IFERROR(INDEX(DanhMuc!$E$154:$E$165,MATCH(MID($B1776,4,2),DanhMuc!$B$154:$B$165,0)),""),"")</f>
        <v/>
      </c>
      <c r="V1776" s="361"/>
      <c r="W1776" s="345"/>
      <c r="X1776" s="329" t="str">
        <f t="shared" si="216"/>
        <v>3H</v>
      </c>
      <c r="Y1776" s="1128" t="s">
        <v>3380</v>
      </c>
      <c r="Z1776" s="1128" t="s">
        <v>3381</v>
      </c>
      <c r="AA1776" s="1128" t="s">
        <v>3384</v>
      </c>
      <c r="AB1776" s="20"/>
      <c r="AC1776" s="73"/>
    </row>
    <row r="1777" spans="1:29">
      <c r="A1777" s="327" t="str">
        <f>IF(AND($B1777&lt;&gt;"",$C1777&lt;&gt;""),MAX($A$1556:A1776)+1,"")</f>
        <v/>
      </c>
      <c r="B1777" s="361" t="s">
        <v>1982</v>
      </c>
      <c r="C1777" s="360"/>
      <c r="D1777" s="327">
        <f>IF($B1777="","",COUNTIF($B$6:$B1777,$B1777))</f>
        <v>16</v>
      </c>
      <c r="E1777" s="402" t="s">
        <v>954</v>
      </c>
      <c r="F1777" s="403" t="s">
        <v>1059</v>
      </c>
      <c r="G1777" s="410" t="s">
        <v>156</v>
      </c>
      <c r="H1777" s="327" t="s">
        <v>536</v>
      </c>
      <c r="I1777" s="411" t="s">
        <v>2853</v>
      </c>
      <c r="J1777" s="404"/>
      <c r="K1777" s="410"/>
      <c r="L1777" s="415">
        <v>35000</v>
      </c>
      <c r="M1777" s="371"/>
      <c r="N1777" s="355" t="s">
        <v>153</v>
      </c>
      <c r="O1777" s="404" t="s">
        <v>1782</v>
      </c>
      <c r="P1777" s="392"/>
      <c r="Q1777" s="327"/>
      <c r="R1777" s="351"/>
      <c r="S1777" s="351"/>
      <c r="T1777" s="351"/>
      <c r="U1777" s="329" t="str">
        <f>IF($N1777=$N$4,IFERROR(INDEX(DanhMuc!$E$154:$E$165,MATCH(MID($B1777,4,2),DanhMuc!$B$154:$B$165,0)),""),"")</f>
        <v/>
      </c>
      <c r="V1777" s="361"/>
      <c r="W1777" s="345"/>
      <c r="X1777" s="329" t="str">
        <f t="shared" si="216"/>
        <v>3H</v>
      </c>
      <c r="Y1777" s="1128" t="s">
        <v>3380</v>
      </c>
      <c r="Z1777" s="1128" t="s">
        <v>3381</v>
      </c>
      <c r="AA1777" s="1128" t="s">
        <v>3384</v>
      </c>
      <c r="AB1777" s="20"/>
      <c r="AC1777" s="73"/>
    </row>
    <row r="1778" spans="1:29">
      <c r="A1778" s="327" t="str">
        <f>IF(AND($B1778&lt;&gt;"",$C1778&lt;&gt;""),MAX($A$1556:A1777)+1,"")</f>
        <v/>
      </c>
      <c r="B1778" s="361" t="s">
        <v>1982</v>
      </c>
      <c r="C1778" s="360"/>
      <c r="D1778" s="327">
        <f>IF($B1778="","",COUNTIF($B$6:$B1778,$B1778))</f>
        <v>17</v>
      </c>
      <c r="E1778" s="402" t="s">
        <v>955</v>
      </c>
      <c r="F1778" s="403" t="s">
        <v>956</v>
      </c>
      <c r="G1778" s="410" t="s">
        <v>156</v>
      </c>
      <c r="H1778" s="327" t="s">
        <v>536</v>
      </c>
      <c r="I1778" s="411" t="s">
        <v>2854</v>
      </c>
      <c r="J1778" s="404"/>
      <c r="K1778" s="410"/>
      <c r="L1778" s="389">
        <v>37000</v>
      </c>
      <c r="M1778" s="371"/>
      <c r="N1778" s="355" t="s">
        <v>153</v>
      </c>
      <c r="O1778" s="404" t="s">
        <v>1782</v>
      </c>
      <c r="P1778" s="392"/>
      <c r="Q1778" s="327"/>
      <c r="R1778" s="351"/>
      <c r="S1778" s="351"/>
      <c r="T1778" s="351"/>
      <c r="U1778" s="329" t="str">
        <f>IF($N1778=$N$4,IFERROR(INDEX(DanhMuc!$E$154:$E$165,MATCH(MID($B1778,4,2),DanhMuc!$B$154:$B$165,0)),""),"")</f>
        <v/>
      </c>
      <c r="V1778" s="361"/>
      <c r="W1778" s="345"/>
      <c r="X1778" s="329" t="str">
        <f t="shared" si="216"/>
        <v>3H</v>
      </c>
      <c r="Y1778" s="1128" t="s">
        <v>3380</v>
      </c>
      <c r="Z1778" s="1128" t="s">
        <v>3381</v>
      </c>
      <c r="AA1778" s="1128" t="s">
        <v>3384</v>
      </c>
      <c r="AB1778" s="20"/>
      <c r="AC1778" s="73"/>
    </row>
    <row r="1779" spans="1:29">
      <c r="A1779" s="327" t="str">
        <f>IF(AND($B1779&lt;&gt;"",$C1779&lt;&gt;""),MAX($A$1556:A1778)+1,"")</f>
        <v/>
      </c>
      <c r="B1779" s="361" t="s">
        <v>1982</v>
      </c>
      <c r="C1779" s="360"/>
      <c r="D1779" s="327">
        <f>IF($B1779="","",COUNTIF($B$6:$B1779,$B1779))</f>
        <v>18</v>
      </c>
      <c r="E1779" s="402" t="s">
        <v>182</v>
      </c>
      <c r="F1779" s="403" t="s">
        <v>183</v>
      </c>
      <c r="G1779" s="410" t="s">
        <v>156</v>
      </c>
      <c r="H1779" s="327" t="s">
        <v>536</v>
      </c>
      <c r="I1779" s="411" t="s">
        <v>2855</v>
      </c>
      <c r="J1779" s="404"/>
      <c r="K1779" s="410"/>
      <c r="L1779" s="389">
        <v>45000</v>
      </c>
      <c r="M1779" s="371"/>
      <c r="N1779" s="355" t="s">
        <v>153</v>
      </c>
      <c r="O1779" s="404" t="s">
        <v>1782</v>
      </c>
      <c r="P1779" s="392"/>
      <c r="Q1779" s="327"/>
      <c r="R1779" s="351"/>
      <c r="S1779" s="351"/>
      <c r="T1779" s="351"/>
      <c r="U1779" s="329" t="str">
        <f>IF($N1779=$N$4,IFERROR(INDEX(DanhMuc!$E$154:$E$165,MATCH(MID($B1779,4,2),DanhMuc!$B$154:$B$165,0)),""),"")</f>
        <v/>
      </c>
      <c r="V1779" s="361"/>
      <c r="W1779" s="345"/>
      <c r="X1779" s="329" t="str">
        <f t="shared" si="216"/>
        <v>3H</v>
      </c>
      <c r="Y1779" s="1128" t="s">
        <v>3380</v>
      </c>
      <c r="Z1779" s="1128" t="s">
        <v>3381</v>
      </c>
      <c r="AA1779" s="1128" t="s">
        <v>3384</v>
      </c>
      <c r="AB1779" s="20"/>
      <c r="AC1779" s="73"/>
    </row>
    <row r="1780" spans="1:29">
      <c r="A1780" s="327" t="str">
        <f>IF(AND($B1780&lt;&gt;"",$C1780&lt;&gt;""),MAX($A$1556:A1779)+1,"")</f>
        <v/>
      </c>
      <c r="B1780" s="361" t="s">
        <v>1982</v>
      </c>
      <c r="C1780" s="360"/>
      <c r="D1780" s="327">
        <f>IF($B1780="","",COUNTIF($B$6:$B1780,$B1780))</f>
        <v>19</v>
      </c>
      <c r="E1780" s="361" t="s">
        <v>184</v>
      </c>
      <c r="F1780" s="362" t="s">
        <v>981</v>
      </c>
      <c r="G1780" s="327" t="s">
        <v>155</v>
      </c>
      <c r="H1780" s="327" t="s">
        <v>536</v>
      </c>
      <c r="I1780" s="327">
        <v>2</v>
      </c>
      <c r="J1780" s="359"/>
      <c r="K1780" s="327"/>
      <c r="L1780" s="389">
        <v>6500</v>
      </c>
      <c r="M1780" s="371"/>
      <c r="N1780" s="355" t="str">
        <f t="shared" ref="N1780:N1793" si="224">+$N$1555</f>
        <v>PK</v>
      </c>
      <c r="O1780" s="404" t="s">
        <v>1782</v>
      </c>
      <c r="P1780" s="392"/>
      <c r="Q1780" s="327"/>
      <c r="R1780" s="351"/>
      <c r="S1780" s="351"/>
      <c r="T1780" s="351"/>
      <c r="U1780" s="329" t="str">
        <f>IF($N1780=$N$4,IFERROR(INDEX(DanhMuc!$E$154:$E$165,MATCH(MID($B1780,4,2),DanhMuc!$B$154:$B$165,0)),""),"")</f>
        <v/>
      </c>
      <c r="V1780" s="361"/>
      <c r="W1780" s="345"/>
      <c r="X1780" s="329" t="str">
        <f t="shared" si="216"/>
        <v>3H</v>
      </c>
      <c r="Y1780" s="1128" t="s">
        <v>3380</v>
      </c>
      <c r="Z1780" s="1128" t="s">
        <v>3381</v>
      </c>
      <c r="AA1780" s="1128" t="s">
        <v>3384</v>
      </c>
      <c r="AB1780" s="20"/>
      <c r="AC1780" s="73"/>
    </row>
    <row r="1781" spans="1:29">
      <c r="A1781" s="327" t="str">
        <f>IF(AND($B1781&lt;&gt;"",$C1781&lt;&gt;""),MAX($A$1556:A1780)+1,"")</f>
        <v/>
      </c>
      <c r="B1781" s="361" t="s">
        <v>1982</v>
      </c>
      <c r="C1781" s="360"/>
      <c r="D1781" s="327">
        <f>IF($B1781="","",COUNTIF($B$6:$B1781,$B1781))</f>
        <v>20</v>
      </c>
      <c r="E1781" s="361" t="s">
        <v>187</v>
      </c>
      <c r="F1781" s="362" t="s">
        <v>189</v>
      </c>
      <c r="G1781" s="327" t="s">
        <v>155</v>
      </c>
      <c r="H1781" s="327"/>
      <c r="I1781" s="327">
        <v>4</v>
      </c>
      <c r="J1781" s="361"/>
      <c r="K1781" s="327"/>
      <c r="L1781" s="389">
        <v>5000</v>
      </c>
      <c r="M1781" s="371"/>
      <c r="N1781" s="355" t="str">
        <f t="shared" si="224"/>
        <v>PK</v>
      </c>
      <c r="O1781" s="345"/>
      <c r="P1781" s="392"/>
      <c r="Q1781" s="327"/>
      <c r="R1781" s="351"/>
      <c r="S1781" s="351"/>
      <c r="T1781" s="351"/>
      <c r="U1781" s="329" t="str">
        <f>IF($N1781=$N$4,IFERROR(INDEX(DanhMuc!$E$154:$E$165,MATCH(MID($B1781,4,2),DanhMuc!$B$154:$B$165,0)),""),"")</f>
        <v/>
      </c>
      <c r="V1781" s="361"/>
      <c r="W1781" s="345"/>
      <c r="X1781" s="329" t="str">
        <f t="shared" si="216"/>
        <v>3H</v>
      </c>
      <c r="Y1781" s="1128" t="s">
        <v>3380</v>
      </c>
      <c r="Z1781" s="1128" t="s">
        <v>3381</v>
      </c>
      <c r="AA1781" s="1128" t="s">
        <v>3384</v>
      </c>
      <c r="AB1781" s="20"/>
      <c r="AC1781" s="73"/>
    </row>
    <row r="1782" spans="1:29">
      <c r="A1782" s="327" t="str">
        <f>IF(AND($B1782&lt;&gt;"",$C1782&lt;&gt;""),MAX($A$1556:A1781)+1,"")</f>
        <v/>
      </c>
      <c r="B1782" s="361" t="s">
        <v>1982</v>
      </c>
      <c r="C1782" s="360"/>
      <c r="D1782" s="327">
        <f>IF($B1782="","",COUNTIF($B$6:$B1782,$B1782))</f>
        <v>21</v>
      </c>
      <c r="E1782" s="361" t="s">
        <v>172</v>
      </c>
      <c r="F1782" s="362" t="s">
        <v>173</v>
      </c>
      <c r="G1782" s="327" t="s">
        <v>155</v>
      </c>
      <c r="H1782" s="327"/>
      <c r="I1782" s="327">
        <v>2</v>
      </c>
      <c r="J1782" s="361"/>
      <c r="K1782" s="327"/>
      <c r="L1782" s="389">
        <v>6000</v>
      </c>
      <c r="M1782" s="371"/>
      <c r="N1782" s="355" t="str">
        <f t="shared" si="224"/>
        <v>PK</v>
      </c>
      <c r="O1782" s="345"/>
      <c r="P1782" s="392"/>
      <c r="Q1782" s="327"/>
      <c r="R1782" s="351"/>
      <c r="S1782" s="351"/>
      <c r="T1782" s="351"/>
      <c r="U1782" s="329" t="str">
        <f>IF($N1782=$N$4,IFERROR(INDEX(DanhMuc!$E$154:$E$165,MATCH(MID($B1782,4,2),DanhMuc!$B$154:$B$165,0)),""),"")</f>
        <v/>
      </c>
      <c r="V1782" s="361"/>
      <c r="W1782" s="345"/>
      <c r="X1782" s="329" t="str">
        <f t="shared" si="216"/>
        <v>3H</v>
      </c>
      <c r="Y1782" s="1128" t="s">
        <v>3380</v>
      </c>
      <c r="Z1782" s="1128" t="s">
        <v>3381</v>
      </c>
      <c r="AA1782" s="1128" t="s">
        <v>3384</v>
      </c>
      <c r="AB1782" s="20"/>
      <c r="AC1782" s="73"/>
    </row>
    <row r="1783" spans="1:29">
      <c r="A1783" s="327" t="str">
        <f>IF(AND($B1783&lt;&gt;"",$C1783&lt;&gt;""),MAX($A$1556:A1782)+1,"")</f>
        <v/>
      </c>
      <c r="B1783" s="361" t="s">
        <v>1982</v>
      </c>
      <c r="C1783" s="360"/>
      <c r="D1783" s="327">
        <f>IF($B1783="","",COUNTIF($B$6:$B1783,$B1783))</f>
        <v>22</v>
      </c>
      <c r="E1783" s="361" t="s">
        <v>163</v>
      </c>
      <c r="F1783" s="362" t="s">
        <v>164</v>
      </c>
      <c r="G1783" s="327" t="s">
        <v>155</v>
      </c>
      <c r="H1783" s="327"/>
      <c r="I1783" s="327">
        <v>4</v>
      </c>
      <c r="J1783" s="361"/>
      <c r="K1783" s="327"/>
      <c r="L1783" s="389">
        <v>2500</v>
      </c>
      <c r="M1783" s="371"/>
      <c r="N1783" s="355" t="str">
        <f t="shared" si="224"/>
        <v>PK</v>
      </c>
      <c r="O1783" s="345"/>
      <c r="P1783" s="392"/>
      <c r="Q1783" s="327"/>
      <c r="R1783" s="351"/>
      <c r="S1783" s="351"/>
      <c r="T1783" s="351"/>
      <c r="U1783" s="329" t="str">
        <f>IF($N1783=$N$4,IFERROR(INDEX(DanhMuc!$E$154:$E$165,MATCH(MID($B1783,4,2),DanhMuc!$B$154:$B$165,0)),""),"")</f>
        <v/>
      </c>
      <c r="V1783" s="408" t="s">
        <v>342</v>
      </c>
      <c r="W1783" s="345"/>
      <c r="X1783" s="329" t="str">
        <f t="shared" si="216"/>
        <v>3H</v>
      </c>
      <c r="Y1783" s="1128" t="s">
        <v>3380</v>
      </c>
      <c r="Z1783" s="1128" t="s">
        <v>3381</v>
      </c>
      <c r="AA1783" s="1128" t="s">
        <v>3384</v>
      </c>
      <c r="AB1783" s="20"/>
      <c r="AC1783" s="73"/>
    </row>
    <row r="1784" spans="1:29">
      <c r="A1784" s="327" t="str">
        <f>IF(AND($B1784&lt;&gt;"",$C1784&lt;&gt;""),MAX($A$1556:A1783)+1,"")</f>
        <v/>
      </c>
      <c r="B1784" s="361" t="s">
        <v>1982</v>
      </c>
      <c r="C1784" s="360"/>
      <c r="D1784" s="327">
        <f>IF($B1784="","",COUNTIF($B$6:$B1784,$B1784))</f>
        <v>23</v>
      </c>
      <c r="E1784" s="361" t="s">
        <v>185</v>
      </c>
      <c r="F1784" s="362" t="s">
        <v>186</v>
      </c>
      <c r="G1784" s="327" t="s">
        <v>155</v>
      </c>
      <c r="H1784" s="327" t="s">
        <v>536</v>
      </c>
      <c r="I1784" s="327">
        <v>8</v>
      </c>
      <c r="J1784" s="361"/>
      <c r="K1784" s="327"/>
      <c r="L1784" s="389">
        <v>41000</v>
      </c>
      <c r="M1784" s="371"/>
      <c r="N1784" s="355" t="str">
        <f t="shared" si="224"/>
        <v>PK</v>
      </c>
      <c r="O1784" s="345"/>
      <c r="P1784" s="392"/>
      <c r="Q1784" s="327"/>
      <c r="R1784" s="351"/>
      <c r="S1784" s="351"/>
      <c r="T1784" s="351"/>
      <c r="U1784" s="329" t="str">
        <f>IF($N1784=$N$4,IFERROR(INDEX(DanhMuc!$E$154:$E$165,MATCH(MID($B1784,4,2),DanhMuc!$B$154:$B$165,0)),""),"")</f>
        <v/>
      </c>
      <c r="V1784" s="361"/>
      <c r="W1784" s="345"/>
      <c r="X1784" s="329" t="str">
        <f t="shared" si="216"/>
        <v>3H</v>
      </c>
      <c r="Y1784" s="1128" t="s">
        <v>3380</v>
      </c>
      <c r="Z1784" s="1128" t="s">
        <v>3381</v>
      </c>
      <c r="AA1784" s="1128" t="s">
        <v>3384</v>
      </c>
      <c r="AB1784" s="20"/>
      <c r="AC1784" s="73"/>
    </row>
    <row r="1785" spans="1:29">
      <c r="A1785" s="327" t="str">
        <f>IF(AND($B1785&lt;&gt;"",$C1785&lt;&gt;""),MAX($A$1556:A1784)+1,"")</f>
        <v/>
      </c>
      <c r="B1785" s="361" t="s">
        <v>1982</v>
      </c>
      <c r="C1785" s="360"/>
      <c r="D1785" s="327">
        <f>IF($B1785="","",COUNTIF($B$6:$B1785,$B1785))</f>
        <v>24</v>
      </c>
      <c r="E1785" s="361" t="s">
        <v>165</v>
      </c>
      <c r="F1785" s="362" t="s">
        <v>166</v>
      </c>
      <c r="G1785" s="327" t="s">
        <v>155</v>
      </c>
      <c r="H1785" s="327"/>
      <c r="I1785" s="327">
        <v>4</v>
      </c>
      <c r="J1785" s="361"/>
      <c r="K1785" s="327"/>
      <c r="L1785" s="389">
        <v>1700</v>
      </c>
      <c r="M1785" s="371"/>
      <c r="N1785" s="355" t="str">
        <f t="shared" si="224"/>
        <v>PK</v>
      </c>
      <c r="O1785" s="345"/>
      <c r="P1785" s="392"/>
      <c r="Q1785" s="327"/>
      <c r="R1785" s="351"/>
      <c r="S1785" s="351"/>
      <c r="T1785" s="351"/>
      <c r="U1785" s="329" t="str">
        <f>IF($N1785=$N$4,IFERROR(INDEX(DanhMuc!$E$154:$E$165,MATCH(MID($B1785,4,2),DanhMuc!$B$154:$B$165,0)),""),"")</f>
        <v/>
      </c>
      <c r="V1785" s="361"/>
      <c r="W1785" s="345"/>
      <c r="X1785" s="329" t="str">
        <f t="shared" si="216"/>
        <v>3H</v>
      </c>
      <c r="Y1785" s="1128" t="s">
        <v>3380</v>
      </c>
      <c r="Z1785" s="1128" t="s">
        <v>3381</v>
      </c>
      <c r="AA1785" s="1128" t="s">
        <v>3384</v>
      </c>
      <c r="AB1785" s="20"/>
      <c r="AC1785" s="73"/>
    </row>
    <row r="1786" spans="1:29">
      <c r="A1786" s="327" t="str">
        <f>IF(AND($B1786&lt;&gt;"",$C1786&lt;&gt;""),MAX($A$1556:A1785)+1,"")</f>
        <v/>
      </c>
      <c r="B1786" s="361" t="s">
        <v>1982</v>
      </c>
      <c r="C1786" s="360"/>
      <c r="D1786" s="327">
        <f>IF($B1786="","",COUNTIF($B$6:$B1786,$B1786))</f>
        <v>25</v>
      </c>
      <c r="E1786" s="361" t="s">
        <v>167</v>
      </c>
      <c r="F1786" s="362" t="s">
        <v>168</v>
      </c>
      <c r="G1786" s="327" t="s">
        <v>155</v>
      </c>
      <c r="H1786" s="327"/>
      <c r="I1786" s="327">
        <v>4</v>
      </c>
      <c r="J1786" s="361"/>
      <c r="K1786" s="327"/>
      <c r="L1786" s="389">
        <v>1700</v>
      </c>
      <c r="M1786" s="371"/>
      <c r="N1786" s="355" t="str">
        <f t="shared" si="224"/>
        <v>PK</v>
      </c>
      <c r="O1786" s="345"/>
      <c r="P1786" s="392"/>
      <c r="Q1786" s="327"/>
      <c r="R1786" s="351"/>
      <c r="S1786" s="351"/>
      <c r="T1786" s="351"/>
      <c r="U1786" s="329" t="str">
        <f>IF($N1786=$N$4,IFERROR(INDEX(DanhMuc!$E$154:$E$165,MATCH(MID($B1786,4,2),DanhMuc!$B$154:$B$165,0)),""),"")</f>
        <v/>
      </c>
      <c r="V1786" s="361"/>
      <c r="W1786" s="345"/>
      <c r="X1786" s="329" t="str">
        <f t="shared" si="216"/>
        <v>3H</v>
      </c>
      <c r="Y1786" s="1128" t="s">
        <v>3380</v>
      </c>
      <c r="Z1786" s="1128" t="s">
        <v>3381</v>
      </c>
      <c r="AA1786" s="1128" t="s">
        <v>3384</v>
      </c>
      <c r="AB1786" s="20"/>
      <c r="AC1786" s="73"/>
    </row>
    <row r="1787" spans="1:29">
      <c r="A1787" s="327" t="str">
        <f>IF(AND($B1787&lt;&gt;"",$C1787&lt;&gt;""),MAX($A$1556:A1786)+1,"")</f>
        <v/>
      </c>
      <c r="B1787" s="361" t="s">
        <v>1982</v>
      </c>
      <c r="C1787" s="360"/>
      <c r="D1787" s="327">
        <f>IF($B1787="","",COUNTIF($B$6:$B1787,$B1787))</f>
        <v>26</v>
      </c>
      <c r="E1787" s="361" t="s">
        <v>169</v>
      </c>
      <c r="F1787" s="362" t="s">
        <v>170</v>
      </c>
      <c r="G1787" s="327" t="s">
        <v>155</v>
      </c>
      <c r="H1787" s="327"/>
      <c r="I1787" s="327">
        <v>4</v>
      </c>
      <c r="J1787" s="361"/>
      <c r="K1787" s="327"/>
      <c r="L1787" s="389">
        <v>1700</v>
      </c>
      <c r="M1787" s="371"/>
      <c r="N1787" s="355" t="str">
        <f t="shared" si="224"/>
        <v>PK</v>
      </c>
      <c r="O1787" s="345"/>
      <c r="P1787" s="392"/>
      <c r="Q1787" s="327"/>
      <c r="R1787" s="351"/>
      <c r="S1787" s="351"/>
      <c r="T1787" s="351"/>
      <c r="U1787" s="329" t="str">
        <f>IF($N1787=$N$4,IFERROR(INDEX(DanhMuc!$E$154:$E$165,MATCH(MID($B1787,4,2),DanhMuc!$B$154:$B$165,0)),""),"")</f>
        <v/>
      </c>
      <c r="V1787" s="361"/>
      <c r="W1787" s="345"/>
      <c r="X1787" s="329" t="str">
        <f t="shared" si="216"/>
        <v>3H</v>
      </c>
      <c r="Y1787" s="1128" t="s">
        <v>3380</v>
      </c>
      <c r="Z1787" s="1128" t="s">
        <v>3381</v>
      </c>
      <c r="AA1787" s="1128" t="s">
        <v>3384</v>
      </c>
      <c r="AB1787" s="20"/>
      <c r="AC1787" s="73"/>
    </row>
    <row r="1788" spans="1:29">
      <c r="A1788" s="327" t="str">
        <f>IF(AND($B1788&lt;&gt;"",$C1788&lt;&gt;""),MAX($A$1556:A1787)+1,"")</f>
        <v/>
      </c>
      <c r="B1788" s="361" t="s">
        <v>1982</v>
      </c>
      <c r="C1788" s="360"/>
      <c r="D1788" s="327">
        <f>IF($B1788="","",COUNTIF($B$6:$B1788,$B1788))</f>
        <v>27</v>
      </c>
      <c r="E1788" s="361" t="s">
        <v>171</v>
      </c>
      <c r="F1788" s="362" t="s">
        <v>291</v>
      </c>
      <c r="G1788" s="327" t="s">
        <v>155</v>
      </c>
      <c r="H1788" s="327"/>
      <c r="I1788" s="327">
        <v>4</v>
      </c>
      <c r="J1788" s="361"/>
      <c r="K1788" s="327"/>
      <c r="L1788" s="389">
        <v>1700</v>
      </c>
      <c r="M1788" s="371"/>
      <c r="N1788" s="355" t="str">
        <f t="shared" si="224"/>
        <v>PK</v>
      </c>
      <c r="O1788" s="345"/>
      <c r="P1788" s="392"/>
      <c r="Q1788" s="327"/>
      <c r="R1788" s="351"/>
      <c r="S1788" s="351"/>
      <c r="T1788" s="351"/>
      <c r="U1788" s="329" t="str">
        <f>IF($N1788=$N$4,IFERROR(INDEX(DanhMuc!$E$154:$E$165,MATCH(MID($B1788,4,2),DanhMuc!$B$154:$B$165,0)),""),"")</f>
        <v/>
      </c>
      <c r="V1788" s="361"/>
      <c r="W1788" s="345"/>
      <c r="X1788" s="329" t="str">
        <f t="shared" si="216"/>
        <v>3H</v>
      </c>
      <c r="Y1788" s="1128" t="s">
        <v>3380</v>
      </c>
      <c r="Z1788" s="1128" t="s">
        <v>3381</v>
      </c>
      <c r="AA1788" s="1128" t="s">
        <v>3384</v>
      </c>
      <c r="AB1788" s="20"/>
      <c r="AC1788" s="73"/>
    </row>
    <row r="1789" spans="1:29" ht="39">
      <c r="A1789" s="327">
        <f>IF(AND($B1789&lt;&gt;"",$C1789&lt;&gt;""),MAX($A$1556:A1707)+1,"")</f>
        <v>6</v>
      </c>
      <c r="B1789" s="359" t="s">
        <v>3161</v>
      </c>
      <c r="C1789" s="360" t="s">
        <v>1535</v>
      </c>
      <c r="D1789" s="327">
        <f>IF($B1789="","",COUNTIF($B$6:$B1789,$B1789))</f>
        <v>1</v>
      </c>
      <c r="E1789" s="361" t="s">
        <v>739</v>
      </c>
      <c r="F1789" s="362" t="s">
        <v>2562</v>
      </c>
      <c r="G1789" s="327" t="s">
        <v>297</v>
      </c>
      <c r="H1789" s="327"/>
      <c r="I1789" s="327">
        <v>1</v>
      </c>
      <c r="J1789" s="345"/>
      <c r="K1789" s="327"/>
      <c r="L1789" s="389">
        <v>199000</v>
      </c>
      <c r="M1789" s="371"/>
      <c r="N1789" s="355" t="str">
        <f t="shared" si="224"/>
        <v>PK</v>
      </c>
      <c r="O1789" s="404" t="s">
        <v>2560</v>
      </c>
      <c r="P1789" s="392"/>
      <c r="Q1789" s="327"/>
      <c r="R1789" s="351"/>
      <c r="S1789" s="351"/>
      <c r="T1789" s="351"/>
      <c r="U1789" s="329" t="str">
        <f>IF($N1789=$N$4,IFERROR(INDEX(DanhMuc!$E$154:$E$165,MATCH(MID($B1789,4,2),DanhMuc!$B$154:$B$165,0)),""),"")</f>
        <v/>
      </c>
      <c r="V1789" s="361"/>
      <c r="W1789" s="345"/>
      <c r="X1789" s="329" t="str">
        <f t="shared" si="216"/>
        <v>FI</v>
      </c>
      <c r="Y1789" s="1128" t="s">
        <v>3380</v>
      </c>
      <c r="Z1789" s="1128" t="s">
        <v>3381</v>
      </c>
      <c r="AA1789" s="1128" t="s">
        <v>3384</v>
      </c>
      <c r="AB1789" s="20"/>
      <c r="AC1789" s="73"/>
    </row>
    <row r="1790" spans="1:29" ht="37.5">
      <c r="A1790" s="327" t="str">
        <f>IF(AND($B1790&lt;&gt;"",$C1790&lt;&gt;""),MAX($A$1556:A1789)+1,"")</f>
        <v/>
      </c>
      <c r="B1790" s="361" t="s">
        <v>3161</v>
      </c>
      <c r="C1790" s="360"/>
      <c r="D1790" s="327">
        <f>IF($B1790="","",COUNTIF($B$6:$B1790,$B1790))</f>
        <v>2</v>
      </c>
      <c r="E1790" s="361" t="s">
        <v>739</v>
      </c>
      <c r="F1790" s="362" t="s">
        <v>2563</v>
      </c>
      <c r="G1790" s="327" t="s">
        <v>297</v>
      </c>
      <c r="H1790" s="327"/>
      <c r="I1790" s="327">
        <v>1</v>
      </c>
      <c r="J1790" s="345"/>
      <c r="K1790" s="327"/>
      <c r="L1790" s="389">
        <v>199000</v>
      </c>
      <c r="M1790" s="371"/>
      <c r="N1790" s="355" t="str">
        <f t="shared" si="224"/>
        <v>PK</v>
      </c>
      <c r="O1790" s="404" t="s">
        <v>2561</v>
      </c>
      <c r="P1790" s="392"/>
      <c r="Q1790" s="327"/>
      <c r="R1790" s="351"/>
      <c r="S1790" s="351"/>
      <c r="T1790" s="351"/>
      <c r="U1790" s="329" t="str">
        <f>IF($N1790=$N$4,IFERROR(INDEX(DanhMuc!$E$154:$E$165,MATCH(MID($B1790,4,2),DanhMuc!$B$154:$B$165,0)),""),"")</f>
        <v/>
      </c>
      <c r="V1790" s="361"/>
      <c r="W1790" s="345"/>
      <c r="X1790" s="329" t="str">
        <f t="shared" si="216"/>
        <v>FI</v>
      </c>
      <c r="Y1790" s="1128" t="s">
        <v>3380</v>
      </c>
      <c r="Z1790" s="1128" t="s">
        <v>3381</v>
      </c>
      <c r="AA1790" s="1128" t="s">
        <v>3384</v>
      </c>
      <c r="AB1790" s="20"/>
      <c r="AC1790" s="73"/>
    </row>
    <row r="1791" spans="1:29">
      <c r="A1791" s="327" t="str">
        <f>IF(AND($B1791&lt;&gt;"",$C1791&lt;&gt;""),MAX($A$1556:A1790)+1,"")</f>
        <v/>
      </c>
      <c r="B1791" s="361" t="s">
        <v>3161</v>
      </c>
      <c r="C1791" s="360"/>
      <c r="D1791" s="327">
        <f>IF($B1791="","",COUNTIF($B$6:$B1791,$B1791))</f>
        <v>3</v>
      </c>
      <c r="E1791" s="361" t="s">
        <v>159</v>
      </c>
      <c r="F1791" s="362" t="s">
        <v>160</v>
      </c>
      <c r="G1791" s="327" t="s">
        <v>155</v>
      </c>
      <c r="H1791" s="327"/>
      <c r="I1791" s="327">
        <v>1</v>
      </c>
      <c r="J1791" s="345"/>
      <c r="K1791" s="327"/>
      <c r="L1791" s="389">
        <v>5000</v>
      </c>
      <c r="M1791" s="371"/>
      <c r="N1791" s="355" t="str">
        <f t="shared" si="224"/>
        <v>PK</v>
      </c>
      <c r="O1791" s="404" t="s">
        <v>1783</v>
      </c>
      <c r="P1791" s="392"/>
      <c r="Q1791" s="327"/>
      <c r="R1791" s="351"/>
      <c r="S1791" s="351"/>
      <c r="T1791" s="351"/>
      <c r="U1791" s="329" t="str">
        <f>IF($N1791=$N$4,IFERROR(INDEX(DanhMuc!$E$154:$E$165,MATCH(MID($B1791,4,2),DanhMuc!$B$154:$B$165,0)),""),"")</f>
        <v/>
      </c>
      <c r="V1791" s="361"/>
      <c r="W1791" s="345"/>
      <c r="X1791" s="329" t="str">
        <f t="shared" si="216"/>
        <v>FI</v>
      </c>
      <c r="Y1791" s="1128" t="s">
        <v>3380</v>
      </c>
      <c r="Z1791" s="1128" t="s">
        <v>3381</v>
      </c>
      <c r="AA1791" s="1128" t="s">
        <v>3384</v>
      </c>
      <c r="AB1791" s="20"/>
      <c r="AC1791" s="73"/>
    </row>
    <row r="1792" spans="1:29">
      <c r="A1792" s="327" t="str">
        <f>IF(AND($B1792&lt;&gt;"",$C1792&lt;&gt;""),MAX($A$1556:A1791)+1,"")</f>
        <v/>
      </c>
      <c r="B1792" s="361" t="s">
        <v>3161</v>
      </c>
      <c r="C1792" s="360"/>
      <c r="D1792" s="327">
        <f>IF($B1792="","",COUNTIF($B$6:$B1792,$B1792))</f>
        <v>4</v>
      </c>
      <c r="E1792" s="361" t="s">
        <v>3135</v>
      </c>
      <c r="F1792" s="362" t="s">
        <v>3136</v>
      </c>
      <c r="G1792" s="327" t="s">
        <v>155</v>
      </c>
      <c r="H1792" s="327"/>
      <c r="I1792" s="327">
        <v>1</v>
      </c>
      <c r="J1792" s="345"/>
      <c r="K1792" s="327"/>
      <c r="L1792" s="389">
        <v>140000</v>
      </c>
      <c r="M1792" s="371"/>
      <c r="N1792" s="355" t="str">
        <f t="shared" si="224"/>
        <v>PK</v>
      </c>
      <c r="O1792" s="404" t="s">
        <v>3137</v>
      </c>
      <c r="P1792" s="392"/>
      <c r="Q1792" s="327"/>
      <c r="R1792" s="351"/>
      <c r="S1792" s="351"/>
      <c r="T1792" s="351"/>
      <c r="U1792" s="329" t="str">
        <f>IF($N1792=$N$4,IFERROR(INDEX(DanhMuc!$E$154:$E$165,MATCH(MID($B1792,4,2),DanhMuc!$B$154:$B$165,0)),""),"")</f>
        <v/>
      </c>
      <c r="V1792" s="361"/>
      <c r="W1792" s="345"/>
      <c r="X1792" s="329" t="str">
        <f t="shared" si="216"/>
        <v>FI</v>
      </c>
      <c r="Y1792" s="1128" t="s">
        <v>3380</v>
      </c>
      <c r="Z1792" s="1128" t="s">
        <v>3381</v>
      </c>
      <c r="AA1792" s="1128" t="s">
        <v>3384</v>
      </c>
      <c r="AB1792" s="20"/>
      <c r="AC1792" s="73"/>
    </row>
    <row r="1793" spans="1:29">
      <c r="A1793" s="327" t="str">
        <f>IF(AND($B1793&lt;&gt;"",$C1793&lt;&gt;""),MAX($A$1556:A1792)+1,"")</f>
        <v/>
      </c>
      <c r="B1793" s="361" t="s">
        <v>3161</v>
      </c>
      <c r="C1793" s="360"/>
      <c r="D1793" s="327">
        <f>IF($B1793="","",COUNTIF($B$6:$B1793,$B1793))</f>
        <v>5</v>
      </c>
      <c r="E1793" s="361" t="s">
        <v>159</v>
      </c>
      <c r="F1793" s="362" t="s">
        <v>160</v>
      </c>
      <c r="G1793" s="327" t="s">
        <v>155</v>
      </c>
      <c r="H1793" s="327"/>
      <c r="I1793" s="327">
        <v>1</v>
      </c>
      <c r="J1793" s="345"/>
      <c r="K1793" s="327"/>
      <c r="L1793" s="389">
        <v>5000</v>
      </c>
      <c r="M1793" s="371"/>
      <c r="N1793" s="355" t="str">
        <f t="shared" si="224"/>
        <v>PK</v>
      </c>
      <c r="O1793" s="404" t="s">
        <v>3137</v>
      </c>
      <c r="P1793" s="392"/>
      <c r="Q1793" s="327"/>
      <c r="R1793" s="351"/>
      <c r="S1793" s="351"/>
      <c r="T1793" s="351"/>
      <c r="U1793" s="329" t="str">
        <f>IF($N1793=$N$4,IFERROR(INDEX(DanhMuc!$E$154:$E$165,MATCH(MID($B1793,4,2),DanhMuc!$B$154:$B$165,0)),""),"")</f>
        <v/>
      </c>
      <c r="V1793" s="361"/>
      <c r="W1793" s="345"/>
      <c r="X1793" s="329" t="str">
        <f t="shared" si="216"/>
        <v>FI</v>
      </c>
      <c r="Y1793" s="1128" t="s">
        <v>3380</v>
      </c>
      <c r="Z1793" s="1128" t="s">
        <v>3381</v>
      </c>
      <c r="AA1793" s="1128" t="s">
        <v>3384</v>
      </c>
      <c r="AB1793" s="20"/>
      <c r="AC1793" s="73"/>
    </row>
    <row r="1794" spans="1:29">
      <c r="A1794" s="327" t="str">
        <f>IF(AND($B1794&lt;&gt;"",$C1794&lt;&gt;""),MAX($A$1556:A1790)+1,"")</f>
        <v/>
      </c>
      <c r="B1794" s="361" t="s">
        <v>3161</v>
      </c>
      <c r="C1794" s="360"/>
      <c r="D1794" s="327">
        <f>IF($B1794="","",COUNTIF($B$6:$B1794,$B1794))</f>
        <v>6</v>
      </c>
      <c r="E1794" s="361" t="s">
        <v>157</v>
      </c>
      <c r="F1794" s="362" t="s">
        <v>158</v>
      </c>
      <c r="G1794" s="327" t="s">
        <v>155</v>
      </c>
      <c r="H1794" s="327"/>
      <c r="I1794" s="327">
        <v>2</v>
      </c>
      <c r="J1794" s="359"/>
      <c r="K1794" s="327"/>
      <c r="L1794" s="389">
        <v>45000</v>
      </c>
      <c r="M1794" s="371"/>
      <c r="N1794" s="355" t="s">
        <v>153</v>
      </c>
      <c r="O1794" s="345"/>
      <c r="P1794" s="392"/>
      <c r="Q1794" s="327"/>
      <c r="R1794" s="351"/>
      <c r="S1794" s="351"/>
      <c r="T1794" s="351"/>
      <c r="U1794" s="329" t="str">
        <f>IF($N1794=$N$4,IFERROR(INDEX(DanhMuc!$E$154:$E$165,MATCH(MID($B1794,4,2),DanhMuc!$B$154:$B$165,0)),""),"")</f>
        <v/>
      </c>
      <c r="V1794" s="361"/>
      <c r="W1794" s="345"/>
      <c r="X1794" s="329" t="str">
        <f t="shared" si="216"/>
        <v>FI</v>
      </c>
      <c r="Y1794" s="1128" t="s">
        <v>3380</v>
      </c>
      <c r="Z1794" s="1128" t="s">
        <v>3381</v>
      </c>
      <c r="AA1794" s="1128" t="s">
        <v>3384</v>
      </c>
      <c r="AB1794" s="20"/>
      <c r="AC1794" s="73"/>
    </row>
    <row r="1795" spans="1:29">
      <c r="A1795" s="327" t="str">
        <f>IF(AND($B1795&lt;&gt;"",$C1795&lt;&gt;""),MAX($A$1556:A1794)+1,"")</f>
        <v/>
      </c>
      <c r="B1795" s="361" t="s">
        <v>3161</v>
      </c>
      <c r="C1795" s="360"/>
      <c r="D1795" s="327">
        <f>IF($B1795="","",COUNTIF($B$6:$B1795,$B1795))</f>
        <v>7</v>
      </c>
      <c r="E1795" s="361" t="s">
        <v>159</v>
      </c>
      <c r="F1795" s="362" t="s">
        <v>160</v>
      </c>
      <c r="G1795" s="327" t="s">
        <v>155</v>
      </c>
      <c r="H1795" s="327"/>
      <c r="I1795" s="327">
        <v>2</v>
      </c>
      <c r="J1795" s="359"/>
      <c r="K1795" s="327"/>
      <c r="L1795" s="389">
        <v>5000</v>
      </c>
      <c r="M1795" s="371"/>
      <c r="N1795" s="355" t="s">
        <v>153</v>
      </c>
      <c r="O1795" s="345"/>
      <c r="P1795" s="392"/>
      <c r="Q1795" s="327"/>
      <c r="R1795" s="351"/>
      <c r="S1795" s="351"/>
      <c r="T1795" s="351"/>
      <c r="U1795" s="329" t="str">
        <f>IF($N1795=$N$4,IFERROR(INDEX(DanhMuc!$E$154:$E$165,MATCH(MID($B1795,4,2),DanhMuc!$B$154:$B$165,0)),""),"")</f>
        <v/>
      </c>
      <c r="V1795" s="361"/>
      <c r="W1795" s="345"/>
      <c r="X1795" s="329" t="str">
        <f t="shared" si="216"/>
        <v>FI</v>
      </c>
      <c r="Y1795" s="1128" t="s">
        <v>3380</v>
      </c>
      <c r="Z1795" s="1128" t="s">
        <v>3381</v>
      </c>
      <c r="AA1795" s="1128" t="s">
        <v>3384</v>
      </c>
      <c r="AB1795" s="20"/>
      <c r="AC1795" s="73"/>
    </row>
    <row r="1796" spans="1:29" ht="25">
      <c r="A1796" s="327" t="str">
        <f>IF(AND($B1796&lt;&gt;"",$C1796&lt;&gt;""),MAX($A$1556:A1795)+1,"")</f>
        <v/>
      </c>
      <c r="B1796" s="361" t="s">
        <v>3161</v>
      </c>
      <c r="C1796" s="360"/>
      <c r="D1796" s="327">
        <f>IF($B1796="","",COUNTIF($B$6:$B1796,$B1796))</f>
        <v>8</v>
      </c>
      <c r="E1796" s="361" t="s">
        <v>3141</v>
      </c>
      <c r="F1796" s="362" t="s">
        <v>3144</v>
      </c>
      <c r="G1796" s="327" t="s">
        <v>297</v>
      </c>
      <c r="H1796" s="327"/>
      <c r="I1796" s="327">
        <v>1</v>
      </c>
      <c r="J1796" s="345"/>
      <c r="K1796" s="327"/>
      <c r="L1796" s="389">
        <v>650000</v>
      </c>
      <c r="M1796" s="371"/>
      <c r="N1796" s="355" t="str">
        <f t="shared" ref="N1796:N1801" si="225">+$N$1555</f>
        <v>PK</v>
      </c>
      <c r="O1796" s="404" t="s">
        <v>3143</v>
      </c>
      <c r="P1796" s="392"/>
      <c r="Q1796" s="327"/>
      <c r="R1796" s="351"/>
      <c r="S1796" s="351"/>
      <c r="T1796" s="351"/>
      <c r="U1796" s="329" t="str">
        <f>IF($N1796=$N$4,IFERROR(INDEX(DanhMuc!$E$154:$E$165,MATCH(MID($B1796,4,2),DanhMuc!$B$154:$B$165,0)),""),"")</f>
        <v/>
      </c>
      <c r="V1796" s="361"/>
      <c r="W1796" s="345"/>
      <c r="X1796" s="329" t="str">
        <f t="shared" si="216"/>
        <v>FI</v>
      </c>
      <c r="Y1796" s="1128" t="s">
        <v>3380</v>
      </c>
      <c r="Z1796" s="1128" t="s">
        <v>3381</v>
      </c>
      <c r="AA1796" s="1128" t="s">
        <v>3384</v>
      </c>
      <c r="AB1796" s="20"/>
      <c r="AC1796" s="73"/>
    </row>
    <row r="1797" spans="1:29" ht="25">
      <c r="A1797" s="327" t="str">
        <f>IF(AND($B1797&lt;&gt;"",$C1797&lt;&gt;""),MAX($A$1556:A1796)+1,"")</f>
        <v/>
      </c>
      <c r="B1797" s="361" t="s">
        <v>3161</v>
      </c>
      <c r="C1797" s="360"/>
      <c r="D1797" s="327">
        <f>IF($B1797="","",COUNTIF($B$6:$B1797,$B1797))</f>
        <v>9</v>
      </c>
      <c r="E1797" s="361" t="s">
        <v>3141</v>
      </c>
      <c r="F1797" s="362" t="s">
        <v>3145</v>
      </c>
      <c r="G1797" s="327" t="s">
        <v>297</v>
      </c>
      <c r="H1797" s="327"/>
      <c r="I1797" s="327">
        <v>1</v>
      </c>
      <c r="J1797" s="345"/>
      <c r="K1797" s="327"/>
      <c r="L1797" s="389">
        <v>650000</v>
      </c>
      <c r="M1797" s="371"/>
      <c r="N1797" s="355" t="str">
        <f t="shared" si="225"/>
        <v>PK</v>
      </c>
      <c r="O1797" s="404" t="s">
        <v>3142</v>
      </c>
      <c r="P1797" s="392"/>
      <c r="Q1797" s="327"/>
      <c r="R1797" s="351"/>
      <c r="S1797" s="351"/>
      <c r="T1797" s="351"/>
      <c r="U1797" s="329" t="str">
        <f>IF($N1797=$N$4,IFERROR(INDEX(DanhMuc!$E$154:$E$165,MATCH(MID($B1797,4,2),DanhMuc!$B$154:$B$165,0)),""),"")</f>
        <v/>
      </c>
      <c r="V1797" s="361"/>
      <c r="W1797" s="345"/>
      <c r="X1797" s="329" t="str">
        <f t="shared" si="216"/>
        <v>FI</v>
      </c>
      <c r="Y1797" s="1128" t="s">
        <v>3380</v>
      </c>
      <c r="Z1797" s="1128" t="s">
        <v>3381</v>
      </c>
      <c r="AA1797" s="1128" t="s">
        <v>3384</v>
      </c>
      <c r="AB1797" s="20"/>
      <c r="AC1797" s="73"/>
    </row>
    <row r="1798" spans="1:29">
      <c r="A1798" s="327" t="str">
        <f>IF(AND($B1798&lt;&gt;"",$C1798&lt;&gt;""),MAX($A$1556:A1797)+1,"")</f>
        <v/>
      </c>
      <c r="B1798" s="361" t="s">
        <v>3161</v>
      </c>
      <c r="C1798" s="360"/>
      <c r="D1798" s="327">
        <f>IF($B1798="","",COUNTIF($B$6:$B1798,$B1798))</f>
        <v>10</v>
      </c>
      <c r="E1798" s="361" t="s">
        <v>3146</v>
      </c>
      <c r="F1798" s="362" t="s">
        <v>3147</v>
      </c>
      <c r="G1798" s="327" t="s">
        <v>155</v>
      </c>
      <c r="H1798" s="327"/>
      <c r="I1798" s="327">
        <v>1</v>
      </c>
      <c r="J1798" s="345"/>
      <c r="K1798" s="327"/>
      <c r="L1798" s="389">
        <v>48000</v>
      </c>
      <c r="M1798" s="371"/>
      <c r="N1798" s="355" t="str">
        <f t="shared" si="225"/>
        <v>PK</v>
      </c>
      <c r="O1798" s="404" t="s">
        <v>3148</v>
      </c>
      <c r="P1798" s="392"/>
      <c r="Q1798" s="327"/>
      <c r="R1798" s="351"/>
      <c r="S1798" s="351"/>
      <c r="T1798" s="351"/>
      <c r="U1798" s="329" t="str">
        <f>IF($N1798=$N$4,IFERROR(INDEX(DanhMuc!$E$154:$E$165,MATCH(MID($B1798,4,2),DanhMuc!$B$154:$B$165,0)),""),"")</f>
        <v/>
      </c>
      <c r="V1798" s="361"/>
      <c r="W1798" s="345"/>
      <c r="X1798" s="329" t="str">
        <f t="shared" si="216"/>
        <v>FI</v>
      </c>
      <c r="Y1798" s="1128" t="s">
        <v>3380</v>
      </c>
      <c r="Z1798" s="1128" t="s">
        <v>3381</v>
      </c>
      <c r="AA1798" s="1128" t="s">
        <v>3384</v>
      </c>
      <c r="AB1798" s="20"/>
      <c r="AC1798" s="73"/>
    </row>
    <row r="1799" spans="1:29">
      <c r="A1799" s="327" t="str">
        <f>IF(AND($B1799&lt;&gt;"",$C1799&lt;&gt;""),MAX($A$1556:A1798)+1,"")</f>
        <v/>
      </c>
      <c r="B1799" s="361" t="s">
        <v>3161</v>
      </c>
      <c r="C1799" s="360"/>
      <c r="D1799" s="327">
        <f>IF($B1799="","",COUNTIF($B$6:$B1799,$B1799))</f>
        <v>11</v>
      </c>
      <c r="E1799" s="361" t="s">
        <v>3149</v>
      </c>
      <c r="F1799" s="362" t="s">
        <v>1803</v>
      </c>
      <c r="G1799" s="327" t="s">
        <v>155</v>
      </c>
      <c r="H1799" s="327"/>
      <c r="I1799" s="327">
        <v>1</v>
      </c>
      <c r="J1799" s="345"/>
      <c r="K1799" s="327"/>
      <c r="L1799" s="389">
        <v>290000</v>
      </c>
      <c r="M1799" s="371"/>
      <c r="N1799" s="355" t="str">
        <f t="shared" si="225"/>
        <v>PK</v>
      </c>
      <c r="O1799" s="404" t="s">
        <v>3148</v>
      </c>
      <c r="P1799" s="392"/>
      <c r="Q1799" s="327"/>
      <c r="R1799" s="351"/>
      <c r="S1799" s="351"/>
      <c r="T1799" s="351"/>
      <c r="U1799" s="329" t="str">
        <f>IF($N1799=$N$4,IFERROR(INDEX(DanhMuc!$E$154:$E$165,MATCH(MID($B1799,4,2),DanhMuc!$B$154:$B$165,0)),""),"")</f>
        <v/>
      </c>
      <c r="V1799" s="361"/>
      <c r="W1799" s="345"/>
      <c r="X1799" s="329" t="str">
        <f t="shared" si="216"/>
        <v>FI</v>
      </c>
      <c r="Y1799" s="1128" t="s">
        <v>3380</v>
      </c>
      <c r="Z1799" s="1128" t="s">
        <v>3381</v>
      </c>
      <c r="AA1799" s="1128" t="s">
        <v>3384</v>
      </c>
      <c r="AB1799" s="20"/>
      <c r="AC1799" s="73"/>
    </row>
    <row r="1800" spans="1:29">
      <c r="A1800" s="327" t="str">
        <f>IF(AND($B1800&lt;&gt;"",$C1800&lt;&gt;""),MAX($A$1556:A1799)+1,"")</f>
        <v/>
      </c>
      <c r="B1800" s="361" t="s">
        <v>3161</v>
      </c>
      <c r="C1800" s="360"/>
      <c r="D1800" s="327">
        <f>IF($B1800="","",COUNTIF($B$6:$B1800,$B1800))</f>
        <v>12</v>
      </c>
      <c r="E1800" s="361" t="s">
        <v>3150</v>
      </c>
      <c r="F1800" s="362" t="s">
        <v>3151</v>
      </c>
      <c r="G1800" s="327" t="s">
        <v>155</v>
      </c>
      <c r="H1800" s="327"/>
      <c r="I1800" s="327">
        <v>1</v>
      </c>
      <c r="J1800" s="345"/>
      <c r="K1800" s="327"/>
      <c r="L1800" s="389">
        <v>90000</v>
      </c>
      <c r="M1800" s="371"/>
      <c r="N1800" s="355" t="str">
        <f t="shared" si="225"/>
        <v>PK</v>
      </c>
      <c r="O1800" s="404" t="s">
        <v>3148</v>
      </c>
      <c r="P1800" s="392"/>
      <c r="Q1800" s="327"/>
      <c r="R1800" s="351"/>
      <c r="S1800" s="351"/>
      <c r="T1800" s="351"/>
      <c r="U1800" s="329" t="str">
        <f>IF($N1800=$N$4,IFERROR(INDEX(DanhMuc!$E$154:$E$165,MATCH(MID($B1800,4,2),DanhMuc!$B$154:$B$165,0)),""),"")</f>
        <v/>
      </c>
      <c r="V1800" s="361"/>
      <c r="W1800" s="345"/>
      <c r="X1800" s="329" t="str">
        <f t="shared" si="216"/>
        <v>FI</v>
      </c>
      <c r="Y1800" s="1128" t="s">
        <v>3380</v>
      </c>
      <c r="Z1800" s="1128" t="s">
        <v>3381</v>
      </c>
      <c r="AA1800" s="1128" t="s">
        <v>3384</v>
      </c>
      <c r="AB1800" s="20"/>
      <c r="AC1800" s="73"/>
    </row>
    <row r="1801" spans="1:29">
      <c r="A1801" s="327" t="str">
        <f>IF(AND($B1801&lt;&gt;"",$C1801&lt;&gt;""),MAX($A$1556:A1800)+1,"")</f>
        <v/>
      </c>
      <c r="B1801" s="361" t="s">
        <v>3161</v>
      </c>
      <c r="C1801" s="360"/>
      <c r="D1801" s="327">
        <f>IF($B1801="","",COUNTIF($B$6:$B1801,$B1801))</f>
        <v>13</v>
      </c>
      <c r="E1801" s="361" t="s">
        <v>3152</v>
      </c>
      <c r="F1801" s="362" t="s">
        <v>3153</v>
      </c>
      <c r="G1801" s="327" t="s">
        <v>155</v>
      </c>
      <c r="H1801" s="327"/>
      <c r="I1801" s="327">
        <v>1</v>
      </c>
      <c r="J1801" s="345"/>
      <c r="K1801" s="327"/>
      <c r="L1801" s="389">
        <v>230000</v>
      </c>
      <c r="M1801" s="371"/>
      <c r="N1801" s="355" t="str">
        <f t="shared" si="225"/>
        <v>PK</v>
      </c>
      <c r="O1801" s="404" t="s">
        <v>3148</v>
      </c>
      <c r="P1801" s="392"/>
      <c r="Q1801" s="327"/>
      <c r="R1801" s="351"/>
      <c r="S1801" s="351"/>
      <c r="T1801" s="351"/>
      <c r="U1801" s="329" t="str">
        <f>IF($N1801=$N$4,IFERROR(INDEX(DanhMuc!$E$154:$E$165,MATCH(MID($B1801,4,2),DanhMuc!$B$154:$B$165,0)),""),"")</f>
        <v/>
      </c>
      <c r="V1801" s="361"/>
      <c r="W1801" s="345"/>
      <c r="X1801" s="329" t="str">
        <f t="shared" si="216"/>
        <v>FI</v>
      </c>
      <c r="Y1801" s="1128" t="s">
        <v>3380</v>
      </c>
      <c r="Z1801" s="1128" t="s">
        <v>3381</v>
      </c>
      <c r="AA1801" s="1128" t="s">
        <v>3384</v>
      </c>
      <c r="AB1801" s="20"/>
      <c r="AC1801" s="73"/>
    </row>
    <row r="1802" spans="1:29" ht="25">
      <c r="A1802" s="327" t="str">
        <f>IF(AND($B1802&lt;&gt;"",$C1802&lt;&gt;""),MAX($A$1556:A1795)+1,"")</f>
        <v/>
      </c>
      <c r="B1802" s="361" t="s">
        <v>3161</v>
      </c>
      <c r="C1802" s="360"/>
      <c r="D1802" s="327">
        <f>IF($B1802="","",COUNTIF($B$6:$B1802,$B1802))</f>
        <v>14</v>
      </c>
      <c r="E1802" s="361" t="s">
        <v>209</v>
      </c>
      <c r="F1802" s="362" t="s">
        <v>210</v>
      </c>
      <c r="G1802" s="327" t="s">
        <v>155</v>
      </c>
      <c r="H1802" s="327"/>
      <c r="I1802" s="327">
        <v>1</v>
      </c>
      <c r="J1802" s="359"/>
      <c r="K1802" s="327"/>
      <c r="L1802" s="389">
        <v>70000</v>
      </c>
      <c r="M1802" s="371"/>
      <c r="N1802" s="355" t="s">
        <v>153</v>
      </c>
      <c r="O1802" s="404" t="s">
        <v>1782</v>
      </c>
      <c r="P1802" s="392"/>
      <c r="Q1802" s="327"/>
      <c r="R1802" s="351"/>
      <c r="S1802" s="351"/>
      <c r="T1802" s="351"/>
      <c r="U1802" s="329" t="str">
        <f>IF($N1802=$N$4,IFERROR(INDEX(DanhMuc!$E$154:$E$165,MATCH(MID($B1802,4,2),DanhMuc!$B$154:$B$165,0)),""),"")</f>
        <v/>
      </c>
      <c r="V1802" s="361"/>
      <c r="W1802" s="345"/>
      <c r="X1802" s="329" t="str">
        <f t="shared" si="216"/>
        <v>FI</v>
      </c>
      <c r="Y1802" s="1128" t="s">
        <v>3380</v>
      </c>
      <c r="Z1802" s="1128" t="s">
        <v>3381</v>
      </c>
      <c r="AA1802" s="1128" t="s">
        <v>3384</v>
      </c>
      <c r="AB1802" s="20"/>
      <c r="AC1802" s="73"/>
    </row>
    <row r="1803" spans="1:29">
      <c r="A1803" s="327" t="str">
        <f>IF(AND($B1803&lt;&gt;"",$C1803&lt;&gt;""),MAX($A$1556:A1802)+1,"")</f>
        <v/>
      </c>
      <c r="B1803" s="361" t="s">
        <v>3161</v>
      </c>
      <c r="C1803" s="360"/>
      <c r="D1803" s="327">
        <f>IF($B1803="","",COUNTIF($B$6:$B1803,$B1803))</f>
        <v>15</v>
      </c>
      <c r="E1803" s="402" t="s">
        <v>952</v>
      </c>
      <c r="F1803" s="403" t="s">
        <v>953</v>
      </c>
      <c r="G1803" s="410" t="s">
        <v>156</v>
      </c>
      <c r="H1803" s="327" t="s">
        <v>536</v>
      </c>
      <c r="I1803" s="411" t="s">
        <v>2856</v>
      </c>
      <c r="J1803" s="404"/>
      <c r="K1803" s="410"/>
      <c r="L1803" s="389">
        <v>27000</v>
      </c>
      <c r="M1803" s="371"/>
      <c r="N1803" s="355" t="s">
        <v>153</v>
      </c>
      <c r="O1803" s="404" t="s">
        <v>1782</v>
      </c>
      <c r="P1803" s="392"/>
      <c r="Q1803" s="327"/>
      <c r="R1803" s="351"/>
      <c r="S1803" s="351"/>
      <c r="T1803" s="351"/>
      <c r="U1803" s="329" t="str">
        <f>IF($N1803=$N$4,IFERROR(INDEX(DanhMuc!$E$154:$E$165,MATCH(MID($B1803,4,2),DanhMuc!$B$154:$B$165,0)),""),"")</f>
        <v/>
      </c>
      <c r="V1803" s="361"/>
      <c r="W1803" s="345"/>
      <c r="X1803" s="329" t="str">
        <f t="shared" si="216"/>
        <v>FI</v>
      </c>
      <c r="Y1803" s="1128" t="s">
        <v>3380</v>
      </c>
      <c r="Z1803" s="1128" t="s">
        <v>3381</v>
      </c>
      <c r="AA1803" s="1128" t="s">
        <v>3384</v>
      </c>
      <c r="AB1803" s="20"/>
      <c r="AC1803" s="73"/>
    </row>
    <row r="1804" spans="1:29">
      <c r="A1804" s="327" t="str">
        <f>IF(AND($B1804&lt;&gt;"",$C1804&lt;&gt;""),MAX($A$1556:A1803)+1,"")</f>
        <v/>
      </c>
      <c r="B1804" s="361" t="s">
        <v>3161</v>
      </c>
      <c r="C1804" s="360"/>
      <c r="D1804" s="327">
        <f>IF($B1804="","",COUNTIF($B$6:$B1804,$B1804))</f>
        <v>16</v>
      </c>
      <c r="E1804" s="402" t="s">
        <v>954</v>
      </c>
      <c r="F1804" s="403" t="s">
        <v>1059</v>
      </c>
      <c r="G1804" s="410" t="s">
        <v>156</v>
      </c>
      <c r="H1804" s="327" t="s">
        <v>536</v>
      </c>
      <c r="I1804" s="411" t="s">
        <v>2853</v>
      </c>
      <c r="J1804" s="404"/>
      <c r="K1804" s="410"/>
      <c r="L1804" s="415">
        <v>35000</v>
      </c>
      <c r="M1804" s="371"/>
      <c r="N1804" s="355" t="s">
        <v>153</v>
      </c>
      <c r="O1804" s="404" t="s">
        <v>1782</v>
      </c>
      <c r="P1804" s="392"/>
      <c r="Q1804" s="327"/>
      <c r="R1804" s="351"/>
      <c r="S1804" s="351"/>
      <c r="T1804" s="351"/>
      <c r="U1804" s="329" t="str">
        <f>IF($N1804=$N$4,IFERROR(INDEX(DanhMuc!$E$154:$E$165,MATCH(MID($B1804,4,2),DanhMuc!$B$154:$B$165,0)),""),"")</f>
        <v/>
      </c>
      <c r="V1804" s="361"/>
      <c r="W1804" s="345"/>
      <c r="X1804" s="329" t="str">
        <f t="shared" si="216"/>
        <v>FI</v>
      </c>
      <c r="Y1804" s="1128" t="s">
        <v>3380</v>
      </c>
      <c r="Z1804" s="1128" t="s">
        <v>3381</v>
      </c>
      <c r="AA1804" s="1128" t="s">
        <v>3384</v>
      </c>
      <c r="AB1804" s="20"/>
      <c r="AC1804" s="73"/>
    </row>
    <row r="1805" spans="1:29">
      <c r="A1805" s="327" t="str">
        <f>IF(AND($B1805&lt;&gt;"",$C1805&lt;&gt;""),MAX($A$1556:A1804)+1,"")</f>
        <v/>
      </c>
      <c r="B1805" s="361" t="s">
        <v>3161</v>
      </c>
      <c r="C1805" s="360"/>
      <c r="D1805" s="327">
        <f>IF($B1805="","",COUNTIF($B$6:$B1805,$B1805))</f>
        <v>17</v>
      </c>
      <c r="E1805" s="402" t="s">
        <v>955</v>
      </c>
      <c r="F1805" s="403" t="s">
        <v>956</v>
      </c>
      <c r="G1805" s="410" t="s">
        <v>156</v>
      </c>
      <c r="H1805" s="327" t="s">
        <v>536</v>
      </c>
      <c r="I1805" s="411" t="s">
        <v>2854</v>
      </c>
      <c r="J1805" s="404"/>
      <c r="K1805" s="410"/>
      <c r="L1805" s="389">
        <v>37000</v>
      </c>
      <c r="M1805" s="371"/>
      <c r="N1805" s="355" t="s">
        <v>153</v>
      </c>
      <c r="O1805" s="404" t="s">
        <v>1782</v>
      </c>
      <c r="P1805" s="392"/>
      <c r="Q1805" s="327"/>
      <c r="R1805" s="351"/>
      <c r="S1805" s="351"/>
      <c r="T1805" s="351"/>
      <c r="U1805" s="329" t="str">
        <f>IF($N1805=$N$4,IFERROR(INDEX(DanhMuc!$E$154:$E$165,MATCH(MID($B1805,4,2),DanhMuc!$B$154:$B$165,0)),""),"")</f>
        <v/>
      </c>
      <c r="V1805" s="361"/>
      <c r="W1805" s="345"/>
      <c r="X1805" s="329" t="str">
        <f t="shared" si="216"/>
        <v>FI</v>
      </c>
      <c r="Y1805" s="1128" t="s">
        <v>3380</v>
      </c>
      <c r="Z1805" s="1128" t="s">
        <v>3381</v>
      </c>
      <c r="AA1805" s="1128" t="s">
        <v>3384</v>
      </c>
      <c r="AB1805" s="20"/>
      <c r="AC1805" s="73"/>
    </row>
    <row r="1806" spans="1:29">
      <c r="A1806" s="327" t="str">
        <f>IF(AND($B1806&lt;&gt;"",$C1806&lt;&gt;""),MAX($A$1556:A1805)+1,"")</f>
        <v/>
      </c>
      <c r="B1806" s="361" t="s">
        <v>3161</v>
      </c>
      <c r="C1806" s="360"/>
      <c r="D1806" s="327">
        <f>IF($B1806="","",COUNTIF($B$6:$B1806,$B1806))</f>
        <v>18</v>
      </c>
      <c r="E1806" s="402" t="s">
        <v>182</v>
      </c>
      <c r="F1806" s="403" t="s">
        <v>183</v>
      </c>
      <c r="G1806" s="410" t="s">
        <v>156</v>
      </c>
      <c r="H1806" s="327" t="s">
        <v>536</v>
      </c>
      <c r="I1806" s="411" t="s">
        <v>2855</v>
      </c>
      <c r="J1806" s="404"/>
      <c r="K1806" s="410"/>
      <c r="L1806" s="389">
        <v>45000</v>
      </c>
      <c r="M1806" s="371"/>
      <c r="N1806" s="355" t="s">
        <v>153</v>
      </c>
      <c r="O1806" s="404" t="s">
        <v>1782</v>
      </c>
      <c r="P1806" s="392"/>
      <c r="Q1806" s="327"/>
      <c r="R1806" s="351"/>
      <c r="S1806" s="351"/>
      <c r="T1806" s="351"/>
      <c r="U1806" s="329" t="str">
        <f>IF($N1806=$N$4,IFERROR(INDEX(DanhMuc!$E$154:$E$165,MATCH(MID($B1806,4,2),DanhMuc!$B$154:$B$165,0)),""),"")</f>
        <v/>
      </c>
      <c r="V1806" s="361"/>
      <c r="W1806" s="345"/>
      <c r="X1806" s="329" t="str">
        <f t="shared" si="216"/>
        <v>FI</v>
      </c>
      <c r="Y1806" s="1128" t="s">
        <v>3380</v>
      </c>
      <c r="Z1806" s="1128" t="s">
        <v>3381</v>
      </c>
      <c r="AA1806" s="1128" t="s">
        <v>3384</v>
      </c>
      <c r="AB1806" s="20"/>
      <c r="AC1806" s="73"/>
    </row>
    <row r="1807" spans="1:29">
      <c r="A1807" s="327" t="str">
        <f>IF(AND($B1807&lt;&gt;"",$C1807&lt;&gt;""),MAX($A$1556:A1806)+1,"")</f>
        <v/>
      </c>
      <c r="B1807" s="361" t="s">
        <v>3161</v>
      </c>
      <c r="C1807" s="360"/>
      <c r="D1807" s="327">
        <f>IF($B1807="","",COUNTIF($B$6:$B1807,$B1807))</f>
        <v>19</v>
      </c>
      <c r="E1807" s="361" t="s">
        <v>184</v>
      </c>
      <c r="F1807" s="362" t="s">
        <v>981</v>
      </c>
      <c r="G1807" s="327" t="s">
        <v>155</v>
      </c>
      <c r="H1807" s="327" t="s">
        <v>536</v>
      </c>
      <c r="I1807" s="327">
        <v>2</v>
      </c>
      <c r="J1807" s="359"/>
      <c r="K1807" s="327"/>
      <c r="L1807" s="389">
        <v>6500</v>
      </c>
      <c r="M1807" s="371"/>
      <c r="N1807" s="355" t="str">
        <f t="shared" ref="N1807:N1819" si="226">+$N$1555</f>
        <v>PK</v>
      </c>
      <c r="O1807" s="404" t="s">
        <v>1782</v>
      </c>
      <c r="P1807" s="392"/>
      <c r="Q1807" s="327"/>
      <c r="R1807" s="351"/>
      <c r="S1807" s="351"/>
      <c r="T1807" s="351"/>
      <c r="U1807" s="329" t="str">
        <f>IF($N1807=$N$4,IFERROR(INDEX(DanhMuc!$E$154:$E$165,MATCH(MID($B1807,4,2),DanhMuc!$B$154:$B$165,0)),""),"")</f>
        <v/>
      </c>
      <c r="V1807" s="361"/>
      <c r="W1807" s="345"/>
      <c r="X1807" s="329" t="str">
        <f t="shared" si="216"/>
        <v>FI</v>
      </c>
      <c r="Y1807" s="1128" t="s">
        <v>3380</v>
      </c>
      <c r="Z1807" s="1128" t="s">
        <v>3381</v>
      </c>
      <c r="AA1807" s="1128" t="s">
        <v>3384</v>
      </c>
      <c r="AB1807" s="20"/>
      <c r="AC1807" s="73"/>
    </row>
    <row r="1808" spans="1:29">
      <c r="A1808" s="327" t="str">
        <f>IF(AND($B1808&lt;&gt;"",$C1808&lt;&gt;""),MAX($A$1556:A1807)+1,"")</f>
        <v/>
      </c>
      <c r="B1808" s="361" t="s">
        <v>3161</v>
      </c>
      <c r="C1808" s="360"/>
      <c r="D1808" s="327">
        <f>IF($B1808="","",COUNTIF($B$6:$B1808,$B1808))</f>
        <v>20</v>
      </c>
      <c r="E1808" s="361" t="s">
        <v>187</v>
      </c>
      <c r="F1808" s="362" t="s">
        <v>189</v>
      </c>
      <c r="G1808" s="327" t="s">
        <v>155</v>
      </c>
      <c r="H1808" s="327"/>
      <c r="I1808" s="327">
        <v>4</v>
      </c>
      <c r="J1808" s="361"/>
      <c r="K1808" s="327"/>
      <c r="L1808" s="389">
        <v>5000</v>
      </c>
      <c r="M1808" s="371"/>
      <c r="N1808" s="355" t="str">
        <f t="shared" si="226"/>
        <v>PK</v>
      </c>
      <c r="O1808" s="345"/>
      <c r="P1808" s="392"/>
      <c r="Q1808" s="327"/>
      <c r="R1808" s="351"/>
      <c r="S1808" s="351"/>
      <c r="T1808" s="351"/>
      <c r="U1808" s="329" t="str">
        <f>IF($N1808=$N$4,IFERROR(INDEX(DanhMuc!$E$154:$E$165,MATCH(MID($B1808,4,2),DanhMuc!$B$154:$B$165,0)),""),"")</f>
        <v/>
      </c>
      <c r="V1808" s="361"/>
      <c r="W1808" s="345"/>
      <c r="X1808" s="329" t="str">
        <f t="shared" si="216"/>
        <v>FI</v>
      </c>
      <c r="Y1808" s="1128" t="s">
        <v>3380</v>
      </c>
      <c r="Z1808" s="1128" t="s">
        <v>3381</v>
      </c>
      <c r="AA1808" s="1128" t="s">
        <v>3384</v>
      </c>
      <c r="AB1808" s="20"/>
      <c r="AC1808" s="73"/>
    </row>
    <row r="1809" spans="1:29">
      <c r="A1809" s="327" t="str">
        <f>IF(AND($B1809&lt;&gt;"",$C1809&lt;&gt;""),MAX($A$1556:A1808)+1,"")</f>
        <v/>
      </c>
      <c r="B1809" s="361" t="s">
        <v>3161</v>
      </c>
      <c r="C1809" s="360"/>
      <c r="D1809" s="327">
        <f>IF($B1809="","",COUNTIF($B$6:$B1809,$B1809))</f>
        <v>21</v>
      </c>
      <c r="E1809" s="361" t="s">
        <v>172</v>
      </c>
      <c r="F1809" s="362" t="s">
        <v>173</v>
      </c>
      <c r="G1809" s="327" t="s">
        <v>155</v>
      </c>
      <c r="H1809" s="327"/>
      <c r="I1809" s="327">
        <v>2</v>
      </c>
      <c r="J1809" s="361"/>
      <c r="K1809" s="327"/>
      <c r="L1809" s="389">
        <v>6000</v>
      </c>
      <c r="M1809" s="371"/>
      <c r="N1809" s="355" t="str">
        <f t="shared" si="226"/>
        <v>PK</v>
      </c>
      <c r="O1809" s="345"/>
      <c r="P1809" s="392"/>
      <c r="Q1809" s="327"/>
      <c r="R1809" s="351"/>
      <c r="S1809" s="351"/>
      <c r="T1809" s="351"/>
      <c r="U1809" s="329" t="str">
        <f>IF($N1809=$N$4,IFERROR(INDEX(DanhMuc!$E$154:$E$165,MATCH(MID($B1809,4,2),DanhMuc!$B$154:$B$165,0)),""),"")</f>
        <v/>
      </c>
      <c r="V1809" s="361"/>
      <c r="W1809" s="345"/>
      <c r="X1809" s="329" t="str">
        <f t="shared" si="216"/>
        <v>FI</v>
      </c>
      <c r="Y1809" s="1128" t="s">
        <v>3380</v>
      </c>
      <c r="Z1809" s="1128" t="s">
        <v>3381</v>
      </c>
      <c r="AA1809" s="1128" t="s">
        <v>3384</v>
      </c>
      <c r="AB1809" s="20"/>
      <c r="AC1809" s="73"/>
    </row>
    <row r="1810" spans="1:29">
      <c r="A1810" s="327" t="str">
        <f>IF(AND($B1810&lt;&gt;"",$C1810&lt;&gt;""),MAX($A$1556:A1809)+1,"")</f>
        <v/>
      </c>
      <c r="B1810" s="361" t="s">
        <v>3161</v>
      </c>
      <c r="C1810" s="360"/>
      <c r="D1810" s="327">
        <f>IF($B1810="","",COUNTIF($B$6:$B1810,$B1810))</f>
        <v>22</v>
      </c>
      <c r="E1810" s="361" t="s">
        <v>163</v>
      </c>
      <c r="F1810" s="362" t="s">
        <v>164</v>
      </c>
      <c r="G1810" s="327" t="s">
        <v>155</v>
      </c>
      <c r="H1810" s="327"/>
      <c r="I1810" s="327">
        <v>4</v>
      </c>
      <c r="J1810" s="361"/>
      <c r="K1810" s="327"/>
      <c r="L1810" s="389">
        <v>2500</v>
      </c>
      <c r="M1810" s="371"/>
      <c r="N1810" s="355" t="str">
        <f t="shared" si="226"/>
        <v>PK</v>
      </c>
      <c r="O1810" s="345"/>
      <c r="P1810" s="392"/>
      <c r="Q1810" s="327"/>
      <c r="R1810" s="351"/>
      <c r="S1810" s="351"/>
      <c r="T1810" s="351"/>
      <c r="U1810" s="329" t="str">
        <f>IF($N1810=$N$4,IFERROR(INDEX(DanhMuc!$E$154:$E$165,MATCH(MID($B1810,4,2),DanhMuc!$B$154:$B$165,0)),""),"")</f>
        <v/>
      </c>
      <c r="V1810" s="408" t="s">
        <v>342</v>
      </c>
      <c r="W1810" s="345"/>
      <c r="X1810" s="329" t="str">
        <f t="shared" si="216"/>
        <v>FI</v>
      </c>
      <c r="Y1810" s="1128" t="s">
        <v>3380</v>
      </c>
      <c r="Z1810" s="1128" t="s">
        <v>3381</v>
      </c>
      <c r="AA1810" s="1128" t="s">
        <v>3384</v>
      </c>
      <c r="AB1810" s="20"/>
      <c r="AC1810" s="73"/>
    </row>
    <row r="1811" spans="1:29">
      <c r="A1811" s="327" t="str">
        <f>IF(AND($B1811&lt;&gt;"",$C1811&lt;&gt;""),MAX($A$1556:A1810)+1,"")</f>
        <v/>
      </c>
      <c r="B1811" s="361" t="s">
        <v>3161</v>
      </c>
      <c r="C1811" s="360"/>
      <c r="D1811" s="327">
        <f>IF($B1811="","",COUNTIF($B$6:$B1811,$B1811))</f>
        <v>23</v>
      </c>
      <c r="E1811" s="361" t="s">
        <v>185</v>
      </c>
      <c r="F1811" s="362" t="s">
        <v>186</v>
      </c>
      <c r="G1811" s="327" t="s">
        <v>155</v>
      </c>
      <c r="H1811" s="327" t="s">
        <v>536</v>
      </c>
      <c r="I1811" s="327">
        <v>8</v>
      </c>
      <c r="J1811" s="361"/>
      <c r="K1811" s="327"/>
      <c r="L1811" s="389">
        <v>41000</v>
      </c>
      <c r="M1811" s="371"/>
      <c r="N1811" s="355" t="str">
        <f t="shared" si="226"/>
        <v>PK</v>
      </c>
      <c r="O1811" s="345"/>
      <c r="P1811" s="392"/>
      <c r="Q1811" s="327"/>
      <c r="R1811" s="351"/>
      <c r="S1811" s="351"/>
      <c r="T1811" s="351"/>
      <c r="U1811" s="329" t="str">
        <f>IF($N1811=$N$4,IFERROR(INDEX(DanhMuc!$E$154:$E$165,MATCH(MID($B1811,4,2),DanhMuc!$B$154:$B$165,0)),""),"")</f>
        <v/>
      </c>
      <c r="V1811" s="361"/>
      <c r="W1811" s="345"/>
      <c r="X1811" s="329" t="str">
        <f t="shared" si="216"/>
        <v>FI</v>
      </c>
      <c r="Y1811" s="1128" t="s">
        <v>3380</v>
      </c>
      <c r="Z1811" s="1128" t="s">
        <v>3381</v>
      </c>
      <c r="AA1811" s="1128" t="s">
        <v>3384</v>
      </c>
      <c r="AB1811" s="20"/>
      <c r="AC1811" s="73"/>
    </row>
    <row r="1812" spans="1:29">
      <c r="A1812" s="327" t="str">
        <f>IF(AND($B1812&lt;&gt;"",$C1812&lt;&gt;""),MAX($A$1556:A1811)+1,"")</f>
        <v/>
      </c>
      <c r="B1812" s="361" t="s">
        <v>3161</v>
      </c>
      <c r="C1812" s="360"/>
      <c r="D1812" s="327">
        <f>IF($B1812="","",COUNTIF($B$6:$B1812,$B1812))</f>
        <v>24</v>
      </c>
      <c r="E1812" s="361" t="s">
        <v>165</v>
      </c>
      <c r="F1812" s="362" t="s">
        <v>166</v>
      </c>
      <c r="G1812" s="327" t="s">
        <v>155</v>
      </c>
      <c r="H1812" s="327"/>
      <c r="I1812" s="327">
        <v>4</v>
      </c>
      <c r="J1812" s="361"/>
      <c r="K1812" s="327"/>
      <c r="L1812" s="389">
        <v>1700</v>
      </c>
      <c r="M1812" s="371"/>
      <c r="N1812" s="355" t="str">
        <f t="shared" si="226"/>
        <v>PK</v>
      </c>
      <c r="O1812" s="345"/>
      <c r="P1812" s="392"/>
      <c r="Q1812" s="327"/>
      <c r="R1812" s="351"/>
      <c r="S1812" s="351"/>
      <c r="T1812" s="351"/>
      <c r="U1812" s="329" t="str">
        <f>IF($N1812=$N$4,IFERROR(INDEX(DanhMuc!$E$154:$E$165,MATCH(MID($B1812,4,2),DanhMuc!$B$154:$B$165,0)),""),"")</f>
        <v/>
      </c>
      <c r="V1812" s="361"/>
      <c r="W1812" s="345"/>
      <c r="X1812" s="329" t="str">
        <f t="shared" si="216"/>
        <v>FI</v>
      </c>
      <c r="Y1812" s="1128" t="s">
        <v>3380</v>
      </c>
      <c r="Z1812" s="1128" t="s">
        <v>3381</v>
      </c>
      <c r="AA1812" s="1128" t="s">
        <v>3384</v>
      </c>
      <c r="AB1812" s="20"/>
      <c r="AC1812" s="73"/>
    </row>
    <row r="1813" spans="1:29">
      <c r="A1813" s="327" t="str">
        <f>IF(AND($B1813&lt;&gt;"",$C1813&lt;&gt;""),MAX($A$1556:A1812)+1,"")</f>
        <v/>
      </c>
      <c r="B1813" s="361" t="s">
        <v>3161</v>
      </c>
      <c r="C1813" s="360"/>
      <c r="D1813" s="327">
        <f>IF($B1813="","",COUNTIF($B$6:$B1813,$B1813))</f>
        <v>25</v>
      </c>
      <c r="E1813" s="361" t="s">
        <v>167</v>
      </c>
      <c r="F1813" s="362" t="s">
        <v>168</v>
      </c>
      <c r="G1813" s="327" t="s">
        <v>155</v>
      </c>
      <c r="H1813" s="327"/>
      <c r="I1813" s="327">
        <v>4</v>
      </c>
      <c r="J1813" s="361"/>
      <c r="K1813" s="327"/>
      <c r="L1813" s="389">
        <v>1700</v>
      </c>
      <c r="M1813" s="371"/>
      <c r="N1813" s="355" t="str">
        <f t="shared" si="226"/>
        <v>PK</v>
      </c>
      <c r="O1813" s="345"/>
      <c r="P1813" s="392"/>
      <c r="Q1813" s="327"/>
      <c r="R1813" s="351"/>
      <c r="S1813" s="351"/>
      <c r="T1813" s="351"/>
      <c r="U1813" s="329" t="str">
        <f>IF($N1813=$N$4,IFERROR(INDEX(DanhMuc!$E$154:$E$165,MATCH(MID($B1813,4,2),DanhMuc!$B$154:$B$165,0)),""),"")</f>
        <v/>
      </c>
      <c r="V1813" s="361"/>
      <c r="W1813" s="345"/>
      <c r="X1813" s="329" t="str">
        <f t="shared" si="216"/>
        <v>FI</v>
      </c>
      <c r="Y1813" s="1128" t="s">
        <v>3380</v>
      </c>
      <c r="Z1813" s="1128" t="s">
        <v>3381</v>
      </c>
      <c r="AA1813" s="1128" t="s">
        <v>3384</v>
      </c>
      <c r="AB1813" s="20"/>
      <c r="AC1813" s="73"/>
    </row>
    <row r="1814" spans="1:29">
      <c r="A1814" s="327" t="str">
        <f>IF(AND($B1814&lt;&gt;"",$C1814&lt;&gt;""),MAX($A$1556:A1813)+1,"")</f>
        <v/>
      </c>
      <c r="B1814" s="361" t="s">
        <v>3161</v>
      </c>
      <c r="C1814" s="360"/>
      <c r="D1814" s="327">
        <f>IF($B1814="","",COUNTIF($B$6:$B1814,$B1814))</f>
        <v>26</v>
      </c>
      <c r="E1814" s="361" t="s">
        <v>169</v>
      </c>
      <c r="F1814" s="362" t="s">
        <v>170</v>
      </c>
      <c r="G1814" s="327" t="s">
        <v>155</v>
      </c>
      <c r="H1814" s="327"/>
      <c r="I1814" s="327">
        <v>4</v>
      </c>
      <c r="J1814" s="361"/>
      <c r="K1814" s="327"/>
      <c r="L1814" s="389">
        <v>1700</v>
      </c>
      <c r="M1814" s="371"/>
      <c r="N1814" s="355" t="str">
        <f t="shared" si="226"/>
        <v>PK</v>
      </c>
      <c r="O1814" s="345"/>
      <c r="P1814" s="392"/>
      <c r="Q1814" s="327"/>
      <c r="R1814" s="351"/>
      <c r="S1814" s="351"/>
      <c r="T1814" s="351"/>
      <c r="U1814" s="329" t="str">
        <f>IF($N1814=$N$4,IFERROR(INDEX(DanhMuc!$E$154:$E$165,MATCH(MID($B1814,4,2),DanhMuc!$B$154:$B$165,0)),""),"")</f>
        <v/>
      </c>
      <c r="V1814" s="361"/>
      <c r="W1814" s="345"/>
      <c r="X1814" s="329" t="str">
        <f t="shared" si="216"/>
        <v>FI</v>
      </c>
      <c r="Y1814" s="1128" t="s">
        <v>3380</v>
      </c>
      <c r="Z1814" s="1128" t="s">
        <v>3381</v>
      </c>
      <c r="AA1814" s="1128" t="s">
        <v>3384</v>
      </c>
      <c r="AB1814" s="20"/>
      <c r="AC1814" s="73"/>
    </row>
    <row r="1815" spans="1:29">
      <c r="A1815" s="327" t="str">
        <f>IF(AND($B1815&lt;&gt;"",$C1815&lt;&gt;""),MAX($A$1556:A1814)+1,"")</f>
        <v/>
      </c>
      <c r="B1815" s="361" t="s">
        <v>3161</v>
      </c>
      <c r="C1815" s="360"/>
      <c r="D1815" s="327">
        <f>IF($B1815="","",COUNTIF($B$6:$B1815,$B1815))</f>
        <v>27</v>
      </c>
      <c r="E1815" s="361" t="s">
        <v>171</v>
      </c>
      <c r="F1815" s="362" t="s">
        <v>291</v>
      </c>
      <c r="G1815" s="327" t="s">
        <v>155</v>
      </c>
      <c r="H1815" s="327"/>
      <c r="I1815" s="327">
        <v>4</v>
      </c>
      <c r="J1815" s="361"/>
      <c r="K1815" s="327"/>
      <c r="L1815" s="389">
        <v>1700</v>
      </c>
      <c r="M1815" s="371"/>
      <c r="N1815" s="355" t="str">
        <f t="shared" si="226"/>
        <v>PK</v>
      </c>
      <c r="O1815" s="345"/>
      <c r="P1815" s="392"/>
      <c r="Q1815" s="327"/>
      <c r="R1815" s="351"/>
      <c r="S1815" s="351"/>
      <c r="T1815" s="351"/>
      <c r="U1815" s="329" t="str">
        <f>IF($N1815=$N$4,IFERROR(INDEX(DanhMuc!$E$154:$E$165,MATCH(MID($B1815,4,2),DanhMuc!$B$154:$B$165,0)),""),"")</f>
        <v/>
      </c>
      <c r="V1815" s="361"/>
      <c r="W1815" s="345"/>
      <c r="X1815" s="329" t="str">
        <f t="shared" si="216"/>
        <v>FI</v>
      </c>
      <c r="Y1815" s="1128" t="s">
        <v>3380</v>
      </c>
      <c r="Z1815" s="1128" t="s">
        <v>3381</v>
      </c>
      <c r="AA1815" s="1128" t="s">
        <v>3384</v>
      </c>
      <c r="AB1815" s="20"/>
      <c r="AC1815" s="73"/>
    </row>
    <row r="1816" spans="1:29" ht="37.5">
      <c r="A1816" s="327">
        <f>IF(AND($B1816&lt;&gt;"",$C1816&lt;&gt;""),MAX($A$1556:A1783)+1,"")</f>
        <v>7</v>
      </c>
      <c r="B1816" s="359" t="s">
        <v>1983</v>
      </c>
      <c r="C1816" s="360" t="s">
        <v>1536</v>
      </c>
      <c r="D1816" s="327">
        <f>IF($B1816="","",COUNTIF($B$6:$B1816,$B1816))</f>
        <v>1</v>
      </c>
      <c r="E1816" s="361" t="s">
        <v>739</v>
      </c>
      <c r="F1816" s="362" t="s">
        <v>740</v>
      </c>
      <c r="G1816" s="327" t="s">
        <v>297</v>
      </c>
      <c r="H1816" s="327"/>
      <c r="I1816" s="327">
        <v>1</v>
      </c>
      <c r="J1816" s="345"/>
      <c r="K1816" s="327"/>
      <c r="L1816" s="389">
        <v>199000</v>
      </c>
      <c r="M1816" s="371"/>
      <c r="N1816" s="355" t="str">
        <f t="shared" si="226"/>
        <v>PK</v>
      </c>
      <c r="O1816" s="345" t="s">
        <v>1783</v>
      </c>
      <c r="P1816" s="392"/>
      <c r="Q1816" s="327"/>
      <c r="R1816" s="351"/>
      <c r="S1816" s="351"/>
      <c r="T1816" s="351"/>
      <c r="U1816" s="329" t="str">
        <f>IF($N1816=$N$4,IFERROR(INDEX(DanhMuc!$E$154:$E$165,MATCH(MID($B1816,4,2),DanhMuc!$B$154:$B$165,0)),""),"")</f>
        <v/>
      </c>
      <c r="V1816" s="361"/>
      <c r="W1816" s="345"/>
      <c r="X1816" s="329" t="str">
        <f t="shared" si="216"/>
        <v>3H</v>
      </c>
      <c r="Y1816" s="1128" t="s">
        <v>3380</v>
      </c>
      <c r="Z1816" s="1128" t="s">
        <v>3381</v>
      </c>
      <c r="AA1816" s="1128" t="s">
        <v>3384</v>
      </c>
      <c r="AB1816" s="20"/>
      <c r="AC1816" s="73"/>
    </row>
    <row r="1817" spans="1:29">
      <c r="A1817" s="327" t="str">
        <f>IF(AND($B1817&lt;&gt;"",$C1817&lt;&gt;""),MAX($A$1556:A1816)+1,"")</f>
        <v/>
      </c>
      <c r="B1817" s="361" t="s">
        <v>1983</v>
      </c>
      <c r="C1817" s="360"/>
      <c r="D1817" s="327">
        <f>IF($B1817="","",COUNTIF($B$6:$B1817,$B1817))</f>
        <v>2</v>
      </c>
      <c r="E1817" s="361" t="s">
        <v>2852</v>
      </c>
      <c r="F1817" s="362" t="s">
        <v>2373</v>
      </c>
      <c r="G1817" s="327" t="s">
        <v>155</v>
      </c>
      <c r="H1817" s="327"/>
      <c r="I1817" s="327">
        <v>1</v>
      </c>
      <c r="J1817" s="345"/>
      <c r="K1817" s="327"/>
      <c r="L1817" s="389">
        <v>15000</v>
      </c>
      <c r="M1817" s="371"/>
      <c r="N1817" s="355" t="str">
        <f t="shared" si="226"/>
        <v>PK</v>
      </c>
      <c r="O1817" s="345" t="s">
        <v>1783</v>
      </c>
      <c r="P1817" s="392"/>
      <c r="Q1817" s="327"/>
      <c r="R1817" s="351"/>
      <c r="S1817" s="351"/>
      <c r="T1817" s="351"/>
      <c r="U1817" s="329" t="str">
        <f>IF($N1817=$N$4,IFERROR(INDEX(DanhMuc!$E$154:$E$165,MATCH(MID($B1817,4,2),DanhMuc!$B$154:$B$165,0)),""),"")</f>
        <v/>
      </c>
      <c r="V1817" s="361"/>
      <c r="W1817" s="345"/>
      <c r="X1817" s="329" t="str">
        <f t="shared" si="216"/>
        <v>3H</v>
      </c>
      <c r="Y1817" s="1128" t="s">
        <v>3380</v>
      </c>
      <c r="Z1817" s="1128" t="s">
        <v>3381</v>
      </c>
      <c r="AA1817" s="1128" t="s">
        <v>3384</v>
      </c>
      <c r="AB1817" s="20"/>
      <c r="AC1817" s="73"/>
    </row>
    <row r="1818" spans="1:29">
      <c r="A1818" s="327" t="str">
        <f>IF(AND($B1818&lt;&gt;"",$C1818&lt;&gt;""),MAX($A$1556:A1817)+1,"")</f>
        <v/>
      </c>
      <c r="B1818" s="361" t="s">
        <v>1983</v>
      </c>
      <c r="C1818" s="360"/>
      <c r="D1818" s="327">
        <f>IF($B1818="","",COUNTIF($B$6:$B1818,$B1818))</f>
        <v>3</v>
      </c>
      <c r="E1818" s="361" t="s">
        <v>3135</v>
      </c>
      <c r="F1818" s="362" t="s">
        <v>3136</v>
      </c>
      <c r="G1818" s="327" t="s">
        <v>155</v>
      </c>
      <c r="H1818" s="327"/>
      <c r="I1818" s="327">
        <v>1</v>
      </c>
      <c r="J1818" s="345"/>
      <c r="K1818" s="327"/>
      <c r="L1818" s="389">
        <v>140000</v>
      </c>
      <c r="M1818" s="371"/>
      <c r="N1818" s="355" t="str">
        <f t="shared" si="226"/>
        <v>PK</v>
      </c>
      <c r="O1818" s="404" t="s">
        <v>3137</v>
      </c>
      <c r="P1818" s="392"/>
      <c r="Q1818" s="327"/>
      <c r="R1818" s="351"/>
      <c r="S1818" s="351"/>
      <c r="T1818" s="351"/>
      <c r="U1818" s="329" t="str">
        <f>IF($N1818=$N$4,IFERROR(INDEX(DanhMuc!$E$154:$E$165,MATCH(MID($B1818,4,2),DanhMuc!$B$154:$B$165,0)),""),"")</f>
        <v/>
      </c>
      <c r="V1818" s="361"/>
      <c r="W1818" s="345"/>
      <c r="X1818" s="329" t="str">
        <f t="shared" si="216"/>
        <v>3H</v>
      </c>
      <c r="Y1818" s="1128" t="s">
        <v>3380</v>
      </c>
      <c r="Z1818" s="1128" t="s">
        <v>3381</v>
      </c>
      <c r="AA1818" s="1128" t="s">
        <v>3384</v>
      </c>
      <c r="AB1818" s="20"/>
      <c r="AC1818" s="73"/>
    </row>
    <row r="1819" spans="1:29">
      <c r="A1819" s="327" t="str">
        <f>IF(AND($B1819&lt;&gt;"",$C1819&lt;&gt;""),MAX($A$1556:A1818)+1,"")</f>
        <v/>
      </c>
      <c r="B1819" s="361" t="s">
        <v>1983</v>
      </c>
      <c r="C1819" s="360"/>
      <c r="D1819" s="327">
        <f>IF($B1819="","",COUNTIF($B$6:$B1819,$B1819))</f>
        <v>4</v>
      </c>
      <c r="E1819" s="361" t="s">
        <v>2852</v>
      </c>
      <c r="F1819" s="362" t="s">
        <v>2373</v>
      </c>
      <c r="G1819" s="327" t="s">
        <v>155</v>
      </c>
      <c r="H1819" s="327"/>
      <c r="I1819" s="327">
        <v>1</v>
      </c>
      <c r="J1819" s="345"/>
      <c r="K1819" s="327"/>
      <c r="L1819" s="389">
        <v>15000</v>
      </c>
      <c r="M1819" s="371"/>
      <c r="N1819" s="355" t="str">
        <f t="shared" si="226"/>
        <v>PK</v>
      </c>
      <c r="O1819" s="404" t="s">
        <v>3137</v>
      </c>
      <c r="P1819" s="392"/>
      <c r="Q1819" s="327"/>
      <c r="R1819" s="351"/>
      <c r="S1819" s="351"/>
      <c r="T1819" s="351"/>
      <c r="U1819" s="329" t="str">
        <f>IF($N1819=$N$4,IFERROR(INDEX(DanhMuc!$E$154:$E$165,MATCH(MID($B1819,4,2),DanhMuc!$B$154:$B$165,0)),""),"")</f>
        <v/>
      </c>
      <c r="V1819" s="361"/>
      <c r="W1819" s="345"/>
      <c r="X1819" s="329" t="str">
        <f t="shared" si="216"/>
        <v>3H</v>
      </c>
      <c r="Y1819" s="1128" t="s">
        <v>3380</v>
      </c>
      <c r="Z1819" s="1128" t="s">
        <v>3381</v>
      </c>
      <c r="AA1819" s="1128" t="s">
        <v>3384</v>
      </c>
      <c r="AB1819" s="20"/>
      <c r="AC1819" s="73"/>
    </row>
    <row r="1820" spans="1:29">
      <c r="A1820" s="327" t="str">
        <f>IF(AND($B1820&lt;&gt;"",$C1820&lt;&gt;""),MAX($A$1556:A1817)+1,"")</f>
        <v/>
      </c>
      <c r="B1820" s="361" t="s">
        <v>1983</v>
      </c>
      <c r="C1820" s="360"/>
      <c r="D1820" s="327">
        <f>IF($B1820="","",COUNTIF($B$6:$B1820,$B1820))</f>
        <v>5</v>
      </c>
      <c r="E1820" s="361" t="s">
        <v>157</v>
      </c>
      <c r="F1820" s="362" t="s">
        <v>158</v>
      </c>
      <c r="G1820" s="327" t="s">
        <v>155</v>
      </c>
      <c r="H1820" s="327"/>
      <c r="I1820" s="327">
        <v>1</v>
      </c>
      <c r="J1820" s="359"/>
      <c r="K1820" s="327"/>
      <c r="L1820" s="389">
        <v>45000</v>
      </c>
      <c r="M1820" s="371"/>
      <c r="N1820" s="355" t="s">
        <v>153</v>
      </c>
      <c r="O1820" s="345"/>
      <c r="P1820" s="392"/>
      <c r="Q1820" s="327"/>
      <c r="R1820" s="351"/>
      <c r="S1820" s="351"/>
      <c r="T1820" s="351"/>
      <c r="U1820" s="329" t="str">
        <f>IF($N1820=$N$4,IFERROR(INDEX(DanhMuc!$E$154:$E$165,MATCH(MID($B1820,4,2),DanhMuc!$B$154:$B$165,0)),""),"")</f>
        <v/>
      </c>
      <c r="V1820" s="361"/>
      <c r="W1820" s="345"/>
      <c r="X1820" s="329" t="str">
        <f t="shared" si="216"/>
        <v>3H</v>
      </c>
      <c r="Y1820" s="1128" t="s">
        <v>3380</v>
      </c>
      <c r="Z1820" s="1128" t="s">
        <v>3381</v>
      </c>
      <c r="AA1820" s="1128" t="s">
        <v>3384</v>
      </c>
      <c r="AB1820" s="20"/>
      <c r="AC1820" s="73"/>
    </row>
    <row r="1821" spans="1:29">
      <c r="A1821" s="327" t="str">
        <f>IF(AND($B1821&lt;&gt;"",$C1821&lt;&gt;""),MAX($A$1556:A1820)+1,"")</f>
        <v/>
      </c>
      <c r="B1821" s="361" t="s">
        <v>1983</v>
      </c>
      <c r="C1821" s="360"/>
      <c r="D1821" s="327">
        <f>IF($B1821="","",COUNTIF($B$6:$B1821,$B1821))</f>
        <v>6</v>
      </c>
      <c r="E1821" s="361" t="s">
        <v>2852</v>
      </c>
      <c r="F1821" s="362" t="s">
        <v>2373</v>
      </c>
      <c r="G1821" s="327" t="s">
        <v>155</v>
      </c>
      <c r="H1821" s="327"/>
      <c r="I1821" s="327">
        <v>1</v>
      </c>
      <c r="J1821" s="359"/>
      <c r="K1821" s="327"/>
      <c r="L1821" s="389">
        <v>15000</v>
      </c>
      <c r="M1821" s="371"/>
      <c r="N1821" s="355" t="s">
        <v>153</v>
      </c>
      <c r="O1821" s="345"/>
      <c r="P1821" s="392"/>
      <c r="Q1821" s="327"/>
      <c r="R1821" s="351"/>
      <c r="S1821" s="351"/>
      <c r="T1821" s="351"/>
      <c r="U1821" s="329" t="str">
        <f>IF($N1821=$N$4,IFERROR(INDEX(DanhMuc!$E$154:$E$165,MATCH(MID($B1821,4,2),DanhMuc!$B$154:$B$165,0)),""),"")</f>
        <v/>
      </c>
      <c r="V1821" s="361"/>
      <c r="W1821" s="345"/>
      <c r="X1821" s="329" t="str">
        <f t="shared" si="216"/>
        <v>3H</v>
      </c>
      <c r="Y1821" s="1128" t="s">
        <v>3380</v>
      </c>
      <c r="Z1821" s="1128" t="s">
        <v>3381</v>
      </c>
      <c r="AA1821" s="1128" t="s">
        <v>3384</v>
      </c>
      <c r="AB1821" s="20"/>
      <c r="AC1821" s="73"/>
    </row>
    <row r="1822" spans="1:29">
      <c r="A1822" s="327" t="str">
        <f>IF(AND($B1822&lt;&gt;"",$C1822&lt;&gt;""),MAX($A$1556:A1817)+1,"")</f>
        <v/>
      </c>
      <c r="B1822" s="361" t="s">
        <v>1983</v>
      </c>
      <c r="C1822" s="360"/>
      <c r="D1822" s="327">
        <f>IF($B1822="","",COUNTIF($B$6:$B1822,$B1822))</f>
        <v>7</v>
      </c>
      <c r="E1822" s="402" t="s">
        <v>2534</v>
      </c>
      <c r="F1822" s="403" t="s">
        <v>181</v>
      </c>
      <c r="G1822" s="327" t="s">
        <v>155</v>
      </c>
      <c r="H1822" s="327" t="s">
        <v>536</v>
      </c>
      <c r="I1822" s="327">
        <v>4</v>
      </c>
      <c r="J1822" s="361"/>
      <c r="K1822" s="327"/>
      <c r="L1822" s="389">
        <v>19000</v>
      </c>
      <c r="M1822" s="371"/>
      <c r="N1822" s="355" t="str">
        <f t="shared" ref="N1822:N1829" si="227">+$N$1555</f>
        <v>PK</v>
      </c>
      <c r="O1822" s="345"/>
      <c r="P1822" s="392"/>
      <c r="Q1822" s="327"/>
      <c r="R1822" s="351"/>
      <c r="S1822" s="351"/>
      <c r="T1822" s="351"/>
      <c r="U1822" s="329" t="str">
        <f>IF($N1822=$N$4,IFERROR(INDEX(DanhMuc!$E$154:$E$165,MATCH(MID($B1822,4,2),DanhMuc!$B$154:$B$165,0)),""),"")</f>
        <v/>
      </c>
      <c r="V1822" s="361"/>
      <c r="W1822" s="345"/>
      <c r="X1822" s="329" t="str">
        <f t="shared" si="216"/>
        <v>3H</v>
      </c>
      <c r="Y1822" s="1128" t="s">
        <v>3380</v>
      </c>
      <c r="Z1822" s="1128" t="s">
        <v>3381</v>
      </c>
      <c r="AA1822" s="1128" t="s">
        <v>3384</v>
      </c>
      <c r="AB1822" s="20"/>
      <c r="AC1822" s="73"/>
    </row>
    <row r="1823" spans="1:29">
      <c r="A1823" s="327" t="str">
        <f>IF(AND($B1823&lt;&gt;"",$C1823&lt;&gt;""),MAX($A$1556:A1822)+1,"")</f>
        <v/>
      </c>
      <c r="B1823" s="361" t="s">
        <v>1983</v>
      </c>
      <c r="C1823" s="360"/>
      <c r="D1823" s="327">
        <f>IF($B1823="","",COUNTIF($B$6:$B1823,$B1823))</f>
        <v>8</v>
      </c>
      <c r="E1823" s="361" t="s">
        <v>163</v>
      </c>
      <c r="F1823" s="362" t="s">
        <v>164</v>
      </c>
      <c r="G1823" s="327" t="s">
        <v>155</v>
      </c>
      <c r="H1823" s="327"/>
      <c r="I1823" s="327">
        <v>2</v>
      </c>
      <c r="J1823" s="361"/>
      <c r="K1823" s="408"/>
      <c r="L1823" s="389">
        <v>2500</v>
      </c>
      <c r="M1823" s="371"/>
      <c r="N1823" s="355" t="str">
        <f t="shared" si="227"/>
        <v>PK</v>
      </c>
      <c r="O1823" s="345"/>
      <c r="P1823" s="392"/>
      <c r="Q1823" s="327"/>
      <c r="R1823" s="351"/>
      <c r="S1823" s="351"/>
      <c r="T1823" s="351"/>
      <c r="U1823" s="329" t="str">
        <f>IF($N1823=$N$4,IFERROR(INDEX(DanhMuc!$E$154:$E$165,MATCH(MID($B1823,4,2),DanhMuc!$B$154:$B$165,0)),""),"")</f>
        <v/>
      </c>
      <c r="V1823" s="408" t="s">
        <v>342</v>
      </c>
      <c r="W1823" s="345"/>
      <c r="X1823" s="329" t="str">
        <f t="shared" si="216"/>
        <v>3H</v>
      </c>
      <c r="Y1823" s="1128" t="s">
        <v>3380</v>
      </c>
      <c r="Z1823" s="1128" t="s">
        <v>3381</v>
      </c>
      <c r="AA1823" s="1128" t="s">
        <v>3384</v>
      </c>
      <c r="AB1823" s="20"/>
      <c r="AC1823" s="73"/>
    </row>
    <row r="1824" spans="1:29">
      <c r="A1824" s="327" t="str">
        <f>IF(AND($B1824&lt;&gt;"",$C1824&lt;&gt;""),MAX($A$1556:A1823)+1,"")</f>
        <v/>
      </c>
      <c r="B1824" s="361" t="s">
        <v>1983</v>
      </c>
      <c r="C1824" s="360"/>
      <c r="D1824" s="327">
        <f>IF($B1824="","",COUNTIF($B$6:$B1824,$B1824))</f>
        <v>9</v>
      </c>
      <c r="E1824" s="361" t="s">
        <v>187</v>
      </c>
      <c r="F1824" s="362" t="s">
        <v>189</v>
      </c>
      <c r="G1824" s="327" t="s">
        <v>155</v>
      </c>
      <c r="H1824" s="327"/>
      <c r="I1824" s="327">
        <v>4</v>
      </c>
      <c r="J1824" s="361"/>
      <c r="K1824" s="327"/>
      <c r="L1824" s="389">
        <v>5000</v>
      </c>
      <c r="M1824" s="371"/>
      <c r="N1824" s="355" t="str">
        <f t="shared" si="227"/>
        <v>PK</v>
      </c>
      <c r="O1824" s="345"/>
      <c r="P1824" s="392"/>
      <c r="Q1824" s="327"/>
      <c r="R1824" s="351"/>
      <c r="S1824" s="351"/>
      <c r="T1824" s="351"/>
      <c r="U1824" s="329" t="str">
        <f>IF($N1824=$N$4,IFERROR(INDEX(DanhMuc!$E$154:$E$165,MATCH(MID($B1824,4,2),DanhMuc!$B$154:$B$165,0)),""),"")</f>
        <v/>
      </c>
      <c r="V1824" s="361"/>
      <c r="W1824" s="345"/>
      <c r="X1824" s="329" t="str">
        <f t="shared" si="216"/>
        <v>3H</v>
      </c>
      <c r="Y1824" s="1128" t="s">
        <v>3380</v>
      </c>
      <c r="Z1824" s="1128" t="s">
        <v>3381</v>
      </c>
      <c r="AA1824" s="1128" t="s">
        <v>3384</v>
      </c>
      <c r="AB1824" s="20"/>
      <c r="AC1824" s="73"/>
    </row>
    <row r="1825" spans="1:29">
      <c r="A1825" s="327" t="str">
        <f>IF(AND($B1825&lt;&gt;"",$C1825&lt;&gt;""),MAX($A$1556:A1824)+1,"")</f>
        <v/>
      </c>
      <c r="B1825" s="361" t="s">
        <v>1983</v>
      </c>
      <c r="C1825" s="360"/>
      <c r="D1825" s="327">
        <f>IF($B1825="","",COUNTIF($B$6:$B1825,$B1825))</f>
        <v>10</v>
      </c>
      <c r="E1825" s="361" t="s">
        <v>172</v>
      </c>
      <c r="F1825" s="362" t="s">
        <v>173</v>
      </c>
      <c r="G1825" s="327" t="s">
        <v>155</v>
      </c>
      <c r="H1825" s="327"/>
      <c r="I1825" s="327">
        <v>1</v>
      </c>
      <c r="J1825" s="361"/>
      <c r="K1825" s="327"/>
      <c r="L1825" s="389">
        <v>6000</v>
      </c>
      <c r="M1825" s="371"/>
      <c r="N1825" s="355" t="str">
        <f t="shared" si="227"/>
        <v>PK</v>
      </c>
      <c r="O1825" s="345"/>
      <c r="P1825" s="392"/>
      <c r="Q1825" s="327"/>
      <c r="R1825" s="351"/>
      <c r="S1825" s="351"/>
      <c r="T1825" s="351"/>
      <c r="U1825" s="329" t="str">
        <f>IF($N1825=$N$4,IFERROR(INDEX(DanhMuc!$E$154:$E$165,MATCH(MID($B1825,4,2),DanhMuc!$B$154:$B$165,0)),""),"")</f>
        <v/>
      </c>
      <c r="V1825" s="361"/>
      <c r="W1825" s="345"/>
      <c r="X1825" s="329" t="str">
        <f t="shared" si="216"/>
        <v>3H</v>
      </c>
      <c r="Y1825" s="1128" t="s">
        <v>3380</v>
      </c>
      <c r="Z1825" s="1128" t="s">
        <v>3381</v>
      </c>
      <c r="AA1825" s="1128" t="s">
        <v>3384</v>
      </c>
      <c r="AB1825" s="20"/>
      <c r="AC1825" s="73"/>
    </row>
    <row r="1826" spans="1:29" ht="39">
      <c r="A1826" s="327">
        <f>IF(AND($B1826&lt;&gt;"",$C1826&lt;&gt;""),MAX($A$1556:A1793)+1,"")</f>
        <v>7</v>
      </c>
      <c r="B1826" s="359" t="s">
        <v>3216</v>
      </c>
      <c r="C1826" s="360" t="s">
        <v>3205</v>
      </c>
      <c r="D1826" s="327">
        <f>IF($B1826="","",COUNTIF($B$6:$B1826,$B1826))</f>
        <v>1</v>
      </c>
      <c r="E1826" s="361" t="s">
        <v>739</v>
      </c>
      <c r="F1826" s="362" t="s">
        <v>740</v>
      </c>
      <c r="G1826" s="327" t="s">
        <v>297</v>
      </c>
      <c r="H1826" s="327"/>
      <c r="I1826" s="327">
        <v>1</v>
      </c>
      <c r="J1826" s="345"/>
      <c r="K1826" s="327"/>
      <c r="L1826" s="389">
        <v>199000</v>
      </c>
      <c r="M1826" s="371"/>
      <c r="N1826" s="355" t="str">
        <f t="shared" si="227"/>
        <v>PK</v>
      </c>
      <c r="O1826" s="345" t="s">
        <v>1783</v>
      </c>
      <c r="P1826" s="392"/>
      <c r="Q1826" s="327"/>
      <c r="R1826" s="351"/>
      <c r="S1826" s="351"/>
      <c r="T1826" s="351"/>
      <c r="U1826" s="329" t="str">
        <f>IF($N1826=$N$4,IFERROR(INDEX(DanhMuc!$E$154:$E$165,MATCH(MID($B1826,4,2),DanhMuc!$B$154:$B$165,0)),""),"")</f>
        <v/>
      </c>
      <c r="V1826" s="361"/>
      <c r="W1826" s="345"/>
      <c r="X1826" s="329" t="str">
        <f t="shared" si="216"/>
        <v>TR</v>
      </c>
      <c r="Y1826" s="1128" t="s">
        <v>3380</v>
      </c>
      <c r="Z1826" s="1128" t="s">
        <v>3381</v>
      </c>
      <c r="AA1826" s="1128" t="s">
        <v>3384</v>
      </c>
      <c r="AB1826" s="20"/>
      <c r="AC1826" s="73"/>
    </row>
    <row r="1827" spans="1:29">
      <c r="A1827" s="327" t="str">
        <f>IF(AND($B1827&lt;&gt;"",$C1827&lt;&gt;""),MAX($A$1556:A1826)+1,"")</f>
        <v/>
      </c>
      <c r="B1827" s="361" t="s">
        <v>3216</v>
      </c>
      <c r="C1827" s="360"/>
      <c r="D1827" s="327">
        <f>IF($B1827="","",COUNTIF($B$6:$B1827,$B1827))</f>
        <v>2</v>
      </c>
      <c r="E1827" s="361" t="s">
        <v>2852</v>
      </c>
      <c r="F1827" s="362" t="s">
        <v>2373</v>
      </c>
      <c r="G1827" s="327" t="s">
        <v>155</v>
      </c>
      <c r="H1827" s="327"/>
      <c r="I1827" s="327">
        <v>1</v>
      </c>
      <c r="J1827" s="345"/>
      <c r="K1827" s="327"/>
      <c r="L1827" s="389">
        <v>15000</v>
      </c>
      <c r="M1827" s="371"/>
      <c r="N1827" s="355" t="str">
        <f t="shared" si="227"/>
        <v>PK</v>
      </c>
      <c r="O1827" s="345" t="s">
        <v>1783</v>
      </c>
      <c r="P1827" s="392"/>
      <c r="Q1827" s="327"/>
      <c r="R1827" s="351"/>
      <c r="S1827" s="351"/>
      <c r="T1827" s="351"/>
      <c r="U1827" s="329" t="str">
        <f>IF($N1827=$N$4,IFERROR(INDEX(DanhMuc!$E$154:$E$165,MATCH(MID($B1827,4,2),DanhMuc!$B$154:$B$165,0)),""),"")</f>
        <v/>
      </c>
      <c r="V1827" s="361"/>
      <c r="W1827" s="345"/>
      <c r="X1827" s="329" t="str">
        <f t="shared" si="216"/>
        <v>TR</v>
      </c>
      <c r="Y1827" s="1128" t="s">
        <v>3380</v>
      </c>
      <c r="Z1827" s="1128" t="s">
        <v>3381</v>
      </c>
      <c r="AA1827" s="1128" t="s">
        <v>3384</v>
      </c>
      <c r="AB1827" s="20"/>
      <c r="AC1827" s="73"/>
    </row>
    <row r="1828" spans="1:29">
      <c r="A1828" s="327" t="str">
        <f>IF(AND($B1828&lt;&gt;"",$C1828&lt;&gt;""),MAX($A$1556:A1827)+1,"")</f>
        <v/>
      </c>
      <c r="B1828" s="361" t="s">
        <v>3216</v>
      </c>
      <c r="C1828" s="360"/>
      <c r="D1828" s="327">
        <f>IF($B1828="","",COUNTIF($B$6:$B1828,$B1828))</f>
        <v>3</v>
      </c>
      <c r="E1828" s="361" t="s">
        <v>3135</v>
      </c>
      <c r="F1828" s="362" t="s">
        <v>3136</v>
      </c>
      <c r="G1828" s="327" t="s">
        <v>155</v>
      </c>
      <c r="H1828" s="327"/>
      <c r="I1828" s="327">
        <v>1</v>
      </c>
      <c r="J1828" s="345"/>
      <c r="K1828" s="327"/>
      <c r="L1828" s="389">
        <v>140000</v>
      </c>
      <c r="M1828" s="371"/>
      <c r="N1828" s="355" t="str">
        <f t="shared" si="227"/>
        <v>PK</v>
      </c>
      <c r="O1828" s="404" t="s">
        <v>3137</v>
      </c>
      <c r="P1828" s="392"/>
      <c r="Q1828" s="327"/>
      <c r="R1828" s="351"/>
      <c r="S1828" s="351"/>
      <c r="T1828" s="351"/>
      <c r="U1828" s="329" t="str">
        <f>IF($N1828=$N$4,IFERROR(INDEX(DanhMuc!$E$154:$E$165,MATCH(MID($B1828,4,2),DanhMuc!$B$154:$B$165,0)),""),"")</f>
        <v/>
      </c>
      <c r="V1828" s="361"/>
      <c r="W1828" s="345"/>
      <c r="X1828" s="329" t="str">
        <f t="shared" si="216"/>
        <v>TR</v>
      </c>
      <c r="Y1828" s="1128" t="s">
        <v>3380</v>
      </c>
      <c r="Z1828" s="1128" t="s">
        <v>3381</v>
      </c>
      <c r="AA1828" s="1128" t="s">
        <v>3384</v>
      </c>
      <c r="AB1828" s="20"/>
      <c r="AC1828" s="73"/>
    </row>
    <row r="1829" spans="1:29">
      <c r="A1829" s="327" t="str">
        <f>IF(AND($B1829&lt;&gt;"",$C1829&lt;&gt;""),MAX($A$1556:A1828)+1,"")</f>
        <v/>
      </c>
      <c r="B1829" s="361" t="s">
        <v>3216</v>
      </c>
      <c r="C1829" s="360"/>
      <c r="D1829" s="327">
        <f>IF($B1829="","",COUNTIF($B$6:$B1829,$B1829))</f>
        <v>4</v>
      </c>
      <c r="E1829" s="361" t="s">
        <v>2852</v>
      </c>
      <c r="F1829" s="362" t="s">
        <v>2373</v>
      </c>
      <c r="G1829" s="327" t="s">
        <v>155</v>
      </c>
      <c r="H1829" s="327"/>
      <c r="I1829" s="327">
        <v>1</v>
      </c>
      <c r="J1829" s="345"/>
      <c r="K1829" s="327"/>
      <c r="L1829" s="389">
        <v>15000</v>
      </c>
      <c r="M1829" s="371"/>
      <c r="N1829" s="355" t="str">
        <f t="shared" si="227"/>
        <v>PK</v>
      </c>
      <c r="O1829" s="404" t="s">
        <v>3137</v>
      </c>
      <c r="P1829" s="392"/>
      <c r="Q1829" s="327"/>
      <c r="R1829" s="351"/>
      <c r="S1829" s="351"/>
      <c r="T1829" s="351"/>
      <c r="U1829" s="329" t="str">
        <f>IF($N1829=$N$4,IFERROR(INDEX(DanhMuc!$E$154:$E$165,MATCH(MID($B1829,4,2),DanhMuc!$B$154:$B$165,0)),""),"")</f>
        <v/>
      </c>
      <c r="V1829" s="361"/>
      <c r="W1829" s="345"/>
      <c r="X1829" s="329" t="str">
        <f t="shared" si="216"/>
        <v>TR</v>
      </c>
      <c r="Y1829" s="1128" t="s">
        <v>3380</v>
      </c>
      <c r="Z1829" s="1128" t="s">
        <v>3381</v>
      </c>
      <c r="AA1829" s="1128" t="s">
        <v>3384</v>
      </c>
      <c r="AB1829" s="20"/>
      <c r="AC1829" s="73"/>
    </row>
    <row r="1830" spans="1:29">
      <c r="A1830" s="327" t="str">
        <f>IF(AND($B1830&lt;&gt;"",$C1830&lt;&gt;""),MAX($A$1556:A1827)+1,"")</f>
        <v/>
      </c>
      <c r="B1830" s="361" t="s">
        <v>3216</v>
      </c>
      <c r="C1830" s="360"/>
      <c r="D1830" s="327">
        <f>IF($B1830="","",COUNTIF($B$6:$B1830,$B1830))</f>
        <v>5</v>
      </c>
      <c r="E1830" s="361" t="s">
        <v>157</v>
      </c>
      <c r="F1830" s="362" t="s">
        <v>158</v>
      </c>
      <c r="G1830" s="327" t="s">
        <v>155</v>
      </c>
      <c r="H1830" s="327"/>
      <c r="I1830" s="327">
        <v>1</v>
      </c>
      <c r="J1830" s="359"/>
      <c r="K1830" s="327"/>
      <c r="L1830" s="389">
        <v>45000</v>
      </c>
      <c r="M1830" s="371"/>
      <c r="N1830" s="355" t="s">
        <v>153</v>
      </c>
      <c r="O1830" s="345" t="s">
        <v>1781</v>
      </c>
      <c r="P1830" s="392"/>
      <c r="Q1830" s="327"/>
      <c r="R1830" s="351"/>
      <c r="S1830" s="351"/>
      <c r="T1830" s="351"/>
      <c r="U1830" s="329" t="str">
        <f>IF($N1830=$N$4,IFERROR(INDEX(DanhMuc!$E$154:$E$165,MATCH(MID($B1830,4,2),DanhMuc!$B$154:$B$165,0)),""),"")</f>
        <v/>
      </c>
      <c r="V1830" s="361"/>
      <c r="W1830" s="345"/>
      <c r="X1830" s="329" t="str">
        <f t="shared" si="216"/>
        <v>TR</v>
      </c>
      <c r="Y1830" s="1128" t="s">
        <v>3380</v>
      </c>
      <c r="Z1830" s="1128" t="s">
        <v>3381</v>
      </c>
      <c r="AA1830" s="1128" t="s">
        <v>3384</v>
      </c>
      <c r="AB1830" s="20"/>
      <c r="AC1830" s="73"/>
    </row>
    <row r="1831" spans="1:29">
      <c r="A1831" s="327" t="str">
        <f>IF(AND($B1831&lt;&gt;"",$C1831&lt;&gt;""),MAX($A$1556:A1830)+1,"")</f>
        <v/>
      </c>
      <c r="B1831" s="361" t="s">
        <v>3216</v>
      </c>
      <c r="C1831" s="360"/>
      <c r="D1831" s="327">
        <f>IF($B1831="","",COUNTIF($B$6:$B1831,$B1831))</f>
        <v>6</v>
      </c>
      <c r="E1831" s="361" t="s">
        <v>2852</v>
      </c>
      <c r="F1831" s="362" t="s">
        <v>2373</v>
      </c>
      <c r="G1831" s="327" t="s">
        <v>155</v>
      </c>
      <c r="H1831" s="327"/>
      <c r="I1831" s="327">
        <v>1</v>
      </c>
      <c r="J1831" s="359"/>
      <c r="K1831" s="327"/>
      <c r="L1831" s="389">
        <v>15000</v>
      </c>
      <c r="M1831" s="371"/>
      <c r="N1831" s="355" t="s">
        <v>153</v>
      </c>
      <c r="O1831" s="345" t="s">
        <v>1781</v>
      </c>
      <c r="P1831" s="392"/>
      <c r="Q1831" s="327"/>
      <c r="R1831" s="351"/>
      <c r="S1831" s="351"/>
      <c r="T1831" s="351"/>
      <c r="U1831" s="329" t="str">
        <f>IF($N1831=$N$4,IFERROR(INDEX(DanhMuc!$E$154:$E$165,MATCH(MID($B1831,4,2),DanhMuc!$B$154:$B$165,0)),""),"")</f>
        <v/>
      </c>
      <c r="V1831" s="361"/>
      <c r="W1831" s="345"/>
      <c r="X1831" s="329" t="str">
        <f t="shared" si="216"/>
        <v>TR</v>
      </c>
      <c r="Y1831" s="1128" t="s">
        <v>3380</v>
      </c>
      <c r="Z1831" s="1128" t="s">
        <v>3381</v>
      </c>
      <c r="AA1831" s="1128" t="s">
        <v>3384</v>
      </c>
      <c r="AB1831" s="20"/>
      <c r="AC1831" s="73"/>
    </row>
    <row r="1832" spans="1:29">
      <c r="A1832" s="327" t="str">
        <f>IF(AND($B1832&lt;&gt;"",$C1832&lt;&gt;""),MAX($A$1556:A1827)+1,"")</f>
        <v/>
      </c>
      <c r="B1832" s="361" t="s">
        <v>3216</v>
      </c>
      <c r="C1832" s="360"/>
      <c r="D1832" s="327">
        <f>IF($B1832="","",COUNTIF($B$6:$B1832,$B1832))</f>
        <v>7</v>
      </c>
      <c r="E1832" s="402" t="s">
        <v>3217</v>
      </c>
      <c r="F1832" s="403" t="s">
        <v>3221</v>
      </c>
      <c r="G1832" s="327" t="s">
        <v>344</v>
      </c>
      <c r="H1832" s="327" t="s">
        <v>536</v>
      </c>
      <c r="I1832" s="327">
        <v>2</v>
      </c>
      <c r="J1832" s="361"/>
      <c r="K1832" s="327"/>
      <c r="L1832" s="389">
        <v>365000</v>
      </c>
      <c r="M1832" s="371"/>
      <c r="N1832" s="355" t="str">
        <f t="shared" ref="N1832:N1851" si="228">+$N$1555</f>
        <v>PK</v>
      </c>
      <c r="O1832" s="345"/>
      <c r="P1832" s="392"/>
      <c r="Q1832" s="327"/>
      <c r="R1832" s="351"/>
      <c r="S1832" s="351"/>
      <c r="T1832" s="351"/>
      <c r="U1832" s="329" t="str">
        <f>IF($N1832=$N$4,IFERROR(INDEX(DanhMuc!$E$154:$E$165,MATCH(MID($B1832,4,2),DanhMuc!$B$154:$B$165,0)),""),"")</f>
        <v/>
      </c>
      <c r="V1832" s="361"/>
      <c r="W1832" s="345"/>
      <c r="X1832" s="329" t="str">
        <f t="shared" si="216"/>
        <v>TR</v>
      </c>
      <c r="Y1832" s="1128" t="s">
        <v>3380</v>
      </c>
      <c r="Z1832" s="1128" t="s">
        <v>3381</v>
      </c>
      <c r="AA1832" s="1128" t="s">
        <v>3384</v>
      </c>
      <c r="AB1832" s="20"/>
      <c r="AC1832" s="73"/>
    </row>
    <row r="1833" spans="1:29">
      <c r="A1833" s="327" t="str">
        <f>IF(AND($B1833&lt;&gt;"",$C1833&lt;&gt;""),MAX($A$1556:A1828)+1,"")</f>
        <v/>
      </c>
      <c r="B1833" s="361" t="s">
        <v>3216</v>
      </c>
      <c r="C1833" s="360"/>
      <c r="D1833" s="327">
        <f>IF($B1833="","",COUNTIF($B$6:$B1833,$B1833))</f>
        <v>8</v>
      </c>
      <c r="E1833" s="402" t="s">
        <v>3218</v>
      </c>
      <c r="F1833" s="403" t="s">
        <v>3219</v>
      </c>
      <c r="G1833" s="327" t="s">
        <v>690</v>
      </c>
      <c r="H1833" s="327" t="s">
        <v>536</v>
      </c>
      <c r="I1833" s="327" t="s">
        <v>3220</v>
      </c>
      <c r="J1833" s="361"/>
      <c r="K1833" s="327"/>
      <c r="L1833" s="389">
        <f>100000/1000</f>
        <v>100</v>
      </c>
      <c r="M1833" s="371"/>
      <c r="N1833" s="355" t="str">
        <f t="shared" si="228"/>
        <v>PK</v>
      </c>
      <c r="O1833" s="345"/>
      <c r="P1833" s="392"/>
      <c r="Q1833" s="327"/>
      <c r="R1833" s="351"/>
      <c r="S1833" s="351"/>
      <c r="T1833" s="351"/>
      <c r="U1833" s="329" t="str">
        <f>IF($N1833=$N$4,IFERROR(INDEX(DanhMuc!$E$154:$E$165,MATCH(MID($B1833,4,2),DanhMuc!$B$154:$B$165,0)),""),"")</f>
        <v/>
      </c>
      <c r="V1833" s="361"/>
      <c r="W1833" s="345"/>
      <c r="X1833" s="329" t="str">
        <f t="shared" si="216"/>
        <v>TR</v>
      </c>
      <c r="Y1833" s="1128" t="s">
        <v>3380</v>
      </c>
      <c r="Z1833" s="1128" t="s">
        <v>3381</v>
      </c>
      <c r="AA1833" s="1128" t="s">
        <v>3384</v>
      </c>
      <c r="AB1833" s="20"/>
      <c r="AC1833" s="73"/>
    </row>
    <row r="1834" spans="1:29">
      <c r="A1834" s="327" t="str">
        <f>IF(AND($B1834&lt;&gt;"",$C1834&lt;&gt;""),MAX($A$1556:A1832)+1,"")</f>
        <v/>
      </c>
      <c r="B1834" s="361" t="s">
        <v>3216</v>
      </c>
      <c r="C1834" s="360"/>
      <c r="D1834" s="327">
        <f>IF($B1834="","",COUNTIF($B$6:$B1834,$B1834))</f>
        <v>9</v>
      </c>
      <c r="E1834" s="361" t="s">
        <v>163</v>
      </c>
      <c r="F1834" s="362" t="s">
        <v>164</v>
      </c>
      <c r="G1834" s="327" t="s">
        <v>155</v>
      </c>
      <c r="H1834" s="327"/>
      <c r="I1834" s="327">
        <v>2</v>
      </c>
      <c r="J1834" s="361"/>
      <c r="K1834" s="408"/>
      <c r="L1834" s="389">
        <v>2500</v>
      </c>
      <c r="M1834" s="371"/>
      <c r="N1834" s="355" t="str">
        <f t="shared" si="228"/>
        <v>PK</v>
      </c>
      <c r="O1834" s="345"/>
      <c r="P1834" s="392"/>
      <c r="Q1834" s="327"/>
      <c r="R1834" s="351"/>
      <c r="S1834" s="351"/>
      <c r="T1834" s="351"/>
      <c r="U1834" s="329" t="str">
        <f>IF($N1834=$N$4,IFERROR(INDEX(DanhMuc!$E$154:$E$165,MATCH(MID($B1834,4,2),DanhMuc!$B$154:$B$165,0)),""),"")</f>
        <v/>
      </c>
      <c r="V1834" s="408" t="s">
        <v>342</v>
      </c>
      <c r="W1834" s="345"/>
      <c r="X1834" s="329" t="str">
        <f t="shared" si="216"/>
        <v>TR</v>
      </c>
      <c r="Y1834" s="1128" t="s">
        <v>3380</v>
      </c>
      <c r="Z1834" s="1128" t="s">
        <v>3381</v>
      </c>
      <c r="AA1834" s="1128" t="s">
        <v>3384</v>
      </c>
      <c r="AB1834" s="20"/>
      <c r="AC1834" s="73"/>
    </row>
    <row r="1835" spans="1:29">
      <c r="A1835" s="327" t="str">
        <f>IF(AND($B1835&lt;&gt;"",$C1835&lt;&gt;""),MAX($A$1556:A1834)+1,"")</f>
        <v/>
      </c>
      <c r="B1835" s="361" t="s">
        <v>3216</v>
      </c>
      <c r="C1835" s="360"/>
      <c r="D1835" s="327">
        <f>IF($B1835="","",COUNTIF($B$6:$B1835,$B1835))</f>
        <v>10</v>
      </c>
      <c r="E1835" s="361" t="s">
        <v>187</v>
      </c>
      <c r="F1835" s="362" t="s">
        <v>189</v>
      </c>
      <c r="G1835" s="327" t="s">
        <v>155</v>
      </c>
      <c r="H1835" s="327"/>
      <c r="I1835" s="327">
        <v>4</v>
      </c>
      <c r="J1835" s="361"/>
      <c r="K1835" s="327"/>
      <c r="L1835" s="389">
        <v>5000</v>
      </c>
      <c r="M1835" s="371"/>
      <c r="N1835" s="355" t="str">
        <f t="shared" si="228"/>
        <v>PK</v>
      </c>
      <c r="O1835" s="345"/>
      <c r="P1835" s="392"/>
      <c r="Q1835" s="327"/>
      <c r="R1835" s="351"/>
      <c r="S1835" s="351"/>
      <c r="T1835" s="351"/>
      <c r="U1835" s="329" t="str">
        <f>IF($N1835=$N$4,IFERROR(INDEX(DanhMuc!$E$154:$E$165,MATCH(MID($B1835,4,2),DanhMuc!$B$154:$B$165,0)),""),"")</f>
        <v/>
      </c>
      <c r="V1835" s="361"/>
      <c r="W1835" s="345"/>
      <c r="X1835" s="329" t="str">
        <f t="shared" si="216"/>
        <v>TR</v>
      </c>
      <c r="Y1835" s="1128" t="s">
        <v>3380</v>
      </c>
      <c r="Z1835" s="1128" t="s">
        <v>3381</v>
      </c>
      <c r="AA1835" s="1128" t="s">
        <v>3384</v>
      </c>
      <c r="AB1835" s="20"/>
      <c r="AC1835" s="73"/>
    </row>
    <row r="1836" spans="1:29">
      <c r="A1836" s="327" t="str">
        <f>IF(AND($B1836&lt;&gt;"",$C1836&lt;&gt;""),MAX($A$1556:A1835)+1,"")</f>
        <v/>
      </c>
      <c r="B1836" s="361" t="s">
        <v>3216</v>
      </c>
      <c r="C1836" s="360"/>
      <c r="D1836" s="327">
        <f>IF($B1836="","",COUNTIF($B$6:$B1836,$B1836))</f>
        <v>11</v>
      </c>
      <c r="E1836" s="361" t="s">
        <v>172</v>
      </c>
      <c r="F1836" s="362" t="s">
        <v>173</v>
      </c>
      <c r="G1836" s="327" t="s">
        <v>155</v>
      </c>
      <c r="H1836" s="327"/>
      <c r="I1836" s="327">
        <v>1</v>
      </c>
      <c r="J1836" s="361"/>
      <c r="K1836" s="327"/>
      <c r="L1836" s="389">
        <v>6000</v>
      </c>
      <c r="M1836" s="371"/>
      <c r="N1836" s="355" t="str">
        <f t="shared" si="228"/>
        <v>PK</v>
      </c>
      <c r="O1836" s="345"/>
      <c r="P1836" s="392"/>
      <c r="Q1836" s="327"/>
      <c r="R1836" s="351"/>
      <c r="S1836" s="351"/>
      <c r="T1836" s="351"/>
      <c r="U1836" s="329" t="str">
        <f>IF($N1836=$N$4,IFERROR(INDEX(DanhMuc!$E$154:$E$165,MATCH(MID($B1836,4,2),DanhMuc!$B$154:$B$165,0)),""),"")</f>
        <v/>
      </c>
      <c r="V1836" s="361"/>
      <c r="W1836" s="345"/>
      <c r="X1836" s="329" t="str">
        <f t="shared" si="216"/>
        <v>TR</v>
      </c>
      <c r="Y1836" s="1128" t="s">
        <v>3380</v>
      </c>
      <c r="Z1836" s="1128" t="s">
        <v>3381</v>
      </c>
      <c r="AA1836" s="1128" t="s">
        <v>3384</v>
      </c>
      <c r="AB1836" s="20"/>
      <c r="AC1836" s="73"/>
    </row>
    <row r="1837" spans="1:29" ht="39">
      <c r="A1837" s="327">
        <f>IF(AND($B1837&lt;&gt;"",$C1837&lt;&gt;""),MAX($A$1556:A1804)+1,"")</f>
        <v>7</v>
      </c>
      <c r="B1837" s="359" t="s">
        <v>3224</v>
      </c>
      <c r="C1837" s="360" t="s">
        <v>3223</v>
      </c>
      <c r="D1837" s="327">
        <f>IF($B1837="","",COUNTIF($B$6:$B1837,$B1837))</f>
        <v>1</v>
      </c>
      <c r="E1837" s="361" t="s">
        <v>739</v>
      </c>
      <c r="F1837" s="362" t="s">
        <v>740</v>
      </c>
      <c r="G1837" s="327" t="s">
        <v>297</v>
      </c>
      <c r="H1837" s="327"/>
      <c r="I1837" s="327">
        <v>1</v>
      </c>
      <c r="J1837" s="345"/>
      <c r="K1837" s="327"/>
      <c r="L1837" s="389">
        <v>199000</v>
      </c>
      <c r="M1837" s="371"/>
      <c r="N1837" s="355" t="str">
        <f t="shared" si="228"/>
        <v>PK</v>
      </c>
      <c r="O1837" s="345" t="s">
        <v>1783</v>
      </c>
      <c r="P1837" s="392"/>
      <c r="Q1837" s="327"/>
      <c r="R1837" s="351"/>
      <c r="S1837" s="351"/>
      <c r="T1837" s="351"/>
      <c r="U1837" s="329" t="str">
        <f>IF($N1837=$N$4,IFERROR(INDEX(DanhMuc!$E$154:$E$165,MATCH(MID($B1837,4,2),DanhMuc!$B$154:$B$165,0)),""),"")</f>
        <v/>
      </c>
      <c r="V1837" s="361"/>
      <c r="W1837" s="345"/>
      <c r="X1837" s="329" t="str">
        <f t="shared" si="216"/>
        <v>TR</v>
      </c>
      <c r="Y1837" s="1128" t="s">
        <v>3380</v>
      </c>
      <c r="Z1837" s="1128" t="s">
        <v>3381</v>
      </c>
      <c r="AA1837" s="1128" t="s">
        <v>3384</v>
      </c>
      <c r="AB1837" s="20"/>
      <c r="AC1837" s="73"/>
    </row>
    <row r="1838" spans="1:29">
      <c r="A1838" s="327" t="str">
        <f>IF(AND($B1838&lt;&gt;"",$C1838&lt;&gt;""),MAX($A$1556:A1837)+1,"")</f>
        <v/>
      </c>
      <c r="B1838" s="361" t="s">
        <v>3224</v>
      </c>
      <c r="C1838" s="360"/>
      <c r="D1838" s="327">
        <f>IF($B1838="","",COUNTIF($B$6:$B1838,$B1838))</f>
        <v>2</v>
      </c>
      <c r="E1838" s="361" t="s">
        <v>2852</v>
      </c>
      <c r="F1838" s="362" t="s">
        <v>2373</v>
      </c>
      <c r="G1838" s="327" t="s">
        <v>155</v>
      </c>
      <c r="H1838" s="327"/>
      <c r="I1838" s="327">
        <v>1</v>
      </c>
      <c r="J1838" s="345"/>
      <c r="K1838" s="327"/>
      <c r="L1838" s="389">
        <v>15000</v>
      </c>
      <c r="M1838" s="371"/>
      <c r="N1838" s="355" t="str">
        <f t="shared" si="228"/>
        <v>PK</v>
      </c>
      <c r="O1838" s="345" t="s">
        <v>1783</v>
      </c>
      <c r="P1838" s="392"/>
      <c r="Q1838" s="327"/>
      <c r="R1838" s="351"/>
      <c r="S1838" s="351"/>
      <c r="T1838" s="351"/>
      <c r="U1838" s="329" t="str">
        <f>IF($N1838=$N$4,IFERROR(INDEX(DanhMuc!$E$154:$E$165,MATCH(MID($B1838,4,2),DanhMuc!$B$154:$B$165,0)),""),"")</f>
        <v/>
      </c>
      <c r="V1838" s="361"/>
      <c r="W1838" s="345"/>
      <c r="X1838" s="329" t="str">
        <f t="shared" si="216"/>
        <v>TR</v>
      </c>
      <c r="Y1838" s="1128" t="s">
        <v>3380</v>
      </c>
      <c r="Z1838" s="1128" t="s">
        <v>3381</v>
      </c>
      <c r="AA1838" s="1128" t="s">
        <v>3384</v>
      </c>
      <c r="AB1838" s="20"/>
      <c r="AC1838" s="73"/>
    </row>
    <row r="1839" spans="1:29">
      <c r="A1839" s="327" t="str">
        <f>IF(AND($B1839&lt;&gt;"",$C1839&lt;&gt;""),MAX($A$1556:A1838)+1,"")</f>
        <v/>
      </c>
      <c r="B1839" s="361" t="s">
        <v>3224</v>
      </c>
      <c r="C1839" s="360"/>
      <c r="D1839" s="327">
        <f>IF($B1839="","",COUNTIF($B$6:$B1839,$B1839))</f>
        <v>3</v>
      </c>
      <c r="E1839" s="361" t="s">
        <v>3135</v>
      </c>
      <c r="F1839" s="362" t="s">
        <v>3136</v>
      </c>
      <c r="G1839" s="327" t="s">
        <v>155</v>
      </c>
      <c r="H1839" s="327"/>
      <c r="I1839" s="327">
        <v>1</v>
      </c>
      <c r="J1839" s="345"/>
      <c r="K1839" s="327"/>
      <c r="L1839" s="389">
        <v>140000</v>
      </c>
      <c r="M1839" s="371"/>
      <c r="N1839" s="355" t="str">
        <f t="shared" si="228"/>
        <v>PK</v>
      </c>
      <c r="O1839" s="404" t="s">
        <v>3137</v>
      </c>
      <c r="P1839" s="392"/>
      <c r="Q1839" s="327"/>
      <c r="R1839" s="351"/>
      <c r="S1839" s="351"/>
      <c r="T1839" s="351"/>
      <c r="U1839" s="329" t="str">
        <f>IF($N1839=$N$4,IFERROR(INDEX(DanhMuc!$E$154:$E$165,MATCH(MID($B1839,4,2),DanhMuc!$B$154:$B$165,0)),""),"")</f>
        <v/>
      </c>
      <c r="V1839" s="361"/>
      <c r="W1839" s="345"/>
      <c r="X1839" s="329" t="str">
        <f t="shared" si="216"/>
        <v>TR</v>
      </c>
      <c r="Y1839" s="1128" t="s">
        <v>3380</v>
      </c>
      <c r="Z1839" s="1128" t="s">
        <v>3381</v>
      </c>
      <c r="AA1839" s="1128" t="s">
        <v>3384</v>
      </c>
      <c r="AB1839" s="20"/>
      <c r="AC1839" s="73"/>
    </row>
    <row r="1840" spans="1:29">
      <c r="A1840" s="327" t="str">
        <f>IF(AND($B1840&lt;&gt;"",$C1840&lt;&gt;""),MAX($A$1556:A1839)+1,"")</f>
        <v/>
      </c>
      <c r="B1840" s="361" t="s">
        <v>3224</v>
      </c>
      <c r="C1840" s="360"/>
      <c r="D1840" s="327">
        <f>IF($B1840="","",COUNTIF($B$6:$B1840,$B1840))</f>
        <v>4</v>
      </c>
      <c r="E1840" s="361" t="s">
        <v>2852</v>
      </c>
      <c r="F1840" s="362" t="s">
        <v>2373</v>
      </c>
      <c r="G1840" s="327" t="s">
        <v>155</v>
      </c>
      <c r="H1840" s="327"/>
      <c r="I1840" s="327">
        <v>1</v>
      </c>
      <c r="J1840" s="345"/>
      <c r="K1840" s="327"/>
      <c r="L1840" s="389">
        <v>15000</v>
      </c>
      <c r="M1840" s="371"/>
      <c r="N1840" s="355" t="str">
        <f t="shared" si="228"/>
        <v>PK</v>
      </c>
      <c r="O1840" s="404" t="s">
        <v>3137</v>
      </c>
      <c r="P1840" s="392"/>
      <c r="Q1840" s="327"/>
      <c r="R1840" s="351"/>
      <c r="S1840" s="351"/>
      <c r="T1840" s="351"/>
      <c r="U1840" s="329" t="str">
        <f>IF($N1840=$N$4,IFERROR(INDEX(DanhMuc!$E$154:$E$165,MATCH(MID($B1840,4,2),DanhMuc!$B$154:$B$165,0)),""),"")</f>
        <v/>
      </c>
      <c r="V1840" s="361"/>
      <c r="W1840" s="345"/>
      <c r="X1840" s="329" t="str">
        <f t="shared" si="216"/>
        <v>TR</v>
      </c>
      <c r="Y1840" s="1128" t="s">
        <v>3380</v>
      </c>
      <c r="Z1840" s="1128" t="s">
        <v>3381</v>
      </c>
      <c r="AA1840" s="1128" t="s">
        <v>3384</v>
      </c>
      <c r="AB1840" s="20"/>
      <c r="AC1840" s="73"/>
    </row>
    <row r="1841" spans="1:29">
      <c r="A1841" s="327" t="str">
        <f>IF(AND($B1841&lt;&gt;"",$C1841&lt;&gt;""),MAX($A$1556:A1838)+1,"")</f>
        <v/>
      </c>
      <c r="B1841" s="361" t="s">
        <v>3224</v>
      </c>
      <c r="C1841" s="360"/>
      <c r="D1841" s="327">
        <f>IF($B1841="","",COUNTIF($B$6:$B1841,$B1841))</f>
        <v>5</v>
      </c>
      <c r="E1841" s="361" t="s">
        <v>157</v>
      </c>
      <c r="F1841" s="362" t="s">
        <v>158</v>
      </c>
      <c r="G1841" s="327" t="s">
        <v>155</v>
      </c>
      <c r="H1841" s="327"/>
      <c r="I1841" s="327">
        <v>1</v>
      </c>
      <c r="J1841" s="359"/>
      <c r="K1841" s="327"/>
      <c r="L1841" s="389">
        <v>45000</v>
      </c>
      <c r="M1841" s="371"/>
      <c r="N1841" s="355" t="s">
        <v>153</v>
      </c>
      <c r="O1841" s="345" t="s">
        <v>1781</v>
      </c>
      <c r="P1841" s="392"/>
      <c r="Q1841" s="327"/>
      <c r="R1841" s="351"/>
      <c r="S1841" s="351"/>
      <c r="T1841" s="351"/>
      <c r="U1841" s="329" t="str">
        <f>IF($N1841=$N$4,IFERROR(INDEX(DanhMuc!$E$154:$E$165,MATCH(MID($B1841,4,2),DanhMuc!$B$154:$B$165,0)),""),"")</f>
        <v/>
      </c>
      <c r="V1841" s="361"/>
      <c r="W1841" s="345"/>
      <c r="X1841" s="329" t="str">
        <f t="shared" si="216"/>
        <v>TR</v>
      </c>
      <c r="Y1841" s="1128" t="s">
        <v>3380</v>
      </c>
      <c r="Z1841" s="1128" t="s">
        <v>3381</v>
      </c>
      <c r="AA1841" s="1128" t="s">
        <v>3384</v>
      </c>
      <c r="AB1841" s="20"/>
      <c r="AC1841" s="73"/>
    </row>
    <row r="1842" spans="1:29">
      <c r="A1842" s="327" t="str">
        <f>IF(AND($B1842&lt;&gt;"",$C1842&lt;&gt;""),MAX($A$1556:A1841)+1,"")</f>
        <v/>
      </c>
      <c r="B1842" s="361" t="s">
        <v>3224</v>
      </c>
      <c r="C1842" s="360"/>
      <c r="D1842" s="327">
        <f>IF($B1842="","",COUNTIF($B$6:$B1842,$B1842))</f>
        <v>6</v>
      </c>
      <c r="E1842" s="361" t="s">
        <v>2852</v>
      </c>
      <c r="F1842" s="362" t="s">
        <v>2373</v>
      </c>
      <c r="G1842" s="327" t="s">
        <v>155</v>
      </c>
      <c r="H1842" s="327"/>
      <c r="I1842" s="327">
        <v>1</v>
      </c>
      <c r="J1842" s="359"/>
      <c r="K1842" s="327"/>
      <c r="L1842" s="389">
        <v>15000</v>
      </c>
      <c r="M1842" s="371"/>
      <c r="N1842" s="355" t="s">
        <v>153</v>
      </c>
      <c r="O1842" s="345" t="s">
        <v>1781</v>
      </c>
      <c r="P1842" s="392"/>
      <c r="Q1842" s="327"/>
      <c r="R1842" s="351"/>
      <c r="S1842" s="351"/>
      <c r="T1842" s="351"/>
      <c r="U1842" s="329" t="str">
        <f>IF($N1842=$N$4,IFERROR(INDEX(DanhMuc!$E$154:$E$165,MATCH(MID($B1842,4,2),DanhMuc!$B$154:$B$165,0)),""),"")</f>
        <v/>
      </c>
      <c r="V1842" s="361"/>
      <c r="W1842" s="345"/>
      <c r="X1842" s="329" t="str">
        <f t="shared" si="216"/>
        <v>TR</v>
      </c>
      <c r="Y1842" s="1128" t="s">
        <v>3380</v>
      </c>
      <c r="Z1842" s="1128" t="s">
        <v>3381</v>
      </c>
      <c r="AA1842" s="1128" t="s">
        <v>3384</v>
      </c>
      <c r="AB1842" s="20"/>
      <c r="AC1842" s="73"/>
    </row>
    <row r="1843" spans="1:29">
      <c r="A1843" s="327" t="str">
        <f>IF(AND($B1843&lt;&gt;"",$C1843&lt;&gt;""),MAX($A$1556:A1838)+1,"")</f>
        <v/>
      </c>
      <c r="B1843" s="361" t="s">
        <v>3224</v>
      </c>
      <c r="C1843" s="360"/>
      <c r="D1843" s="327">
        <f>IF($B1843="","",COUNTIF($B$6:$B1843,$B1843))</f>
        <v>7</v>
      </c>
      <c r="E1843" s="402" t="s">
        <v>3217</v>
      </c>
      <c r="F1843" s="403" t="s">
        <v>3221</v>
      </c>
      <c r="G1843" s="327" t="s">
        <v>344</v>
      </c>
      <c r="H1843" s="327" t="s">
        <v>536</v>
      </c>
      <c r="I1843" s="327">
        <v>1</v>
      </c>
      <c r="J1843" s="361"/>
      <c r="K1843" s="327"/>
      <c r="L1843" s="389">
        <v>365000</v>
      </c>
      <c r="M1843" s="371"/>
      <c r="N1843" s="355" t="str">
        <f t="shared" si="228"/>
        <v>PK</v>
      </c>
      <c r="O1843" s="345"/>
      <c r="P1843" s="392"/>
      <c r="Q1843" s="327"/>
      <c r="R1843" s="351"/>
      <c r="S1843" s="351"/>
      <c r="T1843" s="351"/>
      <c r="U1843" s="329" t="str">
        <f>IF($N1843=$N$4,IFERROR(INDEX(DanhMuc!$E$154:$E$165,MATCH(MID($B1843,4,2),DanhMuc!$B$154:$B$165,0)),""),"")</f>
        <v/>
      </c>
      <c r="V1843" s="361"/>
      <c r="W1843" s="345"/>
      <c r="X1843" s="329" t="str">
        <f t="shared" si="216"/>
        <v>TR</v>
      </c>
      <c r="Y1843" s="1128" t="s">
        <v>3380</v>
      </c>
      <c r="Z1843" s="1128" t="s">
        <v>3381</v>
      </c>
      <c r="AA1843" s="1128" t="s">
        <v>3384</v>
      </c>
      <c r="AB1843" s="20"/>
      <c r="AC1843" s="73"/>
    </row>
    <row r="1844" spans="1:29">
      <c r="A1844" s="327" t="str">
        <f>IF(AND($B1844&lt;&gt;"",$C1844&lt;&gt;""),MAX($A$1556:A1839)+1,"")</f>
        <v/>
      </c>
      <c r="B1844" s="361" t="s">
        <v>3224</v>
      </c>
      <c r="C1844" s="360"/>
      <c r="D1844" s="327">
        <f>IF($B1844="","",COUNTIF($B$6:$B1844,$B1844))</f>
        <v>8</v>
      </c>
      <c r="E1844" s="402" t="s">
        <v>3218</v>
      </c>
      <c r="F1844" s="403" t="s">
        <v>3219</v>
      </c>
      <c r="G1844" s="327" t="s">
        <v>690</v>
      </c>
      <c r="H1844" s="327" t="s">
        <v>536</v>
      </c>
      <c r="I1844" s="327" t="s">
        <v>3220</v>
      </c>
      <c r="J1844" s="361"/>
      <c r="K1844" s="327"/>
      <c r="L1844" s="389">
        <f>100000/1000</f>
        <v>100</v>
      </c>
      <c r="M1844" s="371"/>
      <c r="N1844" s="355" t="str">
        <f t="shared" si="228"/>
        <v>PK</v>
      </c>
      <c r="O1844" s="345"/>
      <c r="P1844" s="392"/>
      <c r="Q1844" s="327"/>
      <c r="R1844" s="351"/>
      <c r="S1844" s="351"/>
      <c r="T1844" s="351"/>
      <c r="U1844" s="329" t="str">
        <f>IF($N1844=$N$4,IFERROR(INDEX(DanhMuc!$E$154:$E$165,MATCH(MID($B1844,4,2),DanhMuc!$B$154:$B$165,0)),""),"")</f>
        <v/>
      </c>
      <c r="V1844" s="361"/>
      <c r="W1844" s="345"/>
      <c r="X1844" s="329" t="str">
        <f t="shared" si="216"/>
        <v>TR</v>
      </c>
      <c r="Y1844" s="1128" t="s">
        <v>3380</v>
      </c>
      <c r="Z1844" s="1128" t="s">
        <v>3381</v>
      </c>
      <c r="AA1844" s="1128" t="s">
        <v>3384</v>
      </c>
      <c r="AB1844" s="20"/>
      <c r="AC1844" s="73"/>
    </row>
    <row r="1845" spans="1:29">
      <c r="A1845" s="327" t="str">
        <f>IF(AND($B1845&lt;&gt;"",$C1845&lt;&gt;""),MAX($A$1556:A1843)+1,"")</f>
        <v/>
      </c>
      <c r="B1845" s="361" t="s">
        <v>3224</v>
      </c>
      <c r="C1845" s="360"/>
      <c r="D1845" s="327">
        <f>IF($B1845="","",COUNTIF($B$6:$B1845,$B1845))</f>
        <v>9</v>
      </c>
      <c r="E1845" s="361" t="s">
        <v>163</v>
      </c>
      <c r="F1845" s="362" t="s">
        <v>164</v>
      </c>
      <c r="G1845" s="327" t="s">
        <v>155</v>
      </c>
      <c r="H1845" s="327"/>
      <c r="I1845" s="327">
        <v>1</v>
      </c>
      <c r="J1845" s="361"/>
      <c r="K1845" s="408"/>
      <c r="L1845" s="389">
        <v>2500</v>
      </c>
      <c r="M1845" s="371"/>
      <c r="N1845" s="355" t="str">
        <f t="shared" si="228"/>
        <v>PK</v>
      </c>
      <c r="O1845" s="345"/>
      <c r="P1845" s="392"/>
      <c r="Q1845" s="327"/>
      <c r="R1845" s="351"/>
      <c r="S1845" s="351"/>
      <c r="T1845" s="351"/>
      <c r="U1845" s="329" t="str">
        <f>IF($N1845=$N$4,IFERROR(INDEX(DanhMuc!$E$154:$E$165,MATCH(MID($B1845,4,2),DanhMuc!$B$154:$B$165,0)),""),"")</f>
        <v/>
      </c>
      <c r="V1845" s="408" t="s">
        <v>342</v>
      </c>
      <c r="W1845" s="345"/>
      <c r="X1845" s="329" t="str">
        <f t="shared" si="216"/>
        <v>TR</v>
      </c>
      <c r="Y1845" s="1128" t="s">
        <v>3380</v>
      </c>
      <c r="Z1845" s="1128" t="s">
        <v>3381</v>
      </c>
      <c r="AA1845" s="1128" t="s">
        <v>3384</v>
      </c>
      <c r="AB1845" s="20"/>
      <c r="AC1845" s="73"/>
    </row>
    <row r="1846" spans="1:29">
      <c r="A1846" s="327" t="str">
        <f>IF(AND($B1846&lt;&gt;"",$C1846&lt;&gt;""),MAX($A$1556:A1845)+1,"")</f>
        <v/>
      </c>
      <c r="B1846" s="361" t="s">
        <v>3224</v>
      </c>
      <c r="C1846" s="360"/>
      <c r="D1846" s="327">
        <f>IF($B1846="","",COUNTIF($B$6:$B1846,$B1846))</f>
        <v>10</v>
      </c>
      <c r="E1846" s="361" t="s">
        <v>187</v>
      </c>
      <c r="F1846" s="362" t="s">
        <v>189</v>
      </c>
      <c r="G1846" s="327" t="s">
        <v>155</v>
      </c>
      <c r="H1846" s="327"/>
      <c r="I1846" s="327">
        <v>2</v>
      </c>
      <c r="J1846" s="361"/>
      <c r="K1846" s="327"/>
      <c r="L1846" s="389">
        <v>5000</v>
      </c>
      <c r="M1846" s="371"/>
      <c r="N1846" s="355" t="str">
        <f t="shared" si="228"/>
        <v>PK</v>
      </c>
      <c r="O1846" s="345"/>
      <c r="P1846" s="392"/>
      <c r="Q1846" s="327"/>
      <c r="R1846" s="351"/>
      <c r="S1846" s="351"/>
      <c r="T1846" s="351"/>
      <c r="U1846" s="329" t="str">
        <f>IF($N1846=$N$4,IFERROR(INDEX(DanhMuc!$E$154:$E$165,MATCH(MID($B1846,4,2),DanhMuc!$B$154:$B$165,0)),""),"")</f>
        <v/>
      </c>
      <c r="V1846" s="361"/>
      <c r="W1846" s="345"/>
      <c r="X1846" s="329" t="str">
        <f t="shared" si="216"/>
        <v>TR</v>
      </c>
      <c r="Y1846" s="1128" t="s">
        <v>3380</v>
      </c>
      <c r="Z1846" s="1128" t="s">
        <v>3381</v>
      </c>
      <c r="AA1846" s="1128" t="s">
        <v>3384</v>
      </c>
      <c r="AB1846" s="20"/>
      <c r="AC1846" s="73"/>
    </row>
    <row r="1847" spans="1:29">
      <c r="A1847" s="327" t="str">
        <f>IF(AND($B1847&lt;&gt;"",$C1847&lt;&gt;""),MAX($A$1556:A1846)+1,"")</f>
        <v/>
      </c>
      <c r="B1847" s="361" t="s">
        <v>3224</v>
      </c>
      <c r="C1847" s="360"/>
      <c r="D1847" s="327">
        <f>IF($B1847="","",COUNTIF($B$6:$B1847,$B1847))</f>
        <v>11</v>
      </c>
      <c r="E1847" s="361" t="s">
        <v>172</v>
      </c>
      <c r="F1847" s="362" t="s">
        <v>173</v>
      </c>
      <c r="G1847" s="327" t="s">
        <v>155</v>
      </c>
      <c r="H1847" s="327"/>
      <c r="I1847" s="327">
        <v>1</v>
      </c>
      <c r="J1847" s="361"/>
      <c r="K1847" s="327"/>
      <c r="L1847" s="389">
        <v>6000</v>
      </c>
      <c r="M1847" s="371"/>
      <c r="N1847" s="355" t="str">
        <f t="shared" si="228"/>
        <v>PK</v>
      </c>
      <c r="O1847" s="345"/>
      <c r="P1847" s="392"/>
      <c r="Q1847" s="327"/>
      <c r="R1847" s="351"/>
      <c r="S1847" s="351"/>
      <c r="T1847" s="351"/>
      <c r="U1847" s="329" t="str">
        <f>IF($N1847=$N$4,IFERROR(INDEX(DanhMuc!$E$154:$E$165,MATCH(MID($B1847,4,2),DanhMuc!$B$154:$B$165,0)),""),"")</f>
        <v/>
      </c>
      <c r="V1847" s="361"/>
      <c r="W1847" s="345"/>
      <c r="X1847" s="329" t="str">
        <f t="shared" si="216"/>
        <v>TR</v>
      </c>
      <c r="Y1847" s="1128" t="s">
        <v>3380</v>
      </c>
      <c r="Z1847" s="1128" t="s">
        <v>3381</v>
      </c>
      <c r="AA1847" s="1128" t="s">
        <v>3384</v>
      </c>
      <c r="AB1847" s="20"/>
      <c r="AC1847" s="73"/>
    </row>
    <row r="1848" spans="1:29" ht="39">
      <c r="A1848" s="327">
        <f>IF(AND($B1848&lt;&gt;"",$C1848&lt;&gt;""),MAX($A$1556:A1793)+1,"")</f>
        <v>7</v>
      </c>
      <c r="B1848" s="359" t="s">
        <v>3177</v>
      </c>
      <c r="C1848" s="360" t="s">
        <v>3174</v>
      </c>
      <c r="D1848" s="327">
        <f>IF($B1848="","",COUNTIF($B$6:$B1848,$B1848))</f>
        <v>1</v>
      </c>
      <c r="E1848" s="361" t="s">
        <v>739</v>
      </c>
      <c r="F1848" s="362" t="s">
        <v>740</v>
      </c>
      <c r="G1848" s="327" t="s">
        <v>297</v>
      </c>
      <c r="H1848" s="327"/>
      <c r="I1848" s="327">
        <v>1</v>
      </c>
      <c r="J1848" s="345"/>
      <c r="K1848" s="327"/>
      <c r="L1848" s="389">
        <v>199000</v>
      </c>
      <c r="M1848" s="371"/>
      <c r="N1848" s="355" t="str">
        <f t="shared" si="228"/>
        <v>PK</v>
      </c>
      <c r="O1848" s="345" t="s">
        <v>1783</v>
      </c>
      <c r="P1848" s="392"/>
      <c r="Q1848" s="327"/>
      <c r="R1848" s="351"/>
      <c r="S1848" s="351"/>
      <c r="T1848" s="351"/>
      <c r="U1848" s="329" t="str">
        <f>IF($N1848=$N$4,IFERROR(INDEX(DanhMuc!$E$154:$E$165,MATCH(MID($B1848,4,2),DanhMuc!$B$154:$B$165,0)),""),"")</f>
        <v/>
      </c>
      <c r="V1848" s="361"/>
      <c r="W1848" s="345"/>
      <c r="X1848" s="329" t="str">
        <f t="shared" si="216"/>
        <v>2R</v>
      </c>
      <c r="Y1848" s="1128" t="s">
        <v>3380</v>
      </c>
      <c r="Z1848" s="1128" t="s">
        <v>3381</v>
      </c>
      <c r="AA1848" s="1128" t="s">
        <v>3384</v>
      </c>
      <c r="AB1848" s="20"/>
      <c r="AC1848" s="73"/>
    </row>
    <row r="1849" spans="1:29">
      <c r="A1849" s="327" t="str">
        <f>IF(AND($B1849&lt;&gt;"",$C1849&lt;&gt;""),MAX($A$1556:A1848)+1,"")</f>
        <v/>
      </c>
      <c r="B1849" s="361" t="s">
        <v>3177</v>
      </c>
      <c r="C1849" s="360"/>
      <c r="D1849" s="327">
        <f>IF($B1849="","",COUNTIF($B$6:$B1849,$B1849))</f>
        <v>2</v>
      </c>
      <c r="E1849" s="361" t="s">
        <v>2852</v>
      </c>
      <c r="F1849" s="362" t="s">
        <v>2373</v>
      </c>
      <c r="G1849" s="327" t="s">
        <v>155</v>
      </c>
      <c r="H1849" s="327"/>
      <c r="I1849" s="327">
        <v>1</v>
      </c>
      <c r="J1849" s="345"/>
      <c r="K1849" s="327"/>
      <c r="L1849" s="389">
        <v>15000</v>
      </c>
      <c r="M1849" s="371"/>
      <c r="N1849" s="355" t="str">
        <f t="shared" si="228"/>
        <v>PK</v>
      </c>
      <c r="O1849" s="345" t="s">
        <v>1783</v>
      </c>
      <c r="P1849" s="392"/>
      <c r="Q1849" s="327"/>
      <c r="R1849" s="351"/>
      <c r="S1849" s="351"/>
      <c r="T1849" s="351"/>
      <c r="U1849" s="329" t="str">
        <f>IF($N1849=$N$4,IFERROR(INDEX(DanhMuc!$E$154:$E$165,MATCH(MID($B1849,4,2),DanhMuc!$B$154:$B$165,0)),""),"")</f>
        <v/>
      </c>
      <c r="V1849" s="361"/>
      <c r="W1849" s="345"/>
      <c r="X1849" s="329" t="str">
        <f t="shared" si="216"/>
        <v>2R</v>
      </c>
      <c r="Y1849" s="1128" t="s">
        <v>3380</v>
      </c>
      <c r="Z1849" s="1128" t="s">
        <v>3381</v>
      </c>
      <c r="AA1849" s="1128" t="s">
        <v>3384</v>
      </c>
      <c r="AB1849" s="20"/>
      <c r="AC1849" s="73"/>
    </row>
    <row r="1850" spans="1:29">
      <c r="A1850" s="327" t="str">
        <f>IF(AND($B1850&lt;&gt;"",$C1850&lt;&gt;""),MAX($A$1556:A1849)+1,"")</f>
        <v/>
      </c>
      <c r="B1850" s="361" t="s">
        <v>3177</v>
      </c>
      <c r="C1850" s="360"/>
      <c r="D1850" s="327">
        <f>IF($B1850="","",COUNTIF($B$6:$B1850,$B1850))</f>
        <v>3</v>
      </c>
      <c r="E1850" s="361" t="s">
        <v>3135</v>
      </c>
      <c r="F1850" s="362" t="s">
        <v>3136</v>
      </c>
      <c r="G1850" s="327" t="s">
        <v>155</v>
      </c>
      <c r="H1850" s="327"/>
      <c r="I1850" s="327">
        <v>1</v>
      </c>
      <c r="J1850" s="345"/>
      <c r="K1850" s="327"/>
      <c r="L1850" s="389">
        <v>140000</v>
      </c>
      <c r="M1850" s="371"/>
      <c r="N1850" s="355" t="str">
        <f t="shared" si="228"/>
        <v>PK</v>
      </c>
      <c r="O1850" s="404" t="s">
        <v>3137</v>
      </c>
      <c r="P1850" s="392"/>
      <c r="Q1850" s="327"/>
      <c r="R1850" s="351"/>
      <c r="S1850" s="351"/>
      <c r="T1850" s="351"/>
      <c r="U1850" s="329" t="str">
        <f>IF($N1850=$N$4,IFERROR(INDEX(DanhMuc!$E$154:$E$165,MATCH(MID($B1850,4,2),DanhMuc!$B$154:$B$165,0)),""),"")</f>
        <v/>
      </c>
      <c r="V1850" s="361"/>
      <c r="W1850" s="345"/>
      <c r="X1850" s="329" t="str">
        <f t="shared" si="216"/>
        <v>2R</v>
      </c>
      <c r="Y1850" s="1128" t="s">
        <v>3380</v>
      </c>
      <c r="Z1850" s="1128" t="s">
        <v>3381</v>
      </c>
      <c r="AA1850" s="1128" t="s">
        <v>3384</v>
      </c>
      <c r="AB1850" s="20"/>
      <c r="AC1850" s="73"/>
    </row>
    <row r="1851" spans="1:29">
      <c r="A1851" s="327" t="str">
        <f>IF(AND($B1851&lt;&gt;"",$C1851&lt;&gt;""),MAX($A$1556:A1850)+1,"")</f>
        <v/>
      </c>
      <c r="B1851" s="361" t="s">
        <v>3177</v>
      </c>
      <c r="C1851" s="360"/>
      <c r="D1851" s="327">
        <f>IF($B1851="","",COUNTIF($B$6:$B1851,$B1851))</f>
        <v>4</v>
      </c>
      <c r="E1851" s="361" t="s">
        <v>2852</v>
      </c>
      <c r="F1851" s="362" t="s">
        <v>2373</v>
      </c>
      <c r="G1851" s="327" t="s">
        <v>155</v>
      </c>
      <c r="H1851" s="327"/>
      <c r="I1851" s="327">
        <v>1</v>
      </c>
      <c r="J1851" s="345"/>
      <c r="K1851" s="327"/>
      <c r="L1851" s="389">
        <v>15000</v>
      </c>
      <c r="M1851" s="371"/>
      <c r="N1851" s="355" t="str">
        <f t="shared" si="228"/>
        <v>PK</v>
      </c>
      <c r="O1851" s="404" t="s">
        <v>3137</v>
      </c>
      <c r="P1851" s="392"/>
      <c r="Q1851" s="327"/>
      <c r="R1851" s="351"/>
      <c r="S1851" s="351"/>
      <c r="T1851" s="351"/>
      <c r="U1851" s="329" t="str">
        <f>IF($N1851=$N$4,IFERROR(INDEX(DanhMuc!$E$154:$E$165,MATCH(MID($B1851,4,2),DanhMuc!$B$154:$B$165,0)),""),"")</f>
        <v/>
      </c>
      <c r="V1851" s="361"/>
      <c r="W1851" s="345"/>
      <c r="X1851" s="329" t="str">
        <f t="shared" si="216"/>
        <v>2R</v>
      </c>
      <c r="Y1851" s="1128" t="s">
        <v>3380</v>
      </c>
      <c r="Z1851" s="1128" t="s">
        <v>3381</v>
      </c>
      <c r="AA1851" s="1128" t="s">
        <v>3384</v>
      </c>
      <c r="AB1851" s="20"/>
      <c r="AC1851" s="73"/>
    </row>
    <row r="1852" spans="1:29">
      <c r="A1852" s="327" t="str">
        <f>IF(AND($B1852&lt;&gt;"",$C1852&lt;&gt;""),MAX($A$1556:A1849)+1,"")</f>
        <v/>
      </c>
      <c r="B1852" s="361" t="s">
        <v>3177</v>
      </c>
      <c r="C1852" s="360"/>
      <c r="D1852" s="327">
        <f>IF($B1852="","",COUNTIF($B$6:$B1852,$B1852))</f>
        <v>5</v>
      </c>
      <c r="E1852" s="361" t="s">
        <v>157</v>
      </c>
      <c r="F1852" s="362" t="s">
        <v>158</v>
      </c>
      <c r="G1852" s="327" t="s">
        <v>155</v>
      </c>
      <c r="H1852" s="327"/>
      <c r="I1852" s="327">
        <v>1</v>
      </c>
      <c r="J1852" s="359"/>
      <c r="K1852" s="327"/>
      <c r="L1852" s="389">
        <v>45000</v>
      </c>
      <c r="M1852" s="371"/>
      <c r="N1852" s="355" t="s">
        <v>153</v>
      </c>
      <c r="O1852" s="345"/>
      <c r="P1852" s="392"/>
      <c r="Q1852" s="327"/>
      <c r="R1852" s="351"/>
      <c r="S1852" s="351"/>
      <c r="T1852" s="351"/>
      <c r="U1852" s="329" t="str">
        <f>IF($N1852=$N$4,IFERROR(INDEX(DanhMuc!$E$154:$E$165,MATCH(MID($B1852,4,2),DanhMuc!$B$154:$B$165,0)),""),"")</f>
        <v/>
      </c>
      <c r="V1852" s="361"/>
      <c r="W1852" s="345"/>
      <c r="X1852" s="329" t="str">
        <f t="shared" si="216"/>
        <v>2R</v>
      </c>
      <c r="Y1852" s="1128" t="s">
        <v>3380</v>
      </c>
      <c r="Z1852" s="1128" t="s">
        <v>3381</v>
      </c>
      <c r="AA1852" s="1128" t="s">
        <v>3384</v>
      </c>
      <c r="AB1852" s="20"/>
      <c r="AC1852" s="73"/>
    </row>
    <row r="1853" spans="1:29">
      <c r="A1853" s="327" t="str">
        <f>IF(AND($B1853&lt;&gt;"",$C1853&lt;&gt;""),MAX($A$1556:A1852)+1,"")</f>
        <v/>
      </c>
      <c r="B1853" s="361" t="s">
        <v>3177</v>
      </c>
      <c r="C1853" s="360"/>
      <c r="D1853" s="327">
        <f>IF($B1853="","",COUNTIF($B$6:$B1853,$B1853))</f>
        <v>6</v>
      </c>
      <c r="E1853" s="361" t="s">
        <v>2852</v>
      </c>
      <c r="F1853" s="362" t="s">
        <v>2373</v>
      </c>
      <c r="G1853" s="327" t="s">
        <v>155</v>
      </c>
      <c r="H1853" s="327"/>
      <c r="I1853" s="327">
        <v>1</v>
      </c>
      <c r="J1853" s="359"/>
      <c r="K1853" s="327"/>
      <c r="L1853" s="389">
        <v>15000</v>
      </c>
      <c r="M1853" s="371"/>
      <c r="N1853" s="355" t="s">
        <v>153</v>
      </c>
      <c r="O1853" s="345"/>
      <c r="P1853" s="392"/>
      <c r="Q1853" s="327"/>
      <c r="R1853" s="351"/>
      <c r="S1853" s="351"/>
      <c r="T1853" s="351"/>
      <c r="U1853" s="329" t="str">
        <f>IF($N1853=$N$4,IFERROR(INDEX(DanhMuc!$E$154:$E$165,MATCH(MID($B1853,4,2),DanhMuc!$B$154:$B$165,0)),""),"")</f>
        <v/>
      </c>
      <c r="V1853" s="361"/>
      <c r="W1853" s="345"/>
      <c r="X1853" s="329" t="str">
        <f t="shared" si="216"/>
        <v>2R</v>
      </c>
      <c r="Y1853" s="1128" t="s">
        <v>3380</v>
      </c>
      <c r="Z1853" s="1128" t="s">
        <v>3381</v>
      </c>
      <c r="AA1853" s="1128" t="s">
        <v>3384</v>
      </c>
      <c r="AB1853" s="20"/>
      <c r="AC1853" s="73"/>
    </row>
    <row r="1854" spans="1:29">
      <c r="A1854" s="327" t="str">
        <f>IF(AND($B1854&lt;&gt;"",$C1854&lt;&gt;""),MAX($A$1556:A1849)+1,"")</f>
        <v/>
      </c>
      <c r="B1854" s="361" t="s">
        <v>3177</v>
      </c>
      <c r="C1854" s="360"/>
      <c r="D1854" s="327">
        <f>IF($B1854="","",COUNTIF($B$6:$B1854,$B1854))</f>
        <v>7</v>
      </c>
      <c r="E1854" s="402" t="s">
        <v>2534</v>
      </c>
      <c r="F1854" s="403" t="s">
        <v>181</v>
      </c>
      <c r="G1854" s="327" t="s">
        <v>155</v>
      </c>
      <c r="H1854" s="327" t="s">
        <v>536</v>
      </c>
      <c r="I1854" s="327">
        <v>6</v>
      </c>
      <c r="J1854" s="361"/>
      <c r="K1854" s="327"/>
      <c r="L1854" s="389">
        <v>19000</v>
      </c>
      <c r="M1854" s="371"/>
      <c r="N1854" s="355" t="str">
        <f t="shared" ref="N1854:N1861" si="229">+$N$1555</f>
        <v>PK</v>
      </c>
      <c r="O1854" s="345"/>
      <c r="P1854" s="392"/>
      <c r="Q1854" s="327"/>
      <c r="R1854" s="351"/>
      <c r="S1854" s="351"/>
      <c r="T1854" s="351"/>
      <c r="U1854" s="329" t="str">
        <f>IF($N1854=$N$4,IFERROR(INDEX(DanhMuc!$E$154:$E$165,MATCH(MID($B1854,4,2),DanhMuc!$B$154:$B$165,0)),""),"")</f>
        <v/>
      </c>
      <c r="V1854" s="361"/>
      <c r="W1854" s="345"/>
      <c r="X1854" s="329" t="str">
        <f t="shared" si="216"/>
        <v>2R</v>
      </c>
      <c r="Y1854" s="1128" t="s">
        <v>3380</v>
      </c>
      <c r="Z1854" s="1128" t="s">
        <v>3381</v>
      </c>
      <c r="AA1854" s="1128" t="s">
        <v>3384</v>
      </c>
      <c r="AB1854" s="20"/>
      <c r="AC1854" s="73"/>
    </row>
    <row r="1855" spans="1:29">
      <c r="A1855" s="327" t="str">
        <f>IF(AND($B1855&lt;&gt;"",$C1855&lt;&gt;""),MAX($A$1556:A1854)+1,"")</f>
        <v/>
      </c>
      <c r="B1855" s="361" t="s">
        <v>3177</v>
      </c>
      <c r="C1855" s="360"/>
      <c r="D1855" s="327">
        <f>IF($B1855="","",COUNTIF($B$6:$B1855,$B1855))</f>
        <v>8</v>
      </c>
      <c r="E1855" s="361" t="s">
        <v>163</v>
      </c>
      <c r="F1855" s="362" t="s">
        <v>164</v>
      </c>
      <c r="G1855" s="327" t="s">
        <v>155</v>
      </c>
      <c r="H1855" s="327"/>
      <c r="I1855" s="327">
        <v>2</v>
      </c>
      <c r="J1855" s="361"/>
      <c r="K1855" s="408"/>
      <c r="L1855" s="389">
        <v>2500</v>
      </c>
      <c r="M1855" s="371"/>
      <c r="N1855" s="355" t="str">
        <f t="shared" si="229"/>
        <v>PK</v>
      </c>
      <c r="O1855" s="345"/>
      <c r="P1855" s="392"/>
      <c r="Q1855" s="327"/>
      <c r="R1855" s="351"/>
      <c r="S1855" s="351"/>
      <c r="T1855" s="351"/>
      <c r="U1855" s="329" t="str">
        <f>IF($N1855=$N$4,IFERROR(INDEX(DanhMuc!$E$154:$E$165,MATCH(MID($B1855,4,2),DanhMuc!$B$154:$B$165,0)),""),"")</f>
        <v/>
      </c>
      <c r="V1855" s="408" t="s">
        <v>342</v>
      </c>
      <c r="W1855" s="345"/>
      <c r="X1855" s="329" t="str">
        <f t="shared" si="216"/>
        <v>2R</v>
      </c>
      <c r="Y1855" s="1128" t="s">
        <v>3380</v>
      </c>
      <c r="Z1855" s="1128" t="s">
        <v>3381</v>
      </c>
      <c r="AA1855" s="1128" t="s">
        <v>3384</v>
      </c>
      <c r="AB1855" s="20"/>
      <c r="AC1855" s="73"/>
    </row>
    <row r="1856" spans="1:29">
      <c r="A1856" s="327" t="str">
        <f>IF(AND($B1856&lt;&gt;"",$C1856&lt;&gt;""),MAX($A$1556:A1855)+1,"")</f>
        <v/>
      </c>
      <c r="B1856" s="361" t="s">
        <v>3177</v>
      </c>
      <c r="C1856" s="360"/>
      <c r="D1856" s="327">
        <f>IF($B1856="","",COUNTIF($B$6:$B1856,$B1856))</f>
        <v>9</v>
      </c>
      <c r="E1856" s="361" t="s">
        <v>187</v>
      </c>
      <c r="F1856" s="362" t="s">
        <v>189</v>
      </c>
      <c r="G1856" s="327" t="s">
        <v>155</v>
      </c>
      <c r="H1856" s="327"/>
      <c r="I1856" s="327">
        <v>4</v>
      </c>
      <c r="J1856" s="361"/>
      <c r="K1856" s="327"/>
      <c r="L1856" s="389">
        <v>5000</v>
      </c>
      <c r="M1856" s="371"/>
      <c r="N1856" s="355" t="str">
        <f t="shared" si="229"/>
        <v>PK</v>
      </c>
      <c r="O1856" s="345"/>
      <c r="P1856" s="392"/>
      <c r="Q1856" s="327"/>
      <c r="R1856" s="351"/>
      <c r="S1856" s="351"/>
      <c r="T1856" s="351"/>
      <c r="U1856" s="329" t="str">
        <f>IF($N1856=$N$4,IFERROR(INDEX(DanhMuc!$E$154:$E$165,MATCH(MID($B1856,4,2),DanhMuc!$B$154:$B$165,0)),""),"")</f>
        <v/>
      </c>
      <c r="V1856" s="361"/>
      <c r="W1856" s="345"/>
      <c r="X1856" s="329" t="str">
        <f t="shared" si="216"/>
        <v>2R</v>
      </c>
      <c r="Y1856" s="1128" t="s">
        <v>3380</v>
      </c>
      <c r="Z1856" s="1128" t="s">
        <v>3381</v>
      </c>
      <c r="AA1856" s="1128" t="s">
        <v>3384</v>
      </c>
      <c r="AB1856" s="20"/>
      <c r="AC1856" s="73"/>
    </row>
    <row r="1857" spans="1:29">
      <c r="A1857" s="327" t="str">
        <f>IF(AND($B1857&lt;&gt;"",$C1857&lt;&gt;""),MAX($A$1556:A1856)+1,"")</f>
        <v/>
      </c>
      <c r="B1857" s="361" t="s">
        <v>3177</v>
      </c>
      <c r="C1857" s="360"/>
      <c r="D1857" s="327">
        <f>IF($B1857="","",COUNTIF($B$6:$B1857,$B1857))</f>
        <v>10</v>
      </c>
      <c r="E1857" s="361" t="s">
        <v>172</v>
      </c>
      <c r="F1857" s="362" t="s">
        <v>173</v>
      </c>
      <c r="G1857" s="327" t="s">
        <v>155</v>
      </c>
      <c r="H1857" s="327"/>
      <c r="I1857" s="327">
        <v>1</v>
      </c>
      <c r="J1857" s="361"/>
      <c r="K1857" s="327"/>
      <c r="L1857" s="389">
        <v>6000</v>
      </c>
      <c r="M1857" s="371"/>
      <c r="N1857" s="355" t="str">
        <f t="shared" si="229"/>
        <v>PK</v>
      </c>
      <c r="O1857" s="345"/>
      <c r="P1857" s="392"/>
      <c r="Q1857" s="327"/>
      <c r="R1857" s="351"/>
      <c r="S1857" s="351"/>
      <c r="T1857" s="351"/>
      <c r="U1857" s="329" t="str">
        <f>IF($N1857=$N$4,IFERROR(INDEX(DanhMuc!$E$154:$E$165,MATCH(MID($B1857,4,2),DanhMuc!$B$154:$B$165,0)),""),"")</f>
        <v/>
      </c>
      <c r="V1857" s="361"/>
      <c r="W1857" s="345"/>
      <c r="X1857" s="329" t="str">
        <f t="shared" si="216"/>
        <v>2R</v>
      </c>
      <c r="Y1857" s="1128" t="s">
        <v>3380</v>
      </c>
      <c r="Z1857" s="1128" t="s">
        <v>3381</v>
      </c>
      <c r="AA1857" s="1128" t="s">
        <v>3384</v>
      </c>
      <c r="AB1857" s="20"/>
      <c r="AC1857" s="73"/>
    </row>
    <row r="1858" spans="1:29" ht="37.5">
      <c r="A1858" s="327">
        <f>IF(AND($B1858&lt;&gt;"",$C1858&lt;&gt;""),MAX($A$1556:A1789)+1,"")</f>
        <v>7</v>
      </c>
      <c r="B1858" s="359" t="s">
        <v>1984</v>
      </c>
      <c r="C1858" s="360" t="s">
        <v>1537</v>
      </c>
      <c r="D1858" s="327">
        <f>IF($B1858="","",COUNTIF($B$6:$B1858,$B1858))</f>
        <v>1</v>
      </c>
      <c r="E1858" s="361" t="s">
        <v>739</v>
      </c>
      <c r="F1858" s="362" t="s">
        <v>740</v>
      </c>
      <c r="G1858" s="327" t="s">
        <v>297</v>
      </c>
      <c r="H1858" s="327"/>
      <c r="I1858" s="327">
        <v>1</v>
      </c>
      <c r="J1858" s="345"/>
      <c r="K1858" s="327"/>
      <c r="L1858" s="389">
        <v>199000</v>
      </c>
      <c r="M1858" s="371"/>
      <c r="N1858" s="355" t="str">
        <f t="shared" si="229"/>
        <v>PK</v>
      </c>
      <c r="O1858" s="345" t="s">
        <v>1783</v>
      </c>
      <c r="P1858" s="392"/>
      <c r="Q1858" s="327"/>
      <c r="R1858" s="351"/>
      <c r="S1858" s="351"/>
      <c r="T1858" s="351"/>
      <c r="U1858" s="329" t="str">
        <f>IF($N1858=$N$4,IFERROR(INDEX(DanhMuc!$E$154:$E$165,MATCH(MID($B1858,4,2),DanhMuc!$B$154:$B$165,0)),""),"")</f>
        <v/>
      </c>
      <c r="V1858" s="361"/>
      <c r="W1858" s="345"/>
      <c r="X1858" s="329" t="str">
        <f t="shared" si="216"/>
        <v>3H</v>
      </c>
      <c r="Y1858" s="1128" t="s">
        <v>3380</v>
      </c>
      <c r="Z1858" s="1128" t="s">
        <v>3381</v>
      </c>
      <c r="AA1858" s="1128" t="s">
        <v>3384</v>
      </c>
      <c r="AB1858" s="20"/>
      <c r="AC1858" s="73"/>
    </row>
    <row r="1859" spans="1:29">
      <c r="A1859" s="327" t="str">
        <f>IF(AND($B1859&lt;&gt;"",$C1859&lt;&gt;""),MAX($A$1556:A1858)+1,"")</f>
        <v/>
      </c>
      <c r="B1859" s="361" t="s">
        <v>1984</v>
      </c>
      <c r="C1859" s="360"/>
      <c r="D1859" s="327">
        <f>IF($B1859="","",COUNTIF($B$6:$B1859,$B1859))</f>
        <v>2</v>
      </c>
      <c r="E1859" s="361" t="s">
        <v>2852</v>
      </c>
      <c r="F1859" s="362" t="s">
        <v>2373</v>
      </c>
      <c r="G1859" s="327" t="s">
        <v>155</v>
      </c>
      <c r="H1859" s="327"/>
      <c r="I1859" s="327">
        <v>1</v>
      </c>
      <c r="J1859" s="345"/>
      <c r="K1859" s="327"/>
      <c r="L1859" s="389">
        <v>15000</v>
      </c>
      <c r="M1859" s="371"/>
      <c r="N1859" s="355" t="str">
        <f t="shared" si="229"/>
        <v>PK</v>
      </c>
      <c r="O1859" s="345" t="s">
        <v>1783</v>
      </c>
      <c r="P1859" s="392"/>
      <c r="Q1859" s="327"/>
      <c r="R1859" s="351"/>
      <c r="S1859" s="351"/>
      <c r="T1859" s="351"/>
      <c r="U1859" s="329" t="str">
        <f>IF($N1859=$N$4,IFERROR(INDEX(DanhMuc!$E$154:$E$165,MATCH(MID($B1859,4,2),DanhMuc!$B$154:$B$165,0)),""),"")</f>
        <v/>
      </c>
      <c r="V1859" s="361"/>
      <c r="W1859" s="345"/>
      <c r="X1859" s="329" t="str">
        <f t="shared" si="216"/>
        <v>3H</v>
      </c>
      <c r="Y1859" s="1128" t="s">
        <v>3380</v>
      </c>
      <c r="Z1859" s="1128" t="s">
        <v>3381</v>
      </c>
      <c r="AA1859" s="1128" t="s">
        <v>3384</v>
      </c>
      <c r="AB1859" s="20"/>
      <c r="AC1859" s="73"/>
    </row>
    <row r="1860" spans="1:29">
      <c r="A1860" s="327" t="str">
        <f>IF(AND($B1860&lt;&gt;"",$C1860&lt;&gt;""),MAX($A$1556:A1859)+1,"")</f>
        <v/>
      </c>
      <c r="B1860" s="361" t="s">
        <v>1984</v>
      </c>
      <c r="C1860" s="360"/>
      <c r="D1860" s="327">
        <f>IF($B1860="","",COUNTIF($B$6:$B1860,$B1860))</f>
        <v>3</v>
      </c>
      <c r="E1860" s="361" t="s">
        <v>3135</v>
      </c>
      <c r="F1860" s="362" t="s">
        <v>3136</v>
      </c>
      <c r="G1860" s="327" t="s">
        <v>155</v>
      </c>
      <c r="H1860" s="327"/>
      <c r="I1860" s="327">
        <v>1</v>
      </c>
      <c r="J1860" s="345"/>
      <c r="K1860" s="327"/>
      <c r="L1860" s="389">
        <v>140000</v>
      </c>
      <c r="M1860" s="371"/>
      <c r="N1860" s="355" t="str">
        <f t="shared" si="229"/>
        <v>PK</v>
      </c>
      <c r="O1860" s="404" t="s">
        <v>3137</v>
      </c>
      <c r="P1860" s="392"/>
      <c r="Q1860" s="327"/>
      <c r="R1860" s="351"/>
      <c r="S1860" s="351"/>
      <c r="T1860" s="351"/>
      <c r="U1860" s="329" t="str">
        <f>IF($N1860=$N$4,IFERROR(INDEX(DanhMuc!$E$154:$E$165,MATCH(MID($B1860,4,2),DanhMuc!$B$154:$B$165,0)),""),"")</f>
        <v/>
      </c>
      <c r="V1860" s="361"/>
      <c r="W1860" s="345"/>
      <c r="X1860" s="329" t="str">
        <f t="shared" si="216"/>
        <v>3H</v>
      </c>
      <c r="Y1860" s="1128" t="s">
        <v>3380</v>
      </c>
      <c r="Z1860" s="1128" t="s">
        <v>3381</v>
      </c>
      <c r="AA1860" s="1128" t="s">
        <v>3384</v>
      </c>
      <c r="AB1860" s="20"/>
      <c r="AC1860" s="73"/>
    </row>
    <row r="1861" spans="1:29">
      <c r="A1861" s="327" t="str">
        <f>IF(AND($B1861&lt;&gt;"",$C1861&lt;&gt;""),MAX($A$1556:A1860)+1,"")</f>
        <v/>
      </c>
      <c r="B1861" s="361" t="s">
        <v>1984</v>
      </c>
      <c r="C1861" s="360"/>
      <c r="D1861" s="327">
        <f>IF($B1861="","",COUNTIF($B$6:$B1861,$B1861))</f>
        <v>4</v>
      </c>
      <c r="E1861" s="361" t="s">
        <v>2852</v>
      </c>
      <c r="F1861" s="362" t="s">
        <v>2373</v>
      </c>
      <c r="G1861" s="327" t="s">
        <v>155</v>
      </c>
      <c r="H1861" s="327"/>
      <c r="I1861" s="327">
        <v>1</v>
      </c>
      <c r="J1861" s="345"/>
      <c r="K1861" s="327"/>
      <c r="L1861" s="389">
        <v>15000</v>
      </c>
      <c r="M1861" s="371"/>
      <c r="N1861" s="355" t="str">
        <f t="shared" si="229"/>
        <v>PK</v>
      </c>
      <c r="O1861" s="404" t="s">
        <v>3137</v>
      </c>
      <c r="P1861" s="392"/>
      <c r="Q1861" s="327"/>
      <c r="R1861" s="351"/>
      <c r="S1861" s="351"/>
      <c r="T1861" s="351"/>
      <c r="U1861" s="329" t="str">
        <f>IF($N1861=$N$4,IFERROR(INDEX(DanhMuc!$E$154:$E$165,MATCH(MID($B1861,4,2),DanhMuc!$B$154:$B$165,0)),""),"")</f>
        <v/>
      </c>
      <c r="V1861" s="361"/>
      <c r="W1861" s="345"/>
      <c r="X1861" s="329" t="str">
        <f t="shared" ref="X1861" si="230">IF($N1861="PR",$E1861,MID($B1861,10,2))</f>
        <v>3H</v>
      </c>
      <c r="Y1861" s="1128" t="s">
        <v>3380</v>
      </c>
      <c r="Z1861" s="1128" t="s">
        <v>3381</v>
      </c>
      <c r="AA1861" s="1128" t="s">
        <v>3384</v>
      </c>
      <c r="AB1861" s="20"/>
      <c r="AC1861" s="73"/>
    </row>
    <row r="1862" spans="1:29">
      <c r="A1862" s="327" t="str">
        <f>IF(AND($B1862&lt;&gt;"",$C1862&lt;&gt;""),MAX($A$1556:A1859)+1,"")</f>
        <v/>
      </c>
      <c r="B1862" s="361" t="s">
        <v>1984</v>
      </c>
      <c r="C1862" s="360"/>
      <c r="D1862" s="327">
        <f>IF($B1862="","",COUNTIF($B$6:$B1862,$B1862))</f>
        <v>5</v>
      </c>
      <c r="E1862" s="361" t="s">
        <v>157</v>
      </c>
      <c r="F1862" s="362" t="s">
        <v>158</v>
      </c>
      <c r="G1862" s="327" t="s">
        <v>155</v>
      </c>
      <c r="H1862" s="327"/>
      <c r="I1862" s="327">
        <v>2</v>
      </c>
      <c r="J1862" s="359"/>
      <c r="K1862" s="327"/>
      <c r="L1862" s="389">
        <v>45000</v>
      </c>
      <c r="M1862" s="371"/>
      <c r="N1862" s="355" t="s">
        <v>153</v>
      </c>
      <c r="O1862" s="345"/>
      <c r="P1862" s="392"/>
      <c r="Q1862" s="327"/>
      <c r="R1862" s="351"/>
      <c r="S1862" s="351"/>
      <c r="T1862" s="351"/>
      <c r="U1862" s="329" t="str">
        <f>IF($N1862=$N$4,IFERROR(INDEX(DanhMuc!$E$154:$E$165,MATCH(MID($B1862,4,2),DanhMuc!$B$154:$B$165,0)),""),"")</f>
        <v/>
      </c>
      <c r="V1862" s="361"/>
      <c r="W1862" s="345"/>
      <c r="X1862" s="329" t="str">
        <f t="shared" ref="X1862:X1943" si="231">IF($N1862="PR",$E1862,MID($B1862,10,2))</f>
        <v>3H</v>
      </c>
      <c r="Y1862" s="1128" t="s">
        <v>3380</v>
      </c>
      <c r="Z1862" s="1128" t="s">
        <v>3381</v>
      </c>
      <c r="AA1862" s="1128" t="s">
        <v>3384</v>
      </c>
      <c r="AB1862" s="20"/>
      <c r="AC1862" s="73"/>
    </row>
    <row r="1863" spans="1:29">
      <c r="A1863" s="327" t="str">
        <f>IF(AND($B1863&lt;&gt;"",$C1863&lt;&gt;""),MAX($A$1556:A1862)+1,"")</f>
        <v/>
      </c>
      <c r="B1863" s="361" t="s">
        <v>1984</v>
      </c>
      <c r="C1863" s="360"/>
      <c r="D1863" s="327">
        <f>IF($B1863="","",COUNTIF($B$6:$B1863,$B1863))</f>
        <v>6</v>
      </c>
      <c r="E1863" s="361" t="s">
        <v>2852</v>
      </c>
      <c r="F1863" s="362" t="s">
        <v>2373</v>
      </c>
      <c r="G1863" s="327" t="s">
        <v>155</v>
      </c>
      <c r="H1863" s="327"/>
      <c r="I1863" s="327">
        <v>2</v>
      </c>
      <c r="J1863" s="359"/>
      <c r="K1863" s="327"/>
      <c r="L1863" s="389">
        <v>15000</v>
      </c>
      <c r="M1863" s="371"/>
      <c r="N1863" s="355" t="s">
        <v>153</v>
      </c>
      <c r="O1863" s="345"/>
      <c r="P1863" s="392"/>
      <c r="Q1863" s="327"/>
      <c r="R1863" s="351"/>
      <c r="S1863" s="351"/>
      <c r="T1863" s="351"/>
      <c r="U1863" s="329" t="str">
        <f>IF($N1863=$N$4,IFERROR(INDEX(DanhMuc!$E$154:$E$165,MATCH(MID($B1863,4,2),DanhMuc!$B$154:$B$165,0)),""),"")</f>
        <v/>
      </c>
      <c r="V1863" s="361"/>
      <c r="W1863" s="345"/>
      <c r="X1863" s="329" t="str">
        <f t="shared" si="231"/>
        <v>3H</v>
      </c>
      <c r="Y1863" s="1128" t="s">
        <v>3380</v>
      </c>
      <c r="Z1863" s="1128" t="s">
        <v>3381</v>
      </c>
      <c r="AA1863" s="1128" t="s">
        <v>3384</v>
      </c>
      <c r="AB1863" s="20"/>
      <c r="AC1863" s="73"/>
    </row>
    <row r="1864" spans="1:29">
      <c r="A1864" s="327" t="str">
        <f>IF(AND($B1864&lt;&gt;"",$C1864&lt;&gt;""),MAX($A$1556:A1859)+1,"")</f>
        <v/>
      </c>
      <c r="B1864" s="361" t="s">
        <v>1984</v>
      </c>
      <c r="C1864" s="360"/>
      <c r="D1864" s="327">
        <f>IF($B1864="","",COUNTIF($B$6:$B1864,$B1864))</f>
        <v>7</v>
      </c>
      <c r="E1864" s="402" t="s">
        <v>2534</v>
      </c>
      <c r="F1864" s="403" t="s">
        <v>181</v>
      </c>
      <c r="G1864" s="327" t="s">
        <v>155</v>
      </c>
      <c r="H1864" s="327" t="s">
        <v>536</v>
      </c>
      <c r="I1864" s="327">
        <v>8</v>
      </c>
      <c r="J1864" s="361"/>
      <c r="K1864" s="327"/>
      <c r="L1864" s="389">
        <v>19000</v>
      </c>
      <c r="M1864" s="371"/>
      <c r="N1864" s="355" t="str">
        <f t="shared" ref="N1864:N1879" si="232">+$N$1555</f>
        <v>PK</v>
      </c>
      <c r="O1864" s="345"/>
      <c r="P1864" s="392"/>
      <c r="Q1864" s="327"/>
      <c r="R1864" s="351"/>
      <c r="S1864" s="351"/>
      <c r="T1864" s="351"/>
      <c r="U1864" s="329" t="str">
        <f>IF($N1864=$N$4,IFERROR(INDEX(DanhMuc!$E$154:$E$165,MATCH(MID($B1864,4,2),DanhMuc!$B$154:$B$165,0)),""),"")</f>
        <v/>
      </c>
      <c r="V1864" s="361"/>
      <c r="W1864" s="345"/>
      <c r="X1864" s="329" t="str">
        <f t="shared" si="231"/>
        <v>3H</v>
      </c>
      <c r="Y1864" s="1128" t="s">
        <v>3380</v>
      </c>
      <c r="Z1864" s="1128" t="s">
        <v>3381</v>
      </c>
      <c r="AA1864" s="1128" t="s">
        <v>3384</v>
      </c>
      <c r="AB1864" s="20"/>
      <c r="AC1864" s="73"/>
    </row>
    <row r="1865" spans="1:29">
      <c r="A1865" s="327" t="str">
        <f>IF(AND($B1865&lt;&gt;"",$C1865&lt;&gt;""),MAX($A$1556:A1864)+1,"")</f>
        <v/>
      </c>
      <c r="B1865" s="361" t="s">
        <v>1984</v>
      </c>
      <c r="C1865" s="360"/>
      <c r="D1865" s="327">
        <f>IF($B1865="","",COUNTIF($B$6:$B1865,$B1865))</f>
        <v>8</v>
      </c>
      <c r="E1865" s="361" t="s">
        <v>163</v>
      </c>
      <c r="F1865" s="362" t="s">
        <v>164</v>
      </c>
      <c r="G1865" s="327" t="s">
        <v>155</v>
      </c>
      <c r="H1865" s="327"/>
      <c r="I1865" s="327">
        <v>4</v>
      </c>
      <c r="J1865" s="361"/>
      <c r="K1865" s="408"/>
      <c r="L1865" s="389">
        <v>2500</v>
      </c>
      <c r="M1865" s="371"/>
      <c r="N1865" s="355" t="str">
        <f t="shared" si="232"/>
        <v>PK</v>
      </c>
      <c r="O1865" s="345"/>
      <c r="P1865" s="392"/>
      <c r="Q1865" s="327"/>
      <c r="R1865" s="351"/>
      <c r="S1865" s="351"/>
      <c r="T1865" s="351"/>
      <c r="U1865" s="329" t="str">
        <f>IF($N1865=$N$4,IFERROR(INDEX(DanhMuc!$E$154:$E$165,MATCH(MID($B1865,4,2),DanhMuc!$B$154:$B$165,0)),""),"")</f>
        <v/>
      </c>
      <c r="V1865" s="408" t="s">
        <v>342</v>
      </c>
      <c r="W1865" s="345"/>
      <c r="X1865" s="329" t="str">
        <f t="shared" si="231"/>
        <v>3H</v>
      </c>
      <c r="Y1865" s="1128" t="s">
        <v>3380</v>
      </c>
      <c r="Z1865" s="1128" t="s">
        <v>3381</v>
      </c>
      <c r="AA1865" s="1128" t="s">
        <v>3384</v>
      </c>
      <c r="AB1865" s="20"/>
      <c r="AC1865" s="73"/>
    </row>
    <row r="1866" spans="1:29">
      <c r="A1866" s="327" t="str">
        <f>IF(AND($B1866&lt;&gt;"",$C1866&lt;&gt;""),MAX($A$1556:A1865)+1,"")</f>
        <v/>
      </c>
      <c r="B1866" s="361" t="s">
        <v>1984</v>
      </c>
      <c r="C1866" s="360"/>
      <c r="D1866" s="327">
        <f>IF($B1866="","",COUNTIF($B$6:$B1866,$B1866))</f>
        <v>9</v>
      </c>
      <c r="E1866" s="361" t="s">
        <v>187</v>
      </c>
      <c r="F1866" s="362" t="s">
        <v>189</v>
      </c>
      <c r="G1866" s="327" t="s">
        <v>155</v>
      </c>
      <c r="H1866" s="327"/>
      <c r="I1866" s="327">
        <v>8</v>
      </c>
      <c r="J1866" s="361"/>
      <c r="K1866" s="327"/>
      <c r="L1866" s="389">
        <v>5000</v>
      </c>
      <c r="M1866" s="371"/>
      <c r="N1866" s="355" t="str">
        <f t="shared" si="232"/>
        <v>PK</v>
      </c>
      <c r="O1866" s="345"/>
      <c r="P1866" s="392"/>
      <c r="Q1866" s="327"/>
      <c r="R1866" s="351"/>
      <c r="S1866" s="351"/>
      <c r="T1866" s="351"/>
      <c r="U1866" s="329" t="str">
        <f>IF($N1866=$N$4,IFERROR(INDEX(DanhMuc!$E$154:$E$165,MATCH(MID($B1866,4,2),DanhMuc!$B$154:$B$165,0)),""),"")</f>
        <v/>
      </c>
      <c r="V1866" s="361"/>
      <c r="W1866" s="345"/>
      <c r="X1866" s="329" t="str">
        <f t="shared" si="231"/>
        <v>3H</v>
      </c>
      <c r="Y1866" s="1128" t="s">
        <v>3380</v>
      </c>
      <c r="Z1866" s="1128" t="s">
        <v>3381</v>
      </c>
      <c r="AA1866" s="1128" t="s">
        <v>3384</v>
      </c>
      <c r="AB1866" s="20"/>
      <c r="AC1866" s="73"/>
    </row>
    <row r="1867" spans="1:29">
      <c r="A1867" s="327" t="str">
        <f>IF(AND($B1867&lt;&gt;"",$C1867&lt;&gt;""),MAX($A$1556:A1866)+1,"")</f>
        <v/>
      </c>
      <c r="B1867" s="361" t="s">
        <v>1984</v>
      </c>
      <c r="C1867" s="360"/>
      <c r="D1867" s="327">
        <f>IF($B1867="","",COUNTIF($B$6:$B1867,$B1867))</f>
        <v>10</v>
      </c>
      <c r="E1867" s="361" t="s">
        <v>172</v>
      </c>
      <c r="F1867" s="362" t="s">
        <v>173</v>
      </c>
      <c r="G1867" s="327" t="s">
        <v>155</v>
      </c>
      <c r="H1867" s="327"/>
      <c r="I1867" s="327">
        <v>2</v>
      </c>
      <c r="J1867" s="361"/>
      <c r="K1867" s="327"/>
      <c r="L1867" s="389">
        <v>6000</v>
      </c>
      <c r="M1867" s="371"/>
      <c r="N1867" s="355" t="str">
        <f t="shared" si="232"/>
        <v>PK</v>
      </c>
      <c r="O1867" s="345"/>
      <c r="P1867" s="392"/>
      <c r="Q1867" s="327"/>
      <c r="R1867" s="351"/>
      <c r="S1867" s="351"/>
      <c r="T1867" s="351"/>
      <c r="U1867" s="329" t="str">
        <f>IF($N1867=$N$4,IFERROR(INDEX(DanhMuc!$E$154:$E$165,MATCH(MID($B1867,4,2),DanhMuc!$B$154:$B$165,0)),""),"")</f>
        <v/>
      </c>
      <c r="V1867" s="361"/>
      <c r="W1867" s="345"/>
      <c r="X1867" s="329" t="str">
        <f t="shared" si="231"/>
        <v>3H</v>
      </c>
      <c r="Y1867" s="1128" t="s">
        <v>3380</v>
      </c>
      <c r="Z1867" s="1128" t="s">
        <v>3381</v>
      </c>
      <c r="AA1867" s="1128" t="s">
        <v>3384</v>
      </c>
      <c r="AB1867" s="20"/>
      <c r="AC1867" s="73"/>
    </row>
    <row r="1868" spans="1:29" ht="39">
      <c r="A1868" s="327">
        <f>IF(AND($B1868&lt;&gt;"",$C1868&lt;&gt;""),MAX($A$1556:A1865)+1,"")</f>
        <v>8</v>
      </c>
      <c r="B1868" s="359" t="s">
        <v>1985</v>
      </c>
      <c r="C1868" s="360" t="s">
        <v>2084</v>
      </c>
      <c r="D1868" s="327">
        <f>IF($B1868="","",COUNTIF($B$6:$B1868,$B1868))</f>
        <v>1</v>
      </c>
      <c r="E1868" s="363" t="s">
        <v>191</v>
      </c>
      <c r="F1868" s="362" t="s">
        <v>207</v>
      </c>
      <c r="G1868" s="327" t="s">
        <v>155</v>
      </c>
      <c r="H1868" s="327"/>
      <c r="I1868" s="327">
        <v>1</v>
      </c>
      <c r="J1868" s="361"/>
      <c r="K1868" s="327"/>
      <c r="L1868" s="389">
        <v>236000</v>
      </c>
      <c r="M1868" s="371"/>
      <c r="N1868" s="355" t="str">
        <f t="shared" si="232"/>
        <v>PK</v>
      </c>
      <c r="O1868" s="345"/>
      <c r="P1868" s="392"/>
      <c r="Q1868" s="327"/>
      <c r="R1868" s="351"/>
      <c r="S1868" s="351"/>
      <c r="T1868" s="351"/>
      <c r="U1868" s="329" t="str">
        <f>IF($N1868=$N$4,IFERROR(INDEX(DanhMuc!$E$154:$E$165,MATCH(MID($B1868,4,2),DanhMuc!$B$154:$B$165,0)),""),"")</f>
        <v/>
      </c>
      <c r="V1868" s="361"/>
      <c r="W1868" s="345"/>
      <c r="X1868" s="329" t="str">
        <f t="shared" si="231"/>
        <v>3H</v>
      </c>
      <c r="Y1868" s="1128" t="s">
        <v>3380</v>
      </c>
      <c r="Z1868" s="1128" t="s">
        <v>3381</v>
      </c>
      <c r="AA1868" s="1128" t="s">
        <v>3384</v>
      </c>
      <c r="AB1868" s="20"/>
      <c r="AC1868" s="73"/>
    </row>
    <row r="1869" spans="1:29" ht="25">
      <c r="A1869" s="327" t="str">
        <f>IF(AND($B1869&lt;&gt;"",$C1869&lt;&gt;""),MAX($A$1556:A1868)+1,"")</f>
        <v/>
      </c>
      <c r="B1869" s="361" t="s">
        <v>1985</v>
      </c>
      <c r="C1869" s="360"/>
      <c r="D1869" s="327">
        <f>IF($B1869="","",COUNTIF($B$6:$B1869,$B1869))</f>
        <v>2</v>
      </c>
      <c r="E1869" s="361" t="s">
        <v>192</v>
      </c>
      <c r="F1869" s="362" t="s">
        <v>208</v>
      </c>
      <c r="G1869" s="327" t="s">
        <v>155</v>
      </c>
      <c r="H1869" s="327"/>
      <c r="I1869" s="327">
        <v>1</v>
      </c>
      <c r="J1869" s="361"/>
      <c r="K1869" s="327"/>
      <c r="L1869" s="389">
        <v>195000</v>
      </c>
      <c r="M1869" s="371"/>
      <c r="N1869" s="355" t="str">
        <f t="shared" si="232"/>
        <v>PK</v>
      </c>
      <c r="O1869" s="345"/>
      <c r="P1869" s="392"/>
      <c r="Q1869" s="327"/>
      <c r="R1869" s="351"/>
      <c r="S1869" s="351"/>
      <c r="T1869" s="351"/>
      <c r="U1869" s="329" t="str">
        <f>IF($N1869=$N$4,IFERROR(INDEX(DanhMuc!$E$154:$E$165,MATCH(MID($B1869,4,2),DanhMuc!$B$154:$B$165,0)),""),"")</f>
        <v/>
      </c>
      <c r="V1869" s="361"/>
      <c r="W1869" s="345"/>
      <c r="X1869" s="329" t="str">
        <f t="shared" si="231"/>
        <v>3H</v>
      </c>
      <c r="Y1869" s="1128" t="s">
        <v>3380</v>
      </c>
      <c r="Z1869" s="1128" t="s">
        <v>3381</v>
      </c>
      <c r="AA1869" s="1128" t="s">
        <v>3384</v>
      </c>
      <c r="AB1869" s="20"/>
      <c r="AC1869" s="73"/>
    </row>
    <row r="1870" spans="1:29" s="73" customFormat="1">
      <c r="A1870" s="327" t="str">
        <f>IF(AND($B1870&lt;&gt;"",$C1870&lt;&gt;""),MAX($A$1556:A1869)+1,"")</f>
        <v/>
      </c>
      <c r="B1870" s="361" t="s">
        <v>1985</v>
      </c>
      <c r="C1870" s="346"/>
      <c r="D1870" s="327">
        <f>IF($B1870="","",COUNTIF($B$6:$B1870,$B1870))</f>
        <v>3</v>
      </c>
      <c r="E1870" s="361" t="s">
        <v>93</v>
      </c>
      <c r="F1870" s="362" t="s">
        <v>193</v>
      </c>
      <c r="G1870" s="342" t="s">
        <v>155</v>
      </c>
      <c r="H1870" s="327"/>
      <c r="I1870" s="327">
        <v>6</v>
      </c>
      <c r="J1870" s="359"/>
      <c r="K1870" s="127"/>
      <c r="L1870" s="389">
        <v>77000</v>
      </c>
      <c r="M1870" s="371"/>
      <c r="N1870" s="355" t="str">
        <f t="shared" si="232"/>
        <v>PK</v>
      </c>
      <c r="O1870" s="345"/>
      <c r="P1870" s="392"/>
      <c r="Q1870" s="327"/>
      <c r="R1870" s="351"/>
      <c r="S1870" s="351"/>
      <c r="T1870" s="351"/>
      <c r="U1870" s="329" t="str">
        <f>IF($N1870=$N$4,IFERROR(INDEX(DanhMuc!$E$154:$E$165,MATCH(MID($B1870,4,2),DanhMuc!$B$154:$B$165,0)),""),"")</f>
        <v/>
      </c>
      <c r="V1870" s="328"/>
      <c r="W1870" s="345"/>
      <c r="X1870" s="329" t="str">
        <f t="shared" si="231"/>
        <v>3H</v>
      </c>
      <c r="Y1870" s="1128" t="s">
        <v>3380</v>
      </c>
      <c r="Z1870" s="1128" t="s">
        <v>3381</v>
      </c>
      <c r="AA1870" s="1128" t="s">
        <v>3384</v>
      </c>
      <c r="AB1870" s="20"/>
    </row>
    <row r="1871" spans="1:29" s="73" customFormat="1">
      <c r="A1871" s="327" t="str">
        <f>IF(AND($B1871&lt;&gt;"",$C1871&lt;&gt;""),MAX($A$1556:A1870)+1,"")</f>
        <v/>
      </c>
      <c r="B1871" s="361" t="s">
        <v>1985</v>
      </c>
      <c r="C1871" s="346"/>
      <c r="D1871" s="327">
        <f>IF($B1871="","",COUNTIF($B$6:$B1871,$B1871))</f>
        <v>4</v>
      </c>
      <c r="E1871" s="361" t="s">
        <v>93</v>
      </c>
      <c r="F1871" s="362" t="s">
        <v>193</v>
      </c>
      <c r="G1871" s="342" t="s">
        <v>155</v>
      </c>
      <c r="H1871" s="327"/>
      <c r="I1871" s="327">
        <v>1</v>
      </c>
      <c r="J1871" s="359"/>
      <c r="K1871" s="127"/>
      <c r="L1871" s="389">
        <v>77000</v>
      </c>
      <c r="M1871" s="371"/>
      <c r="N1871" s="355" t="str">
        <f t="shared" si="232"/>
        <v>PK</v>
      </c>
      <c r="O1871" s="345" t="s">
        <v>639</v>
      </c>
      <c r="P1871" s="392"/>
      <c r="Q1871" s="327"/>
      <c r="R1871" s="351"/>
      <c r="S1871" s="351"/>
      <c r="T1871" s="351"/>
      <c r="U1871" s="329" t="str">
        <f>IF($N1871=$N$4,IFERROR(INDEX(DanhMuc!$E$154:$E$165,MATCH(MID($B1871,4,2),DanhMuc!$B$154:$B$165,0)),""),"")</f>
        <v/>
      </c>
      <c r="V1871" s="328"/>
      <c r="W1871" s="345"/>
      <c r="X1871" s="329" t="str">
        <f t="shared" si="231"/>
        <v>3H</v>
      </c>
      <c r="Y1871" s="1128" t="s">
        <v>3380</v>
      </c>
      <c r="Z1871" s="1128" t="s">
        <v>3381</v>
      </c>
      <c r="AA1871" s="1128" t="s">
        <v>3384</v>
      </c>
      <c r="AB1871" s="20"/>
    </row>
    <row r="1872" spans="1:29" s="73" customFormat="1" ht="25">
      <c r="A1872" s="327" t="str">
        <f>IF(AND($B1872&lt;&gt;"",$C1872&lt;&gt;""),MAX($A$1556:A1871)+1,"")</f>
        <v/>
      </c>
      <c r="B1872" s="361" t="s">
        <v>1985</v>
      </c>
      <c r="C1872" s="346"/>
      <c r="D1872" s="327">
        <f>IF($B1872="","",COUNTIF($B$6:$B1872,$B1872))</f>
        <v>5</v>
      </c>
      <c r="E1872" s="361" t="s">
        <v>97</v>
      </c>
      <c r="F1872" s="362" t="s">
        <v>201</v>
      </c>
      <c r="G1872" s="342" t="s">
        <v>155</v>
      </c>
      <c r="H1872" s="327"/>
      <c r="I1872" s="327">
        <v>1</v>
      </c>
      <c r="J1872" s="359"/>
      <c r="K1872" s="127"/>
      <c r="L1872" s="389">
        <v>94000</v>
      </c>
      <c r="M1872" s="371"/>
      <c r="N1872" s="355" t="str">
        <f t="shared" si="232"/>
        <v>PK</v>
      </c>
      <c r="O1872" s="345"/>
      <c r="P1872" s="392"/>
      <c r="Q1872" s="327"/>
      <c r="R1872" s="351"/>
      <c r="S1872" s="351"/>
      <c r="T1872" s="351"/>
      <c r="U1872" s="329" t="str">
        <f>IF($N1872=$N$4,IFERROR(INDEX(DanhMuc!$E$154:$E$165,MATCH(MID($B1872,4,2),DanhMuc!$B$154:$B$165,0)),""),"")</f>
        <v/>
      </c>
      <c r="V1872" s="328"/>
      <c r="W1872" s="345"/>
      <c r="X1872" s="329" t="str">
        <f t="shared" si="231"/>
        <v>3H</v>
      </c>
      <c r="Y1872" s="1128" t="s">
        <v>3380</v>
      </c>
      <c r="Z1872" s="1128" t="s">
        <v>3381</v>
      </c>
      <c r="AA1872" s="1128" t="s">
        <v>3384</v>
      </c>
      <c r="AB1872" s="20"/>
    </row>
    <row r="1873" spans="1:29">
      <c r="A1873" s="327" t="str">
        <f>IF(AND($B1873&lt;&gt;"",$C1873&lt;&gt;""),MAX($A$1556:A1871)+1,"")</f>
        <v/>
      </c>
      <c r="B1873" s="361" t="s">
        <v>1985</v>
      </c>
      <c r="C1873" s="360"/>
      <c r="D1873" s="327">
        <f>IF($B1873="","",COUNTIF($B$6:$B1873,$B1873))</f>
        <v>6</v>
      </c>
      <c r="E1873" s="374" t="s">
        <v>194</v>
      </c>
      <c r="F1873" s="375" t="s">
        <v>190</v>
      </c>
      <c r="G1873" s="377" t="s">
        <v>155</v>
      </c>
      <c r="H1873" s="327" t="s">
        <v>536</v>
      </c>
      <c r="I1873" s="377">
        <v>1</v>
      </c>
      <c r="J1873" s="374"/>
      <c r="K1873" s="377"/>
      <c r="L1873" s="412">
        <v>76000</v>
      </c>
      <c r="M1873" s="371"/>
      <c r="N1873" s="355" t="str">
        <f t="shared" si="232"/>
        <v>PK</v>
      </c>
      <c r="O1873" s="345"/>
      <c r="P1873" s="392"/>
      <c r="Q1873" s="327"/>
      <c r="R1873" s="351"/>
      <c r="S1873" s="351"/>
      <c r="T1873" s="351"/>
      <c r="U1873" s="329" t="str">
        <f>IF($N1873=$N$4,IFERROR(INDEX(DanhMuc!$E$154:$E$165,MATCH(MID($B1873,4,2),DanhMuc!$B$154:$B$165,0)),""),"")</f>
        <v/>
      </c>
      <c r="V1873" s="361"/>
      <c r="W1873" s="345"/>
      <c r="X1873" s="329" t="str">
        <f t="shared" si="231"/>
        <v>3H</v>
      </c>
      <c r="Y1873" s="1128" t="s">
        <v>3380</v>
      </c>
      <c r="Z1873" s="1128" t="s">
        <v>3381</v>
      </c>
      <c r="AA1873" s="1128" t="s">
        <v>3384</v>
      </c>
      <c r="AB1873" s="20"/>
      <c r="AC1873" s="73"/>
    </row>
    <row r="1874" spans="1:29">
      <c r="A1874" s="327" t="str">
        <f>IF(AND($B1874&lt;&gt;"",$C1874&lt;&gt;""),MAX($A$1556:A1873)+1,"")</f>
        <v/>
      </c>
      <c r="B1874" s="361" t="s">
        <v>1985</v>
      </c>
      <c r="C1874" s="360"/>
      <c r="D1874" s="327">
        <f>IF($B1874="","",COUNTIF($B$6:$B1874,$B1874))</f>
        <v>7</v>
      </c>
      <c r="E1874" s="374" t="s">
        <v>94</v>
      </c>
      <c r="F1874" s="375" t="s">
        <v>195</v>
      </c>
      <c r="G1874" s="377" t="s">
        <v>155</v>
      </c>
      <c r="H1874" s="327"/>
      <c r="I1874" s="377">
        <v>1</v>
      </c>
      <c r="J1874" s="374"/>
      <c r="K1874" s="377"/>
      <c r="L1874" s="412">
        <v>76000</v>
      </c>
      <c r="M1874" s="371"/>
      <c r="N1874" s="355" t="str">
        <f t="shared" si="232"/>
        <v>PK</v>
      </c>
      <c r="O1874" s="345"/>
      <c r="P1874" s="392"/>
      <c r="Q1874" s="327"/>
      <c r="R1874" s="351"/>
      <c r="S1874" s="351"/>
      <c r="T1874" s="351"/>
      <c r="U1874" s="329" t="str">
        <f>IF($N1874=$N$4,IFERROR(INDEX(DanhMuc!$E$154:$E$165,MATCH(MID($B1874,4,2),DanhMuc!$B$154:$B$165,0)),""),"")</f>
        <v/>
      </c>
      <c r="V1874" s="361"/>
      <c r="W1874" s="345"/>
      <c r="X1874" s="329" t="str">
        <f t="shared" si="231"/>
        <v>3H</v>
      </c>
      <c r="Y1874" s="1128" t="s">
        <v>3380</v>
      </c>
      <c r="Z1874" s="1128" t="s">
        <v>3381</v>
      </c>
      <c r="AA1874" s="1128" t="s">
        <v>3384</v>
      </c>
      <c r="AB1874" s="20"/>
      <c r="AC1874" s="73"/>
    </row>
    <row r="1875" spans="1:29" ht="25">
      <c r="A1875" s="327" t="str">
        <f>IF(AND($B1875&lt;&gt;"",$C1875&lt;&gt;""),MAX($A$1556:A1874)+1,"")</f>
        <v/>
      </c>
      <c r="B1875" s="361" t="s">
        <v>1985</v>
      </c>
      <c r="C1875" s="360"/>
      <c r="D1875" s="327">
        <f>IF($B1875="","",COUNTIF($B$6:$B1875,$B1875))</f>
        <v>8</v>
      </c>
      <c r="E1875" s="374" t="s">
        <v>419</v>
      </c>
      <c r="F1875" s="375" t="s">
        <v>420</v>
      </c>
      <c r="G1875" s="377" t="s">
        <v>156</v>
      </c>
      <c r="H1875" s="327" t="s">
        <v>536</v>
      </c>
      <c r="I1875" s="413" t="s">
        <v>1368</v>
      </c>
      <c r="J1875" s="374"/>
      <c r="K1875" s="377"/>
      <c r="L1875" s="412">
        <v>70000</v>
      </c>
      <c r="M1875" s="371"/>
      <c r="N1875" s="355" t="str">
        <f t="shared" si="232"/>
        <v>PK</v>
      </c>
      <c r="O1875" s="345" t="s">
        <v>1626</v>
      </c>
      <c r="P1875" s="392"/>
      <c r="Q1875" s="327"/>
      <c r="R1875" s="351"/>
      <c r="S1875" s="351"/>
      <c r="T1875" s="351"/>
      <c r="U1875" s="329" t="str">
        <f>IF($N1875=$N$4,IFERROR(INDEX(DanhMuc!$E$154:$E$165,MATCH(MID($B1875,4,2),DanhMuc!$B$154:$B$165,0)),""),"")</f>
        <v/>
      </c>
      <c r="V1875" s="361"/>
      <c r="W1875" s="345"/>
      <c r="X1875" s="329" t="str">
        <f t="shared" si="231"/>
        <v>3H</v>
      </c>
      <c r="Y1875" s="1128" t="s">
        <v>3380</v>
      </c>
      <c r="Z1875" s="1128" t="s">
        <v>3381</v>
      </c>
      <c r="AA1875" s="1128" t="s">
        <v>3384</v>
      </c>
      <c r="AB1875" s="20"/>
      <c r="AC1875" s="73"/>
    </row>
    <row r="1876" spans="1:29" ht="25">
      <c r="A1876" s="327" t="str">
        <f>IF(AND($B1876&lt;&gt;"",$C1876&lt;&gt;""),MAX($A$1556:A1875)+1,"")</f>
        <v/>
      </c>
      <c r="B1876" s="361" t="s">
        <v>1985</v>
      </c>
      <c r="C1876" s="360"/>
      <c r="D1876" s="327">
        <f>IF($B1876="","",COUNTIF($B$6:$B1876,$B1876))</f>
        <v>9</v>
      </c>
      <c r="E1876" s="374" t="s">
        <v>406</v>
      </c>
      <c r="F1876" s="375" t="s">
        <v>407</v>
      </c>
      <c r="G1876" s="377" t="s">
        <v>156</v>
      </c>
      <c r="H1876" s="327" t="s">
        <v>536</v>
      </c>
      <c r="I1876" s="413" t="s">
        <v>1369</v>
      </c>
      <c r="J1876" s="374"/>
      <c r="K1876" s="377"/>
      <c r="L1876" s="412">
        <v>80000</v>
      </c>
      <c r="M1876" s="371"/>
      <c r="N1876" s="355" t="str">
        <f t="shared" si="232"/>
        <v>PK</v>
      </c>
      <c r="O1876" s="345" t="s">
        <v>1626</v>
      </c>
      <c r="P1876" s="392"/>
      <c r="Q1876" s="327"/>
      <c r="R1876" s="351"/>
      <c r="S1876" s="351"/>
      <c r="T1876" s="351"/>
      <c r="U1876" s="329" t="str">
        <f>IF($N1876=$N$4,IFERROR(INDEX(DanhMuc!$E$154:$E$165,MATCH(MID($B1876,4,2),DanhMuc!$B$154:$B$165,0)),""),"")</f>
        <v/>
      </c>
      <c r="V1876" s="361"/>
      <c r="W1876" s="345"/>
      <c r="X1876" s="329" t="str">
        <f t="shared" si="231"/>
        <v>3H</v>
      </c>
      <c r="Y1876" s="1128" t="s">
        <v>3380</v>
      </c>
      <c r="Z1876" s="1128" t="s">
        <v>3381</v>
      </c>
      <c r="AA1876" s="1128" t="s">
        <v>3384</v>
      </c>
      <c r="AB1876" s="20"/>
      <c r="AC1876" s="73"/>
    </row>
    <row r="1877" spans="1:29" ht="25">
      <c r="A1877" s="327" t="str">
        <f>IF(AND($B1877&lt;&gt;"",$C1877&lt;&gt;""),MAX($A$1556:A1876)+1,"")</f>
        <v/>
      </c>
      <c r="B1877" s="361" t="s">
        <v>1985</v>
      </c>
      <c r="C1877" s="360"/>
      <c r="D1877" s="327">
        <f>IF($B1877="","",COUNTIF($B$6:$B1877,$B1877))</f>
        <v>10</v>
      </c>
      <c r="E1877" s="374" t="s">
        <v>421</v>
      </c>
      <c r="F1877" s="375" t="s">
        <v>422</v>
      </c>
      <c r="G1877" s="377" t="s">
        <v>156</v>
      </c>
      <c r="H1877" s="327" t="s">
        <v>536</v>
      </c>
      <c r="I1877" s="413" t="s">
        <v>1370</v>
      </c>
      <c r="J1877" s="374"/>
      <c r="K1877" s="377"/>
      <c r="L1877" s="412">
        <v>85000</v>
      </c>
      <c r="M1877" s="371"/>
      <c r="N1877" s="355" t="str">
        <f t="shared" si="232"/>
        <v>PK</v>
      </c>
      <c r="O1877" s="345" t="s">
        <v>1626</v>
      </c>
      <c r="P1877" s="392"/>
      <c r="Q1877" s="327"/>
      <c r="R1877" s="351"/>
      <c r="S1877" s="351"/>
      <c r="T1877" s="351"/>
      <c r="U1877" s="329" t="str">
        <f>IF($N1877=$N$4,IFERROR(INDEX(DanhMuc!$E$154:$E$165,MATCH(MID($B1877,4,2),DanhMuc!$B$154:$B$165,0)),""),"")</f>
        <v/>
      </c>
      <c r="V1877" s="361"/>
      <c r="W1877" s="345"/>
      <c r="X1877" s="329" t="str">
        <f t="shared" si="231"/>
        <v>3H</v>
      </c>
      <c r="Y1877" s="1128" t="s">
        <v>3380</v>
      </c>
      <c r="Z1877" s="1128" t="s">
        <v>3381</v>
      </c>
      <c r="AA1877" s="1128" t="s">
        <v>3384</v>
      </c>
      <c r="AB1877" s="20"/>
      <c r="AC1877" s="73"/>
    </row>
    <row r="1878" spans="1:29">
      <c r="A1878" s="327" t="str">
        <f>IF(AND($B1878&lt;&gt;"",$C1878&lt;&gt;""),MAX($A$1556:A1877)+1,"")</f>
        <v/>
      </c>
      <c r="B1878" s="361" t="s">
        <v>1985</v>
      </c>
      <c r="C1878" s="360"/>
      <c r="D1878" s="327">
        <f>IF($B1878="","",COUNTIF($B$6:$B1878,$B1878))</f>
        <v>11</v>
      </c>
      <c r="E1878" s="402" t="s">
        <v>2284</v>
      </c>
      <c r="F1878" s="403" t="s">
        <v>197</v>
      </c>
      <c r="G1878" s="327" t="s">
        <v>155</v>
      </c>
      <c r="H1878" s="327" t="s">
        <v>536</v>
      </c>
      <c r="I1878" s="327">
        <v>1</v>
      </c>
      <c r="J1878" s="345"/>
      <c r="K1878" s="327"/>
      <c r="L1878" s="389">
        <v>135000</v>
      </c>
      <c r="M1878" s="371"/>
      <c r="N1878" s="355" t="str">
        <f t="shared" si="232"/>
        <v>PK</v>
      </c>
      <c r="O1878" s="345" t="s">
        <v>1626</v>
      </c>
      <c r="P1878" s="392"/>
      <c r="Q1878" s="327"/>
      <c r="R1878" s="351"/>
      <c r="S1878" s="351"/>
      <c r="T1878" s="351"/>
      <c r="U1878" s="329" t="str">
        <f>IF($N1878=$N$4,IFERROR(INDEX(DanhMuc!$E$154:$E$165,MATCH(MID($B1878,4,2),DanhMuc!$B$154:$B$165,0)),""),"")</f>
        <v/>
      </c>
      <c r="V1878" s="361"/>
      <c r="W1878" s="345"/>
      <c r="X1878" s="329" t="str">
        <f t="shared" si="231"/>
        <v>3H</v>
      </c>
      <c r="Y1878" s="1128" t="s">
        <v>3380</v>
      </c>
      <c r="Z1878" s="1128" t="s">
        <v>3381</v>
      </c>
      <c r="AA1878" s="1128" t="s">
        <v>3384</v>
      </c>
      <c r="AB1878" s="20"/>
      <c r="AC1878" s="73"/>
    </row>
    <row r="1879" spans="1:29">
      <c r="A1879" s="327" t="str">
        <f>IF(AND($B1879&lt;&gt;"",$C1879&lt;&gt;""),MAX($A$1556:A1878)+1,"")</f>
        <v/>
      </c>
      <c r="B1879" s="361" t="s">
        <v>1985</v>
      </c>
      <c r="C1879" s="360"/>
      <c r="D1879" s="327">
        <f>IF($B1879="","",COUNTIF($B$6:$B1879,$B1879))</f>
        <v>12</v>
      </c>
      <c r="E1879" s="402" t="s">
        <v>2284</v>
      </c>
      <c r="F1879" s="403" t="s">
        <v>197</v>
      </c>
      <c r="G1879" s="327" t="s">
        <v>155</v>
      </c>
      <c r="H1879" s="327" t="s">
        <v>536</v>
      </c>
      <c r="I1879" s="327">
        <v>1</v>
      </c>
      <c r="J1879" s="345"/>
      <c r="K1879" s="327"/>
      <c r="L1879" s="389">
        <v>135000</v>
      </c>
      <c r="M1879" s="371"/>
      <c r="N1879" s="355" t="str">
        <f t="shared" si="232"/>
        <v>PK</v>
      </c>
      <c r="O1879" s="345" t="s">
        <v>2722</v>
      </c>
      <c r="P1879" s="392"/>
      <c r="Q1879" s="327"/>
      <c r="R1879" s="351"/>
      <c r="S1879" s="351"/>
      <c r="T1879" s="351"/>
      <c r="U1879" s="329" t="str">
        <f>IF($N1879=$N$4,IFERROR(INDEX(DanhMuc!$E$154:$E$165,MATCH(MID($B1879,4,2),DanhMuc!$B$154:$B$165,0)),""),"")</f>
        <v/>
      </c>
      <c r="V1879" s="361"/>
      <c r="W1879" s="345"/>
      <c r="X1879" s="329" t="str">
        <f t="shared" si="231"/>
        <v>3H</v>
      </c>
      <c r="Y1879" s="1128" t="s">
        <v>3380</v>
      </c>
      <c r="Z1879" s="1128" t="s">
        <v>3381</v>
      </c>
      <c r="AA1879" s="1128" t="s">
        <v>3384</v>
      </c>
      <c r="AB1879" s="20"/>
      <c r="AC1879" s="73"/>
    </row>
    <row r="1880" spans="1:29">
      <c r="A1880" s="327" t="str">
        <f>IF(AND($B1880&lt;&gt;"",$C1880&lt;&gt;""),MAX($A$1556:A1878)+1,"")</f>
        <v/>
      </c>
      <c r="B1880" s="361" t="s">
        <v>1985</v>
      </c>
      <c r="C1880" s="360"/>
      <c r="D1880" s="327">
        <f>IF($B1880="","",COUNTIF($B$6:$B1880,$B1880))</f>
        <v>13</v>
      </c>
      <c r="E1880" s="365" t="s">
        <v>327</v>
      </c>
      <c r="F1880" s="368" t="s">
        <v>345</v>
      </c>
      <c r="G1880" s="367" t="s">
        <v>690</v>
      </c>
      <c r="H1880" s="327" t="s">
        <v>536</v>
      </c>
      <c r="I1880" s="327">
        <v>1</v>
      </c>
      <c r="J1880" s="345" t="s">
        <v>634</v>
      </c>
      <c r="K1880" s="327"/>
      <c r="L1880" s="348">
        <f>+$S1880*$T1880*$L$37</f>
        <v>84651</v>
      </c>
      <c r="M1880" s="371"/>
      <c r="N1880" s="369" t="s">
        <v>150</v>
      </c>
      <c r="O1880" s="345" t="s">
        <v>2722</v>
      </c>
      <c r="P1880" s="392"/>
      <c r="Q1880" s="327"/>
      <c r="R1880" s="351">
        <v>2.5</v>
      </c>
      <c r="S1880" s="351">
        <v>5.8</v>
      </c>
      <c r="T1880" s="351">
        <v>0.13900000000000001</v>
      </c>
      <c r="U1880" s="329">
        <f>IF($N1880=$N$4,IFERROR(INDEX(DanhMuc!$E$154:$E$165,MATCH(MID($B1880,4,2),DanhMuc!$B$154:$B$165,0)),""),"")</f>
        <v>5800</v>
      </c>
      <c r="V1880" s="361"/>
      <c r="W1880" s="345"/>
      <c r="X1880" s="329" t="str">
        <f t="shared" si="231"/>
        <v>C459</v>
      </c>
      <c r="Y1880" s="1128" t="s">
        <v>3380</v>
      </c>
      <c r="Z1880" s="1128" t="s">
        <v>3381</v>
      </c>
      <c r="AA1880" s="1128" t="s">
        <v>3384</v>
      </c>
      <c r="AB1880" s="20"/>
      <c r="AC1880" s="73"/>
    </row>
    <row r="1881" spans="1:29">
      <c r="A1881" s="327" t="str">
        <f>IF(AND($B1881&lt;&gt;"",$C1881&lt;&gt;""),MAX($A$1556:A1878)+1,"")</f>
        <v/>
      </c>
      <c r="B1881" s="361" t="s">
        <v>1985</v>
      </c>
      <c r="C1881" s="360"/>
      <c r="D1881" s="327">
        <f>IF($B1881="","",COUNTIF($B$6:$B1881,$B1881))</f>
        <v>14</v>
      </c>
      <c r="E1881" s="402" t="s">
        <v>20</v>
      </c>
      <c r="F1881" s="403" t="s">
        <v>79</v>
      </c>
      <c r="G1881" s="327" t="s">
        <v>155</v>
      </c>
      <c r="H1881" s="327" t="s">
        <v>536</v>
      </c>
      <c r="I1881" s="327">
        <v>1</v>
      </c>
      <c r="J1881" s="345"/>
      <c r="K1881" s="327"/>
      <c r="L1881" s="389">
        <v>185000</v>
      </c>
      <c r="M1881" s="371"/>
      <c r="N1881" s="355" t="str">
        <f>+$N$1555</f>
        <v>PK</v>
      </c>
      <c r="O1881" s="404" t="s">
        <v>2721</v>
      </c>
      <c r="P1881" s="392"/>
      <c r="Q1881" s="327"/>
      <c r="R1881" s="351"/>
      <c r="S1881" s="351"/>
      <c r="T1881" s="351"/>
      <c r="U1881" s="329" t="str">
        <f>IF($N1881=$N$4,IFERROR(INDEX(DanhMuc!$E$154:$E$165,MATCH(MID($B1881,4,2),DanhMuc!$B$154:$B$165,0)),""),"")</f>
        <v/>
      </c>
      <c r="V1881" s="361"/>
      <c r="W1881" s="345"/>
      <c r="X1881" s="329" t="str">
        <f t="shared" si="231"/>
        <v>3H</v>
      </c>
      <c r="Y1881" s="1128" t="s">
        <v>3380</v>
      </c>
      <c r="Z1881" s="1128" t="s">
        <v>3381</v>
      </c>
      <c r="AA1881" s="1128" t="s">
        <v>3384</v>
      </c>
      <c r="AB1881" s="20"/>
      <c r="AC1881" s="73"/>
    </row>
    <row r="1882" spans="1:29">
      <c r="A1882" s="327" t="str">
        <f>IF(AND($B1882&lt;&gt;"",$C1882&lt;&gt;""),MAX($A$1556:A1881)+1,"")</f>
        <v/>
      </c>
      <c r="B1882" s="361" t="s">
        <v>1985</v>
      </c>
      <c r="C1882" s="360"/>
      <c r="D1882" s="327">
        <f>IF($B1882="","",COUNTIF($B$6:$B1882,$B1882))</f>
        <v>15</v>
      </c>
      <c r="E1882" s="361" t="s">
        <v>673</v>
      </c>
      <c r="F1882" s="362" t="s">
        <v>1075</v>
      </c>
      <c r="G1882" s="327" t="s">
        <v>155</v>
      </c>
      <c r="H1882" s="327" t="s">
        <v>536</v>
      </c>
      <c r="I1882" s="327">
        <v>2</v>
      </c>
      <c r="J1882" s="345"/>
      <c r="K1882" s="327"/>
      <c r="L1882" s="389">
        <v>17000</v>
      </c>
      <c r="M1882" s="371"/>
      <c r="N1882" s="355" t="str">
        <f>+$N$1555</f>
        <v>PK</v>
      </c>
      <c r="O1882" s="404" t="s">
        <v>2721</v>
      </c>
      <c r="P1882" s="392"/>
      <c r="Q1882" s="327"/>
      <c r="R1882" s="351"/>
      <c r="S1882" s="351"/>
      <c r="T1882" s="351"/>
      <c r="U1882" s="329" t="str">
        <f>IF($N1882=$N$4,IFERROR(INDEX(DanhMuc!$E$154:$E$165,MATCH(MID($B1882,4,2),DanhMuc!$B$154:$B$165,0)),""),"")</f>
        <v/>
      </c>
      <c r="V1882" s="361"/>
      <c r="W1882" s="345"/>
      <c r="X1882" s="329" t="str">
        <f t="shared" si="231"/>
        <v>3H</v>
      </c>
      <c r="Y1882" s="1128" t="s">
        <v>3380</v>
      </c>
      <c r="Z1882" s="1128" t="s">
        <v>3381</v>
      </c>
      <c r="AA1882" s="1128" t="s">
        <v>3384</v>
      </c>
      <c r="AB1882" s="20"/>
      <c r="AC1882" s="73"/>
    </row>
    <row r="1883" spans="1:29">
      <c r="A1883" s="327" t="str">
        <f>IF(AND($B1883&lt;&gt;"",$C1883&lt;&gt;""),MAX($A$1556:A1882)+1,"")</f>
        <v/>
      </c>
      <c r="B1883" s="361" t="s">
        <v>1985</v>
      </c>
      <c r="C1883" s="360"/>
      <c r="D1883" s="327">
        <f>IF($B1883="","",COUNTIF($B$6:$B1883,$B1883))</f>
        <v>16</v>
      </c>
      <c r="E1883" s="402" t="s">
        <v>91</v>
      </c>
      <c r="F1883" s="403" t="s">
        <v>92</v>
      </c>
      <c r="G1883" s="327" t="s">
        <v>155</v>
      </c>
      <c r="H1883" s="327" t="s">
        <v>536</v>
      </c>
      <c r="I1883" s="327">
        <v>2</v>
      </c>
      <c r="J1883" s="345"/>
      <c r="K1883" s="327"/>
      <c r="L1883" s="389">
        <v>6500</v>
      </c>
      <c r="M1883" s="371"/>
      <c r="N1883" s="355" t="str">
        <f>+$N$1555</f>
        <v>PK</v>
      </c>
      <c r="O1883" s="404" t="s">
        <v>2721</v>
      </c>
      <c r="P1883" s="392"/>
      <c r="Q1883" s="327"/>
      <c r="R1883" s="351"/>
      <c r="S1883" s="351"/>
      <c r="T1883" s="351"/>
      <c r="U1883" s="329" t="str">
        <f>IF($N1883=$N$4,IFERROR(INDEX(DanhMuc!$E$154:$E$165,MATCH(MID($B1883,4,2),DanhMuc!$B$154:$B$165,0)),""),"")</f>
        <v/>
      </c>
      <c r="V1883" s="361"/>
      <c r="W1883" s="345"/>
      <c r="X1883" s="329" t="str">
        <f t="shared" si="231"/>
        <v>3H</v>
      </c>
      <c r="Y1883" s="1128" t="s">
        <v>3380</v>
      </c>
      <c r="Z1883" s="1128" t="s">
        <v>3381</v>
      </c>
      <c r="AA1883" s="1128" t="s">
        <v>3384</v>
      </c>
      <c r="AB1883" s="20"/>
      <c r="AC1883" s="73"/>
    </row>
    <row r="1884" spans="1:29">
      <c r="A1884" s="327" t="str">
        <f>IF(AND($B1884&lt;&gt;"",$C1884&lt;&gt;""),MAX($A$1556:A1882)+1,"")</f>
        <v/>
      </c>
      <c r="B1884" s="361" t="s">
        <v>1985</v>
      </c>
      <c r="C1884" s="360"/>
      <c r="D1884" s="327">
        <f>IF($B1884="","",COUNTIF($B$6:$B1884,$B1884))</f>
        <v>17</v>
      </c>
      <c r="E1884" s="365" t="s">
        <v>327</v>
      </c>
      <c r="F1884" s="368" t="s">
        <v>345</v>
      </c>
      <c r="G1884" s="367" t="s">
        <v>690</v>
      </c>
      <c r="H1884" s="327" t="s">
        <v>536</v>
      </c>
      <c r="I1884" s="327">
        <v>1</v>
      </c>
      <c r="J1884" s="345" t="s">
        <v>634</v>
      </c>
      <c r="K1884" s="327"/>
      <c r="L1884" s="348">
        <f>+$S1884*$T1884*$L$37</f>
        <v>84651</v>
      </c>
      <c r="M1884" s="371"/>
      <c r="N1884" s="369" t="s">
        <v>150</v>
      </c>
      <c r="O1884" s="404" t="s">
        <v>2721</v>
      </c>
      <c r="P1884" s="392"/>
      <c r="Q1884" s="327"/>
      <c r="R1884" s="351">
        <v>2.5</v>
      </c>
      <c r="S1884" s="351">
        <v>5.8</v>
      </c>
      <c r="T1884" s="351">
        <v>0.13900000000000001</v>
      </c>
      <c r="U1884" s="329">
        <f>IF($N1884=$N$4,IFERROR(INDEX(DanhMuc!$E$154:$E$165,MATCH(MID($B1884,4,2),DanhMuc!$B$154:$B$165,0)),""),"")</f>
        <v>5800</v>
      </c>
      <c r="V1884" s="361"/>
      <c r="W1884" s="345"/>
      <c r="X1884" s="329" t="str">
        <f t="shared" si="231"/>
        <v>C459</v>
      </c>
      <c r="Y1884" s="1128" t="s">
        <v>3380</v>
      </c>
      <c r="Z1884" s="1128" t="s">
        <v>3381</v>
      </c>
      <c r="AA1884" s="1128" t="s">
        <v>3384</v>
      </c>
      <c r="AB1884" s="20"/>
      <c r="AC1884" s="73"/>
    </row>
    <row r="1885" spans="1:29">
      <c r="A1885" s="327" t="str">
        <f>IF(AND($B1885&lt;&gt;"",$C1885&lt;&gt;""),MAX($A$1556:A1878)+1,"")</f>
        <v/>
      </c>
      <c r="B1885" s="361" t="s">
        <v>1985</v>
      </c>
      <c r="C1885" s="360"/>
      <c r="D1885" s="327">
        <f>IF($B1885="","",COUNTIF($B$6:$B1885,$B1885))</f>
        <v>18</v>
      </c>
      <c r="E1885" s="399" t="s">
        <v>198</v>
      </c>
      <c r="F1885" s="400" t="s">
        <v>322</v>
      </c>
      <c r="G1885" s="327" t="s">
        <v>155</v>
      </c>
      <c r="H1885" s="327" t="s">
        <v>536</v>
      </c>
      <c r="I1885" s="327">
        <v>1</v>
      </c>
      <c r="J1885" s="345"/>
      <c r="K1885" s="327"/>
      <c r="L1885" s="389">
        <v>140000</v>
      </c>
      <c r="M1885" s="371"/>
      <c r="N1885" s="355" t="str">
        <f t="shared" ref="N1885:N1904" si="233">+$N$1555</f>
        <v>PK</v>
      </c>
      <c r="O1885" s="345" t="s">
        <v>2699</v>
      </c>
      <c r="P1885" s="392"/>
      <c r="Q1885" s="327"/>
      <c r="R1885" s="351"/>
      <c r="S1885" s="351"/>
      <c r="T1885" s="351"/>
      <c r="U1885" s="329" t="str">
        <f>IF($N1885=$N$4,IFERROR(INDEX(DanhMuc!$E$154:$E$165,MATCH(MID($B1885,4,2),DanhMuc!$B$154:$B$165,0)),""),"")</f>
        <v/>
      </c>
      <c r="V1885" s="361"/>
      <c r="W1885" s="345"/>
      <c r="X1885" s="329" t="str">
        <f t="shared" si="231"/>
        <v>3H</v>
      </c>
      <c r="Y1885" s="1128" t="s">
        <v>3380</v>
      </c>
      <c r="Z1885" s="1128" t="s">
        <v>3381</v>
      </c>
      <c r="AA1885" s="1128" t="s">
        <v>3384</v>
      </c>
      <c r="AB1885" s="20"/>
      <c r="AC1885" s="73"/>
    </row>
    <row r="1886" spans="1:29">
      <c r="A1886" s="327" t="str">
        <f>IF(AND($B1886&lt;&gt;"",$C1886&lt;&gt;""),MAX($A$1556:A1885)+1,"")</f>
        <v/>
      </c>
      <c r="B1886" s="361" t="s">
        <v>1985</v>
      </c>
      <c r="C1886" s="360"/>
      <c r="D1886" s="327">
        <f>IF($B1886="","",COUNTIF($B$6:$B1886,$B1886))</f>
        <v>19</v>
      </c>
      <c r="E1886" s="399" t="s">
        <v>2732</v>
      </c>
      <c r="F1886" s="400" t="s">
        <v>1208</v>
      </c>
      <c r="G1886" s="327" t="s">
        <v>155</v>
      </c>
      <c r="H1886" s="327" t="s">
        <v>536</v>
      </c>
      <c r="I1886" s="327">
        <v>1</v>
      </c>
      <c r="J1886" s="345"/>
      <c r="K1886" s="327"/>
      <c r="L1886" s="389">
        <v>140000</v>
      </c>
      <c r="M1886" s="371"/>
      <c r="N1886" s="355" t="str">
        <f t="shared" si="233"/>
        <v>PK</v>
      </c>
      <c r="O1886" s="345" t="s">
        <v>1060</v>
      </c>
      <c r="P1886" s="392"/>
      <c r="Q1886" s="327"/>
      <c r="R1886" s="351"/>
      <c r="S1886" s="351"/>
      <c r="T1886" s="351"/>
      <c r="U1886" s="329" t="str">
        <f>IF($N1886=$N$4,IFERROR(INDEX(DanhMuc!$E$154:$E$165,MATCH(MID($B1886,4,2),DanhMuc!$B$154:$B$165,0)),""),"")</f>
        <v/>
      </c>
      <c r="V1886" s="361"/>
      <c r="W1886" s="345"/>
      <c r="X1886" s="329" t="str">
        <f t="shared" si="231"/>
        <v>3H</v>
      </c>
      <c r="Y1886" s="1128" t="s">
        <v>3380</v>
      </c>
      <c r="Z1886" s="1128" t="s">
        <v>3381</v>
      </c>
      <c r="AA1886" s="1128" t="s">
        <v>3384</v>
      </c>
      <c r="AB1886" s="20"/>
      <c r="AC1886" s="73"/>
    </row>
    <row r="1887" spans="1:29">
      <c r="A1887" s="327" t="str">
        <f>IF(AND($B1887&lt;&gt;"",$C1887&lt;&gt;""),MAX($A$1556:A1886)+1,"")</f>
        <v/>
      </c>
      <c r="B1887" s="361" t="s">
        <v>1985</v>
      </c>
      <c r="C1887" s="360"/>
      <c r="D1887" s="327">
        <f>IF($B1887="","",COUNTIF($B$6:$B1887,$B1887))</f>
        <v>20</v>
      </c>
      <c r="E1887" s="361" t="s">
        <v>87</v>
      </c>
      <c r="F1887" s="362" t="s">
        <v>196</v>
      </c>
      <c r="G1887" s="351" t="s">
        <v>155</v>
      </c>
      <c r="H1887" s="327"/>
      <c r="I1887" s="327">
        <v>1</v>
      </c>
      <c r="J1887" s="361"/>
      <c r="K1887" s="327"/>
      <c r="L1887" s="389">
        <v>135000</v>
      </c>
      <c r="M1887" s="371"/>
      <c r="N1887" s="355" t="str">
        <f t="shared" si="233"/>
        <v>PK</v>
      </c>
      <c r="O1887" s="404"/>
      <c r="P1887" s="392"/>
      <c r="Q1887" s="327"/>
      <c r="R1887" s="351"/>
      <c r="S1887" s="351"/>
      <c r="T1887" s="351"/>
      <c r="U1887" s="329" t="str">
        <f>IF($N1887=$N$4,IFERROR(INDEX(DanhMuc!$E$154:$E$165,MATCH(MID($B1887,4,2),DanhMuc!$B$154:$B$165,0)),""),"")</f>
        <v/>
      </c>
      <c r="V1887" s="361"/>
      <c r="W1887" s="345"/>
      <c r="X1887" s="329" t="str">
        <f t="shared" si="231"/>
        <v>3H</v>
      </c>
      <c r="Y1887" s="1128" t="s">
        <v>3380</v>
      </c>
      <c r="Z1887" s="1128" t="s">
        <v>3381</v>
      </c>
      <c r="AA1887" s="1128" t="s">
        <v>3384</v>
      </c>
      <c r="AB1887" s="20"/>
      <c r="AC1887" s="73"/>
    </row>
    <row r="1888" spans="1:29">
      <c r="A1888" s="327" t="str">
        <f>IF(AND($B1888&lt;&gt;"",$C1888&lt;&gt;""),MAX($A$1556:A1887)+1,"")</f>
        <v/>
      </c>
      <c r="B1888" s="361" t="s">
        <v>1985</v>
      </c>
      <c r="C1888" s="360"/>
      <c r="D1888" s="327">
        <f>IF($B1888="","",COUNTIF($B$6:$B1888,$B1888))</f>
        <v>21</v>
      </c>
      <c r="E1888" s="361" t="s">
        <v>199</v>
      </c>
      <c r="F1888" s="362" t="s">
        <v>200</v>
      </c>
      <c r="G1888" s="327" t="s">
        <v>155</v>
      </c>
      <c r="H1888" s="327" t="s">
        <v>536</v>
      </c>
      <c r="I1888" s="327">
        <v>1</v>
      </c>
      <c r="J1888" s="361"/>
      <c r="K1888" s="327"/>
      <c r="L1888" s="389">
        <v>28000</v>
      </c>
      <c r="M1888" s="371"/>
      <c r="N1888" s="355" t="str">
        <f t="shared" si="233"/>
        <v>PK</v>
      </c>
      <c r="O1888" s="414"/>
      <c r="P1888" s="392"/>
      <c r="Q1888" s="327"/>
      <c r="R1888" s="351"/>
      <c r="S1888" s="351"/>
      <c r="T1888" s="351"/>
      <c r="U1888" s="329" t="str">
        <f>IF($N1888=$N$4,IFERROR(INDEX(DanhMuc!$E$154:$E$165,MATCH(MID($B1888,4,2),DanhMuc!$B$154:$B$165,0)),""),"")</f>
        <v/>
      </c>
      <c r="V1888" s="361"/>
      <c r="W1888" s="345"/>
      <c r="X1888" s="329" t="str">
        <f t="shared" si="231"/>
        <v>3H</v>
      </c>
      <c r="Y1888" s="1128" t="s">
        <v>3380</v>
      </c>
      <c r="Z1888" s="1128" t="s">
        <v>3381</v>
      </c>
      <c r="AA1888" s="1128" t="s">
        <v>3384</v>
      </c>
      <c r="AB1888" s="20"/>
      <c r="AC1888" s="73"/>
    </row>
    <row r="1889" spans="1:29">
      <c r="A1889" s="327" t="str">
        <f>IF(AND($B1889&lt;&gt;"",$C1889&lt;&gt;""),MAX($A$1556:A1887)+1,"")</f>
        <v/>
      </c>
      <c r="B1889" s="361" t="s">
        <v>1985</v>
      </c>
      <c r="C1889" s="360"/>
      <c r="D1889" s="327">
        <f>IF($B1889="","",COUNTIF($B$6:$B1889,$B1889))</f>
        <v>22</v>
      </c>
      <c r="E1889" s="361" t="s">
        <v>1444</v>
      </c>
      <c r="F1889" s="362" t="s">
        <v>2356</v>
      </c>
      <c r="G1889" s="327" t="s">
        <v>297</v>
      </c>
      <c r="H1889" s="327"/>
      <c r="I1889" s="327">
        <v>1</v>
      </c>
      <c r="J1889" s="345"/>
      <c r="K1889" s="327"/>
      <c r="L1889" s="389">
        <v>17000</v>
      </c>
      <c r="M1889" s="371"/>
      <c r="N1889" s="355" t="str">
        <f t="shared" si="233"/>
        <v>PK</v>
      </c>
      <c r="O1889" s="347"/>
      <c r="P1889" s="392"/>
      <c r="Q1889" s="327"/>
      <c r="R1889" s="351"/>
      <c r="S1889" s="351"/>
      <c r="T1889" s="351"/>
      <c r="U1889" s="329" t="str">
        <f>IF($N1889=$N$4,IFERROR(INDEX(DanhMuc!$E$154:$E$165,MATCH(MID($B1889,4,2),DanhMuc!$B$154:$B$165,0)),""),"")</f>
        <v/>
      </c>
      <c r="V1889" s="408" t="s">
        <v>343</v>
      </c>
      <c r="W1889" s="345"/>
      <c r="X1889" s="329" t="str">
        <f t="shared" si="231"/>
        <v>3H</v>
      </c>
      <c r="Y1889" s="1128" t="s">
        <v>3380</v>
      </c>
      <c r="Z1889" s="1128" t="s">
        <v>3381</v>
      </c>
      <c r="AA1889" s="1128" t="s">
        <v>3384</v>
      </c>
      <c r="AB1889" s="20"/>
      <c r="AC1889" s="73"/>
    </row>
    <row r="1890" spans="1:29" ht="39">
      <c r="A1890" s="327">
        <f>IF(AND($B1890&lt;&gt;"",$C1890&lt;&gt;""),MAX($A$1556:A1888)+1,"")</f>
        <v>9</v>
      </c>
      <c r="B1890" s="359" t="s">
        <v>1986</v>
      </c>
      <c r="C1890" s="360" t="s">
        <v>2085</v>
      </c>
      <c r="D1890" s="327">
        <f>IF($B1890="","",COUNTIF($B$6:$B1890,$B1890))</f>
        <v>1</v>
      </c>
      <c r="E1890" s="363" t="s">
        <v>191</v>
      </c>
      <c r="F1890" s="362" t="s">
        <v>207</v>
      </c>
      <c r="G1890" s="327" t="s">
        <v>155</v>
      </c>
      <c r="H1890" s="327"/>
      <c r="I1890" s="327">
        <v>1</v>
      </c>
      <c r="J1890" s="361"/>
      <c r="K1890" s="327"/>
      <c r="L1890" s="389">
        <v>236000</v>
      </c>
      <c r="M1890" s="371"/>
      <c r="N1890" s="355" t="str">
        <f t="shared" si="233"/>
        <v>PK</v>
      </c>
      <c r="O1890" s="345"/>
      <c r="P1890" s="392"/>
      <c r="Q1890" s="327"/>
      <c r="R1890" s="351"/>
      <c r="S1890" s="351"/>
      <c r="T1890" s="351"/>
      <c r="U1890" s="329" t="str">
        <f>IF($N1890=$N$4,IFERROR(INDEX(DanhMuc!$E$154:$E$165,MATCH(MID($B1890,4,2),DanhMuc!$B$154:$B$165,0)),""),"")</f>
        <v/>
      </c>
      <c r="V1890" s="361"/>
      <c r="W1890" s="345"/>
      <c r="X1890" s="329" t="str">
        <f t="shared" si="231"/>
        <v>3H</v>
      </c>
      <c r="Y1890" s="1128" t="s">
        <v>3380</v>
      </c>
      <c r="Z1890" s="1128" t="s">
        <v>3381</v>
      </c>
      <c r="AA1890" s="1128" t="s">
        <v>3384</v>
      </c>
      <c r="AB1890" s="20"/>
      <c r="AC1890" s="73"/>
    </row>
    <row r="1891" spans="1:29" ht="25">
      <c r="A1891" s="327" t="str">
        <f>IF(AND($B1891&lt;&gt;"",$C1891&lt;&gt;""),MAX($A$1556:A1890)+1,"")</f>
        <v/>
      </c>
      <c r="B1891" s="361" t="s">
        <v>1986</v>
      </c>
      <c r="C1891" s="360"/>
      <c r="D1891" s="327">
        <f>IF($B1891="","",COUNTIF($B$6:$B1891,$B1891))</f>
        <v>2</v>
      </c>
      <c r="E1891" s="361" t="s">
        <v>192</v>
      </c>
      <c r="F1891" s="362" t="s">
        <v>208</v>
      </c>
      <c r="G1891" s="327" t="s">
        <v>155</v>
      </c>
      <c r="H1891" s="327"/>
      <c r="I1891" s="327">
        <v>1</v>
      </c>
      <c r="J1891" s="361"/>
      <c r="K1891" s="327"/>
      <c r="L1891" s="389">
        <v>195000</v>
      </c>
      <c r="M1891" s="371"/>
      <c r="N1891" s="355" t="str">
        <f t="shared" si="233"/>
        <v>PK</v>
      </c>
      <c r="O1891" s="345"/>
      <c r="P1891" s="392"/>
      <c r="Q1891" s="327"/>
      <c r="R1891" s="351"/>
      <c r="S1891" s="351"/>
      <c r="T1891" s="351"/>
      <c r="U1891" s="329" t="str">
        <f>IF($N1891=$N$4,IFERROR(INDEX(DanhMuc!$E$154:$E$165,MATCH(MID($B1891,4,2),DanhMuc!$B$154:$B$165,0)),""),"")</f>
        <v/>
      </c>
      <c r="V1891" s="361"/>
      <c r="W1891" s="345"/>
      <c r="X1891" s="329" t="str">
        <f t="shared" si="231"/>
        <v>3H</v>
      </c>
      <c r="Y1891" s="1128" t="s">
        <v>3380</v>
      </c>
      <c r="Z1891" s="1128" t="s">
        <v>3381</v>
      </c>
      <c r="AA1891" s="1128" t="s">
        <v>3384</v>
      </c>
      <c r="AB1891" s="20"/>
      <c r="AC1891" s="73"/>
    </row>
    <row r="1892" spans="1:29" s="73" customFormat="1">
      <c r="A1892" s="327" t="str">
        <f>IF(AND($B1892&lt;&gt;"",$C1892&lt;&gt;""),MAX($A$1556:A1891)+1,"")</f>
        <v/>
      </c>
      <c r="B1892" s="361" t="s">
        <v>1986</v>
      </c>
      <c r="C1892" s="346"/>
      <c r="D1892" s="327">
        <f>IF($B1892="","",COUNTIF($B$6:$B1892,$B1892))</f>
        <v>3</v>
      </c>
      <c r="E1892" s="361" t="s">
        <v>93</v>
      </c>
      <c r="F1892" s="362" t="s">
        <v>193</v>
      </c>
      <c r="G1892" s="342" t="s">
        <v>155</v>
      </c>
      <c r="H1892" s="327"/>
      <c r="I1892" s="327">
        <v>9</v>
      </c>
      <c r="J1892" s="359"/>
      <c r="K1892" s="127"/>
      <c r="L1892" s="389">
        <v>77000</v>
      </c>
      <c r="M1892" s="371"/>
      <c r="N1892" s="355" t="str">
        <f t="shared" si="233"/>
        <v>PK</v>
      </c>
      <c r="O1892" s="345"/>
      <c r="P1892" s="392"/>
      <c r="Q1892" s="327"/>
      <c r="R1892" s="351"/>
      <c r="S1892" s="351"/>
      <c r="T1892" s="351"/>
      <c r="U1892" s="329" t="str">
        <f>IF($N1892=$N$4,IFERROR(INDEX(DanhMuc!$E$154:$E$165,MATCH(MID($B1892,4,2),DanhMuc!$B$154:$B$165,0)),""),"")</f>
        <v/>
      </c>
      <c r="V1892" s="328"/>
      <c r="W1892" s="345"/>
      <c r="X1892" s="329" t="str">
        <f t="shared" si="231"/>
        <v>3H</v>
      </c>
      <c r="Y1892" s="1128" t="s">
        <v>3380</v>
      </c>
      <c r="Z1892" s="1128" t="s">
        <v>3381</v>
      </c>
      <c r="AA1892" s="1128" t="s">
        <v>3384</v>
      </c>
      <c r="AB1892" s="20"/>
    </row>
    <row r="1893" spans="1:29" s="73" customFormat="1">
      <c r="A1893" s="327" t="str">
        <f>IF(AND($B1893&lt;&gt;"",$C1893&lt;&gt;""),MAX($A$1556:A1892)+1,"")</f>
        <v/>
      </c>
      <c r="B1893" s="361" t="s">
        <v>1986</v>
      </c>
      <c r="C1893" s="346"/>
      <c r="D1893" s="327">
        <f>IF($B1893="","",COUNTIF($B$6:$B1893,$B1893))</f>
        <v>4</v>
      </c>
      <c r="E1893" s="361" t="s">
        <v>93</v>
      </c>
      <c r="F1893" s="362" t="s">
        <v>193</v>
      </c>
      <c r="G1893" s="342" t="s">
        <v>155</v>
      </c>
      <c r="H1893" s="327"/>
      <c r="I1893" s="327">
        <v>1</v>
      </c>
      <c r="J1893" s="359"/>
      <c r="K1893" s="127"/>
      <c r="L1893" s="389">
        <v>77000</v>
      </c>
      <c r="M1893" s="371"/>
      <c r="N1893" s="355" t="str">
        <f t="shared" si="233"/>
        <v>PK</v>
      </c>
      <c r="O1893" s="345" t="s">
        <v>639</v>
      </c>
      <c r="P1893" s="392"/>
      <c r="Q1893" s="327"/>
      <c r="R1893" s="351"/>
      <c r="S1893" s="351"/>
      <c r="T1893" s="351"/>
      <c r="U1893" s="329" t="str">
        <f>IF($N1893=$N$4,IFERROR(INDEX(DanhMuc!$E$154:$E$165,MATCH(MID($B1893,4,2),DanhMuc!$B$154:$B$165,0)),""),"")</f>
        <v/>
      </c>
      <c r="V1893" s="328"/>
      <c r="W1893" s="345"/>
      <c r="X1893" s="329" t="str">
        <f t="shared" si="231"/>
        <v>3H</v>
      </c>
      <c r="Y1893" s="1128" t="s">
        <v>3380</v>
      </c>
      <c r="Z1893" s="1128" t="s">
        <v>3381</v>
      </c>
      <c r="AA1893" s="1128" t="s">
        <v>3384</v>
      </c>
      <c r="AB1893" s="20"/>
    </row>
    <row r="1894" spans="1:29" s="73" customFormat="1" ht="25">
      <c r="A1894" s="327" t="str">
        <f>IF(AND($B1894&lt;&gt;"",$C1894&lt;&gt;""),MAX($A$1556:A1892)+1,"")</f>
        <v/>
      </c>
      <c r="B1894" s="361" t="s">
        <v>1986</v>
      </c>
      <c r="C1894" s="346"/>
      <c r="D1894" s="327">
        <f>IF($B1894="","",COUNTIF($B$6:$B1894,$B1894))</f>
        <v>5</v>
      </c>
      <c r="E1894" s="361" t="s">
        <v>97</v>
      </c>
      <c r="F1894" s="362" t="s">
        <v>201</v>
      </c>
      <c r="G1894" s="342" t="s">
        <v>155</v>
      </c>
      <c r="H1894" s="327"/>
      <c r="I1894" s="327">
        <v>1</v>
      </c>
      <c r="J1894" s="359"/>
      <c r="K1894" s="127"/>
      <c r="L1894" s="389">
        <v>94000</v>
      </c>
      <c r="M1894" s="371"/>
      <c r="N1894" s="355" t="str">
        <f t="shared" si="233"/>
        <v>PK</v>
      </c>
      <c r="O1894" s="345"/>
      <c r="P1894" s="392"/>
      <c r="Q1894" s="327"/>
      <c r="R1894" s="351"/>
      <c r="S1894" s="351"/>
      <c r="T1894" s="351"/>
      <c r="U1894" s="329" t="str">
        <f>IF($N1894=$N$4,IFERROR(INDEX(DanhMuc!$E$154:$E$165,MATCH(MID($B1894,4,2),DanhMuc!$B$154:$B$165,0)),""),"")</f>
        <v/>
      </c>
      <c r="V1894" s="328"/>
      <c r="W1894" s="345"/>
      <c r="X1894" s="329" t="str">
        <f t="shared" si="231"/>
        <v>3H</v>
      </c>
      <c r="Y1894" s="1128" t="s">
        <v>3380</v>
      </c>
      <c r="Z1894" s="1128" t="s">
        <v>3381</v>
      </c>
      <c r="AA1894" s="1128" t="s">
        <v>3384</v>
      </c>
      <c r="AB1894" s="20"/>
    </row>
    <row r="1895" spans="1:29">
      <c r="A1895" s="327" t="str">
        <f>IF(AND($B1895&lt;&gt;"",$C1895&lt;&gt;""),MAX($A$1556:A1894)+1,"")</f>
        <v/>
      </c>
      <c r="B1895" s="361" t="s">
        <v>1986</v>
      </c>
      <c r="C1895" s="360"/>
      <c r="D1895" s="327">
        <f>IF($B1895="","",COUNTIF($B$6:$B1895,$B1895))</f>
        <v>6</v>
      </c>
      <c r="E1895" s="374" t="s">
        <v>194</v>
      </c>
      <c r="F1895" s="375" t="s">
        <v>190</v>
      </c>
      <c r="G1895" s="377" t="s">
        <v>155</v>
      </c>
      <c r="H1895" s="327" t="s">
        <v>536</v>
      </c>
      <c r="I1895" s="377">
        <v>1</v>
      </c>
      <c r="J1895" s="374"/>
      <c r="K1895" s="377"/>
      <c r="L1895" s="412">
        <v>76000</v>
      </c>
      <c r="M1895" s="371"/>
      <c r="N1895" s="355" t="str">
        <f t="shared" si="233"/>
        <v>PK</v>
      </c>
      <c r="O1895" s="345"/>
      <c r="P1895" s="392"/>
      <c r="Q1895" s="327"/>
      <c r="R1895" s="351"/>
      <c r="S1895" s="351"/>
      <c r="T1895" s="351"/>
      <c r="U1895" s="329" t="str">
        <f>IF($N1895=$N$4,IFERROR(INDEX(DanhMuc!$E$154:$E$165,MATCH(MID($B1895,4,2),DanhMuc!$B$154:$B$165,0)),""),"")</f>
        <v/>
      </c>
      <c r="V1895" s="361"/>
      <c r="W1895" s="345"/>
      <c r="X1895" s="329" t="str">
        <f t="shared" si="231"/>
        <v>3H</v>
      </c>
      <c r="Y1895" s="1128" t="s">
        <v>3380</v>
      </c>
      <c r="Z1895" s="1128" t="s">
        <v>3381</v>
      </c>
      <c r="AA1895" s="1128" t="s">
        <v>3384</v>
      </c>
      <c r="AB1895" s="20"/>
      <c r="AC1895" s="73"/>
    </row>
    <row r="1896" spans="1:29">
      <c r="A1896" s="327" t="str">
        <f>IF(AND($B1896&lt;&gt;"",$C1896&lt;&gt;""),MAX($A$1556:A1895)+1,"")</f>
        <v/>
      </c>
      <c r="B1896" s="361" t="s">
        <v>1986</v>
      </c>
      <c r="C1896" s="360"/>
      <c r="D1896" s="327">
        <f>IF($B1896="","",COUNTIF($B$6:$B1896,$B1896))</f>
        <v>7</v>
      </c>
      <c r="E1896" s="374" t="s">
        <v>94</v>
      </c>
      <c r="F1896" s="375" t="s">
        <v>195</v>
      </c>
      <c r="G1896" s="377" t="s">
        <v>155</v>
      </c>
      <c r="H1896" s="327"/>
      <c r="I1896" s="377">
        <v>1</v>
      </c>
      <c r="J1896" s="374"/>
      <c r="K1896" s="377"/>
      <c r="L1896" s="412">
        <v>76000</v>
      </c>
      <c r="M1896" s="371"/>
      <c r="N1896" s="355" t="str">
        <f t="shared" si="233"/>
        <v>PK</v>
      </c>
      <c r="O1896" s="345"/>
      <c r="P1896" s="392"/>
      <c r="Q1896" s="327"/>
      <c r="R1896" s="351"/>
      <c r="S1896" s="351"/>
      <c r="T1896" s="351"/>
      <c r="U1896" s="329" t="str">
        <f>IF($N1896=$N$4,IFERROR(INDEX(DanhMuc!$E$154:$E$165,MATCH(MID($B1896,4,2),DanhMuc!$B$154:$B$165,0)),""),"")</f>
        <v/>
      </c>
      <c r="V1896" s="361"/>
      <c r="W1896" s="345"/>
      <c r="X1896" s="329" t="str">
        <f t="shared" si="231"/>
        <v>3H</v>
      </c>
      <c r="Y1896" s="1128" t="s">
        <v>3380</v>
      </c>
      <c r="Z1896" s="1128" t="s">
        <v>3381</v>
      </c>
      <c r="AA1896" s="1128" t="s">
        <v>3384</v>
      </c>
      <c r="AB1896" s="20"/>
      <c r="AC1896" s="73"/>
    </row>
    <row r="1897" spans="1:29" ht="25">
      <c r="A1897" s="327" t="str">
        <f>IF(AND($B1897&lt;&gt;"",$C1897&lt;&gt;""),MAX($A$1556:A1896)+1,"")</f>
        <v/>
      </c>
      <c r="B1897" s="361" t="s">
        <v>1986</v>
      </c>
      <c r="C1897" s="360"/>
      <c r="D1897" s="327">
        <f>IF($B1897="","",COUNTIF($B$6:$B1897,$B1897))</f>
        <v>8</v>
      </c>
      <c r="E1897" s="374" t="s">
        <v>419</v>
      </c>
      <c r="F1897" s="375" t="s">
        <v>420</v>
      </c>
      <c r="G1897" s="377" t="s">
        <v>156</v>
      </c>
      <c r="H1897" s="327" t="s">
        <v>536</v>
      </c>
      <c r="I1897" s="413" t="s">
        <v>1368</v>
      </c>
      <c r="J1897" s="374"/>
      <c r="K1897" s="377"/>
      <c r="L1897" s="412">
        <v>70000</v>
      </c>
      <c r="M1897" s="371"/>
      <c r="N1897" s="355" t="str">
        <f t="shared" si="233"/>
        <v>PK</v>
      </c>
      <c r="O1897" s="345" t="s">
        <v>1626</v>
      </c>
      <c r="P1897" s="392"/>
      <c r="Q1897" s="327"/>
      <c r="R1897" s="351"/>
      <c r="S1897" s="351"/>
      <c r="T1897" s="351"/>
      <c r="U1897" s="329" t="str">
        <f>IF($N1897=$N$4,IFERROR(INDEX(DanhMuc!$E$154:$E$165,MATCH(MID($B1897,4,2),DanhMuc!$B$154:$B$165,0)),""),"")</f>
        <v/>
      </c>
      <c r="V1897" s="361"/>
      <c r="W1897" s="345"/>
      <c r="X1897" s="329" t="str">
        <f t="shared" si="231"/>
        <v>3H</v>
      </c>
      <c r="Y1897" s="1128" t="s">
        <v>3380</v>
      </c>
      <c r="Z1897" s="1128" t="s">
        <v>3381</v>
      </c>
      <c r="AA1897" s="1128" t="s">
        <v>3384</v>
      </c>
      <c r="AB1897" s="20"/>
      <c r="AC1897" s="73"/>
    </row>
    <row r="1898" spans="1:29" ht="25">
      <c r="A1898" s="327" t="str">
        <f>IF(AND($B1898&lt;&gt;"",$C1898&lt;&gt;""),MAX($A$1556:A1897)+1,"")</f>
        <v/>
      </c>
      <c r="B1898" s="361" t="s">
        <v>1986</v>
      </c>
      <c r="C1898" s="360"/>
      <c r="D1898" s="327">
        <f>IF($B1898="","",COUNTIF($B$6:$B1898,$B1898))</f>
        <v>9</v>
      </c>
      <c r="E1898" s="374" t="s">
        <v>406</v>
      </c>
      <c r="F1898" s="375" t="s">
        <v>407</v>
      </c>
      <c r="G1898" s="377" t="s">
        <v>156</v>
      </c>
      <c r="H1898" s="327" t="s">
        <v>536</v>
      </c>
      <c r="I1898" s="413" t="s">
        <v>1369</v>
      </c>
      <c r="J1898" s="374"/>
      <c r="K1898" s="377"/>
      <c r="L1898" s="412">
        <v>80000</v>
      </c>
      <c r="M1898" s="371"/>
      <c r="N1898" s="355" t="str">
        <f t="shared" si="233"/>
        <v>PK</v>
      </c>
      <c r="O1898" s="345" t="s">
        <v>1626</v>
      </c>
      <c r="P1898" s="392"/>
      <c r="Q1898" s="327"/>
      <c r="R1898" s="351"/>
      <c r="S1898" s="351"/>
      <c r="T1898" s="351"/>
      <c r="U1898" s="329" t="str">
        <f>IF($N1898=$N$4,IFERROR(INDEX(DanhMuc!$E$154:$E$165,MATCH(MID($B1898,4,2),DanhMuc!$B$154:$B$165,0)),""),"")</f>
        <v/>
      </c>
      <c r="V1898" s="361"/>
      <c r="W1898" s="345"/>
      <c r="X1898" s="329" t="str">
        <f t="shared" si="231"/>
        <v>3H</v>
      </c>
      <c r="Y1898" s="1128" t="s">
        <v>3380</v>
      </c>
      <c r="Z1898" s="1128" t="s">
        <v>3381</v>
      </c>
      <c r="AA1898" s="1128" t="s">
        <v>3384</v>
      </c>
      <c r="AB1898" s="20"/>
      <c r="AC1898" s="73"/>
    </row>
    <row r="1899" spans="1:29" ht="25">
      <c r="A1899" s="327" t="str">
        <f>IF(AND($B1899&lt;&gt;"",$C1899&lt;&gt;""),MAX($A$1556:A1898)+1,"")</f>
        <v/>
      </c>
      <c r="B1899" s="361" t="s">
        <v>1986</v>
      </c>
      <c r="C1899" s="360"/>
      <c r="D1899" s="327">
        <f>IF($B1899="","",COUNTIF($B$6:$B1899,$B1899))</f>
        <v>10</v>
      </c>
      <c r="E1899" s="374" t="s">
        <v>421</v>
      </c>
      <c r="F1899" s="375" t="s">
        <v>422</v>
      </c>
      <c r="G1899" s="377" t="s">
        <v>156</v>
      </c>
      <c r="H1899" s="327" t="s">
        <v>536</v>
      </c>
      <c r="I1899" s="413" t="s">
        <v>1370</v>
      </c>
      <c r="J1899" s="374"/>
      <c r="K1899" s="377"/>
      <c r="L1899" s="412">
        <v>85000</v>
      </c>
      <c r="M1899" s="371"/>
      <c r="N1899" s="355" t="str">
        <f t="shared" si="233"/>
        <v>PK</v>
      </c>
      <c r="O1899" s="345" t="s">
        <v>1626</v>
      </c>
      <c r="P1899" s="392"/>
      <c r="Q1899" s="327"/>
      <c r="R1899" s="351"/>
      <c r="S1899" s="351"/>
      <c r="T1899" s="351"/>
      <c r="U1899" s="329" t="str">
        <f>IF($N1899=$N$4,IFERROR(INDEX(DanhMuc!$E$154:$E$165,MATCH(MID($B1899,4,2),DanhMuc!$B$154:$B$165,0)),""),"")</f>
        <v/>
      </c>
      <c r="V1899" s="361"/>
      <c r="W1899" s="345"/>
      <c r="X1899" s="329" t="str">
        <f t="shared" si="231"/>
        <v>3H</v>
      </c>
      <c r="Y1899" s="1128" t="s">
        <v>3380</v>
      </c>
      <c r="Z1899" s="1128" t="s">
        <v>3381</v>
      </c>
      <c r="AA1899" s="1128" t="s">
        <v>3384</v>
      </c>
      <c r="AB1899" s="20"/>
      <c r="AC1899" s="73"/>
    </row>
    <row r="1900" spans="1:29">
      <c r="A1900" s="327" t="str">
        <f>IF(AND($B1900&lt;&gt;"",$C1900&lt;&gt;""),MAX($A$1556:A1899)+1,"")</f>
        <v/>
      </c>
      <c r="B1900" s="361" t="s">
        <v>1986</v>
      </c>
      <c r="C1900" s="360"/>
      <c r="D1900" s="327">
        <f>IF($B1900="","",COUNTIF($B$6:$B1900,$B1900))</f>
        <v>11</v>
      </c>
      <c r="E1900" s="374" t="s">
        <v>95</v>
      </c>
      <c r="F1900" s="375" t="s">
        <v>258</v>
      </c>
      <c r="G1900" s="377" t="s">
        <v>155</v>
      </c>
      <c r="H1900" s="327" t="s">
        <v>536</v>
      </c>
      <c r="I1900" s="377">
        <v>1</v>
      </c>
      <c r="J1900" s="374"/>
      <c r="K1900" s="377"/>
      <c r="L1900" s="412">
        <v>50000</v>
      </c>
      <c r="M1900" s="371"/>
      <c r="N1900" s="355" t="str">
        <f t="shared" si="233"/>
        <v>PK</v>
      </c>
      <c r="O1900" s="345"/>
      <c r="P1900" s="392"/>
      <c r="Q1900" s="327"/>
      <c r="R1900" s="351"/>
      <c r="S1900" s="351"/>
      <c r="T1900" s="351"/>
      <c r="U1900" s="329" t="str">
        <f>IF($N1900=$N$4,IFERROR(INDEX(DanhMuc!$E$154:$E$165,MATCH(MID($B1900,4,2),DanhMuc!$B$154:$B$165,0)),""),"")</f>
        <v/>
      </c>
      <c r="V1900" s="361"/>
      <c r="W1900" s="345"/>
      <c r="X1900" s="329" t="str">
        <f t="shared" si="231"/>
        <v>3H</v>
      </c>
      <c r="Y1900" s="1128" t="s">
        <v>3380</v>
      </c>
      <c r="Z1900" s="1128" t="s">
        <v>3381</v>
      </c>
      <c r="AA1900" s="1128" t="s">
        <v>3384</v>
      </c>
      <c r="AB1900" s="20"/>
      <c r="AC1900" s="73"/>
    </row>
    <row r="1901" spans="1:29">
      <c r="A1901" s="327" t="str">
        <f>IF(AND($B1901&lt;&gt;"",$C1901&lt;&gt;""),MAX($A$1556:A1900)+1,"")</f>
        <v/>
      </c>
      <c r="B1901" s="361" t="s">
        <v>1986</v>
      </c>
      <c r="C1901" s="360"/>
      <c r="D1901" s="327">
        <f>IF($B1901="","",COUNTIF($B$6:$B1901,$B1901))</f>
        <v>12</v>
      </c>
      <c r="E1901" s="374" t="s">
        <v>96</v>
      </c>
      <c r="F1901" s="375" t="s">
        <v>259</v>
      </c>
      <c r="G1901" s="377" t="s">
        <v>155</v>
      </c>
      <c r="H1901" s="327"/>
      <c r="I1901" s="377">
        <v>1</v>
      </c>
      <c r="J1901" s="374"/>
      <c r="K1901" s="377"/>
      <c r="L1901" s="412">
        <v>32000</v>
      </c>
      <c r="M1901" s="371"/>
      <c r="N1901" s="355" t="str">
        <f t="shared" si="233"/>
        <v>PK</v>
      </c>
      <c r="O1901" s="345"/>
      <c r="P1901" s="392"/>
      <c r="Q1901" s="327"/>
      <c r="R1901" s="351"/>
      <c r="S1901" s="351"/>
      <c r="T1901" s="351"/>
      <c r="U1901" s="329" t="str">
        <f>IF($N1901=$N$4,IFERROR(INDEX(DanhMuc!$E$154:$E$165,MATCH(MID($B1901,4,2),DanhMuc!$B$154:$B$165,0)),""),"")</f>
        <v/>
      </c>
      <c r="V1901" s="361"/>
      <c r="W1901" s="345"/>
      <c r="X1901" s="329" t="str">
        <f t="shared" si="231"/>
        <v>3H</v>
      </c>
      <c r="Y1901" s="1128" t="s">
        <v>3380</v>
      </c>
      <c r="Z1901" s="1128" t="s">
        <v>3381</v>
      </c>
      <c r="AA1901" s="1128" t="s">
        <v>3384</v>
      </c>
      <c r="AB1901" s="20"/>
      <c r="AC1901" s="73"/>
    </row>
    <row r="1902" spans="1:29">
      <c r="A1902" s="327" t="str">
        <f>IF(AND($B1902&lt;&gt;"",$C1902&lt;&gt;""),MAX($A$1556:A1901)+1,"")</f>
        <v/>
      </c>
      <c r="B1902" s="361" t="s">
        <v>1986</v>
      </c>
      <c r="C1902" s="360"/>
      <c r="D1902" s="327">
        <f>IF($B1902="","",COUNTIF($B$6:$B1902,$B1902))</f>
        <v>13</v>
      </c>
      <c r="E1902" s="374" t="s">
        <v>364</v>
      </c>
      <c r="F1902" s="375" t="s">
        <v>365</v>
      </c>
      <c r="G1902" s="377" t="s">
        <v>155</v>
      </c>
      <c r="H1902" s="327"/>
      <c r="I1902" s="377">
        <v>2</v>
      </c>
      <c r="J1902" s="374"/>
      <c r="K1902" s="377"/>
      <c r="L1902" s="412">
        <v>10000</v>
      </c>
      <c r="M1902" s="371"/>
      <c r="N1902" s="355" t="str">
        <f t="shared" si="233"/>
        <v>PK</v>
      </c>
      <c r="O1902" s="345"/>
      <c r="P1902" s="392"/>
      <c r="Q1902" s="327"/>
      <c r="R1902" s="351"/>
      <c r="S1902" s="351"/>
      <c r="T1902" s="351"/>
      <c r="U1902" s="329" t="str">
        <f>IF($N1902=$N$4,IFERROR(INDEX(DanhMuc!$E$154:$E$165,MATCH(MID($B1902,4,2),DanhMuc!$B$154:$B$165,0)),""),"")</f>
        <v/>
      </c>
      <c r="V1902" s="361"/>
      <c r="W1902" s="345"/>
      <c r="X1902" s="329" t="str">
        <f t="shared" si="231"/>
        <v>3H</v>
      </c>
      <c r="Y1902" s="1128" t="s">
        <v>3380</v>
      </c>
      <c r="Z1902" s="1128" t="s">
        <v>3381</v>
      </c>
      <c r="AA1902" s="1128" t="s">
        <v>3384</v>
      </c>
      <c r="AB1902" s="20"/>
      <c r="AC1902" s="73"/>
    </row>
    <row r="1903" spans="1:29">
      <c r="A1903" s="327" t="str">
        <f>IF(AND($B1903&lt;&gt;"",$C1903&lt;&gt;""),MAX($A$1556:A1902)+1,"")</f>
        <v/>
      </c>
      <c r="B1903" s="361" t="s">
        <v>1986</v>
      </c>
      <c r="C1903" s="360"/>
      <c r="D1903" s="327">
        <f>IF($B1903="","",COUNTIF($B$6:$B1903,$B1903))</f>
        <v>14</v>
      </c>
      <c r="E1903" s="402" t="s">
        <v>2284</v>
      </c>
      <c r="F1903" s="403" t="s">
        <v>197</v>
      </c>
      <c r="G1903" s="327" t="s">
        <v>155</v>
      </c>
      <c r="H1903" s="327" t="s">
        <v>536</v>
      </c>
      <c r="I1903" s="327">
        <v>1</v>
      </c>
      <c r="J1903" s="345"/>
      <c r="K1903" s="327"/>
      <c r="L1903" s="389">
        <v>135000</v>
      </c>
      <c r="M1903" s="371"/>
      <c r="N1903" s="355" t="str">
        <f t="shared" si="233"/>
        <v>PK</v>
      </c>
      <c r="O1903" s="345" t="s">
        <v>1626</v>
      </c>
      <c r="P1903" s="392"/>
      <c r="Q1903" s="327"/>
      <c r="R1903" s="351"/>
      <c r="S1903" s="351"/>
      <c r="T1903" s="351"/>
      <c r="U1903" s="329" t="str">
        <f>IF($N1903=$N$4,IFERROR(INDEX(DanhMuc!$E$154:$E$165,MATCH(MID($B1903,4,2),DanhMuc!$B$154:$B$165,0)),""),"")</f>
        <v/>
      </c>
      <c r="V1903" s="361"/>
      <c r="W1903" s="345"/>
      <c r="X1903" s="329" t="str">
        <f t="shared" si="231"/>
        <v>3H</v>
      </c>
      <c r="Y1903" s="1128" t="s">
        <v>3380</v>
      </c>
      <c r="Z1903" s="1128" t="s">
        <v>3381</v>
      </c>
      <c r="AA1903" s="1128" t="s">
        <v>3384</v>
      </c>
      <c r="AB1903" s="20"/>
      <c r="AC1903" s="73"/>
    </row>
    <row r="1904" spans="1:29">
      <c r="A1904" s="327" t="str">
        <f>IF(AND($B1904&lt;&gt;"",$C1904&lt;&gt;""),MAX($A$1556:A1903)+1,"")</f>
        <v/>
      </c>
      <c r="B1904" s="361" t="s">
        <v>1986</v>
      </c>
      <c r="C1904" s="360"/>
      <c r="D1904" s="327">
        <f>IF($B1904="","",COUNTIF($B$6:$B1904,$B1904))</f>
        <v>15</v>
      </c>
      <c r="E1904" s="402" t="s">
        <v>2284</v>
      </c>
      <c r="F1904" s="403" t="s">
        <v>197</v>
      </c>
      <c r="G1904" s="327" t="s">
        <v>155</v>
      </c>
      <c r="H1904" s="327" t="s">
        <v>536</v>
      </c>
      <c r="I1904" s="327">
        <v>1</v>
      </c>
      <c r="J1904" s="345"/>
      <c r="K1904" s="327"/>
      <c r="L1904" s="389">
        <v>135000</v>
      </c>
      <c r="M1904" s="371"/>
      <c r="N1904" s="355" t="str">
        <f t="shared" si="233"/>
        <v>PK</v>
      </c>
      <c r="O1904" s="345" t="s">
        <v>2722</v>
      </c>
      <c r="P1904" s="392"/>
      <c r="Q1904" s="327"/>
      <c r="R1904" s="351"/>
      <c r="S1904" s="351"/>
      <c r="T1904" s="351"/>
      <c r="U1904" s="329" t="str">
        <f>IF($N1904=$N$4,IFERROR(INDEX(DanhMuc!$E$154:$E$165,MATCH(MID($B1904,4,2),DanhMuc!$B$154:$B$165,0)),""),"")</f>
        <v/>
      </c>
      <c r="V1904" s="361"/>
      <c r="W1904" s="345"/>
      <c r="X1904" s="329" t="str">
        <f t="shared" si="231"/>
        <v>3H</v>
      </c>
      <c r="Y1904" s="1128" t="s">
        <v>3380</v>
      </c>
      <c r="Z1904" s="1128" t="s">
        <v>3381</v>
      </c>
      <c r="AA1904" s="1128" t="s">
        <v>3384</v>
      </c>
      <c r="AB1904" s="20"/>
      <c r="AC1904" s="73"/>
    </row>
    <row r="1905" spans="1:29">
      <c r="A1905" s="327" t="str">
        <f>IF(AND($B1905&lt;&gt;"",$C1905&lt;&gt;""),MAX($A$1556:A1902)+1,"")</f>
        <v/>
      </c>
      <c r="B1905" s="361" t="s">
        <v>1986</v>
      </c>
      <c r="C1905" s="360"/>
      <c r="D1905" s="327">
        <f>IF($B1905="","",COUNTIF($B$6:$B1905,$B1905))</f>
        <v>16</v>
      </c>
      <c r="E1905" s="365" t="s">
        <v>327</v>
      </c>
      <c r="F1905" s="368" t="s">
        <v>345</v>
      </c>
      <c r="G1905" s="367" t="s">
        <v>690</v>
      </c>
      <c r="H1905" s="327" t="s">
        <v>536</v>
      </c>
      <c r="I1905" s="327">
        <v>1</v>
      </c>
      <c r="J1905" s="345" t="s">
        <v>634</v>
      </c>
      <c r="K1905" s="327"/>
      <c r="L1905" s="348">
        <f>+$S1905*$T1905*$L$37</f>
        <v>84651</v>
      </c>
      <c r="M1905" s="371"/>
      <c r="N1905" s="369" t="s">
        <v>150</v>
      </c>
      <c r="O1905" s="345" t="s">
        <v>2722</v>
      </c>
      <c r="P1905" s="392"/>
      <c r="Q1905" s="327"/>
      <c r="R1905" s="351">
        <v>2.5</v>
      </c>
      <c r="S1905" s="351">
        <v>5.8</v>
      </c>
      <c r="T1905" s="351">
        <v>0.13900000000000001</v>
      </c>
      <c r="U1905" s="329">
        <f>IF($N1905=$N$4,IFERROR(INDEX(DanhMuc!$E$154:$E$165,MATCH(MID($B1905,4,2),DanhMuc!$B$154:$B$165,0)),""),"")</f>
        <v>5800</v>
      </c>
      <c r="V1905" s="361"/>
      <c r="W1905" s="345"/>
      <c r="X1905" s="329" t="str">
        <f t="shared" si="231"/>
        <v>C459</v>
      </c>
      <c r="Y1905" s="1128" t="s">
        <v>3380</v>
      </c>
      <c r="Z1905" s="1128" t="s">
        <v>3381</v>
      </c>
      <c r="AA1905" s="1128" t="s">
        <v>3384</v>
      </c>
      <c r="AB1905" s="20"/>
      <c r="AC1905" s="73"/>
    </row>
    <row r="1906" spans="1:29">
      <c r="A1906" s="327" t="str">
        <f>IF(AND($B1906&lt;&gt;"",$C1906&lt;&gt;""),MAX($A$1556:A1903)+1,"")</f>
        <v/>
      </c>
      <c r="B1906" s="361" t="s">
        <v>1986</v>
      </c>
      <c r="C1906" s="360"/>
      <c r="D1906" s="327">
        <f>IF($B1906="","",COUNTIF($B$6:$B1906,$B1906))</f>
        <v>17</v>
      </c>
      <c r="E1906" s="402" t="s">
        <v>20</v>
      </c>
      <c r="F1906" s="403" t="s">
        <v>79</v>
      </c>
      <c r="G1906" s="327" t="s">
        <v>155</v>
      </c>
      <c r="H1906" s="327" t="s">
        <v>536</v>
      </c>
      <c r="I1906" s="327">
        <v>1</v>
      </c>
      <c r="J1906" s="345"/>
      <c r="K1906" s="327"/>
      <c r="L1906" s="389">
        <v>185000</v>
      </c>
      <c r="M1906" s="371"/>
      <c r="N1906" s="355" t="str">
        <f>+$N$1555</f>
        <v>PK</v>
      </c>
      <c r="O1906" s="404" t="s">
        <v>2721</v>
      </c>
      <c r="P1906" s="392"/>
      <c r="Q1906" s="327"/>
      <c r="R1906" s="351"/>
      <c r="S1906" s="351"/>
      <c r="T1906" s="351"/>
      <c r="U1906" s="329" t="str">
        <f>IF($N1906=$N$4,IFERROR(INDEX(DanhMuc!$E$154:$E$165,MATCH(MID($B1906,4,2),DanhMuc!$B$154:$B$165,0)),""),"")</f>
        <v/>
      </c>
      <c r="V1906" s="361"/>
      <c r="W1906" s="345"/>
      <c r="X1906" s="329" t="str">
        <f t="shared" si="231"/>
        <v>3H</v>
      </c>
      <c r="Y1906" s="1128" t="s">
        <v>3380</v>
      </c>
      <c r="Z1906" s="1128" t="s">
        <v>3381</v>
      </c>
      <c r="AA1906" s="1128" t="s">
        <v>3384</v>
      </c>
      <c r="AB1906" s="20"/>
      <c r="AC1906" s="73"/>
    </row>
    <row r="1907" spans="1:29">
      <c r="A1907" s="327" t="str">
        <f>IF(AND($B1907&lt;&gt;"",$C1907&lt;&gt;""),MAX($A$1556:A1906)+1,"")</f>
        <v/>
      </c>
      <c r="B1907" s="361" t="s">
        <v>1986</v>
      </c>
      <c r="C1907" s="360"/>
      <c r="D1907" s="327">
        <f>IF($B1907="","",COUNTIF($B$6:$B1907,$B1907))</f>
        <v>18</v>
      </c>
      <c r="E1907" s="361" t="s">
        <v>673</v>
      </c>
      <c r="F1907" s="362" t="s">
        <v>1075</v>
      </c>
      <c r="G1907" s="327" t="s">
        <v>155</v>
      </c>
      <c r="H1907" s="327" t="s">
        <v>536</v>
      </c>
      <c r="I1907" s="327">
        <v>2</v>
      </c>
      <c r="J1907" s="345"/>
      <c r="K1907" s="327"/>
      <c r="L1907" s="389">
        <v>17000</v>
      </c>
      <c r="M1907" s="371"/>
      <c r="N1907" s="355" t="str">
        <f>+$N$1555</f>
        <v>PK</v>
      </c>
      <c r="O1907" s="404" t="s">
        <v>2721</v>
      </c>
      <c r="P1907" s="392"/>
      <c r="Q1907" s="327"/>
      <c r="R1907" s="351"/>
      <c r="S1907" s="351"/>
      <c r="T1907" s="351"/>
      <c r="U1907" s="329" t="str">
        <f>IF($N1907=$N$4,IFERROR(INDEX(DanhMuc!$E$154:$E$165,MATCH(MID($B1907,4,2),DanhMuc!$B$154:$B$165,0)),""),"")</f>
        <v/>
      </c>
      <c r="V1907" s="361"/>
      <c r="W1907" s="345"/>
      <c r="X1907" s="329" t="str">
        <f t="shared" si="231"/>
        <v>3H</v>
      </c>
      <c r="Y1907" s="1128" t="s">
        <v>3380</v>
      </c>
      <c r="Z1907" s="1128" t="s">
        <v>3381</v>
      </c>
      <c r="AA1907" s="1128" t="s">
        <v>3384</v>
      </c>
      <c r="AB1907" s="20"/>
      <c r="AC1907" s="73"/>
    </row>
    <row r="1908" spans="1:29">
      <c r="A1908" s="327" t="str">
        <f>IF(AND($B1908&lt;&gt;"",$C1908&lt;&gt;""),MAX($A$1556:A1907)+1,"")</f>
        <v/>
      </c>
      <c r="B1908" s="361" t="s">
        <v>1986</v>
      </c>
      <c r="C1908" s="360"/>
      <c r="D1908" s="327">
        <f>IF($B1908="","",COUNTIF($B$6:$B1908,$B1908))</f>
        <v>19</v>
      </c>
      <c r="E1908" s="402" t="s">
        <v>91</v>
      </c>
      <c r="F1908" s="403" t="s">
        <v>92</v>
      </c>
      <c r="G1908" s="327" t="s">
        <v>155</v>
      </c>
      <c r="H1908" s="327" t="s">
        <v>536</v>
      </c>
      <c r="I1908" s="327">
        <v>2</v>
      </c>
      <c r="J1908" s="345"/>
      <c r="K1908" s="327"/>
      <c r="L1908" s="389">
        <v>6500</v>
      </c>
      <c r="M1908" s="371"/>
      <c r="N1908" s="355" t="str">
        <f>+$N$1555</f>
        <v>PK</v>
      </c>
      <c r="O1908" s="404" t="s">
        <v>2721</v>
      </c>
      <c r="P1908" s="392"/>
      <c r="Q1908" s="327"/>
      <c r="R1908" s="351"/>
      <c r="S1908" s="351"/>
      <c r="T1908" s="351"/>
      <c r="U1908" s="329" t="str">
        <f>IF($N1908=$N$4,IFERROR(INDEX(DanhMuc!$E$154:$E$165,MATCH(MID($B1908,4,2),DanhMuc!$B$154:$B$165,0)),""),"")</f>
        <v/>
      </c>
      <c r="V1908" s="361"/>
      <c r="W1908" s="345"/>
      <c r="X1908" s="329" t="str">
        <f t="shared" si="231"/>
        <v>3H</v>
      </c>
      <c r="Y1908" s="1128" t="s">
        <v>3380</v>
      </c>
      <c r="Z1908" s="1128" t="s">
        <v>3381</v>
      </c>
      <c r="AA1908" s="1128" t="s">
        <v>3384</v>
      </c>
      <c r="AB1908" s="20"/>
      <c r="AC1908" s="73"/>
    </row>
    <row r="1909" spans="1:29">
      <c r="A1909" s="327" t="str">
        <f>IF(AND($B1909&lt;&gt;"",$C1909&lt;&gt;""),MAX($A$1556:A1907)+1,"")</f>
        <v/>
      </c>
      <c r="B1909" s="361" t="s">
        <v>1986</v>
      </c>
      <c r="C1909" s="360"/>
      <c r="D1909" s="327">
        <f>IF($B1909="","",COUNTIF($B$6:$B1909,$B1909))</f>
        <v>20</v>
      </c>
      <c r="E1909" s="365" t="s">
        <v>327</v>
      </c>
      <c r="F1909" s="368" t="s">
        <v>345</v>
      </c>
      <c r="G1909" s="367" t="s">
        <v>690</v>
      </c>
      <c r="H1909" s="327" t="s">
        <v>536</v>
      </c>
      <c r="I1909" s="327">
        <v>1</v>
      </c>
      <c r="J1909" s="345" t="s">
        <v>634</v>
      </c>
      <c r="K1909" s="327"/>
      <c r="L1909" s="348">
        <f>+$S1909*$T1909*$L$37</f>
        <v>84651</v>
      </c>
      <c r="M1909" s="371"/>
      <c r="N1909" s="369" t="s">
        <v>150</v>
      </c>
      <c r="O1909" s="404" t="s">
        <v>2721</v>
      </c>
      <c r="P1909" s="392"/>
      <c r="Q1909" s="327"/>
      <c r="R1909" s="351">
        <v>2.5</v>
      </c>
      <c r="S1909" s="351">
        <v>5.8</v>
      </c>
      <c r="T1909" s="351">
        <v>0.13900000000000001</v>
      </c>
      <c r="U1909" s="329">
        <f>IF($N1909=$N$4,IFERROR(INDEX(DanhMuc!$E$154:$E$165,MATCH(MID($B1909,4,2),DanhMuc!$B$154:$B$165,0)),""),"")</f>
        <v>5800</v>
      </c>
      <c r="V1909" s="361"/>
      <c r="W1909" s="345"/>
      <c r="X1909" s="329" t="str">
        <f t="shared" si="231"/>
        <v>C459</v>
      </c>
      <c r="Y1909" s="1128" t="s">
        <v>3380</v>
      </c>
      <c r="Z1909" s="1128" t="s">
        <v>3381</v>
      </c>
      <c r="AA1909" s="1128" t="s">
        <v>3384</v>
      </c>
      <c r="AB1909" s="20"/>
      <c r="AC1909" s="73"/>
    </row>
    <row r="1910" spans="1:29">
      <c r="A1910" s="327" t="str">
        <f>IF(AND($B1910&lt;&gt;"",$C1910&lt;&gt;""),MAX($A$1556:A1903)+1,"")</f>
        <v/>
      </c>
      <c r="B1910" s="361" t="s">
        <v>1986</v>
      </c>
      <c r="C1910" s="360"/>
      <c r="D1910" s="327">
        <f>IF($B1910="","",COUNTIF($B$6:$B1910,$B1910))</f>
        <v>21</v>
      </c>
      <c r="E1910" s="399" t="s">
        <v>198</v>
      </c>
      <c r="F1910" s="400" t="s">
        <v>322</v>
      </c>
      <c r="G1910" s="327" t="s">
        <v>155</v>
      </c>
      <c r="H1910" s="327" t="s">
        <v>536</v>
      </c>
      <c r="I1910" s="327">
        <v>1</v>
      </c>
      <c r="J1910" s="345"/>
      <c r="K1910" s="327"/>
      <c r="L1910" s="389">
        <v>140000</v>
      </c>
      <c r="M1910" s="371"/>
      <c r="N1910" s="355" t="str">
        <f t="shared" ref="N1910:N1926" si="234">+$N$1555</f>
        <v>PK</v>
      </c>
      <c r="O1910" s="345" t="s">
        <v>2699</v>
      </c>
      <c r="P1910" s="392"/>
      <c r="Q1910" s="327"/>
      <c r="R1910" s="351"/>
      <c r="S1910" s="351"/>
      <c r="T1910" s="351"/>
      <c r="U1910" s="329" t="str">
        <f>IF($N1910=$N$4,IFERROR(INDEX(DanhMuc!$E$154:$E$165,MATCH(MID($B1910,4,2),DanhMuc!$B$154:$B$165,0)),""),"")</f>
        <v/>
      </c>
      <c r="V1910" s="361"/>
      <c r="W1910" s="345"/>
      <c r="X1910" s="329" t="str">
        <f t="shared" si="231"/>
        <v>3H</v>
      </c>
      <c r="Y1910" s="1128" t="s">
        <v>3380</v>
      </c>
      <c r="Z1910" s="1128" t="s">
        <v>3381</v>
      </c>
      <c r="AA1910" s="1128" t="s">
        <v>3384</v>
      </c>
      <c r="AB1910" s="20"/>
      <c r="AC1910" s="73"/>
    </row>
    <row r="1911" spans="1:29">
      <c r="A1911" s="327" t="str">
        <f>IF(AND($B1911&lt;&gt;"",$C1911&lt;&gt;""),MAX($A$1556:A1910)+1,"")</f>
        <v/>
      </c>
      <c r="B1911" s="361" t="s">
        <v>1986</v>
      </c>
      <c r="C1911" s="360"/>
      <c r="D1911" s="327">
        <f>IF($B1911="","",COUNTIF($B$6:$B1911,$B1911))</f>
        <v>22</v>
      </c>
      <c r="E1911" s="399" t="s">
        <v>2732</v>
      </c>
      <c r="F1911" s="400" t="s">
        <v>1208</v>
      </c>
      <c r="G1911" s="327" t="s">
        <v>155</v>
      </c>
      <c r="H1911" s="327" t="s">
        <v>536</v>
      </c>
      <c r="I1911" s="327">
        <v>1</v>
      </c>
      <c r="J1911" s="345"/>
      <c r="K1911" s="327"/>
      <c r="L1911" s="389">
        <v>140000</v>
      </c>
      <c r="M1911" s="371"/>
      <c r="N1911" s="355" t="str">
        <f t="shared" si="234"/>
        <v>PK</v>
      </c>
      <c r="O1911" s="345" t="s">
        <v>1060</v>
      </c>
      <c r="P1911" s="392"/>
      <c r="Q1911" s="327"/>
      <c r="R1911" s="351"/>
      <c r="S1911" s="351"/>
      <c r="T1911" s="351"/>
      <c r="U1911" s="329" t="str">
        <f>IF($N1911=$N$4,IFERROR(INDEX(DanhMuc!$E$154:$E$165,MATCH(MID($B1911,4,2),DanhMuc!$B$154:$B$165,0)),""),"")</f>
        <v/>
      </c>
      <c r="V1911" s="361"/>
      <c r="W1911" s="345"/>
      <c r="X1911" s="329" t="str">
        <f t="shared" si="231"/>
        <v>3H</v>
      </c>
      <c r="Y1911" s="1128" t="s">
        <v>3380</v>
      </c>
      <c r="Z1911" s="1128" t="s">
        <v>3381</v>
      </c>
      <c r="AA1911" s="1128" t="s">
        <v>3384</v>
      </c>
      <c r="AB1911" s="20"/>
      <c r="AC1911" s="73"/>
    </row>
    <row r="1912" spans="1:29">
      <c r="A1912" s="327" t="str">
        <f>IF(AND($B1912&lt;&gt;"",$C1912&lt;&gt;""),MAX($A$1556:A1911)+1,"")</f>
        <v/>
      </c>
      <c r="B1912" s="361" t="s">
        <v>1986</v>
      </c>
      <c r="C1912" s="360"/>
      <c r="D1912" s="327">
        <f>IF($B1912="","",COUNTIF($B$6:$B1912,$B1912))</f>
        <v>23</v>
      </c>
      <c r="E1912" s="361" t="s">
        <v>87</v>
      </c>
      <c r="F1912" s="362" t="s">
        <v>196</v>
      </c>
      <c r="G1912" s="351" t="s">
        <v>155</v>
      </c>
      <c r="H1912" s="327"/>
      <c r="I1912" s="327">
        <v>1</v>
      </c>
      <c r="J1912" s="361"/>
      <c r="K1912" s="327"/>
      <c r="L1912" s="389">
        <v>135000</v>
      </c>
      <c r="M1912" s="371"/>
      <c r="N1912" s="355" t="str">
        <f t="shared" si="234"/>
        <v>PK</v>
      </c>
      <c r="O1912" s="404"/>
      <c r="P1912" s="392"/>
      <c r="Q1912" s="327"/>
      <c r="R1912" s="351"/>
      <c r="S1912" s="351"/>
      <c r="T1912" s="351"/>
      <c r="U1912" s="329" t="str">
        <f>IF($N1912=$N$4,IFERROR(INDEX(DanhMuc!$E$154:$E$165,MATCH(MID($B1912,4,2),DanhMuc!$B$154:$B$165,0)),""),"")</f>
        <v/>
      </c>
      <c r="V1912" s="361"/>
      <c r="W1912" s="345"/>
      <c r="X1912" s="329" t="str">
        <f t="shared" si="231"/>
        <v>3H</v>
      </c>
      <c r="Y1912" s="1128" t="s">
        <v>3380</v>
      </c>
      <c r="Z1912" s="1128" t="s">
        <v>3381</v>
      </c>
      <c r="AA1912" s="1128" t="s">
        <v>3384</v>
      </c>
      <c r="AB1912" s="20"/>
      <c r="AC1912" s="73"/>
    </row>
    <row r="1913" spans="1:29">
      <c r="A1913" s="327" t="str">
        <f>IF(AND($B1913&lt;&gt;"",$C1913&lt;&gt;""),MAX($A$1556:A1912)+1,"")</f>
        <v/>
      </c>
      <c r="B1913" s="361" t="s">
        <v>1986</v>
      </c>
      <c r="C1913" s="360"/>
      <c r="D1913" s="327">
        <f>IF($B1913="","",COUNTIF($B$6:$B1913,$B1913))</f>
        <v>24</v>
      </c>
      <c r="E1913" s="361" t="s">
        <v>199</v>
      </c>
      <c r="F1913" s="362" t="s">
        <v>200</v>
      </c>
      <c r="G1913" s="327" t="s">
        <v>155</v>
      </c>
      <c r="H1913" s="327" t="s">
        <v>536</v>
      </c>
      <c r="I1913" s="327">
        <v>1</v>
      </c>
      <c r="J1913" s="361"/>
      <c r="K1913" s="327"/>
      <c r="L1913" s="389">
        <v>28000</v>
      </c>
      <c r="M1913" s="371"/>
      <c r="N1913" s="355" t="str">
        <f t="shared" si="234"/>
        <v>PK</v>
      </c>
      <c r="O1913" s="414"/>
      <c r="P1913" s="392"/>
      <c r="Q1913" s="327"/>
      <c r="R1913" s="351"/>
      <c r="S1913" s="351"/>
      <c r="T1913" s="351"/>
      <c r="U1913" s="329" t="str">
        <f>IF($N1913=$N$4,IFERROR(INDEX(DanhMuc!$E$154:$E$165,MATCH(MID($B1913,4,2),DanhMuc!$B$154:$B$165,0)),""),"")</f>
        <v/>
      </c>
      <c r="V1913" s="361"/>
      <c r="W1913" s="345"/>
      <c r="X1913" s="329" t="str">
        <f t="shared" si="231"/>
        <v>3H</v>
      </c>
      <c r="Y1913" s="1128" t="s">
        <v>3380</v>
      </c>
      <c r="Z1913" s="1128" t="s">
        <v>3381</v>
      </c>
      <c r="AA1913" s="1128" t="s">
        <v>3384</v>
      </c>
      <c r="AB1913" s="20"/>
      <c r="AC1913" s="73"/>
    </row>
    <row r="1914" spans="1:29">
      <c r="A1914" s="327" t="str">
        <f>IF(AND($B1914&lt;&gt;"",$C1914&lt;&gt;""),MAX($A$1556:A1912)+1,"")</f>
        <v/>
      </c>
      <c r="B1914" s="361" t="s">
        <v>1986</v>
      </c>
      <c r="C1914" s="360"/>
      <c r="D1914" s="327">
        <f>IF($B1914="","",COUNTIF($B$6:$B1914,$B1914))</f>
        <v>25</v>
      </c>
      <c r="E1914" s="361" t="s">
        <v>1444</v>
      </c>
      <c r="F1914" s="362" t="s">
        <v>2356</v>
      </c>
      <c r="G1914" s="327" t="s">
        <v>297</v>
      </c>
      <c r="H1914" s="327"/>
      <c r="I1914" s="327">
        <v>2</v>
      </c>
      <c r="J1914" s="345"/>
      <c r="K1914" s="327"/>
      <c r="L1914" s="389">
        <v>17000</v>
      </c>
      <c r="M1914" s="371"/>
      <c r="N1914" s="355" t="str">
        <f t="shared" si="234"/>
        <v>PK</v>
      </c>
      <c r="O1914" s="347"/>
      <c r="P1914" s="392"/>
      <c r="Q1914" s="327"/>
      <c r="R1914" s="351"/>
      <c r="S1914" s="351"/>
      <c r="T1914" s="351"/>
      <c r="U1914" s="329" t="str">
        <f>IF($N1914=$N$4,IFERROR(INDEX(DanhMuc!$E$154:$E$165,MATCH(MID($B1914,4,2),DanhMuc!$B$154:$B$165,0)),""),"")</f>
        <v/>
      </c>
      <c r="V1914" s="408" t="s">
        <v>343</v>
      </c>
      <c r="W1914" s="345"/>
      <c r="X1914" s="329" t="str">
        <f t="shared" si="231"/>
        <v>3H</v>
      </c>
      <c r="Y1914" s="1128" t="s">
        <v>3380</v>
      </c>
      <c r="Z1914" s="1128" t="s">
        <v>3381</v>
      </c>
      <c r="AA1914" s="1128" t="s">
        <v>3384</v>
      </c>
      <c r="AB1914" s="20"/>
      <c r="AC1914" s="73"/>
    </row>
    <row r="1915" spans="1:29" ht="39">
      <c r="A1915" s="327">
        <f>IF(AND($B1915&lt;&gt;"",$C1915&lt;&gt;""),MAX($A$1556:A1913)+1,"")</f>
        <v>10</v>
      </c>
      <c r="B1915" s="359" t="s">
        <v>1987</v>
      </c>
      <c r="C1915" s="360" t="s">
        <v>2086</v>
      </c>
      <c r="D1915" s="327">
        <f>IF($B1915="","",COUNTIF($B$6:$B1915,$B1915))</f>
        <v>1</v>
      </c>
      <c r="E1915" s="363" t="s">
        <v>191</v>
      </c>
      <c r="F1915" s="362" t="s">
        <v>207</v>
      </c>
      <c r="G1915" s="327" t="s">
        <v>155</v>
      </c>
      <c r="H1915" s="327"/>
      <c r="I1915" s="327">
        <v>2</v>
      </c>
      <c r="J1915" s="361"/>
      <c r="K1915" s="327"/>
      <c r="L1915" s="389">
        <v>236000</v>
      </c>
      <c r="M1915" s="371"/>
      <c r="N1915" s="355" t="str">
        <f t="shared" si="234"/>
        <v>PK</v>
      </c>
      <c r="O1915" s="345"/>
      <c r="P1915" s="392"/>
      <c r="Q1915" s="327"/>
      <c r="R1915" s="351"/>
      <c r="S1915" s="351"/>
      <c r="T1915" s="351"/>
      <c r="U1915" s="329" t="str">
        <f>IF($N1915=$N$4,IFERROR(INDEX(DanhMuc!$E$154:$E$165,MATCH(MID($B1915,4,2),DanhMuc!$B$154:$B$165,0)),""),"")</f>
        <v/>
      </c>
      <c r="V1915" s="361"/>
      <c r="W1915" s="345"/>
      <c r="X1915" s="329" t="str">
        <f t="shared" si="231"/>
        <v>3H</v>
      </c>
      <c r="Y1915" s="1128" t="s">
        <v>3380</v>
      </c>
      <c r="Z1915" s="1128" t="s">
        <v>3381</v>
      </c>
      <c r="AA1915" s="1128" t="s">
        <v>3384</v>
      </c>
      <c r="AB1915" s="20"/>
      <c r="AC1915" s="73"/>
    </row>
    <row r="1916" spans="1:29" ht="25">
      <c r="A1916" s="327" t="str">
        <f>IF(AND($B1916&lt;&gt;"",$C1916&lt;&gt;""),MAX($A$1556:A1915)+1,"")</f>
        <v/>
      </c>
      <c r="B1916" s="361" t="s">
        <v>1987</v>
      </c>
      <c r="C1916" s="360"/>
      <c r="D1916" s="327">
        <f>IF($B1916="","",COUNTIF($B$6:$B1916,$B1916))</f>
        <v>2</v>
      </c>
      <c r="E1916" s="361" t="s">
        <v>192</v>
      </c>
      <c r="F1916" s="362" t="s">
        <v>208</v>
      </c>
      <c r="G1916" s="327" t="s">
        <v>155</v>
      </c>
      <c r="H1916" s="327"/>
      <c r="I1916" s="327">
        <v>2</v>
      </c>
      <c r="J1916" s="361"/>
      <c r="K1916" s="327"/>
      <c r="L1916" s="389">
        <v>195000</v>
      </c>
      <c r="M1916" s="371"/>
      <c r="N1916" s="355" t="str">
        <f t="shared" si="234"/>
        <v>PK</v>
      </c>
      <c r="O1916" s="345"/>
      <c r="P1916" s="392"/>
      <c r="Q1916" s="327"/>
      <c r="R1916" s="351"/>
      <c r="S1916" s="351"/>
      <c r="T1916" s="351"/>
      <c r="U1916" s="329" t="str">
        <f>IF($N1916=$N$4,IFERROR(INDEX(DanhMuc!$E$154:$E$165,MATCH(MID($B1916,4,2),DanhMuc!$B$154:$B$165,0)),""),"")</f>
        <v/>
      </c>
      <c r="V1916" s="361"/>
      <c r="W1916" s="345"/>
      <c r="X1916" s="329" t="str">
        <f t="shared" si="231"/>
        <v>3H</v>
      </c>
      <c r="Y1916" s="1128" t="s">
        <v>3380</v>
      </c>
      <c r="Z1916" s="1128" t="s">
        <v>3381</v>
      </c>
      <c r="AA1916" s="1128" t="s">
        <v>3384</v>
      </c>
      <c r="AB1916" s="20"/>
      <c r="AC1916" s="73"/>
    </row>
    <row r="1917" spans="1:29" s="73" customFormat="1">
      <c r="A1917" s="327" t="str">
        <f>IF(AND($B1917&lt;&gt;"",$C1917&lt;&gt;""),MAX($A$1556:A1916)+1,"")</f>
        <v/>
      </c>
      <c r="B1917" s="361" t="s">
        <v>1987</v>
      </c>
      <c r="C1917" s="346"/>
      <c r="D1917" s="327">
        <f>IF($B1917="","",COUNTIF($B$6:$B1917,$B1917))</f>
        <v>3</v>
      </c>
      <c r="E1917" s="361" t="s">
        <v>93</v>
      </c>
      <c r="F1917" s="362" t="s">
        <v>193</v>
      </c>
      <c r="G1917" s="342" t="s">
        <v>155</v>
      </c>
      <c r="H1917" s="327"/>
      <c r="I1917" s="327">
        <v>9</v>
      </c>
      <c r="J1917" s="359"/>
      <c r="K1917" s="127"/>
      <c r="L1917" s="389">
        <v>77000</v>
      </c>
      <c r="M1917" s="371"/>
      <c r="N1917" s="355" t="str">
        <f t="shared" si="234"/>
        <v>PK</v>
      </c>
      <c r="O1917" s="345"/>
      <c r="P1917" s="392"/>
      <c r="Q1917" s="327"/>
      <c r="R1917" s="351"/>
      <c r="S1917" s="351"/>
      <c r="T1917" s="351"/>
      <c r="U1917" s="329" t="str">
        <f>IF($N1917=$N$4,IFERROR(INDEX(DanhMuc!$E$154:$E$165,MATCH(MID($B1917,4,2),DanhMuc!$B$154:$B$165,0)),""),"")</f>
        <v/>
      </c>
      <c r="V1917" s="328"/>
      <c r="W1917" s="345"/>
      <c r="X1917" s="329" t="str">
        <f t="shared" si="231"/>
        <v>3H</v>
      </c>
      <c r="Y1917" s="1128" t="s">
        <v>3380</v>
      </c>
      <c r="Z1917" s="1128" t="s">
        <v>3381</v>
      </c>
      <c r="AA1917" s="1128" t="s">
        <v>3384</v>
      </c>
      <c r="AB1917" s="20"/>
    </row>
    <row r="1918" spans="1:29" s="73" customFormat="1">
      <c r="A1918" s="327" t="str">
        <f>IF(AND($B1918&lt;&gt;"",$C1918&lt;&gt;""),MAX($A$1556:A1917)+1,"")</f>
        <v/>
      </c>
      <c r="B1918" s="361" t="s">
        <v>1987</v>
      </c>
      <c r="C1918" s="346"/>
      <c r="D1918" s="327">
        <f>IF($B1918="","",COUNTIF($B$6:$B1918,$B1918))</f>
        <v>4</v>
      </c>
      <c r="E1918" s="361" t="s">
        <v>93</v>
      </c>
      <c r="F1918" s="362" t="s">
        <v>193</v>
      </c>
      <c r="G1918" s="342" t="s">
        <v>155</v>
      </c>
      <c r="H1918" s="327"/>
      <c r="I1918" s="327">
        <v>2</v>
      </c>
      <c r="J1918" s="359"/>
      <c r="K1918" s="127"/>
      <c r="L1918" s="389">
        <v>77000</v>
      </c>
      <c r="M1918" s="371"/>
      <c r="N1918" s="355" t="str">
        <f t="shared" si="234"/>
        <v>PK</v>
      </c>
      <c r="O1918" s="345" t="s">
        <v>639</v>
      </c>
      <c r="P1918" s="392"/>
      <c r="Q1918" s="327"/>
      <c r="R1918" s="351"/>
      <c r="S1918" s="351"/>
      <c r="T1918" s="351"/>
      <c r="U1918" s="329" t="str">
        <f>IF($N1918=$N$4,IFERROR(INDEX(DanhMuc!$E$154:$E$165,MATCH(MID($B1918,4,2),DanhMuc!$B$154:$B$165,0)),""),"")</f>
        <v/>
      </c>
      <c r="V1918" s="328"/>
      <c r="W1918" s="345"/>
      <c r="X1918" s="329" t="str">
        <f t="shared" si="231"/>
        <v>3H</v>
      </c>
      <c r="Y1918" s="1128" t="s">
        <v>3380</v>
      </c>
      <c r="Z1918" s="1128" t="s">
        <v>3381</v>
      </c>
      <c r="AA1918" s="1128" t="s">
        <v>3384</v>
      </c>
      <c r="AB1918" s="20"/>
    </row>
    <row r="1919" spans="1:29" s="73" customFormat="1" ht="25">
      <c r="A1919" s="327" t="str">
        <f>IF(AND($B1919&lt;&gt;"",$C1919&lt;&gt;""),MAX($A$1556:A1917)+1,"")</f>
        <v/>
      </c>
      <c r="B1919" s="361" t="s">
        <v>1987</v>
      </c>
      <c r="C1919" s="346"/>
      <c r="D1919" s="327">
        <f>IF($B1919="","",COUNTIF($B$6:$B1919,$B1919))</f>
        <v>5</v>
      </c>
      <c r="E1919" s="361" t="s">
        <v>97</v>
      </c>
      <c r="F1919" s="362" t="s">
        <v>201</v>
      </c>
      <c r="G1919" s="342" t="s">
        <v>155</v>
      </c>
      <c r="H1919" s="327"/>
      <c r="I1919" s="327">
        <v>2</v>
      </c>
      <c r="J1919" s="359"/>
      <c r="K1919" s="127"/>
      <c r="L1919" s="389">
        <v>94000</v>
      </c>
      <c r="M1919" s="371"/>
      <c r="N1919" s="355" t="str">
        <f t="shared" si="234"/>
        <v>PK</v>
      </c>
      <c r="O1919" s="345"/>
      <c r="P1919" s="392"/>
      <c r="Q1919" s="327"/>
      <c r="R1919" s="351"/>
      <c r="S1919" s="351"/>
      <c r="T1919" s="351"/>
      <c r="U1919" s="329" t="str">
        <f>IF($N1919=$N$4,IFERROR(INDEX(DanhMuc!$E$154:$E$165,MATCH(MID($B1919,4,2),DanhMuc!$B$154:$B$165,0)),""),"")</f>
        <v/>
      </c>
      <c r="V1919" s="328"/>
      <c r="W1919" s="345"/>
      <c r="X1919" s="329" t="str">
        <f t="shared" si="231"/>
        <v>3H</v>
      </c>
      <c r="Y1919" s="1128" t="s">
        <v>3380</v>
      </c>
      <c r="Z1919" s="1128" t="s">
        <v>3381</v>
      </c>
      <c r="AA1919" s="1128" t="s">
        <v>3384</v>
      </c>
      <c r="AB1919" s="20"/>
    </row>
    <row r="1920" spans="1:29">
      <c r="A1920" s="327" t="str">
        <f>IF(AND($B1920&lt;&gt;"",$C1920&lt;&gt;""),MAX($A$1556:A1919)+1,"")</f>
        <v/>
      </c>
      <c r="B1920" s="361" t="s">
        <v>1987</v>
      </c>
      <c r="C1920" s="360"/>
      <c r="D1920" s="327">
        <f>IF($B1920="","",COUNTIF($B$6:$B1920,$B1920))</f>
        <v>6</v>
      </c>
      <c r="E1920" s="374" t="s">
        <v>194</v>
      </c>
      <c r="F1920" s="375" t="s">
        <v>190</v>
      </c>
      <c r="G1920" s="377" t="s">
        <v>155</v>
      </c>
      <c r="H1920" s="327" t="s">
        <v>536</v>
      </c>
      <c r="I1920" s="377">
        <v>2</v>
      </c>
      <c r="J1920" s="374"/>
      <c r="K1920" s="377"/>
      <c r="L1920" s="412">
        <v>76000</v>
      </c>
      <c r="M1920" s="371"/>
      <c r="N1920" s="355" t="str">
        <f t="shared" si="234"/>
        <v>PK</v>
      </c>
      <c r="O1920" s="345"/>
      <c r="P1920" s="392"/>
      <c r="Q1920" s="327"/>
      <c r="R1920" s="351"/>
      <c r="S1920" s="351"/>
      <c r="T1920" s="351"/>
      <c r="U1920" s="329" t="str">
        <f>IF($N1920=$N$4,IFERROR(INDEX(DanhMuc!$E$154:$E$165,MATCH(MID($B1920,4,2),DanhMuc!$B$154:$B$165,0)),""),"")</f>
        <v/>
      </c>
      <c r="V1920" s="361"/>
      <c r="W1920" s="345"/>
      <c r="X1920" s="329" t="str">
        <f t="shared" si="231"/>
        <v>3H</v>
      </c>
      <c r="Y1920" s="1128" t="s">
        <v>3380</v>
      </c>
      <c r="Z1920" s="1128" t="s">
        <v>3381</v>
      </c>
      <c r="AA1920" s="1128" t="s">
        <v>3384</v>
      </c>
      <c r="AB1920" s="20"/>
      <c r="AC1920" s="73"/>
    </row>
    <row r="1921" spans="1:29">
      <c r="A1921" s="327" t="str">
        <f>IF(AND($B1921&lt;&gt;"",$C1921&lt;&gt;""),MAX($A$1556:A1920)+1,"")</f>
        <v/>
      </c>
      <c r="B1921" s="361" t="s">
        <v>1987</v>
      </c>
      <c r="C1921" s="360"/>
      <c r="D1921" s="327">
        <f>IF($B1921="","",COUNTIF($B$6:$B1921,$B1921))</f>
        <v>7</v>
      </c>
      <c r="E1921" s="374" t="s">
        <v>94</v>
      </c>
      <c r="F1921" s="375" t="s">
        <v>195</v>
      </c>
      <c r="G1921" s="377" t="s">
        <v>155</v>
      </c>
      <c r="H1921" s="327"/>
      <c r="I1921" s="377">
        <v>2</v>
      </c>
      <c r="J1921" s="374"/>
      <c r="K1921" s="377"/>
      <c r="L1921" s="412">
        <v>76000</v>
      </c>
      <c r="M1921" s="371"/>
      <c r="N1921" s="355" t="str">
        <f t="shared" si="234"/>
        <v>PK</v>
      </c>
      <c r="O1921" s="345"/>
      <c r="P1921" s="392"/>
      <c r="Q1921" s="327"/>
      <c r="R1921" s="351"/>
      <c r="S1921" s="351"/>
      <c r="T1921" s="351"/>
      <c r="U1921" s="329" t="str">
        <f>IF($N1921=$N$4,IFERROR(INDEX(DanhMuc!$E$154:$E$165,MATCH(MID($B1921,4,2),DanhMuc!$B$154:$B$165,0)),""),"")</f>
        <v/>
      </c>
      <c r="V1921" s="361"/>
      <c r="W1921" s="345"/>
      <c r="X1921" s="329" t="str">
        <f t="shared" si="231"/>
        <v>3H</v>
      </c>
      <c r="Y1921" s="1128" t="s">
        <v>3380</v>
      </c>
      <c r="Z1921" s="1128" t="s">
        <v>3381</v>
      </c>
      <c r="AA1921" s="1128" t="s">
        <v>3384</v>
      </c>
      <c r="AB1921" s="20"/>
      <c r="AC1921" s="73"/>
    </row>
    <row r="1922" spans="1:29" ht="25">
      <c r="A1922" s="327" t="str">
        <f>IF(AND($B1922&lt;&gt;"",$C1922&lt;&gt;""),MAX($A$1556:A1921)+1,"")</f>
        <v/>
      </c>
      <c r="B1922" s="361" t="s">
        <v>1987</v>
      </c>
      <c r="C1922" s="360"/>
      <c r="D1922" s="327">
        <f>IF($B1922="","",COUNTIF($B$6:$B1922,$B1922))</f>
        <v>8</v>
      </c>
      <c r="E1922" s="374" t="s">
        <v>419</v>
      </c>
      <c r="F1922" s="375" t="s">
        <v>420</v>
      </c>
      <c r="G1922" s="377" t="s">
        <v>156</v>
      </c>
      <c r="H1922" s="327" t="s">
        <v>536</v>
      </c>
      <c r="I1922" s="413" t="s">
        <v>1365</v>
      </c>
      <c r="J1922" s="374"/>
      <c r="K1922" s="377"/>
      <c r="L1922" s="412">
        <v>70000</v>
      </c>
      <c r="M1922" s="371"/>
      <c r="N1922" s="355" t="str">
        <f t="shared" si="234"/>
        <v>PK</v>
      </c>
      <c r="O1922" s="345" t="s">
        <v>1626</v>
      </c>
      <c r="P1922" s="392"/>
      <c r="Q1922" s="327"/>
      <c r="R1922" s="351"/>
      <c r="S1922" s="351"/>
      <c r="T1922" s="351"/>
      <c r="U1922" s="329" t="str">
        <f>IF($N1922=$N$4,IFERROR(INDEX(DanhMuc!$E$154:$E$165,MATCH(MID($B1922,4,2),DanhMuc!$B$154:$B$165,0)),""),"")</f>
        <v/>
      </c>
      <c r="V1922" s="361"/>
      <c r="W1922" s="345"/>
      <c r="X1922" s="329" t="str">
        <f t="shared" si="231"/>
        <v>3H</v>
      </c>
      <c r="Y1922" s="1128" t="s">
        <v>3380</v>
      </c>
      <c r="Z1922" s="1128" t="s">
        <v>3381</v>
      </c>
      <c r="AA1922" s="1128" t="s">
        <v>3384</v>
      </c>
      <c r="AB1922" s="20"/>
      <c r="AC1922" s="73"/>
    </row>
    <row r="1923" spans="1:29" ht="25">
      <c r="A1923" s="327" t="str">
        <f>IF(AND($B1923&lt;&gt;"",$C1923&lt;&gt;""),MAX($A$1556:A1922)+1,"")</f>
        <v/>
      </c>
      <c r="B1923" s="361" t="s">
        <v>1987</v>
      </c>
      <c r="C1923" s="360"/>
      <c r="D1923" s="327">
        <f>IF($B1923="","",COUNTIF($B$6:$B1923,$B1923))</f>
        <v>9</v>
      </c>
      <c r="E1923" s="374" t="s">
        <v>406</v>
      </c>
      <c r="F1923" s="375" t="s">
        <v>407</v>
      </c>
      <c r="G1923" s="377" t="s">
        <v>156</v>
      </c>
      <c r="H1923" s="327" t="s">
        <v>536</v>
      </c>
      <c r="I1923" s="413" t="s">
        <v>1366</v>
      </c>
      <c r="J1923" s="374"/>
      <c r="K1923" s="377"/>
      <c r="L1923" s="412">
        <v>80000</v>
      </c>
      <c r="M1923" s="371"/>
      <c r="N1923" s="355" t="str">
        <f t="shared" si="234"/>
        <v>PK</v>
      </c>
      <c r="O1923" s="345" t="s">
        <v>1626</v>
      </c>
      <c r="P1923" s="392"/>
      <c r="Q1923" s="327"/>
      <c r="R1923" s="351"/>
      <c r="S1923" s="351"/>
      <c r="T1923" s="351"/>
      <c r="U1923" s="329" t="str">
        <f>IF($N1923=$N$4,IFERROR(INDEX(DanhMuc!$E$154:$E$165,MATCH(MID($B1923,4,2),DanhMuc!$B$154:$B$165,0)),""),"")</f>
        <v/>
      </c>
      <c r="V1923" s="361"/>
      <c r="W1923" s="345"/>
      <c r="X1923" s="329" t="str">
        <f t="shared" si="231"/>
        <v>3H</v>
      </c>
      <c r="Y1923" s="1128" t="s">
        <v>3380</v>
      </c>
      <c r="Z1923" s="1128" t="s">
        <v>3381</v>
      </c>
      <c r="AA1923" s="1128" t="s">
        <v>3384</v>
      </c>
      <c r="AB1923" s="20"/>
      <c r="AC1923" s="73"/>
    </row>
    <row r="1924" spans="1:29" ht="25">
      <c r="A1924" s="327" t="str">
        <f>IF(AND($B1924&lt;&gt;"",$C1924&lt;&gt;""),MAX($A$1556:A1923)+1,"")</f>
        <v/>
      </c>
      <c r="B1924" s="361" t="s">
        <v>1987</v>
      </c>
      <c r="C1924" s="360"/>
      <c r="D1924" s="327">
        <f>IF($B1924="","",COUNTIF($B$6:$B1924,$B1924))</f>
        <v>10</v>
      </c>
      <c r="E1924" s="374" t="s">
        <v>421</v>
      </c>
      <c r="F1924" s="375" t="s">
        <v>422</v>
      </c>
      <c r="G1924" s="377" t="s">
        <v>156</v>
      </c>
      <c r="H1924" s="327" t="s">
        <v>536</v>
      </c>
      <c r="I1924" s="413" t="s">
        <v>1367</v>
      </c>
      <c r="J1924" s="374"/>
      <c r="K1924" s="377"/>
      <c r="L1924" s="412">
        <v>85000</v>
      </c>
      <c r="M1924" s="371"/>
      <c r="N1924" s="355" t="str">
        <f t="shared" si="234"/>
        <v>PK</v>
      </c>
      <c r="O1924" s="345" t="s">
        <v>1626</v>
      </c>
      <c r="P1924" s="392"/>
      <c r="Q1924" s="327"/>
      <c r="R1924" s="351"/>
      <c r="S1924" s="351"/>
      <c r="T1924" s="351"/>
      <c r="U1924" s="329" t="str">
        <f>IF($N1924=$N$4,IFERROR(INDEX(DanhMuc!$E$154:$E$165,MATCH(MID($B1924,4,2),DanhMuc!$B$154:$B$165,0)),""),"")</f>
        <v/>
      </c>
      <c r="V1924" s="361"/>
      <c r="W1924" s="345"/>
      <c r="X1924" s="329" t="str">
        <f t="shared" si="231"/>
        <v>3H</v>
      </c>
      <c r="Y1924" s="1128" t="s">
        <v>3380</v>
      </c>
      <c r="Z1924" s="1128" t="s">
        <v>3381</v>
      </c>
      <c r="AA1924" s="1128" t="s">
        <v>3384</v>
      </c>
      <c r="AB1924" s="20"/>
      <c r="AC1924" s="73"/>
    </row>
    <row r="1925" spans="1:29">
      <c r="A1925" s="327" t="str">
        <f>IF(AND($B1925&lt;&gt;"",$C1925&lt;&gt;""),MAX($A$1556:A1924)+1,"")</f>
        <v/>
      </c>
      <c r="B1925" s="361" t="s">
        <v>1987</v>
      </c>
      <c r="C1925" s="360"/>
      <c r="D1925" s="327">
        <f>IF($B1925="","",COUNTIF($B$6:$B1925,$B1925))</f>
        <v>11</v>
      </c>
      <c r="E1925" s="402" t="s">
        <v>2284</v>
      </c>
      <c r="F1925" s="403" t="s">
        <v>197</v>
      </c>
      <c r="G1925" s="327" t="s">
        <v>155</v>
      </c>
      <c r="H1925" s="327" t="s">
        <v>536</v>
      </c>
      <c r="I1925" s="327">
        <v>1</v>
      </c>
      <c r="J1925" s="345"/>
      <c r="K1925" s="327"/>
      <c r="L1925" s="389">
        <v>135000</v>
      </c>
      <c r="M1925" s="371"/>
      <c r="N1925" s="355" t="str">
        <f t="shared" si="234"/>
        <v>PK</v>
      </c>
      <c r="O1925" s="345" t="s">
        <v>1626</v>
      </c>
      <c r="P1925" s="392"/>
      <c r="Q1925" s="327"/>
      <c r="R1925" s="351"/>
      <c r="S1925" s="351"/>
      <c r="T1925" s="351"/>
      <c r="U1925" s="329" t="str">
        <f>IF($N1925=$N$4,IFERROR(INDEX(DanhMuc!$E$154:$E$165,MATCH(MID($B1925,4,2),DanhMuc!$B$154:$B$165,0)),""),"")</f>
        <v/>
      </c>
      <c r="V1925" s="361"/>
      <c r="W1925" s="345"/>
      <c r="X1925" s="329" t="str">
        <f t="shared" si="231"/>
        <v>3H</v>
      </c>
      <c r="Y1925" s="1128" t="s">
        <v>3380</v>
      </c>
      <c r="Z1925" s="1128" t="s">
        <v>3381</v>
      </c>
      <c r="AA1925" s="1128" t="s">
        <v>3384</v>
      </c>
      <c r="AB1925" s="20"/>
      <c r="AC1925" s="73"/>
    </row>
    <row r="1926" spans="1:29">
      <c r="A1926" s="327" t="str">
        <f>IF(AND($B1926&lt;&gt;"",$C1926&lt;&gt;""),MAX($A$1556:A1925)+1,"")</f>
        <v/>
      </c>
      <c r="B1926" s="361" t="s">
        <v>1987</v>
      </c>
      <c r="C1926" s="360"/>
      <c r="D1926" s="327">
        <f>IF($B1926="","",COUNTIF($B$6:$B1926,$B1926))</f>
        <v>12</v>
      </c>
      <c r="E1926" s="402" t="s">
        <v>2284</v>
      </c>
      <c r="F1926" s="403" t="s">
        <v>197</v>
      </c>
      <c r="G1926" s="327" t="s">
        <v>155</v>
      </c>
      <c r="H1926" s="327" t="s">
        <v>536</v>
      </c>
      <c r="I1926" s="327">
        <v>1</v>
      </c>
      <c r="J1926" s="345"/>
      <c r="K1926" s="327"/>
      <c r="L1926" s="389">
        <v>135000</v>
      </c>
      <c r="M1926" s="371"/>
      <c r="N1926" s="355" t="str">
        <f t="shared" si="234"/>
        <v>PK</v>
      </c>
      <c r="O1926" s="345" t="s">
        <v>2722</v>
      </c>
      <c r="P1926" s="392"/>
      <c r="Q1926" s="327"/>
      <c r="R1926" s="351"/>
      <c r="S1926" s="351"/>
      <c r="T1926" s="351"/>
      <c r="U1926" s="329" t="str">
        <f>IF($N1926=$N$4,IFERROR(INDEX(DanhMuc!$E$154:$E$165,MATCH(MID($B1926,4,2),DanhMuc!$B$154:$B$165,0)),""),"")</f>
        <v/>
      </c>
      <c r="V1926" s="361"/>
      <c r="W1926" s="345"/>
      <c r="X1926" s="329" t="str">
        <f t="shared" si="231"/>
        <v>3H</v>
      </c>
      <c r="Y1926" s="1128" t="s">
        <v>3380</v>
      </c>
      <c r="Z1926" s="1128" t="s">
        <v>3381</v>
      </c>
      <c r="AA1926" s="1128" t="s">
        <v>3384</v>
      </c>
      <c r="AB1926" s="20"/>
      <c r="AC1926" s="73"/>
    </row>
    <row r="1927" spans="1:29">
      <c r="A1927" s="327" t="str">
        <f>IF(AND($B1927&lt;&gt;"",$C1927&lt;&gt;""),MAX($A$1556:A1924)+1,"")</f>
        <v/>
      </c>
      <c r="B1927" s="361" t="s">
        <v>1987</v>
      </c>
      <c r="C1927" s="360"/>
      <c r="D1927" s="327">
        <f>IF($B1927="","",COUNTIF($B$6:$B1927,$B1927))</f>
        <v>13</v>
      </c>
      <c r="E1927" s="365" t="s">
        <v>327</v>
      </c>
      <c r="F1927" s="368" t="s">
        <v>345</v>
      </c>
      <c r="G1927" s="367" t="s">
        <v>690</v>
      </c>
      <c r="H1927" s="327" t="s">
        <v>536</v>
      </c>
      <c r="I1927" s="327">
        <v>1</v>
      </c>
      <c r="J1927" s="345" t="s">
        <v>634</v>
      </c>
      <c r="K1927" s="327"/>
      <c r="L1927" s="348">
        <f>+$S1927*$T1927*$L$37</f>
        <v>84651</v>
      </c>
      <c r="M1927" s="371"/>
      <c r="N1927" s="369" t="s">
        <v>150</v>
      </c>
      <c r="O1927" s="345" t="s">
        <v>2722</v>
      </c>
      <c r="P1927" s="392"/>
      <c r="Q1927" s="327"/>
      <c r="R1927" s="351">
        <v>2.5</v>
      </c>
      <c r="S1927" s="351">
        <v>5.8</v>
      </c>
      <c r="T1927" s="351">
        <v>0.13900000000000001</v>
      </c>
      <c r="U1927" s="329">
        <f>IF($N1927=$N$4,IFERROR(INDEX(DanhMuc!$E$154:$E$165,MATCH(MID($B1927,4,2),DanhMuc!$B$154:$B$165,0)),""),"")</f>
        <v>5800</v>
      </c>
      <c r="V1927" s="361"/>
      <c r="W1927" s="345"/>
      <c r="X1927" s="329" t="str">
        <f t="shared" si="231"/>
        <v>C459</v>
      </c>
      <c r="Y1927" s="1128" t="s">
        <v>3380</v>
      </c>
      <c r="Z1927" s="1128" t="s">
        <v>3381</v>
      </c>
      <c r="AA1927" s="1128" t="s">
        <v>3384</v>
      </c>
      <c r="AB1927" s="20"/>
      <c r="AC1927" s="73"/>
    </row>
    <row r="1928" spans="1:29">
      <c r="A1928" s="327" t="str">
        <f>IF(AND($B1928&lt;&gt;"",$C1928&lt;&gt;""),MAX($A$1556:A1925)+1,"")</f>
        <v/>
      </c>
      <c r="B1928" s="361" t="s">
        <v>1987</v>
      </c>
      <c r="C1928" s="360"/>
      <c r="D1928" s="327">
        <f>IF($B1928="","",COUNTIF($B$6:$B1928,$B1928))</f>
        <v>14</v>
      </c>
      <c r="E1928" s="402" t="s">
        <v>20</v>
      </c>
      <c r="F1928" s="403" t="s">
        <v>79</v>
      </c>
      <c r="G1928" s="327" t="s">
        <v>155</v>
      </c>
      <c r="H1928" s="327" t="s">
        <v>536</v>
      </c>
      <c r="I1928" s="327">
        <v>1</v>
      </c>
      <c r="J1928" s="345"/>
      <c r="K1928" s="327"/>
      <c r="L1928" s="389">
        <v>185000</v>
      </c>
      <c r="M1928" s="371"/>
      <c r="N1928" s="355" t="str">
        <f>+$N$1555</f>
        <v>PK</v>
      </c>
      <c r="O1928" s="404" t="s">
        <v>2721</v>
      </c>
      <c r="P1928" s="392"/>
      <c r="Q1928" s="327"/>
      <c r="R1928" s="351"/>
      <c r="S1928" s="351"/>
      <c r="T1928" s="351"/>
      <c r="U1928" s="329" t="str">
        <f>IF($N1928=$N$4,IFERROR(INDEX(DanhMuc!$E$154:$E$165,MATCH(MID($B1928,4,2),DanhMuc!$B$154:$B$165,0)),""),"")</f>
        <v/>
      </c>
      <c r="V1928" s="361"/>
      <c r="W1928" s="345"/>
      <c r="X1928" s="329" t="str">
        <f t="shared" si="231"/>
        <v>3H</v>
      </c>
      <c r="Y1928" s="1128" t="s">
        <v>3380</v>
      </c>
      <c r="Z1928" s="1128" t="s">
        <v>3381</v>
      </c>
      <c r="AA1928" s="1128" t="s">
        <v>3384</v>
      </c>
      <c r="AB1928" s="20"/>
      <c r="AC1928" s="73"/>
    </row>
    <row r="1929" spans="1:29">
      <c r="A1929" s="327" t="str">
        <f>IF(AND($B1929&lt;&gt;"",$C1929&lt;&gt;""),MAX($A$1556:A1928)+1,"")</f>
        <v/>
      </c>
      <c r="B1929" s="361" t="s">
        <v>1987</v>
      </c>
      <c r="C1929" s="360"/>
      <c r="D1929" s="327">
        <f>IF($B1929="","",COUNTIF($B$6:$B1929,$B1929))</f>
        <v>15</v>
      </c>
      <c r="E1929" s="361" t="s">
        <v>673</v>
      </c>
      <c r="F1929" s="362" t="s">
        <v>1075</v>
      </c>
      <c r="G1929" s="327" t="s">
        <v>155</v>
      </c>
      <c r="H1929" s="327" t="s">
        <v>536</v>
      </c>
      <c r="I1929" s="327">
        <v>2</v>
      </c>
      <c r="J1929" s="345"/>
      <c r="K1929" s="327"/>
      <c r="L1929" s="389">
        <v>17000</v>
      </c>
      <c r="M1929" s="371"/>
      <c r="N1929" s="355" t="str">
        <f>+$N$1555</f>
        <v>PK</v>
      </c>
      <c r="O1929" s="404" t="s">
        <v>2721</v>
      </c>
      <c r="P1929" s="392"/>
      <c r="Q1929" s="327"/>
      <c r="R1929" s="351"/>
      <c r="S1929" s="351"/>
      <c r="T1929" s="351"/>
      <c r="U1929" s="329" t="str">
        <f>IF($N1929=$N$4,IFERROR(INDEX(DanhMuc!$E$154:$E$165,MATCH(MID($B1929,4,2),DanhMuc!$B$154:$B$165,0)),""),"")</f>
        <v/>
      </c>
      <c r="V1929" s="361"/>
      <c r="W1929" s="345"/>
      <c r="X1929" s="329" t="str">
        <f t="shared" si="231"/>
        <v>3H</v>
      </c>
      <c r="Y1929" s="1128" t="s">
        <v>3380</v>
      </c>
      <c r="Z1929" s="1128" t="s">
        <v>3381</v>
      </c>
      <c r="AA1929" s="1128" t="s">
        <v>3384</v>
      </c>
      <c r="AB1929" s="20"/>
      <c r="AC1929" s="73"/>
    </row>
    <row r="1930" spans="1:29">
      <c r="A1930" s="327" t="str">
        <f>IF(AND($B1930&lt;&gt;"",$C1930&lt;&gt;""),MAX($A$1556:A1929)+1,"")</f>
        <v/>
      </c>
      <c r="B1930" s="361" t="s">
        <v>1987</v>
      </c>
      <c r="C1930" s="360"/>
      <c r="D1930" s="327">
        <f>IF($B1930="","",COUNTIF($B$6:$B1930,$B1930))</f>
        <v>16</v>
      </c>
      <c r="E1930" s="402" t="s">
        <v>91</v>
      </c>
      <c r="F1930" s="403" t="s">
        <v>92</v>
      </c>
      <c r="G1930" s="327" t="s">
        <v>155</v>
      </c>
      <c r="H1930" s="327" t="s">
        <v>536</v>
      </c>
      <c r="I1930" s="327">
        <v>2</v>
      </c>
      <c r="J1930" s="345"/>
      <c r="K1930" s="327"/>
      <c r="L1930" s="389">
        <v>6500</v>
      </c>
      <c r="M1930" s="371"/>
      <c r="N1930" s="355" t="str">
        <f>+$N$1555</f>
        <v>PK</v>
      </c>
      <c r="O1930" s="404" t="s">
        <v>2721</v>
      </c>
      <c r="P1930" s="392"/>
      <c r="Q1930" s="327"/>
      <c r="R1930" s="351"/>
      <c r="S1930" s="351"/>
      <c r="T1930" s="351"/>
      <c r="U1930" s="329" t="str">
        <f>IF($N1930=$N$4,IFERROR(INDEX(DanhMuc!$E$154:$E$165,MATCH(MID($B1930,4,2),DanhMuc!$B$154:$B$165,0)),""),"")</f>
        <v/>
      </c>
      <c r="V1930" s="361"/>
      <c r="W1930" s="345"/>
      <c r="X1930" s="329" t="str">
        <f t="shared" si="231"/>
        <v>3H</v>
      </c>
      <c r="Y1930" s="1128" t="s">
        <v>3380</v>
      </c>
      <c r="Z1930" s="1128" t="s">
        <v>3381</v>
      </c>
      <c r="AA1930" s="1128" t="s">
        <v>3384</v>
      </c>
      <c r="AB1930" s="20"/>
      <c r="AC1930" s="73"/>
    </row>
    <row r="1931" spans="1:29">
      <c r="A1931" s="327" t="str">
        <f>IF(AND($B1931&lt;&gt;"",$C1931&lt;&gt;""),MAX($A$1556:A1929)+1,"")</f>
        <v/>
      </c>
      <c r="B1931" s="361" t="s">
        <v>1987</v>
      </c>
      <c r="C1931" s="360"/>
      <c r="D1931" s="327">
        <f>IF($B1931="","",COUNTIF($B$6:$B1931,$B1931))</f>
        <v>17</v>
      </c>
      <c r="E1931" s="365" t="s">
        <v>327</v>
      </c>
      <c r="F1931" s="368" t="s">
        <v>345</v>
      </c>
      <c r="G1931" s="367" t="s">
        <v>690</v>
      </c>
      <c r="H1931" s="327" t="s">
        <v>536</v>
      </c>
      <c r="I1931" s="327">
        <v>1</v>
      </c>
      <c r="J1931" s="345" t="s">
        <v>634</v>
      </c>
      <c r="K1931" s="327"/>
      <c r="L1931" s="348">
        <f>+$S1931*$T1931*$L$37</f>
        <v>84651</v>
      </c>
      <c r="M1931" s="371"/>
      <c r="N1931" s="369" t="s">
        <v>150</v>
      </c>
      <c r="O1931" s="404" t="s">
        <v>2721</v>
      </c>
      <c r="P1931" s="392"/>
      <c r="Q1931" s="327"/>
      <c r="R1931" s="351">
        <v>2.5</v>
      </c>
      <c r="S1931" s="351">
        <v>5.8</v>
      </c>
      <c r="T1931" s="351">
        <v>0.13900000000000001</v>
      </c>
      <c r="U1931" s="329">
        <f>IF($N1931=$N$4,IFERROR(INDEX(DanhMuc!$E$154:$E$165,MATCH(MID($B1931,4,2),DanhMuc!$B$154:$B$165,0)),""),"")</f>
        <v>5800</v>
      </c>
      <c r="V1931" s="361"/>
      <c r="W1931" s="345"/>
      <c r="X1931" s="329" t="str">
        <f t="shared" si="231"/>
        <v>C459</v>
      </c>
      <c r="Y1931" s="1128" t="s">
        <v>3380</v>
      </c>
      <c r="Z1931" s="1128" t="s">
        <v>3381</v>
      </c>
      <c r="AA1931" s="1128" t="s">
        <v>3384</v>
      </c>
      <c r="AB1931" s="20"/>
      <c r="AC1931" s="73"/>
    </row>
    <row r="1932" spans="1:29">
      <c r="A1932" s="327" t="str">
        <f>IF(AND($B1932&lt;&gt;"",$C1932&lt;&gt;""),MAX($A$1556:A1925)+1,"")</f>
        <v/>
      </c>
      <c r="B1932" s="361" t="s">
        <v>1987</v>
      </c>
      <c r="C1932" s="360"/>
      <c r="D1932" s="327">
        <f>IF($B1932="","",COUNTIF($B$6:$B1932,$B1932))</f>
        <v>18</v>
      </c>
      <c r="E1932" s="399" t="s">
        <v>198</v>
      </c>
      <c r="F1932" s="400" t="s">
        <v>322</v>
      </c>
      <c r="G1932" s="327" t="s">
        <v>155</v>
      </c>
      <c r="H1932" s="327" t="s">
        <v>536</v>
      </c>
      <c r="I1932" s="327">
        <v>1</v>
      </c>
      <c r="J1932" s="345"/>
      <c r="K1932" s="327"/>
      <c r="L1932" s="389">
        <v>140000</v>
      </c>
      <c r="M1932" s="371"/>
      <c r="N1932" s="355" t="str">
        <f>+$N$1555</f>
        <v>PK</v>
      </c>
      <c r="O1932" s="345" t="s">
        <v>2699</v>
      </c>
      <c r="P1932" s="392"/>
      <c r="Q1932" s="327"/>
      <c r="R1932" s="351"/>
      <c r="S1932" s="351"/>
      <c r="T1932" s="351"/>
      <c r="U1932" s="329" t="str">
        <f>IF($N1932=$N$4,IFERROR(INDEX(DanhMuc!$E$154:$E$165,MATCH(MID($B1932,4,2),DanhMuc!$B$154:$B$165,0)),""),"")</f>
        <v/>
      </c>
      <c r="V1932" s="361"/>
      <c r="W1932" s="345"/>
      <c r="X1932" s="329" t="str">
        <f t="shared" si="231"/>
        <v>3H</v>
      </c>
      <c r="Y1932" s="1128" t="s">
        <v>3380</v>
      </c>
      <c r="Z1932" s="1128" t="s">
        <v>3381</v>
      </c>
      <c r="AA1932" s="1128" t="s">
        <v>3384</v>
      </c>
      <c r="AB1932" s="20"/>
      <c r="AC1932" s="73"/>
    </row>
    <row r="1933" spans="1:29">
      <c r="A1933" s="327" t="str">
        <f>IF(AND($B1933&lt;&gt;"",$C1933&lt;&gt;""),MAX($A$1556:A1932)+1,"")</f>
        <v/>
      </c>
      <c r="B1933" s="361" t="s">
        <v>1987</v>
      </c>
      <c r="C1933" s="360"/>
      <c r="D1933" s="327">
        <f>IF($B1933="","",COUNTIF($B$6:$B1933,$B1933))</f>
        <v>19</v>
      </c>
      <c r="E1933" s="399" t="s">
        <v>2732</v>
      </c>
      <c r="F1933" s="400" t="s">
        <v>1208</v>
      </c>
      <c r="G1933" s="327" t="s">
        <v>155</v>
      </c>
      <c r="H1933" s="327" t="s">
        <v>536</v>
      </c>
      <c r="I1933" s="327">
        <v>1</v>
      </c>
      <c r="J1933" s="345"/>
      <c r="K1933" s="327"/>
      <c r="L1933" s="389">
        <v>140000</v>
      </c>
      <c r="M1933" s="371"/>
      <c r="N1933" s="355" t="str">
        <f>+$N$1555</f>
        <v>PK</v>
      </c>
      <c r="O1933" s="345" t="s">
        <v>1060</v>
      </c>
      <c r="P1933" s="392"/>
      <c r="Q1933" s="327"/>
      <c r="R1933" s="351"/>
      <c r="S1933" s="351"/>
      <c r="T1933" s="351"/>
      <c r="U1933" s="329" t="str">
        <f>IF($N1933=$N$4,IFERROR(INDEX(DanhMuc!$E$154:$E$165,MATCH(MID($B1933,4,2),DanhMuc!$B$154:$B$165,0)),""),"")</f>
        <v/>
      </c>
      <c r="V1933" s="361"/>
      <c r="W1933" s="345"/>
      <c r="X1933" s="329" t="str">
        <f t="shared" si="231"/>
        <v>3H</v>
      </c>
      <c r="Y1933" s="1128" t="s">
        <v>3380</v>
      </c>
      <c r="Z1933" s="1128" t="s">
        <v>3381</v>
      </c>
      <c r="AA1933" s="1128" t="s">
        <v>3384</v>
      </c>
      <c r="AB1933" s="20"/>
      <c r="AC1933" s="73"/>
    </row>
    <row r="1934" spans="1:29">
      <c r="A1934" s="327" t="str">
        <f>IF(AND($B1934&lt;&gt;"",$C1934&lt;&gt;""),MAX($A$1556:A1932)+1,"")</f>
        <v/>
      </c>
      <c r="B1934" s="361" t="s">
        <v>1987</v>
      </c>
      <c r="C1934" s="360"/>
      <c r="D1934" s="327">
        <f>IF($B1934="","",COUNTIF($B$6:$B1934,$B1934))</f>
        <v>20</v>
      </c>
      <c r="E1934" s="361" t="s">
        <v>87</v>
      </c>
      <c r="F1934" s="362" t="s">
        <v>196</v>
      </c>
      <c r="G1934" s="351" t="s">
        <v>155</v>
      </c>
      <c r="H1934" s="327"/>
      <c r="I1934" s="327">
        <v>1</v>
      </c>
      <c r="J1934" s="361"/>
      <c r="K1934" s="327"/>
      <c r="L1934" s="389">
        <v>135000</v>
      </c>
      <c r="M1934" s="371"/>
      <c r="N1934" s="355" t="str">
        <f t="shared" ref="N1934:N1963" si="235">+$N$1555</f>
        <v>PK</v>
      </c>
      <c r="O1934" s="404"/>
      <c r="P1934" s="392"/>
      <c r="Q1934" s="327"/>
      <c r="R1934" s="351"/>
      <c r="S1934" s="351"/>
      <c r="T1934" s="351"/>
      <c r="U1934" s="329" t="str">
        <f>IF($N1934=$N$4,IFERROR(INDEX(DanhMuc!$E$154:$E$165,MATCH(MID($B1934,4,2),DanhMuc!$B$154:$B$165,0)),""),"")</f>
        <v/>
      </c>
      <c r="V1934" s="361"/>
      <c r="W1934" s="345"/>
      <c r="X1934" s="329" t="str">
        <f t="shared" si="231"/>
        <v>3H</v>
      </c>
      <c r="Y1934" s="1128" t="s">
        <v>3380</v>
      </c>
      <c r="Z1934" s="1128" t="s">
        <v>3381</v>
      </c>
      <c r="AA1934" s="1128" t="s">
        <v>3384</v>
      </c>
      <c r="AB1934" s="20"/>
      <c r="AC1934" s="73"/>
    </row>
    <row r="1935" spans="1:29">
      <c r="A1935" s="327" t="str">
        <f>IF(AND($B1935&lt;&gt;"",$C1935&lt;&gt;""),MAX($A$1556:A1934)+1,"")</f>
        <v/>
      </c>
      <c r="B1935" s="361" t="s">
        <v>1987</v>
      </c>
      <c r="C1935" s="360"/>
      <c r="D1935" s="327">
        <f>IF($B1935="","",COUNTIF($B$6:$B1935,$B1935))</f>
        <v>21</v>
      </c>
      <c r="E1935" s="361" t="s">
        <v>199</v>
      </c>
      <c r="F1935" s="362" t="s">
        <v>200</v>
      </c>
      <c r="G1935" s="327" t="s">
        <v>155</v>
      </c>
      <c r="H1935" s="327" t="s">
        <v>536</v>
      </c>
      <c r="I1935" s="327">
        <v>1</v>
      </c>
      <c r="J1935" s="361"/>
      <c r="K1935" s="327"/>
      <c r="L1935" s="389">
        <v>28000</v>
      </c>
      <c r="M1935" s="371"/>
      <c r="N1935" s="355" t="str">
        <f t="shared" si="235"/>
        <v>PK</v>
      </c>
      <c r="O1935" s="414"/>
      <c r="P1935" s="392"/>
      <c r="Q1935" s="327"/>
      <c r="R1935" s="351"/>
      <c r="S1935" s="351"/>
      <c r="T1935" s="351"/>
      <c r="U1935" s="329" t="str">
        <f>IF($N1935=$N$4,IFERROR(INDEX(DanhMuc!$E$154:$E$165,MATCH(MID($B1935,4,2),DanhMuc!$B$154:$B$165,0)),""),"")</f>
        <v/>
      </c>
      <c r="V1935" s="361"/>
      <c r="W1935" s="345"/>
      <c r="X1935" s="329" t="str">
        <f t="shared" si="231"/>
        <v>3H</v>
      </c>
      <c r="Y1935" s="1128" t="s">
        <v>3380</v>
      </c>
      <c r="Z1935" s="1128" t="s">
        <v>3381</v>
      </c>
      <c r="AA1935" s="1128" t="s">
        <v>3384</v>
      </c>
      <c r="AB1935" s="20"/>
      <c r="AC1935" s="73"/>
    </row>
    <row r="1936" spans="1:29">
      <c r="A1936" s="327" t="str">
        <f>IF(AND($B1936&lt;&gt;"",$C1936&lt;&gt;""),MAX($A$1556:A1934)+1,"")</f>
        <v/>
      </c>
      <c r="B1936" s="361" t="s">
        <v>1987</v>
      </c>
      <c r="C1936" s="360"/>
      <c r="D1936" s="327">
        <f>IF($B1936="","",COUNTIF($B$6:$B1936,$B1936))</f>
        <v>22</v>
      </c>
      <c r="E1936" s="361" t="s">
        <v>1444</v>
      </c>
      <c r="F1936" s="362" t="s">
        <v>2356</v>
      </c>
      <c r="G1936" s="327" t="s">
        <v>297</v>
      </c>
      <c r="H1936" s="327"/>
      <c r="I1936" s="327">
        <v>2</v>
      </c>
      <c r="J1936" s="345"/>
      <c r="K1936" s="327"/>
      <c r="L1936" s="389">
        <v>17000</v>
      </c>
      <c r="M1936" s="371"/>
      <c r="N1936" s="355" t="str">
        <f>+$N$1555</f>
        <v>PK</v>
      </c>
      <c r="O1936" s="347"/>
      <c r="P1936" s="392"/>
      <c r="Q1936" s="327"/>
      <c r="R1936" s="351"/>
      <c r="S1936" s="351"/>
      <c r="T1936" s="351"/>
      <c r="U1936" s="329" t="str">
        <f>IF($N1936=$N$4,IFERROR(INDEX(DanhMuc!$E$154:$E$165,MATCH(MID($B1936,4,2),DanhMuc!$B$154:$B$165,0)),""),"")</f>
        <v/>
      </c>
      <c r="V1936" s="408" t="s">
        <v>343</v>
      </c>
      <c r="W1936" s="345"/>
      <c r="X1936" s="329" t="str">
        <f t="shared" si="231"/>
        <v>3H</v>
      </c>
      <c r="Y1936" s="1128" t="s">
        <v>3380</v>
      </c>
      <c r="Z1936" s="1128" t="s">
        <v>3381</v>
      </c>
      <c r="AA1936" s="1128" t="s">
        <v>3384</v>
      </c>
      <c r="AB1936" s="20"/>
      <c r="AC1936" s="73"/>
    </row>
    <row r="1937" spans="1:29" ht="39">
      <c r="A1937" s="327">
        <f>IF(AND($B1937&lt;&gt;"",$C1937&lt;&gt;""),MAX($A$1556:A1935)+1,"")</f>
        <v>11</v>
      </c>
      <c r="B1937" s="359" t="s">
        <v>1988</v>
      </c>
      <c r="C1937" s="360" t="s">
        <v>2087</v>
      </c>
      <c r="D1937" s="327">
        <f>IF($B1937="","",COUNTIF($B$6:$B1937,$B1937))</f>
        <v>1</v>
      </c>
      <c r="E1937" s="363" t="s">
        <v>191</v>
      </c>
      <c r="F1937" s="362" t="s">
        <v>207</v>
      </c>
      <c r="G1937" s="327" t="s">
        <v>155</v>
      </c>
      <c r="H1937" s="327"/>
      <c r="I1937" s="327">
        <v>2</v>
      </c>
      <c r="J1937" s="361"/>
      <c r="K1937" s="327"/>
      <c r="L1937" s="389">
        <v>236000</v>
      </c>
      <c r="M1937" s="371"/>
      <c r="N1937" s="355" t="str">
        <f t="shared" si="235"/>
        <v>PK</v>
      </c>
      <c r="O1937" s="345"/>
      <c r="P1937" s="392"/>
      <c r="Q1937" s="327"/>
      <c r="R1937" s="351"/>
      <c r="S1937" s="351"/>
      <c r="T1937" s="351"/>
      <c r="U1937" s="329" t="str">
        <f>IF($N1937=$N$4,IFERROR(INDEX(DanhMuc!$E$154:$E$165,MATCH(MID($B1937,4,2),DanhMuc!$B$154:$B$165,0)),""),"")</f>
        <v/>
      </c>
      <c r="V1937" s="361"/>
      <c r="W1937" s="345"/>
      <c r="X1937" s="329" t="str">
        <f t="shared" si="231"/>
        <v>3H</v>
      </c>
      <c r="Y1937" s="1128" t="s">
        <v>3380</v>
      </c>
      <c r="Z1937" s="1128" t="s">
        <v>3381</v>
      </c>
      <c r="AA1937" s="1128" t="s">
        <v>3384</v>
      </c>
      <c r="AB1937" s="20"/>
      <c r="AC1937" s="73"/>
    </row>
    <row r="1938" spans="1:29" ht="25">
      <c r="A1938" s="327" t="str">
        <f>IF(AND($B1938&lt;&gt;"",$C1938&lt;&gt;""),MAX($A$1556:A1937)+1,"")</f>
        <v/>
      </c>
      <c r="B1938" s="361" t="s">
        <v>1988</v>
      </c>
      <c r="C1938" s="360"/>
      <c r="D1938" s="327">
        <f>IF($B1938="","",COUNTIF($B$6:$B1938,$B1938))</f>
        <v>2</v>
      </c>
      <c r="E1938" s="361" t="s">
        <v>192</v>
      </c>
      <c r="F1938" s="362" t="s">
        <v>208</v>
      </c>
      <c r="G1938" s="327" t="s">
        <v>155</v>
      </c>
      <c r="H1938" s="327"/>
      <c r="I1938" s="327">
        <v>2</v>
      </c>
      <c r="J1938" s="361"/>
      <c r="K1938" s="327"/>
      <c r="L1938" s="389">
        <v>195000</v>
      </c>
      <c r="M1938" s="371"/>
      <c r="N1938" s="355" t="str">
        <f t="shared" si="235"/>
        <v>PK</v>
      </c>
      <c r="O1938" s="345"/>
      <c r="P1938" s="392"/>
      <c r="Q1938" s="327"/>
      <c r="R1938" s="351"/>
      <c r="S1938" s="351"/>
      <c r="T1938" s="351"/>
      <c r="U1938" s="329" t="str">
        <f>IF($N1938=$N$4,IFERROR(INDEX(DanhMuc!$E$154:$E$165,MATCH(MID($B1938,4,2),DanhMuc!$B$154:$B$165,0)),""),"")</f>
        <v/>
      </c>
      <c r="V1938" s="361"/>
      <c r="W1938" s="345"/>
      <c r="X1938" s="329" t="str">
        <f t="shared" si="231"/>
        <v>3H</v>
      </c>
      <c r="Y1938" s="1128" t="s">
        <v>3380</v>
      </c>
      <c r="Z1938" s="1128" t="s">
        <v>3381</v>
      </c>
      <c r="AA1938" s="1128" t="s">
        <v>3384</v>
      </c>
      <c r="AB1938" s="20"/>
      <c r="AC1938" s="73"/>
    </row>
    <row r="1939" spans="1:29" s="73" customFormat="1">
      <c r="A1939" s="327" t="str">
        <f>IF(AND($B1939&lt;&gt;"",$C1939&lt;&gt;""),MAX($A$1556:A1938)+1,"")</f>
        <v/>
      </c>
      <c r="B1939" s="361" t="s">
        <v>1988</v>
      </c>
      <c r="C1939" s="346"/>
      <c r="D1939" s="327">
        <f>IF($B1939="","",COUNTIF($B$6:$B1939,$B1939))</f>
        <v>3</v>
      </c>
      <c r="E1939" s="361" t="s">
        <v>93</v>
      </c>
      <c r="F1939" s="362" t="s">
        <v>193</v>
      </c>
      <c r="G1939" s="342" t="s">
        <v>155</v>
      </c>
      <c r="H1939" s="327"/>
      <c r="I1939" s="327">
        <v>12</v>
      </c>
      <c r="J1939" s="359"/>
      <c r="K1939" s="127"/>
      <c r="L1939" s="389">
        <v>77000</v>
      </c>
      <c r="M1939" s="371"/>
      <c r="N1939" s="355" t="str">
        <f t="shared" si="235"/>
        <v>PK</v>
      </c>
      <c r="O1939" s="345"/>
      <c r="P1939" s="392"/>
      <c r="Q1939" s="327"/>
      <c r="R1939" s="351"/>
      <c r="S1939" s="351"/>
      <c r="T1939" s="351"/>
      <c r="U1939" s="329" t="str">
        <f>IF($N1939=$N$4,IFERROR(INDEX(DanhMuc!$E$154:$E$165,MATCH(MID($B1939,4,2),DanhMuc!$B$154:$B$165,0)),""),"")</f>
        <v/>
      </c>
      <c r="V1939" s="328"/>
      <c r="W1939" s="345"/>
      <c r="X1939" s="329" t="str">
        <f t="shared" si="231"/>
        <v>3H</v>
      </c>
      <c r="Y1939" s="1128" t="s">
        <v>3380</v>
      </c>
      <c r="Z1939" s="1128" t="s">
        <v>3381</v>
      </c>
      <c r="AA1939" s="1128" t="s">
        <v>3384</v>
      </c>
      <c r="AB1939" s="20"/>
    </row>
    <row r="1940" spans="1:29" s="73" customFormat="1">
      <c r="A1940" s="327" t="str">
        <f>IF(AND($B1940&lt;&gt;"",$C1940&lt;&gt;""),MAX($A$1556:A1939)+1,"")</f>
        <v/>
      </c>
      <c r="B1940" s="361" t="s">
        <v>1988</v>
      </c>
      <c r="C1940" s="346"/>
      <c r="D1940" s="327">
        <f>IF($B1940="","",COUNTIF($B$6:$B1940,$B1940))</f>
        <v>4</v>
      </c>
      <c r="E1940" s="361" t="s">
        <v>93</v>
      </c>
      <c r="F1940" s="362" t="s">
        <v>193</v>
      </c>
      <c r="G1940" s="342" t="s">
        <v>155</v>
      </c>
      <c r="H1940" s="327"/>
      <c r="I1940" s="327">
        <v>2</v>
      </c>
      <c r="J1940" s="359"/>
      <c r="K1940" s="127"/>
      <c r="L1940" s="389">
        <v>77000</v>
      </c>
      <c r="M1940" s="371"/>
      <c r="N1940" s="355" t="str">
        <f t="shared" si="235"/>
        <v>PK</v>
      </c>
      <c r="O1940" s="345" t="s">
        <v>639</v>
      </c>
      <c r="P1940" s="392"/>
      <c r="Q1940" s="327"/>
      <c r="R1940" s="351"/>
      <c r="S1940" s="351"/>
      <c r="T1940" s="351"/>
      <c r="U1940" s="329" t="str">
        <f>IF($N1940=$N$4,IFERROR(INDEX(DanhMuc!$E$154:$E$165,MATCH(MID($B1940,4,2),DanhMuc!$B$154:$B$165,0)),""),"")</f>
        <v/>
      </c>
      <c r="V1940" s="328"/>
      <c r="W1940" s="345"/>
      <c r="X1940" s="329" t="str">
        <f t="shared" si="231"/>
        <v>3H</v>
      </c>
      <c r="Y1940" s="1128" t="s">
        <v>3380</v>
      </c>
      <c r="Z1940" s="1128" t="s">
        <v>3381</v>
      </c>
      <c r="AA1940" s="1128" t="s">
        <v>3384</v>
      </c>
      <c r="AB1940" s="20"/>
    </row>
    <row r="1941" spans="1:29" s="73" customFormat="1" ht="25">
      <c r="A1941" s="327" t="str">
        <f>IF(AND($B1941&lt;&gt;"",$C1941&lt;&gt;""),MAX($A$1556:A1939)+1,"")</f>
        <v/>
      </c>
      <c r="B1941" s="361" t="s">
        <v>1988</v>
      </c>
      <c r="C1941" s="346"/>
      <c r="D1941" s="327">
        <f>IF($B1941="","",COUNTIF($B$6:$B1941,$B1941))</f>
        <v>5</v>
      </c>
      <c r="E1941" s="361" t="s">
        <v>97</v>
      </c>
      <c r="F1941" s="362" t="s">
        <v>201</v>
      </c>
      <c r="G1941" s="342" t="s">
        <v>155</v>
      </c>
      <c r="H1941" s="327"/>
      <c r="I1941" s="327">
        <v>2</v>
      </c>
      <c r="J1941" s="359"/>
      <c r="K1941" s="127"/>
      <c r="L1941" s="389">
        <v>94000</v>
      </c>
      <c r="M1941" s="371"/>
      <c r="N1941" s="355" t="str">
        <f t="shared" si="235"/>
        <v>PK</v>
      </c>
      <c r="O1941" s="345"/>
      <c r="P1941" s="392"/>
      <c r="Q1941" s="327"/>
      <c r="R1941" s="351"/>
      <c r="S1941" s="351"/>
      <c r="T1941" s="351"/>
      <c r="U1941" s="329" t="str">
        <f>IF($N1941=$N$4,IFERROR(INDEX(DanhMuc!$E$154:$E$165,MATCH(MID($B1941,4,2),DanhMuc!$B$154:$B$165,0)),""),"")</f>
        <v/>
      </c>
      <c r="V1941" s="328"/>
      <c r="W1941" s="345"/>
      <c r="X1941" s="329" t="str">
        <f t="shared" si="231"/>
        <v>3H</v>
      </c>
      <c r="Y1941" s="1128" t="s">
        <v>3380</v>
      </c>
      <c r="Z1941" s="1128" t="s">
        <v>3381</v>
      </c>
      <c r="AA1941" s="1128" t="s">
        <v>3384</v>
      </c>
      <c r="AB1941" s="20"/>
    </row>
    <row r="1942" spans="1:29">
      <c r="A1942" s="327" t="str">
        <f>IF(AND($B1942&lt;&gt;"",$C1942&lt;&gt;""),MAX($A$1556:A1941)+1,"")</f>
        <v/>
      </c>
      <c r="B1942" s="361" t="s">
        <v>1988</v>
      </c>
      <c r="C1942" s="360"/>
      <c r="D1942" s="327">
        <f>IF($B1942="","",COUNTIF($B$6:$B1942,$B1942))</f>
        <v>6</v>
      </c>
      <c r="E1942" s="374" t="s">
        <v>194</v>
      </c>
      <c r="F1942" s="375" t="s">
        <v>190</v>
      </c>
      <c r="G1942" s="377" t="s">
        <v>155</v>
      </c>
      <c r="H1942" s="327" t="s">
        <v>536</v>
      </c>
      <c r="I1942" s="377">
        <v>2</v>
      </c>
      <c r="J1942" s="374"/>
      <c r="K1942" s="377"/>
      <c r="L1942" s="412">
        <v>76000</v>
      </c>
      <c r="M1942" s="371"/>
      <c r="N1942" s="355" t="str">
        <f t="shared" si="235"/>
        <v>PK</v>
      </c>
      <c r="O1942" s="345"/>
      <c r="P1942" s="392"/>
      <c r="Q1942" s="327"/>
      <c r="R1942" s="351"/>
      <c r="S1942" s="351"/>
      <c r="T1942" s="351"/>
      <c r="U1942" s="329" t="str">
        <f>IF($N1942=$N$4,IFERROR(INDEX(DanhMuc!$E$154:$E$165,MATCH(MID($B1942,4,2),DanhMuc!$B$154:$B$165,0)),""),"")</f>
        <v/>
      </c>
      <c r="V1942" s="361"/>
      <c r="W1942" s="345"/>
      <c r="X1942" s="329" t="str">
        <f t="shared" si="231"/>
        <v>3H</v>
      </c>
      <c r="Y1942" s="1128" t="s">
        <v>3380</v>
      </c>
      <c r="Z1942" s="1128" t="s">
        <v>3381</v>
      </c>
      <c r="AA1942" s="1128" t="s">
        <v>3384</v>
      </c>
      <c r="AB1942" s="20"/>
      <c r="AC1942" s="73"/>
    </row>
    <row r="1943" spans="1:29">
      <c r="A1943" s="327" t="str">
        <f>IF(AND($B1943&lt;&gt;"",$C1943&lt;&gt;""),MAX($A$1556:A1942)+1,"")</f>
        <v/>
      </c>
      <c r="B1943" s="361" t="s">
        <v>1988</v>
      </c>
      <c r="C1943" s="360"/>
      <c r="D1943" s="327">
        <f>IF($B1943="","",COUNTIF($B$6:$B1943,$B1943))</f>
        <v>7</v>
      </c>
      <c r="E1943" s="374" t="s">
        <v>94</v>
      </c>
      <c r="F1943" s="375" t="s">
        <v>195</v>
      </c>
      <c r="G1943" s="377" t="s">
        <v>155</v>
      </c>
      <c r="H1943" s="327"/>
      <c r="I1943" s="377">
        <v>2</v>
      </c>
      <c r="J1943" s="374"/>
      <c r="K1943" s="377"/>
      <c r="L1943" s="412">
        <v>76000</v>
      </c>
      <c r="M1943" s="371"/>
      <c r="N1943" s="355" t="str">
        <f t="shared" si="235"/>
        <v>PK</v>
      </c>
      <c r="O1943" s="345"/>
      <c r="P1943" s="392"/>
      <c r="Q1943" s="327"/>
      <c r="R1943" s="351"/>
      <c r="S1943" s="351"/>
      <c r="T1943" s="351"/>
      <c r="U1943" s="329" t="str">
        <f>IF($N1943=$N$4,IFERROR(INDEX(DanhMuc!$E$154:$E$165,MATCH(MID($B1943,4,2),DanhMuc!$B$154:$B$165,0)),""),"")</f>
        <v/>
      </c>
      <c r="V1943" s="361"/>
      <c r="W1943" s="345"/>
      <c r="X1943" s="329" t="str">
        <f t="shared" si="231"/>
        <v>3H</v>
      </c>
      <c r="Y1943" s="1128" t="s">
        <v>3380</v>
      </c>
      <c r="Z1943" s="1128" t="s">
        <v>3381</v>
      </c>
      <c r="AA1943" s="1128" t="s">
        <v>3384</v>
      </c>
      <c r="AB1943" s="20"/>
      <c r="AC1943" s="73"/>
    </row>
    <row r="1944" spans="1:29" ht="25">
      <c r="A1944" s="327" t="str">
        <f>IF(AND($B1944&lt;&gt;"",$C1944&lt;&gt;""),MAX($A$1556:A1943)+1,"")</f>
        <v/>
      </c>
      <c r="B1944" s="361" t="s">
        <v>1988</v>
      </c>
      <c r="C1944" s="360"/>
      <c r="D1944" s="327">
        <f>IF($B1944="","",COUNTIF($B$6:$B1944,$B1944))</f>
        <v>8</v>
      </c>
      <c r="E1944" s="374" t="s">
        <v>419</v>
      </c>
      <c r="F1944" s="375" t="s">
        <v>420</v>
      </c>
      <c r="G1944" s="377" t="s">
        <v>156</v>
      </c>
      <c r="H1944" s="327" t="s">
        <v>536</v>
      </c>
      <c r="I1944" s="413" t="s">
        <v>1365</v>
      </c>
      <c r="J1944" s="374"/>
      <c r="K1944" s="377"/>
      <c r="L1944" s="412">
        <v>70000</v>
      </c>
      <c r="M1944" s="371"/>
      <c r="N1944" s="355" t="str">
        <f t="shared" si="235"/>
        <v>PK</v>
      </c>
      <c r="O1944" s="345" t="s">
        <v>1626</v>
      </c>
      <c r="P1944" s="392"/>
      <c r="Q1944" s="327"/>
      <c r="R1944" s="351"/>
      <c r="S1944" s="351"/>
      <c r="T1944" s="351"/>
      <c r="U1944" s="329" t="str">
        <f>IF($N1944=$N$4,IFERROR(INDEX(DanhMuc!$E$154:$E$165,MATCH(MID($B1944,4,2),DanhMuc!$B$154:$B$165,0)),""),"")</f>
        <v/>
      </c>
      <c r="V1944" s="361"/>
      <c r="W1944" s="345"/>
      <c r="X1944" s="329" t="str">
        <f t="shared" ref="X1944:X2024" si="236">IF($N1944="PR",$E1944,MID($B1944,10,2))</f>
        <v>3H</v>
      </c>
      <c r="Y1944" s="1128" t="s">
        <v>3380</v>
      </c>
      <c r="Z1944" s="1128" t="s">
        <v>3381</v>
      </c>
      <c r="AA1944" s="1128" t="s">
        <v>3384</v>
      </c>
      <c r="AB1944" s="20"/>
      <c r="AC1944" s="73"/>
    </row>
    <row r="1945" spans="1:29" ht="25">
      <c r="A1945" s="327" t="str">
        <f>IF(AND($B1945&lt;&gt;"",$C1945&lt;&gt;""),MAX($A$1556:A1944)+1,"")</f>
        <v/>
      </c>
      <c r="B1945" s="361" t="s">
        <v>1988</v>
      </c>
      <c r="C1945" s="360"/>
      <c r="D1945" s="327">
        <f>IF($B1945="","",COUNTIF($B$6:$B1945,$B1945))</f>
        <v>9</v>
      </c>
      <c r="E1945" s="374" t="s">
        <v>406</v>
      </c>
      <c r="F1945" s="375" t="s">
        <v>407</v>
      </c>
      <c r="G1945" s="377" t="s">
        <v>156</v>
      </c>
      <c r="H1945" s="327" t="s">
        <v>536</v>
      </c>
      <c r="I1945" s="413" t="s">
        <v>1366</v>
      </c>
      <c r="J1945" s="374"/>
      <c r="K1945" s="377"/>
      <c r="L1945" s="412">
        <v>80000</v>
      </c>
      <c r="M1945" s="371"/>
      <c r="N1945" s="355" t="str">
        <f t="shared" si="235"/>
        <v>PK</v>
      </c>
      <c r="O1945" s="345" t="s">
        <v>1626</v>
      </c>
      <c r="P1945" s="392"/>
      <c r="Q1945" s="327"/>
      <c r="R1945" s="351"/>
      <c r="S1945" s="351"/>
      <c r="T1945" s="351"/>
      <c r="U1945" s="329" t="str">
        <f>IF($N1945=$N$4,IFERROR(INDEX(DanhMuc!$E$154:$E$165,MATCH(MID($B1945,4,2),DanhMuc!$B$154:$B$165,0)),""),"")</f>
        <v/>
      </c>
      <c r="V1945" s="361"/>
      <c r="W1945" s="345"/>
      <c r="X1945" s="329" t="str">
        <f t="shared" si="236"/>
        <v>3H</v>
      </c>
      <c r="Y1945" s="1128" t="s">
        <v>3380</v>
      </c>
      <c r="Z1945" s="1128" t="s">
        <v>3381</v>
      </c>
      <c r="AA1945" s="1128" t="s">
        <v>3384</v>
      </c>
      <c r="AB1945" s="20"/>
      <c r="AC1945" s="73"/>
    </row>
    <row r="1946" spans="1:29" ht="25">
      <c r="A1946" s="327" t="str">
        <f>IF(AND($B1946&lt;&gt;"",$C1946&lt;&gt;""),MAX($A$1556:A1945)+1,"")</f>
        <v/>
      </c>
      <c r="B1946" s="361" t="s">
        <v>1988</v>
      </c>
      <c r="C1946" s="360"/>
      <c r="D1946" s="327">
        <f>IF($B1946="","",COUNTIF($B$6:$B1946,$B1946))</f>
        <v>10</v>
      </c>
      <c r="E1946" s="374" t="s">
        <v>421</v>
      </c>
      <c r="F1946" s="375" t="s">
        <v>422</v>
      </c>
      <c r="G1946" s="377" t="s">
        <v>156</v>
      </c>
      <c r="H1946" s="327" t="s">
        <v>536</v>
      </c>
      <c r="I1946" s="413" t="s">
        <v>1367</v>
      </c>
      <c r="J1946" s="374"/>
      <c r="K1946" s="377"/>
      <c r="L1946" s="412">
        <v>85000</v>
      </c>
      <c r="M1946" s="371"/>
      <c r="N1946" s="355" t="str">
        <f t="shared" si="235"/>
        <v>PK</v>
      </c>
      <c r="O1946" s="345" t="s">
        <v>1626</v>
      </c>
      <c r="P1946" s="392"/>
      <c r="Q1946" s="327"/>
      <c r="R1946" s="351"/>
      <c r="S1946" s="351"/>
      <c r="T1946" s="351"/>
      <c r="U1946" s="329" t="str">
        <f>IF($N1946=$N$4,IFERROR(INDEX(DanhMuc!$E$154:$E$165,MATCH(MID($B1946,4,2),DanhMuc!$B$154:$B$165,0)),""),"")</f>
        <v/>
      </c>
      <c r="V1946" s="361"/>
      <c r="W1946" s="345"/>
      <c r="X1946" s="329" t="str">
        <f t="shared" si="236"/>
        <v>3H</v>
      </c>
      <c r="Y1946" s="1128" t="s">
        <v>3380</v>
      </c>
      <c r="Z1946" s="1128" t="s">
        <v>3381</v>
      </c>
      <c r="AA1946" s="1128" t="s">
        <v>3384</v>
      </c>
      <c r="AB1946" s="20"/>
      <c r="AC1946" s="73"/>
    </row>
    <row r="1947" spans="1:29">
      <c r="A1947" s="327" t="str">
        <f>IF(AND($B1947&lt;&gt;"",$C1947&lt;&gt;""),MAX($A$1556:A1946)+1,"")</f>
        <v/>
      </c>
      <c r="B1947" s="361" t="s">
        <v>1988</v>
      </c>
      <c r="C1947" s="360"/>
      <c r="D1947" s="327">
        <f>IF($B1947="","",COUNTIF($B$6:$B1947,$B1947))</f>
        <v>11</v>
      </c>
      <c r="E1947" s="374" t="s">
        <v>95</v>
      </c>
      <c r="F1947" s="375" t="s">
        <v>258</v>
      </c>
      <c r="G1947" s="377" t="s">
        <v>155</v>
      </c>
      <c r="H1947" s="327" t="s">
        <v>536</v>
      </c>
      <c r="I1947" s="377">
        <v>1</v>
      </c>
      <c r="J1947" s="374"/>
      <c r="K1947" s="377"/>
      <c r="L1947" s="412">
        <v>50000</v>
      </c>
      <c r="M1947" s="371"/>
      <c r="N1947" s="355" t="str">
        <f t="shared" si="235"/>
        <v>PK</v>
      </c>
      <c r="O1947" s="345"/>
      <c r="P1947" s="392"/>
      <c r="Q1947" s="327"/>
      <c r="R1947" s="351"/>
      <c r="S1947" s="351"/>
      <c r="T1947" s="351"/>
      <c r="U1947" s="329" t="str">
        <f>IF($N1947=$N$4,IFERROR(INDEX(DanhMuc!$E$154:$E$165,MATCH(MID($B1947,4,2),DanhMuc!$B$154:$B$165,0)),""),"")</f>
        <v/>
      </c>
      <c r="V1947" s="361"/>
      <c r="W1947" s="345"/>
      <c r="X1947" s="329" t="str">
        <f t="shared" si="236"/>
        <v>3H</v>
      </c>
      <c r="Y1947" s="1128" t="s">
        <v>3380</v>
      </c>
      <c r="Z1947" s="1128" t="s">
        <v>3381</v>
      </c>
      <c r="AA1947" s="1128" t="s">
        <v>3384</v>
      </c>
      <c r="AB1947" s="20"/>
      <c r="AC1947" s="73"/>
    </row>
    <row r="1948" spans="1:29">
      <c r="A1948" s="327" t="str">
        <f>IF(AND($B1948&lt;&gt;"",$C1948&lt;&gt;""),MAX($A$1556:A1947)+1,"")</f>
        <v/>
      </c>
      <c r="B1948" s="361" t="s">
        <v>1988</v>
      </c>
      <c r="C1948" s="360"/>
      <c r="D1948" s="327">
        <f>IF($B1948="","",COUNTIF($B$6:$B1948,$B1948))</f>
        <v>12</v>
      </c>
      <c r="E1948" s="374" t="s">
        <v>96</v>
      </c>
      <c r="F1948" s="375" t="s">
        <v>259</v>
      </c>
      <c r="G1948" s="377" t="s">
        <v>155</v>
      </c>
      <c r="H1948" s="327"/>
      <c r="I1948" s="377">
        <v>1</v>
      </c>
      <c r="J1948" s="374"/>
      <c r="K1948" s="377"/>
      <c r="L1948" s="412">
        <v>32000</v>
      </c>
      <c r="M1948" s="371"/>
      <c r="N1948" s="355" t="str">
        <f t="shared" si="235"/>
        <v>PK</v>
      </c>
      <c r="O1948" s="345"/>
      <c r="P1948" s="392"/>
      <c r="Q1948" s="327"/>
      <c r="R1948" s="351"/>
      <c r="S1948" s="351"/>
      <c r="T1948" s="351"/>
      <c r="U1948" s="329" t="str">
        <f>IF($N1948=$N$4,IFERROR(INDEX(DanhMuc!$E$154:$E$165,MATCH(MID($B1948,4,2),DanhMuc!$B$154:$B$165,0)),""),"")</f>
        <v/>
      </c>
      <c r="V1948" s="361"/>
      <c r="W1948" s="345"/>
      <c r="X1948" s="329" t="str">
        <f t="shared" si="236"/>
        <v>3H</v>
      </c>
      <c r="Y1948" s="1128" t="s">
        <v>3380</v>
      </c>
      <c r="Z1948" s="1128" t="s">
        <v>3381</v>
      </c>
      <c r="AA1948" s="1128" t="s">
        <v>3384</v>
      </c>
      <c r="AB1948" s="20"/>
      <c r="AC1948" s="73"/>
    </row>
    <row r="1949" spans="1:29">
      <c r="A1949" s="327" t="str">
        <f>IF(AND($B1949&lt;&gt;"",$C1949&lt;&gt;""),MAX($A$1556:A1948)+1,"")</f>
        <v/>
      </c>
      <c r="B1949" s="361" t="s">
        <v>1988</v>
      </c>
      <c r="C1949" s="360"/>
      <c r="D1949" s="327">
        <f>IF($B1949="","",COUNTIF($B$6:$B1949,$B1949))</f>
        <v>13</v>
      </c>
      <c r="E1949" s="374" t="s">
        <v>364</v>
      </c>
      <c r="F1949" s="375" t="s">
        <v>365</v>
      </c>
      <c r="G1949" s="377" t="s">
        <v>155</v>
      </c>
      <c r="H1949" s="327"/>
      <c r="I1949" s="377">
        <v>2</v>
      </c>
      <c r="J1949" s="374"/>
      <c r="K1949" s="377"/>
      <c r="L1949" s="412">
        <v>10000</v>
      </c>
      <c r="M1949" s="371"/>
      <c r="N1949" s="355" t="str">
        <f t="shared" si="235"/>
        <v>PK</v>
      </c>
      <c r="O1949" s="345"/>
      <c r="P1949" s="392"/>
      <c r="Q1949" s="327"/>
      <c r="R1949" s="351"/>
      <c r="S1949" s="351"/>
      <c r="T1949" s="351"/>
      <c r="U1949" s="329" t="str">
        <f>IF($N1949=$N$4,IFERROR(INDEX(DanhMuc!$E$154:$E$165,MATCH(MID($B1949,4,2),DanhMuc!$B$154:$B$165,0)),""),"")</f>
        <v/>
      </c>
      <c r="V1949" s="361"/>
      <c r="W1949" s="345"/>
      <c r="X1949" s="329" t="str">
        <f t="shared" si="236"/>
        <v>3H</v>
      </c>
      <c r="Y1949" s="1128" t="s">
        <v>3380</v>
      </c>
      <c r="Z1949" s="1128" t="s">
        <v>3381</v>
      </c>
      <c r="AA1949" s="1128" t="s">
        <v>3384</v>
      </c>
      <c r="AB1949" s="20"/>
      <c r="AC1949" s="73"/>
    </row>
    <row r="1950" spans="1:29">
      <c r="A1950" s="327" t="str">
        <f>IF(AND($B1950&lt;&gt;"",$C1950&lt;&gt;""),MAX($A$1556:A1949)+1,"")</f>
        <v/>
      </c>
      <c r="B1950" s="361" t="s">
        <v>1988</v>
      </c>
      <c r="C1950" s="360"/>
      <c r="D1950" s="327">
        <f>IF($B1950="","",COUNTIF($B$6:$B1950,$B1950))</f>
        <v>14</v>
      </c>
      <c r="E1950" s="374" t="s">
        <v>95</v>
      </c>
      <c r="F1950" s="375" t="s">
        <v>258</v>
      </c>
      <c r="G1950" s="377" t="s">
        <v>155</v>
      </c>
      <c r="H1950" s="327" t="s">
        <v>536</v>
      </c>
      <c r="I1950" s="377">
        <v>1</v>
      </c>
      <c r="J1950" s="374"/>
      <c r="K1950" s="377"/>
      <c r="L1950" s="412">
        <v>50000</v>
      </c>
      <c r="M1950" s="371"/>
      <c r="N1950" s="355" t="str">
        <f t="shared" si="235"/>
        <v>PK</v>
      </c>
      <c r="O1950" s="345"/>
      <c r="P1950" s="392"/>
      <c r="Q1950" s="327"/>
      <c r="R1950" s="351"/>
      <c r="S1950" s="351"/>
      <c r="T1950" s="351"/>
      <c r="U1950" s="329" t="str">
        <f>IF($N1950=$N$4,IFERROR(INDEX(DanhMuc!$E$154:$E$165,MATCH(MID($B1950,4,2),DanhMuc!$B$154:$B$165,0)),""),"")</f>
        <v/>
      </c>
      <c r="V1950" s="361"/>
      <c r="W1950" s="345"/>
      <c r="X1950" s="329" t="str">
        <f t="shared" si="236"/>
        <v>3H</v>
      </c>
      <c r="Y1950" s="1128" t="s">
        <v>3380</v>
      </c>
      <c r="Z1950" s="1128" t="s">
        <v>3381</v>
      </c>
      <c r="AA1950" s="1128" t="s">
        <v>3384</v>
      </c>
      <c r="AB1950" s="20"/>
      <c r="AC1950" s="73"/>
    </row>
    <row r="1951" spans="1:29">
      <c r="A1951" s="327" t="str">
        <f>IF(AND($B1951&lt;&gt;"",$C1951&lt;&gt;""),MAX($A$1556:A1950)+1,"")</f>
        <v/>
      </c>
      <c r="B1951" s="361" t="s">
        <v>1988</v>
      </c>
      <c r="C1951" s="360"/>
      <c r="D1951" s="327">
        <f>IF($B1951="","",COUNTIF($B$6:$B1951,$B1951))</f>
        <v>15</v>
      </c>
      <c r="E1951" s="374" t="s">
        <v>96</v>
      </c>
      <c r="F1951" s="375" t="s">
        <v>259</v>
      </c>
      <c r="G1951" s="377" t="s">
        <v>155</v>
      </c>
      <c r="H1951" s="327"/>
      <c r="I1951" s="377">
        <v>1</v>
      </c>
      <c r="J1951" s="374"/>
      <c r="K1951" s="377"/>
      <c r="L1951" s="412">
        <v>32000</v>
      </c>
      <c r="M1951" s="371"/>
      <c r="N1951" s="355" t="str">
        <f t="shared" si="235"/>
        <v>PK</v>
      </c>
      <c r="O1951" s="345"/>
      <c r="P1951" s="392"/>
      <c r="Q1951" s="327"/>
      <c r="R1951" s="351"/>
      <c r="S1951" s="351"/>
      <c r="T1951" s="351"/>
      <c r="U1951" s="329" t="str">
        <f>IF($N1951=$N$4,IFERROR(INDEX(DanhMuc!$E$154:$E$165,MATCH(MID($B1951,4,2),DanhMuc!$B$154:$B$165,0)),""),"")</f>
        <v/>
      </c>
      <c r="V1951" s="361"/>
      <c r="W1951" s="345"/>
      <c r="X1951" s="329" t="str">
        <f t="shared" si="236"/>
        <v>3H</v>
      </c>
      <c r="Y1951" s="1128" t="s">
        <v>3380</v>
      </c>
      <c r="Z1951" s="1128" t="s">
        <v>3381</v>
      </c>
      <c r="AA1951" s="1128" t="s">
        <v>3384</v>
      </c>
      <c r="AB1951" s="20"/>
      <c r="AC1951" s="73"/>
    </row>
    <row r="1952" spans="1:29">
      <c r="A1952" s="327" t="str">
        <f>IF(AND($B1952&lt;&gt;"",$C1952&lt;&gt;""),MAX($A$1556:A1951)+1,"")</f>
        <v/>
      </c>
      <c r="B1952" s="361" t="s">
        <v>1988</v>
      </c>
      <c r="C1952" s="360"/>
      <c r="D1952" s="327">
        <f>IF($B1952="","",COUNTIF($B$6:$B1952,$B1952))</f>
        <v>16</v>
      </c>
      <c r="E1952" s="374" t="s">
        <v>364</v>
      </c>
      <c r="F1952" s="375" t="s">
        <v>365</v>
      </c>
      <c r="G1952" s="377" t="s">
        <v>155</v>
      </c>
      <c r="H1952" s="327"/>
      <c r="I1952" s="377">
        <v>2</v>
      </c>
      <c r="J1952" s="374"/>
      <c r="K1952" s="377"/>
      <c r="L1952" s="412">
        <v>10000</v>
      </c>
      <c r="M1952" s="371"/>
      <c r="N1952" s="355" t="str">
        <f t="shared" si="235"/>
        <v>PK</v>
      </c>
      <c r="O1952" s="345"/>
      <c r="P1952" s="392"/>
      <c r="Q1952" s="327"/>
      <c r="R1952" s="351"/>
      <c r="S1952" s="351"/>
      <c r="T1952" s="351"/>
      <c r="U1952" s="329" t="str">
        <f>IF($N1952=$N$4,IFERROR(INDEX(DanhMuc!$E$154:$E$165,MATCH(MID($B1952,4,2),DanhMuc!$B$154:$B$165,0)),""),"")</f>
        <v/>
      </c>
      <c r="V1952" s="361"/>
      <c r="W1952" s="345"/>
      <c r="X1952" s="329" t="str">
        <f t="shared" si="236"/>
        <v>3H</v>
      </c>
      <c r="Y1952" s="1128" t="s">
        <v>3380</v>
      </c>
      <c r="Z1952" s="1128" t="s">
        <v>3381</v>
      </c>
      <c r="AA1952" s="1128" t="s">
        <v>3384</v>
      </c>
      <c r="AB1952" s="20"/>
      <c r="AC1952" s="73"/>
    </row>
    <row r="1953" spans="1:29">
      <c r="A1953" s="327" t="str">
        <f>IF(AND($B1953&lt;&gt;"",$C1953&lt;&gt;""),MAX($A$1556:A1952)+1,"")</f>
        <v/>
      </c>
      <c r="B1953" s="361" t="s">
        <v>1988</v>
      </c>
      <c r="C1953" s="360"/>
      <c r="D1953" s="327">
        <f>IF($B1953="","",COUNTIF($B$6:$B1953,$B1953))</f>
        <v>17</v>
      </c>
      <c r="E1953" s="402" t="s">
        <v>2284</v>
      </c>
      <c r="F1953" s="403" t="s">
        <v>197</v>
      </c>
      <c r="G1953" s="327" t="s">
        <v>155</v>
      </c>
      <c r="H1953" s="327" t="s">
        <v>536</v>
      </c>
      <c r="I1953" s="327">
        <v>1</v>
      </c>
      <c r="J1953" s="345"/>
      <c r="K1953" s="327"/>
      <c r="L1953" s="389">
        <v>135000</v>
      </c>
      <c r="M1953" s="371"/>
      <c r="N1953" s="355" t="str">
        <f t="shared" si="235"/>
        <v>PK</v>
      </c>
      <c r="O1953" s="345" t="s">
        <v>1626</v>
      </c>
      <c r="P1953" s="392"/>
      <c r="Q1953" s="327"/>
      <c r="R1953" s="351"/>
      <c r="S1953" s="351"/>
      <c r="T1953" s="351"/>
      <c r="U1953" s="329" t="str">
        <f>IF($N1953=$N$4,IFERROR(INDEX(DanhMuc!$E$154:$E$165,MATCH(MID($B1953,4,2),DanhMuc!$B$154:$B$165,0)),""),"")</f>
        <v/>
      </c>
      <c r="V1953" s="361"/>
      <c r="W1953" s="345"/>
      <c r="X1953" s="329" t="str">
        <f t="shared" si="236"/>
        <v>3H</v>
      </c>
      <c r="Y1953" s="1128" t="s">
        <v>3380</v>
      </c>
      <c r="Z1953" s="1128" t="s">
        <v>3381</v>
      </c>
      <c r="AA1953" s="1128" t="s">
        <v>3384</v>
      </c>
      <c r="AB1953" s="20"/>
      <c r="AC1953" s="73"/>
    </row>
    <row r="1954" spans="1:29">
      <c r="A1954" s="327" t="str">
        <f>IF(AND($B1954&lt;&gt;"",$C1954&lt;&gt;""),MAX($A$1556:A1953)+1,"")</f>
        <v/>
      </c>
      <c r="B1954" s="361" t="s">
        <v>1988</v>
      </c>
      <c r="C1954" s="360"/>
      <c r="D1954" s="327">
        <f>IF($B1954="","",COUNTIF($B$6:$B1954,$B1954))</f>
        <v>18</v>
      </c>
      <c r="E1954" s="402" t="s">
        <v>2284</v>
      </c>
      <c r="F1954" s="403" t="s">
        <v>197</v>
      </c>
      <c r="G1954" s="327" t="s">
        <v>155</v>
      </c>
      <c r="H1954" s="327" t="s">
        <v>536</v>
      </c>
      <c r="I1954" s="327">
        <v>1</v>
      </c>
      <c r="J1954" s="345"/>
      <c r="K1954" s="327"/>
      <c r="L1954" s="389">
        <v>135000</v>
      </c>
      <c r="M1954" s="371"/>
      <c r="N1954" s="355" t="str">
        <f t="shared" si="235"/>
        <v>PK</v>
      </c>
      <c r="O1954" s="345" t="s">
        <v>2722</v>
      </c>
      <c r="P1954" s="392"/>
      <c r="Q1954" s="327"/>
      <c r="R1954" s="351"/>
      <c r="S1954" s="351"/>
      <c r="T1954" s="351"/>
      <c r="U1954" s="329" t="str">
        <f>IF($N1954=$N$4,IFERROR(INDEX(DanhMuc!$E$154:$E$165,MATCH(MID($B1954,4,2),DanhMuc!$B$154:$B$165,0)),""),"")</f>
        <v/>
      </c>
      <c r="V1954" s="361"/>
      <c r="W1954" s="345"/>
      <c r="X1954" s="329" t="str">
        <f t="shared" si="236"/>
        <v>3H</v>
      </c>
      <c r="Y1954" s="1128" t="s">
        <v>3380</v>
      </c>
      <c r="Z1954" s="1128" t="s">
        <v>3381</v>
      </c>
      <c r="AA1954" s="1128" t="s">
        <v>3384</v>
      </c>
      <c r="AB1954" s="20"/>
      <c r="AC1954" s="73"/>
    </row>
    <row r="1955" spans="1:29">
      <c r="A1955" s="327" t="str">
        <f>IF(AND($B1955&lt;&gt;"",$C1955&lt;&gt;""),MAX($A$1556:A1952)+1,"")</f>
        <v/>
      </c>
      <c r="B1955" s="361" t="s">
        <v>1988</v>
      </c>
      <c r="C1955" s="360"/>
      <c r="D1955" s="327">
        <f>IF($B1955="","",COUNTIF($B$6:$B1955,$B1955))</f>
        <v>19</v>
      </c>
      <c r="E1955" s="365" t="s">
        <v>327</v>
      </c>
      <c r="F1955" s="368" t="s">
        <v>345</v>
      </c>
      <c r="G1955" s="367" t="s">
        <v>690</v>
      </c>
      <c r="H1955" s="327" t="s">
        <v>536</v>
      </c>
      <c r="I1955" s="327">
        <v>1</v>
      </c>
      <c r="J1955" s="345" t="s">
        <v>634</v>
      </c>
      <c r="K1955" s="327"/>
      <c r="L1955" s="348">
        <f>+$S1955*$T1955*$L$37</f>
        <v>84651</v>
      </c>
      <c r="M1955" s="371"/>
      <c r="N1955" s="369" t="s">
        <v>150</v>
      </c>
      <c r="O1955" s="345" t="s">
        <v>2722</v>
      </c>
      <c r="P1955" s="392"/>
      <c r="Q1955" s="327"/>
      <c r="R1955" s="351">
        <v>2.5</v>
      </c>
      <c r="S1955" s="351">
        <v>5.8</v>
      </c>
      <c r="T1955" s="351">
        <v>0.13900000000000001</v>
      </c>
      <c r="U1955" s="329">
        <f>IF($N1955=$N$4,IFERROR(INDEX(DanhMuc!$E$154:$E$165,MATCH(MID($B1955,4,2),DanhMuc!$B$154:$B$165,0)),""),"")</f>
        <v>5800</v>
      </c>
      <c r="V1955" s="361"/>
      <c r="W1955" s="345"/>
      <c r="X1955" s="329" t="str">
        <f t="shared" si="236"/>
        <v>C459</v>
      </c>
      <c r="Y1955" s="1128" t="s">
        <v>3380</v>
      </c>
      <c r="Z1955" s="1128" t="s">
        <v>3381</v>
      </c>
      <c r="AA1955" s="1128" t="s">
        <v>3384</v>
      </c>
      <c r="AB1955" s="20"/>
      <c r="AC1955" s="73"/>
    </row>
    <row r="1956" spans="1:29">
      <c r="A1956" s="327" t="str">
        <f>IF(AND($B1956&lt;&gt;"",$C1956&lt;&gt;""),MAX($A$1556:A1953)+1,"")</f>
        <v/>
      </c>
      <c r="B1956" s="361" t="s">
        <v>1988</v>
      </c>
      <c r="C1956" s="360"/>
      <c r="D1956" s="327">
        <f>IF($B1956="","",COUNTIF($B$6:$B1956,$B1956))</f>
        <v>20</v>
      </c>
      <c r="E1956" s="402" t="s">
        <v>20</v>
      </c>
      <c r="F1956" s="403" t="s">
        <v>79</v>
      </c>
      <c r="G1956" s="327" t="s">
        <v>155</v>
      </c>
      <c r="H1956" s="327" t="s">
        <v>536</v>
      </c>
      <c r="I1956" s="327">
        <v>1</v>
      </c>
      <c r="J1956" s="345"/>
      <c r="K1956" s="327"/>
      <c r="L1956" s="389">
        <v>185000</v>
      </c>
      <c r="M1956" s="371"/>
      <c r="N1956" s="355" t="str">
        <f t="shared" si="235"/>
        <v>PK</v>
      </c>
      <c r="O1956" s="404" t="s">
        <v>2721</v>
      </c>
      <c r="P1956" s="392"/>
      <c r="Q1956" s="327"/>
      <c r="R1956" s="351"/>
      <c r="S1956" s="351"/>
      <c r="T1956" s="351"/>
      <c r="U1956" s="329" t="str">
        <f>IF($N1956=$N$4,IFERROR(INDEX(DanhMuc!$E$154:$E$165,MATCH(MID($B1956,4,2),DanhMuc!$B$154:$B$165,0)),""),"")</f>
        <v/>
      </c>
      <c r="V1956" s="361"/>
      <c r="W1956" s="345"/>
      <c r="X1956" s="329" t="str">
        <f t="shared" si="236"/>
        <v>3H</v>
      </c>
      <c r="Y1956" s="1128" t="s">
        <v>3380</v>
      </c>
      <c r="Z1956" s="1128" t="s">
        <v>3381</v>
      </c>
      <c r="AA1956" s="1128" t="s">
        <v>3384</v>
      </c>
      <c r="AB1956" s="20"/>
      <c r="AC1956" s="73"/>
    </row>
    <row r="1957" spans="1:29">
      <c r="A1957" s="327" t="str">
        <f>IF(AND($B1957&lt;&gt;"",$C1957&lt;&gt;""),MAX($A$1556:A1956)+1,"")</f>
        <v/>
      </c>
      <c r="B1957" s="361" t="s">
        <v>1988</v>
      </c>
      <c r="C1957" s="360"/>
      <c r="D1957" s="327">
        <f>IF($B1957="","",COUNTIF($B$6:$B1957,$B1957))</f>
        <v>21</v>
      </c>
      <c r="E1957" s="361" t="s">
        <v>673</v>
      </c>
      <c r="F1957" s="362" t="s">
        <v>1075</v>
      </c>
      <c r="G1957" s="327" t="s">
        <v>155</v>
      </c>
      <c r="H1957" s="327" t="s">
        <v>536</v>
      </c>
      <c r="I1957" s="327">
        <v>2</v>
      </c>
      <c r="J1957" s="345"/>
      <c r="K1957" s="327"/>
      <c r="L1957" s="389">
        <v>17000</v>
      </c>
      <c r="M1957" s="371"/>
      <c r="N1957" s="355" t="str">
        <f t="shared" si="235"/>
        <v>PK</v>
      </c>
      <c r="O1957" s="404" t="s">
        <v>2721</v>
      </c>
      <c r="P1957" s="392"/>
      <c r="Q1957" s="327"/>
      <c r="R1957" s="351"/>
      <c r="S1957" s="351"/>
      <c r="T1957" s="351"/>
      <c r="U1957" s="329" t="str">
        <f>IF($N1957=$N$4,IFERROR(INDEX(DanhMuc!$E$154:$E$165,MATCH(MID($B1957,4,2),DanhMuc!$B$154:$B$165,0)),""),"")</f>
        <v/>
      </c>
      <c r="V1957" s="361"/>
      <c r="W1957" s="345"/>
      <c r="X1957" s="329" t="str">
        <f t="shared" si="236"/>
        <v>3H</v>
      </c>
      <c r="Y1957" s="1128" t="s">
        <v>3380</v>
      </c>
      <c r="Z1957" s="1128" t="s">
        <v>3381</v>
      </c>
      <c r="AA1957" s="1128" t="s">
        <v>3384</v>
      </c>
      <c r="AB1957" s="20"/>
      <c r="AC1957" s="73"/>
    </row>
    <row r="1958" spans="1:29">
      <c r="A1958" s="327" t="str">
        <f>IF(AND($B1958&lt;&gt;"",$C1958&lt;&gt;""),MAX($A$1556:A1957)+1,"")</f>
        <v/>
      </c>
      <c r="B1958" s="361" t="s">
        <v>1988</v>
      </c>
      <c r="C1958" s="360"/>
      <c r="D1958" s="327">
        <f>IF($B1958="","",COUNTIF($B$6:$B1958,$B1958))</f>
        <v>22</v>
      </c>
      <c r="E1958" s="402" t="s">
        <v>91</v>
      </c>
      <c r="F1958" s="403" t="s">
        <v>92</v>
      </c>
      <c r="G1958" s="327" t="s">
        <v>155</v>
      </c>
      <c r="H1958" s="327" t="s">
        <v>536</v>
      </c>
      <c r="I1958" s="327">
        <v>2</v>
      </c>
      <c r="J1958" s="345"/>
      <c r="K1958" s="327"/>
      <c r="L1958" s="389">
        <v>6500</v>
      </c>
      <c r="M1958" s="371"/>
      <c r="N1958" s="355" t="str">
        <f>+$N$1555</f>
        <v>PK</v>
      </c>
      <c r="O1958" s="404" t="s">
        <v>2721</v>
      </c>
      <c r="P1958" s="392"/>
      <c r="Q1958" s="327"/>
      <c r="R1958" s="351"/>
      <c r="S1958" s="351"/>
      <c r="T1958" s="351"/>
      <c r="U1958" s="329" t="str">
        <f>IF($N1958=$N$4,IFERROR(INDEX(DanhMuc!$E$154:$E$165,MATCH(MID($B1958,4,2),DanhMuc!$B$154:$B$165,0)),""),"")</f>
        <v/>
      </c>
      <c r="V1958" s="361"/>
      <c r="W1958" s="345"/>
      <c r="X1958" s="329" t="str">
        <f t="shared" si="236"/>
        <v>3H</v>
      </c>
      <c r="Y1958" s="1128" t="s">
        <v>3380</v>
      </c>
      <c r="Z1958" s="1128" t="s">
        <v>3381</v>
      </c>
      <c r="AA1958" s="1128" t="s">
        <v>3384</v>
      </c>
      <c r="AB1958" s="20"/>
      <c r="AC1958" s="73"/>
    </row>
    <row r="1959" spans="1:29">
      <c r="A1959" s="327" t="str">
        <f>IF(AND($B1959&lt;&gt;"",$C1959&lt;&gt;""),MAX($A$1556:A1957)+1,"")</f>
        <v/>
      </c>
      <c r="B1959" s="361" t="s">
        <v>1988</v>
      </c>
      <c r="C1959" s="360"/>
      <c r="D1959" s="327">
        <f>IF($B1959="","",COUNTIF($B$6:$B1959,$B1959))</f>
        <v>23</v>
      </c>
      <c r="E1959" s="365" t="s">
        <v>327</v>
      </c>
      <c r="F1959" s="368" t="s">
        <v>345</v>
      </c>
      <c r="G1959" s="367" t="s">
        <v>690</v>
      </c>
      <c r="H1959" s="327" t="s">
        <v>536</v>
      </c>
      <c r="I1959" s="327">
        <v>1</v>
      </c>
      <c r="J1959" s="345" t="s">
        <v>634</v>
      </c>
      <c r="K1959" s="327"/>
      <c r="L1959" s="348">
        <f>+$S1959*$T1959*$L$37</f>
        <v>84651</v>
      </c>
      <c r="M1959" s="371"/>
      <c r="N1959" s="369" t="s">
        <v>150</v>
      </c>
      <c r="O1959" s="404" t="s">
        <v>2721</v>
      </c>
      <c r="P1959" s="392"/>
      <c r="Q1959" s="327"/>
      <c r="R1959" s="351">
        <v>2.5</v>
      </c>
      <c r="S1959" s="351">
        <v>5.8</v>
      </c>
      <c r="T1959" s="351">
        <v>0.13900000000000001</v>
      </c>
      <c r="U1959" s="329">
        <f>IF($N1959=$N$4,IFERROR(INDEX(DanhMuc!$E$154:$E$165,MATCH(MID($B1959,4,2),DanhMuc!$B$154:$B$165,0)),""),"")</f>
        <v>5800</v>
      </c>
      <c r="V1959" s="361"/>
      <c r="W1959" s="345"/>
      <c r="X1959" s="329" t="str">
        <f t="shared" si="236"/>
        <v>C459</v>
      </c>
      <c r="Y1959" s="1128" t="s">
        <v>3380</v>
      </c>
      <c r="Z1959" s="1128" t="s">
        <v>3381</v>
      </c>
      <c r="AA1959" s="1128" t="s">
        <v>3384</v>
      </c>
      <c r="AB1959" s="20"/>
      <c r="AC1959" s="73"/>
    </row>
    <row r="1960" spans="1:29">
      <c r="A1960" s="327" t="str">
        <f>IF(AND($B1960&lt;&gt;"",$C1960&lt;&gt;""),MAX($A$1556:A1953)+1,"")</f>
        <v/>
      </c>
      <c r="B1960" s="361" t="s">
        <v>1988</v>
      </c>
      <c r="C1960" s="360"/>
      <c r="D1960" s="327">
        <f>IF($B1960="","",COUNTIF($B$6:$B1960,$B1960))</f>
        <v>24</v>
      </c>
      <c r="E1960" s="399" t="s">
        <v>198</v>
      </c>
      <c r="F1960" s="400" t="s">
        <v>322</v>
      </c>
      <c r="G1960" s="327" t="s">
        <v>155</v>
      </c>
      <c r="H1960" s="327" t="s">
        <v>536</v>
      </c>
      <c r="I1960" s="327">
        <v>1</v>
      </c>
      <c r="J1960" s="345"/>
      <c r="K1960" s="327"/>
      <c r="L1960" s="389">
        <v>140000</v>
      </c>
      <c r="M1960" s="371"/>
      <c r="N1960" s="355" t="str">
        <f t="shared" si="235"/>
        <v>PK</v>
      </c>
      <c r="O1960" s="345" t="s">
        <v>2699</v>
      </c>
      <c r="P1960" s="392"/>
      <c r="Q1960" s="327"/>
      <c r="R1960" s="351"/>
      <c r="S1960" s="351"/>
      <c r="T1960" s="351"/>
      <c r="U1960" s="329" t="str">
        <f>IF($N1960=$N$4,IFERROR(INDEX(DanhMuc!$E$154:$E$165,MATCH(MID($B1960,4,2),DanhMuc!$B$154:$B$165,0)),""),"")</f>
        <v/>
      </c>
      <c r="V1960" s="361"/>
      <c r="W1960" s="345"/>
      <c r="X1960" s="329" t="str">
        <f t="shared" si="236"/>
        <v>3H</v>
      </c>
      <c r="Y1960" s="1128" t="s">
        <v>3380</v>
      </c>
      <c r="Z1960" s="1128" t="s">
        <v>3381</v>
      </c>
      <c r="AA1960" s="1128" t="s">
        <v>3384</v>
      </c>
      <c r="AB1960" s="20"/>
      <c r="AC1960" s="73"/>
    </row>
    <row r="1961" spans="1:29">
      <c r="A1961" s="327" t="str">
        <f>IF(AND($B1961&lt;&gt;"",$C1961&lt;&gt;""),MAX($A$1556:A1960)+1,"")</f>
        <v/>
      </c>
      <c r="B1961" s="361" t="s">
        <v>1988</v>
      </c>
      <c r="C1961" s="360"/>
      <c r="D1961" s="327">
        <f>IF($B1961="","",COUNTIF($B$6:$B1961,$B1961))</f>
        <v>25</v>
      </c>
      <c r="E1961" s="399" t="s">
        <v>2732</v>
      </c>
      <c r="F1961" s="400" t="s">
        <v>1208</v>
      </c>
      <c r="G1961" s="327" t="s">
        <v>155</v>
      </c>
      <c r="H1961" s="327" t="s">
        <v>536</v>
      </c>
      <c r="I1961" s="327">
        <v>1</v>
      </c>
      <c r="J1961" s="345"/>
      <c r="K1961" s="327"/>
      <c r="L1961" s="389">
        <v>140000</v>
      </c>
      <c r="M1961" s="371"/>
      <c r="N1961" s="355" t="str">
        <f t="shared" si="235"/>
        <v>PK</v>
      </c>
      <c r="O1961" s="345" t="s">
        <v>1060</v>
      </c>
      <c r="P1961" s="392"/>
      <c r="Q1961" s="327"/>
      <c r="R1961" s="351"/>
      <c r="S1961" s="351"/>
      <c r="T1961" s="351"/>
      <c r="U1961" s="329" t="str">
        <f>IF($N1961=$N$4,IFERROR(INDEX(DanhMuc!$E$154:$E$165,MATCH(MID($B1961,4,2),DanhMuc!$B$154:$B$165,0)),""),"")</f>
        <v/>
      </c>
      <c r="V1961" s="361"/>
      <c r="W1961" s="345"/>
      <c r="X1961" s="329" t="str">
        <f t="shared" si="236"/>
        <v>3H</v>
      </c>
      <c r="Y1961" s="1128" t="s">
        <v>3380</v>
      </c>
      <c r="Z1961" s="1128" t="s">
        <v>3381</v>
      </c>
      <c r="AA1961" s="1128" t="s">
        <v>3384</v>
      </c>
      <c r="AB1961" s="20"/>
      <c r="AC1961" s="73"/>
    </row>
    <row r="1962" spans="1:29">
      <c r="A1962" s="327" t="str">
        <f>IF(AND($B1962&lt;&gt;"",$C1962&lt;&gt;""),MAX($A$1556:A1961)+1,"")</f>
        <v/>
      </c>
      <c r="B1962" s="361" t="s">
        <v>1988</v>
      </c>
      <c r="C1962" s="360"/>
      <c r="D1962" s="327">
        <f>IF($B1962="","",COUNTIF($B$6:$B1962,$B1962))</f>
        <v>26</v>
      </c>
      <c r="E1962" s="361" t="s">
        <v>87</v>
      </c>
      <c r="F1962" s="362" t="s">
        <v>196</v>
      </c>
      <c r="G1962" s="351" t="s">
        <v>155</v>
      </c>
      <c r="H1962" s="327"/>
      <c r="I1962" s="327">
        <v>1</v>
      </c>
      <c r="J1962" s="361"/>
      <c r="K1962" s="327"/>
      <c r="L1962" s="389">
        <v>135000</v>
      </c>
      <c r="M1962" s="371"/>
      <c r="N1962" s="355" t="str">
        <f t="shared" si="235"/>
        <v>PK</v>
      </c>
      <c r="O1962" s="404"/>
      <c r="P1962" s="392"/>
      <c r="Q1962" s="327"/>
      <c r="R1962" s="351"/>
      <c r="S1962" s="351"/>
      <c r="T1962" s="351"/>
      <c r="U1962" s="329" t="str">
        <f>IF($N1962=$N$4,IFERROR(INDEX(DanhMuc!$E$154:$E$165,MATCH(MID($B1962,4,2),DanhMuc!$B$154:$B$165,0)),""),"")</f>
        <v/>
      </c>
      <c r="V1962" s="361"/>
      <c r="W1962" s="345"/>
      <c r="X1962" s="329" t="str">
        <f t="shared" si="236"/>
        <v>3H</v>
      </c>
      <c r="Y1962" s="1128" t="s">
        <v>3380</v>
      </c>
      <c r="Z1962" s="1128" t="s">
        <v>3381</v>
      </c>
      <c r="AA1962" s="1128" t="s">
        <v>3384</v>
      </c>
      <c r="AB1962" s="20"/>
      <c r="AC1962" s="73"/>
    </row>
    <row r="1963" spans="1:29">
      <c r="A1963" s="327" t="str">
        <f>IF(AND($B1963&lt;&gt;"",$C1963&lt;&gt;""),MAX($A$1556:A1962)+1,"")</f>
        <v/>
      </c>
      <c r="B1963" s="361" t="s">
        <v>1988</v>
      </c>
      <c r="C1963" s="360"/>
      <c r="D1963" s="327">
        <f>IF($B1963="","",COUNTIF($B$6:$B1963,$B1963))</f>
        <v>27</v>
      </c>
      <c r="E1963" s="361" t="s">
        <v>199</v>
      </c>
      <c r="F1963" s="362" t="s">
        <v>200</v>
      </c>
      <c r="G1963" s="327" t="s">
        <v>155</v>
      </c>
      <c r="H1963" s="327" t="s">
        <v>536</v>
      </c>
      <c r="I1963" s="327">
        <v>1</v>
      </c>
      <c r="J1963" s="361"/>
      <c r="K1963" s="327"/>
      <c r="L1963" s="389">
        <v>28000</v>
      </c>
      <c r="M1963" s="371"/>
      <c r="N1963" s="355" t="str">
        <f t="shared" si="235"/>
        <v>PK</v>
      </c>
      <c r="O1963" s="414"/>
      <c r="P1963" s="392"/>
      <c r="Q1963" s="327"/>
      <c r="R1963" s="351"/>
      <c r="S1963" s="351"/>
      <c r="T1963" s="351"/>
      <c r="U1963" s="329" t="str">
        <f>IF($N1963=$N$4,IFERROR(INDEX(DanhMuc!$E$154:$E$165,MATCH(MID($B1963,4,2),DanhMuc!$B$154:$B$165,0)),""),"")</f>
        <v/>
      </c>
      <c r="V1963" s="361"/>
      <c r="W1963" s="345"/>
      <c r="X1963" s="329" t="str">
        <f t="shared" si="236"/>
        <v>3H</v>
      </c>
      <c r="Y1963" s="1128" t="s">
        <v>3380</v>
      </c>
      <c r="Z1963" s="1128" t="s">
        <v>3381</v>
      </c>
      <c r="AA1963" s="1128" t="s">
        <v>3384</v>
      </c>
      <c r="AB1963" s="20"/>
      <c r="AC1963" s="73"/>
    </row>
    <row r="1964" spans="1:29">
      <c r="A1964" s="327" t="str">
        <f>IF(AND($B1964&lt;&gt;"",$C1964&lt;&gt;""),MAX($A$1556:A1962)+1,"")</f>
        <v/>
      </c>
      <c r="B1964" s="361" t="s">
        <v>1988</v>
      </c>
      <c r="C1964" s="360"/>
      <c r="D1964" s="327">
        <f>IF($B1964="","",COUNTIF($B$6:$B1964,$B1964))</f>
        <v>28</v>
      </c>
      <c r="E1964" s="361" t="s">
        <v>1444</v>
      </c>
      <c r="F1964" s="362" t="s">
        <v>2356</v>
      </c>
      <c r="G1964" s="327" t="s">
        <v>297</v>
      </c>
      <c r="H1964" s="327"/>
      <c r="I1964" s="327">
        <v>3</v>
      </c>
      <c r="J1964" s="345"/>
      <c r="K1964" s="327"/>
      <c r="L1964" s="389">
        <v>17000</v>
      </c>
      <c r="M1964" s="371"/>
      <c r="N1964" s="355" t="str">
        <f>+$N$1555</f>
        <v>PK</v>
      </c>
      <c r="O1964" s="347"/>
      <c r="P1964" s="392"/>
      <c r="Q1964" s="327"/>
      <c r="R1964" s="351"/>
      <c r="S1964" s="351"/>
      <c r="T1964" s="351"/>
      <c r="U1964" s="329" t="str">
        <f>IF($N1964=$N$4,IFERROR(INDEX(DanhMuc!$E$154:$E$165,MATCH(MID($B1964,4,2),DanhMuc!$B$154:$B$165,0)),""),"")</f>
        <v/>
      </c>
      <c r="V1964" s="408" t="s">
        <v>343</v>
      </c>
      <c r="W1964" s="345"/>
      <c r="X1964" s="329" t="str">
        <f t="shared" si="236"/>
        <v>3H</v>
      </c>
      <c r="Y1964" s="1128" t="s">
        <v>3380</v>
      </c>
      <c r="Z1964" s="1128" t="s">
        <v>3381</v>
      </c>
      <c r="AA1964" s="1128" t="s">
        <v>3384</v>
      </c>
      <c r="AB1964" s="20"/>
      <c r="AC1964" s="73"/>
    </row>
    <row r="1965" spans="1:29" ht="26">
      <c r="A1965" s="327">
        <f>IF(AND($B1965&lt;&gt;"",$C1965&lt;&gt;""),MAX($A$1556:A1963)+1,"")</f>
        <v>12</v>
      </c>
      <c r="B1965" s="359" t="s">
        <v>1989</v>
      </c>
      <c r="C1965" s="360" t="s">
        <v>1542</v>
      </c>
      <c r="D1965" s="327">
        <f>IF($B1965="","",COUNTIF($B$6:$B1965,$B1965))</f>
        <v>1</v>
      </c>
      <c r="E1965" s="361" t="s">
        <v>2077</v>
      </c>
      <c r="F1965" s="362" t="s">
        <v>2078</v>
      </c>
      <c r="G1965" s="327" t="s">
        <v>155</v>
      </c>
      <c r="H1965" s="327"/>
      <c r="I1965" s="327">
        <v>1</v>
      </c>
      <c r="J1965" s="361"/>
      <c r="K1965" s="327"/>
      <c r="L1965" s="389">
        <v>66000</v>
      </c>
      <c r="M1965" s="371"/>
      <c r="N1965" s="355" t="str">
        <f t="shared" ref="N1965:N1970" si="237">+$N$1555</f>
        <v>PK</v>
      </c>
      <c r="O1965" s="345" t="s">
        <v>2733</v>
      </c>
      <c r="P1965" s="392"/>
      <c r="Q1965" s="327"/>
      <c r="R1965" s="351"/>
      <c r="S1965" s="351"/>
      <c r="T1965" s="351"/>
      <c r="U1965" s="329" t="str">
        <f>IF($N1965=$N$4,IFERROR(INDEX(DanhMuc!$E$154:$E$165,MATCH(MID($B1965,4,2),DanhMuc!$B$154:$B$165,0)),""),"")</f>
        <v/>
      </c>
      <c r="V1965" s="361"/>
      <c r="W1965" s="345"/>
      <c r="X1965" s="329" t="str">
        <f t="shared" si="236"/>
        <v>3H</v>
      </c>
      <c r="Y1965" s="1128" t="s">
        <v>3380</v>
      </c>
      <c r="Z1965" s="1128" t="s">
        <v>3381</v>
      </c>
      <c r="AA1965" s="1128" t="s">
        <v>3384</v>
      </c>
      <c r="AB1965" s="20"/>
      <c r="AC1965" s="73"/>
    </row>
    <row r="1966" spans="1:29" ht="25">
      <c r="A1966" s="327" t="str">
        <f>IF(AND($B1966&lt;&gt;"",$C1966&lt;&gt;""),MAX($A$1556:A1964)+1,"")</f>
        <v/>
      </c>
      <c r="B1966" s="361" t="s">
        <v>1989</v>
      </c>
      <c r="C1966" s="362"/>
      <c r="D1966" s="327">
        <f>IF($B1966="","",COUNTIF($B$6:$B1966,$B1966))</f>
        <v>2</v>
      </c>
      <c r="E1966" s="361" t="s">
        <v>209</v>
      </c>
      <c r="F1966" s="362" t="s">
        <v>210</v>
      </c>
      <c r="G1966" s="327" t="s">
        <v>155</v>
      </c>
      <c r="H1966" s="327"/>
      <c r="I1966" s="327">
        <v>1</v>
      </c>
      <c r="J1966" s="361"/>
      <c r="K1966" s="327"/>
      <c r="L1966" s="389">
        <v>70000</v>
      </c>
      <c r="M1966" s="371"/>
      <c r="N1966" s="355" t="str">
        <f t="shared" si="237"/>
        <v>PK</v>
      </c>
      <c r="O1966" s="345" t="s">
        <v>1782</v>
      </c>
      <c r="P1966" s="392"/>
      <c r="Q1966" s="327"/>
      <c r="R1966" s="351"/>
      <c r="S1966" s="351"/>
      <c r="T1966" s="351"/>
      <c r="U1966" s="329" t="str">
        <f>IF($N1966=$N$4,IFERROR(INDEX(DanhMuc!$E$154:$E$165,MATCH(MID($B1966,4,2),DanhMuc!$B$154:$B$165,0)),""),"")</f>
        <v/>
      </c>
      <c r="V1966" s="361"/>
      <c r="W1966" s="345"/>
      <c r="X1966" s="329" t="str">
        <f t="shared" si="236"/>
        <v>3H</v>
      </c>
      <c r="Y1966" s="1128" t="s">
        <v>3380</v>
      </c>
      <c r="Z1966" s="1128" t="s">
        <v>3381</v>
      </c>
      <c r="AA1966" s="1128" t="s">
        <v>3384</v>
      </c>
      <c r="AB1966" s="20"/>
      <c r="AC1966" s="73"/>
    </row>
    <row r="1967" spans="1:29" ht="25">
      <c r="A1967" s="327" t="str">
        <f>IF(AND($B1967&lt;&gt;"",$C1967&lt;&gt;""),MAX($A$1556:A1965)+1,"")</f>
        <v/>
      </c>
      <c r="B1967" s="361" t="s">
        <v>1989</v>
      </c>
      <c r="C1967" s="362"/>
      <c r="D1967" s="327">
        <f>IF($B1967="","",COUNTIF($B$6:$B1967,$B1967))</f>
        <v>3</v>
      </c>
      <c r="E1967" s="361" t="s">
        <v>2743</v>
      </c>
      <c r="F1967" s="362" t="s">
        <v>2744</v>
      </c>
      <c r="G1967" s="327" t="s">
        <v>155</v>
      </c>
      <c r="H1967" s="327"/>
      <c r="I1967" s="327">
        <v>1</v>
      </c>
      <c r="J1967" s="361"/>
      <c r="K1967" s="327"/>
      <c r="L1967" s="389">
        <v>120000</v>
      </c>
      <c r="M1967" s="371"/>
      <c r="N1967" s="355" t="str">
        <f t="shared" si="237"/>
        <v>PK</v>
      </c>
      <c r="O1967" s="345" t="s">
        <v>2742</v>
      </c>
      <c r="P1967" s="392"/>
      <c r="Q1967" s="327"/>
      <c r="R1967" s="351"/>
      <c r="S1967" s="351"/>
      <c r="T1967" s="351"/>
      <c r="U1967" s="329" t="str">
        <f>IF($N1967=$N$4,IFERROR(INDEX(DanhMuc!$E$154:$E$165,MATCH(MID($B1967,4,2),DanhMuc!$B$154:$B$165,0)),""),"")</f>
        <v/>
      </c>
      <c r="V1967" s="361"/>
      <c r="W1967" s="345"/>
      <c r="X1967" s="329" t="str">
        <f t="shared" si="236"/>
        <v>3H</v>
      </c>
      <c r="Y1967" s="1128" t="s">
        <v>3380</v>
      </c>
      <c r="Z1967" s="1128" t="s">
        <v>3381</v>
      </c>
      <c r="AA1967" s="1128" t="s">
        <v>3384</v>
      </c>
      <c r="AB1967" s="20"/>
      <c r="AC1967" s="73"/>
    </row>
    <row r="1968" spans="1:29">
      <c r="A1968" s="327" t="str">
        <f>IF(AND($B1968&lt;&gt;"",$C1968&lt;&gt;""),MAX($A$1556:A1965)+1,"")</f>
        <v/>
      </c>
      <c r="B1968" s="361" t="s">
        <v>1989</v>
      </c>
      <c r="C1968" s="360"/>
      <c r="D1968" s="327">
        <f>IF($B1968="","",COUNTIF($B$6:$B1968,$B1968))</f>
        <v>4</v>
      </c>
      <c r="E1968" s="361" t="s">
        <v>174</v>
      </c>
      <c r="F1968" s="362" t="s">
        <v>224</v>
      </c>
      <c r="G1968" s="327" t="s">
        <v>155</v>
      </c>
      <c r="H1968" s="327" t="s">
        <v>536</v>
      </c>
      <c r="I1968" s="327">
        <v>1</v>
      </c>
      <c r="J1968" s="361"/>
      <c r="K1968" s="327"/>
      <c r="L1968" s="389">
        <v>19000</v>
      </c>
      <c r="M1968" s="371"/>
      <c r="N1968" s="355" t="str">
        <f t="shared" si="237"/>
        <v>PK</v>
      </c>
      <c r="O1968" s="345" t="s">
        <v>1623</v>
      </c>
      <c r="P1968" s="392"/>
      <c r="Q1968" s="327"/>
      <c r="R1968" s="351"/>
      <c r="S1968" s="351"/>
      <c r="T1968" s="351"/>
      <c r="U1968" s="329" t="str">
        <f>IF($N1968=$N$4,IFERROR(INDEX(DanhMuc!$E$154:$E$165,MATCH(MID($B1968,4,2),DanhMuc!$B$154:$B$165,0)),""),"")</f>
        <v/>
      </c>
      <c r="V1968" s="361"/>
      <c r="W1968" s="345"/>
      <c r="X1968" s="329" t="str">
        <f t="shared" si="236"/>
        <v>3H</v>
      </c>
      <c r="Y1968" s="1128" t="s">
        <v>3380</v>
      </c>
      <c r="Z1968" s="1128" t="s">
        <v>3381</v>
      </c>
      <c r="AA1968" s="1128" t="s">
        <v>3384</v>
      </c>
      <c r="AB1968" s="20"/>
      <c r="AC1968" s="73"/>
    </row>
    <row r="1969" spans="1:29">
      <c r="A1969" s="327" t="str">
        <f>IF(AND($B1969&lt;&gt;"",$C1969&lt;&gt;""),MAX($A$1556:A1968)+1,"")</f>
        <v/>
      </c>
      <c r="B1969" s="361" t="s">
        <v>1989</v>
      </c>
      <c r="C1969" s="360"/>
      <c r="D1969" s="327">
        <f>IF($B1969="","",COUNTIF($B$6:$B1969,$B1969))</f>
        <v>5</v>
      </c>
      <c r="E1969" s="361" t="s">
        <v>632</v>
      </c>
      <c r="F1969" s="362" t="s">
        <v>633</v>
      </c>
      <c r="G1969" s="327" t="s">
        <v>155</v>
      </c>
      <c r="H1969" s="327" t="s">
        <v>536</v>
      </c>
      <c r="I1969" s="327">
        <v>2</v>
      </c>
      <c r="J1969" s="345"/>
      <c r="K1969" s="327"/>
      <c r="L1969" s="389">
        <v>17000</v>
      </c>
      <c r="M1969" s="371"/>
      <c r="N1969" s="355" t="str">
        <f t="shared" si="237"/>
        <v>PK</v>
      </c>
      <c r="O1969" s="345" t="s">
        <v>1623</v>
      </c>
      <c r="P1969" s="392"/>
      <c r="Q1969" s="327"/>
      <c r="R1969" s="351"/>
      <c r="S1969" s="351"/>
      <c r="T1969" s="351"/>
      <c r="U1969" s="329" t="str">
        <f>IF($N1969=$N$4,IFERROR(INDEX(DanhMuc!$E$154:$E$165,MATCH(MID($B1969,4,2),DanhMuc!$B$154:$B$165,0)),""),"")</f>
        <v/>
      </c>
      <c r="V1969" s="361"/>
      <c r="W1969" s="345"/>
      <c r="X1969" s="329" t="str">
        <f t="shared" si="236"/>
        <v>3H</v>
      </c>
      <c r="Y1969" s="1128" t="s">
        <v>3380</v>
      </c>
      <c r="Z1969" s="1128" t="s">
        <v>3381</v>
      </c>
      <c r="AA1969" s="1128" t="s">
        <v>3384</v>
      </c>
      <c r="AB1969" s="20"/>
      <c r="AC1969" s="73"/>
    </row>
    <row r="1970" spans="1:29">
      <c r="A1970" s="327" t="str">
        <f>IF(AND($B1970&lt;&gt;"",$C1970&lt;&gt;""),MAX($A$1556:A1969)+1,"")</f>
        <v/>
      </c>
      <c r="B1970" s="361" t="s">
        <v>1989</v>
      </c>
      <c r="C1970" s="360"/>
      <c r="D1970" s="327">
        <f>IF($B1970="","",COUNTIF($B$6:$B1970,$B1970))</f>
        <v>6</v>
      </c>
      <c r="E1970" s="361" t="s">
        <v>89</v>
      </c>
      <c r="F1970" s="362" t="s">
        <v>90</v>
      </c>
      <c r="G1970" s="327" t="s">
        <v>155</v>
      </c>
      <c r="H1970" s="327" t="s">
        <v>536</v>
      </c>
      <c r="I1970" s="327">
        <v>2</v>
      </c>
      <c r="J1970" s="345"/>
      <c r="K1970" s="327"/>
      <c r="L1970" s="389">
        <v>6500</v>
      </c>
      <c r="M1970" s="371"/>
      <c r="N1970" s="355" t="str">
        <f t="shared" si="237"/>
        <v>PK</v>
      </c>
      <c r="O1970" s="345"/>
      <c r="P1970" s="392"/>
      <c r="Q1970" s="327"/>
      <c r="R1970" s="351"/>
      <c r="S1970" s="351"/>
      <c r="T1970" s="351"/>
      <c r="U1970" s="329" t="str">
        <f>IF($N1970=$N$4,IFERROR(INDEX(DanhMuc!$E$154:$E$165,MATCH(MID($B1970,4,2),DanhMuc!$B$154:$B$165,0)),""),"")</f>
        <v/>
      </c>
      <c r="V1970" s="361"/>
      <c r="W1970" s="345"/>
      <c r="X1970" s="329" t="str">
        <f t="shared" si="236"/>
        <v>3H</v>
      </c>
      <c r="Y1970" s="1128" t="s">
        <v>3380</v>
      </c>
      <c r="Z1970" s="1128" t="s">
        <v>3381</v>
      </c>
      <c r="AA1970" s="1128" t="s">
        <v>3384</v>
      </c>
      <c r="AB1970" s="20"/>
      <c r="AC1970" s="73"/>
    </row>
    <row r="1971" spans="1:29">
      <c r="A1971" s="327" t="str">
        <f>IF(AND($B1971&lt;&gt;"",$C1971&lt;&gt;""),MAX($A$1556:A1970)+1,"")</f>
        <v/>
      </c>
      <c r="B1971" s="361" t="s">
        <v>1989</v>
      </c>
      <c r="C1971" s="360"/>
      <c r="D1971" s="327">
        <f>IF($B1971="","",COUNTIF($B$6:$B1971,$B1971))</f>
        <v>7</v>
      </c>
      <c r="E1971" s="365" t="s">
        <v>327</v>
      </c>
      <c r="F1971" s="368" t="s">
        <v>345</v>
      </c>
      <c r="G1971" s="367" t="s">
        <v>690</v>
      </c>
      <c r="H1971" s="327" t="s">
        <v>536</v>
      </c>
      <c r="I1971" s="327">
        <v>1</v>
      </c>
      <c r="J1971" s="345" t="s">
        <v>710</v>
      </c>
      <c r="K1971" s="327"/>
      <c r="L1971" s="348">
        <f>+$S1971*$T1971*$L$37</f>
        <v>84651</v>
      </c>
      <c r="M1971" s="371"/>
      <c r="N1971" s="369" t="s">
        <v>150</v>
      </c>
      <c r="O1971" s="345" t="s">
        <v>1623</v>
      </c>
      <c r="P1971" s="392"/>
      <c r="Q1971" s="327"/>
      <c r="R1971" s="351">
        <v>2.5</v>
      </c>
      <c r="S1971" s="351">
        <v>5.8</v>
      </c>
      <c r="T1971" s="351">
        <v>0.13900000000000001</v>
      </c>
      <c r="U1971" s="329">
        <f>IF($N1971=$N$4,IFERROR(INDEX(DanhMuc!$E$154:$E$165,MATCH(MID($B1971,4,2),DanhMuc!$B$154:$B$165,0)),""),"")</f>
        <v>5800</v>
      </c>
      <c r="V1971" s="361"/>
      <c r="W1971" s="345"/>
      <c r="X1971" s="329" t="str">
        <f t="shared" si="236"/>
        <v>C459</v>
      </c>
      <c r="Y1971" s="1128" t="s">
        <v>3380</v>
      </c>
      <c r="Z1971" s="1128" t="s">
        <v>3381</v>
      </c>
      <c r="AA1971" s="1128" t="s">
        <v>3384</v>
      </c>
      <c r="AB1971" s="20"/>
      <c r="AC1971" s="73"/>
    </row>
    <row r="1972" spans="1:29">
      <c r="A1972" s="327" t="str">
        <f>IF(AND($B1972&lt;&gt;"",$C1972&lt;&gt;""),MAX($A$1556:A1971)+1,"")</f>
        <v/>
      </c>
      <c r="B1972" s="361" t="s">
        <v>1989</v>
      </c>
      <c r="C1972" s="360"/>
      <c r="D1972" s="327">
        <f>IF($B1972="","",COUNTIF($B$6:$B1972,$B1972))</f>
        <v>8</v>
      </c>
      <c r="E1972" s="361" t="s">
        <v>175</v>
      </c>
      <c r="F1972" s="362" t="s">
        <v>176</v>
      </c>
      <c r="G1972" s="327" t="s">
        <v>155</v>
      </c>
      <c r="H1972" s="327" t="s">
        <v>536</v>
      </c>
      <c r="I1972" s="327">
        <v>2</v>
      </c>
      <c r="J1972" s="361"/>
      <c r="K1972" s="327"/>
      <c r="L1972" s="389">
        <v>2000</v>
      </c>
      <c r="M1972" s="371"/>
      <c r="N1972" s="355" t="str">
        <f>+$N$1555</f>
        <v>PK</v>
      </c>
      <c r="O1972" s="345"/>
      <c r="P1972" s="392"/>
      <c r="Q1972" s="327"/>
      <c r="R1972" s="351"/>
      <c r="S1972" s="351"/>
      <c r="T1972" s="351"/>
      <c r="U1972" s="329" t="str">
        <f>IF($N1972=$N$4,IFERROR(INDEX(DanhMuc!$E$154:$E$165,MATCH(MID($B1972,4,2),DanhMuc!$B$154:$B$165,0)),""),"")</f>
        <v/>
      </c>
      <c r="V1972" s="361"/>
      <c r="W1972" s="345"/>
      <c r="X1972" s="329" t="str">
        <f t="shared" si="236"/>
        <v>3H</v>
      </c>
      <c r="Y1972" s="1128" t="s">
        <v>3380</v>
      </c>
      <c r="Z1972" s="1128" t="s">
        <v>3381</v>
      </c>
      <c r="AA1972" s="1128" t="s">
        <v>3384</v>
      </c>
      <c r="AB1972" s="20"/>
      <c r="AC1972" s="73"/>
    </row>
    <row r="1973" spans="1:29">
      <c r="A1973" s="327" t="str">
        <f>IF(AND($B1973&lt;&gt;"",$C1973&lt;&gt;""),MAX($A$1556:A1972)+1,"")</f>
        <v/>
      </c>
      <c r="B1973" s="361" t="s">
        <v>1989</v>
      </c>
      <c r="C1973" s="360"/>
      <c r="D1973" s="327">
        <f>IF($B1973="","",COUNTIF($B$6:$B1973,$B1973))</f>
        <v>9</v>
      </c>
      <c r="E1973" s="405" t="s">
        <v>177</v>
      </c>
      <c r="F1973" s="406" t="s">
        <v>178</v>
      </c>
      <c r="G1973" s="327" t="s">
        <v>155</v>
      </c>
      <c r="H1973" s="327" t="s">
        <v>536</v>
      </c>
      <c r="I1973" s="327">
        <v>2</v>
      </c>
      <c r="J1973" s="345"/>
      <c r="K1973" s="327"/>
      <c r="L1973" s="389">
        <v>57000</v>
      </c>
      <c r="M1973" s="371"/>
      <c r="N1973" s="355" t="str">
        <f>+$N$1555</f>
        <v>PK</v>
      </c>
      <c r="O1973" s="407" t="s">
        <v>1698</v>
      </c>
      <c r="P1973" s="392"/>
      <c r="Q1973" s="327"/>
      <c r="R1973" s="351"/>
      <c r="S1973" s="351"/>
      <c r="T1973" s="351"/>
      <c r="U1973" s="329" t="str">
        <f>IF($N1973=$N$4,IFERROR(INDEX(DanhMuc!$E$154:$E$165,MATCH(MID($B1973,4,2),DanhMuc!$B$154:$B$165,0)),""),"")</f>
        <v/>
      </c>
      <c r="V1973" s="361"/>
      <c r="W1973" s="345"/>
      <c r="X1973" s="329" t="str">
        <f t="shared" si="236"/>
        <v>3H</v>
      </c>
      <c r="Y1973" s="1128" t="s">
        <v>3380</v>
      </c>
      <c r="Z1973" s="1128" t="s">
        <v>3381</v>
      </c>
      <c r="AA1973" s="1128" t="s">
        <v>3384</v>
      </c>
      <c r="AB1973" s="20"/>
      <c r="AC1973" s="73"/>
    </row>
    <row r="1974" spans="1:29">
      <c r="A1974" s="327" t="str">
        <f>IF(AND($B1974&lt;&gt;"",$C1974&lt;&gt;""),MAX($A$1556:A1973)+1,"")</f>
        <v/>
      </c>
      <c r="B1974" s="361" t="s">
        <v>1989</v>
      </c>
      <c r="C1974" s="360"/>
      <c r="D1974" s="327">
        <f>IF($B1974="","",COUNTIF($B$6:$B1974,$B1974))</f>
        <v>10</v>
      </c>
      <c r="E1974" s="405" t="s">
        <v>180</v>
      </c>
      <c r="F1974" s="406" t="s">
        <v>202</v>
      </c>
      <c r="G1974" s="327" t="s">
        <v>155</v>
      </c>
      <c r="H1974" s="327" t="s">
        <v>536</v>
      </c>
      <c r="I1974" s="327">
        <v>2</v>
      </c>
      <c r="J1974" s="345"/>
      <c r="K1974" s="327"/>
      <c r="L1974" s="389">
        <v>66000</v>
      </c>
      <c r="M1974" s="371"/>
      <c r="N1974" s="355" t="str">
        <f t="shared" ref="N1974:N1978" si="238">+$N$1555</f>
        <v>PK</v>
      </c>
      <c r="O1974" s="407" t="s">
        <v>1699</v>
      </c>
      <c r="P1974" s="392"/>
      <c r="Q1974" s="327"/>
      <c r="R1974" s="351"/>
      <c r="S1974" s="351"/>
      <c r="T1974" s="351"/>
      <c r="U1974" s="329" t="str">
        <f>IF($N1974=$N$4,IFERROR(INDEX(DanhMuc!$E$154:$E$165,MATCH(MID($B1974,4,2),DanhMuc!$B$154:$B$165,0)),""),"")</f>
        <v/>
      </c>
      <c r="V1974" s="361"/>
      <c r="W1974" s="345"/>
      <c r="X1974" s="329" t="str">
        <f t="shared" si="236"/>
        <v>3H</v>
      </c>
      <c r="Y1974" s="1128" t="s">
        <v>3380</v>
      </c>
      <c r="Z1974" s="1128" t="s">
        <v>3381</v>
      </c>
      <c r="AA1974" s="1128" t="s">
        <v>3384</v>
      </c>
      <c r="AB1974" s="20"/>
      <c r="AC1974" s="73"/>
    </row>
    <row r="1975" spans="1:29">
      <c r="A1975" s="327" t="str">
        <f>IF(AND($B1975&lt;&gt;"",$C1975&lt;&gt;""),MAX($A$1556:A1974)+1,"")</f>
        <v/>
      </c>
      <c r="B1975" s="361" t="s">
        <v>1989</v>
      </c>
      <c r="C1975" s="360"/>
      <c r="D1975" s="327">
        <f>IF($B1975="","",COUNTIF($B$6:$B1975,$B1975))</f>
        <v>11</v>
      </c>
      <c r="E1975" s="405" t="s">
        <v>203</v>
      </c>
      <c r="F1975" s="406" t="s">
        <v>204</v>
      </c>
      <c r="G1975" s="327" t="s">
        <v>155</v>
      </c>
      <c r="H1975" s="327" t="s">
        <v>536</v>
      </c>
      <c r="I1975" s="327">
        <v>2</v>
      </c>
      <c r="J1975" s="345"/>
      <c r="K1975" s="327"/>
      <c r="L1975" s="389">
        <v>70000</v>
      </c>
      <c r="M1975" s="371"/>
      <c r="N1975" s="355" t="str">
        <f t="shared" si="238"/>
        <v>PK</v>
      </c>
      <c r="O1975" s="407" t="s">
        <v>1700</v>
      </c>
      <c r="P1975" s="392"/>
      <c r="Q1975" s="327"/>
      <c r="R1975" s="351"/>
      <c r="S1975" s="351"/>
      <c r="T1975" s="351"/>
      <c r="U1975" s="329" t="str">
        <f>IF($N1975=$N$4,IFERROR(INDEX(DanhMuc!$E$154:$E$165,MATCH(MID($B1975,4,2),DanhMuc!$B$154:$B$165,0)),""),"")</f>
        <v/>
      </c>
      <c r="V1975" s="361"/>
      <c r="W1975" s="345"/>
      <c r="X1975" s="329" t="str">
        <f t="shared" si="236"/>
        <v>3H</v>
      </c>
      <c r="Y1975" s="1128" t="s">
        <v>3380</v>
      </c>
      <c r="Z1975" s="1128" t="s">
        <v>3381</v>
      </c>
      <c r="AA1975" s="1128" t="s">
        <v>3384</v>
      </c>
      <c r="AB1975" s="20"/>
      <c r="AC1975" s="73"/>
    </row>
    <row r="1976" spans="1:29">
      <c r="A1976" s="327" t="str">
        <f>IF(AND($B1976&lt;&gt;"",$C1976&lt;&gt;""),MAX($A$1556:A1975)+1,"")</f>
        <v/>
      </c>
      <c r="B1976" s="361" t="s">
        <v>1989</v>
      </c>
      <c r="C1976" s="360"/>
      <c r="D1976" s="327">
        <f>IF($B1976="","",COUNTIF($B$6:$B1976,$B1976))</f>
        <v>12</v>
      </c>
      <c r="E1976" s="405" t="s">
        <v>205</v>
      </c>
      <c r="F1976" s="406" t="s">
        <v>206</v>
      </c>
      <c r="G1976" s="327" t="s">
        <v>155</v>
      </c>
      <c r="H1976" s="327" t="s">
        <v>536</v>
      </c>
      <c r="I1976" s="327">
        <v>2</v>
      </c>
      <c r="J1976" s="345"/>
      <c r="K1976" s="327"/>
      <c r="L1976" s="389">
        <v>75000</v>
      </c>
      <c r="M1976" s="371"/>
      <c r="N1976" s="355" t="str">
        <f t="shared" si="238"/>
        <v>PK</v>
      </c>
      <c r="O1976" s="407" t="s">
        <v>1701</v>
      </c>
      <c r="P1976" s="392"/>
      <c r="Q1976" s="327"/>
      <c r="R1976" s="351"/>
      <c r="S1976" s="351"/>
      <c r="T1976" s="351"/>
      <c r="U1976" s="329" t="str">
        <f>IF($N1976=$N$4,IFERROR(INDEX(DanhMuc!$E$154:$E$165,MATCH(MID($B1976,4,2),DanhMuc!$B$154:$B$165,0)),""),"")</f>
        <v/>
      </c>
      <c r="V1976" s="361"/>
      <c r="W1976" s="345"/>
      <c r="X1976" s="329" t="str">
        <f t="shared" si="236"/>
        <v>3H</v>
      </c>
      <c r="Y1976" s="1128" t="s">
        <v>3380</v>
      </c>
      <c r="Z1976" s="1128" t="s">
        <v>3381</v>
      </c>
      <c r="AA1976" s="1128" t="s">
        <v>3384</v>
      </c>
      <c r="AB1976" s="20"/>
      <c r="AC1976" s="73"/>
    </row>
    <row r="1977" spans="1:29">
      <c r="A1977" s="327" t="str">
        <f>IF(AND($B1977&lt;&gt;"",$C1977&lt;&gt;""),MAX($A$1556:A1976)+1,"")</f>
        <v/>
      </c>
      <c r="B1977" s="361" t="s">
        <v>1989</v>
      </c>
      <c r="C1977" s="360"/>
      <c r="D1977" s="327">
        <f>IF($B1977="","",COUNTIF($B$6:$B1977,$B1977))</f>
        <v>13</v>
      </c>
      <c r="E1977" s="405" t="s">
        <v>3875</v>
      </c>
      <c r="F1977" s="406" t="s">
        <v>3866</v>
      </c>
      <c r="G1977" s="327" t="s">
        <v>155</v>
      </c>
      <c r="H1977" s="327" t="s">
        <v>536</v>
      </c>
      <c r="I1977" s="327">
        <v>2</v>
      </c>
      <c r="J1977" s="345"/>
      <c r="K1977" s="327"/>
      <c r="L1977" s="389">
        <v>55000</v>
      </c>
      <c r="M1977" s="371"/>
      <c r="N1977" s="355" t="str">
        <f t="shared" si="238"/>
        <v>PK</v>
      </c>
      <c r="O1977" s="407" t="s">
        <v>3868</v>
      </c>
      <c r="P1977" s="392"/>
      <c r="Q1977" s="327"/>
      <c r="R1977" s="351"/>
      <c r="S1977" s="351"/>
      <c r="T1977" s="351"/>
      <c r="U1977" s="329" t="str">
        <f>IF($N1977=$N$4,IFERROR(INDEX(DanhMuc!$E$154:$E$165,MATCH(MID($B1977,4,2),DanhMuc!$B$154:$B$165,0)),""),"")</f>
        <v/>
      </c>
      <c r="V1977" s="361"/>
      <c r="W1977" s="345"/>
      <c r="X1977" s="329" t="str">
        <f t="shared" si="236"/>
        <v>3H</v>
      </c>
      <c r="Y1977" s="1128" t="s">
        <v>3380</v>
      </c>
      <c r="Z1977" s="1128" t="s">
        <v>3381</v>
      </c>
      <c r="AA1977" s="1128" t="s">
        <v>3384</v>
      </c>
      <c r="AB1977" s="20"/>
      <c r="AC1977" s="73"/>
    </row>
    <row r="1978" spans="1:29">
      <c r="A1978" s="327" t="str">
        <f>IF(AND($B1978&lt;&gt;"",$C1978&lt;&gt;""),MAX($A$1556:A1977)+1,"")</f>
        <v/>
      </c>
      <c r="B1978" s="361" t="s">
        <v>1989</v>
      </c>
      <c r="C1978" s="360"/>
      <c r="D1978" s="327">
        <f>IF($B1978="","",COUNTIF($B$6:$B1978,$B1978))</f>
        <v>14</v>
      </c>
      <c r="E1978" s="405" t="s">
        <v>3876</v>
      </c>
      <c r="F1978" s="406" t="s">
        <v>3867</v>
      </c>
      <c r="G1978" s="327" t="s">
        <v>155</v>
      </c>
      <c r="H1978" s="327" t="s">
        <v>536</v>
      </c>
      <c r="I1978" s="327">
        <v>2</v>
      </c>
      <c r="J1978" s="345"/>
      <c r="K1978" s="327"/>
      <c r="L1978" s="389">
        <v>55000</v>
      </c>
      <c r="M1978" s="371"/>
      <c r="N1978" s="355" t="str">
        <f t="shared" si="238"/>
        <v>PK</v>
      </c>
      <c r="O1978" s="407" t="s">
        <v>3869</v>
      </c>
      <c r="P1978" s="392"/>
      <c r="Q1978" s="327"/>
      <c r="R1978" s="351"/>
      <c r="S1978" s="351"/>
      <c r="T1978" s="351"/>
      <c r="U1978" s="329" t="str">
        <f>IF($N1978=$N$4,IFERROR(INDEX(DanhMuc!$E$154:$E$165,MATCH(MID($B1978,4,2),DanhMuc!$B$154:$B$165,0)),""),"")</f>
        <v/>
      </c>
      <c r="V1978" s="361"/>
      <c r="W1978" s="345"/>
      <c r="X1978" s="329" t="str">
        <f t="shared" si="236"/>
        <v>3H</v>
      </c>
      <c r="Y1978" s="1128" t="s">
        <v>3380</v>
      </c>
      <c r="Z1978" s="1128" t="s">
        <v>3381</v>
      </c>
      <c r="AA1978" s="1128" t="s">
        <v>3384</v>
      </c>
      <c r="AB1978" s="20"/>
      <c r="AC1978" s="73"/>
    </row>
    <row r="1979" spans="1:29" ht="26">
      <c r="A1979" s="327">
        <f>IF(AND($B1979&lt;&gt;"",$C1979&lt;&gt;""),MAX($A$1556:A1977)+1,"")</f>
        <v>13</v>
      </c>
      <c r="B1979" s="359" t="s">
        <v>1990</v>
      </c>
      <c r="C1979" s="360" t="s">
        <v>1543</v>
      </c>
      <c r="D1979" s="327">
        <f>IF($B1979="","",COUNTIF($B$6:$B1979,$B1979))</f>
        <v>1</v>
      </c>
      <c r="E1979" s="361" t="s">
        <v>2077</v>
      </c>
      <c r="F1979" s="362" t="s">
        <v>2078</v>
      </c>
      <c r="G1979" s="327" t="s">
        <v>155</v>
      </c>
      <c r="H1979" s="327"/>
      <c r="I1979" s="327">
        <v>1</v>
      </c>
      <c r="J1979" s="361"/>
      <c r="K1979" s="327"/>
      <c r="L1979" s="389">
        <v>66000</v>
      </c>
      <c r="M1979" s="371"/>
      <c r="N1979" s="355" t="str">
        <f t="shared" ref="N1979:N1984" si="239">+$N$1555</f>
        <v>PK</v>
      </c>
      <c r="O1979" s="345" t="s">
        <v>2733</v>
      </c>
      <c r="P1979" s="392"/>
      <c r="Q1979" s="327"/>
      <c r="R1979" s="351"/>
      <c r="S1979" s="351"/>
      <c r="T1979" s="351"/>
      <c r="U1979" s="329" t="str">
        <f>IF($N1979=$N$4,IFERROR(INDEX(DanhMuc!$E$154:$E$165,MATCH(MID($B1979,4,2),DanhMuc!$B$154:$B$165,0)),""),"")</f>
        <v/>
      </c>
      <c r="V1979" s="361"/>
      <c r="W1979" s="345"/>
      <c r="X1979" s="329" t="str">
        <f t="shared" si="236"/>
        <v>3H</v>
      </c>
      <c r="Y1979" s="1128" t="s">
        <v>3380</v>
      </c>
      <c r="Z1979" s="1128" t="s">
        <v>3381</v>
      </c>
      <c r="AA1979" s="1128" t="s">
        <v>3384</v>
      </c>
      <c r="AB1979" s="20"/>
      <c r="AC1979" s="73"/>
    </row>
    <row r="1980" spans="1:29" ht="25">
      <c r="A1980" s="327" t="str">
        <f>IF(AND($B1980&lt;&gt;"",$C1980&lt;&gt;""),MAX($A$1556:A1979)+1,"")</f>
        <v/>
      </c>
      <c r="B1980" s="361" t="s">
        <v>1990</v>
      </c>
      <c r="C1980" s="362"/>
      <c r="D1980" s="327">
        <f>IF($B1980="","",COUNTIF($B$6:$B1980,$B1980))</f>
        <v>2</v>
      </c>
      <c r="E1980" s="361" t="s">
        <v>209</v>
      </c>
      <c r="F1980" s="362" t="s">
        <v>210</v>
      </c>
      <c r="G1980" s="327" t="s">
        <v>155</v>
      </c>
      <c r="H1980" s="327"/>
      <c r="I1980" s="327">
        <v>1</v>
      </c>
      <c r="J1980" s="361"/>
      <c r="K1980" s="327"/>
      <c r="L1980" s="389">
        <v>70000</v>
      </c>
      <c r="M1980" s="371"/>
      <c r="N1980" s="355" t="str">
        <f t="shared" si="239"/>
        <v>PK</v>
      </c>
      <c r="O1980" s="345" t="s">
        <v>1782</v>
      </c>
      <c r="P1980" s="392"/>
      <c r="Q1980" s="327"/>
      <c r="R1980" s="351"/>
      <c r="S1980" s="351"/>
      <c r="T1980" s="351"/>
      <c r="U1980" s="329" t="str">
        <f>IF($N1980=$N$4,IFERROR(INDEX(DanhMuc!$E$154:$E$165,MATCH(MID($B1980,4,2),DanhMuc!$B$154:$B$165,0)),""),"")</f>
        <v/>
      </c>
      <c r="V1980" s="361"/>
      <c r="W1980" s="345"/>
      <c r="X1980" s="329" t="str">
        <f t="shared" si="236"/>
        <v>3H</v>
      </c>
      <c r="Y1980" s="1128" t="s">
        <v>3380</v>
      </c>
      <c r="Z1980" s="1128" t="s">
        <v>3381</v>
      </c>
      <c r="AA1980" s="1128" t="s">
        <v>3384</v>
      </c>
      <c r="AB1980" s="20"/>
      <c r="AC1980" s="73"/>
    </row>
    <row r="1981" spans="1:29" ht="25">
      <c r="A1981" s="327" t="str">
        <f>IF(AND($B1981&lt;&gt;"",$C1981&lt;&gt;""),MAX($A$1556:A1980)+1,"")</f>
        <v/>
      </c>
      <c r="B1981" s="361" t="s">
        <v>1990</v>
      </c>
      <c r="C1981" s="362"/>
      <c r="D1981" s="327">
        <f>IF($B1981="","",COUNTIF($B$6:$B1981,$B1981))</f>
        <v>3</v>
      </c>
      <c r="E1981" s="361" t="s">
        <v>2743</v>
      </c>
      <c r="F1981" s="362" t="s">
        <v>2744</v>
      </c>
      <c r="G1981" s="327" t="s">
        <v>155</v>
      </c>
      <c r="H1981" s="327"/>
      <c r="I1981" s="327">
        <v>1</v>
      </c>
      <c r="J1981" s="361"/>
      <c r="K1981" s="327"/>
      <c r="L1981" s="389">
        <v>120000</v>
      </c>
      <c r="M1981" s="371"/>
      <c r="N1981" s="355" t="str">
        <f t="shared" si="239"/>
        <v>PK</v>
      </c>
      <c r="O1981" s="345" t="s">
        <v>2742</v>
      </c>
      <c r="P1981" s="392"/>
      <c r="Q1981" s="327"/>
      <c r="R1981" s="351"/>
      <c r="S1981" s="351"/>
      <c r="T1981" s="351"/>
      <c r="U1981" s="329" t="str">
        <f>IF($N1981=$N$4,IFERROR(INDEX(DanhMuc!$E$154:$E$165,MATCH(MID($B1981,4,2),DanhMuc!$B$154:$B$165,0)),""),"")</f>
        <v/>
      </c>
      <c r="V1981" s="361"/>
      <c r="W1981" s="345"/>
      <c r="X1981" s="329" t="str">
        <f t="shared" si="236"/>
        <v>3H</v>
      </c>
      <c r="Y1981" s="1128" t="s">
        <v>3380</v>
      </c>
      <c r="Z1981" s="1128" t="s">
        <v>3381</v>
      </c>
      <c r="AA1981" s="1128" t="s">
        <v>3384</v>
      </c>
      <c r="AB1981" s="20"/>
      <c r="AC1981" s="73"/>
    </row>
    <row r="1982" spans="1:29">
      <c r="A1982" s="327" t="str">
        <f>IF(AND($B1982&lt;&gt;"",$C1982&lt;&gt;""),MAX($A$1556:A1979)+1,"")</f>
        <v/>
      </c>
      <c r="B1982" s="361" t="s">
        <v>1990</v>
      </c>
      <c r="C1982" s="360"/>
      <c r="D1982" s="327">
        <f>IF($B1982="","",COUNTIF($B$6:$B1982,$B1982))</f>
        <v>4</v>
      </c>
      <c r="E1982" s="361" t="s">
        <v>174</v>
      </c>
      <c r="F1982" s="362" t="s">
        <v>224</v>
      </c>
      <c r="G1982" s="327" t="s">
        <v>155</v>
      </c>
      <c r="H1982" s="327" t="s">
        <v>536</v>
      </c>
      <c r="I1982" s="327">
        <v>1</v>
      </c>
      <c r="J1982" s="361"/>
      <c r="K1982" s="327"/>
      <c r="L1982" s="389">
        <v>19000</v>
      </c>
      <c r="M1982" s="371"/>
      <c r="N1982" s="355" t="str">
        <f t="shared" si="239"/>
        <v>PK</v>
      </c>
      <c r="O1982" s="345" t="s">
        <v>1623</v>
      </c>
      <c r="P1982" s="392"/>
      <c r="Q1982" s="327"/>
      <c r="R1982" s="351"/>
      <c r="S1982" s="351"/>
      <c r="T1982" s="351"/>
      <c r="U1982" s="329" t="str">
        <f>IF($N1982=$N$4,IFERROR(INDEX(DanhMuc!$E$154:$E$165,MATCH(MID($B1982,4,2),DanhMuc!$B$154:$B$165,0)),""),"")</f>
        <v/>
      </c>
      <c r="V1982" s="361"/>
      <c r="W1982" s="345"/>
      <c r="X1982" s="329" t="str">
        <f t="shared" si="236"/>
        <v>3H</v>
      </c>
      <c r="Y1982" s="1128" t="s">
        <v>3380</v>
      </c>
      <c r="Z1982" s="1128" t="s">
        <v>3381</v>
      </c>
      <c r="AA1982" s="1128" t="s">
        <v>3384</v>
      </c>
      <c r="AB1982" s="20"/>
      <c r="AC1982" s="73"/>
    </row>
    <row r="1983" spans="1:29">
      <c r="A1983" s="327" t="str">
        <f>IF(AND($B1983&lt;&gt;"",$C1983&lt;&gt;""),MAX($A$1556:A1982)+1,"")</f>
        <v/>
      </c>
      <c r="B1983" s="361" t="s">
        <v>1990</v>
      </c>
      <c r="C1983" s="360"/>
      <c r="D1983" s="327">
        <f>IF($B1983="","",COUNTIF($B$6:$B1983,$B1983))</f>
        <v>5</v>
      </c>
      <c r="E1983" s="361" t="s">
        <v>632</v>
      </c>
      <c r="F1983" s="362" t="s">
        <v>633</v>
      </c>
      <c r="G1983" s="327" t="s">
        <v>155</v>
      </c>
      <c r="H1983" s="327" t="s">
        <v>536</v>
      </c>
      <c r="I1983" s="327">
        <v>2</v>
      </c>
      <c r="J1983" s="345"/>
      <c r="K1983" s="327"/>
      <c r="L1983" s="389">
        <v>17000</v>
      </c>
      <c r="M1983" s="371"/>
      <c r="N1983" s="355" t="str">
        <f t="shared" si="239"/>
        <v>PK</v>
      </c>
      <c r="O1983" s="345" t="s">
        <v>1623</v>
      </c>
      <c r="P1983" s="392"/>
      <c r="Q1983" s="327"/>
      <c r="R1983" s="351"/>
      <c r="S1983" s="351"/>
      <c r="T1983" s="351"/>
      <c r="U1983" s="329" t="str">
        <f>IF($N1983=$N$4,IFERROR(INDEX(DanhMuc!$E$154:$E$165,MATCH(MID($B1983,4,2),DanhMuc!$B$154:$B$165,0)),""),"")</f>
        <v/>
      </c>
      <c r="V1983" s="361"/>
      <c r="W1983" s="345"/>
      <c r="X1983" s="329" t="str">
        <f t="shared" si="236"/>
        <v>3H</v>
      </c>
      <c r="Y1983" s="1128" t="s">
        <v>3380</v>
      </c>
      <c r="Z1983" s="1128" t="s">
        <v>3381</v>
      </c>
      <c r="AA1983" s="1128" t="s">
        <v>3384</v>
      </c>
      <c r="AB1983" s="20"/>
      <c r="AC1983" s="73"/>
    </row>
    <row r="1984" spans="1:29">
      <c r="A1984" s="327" t="str">
        <f>IF(AND($B1984&lt;&gt;"",$C1984&lt;&gt;""),MAX($A$1556:A1983)+1,"")</f>
        <v/>
      </c>
      <c r="B1984" s="361" t="s">
        <v>1990</v>
      </c>
      <c r="C1984" s="360"/>
      <c r="D1984" s="327">
        <f>IF($B1984="","",COUNTIF($B$6:$B1984,$B1984))</f>
        <v>6</v>
      </c>
      <c r="E1984" s="361" t="s">
        <v>91</v>
      </c>
      <c r="F1984" s="362" t="s">
        <v>92</v>
      </c>
      <c r="G1984" s="327" t="s">
        <v>155</v>
      </c>
      <c r="H1984" s="327" t="s">
        <v>536</v>
      </c>
      <c r="I1984" s="327">
        <v>2</v>
      </c>
      <c r="J1984" s="345"/>
      <c r="K1984" s="327"/>
      <c r="L1984" s="389">
        <v>6500</v>
      </c>
      <c r="M1984" s="371"/>
      <c r="N1984" s="355" t="str">
        <f t="shared" si="239"/>
        <v>PK</v>
      </c>
      <c r="O1984" s="345"/>
      <c r="P1984" s="392"/>
      <c r="Q1984" s="327"/>
      <c r="R1984" s="351"/>
      <c r="S1984" s="351"/>
      <c r="T1984" s="351"/>
      <c r="U1984" s="329" t="str">
        <f>IF($N1984=$N$4,IFERROR(INDEX(DanhMuc!$E$154:$E$165,MATCH(MID($B1984,4,2),DanhMuc!$B$154:$B$165,0)),""),"")</f>
        <v/>
      </c>
      <c r="V1984" s="361"/>
      <c r="W1984" s="345"/>
      <c r="X1984" s="329" t="str">
        <f t="shared" si="236"/>
        <v>3H</v>
      </c>
      <c r="Y1984" s="1128" t="s">
        <v>3380</v>
      </c>
      <c r="Z1984" s="1128" t="s">
        <v>3381</v>
      </c>
      <c r="AA1984" s="1128" t="s">
        <v>3384</v>
      </c>
      <c r="AB1984" s="20"/>
      <c r="AC1984" s="73"/>
    </row>
    <row r="1985" spans="1:29">
      <c r="A1985" s="327" t="str">
        <f>IF(AND($B1985&lt;&gt;"",$C1985&lt;&gt;""),MAX($A$1556:A1984)+1,"")</f>
        <v/>
      </c>
      <c r="B1985" s="361" t="s">
        <v>1990</v>
      </c>
      <c r="C1985" s="360"/>
      <c r="D1985" s="327">
        <f>IF($B1985="","",COUNTIF($B$6:$B1985,$B1985))</f>
        <v>7</v>
      </c>
      <c r="E1985" s="365" t="s">
        <v>327</v>
      </c>
      <c r="F1985" s="368" t="s">
        <v>345</v>
      </c>
      <c r="G1985" s="367" t="s">
        <v>690</v>
      </c>
      <c r="H1985" s="327" t="s">
        <v>536</v>
      </c>
      <c r="I1985" s="327">
        <v>2</v>
      </c>
      <c r="J1985" s="345" t="s">
        <v>705</v>
      </c>
      <c r="K1985" s="327"/>
      <c r="L1985" s="348">
        <f>+$S1985*$T1985*$L$37</f>
        <v>84651</v>
      </c>
      <c r="M1985" s="371"/>
      <c r="N1985" s="369" t="s">
        <v>150</v>
      </c>
      <c r="O1985" s="345" t="s">
        <v>1623</v>
      </c>
      <c r="P1985" s="392"/>
      <c r="Q1985" s="327"/>
      <c r="R1985" s="351">
        <v>2.5</v>
      </c>
      <c r="S1985" s="351">
        <v>5.8</v>
      </c>
      <c r="T1985" s="351">
        <v>0.13900000000000001</v>
      </c>
      <c r="U1985" s="329">
        <f>IF($N1985=$N$4,IFERROR(INDEX(DanhMuc!$E$154:$E$165,MATCH(MID($B1985,4,2),DanhMuc!$B$154:$B$165,0)),""),"")</f>
        <v>5800</v>
      </c>
      <c r="V1985" s="361"/>
      <c r="W1985" s="345"/>
      <c r="X1985" s="329" t="str">
        <f t="shared" si="236"/>
        <v>C459</v>
      </c>
      <c r="Y1985" s="1128" t="s">
        <v>3380</v>
      </c>
      <c r="Z1985" s="1128" t="s">
        <v>3381</v>
      </c>
      <c r="AA1985" s="1128" t="s">
        <v>3384</v>
      </c>
      <c r="AB1985" s="20"/>
      <c r="AC1985" s="73"/>
    </row>
    <row r="1986" spans="1:29">
      <c r="A1986" s="327" t="str">
        <f>IF(AND($B1986&lt;&gt;"",$C1986&lt;&gt;""),MAX($A$1556:A1985)+1,"")</f>
        <v/>
      </c>
      <c r="B1986" s="361" t="s">
        <v>1990</v>
      </c>
      <c r="C1986" s="360"/>
      <c r="D1986" s="327">
        <f>IF($B1986="","",COUNTIF($B$6:$B1986,$B1986))</f>
        <v>8</v>
      </c>
      <c r="E1986" s="361" t="s">
        <v>709</v>
      </c>
      <c r="F1986" s="362" t="s">
        <v>326</v>
      </c>
      <c r="G1986" s="327" t="s">
        <v>344</v>
      </c>
      <c r="H1986" s="327" t="s">
        <v>536</v>
      </c>
      <c r="I1986" s="327">
        <v>1</v>
      </c>
      <c r="J1986" s="361"/>
      <c r="K1986" s="327"/>
      <c r="L1986" s="389">
        <v>45000</v>
      </c>
      <c r="M1986" s="371"/>
      <c r="N1986" s="355" t="str">
        <f t="shared" ref="N1986:N2003" si="240">+$N$1555</f>
        <v>PK</v>
      </c>
      <c r="O1986" s="345"/>
      <c r="P1986" s="392"/>
      <c r="Q1986" s="327"/>
      <c r="R1986" s="351"/>
      <c r="S1986" s="351"/>
      <c r="T1986" s="351"/>
      <c r="U1986" s="329" t="str">
        <f>IF($N1986=$N$4,IFERROR(INDEX(DanhMuc!$E$154:$E$165,MATCH(MID($B1986,4,2),DanhMuc!$B$154:$B$165,0)),""),"")</f>
        <v/>
      </c>
      <c r="V1986" s="361"/>
      <c r="W1986" s="345"/>
      <c r="X1986" s="329" t="str">
        <f t="shared" si="236"/>
        <v>3H</v>
      </c>
      <c r="Y1986" s="1128" t="s">
        <v>3380</v>
      </c>
      <c r="Z1986" s="1128" t="s">
        <v>3381</v>
      </c>
      <c r="AA1986" s="1128" t="s">
        <v>3384</v>
      </c>
      <c r="AB1986" s="20"/>
      <c r="AC1986" s="73"/>
    </row>
    <row r="1987" spans="1:29">
      <c r="A1987" s="327" t="str">
        <f>IF(AND($B1987&lt;&gt;"",$C1987&lt;&gt;""),MAX($A$1556:A1986)+1,"")</f>
        <v/>
      </c>
      <c r="B1987" s="361" t="s">
        <v>1990</v>
      </c>
      <c r="C1987" s="360"/>
      <c r="D1987" s="327">
        <f>IF($B1987="","",COUNTIF($B$6:$B1987,$B1987))</f>
        <v>9</v>
      </c>
      <c r="E1987" s="402" t="s">
        <v>89</v>
      </c>
      <c r="F1987" s="362" t="s">
        <v>90</v>
      </c>
      <c r="G1987" s="327" t="s">
        <v>155</v>
      </c>
      <c r="H1987" s="327" t="s">
        <v>536</v>
      </c>
      <c r="I1987" s="327">
        <v>2</v>
      </c>
      <c r="J1987" s="361"/>
      <c r="K1987" s="327"/>
      <c r="L1987" s="389">
        <v>6500</v>
      </c>
      <c r="M1987" s="371"/>
      <c r="N1987" s="355" t="str">
        <f t="shared" si="240"/>
        <v>PK</v>
      </c>
      <c r="O1987" s="345"/>
      <c r="P1987" s="392"/>
      <c r="Q1987" s="327"/>
      <c r="R1987" s="351"/>
      <c r="S1987" s="351"/>
      <c r="T1987" s="351"/>
      <c r="U1987" s="329" t="str">
        <f>IF($N1987=$N$4,IFERROR(INDEX(DanhMuc!$E$154:$E$165,MATCH(MID($B1987,4,2),DanhMuc!$B$154:$B$165,0)),""),"")</f>
        <v/>
      </c>
      <c r="V1987" s="361"/>
      <c r="W1987" s="345"/>
      <c r="X1987" s="329" t="str">
        <f t="shared" si="236"/>
        <v>3H</v>
      </c>
      <c r="Y1987" s="1128" t="s">
        <v>3380</v>
      </c>
      <c r="Z1987" s="1128" t="s">
        <v>3381</v>
      </c>
      <c r="AA1987" s="1128" t="s">
        <v>3384</v>
      </c>
      <c r="AB1987" s="20"/>
      <c r="AC1987" s="73"/>
    </row>
    <row r="1988" spans="1:29">
      <c r="A1988" s="327" t="str">
        <f>IF(AND($B1988&lt;&gt;"",$C1988&lt;&gt;""),MAX($A$1556:A1987)+1,"")</f>
        <v/>
      </c>
      <c r="B1988" s="361" t="s">
        <v>1990</v>
      </c>
      <c r="C1988" s="360"/>
      <c r="D1988" s="327">
        <f>IF($B1988="","",COUNTIF($B$6:$B1988,$B1988))</f>
        <v>10</v>
      </c>
      <c r="E1988" s="361" t="s">
        <v>175</v>
      </c>
      <c r="F1988" s="362" t="s">
        <v>176</v>
      </c>
      <c r="G1988" s="327" t="s">
        <v>155</v>
      </c>
      <c r="H1988" s="327" t="s">
        <v>536</v>
      </c>
      <c r="I1988" s="327">
        <v>4</v>
      </c>
      <c r="J1988" s="361"/>
      <c r="K1988" s="327"/>
      <c r="L1988" s="389">
        <v>2000</v>
      </c>
      <c r="M1988" s="371"/>
      <c r="N1988" s="355" t="str">
        <f t="shared" si="240"/>
        <v>PK</v>
      </c>
      <c r="O1988" s="345"/>
      <c r="P1988" s="392"/>
      <c r="Q1988" s="327"/>
      <c r="R1988" s="351"/>
      <c r="S1988" s="351"/>
      <c r="T1988" s="351"/>
      <c r="U1988" s="329" t="str">
        <f>IF($N1988=$N$4,IFERROR(INDEX(DanhMuc!$E$154:$E$165,MATCH(MID($B1988,4,2),DanhMuc!$B$154:$B$165,0)),""),"")</f>
        <v/>
      </c>
      <c r="V1988" s="361"/>
      <c r="W1988" s="345"/>
      <c r="X1988" s="329" t="str">
        <f t="shared" si="236"/>
        <v>3H</v>
      </c>
      <c r="Y1988" s="1128" t="s">
        <v>3380</v>
      </c>
      <c r="Z1988" s="1128" t="s">
        <v>3381</v>
      </c>
      <c r="AA1988" s="1128" t="s">
        <v>3384</v>
      </c>
      <c r="AB1988" s="20"/>
      <c r="AC1988" s="73"/>
    </row>
    <row r="1989" spans="1:29">
      <c r="A1989" s="327" t="str">
        <f>IF(AND($B1989&lt;&gt;"",$C1989&lt;&gt;""),MAX($A$1556:A1988)+1,"")</f>
        <v/>
      </c>
      <c r="B1989" s="361" t="s">
        <v>1990</v>
      </c>
      <c r="C1989" s="360"/>
      <c r="D1989" s="327">
        <f>IF($B1989="","",COUNTIF($B$6:$B1989,$B1989))</f>
        <v>11</v>
      </c>
      <c r="E1989" s="405" t="s">
        <v>177</v>
      </c>
      <c r="F1989" s="406" t="s">
        <v>178</v>
      </c>
      <c r="G1989" s="327" t="s">
        <v>155</v>
      </c>
      <c r="H1989" s="327" t="s">
        <v>536</v>
      </c>
      <c r="I1989" s="327">
        <v>4</v>
      </c>
      <c r="J1989" s="345"/>
      <c r="K1989" s="327"/>
      <c r="L1989" s="389">
        <v>57000</v>
      </c>
      <c r="M1989" s="371"/>
      <c r="N1989" s="355" t="str">
        <f t="shared" si="240"/>
        <v>PK</v>
      </c>
      <c r="O1989" s="407" t="s">
        <v>1698</v>
      </c>
      <c r="P1989" s="392"/>
      <c r="Q1989" s="327"/>
      <c r="R1989" s="351"/>
      <c r="S1989" s="351"/>
      <c r="T1989" s="351"/>
      <c r="U1989" s="329" t="str">
        <f>IF($N1989=$N$4,IFERROR(INDEX(DanhMuc!$E$154:$E$165,MATCH(MID($B1989,4,2),DanhMuc!$B$154:$B$165,0)),""),"")</f>
        <v/>
      </c>
      <c r="V1989" s="361"/>
      <c r="W1989" s="345"/>
      <c r="X1989" s="329" t="str">
        <f t="shared" si="236"/>
        <v>3H</v>
      </c>
      <c r="Y1989" s="1128" t="s">
        <v>3380</v>
      </c>
      <c r="Z1989" s="1128" t="s">
        <v>3381</v>
      </c>
      <c r="AA1989" s="1128" t="s">
        <v>3384</v>
      </c>
      <c r="AB1989" s="20"/>
      <c r="AC1989" s="73"/>
    </row>
    <row r="1990" spans="1:29">
      <c r="A1990" s="327" t="str">
        <f>IF(AND($B1990&lt;&gt;"",$C1990&lt;&gt;""),MAX($A$1556:A1989)+1,"")</f>
        <v/>
      </c>
      <c r="B1990" s="361" t="s">
        <v>1990</v>
      </c>
      <c r="C1990" s="360"/>
      <c r="D1990" s="327">
        <f>IF($B1990="","",COUNTIF($B$6:$B1990,$B1990))</f>
        <v>12</v>
      </c>
      <c r="E1990" s="405" t="s">
        <v>180</v>
      </c>
      <c r="F1990" s="406" t="s">
        <v>202</v>
      </c>
      <c r="G1990" s="327" t="s">
        <v>155</v>
      </c>
      <c r="H1990" s="327" t="s">
        <v>536</v>
      </c>
      <c r="I1990" s="327">
        <v>4</v>
      </c>
      <c r="J1990" s="345"/>
      <c r="K1990" s="327"/>
      <c r="L1990" s="389">
        <v>66000</v>
      </c>
      <c r="M1990" s="371"/>
      <c r="N1990" s="355" t="str">
        <f t="shared" si="240"/>
        <v>PK</v>
      </c>
      <c r="O1990" s="407" t="s">
        <v>1699</v>
      </c>
      <c r="P1990" s="392"/>
      <c r="Q1990" s="327"/>
      <c r="R1990" s="351"/>
      <c r="S1990" s="351"/>
      <c r="T1990" s="351"/>
      <c r="U1990" s="329" t="str">
        <f>IF($N1990=$N$4,IFERROR(INDEX(DanhMuc!$E$154:$E$165,MATCH(MID($B1990,4,2),DanhMuc!$B$154:$B$165,0)),""),"")</f>
        <v/>
      </c>
      <c r="V1990" s="361"/>
      <c r="W1990" s="345"/>
      <c r="X1990" s="329" t="str">
        <f t="shared" si="236"/>
        <v>3H</v>
      </c>
      <c r="Y1990" s="1128" t="s">
        <v>3380</v>
      </c>
      <c r="Z1990" s="1128" t="s">
        <v>3381</v>
      </c>
      <c r="AA1990" s="1128" t="s">
        <v>3384</v>
      </c>
      <c r="AB1990" s="20"/>
      <c r="AC1990" s="73"/>
    </row>
    <row r="1991" spans="1:29">
      <c r="A1991" s="327" t="str">
        <f>IF(AND($B1991&lt;&gt;"",$C1991&lt;&gt;""),MAX($A$1556:A1990)+1,"")</f>
        <v/>
      </c>
      <c r="B1991" s="361" t="s">
        <v>1990</v>
      </c>
      <c r="C1991" s="360"/>
      <c r="D1991" s="327">
        <f>IF($B1991="","",COUNTIF($B$6:$B1991,$B1991))</f>
        <v>13</v>
      </c>
      <c r="E1991" s="405" t="s">
        <v>203</v>
      </c>
      <c r="F1991" s="406" t="s">
        <v>204</v>
      </c>
      <c r="G1991" s="327" t="s">
        <v>155</v>
      </c>
      <c r="H1991" s="327" t="s">
        <v>536</v>
      </c>
      <c r="I1991" s="327">
        <v>4</v>
      </c>
      <c r="J1991" s="345"/>
      <c r="K1991" s="327"/>
      <c r="L1991" s="389">
        <v>70000</v>
      </c>
      <c r="M1991" s="371"/>
      <c r="N1991" s="355" t="str">
        <f t="shared" si="240"/>
        <v>PK</v>
      </c>
      <c r="O1991" s="407" t="s">
        <v>1700</v>
      </c>
      <c r="P1991" s="392"/>
      <c r="Q1991" s="327"/>
      <c r="R1991" s="351"/>
      <c r="S1991" s="351"/>
      <c r="T1991" s="351"/>
      <c r="U1991" s="329" t="str">
        <f>IF($N1991=$N$4,IFERROR(INDEX(DanhMuc!$E$154:$E$165,MATCH(MID($B1991,4,2),DanhMuc!$B$154:$B$165,0)),""),"")</f>
        <v/>
      </c>
      <c r="V1991" s="361"/>
      <c r="W1991" s="345"/>
      <c r="X1991" s="329" t="str">
        <f t="shared" si="236"/>
        <v>3H</v>
      </c>
      <c r="Y1991" s="1128" t="s">
        <v>3380</v>
      </c>
      <c r="Z1991" s="1128" t="s">
        <v>3381</v>
      </c>
      <c r="AA1991" s="1128" t="s">
        <v>3384</v>
      </c>
      <c r="AB1991" s="20"/>
      <c r="AC1991" s="73"/>
    </row>
    <row r="1992" spans="1:29">
      <c r="A1992" s="327" t="str">
        <f>IF(AND($B1992&lt;&gt;"",$C1992&lt;&gt;""),MAX($A$1556:A1991)+1,"")</f>
        <v/>
      </c>
      <c r="B1992" s="361" t="s">
        <v>1990</v>
      </c>
      <c r="C1992" s="360"/>
      <c r="D1992" s="327">
        <f>IF($B1992="","",COUNTIF($B$6:$B1992,$B1992))</f>
        <v>14</v>
      </c>
      <c r="E1992" s="405" t="s">
        <v>205</v>
      </c>
      <c r="F1992" s="406" t="s">
        <v>206</v>
      </c>
      <c r="G1992" s="327" t="s">
        <v>155</v>
      </c>
      <c r="H1992" s="327" t="s">
        <v>536</v>
      </c>
      <c r="I1992" s="327">
        <v>4</v>
      </c>
      <c r="J1992" s="345"/>
      <c r="K1992" s="327"/>
      <c r="L1992" s="389">
        <v>75000</v>
      </c>
      <c r="M1992" s="371"/>
      <c r="N1992" s="355" t="str">
        <f t="shared" si="240"/>
        <v>PK</v>
      </c>
      <c r="O1992" s="407" t="s">
        <v>1701</v>
      </c>
      <c r="P1992" s="392"/>
      <c r="Q1992" s="327"/>
      <c r="R1992" s="351"/>
      <c r="S1992" s="351"/>
      <c r="T1992" s="351"/>
      <c r="U1992" s="329" t="str">
        <f>IF($N1992=$N$4,IFERROR(INDEX(DanhMuc!$E$154:$E$165,MATCH(MID($B1992,4,2),DanhMuc!$B$154:$B$165,0)),""),"")</f>
        <v/>
      </c>
      <c r="V1992" s="361"/>
      <c r="W1992" s="345"/>
      <c r="X1992" s="329" t="str">
        <f t="shared" si="236"/>
        <v>3H</v>
      </c>
      <c r="Y1992" s="1128" t="s">
        <v>3380</v>
      </c>
      <c r="Z1992" s="1128" t="s">
        <v>3381</v>
      </c>
      <c r="AA1992" s="1128" t="s">
        <v>3384</v>
      </c>
      <c r="AB1992" s="20"/>
      <c r="AC1992" s="73"/>
    </row>
    <row r="1993" spans="1:29">
      <c r="A1993" s="327" t="str">
        <f>IF(AND($B1993&lt;&gt;"",$C1993&lt;&gt;""),MAX($A$1556:A1992)+1,"")</f>
        <v/>
      </c>
      <c r="B1993" s="361" t="s">
        <v>1990</v>
      </c>
      <c r="C1993" s="360"/>
      <c r="D1993" s="327">
        <f>IF($B1993="","",COUNTIF($B$6:$B1993,$B1993))</f>
        <v>15</v>
      </c>
      <c r="E1993" s="405" t="s">
        <v>3875</v>
      </c>
      <c r="F1993" s="406" t="s">
        <v>3866</v>
      </c>
      <c r="G1993" s="327" t="s">
        <v>155</v>
      </c>
      <c r="H1993" s="327" t="s">
        <v>536</v>
      </c>
      <c r="I1993" s="327">
        <v>4</v>
      </c>
      <c r="J1993" s="345"/>
      <c r="K1993" s="327"/>
      <c r="L1993" s="389">
        <v>55000</v>
      </c>
      <c r="M1993" s="371"/>
      <c r="N1993" s="355" t="str">
        <f t="shared" si="240"/>
        <v>PK</v>
      </c>
      <c r="O1993" s="407" t="s">
        <v>3868</v>
      </c>
      <c r="P1993" s="392"/>
      <c r="Q1993" s="327"/>
      <c r="R1993" s="351"/>
      <c r="S1993" s="351"/>
      <c r="T1993" s="351"/>
      <c r="U1993" s="329" t="str">
        <f>IF($N1993=$N$4,IFERROR(INDEX(DanhMuc!$E$154:$E$165,MATCH(MID($B1993,4,2),DanhMuc!$B$154:$B$165,0)),""),"")</f>
        <v/>
      </c>
      <c r="V1993" s="361"/>
      <c r="W1993" s="345"/>
      <c r="X1993" s="329" t="str">
        <f t="shared" si="236"/>
        <v>3H</v>
      </c>
      <c r="Y1993" s="1128" t="s">
        <v>3380</v>
      </c>
      <c r="Z1993" s="1128" t="s">
        <v>3381</v>
      </c>
      <c r="AA1993" s="1128" t="s">
        <v>3384</v>
      </c>
      <c r="AB1993" s="20"/>
      <c r="AC1993" s="73"/>
    </row>
    <row r="1994" spans="1:29">
      <c r="A1994" s="327" t="str">
        <f>IF(AND($B1994&lt;&gt;"",$C1994&lt;&gt;""),MAX($A$1556:A1993)+1,"")</f>
        <v/>
      </c>
      <c r="B1994" s="361" t="s">
        <v>1990</v>
      </c>
      <c r="C1994" s="360"/>
      <c r="D1994" s="327">
        <f>IF($B1994="","",COUNTIF($B$6:$B1994,$B1994))</f>
        <v>16</v>
      </c>
      <c r="E1994" s="405" t="s">
        <v>3876</v>
      </c>
      <c r="F1994" s="406" t="s">
        <v>3867</v>
      </c>
      <c r="G1994" s="327" t="s">
        <v>155</v>
      </c>
      <c r="H1994" s="327" t="s">
        <v>536</v>
      </c>
      <c r="I1994" s="327">
        <v>4</v>
      </c>
      <c r="J1994" s="345"/>
      <c r="K1994" s="327"/>
      <c r="L1994" s="389">
        <v>55000</v>
      </c>
      <c r="M1994" s="371"/>
      <c r="N1994" s="355" t="str">
        <f t="shared" si="240"/>
        <v>PK</v>
      </c>
      <c r="O1994" s="407" t="s">
        <v>3869</v>
      </c>
      <c r="P1994" s="392"/>
      <c r="Q1994" s="327"/>
      <c r="R1994" s="351"/>
      <c r="S1994" s="351"/>
      <c r="T1994" s="351"/>
      <c r="U1994" s="329" t="str">
        <f>IF($N1994=$N$4,IFERROR(INDEX(DanhMuc!$E$154:$E$165,MATCH(MID($B1994,4,2),DanhMuc!$B$154:$B$165,0)),""),"")</f>
        <v/>
      </c>
      <c r="V1994" s="361"/>
      <c r="W1994" s="345"/>
      <c r="X1994" s="329" t="str">
        <f t="shared" si="236"/>
        <v>3H</v>
      </c>
      <c r="Y1994" s="1128" t="s">
        <v>3380</v>
      </c>
      <c r="Z1994" s="1128" t="s">
        <v>3381</v>
      </c>
      <c r="AA1994" s="1128" t="s">
        <v>3384</v>
      </c>
      <c r="AB1994" s="20"/>
      <c r="AC1994" s="73"/>
    </row>
    <row r="1995" spans="1:29">
      <c r="A1995" s="327" t="str">
        <f>IF(AND($B1995&lt;&gt;"",$C1995&lt;&gt;""),MAX($A$1556:A1993)+1,"")</f>
        <v/>
      </c>
      <c r="B1995" s="361" t="s">
        <v>1990</v>
      </c>
      <c r="C1995" s="360"/>
      <c r="D1995" s="327">
        <f>IF($B1995="","",COUNTIF($B$6:$B1995,$B1995))</f>
        <v>17</v>
      </c>
      <c r="E1995" s="361" t="s">
        <v>678</v>
      </c>
      <c r="F1995" s="362" t="s">
        <v>711</v>
      </c>
      <c r="G1995" s="327" t="s">
        <v>155</v>
      </c>
      <c r="H1995" s="327"/>
      <c r="I1995" s="327">
        <v>1</v>
      </c>
      <c r="J1995" s="361"/>
      <c r="K1995" s="327"/>
      <c r="L1995" s="389">
        <v>1250</v>
      </c>
      <c r="M1995" s="371"/>
      <c r="N1995" s="355" t="str">
        <f t="shared" si="240"/>
        <v>PK</v>
      </c>
      <c r="O1995" s="345"/>
      <c r="P1995" s="392"/>
      <c r="Q1995" s="327"/>
      <c r="R1995" s="351"/>
      <c r="S1995" s="351"/>
      <c r="T1995" s="351"/>
      <c r="U1995" s="329" t="str">
        <f>IF($N1995=$N$4,IFERROR(INDEX(DanhMuc!$E$154:$E$165,MATCH(MID($B1995,4,2),DanhMuc!$B$154:$B$165,0)),""),"")</f>
        <v/>
      </c>
      <c r="V1995" s="361"/>
      <c r="W1995" s="345"/>
      <c r="X1995" s="329" t="str">
        <f t="shared" si="236"/>
        <v>3H</v>
      </c>
      <c r="Y1995" s="1128" t="s">
        <v>3380</v>
      </c>
      <c r="Z1995" s="1128" t="s">
        <v>3381</v>
      </c>
      <c r="AA1995" s="1128" t="s">
        <v>3384</v>
      </c>
      <c r="AB1995" s="20"/>
      <c r="AC1995" s="73"/>
    </row>
    <row r="1996" spans="1:29">
      <c r="A1996" s="327" t="str">
        <f>IF(AND($B1996&lt;&gt;"",$C1996&lt;&gt;""),MAX($A$1556:A1995)+1,"")</f>
        <v/>
      </c>
      <c r="B1996" s="361" t="s">
        <v>1990</v>
      </c>
      <c r="C1996" s="360"/>
      <c r="D1996" s="327">
        <f>IF($B1996="","",COUNTIF($B$6:$B1996,$B1996))</f>
        <v>18</v>
      </c>
      <c r="E1996" s="361" t="s">
        <v>679</v>
      </c>
      <c r="F1996" s="362" t="s">
        <v>712</v>
      </c>
      <c r="G1996" s="327" t="s">
        <v>155</v>
      </c>
      <c r="H1996" s="327"/>
      <c r="I1996" s="327">
        <v>1</v>
      </c>
      <c r="J1996" s="361"/>
      <c r="K1996" s="327"/>
      <c r="L1996" s="389">
        <v>1250</v>
      </c>
      <c r="M1996" s="371"/>
      <c r="N1996" s="355" t="str">
        <f t="shared" si="240"/>
        <v>PK</v>
      </c>
      <c r="O1996" s="345"/>
      <c r="P1996" s="392"/>
      <c r="Q1996" s="327"/>
      <c r="R1996" s="351"/>
      <c r="S1996" s="351"/>
      <c r="T1996" s="351"/>
      <c r="U1996" s="329" t="str">
        <f>IF($N1996=$N$4,IFERROR(INDEX(DanhMuc!$E$154:$E$165,MATCH(MID($B1996,4,2),DanhMuc!$B$154:$B$165,0)),""),"")</f>
        <v/>
      </c>
      <c r="V1996" s="361"/>
      <c r="W1996" s="345"/>
      <c r="X1996" s="329" t="str">
        <f t="shared" si="236"/>
        <v>3H</v>
      </c>
      <c r="Y1996" s="1128" t="s">
        <v>3380</v>
      </c>
      <c r="Z1996" s="1128" t="s">
        <v>3381</v>
      </c>
      <c r="AA1996" s="1128" t="s">
        <v>3384</v>
      </c>
      <c r="AB1996" s="20"/>
      <c r="AC1996" s="73"/>
    </row>
    <row r="1997" spans="1:29" ht="26">
      <c r="A1997" s="327">
        <f>IF(AND($B1997&lt;&gt;"",$C1997&lt;&gt;""),MAX($A$1556:A1996)+1,"")</f>
        <v>14</v>
      </c>
      <c r="B1997" s="359" t="s">
        <v>1991</v>
      </c>
      <c r="C1997" s="360" t="s">
        <v>1544</v>
      </c>
      <c r="D1997" s="327">
        <f>IF($B1997="","",COUNTIF($B$6:$B1997,$B1997))</f>
        <v>1</v>
      </c>
      <c r="E1997" s="361" t="s">
        <v>2077</v>
      </c>
      <c r="F1997" s="362" t="s">
        <v>2078</v>
      </c>
      <c r="G1997" s="327" t="s">
        <v>155</v>
      </c>
      <c r="H1997" s="327"/>
      <c r="I1997" s="327">
        <v>2</v>
      </c>
      <c r="J1997" s="361"/>
      <c r="K1997" s="327"/>
      <c r="L1997" s="389">
        <v>66000</v>
      </c>
      <c r="M1997" s="371"/>
      <c r="N1997" s="355" t="str">
        <f t="shared" si="240"/>
        <v>PK</v>
      </c>
      <c r="O1997" s="345" t="s">
        <v>2733</v>
      </c>
      <c r="P1997" s="392"/>
      <c r="Q1997" s="327"/>
      <c r="R1997" s="351"/>
      <c r="S1997" s="351"/>
      <c r="T1997" s="351"/>
      <c r="U1997" s="329" t="str">
        <f>IF($N1997=$N$4,IFERROR(INDEX(DanhMuc!$E$154:$E$165,MATCH(MID($B1997,4,2),DanhMuc!$B$154:$B$165,0)),""),"")</f>
        <v/>
      </c>
      <c r="V1997" s="361"/>
      <c r="W1997" s="345"/>
      <c r="X1997" s="329" t="str">
        <f t="shared" si="236"/>
        <v>3H</v>
      </c>
      <c r="Y1997" s="1128" t="s">
        <v>3380</v>
      </c>
      <c r="Z1997" s="1128" t="s">
        <v>3381</v>
      </c>
      <c r="AA1997" s="1128" t="s">
        <v>3384</v>
      </c>
      <c r="AB1997" s="20"/>
      <c r="AC1997" s="73"/>
    </row>
    <row r="1998" spans="1:29" ht="25">
      <c r="A1998" s="327" t="str">
        <f>IF(AND($B1998&lt;&gt;"",$C1998&lt;&gt;""),MAX($A$1556:A1997)+1,"")</f>
        <v/>
      </c>
      <c r="B1998" s="361" t="s">
        <v>1991</v>
      </c>
      <c r="C1998" s="362"/>
      <c r="D1998" s="327">
        <f>IF($B1998="","",COUNTIF($B$6:$B1998,$B1998))</f>
        <v>2</v>
      </c>
      <c r="E1998" s="361" t="s">
        <v>209</v>
      </c>
      <c r="F1998" s="362" t="s">
        <v>210</v>
      </c>
      <c r="G1998" s="327" t="s">
        <v>155</v>
      </c>
      <c r="H1998" s="327"/>
      <c r="I1998" s="327">
        <v>2</v>
      </c>
      <c r="J1998" s="361"/>
      <c r="K1998" s="327"/>
      <c r="L1998" s="389">
        <v>70000</v>
      </c>
      <c r="M1998" s="371"/>
      <c r="N1998" s="355" t="str">
        <f t="shared" si="240"/>
        <v>PK</v>
      </c>
      <c r="O1998" s="345" t="s">
        <v>1782</v>
      </c>
      <c r="P1998" s="392"/>
      <c r="Q1998" s="327"/>
      <c r="R1998" s="351"/>
      <c r="S1998" s="351"/>
      <c r="T1998" s="351"/>
      <c r="U1998" s="329" t="str">
        <f>IF($N1998=$N$4,IFERROR(INDEX(DanhMuc!$E$154:$E$165,MATCH(MID($B1998,4,2),DanhMuc!$B$154:$B$165,0)),""),"")</f>
        <v/>
      </c>
      <c r="V1998" s="361"/>
      <c r="W1998" s="345"/>
      <c r="X1998" s="329" t="str">
        <f t="shared" si="236"/>
        <v>3H</v>
      </c>
      <c r="Y1998" s="1128" t="s">
        <v>3380</v>
      </c>
      <c r="Z1998" s="1128" t="s">
        <v>3381</v>
      </c>
      <c r="AA1998" s="1128" t="s">
        <v>3384</v>
      </c>
      <c r="AB1998" s="20"/>
      <c r="AC1998" s="73"/>
    </row>
    <row r="1999" spans="1:29" ht="25">
      <c r="A1999" s="327" t="str">
        <f>IF(AND($B1999&lt;&gt;"",$C1999&lt;&gt;""),MAX($A$1556:A1998)+1,"")</f>
        <v/>
      </c>
      <c r="B1999" s="361" t="s">
        <v>1991</v>
      </c>
      <c r="C1999" s="362"/>
      <c r="D1999" s="327">
        <f>IF($B1999="","",COUNTIF($B$6:$B1999,$B1999))</f>
        <v>3</v>
      </c>
      <c r="E1999" s="361" t="s">
        <v>2743</v>
      </c>
      <c r="F1999" s="362" t="s">
        <v>2744</v>
      </c>
      <c r="G1999" s="327" t="s">
        <v>155</v>
      </c>
      <c r="H1999" s="327"/>
      <c r="I1999" s="327">
        <v>2</v>
      </c>
      <c r="J1999" s="361"/>
      <c r="K1999" s="327"/>
      <c r="L1999" s="389">
        <v>120000</v>
      </c>
      <c r="M1999" s="371"/>
      <c r="N1999" s="355" t="str">
        <f t="shared" si="240"/>
        <v>PK</v>
      </c>
      <c r="O1999" s="345" t="s">
        <v>2742</v>
      </c>
      <c r="P1999" s="392"/>
      <c r="Q1999" s="327"/>
      <c r="R1999" s="351"/>
      <c r="S1999" s="351"/>
      <c r="T1999" s="351"/>
      <c r="U1999" s="329" t="str">
        <f>IF($N1999=$N$4,IFERROR(INDEX(DanhMuc!$E$154:$E$165,MATCH(MID($B1999,4,2),DanhMuc!$B$154:$B$165,0)),""),"")</f>
        <v/>
      </c>
      <c r="V1999" s="361"/>
      <c r="W1999" s="345"/>
      <c r="X1999" s="329" t="str">
        <f t="shared" si="236"/>
        <v>3H</v>
      </c>
      <c r="Y1999" s="1128" t="s">
        <v>3380</v>
      </c>
      <c r="Z1999" s="1128" t="s">
        <v>3381</v>
      </c>
      <c r="AA1999" s="1128" t="s">
        <v>3384</v>
      </c>
      <c r="AB1999" s="20"/>
      <c r="AC1999" s="73"/>
    </row>
    <row r="2000" spans="1:29">
      <c r="A2000" s="327" t="str">
        <f>IF(AND($B2000&lt;&gt;"",$C2000&lt;&gt;""),MAX($A$1556:A1997)+1,"")</f>
        <v/>
      </c>
      <c r="B2000" s="361" t="s">
        <v>1991</v>
      </c>
      <c r="C2000" s="360"/>
      <c r="D2000" s="327">
        <f>IF($B2000="","",COUNTIF($B$6:$B2000,$B2000))</f>
        <v>4</v>
      </c>
      <c r="E2000" s="361" t="s">
        <v>174</v>
      </c>
      <c r="F2000" s="362" t="s">
        <v>224</v>
      </c>
      <c r="G2000" s="327" t="s">
        <v>155</v>
      </c>
      <c r="H2000" s="327" t="s">
        <v>536</v>
      </c>
      <c r="I2000" s="327">
        <v>2</v>
      </c>
      <c r="J2000" s="361"/>
      <c r="K2000" s="327"/>
      <c r="L2000" s="389">
        <v>19000</v>
      </c>
      <c r="M2000" s="371"/>
      <c r="N2000" s="355" t="str">
        <f t="shared" si="240"/>
        <v>PK</v>
      </c>
      <c r="O2000" s="345" t="s">
        <v>1623</v>
      </c>
      <c r="P2000" s="392"/>
      <c r="Q2000" s="327"/>
      <c r="R2000" s="351"/>
      <c r="S2000" s="351"/>
      <c r="T2000" s="351"/>
      <c r="U2000" s="329" t="str">
        <f>IF($N2000=$N$4,IFERROR(INDEX(DanhMuc!$E$154:$E$165,MATCH(MID($B2000,4,2),DanhMuc!$B$154:$B$165,0)),""),"")</f>
        <v/>
      </c>
      <c r="V2000" s="361"/>
      <c r="W2000" s="345"/>
      <c r="X2000" s="329" t="str">
        <f t="shared" si="236"/>
        <v>3H</v>
      </c>
      <c r="Y2000" s="1128" t="s">
        <v>3380</v>
      </c>
      <c r="Z2000" s="1128" t="s">
        <v>3381</v>
      </c>
      <c r="AA2000" s="1128" t="s">
        <v>3384</v>
      </c>
      <c r="AB2000" s="20"/>
      <c r="AC2000" s="73"/>
    </row>
    <row r="2001" spans="1:29">
      <c r="A2001" s="327" t="str">
        <f>IF(AND($B2001&lt;&gt;"",$C2001&lt;&gt;""),MAX($A$1556:A2000)+1,"")</f>
        <v/>
      </c>
      <c r="B2001" s="361" t="s">
        <v>1991</v>
      </c>
      <c r="C2001" s="360"/>
      <c r="D2001" s="327">
        <f>IF($B2001="","",COUNTIF($B$6:$B2001,$B2001))</f>
        <v>5</v>
      </c>
      <c r="E2001" s="361" t="s">
        <v>632</v>
      </c>
      <c r="F2001" s="362" t="s">
        <v>633</v>
      </c>
      <c r="G2001" s="327" t="s">
        <v>155</v>
      </c>
      <c r="H2001" s="327" t="s">
        <v>536</v>
      </c>
      <c r="I2001" s="327">
        <v>4</v>
      </c>
      <c r="J2001" s="345"/>
      <c r="K2001" s="327"/>
      <c r="L2001" s="389">
        <v>17000</v>
      </c>
      <c r="M2001" s="371"/>
      <c r="N2001" s="355" t="str">
        <f t="shared" si="240"/>
        <v>PK</v>
      </c>
      <c r="O2001" s="345" t="s">
        <v>1623</v>
      </c>
      <c r="P2001" s="392"/>
      <c r="Q2001" s="327"/>
      <c r="R2001" s="351"/>
      <c r="S2001" s="351"/>
      <c r="T2001" s="351"/>
      <c r="U2001" s="329" t="str">
        <f>IF($N2001=$N$4,IFERROR(INDEX(DanhMuc!$E$154:$E$165,MATCH(MID($B2001,4,2),DanhMuc!$B$154:$B$165,0)),""),"")</f>
        <v/>
      </c>
      <c r="V2001" s="361"/>
      <c r="W2001" s="345"/>
      <c r="X2001" s="329" t="str">
        <f t="shared" si="236"/>
        <v>3H</v>
      </c>
      <c r="Y2001" s="1128" t="s">
        <v>3380</v>
      </c>
      <c r="Z2001" s="1128" t="s">
        <v>3381</v>
      </c>
      <c r="AA2001" s="1128" t="s">
        <v>3384</v>
      </c>
      <c r="AB2001" s="20"/>
      <c r="AC2001" s="73"/>
    </row>
    <row r="2002" spans="1:29">
      <c r="A2002" s="327" t="str">
        <f>IF(AND($B2002&lt;&gt;"",$C2002&lt;&gt;""),MAX($A$1556:A2000)+1,"")</f>
        <v/>
      </c>
      <c r="B2002" s="361" t="s">
        <v>1991</v>
      </c>
      <c r="C2002" s="360"/>
      <c r="D2002" s="327">
        <f>IF($B2002="","",COUNTIF($B$6:$B2002,$B2002))</f>
        <v>6</v>
      </c>
      <c r="E2002" s="361" t="s">
        <v>89</v>
      </c>
      <c r="F2002" s="362" t="s">
        <v>90</v>
      </c>
      <c r="G2002" s="327" t="s">
        <v>155</v>
      </c>
      <c r="H2002" s="327" t="s">
        <v>536</v>
      </c>
      <c r="I2002" s="327">
        <v>2</v>
      </c>
      <c r="J2002" s="345"/>
      <c r="K2002" s="327"/>
      <c r="L2002" s="389">
        <v>6500</v>
      </c>
      <c r="M2002" s="371"/>
      <c r="N2002" s="355" t="str">
        <f t="shared" si="240"/>
        <v>PK</v>
      </c>
      <c r="O2002" s="345"/>
      <c r="P2002" s="392"/>
      <c r="Q2002" s="327"/>
      <c r="R2002" s="351"/>
      <c r="S2002" s="351"/>
      <c r="T2002" s="351"/>
      <c r="U2002" s="329" t="str">
        <f>IF($N2002=$N$4,IFERROR(INDEX(DanhMuc!$E$154:$E$165,MATCH(MID($B2002,4,2),DanhMuc!$B$154:$B$165,0)),""),"")</f>
        <v/>
      </c>
      <c r="V2002" s="361"/>
      <c r="W2002" s="345"/>
      <c r="X2002" s="329" t="str">
        <f t="shared" si="236"/>
        <v>3H</v>
      </c>
      <c r="Y2002" s="1128" t="s">
        <v>3380</v>
      </c>
      <c r="Z2002" s="1128" t="s">
        <v>3381</v>
      </c>
      <c r="AA2002" s="1128" t="s">
        <v>3384</v>
      </c>
      <c r="AB2002" s="20"/>
      <c r="AC2002" s="73"/>
    </row>
    <row r="2003" spans="1:29">
      <c r="A2003" s="327" t="str">
        <f>IF(AND($B2003&lt;&gt;"",$C2003&lt;&gt;""),MAX($A$1556:A2001)+1,"")</f>
        <v/>
      </c>
      <c r="B2003" s="361" t="s">
        <v>1991</v>
      </c>
      <c r="C2003" s="360"/>
      <c r="D2003" s="327">
        <f>IF($B2003="","",COUNTIF($B$6:$B2003,$B2003))</f>
        <v>7</v>
      </c>
      <c r="E2003" s="361" t="s">
        <v>91</v>
      </c>
      <c r="F2003" s="362" t="s">
        <v>92</v>
      </c>
      <c r="G2003" s="327" t="s">
        <v>155</v>
      </c>
      <c r="H2003" s="327" t="s">
        <v>536</v>
      </c>
      <c r="I2003" s="327">
        <v>2</v>
      </c>
      <c r="J2003" s="345"/>
      <c r="K2003" s="327"/>
      <c r="L2003" s="389">
        <v>6500</v>
      </c>
      <c r="M2003" s="371"/>
      <c r="N2003" s="355" t="str">
        <f t="shared" si="240"/>
        <v>PK</v>
      </c>
      <c r="O2003" s="345"/>
      <c r="P2003" s="392"/>
      <c r="Q2003" s="327"/>
      <c r="R2003" s="351"/>
      <c r="S2003" s="351"/>
      <c r="T2003" s="351"/>
      <c r="U2003" s="329" t="str">
        <f>IF($N2003=$N$4,IFERROR(INDEX(DanhMuc!$E$154:$E$165,MATCH(MID($B2003,4,2),DanhMuc!$B$154:$B$165,0)),""),"")</f>
        <v/>
      </c>
      <c r="V2003" s="361"/>
      <c r="W2003" s="345"/>
      <c r="X2003" s="329" t="str">
        <f t="shared" si="236"/>
        <v>3H</v>
      </c>
      <c r="Y2003" s="1128" t="s">
        <v>3380</v>
      </c>
      <c r="Z2003" s="1128" t="s">
        <v>3381</v>
      </c>
      <c r="AA2003" s="1128" t="s">
        <v>3384</v>
      </c>
      <c r="AB2003" s="20"/>
      <c r="AC2003" s="73"/>
    </row>
    <row r="2004" spans="1:29">
      <c r="A2004" s="327" t="str">
        <f>IF(AND($B2004&lt;&gt;"",$C2004&lt;&gt;""),MAX($A$1556:A2003)+1,"")</f>
        <v/>
      </c>
      <c r="B2004" s="361" t="s">
        <v>1991</v>
      </c>
      <c r="C2004" s="360"/>
      <c r="D2004" s="327">
        <f>IF($B2004="","",COUNTIF($B$6:$B2004,$B2004))</f>
        <v>8</v>
      </c>
      <c r="E2004" s="365" t="s">
        <v>327</v>
      </c>
      <c r="F2004" s="368" t="s">
        <v>345</v>
      </c>
      <c r="G2004" s="367" t="s">
        <v>690</v>
      </c>
      <c r="H2004" s="327" t="s">
        <v>536</v>
      </c>
      <c r="I2004" s="327">
        <v>3</v>
      </c>
      <c r="J2004" s="345" t="s">
        <v>705</v>
      </c>
      <c r="K2004" s="327"/>
      <c r="L2004" s="348">
        <f>+$S2004*$T2004*$L$37</f>
        <v>84651</v>
      </c>
      <c r="M2004" s="371"/>
      <c r="N2004" s="369" t="s">
        <v>150</v>
      </c>
      <c r="O2004" s="345" t="s">
        <v>1623</v>
      </c>
      <c r="P2004" s="392"/>
      <c r="Q2004" s="327"/>
      <c r="R2004" s="351">
        <v>2.5</v>
      </c>
      <c r="S2004" s="351">
        <v>5.8</v>
      </c>
      <c r="T2004" s="351">
        <v>0.13900000000000001</v>
      </c>
      <c r="U2004" s="329">
        <f>IF($N2004=$N$4,IFERROR(INDEX(DanhMuc!$E$154:$E$165,MATCH(MID($B2004,4,2),DanhMuc!$B$154:$B$165,0)),""),"")</f>
        <v>5800</v>
      </c>
      <c r="V2004" s="361"/>
      <c r="W2004" s="345"/>
      <c r="X2004" s="329" t="str">
        <f t="shared" si="236"/>
        <v>C459</v>
      </c>
      <c r="Y2004" s="1128" t="s">
        <v>3380</v>
      </c>
      <c r="Z2004" s="1128" t="s">
        <v>3381</v>
      </c>
      <c r="AA2004" s="1128" t="s">
        <v>3384</v>
      </c>
      <c r="AB2004" s="20"/>
      <c r="AC2004" s="73"/>
    </row>
    <row r="2005" spans="1:29">
      <c r="A2005" s="327" t="str">
        <f>IF(AND($B2005&lt;&gt;"",$C2005&lt;&gt;""),MAX($A$1556:A2001)+1,"")</f>
        <v/>
      </c>
      <c r="B2005" s="361" t="s">
        <v>1991</v>
      </c>
      <c r="C2005" s="360"/>
      <c r="D2005" s="327">
        <f>IF($B2005="","",COUNTIF($B$6:$B2005,$B2005))</f>
        <v>9</v>
      </c>
      <c r="E2005" s="361" t="s">
        <v>709</v>
      </c>
      <c r="F2005" s="362" t="s">
        <v>326</v>
      </c>
      <c r="G2005" s="327" t="s">
        <v>344</v>
      </c>
      <c r="H2005" s="327" t="s">
        <v>536</v>
      </c>
      <c r="I2005" s="327">
        <v>2</v>
      </c>
      <c r="J2005" s="361"/>
      <c r="K2005" s="327"/>
      <c r="L2005" s="389">
        <v>45000</v>
      </c>
      <c r="M2005" s="371"/>
      <c r="N2005" s="355" t="str">
        <f t="shared" ref="N2005:N2022" si="241">+$N$1555</f>
        <v>PK</v>
      </c>
      <c r="O2005" s="345"/>
      <c r="P2005" s="392"/>
      <c r="Q2005" s="327"/>
      <c r="R2005" s="351"/>
      <c r="S2005" s="351"/>
      <c r="T2005" s="351"/>
      <c r="U2005" s="329" t="str">
        <f>IF($N2005=$N$4,IFERROR(INDEX(DanhMuc!$E$154:$E$165,MATCH(MID($B2005,4,2),DanhMuc!$B$154:$B$165,0)),""),"")</f>
        <v/>
      </c>
      <c r="V2005" s="361"/>
      <c r="W2005" s="345"/>
      <c r="X2005" s="329" t="str">
        <f t="shared" si="236"/>
        <v>3H</v>
      </c>
      <c r="Y2005" s="1128" t="s">
        <v>3380</v>
      </c>
      <c r="Z2005" s="1128" t="s">
        <v>3381</v>
      </c>
      <c r="AA2005" s="1128" t="s">
        <v>3384</v>
      </c>
      <c r="AB2005" s="20"/>
      <c r="AC2005" s="73"/>
    </row>
    <row r="2006" spans="1:29">
      <c r="A2006" s="327" t="str">
        <f>IF(AND($B2006&lt;&gt;"",$C2006&lt;&gt;""),MAX($A$1556:A2004)+1,"")</f>
        <v/>
      </c>
      <c r="B2006" s="361" t="s">
        <v>1991</v>
      </c>
      <c r="C2006" s="360"/>
      <c r="D2006" s="327">
        <f>IF($B2006="","",COUNTIF($B$6:$B2006,$B2006))</f>
        <v>10</v>
      </c>
      <c r="E2006" s="402" t="s">
        <v>89</v>
      </c>
      <c r="F2006" s="362" t="s">
        <v>90</v>
      </c>
      <c r="G2006" s="327" t="s">
        <v>155</v>
      </c>
      <c r="H2006" s="327" t="s">
        <v>536</v>
      </c>
      <c r="I2006" s="327">
        <v>2</v>
      </c>
      <c r="J2006" s="361"/>
      <c r="K2006" s="327"/>
      <c r="L2006" s="389">
        <v>6500</v>
      </c>
      <c r="M2006" s="371"/>
      <c r="N2006" s="355" t="str">
        <f t="shared" si="241"/>
        <v>PK</v>
      </c>
      <c r="O2006" s="345"/>
      <c r="P2006" s="392"/>
      <c r="Q2006" s="327"/>
      <c r="R2006" s="351"/>
      <c r="S2006" s="351"/>
      <c r="T2006" s="351"/>
      <c r="U2006" s="329" t="str">
        <f>IF($N2006=$N$4,IFERROR(INDEX(DanhMuc!$E$154:$E$165,MATCH(MID($B2006,4,2),DanhMuc!$B$154:$B$165,0)),""),"")</f>
        <v/>
      </c>
      <c r="V2006" s="361"/>
      <c r="W2006" s="345"/>
      <c r="X2006" s="329" t="str">
        <f t="shared" si="236"/>
        <v>3H</v>
      </c>
      <c r="Y2006" s="1128" t="s">
        <v>3380</v>
      </c>
      <c r="Z2006" s="1128" t="s">
        <v>3381</v>
      </c>
      <c r="AA2006" s="1128" t="s">
        <v>3384</v>
      </c>
      <c r="AB2006" s="20"/>
      <c r="AC2006" s="73"/>
    </row>
    <row r="2007" spans="1:29">
      <c r="A2007" s="327" t="str">
        <f>IF(AND($B2007&lt;&gt;"",$C2007&lt;&gt;""),MAX($A$1556:A2004)+1,"")</f>
        <v/>
      </c>
      <c r="B2007" s="361" t="s">
        <v>1991</v>
      </c>
      <c r="C2007" s="360"/>
      <c r="D2007" s="327">
        <f>IF($B2007="","",COUNTIF($B$6:$B2007,$B2007))</f>
        <v>11</v>
      </c>
      <c r="E2007" s="361" t="s">
        <v>175</v>
      </c>
      <c r="F2007" s="362" t="s">
        <v>176</v>
      </c>
      <c r="G2007" s="327" t="s">
        <v>155</v>
      </c>
      <c r="H2007" s="327" t="s">
        <v>536</v>
      </c>
      <c r="I2007" s="327">
        <v>6</v>
      </c>
      <c r="J2007" s="361"/>
      <c r="K2007" s="327"/>
      <c r="L2007" s="389">
        <v>2000</v>
      </c>
      <c r="M2007" s="371"/>
      <c r="N2007" s="355" t="str">
        <f t="shared" si="241"/>
        <v>PK</v>
      </c>
      <c r="O2007" s="345"/>
      <c r="P2007" s="392"/>
      <c r="Q2007" s="327"/>
      <c r="R2007" s="351"/>
      <c r="S2007" s="351"/>
      <c r="T2007" s="351"/>
      <c r="U2007" s="329" t="str">
        <f>IF($N2007=$N$4,IFERROR(INDEX(DanhMuc!$E$154:$E$165,MATCH(MID($B2007,4,2),DanhMuc!$B$154:$B$165,0)),""),"")</f>
        <v/>
      </c>
      <c r="V2007" s="361"/>
      <c r="W2007" s="345"/>
      <c r="X2007" s="329" t="str">
        <f t="shared" si="236"/>
        <v>3H</v>
      </c>
      <c r="Y2007" s="1128" t="s">
        <v>3380</v>
      </c>
      <c r="Z2007" s="1128" t="s">
        <v>3381</v>
      </c>
      <c r="AA2007" s="1128" t="s">
        <v>3384</v>
      </c>
      <c r="AB2007" s="20"/>
      <c r="AC2007" s="73"/>
    </row>
    <row r="2008" spans="1:29">
      <c r="A2008" s="327" t="str">
        <f>IF(AND($B2008&lt;&gt;"",$C2008&lt;&gt;""),MAX($A$1556:A2007)+1,"")</f>
        <v/>
      </c>
      <c r="B2008" s="361" t="s">
        <v>1991</v>
      </c>
      <c r="C2008" s="360"/>
      <c r="D2008" s="327">
        <f>IF($B2008="","",COUNTIF($B$6:$B2008,$B2008))</f>
        <v>12</v>
      </c>
      <c r="E2008" s="405" t="s">
        <v>177</v>
      </c>
      <c r="F2008" s="406" t="s">
        <v>178</v>
      </c>
      <c r="G2008" s="327" t="s">
        <v>155</v>
      </c>
      <c r="H2008" s="327" t="s">
        <v>536</v>
      </c>
      <c r="I2008" s="327">
        <v>6</v>
      </c>
      <c r="J2008" s="345"/>
      <c r="K2008" s="327"/>
      <c r="L2008" s="389">
        <v>57000</v>
      </c>
      <c r="M2008" s="371"/>
      <c r="N2008" s="355" t="str">
        <f t="shared" si="241"/>
        <v>PK</v>
      </c>
      <c r="O2008" s="407" t="s">
        <v>1698</v>
      </c>
      <c r="P2008" s="392"/>
      <c r="Q2008" s="327"/>
      <c r="R2008" s="351"/>
      <c r="S2008" s="351"/>
      <c r="T2008" s="351"/>
      <c r="U2008" s="329" t="str">
        <f>IF($N2008=$N$4,IFERROR(INDEX(DanhMuc!$E$154:$E$165,MATCH(MID($B2008,4,2),DanhMuc!$B$154:$B$165,0)),""),"")</f>
        <v/>
      </c>
      <c r="V2008" s="361"/>
      <c r="W2008" s="345"/>
      <c r="X2008" s="329" t="str">
        <f t="shared" si="236"/>
        <v>3H</v>
      </c>
      <c r="Y2008" s="1128" t="s">
        <v>3380</v>
      </c>
      <c r="Z2008" s="1128" t="s">
        <v>3381</v>
      </c>
      <c r="AA2008" s="1128" t="s">
        <v>3384</v>
      </c>
      <c r="AB2008" s="20"/>
      <c r="AC2008" s="73"/>
    </row>
    <row r="2009" spans="1:29">
      <c r="A2009" s="327" t="str">
        <f>IF(AND($B2009&lt;&gt;"",$C2009&lt;&gt;""),MAX($A$1556:A2008)+1,"")</f>
        <v/>
      </c>
      <c r="B2009" s="361" t="s">
        <v>1991</v>
      </c>
      <c r="C2009" s="360"/>
      <c r="D2009" s="327">
        <f>IF($B2009="","",COUNTIF($B$6:$B2009,$B2009))</f>
        <v>13</v>
      </c>
      <c r="E2009" s="405" t="s">
        <v>180</v>
      </c>
      <c r="F2009" s="406" t="s">
        <v>202</v>
      </c>
      <c r="G2009" s="327" t="s">
        <v>155</v>
      </c>
      <c r="H2009" s="327" t="s">
        <v>536</v>
      </c>
      <c r="I2009" s="327">
        <v>6</v>
      </c>
      <c r="J2009" s="345"/>
      <c r="K2009" s="327"/>
      <c r="L2009" s="389">
        <v>66000</v>
      </c>
      <c r="M2009" s="371"/>
      <c r="N2009" s="355" t="str">
        <f t="shared" si="241"/>
        <v>PK</v>
      </c>
      <c r="O2009" s="407" t="s">
        <v>1699</v>
      </c>
      <c r="P2009" s="392"/>
      <c r="Q2009" s="327"/>
      <c r="R2009" s="351"/>
      <c r="S2009" s="351"/>
      <c r="T2009" s="351"/>
      <c r="U2009" s="329" t="str">
        <f>IF($N2009=$N$4,IFERROR(INDEX(DanhMuc!$E$154:$E$165,MATCH(MID($B2009,4,2),DanhMuc!$B$154:$B$165,0)),""),"")</f>
        <v/>
      </c>
      <c r="V2009" s="361"/>
      <c r="W2009" s="345"/>
      <c r="X2009" s="329" t="str">
        <f t="shared" si="236"/>
        <v>3H</v>
      </c>
      <c r="Y2009" s="1128" t="s">
        <v>3380</v>
      </c>
      <c r="Z2009" s="1128" t="s">
        <v>3381</v>
      </c>
      <c r="AA2009" s="1128" t="s">
        <v>3384</v>
      </c>
      <c r="AB2009" s="20"/>
      <c r="AC2009" s="73"/>
    </row>
    <row r="2010" spans="1:29">
      <c r="A2010" s="327" t="str">
        <f>IF(AND($B2010&lt;&gt;"",$C2010&lt;&gt;""),MAX($A$1556:A2009)+1,"")</f>
        <v/>
      </c>
      <c r="B2010" s="361" t="s">
        <v>1991</v>
      </c>
      <c r="C2010" s="360"/>
      <c r="D2010" s="327">
        <f>IF($B2010="","",COUNTIF($B$6:$B2010,$B2010))</f>
        <v>14</v>
      </c>
      <c r="E2010" s="405" t="s">
        <v>203</v>
      </c>
      <c r="F2010" s="406" t="s">
        <v>204</v>
      </c>
      <c r="G2010" s="327" t="s">
        <v>155</v>
      </c>
      <c r="H2010" s="327" t="s">
        <v>536</v>
      </c>
      <c r="I2010" s="327">
        <v>6</v>
      </c>
      <c r="J2010" s="345"/>
      <c r="K2010" s="327"/>
      <c r="L2010" s="389">
        <v>70000</v>
      </c>
      <c r="M2010" s="371"/>
      <c r="N2010" s="355" t="str">
        <f t="shared" si="241"/>
        <v>PK</v>
      </c>
      <c r="O2010" s="407" t="s">
        <v>1700</v>
      </c>
      <c r="P2010" s="392"/>
      <c r="Q2010" s="327"/>
      <c r="R2010" s="351"/>
      <c r="S2010" s="351"/>
      <c r="T2010" s="351"/>
      <c r="U2010" s="329" t="str">
        <f>IF($N2010=$N$4,IFERROR(INDEX(DanhMuc!$E$154:$E$165,MATCH(MID($B2010,4,2),DanhMuc!$B$154:$B$165,0)),""),"")</f>
        <v/>
      </c>
      <c r="V2010" s="361"/>
      <c r="W2010" s="345"/>
      <c r="X2010" s="329" t="str">
        <f t="shared" si="236"/>
        <v>3H</v>
      </c>
      <c r="Y2010" s="1128" t="s">
        <v>3380</v>
      </c>
      <c r="Z2010" s="1128" t="s">
        <v>3381</v>
      </c>
      <c r="AA2010" s="1128" t="s">
        <v>3384</v>
      </c>
      <c r="AB2010" s="20"/>
      <c r="AC2010" s="73"/>
    </row>
    <row r="2011" spans="1:29">
      <c r="A2011" s="327" t="str">
        <f>IF(AND($B2011&lt;&gt;"",$C2011&lt;&gt;""),MAX($A$1556:A2010)+1,"")</f>
        <v/>
      </c>
      <c r="B2011" s="361" t="s">
        <v>1991</v>
      </c>
      <c r="C2011" s="360"/>
      <c r="D2011" s="327">
        <f>IF($B2011="","",COUNTIF($B$6:$B2011,$B2011))</f>
        <v>15</v>
      </c>
      <c r="E2011" s="405" t="s">
        <v>205</v>
      </c>
      <c r="F2011" s="406" t="s">
        <v>206</v>
      </c>
      <c r="G2011" s="327" t="s">
        <v>155</v>
      </c>
      <c r="H2011" s="327" t="s">
        <v>536</v>
      </c>
      <c r="I2011" s="327">
        <v>6</v>
      </c>
      <c r="J2011" s="345"/>
      <c r="K2011" s="327"/>
      <c r="L2011" s="389">
        <v>75000</v>
      </c>
      <c r="M2011" s="371"/>
      <c r="N2011" s="355" t="str">
        <f t="shared" si="241"/>
        <v>PK</v>
      </c>
      <c r="O2011" s="407" t="s">
        <v>1701</v>
      </c>
      <c r="P2011" s="392"/>
      <c r="Q2011" s="327"/>
      <c r="R2011" s="351"/>
      <c r="S2011" s="351"/>
      <c r="T2011" s="351"/>
      <c r="U2011" s="329" t="str">
        <f>IF($N2011=$N$4,IFERROR(INDEX(DanhMuc!$E$154:$E$165,MATCH(MID($B2011,4,2),DanhMuc!$B$154:$B$165,0)),""),"")</f>
        <v/>
      </c>
      <c r="V2011" s="361"/>
      <c r="W2011" s="345"/>
      <c r="X2011" s="329" t="str">
        <f t="shared" si="236"/>
        <v>3H</v>
      </c>
      <c r="Y2011" s="1128" t="s">
        <v>3380</v>
      </c>
      <c r="Z2011" s="1128" t="s">
        <v>3381</v>
      </c>
      <c r="AA2011" s="1128" t="s">
        <v>3384</v>
      </c>
      <c r="AB2011" s="20"/>
      <c r="AC2011" s="73"/>
    </row>
    <row r="2012" spans="1:29">
      <c r="A2012" s="327" t="str">
        <f>IF(AND($B2012&lt;&gt;"",$C2012&lt;&gt;""),MAX($A$1556:A2011)+1,"")</f>
        <v/>
      </c>
      <c r="B2012" s="361" t="s">
        <v>1991</v>
      </c>
      <c r="C2012" s="360"/>
      <c r="D2012" s="327">
        <f>IF($B2012="","",COUNTIF($B$6:$B2012,$B2012))</f>
        <v>16</v>
      </c>
      <c r="E2012" s="405" t="s">
        <v>3875</v>
      </c>
      <c r="F2012" s="406" t="s">
        <v>3866</v>
      </c>
      <c r="G2012" s="327" t="s">
        <v>155</v>
      </c>
      <c r="H2012" s="327" t="s">
        <v>536</v>
      </c>
      <c r="I2012" s="327">
        <v>6</v>
      </c>
      <c r="J2012" s="345"/>
      <c r="K2012" s="327"/>
      <c r="L2012" s="389">
        <v>55000</v>
      </c>
      <c r="M2012" s="371"/>
      <c r="N2012" s="355" t="str">
        <f t="shared" si="241"/>
        <v>PK</v>
      </c>
      <c r="O2012" s="407" t="s">
        <v>3868</v>
      </c>
      <c r="P2012" s="392"/>
      <c r="Q2012" s="327"/>
      <c r="R2012" s="351"/>
      <c r="S2012" s="351"/>
      <c r="T2012" s="351"/>
      <c r="U2012" s="329" t="str">
        <f>IF($N2012=$N$4,IFERROR(INDEX(DanhMuc!$E$154:$E$165,MATCH(MID($B2012,4,2),DanhMuc!$B$154:$B$165,0)),""),"")</f>
        <v/>
      </c>
      <c r="V2012" s="361"/>
      <c r="W2012" s="345"/>
      <c r="X2012" s="329" t="str">
        <f t="shared" si="236"/>
        <v>3H</v>
      </c>
      <c r="Y2012" s="1128" t="s">
        <v>3380</v>
      </c>
      <c r="Z2012" s="1128" t="s">
        <v>3381</v>
      </c>
      <c r="AA2012" s="1128" t="s">
        <v>3384</v>
      </c>
      <c r="AB2012" s="20"/>
      <c r="AC2012" s="73"/>
    </row>
    <row r="2013" spans="1:29">
      <c r="A2013" s="327" t="str">
        <f>IF(AND($B2013&lt;&gt;"",$C2013&lt;&gt;""),MAX($A$1556:A2012)+1,"")</f>
        <v/>
      </c>
      <c r="B2013" s="361" t="s">
        <v>1991</v>
      </c>
      <c r="C2013" s="360"/>
      <c r="D2013" s="327">
        <f>IF($B2013="","",COUNTIF($B$6:$B2013,$B2013))</f>
        <v>17</v>
      </c>
      <c r="E2013" s="405" t="s">
        <v>3876</v>
      </c>
      <c r="F2013" s="406" t="s">
        <v>3867</v>
      </c>
      <c r="G2013" s="327" t="s">
        <v>155</v>
      </c>
      <c r="H2013" s="327" t="s">
        <v>536</v>
      </c>
      <c r="I2013" s="327">
        <v>6</v>
      </c>
      <c r="J2013" s="345"/>
      <c r="K2013" s="327"/>
      <c r="L2013" s="389">
        <v>55000</v>
      </c>
      <c r="M2013" s="371"/>
      <c r="N2013" s="355" t="str">
        <f t="shared" si="241"/>
        <v>PK</v>
      </c>
      <c r="O2013" s="407" t="s">
        <v>3869</v>
      </c>
      <c r="P2013" s="392"/>
      <c r="Q2013" s="327"/>
      <c r="R2013" s="351"/>
      <c r="S2013" s="351"/>
      <c r="T2013" s="351"/>
      <c r="U2013" s="329" t="str">
        <f>IF($N2013=$N$4,IFERROR(INDEX(DanhMuc!$E$154:$E$165,MATCH(MID($B2013,4,2),DanhMuc!$B$154:$B$165,0)),""),"")</f>
        <v/>
      </c>
      <c r="V2013" s="361"/>
      <c r="W2013" s="345"/>
      <c r="X2013" s="329" t="str">
        <f t="shared" si="236"/>
        <v>3H</v>
      </c>
      <c r="Y2013" s="1128" t="s">
        <v>3380</v>
      </c>
      <c r="Z2013" s="1128" t="s">
        <v>3381</v>
      </c>
      <c r="AA2013" s="1128" t="s">
        <v>3384</v>
      </c>
      <c r="AB2013" s="20"/>
      <c r="AC2013" s="73"/>
    </row>
    <row r="2014" spans="1:29">
      <c r="A2014" s="327" t="str">
        <f>IF(AND($B2014&lt;&gt;"",$C2014&lt;&gt;""),MAX($A$1556:A2012)+1,"")</f>
        <v/>
      </c>
      <c r="B2014" s="361" t="s">
        <v>1991</v>
      </c>
      <c r="C2014" s="360"/>
      <c r="D2014" s="327">
        <f>IF($B2014="","",COUNTIF($B$6:$B2014,$B2014))</f>
        <v>18</v>
      </c>
      <c r="E2014" s="361" t="s">
        <v>678</v>
      </c>
      <c r="F2014" s="362" t="s">
        <v>711</v>
      </c>
      <c r="G2014" s="327" t="s">
        <v>155</v>
      </c>
      <c r="H2014" s="327"/>
      <c r="I2014" s="327">
        <v>1</v>
      </c>
      <c r="J2014" s="361"/>
      <c r="K2014" s="327"/>
      <c r="L2014" s="389">
        <v>1250</v>
      </c>
      <c r="M2014" s="371"/>
      <c r="N2014" s="355" t="str">
        <f t="shared" si="241"/>
        <v>PK</v>
      </c>
      <c r="O2014" s="345"/>
      <c r="P2014" s="392"/>
      <c r="Q2014" s="327"/>
      <c r="R2014" s="351"/>
      <c r="S2014" s="351"/>
      <c r="T2014" s="351"/>
      <c r="U2014" s="329" t="str">
        <f>IF($N2014=$N$4,IFERROR(INDEX(DanhMuc!$E$154:$E$165,MATCH(MID($B2014,4,2),DanhMuc!$B$154:$B$165,0)),""),"")</f>
        <v/>
      </c>
      <c r="V2014" s="361"/>
      <c r="W2014" s="345"/>
      <c r="X2014" s="329" t="str">
        <f t="shared" si="236"/>
        <v>3H</v>
      </c>
      <c r="Y2014" s="1128" t="s">
        <v>3380</v>
      </c>
      <c r="Z2014" s="1128" t="s">
        <v>3381</v>
      </c>
      <c r="AA2014" s="1128" t="s">
        <v>3384</v>
      </c>
      <c r="AB2014" s="20"/>
      <c r="AC2014" s="73"/>
    </row>
    <row r="2015" spans="1:29">
      <c r="A2015" s="327" t="str">
        <f>IF(AND($B2015&lt;&gt;"",$C2015&lt;&gt;""),MAX($A$1556:A2014)+1,"")</f>
        <v/>
      </c>
      <c r="B2015" s="361" t="s">
        <v>1991</v>
      </c>
      <c r="C2015" s="360"/>
      <c r="D2015" s="327">
        <f>IF($B2015="","",COUNTIF($B$6:$B2015,$B2015))</f>
        <v>19</v>
      </c>
      <c r="E2015" s="361" t="s">
        <v>679</v>
      </c>
      <c r="F2015" s="362" t="s">
        <v>712</v>
      </c>
      <c r="G2015" s="327" t="s">
        <v>155</v>
      </c>
      <c r="H2015" s="327"/>
      <c r="I2015" s="327">
        <v>1</v>
      </c>
      <c r="J2015" s="361"/>
      <c r="K2015" s="327"/>
      <c r="L2015" s="389">
        <v>1250</v>
      </c>
      <c r="M2015" s="371"/>
      <c r="N2015" s="355" t="str">
        <f t="shared" si="241"/>
        <v>PK</v>
      </c>
      <c r="O2015" s="345"/>
      <c r="P2015" s="392"/>
      <c r="Q2015" s="327"/>
      <c r="R2015" s="351"/>
      <c r="S2015" s="351"/>
      <c r="T2015" s="351"/>
      <c r="U2015" s="329" t="str">
        <f>IF($N2015=$N$4,IFERROR(INDEX(DanhMuc!$E$154:$E$165,MATCH(MID($B2015,4,2),DanhMuc!$B$154:$B$165,0)),""),"")</f>
        <v/>
      </c>
      <c r="V2015" s="361"/>
      <c r="W2015" s="345"/>
      <c r="X2015" s="329" t="str">
        <f t="shared" si="236"/>
        <v>3H</v>
      </c>
      <c r="Y2015" s="1128" t="s">
        <v>3380</v>
      </c>
      <c r="Z2015" s="1128" t="s">
        <v>3381</v>
      </c>
      <c r="AA2015" s="1128" t="s">
        <v>3384</v>
      </c>
      <c r="AB2015" s="20"/>
      <c r="AC2015" s="73"/>
    </row>
    <row r="2016" spans="1:29" ht="26">
      <c r="A2016" s="327">
        <f>IF(AND($B2016&lt;&gt;"",$C2016&lt;&gt;""),MAX($A$1556:A2015)+1,"")</f>
        <v>15</v>
      </c>
      <c r="B2016" s="359" t="s">
        <v>1992</v>
      </c>
      <c r="C2016" s="360" t="s">
        <v>1545</v>
      </c>
      <c r="D2016" s="327">
        <f>IF($B2016="","",COUNTIF($B$6:$B2016,$B2016))</f>
        <v>1</v>
      </c>
      <c r="E2016" s="361" t="s">
        <v>2077</v>
      </c>
      <c r="F2016" s="362" t="s">
        <v>2078</v>
      </c>
      <c r="G2016" s="327" t="s">
        <v>155</v>
      </c>
      <c r="H2016" s="327"/>
      <c r="I2016" s="327">
        <v>3</v>
      </c>
      <c r="J2016" s="361"/>
      <c r="K2016" s="327"/>
      <c r="L2016" s="389">
        <v>66000</v>
      </c>
      <c r="M2016" s="371"/>
      <c r="N2016" s="355" t="str">
        <f t="shared" si="241"/>
        <v>PK</v>
      </c>
      <c r="O2016" s="345" t="s">
        <v>2733</v>
      </c>
      <c r="P2016" s="392"/>
      <c r="Q2016" s="327"/>
      <c r="R2016" s="351"/>
      <c r="S2016" s="351"/>
      <c r="T2016" s="351"/>
      <c r="U2016" s="329" t="str">
        <f>IF($N2016=$N$4,IFERROR(INDEX(DanhMuc!$E$154:$E$165,MATCH(MID($B2016,4,2),DanhMuc!$B$154:$B$165,0)),""),"")</f>
        <v/>
      </c>
      <c r="V2016" s="361"/>
      <c r="W2016" s="345"/>
      <c r="X2016" s="329" t="str">
        <f t="shared" si="236"/>
        <v>3H</v>
      </c>
      <c r="Y2016" s="1128" t="s">
        <v>3380</v>
      </c>
      <c r="Z2016" s="1128" t="s">
        <v>3381</v>
      </c>
      <c r="AA2016" s="1128" t="s">
        <v>3384</v>
      </c>
      <c r="AB2016" s="20"/>
      <c r="AC2016" s="73"/>
    </row>
    <row r="2017" spans="1:29" ht="25">
      <c r="A2017" s="327" t="str">
        <f>IF(AND($B2017&lt;&gt;"",$C2017&lt;&gt;""),MAX($A$1556:A2016)+1,"")</f>
        <v/>
      </c>
      <c r="B2017" s="361" t="s">
        <v>1992</v>
      </c>
      <c r="C2017" s="362"/>
      <c r="D2017" s="327">
        <f>IF($B2017="","",COUNTIF($B$6:$B2017,$B2017))</f>
        <v>2</v>
      </c>
      <c r="E2017" s="361" t="s">
        <v>209</v>
      </c>
      <c r="F2017" s="362" t="s">
        <v>210</v>
      </c>
      <c r="G2017" s="327" t="s">
        <v>155</v>
      </c>
      <c r="H2017" s="327"/>
      <c r="I2017" s="327">
        <v>3</v>
      </c>
      <c r="J2017" s="361"/>
      <c r="K2017" s="327"/>
      <c r="L2017" s="389">
        <v>70000</v>
      </c>
      <c r="M2017" s="371"/>
      <c r="N2017" s="355" t="str">
        <f t="shared" si="241"/>
        <v>PK</v>
      </c>
      <c r="O2017" s="345" t="s">
        <v>1782</v>
      </c>
      <c r="P2017" s="392"/>
      <c r="Q2017" s="327"/>
      <c r="R2017" s="351"/>
      <c r="S2017" s="351"/>
      <c r="T2017" s="351"/>
      <c r="U2017" s="329" t="str">
        <f>IF($N2017=$N$4,IFERROR(INDEX(DanhMuc!$E$154:$E$165,MATCH(MID($B2017,4,2),DanhMuc!$B$154:$B$165,0)),""),"")</f>
        <v/>
      </c>
      <c r="V2017" s="361"/>
      <c r="W2017" s="345"/>
      <c r="X2017" s="329" t="str">
        <f t="shared" si="236"/>
        <v>3H</v>
      </c>
      <c r="Y2017" s="1128" t="s">
        <v>3380</v>
      </c>
      <c r="Z2017" s="1128" t="s">
        <v>3381</v>
      </c>
      <c r="AA2017" s="1128" t="s">
        <v>3384</v>
      </c>
      <c r="AB2017" s="20"/>
      <c r="AC2017" s="73"/>
    </row>
    <row r="2018" spans="1:29" ht="25">
      <c r="A2018" s="327" t="str">
        <f>IF(AND($B2018&lt;&gt;"",$C2018&lt;&gt;""),MAX($A$1556:A2017)+1,"")</f>
        <v/>
      </c>
      <c r="B2018" s="361" t="s">
        <v>1992</v>
      </c>
      <c r="C2018" s="362"/>
      <c r="D2018" s="327">
        <f>IF($B2018="","",COUNTIF($B$6:$B2018,$B2018))</f>
        <v>3</v>
      </c>
      <c r="E2018" s="361" t="s">
        <v>2743</v>
      </c>
      <c r="F2018" s="362" t="s">
        <v>2744</v>
      </c>
      <c r="G2018" s="327" t="s">
        <v>155</v>
      </c>
      <c r="H2018" s="327"/>
      <c r="I2018" s="327">
        <v>3</v>
      </c>
      <c r="J2018" s="361"/>
      <c r="K2018" s="327"/>
      <c r="L2018" s="389">
        <v>120000</v>
      </c>
      <c r="M2018" s="371"/>
      <c r="N2018" s="355" t="str">
        <f t="shared" si="241"/>
        <v>PK</v>
      </c>
      <c r="O2018" s="345" t="s">
        <v>2742</v>
      </c>
      <c r="P2018" s="392"/>
      <c r="Q2018" s="327"/>
      <c r="R2018" s="351"/>
      <c r="S2018" s="351"/>
      <c r="T2018" s="351"/>
      <c r="U2018" s="329" t="str">
        <f>IF($N2018=$N$4,IFERROR(INDEX(DanhMuc!$E$154:$E$165,MATCH(MID($B2018,4,2),DanhMuc!$B$154:$B$165,0)),""),"")</f>
        <v/>
      </c>
      <c r="V2018" s="361"/>
      <c r="W2018" s="345"/>
      <c r="X2018" s="329" t="str">
        <f t="shared" si="236"/>
        <v>3H</v>
      </c>
      <c r="Y2018" s="1128" t="s">
        <v>3380</v>
      </c>
      <c r="Z2018" s="1128" t="s">
        <v>3381</v>
      </c>
      <c r="AA2018" s="1128" t="s">
        <v>3384</v>
      </c>
      <c r="AB2018" s="20"/>
      <c r="AC2018" s="73"/>
    </row>
    <row r="2019" spans="1:29">
      <c r="A2019" s="327" t="str">
        <f>IF(AND($B2019&lt;&gt;"",$C2019&lt;&gt;""),MAX($A$1556:A2016)+1,"")</f>
        <v/>
      </c>
      <c r="B2019" s="361" t="s">
        <v>1992</v>
      </c>
      <c r="C2019" s="360"/>
      <c r="D2019" s="327">
        <f>IF($B2019="","",COUNTIF($B$6:$B2019,$B2019))</f>
        <v>4</v>
      </c>
      <c r="E2019" s="361" t="s">
        <v>174</v>
      </c>
      <c r="F2019" s="362" t="s">
        <v>224</v>
      </c>
      <c r="G2019" s="327" t="s">
        <v>155</v>
      </c>
      <c r="H2019" s="327" t="s">
        <v>536</v>
      </c>
      <c r="I2019" s="327">
        <v>3</v>
      </c>
      <c r="J2019" s="361"/>
      <c r="K2019" s="327"/>
      <c r="L2019" s="389">
        <v>19000</v>
      </c>
      <c r="M2019" s="371"/>
      <c r="N2019" s="355" t="str">
        <f t="shared" si="241"/>
        <v>PK</v>
      </c>
      <c r="O2019" s="345" t="s">
        <v>1623</v>
      </c>
      <c r="P2019" s="392"/>
      <c r="Q2019" s="327"/>
      <c r="R2019" s="351"/>
      <c r="S2019" s="351"/>
      <c r="T2019" s="351"/>
      <c r="U2019" s="329" t="str">
        <f>IF($N2019=$N$4,IFERROR(INDEX(DanhMuc!$E$154:$E$165,MATCH(MID($B2019,4,2),DanhMuc!$B$154:$B$165,0)),""),"")</f>
        <v/>
      </c>
      <c r="V2019" s="361"/>
      <c r="W2019" s="345"/>
      <c r="X2019" s="329" t="str">
        <f t="shared" si="236"/>
        <v>3H</v>
      </c>
      <c r="Y2019" s="1128" t="s">
        <v>3380</v>
      </c>
      <c r="Z2019" s="1128" t="s">
        <v>3381</v>
      </c>
      <c r="AA2019" s="1128" t="s">
        <v>3384</v>
      </c>
      <c r="AB2019" s="20"/>
      <c r="AC2019" s="73"/>
    </row>
    <row r="2020" spans="1:29">
      <c r="A2020" s="327" t="str">
        <f>IF(AND($B2020&lt;&gt;"",$C2020&lt;&gt;""),MAX($A$1556:A2019)+1,"")</f>
        <v/>
      </c>
      <c r="B2020" s="361" t="s">
        <v>1992</v>
      </c>
      <c r="C2020" s="360"/>
      <c r="D2020" s="327">
        <f>IF($B2020="","",COUNTIF($B$6:$B2020,$B2020))</f>
        <v>5</v>
      </c>
      <c r="E2020" s="361" t="s">
        <v>632</v>
      </c>
      <c r="F2020" s="362" t="s">
        <v>633</v>
      </c>
      <c r="G2020" s="327" t="s">
        <v>155</v>
      </c>
      <c r="H2020" s="327" t="s">
        <v>536</v>
      </c>
      <c r="I2020" s="327">
        <v>6</v>
      </c>
      <c r="J2020" s="345"/>
      <c r="K2020" s="327"/>
      <c r="L2020" s="389">
        <v>17000</v>
      </c>
      <c r="M2020" s="371"/>
      <c r="N2020" s="355" t="str">
        <f t="shared" si="241"/>
        <v>PK</v>
      </c>
      <c r="O2020" s="345" t="s">
        <v>1623</v>
      </c>
      <c r="P2020" s="392"/>
      <c r="Q2020" s="327"/>
      <c r="R2020" s="351"/>
      <c r="S2020" s="351"/>
      <c r="T2020" s="351"/>
      <c r="U2020" s="329" t="str">
        <f>IF($N2020=$N$4,IFERROR(INDEX(DanhMuc!$E$154:$E$165,MATCH(MID($B2020,4,2),DanhMuc!$B$154:$B$165,0)),""),"")</f>
        <v/>
      </c>
      <c r="V2020" s="361"/>
      <c r="W2020" s="345"/>
      <c r="X2020" s="329" t="str">
        <f t="shared" si="236"/>
        <v>3H</v>
      </c>
      <c r="Y2020" s="1128" t="s">
        <v>3380</v>
      </c>
      <c r="Z2020" s="1128" t="s">
        <v>3381</v>
      </c>
      <c r="AA2020" s="1128" t="s">
        <v>3384</v>
      </c>
      <c r="AB2020" s="20"/>
      <c r="AC2020" s="73"/>
    </row>
    <row r="2021" spans="1:29">
      <c r="A2021" s="327" t="str">
        <f>IF(AND($B2021&lt;&gt;"",$C2021&lt;&gt;""),MAX($A$1556:A2020)+1,"")</f>
        <v/>
      </c>
      <c r="B2021" s="361" t="s">
        <v>1992</v>
      </c>
      <c r="C2021" s="360"/>
      <c r="D2021" s="327">
        <f>IF($B2021="","",COUNTIF($B$6:$B2021,$B2021))</f>
        <v>6</v>
      </c>
      <c r="E2021" s="361" t="s">
        <v>89</v>
      </c>
      <c r="F2021" s="362" t="s">
        <v>90</v>
      </c>
      <c r="G2021" s="327" t="s">
        <v>155</v>
      </c>
      <c r="H2021" s="327" t="s">
        <v>536</v>
      </c>
      <c r="I2021" s="327">
        <v>4</v>
      </c>
      <c r="J2021" s="345"/>
      <c r="K2021" s="327"/>
      <c r="L2021" s="389">
        <v>6500</v>
      </c>
      <c r="M2021" s="371"/>
      <c r="N2021" s="355" t="str">
        <f t="shared" si="241"/>
        <v>PK</v>
      </c>
      <c r="O2021" s="345"/>
      <c r="P2021" s="392"/>
      <c r="Q2021" s="327"/>
      <c r="R2021" s="351"/>
      <c r="S2021" s="351"/>
      <c r="T2021" s="351"/>
      <c r="U2021" s="329" t="str">
        <f>IF($N2021=$N$4,IFERROR(INDEX(DanhMuc!$E$154:$E$165,MATCH(MID($B2021,4,2),DanhMuc!$B$154:$B$165,0)),""),"")</f>
        <v/>
      </c>
      <c r="V2021" s="361"/>
      <c r="W2021" s="345"/>
      <c r="X2021" s="329" t="str">
        <f t="shared" si="236"/>
        <v>3H</v>
      </c>
      <c r="Y2021" s="1128" t="s">
        <v>3380</v>
      </c>
      <c r="Z2021" s="1128" t="s">
        <v>3381</v>
      </c>
      <c r="AA2021" s="1128" t="s">
        <v>3384</v>
      </c>
      <c r="AB2021" s="20"/>
      <c r="AC2021" s="73"/>
    </row>
    <row r="2022" spans="1:29">
      <c r="A2022" s="327" t="str">
        <f>IF(AND($B2022&lt;&gt;"",$C2022&lt;&gt;""),MAX($A$1556:A2021)+1,"")</f>
        <v/>
      </c>
      <c r="B2022" s="361" t="s">
        <v>1992</v>
      </c>
      <c r="C2022" s="360"/>
      <c r="D2022" s="327">
        <f>IF($B2022="","",COUNTIF($B$6:$B2022,$B2022))</f>
        <v>7</v>
      </c>
      <c r="E2022" s="361" t="s">
        <v>91</v>
      </c>
      <c r="F2022" s="362" t="s">
        <v>179</v>
      </c>
      <c r="G2022" s="327" t="s">
        <v>155</v>
      </c>
      <c r="H2022" s="327" t="s">
        <v>536</v>
      </c>
      <c r="I2022" s="327">
        <v>2</v>
      </c>
      <c r="J2022" s="345"/>
      <c r="K2022" s="327"/>
      <c r="L2022" s="389">
        <v>6500</v>
      </c>
      <c r="M2022" s="371"/>
      <c r="N2022" s="355" t="str">
        <f t="shared" si="241"/>
        <v>PK</v>
      </c>
      <c r="O2022" s="345"/>
      <c r="P2022" s="392"/>
      <c r="Q2022" s="327"/>
      <c r="R2022" s="351"/>
      <c r="S2022" s="351"/>
      <c r="T2022" s="351"/>
      <c r="U2022" s="329" t="str">
        <f>IF($N2022=$N$4,IFERROR(INDEX(DanhMuc!$E$154:$E$165,MATCH(MID($B2022,4,2),DanhMuc!$B$154:$B$165,0)),""),"")</f>
        <v/>
      </c>
      <c r="V2022" s="361"/>
      <c r="W2022" s="345"/>
      <c r="X2022" s="329" t="str">
        <f t="shared" si="236"/>
        <v>3H</v>
      </c>
      <c r="Y2022" s="1128" t="s">
        <v>3380</v>
      </c>
      <c r="Z2022" s="1128" t="s">
        <v>3381</v>
      </c>
      <c r="AA2022" s="1128" t="s">
        <v>3384</v>
      </c>
      <c r="AB2022" s="20"/>
      <c r="AC2022" s="73"/>
    </row>
    <row r="2023" spans="1:29">
      <c r="A2023" s="327" t="str">
        <f>IF(AND($B2023&lt;&gt;"",$C2023&lt;&gt;""),MAX($A$1556:A2022)+1,"")</f>
        <v/>
      </c>
      <c r="B2023" s="361" t="s">
        <v>1992</v>
      </c>
      <c r="C2023" s="360"/>
      <c r="D2023" s="327">
        <f>IF($B2023="","",COUNTIF($B$6:$B2023,$B2023))</f>
        <v>8</v>
      </c>
      <c r="E2023" s="365" t="s">
        <v>327</v>
      </c>
      <c r="F2023" s="368" t="s">
        <v>345</v>
      </c>
      <c r="G2023" s="367" t="s">
        <v>690</v>
      </c>
      <c r="H2023" s="327" t="s">
        <v>536</v>
      </c>
      <c r="I2023" s="327">
        <v>4</v>
      </c>
      <c r="J2023" s="345" t="s">
        <v>705</v>
      </c>
      <c r="K2023" s="327"/>
      <c r="L2023" s="348">
        <f>+$S2023*$T2023*$L$37</f>
        <v>84651</v>
      </c>
      <c r="M2023" s="371"/>
      <c r="N2023" s="369" t="s">
        <v>150</v>
      </c>
      <c r="O2023" s="345" t="s">
        <v>1623</v>
      </c>
      <c r="P2023" s="392"/>
      <c r="Q2023" s="327"/>
      <c r="R2023" s="351">
        <v>2.5</v>
      </c>
      <c r="S2023" s="351">
        <v>5.8</v>
      </c>
      <c r="T2023" s="351">
        <v>0.13900000000000001</v>
      </c>
      <c r="U2023" s="329">
        <f>IF($N2023=$N$4,IFERROR(INDEX(DanhMuc!$E$154:$E$165,MATCH(MID($B2023,4,2),DanhMuc!$B$154:$B$165,0)),""),"")</f>
        <v>5800</v>
      </c>
      <c r="V2023" s="361"/>
      <c r="W2023" s="345"/>
      <c r="X2023" s="329" t="str">
        <f t="shared" si="236"/>
        <v>C459</v>
      </c>
      <c r="Y2023" s="1128" t="s">
        <v>3380</v>
      </c>
      <c r="Z2023" s="1128" t="s">
        <v>3381</v>
      </c>
      <c r="AA2023" s="1128" t="s">
        <v>3384</v>
      </c>
      <c r="AB2023" s="20"/>
      <c r="AC2023" s="73"/>
    </row>
    <row r="2024" spans="1:29">
      <c r="A2024" s="327" t="str">
        <f>IF(AND($B2024&lt;&gt;"",$C2024&lt;&gt;""),MAX($A$1556:A2023)+1,"")</f>
        <v/>
      </c>
      <c r="B2024" s="361" t="s">
        <v>1992</v>
      </c>
      <c r="C2024" s="360"/>
      <c r="D2024" s="327">
        <f>IF($B2024="","",COUNTIF($B$6:$B2024,$B2024))</f>
        <v>9</v>
      </c>
      <c r="E2024" s="361" t="s">
        <v>709</v>
      </c>
      <c r="F2024" s="362" t="s">
        <v>326</v>
      </c>
      <c r="G2024" s="327" t="s">
        <v>344</v>
      </c>
      <c r="H2024" s="327" t="s">
        <v>536</v>
      </c>
      <c r="I2024" s="327">
        <v>1</v>
      </c>
      <c r="J2024" s="361"/>
      <c r="K2024" s="327"/>
      <c r="L2024" s="389">
        <v>45000</v>
      </c>
      <c r="M2024" s="371"/>
      <c r="N2024" s="355" t="str">
        <f t="shared" ref="N2024:N2040" si="242">+$N$1555</f>
        <v>PK</v>
      </c>
      <c r="O2024" s="345"/>
      <c r="P2024" s="392"/>
      <c r="Q2024" s="327"/>
      <c r="R2024" s="351"/>
      <c r="S2024" s="351"/>
      <c r="T2024" s="351"/>
      <c r="U2024" s="329" t="str">
        <f>IF($N2024=$N$4,IFERROR(INDEX(DanhMuc!$E$154:$E$165,MATCH(MID($B2024,4,2),DanhMuc!$B$154:$B$165,0)),""),"")</f>
        <v/>
      </c>
      <c r="V2024" s="361"/>
      <c r="W2024" s="345"/>
      <c r="X2024" s="329" t="str">
        <f t="shared" si="236"/>
        <v>3H</v>
      </c>
      <c r="Y2024" s="1128" t="s">
        <v>3380</v>
      </c>
      <c r="Z2024" s="1128" t="s">
        <v>3381</v>
      </c>
      <c r="AA2024" s="1128" t="s">
        <v>3384</v>
      </c>
      <c r="AB2024" s="20"/>
      <c r="AC2024" s="73"/>
    </row>
    <row r="2025" spans="1:29">
      <c r="A2025" s="327" t="str">
        <f>IF(AND($B2025&lt;&gt;"",$C2025&lt;&gt;""),MAX($A$1556:A2024)+1,"")</f>
        <v/>
      </c>
      <c r="B2025" s="361" t="s">
        <v>1992</v>
      </c>
      <c r="C2025" s="360"/>
      <c r="D2025" s="327">
        <f>IF($B2025="","",COUNTIF($B$6:$B2025,$B2025))</f>
        <v>10</v>
      </c>
      <c r="E2025" s="402" t="s">
        <v>89</v>
      </c>
      <c r="F2025" s="362" t="s">
        <v>90</v>
      </c>
      <c r="G2025" s="327" t="s">
        <v>155</v>
      </c>
      <c r="H2025" s="327" t="s">
        <v>536</v>
      </c>
      <c r="I2025" s="327">
        <v>2</v>
      </c>
      <c r="J2025" s="361"/>
      <c r="K2025" s="327"/>
      <c r="L2025" s="389">
        <v>6500</v>
      </c>
      <c r="M2025" s="371"/>
      <c r="N2025" s="355" t="str">
        <f t="shared" si="242"/>
        <v>PK</v>
      </c>
      <c r="O2025" s="345"/>
      <c r="P2025" s="392"/>
      <c r="Q2025" s="327"/>
      <c r="R2025" s="351"/>
      <c r="S2025" s="351"/>
      <c r="T2025" s="351"/>
      <c r="U2025" s="329" t="str">
        <f>IF($N2025=$N$4,IFERROR(INDEX(DanhMuc!$E$154:$E$165,MATCH(MID($B2025,4,2),DanhMuc!$B$154:$B$165,0)),""),"")</f>
        <v/>
      </c>
      <c r="V2025" s="361"/>
      <c r="W2025" s="345"/>
      <c r="X2025" s="329" t="str">
        <f t="shared" ref="X2025:X2102" si="243">IF($N2025="PR",$E2025,MID($B2025,10,2))</f>
        <v>3H</v>
      </c>
      <c r="Y2025" s="1128" t="s">
        <v>3380</v>
      </c>
      <c r="Z2025" s="1128" t="s">
        <v>3381</v>
      </c>
      <c r="AA2025" s="1128" t="s">
        <v>3384</v>
      </c>
      <c r="AB2025" s="20"/>
      <c r="AC2025" s="73"/>
    </row>
    <row r="2026" spans="1:29">
      <c r="A2026" s="327" t="str">
        <f>IF(AND($B2026&lt;&gt;"",$C2026&lt;&gt;""),MAX($A$1556:A2025)+1,"")</f>
        <v/>
      </c>
      <c r="B2026" s="361" t="s">
        <v>1992</v>
      </c>
      <c r="C2026" s="360"/>
      <c r="D2026" s="327">
        <f>IF($B2026="","",COUNTIF($B$6:$B2026,$B2026))</f>
        <v>11</v>
      </c>
      <c r="E2026" s="361" t="s">
        <v>175</v>
      </c>
      <c r="F2026" s="362" t="s">
        <v>176</v>
      </c>
      <c r="G2026" s="327" t="s">
        <v>155</v>
      </c>
      <c r="H2026" s="327" t="s">
        <v>536</v>
      </c>
      <c r="I2026" s="327">
        <v>8</v>
      </c>
      <c r="J2026" s="361"/>
      <c r="K2026" s="327"/>
      <c r="L2026" s="389">
        <v>2000</v>
      </c>
      <c r="M2026" s="371"/>
      <c r="N2026" s="355" t="str">
        <f t="shared" si="242"/>
        <v>PK</v>
      </c>
      <c r="O2026" s="345"/>
      <c r="P2026" s="392"/>
      <c r="Q2026" s="327"/>
      <c r="R2026" s="351"/>
      <c r="S2026" s="351"/>
      <c r="T2026" s="351"/>
      <c r="U2026" s="329" t="str">
        <f>IF($N2026=$N$4,IFERROR(INDEX(DanhMuc!$E$154:$E$165,MATCH(MID($B2026,4,2),DanhMuc!$B$154:$B$165,0)),""),"")</f>
        <v/>
      </c>
      <c r="V2026" s="361"/>
      <c r="W2026" s="345"/>
      <c r="X2026" s="329" t="str">
        <f t="shared" si="243"/>
        <v>3H</v>
      </c>
      <c r="Y2026" s="1128" t="s">
        <v>3380</v>
      </c>
      <c r="Z2026" s="1128" t="s">
        <v>3381</v>
      </c>
      <c r="AA2026" s="1128" t="s">
        <v>3384</v>
      </c>
      <c r="AB2026" s="20"/>
      <c r="AC2026" s="73"/>
    </row>
    <row r="2027" spans="1:29">
      <c r="A2027" s="327" t="str">
        <f>IF(AND($B2027&lt;&gt;"",$C2027&lt;&gt;""),MAX($A$1556:A2026)+1,"")</f>
        <v/>
      </c>
      <c r="B2027" s="361" t="s">
        <v>1992</v>
      </c>
      <c r="C2027" s="360"/>
      <c r="D2027" s="327">
        <f>IF($B2027="","",COUNTIF($B$6:$B2027,$B2027))</f>
        <v>12</v>
      </c>
      <c r="E2027" s="405" t="s">
        <v>177</v>
      </c>
      <c r="F2027" s="406" t="s">
        <v>178</v>
      </c>
      <c r="G2027" s="327" t="s">
        <v>155</v>
      </c>
      <c r="H2027" s="327" t="s">
        <v>536</v>
      </c>
      <c r="I2027" s="327">
        <v>8</v>
      </c>
      <c r="J2027" s="345"/>
      <c r="K2027" s="327"/>
      <c r="L2027" s="389">
        <v>57000</v>
      </c>
      <c r="M2027" s="371"/>
      <c r="N2027" s="355" t="str">
        <f t="shared" si="242"/>
        <v>PK</v>
      </c>
      <c r="O2027" s="407" t="s">
        <v>1698</v>
      </c>
      <c r="P2027" s="392"/>
      <c r="Q2027" s="327"/>
      <c r="R2027" s="351"/>
      <c r="S2027" s="351"/>
      <c r="T2027" s="351"/>
      <c r="U2027" s="329" t="str">
        <f>IF($N2027=$N$4,IFERROR(INDEX(DanhMuc!$E$154:$E$165,MATCH(MID($B2027,4,2),DanhMuc!$B$154:$B$165,0)),""),"")</f>
        <v/>
      </c>
      <c r="V2027" s="361"/>
      <c r="W2027" s="345"/>
      <c r="X2027" s="329" t="str">
        <f t="shared" si="243"/>
        <v>3H</v>
      </c>
      <c r="Y2027" s="1128" t="s">
        <v>3380</v>
      </c>
      <c r="Z2027" s="1128" t="s">
        <v>3381</v>
      </c>
      <c r="AA2027" s="1128" t="s">
        <v>3384</v>
      </c>
      <c r="AB2027" s="20"/>
      <c r="AC2027" s="73"/>
    </row>
    <row r="2028" spans="1:29">
      <c r="A2028" s="327" t="str">
        <f>IF(AND($B2028&lt;&gt;"",$C2028&lt;&gt;""),MAX($A$1556:A2027)+1,"")</f>
        <v/>
      </c>
      <c r="B2028" s="361" t="s">
        <v>1992</v>
      </c>
      <c r="C2028" s="360"/>
      <c r="D2028" s="327">
        <f>IF($B2028="","",COUNTIF($B$6:$B2028,$B2028))</f>
        <v>13</v>
      </c>
      <c r="E2028" s="405" t="s">
        <v>180</v>
      </c>
      <c r="F2028" s="406" t="s">
        <v>202</v>
      </c>
      <c r="G2028" s="327" t="s">
        <v>155</v>
      </c>
      <c r="H2028" s="327" t="s">
        <v>536</v>
      </c>
      <c r="I2028" s="327">
        <v>8</v>
      </c>
      <c r="J2028" s="345"/>
      <c r="K2028" s="327"/>
      <c r="L2028" s="389">
        <v>66000</v>
      </c>
      <c r="M2028" s="371"/>
      <c r="N2028" s="355" t="str">
        <f t="shared" si="242"/>
        <v>PK</v>
      </c>
      <c r="O2028" s="407" t="s">
        <v>1699</v>
      </c>
      <c r="P2028" s="392"/>
      <c r="Q2028" s="327"/>
      <c r="R2028" s="351"/>
      <c r="S2028" s="351"/>
      <c r="T2028" s="351"/>
      <c r="U2028" s="329" t="str">
        <f>IF($N2028=$N$4,IFERROR(INDEX(DanhMuc!$E$154:$E$165,MATCH(MID($B2028,4,2),DanhMuc!$B$154:$B$165,0)),""),"")</f>
        <v/>
      </c>
      <c r="V2028" s="361"/>
      <c r="W2028" s="345"/>
      <c r="X2028" s="329" t="str">
        <f t="shared" si="243"/>
        <v>3H</v>
      </c>
      <c r="Y2028" s="1128" t="s">
        <v>3380</v>
      </c>
      <c r="Z2028" s="1128" t="s">
        <v>3381</v>
      </c>
      <c r="AA2028" s="1128" t="s">
        <v>3384</v>
      </c>
      <c r="AB2028" s="20"/>
      <c r="AC2028" s="73"/>
    </row>
    <row r="2029" spans="1:29">
      <c r="A2029" s="327" t="str">
        <f>IF(AND($B2029&lt;&gt;"",$C2029&lt;&gt;""),MAX($A$1556:A2028)+1,"")</f>
        <v/>
      </c>
      <c r="B2029" s="361" t="s">
        <v>1992</v>
      </c>
      <c r="C2029" s="360"/>
      <c r="D2029" s="327">
        <f>IF($B2029="","",COUNTIF($B$6:$B2029,$B2029))</f>
        <v>14</v>
      </c>
      <c r="E2029" s="405" t="s">
        <v>203</v>
      </c>
      <c r="F2029" s="406" t="s">
        <v>204</v>
      </c>
      <c r="G2029" s="327" t="s">
        <v>155</v>
      </c>
      <c r="H2029" s="327" t="s">
        <v>536</v>
      </c>
      <c r="I2029" s="327">
        <v>8</v>
      </c>
      <c r="J2029" s="345"/>
      <c r="K2029" s="327"/>
      <c r="L2029" s="389">
        <v>70000</v>
      </c>
      <c r="M2029" s="371"/>
      <c r="N2029" s="355" t="str">
        <f t="shared" si="242"/>
        <v>PK</v>
      </c>
      <c r="O2029" s="407" t="s">
        <v>1700</v>
      </c>
      <c r="P2029" s="392"/>
      <c r="Q2029" s="327"/>
      <c r="R2029" s="351"/>
      <c r="S2029" s="351"/>
      <c r="T2029" s="351"/>
      <c r="U2029" s="329" t="str">
        <f>IF($N2029=$N$4,IFERROR(INDEX(DanhMuc!$E$154:$E$165,MATCH(MID($B2029,4,2),DanhMuc!$B$154:$B$165,0)),""),"")</f>
        <v/>
      </c>
      <c r="V2029" s="361"/>
      <c r="W2029" s="345"/>
      <c r="X2029" s="329" t="str">
        <f t="shared" si="243"/>
        <v>3H</v>
      </c>
      <c r="Y2029" s="1128" t="s">
        <v>3380</v>
      </c>
      <c r="Z2029" s="1128" t="s">
        <v>3381</v>
      </c>
      <c r="AA2029" s="1128" t="s">
        <v>3384</v>
      </c>
      <c r="AB2029" s="20"/>
      <c r="AC2029" s="73"/>
    </row>
    <row r="2030" spans="1:29">
      <c r="A2030" s="327" t="str">
        <f>IF(AND($B2030&lt;&gt;"",$C2030&lt;&gt;""),MAX($A$1556:A2029)+1,"")</f>
        <v/>
      </c>
      <c r="B2030" s="361" t="s">
        <v>1992</v>
      </c>
      <c r="C2030" s="360"/>
      <c r="D2030" s="327">
        <f>IF($B2030="","",COUNTIF($B$6:$B2030,$B2030))</f>
        <v>15</v>
      </c>
      <c r="E2030" s="405" t="s">
        <v>205</v>
      </c>
      <c r="F2030" s="406" t="s">
        <v>206</v>
      </c>
      <c r="G2030" s="327" t="s">
        <v>155</v>
      </c>
      <c r="H2030" s="327" t="s">
        <v>536</v>
      </c>
      <c r="I2030" s="327">
        <v>8</v>
      </c>
      <c r="J2030" s="345"/>
      <c r="K2030" s="327"/>
      <c r="L2030" s="389">
        <v>75000</v>
      </c>
      <c r="M2030" s="371"/>
      <c r="N2030" s="355" t="str">
        <f t="shared" si="242"/>
        <v>PK</v>
      </c>
      <c r="O2030" s="407" t="s">
        <v>1701</v>
      </c>
      <c r="P2030" s="392"/>
      <c r="Q2030" s="327"/>
      <c r="R2030" s="351"/>
      <c r="S2030" s="351"/>
      <c r="T2030" s="351"/>
      <c r="U2030" s="329" t="str">
        <f>IF($N2030=$N$4,IFERROR(INDEX(DanhMuc!$E$154:$E$165,MATCH(MID($B2030,4,2),DanhMuc!$B$154:$B$165,0)),""),"")</f>
        <v/>
      </c>
      <c r="V2030" s="361"/>
      <c r="W2030" s="345"/>
      <c r="X2030" s="329" t="str">
        <f t="shared" si="243"/>
        <v>3H</v>
      </c>
      <c r="Y2030" s="1128" t="s">
        <v>3380</v>
      </c>
      <c r="Z2030" s="1128" t="s">
        <v>3381</v>
      </c>
      <c r="AA2030" s="1128" t="s">
        <v>3384</v>
      </c>
      <c r="AB2030" s="20"/>
      <c r="AC2030" s="73"/>
    </row>
    <row r="2031" spans="1:29">
      <c r="A2031" s="327" t="str">
        <f>IF(AND($B2031&lt;&gt;"",$C2031&lt;&gt;""),MAX($A$1556:A2030)+1,"")</f>
        <v/>
      </c>
      <c r="B2031" s="361" t="s">
        <v>1992</v>
      </c>
      <c r="C2031" s="360"/>
      <c r="D2031" s="327">
        <f>IF($B2031="","",COUNTIF($B$6:$B2031,$B2031))</f>
        <v>16</v>
      </c>
      <c r="E2031" s="405" t="s">
        <v>3875</v>
      </c>
      <c r="F2031" s="406" t="s">
        <v>3866</v>
      </c>
      <c r="G2031" s="327" t="s">
        <v>155</v>
      </c>
      <c r="H2031" s="327" t="s">
        <v>536</v>
      </c>
      <c r="I2031" s="327">
        <v>8</v>
      </c>
      <c r="J2031" s="345"/>
      <c r="K2031" s="327"/>
      <c r="L2031" s="389">
        <v>55000</v>
      </c>
      <c r="M2031" s="371"/>
      <c r="N2031" s="355" t="str">
        <f t="shared" si="242"/>
        <v>PK</v>
      </c>
      <c r="O2031" s="407" t="s">
        <v>3868</v>
      </c>
      <c r="P2031" s="392"/>
      <c r="Q2031" s="327"/>
      <c r="R2031" s="351"/>
      <c r="S2031" s="351"/>
      <c r="T2031" s="351"/>
      <c r="U2031" s="329" t="str">
        <f>IF($N2031=$N$4,IFERROR(INDEX(DanhMuc!$E$154:$E$165,MATCH(MID($B2031,4,2),DanhMuc!$B$154:$B$165,0)),""),"")</f>
        <v/>
      </c>
      <c r="V2031" s="361"/>
      <c r="W2031" s="345"/>
      <c r="X2031" s="329" t="str">
        <f t="shared" si="243"/>
        <v>3H</v>
      </c>
      <c r="Y2031" s="1128" t="s">
        <v>3380</v>
      </c>
      <c r="Z2031" s="1128" t="s">
        <v>3381</v>
      </c>
      <c r="AA2031" s="1128" t="s">
        <v>3384</v>
      </c>
      <c r="AB2031" s="20"/>
      <c r="AC2031" s="73"/>
    </row>
    <row r="2032" spans="1:29">
      <c r="A2032" s="327" t="str">
        <f>IF(AND($B2032&lt;&gt;"",$C2032&lt;&gt;""),MAX($A$1556:A2031)+1,"")</f>
        <v/>
      </c>
      <c r="B2032" s="361" t="s">
        <v>1992</v>
      </c>
      <c r="C2032" s="360"/>
      <c r="D2032" s="327">
        <f>IF($B2032="","",COUNTIF($B$6:$B2032,$B2032))</f>
        <v>17</v>
      </c>
      <c r="E2032" s="405" t="s">
        <v>3876</v>
      </c>
      <c r="F2032" s="406" t="s">
        <v>3867</v>
      </c>
      <c r="G2032" s="327" t="s">
        <v>155</v>
      </c>
      <c r="H2032" s="327" t="s">
        <v>536</v>
      </c>
      <c r="I2032" s="327">
        <v>8</v>
      </c>
      <c r="J2032" s="345"/>
      <c r="K2032" s="327"/>
      <c r="L2032" s="389">
        <v>55000</v>
      </c>
      <c r="M2032" s="371"/>
      <c r="N2032" s="355" t="str">
        <f t="shared" si="242"/>
        <v>PK</v>
      </c>
      <c r="O2032" s="407" t="s">
        <v>3869</v>
      </c>
      <c r="P2032" s="392"/>
      <c r="Q2032" s="327"/>
      <c r="R2032" s="351"/>
      <c r="S2032" s="351"/>
      <c r="T2032" s="351"/>
      <c r="U2032" s="329" t="str">
        <f>IF($N2032=$N$4,IFERROR(INDEX(DanhMuc!$E$154:$E$165,MATCH(MID($B2032,4,2),DanhMuc!$B$154:$B$165,0)),""),"")</f>
        <v/>
      </c>
      <c r="V2032" s="361"/>
      <c r="W2032" s="345"/>
      <c r="X2032" s="329" t="str">
        <f t="shared" si="243"/>
        <v>3H</v>
      </c>
      <c r="Y2032" s="1128" t="s">
        <v>3380</v>
      </c>
      <c r="Z2032" s="1128" t="s">
        <v>3381</v>
      </c>
      <c r="AA2032" s="1128" t="s">
        <v>3384</v>
      </c>
      <c r="AB2032" s="20"/>
      <c r="AC2032" s="73"/>
    </row>
    <row r="2033" spans="1:29">
      <c r="A2033" s="327" t="str">
        <f>IF(AND($B2033&lt;&gt;"",$C2033&lt;&gt;""),MAX($A$1556:A2031)+1,"")</f>
        <v/>
      </c>
      <c r="B2033" s="361" t="s">
        <v>1992</v>
      </c>
      <c r="C2033" s="360"/>
      <c r="D2033" s="327">
        <f>IF($B2033="","",COUNTIF($B$6:$B2033,$B2033))</f>
        <v>18</v>
      </c>
      <c r="E2033" s="361" t="s">
        <v>678</v>
      </c>
      <c r="F2033" s="362" t="s">
        <v>711</v>
      </c>
      <c r="G2033" s="327" t="s">
        <v>155</v>
      </c>
      <c r="H2033" s="327"/>
      <c r="I2033" s="327">
        <v>1</v>
      </c>
      <c r="J2033" s="361"/>
      <c r="K2033" s="327"/>
      <c r="L2033" s="389">
        <v>1250</v>
      </c>
      <c r="M2033" s="371"/>
      <c r="N2033" s="355" t="str">
        <f t="shared" si="242"/>
        <v>PK</v>
      </c>
      <c r="O2033" s="345"/>
      <c r="P2033" s="392"/>
      <c r="Q2033" s="327"/>
      <c r="R2033" s="351"/>
      <c r="S2033" s="351"/>
      <c r="T2033" s="351"/>
      <c r="U2033" s="329" t="str">
        <f>IF($N2033=$N$4,IFERROR(INDEX(DanhMuc!$E$154:$E$165,MATCH(MID($B2033,4,2),DanhMuc!$B$154:$B$165,0)),""),"")</f>
        <v/>
      </c>
      <c r="V2033" s="361"/>
      <c r="W2033" s="345"/>
      <c r="X2033" s="329" t="str">
        <f t="shared" si="243"/>
        <v>3H</v>
      </c>
      <c r="Y2033" s="1128" t="s">
        <v>3380</v>
      </c>
      <c r="Z2033" s="1128" t="s">
        <v>3381</v>
      </c>
      <c r="AA2033" s="1128" t="s">
        <v>3384</v>
      </c>
      <c r="AB2033" s="20"/>
      <c r="AC2033" s="73"/>
    </row>
    <row r="2034" spans="1:29">
      <c r="A2034" s="327" t="str">
        <f>IF(AND($B2034&lt;&gt;"",$C2034&lt;&gt;""),MAX($A$1556:A2033)+1,"")</f>
        <v/>
      </c>
      <c r="B2034" s="361" t="s">
        <v>1992</v>
      </c>
      <c r="C2034" s="360"/>
      <c r="D2034" s="327">
        <f>IF($B2034="","",COUNTIF($B$6:$B2034,$B2034))</f>
        <v>19</v>
      </c>
      <c r="E2034" s="361" t="s">
        <v>679</v>
      </c>
      <c r="F2034" s="362" t="s">
        <v>712</v>
      </c>
      <c r="G2034" s="327" t="s">
        <v>155</v>
      </c>
      <c r="H2034" s="327"/>
      <c r="I2034" s="327">
        <v>1</v>
      </c>
      <c r="J2034" s="361"/>
      <c r="K2034" s="327"/>
      <c r="L2034" s="389">
        <v>1250</v>
      </c>
      <c r="M2034" s="371"/>
      <c r="N2034" s="355" t="str">
        <f t="shared" si="242"/>
        <v>PK</v>
      </c>
      <c r="O2034" s="345"/>
      <c r="P2034" s="392"/>
      <c r="Q2034" s="327"/>
      <c r="R2034" s="351"/>
      <c r="S2034" s="351"/>
      <c r="T2034" s="351"/>
      <c r="U2034" s="329" t="str">
        <f>IF($N2034=$N$4,IFERROR(INDEX(DanhMuc!$E$154:$E$165,MATCH(MID($B2034,4,2),DanhMuc!$B$154:$B$165,0)),""),"")</f>
        <v/>
      </c>
      <c r="V2034" s="361"/>
      <c r="W2034" s="345"/>
      <c r="X2034" s="329" t="str">
        <f t="shared" si="243"/>
        <v>3H</v>
      </c>
      <c r="Y2034" s="1128" t="s">
        <v>3380</v>
      </c>
      <c r="Z2034" s="1128" t="s">
        <v>3381</v>
      </c>
      <c r="AA2034" s="1128" t="s">
        <v>3384</v>
      </c>
      <c r="AB2034" s="20"/>
      <c r="AC2034" s="73"/>
    </row>
    <row r="2035" spans="1:29" ht="26">
      <c r="A2035" s="327">
        <f>IF(AND($B2035&lt;&gt;"",$C2035&lt;&gt;""),MAX($A$1556:A2034)+1,"")</f>
        <v>16</v>
      </c>
      <c r="B2035" s="359" t="s">
        <v>1993</v>
      </c>
      <c r="C2035" s="360" t="s">
        <v>1546</v>
      </c>
      <c r="D2035" s="327">
        <f>IF($B2035="","",COUNTIF($B$6:$B2035,$B2035))</f>
        <v>1</v>
      </c>
      <c r="E2035" s="361" t="s">
        <v>2077</v>
      </c>
      <c r="F2035" s="362" t="s">
        <v>2078</v>
      </c>
      <c r="G2035" s="327" t="s">
        <v>155</v>
      </c>
      <c r="H2035" s="327"/>
      <c r="I2035" s="327">
        <v>1</v>
      </c>
      <c r="J2035" s="361"/>
      <c r="K2035" s="327"/>
      <c r="L2035" s="389">
        <v>66000</v>
      </c>
      <c r="M2035" s="371"/>
      <c r="N2035" s="355" t="str">
        <f t="shared" si="242"/>
        <v>PK</v>
      </c>
      <c r="O2035" s="345" t="s">
        <v>2733</v>
      </c>
      <c r="P2035" s="392"/>
      <c r="Q2035" s="327"/>
      <c r="R2035" s="351"/>
      <c r="S2035" s="351"/>
      <c r="T2035" s="351"/>
      <c r="U2035" s="329" t="str">
        <f>IF($N2035=$N$4,IFERROR(INDEX(DanhMuc!$E$154:$E$165,MATCH(MID($B2035,4,2),DanhMuc!$B$154:$B$165,0)),""),"")</f>
        <v/>
      </c>
      <c r="V2035" s="361"/>
      <c r="W2035" s="345"/>
      <c r="X2035" s="329" t="str">
        <f t="shared" si="243"/>
        <v>3H</v>
      </c>
      <c r="Y2035" s="1128" t="s">
        <v>3380</v>
      </c>
      <c r="Z2035" s="1128" t="s">
        <v>3381</v>
      </c>
      <c r="AA2035" s="1128" t="s">
        <v>3384</v>
      </c>
      <c r="AB2035" s="20"/>
      <c r="AC2035" s="73"/>
    </row>
    <row r="2036" spans="1:29" ht="25">
      <c r="A2036" s="327" t="str">
        <f>IF(AND($B2036&lt;&gt;"",$C2036&lt;&gt;""),MAX($A$1556:A2035)+1,"")</f>
        <v/>
      </c>
      <c r="B2036" s="361" t="s">
        <v>1993</v>
      </c>
      <c r="C2036" s="360"/>
      <c r="D2036" s="327">
        <f>IF($B2036="","",COUNTIF($B$6:$B2036,$B2036))</f>
        <v>2</v>
      </c>
      <c r="E2036" s="361" t="s">
        <v>209</v>
      </c>
      <c r="F2036" s="362" t="s">
        <v>210</v>
      </c>
      <c r="G2036" s="327" t="s">
        <v>155</v>
      </c>
      <c r="H2036" s="327"/>
      <c r="I2036" s="327">
        <v>1</v>
      </c>
      <c r="J2036" s="361"/>
      <c r="K2036" s="327"/>
      <c r="L2036" s="389">
        <v>70000</v>
      </c>
      <c r="M2036" s="371"/>
      <c r="N2036" s="355" t="str">
        <f t="shared" si="242"/>
        <v>PK</v>
      </c>
      <c r="O2036" s="345" t="s">
        <v>1782</v>
      </c>
      <c r="P2036" s="392"/>
      <c r="Q2036" s="327"/>
      <c r="R2036" s="351"/>
      <c r="S2036" s="351"/>
      <c r="T2036" s="351"/>
      <c r="U2036" s="329" t="str">
        <f>IF($N2036=$N$4,IFERROR(INDEX(DanhMuc!$E$154:$E$165,MATCH(MID($B2036,4,2),DanhMuc!$B$154:$B$165,0)),""),"")</f>
        <v/>
      </c>
      <c r="V2036" s="361"/>
      <c r="W2036" s="345"/>
      <c r="X2036" s="329" t="str">
        <f t="shared" si="243"/>
        <v>3H</v>
      </c>
      <c r="Y2036" s="1128" t="s">
        <v>3380</v>
      </c>
      <c r="Z2036" s="1128" t="s">
        <v>3381</v>
      </c>
      <c r="AA2036" s="1128" t="s">
        <v>3384</v>
      </c>
      <c r="AB2036" s="20"/>
      <c r="AC2036" s="73"/>
    </row>
    <row r="2037" spans="1:29" ht="25">
      <c r="A2037" s="327" t="str">
        <f>IF(AND($B2037&lt;&gt;"",$C2037&lt;&gt;""),MAX($A$1556:A2036)+1,"")</f>
        <v/>
      </c>
      <c r="B2037" s="361" t="s">
        <v>1993</v>
      </c>
      <c r="C2037" s="360"/>
      <c r="D2037" s="327">
        <f>IF($B2037="","",COUNTIF($B$6:$B2037,$B2037))</f>
        <v>3</v>
      </c>
      <c r="E2037" s="361" t="s">
        <v>2743</v>
      </c>
      <c r="F2037" s="362" t="s">
        <v>2744</v>
      </c>
      <c r="G2037" s="327" t="s">
        <v>155</v>
      </c>
      <c r="H2037" s="327"/>
      <c r="I2037" s="327">
        <v>1</v>
      </c>
      <c r="J2037" s="361"/>
      <c r="K2037" s="327"/>
      <c r="L2037" s="389">
        <v>120000</v>
      </c>
      <c r="M2037" s="371"/>
      <c r="N2037" s="355" t="str">
        <f t="shared" si="242"/>
        <v>PK</v>
      </c>
      <c r="O2037" s="345" t="s">
        <v>2742</v>
      </c>
      <c r="P2037" s="392"/>
      <c r="Q2037" s="327"/>
      <c r="R2037" s="351"/>
      <c r="S2037" s="351"/>
      <c r="T2037" s="351"/>
      <c r="U2037" s="329" t="str">
        <f>IF($N2037=$N$4,IFERROR(INDEX(DanhMuc!$E$154:$E$165,MATCH(MID($B2037,4,2),DanhMuc!$B$154:$B$165,0)),""),"")</f>
        <v/>
      </c>
      <c r="V2037" s="361"/>
      <c r="W2037" s="345"/>
      <c r="X2037" s="329" t="str">
        <f t="shared" si="243"/>
        <v>3H</v>
      </c>
      <c r="Y2037" s="1128" t="s">
        <v>3380</v>
      </c>
      <c r="Z2037" s="1128" t="s">
        <v>3381</v>
      </c>
      <c r="AA2037" s="1128" t="s">
        <v>3384</v>
      </c>
      <c r="AB2037" s="20"/>
      <c r="AC2037" s="73"/>
    </row>
    <row r="2038" spans="1:29">
      <c r="A2038" s="327" t="str">
        <f>IF(AND($B2038&lt;&gt;"",$C2038&lt;&gt;""),MAX($A$1556:A2035)+1,"")</f>
        <v/>
      </c>
      <c r="B2038" s="361" t="s">
        <v>1993</v>
      </c>
      <c r="C2038" s="360"/>
      <c r="D2038" s="327">
        <f>IF($B2038="","",COUNTIF($B$6:$B2038,$B2038))</f>
        <v>4</v>
      </c>
      <c r="E2038" s="361" t="s">
        <v>174</v>
      </c>
      <c r="F2038" s="362" t="s">
        <v>224</v>
      </c>
      <c r="G2038" s="327" t="s">
        <v>155</v>
      </c>
      <c r="H2038" s="327" t="s">
        <v>536</v>
      </c>
      <c r="I2038" s="327">
        <v>1</v>
      </c>
      <c r="J2038" s="361"/>
      <c r="K2038" s="327"/>
      <c r="L2038" s="389">
        <v>19000</v>
      </c>
      <c r="M2038" s="371"/>
      <c r="N2038" s="355" t="str">
        <f t="shared" si="242"/>
        <v>PK</v>
      </c>
      <c r="O2038" s="345" t="s">
        <v>1623</v>
      </c>
      <c r="P2038" s="392"/>
      <c r="Q2038" s="327"/>
      <c r="R2038" s="351"/>
      <c r="S2038" s="351"/>
      <c r="T2038" s="351"/>
      <c r="U2038" s="329" t="str">
        <f>IF($N2038=$N$4,IFERROR(INDEX(DanhMuc!$E$154:$E$165,MATCH(MID($B2038,4,2),DanhMuc!$B$154:$B$165,0)),""),"")</f>
        <v/>
      </c>
      <c r="V2038" s="361"/>
      <c r="W2038" s="345"/>
      <c r="X2038" s="329" t="str">
        <f t="shared" si="243"/>
        <v>3H</v>
      </c>
      <c r="Y2038" s="1128" t="s">
        <v>3380</v>
      </c>
      <c r="Z2038" s="1128" t="s">
        <v>3381</v>
      </c>
      <c r="AA2038" s="1128" t="s">
        <v>3384</v>
      </c>
      <c r="AB2038" s="20"/>
      <c r="AC2038" s="73"/>
    </row>
    <row r="2039" spans="1:29">
      <c r="A2039" s="327" t="str">
        <f>IF(AND($B2039&lt;&gt;"",$C2039&lt;&gt;""),MAX($A$1556:A2038)+1,"")</f>
        <v/>
      </c>
      <c r="B2039" s="361" t="s">
        <v>1993</v>
      </c>
      <c r="C2039" s="360"/>
      <c r="D2039" s="327">
        <f>IF($B2039="","",COUNTIF($B$6:$B2039,$B2039))</f>
        <v>5</v>
      </c>
      <c r="E2039" s="361" t="s">
        <v>632</v>
      </c>
      <c r="F2039" s="362" t="s">
        <v>633</v>
      </c>
      <c r="G2039" s="327" t="s">
        <v>155</v>
      </c>
      <c r="H2039" s="327" t="s">
        <v>536</v>
      </c>
      <c r="I2039" s="327">
        <v>2</v>
      </c>
      <c r="J2039" s="345"/>
      <c r="K2039" s="327"/>
      <c r="L2039" s="389">
        <v>17000</v>
      </c>
      <c r="M2039" s="371"/>
      <c r="N2039" s="355" t="str">
        <f t="shared" si="242"/>
        <v>PK</v>
      </c>
      <c r="O2039" s="345" t="s">
        <v>1623</v>
      </c>
      <c r="P2039" s="392"/>
      <c r="Q2039" s="327"/>
      <c r="R2039" s="351"/>
      <c r="S2039" s="351"/>
      <c r="T2039" s="351"/>
      <c r="U2039" s="329" t="str">
        <f>IF($N2039=$N$4,IFERROR(INDEX(DanhMuc!$E$154:$E$165,MATCH(MID($B2039,4,2),DanhMuc!$B$154:$B$165,0)),""),"")</f>
        <v/>
      </c>
      <c r="V2039" s="361"/>
      <c r="W2039" s="345"/>
      <c r="X2039" s="329" t="str">
        <f t="shared" si="243"/>
        <v>3H</v>
      </c>
      <c r="Y2039" s="1128" t="s">
        <v>3380</v>
      </c>
      <c r="Z2039" s="1128" t="s">
        <v>3381</v>
      </c>
      <c r="AA2039" s="1128" t="s">
        <v>3384</v>
      </c>
      <c r="AB2039" s="20"/>
      <c r="AC2039" s="73"/>
    </row>
    <row r="2040" spans="1:29">
      <c r="A2040" s="327" t="str">
        <f>IF(AND($B2040&lt;&gt;"",$C2040&lt;&gt;""),MAX($A$1556:A2035)+1,"")</f>
        <v/>
      </c>
      <c r="B2040" s="361" t="s">
        <v>1993</v>
      </c>
      <c r="C2040" s="360"/>
      <c r="D2040" s="327">
        <f>IF($B2040="","",COUNTIF($B$6:$B2040,$B2040))</f>
        <v>6</v>
      </c>
      <c r="E2040" s="361" t="s">
        <v>89</v>
      </c>
      <c r="F2040" s="362" t="s">
        <v>90</v>
      </c>
      <c r="G2040" s="327" t="s">
        <v>155</v>
      </c>
      <c r="H2040" s="327" t="s">
        <v>536</v>
      </c>
      <c r="I2040" s="327">
        <v>2</v>
      </c>
      <c r="J2040" s="345"/>
      <c r="K2040" s="327"/>
      <c r="L2040" s="389">
        <v>6500</v>
      </c>
      <c r="M2040" s="371"/>
      <c r="N2040" s="355" t="str">
        <f t="shared" si="242"/>
        <v>PK</v>
      </c>
      <c r="O2040" s="345"/>
      <c r="P2040" s="392"/>
      <c r="Q2040" s="327"/>
      <c r="R2040" s="351"/>
      <c r="S2040" s="351"/>
      <c r="T2040" s="351"/>
      <c r="U2040" s="329" t="str">
        <f>IF($N2040=$N$4,IFERROR(INDEX(DanhMuc!$E$154:$E$165,MATCH(MID($B2040,4,2),DanhMuc!$B$154:$B$165,0)),""),"")</f>
        <v/>
      </c>
      <c r="V2040" s="361"/>
      <c r="W2040" s="345"/>
      <c r="X2040" s="329" t="str">
        <f t="shared" si="243"/>
        <v>3H</v>
      </c>
      <c r="Y2040" s="1128" t="s">
        <v>3380</v>
      </c>
      <c r="Z2040" s="1128" t="s">
        <v>3381</v>
      </c>
      <c r="AA2040" s="1128" t="s">
        <v>3384</v>
      </c>
      <c r="AB2040" s="20"/>
      <c r="AC2040" s="73"/>
    </row>
    <row r="2041" spans="1:29">
      <c r="A2041" s="327" t="str">
        <f>IF(AND($B2041&lt;&gt;"",$C2041&lt;&gt;""),MAX($A$1556:A2039)+1,"")</f>
        <v/>
      </c>
      <c r="B2041" s="361" t="s">
        <v>1993</v>
      </c>
      <c r="C2041" s="360"/>
      <c r="D2041" s="327">
        <f>IF($B2041="","",COUNTIF($B$6:$B2041,$B2041))</f>
        <v>7</v>
      </c>
      <c r="E2041" s="365" t="s">
        <v>327</v>
      </c>
      <c r="F2041" s="368" t="s">
        <v>345</v>
      </c>
      <c r="G2041" s="367" t="s">
        <v>690</v>
      </c>
      <c r="H2041" s="327" t="s">
        <v>536</v>
      </c>
      <c r="I2041" s="327">
        <v>1</v>
      </c>
      <c r="J2041" s="345" t="s">
        <v>727</v>
      </c>
      <c r="K2041" s="327"/>
      <c r="L2041" s="348">
        <f>+$S2041*$T2041*$L$37</f>
        <v>84651</v>
      </c>
      <c r="M2041" s="371"/>
      <c r="N2041" s="369" t="s">
        <v>150</v>
      </c>
      <c r="O2041" s="345" t="s">
        <v>1623</v>
      </c>
      <c r="P2041" s="392"/>
      <c r="Q2041" s="327"/>
      <c r="R2041" s="351">
        <v>2.5</v>
      </c>
      <c r="S2041" s="351">
        <v>5.8</v>
      </c>
      <c r="T2041" s="351">
        <v>0.13900000000000001</v>
      </c>
      <c r="U2041" s="329">
        <f>IF($N2041=$N$4,IFERROR(INDEX(DanhMuc!$E$154:$E$165,MATCH(MID($B2041,4,2),DanhMuc!$B$154:$B$165,0)),""),"")</f>
        <v>5800</v>
      </c>
      <c r="V2041" s="361"/>
      <c r="W2041" s="345"/>
      <c r="X2041" s="329" t="str">
        <f t="shared" si="243"/>
        <v>C459</v>
      </c>
      <c r="Y2041" s="1128" t="s">
        <v>3380</v>
      </c>
      <c r="Z2041" s="1128" t="s">
        <v>3381</v>
      </c>
      <c r="AA2041" s="1128" t="s">
        <v>3384</v>
      </c>
      <c r="AB2041" s="20"/>
      <c r="AC2041" s="73"/>
    </row>
    <row r="2042" spans="1:29">
      <c r="A2042" s="327" t="str">
        <f>IF(AND($B2042&lt;&gt;"",$C2042&lt;&gt;""),MAX($A$1556:A2041)+1,"")</f>
        <v/>
      </c>
      <c r="B2042" s="361" t="s">
        <v>1993</v>
      </c>
      <c r="C2042" s="360"/>
      <c r="D2042" s="327">
        <f>IF($B2042="","",COUNTIF($B$6:$B2042,$B2042))</f>
        <v>8</v>
      </c>
      <c r="E2042" s="361" t="s">
        <v>175</v>
      </c>
      <c r="F2042" s="362" t="s">
        <v>176</v>
      </c>
      <c r="G2042" s="327" t="s">
        <v>155</v>
      </c>
      <c r="H2042" s="327" t="s">
        <v>536</v>
      </c>
      <c r="I2042" s="327">
        <v>4</v>
      </c>
      <c r="J2042" s="361"/>
      <c r="K2042" s="327"/>
      <c r="L2042" s="389">
        <v>2000</v>
      </c>
      <c r="M2042" s="371"/>
      <c r="N2042" s="355" t="str">
        <f>+$N$1555</f>
        <v>PK</v>
      </c>
      <c r="O2042" s="345"/>
      <c r="P2042" s="392"/>
      <c r="Q2042" s="327"/>
      <c r="R2042" s="351"/>
      <c r="S2042" s="351"/>
      <c r="T2042" s="351"/>
      <c r="U2042" s="329" t="str">
        <f>IF($N2042=$N$4,IFERROR(INDEX(DanhMuc!$E$154:$E$165,MATCH(MID($B2042,4,2),DanhMuc!$B$154:$B$165,0)),""),"")</f>
        <v/>
      </c>
      <c r="V2042" s="361"/>
      <c r="W2042" s="345"/>
      <c r="X2042" s="329" t="str">
        <f t="shared" si="243"/>
        <v>3H</v>
      </c>
      <c r="Y2042" s="1128" t="s">
        <v>3380</v>
      </c>
      <c r="Z2042" s="1128" t="s">
        <v>3381</v>
      </c>
      <c r="AA2042" s="1128" t="s">
        <v>3384</v>
      </c>
      <c r="AB2042" s="20"/>
      <c r="AC2042" s="73"/>
    </row>
    <row r="2043" spans="1:29">
      <c r="A2043" s="327" t="str">
        <f>IF(AND($B2043&lt;&gt;"",$C2043&lt;&gt;""),MAX($A$1556:A2042)+1,"")</f>
        <v/>
      </c>
      <c r="B2043" s="361" t="s">
        <v>1993</v>
      </c>
      <c r="C2043" s="360"/>
      <c r="D2043" s="327">
        <f>IF($B2043="","",COUNTIF($B$6:$B2043,$B2043))</f>
        <v>9</v>
      </c>
      <c r="E2043" s="405" t="s">
        <v>177</v>
      </c>
      <c r="F2043" s="406" t="s">
        <v>178</v>
      </c>
      <c r="G2043" s="327" t="s">
        <v>155</v>
      </c>
      <c r="H2043" s="327" t="s">
        <v>536</v>
      </c>
      <c r="I2043" s="327">
        <v>2</v>
      </c>
      <c r="J2043" s="345"/>
      <c r="K2043" s="327"/>
      <c r="L2043" s="389">
        <v>57000</v>
      </c>
      <c r="M2043" s="371"/>
      <c r="N2043" s="355" t="str">
        <f>+$N$1555</f>
        <v>PK</v>
      </c>
      <c r="O2043" s="407" t="s">
        <v>1698</v>
      </c>
      <c r="P2043" s="392"/>
      <c r="Q2043" s="327"/>
      <c r="R2043" s="351"/>
      <c r="S2043" s="351"/>
      <c r="T2043" s="351"/>
      <c r="U2043" s="329" t="str">
        <f>IF($N2043=$N$4,IFERROR(INDEX(DanhMuc!$E$154:$E$165,MATCH(MID($B2043,4,2),DanhMuc!$B$154:$B$165,0)),""),"")</f>
        <v/>
      </c>
      <c r="V2043" s="361"/>
      <c r="W2043" s="345"/>
      <c r="X2043" s="329" t="str">
        <f t="shared" si="243"/>
        <v>3H</v>
      </c>
      <c r="Y2043" s="1128" t="s">
        <v>3380</v>
      </c>
      <c r="Z2043" s="1128" t="s">
        <v>3381</v>
      </c>
      <c r="AA2043" s="1128" t="s">
        <v>3384</v>
      </c>
      <c r="AB2043" s="20"/>
      <c r="AC2043" s="73"/>
    </row>
    <row r="2044" spans="1:29">
      <c r="A2044" s="327" t="str">
        <f>IF(AND($B2044&lt;&gt;"",$C2044&lt;&gt;""),MAX($A$1556:A2043)+1,"")</f>
        <v/>
      </c>
      <c r="B2044" s="361" t="s">
        <v>1993</v>
      </c>
      <c r="C2044" s="360"/>
      <c r="D2044" s="327">
        <f>IF($B2044="","",COUNTIF($B$6:$B2044,$B2044))</f>
        <v>10</v>
      </c>
      <c r="E2044" s="405" t="s">
        <v>180</v>
      </c>
      <c r="F2044" s="406" t="s">
        <v>202</v>
      </c>
      <c r="G2044" s="327" t="s">
        <v>155</v>
      </c>
      <c r="H2044" s="327" t="s">
        <v>536</v>
      </c>
      <c r="I2044" s="327">
        <v>2</v>
      </c>
      <c r="J2044" s="345"/>
      <c r="K2044" s="327"/>
      <c r="L2044" s="389">
        <v>66000</v>
      </c>
      <c r="M2044" s="371"/>
      <c r="N2044" s="355" t="str">
        <f t="shared" ref="N2044:N2048" si="244">+$N$1555</f>
        <v>PK</v>
      </c>
      <c r="O2044" s="407" t="s">
        <v>1699</v>
      </c>
      <c r="P2044" s="392"/>
      <c r="Q2044" s="327"/>
      <c r="R2044" s="351"/>
      <c r="S2044" s="351"/>
      <c r="T2044" s="351"/>
      <c r="U2044" s="329" t="str">
        <f>IF($N2044=$N$4,IFERROR(INDEX(DanhMuc!$E$154:$E$165,MATCH(MID($B2044,4,2),DanhMuc!$B$154:$B$165,0)),""),"")</f>
        <v/>
      </c>
      <c r="V2044" s="361"/>
      <c r="W2044" s="345"/>
      <c r="X2044" s="329" t="str">
        <f t="shared" si="243"/>
        <v>3H</v>
      </c>
      <c r="Y2044" s="1128" t="s">
        <v>3380</v>
      </c>
      <c r="Z2044" s="1128" t="s">
        <v>3381</v>
      </c>
      <c r="AA2044" s="1128" t="s">
        <v>3384</v>
      </c>
      <c r="AB2044" s="20"/>
      <c r="AC2044" s="73"/>
    </row>
    <row r="2045" spans="1:29">
      <c r="A2045" s="327" t="str">
        <f>IF(AND($B2045&lt;&gt;"",$C2045&lt;&gt;""),MAX($A$1556:A2044)+1,"")</f>
        <v/>
      </c>
      <c r="B2045" s="361" t="s">
        <v>1993</v>
      </c>
      <c r="C2045" s="360"/>
      <c r="D2045" s="327">
        <f>IF($B2045="","",COUNTIF($B$6:$B2045,$B2045))</f>
        <v>11</v>
      </c>
      <c r="E2045" s="405" t="s">
        <v>203</v>
      </c>
      <c r="F2045" s="406" t="s">
        <v>204</v>
      </c>
      <c r="G2045" s="327" t="s">
        <v>155</v>
      </c>
      <c r="H2045" s="327" t="s">
        <v>536</v>
      </c>
      <c r="I2045" s="327">
        <v>2</v>
      </c>
      <c r="J2045" s="345"/>
      <c r="K2045" s="327"/>
      <c r="L2045" s="389">
        <v>70000</v>
      </c>
      <c r="M2045" s="371"/>
      <c r="N2045" s="355" t="str">
        <f t="shared" si="244"/>
        <v>PK</v>
      </c>
      <c r="O2045" s="407" t="s">
        <v>1700</v>
      </c>
      <c r="P2045" s="392"/>
      <c r="Q2045" s="327"/>
      <c r="R2045" s="351"/>
      <c r="S2045" s="351"/>
      <c r="T2045" s="351"/>
      <c r="U2045" s="329" t="str">
        <f>IF($N2045=$N$4,IFERROR(INDEX(DanhMuc!$E$154:$E$165,MATCH(MID($B2045,4,2),DanhMuc!$B$154:$B$165,0)),""),"")</f>
        <v/>
      </c>
      <c r="V2045" s="361"/>
      <c r="W2045" s="345"/>
      <c r="X2045" s="329" t="str">
        <f t="shared" si="243"/>
        <v>3H</v>
      </c>
      <c r="Y2045" s="1128" t="s">
        <v>3380</v>
      </c>
      <c r="Z2045" s="1128" t="s">
        <v>3381</v>
      </c>
      <c r="AA2045" s="1128" t="s">
        <v>3384</v>
      </c>
      <c r="AB2045" s="20"/>
      <c r="AC2045" s="73"/>
    </row>
    <row r="2046" spans="1:29">
      <c r="A2046" s="327" t="str">
        <f>IF(AND($B2046&lt;&gt;"",$C2046&lt;&gt;""),MAX($A$1556:A2045)+1,"")</f>
        <v/>
      </c>
      <c r="B2046" s="361" t="s">
        <v>1993</v>
      </c>
      <c r="C2046" s="360"/>
      <c r="D2046" s="327">
        <f>IF($B2046="","",COUNTIF($B$6:$B2046,$B2046))</f>
        <v>12</v>
      </c>
      <c r="E2046" s="405" t="s">
        <v>205</v>
      </c>
      <c r="F2046" s="406" t="s">
        <v>206</v>
      </c>
      <c r="G2046" s="327" t="s">
        <v>155</v>
      </c>
      <c r="H2046" s="327" t="s">
        <v>536</v>
      </c>
      <c r="I2046" s="327">
        <v>2</v>
      </c>
      <c r="J2046" s="345"/>
      <c r="K2046" s="327"/>
      <c r="L2046" s="389">
        <v>75000</v>
      </c>
      <c r="M2046" s="371"/>
      <c r="N2046" s="355" t="str">
        <f t="shared" si="244"/>
        <v>PK</v>
      </c>
      <c r="O2046" s="407" t="s">
        <v>1701</v>
      </c>
      <c r="P2046" s="392"/>
      <c r="Q2046" s="327"/>
      <c r="R2046" s="351"/>
      <c r="S2046" s="351"/>
      <c r="T2046" s="351"/>
      <c r="U2046" s="329" t="str">
        <f>IF($N2046=$N$4,IFERROR(INDEX(DanhMuc!$E$154:$E$165,MATCH(MID($B2046,4,2),DanhMuc!$B$154:$B$165,0)),""),"")</f>
        <v/>
      </c>
      <c r="V2046" s="361"/>
      <c r="W2046" s="345"/>
      <c r="X2046" s="329" t="str">
        <f t="shared" si="243"/>
        <v>3H</v>
      </c>
      <c r="Y2046" s="1128" t="s">
        <v>3380</v>
      </c>
      <c r="Z2046" s="1128" t="s">
        <v>3381</v>
      </c>
      <c r="AA2046" s="1128" t="s">
        <v>3384</v>
      </c>
      <c r="AB2046" s="20"/>
      <c r="AC2046" s="73"/>
    </row>
    <row r="2047" spans="1:29">
      <c r="A2047" s="327" t="str">
        <f>IF(AND($B2047&lt;&gt;"",$C2047&lt;&gt;""),MAX($A$1556:A2046)+1,"")</f>
        <v/>
      </c>
      <c r="B2047" s="361" t="s">
        <v>1993</v>
      </c>
      <c r="C2047" s="360"/>
      <c r="D2047" s="327">
        <f>IF($B2047="","",COUNTIF($B$6:$B2047,$B2047))</f>
        <v>13</v>
      </c>
      <c r="E2047" s="405" t="s">
        <v>3875</v>
      </c>
      <c r="F2047" s="406" t="s">
        <v>3866</v>
      </c>
      <c r="G2047" s="327" t="s">
        <v>155</v>
      </c>
      <c r="H2047" s="327" t="s">
        <v>536</v>
      </c>
      <c r="I2047" s="327">
        <v>2</v>
      </c>
      <c r="J2047" s="345"/>
      <c r="K2047" s="327"/>
      <c r="L2047" s="389">
        <v>55000</v>
      </c>
      <c r="M2047" s="371"/>
      <c r="N2047" s="355" t="str">
        <f t="shared" si="244"/>
        <v>PK</v>
      </c>
      <c r="O2047" s="407" t="s">
        <v>3868</v>
      </c>
      <c r="P2047" s="392"/>
      <c r="Q2047" s="327"/>
      <c r="R2047" s="351"/>
      <c r="S2047" s="351"/>
      <c r="T2047" s="351"/>
      <c r="U2047" s="329" t="str">
        <f>IF($N2047=$N$4,IFERROR(INDEX(DanhMuc!$E$154:$E$165,MATCH(MID($B2047,4,2),DanhMuc!$B$154:$B$165,0)),""),"")</f>
        <v/>
      </c>
      <c r="V2047" s="361"/>
      <c r="W2047" s="345"/>
      <c r="X2047" s="329" t="str">
        <f t="shared" si="243"/>
        <v>3H</v>
      </c>
      <c r="Y2047" s="1128" t="s">
        <v>3380</v>
      </c>
      <c r="Z2047" s="1128" t="s">
        <v>3381</v>
      </c>
      <c r="AA2047" s="1128" t="s">
        <v>3384</v>
      </c>
      <c r="AB2047" s="20"/>
      <c r="AC2047" s="73"/>
    </row>
    <row r="2048" spans="1:29">
      <c r="A2048" s="327" t="str">
        <f>IF(AND($B2048&lt;&gt;"",$C2048&lt;&gt;""),MAX($A$1556:A2047)+1,"")</f>
        <v/>
      </c>
      <c r="B2048" s="361" t="s">
        <v>1993</v>
      </c>
      <c r="C2048" s="360"/>
      <c r="D2048" s="327">
        <f>IF($B2048="","",COUNTIF($B$6:$B2048,$B2048))</f>
        <v>14</v>
      </c>
      <c r="E2048" s="405" t="s">
        <v>3876</v>
      </c>
      <c r="F2048" s="406" t="s">
        <v>3867</v>
      </c>
      <c r="G2048" s="327" t="s">
        <v>155</v>
      </c>
      <c r="H2048" s="327" t="s">
        <v>536</v>
      </c>
      <c r="I2048" s="327">
        <v>2</v>
      </c>
      <c r="J2048" s="345"/>
      <c r="K2048" s="327"/>
      <c r="L2048" s="389">
        <v>55000</v>
      </c>
      <c r="M2048" s="371"/>
      <c r="N2048" s="355" t="str">
        <f t="shared" si="244"/>
        <v>PK</v>
      </c>
      <c r="O2048" s="407" t="s">
        <v>3869</v>
      </c>
      <c r="P2048" s="392"/>
      <c r="Q2048" s="327"/>
      <c r="R2048" s="351"/>
      <c r="S2048" s="351"/>
      <c r="T2048" s="351"/>
      <c r="U2048" s="329" t="str">
        <f>IF($N2048=$N$4,IFERROR(INDEX(DanhMuc!$E$154:$E$165,MATCH(MID($B2048,4,2),DanhMuc!$B$154:$B$165,0)),""),"")</f>
        <v/>
      </c>
      <c r="V2048" s="361"/>
      <c r="W2048" s="345"/>
      <c r="X2048" s="329" t="str">
        <f t="shared" si="243"/>
        <v>3H</v>
      </c>
      <c r="Y2048" s="1128" t="s">
        <v>3380</v>
      </c>
      <c r="Z2048" s="1128" t="s">
        <v>3381</v>
      </c>
      <c r="AA2048" s="1128" t="s">
        <v>3384</v>
      </c>
      <c r="AB2048" s="20"/>
      <c r="AC2048" s="73"/>
    </row>
    <row r="2049" spans="1:29">
      <c r="A2049" s="327" t="str">
        <f>IF(AND($B2049&lt;&gt;"",$C2049&lt;&gt;""),MAX($A$1556:A2047)+1,"")</f>
        <v/>
      </c>
      <c r="B2049" s="361" t="s">
        <v>1993</v>
      </c>
      <c r="C2049" s="360"/>
      <c r="D2049" s="327">
        <f>IF($B2049="","",COUNTIF($B$6:$B2049,$B2049))</f>
        <v>15</v>
      </c>
      <c r="E2049" s="361" t="s">
        <v>2758</v>
      </c>
      <c r="F2049" s="362" t="s">
        <v>2786</v>
      </c>
      <c r="G2049" s="327" t="s">
        <v>155</v>
      </c>
      <c r="H2049" s="327" t="s">
        <v>536</v>
      </c>
      <c r="I2049" s="327">
        <v>2</v>
      </c>
      <c r="J2049" s="361"/>
      <c r="K2049" s="286"/>
      <c r="L2049" s="415">
        <v>38000</v>
      </c>
      <c r="M2049" s="371"/>
      <c r="N2049" s="355" t="str">
        <f t="shared" ref="N2049:N2056" si="245">+$N$1555</f>
        <v>PK</v>
      </c>
      <c r="O2049" s="345"/>
      <c r="P2049" s="392"/>
      <c r="Q2049" s="327"/>
      <c r="R2049" s="351"/>
      <c r="S2049" s="351"/>
      <c r="T2049" s="351"/>
      <c r="U2049" s="329" t="str">
        <f>IF($N2049=$N$4,IFERROR(INDEX(DanhMuc!$E$154:$E$165,MATCH(MID($B2049,4,2),DanhMuc!$B$154:$B$165,0)),""),"")</f>
        <v/>
      </c>
      <c r="V2049" s="361"/>
      <c r="W2049" s="345"/>
      <c r="X2049" s="329" t="str">
        <f t="shared" si="243"/>
        <v>3H</v>
      </c>
      <c r="Y2049" s="1128" t="s">
        <v>3380</v>
      </c>
      <c r="Z2049" s="1128" t="s">
        <v>3381</v>
      </c>
      <c r="AA2049" s="1128" t="s">
        <v>3384</v>
      </c>
      <c r="AB2049" s="20"/>
      <c r="AC2049" s="73"/>
    </row>
    <row r="2050" spans="1:29">
      <c r="A2050" s="327" t="str">
        <f>IF(AND($B2050&lt;&gt;"",$C2050&lt;&gt;""),MAX($A$1556:A2049)+1,"")</f>
        <v/>
      </c>
      <c r="B2050" s="480" t="s">
        <v>2787</v>
      </c>
      <c r="C2050" s="1050"/>
      <c r="D2050" s="436">
        <f>IF($B2050="","",COUNTIF($B$6:$B2050,$B2050))</f>
        <v>1</v>
      </c>
      <c r="E2050" s="480" t="s">
        <v>2784</v>
      </c>
      <c r="F2050" s="1051" t="s">
        <v>2785</v>
      </c>
      <c r="G2050" s="436" t="s">
        <v>155</v>
      </c>
      <c r="H2050" s="436" t="s">
        <v>536</v>
      </c>
      <c r="I2050" s="436">
        <v>2</v>
      </c>
      <c r="J2050" s="480"/>
      <c r="K2050" s="1052"/>
      <c r="L2050" s="415">
        <v>55000</v>
      </c>
      <c r="M2050" s="371"/>
      <c r="N2050" s="355" t="str">
        <f t="shared" si="245"/>
        <v>PK</v>
      </c>
      <c r="O2050" s="345"/>
      <c r="P2050" s="392"/>
      <c r="Q2050" s="327"/>
      <c r="R2050" s="351"/>
      <c r="S2050" s="351"/>
      <c r="T2050" s="351"/>
      <c r="U2050" s="329" t="str">
        <f>IF($N2050=$N$4,IFERROR(INDEX(DanhMuc!$E$154:$E$165,MATCH(MID($B2050,4,2),DanhMuc!$B$154:$B$165,0)),""),"")</f>
        <v/>
      </c>
      <c r="V2050" s="361"/>
      <c r="W2050" s="345"/>
      <c r="X2050" s="329" t="str">
        <f t="shared" si="243"/>
        <v>3H</v>
      </c>
      <c r="Y2050" s="1128" t="s">
        <v>3380</v>
      </c>
      <c r="Z2050" s="1128" t="s">
        <v>3381</v>
      </c>
      <c r="AA2050" s="1128" t="s">
        <v>3384</v>
      </c>
      <c r="AB2050" s="20"/>
      <c r="AC2050" s="73"/>
    </row>
    <row r="2051" spans="1:29" ht="26">
      <c r="A2051" s="327">
        <f>IF(AND($B2051&lt;&gt;"",$C2051&lt;&gt;""),MAX($A$1556:A2049)+1,"")</f>
        <v>17</v>
      </c>
      <c r="B2051" s="359" t="s">
        <v>1994</v>
      </c>
      <c r="C2051" s="360" t="s">
        <v>1547</v>
      </c>
      <c r="D2051" s="327">
        <f>IF($B2051="","",COUNTIF($B$6:$B2051,$B2051))</f>
        <v>1</v>
      </c>
      <c r="E2051" s="361" t="s">
        <v>2077</v>
      </c>
      <c r="F2051" s="362" t="s">
        <v>2078</v>
      </c>
      <c r="G2051" s="327" t="s">
        <v>155</v>
      </c>
      <c r="H2051" s="327"/>
      <c r="I2051" s="327">
        <v>2</v>
      </c>
      <c r="J2051" s="361"/>
      <c r="K2051" s="327"/>
      <c r="L2051" s="389">
        <v>66000</v>
      </c>
      <c r="M2051" s="371"/>
      <c r="N2051" s="355" t="str">
        <f t="shared" si="245"/>
        <v>PK</v>
      </c>
      <c r="O2051" s="345" t="s">
        <v>2733</v>
      </c>
      <c r="P2051" s="392"/>
      <c r="Q2051" s="327"/>
      <c r="R2051" s="351"/>
      <c r="S2051" s="351"/>
      <c r="T2051" s="351"/>
      <c r="U2051" s="329" t="str">
        <f>IF($N2051=$N$4,IFERROR(INDEX(DanhMuc!$E$154:$E$165,MATCH(MID($B2051,4,2),DanhMuc!$B$154:$B$165,0)),""),"")</f>
        <v/>
      </c>
      <c r="V2051" s="361"/>
      <c r="W2051" s="345"/>
      <c r="X2051" s="329" t="str">
        <f t="shared" si="243"/>
        <v>3H</v>
      </c>
      <c r="Y2051" s="1128" t="s">
        <v>3380</v>
      </c>
      <c r="Z2051" s="1128" t="s">
        <v>3381</v>
      </c>
      <c r="AA2051" s="1128" t="s">
        <v>3384</v>
      </c>
      <c r="AB2051" s="20"/>
      <c r="AC2051" s="73"/>
    </row>
    <row r="2052" spans="1:29" ht="25">
      <c r="A2052" s="327" t="str">
        <f>IF(AND($B2052&lt;&gt;"",$C2052&lt;&gt;""),MAX($A$1556:A2051)+1,"")</f>
        <v/>
      </c>
      <c r="B2052" s="361" t="s">
        <v>1994</v>
      </c>
      <c r="C2052" s="360"/>
      <c r="D2052" s="327">
        <f>IF($B2052="","",COUNTIF($B$6:$B2052,$B2052))</f>
        <v>2</v>
      </c>
      <c r="E2052" s="361" t="s">
        <v>209</v>
      </c>
      <c r="F2052" s="362" t="s">
        <v>210</v>
      </c>
      <c r="G2052" s="327" t="s">
        <v>155</v>
      </c>
      <c r="H2052" s="327"/>
      <c r="I2052" s="327">
        <v>2</v>
      </c>
      <c r="J2052" s="361"/>
      <c r="K2052" s="327"/>
      <c r="L2052" s="389">
        <v>70000</v>
      </c>
      <c r="M2052" s="371"/>
      <c r="N2052" s="355" t="str">
        <f t="shared" si="245"/>
        <v>PK</v>
      </c>
      <c r="O2052" s="345" t="s">
        <v>1782</v>
      </c>
      <c r="P2052" s="392"/>
      <c r="Q2052" s="327"/>
      <c r="R2052" s="351"/>
      <c r="S2052" s="351"/>
      <c r="T2052" s="351"/>
      <c r="U2052" s="329" t="str">
        <f>IF($N2052=$N$4,IFERROR(INDEX(DanhMuc!$E$154:$E$165,MATCH(MID($B2052,4,2),DanhMuc!$B$154:$B$165,0)),""),"")</f>
        <v/>
      </c>
      <c r="V2052" s="361"/>
      <c r="W2052" s="345"/>
      <c r="X2052" s="329" t="str">
        <f t="shared" si="243"/>
        <v>3H</v>
      </c>
      <c r="Y2052" s="1128" t="s">
        <v>3380</v>
      </c>
      <c r="Z2052" s="1128" t="s">
        <v>3381</v>
      </c>
      <c r="AA2052" s="1128" t="s">
        <v>3384</v>
      </c>
      <c r="AB2052" s="20"/>
      <c r="AC2052" s="73"/>
    </row>
    <row r="2053" spans="1:29" ht="25">
      <c r="A2053" s="327" t="str">
        <f>IF(AND($B2053&lt;&gt;"",$C2053&lt;&gt;""),MAX($A$1556:A2052)+1,"")</f>
        <v/>
      </c>
      <c r="B2053" s="361" t="s">
        <v>1994</v>
      </c>
      <c r="C2053" s="360"/>
      <c r="D2053" s="327">
        <f>IF($B2053="","",COUNTIF($B$6:$B2053,$B2053))</f>
        <v>3</v>
      </c>
      <c r="E2053" s="361" t="s">
        <v>2743</v>
      </c>
      <c r="F2053" s="362" t="s">
        <v>2744</v>
      </c>
      <c r="G2053" s="327" t="s">
        <v>155</v>
      </c>
      <c r="H2053" s="327"/>
      <c r="I2053" s="327">
        <v>2</v>
      </c>
      <c r="J2053" s="361"/>
      <c r="K2053" s="327"/>
      <c r="L2053" s="389">
        <v>120000</v>
      </c>
      <c r="M2053" s="371"/>
      <c r="N2053" s="355" t="str">
        <f t="shared" si="245"/>
        <v>PK</v>
      </c>
      <c r="O2053" s="345" t="s">
        <v>2742</v>
      </c>
      <c r="P2053" s="392"/>
      <c r="Q2053" s="327"/>
      <c r="R2053" s="351"/>
      <c r="S2053" s="351"/>
      <c r="T2053" s="351"/>
      <c r="U2053" s="329" t="str">
        <f>IF($N2053=$N$4,IFERROR(INDEX(DanhMuc!$E$154:$E$165,MATCH(MID($B2053,4,2),DanhMuc!$B$154:$B$165,0)),""),"")</f>
        <v/>
      </c>
      <c r="V2053" s="361"/>
      <c r="W2053" s="345"/>
      <c r="X2053" s="329" t="str">
        <f t="shared" si="243"/>
        <v>3H</v>
      </c>
      <c r="Y2053" s="1128" t="s">
        <v>3380</v>
      </c>
      <c r="Z2053" s="1128" t="s">
        <v>3381</v>
      </c>
      <c r="AA2053" s="1128" t="s">
        <v>3384</v>
      </c>
      <c r="AB2053" s="20"/>
      <c r="AC2053" s="73"/>
    </row>
    <row r="2054" spans="1:29">
      <c r="A2054" s="327" t="str">
        <f>IF(AND($B2054&lt;&gt;"",$C2054&lt;&gt;""),MAX($A$1556:A2051)+1,"")</f>
        <v/>
      </c>
      <c r="B2054" s="361" t="s">
        <v>1994</v>
      </c>
      <c r="C2054" s="360"/>
      <c r="D2054" s="327">
        <f>IF($B2054="","",COUNTIF($B$6:$B2054,$B2054))</f>
        <v>4</v>
      </c>
      <c r="E2054" s="361" t="s">
        <v>174</v>
      </c>
      <c r="F2054" s="362" t="s">
        <v>224</v>
      </c>
      <c r="G2054" s="327" t="s">
        <v>155</v>
      </c>
      <c r="H2054" s="327" t="s">
        <v>536</v>
      </c>
      <c r="I2054" s="327">
        <v>2</v>
      </c>
      <c r="J2054" s="361"/>
      <c r="K2054" s="327"/>
      <c r="L2054" s="389">
        <v>19000</v>
      </c>
      <c r="M2054" s="371"/>
      <c r="N2054" s="355" t="str">
        <f t="shared" si="245"/>
        <v>PK</v>
      </c>
      <c r="O2054" s="345" t="s">
        <v>1623</v>
      </c>
      <c r="P2054" s="392"/>
      <c r="Q2054" s="327"/>
      <c r="R2054" s="351"/>
      <c r="S2054" s="351"/>
      <c r="T2054" s="351"/>
      <c r="U2054" s="329" t="str">
        <f>IF($N2054=$N$4,IFERROR(INDEX(DanhMuc!$E$154:$E$165,MATCH(MID($B2054,4,2),DanhMuc!$B$154:$B$165,0)),""),"")</f>
        <v/>
      </c>
      <c r="V2054" s="361"/>
      <c r="W2054" s="345"/>
      <c r="X2054" s="329" t="str">
        <f t="shared" si="243"/>
        <v>3H</v>
      </c>
      <c r="Y2054" s="1128" t="s">
        <v>3380</v>
      </c>
      <c r="Z2054" s="1128" t="s">
        <v>3381</v>
      </c>
      <c r="AA2054" s="1128" t="s">
        <v>3384</v>
      </c>
      <c r="AB2054" s="20"/>
      <c r="AC2054" s="73"/>
    </row>
    <row r="2055" spans="1:29">
      <c r="A2055" s="327" t="str">
        <f>IF(AND($B2055&lt;&gt;"",$C2055&lt;&gt;""),MAX($A$1556:A2054)+1,"")</f>
        <v/>
      </c>
      <c r="B2055" s="361" t="s">
        <v>1994</v>
      </c>
      <c r="C2055" s="360"/>
      <c r="D2055" s="327">
        <f>IF($B2055="","",COUNTIF($B$6:$B2055,$B2055))</f>
        <v>5</v>
      </c>
      <c r="E2055" s="361" t="s">
        <v>632</v>
      </c>
      <c r="F2055" s="362" t="s">
        <v>633</v>
      </c>
      <c r="G2055" s="327" t="s">
        <v>155</v>
      </c>
      <c r="H2055" s="327" t="s">
        <v>536</v>
      </c>
      <c r="I2055" s="327">
        <v>4</v>
      </c>
      <c r="J2055" s="345"/>
      <c r="K2055" s="327"/>
      <c r="L2055" s="389">
        <v>17000</v>
      </c>
      <c r="M2055" s="371"/>
      <c r="N2055" s="355" t="str">
        <f t="shared" si="245"/>
        <v>PK</v>
      </c>
      <c r="O2055" s="345" t="s">
        <v>1623</v>
      </c>
      <c r="P2055" s="392"/>
      <c r="Q2055" s="327"/>
      <c r="R2055" s="351"/>
      <c r="S2055" s="351"/>
      <c r="T2055" s="351"/>
      <c r="U2055" s="329" t="str">
        <f>IF($N2055=$N$4,IFERROR(INDEX(DanhMuc!$E$154:$E$165,MATCH(MID($B2055,4,2),DanhMuc!$B$154:$B$165,0)),""),"")</f>
        <v/>
      </c>
      <c r="V2055" s="361"/>
      <c r="W2055" s="345"/>
      <c r="X2055" s="329" t="str">
        <f t="shared" si="243"/>
        <v>3H</v>
      </c>
      <c r="Y2055" s="1128" t="s">
        <v>3380</v>
      </c>
      <c r="Z2055" s="1128" t="s">
        <v>3381</v>
      </c>
      <c r="AA2055" s="1128" t="s">
        <v>3384</v>
      </c>
      <c r="AB2055" s="20"/>
      <c r="AC2055" s="73"/>
    </row>
    <row r="2056" spans="1:29">
      <c r="A2056" s="327" t="str">
        <f>IF(AND($B2056&lt;&gt;"",$C2056&lt;&gt;""),MAX($A$1556:A2051)+1,"")</f>
        <v/>
      </c>
      <c r="B2056" s="361" t="s">
        <v>1994</v>
      </c>
      <c r="C2056" s="360"/>
      <c r="D2056" s="327">
        <f>IF($B2056="","",COUNTIF($B$6:$B2056,$B2056))</f>
        <v>6</v>
      </c>
      <c r="E2056" s="361" t="s">
        <v>89</v>
      </c>
      <c r="F2056" s="362" t="s">
        <v>90</v>
      </c>
      <c r="G2056" s="327" t="s">
        <v>155</v>
      </c>
      <c r="H2056" s="327" t="s">
        <v>536</v>
      </c>
      <c r="I2056" s="327">
        <v>4</v>
      </c>
      <c r="J2056" s="345"/>
      <c r="K2056" s="327"/>
      <c r="L2056" s="389">
        <v>6500</v>
      </c>
      <c r="M2056" s="371"/>
      <c r="N2056" s="355" t="str">
        <f t="shared" si="245"/>
        <v>PK</v>
      </c>
      <c r="O2056" s="345"/>
      <c r="P2056" s="392"/>
      <c r="Q2056" s="327"/>
      <c r="R2056" s="351"/>
      <c r="S2056" s="351"/>
      <c r="T2056" s="351"/>
      <c r="U2056" s="329" t="str">
        <f>IF($N2056=$N$4,IFERROR(INDEX(DanhMuc!$E$154:$E$165,MATCH(MID($B2056,4,2),DanhMuc!$B$154:$B$165,0)),""),"")</f>
        <v/>
      </c>
      <c r="V2056" s="361"/>
      <c r="W2056" s="345"/>
      <c r="X2056" s="329" t="str">
        <f t="shared" si="243"/>
        <v>3H</v>
      </c>
      <c r="Y2056" s="1128" t="s">
        <v>3380</v>
      </c>
      <c r="Z2056" s="1128" t="s">
        <v>3381</v>
      </c>
      <c r="AA2056" s="1128" t="s">
        <v>3384</v>
      </c>
      <c r="AB2056" s="20"/>
      <c r="AC2056" s="73"/>
    </row>
    <row r="2057" spans="1:29">
      <c r="A2057" s="327" t="str">
        <f>IF(AND($B2057&lt;&gt;"",$C2057&lt;&gt;""),MAX($A$1556:A2055)+1,"")</f>
        <v/>
      </c>
      <c r="B2057" s="361" t="s">
        <v>1994</v>
      </c>
      <c r="C2057" s="360"/>
      <c r="D2057" s="327">
        <f>IF($B2057="","",COUNTIF($B$6:$B2057,$B2057))</f>
        <v>7</v>
      </c>
      <c r="E2057" s="365" t="s">
        <v>327</v>
      </c>
      <c r="F2057" s="368" t="s">
        <v>345</v>
      </c>
      <c r="G2057" s="367" t="s">
        <v>690</v>
      </c>
      <c r="H2057" s="327" t="s">
        <v>536</v>
      </c>
      <c r="I2057" s="327">
        <v>2</v>
      </c>
      <c r="J2057" s="345" t="s">
        <v>735</v>
      </c>
      <c r="K2057" s="327"/>
      <c r="L2057" s="348">
        <f>+$S2057*$T2057*$L$37</f>
        <v>84651</v>
      </c>
      <c r="M2057" s="371"/>
      <c r="N2057" s="369" t="s">
        <v>150</v>
      </c>
      <c r="O2057" s="345" t="s">
        <v>1623</v>
      </c>
      <c r="P2057" s="392"/>
      <c r="Q2057" s="327"/>
      <c r="R2057" s="351">
        <v>2.5</v>
      </c>
      <c r="S2057" s="351">
        <v>5.8</v>
      </c>
      <c r="T2057" s="351">
        <v>0.13900000000000001</v>
      </c>
      <c r="U2057" s="329">
        <f>IF($N2057=$N$4,IFERROR(INDEX(DanhMuc!$E$154:$E$165,MATCH(MID($B2057,4,2),DanhMuc!$B$154:$B$165,0)),""),"")</f>
        <v>5800</v>
      </c>
      <c r="V2057" s="361"/>
      <c r="W2057" s="345"/>
      <c r="X2057" s="329" t="str">
        <f t="shared" si="243"/>
        <v>C459</v>
      </c>
      <c r="Y2057" s="1128" t="s">
        <v>3380</v>
      </c>
      <c r="Z2057" s="1128" t="s">
        <v>3381</v>
      </c>
      <c r="AA2057" s="1128" t="s">
        <v>3384</v>
      </c>
      <c r="AB2057" s="20"/>
      <c r="AC2057" s="73"/>
    </row>
    <row r="2058" spans="1:29">
      <c r="A2058" s="327" t="str">
        <f>IF(AND($B2058&lt;&gt;"",$C2058&lt;&gt;""),MAX($A$1556:A2057)+1,"")</f>
        <v/>
      </c>
      <c r="B2058" s="361" t="s">
        <v>1994</v>
      </c>
      <c r="C2058" s="360"/>
      <c r="D2058" s="327">
        <f>IF($B2058="","",COUNTIF($B$6:$B2058,$B2058))</f>
        <v>8</v>
      </c>
      <c r="E2058" s="361" t="s">
        <v>175</v>
      </c>
      <c r="F2058" s="362" t="s">
        <v>176</v>
      </c>
      <c r="G2058" s="327" t="s">
        <v>155</v>
      </c>
      <c r="H2058" s="327" t="s">
        <v>536</v>
      </c>
      <c r="I2058" s="327">
        <v>8</v>
      </c>
      <c r="J2058" s="361"/>
      <c r="K2058" s="327"/>
      <c r="L2058" s="389">
        <v>2000</v>
      </c>
      <c r="M2058" s="371"/>
      <c r="N2058" s="355" t="str">
        <f>+$N$1555</f>
        <v>PK</v>
      </c>
      <c r="O2058" s="345"/>
      <c r="P2058" s="392"/>
      <c r="Q2058" s="327"/>
      <c r="R2058" s="351"/>
      <c r="S2058" s="351"/>
      <c r="T2058" s="351"/>
      <c r="U2058" s="329" t="str">
        <f>IF($N2058=$N$4,IFERROR(INDEX(DanhMuc!$E$154:$E$165,MATCH(MID($B2058,4,2),DanhMuc!$B$154:$B$165,0)),""),"")</f>
        <v/>
      </c>
      <c r="V2058" s="361"/>
      <c r="W2058" s="345"/>
      <c r="X2058" s="329" t="str">
        <f t="shared" si="243"/>
        <v>3H</v>
      </c>
      <c r="Y2058" s="1128" t="s">
        <v>3380</v>
      </c>
      <c r="Z2058" s="1128" t="s">
        <v>3381</v>
      </c>
      <c r="AA2058" s="1128" t="s">
        <v>3384</v>
      </c>
      <c r="AB2058" s="20"/>
      <c r="AC2058" s="73"/>
    </row>
    <row r="2059" spans="1:29">
      <c r="A2059" s="327" t="str">
        <f>IF(AND($B2059&lt;&gt;"",$C2059&lt;&gt;""),MAX($A$1556:A2058)+1,"")</f>
        <v/>
      </c>
      <c r="B2059" s="361" t="s">
        <v>1994</v>
      </c>
      <c r="C2059" s="360"/>
      <c r="D2059" s="327">
        <f>IF($B2059="","",COUNTIF($B$6:$B2059,$B2059))</f>
        <v>9</v>
      </c>
      <c r="E2059" s="405" t="s">
        <v>177</v>
      </c>
      <c r="F2059" s="406" t="s">
        <v>178</v>
      </c>
      <c r="G2059" s="327" t="s">
        <v>155</v>
      </c>
      <c r="H2059" s="327" t="s">
        <v>536</v>
      </c>
      <c r="I2059" s="327">
        <v>4</v>
      </c>
      <c r="J2059" s="345"/>
      <c r="K2059" s="327"/>
      <c r="L2059" s="389">
        <v>57000</v>
      </c>
      <c r="M2059" s="371"/>
      <c r="N2059" s="355" t="str">
        <f>+$N$1555</f>
        <v>PK</v>
      </c>
      <c r="O2059" s="407" t="s">
        <v>1698</v>
      </c>
      <c r="P2059" s="392"/>
      <c r="Q2059" s="327"/>
      <c r="R2059" s="351"/>
      <c r="S2059" s="351"/>
      <c r="T2059" s="351"/>
      <c r="U2059" s="329" t="str">
        <f>IF($N2059=$N$4,IFERROR(INDEX(DanhMuc!$E$154:$E$165,MATCH(MID($B2059,4,2),DanhMuc!$B$154:$B$165,0)),""),"")</f>
        <v/>
      </c>
      <c r="V2059" s="361"/>
      <c r="W2059" s="345"/>
      <c r="X2059" s="329" t="str">
        <f t="shared" si="243"/>
        <v>3H</v>
      </c>
      <c r="Y2059" s="1128" t="s">
        <v>3380</v>
      </c>
      <c r="Z2059" s="1128" t="s">
        <v>3381</v>
      </c>
      <c r="AA2059" s="1128" t="s">
        <v>3384</v>
      </c>
      <c r="AB2059" s="20"/>
      <c r="AC2059" s="73"/>
    </row>
    <row r="2060" spans="1:29">
      <c r="A2060" s="327" t="str">
        <f>IF(AND($B2060&lt;&gt;"",$C2060&lt;&gt;""),MAX($A$1556:A2059)+1,"")</f>
        <v/>
      </c>
      <c r="B2060" s="361" t="s">
        <v>1994</v>
      </c>
      <c r="C2060" s="360"/>
      <c r="D2060" s="327">
        <f>IF($B2060="","",COUNTIF($B$6:$B2060,$B2060))</f>
        <v>10</v>
      </c>
      <c r="E2060" s="405" t="s">
        <v>180</v>
      </c>
      <c r="F2060" s="406" t="s">
        <v>202</v>
      </c>
      <c r="G2060" s="327" t="s">
        <v>155</v>
      </c>
      <c r="H2060" s="327" t="s">
        <v>536</v>
      </c>
      <c r="I2060" s="327">
        <v>4</v>
      </c>
      <c r="J2060" s="345"/>
      <c r="K2060" s="327"/>
      <c r="L2060" s="389">
        <v>66000</v>
      </c>
      <c r="M2060" s="371"/>
      <c r="N2060" s="355" t="str">
        <f t="shared" ref="N2060:N2064" si="246">+$N$1555</f>
        <v>PK</v>
      </c>
      <c r="O2060" s="407" t="s">
        <v>1699</v>
      </c>
      <c r="P2060" s="392"/>
      <c r="Q2060" s="327"/>
      <c r="R2060" s="351"/>
      <c r="S2060" s="351"/>
      <c r="T2060" s="351"/>
      <c r="U2060" s="329" t="str">
        <f>IF($N2060=$N$4,IFERROR(INDEX(DanhMuc!$E$154:$E$165,MATCH(MID($B2060,4,2),DanhMuc!$B$154:$B$165,0)),""),"")</f>
        <v/>
      </c>
      <c r="V2060" s="361"/>
      <c r="W2060" s="345"/>
      <c r="X2060" s="329" t="str">
        <f t="shared" si="243"/>
        <v>3H</v>
      </c>
      <c r="Y2060" s="1128" t="s">
        <v>3380</v>
      </c>
      <c r="Z2060" s="1128" t="s">
        <v>3381</v>
      </c>
      <c r="AA2060" s="1128" t="s">
        <v>3384</v>
      </c>
      <c r="AB2060" s="20"/>
      <c r="AC2060" s="73"/>
    </row>
    <row r="2061" spans="1:29">
      <c r="A2061" s="327" t="str">
        <f>IF(AND($B2061&lt;&gt;"",$C2061&lt;&gt;""),MAX($A$1556:A2060)+1,"")</f>
        <v/>
      </c>
      <c r="B2061" s="361" t="s">
        <v>1994</v>
      </c>
      <c r="C2061" s="360"/>
      <c r="D2061" s="327">
        <f>IF($B2061="","",COUNTIF($B$6:$B2061,$B2061))</f>
        <v>11</v>
      </c>
      <c r="E2061" s="405" t="s">
        <v>203</v>
      </c>
      <c r="F2061" s="406" t="s">
        <v>204</v>
      </c>
      <c r="G2061" s="327" t="s">
        <v>155</v>
      </c>
      <c r="H2061" s="327" t="s">
        <v>536</v>
      </c>
      <c r="I2061" s="327">
        <v>4</v>
      </c>
      <c r="J2061" s="345"/>
      <c r="K2061" s="327"/>
      <c r="L2061" s="389">
        <v>70000</v>
      </c>
      <c r="M2061" s="371"/>
      <c r="N2061" s="355" t="str">
        <f t="shared" si="246"/>
        <v>PK</v>
      </c>
      <c r="O2061" s="407" t="s">
        <v>1700</v>
      </c>
      <c r="P2061" s="392"/>
      <c r="Q2061" s="327"/>
      <c r="R2061" s="351"/>
      <c r="S2061" s="351"/>
      <c r="T2061" s="351"/>
      <c r="U2061" s="329" t="str">
        <f>IF($N2061=$N$4,IFERROR(INDEX(DanhMuc!$E$154:$E$165,MATCH(MID($B2061,4,2),DanhMuc!$B$154:$B$165,0)),""),"")</f>
        <v/>
      </c>
      <c r="V2061" s="361"/>
      <c r="W2061" s="345"/>
      <c r="X2061" s="329" t="str">
        <f t="shared" si="243"/>
        <v>3H</v>
      </c>
      <c r="Y2061" s="1128" t="s">
        <v>3380</v>
      </c>
      <c r="Z2061" s="1128" t="s">
        <v>3381</v>
      </c>
      <c r="AA2061" s="1128" t="s">
        <v>3384</v>
      </c>
      <c r="AB2061" s="20"/>
      <c r="AC2061" s="73"/>
    </row>
    <row r="2062" spans="1:29">
      <c r="A2062" s="327" t="str">
        <f>IF(AND($B2062&lt;&gt;"",$C2062&lt;&gt;""),MAX($A$1556:A2061)+1,"")</f>
        <v/>
      </c>
      <c r="B2062" s="361" t="s">
        <v>1994</v>
      </c>
      <c r="C2062" s="360"/>
      <c r="D2062" s="327">
        <f>IF($B2062="","",COUNTIF($B$6:$B2062,$B2062))</f>
        <v>12</v>
      </c>
      <c r="E2062" s="405" t="s">
        <v>205</v>
      </c>
      <c r="F2062" s="406" t="s">
        <v>206</v>
      </c>
      <c r="G2062" s="327" t="s">
        <v>155</v>
      </c>
      <c r="H2062" s="327" t="s">
        <v>536</v>
      </c>
      <c r="I2062" s="327">
        <v>4</v>
      </c>
      <c r="J2062" s="345"/>
      <c r="K2062" s="327"/>
      <c r="L2062" s="389">
        <v>75000</v>
      </c>
      <c r="M2062" s="371"/>
      <c r="N2062" s="355" t="str">
        <f t="shared" si="246"/>
        <v>PK</v>
      </c>
      <c r="O2062" s="407" t="s">
        <v>1701</v>
      </c>
      <c r="P2062" s="392"/>
      <c r="Q2062" s="327"/>
      <c r="R2062" s="351"/>
      <c r="S2062" s="351"/>
      <c r="T2062" s="351"/>
      <c r="U2062" s="329" t="str">
        <f>IF($N2062=$N$4,IFERROR(INDEX(DanhMuc!$E$154:$E$165,MATCH(MID($B2062,4,2),DanhMuc!$B$154:$B$165,0)),""),"")</f>
        <v/>
      </c>
      <c r="V2062" s="361"/>
      <c r="W2062" s="345"/>
      <c r="X2062" s="329" t="str">
        <f t="shared" si="243"/>
        <v>3H</v>
      </c>
      <c r="Y2062" s="1128" t="s">
        <v>3380</v>
      </c>
      <c r="Z2062" s="1128" t="s">
        <v>3381</v>
      </c>
      <c r="AA2062" s="1128" t="s">
        <v>3384</v>
      </c>
      <c r="AB2062" s="20"/>
      <c r="AC2062" s="73"/>
    </row>
    <row r="2063" spans="1:29">
      <c r="A2063" s="327" t="str">
        <f>IF(AND($B2063&lt;&gt;"",$C2063&lt;&gt;""),MAX($A$1556:A2062)+1,"")</f>
        <v/>
      </c>
      <c r="B2063" s="361" t="s">
        <v>1994</v>
      </c>
      <c r="C2063" s="360"/>
      <c r="D2063" s="327">
        <f>IF($B2063="","",COUNTIF($B$6:$B2063,$B2063))</f>
        <v>13</v>
      </c>
      <c r="E2063" s="405" t="s">
        <v>3875</v>
      </c>
      <c r="F2063" s="406" t="s">
        <v>3866</v>
      </c>
      <c r="G2063" s="327" t="s">
        <v>155</v>
      </c>
      <c r="H2063" s="327" t="s">
        <v>536</v>
      </c>
      <c r="I2063" s="327">
        <v>4</v>
      </c>
      <c r="J2063" s="345"/>
      <c r="K2063" s="327"/>
      <c r="L2063" s="389">
        <v>55000</v>
      </c>
      <c r="M2063" s="371"/>
      <c r="N2063" s="355" t="str">
        <f t="shared" si="246"/>
        <v>PK</v>
      </c>
      <c r="O2063" s="407" t="s">
        <v>3868</v>
      </c>
      <c r="P2063" s="392"/>
      <c r="Q2063" s="327"/>
      <c r="R2063" s="351"/>
      <c r="S2063" s="351"/>
      <c r="T2063" s="351"/>
      <c r="U2063" s="329" t="str">
        <f>IF($N2063=$N$4,IFERROR(INDEX(DanhMuc!$E$154:$E$165,MATCH(MID($B2063,4,2),DanhMuc!$B$154:$B$165,0)),""),"")</f>
        <v/>
      </c>
      <c r="V2063" s="361"/>
      <c r="W2063" s="345"/>
      <c r="X2063" s="329" t="str">
        <f t="shared" si="243"/>
        <v>3H</v>
      </c>
      <c r="Y2063" s="1128" t="s">
        <v>3380</v>
      </c>
      <c r="Z2063" s="1128" t="s">
        <v>3381</v>
      </c>
      <c r="AA2063" s="1128" t="s">
        <v>3384</v>
      </c>
      <c r="AB2063" s="20"/>
      <c r="AC2063" s="73"/>
    </row>
    <row r="2064" spans="1:29">
      <c r="A2064" s="327" t="str">
        <f>IF(AND($B2064&lt;&gt;"",$C2064&lt;&gt;""),MAX($A$1556:A2063)+1,"")</f>
        <v/>
      </c>
      <c r="B2064" s="361" t="s">
        <v>1994</v>
      </c>
      <c r="C2064" s="360"/>
      <c r="D2064" s="327">
        <f>IF($B2064="","",COUNTIF($B$6:$B2064,$B2064))</f>
        <v>14</v>
      </c>
      <c r="E2064" s="405" t="s">
        <v>3876</v>
      </c>
      <c r="F2064" s="406" t="s">
        <v>3867</v>
      </c>
      <c r="G2064" s="327" t="s">
        <v>155</v>
      </c>
      <c r="H2064" s="327" t="s">
        <v>536</v>
      </c>
      <c r="I2064" s="327">
        <v>4</v>
      </c>
      <c r="J2064" s="345"/>
      <c r="K2064" s="327"/>
      <c r="L2064" s="389">
        <v>55000</v>
      </c>
      <c r="M2064" s="371"/>
      <c r="N2064" s="355" t="str">
        <f t="shared" si="246"/>
        <v>PK</v>
      </c>
      <c r="O2064" s="407" t="s">
        <v>3869</v>
      </c>
      <c r="P2064" s="392"/>
      <c r="Q2064" s="327"/>
      <c r="R2064" s="351"/>
      <c r="S2064" s="351"/>
      <c r="T2064" s="351"/>
      <c r="U2064" s="329" t="str">
        <f>IF($N2064=$N$4,IFERROR(INDEX(DanhMuc!$E$154:$E$165,MATCH(MID($B2064,4,2),DanhMuc!$B$154:$B$165,0)),""),"")</f>
        <v/>
      </c>
      <c r="V2064" s="361"/>
      <c r="W2064" s="345"/>
      <c r="X2064" s="329" t="str">
        <f t="shared" si="243"/>
        <v>3H</v>
      </c>
      <c r="Y2064" s="1128" t="s">
        <v>3380</v>
      </c>
      <c r="Z2064" s="1128" t="s">
        <v>3381</v>
      </c>
      <c r="AA2064" s="1128" t="s">
        <v>3384</v>
      </c>
      <c r="AB2064" s="20"/>
      <c r="AC2064" s="73"/>
    </row>
    <row r="2065" spans="1:29">
      <c r="A2065" s="327" t="str">
        <f>IF(AND($B2065&lt;&gt;"",$C2065&lt;&gt;""),MAX($A$1556:A2063)+1,"")</f>
        <v/>
      </c>
      <c r="B2065" s="361" t="s">
        <v>1994</v>
      </c>
      <c r="C2065" s="360"/>
      <c r="D2065" s="327">
        <f>IF($B2065="","",COUNTIF($B$6:$B2065,$B2065))</f>
        <v>15</v>
      </c>
      <c r="E2065" s="361" t="s">
        <v>2758</v>
      </c>
      <c r="F2065" s="362" t="s">
        <v>2180</v>
      </c>
      <c r="G2065" s="327" t="s">
        <v>155</v>
      </c>
      <c r="H2065" s="327" t="s">
        <v>536</v>
      </c>
      <c r="I2065" s="327">
        <v>4</v>
      </c>
      <c r="J2065" s="361"/>
      <c r="K2065" s="286"/>
      <c r="L2065" s="415">
        <v>38000</v>
      </c>
      <c r="M2065" s="371"/>
      <c r="N2065" s="355" t="str">
        <f t="shared" ref="N2065" si="247">+$N$1555</f>
        <v>PK</v>
      </c>
      <c r="O2065" s="345"/>
      <c r="P2065" s="392"/>
      <c r="Q2065" s="327"/>
      <c r="R2065" s="351"/>
      <c r="S2065" s="351"/>
      <c r="T2065" s="351"/>
      <c r="U2065" s="329" t="str">
        <f>IF($N2065=$N$4,IFERROR(INDEX(DanhMuc!$E$154:$E$165,MATCH(MID($B2065,4,2),DanhMuc!$B$154:$B$165,0)),""),"")</f>
        <v/>
      </c>
      <c r="V2065" s="361"/>
      <c r="W2065" s="345"/>
      <c r="X2065" s="329" t="str">
        <f t="shared" si="243"/>
        <v>3H</v>
      </c>
      <c r="Y2065" s="1128" t="s">
        <v>3380</v>
      </c>
      <c r="Z2065" s="1128" t="s">
        <v>3381</v>
      </c>
      <c r="AA2065" s="1128" t="s">
        <v>3384</v>
      </c>
      <c r="AB2065" s="20"/>
      <c r="AC2065" s="73"/>
    </row>
    <row r="2066" spans="1:29" ht="26">
      <c r="A2066" s="327">
        <f>IF(AND($B2066&lt;&gt;"",$C2066&lt;&gt;""),MAX($A$1556:A2065)+1,"")</f>
        <v>18</v>
      </c>
      <c r="B2066" s="359" t="s">
        <v>1995</v>
      </c>
      <c r="C2066" s="360" t="s">
        <v>1555</v>
      </c>
      <c r="D2066" s="327">
        <f>IF($B2066="","",COUNTIF($B$6:$B2066,$B2066))</f>
        <v>1</v>
      </c>
      <c r="E2066" s="361" t="s">
        <v>157</v>
      </c>
      <c r="F2066" s="362" t="s">
        <v>158</v>
      </c>
      <c r="G2066" s="327" t="s">
        <v>155</v>
      </c>
      <c r="H2066" s="327"/>
      <c r="I2066" s="327">
        <v>2</v>
      </c>
      <c r="J2066" s="359"/>
      <c r="K2066" s="327"/>
      <c r="L2066" s="389">
        <v>45000</v>
      </c>
      <c r="M2066" s="371"/>
      <c r="N2066" s="355" t="s">
        <v>153</v>
      </c>
      <c r="O2066" s="404" t="s">
        <v>1781</v>
      </c>
      <c r="P2066" s="392"/>
      <c r="Q2066" s="327"/>
      <c r="R2066" s="351"/>
      <c r="S2066" s="351"/>
      <c r="T2066" s="351"/>
      <c r="U2066" s="329" t="str">
        <f>IF($N2066=$N$4,IFERROR(INDEX(DanhMuc!$E$154:$E$165,MATCH(MID($B2066,4,2),DanhMuc!$B$154:$B$165,0)),""),"")</f>
        <v/>
      </c>
      <c r="V2066" s="361"/>
      <c r="W2066" s="345"/>
      <c r="X2066" s="329" t="str">
        <f t="shared" si="243"/>
        <v>3H</v>
      </c>
      <c r="Y2066" s="1128" t="s">
        <v>3380</v>
      </c>
      <c r="Z2066" s="1128" t="s">
        <v>3381</v>
      </c>
      <c r="AA2066" s="1128" t="s">
        <v>3384</v>
      </c>
      <c r="AB2066" s="20"/>
      <c r="AC2066" s="73"/>
    </row>
    <row r="2067" spans="1:29">
      <c r="A2067" s="327" t="str">
        <f>IF(AND($B2067&lt;&gt;"",$C2067&lt;&gt;""),MAX($A$1556:A2066)+1,"")</f>
        <v/>
      </c>
      <c r="B2067" s="361" t="s">
        <v>1995</v>
      </c>
      <c r="C2067" s="360"/>
      <c r="D2067" s="327">
        <f>IF($B2067="","",COUNTIF($B$6:$B2067,$B2067))</f>
        <v>2</v>
      </c>
      <c r="E2067" s="361" t="s">
        <v>159</v>
      </c>
      <c r="F2067" s="362" t="s">
        <v>160</v>
      </c>
      <c r="G2067" s="327" t="s">
        <v>155</v>
      </c>
      <c r="H2067" s="327"/>
      <c r="I2067" s="327">
        <v>2</v>
      </c>
      <c r="J2067" s="359"/>
      <c r="K2067" s="327"/>
      <c r="L2067" s="389">
        <v>5000</v>
      </c>
      <c r="M2067" s="371"/>
      <c r="N2067" s="355" t="s">
        <v>153</v>
      </c>
      <c r="O2067" s="404" t="s">
        <v>1781</v>
      </c>
      <c r="P2067" s="392"/>
      <c r="Q2067" s="327"/>
      <c r="R2067" s="351"/>
      <c r="S2067" s="351"/>
      <c r="T2067" s="351"/>
      <c r="U2067" s="329" t="str">
        <f>IF($N2067=$N$4,IFERROR(INDEX(DanhMuc!$E$154:$E$165,MATCH(MID($B2067,4,2),DanhMuc!$B$154:$B$165,0)),""),"")</f>
        <v/>
      </c>
      <c r="V2067" s="361"/>
      <c r="W2067" s="345"/>
      <c r="X2067" s="329" t="str">
        <f t="shared" si="243"/>
        <v>3H</v>
      </c>
      <c r="Y2067" s="1128" t="s">
        <v>3380</v>
      </c>
      <c r="Z2067" s="1128" t="s">
        <v>3381</v>
      </c>
      <c r="AA2067" s="1128" t="s">
        <v>3384</v>
      </c>
      <c r="AB2067" s="20"/>
      <c r="AC2067" s="73"/>
    </row>
    <row r="2068" spans="1:29">
      <c r="A2068" s="327" t="str">
        <f>IF(AND($B2068&lt;&gt;"",$C2068&lt;&gt;""),MAX($A$1556:A2067)+1,"")</f>
        <v/>
      </c>
      <c r="B2068" s="361" t="s">
        <v>1995</v>
      </c>
      <c r="C2068" s="360"/>
      <c r="D2068" s="327">
        <f>IF($B2068="","",COUNTIF($B$6:$B2068,$B2068))</f>
        <v>3</v>
      </c>
      <c r="E2068" s="361" t="s">
        <v>3135</v>
      </c>
      <c r="F2068" s="362" t="s">
        <v>3136</v>
      </c>
      <c r="G2068" s="327" t="s">
        <v>155</v>
      </c>
      <c r="H2068" s="327"/>
      <c r="I2068" s="327">
        <v>2</v>
      </c>
      <c r="J2068" s="345"/>
      <c r="K2068" s="327"/>
      <c r="L2068" s="389">
        <v>140000</v>
      </c>
      <c r="M2068" s="371"/>
      <c r="N2068" s="355" t="str">
        <f t="shared" ref="N2068:N2069" si="248">+$N$1555</f>
        <v>PK</v>
      </c>
      <c r="O2068" s="404" t="s">
        <v>3137</v>
      </c>
      <c r="P2068" s="392"/>
      <c r="Q2068" s="327"/>
      <c r="R2068" s="351"/>
      <c r="S2068" s="351"/>
      <c r="T2068" s="351"/>
      <c r="U2068" s="329" t="str">
        <f>IF($N2068=$N$4,IFERROR(INDEX(DanhMuc!$E$154:$E$165,MATCH(MID($B2068,4,2),DanhMuc!$B$154:$B$165,0)),""),"")</f>
        <v/>
      </c>
      <c r="V2068" s="361"/>
      <c r="W2068" s="345"/>
      <c r="X2068" s="329" t="str">
        <f t="shared" si="243"/>
        <v>3H</v>
      </c>
      <c r="Y2068" s="1128" t="s">
        <v>3380</v>
      </c>
      <c r="Z2068" s="1128" t="s">
        <v>3381</v>
      </c>
      <c r="AA2068" s="1128" t="s">
        <v>3384</v>
      </c>
      <c r="AB2068" s="20"/>
      <c r="AC2068" s="73"/>
    </row>
    <row r="2069" spans="1:29">
      <c r="A2069" s="327" t="str">
        <f>IF(AND($B2069&lt;&gt;"",$C2069&lt;&gt;""),MAX($A$1556:A2068)+1,"")</f>
        <v/>
      </c>
      <c r="B2069" s="361" t="s">
        <v>1995</v>
      </c>
      <c r="C2069" s="360"/>
      <c r="D2069" s="327">
        <f>IF($B2069="","",COUNTIF($B$6:$B2069,$B2069))</f>
        <v>4</v>
      </c>
      <c r="E2069" s="361" t="s">
        <v>159</v>
      </c>
      <c r="F2069" s="362" t="s">
        <v>160</v>
      </c>
      <c r="G2069" s="327" t="s">
        <v>155</v>
      </c>
      <c r="H2069" s="327"/>
      <c r="I2069" s="327">
        <v>2</v>
      </c>
      <c r="J2069" s="345"/>
      <c r="K2069" s="327"/>
      <c r="L2069" s="389">
        <v>5000</v>
      </c>
      <c r="M2069" s="371"/>
      <c r="N2069" s="355" t="str">
        <f t="shared" si="248"/>
        <v>PK</v>
      </c>
      <c r="O2069" s="404" t="s">
        <v>3137</v>
      </c>
      <c r="P2069" s="392"/>
      <c r="Q2069" s="327"/>
      <c r="R2069" s="351"/>
      <c r="S2069" s="351"/>
      <c r="T2069" s="351"/>
      <c r="U2069" s="329" t="str">
        <f>IF($N2069=$N$4,IFERROR(INDEX(DanhMuc!$E$154:$E$165,MATCH(MID($B2069,4,2),DanhMuc!$B$154:$B$165,0)),""),"")</f>
        <v/>
      </c>
      <c r="V2069" s="361"/>
      <c r="W2069" s="345"/>
      <c r="X2069" s="329" t="str">
        <f t="shared" si="243"/>
        <v>3H</v>
      </c>
      <c r="Y2069" s="1128" t="s">
        <v>3380</v>
      </c>
      <c r="Z2069" s="1128" t="s">
        <v>3381</v>
      </c>
      <c r="AA2069" s="1128" t="s">
        <v>3384</v>
      </c>
      <c r="AB2069" s="20"/>
      <c r="AC2069" s="73"/>
    </row>
    <row r="2070" spans="1:29">
      <c r="A2070" s="327" t="str">
        <f>IF(AND($B2070&lt;&gt;"",$C2070&lt;&gt;""),MAX($A$1556:A2067)+1,"")</f>
        <v/>
      </c>
      <c r="B2070" s="361" t="s">
        <v>1995</v>
      </c>
      <c r="C2070" s="360"/>
      <c r="D2070" s="327">
        <f>IF($B2070="","",COUNTIF($B$6:$B2070,$B2070))</f>
        <v>5</v>
      </c>
      <c r="E2070" s="361" t="s">
        <v>1968</v>
      </c>
      <c r="F2070" s="362" t="s">
        <v>2970</v>
      </c>
      <c r="G2070" s="327" t="s">
        <v>155</v>
      </c>
      <c r="H2070" s="327"/>
      <c r="I2070" s="327">
        <v>1</v>
      </c>
      <c r="J2070" s="359"/>
      <c r="K2070" s="327"/>
      <c r="L2070" s="389">
        <v>28000</v>
      </c>
      <c r="M2070" s="371"/>
      <c r="N2070" s="355" t="s">
        <v>153</v>
      </c>
      <c r="O2070" s="404" t="s">
        <v>1971</v>
      </c>
      <c r="P2070" s="392"/>
      <c r="Q2070" s="327"/>
      <c r="R2070" s="351"/>
      <c r="S2070" s="351"/>
      <c r="T2070" s="351"/>
      <c r="U2070" s="329" t="str">
        <f>IF($N2070=$N$4,IFERROR(INDEX(DanhMuc!$E$154:$E$165,MATCH(MID($B2070,4,2),DanhMuc!$B$154:$B$165,0)),""),"")</f>
        <v/>
      </c>
      <c r="V2070" s="361"/>
      <c r="W2070" s="345"/>
      <c r="X2070" s="329" t="str">
        <f t="shared" si="243"/>
        <v>3H</v>
      </c>
      <c r="Y2070" s="1128" t="s">
        <v>3380</v>
      </c>
      <c r="Z2070" s="1128" t="s">
        <v>3381</v>
      </c>
      <c r="AA2070" s="1128" t="s">
        <v>3384</v>
      </c>
      <c r="AB2070" s="20"/>
      <c r="AC2070" s="73"/>
    </row>
    <row r="2071" spans="1:29">
      <c r="A2071" s="327" t="str">
        <f>IF(AND($B2071&lt;&gt;"",$C2071&lt;&gt;""),MAX($A$1556:A2070)+1,"")</f>
        <v/>
      </c>
      <c r="B2071" s="361" t="s">
        <v>1995</v>
      </c>
      <c r="C2071" s="360"/>
      <c r="D2071" s="327">
        <f>IF($B2071="","",COUNTIF($B$6:$B2071,$B2071))</f>
        <v>6</v>
      </c>
      <c r="E2071" s="361" t="s">
        <v>1968</v>
      </c>
      <c r="F2071" s="362" t="s">
        <v>2971</v>
      </c>
      <c r="G2071" s="327" t="s">
        <v>155</v>
      </c>
      <c r="H2071" s="327"/>
      <c r="I2071" s="327">
        <v>1</v>
      </c>
      <c r="J2071" s="359"/>
      <c r="K2071" s="327"/>
      <c r="L2071" s="389">
        <v>28000</v>
      </c>
      <c r="M2071" s="371"/>
      <c r="N2071" s="355" t="s">
        <v>153</v>
      </c>
      <c r="O2071" s="404" t="s">
        <v>1972</v>
      </c>
      <c r="P2071" s="392"/>
      <c r="Q2071" s="327"/>
      <c r="R2071" s="351"/>
      <c r="S2071" s="351"/>
      <c r="T2071" s="351"/>
      <c r="U2071" s="329" t="str">
        <f>IF($N2071=$N$4,IFERROR(INDEX(DanhMuc!$E$154:$E$165,MATCH(MID($B2071,4,2),DanhMuc!$B$154:$B$165,0)),""),"")</f>
        <v/>
      </c>
      <c r="V2071" s="361"/>
      <c r="W2071" s="345"/>
      <c r="X2071" s="329" t="str">
        <f t="shared" si="243"/>
        <v>3H</v>
      </c>
      <c r="Y2071" s="1128" t="s">
        <v>3380</v>
      </c>
      <c r="Z2071" s="1128" t="s">
        <v>3381</v>
      </c>
      <c r="AA2071" s="1128" t="s">
        <v>3384</v>
      </c>
      <c r="AB2071" s="20"/>
      <c r="AC2071" s="73"/>
    </row>
    <row r="2072" spans="1:29">
      <c r="A2072" s="327" t="str">
        <f>IF(AND($B2072&lt;&gt;"",$C2072&lt;&gt;""),MAX($A$1556:A2070)+1,"")</f>
        <v/>
      </c>
      <c r="B2072" s="361" t="s">
        <v>1995</v>
      </c>
      <c r="C2072" s="360"/>
      <c r="D2072" s="327">
        <f>IF($B2072="","",COUNTIF($B$6:$B2072,$B2072))</f>
        <v>7</v>
      </c>
      <c r="E2072" s="361" t="s">
        <v>1969</v>
      </c>
      <c r="F2072" s="362" t="s">
        <v>1970</v>
      </c>
      <c r="G2072" s="327" t="s">
        <v>155</v>
      </c>
      <c r="H2072" s="327"/>
      <c r="I2072" s="327">
        <v>1</v>
      </c>
      <c r="J2072" s="359"/>
      <c r="K2072" s="327"/>
      <c r="L2072" s="389">
        <v>6300</v>
      </c>
      <c r="M2072" s="371"/>
      <c r="N2072" s="355" t="s">
        <v>153</v>
      </c>
      <c r="O2072" s="404" t="s">
        <v>1780</v>
      </c>
      <c r="P2072" s="392"/>
      <c r="Q2072" s="327"/>
      <c r="R2072" s="351"/>
      <c r="S2072" s="351"/>
      <c r="T2072" s="351"/>
      <c r="U2072" s="329" t="str">
        <f>IF($N2072=$N$4,IFERROR(INDEX(DanhMuc!$E$154:$E$165,MATCH(MID($B2072,4,2),DanhMuc!$B$154:$B$165,0)),""),"")</f>
        <v/>
      </c>
      <c r="V2072" s="361"/>
      <c r="W2072" s="345"/>
      <c r="X2072" s="329" t="str">
        <f t="shared" si="243"/>
        <v>3H</v>
      </c>
      <c r="Y2072" s="1128" t="s">
        <v>3380</v>
      </c>
      <c r="Z2072" s="1128" t="s">
        <v>3381</v>
      </c>
      <c r="AA2072" s="1128" t="s">
        <v>3384</v>
      </c>
      <c r="AB2072" s="20"/>
      <c r="AC2072" s="73"/>
    </row>
    <row r="2073" spans="1:29">
      <c r="A2073" s="327" t="str">
        <f>IF(AND($B2073&lt;&gt;"",$C2073&lt;&gt;""),MAX($A$1556:A2072)+1,"")</f>
        <v/>
      </c>
      <c r="B2073" s="361" t="s">
        <v>1995</v>
      </c>
      <c r="C2073" s="360"/>
      <c r="D2073" s="327">
        <f>IF($B2073="","",COUNTIF($B$6:$B2073,$B2073))</f>
        <v>8</v>
      </c>
      <c r="E2073" s="361" t="s">
        <v>157</v>
      </c>
      <c r="F2073" s="362" t="s">
        <v>158</v>
      </c>
      <c r="G2073" s="327" t="s">
        <v>155</v>
      </c>
      <c r="H2073" s="327"/>
      <c r="I2073" s="327">
        <v>1</v>
      </c>
      <c r="J2073" s="359"/>
      <c r="K2073" s="327"/>
      <c r="L2073" s="389">
        <v>45000</v>
      </c>
      <c r="M2073" s="371"/>
      <c r="N2073" s="355" t="s">
        <v>153</v>
      </c>
      <c r="O2073" s="404" t="s">
        <v>1782</v>
      </c>
      <c r="P2073" s="392"/>
      <c r="Q2073" s="327"/>
      <c r="R2073" s="351"/>
      <c r="S2073" s="351"/>
      <c r="T2073" s="351"/>
      <c r="U2073" s="329" t="str">
        <f>IF($N2073=$N$4,IFERROR(INDEX(DanhMuc!$E$154:$E$165,MATCH(MID($B2073,4,2),DanhMuc!$B$154:$B$165,0)),""),"")</f>
        <v/>
      </c>
      <c r="V2073" s="361"/>
      <c r="W2073" s="345"/>
      <c r="X2073" s="329" t="str">
        <f t="shared" si="243"/>
        <v>3H</v>
      </c>
      <c r="Y2073" s="1128" t="s">
        <v>3380</v>
      </c>
      <c r="Z2073" s="1128" t="s">
        <v>3381</v>
      </c>
      <c r="AA2073" s="1128" t="s">
        <v>3384</v>
      </c>
      <c r="AB2073" s="20"/>
      <c r="AC2073" s="73"/>
    </row>
    <row r="2074" spans="1:29">
      <c r="A2074" s="327" t="str">
        <f>IF(AND($B2074&lt;&gt;"",$C2074&lt;&gt;""),MAX($A$1556:A2073)+1,"")</f>
        <v/>
      </c>
      <c r="B2074" s="361" t="s">
        <v>1995</v>
      </c>
      <c r="C2074" s="360"/>
      <c r="D2074" s="327">
        <f>IF($B2074="","",COUNTIF($B$6:$B2074,$B2074))</f>
        <v>9</v>
      </c>
      <c r="E2074" s="361" t="s">
        <v>159</v>
      </c>
      <c r="F2074" s="362" t="s">
        <v>160</v>
      </c>
      <c r="G2074" s="327" t="s">
        <v>155</v>
      </c>
      <c r="H2074" s="327"/>
      <c r="I2074" s="327">
        <v>1</v>
      </c>
      <c r="J2074" s="359"/>
      <c r="K2074" s="327"/>
      <c r="L2074" s="389">
        <v>5000</v>
      </c>
      <c r="M2074" s="371"/>
      <c r="N2074" s="355" t="s">
        <v>153</v>
      </c>
      <c r="O2074" s="404" t="s">
        <v>1782</v>
      </c>
      <c r="P2074" s="392"/>
      <c r="Q2074" s="327"/>
      <c r="R2074" s="351"/>
      <c r="S2074" s="351"/>
      <c r="T2074" s="351"/>
      <c r="U2074" s="329" t="str">
        <f>IF($N2074=$N$4,IFERROR(INDEX(DanhMuc!$E$154:$E$165,MATCH(MID($B2074,4,2),DanhMuc!$B$154:$B$165,0)),""),"")</f>
        <v/>
      </c>
      <c r="V2074" s="361"/>
      <c r="W2074" s="345"/>
      <c r="X2074" s="329" t="str">
        <f t="shared" si="243"/>
        <v>3H</v>
      </c>
      <c r="Y2074" s="1128" t="s">
        <v>3380</v>
      </c>
      <c r="Z2074" s="1128" t="s">
        <v>3381</v>
      </c>
      <c r="AA2074" s="1128" t="s">
        <v>3384</v>
      </c>
      <c r="AB2074" s="20"/>
      <c r="AC2074" s="73"/>
    </row>
    <row r="2075" spans="1:29" ht="25">
      <c r="A2075" s="327" t="str">
        <f>IF(AND($B2075&lt;&gt;"",$C2075&lt;&gt;""),MAX($A$1556:A2067)+1,"")</f>
        <v/>
      </c>
      <c r="B2075" s="361" t="s">
        <v>1995</v>
      </c>
      <c r="C2075" s="360"/>
      <c r="D2075" s="327">
        <f>IF($B2075="","",COUNTIF($B$6:$B2075,$B2075))</f>
        <v>10</v>
      </c>
      <c r="E2075" s="361" t="s">
        <v>209</v>
      </c>
      <c r="F2075" s="362" t="s">
        <v>210</v>
      </c>
      <c r="G2075" s="327" t="s">
        <v>155</v>
      </c>
      <c r="H2075" s="327"/>
      <c r="I2075" s="327">
        <v>1</v>
      </c>
      <c r="J2075" s="359"/>
      <c r="K2075" s="327"/>
      <c r="L2075" s="389">
        <v>70000</v>
      </c>
      <c r="M2075" s="371"/>
      <c r="N2075" s="355" t="s">
        <v>153</v>
      </c>
      <c r="O2075" s="404" t="s">
        <v>1782</v>
      </c>
      <c r="P2075" s="392"/>
      <c r="Q2075" s="327"/>
      <c r="R2075" s="351"/>
      <c r="S2075" s="351"/>
      <c r="T2075" s="351"/>
      <c r="U2075" s="329" t="str">
        <f>IF($N2075=$N$4,IFERROR(INDEX(DanhMuc!$E$154:$E$165,MATCH(MID($B2075,4,2),DanhMuc!$B$154:$B$165,0)),""),"")</f>
        <v/>
      </c>
      <c r="V2075" s="361"/>
      <c r="W2075" s="345"/>
      <c r="X2075" s="329" t="str">
        <f t="shared" si="243"/>
        <v>3H</v>
      </c>
      <c r="Y2075" s="1128" t="s">
        <v>3380</v>
      </c>
      <c r="Z2075" s="1128" t="s">
        <v>3381</v>
      </c>
      <c r="AA2075" s="1128" t="s">
        <v>3384</v>
      </c>
      <c r="AB2075" s="20"/>
      <c r="AC2075" s="73"/>
    </row>
    <row r="2076" spans="1:29">
      <c r="A2076" s="327" t="str">
        <f>IF(AND($B2076&lt;&gt;"",$C2076&lt;&gt;""),MAX($A$1556:A2075)+1,"")</f>
        <v/>
      </c>
      <c r="B2076" s="361" t="s">
        <v>1995</v>
      </c>
      <c r="C2076" s="360"/>
      <c r="D2076" s="327">
        <f>IF($B2076="","",COUNTIF($B$6:$B2076,$B2076))</f>
        <v>11</v>
      </c>
      <c r="E2076" s="402" t="s">
        <v>952</v>
      </c>
      <c r="F2076" s="403" t="s">
        <v>953</v>
      </c>
      <c r="G2076" s="410" t="s">
        <v>156</v>
      </c>
      <c r="H2076" s="327" t="s">
        <v>536</v>
      </c>
      <c r="I2076" s="411" t="s">
        <v>2856</v>
      </c>
      <c r="J2076" s="404"/>
      <c r="K2076" s="410"/>
      <c r="L2076" s="415">
        <v>27000</v>
      </c>
      <c r="M2076" s="371"/>
      <c r="N2076" s="355" t="s">
        <v>153</v>
      </c>
      <c r="O2076" s="404" t="s">
        <v>1782</v>
      </c>
      <c r="P2076" s="392"/>
      <c r="Q2076" s="327"/>
      <c r="R2076" s="351"/>
      <c r="S2076" s="351"/>
      <c r="T2076" s="351"/>
      <c r="U2076" s="329" t="str">
        <f>IF($N2076=$N$4,IFERROR(INDEX(DanhMuc!$E$154:$E$165,MATCH(MID($B2076,4,2),DanhMuc!$B$154:$B$165,0)),""),"")</f>
        <v/>
      </c>
      <c r="V2076" s="361"/>
      <c r="W2076" s="345"/>
      <c r="X2076" s="329" t="str">
        <f t="shared" si="243"/>
        <v>3H</v>
      </c>
      <c r="Y2076" s="1128" t="s">
        <v>3380</v>
      </c>
      <c r="Z2076" s="1128" t="s">
        <v>3381</v>
      </c>
      <c r="AA2076" s="1128" t="s">
        <v>3384</v>
      </c>
      <c r="AB2076" s="20"/>
      <c r="AC2076" s="73"/>
    </row>
    <row r="2077" spans="1:29">
      <c r="A2077" s="327" t="str">
        <f>IF(AND($B2077&lt;&gt;"",$C2077&lt;&gt;""),MAX($A$1556:A2076)+1,"")</f>
        <v/>
      </c>
      <c r="B2077" s="361" t="s">
        <v>1995</v>
      </c>
      <c r="C2077" s="360"/>
      <c r="D2077" s="327">
        <f>IF($B2077="","",COUNTIF($B$6:$B2077,$B2077))</f>
        <v>12</v>
      </c>
      <c r="E2077" s="402" t="s">
        <v>954</v>
      </c>
      <c r="F2077" s="403" t="s">
        <v>1059</v>
      </c>
      <c r="G2077" s="410" t="s">
        <v>156</v>
      </c>
      <c r="H2077" s="327" t="s">
        <v>536</v>
      </c>
      <c r="I2077" s="411" t="s">
        <v>2853</v>
      </c>
      <c r="J2077" s="404"/>
      <c r="K2077" s="410"/>
      <c r="L2077" s="415">
        <v>35000</v>
      </c>
      <c r="M2077" s="371"/>
      <c r="N2077" s="355" t="s">
        <v>153</v>
      </c>
      <c r="O2077" s="404" t="s">
        <v>1782</v>
      </c>
      <c r="P2077" s="392"/>
      <c r="Q2077" s="327"/>
      <c r="R2077" s="351"/>
      <c r="S2077" s="351"/>
      <c r="T2077" s="351"/>
      <c r="U2077" s="329" t="str">
        <f>IF($N2077=$N$4,IFERROR(INDEX(DanhMuc!$E$154:$E$165,MATCH(MID($B2077,4,2),DanhMuc!$B$154:$B$165,0)),""),"")</f>
        <v/>
      </c>
      <c r="V2077" s="361"/>
      <c r="W2077" s="345"/>
      <c r="X2077" s="329" t="str">
        <f t="shared" si="243"/>
        <v>3H</v>
      </c>
      <c r="Y2077" s="1128" t="s">
        <v>3380</v>
      </c>
      <c r="Z2077" s="1128" t="s">
        <v>3381</v>
      </c>
      <c r="AA2077" s="1128" t="s">
        <v>3384</v>
      </c>
      <c r="AB2077" s="20"/>
      <c r="AC2077" s="73"/>
    </row>
    <row r="2078" spans="1:29">
      <c r="A2078" s="327" t="str">
        <f>IF(AND($B2078&lt;&gt;"",$C2078&lt;&gt;""),MAX($A$1556:A2077)+1,"")</f>
        <v/>
      </c>
      <c r="B2078" s="361" t="s">
        <v>1995</v>
      </c>
      <c r="C2078" s="360"/>
      <c r="D2078" s="327">
        <f>IF($B2078="","",COUNTIF($B$6:$B2078,$B2078))</f>
        <v>13</v>
      </c>
      <c r="E2078" s="402" t="s">
        <v>955</v>
      </c>
      <c r="F2078" s="403" t="s">
        <v>956</v>
      </c>
      <c r="G2078" s="410" t="s">
        <v>156</v>
      </c>
      <c r="H2078" s="327" t="s">
        <v>536</v>
      </c>
      <c r="I2078" s="411" t="s">
        <v>2854</v>
      </c>
      <c r="J2078" s="404"/>
      <c r="K2078" s="410"/>
      <c r="L2078" s="415">
        <v>37000</v>
      </c>
      <c r="M2078" s="371"/>
      <c r="N2078" s="355" t="s">
        <v>153</v>
      </c>
      <c r="O2078" s="404" t="s">
        <v>1782</v>
      </c>
      <c r="P2078" s="392"/>
      <c r="Q2078" s="327"/>
      <c r="R2078" s="351"/>
      <c r="S2078" s="351"/>
      <c r="T2078" s="351"/>
      <c r="U2078" s="329" t="str">
        <f>IF($N2078=$N$4,IFERROR(INDEX(DanhMuc!$E$154:$E$165,MATCH(MID($B2078,4,2),DanhMuc!$B$154:$B$165,0)),""),"")</f>
        <v/>
      </c>
      <c r="V2078" s="361"/>
      <c r="W2078" s="345"/>
      <c r="X2078" s="329" t="str">
        <f t="shared" si="243"/>
        <v>3H</v>
      </c>
      <c r="Y2078" s="1128" t="s">
        <v>3380</v>
      </c>
      <c r="Z2078" s="1128" t="s">
        <v>3381</v>
      </c>
      <c r="AA2078" s="1128" t="s">
        <v>3384</v>
      </c>
      <c r="AB2078" s="20"/>
      <c r="AC2078" s="73"/>
    </row>
    <row r="2079" spans="1:29">
      <c r="A2079" s="327" t="str">
        <f>IF(AND($B2079&lt;&gt;"",$C2079&lt;&gt;""),MAX($A$1556:A2078)+1,"")</f>
        <v/>
      </c>
      <c r="B2079" s="361" t="s">
        <v>1995</v>
      </c>
      <c r="C2079" s="360"/>
      <c r="D2079" s="327">
        <f>IF($B2079="","",COUNTIF($B$6:$B2079,$B2079))</f>
        <v>14</v>
      </c>
      <c r="E2079" s="402" t="s">
        <v>182</v>
      </c>
      <c r="F2079" s="403" t="s">
        <v>183</v>
      </c>
      <c r="G2079" s="410" t="s">
        <v>156</v>
      </c>
      <c r="H2079" s="327" t="s">
        <v>536</v>
      </c>
      <c r="I2079" s="411" t="s">
        <v>2855</v>
      </c>
      <c r="J2079" s="404"/>
      <c r="K2079" s="410"/>
      <c r="L2079" s="415">
        <v>45000</v>
      </c>
      <c r="M2079" s="371"/>
      <c r="N2079" s="355" t="s">
        <v>153</v>
      </c>
      <c r="O2079" s="404" t="s">
        <v>1782</v>
      </c>
      <c r="P2079" s="392"/>
      <c r="Q2079" s="327"/>
      <c r="R2079" s="351"/>
      <c r="S2079" s="351"/>
      <c r="T2079" s="351"/>
      <c r="U2079" s="329" t="str">
        <f>IF($N2079=$N$4,IFERROR(INDEX(DanhMuc!$E$154:$E$165,MATCH(MID($B2079,4,2),DanhMuc!$B$154:$B$165,0)),""),"")</f>
        <v/>
      </c>
      <c r="V2079" s="361"/>
      <c r="W2079" s="345"/>
      <c r="X2079" s="329" t="str">
        <f t="shared" si="243"/>
        <v>3H</v>
      </c>
      <c r="Y2079" s="1128" t="s">
        <v>3380</v>
      </c>
      <c r="Z2079" s="1128" t="s">
        <v>3381</v>
      </c>
      <c r="AA2079" s="1128" t="s">
        <v>3384</v>
      </c>
      <c r="AB2079" s="20"/>
      <c r="AC2079" s="73"/>
    </row>
    <row r="2080" spans="1:29">
      <c r="A2080" s="327" t="str">
        <f>IF(AND($B2080&lt;&gt;"",$C2080&lt;&gt;""),MAX($A$1556:A2079)+1,"")</f>
        <v/>
      </c>
      <c r="B2080" s="361" t="s">
        <v>1995</v>
      </c>
      <c r="C2080" s="360"/>
      <c r="D2080" s="327">
        <f>IF($B2080="","",COUNTIF($B$6:$B2080,$B2080))</f>
        <v>15</v>
      </c>
      <c r="E2080" s="361" t="s">
        <v>184</v>
      </c>
      <c r="F2080" s="362" t="s">
        <v>981</v>
      </c>
      <c r="G2080" s="327" t="s">
        <v>155</v>
      </c>
      <c r="H2080" s="327" t="s">
        <v>536</v>
      </c>
      <c r="I2080" s="327">
        <v>2</v>
      </c>
      <c r="J2080" s="359"/>
      <c r="K2080" s="327"/>
      <c r="L2080" s="389">
        <v>6500</v>
      </c>
      <c r="M2080" s="371"/>
      <c r="N2080" s="355" t="str">
        <f t="shared" ref="N2080:N2088" si="249">+$N$1555</f>
        <v>PK</v>
      </c>
      <c r="O2080" s="404" t="s">
        <v>1782</v>
      </c>
      <c r="P2080" s="392"/>
      <c r="Q2080" s="327"/>
      <c r="R2080" s="351"/>
      <c r="S2080" s="351"/>
      <c r="T2080" s="351"/>
      <c r="U2080" s="329" t="str">
        <f>IF($N2080=$N$4,IFERROR(INDEX(DanhMuc!$E$154:$E$165,MATCH(MID($B2080,4,2),DanhMuc!$B$154:$B$165,0)),""),"")</f>
        <v/>
      </c>
      <c r="V2080" s="361"/>
      <c r="W2080" s="345"/>
      <c r="X2080" s="329" t="str">
        <f t="shared" si="243"/>
        <v>3H</v>
      </c>
      <c r="Y2080" s="1128" t="s">
        <v>3380</v>
      </c>
      <c r="Z2080" s="1128" t="s">
        <v>3381</v>
      </c>
      <c r="AA2080" s="1128" t="s">
        <v>3384</v>
      </c>
      <c r="AB2080" s="20"/>
      <c r="AC2080" s="73"/>
    </row>
    <row r="2081" spans="1:29">
      <c r="A2081" s="327" t="str">
        <f>IF(AND($B2081&lt;&gt;"",$C2081&lt;&gt;""),MAX($A$1556:A2080)+1,"")</f>
        <v/>
      </c>
      <c r="B2081" s="361" t="s">
        <v>1995</v>
      </c>
      <c r="C2081" s="360"/>
      <c r="D2081" s="327">
        <f>IF($B2081="","",COUNTIF($B$6:$B2081,$B2081))</f>
        <v>16</v>
      </c>
      <c r="E2081" s="361" t="s">
        <v>187</v>
      </c>
      <c r="F2081" s="362" t="s">
        <v>189</v>
      </c>
      <c r="G2081" s="327" t="s">
        <v>155</v>
      </c>
      <c r="H2081" s="327"/>
      <c r="I2081" s="327">
        <v>4</v>
      </c>
      <c r="J2081" s="361"/>
      <c r="K2081" s="327"/>
      <c r="L2081" s="389">
        <v>5000</v>
      </c>
      <c r="M2081" s="371"/>
      <c r="N2081" s="355" t="str">
        <f t="shared" si="249"/>
        <v>PK</v>
      </c>
      <c r="O2081" s="345"/>
      <c r="P2081" s="392"/>
      <c r="Q2081" s="327"/>
      <c r="R2081" s="351"/>
      <c r="S2081" s="351"/>
      <c r="T2081" s="351"/>
      <c r="U2081" s="329" t="str">
        <f>IF($N2081=$N$4,IFERROR(INDEX(DanhMuc!$E$154:$E$165,MATCH(MID($B2081,4,2),DanhMuc!$B$154:$B$165,0)),""),"")</f>
        <v/>
      </c>
      <c r="V2081" s="361"/>
      <c r="W2081" s="345"/>
      <c r="X2081" s="329" t="str">
        <f t="shared" si="243"/>
        <v>3H</v>
      </c>
      <c r="Y2081" s="1128" t="s">
        <v>3380</v>
      </c>
      <c r="Z2081" s="1128" t="s">
        <v>3381</v>
      </c>
      <c r="AA2081" s="1128" t="s">
        <v>3384</v>
      </c>
      <c r="AB2081" s="20"/>
      <c r="AC2081" s="73"/>
    </row>
    <row r="2082" spans="1:29">
      <c r="A2082" s="327" t="str">
        <f>IF(AND($B2082&lt;&gt;"",$C2082&lt;&gt;""),MAX($A$1556:A2081)+1,"")</f>
        <v/>
      </c>
      <c r="B2082" s="361" t="s">
        <v>1995</v>
      </c>
      <c r="C2082" s="360"/>
      <c r="D2082" s="327">
        <f>IF($B2082="","",COUNTIF($B$6:$B2082,$B2082))</f>
        <v>17</v>
      </c>
      <c r="E2082" s="361" t="s">
        <v>163</v>
      </c>
      <c r="F2082" s="362" t="s">
        <v>164</v>
      </c>
      <c r="G2082" s="327" t="s">
        <v>155</v>
      </c>
      <c r="H2082" s="327"/>
      <c r="I2082" s="327">
        <v>2</v>
      </c>
      <c r="J2082" s="361"/>
      <c r="K2082" s="327"/>
      <c r="L2082" s="389">
        <v>2500</v>
      </c>
      <c r="M2082" s="371"/>
      <c r="N2082" s="355" t="str">
        <f t="shared" si="249"/>
        <v>PK</v>
      </c>
      <c r="O2082" s="345"/>
      <c r="P2082" s="392"/>
      <c r="Q2082" s="327"/>
      <c r="R2082" s="351"/>
      <c r="S2082" s="351"/>
      <c r="T2082" s="351"/>
      <c r="U2082" s="329" t="str">
        <f>IF($N2082=$N$4,IFERROR(INDEX(DanhMuc!$E$154:$E$165,MATCH(MID($B2082,4,2),DanhMuc!$B$154:$B$165,0)),""),"")</f>
        <v/>
      </c>
      <c r="V2082" s="408" t="s">
        <v>342</v>
      </c>
      <c r="W2082" s="345"/>
      <c r="X2082" s="329" t="str">
        <f t="shared" si="243"/>
        <v>3H</v>
      </c>
      <c r="Y2082" s="1128" t="s">
        <v>3380</v>
      </c>
      <c r="Z2082" s="1128" t="s">
        <v>3381</v>
      </c>
      <c r="AA2082" s="1128" t="s">
        <v>3384</v>
      </c>
      <c r="AB2082" s="20"/>
      <c r="AC2082" s="73"/>
    </row>
    <row r="2083" spans="1:29">
      <c r="A2083" s="327" t="str">
        <f>IF(AND($B2083&lt;&gt;"",$C2083&lt;&gt;""),MAX($A$1556:A2082)+1,"")</f>
        <v/>
      </c>
      <c r="B2083" s="361" t="s">
        <v>1995</v>
      </c>
      <c r="C2083" s="360"/>
      <c r="D2083" s="327">
        <f>IF($B2083="","",COUNTIF($B$6:$B2083,$B2083))</f>
        <v>18</v>
      </c>
      <c r="E2083" s="361" t="s">
        <v>161</v>
      </c>
      <c r="F2083" s="362" t="s">
        <v>162</v>
      </c>
      <c r="G2083" s="327" t="s">
        <v>155</v>
      </c>
      <c r="H2083" s="327" t="s">
        <v>536</v>
      </c>
      <c r="I2083" s="327">
        <v>4</v>
      </c>
      <c r="J2083" s="361"/>
      <c r="K2083" s="327"/>
      <c r="L2083" s="389">
        <v>27000</v>
      </c>
      <c r="M2083" s="371"/>
      <c r="N2083" s="355" t="str">
        <f t="shared" si="249"/>
        <v>PK</v>
      </c>
      <c r="O2083" s="345" t="s">
        <v>1705</v>
      </c>
      <c r="P2083" s="392"/>
      <c r="Q2083" s="327"/>
      <c r="R2083" s="351"/>
      <c r="S2083" s="351"/>
      <c r="T2083" s="351"/>
      <c r="U2083" s="329" t="str">
        <f>IF($N2083=$N$4,IFERROR(INDEX(DanhMuc!$E$154:$E$165,MATCH(MID($B2083,4,2),DanhMuc!$B$154:$B$165,0)),""),"")</f>
        <v/>
      </c>
      <c r="V2083" s="361"/>
      <c r="W2083" s="345"/>
      <c r="X2083" s="329" t="str">
        <f t="shared" si="243"/>
        <v>3H</v>
      </c>
      <c r="Y2083" s="1128" t="s">
        <v>3380</v>
      </c>
      <c r="Z2083" s="1128" t="s">
        <v>3381</v>
      </c>
      <c r="AA2083" s="1128" t="s">
        <v>3384</v>
      </c>
      <c r="AB2083" s="20"/>
      <c r="AC2083" s="73"/>
    </row>
    <row r="2084" spans="1:29">
      <c r="A2084" s="327" t="str">
        <f>IF(AND($B2084&lt;&gt;"",$C2084&lt;&gt;""),MAX($A$1556:A2083)+1,"")</f>
        <v/>
      </c>
      <c r="B2084" s="361" t="s">
        <v>1995</v>
      </c>
      <c r="C2084" s="360"/>
      <c r="D2084" s="327">
        <f>IF($B2084="","",COUNTIF($B$6:$B2084,$B2084))</f>
        <v>19</v>
      </c>
      <c r="E2084" s="361" t="s">
        <v>185</v>
      </c>
      <c r="F2084" s="362" t="s">
        <v>186</v>
      </c>
      <c r="G2084" s="327" t="s">
        <v>155</v>
      </c>
      <c r="H2084" s="327" t="s">
        <v>536</v>
      </c>
      <c r="I2084" s="327">
        <v>4</v>
      </c>
      <c r="J2084" s="361"/>
      <c r="K2084" s="327"/>
      <c r="L2084" s="389">
        <v>41000</v>
      </c>
      <c r="M2084" s="371"/>
      <c r="N2084" s="355" t="str">
        <f t="shared" si="249"/>
        <v>PK</v>
      </c>
      <c r="O2084" s="345" t="s">
        <v>1704</v>
      </c>
      <c r="P2084" s="392"/>
      <c r="Q2084" s="327"/>
      <c r="R2084" s="351"/>
      <c r="S2084" s="351"/>
      <c r="T2084" s="351"/>
      <c r="U2084" s="329" t="str">
        <f>IF($N2084=$N$4,IFERROR(INDEX(DanhMuc!$E$154:$E$165,MATCH(MID($B2084,4,2),DanhMuc!$B$154:$B$165,0)),""),"")</f>
        <v/>
      </c>
      <c r="V2084" s="361"/>
      <c r="W2084" s="345"/>
      <c r="X2084" s="329" t="str">
        <f t="shared" si="243"/>
        <v>3H</v>
      </c>
      <c r="Y2084" s="1128" t="s">
        <v>3380</v>
      </c>
      <c r="Z2084" s="1128" t="s">
        <v>3381</v>
      </c>
      <c r="AA2084" s="1128" t="s">
        <v>3384</v>
      </c>
      <c r="AB2084" s="20"/>
      <c r="AC2084" s="73"/>
    </row>
    <row r="2085" spans="1:29">
      <c r="A2085" s="327" t="str">
        <f>IF(AND($B2085&lt;&gt;"",$C2085&lt;&gt;""),MAX($A$1556:A2083)+1,"")</f>
        <v/>
      </c>
      <c r="B2085" s="361" t="s">
        <v>1995</v>
      </c>
      <c r="C2085" s="360"/>
      <c r="D2085" s="327">
        <f>IF($B2085="","",COUNTIF($B$6:$B2085,$B2085))</f>
        <v>20</v>
      </c>
      <c r="E2085" s="361" t="s">
        <v>165</v>
      </c>
      <c r="F2085" s="362" t="s">
        <v>166</v>
      </c>
      <c r="G2085" s="327" t="s">
        <v>155</v>
      </c>
      <c r="H2085" s="327"/>
      <c r="I2085" s="327">
        <v>2</v>
      </c>
      <c r="J2085" s="361"/>
      <c r="K2085" s="327"/>
      <c r="L2085" s="389">
        <v>1700</v>
      </c>
      <c r="M2085" s="371"/>
      <c r="N2085" s="355" t="str">
        <f t="shared" si="249"/>
        <v>PK</v>
      </c>
      <c r="O2085" s="345"/>
      <c r="P2085" s="392"/>
      <c r="Q2085" s="327"/>
      <c r="R2085" s="351"/>
      <c r="S2085" s="351"/>
      <c r="T2085" s="351"/>
      <c r="U2085" s="329" t="str">
        <f>IF($N2085=$N$4,IFERROR(INDEX(DanhMuc!$E$154:$E$165,MATCH(MID($B2085,4,2),DanhMuc!$B$154:$B$165,0)),""),"")</f>
        <v/>
      </c>
      <c r="V2085" s="361"/>
      <c r="W2085" s="345"/>
      <c r="X2085" s="329" t="str">
        <f t="shared" si="243"/>
        <v>3H</v>
      </c>
      <c r="Y2085" s="1128" t="s">
        <v>3380</v>
      </c>
      <c r="Z2085" s="1128" t="s">
        <v>3381</v>
      </c>
      <c r="AA2085" s="1128" t="s">
        <v>3384</v>
      </c>
      <c r="AB2085" s="20"/>
      <c r="AC2085" s="73"/>
    </row>
    <row r="2086" spans="1:29">
      <c r="A2086" s="327" t="str">
        <f>IF(AND($B2086&lt;&gt;"",$C2086&lt;&gt;""),MAX($A$1556:A2085)+1,"")</f>
        <v/>
      </c>
      <c r="B2086" s="361" t="s">
        <v>1995</v>
      </c>
      <c r="C2086" s="360"/>
      <c r="D2086" s="327">
        <f>IF($B2086="","",COUNTIF($B$6:$B2086,$B2086))</f>
        <v>21</v>
      </c>
      <c r="E2086" s="361" t="s">
        <v>167</v>
      </c>
      <c r="F2086" s="362" t="s">
        <v>168</v>
      </c>
      <c r="G2086" s="327" t="s">
        <v>155</v>
      </c>
      <c r="H2086" s="327"/>
      <c r="I2086" s="327">
        <v>2</v>
      </c>
      <c r="J2086" s="361"/>
      <c r="K2086" s="327"/>
      <c r="L2086" s="389">
        <v>1700</v>
      </c>
      <c r="M2086" s="371"/>
      <c r="N2086" s="355" t="str">
        <f t="shared" si="249"/>
        <v>PK</v>
      </c>
      <c r="O2086" s="345"/>
      <c r="P2086" s="392"/>
      <c r="Q2086" s="327"/>
      <c r="R2086" s="351"/>
      <c r="S2086" s="351"/>
      <c r="T2086" s="351"/>
      <c r="U2086" s="329" t="str">
        <f>IF($N2086=$N$4,IFERROR(INDEX(DanhMuc!$E$154:$E$165,MATCH(MID($B2086,4,2),DanhMuc!$B$154:$B$165,0)),""),"")</f>
        <v/>
      </c>
      <c r="V2086" s="361"/>
      <c r="W2086" s="345"/>
      <c r="X2086" s="329" t="str">
        <f t="shared" si="243"/>
        <v>3H</v>
      </c>
      <c r="Y2086" s="1128" t="s">
        <v>3380</v>
      </c>
      <c r="Z2086" s="1128" t="s">
        <v>3381</v>
      </c>
      <c r="AA2086" s="1128" t="s">
        <v>3384</v>
      </c>
      <c r="AB2086" s="20"/>
      <c r="AC2086" s="73"/>
    </row>
    <row r="2087" spans="1:29">
      <c r="A2087" s="327" t="str">
        <f>IF(AND($B2087&lt;&gt;"",$C2087&lt;&gt;""),MAX($A$1556:A2086)+1,"")</f>
        <v/>
      </c>
      <c r="B2087" s="361" t="s">
        <v>1995</v>
      </c>
      <c r="C2087" s="360"/>
      <c r="D2087" s="327">
        <f>IF($B2087="","",COUNTIF($B$6:$B2087,$B2087))</f>
        <v>22</v>
      </c>
      <c r="E2087" s="361" t="s">
        <v>169</v>
      </c>
      <c r="F2087" s="362" t="s">
        <v>170</v>
      </c>
      <c r="G2087" s="327" t="s">
        <v>155</v>
      </c>
      <c r="H2087" s="327"/>
      <c r="I2087" s="327">
        <v>2</v>
      </c>
      <c r="J2087" s="361"/>
      <c r="K2087" s="327"/>
      <c r="L2087" s="389">
        <v>1700</v>
      </c>
      <c r="M2087" s="371"/>
      <c r="N2087" s="355" t="str">
        <f t="shared" si="249"/>
        <v>PK</v>
      </c>
      <c r="O2087" s="345"/>
      <c r="P2087" s="392"/>
      <c r="Q2087" s="327"/>
      <c r="R2087" s="351"/>
      <c r="S2087" s="351"/>
      <c r="T2087" s="351"/>
      <c r="U2087" s="329" t="str">
        <f>IF($N2087=$N$4,IFERROR(INDEX(DanhMuc!$E$154:$E$165,MATCH(MID($B2087,4,2),DanhMuc!$B$154:$B$165,0)),""),"")</f>
        <v/>
      </c>
      <c r="V2087" s="361"/>
      <c r="W2087" s="345"/>
      <c r="X2087" s="329" t="str">
        <f t="shared" si="243"/>
        <v>3H</v>
      </c>
      <c r="Y2087" s="1128" t="s">
        <v>3380</v>
      </c>
      <c r="Z2087" s="1128" t="s">
        <v>3381</v>
      </c>
      <c r="AA2087" s="1128" t="s">
        <v>3384</v>
      </c>
      <c r="AB2087" s="20"/>
      <c r="AC2087" s="73"/>
    </row>
    <row r="2088" spans="1:29">
      <c r="A2088" s="327" t="str">
        <f>IF(AND($B2088&lt;&gt;"",$C2088&lt;&gt;""),MAX($A$1556:A2087)+1,"")</f>
        <v/>
      </c>
      <c r="B2088" s="361" t="s">
        <v>1995</v>
      </c>
      <c r="C2088" s="360"/>
      <c r="D2088" s="327">
        <f>IF($B2088="","",COUNTIF($B$6:$B2088,$B2088))</f>
        <v>23</v>
      </c>
      <c r="E2088" s="361" t="s">
        <v>171</v>
      </c>
      <c r="F2088" s="362" t="s">
        <v>291</v>
      </c>
      <c r="G2088" s="327" t="s">
        <v>155</v>
      </c>
      <c r="H2088" s="327"/>
      <c r="I2088" s="327">
        <v>2</v>
      </c>
      <c r="J2088" s="361"/>
      <c r="K2088" s="327"/>
      <c r="L2088" s="389">
        <v>1700</v>
      </c>
      <c r="M2088" s="371"/>
      <c r="N2088" s="355" t="str">
        <f t="shared" si="249"/>
        <v>PK</v>
      </c>
      <c r="O2088" s="345"/>
      <c r="P2088" s="392"/>
      <c r="Q2088" s="327"/>
      <c r="R2088" s="351"/>
      <c r="S2088" s="351"/>
      <c r="T2088" s="351"/>
      <c r="U2088" s="329" t="str">
        <f>IF($N2088=$N$4,IFERROR(INDEX(DanhMuc!$E$154:$E$165,MATCH(MID($B2088,4,2),DanhMuc!$B$154:$B$165,0)),""),"")</f>
        <v/>
      </c>
      <c r="V2088" s="361"/>
      <c r="W2088" s="345"/>
      <c r="X2088" s="329" t="str">
        <f t="shared" si="243"/>
        <v>3H</v>
      </c>
      <c r="Y2088" s="1128" t="s">
        <v>3380</v>
      </c>
      <c r="Z2088" s="1128" t="s">
        <v>3381</v>
      </c>
      <c r="AA2088" s="1128" t="s">
        <v>3384</v>
      </c>
      <c r="AB2088" s="20"/>
      <c r="AC2088" s="73"/>
    </row>
    <row r="2089" spans="1:29" ht="39">
      <c r="A2089" s="327">
        <f>IF(AND($B2089&lt;&gt;"",$C2089&lt;&gt;""),MAX($A$1556:A2088)+1,"")</f>
        <v>19</v>
      </c>
      <c r="B2089" s="359" t="s">
        <v>1996</v>
      </c>
      <c r="C2089" s="360" t="s">
        <v>1548</v>
      </c>
      <c r="D2089" s="327">
        <f>IF($B2089="","",COUNTIF($B$6:$B2089,$B2089))</f>
        <v>1</v>
      </c>
      <c r="E2089" s="361" t="s">
        <v>157</v>
      </c>
      <c r="F2089" s="362" t="s">
        <v>158</v>
      </c>
      <c r="G2089" s="327" t="s">
        <v>155</v>
      </c>
      <c r="H2089" s="327"/>
      <c r="I2089" s="327">
        <v>2</v>
      </c>
      <c r="J2089" s="359"/>
      <c r="K2089" s="327"/>
      <c r="L2089" s="389">
        <v>45000</v>
      </c>
      <c r="M2089" s="371"/>
      <c r="N2089" s="355" t="s">
        <v>153</v>
      </c>
      <c r="O2089" s="404" t="s">
        <v>1781</v>
      </c>
      <c r="P2089" s="392"/>
      <c r="Q2089" s="327"/>
      <c r="R2089" s="351"/>
      <c r="S2089" s="351"/>
      <c r="T2089" s="351"/>
      <c r="U2089" s="329" t="str">
        <f>IF($N2089=$N$4,IFERROR(INDEX(DanhMuc!$E$154:$E$165,MATCH(MID($B2089,4,2),DanhMuc!$B$154:$B$165,0)),""),"")</f>
        <v/>
      </c>
      <c r="V2089" s="361"/>
      <c r="W2089" s="345"/>
      <c r="X2089" s="329" t="str">
        <f t="shared" si="243"/>
        <v>3H</v>
      </c>
      <c r="Y2089" s="1128" t="s">
        <v>3380</v>
      </c>
      <c r="Z2089" s="1128" t="s">
        <v>3381</v>
      </c>
      <c r="AA2089" s="1128" t="s">
        <v>3384</v>
      </c>
      <c r="AB2089" s="20"/>
      <c r="AC2089" s="73"/>
    </row>
    <row r="2090" spans="1:29">
      <c r="A2090" s="327" t="str">
        <f>IF(AND($B2090&lt;&gt;"",$C2090&lt;&gt;""),MAX($A$1556:A2089)+1,"")</f>
        <v/>
      </c>
      <c r="B2090" s="361" t="s">
        <v>1996</v>
      </c>
      <c r="C2090" s="360"/>
      <c r="D2090" s="327">
        <f>IF($B2090="","",COUNTIF($B$6:$B2090,$B2090))</f>
        <v>2</v>
      </c>
      <c r="E2090" s="361" t="s">
        <v>159</v>
      </c>
      <c r="F2090" s="362" t="s">
        <v>160</v>
      </c>
      <c r="G2090" s="327" t="s">
        <v>155</v>
      </c>
      <c r="H2090" s="327"/>
      <c r="I2090" s="327">
        <v>2</v>
      </c>
      <c r="J2090" s="359"/>
      <c r="K2090" s="327"/>
      <c r="L2090" s="389">
        <v>5000</v>
      </c>
      <c r="M2090" s="371"/>
      <c r="N2090" s="355" t="s">
        <v>153</v>
      </c>
      <c r="O2090" s="404" t="s">
        <v>1781</v>
      </c>
      <c r="P2090" s="392"/>
      <c r="Q2090" s="327"/>
      <c r="R2090" s="351"/>
      <c r="S2090" s="351"/>
      <c r="T2090" s="351"/>
      <c r="U2090" s="329" t="str">
        <f>IF($N2090=$N$4,IFERROR(INDEX(DanhMuc!$E$154:$E$165,MATCH(MID($B2090,4,2),DanhMuc!$B$154:$B$165,0)),""),"")</f>
        <v/>
      </c>
      <c r="V2090" s="361"/>
      <c r="W2090" s="345"/>
      <c r="X2090" s="329" t="str">
        <f t="shared" si="243"/>
        <v>3H</v>
      </c>
      <c r="Y2090" s="1128" t="s">
        <v>3380</v>
      </c>
      <c r="Z2090" s="1128" t="s">
        <v>3381</v>
      </c>
      <c r="AA2090" s="1128" t="s">
        <v>3384</v>
      </c>
      <c r="AB2090" s="20"/>
      <c r="AC2090" s="73"/>
    </row>
    <row r="2091" spans="1:29">
      <c r="A2091" s="327" t="str">
        <f>IF(AND($B2091&lt;&gt;"",$C2091&lt;&gt;""),MAX($A$1556:A2090)+1,"")</f>
        <v/>
      </c>
      <c r="B2091" s="361" t="s">
        <v>1996</v>
      </c>
      <c r="C2091" s="360"/>
      <c r="D2091" s="327">
        <f>IF($B2091="","",COUNTIF($B$6:$B2091,$B2091))</f>
        <v>3</v>
      </c>
      <c r="E2091" s="361" t="s">
        <v>3135</v>
      </c>
      <c r="F2091" s="362" t="s">
        <v>3136</v>
      </c>
      <c r="G2091" s="327" t="s">
        <v>155</v>
      </c>
      <c r="H2091" s="327"/>
      <c r="I2091" s="327">
        <v>2</v>
      </c>
      <c r="J2091" s="345"/>
      <c r="K2091" s="327"/>
      <c r="L2091" s="389">
        <v>140000</v>
      </c>
      <c r="M2091" s="371"/>
      <c r="N2091" s="355" t="str">
        <f t="shared" ref="N2091:N2092" si="250">+$N$1555</f>
        <v>PK</v>
      </c>
      <c r="O2091" s="404" t="s">
        <v>3137</v>
      </c>
      <c r="P2091" s="392"/>
      <c r="Q2091" s="327"/>
      <c r="R2091" s="351"/>
      <c r="S2091" s="351"/>
      <c r="T2091" s="351"/>
      <c r="U2091" s="329" t="str">
        <f>IF($N2091=$N$4,IFERROR(INDEX(DanhMuc!$E$154:$E$165,MATCH(MID($B2091,4,2),DanhMuc!$B$154:$B$165,0)),""),"")</f>
        <v/>
      </c>
      <c r="V2091" s="361"/>
      <c r="W2091" s="345"/>
      <c r="X2091" s="329" t="str">
        <f t="shared" si="243"/>
        <v>3H</v>
      </c>
      <c r="Y2091" s="1128" t="s">
        <v>3380</v>
      </c>
      <c r="Z2091" s="1128" t="s">
        <v>3381</v>
      </c>
      <c r="AA2091" s="1128" t="s">
        <v>3384</v>
      </c>
      <c r="AB2091" s="20"/>
      <c r="AC2091" s="73"/>
    </row>
    <row r="2092" spans="1:29">
      <c r="A2092" s="327" t="str">
        <f>IF(AND($B2092&lt;&gt;"",$C2092&lt;&gt;""),MAX($A$1556:A2091)+1,"")</f>
        <v/>
      </c>
      <c r="B2092" s="361" t="s">
        <v>1996</v>
      </c>
      <c r="C2092" s="360"/>
      <c r="D2092" s="327">
        <f>IF($B2092="","",COUNTIF($B$6:$B2092,$B2092))</f>
        <v>4</v>
      </c>
      <c r="E2092" s="361" t="s">
        <v>159</v>
      </c>
      <c r="F2092" s="362" t="s">
        <v>160</v>
      </c>
      <c r="G2092" s="327" t="s">
        <v>155</v>
      </c>
      <c r="H2092" s="327"/>
      <c r="I2092" s="327">
        <v>2</v>
      </c>
      <c r="J2092" s="345"/>
      <c r="K2092" s="327"/>
      <c r="L2092" s="389">
        <v>5000</v>
      </c>
      <c r="M2092" s="371"/>
      <c r="N2092" s="355" t="str">
        <f t="shared" si="250"/>
        <v>PK</v>
      </c>
      <c r="O2092" s="404" t="s">
        <v>3137</v>
      </c>
      <c r="P2092" s="392"/>
      <c r="Q2092" s="327"/>
      <c r="R2092" s="351"/>
      <c r="S2092" s="351"/>
      <c r="T2092" s="351"/>
      <c r="U2092" s="329" t="str">
        <f>IF($N2092=$N$4,IFERROR(INDEX(DanhMuc!$E$154:$E$165,MATCH(MID($B2092,4,2),DanhMuc!$B$154:$B$165,0)),""),"")</f>
        <v/>
      </c>
      <c r="V2092" s="361"/>
      <c r="W2092" s="345"/>
      <c r="X2092" s="329" t="str">
        <f t="shared" si="243"/>
        <v>3H</v>
      </c>
      <c r="Y2092" s="1128" t="s">
        <v>3380</v>
      </c>
      <c r="Z2092" s="1128" t="s">
        <v>3381</v>
      </c>
      <c r="AA2092" s="1128" t="s">
        <v>3384</v>
      </c>
      <c r="AB2092" s="20"/>
      <c r="AC2092" s="73"/>
    </row>
    <row r="2093" spans="1:29">
      <c r="A2093" s="327" t="str">
        <f>IF(AND($B2093&lt;&gt;"",$C2093&lt;&gt;""),MAX($A$1556:A2090)+1,"")</f>
        <v/>
      </c>
      <c r="B2093" s="361" t="s">
        <v>1996</v>
      </c>
      <c r="C2093" s="360"/>
      <c r="D2093" s="327">
        <f>IF($B2093="","",COUNTIF($B$6:$B2093,$B2093))</f>
        <v>5</v>
      </c>
      <c r="E2093" s="361" t="s">
        <v>1968</v>
      </c>
      <c r="F2093" s="362" t="s">
        <v>2970</v>
      </c>
      <c r="G2093" s="327" t="s">
        <v>155</v>
      </c>
      <c r="H2093" s="327"/>
      <c r="I2093" s="327">
        <v>2</v>
      </c>
      <c r="J2093" s="359"/>
      <c r="K2093" s="327"/>
      <c r="L2093" s="389">
        <v>28000</v>
      </c>
      <c r="M2093" s="371"/>
      <c r="N2093" s="355" t="s">
        <v>153</v>
      </c>
      <c r="O2093" s="404" t="s">
        <v>1971</v>
      </c>
      <c r="P2093" s="392"/>
      <c r="Q2093" s="327"/>
      <c r="R2093" s="351"/>
      <c r="S2093" s="351"/>
      <c r="T2093" s="351"/>
      <c r="U2093" s="329" t="str">
        <f>IF($N2093=$N$4,IFERROR(INDEX(DanhMuc!$E$154:$E$165,MATCH(MID($B2093,4,2),DanhMuc!$B$154:$B$165,0)),""),"")</f>
        <v/>
      </c>
      <c r="V2093" s="361"/>
      <c r="W2093" s="345"/>
      <c r="X2093" s="329" t="str">
        <f t="shared" si="243"/>
        <v>3H</v>
      </c>
      <c r="Y2093" s="1128" t="s">
        <v>3380</v>
      </c>
      <c r="Z2093" s="1128" t="s">
        <v>3381</v>
      </c>
      <c r="AA2093" s="1128" t="s">
        <v>3384</v>
      </c>
      <c r="AB2093" s="20"/>
      <c r="AC2093" s="73"/>
    </row>
    <row r="2094" spans="1:29">
      <c r="A2094" s="327" t="str">
        <f>IF(AND($B2094&lt;&gt;"",$C2094&lt;&gt;""),MAX($A$1556:A2093)+1,"")</f>
        <v/>
      </c>
      <c r="B2094" s="361" t="s">
        <v>1996</v>
      </c>
      <c r="C2094" s="360"/>
      <c r="D2094" s="327">
        <f>IF($B2094="","",COUNTIF($B$6:$B2094,$B2094))</f>
        <v>6</v>
      </c>
      <c r="E2094" s="361" t="s">
        <v>1968</v>
      </c>
      <c r="F2094" s="362" t="s">
        <v>2971</v>
      </c>
      <c r="G2094" s="327" t="s">
        <v>155</v>
      </c>
      <c r="H2094" s="327"/>
      <c r="I2094" s="327">
        <v>2</v>
      </c>
      <c r="J2094" s="359"/>
      <c r="K2094" s="327"/>
      <c r="L2094" s="389">
        <v>28000</v>
      </c>
      <c r="M2094" s="371"/>
      <c r="N2094" s="355" t="s">
        <v>153</v>
      </c>
      <c r="O2094" s="404" t="s">
        <v>1972</v>
      </c>
      <c r="P2094" s="392"/>
      <c r="Q2094" s="327"/>
      <c r="R2094" s="351"/>
      <c r="S2094" s="351"/>
      <c r="T2094" s="351"/>
      <c r="U2094" s="329" t="str">
        <f>IF($N2094=$N$4,IFERROR(INDEX(DanhMuc!$E$154:$E$165,MATCH(MID($B2094,4,2),DanhMuc!$B$154:$B$165,0)),""),"")</f>
        <v/>
      </c>
      <c r="V2094" s="361"/>
      <c r="W2094" s="345"/>
      <c r="X2094" s="329" t="str">
        <f t="shared" si="243"/>
        <v>3H</v>
      </c>
      <c r="Y2094" s="1128" t="s">
        <v>3380</v>
      </c>
      <c r="Z2094" s="1128" t="s">
        <v>3381</v>
      </c>
      <c r="AA2094" s="1128" t="s">
        <v>3384</v>
      </c>
      <c r="AB2094" s="20"/>
      <c r="AC2094" s="73"/>
    </row>
    <row r="2095" spans="1:29">
      <c r="A2095" s="327" t="str">
        <f>IF(AND($B2095&lt;&gt;"",$C2095&lt;&gt;""),MAX($A$1556:A2093)+1,"")</f>
        <v/>
      </c>
      <c r="B2095" s="361" t="s">
        <v>1996</v>
      </c>
      <c r="C2095" s="360"/>
      <c r="D2095" s="327">
        <f>IF($B2095="","",COUNTIF($B$6:$B2095,$B2095))</f>
        <v>7</v>
      </c>
      <c r="E2095" s="361" t="s">
        <v>1969</v>
      </c>
      <c r="F2095" s="362" t="s">
        <v>1970</v>
      </c>
      <c r="G2095" s="327" t="s">
        <v>155</v>
      </c>
      <c r="H2095" s="327"/>
      <c r="I2095" s="327">
        <v>2</v>
      </c>
      <c r="J2095" s="359"/>
      <c r="K2095" s="327"/>
      <c r="L2095" s="389">
        <v>6300</v>
      </c>
      <c r="M2095" s="371"/>
      <c r="N2095" s="355" t="s">
        <v>153</v>
      </c>
      <c r="O2095" s="404" t="s">
        <v>1780</v>
      </c>
      <c r="P2095" s="392"/>
      <c r="Q2095" s="327"/>
      <c r="R2095" s="351"/>
      <c r="S2095" s="351"/>
      <c r="T2095" s="351"/>
      <c r="U2095" s="329" t="str">
        <f>IF($N2095=$N$4,IFERROR(INDEX(DanhMuc!$E$154:$E$165,MATCH(MID($B2095,4,2),DanhMuc!$B$154:$B$165,0)),""),"")</f>
        <v/>
      </c>
      <c r="V2095" s="361"/>
      <c r="W2095" s="345"/>
      <c r="X2095" s="329" t="str">
        <f t="shared" si="243"/>
        <v>3H</v>
      </c>
      <c r="Y2095" s="1128" t="s">
        <v>3380</v>
      </c>
      <c r="Z2095" s="1128" t="s">
        <v>3381</v>
      </c>
      <c r="AA2095" s="1128" t="s">
        <v>3384</v>
      </c>
      <c r="AB2095" s="20"/>
      <c r="AC2095" s="73"/>
    </row>
    <row r="2096" spans="1:29">
      <c r="A2096" s="327" t="str">
        <f>IF(AND($B2096&lt;&gt;"",$C2096&lt;&gt;""),MAX($A$1556:A2095)+1,"")</f>
        <v/>
      </c>
      <c r="B2096" s="361" t="s">
        <v>1996</v>
      </c>
      <c r="C2096" s="360"/>
      <c r="D2096" s="327">
        <f>IF($B2096="","",COUNTIF($B$6:$B2096,$B2096))</f>
        <v>8</v>
      </c>
      <c r="E2096" s="361" t="s">
        <v>157</v>
      </c>
      <c r="F2096" s="362" t="s">
        <v>158</v>
      </c>
      <c r="G2096" s="327" t="s">
        <v>155</v>
      </c>
      <c r="H2096" s="327"/>
      <c r="I2096" s="327">
        <v>1</v>
      </c>
      <c r="J2096" s="359"/>
      <c r="K2096" s="327"/>
      <c r="L2096" s="389">
        <v>45000</v>
      </c>
      <c r="M2096" s="371"/>
      <c r="N2096" s="355" t="s">
        <v>153</v>
      </c>
      <c r="O2096" s="404" t="s">
        <v>1782</v>
      </c>
      <c r="P2096" s="392"/>
      <c r="Q2096" s="327"/>
      <c r="R2096" s="351"/>
      <c r="S2096" s="351"/>
      <c r="T2096" s="351"/>
      <c r="U2096" s="329" t="str">
        <f>IF($N2096=$N$4,IFERROR(INDEX(DanhMuc!$E$154:$E$165,MATCH(MID($B2096,4,2),DanhMuc!$B$154:$B$165,0)),""),"")</f>
        <v/>
      </c>
      <c r="V2096" s="361"/>
      <c r="W2096" s="345"/>
      <c r="X2096" s="329" t="str">
        <f t="shared" si="243"/>
        <v>3H</v>
      </c>
      <c r="Y2096" s="1128" t="s">
        <v>3380</v>
      </c>
      <c r="Z2096" s="1128" t="s">
        <v>3381</v>
      </c>
      <c r="AA2096" s="1128" t="s">
        <v>3384</v>
      </c>
      <c r="AB2096" s="20"/>
      <c r="AC2096" s="73"/>
    </row>
    <row r="2097" spans="1:29">
      <c r="A2097" s="327" t="str">
        <f>IF(AND($B2097&lt;&gt;"",$C2097&lt;&gt;""),MAX($A$1556:A2096)+1,"")</f>
        <v/>
      </c>
      <c r="B2097" s="361" t="s">
        <v>1996</v>
      </c>
      <c r="C2097" s="360"/>
      <c r="D2097" s="327">
        <f>IF($B2097="","",COUNTIF($B$6:$B2097,$B2097))</f>
        <v>9</v>
      </c>
      <c r="E2097" s="361" t="s">
        <v>159</v>
      </c>
      <c r="F2097" s="362" t="s">
        <v>160</v>
      </c>
      <c r="G2097" s="327" t="s">
        <v>155</v>
      </c>
      <c r="H2097" s="327"/>
      <c r="I2097" s="327">
        <v>1</v>
      </c>
      <c r="J2097" s="359"/>
      <c r="K2097" s="327"/>
      <c r="L2097" s="389">
        <v>5000</v>
      </c>
      <c r="M2097" s="371"/>
      <c r="N2097" s="355" t="s">
        <v>153</v>
      </c>
      <c r="O2097" s="404" t="s">
        <v>1782</v>
      </c>
      <c r="P2097" s="392"/>
      <c r="Q2097" s="327"/>
      <c r="R2097" s="351"/>
      <c r="S2097" s="351"/>
      <c r="T2097" s="351"/>
      <c r="U2097" s="329" t="str">
        <f>IF($N2097=$N$4,IFERROR(INDEX(DanhMuc!$E$154:$E$165,MATCH(MID($B2097,4,2),DanhMuc!$B$154:$B$165,0)),""),"")</f>
        <v/>
      </c>
      <c r="V2097" s="361"/>
      <c r="W2097" s="345"/>
      <c r="X2097" s="329" t="str">
        <f t="shared" si="243"/>
        <v>3H</v>
      </c>
      <c r="Y2097" s="1128" t="s">
        <v>3380</v>
      </c>
      <c r="Z2097" s="1128" t="s">
        <v>3381</v>
      </c>
      <c r="AA2097" s="1128" t="s">
        <v>3384</v>
      </c>
      <c r="AB2097" s="20"/>
      <c r="AC2097" s="73"/>
    </row>
    <row r="2098" spans="1:29" ht="25">
      <c r="A2098" s="327" t="str">
        <f>IF(AND($B2098&lt;&gt;"",$C2098&lt;&gt;""),MAX($A$1556:A2090)+1,"")</f>
        <v/>
      </c>
      <c r="B2098" s="361" t="s">
        <v>1996</v>
      </c>
      <c r="C2098" s="360"/>
      <c r="D2098" s="327">
        <f>IF($B2098="","",COUNTIF($B$6:$B2098,$B2098))</f>
        <v>10</v>
      </c>
      <c r="E2098" s="361" t="s">
        <v>209</v>
      </c>
      <c r="F2098" s="362" t="s">
        <v>210</v>
      </c>
      <c r="G2098" s="327" t="s">
        <v>155</v>
      </c>
      <c r="H2098" s="327"/>
      <c r="I2098" s="327">
        <v>1</v>
      </c>
      <c r="J2098" s="359"/>
      <c r="K2098" s="327"/>
      <c r="L2098" s="389">
        <v>70000</v>
      </c>
      <c r="M2098" s="371"/>
      <c r="N2098" s="355" t="s">
        <v>153</v>
      </c>
      <c r="O2098" s="404" t="s">
        <v>1782</v>
      </c>
      <c r="P2098" s="392"/>
      <c r="Q2098" s="327"/>
      <c r="R2098" s="351"/>
      <c r="S2098" s="351"/>
      <c r="T2098" s="351"/>
      <c r="U2098" s="329" t="str">
        <f>IF($N2098=$N$4,IFERROR(INDEX(DanhMuc!$E$154:$E$165,MATCH(MID($B2098,4,2),DanhMuc!$B$154:$B$165,0)),""),"")</f>
        <v/>
      </c>
      <c r="V2098" s="361"/>
      <c r="W2098" s="345"/>
      <c r="X2098" s="329" t="str">
        <f t="shared" si="243"/>
        <v>3H</v>
      </c>
      <c r="Y2098" s="1128" t="s">
        <v>3380</v>
      </c>
      <c r="Z2098" s="1128" t="s">
        <v>3381</v>
      </c>
      <c r="AA2098" s="1128" t="s">
        <v>3384</v>
      </c>
      <c r="AB2098" s="20"/>
      <c r="AC2098" s="73"/>
    </row>
    <row r="2099" spans="1:29">
      <c r="A2099" s="327" t="str">
        <f>IF(AND($B2099&lt;&gt;"",$C2099&lt;&gt;""),MAX($A$1556:A2098)+1,"")</f>
        <v/>
      </c>
      <c r="B2099" s="361" t="s">
        <v>1996</v>
      </c>
      <c r="C2099" s="360"/>
      <c r="D2099" s="327">
        <f>IF($B2099="","",COUNTIF($B$6:$B2099,$B2099))</f>
        <v>11</v>
      </c>
      <c r="E2099" s="402" t="s">
        <v>952</v>
      </c>
      <c r="F2099" s="403" t="s">
        <v>953</v>
      </c>
      <c r="G2099" s="410" t="s">
        <v>156</v>
      </c>
      <c r="H2099" s="327" t="s">
        <v>536</v>
      </c>
      <c r="I2099" s="411" t="s">
        <v>2856</v>
      </c>
      <c r="J2099" s="404"/>
      <c r="K2099" s="410"/>
      <c r="L2099" s="415">
        <v>27000</v>
      </c>
      <c r="M2099" s="371"/>
      <c r="N2099" s="355" t="s">
        <v>153</v>
      </c>
      <c r="O2099" s="404" t="s">
        <v>1782</v>
      </c>
      <c r="P2099" s="392"/>
      <c r="Q2099" s="327"/>
      <c r="R2099" s="351"/>
      <c r="S2099" s="351"/>
      <c r="T2099" s="351"/>
      <c r="U2099" s="329" t="str">
        <f>IF($N2099=$N$4,IFERROR(INDEX(DanhMuc!$E$154:$E$165,MATCH(MID($B2099,4,2),DanhMuc!$B$154:$B$165,0)),""),"")</f>
        <v/>
      </c>
      <c r="V2099" s="361"/>
      <c r="W2099" s="345"/>
      <c r="X2099" s="329" t="str">
        <f t="shared" si="243"/>
        <v>3H</v>
      </c>
      <c r="Y2099" s="1128" t="s">
        <v>3380</v>
      </c>
      <c r="Z2099" s="1128" t="s">
        <v>3381</v>
      </c>
      <c r="AA2099" s="1128" t="s">
        <v>3384</v>
      </c>
      <c r="AB2099" s="20"/>
      <c r="AC2099" s="73"/>
    </row>
    <row r="2100" spans="1:29">
      <c r="A2100" s="327" t="str">
        <f>IF(AND($B2100&lt;&gt;"",$C2100&lt;&gt;""),MAX($A$1556:A2098)+1,"")</f>
        <v/>
      </c>
      <c r="B2100" s="361" t="s">
        <v>1996</v>
      </c>
      <c r="C2100" s="360"/>
      <c r="D2100" s="327">
        <f>IF($B2100="","",COUNTIF($B$6:$B2100,$B2100))</f>
        <v>12</v>
      </c>
      <c r="E2100" s="402" t="s">
        <v>954</v>
      </c>
      <c r="F2100" s="403" t="s">
        <v>1059</v>
      </c>
      <c r="G2100" s="410" t="s">
        <v>156</v>
      </c>
      <c r="H2100" s="327" t="s">
        <v>536</v>
      </c>
      <c r="I2100" s="411" t="s">
        <v>2853</v>
      </c>
      <c r="J2100" s="404"/>
      <c r="K2100" s="410"/>
      <c r="L2100" s="415">
        <v>35000</v>
      </c>
      <c r="M2100" s="371"/>
      <c r="N2100" s="355" t="s">
        <v>153</v>
      </c>
      <c r="O2100" s="404" t="s">
        <v>1782</v>
      </c>
      <c r="P2100" s="392"/>
      <c r="Q2100" s="327"/>
      <c r="R2100" s="351"/>
      <c r="S2100" s="351"/>
      <c r="T2100" s="351"/>
      <c r="U2100" s="329" t="str">
        <f>IF($N2100=$N$4,IFERROR(INDEX(DanhMuc!$E$154:$E$165,MATCH(MID($B2100,4,2),DanhMuc!$B$154:$B$165,0)),""),"")</f>
        <v/>
      </c>
      <c r="V2100" s="361"/>
      <c r="W2100" s="345"/>
      <c r="X2100" s="329" t="str">
        <f t="shared" si="243"/>
        <v>3H</v>
      </c>
      <c r="Y2100" s="1128" t="s">
        <v>3380</v>
      </c>
      <c r="Z2100" s="1128" t="s">
        <v>3381</v>
      </c>
      <c r="AA2100" s="1128" t="s">
        <v>3384</v>
      </c>
      <c r="AB2100" s="20"/>
      <c r="AC2100" s="73"/>
    </row>
    <row r="2101" spans="1:29">
      <c r="A2101" s="327" t="str">
        <f>IF(AND($B2101&lt;&gt;"",$C2101&lt;&gt;""),MAX($A$1556:A2099)+1,"")</f>
        <v/>
      </c>
      <c r="B2101" s="361" t="s">
        <v>1996</v>
      </c>
      <c r="C2101" s="360"/>
      <c r="D2101" s="327">
        <f>IF($B2101="","",COUNTIF($B$6:$B2101,$B2101))</f>
        <v>13</v>
      </c>
      <c r="E2101" s="402" t="s">
        <v>955</v>
      </c>
      <c r="F2101" s="403" t="s">
        <v>956</v>
      </c>
      <c r="G2101" s="410" t="s">
        <v>156</v>
      </c>
      <c r="H2101" s="327" t="s">
        <v>536</v>
      </c>
      <c r="I2101" s="411" t="s">
        <v>2854</v>
      </c>
      <c r="J2101" s="404"/>
      <c r="K2101" s="410"/>
      <c r="L2101" s="415">
        <v>37000</v>
      </c>
      <c r="M2101" s="371"/>
      <c r="N2101" s="355" t="s">
        <v>153</v>
      </c>
      <c r="O2101" s="404" t="s">
        <v>1782</v>
      </c>
      <c r="P2101" s="392"/>
      <c r="Q2101" s="327"/>
      <c r="R2101" s="351"/>
      <c r="S2101" s="351"/>
      <c r="T2101" s="351"/>
      <c r="U2101" s="329" t="str">
        <f>IF($N2101=$N$4,IFERROR(INDEX(DanhMuc!$E$154:$E$165,MATCH(MID($B2101,4,2),DanhMuc!$B$154:$B$165,0)),""),"")</f>
        <v/>
      </c>
      <c r="V2101" s="361"/>
      <c r="W2101" s="345"/>
      <c r="X2101" s="329" t="str">
        <f t="shared" si="243"/>
        <v>3H</v>
      </c>
      <c r="Y2101" s="1128" t="s">
        <v>3380</v>
      </c>
      <c r="Z2101" s="1128" t="s">
        <v>3381</v>
      </c>
      <c r="AA2101" s="1128" t="s">
        <v>3384</v>
      </c>
      <c r="AB2101" s="20"/>
      <c r="AC2101" s="73"/>
    </row>
    <row r="2102" spans="1:29">
      <c r="A2102" s="327" t="str">
        <f>IF(AND($B2102&lt;&gt;"",$C2102&lt;&gt;""),MAX($A$1556:A2100)+1,"")</f>
        <v/>
      </c>
      <c r="B2102" s="361" t="s">
        <v>1996</v>
      </c>
      <c r="C2102" s="360"/>
      <c r="D2102" s="327">
        <f>IF($B2102="","",COUNTIF($B$6:$B2102,$B2102))</f>
        <v>14</v>
      </c>
      <c r="E2102" s="402" t="s">
        <v>182</v>
      </c>
      <c r="F2102" s="403" t="s">
        <v>183</v>
      </c>
      <c r="G2102" s="410" t="s">
        <v>156</v>
      </c>
      <c r="H2102" s="327" t="s">
        <v>536</v>
      </c>
      <c r="I2102" s="411" t="s">
        <v>2855</v>
      </c>
      <c r="J2102" s="404"/>
      <c r="K2102" s="410"/>
      <c r="L2102" s="415">
        <v>45000</v>
      </c>
      <c r="M2102" s="371"/>
      <c r="N2102" s="355" t="s">
        <v>153</v>
      </c>
      <c r="O2102" s="404" t="s">
        <v>1782</v>
      </c>
      <c r="P2102" s="392"/>
      <c r="Q2102" s="327"/>
      <c r="R2102" s="351"/>
      <c r="S2102" s="351"/>
      <c r="T2102" s="351"/>
      <c r="U2102" s="329" t="str">
        <f>IF($N2102=$N$4,IFERROR(INDEX(DanhMuc!$E$154:$E$165,MATCH(MID($B2102,4,2),DanhMuc!$B$154:$B$165,0)),""),"")</f>
        <v/>
      </c>
      <c r="V2102" s="361"/>
      <c r="W2102" s="345"/>
      <c r="X2102" s="329" t="str">
        <f t="shared" si="243"/>
        <v>3H</v>
      </c>
      <c r="Y2102" s="1128" t="s">
        <v>3380</v>
      </c>
      <c r="Z2102" s="1128" t="s">
        <v>3381</v>
      </c>
      <c r="AA2102" s="1128" t="s">
        <v>3384</v>
      </c>
      <c r="AB2102" s="20"/>
      <c r="AC2102" s="73"/>
    </row>
    <row r="2103" spans="1:29">
      <c r="A2103" s="327" t="str">
        <f>IF(AND($B2103&lt;&gt;"",$C2103&lt;&gt;""),MAX($A$1556:A2101)+1,"")</f>
        <v/>
      </c>
      <c r="B2103" s="361" t="s">
        <v>1996</v>
      </c>
      <c r="C2103" s="360"/>
      <c r="D2103" s="327">
        <f>IF($B2103="","",COUNTIF($B$6:$B2103,$B2103))</f>
        <v>15</v>
      </c>
      <c r="E2103" s="361" t="s">
        <v>184</v>
      </c>
      <c r="F2103" s="362" t="s">
        <v>981</v>
      </c>
      <c r="G2103" s="327" t="s">
        <v>155</v>
      </c>
      <c r="H2103" s="327" t="s">
        <v>536</v>
      </c>
      <c r="I2103" s="327">
        <v>2</v>
      </c>
      <c r="J2103" s="359"/>
      <c r="K2103" s="327"/>
      <c r="L2103" s="389">
        <v>6500</v>
      </c>
      <c r="M2103" s="371"/>
      <c r="N2103" s="355" t="str">
        <f t="shared" ref="N2103:N2111" si="251">+$N$1555</f>
        <v>PK</v>
      </c>
      <c r="O2103" s="404" t="s">
        <v>1782</v>
      </c>
      <c r="P2103" s="392"/>
      <c r="Q2103" s="327"/>
      <c r="R2103" s="351"/>
      <c r="S2103" s="351"/>
      <c r="T2103" s="351"/>
      <c r="U2103" s="329" t="str">
        <f>IF($N2103=$N$4,IFERROR(INDEX(DanhMuc!$E$154:$E$165,MATCH(MID($B2103,4,2),DanhMuc!$B$154:$B$165,0)),""),"")</f>
        <v/>
      </c>
      <c r="V2103" s="361"/>
      <c r="W2103" s="345"/>
      <c r="X2103" s="329" t="str">
        <f t="shared" ref="X2103:X2211" si="252">IF($N2103="PR",$E2103,MID($B2103,10,2))</f>
        <v>3H</v>
      </c>
      <c r="Y2103" s="1128" t="s">
        <v>3380</v>
      </c>
      <c r="Z2103" s="1128" t="s">
        <v>3381</v>
      </c>
      <c r="AA2103" s="1128" t="s">
        <v>3384</v>
      </c>
      <c r="AB2103" s="20"/>
      <c r="AC2103" s="73"/>
    </row>
    <row r="2104" spans="1:29">
      <c r="A2104" s="327" t="str">
        <f>IF(AND($B2104&lt;&gt;"",$C2104&lt;&gt;""),MAX($A$1556:A2102)+1,"")</f>
        <v/>
      </c>
      <c r="B2104" s="361" t="s">
        <v>1996</v>
      </c>
      <c r="C2104" s="360"/>
      <c r="D2104" s="327">
        <f>IF($B2104="","",COUNTIF($B$6:$B2104,$B2104))</f>
        <v>16</v>
      </c>
      <c r="E2104" s="361" t="s">
        <v>187</v>
      </c>
      <c r="F2104" s="362" t="s">
        <v>189</v>
      </c>
      <c r="G2104" s="327" t="s">
        <v>155</v>
      </c>
      <c r="H2104" s="327"/>
      <c r="I2104" s="327">
        <v>2</v>
      </c>
      <c r="J2104" s="361"/>
      <c r="K2104" s="327"/>
      <c r="L2104" s="389">
        <v>5000</v>
      </c>
      <c r="M2104" s="371"/>
      <c r="N2104" s="355" t="str">
        <f t="shared" si="251"/>
        <v>PK</v>
      </c>
      <c r="O2104" s="345"/>
      <c r="P2104" s="392"/>
      <c r="Q2104" s="327"/>
      <c r="R2104" s="351"/>
      <c r="S2104" s="351"/>
      <c r="T2104" s="351"/>
      <c r="U2104" s="329" t="str">
        <f>IF($N2104=$N$4,IFERROR(INDEX(DanhMuc!$E$154:$E$165,MATCH(MID($B2104,4,2),DanhMuc!$B$154:$B$165,0)),""),"")</f>
        <v/>
      </c>
      <c r="V2104" s="361"/>
      <c r="W2104" s="345"/>
      <c r="X2104" s="329" t="str">
        <f t="shared" si="252"/>
        <v>3H</v>
      </c>
      <c r="Y2104" s="1128" t="s">
        <v>3380</v>
      </c>
      <c r="Z2104" s="1128" t="s">
        <v>3381</v>
      </c>
      <c r="AA2104" s="1128" t="s">
        <v>3384</v>
      </c>
      <c r="AB2104" s="20"/>
      <c r="AC2104" s="73"/>
    </row>
    <row r="2105" spans="1:29">
      <c r="A2105" s="327" t="str">
        <f>IF(AND($B2105&lt;&gt;"",$C2105&lt;&gt;""),MAX($A$1556:A2103)+1,"")</f>
        <v/>
      </c>
      <c r="B2105" s="361" t="s">
        <v>1996</v>
      </c>
      <c r="C2105" s="360"/>
      <c r="D2105" s="327">
        <f>IF($B2105="","",COUNTIF($B$6:$B2105,$B2105))</f>
        <v>17</v>
      </c>
      <c r="E2105" s="361" t="s">
        <v>163</v>
      </c>
      <c r="F2105" s="362" t="s">
        <v>164</v>
      </c>
      <c r="G2105" s="327" t="s">
        <v>155</v>
      </c>
      <c r="H2105" s="327"/>
      <c r="I2105" s="327">
        <v>2</v>
      </c>
      <c r="J2105" s="361"/>
      <c r="K2105" s="327"/>
      <c r="L2105" s="389">
        <v>2500</v>
      </c>
      <c r="M2105" s="371"/>
      <c r="N2105" s="355" t="str">
        <f t="shared" si="251"/>
        <v>PK</v>
      </c>
      <c r="O2105" s="345"/>
      <c r="P2105" s="392"/>
      <c r="Q2105" s="327"/>
      <c r="R2105" s="351"/>
      <c r="S2105" s="351"/>
      <c r="T2105" s="351"/>
      <c r="U2105" s="329" t="str">
        <f>IF($N2105=$N$4,IFERROR(INDEX(DanhMuc!$E$154:$E$165,MATCH(MID($B2105,4,2),DanhMuc!$B$154:$B$165,0)),""),"")</f>
        <v/>
      </c>
      <c r="V2105" s="408" t="s">
        <v>342</v>
      </c>
      <c r="W2105" s="345"/>
      <c r="X2105" s="329" t="str">
        <f t="shared" si="252"/>
        <v>3H</v>
      </c>
      <c r="Y2105" s="1128" t="s">
        <v>3380</v>
      </c>
      <c r="Z2105" s="1128" t="s">
        <v>3381</v>
      </c>
      <c r="AA2105" s="1128" t="s">
        <v>3384</v>
      </c>
      <c r="AB2105" s="20"/>
      <c r="AC2105" s="73"/>
    </row>
    <row r="2106" spans="1:29">
      <c r="A2106" s="327" t="str">
        <f>IF(AND($B2106&lt;&gt;"",$C2106&lt;&gt;""),MAX($A$1556:A2105)+1,"")</f>
        <v/>
      </c>
      <c r="B2106" s="361" t="s">
        <v>1996</v>
      </c>
      <c r="C2106" s="360"/>
      <c r="D2106" s="327">
        <f>IF($B2106="","",COUNTIF($B$6:$B2106,$B2106))</f>
        <v>18</v>
      </c>
      <c r="E2106" s="361" t="s">
        <v>161</v>
      </c>
      <c r="F2106" s="362" t="s">
        <v>162</v>
      </c>
      <c r="G2106" s="327" t="s">
        <v>155</v>
      </c>
      <c r="H2106" s="327" t="s">
        <v>536</v>
      </c>
      <c r="I2106" s="327">
        <v>6</v>
      </c>
      <c r="J2106" s="361"/>
      <c r="K2106" s="327"/>
      <c r="L2106" s="389">
        <v>27000</v>
      </c>
      <c r="M2106" s="371"/>
      <c r="N2106" s="355" t="str">
        <f t="shared" si="251"/>
        <v>PK</v>
      </c>
      <c r="O2106" s="345" t="s">
        <v>1705</v>
      </c>
      <c r="P2106" s="392"/>
      <c r="Q2106" s="327"/>
      <c r="R2106" s="351"/>
      <c r="S2106" s="351"/>
      <c r="T2106" s="351"/>
      <c r="U2106" s="329" t="str">
        <f>IF($N2106=$N$4,IFERROR(INDEX(DanhMuc!$E$154:$E$165,MATCH(MID($B2106,4,2),DanhMuc!$B$154:$B$165,0)),""),"")</f>
        <v/>
      </c>
      <c r="V2106" s="361"/>
      <c r="W2106" s="345"/>
      <c r="X2106" s="329" t="str">
        <f t="shared" si="252"/>
        <v>3H</v>
      </c>
      <c r="Y2106" s="1128" t="s">
        <v>3380</v>
      </c>
      <c r="Z2106" s="1128" t="s">
        <v>3381</v>
      </c>
      <c r="AA2106" s="1128" t="s">
        <v>3384</v>
      </c>
      <c r="AB2106" s="20"/>
      <c r="AC2106" s="73"/>
    </row>
    <row r="2107" spans="1:29">
      <c r="A2107" s="327" t="str">
        <f>IF(AND($B2107&lt;&gt;"",$C2107&lt;&gt;""),MAX($A$1556:A2105)+1,"")</f>
        <v/>
      </c>
      <c r="B2107" s="361" t="s">
        <v>1996</v>
      </c>
      <c r="C2107" s="360"/>
      <c r="D2107" s="327">
        <f>IF($B2107="","",COUNTIF($B$6:$B2107,$B2107))</f>
        <v>19</v>
      </c>
      <c r="E2107" s="361" t="s">
        <v>185</v>
      </c>
      <c r="F2107" s="362" t="s">
        <v>186</v>
      </c>
      <c r="G2107" s="327" t="s">
        <v>155</v>
      </c>
      <c r="H2107" s="327" t="s">
        <v>536</v>
      </c>
      <c r="I2107" s="327">
        <v>6</v>
      </c>
      <c r="J2107" s="361"/>
      <c r="K2107" s="327"/>
      <c r="L2107" s="389">
        <v>41000</v>
      </c>
      <c r="M2107" s="371"/>
      <c r="N2107" s="355" t="str">
        <f t="shared" si="251"/>
        <v>PK</v>
      </c>
      <c r="O2107" s="345" t="s">
        <v>1704</v>
      </c>
      <c r="P2107" s="392"/>
      <c r="Q2107" s="327"/>
      <c r="R2107" s="351"/>
      <c r="S2107" s="351"/>
      <c r="T2107" s="351"/>
      <c r="U2107" s="329" t="str">
        <f>IF($N2107=$N$4,IFERROR(INDEX(DanhMuc!$E$154:$E$165,MATCH(MID($B2107,4,2),DanhMuc!$B$154:$B$165,0)),""),"")</f>
        <v/>
      </c>
      <c r="V2107" s="361"/>
      <c r="W2107" s="345"/>
      <c r="X2107" s="329" t="str">
        <f t="shared" si="252"/>
        <v>3H</v>
      </c>
      <c r="Y2107" s="1128" t="s">
        <v>3380</v>
      </c>
      <c r="Z2107" s="1128" t="s">
        <v>3381</v>
      </c>
      <c r="AA2107" s="1128" t="s">
        <v>3384</v>
      </c>
      <c r="AB2107" s="20"/>
      <c r="AC2107" s="73"/>
    </row>
    <row r="2108" spans="1:29">
      <c r="A2108" s="327" t="str">
        <f>IF(AND($B2108&lt;&gt;"",$C2108&lt;&gt;""),MAX($A$1556:A2107)+1,"")</f>
        <v/>
      </c>
      <c r="B2108" s="361" t="s">
        <v>1996</v>
      </c>
      <c r="C2108" s="360"/>
      <c r="D2108" s="327">
        <f>IF($B2108="","",COUNTIF($B$6:$B2108,$B2108))</f>
        <v>20</v>
      </c>
      <c r="E2108" s="361" t="s">
        <v>165</v>
      </c>
      <c r="F2108" s="362" t="s">
        <v>166</v>
      </c>
      <c r="G2108" s="327" t="s">
        <v>155</v>
      </c>
      <c r="H2108" s="327"/>
      <c r="I2108" s="327">
        <v>2</v>
      </c>
      <c r="J2108" s="361"/>
      <c r="K2108" s="327"/>
      <c r="L2108" s="389">
        <v>1700</v>
      </c>
      <c r="M2108" s="371"/>
      <c r="N2108" s="355" t="str">
        <f t="shared" si="251"/>
        <v>PK</v>
      </c>
      <c r="O2108" s="345"/>
      <c r="P2108" s="392"/>
      <c r="Q2108" s="327"/>
      <c r="R2108" s="351"/>
      <c r="S2108" s="351"/>
      <c r="T2108" s="351"/>
      <c r="U2108" s="329" t="str">
        <f>IF($N2108=$N$4,IFERROR(INDEX(DanhMuc!$E$154:$E$165,MATCH(MID($B2108,4,2),DanhMuc!$B$154:$B$165,0)),""),"")</f>
        <v/>
      </c>
      <c r="V2108" s="361"/>
      <c r="W2108" s="345"/>
      <c r="X2108" s="329" t="str">
        <f t="shared" si="252"/>
        <v>3H</v>
      </c>
      <c r="Y2108" s="1128" t="s">
        <v>3380</v>
      </c>
      <c r="Z2108" s="1128" t="s">
        <v>3381</v>
      </c>
      <c r="AA2108" s="1128" t="s">
        <v>3384</v>
      </c>
      <c r="AB2108" s="20"/>
      <c r="AC2108" s="73"/>
    </row>
    <row r="2109" spans="1:29">
      <c r="A2109" s="327" t="str">
        <f>IF(AND($B2109&lt;&gt;"",$C2109&lt;&gt;""),MAX($A$1556:A2108)+1,"")</f>
        <v/>
      </c>
      <c r="B2109" s="361" t="s">
        <v>1996</v>
      </c>
      <c r="C2109" s="360"/>
      <c r="D2109" s="327">
        <f>IF($B2109="","",COUNTIF($B$6:$B2109,$B2109))</f>
        <v>21</v>
      </c>
      <c r="E2109" s="361" t="s">
        <v>167</v>
      </c>
      <c r="F2109" s="362" t="s">
        <v>168</v>
      </c>
      <c r="G2109" s="327" t="s">
        <v>155</v>
      </c>
      <c r="H2109" s="327"/>
      <c r="I2109" s="327">
        <v>2</v>
      </c>
      <c r="J2109" s="361"/>
      <c r="K2109" s="327"/>
      <c r="L2109" s="389">
        <v>1700</v>
      </c>
      <c r="M2109" s="371"/>
      <c r="N2109" s="355" t="str">
        <f t="shared" si="251"/>
        <v>PK</v>
      </c>
      <c r="O2109" s="345"/>
      <c r="P2109" s="392"/>
      <c r="Q2109" s="327"/>
      <c r="R2109" s="351"/>
      <c r="S2109" s="351"/>
      <c r="T2109" s="351"/>
      <c r="U2109" s="329" t="str">
        <f>IF($N2109=$N$4,IFERROR(INDEX(DanhMuc!$E$154:$E$165,MATCH(MID($B2109,4,2),DanhMuc!$B$154:$B$165,0)),""),"")</f>
        <v/>
      </c>
      <c r="V2109" s="361"/>
      <c r="W2109" s="345"/>
      <c r="X2109" s="329" t="str">
        <f t="shared" si="252"/>
        <v>3H</v>
      </c>
      <c r="Y2109" s="1128" t="s">
        <v>3380</v>
      </c>
      <c r="Z2109" s="1128" t="s">
        <v>3381</v>
      </c>
      <c r="AA2109" s="1128" t="s">
        <v>3384</v>
      </c>
      <c r="AB2109" s="20"/>
      <c r="AC2109" s="73"/>
    </row>
    <row r="2110" spans="1:29">
      <c r="A2110" s="327" t="str">
        <f>IF(AND($B2110&lt;&gt;"",$C2110&lt;&gt;""),MAX($A$1556:A2109)+1,"")</f>
        <v/>
      </c>
      <c r="B2110" s="361" t="s">
        <v>1996</v>
      </c>
      <c r="C2110" s="360"/>
      <c r="D2110" s="327">
        <f>IF($B2110="","",COUNTIF($B$6:$B2110,$B2110))</f>
        <v>22</v>
      </c>
      <c r="E2110" s="361" t="s">
        <v>169</v>
      </c>
      <c r="F2110" s="362" t="s">
        <v>170</v>
      </c>
      <c r="G2110" s="327" t="s">
        <v>155</v>
      </c>
      <c r="H2110" s="327"/>
      <c r="I2110" s="327">
        <v>4</v>
      </c>
      <c r="J2110" s="361"/>
      <c r="K2110" s="327"/>
      <c r="L2110" s="389">
        <v>1700</v>
      </c>
      <c r="M2110" s="371"/>
      <c r="N2110" s="355" t="str">
        <f t="shared" si="251"/>
        <v>PK</v>
      </c>
      <c r="O2110" s="345"/>
      <c r="P2110" s="392"/>
      <c r="Q2110" s="327"/>
      <c r="R2110" s="351"/>
      <c r="S2110" s="351"/>
      <c r="T2110" s="351"/>
      <c r="U2110" s="329" t="str">
        <f>IF($N2110=$N$4,IFERROR(INDEX(DanhMuc!$E$154:$E$165,MATCH(MID($B2110,4,2),DanhMuc!$B$154:$B$165,0)),""),"")</f>
        <v/>
      </c>
      <c r="V2110" s="361"/>
      <c r="W2110" s="345"/>
      <c r="X2110" s="329" t="str">
        <f t="shared" si="252"/>
        <v>3H</v>
      </c>
      <c r="Y2110" s="1128" t="s">
        <v>3380</v>
      </c>
      <c r="Z2110" s="1128" t="s">
        <v>3381</v>
      </c>
      <c r="AA2110" s="1128" t="s">
        <v>3384</v>
      </c>
      <c r="AB2110" s="20"/>
      <c r="AC2110" s="73"/>
    </row>
    <row r="2111" spans="1:29">
      <c r="A2111" s="327" t="str">
        <f>IF(AND($B2111&lt;&gt;"",$C2111&lt;&gt;""),MAX($A$1556:A2110)+1,"")</f>
        <v/>
      </c>
      <c r="B2111" s="361" t="s">
        <v>1996</v>
      </c>
      <c r="C2111" s="360"/>
      <c r="D2111" s="327">
        <f>IF($B2111="","",COUNTIF($B$6:$B2111,$B2111))</f>
        <v>23</v>
      </c>
      <c r="E2111" s="361" t="s">
        <v>171</v>
      </c>
      <c r="F2111" s="362" t="s">
        <v>291</v>
      </c>
      <c r="G2111" s="327" t="s">
        <v>155</v>
      </c>
      <c r="H2111" s="327"/>
      <c r="I2111" s="327">
        <v>4</v>
      </c>
      <c r="J2111" s="361"/>
      <c r="K2111" s="327"/>
      <c r="L2111" s="389">
        <v>1700</v>
      </c>
      <c r="M2111" s="371"/>
      <c r="N2111" s="355" t="str">
        <f t="shared" si="251"/>
        <v>PK</v>
      </c>
      <c r="O2111" s="345"/>
      <c r="P2111" s="392"/>
      <c r="Q2111" s="327"/>
      <c r="R2111" s="351"/>
      <c r="S2111" s="351"/>
      <c r="T2111" s="351"/>
      <c r="U2111" s="329" t="str">
        <f>IF($N2111=$N$4,IFERROR(INDEX(DanhMuc!$E$154:$E$165,MATCH(MID($B2111,4,2),DanhMuc!$B$154:$B$165,0)),""),"")</f>
        <v/>
      </c>
      <c r="V2111" s="361"/>
      <c r="W2111" s="345"/>
      <c r="X2111" s="329" t="str">
        <f t="shared" si="252"/>
        <v>3H</v>
      </c>
      <c r="Y2111" s="1128" t="s">
        <v>3380</v>
      </c>
      <c r="Z2111" s="1128" t="s">
        <v>3381</v>
      </c>
      <c r="AA2111" s="1128" t="s">
        <v>3384</v>
      </c>
      <c r="AB2111" s="20"/>
      <c r="AC2111" s="73"/>
    </row>
    <row r="2112" spans="1:29" ht="39">
      <c r="A2112" s="327">
        <f>IF(AND($B2112&lt;&gt;"",$C2112&lt;&gt;""),MAX($A$1556:A2111)+1,"")</f>
        <v>20</v>
      </c>
      <c r="B2112" s="359" t="s">
        <v>3170</v>
      </c>
      <c r="C2112" s="360" t="s">
        <v>3171</v>
      </c>
      <c r="D2112" s="327">
        <f>IF($B2112="","",COUNTIF($B$6:$B2112,$B2112))</f>
        <v>1</v>
      </c>
      <c r="E2112" s="361" t="s">
        <v>157</v>
      </c>
      <c r="F2112" s="362" t="s">
        <v>158</v>
      </c>
      <c r="G2112" s="327" t="s">
        <v>155</v>
      </c>
      <c r="H2112" s="327"/>
      <c r="I2112" s="327">
        <v>2</v>
      </c>
      <c r="J2112" s="359"/>
      <c r="K2112" s="327"/>
      <c r="L2112" s="389">
        <v>45000</v>
      </c>
      <c r="M2112" s="371"/>
      <c r="N2112" s="355" t="s">
        <v>153</v>
      </c>
      <c r="O2112" s="404" t="s">
        <v>1781</v>
      </c>
      <c r="P2112" s="392"/>
      <c r="Q2112" s="327"/>
      <c r="R2112" s="351"/>
      <c r="S2112" s="351"/>
      <c r="T2112" s="351"/>
      <c r="U2112" s="329" t="str">
        <f>IF($N2112=$N$4,IFERROR(INDEX(DanhMuc!$E$154:$E$165,MATCH(MID($B2112,4,2),DanhMuc!$B$154:$B$165,0)),""),"")</f>
        <v/>
      </c>
      <c r="V2112" s="361"/>
      <c r="W2112" s="345"/>
      <c r="X2112" s="329" t="str">
        <f t="shared" si="252"/>
        <v>2R</v>
      </c>
      <c r="Y2112" s="1128" t="s">
        <v>3380</v>
      </c>
      <c r="Z2112" s="1128" t="s">
        <v>3381</v>
      </c>
      <c r="AA2112" s="1128" t="s">
        <v>3384</v>
      </c>
      <c r="AB2112" s="20"/>
      <c r="AC2112" s="73"/>
    </row>
    <row r="2113" spans="1:29">
      <c r="A2113" s="327" t="str">
        <f>IF(AND($B2113&lt;&gt;"",$C2113&lt;&gt;""),MAX($A$1556:A2112)+1,"")</f>
        <v/>
      </c>
      <c r="B2113" s="361" t="s">
        <v>3170</v>
      </c>
      <c r="C2113" s="360"/>
      <c r="D2113" s="327">
        <f>IF($B2113="","",COUNTIF($B$6:$B2113,$B2113))</f>
        <v>2</v>
      </c>
      <c r="E2113" s="361" t="s">
        <v>159</v>
      </c>
      <c r="F2113" s="362" t="s">
        <v>160</v>
      </c>
      <c r="G2113" s="327" t="s">
        <v>155</v>
      </c>
      <c r="H2113" s="327"/>
      <c r="I2113" s="327">
        <v>2</v>
      </c>
      <c r="J2113" s="359"/>
      <c r="K2113" s="327"/>
      <c r="L2113" s="389">
        <v>5000</v>
      </c>
      <c r="M2113" s="371"/>
      <c r="N2113" s="355" t="s">
        <v>153</v>
      </c>
      <c r="O2113" s="404" t="s">
        <v>1781</v>
      </c>
      <c r="P2113" s="392"/>
      <c r="Q2113" s="327"/>
      <c r="R2113" s="351"/>
      <c r="S2113" s="351"/>
      <c r="T2113" s="351"/>
      <c r="U2113" s="329" t="str">
        <f>IF($N2113=$N$4,IFERROR(INDEX(DanhMuc!$E$154:$E$165,MATCH(MID($B2113,4,2),DanhMuc!$B$154:$B$165,0)),""),"")</f>
        <v/>
      </c>
      <c r="V2113" s="361"/>
      <c r="W2113" s="345"/>
      <c r="X2113" s="329" t="str">
        <f t="shared" si="252"/>
        <v>2R</v>
      </c>
      <c r="Y2113" s="1128" t="s">
        <v>3380</v>
      </c>
      <c r="Z2113" s="1128" t="s">
        <v>3381</v>
      </c>
      <c r="AA2113" s="1128" t="s">
        <v>3384</v>
      </c>
      <c r="AB2113" s="20"/>
      <c r="AC2113" s="73"/>
    </row>
    <row r="2114" spans="1:29">
      <c r="A2114" s="327" t="str">
        <f>IF(AND($B2114&lt;&gt;"",$C2114&lt;&gt;""),MAX($A$1556:A2113)+1,"")</f>
        <v/>
      </c>
      <c r="B2114" s="361" t="s">
        <v>3170</v>
      </c>
      <c r="C2114" s="360"/>
      <c r="D2114" s="327">
        <f>IF($B2114="","",COUNTIF($B$6:$B2114,$B2114))</f>
        <v>3</v>
      </c>
      <c r="E2114" s="361" t="s">
        <v>3135</v>
      </c>
      <c r="F2114" s="362" t="s">
        <v>3136</v>
      </c>
      <c r="G2114" s="327" t="s">
        <v>155</v>
      </c>
      <c r="H2114" s="327"/>
      <c r="I2114" s="327">
        <v>2</v>
      </c>
      <c r="J2114" s="345"/>
      <c r="K2114" s="327"/>
      <c r="L2114" s="389">
        <v>140000</v>
      </c>
      <c r="M2114" s="371"/>
      <c r="N2114" s="355" t="str">
        <f t="shared" ref="N2114:N2115" si="253">+$N$1555</f>
        <v>PK</v>
      </c>
      <c r="O2114" s="404" t="s">
        <v>3137</v>
      </c>
      <c r="P2114" s="392"/>
      <c r="Q2114" s="327"/>
      <c r="R2114" s="351"/>
      <c r="S2114" s="351"/>
      <c r="T2114" s="351"/>
      <c r="U2114" s="329" t="str">
        <f>IF($N2114=$N$4,IFERROR(INDEX(DanhMuc!$E$154:$E$165,MATCH(MID($B2114,4,2),DanhMuc!$B$154:$B$165,0)),""),"")</f>
        <v/>
      </c>
      <c r="V2114" s="361"/>
      <c r="W2114" s="345"/>
      <c r="X2114" s="329" t="str">
        <f t="shared" si="252"/>
        <v>2R</v>
      </c>
      <c r="Y2114" s="1128" t="s">
        <v>3380</v>
      </c>
      <c r="Z2114" s="1128" t="s">
        <v>3381</v>
      </c>
      <c r="AA2114" s="1128" t="s">
        <v>3384</v>
      </c>
      <c r="AB2114" s="20"/>
      <c r="AC2114" s="73"/>
    </row>
    <row r="2115" spans="1:29">
      <c r="A2115" s="327" t="str">
        <f>IF(AND($B2115&lt;&gt;"",$C2115&lt;&gt;""),MAX($A$1556:A2114)+1,"")</f>
        <v/>
      </c>
      <c r="B2115" s="361" t="s">
        <v>3170</v>
      </c>
      <c r="C2115" s="360"/>
      <c r="D2115" s="327">
        <f>IF($B2115="","",COUNTIF($B$6:$B2115,$B2115))</f>
        <v>4</v>
      </c>
      <c r="E2115" s="361" t="s">
        <v>159</v>
      </c>
      <c r="F2115" s="362" t="s">
        <v>160</v>
      </c>
      <c r="G2115" s="327" t="s">
        <v>155</v>
      </c>
      <c r="H2115" s="327"/>
      <c r="I2115" s="327">
        <v>2</v>
      </c>
      <c r="J2115" s="345"/>
      <c r="K2115" s="327"/>
      <c r="L2115" s="389">
        <v>5000</v>
      </c>
      <c r="M2115" s="371"/>
      <c r="N2115" s="355" t="str">
        <f t="shared" si="253"/>
        <v>PK</v>
      </c>
      <c r="O2115" s="404" t="s">
        <v>3137</v>
      </c>
      <c r="P2115" s="392"/>
      <c r="Q2115" s="327"/>
      <c r="R2115" s="351"/>
      <c r="S2115" s="351"/>
      <c r="T2115" s="351"/>
      <c r="U2115" s="329" t="str">
        <f>IF($N2115=$N$4,IFERROR(INDEX(DanhMuc!$E$154:$E$165,MATCH(MID($B2115,4,2),DanhMuc!$B$154:$B$165,0)),""),"")</f>
        <v/>
      </c>
      <c r="V2115" s="361"/>
      <c r="W2115" s="345"/>
      <c r="X2115" s="329" t="str">
        <f t="shared" si="252"/>
        <v>2R</v>
      </c>
      <c r="Y2115" s="1128" t="s">
        <v>3380</v>
      </c>
      <c r="Z2115" s="1128" t="s">
        <v>3381</v>
      </c>
      <c r="AA2115" s="1128" t="s">
        <v>3384</v>
      </c>
      <c r="AB2115" s="20"/>
      <c r="AC2115" s="73"/>
    </row>
    <row r="2116" spans="1:29">
      <c r="A2116" s="327" t="str">
        <f>IF(AND($B2116&lt;&gt;"",$C2116&lt;&gt;""),MAX($A$1556:A2113)+1,"")</f>
        <v/>
      </c>
      <c r="B2116" s="361" t="s">
        <v>3170</v>
      </c>
      <c r="C2116" s="360"/>
      <c r="D2116" s="327">
        <f>IF($B2116="","",COUNTIF($B$6:$B2116,$B2116))</f>
        <v>5</v>
      </c>
      <c r="E2116" s="361" t="s">
        <v>1968</v>
      </c>
      <c r="F2116" s="362" t="s">
        <v>2970</v>
      </c>
      <c r="G2116" s="327" t="s">
        <v>155</v>
      </c>
      <c r="H2116" s="327"/>
      <c r="I2116" s="327">
        <v>2</v>
      </c>
      <c r="J2116" s="359"/>
      <c r="K2116" s="327"/>
      <c r="L2116" s="389">
        <v>28000</v>
      </c>
      <c r="M2116" s="371"/>
      <c r="N2116" s="355" t="s">
        <v>153</v>
      </c>
      <c r="O2116" s="404" t="s">
        <v>1971</v>
      </c>
      <c r="P2116" s="392"/>
      <c r="Q2116" s="327"/>
      <c r="R2116" s="351"/>
      <c r="S2116" s="351"/>
      <c r="T2116" s="351"/>
      <c r="U2116" s="329" t="str">
        <f>IF($N2116=$N$4,IFERROR(INDEX(DanhMuc!$E$154:$E$165,MATCH(MID($B2116,4,2),DanhMuc!$B$154:$B$165,0)),""),"")</f>
        <v/>
      </c>
      <c r="V2116" s="361"/>
      <c r="W2116" s="345"/>
      <c r="X2116" s="329" t="str">
        <f t="shared" si="252"/>
        <v>2R</v>
      </c>
      <c r="Y2116" s="1128" t="s">
        <v>3380</v>
      </c>
      <c r="Z2116" s="1128" t="s">
        <v>3381</v>
      </c>
      <c r="AA2116" s="1128" t="s">
        <v>3384</v>
      </c>
      <c r="AB2116" s="20"/>
      <c r="AC2116" s="73"/>
    </row>
    <row r="2117" spans="1:29">
      <c r="A2117" s="327" t="str">
        <f>IF(AND($B2117&lt;&gt;"",$C2117&lt;&gt;""),MAX($A$1556:A2116)+1,"")</f>
        <v/>
      </c>
      <c r="B2117" s="361" t="s">
        <v>3170</v>
      </c>
      <c r="C2117" s="360"/>
      <c r="D2117" s="327">
        <f>IF($B2117="","",COUNTIF($B$6:$B2117,$B2117))</f>
        <v>6</v>
      </c>
      <c r="E2117" s="361" t="s">
        <v>1968</v>
      </c>
      <c r="F2117" s="362" t="s">
        <v>2971</v>
      </c>
      <c r="G2117" s="327" t="s">
        <v>155</v>
      </c>
      <c r="H2117" s="327"/>
      <c r="I2117" s="327">
        <v>2</v>
      </c>
      <c r="J2117" s="359"/>
      <c r="K2117" s="327"/>
      <c r="L2117" s="389">
        <v>28000</v>
      </c>
      <c r="M2117" s="371"/>
      <c r="N2117" s="355" t="s">
        <v>153</v>
      </c>
      <c r="O2117" s="404" t="s">
        <v>1972</v>
      </c>
      <c r="P2117" s="392"/>
      <c r="Q2117" s="327"/>
      <c r="R2117" s="351"/>
      <c r="S2117" s="351"/>
      <c r="T2117" s="351"/>
      <c r="U2117" s="329" t="str">
        <f>IF($N2117=$N$4,IFERROR(INDEX(DanhMuc!$E$154:$E$165,MATCH(MID($B2117,4,2),DanhMuc!$B$154:$B$165,0)),""),"")</f>
        <v/>
      </c>
      <c r="V2117" s="361"/>
      <c r="W2117" s="345"/>
      <c r="X2117" s="329" t="str">
        <f t="shared" si="252"/>
        <v>2R</v>
      </c>
      <c r="Y2117" s="1128" t="s">
        <v>3380</v>
      </c>
      <c r="Z2117" s="1128" t="s">
        <v>3381</v>
      </c>
      <c r="AA2117" s="1128" t="s">
        <v>3384</v>
      </c>
      <c r="AB2117" s="20"/>
      <c r="AC2117" s="73"/>
    </row>
    <row r="2118" spans="1:29">
      <c r="A2118" s="327" t="str">
        <f>IF(AND($B2118&lt;&gt;"",$C2118&lt;&gt;""),MAX($A$1556:A2116)+1,"")</f>
        <v/>
      </c>
      <c r="B2118" s="361" t="s">
        <v>3170</v>
      </c>
      <c r="C2118" s="360"/>
      <c r="D2118" s="327">
        <f>IF($B2118="","",COUNTIF($B$6:$B2118,$B2118))</f>
        <v>7</v>
      </c>
      <c r="E2118" s="361" t="s">
        <v>1969</v>
      </c>
      <c r="F2118" s="362" t="s">
        <v>1970</v>
      </c>
      <c r="G2118" s="327" t="s">
        <v>155</v>
      </c>
      <c r="H2118" s="327"/>
      <c r="I2118" s="327">
        <v>2</v>
      </c>
      <c r="J2118" s="359"/>
      <c r="K2118" s="327"/>
      <c r="L2118" s="389">
        <v>6300</v>
      </c>
      <c r="M2118" s="371"/>
      <c r="N2118" s="355" t="s">
        <v>153</v>
      </c>
      <c r="O2118" s="404" t="s">
        <v>1780</v>
      </c>
      <c r="P2118" s="392"/>
      <c r="Q2118" s="327"/>
      <c r="R2118" s="351"/>
      <c r="S2118" s="351"/>
      <c r="T2118" s="351"/>
      <c r="U2118" s="329" t="str">
        <f>IF($N2118=$N$4,IFERROR(INDEX(DanhMuc!$E$154:$E$165,MATCH(MID($B2118,4,2),DanhMuc!$B$154:$B$165,0)),""),"")</f>
        <v/>
      </c>
      <c r="V2118" s="361"/>
      <c r="W2118" s="345"/>
      <c r="X2118" s="329" t="str">
        <f t="shared" si="252"/>
        <v>2R</v>
      </c>
      <c r="Y2118" s="1128" t="s">
        <v>3380</v>
      </c>
      <c r="Z2118" s="1128" t="s">
        <v>3381</v>
      </c>
      <c r="AA2118" s="1128" t="s">
        <v>3384</v>
      </c>
      <c r="AB2118" s="20"/>
      <c r="AC2118" s="73"/>
    </row>
    <row r="2119" spans="1:29">
      <c r="A2119" s="327" t="str">
        <f>IF(AND($B2119&lt;&gt;"",$C2119&lt;&gt;""),MAX($A$1556:A2118)+1,"")</f>
        <v/>
      </c>
      <c r="B2119" s="361" t="s">
        <v>3170</v>
      </c>
      <c r="C2119" s="360"/>
      <c r="D2119" s="327">
        <f>IF($B2119="","",COUNTIF($B$6:$B2119,$B2119))</f>
        <v>8</v>
      </c>
      <c r="E2119" s="361" t="s">
        <v>157</v>
      </c>
      <c r="F2119" s="362" t="s">
        <v>158</v>
      </c>
      <c r="G2119" s="327" t="s">
        <v>155</v>
      </c>
      <c r="H2119" s="327"/>
      <c r="I2119" s="327">
        <v>1</v>
      </c>
      <c r="J2119" s="359"/>
      <c r="K2119" s="327"/>
      <c r="L2119" s="389">
        <v>45000</v>
      </c>
      <c r="M2119" s="371"/>
      <c r="N2119" s="355" t="s">
        <v>153</v>
      </c>
      <c r="O2119" s="404" t="s">
        <v>1782</v>
      </c>
      <c r="P2119" s="392"/>
      <c r="Q2119" s="327"/>
      <c r="R2119" s="351"/>
      <c r="S2119" s="351"/>
      <c r="T2119" s="351"/>
      <c r="U2119" s="329" t="str">
        <f>IF($N2119=$N$4,IFERROR(INDEX(DanhMuc!$E$154:$E$165,MATCH(MID($B2119,4,2),DanhMuc!$B$154:$B$165,0)),""),"")</f>
        <v/>
      </c>
      <c r="V2119" s="361"/>
      <c r="W2119" s="345"/>
      <c r="X2119" s="329" t="str">
        <f t="shared" si="252"/>
        <v>2R</v>
      </c>
      <c r="Y2119" s="1128" t="s">
        <v>3380</v>
      </c>
      <c r="Z2119" s="1128" t="s">
        <v>3381</v>
      </c>
      <c r="AA2119" s="1128" t="s">
        <v>3384</v>
      </c>
      <c r="AB2119" s="20"/>
      <c r="AC2119" s="73"/>
    </row>
    <row r="2120" spans="1:29">
      <c r="A2120" s="327" t="str">
        <f>IF(AND($B2120&lt;&gt;"",$C2120&lt;&gt;""),MAX($A$1556:A2119)+1,"")</f>
        <v/>
      </c>
      <c r="B2120" s="361" t="s">
        <v>3170</v>
      </c>
      <c r="C2120" s="360"/>
      <c r="D2120" s="327">
        <f>IF($B2120="","",COUNTIF($B$6:$B2120,$B2120))</f>
        <v>9</v>
      </c>
      <c r="E2120" s="361" t="s">
        <v>159</v>
      </c>
      <c r="F2120" s="362" t="s">
        <v>160</v>
      </c>
      <c r="G2120" s="327" t="s">
        <v>155</v>
      </c>
      <c r="H2120" s="327"/>
      <c r="I2120" s="327">
        <v>1</v>
      </c>
      <c r="J2120" s="359"/>
      <c r="K2120" s="327"/>
      <c r="L2120" s="389">
        <v>5000</v>
      </c>
      <c r="M2120" s="371"/>
      <c r="N2120" s="355" t="s">
        <v>153</v>
      </c>
      <c r="O2120" s="404" t="s">
        <v>1782</v>
      </c>
      <c r="P2120" s="392"/>
      <c r="Q2120" s="327"/>
      <c r="R2120" s="351"/>
      <c r="S2120" s="351"/>
      <c r="T2120" s="351"/>
      <c r="U2120" s="329" t="str">
        <f>IF($N2120=$N$4,IFERROR(INDEX(DanhMuc!$E$154:$E$165,MATCH(MID($B2120,4,2),DanhMuc!$B$154:$B$165,0)),""),"")</f>
        <v/>
      </c>
      <c r="V2120" s="361"/>
      <c r="W2120" s="345"/>
      <c r="X2120" s="329" t="str">
        <f t="shared" si="252"/>
        <v>2R</v>
      </c>
      <c r="Y2120" s="1128" t="s">
        <v>3380</v>
      </c>
      <c r="Z2120" s="1128" t="s">
        <v>3381</v>
      </c>
      <c r="AA2120" s="1128" t="s">
        <v>3384</v>
      </c>
      <c r="AB2120" s="20"/>
      <c r="AC2120" s="73"/>
    </row>
    <row r="2121" spans="1:29" ht="25">
      <c r="A2121" s="327" t="str">
        <f>IF(AND($B2121&lt;&gt;"",$C2121&lt;&gt;""),MAX($A$1556:A2113)+1,"")</f>
        <v/>
      </c>
      <c r="B2121" s="361" t="s">
        <v>3170</v>
      </c>
      <c r="C2121" s="360"/>
      <c r="D2121" s="327">
        <f>IF($B2121="","",COUNTIF($B$6:$B2121,$B2121))</f>
        <v>10</v>
      </c>
      <c r="E2121" s="361" t="s">
        <v>209</v>
      </c>
      <c r="F2121" s="362" t="s">
        <v>210</v>
      </c>
      <c r="G2121" s="327" t="s">
        <v>155</v>
      </c>
      <c r="H2121" s="327"/>
      <c r="I2121" s="327">
        <v>1</v>
      </c>
      <c r="J2121" s="359"/>
      <c r="K2121" s="327"/>
      <c r="L2121" s="389">
        <v>70000</v>
      </c>
      <c r="M2121" s="371"/>
      <c r="N2121" s="355" t="s">
        <v>153</v>
      </c>
      <c r="O2121" s="404" t="s">
        <v>1782</v>
      </c>
      <c r="P2121" s="392"/>
      <c r="Q2121" s="327"/>
      <c r="R2121" s="351"/>
      <c r="S2121" s="351"/>
      <c r="T2121" s="351"/>
      <c r="U2121" s="329" t="str">
        <f>IF($N2121=$N$4,IFERROR(INDEX(DanhMuc!$E$154:$E$165,MATCH(MID($B2121,4,2),DanhMuc!$B$154:$B$165,0)),""),"")</f>
        <v/>
      </c>
      <c r="V2121" s="361"/>
      <c r="W2121" s="345"/>
      <c r="X2121" s="329" t="str">
        <f t="shared" si="252"/>
        <v>2R</v>
      </c>
      <c r="Y2121" s="1128" t="s">
        <v>3380</v>
      </c>
      <c r="Z2121" s="1128" t="s">
        <v>3381</v>
      </c>
      <c r="AA2121" s="1128" t="s">
        <v>3384</v>
      </c>
      <c r="AB2121" s="20"/>
      <c r="AC2121" s="73"/>
    </row>
    <row r="2122" spans="1:29">
      <c r="A2122" s="327" t="str">
        <f>IF(AND($B2122&lt;&gt;"",$C2122&lt;&gt;""),MAX($A$1556:A2121)+1,"")</f>
        <v/>
      </c>
      <c r="B2122" s="361" t="s">
        <v>3170</v>
      </c>
      <c r="C2122" s="360"/>
      <c r="D2122" s="327">
        <f>IF($B2122="","",COUNTIF($B$6:$B2122,$B2122))</f>
        <v>11</v>
      </c>
      <c r="E2122" s="402" t="s">
        <v>952</v>
      </c>
      <c r="F2122" s="403" t="s">
        <v>953</v>
      </c>
      <c r="G2122" s="410" t="s">
        <v>156</v>
      </c>
      <c r="H2122" s="327" t="s">
        <v>536</v>
      </c>
      <c r="I2122" s="411" t="s">
        <v>2856</v>
      </c>
      <c r="J2122" s="404"/>
      <c r="K2122" s="410"/>
      <c r="L2122" s="415">
        <v>27000</v>
      </c>
      <c r="M2122" s="371"/>
      <c r="N2122" s="355" t="s">
        <v>153</v>
      </c>
      <c r="O2122" s="404" t="s">
        <v>1782</v>
      </c>
      <c r="P2122" s="392"/>
      <c r="Q2122" s="327"/>
      <c r="R2122" s="351"/>
      <c r="S2122" s="351"/>
      <c r="T2122" s="351"/>
      <c r="U2122" s="329" t="str">
        <f>IF($N2122=$N$4,IFERROR(INDEX(DanhMuc!$E$154:$E$165,MATCH(MID($B2122,4,2),DanhMuc!$B$154:$B$165,0)),""),"")</f>
        <v/>
      </c>
      <c r="V2122" s="361"/>
      <c r="W2122" s="345"/>
      <c r="X2122" s="329" t="str">
        <f t="shared" si="252"/>
        <v>2R</v>
      </c>
      <c r="Y2122" s="1128" t="s">
        <v>3380</v>
      </c>
      <c r="Z2122" s="1128" t="s">
        <v>3381</v>
      </c>
      <c r="AA2122" s="1128" t="s">
        <v>3384</v>
      </c>
      <c r="AB2122" s="20"/>
      <c r="AC2122" s="73"/>
    </row>
    <row r="2123" spans="1:29">
      <c r="A2123" s="327" t="str">
        <f>IF(AND($B2123&lt;&gt;"",$C2123&lt;&gt;""),MAX($A$1556:A2121)+1,"")</f>
        <v/>
      </c>
      <c r="B2123" s="361" t="s">
        <v>3170</v>
      </c>
      <c r="C2123" s="360"/>
      <c r="D2123" s="327">
        <f>IF($B2123="","",COUNTIF($B$6:$B2123,$B2123))</f>
        <v>12</v>
      </c>
      <c r="E2123" s="402" t="s">
        <v>954</v>
      </c>
      <c r="F2123" s="403" t="s">
        <v>1059</v>
      </c>
      <c r="G2123" s="410" t="s">
        <v>156</v>
      </c>
      <c r="H2123" s="327" t="s">
        <v>536</v>
      </c>
      <c r="I2123" s="411" t="s">
        <v>2853</v>
      </c>
      <c r="J2123" s="404"/>
      <c r="K2123" s="410"/>
      <c r="L2123" s="415">
        <v>35000</v>
      </c>
      <c r="M2123" s="371"/>
      <c r="N2123" s="355" t="s">
        <v>153</v>
      </c>
      <c r="O2123" s="404" t="s">
        <v>1782</v>
      </c>
      <c r="P2123" s="392"/>
      <c r="Q2123" s="327"/>
      <c r="R2123" s="351"/>
      <c r="S2123" s="351"/>
      <c r="T2123" s="351"/>
      <c r="U2123" s="329" t="str">
        <f>IF($N2123=$N$4,IFERROR(INDEX(DanhMuc!$E$154:$E$165,MATCH(MID($B2123,4,2),DanhMuc!$B$154:$B$165,0)),""),"")</f>
        <v/>
      </c>
      <c r="V2123" s="361"/>
      <c r="W2123" s="345"/>
      <c r="X2123" s="329" t="str">
        <f t="shared" si="252"/>
        <v>2R</v>
      </c>
      <c r="Y2123" s="1128" t="s">
        <v>3380</v>
      </c>
      <c r="Z2123" s="1128" t="s">
        <v>3381</v>
      </c>
      <c r="AA2123" s="1128" t="s">
        <v>3384</v>
      </c>
      <c r="AB2123" s="20"/>
      <c r="AC2123" s="73"/>
    </row>
    <row r="2124" spans="1:29">
      <c r="A2124" s="327" t="str">
        <f>IF(AND($B2124&lt;&gt;"",$C2124&lt;&gt;""),MAX($A$1556:A2122)+1,"")</f>
        <v/>
      </c>
      <c r="B2124" s="361" t="s">
        <v>3170</v>
      </c>
      <c r="C2124" s="360"/>
      <c r="D2124" s="327">
        <f>IF($B2124="","",COUNTIF($B$6:$B2124,$B2124))</f>
        <v>13</v>
      </c>
      <c r="E2124" s="402" t="s">
        <v>955</v>
      </c>
      <c r="F2124" s="403" t="s">
        <v>956</v>
      </c>
      <c r="G2124" s="410" t="s">
        <v>156</v>
      </c>
      <c r="H2124" s="327" t="s">
        <v>536</v>
      </c>
      <c r="I2124" s="411" t="s">
        <v>2854</v>
      </c>
      <c r="J2124" s="404"/>
      <c r="K2124" s="410"/>
      <c r="L2124" s="415">
        <v>37000</v>
      </c>
      <c r="M2124" s="371"/>
      <c r="N2124" s="355" t="s">
        <v>153</v>
      </c>
      <c r="O2124" s="404" t="s">
        <v>1782</v>
      </c>
      <c r="P2124" s="392"/>
      <c r="Q2124" s="327"/>
      <c r="R2124" s="351"/>
      <c r="S2124" s="351"/>
      <c r="T2124" s="351"/>
      <c r="U2124" s="329" t="str">
        <f>IF($N2124=$N$4,IFERROR(INDEX(DanhMuc!$E$154:$E$165,MATCH(MID($B2124,4,2),DanhMuc!$B$154:$B$165,0)),""),"")</f>
        <v/>
      </c>
      <c r="V2124" s="361"/>
      <c r="W2124" s="345"/>
      <c r="X2124" s="329" t="str">
        <f t="shared" si="252"/>
        <v>2R</v>
      </c>
      <c r="Y2124" s="1128" t="s">
        <v>3380</v>
      </c>
      <c r="Z2124" s="1128" t="s">
        <v>3381</v>
      </c>
      <c r="AA2124" s="1128" t="s">
        <v>3384</v>
      </c>
      <c r="AB2124" s="20"/>
      <c r="AC2124" s="73"/>
    </row>
    <row r="2125" spans="1:29">
      <c r="A2125" s="327" t="str">
        <f>IF(AND($B2125&lt;&gt;"",$C2125&lt;&gt;""),MAX($A$1556:A2123)+1,"")</f>
        <v/>
      </c>
      <c r="B2125" s="361" t="s">
        <v>3170</v>
      </c>
      <c r="C2125" s="360"/>
      <c r="D2125" s="327">
        <f>IF($B2125="","",COUNTIF($B$6:$B2125,$B2125))</f>
        <v>14</v>
      </c>
      <c r="E2125" s="402" t="s">
        <v>182</v>
      </c>
      <c r="F2125" s="403" t="s">
        <v>183</v>
      </c>
      <c r="G2125" s="410" t="s">
        <v>156</v>
      </c>
      <c r="H2125" s="327" t="s">
        <v>536</v>
      </c>
      <c r="I2125" s="411" t="s">
        <v>2855</v>
      </c>
      <c r="J2125" s="404"/>
      <c r="K2125" s="410"/>
      <c r="L2125" s="415">
        <v>45000</v>
      </c>
      <c r="M2125" s="371"/>
      <c r="N2125" s="355" t="s">
        <v>153</v>
      </c>
      <c r="O2125" s="404" t="s">
        <v>1782</v>
      </c>
      <c r="P2125" s="392"/>
      <c r="Q2125" s="327"/>
      <c r="R2125" s="351"/>
      <c r="S2125" s="351"/>
      <c r="T2125" s="351"/>
      <c r="U2125" s="329" t="str">
        <f>IF($N2125=$N$4,IFERROR(INDEX(DanhMuc!$E$154:$E$165,MATCH(MID($B2125,4,2),DanhMuc!$B$154:$B$165,0)),""),"")</f>
        <v/>
      </c>
      <c r="V2125" s="361"/>
      <c r="W2125" s="345"/>
      <c r="X2125" s="329" t="str">
        <f t="shared" si="252"/>
        <v>2R</v>
      </c>
      <c r="Y2125" s="1128" t="s">
        <v>3380</v>
      </c>
      <c r="Z2125" s="1128" t="s">
        <v>3381</v>
      </c>
      <c r="AA2125" s="1128" t="s">
        <v>3384</v>
      </c>
      <c r="AB2125" s="20"/>
      <c r="AC2125" s="73"/>
    </row>
    <row r="2126" spans="1:29">
      <c r="A2126" s="327" t="str">
        <f>IF(AND($B2126&lt;&gt;"",$C2126&lt;&gt;""),MAX($A$1556:A2124)+1,"")</f>
        <v/>
      </c>
      <c r="B2126" s="361" t="s">
        <v>3170</v>
      </c>
      <c r="C2126" s="360"/>
      <c r="D2126" s="327">
        <f>IF($B2126="","",COUNTIF($B$6:$B2126,$B2126))</f>
        <v>15</v>
      </c>
      <c r="E2126" s="361" t="s">
        <v>184</v>
      </c>
      <c r="F2126" s="362" t="s">
        <v>981</v>
      </c>
      <c r="G2126" s="327" t="s">
        <v>155</v>
      </c>
      <c r="H2126" s="327" t="s">
        <v>536</v>
      </c>
      <c r="I2126" s="327">
        <v>2</v>
      </c>
      <c r="J2126" s="359"/>
      <c r="K2126" s="327"/>
      <c r="L2126" s="389">
        <v>6500</v>
      </c>
      <c r="M2126" s="371"/>
      <c r="N2126" s="355" t="str">
        <f t="shared" ref="N2126:N2134" si="254">+$N$1555</f>
        <v>PK</v>
      </c>
      <c r="O2126" s="404" t="s">
        <v>1782</v>
      </c>
      <c r="P2126" s="392"/>
      <c r="Q2126" s="327"/>
      <c r="R2126" s="351"/>
      <c r="S2126" s="351"/>
      <c r="T2126" s="351"/>
      <c r="U2126" s="329" t="str">
        <f>IF($N2126=$N$4,IFERROR(INDEX(DanhMuc!$E$154:$E$165,MATCH(MID($B2126,4,2),DanhMuc!$B$154:$B$165,0)),""),"")</f>
        <v/>
      </c>
      <c r="V2126" s="361"/>
      <c r="W2126" s="345"/>
      <c r="X2126" s="329" t="str">
        <f t="shared" si="252"/>
        <v>2R</v>
      </c>
      <c r="Y2126" s="1128" t="s">
        <v>3380</v>
      </c>
      <c r="Z2126" s="1128" t="s">
        <v>3381</v>
      </c>
      <c r="AA2126" s="1128" t="s">
        <v>3384</v>
      </c>
      <c r="AB2126" s="20"/>
      <c r="AC2126" s="73"/>
    </row>
    <row r="2127" spans="1:29">
      <c r="A2127" s="327" t="str">
        <f>IF(AND($B2127&lt;&gt;"",$C2127&lt;&gt;""),MAX($A$1556:A2125)+1,"")</f>
        <v/>
      </c>
      <c r="B2127" s="361" t="s">
        <v>3170</v>
      </c>
      <c r="C2127" s="360"/>
      <c r="D2127" s="327">
        <f>IF($B2127="","",COUNTIF($B$6:$B2127,$B2127))</f>
        <v>16</v>
      </c>
      <c r="E2127" s="361" t="s">
        <v>187</v>
      </c>
      <c r="F2127" s="362" t="s">
        <v>189</v>
      </c>
      <c r="G2127" s="327" t="s">
        <v>155</v>
      </c>
      <c r="H2127" s="327"/>
      <c r="I2127" s="327">
        <v>2</v>
      </c>
      <c r="J2127" s="361"/>
      <c r="K2127" s="327"/>
      <c r="L2127" s="389">
        <v>5000</v>
      </c>
      <c r="M2127" s="371"/>
      <c r="N2127" s="355" t="str">
        <f t="shared" si="254"/>
        <v>PK</v>
      </c>
      <c r="O2127" s="345"/>
      <c r="P2127" s="392"/>
      <c r="Q2127" s="327"/>
      <c r="R2127" s="351"/>
      <c r="S2127" s="351"/>
      <c r="T2127" s="351"/>
      <c r="U2127" s="329" t="str">
        <f>IF($N2127=$N$4,IFERROR(INDEX(DanhMuc!$E$154:$E$165,MATCH(MID($B2127,4,2),DanhMuc!$B$154:$B$165,0)),""),"")</f>
        <v/>
      </c>
      <c r="V2127" s="361"/>
      <c r="W2127" s="345"/>
      <c r="X2127" s="329" t="str">
        <f t="shared" si="252"/>
        <v>2R</v>
      </c>
      <c r="Y2127" s="1128" t="s">
        <v>3380</v>
      </c>
      <c r="Z2127" s="1128" t="s">
        <v>3381</v>
      </c>
      <c r="AA2127" s="1128" t="s">
        <v>3384</v>
      </c>
      <c r="AB2127" s="20"/>
      <c r="AC2127" s="73"/>
    </row>
    <row r="2128" spans="1:29">
      <c r="A2128" s="327" t="str">
        <f>IF(AND($B2128&lt;&gt;"",$C2128&lt;&gt;""),MAX($A$1556:A2126)+1,"")</f>
        <v/>
      </c>
      <c r="B2128" s="361" t="s">
        <v>3170</v>
      </c>
      <c r="C2128" s="360"/>
      <c r="D2128" s="327">
        <f>IF($B2128="","",COUNTIF($B$6:$B2128,$B2128))</f>
        <v>17</v>
      </c>
      <c r="E2128" s="361" t="s">
        <v>163</v>
      </c>
      <c r="F2128" s="362" t="s">
        <v>164</v>
      </c>
      <c r="G2128" s="327" t="s">
        <v>155</v>
      </c>
      <c r="H2128" s="327"/>
      <c r="I2128" s="327">
        <v>2</v>
      </c>
      <c r="J2128" s="361"/>
      <c r="K2128" s="327"/>
      <c r="L2128" s="389">
        <v>2500</v>
      </c>
      <c r="M2128" s="371"/>
      <c r="N2128" s="355" t="str">
        <f t="shared" si="254"/>
        <v>PK</v>
      </c>
      <c r="O2128" s="345"/>
      <c r="P2128" s="392"/>
      <c r="Q2128" s="327"/>
      <c r="R2128" s="351"/>
      <c r="S2128" s="351"/>
      <c r="T2128" s="351"/>
      <c r="U2128" s="329" t="str">
        <f>IF($N2128=$N$4,IFERROR(INDEX(DanhMuc!$E$154:$E$165,MATCH(MID($B2128,4,2),DanhMuc!$B$154:$B$165,0)),""),"")</f>
        <v/>
      </c>
      <c r="V2128" s="408" t="s">
        <v>342</v>
      </c>
      <c r="W2128" s="345"/>
      <c r="X2128" s="329" t="str">
        <f t="shared" si="252"/>
        <v>2R</v>
      </c>
      <c r="Y2128" s="1128" t="s">
        <v>3380</v>
      </c>
      <c r="Z2128" s="1128" t="s">
        <v>3381</v>
      </c>
      <c r="AA2128" s="1128" t="s">
        <v>3384</v>
      </c>
      <c r="AB2128" s="20"/>
      <c r="AC2128" s="73"/>
    </row>
    <row r="2129" spans="1:29">
      <c r="A2129" s="327" t="str">
        <f>IF(AND($B2129&lt;&gt;"",$C2129&lt;&gt;""),MAX($A$1556:A2128)+1,"")</f>
        <v/>
      </c>
      <c r="B2129" s="361" t="s">
        <v>3170</v>
      </c>
      <c r="C2129" s="360"/>
      <c r="D2129" s="327">
        <f>IF($B2129="","",COUNTIF($B$6:$B2129,$B2129))</f>
        <v>18</v>
      </c>
      <c r="E2129" s="361" t="s">
        <v>161</v>
      </c>
      <c r="F2129" s="362" t="s">
        <v>162</v>
      </c>
      <c r="G2129" s="327" t="s">
        <v>155</v>
      </c>
      <c r="H2129" s="327" t="s">
        <v>536</v>
      </c>
      <c r="I2129" s="327">
        <v>6</v>
      </c>
      <c r="J2129" s="361"/>
      <c r="K2129" s="327"/>
      <c r="L2129" s="389">
        <v>27000</v>
      </c>
      <c r="M2129" s="371"/>
      <c r="N2129" s="355" t="str">
        <f t="shared" si="254"/>
        <v>PK</v>
      </c>
      <c r="O2129" s="345" t="s">
        <v>1705</v>
      </c>
      <c r="P2129" s="392"/>
      <c r="Q2129" s="327"/>
      <c r="R2129" s="351"/>
      <c r="S2129" s="351"/>
      <c r="T2129" s="351"/>
      <c r="U2129" s="329" t="str">
        <f>IF($N2129=$N$4,IFERROR(INDEX(DanhMuc!$E$154:$E$165,MATCH(MID($B2129,4,2),DanhMuc!$B$154:$B$165,0)),""),"")</f>
        <v/>
      </c>
      <c r="V2129" s="361"/>
      <c r="W2129" s="345"/>
      <c r="X2129" s="329" t="str">
        <f t="shared" si="252"/>
        <v>2R</v>
      </c>
      <c r="Y2129" s="1128" t="s">
        <v>3380</v>
      </c>
      <c r="Z2129" s="1128" t="s">
        <v>3381</v>
      </c>
      <c r="AA2129" s="1128" t="s">
        <v>3384</v>
      </c>
      <c r="AB2129" s="20"/>
      <c r="AC2129" s="73"/>
    </row>
    <row r="2130" spans="1:29">
      <c r="A2130" s="327" t="str">
        <f>IF(AND($B2130&lt;&gt;"",$C2130&lt;&gt;""),MAX($A$1556:A2128)+1,"")</f>
        <v/>
      </c>
      <c r="B2130" s="361" t="s">
        <v>3170</v>
      </c>
      <c r="C2130" s="360"/>
      <c r="D2130" s="327">
        <f>IF($B2130="","",COUNTIF($B$6:$B2130,$B2130))</f>
        <v>19</v>
      </c>
      <c r="E2130" s="361" t="s">
        <v>185</v>
      </c>
      <c r="F2130" s="362" t="s">
        <v>186</v>
      </c>
      <c r="G2130" s="327" t="s">
        <v>155</v>
      </c>
      <c r="H2130" s="327" t="s">
        <v>536</v>
      </c>
      <c r="I2130" s="327">
        <v>6</v>
      </c>
      <c r="J2130" s="361"/>
      <c r="K2130" s="327"/>
      <c r="L2130" s="389">
        <v>41000</v>
      </c>
      <c r="M2130" s="371"/>
      <c r="N2130" s="355" t="str">
        <f t="shared" si="254"/>
        <v>PK</v>
      </c>
      <c r="O2130" s="345" t="s">
        <v>1704</v>
      </c>
      <c r="P2130" s="392"/>
      <c r="Q2130" s="327"/>
      <c r="R2130" s="351"/>
      <c r="S2130" s="351"/>
      <c r="T2130" s="351"/>
      <c r="U2130" s="329" t="str">
        <f>IF($N2130=$N$4,IFERROR(INDEX(DanhMuc!$E$154:$E$165,MATCH(MID($B2130,4,2),DanhMuc!$B$154:$B$165,0)),""),"")</f>
        <v/>
      </c>
      <c r="V2130" s="361"/>
      <c r="W2130" s="345"/>
      <c r="X2130" s="329" t="str">
        <f t="shared" si="252"/>
        <v>2R</v>
      </c>
      <c r="Y2130" s="1128" t="s">
        <v>3380</v>
      </c>
      <c r="Z2130" s="1128" t="s">
        <v>3381</v>
      </c>
      <c r="AA2130" s="1128" t="s">
        <v>3384</v>
      </c>
      <c r="AB2130" s="20"/>
      <c r="AC2130" s="73"/>
    </row>
    <row r="2131" spans="1:29">
      <c r="A2131" s="327" t="str">
        <f>IF(AND($B2131&lt;&gt;"",$C2131&lt;&gt;""),MAX($A$1556:A2130)+1,"")</f>
        <v/>
      </c>
      <c r="B2131" s="361" t="s">
        <v>3170</v>
      </c>
      <c r="C2131" s="360"/>
      <c r="D2131" s="327">
        <f>IF($B2131="","",COUNTIF($B$6:$B2131,$B2131))</f>
        <v>20</v>
      </c>
      <c r="E2131" s="361" t="s">
        <v>165</v>
      </c>
      <c r="F2131" s="362" t="s">
        <v>166</v>
      </c>
      <c r="G2131" s="327" t="s">
        <v>155</v>
      </c>
      <c r="H2131" s="327"/>
      <c r="I2131" s="327">
        <v>2</v>
      </c>
      <c r="J2131" s="361"/>
      <c r="K2131" s="327"/>
      <c r="L2131" s="389">
        <v>1700</v>
      </c>
      <c r="M2131" s="371"/>
      <c r="N2131" s="355" t="str">
        <f t="shared" si="254"/>
        <v>PK</v>
      </c>
      <c r="O2131" s="345"/>
      <c r="P2131" s="392"/>
      <c r="Q2131" s="327"/>
      <c r="R2131" s="351"/>
      <c r="S2131" s="351"/>
      <c r="T2131" s="351"/>
      <c r="U2131" s="329" t="str">
        <f>IF($N2131=$N$4,IFERROR(INDEX(DanhMuc!$E$154:$E$165,MATCH(MID($B2131,4,2),DanhMuc!$B$154:$B$165,0)),""),"")</f>
        <v/>
      </c>
      <c r="V2131" s="361"/>
      <c r="W2131" s="345"/>
      <c r="X2131" s="329" t="str">
        <f t="shared" si="252"/>
        <v>2R</v>
      </c>
      <c r="Y2131" s="1128" t="s">
        <v>3380</v>
      </c>
      <c r="Z2131" s="1128" t="s">
        <v>3381</v>
      </c>
      <c r="AA2131" s="1128" t="s">
        <v>3384</v>
      </c>
      <c r="AB2131" s="20"/>
      <c r="AC2131" s="73"/>
    </row>
    <row r="2132" spans="1:29">
      <c r="A2132" s="327" t="str">
        <f>IF(AND($B2132&lt;&gt;"",$C2132&lt;&gt;""),MAX($A$1556:A2131)+1,"")</f>
        <v/>
      </c>
      <c r="B2132" s="361" t="s">
        <v>3170</v>
      </c>
      <c r="C2132" s="360"/>
      <c r="D2132" s="327">
        <f>IF($B2132="","",COUNTIF($B$6:$B2132,$B2132))</f>
        <v>21</v>
      </c>
      <c r="E2132" s="361" t="s">
        <v>167</v>
      </c>
      <c r="F2132" s="362" t="s">
        <v>168</v>
      </c>
      <c r="G2132" s="327" t="s">
        <v>155</v>
      </c>
      <c r="H2132" s="327"/>
      <c r="I2132" s="327">
        <v>2</v>
      </c>
      <c r="J2132" s="361"/>
      <c r="K2132" s="327"/>
      <c r="L2132" s="389">
        <v>1700</v>
      </c>
      <c r="M2132" s="371"/>
      <c r="N2132" s="355" t="str">
        <f t="shared" si="254"/>
        <v>PK</v>
      </c>
      <c r="O2132" s="345"/>
      <c r="P2132" s="392"/>
      <c r="Q2132" s="327"/>
      <c r="R2132" s="351"/>
      <c r="S2132" s="351"/>
      <c r="T2132" s="351"/>
      <c r="U2132" s="329" t="str">
        <f>IF($N2132=$N$4,IFERROR(INDEX(DanhMuc!$E$154:$E$165,MATCH(MID($B2132,4,2),DanhMuc!$B$154:$B$165,0)),""),"")</f>
        <v/>
      </c>
      <c r="V2132" s="361"/>
      <c r="W2132" s="345"/>
      <c r="X2132" s="329" t="str">
        <f t="shared" si="252"/>
        <v>2R</v>
      </c>
      <c r="Y2132" s="1128" t="s">
        <v>3380</v>
      </c>
      <c r="Z2132" s="1128" t="s">
        <v>3381</v>
      </c>
      <c r="AA2132" s="1128" t="s">
        <v>3384</v>
      </c>
      <c r="AB2132" s="20"/>
      <c r="AC2132" s="73"/>
    </row>
    <row r="2133" spans="1:29">
      <c r="A2133" s="327" t="str">
        <f>IF(AND($B2133&lt;&gt;"",$C2133&lt;&gt;""),MAX($A$1556:A2132)+1,"")</f>
        <v/>
      </c>
      <c r="B2133" s="361" t="s">
        <v>3170</v>
      </c>
      <c r="C2133" s="360"/>
      <c r="D2133" s="327">
        <f>IF($B2133="","",COUNTIF($B$6:$B2133,$B2133))</f>
        <v>22</v>
      </c>
      <c r="E2133" s="361" t="s">
        <v>169</v>
      </c>
      <c r="F2133" s="362" t="s">
        <v>170</v>
      </c>
      <c r="G2133" s="327" t="s">
        <v>155</v>
      </c>
      <c r="H2133" s="327"/>
      <c r="I2133" s="327">
        <v>4</v>
      </c>
      <c r="J2133" s="361"/>
      <c r="K2133" s="327"/>
      <c r="L2133" s="389">
        <v>1700</v>
      </c>
      <c r="M2133" s="371"/>
      <c r="N2133" s="355" t="str">
        <f t="shared" si="254"/>
        <v>PK</v>
      </c>
      <c r="O2133" s="345"/>
      <c r="P2133" s="392"/>
      <c r="Q2133" s="327"/>
      <c r="R2133" s="351"/>
      <c r="S2133" s="351"/>
      <c r="T2133" s="351"/>
      <c r="U2133" s="329" t="str">
        <f>IF($N2133=$N$4,IFERROR(INDEX(DanhMuc!$E$154:$E$165,MATCH(MID($B2133,4,2),DanhMuc!$B$154:$B$165,0)),""),"")</f>
        <v/>
      </c>
      <c r="V2133" s="361"/>
      <c r="W2133" s="345"/>
      <c r="X2133" s="329" t="str">
        <f t="shared" si="252"/>
        <v>2R</v>
      </c>
      <c r="Y2133" s="1128" t="s">
        <v>3380</v>
      </c>
      <c r="Z2133" s="1128" t="s">
        <v>3381</v>
      </c>
      <c r="AA2133" s="1128" t="s">
        <v>3384</v>
      </c>
      <c r="AB2133" s="20"/>
      <c r="AC2133" s="73"/>
    </row>
    <row r="2134" spans="1:29">
      <c r="A2134" s="327" t="str">
        <f>IF(AND($B2134&lt;&gt;"",$C2134&lt;&gt;""),MAX($A$1556:A2133)+1,"")</f>
        <v/>
      </c>
      <c r="B2134" s="361" t="s">
        <v>3170</v>
      </c>
      <c r="C2134" s="360"/>
      <c r="D2134" s="327">
        <f>IF($B2134="","",COUNTIF($B$6:$B2134,$B2134))</f>
        <v>23</v>
      </c>
      <c r="E2134" s="361" t="s">
        <v>171</v>
      </c>
      <c r="F2134" s="362" t="s">
        <v>291</v>
      </c>
      <c r="G2134" s="327" t="s">
        <v>155</v>
      </c>
      <c r="H2134" s="327"/>
      <c r="I2134" s="327">
        <v>4</v>
      </c>
      <c r="J2134" s="361"/>
      <c r="K2134" s="327"/>
      <c r="L2134" s="389">
        <v>1700</v>
      </c>
      <c r="M2134" s="371"/>
      <c r="N2134" s="355" t="str">
        <f t="shared" si="254"/>
        <v>PK</v>
      </c>
      <c r="O2134" s="345"/>
      <c r="P2134" s="392"/>
      <c r="Q2134" s="327"/>
      <c r="R2134" s="351"/>
      <c r="S2134" s="351"/>
      <c r="T2134" s="351"/>
      <c r="U2134" s="329" t="str">
        <f>IF($N2134=$N$4,IFERROR(INDEX(DanhMuc!$E$154:$E$165,MATCH(MID($B2134,4,2),DanhMuc!$B$154:$B$165,0)),""),"")</f>
        <v/>
      </c>
      <c r="V2134" s="361"/>
      <c r="W2134" s="345"/>
      <c r="X2134" s="329" t="str">
        <f t="shared" si="252"/>
        <v>2R</v>
      </c>
      <c r="Y2134" s="1128" t="s">
        <v>3380</v>
      </c>
      <c r="Z2134" s="1128" t="s">
        <v>3381</v>
      </c>
      <c r="AA2134" s="1128" t="s">
        <v>3384</v>
      </c>
      <c r="AB2134" s="20"/>
      <c r="AC2134" s="73"/>
    </row>
    <row r="2135" spans="1:29" ht="26">
      <c r="A2135" s="327">
        <f>IF(AND($B2135&lt;&gt;"",$C2135&lt;&gt;""),MAX($A$1556:A2088)+1,"")</f>
        <v>19</v>
      </c>
      <c r="B2135" s="359" t="s">
        <v>1997</v>
      </c>
      <c r="C2135" s="360" t="s">
        <v>1549</v>
      </c>
      <c r="D2135" s="327">
        <f>IF($B2135="","",COUNTIF($B$6:$B2135,$B2135))</f>
        <v>1</v>
      </c>
      <c r="E2135" s="361" t="s">
        <v>157</v>
      </c>
      <c r="F2135" s="362" t="s">
        <v>158</v>
      </c>
      <c r="G2135" s="327" t="s">
        <v>155</v>
      </c>
      <c r="H2135" s="327"/>
      <c r="I2135" s="327">
        <v>3</v>
      </c>
      <c r="J2135" s="359"/>
      <c r="K2135" s="327"/>
      <c r="L2135" s="389">
        <v>45000</v>
      </c>
      <c r="M2135" s="371"/>
      <c r="N2135" s="355" t="s">
        <v>153</v>
      </c>
      <c r="O2135" s="404" t="s">
        <v>1781</v>
      </c>
      <c r="P2135" s="392"/>
      <c r="Q2135" s="327"/>
      <c r="R2135" s="351"/>
      <c r="S2135" s="351"/>
      <c r="T2135" s="351"/>
      <c r="U2135" s="329" t="str">
        <f>IF($N2135=$N$4,IFERROR(INDEX(DanhMuc!$E$154:$E$165,MATCH(MID($B2135,4,2),DanhMuc!$B$154:$B$165,0)),""),"")</f>
        <v/>
      </c>
      <c r="V2135" s="361"/>
      <c r="W2135" s="345"/>
      <c r="X2135" s="329" t="str">
        <f t="shared" si="252"/>
        <v>3H</v>
      </c>
      <c r="Y2135" s="1128" t="s">
        <v>3380</v>
      </c>
      <c r="Z2135" s="1128" t="s">
        <v>3381</v>
      </c>
      <c r="AA2135" s="1128" t="s">
        <v>3384</v>
      </c>
      <c r="AB2135" s="20"/>
      <c r="AC2135" s="73"/>
    </row>
    <row r="2136" spans="1:29">
      <c r="A2136" s="327" t="str">
        <f>IF(AND($B2136&lt;&gt;"",$C2136&lt;&gt;""),MAX($A$1556:A2135)+1,"")</f>
        <v/>
      </c>
      <c r="B2136" s="361" t="s">
        <v>1997</v>
      </c>
      <c r="C2136" s="360"/>
      <c r="D2136" s="327">
        <f>IF($B2136="","",COUNTIF($B$6:$B2136,$B2136))</f>
        <v>2</v>
      </c>
      <c r="E2136" s="361" t="s">
        <v>159</v>
      </c>
      <c r="F2136" s="362" t="s">
        <v>160</v>
      </c>
      <c r="G2136" s="327" t="s">
        <v>155</v>
      </c>
      <c r="H2136" s="327"/>
      <c r="I2136" s="327">
        <v>3</v>
      </c>
      <c r="J2136" s="359"/>
      <c r="K2136" s="327"/>
      <c r="L2136" s="389">
        <v>5000</v>
      </c>
      <c r="M2136" s="371"/>
      <c r="N2136" s="355" t="s">
        <v>153</v>
      </c>
      <c r="O2136" s="404" t="s">
        <v>1781</v>
      </c>
      <c r="P2136" s="392"/>
      <c r="Q2136" s="327"/>
      <c r="R2136" s="351"/>
      <c r="S2136" s="351"/>
      <c r="T2136" s="351"/>
      <c r="U2136" s="329" t="str">
        <f>IF($N2136=$N$4,IFERROR(INDEX(DanhMuc!$E$154:$E$165,MATCH(MID($B2136,4,2),DanhMuc!$B$154:$B$165,0)),""),"")</f>
        <v/>
      </c>
      <c r="V2136" s="361"/>
      <c r="W2136" s="345"/>
      <c r="X2136" s="329" t="str">
        <f t="shared" si="252"/>
        <v>3H</v>
      </c>
      <c r="Y2136" s="1128" t="s">
        <v>3380</v>
      </c>
      <c r="Z2136" s="1128" t="s">
        <v>3381</v>
      </c>
      <c r="AA2136" s="1128" t="s">
        <v>3384</v>
      </c>
      <c r="AB2136" s="20"/>
      <c r="AC2136" s="73"/>
    </row>
    <row r="2137" spans="1:29">
      <c r="A2137" s="327" t="str">
        <f>IF(AND($B2137&lt;&gt;"",$C2137&lt;&gt;""),MAX($A$1556:A2136)+1,"")</f>
        <v/>
      </c>
      <c r="B2137" s="361" t="s">
        <v>1997</v>
      </c>
      <c r="C2137" s="360"/>
      <c r="D2137" s="327">
        <f>IF($B2137="","",COUNTIF($B$6:$B2137,$B2137))</f>
        <v>3</v>
      </c>
      <c r="E2137" s="361" t="s">
        <v>3135</v>
      </c>
      <c r="F2137" s="362" t="s">
        <v>3136</v>
      </c>
      <c r="G2137" s="327" t="s">
        <v>155</v>
      </c>
      <c r="H2137" s="327"/>
      <c r="I2137" s="327">
        <v>3</v>
      </c>
      <c r="J2137" s="345"/>
      <c r="K2137" s="327"/>
      <c r="L2137" s="389">
        <v>140000</v>
      </c>
      <c r="M2137" s="371"/>
      <c r="N2137" s="355" t="str">
        <f t="shared" ref="N2137:N2138" si="255">+$N$1555</f>
        <v>PK</v>
      </c>
      <c r="O2137" s="404" t="s">
        <v>3137</v>
      </c>
      <c r="P2137" s="392"/>
      <c r="Q2137" s="327"/>
      <c r="R2137" s="351"/>
      <c r="S2137" s="351"/>
      <c r="T2137" s="351"/>
      <c r="U2137" s="329" t="str">
        <f>IF($N2137=$N$4,IFERROR(INDEX(DanhMuc!$E$154:$E$165,MATCH(MID($B2137,4,2),DanhMuc!$B$154:$B$165,0)),""),"")</f>
        <v/>
      </c>
      <c r="V2137" s="361"/>
      <c r="W2137" s="345"/>
      <c r="X2137" s="329" t="str">
        <f t="shared" si="252"/>
        <v>3H</v>
      </c>
      <c r="Y2137" s="1128" t="s">
        <v>3380</v>
      </c>
      <c r="Z2137" s="1128" t="s">
        <v>3381</v>
      </c>
      <c r="AA2137" s="1128" t="s">
        <v>3384</v>
      </c>
      <c r="AB2137" s="20"/>
      <c r="AC2137" s="73"/>
    </row>
    <row r="2138" spans="1:29">
      <c r="A2138" s="327" t="str">
        <f>IF(AND($B2138&lt;&gt;"",$C2138&lt;&gt;""),MAX($A$1556:A2137)+1,"")</f>
        <v/>
      </c>
      <c r="B2138" s="361" t="s">
        <v>1997</v>
      </c>
      <c r="C2138" s="360"/>
      <c r="D2138" s="327">
        <f>IF($B2138="","",COUNTIF($B$6:$B2138,$B2138))</f>
        <v>4</v>
      </c>
      <c r="E2138" s="361" t="s">
        <v>159</v>
      </c>
      <c r="F2138" s="362" t="s">
        <v>160</v>
      </c>
      <c r="G2138" s="327" t="s">
        <v>155</v>
      </c>
      <c r="H2138" s="327"/>
      <c r="I2138" s="327">
        <v>3</v>
      </c>
      <c r="J2138" s="345"/>
      <c r="K2138" s="327"/>
      <c r="L2138" s="389">
        <v>5000</v>
      </c>
      <c r="M2138" s="371"/>
      <c r="N2138" s="355" t="str">
        <f t="shared" si="255"/>
        <v>PK</v>
      </c>
      <c r="O2138" s="404" t="s">
        <v>3137</v>
      </c>
      <c r="P2138" s="392"/>
      <c r="Q2138" s="327"/>
      <c r="R2138" s="351"/>
      <c r="S2138" s="351"/>
      <c r="T2138" s="351"/>
      <c r="U2138" s="329" t="str">
        <f>IF($N2138=$N$4,IFERROR(INDEX(DanhMuc!$E$154:$E$165,MATCH(MID($B2138,4,2),DanhMuc!$B$154:$B$165,0)),""),"")</f>
        <v/>
      </c>
      <c r="V2138" s="361"/>
      <c r="W2138" s="345"/>
      <c r="X2138" s="329" t="str">
        <f t="shared" si="252"/>
        <v>3H</v>
      </c>
      <c r="Y2138" s="1128" t="s">
        <v>3380</v>
      </c>
      <c r="Z2138" s="1128" t="s">
        <v>3381</v>
      </c>
      <c r="AA2138" s="1128" t="s">
        <v>3384</v>
      </c>
      <c r="AB2138" s="20"/>
      <c r="AC2138" s="73"/>
    </row>
    <row r="2139" spans="1:29">
      <c r="A2139" s="327" t="str">
        <f>IF(AND($B2139&lt;&gt;"",$C2139&lt;&gt;""),MAX($A$1556:A2135)+1,"")</f>
        <v/>
      </c>
      <c r="B2139" s="361" t="s">
        <v>1997</v>
      </c>
      <c r="C2139" s="360"/>
      <c r="D2139" s="327">
        <f>IF($B2139="","",COUNTIF($B$6:$B2139,$B2139))</f>
        <v>5</v>
      </c>
      <c r="E2139" s="361" t="s">
        <v>1968</v>
      </c>
      <c r="F2139" s="362" t="s">
        <v>2970</v>
      </c>
      <c r="G2139" s="327" t="s">
        <v>155</v>
      </c>
      <c r="H2139" s="327"/>
      <c r="I2139" s="327">
        <v>2</v>
      </c>
      <c r="J2139" s="359"/>
      <c r="K2139" s="327"/>
      <c r="L2139" s="389">
        <v>28000</v>
      </c>
      <c r="M2139" s="371"/>
      <c r="N2139" s="355" t="s">
        <v>153</v>
      </c>
      <c r="O2139" s="404" t="s">
        <v>1971</v>
      </c>
      <c r="P2139" s="392"/>
      <c r="Q2139" s="327"/>
      <c r="R2139" s="351"/>
      <c r="S2139" s="351"/>
      <c r="T2139" s="351"/>
      <c r="U2139" s="329" t="str">
        <f>IF($N2139=$N$4,IFERROR(INDEX(DanhMuc!$E$154:$E$165,MATCH(MID($B2139,4,2),DanhMuc!$B$154:$B$165,0)),""),"")</f>
        <v/>
      </c>
      <c r="V2139" s="361"/>
      <c r="W2139" s="345"/>
      <c r="X2139" s="329" t="str">
        <f t="shared" si="252"/>
        <v>3H</v>
      </c>
      <c r="Y2139" s="1128" t="s">
        <v>3380</v>
      </c>
      <c r="Z2139" s="1128" t="s">
        <v>3381</v>
      </c>
      <c r="AA2139" s="1128" t="s">
        <v>3384</v>
      </c>
      <c r="AB2139" s="20"/>
      <c r="AC2139" s="73"/>
    </row>
    <row r="2140" spans="1:29">
      <c r="A2140" s="327" t="str">
        <f>IF(AND($B2140&lt;&gt;"",$C2140&lt;&gt;""),MAX($A$1556:A2136)+1,"")</f>
        <v/>
      </c>
      <c r="B2140" s="361" t="s">
        <v>1997</v>
      </c>
      <c r="C2140" s="360"/>
      <c r="D2140" s="327">
        <f>IF($B2140="","",COUNTIF($B$6:$B2140,$B2140))</f>
        <v>6</v>
      </c>
      <c r="E2140" s="361" t="s">
        <v>1968</v>
      </c>
      <c r="F2140" s="362" t="s">
        <v>2971</v>
      </c>
      <c r="G2140" s="327" t="s">
        <v>155</v>
      </c>
      <c r="H2140" s="327"/>
      <c r="I2140" s="327">
        <v>2</v>
      </c>
      <c r="J2140" s="359"/>
      <c r="K2140" s="327"/>
      <c r="L2140" s="389">
        <v>28000</v>
      </c>
      <c r="M2140" s="371"/>
      <c r="N2140" s="355" t="s">
        <v>153</v>
      </c>
      <c r="O2140" s="404" t="s">
        <v>1972</v>
      </c>
      <c r="P2140" s="392"/>
      <c r="Q2140" s="327"/>
      <c r="R2140" s="351"/>
      <c r="S2140" s="351"/>
      <c r="T2140" s="351"/>
      <c r="U2140" s="329" t="str">
        <f>IF($N2140=$N$4,IFERROR(INDEX(DanhMuc!$E$154:$E$165,MATCH(MID($B2140,4,2),DanhMuc!$B$154:$B$165,0)),""),"")</f>
        <v/>
      </c>
      <c r="V2140" s="361"/>
      <c r="W2140" s="345"/>
      <c r="X2140" s="329" t="str">
        <f t="shared" si="252"/>
        <v>3H</v>
      </c>
      <c r="Y2140" s="1128" t="s">
        <v>3380</v>
      </c>
      <c r="Z2140" s="1128" t="s">
        <v>3381</v>
      </c>
      <c r="AA2140" s="1128" t="s">
        <v>3384</v>
      </c>
      <c r="AB2140" s="20"/>
      <c r="AC2140" s="73"/>
    </row>
    <row r="2141" spans="1:29">
      <c r="A2141" s="327" t="str">
        <f>IF(AND($B2141&lt;&gt;"",$C2141&lt;&gt;""),MAX($A$1556:A2139)+1,"")</f>
        <v/>
      </c>
      <c r="B2141" s="361" t="s">
        <v>1997</v>
      </c>
      <c r="C2141" s="360"/>
      <c r="D2141" s="327">
        <f>IF($B2141="","",COUNTIF($B$6:$B2141,$B2141))</f>
        <v>7</v>
      </c>
      <c r="E2141" s="361" t="s">
        <v>1969</v>
      </c>
      <c r="F2141" s="362" t="s">
        <v>1970</v>
      </c>
      <c r="G2141" s="327" t="s">
        <v>155</v>
      </c>
      <c r="H2141" s="327"/>
      <c r="I2141" s="327">
        <v>2</v>
      </c>
      <c r="J2141" s="359"/>
      <c r="K2141" s="327"/>
      <c r="L2141" s="389">
        <v>6300</v>
      </c>
      <c r="M2141" s="371"/>
      <c r="N2141" s="355" t="s">
        <v>153</v>
      </c>
      <c r="O2141" s="404" t="s">
        <v>1780</v>
      </c>
      <c r="P2141" s="392"/>
      <c r="Q2141" s="327"/>
      <c r="R2141" s="351"/>
      <c r="S2141" s="351"/>
      <c r="T2141" s="351"/>
      <c r="U2141" s="329" t="str">
        <f>IF($N2141=$N$4,IFERROR(INDEX(DanhMuc!$E$154:$E$165,MATCH(MID($B2141,4,2),DanhMuc!$B$154:$B$165,0)),""),"")</f>
        <v/>
      </c>
      <c r="V2141" s="361"/>
      <c r="W2141" s="345"/>
      <c r="X2141" s="329" t="str">
        <f t="shared" si="252"/>
        <v>3H</v>
      </c>
      <c r="Y2141" s="1128" t="s">
        <v>3380</v>
      </c>
      <c r="Z2141" s="1128" t="s">
        <v>3381</v>
      </c>
      <c r="AA2141" s="1128" t="s">
        <v>3384</v>
      </c>
      <c r="AB2141" s="20"/>
      <c r="AC2141" s="73"/>
    </row>
    <row r="2142" spans="1:29">
      <c r="A2142" s="327" t="str">
        <f>IF(AND($B2142&lt;&gt;"",$C2142&lt;&gt;""),MAX($A$1556:A2095)+1,"")</f>
        <v/>
      </c>
      <c r="B2142" s="361" t="s">
        <v>1997</v>
      </c>
      <c r="C2142" s="360"/>
      <c r="D2142" s="327">
        <f>IF($B2142="","",COUNTIF($B$6:$B2142,$B2142))</f>
        <v>8</v>
      </c>
      <c r="E2142" s="361" t="s">
        <v>157</v>
      </c>
      <c r="F2142" s="362" t="s">
        <v>158</v>
      </c>
      <c r="G2142" s="327" t="s">
        <v>155</v>
      </c>
      <c r="H2142" s="327"/>
      <c r="I2142" s="327">
        <v>2</v>
      </c>
      <c r="J2142" s="359"/>
      <c r="K2142" s="327"/>
      <c r="L2142" s="389">
        <v>45000</v>
      </c>
      <c r="M2142" s="371"/>
      <c r="N2142" s="355" t="s">
        <v>153</v>
      </c>
      <c r="O2142" s="404" t="s">
        <v>1782</v>
      </c>
      <c r="P2142" s="392"/>
      <c r="Q2142" s="327"/>
      <c r="R2142" s="351"/>
      <c r="S2142" s="351"/>
      <c r="T2142" s="351"/>
      <c r="U2142" s="329" t="str">
        <f>IF($N2142=$N$4,IFERROR(INDEX(DanhMuc!$E$154:$E$165,MATCH(MID($B2142,4,2),DanhMuc!$B$154:$B$165,0)),""),"")</f>
        <v/>
      </c>
      <c r="V2142" s="361"/>
      <c r="W2142" s="345"/>
      <c r="X2142" s="329" t="str">
        <f t="shared" si="252"/>
        <v>3H</v>
      </c>
      <c r="Y2142" s="1128" t="s">
        <v>3380</v>
      </c>
      <c r="Z2142" s="1128" t="s">
        <v>3381</v>
      </c>
      <c r="AA2142" s="1128" t="s">
        <v>3384</v>
      </c>
      <c r="AB2142" s="20"/>
      <c r="AC2142" s="73"/>
    </row>
    <row r="2143" spans="1:29">
      <c r="A2143" s="327" t="str">
        <f>IF(AND($B2143&lt;&gt;"",$C2143&lt;&gt;""),MAX($A$1556:A2142)+1,"")</f>
        <v/>
      </c>
      <c r="B2143" s="361" t="s">
        <v>1997</v>
      </c>
      <c r="C2143" s="360"/>
      <c r="D2143" s="327">
        <f>IF($B2143="","",COUNTIF($B$6:$B2143,$B2143))</f>
        <v>9</v>
      </c>
      <c r="E2143" s="361" t="s">
        <v>159</v>
      </c>
      <c r="F2143" s="362" t="s">
        <v>160</v>
      </c>
      <c r="G2143" s="327" t="s">
        <v>155</v>
      </c>
      <c r="H2143" s="327"/>
      <c r="I2143" s="327">
        <v>2</v>
      </c>
      <c r="J2143" s="359"/>
      <c r="K2143" s="327"/>
      <c r="L2143" s="389">
        <v>5000</v>
      </c>
      <c r="M2143" s="371"/>
      <c r="N2143" s="355" t="s">
        <v>153</v>
      </c>
      <c r="O2143" s="404" t="s">
        <v>1782</v>
      </c>
      <c r="P2143" s="392"/>
      <c r="Q2143" s="327"/>
      <c r="R2143" s="351"/>
      <c r="S2143" s="351"/>
      <c r="T2143" s="351"/>
      <c r="U2143" s="329" t="str">
        <f>IF($N2143=$N$4,IFERROR(INDEX(DanhMuc!$E$154:$E$165,MATCH(MID($B2143,4,2),DanhMuc!$B$154:$B$165,0)),""),"")</f>
        <v/>
      </c>
      <c r="V2143" s="361"/>
      <c r="W2143" s="345"/>
      <c r="X2143" s="329" t="str">
        <f t="shared" si="252"/>
        <v>3H</v>
      </c>
      <c r="Y2143" s="1128" t="s">
        <v>3380</v>
      </c>
      <c r="Z2143" s="1128" t="s">
        <v>3381</v>
      </c>
      <c r="AA2143" s="1128" t="s">
        <v>3384</v>
      </c>
      <c r="AB2143" s="20"/>
      <c r="AC2143" s="73"/>
    </row>
    <row r="2144" spans="1:29" ht="25">
      <c r="A2144" s="327" t="str">
        <f>IF(AND($B2144&lt;&gt;"",$C2144&lt;&gt;""),MAX($A$1556:A2136)+1,"")</f>
        <v/>
      </c>
      <c r="B2144" s="361" t="s">
        <v>1997</v>
      </c>
      <c r="C2144" s="360"/>
      <c r="D2144" s="327">
        <f>IF($B2144="","",COUNTIF($B$6:$B2144,$B2144))</f>
        <v>10</v>
      </c>
      <c r="E2144" s="361" t="s">
        <v>209</v>
      </c>
      <c r="F2144" s="362" t="s">
        <v>210</v>
      </c>
      <c r="G2144" s="327" t="s">
        <v>155</v>
      </c>
      <c r="H2144" s="327"/>
      <c r="I2144" s="327">
        <v>1</v>
      </c>
      <c r="J2144" s="359"/>
      <c r="K2144" s="327"/>
      <c r="L2144" s="389">
        <v>70000</v>
      </c>
      <c r="M2144" s="371"/>
      <c r="N2144" s="355" t="s">
        <v>153</v>
      </c>
      <c r="O2144" s="404" t="s">
        <v>1782</v>
      </c>
      <c r="P2144" s="392"/>
      <c r="Q2144" s="327"/>
      <c r="R2144" s="351"/>
      <c r="S2144" s="351"/>
      <c r="T2144" s="351"/>
      <c r="U2144" s="329" t="str">
        <f>IF($N2144=$N$4,IFERROR(INDEX(DanhMuc!$E$154:$E$165,MATCH(MID($B2144,4,2),DanhMuc!$B$154:$B$165,0)),""),"")</f>
        <v/>
      </c>
      <c r="V2144" s="361"/>
      <c r="W2144" s="345"/>
      <c r="X2144" s="329" t="str">
        <f t="shared" si="252"/>
        <v>3H</v>
      </c>
      <c r="Y2144" s="1128" t="s">
        <v>3380</v>
      </c>
      <c r="Z2144" s="1128" t="s">
        <v>3381</v>
      </c>
      <c r="AA2144" s="1128" t="s">
        <v>3384</v>
      </c>
      <c r="AB2144" s="20"/>
      <c r="AC2144" s="73"/>
    </row>
    <row r="2145" spans="1:29">
      <c r="A2145" s="327" t="str">
        <f>IF(AND($B2145&lt;&gt;"",$C2145&lt;&gt;""),MAX($A$1556:A2144)+1,"")</f>
        <v/>
      </c>
      <c r="B2145" s="361" t="s">
        <v>1997</v>
      </c>
      <c r="C2145" s="360"/>
      <c r="D2145" s="327">
        <f>IF($B2145="","",COUNTIF($B$6:$B2145,$B2145))</f>
        <v>11</v>
      </c>
      <c r="E2145" s="402" t="s">
        <v>952</v>
      </c>
      <c r="F2145" s="403" t="s">
        <v>953</v>
      </c>
      <c r="G2145" s="410" t="s">
        <v>156</v>
      </c>
      <c r="H2145" s="327" t="s">
        <v>536</v>
      </c>
      <c r="I2145" s="411" t="s">
        <v>2856</v>
      </c>
      <c r="J2145" s="404"/>
      <c r="K2145" s="410"/>
      <c r="L2145" s="415">
        <v>27000</v>
      </c>
      <c r="M2145" s="371"/>
      <c r="N2145" s="355" t="s">
        <v>153</v>
      </c>
      <c r="O2145" s="404" t="s">
        <v>1782</v>
      </c>
      <c r="P2145" s="392"/>
      <c r="Q2145" s="327"/>
      <c r="R2145" s="351"/>
      <c r="S2145" s="351"/>
      <c r="T2145" s="351"/>
      <c r="U2145" s="329" t="str">
        <f>IF($N2145=$N$4,IFERROR(INDEX(DanhMuc!$E$154:$E$165,MATCH(MID($B2145,4,2),DanhMuc!$B$154:$B$165,0)),""),"")</f>
        <v/>
      </c>
      <c r="V2145" s="361"/>
      <c r="W2145" s="345"/>
      <c r="X2145" s="329" t="str">
        <f t="shared" si="252"/>
        <v>3H</v>
      </c>
      <c r="Y2145" s="1128" t="s">
        <v>3380</v>
      </c>
      <c r="Z2145" s="1128" t="s">
        <v>3381</v>
      </c>
      <c r="AA2145" s="1128" t="s">
        <v>3384</v>
      </c>
      <c r="AB2145" s="20"/>
      <c r="AC2145" s="73"/>
    </row>
    <row r="2146" spans="1:29">
      <c r="A2146" s="327" t="str">
        <f>IF(AND($B2146&lt;&gt;"",$C2146&lt;&gt;""),MAX($A$1556:A2145)+1,"")</f>
        <v/>
      </c>
      <c r="B2146" s="361" t="s">
        <v>1997</v>
      </c>
      <c r="C2146" s="360"/>
      <c r="D2146" s="327">
        <f>IF($B2146="","",COUNTIF($B$6:$B2146,$B2146))</f>
        <v>12</v>
      </c>
      <c r="E2146" s="402" t="s">
        <v>954</v>
      </c>
      <c r="F2146" s="403" t="s">
        <v>1059</v>
      </c>
      <c r="G2146" s="410" t="s">
        <v>156</v>
      </c>
      <c r="H2146" s="327" t="s">
        <v>536</v>
      </c>
      <c r="I2146" s="411" t="s">
        <v>2853</v>
      </c>
      <c r="J2146" s="404"/>
      <c r="K2146" s="410"/>
      <c r="L2146" s="415">
        <v>35000</v>
      </c>
      <c r="M2146" s="371"/>
      <c r="N2146" s="355" t="s">
        <v>153</v>
      </c>
      <c r="O2146" s="404" t="s">
        <v>1782</v>
      </c>
      <c r="P2146" s="392"/>
      <c r="Q2146" s="327"/>
      <c r="R2146" s="351"/>
      <c r="S2146" s="351"/>
      <c r="T2146" s="351"/>
      <c r="U2146" s="329" t="str">
        <f>IF($N2146=$N$4,IFERROR(INDEX(DanhMuc!$E$154:$E$165,MATCH(MID($B2146,4,2),DanhMuc!$B$154:$B$165,0)),""),"")</f>
        <v/>
      </c>
      <c r="V2146" s="361"/>
      <c r="W2146" s="345"/>
      <c r="X2146" s="329" t="str">
        <f t="shared" si="252"/>
        <v>3H</v>
      </c>
      <c r="Y2146" s="1128" t="s">
        <v>3380</v>
      </c>
      <c r="Z2146" s="1128" t="s">
        <v>3381</v>
      </c>
      <c r="AA2146" s="1128" t="s">
        <v>3384</v>
      </c>
      <c r="AB2146" s="20"/>
      <c r="AC2146" s="73"/>
    </row>
    <row r="2147" spans="1:29">
      <c r="A2147" s="327" t="str">
        <f>IF(AND($B2147&lt;&gt;"",$C2147&lt;&gt;""),MAX($A$1556:A2146)+1,"")</f>
        <v/>
      </c>
      <c r="B2147" s="361" t="s">
        <v>1997</v>
      </c>
      <c r="C2147" s="360"/>
      <c r="D2147" s="327">
        <f>IF($B2147="","",COUNTIF($B$6:$B2147,$B2147))</f>
        <v>13</v>
      </c>
      <c r="E2147" s="402" t="s">
        <v>955</v>
      </c>
      <c r="F2147" s="403" t="s">
        <v>956</v>
      </c>
      <c r="G2147" s="410" t="s">
        <v>156</v>
      </c>
      <c r="H2147" s="327" t="s">
        <v>536</v>
      </c>
      <c r="I2147" s="411" t="s">
        <v>2854</v>
      </c>
      <c r="J2147" s="404"/>
      <c r="K2147" s="410"/>
      <c r="L2147" s="415">
        <v>37000</v>
      </c>
      <c r="M2147" s="371"/>
      <c r="N2147" s="355" t="s">
        <v>153</v>
      </c>
      <c r="O2147" s="404" t="s">
        <v>1782</v>
      </c>
      <c r="P2147" s="392"/>
      <c r="Q2147" s="327"/>
      <c r="R2147" s="351"/>
      <c r="S2147" s="351"/>
      <c r="T2147" s="351"/>
      <c r="U2147" s="329" t="str">
        <f>IF($N2147=$N$4,IFERROR(INDEX(DanhMuc!$E$154:$E$165,MATCH(MID($B2147,4,2),DanhMuc!$B$154:$B$165,0)),""),"")</f>
        <v/>
      </c>
      <c r="V2147" s="361"/>
      <c r="W2147" s="345"/>
      <c r="X2147" s="329" t="str">
        <f t="shared" si="252"/>
        <v>3H</v>
      </c>
      <c r="Y2147" s="1128" t="s">
        <v>3380</v>
      </c>
      <c r="Z2147" s="1128" t="s">
        <v>3381</v>
      </c>
      <c r="AA2147" s="1128" t="s">
        <v>3384</v>
      </c>
      <c r="AB2147" s="20"/>
      <c r="AC2147" s="73"/>
    </row>
    <row r="2148" spans="1:29">
      <c r="A2148" s="327" t="str">
        <f>IF(AND($B2148&lt;&gt;"",$C2148&lt;&gt;""),MAX($A$1556:A2147)+1,"")</f>
        <v/>
      </c>
      <c r="B2148" s="361" t="s">
        <v>1997</v>
      </c>
      <c r="C2148" s="360"/>
      <c r="D2148" s="327">
        <f>IF($B2148="","",COUNTIF($B$6:$B2148,$B2148))</f>
        <v>14</v>
      </c>
      <c r="E2148" s="402" t="s">
        <v>182</v>
      </c>
      <c r="F2148" s="403" t="s">
        <v>183</v>
      </c>
      <c r="G2148" s="410" t="s">
        <v>156</v>
      </c>
      <c r="H2148" s="327" t="s">
        <v>536</v>
      </c>
      <c r="I2148" s="411" t="s">
        <v>2855</v>
      </c>
      <c r="J2148" s="404"/>
      <c r="K2148" s="410"/>
      <c r="L2148" s="415">
        <v>45000</v>
      </c>
      <c r="M2148" s="371"/>
      <c r="N2148" s="355" t="s">
        <v>153</v>
      </c>
      <c r="O2148" s="404" t="s">
        <v>1782</v>
      </c>
      <c r="P2148" s="392"/>
      <c r="Q2148" s="327"/>
      <c r="R2148" s="351"/>
      <c r="S2148" s="351"/>
      <c r="T2148" s="351"/>
      <c r="U2148" s="329" t="str">
        <f>IF($N2148=$N$4,IFERROR(INDEX(DanhMuc!$E$154:$E$165,MATCH(MID($B2148,4,2),DanhMuc!$B$154:$B$165,0)),""),"")</f>
        <v/>
      </c>
      <c r="V2148" s="361"/>
      <c r="W2148" s="345"/>
      <c r="X2148" s="329" t="str">
        <f t="shared" si="252"/>
        <v>3H</v>
      </c>
      <c r="Y2148" s="1128" t="s">
        <v>3380</v>
      </c>
      <c r="Z2148" s="1128" t="s">
        <v>3381</v>
      </c>
      <c r="AA2148" s="1128" t="s">
        <v>3384</v>
      </c>
      <c r="AB2148" s="20"/>
      <c r="AC2148" s="73"/>
    </row>
    <row r="2149" spans="1:29">
      <c r="A2149" s="327" t="str">
        <f>IF(AND($B2149&lt;&gt;"",$C2149&lt;&gt;""),MAX($A$1556:A2148)+1,"")</f>
        <v/>
      </c>
      <c r="B2149" s="361" t="s">
        <v>1997</v>
      </c>
      <c r="C2149" s="360"/>
      <c r="D2149" s="327">
        <f>IF($B2149="","",COUNTIF($B$6:$B2149,$B2149))</f>
        <v>15</v>
      </c>
      <c r="E2149" s="361" t="s">
        <v>184</v>
      </c>
      <c r="F2149" s="362" t="s">
        <v>981</v>
      </c>
      <c r="G2149" s="327" t="s">
        <v>155</v>
      </c>
      <c r="H2149" s="327" t="s">
        <v>536</v>
      </c>
      <c r="I2149" s="327">
        <v>2</v>
      </c>
      <c r="J2149" s="359"/>
      <c r="K2149" s="327"/>
      <c r="L2149" s="389">
        <v>6500</v>
      </c>
      <c r="M2149" s="371"/>
      <c r="N2149" s="355" t="str">
        <f t="shared" ref="N2149:N2161" si="256">+$N$1555</f>
        <v>PK</v>
      </c>
      <c r="O2149" s="404" t="s">
        <v>1782</v>
      </c>
      <c r="P2149" s="392"/>
      <c r="Q2149" s="327"/>
      <c r="R2149" s="351"/>
      <c r="S2149" s="351"/>
      <c r="T2149" s="351"/>
      <c r="U2149" s="329" t="str">
        <f>IF($N2149=$N$4,IFERROR(INDEX(DanhMuc!$E$154:$E$165,MATCH(MID($B2149,4,2),DanhMuc!$B$154:$B$165,0)),""),"")</f>
        <v/>
      </c>
      <c r="V2149" s="361"/>
      <c r="W2149" s="345"/>
      <c r="X2149" s="329" t="str">
        <f t="shared" si="252"/>
        <v>3H</v>
      </c>
      <c r="Y2149" s="1128" t="s">
        <v>3380</v>
      </c>
      <c r="Z2149" s="1128" t="s">
        <v>3381</v>
      </c>
      <c r="AA2149" s="1128" t="s">
        <v>3384</v>
      </c>
      <c r="AB2149" s="20"/>
      <c r="AC2149" s="73"/>
    </row>
    <row r="2150" spans="1:29">
      <c r="A2150" s="327" t="str">
        <f>IF(AND($B2150&lt;&gt;"",$C2150&lt;&gt;""),MAX($A$1556:A2149)+1,"")</f>
        <v/>
      </c>
      <c r="B2150" s="361" t="s">
        <v>1997</v>
      </c>
      <c r="C2150" s="360"/>
      <c r="D2150" s="327">
        <f>IF($B2150="","",COUNTIF($B$6:$B2150,$B2150))</f>
        <v>16</v>
      </c>
      <c r="E2150" s="361" t="s">
        <v>187</v>
      </c>
      <c r="F2150" s="362" t="s">
        <v>189</v>
      </c>
      <c r="G2150" s="327" t="s">
        <v>155</v>
      </c>
      <c r="H2150" s="327"/>
      <c r="I2150" s="327">
        <v>4</v>
      </c>
      <c r="J2150" s="361"/>
      <c r="K2150" s="327"/>
      <c r="L2150" s="389">
        <v>5000</v>
      </c>
      <c r="M2150" s="371"/>
      <c r="N2150" s="355" t="str">
        <f t="shared" si="256"/>
        <v>PK</v>
      </c>
      <c r="O2150" s="345"/>
      <c r="P2150" s="392"/>
      <c r="Q2150" s="327"/>
      <c r="R2150" s="351"/>
      <c r="S2150" s="351"/>
      <c r="T2150" s="351"/>
      <c r="U2150" s="329" t="str">
        <f>IF($N2150=$N$4,IFERROR(INDEX(DanhMuc!$E$154:$E$165,MATCH(MID($B2150,4,2),DanhMuc!$B$154:$B$165,0)),""),"")</f>
        <v/>
      </c>
      <c r="V2150" s="361"/>
      <c r="W2150" s="345"/>
      <c r="X2150" s="329" t="str">
        <f t="shared" si="252"/>
        <v>3H</v>
      </c>
      <c r="Y2150" s="1128" t="s">
        <v>3380</v>
      </c>
      <c r="Z2150" s="1128" t="s">
        <v>3381</v>
      </c>
      <c r="AA2150" s="1128" t="s">
        <v>3384</v>
      </c>
      <c r="AB2150" s="20"/>
      <c r="AC2150" s="73"/>
    </row>
    <row r="2151" spans="1:29">
      <c r="A2151" s="327" t="str">
        <f>IF(AND($B2151&lt;&gt;"",$C2151&lt;&gt;""),MAX($A$1556:A2150)+1,"")</f>
        <v/>
      </c>
      <c r="B2151" s="361" t="s">
        <v>1997</v>
      </c>
      <c r="C2151" s="360"/>
      <c r="D2151" s="327">
        <f>IF($B2151="","",COUNTIF($B$6:$B2151,$B2151))</f>
        <v>17</v>
      </c>
      <c r="E2151" s="361" t="s">
        <v>163</v>
      </c>
      <c r="F2151" s="362" t="s">
        <v>164</v>
      </c>
      <c r="G2151" s="327" t="s">
        <v>155</v>
      </c>
      <c r="H2151" s="327"/>
      <c r="I2151" s="327">
        <v>4</v>
      </c>
      <c r="J2151" s="361"/>
      <c r="K2151" s="327"/>
      <c r="L2151" s="389">
        <v>2500</v>
      </c>
      <c r="M2151" s="371"/>
      <c r="N2151" s="355" t="str">
        <f t="shared" si="256"/>
        <v>PK</v>
      </c>
      <c r="O2151" s="345"/>
      <c r="P2151" s="392"/>
      <c r="Q2151" s="327"/>
      <c r="R2151" s="351"/>
      <c r="S2151" s="351"/>
      <c r="T2151" s="351"/>
      <c r="U2151" s="329" t="str">
        <f>IF($N2151=$N$4,IFERROR(INDEX(DanhMuc!$E$154:$E$165,MATCH(MID($B2151,4,2),DanhMuc!$B$154:$B$165,0)),""),"")</f>
        <v/>
      </c>
      <c r="V2151" s="408" t="s">
        <v>342</v>
      </c>
      <c r="W2151" s="345"/>
      <c r="X2151" s="329" t="str">
        <f t="shared" si="252"/>
        <v>3H</v>
      </c>
      <c r="Y2151" s="1128" t="s">
        <v>3380</v>
      </c>
      <c r="Z2151" s="1128" t="s">
        <v>3381</v>
      </c>
      <c r="AA2151" s="1128" t="s">
        <v>3384</v>
      </c>
      <c r="AB2151" s="20"/>
      <c r="AC2151" s="73"/>
    </row>
    <row r="2152" spans="1:29">
      <c r="A2152" s="327" t="str">
        <f>IF(AND($B2152&lt;&gt;"",$C2152&lt;&gt;""),MAX($A$1556:A2151)+1,"")</f>
        <v/>
      </c>
      <c r="B2152" s="361" t="s">
        <v>1997</v>
      </c>
      <c r="C2152" s="360"/>
      <c r="D2152" s="327">
        <f>IF($B2152="","",COUNTIF($B$6:$B2152,$B2152))</f>
        <v>18</v>
      </c>
      <c r="E2152" s="361" t="s">
        <v>161</v>
      </c>
      <c r="F2152" s="362" t="s">
        <v>162</v>
      </c>
      <c r="G2152" s="327" t="s">
        <v>155</v>
      </c>
      <c r="H2152" s="327" t="s">
        <v>536</v>
      </c>
      <c r="I2152" s="327">
        <v>8</v>
      </c>
      <c r="J2152" s="361"/>
      <c r="K2152" s="327"/>
      <c r="L2152" s="389">
        <v>27000</v>
      </c>
      <c r="M2152" s="371"/>
      <c r="N2152" s="355" t="str">
        <f t="shared" si="256"/>
        <v>PK</v>
      </c>
      <c r="O2152" s="345" t="s">
        <v>1705</v>
      </c>
      <c r="P2152" s="392"/>
      <c r="Q2152" s="327"/>
      <c r="R2152" s="351"/>
      <c r="S2152" s="351"/>
      <c r="T2152" s="351"/>
      <c r="U2152" s="329" t="str">
        <f>IF($N2152=$N$4,IFERROR(INDEX(DanhMuc!$E$154:$E$165,MATCH(MID($B2152,4,2),DanhMuc!$B$154:$B$165,0)),""),"")</f>
        <v/>
      </c>
      <c r="V2152" s="361"/>
      <c r="W2152" s="345"/>
      <c r="X2152" s="329" t="str">
        <f t="shared" si="252"/>
        <v>3H</v>
      </c>
      <c r="Y2152" s="1128" t="s">
        <v>3380</v>
      </c>
      <c r="Z2152" s="1128" t="s">
        <v>3381</v>
      </c>
      <c r="AA2152" s="1128" t="s">
        <v>3384</v>
      </c>
      <c r="AB2152" s="20"/>
      <c r="AC2152" s="73"/>
    </row>
    <row r="2153" spans="1:29">
      <c r="A2153" s="327" t="str">
        <f>IF(AND($B2153&lt;&gt;"",$C2153&lt;&gt;""),MAX($A$1556:A2151)+1,"")</f>
        <v/>
      </c>
      <c r="B2153" s="361" t="s">
        <v>1997</v>
      </c>
      <c r="C2153" s="360"/>
      <c r="D2153" s="327">
        <f>IF($B2153="","",COUNTIF($B$6:$B2153,$B2153))</f>
        <v>19</v>
      </c>
      <c r="E2153" s="361" t="s">
        <v>185</v>
      </c>
      <c r="F2153" s="362" t="s">
        <v>186</v>
      </c>
      <c r="G2153" s="327" t="s">
        <v>155</v>
      </c>
      <c r="H2153" s="327" t="s">
        <v>536</v>
      </c>
      <c r="I2153" s="327">
        <v>8</v>
      </c>
      <c r="J2153" s="361"/>
      <c r="K2153" s="327"/>
      <c r="L2153" s="389">
        <v>41000</v>
      </c>
      <c r="M2153" s="371"/>
      <c r="N2153" s="355" t="str">
        <f t="shared" si="256"/>
        <v>PK</v>
      </c>
      <c r="O2153" s="345" t="s">
        <v>1704</v>
      </c>
      <c r="P2153" s="392"/>
      <c r="Q2153" s="327"/>
      <c r="R2153" s="351"/>
      <c r="S2153" s="351"/>
      <c r="T2153" s="351"/>
      <c r="U2153" s="329" t="str">
        <f>IF($N2153=$N$4,IFERROR(INDEX(DanhMuc!$E$154:$E$165,MATCH(MID($B2153,4,2),DanhMuc!$B$154:$B$165,0)),""),"")</f>
        <v/>
      </c>
      <c r="V2153" s="361"/>
      <c r="W2153" s="345"/>
      <c r="X2153" s="329" t="str">
        <f t="shared" si="252"/>
        <v>3H</v>
      </c>
      <c r="Y2153" s="1128" t="s">
        <v>3380</v>
      </c>
      <c r="Z2153" s="1128" t="s">
        <v>3381</v>
      </c>
      <c r="AA2153" s="1128" t="s">
        <v>3384</v>
      </c>
      <c r="AB2153" s="20"/>
      <c r="AC2153" s="73"/>
    </row>
    <row r="2154" spans="1:29">
      <c r="A2154" s="327" t="str">
        <f>IF(AND($B2154&lt;&gt;"",$C2154&lt;&gt;""),MAX($A$1556:A2152)+1,"")</f>
        <v/>
      </c>
      <c r="B2154" s="361" t="s">
        <v>1997</v>
      </c>
      <c r="C2154" s="360"/>
      <c r="D2154" s="327">
        <f>IF($B2154="","",COUNTIF($B$6:$B2154,$B2154))</f>
        <v>20</v>
      </c>
      <c r="E2154" s="361" t="s">
        <v>165</v>
      </c>
      <c r="F2154" s="362" t="s">
        <v>166</v>
      </c>
      <c r="G2154" s="327" t="s">
        <v>155</v>
      </c>
      <c r="H2154" s="327"/>
      <c r="I2154" s="327">
        <v>4</v>
      </c>
      <c r="J2154" s="361"/>
      <c r="K2154" s="327"/>
      <c r="L2154" s="389">
        <v>1700</v>
      </c>
      <c r="M2154" s="371"/>
      <c r="N2154" s="355" t="str">
        <f t="shared" si="256"/>
        <v>PK</v>
      </c>
      <c r="O2154" s="345"/>
      <c r="P2154" s="392"/>
      <c r="Q2154" s="327"/>
      <c r="R2154" s="351"/>
      <c r="S2154" s="351"/>
      <c r="T2154" s="351"/>
      <c r="U2154" s="329" t="str">
        <f>IF($N2154=$N$4,IFERROR(INDEX(DanhMuc!$E$154:$E$165,MATCH(MID($B2154,4,2),DanhMuc!$B$154:$B$165,0)),""),"")</f>
        <v/>
      </c>
      <c r="V2154" s="361"/>
      <c r="W2154" s="345"/>
      <c r="X2154" s="329" t="str">
        <f t="shared" si="252"/>
        <v>3H</v>
      </c>
      <c r="Y2154" s="1128" t="s">
        <v>3380</v>
      </c>
      <c r="Z2154" s="1128" t="s">
        <v>3381</v>
      </c>
      <c r="AA2154" s="1128" t="s">
        <v>3384</v>
      </c>
      <c r="AB2154" s="20"/>
      <c r="AC2154" s="73"/>
    </row>
    <row r="2155" spans="1:29">
      <c r="A2155" s="327" t="str">
        <f>IF(AND($B2155&lt;&gt;"",$C2155&lt;&gt;""),MAX($A$1556:A2154)+1,"")</f>
        <v/>
      </c>
      <c r="B2155" s="361" t="s">
        <v>1997</v>
      </c>
      <c r="C2155" s="360"/>
      <c r="D2155" s="327">
        <f>IF($B2155="","",COUNTIF($B$6:$B2155,$B2155))</f>
        <v>21</v>
      </c>
      <c r="E2155" s="361" t="s">
        <v>167</v>
      </c>
      <c r="F2155" s="362" t="s">
        <v>168</v>
      </c>
      <c r="G2155" s="327" t="s">
        <v>155</v>
      </c>
      <c r="H2155" s="327"/>
      <c r="I2155" s="327">
        <v>4</v>
      </c>
      <c r="J2155" s="361"/>
      <c r="K2155" s="327"/>
      <c r="L2155" s="389">
        <v>1700</v>
      </c>
      <c r="M2155" s="371"/>
      <c r="N2155" s="355" t="str">
        <f t="shared" si="256"/>
        <v>PK</v>
      </c>
      <c r="O2155" s="345"/>
      <c r="P2155" s="392"/>
      <c r="Q2155" s="327"/>
      <c r="R2155" s="351"/>
      <c r="S2155" s="351"/>
      <c r="T2155" s="351"/>
      <c r="U2155" s="329" t="str">
        <f>IF($N2155=$N$4,IFERROR(INDEX(DanhMuc!$E$154:$E$165,MATCH(MID($B2155,4,2),DanhMuc!$B$154:$B$165,0)),""),"")</f>
        <v/>
      </c>
      <c r="V2155" s="361"/>
      <c r="W2155" s="345"/>
      <c r="X2155" s="329" t="str">
        <f t="shared" si="252"/>
        <v>3H</v>
      </c>
      <c r="Y2155" s="1128" t="s">
        <v>3380</v>
      </c>
      <c r="Z2155" s="1128" t="s">
        <v>3381</v>
      </c>
      <c r="AA2155" s="1128" t="s">
        <v>3384</v>
      </c>
      <c r="AB2155" s="20"/>
      <c r="AC2155" s="73"/>
    </row>
    <row r="2156" spans="1:29">
      <c r="A2156" s="327" t="str">
        <f>IF(AND($B2156&lt;&gt;"",$C2156&lt;&gt;""),MAX($A$1556:A2155)+1,"")</f>
        <v/>
      </c>
      <c r="B2156" s="361" t="s">
        <v>1997</v>
      </c>
      <c r="C2156" s="360"/>
      <c r="D2156" s="327">
        <f>IF($B2156="","",COUNTIF($B$6:$B2156,$B2156))</f>
        <v>22</v>
      </c>
      <c r="E2156" s="361" t="s">
        <v>169</v>
      </c>
      <c r="F2156" s="362" t="s">
        <v>170</v>
      </c>
      <c r="G2156" s="327" t="s">
        <v>155</v>
      </c>
      <c r="H2156" s="327"/>
      <c r="I2156" s="327">
        <v>4</v>
      </c>
      <c r="J2156" s="361"/>
      <c r="K2156" s="327"/>
      <c r="L2156" s="389">
        <v>1700</v>
      </c>
      <c r="M2156" s="371"/>
      <c r="N2156" s="355" t="str">
        <f t="shared" si="256"/>
        <v>PK</v>
      </c>
      <c r="O2156" s="345"/>
      <c r="P2156" s="392"/>
      <c r="Q2156" s="327"/>
      <c r="R2156" s="351"/>
      <c r="S2156" s="351"/>
      <c r="T2156" s="351"/>
      <c r="U2156" s="329" t="str">
        <f>IF($N2156=$N$4,IFERROR(INDEX(DanhMuc!$E$154:$E$165,MATCH(MID($B2156,4,2),DanhMuc!$B$154:$B$165,0)),""),"")</f>
        <v/>
      </c>
      <c r="V2156" s="361"/>
      <c r="W2156" s="345"/>
      <c r="X2156" s="329" t="str">
        <f t="shared" si="252"/>
        <v>3H</v>
      </c>
      <c r="Y2156" s="1128" t="s">
        <v>3380</v>
      </c>
      <c r="Z2156" s="1128" t="s">
        <v>3381</v>
      </c>
      <c r="AA2156" s="1128" t="s">
        <v>3384</v>
      </c>
      <c r="AB2156" s="20"/>
      <c r="AC2156" s="73"/>
    </row>
    <row r="2157" spans="1:29">
      <c r="A2157" s="327" t="str">
        <f>IF(AND($B2157&lt;&gt;"",$C2157&lt;&gt;""),MAX($A$1556:A2156)+1,"")</f>
        <v/>
      </c>
      <c r="B2157" s="361" t="s">
        <v>1997</v>
      </c>
      <c r="C2157" s="360"/>
      <c r="D2157" s="327">
        <f>IF($B2157="","",COUNTIF($B$6:$B2157,$B2157))</f>
        <v>23</v>
      </c>
      <c r="E2157" s="361" t="s">
        <v>171</v>
      </c>
      <c r="F2157" s="362" t="s">
        <v>291</v>
      </c>
      <c r="G2157" s="327" t="s">
        <v>155</v>
      </c>
      <c r="H2157" s="327"/>
      <c r="I2157" s="327">
        <v>4</v>
      </c>
      <c r="J2157" s="361"/>
      <c r="K2157" s="327"/>
      <c r="L2157" s="389">
        <v>1700</v>
      </c>
      <c r="M2157" s="371"/>
      <c r="N2157" s="355" t="str">
        <f t="shared" si="256"/>
        <v>PK</v>
      </c>
      <c r="O2157" s="345"/>
      <c r="P2157" s="392"/>
      <c r="Q2157" s="327"/>
      <c r="R2157" s="351"/>
      <c r="S2157" s="351"/>
      <c r="T2157" s="351"/>
      <c r="U2157" s="329" t="str">
        <f>IF($N2157=$N$4,IFERROR(INDEX(DanhMuc!$E$154:$E$165,MATCH(MID($B2157,4,2),DanhMuc!$B$154:$B$165,0)),""),"")</f>
        <v/>
      </c>
      <c r="V2157" s="361"/>
      <c r="W2157" s="345"/>
      <c r="X2157" s="329" t="str">
        <f t="shared" si="252"/>
        <v>3H</v>
      </c>
      <c r="Y2157" s="1128" t="s">
        <v>3380</v>
      </c>
      <c r="Z2157" s="1128" t="s">
        <v>3381</v>
      </c>
      <c r="AA2157" s="1128" t="s">
        <v>3384</v>
      </c>
      <c r="AB2157" s="20"/>
      <c r="AC2157" s="73"/>
    </row>
    <row r="2158" spans="1:29" ht="26">
      <c r="A2158" s="327">
        <f>IF(AND($B2158&lt;&gt;"",$C2158&lt;&gt;""),MAX($A$1556:A2150)+1,"")</f>
        <v>21</v>
      </c>
      <c r="B2158" s="359" t="s">
        <v>1998</v>
      </c>
      <c r="C2158" s="360" t="s">
        <v>1554</v>
      </c>
      <c r="D2158" s="327">
        <f>IF($B2158="","",COUNTIF($B$6:$B2158,$B2158))</f>
        <v>1</v>
      </c>
      <c r="E2158" s="361" t="s">
        <v>157</v>
      </c>
      <c r="F2158" s="362" t="s">
        <v>158</v>
      </c>
      <c r="G2158" s="327" t="s">
        <v>155</v>
      </c>
      <c r="H2158" s="327"/>
      <c r="I2158" s="327">
        <v>2</v>
      </c>
      <c r="J2158" s="345"/>
      <c r="K2158" s="327"/>
      <c r="L2158" s="389">
        <v>45000</v>
      </c>
      <c r="M2158" s="371"/>
      <c r="N2158" s="355" t="str">
        <f t="shared" si="256"/>
        <v>PK</v>
      </c>
      <c r="O2158" s="404" t="s">
        <v>1781</v>
      </c>
      <c r="P2158" s="392"/>
      <c r="Q2158" s="327"/>
      <c r="R2158" s="351"/>
      <c r="S2158" s="351"/>
      <c r="T2158" s="351"/>
      <c r="U2158" s="329" t="str">
        <f>IF($N2158=$N$4,IFERROR(INDEX(DanhMuc!$E$154:$E$165,MATCH(MID($B2158,4,2),DanhMuc!$B$154:$B$165,0)),""),"")</f>
        <v/>
      </c>
      <c r="V2158" s="361"/>
      <c r="W2158" s="345"/>
      <c r="X2158" s="329" t="str">
        <f t="shared" si="252"/>
        <v>3H</v>
      </c>
      <c r="Y2158" s="1128" t="s">
        <v>3380</v>
      </c>
      <c r="Z2158" s="1128" t="s">
        <v>3381</v>
      </c>
      <c r="AA2158" s="1128" t="s">
        <v>3384</v>
      </c>
      <c r="AB2158" s="20"/>
      <c r="AC2158" s="73"/>
    </row>
    <row r="2159" spans="1:29">
      <c r="A2159" s="327" t="str">
        <f>IF(AND($B2159&lt;&gt;"",$C2159&lt;&gt;""),MAX($A$1556:A2158)+1,"")</f>
        <v/>
      </c>
      <c r="B2159" s="361" t="s">
        <v>1998</v>
      </c>
      <c r="C2159" s="360"/>
      <c r="D2159" s="327">
        <f>IF($B2159="","",COUNTIF($B$6:$B2159,$B2159))</f>
        <v>2</v>
      </c>
      <c r="E2159" s="361" t="s">
        <v>2852</v>
      </c>
      <c r="F2159" s="362" t="s">
        <v>2373</v>
      </c>
      <c r="G2159" s="327" t="s">
        <v>155</v>
      </c>
      <c r="H2159" s="327"/>
      <c r="I2159" s="327">
        <v>2</v>
      </c>
      <c r="J2159" s="345"/>
      <c r="K2159" s="327"/>
      <c r="L2159" s="389">
        <v>15000</v>
      </c>
      <c r="M2159" s="371"/>
      <c r="N2159" s="355" t="str">
        <f t="shared" si="256"/>
        <v>PK</v>
      </c>
      <c r="O2159" s="404" t="s">
        <v>1781</v>
      </c>
      <c r="P2159" s="392"/>
      <c r="Q2159" s="327"/>
      <c r="R2159" s="351"/>
      <c r="S2159" s="351"/>
      <c r="T2159" s="351"/>
      <c r="U2159" s="329" t="str">
        <f>IF($N2159=$N$4,IFERROR(INDEX(DanhMuc!$E$154:$E$165,MATCH(MID($B2159,4,2),DanhMuc!$B$154:$B$165,0)),""),"")</f>
        <v/>
      </c>
      <c r="V2159" s="361"/>
      <c r="W2159" s="345"/>
      <c r="X2159" s="329" t="str">
        <f t="shared" si="252"/>
        <v>3H</v>
      </c>
      <c r="Y2159" s="1128" t="s">
        <v>3380</v>
      </c>
      <c r="Z2159" s="1128" t="s">
        <v>3381</v>
      </c>
      <c r="AA2159" s="1128" t="s">
        <v>3384</v>
      </c>
      <c r="AB2159" s="20"/>
      <c r="AC2159" s="73"/>
    </row>
    <row r="2160" spans="1:29">
      <c r="A2160" s="327" t="str">
        <f>IF(AND($B2160&lt;&gt;"",$C2160&lt;&gt;""),MAX($A$1556:A2159)+1,"")</f>
        <v/>
      </c>
      <c r="B2160" s="361" t="s">
        <v>1998</v>
      </c>
      <c r="C2160" s="360"/>
      <c r="D2160" s="327">
        <f>IF($B2160="","",COUNTIF($B$6:$B2160,$B2160))</f>
        <v>3</v>
      </c>
      <c r="E2160" s="361" t="s">
        <v>3135</v>
      </c>
      <c r="F2160" s="362" t="s">
        <v>3136</v>
      </c>
      <c r="G2160" s="327" t="s">
        <v>155</v>
      </c>
      <c r="H2160" s="327"/>
      <c r="I2160" s="327">
        <v>2</v>
      </c>
      <c r="J2160" s="345"/>
      <c r="K2160" s="327"/>
      <c r="L2160" s="389">
        <v>140000</v>
      </c>
      <c r="M2160" s="371"/>
      <c r="N2160" s="355" t="str">
        <f t="shared" si="256"/>
        <v>PK</v>
      </c>
      <c r="O2160" s="404" t="s">
        <v>3137</v>
      </c>
      <c r="P2160" s="392"/>
      <c r="Q2160" s="327"/>
      <c r="R2160" s="351"/>
      <c r="S2160" s="351"/>
      <c r="T2160" s="351"/>
      <c r="U2160" s="329" t="str">
        <f>IF($N2160=$N$4,IFERROR(INDEX(DanhMuc!$E$154:$E$165,MATCH(MID($B2160,4,2),DanhMuc!$B$154:$B$165,0)),""),"")</f>
        <v/>
      </c>
      <c r="V2160" s="361"/>
      <c r="W2160" s="345"/>
      <c r="X2160" s="329" t="str">
        <f t="shared" si="252"/>
        <v>3H</v>
      </c>
      <c r="Y2160" s="1128" t="s">
        <v>3380</v>
      </c>
      <c r="Z2160" s="1128" t="s">
        <v>3381</v>
      </c>
      <c r="AA2160" s="1128" t="s">
        <v>3384</v>
      </c>
      <c r="AB2160" s="20"/>
      <c r="AC2160" s="73"/>
    </row>
    <row r="2161" spans="1:29">
      <c r="A2161" s="327" t="str">
        <f>IF(AND($B2161&lt;&gt;"",$C2161&lt;&gt;""),MAX($A$1556:A2160)+1,"")</f>
        <v/>
      </c>
      <c r="B2161" s="361" t="s">
        <v>1998</v>
      </c>
      <c r="C2161" s="360"/>
      <c r="D2161" s="327">
        <f>IF($B2161="","",COUNTIF($B$6:$B2161,$B2161))</f>
        <v>4</v>
      </c>
      <c r="E2161" s="361" t="s">
        <v>2852</v>
      </c>
      <c r="F2161" s="362" t="s">
        <v>2373</v>
      </c>
      <c r="G2161" s="327" t="s">
        <v>155</v>
      </c>
      <c r="H2161" s="327"/>
      <c r="I2161" s="327">
        <v>2</v>
      </c>
      <c r="J2161" s="345"/>
      <c r="K2161" s="327"/>
      <c r="L2161" s="389">
        <v>15000</v>
      </c>
      <c r="M2161" s="371"/>
      <c r="N2161" s="355" t="str">
        <f t="shared" si="256"/>
        <v>PK</v>
      </c>
      <c r="O2161" s="404" t="s">
        <v>3137</v>
      </c>
      <c r="P2161" s="392"/>
      <c r="Q2161" s="327"/>
      <c r="R2161" s="351"/>
      <c r="S2161" s="351"/>
      <c r="T2161" s="351"/>
      <c r="U2161" s="329" t="str">
        <f>IF($N2161=$N$4,IFERROR(INDEX(DanhMuc!$E$154:$E$165,MATCH(MID($B2161,4,2),DanhMuc!$B$154:$B$165,0)),""),"")</f>
        <v/>
      </c>
      <c r="V2161" s="361"/>
      <c r="W2161" s="345"/>
      <c r="X2161" s="329" t="str">
        <f t="shared" si="252"/>
        <v>3H</v>
      </c>
      <c r="Y2161" s="1128" t="s">
        <v>3380</v>
      </c>
      <c r="Z2161" s="1128" t="s">
        <v>3381</v>
      </c>
      <c r="AA2161" s="1128" t="s">
        <v>3384</v>
      </c>
      <c r="AB2161" s="20"/>
      <c r="AC2161" s="73"/>
    </row>
    <row r="2162" spans="1:29">
      <c r="A2162" s="327" t="str">
        <f>IF(AND($B2162&lt;&gt;"",$C2162&lt;&gt;""),MAX($A$1556:A2159)+1,"")</f>
        <v/>
      </c>
      <c r="B2162" s="361" t="s">
        <v>1998</v>
      </c>
      <c r="C2162" s="360"/>
      <c r="D2162" s="327">
        <f>IF($B2162="","",COUNTIF($B$6:$B2162,$B2162))</f>
        <v>5</v>
      </c>
      <c r="E2162" s="361" t="s">
        <v>1968</v>
      </c>
      <c r="F2162" s="362" t="s">
        <v>2970</v>
      </c>
      <c r="G2162" s="327" t="s">
        <v>155</v>
      </c>
      <c r="H2162" s="327"/>
      <c r="I2162" s="327">
        <v>1</v>
      </c>
      <c r="J2162" s="359"/>
      <c r="K2162" s="327"/>
      <c r="L2162" s="389">
        <v>28000</v>
      </c>
      <c r="M2162" s="371"/>
      <c r="N2162" s="355" t="s">
        <v>153</v>
      </c>
      <c r="O2162" s="404" t="s">
        <v>1971</v>
      </c>
      <c r="P2162" s="392"/>
      <c r="Q2162" s="327"/>
      <c r="R2162" s="351"/>
      <c r="S2162" s="351"/>
      <c r="T2162" s="351"/>
      <c r="U2162" s="329" t="str">
        <f>IF($N2162=$N$4,IFERROR(INDEX(DanhMuc!$E$154:$E$165,MATCH(MID($B2162,4,2),DanhMuc!$B$154:$B$165,0)),""),"")</f>
        <v/>
      </c>
      <c r="V2162" s="361"/>
      <c r="W2162" s="345"/>
      <c r="X2162" s="329" t="str">
        <f t="shared" si="252"/>
        <v>3H</v>
      </c>
      <c r="Y2162" s="1128" t="s">
        <v>3380</v>
      </c>
      <c r="Z2162" s="1128" t="s">
        <v>3381</v>
      </c>
      <c r="AA2162" s="1128" t="s">
        <v>3384</v>
      </c>
      <c r="AB2162" s="20"/>
      <c r="AC2162" s="73"/>
    </row>
    <row r="2163" spans="1:29">
      <c r="A2163" s="327" t="str">
        <f>IF(AND($B2163&lt;&gt;"",$C2163&lt;&gt;""),MAX($A$1556:A2162)+1,"")</f>
        <v/>
      </c>
      <c r="B2163" s="361" t="s">
        <v>1998</v>
      </c>
      <c r="C2163" s="360"/>
      <c r="D2163" s="327">
        <f>IF($B2163="","",COUNTIF($B$6:$B2163,$B2163))</f>
        <v>6</v>
      </c>
      <c r="E2163" s="361" t="s">
        <v>1968</v>
      </c>
      <c r="F2163" s="362" t="s">
        <v>2971</v>
      </c>
      <c r="G2163" s="327" t="s">
        <v>155</v>
      </c>
      <c r="H2163" s="327"/>
      <c r="I2163" s="327">
        <v>1</v>
      </c>
      <c r="J2163" s="359"/>
      <c r="K2163" s="327"/>
      <c r="L2163" s="389">
        <v>28000</v>
      </c>
      <c r="M2163" s="371"/>
      <c r="N2163" s="355" t="s">
        <v>153</v>
      </c>
      <c r="O2163" s="404" t="s">
        <v>1972</v>
      </c>
      <c r="P2163" s="392"/>
      <c r="Q2163" s="327"/>
      <c r="R2163" s="351"/>
      <c r="S2163" s="351"/>
      <c r="T2163" s="351"/>
      <c r="U2163" s="329" t="str">
        <f>IF($N2163=$N$4,IFERROR(INDEX(DanhMuc!$E$154:$E$165,MATCH(MID($B2163,4,2),DanhMuc!$B$154:$B$165,0)),""),"")</f>
        <v/>
      </c>
      <c r="V2163" s="361"/>
      <c r="W2163" s="345"/>
      <c r="X2163" s="329" t="str">
        <f t="shared" si="252"/>
        <v>3H</v>
      </c>
      <c r="Y2163" s="1128" t="s">
        <v>3380</v>
      </c>
      <c r="Z2163" s="1128" t="s">
        <v>3381</v>
      </c>
      <c r="AA2163" s="1128" t="s">
        <v>3384</v>
      </c>
      <c r="AB2163" s="20"/>
      <c r="AC2163" s="73"/>
    </row>
    <row r="2164" spans="1:29">
      <c r="A2164" s="327" t="str">
        <f>IF(AND($B2164&lt;&gt;"",$C2164&lt;&gt;""),MAX($A$1556:A2162)+1,"")</f>
        <v/>
      </c>
      <c r="B2164" s="361" t="s">
        <v>1998</v>
      </c>
      <c r="C2164" s="360"/>
      <c r="D2164" s="327">
        <f>IF($B2164="","",COUNTIF($B$6:$B2164,$B2164))</f>
        <v>7</v>
      </c>
      <c r="E2164" s="361" t="s">
        <v>1969</v>
      </c>
      <c r="F2164" s="362" t="s">
        <v>1970</v>
      </c>
      <c r="G2164" s="327" t="s">
        <v>155</v>
      </c>
      <c r="H2164" s="327"/>
      <c r="I2164" s="327">
        <v>1</v>
      </c>
      <c r="J2164" s="359"/>
      <c r="K2164" s="327"/>
      <c r="L2164" s="389">
        <v>6300</v>
      </c>
      <c r="M2164" s="371"/>
      <c r="N2164" s="355" t="s">
        <v>153</v>
      </c>
      <c r="O2164" s="404" t="s">
        <v>1780</v>
      </c>
      <c r="P2164" s="392"/>
      <c r="Q2164" s="327"/>
      <c r="R2164" s="351"/>
      <c r="S2164" s="351"/>
      <c r="T2164" s="351"/>
      <c r="U2164" s="329" t="str">
        <f>IF($N2164=$N$4,IFERROR(INDEX(DanhMuc!$E$154:$E$165,MATCH(MID($B2164,4,2),DanhMuc!$B$154:$B$165,0)),""),"")</f>
        <v/>
      </c>
      <c r="V2164" s="361"/>
      <c r="W2164" s="345"/>
      <c r="X2164" s="329" t="str">
        <f t="shared" si="252"/>
        <v>3H</v>
      </c>
      <c r="Y2164" s="1128" t="s">
        <v>3380</v>
      </c>
      <c r="Z2164" s="1128" t="s">
        <v>3381</v>
      </c>
      <c r="AA2164" s="1128" t="s">
        <v>3384</v>
      </c>
      <c r="AB2164" s="20"/>
      <c r="AC2164" s="73"/>
    </row>
    <row r="2165" spans="1:29">
      <c r="A2165" s="327" t="str">
        <f>IF(AND($B2165&lt;&gt;"",$C2165&lt;&gt;""),MAX($A$1556:A2159)+1,"")</f>
        <v/>
      </c>
      <c r="B2165" s="361" t="s">
        <v>1998</v>
      </c>
      <c r="C2165" s="360"/>
      <c r="D2165" s="327">
        <f>IF($B2165="","",COUNTIF($B$6:$B2165,$B2165))</f>
        <v>8</v>
      </c>
      <c r="E2165" s="361" t="s">
        <v>2534</v>
      </c>
      <c r="F2165" s="362" t="s">
        <v>181</v>
      </c>
      <c r="G2165" s="327" t="s">
        <v>155</v>
      </c>
      <c r="H2165" s="327" t="s">
        <v>536</v>
      </c>
      <c r="I2165" s="327">
        <v>4</v>
      </c>
      <c r="J2165" s="361"/>
      <c r="K2165" s="327"/>
      <c r="L2165" s="389">
        <v>19000</v>
      </c>
      <c r="M2165" s="371"/>
      <c r="N2165" s="355" t="str">
        <f t="shared" ref="N2165:N2171" si="257">+$N$1555</f>
        <v>PK</v>
      </c>
      <c r="O2165" s="345"/>
      <c r="P2165" s="392"/>
      <c r="Q2165" s="327"/>
      <c r="R2165" s="351"/>
      <c r="S2165" s="351"/>
      <c r="T2165" s="351"/>
      <c r="U2165" s="329" t="str">
        <f>IF($N2165=$N$4,IFERROR(INDEX(DanhMuc!$E$154:$E$165,MATCH(MID($B2165,4,2),DanhMuc!$B$154:$B$165,0)),""),"")</f>
        <v/>
      </c>
      <c r="V2165" s="361"/>
      <c r="W2165" s="345"/>
      <c r="X2165" s="329" t="str">
        <f t="shared" si="252"/>
        <v>3H</v>
      </c>
      <c r="Y2165" s="1128" t="s">
        <v>3380</v>
      </c>
      <c r="Z2165" s="1128" t="s">
        <v>3381</v>
      </c>
      <c r="AA2165" s="1128" t="s">
        <v>3384</v>
      </c>
      <c r="AB2165" s="20"/>
      <c r="AC2165" s="73"/>
    </row>
    <row r="2166" spans="1:29">
      <c r="A2166" s="327" t="str">
        <f>IF(AND($B2166&lt;&gt;"",$C2166&lt;&gt;""),MAX($A$1556:A2165)+1,"")</f>
        <v/>
      </c>
      <c r="B2166" s="361" t="s">
        <v>1998</v>
      </c>
      <c r="C2166" s="360"/>
      <c r="D2166" s="327">
        <f>IF($B2166="","",COUNTIF($B$6:$B2166,$B2166))</f>
        <v>9</v>
      </c>
      <c r="E2166" s="361" t="s">
        <v>163</v>
      </c>
      <c r="F2166" s="362" t="s">
        <v>164</v>
      </c>
      <c r="G2166" s="327" t="s">
        <v>155</v>
      </c>
      <c r="H2166" s="327"/>
      <c r="I2166" s="327">
        <v>2</v>
      </c>
      <c r="J2166" s="361"/>
      <c r="K2166" s="408"/>
      <c r="L2166" s="389">
        <v>2500</v>
      </c>
      <c r="M2166" s="371"/>
      <c r="N2166" s="355" t="str">
        <f t="shared" si="257"/>
        <v>PK</v>
      </c>
      <c r="O2166" s="345"/>
      <c r="P2166" s="392"/>
      <c r="Q2166" s="327"/>
      <c r="R2166" s="351"/>
      <c r="S2166" s="351"/>
      <c r="T2166" s="351"/>
      <c r="U2166" s="329" t="str">
        <f>IF($N2166=$N$4,IFERROR(INDEX(DanhMuc!$E$154:$E$165,MATCH(MID($B2166,4,2),DanhMuc!$B$154:$B$165,0)),""),"")</f>
        <v/>
      </c>
      <c r="V2166" s="408" t="s">
        <v>342</v>
      </c>
      <c r="W2166" s="345"/>
      <c r="X2166" s="329" t="str">
        <f t="shared" si="252"/>
        <v>3H</v>
      </c>
      <c r="Y2166" s="1128" t="s">
        <v>3380</v>
      </c>
      <c r="Z2166" s="1128" t="s">
        <v>3381</v>
      </c>
      <c r="AA2166" s="1128" t="s">
        <v>3384</v>
      </c>
      <c r="AB2166" s="20"/>
      <c r="AC2166" s="73"/>
    </row>
    <row r="2167" spans="1:29">
      <c r="A2167" s="327" t="str">
        <f>IF(AND($B2167&lt;&gt;"",$C2167&lt;&gt;""),MAX($A$1556:A2166)+1,"")</f>
        <v/>
      </c>
      <c r="B2167" s="361" t="s">
        <v>1998</v>
      </c>
      <c r="C2167" s="360"/>
      <c r="D2167" s="327">
        <f>IF($B2167="","",COUNTIF($B$6:$B2167,$B2167))</f>
        <v>10</v>
      </c>
      <c r="E2167" s="361" t="s">
        <v>187</v>
      </c>
      <c r="F2167" s="362" t="s">
        <v>189</v>
      </c>
      <c r="G2167" s="327" t="s">
        <v>155</v>
      </c>
      <c r="H2167" s="327"/>
      <c r="I2167" s="327">
        <v>4</v>
      </c>
      <c r="J2167" s="361"/>
      <c r="K2167" s="327"/>
      <c r="L2167" s="389">
        <v>5000</v>
      </c>
      <c r="M2167" s="371"/>
      <c r="N2167" s="355" t="str">
        <f t="shared" si="257"/>
        <v>PK</v>
      </c>
      <c r="O2167" s="345"/>
      <c r="P2167" s="392"/>
      <c r="Q2167" s="327"/>
      <c r="R2167" s="351"/>
      <c r="S2167" s="351"/>
      <c r="T2167" s="351"/>
      <c r="U2167" s="329" t="str">
        <f>IF($N2167=$N$4,IFERROR(INDEX(DanhMuc!$E$154:$E$165,MATCH(MID($B2167,4,2),DanhMuc!$B$154:$B$165,0)),""),"")</f>
        <v/>
      </c>
      <c r="V2167" s="361"/>
      <c r="W2167" s="345"/>
      <c r="X2167" s="329" t="str">
        <f t="shared" si="252"/>
        <v>3H</v>
      </c>
      <c r="Y2167" s="1128" t="s">
        <v>3380</v>
      </c>
      <c r="Z2167" s="1128" t="s">
        <v>3381</v>
      </c>
      <c r="AA2167" s="1128" t="s">
        <v>3384</v>
      </c>
      <c r="AB2167" s="20"/>
      <c r="AC2167" s="73"/>
    </row>
    <row r="2168" spans="1:29" ht="39">
      <c r="A2168" s="327">
        <f>IF(AND($B2168&lt;&gt;"",$C2168&lt;&gt;""),MAX($A$1556:A2160)+1,"")</f>
        <v>22</v>
      </c>
      <c r="B2168" s="359" t="s">
        <v>3178</v>
      </c>
      <c r="C2168" s="360" t="s">
        <v>3179</v>
      </c>
      <c r="D2168" s="327">
        <f>IF($B2168="","",COUNTIF($B$6:$B2168,$B2168))</f>
        <v>1</v>
      </c>
      <c r="E2168" s="361" t="s">
        <v>157</v>
      </c>
      <c r="F2168" s="362" t="s">
        <v>158</v>
      </c>
      <c r="G2168" s="327" t="s">
        <v>155</v>
      </c>
      <c r="H2168" s="327"/>
      <c r="I2168" s="327">
        <v>2</v>
      </c>
      <c r="J2168" s="345"/>
      <c r="K2168" s="327"/>
      <c r="L2168" s="389">
        <v>45000</v>
      </c>
      <c r="M2168" s="371"/>
      <c r="N2168" s="355" t="str">
        <f t="shared" si="257"/>
        <v>PK</v>
      </c>
      <c r="O2168" s="404" t="s">
        <v>1781</v>
      </c>
      <c r="P2168" s="392"/>
      <c r="Q2168" s="327"/>
      <c r="R2168" s="351"/>
      <c r="S2168" s="351"/>
      <c r="T2168" s="351"/>
      <c r="U2168" s="329" t="str">
        <f>IF($N2168=$N$4,IFERROR(INDEX(DanhMuc!$E$154:$E$165,MATCH(MID($B2168,4,2),DanhMuc!$B$154:$B$165,0)),""),"")</f>
        <v/>
      </c>
      <c r="V2168" s="361"/>
      <c r="W2168" s="345"/>
      <c r="X2168" s="329" t="str">
        <f t="shared" si="252"/>
        <v>2R</v>
      </c>
      <c r="Y2168" s="1128" t="s">
        <v>3380</v>
      </c>
      <c r="Z2168" s="1128" t="s">
        <v>3381</v>
      </c>
      <c r="AA2168" s="1128" t="s">
        <v>3384</v>
      </c>
      <c r="AB2168" s="20"/>
      <c r="AC2168" s="73"/>
    </row>
    <row r="2169" spans="1:29">
      <c r="A2169" s="327" t="str">
        <f>IF(AND($B2169&lt;&gt;"",$C2169&lt;&gt;""),MAX($A$1556:A2168)+1,"")</f>
        <v/>
      </c>
      <c r="B2169" s="361" t="s">
        <v>3178</v>
      </c>
      <c r="C2169" s="360"/>
      <c r="D2169" s="327">
        <f>IF($B2169="","",COUNTIF($B$6:$B2169,$B2169))</f>
        <v>2</v>
      </c>
      <c r="E2169" s="361" t="s">
        <v>2852</v>
      </c>
      <c r="F2169" s="362" t="s">
        <v>2373</v>
      </c>
      <c r="G2169" s="327" t="s">
        <v>155</v>
      </c>
      <c r="H2169" s="327"/>
      <c r="I2169" s="327">
        <v>2</v>
      </c>
      <c r="J2169" s="345"/>
      <c r="K2169" s="327"/>
      <c r="L2169" s="389">
        <v>15000</v>
      </c>
      <c r="M2169" s="371"/>
      <c r="N2169" s="355" t="str">
        <f t="shared" si="257"/>
        <v>PK</v>
      </c>
      <c r="O2169" s="404" t="s">
        <v>1781</v>
      </c>
      <c r="P2169" s="392"/>
      <c r="Q2169" s="327"/>
      <c r="R2169" s="351"/>
      <c r="S2169" s="351"/>
      <c r="T2169" s="351"/>
      <c r="U2169" s="329" t="str">
        <f>IF($N2169=$N$4,IFERROR(INDEX(DanhMuc!$E$154:$E$165,MATCH(MID($B2169,4,2),DanhMuc!$B$154:$B$165,0)),""),"")</f>
        <v/>
      </c>
      <c r="V2169" s="361"/>
      <c r="W2169" s="345"/>
      <c r="X2169" s="329" t="str">
        <f t="shared" si="252"/>
        <v>2R</v>
      </c>
      <c r="Y2169" s="1128" t="s">
        <v>3380</v>
      </c>
      <c r="Z2169" s="1128" t="s">
        <v>3381</v>
      </c>
      <c r="AA2169" s="1128" t="s">
        <v>3384</v>
      </c>
      <c r="AB2169" s="20"/>
      <c r="AC2169" s="73"/>
    </row>
    <row r="2170" spans="1:29">
      <c r="A2170" s="327" t="str">
        <f>IF(AND($B2170&lt;&gt;"",$C2170&lt;&gt;""),MAX($A$1556:A2169)+1,"")</f>
        <v/>
      </c>
      <c r="B2170" s="361" t="s">
        <v>3178</v>
      </c>
      <c r="C2170" s="360"/>
      <c r="D2170" s="327">
        <f>IF($B2170="","",COUNTIF($B$6:$B2170,$B2170))</f>
        <v>3</v>
      </c>
      <c r="E2170" s="361" t="s">
        <v>3135</v>
      </c>
      <c r="F2170" s="362" t="s">
        <v>3136</v>
      </c>
      <c r="G2170" s="327" t="s">
        <v>155</v>
      </c>
      <c r="H2170" s="327"/>
      <c r="I2170" s="327">
        <v>2</v>
      </c>
      <c r="J2170" s="345"/>
      <c r="K2170" s="327"/>
      <c r="L2170" s="389">
        <v>140000</v>
      </c>
      <c r="M2170" s="371"/>
      <c r="N2170" s="355" t="str">
        <f t="shared" si="257"/>
        <v>PK</v>
      </c>
      <c r="O2170" s="404" t="s">
        <v>3137</v>
      </c>
      <c r="P2170" s="392"/>
      <c r="Q2170" s="327"/>
      <c r="R2170" s="351"/>
      <c r="S2170" s="351"/>
      <c r="T2170" s="351"/>
      <c r="U2170" s="329" t="str">
        <f>IF($N2170=$N$4,IFERROR(INDEX(DanhMuc!$E$154:$E$165,MATCH(MID($B2170,4,2),DanhMuc!$B$154:$B$165,0)),""),"")</f>
        <v/>
      </c>
      <c r="V2170" s="361"/>
      <c r="W2170" s="345"/>
      <c r="X2170" s="329" t="str">
        <f t="shared" si="252"/>
        <v>2R</v>
      </c>
      <c r="Y2170" s="1128" t="s">
        <v>3380</v>
      </c>
      <c r="Z2170" s="1128" t="s">
        <v>3381</v>
      </c>
      <c r="AA2170" s="1128" t="s">
        <v>3384</v>
      </c>
      <c r="AB2170" s="20"/>
      <c r="AC2170" s="73"/>
    </row>
    <row r="2171" spans="1:29">
      <c r="A2171" s="327" t="str">
        <f>IF(AND($B2171&lt;&gt;"",$C2171&lt;&gt;""),MAX($A$1556:A2170)+1,"")</f>
        <v/>
      </c>
      <c r="B2171" s="361" t="s">
        <v>3178</v>
      </c>
      <c r="C2171" s="360"/>
      <c r="D2171" s="327">
        <f>IF($B2171="","",COUNTIF($B$6:$B2171,$B2171))</f>
        <v>4</v>
      </c>
      <c r="E2171" s="361" t="s">
        <v>2852</v>
      </c>
      <c r="F2171" s="362" t="s">
        <v>2373</v>
      </c>
      <c r="G2171" s="327" t="s">
        <v>155</v>
      </c>
      <c r="H2171" s="327"/>
      <c r="I2171" s="327">
        <v>2</v>
      </c>
      <c r="J2171" s="345"/>
      <c r="K2171" s="327"/>
      <c r="L2171" s="389">
        <v>15000</v>
      </c>
      <c r="M2171" s="371"/>
      <c r="N2171" s="355" t="str">
        <f t="shared" si="257"/>
        <v>PK</v>
      </c>
      <c r="O2171" s="404" t="s">
        <v>3137</v>
      </c>
      <c r="P2171" s="392"/>
      <c r="Q2171" s="327"/>
      <c r="R2171" s="351"/>
      <c r="S2171" s="351"/>
      <c r="T2171" s="351"/>
      <c r="U2171" s="329" t="str">
        <f>IF($N2171=$N$4,IFERROR(INDEX(DanhMuc!$E$154:$E$165,MATCH(MID($B2171,4,2),DanhMuc!$B$154:$B$165,0)),""),"")</f>
        <v/>
      </c>
      <c r="V2171" s="361"/>
      <c r="W2171" s="345"/>
      <c r="X2171" s="329" t="str">
        <f t="shared" si="252"/>
        <v>2R</v>
      </c>
      <c r="Y2171" s="1128" t="s">
        <v>3380</v>
      </c>
      <c r="Z2171" s="1128" t="s">
        <v>3381</v>
      </c>
      <c r="AA2171" s="1128" t="s">
        <v>3384</v>
      </c>
      <c r="AB2171" s="20"/>
      <c r="AC2171" s="73"/>
    </row>
    <row r="2172" spans="1:29">
      <c r="A2172" s="327" t="str">
        <f>IF(AND($B2172&lt;&gt;"",$C2172&lt;&gt;""),MAX($A$1556:A2169)+1,"")</f>
        <v/>
      </c>
      <c r="B2172" s="361" t="s">
        <v>3178</v>
      </c>
      <c r="C2172" s="360"/>
      <c r="D2172" s="327">
        <f>IF($B2172="","",COUNTIF($B$6:$B2172,$B2172))</f>
        <v>5</v>
      </c>
      <c r="E2172" s="361" t="s">
        <v>1968</v>
      </c>
      <c r="F2172" s="362" t="s">
        <v>2970</v>
      </c>
      <c r="G2172" s="327" t="s">
        <v>155</v>
      </c>
      <c r="H2172" s="327"/>
      <c r="I2172" s="327">
        <v>1</v>
      </c>
      <c r="J2172" s="359"/>
      <c r="K2172" s="327"/>
      <c r="L2172" s="389">
        <v>28000</v>
      </c>
      <c r="M2172" s="371"/>
      <c r="N2172" s="355" t="s">
        <v>153</v>
      </c>
      <c r="O2172" s="404" t="s">
        <v>1971</v>
      </c>
      <c r="P2172" s="392"/>
      <c r="Q2172" s="327"/>
      <c r="R2172" s="351"/>
      <c r="S2172" s="351"/>
      <c r="T2172" s="351"/>
      <c r="U2172" s="329" t="str">
        <f>IF($N2172=$N$4,IFERROR(INDEX(DanhMuc!$E$154:$E$165,MATCH(MID($B2172,4,2),DanhMuc!$B$154:$B$165,0)),""),"")</f>
        <v/>
      </c>
      <c r="V2172" s="361"/>
      <c r="W2172" s="345"/>
      <c r="X2172" s="329" t="str">
        <f t="shared" si="252"/>
        <v>2R</v>
      </c>
      <c r="Y2172" s="1128" t="s">
        <v>3380</v>
      </c>
      <c r="Z2172" s="1128" t="s">
        <v>3381</v>
      </c>
      <c r="AA2172" s="1128" t="s">
        <v>3384</v>
      </c>
      <c r="AB2172" s="20"/>
      <c r="AC2172" s="73"/>
    </row>
    <row r="2173" spans="1:29">
      <c r="A2173" s="327" t="str">
        <f>IF(AND($B2173&lt;&gt;"",$C2173&lt;&gt;""),MAX($A$1556:A2172)+1,"")</f>
        <v/>
      </c>
      <c r="B2173" s="361" t="s">
        <v>3178</v>
      </c>
      <c r="C2173" s="360"/>
      <c r="D2173" s="327">
        <f>IF($B2173="","",COUNTIF($B$6:$B2173,$B2173))</f>
        <v>6</v>
      </c>
      <c r="E2173" s="361" t="s">
        <v>1968</v>
      </c>
      <c r="F2173" s="362" t="s">
        <v>2971</v>
      </c>
      <c r="G2173" s="327" t="s">
        <v>155</v>
      </c>
      <c r="H2173" s="327"/>
      <c r="I2173" s="327">
        <v>1</v>
      </c>
      <c r="J2173" s="359"/>
      <c r="K2173" s="327"/>
      <c r="L2173" s="389">
        <v>28000</v>
      </c>
      <c r="M2173" s="371"/>
      <c r="N2173" s="355" t="s">
        <v>153</v>
      </c>
      <c r="O2173" s="404" t="s">
        <v>1972</v>
      </c>
      <c r="P2173" s="392"/>
      <c r="Q2173" s="327"/>
      <c r="R2173" s="351"/>
      <c r="S2173" s="351"/>
      <c r="T2173" s="351"/>
      <c r="U2173" s="329" t="str">
        <f>IF($N2173=$N$4,IFERROR(INDEX(DanhMuc!$E$154:$E$165,MATCH(MID($B2173,4,2),DanhMuc!$B$154:$B$165,0)),""),"")</f>
        <v/>
      </c>
      <c r="V2173" s="361"/>
      <c r="W2173" s="345"/>
      <c r="X2173" s="329" t="str">
        <f t="shared" si="252"/>
        <v>2R</v>
      </c>
      <c r="Y2173" s="1128" t="s">
        <v>3380</v>
      </c>
      <c r="Z2173" s="1128" t="s">
        <v>3381</v>
      </c>
      <c r="AA2173" s="1128" t="s">
        <v>3384</v>
      </c>
      <c r="AB2173" s="20"/>
      <c r="AC2173" s="73"/>
    </row>
    <row r="2174" spans="1:29">
      <c r="A2174" s="327" t="str">
        <f>IF(AND($B2174&lt;&gt;"",$C2174&lt;&gt;""),MAX($A$1556:A2172)+1,"")</f>
        <v/>
      </c>
      <c r="B2174" s="361" t="s">
        <v>3178</v>
      </c>
      <c r="C2174" s="360"/>
      <c r="D2174" s="327">
        <f>IF($B2174="","",COUNTIF($B$6:$B2174,$B2174))</f>
        <v>7</v>
      </c>
      <c r="E2174" s="361" t="s">
        <v>1969</v>
      </c>
      <c r="F2174" s="362" t="s">
        <v>1970</v>
      </c>
      <c r="G2174" s="327" t="s">
        <v>155</v>
      </c>
      <c r="H2174" s="327"/>
      <c r="I2174" s="327">
        <v>1</v>
      </c>
      <c r="J2174" s="359"/>
      <c r="K2174" s="327"/>
      <c r="L2174" s="389">
        <v>6300</v>
      </c>
      <c r="M2174" s="371"/>
      <c r="N2174" s="355" t="s">
        <v>153</v>
      </c>
      <c r="O2174" s="404" t="s">
        <v>1780</v>
      </c>
      <c r="P2174" s="392"/>
      <c r="Q2174" s="327"/>
      <c r="R2174" s="351"/>
      <c r="S2174" s="351"/>
      <c r="T2174" s="351"/>
      <c r="U2174" s="329" t="str">
        <f>IF($N2174=$N$4,IFERROR(INDEX(DanhMuc!$E$154:$E$165,MATCH(MID($B2174,4,2),DanhMuc!$B$154:$B$165,0)),""),"")</f>
        <v/>
      </c>
      <c r="V2174" s="361"/>
      <c r="W2174" s="345"/>
      <c r="X2174" s="329" t="str">
        <f t="shared" si="252"/>
        <v>2R</v>
      </c>
      <c r="Y2174" s="1128" t="s">
        <v>3380</v>
      </c>
      <c r="Z2174" s="1128" t="s">
        <v>3381</v>
      </c>
      <c r="AA2174" s="1128" t="s">
        <v>3384</v>
      </c>
      <c r="AB2174" s="20"/>
      <c r="AC2174" s="73"/>
    </row>
    <row r="2175" spans="1:29">
      <c r="A2175" s="327" t="str">
        <f>IF(AND($B2175&lt;&gt;"",$C2175&lt;&gt;""),MAX($A$1556:A2169)+1,"")</f>
        <v/>
      </c>
      <c r="B2175" s="361" t="s">
        <v>3178</v>
      </c>
      <c r="C2175" s="360"/>
      <c r="D2175" s="327">
        <f>IF($B2175="","",COUNTIF($B$6:$B2175,$B2175))</f>
        <v>8</v>
      </c>
      <c r="E2175" s="361" t="s">
        <v>2534</v>
      </c>
      <c r="F2175" s="362" t="s">
        <v>181</v>
      </c>
      <c r="G2175" s="327" t="s">
        <v>155</v>
      </c>
      <c r="H2175" s="327" t="s">
        <v>536</v>
      </c>
      <c r="I2175" s="327">
        <v>6</v>
      </c>
      <c r="J2175" s="361"/>
      <c r="K2175" s="327"/>
      <c r="L2175" s="389">
        <v>19000</v>
      </c>
      <c r="M2175" s="371"/>
      <c r="N2175" s="355" t="str">
        <f t="shared" ref="N2175:N2181" si="258">+$N$1555</f>
        <v>PK</v>
      </c>
      <c r="O2175" s="345"/>
      <c r="P2175" s="392"/>
      <c r="Q2175" s="327"/>
      <c r="R2175" s="351"/>
      <c r="S2175" s="351"/>
      <c r="T2175" s="351"/>
      <c r="U2175" s="329" t="str">
        <f>IF($N2175=$N$4,IFERROR(INDEX(DanhMuc!$E$154:$E$165,MATCH(MID($B2175,4,2),DanhMuc!$B$154:$B$165,0)),""),"")</f>
        <v/>
      </c>
      <c r="V2175" s="361"/>
      <c r="W2175" s="345"/>
      <c r="X2175" s="329" t="str">
        <f t="shared" si="252"/>
        <v>2R</v>
      </c>
      <c r="Y2175" s="1128" t="s">
        <v>3380</v>
      </c>
      <c r="Z2175" s="1128" t="s">
        <v>3381</v>
      </c>
      <c r="AA2175" s="1128" t="s">
        <v>3384</v>
      </c>
      <c r="AB2175" s="20"/>
      <c r="AC2175" s="73"/>
    </row>
    <row r="2176" spans="1:29">
      <c r="A2176" s="327" t="str">
        <f>IF(AND($B2176&lt;&gt;"",$C2176&lt;&gt;""),MAX($A$1556:A2175)+1,"")</f>
        <v/>
      </c>
      <c r="B2176" s="361" t="s">
        <v>3178</v>
      </c>
      <c r="C2176" s="360"/>
      <c r="D2176" s="327">
        <f>IF($B2176="","",COUNTIF($B$6:$B2176,$B2176))</f>
        <v>9</v>
      </c>
      <c r="E2176" s="361" t="s">
        <v>163</v>
      </c>
      <c r="F2176" s="362" t="s">
        <v>164</v>
      </c>
      <c r="G2176" s="327" t="s">
        <v>155</v>
      </c>
      <c r="H2176" s="327"/>
      <c r="I2176" s="327">
        <v>2</v>
      </c>
      <c r="J2176" s="361"/>
      <c r="K2176" s="408"/>
      <c r="L2176" s="389">
        <v>2500</v>
      </c>
      <c r="M2176" s="371"/>
      <c r="N2176" s="355" t="str">
        <f t="shared" si="258"/>
        <v>PK</v>
      </c>
      <c r="O2176" s="345"/>
      <c r="P2176" s="392"/>
      <c r="Q2176" s="327"/>
      <c r="R2176" s="351"/>
      <c r="S2176" s="351"/>
      <c r="T2176" s="351"/>
      <c r="U2176" s="329" t="str">
        <f>IF($N2176=$N$4,IFERROR(INDEX(DanhMuc!$E$154:$E$165,MATCH(MID($B2176,4,2),DanhMuc!$B$154:$B$165,0)),""),"")</f>
        <v/>
      </c>
      <c r="V2176" s="408" t="s">
        <v>342</v>
      </c>
      <c r="W2176" s="345"/>
      <c r="X2176" s="329" t="str">
        <f t="shared" si="252"/>
        <v>2R</v>
      </c>
      <c r="Y2176" s="1128" t="s">
        <v>3380</v>
      </c>
      <c r="Z2176" s="1128" t="s">
        <v>3381</v>
      </c>
      <c r="AA2176" s="1128" t="s">
        <v>3384</v>
      </c>
      <c r="AB2176" s="20"/>
      <c r="AC2176" s="73"/>
    </row>
    <row r="2177" spans="1:29">
      <c r="A2177" s="327" t="str">
        <f>IF(AND($B2177&lt;&gt;"",$C2177&lt;&gt;""),MAX($A$1556:A2176)+1,"")</f>
        <v/>
      </c>
      <c r="B2177" s="361" t="s">
        <v>3178</v>
      </c>
      <c r="C2177" s="360"/>
      <c r="D2177" s="327">
        <f>IF($B2177="","",COUNTIF($B$6:$B2177,$B2177))</f>
        <v>10</v>
      </c>
      <c r="E2177" s="361" t="s">
        <v>187</v>
      </c>
      <c r="F2177" s="362" t="s">
        <v>189</v>
      </c>
      <c r="G2177" s="327" t="s">
        <v>155</v>
      </c>
      <c r="H2177" s="327"/>
      <c r="I2177" s="327">
        <v>4</v>
      </c>
      <c r="J2177" s="361"/>
      <c r="K2177" s="327"/>
      <c r="L2177" s="389">
        <v>5000</v>
      </c>
      <c r="M2177" s="371"/>
      <c r="N2177" s="355" t="str">
        <f t="shared" si="258"/>
        <v>PK</v>
      </c>
      <c r="O2177" s="345"/>
      <c r="P2177" s="392"/>
      <c r="Q2177" s="327"/>
      <c r="R2177" s="351"/>
      <c r="S2177" s="351"/>
      <c r="T2177" s="351"/>
      <c r="U2177" s="329" t="str">
        <f>IF($N2177=$N$4,IFERROR(INDEX(DanhMuc!$E$154:$E$165,MATCH(MID($B2177,4,2),DanhMuc!$B$154:$B$165,0)),""),"")</f>
        <v/>
      </c>
      <c r="V2177" s="361"/>
      <c r="W2177" s="345"/>
      <c r="X2177" s="329" t="str">
        <f t="shared" si="252"/>
        <v>2R</v>
      </c>
      <c r="Y2177" s="1128" t="s">
        <v>3380</v>
      </c>
      <c r="Z2177" s="1128" t="s">
        <v>3381</v>
      </c>
      <c r="AA2177" s="1128" t="s">
        <v>3384</v>
      </c>
      <c r="AB2177" s="20"/>
      <c r="AC2177" s="73"/>
    </row>
    <row r="2178" spans="1:29" ht="26">
      <c r="A2178" s="327">
        <f>IF(AND($B2178&lt;&gt;"",$C2178&lt;&gt;""),MAX($A$1556:A2157)+1,"")</f>
        <v>21</v>
      </c>
      <c r="B2178" s="359" t="s">
        <v>1999</v>
      </c>
      <c r="C2178" s="360" t="s">
        <v>1550</v>
      </c>
      <c r="D2178" s="327">
        <f>IF($B2178="","",COUNTIF($B$6:$B2178,$B2178))</f>
        <v>1</v>
      </c>
      <c r="E2178" s="361" t="s">
        <v>157</v>
      </c>
      <c r="F2178" s="362" t="s">
        <v>158</v>
      </c>
      <c r="G2178" s="327" t="s">
        <v>155</v>
      </c>
      <c r="H2178" s="327"/>
      <c r="I2178" s="327">
        <v>3</v>
      </c>
      <c r="J2178" s="345"/>
      <c r="K2178" s="327"/>
      <c r="L2178" s="389">
        <v>45000</v>
      </c>
      <c r="M2178" s="371"/>
      <c r="N2178" s="355" t="str">
        <f t="shared" si="258"/>
        <v>PK</v>
      </c>
      <c r="O2178" s="404" t="s">
        <v>1781</v>
      </c>
      <c r="P2178" s="392"/>
      <c r="Q2178" s="327"/>
      <c r="R2178" s="351"/>
      <c r="S2178" s="351"/>
      <c r="T2178" s="351"/>
      <c r="U2178" s="329" t="str">
        <f>IF($N2178=$N$4,IFERROR(INDEX(DanhMuc!$E$154:$E$165,MATCH(MID($B2178,4,2),DanhMuc!$B$154:$B$165,0)),""),"")</f>
        <v/>
      </c>
      <c r="V2178" s="361"/>
      <c r="W2178" s="345"/>
      <c r="X2178" s="329" t="str">
        <f t="shared" si="252"/>
        <v>3H</v>
      </c>
      <c r="Y2178" s="1128" t="s">
        <v>3380</v>
      </c>
      <c r="Z2178" s="1128" t="s">
        <v>3381</v>
      </c>
      <c r="AA2178" s="1128" t="s">
        <v>3384</v>
      </c>
      <c r="AB2178" s="20"/>
      <c r="AC2178" s="73"/>
    </row>
    <row r="2179" spans="1:29">
      <c r="A2179" s="327" t="str">
        <f>IF(AND($B2179&lt;&gt;"",$C2179&lt;&gt;""),MAX($A$1556:A2178)+1,"")</f>
        <v/>
      </c>
      <c r="B2179" s="361" t="s">
        <v>1999</v>
      </c>
      <c r="C2179" s="360"/>
      <c r="D2179" s="327">
        <f>IF($B2179="","",COUNTIF($B$6:$B2179,$B2179))</f>
        <v>2</v>
      </c>
      <c r="E2179" s="361" t="s">
        <v>2852</v>
      </c>
      <c r="F2179" s="362" t="s">
        <v>2373</v>
      </c>
      <c r="G2179" s="327" t="s">
        <v>155</v>
      </c>
      <c r="H2179" s="327"/>
      <c r="I2179" s="327">
        <v>3</v>
      </c>
      <c r="J2179" s="345"/>
      <c r="K2179" s="327"/>
      <c r="L2179" s="389">
        <v>15000</v>
      </c>
      <c r="M2179" s="371"/>
      <c r="N2179" s="355" t="str">
        <f t="shared" si="258"/>
        <v>PK</v>
      </c>
      <c r="O2179" s="404" t="s">
        <v>1781</v>
      </c>
      <c r="P2179" s="392"/>
      <c r="Q2179" s="327"/>
      <c r="R2179" s="351"/>
      <c r="S2179" s="351"/>
      <c r="T2179" s="351"/>
      <c r="U2179" s="329" t="str">
        <f>IF($N2179=$N$4,IFERROR(INDEX(DanhMuc!$E$154:$E$165,MATCH(MID($B2179,4,2),DanhMuc!$B$154:$B$165,0)),""),"")</f>
        <v/>
      </c>
      <c r="V2179" s="361"/>
      <c r="W2179" s="345"/>
      <c r="X2179" s="329" t="str">
        <f t="shared" si="252"/>
        <v>3H</v>
      </c>
      <c r="Y2179" s="1128" t="s">
        <v>3380</v>
      </c>
      <c r="Z2179" s="1128" t="s">
        <v>3381</v>
      </c>
      <c r="AA2179" s="1128" t="s">
        <v>3384</v>
      </c>
      <c r="AB2179" s="20"/>
      <c r="AC2179" s="73"/>
    </row>
    <row r="2180" spans="1:29">
      <c r="A2180" s="327" t="str">
        <f>IF(AND($B2180&lt;&gt;"",$C2180&lt;&gt;""),MAX($A$1556:A2179)+1,"")</f>
        <v/>
      </c>
      <c r="B2180" s="361" t="s">
        <v>1999</v>
      </c>
      <c r="C2180" s="360"/>
      <c r="D2180" s="327">
        <f>IF($B2180="","",COUNTIF($B$6:$B2180,$B2180))</f>
        <v>3</v>
      </c>
      <c r="E2180" s="361" t="s">
        <v>3135</v>
      </c>
      <c r="F2180" s="362" t="s">
        <v>3136</v>
      </c>
      <c r="G2180" s="327" t="s">
        <v>155</v>
      </c>
      <c r="H2180" s="327"/>
      <c r="I2180" s="327">
        <v>3</v>
      </c>
      <c r="J2180" s="345"/>
      <c r="K2180" s="327"/>
      <c r="L2180" s="389">
        <v>140000</v>
      </c>
      <c r="M2180" s="371"/>
      <c r="N2180" s="355" t="str">
        <f t="shared" si="258"/>
        <v>PK</v>
      </c>
      <c r="O2180" s="404" t="s">
        <v>3137</v>
      </c>
      <c r="P2180" s="392"/>
      <c r="Q2180" s="327"/>
      <c r="R2180" s="351"/>
      <c r="S2180" s="351"/>
      <c r="T2180" s="351"/>
      <c r="U2180" s="329" t="str">
        <f>IF($N2180=$N$4,IFERROR(INDEX(DanhMuc!$E$154:$E$165,MATCH(MID($B2180,4,2),DanhMuc!$B$154:$B$165,0)),""),"")</f>
        <v/>
      </c>
      <c r="V2180" s="361"/>
      <c r="W2180" s="345"/>
      <c r="X2180" s="329" t="str">
        <f t="shared" si="252"/>
        <v>3H</v>
      </c>
      <c r="Y2180" s="1128" t="s">
        <v>3380</v>
      </c>
      <c r="Z2180" s="1128" t="s">
        <v>3381</v>
      </c>
      <c r="AA2180" s="1128" t="s">
        <v>3384</v>
      </c>
      <c r="AB2180" s="20"/>
      <c r="AC2180" s="73"/>
    </row>
    <row r="2181" spans="1:29">
      <c r="A2181" s="327" t="str">
        <f>IF(AND($B2181&lt;&gt;"",$C2181&lt;&gt;""),MAX($A$1556:A2180)+1,"")</f>
        <v/>
      </c>
      <c r="B2181" s="361" t="s">
        <v>1999</v>
      </c>
      <c r="C2181" s="360"/>
      <c r="D2181" s="327">
        <f>IF($B2181="","",COUNTIF($B$6:$B2181,$B2181))</f>
        <v>4</v>
      </c>
      <c r="E2181" s="361" t="s">
        <v>2852</v>
      </c>
      <c r="F2181" s="362" t="s">
        <v>2373</v>
      </c>
      <c r="G2181" s="327" t="s">
        <v>155</v>
      </c>
      <c r="H2181" s="327"/>
      <c r="I2181" s="327">
        <v>3</v>
      </c>
      <c r="J2181" s="345"/>
      <c r="K2181" s="327"/>
      <c r="L2181" s="389">
        <v>15000</v>
      </c>
      <c r="M2181" s="371"/>
      <c r="N2181" s="355" t="str">
        <f t="shared" si="258"/>
        <v>PK</v>
      </c>
      <c r="O2181" s="404" t="s">
        <v>3137</v>
      </c>
      <c r="P2181" s="392"/>
      <c r="Q2181" s="327"/>
      <c r="R2181" s="351"/>
      <c r="S2181" s="351"/>
      <c r="T2181" s="351"/>
      <c r="U2181" s="329" t="str">
        <f>IF($N2181=$N$4,IFERROR(INDEX(DanhMuc!$E$154:$E$165,MATCH(MID($B2181,4,2),DanhMuc!$B$154:$B$165,0)),""),"")</f>
        <v/>
      </c>
      <c r="V2181" s="361"/>
      <c r="W2181" s="345"/>
      <c r="X2181" s="329" t="str">
        <f t="shared" si="252"/>
        <v>3H</v>
      </c>
      <c r="Y2181" s="1128" t="s">
        <v>3380</v>
      </c>
      <c r="Z2181" s="1128" t="s">
        <v>3381</v>
      </c>
      <c r="AA2181" s="1128" t="s">
        <v>3384</v>
      </c>
      <c r="AB2181" s="20"/>
      <c r="AC2181" s="73"/>
    </row>
    <row r="2182" spans="1:29">
      <c r="A2182" s="327" t="str">
        <f>IF(AND($B2182&lt;&gt;"",$C2182&lt;&gt;""),MAX($A$1556:A2179)+1,"")</f>
        <v/>
      </c>
      <c r="B2182" s="361" t="s">
        <v>1999</v>
      </c>
      <c r="C2182" s="360"/>
      <c r="D2182" s="327">
        <f>IF($B2182="","",COUNTIF($B$6:$B2182,$B2182))</f>
        <v>5</v>
      </c>
      <c r="E2182" s="361" t="s">
        <v>1968</v>
      </c>
      <c r="F2182" s="362" t="s">
        <v>2970</v>
      </c>
      <c r="G2182" s="327" t="s">
        <v>155</v>
      </c>
      <c r="H2182" s="327"/>
      <c r="I2182" s="327">
        <v>1</v>
      </c>
      <c r="J2182" s="359"/>
      <c r="K2182" s="327"/>
      <c r="L2182" s="389">
        <v>28000</v>
      </c>
      <c r="M2182" s="371"/>
      <c r="N2182" s="355" t="s">
        <v>153</v>
      </c>
      <c r="O2182" s="404" t="s">
        <v>1971</v>
      </c>
      <c r="P2182" s="392"/>
      <c r="Q2182" s="327"/>
      <c r="R2182" s="351"/>
      <c r="S2182" s="351"/>
      <c r="T2182" s="351"/>
      <c r="U2182" s="329" t="str">
        <f>IF($N2182=$N$4,IFERROR(INDEX(DanhMuc!$E$154:$E$165,MATCH(MID($B2182,4,2),DanhMuc!$B$154:$B$165,0)),""),"")</f>
        <v/>
      </c>
      <c r="V2182" s="361"/>
      <c r="W2182" s="345"/>
      <c r="X2182" s="329" t="str">
        <f t="shared" si="252"/>
        <v>3H</v>
      </c>
      <c r="Y2182" s="1128" t="s">
        <v>3380</v>
      </c>
      <c r="Z2182" s="1128" t="s">
        <v>3381</v>
      </c>
      <c r="AA2182" s="1128" t="s">
        <v>3384</v>
      </c>
      <c r="AB2182" s="20"/>
      <c r="AC2182" s="73"/>
    </row>
    <row r="2183" spans="1:29">
      <c r="A2183" s="327" t="str">
        <f>IF(AND($B2183&lt;&gt;"",$C2183&lt;&gt;""),MAX($A$1556:A2182)+1,"")</f>
        <v/>
      </c>
      <c r="B2183" s="361" t="s">
        <v>1999</v>
      </c>
      <c r="C2183" s="360"/>
      <c r="D2183" s="327">
        <f>IF($B2183="","",COUNTIF($B$6:$B2183,$B2183))</f>
        <v>6</v>
      </c>
      <c r="E2183" s="361" t="s">
        <v>1968</v>
      </c>
      <c r="F2183" s="362" t="s">
        <v>2971</v>
      </c>
      <c r="G2183" s="327" t="s">
        <v>155</v>
      </c>
      <c r="H2183" s="327"/>
      <c r="I2183" s="327">
        <v>1</v>
      </c>
      <c r="J2183" s="359"/>
      <c r="K2183" s="327"/>
      <c r="L2183" s="389">
        <v>28000</v>
      </c>
      <c r="M2183" s="371"/>
      <c r="N2183" s="355" t="s">
        <v>153</v>
      </c>
      <c r="O2183" s="404" t="s">
        <v>1972</v>
      </c>
      <c r="P2183" s="392"/>
      <c r="Q2183" s="327"/>
      <c r="R2183" s="351"/>
      <c r="S2183" s="351"/>
      <c r="T2183" s="351"/>
      <c r="U2183" s="329" t="str">
        <f>IF($N2183=$N$4,IFERROR(INDEX(DanhMuc!$E$154:$E$165,MATCH(MID($B2183,4,2),DanhMuc!$B$154:$B$165,0)),""),"")</f>
        <v/>
      </c>
      <c r="V2183" s="361"/>
      <c r="W2183" s="345"/>
      <c r="X2183" s="329" t="str">
        <f t="shared" si="252"/>
        <v>3H</v>
      </c>
      <c r="Y2183" s="1128" t="s">
        <v>3380</v>
      </c>
      <c r="Z2183" s="1128" t="s">
        <v>3381</v>
      </c>
      <c r="AA2183" s="1128" t="s">
        <v>3384</v>
      </c>
      <c r="AB2183" s="20"/>
      <c r="AC2183" s="73"/>
    </row>
    <row r="2184" spans="1:29">
      <c r="A2184" s="327" t="str">
        <f>IF(AND($B2184&lt;&gt;"",$C2184&lt;&gt;""),MAX($A$1556:A2182)+1,"")</f>
        <v/>
      </c>
      <c r="B2184" s="361" t="s">
        <v>1999</v>
      </c>
      <c r="C2184" s="360"/>
      <c r="D2184" s="327">
        <f>IF($B2184="","",COUNTIF($B$6:$B2184,$B2184))</f>
        <v>7</v>
      </c>
      <c r="E2184" s="361" t="s">
        <v>1969</v>
      </c>
      <c r="F2184" s="362" t="s">
        <v>1970</v>
      </c>
      <c r="G2184" s="327" t="s">
        <v>155</v>
      </c>
      <c r="H2184" s="327"/>
      <c r="I2184" s="327">
        <v>1</v>
      </c>
      <c r="J2184" s="359"/>
      <c r="K2184" s="327"/>
      <c r="L2184" s="389">
        <v>6300</v>
      </c>
      <c r="M2184" s="371"/>
      <c r="N2184" s="355" t="s">
        <v>153</v>
      </c>
      <c r="O2184" s="404" t="s">
        <v>1780</v>
      </c>
      <c r="P2184" s="392"/>
      <c r="Q2184" s="327"/>
      <c r="R2184" s="351"/>
      <c r="S2184" s="351"/>
      <c r="T2184" s="351"/>
      <c r="U2184" s="329" t="str">
        <f>IF($N2184=$N$4,IFERROR(INDEX(DanhMuc!$E$154:$E$165,MATCH(MID($B2184,4,2),DanhMuc!$B$154:$B$165,0)),""),"")</f>
        <v/>
      </c>
      <c r="V2184" s="361"/>
      <c r="W2184" s="345"/>
      <c r="X2184" s="329" t="str">
        <f t="shared" si="252"/>
        <v>3H</v>
      </c>
      <c r="Y2184" s="1128" t="s">
        <v>3380</v>
      </c>
      <c r="Z2184" s="1128" t="s">
        <v>3381</v>
      </c>
      <c r="AA2184" s="1128" t="s">
        <v>3384</v>
      </c>
      <c r="AB2184" s="20"/>
      <c r="AC2184" s="73"/>
    </row>
    <row r="2185" spans="1:29">
      <c r="A2185" s="327" t="str">
        <f>IF(AND($B2185&lt;&gt;"",$C2185&lt;&gt;""),MAX($A$1556:A2179)+1,"")</f>
        <v/>
      </c>
      <c r="B2185" s="361" t="s">
        <v>1999</v>
      </c>
      <c r="C2185" s="360"/>
      <c r="D2185" s="327">
        <f>IF($B2185="","",COUNTIF($B$6:$B2185,$B2185))</f>
        <v>8</v>
      </c>
      <c r="E2185" s="361" t="s">
        <v>2534</v>
      </c>
      <c r="F2185" s="362" t="s">
        <v>181</v>
      </c>
      <c r="G2185" s="327" t="s">
        <v>155</v>
      </c>
      <c r="H2185" s="327" t="s">
        <v>536</v>
      </c>
      <c r="I2185" s="327">
        <v>8</v>
      </c>
      <c r="J2185" s="361"/>
      <c r="K2185" s="327"/>
      <c r="L2185" s="389">
        <v>19000</v>
      </c>
      <c r="M2185" s="371"/>
      <c r="N2185" s="355" t="str">
        <f t="shared" ref="N2185:N2196" si="259">+$N$1555</f>
        <v>PK</v>
      </c>
      <c r="O2185" s="345"/>
      <c r="P2185" s="392"/>
      <c r="Q2185" s="327"/>
      <c r="R2185" s="351"/>
      <c r="S2185" s="351"/>
      <c r="T2185" s="351"/>
      <c r="U2185" s="329" t="str">
        <f>IF($N2185=$N$4,IFERROR(INDEX(DanhMuc!$E$154:$E$165,MATCH(MID($B2185,4,2),DanhMuc!$B$154:$B$165,0)),""),"")</f>
        <v/>
      </c>
      <c r="V2185" s="361"/>
      <c r="W2185" s="345"/>
      <c r="X2185" s="329" t="str">
        <f t="shared" si="252"/>
        <v>3H</v>
      </c>
      <c r="Y2185" s="1128" t="s">
        <v>3380</v>
      </c>
      <c r="Z2185" s="1128" t="s">
        <v>3381</v>
      </c>
      <c r="AA2185" s="1128" t="s">
        <v>3384</v>
      </c>
      <c r="AB2185" s="20"/>
      <c r="AC2185" s="73"/>
    </row>
    <row r="2186" spans="1:29">
      <c r="A2186" s="327" t="str">
        <f>IF(AND($B2186&lt;&gt;"",$C2186&lt;&gt;""),MAX($A$1556:A2185)+1,"")</f>
        <v/>
      </c>
      <c r="B2186" s="361" t="s">
        <v>1999</v>
      </c>
      <c r="C2186" s="360"/>
      <c r="D2186" s="327">
        <f>IF($B2186="","",COUNTIF($B$6:$B2186,$B2186))</f>
        <v>9</v>
      </c>
      <c r="E2186" s="361" t="s">
        <v>163</v>
      </c>
      <c r="F2186" s="362" t="s">
        <v>164</v>
      </c>
      <c r="G2186" s="327" t="s">
        <v>155</v>
      </c>
      <c r="H2186" s="327"/>
      <c r="I2186" s="327">
        <v>4</v>
      </c>
      <c r="J2186" s="361"/>
      <c r="K2186" s="408"/>
      <c r="L2186" s="389">
        <v>2500</v>
      </c>
      <c r="M2186" s="371"/>
      <c r="N2186" s="355" t="str">
        <f t="shared" si="259"/>
        <v>PK</v>
      </c>
      <c r="O2186" s="345"/>
      <c r="P2186" s="392"/>
      <c r="Q2186" s="327"/>
      <c r="R2186" s="351"/>
      <c r="S2186" s="351"/>
      <c r="T2186" s="351"/>
      <c r="U2186" s="329" t="str">
        <f>IF($N2186=$N$4,IFERROR(INDEX(DanhMuc!$E$154:$E$165,MATCH(MID($B2186,4,2),DanhMuc!$B$154:$B$165,0)),""),"")</f>
        <v/>
      </c>
      <c r="V2186" s="408" t="s">
        <v>342</v>
      </c>
      <c r="W2186" s="345"/>
      <c r="X2186" s="329" t="str">
        <f t="shared" si="252"/>
        <v>3H</v>
      </c>
      <c r="Y2186" s="1128" t="s">
        <v>3380</v>
      </c>
      <c r="Z2186" s="1128" t="s">
        <v>3381</v>
      </c>
      <c r="AA2186" s="1128" t="s">
        <v>3384</v>
      </c>
      <c r="AB2186" s="20"/>
      <c r="AC2186" s="73"/>
    </row>
    <row r="2187" spans="1:29">
      <c r="A2187" s="327" t="str">
        <f>IF(AND($B2187&lt;&gt;"",$C2187&lt;&gt;""),MAX($A$1556:A2186)+1,"")</f>
        <v/>
      </c>
      <c r="B2187" s="361" t="s">
        <v>1999</v>
      </c>
      <c r="C2187" s="360"/>
      <c r="D2187" s="327">
        <f>IF($B2187="","",COUNTIF($B$6:$B2187,$B2187))</f>
        <v>10</v>
      </c>
      <c r="E2187" s="361" t="s">
        <v>187</v>
      </c>
      <c r="F2187" s="362" t="s">
        <v>189</v>
      </c>
      <c r="G2187" s="327" t="s">
        <v>155</v>
      </c>
      <c r="H2187" s="327"/>
      <c r="I2187" s="327">
        <v>8</v>
      </c>
      <c r="J2187" s="361"/>
      <c r="K2187" s="327"/>
      <c r="L2187" s="389">
        <v>5000</v>
      </c>
      <c r="M2187" s="371"/>
      <c r="N2187" s="355" t="str">
        <f t="shared" si="259"/>
        <v>PK</v>
      </c>
      <c r="O2187" s="345"/>
      <c r="P2187" s="392"/>
      <c r="Q2187" s="327"/>
      <c r="R2187" s="351"/>
      <c r="S2187" s="351"/>
      <c r="T2187" s="351"/>
      <c r="U2187" s="329" t="str">
        <f>IF($N2187=$N$4,IFERROR(INDEX(DanhMuc!$E$154:$E$165,MATCH(MID($B2187,4,2),DanhMuc!$B$154:$B$165,0)),""),"")</f>
        <v/>
      </c>
      <c r="V2187" s="361"/>
      <c r="W2187" s="345"/>
      <c r="X2187" s="329" t="str">
        <f t="shared" si="252"/>
        <v>3H</v>
      </c>
      <c r="Y2187" s="1128" t="s">
        <v>3380</v>
      </c>
      <c r="Z2187" s="1128" t="s">
        <v>3381</v>
      </c>
      <c r="AA2187" s="1128" t="s">
        <v>3384</v>
      </c>
      <c r="AB2187" s="20"/>
      <c r="AC2187" s="73"/>
    </row>
    <row r="2188" spans="1:29">
      <c r="A2188" s="327" t="str">
        <f>IF(AND($B2188&lt;&gt;"",$C2188&lt;&gt;""),MAX($A$1556:A2157)+1,"")</f>
        <v/>
      </c>
      <c r="B2188" s="359"/>
      <c r="C2188" s="360"/>
      <c r="D2188" s="327" t="str">
        <f>IF($B2188="","",COUNTIF($B$6:$B2188,$B2188))</f>
        <v/>
      </c>
      <c r="E2188" s="361"/>
      <c r="F2188" s="362"/>
      <c r="G2188" s="327"/>
      <c r="H2188" s="327"/>
      <c r="I2188" s="327"/>
      <c r="J2188" s="361"/>
      <c r="K2188" s="327"/>
      <c r="L2188" s="389"/>
      <c r="M2188" s="371"/>
      <c r="N2188" s="355" t="str">
        <f t="shared" si="259"/>
        <v>PK</v>
      </c>
      <c r="O2188" s="345"/>
      <c r="P2188" s="392"/>
      <c r="Q2188" s="327"/>
      <c r="R2188" s="351"/>
      <c r="S2188" s="351"/>
      <c r="T2188" s="351"/>
      <c r="U2188" s="329" t="str">
        <f>IF($N2188=$N$4,IFERROR(INDEX(DanhMuc!$E$154:$E$165,MATCH(MID($B2188,4,2),DanhMuc!$B$154:$B$165,0)),""),"")</f>
        <v/>
      </c>
      <c r="V2188" s="361"/>
      <c r="W2188" s="345"/>
      <c r="X2188" s="329" t="str">
        <f t="shared" si="252"/>
        <v/>
      </c>
      <c r="Y2188" s="1128" t="s">
        <v>3380</v>
      </c>
      <c r="Z2188" s="1128" t="s">
        <v>3381</v>
      </c>
      <c r="AA2188" s="1128" t="s">
        <v>3384</v>
      </c>
      <c r="AB2188" s="20"/>
      <c r="AC2188" s="73"/>
    </row>
    <row r="2189" spans="1:29" s="21" customFormat="1">
      <c r="A2189" s="327">
        <f>IF(AND($B2189&lt;&gt;"",$C2189&lt;&gt;""),MAX($A1096:A$1556)+1,"")</f>
        <v>125</v>
      </c>
      <c r="B2189" s="394" t="s">
        <v>98</v>
      </c>
      <c r="C2189" s="395" t="s">
        <v>2578</v>
      </c>
      <c r="D2189" s="396"/>
      <c r="E2189" s="396"/>
      <c r="F2189" s="397"/>
      <c r="G2189" s="396"/>
      <c r="H2189" s="351"/>
      <c r="I2189" s="396"/>
      <c r="J2189" s="396"/>
      <c r="K2189" s="393"/>
      <c r="L2189" s="389"/>
      <c r="M2189" s="371"/>
      <c r="N2189" s="355" t="str">
        <f t="shared" si="259"/>
        <v>PK</v>
      </c>
      <c r="O2189" s="394"/>
      <c r="P2189" s="351"/>
      <c r="Q2189" s="327"/>
      <c r="R2189" s="351"/>
      <c r="S2189" s="351"/>
      <c r="T2189" s="351"/>
      <c r="U2189" s="329" t="str">
        <f>IF($N2189=$N$4,IFERROR(INDEX(DanhMuc!$E$154:$E$165,MATCH(MID($B2189,4,2),DanhMuc!$B$154:$B$165,0)),""),"")</f>
        <v/>
      </c>
      <c r="V2189" s="351"/>
      <c r="W2189" s="345"/>
      <c r="X2189" s="329" t="str">
        <f t="shared" si="252"/>
        <v/>
      </c>
      <c r="Y2189" s="1128" t="s">
        <v>3380</v>
      </c>
      <c r="Z2189" s="1128" t="s">
        <v>3381</v>
      </c>
      <c r="AA2189" s="1128" t="s">
        <v>3384</v>
      </c>
      <c r="AB2189" s="20"/>
      <c r="AC2189" s="73"/>
    </row>
    <row r="2190" spans="1:29" ht="39">
      <c r="A2190" s="327">
        <f>IF(AND($B2190&lt;&gt;"",$C2190&lt;&gt;""),MAX($A$1556:A2189)+1,"")</f>
        <v>126</v>
      </c>
      <c r="B2190" s="359" t="s">
        <v>2000</v>
      </c>
      <c r="C2190" s="360" t="s">
        <v>1822</v>
      </c>
      <c r="D2190" s="327">
        <f>IF($B2190="","",COUNTIF($B$6:$B2190,$B2190))</f>
        <v>1</v>
      </c>
      <c r="E2190" s="361" t="s">
        <v>2585</v>
      </c>
      <c r="F2190" s="362" t="s">
        <v>2110</v>
      </c>
      <c r="G2190" s="327" t="s">
        <v>297</v>
      </c>
      <c r="H2190" s="327"/>
      <c r="I2190" s="327">
        <v>1</v>
      </c>
      <c r="J2190" s="361"/>
      <c r="K2190" s="327"/>
      <c r="L2190" s="389">
        <v>1</v>
      </c>
      <c r="M2190" s="371"/>
      <c r="N2190" s="355" t="str">
        <f t="shared" si="259"/>
        <v>PK</v>
      </c>
      <c r="O2190" s="359"/>
      <c r="P2190" s="361"/>
      <c r="Q2190" s="327"/>
      <c r="R2190" s="351"/>
      <c r="S2190" s="351"/>
      <c r="T2190" s="351"/>
      <c r="U2190" s="329" t="str">
        <f>IF($N2190=$N$4,IFERROR(INDEX(DanhMuc!$E$154:$E$165,MATCH(MID($B2190,4,2),DanhMuc!$B$154:$B$165,0)),""),"")</f>
        <v/>
      </c>
      <c r="V2190" s="361"/>
      <c r="W2190" s="345"/>
      <c r="X2190" s="329" t="str">
        <f t="shared" si="252"/>
        <v>KL</v>
      </c>
      <c r="Y2190" s="1128" t="s">
        <v>3380</v>
      </c>
      <c r="Z2190" s="1128" t="s">
        <v>3381</v>
      </c>
      <c r="AA2190" s="1128" t="s">
        <v>3384</v>
      </c>
      <c r="AB2190" s="20"/>
      <c r="AC2190" s="73"/>
    </row>
    <row r="2191" spans="1:29">
      <c r="A2191" s="327" t="str">
        <f>IF(AND($B2191&lt;&gt;"",$C2191&lt;&gt;""),MAX($A$1556:A2189)+1,"")</f>
        <v/>
      </c>
      <c r="B2191" s="361" t="s">
        <v>2000</v>
      </c>
      <c r="C2191" s="360"/>
      <c r="D2191" s="327">
        <f>IF($B2191="","",COUNTIF($B$6:$B2191,$B2191))</f>
        <v>2</v>
      </c>
      <c r="E2191" s="419" t="s">
        <v>2579</v>
      </c>
      <c r="F2191" s="417" t="s">
        <v>2112</v>
      </c>
      <c r="G2191" s="418" t="s">
        <v>344</v>
      </c>
      <c r="H2191" s="327" t="s">
        <v>536</v>
      </c>
      <c r="I2191" s="327">
        <v>1</v>
      </c>
      <c r="J2191" s="361"/>
      <c r="K2191" s="327"/>
      <c r="L2191" s="389">
        <f>425000-3</f>
        <v>424997</v>
      </c>
      <c r="M2191" s="371"/>
      <c r="N2191" s="355" t="str">
        <f t="shared" si="259"/>
        <v>PK</v>
      </c>
      <c r="O2191" s="359" t="s">
        <v>1623</v>
      </c>
      <c r="P2191" s="361"/>
      <c r="Q2191" s="327"/>
      <c r="R2191" s="351"/>
      <c r="S2191" s="351"/>
      <c r="T2191" s="351"/>
      <c r="U2191" s="329" t="str">
        <f>IF($N2191=$N$4,IFERROR(INDEX(DanhMuc!$E$154:$E$165,MATCH(MID($B2191,4,2),DanhMuc!$B$154:$B$165,0)),""),"")</f>
        <v/>
      </c>
      <c r="V2191" s="361"/>
      <c r="W2191" s="345"/>
      <c r="X2191" s="329" t="str">
        <f t="shared" si="252"/>
        <v>KL</v>
      </c>
      <c r="Y2191" s="1128" t="s">
        <v>3380</v>
      </c>
      <c r="Z2191" s="1128" t="s">
        <v>3381</v>
      </c>
      <c r="AA2191" s="1128" t="s">
        <v>3384</v>
      </c>
      <c r="AB2191" s="20"/>
      <c r="AC2191" s="73"/>
    </row>
    <row r="2192" spans="1:29">
      <c r="A2192" s="327" t="str">
        <f>IF(AND($B2192&lt;&gt;"",$C2192&lt;&gt;""),MAX($A$1556:A2189)+1,"")</f>
        <v/>
      </c>
      <c r="B2192" s="361" t="s">
        <v>2000</v>
      </c>
      <c r="C2192" s="360"/>
      <c r="D2192" s="327">
        <f>IF($B2192="","",COUNTIF($B$6:$B2192,$B2192))</f>
        <v>3</v>
      </c>
      <c r="E2192" s="419" t="s">
        <v>2582</v>
      </c>
      <c r="F2192" s="417" t="s">
        <v>323</v>
      </c>
      <c r="G2192" s="418" t="s">
        <v>155</v>
      </c>
      <c r="H2192" s="327" t="s">
        <v>536</v>
      </c>
      <c r="I2192" s="327">
        <v>1</v>
      </c>
      <c r="J2192" s="361"/>
      <c r="K2192" s="327"/>
      <c r="L2192" s="389">
        <v>1</v>
      </c>
      <c r="M2192" s="371"/>
      <c r="N2192" s="355" t="str">
        <f t="shared" si="259"/>
        <v>PK</v>
      </c>
      <c r="O2192" s="359" t="s">
        <v>1060</v>
      </c>
      <c r="P2192" s="361"/>
      <c r="Q2192" s="327"/>
      <c r="R2192" s="351"/>
      <c r="S2192" s="351"/>
      <c r="T2192" s="351"/>
      <c r="U2192" s="329" t="str">
        <f>IF($N2192=$N$4,IFERROR(INDEX(DanhMuc!$E$154:$E$165,MATCH(MID($B2192,4,2),DanhMuc!$B$154:$B$165,0)),""),"")</f>
        <v/>
      </c>
      <c r="V2192" s="361"/>
      <c r="W2192" s="345"/>
      <c r="X2192" s="329" t="str">
        <f t="shared" si="252"/>
        <v>KL</v>
      </c>
      <c r="Y2192" s="1128" t="s">
        <v>3380</v>
      </c>
      <c r="Z2192" s="1128" t="s">
        <v>3381</v>
      </c>
      <c r="AA2192" s="1128" t="s">
        <v>3384</v>
      </c>
      <c r="AB2192" s="20"/>
      <c r="AC2192" s="73"/>
    </row>
    <row r="2193" spans="1:29">
      <c r="A2193" s="327" t="str">
        <f>IF(AND($B2193&lt;&gt;"",$C2193&lt;&gt;""),MAX($A$1556:A2189)+1,"")</f>
        <v/>
      </c>
      <c r="B2193" s="361" t="s">
        <v>2000</v>
      </c>
      <c r="C2193" s="360"/>
      <c r="D2193" s="327">
        <f>IF($B2193="","",COUNTIF($B$6:$B2193,$B2193))</f>
        <v>4</v>
      </c>
      <c r="E2193" s="419" t="s">
        <v>2583</v>
      </c>
      <c r="F2193" s="417" t="s">
        <v>1799</v>
      </c>
      <c r="G2193" s="418" t="s">
        <v>155</v>
      </c>
      <c r="H2193" s="327" t="s">
        <v>536</v>
      </c>
      <c r="I2193" s="327">
        <v>1</v>
      </c>
      <c r="J2193" s="361"/>
      <c r="K2193" s="327"/>
      <c r="L2193" s="389">
        <v>1</v>
      </c>
      <c r="M2193" s="371"/>
      <c r="N2193" s="355" t="str">
        <f t="shared" si="259"/>
        <v>PK</v>
      </c>
      <c r="O2193" s="401" t="s">
        <v>2705</v>
      </c>
      <c r="P2193" s="361"/>
      <c r="Q2193" s="327"/>
      <c r="R2193" s="351"/>
      <c r="S2193" s="351"/>
      <c r="T2193" s="351"/>
      <c r="U2193" s="329" t="str">
        <f>IF($N2193=$N$4,IFERROR(INDEX(DanhMuc!$E$154:$E$165,MATCH(MID($B2193,4,2),DanhMuc!$B$154:$B$165,0)),""),"")</f>
        <v/>
      </c>
      <c r="V2193" s="361"/>
      <c r="W2193" s="345"/>
      <c r="X2193" s="329" t="str">
        <f t="shared" si="252"/>
        <v>KL</v>
      </c>
      <c r="Y2193" s="1128" t="s">
        <v>3380</v>
      </c>
      <c r="Z2193" s="1128" t="s">
        <v>3381</v>
      </c>
      <c r="AA2193" s="1128" t="s">
        <v>3384</v>
      </c>
      <c r="AB2193" s="20"/>
      <c r="AC2193" s="73"/>
    </row>
    <row r="2194" spans="1:29">
      <c r="A2194" s="327" t="str">
        <f>IF(AND($B2194&lt;&gt;"",$C2194&lt;&gt;""),MAX($A$1556:A2189)+1,"")</f>
        <v/>
      </c>
      <c r="B2194" s="361" t="s">
        <v>2000</v>
      </c>
      <c r="C2194" s="360"/>
      <c r="D2194" s="327">
        <f>IF($B2194="","",COUNTIF($B$6:$B2194,$B2194))</f>
        <v>5</v>
      </c>
      <c r="E2194" s="419" t="s">
        <v>2584</v>
      </c>
      <c r="F2194" s="417" t="s">
        <v>2119</v>
      </c>
      <c r="G2194" s="418" t="s">
        <v>155</v>
      </c>
      <c r="H2194" s="327" t="s">
        <v>536</v>
      </c>
      <c r="I2194" s="327">
        <v>1</v>
      </c>
      <c r="J2194" s="361"/>
      <c r="K2194" s="327"/>
      <c r="L2194" s="389">
        <v>1</v>
      </c>
      <c r="M2194" s="371"/>
      <c r="N2194" s="355" t="str">
        <f t="shared" si="259"/>
        <v>PK</v>
      </c>
      <c r="O2194" s="359" t="s">
        <v>1623</v>
      </c>
      <c r="P2194" s="361"/>
      <c r="Q2194" s="327"/>
      <c r="R2194" s="351"/>
      <c r="S2194" s="351"/>
      <c r="T2194" s="351"/>
      <c r="U2194" s="329" t="str">
        <f>IF($N2194=$N$4,IFERROR(INDEX(DanhMuc!$E$154:$E$165,MATCH(MID($B2194,4,2),DanhMuc!$B$154:$B$165,0)),""),"")</f>
        <v/>
      </c>
      <c r="V2194" s="361"/>
      <c r="W2194" s="345"/>
      <c r="X2194" s="329" t="str">
        <f t="shared" si="252"/>
        <v>KL</v>
      </c>
      <c r="Y2194" s="1128" t="s">
        <v>3380</v>
      </c>
      <c r="Z2194" s="1128" t="s">
        <v>3381</v>
      </c>
      <c r="AA2194" s="1128" t="s">
        <v>3384</v>
      </c>
      <c r="AB2194" s="20"/>
      <c r="AC2194" s="73"/>
    </row>
    <row r="2195" spans="1:29">
      <c r="A2195" s="327" t="str">
        <f>IF(AND($B2195&lt;&gt;"",$C2195&lt;&gt;""),MAX($A$1556:A2189)+1,"")</f>
        <v/>
      </c>
      <c r="B2195" s="361" t="s">
        <v>2000</v>
      </c>
      <c r="C2195" s="360"/>
      <c r="D2195" s="327">
        <f>IF($B2195="","",COUNTIF($B$6:$B2195,$B2195))</f>
        <v>6</v>
      </c>
      <c r="E2195" s="419" t="s">
        <v>2600</v>
      </c>
      <c r="F2195" s="417" t="s">
        <v>1801</v>
      </c>
      <c r="G2195" s="418" t="s">
        <v>155</v>
      </c>
      <c r="H2195" s="327" t="s">
        <v>536</v>
      </c>
      <c r="I2195" s="327">
        <v>2</v>
      </c>
      <c r="J2195" s="361"/>
      <c r="K2195" s="327"/>
      <c r="L2195" s="389">
        <v>8000</v>
      </c>
      <c r="M2195" s="371"/>
      <c r="N2195" s="355" t="str">
        <f t="shared" si="259"/>
        <v>PK</v>
      </c>
      <c r="O2195" s="359" t="s">
        <v>1623</v>
      </c>
      <c r="P2195" s="361"/>
      <c r="Q2195" s="327"/>
      <c r="R2195" s="351"/>
      <c r="S2195" s="351"/>
      <c r="T2195" s="351"/>
      <c r="U2195" s="329" t="str">
        <f>IF($N2195=$N$4,IFERROR(INDEX(DanhMuc!$E$154:$E$165,MATCH(MID($B2195,4,2),DanhMuc!$B$154:$B$165,0)),""),"")</f>
        <v/>
      </c>
      <c r="V2195" s="361"/>
      <c r="W2195" s="345"/>
      <c r="X2195" s="329" t="str">
        <f t="shared" si="252"/>
        <v>KL</v>
      </c>
      <c r="Y2195" s="1128" t="s">
        <v>3380</v>
      </c>
      <c r="Z2195" s="1128" t="s">
        <v>3381</v>
      </c>
      <c r="AA2195" s="1128" t="s">
        <v>3384</v>
      </c>
      <c r="AB2195" s="20"/>
      <c r="AC2195" s="73"/>
    </row>
    <row r="2196" spans="1:29">
      <c r="A2196" s="327" t="str">
        <f>IF(AND($B2196&lt;&gt;"",$C2196&lt;&gt;""),MAX($A$1556:A2189)+1,"")</f>
        <v/>
      </c>
      <c r="B2196" s="361" t="s">
        <v>2000</v>
      </c>
      <c r="C2196" s="360"/>
      <c r="D2196" s="327">
        <f>IF($B2196="","",COUNTIF($B$6:$B2196,$B2196))</f>
        <v>7</v>
      </c>
      <c r="E2196" s="419" t="s">
        <v>2114</v>
      </c>
      <c r="F2196" s="417" t="s">
        <v>2601</v>
      </c>
      <c r="G2196" s="418" t="s">
        <v>155</v>
      </c>
      <c r="H2196" s="327" t="s">
        <v>536</v>
      </c>
      <c r="I2196" s="327">
        <v>2</v>
      </c>
      <c r="J2196" s="361"/>
      <c r="K2196" s="327"/>
      <c r="L2196" s="389">
        <v>13500</v>
      </c>
      <c r="M2196" s="371"/>
      <c r="N2196" s="355" t="str">
        <f t="shared" si="259"/>
        <v>PK</v>
      </c>
      <c r="O2196" s="359" t="s">
        <v>1623</v>
      </c>
      <c r="P2196" s="361"/>
      <c r="Q2196" s="327"/>
      <c r="R2196" s="351"/>
      <c r="S2196" s="351"/>
      <c r="T2196" s="351"/>
      <c r="U2196" s="329" t="str">
        <f>IF($N2196=$N$4,IFERROR(INDEX(DanhMuc!$E$154:$E$165,MATCH(MID($B2196,4,2),DanhMuc!$B$154:$B$165,0)),""),"")</f>
        <v/>
      </c>
      <c r="V2196" s="361"/>
      <c r="W2196" s="345"/>
      <c r="X2196" s="329" t="str">
        <f t="shared" si="252"/>
        <v>KL</v>
      </c>
      <c r="Y2196" s="1128" t="s">
        <v>3380</v>
      </c>
      <c r="Z2196" s="1128" t="s">
        <v>3381</v>
      </c>
      <c r="AA2196" s="1128" t="s">
        <v>3384</v>
      </c>
      <c r="AB2196" s="20"/>
      <c r="AC2196" s="73"/>
    </row>
    <row r="2197" spans="1:29" s="25" customFormat="1">
      <c r="A2197" s="327" t="str">
        <f>IF(AND($B2197&lt;&gt;"",$C2197&lt;&gt;""),MAX($A$1556:A2201)+1,"")</f>
        <v/>
      </c>
      <c r="B2197" s="361" t="s">
        <v>2000</v>
      </c>
      <c r="C2197" s="346"/>
      <c r="D2197" s="367">
        <f>IF($B2197="","",COUNTIF($B$6:$B2197,$B2197))</f>
        <v>8</v>
      </c>
      <c r="E2197" s="612" t="s">
        <v>327</v>
      </c>
      <c r="F2197" s="613" t="s">
        <v>345</v>
      </c>
      <c r="G2197" s="367" t="s">
        <v>690</v>
      </c>
      <c r="H2197" s="327" t="s">
        <v>536</v>
      </c>
      <c r="I2197" s="367">
        <v>1</v>
      </c>
      <c r="J2197" s="345" t="s">
        <v>634</v>
      </c>
      <c r="K2197" s="367"/>
      <c r="L2197" s="348">
        <f>+$S2197*$T2197*$L$37</f>
        <v>84651</v>
      </c>
      <c r="M2197" s="371"/>
      <c r="N2197" s="355" t="s">
        <v>150</v>
      </c>
      <c r="O2197" s="359" t="s">
        <v>1623</v>
      </c>
      <c r="P2197" s="392"/>
      <c r="Q2197" s="327"/>
      <c r="R2197" s="351">
        <v>2.5</v>
      </c>
      <c r="S2197" s="351">
        <v>5.8</v>
      </c>
      <c r="T2197" s="351">
        <v>0.13900000000000001</v>
      </c>
      <c r="U2197" s="329">
        <f>IF($N2197=$N$4,IFERROR(INDEX(DanhMuc!$E$154:$E$165,MATCH(MID($B2197,4,2),DanhMuc!$B$154:$B$165,0)),""),"")</f>
        <v>5800</v>
      </c>
      <c r="V2197" s="365"/>
      <c r="W2197" s="345"/>
      <c r="X2197" s="329" t="str">
        <f t="shared" si="252"/>
        <v>C459</v>
      </c>
      <c r="Y2197" s="1128" t="s">
        <v>3380</v>
      </c>
      <c r="Z2197" s="1128" t="s">
        <v>3381</v>
      </c>
      <c r="AA2197" s="1128" t="s">
        <v>3384</v>
      </c>
      <c r="AB2197" s="20"/>
      <c r="AC2197" s="73"/>
    </row>
    <row r="2198" spans="1:29">
      <c r="A2198" s="327" t="str">
        <f>IF(AND($B2198&lt;&gt;"",$C2198&lt;&gt;""),MAX($A$1556:A2189)+1,"")</f>
        <v/>
      </c>
      <c r="B2198" s="361" t="s">
        <v>2000</v>
      </c>
      <c r="C2198" s="360"/>
      <c r="D2198" s="327">
        <f>IF($B2198="","",COUNTIF($B$6:$B2198,$B2198))</f>
        <v>9</v>
      </c>
      <c r="E2198" s="426" t="s">
        <v>1802</v>
      </c>
      <c r="F2198" s="429" t="s">
        <v>1803</v>
      </c>
      <c r="G2198" s="425" t="s">
        <v>344</v>
      </c>
      <c r="H2198" s="327" t="s">
        <v>536</v>
      </c>
      <c r="I2198" s="327">
        <v>1</v>
      </c>
      <c r="J2198" s="361"/>
      <c r="K2198" s="327"/>
      <c r="L2198" s="389">
        <f>410000-3</f>
        <v>409997</v>
      </c>
      <c r="M2198" s="371"/>
      <c r="N2198" s="355" t="str">
        <f t="shared" ref="N2198:N2214" si="260">+$N$1555</f>
        <v>PK</v>
      </c>
      <c r="O2198" s="359" t="s">
        <v>1626</v>
      </c>
      <c r="P2198" s="361"/>
      <c r="Q2198" s="327"/>
      <c r="R2198" s="351"/>
      <c r="S2198" s="351"/>
      <c r="T2198" s="351"/>
      <c r="U2198" s="329" t="str">
        <f>IF($N2198=$N$4,IFERROR(INDEX(DanhMuc!$E$154:$E$165,MATCH(MID($B2198,4,2),DanhMuc!$B$154:$B$165,0)),""),"")</f>
        <v/>
      </c>
      <c r="V2198" s="361"/>
      <c r="W2198" s="345"/>
      <c r="X2198" s="329" t="str">
        <f t="shared" si="252"/>
        <v>KL</v>
      </c>
      <c r="Y2198" s="1128" t="s">
        <v>3380</v>
      </c>
      <c r="Z2198" s="1128" t="s">
        <v>3381</v>
      </c>
      <c r="AA2198" s="1128" t="s">
        <v>3384</v>
      </c>
      <c r="AB2198" s="20"/>
      <c r="AC2198" s="73"/>
    </row>
    <row r="2199" spans="1:29">
      <c r="A2199" s="327" t="str">
        <f>IF(AND($B2199&lt;&gt;"",$C2199&lt;&gt;""),MAX($A$1556:A2189)+1,"")</f>
        <v/>
      </c>
      <c r="B2199" s="361" t="s">
        <v>2000</v>
      </c>
      <c r="C2199" s="360"/>
      <c r="D2199" s="327">
        <f>IF($B2199="","",COUNTIF($B$6:$B2199,$B2199))</f>
        <v>10</v>
      </c>
      <c r="E2199" s="426" t="s">
        <v>2581</v>
      </c>
      <c r="F2199" s="429" t="s">
        <v>1800</v>
      </c>
      <c r="G2199" s="425" t="s">
        <v>155</v>
      </c>
      <c r="H2199" s="327" t="s">
        <v>536</v>
      </c>
      <c r="I2199" s="327">
        <v>1</v>
      </c>
      <c r="J2199" s="361"/>
      <c r="K2199" s="327"/>
      <c r="L2199" s="389">
        <v>1</v>
      </c>
      <c r="M2199" s="371"/>
      <c r="N2199" s="355" t="str">
        <f t="shared" si="260"/>
        <v>PK</v>
      </c>
      <c r="O2199" s="401" t="s">
        <v>2706</v>
      </c>
      <c r="P2199" s="361"/>
      <c r="Q2199" s="327"/>
      <c r="R2199" s="351"/>
      <c r="S2199" s="351"/>
      <c r="T2199" s="351"/>
      <c r="U2199" s="329" t="str">
        <f>IF($N2199=$N$4,IFERROR(INDEX(DanhMuc!$E$154:$E$165,MATCH(MID($B2199,4,2),DanhMuc!$B$154:$B$165,0)),""),"")</f>
        <v/>
      </c>
      <c r="V2199" s="361"/>
      <c r="W2199" s="345"/>
      <c r="X2199" s="329" t="str">
        <f t="shared" si="252"/>
        <v>KL</v>
      </c>
      <c r="Y2199" s="1128" t="s">
        <v>3380</v>
      </c>
      <c r="Z2199" s="1128" t="s">
        <v>3381</v>
      </c>
      <c r="AA2199" s="1128" t="s">
        <v>3384</v>
      </c>
      <c r="AB2199" s="20"/>
      <c r="AC2199" s="73"/>
    </row>
    <row r="2200" spans="1:29">
      <c r="A2200" s="327" t="str">
        <f>IF(AND($B2200&lt;&gt;"",$C2200&lt;&gt;""),MAX($A$1556:A2189)+1,"")</f>
        <v/>
      </c>
      <c r="B2200" s="361" t="s">
        <v>2000</v>
      </c>
      <c r="C2200" s="360"/>
      <c r="D2200" s="327">
        <f>IF($B2200="","",COUNTIF($B$6:$B2200,$B2200))</f>
        <v>11</v>
      </c>
      <c r="E2200" s="426" t="s">
        <v>2584</v>
      </c>
      <c r="F2200" s="429" t="s">
        <v>2119</v>
      </c>
      <c r="G2200" s="425" t="s">
        <v>155</v>
      </c>
      <c r="H2200" s="327" t="s">
        <v>536</v>
      </c>
      <c r="I2200" s="327">
        <v>1</v>
      </c>
      <c r="J2200" s="361"/>
      <c r="K2200" s="327"/>
      <c r="L2200" s="389">
        <v>1</v>
      </c>
      <c r="M2200" s="371"/>
      <c r="N2200" s="355" t="str">
        <f t="shared" si="260"/>
        <v>PK</v>
      </c>
      <c r="O2200" s="359" t="s">
        <v>1626</v>
      </c>
      <c r="P2200" s="361"/>
      <c r="Q2200" s="327"/>
      <c r="R2200" s="351"/>
      <c r="S2200" s="351"/>
      <c r="T2200" s="351"/>
      <c r="U2200" s="329" t="str">
        <f>IF($N2200=$N$4,IFERROR(INDEX(DanhMuc!$E$154:$E$165,MATCH(MID($B2200,4,2),DanhMuc!$B$154:$B$165,0)),""),"")</f>
        <v/>
      </c>
      <c r="V2200" s="361"/>
      <c r="W2200" s="345"/>
      <c r="X2200" s="329" t="str">
        <f t="shared" si="252"/>
        <v>KL</v>
      </c>
      <c r="Y2200" s="1128" t="s">
        <v>3380</v>
      </c>
      <c r="Z2200" s="1128" t="s">
        <v>3381</v>
      </c>
      <c r="AA2200" s="1128" t="s">
        <v>3384</v>
      </c>
      <c r="AB2200" s="20"/>
      <c r="AC2200" s="73"/>
    </row>
    <row r="2201" spans="1:29">
      <c r="A2201" s="327" t="str">
        <f>IF(AND($B2201&lt;&gt;"",$C2201&lt;&gt;""),MAX($A$1556:A2189)+1,"")</f>
        <v/>
      </c>
      <c r="B2201" s="361" t="s">
        <v>2000</v>
      </c>
      <c r="C2201" s="360"/>
      <c r="D2201" s="327">
        <f>IF($B2201="","",COUNTIF($B$6:$B2201,$B2201))</f>
        <v>12</v>
      </c>
      <c r="E2201" s="361" t="s">
        <v>2116</v>
      </c>
      <c r="F2201" s="362" t="s">
        <v>1805</v>
      </c>
      <c r="G2201" s="327" t="s">
        <v>155</v>
      </c>
      <c r="H2201" s="327"/>
      <c r="I2201" s="327">
        <v>3</v>
      </c>
      <c r="J2201" s="361"/>
      <c r="K2201" s="327"/>
      <c r="L2201" s="389">
        <v>56000</v>
      </c>
      <c r="M2201" s="371"/>
      <c r="N2201" s="355" t="str">
        <f t="shared" si="260"/>
        <v>PK</v>
      </c>
      <c r="O2201" s="345" t="s">
        <v>686</v>
      </c>
      <c r="P2201" s="361"/>
      <c r="Q2201" s="327"/>
      <c r="R2201" s="351"/>
      <c r="S2201" s="351"/>
      <c r="T2201" s="351"/>
      <c r="U2201" s="329" t="str">
        <f>IF($N2201=$N$4,IFERROR(INDEX(DanhMuc!$E$154:$E$165,MATCH(MID($B2201,4,2),DanhMuc!$B$154:$B$165,0)),""),"")</f>
        <v/>
      </c>
      <c r="V2201" s="361"/>
      <c r="W2201" s="345"/>
      <c r="X2201" s="329" t="str">
        <f t="shared" si="252"/>
        <v>KL</v>
      </c>
      <c r="Y2201" s="1128" t="s">
        <v>3380</v>
      </c>
      <c r="Z2201" s="1128" t="s">
        <v>3381</v>
      </c>
      <c r="AA2201" s="1128" t="s">
        <v>3384</v>
      </c>
      <c r="AB2201" s="20"/>
      <c r="AC2201" s="73"/>
    </row>
    <row r="2202" spans="1:29">
      <c r="A2202" s="327" t="str">
        <f>IF(AND($B2202&lt;&gt;"",$C2202&lt;&gt;""),MAX($A$1556:A2189)+1,"")</f>
        <v/>
      </c>
      <c r="B2202" s="361" t="s">
        <v>2000</v>
      </c>
      <c r="C2202" s="360"/>
      <c r="D2202" s="327">
        <f>IF($B2202="","",COUNTIF($B$6:$B2202,$B2202))</f>
        <v>13</v>
      </c>
      <c r="E2202" s="361" t="s">
        <v>2117</v>
      </c>
      <c r="F2202" s="362" t="s">
        <v>1804</v>
      </c>
      <c r="G2202" s="327" t="s">
        <v>155</v>
      </c>
      <c r="H2202" s="327"/>
      <c r="I2202" s="327">
        <v>3</v>
      </c>
      <c r="J2202" s="361"/>
      <c r="K2202" s="327"/>
      <c r="L2202" s="389">
        <v>56000</v>
      </c>
      <c r="M2202" s="371"/>
      <c r="N2202" s="355" t="str">
        <f t="shared" si="260"/>
        <v>PK</v>
      </c>
      <c r="O2202" s="345" t="s">
        <v>687</v>
      </c>
      <c r="P2202" s="361"/>
      <c r="Q2202" s="327"/>
      <c r="R2202" s="351"/>
      <c r="S2202" s="351"/>
      <c r="T2202" s="351"/>
      <c r="U2202" s="329" t="str">
        <f>IF($N2202=$N$4,IFERROR(INDEX(DanhMuc!$E$154:$E$165,MATCH(MID($B2202,4,2),DanhMuc!$B$154:$B$165,0)),""),"")</f>
        <v/>
      </c>
      <c r="V2202" s="361"/>
      <c r="W2202" s="345"/>
      <c r="X2202" s="329" t="str">
        <f t="shared" si="252"/>
        <v>KL</v>
      </c>
      <c r="Y2202" s="1128" t="s">
        <v>3380</v>
      </c>
      <c r="Z2202" s="1128" t="s">
        <v>3381</v>
      </c>
      <c r="AA2202" s="1128" t="s">
        <v>3384</v>
      </c>
      <c r="AB2202" s="20"/>
      <c r="AC2202" s="73"/>
    </row>
    <row r="2203" spans="1:29">
      <c r="A2203" s="327" t="str">
        <f>IF(AND($B2203&lt;&gt;"",$C2203&lt;&gt;""),MAX($A$1556:A2190)+1,"")</f>
        <v/>
      </c>
      <c r="B2203" s="361" t="s">
        <v>2000</v>
      </c>
      <c r="C2203" s="360"/>
      <c r="D2203" s="327">
        <f>IF($B2203="","",COUNTIF($B$6:$B2203,$B2203))</f>
        <v>14</v>
      </c>
      <c r="E2203" s="361" t="s">
        <v>2587</v>
      </c>
      <c r="F2203" s="362" t="s">
        <v>1931</v>
      </c>
      <c r="G2203" s="327" t="s">
        <v>155</v>
      </c>
      <c r="H2203" s="327"/>
      <c r="I2203" s="327">
        <v>3</v>
      </c>
      <c r="J2203" s="361"/>
      <c r="K2203" s="327"/>
      <c r="L2203" s="389">
        <v>66000</v>
      </c>
      <c r="M2203" s="371"/>
      <c r="N2203" s="355" t="str">
        <f t="shared" si="260"/>
        <v>PK</v>
      </c>
      <c r="O2203" s="345" t="s">
        <v>1806</v>
      </c>
      <c r="P2203" s="361"/>
      <c r="Q2203" s="327"/>
      <c r="R2203" s="351"/>
      <c r="S2203" s="351"/>
      <c r="T2203" s="351"/>
      <c r="U2203" s="329" t="str">
        <f>IF($N2203=$N$4,IFERROR(INDEX(DanhMuc!$E$154:$E$165,MATCH(MID($B2203,4,2),DanhMuc!$B$154:$B$165,0)),""),"")</f>
        <v/>
      </c>
      <c r="V2203" s="361"/>
      <c r="W2203" s="345"/>
      <c r="X2203" s="329" t="str">
        <f t="shared" si="252"/>
        <v>KL</v>
      </c>
      <c r="Y2203" s="1128" t="s">
        <v>3380</v>
      </c>
      <c r="Z2203" s="1128" t="s">
        <v>3381</v>
      </c>
      <c r="AA2203" s="1128" t="s">
        <v>3384</v>
      </c>
      <c r="AB2203" s="20"/>
      <c r="AC2203" s="73"/>
    </row>
    <row r="2204" spans="1:29">
      <c r="A2204" s="327" t="str">
        <f>IF(AND($B2204&lt;&gt;"",$C2204&lt;&gt;""),MAX($A$1556:A2191)+1,"")</f>
        <v/>
      </c>
      <c r="B2204" s="361" t="s">
        <v>2000</v>
      </c>
      <c r="C2204" s="360"/>
      <c r="D2204" s="327">
        <f>IF($B2204="","",COUNTIF($B$6:$B2204,$B2204))</f>
        <v>15</v>
      </c>
      <c r="E2204" s="361" t="s">
        <v>2588</v>
      </c>
      <c r="F2204" s="362" t="s">
        <v>1933</v>
      </c>
      <c r="G2204" s="327" t="s">
        <v>155</v>
      </c>
      <c r="H2204" s="327"/>
      <c r="I2204" s="327">
        <v>3</v>
      </c>
      <c r="J2204" s="361"/>
      <c r="K2204" s="327"/>
      <c r="L2204" s="389">
        <v>66000</v>
      </c>
      <c r="M2204" s="371"/>
      <c r="N2204" s="355" t="str">
        <f t="shared" si="260"/>
        <v>PK</v>
      </c>
      <c r="O2204" s="345" t="s">
        <v>1807</v>
      </c>
      <c r="P2204" s="361"/>
      <c r="Q2204" s="327"/>
      <c r="R2204" s="351"/>
      <c r="S2204" s="351"/>
      <c r="T2204" s="351"/>
      <c r="U2204" s="329" t="str">
        <f>IF($N2204=$N$4,IFERROR(INDEX(DanhMuc!$E$154:$E$165,MATCH(MID($B2204,4,2),DanhMuc!$B$154:$B$165,0)),""),"")</f>
        <v/>
      </c>
      <c r="V2204" s="361"/>
      <c r="W2204" s="345"/>
      <c r="X2204" s="329" t="str">
        <f t="shared" si="252"/>
        <v>KL</v>
      </c>
      <c r="Y2204" s="1128" t="s">
        <v>3380</v>
      </c>
      <c r="Z2204" s="1128" t="s">
        <v>3381</v>
      </c>
      <c r="AA2204" s="1128" t="s">
        <v>3384</v>
      </c>
      <c r="AB2204" s="20"/>
      <c r="AC2204" s="73"/>
    </row>
    <row r="2205" spans="1:29">
      <c r="A2205" s="327" t="str">
        <f>IF(AND($B2205&lt;&gt;"",$C2205&lt;&gt;""),MAX($A$1556:A2204)+1,"")</f>
        <v/>
      </c>
      <c r="B2205" s="361" t="s">
        <v>2000</v>
      </c>
      <c r="C2205" s="360"/>
      <c r="D2205" s="327">
        <f>IF($B2205="","",COUNTIF($B$6:$B2205,$B2205))</f>
        <v>16</v>
      </c>
      <c r="E2205" s="405" t="s">
        <v>442</v>
      </c>
      <c r="F2205" s="406" t="s">
        <v>3866</v>
      </c>
      <c r="G2205" s="327" t="s">
        <v>155</v>
      </c>
      <c r="H2205" s="327"/>
      <c r="I2205" s="327">
        <v>3</v>
      </c>
      <c r="J2205" s="345"/>
      <c r="K2205" s="327"/>
      <c r="L2205" s="389">
        <v>24000</v>
      </c>
      <c r="M2205" s="371"/>
      <c r="N2205" s="355" t="str">
        <f t="shared" si="260"/>
        <v>PK</v>
      </c>
      <c r="O2205" s="407" t="s">
        <v>3868</v>
      </c>
      <c r="P2205" s="392"/>
      <c r="Q2205" s="327"/>
      <c r="R2205" s="351"/>
      <c r="S2205" s="351"/>
      <c r="T2205" s="351"/>
      <c r="U2205" s="329" t="str">
        <f>IF($N2205=$N$4,IFERROR(INDEX(DanhMuc!$E$154:$E$165,MATCH(MID($B2205,4,2),DanhMuc!$B$154:$B$165,0)),""),"")</f>
        <v/>
      </c>
      <c r="V2205" s="361"/>
      <c r="W2205" s="345"/>
      <c r="X2205" s="329" t="str">
        <f t="shared" si="252"/>
        <v>KL</v>
      </c>
      <c r="Y2205" s="1128" t="s">
        <v>3380</v>
      </c>
      <c r="Z2205" s="1128" t="s">
        <v>3381</v>
      </c>
      <c r="AA2205" s="1128" t="s">
        <v>3384</v>
      </c>
      <c r="AB2205" s="20"/>
      <c r="AC2205" s="73"/>
    </row>
    <row r="2206" spans="1:29">
      <c r="A2206" s="327" t="str">
        <f>IF(AND($B2206&lt;&gt;"",$C2206&lt;&gt;""),MAX($A$1556:A2205)+1,"")</f>
        <v/>
      </c>
      <c r="B2206" s="361" t="s">
        <v>2000</v>
      </c>
      <c r="C2206" s="360"/>
      <c r="D2206" s="327">
        <f>IF($B2206="","",COUNTIF($B$6:$B2206,$B2206))</f>
        <v>17</v>
      </c>
      <c r="E2206" s="405" t="s">
        <v>442</v>
      </c>
      <c r="F2206" s="406" t="s">
        <v>3867</v>
      </c>
      <c r="G2206" s="327" t="s">
        <v>155</v>
      </c>
      <c r="H2206" s="327"/>
      <c r="I2206" s="327">
        <v>3</v>
      </c>
      <c r="J2206" s="345"/>
      <c r="K2206" s="327"/>
      <c r="L2206" s="389">
        <v>24000</v>
      </c>
      <c r="M2206" s="371"/>
      <c r="N2206" s="355" t="str">
        <f t="shared" si="260"/>
        <v>PK</v>
      </c>
      <c r="O2206" s="407" t="s">
        <v>3869</v>
      </c>
      <c r="P2206" s="392"/>
      <c r="Q2206" s="327"/>
      <c r="R2206" s="351"/>
      <c r="S2206" s="351"/>
      <c r="T2206" s="351"/>
      <c r="U2206" s="329" t="str">
        <f>IF($N2206=$N$4,IFERROR(INDEX(DanhMuc!$E$154:$E$165,MATCH(MID($B2206,4,2),DanhMuc!$B$154:$B$165,0)),""),"")</f>
        <v/>
      </c>
      <c r="V2206" s="361"/>
      <c r="W2206" s="345"/>
      <c r="X2206" s="329" t="str">
        <f t="shared" si="252"/>
        <v>KL</v>
      </c>
      <c r="Y2206" s="1128" t="s">
        <v>3380</v>
      </c>
      <c r="Z2206" s="1128" t="s">
        <v>3381</v>
      </c>
      <c r="AA2206" s="1128" t="s">
        <v>3384</v>
      </c>
      <c r="AB2206" s="20"/>
      <c r="AC2206" s="73"/>
    </row>
    <row r="2207" spans="1:29">
      <c r="A2207" s="327" t="str">
        <f>IF(AND($B2207&lt;&gt;"",$C2207&lt;&gt;""),MAX($A$1556:A2201)+1,"")</f>
        <v/>
      </c>
      <c r="B2207" s="361" t="s">
        <v>2000</v>
      </c>
      <c r="C2207" s="360"/>
      <c r="D2207" s="327">
        <f>IF($B2207="","",COUNTIF($B$6:$B2207,$B2207))</f>
        <v>18</v>
      </c>
      <c r="E2207" s="361" t="s">
        <v>986</v>
      </c>
      <c r="F2207" s="362" t="s">
        <v>985</v>
      </c>
      <c r="G2207" s="327" t="s">
        <v>297</v>
      </c>
      <c r="H2207" s="327"/>
      <c r="I2207" s="327">
        <v>1</v>
      </c>
      <c r="J2207" s="359"/>
      <c r="K2207" s="327"/>
      <c r="L2207" s="389">
        <v>2450</v>
      </c>
      <c r="M2207" s="371"/>
      <c r="N2207" s="355" t="str">
        <f t="shared" si="260"/>
        <v>PK</v>
      </c>
      <c r="O2207" s="342" t="s">
        <v>1475</v>
      </c>
      <c r="P2207" s="392"/>
      <c r="Q2207" s="327"/>
      <c r="R2207" s="351"/>
      <c r="S2207" s="351"/>
      <c r="T2207" s="351"/>
      <c r="U2207" s="329" t="str">
        <f>IF($N2207=$N$4,IFERROR(INDEX(DanhMuc!$E$154:$E$165,MATCH(MID($B2207,4,2),DanhMuc!$B$154:$B$165,0)),""),"")</f>
        <v/>
      </c>
      <c r="V2207" s="408" t="s">
        <v>343</v>
      </c>
      <c r="W2207" s="345"/>
      <c r="X2207" s="329" t="str">
        <f t="shared" si="252"/>
        <v>KL</v>
      </c>
      <c r="Y2207" s="1128" t="s">
        <v>3380</v>
      </c>
      <c r="Z2207" s="1128" t="s">
        <v>3381</v>
      </c>
      <c r="AA2207" s="1128" t="s">
        <v>3384</v>
      </c>
      <c r="AB2207" s="20"/>
      <c r="AC2207" s="73"/>
    </row>
    <row r="2208" spans="1:29" ht="39">
      <c r="A2208" s="327">
        <f>IF(AND($B2208&lt;&gt;"",$C2208&lt;&gt;""),MAX($A$1556:A2207)+1,"")</f>
        <v>127</v>
      </c>
      <c r="B2208" s="359" t="s">
        <v>2001</v>
      </c>
      <c r="C2208" s="360" t="s">
        <v>1876</v>
      </c>
      <c r="D2208" s="327">
        <f>IF($B2208="","",COUNTIF($B$6:$B2208,$B2208))</f>
        <v>1</v>
      </c>
      <c r="E2208" s="361" t="s">
        <v>2585</v>
      </c>
      <c r="F2208" s="362" t="s">
        <v>2110</v>
      </c>
      <c r="G2208" s="327" t="s">
        <v>297</v>
      </c>
      <c r="H2208" s="327"/>
      <c r="I2208" s="327">
        <v>1</v>
      </c>
      <c r="J2208" s="361"/>
      <c r="K2208" s="327"/>
      <c r="L2208" s="389">
        <v>1</v>
      </c>
      <c r="M2208" s="371"/>
      <c r="N2208" s="355" t="str">
        <f t="shared" si="260"/>
        <v>PK</v>
      </c>
      <c r="O2208" s="359"/>
      <c r="P2208" s="361"/>
      <c r="Q2208" s="327"/>
      <c r="R2208" s="351"/>
      <c r="S2208" s="351"/>
      <c r="T2208" s="351"/>
      <c r="U2208" s="329" t="str">
        <f>IF($N2208=$N$4,IFERROR(INDEX(DanhMuc!$E$154:$E$165,MATCH(MID($B2208,4,2),DanhMuc!$B$154:$B$165,0)),""),"")</f>
        <v/>
      </c>
      <c r="V2208" s="361"/>
      <c r="W2208" s="345"/>
      <c r="X2208" s="329" t="str">
        <f t="shared" si="252"/>
        <v>KL</v>
      </c>
      <c r="Y2208" s="1128" t="s">
        <v>3380</v>
      </c>
      <c r="Z2208" s="1128" t="s">
        <v>3381</v>
      </c>
      <c r="AA2208" s="1128" t="s">
        <v>3384</v>
      </c>
      <c r="AB2208" s="20"/>
      <c r="AC2208" s="73"/>
    </row>
    <row r="2209" spans="1:29">
      <c r="A2209" s="327" t="str">
        <f>IF(AND($B2209&lt;&gt;"",$C2209&lt;&gt;""),MAX($A$1556:A2207)+1,"")</f>
        <v/>
      </c>
      <c r="B2209" s="361" t="s">
        <v>2001</v>
      </c>
      <c r="C2209" s="360"/>
      <c r="D2209" s="327">
        <f>IF($B2209="","",COUNTIF($B$6:$B2209,$B2209))</f>
        <v>2</v>
      </c>
      <c r="E2209" s="419" t="s">
        <v>2579</v>
      </c>
      <c r="F2209" s="417" t="s">
        <v>2112</v>
      </c>
      <c r="G2209" s="418" t="s">
        <v>344</v>
      </c>
      <c r="H2209" s="327" t="s">
        <v>536</v>
      </c>
      <c r="I2209" s="327">
        <v>1</v>
      </c>
      <c r="J2209" s="361"/>
      <c r="K2209" s="327"/>
      <c r="L2209" s="389">
        <f>425000-3</f>
        <v>424997</v>
      </c>
      <c r="M2209" s="371"/>
      <c r="N2209" s="355" t="str">
        <f t="shared" si="260"/>
        <v>PK</v>
      </c>
      <c r="O2209" s="359" t="s">
        <v>1623</v>
      </c>
      <c r="P2209" s="361"/>
      <c r="Q2209" s="327"/>
      <c r="R2209" s="351"/>
      <c r="S2209" s="351"/>
      <c r="T2209" s="351"/>
      <c r="U2209" s="329" t="str">
        <f>IF($N2209=$N$4,IFERROR(INDEX(DanhMuc!$E$154:$E$165,MATCH(MID($B2209,4,2),DanhMuc!$B$154:$B$165,0)),""),"")</f>
        <v/>
      </c>
      <c r="V2209" s="361"/>
      <c r="W2209" s="345"/>
      <c r="X2209" s="329" t="str">
        <f t="shared" si="252"/>
        <v>KL</v>
      </c>
      <c r="Y2209" s="1128" t="s">
        <v>3380</v>
      </c>
      <c r="Z2209" s="1128" t="s">
        <v>3381</v>
      </c>
      <c r="AA2209" s="1128" t="s">
        <v>3384</v>
      </c>
      <c r="AB2209" s="20"/>
      <c r="AC2209" s="73"/>
    </row>
    <row r="2210" spans="1:29">
      <c r="A2210" s="327" t="str">
        <f>IF(AND($B2210&lt;&gt;"",$C2210&lt;&gt;""),MAX($A$1556:A2207)+1,"")</f>
        <v/>
      </c>
      <c r="B2210" s="361" t="s">
        <v>2001</v>
      </c>
      <c r="C2210" s="360"/>
      <c r="D2210" s="327">
        <f>IF($B2210="","",COUNTIF($B$6:$B2210,$B2210))</f>
        <v>3</v>
      </c>
      <c r="E2210" s="419" t="s">
        <v>2582</v>
      </c>
      <c r="F2210" s="417" t="s">
        <v>323</v>
      </c>
      <c r="G2210" s="418" t="s">
        <v>155</v>
      </c>
      <c r="H2210" s="327" t="s">
        <v>536</v>
      </c>
      <c r="I2210" s="327">
        <v>1</v>
      </c>
      <c r="J2210" s="361"/>
      <c r="K2210" s="327"/>
      <c r="L2210" s="389">
        <v>1</v>
      </c>
      <c r="M2210" s="371"/>
      <c r="N2210" s="355" t="str">
        <f t="shared" si="260"/>
        <v>PK</v>
      </c>
      <c r="O2210" s="359" t="s">
        <v>1060</v>
      </c>
      <c r="P2210" s="361"/>
      <c r="Q2210" s="327"/>
      <c r="R2210" s="351"/>
      <c r="S2210" s="351"/>
      <c r="T2210" s="351"/>
      <c r="U2210" s="329" t="str">
        <f>IF($N2210=$N$4,IFERROR(INDEX(DanhMuc!$E$154:$E$165,MATCH(MID($B2210,4,2),DanhMuc!$B$154:$B$165,0)),""),"")</f>
        <v/>
      </c>
      <c r="V2210" s="361"/>
      <c r="W2210" s="345"/>
      <c r="X2210" s="329" t="str">
        <f t="shared" si="252"/>
        <v>KL</v>
      </c>
      <c r="Y2210" s="1128" t="s">
        <v>3380</v>
      </c>
      <c r="Z2210" s="1128" t="s">
        <v>3381</v>
      </c>
      <c r="AA2210" s="1128" t="s">
        <v>3384</v>
      </c>
      <c r="AB2210" s="20"/>
      <c r="AC2210" s="73"/>
    </row>
    <row r="2211" spans="1:29">
      <c r="A2211" s="327" t="str">
        <f>IF(AND($B2211&lt;&gt;"",$C2211&lt;&gt;""),MAX($A$1556:A2207)+1,"")</f>
        <v/>
      </c>
      <c r="B2211" s="361" t="s">
        <v>2001</v>
      </c>
      <c r="C2211" s="360"/>
      <c r="D2211" s="327">
        <f>IF($B2211="","",COUNTIF($B$6:$B2211,$B2211))</f>
        <v>4</v>
      </c>
      <c r="E2211" s="419" t="s">
        <v>2583</v>
      </c>
      <c r="F2211" s="417" t="s">
        <v>1799</v>
      </c>
      <c r="G2211" s="418" t="s">
        <v>155</v>
      </c>
      <c r="H2211" s="327" t="s">
        <v>536</v>
      </c>
      <c r="I2211" s="327">
        <v>1</v>
      </c>
      <c r="J2211" s="361"/>
      <c r="K2211" s="327"/>
      <c r="L2211" s="389">
        <v>1</v>
      </c>
      <c r="M2211" s="371"/>
      <c r="N2211" s="355" t="str">
        <f t="shared" si="260"/>
        <v>PK</v>
      </c>
      <c r="O2211" s="401" t="s">
        <v>2705</v>
      </c>
      <c r="P2211" s="361"/>
      <c r="Q2211" s="327"/>
      <c r="R2211" s="351"/>
      <c r="S2211" s="351"/>
      <c r="T2211" s="351"/>
      <c r="U2211" s="329" t="str">
        <f>IF($N2211=$N$4,IFERROR(INDEX(DanhMuc!$E$154:$E$165,MATCH(MID($B2211,4,2),DanhMuc!$B$154:$B$165,0)),""),"")</f>
        <v/>
      </c>
      <c r="V2211" s="361"/>
      <c r="W2211" s="345"/>
      <c r="X2211" s="329" t="str">
        <f t="shared" si="252"/>
        <v>KL</v>
      </c>
      <c r="Y2211" s="1128" t="s">
        <v>3380</v>
      </c>
      <c r="Z2211" s="1128" t="s">
        <v>3381</v>
      </c>
      <c r="AA2211" s="1128" t="s">
        <v>3384</v>
      </c>
      <c r="AB2211" s="20"/>
      <c r="AC2211" s="73"/>
    </row>
    <row r="2212" spans="1:29">
      <c r="A2212" s="327" t="str">
        <f>IF(AND($B2212&lt;&gt;"",$C2212&lt;&gt;""),MAX($A$1556:A2207)+1,"")</f>
        <v/>
      </c>
      <c r="B2212" s="361" t="s">
        <v>2001</v>
      </c>
      <c r="C2212" s="360"/>
      <c r="D2212" s="327">
        <f>IF($B2212="","",COUNTIF($B$6:$B2212,$B2212))</f>
        <v>5</v>
      </c>
      <c r="E2212" s="419" t="s">
        <v>2586</v>
      </c>
      <c r="F2212" s="417" t="s">
        <v>2118</v>
      </c>
      <c r="G2212" s="418" t="s">
        <v>155</v>
      </c>
      <c r="H2212" s="327" t="s">
        <v>536</v>
      </c>
      <c r="I2212" s="327">
        <v>1</v>
      </c>
      <c r="J2212" s="361"/>
      <c r="K2212" s="327"/>
      <c r="L2212" s="389">
        <v>1</v>
      </c>
      <c r="M2212" s="371"/>
      <c r="N2212" s="355" t="str">
        <f t="shared" si="260"/>
        <v>PK</v>
      </c>
      <c r="O2212" s="359" t="s">
        <v>1623</v>
      </c>
      <c r="P2212" s="361"/>
      <c r="Q2212" s="327"/>
      <c r="R2212" s="351"/>
      <c r="S2212" s="351"/>
      <c r="T2212" s="351"/>
      <c r="U2212" s="329" t="str">
        <f>IF($N2212=$N$4,IFERROR(INDEX(DanhMuc!$E$154:$E$165,MATCH(MID($B2212,4,2),DanhMuc!$B$154:$B$165,0)),""),"")</f>
        <v/>
      </c>
      <c r="V2212" s="361"/>
      <c r="W2212" s="345"/>
      <c r="X2212" s="329" t="str">
        <f t="shared" ref="X2212:X2277" si="261">IF($N2212="PR",$E2212,MID($B2212,10,2))</f>
        <v>KL</v>
      </c>
      <c r="Y2212" s="1128" t="s">
        <v>3380</v>
      </c>
      <c r="Z2212" s="1128" t="s">
        <v>3381</v>
      </c>
      <c r="AA2212" s="1128" t="s">
        <v>3384</v>
      </c>
      <c r="AB2212" s="20"/>
      <c r="AC2212" s="73"/>
    </row>
    <row r="2213" spans="1:29">
      <c r="A2213" s="327" t="str">
        <f>IF(AND($B2213&lt;&gt;"",$C2213&lt;&gt;""),MAX($A$1556:A2207)+1,"")</f>
        <v/>
      </c>
      <c r="B2213" s="361" t="s">
        <v>2001</v>
      </c>
      <c r="C2213" s="360"/>
      <c r="D2213" s="327">
        <f>IF($B2213="","",COUNTIF($B$6:$B2213,$B2213))</f>
        <v>6</v>
      </c>
      <c r="E2213" s="419" t="s">
        <v>2603</v>
      </c>
      <c r="F2213" s="417" t="s">
        <v>2120</v>
      </c>
      <c r="G2213" s="418" t="s">
        <v>155</v>
      </c>
      <c r="H2213" s="327" t="s">
        <v>536</v>
      </c>
      <c r="I2213" s="327">
        <v>2</v>
      </c>
      <c r="J2213" s="361"/>
      <c r="K2213" s="327"/>
      <c r="L2213" s="389">
        <v>8000</v>
      </c>
      <c r="M2213" s="371"/>
      <c r="N2213" s="355" t="str">
        <f t="shared" si="260"/>
        <v>PK</v>
      </c>
      <c r="O2213" s="359" t="s">
        <v>1623</v>
      </c>
      <c r="P2213" s="361"/>
      <c r="Q2213" s="327"/>
      <c r="R2213" s="351"/>
      <c r="S2213" s="351"/>
      <c r="T2213" s="351"/>
      <c r="U2213" s="329" t="str">
        <f>IF($N2213=$N$4,IFERROR(INDEX(DanhMuc!$E$154:$E$165,MATCH(MID($B2213,4,2),DanhMuc!$B$154:$B$165,0)),""),"")</f>
        <v/>
      </c>
      <c r="V2213" s="361"/>
      <c r="W2213" s="345"/>
      <c r="X2213" s="329" t="str">
        <f t="shared" si="261"/>
        <v>KL</v>
      </c>
      <c r="Y2213" s="1128" t="s">
        <v>3380</v>
      </c>
      <c r="Z2213" s="1128" t="s">
        <v>3381</v>
      </c>
      <c r="AA2213" s="1128" t="s">
        <v>3384</v>
      </c>
      <c r="AB2213" s="20"/>
      <c r="AC2213" s="73"/>
    </row>
    <row r="2214" spans="1:29">
      <c r="A2214" s="327" t="str">
        <f>IF(AND($B2214&lt;&gt;"",$C2214&lt;&gt;""),MAX($A$1556:A2207)+1,"")</f>
        <v/>
      </c>
      <c r="B2214" s="361" t="s">
        <v>2001</v>
      </c>
      <c r="C2214" s="360"/>
      <c r="D2214" s="327">
        <f>IF($B2214="","",COUNTIF($B$6:$B2214,$B2214))</f>
        <v>7</v>
      </c>
      <c r="E2214" s="419" t="s">
        <v>2602</v>
      </c>
      <c r="F2214" s="417" t="s">
        <v>1907</v>
      </c>
      <c r="G2214" s="418" t="s">
        <v>155</v>
      </c>
      <c r="H2214" s="327" t="s">
        <v>536</v>
      </c>
      <c r="I2214" s="327">
        <v>2</v>
      </c>
      <c r="J2214" s="361"/>
      <c r="K2214" s="327"/>
      <c r="L2214" s="389">
        <v>13500</v>
      </c>
      <c r="M2214" s="371"/>
      <c r="N2214" s="355" t="str">
        <f t="shared" si="260"/>
        <v>PK</v>
      </c>
      <c r="O2214" s="359" t="s">
        <v>1623</v>
      </c>
      <c r="P2214" s="361"/>
      <c r="Q2214" s="327"/>
      <c r="R2214" s="351"/>
      <c r="S2214" s="351"/>
      <c r="T2214" s="351"/>
      <c r="U2214" s="329" t="str">
        <f>IF($N2214=$N$4,IFERROR(INDEX(DanhMuc!$E$154:$E$165,MATCH(MID($B2214,4,2),DanhMuc!$B$154:$B$165,0)),""),"")</f>
        <v/>
      </c>
      <c r="V2214" s="361"/>
      <c r="W2214" s="345"/>
      <c r="X2214" s="329" t="str">
        <f t="shared" si="261"/>
        <v>KL</v>
      </c>
      <c r="Y2214" s="1128" t="s">
        <v>3380</v>
      </c>
      <c r="Z2214" s="1128" t="s">
        <v>3381</v>
      </c>
      <c r="AA2214" s="1128" t="s">
        <v>3384</v>
      </c>
      <c r="AB2214" s="20"/>
      <c r="AC2214" s="73"/>
    </row>
    <row r="2215" spans="1:29" s="25" customFormat="1">
      <c r="A2215" s="327" t="str">
        <f>IF(AND($B2215&lt;&gt;"",$C2215&lt;&gt;""),MAX($A$1556:A2219)+1,"")</f>
        <v/>
      </c>
      <c r="B2215" s="361" t="s">
        <v>2001</v>
      </c>
      <c r="C2215" s="346"/>
      <c r="D2215" s="367">
        <f>IF($B2215="","",COUNTIF($B$6:$B2215,$B2215))</f>
        <v>8</v>
      </c>
      <c r="E2215" s="612" t="s">
        <v>327</v>
      </c>
      <c r="F2215" s="613" t="s">
        <v>345</v>
      </c>
      <c r="G2215" s="367" t="s">
        <v>690</v>
      </c>
      <c r="H2215" s="327" t="s">
        <v>536</v>
      </c>
      <c r="I2215" s="367">
        <v>1</v>
      </c>
      <c r="J2215" s="345" t="s">
        <v>634</v>
      </c>
      <c r="K2215" s="367"/>
      <c r="L2215" s="348">
        <f>+$S2215*$T2215*$L$37</f>
        <v>84651</v>
      </c>
      <c r="M2215" s="371"/>
      <c r="N2215" s="355" t="s">
        <v>150</v>
      </c>
      <c r="O2215" s="359" t="s">
        <v>1623</v>
      </c>
      <c r="P2215" s="392"/>
      <c r="Q2215" s="327"/>
      <c r="R2215" s="351">
        <v>2.5</v>
      </c>
      <c r="S2215" s="351">
        <v>5.8</v>
      </c>
      <c r="T2215" s="351">
        <v>0.13900000000000001</v>
      </c>
      <c r="U2215" s="329">
        <f>IF($N2215=$N$4,IFERROR(INDEX(DanhMuc!$E$154:$E$165,MATCH(MID($B2215,4,2),DanhMuc!$B$154:$B$165,0)),""),"")</f>
        <v>5800</v>
      </c>
      <c r="V2215" s="365"/>
      <c r="W2215" s="345"/>
      <c r="X2215" s="329" t="str">
        <f t="shared" si="261"/>
        <v>C459</v>
      </c>
      <c r="Y2215" s="1128" t="s">
        <v>3380</v>
      </c>
      <c r="Z2215" s="1128" t="s">
        <v>3381</v>
      </c>
      <c r="AA2215" s="1128" t="s">
        <v>3384</v>
      </c>
      <c r="AB2215" s="20"/>
      <c r="AC2215" s="73"/>
    </row>
    <row r="2216" spans="1:29">
      <c r="A2216" s="327" t="str">
        <f>IF(AND($B2216&lt;&gt;"",$C2216&lt;&gt;""),MAX($A$1556:A2207)+1,"")</f>
        <v/>
      </c>
      <c r="B2216" s="361" t="s">
        <v>2001</v>
      </c>
      <c r="C2216" s="360"/>
      <c r="D2216" s="327">
        <f>IF($B2216="","",COUNTIF($B$6:$B2216,$B2216))</f>
        <v>9</v>
      </c>
      <c r="E2216" s="426" t="s">
        <v>2580</v>
      </c>
      <c r="F2216" s="429" t="s">
        <v>197</v>
      </c>
      <c r="G2216" s="425" t="s">
        <v>344</v>
      </c>
      <c r="H2216" s="327" t="s">
        <v>536</v>
      </c>
      <c r="I2216" s="327">
        <v>1</v>
      </c>
      <c r="J2216" s="361"/>
      <c r="K2216" s="327"/>
      <c r="L2216" s="389">
        <f>410000-3</f>
        <v>409997</v>
      </c>
      <c r="M2216" s="371"/>
      <c r="N2216" s="355" t="str">
        <f t="shared" ref="N2216:N2226" si="262">+$N$1555</f>
        <v>PK</v>
      </c>
      <c r="O2216" s="359" t="s">
        <v>1626</v>
      </c>
      <c r="P2216" s="361"/>
      <c r="Q2216" s="327"/>
      <c r="R2216" s="351"/>
      <c r="S2216" s="351"/>
      <c r="T2216" s="351"/>
      <c r="U2216" s="329" t="str">
        <f>IF($N2216=$N$4,IFERROR(INDEX(DanhMuc!$E$154:$E$165,MATCH(MID($B2216,4,2),DanhMuc!$B$154:$B$165,0)),""),"")</f>
        <v/>
      </c>
      <c r="V2216" s="361"/>
      <c r="W2216" s="345"/>
      <c r="X2216" s="329" t="str">
        <f t="shared" si="261"/>
        <v>KL</v>
      </c>
      <c r="Y2216" s="1128" t="s">
        <v>3380</v>
      </c>
      <c r="Z2216" s="1128" t="s">
        <v>3381</v>
      </c>
      <c r="AA2216" s="1128" t="s">
        <v>3384</v>
      </c>
      <c r="AB2216" s="20"/>
      <c r="AC2216" s="73"/>
    </row>
    <row r="2217" spans="1:29">
      <c r="A2217" s="327" t="str">
        <f>IF(AND($B2217&lt;&gt;"",$C2217&lt;&gt;""),MAX($A$1556:A2207)+1,"")</f>
        <v/>
      </c>
      <c r="B2217" s="361" t="s">
        <v>2001</v>
      </c>
      <c r="C2217" s="360"/>
      <c r="D2217" s="327">
        <f>IF($B2217="","",COUNTIF($B$6:$B2217,$B2217))</f>
        <v>10</v>
      </c>
      <c r="E2217" s="426" t="s">
        <v>2581</v>
      </c>
      <c r="F2217" s="429" t="s">
        <v>1800</v>
      </c>
      <c r="G2217" s="425" t="s">
        <v>155</v>
      </c>
      <c r="H2217" s="327" t="s">
        <v>536</v>
      </c>
      <c r="I2217" s="327">
        <v>1</v>
      </c>
      <c r="J2217" s="361"/>
      <c r="K2217" s="327"/>
      <c r="L2217" s="389">
        <v>1</v>
      </c>
      <c r="M2217" s="371"/>
      <c r="N2217" s="355" t="str">
        <f t="shared" si="262"/>
        <v>PK</v>
      </c>
      <c r="O2217" s="401" t="s">
        <v>2706</v>
      </c>
      <c r="P2217" s="361"/>
      <c r="Q2217" s="327"/>
      <c r="R2217" s="351"/>
      <c r="S2217" s="351"/>
      <c r="T2217" s="351"/>
      <c r="U2217" s="329" t="str">
        <f>IF($N2217=$N$4,IFERROR(INDEX(DanhMuc!$E$154:$E$165,MATCH(MID($B2217,4,2),DanhMuc!$B$154:$B$165,0)),""),"")</f>
        <v/>
      </c>
      <c r="V2217" s="361"/>
      <c r="W2217" s="345"/>
      <c r="X2217" s="329" t="str">
        <f t="shared" si="261"/>
        <v>KL</v>
      </c>
      <c r="Y2217" s="1128" t="s">
        <v>3380</v>
      </c>
      <c r="Z2217" s="1128" t="s">
        <v>3381</v>
      </c>
      <c r="AA2217" s="1128" t="s">
        <v>3384</v>
      </c>
      <c r="AB2217" s="20"/>
      <c r="AC2217" s="73"/>
    </row>
    <row r="2218" spans="1:29">
      <c r="A2218" s="327" t="str">
        <f>IF(AND($B2218&lt;&gt;"",$C2218&lt;&gt;""),MAX($A$1556:A2208)+1,"")</f>
        <v/>
      </c>
      <c r="B2218" s="361" t="s">
        <v>2001</v>
      </c>
      <c r="C2218" s="360"/>
      <c r="D2218" s="327">
        <f>IF($B2218="","",COUNTIF($B$6:$B2218,$B2218))</f>
        <v>11</v>
      </c>
      <c r="E2218" s="426" t="s">
        <v>2586</v>
      </c>
      <c r="F2218" s="429" t="s">
        <v>2118</v>
      </c>
      <c r="G2218" s="425" t="s">
        <v>155</v>
      </c>
      <c r="H2218" s="327" t="s">
        <v>536</v>
      </c>
      <c r="I2218" s="327">
        <v>1</v>
      </c>
      <c r="J2218" s="361"/>
      <c r="K2218" s="327"/>
      <c r="L2218" s="389">
        <v>1</v>
      </c>
      <c r="M2218" s="371"/>
      <c r="N2218" s="355" t="str">
        <f t="shared" si="262"/>
        <v>PK</v>
      </c>
      <c r="O2218" s="359" t="s">
        <v>1626</v>
      </c>
      <c r="P2218" s="361"/>
      <c r="Q2218" s="327"/>
      <c r="R2218" s="351"/>
      <c r="S2218" s="351"/>
      <c r="T2218" s="351"/>
      <c r="U2218" s="329" t="str">
        <f>IF($N2218=$N$4,IFERROR(INDEX(DanhMuc!$E$154:$E$165,MATCH(MID($B2218,4,2),DanhMuc!$B$154:$B$165,0)),""),"")</f>
        <v/>
      </c>
      <c r="V2218" s="361"/>
      <c r="W2218" s="345"/>
      <c r="X2218" s="329" t="str">
        <f t="shared" si="261"/>
        <v>KL</v>
      </c>
      <c r="Y2218" s="1128" t="s">
        <v>3380</v>
      </c>
      <c r="Z2218" s="1128" t="s">
        <v>3381</v>
      </c>
      <c r="AA2218" s="1128" t="s">
        <v>3384</v>
      </c>
      <c r="AB2218" s="20"/>
      <c r="AC2218" s="73"/>
    </row>
    <row r="2219" spans="1:29">
      <c r="A2219" s="327" t="str">
        <f>IF(AND($B2219&lt;&gt;"",$C2219&lt;&gt;""),MAX($A$1556:A2209)+1,"")</f>
        <v/>
      </c>
      <c r="B2219" s="361" t="s">
        <v>2001</v>
      </c>
      <c r="C2219" s="360"/>
      <c r="D2219" s="327">
        <f>IF($B2219="","",COUNTIF($B$6:$B2219,$B2219))</f>
        <v>12</v>
      </c>
      <c r="E2219" s="361" t="s">
        <v>2116</v>
      </c>
      <c r="F2219" s="362" t="s">
        <v>1805</v>
      </c>
      <c r="G2219" s="327" t="s">
        <v>155</v>
      </c>
      <c r="H2219" s="327"/>
      <c r="I2219" s="327">
        <v>3</v>
      </c>
      <c r="J2219" s="361"/>
      <c r="K2219" s="327"/>
      <c r="L2219" s="389">
        <v>56000</v>
      </c>
      <c r="M2219" s="371"/>
      <c r="N2219" s="355" t="str">
        <f t="shared" si="262"/>
        <v>PK</v>
      </c>
      <c r="O2219" s="345" t="s">
        <v>17</v>
      </c>
      <c r="P2219" s="361"/>
      <c r="Q2219" s="327"/>
      <c r="R2219" s="351"/>
      <c r="S2219" s="351"/>
      <c r="T2219" s="351"/>
      <c r="U2219" s="329" t="str">
        <f>IF($N2219=$N$4,IFERROR(INDEX(DanhMuc!$E$154:$E$165,MATCH(MID($B2219,4,2),DanhMuc!$B$154:$B$165,0)),""),"")</f>
        <v/>
      </c>
      <c r="V2219" s="361"/>
      <c r="W2219" s="345"/>
      <c r="X2219" s="329" t="str">
        <f t="shared" si="261"/>
        <v>KL</v>
      </c>
      <c r="Y2219" s="1128" t="s">
        <v>3380</v>
      </c>
      <c r="Z2219" s="1128" t="s">
        <v>3381</v>
      </c>
      <c r="AA2219" s="1128" t="s">
        <v>3384</v>
      </c>
      <c r="AB2219" s="20"/>
      <c r="AC2219" s="73"/>
    </row>
    <row r="2220" spans="1:29">
      <c r="A2220" s="327" t="str">
        <f>IF(AND($B2220&lt;&gt;"",$C2220&lt;&gt;""),MAX($A$1556:A2210)+1,"")</f>
        <v/>
      </c>
      <c r="B2220" s="361" t="s">
        <v>2001</v>
      </c>
      <c r="C2220" s="360"/>
      <c r="D2220" s="327">
        <f>IF($B2220="","",COUNTIF($B$6:$B2220,$B2220))</f>
        <v>13</v>
      </c>
      <c r="E2220" s="361" t="s">
        <v>2117</v>
      </c>
      <c r="F2220" s="362" t="s">
        <v>1804</v>
      </c>
      <c r="G2220" s="327" t="s">
        <v>155</v>
      </c>
      <c r="H2220" s="327"/>
      <c r="I2220" s="327">
        <v>3</v>
      </c>
      <c r="J2220" s="361"/>
      <c r="K2220" s="327"/>
      <c r="L2220" s="389">
        <v>56000</v>
      </c>
      <c r="M2220" s="371"/>
      <c r="N2220" s="355" t="str">
        <f t="shared" si="262"/>
        <v>PK</v>
      </c>
      <c r="O2220" s="345" t="s">
        <v>17</v>
      </c>
      <c r="P2220" s="361"/>
      <c r="Q2220" s="327"/>
      <c r="R2220" s="351"/>
      <c r="S2220" s="351"/>
      <c r="T2220" s="351"/>
      <c r="U2220" s="329" t="str">
        <f>IF($N2220=$N$4,IFERROR(INDEX(DanhMuc!$E$154:$E$165,MATCH(MID($B2220,4,2),DanhMuc!$B$154:$B$165,0)),""),"")</f>
        <v/>
      </c>
      <c r="V2220" s="361"/>
      <c r="W2220" s="345"/>
      <c r="X2220" s="329" t="str">
        <f t="shared" si="261"/>
        <v>KL</v>
      </c>
      <c r="Y2220" s="1128" t="s">
        <v>3380</v>
      </c>
      <c r="Z2220" s="1128" t="s">
        <v>3381</v>
      </c>
      <c r="AA2220" s="1128" t="s">
        <v>3384</v>
      </c>
      <c r="AB2220" s="20"/>
      <c r="AC2220" s="73"/>
    </row>
    <row r="2221" spans="1:29">
      <c r="A2221" s="327" t="str">
        <f>IF(AND($B2221&lt;&gt;"",$C2221&lt;&gt;""),MAX($A$1556:A2211)+1,"")</f>
        <v/>
      </c>
      <c r="B2221" s="361" t="s">
        <v>2001</v>
      </c>
      <c r="C2221" s="360"/>
      <c r="D2221" s="327">
        <f>IF($B2221="","",COUNTIF($B$6:$B2221,$B2221))</f>
        <v>14</v>
      </c>
      <c r="E2221" s="361" t="s">
        <v>2587</v>
      </c>
      <c r="F2221" s="362" t="s">
        <v>1931</v>
      </c>
      <c r="G2221" s="327" t="s">
        <v>155</v>
      </c>
      <c r="H2221" s="327"/>
      <c r="I2221" s="327">
        <v>3</v>
      </c>
      <c r="J2221" s="361"/>
      <c r="K2221" s="327"/>
      <c r="L2221" s="389">
        <v>66000</v>
      </c>
      <c r="M2221" s="371"/>
      <c r="N2221" s="355" t="str">
        <f t="shared" si="262"/>
        <v>PK</v>
      </c>
      <c r="O2221" s="345" t="s">
        <v>21</v>
      </c>
      <c r="P2221" s="361"/>
      <c r="Q2221" s="327"/>
      <c r="R2221" s="351"/>
      <c r="S2221" s="351"/>
      <c r="T2221" s="351"/>
      <c r="U2221" s="329" t="str">
        <f>IF($N2221=$N$4,IFERROR(INDEX(DanhMuc!$E$154:$E$165,MATCH(MID($B2221,4,2),DanhMuc!$B$154:$B$165,0)),""),"")</f>
        <v/>
      </c>
      <c r="V2221" s="361"/>
      <c r="W2221" s="345"/>
      <c r="X2221" s="329" t="str">
        <f t="shared" si="261"/>
        <v>KL</v>
      </c>
      <c r="Y2221" s="1128" t="s">
        <v>3380</v>
      </c>
      <c r="Z2221" s="1128" t="s">
        <v>3381</v>
      </c>
      <c r="AA2221" s="1128" t="s">
        <v>3384</v>
      </c>
      <c r="AB2221" s="20"/>
      <c r="AC2221" s="73"/>
    </row>
    <row r="2222" spans="1:29">
      <c r="A2222" s="327" t="str">
        <f>IF(AND($B2222&lt;&gt;"",$C2222&lt;&gt;""),MAX($A$1556:A2212)+1,"")</f>
        <v/>
      </c>
      <c r="B2222" s="361" t="s">
        <v>2001</v>
      </c>
      <c r="C2222" s="360"/>
      <c r="D2222" s="327">
        <f>IF($B2222="","",COUNTIF($B$6:$B2222,$B2222))</f>
        <v>15</v>
      </c>
      <c r="E2222" s="361" t="s">
        <v>2588</v>
      </c>
      <c r="F2222" s="362" t="s">
        <v>1933</v>
      </c>
      <c r="G2222" s="327" t="s">
        <v>155</v>
      </c>
      <c r="H2222" s="327"/>
      <c r="I2222" s="327">
        <v>3</v>
      </c>
      <c r="J2222" s="361"/>
      <c r="K2222" s="327"/>
      <c r="L2222" s="389">
        <v>66000</v>
      </c>
      <c r="M2222" s="371"/>
      <c r="N2222" s="355" t="str">
        <f t="shared" si="262"/>
        <v>PK</v>
      </c>
      <c r="O2222" s="345" t="s">
        <v>21</v>
      </c>
      <c r="P2222" s="361"/>
      <c r="Q2222" s="327"/>
      <c r="R2222" s="351"/>
      <c r="S2222" s="351"/>
      <c r="T2222" s="351"/>
      <c r="U2222" s="329" t="str">
        <f>IF($N2222=$N$4,IFERROR(INDEX(DanhMuc!$E$154:$E$165,MATCH(MID($B2222,4,2),DanhMuc!$B$154:$B$165,0)),""),"")</f>
        <v/>
      </c>
      <c r="V2222" s="361"/>
      <c r="W2222" s="345"/>
      <c r="X2222" s="329" t="str">
        <f t="shared" si="261"/>
        <v>KL</v>
      </c>
      <c r="Y2222" s="1128" t="s">
        <v>3380</v>
      </c>
      <c r="Z2222" s="1128" t="s">
        <v>3381</v>
      </c>
      <c r="AA2222" s="1128" t="s">
        <v>3384</v>
      </c>
      <c r="AB2222" s="20"/>
      <c r="AC2222" s="73"/>
    </row>
    <row r="2223" spans="1:29">
      <c r="A2223" s="327" t="str">
        <f>IF(AND($B2223&lt;&gt;"",$C2223&lt;&gt;""),MAX($A$1556:A2222)+1,"")</f>
        <v/>
      </c>
      <c r="B2223" s="361" t="s">
        <v>2001</v>
      </c>
      <c r="C2223" s="360"/>
      <c r="D2223" s="327">
        <f>IF($B2223="","",COUNTIF($B$6:$B2223,$B2223))</f>
        <v>16</v>
      </c>
      <c r="E2223" s="405" t="s">
        <v>442</v>
      </c>
      <c r="F2223" s="406" t="s">
        <v>3866</v>
      </c>
      <c r="G2223" s="327" t="s">
        <v>155</v>
      </c>
      <c r="H2223" s="327"/>
      <c r="I2223" s="327">
        <v>3</v>
      </c>
      <c r="J2223" s="345"/>
      <c r="K2223" s="327"/>
      <c r="L2223" s="389">
        <v>24000</v>
      </c>
      <c r="M2223" s="371"/>
      <c r="N2223" s="355" t="str">
        <f t="shared" si="262"/>
        <v>PK</v>
      </c>
      <c r="O2223" s="407" t="s">
        <v>442</v>
      </c>
      <c r="P2223" s="392"/>
      <c r="Q2223" s="327"/>
      <c r="R2223" s="351"/>
      <c r="S2223" s="351"/>
      <c r="T2223" s="351"/>
      <c r="U2223" s="329" t="str">
        <f>IF($N2223=$N$4,IFERROR(INDEX(DanhMuc!$E$154:$E$165,MATCH(MID($B2223,4,2),DanhMuc!$B$154:$B$165,0)),""),"")</f>
        <v/>
      </c>
      <c r="V2223" s="361"/>
      <c r="W2223" s="345"/>
      <c r="X2223" s="329" t="str">
        <f t="shared" si="261"/>
        <v>KL</v>
      </c>
      <c r="Y2223" s="1128" t="s">
        <v>3380</v>
      </c>
      <c r="Z2223" s="1128" t="s">
        <v>3381</v>
      </c>
      <c r="AA2223" s="1128" t="s">
        <v>3384</v>
      </c>
      <c r="AB2223" s="20"/>
      <c r="AC2223" s="73"/>
    </row>
    <row r="2224" spans="1:29">
      <c r="A2224" s="327" t="str">
        <f>IF(AND($B2224&lt;&gt;"",$C2224&lt;&gt;""),MAX($A$1556:A2223)+1,"")</f>
        <v/>
      </c>
      <c r="B2224" s="361" t="s">
        <v>2001</v>
      </c>
      <c r="C2224" s="360"/>
      <c r="D2224" s="327">
        <f>IF($B2224="","",COUNTIF($B$6:$B2224,$B2224))</f>
        <v>17</v>
      </c>
      <c r="E2224" s="405" t="s">
        <v>442</v>
      </c>
      <c r="F2224" s="406" t="s">
        <v>3867</v>
      </c>
      <c r="G2224" s="327" t="s">
        <v>155</v>
      </c>
      <c r="H2224" s="327"/>
      <c r="I2224" s="327">
        <v>3</v>
      </c>
      <c r="J2224" s="345"/>
      <c r="K2224" s="327"/>
      <c r="L2224" s="389">
        <v>24000</v>
      </c>
      <c r="M2224" s="371"/>
      <c r="N2224" s="355" t="str">
        <f t="shared" si="262"/>
        <v>PK</v>
      </c>
      <c r="O2224" s="407" t="s">
        <v>442</v>
      </c>
      <c r="P2224" s="392"/>
      <c r="Q2224" s="327"/>
      <c r="R2224" s="351"/>
      <c r="S2224" s="351"/>
      <c r="T2224" s="351"/>
      <c r="U2224" s="329" t="str">
        <f>IF($N2224=$N$4,IFERROR(INDEX(DanhMuc!$E$154:$E$165,MATCH(MID($B2224,4,2),DanhMuc!$B$154:$B$165,0)),""),"")</f>
        <v/>
      </c>
      <c r="V2224" s="361"/>
      <c r="W2224" s="345"/>
      <c r="X2224" s="329" t="str">
        <f t="shared" si="261"/>
        <v>KL</v>
      </c>
      <c r="Y2224" s="1128" t="s">
        <v>3380</v>
      </c>
      <c r="Z2224" s="1128" t="s">
        <v>3381</v>
      </c>
      <c r="AA2224" s="1128" t="s">
        <v>3384</v>
      </c>
      <c r="AB2224" s="20"/>
      <c r="AC2224" s="73"/>
    </row>
    <row r="2225" spans="1:29" s="25" customFormat="1">
      <c r="A2225" s="327" t="str">
        <f>IF(AND($B2225&lt;&gt;"",$C2225&lt;&gt;""),MAX($A$1556:A2213)+1,"")</f>
        <v/>
      </c>
      <c r="B2225" s="361" t="s">
        <v>2001</v>
      </c>
      <c r="C2225" s="360"/>
      <c r="D2225" s="327">
        <f>IF($B2225="","",COUNTIF($B$6:$B2225,$B2225))</f>
        <v>18</v>
      </c>
      <c r="E2225" s="361" t="s">
        <v>1909</v>
      </c>
      <c r="F2225" s="362" t="s">
        <v>1908</v>
      </c>
      <c r="G2225" s="327" t="s">
        <v>344</v>
      </c>
      <c r="H2225" s="327" t="s">
        <v>536</v>
      </c>
      <c r="I2225" s="327">
        <v>2</v>
      </c>
      <c r="J2225" s="361"/>
      <c r="K2225" s="327"/>
      <c r="L2225" s="389">
        <v>36000</v>
      </c>
      <c r="M2225" s="371"/>
      <c r="N2225" s="355" t="str">
        <f t="shared" si="262"/>
        <v>PK</v>
      </c>
      <c r="O2225" s="345"/>
      <c r="P2225" s="392"/>
      <c r="Q2225" s="327"/>
      <c r="R2225" s="351"/>
      <c r="S2225" s="351"/>
      <c r="T2225" s="351"/>
      <c r="U2225" s="329" t="str">
        <f>IF($N2225=$N$4,IFERROR(INDEX(DanhMuc!$E$154:$E$165,MATCH(MID($B2225,4,2),DanhMuc!$B$154:$B$165,0)),""),"")</f>
        <v/>
      </c>
      <c r="V2225" s="365"/>
      <c r="W2225" s="345"/>
      <c r="X2225" s="329" t="str">
        <f t="shared" si="261"/>
        <v>KL</v>
      </c>
      <c r="Y2225" s="1128" t="s">
        <v>3380</v>
      </c>
      <c r="Z2225" s="1128" t="s">
        <v>3381</v>
      </c>
      <c r="AA2225" s="1128" t="s">
        <v>3384</v>
      </c>
      <c r="AB2225" s="20"/>
      <c r="AC2225" s="73"/>
    </row>
    <row r="2226" spans="1:29" s="25" customFormat="1">
      <c r="A2226" s="327" t="str">
        <f>IF(AND($B2226&lt;&gt;"",$C2226&lt;&gt;""),MAX($A$1556:A2214)+1,"")</f>
        <v/>
      </c>
      <c r="B2226" s="361" t="s">
        <v>2001</v>
      </c>
      <c r="C2226" s="360"/>
      <c r="D2226" s="327">
        <f>IF($B2226="","",COUNTIF($B$6:$B2226,$B2226))</f>
        <v>19</v>
      </c>
      <c r="E2226" s="419" t="s">
        <v>2600</v>
      </c>
      <c r="F2226" s="417" t="s">
        <v>1801</v>
      </c>
      <c r="G2226" s="418" t="s">
        <v>155</v>
      </c>
      <c r="H2226" s="327" t="s">
        <v>536</v>
      </c>
      <c r="I2226" s="327">
        <v>1</v>
      </c>
      <c r="J2226" s="361"/>
      <c r="K2226" s="327"/>
      <c r="L2226" s="389">
        <v>8000</v>
      </c>
      <c r="M2226" s="371"/>
      <c r="N2226" s="355" t="str">
        <f t="shared" si="262"/>
        <v>PK</v>
      </c>
      <c r="O2226" s="345"/>
      <c r="P2226" s="392"/>
      <c r="Q2226" s="327"/>
      <c r="R2226" s="351"/>
      <c r="S2226" s="351"/>
      <c r="T2226" s="351"/>
      <c r="U2226" s="329" t="str">
        <f>IF($N2226=$N$4,IFERROR(INDEX(DanhMuc!$E$154:$E$165,MATCH(MID($B2226,4,2),DanhMuc!$B$154:$B$165,0)),""),"")</f>
        <v/>
      </c>
      <c r="V2226" s="365"/>
      <c r="W2226" s="345"/>
      <c r="X2226" s="329" t="str">
        <f t="shared" si="261"/>
        <v>KL</v>
      </c>
      <c r="Y2226" s="1128" t="s">
        <v>3380</v>
      </c>
      <c r="Z2226" s="1128" t="s">
        <v>3381</v>
      </c>
      <c r="AA2226" s="1128" t="s">
        <v>3384</v>
      </c>
      <c r="AB2226" s="20"/>
      <c r="AC2226" s="73"/>
    </row>
    <row r="2227" spans="1:29">
      <c r="A2227" s="327" t="str">
        <f>IF(AND($B2227&lt;&gt;"",$C2227&lt;&gt;""),MAX($A$1556:A2215)+1,"")</f>
        <v/>
      </c>
      <c r="B2227" s="361" t="s">
        <v>2001</v>
      </c>
      <c r="C2227" s="360"/>
      <c r="D2227" s="327">
        <f>IF($B2227="","",COUNTIF($B$6:$B2227,$B2227))</f>
        <v>20</v>
      </c>
      <c r="E2227" s="361" t="s">
        <v>678</v>
      </c>
      <c r="F2227" s="362" t="s">
        <v>711</v>
      </c>
      <c r="G2227" s="327" t="s">
        <v>155</v>
      </c>
      <c r="H2227" s="327"/>
      <c r="I2227" s="327">
        <v>1</v>
      </c>
      <c r="J2227" s="361"/>
      <c r="K2227" s="327"/>
      <c r="L2227" s="389">
        <v>1250</v>
      </c>
      <c r="M2227" s="371"/>
      <c r="N2227" s="355" t="str">
        <f t="shared" ref="N2227:N2228" si="263">+$N$1555</f>
        <v>PK</v>
      </c>
      <c r="O2227" s="345"/>
      <c r="P2227" s="392"/>
      <c r="Q2227" s="327"/>
      <c r="R2227" s="351"/>
      <c r="S2227" s="351"/>
      <c r="T2227" s="351"/>
      <c r="U2227" s="329" t="str">
        <f>IF($N2227=$N$4,IFERROR(INDEX(DanhMuc!$E$154:$E$165,MATCH(MID($B2227,4,2),DanhMuc!$B$154:$B$165,0)),""),"")</f>
        <v/>
      </c>
      <c r="V2227" s="361"/>
      <c r="W2227" s="345"/>
      <c r="X2227" s="329" t="str">
        <f t="shared" si="261"/>
        <v>KL</v>
      </c>
      <c r="Y2227" s="1128" t="s">
        <v>3380</v>
      </c>
      <c r="Z2227" s="1128" t="s">
        <v>3381</v>
      </c>
      <c r="AA2227" s="1128" t="s">
        <v>3384</v>
      </c>
      <c r="AB2227" s="20"/>
      <c r="AC2227" s="73"/>
    </row>
    <row r="2228" spans="1:29">
      <c r="A2228" s="327" t="str">
        <f>IF(AND($B2228&lt;&gt;"",$C2228&lt;&gt;""),MAX($A$1556:A2215)+1,"")</f>
        <v/>
      </c>
      <c r="B2228" s="361" t="s">
        <v>2001</v>
      </c>
      <c r="C2228" s="360"/>
      <c r="D2228" s="327">
        <f>IF($B2228="","",COUNTIF($B$6:$B2228,$B2228))</f>
        <v>21</v>
      </c>
      <c r="E2228" s="361" t="s">
        <v>679</v>
      </c>
      <c r="F2228" s="362" t="s">
        <v>712</v>
      </c>
      <c r="G2228" s="327" t="s">
        <v>155</v>
      </c>
      <c r="H2228" s="327"/>
      <c r="I2228" s="327">
        <v>1</v>
      </c>
      <c r="J2228" s="361"/>
      <c r="K2228" s="327"/>
      <c r="L2228" s="389">
        <v>1250</v>
      </c>
      <c r="M2228" s="371"/>
      <c r="N2228" s="355" t="str">
        <f t="shared" si="263"/>
        <v>PK</v>
      </c>
      <c r="O2228" s="345"/>
      <c r="P2228" s="392"/>
      <c r="Q2228" s="327"/>
      <c r="R2228" s="351"/>
      <c r="S2228" s="351"/>
      <c r="T2228" s="351"/>
      <c r="U2228" s="329" t="str">
        <f>IF($N2228=$N$4,IFERROR(INDEX(DanhMuc!$E$154:$E$165,MATCH(MID($B2228,4,2),DanhMuc!$B$154:$B$165,0)),""),"")</f>
        <v/>
      </c>
      <c r="V2228" s="361"/>
      <c r="W2228" s="345"/>
      <c r="X2228" s="329" t="str">
        <f t="shared" si="261"/>
        <v>KL</v>
      </c>
      <c r="Y2228" s="1128" t="s">
        <v>3380</v>
      </c>
      <c r="Z2228" s="1128" t="s">
        <v>3381</v>
      </c>
      <c r="AA2228" s="1128" t="s">
        <v>3384</v>
      </c>
      <c r="AB2228" s="20"/>
      <c r="AC2228" s="73"/>
    </row>
    <row r="2229" spans="1:29">
      <c r="A2229" s="327" t="str">
        <f>IF(AND($B2229&lt;&gt;"",$C2229&lt;&gt;""),MAX($A$1556:A2216)+1,"")</f>
        <v/>
      </c>
      <c r="B2229" s="361" t="s">
        <v>2001</v>
      </c>
      <c r="C2229" s="360"/>
      <c r="D2229" s="327">
        <f>IF($B2229="","",COUNTIF($B$6:$B2229,$B2229))</f>
        <v>22</v>
      </c>
      <c r="E2229" s="361" t="s">
        <v>986</v>
      </c>
      <c r="F2229" s="362" t="s">
        <v>985</v>
      </c>
      <c r="G2229" s="327" t="s">
        <v>297</v>
      </c>
      <c r="H2229" s="327"/>
      <c r="I2229" s="327">
        <v>2</v>
      </c>
      <c r="J2229" s="359"/>
      <c r="K2229" s="327"/>
      <c r="L2229" s="389">
        <v>2450</v>
      </c>
      <c r="M2229" s="371"/>
      <c r="N2229" s="355" t="str">
        <f t="shared" ref="N2229:N2236" si="264">+$N$1555</f>
        <v>PK</v>
      </c>
      <c r="O2229" s="342" t="s">
        <v>1475</v>
      </c>
      <c r="P2229" s="392"/>
      <c r="Q2229" s="327"/>
      <c r="R2229" s="351"/>
      <c r="S2229" s="351"/>
      <c r="T2229" s="351"/>
      <c r="U2229" s="329" t="str">
        <f>IF($N2229=$N$4,IFERROR(INDEX(DanhMuc!$E$154:$E$165,MATCH(MID($B2229,4,2),DanhMuc!$B$154:$B$165,0)),""),"")</f>
        <v/>
      </c>
      <c r="V2229" s="408" t="s">
        <v>343</v>
      </c>
      <c r="W2229" s="345"/>
      <c r="X2229" s="329" t="str">
        <f t="shared" si="261"/>
        <v>KL</v>
      </c>
      <c r="Y2229" s="1128" t="s">
        <v>3380</v>
      </c>
      <c r="Z2229" s="1128" t="s">
        <v>3381</v>
      </c>
      <c r="AA2229" s="1128" t="s">
        <v>3384</v>
      </c>
      <c r="AB2229" s="20"/>
      <c r="AC2229" s="73"/>
    </row>
    <row r="2230" spans="1:29" ht="39">
      <c r="A2230" s="327">
        <f>IF(AND($B2230&lt;&gt;"",$C2230&lt;&gt;""),MAX($A$1556:A2229)+1,"")</f>
        <v>128</v>
      </c>
      <c r="B2230" s="359" t="s">
        <v>2002</v>
      </c>
      <c r="C2230" s="360" t="s">
        <v>1877</v>
      </c>
      <c r="D2230" s="327">
        <f>IF($B2230="","",COUNTIF($B$6:$B2230,$B2230))</f>
        <v>1</v>
      </c>
      <c r="E2230" s="361" t="s">
        <v>2585</v>
      </c>
      <c r="F2230" s="362" t="s">
        <v>2110</v>
      </c>
      <c r="G2230" s="327" t="s">
        <v>297</v>
      </c>
      <c r="H2230" s="327"/>
      <c r="I2230" s="327">
        <v>1</v>
      </c>
      <c r="J2230" s="361"/>
      <c r="K2230" s="327"/>
      <c r="L2230" s="389">
        <v>1</v>
      </c>
      <c r="M2230" s="371"/>
      <c r="N2230" s="355" t="str">
        <f t="shared" si="264"/>
        <v>PK</v>
      </c>
      <c r="O2230" s="359"/>
      <c r="P2230" s="361"/>
      <c r="Q2230" s="327"/>
      <c r="R2230" s="351"/>
      <c r="S2230" s="351"/>
      <c r="T2230" s="351"/>
      <c r="U2230" s="329" t="str">
        <f>IF($N2230=$N$4,IFERROR(INDEX(DanhMuc!$E$154:$E$165,MATCH(MID($B2230,4,2),DanhMuc!$B$154:$B$165,0)),""),"")</f>
        <v/>
      </c>
      <c r="V2230" s="361"/>
      <c r="W2230" s="345"/>
      <c r="X2230" s="329" t="str">
        <f t="shared" si="261"/>
        <v>KL</v>
      </c>
      <c r="Y2230" s="1128" t="s">
        <v>3380</v>
      </c>
      <c r="Z2230" s="1128" t="s">
        <v>3381</v>
      </c>
      <c r="AA2230" s="1128" t="s">
        <v>3384</v>
      </c>
      <c r="AB2230" s="20"/>
      <c r="AC2230" s="73"/>
    </row>
    <row r="2231" spans="1:29">
      <c r="A2231" s="327" t="str">
        <f>IF(AND($B2231&lt;&gt;"",$C2231&lt;&gt;""),MAX($A$1556:A2229)+1,"")</f>
        <v/>
      </c>
      <c r="B2231" s="361" t="s">
        <v>2002</v>
      </c>
      <c r="C2231" s="360"/>
      <c r="D2231" s="327">
        <f>IF($B2231="","",COUNTIF($B$6:$B2231,$B2231))</f>
        <v>2</v>
      </c>
      <c r="E2231" s="419" t="s">
        <v>2579</v>
      </c>
      <c r="F2231" s="417" t="s">
        <v>2112</v>
      </c>
      <c r="G2231" s="418" t="s">
        <v>344</v>
      </c>
      <c r="H2231" s="327" t="s">
        <v>536</v>
      </c>
      <c r="I2231" s="327">
        <v>1</v>
      </c>
      <c r="J2231" s="361"/>
      <c r="K2231" s="327"/>
      <c r="L2231" s="389">
        <f>425000-3</f>
        <v>424997</v>
      </c>
      <c r="M2231" s="371"/>
      <c r="N2231" s="355" t="str">
        <f t="shared" si="264"/>
        <v>PK</v>
      </c>
      <c r="O2231" s="359" t="s">
        <v>1623</v>
      </c>
      <c r="P2231" s="361"/>
      <c r="Q2231" s="327"/>
      <c r="R2231" s="351"/>
      <c r="S2231" s="351"/>
      <c r="T2231" s="351"/>
      <c r="U2231" s="329" t="str">
        <f>IF($N2231=$N$4,IFERROR(INDEX(DanhMuc!$E$154:$E$165,MATCH(MID($B2231,4,2),DanhMuc!$B$154:$B$165,0)),""),"")</f>
        <v/>
      </c>
      <c r="V2231" s="361"/>
      <c r="W2231" s="345"/>
      <c r="X2231" s="329" t="str">
        <f t="shared" si="261"/>
        <v>KL</v>
      </c>
      <c r="Y2231" s="1128" t="s">
        <v>3380</v>
      </c>
      <c r="Z2231" s="1128" t="s">
        <v>3381</v>
      </c>
      <c r="AA2231" s="1128" t="s">
        <v>3384</v>
      </c>
      <c r="AB2231" s="20"/>
      <c r="AC2231" s="73"/>
    </row>
    <row r="2232" spans="1:29">
      <c r="A2232" s="327" t="str">
        <f>IF(AND($B2232&lt;&gt;"",$C2232&lt;&gt;""),MAX($A$1556:A2229)+1,"")</f>
        <v/>
      </c>
      <c r="B2232" s="361" t="s">
        <v>2002</v>
      </c>
      <c r="C2232" s="360"/>
      <c r="D2232" s="327">
        <f>IF($B2232="","",COUNTIF($B$6:$B2232,$B2232))</f>
        <v>3</v>
      </c>
      <c r="E2232" s="419" t="s">
        <v>2582</v>
      </c>
      <c r="F2232" s="417" t="s">
        <v>323</v>
      </c>
      <c r="G2232" s="418" t="s">
        <v>155</v>
      </c>
      <c r="H2232" s="327" t="s">
        <v>536</v>
      </c>
      <c r="I2232" s="327">
        <v>1</v>
      </c>
      <c r="J2232" s="361"/>
      <c r="K2232" s="327"/>
      <c r="L2232" s="389">
        <v>1</v>
      </c>
      <c r="M2232" s="371"/>
      <c r="N2232" s="355" t="str">
        <f t="shared" si="264"/>
        <v>PK</v>
      </c>
      <c r="O2232" s="359" t="s">
        <v>1060</v>
      </c>
      <c r="P2232" s="361"/>
      <c r="Q2232" s="327"/>
      <c r="R2232" s="351"/>
      <c r="S2232" s="351"/>
      <c r="T2232" s="351"/>
      <c r="U2232" s="329" t="str">
        <f>IF($N2232=$N$4,IFERROR(INDEX(DanhMuc!$E$154:$E$165,MATCH(MID($B2232,4,2),DanhMuc!$B$154:$B$165,0)),""),"")</f>
        <v/>
      </c>
      <c r="V2232" s="361"/>
      <c r="W2232" s="345"/>
      <c r="X2232" s="329" t="str">
        <f t="shared" si="261"/>
        <v>KL</v>
      </c>
      <c r="Y2232" s="1128" t="s">
        <v>3380</v>
      </c>
      <c r="Z2232" s="1128" t="s">
        <v>3381</v>
      </c>
      <c r="AA2232" s="1128" t="s">
        <v>3384</v>
      </c>
      <c r="AB2232" s="20"/>
      <c r="AC2232" s="73"/>
    </row>
    <row r="2233" spans="1:29">
      <c r="A2233" s="327" t="str">
        <f>IF(AND($B2233&lt;&gt;"",$C2233&lt;&gt;""),MAX($A$1556:A2229)+1,"")</f>
        <v/>
      </c>
      <c r="B2233" s="361" t="s">
        <v>2002</v>
      </c>
      <c r="C2233" s="360"/>
      <c r="D2233" s="327">
        <f>IF($B2233="","",COUNTIF($B$6:$B2233,$B2233))</f>
        <v>4</v>
      </c>
      <c r="E2233" s="419" t="s">
        <v>2583</v>
      </c>
      <c r="F2233" s="417" t="s">
        <v>1799</v>
      </c>
      <c r="G2233" s="418" t="s">
        <v>155</v>
      </c>
      <c r="H2233" s="327" t="s">
        <v>536</v>
      </c>
      <c r="I2233" s="327">
        <v>1</v>
      </c>
      <c r="J2233" s="361"/>
      <c r="K2233" s="327"/>
      <c r="L2233" s="389">
        <v>1</v>
      </c>
      <c r="M2233" s="371"/>
      <c r="N2233" s="355" t="str">
        <f t="shared" si="264"/>
        <v>PK</v>
      </c>
      <c r="O2233" s="401" t="s">
        <v>2705</v>
      </c>
      <c r="P2233" s="361"/>
      <c r="Q2233" s="327"/>
      <c r="R2233" s="351"/>
      <c r="S2233" s="351"/>
      <c r="T2233" s="351"/>
      <c r="U2233" s="329" t="str">
        <f>IF($N2233=$N$4,IFERROR(INDEX(DanhMuc!$E$154:$E$165,MATCH(MID($B2233,4,2),DanhMuc!$B$154:$B$165,0)),""),"")</f>
        <v/>
      </c>
      <c r="V2233" s="361"/>
      <c r="W2233" s="345"/>
      <c r="X2233" s="329" t="str">
        <f t="shared" si="261"/>
        <v>KL</v>
      </c>
      <c r="Y2233" s="1128" t="s">
        <v>3380</v>
      </c>
      <c r="Z2233" s="1128" t="s">
        <v>3381</v>
      </c>
      <c r="AA2233" s="1128" t="s">
        <v>3384</v>
      </c>
      <c r="AB2233" s="20"/>
      <c r="AC2233" s="73"/>
    </row>
    <row r="2234" spans="1:29">
      <c r="A2234" s="327" t="str">
        <f>IF(AND($B2234&lt;&gt;"",$C2234&lt;&gt;""),MAX($A$1556:A2229)+1,"")</f>
        <v/>
      </c>
      <c r="B2234" s="361" t="s">
        <v>2002</v>
      </c>
      <c r="C2234" s="360"/>
      <c r="D2234" s="327">
        <f>IF($B2234="","",COUNTIF($B$6:$B2234,$B2234))</f>
        <v>5</v>
      </c>
      <c r="E2234" s="419" t="s">
        <v>2586</v>
      </c>
      <c r="F2234" s="417" t="s">
        <v>2118</v>
      </c>
      <c r="G2234" s="418" t="s">
        <v>155</v>
      </c>
      <c r="H2234" s="327" t="s">
        <v>536</v>
      </c>
      <c r="I2234" s="327">
        <v>1</v>
      </c>
      <c r="J2234" s="361"/>
      <c r="K2234" s="327"/>
      <c r="L2234" s="389">
        <v>1</v>
      </c>
      <c r="M2234" s="371"/>
      <c r="N2234" s="355" t="str">
        <f t="shared" si="264"/>
        <v>PK</v>
      </c>
      <c r="O2234" s="359" t="s">
        <v>1623</v>
      </c>
      <c r="P2234" s="361"/>
      <c r="Q2234" s="327"/>
      <c r="R2234" s="351"/>
      <c r="S2234" s="351"/>
      <c r="T2234" s="351"/>
      <c r="U2234" s="329" t="str">
        <f>IF($N2234=$N$4,IFERROR(INDEX(DanhMuc!$E$154:$E$165,MATCH(MID($B2234,4,2),DanhMuc!$B$154:$B$165,0)),""),"")</f>
        <v/>
      </c>
      <c r="V2234" s="361"/>
      <c r="W2234" s="345"/>
      <c r="X2234" s="329" t="str">
        <f t="shared" si="261"/>
        <v>KL</v>
      </c>
      <c r="Y2234" s="1128" t="s">
        <v>3380</v>
      </c>
      <c r="Z2234" s="1128" t="s">
        <v>3381</v>
      </c>
      <c r="AA2234" s="1128" t="s">
        <v>3384</v>
      </c>
      <c r="AB2234" s="20"/>
      <c r="AC2234" s="73"/>
    </row>
    <row r="2235" spans="1:29">
      <c r="A2235" s="327" t="str">
        <f>IF(AND($B2235&lt;&gt;"",$C2235&lt;&gt;""),MAX($A$1556:A2229)+1,"")</f>
        <v/>
      </c>
      <c r="B2235" s="361" t="s">
        <v>2002</v>
      </c>
      <c r="C2235" s="360"/>
      <c r="D2235" s="327">
        <f>IF($B2235="","",COUNTIF($B$6:$B2235,$B2235))</f>
        <v>6</v>
      </c>
      <c r="E2235" s="419" t="s">
        <v>2603</v>
      </c>
      <c r="F2235" s="417" t="s">
        <v>2120</v>
      </c>
      <c r="G2235" s="418" t="s">
        <v>155</v>
      </c>
      <c r="H2235" s="327" t="s">
        <v>536</v>
      </c>
      <c r="I2235" s="327">
        <v>2</v>
      </c>
      <c r="J2235" s="361"/>
      <c r="K2235" s="327"/>
      <c r="L2235" s="389">
        <v>8000</v>
      </c>
      <c r="M2235" s="371"/>
      <c r="N2235" s="355" t="str">
        <f t="shared" si="264"/>
        <v>PK</v>
      </c>
      <c r="O2235" s="359" t="s">
        <v>1623</v>
      </c>
      <c r="P2235" s="361"/>
      <c r="Q2235" s="327"/>
      <c r="R2235" s="351"/>
      <c r="S2235" s="351"/>
      <c r="T2235" s="351"/>
      <c r="U2235" s="329" t="str">
        <f>IF($N2235=$N$4,IFERROR(INDEX(DanhMuc!$E$154:$E$165,MATCH(MID($B2235,4,2),DanhMuc!$B$154:$B$165,0)),""),"")</f>
        <v/>
      </c>
      <c r="V2235" s="361"/>
      <c r="W2235" s="345"/>
      <c r="X2235" s="329" t="str">
        <f t="shared" si="261"/>
        <v>KL</v>
      </c>
      <c r="Y2235" s="1128" t="s">
        <v>3380</v>
      </c>
      <c r="Z2235" s="1128" t="s">
        <v>3381</v>
      </c>
      <c r="AA2235" s="1128" t="s">
        <v>3384</v>
      </c>
      <c r="AB2235" s="20"/>
      <c r="AC2235" s="73"/>
    </row>
    <row r="2236" spans="1:29">
      <c r="A2236" s="327" t="str">
        <f>IF(AND($B2236&lt;&gt;"",$C2236&lt;&gt;""),MAX($A$1556:A2229)+1,"")</f>
        <v/>
      </c>
      <c r="B2236" s="361" t="s">
        <v>2002</v>
      </c>
      <c r="C2236" s="360"/>
      <c r="D2236" s="327">
        <f>IF($B2236="","",COUNTIF($B$6:$B2236,$B2236))</f>
        <v>7</v>
      </c>
      <c r="E2236" s="419" t="s">
        <v>2602</v>
      </c>
      <c r="F2236" s="417" t="s">
        <v>1907</v>
      </c>
      <c r="G2236" s="418" t="s">
        <v>155</v>
      </c>
      <c r="H2236" s="327" t="s">
        <v>536</v>
      </c>
      <c r="I2236" s="327">
        <v>2</v>
      </c>
      <c r="J2236" s="361"/>
      <c r="K2236" s="327"/>
      <c r="L2236" s="389">
        <v>13500</v>
      </c>
      <c r="M2236" s="371"/>
      <c r="N2236" s="355" t="str">
        <f t="shared" si="264"/>
        <v>PK</v>
      </c>
      <c r="O2236" s="359" t="s">
        <v>1623</v>
      </c>
      <c r="P2236" s="361"/>
      <c r="Q2236" s="327"/>
      <c r="R2236" s="351"/>
      <c r="S2236" s="351"/>
      <c r="T2236" s="351"/>
      <c r="U2236" s="329" t="str">
        <f>IF($N2236=$N$4,IFERROR(INDEX(DanhMuc!$E$154:$E$165,MATCH(MID($B2236,4,2),DanhMuc!$B$154:$B$165,0)),""),"")</f>
        <v/>
      </c>
      <c r="V2236" s="361"/>
      <c r="W2236" s="345"/>
      <c r="X2236" s="329" t="str">
        <f t="shared" si="261"/>
        <v>KL</v>
      </c>
      <c r="Y2236" s="1128" t="s">
        <v>3380</v>
      </c>
      <c r="Z2236" s="1128" t="s">
        <v>3381</v>
      </c>
      <c r="AA2236" s="1128" t="s">
        <v>3384</v>
      </c>
      <c r="AB2236" s="20"/>
      <c r="AC2236" s="73"/>
    </row>
    <row r="2237" spans="1:29" s="25" customFormat="1">
      <c r="A2237" s="327" t="str">
        <f>IF(AND($B2237&lt;&gt;"",$C2237&lt;&gt;""),MAX($A$1556:A2241)+1,"")</f>
        <v/>
      </c>
      <c r="B2237" s="361" t="s">
        <v>2002</v>
      </c>
      <c r="C2237" s="346"/>
      <c r="D2237" s="367">
        <f>IF($B2237="","",COUNTIF($B$6:$B2237,$B2237))</f>
        <v>8</v>
      </c>
      <c r="E2237" s="612" t="s">
        <v>327</v>
      </c>
      <c r="F2237" s="613" t="s">
        <v>345</v>
      </c>
      <c r="G2237" s="367" t="s">
        <v>690</v>
      </c>
      <c r="H2237" s="327" t="s">
        <v>536</v>
      </c>
      <c r="I2237" s="367">
        <v>1</v>
      </c>
      <c r="J2237" s="345" t="s">
        <v>634</v>
      </c>
      <c r="K2237" s="367"/>
      <c r="L2237" s="348">
        <f>+$S2237*$T2237*$L$37</f>
        <v>84651</v>
      </c>
      <c r="M2237" s="371"/>
      <c r="N2237" s="355" t="s">
        <v>150</v>
      </c>
      <c r="O2237" s="359" t="s">
        <v>1623</v>
      </c>
      <c r="P2237" s="392"/>
      <c r="Q2237" s="327"/>
      <c r="R2237" s="351">
        <v>2.5</v>
      </c>
      <c r="S2237" s="351">
        <v>5.8</v>
      </c>
      <c r="T2237" s="351">
        <v>0.13900000000000001</v>
      </c>
      <c r="U2237" s="329">
        <f>IF($N2237=$N$4,IFERROR(INDEX(DanhMuc!$E$154:$E$165,MATCH(MID($B2237,4,2),DanhMuc!$B$154:$B$165,0)),""),"")</f>
        <v>5800</v>
      </c>
      <c r="V2237" s="365"/>
      <c r="W2237" s="345"/>
      <c r="X2237" s="329" t="str">
        <f t="shared" si="261"/>
        <v>C459</v>
      </c>
      <c r="Y2237" s="1128" t="s">
        <v>3380</v>
      </c>
      <c r="Z2237" s="1128" t="s">
        <v>3381</v>
      </c>
      <c r="AA2237" s="1128" t="s">
        <v>3384</v>
      </c>
      <c r="AB2237" s="20"/>
      <c r="AC2237" s="73"/>
    </row>
    <row r="2238" spans="1:29">
      <c r="A2238" s="327" t="str">
        <f>IF(AND($B2238&lt;&gt;"",$C2238&lt;&gt;""),MAX($A$1556:A2229)+1,"")</f>
        <v/>
      </c>
      <c r="B2238" s="361" t="s">
        <v>2002</v>
      </c>
      <c r="C2238" s="360"/>
      <c r="D2238" s="327">
        <f>IF($B2238="","",COUNTIF($B$6:$B2238,$B2238))</f>
        <v>9</v>
      </c>
      <c r="E2238" s="426" t="s">
        <v>2580</v>
      </c>
      <c r="F2238" s="429" t="s">
        <v>197</v>
      </c>
      <c r="G2238" s="425" t="s">
        <v>344</v>
      </c>
      <c r="H2238" s="327" t="s">
        <v>536</v>
      </c>
      <c r="I2238" s="327">
        <v>1</v>
      </c>
      <c r="J2238" s="361"/>
      <c r="K2238" s="327"/>
      <c r="L2238" s="389">
        <f>410000-3</f>
        <v>409997</v>
      </c>
      <c r="M2238" s="371"/>
      <c r="N2238" s="355" t="str">
        <f t="shared" ref="N2238:N2261" si="265">+$N$1555</f>
        <v>PK</v>
      </c>
      <c r="O2238" s="359" t="s">
        <v>1626</v>
      </c>
      <c r="P2238" s="361"/>
      <c r="Q2238" s="327"/>
      <c r="R2238" s="351"/>
      <c r="S2238" s="351"/>
      <c r="T2238" s="351"/>
      <c r="U2238" s="329" t="str">
        <f>IF($N2238=$N$4,IFERROR(INDEX(DanhMuc!$E$154:$E$165,MATCH(MID($B2238,4,2),DanhMuc!$B$154:$B$165,0)),""),"")</f>
        <v/>
      </c>
      <c r="V2238" s="361"/>
      <c r="W2238" s="345"/>
      <c r="X2238" s="329" t="str">
        <f t="shared" si="261"/>
        <v>KL</v>
      </c>
      <c r="Y2238" s="1128" t="s">
        <v>3380</v>
      </c>
      <c r="Z2238" s="1128" t="s">
        <v>3381</v>
      </c>
      <c r="AA2238" s="1128" t="s">
        <v>3384</v>
      </c>
      <c r="AB2238" s="20"/>
      <c r="AC2238" s="73"/>
    </row>
    <row r="2239" spans="1:29">
      <c r="A2239" s="327" t="str">
        <f>IF(AND($B2239&lt;&gt;"",$C2239&lt;&gt;""),MAX($A$1556:A2229)+1,"")</f>
        <v/>
      </c>
      <c r="B2239" s="361" t="s">
        <v>2002</v>
      </c>
      <c r="C2239" s="360"/>
      <c r="D2239" s="327">
        <f>IF($B2239="","",COUNTIF($B$6:$B2239,$B2239))</f>
        <v>10</v>
      </c>
      <c r="E2239" s="426" t="s">
        <v>2581</v>
      </c>
      <c r="F2239" s="429" t="s">
        <v>1800</v>
      </c>
      <c r="G2239" s="425" t="s">
        <v>155</v>
      </c>
      <c r="H2239" s="327" t="s">
        <v>536</v>
      </c>
      <c r="I2239" s="327">
        <v>1</v>
      </c>
      <c r="J2239" s="361"/>
      <c r="K2239" s="327"/>
      <c r="L2239" s="389">
        <v>1</v>
      </c>
      <c r="M2239" s="371"/>
      <c r="N2239" s="355" t="str">
        <f t="shared" si="265"/>
        <v>PK</v>
      </c>
      <c r="O2239" s="401" t="s">
        <v>2706</v>
      </c>
      <c r="P2239" s="361"/>
      <c r="Q2239" s="327"/>
      <c r="R2239" s="351"/>
      <c r="S2239" s="351"/>
      <c r="T2239" s="351"/>
      <c r="U2239" s="329" t="str">
        <f>IF($N2239=$N$4,IFERROR(INDEX(DanhMuc!$E$154:$E$165,MATCH(MID($B2239,4,2),DanhMuc!$B$154:$B$165,0)),""),"")</f>
        <v/>
      </c>
      <c r="V2239" s="361"/>
      <c r="W2239" s="345"/>
      <c r="X2239" s="329" t="str">
        <f t="shared" si="261"/>
        <v>KL</v>
      </c>
      <c r="Y2239" s="1128" t="s">
        <v>3380</v>
      </c>
      <c r="Z2239" s="1128" t="s">
        <v>3381</v>
      </c>
      <c r="AA2239" s="1128" t="s">
        <v>3384</v>
      </c>
      <c r="AB2239" s="20"/>
      <c r="AC2239" s="73"/>
    </row>
    <row r="2240" spans="1:29">
      <c r="A2240" s="327" t="str">
        <f>IF(AND($B2240&lt;&gt;"",$C2240&lt;&gt;""),MAX($A$1556:A2230)+1,"")</f>
        <v/>
      </c>
      <c r="B2240" s="361" t="s">
        <v>2002</v>
      </c>
      <c r="C2240" s="360"/>
      <c r="D2240" s="327">
        <f>IF($B2240="","",COUNTIF($B$6:$B2240,$B2240))</f>
        <v>11</v>
      </c>
      <c r="E2240" s="426" t="s">
        <v>2586</v>
      </c>
      <c r="F2240" s="429" t="s">
        <v>2118</v>
      </c>
      <c r="G2240" s="425" t="s">
        <v>155</v>
      </c>
      <c r="H2240" s="327" t="s">
        <v>536</v>
      </c>
      <c r="I2240" s="327">
        <v>1</v>
      </c>
      <c r="J2240" s="361"/>
      <c r="K2240" s="327"/>
      <c r="L2240" s="389">
        <v>1</v>
      </c>
      <c r="M2240" s="371"/>
      <c r="N2240" s="355" t="str">
        <f t="shared" si="265"/>
        <v>PK</v>
      </c>
      <c r="O2240" s="359" t="s">
        <v>1626</v>
      </c>
      <c r="P2240" s="361"/>
      <c r="Q2240" s="327"/>
      <c r="R2240" s="351"/>
      <c r="S2240" s="351"/>
      <c r="T2240" s="351"/>
      <c r="U2240" s="329" t="str">
        <f>IF($N2240=$N$4,IFERROR(INDEX(DanhMuc!$E$154:$E$165,MATCH(MID($B2240,4,2),DanhMuc!$B$154:$B$165,0)),""),"")</f>
        <v/>
      </c>
      <c r="V2240" s="361"/>
      <c r="W2240" s="345"/>
      <c r="X2240" s="329" t="str">
        <f t="shared" si="261"/>
        <v>KL</v>
      </c>
      <c r="Y2240" s="1128" t="s">
        <v>3380</v>
      </c>
      <c r="Z2240" s="1128" t="s">
        <v>3381</v>
      </c>
      <c r="AA2240" s="1128" t="s">
        <v>3384</v>
      </c>
      <c r="AB2240" s="20"/>
      <c r="AC2240" s="73"/>
    </row>
    <row r="2241" spans="1:29">
      <c r="A2241" s="327" t="str">
        <f>IF(AND($B2241&lt;&gt;"",$C2241&lt;&gt;""),MAX($A$1556:A2231)+1,"")</f>
        <v/>
      </c>
      <c r="B2241" s="361" t="s">
        <v>2002</v>
      </c>
      <c r="C2241" s="360"/>
      <c r="D2241" s="327">
        <f>IF($B2241="","",COUNTIF($B$6:$B2241,$B2241))</f>
        <v>12</v>
      </c>
      <c r="E2241" s="361" t="s">
        <v>2116</v>
      </c>
      <c r="F2241" s="362" t="s">
        <v>1805</v>
      </c>
      <c r="G2241" s="327" t="s">
        <v>155</v>
      </c>
      <c r="H2241" s="327"/>
      <c r="I2241" s="327">
        <v>3</v>
      </c>
      <c r="J2241" s="361"/>
      <c r="K2241" s="327"/>
      <c r="L2241" s="389">
        <v>56000</v>
      </c>
      <c r="M2241" s="371"/>
      <c r="N2241" s="355" t="str">
        <f t="shared" si="265"/>
        <v>PK</v>
      </c>
      <c r="O2241" s="345" t="s">
        <v>17</v>
      </c>
      <c r="P2241" s="361"/>
      <c r="Q2241" s="327"/>
      <c r="R2241" s="351"/>
      <c r="S2241" s="351"/>
      <c r="T2241" s="351"/>
      <c r="U2241" s="329" t="str">
        <f>IF($N2241=$N$4,IFERROR(INDEX(DanhMuc!$E$154:$E$165,MATCH(MID($B2241,4,2),DanhMuc!$B$154:$B$165,0)),""),"")</f>
        <v/>
      </c>
      <c r="V2241" s="361"/>
      <c r="W2241" s="345"/>
      <c r="X2241" s="329" t="str">
        <f t="shared" si="261"/>
        <v>KL</v>
      </c>
      <c r="Y2241" s="1128" t="s">
        <v>3380</v>
      </c>
      <c r="Z2241" s="1128" t="s">
        <v>3381</v>
      </c>
      <c r="AA2241" s="1128" t="s">
        <v>3384</v>
      </c>
      <c r="AB2241" s="20"/>
      <c r="AC2241" s="73"/>
    </row>
    <row r="2242" spans="1:29">
      <c r="A2242" s="327" t="str">
        <f>IF(AND($B2242&lt;&gt;"",$C2242&lt;&gt;""),MAX($A$1556:A2232)+1,"")</f>
        <v/>
      </c>
      <c r="B2242" s="361" t="s">
        <v>2002</v>
      </c>
      <c r="C2242" s="360"/>
      <c r="D2242" s="327">
        <f>IF($B2242="","",COUNTIF($B$6:$B2242,$B2242))</f>
        <v>13</v>
      </c>
      <c r="E2242" s="361" t="s">
        <v>2117</v>
      </c>
      <c r="F2242" s="362" t="s">
        <v>1804</v>
      </c>
      <c r="G2242" s="327" t="s">
        <v>155</v>
      </c>
      <c r="H2242" s="327"/>
      <c r="I2242" s="327">
        <v>3</v>
      </c>
      <c r="J2242" s="361"/>
      <c r="K2242" s="327"/>
      <c r="L2242" s="389">
        <v>56000</v>
      </c>
      <c r="M2242" s="371"/>
      <c r="N2242" s="355" t="str">
        <f t="shared" si="265"/>
        <v>PK</v>
      </c>
      <c r="O2242" s="345" t="s">
        <v>17</v>
      </c>
      <c r="P2242" s="361"/>
      <c r="Q2242" s="327"/>
      <c r="R2242" s="351"/>
      <c r="S2242" s="351"/>
      <c r="T2242" s="351"/>
      <c r="U2242" s="329" t="str">
        <f>IF($N2242=$N$4,IFERROR(INDEX(DanhMuc!$E$154:$E$165,MATCH(MID($B2242,4,2),DanhMuc!$B$154:$B$165,0)),""),"")</f>
        <v/>
      </c>
      <c r="V2242" s="361"/>
      <c r="W2242" s="345"/>
      <c r="X2242" s="329" t="str">
        <f t="shared" si="261"/>
        <v>KL</v>
      </c>
      <c r="Y2242" s="1128" t="s">
        <v>3380</v>
      </c>
      <c r="Z2242" s="1128" t="s">
        <v>3381</v>
      </c>
      <c r="AA2242" s="1128" t="s">
        <v>3384</v>
      </c>
      <c r="AB2242" s="20"/>
      <c r="AC2242" s="73"/>
    </row>
    <row r="2243" spans="1:29">
      <c r="A2243" s="327" t="str">
        <f>IF(AND($B2243&lt;&gt;"",$C2243&lt;&gt;""),MAX($A$1556:A2233)+1,"")</f>
        <v/>
      </c>
      <c r="B2243" s="361" t="s">
        <v>2002</v>
      </c>
      <c r="C2243" s="360"/>
      <c r="D2243" s="327">
        <f>IF($B2243="","",COUNTIF($B$6:$B2243,$B2243))</f>
        <v>14</v>
      </c>
      <c r="E2243" s="361" t="s">
        <v>2121</v>
      </c>
      <c r="F2243" s="362" t="s">
        <v>1910</v>
      </c>
      <c r="G2243" s="327" t="s">
        <v>155</v>
      </c>
      <c r="H2243" s="327"/>
      <c r="I2243" s="327">
        <v>3</v>
      </c>
      <c r="J2243" s="361"/>
      <c r="K2243" s="327"/>
      <c r="L2243" s="389">
        <v>59000</v>
      </c>
      <c r="M2243" s="371"/>
      <c r="N2243" s="355" t="str">
        <f t="shared" si="265"/>
        <v>PK</v>
      </c>
      <c r="O2243" s="345" t="s">
        <v>686</v>
      </c>
      <c r="P2243" s="361"/>
      <c r="Q2243" s="327"/>
      <c r="R2243" s="351"/>
      <c r="S2243" s="351"/>
      <c r="T2243" s="351"/>
      <c r="U2243" s="329" t="str">
        <f>IF($N2243=$N$4,IFERROR(INDEX(DanhMuc!$E$154:$E$165,MATCH(MID($B2243,4,2),DanhMuc!$B$154:$B$165,0)),""),"")</f>
        <v/>
      </c>
      <c r="V2243" s="361"/>
      <c r="W2243" s="345"/>
      <c r="X2243" s="329" t="str">
        <f t="shared" si="261"/>
        <v>KL</v>
      </c>
      <c r="Y2243" s="1128" t="s">
        <v>3380</v>
      </c>
      <c r="Z2243" s="1128" t="s">
        <v>3381</v>
      </c>
      <c r="AA2243" s="1128" t="s">
        <v>3384</v>
      </c>
      <c r="AB2243" s="20"/>
      <c r="AC2243" s="73"/>
    </row>
    <row r="2244" spans="1:29">
      <c r="A2244" s="327" t="str">
        <f>IF(AND($B2244&lt;&gt;"",$C2244&lt;&gt;""),MAX($A$1556:A2234)+1,"")</f>
        <v/>
      </c>
      <c r="B2244" s="361" t="s">
        <v>2002</v>
      </c>
      <c r="C2244" s="360"/>
      <c r="D2244" s="327">
        <f>IF($B2244="","",COUNTIF($B$6:$B2244,$B2244))</f>
        <v>15</v>
      </c>
      <c r="E2244" s="361" t="s">
        <v>2122</v>
      </c>
      <c r="F2244" s="362" t="s">
        <v>1911</v>
      </c>
      <c r="G2244" s="327" t="s">
        <v>155</v>
      </c>
      <c r="H2244" s="327"/>
      <c r="I2244" s="327">
        <v>3</v>
      </c>
      <c r="J2244" s="361"/>
      <c r="K2244" s="327"/>
      <c r="L2244" s="389">
        <v>59000</v>
      </c>
      <c r="M2244" s="371"/>
      <c r="N2244" s="355" t="str">
        <f t="shared" si="265"/>
        <v>PK</v>
      </c>
      <c r="O2244" s="345" t="s">
        <v>687</v>
      </c>
      <c r="P2244" s="361"/>
      <c r="Q2244" s="327"/>
      <c r="R2244" s="351"/>
      <c r="S2244" s="351"/>
      <c r="T2244" s="351"/>
      <c r="U2244" s="329" t="str">
        <f>IF($N2244=$N$4,IFERROR(INDEX(DanhMuc!$E$154:$E$165,MATCH(MID($B2244,4,2),DanhMuc!$B$154:$B$165,0)),""),"")</f>
        <v/>
      </c>
      <c r="V2244" s="361"/>
      <c r="W2244" s="345"/>
      <c r="X2244" s="329" t="str">
        <f t="shared" si="261"/>
        <v>KL</v>
      </c>
      <c r="Y2244" s="1128" t="s">
        <v>3380</v>
      </c>
      <c r="Z2244" s="1128" t="s">
        <v>3381</v>
      </c>
      <c r="AA2244" s="1128" t="s">
        <v>3384</v>
      </c>
      <c r="AB2244" s="20"/>
      <c r="AC2244" s="73"/>
    </row>
    <row r="2245" spans="1:29">
      <c r="A2245" s="327" t="str">
        <f>IF(AND($B2245&lt;&gt;"",$C2245&lt;&gt;""),MAX($A$1556:A2233)+1,"")</f>
        <v/>
      </c>
      <c r="B2245" s="361" t="s">
        <v>2002</v>
      </c>
      <c r="C2245" s="360"/>
      <c r="D2245" s="327">
        <f>IF($B2245="","",COUNTIF($B$6:$B2245,$B2245))</f>
        <v>16</v>
      </c>
      <c r="E2245" s="361" t="s">
        <v>2587</v>
      </c>
      <c r="F2245" s="362" t="s">
        <v>1931</v>
      </c>
      <c r="G2245" s="327" t="s">
        <v>155</v>
      </c>
      <c r="H2245" s="327"/>
      <c r="I2245" s="327">
        <v>3</v>
      </c>
      <c r="J2245" s="361"/>
      <c r="K2245" s="327"/>
      <c r="L2245" s="389">
        <v>66000</v>
      </c>
      <c r="M2245" s="371"/>
      <c r="N2245" s="355" t="str">
        <f t="shared" si="265"/>
        <v>PK</v>
      </c>
      <c r="O2245" s="345" t="s">
        <v>21</v>
      </c>
      <c r="P2245" s="361"/>
      <c r="Q2245" s="327"/>
      <c r="R2245" s="351"/>
      <c r="S2245" s="351"/>
      <c r="T2245" s="351"/>
      <c r="U2245" s="329" t="str">
        <f>IF($N2245=$N$4,IFERROR(INDEX(DanhMuc!$E$154:$E$165,MATCH(MID($B2245,4,2),DanhMuc!$B$154:$B$165,0)),""),"")</f>
        <v/>
      </c>
      <c r="V2245" s="361"/>
      <c r="W2245" s="345"/>
      <c r="X2245" s="329" t="str">
        <f t="shared" si="261"/>
        <v>KL</v>
      </c>
      <c r="Y2245" s="1128" t="s">
        <v>3380</v>
      </c>
      <c r="Z2245" s="1128" t="s">
        <v>3381</v>
      </c>
      <c r="AA2245" s="1128" t="s">
        <v>3384</v>
      </c>
      <c r="AB2245" s="20"/>
      <c r="AC2245" s="73"/>
    </row>
    <row r="2246" spans="1:29">
      <c r="A2246" s="327" t="str">
        <f>IF(AND($B2246&lt;&gt;"",$C2246&lt;&gt;""),MAX($A$1556:A2234)+1,"")</f>
        <v/>
      </c>
      <c r="B2246" s="361" t="s">
        <v>2002</v>
      </c>
      <c r="C2246" s="360"/>
      <c r="D2246" s="327">
        <f>IF($B2246="","",COUNTIF($B$6:$B2246,$B2246))</f>
        <v>17</v>
      </c>
      <c r="E2246" s="361" t="s">
        <v>2588</v>
      </c>
      <c r="F2246" s="362" t="s">
        <v>1933</v>
      </c>
      <c r="G2246" s="327" t="s">
        <v>155</v>
      </c>
      <c r="H2246" s="327"/>
      <c r="I2246" s="327">
        <v>3</v>
      </c>
      <c r="J2246" s="361"/>
      <c r="K2246" s="327"/>
      <c r="L2246" s="389">
        <v>66000</v>
      </c>
      <c r="M2246" s="371"/>
      <c r="N2246" s="355" t="str">
        <f t="shared" si="265"/>
        <v>PK</v>
      </c>
      <c r="O2246" s="345" t="s">
        <v>21</v>
      </c>
      <c r="P2246" s="361"/>
      <c r="Q2246" s="327"/>
      <c r="R2246" s="351"/>
      <c r="S2246" s="351"/>
      <c r="T2246" s="351"/>
      <c r="U2246" s="329" t="str">
        <f>IF($N2246=$N$4,IFERROR(INDEX(DanhMuc!$E$154:$E$165,MATCH(MID($B2246,4,2),DanhMuc!$B$154:$B$165,0)),""),"")</f>
        <v/>
      </c>
      <c r="V2246" s="361"/>
      <c r="W2246" s="345"/>
      <c r="X2246" s="329" t="str">
        <f t="shared" si="261"/>
        <v>KL</v>
      </c>
      <c r="Y2246" s="1128" t="s">
        <v>3380</v>
      </c>
      <c r="Z2246" s="1128" t="s">
        <v>3381</v>
      </c>
      <c r="AA2246" s="1128" t="s">
        <v>3384</v>
      </c>
      <c r="AB2246" s="20"/>
      <c r="AC2246" s="73"/>
    </row>
    <row r="2247" spans="1:29">
      <c r="A2247" s="327" t="str">
        <f>IF(AND($B2247&lt;&gt;"",$C2247&lt;&gt;""),MAX($A$1556:A2235)+1,"")</f>
        <v/>
      </c>
      <c r="B2247" s="361" t="s">
        <v>2002</v>
      </c>
      <c r="C2247" s="360"/>
      <c r="D2247" s="327">
        <f>IF($B2247="","",COUNTIF($B$6:$B2247,$B2247))</f>
        <v>18</v>
      </c>
      <c r="E2247" s="361" t="s">
        <v>2589</v>
      </c>
      <c r="F2247" s="362" t="s">
        <v>1932</v>
      </c>
      <c r="G2247" s="327" t="s">
        <v>155</v>
      </c>
      <c r="H2247" s="327"/>
      <c r="I2247" s="327">
        <v>3</v>
      </c>
      <c r="J2247" s="361"/>
      <c r="K2247" s="327"/>
      <c r="L2247" s="389">
        <v>66000</v>
      </c>
      <c r="M2247" s="371"/>
      <c r="N2247" s="355" t="str">
        <f t="shared" si="265"/>
        <v>PK</v>
      </c>
      <c r="O2247" s="345" t="s">
        <v>1806</v>
      </c>
      <c r="P2247" s="361"/>
      <c r="Q2247" s="327"/>
      <c r="R2247" s="351"/>
      <c r="S2247" s="351"/>
      <c r="T2247" s="351"/>
      <c r="U2247" s="329" t="str">
        <f>IF($N2247=$N$4,IFERROR(INDEX(DanhMuc!$E$154:$E$165,MATCH(MID($B2247,4,2),DanhMuc!$B$154:$B$165,0)),""),"")</f>
        <v/>
      </c>
      <c r="V2247" s="361"/>
      <c r="W2247" s="345"/>
      <c r="X2247" s="329" t="str">
        <f t="shared" si="261"/>
        <v>KL</v>
      </c>
      <c r="Y2247" s="1128" t="s">
        <v>3380</v>
      </c>
      <c r="Z2247" s="1128" t="s">
        <v>3381</v>
      </c>
      <c r="AA2247" s="1128" t="s">
        <v>3384</v>
      </c>
      <c r="AB2247" s="20"/>
      <c r="AC2247" s="73"/>
    </row>
    <row r="2248" spans="1:29">
      <c r="A2248" s="327" t="str">
        <f>IF(AND($B2248&lt;&gt;"",$C2248&lt;&gt;""),MAX($A$1556:A2236)+1,"")</f>
        <v/>
      </c>
      <c r="B2248" s="361" t="s">
        <v>2002</v>
      </c>
      <c r="C2248" s="360"/>
      <c r="D2248" s="327">
        <f>IF($B2248="","",COUNTIF($B$6:$B2248,$B2248))</f>
        <v>19</v>
      </c>
      <c r="E2248" s="361" t="s">
        <v>2590</v>
      </c>
      <c r="F2248" s="362" t="s">
        <v>1934</v>
      </c>
      <c r="G2248" s="327" t="s">
        <v>155</v>
      </c>
      <c r="H2248" s="327"/>
      <c r="I2248" s="327">
        <v>3</v>
      </c>
      <c r="J2248" s="361"/>
      <c r="K2248" s="327"/>
      <c r="L2248" s="389">
        <v>66000</v>
      </c>
      <c r="M2248" s="371"/>
      <c r="N2248" s="355" t="str">
        <f t="shared" si="265"/>
        <v>PK</v>
      </c>
      <c r="O2248" s="345" t="s">
        <v>1807</v>
      </c>
      <c r="P2248" s="361"/>
      <c r="Q2248" s="327"/>
      <c r="R2248" s="351"/>
      <c r="S2248" s="351"/>
      <c r="T2248" s="351"/>
      <c r="U2248" s="329" t="str">
        <f>IF($N2248=$N$4,IFERROR(INDEX(DanhMuc!$E$154:$E$165,MATCH(MID($B2248,4,2),DanhMuc!$B$154:$B$165,0)),""),"")</f>
        <v/>
      </c>
      <c r="V2248" s="361"/>
      <c r="W2248" s="345"/>
      <c r="X2248" s="329" t="str">
        <f t="shared" si="261"/>
        <v>KL</v>
      </c>
      <c r="Y2248" s="1128" t="s">
        <v>3380</v>
      </c>
      <c r="Z2248" s="1128" t="s">
        <v>3381</v>
      </c>
      <c r="AA2248" s="1128" t="s">
        <v>3384</v>
      </c>
      <c r="AB2248" s="20"/>
      <c r="AC2248" s="73"/>
    </row>
    <row r="2249" spans="1:29" s="25" customFormat="1">
      <c r="A2249" s="327" t="str">
        <f>IF(AND($B2249&lt;&gt;"",$C2249&lt;&gt;""),MAX($A$1556:A2235)+1,"")</f>
        <v/>
      </c>
      <c r="B2249" s="361" t="s">
        <v>2002</v>
      </c>
      <c r="C2249" s="360"/>
      <c r="D2249" s="327">
        <f>IF($B2249="","",COUNTIF($B$6:$B2249,$B2249))</f>
        <v>20</v>
      </c>
      <c r="E2249" s="361" t="s">
        <v>1909</v>
      </c>
      <c r="F2249" s="362" t="s">
        <v>1908</v>
      </c>
      <c r="G2249" s="327" t="s">
        <v>344</v>
      </c>
      <c r="H2249" s="327" t="s">
        <v>536</v>
      </c>
      <c r="I2249" s="327">
        <v>4</v>
      </c>
      <c r="J2249" s="361"/>
      <c r="K2249" s="327"/>
      <c r="L2249" s="389">
        <v>36000</v>
      </c>
      <c r="M2249" s="371"/>
      <c r="N2249" s="355" t="str">
        <f t="shared" si="265"/>
        <v>PK</v>
      </c>
      <c r="O2249" s="345"/>
      <c r="P2249" s="392"/>
      <c r="Q2249" s="327"/>
      <c r="R2249" s="351"/>
      <c r="S2249" s="351"/>
      <c r="T2249" s="351"/>
      <c r="U2249" s="329" t="str">
        <f>IF($N2249=$N$4,IFERROR(INDEX(DanhMuc!$E$154:$E$165,MATCH(MID($B2249,4,2),DanhMuc!$B$154:$B$165,0)),""),"")</f>
        <v/>
      </c>
      <c r="V2249" s="365"/>
      <c r="W2249" s="345"/>
      <c r="X2249" s="329" t="str">
        <f t="shared" si="261"/>
        <v>KL</v>
      </c>
      <c r="Y2249" s="1128" t="s">
        <v>3380</v>
      </c>
      <c r="Z2249" s="1128" t="s">
        <v>3381</v>
      </c>
      <c r="AA2249" s="1128" t="s">
        <v>3384</v>
      </c>
      <c r="AB2249" s="20"/>
      <c r="AC2249" s="73"/>
    </row>
    <row r="2250" spans="1:29" s="25" customFormat="1">
      <c r="A2250" s="327" t="str">
        <f>IF(AND($B2250&lt;&gt;"",$C2250&lt;&gt;""),MAX($A$1556:A2236)+1,"")</f>
        <v/>
      </c>
      <c r="B2250" s="361" t="s">
        <v>2002</v>
      </c>
      <c r="C2250" s="360"/>
      <c r="D2250" s="327">
        <f>IF($B2250="","",COUNTIF($B$6:$B2250,$B2250))</f>
        <v>21</v>
      </c>
      <c r="E2250" s="419" t="s">
        <v>2600</v>
      </c>
      <c r="F2250" s="417" t="s">
        <v>1801</v>
      </c>
      <c r="G2250" s="418" t="s">
        <v>155</v>
      </c>
      <c r="H2250" s="327" t="s">
        <v>536</v>
      </c>
      <c r="I2250" s="327">
        <v>2</v>
      </c>
      <c r="J2250" s="361"/>
      <c r="K2250" s="327"/>
      <c r="L2250" s="389">
        <v>8000</v>
      </c>
      <c r="M2250" s="371"/>
      <c r="N2250" s="355" t="str">
        <f t="shared" si="265"/>
        <v>PK</v>
      </c>
      <c r="O2250" s="345"/>
      <c r="P2250" s="392"/>
      <c r="Q2250" s="327"/>
      <c r="R2250" s="351"/>
      <c r="S2250" s="351"/>
      <c r="T2250" s="351"/>
      <c r="U2250" s="329" t="str">
        <f>IF($N2250=$N$4,IFERROR(INDEX(DanhMuc!$E$154:$E$165,MATCH(MID($B2250,4,2),DanhMuc!$B$154:$B$165,0)),""),"")</f>
        <v/>
      </c>
      <c r="V2250" s="365"/>
      <c r="W2250" s="345"/>
      <c r="X2250" s="329" t="str">
        <f t="shared" si="261"/>
        <v>KL</v>
      </c>
      <c r="Y2250" s="1128" t="s">
        <v>3380</v>
      </c>
      <c r="Z2250" s="1128" t="s">
        <v>3381</v>
      </c>
      <c r="AA2250" s="1128" t="s">
        <v>3384</v>
      </c>
      <c r="AB2250" s="20"/>
      <c r="AC2250" s="73"/>
    </row>
    <row r="2251" spans="1:29">
      <c r="A2251" s="327" t="str">
        <f>IF(AND($B2251&lt;&gt;"",$C2251&lt;&gt;""),MAX($A$1556:A2237)+1,"")</f>
        <v/>
      </c>
      <c r="B2251" s="361" t="s">
        <v>2002</v>
      </c>
      <c r="C2251" s="360"/>
      <c r="D2251" s="327">
        <f>IF($B2251="","",COUNTIF($B$6:$B2251,$B2251))</f>
        <v>22</v>
      </c>
      <c r="E2251" s="361" t="s">
        <v>678</v>
      </c>
      <c r="F2251" s="362" t="s">
        <v>711</v>
      </c>
      <c r="G2251" s="327" t="s">
        <v>155</v>
      </c>
      <c r="H2251" s="327"/>
      <c r="I2251" s="327">
        <v>1</v>
      </c>
      <c r="J2251" s="361"/>
      <c r="K2251" s="327"/>
      <c r="L2251" s="389">
        <v>1250</v>
      </c>
      <c r="M2251" s="371"/>
      <c r="N2251" s="355" t="str">
        <f t="shared" si="265"/>
        <v>PK</v>
      </c>
      <c r="O2251" s="345"/>
      <c r="P2251" s="392"/>
      <c r="Q2251" s="327"/>
      <c r="R2251" s="351"/>
      <c r="S2251" s="351"/>
      <c r="T2251" s="351"/>
      <c r="U2251" s="329" t="str">
        <f>IF($N2251=$N$4,IFERROR(INDEX(DanhMuc!$E$154:$E$165,MATCH(MID($B2251,4,2),DanhMuc!$B$154:$B$165,0)),""),"")</f>
        <v/>
      </c>
      <c r="V2251" s="361"/>
      <c r="W2251" s="345"/>
      <c r="X2251" s="329" t="str">
        <f t="shared" si="261"/>
        <v>KL</v>
      </c>
      <c r="Y2251" s="1128" t="s">
        <v>3380</v>
      </c>
      <c r="Z2251" s="1128" t="s">
        <v>3381</v>
      </c>
      <c r="AA2251" s="1128" t="s">
        <v>3384</v>
      </c>
      <c r="AB2251" s="20"/>
      <c r="AC2251" s="73"/>
    </row>
    <row r="2252" spans="1:29">
      <c r="A2252" s="327" t="str">
        <f>IF(AND($B2252&lt;&gt;"",$C2252&lt;&gt;""),MAX($A$1556:A2237)+1,"")</f>
        <v/>
      </c>
      <c r="B2252" s="361" t="s">
        <v>2002</v>
      </c>
      <c r="C2252" s="360"/>
      <c r="D2252" s="327">
        <f>IF($B2252="","",COUNTIF($B$6:$B2252,$B2252))</f>
        <v>23</v>
      </c>
      <c r="E2252" s="361" t="s">
        <v>679</v>
      </c>
      <c r="F2252" s="362" t="s">
        <v>712</v>
      </c>
      <c r="G2252" s="327" t="s">
        <v>155</v>
      </c>
      <c r="H2252" s="327"/>
      <c r="I2252" s="327">
        <v>1</v>
      </c>
      <c r="J2252" s="361"/>
      <c r="K2252" s="327"/>
      <c r="L2252" s="389">
        <v>1250</v>
      </c>
      <c r="M2252" s="371"/>
      <c r="N2252" s="355" t="str">
        <f t="shared" si="265"/>
        <v>PK</v>
      </c>
      <c r="O2252" s="345"/>
      <c r="P2252" s="392"/>
      <c r="Q2252" s="327"/>
      <c r="R2252" s="351"/>
      <c r="S2252" s="351"/>
      <c r="T2252" s="351"/>
      <c r="U2252" s="329" t="str">
        <f>IF($N2252=$N$4,IFERROR(INDEX(DanhMuc!$E$154:$E$165,MATCH(MID($B2252,4,2),DanhMuc!$B$154:$B$165,0)),""),"")</f>
        <v/>
      </c>
      <c r="V2252" s="361"/>
      <c r="W2252" s="345"/>
      <c r="X2252" s="329" t="str">
        <f t="shared" si="261"/>
        <v>KL</v>
      </c>
      <c r="Y2252" s="1128" t="s">
        <v>3380</v>
      </c>
      <c r="Z2252" s="1128" t="s">
        <v>3381</v>
      </c>
      <c r="AA2252" s="1128" t="s">
        <v>3384</v>
      </c>
      <c r="AB2252" s="20"/>
      <c r="AC2252" s="73"/>
    </row>
    <row r="2253" spans="1:29">
      <c r="A2253" s="327" t="str">
        <f>IF(AND($B2253&lt;&gt;"",$C2253&lt;&gt;""),MAX($A$1556:A2238)+1,"")</f>
        <v/>
      </c>
      <c r="B2253" s="361" t="s">
        <v>2002</v>
      </c>
      <c r="C2253" s="360"/>
      <c r="D2253" s="327">
        <f>IF($B2253="","",COUNTIF($B$6:$B2253,$B2253))</f>
        <v>24</v>
      </c>
      <c r="E2253" s="361" t="s">
        <v>986</v>
      </c>
      <c r="F2253" s="362" t="s">
        <v>985</v>
      </c>
      <c r="G2253" s="327" t="s">
        <v>297</v>
      </c>
      <c r="H2253" s="327"/>
      <c r="I2253" s="327">
        <v>6</v>
      </c>
      <c r="J2253" s="359"/>
      <c r="K2253" s="327"/>
      <c r="L2253" s="389">
        <v>2450</v>
      </c>
      <c r="M2253" s="371"/>
      <c r="N2253" s="355" t="str">
        <f t="shared" si="265"/>
        <v>PK</v>
      </c>
      <c r="O2253" s="342" t="s">
        <v>1475</v>
      </c>
      <c r="P2253" s="392"/>
      <c r="Q2253" s="327"/>
      <c r="R2253" s="351"/>
      <c r="S2253" s="351"/>
      <c r="T2253" s="351"/>
      <c r="U2253" s="329" t="str">
        <f>IF($N2253=$N$4,IFERROR(INDEX(DanhMuc!$E$154:$E$165,MATCH(MID($B2253,4,2),DanhMuc!$B$154:$B$165,0)),""),"")</f>
        <v/>
      </c>
      <c r="V2253" s="408" t="s">
        <v>343</v>
      </c>
      <c r="W2253" s="345"/>
      <c r="X2253" s="329" t="str">
        <f t="shared" si="261"/>
        <v>KL</v>
      </c>
      <c r="Y2253" s="1128" t="s">
        <v>3380</v>
      </c>
      <c r="Z2253" s="1128" t="s">
        <v>3381</v>
      </c>
      <c r="AA2253" s="1128" t="s">
        <v>3384</v>
      </c>
      <c r="AB2253" s="20"/>
      <c r="AC2253" s="73"/>
    </row>
    <row r="2254" spans="1:29">
      <c r="A2254" s="327" t="str">
        <f>IF(AND($B2254&lt;&gt;"",$C2254&lt;&gt;""),MAX($A$1556:A2252)+1,"")</f>
        <v/>
      </c>
      <c r="B2254" s="361" t="s">
        <v>2002</v>
      </c>
      <c r="C2254" s="360"/>
      <c r="D2254" s="327">
        <f>IF($B2254="","",COUNTIF($B$6:$B2254,$B2254))</f>
        <v>25</v>
      </c>
      <c r="E2254" s="361" t="s">
        <v>1444</v>
      </c>
      <c r="F2254" s="362" t="s">
        <v>2356</v>
      </c>
      <c r="G2254" s="327" t="s">
        <v>297</v>
      </c>
      <c r="H2254" s="327"/>
      <c r="I2254" s="327">
        <v>1</v>
      </c>
      <c r="J2254" s="345"/>
      <c r="K2254" s="327"/>
      <c r="L2254" s="389">
        <v>17000</v>
      </c>
      <c r="M2254" s="371"/>
      <c r="N2254" s="355" t="str">
        <f t="shared" si="265"/>
        <v>PK</v>
      </c>
      <c r="O2254" s="347"/>
      <c r="P2254" s="392"/>
      <c r="Q2254" s="327"/>
      <c r="R2254" s="351"/>
      <c r="S2254" s="351"/>
      <c r="T2254" s="351"/>
      <c r="U2254" s="329" t="str">
        <f>IF($N2254=$N$4,IFERROR(INDEX(DanhMuc!$E$154:$E$165,MATCH(MID($B2254,4,2),DanhMuc!$B$154:$B$165,0)),""),"")</f>
        <v/>
      </c>
      <c r="V2254" s="408" t="s">
        <v>343</v>
      </c>
      <c r="W2254" s="345"/>
      <c r="X2254" s="329" t="str">
        <f t="shared" si="261"/>
        <v>KL</v>
      </c>
      <c r="Y2254" s="1128" t="s">
        <v>3380</v>
      </c>
      <c r="Z2254" s="1128" t="s">
        <v>3381</v>
      </c>
      <c r="AA2254" s="1128" t="s">
        <v>3384</v>
      </c>
      <c r="AB2254" s="20"/>
      <c r="AC2254" s="73"/>
    </row>
    <row r="2255" spans="1:29" ht="39">
      <c r="A2255" s="327">
        <f>IF(AND($B2255&lt;&gt;"",$C2255&lt;&gt;""),MAX($A$1556:A2253)+1,"")</f>
        <v>129</v>
      </c>
      <c r="B2255" s="359" t="s">
        <v>2003</v>
      </c>
      <c r="C2255" s="360" t="s">
        <v>1878</v>
      </c>
      <c r="D2255" s="327">
        <f>IF($B2255="","",COUNTIF($B$6:$B2255,$B2255))</f>
        <v>1</v>
      </c>
      <c r="E2255" s="361" t="s">
        <v>2585</v>
      </c>
      <c r="F2255" s="362" t="s">
        <v>2110</v>
      </c>
      <c r="G2255" s="327" t="s">
        <v>297</v>
      </c>
      <c r="H2255" s="327"/>
      <c r="I2255" s="327">
        <v>1</v>
      </c>
      <c r="J2255" s="361"/>
      <c r="K2255" s="327"/>
      <c r="L2255" s="389">
        <v>1</v>
      </c>
      <c r="M2255" s="371"/>
      <c r="N2255" s="355" t="str">
        <f t="shared" si="265"/>
        <v>PK</v>
      </c>
      <c r="O2255" s="359"/>
      <c r="P2255" s="361"/>
      <c r="Q2255" s="327"/>
      <c r="R2255" s="351"/>
      <c r="S2255" s="351"/>
      <c r="T2255" s="351"/>
      <c r="U2255" s="329" t="str">
        <f>IF($N2255=$N$4,IFERROR(INDEX(DanhMuc!$E$154:$E$165,MATCH(MID($B2255,4,2),DanhMuc!$B$154:$B$165,0)),""),"")</f>
        <v/>
      </c>
      <c r="V2255" s="361"/>
      <c r="W2255" s="345"/>
      <c r="X2255" s="329" t="str">
        <f t="shared" si="261"/>
        <v>KL</v>
      </c>
      <c r="Y2255" s="1128" t="s">
        <v>3380</v>
      </c>
      <c r="Z2255" s="1128" t="s">
        <v>3381</v>
      </c>
      <c r="AA2255" s="1128" t="s">
        <v>3384</v>
      </c>
      <c r="AB2255" s="20"/>
      <c r="AC2255" s="73"/>
    </row>
    <row r="2256" spans="1:29">
      <c r="A2256" s="327" t="str">
        <f>IF(AND($B2256&lt;&gt;"",$C2256&lt;&gt;""),MAX($A$1556:A2253)+1,"")</f>
        <v/>
      </c>
      <c r="B2256" s="361" t="s">
        <v>2003</v>
      </c>
      <c r="C2256" s="360"/>
      <c r="D2256" s="327">
        <f>IF($B2256="","",COUNTIF($B$6:$B2256,$B2256))</f>
        <v>2</v>
      </c>
      <c r="E2256" s="419" t="s">
        <v>2579</v>
      </c>
      <c r="F2256" s="417" t="s">
        <v>2112</v>
      </c>
      <c r="G2256" s="418" t="s">
        <v>344</v>
      </c>
      <c r="H2256" s="327" t="s">
        <v>536</v>
      </c>
      <c r="I2256" s="327">
        <v>1</v>
      </c>
      <c r="J2256" s="361"/>
      <c r="K2256" s="327"/>
      <c r="L2256" s="389">
        <f>425000-3</f>
        <v>424997</v>
      </c>
      <c r="M2256" s="371"/>
      <c r="N2256" s="355" t="str">
        <f t="shared" si="265"/>
        <v>PK</v>
      </c>
      <c r="O2256" s="359" t="s">
        <v>1623</v>
      </c>
      <c r="P2256" s="361"/>
      <c r="Q2256" s="327"/>
      <c r="R2256" s="351"/>
      <c r="S2256" s="351"/>
      <c r="T2256" s="351"/>
      <c r="U2256" s="329" t="str">
        <f>IF($N2256=$N$4,IFERROR(INDEX(DanhMuc!$E$154:$E$165,MATCH(MID($B2256,4,2),DanhMuc!$B$154:$B$165,0)),""),"")</f>
        <v/>
      </c>
      <c r="V2256" s="361"/>
      <c r="W2256" s="345"/>
      <c r="X2256" s="329" t="str">
        <f t="shared" si="261"/>
        <v>KL</v>
      </c>
      <c r="Y2256" s="1128" t="s">
        <v>3380</v>
      </c>
      <c r="Z2256" s="1128" t="s">
        <v>3381</v>
      </c>
      <c r="AA2256" s="1128" t="s">
        <v>3384</v>
      </c>
      <c r="AB2256" s="20"/>
      <c r="AC2256" s="73"/>
    </row>
    <row r="2257" spans="1:29">
      <c r="A2257" s="327" t="str">
        <f>IF(AND($B2257&lt;&gt;"",$C2257&lt;&gt;""),MAX($A$1556:A2253)+1,"")</f>
        <v/>
      </c>
      <c r="B2257" s="361" t="s">
        <v>2003</v>
      </c>
      <c r="C2257" s="360"/>
      <c r="D2257" s="327">
        <f>IF($B2257="","",COUNTIF($B$6:$B2257,$B2257))</f>
        <v>3</v>
      </c>
      <c r="E2257" s="419" t="s">
        <v>2582</v>
      </c>
      <c r="F2257" s="417" t="s">
        <v>323</v>
      </c>
      <c r="G2257" s="418" t="s">
        <v>155</v>
      </c>
      <c r="H2257" s="327" t="s">
        <v>536</v>
      </c>
      <c r="I2257" s="327">
        <v>1</v>
      </c>
      <c r="J2257" s="361"/>
      <c r="K2257" s="327"/>
      <c r="L2257" s="389">
        <v>1</v>
      </c>
      <c r="M2257" s="371"/>
      <c r="N2257" s="355" t="str">
        <f t="shared" si="265"/>
        <v>PK</v>
      </c>
      <c r="O2257" s="359" t="s">
        <v>1060</v>
      </c>
      <c r="P2257" s="361"/>
      <c r="Q2257" s="327"/>
      <c r="R2257" s="351"/>
      <c r="S2257" s="351"/>
      <c r="T2257" s="351"/>
      <c r="U2257" s="329" t="str">
        <f>IF($N2257=$N$4,IFERROR(INDEX(DanhMuc!$E$154:$E$165,MATCH(MID($B2257,4,2),DanhMuc!$B$154:$B$165,0)),""),"")</f>
        <v/>
      </c>
      <c r="V2257" s="361"/>
      <c r="W2257" s="345"/>
      <c r="X2257" s="329" t="str">
        <f t="shared" si="261"/>
        <v>KL</v>
      </c>
      <c r="Y2257" s="1128" t="s">
        <v>3380</v>
      </c>
      <c r="Z2257" s="1128" t="s">
        <v>3381</v>
      </c>
      <c r="AA2257" s="1128" t="s">
        <v>3384</v>
      </c>
      <c r="AB2257" s="20"/>
      <c r="AC2257" s="73"/>
    </row>
    <row r="2258" spans="1:29">
      <c r="A2258" s="327" t="str">
        <f>IF(AND($B2258&lt;&gt;"",$C2258&lt;&gt;""),MAX($A$1556:A2253)+1,"")</f>
        <v/>
      </c>
      <c r="B2258" s="361" t="s">
        <v>2003</v>
      </c>
      <c r="C2258" s="360"/>
      <c r="D2258" s="327">
        <f>IF($B2258="","",COUNTIF($B$6:$B2258,$B2258))</f>
        <v>4</v>
      </c>
      <c r="E2258" s="419" t="s">
        <v>2583</v>
      </c>
      <c r="F2258" s="417" t="s">
        <v>1799</v>
      </c>
      <c r="G2258" s="418" t="s">
        <v>155</v>
      </c>
      <c r="H2258" s="327" t="s">
        <v>536</v>
      </c>
      <c r="I2258" s="327">
        <v>1</v>
      </c>
      <c r="J2258" s="361"/>
      <c r="K2258" s="327"/>
      <c r="L2258" s="389">
        <v>1</v>
      </c>
      <c r="M2258" s="371"/>
      <c r="N2258" s="355" t="str">
        <f t="shared" si="265"/>
        <v>PK</v>
      </c>
      <c r="O2258" s="401" t="s">
        <v>2705</v>
      </c>
      <c r="P2258" s="361"/>
      <c r="Q2258" s="327"/>
      <c r="R2258" s="351"/>
      <c r="S2258" s="351"/>
      <c r="T2258" s="351"/>
      <c r="U2258" s="329" t="str">
        <f>IF($N2258=$N$4,IFERROR(INDEX(DanhMuc!$E$154:$E$165,MATCH(MID($B2258,4,2),DanhMuc!$B$154:$B$165,0)),""),"")</f>
        <v/>
      </c>
      <c r="V2258" s="361"/>
      <c r="W2258" s="345"/>
      <c r="X2258" s="329" t="str">
        <f t="shared" si="261"/>
        <v>KL</v>
      </c>
      <c r="Y2258" s="1128" t="s">
        <v>3380</v>
      </c>
      <c r="Z2258" s="1128" t="s">
        <v>3381</v>
      </c>
      <c r="AA2258" s="1128" t="s">
        <v>3384</v>
      </c>
      <c r="AB2258" s="20"/>
      <c r="AC2258" s="73"/>
    </row>
    <row r="2259" spans="1:29">
      <c r="A2259" s="327" t="str">
        <f>IF(AND($B2259&lt;&gt;"",$C2259&lt;&gt;""),MAX($A$1556:A2253)+1,"")</f>
        <v/>
      </c>
      <c r="B2259" s="361" t="s">
        <v>2003</v>
      </c>
      <c r="C2259" s="360"/>
      <c r="D2259" s="327">
        <f>IF($B2259="","",COUNTIF($B$6:$B2259,$B2259))</f>
        <v>5</v>
      </c>
      <c r="E2259" s="419" t="s">
        <v>2586</v>
      </c>
      <c r="F2259" s="417" t="s">
        <v>2118</v>
      </c>
      <c r="G2259" s="418" t="s">
        <v>155</v>
      </c>
      <c r="H2259" s="327" t="s">
        <v>536</v>
      </c>
      <c r="I2259" s="327">
        <v>1</v>
      </c>
      <c r="J2259" s="361"/>
      <c r="K2259" s="327"/>
      <c r="L2259" s="389">
        <v>1</v>
      </c>
      <c r="M2259" s="371"/>
      <c r="N2259" s="355" t="str">
        <f t="shared" si="265"/>
        <v>PK</v>
      </c>
      <c r="O2259" s="359" t="s">
        <v>1623</v>
      </c>
      <c r="P2259" s="361"/>
      <c r="Q2259" s="327"/>
      <c r="R2259" s="351"/>
      <c r="S2259" s="351"/>
      <c r="T2259" s="351"/>
      <c r="U2259" s="329" t="str">
        <f>IF($N2259=$N$4,IFERROR(INDEX(DanhMuc!$E$154:$E$165,MATCH(MID($B2259,4,2),DanhMuc!$B$154:$B$165,0)),""),"")</f>
        <v/>
      </c>
      <c r="V2259" s="361"/>
      <c r="W2259" s="345"/>
      <c r="X2259" s="329" t="str">
        <f t="shared" si="261"/>
        <v>KL</v>
      </c>
      <c r="Y2259" s="1128" t="s">
        <v>3380</v>
      </c>
      <c r="Z2259" s="1128" t="s">
        <v>3381</v>
      </c>
      <c r="AA2259" s="1128" t="s">
        <v>3384</v>
      </c>
      <c r="AB2259" s="20"/>
      <c r="AC2259" s="73"/>
    </row>
    <row r="2260" spans="1:29">
      <c r="A2260" s="327" t="str">
        <f>IF(AND($B2260&lt;&gt;"",$C2260&lt;&gt;""),MAX($A$1556:A2253)+1,"")</f>
        <v/>
      </c>
      <c r="B2260" s="361" t="s">
        <v>2003</v>
      </c>
      <c r="C2260" s="360"/>
      <c r="D2260" s="327">
        <f>IF($B2260="","",COUNTIF($B$6:$B2260,$B2260))</f>
        <v>6</v>
      </c>
      <c r="E2260" s="419" t="s">
        <v>2603</v>
      </c>
      <c r="F2260" s="417" t="s">
        <v>2120</v>
      </c>
      <c r="G2260" s="418" t="s">
        <v>155</v>
      </c>
      <c r="H2260" s="327" t="s">
        <v>536</v>
      </c>
      <c r="I2260" s="327">
        <v>2</v>
      </c>
      <c r="J2260" s="361"/>
      <c r="K2260" s="327"/>
      <c r="L2260" s="389">
        <v>8000</v>
      </c>
      <c r="M2260" s="371"/>
      <c r="N2260" s="355" t="str">
        <f t="shared" si="265"/>
        <v>PK</v>
      </c>
      <c r="O2260" s="359" t="s">
        <v>1623</v>
      </c>
      <c r="P2260" s="361"/>
      <c r="Q2260" s="327"/>
      <c r="R2260" s="351"/>
      <c r="S2260" s="351"/>
      <c r="T2260" s="351"/>
      <c r="U2260" s="329" t="str">
        <f>IF($N2260=$N$4,IFERROR(INDEX(DanhMuc!$E$154:$E$165,MATCH(MID($B2260,4,2),DanhMuc!$B$154:$B$165,0)),""),"")</f>
        <v/>
      </c>
      <c r="V2260" s="361"/>
      <c r="W2260" s="345"/>
      <c r="X2260" s="329" t="str">
        <f t="shared" si="261"/>
        <v>KL</v>
      </c>
      <c r="Y2260" s="1128" t="s">
        <v>3380</v>
      </c>
      <c r="Z2260" s="1128" t="s">
        <v>3381</v>
      </c>
      <c r="AA2260" s="1128" t="s">
        <v>3384</v>
      </c>
      <c r="AB2260" s="20"/>
      <c r="AC2260" s="73"/>
    </row>
    <row r="2261" spans="1:29">
      <c r="A2261" s="327" t="str">
        <f>IF(AND($B2261&lt;&gt;"",$C2261&lt;&gt;""),MAX($A$1556:A2253)+1,"")</f>
        <v/>
      </c>
      <c r="B2261" s="361" t="s">
        <v>2003</v>
      </c>
      <c r="C2261" s="360"/>
      <c r="D2261" s="327">
        <f>IF($B2261="","",COUNTIF($B$6:$B2261,$B2261))</f>
        <v>7</v>
      </c>
      <c r="E2261" s="419" t="s">
        <v>2602</v>
      </c>
      <c r="F2261" s="417" t="s">
        <v>1907</v>
      </c>
      <c r="G2261" s="418" t="s">
        <v>155</v>
      </c>
      <c r="H2261" s="327" t="s">
        <v>536</v>
      </c>
      <c r="I2261" s="327">
        <v>2</v>
      </c>
      <c r="J2261" s="361"/>
      <c r="K2261" s="327"/>
      <c r="L2261" s="389">
        <v>13500</v>
      </c>
      <c r="M2261" s="371"/>
      <c r="N2261" s="355" t="str">
        <f t="shared" si="265"/>
        <v>PK</v>
      </c>
      <c r="O2261" s="359" t="s">
        <v>1623</v>
      </c>
      <c r="P2261" s="361"/>
      <c r="Q2261" s="327"/>
      <c r="R2261" s="351"/>
      <c r="S2261" s="351"/>
      <c r="T2261" s="351"/>
      <c r="U2261" s="329" t="str">
        <f>IF($N2261=$N$4,IFERROR(INDEX(DanhMuc!$E$154:$E$165,MATCH(MID($B2261,4,2),DanhMuc!$B$154:$B$165,0)),""),"")</f>
        <v/>
      </c>
      <c r="V2261" s="361"/>
      <c r="W2261" s="345"/>
      <c r="X2261" s="329" t="str">
        <f t="shared" si="261"/>
        <v>KL</v>
      </c>
      <c r="Y2261" s="1128" t="s">
        <v>3380</v>
      </c>
      <c r="Z2261" s="1128" t="s">
        <v>3381</v>
      </c>
      <c r="AA2261" s="1128" t="s">
        <v>3384</v>
      </c>
      <c r="AB2261" s="20"/>
      <c r="AC2261" s="73"/>
    </row>
    <row r="2262" spans="1:29" s="25" customFormat="1">
      <c r="A2262" s="327" t="str">
        <f>IF(AND($B2262&lt;&gt;"",$C2262&lt;&gt;""),MAX($A$1556:A2266)+1,"")</f>
        <v/>
      </c>
      <c r="B2262" s="361" t="s">
        <v>2003</v>
      </c>
      <c r="C2262" s="346"/>
      <c r="D2262" s="367">
        <f>IF($B2262="","",COUNTIF($B$6:$B2262,$B2262))</f>
        <v>8</v>
      </c>
      <c r="E2262" s="612" t="s">
        <v>327</v>
      </c>
      <c r="F2262" s="613" t="s">
        <v>345</v>
      </c>
      <c r="G2262" s="367" t="s">
        <v>690</v>
      </c>
      <c r="H2262" s="327" t="s">
        <v>536</v>
      </c>
      <c r="I2262" s="367">
        <v>1</v>
      </c>
      <c r="J2262" s="345" t="s">
        <v>634</v>
      </c>
      <c r="K2262" s="367"/>
      <c r="L2262" s="348">
        <f>+$S2262*$T2262*$L$37</f>
        <v>84651</v>
      </c>
      <c r="M2262" s="371"/>
      <c r="N2262" s="355" t="s">
        <v>150</v>
      </c>
      <c r="O2262" s="359" t="s">
        <v>1623</v>
      </c>
      <c r="P2262" s="392"/>
      <c r="Q2262" s="327"/>
      <c r="R2262" s="351">
        <v>2.5</v>
      </c>
      <c r="S2262" s="351">
        <v>5.8</v>
      </c>
      <c r="T2262" s="351">
        <v>0.13900000000000001</v>
      </c>
      <c r="U2262" s="329">
        <f>IF($N2262=$N$4,IFERROR(INDEX(DanhMuc!$E$154:$E$165,MATCH(MID($B2262,4,2),DanhMuc!$B$154:$B$165,0)),""),"")</f>
        <v>5800</v>
      </c>
      <c r="V2262" s="365"/>
      <c r="W2262" s="345"/>
      <c r="X2262" s="329" t="str">
        <f t="shared" si="261"/>
        <v>C459</v>
      </c>
      <c r="Y2262" s="1128" t="s">
        <v>3380</v>
      </c>
      <c r="Z2262" s="1128" t="s">
        <v>3381</v>
      </c>
      <c r="AA2262" s="1128" t="s">
        <v>3384</v>
      </c>
      <c r="AB2262" s="20"/>
      <c r="AC2262" s="73"/>
    </row>
    <row r="2263" spans="1:29">
      <c r="A2263" s="327" t="str">
        <f>IF(AND($B2263&lt;&gt;"",$C2263&lt;&gt;""),MAX($A$1556:A2253)+1,"")</f>
        <v/>
      </c>
      <c r="B2263" s="361" t="s">
        <v>2003</v>
      </c>
      <c r="C2263" s="360"/>
      <c r="D2263" s="327">
        <f>IF($B2263="","",COUNTIF($B$6:$B2263,$B2263))</f>
        <v>9</v>
      </c>
      <c r="E2263" s="426" t="s">
        <v>2580</v>
      </c>
      <c r="F2263" s="429" t="s">
        <v>197</v>
      </c>
      <c r="G2263" s="425" t="s">
        <v>344</v>
      </c>
      <c r="H2263" s="327" t="s">
        <v>536</v>
      </c>
      <c r="I2263" s="327">
        <v>1</v>
      </c>
      <c r="J2263" s="361"/>
      <c r="K2263" s="327"/>
      <c r="L2263" s="389">
        <f>410000-3</f>
        <v>409997</v>
      </c>
      <c r="M2263" s="371"/>
      <c r="N2263" s="355" t="str">
        <f t="shared" ref="N2263:N2277" si="266">+$N$1555</f>
        <v>PK</v>
      </c>
      <c r="O2263" s="359" t="s">
        <v>1626</v>
      </c>
      <c r="P2263" s="361"/>
      <c r="Q2263" s="327"/>
      <c r="R2263" s="351"/>
      <c r="S2263" s="351"/>
      <c r="T2263" s="351"/>
      <c r="U2263" s="329" t="str">
        <f>IF($N2263=$N$4,IFERROR(INDEX(DanhMuc!$E$154:$E$165,MATCH(MID($B2263,4,2),DanhMuc!$B$154:$B$165,0)),""),"")</f>
        <v/>
      </c>
      <c r="V2263" s="361"/>
      <c r="W2263" s="345"/>
      <c r="X2263" s="329" t="str">
        <f t="shared" si="261"/>
        <v>KL</v>
      </c>
      <c r="Y2263" s="1128" t="s">
        <v>3380</v>
      </c>
      <c r="Z2263" s="1128" t="s">
        <v>3381</v>
      </c>
      <c r="AA2263" s="1128" t="s">
        <v>3384</v>
      </c>
      <c r="AB2263" s="20"/>
      <c r="AC2263" s="73"/>
    </row>
    <row r="2264" spans="1:29">
      <c r="A2264" s="327" t="str">
        <f>IF(AND($B2264&lt;&gt;"",$C2264&lt;&gt;""),MAX($A$1556:A2253)+1,"")</f>
        <v/>
      </c>
      <c r="B2264" s="361" t="s">
        <v>2003</v>
      </c>
      <c r="C2264" s="360"/>
      <c r="D2264" s="327">
        <f>IF($B2264="","",COUNTIF($B$6:$B2264,$B2264))</f>
        <v>10</v>
      </c>
      <c r="E2264" s="426" t="s">
        <v>2581</v>
      </c>
      <c r="F2264" s="429" t="s">
        <v>1800</v>
      </c>
      <c r="G2264" s="425" t="s">
        <v>155</v>
      </c>
      <c r="H2264" s="327" t="s">
        <v>536</v>
      </c>
      <c r="I2264" s="327">
        <v>1</v>
      </c>
      <c r="J2264" s="361"/>
      <c r="K2264" s="327"/>
      <c r="L2264" s="389">
        <v>1</v>
      </c>
      <c r="M2264" s="371"/>
      <c r="N2264" s="355" t="str">
        <f t="shared" si="266"/>
        <v>PK</v>
      </c>
      <c r="O2264" s="401" t="s">
        <v>2706</v>
      </c>
      <c r="P2264" s="361"/>
      <c r="Q2264" s="327"/>
      <c r="R2264" s="351"/>
      <c r="S2264" s="351"/>
      <c r="T2264" s="351"/>
      <c r="U2264" s="329" t="str">
        <f>IF($N2264=$N$4,IFERROR(INDEX(DanhMuc!$E$154:$E$165,MATCH(MID($B2264,4,2),DanhMuc!$B$154:$B$165,0)),""),"")</f>
        <v/>
      </c>
      <c r="V2264" s="361"/>
      <c r="W2264" s="345"/>
      <c r="X2264" s="329" t="str">
        <f t="shared" si="261"/>
        <v>KL</v>
      </c>
      <c r="Y2264" s="1128" t="s">
        <v>3380</v>
      </c>
      <c r="Z2264" s="1128" t="s">
        <v>3381</v>
      </c>
      <c r="AA2264" s="1128" t="s">
        <v>3384</v>
      </c>
      <c r="AB2264" s="20"/>
      <c r="AC2264" s="73"/>
    </row>
    <row r="2265" spans="1:29">
      <c r="A2265" s="327" t="str">
        <f>IF(AND($B2265&lt;&gt;"",$C2265&lt;&gt;""),MAX($A$1556:A2255)+1,"")</f>
        <v/>
      </c>
      <c r="B2265" s="361" t="s">
        <v>2003</v>
      </c>
      <c r="C2265" s="360"/>
      <c r="D2265" s="327">
        <f>IF($B2265="","",COUNTIF($B$6:$B2265,$B2265))</f>
        <v>11</v>
      </c>
      <c r="E2265" s="426" t="s">
        <v>2586</v>
      </c>
      <c r="F2265" s="429" t="s">
        <v>2118</v>
      </c>
      <c r="G2265" s="425" t="s">
        <v>155</v>
      </c>
      <c r="H2265" s="327" t="s">
        <v>536</v>
      </c>
      <c r="I2265" s="327">
        <v>1</v>
      </c>
      <c r="J2265" s="361"/>
      <c r="K2265" s="327"/>
      <c r="L2265" s="389">
        <v>1</v>
      </c>
      <c r="M2265" s="371"/>
      <c r="N2265" s="355" t="str">
        <f t="shared" si="266"/>
        <v>PK</v>
      </c>
      <c r="O2265" s="359" t="s">
        <v>1626</v>
      </c>
      <c r="P2265" s="361"/>
      <c r="Q2265" s="327"/>
      <c r="R2265" s="351"/>
      <c r="S2265" s="351"/>
      <c r="T2265" s="351"/>
      <c r="U2265" s="329" t="str">
        <f>IF($N2265=$N$4,IFERROR(INDEX(DanhMuc!$E$154:$E$165,MATCH(MID($B2265,4,2),DanhMuc!$B$154:$B$165,0)),""),"")</f>
        <v/>
      </c>
      <c r="V2265" s="361"/>
      <c r="W2265" s="345"/>
      <c r="X2265" s="329" t="str">
        <f t="shared" si="261"/>
        <v>KL</v>
      </c>
      <c r="Y2265" s="1128" t="s">
        <v>3380</v>
      </c>
      <c r="Z2265" s="1128" t="s">
        <v>3381</v>
      </c>
      <c r="AA2265" s="1128" t="s">
        <v>3384</v>
      </c>
      <c r="AB2265" s="20"/>
      <c r="AC2265" s="73"/>
    </row>
    <row r="2266" spans="1:29">
      <c r="A2266" s="327" t="str">
        <f>IF(AND($B2266&lt;&gt;"",$C2266&lt;&gt;""),MAX($A$1556:A2256)+1,"")</f>
        <v/>
      </c>
      <c r="B2266" s="361" t="s">
        <v>2003</v>
      </c>
      <c r="C2266" s="360"/>
      <c r="D2266" s="327">
        <f>IF($B2266="","",COUNTIF($B$6:$B2266,$B2266))</f>
        <v>12</v>
      </c>
      <c r="E2266" s="361" t="s">
        <v>2116</v>
      </c>
      <c r="F2266" s="362" t="s">
        <v>1805</v>
      </c>
      <c r="G2266" s="327" t="s">
        <v>155</v>
      </c>
      <c r="H2266" s="327"/>
      <c r="I2266" s="327">
        <v>3</v>
      </c>
      <c r="J2266" s="361"/>
      <c r="K2266" s="327"/>
      <c r="L2266" s="389">
        <v>56000</v>
      </c>
      <c r="M2266" s="371"/>
      <c r="N2266" s="355" t="str">
        <f t="shared" si="266"/>
        <v>PK</v>
      </c>
      <c r="O2266" s="345" t="s">
        <v>17</v>
      </c>
      <c r="P2266" s="361"/>
      <c r="Q2266" s="327"/>
      <c r="R2266" s="351"/>
      <c r="S2266" s="351"/>
      <c r="T2266" s="351"/>
      <c r="U2266" s="329" t="str">
        <f>IF($N2266=$N$4,IFERROR(INDEX(DanhMuc!$E$154:$E$165,MATCH(MID($B2266,4,2),DanhMuc!$B$154:$B$165,0)),""),"")</f>
        <v/>
      </c>
      <c r="V2266" s="361"/>
      <c r="W2266" s="345"/>
      <c r="X2266" s="329" t="str">
        <f t="shared" si="261"/>
        <v>KL</v>
      </c>
      <c r="Y2266" s="1128" t="s">
        <v>3380</v>
      </c>
      <c r="Z2266" s="1128" t="s">
        <v>3381</v>
      </c>
      <c r="AA2266" s="1128" t="s">
        <v>3384</v>
      </c>
      <c r="AB2266" s="20"/>
      <c r="AC2266" s="73"/>
    </row>
    <row r="2267" spans="1:29">
      <c r="A2267" s="327" t="str">
        <f>IF(AND($B2267&lt;&gt;"",$C2267&lt;&gt;""),MAX($A$1556:A2257)+1,"")</f>
        <v/>
      </c>
      <c r="B2267" s="361" t="s">
        <v>2003</v>
      </c>
      <c r="C2267" s="360"/>
      <c r="D2267" s="327">
        <f>IF($B2267="","",COUNTIF($B$6:$B2267,$B2267))</f>
        <v>13</v>
      </c>
      <c r="E2267" s="361" t="s">
        <v>2117</v>
      </c>
      <c r="F2267" s="362" t="s">
        <v>1804</v>
      </c>
      <c r="G2267" s="327" t="s">
        <v>155</v>
      </c>
      <c r="H2267" s="327"/>
      <c r="I2267" s="327">
        <v>3</v>
      </c>
      <c r="J2267" s="361"/>
      <c r="K2267" s="327"/>
      <c r="L2267" s="389">
        <v>56000</v>
      </c>
      <c r="M2267" s="371"/>
      <c r="N2267" s="355" t="str">
        <f t="shared" si="266"/>
        <v>PK</v>
      </c>
      <c r="O2267" s="345" t="s">
        <v>17</v>
      </c>
      <c r="P2267" s="361"/>
      <c r="Q2267" s="327"/>
      <c r="R2267" s="351"/>
      <c r="S2267" s="351"/>
      <c r="T2267" s="351"/>
      <c r="U2267" s="329" t="str">
        <f>IF($N2267=$N$4,IFERROR(INDEX(DanhMuc!$E$154:$E$165,MATCH(MID($B2267,4,2),DanhMuc!$B$154:$B$165,0)),""),"")</f>
        <v/>
      </c>
      <c r="V2267" s="361"/>
      <c r="W2267" s="345"/>
      <c r="X2267" s="329" t="str">
        <f t="shared" si="261"/>
        <v>KL</v>
      </c>
      <c r="Y2267" s="1128" t="s">
        <v>3380</v>
      </c>
      <c r="Z2267" s="1128" t="s">
        <v>3381</v>
      </c>
      <c r="AA2267" s="1128" t="s">
        <v>3384</v>
      </c>
      <c r="AB2267" s="20"/>
      <c r="AC2267" s="73"/>
    </row>
    <row r="2268" spans="1:29">
      <c r="A2268" s="327" t="str">
        <f>IF(AND($B2268&lt;&gt;"",$C2268&lt;&gt;""),MAX($A$1556:A2258)+1,"")</f>
        <v/>
      </c>
      <c r="B2268" s="361" t="s">
        <v>2003</v>
      </c>
      <c r="C2268" s="360"/>
      <c r="D2268" s="327">
        <f>IF($B2268="","",COUNTIF($B$6:$B2268,$B2268))</f>
        <v>14</v>
      </c>
      <c r="E2268" s="361" t="s">
        <v>2121</v>
      </c>
      <c r="F2268" s="362" t="s">
        <v>1910</v>
      </c>
      <c r="G2268" s="327" t="s">
        <v>155</v>
      </c>
      <c r="H2268" s="327"/>
      <c r="I2268" s="327">
        <v>3</v>
      </c>
      <c r="J2268" s="361"/>
      <c r="K2268" s="327"/>
      <c r="L2268" s="389">
        <v>59000</v>
      </c>
      <c r="M2268" s="371"/>
      <c r="N2268" s="355" t="str">
        <f t="shared" si="266"/>
        <v>PK</v>
      </c>
      <c r="O2268" s="345" t="s">
        <v>17</v>
      </c>
      <c r="P2268" s="361"/>
      <c r="Q2268" s="327"/>
      <c r="R2268" s="351"/>
      <c r="S2268" s="351"/>
      <c r="T2268" s="351"/>
      <c r="U2268" s="329" t="str">
        <f>IF($N2268=$N$4,IFERROR(INDEX(DanhMuc!$E$154:$E$165,MATCH(MID($B2268,4,2),DanhMuc!$B$154:$B$165,0)),""),"")</f>
        <v/>
      </c>
      <c r="V2268" s="361"/>
      <c r="W2268" s="345"/>
      <c r="X2268" s="329" t="str">
        <f t="shared" si="261"/>
        <v>KL</v>
      </c>
      <c r="Y2268" s="1128" t="s">
        <v>3380</v>
      </c>
      <c r="Z2268" s="1128" t="s">
        <v>3381</v>
      </c>
      <c r="AA2268" s="1128" t="s">
        <v>3384</v>
      </c>
      <c r="AB2268" s="20"/>
      <c r="AC2268" s="73"/>
    </row>
    <row r="2269" spans="1:29">
      <c r="A2269" s="327" t="str">
        <f>IF(AND($B2269&lt;&gt;"",$C2269&lt;&gt;""),MAX($A$1556:A2259)+1,"")</f>
        <v/>
      </c>
      <c r="B2269" s="361" t="s">
        <v>2003</v>
      </c>
      <c r="C2269" s="360"/>
      <c r="D2269" s="327">
        <f>IF($B2269="","",COUNTIF($B$6:$B2269,$B2269))</f>
        <v>15</v>
      </c>
      <c r="E2269" s="361" t="s">
        <v>2122</v>
      </c>
      <c r="F2269" s="362" t="s">
        <v>1911</v>
      </c>
      <c r="G2269" s="327" t="s">
        <v>155</v>
      </c>
      <c r="H2269" s="327"/>
      <c r="I2269" s="327">
        <v>3</v>
      </c>
      <c r="J2269" s="361"/>
      <c r="K2269" s="327"/>
      <c r="L2269" s="389">
        <v>59000</v>
      </c>
      <c r="M2269" s="371"/>
      <c r="N2269" s="355" t="str">
        <f t="shared" si="266"/>
        <v>PK</v>
      </c>
      <c r="O2269" s="345" t="s">
        <v>17</v>
      </c>
      <c r="P2269" s="361"/>
      <c r="Q2269" s="327"/>
      <c r="R2269" s="351"/>
      <c r="S2269" s="351"/>
      <c r="T2269" s="351"/>
      <c r="U2269" s="329" t="str">
        <f>IF($N2269=$N$4,IFERROR(INDEX(DanhMuc!$E$154:$E$165,MATCH(MID($B2269,4,2),DanhMuc!$B$154:$B$165,0)),""),"")</f>
        <v/>
      </c>
      <c r="V2269" s="361"/>
      <c r="W2269" s="345"/>
      <c r="X2269" s="329" t="str">
        <f t="shared" si="261"/>
        <v>KL</v>
      </c>
      <c r="Y2269" s="1128" t="s">
        <v>3380</v>
      </c>
      <c r="Z2269" s="1128" t="s">
        <v>3381</v>
      </c>
      <c r="AA2269" s="1128" t="s">
        <v>3384</v>
      </c>
      <c r="AB2269" s="20"/>
      <c r="AC2269" s="73"/>
    </row>
    <row r="2270" spans="1:29">
      <c r="A2270" s="327" t="str">
        <f>IF(AND($B2270&lt;&gt;"",$C2270&lt;&gt;""),MAX($A$1556:A2258)+1,"")</f>
        <v/>
      </c>
      <c r="B2270" s="361" t="s">
        <v>2003</v>
      </c>
      <c r="C2270" s="360"/>
      <c r="D2270" s="327">
        <f>IF($B2270="","",COUNTIF($B$6:$B2270,$B2270))</f>
        <v>16</v>
      </c>
      <c r="E2270" s="361" t="s">
        <v>2587</v>
      </c>
      <c r="F2270" s="362" t="s">
        <v>1931</v>
      </c>
      <c r="G2270" s="327" t="s">
        <v>155</v>
      </c>
      <c r="H2270" s="327"/>
      <c r="I2270" s="327">
        <v>3</v>
      </c>
      <c r="J2270" s="361"/>
      <c r="K2270" s="327"/>
      <c r="L2270" s="389">
        <v>66000</v>
      </c>
      <c r="M2270" s="371"/>
      <c r="N2270" s="355" t="str">
        <f t="shared" si="266"/>
        <v>PK</v>
      </c>
      <c r="O2270" s="345" t="s">
        <v>21</v>
      </c>
      <c r="P2270" s="361"/>
      <c r="Q2270" s="327"/>
      <c r="R2270" s="351"/>
      <c r="S2270" s="351"/>
      <c r="T2270" s="351"/>
      <c r="U2270" s="329" t="str">
        <f>IF($N2270=$N$4,IFERROR(INDEX(DanhMuc!$E$154:$E$165,MATCH(MID($B2270,4,2),DanhMuc!$B$154:$B$165,0)),""),"")</f>
        <v/>
      </c>
      <c r="V2270" s="361"/>
      <c r="W2270" s="345"/>
      <c r="X2270" s="329" t="str">
        <f t="shared" si="261"/>
        <v>KL</v>
      </c>
      <c r="Y2270" s="1128" t="s">
        <v>3380</v>
      </c>
      <c r="Z2270" s="1128" t="s">
        <v>3381</v>
      </c>
      <c r="AA2270" s="1128" t="s">
        <v>3384</v>
      </c>
      <c r="AB2270" s="20"/>
      <c r="AC2270" s="73"/>
    </row>
    <row r="2271" spans="1:29">
      <c r="A2271" s="327" t="str">
        <f>IF(AND($B2271&lt;&gt;"",$C2271&lt;&gt;""),MAX($A$1556:A2259)+1,"")</f>
        <v/>
      </c>
      <c r="B2271" s="361" t="s">
        <v>2003</v>
      </c>
      <c r="C2271" s="360"/>
      <c r="D2271" s="327">
        <f>IF($B2271="","",COUNTIF($B$6:$B2271,$B2271))</f>
        <v>17</v>
      </c>
      <c r="E2271" s="361" t="s">
        <v>2588</v>
      </c>
      <c r="F2271" s="362" t="s">
        <v>1933</v>
      </c>
      <c r="G2271" s="327" t="s">
        <v>155</v>
      </c>
      <c r="H2271" s="327"/>
      <c r="I2271" s="327">
        <v>3</v>
      </c>
      <c r="J2271" s="361"/>
      <c r="K2271" s="327"/>
      <c r="L2271" s="389">
        <v>66000</v>
      </c>
      <c r="M2271" s="371"/>
      <c r="N2271" s="355" t="str">
        <f t="shared" si="266"/>
        <v>PK</v>
      </c>
      <c r="O2271" s="345" t="s">
        <v>21</v>
      </c>
      <c r="P2271" s="361"/>
      <c r="Q2271" s="327"/>
      <c r="R2271" s="351"/>
      <c r="S2271" s="351"/>
      <c r="T2271" s="351"/>
      <c r="U2271" s="329" t="str">
        <f>IF($N2271=$N$4,IFERROR(INDEX(DanhMuc!$E$154:$E$165,MATCH(MID($B2271,4,2),DanhMuc!$B$154:$B$165,0)),""),"")</f>
        <v/>
      </c>
      <c r="V2271" s="361"/>
      <c r="W2271" s="345"/>
      <c r="X2271" s="329" t="str">
        <f t="shared" si="261"/>
        <v>KL</v>
      </c>
      <c r="Y2271" s="1128" t="s">
        <v>3380</v>
      </c>
      <c r="Z2271" s="1128" t="s">
        <v>3381</v>
      </c>
      <c r="AA2271" s="1128" t="s">
        <v>3384</v>
      </c>
      <c r="AB2271" s="20"/>
      <c r="AC2271" s="73"/>
    </row>
    <row r="2272" spans="1:29">
      <c r="A2272" s="327" t="str">
        <f>IF(AND($B2272&lt;&gt;"",$C2272&lt;&gt;""),MAX($A$1556:A2260)+1,"")</f>
        <v/>
      </c>
      <c r="B2272" s="361" t="s">
        <v>2003</v>
      </c>
      <c r="C2272" s="360"/>
      <c r="D2272" s="327">
        <f>IF($B2272="","",COUNTIF($B$6:$B2272,$B2272))</f>
        <v>18</v>
      </c>
      <c r="E2272" s="361" t="s">
        <v>2589</v>
      </c>
      <c r="F2272" s="362" t="s">
        <v>1932</v>
      </c>
      <c r="G2272" s="327" t="s">
        <v>155</v>
      </c>
      <c r="H2272" s="327"/>
      <c r="I2272" s="327">
        <v>3</v>
      </c>
      <c r="J2272" s="361"/>
      <c r="K2272" s="327"/>
      <c r="L2272" s="389">
        <v>66000</v>
      </c>
      <c r="M2272" s="371"/>
      <c r="N2272" s="355" t="str">
        <f t="shared" si="266"/>
        <v>PK</v>
      </c>
      <c r="O2272" s="345" t="s">
        <v>21</v>
      </c>
      <c r="P2272" s="361"/>
      <c r="Q2272" s="327"/>
      <c r="R2272" s="351"/>
      <c r="S2272" s="351"/>
      <c r="T2272" s="351"/>
      <c r="U2272" s="329" t="str">
        <f>IF($N2272=$N$4,IFERROR(INDEX(DanhMuc!$E$154:$E$165,MATCH(MID($B2272,4,2),DanhMuc!$B$154:$B$165,0)),""),"")</f>
        <v/>
      </c>
      <c r="V2272" s="361"/>
      <c r="W2272" s="345"/>
      <c r="X2272" s="329" t="str">
        <f t="shared" si="261"/>
        <v>KL</v>
      </c>
      <c r="Y2272" s="1128" t="s">
        <v>3380</v>
      </c>
      <c r="Z2272" s="1128" t="s">
        <v>3381</v>
      </c>
      <c r="AA2272" s="1128" t="s">
        <v>3384</v>
      </c>
      <c r="AB2272" s="20"/>
      <c r="AC2272" s="73"/>
    </row>
    <row r="2273" spans="1:29">
      <c r="A2273" s="327" t="str">
        <f>IF(AND($B2273&lt;&gt;"",$C2273&lt;&gt;""),MAX($A$1556:A2261)+1,"")</f>
        <v/>
      </c>
      <c r="B2273" s="361" t="s">
        <v>2003</v>
      </c>
      <c r="C2273" s="360"/>
      <c r="D2273" s="327">
        <f>IF($B2273="","",COUNTIF($B$6:$B2273,$B2273))</f>
        <v>19</v>
      </c>
      <c r="E2273" s="361" t="s">
        <v>2590</v>
      </c>
      <c r="F2273" s="362" t="s">
        <v>1934</v>
      </c>
      <c r="G2273" s="327" t="s">
        <v>155</v>
      </c>
      <c r="H2273" s="327"/>
      <c r="I2273" s="327">
        <v>3</v>
      </c>
      <c r="J2273" s="361"/>
      <c r="K2273" s="327"/>
      <c r="L2273" s="389">
        <v>66000</v>
      </c>
      <c r="M2273" s="371"/>
      <c r="N2273" s="355" t="str">
        <f t="shared" si="266"/>
        <v>PK</v>
      </c>
      <c r="O2273" s="345" t="s">
        <v>21</v>
      </c>
      <c r="P2273" s="361"/>
      <c r="Q2273" s="327"/>
      <c r="R2273" s="351"/>
      <c r="S2273" s="351"/>
      <c r="T2273" s="351"/>
      <c r="U2273" s="329" t="str">
        <f>IF($N2273=$N$4,IFERROR(INDEX(DanhMuc!$E$154:$E$165,MATCH(MID($B2273,4,2),DanhMuc!$B$154:$B$165,0)),""),"")</f>
        <v/>
      </c>
      <c r="V2273" s="361"/>
      <c r="W2273" s="345"/>
      <c r="X2273" s="329" t="str">
        <f t="shared" si="261"/>
        <v>KL</v>
      </c>
      <c r="Y2273" s="1128" t="s">
        <v>3380</v>
      </c>
      <c r="Z2273" s="1128" t="s">
        <v>3381</v>
      </c>
      <c r="AA2273" s="1128" t="s">
        <v>3384</v>
      </c>
      <c r="AB2273" s="20"/>
      <c r="AC2273" s="73"/>
    </row>
    <row r="2274" spans="1:29" s="25" customFormat="1">
      <c r="A2274" s="327" t="str">
        <f>IF(AND($B2274&lt;&gt;"",$C2274&lt;&gt;""),MAX($A$1556:A2260)+1,"")</f>
        <v/>
      </c>
      <c r="B2274" s="361" t="s">
        <v>2003</v>
      </c>
      <c r="C2274" s="360"/>
      <c r="D2274" s="327">
        <f>IF($B2274="","",COUNTIF($B$6:$B2274,$B2274))</f>
        <v>20</v>
      </c>
      <c r="E2274" s="361" t="s">
        <v>1909</v>
      </c>
      <c r="F2274" s="362" t="s">
        <v>1908</v>
      </c>
      <c r="G2274" s="327" t="s">
        <v>344</v>
      </c>
      <c r="H2274" s="327" t="s">
        <v>536</v>
      </c>
      <c r="I2274" s="327">
        <v>6</v>
      </c>
      <c r="J2274" s="361"/>
      <c r="K2274" s="327"/>
      <c r="L2274" s="389">
        <v>36000</v>
      </c>
      <c r="M2274" s="371"/>
      <c r="N2274" s="355" t="str">
        <f t="shared" si="266"/>
        <v>PK</v>
      </c>
      <c r="O2274" s="345"/>
      <c r="P2274" s="392"/>
      <c r="Q2274" s="327"/>
      <c r="R2274" s="351"/>
      <c r="S2274" s="351"/>
      <c r="T2274" s="351"/>
      <c r="U2274" s="329" t="str">
        <f>IF($N2274=$N$4,IFERROR(INDEX(DanhMuc!$E$154:$E$165,MATCH(MID($B2274,4,2),DanhMuc!$B$154:$B$165,0)),""),"")</f>
        <v/>
      </c>
      <c r="V2274" s="365"/>
      <c r="W2274" s="345"/>
      <c r="X2274" s="329" t="str">
        <f t="shared" si="261"/>
        <v>KL</v>
      </c>
      <c r="Y2274" s="1128" t="s">
        <v>3380</v>
      </c>
      <c r="Z2274" s="1128" t="s">
        <v>3381</v>
      </c>
      <c r="AA2274" s="1128" t="s">
        <v>3384</v>
      </c>
      <c r="AB2274" s="20"/>
      <c r="AC2274" s="73"/>
    </row>
    <row r="2275" spans="1:29" s="25" customFormat="1">
      <c r="A2275" s="327" t="str">
        <f>IF(AND($B2275&lt;&gt;"",$C2275&lt;&gt;""),MAX($A$1556:A2261)+1,"")</f>
        <v/>
      </c>
      <c r="B2275" s="361" t="s">
        <v>2003</v>
      </c>
      <c r="C2275" s="360"/>
      <c r="D2275" s="327">
        <f>IF($B2275="","",COUNTIF($B$6:$B2275,$B2275))</f>
        <v>21</v>
      </c>
      <c r="E2275" s="419" t="s">
        <v>2600</v>
      </c>
      <c r="F2275" s="417" t="s">
        <v>1801</v>
      </c>
      <c r="G2275" s="418" t="s">
        <v>155</v>
      </c>
      <c r="H2275" s="327" t="s">
        <v>536</v>
      </c>
      <c r="I2275" s="327">
        <v>3</v>
      </c>
      <c r="J2275" s="361"/>
      <c r="K2275" s="327"/>
      <c r="L2275" s="389">
        <v>8000</v>
      </c>
      <c r="M2275" s="371"/>
      <c r="N2275" s="355" t="str">
        <f t="shared" si="266"/>
        <v>PK</v>
      </c>
      <c r="O2275" s="345"/>
      <c r="P2275" s="392"/>
      <c r="Q2275" s="327"/>
      <c r="R2275" s="351"/>
      <c r="S2275" s="351"/>
      <c r="T2275" s="351"/>
      <c r="U2275" s="329" t="str">
        <f>IF($N2275=$N$4,IFERROR(INDEX(DanhMuc!$E$154:$E$165,MATCH(MID($B2275,4,2),DanhMuc!$B$154:$B$165,0)),""),"")</f>
        <v/>
      </c>
      <c r="V2275" s="365"/>
      <c r="W2275" s="345"/>
      <c r="X2275" s="329" t="str">
        <f t="shared" si="261"/>
        <v>KL</v>
      </c>
      <c r="Y2275" s="1128" t="s">
        <v>3380</v>
      </c>
      <c r="Z2275" s="1128" t="s">
        <v>3381</v>
      </c>
      <c r="AA2275" s="1128" t="s">
        <v>3384</v>
      </c>
      <c r="AB2275" s="20"/>
      <c r="AC2275" s="73"/>
    </row>
    <row r="2276" spans="1:29">
      <c r="A2276" s="327" t="str">
        <f>IF(AND($B2276&lt;&gt;"",$C2276&lt;&gt;""),MAX($A$1556:A2262)+1,"")</f>
        <v/>
      </c>
      <c r="B2276" s="361" t="s">
        <v>2003</v>
      </c>
      <c r="C2276" s="360"/>
      <c r="D2276" s="327">
        <f>IF($B2276="","",COUNTIF($B$6:$B2276,$B2276))</f>
        <v>22</v>
      </c>
      <c r="E2276" s="361" t="s">
        <v>678</v>
      </c>
      <c r="F2276" s="362" t="s">
        <v>711</v>
      </c>
      <c r="G2276" s="327" t="s">
        <v>155</v>
      </c>
      <c r="H2276" s="327"/>
      <c r="I2276" s="327">
        <v>3</v>
      </c>
      <c r="J2276" s="361"/>
      <c r="K2276" s="327"/>
      <c r="L2276" s="389">
        <v>1250</v>
      </c>
      <c r="M2276" s="371"/>
      <c r="N2276" s="355" t="str">
        <f t="shared" si="266"/>
        <v>PK</v>
      </c>
      <c r="O2276" s="345"/>
      <c r="P2276" s="392"/>
      <c r="Q2276" s="327"/>
      <c r="R2276" s="351"/>
      <c r="S2276" s="351"/>
      <c r="T2276" s="351"/>
      <c r="U2276" s="329" t="str">
        <f>IF($N2276=$N$4,IFERROR(INDEX(DanhMuc!$E$154:$E$165,MATCH(MID($B2276,4,2),DanhMuc!$B$154:$B$165,0)),""),"")</f>
        <v/>
      </c>
      <c r="V2276" s="361"/>
      <c r="W2276" s="345"/>
      <c r="X2276" s="329" t="str">
        <f t="shared" si="261"/>
        <v>KL</v>
      </c>
      <c r="Y2276" s="1128" t="s">
        <v>3380</v>
      </c>
      <c r="Z2276" s="1128" t="s">
        <v>3381</v>
      </c>
      <c r="AA2276" s="1128" t="s">
        <v>3384</v>
      </c>
      <c r="AB2276" s="20"/>
      <c r="AC2276" s="73"/>
    </row>
    <row r="2277" spans="1:29">
      <c r="A2277" s="327" t="str">
        <f>IF(AND($B2277&lt;&gt;"",$C2277&lt;&gt;""),MAX($A$1556:A2262)+1,"")</f>
        <v/>
      </c>
      <c r="B2277" s="361" t="s">
        <v>2003</v>
      </c>
      <c r="C2277" s="360"/>
      <c r="D2277" s="327">
        <f>IF($B2277="","",COUNTIF($B$6:$B2277,$B2277))</f>
        <v>23</v>
      </c>
      <c r="E2277" s="361" t="s">
        <v>679</v>
      </c>
      <c r="F2277" s="362" t="s">
        <v>712</v>
      </c>
      <c r="G2277" s="327" t="s">
        <v>155</v>
      </c>
      <c r="H2277" s="327"/>
      <c r="I2277" s="327">
        <v>3</v>
      </c>
      <c r="J2277" s="361"/>
      <c r="K2277" s="327"/>
      <c r="L2277" s="389">
        <v>1250</v>
      </c>
      <c r="M2277" s="371"/>
      <c r="N2277" s="355" t="str">
        <f t="shared" si="266"/>
        <v>PK</v>
      </c>
      <c r="O2277" s="345"/>
      <c r="P2277" s="392"/>
      <c r="Q2277" s="327"/>
      <c r="R2277" s="351"/>
      <c r="S2277" s="351"/>
      <c r="T2277" s="351"/>
      <c r="U2277" s="329" t="str">
        <f>IF($N2277=$N$4,IFERROR(INDEX(DanhMuc!$E$154:$E$165,MATCH(MID($B2277,4,2),DanhMuc!$B$154:$B$165,0)),""),"")</f>
        <v/>
      </c>
      <c r="V2277" s="361"/>
      <c r="W2277" s="345"/>
      <c r="X2277" s="329" t="str">
        <f t="shared" si="261"/>
        <v>KL</v>
      </c>
      <c r="Y2277" s="1128" t="s">
        <v>3380</v>
      </c>
      <c r="Z2277" s="1128" t="s">
        <v>3381</v>
      </c>
      <c r="AA2277" s="1128" t="s">
        <v>3384</v>
      </c>
      <c r="AB2277" s="20"/>
      <c r="AC2277" s="73"/>
    </row>
    <row r="2278" spans="1:29">
      <c r="A2278" s="327" t="str">
        <f>IF(AND($B2278&lt;&gt;"",$C2278&lt;&gt;""),MAX($A$1556:A2263)+1,"")</f>
        <v/>
      </c>
      <c r="B2278" s="361" t="s">
        <v>2003</v>
      </c>
      <c r="C2278" s="360"/>
      <c r="D2278" s="327">
        <f>IF($B2278="","",COUNTIF($B$6:$B2278,$B2278))</f>
        <v>24</v>
      </c>
      <c r="E2278" s="361" t="s">
        <v>986</v>
      </c>
      <c r="F2278" s="362" t="s">
        <v>985</v>
      </c>
      <c r="G2278" s="327" t="s">
        <v>297</v>
      </c>
      <c r="H2278" s="327"/>
      <c r="I2278" s="327">
        <v>8</v>
      </c>
      <c r="J2278" s="359"/>
      <c r="K2278" s="327"/>
      <c r="L2278" s="389">
        <v>2450</v>
      </c>
      <c r="M2278" s="371"/>
      <c r="N2278" s="355" t="str">
        <f t="shared" ref="N2278:N2307" si="267">+$N$1555</f>
        <v>PK</v>
      </c>
      <c r="O2278" s="342" t="s">
        <v>1475</v>
      </c>
      <c r="P2278" s="392"/>
      <c r="Q2278" s="327"/>
      <c r="R2278" s="351"/>
      <c r="S2278" s="351"/>
      <c r="T2278" s="351"/>
      <c r="U2278" s="329" t="str">
        <f>IF($N2278=$N$4,IFERROR(INDEX(DanhMuc!$E$154:$E$165,MATCH(MID($B2278,4,2),DanhMuc!$B$154:$B$165,0)),""),"")</f>
        <v/>
      </c>
      <c r="V2278" s="408" t="s">
        <v>343</v>
      </c>
      <c r="W2278" s="345"/>
      <c r="X2278" s="329" t="str">
        <f t="shared" ref="X2278:X2377" si="268">IF($N2278="PR",$E2278,MID($B2278,10,2))</f>
        <v>KL</v>
      </c>
      <c r="Y2278" s="1128" t="s">
        <v>3380</v>
      </c>
      <c r="Z2278" s="1128" t="s">
        <v>3381</v>
      </c>
      <c r="AA2278" s="1128" t="s">
        <v>3384</v>
      </c>
      <c r="AB2278" s="20"/>
      <c r="AC2278" s="73"/>
    </row>
    <row r="2279" spans="1:29">
      <c r="A2279" s="327" t="str">
        <f>IF(AND($B2279&lt;&gt;"",$C2279&lt;&gt;""),MAX($A$1556:A2277)+1,"")</f>
        <v/>
      </c>
      <c r="B2279" s="361" t="s">
        <v>2003</v>
      </c>
      <c r="C2279" s="360"/>
      <c r="D2279" s="327">
        <f>IF($B2279="","",COUNTIF($B$6:$B2279,$B2279))</f>
        <v>25</v>
      </c>
      <c r="E2279" s="361" t="s">
        <v>1444</v>
      </c>
      <c r="F2279" s="362" t="s">
        <v>2356</v>
      </c>
      <c r="G2279" s="327" t="s">
        <v>297</v>
      </c>
      <c r="H2279" s="327"/>
      <c r="I2279" s="327">
        <v>2</v>
      </c>
      <c r="J2279" s="345"/>
      <c r="K2279" s="327"/>
      <c r="L2279" s="389">
        <v>17000</v>
      </c>
      <c r="M2279" s="371"/>
      <c r="N2279" s="355" t="str">
        <f t="shared" si="267"/>
        <v>PK</v>
      </c>
      <c r="O2279" s="347"/>
      <c r="P2279" s="392"/>
      <c r="Q2279" s="327"/>
      <c r="R2279" s="351"/>
      <c r="S2279" s="351"/>
      <c r="T2279" s="351"/>
      <c r="U2279" s="329" t="str">
        <f>IF($N2279=$N$4,IFERROR(INDEX(DanhMuc!$E$154:$E$165,MATCH(MID($B2279,4,2),DanhMuc!$B$154:$B$165,0)),""),"")</f>
        <v/>
      </c>
      <c r="V2279" s="408" t="s">
        <v>343</v>
      </c>
      <c r="W2279" s="345"/>
      <c r="X2279" s="329" t="str">
        <f t="shared" si="268"/>
        <v>KL</v>
      </c>
      <c r="Y2279" s="1128" t="s">
        <v>3380</v>
      </c>
      <c r="Z2279" s="1128" t="s">
        <v>3381</v>
      </c>
      <c r="AA2279" s="1128" t="s">
        <v>3384</v>
      </c>
      <c r="AB2279" s="20"/>
      <c r="AC2279" s="73"/>
    </row>
    <row r="2280" spans="1:29" ht="39">
      <c r="A2280" s="327">
        <f>IF(AND($B2280&lt;&gt;"",$C2280&lt;&gt;""),MAX($A$1556:A2259)+1,"")</f>
        <v>130</v>
      </c>
      <c r="B2280" s="359" t="s">
        <v>2004</v>
      </c>
      <c r="C2280" s="360" t="s">
        <v>1879</v>
      </c>
      <c r="D2280" s="327">
        <f>IF($B2280="","",COUNTIF($B$6:$B2280,$B2280))</f>
        <v>1</v>
      </c>
      <c r="E2280" s="361" t="s">
        <v>2123</v>
      </c>
      <c r="F2280" s="362" t="s">
        <v>2564</v>
      </c>
      <c r="G2280" s="327" t="s">
        <v>297</v>
      </c>
      <c r="H2280" s="327"/>
      <c r="I2280" s="327">
        <v>1</v>
      </c>
      <c r="J2280" s="345"/>
      <c r="K2280" s="327"/>
      <c r="L2280" s="389">
        <v>115000</v>
      </c>
      <c r="M2280" s="371"/>
      <c r="N2280" s="355" t="str">
        <f t="shared" si="267"/>
        <v>PK</v>
      </c>
      <c r="O2280" s="404" t="s">
        <v>2560</v>
      </c>
      <c r="P2280" s="392"/>
      <c r="Q2280" s="327"/>
      <c r="R2280" s="351"/>
      <c r="S2280" s="351"/>
      <c r="T2280" s="351"/>
      <c r="U2280" s="329" t="str">
        <f>IF($N2280=$N$4,IFERROR(INDEX(DanhMuc!$E$154:$E$165,MATCH(MID($B2280,4,2),DanhMuc!$B$154:$B$165,0)),""),"")</f>
        <v/>
      </c>
      <c r="V2280" s="361"/>
      <c r="W2280" s="345"/>
      <c r="X2280" s="329" t="str">
        <f t="shared" si="268"/>
        <v>KL</v>
      </c>
      <c r="Y2280" s="1128" t="s">
        <v>3380</v>
      </c>
      <c r="Z2280" s="1128" t="s">
        <v>3381</v>
      </c>
      <c r="AA2280" s="1128" t="s">
        <v>3384</v>
      </c>
      <c r="AB2280" s="20"/>
      <c r="AC2280" s="73"/>
    </row>
    <row r="2281" spans="1:29">
      <c r="A2281" s="327" t="str">
        <f>IF(AND($B2281&lt;&gt;"",$C2281&lt;&gt;""),MAX($A$1556:A2260)+1,"")</f>
        <v/>
      </c>
      <c r="B2281" s="361" t="s">
        <v>2004</v>
      </c>
      <c r="C2281" s="362"/>
      <c r="D2281" s="327">
        <f>IF($B2281="","",COUNTIF($B$6:$B2281,$B2281))</f>
        <v>2</v>
      </c>
      <c r="E2281" s="361" t="s">
        <v>2123</v>
      </c>
      <c r="F2281" s="362" t="s">
        <v>2565</v>
      </c>
      <c r="G2281" s="327" t="s">
        <v>297</v>
      </c>
      <c r="H2281" s="327"/>
      <c r="I2281" s="327">
        <v>1</v>
      </c>
      <c r="J2281" s="345"/>
      <c r="K2281" s="327"/>
      <c r="L2281" s="389">
        <v>115000</v>
      </c>
      <c r="M2281" s="371"/>
      <c r="N2281" s="355" t="str">
        <f t="shared" si="267"/>
        <v>PK</v>
      </c>
      <c r="O2281" s="404" t="s">
        <v>2561</v>
      </c>
      <c r="P2281" s="392"/>
      <c r="Q2281" s="327"/>
      <c r="R2281" s="351"/>
      <c r="S2281" s="351"/>
      <c r="T2281" s="351"/>
      <c r="U2281" s="329" t="str">
        <f>IF($N2281=$N$4,IFERROR(INDEX(DanhMuc!$E$154:$E$165,MATCH(MID($B2281,4,2),DanhMuc!$B$154:$B$165,0)),""),"")</f>
        <v/>
      </c>
      <c r="V2281" s="361"/>
      <c r="W2281" s="345"/>
      <c r="X2281" s="329" t="str">
        <f t="shared" si="268"/>
        <v>KL</v>
      </c>
      <c r="Y2281" s="1128" t="s">
        <v>3380</v>
      </c>
      <c r="Z2281" s="1128" t="s">
        <v>3381</v>
      </c>
      <c r="AA2281" s="1128" t="s">
        <v>3384</v>
      </c>
      <c r="AB2281" s="20"/>
      <c r="AC2281" s="73"/>
    </row>
    <row r="2282" spans="1:29">
      <c r="A2282" s="327" t="str">
        <f>IF(AND($B2282&lt;&gt;"",$C2282&lt;&gt;""),MAX($A$1556:A2261)+1,"")</f>
        <v/>
      </c>
      <c r="B2282" s="361" t="s">
        <v>2004</v>
      </c>
      <c r="C2282" s="362"/>
      <c r="D2282" s="327">
        <f>IF($B2282="","",COUNTIF($B$6:$B2282,$B2282))</f>
        <v>3</v>
      </c>
      <c r="E2282" s="361" t="s">
        <v>2125</v>
      </c>
      <c r="F2282" s="362" t="s">
        <v>2126</v>
      </c>
      <c r="G2282" s="327" t="s">
        <v>155</v>
      </c>
      <c r="H2282" s="327"/>
      <c r="I2282" s="327">
        <v>1</v>
      </c>
      <c r="J2282" s="345"/>
      <c r="K2282" s="327"/>
      <c r="L2282" s="389">
        <v>5000</v>
      </c>
      <c r="M2282" s="371"/>
      <c r="N2282" s="355" t="str">
        <f t="shared" si="267"/>
        <v>PK</v>
      </c>
      <c r="O2282" s="404" t="s">
        <v>1783</v>
      </c>
      <c r="P2282" s="392"/>
      <c r="Q2282" s="327"/>
      <c r="R2282" s="351"/>
      <c r="S2282" s="351"/>
      <c r="T2282" s="351"/>
      <c r="U2282" s="329" t="str">
        <f>IF($N2282=$N$4,IFERROR(INDEX(DanhMuc!$E$154:$E$165,MATCH(MID($B2282,4,2),DanhMuc!$B$154:$B$165,0)),""),"")</f>
        <v/>
      </c>
      <c r="V2282" s="361"/>
      <c r="W2282" s="345"/>
      <c r="X2282" s="329" t="str">
        <f t="shared" si="268"/>
        <v>KL</v>
      </c>
      <c r="Y2282" s="1128" t="s">
        <v>3380</v>
      </c>
      <c r="Z2282" s="1128" t="s">
        <v>3381</v>
      </c>
      <c r="AA2282" s="1128" t="s">
        <v>3384</v>
      </c>
      <c r="AB2282" s="20"/>
      <c r="AC2282" s="73"/>
    </row>
    <row r="2283" spans="1:29">
      <c r="A2283" s="327" t="str">
        <f>IF(AND($B2283&lt;&gt;"",$C2283&lt;&gt;""),MAX($A$1556:A2261)+1,"")</f>
        <v/>
      </c>
      <c r="B2283" s="361" t="s">
        <v>2004</v>
      </c>
      <c r="C2283" s="362"/>
      <c r="D2283" s="327">
        <f>IF($B2283="","",COUNTIF($B$6:$B2283,$B2283))</f>
        <v>4</v>
      </c>
      <c r="E2283" s="361" t="s">
        <v>2232</v>
      </c>
      <c r="F2283" s="362" t="s">
        <v>2127</v>
      </c>
      <c r="G2283" s="327" t="s">
        <v>155</v>
      </c>
      <c r="H2283" s="327"/>
      <c r="I2283" s="327">
        <v>1</v>
      </c>
      <c r="J2283" s="345"/>
      <c r="K2283" s="327"/>
      <c r="L2283" s="389">
        <v>35500</v>
      </c>
      <c r="M2283" s="371"/>
      <c r="N2283" s="355" t="str">
        <f t="shared" si="267"/>
        <v>PK</v>
      </c>
      <c r="O2283" s="345"/>
      <c r="P2283" s="392"/>
      <c r="Q2283" s="327"/>
      <c r="R2283" s="351"/>
      <c r="S2283" s="351"/>
      <c r="T2283" s="351"/>
      <c r="U2283" s="329" t="str">
        <f>IF($N2283=$N$4,IFERROR(INDEX(DanhMuc!$E$154:$E$165,MATCH(MID($B2283,4,2),DanhMuc!$B$154:$B$165,0)),""),"")</f>
        <v/>
      </c>
      <c r="V2283" s="361"/>
      <c r="W2283" s="345"/>
      <c r="X2283" s="329" t="str">
        <f t="shared" si="268"/>
        <v>KL</v>
      </c>
      <c r="Y2283" s="1128" t="s">
        <v>3380</v>
      </c>
      <c r="Z2283" s="1128" t="s">
        <v>3381</v>
      </c>
      <c r="AA2283" s="1128" t="s">
        <v>3384</v>
      </c>
      <c r="AB2283" s="20"/>
      <c r="AC2283" s="73"/>
    </row>
    <row r="2284" spans="1:29">
      <c r="A2284" s="327" t="str">
        <f>IF(AND($B2284&lt;&gt;"",$C2284&lt;&gt;""),MAX($A$1556:A2262)+1,"")</f>
        <v/>
      </c>
      <c r="B2284" s="361" t="s">
        <v>2004</v>
      </c>
      <c r="C2284" s="360"/>
      <c r="D2284" s="327">
        <f>IF($B2284="","",COUNTIF($B$6:$B2284,$B2284))</f>
        <v>5</v>
      </c>
      <c r="E2284" s="361" t="s">
        <v>2125</v>
      </c>
      <c r="F2284" s="362" t="s">
        <v>2126</v>
      </c>
      <c r="G2284" s="327" t="s">
        <v>155</v>
      </c>
      <c r="H2284" s="327"/>
      <c r="I2284" s="327">
        <v>1</v>
      </c>
      <c r="J2284" s="345"/>
      <c r="K2284" s="327"/>
      <c r="L2284" s="389">
        <v>5000</v>
      </c>
      <c r="M2284" s="371"/>
      <c r="N2284" s="355" t="str">
        <f t="shared" si="267"/>
        <v>PK</v>
      </c>
      <c r="O2284" s="345"/>
      <c r="P2284" s="392"/>
      <c r="Q2284" s="327"/>
      <c r="R2284" s="351"/>
      <c r="S2284" s="351"/>
      <c r="T2284" s="351"/>
      <c r="U2284" s="329" t="str">
        <f>IF($N2284=$N$4,IFERROR(INDEX(DanhMuc!$E$154:$E$165,MATCH(MID($B2284,4,2),DanhMuc!$B$154:$B$165,0)),""),"")</f>
        <v/>
      </c>
      <c r="V2284" s="361"/>
      <c r="W2284" s="345"/>
      <c r="X2284" s="329" t="str">
        <f t="shared" si="268"/>
        <v>KL</v>
      </c>
      <c r="Y2284" s="1128" t="s">
        <v>3380</v>
      </c>
      <c r="Z2284" s="1128" t="s">
        <v>3381</v>
      </c>
      <c r="AA2284" s="1128" t="s">
        <v>3384</v>
      </c>
      <c r="AB2284" s="20"/>
      <c r="AC2284" s="73"/>
    </row>
    <row r="2285" spans="1:29">
      <c r="A2285" s="327" t="str">
        <f>IF(AND($B2285&lt;&gt;"",$C2285&lt;&gt;""),MAX($A$1556:A2263)+1,"")</f>
        <v/>
      </c>
      <c r="B2285" s="361" t="s">
        <v>2004</v>
      </c>
      <c r="C2285" s="360"/>
      <c r="D2285" s="327">
        <f>IF($B2285="","",COUNTIF($B$6:$B2285,$B2285))</f>
        <v>6</v>
      </c>
      <c r="E2285" s="361" t="s">
        <v>2139</v>
      </c>
      <c r="F2285" s="362" t="s">
        <v>2137</v>
      </c>
      <c r="G2285" s="327" t="s">
        <v>155</v>
      </c>
      <c r="H2285" s="327"/>
      <c r="I2285" s="327">
        <v>1</v>
      </c>
      <c r="J2285" s="345"/>
      <c r="K2285" s="327"/>
      <c r="L2285" s="389">
        <v>70323</v>
      </c>
      <c r="M2285" s="371"/>
      <c r="N2285" s="355" t="str">
        <f t="shared" si="267"/>
        <v>PK</v>
      </c>
      <c r="O2285" s="404" t="s">
        <v>1782</v>
      </c>
      <c r="P2285" s="392"/>
      <c r="Q2285" s="327"/>
      <c r="R2285" s="351"/>
      <c r="S2285" s="351"/>
      <c r="T2285" s="351"/>
      <c r="U2285" s="329" t="str">
        <f>IF($N2285=$N$4,IFERROR(INDEX(DanhMuc!$E$154:$E$165,MATCH(MID($B2285,4,2),DanhMuc!$B$154:$B$165,0)),""),"")</f>
        <v/>
      </c>
      <c r="V2285" s="361"/>
      <c r="W2285" s="345"/>
      <c r="X2285" s="329" t="str">
        <f t="shared" si="268"/>
        <v>KL</v>
      </c>
      <c r="Y2285" s="1128" t="s">
        <v>3380</v>
      </c>
      <c r="Z2285" s="1128" t="s">
        <v>3381</v>
      </c>
      <c r="AA2285" s="1128" t="s">
        <v>3384</v>
      </c>
      <c r="AB2285" s="20"/>
      <c r="AC2285" s="73"/>
    </row>
    <row r="2286" spans="1:29">
      <c r="A2286" s="327" t="str">
        <f>IF(AND($B2286&lt;&gt;"",$C2286&lt;&gt;""),MAX($A$1556:A2264)+1,"")</f>
        <v/>
      </c>
      <c r="B2286" s="361" t="s">
        <v>2004</v>
      </c>
      <c r="C2286" s="360"/>
      <c r="D2286" s="327">
        <f>IF($B2286="","",COUNTIF($B$6:$B2286,$B2286))</f>
        <v>7</v>
      </c>
      <c r="E2286" s="361" t="s">
        <v>2140</v>
      </c>
      <c r="F2286" s="362" t="s">
        <v>2138</v>
      </c>
      <c r="G2286" s="327" t="s">
        <v>155</v>
      </c>
      <c r="H2286" s="327"/>
      <c r="I2286" s="327">
        <v>1</v>
      </c>
      <c r="J2286" s="345"/>
      <c r="K2286" s="327"/>
      <c r="L2286" s="389">
        <v>70323</v>
      </c>
      <c r="M2286" s="371"/>
      <c r="N2286" s="355" t="str">
        <f t="shared" si="267"/>
        <v>PK</v>
      </c>
      <c r="O2286" s="404" t="s">
        <v>1782</v>
      </c>
      <c r="P2286" s="392"/>
      <c r="Q2286" s="327"/>
      <c r="R2286" s="351"/>
      <c r="S2286" s="351"/>
      <c r="T2286" s="351"/>
      <c r="U2286" s="329" t="str">
        <f>IF($N2286=$N$4,IFERROR(INDEX(DanhMuc!$E$154:$E$165,MATCH(MID($B2286,4,2),DanhMuc!$B$154:$B$165,0)),""),"")</f>
        <v/>
      </c>
      <c r="V2286" s="361"/>
      <c r="W2286" s="345"/>
      <c r="X2286" s="329" t="str">
        <f t="shared" si="268"/>
        <v>KL</v>
      </c>
      <c r="Y2286" s="1128" t="s">
        <v>3380</v>
      </c>
      <c r="Z2286" s="1128" t="s">
        <v>3381</v>
      </c>
      <c r="AA2286" s="1128" t="s">
        <v>3384</v>
      </c>
      <c r="AB2286" s="20"/>
      <c r="AC2286" s="73"/>
    </row>
    <row r="2287" spans="1:29">
      <c r="A2287" s="327" t="str">
        <f>IF(AND($B2287&lt;&gt;"",$C2287&lt;&gt;""),MAX($A$1556:A2263)+1,"")</f>
        <v/>
      </c>
      <c r="B2287" s="361" t="s">
        <v>2004</v>
      </c>
      <c r="C2287" s="360"/>
      <c r="D2287" s="327">
        <f>IF($B2287="","",COUNTIF($B$6:$B2287,$B2287))</f>
        <v>8</v>
      </c>
      <c r="E2287" s="361" t="s">
        <v>2131</v>
      </c>
      <c r="F2287" s="362" t="s">
        <v>2130</v>
      </c>
      <c r="G2287" s="327" t="s">
        <v>155</v>
      </c>
      <c r="H2287" s="327" t="s">
        <v>536</v>
      </c>
      <c r="I2287" s="411" t="s">
        <v>2857</v>
      </c>
      <c r="J2287" s="359"/>
      <c r="K2287" s="327"/>
      <c r="L2287" s="389">
        <v>38000</v>
      </c>
      <c r="M2287" s="371"/>
      <c r="N2287" s="355" t="str">
        <f t="shared" si="267"/>
        <v>PK</v>
      </c>
      <c r="O2287" s="404" t="s">
        <v>1782</v>
      </c>
      <c r="P2287" s="392"/>
      <c r="Q2287" s="327"/>
      <c r="R2287" s="351"/>
      <c r="S2287" s="351"/>
      <c r="T2287" s="351"/>
      <c r="U2287" s="329" t="str">
        <f>IF($N2287=$N$4,IFERROR(INDEX(DanhMuc!$E$154:$E$165,MATCH(MID($B2287,4,2),DanhMuc!$B$154:$B$165,0)),""),"")</f>
        <v/>
      </c>
      <c r="V2287" s="361"/>
      <c r="W2287" s="345"/>
      <c r="X2287" s="329" t="str">
        <f t="shared" si="268"/>
        <v>KL</v>
      </c>
      <c r="Y2287" s="1128" t="s">
        <v>3380</v>
      </c>
      <c r="Z2287" s="1128" t="s">
        <v>3381</v>
      </c>
      <c r="AA2287" s="1128" t="s">
        <v>3384</v>
      </c>
      <c r="AB2287" s="20"/>
      <c r="AC2287" s="73"/>
    </row>
    <row r="2288" spans="1:29">
      <c r="A2288" s="327" t="str">
        <f>IF(AND($B2288&lt;&gt;"",$C2288&lt;&gt;""),MAX($A$1556:A2264)+1,"")</f>
        <v/>
      </c>
      <c r="B2288" s="361" t="s">
        <v>2004</v>
      </c>
      <c r="C2288" s="360"/>
      <c r="D2288" s="327">
        <f>IF($B2288="","",COUNTIF($B$6:$B2288,$B2288))</f>
        <v>9</v>
      </c>
      <c r="E2288" s="361" t="s">
        <v>2129</v>
      </c>
      <c r="F2288" s="362" t="s">
        <v>2130</v>
      </c>
      <c r="G2288" s="327" t="s">
        <v>155</v>
      </c>
      <c r="H2288" s="327" t="s">
        <v>536</v>
      </c>
      <c r="I2288" s="411" t="s">
        <v>2855</v>
      </c>
      <c r="J2288" s="359"/>
      <c r="K2288" s="327"/>
      <c r="L2288" s="389">
        <v>45000</v>
      </c>
      <c r="M2288" s="371"/>
      <c r="N2288" s="355" t="str">
        <f t="shared" si="267"/>
        <v>PK</v>
      </c>
      <c r="O2288" s="404" t="s">
        <v>1782</v>
      </c>
      <c r="P2288" s="392"/>
      <c r="Q2288" s="327"/>
      <c r="R2288" s="351"/>
      <c r="S2288" s="351"/>
      <c r="T2288" s="351"/>
      <c r="U2288" s="329" t="str">
        <f>IF($N2288=$N$4,IFERROR(INDEX(DanhMuc!$E$154:$E$165,MATCH(MID($B2288,4,2),DanhMuc!$B$154:$B$165,0)),""),"")</f>
        <v/>
      </c>
      <c r="V2288" s="361"/>
      <c r="W2288" s="345"/>
      <c r="X2288" s="329" t="str">
        <f t="shared" si="268"/>
        <v>KL</v>
      </c>
      <c r="Y2288" s="1128" t="s">
        <v>3380</v>
      </c>
      <c r="Z2288" s="1128" t="s">
        <v>3381</v>
      </c>
      <c r="AA2288" s="1128" t="s">
        <v>3384</v>
      </c>
      <c r="AB2288" s="20"/>
      <c r="AC2288" s="73"/>
    </row>
    <row r="2289" spans="1:29">
      <c r="A2289" s="327" t="str">
        <f>IF(AND($B2289&lt;&gt;"",$C2289&lt;&gt;""),MAX($A$1556:A2265)+1,"")</f>
        <v/>
      </c>
      <c r="B2289" s="361" t="s">
        <v>2004</v>
      </c>
      <c r="C2289" s="360"/>
      <c r="D2289" s="327">
        <f>IF($B2289="","",COUNTIF($B$6:$B2289,$B2289))</f>
        <v>10</v>
      </c>
      <c r="E2289" s="361" t="s">
        <v>2133</v>
      </c>
      <c r="F2289" s="362" t="s">
        <v>2141</v>
      </c>
      <c r="G2289" s="327" t="s">
        <v>155</v>
      </c>
      <c r="H2289" s="327" t="s">
        <v>2111</v>
      </c>
      <c r="I2289" s="327">
        <v>2</v>
      </c>
      <c r="J2289" s="359"/>
      <c r="K2289" s="327"/>
      <c r="L2289" s="389">
        <v>5000</v>
      </c>
      <c r="M2289" s="371"/>
      <c r="N2289" s="355" t="str">
        <f t="shared" si="267"/>
        <v>PK</v>
      </c>
      <c r="O2289" s="404" t="s">
        <v>1782</v>
      </c>
      <c r="P2289" s="392"/>
      <c r="Q2289" s="327"/>
      <c r="R2289" s="351"/>
      <c r="S2289" s="351"/>
      <c r="T2289" s="351"/>
      <c r="U2289" s="329" t="str">
        <f>IF($N2289=$N$4,IFERROR(INDEX(DanhMuc!$E$154:$E$165,MATCH(MID($B2289,4,2),DanhMuc!$B$154:$B$165,0)),""),"")</f>
        <v/>
      </c>
      <c r="V2289" s="361"/>
      <c r="W2289" s="345"/>
      <c r="X2289" s="329" t="str">
        <f t="shared" si="268"/>
        <v>KL</v>
      </c>
      <c r="Y2289" s="1128" t="s">
        <v>3380</v>
      </c>
      <c r="Z2289" s="1128" t="s">
        <v>3381</v>
      </c>
      <c r="AA2289" s="1128" t="s">
        <v>3384</v>
      </c>
      <c r="AB2289" s="20"/>
      <c r="AC2289" s="73"/>
    </row>
    <row r="2290" spans="1:29">
      <c r="A2290" s="327" t="str">
        <f>IF(AND($B2290&lt;&gt;"",$C2290&lt;&gt;""),MAX($A$1556:A2266)+1,"")</f>
        <v/>
      </c>
      <c r="B2290" s="361" t="s">
        <v>2004</v>
      </c>
      <c r="C2290" s="360"/>
      <c r="D2290" s="327">
        <f>IF($B2290="","",COUNTIF($B$6:$B2290,$B2290))</f>
        <v>11</v>
      </c>
      <c r="E2290" s="361" t="s">
        <v>187</v>
      </c>
      <c r="F2290" s="362" t="s">
        <v>189</v>
      </c>
      <c r="G2290" s="327" t="s">
        <v>155</v>
      </c>
      <c r="H2290" s="327"/>
      <c r="I2290" s="327">
        <v>4</v>
      </c>
      <c r="J2290" s="359"/>
      <c r="K2290" s="327"/>
      <c r="L2290" s="389">
        <v>5000</v>
      </c>
      <c r="M2290" s="371"/>
      <c r="N2290" s="355" t="str">
        <f t="shared" si="267"/>
        <v>PK</v>
      </c>
      <c r="O2290" s="345"/>
      <c r="P2290" s="392"/>
      <c r="Q2290" s="327"/>
      <c r="R2290" s="351"/>
      <c r="S2290" s="351"/>
      <c r="T2290" s="351"/>
      <c r="U2290" s="329" t="str">
        <f>IF($N2290=$N$4,IFERROR(INDEX(DanhMuc!$E$154:$E$165,MATCH(MID($B2290,4,2),DanhMuc!$B$154:$B$165,0)),""),"")</f>
        <v/>
      </c>
      <c r="V2290" s="361"/>
      <c r="W2290" s="345"/>
      <c r="X2290" s="329" t="str">
        <f t="shared" si="268"/>
        <v>KL</v>
      </c>
      <c r="Y2290" s="1128" t="s">
        <v>3380</v>
      </c>
      <c r="Z2290" s="1128" t="s">
        <v>3381</v>
      </c>
      <c r="AA2290" s="1128" t="s">
        <v>3384</v>
      </c>
      <c r="AB2290" s="20"/>
      <c r="AC2290" s="73"/>
    </row>
    <row r="2291" spans="1:29">
      <c r="A2291" s="327" t="str">
        <f>IF(AND($B2291&lt;&gt;"",$C2291&lt;&gt;""),MAX($A$1556:A2267)+1,"")</f>
        <v/>
      </c>
      <c r="B2291" s="361" t="s">
        <v>2004</v>
      </c>
      <c r="C2291" s="360"/>
      <c r="D2291" s="327">
        <f>IF($B2291="","",COUNTIF($B$6:$B2291,$B2291))</f>
        <v>12</v>
      </c>
      <c r="E2291" s="361" t="s">
        <v>172</v>
      </c>
      <c r="F2291" s="362" t="s">
        <v>173</v>
      </c>
      <c r="G2291" s="327" t="s">
        <v>155</v>
      </c>
      <c r="H2291" s="327"/>
      <c r="I2291" s="327">
        <v>1</v>
      </c>
      <c r="J2291" s="345"/>
      <c r="K2291" s="327"/>
      <c r="L2291" s="389">
        <v>6000</v>
      </c>
      <c r="M2291" s="371"/>
      <c r="N2291" s="355" t="str">
        <f t="shared" si="267"/>
        <v>PK</v>
      </c>
      <c r="O2291" s="345"/>
      <c r="P2291" s="392"/>
      <c r="Q2291" s="327"/>
      <c r="R2291" s="351"/>
      <c r="S2291" s="351"/>
      <c r="T2291" s="351"/>
      <c r="U2291" s="329" t="str">
        <f>IF($N2291=$N$4,IFERROR(INDEX(DanhMuc!$E$154:$E$165,MATCH(MID($B2291,4,2),DanhMuc!$B$154:$B$165,0)),""),"")</f>
        <v/>
      </c>
      <c r="V2291" s="361"/>
      <c r="W2291" s="345"/>
      <c r="X2291" s="329" t="str">
        <f t="shared" si="268"/>
        <v>KL</v>
      </c>
      <c r="Y2291" s="1128" t="s">
        <v>3380</v>
      </c>
      <c r="Z2291" s="1128" t="s">
        <v>3381</v>
      </c>
      <c r="AA2291" s="1128" t="s">
        <v>3384</v>
      </c>
      <c r="AB2291" s="20"/>
      <c r="AC2291" s="73"/>
    </row>
    <row r="2292" spans="1:29">
      <c r="A2292" s="327" t="str">
        <f>IF(AND($B2292&lt;&gt;"",$C2292&lt;&gt;""),MAX($A$1556:A2268)+1,"")</f>
        <v/>
      </c>
      <c r="B2292" s="361" t="s">
        <v>2004</v>
      </c>
      <c r="C2292" s="360"/>
      <c r="D2292" s="327">
        <f>IF($B2292="","",COUNTIF($B$6:$B2292,$B2292))</f>
        <v>13</v>
      </c>
      <c r="E2292" s="361" t="s">
        <v>163</v>
      </c>
      <c r="F2292" s="362" t="s">
        <v>164</v>
      </c>
      <c r="G2292" s="327" t="s">
        <v>155</v>
      </c>
      <c r="H2292" s="327"/>
      <c r="I2292" s="327">
        <v>2</v>
      </c>
      <c r="J2292" s="345"/>
      <c r="K2292" s="327"/>
      <c r="L2292" s="389">
        <v>2500</v>
      </c>
      <c r="M2292" s="371"/>
      <c r="N2292" s="355" t="str">
        <f t="shared" si="267"/>
        <v>PK</v>
      </c>
      <c r="O2292" s="345"/>
      <c r="P2292" s="392"/>
      <c r="Q2292" s="327"/>
      <c r="R2292" s="351"/>
      <c r="S2292" s="351"/>
      <c r="T2292" s="351"/>
      <c r="U2292" s="329" t="str">
        <f>IF($N2292=$N$4,IFERROR(INDEX(DanhMuc!$E$154:$E$165,MATCH(MID($B2292,4,2),DanhMuc!$B$154:$B$165,0)),""),"")</f>
        <v/>
      </c>
      <c r="V2292" s="361"/>
      <c r="W2292" s="345"/>
      <c r="X2292" s="329" t="str">
        <f t="shared" si="268"/>
        <v>KL</v>
      </c>
      <c r="Y2292" s="1128" t="s">
        <v>3380</v>
      </c>
      <c r="Z2292" s="1128" t="s">
        <v>3381</v>
      </c>
      <c r="AA2292" s="1128" t="s">
        <v>3384</v>
      </c>
      <c r="AB2292" s="20"/>
      <c r="AC2292" s="73"/>
    </row>
    <row r="2293" spans="1:29">
      <c r="A2293" s="327" t="str">
        <f>IF(AND($B2293&lt;&gt;"",$C2293&lt;&gt;""),MAX($A$1556:A2273)+1,"")</f>
        <v/>
      </c>
      <c r="B2293" s="361" t="s">
        <v>2004</v>
      </c>
      <c r="C2293" s="360"/>
      <c r="D2293" s="327">
        <f>IF($B2293="","",COUNTIF($B$6:$B2293,$B2293))</f>
        <v>14</v>
      </c>
      <c r="E2293" s="361" t="s">
        <v>165</v>
      </c>
      <c r="F2293" s="362" t="s">
        <v>166</v>
      </c>
      <c r="G2293" s="327" t="s">
        <v>155</v>
      </c>
      <c r="H2293" s="327"/>
      <c r="I2293" s="327">
        <v>2</v>
      </c>
      <c r="J2293" s="359"/>
      <c r="K2293" s="327"/>
      <c r="L2293" s="389">
        <v>1700</v>
      </c>
      <c r="M2293" s="371"/>
      <c r="N2293" s="355" t="str">
        <f t="shared" si="267"/>
        <v>PK</v>
      </c>
      <c r="O2293" s="345"/>
      <c r="P2293" s="392"/>
      <c r="Q2293" s="327"/>
      <c r="R2293" s="351"/>
      <c r="S2293" s="351"/>
      <c r="T2293" s="351"/>
      <c r="U2293" s="329" t="str">
        <f>IF($N2293=$N$4,IFERROR(INDEX(DanhMuc!$E$154:$E$165,MATCH(MID($B2293,4,2),DanhMuc!$B$154:$B$165,0)),""),"")</f>
        <v/>
      </c>
      <c r="V2293" s="361"/>
      <c r="W2293" s="345"/>
      <c r="X2293" s="329" t="str">
        <f t="shared" si="268"/>
        <v>KL</v>
      </c>
      <c r="Y2293" s="1128" t="s">
        <v>3380</v>
      </c>
      <c r="Z2293" s="1128" t="s">
        <v>3381</v>
      </c>
      <c r="AA2293" s="1128" t="s">
        <v>3384</v>
      </c>
      <c r="AB2293" s="20"/>
      <c r="AC2293" s="73"/>
    </row>
    <row r="2294" spans="1:29">
      <c r="A2294" s="327" t="str">
        <f>IF(AND($B2294&lt;&gt;"",$C2294&lt;&gt;""),MAX($A$1556:A2293)+1,"")</f>
        <v/>
      </c>
      <c r="B2294" s="361" t="s">
        <v>2004</v>
      </c>
      <c r="C2294" s="360"/>
      <c r="D2294" s="327">
        <f>IF($B2294="","",COUNTIF($B$6:$B2294,$B2294))</f>
        <v>15</v>
      </c>
      <c r="E2294" s="361" t="s">
        <v>167</v>
      </c>
      <c r="F2294" s="362" t="s">
        <v>168</v>
      </c>
      <c r="G2294" s="327" t="s">
        <v>155</v>
      </c>
      <c r="H2294" s="327"/>
      <c r="I2294" s="327">
        <v>2</v>
      </c>
      <c r="J2294" s="359"/>
      <c r="K2294" s="327"/>
      <c r="L2294" s="389">
        <v>1700</v>
      </c>
      <c r="M2294" s="371"/>
      <c r="N2294" s="355" t="str">
        <f t="shared" si="267"/>
        <v>PK</v>
      </c>
      <c r="O2294" s="345"/>
      <c r="P2294" s="392"/>
      <c r="Q2294" s="327"/>
      <c r="R2294" s="351"/>
      <c r="S2294" s="351"/>
      <c r="T2294" s="351"/>
      <c r="U2294" s="329" t="str">
        <f>IF($N2294=$N$4,IFERROR(INDEX(DanhMuc!$E$154:$E$165,MATCH(MID($B2294,4,2),DanhMuc!$B$154:$B$165,0)),""),"")</f>
        <v/>
      </c>
      <c r="V2294" s="361"/>
      <c r="W2294" s="345"/>
      <c r="X2294" s="329" t="str">
        <f t="shared" si="268"/>
        <v>KL</v>
      </c>
      <c r="Y2294" s="1128" t="s">
        <v>3380</v>
      </c>
      <c r="Z2294" s="1128" t="s">
        <v>3381</v>
      </c>
      <c r="AA2294" s="1128" t="s">
        <v>3384</v>
      </c>
      <c r="AB2294" s="20"/>
      <c r="AC2294" s="73"/>
    </row>
    <row r="2295" spans="1:29">
      <c r="A2295" s="327" t="str">
        <f>IF(AND($B2295&lt;&gt;"",$C2295&lt;&gt;""),MAX($A$1556:A2294)+1,"")</f>
        <v/>
      </c>
      <c r="B2295" s="361" t="s">
        <v>2004</v>
      </c>
      <c r="C2295" s="360"/>
      <c r="D2295" s="327">
        <f>IF($B2295="","",COUNTIF($B$6:$B2295,$B2295))</f>
        <v>16</v>
      </c>
      <c r="E2295" s="361" t="s">
        <v>169</v>
      </c>
      <c r="F2295" s="362" t="s">
        <v>170</v>
      </c>
      <c r="G2295" s="327" t="s">
        <v>155</v>
      </c>
      <c r="H2295" s="327"/>
      <c r="I2295" s="327">
        <v>2</v>
      </c>
      <c r="J2295" s="359"/>
      <c r="K2295" s="327"/>
      <c r="L2295" s="389">
        <v>1700</v>
      </c>
      <c r="M2295" s="371"/>
      <c r="N2295" s="355" t="str">
        <f t="shared" si="267"/>
        <v>PK</v>
      </c>
      <c r="O2295" s="345"/>
      <c r="P2295" s="392"/>
      <c r="Q2295" s="327"/>
      <c r="R2295" s="351"/>
      <c r="S2295" s="351"/>
      <c r="T2295" s="351"/>
      <c r="U2295" s="329" t="str">
        <f>IF($N2295=$N$4,IFERROR(INDEX(DanhMuc!$E$154:$E$165,MATCH(MID($B2295,4,2),DanhMuc!$B$154:$B$165,0)),""),"")</f>
        <v/>
      </c>
      <c r="V2295" s="361"/>
      <c r="W2295" s="345"/>
      <c r="X2295" s="329" t="str">
        <f t="shared" si="268"/>
        <v>KL</v>
      </c>
      <c r="Y2295" s="1128" t="s">
        <v>3380</v>
      </c>
      <c r="Z2295" s="1128" t="s">
        <v>3381</v>
      </c>
      <c r="AA2295" s="1128" t="s">
        <v>3384</v>
      </c>
      <c r="AB2295" s="20"/>
      <c r="AC2295" s="73"/>
    </row>
    <row r="2296" spans="1:29">
      <c r="A2296" s="327" t="str">
        <f>IF(AND($B2296&lt;&gt;"",$C2296&lt;&gt;""),MAX($A$1556:A2295)+1,"")</f>
        <v/>
      </c>
      <c r="B2296" s="361" t="s">
        <v>2004</v>
      </c>
      <c r="C2296" s="360"/>
      <c r="D2296" s="327">
        <f>IF($B2296="","",COUNTIF($B$6:$B2296,$B2296))</f>
        <v>17</v>
      </c>
      <c r="E2296" s="361" t="s">
        <v>171</v>
      </c>
      <c r="F2296" s="362" t="s">
        <v>291</v>
      </c>
      <c r="G2296" s="327" t="s">
        <v>155</v>
      </c>
      <c r="H2296" s="327"/>
      <c r="I2296" s="327">
        <v>2</v>
      </c>
      <c r="J2296" s="345"/>
      <c r="K2296" s="327"/>
      <c r="L2296" s="389">
        <v>1700</v>
      </c>
      <c r="M2296" s="371"/>
      <c r="N2296" s="355" t="str">
        <f t="shared" si="267"/>
        <v>PK</v>
      </c>
      <c r="O2296" s="345"/>
      <c r="P2296" s="392"/>
      <c r="Q2296" s="327"/>
      <c r="R2296" s="351"/>
      <c r="S2296" s="351"/>
      <c r="T2296" s="351"/>
      <c r="U2296" s="329" t="str">
        <f>IF($N2296=$N$4,IFERROR(INDEX(DanhMuc!$E$154:$E$165,MATCH(MID($B2296,4,2),DanhMuc!$B$154:$B$165,0)),""),"")</f>
        <v/>
      </c>
      <c r="V2296" s="361"/>
      <c r="W2296" s="345"/>
      <c r="X2296" s="329" t="str">
        <f t="shared" si="268"/>
        <v>KL</v>
      </c>
      <c r="Y2296" s="1128" t="s">
        <v>3380</v>
      </c>
      <c r="Z2296" s="1128" t="s">
        <v>3381</v>
      </c>
      <c r="AA2296" s="1128" t="s">
        <v>3384</v>
      </c>
      <c r="AB2296" s="20"/>
      <c r="AC2296" s="73"/>
    </row>
    <row r="2297" spans="1:29">
      <c r="A2297" s="327" t="str">
        <f>IF(AND($B2297&lt;&gt;"",$C2297&lt;&gt;""),MAX($A$1556:A2296)+1,"")</f>
        <v/>
      </c>
      <c r="B2297" s="361" t="s">
        <v>2004</v>
      </c>
      <c r="C2297" s="360"/>
      <c r="D2297" s="327">
        <f>IF($B2297="","",COUNTIF($B$6:$B2297,$B2297))</f>
        <v>18</v>
      </c>
      <c r="E2297" s="361" t="s">
        <v>2128</v>
      </c>
      <c r="F2297" s="362" t="s">
        <v>186</v>
      </c>
      <c r="G2297" s="327" t="s">
        <v>155</v>
      </c>
      <c r="H2297" s="327" t="s">
        <v>536</v>
      </c>
      <c r="I2297" s="327">
        <v>4</v>
      </c>
      <c r="J2297" s="361"/>
      <c r="K2297" s="327"/>
      <c r="L2297" s="389">
        <v>38000</v>
      </c>
      <c r="M2297" s="371"/>
      <c r="N2297" s="355" t="str">
        <f t="shared" si="267"/>
        <v>PK</v>
      </c>
      <c r="O2297" s="345"/>
      <c r="P2297" s="392"/>
      <c r="Q2297" s="327"/>
      <c r="R2297" s="351"/>
      <c r="S2297" s="351"/>
      <c r="T2297" s="351"/>
      <c r="U2297" s="329" t="str">
        <f>IF($N2297=$N$4,IFERROR(INDEX(DanhMuc!$E$154:$E$165,MATCH(MID($B2297,4,2),DanhMuc!$B$154:$B$165,0)),""),"")</f>
        <v/>
      </c>
      <c r="V2297" s="361"/>
      <c r="W2297" s="345"/>
      <c r="X2297" s="329" t="str">
        <f t="shared" si="268"/>
        <v>KL</v>
      </c>
      <c r="Y2297" s="1128" t="s">
        <v>3380</v>
      </c>
      <c r="Z2297" s="1128" t="s">
        <v>3381</v>
      </c>
      <c r="AA2297" s="1128" t="s">
        <v>3384</v>
      </c>
      <c r="AB2297" s="20"/>
      <c r="AC2297" s="73"/>
    </row>
    <row r="2298" spans="1:29" ht="52">
      <c r="A2298" s="327">
        <f>IF(AND($B2298&lt;&gt;"",$C2298&lt;&gt;""),MAX($A$1556:A2277)+1,"")</f>
        <v>130</v>
      </c>
      <c r="B2298" s="359" t="s">
        <v>3160</v>
      </c>
      <c r="C2298" s="360" t="s">
        <v>2142</v>
      </c>
      <c r="D2298" s="327">
        <f>IF($B2298="","",COUNTIF($B$6:$B2298,$B2298))</f>
        <v>1</v>
      </c>
      <c r="E2298" s="361" t="s">
        <v>2123</v>
      </c>
      <c r="F2298" s="362" t="s">
        <v>2564</v>
      </c>
      <c r="G2298" s="327" t="s">
        <v>297</v>
      </c>
      <c r="H2298" s="327"/>
      <c r="I2298" s="327">
        <v>1</v>
      </c>
      <c r="J2298" s="345"/>
      <c r="K2298" s="327"/>
      <c r="L2298" s="389">
        <v>115000</v>
      </c>
      <c r="M2298" s="371"/>
      <c r="N2298" s="355" t="str">
        <f t="shared" si="267"/>
        <v>PK</v>
      </c>
      <c r="O2298" s="404" t="s">
        <v>2560</v>
      </c>
      <c r="P2298" s="392"/>
      <c r="Q2298" s="327"/>
      <c r="R2298" s="351"/>
      <c r="S2298" s="351"/>
      <c r="T2298" s="351"/>
      <c r="U2298" s="329" t="str">
        <f>IF($N2298=$N$4,IFERROR(INDEX(DanhMuc!$E$154:$E$165,MATCH(MID($B2298,4,2),DanhMuc!$B$154:$B$165,0)),""),"")</f>
        <v/>
      </c>
      <c r="V2298" s="361"/>
      <c r="W2298" s="345"/>
      <c r="X2298" s="329" t="str">
        <f t="shared" si="268"/>
        <v>FI</v>
      </c>
      <c r="Y2298" s="1128" t="s">
        <v>3380</v>
      </c>
      <c r="Z2298" s="1128" t="s">
        <v>3381</v>
      </c>
      <c r="AA2298" s="1128" t="s">
        <v>3384</v>
      </c>
      <c r="AB2298" s="20"/>
      <c r="AC2298" s="73"/>
    </row>
    <row r="2299" spans="1:29">
      <c r="A2299" s="327" t="str">
        <f>IF(AND($B2299&lt;&gt;"",$C2299&lt;&gt;""),MAX($A$1556:A2278)+1,"")</f>
        <v/>
      </c>
      <c r="B2299" s="361" t="s">
        <v>3160</v>
      </c>
      <c r="C2299" s="362"/>
      <c r="D2299" s="327">
        <f>IF($B2299="","",COUNTIF($B$6:$B2299,$B2299))</f>
        <v>2</v>
      </c>
      <c r="E2299" s="361" t="s">
        <v>2123</v>
      </c>
      <c r="F2299" s="362" t="s">
        <v>2565</v>
      </c>
      <c r="G2299" s="327" t="s">
        <v>297</v>
      </c>
      <c r="H2299" s="327"/>
      <c r="I2299" s="327">
        <v>1</v>
      </c>
      <c r="J2299" s="345"/>
      <c r="K2299" s="327"/>
      <c r="L2299" s="389">
        <v>115000</v>
      </c>
      <c r="M2299" s="371"/>
      <c r="N2299" s="355" t="str">
        <f t="shared" si="267"/>
        <v>PK</v>
      </c>
      <c r="O2299" s="404" t="s">
        <v>2561</v>
      </c>
      <c r="P2299" s="392"/>
      <c r="Q2299" s="327"/>
      <c r="R2299" s="351"/>
      <c r="S2299" s="351"/>
      <c r="T2299" s="351"/>
      <c r="U2299" s="329" t="str">
        <f>IF($N2299=$N$4,IFERROR(INDEX(DanhMuc!$E$154:$E$165,MATCH(MID($B2299,4,2),DanhMuc!$B$154:$B$165,0)),""),"")</f>
        <v/>
      </c>
      <c r="V2299" s="361"/>
      <c r="W2299" s="345"/>
      <c r="X2299" s="329" t="str">
        <f t="shared" si="268"/>
        <v>FI</v>
      </c>
      <c r="Y2299" s="1128" t="s">
        <v>3380</v>
      </c>
      <c r="Z2299" s="1128" t="s">
        <v>3381</v>
      </c>
      <c r="AA2299" s="1128" t="s">
        <v>3384</v>
      </c>
      <c r="AB2299" s="20"/>
      <c r="AC2299" s="73"/>
    </row>
    <row r="2300" spans="1:29">
      <c r="A2300" s="327" t="str">
        <f>IF(AND($B2300&lt;&gt;"",$C2300&lt;&gt;""),MAX($A$1556:A2279)+1,"")</f>
        <v/>
      </c>
      <c r="B2300" s="361" t="s">
        <v>3160</v>
      </c>
      <c r="C2300" s="362"/>
      <c r="D2300" s="327">
        <f>IF($B2300="","",COUNTIF($B$6:$B2300,$B2300))</f>
        <v>3</v>
      </c>
      <c r="E2300" s="361" t="s">
        <v>2125</v>
      </c>
      <c r="F2300" s="362" t="s">
        <v>2126</v>
      </c>
      <c r="G2300" s="327" t="s">
        <v>155</v>
      </c>
      <c r="H2300" s="327"/>
      <c r="I2300" s="327">
        <v>1</v>
      </c>
      <c r="J2300" s="345"/>
      <c r="K2300" s="327"/>
      <c r="L2300" s="389">
        <v>5000</v>
      </c>
      <c r="M2300" s="371"/>
      <c r="N2300" s="355" t="str">
        <f t="shared" si="267"/>
        <v>PK</v>
      </c>
      <c r="O2300" s="404" t="s">
        <v>1783</v>
      </c>
      <c r="P2300" s="392"/>
      <c r="Q2300" s="327"/>
      <c r="R2300" s="351"/>
      <c r="S2300" s="351"/>
      <c r="T2300" s="351"/>
      <c r="U2300" s="329" t="str">
        <f>IF($N2300=$N$4,IFERROR(INDEX(DanhMuc!$E$154:$E$165,MATCH(MID($B2300,4,2),DanhMuc!$B$154:$B$165,0)),""),"")</f>
        <v/>
      </c>
      <c r="V2300" s="361"/>
      <c r="W2300" s="345"/>
      <c r="X2300" s="329" t="str">
        <f t="shared" si="268"/>
        <v>FI</v>
      </c>
      <c r="Y2300" s="1128" t="s">
        <v>3380</v>
      </c>
      <c r="Z2300" s="1128" t="s">
        <v>3381</v>
      </c>
      <c r="AA2300" s="1128" t="s">
        <v>3384</v>
      </c>
      <c r="AB2300" s="20"/>
      <c r="AC2300" s="73"/>
    </row>
    <row r="2301" spans="1:29">
      <c r="A2301" s="327" t="str">
        <f>IF(AND($B2301&lt;&gt;"",$C2301&lt;&gt;""),MAX($A$1556:A2279)+1,"")</f>
        <v/>
      </c>
      <c r="B2301" s="361" t="s">
        <v>3160</v>
      </c>
      <c r="C2301" s="362"/>
      <c r="D2301" s="327">
        <f>IF($B2301="","",COUNTIF($B$6:$B2301,$B2301))</f>
        <v>4</v>
      </c>
      <c r="E2301" s="361" t="s">
        <v>2232</v>
      </c>
      <c r="F2301" s="362" t="s">
        <v>2127</v>
      </c>
      <c r="G2301" s="327" t="s">
        <v>155</v>
      </c>
      <c r="H2301" s="327"/>
      <c r="I2301" s="327">
        <v>1</v>
      </c>
      <c r="J2301" s="345"/>
      <c r="K2301" s="327"/>
      <c r="L2301" s="389">
        <v>35500</v>
      </c>
      <c r="M2301" s="371"/>
      <c r="N2301" s="355" t="str">
        <f t="shared" si="267"/>
        <v>PK</v>
      </c>
      <c r="O2301" s="345"/>
      <c r="P2301" s="392"/>
      <c r="Q2301" s="327"/>
      <c r="R2301" s="351"/>
      <c r="S2301" s="351"/>
      <c r="T2301" s="351"/>
      <c r="U2301" s="329" t="str">
        <f>IF($N2301=$N$4,IFERROR(INDEX(DanhMuc!$E$154:$E$165,MATCH(MID($B2301,4,2),DanhMuc!$B$154:$B$165,0)),""),"")</f>
        <v/>
      </c>
      <c r="V2301" s="361"/>
      <c r="W2301" s="345"/>
      <c r="X2301" s="329" t="str">
        <f t="shared" si="268"/>
        <v>FI</v>
      </c>
      <c r="Y2301" s="1128" t="s">
        <v>3380</v>
      </c>
      <c r="Z2301" s="1128" t="s">
        <v>3381</v>
      </c>
      <c r="AA2301" s="1128" t="s">
        <v>3384</v>
      </c>
      <c r="AB2301" s="20"/>
      <c r="AC2301" s="73"/>
    </row>
    <row r="2302" spans="1:29">
      <c r="A2302" s="327" t="str">
        <f>IF(AND($B2302&lt;&gt;"",$C2302&lt;&gt;""),MAX($A$1556:A2280)+1,"")</f>
        <v/>
      </c>
      <c r="B2302" s="361" t="s">
        <v>3160</v>
      </c>
      <c r="C2302" s="360"/>
      <c r="D2302" s="327">
        <f>IF($B2302="","",COUNTIF($B$6:$B2302,$B2302))</f>
        <v>5</v>
      </c>
      <c r="E2302" s="361" t="s">
        <v>2125</v>
      </c>
      <c r="F2302" s="362" t="s">
        <v>2126</v>
      </c>
      <c r="G2302" s="327" t="s">
        <v>155</v>
      </c>
      <c r="H2302" s="327"/>
      <c r="I2302" s="327">
        <v>1</v>
      </c>
      <c r="J2302" s="345"/>
      <c r="K2302" s="327"/>
      <c r="L2302" s="389">
        <v>5000</v>
      </c>
      <c r="M2302" s="371"/>
      <c r="N2302" s="355" t="str">
        <f t="shared" si="267"/>
        <v>PK</v>
      </c>
      <c r="O2302" s="345"/>
      <c r="P2302" s="392"/>
      <c r="Q2302" s="327"/>
      <c r="R2302" s="351"/>
      <c r="S2302" s="351"/>
      <c r="T2302" s="351"/>
      <c r="U2302" s="329" t="str">
        <f>IF($N2302=$N$4,IFERROR(INDEX(DanhMuc!$E$154:$E$165,MATCH(MID($B2302,4,2),DanhMuc!$B$154:$B$165,0)),""),"")</f>
        <v/>
      </c>
      <c r="V2302" s="361"/>
      <c r="W2302" s="345"/>
      <c r="X2302" s="329" t="str">
        <f t="shared" si="268"/>
        <v>FI</v>
      </c>
      <c r="Y2302" s="1128" t="s">
        <v>3380</v>
      </c>
      <c r="Z2302" s="1128" t="s">
        <v>3381</v>
      </c>
      <c r="AA2302" s="1128" t="s">
        <v>3384</v>
      </c>
      <c r="AB2302" s="20"/>
      <c r="AC2302" s="73"/>
    </row>
    <row r="2303" spans="1:29">
      <c r="A2303" s="327" t="str">
        <f>IF(AND($B2303&lt;&gt;"",$C2303&lt;&gt;""),MAX($A$1556:A2281)+1,"")</f>
        <v/>
      </c>
      <c r="B2303" s="361" t="s">
        <v>3160</v>
      </c>
      <c r="C2303" s="360"/>
      <c r="D2303" s="327">
        <f>IF($B2303="","",COUNTIF($B$6:$B2303,$B2303))</f>
        <v>6</v>
      </c>
      <c r="E2303" s="361" t="s">
        <v>2139</v>
      </c>
      <c r="F2303" s="362" t="s">
        <v>2137</v>
      </c>
      <c r="G2303" s="327" t="s">
        <v>155</v>
      </c>
      <c r="H2303" s="327"/>
      <c r="I2303" s="327">
        <v>1</v>
      </c>
      <c r="J2303" s="345"/>
      <c r="K2303" s="327"/>
      <c r="L2303" s="389">
        <v>70323</v>
      </c>
      <c r="M2303" s="371"/>
      <c r="N2303" s="355" t="str">
        <f t="shared" si="267"/>
        <v>PK</v>
      </c>
      <c r="O2303" s="404" t="s">
        <v>1782</v>
      </c>
      <c r="P2303" s="392"/>
      <c r="Q2303" s="327"/>
      <c r="R2303" s="351"/>
      <c r="S2303" s="351"/>
      <c r="T2303" s="351"/>
      <c r="U2303" s="329" t="str">
        <f>IF($N2303=$N$4,IFERROR(INDEX(DanhMuc!$E$154:$E$165,MATCH(MID($B2303,4,2),DanhMuc!$B$154:$B$165,0)),""),"")</f>
        <v/>
      </c>
      <c r="V2303" s="361"/>
      <c r="W2303" s="345"/>
      <c r="X2303" s="329" t="str">
        <f t="shared" si="268"/>
        <v>FI</v>
      </c>
      <c r="Y2303" s="1128" t="s">
        <v>3380</v>
      </c>
      <c r="Z2303" s="1128" t="s">
        <v>3381</v>
      </c>
      <c r="AA2303" s="1128" t="s">
        <v>3384</v>
      </c>
      <c r="AB2303" s="20"/>
      <c r="AC2303" s="73"/>
    </row>
    <row r="2304" spans="1:29">
      <c r="A2304" s="327" t="str">
        <f>IF(AND($B2304&lt;&gt;"",$C2304&lt;&gt;""),MAX($A$1556:A2282)+1,"")</f>
        <v/>
      </c>
      <c r="B2304" s="361" t="s">
        <v>3160</v>
      </c>
      <c r="C2304" s="360"/>
      <c r="D2304" s="327">
        <f>IF($B2304="","",COUNTIF($B$6:$B2304,$B2304))</f>
        <v>7</v>
      </c>
      <c r="E2304" s="361" t="s">
        <v>2140</v>
      </c>
      <c r="F2304" s="362" t="s">
        <v>2138</v>
      </c>
      <c r="G2304" s="327" t="s">
        <v>155</v>
      </c>
      <c r="H2304" s="327"/>
      <c r="I2304" s="327">
        <v>1</v>
      </c>
      <c r="J2304" s="345"/>
      <c r="K2304" s="327"/>
      <c r="L2304" s="389">
        <v>70323</v>
      </c>
      <c r="M2304" s="371"/>
      <c r="N2304" s="355" t="str">
        <f t="shared" si="267"/>
        <v>PK</v>
      </c>
      <c r="O2304" s="404" t="s">
        <v>1782</v>
      </c>
      <c r="P2304" s="392"/>
      <c r="Q2304" s="327"/>
      <c r="R2304" s="351"/>
      <c r="S2304" s="351"/>
      <c r="T2304" s="351"/>
      <c r="U2304" s="329" t="str">
        <f>IF($N2304=$N$4,IFERROR(INDEX(DanhMuc!$E$154:$E$165,MATCH(MID($B2304,4,2),DanhMuc!$B$154:$B$165,0)),""),"")</f>
        <v/>
      </c>
      <c r="V2304" s="361"/>
      <c r="W2304" s="345"/>
      <c r="X2304" s="329" t="str">
        <f t="shared" si="268"/>
        <v>FI</v>
      </c>
      <c r="Y2304" s="1128" t="s">
        <v>3380</v>
      </c>
      <c r="Z2304" s="1128" t="s">
        <v>3381</v>
      </c>
      <c r="AA2304" s="1128" t="s">
        <v>3384</v>
      </c>
      <c r="AB2304" s="20"/>
      <c r="AC2304" s="73"/>
    </row>
    <row r="2305" spans="1:29">
      <c r="A2305" s="327" t="str">
        <f>IF(AND($B2305&lt;&gt;"",$C2305&lt;&gt;""),MAX($A$1556:A2284)+1,"")</f>
        <v/>
      </c>
      <c r="B2305" s="361" t="s">
        <v>3160</v>
      </c>
      <c r="C2305" s="360"/>
      <c r="D2305" s="327">
        <f>IF($B2305="","",COUNTIF($B$6:$B2305,$B2305))</f>
        <v>8</v>
      </c>
      <c r="E2305" s="361" t="s">
        <v>2131</v>
      </c>
      <c r="F2305" s="362" t="s">
        <v>2130</v>
      </c>
      <c r="G2305" s="327" t="s">
        <v>155</v>
      </c>
      <c r="H2305" s="327" t="s">
        <v>536</v>
      </c>
      <c r="I2305" s="411" t="s">
        <v>2857</v>
      </c>
      <c r="J2305" s="359"/>
      <c r="K2305" s="327"/>
      <c r="L2305" s="389">
        <v>38000</v>
      </c>
      <c r="M2305" s="371"/>
      <c r="N2305" s="355" t="str">
        <f t="shared" si="267"/>
        <v>PK</v>
      </c>
      <c r="O2305" s="404" t="s">
        <v>1782</v>
      </c>
      <c r="P2305" s="392"/>
      <c r="Q2305" s="327"/>
      <c r="R2305" s="351"/>
      <c r="S2305" s="351"/>
      <c r="T2305" s="351"/>
      <c r="U2305" s="329" t="str">
        <f>IF($N2305=$N$4,IFERROR(INDEX(DanhMuc!$E$154:$E$165,MATCH(MID($B2305,4,2),DanhMuc!$B$154:$B$165,0)),""),"")</f>
        <v/>
      </c>
      <c r="V2305" s="361"/>
      <c r="W2305" s="345"/>
      <c r="X2305" s="329" t="str">
        <f t="shared" si="268"/>
        <v>FI</v>
      </c>
      <c r="Y2305" s="1128" t="s">
        <v>3380</v>
      </c>
      <c r="Z2305" s="1128" t="s">
        <v>3381</v>
      </c>
      <c r="AA2305" s="1128" t="s">
        <v>3384</v>
      </c>
      <c r="AB2305" s="20"/>
      <c r="AC2305" s="73"/>
    </row>
    <row r="2306" spans="1:29">
      <c r="A2306" s="327" t="str">
        <f>IF(AND($B2306&lt;&gt;"",$C2306&lt;&gt;""),MAX($A$1556:A2283)+1,"")</f>
        <v/>
      </c>
      <c r="B2306" s="361" t="s">
        <v>3160</v>
      </c>
      <c r="C2306" s="360"/>
      <c r="D2306" s="327">
        <f>IF($B2306="","",COUNTIF($B$6:$B2306,$B2306))</f>
        <v>9</v>
      </c>
      <c r="E2306" s="361" t="s">
        <v>2129</v>
      </c>
      <c r="F2306" s="362" t="s">
        <v>2130</v>
      </c>
      <c r="G2306" s="327" t="s">
        <v>155</v>
      </c>
      <c r="H2306" s="327" t="s">
        <v>536</v>
      </c>
      <c r="I2306" s="411" t="s">
        <v>2855</v>
      </c>
      <c r="J2306" s="359"/>
      <c r="K2306" s="327"/>
      <c r="L2306" s="389">
        <v>45000</v>
      </c>
      <c r="M2306" s="371"/>
      <c r="N2306" s="355" t="str">
        <f t="shared" si="267"/>
        <v>PK</v>
      </c>
      <c r="O2306" s="404" t="s">
        <v>1782</v>
      </c>
      <c r="P2306" s="392"/>
      <c r="Q2306" s="327"/>
      <c r="R2306" s="351"/>
      <c r="S2306" s="351"/>
      <c r="T2306" s="351"/>
      <c r="U2306" s="329" t="str">
        <f>IF($N2306=$N$4,IFERROR(INDEX(DanhMuc!$E$154:$E$165,MATCH(MID($B2306,4,2),DanhMuc!$B$154:$B$165,0)),""),"")</f>
        <v/>
      </c>
      <c r="V2306" s="361"/>
      <c r="W2306" s="345"/>
      <c r="X2306" s="329" t="str">
        <f t="shared" si="268"/>
        <v>FI</v>
      </c>
      <c r="Y2306" s="1128" t="s">
        <v>3380</v>
      </c>
      <c r="Z2306" s="1128" t="s">
        <v>3381</v>
      </c>
      <c r="AA2306" s="1128" t="s">
        <v>3384</v>
      </c>
      <c r="AB2306" s="20"/>
      <c r="AC2306" s="73"/>
    </row>
    <row r="2307" spans="1:29">
      <c r="A2307" s="327" t="str">
        <f>IF(AND($B2307&lt;&gt;"",$C2307&lt;&gt;""),MAX($A$1556:A2284)+1,"")</f>
        <v/>
      </c>
      <c r="B2307" s="361" t="s">
        <v>3160</v>
      </c>
      <c r="C2307" s="360"/>
      <c r="D2307" s="327">
        <f>IF($B2307="","",COUNTIF($B$6:$B2307,$B2307))</f>
        <v>10</v>
      </c>
      <c r="E2307" s="361" t="s">
        <v>2133</v>
      </c>
      <c r="F2307" s="362" t="s">
        <v>2141</v>
      </c>
      <c r="G2307" s="327" t="s">
        <v>155</v>
      </c>
      <c r="H2307" s="327" t="s">
        <v>536</v>
      </c>
      <c r="I2307" s="327">
        <v>2</v>
      </c>
      <c r="J2307" s="359"/>
      <c r="K2307" s="327"/>
      <c r="L2307" s="389">
        <v>5000</v>
      </c>
      <c r="M2307" s="371"/>
      <c r="N2307" s="355" t="str">
        <f t="shared" si="267"/>
        <v>PK</v>
      </c>
      <c r="O2307" s="404" t="s">
        <v>1782</v>
      </c>
      <c r="P2307" s="392"/>
      <c r="Q2307" s="327"/>
      <c r="R2307" s="351"/>
      <c r="S2307" s="351"/>
      <c r="T2307" s="351"/>
      <c r="U2307" s="329" t="str">
        <f>IF($N2307=$N$4,IFERROR(INDEX(DanhMuc!$E$154:$E$165,MATCH(MID($B2307,4,2),DanhMuc!$B$154:$B$165,0)),""),"")</f>
        <v/>
      </c>
      <c r="V2307" s="361"/>
      <c r="W2307" s="345"/>
      <c r="X2307" s="329" t="str">
        <f t="shared" si="268"/>
        <v>FI</v>
      </c>
      <c r="Y2307" s="1128" t="s">
        <v>3380</v>
      </c>
      <c r="Z2307" s="1128" t="s">
        <v>3381</v>
      </c>
      <c r="AA2307" s="1128" t="s">
        <v>3384</v>
      </c>
      <c r="AB2307" s="20"/>
      <c r="AC2307" s="73"/>
    </row>
    <row r="2308" spans="1:29">
      <c r="A2308" s="327" t="str">
        <f>IF(AND($B2308&lt;&gt;"",$C2308&lt;&gt;""),MAX($A$1556:A2285)+1,"")</f>
        <v/>
      </c>
      <c r="B2308" s="361" t="s">
        <v>3160</v>
      </c>
      <c r="C2308" s="360"/>
      <c r="D2308" s="327">
        <f>IF($B2308="","",COUNTIF($B$6:$B2308,$B2308))</f>
        <v>11</v>
      </c>
      <c r="E2308" s="361" t="s">
        <v>187</v>
      </c>
      <c r="F2308" s="362" t="s">
        <v>189</v>
      </c>
      <c r="G2308" s="327" t="s">
        <v>155</v>
      </c>
      <c r="H2308" s="327"/>
      <c r="I2308" s="327">
        <v>4</v>
      </c>
      <c r="J2308" s="359"/>
      <c r="K2308" s="327"/>
      <c r="L2308" s="389">
        <v>5000</v>
      </c>
      <c r="M2308" s="371"/>
      <c r="N2308" s="355" t="str">
        <f t="shared" ref="N2308:N2374" si="269">+$N$1555</f>
        <v>PK</v>
      </c>
      <c r="O2308" s="345"/>
      <c r="P2308" s="392"/>
      <c r="Q2308" s="327"/>
      <c r="R2308" s="351"/>
      <c r="S2308" s="351"/>
      <c r="T2308" s="351"/>
      <c r="U2308" s="329" t="str">
        <f>IF($N2308=$N$4,IFERROR(INDEX(DanhMuc!$E$154:$E$165,MATCH(MID($B2308,4,2),DanhMuc!$B$154:$B$165,0)),""),"")</f>
        <v/>
      </c>
      <c r="V2308" s="361"/>
      <c r="W2308" s="345"/>
      <c r="X2308" s="329" t="str">
        <f t="shared" si="268"/>
        <v>FI</v>
      </c>
      <c r="Y2308" s="1128" t="s">
        <v>3380</v>
      </c>
      <c r="Z2308" s="1128" t="s">
        <v>3381</v>
      </c>
      <c r="AA2308" s="1128" t="s">
        <v>3384</v>
      </c>
      <c r="AB2308" s="20"/>
      <c r="AC2308" s="73"/>
    </row>
    <row r="2309" spans="1:29">
      <c r="A2309" s="327" t="str">
        <f>IF(AND($B2309&lt;&gt;"",$C2309&lt;&gt;""),MAX($A$1556:A2286)+1,"")</f>
        <v/>
      </c>
      <c r="B2309" s="361" t="s">
        <v>3160</v>
      </c>
      <c r="C2309" s="360"/>
      <c r="D2309" s="327">
        <f>IF($B2309="","",COUNTIF($B$6:$B2309,$B2309))</f>
        <v>12</v>
      </c>
      <c r="E2309" s="361" t="s">
        <v>172</v>
      </c>
      <c r="F2309" s="362" t="s">
        <v>173</v>
      </c>
      <c r="G2309" s="327" t="s">
        <v>155</v>
      </c>
      <c r="H2309" s="327"/>
      <c r="I2309" s="327">
        <v>1</v>
      </c>
      <c r="J2309" s="345"/>
      <c r="K2309" s="327"/>
      <c r="L2309" s="389">
        <v>6000</v>
      </c>
      <c r="M2309" s="371"/>
      <c r="N2309" s="355" t="str">
        <f t="shared" si="269"/>
        <v>PK</v>
      </c>
      <c r="O2309" s="345"/>
      <c r="P2309" s="392"/>
      <c r="Q2309" s="327"/>
      <c r="R2309" s="351"/>
      <c r="S2309" s="351"/>
      <c r="T2309" s="351"/>
      <c r="U2309" s="329" t="str">
        <f>IF($N2309=$N$4,IFERROR(INDEX(DanhMuc!$E$154:$E$165,MATCH(MID($B2309,4,2),DanhMuc!$B$154:$B$165,0)),""),"")</f>
        <v/>
      </c>
      <c r="V2309" s="361"/>
      <c r="W2309" s="345"/>
      <c r="X2309" s="329" t="str">
        <f t="shared" si="268"/>
        <v>FI</v>
      </c>
      <c r="Y2309" s="1128" t="s">
        <v>3380</v>
      </c>
      <c r="Z2309" s="1128" t="s">
        <v>3381</v>
      </c>
      <c r="AA2309" s="1128" t="s">
        <v>3384</v>
      </c>
      <c r="AB2309" s="20"/>
      <c r="AC2309" s="73"/>
    </row>
    <row r="2310" spans="1:29">
      <c r="A2310" s="327" t="str">
        <f>IF(AND($B2310&lt;&gt;"",$C2310&lt;&gt;""),MAX($A$1556:A2286)+1,"")</f>
        <v/>
      </c>
      <c r="B2310" s="361" t="s">
        <v>3160</v>
      </c>
      <c r="C2310" s="360"/>
      <c r="D2310" s="327">
        <f>IF($B2310="","",COUNTIF($B$6:$B2310,$B2310))</f>
        <v>13</v>
      </c>
      <c r="E2310" s="361" t="s">
        <v>163</v>
      </c>
      <c r="F2310" s="362" t="s">
        <v>164</v>
      </c>
      <c r="G2310" s="327" t="s">
        <v>155</v>
      </c>
      <c r="H2310" s="327"/>
      <c r="I2310" s="327">
        <v>2</v>
      </c>
      <c r="J2310" s="345"/>
      <c r="K2310" s="327"/>
      <c r="L2310" s="389">
        <v>2500</v>
      </c>
      <c r="M2310" s="371"/>
      <c r="N2310" s="355" t="str">
        <f t="shared" si="269"/>
        <v>PK</v>
      </c>
      <c r="O2310" s="345"/>
      <c r="P2310" s="392"/>
      <c r="Q2310" s="327"/>
      <c r="R2310" s="351"/>
      <c r="S2310" s="351"/>
      <c r="T2310" s="351"/>
      <c r="U2310" s="329" t="str">
        <f>IF($N2310=$N$4,IFERROR(INDEX(DanhMuc!$E$154:$E$165,MATCH(MID($B2310,4,2),DanhMuc!$B$154:$B$165,0)),""),"")</f>
        <v/>
      </c>
      <c r="V2310" s="361"/>
      <c r="W2310" s="345"/>
      <c r="X2310" s="329" t="str">
        <f t="shared" si="268"/>
        <v>FI</v>
      </c>
      <c r="Y2310" s="1128" t="s">
        <v>3380</v>
      </c>
      <c r="Z2310" s="1128" t="s">
        <v>3381</v>
      </c>
      <c r="AA2310" s="1128" t="s">
        <v>3384</v>
      </c>
      <c r="AB2310" s="20"/>
      <c r="AC2310" s="73"/>
    </row>
    <row r="2311" spans="1:29">
      <c r="A2311" s="327" t="str">
        <f>IF(AND($B2311&lt;&gt;"",$C2311&lt;&gt;""),MAX($A$1556:A2291)+1,"")</f>
        <v/>
      </c>
      <c r="B2311" s="361" t="s">
        <v>3160</v>
      </c>
      <c r="C2311" s="360"/>
      <c r="D2311" s="327">
        <f>IF($B2311="","",COUNTIF($B$6:$B2311,$B2311))</f>
        <v>14</v>
      </c>
      <c r="E2311" s="361" t="s">
        <v>165</v>
      </c>
      <c r="F2311" s="362" t="s">
        <v>166</v>
      </c>
      <c r="G2311" s="327" t="s">
        <v>155</v>
      </c>
      <c r="H2311" s="327"/>
      <c r="I2311" s="327">
        <v>2</v>
      </c>
      <c r="J2311" s="359"/>
      <c r="K2311" s="327"/>
      <c r="L2311" s="389">
        <v>1700</v>
      </c>
      <c r="M2311" s="371"/>
      <c r="N2311" s="355" t="str">
        <f t="shared" si="269"/>
        <v>PK</v>
      </c>
      <c r="O2311" s="345"/>
      <c r="P2311" s="392"/>
      <c r="Q2311" s="327"/>
      <c r="R2311" s="351"/>
      <c r="S2311" s="351"/>
      <c r="T2311" s="351"/>
      <c r="U2311" s="329" t="str">
        <f>IF($N2311=$N$4,IFERROR(INDEX(DanhMuc!$E$154:$E$165,MATCH(MID($B2311,4,2),DanhMuc!$B$154:$B$165,0)),""),"")</f>
        <v/>
      </c>
      <c r="V2311" s="361"/>
      <c r="W2311" s="345"/>
      <c r="X2311" s="329" t="str">
        <f t="shared" si="268"/>
        <v>FI</v>
      </c>
      <c r="Y2311" s="1128" t="s">
        <v>3380</v>
      </c>
      <c r="Z2311" s="1128" t="s">
        <v>3381</v>
      </c>
      <c r="AA2311" s="1128" t="s">
        <v>3384</v>
      </c>
      <c r="AB2311" s="20"/>
      <c r="AC2311" s="73"/>
    </row>
    <row r="2312" spans="1:29">
      <c r="A2312" s="327" t="str">
        <f>IF(AND($B2312&lt;&gt;"",$C2312&lt;&gt;""),MAX($A$1556:A2311)+1,"")</f>
        <v/>
      </c>
      <c r="B2312" s="361" t="s">
        <v>3160</v>
      </c>
      <c r="C2312" s="360"/>
      <c r="D2312" s="327">
        <f>IF($B2312="","",COUNTIF($B$6:$B2312,$B2312))</f>
        <v>15</v>
      </c>
      <c r="E2312" s="361" t="s">
        <v>167</v>
      </c>
      <c r="F2312" s="362" t="s">
        <v>168</v>
      </c>
      <c r="G2312" s="327" t="s">
        <v>155</v>
      </c>
      <c r="H2312" s="327"/>
      <c r="I2312" s="327">
        <v>2</v>
      </c>
      <c r="J2312" s="359"/>
      <c r="K2312" s="327"/>
      <c r="L2312" s="389">
        <v>1700</v>
      </c>
      <c r="M2312" s="371"/>
      <c r="N2312" s="355" t="str">
        <f t="shared" si="269"/>
        <v>PK</v>
      </c>
      <c r="O2312" s="345"/>
      <c r="P2312" s="392"/>
      <c r="Q2312" s="327"/>
      <c r="R2312" s="351"/>
      <c r="S2312" s="351"/>
      <c r="T2312" s="351"/>
      <c r="U2312" s="329" t="str">
        <f>IF($N2312=$N$4,IFERROR(INDEX(DanhMuc!$E$154:$E$165,MATCH(MID($B2312,4,2),DanhMuc!$B$154:$B$165,0)),""),"")</f>
        <v/>
      </c>
      <c r="V2312" s="361"/>
      <c r="W2312" s="345"/>
      <c r="X2312" s="329" t="str">
        <f t="shared" si="268"/>
        <v>FI</v>
      </c>
      <c r="Y2312" s="1128" t="s">
        <v>3380</v>
      </c>
      <c r="Z2312" s="1128" t="s">
        <v>3381</v>
      </c>
      <c r="AA2312" s="1128" t="s">
        <v>3384</v>
      </c>
      <c r="AB2312" s="20"/>
      <c r="AC2312" s="73"/>
    </row>
    <row r="2313" spans="1:29">
      <c r="A2313" s="327" t="str">
        <f>IF(AND($B2313&lt;&gt;"",$C2313&lt;&gt;""),MAX($A$1556:A2312)+1,"")</f>
        <v/>
      </c>
      <c r="B2313" s="361" t="s">
        <v>3160</v>
      </c>
      <c r="C2313" s="360"/>
      <c r="D2313" s="327">
        <f>IF($B2313="","",COUNTIF($B$6:$B2313,$B2313))</f>
        <v>16</v>
      </c>
      <c r="E2313" s="361" t="s">
        <v>169</v>
      </c>
      <c r="F2313" s="362" t="s">
        <v>170</v>
      </c>
      <c r="G2313" s="327" t="s">
        <v>155</v>
      </c>
      <c r="H2313" s="327"/>
      <c r="I2313" s="327">
        <v>2</v>
      </c>
      <c r="J2313" s="359"/>
      <c r="K2313" s="327"/>
      <c r="L2313" s="389">
        <v>1700</v>
      </c>
      <c r="M2313" s="371"/>
      <c r="N2313" s="355" t="str">
        <f t="shared" si="269"/>
        <v>PK</v>
      </c>
      <c r="O2313" s="345"/>
      <c r="P2313" s="392"/>
      <c r="Q2313" s="327"/>
      <c r="R2313" s="351"/>
      <c r="S2313" s="351"/>
      <c r="T2313" s="351"/>
      <c r="U2313" s="329" t="str">
        <f>IF($N2313=$N$4,IFERROR(INDEX(DanhMuc!$E$154:$E$165,MATCH(MID($B2313,4,2),DanhMuc!$B$154:$B$165,0)),""),"")</f>
        <v/>
      </c>
      <c r="V2313" s="361"/>
      <c r="W2313" s="345"/>
      <c r="X2313" s="329" t="str">
        <f t="shared" si="268"/>
        <v>FI</v>
      </c>
      <c r="Y2313" s="1128" t="s">
        <v>3380</v>
      </c>
      <c r="Z2313" s="1128" t="s">
        <v>3381</v>
      </c>
      <c r="AA2313" s="1128" t="s">
        <v>3384</v>
      </c>
      <c r="AB2313" s="20"/>
      <c r="AC2313" s="73"/>
    </row>
    <row r="2314" spans="1:29">
      <c r="A2314" s="327" t="str">
        <f>IF(AND($B2314&lt;&gt;"",$C2314&lt;&gt;""),MAX($A$1556:A2313)+1,"")</f>
        <v/>
      </c>
      <c r="B2314" s="361" t="s">
        <v>3160</v>
      </c>
      <c r="C2314" s="360"/>
      <c r="D2314" s="327">
        <f>IF($B2314="","",COUNTIF($B$6:$B2314,$B2314))</f>
        <v>17</v>
      </c>
      <c r="E2314" s="361" t="s">
        <v>171</v>
      </c>
      <c r="F2314" s="362" t="s">
        <v>291</v>
      </c>
      <c r="G2314" s="327" t="s">
        <v>155</v>
      </c>
      <c r="H2314" s="327"/>
      <c r="I2314" s="327">
        <v>2</v>
      </c>
      <c r="J2314" s="345"/>
      <c r="K2314" s="327"/>
      <c r="L2314" s="389">
        <v>1700</v>
      </c>
      <c r="M2314" s="371"/>
      <c r="N2314" s="355" t="str">
        <f t="shared" si="269"/>
        <v>PK</v>
      </c>
      <c r="O2314" s="345"/>
      <c r="P2314" s="392"/>
      <c r="Q2314" s="327"/>
      <c r="R2314" s="351"/>
      <c r="S2314" s="351"/>
      <c r="T2314" s="351"/>
      <c r="U2314" s="329" t="str">
        <f>IF($N2314=$N$4,IFERROR(INDEX(DanhMuc!$E$154:$E$165,MATCH(MID($B2314,4,2),DanhMuc!$B$154:$B$165,0)),""),"")</f>
        <v/>
      </c>
      <c r="V2314" s="361"/>
      <c r="W2314" s="345"/>
      <c r="X2314" s="329" t="str">
        <f t="shared" si="268"/>
        <v>FI</v>
      </c>
      <c r="Y2314" s="1128" t="s">
        <v>3380</v>
      </c>
      <c r="Z2314" s="1128" t="s">
        <v>3381</v>
      </c>
      <c r="AA2314" s="1128" t="s">
        <v>3384</v>
      </c>
      <c r="AB2314" s="20"/>
      <c r="AC2314" s="73"/>
    </row>
    <row r="2315" spans="1:29">
      <c r="A2315" s="327" t="str">
        <f>IF(AND($B2315&lt;&gt;"",$C2315&lt;&gt;""),MAX($A$1556:A2314)+1,"")</f>
        <v/>
      </c>
      <c r="B2315" s="361" t="s">
        <v>3160</v>
      </c>
      <c r="C2315" s="360"/>
      <c r="D2315" s="327">
        <f>IF($B2315="","",COUNTIF($B$6:$B2315,$B2315))</f>
        <v>18</v>
      </c>
      <c r="E2315" s="361" t="s">
        <v>2128</v>
      </c>
      <c r="F2315" s="362" t="s">
        <v>186</v>
      </c>
      <c r="G2315" s="327" t="s">
        <v>155</v>
      </c>
      <c r="H2315" s="327" t="s">
        <v>536</v>
      </c>
      <c r="I2315" s="327">
        <v>4</v>
      </c>
      <c r="J2315" s="361"/>
      <c r="K2315" s="327"/>
      <c r="L2315" s="389">
        <v>38000</v>
      </c>
      <c r="M2315" s="371"/>
      <c r="N2315" s="355" t="str">
        <f t="shared" si="269"/>
        <v>PK</v>
      </c>
      <c r="O2315" s="345"/>
      <c r="P2315" s="392"/>
      <c r="Q2315" s="327"/>
      <c r="R2315" s="351"/>
      <c r="S2315" s="351"/>
      <c r="T2315" s="351"/>
      <c r="U2315" s="329" t="str">
        <f>IF($N2315=$N$4,IFERROR(INDEX(DanhMuc!$E$154:$E$165,MATCH(MID($B2315,4,2),DanhMuc!$B$154:$B$165,0)),""),"")</f>
        <v/>
      </c>
      <c r="V2315" s="361"/>
      <c r="W2315" s="345"/>
      <c r="X2315" s="329" t="str">
        <f t="shared" si="268"/>
        <v>FI</v>
      </c>
      <c r="Y2315" s="1128" t="s">
        <v>3380</v>
      </c>
      <c r="Z2315" s="1128" t="s">
        <v>3381</v>
      </c>
      <c r="AA2315" s="1128" t="s">
        <v>3384</v>
      </c>
      <c r="AB2315" s="20"/>
      <c r="AC2315" s="73"/>
    </row>
    <row r="2316" spans="1:29" ht="52">
      <c r="A2316" s="327">
        <f>IF(AND($B2316&lt;&gt;"",$C2316&lt;&gt;""),MAX($A$1556:A2295)+1,"")</f>
        <v>131</v>
      </c>
      <c r="B2316" s="359" t="s">
        <v>3184</v>
      </c>
      <c r="C2316" s="360" t="s">
        <v>1881</v>
      </c>
      <c r="D2316" s="327">
        <f>IF($B2316="","",COUNTIF($B$6:$B2316,$B2316))</f>
        <v>1</v>
      </c>
      <c r="E2316" s="361" t="s">
        <v>2123</v>
      </c>
      <c r="F2316" s="362" t="s">
        <v>2564</v>
      </c>
      <c r="G2316" s="327" t="s">
        <v>297</v>
      </c>
      <c r="H2316" s="327"/>
      <c r="I2316" s="327">
        <v>1</v>
      </c>
      <c r="J2316" s="345"/>
      <c r="K2316" s="327"/>
      <c r="L2316" s="389">
        <v>115000</v>
      </c>
      <c r="M2316" s="371"/>
      <c r="N2316" s="355" t="str">
        <f t="shared" si="269"/>
        <v>PK</v>
      </c>
      <c r="O2316" s="404" t="s">
        <v>2560</v>
      </c>
      <c r="P2316" s="392"/>
      <c r="Q2316" s="327"/>
      <c r="R2316" s="351"/>
      <c r="S2316" s="351"/>
      <c r="T2316" s="351"/>
      <c r="U2316" s="329" t="str">
        <f>IF($N2316=$N$4,IFERROR(INDEX(DanhMuc!$E$154:$E$165,MATCH(MID($B2316,4,2),DanhMuc!$B$154:$B$165,0)),""),"")</f>
        <v/>
      </c>
      <c r="V2316" s="361"/>
      <c r="W2316" s="345"/>
      <c r="X2316" s="329" t="str">
        <f t="shared" si="268"/>
        <v>KL</v>
      </c>
      <c r="Y2316" s="1128" t="s">
        <v>3380</v>
      </c>
      <c r="Z2316" s="1128" t="s">
        <v>3381</v>
      </c>
      <c r="AA2316" s="1128" t="s">
        <v>3384</v>
      </c>
      <c r="AB2316" s="20"/>
      <c r="AC2316" s="73"/>
    </row>
    <row r="2317" spans="1:29">
      <c r="A2317" s="327" t="str">
        <f>IF(AND($B2317&lt;&gt;"",$C2317&lt;&gt;""),MAX($A$1556:A2296)+1,"")</f>
        <v/>
      </c>
      <c r="B2317" s="361" t="s">
        <v>3184</v>
      </c>
      <c r="C2317" s="362"/>
      <c r="D2317" s="327">
        <f>IF($B2317="","",COUNTIF($B$6:$B2317,$B2317))</f>
        <v>2</v>
      </c>
      <c r="E2317" s="361" t="s">
        <v>2123</v>
      </c>
      <c r="F2317" s="362" t="s">
        <v>2565</v>
      </c>
      <c r="G2317" s="327" t="s">
        <v>297</v>
      </c>
      <c r="H2317" s="327"/>
      <c r="I2317" s="327">
        <v>1</v>
      </c>
      <c r="J2317" s="345"/>
      <c r="K2317" s="327"/>
      <c r="L2317" s="389">
        <v>115000</v>
      </c>
      <c r="M2317" s="371"/>
      <c r="N2317" s="355" t="str">
        <f t="shared" si="269"/>
        <v>PK</v>
      </c>
      <c r="O2317" s="404" t="s">
        <v>2561</v>
      </c>
      <c r="P2317" s="392"/>
      <c r="Q2317" s="327"/>
      <c r="R2317" s="351"/>
      <c r="S2317" s="351"/>
      <c r="T2317" s="351"/>
      <c r="U2317" s="329" t="str">
        <f>IF($N2317=$N$4,IFERROR(INDEX(DanhMuc!$E$154:$E$165,MATCH(MID($B2317,4,2),DanhMuc!$B$154:$B$165,0)),""),"")</f>
        <v/>
      </c>
      <c r="V2317" s="361"/>
      <c r="W2317" s="345"/>
      <c r="X2317" s="329" t="str">
        <f t="shared" si="268"/>
        <v>KL</v>
      </c>
      <c r="Y2317" s="1128" t="s">
        <v>3380</v>
      </c>
      <c r="Z2317" s="1128" t="s">
        <v>3381</v>
      </c>
      <c r="AA2317" s="1128" t="s">
        <v>3384</v>
      </c>
      <c r="AB2317" s="20"/>
      <c r="AC2317" s="73"/>
    </row>
    <row r="2318" spans="1:29">
      <c r="A2318" s="327" t="str">
        <f>IF(AND($B2318&lt;&gt;"",$C2318&lt;&gt;""),MAX($A$1556:A2297)+1,"")</f>
        <v/>
      </c>
      <c r="B2318" s="361" t="s">
        <v>3184</v>
      </c>
      <c r="C2318" s="362"/>
      <c r="D2318" s="327">
        <f>IF($B2318="","",COUNTIF($B$6:$B2318,$B2318))</f>
        <v>3</v>
      </c>
      <c r="E2318" s="361" t="s">
        <v>2125</v>
      </c>
      <c r="F2318" s="362" t="s">
        <v>2126</v>
      </c>
      <c r="G2318" s="327" t="s">
        <v>155</v>
      </c>
      <c r="H2318" s="327"/>
      <c r="I2318" s="327">
        <v>1</v>
      </c>
      <c r="J2318" s="345"/>
      <c r="K2318" s="327"/>
      <c r="L2318" s="389">
        <v>5000</v>
      </c>
      <c r="M2318" s="371"/>
      <c r="N2318" s="355" t="str">
        <f t="shared" si="269"/>
        <v>PK</v>
      </c>
      <c r="O2318" s="404" t="s">
        <v>1783</v>
      </c>
      <c r="P2318" s="392"/>
      <c r="Q2318" s="327"/>
      <c r="R2318" s="351"/>
      <c r="S2318" s="351"/>
      <c r="T2318" s="351"/>
      <c r="U2318" s="329" t="str">
        <f>IF($N2318=$N$4,IFERROR(INDEX(DanhMuc!$E$154:$E$165,MATCH(MID($B2318,4,2),DanhMuc!$B$154:$B$165,0)),""),"")</f>
        <v/>
      </c>
      <c r="V2318" s="361"/>
      <c r="W2318" s="345"/>
      <c r="X2318" s="329" t="str">
        <f t="shared" si="268"/>
        <v>KL</v>
      </c>
      <c r="Y2318" s="1128" t="s">
        <v>3380</v>
      </c>
      <c r="Z2318" s="1128" t="s">
        <v>3381</v>
      </c>
      <c r="AA2318" s="1128" t="s">
        <v>3384</v>
      </c>
      <c r="AB2318" s="20"/>
      <c r="AC2318" s="73"/>
    </row>
    <row r="2319" spans="1:29">
      <c r="A2319" s="327" t="str">
        <f>IF(AND($B2319&lt;&gt;"",$C2319&lt;&gt;""),MAX($A$1556:A2297)+1,"")</f>
        <v/>
      </c>
      <c r="B2319" s="361" t="s">
        <v>3184</v>
      </c>
      <c r="C2319" s="362"/>
      <c r="D2319" s="327">
        <f>IF($B2319="","",COUNTIF($B$6:$B2319,$B2319))</f>
        <v>4</v>
      </c>
      <c r="E2319" s="361" t="s">
        <v>2232</v>
      </c>
      <c r="F2319" s="362" t="s">
        <v>2127</v>
      </c>
      <c r="G2319" s="327" t="s">
        <v>155</v>
      </c>
      <c r="H2319" s="327"/>
      <c r="I2319" s="327">
        <v>1</v>
      </c>
      <c r="J2319" s="345"/>
      <c r="K2319" s="327"/>
      <c r="L2319" s="389">
        <v>35500</v>
      </c>
      <c r="M2319" s="371"/>
      <c r="N2319" s="355" t="str">
        <f t="shared" si="269"/>
        <v>PK</v>
      </c>
      <c r="O2319" s="345"/>
      <c r="P2319" s="392"/>
      <c r="Q2319" s="327"/>
      <c r="R2319" s="351"/>
      <c r="S2319" s="351"/>
      <c r="T2319" s="351"/>
      <c r="U2319" s="329" t="str">
        <f>IF($N2319=$N$4,IFERROR(INDEX(DanhMuc!$E$154:$E$165,MATCH(MID($B2319,4,2),DanhMuc!$B$154:$B$165,0)),""),"")</f>
        <v/>
      </c>
      <c r="V2319" s="361"/>
      <c r="W2319" s="345"/>
      <c r="X2319" s="329" t="str">
        <f t="shared" si="268"/>
        <v>KL</v>
      </c>
      <c r="Y2319" s="1128" t="s">
        <v>3380</v>
      </c>
      <c r="Z2319" s="1128" t="s">
        <v>3381</v>
      </c>
      <c r="AA2319" s="1128" t="s">
        <v>3384</v>
      </c>
      <c r="AB2319" s="20"/>
      <c r="AC2319" s="73"/>
    </row>
    <row r="2320" spans="1:29">
      <c r="A2320" s="327" t="str">
        <f>IF(AND($B2320&lt;&gt;"",$C2320&lt;&gt;""),MAX($A$1556:A2298)+1,"")</f>
        <v/>
      </c>
      <c r="B2320" s="361" t="s">
        <v>3184</v>
      </c>
      <c r="C2320" s="360"/>
      <c r="D2320" s="327">
        <f>IF($B2320="","",COUNTIF($B$6:$B2320,$B2320))</f>
        <v>5</v>
      </c>
      <c r="E2320" s="361" t="s">
        <v>2125</v>
      </c>
      <c r="F2320" s="362" t="s">
        <v>2126</v>
      </c>
      <c r="G2320" s="327" t="s">
        <v>155</v>
      </c>
      <c r="H2320" s="327"/>
      <c r="I2320" s="327">
        <v>1</v>
      </c>
      <c r="J2320" s="345"/>
      <c r="K2320" s="327"/>
      <c r="L2320" s="389">
        <v>5000</v>
      </c>
      <c r="M2320" s="371"/>
      <c r="N2320" s="355" t="str">
        <f t="shared" si="269"/>
        <v>PK</v>
      </c>
      <c r="O2320" s="345"/>
      <c r="P2320" s="392"/>
      <c r="Q2320" s="327"/>
      <c r="R2320" s="351"/>
      <c r="S2320" s="351"/>
      <c r="T2320" s="351"/>
      <c r="U2320" s="329" t="str">
        <f>IF($N2320=$N$4,IFERROR(INDEX(DanhMuc!$E$154:$E$165,MATCH(MID($B2320,4,2),DanhMuc!$B$154:$B$165,0)),""),"")</f>
        <v/>
      </c>
      <c r="V2320" s="361"/>
      <c r="W2320" s="345"/>
      <c r="X2320" s="329" t="str">
        <f t="shared" si="268"/>
        <v>KL</v>
      </c>
      <c r="Y2320" s="1128" t="s">
        <v>3380</v>
      </c>
      <c r="Z2320" s="1128" t="s">
        <v>3381</v>
      </c>
      <c r="AA2320" s="1128" t="s">
        <v>3384</v>
      </c>
      <c r="AB2320" s="20"/>
      <c r="AC2320" s="73"/>
    </row>
    <row r="2321" spans="1:29">
      <c r="A2321" s="327" t="str">
        <f>IF(AND($B2321&lt;&gt;"",$C2321&lt;&gt;""),MAX($A$1556:A2299)+1,"")</f>
        <v/>
      </c>
      <c r="B2321" s="361" t="s">
        <v>3184</v>
      </c>
      <c r="C2321" s="360"/>
      <c r="D2321" s="327">
        <f>IF($B2321="","",COUNTIF($B$6:$B2321,$B2321))</f>
        <v>6</v>
      </c>
      <c r="E2321" s="361" t="s">
        <v>2139</v>
      </c>
      <c r="F2321" s="362" t="s">
        <v>2137</v>
      </c>
      <c r="G2321" s="327" t="s">
        <v>155</v>
      </c>
      <c r="H2321" s="327"/>
      <c r="I2321" s="327">
        <v>1</v>
      </c>
      <c r="J2321" s="345"/>
      <c r="K2321" s="327"/>
      <c r="L2321" s="389">
        <v>70323</v>
      </c>
      <c r="M2321" s="371"/>
      <c r="N2321" s="355" t="str">
        <f t="shared" si="269"/>
        <v>PK</v>
      </c>
      <c r="O2321" s="404" t="s">
        <v>1782</v>
      </c>
      <c r="P2321" s="392"/>
      <c r="Q2321" s="327"/>
      <c r="R2321" s="351"/>
      <c r="S2321" s="351"/>
      <c r="T2321" s="351"/>
      <c r="U2321" s="329" t="str">
        <f>IF($N2321=$N$4,IFERROR(INDEX(DanhMuc!$E$154:$E$165,MATCH(MID($B2321,4,2),DanhMuc!$B$154:$B$165,0)),""),"")</f>
        <v/>
      </c>
      <c r="V2321" s="361"/>
      <c r="W2321" s="345"/>
      <c r="X2321" s="329" t="str">
        <f t="shared" si="268"/>
        <v>KL</v>
      </c>
      <c r="Y2321" s="1128" t="s">
        <v>3380</v>
      </c>
      <c r="Z2321" s="1128" t="s">
        <v>3381</v>
      </c>
      <c r="AA2321" s="1128" t="s">
        <v>3384</v>
      </c>
      <c r="AB2321" s="20"/>
      <c r="AC2321" s="73"/>
    </row>
    <row r="2322" spans="1:29">
      <c r="A2322" s="327" t="str">
        <f>IF(AND($B2322&lt;&gt;"",$C2322&lt;&gt;""),MAX($A$1556:A2300)+1,"")</f>
        <v/>
      </c>
      <c r="B2322" s="361" t="s">
        <v>3184</v>
      </c>
      <c r="C2322" s="360"/>
      <c r="D2322" s="327">
        <f>IF($B2322="","",COUNTIF($B$6:$B2322,$B2322))</f>
        <v>7</v>
      </c>
      <c r="E2322" s="361" t="s">
        <v>2140</v>
      </c>
      <c r="F2322" s="362" t="s">
        <v>2138</v>
      </c>
      <c r="G2322" s="327" t="s">
        <v>155</v>
      </c>
      <c r="H2322" s="327"/>
      <c r="I2322" s="327">
        <v>1</v>
      </c>
      <c r="J2322" s="345"/>
      <c r="K2322" s="327"/>
      <c r="L2322" s="389">
        <v>70323</v>
      </c>
      <c r="M2322" s="371"/>
      <c r="N2322" s="355" t="str">
        <f t="shared" si="269"/>
        <v>PK</v>
      </c>
      <c r="O2322" s="404" t="s">
        <v>1782</v>
      </c>
      <c r="P2322" s="392"/>
      <c r="Q2322" s="327"/>
      <c r="R2322" s="351"/>
      <c r="S2322" s="351"/>
      <c r="T2322" s="351"/>
      <c r="U2322" s="329" t="str">
        <f>IF($N2322=$N$4,IFERROR(INDEX(DanhMuc!$E$154:$E$165,MATCH(MID($B2322,4,2),DanhMuc!$B$154:$B$165,0)),""),"")</f>
        <v/>
      </c>
      <c r="V2322" s="361"/>
      <c r="W2322" s="345"/>
      <c r="X2322" s="329" t="str">
        <f t="shared" si="268"/>
        <v>KL</v>
      </c>
      <c r="Y2322" s="1128" t="s">
        <v>3380</v>
      </c>
      <c r="Z2322" s="1128" t="s">
        <v>3381</v>
      </c>
      <c r="AA2322" s="1128" t="s">
        <v>3384</v>
      </c>
      <c r="AB2322" s="20"/>
      <c r="AC2322" s="73"/>
    </row>
    <row r="2323" spans="1:29">
      <c r="A2323" s="327" t="str">
        <f>IF(AND($B2323&lt;&gt;"",$C2323&lt;&gt;""),MAX($A$1556:A2299)+1,"")</f>
        <v/>
      </c>
      <c r="B2323" s="361" t="s">
        <v>3184</v>
      </c>
      <c r="C2323" s="360"/>
      <c r="D2323" s="327">
        <f>IF($B2323="","",COUNTIF($B$6:$B2323,$B2323))</f>
        <v>8</v>
      </c>
      <c r="E2323" s="361" t="s">
        <v>2131</v>
      </c>
      <c r="F2323" s="362" t="s">
        <v>2130</v>
      </c>
      <c r="G2323" s="327" t="s">
        <v>155</v>
      </c>
      <c r="H2323" s="327" t="s">
        <v>536</v>
      </c>
      <c r="I2323" s="411" t="s">
        <v>2857</v>
      </c>
      <c r="J2323" s="359"/>
      <c r="K2323" s="327"/>
      <c r="L2323" s="389">
        <v>38000</v>
      </c>
      <c r="M2323" s="371"/>
      <c r="N2323" s="355" t="str">
        <f t="shared" si="269"/>
        <v>PK</v>
      </c>
      <c r="O2323" s="404" t="s">
        <v>1782</v>
      </c>
      <c r="P2323" s="392"/>
      <c r="Q2323" s="327"/>
      <c r="R2323" s="351"/>
      <c r="S2323" s="351"/>
      <c r="T2323" s="351"/>
      <c r="U2323" s="329" t="str">
        <f>IF($N2323=$N$4,IFERROR(INDEX(DanhMuc!$E$154:$E$165,MATCH(MID($B2323,4,2),DanhMuc!$B$154:$B$165,0)),""),"")</f>
        <v/>
      </c>
      <c r="V2323" s="361"/>
      <c r="W2323" s="345"/>
      <c r="X2323" s="329" t="str">
        <f t="shared" si="268"/>
        <v>KL</v>
      </c>
      <c r="Y2323" s="1128" t="s">
        <v>3380</v>
      </c>
      <c r="Z2323" s="1128" t="s">
        <v>3381</v>
      </c>
      <c r="AA2323" s="1128" t="s">
        <v>3384</v>
      </c>
      <c r="AB2323" s="20"/>
      <c r="AC2323" s="73"/>
    </row>
    <row r="2324" spans="1:29">
      <c r="A2324" s="327" t="str">
        <f>IF(AND($B2324&lt;&gt;"",$C2324&lt;&gt;""),MAX($A$1556:A2300)+1,"")</f>
        <v/>
      </c>
      <c r="B2324" s="361" t="s">
        <v>3184</v>
      </c>
      <c r="C2324" s="360"/>
      <c r="D2324" s="327">
        <f>IF($B2324="","",COUNTIF($B$6:$B2324,$B2324))</f>
        <v>9</v>
      </c>
      <c r="E2324" s="361" t="s">
        <v>2129</v>
      </c>
      <c r="F2324" s="362" t="s">
        <v>2130</v>
      </c>
      <c r="G2324" s="327" t="s">
        <v>155</v>
      </c>
      <c r="H2324" s="327" t="s">
        <v>536</v>
      </c>
      <c r="I2324" s="411" t="s">
        <v>2855</v>
      </c>
      <c r="J2324" s="359"/>
      <c r="K2324" s="327"/>
      <c r="L2324" s="389">
        <v>45000</v>
      </c>
      <c r="M2324" s="371"/>
      <c r="N2324" s="355" t="str">
        <f t="shared" si="269"/>
        <v>PK</v>
      </c>
      <c r="O2324" s="404" t="s">
        <v>1782</v>
      </c>
      <c r="P2324" s="392"/>
      <c r="Q2324" s="327"/>
      <c r="R2324" s="351"/>
      <c r="S2324" s="351"/>
      <c r="T2324" s="351"/>
      <c r="U2324" s="329" t="str">
        <f>IF($N2324=$N$4,IFERROR(INDEX(DanhMuc!$E$154:$E$165,MATCH(MID($B2324,4,2),DanhMuc!$B$154:$B$165,0)),""),"")</f>
        <v/>
      </c>
      <c r="V2324" s="361"/>
      <c r="W2324" s="345"/>
      <c r="X2324" s="329" t="str">
        <f t="shared" si="268"/>
        <v>KL</v>
      </c>
      <c r="Y2324" s="1128" t="s">
        <v>3380</v>
      </c>
      <c r="Z2324" s="1128" t="s">
        <v>3381</v>
      </c>
      <c r="AA2324" s="1128" t="s">
        <v>3384</v>
      </c>
      <c r="AB2324" s="20"/>
      <c r="AC2324" s="73"/>
    </row>
    <row r="2325" spans="1:29">
      <c r="A2325" s="327" t="str">
        <f>IF(AND($B2325&lt;&gt;"",$C2325&lt;&gt;""),MAX($A$1556:A2301)+1,"")</f>
        <v/>
      </c>
      <c r="B2325" s="361" t="s">
        <v>3184</v>
      </c>
      <c r="C2325" s="360"/>
      <c r="D2325" s="327">
        <f>IF($B2325="","",COUNTIF($B$6:$B2325,$B2325))</f>
        <v>10</v>
      </c>
      <c r="E2325" s="361" t="s">
        <v>2133</v>
      </c>
      <c r="F2325" s="362" t="s">
        <v>2141</v>
      </c>
      <c r="G2325" s="327" t="s">
        <v>155</v>
      </c>
      <c r="H2325" s="327" t="s">
        <v>2111</v>
      </c>
      <c r="I2325" s="327">
        <v>2</v>
      </c>
      <c r="J2325" s="359"/>
      <c r="K2325" s="327"/>
      <c r="L2325" s="389">
        <v>5000</v>
      </c>
      <c r="M2325" s="371"/>
      <c r="N2325" s="355" t="str">
        <f t="shared" si="269"/>
        <v>PK</v>
      </c>
      <c r="O2325" s="404" t="s">
        <v>1782</v>
      </c>
      <c r="P2325" s="392"/>
      <c r="Q2325" s="327"/>
      <c r="R2325" s="351"/>
      <c r="S2325" s="351"/>
      <c r="T2325" s="351"/>
      <c r="U2325" s="329" t="str">
        <f>IF($N2325=$N$4,IFERROR(INDEX(DanhMuc!$E$154:$E$165,MATCH(MID($B2325,4,2),DanhMuc!$B$154:$B$165,0)),""),"")</f>
        <v/>
      </c>
      <c r="V2325" s="361"/>
      <c r="W2325" s="345"/>
      <c r="X2325" s="329" t="str">
        <f t="shared" si="268"/>
        <v>KL</v>
      </c>
      <c r="Y2325" s="1128" t="s">
        <v>3380</v>
      </c>
      <c r="Z2325" s="1128" t="s">
        <v>3381</v>
      </c>
      <c r="AA2325" s="1128" t="s">
        <v>3384</v>
      </c>
      <c r="AB2325" s="20"/>
      <c r="AC2325" s="73"/>
    </row>
    <row r="2326" spans="1:29">
      <c r="A2326" s="327" t="str">
        <f>IF(AND($B2326&lt;&gt;"",$C2326&lt;&gt;""),MAX($A$1556:A2302)+1,"")</f>
        <v/>
      </c>
      <c r="B2326" s="361" t="s">
        <v>3184</v>
      </c>
      <c r="C2326" s="360"/>
      <c r="D2326" s="327">
        <f>IF($B2326="","",COUNTIF($B$6:$B2326,$B2326))</f>
        <v>11</v>
      </c>
      <c r="E2326" s="361" t="s">
        <v>187</v>
      </c>
      <c r="F2326" s="362" t="s">
        <v>189</v>
      </c>
      <c r="G2326" s="327" t="s">
        <v>155</v>
      </c>
      <c r="H2326" s="327"/>
      <c r="I2326" s="327">
        <v>4</v>
      </c>
      <c r="J2326" s="359"/>
      <c r="K2326" s="327"/>
      <c r="L2326" s="389">
        <v>5000</v>
      </c>
      <c r="M2326" s="371"/>
      <c r="N2326" s="355" t="str">
        <f t="shared" si="269"/>
        <v>PK</v>
      </c>
      <c r="O2326" s="345"/>
      <c r="P2326" s="392"/>
      <c r="Q2326" s="327"/>
      <c r="R2326" s="351"/>
      <c r="S2326" s="351"/>
      <c r="T2326" s="351"/>
      <c r="U2326" s="329" t="str">
        <f>IF($N2326=$N$4,IFERROR(INDEX(DanhMuc!$E$154:$E$165,MATCH(MID($B2326,4,2),DanhMuc!$B$154:$B$165,0)),""),"")</f>
        <v/>
      </c>
      <c r="V2326" s="361"/>
      <c r="W2326" s="345"/>
      <c r="X2326" s="329" t="str">
        <f t="shared" si="268"/>
        <v>KL</v>
      </c>
      <c r="Y2326" s="1128" t="s">
        <v>3380</v>
      </c>
      <c r="Z2326" s="1128" t="s">
        <v>3381</v>
      </c>
      <c r="AA2326" s="1128" t="s">
        <v>3384</v>
      </c>
      <c r="AB2326" s="20"/>
      <c r="AC2326" s="73"/>
    </row>
    <row r="2327" spans="1:29">
      <c r="A2327" s="327" t="str">
        <f>IF(AND($B2327&lt;&gt;"",$C2327&lt;&gt;""),MAX($A$1556:A2303)+1,"")</f>
        <v/>
      </c>
      <c r="B2327" s="361" t="s">
        <v>3184</v>
      </c>
      <c r="C2327" s="360"/>
      <c r="D2327" s="327">
        <f>IF($B2327="","",COUNTIF($B$6:$B2327,$B2327))</f>
        <v>12</v>
      </c>
      <c r="E2327" s="361" t="s">
        <v>172</v>
      </c>
      <c r="F2327" s="362" t="s">
        <v>173</v>
      </c>
      <c r="G2327" s="327" t="s">
        <v>155</v>
      </c>
      <c r="H2327" s="327"/>
      <c r="I2327" s="327">
        <v>1</v>
      </c>
      <c r="J2327" s="345"/>
      <c r="K2327" s="327"/>
      <c r="L2327" s="389">
        <v>6000</v>
      </c>
      <c r="M2327" s="371"/>
      <c r="N2327" s="355" t="str">
        <f t="shared" si="269"/>
        <v>PK</v>
      </c>
      <c r="O2327" s="345"/>
      <c r="P2327" s="392"/>
      <c r="Q2327" s="327"/>
      <c r="R2327" s="351"/>
      <c r="S2327" s="351"/>
      <c r="T2327" s="351"/>
      <c r="U2327" s="329" t="str">
        <f>IF($N2327=$N$4,IFERROR(INDEX(DanhMuc!$E$154:$E$165,MATCH(MID($B2327,4,2),DanhMuc!$B$154:$B$165,0)),""),"")</f>
        <v/>
      </c>
      <c r="V2327" s="361"/>
      <c r="W2327" s="345"/>
      <c r="X2327" s="329" t="str">
        <f t="shared" si="268"/>
        <v>KL</v>
      </c>
      <c r="Y2327" s="1128" t="s">
        <v>3380</v>
      </c>
      <c r="Z2327" s="1128" t="s">
        <v>3381</v>
      </c>
      <c r="AA2327" s="1128" t="s">
        <v>3384</v>
      </c>
      <c r="AB2327" s="20"/>
      <c r="AC2327" s="73"/>
    </row>
    <row r="2328" spans="1:29">
      <c r="A2328" s="327" t="str">
        <f>IF(AND($B2328&lt;&gt;"",$C2328&lt;&gt;""),MAX($A$1556:A2304)+1,"")</f>
        <v/>
      </c>
      <c r="B2328" s="361" t="s">
        <v>3184</v>
      </c>
      <c r="C2328" s="360"/>
      <c r="D2328" s="327">
        <f>IF($B2328="","",COUNTIF($B$6:$B2328,$B2328))</f>
        <v>13</v>
      </c>
      <c r="E2328" s="361" t="s">
        <v>163</v>
      </c>
      <c r="F2328" s="362" t="s">
        <v>164</v>
      </c>
      <c r="G2328" s="327" t="s">
        <v>155</v>
      </c>
      <c r="H2328" s="327"/>
      <c r="I2328" s="327">
        <v>2</v>
      </c>
      <c r="J2328" s="345"/>
      <c r="K2328" s="327"/>
      <c r="L2328" s="389">
        <v>2500</v>
      </c>
      <c r="M2328" s="371"/>
      <c r="N2328" s="355" t="str">
        <f t="shared" si="269"/>
        <v>PK</v>
      </c>
      <c r="O2328" s="345"/>
      <c r="P2328" s="392"/>
      <c r="Q2328" s="327"/>
      <c r="R2328" s="351"/>
      <c r="S2328" s="351"/>
      <c r="T2328" s="351"/>
      <c r="U2328" s="329" t="str">
        <f>IF($N2328=$N$4,IFERROR(INDEX(DanhMuc!$E$154:$E$165,MATCH(MID($B2328,4,2),DanhMuc!$B$154:$B$165,0)),""),"")</f>
        <v/>
      </c>
      <c r="V2328" s="361"/>
      <c r="W2328" s="345"/>
      <c r="X2328" s="329" t="str">
        <f t="shared" si="268"/>
        <v>KL</v>
      </c>
      <c r="Y2328" s="1128" t="s">
        <v>3380</v>
      </c>
      <c r="Z2328" s="1128" t="s">
        <v>3381</v>
      </c>
      <c r="AA2328" s="1128" t="s">
        <v>3384</v>
      </c>
      <c r="AB2328" s="20"/>
      <c r="AC2328" s="73"/>
    </row>
    <row r="2329" spans="1:29">
      <c r="A2329" s="327" t="str">
        <f>IF(AND($B2329&lt;&gt;"",$C2329&lt;&gt;""),MAX($A$1556:A2309)+1,"")</f>
        <v/>
      </c>
      <c r="B2329" s="361" t="s">
        <v>3184</v>
      </c>
      <c r="C2329" s="360"/>
      <c r="D2329" s="327">
        <f>IF($B2329="","",COUNTIF($B$6:$B2329,$B2329))</f>
        <v>14</v>
      </c>
      <c r="E2329" s="361" t="s">
        <v>165</v>
      </c>
      <c r="F2329" s="362" t="s">
        <v>166</v>
      </c>
      <c r="G2329" s="327" t="s">
        <v>155</v>
      </c>
      <c r="H2329" s="327"/>
      <c r="I2329" s="327">
        <v>2</v>
      </c>
      <c r="J2329" s="359"/>
      <c r="K2329" s="327"/>
      <c r="L2329" s="389">
        <v>1700</v>
      </c>
      <c r="M2329" s="371"/>
      <c r="N2329" s="355" t="str">
        <f t="shared" si="269"/>
        <v>PK</v>
      </c>
      <c r="O2329" s="345"/>
      <c r="P2329" s="392"/>
      <c r="Q2329" s="327"/>
      <c r="R2329" s="351"/>
      <c r="S2329" s="351"/>
      <c r="T2329" s="351"/>
      <c r="U2329" s="329" t="str">
        <f>IF($N2329=$N$4,IFERROR(INDEX(DanhMuc!$E$154:$E$165,MATCH(MID($B2329,4,2),DanhMuc!$B$154:$B$165,0)),""),"")</f>
        <v/>
      </c>
      <c r="V2329" s="361"/>
      <c r="W2329" s="345"/>
      <c r="X2329" s="329" t="str">
        <f t="shared" si="268"/>
        <v>KL</v>
      </c>
      <c r="Y2329" s="1128" t="s">
        <v>3380</v>
      </c>
      <c r="Z2329" s="1128" t="s">
        <v>3381</v>
      </c>
      <c r="AA2329" s="1128" t="s">
        <v>3384</v>
      </c>
      <c r="AB2329" s="20"/>
      <c r="AC2329" s="73"/>
    </row>
    <row r="2330" spans="1:29">
      <c r="A2330" s="327" t="str">
        <f>IF(AND($B2330&lt;&gt;"",$C2330&lt;&gt;""),MAX($A$1556:A2329)+1,"")</f>
        <v/>
      </c>
      <c r="B2330" s="361" t="s">
        <v>3184</v>
      </c>
      <c r="C2330" s="360"/>
      <c r="D2330" s="327">
        <f>IF($B2330="","",COUNTIF($B$6:$B2330,$B2330))</f>
        <v>15</v>
      </c>
      <c r="E2330" s="361" t="s">
        <v>167</v>
      </c>
      <c r="F2330" s="362" t="s">
        <v>168</v>
      </c>
      <c r="G2330" s="327" t="s">
        <v>155</v>
      </c>
      <c r="H2330" s="327"/>
      <c r="I2330" s="327">
        <v>2</v>
      </c>
      <c r="J2330" s="359"/>
      <c r="K2330" s="327"/>
      <c r="L2330" s="389">
        <v>1700</v>
      </c>
      <c r="M2330" s="371"/>
      <c r="N2330" s="355" t="str">
        <f t="shared" si="269"/>
        <v>PK</v>
      </c>
      <c r="O2330" s="345"/>
      <c r="P2330" s="392"/>
      <c r="Q2330" s="327"/>
      <c r="R2330" s="351"/>
      <c r="S2330" s="351"/>
      <c r="T2330" s="351"/>
      <c r="U2330" s="329" t="str">
        <f>IF($N2330=$N$4,IFERROR(INDEX(DanhMuc!$E$154:$E$165,MATCH(MID($B2330,4,2),DanhMuc!$B$154:$B$165,0)),""),"")</f>
        <v/>
      </c>
      <c r="V2330" s="361"/>
      <c r="W2330" s="345"/>
      <c r="X2330" s="329" t="str">
        <f t="shared" si="268"/>
        <v>KL</v>
      </c>
      <c r="Y2330" s="1128" t="s">
        <v>3380</v>
      </c>
      <c r="Z2330" s="1128" t="s">
        <v>3381</v>
      </c>
      <c r="AA2330" s="1128" t="s">
        <v>3384</v>
      </c>
      <c r="AB2330" s="20"/>
      <c r="AC2330" s="73"/>
    </row>
    <row r="2331" spans="1:29">
      <c r="A2331" s="327" t="str">
        <f>IF(AND($B2331&lt;&gt;"",$C2331&lt;&gt;""),MAX($A$1556:A2330)+1,"")</f>
        <v/>
      </c>
      <c r="B2331" s="361" t="s">
        <v>3184</v>
      </c>
      <c r="C2331" s="360"/>
      <c r="D2331" s="327">
        <f>IF($B2331="","",COUNTIF($B$6:$B2331,$B2331))</f>
        <v>16</v>
      </c>
      <c r="E2331" s="361" t="s">
        <v>169</v>
      </c>
      <c r="F2331" s="362" t="s">
        <v>170</v>
      </c>
      <c r="G2331" s="327" t="s">
        <v>155</v>
      </c>
      <c r="H2331" s="327"/>
      <c r="I2331" s="327">
        <v>2</v>
      </c>
      <c r="J2331" s="359"/>
      <c r="K2331" s="327"/>
      <c r="L2331" s="389">
        <v>1700</v>
      </c>
      <c r="M2331" s="371"/>
      <c r="N2331" s="355" t="str">
        <f t="shared" si="269"/>
        <v>PK</v>
      </c>
      <c r="O2331" s="345"/>
      <c r="P2331" s="392"/>
      <c r="Q2331" s="327"/>
      <c r="R2331" s="351"/>
      <c r="S2331" s="351"/>
      <c r="T2331" s="351"/>
      <c r="U2331" s="329" t="str">
        <f>IF($N2331=$N$4,IFERROR(INDEX(DanhMuc!$E$154:$E$165,MATCH(MID($B2331,4,2),DanhMuc!$B$154:$B$165,0)),""),"")</f>
        <v/>
      </c>
      <c r="V2331" s="361"/>
      <c r="W2331" s="345"/>
      <c r="X2331" s="329" t="str">
        <f t="shared" si="268"/>
        <v>KL</v>
      </c>
      <c r="Y2331" s="1128" t="s">
        <v>3380</v>
      </c>
      <c r="Z2331" s="1128" t="s">
        <v>3381</v>
      </c>
      <c r="AA2331" s="1128" t="s">
        <v>3384</v>
      </c>
      <c r="AB2331" s="20"/>
      <c r="AC2331" s="73"/>
    </row>
    <row r="2332" spans="1:29">
      <c r="A2332" s="327" t="str">
        <f>IF(AND($B2332&lt;&gt;"",$C2332&lt;&gt;""),MAX($A$1556:A2331)+1,"")</f>
        <v/>
      </c>
      <c r="B2332" s="361" t="s">
        <v>3184</v>
      </c>
      <c r="C2332" s="360"/>
      <c r="D2332" s="327">
        <f>IF($B2332="","",COUNTIF($B$6:$B2332,$B2332))</f>
        <v>17</v>
      </c>
      <c r="E2332" s="361" t="s">
        <v>171</v>
      </c>
      <c r="F2332" s="362" t="s">
        <v>291</v>
      </c>
      <c r="G2332" s="327" t="s">
        <v>155</v>
      </c>
      <c r="H2332" s="327"/>
      <c r="I2332" s="327">
        <v>2</v>
      </c>
      <c r="J2332" s="345"/>
      <c r="K2332" s="327"/>
      <c r="L2332" s="389">
        <v>1700</v>
      </c>
      <c r="M2332" s="371"/>
      <c r="N2332" s="355" t="str">
        <f t="shared" si="269"/>
        <v>PK</v>
      </c>
      <c r="O2332" s="345"/>
      <c r="P2332" s="392"/>
      <c r="Q2332" s="327"/>
      <c r="R2332" s="351"/>
      <c r="S2332" s="351"/>
      <c r="T2332" s="351"/>
      <c r="U2332" s="329" t="str">
        <f>IF($N2332=$N$4,IFERROR(INDEX(DanhMuc!$E$154:$E$165,MATCH(MID($B2332,4,2),DanhMuc!$B$154:$B$165,0)),""),"")</f>
        <v/>
      </c>
      <c r="V2332" s="361"/>
      <c r="W2332" s="345"/>
      <c r="X2332" s="329" t="str">
        <f t="shared" si="268"/>
        <v>KL</v>
      </c>
      <c r="Y2332" s="1128" t="s">
        <v>3380</v>
      </c>
      <c r="Z2332" s="1128" t="s">
        <v>3381</v>
      </c>
      <c r="AA2332" s="1128" t="s">
        <v>3384</v>
      </c>
      <c r="AB2332" s="20"/>
      <c r="AC2332" s="73"/>
    </row>
    <row r="2333" spans="1:29">
      <c r="A2333" s="327" t="str">
        <f>IF(AND($B2333&lt;&gt;"",$C2333&lt;&gt;""),MAX($A$1556:A2332)+1,"")</f>
        <v/>
      </c>
      <c r="B2333" s="361" t="s">
        <v>3184</v>
      </c>
      <c r="C2333" s="360"/>
      <c r="D2333" s="327">
        <f>IF($B2333="","",COUNTIF($B$6:$B2333,$B2333))</f>
        <v>18</v>
      </c>
      <c r="E2333" s="361" t="s">
        <v>2128</v>
      </c>
      <c r="F2333" s="362" t="s">
        <v>186</v>
      </c>
      <c r="G2333" s="327" t="s">
        <v>155</v>
      </c>
      <c r="H2333" s="327" t="s">
        <v>536</v>
      </c>
      <c r="I2333" s="327">
        <v>6</v>
      </c>
      <c r="J2333" s="361"/>
      <c r="K2333" s="327"/>
      <c r="L2333" s="389">
        <v>38000</v>
      </c>
      <c r="M2333" s="371"/>
      <c r="N2333" s="355" t="str">
        <f t="shared" si="269"/>
        <v>PK</v>
      </c>
      <c r="O2333" s="345"/>
      <c r="P2333" s="392"/>
      <c r="Q2333" s="327"/>
      <c r="R2333" s="351"/>
      <c r="S2333" s="351"/>
      <c r="T2333" s="351"/>
      <c r="U2333" s="329" t="str">
        <f>IF($N2333=$N$4,IFERROR(INDEX(DanhMuc!$E$154:$E$165,MATCH(MID($B2333,4,2),DanhMuc!$B$154:$B$165,0)),""),"")</f>
        <v/>
      </c>
      <c r="V2333" s="361"/>
      <c r="W2333" s="345"/>
      <c r="X2333" s="329" t="str">
        <f t="shared" si="268"/>
        <v>KL</v>
      </c>
      <c r="Y2333" s="1128" t="s">
        <v>3380</v>
      </c>
      <c r="Z2333" s="1128" t="s">
        <v>3381</v>
      </c>
      <c r="AA2333" s="1128" t="s">
        <v>3384</v>
      </c>
      <c r="AB2333" s="20"/>
      <c r="AC2333" s="73"/>
    </row>
    <row r="2334" spans="1:29" ht="52">
      <c r="A2334" s="327">
        <f>IF(AND($B2334&lt;&gt;"",$C2334&lt;&gt;""),MAX($A$1556:A2313)+1,"")</f>
        <v>131</v>
      </c>
      <c r="B2334" s="359" t="s">
        <v>3185</v>
      </c>
      <c r="C2334" s="360" t="s">
        <v>3186</v>
      </c>
      <c r="D2334" s="327">
        <f>IF($B2334="","",COUNTIF($B$6:$B2334,$B2334))</f>
        <v>1</v>
      </c>
      <c r="E2334" s="361" t="s">
        <v>2123</v>
      </c>
      <c r="F2334" s="362" t="s">
        <v>2564</v>
      </c>
      <c r="G2334" s="327" t="s">
        <v>297</v>
      </c>
      <c r="H2334" s="327"/>
      <c r="I2334" s="327">
        <v>1</v>
      </c>
      <c r="J2334" s="345"/>
      <c r="K2334" s="327"/>
      <c r="L2334" s="389">
        <v>115000</v>
      </c>
      <c r="M2334" s="371"/>
      <c r="N2334" s="355" t="str">
        <f t="shared" si="269"/>
        <v>PK</v>
      </c>
      <c r="O2334" s="404" t="s">
        <v>2560</v>
      </c>
      <c r="P2334" s="392"/>
      <c r="Q2334" s="327"/>
      <c r="R2334" s="351"/>
      <c r="S2334" s="351"/>
      <c r="T2334" s="351"/>
      <c r="U2334" s="329" t="str">
        <f>IF($N2334=$N$4,IFERROR(INDEX(DanhMuc!$E$154:$E$165,MATCH(MID($B2334,4,2),DanhMuc!$B$154:$B$165,0)),""),"")</f>
        <v/>
      </c>
      <c r="V2334" s="361"/>
      <c r="W2334" s="345"/>
      <c r="X2334" s="329" t="str">
        <f t="shared" si="268"/>
        <v>2R</v>
      </c>
      <c r="Y2334" s="1128" t="s">
        <v>3380</v>
      </c>
      <c r="Z2334" s="1128" t="s">
        <v>3381</v>
      </c>
      <c r="AA2334" s="1128" t="s">
        <v>3384</v>
      </c>
      <c r="AB2334" s="20"/>
      <c r="AC2334" s="73"/>
    </row>
    <row r="2335" spans="1:29">
      <c r="A2335" s="327" t="str">
        <f>IF(AND($B2335&lt;&gt;"",$C2335&lt;&gt;""),MAX($A$1556:A2314)+1,"")</f>
        <v/>
      </c>
      <c r="B2335" s="361" t="s">
        <v>3185</v>
      </c>
      <c r="C2335" s="362"/>
      <c r="D2335" s="327">
        <f>IF($B2335="","",COUNTIF($B$6:$B2335,$B2335))</f>
        <v>2</v>
      </c>
      <c r="E2335" s="361" t="s">
        <v>2123</v>
      </c>
      <c r="F2335" s="362" t="s">
        <v>2565</v>
      </c>
      <c r="G2335" s="327" t="s">
        <v>297</v>
      </c>
      <c r="H2335" s="327"/>
      <c r="I2335" s="327">
        <v>1</v>
      </c>
      <c r="J2335" s="345"/>
      <c r="K2335" s="327"/>
      <c r="L2335" s="389">
        <v>115000</v>
      </c>
      <c r="M2335" s="371"/>
      <c r="N2335" s="355" t="str">
        <f t="shared" si="269"/>
        <v>PK</v>
      </c>
      <c r="O2335" s="404" t="s">
        <v>2561</v>
      </c>
      <c r="P2335" s="392"/>
      <c r="Q2335" s="327"/>
      <c r="R2335" s="351"/>
      <c r="S2335" s="351"/>
      <c r="T2335" s="351"/>
      <c r="U2335" s="329" t="str">
        <f>IF($N2335=$N$4,IFERROR(INDEX(DanhMuc!$E$154:$E$165,MATCH(MID($B2335,4,2),DanhMuc!$B$154:$B$165,0)),""),"")</f>
        <v/>
      </c>
      <c r="V2335" s="361"/>
      <c r="W2335" s="345"/>
      <c r="X2335" s="329" t="str">
        <f t="shared" si="268"/>
        <v>2R</v>
      </c>
      <c r="Y2335" s="1128" t="s">
        <v>3380</v>
      </c>
      <c r="Z2335" s="1128" t="s">
        <v>3381</v>
      </c>
      <c r="AA2335" s="1128" t="s">
        <v>3384</v>
      </c>
      <c r="AB2335" s="20"/>
      <c r="AC2335" s="73"/>
    </row>
    <row r="2336" spans="1:29">
      <c r="A2336" s="327" t="str">
        <f>IF(AND($B2336&lt;&gt;"",$C2336&lt;&gt;""),MAX($A$1556:A2315)+1,"")</f>
        <v/>
      </c>
      <c r="B2336" s="361" t="s">
        <v>3185</v>
      </c>
      <c r="C2336" s="362"/>
      <c r="D2336" s="327">
        <f>IF($B2336="","",COUNTIF($B$6:$B2336,$B2336))</f>
        <v>3</v>
      </c>
      <c r="E2336" s="361" t="s">
        <v>2125</v>
      </c>
      <c r="F2336" s="362" t="s">
        <v>2126</v>
      </c>
      <c r="G2336" s="327" t="s">
        <v>155</v>
      </c>
      <c r="H2336" s="327"/>
      <c r="I2336" s="327">
        <v>1</v>
      </c>
      <c r="J2336" s="345"/>
      <c r="K2336" s="327"/>
      <c r="L2336" s="389">
        <v>5000</v>
      </c>
      <c r="M2336" s="371"/>
      <c r="N2336" s="355" t="str">
        <f t="shared" si="269"/>
        <v>PK</v>
      </c>
      <c r="O2336" s="404" t="s">
        <v>1783</v>
      </c>
      <c r="P2336" s="392"/>
      <c r="Q2336" s="327"/>
      <c r="R2336" s="351"/>
      <c r="S2336" s="351"/>
      <c r="T2336" s="351"/>
      <c r="U2336" s="329" t="str">
        <f>IF($N2336=$N$4,IFERROR(INDEX(DanhMuc!$E$154:$E$165,MATCH(MID($B2336,4,2),DanhMuc!$B$154:$B$165,0)),""),"")</f>
        <v/>
      </c>
      <c r="V2336" s="361"/>
      <c r="W2336" s="345"/>
      <c r="X2336" s="329" t="str">
        <f t="shared" si="268"/>
        <v>2R</v>
      </c>
      <c r="Y2336" s="1128" t="s">
        <v>3380</v>
      </c>
      <c r="Z2336" s="1128" t="s">
        <v>3381</v>
      </c>
      <c r="AA2336" s="1128" t="s">
        <v>3384</v>
      </c>
      <c r="AB2336" s="20"/>
      <c r="AC2336" s="73"/>
    </row>
    <row r="2337" spans="1:29">
      <c r="A2337" s="327" t="str">
        <f>IF(AND($B2337&lt;&gt;"",$C2337&lt;&gt;""),MAX($A$1556:A2315)+1,"")</f>
        <v/>
      </c>
      <c r="B2337" s="361" t="s">
        <v>3185</v>
      </c>
      <c r="C2337" s="362"/>
      <c r="D2337" s="327">
        <f>IF($B2337="","",COUNTIF($B$6:$B2337,$B2337))</f>
        <v>4</v>
      </c>
      <c r="E2337" s="361" t="s">
        <v>2232</v>
      </c>
      <c r="F2337" s="362" t="s">
        <v>2127</v>
      </c>
      <c r="G2337" s="327" t="s">
        <v>155</v>
      </c>
      <c r="H2337" s="327"/>
      <c r="I2337" s="327">
        <v>1</v>
      </c>
      <c r="J2337" s="345"/>
      <c r="K2337" s="327"/>
      <c r="L2337" s="389">
        <v>35500</v>
      </c>
      <c r="M2337" s="371"/>
      <c r="N2337" s="355" t="str">
        <f t="shared" si="269"/>
        <v>PK</v>
      </c>
      <c r="O2337" s="345"/>
      <c r="P2337" s="392"/>
      <c r="Q2337" s="327"/>
      <c r="R2337" s="351"/>
      <c r="S2337" s="351"/>
      <c r="T2337" s="351"/>
      <c r="U2337" s="329" t="str">
        <f>IF($N2337=$N$4,IFERROR(INDEX(DanhMuc!$E$154:$E$165,MATCH(MID($B2337,4,2),DanhMuc!$B$154:$B$165,0)),""),"")</f>
        <v/>
      </c>
      <c r="V2337" s="361"/>
      <c r="W2337" s="345"/>
      <c r="X2337" s="329" t="str">
        <f t="shared" si="268"/>
        <v>2R</v>
      </c>
      <c r="Y2337" s="1128" t="s">
        <v>3380</v>
      </c>
      <c r="Z2337" s="1128" t="s">
        <v>3381</v>
      </c>
      <c r="AA2337" s="1128" t="s">
        <v>3384</v>
      </c>
      <c r="AB2337" s="20"/>
      <c r="AC2337" s="73"/>
    </row>
    <row r="2338" spans="1:29">
      <c r="A2338" s="327" t="str">
        <f>IF(AND($B2338&lt;&gt;"",$C2338&lt;&gt;""),MAX($A$1556:A2316)+1,"")</f>
        <v/>
      </c>
      <c r="B2338" s="361" t="s">
        <v>3185</v>
      </c>
      <c r="C2338" s="360"/>
      <c r="D2338" s="327">
        <f>IF($B2338="","",COUNTIF($B$6:$B2338,$B2338))</f>
        <v>5</v>
      </c>
      <c r="E2338" s="361" t="s">
        <v>2125</v>
      </c>
      <c r="F2338" s="362" t="s">
        <v>2126</v>
      </c>
      <c r="G2338" s="327" t="s">
        <v>155</v>
      </c>
      <c r="H2338" s="327"/>
      <c r="I2338" s="327">
        <v>1</v>
      </c>
      <c r="J2338" s="345"/>
      <c r="K2338" s="327"/>
      <c r="L2338" s="389">
        <v>5000</v>
      </c>
      <c r="M2338" s="371"/>
      <c r="N2338" s="355" t="str">
        <f t="shared" si="269"/>
        <v>PK</v>
      </c>
      <c r="O2338" s="345"/>
      <c r="P2338" s="392"/>
      <c r="Q2338" s="327"/>
      <c r="R2338" s="351"/>
      <c r="S2338" s="351"/>
      <c r="T2338" s="351"/>
      <c r="U2338" s="329" t="str">
        <f>IF($N2338=$N$4,IFERROR(INDEX(DanhMuc!$E$154:$E$165,MATCH(MID($B2338,4,2),DanhMuc!$B$154:$B$165,0)),""),"")</f>
        <v/>
      </c>
      <c r="V2338" s="361"/>
      <c r="W2338" s="345"/>
      <c r="X2338" s="329" t="str">
        <f t="shared" si="268"/>
        <v>2R</v>
      </c>
      <c r="Y2338" s="1128" t="s">
        <v>3380</v>
      </c>
      <c r="Z2338" s="1128" t="s">
        <v>3381</v>
      </c>
      <c r="AA2338" s="1128" t="s">
        <v>3384</v>
      </c>
      <c r="AB2338" s="20"/>
      <c r="AC2338" s="73"/>
    </row>
    <row r="2339" spans="1:29">
      <c r="A2339" s="327" t="str">
        <f>IF(AND($B2339&lt;&gt;"",$C2339&lt;&gt;""),MAX($A$1556:A2317)+1,"")</f>
        <v/>
      </c>
      <c r="B2339" s="361" t="s">
        <v>3185</v>
      </c>
      <c r="C2339" s="360"/>
      <c r="D2339" s="327">
        <f>IF($B2339="","",COUNTIF($B$6:$B2339,$B2339))</f>
        <v>6</v>
      </c>
      <c r="E2339" s="361" t="s">
        <v>2139</v>
      </c>
      <c r="F2339" s="362" t="s">
        <v>2137</v>
      </c>
      <c r="G2339" s="327" t="s">
        <v>155</v>
      </c>
      <c r="H2339" s="327"/>
      <c r="I2339" s="327">
        <v>1</v>
      </c>
      <c r="J2339" s="345"/>
      <c r="K2339" s="327"/>
      <c r="L2339" s="389">
        <v>70323</v>
      </c>
      <c r="M2339" s="371"/>
      <c r="N2339" s="355" t="str">
        <f t="shared" si="269"/>
        <v>PK</v>
      </c>
      <c r="O2339" s="404" t="s">
        <v>1782</v>
      </c>
      <c r="P2339" s="392"/>
      <c r="Q2339" s="327"/>
      <c r="R2339" s="351"/>
      <c r="S2339" s="351"/>
      <c r="T2339" s="351"/>
      <c r="U2339" s="329" t="str">
        <f>IF($N2339=$N$4,IFERROR(INDEX(DanhMuc!$E$154:$E$165,MATCH(MID($B2339,4,2),DanhMuc!$B$154:$B$165,0)),""),"")</f>
        <v/>
      </c>
      <c r="V2339" s="361"/>
      <c r="W2339" s="345"/>
      <c r="X2339" s="329" t="str">
        <f t="shared" si="268"/>
        <v>2R</v>
      </c>
      <c r="Y2339" s="1128" t="s">
        <v>3380</v>
      </c>
      <c r="Z2339" s="1128" t="s">
        <v>3381</v>
      </c>
      <c r="AA2339" s="1128" t="s">
        <v>3384</v>
      </c>
      <c r="AB2339" s="20"/>
      <c r="AC2339" s="73"/>
    </row>
    <row r="2340" spans="1:29">
      <c r="A2340" s="327" t="str">
        <f>IF(AND($B2340&lt;&gt;"",$C2340&lt;&gt;""),MAX($A$1556:A2318)+1,"")</f>
        <v/>
      </c>
      <c r="B2340" s="361" t="s">
        <v>3185</v>
      </c>
      <c r="C2340" s="360"/>
      <c r="D2340" s="327">
        <f>IF($B2340="","",COUNTIF($B$6:$B2340,$B2340))</f>
        <v>7</v>
      </c>
      <c r="E2340" s="361" t="s">
        <v>2140</v>
      </c>
      <c r="F2340" s="362" t="s">
        <v>2138</v>
      </c>
      <c r="G2340" s="327" t="s">
        <v>155</v>
      </c>
      <c r="H2340" s="327"/>
      <c r="I2340" s="327">
        <v>1</v>
      </c>
      <c r="J2340" s="345"/>
      <c r="K2340" s="327"/>
      <c r="L2340" s="389">
        <v>70323</v>
      </c>
      <c r="M2340" s="371"/>
      <c r="N2340" s="355" t="str">
        <f t="shared" si="269"/>
        <v>PK</v>
      </c>
      <c r="O2340" s="404" t="s">
        <v>1782</v>
      </c>
      <c r="P2340" s="392"/>
      <c r="Q2340" s="327"/>
      <c r="R2340" s="351"/>
      <c r="S2340" s="351"/>
      <c r="T2340" s="351"/>
      <c r="U2340" s="329" t="str">
        <f>IF($N2340=$N$4,IFERROR(INDEX(DanhMuc!$E$154:$E$165,MATCH(MID($B2340,4,2),DanhMuc!$B$154:$B$165,0)),""),"")</f>
        <v/>
      </c>
      <c r="V2340" s="361"/>
      <c r="W2340" s="345"/>
      <c r="X2340" s="329" t="str">
        <f t="shared" si="268"/>
        <v>2R</v>
      </c>
      <c r="Y2340" s="1128" t="s">
        <v>3380</v>
      </c>
      <c r="Z2340" s="1128" t="s">
        <v>3381</v>
      </c>
      <c r="AA2340" s="1128" t="s">
        <v>3384</v>
      </c>
      <c r="AB2340" s="20"/>
      <c r="AC2340" s="73"/>
    </row>
    <row r="2341" spans="1:29">
      <c r="A2341" s="327" t="str">
        <f>IF(AND($B2341&lt;&gt;"",$C2341&lt;&gt;""),MAX($A$1556:A2317)+1,"")</f>
        <v/>
      </c>
      <c r="B2341" s="361" t="s">
        <v>3185</v>
      </c>
      <c r="C2341" s="360"/>
      <c r="D2341" s="327">
        <f>IF($B2341="","",COUNTIF($B$6:$B2341,$B2341))</f>
        <v>8</v>
      </c>
      <c r="E2341" s="361" t="s">
        <v>2131</v>
      </c>
      <c r="F2341" s="362" t="s">
        <v>2130</v>
      </c>
      <c r="G2341" s="327" t="s">
        <v>155</v>
      </c>
      <c r="H2341" s="327" t="s">
        <v>536</v>
      </c>
      <c r="I2341" s="411" t="s">
        <v>2857</v>
      </c>
      <c r="J2341" s="359"/>
      <c r="K2341" s="327"/>
      <c r="L2341" s="389">
        <v>38000</v>
      </c>
      <c r="M2341" s="371"/>
      <c r="N2341" s="355" t="str">
        <f t="shared" si="269"/>
        <v>PK</v>
      </c>
      <c r="O2341" s="404" t="s">
        <v>1782</v>
      </c>
      <c r="P2341" s="392"/>
      <c r="Q2341" s="327"/>
      <c r="R2341" s="351"/>
      <c r="S2341" s="351"/>
      <c r="T2341" s="351"/>
      <c r="U2341" s="329" t="str">
        <f>IF($N2341=$N$4,IFERROR(INDEX(DanhMuc!$E$154:$E$165,MATCH(MID($B2341,4,2),DanhMuc!$B$154:$B$165,0)),""),"")</f>
        <v/>
      </c>
      <c r="V2341" s="361"/>
      <c r="W2341" s="345"/>
      <c r="X2341" s="329" t="str">
        <f t="shared" si="268"/>
        <v>2R</v>
      </c>
      <c r="Y2341" s="1128" t="s">
        <v>3380</v>
      </c>
      <c r="Z2341" s="1128" t="s">
        <v>3381</v>
      </c>
      <c r="AA2341" s="1128" t="s">
        <v>3384</v>
      </c>
      <c r="AB2341" s="20"/>
      <c r="AC2341" s="73"/>
    </row>
    <row r="2342" spans="1:29">
      <c r="A2342" s="327" t="str">
        <f>IF(AND($B2342&lt;&gt;"",$C2342&lt;&gt;""),MAX($A$1556:A2318)+1,"")</f>
        <v/>
      </c>
      <c r="B2342" s="361" t="s">
        <v>3185</v>
      </c>
      <c r="C2342" s="360"/>
      <c r="D2342" s="327">
        <f>IF($B2342="","",COUNTIF($B$6:$B2342,$B2342))</f>
        <v>9</v>
      </c>
      <c r="E2342" s="361" t="s">
        <v>2129</v>
      </c>
      <c r="F2342" s="362" t="s">
        <v>2130</v>
      </c>
      <c r="G2342" s="327" t="s">
        <v>155</v>
      </c>
      <c r="H2342" s="327" t="s">
        <v>536</v>
      </c>
      <c r="I2342" s="411" t="s">
        <v>2855</v>
      </c>
      <c r="J2342" s="359"/>
      <c r="K2342" s="327"/>
      <c r="L2342" s="389">
        <v>45000</v>
      </c>
      <c r="M2342" s="371"/>
      <c r="N2342" s="355" t="str">
        <f t="shared" si="269"/>
        <v>PK</v>
      </c>
      <c r="O2342" s="404" t="s">
        <v>1782</v>
      </c>
      <c r="P2342" s="392"/>
      <c r="Q2342" s="327"/>
      <c r="R2342" s="351"/>
      <c r="S2342" s="351"/>
      <c r="T2342" s="351"/>
      <c r="U2342" s="329" t="str">
        <f>IF($N2342=$N$4,IFERROR(INDEX(DanhMuc!$E$154:$E$165,MATCH(MID($B2342,4,2),DanhMuc!$B$154:$B$165,0)),""),"")</f>
        <v/>
      </c>
      <c r="V2342" s="361"/>
      <c r="W2342" s="345"/>
      <c r="X2342" s="329" t="str">
        <f t="shared" si="268"/>
        <v>2R</v>
      </c>
      <c r="Y2342" s="1128" t="s">
        <v>3380</v>
      </c>
      <c r="Z2342" s="1128" t="s">
        <v>3381</v>
      </c>
      <c r="AA2342" s="1128" t="s">
        <v>3384</v>
      </c>
      <c r="AB2342" s="20"/>
      <c r="AC2342" s="73"/>
    </row>
    <row r="2343" spans="1:29">
      <c r="A2343" s="327" t="str">
        <f>IF(AND($B2343&lt;&gt;"",$C2343&lt;&gt;""),MAX($A$1556:A2319)+1,"")</f>
        <v/>
      </c>
      <c r="B2343" s="361" t="s">
        <v>3185</v>
      </c>
      <c r="C2343" s="360"/>
      <c r="D2343" s="327">
        <f>IF($B2343="","",COUNTIF($B$6:$B2343,$B2343))</f>
        <v>10</v>
      </c>
      <c r="E2343" s="361" t="s">
        <v>2133</v>
      </c>
      <c r="F2343" s="362" t="s">
        <v>2141</v>
      </c>
      <c r="G2343" s="327" t="s">
        <v>155</v>
      </c>
      <c r="H2343" s="327" t="s">
        <v>2111</v>
      </c>
      <c r="I2343" s="327">
        <v>2</v>
      </c>
      <c r="J2343" s="359"/>
      <c r="K2343" s="327"/>
      <c r="L2343" s="389">
        <v>5000</v>
      </c>
      <c r="M2343" s="371"/>
      <c r="N2343" s="355" t="str">
        <f t="shared" si="269"/>
        <v>PK</v>
      </c>
      <c r="O2343" s="404" t="s">
        <v>1782</v>
      </c>
      <c r="P2343" s="392"/>
      <c r="Q2343" s="327"/>
      <c r="R2343" s="351"/>
      <c r="S2343" s="351"/>
      <c r="T2343" s="351"/>
      <c r="U2343" s="329" t="str">
        <f>IF($N2343=$N$4,IFERROR(INDEX(DanhMuc!$E$154:$E$165,MATCH(MID($B2343,4,2),DanhMuc!$B$154:$B$165,0)),""),"")</f>
        <v/>
      </c>
      <c r="V2343" s="361"/>
      <c r="W2343" s="345"/>
      <c r="X2343" s="329" t="str">
        <f t="shared" si="268"/>
        <v>2R</v>
      </c>
      <c r="Y2343" s="1128" t="s">
        <v>3380</v>
      </c>
      <c r="Z2343" s="1128" t="s">
        <v>3381</v>
      </c>
      <c r="AA2343" s="1128" t="s">
        <v>3384</v>
      </c>
      <c r="AB2343" s="20"/>
      <c r="AC2343" s="73"/>
    </row>
    <row r="2344" spans="1:29">
      <c r="A2344" s="327" t="str">
        <f>IF(AND($B2344&lt;&gt;"",$C2344&lt;&gt;""),MAX($A$1556:A2320)+1,"")</f>
        <v/>
      </c>
      <c r="B2344" s="361" t="s">
        <v>3185</v>
      </c>
      <c r="C2344" s="360"/>
      <c r="D2344" s="327">
        <f>IF($B2344="","",COUNTIF($B$6:$B2344,$B2344))</f>
        <v>11</v>
      </c>
      <c r="E2344" s="361" t="s">
        <v>187</v>
      </c>
      <c r="F2344" s="362" t="s">
        <v>189</v>
      </c>
      <c r="G2344" s="327" t="s">
        <v>155</v>
      </c>
      <c r="H2344" s="327"/>
      <c r="I2344" s="327">
        <v>4</v>
      </c>
      <c r="J2344" s="359"/>
      <c r="K2344" s="327"/>
      <c r="L2344" s="389">
        <v>5000</v>
      </c>
      <c r="M2344" s="371"/>
      <c r="N2344" s="355" t="str">
        <f t="shared" si="269"/>
        <v>PK</v>
      </c>
      <c r="O2344" s="345"/>
      <c r="P2344" s="392"/>
      <c r="Q2344" s="327"/>
      <c r="R2344" s="351"/>
      <c r="S2344" s="351"/>
      <c r="T2344" s="351"/>
      <c r="U2344" s="329" t="str">
        <f>IF($N2344=$N$4,IFERROR(INDEX(DanhMuc!$E$154:$E$165,MATCH(MID($B2344,4,2),DanhMuc!$B$154:$B$165,0)),""),"")</f>
        <v/>
      </c>
      <c r="V2344" s="361"/>
      <c r="W2344" s="345"/>
      <c r="X2344" s="329" t="str">
        <f t="shared" si="268"/>
        <v>2R</v>
      </c>
      <c r="Y2344" s="1128" t="s">
        <v>3380</v>
      </c>
      <c r="Z2344" s="1128" t="s">
        <v>3381</v>
      </c>
      <c r="AA2344" s="1128" t="s">
        <v>3384</v>
      </c>
      <c r="AB2344" s="20"/>
      <c r="AC2344" s="73"/>
    </row>
    <row r="2345" spans="1:29">
      <c r="A2345" s="327" t="str">
        <f>IF(AND($B2345&lt;&gt;"",$C2345&lt;&gt;""),MAX($A$1556:A2321)+1,"")</f>
        <v/>
      </c>
      <c r="B2345" s="361" t="s">
        <v>3185</v>
      </c>
      <c r="C2345" s="360"/>
      <c r="D2345" s="327">
        <f>IF($B2345="","",COUNTIF($B$6:$B2345,$B2345))</f>
        <v>12</v>
      </c>
      <c r="E2345" s="361" t="s">
        <v>172</v>
      </c>
      <c r="F2345" s="362" t="s">
        <v>173</v>
      </c>
      <c r="G2345" s="327" t="s">
        <v>155</v>
      </c>
      <c r="H2345" s="327"/>
      <c r="I2345" s="327">
        <v>1</v>
      </c>
      <c r="J2345" s="345"/>
      <c r="K2345" s="327"/>
      <c r="L2345" s="389">
        <v>6000</v>
      </c>
      <c r="M2345" s="371"/>
      <c r="N2345" s="355" t="str">
        <f t="shared" si="269"/>
        <v>PK</v>
      </c>
      <c r="O2345" s="345"/>
      <c r="P2345" s="392"/>
      <c r="Q2345" s="327"/>
      <c r="R2345" s="351"/>
      <c r="S2345" s="351"/>
      <c r="T2345" s="351"/>
      <c r="U2345" s="329" t="str">
        <f>IF($N2345=$N$4,IFERROR(INDEX(DanhMuc!$E$154:$E$165,MATCH(MID($B2345,4,2),DanhMuc!$B$154:$B$165,0)),""),"")</f>
        <v/>
      </c>
      <c r="V2345" s="361"/>
      <c r="W2345" s="345"/>
      <c r="X2345" s="329" t="str">
        <f t="shared" si="268"/>
        <v>2R</v>
      </c>
      <c r="Y2345" s="1128" t="s">
        <v>3380</v>
      </c>
      <c r="Z2345" s="1128" t="s">
        <v>3381</v>
      </c>
      <c r="AA2345" s="1128" t="s">
        <v>3384</v>
      </c>
      <c r="AB2345" s="20"/>
      <c r="AC2345" s="73"/>
    </row>
    <row r="2346" spans="1:29">
      <c r="A2346" s="327" t="str">
        <f>IF(AND($B2346&lt;&gt;"",$C2346&lt;&gt;""),MAX($A$1556:A2322)+1,"")</f>
        <v/>
      </c>
      <c r="B2346" s="361" t="s">
        <v>3185</v>
      </c>
      <c r="C2346" s="360"/>
      <c r="D2346" s="327">
        <f>IF($B2346="","",COUNTIF($B$6:$B2346,$B2346))</f>
        <v>13</v>
      </c>
      <c r="E2346" s="361" t="s">
        <v>163</v>
      </c>
      <c r="F2346" s="362" t="s">
        <v>164</v>
      </c>
      <c r="G2346" s="327" t="s">
        <v>155</v>
      </c>
      <c r="H2346" s="327"/>
      <c r="I2346" s="327">
        <v>2</v>
      </c>
      <c r="J2346" s="345"/>
      <c r="K2346" s="327"/>
      <c r="L2346" s="389">
        <v>2500</v>
      </c>
      <c r="M2346" s="371"/>
      <c r="N2346" s="355" t="str">
        <f t="shared" si="269"/>
        <v>PK</v>
      </c>
      <c r="O2346" s="345"/>
      <c r="P2346" s="392"/>
      <c r="Q2346" s="327"/>
      <c r="R2346" s="351"/>
      <c r="S2346" s="351"/>
      <c r="T2346" s="351"/>
      <c r="U2346" s="329" t="str">
        <f>IF($N2346=$N$4,IFERROR(INDEX(DanhMuc!$E$154:$E$165,MATCH(MID($B2346,4,2),DanhMuc!$B$154:$B$165,0)),""),"")</f>
        <v/>
      </c>
      <c r="V2346" s="361"/>
      <c r="W2346" s="345"/>
      <c r="X2346" s="329" t="str">
        <f t="shared" si="268"/>
        <v>2R</v>
      </c>
      <c r="Y2346" s="1128" t="s">
        <v>3380</v>
      </c>
      <c r="Z2346" s="1128" t="s">
        <v>3381</v>
      </c>
      <c r="AA2346" s="1128" t="s">
        <v>3384</v>
      </c>
      <c r="AB2346" s="20"/>
      <c r="AC2346" s="73"/>
    </row>
    <row r="2347" spans="1:29">
      <c r="A2347" s="327" t="str">
        <f>IF(AND($B2347&lt;&gt;"",$C2347&lt;&gt;""),MAX($A$1556:A2327)+1,"")</f>
        <v/>
      </c>
      <c r="B2347" s="361" t="s">
        <v>3185</v>
      </c>
      <c r="C2347" s="360"/>
      <c r="D2347" s="327">
        <f>IF($B2347="","",COUNTIF($B$6:$B2347,$B2347))</f>
        <v>14</v>
      </c>
      <c r="E2347" s="361" t="s">
        <v>165</v>
      </c>
      <c r="F2347" s="362" t="s">
        <v>166</v>
      </c>
      <c r="G2347" s="327" t="s">
        <v>155</v>
      </c>
      <c r="H2347" s="327"/>
      <c r="I2347" s="327">
        <v>2</v>
      </c>
      <c r="J2347" s="359"/>
      <c r="K2347" s="327"/>
      <c r="L2347" s="389">
        <v>1700</v>
      </c>
      <c r="M2347" s="371"/>
      <c r="N2347" s="355" t="str">
        <f t="shared" si="269"/>
        <v>PK</v>
      </c>
      <c r="O2347" s="345"/>
      <c r="P2347" s="392"/>
      <c r="Q2347" s="327"/>
      <c r="R2347" s="351"/>
      <c r="S2347" s="351"/>
      <c r="T2347" s="351"/>
      <c r="U2347" s="329" t="str">
        <f>IF($N2347=$N$4,IFERROR(INDEX(DanhMuc!$E$154:$E$165,MATCH(MID($B2347,4,2),DanhMuc!$B$154:$B$165,0)),""),"")</f>
        <v/>
      </c>
      <c r="V2347" s="361"/>
      <c r="W2347" s="345"/>
      <c r="X2347" s="329" t="str">
        <f t="shared" si="268"/>
        <v>2R</v>
      </c>
      <c r="Y2347" s="1128" t="s">
        <v>3380</v>
      </c>
      <c r="Z2347" s="1128" t="s">
        <v>3381</v>
      </c>
      <c r="AA2347" s="1128" t="s">
        <v>3384</v>
      </c>
      <c r="AB2347" s="20"/>
      <c r="AC2347" s="73"/>
    </row>
    <row r="2348" spans="1:29">
      <c r="A2348" s="327" t="str">
        <f>IF(AND($B2348&lt;&gt;"",$C2348&lt;&gt;""),MAX($A$1556:A2347)+1,"")</f>
        <v/>
      </c>
      <c r="B2348" s="361" t="s">
        <v>3185</v>
      </c>
      <c r="C2348" s="360"/>
      <c r="D2348" s="327">
        <f>IF($B2348="","",COUNTIF($B$6:$B2348,$B2348))</f>
        <v>15</v>
      </c>
      <c r="E2348" s="361" t="s">
        <v>167</v>
      </c>
      <c r="F2348" s="362" t="s">
        <v>168</v>
      </c>
      <c r="G2348" s="327" t="s">
        <v>155</v>
      </c>
      <c r="H2348" s="327"/>
      <c r="I2348" s="327">
        <v>2</v>
      </c>
      <c r="J2348" s="359"/>
      <c r="K2348" s="327"/>
      <c r="L2348" s="389">
        <v>1700</v>
      </c>
      <c r="M2348" s="371"/>
      <c r="N2348" s="355" t="str">
        <f t="shared" si="269"/>
        <v>PK</v>
      </c>
      <c r="O2348" s="345"/>
      <c r="P2348" s="392"/>
      <c r="Q2348" s="327"/>
      <c r="R2348" s="351"/>
      <c r="S2348" s="351"/>
      <c r="T2348" s="351"/>
      <c r="U2348" s="329" t="str">
        <f>IF($N2348=$N$4,IFERROR(INDEX(DanhMuc!$E$154:$E$165,MATCH(MID($B2348,4,2),DanhMuc!$B$154:$B$165,0)),""),"")</f>
        <v/>
      </c>
      <c r="V2348" s="361"/>
      <c r="W2348" s="345"/>
      <c r="X2348" s="329" t="str">
        <f t="shared" si="268"/>
        <v>2R</v>
      </c>
      <c r="Y2348" s="1128" t="s">
        <v>3380</v>
      </c>
      <c r="Z2348" s="1128" t="s">
        <v>3381</v>
      </c>
      <c r="AA2348" s="1128" t="s">
        <v>3384</v>
      </c>
      <c r="AB2348" s="20"/>
      <c r="AC2348" s="73"/>
    </row>
    <row r="2349" spans="1:29">
      <c r="A2349" s="327" t="str">
        <f>IF(AND($B2349&lt;&gt;"",$C2349&lt;&gt;""),MAX($A$1556:A2348)+1,"")</f>
        <v/>
      </c>
      <c r="B2349" s="361" t="s">
        <v>3185</v>
      </c>
      <c r="C2349" s="360"/>
      <c r="D2349" s="327">
        <f>IF($B2349="","",COUNTIF($B$6:$B2349,$B2349))</f>
        <v>16</v>
      </c>
      <c r="E2349" s="361" t="s">
        <v>169</v>
      </c>
      <c r="F2349" s="362" t="s">
        <v>170</v>
      </c>
      <c r="G2349" s="327" t="s">
        <v>155</v>
      </c>
      <c r="H2349" s="327"/>
      <c r="I2349" s="327">
        <v>2</v>
      </c>
      <c r="J2349" s="359"/>
      <c r="K2349" s="327"/>
      <c r="L2349" s="389">
        <v>1700</v>
      </c>
      <c r="M2349" s="371"/>
      <c r="N2349" s="355" t="str">
        <f t="shared" si="269"/>
        <v>PK</v>
      </c>
      <c r="O2349" s="345"/>
      <c r="P2349" s="392"/>
      <c r="Q2349" s="327"/>
      <c r="R2349" s="351"/>
      <c r="S2349" s="351"/>
      <c r="T2349" s="351"/>
      <c r="U2349" s="329" t="str">
        <f>IF($N2349=$N$4,IFERROR(INDEX(DanhMuc!$E$154:$E$165,MATCH(MID($B2349,4,2),DanhMuc!$B$154:$B$165,0)),""),"")</f>
        <v/>
      </c>
      <c r="V2349" s="361"/>
      <c r="W2349" s="345"/>
      <c r="X2349" s="329" t="str">
        <f t="shared" si="268"/>
        <v>2R</v>
      </c>
      <c r="Y2349" s="1128" t="s">
        <v>3380</v>
      </c>
      <c r="Z2349" s="1128" t="s">
        <v>3381</v>
      </c>
      <c r="AA2349" s="1128" t="s">
        <v>3384</v>
      </c>
      <c r="AB2349" s="20"/>
      <c r="AC2349" s="73"/>
    </row>
    <row r="2350" spans="1:29">
      <c r="A2350" s="327" t="str">
        <f>IF(AND($B2350&lt;&gt;"",$C2350&lt;&gt;""),MAX($A$1556:A2349)+1,"")</f>
        <v/>
      </c>
      <c r="B2350" s="361" t="s">
        <v>3185</v>
      </c>
      <c r="C2350" s="360"/>
      <c r="D2350" s="327">
        <f>IF($B2350="","",COUNTIF($B$6:$B2350,$B2350))</f>
        <v>17</v>
      </c>
      <c r="E2350" s="361" t="s">
        <v>171</v>
      </c>
      <c r="F2350" s="362" t="s">
        <v>291</v>
      </c>
      <c r="G2350" s="327" t="s">
        <v>155</v>
      </c>
      <c r="H2350" s="327"/>
      <c r="I2350" s="327">
        <v>2</v>
      </c>
      <c r="J2350" s="345"/>
      <c r="K2350" s="327"/>
      <c r="L2350" s="389">
        <v>1700</v>
      </c>
      <c r="M2350" s="371"/>
      <c r="N2350" s="355" t="str">
        <f t="shared" si="269"/>
        <v>PK</v>
      </c>
      <c r="O2350" s="345"/>
      <c r="P2350" s="392"/>
      <c r="Q2350" s="327"/>
      <c r="R2350" s="351"/>
      <c r="S2350" s="351"/>
      <c r="T2350" s="351"/>
      <c r="U2350" s="329" t="str">
        <f>IF($N2350=$N$4,IFERROR(INDEX(DanhMuc!$E$154:$E$165,MATCH(MID($B2350,4,2),DanhMuc!$B$154:$B$165,0)),""),"")</f>
        <v/>
      </c>
      <c r="V2350" s="361"/>
      <c r="W2350" s="345"/>
      <c r="X2350" s="329" t="str">
        <f t="shared" si="268"/>
        <v>2R</v>
      </c>
      <c r="Y2350" s="1128" t="s">
        <v>3380</v>
      </c>
      <c r="Z2350" s="1128" t="s">
        <v>3381</v>
      </c>
      <c r="AA2350" s="1128" t="s">
        <v>3384</v>
      </c>
      <c r="AB2350" s="20"/>
      <c r="AC2350" s="73"/>
    </row>
    <row r="2351" spans="1:29">
      <c r="A2351" s="327" t="str">
        <f>IF(AND($B2351&lt;&gt;"",$C2351&lt;&gt;""),MAX($A$1556:A2350)+1,"")</f>
        <v/>
      </c>
      <c r="B2351" s="361" t="s">
        <v>3185</v>
      </c>
      <c r="C2351" s="360"/>
      <c r="D2351" s="327">
        <f>IF($B2351="","",COUNTIF($B$6:$B2351,$B2351))</f>
        <v>18</v>
      </c>
      <c r="E2351" s="361" t="s">
        <v>2128</v>
      </c>
      <c r="F2351" s="362" t="s">
        <v>186</v>
      </c>
      <c r="G2351" s="327" t="s">
        <v>155</v>
      </c>
      <c r="H2351" s="327" t="s">
        <v>536</v>
      </c>
      <c r="I2351" s="327">
        <v>6</v>
      </c>
      <c r="J2351" s="361"/>
      <c r="K2351" s="327"/>
      <c r="L2351" s="389">
        <v>38000</v>
      </c>
      <c r="M2351" s="371"/>
      <c r="N2351" s="355" t="str">
        <f t="shared" si="269"/>
        <v>PK</v>
      </c>
      <c r="O2351" s="345"/>
      <c r="P2351" s="392"/>
      <c r="Q2351" s="327"/>
      <c r="R2351" s="351"/>
      <c r="S2351" s="351"/>
      <c r="T2351" s="351"/>
      <c r="U2351" s="329" t="str">
        <f>IF($N2351=$N$4,IFERROR(INDEX(DanhMuc!$E$154:$E$165,MATCH(MID($B2351,4,2),DanhMuc!$B$154:$B$165,0)),""),"")</f>
        <v/>
      </c>
      <c r="V2351" s="361"/>
      <c r="W2351" s="345"/>
      <c r="X2351" s="329" t="str">
        <f t="shared" si="268"/>
        <v>2R</v>
      </c>
      <c r="Y2351" s="1128" t="s">
        <v>3380</v>
      </c>
      <c r="Z2351" s="1128" t="s">
        <v>3381</v>
      </c>
      <c r="AA2351" s="1128" t="s">
        <v>3384</v>
      </c>
      <c r="AB2351" s="20"/>
      <c r="AC2351" s="73"/>
    </row>
    <row r="2352" spans="1:29" ht="39">
      <c r="A2352" s="327">
        <f>IF(AND($B2352&lt;&gt;"",$C2352&lt;&gt;""),MAX($A$1556:A2276)+1,"")</f>
        <v>130</v>
      </c>
      <c r="B2352" s="359" t="s">
        <v>2135</v>
      </c>
      <c r="C2352" s="360" t="s">
        <v>1882</v>
      </c>
      <c r="D2352" s="327">
        <f>IF($B2352="","",COUNTIF($B$6:$B2352,$B2352))</f>
        <v>1</v>
      </c>
      <c r="E2352" s="361" t="s">
        <v>2123</v>
      </c>
      <c r="F2352" s="362" t="s">
        <v>2564</v>
      </c>
      <c r="G2352" s="327" t="s">
        <v>297</v>
      </c>
      <c r="H2352" s="327"/>
      <c r="I2352" s="327">
        <v>1</v>
      </c>
      <c r="J2352" s="345"/>
      <c r="K2352" s="327"/>
      <c r="L2352" s="389">
        <v>115000</v>
      </c>
      <c r="M2352" s="371"/>
      <c r="N2352" s="355" t="str">
        <f t="shared" si="269"/>
        <v>PK</v>
      </c>
      <c r="O2352" s="404" t="s">
        <v>2560</v>
      </c>
      <c r="P2352" s="392"/>
      <c r="Q2352" s="327"/>
      <c r="R2352" s="351"/>
      <c r="S2352" s="351"/>
      <c r="T2352" s="351"/>
      <c r="U2352" s="329" t="str">
        <f>IF($N2352=$N$4,IFERROR(INDEX(DanhMuc!$E$154:$E$165,MATCH(MID($B2352,4,2),DanhMuc!$B$154:$B$165,0)),""),"")</f>
        <v/>
      </c>
      <c r="V2352" s="361"/>
      <c r="W2352" s="345"/>
      <c r="X2352" s="329" t="str">
        <f t="shared" si="268"/>
        <v>KL</v>
      </c>
      <c r="Y2352" s="1128" t="s">
        <v>3380</v>
      </c>
      <c r="Z2352" s="1128" t="s">
        <v>3381</v>
      </c>
      <c r="AA2352" s="1128" t="s">
        <v>3384</v>
      </c>
      <c r="AB2352" s="20"/>
      <c r="AC2352" s="73"/>
    </row>
    <row r="2353" spans="1:29">
      <c r="A2353" s="327" t="str">
        <f>IF(AND($B2353&lt;&gt;"",$C2353&lt;&gt;""),MAX($A$1556:A2277)+1,"")</f>
        <v/>
      </c>
      <c r="B2353" s="361" t="s">
        <v>2135</v>
      </c>
      <c r="C2353" s="362"/>
      <c r="D2353" s="327">
        <f>IF($B2353="","",COUNTIF($B$6:$B2353,$B2353))</f>
        <v>2</v>
      </c>
      <c r="E2353" s="361" t="s">
        <v>2123</v>
      </c>
      <c r="F2353" s="362" t="s">
        <v>2565</v>
      </c>
      <c r="G2353" s="327" t="s">
        <v>297</v>
      </c>
      <c r="H2353" s="327"/>
      <c r="I2353" s="327">
        <v>1</v>
      </c>
      <c r="J2353" s="345"/>
      <c r="K2353" s="327"/>
      <c r="L2353" s="389">
        <v>115000</v>
      </c>
      <c r="M2353" s="371"/>
      <c r="N2353" s="355" t="str">
        <f t="shared" si="269"/>
        <v>PK</v>
      </c>
      <c r="O2353" s="404" t="s">
        <v>2561</v>
      </c>
      <c r="P2353" s="392"/>
      <c r="Q2353" s="327"/>
      <c r="R2353" s="351"/>
      <c r="S2353" s="351"/>
      <c r="T2353" s="351"/>
      <c r="U2353" s="329" t="str">
        <f>IF($N2353=$N$4,IFERROR(INDEX(DanhMuc!$E$154:$E$165,MATCH(MID($B2353,4,2),DanhMuc!$B$154:$B$165,0)),""),"")</f>
        <v/>
      </c>
      <c r="V2353" s="361"/>
      <c r="W2353" s="345"/>
      <c r="X2353" s="329" t="str">
        <f t="shared" si="268"/>
        <v>KL</v>
      </c>
      <c r="Y2353" s="1128" t="s">
        <v>3380</v>
      </c>
      <c r="Z2353" s="1128" t="s">
        <v>3381</v>
      </c>
      <c r="AA2353" s="1128" t="s">
        <v>3384</v>
      </c>
      <c r="AB2353" s="20"/>
      <c r="AC2353" s="73"/>
    </row>
    <row r="2354" spans="1:29">
      <c r="A2354" s="327" t="str">
        <f>IF(AND($B2354&lt;&gt;"",$C2354&lt;&gt;""),MAX($A$1556:A2278)+1,"")</f>
        <v/>
      </c>
      <c r="B2354" s="361" t="s">
        <v>2135</v>
      </c>
      <c r="C2354" s="362"/>
      <c r="D2354" s="327">
        <f>IF($B2354="","",COUNTIF($B$6:$B2354,$B2354))</f>
        <v>3</v>
      </c>
      <c r="E2354" s="361" t="s">
        <v>2125</v>
      </c>
      <c r="F2354" s="362" t="s">
        <v>2126</v>
      </c>
      <c r="G2354" s="327" t="s">
        <v>155</v>
      </c>
      <c r="H2354" s="327"/>
      <c r="I2354" s="327">
        <v>1</v>
      </c>
      <c r="J2354" s="345"/>
      <c r="K2354" s="327"/>
      <c r="L2354" s="389">
        <v>5000</v>
      </c>
      <c r="M2354" s="371"/>
      <c r="N2354" s="355" t="str">
        <f t="shared" si="269"/>
        <v>PK</v>
      </c>
      <c r="O2354" s="404" t="s">
        <v>1783</v>
      </c>
      <c r="P2354" s="392"/>
      <c r="Q2354" s="327"/>
      <c r="R2354" s="351"/>
      <c r="S2354" s="351"/>
      <c r="T2354" s="351"/>
      <c r="U2354" s="329" t="str">
        <f>IF($N2354=$N$4,IFERROR(INDEX(DanhMuc!$E$154:$E$165,MATCH(MID($B2354,4,2),DanhMuc!$B$154:$B$165,0)),""),"")</f>
        <v/>
      </c>
      <c r="V2354" s="361"/>
      <c r="W2354" s="345"/>
      <c r="X2354" s="329" t="str">
        <f t="shared" si="268"/>
        <v>KL</v>
      </c>
      <c r="Y2354" s="1128" t="s">
        <v>3380</v>
      </c>
      <c r="Z2354" s="1128" t="s">
        <v>3381</v>
      </c>
      <c r="AA2354" s="1128" t="s">
        <v>3384</v>
      </c>
      <c r="AB2354" s="20"/>
      <c r="AC2354" s="73"/>
    </row>
    <row r="2355" spans="1:29">
      <c r="A2355" s="327" t="str">
        <f>IF(AND($B2355&lt;&gt;"",$C2355&lt;&gt;""),MAX($A$1556:A2278)+1,"")</f>
        <v/>
      </c>
      <c r="B2355" s="361" t="s">
        <v>2135</v>
      </c>
      <c r="C2355" s="362"/>
      <c r="D2355" s="327">
        <f>IF($B2355="","",COUNTIF($B$6:$B2355,$B2355))</f>
        <v>4</v>
      </c>
      <c r="E2355" s="361" t="s">
        <v>2232</v>
      </c>
      <c r="F2355" s="362" t="s">
        <v>2127</v>
      </c>
      <c r="G2355" s="327" t="s">
        <v>155</v>
      </c>
      <c r="H2355" s="327"/>
      <c r="I2355" s="327">
        <v>2</v>
      </c>
      <c r="J2355" s="345"/>
      <c r="K2355" s="327"/>
      <c r="L2355" s="389">
        <v>35500</v>
      </c>
      <c r="M2355" s="371"/>
      <c r="N2355" s="355" t="str">
        <f t="shared" si="269"/>
        <v>PK</v>
      </c>
      <c r="O2355" s="345"/>
      <c r="P2355" s="392"/>
      <c r="Q2355" s="327"/>
      <c r="R2355" s="351"/>
      <c r="S2355" s="351"/>
      <c r="T2355" s="351"/>
      <c r="U2355" s="329" t="str">
        <f>IF($N2355=$N$4,IFERROR(INDEX(DanhMuc!$E$154:$E$165,MATCH(MID($B2355,4,2),DanhMuc!$B$154:$B$165,0)),""),"")</f>
        <v/>
      </c>
      <c r="V2355" s="361"/>
      <c r="W2355" s="345"/>
      <c r="X2355" s="329" t="str">
        <f t="shared" si="268"/>
        <v>KL</v>
      </c>
      <c r="Y2355" s="1128" t="s">
        <v>3380</v>
      </c>
      <c r="Z2355" s="1128" t="s">
        <v>3381</v>
      </c>
      <c r="AA2355" s="1128" t="s">
        <v>3384</v>
      </c>
      <c r="AB2355" s="20"/>
      <c r="AC2355" s="73"/>
    </row>
    <row r="2356" spans="1:29">
      <c r="A2356" s="327" t="str">
        <f>IF(AND($B2356&lt;&gt;"",$C2356&lt;&gt;""),MAX($A$1556:A2279)+1,"")</f>
        <v/>
      </c>
      <c r="B2356" s="361" t="s">
        <v>2135</v>
      </c>
      <c r="C2356" s="360"/>
      <c r="D2356" s="327">
        <f>IF($B2356="","",COUNTIF($B$6:$B2356,$B2356))</f>
        <v>5</v>
      </c>
      <c r="E2356" s="361" t="s">
        <v>2125</v>
      </c>
      <c r="F2356" s="362" t="s">
        <v>2126</v>
      </c>
      <c r="G2356" s="327" t="s">
        <v>155</v>
      </c>
      <c r="H2356" s="327"/>
      <c r="I2356" s="327">
        <v>2</v>
      </c>
      <c r="J2356" s="345"/>
      <c r="K2356" s="327"/>
      <c r="L2356" s="389">
        <v>5000</v>
      </c>
      <c r="M2356" s="371"/>
      <c r="N2356" s="355" t="str">
        <f t="shared" si="269"/>
        <v>PK</v>
      </c>
      <c r="O2356" s="345"/>
      <c r="P2356" s="392"/>
      <c r="Q2356" s="327"/>
      <c r="R2356" s="351"/>
      <c r="S2356" s="351"/>
      <c r="T2356" s="351"/>
      <c r="U2356" s="329" t="str">
        <f>IF($N2356=$N$4,IFERROR(INDEX(DanhMuc!$E$154:$E$165,MATCH(MID($B2356,4,2),DanhMuc!$B$154:$B$165,0)),""),"")</f>
        <v/>
      </c>
      <c r="V2356" s="361"/>
      <c r="W2356" s="345"/>
      <c r="X2356" s="329" t="str">
        <f t="shared" si="268"/>
        <v>KL</v>
      </c>
      <c r="Y2356" s="1128" t="s">
        <v>3380</v>
      </c>
      <c r="Z2356" s="1128" t="s">
        <v>3381</v>
      </c>
      <c r="AA2356" s="1128" t="s">
        <v>3384</v>
      </c>
      <c r="AB2356" s="20"/>
      <c r="AC2356" s="73"/>
    </row>
    <row r="2357" spans="1:29">
      <c r="A2357" s="327" t="str">
        <f>IF(AND($B2357&lt;&gt;"",$C2357&lt;&gt;""),MAX($A$1556:A2280)+1,"")</f>
        <v/>
      </c>
      <c r="B2357" s="361" t="s">
        <v>2135</v>
      </c>
      <c r="C2357" s="360"/>
      <c r="D2357" s="327">
        <f>IF($B2357="","",COUNTIF($B$6:$B2357,$B2357))</f>
        <v>6</v>
      </c>
      <c r="E2357" s="361" t="s">
        <v>2139</v>
      </c>
      <c r="F2357" s="362" t="s">
        <v>2137</v>
      </c>
      <c r="G2357" s="327" t="s">
        <v>155</v>
      </c>
      <c r="H2357" s="327"/>
      <c r="I2357" s="327">
        <v>1</v>
      </c>
      <c r="J2357" s="345"/>
      <c r="K2357" s="327"/>
      <c r="L2357" s="389">
        <v>70323</v>
      </c>
      <c r="M2357" s="371"/>
      <c r="N2357" s="355" t="str">
        <f t="shared" si="269"/>
        <v>PK</v>
      </c>
      <c r="O2357" s="404" t="s">
        <v>1789</v>
      </c>
      <c r="P2357" s="392"/>
      <c r="Q2357" s="327"/>
      <c r="R2357" s="351"/>
      <c r="S2357" s="351"/>
      <c r="T2357" s="351"/>
      <c r="U2357" s="329" t="str">
        <f>IF($N2357=$N$4,IFERROR(INDEX(DanhMuc!$E$154:$E$165,MATCH(MID($B2357,4,2),DanhMuc!$B$154:$B$165,0)),""),"")</f>
        <v/>
      </c>
      <c r="V2357" s="361"/>
      <c r="W2357" s="345"/>
      <c r="X2357" s="329" t="str">
        <f t="shared" si="268"/>
        <v>KL</v>
      </c>
      <c r="Y2357" s="1128" t="s">
        <v>3380</v>
      </c>
      <c r="Z2357" s="1128" t="s">
        <v>3381</v>
      </c>
      <c r="AA2357" s="1128" t="s">
        <v>3384</v>
      </c>
      <c r="AB2357" s="20"/>
      <c r="AC2357" s="73"/>
    </row>
    <row r="2358" spans="1:29">
      <c r="A2358" s="327" t="str">
        <f>IF(AND($B2358&lt;&gt;"",$C2358&lt;&gt;""),MAX($A$1556:A2281)+1,"")</f>
        <v/>
      </c>
      <c r="B2358" s="361" t="s">
        <v>2135</v>
      </c>
      <c r="C2358" s="360"/>
      <c r="D2358" s="327">
        <f>IF($B2358="","",COUNTIF($B$6:$B2358,$B2358))</f>
        <v>7</v>
      </c>
      <c r="E2358" s="361" t="s">
        <v>2140</v>
      </c>
      <c r="F2358" s="362" t="s">
        <v>2138</v>
      </c>
      <c r="G2358" s="327" t="s">
        <v>155</v>
      </c>
      <c r="H2358" s="327"/>
      <c r="I2358" s="327">
        <v>1</v>
      </c>
      <c r="J2358" s="345"/>
      <c r="K2358" s="327"/>
      <c r="L2358" s="389">
        <v>70323</v>
      </c>
      <c r="M2358" s="371"/>
      <c r="N2358" s="355" t="str">
        <f t="shared" si="269"/>
        <v>PK</v>
      </c>
      <c r="O2358" s="404" t="s">
        <v>1790</v>
      </c>
      <c r="P2358" s="392"/>
      <c r="Q2358" s="327"/>
      <c r="R2358" s="351"/>
      <c r="S2358" s="351"/>
      <c r="T2358" s="351"/>
      <c r="U2358" s="329" t="str">
        <f>IF($N2358=$N$4,IFERROR(INDEX(DanhMuc!$E$154:$E$165,MATCH(MID($B2358,4,2),DanhMuc!$B$154:$B$165,0)),""),"")</f>
        <v/>
      </c>
      <c r="V2358" s="361"/>
      <c r="W2358" s="345"/>
      <c r="X2358" s="329" t="str">
        <f t="shared" si="268"/>
        <v>KL</v>
      </c>
      <c r="Y2358" s="1128" t="s">
        <v>3380</v>
      </c>
      <c r="Z2358" s="1128" t="s">
        <v>3381</v>
      </c>
      <c r="AA2358" s="1128" t="s">
        <v>3384</v>
      </c>
      <c r="AB2358" s="20"/>
      <c r="AC2358" s="73"/>
    </row>
    <row r="2359" spans="1:29">
      <c r="A2359" s="327" t="str">
        <f>IF(AND($B2359&lt;&gt;"",$C2359&lt;&gt;""),MAX($A$1556:A2280)+1,"")</f>
        <v/>
      </c>
      <c r="B2359" s="361" t="s">
        <v>2135</v>
      </c>
      <c r="C2359" s="360"/>
      <c r="D2359" s="327">
        <f>IF($B2359="","",COUNTIF($B$6:$B2359,$B2359))</f>
        <v>8</v>
      </c>
      <c r="E2359" s="361" t="s">
        <v>2131</v>
      </c>
      <c r="F2359" s="362" t="s">
        <v>2130</v>
      </c>
      <c r="G2359" s="327" t="s">
        <v>155</v>
      </c>
      <c r="H2359" s="327" t="s">
        <v>536</v>
      </c>
      <c r="I2359" s="411" t="s">
        <v>2857</v>
      </c>
      <c r="J2359" s="359"/>
      <c r="K2359" s="327"/>
      <c r="L2359" s="389">
        <v>38000</v>
      </c>
      <c r="M2359" s="371"/>
      <c r="N2359" s="355" t="str">
        <f t="shared" si="269"/>
        <v>PK</v>
      </c>
      <c r="O2359" s="404" t="s">
        <v>1782</v>
      </c>
      <c r="P2359" s="392"/>
      <c r="Q2359" s="327"/>
      <c r="R2359" s="351"/>
      <c r="S2359" s="351"/>
      <c r="T2359" s="351"/>
      <c r="U2359" s="329" t="str">
        <f>IF($N2359=$N$4,IFERROR(INDEX(DanhMuc!$E$154:$E$165,MATCH(MID($B2359,4,2),DanhMuc!$B$154:$B$165,0)),""),"")</f>
        <v/>
      </c>
      <c r="V2359" s="361"/>
      <c r="W2359" s="345"/>
      <c r="X2359" s="329" t="str">
        <f t="shared" si="268"/>
        <v>KL</v>
      </c>
      <c r="Y2359" s="1128" t="s">
        <v>3380</v>
      </c>
      <c r="Z2359" s="1128" t="s">
        <v>3381</v>
      </c>
      <c r="AA2359" s="1128" t="s">
        <v>3384</v>
      </c>
      <c r="AB2359" s="20"/>
      <c r="AC2359" s="73"/>
    </row>
    <row r="2360" spans="1:29">
      <c r="A2360" s="327" t="str">
        <f>IF(AND($B2360&lt;&gt;"",$C2360&lt;&gt;""),MAX($A$1556:A2281)+1,"")</f>
        <v/>
      </c>
      <c r="B2360" s="361" t="s">
        <v>2135</v>
      </c>
      <c r="C2360" s="360"/>
      <c r="D2360" s="327">
        <f>IF($B2360="","",COUNTIF($B$6:$B2360,$B2360))</f>
        <v>9</v>
      </c>
      <c r="E2360" s="361" t="s">
        <v>2129</v>
      </c>
      <c r="F2360" s="362" t="s">
        <v>2130</v>
      </c>
      <c r="G2360" s="327" t="s">
        <v>155</v>
      </c>
      <c r="H2360" s="327" t="s">
        <v>536</v>
      </c>
      <c r="I2360" s="411" t="s">
        <v>2855</v>
      </c>
      <c r="J2360" s="359"/>
      <c r="K2360" s="327"/>
      <c r="L2360" s="389">
        <v>45000</v>
      </c>
      <c r="M2360" s="371"/>
      <c r="N2360" s="355" t="str">
        <f t="shared" si="269"/>
        <v>PK</v>
      </c>
      <c r="O2360" s="404" t="s">
        <v>1782</v>
      </c>
      <c r="P2360" s="392"/>
      <c r="Q2360" s="327"/>
      <c r="R2360" s="351"/>
      <c r="S2360" s="351"/>
      <c r="T2360" s="351"/>
      <c r="U2360" s="329" t="str">
        <f>IF($N2360=$N$4,IFERROR(INDEX(DanhMuc!$E$154:$E$165,MATCH(MID($B2360,4,2),DanhMuc!$B$154:$B$165,0)),""),"")</f>
        <v/>
      </c>
      <c r="V2360" s="361"/>
      <c r="W2360" s="345"/>
      <c r="X2360" s="329" t="str">
        <f t="shared" si="268"/>
        <v>KL</v>
      </c>
      <c r="Y2360" s="1128" t="s">
        <v>3380</v>
      </c>
      <c r="Z2360" s="1128" t="s">
        <v>3381</v>
      </c>
      <c r="AA2360" s="1128" t="s">
        <v>3384</v>
      </c>
      <c r="AB2360" s="20"/>
      <c r="AC2360" s="73"/>
    </row>
    <row r="2361" spans="1:29">
      <c r="A2361" s="327" t="str">
        <f>IF(AND($B2361&lt;&gt;"",$C2361&lt;&gt;""),MAX($A$1556:A2283)+1,"")</f>
        <v/>
      </c>
      <c r="B2361" s="361" t="s">
        <v>2135</v>
      </c>
      <c r="C2361" s="360"/>
      <c r="D2361" s="327">
        <f>IF($B2361="","",COUNTIF($B$6:$B2361,$B2361))</f>
        <v>10</v>
      </c>
      <c r="E2361" s="361" t="s">
        <v>2133</v>
      </c>
      <c r="F2361" s="362" t="s">
        <v>2141</v>
      </c>
      <c r="G2361" s="327" t="s">
        <v>155</v>
      </c>
      <c r="H2361" s="327" t="s">
        <v>536</v>
      </c>
      <c r="I2361" s="327">
        <v>2</v>
      </c>
      <c r="J2361" s="359"/>
      <c r="K2361" s="327"/>
      <c r="L2361" s="389">
        <v>5000</v>
      </c>
      <c r="M2361" s="371"/>
      <c r="N2361" s="355" t="str">
        <f t="shared" si="269"/>
        <v>PK</v>
      </c>
      <c r="O2361" s="404" t="s">
        <v>1782</v>
      </c>
      <c r="P2361" s="392"/>
      <c r="Q2361" s="327"/>
      <c r="R2361" s="351"/>
      <c r="S2361" s="351"/>
      <c r="T2361" s="351"/>
      <c r="U2361" s="329" t="str">
        <f>IF($N2361=$N$4,IFERROR(INDEX(DanhMuc!$E$154:$E$165,MATCH(MID($B2361,4,2),DanhMuc!$B$154:$B$165,0)),""),"")</f>
        <v/>
      </c>
      <c r="V2361" s="361"/>
      <c r="W2361" s="345"/>
      <c r="X2361" s="329" t="str">
        <f t="shared" si="268"/>
        <v>KL</v>
      </c>
      <c r="Y2361" s="1128" t="s">
        <v>3380</v>
      </c>
      <c r="Z2361" s="1128" t="s">
        <v>3381</v>
      </c>
      <c r="AA2361" s="1128" t="s">
        <v>3384</v>
      </c>
      <c r="AB2361" s="20"/>
      <c r="AC2361" s="73"/>
    </row>
    <row r="2362" spans="1:29">
      <c r="A2362" s="327" t="str">
        <f>IF(AND($B2362&lt;&gt;"",$C2362&lt;&gt;""),MAX($A$1556:A2284)+1,"")</f>
        <v/>
      </c>
      <c r="B2362" s="361" t="s">
        <v>2135</v>
      </c>
      <c r="C2362" s="360"/>
      <c r="D2362" s="327">
        <f>IF($B2362="","",COUNTIF($B$6:$B2362,$B2362))</f>
        <v>11</v>
      </c>
      <c r="E2362" s="361" t="s">
        <v>187</v>
      </c>
      <c r="F2362" s="362" t="s">
        <v>189</v>
      </c>
      <c r="G2362" s="327" t="s">
        <v>155</v>
      </c>
      <c r="H2362" s="327"/>
      <c r="I2362" s="327">
        <v>4</v>
      </c>
      <c r="J2362" s="359"/>
      <c r="K2362" s="327"/>
      <c r="L2362" s="389">
        <v>5000</v>
      </c>
      <c r="M2362" s="371"/>
      <c r="N2362" s="355" t="str">
        <f t="shared" si="269"/>
        <v>PK</v>
      </c>
      <c r="O2362" s="345"/>
      <c r="P2362" s="392"/>
      <c r="Q2362" s="327"/>
      <c r="R2362" s="351"/>
      <c r="S2362" s="351"/>
      <c r="T2362" s="351"/>
      <c r="U2362" s="329" t="str">
        <f>IF($N2362=$N$4,IFERROR(INDEX(DanhMuc!$E$154:$E$165,MATCH(MID($B2362,4,2),DanhMuc!$B$154:$B$165,0)),""),"")</f>
        <v/>
      </c>
      <c r="V2362" s="361"/>
      <c r="W2362" s="345"/>
      <c r="X2362" s="329" t="str">
        <f t="shared" si="268"/>
        <v>KL</v>
      </c>
      <c r="Y2362" s="1128" t="s">
        <v>3380</v>
      </c>
      <c r="Z2362" s="1128" t="s">
        <v>3381</v>
      </c>
      <c r="AA2362" s="1128" t="s">
        <v>3384</v>
      </c>
      <c r="AB2362" s="20"/>
      <c r="AC2362" s="73"/>
    </row>
    <row r="2363" spans="1:29">
      <c r="A2363" s="327" t="str">
        <f>IF(AND($B2363&lt;&gt;"",$C2363&lt;&gt;""),MAX($A$1556:A2285)+1,"")</f>
        <v/>
      </c>
      <c r="B2363" s="361" t="s">
        <v>2135</v>
      </c>
      <c r="C2363" s="360"/>
      <c r="D2363" s="327">
        <f>IF($B2363="","",COUNTIF($B$6:$B2363,$B2363))</f>
        <v>12</v>
      </c>
      <c r="E2363" s="361" t="s">
        <v>172</v>
      </c>
      <c r="F2363" s="362" t="s">
        <v>173</v>
      </c>
      <c r="G2363" s="327" t="s">
        <v>155</v>
      </c>
      <c r="H2363" s="327"/>
      <c r="I2363" s="327">
        <v>2</v>
      </c>
      <c r="J2363" s="345"/>
      <c r="K2363" s="327"/>
      <c r="L2363" s="389">
        <v>6000</v>
      </c>
      <c r="M2363" s="371"/>
      <c r="N2363" s="355" t="str">
        <f t="shared" si="269"/>
        <v>PK</v>
      </c>
      <c r="O2363" s="345"/>
      <c r="P2363" s="392"/>
      <c r="Q2363" s="327"/>
      <c r="R2363" s="351"/>
      <c r="S2363" s="351"/>
      <c r="T2363" s="351"/>
      <c r="U2363" s="329" t="str">
        <f>IF($N2363=$N$4,IFERROR(INDEX(DanhMuc!$E$154:$E$165,MATCH(MID($B2363,4,2),DanhMuc!$B$154:$B$165,0)),""),"")</f>
        <v/>
      </c>
      <c r="V2363" s="361"/>
      <c r="W2363" s="345"/>
      <c r="X2363" s="329" t="str">
        <f t="shared" si="268"/>
        <v>KL</v>
      </c>
      <c r="Y2363" s="1128" t="s">
        <v>3380</v>
      </c>
      <c r="Z2363" s="1128" t="s">
        <v>3381</v>
      </c>
      <c r="AA2363" s="1128" t="s">
        <v>3384</v>
      </c>
      <c r="AB2363" s="20"/>
      <c r="AC2363" s="73"/>
    </row>
    <row r="2364" spans="1:29">
      <c r="A2364" s="327" t="str">
        <f>IF(AND($B2364&lt;&gt;"",$C2364&lt;&gt;""),MAX($A$1556:A2286)+1,"")</f>
        <v/>
      </c>
      <c r="B2364" s="361" t="s">
        <v>2135</v>
      </c>
      <c r="C2364" s="360"/>
      <c r="D2364" s="327">
        <f>IF($B2364="","",COUNTIF($B$6:$B2364,$B2364))</f>
        <v>13</v>
      </c>
      <c r="E2364" s="361" t="s">
        <v>163</v>
      </c>
      <c r="F2364" s="362" t="s">
        <v>164</v>
      </c>
      <c r="G2364" s="327" t="s">
        <v>155</v>
      </c>
      <c r="H2364" s="327"/>
      <c r="I2364" s="327">
        <v>4</v>
      </c>
      <c r="J2364" s="345"/>
      <c r="K2364" s="327"/>
      <c r="L2364" s="389">
        <v>2500</v>
      </c>
      <c r="M2364" s="371"/>
      <c r="N2364" s="355" t="str">
        <f t="shared" si="269"/>
        <v>PK</v>
      </c>
      <c r="O2364" s="345"/>
      <c r="P2364" s="392"/>
      <c r="Q2364" s="327"/>
      <c r="R2364" s="351"/>
      <c r="S2364" s="351"/>
      <c r="T2364" s="351"/>
      <c r="U2364" s="329" t="str">
        <f>IF($N2364=$N$4,IFERROR(INDEX(DanhMuc!$E$154:$E$165,MATCH(MID($B2364,4,2),DanhMuc!$B$154:$B$165,0)),""),"")</f>
        <v/>
      </c>
      <c r="V2364" s="361"/>
      <c r="W2364" s="345"/>
      <c r="X2364" s="329" t="str">
        <f t="shared" si="268"/>
        <v>KL</v>
      </c>
      <c r="Y2364" s="1128" t="s">
        <v>3380</v>
      </c>
      <c r="Z2364" s="1128" t="s">
        <v>3381</v>
      </c>
      <c r="AA2364" s="1128" t="s">
        <v>3384</v>
      </c>
      <c r="AB2364" s="20"/>
      <c r="AC2364" s="73"/>
    </row>
    <row r="2365" spans="1:29">
      <c r="A2365" s="327" t="str">
        <f>IF(AND($B2365&lt;&gt;"",$C2365&lt;&gt;""),MAX($A$1556:A2291)+1,"")</f>
        <v/>
      </c>
      <c r="B2365" s="361" t="s">
        <v>2135</v>
      </c>
      <c r="C2365" s="360"/>
      <c r="D2365" s="327">
        <f>IF($B2365="","",COUNTIF($B$6:$B2365,$B2365))</f>
        <v>14</v>
      </c>
      <c r="E2365" s="361" t="s">
        <v>165</v>
      </c>
      <c r="F2365" s="362" t="s">
        <v>166</v>
      </c>
      <c r="G2365" s="327" t="s">
        <v>155</v>
      </c>
      <c r="H2365" s="327"/>
      <c r="I2365" s="327">
        <v>4</v>
      </c>
      <c r="J2365" s="359"/>
      <c r="K2365" s="327"/>
      <c r="L2365" s="389">
        <v>1700</v>
      </c>
      <c r="M2365" s="371"/>
      <c r="N2365" s="355" t="str">
        <f t="shared" si="269"/>
        <v>PK</v>
      </c>
      <c r="O2365" s="345"/>
      <c r="P2365" s="392"/>
      <c r="Q2365" s="327"/>
      <c r="R2365" s="351"/>
      <c r="S2365" s="351"/>
      <c r="T2365" s="351"/>
      <c r="U2365" s="329" t="str">
        <f>IF($N2365=$N$4,IFERROR(INDEX(DanhMuc!$E$154:$E$165,MATCH(MID($B2365,4,2),DanhMuc!$B$154:$B$165,0)),""),"")</f>
        <v/>
      </c>
      <c r="V2365" s="361"/>
      <c r="W2365" s="345"/>
      <c r="X2365" s="329" t="str">
        <f t="shared" si="268"/>
        <v>KL</v>
      </c>
      <c r="Y2365" s="1128" t="s">
        <v>3380</v>
      </c>
      <c r="Z2365" s="1128" t="s">
        <v>3381</v>
      </c>
      <c r="AA2365" s="1128" t="s">
        <v>3384</v>
      </c>
      <c r="AB2365" s="20"/>
      <c r="AC2365" s="73"/>
    </row>
    <row r="2366" spans="1:29">
      <c r="A2366" s="327" t="str">
        <f>IF(AND($B2366&lt;&gt;"",$C2366&lt;&gt;""),MAX($A$1556:A2365)+1,"")</f>
        <v/>
      </c>
      <c r="B2366" s="361" t="s">
        <v>2135</v>
      </c>
      <c r="C2366" s="360"/>
      <c r="D2366" s="327">
        <f>IF($B2366="","",COUNTIF($B$6:$B2366,$B2366))</f>
        <v>15</v>
      </c>
      <c r="E2366" s="361" t="s">
        <v>167</v>
      </c>
      <c r="F2366" s="362" t="s">
        <v>168</v>
      </c>
      <c r="G2366" s="327" t="s">
        <v>155</v>
      </c>
      <c r="H2366" s="327"/>
      <c r="I2366" s="327">
        <v>4</v>
      </c>
      <c r="J2366" s="359"/>
      <c r="K2366" s="327"/>
      <c r="L2366" s="389">
        <v>1700</v>
      </c>
      <c r="M2366" s="371"/>
      <c r="N2366" s="355" t="str">
        <f t="shared" si="269"/>
        <v>PK</v>
      </c>
      <c r="O2366" s="345"/>
      <c r="P2366" s="392"/>
      <c r="Q2366" s="327"/>
      <c r="R2366" s="351"/>
      <c r="S2366" s="351"/>
      <c r="T2366" s="351"/>
      <c r="U2366" s="329" t="str">
        <f>IF($N2366=$N$4,IFERROR(INDEX(DanhMuc!$E$154:$E$165,MATCH(MID($B2366,4,2),DanhMuc!$B$154:$B$165,0)),""),"")</f>
        <v/>
      </c>
      <c r="V2366" s="361"/>
      <c r="W2366" s="345"/>
      <c r="X2366" s="329" t="str">
        <f t="shared" si="268"/>
        <v>KL</v>
      </c>
      <c r="Y2366" s="1128" t="s">
        <v>3380</v>
      </c>
      <c r="Z2366" s="1128" t="s">
        <v>3381</v>
      </c>
      <c r="AA2366" s="1128" t="s">
        <v>3384</v>
      </c>
      <c r="AB2366" s="20"/>
      <c r="AC2366" s="73"/>
    </row>
    <row r="2367" spans="1:29">
      <c r="A2367" s="327" t="str">
        <f>IF(AND($B2367&lt;&gt;"",$C2367&lt;&gt;""),MAX($A$1556:A2366)+1,"")</f>
        <v/>
      </c>
      <c r="B2367" s="361" t="s">
        <v>2135</v>
      </c>
      <c r="C2367" s="360"/>
      <c r="D2367" s="327">
        <f>IF($B2367="","",COUNTIF($B$6:$B2367,$B2367))</f>
        <v>16</v>
      </c>
      <c r="E2367" s="361" t="s">
        <v>169</v>
      </c>
      <c r="F2367" s="362" t="s">
        <v>170</v>
      </c>
      <c r="G2367" s="327" t="s">
        <v>155</v>
      </c>
      <c r="H2367" s="327"/>
      <c r="I2367" s="327">
        <v>4</v>
      </c>
      <c r="J2367" s="359"/>
      <c r="K2367" s="327"/>
      <c r="L2367" s="389">
        <v>1700</v>
      </c>
      <c r="M2367" s="371"/>
      <c r="N2367" s="355" t="str">
        <f t="shared" si="269"/>
        <v>PK</v>
      </c>
      <c r="O2367" s="345"/>
      <c r="P2367" s="392"/>
      <c r="Q2367" s="327"/>
      <c r="R2367" s="351"/>
      <c r="S2367" s="351"/>
      <c r="T2367" s="351"/>
      <c r="U2367" s="329" t="str">
        <f>IF($N2367=$N$4,IFERROR(INDEX(DanhMuc!$E$154:$E$165,MATCH(MID($B2367,4,2),DanhMuc!$B$154:$B$165,0)),""),"")</f>
        <v/>
      </c>
      <c r="V2367" s="361"/>
      <c r="W2367" s="345"/>
      <c r="X2367" s="329" t="str">
        <f t="shared" si="268"/>
        <v>KL</v>
      </c>
      <c r="Y2367" s="1128" t="s">
        <v>3380</v>
      </c>
      <c r="Z2367" s="1128" t="s">
        <v>3381</v>
      </c>
      <c r="AA2367" s="1128" t="s">
        <v>3384</v>
      </c>
      <c r="AB2367" s="20"/>
      <c r="AC2367" s="73"/>
    </row>
    <row r="2368" spans="1:29">
      <c r="A2368" s="327" t="str">
        <f>IF(AND($B2368&lt;&gt;"",$C2368&lt;&gt;""),MAX($A$1556:A2367)+1,"")</f>
        <v/>
      </c>
      <c r="B2368" s="361" t="s">
        <v>2135</v>
      </c>
      <c r="C2368" s="360"/>
      <c r="D2368" s="327">
        <f>IF($B2368="","",COUNTIF($B$6:$B2368,$B2368))</f>
        <v>17</v>
      </c>
      <c r="E2368" s="361" t="s">
        <v>171</v>
      </c>
      <c r="F2368" s="362" t="s">
        <v>291</v>
      </c>
      <c r="G2368" s="327" t="s">
        <v>155</v>
      </c>
      <c r="H2368" s="327"/>
      <c r="I2368" s="327">
        <v>4</v>
      </c>
      <c r="J2368" s="345"/>
      <c r="K2368" s="327"/>
      <c r="L2368" s="389">
        <v>1700</v>
      </c>
      <c r="M2368" s="371"/>
      <c r="N2368" s="355" t="str">
        <f t="shared" si="269"/>
        <v>PK</v>
      </c>
      <c r="O2368" s="345"/>
      <c r="P2368" s="392"/>
      <c r="Q2368" s="327"/>
      <c r="R2368" s="351"/>
      <c r="S2368" s="351"/>
      <c r="T2368" s="351"/>
      <c r="U2368" s="329" t="str">
        <f>IF($N2368=$N$4,IFERROR(INDEX(DanhMuc!$E$154:$E$165,MATCH(MID($B2368,4,2),DanhMuc!$B$154:$B$165,0)),""),"")</f>
        <v/>
      </c>
      <c r="V2368" s="361"/>
      <c r="W2368" s="345"/>
      <c r="X2368" s="329" t="str">
        <f t="shared" si="268"/>
        <v>KL</v>
      </c>
      <c r="Y2368" s="1128" t="s">
        <v>3380</v>
      </c>
      <c r="Z2368" s="1128" t="s">
        <v>3381</v>
      </c>
      <c r="AA2368" s="1128" t="s">
        <v>3384</v>
      </c>
      <c r="AB2368" s="20"/>
      <c r="AC2368" s="73"/>
    </row>
    <row r="2369" spans="1:29">
      <c r="A2369" s="327" t="str">
        <f>IF(AND($B2369&lt;&gt;"",$C2369&lt;&gt;""),MAX($A$1556:A2368)+1,"")</f>
        <v/>
      </c>
      <c r="B2369" s="361" t="s">
        <v>2135</v>
      </c>
      <c r="C2369" s="360"/>
      <c r="D2369" s="327">
        <f>IF($B2369="","",COUNTIF($B$6:$B2369,$B2369))</f>
        <v>18</v>
      </c>
      <c r="E2369" s="361" t="s">
        <v>2128</v>
      </c>
      <c r="F2369" s="362" t="s">
        <v>186</v>
      </c>
      <c r="G2369" s="327" t="s">
        <v>155</v>
      </c>
      <c r="H2369" s="327" t="s">
        <v>536</v>
      </c>
      <c r="I2369" s="327">
        <v>8</v>
      </c>
      <c r="J2369" s="361"/>
      <c r="K2369" s="327"/>
      <c r="L2369" s="389">
        <v>38000</v>
      </c>
      <c r="M2369" s="371"/>
      <c r="N2369" s="355" t="str">
        <f t="shared" si="269"/>
        <v>PK</v>
      </c>
      <c r="O2369" s="345"/>
      <c r="P2369" s="392"/>
      <c r="Q2369" s="327"/>
      <c r="R2369" s="351"/>
      <c r="S2369" s="351"/>
      <c r="T2369" s="351"/>
      <c r="U2369" s="329" t="str">
        <f>IF($N2369=$N$4,IFERROR(INDEX(DanhMuc!$E$154:$E$165,MATCH(MID($B2369,4,2),DanhMuc!$B$154:$B$165,0)),""),"")</f>
        <v/>
      </c>
      <c r="V2369" s="361"/>
      <c r="W2369" s="345"/>
      <c r="X2369" s="329" t="str">
        <f t="shared" si="268"/>
        <v>KL</v>
      </c>
      <c r="Y2369" s="1128" t="s">
        <v>3380</v>
      </c>
      <c r="Z2369" s="1128" t="s">
        <v>3381</v>
      </c>
      <c r="AA2369" s="1128" t="s">
        <v>3384</v>
      </c>
      <c r="AB2369" s="20"/>
      <c r="AC2369" s="73"/>
    </row>
    <row r="2370" spans="1:29" ht="52">
      <c r="A2370" s="327">
        <f>IF(AND($B2370&lt;&gt;"",$C2370&lt;&gt;""),MAX($A$1556:A2294)+1,"")</f>
        <v>131</v>
      </c>
      <c r="B2370" s="359" t="s">
        <v>3163</v>
      </c>
      <c r="C2370" s="360" t="s">
        <v>2143</v>
      </c>
      <c r="D2370" s="327">
        <f>IF($B2370="","",COUNTIF($B$6:$B2370,$B2370))</f>
        <v>1</v>
      </c>
      <c r="E2370" s="361" t="s">
        <v>2123</v>
      </c>
      <c r="F2370" s="362" t="s">
        <v>2564</v>
      </c>
      <c r="G2370" s="327" t="s">
        <v>297</v>
      </c>
      <c r="H2370" s="327"/>
      <c r="I2370" s="327">
        <v>1</v>
      </c>
      <c r="J2370" s="345"/>
      <c r="K2370" s="327"/>
      <c r="L2370" s="389">
        <v>115000</v>
      </c>
      <c r="M2370" s="371"/>
      <c r="N2370" s="355" t="str">
        <f t="shared" si="269"/>
        <v>PK</v>
      </c>
      <c r="O2370" s="404" t="s">
        <v>2560</v>
      </c>
      <c r="P2370" s="392"/>
      <c r="Q2370" s="327"/>
      <c r="R2370" s="351"/>
      <c r="S2370" s="351"/>
      <c r="T2370" s="351"/>
      <c r="U2370" s="329" t="str">
        <f>IF($N2370=$N$4,IFERROR(INDEX(DanhMuc!$E$154:$E$165,MATCH(MID($B2370,4,2),DanhMuc!$B$154:$B$165,0)),""),"")</f>
        <v/>
      </c>
      <c r="V2370" s="361"/>
      <c r="W2370" s="345"/>
      <c r="X2370" s="329" t="str">
        <f t="shared" si="268"/>
        <v>FI</v>
      </c>
      <c r="Y2370" s="1128" t="s">
        <v>3380</v>
      </c>
      <c r="Z2370" s="1128" t="s">
        <v>3381</v>
      </c>
      <c r="AA2370" s="1128" t="s">
        <v>3384</v>
      </c>
      <c r="AB2370" s="20"/>
      <c r="AC2370" s="73"/>
    </row>
    <row r="2371" spans="1:29">
      <c r="A2371" s="327" t="str">
        <f>IF(AND($B2371&lt;&gt;"",$C2371&lt;&gt;""),MAX($A$1556:A2295)+1,"")</f>
        <v/>
      </c>
      <c r="B2371" s="361" t="s">
        <v>3163</v>
      </c>
      <c r="C2371" s="362"/>
      <c r="D2371" s="327">
        <f>IF($B2371="","",COUNTIF($B$6:$B2371,$B2371))</f>
        <v>2</v>
      </c>
      <c r="E2371" s="361" t="s">
        <v>2123</v>
      </c>
      <c r="F2371" s="362" t="s">
        <v>2565</v>
      </c>
      <c r="G2371" s="327" t="s">
        <v>297</v>
      </c>
      <c r="H2371" s="327"/>
      <c r="I2371" s="327">
        <v>1</v>
      </c>
      <c r="J2371" s="345"/>
      <c r="K2371" s="327"/>
      <c r="L2371" s="389">
        <v>115000</v>
      </c>
      <c r="M2371" s="371"/>
      <c r="N2371" s="355" t="str">
        <f t="shared" si="269"/>
        <v>PK</v>
      </c>
      <c r="O2371" s="404" t="s">
        <v>2561</v>
      </c>
      <c r="P2371" s="392"/>
      <c r="Q2371" s="327"/>
      <c r="R2371" s="351"/>
      <c r="S2371" s="351"/>
      <c r="T2371" s="351"/>
      <c r="U2371" s="329" t="str">
        <f>IF($N2371=$N$4,IFERROR(INDEX(DanhMuc!$E$154:$E$165,MATCH(MID($B2371,4,2),DanhMuc!$B$154:$B$165,0)),""),"")</f>
        <v/>
      </c>
      <c r="V2371" s="361"/>
      <c r="W2371" s="345"/>
      <c r="X2371" s="329" t="str">
        <f t="shared" si="268"/>
        <v>FI</v>
      </c>
      <c r="Y2371" s="1128" t="s">
        <v>3380</v>
      </c>
      <c r="Z2371" s="1128" t="s">
        <v>3381</v>
      </c>
      <c r="AA2371" s="1128" t="s">
        <v>3384</v>
      </c>
      <c r="AB2371" s="20"/>
      <c r="AC2371" s="73"/>
    </row>
    <row r="2372" spans="1:29">
      <c r="A2372" s="327" t="str">
        <f>IF(AND($B2372&lt;&gt;"",$C2372&lt;&gt;""),MAX($A$1556:A2296)+1,"")</f>
        <v/>
      </c>
      <c r="B2372" s="361" t="s">
        <v>3163</v>
      </c>
      <c r="C2372" s="362"/>
      <c r="D2372" s="327">
        <f>IF($B2372="","",COUNTIF($B$6:$B2372,$B2372))</f>
        <v>3</v>
      </c>
      <c r="E2372" s="361" t="s">
        <v>2125</v>
      </c>
      <c r="F2372" s="362" t="s">
        <v>2126</v>
      </c>
      <c r="G2372" s="327" t="s">
        <v>155</v>
      </c>
      <c r="H2372" s="327"/>
      <c r="I2372" s="327">
        <v>1</v>
      </c>
      <c r="J2372" s="345"/>
      <c r="K2372" s="327"/>
      <c r="L2372" s="389">
        <v>5000</v>
      </c>
      <c r="M2372" s="371"/>
      <c r="N2372" s="355" t="str">
        <f t="shared" si="269"/>
        <v>PK</v>
      </c>
      <c r="O2372" s="404" t="s">
        <v>1783</v>
      </c>
      <c r="P2372" s="392"/>
      <c r="Q2372" s="327"/>
      <c r="R2372" s="351"/>
      <c r="S2372" s="351"/>
      <c r="T2372" s="351"/>
      <c r="U2372" s="329" t="str">
        <f>IF($N2372=$N$4,IFERROR(INDEX(DanhMuc!$E$154:$E$165,MATCH(MID($B2372,4,2),DanhMuc!$B$154:$B$165,0)),""),"")</f>
        <v/>
      </c>
      <c r="V2372" s="361"/>
      <c r="W2372" s="345"/>
      <c r="X2372" s="329" t="str">
        <f t="shared" si="268"/>
        <v>FI</v>
      </c>
      <c r="Y2372" s="1128" t="s">
        <v>3380</v>
      </c>
      <c r="Z2372" s="1128" t="s">
        <v>3381</v>
      </c>
      <c r="AA2372" s="1128" t="s">
        <v>3384</v>
      </c>
      <c r="AB2372" s="20"/>
      <c r="AC2372" s="73"/>
    </row>
    <row r="2373" spans="1:29">
      <c r="A2373" s="327" t="str">
        <f>IF(AND($B2373&lt;&gt;"",$C2373&lt;&gt;""),MAX($A$1556:A2296)+1,"")</f>
        <v/>
      </c>
      <c r="B2373" s="361" t="s">
        <v>3163</v>
      </c>
      <c r="C2373" s="362"/>
      <c r="D2373" s="327">
        <f>IF($B2373="","",COUNTIF($B$6:$B2373,$B2373))</f>
        <v>4</v>
      </c>
      <c r="E2373" s="361" t="s">
        <v>2232</v>
      </c>
      <c r="F2373" s="362" t="s">
        <v>2127</v>
      </c>
      <c r="G2373" s="327" t="s">
        <v>155</v>
      </c>
      <c r="H2373" s="327"/>
      <c r="I2373" s="327">
        <v>2</v>
      </c>
      <c r="J2373" s="345"/>
      <c r="K2373" s="327"/>
      <c r="L2373" s="389">
        <v>35500</v>
      </c>
      <c r="M2373" s="371"/>
      <c r="N2373" s="355" t="str">
        <f t="shared" si="269"/>
        <v>PK</v>
      </c>
      <c r="O2373" s="345"/>
      <c r="P2373" s="392"/>
      <c r="Q2373" s="327"/>
      <c r="R2373" s="351"/>
      <c r="S2373" s="351"/>
      <c r="T2373" s="351"/>
      <c r="U2373" s="329" t="str">
        <f>IF($N2373=$N$4,IFERROR(INDEX(DanhMuc!$E$154:$E$165,MATCH(MID($B2373,4,2),DanhMuc!$B$154:$B$165,0)),""),"")</f>
        <v/>
      </c>
      <c r="V2373" s="361"/>
      <c r="W2373" s="345"/>
      <c r="X2373" s="329" t="str">
        <f t="shared" si="268"/>
        <v>FI</v>
      </c>
      <c r="Y2373" s="1128" t="s">
        <v>3380</v>
      </c>
      <c r="Z2373" s="1128" t="s">
        <v>3381</v>
      </c>
      <c r="AA2373" s="1128" t="s">
        <v>3384</v>
      </c>
      <c r="AB2373" s="20"/>
      <c r="AC2373" s="73"/>
    </row>
    <row r="2374" spans="1:29">
      <c r="A2374" s="327" t="str">
        <f>IF(AND($B2374&lt;&gt;"",$C2374&lt;&gt;""),MAX($A$1556:A2297)+1,"")</f>
        <v/>
      </c>
      <c r="B2374" s="361" t="s">
        <v>3163</v>
      </c>
      <c r="C2374" s="360"/>
      <c r="D2374" s="327">
        <f>IF($B2374="","",COUNTIF($B$6:$B2374,$B2374))</f>
        <v>5</v>
      </c>
      <c r="E2374" s="361" t="s">
        <v>2125</v>
      </c>
      <c r="F2374" s="362" t="s">
        <v>2126</v>
      </c>
      <c r="G2374" s="327" t="s">
        <v>155</v>
      </c>
      <c r="H2374" s="327"/>
      <c r="I2374" s="327">
        <v>2</v>
      </c>
      <c r="J2374" s="345"/>
      <c r="K2374" s="327"/>
      <c r="L2374" s="389">
        <v>5000</v>
      </c>
      <c r="M2374" s="371"/>
      <c r="N2374" s="355" t="str">
        <f t="shared" si="269"/>
        <v>PK</v>
      </c>
      <c r="O2374" s="345"/>
      <c r="P2374" s="392"/>
      <c r="Q2374" s="327"/>
      <c r="R2374" s="351"/>
      <c r="S2374" s="351"/>
      <c r="T2374" s="351"/>
      <c r="U2374" s="329" t="str">
        <f>IF($N2374=$N$4,IFERROR(INDEX(DanhMuc!$E$154:$E$165,MATCH(MID($B2374,4,2),DanhMuc!$B$154:$B$165,0)),""),"")</f>
        <v/>
      </c>
      <c r="V2374" s="361"/>
      <c r="W2374" s="345"/>
      <c r="X2374" s="329" t="str">
        <f t="shared" si="268"/>
        <v>FI</v>
      </c>
      <c r="Y2374" s="1128" t="s">
        <v>3380</v>
      </c>
      <c r="Z2374" s="1128" t="s">
        <v>3381</v>
      </c>
      <c r="AA2374" s="1128" t="s">
        <v>3384</v>
      </c>
      <c r="AB2374" s="20"/>
      <c r="AC2374" s="73"/>
    </row>
    <row r="2375" spans="1:29">
      <c r="A2375" s="327" t="str">
        <f>IF(AND($B2375&lt;&gt;"",$C2375&lt;&gt;""),MAX($A$1556:A2298)+1,"")</f>
        <v/>
      </c>
      <c r="B2375" s="361" t="s">
        <v>3163</v>
      </c>
      <c r="C2375" s="360"/>
      <c r="D2375" s="327">
        <f>IF($B2375="","",COUNTIF($B$6:$B2375,$B2375))</f>
        <v>6</v>
      </c>
      <c r="E2375" s="361" t="s">
        <v>2139</v>
      </c>
      <c r="F2375" s="362" t="s">
        <v>2137</v>
      </c>
      <c r="G2375" s="327" t="s">
        <v>155</v>
      </c>
      <c r="H2375" s="327"/>
      <c r="I2375" s="327">
        <v>1</v>
      </c>
      <c r="J2375" s="345"/>
      <c r="K2375" s="327"/>
      <c r="L2375" s="389">
        <v>70323</v>
      </c>
      <c r="M2375" s="371"/>
      <c r="N2375" s="355" t="str">
        <f t="shared" ref="N2375:N2379" si="270">+$N$1555</f>
        <v>PK</v>
      </c>
      <c r="O2375" s="404" t="s">
        <v>1789</v>
      </c>
      <c r="P2375" s="392"/>
      <c r="Q2375" s="327"/>
      <c r="R2375" s="351"/>
      <c r="S2375" s="351"/>
      <c r="T2375" s="351"/>
      <c r="U2375" s="329" t="str">
        <f>IF($N2375=$N$4,IFERROR(INDEX(DanhMuc!$E$154:$E$165,MATCH(MID($B2375,4,2),DanhMuc!$B$154:$B$165,0)),""),"")</f>
        <v/>
      </c>
      <c r="V2375" s="361"/>
      <c r="W2375" s="345"/>
      <c r="X2375" s="329" t="str">
        <f t="shared" si="268"/>
        <v>FI</v>
      </c>
      <c r="Y2375" s="1128" t="s">
        <v>3380</v>
      </c>
      <c r="Z2375" s="1128" t="s">
        <v>3381</v>
      </c>
      <c r="AA2375" s="1128" t="s">
        <v>3384</v>
      </c>
      <c r="AB2375" s="20"/>
      <c r="AC2375" s="73"/>
    </row>
    <row r="2376" spans="1:29">
      <c r="A2376" s="327" t="str">
        <f>IF(AND($B2376&lt;&gt;"",$C2376&lt;&gt;""),MAX($A$1556:A2299)+1,"")</f>
        <v/>
      </c>
      <c r="B2376" s="361" t="s">
        <v>3163</v>
      </c>
      <c r="C2376" s="360"/>
      <c r="D2376" s="327">
        <f>IF($B2376="","",COUNTIF($B$6:$B2376,$B2376))</f>
        <v>7</v>
      </c>
      <c r="E2376" s="361" t="s">
        <v>2140</v>
      </c>
      <c r="F2376" s="362" t="s">
        <v>2138</v>
      </c>
      <c r="G2376" s="327" t="s">
        <v>155</v>
      </c>
      <c r="H2376" s="327"/>
      <c r="I2376" s="327">
        <v>1</v>
      </c>
      <c r="J2376" s="345"/>
      <c r="K2376" s="327"/>
      <c r="L2376" s="389">
        <v>70323</v>
      </c>
      <c r="M2376" s="371"/>
      <c r="N2376" s="355" t="str">
        <f t="shared" si="270"/>
        <v>PK</v>
      </c>
      <c r="O2376" s="404" t="s">
        <v>1790</v>
      </c>
      <c r="P2376" s="392"/>
      <c r="Q2376" s="327"/>
      <c r="R2376" s="351"/>
      <c r="S2376" s="351"/>
      <c r="T2376" s="351"/>
      <c r="U2376" s="329" t="str">
        <f>IF($N2376=$N$4,IFERROR(INDEX(DanhMuc!$E$154:$E$165,MATCH(MID($B2376,4,2),DanhMuc!$B$154:$B$165,0)),""),"")</f>
        <v/>
      </c>
      <c r="V2376" s="361"/>
      <c r="W2376" s="345"/>
      <c r="X2376" s="329" t="str">
        <f t="shared" si="268"/>
        <v>FI</v>
      </c>
      <c r="Y2376" s="1128" t="s">
        <v>3380</v>
      </c>
      <c r="Z2376" s="1128" t="s">
        <v>3381</v>
      </c>
      <c r="AA2376" s="1128" t="s">
        <v>3384</v>
      </c>
      <c r="AB2376" s="20"/>
      <c r="AC2376" s="73"/>
    </row>
    <row r="2377" spans="1:29">
      <c r="A2377" s="327" t="str">
        <f>IF(AND($B2377&lt;&gt;"",$C2377&lt;&gt;""),MAX($A$1556:A2298)+1,"")</f>
        <v/>
      </c>
      <c r="B2377" s="361" t="s">
        <v>3163</v>
      </c>
      <c r="C2377" s="360"/>
      <c r="D2377" s="327">
        <f>IF($B2377="","",COUNTIF($B$6:$B2377,$B2377))</f>
        <v>8</v>
      </c>
      <c r="E2377" s="361" t="s">
        <v>2131</v>
      </c>
      <c r="F2377" s="362" t="s">
        <v>2130</v>
      </c>
      <c r="G2377" s="327" t="s">
        <v>155</v>
      </c>
      <c r="H2377" s="327" t="s">
        <v>536</v>
      </c>
      <c r="I2377" s="411" t="s">
        <v>2132</v>
      </c>
      <c r="J2377" s="359"/>
      <c r="K2377" s="327"/>
      <c r="L2377" s="389">
        <v>38000</v>
      </c>
      <c r="M2377" s="371"/>
      <c r="N2377" s="355" t="str">
        <f t="shared" si="270"/>
        <v>PK</v>
      </c>
      <c r="O2377" s="404" t="s">
        <v>1782</v>
      </c>
      <c r="P2377" s="392"/>
      <c r="Q2377" s="327"/>
      <c r="R2377" s="351"/>
      <c r="S2377" s="351"/>
      <c r="T2377" s="351"/>
      <c r="U2377" s="329" t="str">
        <f>IF($N2377=$N$4,IFERROR(INDEX(DanhMuc!$E$154:$E$165,MATCH(MID($B2377,4,2),DanhMuc!$B$154:$B$165,0)),""),"")</f>
        <v/>
      </c>
      <c r="V2377" s="361"/>
      <c r="W2377" s="345"/>
      <c r="X2377" s="329" t="str">
        <f t="shared" si="268"/>
        <v>FI</v>
      </c>
      <c r="Y2377" s="1128" t="s">
        <v>3380</v>
      </c>
      <c r="Z2377" s="1128" t="s">
        <v>3381</v>
      </c>
      <c r="AA2377" s="1128" t="s">
        <v>3384</v>
      </c>
      <c r="AB2377" s="20"/>
      <c r="AC2377" s="73"/>
    </row>
    <row r="2378" spans="1:29">
      <c r="A2378" s="327" t="str">
        <f>IF(AND($B2378&lt;&gt;"",$C2378&lt;&gt;""),MAX($A$1556:A2299)+1,"")</f>
        <v/>
      </c>
      <c r="B2378" s="361" t="s">
        <v>3163</v>
      </c>
      <c r="C2378" s="360"/>
      <c r="D2378" s="327">
        <f>IF($B2378="","",COUNTIF($B$6:$B2378,$B2378))</f>
        <v>9</v>
      </c>
      <c r="E2378" s="361" t="s">
        <v>2129</v>
      </c>
      <c r="F2378" s="362" t="s">
        <v>2130</v>
      </c>
      <c r="G2378" s="327" t="s">
        <v>155</v>
      </c>
      <c r="H2378" s="327" t="s">
        <v>536</v>
      </c>
      <c r="I2378" s="411" t="s">
        <v>1338</v>
      </c>
      <c r="J2378" s="359"/>
      <c r="K2378" s="327"/>
      <c r="L2378" s="389">
        <v>45000</v>
      </c>
      <c r="M2378" s="371"/>
      <c r="N2378" s="355" t="str">
        <f t="shared" si="270"/>
        <v>PK</v>
      </c>
      <c r="O2378" s="404" t="s">
        <v>1782</v>
      </c>
      <c r="P2378" s="392"/>
      <c r="Q2378" s="327"/>
      <c r="R2378" s="351"/>
      <c r="S2378" s="351"/>
      <c r="T2378" s="351"/>
      <c r="U2378" s="329" t="str">
        <f>IF($N2378=$N$4,IFERROR(INDEX(DanhMuc!$E$154:$E$165,MATCH(MID($B2378,4,2),DanhMuc!$B$154:$B$165,0)),""),"")</f>
        <v/>
      </c>
      <c r="V2378" s="361"/>
      <c r="W2378" s="345"/>
      <c r="X2378" s="329" t="str">
        <f t="shared" ref="X2378:X2475" si="271">IF($N2378="PR",$E2378,MID($B2378,10,2))</f>
        <v>FI</v>
      </c>
      <c r="Y2378" s="1128" t="s">
        <v>3380</v>
      </c>
      <c r="Z2378" s="1128" t="s">
        <v>3381</v>
      </c>
      <c r="AA2378" s="1128" t="s">
        <v>3384</v>
      </c>
      <c r="AB2378" s="20"/>
      <c r="AC2378" s="73"/>
    </row>
    <row r="2379" spans="1:29">
      <c r="A2379" s="327" t="str">
        <f>IF(AND($B2379&lt;&gt;"",$C2379&lt;&gt;""),MAX($A$1556:A2301)+1,"")</f>
        <v/>
      </c>
      <c r="B2379" s="361" t="s">
        <v>3163</v>
      </c>
      <c r="C2379" s="360"/>
      <c r="D2379" s="327">
        <f>IF($B2379="","",COUNTIF($B$6:$B2379,$B2379))</f>
        <v>10</v>
      </c>
      <c r="E2379" s="361" t="s">
        <v>2133</v>
      </c>
      <c r="F2379" s="362" t="s">
        <v>2141</v>
      </c>
      <c r="G2379" s="327" t="s">
        <v>155</v>
      </c>
      <c r="H2379" s="327" t="s">
        <v>536</v>
      </c>
      <c r="I2379" s="327">
        <v>2</v>
      </c>
      <c r="J2379" s="359"/>
      <c r="K2379" s="327"/>
      <c r="L2379" s="389">
        <v>5000</v>
      </c>
      <c r="M2379" s="371"/>
      <c r="N2379" s="355" t="str">
        <f t="shared" si="270"/>
        <v>PK</v>
      </c>
      <c r="O2379" s="404" t="s">
        <v>1782</v>
      </c>
      <c r="P2379" s="392"/>
      <c r="Q2379" s="327"/>
      <c r="R2379" s="351"/>
      <c r="S2379" s="351"/>
      <c r="T2379" s="351"/>
      <c r="U2379" s="329" t="str">
        <f>IF($N2379=$N$4,IFERROR(INDEX(DanhMuc!$E$154:$E$165,MATCH(MID($B2379,4,2),DanhMuc!$B$154:$B$165,0)),""),"")</f>
        <v/>
      </c>
      <c r="V2379" s="361"/>
      <c r="W2379" s="345"/>
      <c r="X2379" s="329" t="str">
        <f t="shared" si="271"/>
        <v>FI</v>
      </c>
      <c r="Y2379" s="1128" t="s">
        <v>3380</v>
      </c>
      <c r="Z2379" s="1128" t="s">
        <v>3381</v>
      </c>
      <c r="AA2379" s="1128" t="s">
        <v>3384</v>
      </c>
      <c r="AB2379" s="20"/>
      <c r="AC2379" s="73"/>
    </row>
    <row r="2380" spans="1:29">
      <c r="A2380" s="327" t="str">
        <f>IF(AND($B2380&lt;&gt;"",$C2380&lt;&gt;""),MAX($A$1556:A2302)+1,"")</f>
        <v/>
      </c>
      <c r="B2380" s="361" t="s">
        <v>3163</v>
      </c>
      <c r="C2380" s="360"/>
      <c r="D2380" s="327">
        <f>IF($B2380="","",COUNTIF($B$6:$B2380,$B2380))</f>
        <v>11</v>
      </c>
      <c r="E2380" s="361" t="s">
        <v>187</v>
      </c>
      <c r="F2380" s="362" t="s">
        <v>189</v>
      </c>
      <c r="G2380" s="327" t="s">
        <v>155</v>
      </c>
      <c r="H2380" s="327"/>
      <c r="I2380" s="327">
        <v>4</v>
      </c>
      <c r="J2380" s="359"/>
      <c r="K2380" s="327"/>
      <c r="L2380" s="389">
        <v>5000</v>
      </c>
      <c r="M2380" s="371"/>
      <c r="N2380" s="355" t="str">
        <f t="shared" ref="N2380:N2437" si="272">+$N$1555</f>
        <v>PK</v>
      </c>
      <c r="O2380" s="345"/>
      <c r="P2380" s="392"/>
      <c r="Q2380" s="327"/>
      <c r="R2380" s="351"/>
      <c r="S2380" s="351"/>
      <c r="T2380" s="351"/>
      <c r="U2380" s="329" t="str">
        <f>IF($N2380=$N$4,IFERROR(INDEX(DanhMuc!$E$154:$E$165,MATCH(MID($B2380,4,2),DanhMuc!$B$154:$B$165,0)),""),"")</f>
        <v/>
      </c>
      <c r="V2380" s="361"/>
      <c r="W2380" s="345"/>
      <c r="X2380" s="329" t="str">
        <f t="shared" si="271"/>
        <v>FI</v>
      </c>
      <c r="Y2380" s="1128" t="s">
        <v>3380</v>
      </c>
      <c r="Z2380" s="1128" t="s">
        <v>3381</v>
      </c>
      <c r="AA2380" s="1128" t="s">
        <v>3384</v>
      </c>
      <c r="AB2380" s="20"/>
      <c r="AC2380" s="73"/>
    </row>
    <row r="2381" spans="1:29">
      <c r="A2381" s="327" t="str">
        <f>IF(AND($B2381&lt;&gt;"",$C2381&lt;&gt;""),MAX($A$1556:A2303)+1,"")</f>
        <v/>
      </c>
      <c r="B2381" s="361" t="s">
        <v>3163</v>
      </c>
      <c r="C2381" s="360"/>
      <c r="D2381" s="327">
        <f>IF($B2381="","",COUNTIF($B$6:$B2381,$B2381))</f>
        <v>12</v>
      </c>
      <c r="E2381" s="361" t="s">
        <v>172</v>
      </c>
      <c r="F2381" s="362" t="s">
        <v>173</v>
      </c>
      <c r="G2381" s="327" t="s">
        <v>155</v>
      </c>
      <c r="H2381" s="327"/>
      <c r="I2381" s="327">
        <v>2</v>
      </c>
      <c r="J2381" s="345"/>
      <c r="K2381" s="327"/>
      <c r="L2381" s="389">
        <v>6000</v>
      </c>
      <c r="M2381" s="371"/>
      <c r="N2381" s="355" t="str">
        <f t="shared" si="272"/>
        <v>PK</v>
      </c>
      <c r="O2381" s="345"/>
      <c r="P2381" s="392"/>
      <c r="Q2381" s="327"/>
      <c r="R2381" s="351"/>
      <c r="S2381" s="351"/>
      <c r="T2381" s="351"/>
      <c r="U2381" s="329" t="str">
        <f>IF($N2381=$N$4,IFERROR(INDEX(DanhMuc!$E$154:$E$165,MATCH(MID($B2381,4,2),DanhMuc!$B$154:$B$165,0)),""),"")</f>
        <v/>
      </c>
      <c r="V2381" s="361"/>
      <c r="W2381" s="345"/>
      <c r="X2381" s="329" t="str">
        <f t="shared" si="271"/>
        <v>FI</v>
      </c>
      <c r="Y2381" s="1128" t="s">
        <v>3380</v>
      </c>
      <c r="Z2381" s="1128" t="s">
        <v>3381</v>
      </c>
      <c r="AA2381" s="1128" t="s">
        <v>3384</v>
      </c>
      <c r="AB2381" s="20"/>
      <c r="AC2381" s="73"/>
    </row>
    <row r="2382" spans="1:29">
      <c r="A2382" s="327" t="str">
        <f>IF(AND($B2382&lt;&gt;"",$C2382&lt;&gt;""),MAX($A$1556:A2304)+1,"")</f>
        <v/>
      </c>
      <c r="B2382" s="361" t="s">
        <v>3163</v>
      </c>
      <c r="C2382" s="360"/>
      <c r="D2382" s="327">
        <f>IF($B2382="","",COUNTIF($B$6:$B2382,$B2382))</f>
        <v>13</v>
      </c>
      <c r="E2382" s="361" t="s">
        <v>163</v>
      </c>
      <c r="F2382" s="362" t="s">
        <v>164</v>
      </c>
      <c r="G2382" s="327" t="s">
        <v>155</v>
      </c>
      <c r="H2382" s="327"/>
      <c r="I2382" s="327">
        <v>4</v>
      </c>
      <c r="J2382" s="345"/>
      <c r="K2382" s="327"/>
      <c r="L2382" s="389">
        <v>2500</v>
      </c>
      <c r="M2382" s="371"/>
      <c r="N2382" s="355" t="str">
        <f t="shared" si="272"/>
        <v>PK</v>
      </c>
      <c r="O2382" s="345"/>
      <c r="P2382" s="392"/>
      <c r="Q2382" s="327"/>
      <c r="R2382" s="351"/>
      <c r="S2382" s="351"/>
      <c r="T2382" s="351"/>
      <c r="U2382" s="329" t="str">
        <f>IF($N2382=$N$4,IFERROR(INDEX(DanhMuc!$E$154:$E$165,MATCH(MID($B2382,4,2),DanhMuc!$B$154:$B$165,0)),""),"")</f>
        <v/>
      </c>
      <c r="V2382" s="361"/>
      <c r="W2382" s="345"/>
      <c r="X2382" s="329" t="str">
        <f t="shared" si="271"/>
        <v>FI</v>
      </c>
      <c r="Y2382" s="1128" t="s">
        <v>3380</v>
      </c>
      <c r="Z2382" s="1128" t="s">
        <v>3381</v>
      </c>
      <c r="AA2382" s="1128" t="s">
        <v>3384</v>
      </c>
      <c r="AB2382" s="20"/>
      <c r="AC2382" s="73"/>
    </row>
    <row r="2383" spans="1:29">
      <c r="A2383" s="327" t="str">
        <f>IF(AND($B2383&lt;&gt;"",$C2383&lt;&gt;""),MAX($A$1556:A2309)+1,"")</f>
        <v/>
      </c>
      <c r="B2383" s="361" t="s">
        <v>3163</v>
      </c>
      <c r="C2383" s="360"/>
      <c r="D2383" s="327">
        <f>IF($B2383="","",COUNTIF($B$6:$B2383,$B2383))</f>
        <v>14</v>
      </c>
      <c r="E2383" s="361" t="s">
        <v>165</v>
      </c>
      <c r="F2383" s="362" t="s">
        <v>166</v>
      </c>
      <c r="G2383" s="327" t="s">
        <v>155</v>
      </c>
      <c r="H2383" s="327"/>
      <c r="I2383" s="327">
        <v>4</v>
      </c>
      <c r="J2383" s="359"/>
      <c r="K2383" s="327"/>
      <c r="L2383" s="389">
        <v>1700</v>
      </c>
      <c r="M2383" s="371"/>
      <c r="N2383" s="355" t="str">
        <f t="shared" si="272"/>
        <v>PK</v>
      </c>
      <c r="O2383" s="345"/>
      <c r="P2383" s="392"/>
      <c r="Q2383" s="327"/>
      <c r="R2383" s="351"/>
      <c r="S2383" s="351"/>
      <c r="T2383" s="351"/>
      <c r="U2383" s="329" t="str">
        <f>IF($N2383=$N$4,IFERROR(INDEX(DanhMuc!$E$154:$E$165,MATCH(MID($B2383,4,2),DanhMuc!$B$154:$B$165,0)),""),"")</f>
        <v/>
      </c>
      <c r="V2383" s="361"/>
      <c r="W2383" s="345"/>
      <c r="X2383" s="329" t="str">
        <f t="shared" si="271"/>
        <v>FI</v>
      </c>
      <c r="Y2383" s="1128" t="s">
        <v>3380</v>
      </c>
      <c r="Z2383" s="1128" t="s">
        <v>3381</v>
      </c>
      <c r="AA2383" s="1128" t="s">
        <v>3384</v>
      </c>
      <c r="AB2383" s="20"/>
      <c r="AC2383" s="73"/>
    </row>
    <row r="2384" spans="1:29">
      <c r="A2384" s="327" t="str">
        <f>IF(AND($B2384&lt;&gt;"",$C2384&lt;&gt;""),MAX($A$1556:A2383)+1,"")</f>
        <v/>
      </c>
      <c r="B2384" s="361" t="s">
        <v>3163</v>
      </c>
      <c r="C2384" s="360"/>
      <c r="D2384" s="327">
        <f>IF($B2384="","",COUNTIF($B$6:$B2384,$B2384))</f>
        <v>15</v>
      </c>
      <c r="E2384" s="361" t="s">
        <v>167</v>
      </c>
      <c r="F2384" s="362" t="s">
        <v>168</v>
      </c>
      <c r="G2384" s="327" t="s">
        <v>155</v>
      </c>
      <c r="H2384" s="327"/>
      <c r="I2384" s="327">
        <v>4</v>
      </c>
      <c r="J2384" s="359"/>
      <c r="K2384" s="327"/>
      <c r="L2384" s="389">
        <v>1700</v>
      </c>
      <c r="M2384" s="371"/>
      <c r="N2384" s="355" t="str">
        <f t="shared" si="272"/>
        <v>PK</v>
      </c>
      <c r="O2384" s="345"/>
      <c r="P2384" s="392"/>
      <c r="Q2384" s="327"/>
      <c r="R2384" s="351"/>
      <c r="S2384" s="351"/>
      <c r="T2384" s="351"/>
      <c r="U2384" s="329" t="str">
        <f>IF($N2384=$N$4,IFERROR(INDEX(DanhMuc!$E$154:$E$165,MATCH(MID($B2384,4,2),DanhMuc!$B$154:$B$165,0)),""),"")</f>
        <v/>
      </c>
      <c r="V2384" s="361"/>
      <c r="W2384" s="345"/>
      <c r="X2384" s="329" t="str">
        <f t="shared" si="271"/>
        <v>FI</v>
      </c>
      <c r="Y2384" s="1128" t="s">
        <v>3380</v>
      </c>
      <c r="Z2384" s="1128" t="s">
        <v>3381</v>
      </c>
      <c r="AA2384" s="1128" t="s">
        <v>3384</v>
      </c>
      <c r="AB2384" s="20"/>
      <c r="AC2384" s="73"/>
    </row>
    <row r="2385" spans="1:29">
      <c r="A2385" s="327" t="str">
        <f>IF(AND($B2385&lt;&gt;"",$C2385&lt;&gt;""),MAX($A$1556:A2384)+1,"")</f>
        <v/>
      </c>
      <c r="B2385" s="361" t="s">
        <v>3163</v>
      </c>
      <c r="C2385" s="360"/>
      <c r="D2385" s="327">
        <f>IF($B2385="","",COUNTIF($B$6:$B2385,$B2385))</f>
        <v>16</v>
      </c>
      <c r="E2385" s="361" t="s">
        <v>169</v>
      </c>
      <c r="F2385" s="362" t="s">
        <v>170</v>
      </c>
      <c r="G2385" s="327" t="s">
        <v>155</v>
      </c>
      <c r="H2385" s="327"/>
      <c r="I2385" s="327">
        <v>4</v>
      </c>
      <c r="J2385" s="359"/>
      <c r="K2385" s="327"/>
      <c r="L2385" s="389">
        <v>1700</v>
      </c>
      <c r="M2385" s="371"/>
      <c r="N2385" s="355" t="str">
        <f t="shared" si="272"/>
        <v>PK</v>
      </c>
      <c r="O2385" s="345"/>
      <c r="P2385" s="392"/>
      <c r="Q2385" s="327"/>
      <c r="R2385" s="351"/>
      <c r="S2385" s="351"/>
      <c r="T2385" s="351"/>
      <c r="U2385" s="329" t="str">
        <f>IF($N2385=$N$4,IFERROR(INDEX(DanhMuc!$E$154:$E$165,MATCH(MID($B2385,4,2),DanhMuc!$B$154:$B$165,0)),""),"")</f>
        <v/>
      </c>
      <c r="V2385" s="361"/>
      <c r="W2385" s="345"/>
      <c r="X2385" s="329" t="str">
        <f t="shared" si="271"/>
        <v>FI</v>
      </c>
      <c r="Y2385" s="1128" t="s">
        <v>3380</v>
      </c>
      <c r="Z2385" s="1128" t="s">
        <v>3381</v>
      </c>
      <c r="AA2385" s="1128" t="s">
        <v>3384</v>
      </c>
      <c r="AB2385" s="20"/>
      <c r="AC2385" s="73"/>
    </row>
    <row r="2386" spans="1:29">
      <c r="A2386" s="327" t="str">
        <f>IF(AND($B2386&lt;&gt;"",$C2386&lt;&gt;""),MAX($A$1556:A2385)+1,"")</f>
        <v/>
      </c>
      <c r="B2386" s="361" t="s">
        <v>3163</v>
      </c>
      <c r="C2386" s="360"/>
      <c r="D2386" s="327">
        <f>IF($B2386="","",COUNTIF($B$6:$B2386,$B2386))</f>
        <v>17</v>
      </c>
      <c r="E2386" s="361" t="s">
        <v>171</v>
      </c>
      <c r="F2386" s="362" t="s">
        <v>291</v>
      </c>
      <c r="G2386" s="327" t="s">
        <v>155</v>
      </c>
      <c r="H2386" s="327"/>
      <c r="I2386" s="327">
        <v>4</v>
      </c>
      <c r="J2386" s="345"/>
      <c r="K2386" s="327"/>
      <c r="L2386" s="389">
        <v>1700</v>
      </c>
      <c r="M2386" s="371"/>
      <c r="N2386" s="355" t="str">
        <f t="shared" si="272"/>
        <v>PK</v>
      </c>
      <c r="O2386" s="345"/>
      <c r="P2386" s="392"/>
      <c r="Q2386" s="327"/>
      <c r="R2386" s="351"/>
      <c r="S2386" s="351"/>
      <c r="T2386" s="351"/>
      <c r="U2386" s="329" t="str">
        <f>IF($N2386=$N$4,IFERROR(INDEX(DanhMuc!$E$154:$E$165,MATCH(MID($B2386,4,2),DanhMuc!$B$154:$B$165,0)),""),"")</f>
        <v/>
      </c>
      <c r="V2386" s="361"/>
      <c r="W2386" s="345"/>
      <c r="X2386" s="329" t="str">
        <f t="shared" si="271"/>
        <v>FI</v>
      </c>
      <c r="Y2386" s="1128" t="s">
        <v>3380</v>
      </c>
      <c r="Z2386" s="1128" t="s">
        <v>3381</v>
      </c>
      <c r="AA2386" s="1128" t="s">
        <v>3384</v>
      </c>
      <c r="AB2386" s="20"/>
      <c r="AC2386" s="73"/>
    </row>
    <row r="2387" spans="1:29">
      <c r="A2387" s="327" t="str">
        <f>IF(AND($B2387&lt;&gt;"",$C2387&lt;&gt;""),MAX($A$1556:A2386)+1,"")</f>
        <v/>
      </c>
      <c r="B2387" s="361" t="s">
        <v>3163</v>
      </c>
      <c r="C2387" s="360"/>
      <c r="D2387" s="327">
        <f>IF($B2387="","",COUNTIF($B$6:$B2387,$B2387))</f>
        <v>18</v>
      </c>
      <c r="E2387" s="361" t="s">
        <v>2128</v>
      </c>
      <c r="F2387" s="362" t="s">
        <v>186</v>
      </c>
      <c r="G2387" s="327" t="s">
        <v>155</v>
      </c>
      <c r="H2387" s="327" t="s">
        <v>536</v>
      </c>
      <c r="I2387" s="327">
        <v>8</v>
      </c>
      <c r="J2387" s="361"/>
      <c r="K2387" s="327"/>
      <c r="L2387" s="389">
        <v>38000</v>
      </c>
      <c r="M2387" s="371"/>
      <c r="N2387" s="355" t="str">
        <f t="shared" si="272"/>
        <v>PK</v>
      </c>
      <c r="O2387" s="345"/>
      <c r="P2387" s="392"/>
      <c r="Q2387" s="327"/>
      <c r="R2387" s="351"/>
      <c r="S2387" s="351"/>
      <c r="T2387" s="351"/>
      <c r="U2387" s="329" t="str">
        <f>IF($N2387=$N$4,IFERROR(INDEX(DanhMuc!$E$154:$E$165,MATCH(MID($B2387,4,2),DanhMuc!$B$154:$B$165,0)),""),"")</f>
        <v/>
      </c>
      <c r="V2387" s="361"/>
      <c r="W2387" s="345"/>
      <c r="X2387" s="329" t="str">
        <f t="shared" si="271"/>
        <v>FI</v>
      </c>
      <c r="Y2387" s="1128" t="s">
        <v>3380</v>
      </c>
      <c r="Z2387" s="1128" t="s">
        <v>3381</v>
      </c>
      <c r="AA2387" s="1128" t="s">
        <v>3384</v>
      </c>
      <c r="AB2387" s="20"/>
      <c r="AC2387" s="73"/>
    </row>
    <row r="2388" spans="1:29" ht="39">
      <c r="A2388" s="327">
        <f>IF(AND($B2388&lt;&gt;"",$C2388&lt;&gt;""),MAX($A$1556:A2363)+1,"")</f>
        <v>132</v>
      </c>
      <c r="B2388" s="359" t="s">
        <v>2223</v>
      </c>
      <c r="C2388" s="360" t="s">
        <v>1884</v>
      </c>
      <c r="D2388" s="327">
        <f>IF($B2388="","",COUNTIF($B$6:$B2388,$B2388))</f>
        <v>1</v>
      </c>
      <c r="E2388" s="361" t="s">
        <v>2123</v>
      </c>
      <c r="F2388" s="362" t="s">
        <v>2124</v>
      </c>
      <c r="G2388" s="327" t="s">
        <v>297</v>
      </c>
      <c r="H2388" s="327"/>
      <c r="I2388" s="327">
        <v>1</v>
      </c>
      <c r="J2388" s="345"/>
      <c r="K2388" s="327"/>
      <c r="L2388" s="389">
        <f>120000-L2389</f>
        <v>115000</v>
      </c>
      <c r="M2388" s="371"/>
      <c r="N2388" s="355" t="str">
        <f t="shared" si="272"/>
        <v>PK</v>
      </c>
      <c r="O2388" s="345"/>
      <c r="P2388" s="392"/>
      <c r="Q2388" s="327"/>
      <c r="R2388" s="351"/>
      <c r="S2388" s="351"/>
      <c r="T2388" s="351"/>
      <c r="U2388" s="329" t="str">
        <f>IF($N2388=$N$4,IFERROR(INDEX(DanhMuc!$E$154:$E$165,MATCH(MID($B2388,4,2),DanhMuc!$B$154:$B$165,0)),""),"")</f>
        <v/>
      </c>
      <c r="V2388" s="361"/>
      <c r="W2388" s="345"/>
      <c r="X2388" s="329" t="str">
        <f t="shared" si="271"/>
        <v>KL</v>
      </c>
      <c r="Y2388" s="1128" t="s">
        <v>3380</v>
      </c>
      <c r="Z2388" s="1128" t="s">
        <v>3381</v>
      </c>
      <c r="AA2388" s="1128" t="s">
        <v>3384</v>
      </c>
      <c r="AB2388" s="20"/>
      <c r="AC2388" s="73"/>
    </row>
    <row r="2389" spans="1:29">
      <c r="A2389" s="327" t="str">
        <f>IF(AND($B2389&lt;&gt;"",$C2389&lt;&gt;""),MAX($A$1556:A2388)+1,"")</f>
        <v/>
      </c>
      <c r="B2389" s="361" t="s">
        <v>2223</v>
      </c>
      <c r="C2389" s="360"/>
      <c r="D2389" s="327">
        <f>IF($B2389="","",COUNTIF($B$6:$B2389,$B2389))</f>
        <v>2</v>
      </c>
      <c r="E2389" s="361" t="s">
        <v>2125</v>
      </c>
      <c r="F2389" s="362" t="s">
        <v>2126</v>
      </c>
      <c r="G2389" s="327" t="s">
        <v>155</v>
      </c>
      <c r="H2389" s="327"/>
      <c r="I2389" s="327">
        <v>1</v>
      </c>
      <c r="J2389" s="345"/>
      <c r="K2389" s="327"/>
      <c r="L2389" s="389">
        <v>5000</v>
      </c>
      <c r="M2389" s="371"/>
      <c r="N2389" s="355" t="str">
        <f t="shared" si="272"/>
        <v>PK</v>
      </c>
      <c r="O2389" s="345"/>
      <c r="P2389" s="392"/>
      <c r="Q2389" s="327"/>
      <c r="R2389" s="351"/>
      <c r="S2389" s="351"/>
      <c r="T2389" s="351"/>
      <c r="U2389" s="329" t="str">
        <f>IF($N2389=$N$4,IFERROR(INDEX(DanhMuc!$E$154:$E$165,MATCH(MID($B2389,4,2),DanhMuc!$B$154:$B$165,0)),""),"")</f>
        <v/>
      </c>
      <c r="V2389" s="361"/>
      <c r="W2389" s="345"/>
      <c r="X2389" s="329" t="str">
        <f t="shared" si="271"/>
        <v>KL</v>
      </c>
      <c r="Y2389" s="1128" t="s">
        <v>3380</v>
      </c>
      <c r="Z2389" s="1128" t="s">
        <v>3381</v>
      </c>
      <c r="AA2389" s="1128" t="s">
        <v>3384</v>
      </c>
      <c r="AB2389" s="20"/>
      <c r="AC2389" s="73"/>
    </row>
    <row r="2390" spans="1:29">
      <c r="A2390" s="327" t="str">
        <f>IF(AND($B2390&lt;&gt;"",$C2390&lt;&gt;""),MAX($A$1556:A2389)+1,"")</f>
        <v/>
      </c>
      <c r="B2390" s="361" t="s">
        <v>2223</v>
      </c>
      <c r="C2390" s="360"/>
      <c r="D2390" s="327">
        <f>IF($B2390="","",COUNTIF($B$6:$B2390,$B2390))</f>
        <v>3</v>
      </c>
      <c r="E2390" s="361" t="s">
        <v>2232</v>
      </c>
      <c r="F2390" s="362" t="s">
        <v>2127</v>
      </c>
      <c r="G2390" s="327" t="s">
        <v>155</v>
      </c>
      <c r="H2390" s="327"/>
      <c r="I2390" s="327">
        <v>1</v>
      </c>
      <c r="J2390" s="359"/>
      <c r="K2390" s="327"/>
      <c r="L2390" s="389">
        <v>35500</v>
      </c>
      <c r="M2390" s="371"/>
      <c r="N2390" s="355" t="s">
        <v>153</v>
      </c>
      <c r="O2390" s="345"/>
      <c r="P2390" s="392"/>
      <c r="Q2390" s="327"/>
      <c r="R2390" s="351"/>
      <c r="S2390" s="351"/>
      <c r="T2390" s="351"/>
      <c r="U2390" s="329" t="str">
        <f>IF($N2390=$N$4,IFERROR(INDEX(DanhMuc!$E$154:$E$165,MATCH(MID($B2390,4,2),DanhMuc!$B$154:$B$165,0)),""),"")</f>
        <v/>
      </c>
      <c r="V2390" s="361"/>
      <c r="W2390" s="345"/>
      <c r="X2390" s="329" t="str">
        <f t="shared" si="271"/>
        <v>KL</v>
      </c>
      <c r="Y2390" s="1128" t="s">
        <v>3380</v>
      </c>
      <c r="Z2390" s="1128" t="s">
        <v>3381</v>
      </c>
      <c r="AA2390" s="1128" t="s">
        <v>3384</v>
      </c>
      <c r="AB2390" s="20"/>
      <c r="AC2390" s="73"/>
    </row>
    <row r="2391" spans="1:29">
      <c r="A2391" s="327" t="str">
        <f>IF(AND($B2391&lt;&gt;"",$C2391&lt;&gt;""),MAX($A$1556:A2390)+1,"")</f>
        <v/>
      </c>
      <c r="B2391" s="361" t="s">
        <v>2223</v>
      </c>
      <c r="C2391" s="360"/>
      <c r="D2391" s="327">
        <f>IF($B2391="","",COUNTIF($B$6:$B2391,$B2391))</f>
        <v>4</v>
      </c>
      <c r="E2391" s="361" t="s">
        <v>2125</v>
      </c>
      <c r="F2391" s="362" t="s">
        <v>2126</v>
      </c>
      <c r="G2391" s="327" t="s">
        <v>155</v>
      </c>
      <c r="H2391" s="327"/>
      <c r="I2391" s="327">
        <v>1</v>
      </c>
      <c r="J2391" s="359"/>
      <c r="K2391" s="327"/>
      <c r="L2391" s="389">
        <v>5000</v>
      </c>
      <c r="M2391" s="371"/>
      <c r="N2391" s="355" t="s">
        <v>153</v>
      </c>
      <c r="O2391" s="345"/>
      <c r="P2391" s="392"/>
      <c r="Q2391" s="327"/>
      <c r="R2391" s="351"/>
      <c r="S2391" s="351"/>
      <c r="T2391" s="351"/>
      <c r="U2391" s="329" t="str">
        <f>IF($N2391=$N$4,IFERROR(INDEX(DanhMuc!$E$154:$E$165,MATCH(MID($B2391,4,2),DanhMuc!$B$154:$B$165,0)),""),"")</f>
        <v/>
      </c>
      <c r="V2391" s="361"/>
      <c r="W2391" s="345"/>
      <c r="X2391" s="329" t="str">
        <f t="shared" si="271"/>
        <v>KL</v>
      </c>
      <c r="Y2391" s="1128" t="s">
        <v>3380</v>
      </c>
      <c r="Z2391" s="1128" t="s">
        <v>3381</v>
      </c>
      <c r="AA2391" s="1128" t="s">
        <v>3384</v>
      </c>
      <c r="AB2391" s="20"/>
      <c r="AC2391" s="73"/>
    </row>
    <row r="2392" spans="1:29">
      <c r="A2392" s="327" t="str">
        <f>IF(AND($B2392&lt;&gt;"",$C2392&lt;&gt;""),MAX($A$1556:A2389)+1,"")</f>
        <v/>
      </c>
      <c r="B2392" s="361" t="s">
        <v>2223</v>
      </c>
      <c r="C2392" s="360"/>
      <c r="D2392" s="327">
        <f>IF($B2392="","",COUNTIF($B$6:$B2392,$B2392))</f>
        <v>5</v>
      </c>
      <c r="E2392" s="361" t="s">
        <v>2225</v>
      </c>
      <c r="F2392" s="362" t="s">
        <v>2231</v>
      </c>
      <c r="G2392" s="327" t="s">
        <v>155</v>
      </c>
      <c r="H2392" s="327" t="s">
        <v>536</v>
      </c>
      <c r="I2392" s="327">
        <v>4</v>
      </c>
      <c r="J2392" s="361"/>
      <c r="K2392" s="327"/>
      <c r="L2392" s="389">
        <v>20000</v>
      </c>
      <c r="M2392" s="371"/>
      <c r="N2392" s="355" t="str">
        <f t="shared" si="272"/>
        <v>PK</v>
      </c>
      <c r="O2392" s="345"/>
      <c r="P2392" s="392"/>
      <c r="Q2392" s="327"/>
      <c r="R2392" s="351"/>
      <c r="S2392" s="351"/>
      <c r="T2392" s="351"/>
      <c r="U2392" s="329" t="str">
        <f>IF($N2392=$N$4,IFERROR(INDEX(DanhMuc!$E$154:$E$165,MATCH(MID($B2392,4,2),DanhMuc!$B$154:$B$165,0)),""),"")</f>
        <v/>
      </c>
      <c r="V2392" s="361"/>
      <c r="W2392" s="345"/>
      <c r="X2392" s="329" t="str">
        <f t="shared" si="271"/>
        <v>KL</v>
      </c>
      <c r="Y2392" s="1128" t="s">
        <v>3380</v>
      </c>
      <c r="Z2392" s="1128" t="s">
        <v>3381</v>
      </c>
      <c r="AA2392" s="1128" t="s">
        <v>3384</v>
      </c>
      <c r="AB2392" s="20"/>
      <c r="AC2392" s="73"/>
    </row>
    <row r="2393" spans="1:29">
      <c r="A2393" s="327" t="str">
        <f>IF(AND($B2393&lt;&gt;"",$C2393&lt;&gt;""),MAX($A$1556:A2392)+1,"")</f>
        <v/>
      </c>
      <c r="B2393" s="361" t="s">
        <v>2223</v>
      </c>
      <c r="C2393" s="360"/>
      <c r="D2393" s="327">
        <f>IF($B2393="","",COUNTIF($B$6:$B2393,$B2393))</f>
        <v>6</v>
      </c>
      <c r="E2393" s="361" t="s">
        <v>163</v>
      </c>
      <c r="F2393" s="362" t="s">
        <v>164</v>
      </c>
      <c r="G2393" s="327" t="s">
        <v>155</v>
      </c>
      <c r="H2393" s="327"/>
      <c r="I2393" s="327">
        <v>2</v>
      </c>
      <c r="J2393" s="361"/>
      <c r="K2393" s="408"/>
      <c r="L2393" s="389">
        <v>2500</v>
      </c>
      <c r="M2393" s="371"/>
      <c r="N2393" s="355" t="str">
        <f t="shared" si="272"/>
        <v>PK</v>
      </c>
      <c r="O2393" s="345"/>
      <c r="P2393" s="392"/>
      <c r="Q2393" s="327"/>
      <c r="R2393" s="351"/>
      <c r="S2393" s="351"/>
      <c r="T2393" s="351"/>
      <c r="U2393" s="329" t="str">
        <f>IF($N2393=$N$4,IFERROR(INDEX(DanhMuc!$E$154:$E$165,MATCH(MID($B2393,4,2),DanhMuc!$B$154:$B$165,0)),""),"")</f>
        <v/>
      </c>
      <c r="V2393" s="408" t="s">
        <v>342</v>
      </c>
      <c r="W2393" s="345"/>
      <c r="X2393" s="329" t="str">
        <f t="shared" si="271"/>
        <v>KL</v>
      </c>
      <c r="Y2393" s="1128" t="s">
        <v>3380</v>
      </c>
      <c r="Z2393" s="1128" t="s">
        <v>3381</v>
      </c>
      <c r="AA2393" s="1128" t="s">
        <v>3384</v>
      </c>
      <c r="AB2393" s="20"/>
      <c r="AC2393" s="73"/>
    </row>
    <row r="2394" spans="1:29">
      <c r="A2394" s="327" t="str">
        <f>IF(AND($B2394&lt;&gt;"",$C2394&lt;&gt;""),MAX($A$1556:A2393)+1,"")</f>
        <v/>
      </c>
      <c r="B2394" s="361" t="s">
        <v>2223</v>
      </c>
      <c r="C2394" s="360"/>
      <c r="D2394" s="327">
        <f>IF($B2394="","",COUNTIF($B$6:$B2394,$B2394))</f>
        <v>7</v>
      </c>
      <c r="E2394" s="361" t="s">
        <v>187</v>
      </c>
      <c r="F2394" s="362" t="s">
        <v>188</v>
      </c>
      <c r="G2394" s="327" t="s">
        <v>155</v>
      </c>
      <c r="H2394" s="327"/>
      <c r="I2394" s="327">
        <v>4</v>
      </c>
      <c r="J2394" s="361"/>
      <c r="K2394" s="327"/>
      <c r="L2394" s="389">
        <v>5000</v>
      </c>
      <c r="M2394" s="371"/>
      <c r="N2394" s="355" t="str">
        <f t="shared" si="272"/>
        <v>PK</v>
      </c>
      <c r="O2394" s="345"/>
      <c r="P2394" s="392"/>
      <c r="Q2394" s="327"/>
      <c r="R2394" s="351"/>
      <c r="S2394" s="351"/>
      <c r="T2394" s="351"/>
      <c r="U2394" s="329" t="str">
        <f>IF($N2394=$N$4,IFERROR(INDEX(DanhMuc!$E$154:$E$165,MATCH(MID($B2394,4,2),DanhMuc!$B$154:$B$165,0)),""),"")</f>
        <v/>
      </c>
      <c r="V2394" s="361"/>
      <c r="W2394" s="345"/>
      <c r="X2394" s="329" t="str">
        <f t="shared" si="271"/>
        <v>KL</v>
      </c>
      <c r="Y2394" s="1128" t="s">
        <v>3380</v>
      </c>
      <c r="Z2394" s="1128" t="s">
        <v>3381</v>
      </c>
      <c r="AA2394" s="1128" t="s">
        <v>3384</v>
      </c>
      <c r="AB2394" s="20"/>
      <c r="AC2394" s="73"/>
    </row>
    <row r="2395" spans="1:29">
      <c r="A2395" s="327" t="str">
        <f>IF(AND($B2395&lt;&gt;"",$C2395&lt;&gt;""),MAX($A$1556:A2394)+1,"")</f>
        <v/>
      </c>
      <c r="B2395" s="361" t="s">
        <v>2223</v>
      </c>
      <c r="C2395" s="360"/>
      <c r="D2395" s="327">
        <f>IF($B2395="","",COUNTIF($B$6:$B2395,$B2395))</f>
        <v>8</v>
      </c>
      <c r="E2395" s="361" t="s">
        <v>172</v>
      </c>
      <c r="F2395" s="362" t="s">
        <v>173</v>
      </c>
      <c r="G2395" s="327" t="s">
        <v>155</v>
      </c>
      <c r="H2395" s="327"/>
      <c r="I2395" s="327">
        <v>1</v>
      </c>
      <c r="J2395" s="361"/>
      <c r="K2395" s="327"/>
      <c r="L2395" s="389">
        <v>6000</v>
      </c>
      <c r="M2395" s="371"/>
      <c r="N2395" s="355" t="str">
        <f t="shared" si="272"/>
        <v>PK</v>
      </c>
      <c r="O2395" s="345"/>
      <c r="P2395" s="392"/>
      <c r="Q2395" s="327"/>
      <c r="R2395" s="351"/>
      <c r="S2395" s="351"/>
      <c r="T2395" s="351"/>
      <c r="U2395" s="329" t="str">
        <f>IF($N2395=$N$4,IFERROR(INDEX(DanhMuc!$E$154:$E$165,MATCH(MID($B2395,4,2),DanhMuc!$B$154:$B$165,0)),""),"")</f>
        <v/>
      </c>
      <c r="V2395" s="361"/>
      <c r="W2395" s="345"/>
      <c r="X2395" s="329" t="str">
        <f t="shared" si="271"/>
        <v>KL</v>
      </c>
      <c r="Y2395" s="1128" t="s">
        <v>3380</v>
      </c>
      <c r="Z2395" s="1128" t="s">
        <v>3381</v>
      </c>
      <c r="AA2395" s="1128" t="s">
        <v>3384</v>
      </c>
      <c r="AB2395" s="20"/>
      <c r="AC2395" s="73"/>
    </row>
    <row r="2396" spans="1:29" ht="52">
      <c r="A2396" s="327">
        <f>IF(AND($B2396&lt;&gt;"",$C2396&lt;&gt;""),MAX($A$1556:A2371)+1,"")</f>
        <v>132</v>
      </c>
      <c r="B2396" s="359" t="s">
        <v>3323</v>
      </c>
      <c r="C2396" s="360" t="s">
        <v>3324</v>
      </c>
      <c r="D2396" s="327">
        <f>IF($B2396="","",COUNTIF($B$6:$B2396,$B2396))</f>
        <v>1</v>
      </c>
      <c r="E2396" s="361" t="s">
        <v>2123</v>
      </c>
      <c r="F2396" s="362" t="s">
        <v>2124</v>
      </c>
      <c r="G2396" s="327" t="s">
        <v>297</v>
      </c>
      <c r="H2396" s="327"/>
      <c r="I2396" s="327">
        <v>1</v>
      </c>
      <c r="J2396" s="345"/>
      <c r="K2396" s="327"/>
      <c r="L2396" s="389">
        <f>120000-L2397</f>
        <v>115000</v>
      </c>
      <c r="M2396" s="371"/>
      <c r="N2396" s="355" t="str">
        <f t="shared" si="272"/>
        <v>PK</v>
      </c>
      <c r="O2396" s="345"/>
      <c r="P2396" s="392"/>
      <c r="Q2396" s="327"/>
      <c r="R2396" s="351"/>
      <c r="S2396" s="351"/>
      <c r="T2396" s="351"/>
      <c r="U2396" s="329" t="str">
        <f>IF($N2396=$N$4,IFERROR(INDEX(DanhMuc!$E$154:$E$165,MATCH(MID($B2396,4,2),DanhMuc!$B$154:$B$165,0)),""),"")</f>
        <v/>
      </c>
      <c r="V2396" s="361"/>
      <c r="W2396" s="345"/>
      <c r="X2396" s="329" t="str">
        <f t="shared" si="271"/>
        <v>TR</v>
      </c>
      <c r="Y2396" s="1128" t="s">
        <v>3380</v>
      </c>
      <c r="Z2396" s="1128" t="s">
        <v>3381</v>
      </c>
      <c r="AA2396" s="1128" t="s">
        <v>3384</v>
      </c>
      <c r="AB2396" s="20"/>
      <c r="AC2396" s="73"/>
    </row>
    <row r="2397" spans="1:29">
      <c r="A2397" s="327" t="str">
        <f>IF(AND($B2397&lt;&gt;"",$C2397&lt;&gt;""),MAX($A$1556:A2396)+1,"")</f>
        <v/>
      </c>
      <c r="B2397" s="361" t="s">
        <v>3323</v>
      </c>
      <c r="C2397" s="360"/>
      <c r="D2397" s="327">
        <f>IF($B2397="","",COUNTIF($B$6:$B2397,$B2397))</f>
        <v>2</v>
      </c>
      <c r="E2397" s="361" t="s">
        <v>2125</v>
      </c>
      <c r="F2397" s="362" t="s">
        <v>2126</v>
      </c>
      <c r="G2397" s="327" t="s">
        <v>155</v>
      </c>
      <c r="H2397" s="327"/>
      <c r="I2397" s="327">
        <v>1</v>
      </c>
      <c r="J2397" s="345"/>
      <c r="K2397" s="327"/>
      <c r="L2397" s="389">
        <v>5000</v>
      </c>
      <c r="M2397" s="371"/>
      <c r="N2397" s="355" t="str">
        <f t="shared" si="272"/>
        <v>PK</v>
      </c>
      <c r="O2397" s="345"/>
      <c r="P2397" s="392"/>
      <c r="Q2397" s="327"/>
      <c r="R2397" s="351"/>
      <c r="S2397" s="351"/>
      <c r="T2397" s="351"/>
      <c r="U2397" s="329" t="str">
        <f>IF($N2397=$N$4,IFERROR(INDEX(DanhMuc!$E$154:$E$165,MATCH(MID($B2397,4,2),DanhMuc!$B$154:$B$165,0)),""),"")</f>
        <v/>
      </c>
      <c r="V2397" s="361"/>
      <c r="W2397" s="345"/>
      <c r="X2397" s="329" t="str">
        <f t="shared" si="271"/>
        <v>TR</v>
      </c>
      <c r="Y2397" s="1128" t="s">
        <v>3380</v>
      </c>
      <c r="Z2397" s="1128" t="s">
        <v>3381</v>
      </c>
      <c r="AA2397" s="1128" t="s">
        <v>3384</v>
      </c>
      <c r="AB2397" s="20"/>
      <c r="AC2397" s="73"/>
    </row>
    <row r="2398" spans="1:29">
      <c r="A2398" s="327" t="str">
        <f>IF(AND($B2398&lt;&gt;"",$C2398&lt;&gt;""),MAX($A$1556:A2397)+1,"")</f>
        <v/>
      </c>
      <c r="B2398" s="361" t="s">
        <v>3323</v>
      </c>
      <c r="C2398" s="360"/>
      <c r="D2398" s="327">
        <f>IF($B2398="","",COUNTIF($B$6:$B2398,$B2398))</f>
        <v>3</v>
      </c>
      <c r="E2398" s="361" t="s">
        <v>2232</v>
      </c>
      <c r="F2398" s="362" t="s">
        <v>2127</v>
      </c>
      <c r="G2398" s="327" t="s">
        <v>155</v>
      </c>
      <c r="H2398" s="327"/>
      <c r="I2398" s="327">
        <v>1</v>
      </c>
      <c r="J2398" s="359"/>
      <c r="K2398" s="327"/>
      <c r="L2398" s="389">
        <v>35500</v>
      </c>
      <c r="M2398" s="371"/>
      <c r="N2398" s="355" t="s">
        <v>153</v>
      </c>
      <c r="O2398" s="345"/>
      <c r="P2398" s="392"/>
      <c r="Q2398" s="327"/>
      <c r="R2398" s="351"/>
      <c r="S2398" s="351"/>
      <c r="T2398" s="351"/>
      <c r="U2398" s="329" t="str">
        <f>IF($N2398=$N$4,IFERROR(INDEX(DanhMuc!$E$154:$E$165,MATCH(MID($B2398,4,2),DanhMuc!$B$154:$B$165,0)),""),"")</f>
        <v/>
      </c>
      <c r="V2398" s="361"/>
      <c r="W2398" s="345"/>
      <c r="X2398" s="329" t="str">
        <f t="shared" si="271"/>
        <v>TR</v>
      </c>
      <c r="Y2398" s="1128" t="s">
        <v>3380</v>
      </c>
      <c r="Z2398" s="1128" t="s">
        <v>3381</v>
      </c>
      <c r="AA2398" s="1128" t="s">
        <v>3384</v>
      </c>
      <c r="AB2398" s="20"/>
      <c r="AC2398" s="73"/>
    </row>
    <row r="2399" spans="1:29">
      <c r="A2399" s="327" t="str">
        <f>IF(AND($B2399&lt;&gt;"",$C2399&lt;&gt;""),MAX($A$1556:A2398)+1,"")</f>
        <v/>
      </c>
      <c r="B2399" s="361" t="s">
        <v>3323</v>
      </c>
      <c r="C2399" s="360"/>
      <c r="D2399" s="327">
        <f>IF($B2399="","",COUNTIF($B$6:$B2399,$B2399))</f>
        <v>4</v>
      </c>
      <c r="E2399" s="361" t="s">
        <v>2125</v>
      </c>
      <c r="F2399" s="362" t="s">
        <v>2126</v>
      </c>
      <c r="G2399" s="327" t="s">
        <v>155</v>
      </c>
      <c r="H2399" s="327"/>
      <c r="I2399" s="327">
        <v>1</v>
      </c>
      <c r="J2399" s="359"/>
      <c r="K2399" s="327"/>
      <c r="L2399" s="389">
        <v>5000</v>
      </c>
      <c r="M2399" s="371"/>
      <c r="N2399" s="355" t="s">
        <v>153</v>
      </c>
      <c r="O2399" s="345"/>
      <c r="P2399" s="392"/>
      <c r="Q2399" s="327"/>
      <c r="R2399" s="351"/>
      <c r="S2399" s="351"/>
      <c r="T2399" s="351"/>
      <c r="U2399" s="329" t="str">
        <f>IF($N2399=$N$4,IFERROR(INDEX(DanhMuc!$E$154:$E$165,MATCH(MID($B2399,4,2),DanhMuc!$B$154:$B$165,0)),""),"")</f>
        <v/>
      </c>
      <c r="V2399" s="361"/>
      <c r="W2399" s="345"/>
      <c r="X2399" s="329" t="str">
        <f t="shared" si="271"/>
        <v>TR</v>
      </c>
      <c r="Y2399" s="1128" t="s">
        <v>3380</v>
      </c>
      <c r="Z2399" s="1128" t="s">
        <v>3381</v>
      </c>
      <c r="AA2399" s="1128" t="s">
        <v>3384</v>
      </c>
      <c r="AB2399" s="20"/>
      <c r="AC2399" s="73"/>
    </row>
    <row r="2400" spans="1:29">
      <c r="A2400" s="327" t="str">
        <f>IF(AND($B2400&lt;&gt;"",$C2400&lt;&gt;""),MAX($A$1556:A2396)+1,"")</f>
        <v/>
      </c>
      <c r="B2400" s="361" t="s">
        <v>3323</v>
      </c>
      <c r="C2400" s="360"/>
      <c r="D2400" s="327">
        <f>IF($B2400="","",COUNTIF($B$6:$B2400,$B2400))</f>
        <v>5</v>
      </c>
      <c r="E2400" s="402" t="s">
        <v>3217</v>
      </c>
      <c r="F2400" s="403" t="s">
        <v>3221</v>
      </c>
      <c r="G2400" s="327" t="s">
        <v>344</v>
      </c>
      <c r="H2400" s="327" t="s">
        <v>536</v>
      </c>
      <c r="I2400" s="327">
        <v>2</v>
      </c>
      <c r="J2400" s="361"/>
      <c r="K2400" s="327"/>
      <c r="L2400" s="389">
        <v>365000</v>
      </c>
      <c r="M2400" s="371"/>
      <c r="N2400" s="355" t="str">
        <f t="shared" si="272"/>
        <v>PK</v>
      </c>
      <c r="O2400" s="345"/>
      <c r="P2400" s="392"/>
      <c r="Q2400" s="327"/>
      <c r="R2400" s="351"/>
      <c r="S2400" s="351"/>
      <c r="T2400" s="351"/>
      <c r="U2400" s="329" t="str">
        <f>IF($N2400=$N$4,IFERROR(INDEX(DanhMuc!$E$154:$E$165,MATCH(MID($B2400,4,2),DanhMuc!$B$154:$B$165,0)),""),"")</f>
        <v/>
      </c>
      <c r="V2400" s="361"/>
      <c r="W2400" s="345"/>
      <c r="X2400" s="329" t="str">
        <f t="shared" si="271"/>
        <v>TR</v>
      </c>
      <c r="Y2400" s="1128" t="s">
        <v>3380</v>
      </c>
      <c r="Z2400" s="1128" t="s">
        <v>3381</v>
      </c>
      <c r="AA2400" s="1128" t="s">
        <v>3384</v>
      </c>
      <c r="AB2400" s="20"/>
      <c r="AC2400" s="73"/>
    </row>
    <row r="2401" spans="1:29">
      <c r="A2401" s="327" t="str">
        <f>IF(AND($B2401&lt;&gt;"",$C2401&lt;&gt;""),MAX($A$1556:A2397)+1,"")</f>
        <v/>
      </c>
      <c r="B2401" s="361" t="s">
        <v>3323</v>
      </c>
      <c r="C2401" s="360"/>
      <c r="D2401" s="327">
        <f>IF($B2401="","",COUNTIF($B$6:$B2401,$B2401))</f>
        <v>6</v>
      </c>
      <c r="E2401" s="402" t="s">
        <v>3218</v>
      </c>
      <c r="F2401" s="403" t="s">
        <v>3219</v>
      </c>
      <c r="G2401" s="327" t="s">
        <v>690</v>
      </c>
      <c r="H2401" s="327" t="s">
        <v>536</v>
      </c>
      <c r="I2401" s="327" t="s">
        <v>3220</v>
      </c>
      <c r="J2401" s="361"/>
      <c r="K2401" s="327"/>
      <c r="L2401" s="389">
        <f>100000/1000</f>
        <v>100</v>
      </c>
      <c r="M2401" s="371"/>
      <c r="N2401" s="355" t="str">
        <f t="shared" si="272"/>
        <v>PK</v>
      </c>
      <c r="O2401" s="345"/>
      <c r="P2401" s="392"/>
      <c r="Q2401" s="327"/>
      <c r="R2401" s="351"/>
      <c r="S2401" s="351"/>
      <c r="T2401" s="351"/>
      <c r="U2401" s="329" t="str">
        <f>IF($N2401=$N$4,IFERROR(INDEX(DanhMuc!$E$154:$E$165,MATCH(MID($B2401,4,2),DanhMuc!$B$154:$B$165,0)),""),"")</f>
        <v/>
      </c>
      <c r="V2401" s="361"/>
      <c r="W2401" s="345"/>
      <c r="X2401" s="329" t="str">
        <f t="shared" si="271"/>
        <v>TR</v>
      </c>
      <c r="Y2401" s="1128" t="s">
        <v>3380</v>
      </c>
      <c r="Z2401" s="1128" t="s">
        <v>3381</v>
      </c>
      <c r="AA2401" s="1128" t="s">
        <v>3384</v>
      </c>
      <c r="AB2401" s="20"/>
      <c r="AC2401" s="73"/>
    </row>
    <row r="2402" spans="1:29">
      <c r="A2402" s="327" t="str">
        <f>IF(AND($B2402&lt;&gt;"",$C2402&lt;&gt;""),MAX($A$1556:A2399)+1,"")</f>
        <v/>
      </c>
      <c r="B2402" s="361" t="s">
        <v>3323</v>
      </c>
      <c r="C2402" s="360"/>
      <c r="D2402" s="327">
        <f>IF($B2402="","",COUNTIF($B$6:$B2402,$B2402))</f>
        <v>7</v>
      </c>
      <c r="E2402" s="361" t="s">
        <v>163</v>
      </c>
      <c r="F2402" s="362" t="s">
        <v>164</v>
      </c>
      <c r="G2402" s="327" t="s">
        <v>155</v>
      </c>
      <c r="H2402" s="327"/>
      <c r="I2402" s="327">
        <v>2</v>
      </c>
      <c r="J2402" s="361"/>
      <c r="K2402" s="408"/>
      <c r="L2402" s="389">
        <v>2500</v>
      </c>
      <c r="M2402" s="371"/>
      <c r="N2402" s="355" t="str">
        <f t="shared" si="272"/>
        <v>PK</v>
      </c>
      <c r="O2402" s="345"/>
      <c r="P2402" s="392"/>
      <c r="Q2402" s="327"/>
      <c r="R2402" s="351"/>
      <c r="S2402" s="351"/>
      <c r="T2402" s="351"/>
      <c r="U2402" s="329" t="str">
        <f>IF($N2402=$N$4,IFERROR(INDEX(DanhMuc!$E$154:$E$165,MATCH(MID($B2402,4,2),DanhMuc!$B$154:$B$165,0)),""),"")</f>
        <v/>
      </c>
      <c r="V2402" s="408" t="s">
        <v>342</v>
      </c>
      <c r="W2402" s="345"/>
      <c r="X2402" s="329" t="str">
        <f t="shared" si="271"/>
        <v>TR</v>
      </c>
      <c r="Y2402" s="1128" t="s">
        <v>3380</v>
      </c>
      <c r="Z2402" s="1128" t="s">
        <v>3381</v>
      </c>
      <c r="AA2402" s="1128" t="s">
        <v>3384</v>
      </c>
      <c r="AB2402" s="20"/>
      <c r="AC2402" s="73"/>
    </row>
    <row r="2403" spans="1:29">
      <c r="A2403" s="327" t="str">
        <f>IF(AND($B2403&lt;&gt;"",$C2403&lt;&gt;""),MAX($A$1556:A2402)+1,"")</f>
        <v/>
      </c>
      <c r="B2403" s="361" t="s">
        <v>3323</v>
      </c>
      <c r="C2403" s="360"/>
      <c r="D2403" s="327">
        <f>IF($B2403="","",COUNTIF($B$6:$B2403,$B2403))</f>
        <v>8</v>
      </c>
      <c r="E2403" s="361" t="s">
        <v>187</v>
      </c>
      <c r="F2403" s="362" t="s">
        <v>188</v>
      </c>
      <c r="G2403" s="327" t="s">
        <v>155</v>
      </c>
      <c r="H2403" s="327"/>
      <c r="I2403" s="327">
        <v>4</v>
      </c>
      <c r="J2403" s="361"/>
      <c r="K2403" s="327"/>
      <c r="L2403" s="389">
        <v>5000</v>
      </c>
      <c r="M2403" s="371"/>
      <c r="N2403" s="355" t="str">
        <f t="shared" si="272"/>
        <v>PK</v>
      </c>
      <c r="O2403" s="345"/>
      <c r="P2403" s="392"/>
      <c r="Q2403" s="327"/>
      <c r="R2403" s="351"/>
      <c r="S2403" s="351"/>
      <c r="T2403" s="351"/>
      <c r="U2403" s="329" t="str">
        <f>IF($N2403=$N$4,IFERROR(INDEX(DanhMuc!$E$154:$E$165,MATCH(MID($B2403,4,2),DanhMuc!$B$154:$B$165,0)),""),"")</f>
        <v/>
      </c>
      <c r="V2403" s="361"/>
      <c r="W2403" s="345"/>
      <c r="X2403" s="329" t="str">
        <f t="shared" si="271"/>
        <v>TR</v>
      </c>
      <c r="Y2403" s="1128" t="s">
        <v>3380</v>
      </c>
      <c r="Z2403" s="1128" t="s">
        <v>3381</v>
      </c>
      <c r="AA2403" s="1128" t="s">
        <v>3384</v>
      </c>
      <c r="AB2403" s="20"/>
      <c r="AC2403" s="73"/>
    </row>
    <row r="2404" spans="1:29">
      <c r="A2404" s="327" t="str">
        <f>IF(AND($B2404&lt;&gt;"",$C2404&lt;&gt;""),MAX($A$1556:A2403)+1,"")</f>
        <v/>
      </c>
      <c r="B2404" s="361" t="s">
        <v>3323</v>
      </c>
      <c r="C2404" s="360"/>
      <c r="D2404" s="327">
        <f>IF($B2404="","",COUNTIF($B$6:$B2404,$B2404))</f>
        <v>9</v>
      </c>
      <c r="E2404" s="361" t="s">
        <v>172</v>
      </c>
      <c r="F2404" s="362" t="s">
        <v>173</v>
      </c>
      <c r="G2404" s="327" t="s">
        <v>155</v>
      </c>
      <c r="H2404" s="327"/>
      <c r="I2404" s="327">
        <v>1</v>
      </c>
      <c r="J2404" s="361"/>
      <c r="K2404" s="327"/>
      <c r="L2404" s="389">
        <v>6000</v>
      </c>
      <c r="M2404" s="371"/>
      <c r="N2404" s="355" t="str">
        <f t="shared" si="272"/>
        <v>PK</v>
      </c>
      <c r="O2404" s="345"/>
      <c r="P2404" s="392"/>
      <c r="Q2404" s="327"/>
      <c r="R2404" s="351"/>
      <c r="S2404" s="351"/>
      <c r="T2404" s="351"/>
      <c r="U2404" s="329" t="str">
        <f>IF($N2404=$N$4,IFERROR(INDEX(DanhMuc!$E$154:$E$165,MATCH(MID($B2404,4,2),DanhMuc!$B$154:$B$165,0)),""),"")</f>
        <v/>
      </c>
      <c r="V2404" s="361"/>
      <c r="W2404" s="345"/>
      <c r="X2404" s="329" t="str">
        <f t="shared" si="271"/>
        <v>TR</v>
      </c>
      <c r="Y2404" s="1128" t="s">
        <v>3380</v>
      </c>
      <c r="Z2404" s="1128" t="s">
        <v>3381</v>
      </c>
      <c r="AA2404" s="1128" t="s">
        <v>3384</v>
      </c>
      <c r="AB2404" s="20"/>
      <c r="AC2404" s="73"/>
    </row>
    <row r="2405" spans="1:29" ht="52">
      <c r="A2405" s="327">
        <f>IF(AND($B2405&lt;&gt;"",$C2405&lt;&gt;""),MAX($A$1556:A2380)+1,"")</f>
        <v>132</v>
      </c>
      <c r="B2405" s="359" t="s">
        <v>3325</v>
      </c>
      <c r="C2405" s="360" t="s">
        <v>3326</v>
      </c>
      <c r="D2405" s="327">
        <f>IF($B2405="","",COUNTIF($B$6:$B2405,$B2405))</f>
        <v>1</v>
      </c>
      <c r="E2405" s="361" t="s">
        <v>2123</v>
      </c>
      <c r="F2405" s="362" t="s">
        <v>2124</v>
      </c>
      <c r="G2405" s="327" t="s">
        <v>297</v>
      </c>
      <c r="H2405" s="327"/>
      <c r="I2405" s="327">
        <v>1</v>
      </c>
      <c r="J2405" s="345"/>
      <c r="K2405" s="327"/>
      <c r="L2405" s="389">
        <f>120000-L2406</f>
        <v>115000</v>
      </c>
      <c r="M2405" s="371"/>
      <c r="N2405" s="355" t="str">
        <f t="shared" si="272"/>
        <v>PK</v>
      </c>
      <c r="O2405" s="345"/>
      <c r="P2405" s="392"/>
      <c r="Q2405" s="327"/>
      <c r="R2405" s="351"/>
      <c r="S2405" s="351"/>
      <c r="T2405" s="351"/>
      <c r="U2405" s="329" t="str">
        <f>IF($N2405=$N$4,IFERROR(INDEX(DanhMuc!$E$154:$E$165,MATCH(MID($B2405,4,2),DanhMuc!$B$154:$B$165,0)),""),"")</f>
        <v/>
      </c>
      <c r="V2405" s="361"/>
      <c r="W2405" s="345"/>
      <c r="X2405" s="329" t="str">
        <f t="shared" si="271"/>
        <v>TR</v>
      </c>
      <c r="Y2405" s="1128" t="s">
        <v>3380</v>
      </c>
      <c r="Z2405" s="1128" t="s">
        <v>3381</v>
      </c>
      <c r="AA2405" s="1128" t="s">
        <v>3384</v>
      </c>
      <c r="AB2405" s="20"/>
      <c r="AC2405" s="73"/>
    </row>
    <row r="2406" spans="1:29">
      <c r="A2406" s="327" t="str">
        <f>IF(AND($B2406&lt;&gt;"",$C2406&lt;&gt;""),MAX($A$1556:A2405)+1,"")</f>
        <v/>
      </c>
      <c r="B2406" s="361" t="s">
        <v>3325</v>
      </c>
      <c r="C2406" s="360"/>
      <c r="D2406" s="327">
        <f>IF($B2406="","",COUNTIF($B$6:$B2406,$B2406))</f>
        <v>2</v>
      </c>
      <c r="E2406" s="361" t="s">
        <v>2125</v>
      </c>
      <c r="F2406" s="362" t="s">
        <v>2126</v>
      </c>
      <c r="G2406" s="327" t="s">
        <v>155</v>
      </c>
      <c r="H2406" s="327"/>
      <c r="I2406" s="327">
        <v>1</v>
      </c>
      <c r="J2406" s="345"/>
      <c r="K2406" s="327"/>
      <c r="L2406" s="389">
        <v>5000</v>
      </c>
      <c r="M2406" s="371"/>
      <c r="N2406" s="355" t="str">
        <f t="shared" si="272"/>
        <v>PK</v>
      </c>
      <c r="O2406" s="345"/>
      <c r="P2406" s="392"/>
      <c r="Q2406" s="327"/>
      <c r="R2406" s="351"/>
      <c r="S2406" s="351"/>
      <c r="T2406" s="351"/>
      <c r="U2406" s="329" t="str">
        <f>IF($N2406=$N$4,IFERROR(INDEX(DanhMuc!$E$154:$E$165,MATCH(MID($B2406,4,2),DanhMuc!$B$154:$B$165,0)),""),"")</f>
        <v/>
      </c>
      <c r="V2406" s="361"/>
      <c r="W2406" s="345"/>
      <c r="X2406" s="329" t="str">
        <f t="shared" si="271"/>
        <v>TR</v>
      </c>
      <c r="Y2406" s="1128" t="s">
        <v>3380</v>
      </c>
      <c r="Z2406" s="1128" t="s">
        <v>3381</v>
      </c>
      <c r="AA2406" s="1128" t="s">
        <v>3384</v>
      </c>
      <c r="AB2406" s="20"/>
      <c r="AC2406" s="73"/>
    </row>
    <row r="2407" spans="1:29">
      <c r="A2407" s="327" t="str">
        <f>IF(AND($B2407&lt;&gt;"",$C2407&lt;&gt;""),MAX($A$1556:A2406)+1,"")</f>
        <v/>
      </c>
      <c r="B2407" s="361" t="s">
        <v>3325</v>
      </c>
      <c r="C2407" s="360"/>
      <c r="D2407" s="327">
        <f>IF($B2407="","",COUNTIF($B$6:$B2407,$B2407))</f>
        <v>3</v>
      </c>
      <c r="E2407" s="361" t="s">
        <v>2232</v>
      </c>
      <c r="F2407" s="362" t="s">
        <v>2127</v>
      </c>
      <c r="G2407" s="327" t="s">
        <v>155</v>
      </c>
      <c r="H2407" s="327"/>
      <c r="I2407" s="327">
        <v>1</v>
      </c>
      <c r="J2407" s="359"/>
      <c r="K2407" s="327"/>
      <c r="L2407" s="389">
        <v>35500</v>
      </c>
      <c r="M2407" s="371"/>
      <c r="N2407" s="355" t="s">
        <v>153</v>
      </c>
      <c r="O2407" s="345"/>
      <c r="P2407" s="392"/>
      <c r="Q2407" s="327"/>
      <c r="R2407" s="351"/>
      <c r="S2407" s="351"/>
      <c r="T2407" s="351"/>
      <c r="U2407" s="329" t="str">
        <f>IF($N2407=$N$4,IFERROR(INDEX(DanhMuc!$E$154:$E$165,MATCH(MID($B2407,4,2),DanhMuc!$B$154:$B$165,0)),""),"")</f>
        <v/>
      </c>
      <c r="V2407" s="361"/>
      <c r="W2407" s="345"/>
      <c r="X2407" s="329" t="str">
        <f t="shared" si="271"/>
        <v>TR</v>
      </c>
      <c r="Y2407" s="1128" t="s">
        <v>3380</v>
      </c>
      <c r="Z2407" s="1128" t="s">
        <v>3381</v>
      </c>
      <c r="AA2407" s="1128" t="s">
        <v>3384</v>
      </c>
      <c r="AB2407" s="20"/>
      <c r="AC2407" s="73"/>
    </row>
    <row r="2408" spans="1:29">
      <c r="A2408" s="327" t="str">
        <f>IF(AND($B2408&lt;&gt;"",$C2408&lt;&gt;""),MAX($A$1556:A2407)+1,"")</f>
        <v/>
      </c>
      <c r="B2408" s="361" t="s">
        <v>3325</v>
      </c>
      <c r="C2408" s="360"/>
      <c r="D2408" s="327">
        <f>IF($B2408="","",COUNTIF($B$6:$B2408,$B2408))</f>
        <v>4</v>
      </c>
      <c r="E2408" s="361" t="s">
        <v>2125</v>
      </c>
      <c r="F2408" s="362" t="s">
        <v>2126</v>
      </c>
      <c r="G2408" s="327" t="s">
        <v>155</v>
      </c>
      <c r="H2408" s="327"/>
      <c r="I2408" s="327">
        <v>1</v>
      </c>
      <c r="J2408" s="359"/>
      <c r="K2408" s="327"/>
      <c r="L2408" s="389">
        <v>5000</v>
      </c>
      <c r="M2408" s="371"/>
      <c r="N2408" s="355" t="s">
        <v>153</v>
      </c>
      <c r="O2408" s="345"/>
      <c r="P2408" s="392"/>
      <c r="Q2408" s="327"/>
      <c r="R2408" s="351"/>
      <c r="S2408" s="351"/>
      <c r="T2408" s="351"/>
      <c r="U2408" s="329" t="str">
        <f>IF($N2408=$N$4,IFERROR(INDEX(DanhMuc!$E$154:$E$165,MATCH(MID($B2408,4,2),DanhMuc!$B$154:$B$165,0)),""),"")</f>
        <v/>
      </c>
      <c r="V2408" s="361"/>
      <c r="W2408" s="345"/>
      <c r="X2408" s="329" t="str">
        <f t="shared" si="271"/>
        <v>TR</v>
      </c>
      <c r="Y2408" s="1128" t="s">
        <v>3380</v>
      </c>
      <c r="Z2408" s="1128" t="s">
        <v>3381</v>
      </c>
      <c r="AA2408" s="1128" t="s">
        <v>3384</v>
      </c>
      <c r="AB2408" s="20"/>
      <c r="AC2408" s="73"/>
    </row>
    <row r="2409" spans="1:29">
      <c r="A2409" s="327" t="str">
        <f>IF(AND($B2409&lt;&gt;"",$C2409&lt;&gt;""),MAX($A$1556:A2405)+1,"")</f>
        <v/>
      </c>
      <c r="B2409" s="361" t="s">
        <v>3325</v>
      </c>
      <c r="C2409" s="360"/>
      <c r="D2409" s="327">
        <f>IF($B2409="","",COUNTIF($B$6:$B2409,$B2409))</f>
        <v>5</v>
      </c>
      <c r="E2409" s="402" t="s">
        <v>3217</v>
      </c>
      <c r="F2409" s="403" t="s">
        <v>3221</v>
      </c>
      <c r="G2409" s="327" t="s">
        <v>344</v>
      </c>
      <c r="H2409" s="327" t="s">
        <v>536</v>
      </c>
      <c r="I2409" s="327">
        <v>1</v>
      </c>
      <c r="J2409" s="361"/>
      <c r="K2409" s="327"/>
      <c r="L2409" s="389">
        <v>365000</v>
      </c>
      <c r="M2409" s="371"/>
      <c r="N2409" s="355" t="str">
        <f t="shared" si="272"/>
        <v>PK</v>
      </c>
      <c r="O2409" s="345"/>
      <c r="P2409" s="392"/>
      <c r="Q2409" s="327"/>
      <c r="R2409" s="351"/>
      <c r="S2409" s="351"/>
      <c r="T2409" s="351"/>
      <c r="U2409" s="329" t="str">
        <f>IF($N2409=$N$4,IFERROR(INDEX(DanhMuc!$E$154:$E$165,MATCH(MID($B2409,4,2),DanhMuc!$B$154:$B$165,0)),""),"")</f>
        <v/>
      </c>
      <c r="V2409" s="361"/>
      <c r="W2409" s="345"/>
      <c r="X2409" s="329" t="str">
        <f t="shared" si="271"/>
        <v>TR</v>
      </c>
      <c r="Y2409" s="1128" t="s">
        <v>3380</v>
      </c>
      <c r="Z2409" s="1128" t="s">
        <v>3381</v>
      </c>
      <c r="AA2409" s="1128" t="s">
        <v>3384</v>
      </c>
      <c r="AB2409" s="20"/>
      <c r="AC2409" s="73"/>
    </row>
    <row r="2410" spans="1:29">
      <c r="A2410" s="327" t="str">
        <f>IF(AND($B2410&lt;&gt;"",$C2410&lt;&gt;""),MAX($A$1556:A2406)+1,"")</f>
        <v/>
      </c>
      <c r="B2410" s="361" t="s">
        <v>3325</v>
      </c>
      <c r="C2410" s="360"/>
      <c r="D2410" s="327">
        <f>IF($B2410="","",COUNTIF($B$6:$B2410,$B2410))</f>
        <v>6</v>
      </c>
      <c r="E2410" s="402" t="s">
        <v>3218</v>
      </c>
      <c r="F2410" s="403" t="s">
        <v>3219</v>
      </c>
      <c r="G2410" s="327" t="s">
        <v>690</v>
      </c>
      <c r="H2410" s="327" t="s">
        <v>536</v>
      </c>
      <c r="I2410" s="327" t="s">
        <v>3220</v>
      </c>
      <c r="J2410" s="361"/>
      <c r="K2410" s="327"/>
      <c r="L2410" s="389">
        <f>100000/1000</f>
        <v>100</v>
      </c>
      <c r="M2410" s="371"/>
      <c r="N2410" s="355" t="str">
        <f t="shared" si="272"/>
        <v>PK</v>
      </c>
      <c r="O2410" s="345"/>
      <c r="P2410" s="392"/>
      <c r="Q2410" s="327"/>
      <c r="R2410" s="351"/>
      <c r="S2410" s="351"/>
      <c r="T2410" s="351"/>
      <c r="U2410" s="329" t="str">
        <f>IF($N2410=$N$4,IFERROR(INDEX(DanhMuc!$E$154:$E$165,MATCH(MID($B2410,4,2),DanhMuc!$B$154:$B$165,0)),""),"")</f>
        <v/>
      </c>
      <c r="V2410" s="361"/>
      <c r="W2410" s="345"/>
      <c r="X2410" s="329" t="str">
        <f t="shared" si="271"/>
        <v>TR</v>
      </c>
      <c r="Y2410" s="1128" t="s">
        <v>3380</v>
      </c>
      <c r="Z2410" s="1128" t="s">
        <v>3381</v>
      </c>
      <c r="AA2410" s="1128" t="s">
        <v>3384</v>
      </c>
      <c r="AB2410" s="20"/>
      <c r="AC2410" s="73"/>
    </row>
    <row r="2411" spans="1:29">
      <c r="A2411" s="327" t="str">
        <f>IF(AND($B2411&lt;&gt;"",$C2411&lt;&gt;""),MAX($A$1556:A2408)+1,"")</f>
        <v/>
      </c>
      <c r="B2411" s="361" t="s">
        <v>3325</v>
      </c>
      <c r="C2411" s="360"/>
      <c r="D2411" s="327">
        <f>IF($B2411="","",COUNTIF($B$6:$B2411,$B2411))</f>
        <v>7</v>
      </c>
      <c r="E2411" s="361" t="s">
        <v>163</v>
      </c>
      <c r="F2411" s="362" t="s">
        <v>164</v>
      </c>
      <c r="G2411" s="327" t="s">
        <v>155</v>
      </c>
      <c r="H2411" s="327"/>
      <c r="I2411" s="327">
        <v>1</v>
      </c>
      <c r="J2411" s="361"/>
      <c r="K2411" s="408"/>
      <c r="L2411" s="389">
        <v>2500</v>
      </c>
      <c r="M2411" s="371"/>
      <c r="N2411" s="355" t="str">
        <f t="shared" si="272"/>
        <v>PK</v>
      </c>
      <c r="O2411" s="345"/>
      <c r="P2411" s="392"/>
      <c r="Q2411" s="327"/>
      <c r="R2411" s="351"/>
      <c r="S2411" s="351"/>
      <c r="T2411" s="351"/>
      <c r="U2411" s="329" t="str">
        <f>IF($N2411=$N$4,IFERROR(INDEX(DanhMuc!$E$154:$E$165,MATCH(MID($B2411,4,2),DanhMuc!$B$154:$B$165,0)),""),"")</f>
        <v/>
      </c>
      <c r="V2411" s="408" t="s">
        <v>342</v>
      </c>
      <c r="W2411" s="345"/>
      <c r="X2411" s="329" t="str">
        <f t="shared" si="271"/>
        <v>TR</v>
      </c>
      <c r="Y2411" s="1128" t="s">
        <v>3380</v>
      </c>
      <c r="Z2411" s="1128" t="s">
        <v>3381</v>
      </c>
      <c r="AA2411" s="1128" t="s">
        <v>3384</v>
      </c>
      <c r="AB2411" s="20"/>
      <c r="AC2411" s="73"/>
    </row>
    <row r="2412" spans="1:29">
      <c r="A2412" s="327" t="str">
        <f>IF(AND($B2412&lt;&gt;"",$C2412&lt;&gt;""),MAX($A$1556:A2411)+1,"")</f>
        <v/>
      </c>
      <c r="B2412" s="361" t="s">
        <v>3325</v>
      </c>
      <c r="C2412" s="360"/>
      <c r="D2412" s="327">
        <f>IF($B2412="","",COUNTIF($B$6:$B2412,$B2412))</f>
        <v>8</v>
      </c>
      <c r="E2412" s="361" t="s">
        <v>187</v>
      </c>
      <c r="F2412" s="362" t="s">
        <v>188</v>
      </c>
      <c r="G2412" s="327" t="s">
        <v>155</v>
      </c>
      <c r="H2412" s="327"/>
      <c r="I2412" s="327">
        <v>2</v>
      </c>
      <c r="J2412" s="361"/>
      <c r="K2412" s="327"/>
      <c r="L2412" s="389">
        <v>5000</v>
      </c>
      <c r="M2412" s="371"/>
      <c r="N2412" s="355" t="str">
        <f t="shared" si="272"/>
        <v>PK</v>
      </c>
      <c r="O2412" s="345"/>
      <c r="P2412" s="392"/>
      <c r="Q2412" s="327"/>
      <c r="R2412" s="351"/>
      <c r="S2412" s="351"/>
      <c r="T2412" s="351"/>
      <c r="U2412" s="329" t="str">
        <f>IF($N2412=$N$4,IFERROR(INDEX(DanhMuc!$E$154:$E$165,MATCH(MID($B2412,4,2),DanhMuc!$B$154:$B$165,0)),""),"")</f>
        <v/>
      </c>
      <c r="V2412" s="361"/>
      <c r="W2412" s="345"/>
      <c r="X2412" s="329" t="str">
        <f t="shared" si="271"/>
        <v>TR</v>
      </c>
      <c r="Y2412" s="1128" t="s">
        <v>3380</v>
      </c>
      <c r="Z2412" s="1128" t="s">
        <v>3381</v>
      </c>
      <c r="AA2412" s="1128" t="s">
        <v>3384</v>
      </c>
      <c r="AB2412" s="20"/>
      <c r="AC2412" s="73"/>
    </row>
    <row r="2413" spans="1:29">
      <c r="A2413" s="327" t="str">
        <f>IF(AND($B2413&lt;&gt;"",$C2413&lt;&gt;""),MAX($A$1556:A2412)+1,"")</f>
        <v/>
      </c>
      <c r="B2413" s="361" t="s">
        <v>3325</v>
      </c>
      <c r="C2413" s="360"/>
      <c r="D2413" s="327">
        <f>IF($B2413="","",COUNTIF($B$6:$B2413,$B2413))</f>
        <v>9</v>
      </c>
      <c r="E2413" s="361" t="s">
        <v>172</v>
      </c>
      <c r="F2413" s="362" t="s">
        <v>173</v>
      </c>
      <c r="G2413" s="327" t="s">
        <v>155</v>
      </c>
      <c r="H2413" s="327"/>
      <c r="I2413" s="327">
        <v>1</v>
      </c>
      <c r="J2413" s="361"/>
      <c r="K2413" s="327"/>
      <c r="L2413" s="389">
        <v>6000</v>
      </c>
      <c r="M2413" s="371"/>
      <c r="N2413" s="355" t="str">
        <f t="shared" si="272"/>
        <v>PK</v>
      </c>
      <c r="O2413" s="345"/>
      <c r="P2413" s="392"/>
      <c r="Q2413" s="327"/>
      <c r="R2413" s="351"/>
      <c r="S2413" s="351"/>
      <c r="T2413" s="351"/>
      <c r="U2413" s="329" t="str">
        <f>IF($N2413=$N$4,IFERROR(INDEX(DanhMuc!$E$154:$E$165,MATCH(MID($B2413,4,2),DanhMuc!$B$154:$B$165,0)),""),"")</f>
        <v/>
      </c>
      <c r="V2413" s="361"/>
      <c r="W2413" s="345"/>
      <c r="X2413" s="329" t="str">
        <f t="shared" si="271"/>
        <v>TR</v>
      </c>
      <c r="Y2413" s="1128" t="s">
        <v>3380</v>
      </c>
      <c r="Z2413" s="1128" t="s">
        <v>3381</v>
      </c>
      <c r="AA2413" s="1128" t="s">
        <v>3384</v>
      </c>
      <c r="AB2413" s="20"/>
      <c r="AC2413" s="73"/>
    </row>
    <row r="2414" spans="1:29" ht="52">
      <c r="A2414" s="327">
        <f>IF(AND($B2414&lt;&gt;"",$C2414&lt;&gt;""),MAX($A$1556:A2363)+1,"")</f>
        <v>132</v>
      </c>
      <c r="B2414" s="359" t="s">
        <v>3180</v>
      </c>
      <c r="C2414" s="360" t="s">
        <v>3183</v>
      </c>
      <c r="D2414" s="327">
        <f>IF($B2414="","",COUNTIF($B$6:$B2414,$B2414))</f>
        <v>1</v>
      </c>
      <c r="E2414" s="361" t="s">
        <v>2123</v>
      </c>
      <c r="F2414" s="362" t="s">
        <v>2124</v>
      </c>
      <c r="G2414" s="327" t="s">
        <v>297</v>
      </c>
      <c r="H2414" s="327"/>
      <c r="I2414" s="327">
        <v>1</v>
      </c>
      <c r="J2414" s="345"/>
      <c r="K2414" s="327"/>
      <c r="L2414" s="389">
        <f>120000-L2415</f>
        <v>115000</v>
      </c>
      <c r="M2414" s="371"/>
      <c r="N2414" s="355" t="str">
        <f t="shared" si="272"/>
        <v>PK</v>
      </c>
      <c r="O2414" s="345"/>
      <c r="P2414" s="392"/>
      <c r="Q2414" s="327"/>
      <c r="R2414" s="351"/>
      <c r="S2414" s="351"/>
      <c r="T2414" s="351"/>
      <c r="U2414" s="329" t="str">
        <f>IF($N2414=$N$4,IFERROR(INDEX(DanhMuc!$E$154:$E$165,MATCH(MID($B2414,4,2),DanhMuc!$B$154:$B$165,0)),""),"")</f>
        <v/>
      </c>
      <c r="V2414" s="361"/>
      <c r="W2414" s="345"/>
      <c r="X2414" s="329" t="str">
        <f t="shared" si="271"/>
        <v>KL</v>
      </c>
      <c r="Y2414" s="1128" t="s">
        <v>3380</v>
      </c>
      <c r="Z2414" s="1128" t="s">
        <v>3381</v>
      </c>
      <c r="AA2414" s="1128" t="s">
        <v>3384</v>
      </c>
      <c r="AB2414" s="20"/>
      <c r="AC2414" s="73"/>
    </row>
    <row r="2415" spans="1:29">
      <c r="A2415" s="327" t="str">
        <f>IF(AND($B2415&lt;&gt;"",$C2415&lt;&gt;""),MAX($A$1556:A2414)+1,"")</f>
        <v/>
      </c>
      <c r="B2415" s="361" t="s">
        <v>3180</v>
      </c>
      <c r="C2415" s="360"/>
      <c r="D2415" s="327">
        <f>IF($B2415="","",COUNTIF($B$6:$B2415,$B2415))</f>
        <v>2</v>
      </c>
      <c r="E2415" s="361" t="s">
        <v>2125</v>
      </c>
      <c r="F2415" s="362" t="s">
        <v>2126</v>
      </c>
      <c r="G2415" s="327" t="s">
        <v>155</v>
      </c>
      <c r="H2415" s="327"/>
      <c r="I2415" s="327">
        <v>1</v>
      </c>
      <c r="J2415" s="345"/>
      <c r="K2415" s="327"/>
      <c r="L2415" s="389">
        <v>5000</v>
      </c>
      <c r="M2415" s="371"/>
      <c r="N2415" s="355" t="str">
        <f t="shared" si="272"/>
        <v>PK</v>
      </c>
      <c r="O2415" s="345"/>
      <c r="P2415" s="392"/>
      <c r="Q2415" s="327"/>
      <c r="R2415" s="351"/>
      <c r="S2415" s="351"/>
      <c r="T2415" s="351"/>
      <c r="U2415" s="329" t="str">
        <f>IF($N2415=$N$4,IFERROR(INDEX(DanhMuc!$E$154:$E$165,MATCH(MID($B2415,4,2),DanhMuc!$B$154:$B$165,0)),""),"")</f>
        <v/>
      </c>
      <c r="V2415" s="361"/>
      <c r="W2415" s="345"/>
      <c r="X2415" s="329" t="str">
        <f t="shared" si="271"/>
        <v>KL</v>
      </c>
      <c r="Y2415" s="1128" t="s">
        <v>3380</v>
      </c>
      <c r="Z2415" s="1128" t="s">
        <v>3381</v>
      </c>
      <c r="AA2415" s="1128" t="s">
        <v>3384</v>
      </c>
      <c r="AB2415" s="20"/>
      <c r="AC2415" s="73"/>
    </row>
    <row r="2416" spans="1:29">
      <c r="A2416" s="327" t="str">
        <f>IF(AND($B2416&lt;&gt;"",$C2416&lt;&gt;""),MAX($A$1556:A2415)+1,"")</f>
        <v/>
      </c>
      <c r="B2416" s="361" t="s">
        <v>3180</v>
      </c>
      <c r="C2416" s="360"/>
      <c r="D2416" s="327">
        <f>IF($B2416="","",COUNTIF($B$6:$B2416,$B2416))</f>
        <v>3</v>
      </c>
      <c r="E2416" s="361" t="s">
        <v>2232</v>
      </c>
      <c r="F2416" s="362" t="s">
        <v>2127</v>
      </c>
      <c r="G2416" s="327" t="s">
        <v>155</v>
      </c>
      <c r="H2416" s="327"/>
      <c r="I2416" s="327">
        <v>1</v>
      </c>
      <c r="J2416" s="359"/>
      <c r="K2416" s="327"/>
      <c r="L2416" s="389">
        <v>35500</v>
      </c>
      <c r="M2416" s="371"/>
      <c r="N2416" s="355" t="s">
        <v>153</v>
      </c>
      <c r="O2416" s="345"/>
      <c r="P2416" s="392"/>
      <c r="Q2416" s="327"/>
      <c r="R2416" s="351"/>
      <c r="S2416" s="351"/>
      <c r="T2416" s="351"/>
      <c r="U2416" s="329" t="str">
        <f>IF($N2416=$N$4,IFERROR(INDEX(DanhMuc!$E$154:$E$165,MATCH(MID($B2416,4,2),DanhMuc!$B$154:$B$165,0)),""),"")</f>
        <v/>
      </c>
      <c r="V2416" s="361"/>
      <c r="W2416" s="345"/>
      <c r="X2416" s="329" t="str">
        <f t="shared" si="271"/>
        <v>KL</v>
      </c>
      <c r="Y2416" s="1128" t="s">
        <v>3380</v>
      </c>
      <c r="Z2416" s="1128" t="s">
        <v>3381</v>
      </c>
      <c r="AA2416" s="1128" t="s">
        <v>3384</v>
      </c>
      <c r="AB2416" s="20"/>
      <c r="AC2416" s="73"/>
    </row>
    <row r="2417" spans="1:29">
      <c r="A2417" s="327" t="str">
        <f>IF(AND($B2417&lt;&gt;"",$C2417&lt;&gt;""),MAX($A$1556:A2416)+1,"")</f>
        <v/>
      </c>
      <c r="B2417" s="361" t="s">
        <v>3180</v>
      </c>
      <c r="C2417" s="360"/>
      <c r="D2417" s="327">
        <f>IF($B2417="","",COUNTIF($B$6:$B2417,$B2417))</f>
        <v>4</v>
      </c>
      <c r="E2417" s="361" t="s">
        <v>2125</v>
      </c>
      <c r="F2417" s="362" t="s">
        <v>2126</v>
      </c>
      <c r="G2417" s="327" t="s">
        <v>155</v>
      </c>
      <c r="H2417" s="327"/>
      <c r="I2417" s="327">
        <v>1</v>
      </c>
      <c r="J2417" s="359"/>
      <c r="K2417" s="327"/>
      <c r="L2417" s="389">
        <v>5000</v>
      </c>
      <c r="M2417" s="371"/>
      <c r="N2417" s="355" t="s">
        <v>153</v>
      </c>
      <c r="O2417" s="345"/>
      <c r="P2417" s="392"/>
      <c r="Q2417" s="327"/>
      <c r="R2417" s="351"/>
      <c r="S2417" s="351"/>
      <c r="T2417" s="351"/>
      <c r="U2417" s="329" t="str">
        <f>IF($N2417=$N$4,IFERROR(INDEX(DanhMuc!$E$154:$E$165,MATCH(MID($B2417,4,2),DanhMuc!$B$154:$B$165,0)),""),"")</f>
        <v/>
      </c>
      <c r="V2417" s="361"/>
      <c r="W2417" s="345"/>
      <c r="X2417" s="329" t="str">
        <f t="shared" si="271"/>
        <v>KL</v>
      </c>
      <c r="Y2417" s="1128" t="s">
        <v>3380</v>
      </c>
      <c r="Z2417" s="1128" t="s">
        <v>3381</v>
      </c>
      <c r="AA2417" s="1128" t="s">
        <v>3384</v>
      </c>
      <c r="AB2417" s="20"/>
      <c r="AC2417" s="73"/>
    </row>
    <row r="2418" spans="1:29">
      <c r="A2418" s="327" t="str">
        <f>IF(AND($B2418&lt;&gt;"",$C2418&lt;&gt;""),MAX($A$1556:A2415)+1,"")</f>
        <v/>
      </c>
      <c r="B2418" s="361" t="s">
        <v>3180</v>
      </c>
      <c r="C2418" s="360"/>
      <c r="D2418" s="327">
        <f>IF($B2418="","",COUNTIF($B$6:$B2418,$B2418))</f>
        <v>5</v>
      </c>
      <c r="E2418" s="361" t="s">
        <v>2225</v>
      </c>
      <c r="F2418" s="362" t="s">
        <v>2231</v>
      </c>
      <c r="G2418" s="327" t="s">
        <v>155</v>
      </c>
      <c r="H2418" s="327" t="s">
        <v>536</v>
      </c>
      <c r="I2418" s="327">
        <v>6</v>
      </c>
      <c r="J2418" s="361"/>
      <c r="K2418" s="327"/>
      <c r="L2418" s="389">
        <v>20000</v>
      </c>
      <c r="M2418" s="371"/>
      <c r="N2418" s="355" t="str">
        <f t="shared" si="272"/>
        <v>PK</v>
      </c>
      <c r="O2418" s="345"/>
      <c r="P2418" s="392"/>
      <c r="Q2418" s="327"/>
      <c r="R2418" s="351"/>
      <c r="S2418" s="351"/>
      <c r="T2418" s="351"/>
      <c r="U2418" s="329" t="str">
        <f>IF($N2418=$N$4,IFERROR(INDEX(DanhMuc!$E$154:$E$165,MATCH(MID($B2418,4,2),DanhMuc!$B$154:$B$165,0)),""),"")</f>
        <v/>
      </c>
      <c r="V2418" s="361"/>
      <c r="W2418" s="345"/>
      <c r="X2418" s="329" t="str">
        <f t="shared" si="271"/>
        <v>KL</v>
      </c>
      <c r="Y2418" s="1128" t="s">
        <v>3380</v>
      </c>
      <c r="Z2418" s="1128" t="s">
        <v>3381</v>
      </c>
      <c r="AA2418" s="1128" t="s">
        <v>3384</v>
      </c>
      <c r="AB2418" s="20"/>
      <c r="AC2418" s="73"/>
    </row>
    <row r="2419" spans="1:29">
      <c r="A2419" s="327" t="str">
        <f>IF(AND($B2419&lt;&gt;"",$C2419&lt;&gt;""),MAX($A$1556:A2418)+1,"")</f>
        <v/>
      </c>
      <c r="B2419" s="361" t="s">
        <v>3180</v>
      </c>
      <c r="C2419" s="360"/>
      <c r="D2419" s="327">
        <f>IF($B2419="","",COUNTIF($B$6:$B2419,$B2419))</f>
        <v>6</v>
      </c>
      <c r="E2419" s="361" t="s">
        <v>163</v>
      </c>
      <c r="F2419" s="362" t="s">
        <v>164</v>
      </c>
      <c r="G2419" s="327" t="s">
        <v>155</v>
      </c>
      <c r="H2419" s="327"/>
      <c r="I2419" s="327">
        <v>2</v>
      </c>
      <c r="J2419" s="361"/>
      <c r="K2419" s="408"/>
      <c r="L2419" s="389">
        <v>2500</v>
      </c>
      <c r="M2419" s="371"/>
      <c r="N2419" s="355" t="str">
        <f t="shared" si="272"/>
        <v>PK</v>
      </c>
      <c r="O2419" s="345"/>
      <c r="P2419" s="392"/>
      <c r="Q2419" s="327"/>
      <c r="R2419" s="351"/>
      <c r="S2419" s="351"/>
      <c r="T2419" s="351"/>
      <c r="U2419" s="329" t="str">
        <f>IF($N2419=$N$4,IFERROR(INDEX(DanhMuc!$E$154:$E$165,MATCH(MID($B2419,4,2),DanhMuc!$B$154:$B$165,0)),""),"")</f>
        <v/>
      </c>
      <c r="V2419" s="408" t="s">
        <v>342</v>
      </c>
      <c r="W2419" s="345"/>
      <c r="X2419" s="329" t="str">
        <f t="shared" si="271"/>
        <v>KL</v>
      </c>
      <c r="Y2419" s="1128" t="s">
        <v>3380</v>
      </c>
      <c r="Z2419" s="1128" t="s">
        <v>3381</v>
      </c>
      <c r="AA2419" s="1128" t="s">
        <v>3384</v>
      </c>
      <c r="AB2419" s="20"/>
      <c r="AC2419" s="73"/>
    </row>
    <row r="2420" spans="1:29">
      <c r="A2420" s="327" t="str">
        <f>IF(AND($B2420&lt;&gt;"",$C2420&lt;&gt;""),MAX($A$1556:A2419)+1,"")</f>
        <v/>
      </c>
      <c r="B2420" s="361" t="s">
        <v>3180</v>
      </c>
      <c r="C2420" s="360"/>
      <c r="D2420" s="327">
        <f>IF($B2420="","",COUNTIF($B$6:$B2420,$B2420))</f>
        <v>7</v>
      </c>
      <c r="E2420" s="361" t="s">
        <v>187</v>
      </c>
      <c r="F2420" s="362" t="s">
        <v>188</v>
      </c>
      <c r="G2420" s="327" t="s">
        <v>155</v>
      </c>
      <c r="H2420" s="327"/>
      <c r="I2420" s="327">
        <v>4</v>
      </c>
      <c r="J2420" s="361"/>
      <c r="K2420" s="327"/>
      <c r="L2420" s="389">
        <v>5000</v>
      </c>
      <c r="M2420" s="371"/>
      <c r="N2420" s="355" t="str">
        <f t="shared" si="272"/>
        <v>PK</v>
      </c>
      <c r="O2420" s="345"/>
      <c r="P2420" s="392"/>
      <c r="Q2420" s="327"/>
      <c r="R2420" s="351"/>
      <c r="S2420" s="351"/>
      <c r="T2420" s="351"/>
      <c r="U2420" s="329" t="str">
        <f>IF($N2420=$N$4,IFERROR(INDEX(DanhMuc!$E$154:$E$165,MATCH(MID($B2420,4,2),DanhMuc!$B$154:$B$165,0)),""),"")</f>
        <v/>
      </c>
      <c r="V2420" s="361"/>
      <c r="W2420" s="345"/>
      <c r="X2420" s="329" t="str">
        <f t="shared" si="271"/>
        <v>KL</v>
      </c>
      <c r="Y2420" s="1128" t="s">
        <v>3380</v>
      </c>
      <c r="Z2420" s="1128" t="s">
        <v>3381</v>
      </c>
      <c r="AA2420" s="1128" t="s">
        <v>3384</v>
      </c>
      <c r="AB2420" s="20"/>
      <c r="AC2420" s="73"/>
    </row>
    <row r="2421" spans="1:29">
      <c r="A2421" s="327" t="str">
        <f>IF(AND($B2421&lt;&gt;"",$C2421&lt;&gt;""),MAX($A$1556:A2420)+1,"")</f>
        <v/>
      </c>
      <c r="B2421" s="361" t="s">
        <v>3180</v>
      </c>
      <c r="C2421" s="360"/>
      <c r="D2421" s="327">
        <f>IF($B2421="","",COUNTIF($B$6:$B2421,$B2421))</f>
        <v>8</v>
      </c>
      <c r="E2421" s="361" t="s">
        <v>172</v>
      </c>
      <c r="F2421" s="362" t="s">
        <v>173</v>
      </c>
      <c r="G2421" s="327" t="s">
        <v>155</v>
      </c>
      <c r="H2421" s="327"/>
      <c r="I2421" s="327">
        <v>1</v>
      </c>
      <c r="J2421" s="361"/>
      <c r="K2421" s="327"/>
      <c r="L2421" s="389">
        <v>6000</v>
      </c>
      <c r="M2421" s="371"/>
      <c r="N2421" s="355" t="str">
        <f t="shared" si="272"/>
        <v>PK</v>
      </c>
      <c r="O2421" s="345"/>
      <c r="P2421" s="392"/>
      <c r="Q2421" s="327"/>
      <c r="R2421" s="351"/>
      <c r="S2421" s="351"/>
      <c r="T2421" s="351"/>
      <c r="U2421" s="329" t="str">
        <f>IF($N2421=$N$4,IFERROR(INDEX(DanhMuc!$E$154:$E$165,MATCH(MID($B2421,4,2),DanhMuc!$B$154:$B$165,0)),""),"")</f>
        <v/>
      </c>
      <c r="V2421" s="361"/>
      <c r="W2421" s="345"/>
      <c r="X2421" s="329" t="str">
        <f t="shared" si="271"/>
        <v>KL</v>
      </c>
      <c r="Y2421" s="1128" t="s">
        <v>3380</v>
      </c>
      <c r="Z2421" s="1128" t="s">
        <v>3381</v>
      </c>
      <c r="AA2421" s="1128" t="s">
        <v>3384</v>
      </c>
      <c r="AB2421" s="20"/>
      <c r="AC2421" s="73"/>
    </row>
    <row r="2422" spans="1:29" ht="52">
      <c r="A2422" s="327">
        <f>IF(AND($B2422&lt;&gt;"",$C2422&lt;&gt;""),MAX($A$1556:A2371)+1,"")</f>
        <v>132</v>
      </c>
      <c r="B2422" s="359" t="s">
        <v>3181</v>
      </c>
      <c r="C2422" s="360" t="s">
        <v>3182</v>
      </c>
      <c r="D2422" s="327">
        <f>IF($B2422="","",COUNTIF($B$6:$B2422,$B2422))</f>
        <v>1</v>
      </c>
      <c r="E2422" s="361" t="s">
        <v>2123</v>
      </c>
      <c r="F2422" s="362" t="s">
        <v>2124</v>
      </c>
      <c r="G2422" s="327" t="s">
        <v>297</v>
      </c>
      <c r="H2422" s="327"/>
      <c r="I2422" s="327">
        <v>1</v>
      </c>
      <c r="J2422" s="345"/>
      <c r="K2422" s="327"/>
      <c r="L2422" s="389">
        <f>120000-L2423</f>
        <v>115000</v>
      </c>
      <c r="M2422" s="371"/>
      <c r="N2422" s="355" t="str">
        <f t="shared" si="272"/>
        <v>PK</v>
      </c>
      <c r="O2422" s="345"/>
      <c r="P2422" s="392"/>
      <c r="Q2422" s="327"/>
      <c r="R2422" s="351"/>
      <c r="S2422" s="351"/>
      <c r="T2422" s="351"/>
      <c r="U2422" s="329" t="str">
        <f>IF($N2422=$N$4,IFERROR(INDEX(DanhMuc!$E$154:$E$165,MATCH(MID($B2422,4,2),DanhMuc!$B$154:$B$165,0)),""),"")</f>
        <v/>
      </c>
      <c r="V2422" s="361"/>
      <c r="W2422" s="345"/>
      <c r="X2422" s="329" t="str">
        <f t="shared" si="271"/>
        <v>2R</v>
      </c>
      <c r="Y2422" s="1128" t="s">
        <v>3380</v>
      </c>
      <c r="Z2422" s="1128" t="s">
        <v>3381</v>
      </c>
      <c r="AA2422" s="1128" t="s">
        <v>3384</v>
      </c>
      <c r="AB2422" s="20"/>
      <c r="AC2422" s="73"/>
    </row>
    <row r="2423" spans="1:29">
      <c r="A2423" s="327" t="str">
        <f>IF(AND($B2423&lt;&gt;"",$C2423&lt;&gt;""),MAX($A$1556:A2422)+1,"")</f>
        <v/>
      </c>
      <c r="B2423" s="361" t="s">
        <v>3181</v>
      </c>
      <c r="C2423" s="360"/>
      <c r="D2423" s="327">
        <f>IF($B2423="","",COUNTIF($B$6:$B2423,$B2423))</f>
        <v>2</v>
      </c>
      <c r="E2423" s="361" t="s">
        <v>2125</v>
      </c>
      <c r="F2423" s="362" t="s">
        <v>2126</v>
      </c>
      <c r="G2423" s="327" t="s">
        <v>155</v>
      </c>
      <c r="H2423" s="327"/>
      <c r="I2423" s="327">
        <v>1</v>
      </c>
      <c r="J2423" s="345"/>
      <c r="K2423" s="327"/>
      <c r="L2423" s="389">
        <v>5000</v>
      </c>
      <c r="M2423" s="371"/>
      <c r="N2423" s="355" t="str">
        <f t="shared" si="272"/>
        <v>PK</v>
      </c>
      <c r="O2423" s="345"/>
      <c r="P2423" s="392"/>
      <c r="Q2423" s="327"/>
      <c r="R2423" s="351"/>
      <c r="S2423" s="351"/>
      <c r="T2423" s="351"/>
      <c r="U2423" s="329" t="str">
        <f>IF($N2423=$N$4,IFERROR(INDEX(DanhMuc!$E$154:$E$165,MATCH(MID($B2423,4,2),DanhMuc!$B$154:$B$165,0)),""),"")</f>
        <v/>
      </c>
      <c r="V2423" s="361"/>
      <c r="W2423" s="345"/>
      <c r="X2423" s="329" t="str">
        <f t="shared" si="271"/>
        <v>2R</v>
      </c>
      <c r="Y2423" s="1128" t="s">
        <v>3380</v>
      </c>
      <c r="Z2423" s="1128" t="s">
        <v>3381</v>
      </c>
      <c r="AA2423" s="1128" t="s">
        <v>3384</v>
      </c>
      <c r="AB2423" s="20"/>
      <c r="AC2423" s="73"/>
    </row>
    <row r="2424" spans="1:29">
      <c r="A2424" s="327" t="str">
        <f>IF(AND($B2424&lt;&gt;"",$C2424&lt;&gt;""),MAX($A$1556:A2423)+1,"")</f>
        <v/>
      </c>
      <c r="B2424" s="361" t="s">
        <v>3181</v>
      </c>
      <c r="C2424" s="360"/>
      <c r="D2424" s="327">
        <f>IF($B2424="","",COUNTIF($B$6:$B2424,$B2424))</f>
        <v>3</v>
      </c>
      <c r="E2424" s="361" t="s">
        <v>2232</v>
      </c>
      <c r="F2424" s="362" t="s">
        <v>2127</v>
      </c>
      <c r="G2424" s="327" t="s">
        <v>155</v>
      </c>
      <c r="H2424" s="327"/>
      <c r="I2424" s="327">
        <v>1</v>
      </c>
      <c r="J2424" s="359"/>
      <c r="K2424" s="327"/>
      <c r="L2424" s="389">
        <v>35500</v>
      </c>
      <c r="M2424" s="371"/>
      <c r="N2424" s="355" t="s">
        <v>153</v>
      </c>
      <c r="O2424" s="345"/>
      <c r="P2424" s="392"/>
      <c r="Q2424" s="327"/>
      <c r="R2424" s="351"/>
      <c r="S2424" s="351"/>
      <c r="T2424" s="351"/>
      <c r="U2424" s="329" t="str">
        <f>IF($N2424=$N$4,IFERROR(INDEX(DanhMuc!$E$154:$E$165,MATCH(MID($B2424,4,2),DanhMuc!$B$154:$B$165,0)),""),"")</f>
        <v/>
      </c>
      <c r="V2424" s="361"/>
      <c r="W2424" s="345"/>
      <c r="X2424" s="329" t="str">
        <f t="shared" si="271"/>
        <v>2R</v>
      </c>
      <c r="Y2424" s="1128" t="s">
        <v>3380</v>
      </c>
      <c r="Z2424" s="1128" t="s">
        <v>3381</v>
      </c>
      <c r="AA2424" s="1128" t="s">
        <v>3384</v>
      </c>
      <c r="AB2424" s="20"/>
      <c r="AC2424" s="73"/>
    </row>
    <row r="2425" spans="1:29">
      <c r="A2425" s="327" t="str">
        <f>IF(AND($B2425&lt;&gt;"",$C2425&lt;&gt;""),MAX($A$1556:A2424)+1,"")</f>
        <v/>
      </c>
      <c r="B2425" s="361" t="s">
        <v>3181</v>
      </c>
      <c r="C2425" s="360"/>
      <c r="D2425" s="327">
        <f>IF($B2425="","",COUNTIF($B$6:$B2425,$B2425))</f>
        <v>4</v>
      </c>
      <c r="E2425" s="361" t="s">
        <v>2125</v>
      </c>
      <c r="F2425" s="362" t="s">
        <v>2126</v>
      </c>
      <c r="G2425" s="327" t="s">
        <v>155</v>
      </c>
      <c r="H2425" s="327"/>
      <c r="I2425" s="327">
        <v>1</v>
      </c>
      <c r="J2425" s="359"/>
      <c r="K2425" s="327"/>
      <c r="L2425" s="389">
        <v>5000</v>
      </c>
      <c r="M2425" s="371"/>
      <c r="N2425" s="355" t="s">
        <v>153</v>
      </c>
      <c r="O2425" s="345"/>
      <c r="P2425" s="392"/>
      <c r="Q2425" s="327"/>
      <c r="R2425" s="351"/>
      <c r="S2425" s="351"/>
      <c r="T2425" s="351"/>
      <c r="U2425" s="329" t="str">
        <f>IF($N2425=$N$4,IFERROR(INDEX(DanhMuc!$E$154:$E$165,MATCH(MID($B2425,4,2),DanhMuc!$B$154:$B$165,0)),""),"")</f>
        <v/>
      </c>
      <c r="V2425" s="361"/>
      <c r="W2425" s="345"/>
      <c r="X2425" s="329" t="str">
        <f t="shared" si="271"/>
        <v>2R</v>
      </c>
      <c r="Y2425" s="1128" t="s">
        <v>3380</v>
      </c>
      <c r="Z2425" s="1128" t="s">
        <v>3381</v>
      </c>
      <c r="AA2425" s="1128" t="s">
        <v>3384</v>
      </c>
      <c r="AB2425" s="20"/>
      <c r="AC2425" s="73"/>
    </row>
    <row r="2426" spans="1:29">
      <c r="A2426" s="327" t="str">
        <f>IF(AND($B2426&lt;&gt;"",$C2426&lt;&gt;""),MAX($A$1556:A2423)+1,"")</f>
        <v/>
      </c>
      <c r="B2426" s="361" t="s">
        <v>3181</v>
      </c>
      <c r="C2426" s="360"/>
      <c r="D2426" s="327">
        <f>IF($B2426="","",COUNTIF($B$6:$B2426,$B2426))</f>
        <v>5</v>
      </c>
      <c r="E2426" s="361" t="s">
        <v>2225</v>
      </c>
      <c r="F2426" s="362" t="s">
        <v>2231</v>
      </c>
      <c r="G2426" s="327" t="s">
        <v>155</v>
      </c>
      <c r="H2426" s="327" t="s">
        <v>536</v>
      </c>
      <c r="I2426" s="327">
        <v>6</v>
      </c>
      <c r="J2426" s="361"/>
      <c r="K2426" s="327"/>
      <c r="L2426" s="389">
        <v>20000</v>
      </c>
      <c r="M2426" s="371"/>
      <c r="N2426" s="355" t="str">
        <f t="shared" si="272"/>
        <v>PK</v>
      </c>
      <c r="O2426" s="345"/>
      <c r="P2426" s="392"/>
      <c r="Q2426" s="327"/>
      <c r="R2426" s="351"/>
      <c r="S2426" s="351"/>
      <c r="T2426" s="351"/>
      <c r="U2426" s="329" t="str">
        <f>IF($N2426=$N$4,IFERROR(INDEX(DanhMuc!$E$154:$E$165,MATCH(MID($B2426,4,2),DanhMuc!$B$154:$B$165,0)),""),"")</f>
        <v/>
      </c>
      <c r="V2426" s="361"/>
      <c r="W2426" s="345"/>
      <c r="X2426" s="329" t="str">
        <f t="shared" si="271"/>
        <v>2R</v>
      </c>
      <c r="Y2426" s="1128" t="s">
        <v>3380</v>
      </c>
      <c r="Z2426" s="1128" t="s">
        <v>3381</v>
      </c>
      <c r="AA2426" s="1128" t="s">
        <v>3384</v>
      </c>
      <c r="AB2426" s="20"/>
      <c r="AC2426" s="73"/>
    </row>
    <row r="2427" spans="1:29">
      <c r="A2427" s="327" t="str">
        <f>IF(AND($B2427&lt;&gt;"",$C2427&lt;&gt;""),MAX($A$1556:A2426)+1,"")</f>
        <v/>
      </c>
      <c r="B2427" s="361" t="s">
        <v>3181</v>
      </c>
      <c r="C2427" s="360"/>
      <c r="D2427" s="327">
        <f>IF($B2427="","",COUNTIF($B$6:$B2427,$B2427))</f>
        <v>6</v>
      </c>
      <c r="E2427" s="361" t="s">
        <v>163</v>
      </c>
      <c r="F2427" s="362" t="s">
        <v>164</v>
      </c>
      <c r="G2427" s="327" t="s">
        <v>155</v>
      </c>
      <c r="H2427" s="327"/>
      <c r="I2427" s="327">
        <v>2</v>
      </c>
      <c r="J2427" s="361"/>
      <c r="K2427" s="408"/>
      <c r="L2427" s="389">
        <v>2500</v>
      </c>
      <c r="M2427" s="371"/>
      <c r="N2427" s="355" t="str">
        <f t="shared" si="272"/>
        <v>PK</v>
      </c>
      <c r="O2427" s="345"/>
      <c r="P2427" s="392"/>
      <c r="Q2427" s="327"/>
      <c r="R2427" s="351"/>
      <c r="S2427" s="351"/>
      <c r="T2427" s="351"/>
      <c r="U2427" s="329" t="str">
        <f>IF($N2427=$N$4,IFERROR(INDEX(DanhMuc!$E$154:$E$165,MATCH(MID($B2427,4,2),DanhMuc!$B$154:$B$165,0)),""),"")</f>
        <v/>
      </c>
      <c r="V2427" s="408" t="s">
        <v>342</v>
      </c>
      <c r="W2427" s="345"/>
      <c r="X2427" s="329" t="str">
        <f t="shared" si="271"/>
        <v>2R</v>
      </c>
      <c r="Y2427" s="1128" t="s">
        <v>3380</v>
      </c>
      <c r="Z2427" s="1128" t="s">
        <v>3381</v>
      </c>
      <c r="AA2427" s="1128" t="s">
        <v>3384</v>
      </c>
      <c r="AB2427" s="20"/>
      <c r="AC2427" s="73"/>
    </row>
    <row r="2428" spans="1:29">
      <c r="A2428" s="327" t="str">
        <f>IF(AND($B2428&lt;&gt;"",$C2428&lt;&gt;""),MAX($A$1556:A2427)+1,"")</f>
        <v/>
      </c>
      <c r="B2428" s="361" t="s">
        <v>3181</v>
      </c>
      <c r="C2428" s="360"/>
      <c r="D2428" s="327">
        <f>IF($B2428="","",COUNTIF($B$6:$B2428,$B2428))</f>
        <v>7</v>
      </c>
      <c r="E2428" s="361" t="s">
        <v>187</v>
      </c>
      <c r="F2428" s="362" t="s">
        <v>188</v>
      </c>
      <c r="G2428" s="327" t="s">
        <v>155</v>
      </c>
      <c r="H2428" s="327"/>
      <c r="I2428" s="327">
        <v>4</v>
      </c>
      <c r="J2428" s="361"/>
      <c r="K2428" s="327"/>
      <c r="L2428" s="389">
        <v>5000</v>
      </c>
      <c r="M2428" s="371"/>
      <c r="N2428" s="355" t="str">
        <f t="shared" si="272"/>
        <v>PK</v>
      </c>
      <c r="O2428" s="345"/>
      <c r="P2428" s="392"/>
      <c r="Q2428" s="327"/>
      <c r="R2428" s="351"/>
      <c r="S2428" s="351"/>
      <c r="T2428" s="351"/>
      <c r="U2428" s="329" t="str">
        <f>IF($N2428=$N$4,IFERROR(INDEX(DanhMuc!$E$154:$E$165,MATCH(MID($B2428,4,2),DanhMuc!$B$154:$B$165,0)),""),"")</f>
        <v/>
      </c>
      <c r="V2428" s="361"/>
      <c r="W2428" s="345"/>
      <c r="X2428" s="329" t="str">
        <f t="shared" si="271"/>
        <v>2R</v>
      </c>
      <c r="Y2428" s="1128" t="s">
        <v>3380</v>
      </c>
      <c r="Z2428" s="1128" t="s">
        <v>3381</v>
      </c>
      <c r="AA2428" s="1128" t="s">
        <v>3384</v>
      </c>
      <c r="AB2428" s="20"/>
      <c r="AC2428" s="73"/>
    </row>
    <row r="2429" spans="1:29">
      <c r="A2429" s="327" t="str">
        <f>IF(AND($B2429&lt;&gt;"",$C2429&lt;&gt;""),MAX($A$1556:A2428)+1,"")</f>
        <v/>
      </c>
      <c r="B2429" s="361" t="s">
        <v>3181</v>
      </c>
      <c r="C2429" s="360"/>
      <c r="D2429" s="327">
        <f>IF($B2429="","",COUNTIF($B$6:$B2429,$B2429))</f>
        <v>8</v>
      </c>
      <c r="E2429" s="361" t="s">
        <v>172</v>
      </c>
      <c r="F2429" s="362" t="s">
        <v>173</v>
      </c>
      <c r="G2429" s="327" t="s">
        <v>155</v>
      </c>
      <c r="H2429" s="327"/>
      <c r="I2429" s="327">
        <v>1</v>
      </c>
      <c r="J2429" s="361"/>
      <c r="K2429" s="327"/>
      <c r="L2429" s="389">
        <v>6000</v>
      </c>
      <c r="M2429" s="371"/>
      <c r="N2429" s="355" t="str">
        <f t="shared" si="272"/>
        <v>PK</v>
      </c>
      <c r="O2429" s="345"/>
      <c r="P2429" s="392"/>
      <c r="Q2429" s="327"/>
      <c r="R2429" s="351"/>
      <c r="S2429" s="351"/>
      <c r="T2429" s="351"/>
      <c r="U2429" s="329" t="str">
        <f>IF($N2429=$N$4,IFERROR(INDEX(DanhMuc!$E$154:$E$165,MATCH(MID($B2429,4,2),DanhMuc!$B$154:$B$165,0)),""),"")</f>
        <v/>
      </c>
      <c r="V2429" s="361"/>
      <c r="W2429" s="345"/>
      <c r="X2429" s="329" t="str">
        <f t="shared" si="271"/>
        <v>2R</v>
      </c>
      <c r="Y2429" s="1128" t="s">
        <v>3380</v>
      </c>
      <c r="Z2429" s="1128" t="s">
        <v>3381</v>
      </c>
      <c r="AA2429" s="1128" t="s">
        <v>3384</v>
      </c>
      <c r="AB2429" s="20"/>
      <c r="AC2429" s="73"/>
    </row>
    <row r="2430" spans="1:29" ht="39">
      <c r="A2430" s="327">
        <f>IF(AND($B2430&lt;&gt;"",$C2430&lt;&gt;""),MAX($A$1556:A2369)+1,"")</f>
        <v>132</v>
      </c>
      <c r="B2430" s="359" t="s">
        <v>2224</v>
      </c>
      <c r="C2430" s="360" t="s">
        <v>1885</v>
      </c>
      <c r="D2430" s="327">
        <f>IF($B2430="","",COUNTIF($B$6:$B2430,$B2430))</f>
        <v>1</v>
      </c>
      <c r="E2430" s="361" t="s">
        <v>2123</v>
      </c>
      <c r="F2430" s="362" t="s">
        <v>2124</v>
      </c>
      <c r="G2430" s="327" t="s">
        <v>297</v>
      </c>
      <c r="H2430" s="327"/>
      <c r="I2430" s="327">
        <v>1</v>
      </c>
      <c r="J2430" s="345"/>
      <c r="K2430" s="327"/>
      <c r="L2430" s="389">
        <f>120000-L2431</f>
        <v>115000</v>
      </c>
      <c r="M2430" s="371"/>
      <c r="N2430" s="355" t="str">
        <f t="shared" si="272"/>
        <v>PK</v>
      </c>
      <c r="O2430" s="345"/>
      <c r="P2430" s="392"/>
      <c r="Q2430" s="327"/>
      <c r="R2430" s="351"/>
      <c r="S2430" s="351"/>
      <c r="T2430" s="351"/>
      <c r="U2430" s="329" t="str">
        <f>IF($N2430=$N$4,IFERROR(INDEX(DanhMuc!$E$154:$E$165,MATCH(MID($B2430,4,2),DanhMuc!$B$154:$B$165,0)),""),"")</f>
        <v/>
      </c>
      <c r="V2430" s="361"/>
      <c r="W2430" s="345"/>
      <c r="X2430" s="329" t="str">
        <f t="shared" si="271"/>
        <v>KL</v>
      </c>
      <c r="Y2430" s="1128" t="s">
        <v>3380</v>
      </c>
      <c r="Z2430" s="1128" t="s">
        <v>3381</v>
      </c>
      <c r="AA2430" s="1128" t="s">
        <v>3384</v>
      </c>
      <c r="AB2430" s="20"/>
      <c r="AC2430" s="73"/>
    </row>
    <row r="2431" spans="1:29">
      <c r="A2431" s="327" t="str">
        <f>IF(AND($B2431&lt;&gt;"",$C2431&lt;&gt;""),MAX($A$1556:A2430)+1,"")</f>
        <v/>
      </c>
      <c r="B2431" s="361" t="s">
        <v>2224</v>
      </c>
      <c r="C2431" s="360"/>
      <c r="D2431" s="327">
        <f>IF($B2431="","",COUNTIF($B$6:$B2431,$B2431))</f>
        <v>2</v>
      </c>
      <c r="E2431" s="361" t="s">
        <v>2125</v>
      </c>
      <c r="F2431" s="362" t="s">
        <v>2126</v>
      </c>
      <c r="G2431" s="327" t="s">
        <v>155</v>
      </c>
      <c r="H2431" s="327"/>
      <c r="I2431" s="327">
        <v>1</v>
      </c>
      <c r="J2431" s="345"/>
      <c r="K2431" s="327"/>
      <c r="L2431" s="389">
        <v>5000</v>
      </c>
      <c r="M2431" s="371"/>
      <c r="N2431" s="355" t="str">
        <f t="shared" si="272"/>
        <v>PK</v>
      </c>
      <c r="O2431" s="345"/>
      <c r="P2431" s="392"/>
      <c r="Q2431" s="327"/>
      <c r="R2431" s="351"/>
      <c r="S2431" s="351"/>
      <c r="T2431" s="351"/>
      <c r="U2431" s="329" t="str">
        <f>IF($N2431=$N$4,IFERROR(INDEX(DanhMuc!$E$154:$E$165,MATCH(MID($B2431,4,2),DanhMuc!$B$154:$B$165,0)),""),"")</f>
        <v/>
      </c>
      <c r="V2431" s="361"/>
      <c r="W2431" s="345"/>
      <c r="X2431" s="329" t="str">
        <f t="shared" si="271"/>
        <v>KL</v>
      </c>
      <c r="Y2431" s="1128" t="s">
        <v>3380</v>
      </c>
      <c r="Z2431" s="1128" t="s">
        <v>3381</v>
      </c>
      <c r="AA2431" s="1128" t="s">
        <v>3384</v>
      </c>
      <c r="AB2431" s="20"/>
      <c r="AC2431" s="73"/>
    </row>
    <row r="2432" spans="1:29">
      <c r="A2432" s="327" t="str">
        <f>IF(AND($B2432&lt;&gt;"",$C2432&lt;&gt;""),MAX($A$1556:A2431)+1,"")</f>
        <v/>
      </c>
      <c r="B2432" s="361" t="s">
        <v>2224</v>
      </c>
      <c r="C2432" s="360"/>
      <c r="D2432" s="327">
        <f>IF($B2432="","",COUNTIF($B$6:$B2432,$B2432))</f>
        <v>3</v>
      </c>
      <c r="E2432" s="361" t="s">
        <v>2232</v>
      </c>
      <c r="F2432" s="362" t="s">
        <v>2127</v>
      </c>
      <c r="G2432" s="327" t="s">
        <v>155</v>
      </c>
      <c r="H2432" s="327"/>
      <c r="I2432" s="327">
        <v>2</v>
      </c>
      <c r="J2432" s="359"/>
      <c r="K2432" s="327"/>
      <c r="L2432" s="389">
        <v>35500</v>
      </c>
      <c r="M2432" s="371"/>
      <c r="N2432" s="355" t="s">
        <v>153</v>
      </c>
      <c r="O2432" s="345"/>
      <c r="P2432" s="392"/>
      <c r="Q2432" s="327"/>
      <c r="R2432" s="351"/>
      <c r="S2432" s="351"/>
      <c r="T2432" s="351"/>
      <c r="U2432" s="329" t="str">
        <f>IF($N2432=$N$4,IFERROR(INDEX(DanhMuc!$E$154:$E$165,MATCH(MID($B2432,4,2),DanhMuc!$B$154:$B$165,0)),""),"")</f>
        <v/>
      </c>
      <c r="V2432" s="361"/>
      <c r="W2432" s="345"/>
      <c r="X2432" s="329" t="str">
        <f t="shared" si="271"/>
        <v>KL</v>
      </c>
      <c r="Y2432" s="1128" t="s">
        <v>3380</v>
      </c>
      <c r="Z2432" s="1128" t="s">
        <v>3381</v>
      </c>
      <c r="AA2432" s="1128" t="s">
        <v>3384</v>
      </c>
      <c r="AB2432" s="20"/>
      <c r="AC2432" s="73"/>
    </row>
    <row r="2433" spans="1:29">
      <c r="A2433" s="327" t="str">
        <f>IF(AND($B2433&lt;&gt;"",$C2433&lt;&gt;""),MAX($A$1556:A2432)+1,"")</f>
        <v/>
      </c>
      <c r="B2433" s="361" t="s">
        <v>2224</v>
      </c>
      <c r="C2433" s="360"/>
      <c r="D2433" s="327">
        <f>IF($B2433="","",COUNTIF($B$6:$B2433,$B2433))</f>
        <v>4</v>
      </c>
      <c r="E2433" s="361" t="s">
        <v>2125</v>
      </c>
      <c r="F2433" s="362" t="s">
        <v>2126</v>
      </c>
      <c r="G2433" s="327" t="s">
        <v>155</v>
      </c>
      <c r="H2433" s="327"/>
      <c r="I2433" s="327">
        <v>2</v>
      </c>
      <c r="J2433" s="359"/>
      <c r="K2433" s="327"/>
      <c r="L2433" s="389">
        <v>5000</v>
      </c>
      <c r="M2433" s="371"/>
      <c r="N2433" s="355" t="s">
        <v>153</v>
      </c>
      <c r="O2433" s="345"/>
      <c r="P2433" s="392"/>
      <c r="Q2433" s="327"/>
      <c r="R2433" s="351"/>
      <c r="S2433" s="351"/>
      <c r="T2433" s="351"/>
      <c r="U2433" s="329" t="str">
        <f>IF($N2433=$N$4,IFERROR(INDEX(DanhMuc!$E$154:$E$165,MATCH(MID($B2433,4,2),DanhMuc!$B$154:$B$165,0)),""),"")</f>
        <v/>
      </c>
      <c r="V2433" s="361"/>
      <c r="W2433" s="345"/>
      <c r="X2433" s="329" t="str">
        <f t="shared" si="271"/>
        <v>KL</v>
      </c>
      <c r="Y2433" s="1128" t="s">
        <v>3380</v>
      </c>
      <c r="Z2433" s="1128" t="s">
        <v>3381</v>
      </c>
      <c r="AA2433" s="1128" t="s">
        <v>3384</v>
      </c>
      <c r="AB2433" s="20"/>
      <c r="AC2433" s="73"/>
    </row>
    <row r="2434" spans="1:29">
      <c r="A2434" s="327" t="str">
        <f>IF(AND($B2434&lt;&gt;"",$C2434&lt;&gt;""),MAX($A$1556:A2431)+1,"")</f>
        <v/>
      </c>
      <c r="B2434" s="361" t="s">
        <v>2224</v>
      </c>
      <c r="C2434" s="360"/>
      <c r="D2434" s="327">
        <f>IF($B2434="","",COUNTIF($B$6:$B2434,$B2434))</f>
        <v>5</v>
      </c>
      <c r="E2434" s="361" t="s">
        <v>2225</v>
      </c>
      <c r="F2434" s="362" t="s">
        <v>2231</v>
      </c>
      <c r="G2434" s="327" t="s">
        <v>155</v>
      </c>
      <c r="H2434" s="327" t="s">
        <v>536</v>
      </c>
      <c r="I2434" s="327">
        <v>8</v>
      </c>
      <c r="J2434" s="361"/>
      <c r="K2434" s="327"/>
      <c r="L2434" s="389">
        <v>20000</v>
      </c>
      <c r="M2434" s="371"/>
      <c r="N2434" s="355" t="str">
        <f t="shared" si="272"/>
        <v>PK</v>
      </c>
      <c r="O2434" s="345"/>
      <c r="P2434" s="392"/>
      <c r="Q2434" s="327"/>
      <c r="R2434" s="351"/>
      <c r="S2434" s="351"/>
      <c r="T2434" s="351"/>
      <c r="U2434" s="329" t="str">
        <f>IF($N2434=$N$4,IFERROR(INDEX(DanhMuc!$E$154:$E$165,MATCH(MID($B2434,4,2),DanhMuc!$B$154:$B$165,0)),""),"")</f>
        <v/>
      </c>
      <c r="V2434" s="361"/>
      <c r="W2434" s="345"/>
      <c r="X2434" s="329" t="str">
        <f t="shared" si="271"/>
        <v>KL</v>
      </c>
      <c r="Y2434" s="1128" t="s">
        <v>3380</v>
      </c>
      <c r="Z2434" s="1128" t="s">
        <v>3381</v>
      </c>
      <c r="AA2434" s="1128" t="s">
        <v>3384</v>
      </c>
      <c r="AB2434" s="20"/>
      <c r="AC2434" s="73"/>
    </row>
    <row r="2435" spans="1:29">
      <c r="A2435" s="327" t="str">
        <f>IF(AND($B2435&lt;&gt;"",$C2435&lt;&gt;""),MAX($A$1556:A2434)+1,"")</f>
        <v/>
      </c>
      <c r="B2435" s="361" t="s">
        <v>2224</v>
      </c>
      <c r="C2435" s="360"/>
      <c r="D2435" s="327">
        <f>IF($B2435="","",COUNTIF($B$6:$B2435,$B2435))</f>
        <v>6</v>
      </c>
      <c r="E2435" s="361" t="s">
        <v>163</v>
      </c>
      <c r="F2435" s="362" t="s">
        <v>164</v>
      </c>
      <c r="G2435" s="327" t="s">
        <v>155</v>
      </c>
      <c r="H2435" s="327"/>
      <c r="I2435" s="327">
        <v>4</v>
      </c>
      <c r="J2435" s="361"/>
      <c r="K2435" s="408"/>
      <c r="L2435" s="389">
        <v>2500</v>
      </c>
      <c r="M2435" s="371"/>
      <c r="N2435" s="355" t="str">
        <f t="shared" si="272"/>
        <v>PK</v>
      </c>
      <c r="O2435" s="345"/>
      <c r="P2435" s="392"/>
      <c r="Q2435" s="327"/>
      <c r="R2435" s="351"/>
      <c r="S2435" s="351"/>
      <c r="T2435" s="351"/>
      <c r="U2435" s="329" t="str">
        <f>IF($N2435=$N$4,IFERROR(INDEX(DanhMuc!$E$154:$E$165,MATCH(MID($B2435,4,2),DanhMuc!$B$154:$B$165,0)),""),"")</f>
        <v/>
      </c>
      <c r="V2435" s="408" t="s">
        <v>342</v>
      </c>
      <c r="W2435" s="345"/>
      <c r="X2435" s="329" t="str">
        <f t="shared" si="271"/>
        <v>KL</v>
      </c>
      <c r="Y2435" s="1128" t="s">
        <v>3380</v>
      </c>
      <c r="Z2435" s="1128" t="s">
        <v>3381</v>
      </c>
      <c r="AA2435" s="1128" t="s">
        <v>3384</v>
      </c>
      <c r="AB2435" s="20"/>
      <c r="AC2435" s="73"/>
    </row>
    <row r="2436" spans="1:29">
      <c r="A2436" s="327" t="str">
        <f>IF(AND($B2436&lt;&gt;"",$C2436&lt;&gt;""),MAX($A$1556:A2435)+1,"")</f>
        <v/>
      </c>
      <c r="B2436" s="361" t="s">
        <v>2224</v>
      </c>
      <c r="C2436" s="360"/>
      <c r="D2436" s="327">
        <f>IF($B2436="","",COUNTIF($B$6:$B2436,$B2436))</f>
        <v>7</v>
      </c>
      <c r="E2436" s="361" t="s">
        <v>187</v>
      </c>
      <c r="F2436" s="362" t="s">
        <v>188</v>
      </c>
      <c r="G2436" s="327" t="s">
        <v>155</v>
      </c>
      <c r="H2436" s="327"/>
      <c r="I2436" s="327">
        <v>8</v>
      </c>
      <c r="J2436" s="361"/>
      <c r="K2436" s="327"/>
      <c r="L2436" s="389">
        <v>5000</v>
      </c>
      <c r="M2436" s="371"/>
      <c r="N2436" s="355" t="str">
        <f t="shared" si="272"/>
        <v>PK</v>
      </c>
      <c r="O2436" s="345"/>
      <c r="P2436" s="392"/>
      <c r="Q2436" s="327"/>
      <c r="R2436" s="351"/>
      <c r="S2436" s="351"/>
      <c r="T2436" s="351"/>
      <c r="U2436" s="329" t="str">
        <f>IF($N2436=$N$4,IFERROR(INDEX(DanhMuc!$E$154:$E$165,MATCH(MID($B2436,4,2),DanhMuc!$B$154:$B$165,0)),""),"")</f>
        <v/>
      </c>
      <c r="V2436" s="361"/>
      <c r="W2436" s="345"/>
      <c r="X2436" s="329" t="str">
        <f t="shared" si="271"/>
        <v>KL</v>
      </c>
      <c r="Y2436" s="1128" t="s">
        <v>3380</v>
      </c>
      <c r="Z2436" s="1128" t="s">
        <v>3381</v>
      </c>
      <c r="AA2436" s="1128" t="s">
        <v>3384</v>
      </c>
      <c r="AB2436" s="20"/>
      <c r="AC2436" s="73"/>
    </row>
    <row r="2437" spans="1:29">
      <c r="A2437" s="327" t="str">
        <f>IF(AND($B2437&lt;&gt;"",$C2437&lt;&gt;""),MAX($A$1556:A2436)+1,"")</f>
        <v/>
      </c>
      <c r="B2437" s="361" t="s">
        <v>2224</v>
      </c>
      <c r="C2437" s="360"/>
      <c r="D2437" s="327">
        <f>IF($B2437="","",COUNTIF($B$6:$B2437,$B2437))</f>
        <v>8</v>
      </c>
      <c r="E2437" s="361" t="s">
        <v>172</v>
      </c>
      <c r="F2437" s="362" t="s">
        <v>173</v>
      </c>
      <c r="G2437" s="327" t="s">
        <v>155</v>
      </c>
      <c r="H2437" s="327"/>
      <c r="I2437" s="327">
        <v>2</v>
      </c>
      <c r="J2437" s="361"/>
      <c r="K2437" s="327"/>
      <c r="L2437" s="389">
        <v>6000</v>
      </c>
      <c r="M2437" s="371"/>
      <c r="N2437" s="355" t="str">
        <f t="shared" si="272"/>
        <v>PK</v>
      </c>
      <c r="O2437" s="345"/>
      <c r="P2437" s="392"/>
      <c r="Q2437" s="327"/>
      <c r="R2437" s="351"/>
      <c r="S2437" s="351"/>
      <c r="T2437" s="351"/>
      <c r="U2437" s="329" t="str">
        <f>IF($N2437=$N$4,IFERROR(INDEX(DanhMuc!$E$154:$E$165,MATCH(MID($B2437,4,2),DanhMuc!$B$154:$B$165,0)),""),"")</f>
        <v/>
      </c>
      <c r="V2437" s="361"/>
      <c r="W2437" s="345"/>
      <c r="X2437" s="329" t="str">
        <f t="shared" si="271"/>
        <v>KL</v>
      </c>
      <c r="Y2437" s="1128" t="s">
        <v>3380</v>
      </c>
      <c r="Z2437" s="1128" t="s">
        <v>3381</v>
      </c>
      <c r="AA2437" s="1128" t="s">
        <v>3384</v>
      </c>
      <c r="AB2437" s="20"/>
      <c r="AC2437" s="73"/>
    </row>
    <row r="2438" spans="1:29" ht="39">
      <c r="A2438" s="327">
        <f>IF(AND($B2438&lt;&gt;"",$C2438&lt;&gt;""),MAX($A$1556:A2278)+1,"")</f>
        <v>130</v>
      </c>
      <c r="B2438" s="359" t="s">
        <v>2005</v>
      </c>
      <c r="C2438" s="360" t="s">
        <v>1886</v>
      </c>
      <c r="D2438" s="327">
        <f>IF($B2438="","",COUNTIF($B$6:$B2438,$B2438))</f>
        <v>1</v>
      </c>
      <c r="E2438" s="361" t="s">
        <v>2144</v>
      </c>
      <c r="F2438" s="362" t="s">
        <v>2155</v>
      </c>
      <c r="G2438" s="327" t="s">
        <v>155</v>
      </c>
      <c r="H2438" s="327"/>
      <c r="I2438" s="327">
        <v>1</v>
      </c>
      <c r="J2438" s="345"/>
      <c r="K2438" s="327"/>
      <c r="L2438" s="389">
        <v>250000</v>
      </c>
      <c r="M2438" s="371"/>
      <c r="N2438" s="355" t="str">
        <f t="shared" ref="N2438:N2686" si="273">+$N$1555</f>
        <v>PK</v>
      </c>
      <c r="O2438" s="347"/>
      <c r="P2438" s="392"/>
      <c r="Q2438" s="327"/>
      <c r="R2438" s="351"/>
      <c r="S2438" s="351"/>
      <c r="T2438" s="351"/>
      <c r="U2438" s="329" t="str">
        <f>IF($N2438=$N$4,IFERROR(INDEX(DanhMuc!$E$154:$E$165,MATCH(MID($B2438,4,2),DanhMuc!$B$154:$B$165,0)),""),"")</f>
        <v/>
      </c>
      <c r="V2438" s="408" t="s">
        <v>343</v>
      </c>
      <c r="W2438" s="345"/>
      <c r="X2438" s="329" t="str">
        <f t="shared" si="271"/>
        <v>KL</v>
      </c>
      <c r="Y2438" s="1128" t="s">
        <v>3380</v>
      </c>
      <c r="Z2438" s="1128" t="s">
        <v>3381</v>
      </c>
      <c r="AA2438" s="1128" t="s">
        <v>3384</v>
      </c>
      <c r="AB2438" s="20"/>
      <c r="AC2438" s="73"/>
    </row>
    <row r="2439" spans="1:29">
      <c r="A2439" s="327" t="str">
        <f>IF(AND($B2439&lt;&gt;"",$C2439&lt;&gt;""),MAX($A$1556:A2279)+1,"")</f>
        <v/>
      </c>
      <c r="B2439" s="361" t="s">
        <v>2005</v>
      </c>
      <c r="C2439" s="360"/>
      <c r="D2439" s="327">
        <f>IF($B2439="","",COUNTIF($B$6:$B2439,$B2439))</f>
        <v>2</v>
      </c>
      <c r="E2439" s="361" t="s">
        <v>2145</v>
      </c>
      <c r="F2439" s="362" t="s">
        <v>2156</v>
      </c>
      <c r="G2439" s="327" t="s">
        <v>155</v>
      </c>
      <c r="H2439" s="327"/>
      <c r="I2439" s="327">
        <v>1</v>
      </c>
      <c r="J2439" s="345"/>
      <c r="K2439" s="327"/>
      <c r="L2439" s="389">
        <v>215000</v>
      </c>
      <c r="M2439" s="371"/>
      <c r="N2439" s="355" t="str">
        <f t="shared" si="273"/>
        <v>PK</v>
      </c>
      <c r="O2439" s="347"/>
      <c r="P2439" s="392"/>
      <c r="Q2439" s="327"/>
      <c r="R2439" s="351"/>
      <c r="S2439" s="351"/>
      <c r="T2439" s="351"/>
      <c r="U2439" s="329" t="str">
        <f>IF($N2439=$N$4,IFERROR(INDEX(DanhMuc!$E$154:$E$165,MATCH(MID($B2439,4,2),DanhMuc!$B$154:$B$165,0)),""),"")</f>
        <v/>
      </c>
      <c r="V2439" s="408" t="s">
        <v>343</v>
      </c>
      <c r="W2439" s="345"/>
      <c r="X2439" s="329" t="str">
        <f t="shared" si="271"/>
        <v>KL</v>
      </c>
      <c r="Y2439" s="1128" t="s">
        <v>3380</v>
      </c>
      <c r="Z2439" s="1128" t="s">
        <v>3381</v>
      </c>
      <c r="AA2439" s="1128" t="s">
        <v>3384</v>
      </c>
      <c r="AB2439" s="20"/>
      <c r="AC2439" s="73"/>
    </row>
    <row r="2440" spans="1:29">
      <c r="A2440" s="327" t="str">
        <f>IF(AND($B2440&lt;&gt;"",$C2440&lt;&gt;""),MAX($A$1556:A2438)+1,"")</f>
        <v/>
      </c>
      <c r="B2440" s="361" t="s">
        <v>2005</v>
      </c>
      <c r="C2440" s="360"/>
      <c r="D2440" s="327">
        <f>IF($B2440="","",COUNTIF($B$6:$B2440,$B2440))</f>
        <v>3</v>
      </c>
      <c r="E2440" s="361" t="s">
        <v>2146</v>
      </c>
      <c r="F2440" s="362" t="s">
        <v>2157</v>
      </c>
      <c r="G2440" s="327" t="s">
        <v>155</v>
      </c>
      <c r="H2440" s="327"/>
      <c r="I2440" s="327">
        <v>6</v>
      </c>
      <c r="J2440" s="345"/>
      <c r="K2440" s="327"/>
      <c r="L2440" s="389">
        <v>75000</v>
      </c>
      <c r="M2440" s="371"/>
      <c r="N2440" s="355" t="str">
        <f t="shared" si="273"/>
        <v>PK</v>
      </c>
      <c r="O2440" s="345"/>
      <c r="P2440" s="392"/>
      <c r="Q2440" s="327"/>
      <c r="R2440" s="351"/>
      <c r="S2440" s="351"/>
      <c r="T2440" s="351"/>
      <c r="U2440" s="329" t="str">
        <f>IF($N2440=$N$4,IFERROR(INDEX(DanhMuc!$E$154:$E$165,MATCH(MID($B2440,4,2),DanhMuc!$B$154:$B$165,0)),""),"")</f>
        <v/>
      </c>
      <c r="V2440" s="408" t="s">
        <v>343</v>
      </c>
      <c r="W2440" s="345"/>
      <c r="X2440" s="329" t="str">
        <f t="shared" si="271"/>
        <v>KL</v>
      </c>
      <c r="Y2440" s="1128" t="s">
        <v>3380</v>
      </c>
      <c r="Z2440" s="1128" t="s">
        <v>3381</v>
      </c>
      <c r="AA2440" s="1128" t="s">
        <v>3384</v>
      </c>
      <c r="AB2440" s="20"/>
      <c r="AC2440" s="73"/>
    </row>
    <row r="2441" spans="1:29">
      <c r="A2441" s="327" t="str">
        <f>IF(AND($B2441&lt;&gt;"",$C2441&lt;&gt;""),MAX($A$1556:A2439)+1,"")</f>
        <v/>
      </c>
      <c r="B2441" s="361" t="s">
        <v>2005</v>
      </c>
      <c r="C2441" s="360"/>
      <c r="D2441" s="327">
        <f>IF($B2441="","",COUNTIF($B$6:$B2441,$B2441))</f>
        <v>4</v>
      </c>
      <c r="E2441" s="361" t="s">
        <v>2146</v>
      </c>
      <c r="F2441" s="362" t="s">
        <v>2157</v>
      </c>
      <c r="G2441" s="327" t="s">
        <v>155</v>
      </c>
      <c r="H2441" s="327"/>
      <c r="I2441" s="327">
        <v>1</v>
      </c>
      <c r="J2441" s="345"/>
      <c r="K2441" s="327"/>
      <c r="L2441" s="389">
        <v>75000</v>
      </c>
      <c r="M2441" s="371"/>
      <c r="N2441" s="355" t="str">
        <f t="shared" si="273"/>
        <v>PK</v>
      </c>
      <c r="O2441" s="345" t="s">
        <v>639</v>
      </c>
      <c r="P2441" s="392"/>
      <c r="Q2441" s="327"/>
      <c r="R2441" s="351"/>
      <c r="S2441" s="351"/>
      <c r="T2441" s="351"/>
      <c r="U2441" s="329" t="str">
        <f>IF($N2441=$N$4,IFERROR(INDEX(DanhMuc!$E$154:$E$165,MATCH(MID($B2441,4,2),DanhMuc!$B$154:$B$165,0)),""),"")</f>
        <v/>
      </c>
      <c r="V2441" s="408" t="s">
        <v>343</v>
      </c>
      <c r="W2441" s="345"/>
      <c r="X2441" s="329" t="str">
        <f t="shared" si="271"/>
        <v>KL</v>
      </c>
      <c r="Y2441" s="1128" t="s">
        <v>3380</v>
      </c>
      <c r="Z2441" s="1128" t="s">
        <v>3381</v>
      </c>
      <c r="AA2441" s="1128" t="s">
        <v>3384</v>
      </c>
      <c r="AB2441" s="20"/>
      <c r="AC2441" s="73"/>
    </row>
    <row r="2442" spans="1:29">
      <c r="A2442" s="327" t="str">
        <f>IF(AND($B2442&lt;&gt;"",$C2442&lt;&gt;""),MAX($A$1556:A2439)+1,"")</f>
        <v/>
      </c>
      <c r="B2442" s="361" t="s">
        <v>2005</v>
      </c>
      <c r="C2442" s="360"/>
      <c r="D2442" s="327">
        <f>IF($B2442="","",COUNTIF($B$6:$B2442,$B2442))</f>
        <v>5</v>
      </c>
      <c r="E2442" s="361" t="s">
        <v>2154</v>
      </c>
      <c r="F2442" s="362" t="s">
        <v>1914</v>
      </c>
      <c r="G2442" s="327" t="s">
        <v>155</v>
      </c>
      <c r="H2442" s="327"/>
      <c r="I2442" s="327">
        <v>1</v>
      </c>
      <c r="J2442" s="345"/>
      <c r="K2442" s="327"/>
      <c r="L2442" s="389">
        <v>100000</v>
      </c>
      <c r="M2442" s="371"/>
      <c r="N2442" s="355" t="str">
        <f t="shared" si="273"/>
        <v>PK</v>
      </c>
      <c r="O2442" s="345" t="s">
        <v>640</v>
      </c>
      <c r="P2442" s="392"/>
      <c r="Q2442" s="327"/>
      <c r="R2442" s="351"/>
      <c r="S2442" s="351"/>
      <c r="T2442" s="351"/>
      <c r="U2442" s="329" t="str">
        <f>IF($N2442=$N$4,IFERROR(INDEX(DanhMuc!$E$154:$E$165,MATCH(MID($B2442,4,2),DanhMuc!$B$154:$B$165,0)),""),"")</f>
        <v/>
      </c>
      <c r="V2442" s="408" t="s">
        <v>343</v>
      </c>
      <c r="W2442" s="345"/>
      <c r="X2442" s="329" t="str">
        <f t="shared" si="271"/>
        <v>KL</v>
      </c>
      <c r="Y2442" s="1128" t="s">
        <v>3380</v>
      </c>
      <c r="Z2442" s="1128" t="s">
        <v>3381</v>
      </c>
      <c r="AA2442" s="1128" t="s">
        <v>3384</v>
      </c>
      <c r="AB2442" s="20"/>
      <c r="AC2442" s="73"/>
    </row>
    <row r="2443" spans="1:29">
      <c r="A2443" s="327" t="str">
        <f>IF(AND($B2443&lt;&gt;"",$C2443&lt;&gt;""),MAX($A$1556:A2440)+1,"")</f>
        <v/>
      </c>
      <c r="B2443" s="361" t="s">
        <v>2005</v>
      </c>
      <c r="C2443" s="360"/>
      <c r="D2443" s="327">
        <f>IF($B2443="","",COUNTIF($B$6:$B2443,$B2443))</f>
        <v>6</v>
      </c>
      <c r="E2443" s="361" t="s">
        <v>2147</v>
      </c>
      <c r="F2443" s="362" t="s">
        <v>1915</v>
      </c>
      <c r="G2443" s="327" t="s">
        <v>155</v>
      </c>
      <c r="H2443" s="327" t="s">
        <v>536</v>
      </c>
      <c r="I2443" s="327">
        <v>1</v>
      </c>
      <c r="J2443" s="345"/>
      <c r="K2443" s="327"/>
      <c r="L2443" s="389">
        <v>65000</v>
      </c>
      <c r="M2443" s="371"/>
      <c r="N2443" s="355" t="str">
        <f t="shared" si="273"/>
        <v>PK</v>
      </c>
      <c r="O2443" s="347"/>
      <c r="P2443" s="392"/>
      <c r="Q2443" s="327"/>
      <c r="R2443" s="351"/>
      <c r="S2443" s="351"/>
      <c r="T2443" s="351"/>
      <c r="U2443" s="329" t="str">
        <f>IF($N2443=$N$4,IFERROR(INDEX(DanhMuc!$E$154:$E$165,MATCH(MID($B2443,4,2),DanhMuc!$B$154:$B$165,0)),""),"")</f>
        <v/>
      </c>
      <c r="V2443" s="408" t="s">
        <v>343</v>
      </c>
      <c r="W2443" s="345"/>
      <c r="X2443" s="329" t="str">
        <f t="shared" si="271"/>
        <v>KL</v>
      </c>
      <c r="Y2443" s="1128" t="s">
        <v>3380</v>
      </c>
      <c r="Z2443" s="1128" t="s">
        <v>3381</v>
      </c>
      <c r="AA2443" s="1128" t="s">
        <v>3384</v>
      </c>
      <c r="AB2443" s="20"/>
      <c r="AC2443" s="73"/>
    </row>
    <row r="2444" spans="1:29">
      <c r="A2444" s="327" t="str">
        <f>IF(AND($B2444&lt;&gt;"",$C2444&lt;&gt;""),MAX($A$1556:A2442)+1,"")</f>
        <v/>
      </c>
      <c r="B2444" s="361" t="s">
        <v>2005</v>
      </c>
      <c r="C2444" s="360"/>
      <c r="D2444" s="327">
        <f>IF($B2444="","",COUNTIF($B$6:$B2444,$B2444))</f>
        <v>7</v>
      </c>
      <c r="E2444" s="361" t="s">
        <v>2158</v>
      </c>
      <c r="F2444" s="362" t="s">
        <v>1916</v>
      </c>
      <c r="G2444" s="327" t="s">
        <v>155</v>
      </c>
      <c r="H2444" s="327"/>
      <c r="I2444" s="327">
        <v>1</v>
      </c>
      <c r="J2444" s="345"/>
      <c r="K2444" s="327"/>
      <c r="L2444" s="389">
        <v>65000</v>
      </c>
      <c r="M2444" s="371"/>
      <c r="N2444" s="355" t="str">
        <f t="shared" si="273"/>
        <v>PK</v>
      </c>
      <c r="O2444" s="347"/>
      <c r="P2444" s="392"/>
      <c r="Q2444" s="327"/>
      <c r="R2444" s="351"/>
      <c r="S2444" s="351"/>
      <c r="T2444" s="351"/>
      <c r="U2444" s="329" t="str">
        <f>IF($N2444=$N$4,IFERROR(INDEX(DanhMuc!$E$154:$E$165,MATCH(MID($B2444,4,2),DanhMuc!$B$154:$B$165,0)),""),"")</f>
        <v/>
      </c>
      <c r="V2444" s="408" t="s">
        <v>343</v>
      </c>
      <c r="W2444" s="345"/>
      <c r="X2444" s="329" t="str">
        <f t="shared" si="271"/>
        <v>KL</v>
      </c>
      <c r="Y2444" s="1128" t="s">
        <v>3380</v>
      </c>
      <c r="Z2444" s="1128" t="s">
        <v>3381</v>
      </c>
      <c r="AA2444" s="1128" t="s">
        <v>3384</v>
      </c>
      <c r="AB2444" s="20"/>
      <c r="AC2444" s="73"/>
    </row>
    <row r="2445" spans="1:29">
      <c r="A2445" s="327" t="str">
        <f>IF(AND($B2445&lt;&gt;"",$C2445&lt;&gt;""),MAX($A$1556:A2443)+1,"")</f>
        <v/>
      </c>
      <c r="B2445" s="361" t="s">
        <v>2005</v>
      </c>
      <c r="C2445" s="360"/>
      <c r="D2445" s="327">
        <f>IF($B2445="","",COUNTIF($B$6:$B2445,$B2445))</f>
        <v>8</v>
      </c>
      <c r="E2445" s="361" t="s">
        <v>2148</v>
      </c>
      <c r="F2445" s="362" t="s">
        <v>1917</v>
      </c>
      <c r="G2445" s="327" t="s">
        <v>156</v>
      </c>
      <c r="H2445" s="327" t="s">
        <v>536</v>
      </c>
      <c r="I2445" s="413" t="s">
        <v>1925</v>
      </c>
      <c r="J2445" s="345"/>
      <c r="K2445" s="327"/>
      <c r="L2445" s="389">
        <v>68000</v>
      </c>
      <c r="M2445" s="371"/>
      <c r="N2445" s="355" t="str">
        <f t="shared" si="273"/>
        <v>PK</v>
      </c>
      <c r="O2445" s="347"/>
      <c r="P2445" s="392"/>
      <c r="Q2445" s="327"/>
      <c r="R2445" s="351"/>
      <c r="S2445" s="351"/>
      <c r="T2445" s="351"/>
      <c r="U2445" s="329" t="str">
        <f>IF($N2445=$N$4,IFERROR(INDEX(DanhMuc!$E$154:$E$165,MATCH(MID($B2445,4,2),DanhMuc!$B$154:$B$165,0)),""),"")</f>
        <v/>
      </c>
      <c r="V2445" s="408" t="s">
        <v>343</v>
      </c>
      <c r="W2445" s="345"/>
      <c r="X2445" s="329" t="str">
        <f t="shared" si="271"/>
        <v>KL</v>
      </c>
      <c r="Y2445" s="1128" t="s">
        <v>3380</v>
      </c>
      <c r="Z2445" s="1128" t="s">
        <v>3381</v>
      </c>
      <c r="AA2445" s="1128" t="s">
        <v>3384</v>
      </c>
      <c r="AB2445" s="20"/>
      <c r="AC2445" s="73"/>
    </row>
    <row r="2446" spans="1:29">
      <c r="A2446" s="327" t="str">
        <f>IF(AND($B2446&lt;&gt;"",$C2446&lt;&gt;""),MAX($A$1556:A2444)+1,"")</f>
        <v/>
      </c>
      <c r="B2446" s="361" t="s">
        <v>2005</v>
      </c>
      <c r="C2446" s="360"/>
      <c r="D2446" s="327">
        <f>IF($B2446="","",COUNTIF($B$6:$B2446,$B2446))</f>
        <v>9</v>
      </c>
      <c r="E2446" s="361" t="s">
        <v>2149</v>
      </c>
      <c r="F2446" s="362" t="s">
        <v>1918</v>
      </c>
      <c r="G2446" s="327" t="s">
        <v>156</v>
      </c>
      <c r="H2446" s="327" t="s">
        <v>536</v>
      </c>
      <c r="I2446" s="413" t="s">
        <v>1926</v>
      </c>
      <c r="J2446" s="345"/>
      <c r="K2446" s="327"/>
      <c r="L2446" s="389">
        <v>75000</v>
      </c>
      <c r="M2446" s="371"/>
      <c r="N2446" s="355" t="str">
        <f t="shared" si="273"/>
        <v>PK</v>
      </c>
      <c r="O2446" s="347"/>
      <c r="P2446" s="392"/>
      <c r="Q2446" s="327"/>
      <c r="R2446" s="351"/>
      <c r="S2446" s="351"/>
      <c r="T2446" s="351"/>
      <c r="U2446" s="329" t="str">
        <f>IF($N2446=$N$4,IFERROR(INDEX(DanhMuc!$E$154:$E$165,MATCH(MID($B2446,4,2),DanhMuc!$B$154:$B$165,0)),""),"")</f>
        <v/>
      </c>
      <c r="V2446" s="408" t="s">
        <v>343</v>
      </c>
      <c r="W2446" s="345"/>
      <c r="X2446" s="329" t="str">
        <f t="shared" si="271"/>
        <v>KL</v>
      </c>
      <c r="Y2446" s="1128" t="s">
        <v>3380</v>
      </c>
      <c r="Z2446" s="1128" t="s">
        <v>3381</v>
      </c>
      <c r="AA2446" s="1128" t="s">
        <v>3384</v>
      </c>
      <c r="AB2446" s="20"/>
      <c r="AC2446" s="73"/>
    </row>
    <row r="2447" spans="1:29">
      <c r="A2447" s="327" t="str">
        <f>IF(AND($B2447&lt;&gt;"",$C2447&lt;&gt;""),MAX($A$1556:A2445)+1,"")</f>
        <v/>
      </c>
      <c r="B2447" s="361" t="s">
        <v>2005</v>
      </c>
      <c r="C2447" s="360"/>
      <c r="D2447" s="327">
        <f>IF($B2447="","",COUNTIF($B$6:$B2447,$B2447))</f>
        <v>10</v>
      </c>
      <c r="E2447" s="361" t="s">
        <v>2152</v>
      </c>
      <c r="F2447" s="362" t="s">
        <v>1919</v>
      </c>
      <c r="G2447" s="327" t="s">
        <v>156</v>
      </c>
      <c r="H2447" s="327"/>
      <c r="I2447" s="327">
        <v>1</v>
      </c>
      <c r="J2447" s="345"/>
      <c r="K2447" s="327"/>
      <c r="L2447" s="389">
        <v>50000</v>
      </c>
      <c r="M2447" s="371"/>
      <c r="N2447" s="355" t="str">
        <f t="shared" si="273"/>
        <v>PK</v>
      </c>
      <c r="O2447" s="347"/>
      <c r="P2447" s="392"/>
      <c r="Q2447" s="327"/>
      <c r="R2447" s="351"/>
      <c r="S2447" s="351"/>
      <c r="T2447" s="351"/>
      <c r="U2447" s="329" t="str">
        <f>IF($N2447=$N$4,IFERROR(INDEX(DanhMuc!$E$154:$E$165,MATCH(MID($B2447,4,2),DanhMuc!$B$154:$B$165,0)),""),"")</f>
        <v/>
      </c>
      <c r="V2447" s="408" t="s">
        <v>343</v>
      </c>
      <c r="W2447" s="345"/>
      <c r="X2447" s="329" t="str">
        <f t="shared" si="271"/>
        <v>KL</v>
      </c>
      <c r="Y2447" s="1128" t="s">
        <v>3380</v>
      </c>
      <c r="Z2447" s="1128" t="s">
        <v>3381</v>
      </c>
      <c r="AA2447" s="1128" t="s">
        <v>3384</v>
      </c>
      <c r="AB2447" s="20"/>
      <c r="AC2447" s="73"/>
    </row>
    <row r="2448" spans="1:29">
      <c r="A2448" s="327" t="str">
        <f>IF(AND($B2448&lt;&gt;"",$C2448&lt;&gt;""),MAX($A$1556:A2446)+1,"")</f>
        <v/>
      </c>
      <c r="B2448" s="361" t="s">
        <v>2005</v>
      </c>
      <c r="C2448" s="360"/>
      <c r="D2448" s="327">
        <f>IF($B2448="","",COUNTIF($B$6:$B2448,$B2448))</f>
        <v>11</v>
      </c>
      <c r="E2448" s="361" t="s">
        <v>2151</v>
      </c>
      <c r="F2448" s="362" t="s">
        <v>1920</v>
      </c>
      <c r="G2448" s="327" t="s">
        <v>156</v>
      </c>
      <c r="H2448" s="327"/>
      <c r="I2448" s="327">
        <v>1</v>
      </c>
      <c r="J2448" s="345"/>
      <c r="K2448" s="327"/>
      <c r="L2448" s="389">
        <v>34500</v>
      </c>
      <c r="M2448" s="371"/>
      <c r="N2448" s="355" t="str">
        <f t="shared" si="273"/>
        <v>PK</v>
      </c>
      <c r="O2448" s="347"/>
      <c r="P2448" s="392"/>
      <c r="Q2448" s="327"/>
      <c r="R2448" s="351"/>
      <c r="S2448" s="351"/>
      <c r="T2448" s="351"/>
      <c r="U2448" s="329" t="str">
        <f>IF($N2448=$N$4,IFERROR(INDEX(DanhMuc!$E$154:$E$165,MATCH(MID($B2448,4,2),DanhMuc!$B$154:$B$165,0)),""),"")</f>
        <v/>
      </c>
      <c r="V2448" s="408" t="s">
        <v>343</v>
      </c>
      <c r="W2448" s="345"/>
      <c r="X2448" s="329" t="str">
        <f t="shared" si="271"/>
        <v>KL</v>
      </c>
      <c r="Y2448" s="1128" t="s">
        <v>3380</v>
      </c>
      <c r="Z2448" s="1128" t="s">
        <v>3381</v>
      </c>
      <c r="AA2448" s="1128" t="s">
        <v>3384</v>
      </c>
      <c r="AB2448" s="20"/>
      <c r="AC2448" s="73"/>
    </row>
    <row r="2449" spans="1:29">
      <c r="A2449" s="327" t="str">
        <f>IF(AND($B2449&lt;&gt;"",$C2449&lt;&gt;""),MAX($A$1556:A2447)+1,"")</f>
        <v/>
      </c>
      <c r="B2449" s="361" t="s">
        <v>2005</v>
      </c>
      <c r="C2449" s="360"/>
      <c r="D2449" s="327">
        <f>IF($B2449="","",COUNTIF($B$6:$B2449,$B2449))</f>
        <v>12</v>
      </c>
      <c r="E2449" s="605" t="s">
        <v>2150</v>
      </c>
      <c r="F2449" s="633" t="s">
        <v>1921</v>
      </c>
      <c r="G2449" s="434" t="s">
        <v>155</v>
      </c>
      <c r="H2449" s="327" t="s">
        <v>536</v>
      </c>
      <c r="I2449" s="434">
        <v>2</v>
      </c>
      <c r="J2449" s="345"/>
      <c r="K2449" s="327"/>
      <c r="L2449" s="389">
        <v>16000</v>
      </c>
      <c r="M2449" s="371"/>
      <c r="N2449" s="355" t="str">
        <f t="shared" si="273"/>
        <v>PK</v>
      </c>
      <c r="O2449" s="347"/>
      <c r="P2449" s="392"/>
      <c r="Q2449" s="327"/>
      <c r="R2449" s="351"/>
      <c r="S2449" s="351"/>
      <c r="T2449" s="351"/>
      <c r="U2449" s="329" t="str">
        <f>IF($N2449=$N$4,IFERROR(INDEX(DanhMuc!$E$154:$E$165,MATCH(MID($B2449,4,2),DanhMuc!$B$154:$B$165,0)),""),"")</f>
        <v/>
      </c>
      <c r="V2449" s="408" t="s">
        <v>343</v>
      </c>
      <c r="W2449" s="345"/>
      <c r="X2449" s="329" t="str">
        <f t="shared" si="271"/>
        <v>KL</v>
      </c>
      <c r="Y2449" s="1128" t="s">
        <v>3380</v>
      </c>
      <c r="Z2449" s="1128" t="s">
        <v>3381</v>
      </c>
      <c r="AA2449" s="1128" t="s">
        <v>3384</v>
      </c>
      <c r="AB2449" s="20"/>
      <c r="AC2449" s="73"/>
    </row>
    <row r="2450" spans="1:29">
      <c r="A2450" s="327" t="str">
        <f>IF(AND($B2450&lt;&gt;"",$C2450&lt;&gt;""),MAX($A$1556:A2448)+1,"")</f>
        <v/>
      </c>
      <c r="B2450" s="361" t="s">
        <v>2005</v>
      </c>
      <c r="C2450" s="360"/>
      <c r="D2450" s="327">
        <f>IF($B2450="","",COUNTIF($B$6:$B2450,$B2450))</f>
        <v>13</v>
      </c>
      <c r="E2450" s="361" t="s">
        <v>2585</v>
      </c>
      <c r="F2450" s="362" t="s">
        <v>1798</v>
      </c>
      <c r="G2450" s="327" t="s">
        <v>297</v>
      </c>
      <c r="H2450" s="327"/>
      <c r="I2450" s="327">
        <v>1</v>
      </c>
      <c r="J2450" s="345"/>
      <c r="K2450" s="327"/>
      <c r="L2450" s="389">
        <v>1</v>
      </c>
      <c r="M2450" s="371"/>
      <c r="N2450" s="355" t="str">
        <f t="shared" si="273"/>
        <v>PK</v>
      </c>
      <c r="O2450" s="347"/>
      <c r="P2450" s="392"/>
      <c r="Q2450" s="327"/>
      <c r="R2450" s="351"/>
      <c r="S2450" s="351"/>
      <c r="T2450" s="351"/>
      <c r="U2450" s="329" t="str">
        <f>IF($N2450=$N$4,IFERROR(INDEX(DanhMuc!$E$154:$E$165,MATCH(MID($B2450,4,2),DanhMuc!$B$154:$B$165,0)),""),"")</f>
        <v/>
      </c>
      <c r="V2450" s="408" t="s">
        <v>343</v>
      </c>
      <c r="W2450" s="345"/>
      <c r="X2450" s="329" t="str">
        <f t="shared" si="271"/>
        <v>KL</v>
      </c>
      <c r="Y2450" s="1128" t="s">
        <v>3380</v>
      </c>
      <c r="Z2450" s="1128" t="s">
        <v>3381</v>
      </c>
      <c r="AA2450" s="1128" t="s">
        <v>3384</v>
      </c>
      <c r="AB2450" s="20"/>
      <c r="AC2450" s="73"/>
    </row>
    <row r="2451" spans="1:29">
      <c r="A2451" s="327" t="str">
        <f>IF(AND($B2451&lt;&gt;"",$C2451&lt;&gt;""),MAX($A$1556:A2449)+1,"")</f>
        <v/>
      </c>
      <c r="B2451" s="361" t="s">
        <v>2005</v>
      </c>
      <c r="C2451" s="360"/>
      <c r="D2451" s="327">
        <f>IF($B2451="","",COUNTIF($B$6:$B2451,$B2451))</f>
        <v>14</v>
      </c>
      <c r="E2451" s="426" t="s">
        <v>2580</v>
      </c>
      <c r="F2451" s="429" t="s">
        <v>197</v>
      </c>
      <c r="G2451" s="425" t="s">
        <v>344</v>
      </c>
      <c r="H2451" s="327" t="s">
        <v>536</v>
      </c>
      <c r="I2451" s="327">
        <v>1</v>
      </c>
      <c r="J2451" s="345"/>
      <c r="K2451" s="327"/>
      <c r="L2451" s="389">
        <f>410000-3</f>
        <v>409997</v>
      </c>
      <c r="M2451" s="371"/>
      <c r="N2451" s="355" t="str">
        <f t="shared" si="273"/>
        <v>PK</v>
      </c>
      <c r="O2451" s="347"/>
      <c r="P2451" s="392"/>
      <c r="Q2451" s="327"/>
      <c r="R2451" s="351"/>
      <c r="S2451" s="351"/>
      <c r="T2451" s="351"/>
      <c r="U2451" s="329" t="str">
        <f>IF($N2451=$N$4,IFERROR(INDEX(DanhMuc!$E$154:$E$165,MATCH(MID($B2451,4,2),DanhMuc!$B$154:$B$165,0)),""),"")</f>
        <v/>
      </c>
      <c r="V2451" s="408" t="s">
        <v>343</v>
      </c>
      <c r="W2451" s="345"/>
      <c r="X2451" s="329" t="str">
        <f t="shared" si="271"/>
        <v>KL</v>
      </c>
      <c r="Y2451" s="1128" t="s">
        <v>3380</v>
      </c>
      <c r="Z2451" s="1128" t="s">
        <v>3381</v>
      </c>
      <c r="AA2451" s="1128" t="s">
        <v>3384</v>
      </c>
      <c r="AB2451" s="20"/>
      <c r="AC2451" s="73"/>
    </row>
    <row r="2452" spans="1:29">
      <c r="A2452" s="327" t="str">
        <f>IF(AND($B2452&lt;&gt;"",$C2452&lt;&gt;""),MAX($A$1556:A2450)+1,"")</f>
        <v/>
      </c>
      <c r="B2452" s="361" t="s">
        <v>2005</v>
      </c>
      <c r="C2452" s="360"/>
      <c r="D2452" s="327">
        <f>IF($B2452="","",COUNTIF($B$6:$B2452,$B2452))</f>
        <v>15</v>
      </c>
      <c r="E2452" s="361" t="s">
        <v>2591</v>
      </c>
      <c r="F2452" s="362" t="s">
        <v>1922</v>
      </c>
      <c r="G2452" s="327" t="s">
        <v>155</v>
      </c>
      <c r="H2452" s="327" t="s">
        <v>536</v>
      </c>
      <c r="I2452" s="327">
        <v>1</v>
      </c>
      <c r="J2452" s="345"/>
      <c r="K2452" s="327"/>
      <c r="L2452" s="389">
        <v>1</v>
      </c>
      <c r="M2452" s="371"/>
      <c r="N2452" s="355" t="str">
        <f t="shared" si="273"/>
        <v>PK</v>
      </c>
      <c r="O2452" s="345" t="s">
        <v>2699</v>
      </c>
      <c r="P2452" s="392"/>
      <c r="Q2452" s="327"/>
      <c r="R2452" s="351"/>
      <c r="S2452" s="351"/>
      <c r="T2452" s="351"/>
      <c r="U2452" s="329" t="str">
        <f>IF($N2452=$N$4,IFERROR(INDEX(DanhMuc!$E$154:$E$165,MATCH(MID($B2452,4,2),DanhMuc!$B$154:$B$165,0)),""),"")</f>
        <v/>
      </c>
      <c r="V2452" s="408" t="s">
        <v>343</v>
      </c>
      <c r="W2452" s="345"/>
      <c r="X2452" s="329" t="str">
        <f t="shared" si="271"/>
        <v>KL</v>
      </c>
      <c r="Y2452" s="1128" t="s">
        <v>3380</v>
      </c>
      <c r="Z2452" s="1128" t="s">
        <v>3381</v>
      </c>
      <c r="AA2452" s="1128" t="s">
        <v>3384</v>
      </c>
      <c r="AB2452" s="20"/>
      <c r="AC2452" s="73"/>
    </row>
    <row r="2453" spans="1:29">
      <c r="A2453" s="327" t="str">
        <f>IF(AND($B2453&lt;&gt;"",$C2453&lt;&gt;""),MAX($A$1556:A2451)+1,"")</f>
        <v/>
      </c>
      <c r="B2453" s="361" t="s">
        <v>2005</v>
      </c>
      <c r="C2453" s="360"/>
      <c r="D2453" s="327">
        <f>IF($B2453="","",COUNTIF($B$6:$B2453,$B2453))</f>
        <v>16</v>
      </c>
      <c r="E2453" s="361" t="s">
        <v>2592</v>
      </c>
      <c r="F2453" s="362" t="s">
        <v>323</v>
      </c>
      <c r="G2453" s="327" t="s">
        <v>155</v>
      </c>
      <c r="H2453" s="327" t="s">
        <v>536</v>
      </c>
      <c r="I2453" s="327">
        <v>1</v>
      </c>
      <c r="J2453" s="345"/>
      <c r="K2453" s="327"/>
      <c r="L2453" s="389">
        <v>1</v>
      </c>
      <c r="M2453" s="371"/>
      <c r="N2453" s="355" t="str">
        <f t="shared" si="273"/>
        <v>PK</v>
      </c>
      <c r="O2453" s="345" t="s">
        <v>1060</v>
      </c>
      <c r="P2453" s="392"/>
      <c r="Q2453" s="327"/>
      <c r="R2453" s="351"/>
      <c r="S2453" s="351"/>
      <c r="T2453" s="351"/>
      <c r="U2453" s="329" t="str">
        <f>IF($N2453=$N$4,IFERROR(INDEX(DanhMuc!$E$154:$E$165,MATCH(MID($B2453,4,2),DanhMuc!$B$154:$B$165,0)),""),"")</f>
        <v/>
      </c>
      <c r="V2453" s="408" t="s">
        <v>343</v>
      </c>
      <c r="W2453" s="345"/>
      <c r="X2453" s="329" t="str">
        <f t="shared" si="271"/>
        <v>KL</v>
      </c>
      <c r="Y2453" s="1128" t="s">
        <v>3380</v>
      </c>
      <c r="Z2453" s="1128" t="s">
        <v>3381</v>
      </c>
      <c r="AA2453" s="1128" t="s">
        <v>3384</v>
      </c>
      <c r="AB2453" s="20"/>
      <c r="AC2453" s="73"/>
    </row>
    <row r="2454" spans="1:29">
      <c r="A2454" s="327" t="str">
        <f>IF(AND($B2454&lt;&gt;"",$C2454&lt;&gt;""),MAX($A$1556:A2451)+1,"")</f>
        <v/>
      </c>
      <c r="B2454" s="361" t="s">
        <v>2005</v>
      </c>
      <c r="C2454" s="360"/>
      <c r="D2454" s="327">
        <f>IF($B2454="","",COUNTIF($B$6:$B2454,$B2454))</f>
        <v>17</v>
      </c>
      <c r="E2454" s="361" t="s">
        <v>2593</v>
      </c>
      <c r="F2454" s="362" t="s">
        <v>1923</v>
      </c>
      <c r="G2454" s="327" t="s">
        <v>155</v>
      </c>
      <c r="H2454" s="327" t="s">
        <v>536</v>
      </c>
      <c r="I2454" s="327">
        <v>1</v>
      </c>
      <c r="J2454" s="345"/>
      <c r="K2454" s="327"/>
      <c r="L2454" s="389">
        <v>1</v>
      </c>
      <c r="M2454" s="371"/>
      <c r="N2454" s="355" t="str">
        <f t="shared" si="273"/>
        <v>PK</v>
      </c>
      <c r="O2454" s="347"/>
      <c r="P2454" s="392"/>
      <c r="Q2454" s="327"/>
      <c r="R2454" s="351"/>
      <c r="S2454" s="351"/>
      <c r="T2454" s="351"/>
      <c r="U2454" s="329" t="str">
        <f>IF($N2454=$N$4,IFERROR(INDEX(DanhMuc!$E$154:$E$165,MATCH(MID($B2454,4,2),DanhMuc!$B$154:$B$165,0)),""),"")</f>
        <v/>
      </c>
      <c r="V2454" s="408" t="s">
        <v>343</v>
      </c>
      <c r="W2454" s="345"/>
      <c r="X2454" s="329" t="str">
        <f t="shared" si="271"/>
        <v>KL</v>
      </c>
      <c r="Y2454" s="1128" t="s">
        <v>3380</v>
      </c>
      <c r="Z2454" s="1128" t="s">
        <v>3381</v>
      </c>
      <c r="AA2454" s="1128" t="s">
        <v>3384</v>
      </c>
      <c r="AB2454" s="20"/>
      <c r="AC2454" s="73"/>
    </row>
    <row r="2455" spans="1:29">
      <c r="A2455" s="327" t="str">
        <f>IF(AND($B2455&lt;&gt;"",$C2455&lt;&gt;""),MAX($A$1556:A2453)+1,"")</f>
        <v/>
      </c>
      <c r="B2455" s="361" t="s">
        <v>2005</v>
      </c>
      <c r="C2455" s="360"/>
      <c r="D2455" s="327">
        <f>IF($B2455="","",COUNTIF($B$6:$B2455,$B2455))</f>
        <v>18</v>
      </c>
      <c r="E2455" s="361" t="s">
        <v>1444</v>
      </c>
      <c r="F2455" s="362" t="s">
        <v>2356</v>
      </c>
      <c r="G2455" s="327" t="s">
        <v>297</v>
      </c>
      <c r="H2455" s="327"/>
      <c r="I2455" s="327">
        <v>1</v>
      </c>
      <c r="J2455" s="345"/>
      <c r="K2455" s="327"/>
      <c r="L2455" s="389">
        <v>17000</v>
      </c>
      <c r="M2455" s="371"/>
      <c r="N2455" s="355" t="str">
        <f>+$N$1555</f>
        <v>PK</v>
      </c>
      <c r="O2455" s="347"/>
      <c r="P2455" s="392"/>
      <c r="Q2455" s="327"/>
      <c r="R2455" s="351"/>
      <c r="S2455" s="351"/>
      <c r="T2455" s="351"/>
      <c r="U2455" s="329" t="str">
        <f>IF($N2455=$N$4,IFERROR(INDEX(DanhMuc!$E$154:$E$165,MATCH(MID($B2455,4,2),DanhMuc!$B$154:$B$165,0)),""),"")</f>
        <v/>
      </c>
      <c r="V2455" s="408" t="s">
        <v>343</v>
      </c>
      <c r="W2455" s="345"/>
      <c r="X2455" s="329" t="str">
        <f t="shared" si="271"/>
        <v>KL</v>
      </c>
      <c r="Y2455" s="1128" t="s">
        <v>3380</v>
      </c>
      <c r="Z2455" s="1128" t="s">
        <v>3381</v>
      </c>
      <c r="AA2455" s="1128" t="s">
        <v>3384</v>
      </c>
      <c r="AB2455" s="20"/>
      <c r="AC2455" s="73"/>
    </row>
    <row r="2456" spans="1:29" ht="39">
      <c r="A2456" s="327">
        <f>IF(AND($B2456&lt;&gt;"",$C2456&lt;&gt;""),MAX($A$1556:A2452)+1,"")</f>
        <v>133</v>
      </c>
      <c r="B2456" s="359" t="s">
        <v>2006</v>
      </c>
      <c r="C2456" s="360" t="s">
        <v>1887</v>
      </c>
      <c r="D2456" s="327">
        <f>IF($B2456="","",COUNTIF($B$6:$B2456,$B2456))</f>
        <v>1</v>
      </c>
      <c r="E2456" s="361" t="s">
        <v>2144</v>
      </c>
      <c r="F2456" s="362" t="s">
        <v>1924</v>
      </c>
      <c r="G2456" s="327" t="s">
        <v>155</v>
      </c>
      <c r="H2456" s="327"/>
      <c r="I2456" s="327">
        <v>1</v>
      </c>
      <c r="J2456" s="345"/>
      <c r="K2456" s="327"/>
      <c r="L2456" s="389">
        <v>250000</v>
      </c>
      <c r="M2456" s="371"/>
      <c r="N2456" s="355" t="str">
        <f t="shared" si="273"/>
        <v>PK</v>
      </c>
      <c r="O2456" s="347"/>
      <c r="P2456" s="392"/>
      <c r="Q2456" s="327"/>
      <c r="R2456" s="351"/>
      <c r="S2456" s="351"/>
      <c r="T2456" s="351"/>
      <c r="U2456" s="329" t="str">
        <f>IF($N2456=$N$4,IFERROR(INDEX(DanhMuc!$E$154:$E$165,MATCH(MID($B2456,4,2),DanhMuc!$B$154:$B$165,0)),""),"")</f>
        <v/>
      </c>
      <c r="V2456" s="408" t="s">
        <v>343</v>
      </c>
      <c r="W2456" s="345"/>
      <c r="X2456" s="329" t="str">
        <f t="shared" si="271"/>
        <v>KL</v>
      </c>
      <c r="Y2456" s="1128" t="s">
        <v>3380</v>
      </c>
      <c r="Z2456" s="1128" t="s">
        <v>3381</v>
      </c>
      <c r="AA2456" s="1128" t="s">
        <v>3384</v>
      </c>
      <c r="AB2456" s="20"/>
      <c r="AC2456" s="73"/>
    </row>
    <row r="2457" spans="1:29">
      <c r="A2457" s="327" t="str">
        <f>IF(AND($B2457&lt;&gt;"",$C2457&lt;&gt;""),MAX($A$1556:A2454)+1,"")</f>
        <v/>
      </c>
      <c r="B2457" s="361" t="s">
        <v>2006</v>
      </c>
      <c r="C2457" s="360"/>
      <c r="D2457" s="327">
        <f>IF($B2457="","",COUNTIF($B$6:$B2457,$B2457))</f>
        <v>2</v>
      </c>
      <c r="E2457" s="361" t="s">
        <v>2145</v>
      </c>
      <c r="F2457" s="362" t="s">
        <v>1912</v>
      </c>
      <c r="G2457" s="327" t="s">
        <v>155</v>
      </c>
      <c r="H2457" s="327"/>
      <c r="I2457" s="327">
        <v>1</v>
      </c>
      <c r="J2457" s="345"/>
      <c r="K2457" s="327"/>
      <c r="L2457" s="389">
        <v>215000</v>
      </c>
      <c r="M2457" s="371"/>
      <c r="N2457" s="355" t="str">
        <f t="shared" si="273"/>
        <v>PK</v>
      </c>
      <c r="O2457" s="347"/>
      <c r="P2457" s="392"/>
      <c r="Q2457" s="327"/>
      <c r="R2457" s="351"/>
      <c r="S2457" s="351"/>
      <c r="T2457" s="351"/>
      <c r="U2457" s="329" t="str">
        <f>IF($N2457=$N$4,IFERROR(INDEX(DanhMuc!$E$154:$E$165,MATCH(MID($B2457,4,2),DanhMuc!$B$154:$B$165,0)),""),"")</f>
        <v/>
      </c>
      <c r="V2457" s="408" t="s">
        <v>343</v>
      </c>
      <c r="W2457" s="345"/>
      <c r="X2457" s="329" t="str">
        <f t="shared" si="271"/>
        <v>KL</v>
      </c>
      <c r="Y2457" s="1128" t="s">
        <v>3380</v>
      </c>
      <c r="Z2457" s="1128" t="s">
        <v>3381</v>
      </c>
      <c r="AA2457" s="1128" t="s">
        <v>3384</v>
      </c>
      <c r="AB2457" s="20"/>
      <c r="AC2457" s="73"/>
    </row>
    <row r="2458" spans="1:29">
      <c r="A2458" s="327" t="str">
        <f>IF(AND($B2458&lt;&gt;"",$C2458&lt;&gt;""),MAX($A$1556:A2456)+1,"")</f>
        <v/>
      </c>
      <c r="B2458" s="361" t="s">
        <v>2006</v>
      </c>
      <c r="C2458" s="360"/>
      <c r="D2458" s="327">
        <f>IF($B2458="","",COUNTIF($B$6:$B2458,$B2458))</f>
        <v>3</v>
      </c>
      <c r="E2458" s="361" t="s">
        <v>2146</v>
      </c>
      <c r="F2458" s="362" t="s">
        <v>1913</v>
      </c>
      <c r="G2458" s="327" t="s">
        <v>155</v>
      </c>
      <c r="H2458" s="327"/>
      <c r="I2458" s="327">
        <v>9</v>
      </c>
      <c r="J2458" s="345"/>
      <c r="K2458" s="327"/>
      <c r="L2458" s="389">
        <v>75000</v>
      </c>
      <c r="M2458" s="371"/>
      <c r="N2458" s="355" t="str">
        <f t="shared" si="273"/>
        <v>PK</v>
      </c>
      <c r="O2458" s="345"/>
      <c r="P2458" s="392"/>
      <c r="Q2458" s="327"/>
      <c r="R2458" s="351"/>
      <c r="S2458" s="351"/>
      <c r="T2458" s="351"/>
      <c r="U2458" s="329" t="str">
        <f>IF($N2458=$N$4,IFERROR(INDEX(DanhMuc!$E$154:$E$165,MATCH(MID($B2458,4,2),DanhMuc!$B$154:$B$165,0)),""),"")</f>
        <v/>
      </c>
      <c r="V2458" s="408" t="s">
        <v>343</v>
      </c>
      <c r="W2458" s="345"/>
      <c r="X2458" s="329" t="str">
        <f t="shared" si="271"/>
        <v>KL</v>
      </c>
      <c r="Y2458" s="1128" t="s">
        <v>3380</v>
      </c>
      <c r="Z2458" s="1128" t="s">
        <v>3381</v>
      </c>
      <c r="AA2458" s="1128" t="s">
        <v>3384</v>
      </c>
      <c r="AB2458" s="20"/>
      <c r="AC2458" s="73"/>
    </row>
    <row r="2459" spans="1:29">
      <c r="A2459" s="327" t="str">
        <f>IF(AND($B2459&lt;&gt;"",$C2459&lt;&gt;""),MAX($A$1556:A2457)+1,"")</f>
        <v/>
      </c>
      <c r="B2459" s="361" t="s">
        <v>2006</v>
      </c>
      <c r="C2459" s="360"/>
      <c r="D2459" s="327">
        <f>IF($B2459="","",COUNTIF($B$6:$B2459,$B2459))</f>
        <v>4</v>
      </c>
      <c r="E2459" s="361" t="s">
        <v>2146</v>
      </c>
      <c r="F2459" s="362" t="s">
        <v>1913</v>
      </c>
      <c r="G2459" s="327" t="s">
        <v>155</v>
      </c>
      <c r="H2459" s="327"/>
      <c r="I2459" s="327">
        <v>1</v>
      </c>
      <c r="J2459" s="345"/>
      <c r="K2459" s="327"/>
      <c r="L2459" s="389">
        <v>75000</v>
      </c>
      <c r="M2459" s="371"/>
      <c r="N2459" s="355" t="str">
        <f t="shared" si="273"/>
        <v>PK</v>
      </c>
      <c r="O2459" s="345" t="s">
        <v>639</v>
      </c>
      <c r="P2459" s="392"/>
      <c r="Q2459" s="327"/>
      <c r="R2459" s="351"/>
      <c r="S2459" s="351"/>
      <c r="T2459" s="351"/>
      <c r="U2459" s="329" t="str">
        <f>IF($N2459=$N$4,IFERROR(INDEX(DanhMuc!$E$154:$E$165,MATCH(MID($B2459,4,2),DanhMuc!$B$154:$B$165,0)),""),"")</f>
        <v/>
      </c>
      <c r="V2459" s="408" t="s">
        <v>343</v>
      </c>
      <c r="W2459" s="345"/>
      <c r="X2459" s="329" t="str">
        <f t="shared" si="271"/>
        <v>KL</v>
      </c>
      <c r="Y2459" s="1128" t="s">
        <v>3380</v>
      </c>
      <c r="Z2459" s="1128" t="s">
        <v>3381</v>
      </c>
      <c r="AA2459" s="1128" t="s">
        <v>3384</v>
      </c>
      <c r="AB2459" s="20"/>
      <c r="AC2459" s="73"/>
    </row>
    <row r="2460" spans="1:29">
      <c r="A2460" s="327" t="str">
        <f>IF(AND($B2460&lt;&gt;"",$C2460&lt;&gt;""),MAX($A$1556:A2457)+1,"")</f>
        <v/>
      </c>
      <c r="B2460" s="361" t="s">
        <v>2006</v>
      </c>
      <c r="C2460" s="360"/>
      <c r="D2460" s="327">
        <f>IF($B2460="","",COUNTIF($B$6:$B2460,$B2460))</f>
        <v>5</v>
      </c>
      <c r="E2460" s="361" t="s">
        <v>2154</v>
      </c>
      <c r="F2460" s="362" t="s">
        <v>1914</v>
      </c>
      <c r="G2460" s="327" t="s">
        <v>155</v>
      </c>
      <c r="H2460" s="327"/>
      <c r="I2460" s="327">
        <v>1</v>
      </c>
      <c r="J2460" s="345"/>
      <c r="K2460" s="327"/>
      <c r="L2460" s="389">
        <v>100000</v>
      </c>
      <c r="M2460" s="371"/>
      <c r="N2460" s="355" t="str">
        <f t="shared" si="273"/>
        <v>PK</v>
      </c>
      <c r="O2460" s="345" t="s">
        <v>640</v>
      </c>
      <c r="P2460" s="392"/>
      <c r="Q2460" s="327"/>
      <c r="R2460" s="351"/>
      <c r="S2460" s="351"/>
      <c r="T2460" s="351"/>
      <c r="U2460" s="329" t="str">
        <f>IF($N2460=$N$4,IFERROR(INDEX(DanhMuc!$E$154:$E$165,MATCH(MID($B2460,4,2),DanhMuc!$B$154:$B$165,0)),""),"")</f>
        <v/>
      </c>
      <c r="V2460" s="408" t="s">
        <v>343</v>
      </c>
      <c r="W2460" s="345"/>
      <c r="X2460" s="329" t="str">
        <f t="shared" si="271"/>
        <v>KL</v>
      </c>
      <c r="Y2460" s="1128" t="s">
        <v>3380</v>
      </c>
      <c r="Z2460" s="1128" t="s">
        <v>3381</v>
      </c>
      <c r="AA2460" s="1128" t="s">
        <v>3384</v>
      </c>
      <c r="AB2460" s="20"/>
      <c r="AC2460" s="73"/>
    </row>
    <row r="2461" spans="1:29">
      <c r="A2461" s="327" t="str">
        <f>IF(AND($B2461&lt;&gt;"",$C2461&lt;&gt;""),MAX($A$1556:A2458)+1,"")</f>
        <v/>
      </c>
      <c r="B2461" s="361" t="s">
        <v>2006</v>
      </c>
      <c r="C2461" s="360"/>
      <c r="D2461" s="327">
        <f>IF($B2461="","",COUNTIF($B$6:$B2461,$B2461))</f>
        <v>6</v>
      </c>
      <c r="E2461" s="361" t="s">
        <v>2147</v>
      </c>
      <c r="F2461" s="362" t="s">
        <v>1915</v>
      </c>
      <c r="G2461" s="327" t="s">
        <v>155</v>
      </c>
      <c r="H2461" s="327" t="s">
        <v>536</v>
      </c>
      <c r="I2461" s="327">
        <v>1</v>
      </c>
      <c r="J2461" s="345"/>
      <c r="K2461" s="327"/>
      <c r="L2461" s="389">
        <v>65000</v>
      </c>
      <c r="M2461" s="371"/>
      <c r="N2461" s="355" t="str">
        <f t="shared" si="273"/>
        <v>PK</v>
      </c>
      <c r="O2461" s="347"/>
      <c r="P2461" s="392"/>
      <c r="Q2461" s="327"/>
      <c r="R2461" s="351"/>
      <c r="S2461" s="351"/>
      <c r="T2461" s="351"/>
      <c r="U2461" s="329" t="str">
        <f>IF($N2461=$N$4,IFERROR(INDEX(DanhMuc!$E$154:$E$165,MATCH(MID($B2461,4,2),DanhMuc!$B$154:$B$165,0)),""),"")</f>
        <v/>
      </c>
      <c r="V2461" s="408" t="s">
        <v>343</v>
      </c>
      <c r="W2461" s="345"/>
      <c r="X2461" s="329" t="str">
        <f t="shared" si="271"/>
        <v>KL</v>
      </c>
      <c r="Y2461" s="1128" t="s">
        <v>3380</v>
      </c>
      <c r="Z2461" s="1128" t="s">
        <v>3381</v>
      </c>
      <c r="AA2461" s="1128" t="s">
        <v>3384</v>
      </c>
      <c r="AB2461" s="20"/>
      <c r="AC2461" s="73"/>
    </row>
    <row r="2462" spans="1:29">
      <c r="A2462" s="327" t="str">
        <f>IF(AND($B2462&lt;&gt;"",$C2462&lt;&gt;""),MAX($A$1556:A2460)+1,"")</f>
        <v/>
      </c>
      <c r="B2462" s="361" t="s">
        <v>2006</v>
      </c>
      <c r="C2462" s="360"/>
      <c r="D2462" s="327">
        <f>IF($B2462="","",COUNTIF($B$6:$B2462,$B2462))</f>
        <v>7</v>
      </c>
      <c r="E2462" s="361" t="s">
        <v>2158</v>
      </c>
      <c r="F2462" s="362" t="s">
        <v>1916</v>
      </c>
      <c r="G2462" s="327" t="s">
        <v>155</v>
      </c>
      <c r="H2462" s="327"/>
      <c r="I2462" s="327">
        <v>1</v>
      </c>
      <c r="J2462" s="345"/>
      <c r="K2462" s="327"/>
      <c r="L2462" s="389">
        <v>65000</v>
      </c>
      <c r="M2462" s="371"/>
      <c r="N2462" s="355" t="str">
        <f t="shared" si="273"/>
        <v>PK</v>
      </c>
      <c r="O2462" s="347"/>
      <c r="P2462" s="392"/>
      <c r="Q2462" s="327"/>
      <c r="R2462" s="351"/>
      <c r="S2462" s="351"/>
      <c r="T2462" s="351"/>
      <c r="U2462" s="329" t="str">
        <f>IF($N2462=$N$4,IFERROR(INDEX(DanhMuc!$E$154:$E$165,MATCH(MID($B2462,4,2),DanhMuc!$B$154:$B$165,0)),""),"")</f>
        <v/>
      </c>
      <c r="V2462" s="408" t="s">
        <v>343</v>
      </c>
      <c r="W2462" s="345"/>
      <c r="X2462" s="329" t="str">
        <f t="shared" si="271"/>
        <v>KL</v>
      </c>
      <c r="Y2462" s="1128" t="s">
        <v>3380</v>
      </c>
      <c r="Z2462" s="1128" t="s">
        <v>3381</v>
      </c>
      <c r="AA2462" s="1128" t="s">
        <v>3384</v>
      </c>
      <c r="AB2462" s="20"/>
      <c r="AC2462" s="73"/>
    </row>
    <row r="2463" spans="1:29">
      <c r="A2463" s="327" t="str">
        <f>IF(AND($B2463&lt;&gt;"",$C2463&lt;&gt;""),MAX($A$1556:A2461)+1,"")</f>
        <v/>
      </c>
      <c r="B2463" s="361" t="s">
        <v>2006</v>
      </c>
      <c r="C2463" s="360"/>
      <c r="D2463" s="327">
        <f>IF($B2463="","",COUNTIF($B$6:$B2463,$B2463))</f>
        <v>8</v>
      </c>
      <c r="E2463" s="361" t="s">
        <v>2148</v>
      </c>
      <c r="F2463" s="362" t="s">
        <v>1917</v>
      </c>
      <c r="G2463" s="327" t="s">
        <v>156</v>
      </c>
      <c r="H2463" s="327" t="s">
        <v>536</v>
      </c>
      <c r="I2463" s="413" t="s">
        <v>1925</v>
      </c>
      <c r="J2463" s="345"/>
      <c r="K2463" s="327"/>
      <c r="L2463" s="389">
        <v>68000</v>
      </c>
      <c r="M2463" s="371"/>
      <c r="N2463" s="355" t="str">
        <f t="shared" si="273"/>
        <v>PK</v>
      </c>
      <c r="O2463" s="347"/>
      <c r="P2463" s="392"/>
      <c r="Q2463" s="327"/>
      <c r="R2463" s="351"/>
      <c r="S2463" s="351"/>
      <c r="T2463" s="351"/>
      <c r="U2463" s="329" t="str">
        <f>IF($N2463=$N$4,IFERROR(INDEX(DanhMuc!$E$154:$E$165,MATCH(MID($B2463,4,2),DanhMuc!$B$154:$B$165,0)),""),"")</f>
        <v/>
      </c>
      <c r="V2463" s="408" t="s">
        <v>343</v>
      </c>
      <c r="W2463" s="345"/>
      <c r="X2463" s="329" t="str">
        <f t="shared" si="271"/>
        <v>KL</v>
      </c>
      <c r="Y2463" s="1128" t="s">
        <v>3380</v>
      </c>
      <c r="Z2463" s="1128" t="s">
        <v>3381</v>
      </c>
      <c r="AA2463" s="1128" t="s">
        <v>3384</v>
      </c>
      <c r="AB2463" s="20"/>
      <c r="AC2463" s="73"/>
    </row>
    <row r="2464" spans="1:29">
      <c r="A2464" s="327" t="str">
        <f>IF(AND($B2464&lt;&gt;"",$C2464&lt;&gt;""),MAX($A$1556:A2462)+1,"")</f>
        <v/>
      </c>
      <c r="B2464" s="361" t="s">
        <v>2006</v>
      </c>
      <c r="C2464" s="360"/>
      <c r="D2464" s="327">
        <f>IF($B2464="","",COUNTIF($B$6:$B2464,$B2464))</f>
        <v>9</v>
      </c>
      <c r="E2464" s="361" t="s">
        <v>2149</v>
      </c>
      <c r="F2464" s="362" t="s">
        <v>1918</v>
      </c>
      <c r="G2464" s="327" t="s">
        <v>156</v>
      </c>
      <c r="H2464" s="327" t="s">
        <v>536</v>
      </c>
      <c r="I2464" s="413" t="s">
        <v>1926</v>
      </c>
      <c r="J2464" s="345"/>
      <c r="K2464" s="327"/>
      <c r="L2464" s="389">
        <v>75000</v>
      </c>
      <c r="M2464" s="371"/>
      <c r="N2464" s="355" t="str">
        <f t="shared" si="273"/>
        <v>PK</v>
      </c>
      <c r="O2464" s="347"/>
      <c r="P2464" s="392"/>
      <c r="Q2464" s="327"/>
      <c r="R2464" s="351"/>
      <c r="S2464" s="351"/>
      <c r="T2464" s="351"/>
      <c r="U2464" s="329" t="str">
        <f>IF($N2464=$N$4,IFERROR(INDEX(DanhMuc!$E$154:$E$165,MATCH(MID($B2464,4,2),DanhMuc!$B$154:$B$165,0)),""),"")</f>
        <v/>
      </c>
      <c r="V2464" s="408" t="s">
        <v>343</v>
      </c>
      <c r="W2464" s="345"/>
      <c r="X2464" s="329" t="str">
        <f t="shared" si="271"/>
        <v>KL</v>
      </c>
      <c r="Y2464" s="1128" t="s">
        <v>3380</v>
      </c>
      <c r="Z2464" s="1128" t="s">
        <v>3381</v>
      </c>
      <c r="AA2464" s="1128" t="s">
        <v>3384</v>
      </c>
      <c r="AB2464" s="20"/>
      <c r="AC2464" s="73"/>
    </row>
    <row r="2465" spans="1:29">
      <c r="A2465" s="327" t="str">
        <f>IF(AND($B2465&lt;&gt;"",$C2465&lt;&gt;""),MAX($A$1556:A2463)+1,"")</f>
        <v/>
      </c>
      <c r="B2465" s="361" t="s">
        <v>2006</v>
      </c>
      <c r="C2465" s="360"/>
      <c r="D2465" s="327">
        <f>IF($B2465="","",COUNTIF($B$6:$B2465,$B2465))</f>
        <v>10</v>
      </c>
      <c r="E2465" s="361" t="s">
        <v>2152</v>
      </c>
      <c r="F2465" s="362" t="s">
        <v>1919</v>
      </c>
      <c r="G2465" s="327" t="s">
        <v>156</v>
      </c>
      <c r="H2465" s="327"/>
      <c r="I2465" s="327">
        <v>1</v>
      </c>
      <c r="J2465" s="345"/>
      <c r="K2465" s="327"/>
      <c r="L2465" s="389">
        <v>50000</v>
      </c>
      <c r="M2465" s="371"/>
      <c r="N2465" s="355" t="str">
        <f t="shared" si="273"/>
        <v>PK</v>
      </c>
      <c r="O2465" s="347"/>
      <c r="P2465" s="392"/>
      <c r="Q2465" s="327"/>
      <c r="R2465" s="351"/>
      <c r="S2465" s="351"/>
      <c r="T2465" s="351"/>
      <c r="U2465" s="329" t="str">
        <f>IF($N2465=$N$4,IFERROR(INDEX(DanhMuc!$E$154:$E$165,MATCH(MID($B2465,4,2),DanhMuc!$B$154:$B$165,0)),""),"")</f>
        <v/>
      </c>
      <c r="V2465" s="408" t="s">
        <v>343</v>
      </c>
      <c r="W2465" s="345"/>
      <c r="X2465" s="329" t="str">
        <f t="shared" si="271"/>
        <v>KL</v>
      </c>
      <c r="Y2465" s="1128" t="s">
        <v>3380</v>
      </c>
      <c r="Z2465" s="1128" t="s">
        <v>3381</v>
      </c>
      <c r="AA2465" s="1128" t="s">
        <v>3384</v>
      </c>
      <c r="AB2465" s="20"/>
      <c r="AC2465" s="73"/>
    </row>
    <row r="2466" spans="1:29">
      <c r="A2466" s="327" t="str">
        <f>IF(AND($B2466&lt;&gt;"",$C2466&lt;&gt;""),MAX($A$1556:A2464)+1,"")</f>
        <v/>
      </c>
      <c r="B2466" s="361" t="s">
        <v>2006</v>
      </c>
      <c r="C2466" s="360"/>
      <c r="D2466" s="327">
        <f>IF($B2466="","",COUNTIF($B$6:$B2466,$B2466))</f>
        <v>11</v>
      </c>
      <c r="E2466" s="361" t="s">
        <v>2151</v>
      </c>
      <c r="F2466" s="362" t="s">
        <v>1920</v>
      </c>
      <c r="G2466" s="327" t="s">
        <v>156</v>
      </c>
      <c r="H2466" s="327"/>
      <c r="I2466" s="327">
        <v>1</v>
      </c>
      <c r="J2466" s="345"/>
      <c r="K2466" s="327"/>
      <c r="L2466" s="389">
        <v>34500</v>
      </c>
      <c r="M2466" s="371"/>
      <c r="N2466" s="355" t="str">
        <f t="shared" si="273"/>
        <v>PK</v>
      </c>
      <c r="O2466" s="347"/>
      <c r="P2466" s="392"/>
      <c r="Q2466" s="327"/>
      <c r="R2466" s="351"/>
      <c r="S2466" s="351"/>
      <c r="T2466" s="351"/>
      <c r="U2466" s="329" t="str">
        <f>IF($N2466=$N$4,IFERROR(INDEX(DanhMuc!$E$154:$E$165,MATCH(MID($B2466,4,2),DanhMuc!$B$154:$B$165,0)),""),"")</f>
        <v/>
      </c>
      <c r="V2466" s="408" t="s">
        <v>343</v>
      </c>
      <c r="W2466" s="345"/>
      <c r="X2466" s="329" t="str">
        <f t="shared" si="271"/>
        <v>KL</v>
      </c>
      <c r="Y2466" s="1128" t="s">
        <v>3380</v>
      </c>
      <c r="Z2466" s="1128" t="s">
        <v>3381</v>
      </c>
      <c r="AA2466" s="1128" t="s">
        <v>3384</v>
      </c>
      <c r="AB2466" s="20"/>
      <c r="AC2466" s="73"/>
    </row>
    <row r="2467" spans="1:29">
      <c r="A2467" s="327" t="str">
        <f>IF(AND($B2467&lt;&gt;"",$C2467&lt;&gt;""),MAX($A$1556:A2465)+1,"")</f>
        <v/>
      </c>
      <c r="B2467" s="361" t="s">
        <v>2006</v>
      </c>
      <c r="C2467" s="360"/>
      <c r="D2467" s="327">
        <f>IF($B2467="","",COUNTIF($B$6:$B2467,$B2467))</f>
        <v>12</v>
      </c>
      <c r="E2467" s="605" t="s">
        <v>2150</v>
      </c>
      <c r="F2467" s="633" t="s">
        <v>1921</v>
      </c>
      <c r="G2467" s="434" t="s">
        <v>155</v>
      </c>
      <c r="H2467" s="327" t="s">
        <v>536</v>
      </c>
      <c r="I2467" s="434">
        <v>2</v>
      </c>
      <c r="J2467" s="345"/>
      <c r="K2467" s="327"/>
      <c r="L2467" s="389">
        <v>16000</v>
      </c>
      <c r="M2467" s="371"/>
      <c r="N2467" s="355" t="str">
        <f t="shared" si="273"/>
        <v>PK</v>
      </c>
      <c r="O2467" s="347"/>
      <c r="P2467" s="392"/>
      <c r="Q2467" s="327"/>
      <c r="R2467" s="351"/>
      <c r="S2467" s="351"/>
      <c r="T2467" s="351"/>
      <c r="U2467" s="329" t="str">
        <f>IF($N2467=$N$4,IFERROR(INDEX(DanhMuc!$E$154:$E$165,MATCH(MID($B2467,4,2),DanhMuc!$B$154:$B$165,0)),""),"")</f>
        <v/>
      </c>
      <c r="V2467" s="408" t="s">
        <v>343</v>
      </c>
      <c r="W2467" s="345"/>
      <c r="X2467" s="329" t="str">
        <f t="shared" si="271"/>
        <v>KL</v>
      </c>
      <c r="Y2467" s="1128" t="s">
        <v>3380</v>
      </c>
      <c r="Z2467" s="1128" t="s">
        <v>3381</v>
      </c>
      <c r="AA2467" s="1128" t="s">
        <v>3384</v>
      </c>
      <c r="AB2467" s="20"/>
      <c r="AC2467" s="73"/>
    </row>
    <row r="2468" spans="1:29">
      <c r="A2468" s="327" t="str">
        <f>IF(AND($B2468&lt;&gt;"",$C2468&lt;&gt;""),MAX($A$1556:A2466)+1,"")</f>
        <v/>
      </c>
      <c r="B2468" s="361" t="s">
        <v>2006</v>
      </c>
      <c r="C2468" s="360"/>
      <c r="D2468" s="327">
        <f>IF($B2468="","",COUNTIF($B$6:$B2468,$B2468))</f>
        <v>13</v>
      </c>
      <c r="E2468" s="361" t="s">
        <v>2113</v>
      </c>
      <c r="F2468" s="362" t="s">
        <v>1798</v>
      </c>
      <c r="G2468" s="327" t="s">
        <v>297</v>
      </c>
      <c r="H2468" s="327"/>
      <c r="I2468" s="327">
        <v>1</v>
      </c>
      <c r="J2468" s="345"/>
      <c r="K2468" s="327"/>
      <c r="L2468" s="389">
        <v>1</v>
      </c>
      <c r="M2468" s="371"/>
      <c r="N2468" s="355" t="str">
        <f t="shared" si="273"/>
        <v>PK</v>
      </c>
      <c r="O2468" s="347"/>
      <c r="P2468" s="392"/>
      <c r="Q2468" s="327"/>
      <c r="R2468" s="351"/>
      <c r="S2468" s="351"/>
      <c r="T2468" s="351"/>
      <c r="U2468" s="329" t="str">
        <f>IF($N2468=$N$4,IFERROR(INDEX(DanhMuc!$E$154:$E$165,MATCH(MID($B2468,4,2),DanhMuc!$B$154:$B$165,0)),""),"")</f>
        <v/>
      </c>
      <c r="V2468" s="408" t="s">
        <v>343</v>
      </c>
      <c r="W2468" s="345"/>
      <c r="X2468" s="329" t="str">
        <f t="shared" si="271"/>
        <v>KL</v>
      </c>
      <c r="Y2468" s="1128" t="s">
        <v>3380</v>
      </c>
      <c r="Z2468" s="1128" t="s">
        <v>3381</v>
      </c>
      <c r="AA2468" s="1128" t="s">
        <v>3384</v>
      </c>
      <c r="AB2468" s="20"/>
      <c r="AC2468" s="73"/>
    </row>
    <row r="2469" spans="1:29">
      <c r="A2469" s="327" t="str">
        <f>IF(AND($B2469&lt;&gt;"",$C2469&lt;&gt;""),MAX($A$1556:A2467)+1,"")</f>
        <v/>
      </c>
      <c r="B2469" s="361" t="s">
        <v>2006</v>
      </c>
      <c r="C2469" s="360"/>
      <c r="D2469" s="327">
        <f>IF($B2469="","",COUNTIF($B$6:$B2469,$B2469))</f>
        <v>14</v>
      </c>
      <c r="E2469" s="426" t="s">
        <v>2115</v>
      </c>
      <c r="F2469" s="429" t="s">
        <v>197</v>
      </c>
      <c r="G2469" s="425" t="s">
        <v>344</v>
      </c>
      <c r="H2469" s="327" t="s">
        <v>536</v>
      </c>
      <c r="I2469" s="327">
        <v>1</v>
      </c>
      <c r="J2469" s="345"/>
      <c r="K2469" s="327"/>
      <c r="L2469" s="389">
        <f>410000-4</f>
        <v>409996</v>
      </c>
      <c r="M2469" s="371"/>
      <c r="N2469" s="355" t="str">
        <f t="shared" si="273"/>
        <v>PK</v>
      </c>
      <c r="O2469" s="347"/>
      <c r="P2469" s="392"/>
      <c r="Q2469" s="327"/>
      <c r="R2469" s="351"/>
      <c r="S2469" s="351"/>
      <c r="T2469" s="351"/>
      <c r="U2469" s="329" t="str">
        <f>IF($N2469=$N$4,IFERROR(INDEX(DanhMuc!$E$154:$E$165,MATCH(MID($B2469,4,2),DanhMuc!$B$154:$B$165,0)),""),"")</f>
        <v/>
      </c>
      <c r="V2469" s="408" t="s">
        <v>343</v>
      </c>
      <c r="W2469" s="345"/>
      <c r="X2469" s="329" t="str">
        <f t="shared" si="271"/>
        <v>KL</v>
      </c>
      <c r="Y2469" s="1128" t="s">
        <v>3380</v>
      </c>
      <c r="Z2469" s="1128" t="s">
        <v>3381</v>
      </c>
      <c r="AA2469" s="1128" t="s">
        <v>3384</v>
      </c>
      <c r="AB2469" s="20"/>
      <c r="AC2469" s="73"/>
    </row>
    <row r="2470" spans="1:29">
      <c r="A2470" s="327" t="str">
        <f>IF(AND($B2470&lt;&gt;"",$C2470&lt;&gt;""),MAX($A$1556:A2468)+1,"")</f>
        <v/>
      </c>
      <c r="B2470" s="361" t="s">
        <v>2006</v>
      </c>
      <c r="C2470" s="360"/>
      <c r="D2470" s="327">
        <f>IF($B2470="","",COUNTIF($B$6:$B2470,$B2470))</f>
        <v>15</v>
      </c>
      <c r="E2470" s="361" t="s">
        <v>2160</v>
      </c>
      <c r="F2470" s="362" t="s">
        <v>1922</v>
      </c>
      <c r="G2470" s="327" t="s">
        <v>155</v>
      </c>
      <c r="H2470" s="327" t="s">
        <v>536</v>
      </c>
      <c r="I2470" s="327">
        <v>1</v>
      </c>
      <c r="J2470" s="345"/>
      <c r="K2470" s="327"/>
      <c r="L2470" s="389">
        <v>1</v>
      </c>
      <c r="M2470" s="371"/>
      <c r="N2470" s="355" t="str">
        <f t="shared" si="273"/>
        <v>PK</v>
      </c>
      <c r="O2470" s="345" t="s">
        <v>2699</v>
      </c>
      <c r="P2470" s="392"/>
      <c r="Q2470" s="327"/>
      <c r="R2470" s="351"/>
      <c r="S2470" s="351"/>
      <c r="T2470" s="351"/>
      <c r="U2470" s="329" t="str">
        <f>IF($N2470=$N$4,IFERROR(INDEX(DanhMuc!$E$154:$E$165,MATCH(MID($B2470,4,2),DanhMuc!$B$154:$B$165,0)),""),"")</f>
        <v/>
      </c>
      <c r="V2470" s="408" t="s">
        <v>343</v>
      </c>
      <c r="W2470" s="345"/>
      <c r="X2470" s="329" t="str">
        <f t="shared" si="271"/>
        <v>KL</v>
      </c>
      <c r="Y2470" s="1128" t="s">
        <v>3380</v>
      </c>
      <c r="Z2470" s="1128" t="s">
        <v>3381</v>
      </c>
      <c r="AA2470" s="1128" t="s">
        <v>3384</v>
      </c>
      <c r="AB2470" s="20"/>
      <c r="AC2470" s="73"/>
    </row>
    <row r="2471" spans="1:29">
      <c r="A2471" s="327" t="str">
        <f>IF(AND($B2471&lt;&gt;"",$C2471&lt;&gt;""),MAX($A$1556:A2469)+1,"")</f>
        <v/>
      </c>
      <c r="B2471" s="361" t="s">
        <v>2006</v>
      </c>
      <c r="C2471" s="360"/>
      <c r="D2471" s="327">
        <f>IF($B2471="","",COUNTIF($B$6:$B2471,$B2471))</f>
        <v>16</v>
      </c>
      <c r="E2471" s="361" t="s">
        <v>2153</v>
      </c>
      <c r="F2471" s="362" t="s">
        <v>323</v>
      </c>
      <c r="G2471" s="327" t="s">
        <v>155</v>
      </c>
      <c r="H2471" s="327" t="s">
        <v>536</v>
      </c>
      <c r="I2471" s="327">
        <v>1</v>
      </c>
      <c r="J2471" s="345"/>
      <c r="K2471" s="327"/>
      <c r="L2471" s="389">
        <v>1</v>
      </c>
      <c r="M2471" s="371"/>
      <c r="N2471" s="355" t="str">
        <f t="shared" si="273"/>
        <v>PK</v>
      </c>
      <c r="O2471" s="345" t="s">
        <v>1060</v>
      </c>
      <c r="P2471" s="392"/>
      <c r="Q2471" s="327"/>
      <c r="R2471" s="351"/>
      <c r="S2471" s="351"/>
      <c r="T2471" s="351"/>
      <c r="U2471" s="329" t="str">
        <f>IF($N2471=$N$4,IFERROR(INDEX(DanhMuc!$E$154:$E$165,MATCH(MID($B2471,4,2),DanhMuc!$B$154:$B$165,0)),""),"")</f>
        <v/>
      </c>
      <c r="V2471" s="408" t="s">
        <v>343</v>
      </c>
      <c r="W2471" s="345"/>
      <c r="X2471" s="329" t="str">
        <f t="shared" si="271"/>
        <v>KL</v>
      </c>
      <c r="Y2471" s="1128" t="s">
        <v>3380</v>
      </c>
      <c r="Z2471" s="1128" t="s">
        <v>3381</v>
      </c>
      <c r="AA2471" s="1128" t="s">
        <v>3384</v>
      </c>
      <c r="AB2471" s="20"/>
      <c r="AC2471" s="73"/>
    </row>
    <row r="2472" spans="1:29">
      <c r="A2472" s="327" t="str">
        <f>IF(AND($B2472&lt;&gt;"",$C2472&lt;&gt;""),MAX($A$1556:A2469)+1,"")</f>
        <v/>
      </c>
      <c r="B2472" s="361" t="s">
        <v>2006</v>
      </c>
      <c r="C2472" s="360"/>
      <c r="D2472" s="327">
        <f>IF($B2472="","",COUNTIF($B$6:$B2472,$B2472))</f>
        <v>17</v>
      </c>
      <c r="E2472" s="361" t="s">
        <v>2159</v>
      </c>
      <c r="F2472" s="362" t="s">
        <v>1923</v>
      </c>
      <c r="G2472" s="327" t="s">
        <v>155</v>
      </c>
      <c r="H2472" s="327" t="s">
        <v>536</v>
      </c>
      <c r="I2472" s="327">
        <v>1</v>
      </c>
      <c r="J2472" s="345"/>
      <c r="K2472" s="327"/>
      <c r="L2472" s="389">
        <v>1</v>
      </c>
      <c r="M2472" s="371"/>
      <c r="N2472" s="355" t="str">
        <f t="shared" si="273"/>
        <v>PK</v>
      </c>
      <c r="O2472" s="347"/>
      <c r="P2472" s="392"/>
      <c r="Q2472" s="327"/>
      <c r="R2472" s="351"/>
      <c r="S2472" s="351"/>
      <c r="T2472" s="351"/>
      <c r="U2472" s="329" t="str">
        <f>IF($N2472=$N$4,IFERROR(INDEX(DanhMuc!$E$154:$E$165,MATCH(MID($B2472,4,2),DanhMuc!$B$154:$B$165,0)),""),"")</f>
        <v/>
      </c>
      <c r="V2472" s="408" t="s">
        <v>343</v>
      </c>
      <c r="W2472" s="345"/>
      <c r="X2472" s="329" t="str">
        <f t="shared" si="271"/>
        <v>KL</v>
      </c>
      <c r="Y2472" s="1128" t="s">
        <v>3380</v>
      </c>
      <c r="Z2472" s="1128" t="s">
        <v>3381</v>
      </c>
      <c r="AA2472" s="1128" t="s">
        <v>3384</v>
      </c>
      <c r="AB2472" s="20"/>
      <c r="AC2472" s="73"/>
    </row>
    <row r="2473" spans="1:29">
      <c r="A2473" s="327" t="str">
        <f>IF(AND($B2473&lt;&gt;"",$C2473&lt;&gt;""),MAX($A$1556:A2471)+1,"")</f>
        <v/>
      </c>
      <c r="B2473" s="361" t="s">
        <v>2006</v>
      </c>
      <c r="C2473" s="360"/>
      <c r="D2473" s="327">
        <f>IF($B2473="","",COUNTIF($B$6:$B2473,$B2473))</f>
        <v>18</v>
      </c>
      <c r="E2473" s="361" t="s">
        <v>1444</v>
      </c>
      <c r="F2473" s="362" t="s">
        <v>2356</v>
      </c>
      <c r="G2473" s="327" t="s">
        <v>297</v>
      </c>
      <c r="H2473" s="327"/>
      <c r="I2473" s="327">
        <v>2</v>
      </c>
      <c r="J2473" s="345"/>
      <c r="K2473" s="327"/>
      <c r="L2473" s="389">
        <v>17000</v>
      </c>
      <c r="M2473" s="371"/>
      <c r="N2473" s="355" t="str">
        <f>+$N$1555</f>
        <v>PK</v>
      </c>
      <c r="O2473" s="347"/>
      <c r="P2473" s="392"/>
      <c r="Q2473" s="327"/>
      <c r="R2473" s="351"/>
      <c r="S2473" s="351"/>
      <c r="T2473" s="351"/>
      <c r="U2473" s="329" t="str">
        <f>IF($N2473=$N$4,IFERROR(INDEX(DanhMuc!$E$154:$E$165,MATCH(MID($B2473,4,2),DanhMuc!$B$154:$B$165,0)),""),"")</f>
        <v/>
      </c>
      <c r="V2473" s="408" t="s">
        <v>343</v>
      </c>
      <c r="W2473" s="345"/>
      <c r="X2473" s="329" t="str">
        <f t="shared" si="271"/>
        <v>KL</v>
      </c>
      <c r="Y2473" s="1128" t="s">
        <v>3380</v>
      </c>
      <c r="Z2473" s="1128" t="s">
        <v>3381</v>
      </c>
      <c r="AA2473" s="1128" t="s">
        <v>3384</v>
      </c>
      <c r="AB2473" s="20"/>
      <c r="AC2473" s="73"/>
    </row>
    <row r="2474" spans="1:29" ht="39">
      <c r="A2474" s="327">
        <f>IF(AND($B2474&lt;&gt;"",$C2474&lt;&gt;""),MAX($A$1556:A2470)+1,"")</f>
        <v>134</v>
      </c>
      <c r="B2474" s="359" t="s">
        <v>2007</v>
      </c>
      <c r="C2474" s="360" t="s">
        <v>1888</v>
      </c>
      <c r="D2474" s="327">
        <f>IF($B2474="","",COUNTIF($B$6:$B2474,$B2474))</f>
        <v>1</v>
      </c>
      <c r="E2474" s="361" t="s">
        <v>2144</v>
      </c>
      <c r="F2474" s="362" t="s">
        <v>1924</v>
      </c>
      <c r="G2474" s="327" t="s">
        <v>155</v>
      </c>
      <c r="H2474" s="327"/>
      <c r="I2474" s="327">
        <v>2</v>
      </c>
      <c r="J2474" s="345"/>
      <c r="K2474" s="327"/>
      <c r="L2474" s="389">
        <v>250000</v>
      </c>
      <c r="M2474" s="371"/>
      <c r="N2474" s="355" t="str">
        <f t="shared" si="273"/>
        <v>PK</v>
      </c>
      <c r="O2474" s="347"/>
      <c r="P2474" s="392"/>
      <c r="Q2474" s="327"/>
      <c r="R2474" s="351"/>
      <c r="S2474" s="351"/>
      <c r="T2474" s="351"/>
      <c r="U2474" s="329" t="str">
        <f>IF($N2474=$N$4,IFERROR(INDEX(DanhMuc!$E$154:$E$165,MATCH(MID($B2474,4,2),DanhMuc!$B$154:$B$165,0)),""),"")</f>
        <v/>
      </c>
      <c r="V2474" s="408" t="s">
        <v>343</v>
      </c>
      <c r="W2474" s="345"/>
      <c r="X2474" s="329" t="str">
        <f t="shared" si="271"/>
        <v>KL</v>
      </c>
      <c r="Y2474" s="1128" t="s">
        <v>3380</v>
      </c>
      <c r="Z2474" s="1128" t="s">
        <v>3381</v>
      </c>
      <c r="AA2474" s="1128" t="s">
        <v>3384</v>
      </c>
      <c r="AB2474" s="20"/>
      <c r="AC2474" s="73"/>
    </row>
    <row r="2475" spans="1:29">
      <c r="A2475" s="327" t="str">
        <f>IF(AND($B2475&lt;&gt;"",$C2475&lt;&gt;""),MAX($A$1556:A2472)+1,"")</f>
        <v/>
      </c>
      <c r="B2475" s="361" t="s">
        <v>2007</v>
      </c>
      <c r="C2475" s="360"/>
      <c r="D2475" s="327">
        <f>IF($B2475="","",COUNTIF($B$6:$B2475,$B2475))</f>
        <v>2</v>
      </c>
      <c r="E2475" s="361" t="s">
        <v>2145</v>
      </c>
      <c r="F2475" s="362" t="s">
        <v>1912</v>
      </c>
      <c r="G2475" s="327" t="s">
        <v>155</v>
      </c>
      <c r="H2475" s="327"/>
      <c r="I2475" s="327">
        <v>2</v>
      </c>
      <c r="J2475" s="345"/>
      <c r="K2475" s="327"/>
      <c r="L2475" s="389">
        <v>215000</v>
      </c>
      <c r="M2475" s="371"/>
      <c r="N2475" s="355" t="str">
        <f t="shared" si="273"/>
        <v>PK</v>
      </c>
      <c r="O2475" s="347"/>
      <c r="P2475" s="392"/>
      <c r="Q2475" s="327"/>
      <c r="R2475" s="351"/>
      <c r="S2475" s="351"/>
      <c r="T2475" s="351"/>
      <c r="U2475" s="329" t="str">
        <f>IF($N2475=$N$4,IFERROR(INDEX(DanhMuc!$E$154:$E$165,MATCH(MID($B2475,4,2),DanhMuc!$B$154:$B$165,0)),""),"")</f>
        <v/>
      </c>
      <c r="V2475" s="408" t="s">
        <v>343</v>
      </c>
      <c r="W2475" s="345"/>
      <c r="X2475" s="329" t="str">
        <f t="shared" si="271"/>
        <v>KL</v>
      </c>
      <c r="Y2475" s="1128" t="s">
        <v>3380</v>
      </c>
      <c r="Z2475" s="1128" t="s">
        <v>3381</v>
      </c>
      <c r="AA2475" s="1128" t="s">
        <v>3384</v>
      </c>
      <c r="AB2475" s="20"/>
      <c r="AC2475" s="73"/>
    </row>
    <row r="2476" spans="1:29">
      <c r="A2476" s="327" t="str">
        <f>IF(AND($B2476&lt;&gt;"",$C2476&lt;&gt;""),MAX($A$1556:A2474)+1,"")</f>
        <v/>
      </c>
      <c r="B2476" s="361" t="s">
        <v>2007</v>
      </c>
      <c r="C2476" s="360"/>
      <c r="D2476" s="327">
        <f>IF($B2476="","",COUNTIF($B$6:$B2476,$B2476))</f>
        <v>3</v>
      </c>
      <c r="E2476" s="361" t="s">
        <v>2146</v>
      </c>
      <c r="F2476" s="362" t="s">
        <v>1913</v>
      </c>
      <c r="G2476" s="327" t="s">
        <v>155</v>
      </c>
      <c r="H2476" s="327"/>
      <c r="I2476" s="327">
        <v>9</v>
      </c>
      <c r="J2476" s="345"/>
      <c r="K2476" s="327"/>
      <c r="L2476" s="389">
        <v>75000</v>
      </c>
      <c r="M2476" s="371"/>
      <c r="N2476" s="355" t="str">
        <f t="shared" si="273"/>
        <v>PK</v>
      </c>
      <c r="O2476" s="345"/>
      <c r="P2476" s="392"/>
      <c r="Q2476" s="327"/>
      <c r="R2476" s="351"/>
      <c r="S2476" s="351"/>
      <c r="T2476" s="351"/>
      <c r="U2476" s="329" t="str">
        <f>IF($N2476=$N$4,IFERROR(INDEX(DanhMuc!$E$154:$E$165,MATCH(MID($B2476,4,2),DanhMuc!$B$154:$B$165,0)),""),"")</f>
        <v/>
      </c>
      <c r="V2476" s="408" t="s">
        <v>343</v>
      </c>
      <c r="W2476" s="345"/>
      <c r="X2476" s="329" t="str">
        <f t="shared" ref="X2476:X2541" si="274">IF($N2476="PR",$E2476,MID($B2476,10,2))</f>
        <v>KL</v>
      </c>
      <c r="Y2476" s="1128" t="s">
        <v>3380</v>
      </c>
      <c r="Z2476" s="1128" t="s">
        <v>3381</v>
      </c>
      <c r="AA2476" s="1128" t="s">
        <v>3384</v>
      </c>
      <c r="AB2476" s="20"/>
      <c r="AC2476" s="73"/>
    </row>
    <row r="2477" spans="1:29">
      <c r="A2477" s="327" t="str">
        <f>IF(AND($B2477&lt;&gt;"",$C2477&lt;&gt;""),MAX($A$1556:A2475)+1,"")</f>
        <v/>
      </c>
      <c r="B2477" s="361" t="s">
        <v>2007</v>
      </c>
      <c r="C2477" s="360"/>
      <c r="D2477" s="327">
        <f>IF($B2477="","",COUNTIF($B$6:$B2477,$B2477))</f>
        <v>4</v>
      </c>
      <c r="E2477" s="361" t="s">
        <v>2146</v>
      </c>
      <c r="F2477" s="362" t="s">
        <v>1913</v>
      </c>
      <c r="G2477" s="327" t="s">
        <v>155</v>
      </c>
      <c r="H2477" s="327"/>
      <c r="I2477" s="327">
        <v>2</v>
      </c>
      <c r="J2477" s="345"/>
      <c r="K2477" s="327"/>
      <c r="L2477" s="389">
        <v>75000</v>
      </c>
      <c r="M2477" s="371"/>
      <c r="N2477" s="355" t="str">
        <f t="shared" si="273"/>
        <v>PK</v>
      </c>
      <c r="O2477" s="345" t="s">
        <v>639</v>
      </c>
      <c r="P2477" s="392"/>
      <c r="Q2477" s="327"/>
      <c r="R2477" s="351"/>
      <c r="S2477" s="351"/>
      <c r="T2477" s="351"/>
      <c r="U2477" s="329" t="str">
        <f>IF($N2477=$N$4,IFERROR(INDEX(DanhMuc!$E$154:$E$165,MATCH(MID($B2477,4,2),DanhMuc!$B$154:$B$165,0)),""),"")</f>
        <v/>
      </c>
      <c r="V2477" s="408" t="s">
        <v>343</v>
      </c>
      <c r="W2477" s="345"/>
      <c r="X2477" s="329" t="str">
        <f t="shared" si="274"/>
        <v>KL</v>
      </c>
      <c r="Y2477" s="1128" t="s">
        <v>3380</v>
      </c>
      <c r="Z2477" s="1128" t="s">
        <v>3381</v>
      </c>
      <c r="AA2477" s="1128" t="s">
        <v>3384</v>
      </c>
      <c r="AB2477" s="20"/>
      <c r="AC2477" s="73"/>
    </row>
    <row r="2478" spans="1:29">
      <c r="A2478" s="327" t="str">
        <f>IF(AND($B2478&lt;&gt;"",$C2478&lt;&gt;""),MAX($A$1556:A2475)+1,"")</f>
        <v/>
      </c>
      <c r="B2478" s="361" t="s">
        <v>2007</v>
      </c>
      <c r="C2478" s="360"/>
      <c r="D2478" s="327">
        <f>IF($B2478="","",COUNTIF($B$6:$B2478,$B2478))</f>
        <v>5</v>
      </c>
      <c r="E2478" s="361" t="s">
        <v>2154</v>
      </c>
      <c r="F2478" s="362" t="s">
        <v>1914</v>
      </c>
      <c r="G2478" s="327" t="s">
        <v>155</v>
      </c>
      <c r="H2478" s="327"/>
      <c r="I2478" s="327">
        <v>2</v>
      </c>
      <c r="J2478" s="345"/>
      <c r="K2478" s="327"/>
      <c r="L2478" s="389">
        <v>100000</v>
      </c>
      <c r="M2478" s="371"/>
      <c r="N2478" s="355" t="str">
        <f t="shared" si="273"/>
        <v>PK</v>
      </c>
      <c r="O2478" s="345" t="s">
        <v>640</v>
      </c>
      <c r="P2478" s="392"/>
      <c r="Q2478" s="327"/>
      <c r="R2478" s="351"/>
      <c r="S2478" s="351"/>
      <c r="T2478" s="351"/>
      <c r="U2478" s="329" t="str">
        <f>IF($N2478=$N$4,IFERROR(INDEX(DanhMuc!$E$154:$E$165,MATCH(MID($B2478,4,2),DanhMuc!$B$154:$B$165,0)),""),"")</f>
        <v/>
      </c>
      <c r="V2478" s="408" t="s">
        <v>343</v>
      </c>
      <c r="W2478" s="345"/>
      <c r="X2478" s="329" t="str">
        <f t="shared" si="274"/>
        <v>KL</v>
      </c>
      <c r="Y2478" s="1128" t="s">
        <v>3380</v>
      </c>
      <c r="Z2478" s="1128" t="s">
        <v>3381</v>
      </c>
      <c r="AA2478" s="1128" t="s">
        <v>3384</v>
      </c>
      <c r="AB2478" s="20"/>
      <c r="AC2478" s="73"/>
    </row>
    <row r="2479" spans="1:29">
      <c r="A2479" s="327" t="str">
        <f>IF(AND($B2479&lt;&gt;"",$C2479&lt;&gt;""),MAX($A$1556:A2476)+1,"")</f>
        <v/>
      </c>
      <c r="B2479" s="361" t="s">
        <v>2007</v>
      </c>
      <c r="C2479" s="360"/>
      <c r="D2479" s="327">
        <f>IF($B2479="","",COUNTIF($B$6:$B2479,$B2479))</f>
        <v>6</v>
      </c>
      <c r="E2479" s="361" t="s">
        <v>2147</v>
      </c>
      <c r="F2479" s="362" t="s">
        <v>1915</v>
      </c>
      <c r="G2479" s="327" t="s">
        <v>155</v>
      </c>
      <c r="H2479" s="327" t="s">
        <v>536</v>
      </c>
      <c r="I2479" s="327">
        <v>2</v>
      </c>
      <c r="J2479" s="345"/>
      <c r="K2479" s="327"/>
      <c r="L2479" s="389">
        <v>65000</v>
      </c>
      <c r="M2479" s="371"/>
      <c r="N2479" s="355" t="str">
        <f t="shared" si="273"/>
        <v>PK</v>
      </c>
      <c r="O2479" s="347"/>
      <c r="P2479" s="392"/>
      <c r="Q2479" s="327"/>
      <c r="R2479" s="351"/>
      <c r="S2479" s="351"/>
      <c r="T2479" s="351"/>
      <c r="U2479" s="329" t="str">
        <f>IF($N2479=$N$4,IFERROR(INDEX(DanhMuc!$E$154:$E$165,MATCH(MID($B2479,4,2),DanhMuc!$B$154:$B$165,0)),""),"")</f>
        <v/>
      </c>
      <c r="V2479" s="408" t="s">
        <v>343</v>
      </c>
      <c r="W2479" s="345"/>
      <c r="X2479" s="329" t="str">
        <f t="shared" si="274"/>
        <v>KL</v>
      </c>
      <c r="Y2479" s="1128" t="s">
        <v>3380</v>
      </c>
      <c r="Z2479" s="1128" t="s">
        <v>3381</v>
      </c>
      <c r="AA2479" s="1128" t="s">
        <v>3384</v>
      </c>
      <c r="AB2479" s="20"/>
      <c r="AC2479" s="73"/>
    </row>
    <row r="2480" spans="1:29">
      <c r="A2480" s="327" t="str">
        <f>IF(AND($B2480&lt;&gt;"",$C2480&lt;&gt;""),MAX($A$1556:A2478)+1,"")</f>
        <v/>
      </c>
      <c r="B2480" s="361" t="s">
        <v>2007</v>
      </c>
      <c r="C2480" s="360"/>
      <c r="D2480" s="327">
        <f>IF($B2480="","",COUNTIF($B$6:$B2480,$B2480))</f>
        <v>7</v>
      </c>
      <c r="E2480" s="361" t="s">
        <v>2158</v>
      </c>
      <c r="F2480" s="362" t="s">
        <v>1916</v>
      </c>
      <c r="G2480" s="327" t="s">
        <v>155</v>
      </c>
      <c r="H2480" s="327"/>
      <c r="I2480" s="327">
        <v>2</v>
      </c>
      <c r="J2480" s="345"/>
      <c r="K2480" s="327"/>
      <c r="L2480" s="389">
        <v>65000</v>
      </c>
      <c r="M2480" s="371"/>
      <c r="N2480" s="355" t="str">
        <f t="shared" si="273"/>
        <v>PK</v>
      </c>
      <c r="O2480" s="347"/>
      <c r="P2480" s="392"/>
      <c r="Q2480" s="327"/>
      <c r="R2480" s="351"/>
      <c r="S2480" s="351"/>
      <c r="T2480" s="351"/>
      <c r="U2480" s="329" t="str">
        <f>IF($N2480=$N$4,IFERROR(INDEX(DanhMuc!$E$154:$E$165,MATCH(MID($B2480,4,2),DanhMuc!$B$154:$B$165,0)),""),"")</f>
        <v/>
      </c>
      <c r="V2480" s="408" t="s">
        <v>343</v>
      </c>
      <c r="W2480" s="345"/>
      <c r="X2480" s="329" t="str">
        <f t="shared" si="274"/>
        <v>KL</v>
      </c>
      <c r="Y2480" s="1128" t="s">
        <v>3380</v>
      </c>
      <c r="Z2480" s="1128" t="s">
        <v>3381</v>
      </c>
      <c r="AA2480" s="1128" t="s">
        <v>3384</v>
      </c>
      <c r="AB2480" s="20"/>
      <c r="AC2480" s="73"/>
    </row>
    <row r="2481" spans="1:29">
      <c r="A2481" s="327" t="str">
        <f>IF(AND($B2481&lt;&gt;"",$C2481&lt;&gt;""),MAX($A$1556:A2479)+1,"")</f>
        <v/>
      </c>
      <c r="B2481" s="361" t="s">
        <v>2007</v>
      </c>
      <c r="C2481" s="360"/>
      <c r="D2481" s="327">
        <f>IF($B2481="","",COUNTIF($B$6:$B2481,$B2481))</f>
        <v>8</v>
      </c>
      <c r="E2481" s="361" t="s">
        <v>2148</v>
      </c>
      <c r="F2481" s="362" t="s">
        <v>1917</v>
      </c>
      <c r="G2481" s="327" t="s">
        <v>156</v>
      </c>
      <c r="H2481" s="327" t="s">
        <v>536</v>
      </c>
      <c r="I2481" s="413" t="s">
        <v>1927</v>
      </c>
      <c r="J2481" s="345"/>
      <c r="K2481" s="327"/>
      <c r="L2481" s="389">
        <v>68000</v>
      </c>
      <c r="M2481" s="371"/>
      <c r="N2481" s="355" t="str">
        <f t="shared" si="273"/>
        <v>PK</v>
      </c>
      <c r="O2481" s="347"/>
      <c r="P2481" s="392"/>
      <c r="Q2481" s="327"/>
      <c r="R2481" s="351"/>
      <c r="S2481" s="351"/>
      <c r="T2481" s="351"/>
      <c r="U2481" s="329" t="str">
        <f>IF($N2481=$N$4,IFERROR(INDEX(DanhMuc!$E$154:$E$165,MATCH(MID($B2481,4,2),DanhMuc!$B$154:$B$165,0)),""),"")</f>
        <v/>
      </c>
      <c r="V2481" s="408" t="s">
        <v>343</v>
      </c>
      <c r="W2481" s="345"/>
      <c r="X2481" s="329" t="str">
        <f t="shared" si="274"/>
        <v>KL</v>
      </c>
      <c r="Y2481" s="1128" t="s">
        <v>3380</v>
      </c>
      <c r="Z2481" s="1128" t="s">
        <v>3381</v>
      </c>
      <c r="AA2481" s="1128" t="s">
        <v>3384</v>
      </c>
      <c r="AB2481" s="20"/>
      <c r="AC2481" s="73"/>
    </row>
    <row r="2482" spans="1:29">
      <c r="A2482" s="327" t="str">
        <f>IF(AND($B2482&lt;&gt;"",$C2482&lt;&gt;""),MAX($A$1556:A2480)+1,"")</f>
        <v/>
      </c>
      <c r="B2482" s="361" t="s">
        <v>2007</v>
      </c>
      <c r="C2482" s="360"/>
      <c r="D2482" s="327">
        <f>IF($B2482="","",COUNTIF($B$6:$B2482,$B2482))</f>
        <v>9</v>
      </c>
      <c r="E2482" s="361" t="s">
        <v>2149</v>
      </c>
      <c r="F2482" s="362" t="s">
        <v>1918</v>
      </c>
      <c r="G2482" s="327" t="s">
        <v>156</v>
      </c>
      <c r="H2482" s="327" t="s">
        <v>536</v>
      </c>
      <c r="I2482" s="413" t="s">
        <v>1928</v>
      </c>
      <c r="J2482" s="345"/>
      <c r="K2482" s="327"/>
      <c r="L2482" s="389">
        <v>75000</v>
      </c>
      <c r="M2482" s="371"/>
      <c r="N2482" s="355" t="str">
        <f t="shared" si="273"/>
        <v>PK</v>
      </c>
      <c r="O2482" s="347"/>
      <c r="P2482" s="392"/>
      <c r="Q2482" s="327"/>
      <c r="R2482" s="351"/>
      <c r="S2482" s="351"/>
      <c r="T2482" s="351"/>
      <c r="U2482" s="329" t="str">
        <f>IF($N2482=$N$4,IFERROR(INDEX(DanhMuc!$E$154:$E$165,MATCH(MID($B2482,4,2),DanhMuc!$B$154:$B$165,0)),""),"")</f>
        <v/>
      </c>
      <c r="V2482" s="408" t="s">
        <v>343</v>
      </c>
      <c r="W2482" s="345"/>
      <c r="X2482" s="329" t="str">
        <f t="shared" si="274"/>
        <v>KL</v>
      </c>
      <c r="Y2482" s="1128" t="s">
        <v>3380</v>
      </c>
      <c r="Z2482" s="1128" t="s">
        <v>3381</v>
      </c>
      <c r="AA2482" s="1128" t="s">
        <v>3384</v>
      </c>
      <c r="AB2482" s="20"/>
      <c r="AC2482" s="73"/>
    </row>
    <row r="2483" spans="1:29">
      <c r="A2483" s="327" t="str">
        <f>IF(AND($B2483&lt;&gt;"",$C2483&lt;&gt;""),MAX($A$1556:A2481)+1,"")</f>
        <v/>
      </c>
      <c r="B2483" s="361" t="s">
        <v>2007</v>
      </c>
      <c r="C2483" s="360"/>
      <c r="D2483" s="327">
        <f>IF($B2483="","",COUNTIF($B$6:$B2483,$B2483))</f>
        <v>10</v>
      </c>
      <c r="E2483" s="361" t="s">
        <v>2152</v>
      </c>
      <c r="F2483" s="362" t="s">
        <v>1919</v>
      </c>
      <c r="G2483" s="327" t="s">
        <v>156</v>
      </c>
      <c r="H2483" s="327"/>
      <c r="I2483" s="327">
        <v>1</v>
      </c>
      <c r="J2483" s="345"/>
      <c r="K2483" s="327"/>
      <c r="L2483" s="389">
        <v>50000</v>
      </c>
      <c r="M2483" s="371"/>
      <c r="N2483" s="355" t="str">
        <f t="shared" si="273"/>
        <v>PK</v>
      </c>
      <c r="O2483" s="347"/>
      <c r="P2483" s="392"/>
      <c r="Q2483" s="327"/>
      <c r="R2483" s="351"/>
      <c r="S2483" s="351"/>
      <c r="T2483" s="351"/>
      <c r="U2483" s="329" t="str">
        <f>IF($N2483=$N$4,IFERROR(INDEX(DanhMuc!$E$154:$E$165,MATCH(MID($B2483,4,2),DanhMuc!$B$154:$B$165,0)),""),"")</f>
        <v/>
      </c>
      <c r="V2483" s="408" t="s">
        <v>343</v>
      </c>
      <c r="W2483" s="345"/>
      <c r="X2483" s="329" t="str">
        <f t="shared" si="274"/>
        <v>KL</v>
      </c>
      <c r="Y2483" s="1128" t="s">
        <v>3380</v>
      </c>
      <c r="Z2483" s="1128" t="s">
        <v>3381</v>
      </c>
      <c r="AA2483" s="1128" t="s">
        <v>3384</v>
      </c>
      <c r="AB2483" s="20"/>
      <c r="AC2483" s="73"/>
    </row>
    <row r="2484" spans="1:29">
      <c r="A2484" s="327" t="str">
        <f>IF(AND($B2484&lt;&gt;"",$C2484&lt;&gt;""),MAX($A$1556:A2482)+1,"")</f>
        <v/>
      </c>
      <c r="B2484" s="361" t="s">
        <v>2007</v>
      </c>
      <c r="C2484" s="360"/>
      <c r="D2484" s="327">
        <f>IF($B2484="","",COUNTIF($B$6:$B2484,$B2484))</f>
        <v>11</v>
      </c>
      <c r="E2484" s="361" t="s">
        <v>2151</v>
      </c>
      <c r="F2484" s="362" t="s">
        <v>1920</v>
      </c>
      <c r="G2484" s="327" t="s">
        <v>156</v>
      </c>
      <c r="H2484" s="327"/>
      <c r="I2484" s="327">
        <v>1</v>
      </c>
      <c r="J2484" s="345"/>
      <c r="K2484" s="327"/>
      <c r="L2484" s="389">
        <v>34500</v>
      </c>
      <c r="M2484" s="371"/>
      <c r="N2484" s="355" t="str">
        <f t="shared" si="273"/>
        <v>PK</v>
      </c>
      <c r="O2484" s="347"/>
      <c r="P2484" s="392"/>
      <c r="Q2484" s="327"/>
      <c r="R2484" s="351"/>
      <c r="S2484" s="351"/>
      <c r="T2484" s="351"/>
      <c r="U2484" s="329" t="str">
        <f>IF($N2484=$N$4,IFERROR(INDEX(DanhMuc!$E$154:$E$165,MATCH(MID($B2484,4,2),DanhMuc!$B$154:$B$165,0)),""),"")</f>
        <v/>
      </c>
      <c r="V2484" s="408" t="s">
        <v>343</v>
      </c>
      <c r="W2484" s="345"/>
      <c r="X2484" s="329" t="str">
        <f t="shared" si="274"/>
        <v>KL</v>
      </c>
      <c r="Y2484" s="1128" t="s">
        <v>3380</v>
      </c>
      <c r="Z2484" s="1128" t="s">
        <v>3381</v>
      </c>
      <c r="AA2484" s="1128" t="s">
        <v>3384</v>
      </c>
      <c r="AB2484" s="20"/>
      <c r="AC2484" s="73"/>
    </row>
    <row r="2485" spans="1:29">
      <c r="A2485" s="327" t="str">
        <f>IF(AND($B2485&lt;&gt;"",$C2485&lt;&gt;""),MAX($A$1556:A2483)+1,"")</f>
        <v/>
      </c>
      <c r="B2485" s="361" t="s">
        <v>2007</v>
      </c>
      <c r="C2485" s="360"/>
      <c r="D2485" s="327">
        <f>IF($B2485="","",COUNTIF($B$6:$B2485,$B2485))</f>
        <v>12</v>
      </c>
      <c r="E2485" s="605" t="s">
        <v>2150</v>
      </c>
      <c r="F2485" s="633" t="s">
        <v>1921</v>
      </c>
      <c r="G2485" s="434" t="s">
        <v>155</v>
      </c>
      <c r="H2485" s="327" t="s">
        <v>536</v>
      </c>
      <c r="I2485" s="434">
        <v>4</v>
      </c>
      <c r="J2485" s="345"/>
      <c r="K2485" s="327"/>
      <c r="L2485" s="389">
        <v>16000</v>
      </c>
      <c r="M2485" s="371"/>
      <c r="N2485" s="355" t="str">
        <f t="shared" si="273"/>
        <v>PK</v>
      </c>
      <c r="O2485" s="347"/>
      <c r="P2485" s="392"/>
      <c r="Q2485" s="327"/>
      <c r="R2485" s="351"/>
      <c r="S2485" s="351"/>
      <c r="T2485" s="351"/>
      <c r="U2485" s="329" t="str">
        <f>IF($N2485=$N$4,IFERROR(INDEX(DanhMuc!$E$154:$E$165,MATCH(MID($B2485,4,2),DanhMuc!$B$154:$B$165,0)),""),"")</f>
        <v/>
      </c>
      <c r="V2485" s="408" t="s">
        <v>343</v>
      </c>
      <c r="W2485" s="345"/>
      <c r="X2485" s="329" t="str">
        <f t="shared" si="274"/>
        <v>KL</v>
      </c>
      <c r="Y2485" s="1128" t="s">
        <v>3380</v>
      </c>
      <c r="Z2485" s="1128" t="s">
        <v>3381</v>
      </c>
      <c r="AA2485" s="1128" t="s">
        <v>3384</v>
      </c>
      <c r="AB2485" s="20"/>
      <c r="AC2485" s="73"/>
    </row>
    <row r="2486" spans="1:29">
      <c r="A2486" s="327" t="str">
        <f>IF(AND($B2486&lt;&gt;"",$C2486&lt;&gt;""),MAX($A$1556:A2484)+1,"")</f>
        <v/>
      </c>
      <c r="B2486" s="361" t="s">
        <v>2007</v>
      </c>
      <c r="C2486" s="360"/>
      <c r="D2486" s="327">
        <f>IF($B2486="","",COUNTIF($B$6:$B2486,$B2486))</f>
        <v>13</v>
      </c>
      <c r="E2486" s="361" t="s">
        <v>2113</v>
      </c>
      <c r="F2486" s="362" t="s">
        <v>1798</v>
      </c>
      <c r="G2486" s="327" t="s">
        <v>297</v>
      </c>
      <c r="H2486" s="327"/>
      <c r="I2486" s="327">
        <v>1</v>
      </c>
      <c r="J2486" s="345"/>
      <c r="K2486" s="327"/>
      <c r="L2486" s="389">
        <v>1</v>
      </c>
      <c r="M2486" s="371"/>
      <c r="N2486" s="355" t="str">
        <f t="shared" si="273"/>
        <v>PK</v>
      </c>
      <c r="O2486" s="347"/>
      <c r="P2486" s="392"/>
      <c r="Q2486" s="327"/>
      <c r="R2486" s="351"/>
      <c r="S2486" s="351"/>
      <c r="T2486" s="351"/>
      <c r="U2486" s="329" t="str">
        <f>IF($N2486=$N$4,IFERROR(INDEX(DanhMuc!$E$154:$E$165,MATCH(MID($B2486,4,2),DanhMuc!$B$154:$B$165,0)),""),"")</f>
        <v/>
      </c>
      <c r="V2486" s="408" t="s">
        <v>343</v>
      </c>
      <c r="W2486" s="345"/>
      <c r="X2486" s="329" t="str">
        <f t="shared" si="274"/>
        <v>KL</v>
      </c>
      <c r="Y2486" s="1128" t="s">
        <v>3380</v>
      </c>
      <c r="Z2486" s="1128" t="s">
        <v>3381</v>
      </c>
      <c r="AA2486" s="1128" t="s">
        <v>3384</v>
      </c>
      <c r="AB2486" s="20"/>
      <c r="AC2486" s="73"/>
    </row>
    <row r="2487" spans="1:29">
      <c r="A2487" s="327" t="str">
        <f>IF(AND($B2487&lt;&gt;"",$C2487&lt;&gt;""),MAX($A$1556:A2485)+1,"")</f>
        <v/>
      </c>
      <c r="B2487" s="361" t="s">
        <v>2007</v>
      </c>
      <c r="C2487" s="360"/>
      <c r="D2487" s="327">
        <f>IF($B2487="","",COUNTIF($B$6:$B2487,$B2487))</f>
        <v>14</v>
      </c>
      <c r="E2487" s="426" t="s">
        <v>2115</v>
      </c>
      <c r="F2487" s="429" t="s">
        <v>197</v>
      </c>
      <c r="G2487" s="425" t="s">
        <v>344</v>
      </c>
      <c r="H2487" s="327" t="s">
        <v>536</v>
      </c>
      <c r="I2487" s="327">
        <v>1</v>
      </c>
      <c r="J2487" s="345"/>
      <c r="K2487" s="327"/>
      <c r="L2487" s="389">
        <f>410000-4</f>
        <v>409996</v>
      </c>
      <c r="M2487" s="371"/>
      <c r="N2487" s="355" t="str">
        <f t="shared" si="273"/>
        <v>PK</v>
      </c>
      <c r="O2487" s="347"/>
      <c r="P2487" s="392"/>
      <c r="Q2487" s="327"/>
      <c r="R2487" s="351"/>
      <c r="S2487" s="351"/>
      <c r="T2487" s="351"/>
      <c r="U2487" s="329" t="str">
        <f>IF($N2487=$N$4,IFERROR(INDEX(DanhMuc!$E$154:$E$165,MATCH(MID($B2487,4,2),DanhMuc!$B$154:$B$165,0)),""),"")</f>
        <v/>
      </c>
      <c r="V2487" s="408" t="s">
        <v>343</v>
      </c>
      <c r="W2487" s="345"/>
      <c r="X2487" s="329" t="str">
        <f t="shared" si="274"/>
        <v>KL</v>
      </c>
      <c r="Y2487" s="1128" t="s">
        <v>3380</v>
      </c>
      <c r="Z2487" s="1128" t="s">
        <v>3381</v>
      </c>
      <c r="AA2487" s="1128" t="s">
        <v>3384</v>
      </c>
      <c r="AB2487" s="20"/>
      <c r="AC2487" s="73"/>
    </row>
    <row r="2488" spans="1:29">
      <c r="A2488" s="327" t="str">
        <f>IF(AND($B2488&lt;&gt;"",$C2488&lt;&gt;""),MAX($A$1556:A2486)+1,"")</f>
        <v/>
      </c>
      <c r="B2488" s="361" t="s">
        <v>2007</v>
      </c>
      <c r="C2488" s="360"/>
      <c r="D2488" s="327">
        <f>IF($B2488="","",COUNTIF($B$6:$B2488,$B2488))</f>
        <v>15</v>
      </c>
      <c r="E2488" s="361" t="s">
        <v>2160</v>
      </c>
      <c r="F2488" s="362" t="s">
        <v>1922</v>
      </c>
      <c r="G2488" s="327" t="s">
        <v>155</v>
      </c>
      <c r="H2488" s="327" t="s">
        <v>536</v>
      </c>
      <c r="I2488" s="327">
        <v>1</v>
      </c>
      <c r="J2488" s="345"/>
      <c r="K2488" s="327"/>
      <c r="L2488" s="389">
        <v>1</v>
      </c>
      <c r="M2488" s="371"/>
      <c r="N2488" s="355" t="str">
        <f t="shared" si="273"/>
        <v>PK</v>
      </c>
      <c r="O2488" s="345" t="s">
        <v>2699</v>
      </c>
      <c r="P2488" s="392"/>
      <c r="Q2488" s="327"/>
      <c r="R2488" s="351"/>
      <c r="S2488" s="351"/>
      <c r="T2488" s="351"/>
      <c r="U2488" s="329" t="str">
        <f>IF($N2488=$N$4,IFERROR(INDEX(DanhMuc!$E$154:$E$165,MATCH(MID($B2488,4,2),DanhMuc!$B$154:$B$165,0)),""),"")</f>
        <v/>
      </c>
      <c r="V2488" s="408" t="s">
        <v>343</v>
      </c>
      <c r="W2488" s="345"/>
      <c r="X2488" s="329" t="str">
        <f t="shared" si="274"/>
        <v>KL</v>
      </c>
      <c r="Y2488" s="1128" t="s">
        <v>3380</v>
      </c>
      <c r="Z2488" s="1128" t="s">
        <v>3381</v>
      </c>
      <c r="AA2488" s="1128" t="s">
        <v>3384</v>
      </c>
      <c r="AB2488" s="20"/>
      <c r="AC2488" s="73"/>
    </row>
    <row r="2489" spans="1:29">
      <c r="A2489" s="327" t="str">
        <f>IF(AND($B2489&lt;&gt;"",$C2489&lt;&gt;""),MAX($A$1556:A2487)+1,"")</f>
        <v/>
      </c>
      <c r="B2489" s="361" t="s">
        <v>2007</v>
      </c>
      <c r="C2489" s="360"/>
      <c r="D2489" s="327">
        <f>IF($B2489="","",COUNTIF($B$6:$B2489,$B2489))</f>
        <v>16</v>
      </c>
      <c r="E2489" s="361" t="s">
        <v>2153</v>
      </c>
      <c r="F2489" s="362" t="s">
        <v>323</v>
      </c>
      <c r="G2489" s="327" t="s">
        <v>155</v>
      </c>
      <c r="H2489" s="327" t="s">
        <v>536</v>
      </c>
      <c r="I2489" s="327">
        <v>1</v>
      </c>
      <c r="J2489" s="345"/>
      <c r="K2489" s="327"/>
      <c r="L2489" s="389">
        <v>1</v>
      </c>
      <c r="M2489" s="371"/>
      <c r="N2489" s="355" t="str">
        <f t="shared" si="273"/>
        <v>PK</v>
      </c>
      <c r="O2489" s="345" t="s">
        <v>1060</v>
      </c>
      <c r="P2489" s="392"/>
      <c r="Q2489" s="327"/>
      <c r="R2489" s="351"/>
      <c r="S2489" s="351"/>
      <c r="T2489" s="351"/>
      <c r="U2489" s="329" t="str">
        <f>IF($N2489=$N$4,IFERROR(INDEX(DanhMuc!$E$154:$E$165,MATCH(MID($B2489,4,2),DanhMuc!$B$154:$B$165,0)),""),"")</f>
        <v/>
      </c>
      <c r="V2489" s="408" t="s">
        <v>343</v>
      </c>
      <c r="W2489" s="345"/>
      <c r="X2489" s="329" t="str">
        <f t="shared" si="274"/>
        <v>KL</v>
      </c>
      <c r="Y2489" s="1128" t="s">
        <v>3380</v>
      </c>
      <c r="Z2489" s="1128" t="s">
        <v>3381</v>
      </c>
      <c r="AA2489" s="1128" t="s">
        <v>3384</v>
      </c>
      <c r="AB2489" s="20"/>
      <c r="AC2489" s="73"/>
    </row>
    <row r="2490" spans="1:29">
      <c r="A2490" s="327" t="str">
        <f>IF(AND($B2490&lt;&gt;"",$C2490&lt;&gt;""),MAX($A$1556:A2487)+1,"")</f>
        <v/>
      </c>
      <c r="B2490" s="361" t="s">
        <v>2007</v>
      </c>
      <c r="C2490" s="360"/>
      <c r="D2490" s="327">
        <f>IF($B2490="","",COUNTIF($B$6:$B2490,$B2490))</f>
        <v>17</v>
      </c>
      <c r="E2490" s="361" t="s">
        <v>2159</v>
      </c>
      <c r="F2490" s="362" t="s">
        <v>1923</v>
      </c>
      <c r="G2490" s="327" t="s">
        <v>155</v>
      </c>
      <c r="H2490" s="327" t="s">
        <v>536</v>
      </c>
      <c r="I2490" s="327">
        <v>1</v>
      </c>
      <c r="J2490" s="345"/>
      <c r="K2490" s="327"/>
      <c r="L2490" s="389">
        <v>1</v>
      </c>
      <c r="M2490" s="371"/>
      <c r="N2490" s="355" t="str">
        <f t="shared" si="273"/>
        <v>PK</v>
      </c>
      <c r="O2490" s="347"/>
      <c r="P2490" s="392"/>
      <c r="Q2490" s="327"/>
      <c r="R2490" s="351"/>
      <c r="S2490" s="351"/>
      <c r="T2490" s="351"/>
      <c r="U2490" s="329" t="str">
        <f>IF($N2490=$N$4,IFERROR(INDEX(DanhMuc!$E$154:$E$165,MATCH(MID($B2490,4,2),DanhMuc!$B$154:$B$165,0)),""),"")</f>
        <v/>
      </c>
      <c r="V2490" s="408" t="s">
        <v>343</v>
      </c>
      <c r="W2490" s="345"/>
      <c r="X2490" s="329" t="str">
        <f t="shared" si="274"/>
        <v>KL</v>
      </c>
      <c r="Y2490" s="1128" t="s">
        <v>3380</v>
      </c>
      <c r="Z2490" s="1128" t="s">
        <v>3381</v>
      </c>
      <c r="AA2490" s="1128" t="s">
        <v>3384</v>
      </c>
      <c r="AB2490" s="20"/>
      <c r="AC2490" s="73"/>
    </row>
    <row r="2491" spans="1:29">
      <c r="A2491" s="327" t="str">
        <f>IF(AND($B2491&lt;&gt;"",$C2491&lt;&gt;""),MAX($A$1556:A2489)+1,"")</f>
        <v/>
      </c>
      <c r="B2491" s="361" t="s">
        <v>2007</v>
      </c>
      <c r="C2491" s="360"/>
      <c r="D2491" s="327">
        <f>IF($B2491="","",COUNTIF($B$6:$B2491,$B2491))</f>
        <v>18</v>
      </c>
      <c r="E2491" s="361" t="s">
        <v>1444</v>
      </c>
      <c r="F2491" s="362" t="s">
        <v>2356</v>
      </c>
      <c r="G2491" s="327" t="s">
        <v>297</v>
      </c>
      <c r="H2491" s="327"/>
      <c r="I2491" s="327">
        <v>2</v>
      </c>
      <c r="J2491" s="345"/>
      <c r="K2491" s="327"/>
      <c r="L2491" s="389">
        <v>17000</v>
      </c>
      <c r="M2491" s="371"/>
      <c r="N2491" s="355" t="str">
        <f>+$N$1555</f>
        <v>PK</v>
      </c>
      <c r="O2491" s="347"/>
      <c r="P2491" s="392"/>
      <c r="Q2491" s="327"/>
      <c r="R2491" s="351"/>
      <c r="S2491" s="351"/>
      <c r="T2491" s="351"/>
      <c r="U2491" s="329" t="str">
        <f>IF($N2491=$N$4,IFERROR(INDEX(DanhMuc!$E$154:$E$165,MATCH(MID($B2491,4,2),DanhMuc!$B$154:$B$165,0)),""),"")</f>
        <v/>
      </c>
      <c r="V2491" s="408" t="s">
        <v>343</v>
      </c>
      <c r="W2491" s="345"/>
      <c r="X2491" s="329" t="str">
        <f t="shared" si="274"/>
        <v>KL</v>
      </c>
      <c r="Y2491" s="1128" t="s">
        <v>3380</v>
      </c>
      <c r="Z2491" s="1128" t="s">
        <v>3381</v>
      </c>
      <c r="AA2491" s="1128" t="s">
        <v>3384</v>
      </c>
      <c r="AB2491" s="20"/>
      <c r="AC2491" s="73"/>
    </row>
    <row r="2492" spans="1:29" ht="39">
      <c r="A2492" s="327">
        <f>IF(AND($B2492&lt;&gt;"",$C2492&lt;&gt;""),MAX($A$1556:A2488)+1,"")</f>
        <v>135</v>
      </c>
      <c r="B2492" s="359" t="s">
        <v>2008</v>
      </c>
      <c r="C2492" s="360" t="s">
        <v>1889</v>
      </c>
      <c r="D2492" s="327">
        <f>IF($B2492="","",COUNTIF($B$6:$B2492,$B2492))</f>
        <v>1</v>
      </c>
      <c r="E2492" s="361" t="s">
        <v>2144</v>
      </c>
      <c r="F2492" s="362" t="s">
        <v>1924</v>
      </c>
      <c r="G2492" s="327" t="s">
        <v>155</v>
      </c>
      <c r="H2492" s="327"/>
      <c r="I2492" s="327">
        <v>2</v>
      </c>
      <c r="J2492" s="345"/>
      <c r="K2492" s="327"/>
      <c r="L2492" s="389">
        <v>250000</v>
      </c>
      <c r="M2492" s="371"/>
      <c r="N2492" s="355" t="str">
        <f t="shared" si="273"/>
        <v>PK</v>
      </c>
      <c r="O2492" s="347"/>
      <c r="P2492" s="392"/>
      <c r="Q2492" s="327"/>
      <c r="R2492" s="351"/>
      <c r="S2492" s="351"/>
      <c r="T2492" s="351"/>
      <c r="U2492" s="329" t="str">
        <f>IF($N2492=$N$4,IFERROR(INDEX(DanhMuc!$E$154:$E$165,MATCH(MID($B2492,4,2),DanhMuc!$B$154:$B$165,0)),""),"")</f>
        <v/>
      </c>
      <c r="V2492" s="408" t="s">
        <v>343</v>
      </c>
      <c r="W2492" s="345"/>
      <c r="X2492" s="329" t="str">
        <f t="shared" si="274"/>
        <v>KL</v>
      </c>
      <c r="Y2492" s="1128" t="s">
        <v>3380</v>
      </c>
      <c r="Z2492" s="1128" t="s">
        <v>3381</v>
      </c>
      <c r="AA2492" s="1128" t="s">
        <v>3384</v>
      </c>
      <c r="AB2492" s="20"/>
      <c r="AC2492" s="73"/>
    </row>
    <row r="2493" spans="1:29">
      <c r="A2493" s="327" t="str">
        <f>IF(AND($B2493&lt;&gt;"",$C2493&lt;&gt;""),MAX($A$1556:A2490)+1,"")</f>
        <v/>
      </c>
      <c r="B2493" s="361" t="s">
        <v>2008</v>
      </c>
      <c r="C2493" s="360"/>
      <c r="D2493" s="327">
        <f>IF($B2493="","",COUNTIF($B$6:$B2493,$B2493))</f>
        <v>2</v>
      </c>
      <c r="E2493" s="361" t="s">
        <v>2145</v>
      </c>
      <c r="F2493" s="362" t="s">
        <v>1912</v>
      </c>
      <c r="G2493" s="327" t="s">
        <v>155</v>
      </c>
      <c r="H2493" s="327"/>
      <c r="I2493" s="327">
        <v>2</v>
      </c>
      <c r="J2493" s="345"/>
      <c r="K2493" s="327"/>
      <c r="L2493" s="389">
        <v>215000</v>
      </c>
      <c r="M2493" s="371"/>
      <c r="N2493" s="355" t="str">
        <f t="shared" si="273"/>
        <v>PK</v>
      </c>
      <c r="O2493" s="347"/>
      <c r="P2493" s="392"/>
      <c r="Q2493" s="327"/>
      <c r="R2493" s="351"/>
      <c r="S2493" s="351"/>
      <c r="T2493" s="351"/>
      <c r="U2493" s="329" t="str">
        <f>IF($N2493=$N$4,IFERROR(INDEX(DanhMuc!$E$154:$E$165,MATCH(MID($B2493,4,2),DanhMuc!$B$154:$B$165,0)),""),"")</f>
        <v/>
      </c>
      <c r="V2493" s="408" t="s">
        <v>343</v>
      </c>
      <c r="W2493" s="345"/>
      <c r="X2493" s="329" t="str">
        <f t="shared" si="274"/>
        <v>KL</v>
      </c>
      <c r="Y2493" s="1128" t="s">
        <v>3380</v>
      </c>
      <c r="Z2493" s="1128" t="s">
        <v>3381</v>
      </c>
      <c r="AA2493" s="1128" t="s">
        <v>3384</v>
      </c>
      <c r="AB2493" s="20"/>
      <c r="AC2493" s="73"/>
    </row>
    <row r="2494" spans="1:29">
      <c r="A2494" s="327" t="str">
        <f>IF(AND($B2494&lt;&gt;"",$C2494&lt;&gt;""),MAX($A$1556:A2492)+1,"")</f>
        <v/>
      </c>
      <c r="B2494" s="361" t="s">
        <v>2008</v>
      </c>
      <c r="C2494" s="360"/>
      <c r="D2494" s="327">
        <f>IF($B2494="","",COUNTIF($B$6:$B2494,$B2494))</f>
        <v>3</v>
      </c>
      <c r="E2494" s="361" t="s">
        <v>2146</v>
      </c>
      <c r="F2494" s="362" t="s">
        <v>1913</v>
      </c>
      <c r="G2494" s="327" t="s">
        <v>155</v>
      </c>
      <c r="H2494" s="327"/>
      <c r="I2494" s="327">
        <v>12</v>
      </c>
      <c r="J2494" s="345"/>
      <c r="K2494" s="327"/>
      <c r="L2494" s="389">
        <v>75000</v>
      </c>
      <c r="M2494" s="371"/>
      <c r="N2494" s="355" t="str">
        <f t="shared" si="273"/>
        <v>PK</v>
      </c>
      <c r="O2494" s="345"/>
      <c r="P2494" s="392"/>
      <c r="Q2494" s="327"/>
      <c r="R2494" s="351"/>
      <c r="S2494" s="351"/>
      <c r="T2494" s="351"/>
      <c r="U2494" s="329" t="str">
        <f>IF($N2494=$N$4,IFERROR(INDEX(DanhMuc!$E$154:$E$165,MATCH(MID($B2494,4,2),DanhMuc!$B$154:$B$165,0)),""),"")</f>
        <v/>
      </c>
      <c r="V2494" s="408" t="s">
        <v>343</v>
      </c>
      <c r="W2494" s="345"/>
      <c r="X2494" s="329" t="str">
        <f t="shared" si="274"/>
        <v>KL</v>
      </c>
      <c r="Y2494" s="1128" t="s">
        <v>3380</v>
      </c>
      <c r="Z2494" s="1128" t="s">
        <v>3381</v>
      </c>
      <c r="AA2494" s="1128" t="s">
        <v>3384</v>
      </c>
      <c r="AB2494" s="20"/>
      <c r="AC2494" s="73"/>
    </row>
    <row r="2495" spans="1:29">
      <c r="A2495" s="327" t="str">
        <f>IF(AND($B2495&lt;&gt;"",$C2495&lt;&gt;""),MAX($A$1556:A2493)+1,"")</f>
        <v/>
      </c>
      <c r="B2495" s="361" t="s">
        <v>2008</v>
      </c>
      <c r="C2495" s="360"/>
      <c r="D2495" s="327">
        <f>IF($B2495="","",COUNTIF($B$6:$B2495,$B2495))</f>
        <v>4</v>
      </c>
      <c r="E2495" s="361" t="s">
        <v>2146</v>
      </c>
      <c r="F2495" s="362" t="s">
        <v>1913</v>
      </c>
      <c r="G2495" s="327" t="s">
        <v>155</v>
      </c>
      <c r="H2495" s="327"/>
      <c r="I2495" s="327">
        <v>2</v>
      </c>
      <c r="J2495" s="345"/>
      <c r="K2495" s="327"/>
      <c r="L2495" s="389">
        <v>75000</v>
      </c>
      <c r="M2495" s="371"/>
      <c r="N2495" s="355" t="str">
        <f t="shared" si="273"/>
        <v>PK</v>
      </c>
      <c r="O2495" s="345" t="s">
        <v>639</v>
      </c>
      <c r="P2495" s="392"/>
      <c r="Q2495" s="327"/>
      <c r="R2495" s="351"/>
      <c r="S2495" s="351"/>
      <c r="T2495" s="351"/>
      <c r="U2495" s="329" t="str">
        <f>IF($N2495=$N$4,IFERROR(INDEX(DanhMuc!$E$154:$E$165,MATCH(MID($B2495,4,2),DanhMuc!$B$154:$B$165,0)),""),"")</f>
        <v/>
      </c>
      <c r="V2495" s="408" t="s">
        <v>343</v>
      </c>
      <c r="W2495" s="345"/>
      <c r="X2495" s="329" t="str">
        <f t="shared" si="274"/>
        <v>KL</v>
      </c>
      <c r="Y2495" s="1128" t="s">
        <v>3380</v>
      </c>
      <c r="Z2495" s="1128" t="s">
        <v>3381</v>
      </c>
      <c r="AA2495" s="1128" t="s">
        <v>3384</v>
      </c>
      <c r="AB2495" s="20"/>
      <c r="AC2495" s="73"/>
    </row>
    <row r="2496" spans="1:29">
      <c r="A2496" s="327" t="str">
        <f>IF(AND($B2496&lt;&gt;"",$C2496&lt;&gt;""),MAX($A$1556:A2493)+1,"")</f>
        <v/>
      </c>
      <c r="B2496" s="361" t="s">
        <v>2008</v>
      </c>
      <c r="C2496" s="360"/>
      <c r="D2496" s="327">
        <f>IF($B2496="","",COUNTIF($B$6:$B2496,$B2496))</f>
        <v>5</v>
      </c>
      <c r="E2496" s="361" t="s">
        <v>2154</v>
      </c>
      <c r="F2496" s="362" t="s">
        <v>1914</v>
      </c>
      <c r="G2496" s="327" t="s">
        <v>155</v>
      </c>
      <c r="H2496" s="327"/>
      <c r="I2496" s="327">
        <v>2</v>
      </c>
      <c r="J2496" s="345"/>
      <c r="K2496" s="327"/>
      <c r="L2496" s="389">
        <v>100000</v>
      </c>
      <c r="M2496" s="371"/>
      <c r="N2496" s="355" t="str">
        <f t="shared" si="273"/>
        <v>PK</v>
      </c>
      <c r="O2496" s="345" t="s">
        <v>640</v>
      </c>
      <c r="P2496" s="392"/>
      <c r="Q2496" s="327"/>
      <c r="R2496" s="351"/>
      <c r="S2496" s="351"/>
      <c r="T2496" s="351"/>
      <c r="U2496" s="329" t="str">
        <f>IF($N2496=$N$4,IFERROR(INDEX(DanhMuc!$E$154:$E$165,MATCH(MID($B2496,4,2),DanhMuc!$B$154:$B$165,0)),""),"")</f>
        <v/>
      </c>
      <c r="V2496" s="408" t="s">
        <v>343</v>
      </c>
      <c r="W2496" s="345"/>
      <c r="X2496" s="329" t="str">
        <f t="shared" si="274"/>
        <v>KL</v>
      </c>
      <c r="Y2496" s="1128" t="s">
        <v>3380</v>
      </c>
      <c r="Z2496" s="1128" t="s">
        <v>3381</v>
      </c>
      <c r="AA2496" s="1128" t="s">
        <v>3384</v>
      </c>
      <c r="AB2496" s="20"/>
      <c r="AC2496" s="73"/>
    </row>
    <row r="2497" spans="1:29">
      <c r="A2497" s="327" t="str">
        <f>IF(AND($B2497&lt;&gt;"",$C2497&lt;&gt;""),MAX($A$1556:A2494)+1,"")</f>
        <v/>
      </c>
      <c r="B2497" s="361" t="s">
        <v>2008</v>
      </c>
      <c r="C2497" s="360"/>
      <c r="D2497" s="327">
        <f>IF($B2497="","",COUNTIF($B$6:$B2497,$B2497))</f>
        <v>6</v>
      </c>
      <c r="E2497" s="361" t="s">
        <v>2147</v>
      </c>
      <c r="F2497" s="362" t="s">
        <v>1915</v>
      </c>
      <c r="G2497" s="327" t="s">
        <v>155</v>
      </c>
      <c r="H2497" s="327" t="s">
        <v>536</v>
      </c>
      <c r="I2497" s="327">
        <v>2</v>
      </c>
      <c r="J2497" s="345"/>
      <c r="K2497" s="327"/>
      <c r="L2497" s="389">
        <v>65000</v>
      </c>
      <c r="M2497" s="371"/>
      <c r="N2497" s="355" t="str">
        <f t="shared" si="273"/>
        <v>PK</v>
      </c>
      <c r="O2497" s="347"/>
      <c r="P2497" s="392"/>
      <c r="Q2497" s="327"/>
      <c r="R2497" s="351"/>
      <c r="S2497" s="351"/>
      <c r="T2497" s="351"/>
      <c r="U2497" s="329" t="str">
        <f>IF($N2497=$N$4,IFERROR(INDEX(DanhMuc!$E$154:$E$165,MATCH(MID($B2497,4,2),DanhMuc!$B$154:$B$165,0)),""),"")</f>
        <v/>
      </c>
      <c r="V2497" s="408" t="s">
        <v>343</v>
      </c>
      <c r="W2497" s="345"/>
      <c r="X2497" s="329" t="str">
        <f t="shared" si="274"/>
        <v>KL</v>
      </c>
      <c r="Y2497" s="1128" t="s">
        <v>3380</v>
      </c>
      <c r="Z2497" s="1128" t="s">
        <v>3381</v>
      </c>
      <c r="AA2497" s="1128" t="s">
        <v>3384</v>
      </c>
      <c r="AB2497" s="20"/>
      <c r="AC2497" s="73"/>
    </row>
    <row r="2498" spans="1:29">
      <c r="A2498" s="327" t="str">
        <f>IF(AND($B2498&lt;&gt;"",$C2498&lt;&gt;""),MAX($A$1556:A2496)+1,"")</f>
        <v/>
      </c>
      <c r="B2498" s="361" t="s">
        <v>2008</v>
      </c>
      <c r="C2498" s="360"/>
      <c r="D2498" s="327">
        <f>IF($B2498="","",COUNTIF($B$6:$B2498,$B2498))</f>
        <v>7</v>
      </c>
      <c r="E2498" s="361" t="s">
        <v>2158</v>
      </c>
      <c r="F2498" s="362" t="s">
        <v>1916</v>
      </c>
      <c r="G2498" s="327" t="s">
        <v>155</v>
      </c>
      <c r="H2498" s="327"/>
      <c r="I2498" s="327">
        <v>4</v>
      </c>
      <c r="J2498" s="345"/>
      <c r="K2498" s="327"/>
      <c r="L2498" s="389">
        <v>65000</v>
      </c>
      <c r="M2498" s="371"/>
      <c r="N2498" s="355" t="str">
        <f t="shared" si="273"/>
        <v>PK</v>
      </c>
      <c r="O2498" s="347"/>
      <c r="P2498" s="392"/>
      <c r="Q2498" s="327"/>
      <c r="R2498" s="351"/>
      <c r="S2498" s="351"/>
      <c r="T2498" s="351"/>
      <c r="U2498" s="329" t="str">
        <f>IF($N2498=$N$4,IFERROR(INDEX(DanhMuc!$E$154:$E$165,MATCH(MID($B2498,4,2),DanhMuc!$B$154:$B$165,0)),""),"")</f>
        <v/>
      </c>
      <c r="V2498" s="408" t="s">
        <v>343</v>
      </c>
      <c r="W2498" s="345"/>
      <c r="X2498" s="329" t="str">
        <f t="shared" si="274"/>
        <v>KL</v>
      </c>
      <c r="Y2498" s="1128" t="s">
        <v>3380</v>
      </c>
      <c r="Z2498" s="1128" t="s">
        <v>3381</v>
      </c>
      <c r="AA2498" s="1128" t="s">
        <v>3384</v>
      </c>
      <c r="AB2498" s="20"/>
      <c r="AC2498" s="73"/>
    </row>
    <row r="2499" spans="1:29">
      <c r="A2499" s="327" t="str">
        <f>IF(AND($B2499&lt;&gt;"",$C2499&lt;&gt;""),MAX($A$1556:A2497)+1,"")</f>
        <v/>
      </c>
      <c r="B2499" s="361" t="s">
        <v>2008</v>
      </c>
      <c r="C2499" s="360"/>
      <c r="D2499" s="327">
        <f>IF($B2499="","",COUNTIF($B$6:$B2499,$B2499))</f>
        <v>8</v>
      </c>
      <c r="E2499" s="361" t="s">
        <v>2148</v>
      </c>
      <c r="F2499" s="362" t="s">
        <v>1917</v>
      </c>
      <c r="G2499" s="327" t="s">
        <v>156</v>
      </c>
      <c r="H2499" s="327" t="s">
        <v>536</v>
      </c>
      <c r="I2499" s="413" t="s">
        <v>1929</v>
      </c>
      <c r="J2499" s="345"/>
      <c r="K2499" s="327"/>
      <c r="L2499" s="389">
        <v>68000</v>
      </c>
      <c r="M2499" s="371"/>
      <c r="N2499" s="355" t="str">
        <f t="shared" si="273"/>
        <v>PK</v>
      </c>
      <c r="O2499" s="347"/>
      <c r="P2499" s="392"/>
      <c r="Q2499" s="327"/>
      <c r="R2499" s="351"/>
      <c r="S2499" s="351"/>
      <c r="T2499" s="351"/>
      <c r="U2499" s="329" t="str">
        <f>IF($N2499=$N$4,IFERROR(INDEX(DanhMuc!$E$154:$E$165,MATCH(MID($B2499,4,2),DanhMuc!$B$154:$B$165,0)),""),"")</f>
        <v/>
      </c>
      <c r="V2499" s="408" t="s">
        <v>343</v>
      </c>
      <c r="W2499" s="345"/>
      <c r="X2499" s="329" t="str">
        <f t="shared" si="274"/>
        <v>KL</v>
      </c>
      <c r="Y2499" s="1128" t="s">
        <v>3380</v>
      </c>
      <c r="Z2499" s="1128" t="s">
        <v>3381</v>
      </c>
      <c r="AA2499" s="1128" t="s">
        <v>3384</v>
      </c>
      <c r="AB2499" s="20"/>
      <c r="AC2499" s="73"/>
    </row>
    <row r="2500" spans="1:29">
      <c r="A2500" s="327" t="str">
        <f>IF(AND($B2500&lt;&gt;"",$C2500&lt;&gt;""),MAX($A$1556:A2498)+1,"")</f>
        <v/>
      </c>
      <c r="B2500" s="361" t="s">
        <v>2008</v>
      </c>
      <c r="C2500" s="360"/>
      <c r="D2500" s="327">
        <f>IF($B2500="","",COUNTIF($B$6:$B2500,$B2500))</f>
        <v>9</v>
      </c>
      <c r="E2500" s="361" t="s">
        <v>2149</v>
      </c>
      <c r="F2500" s="362" t="s">
        <v>1918</v>
      </c>
      <c r="G2500" s="327" t="s">
        <v>156</v>
      </c>
      <c r="H2500" s="327" t="s">
        <v>536</v>
      </c>
      <c r="I2500" s="413" t="s">
        <v>1928</v>
      </c>
      <c r="J2500" s="345"/>
      <c r="K2500" s="327"/>
      <c r="L2500" s="389">
        <v>75000</v>
      </c>
      <c r="M2500" s="371"/>
      <c r="N2500" s="355" t="str">
        <f t="shared" si="273"/>
        <v>PK</v>
      </c>
      <c r="O2500" s="347"/>
      <c r="P2500" s="392"/>
      <c r="Q2500" s="327"/>
      <c r="R2500" s="351"/>
      <c r="S2500" s="351"/>
      <c r="T2500" s="351"/>
      <c r="U2500" s="329" t="str">
        <f>IF($N2500=$N$4,IFERROR(INDEX(DanhMuc!$E$154:$E$165,MATCH(MID($B2500,4,2),DanhMuc!$B$154:$B$165,0)),""),"")</f>
        <v/>
      </c>
      <c r="V2500" s="408" t="s">
        <v>343</v>
      </c>
      <c r="W2500" s="345"/>
      <c r="X2500" s="329" t="str">
        <f t="shared" si="274"/>
        <v>KL</v>
      </c>
      <c r="Y2500" s="1128" t="s">
        <v>3380</v>
      </c>
      <c r="Z2500" s="1128" t="s">
        <v>3381</v>
      </c>
      <c r="AA2500" s="1128" t="s">
        <v>3384</v>
      </c>
      <c r="AB2500" s="20"/>
      <c r="AC2500" s="73"/>
    </row>
    <row r="2501" spans="1:29">
      <c r="A2501" s="327" t="str">
        <f>IF(AND($B2501&lt;&gt;"",$C2501&lt;&gt;""),MAX($A$1556:A2499)+1,"")</f>
        <v/>
      </c>
      <c r="B2501" s="361" t="s">
        <v>2008</v>
      </c>
      <c r="C2501" s="360"/>
      <c r="D2501" s="327">
        <f>IF($B2501="","",COUNTIF($B$6:$B2501,$B2501))</f>
        <v>10</v>
      </c>
      <c r="E2501" s="361" t="s">
        <v>2152</v>
      </c>
      <c r="F2501" s="362" t="s">
        <v>1919</v>
      </c>
      <c r="G2501" s="327" t="s">
        <v>156</v>
      </c>
      <c r="H2501" s="327"/>
      <c r="I2501" s="327">
        <v>1</v>
      </c>
      <c r="J2501" s="345"/>
      <c r="K2501" s="327"/>
      <c r="L2501" s="389">
        <v>50000</v>
      </c>
      <c r="M2501" s="371"/>
      <c r="N2501" s="355" t="str">
        <f t="shared" si="273"/>
        <v>PK</v>
      </c>
      <c r="O2501" s="347"/>
      <c r="P2501" s="392"/>
      <c r="Q2501" s="327"/>
      <c r="R2501" s="351"/>
      <c r="S2501" s="351"/>
      <c r="T2501" s="351"/>
      <c r="U2501" s="329" t="str">
        <f>IF($N2501=$N$4,IFERROR(INDEX(DanhMuc!$E$154:$E$165,MATCH(MID($B2501,4,2),DanhMuc!$B$154:$B$165,0)),""),"")</f>
        <v/>
      </c>
      <c r="V2501" s="408" t="s">
        <v>343</v>
      </c>
      <c r="W2501" s="345"/>
      <c r="X2501" s="329" t="str">
        <f t="shared" si="274"/>
        <v>KL</v>
      </c>
      <c r="Y2501" s="1128" t="s">
        <v>3380</v>
      </c>
      <c r="Z2501" s="1128" t="s">
        <v>3381</v>
      </c>
      <c r="AA2501" s="1128" t="s">
        <v>3384</v>
      </c>
      <c r="AB2501" s="20"/>
      <c r="AC2501" s="73"/>
    </row>
    <row r="2502" spans="1:29">
      <c r="A2502" s="327" t="str">
        <f>IF(AND($B2502&lt;&gt;"",$C2502&lt;&gt;""),MAX($A$1556:A2500)+1,"")</f>
        <v/>
      </c>
      <c r="B2502" s="361" t="s">
        <v>2008</v>
      </c>
      <c r="C2502" s="360"/>
      <c r="D2502" s="327">
        <f>IF($B2502="","",COUNTIF($B$6:$B2502,$B2502))</f>
        <v>11</v>
      </c>
      <c r="E2502" s="361" t="s">
        <v>2151</v>
      </c>
      <c r="F2502" s="362" t="s">
        <v>1920</v>
      </c>
      <c r="G2502" s="327" t="s">
        <v>156</v>
      </c>
      <c r="H2502" s="327"/>
      <c r="I2502" s="327">
        <v>1</v>
      </c>
      <c r="J2502" s="345"/>
      <c r="K2502" s="327"/>
      <c r="L2502" s="389">
        <v>34500</v>
      </c>
      <c r="M2502" s="371"/>
      <c r="N2502" s="355" t="str">
        <f t="shared" si="273"/>
        <v>PK</v>
      </c>
      <c r="O2502" s="347"/>
      <c r="P2502" s="392"/>
      <c r="Q2502" s="327"/>
      <c r="R2502" s="351"/>
      <c r="S2502" s="351"/>
      <c r="T2502" s="351"/>
      <c r="U2502" s="329" t="str">
        <f>IF($N2502=$N$4,IFERROR(INDEX(DanhMuc!$E$154:$E$165,MATCH(MID($B2502,4,2),DanhMuc!$B$154:$B$165,0)),""),"")</f>
        <v/>
      </c>
      <c r="V2502" s="408" t="s">
        <v>343</v>
      </c>
      <c r="W2502" s="345"/>
      <c r="X2502" s="329" t="str">
        <f t="shared" si="274"/>
        <v>KL</v>
      </c>
      <c r="Y2502" s="1128" t="s">
        <v>3380</v>
      </c>
      <c r="Z2502" s="1128" t="s">
        <v>3381</v>
      </c>
      <c r="AA2502" s="1128" t="s">
        <v>3384</v>
      </c>
      <c r="AB2502" s="20"/>
      <c r="AC2502" s="73"/>
    </row>
    <row r="2503" spans="1:29">
      <c r="A2503" s="327" t="str">
        <f>IF(AND($B2503&lt;&gt;"",$C2503&lt;&gt;""),MAX($A$1556:A2501)+1,"")</f>
        <v/>
      </c>
      <c r="B2503" s="361" t="s">
        <v>2008</v>
      </c>
      <c r="C2503" s="360"/>
      <c r="D2503" s="327">
        <f>IF($B2503="","",COUNTIF($B$6:$B2503,$B2503))</f>
        <v>12</v>
      </c>
      <c r="E2503" s="605" t="s">
        <v>2150</v>
      </c>
      <c r="F2503" s="633" t="s">
        <v>1921</v>
      </c>
      <c r="G2503" s="434" t="s">
        <v>155</v>
      </c>
      <c r="H2503" s="327" t="s">
        <v>536</v>
      </c>
      <c r="I2503" s="434">
        <v>4</v>
      </c>
      <c r="J2503" s="345"/>
      <c r="K2503" s="327"/>
      <c r="L2503" s="389">
        <v>16000</v>
      </c>
      <c r="M2503" s="371"/>
      <c r="N2503" s="355" t="str">
        <f t="shared" si="273"/>
        <v>PK</v>
      </c>
      <c r="O2503" s="347"/>
      <c r="P2503" s="392"/>
      <c r="Q2503" s="327"/>
      <c r="R2503" s="351"/>
      <c r="S2503" s="351"/>
      <c r="T2503" s="351"/>
      <c r="U2503" s="329" t="str">
        <f>IF($N2503=$N$4,IFERROR(INDEX(DanhMuc!$E$154:$E$165,MATCH(MID($B2503,4,2),DanhMuc!$B$154:$B$165,0)),""),"")</f>
        <v/>
      </c>
      <c r="V2503" s="408" t="s">
        <v>343</v>
      </c>
      <c r="W2503" s="345"/>
      <c r="X2503" s="329" t="str">
        <f t="shared" si="274"/>
        <v>KL</v>
      </c>
      <c r="Y2503" s="1128" t="s">
        <v>3380</v>
      </c>
      <c r="Z2503" s="1128" t="s">
        <v>3381</v>
      </c>
      <c r="AA2503" s="1128" t="s">
        <v>3384</v>
      </c>
      <c r="AB2503" s="20"/>
      <c r="AC2503" s="73"/>
    </row>
    <row r="2504" spans="1:29">
      <c r="A2504" s="327" t="str">
        <f>IF(AND($B2504&lt;&gt;"",$C2504&lt;&gt;""),MAX($A$1556:A2502)+1,"")</f>
        <v/>
      </c>
      <c r="B2504" s="361" t="s">
        <v>2008</v>
      </c>
      <c r="C2504" s="360"/>
      <c r="D2504" s="327">
        <f>IF($B2504="","",COUNTIF($B$6:$B2504,$B2504))</f>
        <v>13</v>
      </c>
      <c r="E2504" s="361" t="s">
        <v>2113</v>
      </c>
      <c r="F2504" s="362" t="s">
        <v>1798</v>
      </c>
      <c r="G2504" s="327" t="s">
        <v>297</v>
      </c>
      <c r="H2504" s="327"/>
      <c r="I2504" s="327">
        <v>1</v>
      </c>
      <c r="J2504" s="345"/>
      <c r="K2504" s="327"/>
      <c r="L2504" s="389">
        <v>1</v>
      </c>
      <c r="M2504" s="371"/>
      <c r="N2504" s="355" t="str">
        <f t="shared" si="273"/>
        <v>PK</v>
      </c>
      <c r="O2504" s="347"/>
      <c r="P2504" s="392"/>
      <c r="Q2504" s="327"/>
      <c r="R2504" s="351"/>
      <c r="S2504" s="351"/>
      <c r="T2504" s="351"/>
      <c r="U2504" s="329" t="str">
        <f>IF($N2504=$N$4,IFERROR(INDEX(DanhMuc!$E$154:$E$165,MATCH(MID($B2504,4,2),DanhMuc!$B$154:$B$165,0)),""),"")</f>
        <v/>
      </c>
      <c r="V2504" s="408" t="s">
        <v>343</v>
      </c>
      <c r="W2504" s="345"/>
      <c r="X2504" s="329" t="str">
        <f t="shared" si="274"/>
        <v>KL</v>
      </c>
      <c r="Y2504" s="1128" t="s">
        <v>3380</v>
      </c>
      <c r="Z2504" s="1128" t="s">
        <v>3381</v>
      </c>
      <c r="AA2504" s="1128" t="s">
        <v>3384</v>
      </c>
      <c r="AB2504" s="20"/>
      <c r="AC2504" s="73"/>
    </row>
    <row r="2505" spans="1:29">
      <c r="A2505" s="327" t="str">
        <f>IF(AND($B2505&lt;&gt;"",$C2505&lt;&gt;""),MAX($A$1556:A2503)+1,"")</f>
        <v/>
      </c>
      <c r="B2505" s="361" t="s">
        <v>2008</v>
      </c>
      <c r="C2505" s="360"/>
      <c r="D2505" s="327">
        <f>IF($B2505="","",COUNTIF($B$6:$B2505,$B2505))</f>
        <v>14</v>
      </c>
      <c r="E2505" s="426" t="s">
        <v>2115</v>
      </c>
      <c r="F2505" s="429" t="s">
        <v>197</v>
      </c>
      <c r="G2505" s="425" t="s">
        <v>344</v>
      </c>
      <c r="H2505" s="327" t="s">
        <v>536</v>
      </c>
      <c r="I2505" s="327">
        <v>1</v>
      </c>
      <c r="J2505" s="345"/>
      <c r="K2505" s="327"/>
      <c r="L2505" s="389">
        <f>410000-4</f>
        <v>409996</v>
      </c>
      <c r="M2505" s="371"/>
      <c r="N2505" s="355" t="str">
        <f t="shared" si="273"/>
        <v>PK</v>
      </c>
      <c r="O2505" s="347"/>
      <c r="P2505" s="392"/>
      <c r="Q2505" s="327"/>
      <c r="R2505" s="351"/>
      <c r="S2505" s="351"/>
      <c r="T2505" s="351"/>
      <c r="U2505" s="329" t="str">
        <f>IF($N2505=$N$4,IFERROR(INDEX(DanhMuc!$E$154:$E$165,MATCH(MID($B2505,4,2),DanhMuc!$B$154:$B$165,0)),""),"")</f>
        <v/>
      </c>
      <c r="V2505" s="408" t="s">
        <v>343</v>
      </c>
      <c r="W2505" s="345"/>
      <c r="X2505" s="329" t="str">
        <f t="shared" si="274"/>
        <v>KL</v>
      </c>
      <c r="Y2505" s="1128" t="s">
        <v>3380</v>
      </c>
      <c r="Z2505" s="1128" t="s">
        <v>3381</v>
      </c>
      <c r="AA2505" s="1128" t="s">
        <v>3384</v>
      </c>
      <c r="AB2505" s="20"/>
      <c r="AC2505" s="73"/>
    </row>
    <row r="2506" spans="1:29">
      <c r="A2506" s="327" t="str">
        <f>IF(AND($B2506&lt;&gt;"",$C2506&lt;&gt;""),MAX($A$1556:A2504)+1,"")</f>
        <v/>
      </c>
      <c r="B2506" s="361" t="s">
        <v>2008</v>
      </c>
      <c r="C2506" s="360"/>
      <c r="D2506" s="327">
        <f>IF($B2506="","",COUNTIF($B$6:$B2506,$B2506))</f>
        <v>15</v>
      </c>
      <c r="E2506" s="361" t="s">
        <v>2160</v>
      </c>
      <c r="F2506" s="362" t="s">
        <v>1922</v>
      </c>
      <c r="G2506" s="327" t="s">
        <v>155</v>
      </c>
      <c r="H2506" s="327" t="s">
        <v>536</v>
      </c>
      <c r="I2506" s="327">
        <v>1</v>
      </c>
      <c r="J2506" s="345"/>
      <c r="K2506" s="327"/>
      <c r="L2506" s="389">
        <v>1</v>
      </c>
      <c r="M2506" s="371"/>
      <c r="N2506" s="355" t="str">
        <f t="shared" si="273"/>
        <v>PK</v>
      </c>
      <c r="O2506" s="345" t="s">
        <v>2699</v>
      </c>
      <c r="P2506" s="392"/>
      <c r="Q2506" s="327"/>
      <c r="R2506" s="351"/>
      <c r="S2506" s="351"/>
      <c r="T2506" s="351"/>
      <c r="U2506" s="329" t="str">
        <f>IF($N2506=$N$4,IFERROR(INDEX(DanhMuc!$E$154:$E$165,MATCH(MID($B2506,4,2),DanhMuc!$B$154:$B$165,0)),""),"")</f>
        <v/>
      </c>
      <c r="V2506" s="408" t="s">
        <v>343</v>
      </c>
      <c r="W2506" s="345"/>
      <c r="X2506" s="329" t="str">
        <f t="shared" si="274"/>
        <v>KL</v>
      </c>
      <c r="Y2506" s="1128" t="s">
        <v>3380</v>
      </c>
      <c r="Z2506" s="1128" t="s">
        <v>3381</v>
      </c>
      <c r="AA2506" s="1128" t="s">
        <v>3384</v>
      </c>
      <c r="AB2506" s="20"/>
      <c r="AC2506" s="73"/>
    </row>
    <row r="2507" spans="1:29">
      <c r="A2507" s="327" t="str">
        <f>IF(AND($B2507&lt;&gt;"",$C2507&lt;&gt;""),MAX($A$1556:A2505)+1,"")</f>
        <v/>
      </c>
      <c r="B2507" s="361" t="s">
        <v>2008</v>
      </c>
      <c r="C2507" s="360"/>
      <c r="D2507" s="327">
        <f>IF($B2507="","",COUNTIF($B$6:$B2507,$B2507))</f>
        <v>16</v>
      </c>
      <c r="E2507" s="361" t="s">
        <v>2153</v>
      </c>
      <c r="F2507" s="362" t="s">
        <v>323</v>
      </c>
      <c r="G2507" s="327" t="s">
        <v>155</v>
      </c>
      <c r="H2507" s="327" t="s">
        <v>536</v>
      </c>
      <c r="I2507" s="327">
        <v>1</v>
      </c>
      <c r="J2507" s="345"/>
      <c r="K2507" s="327"/>
      <c r="L2507" s="389">
        <v>1</v>
      </c>
      <c r="M2507" s="371"/>
      <c r="N2507" s="355" t="str">
        <f t="shared" si="273"/>
        <v>PK</v>
      </c>
      <c r="O2507" s="345" t="s">
        <v>1060</v>
      </c>
      <c r="P2507" s="392"/>
      <c r="Q2507" s="327"/>
      <c r="R2507" s="351"/>
      <c r="S2507" s="351"/>
      <c r="T2507" s="351"/>
      <c r="U2507" s="329" t="str">
        <f>IF($N2507=$N$4,IFERROR(INDEX(DanhMuc!$E$154:$E$165,MATCH(MID($B2507,4,2),DanhMuc!$B$154:$B$165,0)),""),"")</f>
        <v/>
      </c>
      <c r="V2507" s="408" t="s">
        <v>343</v>
      </c>
      <c r="W2507" s="345"/>
      <c r="X2507" s="329" t="str">
        <f t="shared" si="274"/>
        <v>KL</v>
      </c>
      <c r="Y2507" s="1128" t="s">
        <v>3380</v>
      </c>
      <c r="Z2507" s="1128" t="s">
        <v>3381</v>
      </c>
      <c r="AA2507" s="1128" t="s">
        <v>3384</v>
      </c>
      <c r="AB2507" s="20"/>
      <c r="AC2507" s="73"/>
    </row>
    <row r="2508" spans="1:29">
      <c r="A2508" s="327" t="str">
        <f>IF(AND($B2508&lt;&gt;"",$C2508&lt;&gt;""),MAX($A$1556:A2505)+1,"")</f>
        <v/>
      </c>
      <c r="B2508" s="361" t="s">
        <v>2008</v>
      </c>
      <c r="C2508" s="360"/>
      <c r="D2508" s="327">
        <f>IF($B2508="","",COUNTIF($B$6:$B2508,$B2508))</f>
        <v>17</v>
      </c>
      <c r="E2508" s="361" t="s">
        <v>2159</v>
      </c>
      <c r="F2508" s="362" t="s">
        <v>1923</v>
      </c>
      <c r="G2508" s="327" t="s">
        <v>155</v>
      </c>
      <c r="H2508" s="327" t="s">
        <v>536</v>
      </c>
      <c r="I2508" s="327">
        <v>1</v>
      </c>
      <c r="J2508" s="345"/>
      <c r="K2508" s="327"/>
      <c r="L2508" s="389">
        <v>1</v>
      </c>
      <c r="M2508" s="371"/>
      <c r="N2508" s="355" t="str">
        <f t="shared" si="273"/>
        <v>PK</v>
      </c>
      <c r="O2508" s="347"/>
      <c r="P2508" s="392"/>
      <c r="Q2508" s="327"/>
      <c r="R2508" s="351"/>
      <c r="S2508" s="351"/>
      <c r="T2508" s="351"/>
      <c r="U2508" s="329" t="str">
        <f>IF($N2508=$N$4,IFERROR(INDEX(DanhMuc!$E$154:$E$165,MATCH(MID($B2508,4,2),DanhMuc!$B$154:$B$165,0)),""),"")</f>
        <v/>
      </c>
      <c r="V2508" s="408" t="s">
        <v>343</v>
      </c>
      <c r="W2508" s="345"/>
      <c r="X2508" s="329" t="str">
        <f t="shared" si="274"/>
        <v>KL</v>
      </c>
      <c r="Y2508" s="1128" t="s">
        <v>3380</v>
      </c>
      <c r="Z2508" s="1128" t="s">
        <v>3381</v>
      </c>
      <c r="AA2508" s="1128" t="s">
        <v>3384</v>
      </c>
      <c r="AB2508" s="20"/>
      <c r="AC2508" s="73"/>
    </row>
    <row r="2509" spans="1:29">
      <c r="A2509" s="327" t="str">
        <f>IF(AND($B2509&lt;&gt;"",$C2509&lt;&gt;""),MAX($A$1556:A2507)+1,"")</f>
        <v/>
      </c>
      <c r="B2509" s="361" t="s">
        <v>2008</v>
      </c>
      <c r="C2509" s="360"/>
      <c r="D2509" s="327">
        <f>IF($B2509="","",COUNTIF($B$6:$B2509,$B2509))</f>
        <v>18</v>
      </c>
      <c r="E2509" s="361" t="s">
        <v>1444</v>
      </c>
      <c r="F2509" s="362" t="s">
        <v>2356</v>
      </c>
      <c r="G2509" s="327" t="s">
        <v>297</v>
      </c>
      <c r="H2509" s="327"/>
      <c r="I2509" s="327">
        <v>3</v>
      </c>
      <c r="J2509" s="345"/>
      <c r="K2509" s="327"/>
      <c r="L2509" s="389">
        <v>17000</v>
      </c>
      <c r="M2509" s="371"/>
      <c r="N2509" s="355" t="str">
        <f>+$N$1555</f>
        <v>PK</v>
      </c>
      <c r="O2509" s="347"/>
      <c r="P2509" s="392"/>
      <c r="Q2509" s="327"/>
      <c r="R2509" s="351"/>
      <c r="S2509" s="351"/>
      <c r="T2509" s="351"/>
      <c r="U2509" s="329" t="str">
        <f>IF($N2509=$N$4,IFERROR(INDEX(DanhMuc!$E$154:$E$165,MATCH(MID($B2509,4,2),DanhMuc!$B$154:$B$165,0)),""),"")</f>
        <v/>
      </c>
      <c r="V2509" s="408" t="s">
        <v>343</v>
      </c>
      <c r="W2509" s="345"/>
      <c r="X2509" s="329" t="str">
        <f t="shared" si="274"/>
        <v>KL</v>
      </c>
      <c r="Y2509" s="1128" t="s">
        <v>3380</v>
      </c>
      <c r="Z2509" s="1128" t="s">
        <v>3381</v>
      </c>
      <c r="AA2509" s="1128" t="s">
        <v>3384</v>
      </c>
      <c r="AB2509" s="20"/>
      <c r="AC2509" s="73"/>
    </row>
    <row r="2510" spans="1:29" ht="39">
      <c r="A2510" s="327">
        <f>IF(AND($B2510&lt;&gt;"",$C2510&lt;&gt;""),MAX($A$1556:A2496)+1,"")</f>
        <v>136</v>
      </c>
      <c r="B2510" s="359" t="s">
        <v>2164</v>
      </c>
      <c r="C2510" s="360" t="s">
        <v>1890</v>
      </c>
      <c r="D2510" s="327">
        <f>IF($B2510="","",COUNTIF($B$6:$B2510,$B2510))</f>
        <v>1</v>
      </c>
      <c r="E2510" s="361" t="s">
        <v>2166</v>
      </c>
      <c r="F2510" s="362" t="s">
        <v>2165</v>
      </c>
      <c r="G2510" s="327" t="s">
        <v>155</v>
      </c>
      <c r="H2510" s="327"/>
      <c r="I2510" s="327">
        <v>1</v>
      </c>
      <c r="J2510" s="361"/>
      <c r="K2510" s="327"/>
      <c r="L2510" s="389">
        <v>70323</v>
      </c>
      <c r="M2510" s="371"/>
      <c r="N2510" s="355" t="str">
        <f t="shared" si="273"/>
        <v>PK</v>
      </c>
      <c r="O2510" s="345"/>
      <c r="P2510" s="392"/>
      <c r="Q2510" s="327"/>
      <c r="R2510" s="351"/>
      <c r="S2510" s="351"/>
      <c r="T2510" s="351"/>
      <c r="U2510" s="329" t="str">
        <f>IF($N2510=$N$4,IFERROR(INDEX(DanhMuc!$E$154:$E$165,MATCH(MID($B2510,4,2),DanhMuc!$B$154:$B$165,0)),""),"")</f>
        <v/>
      </c>
      <c r="V2510" s="361"/>
      <c r="W2510" s="345"/>
      <c r="X2510" s="329" t="str">
        <f t="shared" si="274"/>
        <v>KL</v>
      </c>
      <c r="Y2510" s="1128" t="s">
        <v>3380</v>
      </c>
      <c r="Z2510" s="1128" t="s">
        <v>3381</v>
      </c>
      <c r="AA2510" s="1128" t="s">
        <v>3384</v>
      </c>
      <c r="AB2510" s="20"/>
      <c r="AC2510" s="73"/>
    </row>
    <row r="2511" spans="1:29">
      <c r="A2511" s="327" t="str">
        <f>IF(AND($B2511&lt;&gt;"",$C2511&lt;&gt;""),MAX($A$1556:A2510)+1,"")</f>
        <v/>
      </c>
      <c r="B2511" s="361" t="s">
        <v>2164</v>
      </c>
      <c r="C2511" s="360"/>
      <c r="D2511" s="327">
        <f>IF($B2511="","",COUNTIF($B$6:$B2511,$B2511))</f>
        <v>2</v>
      </c>
      <c r="E2511" s="361" t="s">
        <v>2167</v>
      </c>
      <c r="F2511" s="362" t="s">
        <v>224</v>
      </c>
      <c r="G2511" s="327" t="s">
        <v>155</v>
      </c>
      <c r="H2511" s="327" t="s">
        <v>536</v>
      </c>
      <c r="I2511" s="327">
        <v>1</v>
      </c>
      <c r="J2511" s="361"/>
      <c r="K2511" s="327"/>
      <c r="L2511" s="389">
        <v>17300</v>
      </c>
      <c r="M2511" s="371"/>
      <c r="N2511" s="355" t="str">
        <f t="shared" si="273"/>
        <v>PK</v>
      </c>
      <c r="O2511" s="345"/>
      <c r="P2511" s="392"/>
      <c r="Q2511" s="327"/>
      <c r="R2511" s="351"/>
      <c r="S2511" s="351"/>
      <c r="T2511" s="351"/>
      <c r="U2511" s="329" t="str">
        <f>IF($N2511=$N$4,IFERROR(INDEX(DanhMuc!$E$154:$E$165,MATCH(MID($B2511,4,2),DanhMuc!$B$154:$B$165,0)),""),"")</f>
        <v/>
      </c>
      <c r="V2511" s="361"/>
      <c r="W2511" s="345"/>
      <c r="X2511" s="329" t="str">
        <f t="shared" si="274"/>
        <v>KL</v>
      </c>
      <c r="Y2511" s="1128" t="s">
        <v>3380</v>
      </c>
      <c r="Z2511" s="1128" t="s">
        <v>3381</v>
      </c>
      <c r="AA2511" s="1128" t="s">
        <v>3384</v>
      </c>
      <c r="AB2511" s="20"/>
      <c r="AC2511" s="73"/>
    </row>
    <row r="2512" spans="1:29">
      <c r="A2512" s="327" t="str">
        <f>IF(AND($B2512&lt;&gt;"",$C2512&lt;&gt;""),MAX($A$1556:A2511)+1,"")</f>
        <v/>
      </c>
      <c r="B2512" s="361" t="s">
        <v>2164</v>
      </c>
      <c r="C2512" s="360"/>
      <c r="D2512" s="327">
        <f>IF($B2512="","",COUNTIF($B$6:$B2512,$B2512))</f>
        <v>3</v>
      </c>
      <c r="E2512" s="361" t="s">
        <v>2114</v>
      </c>
      <c r="F2512" s="362" t="s">
        <v>633</v>
      </c>
      <c r="G2512" s="327" t="s">
        <v>155</v>
      </c>
      <c r="H2512" s="327" t="s">
        <v>536</v>
      </c>
      <c r="I2512" s="327">
        <v>2</v>
      </c>
      <c r="J2512" s="345"/>
      <c r="K2512" s="327"/>
      <c r="L2512" s="389">
        <v>13500</v>
      </c>
      <c r="M2512" s="371"/>
      <c r="N2512" s="355" t="str">
        <f t="shared" si="273"/>
        <v>PK</v>
      </c>
      <c r="O2512" s="345"/>
      <c r="P2512" s="392"/>
      <c r="Q2512" s="327"/>
      <c r="R2512" s="351"/>
      <c r="S2512" s="351"/>
      <c r="T2512" s="351"/>
      <c r="U2512" s="329" t="str">
        <f>IF($N2512=$N$4,IFERROR(INDEX(DanhMuc!$E$154:$E$165,MATCH(MID($B2512,4,2),DanhMuc!$B$154:$B$165,0)),""),"")</f>
        <v/>
      </c>
      <c r="V2512" s="361"/>
      <c r="W2512" s="345"/>
      <c r="X2512" s="329" t="str">
        <f t="shared" si="274"/>
        <v>KL</v>
      </c>
      <c r="Y2512" s="1128" t="s">
        <v>3380</v>
      </c>
      <c r="Z2512" s="1128" t="s">
        <v>3381</v>
      </c>
      <c r="AA2512" s="1128" t="s">
        <v>3384</v>
      </c>
      <c r="AB2512" s="20"/>
      <c r="AC2512" s="73"/>
    </row>
    <row r="2513" spans="1:29">
      <c r="A2513" s="327" t="str">
        <f>IF(AND($B2513&lt;&gt;"",$C2513&lt;&gt;""),MAX($A$1556:A2512)+1,"")</f>
        <v/>
      </c>
      <c r="B2513" s="361" t="s">
        <v>2164</v>
      </c>
      <c r="C2513" s="360"/>
      <c r="D2513" s="327">
        <f>IF($B2513="","",COUNTIF($B$6:$B2513,$B2513))</f>
        <v>4</v>
      </c>
      <c r="E2513" s="419" t="s">
        <v>2600</v>
      </c>
      <c r="F2513" s="417" t="s">
        <v>1801</v>
      </c>
      <c r="G2513" s="327" t="s">
        <v>155</v>
      </c>
      <c r="H2513" s="327" t="s">
        <v>536</v>
      </c>
      <c r="I2513" s="327">
        <v>2</v>
      </c>
      <c r="J2513" s="345"/>
      <c r="K2513" s="327"/>
      <c r="L2513" s="389">
        <v>8000</v>
      </c>
      <c r="M2513" s="371"/>
      <c r="N2513" s="355" t="str">
        <f t="shared" si="273"/>
        <v>PK</v>
      </c>
      <c r="O2513" s="345"/>
      <c r="P2513" s="392"/>
      <c r="Q2513" s="327"/>
      <c r="R2513" s="351"/>
      <c r="S2513" s="351"/>
      <c r="T2513" s="351"/>
      <c r="U2513" s="329" t="str">
        <f>IF($N2513=$N$4,IFERROR(INDEX(DanhMuc!$E$154:$E$165,MATCH(MID($B2513,4,2),DanhMuc!$B$154:$B$165,0)),""),"")</f>
        <v/>
      </c>
      <c r="V2513" s="361"/>
      <c r="W2513" s="345"/>
      <c r="X2513" s="329" t="str">
        <f t="shared" si="274"/>
        <v>KL</v>
      </c>
      <c r="Y2513" s="1128" t="s">
        <v>3380</v>
      </c>
      <c r="Z2513" s="1128" t="s">
        <v>3381</v>
      </c>
      <c r="AA2513" s="1128" t="s">
        <v>3384</v>
      </c>
      <c r="AB2513" s="20"/>
      <c r="AC2513" s="73"/>
    </row>
    <row r="2514" spans="1:29">
      <c r="A2514" s="327" t="str">
        <f>IF(AND($B2514&lt;&gt;"",$C2514&lt;&gt;""),MAX($A$1556:A2513)+1,"")</f>
        <v/>
      </c>
      <c r="B2514" s="361" t="s">
        <v>2164</v>
      </c>
      <c r="C2514" s="360"/>
      <c r="D2514" s="327">
        <f>IF($B2514="","",COUNTIF($B$6:$B2514,$B2514))</f>
        <v>5</v>
      </c>
      <c r="E2514" s="365" t="s">
        <v>327</v>
      </c>
      <c r="F2514" s="368" t="s">
        <v>345</v>
      </c>
      <c r="G2514" s="367" t="s">
        <v>690</v>
      </c>
      <c r="H2514" s="327" t="s">
        <v>536</v>
      </c>
      <c r="I2514" s="327">
        <v>1</v>
      </c>
      <c r="J2514" s="345" t="s">
        <v>710</v>
      </c>
      <c r="K2514" s="327"/>
      <c r="L2514" s="348">
        <f>+$S2514*$T2514*$L$37</f>
        <v>84651</v>
      </c>
      <c r="M2514" s="371"/>
      <c r="N2514" s="369" t="s">
        <v>150</v>
      </c>
      <c r="O2514" s="345"/>
      <c r="P2514" s="392"/>
      <c r="Q2514" s="327"/>
      <c r="R2514" s="351">
        <v>2.5</v>
      </c>
      <c r="S2514" s="351">
        <v>5.8</v>
      </c>
      <c r="T2514" s="351">
        <v>0.13900000000000001</v>
      </c>
      <c r="U2514" s="329">
        <f>IF($N2514=$N$4,IFERROR(INDEX(DanhMuc!$E$154:$E$165,MATCH(MID($B2514,4,2),DanhMuc!$B$154:$B$165,0)),""),"")</f>
        <v>5800</v>
      </c>
      <c r="V2514" s="361"/>
      <c r="W2514" s="345"/>
      <c r="X2514" s="329" t="str">
        <f t="shared" si="274"/>
        <v>C459</v>
      </c>
      <c r="Y2514" s="1128" t="s">
        <v>3380</v>
      </c>
      <c r="Z2514" s="1128" t="s">
        <v>3381</v>
      </c>
      <c r="AA2514" s="1128" t="s">
        <v>3384</v>
      </c>
      <c r="AB2514" s="20"/>
      <c r="AC2514" s="73"/>
    </row>
    <row r="2515" spans="1:29">
      <c r="A2515" s="327" t="str">
        <f>IF(AND($B2515&lt;&gt;"",$C2515&lt;&gt;""),MAX($A$1556:A2514)+1,"")</f>
        <v/>
      </c>
      <c r="B2515" s="361" t="s">
        <v>2164</v>
      </c>
      <c r="C2515" s="360"/>
      <c r="D2515" s="327">
        <f>IF($B2515="","",COUNTIF($B$6:$B2515,$B2515))</f>
        <v>6</v>
      </c>
      <c r="E2515" s="361" t="s">
        <v>175</v>
      </c>
      <c r="F2515" s="362" t="s">
        <v>176</v>
      </c>
      <c r="G2515" s="327" t="s">
        <v>155</v>
      </c>
      <c r="H2515" s="327" t="s">
        <v>536</v>
      </c>
      <c r="I2515" s="327">
        <v>2</v>
      </c>
      <c r="J2515" s="361"/>
      <c r="K2515" s="327"/>
      <c r="L2515" s="389">
        <v>2000</v>
      </c>
      <c r="M2515" s="371"/>
      <c r="N2515" s="355" t="str">
        <f>+$N$1555</f>
        <v>PK</v>
      </c>
      <c r="O2515" s="345"/>
      <c r="P2515" s="392"/>
      <c r="Q2515" s="327"/>
      <c r="R2515" s="351"/>
      <c r="S2515" s="351"/>
      <c r="T2515" s="351"/>
      <c r="U2515" s="329" t="str">
        <f>IF($N2515=$N$4,IFERROR(INDEX(DanhMuc!$E$154:$E$165,MATCH(MID($B2515,4,2),DanhMuc!$B$154:$B$165,0)),""),"")</f>
        <v/>
      </c>
      <c r="V2515" s="361"/>
      <c r="W2515" s="345"/>
      <c r="X2515" s="329" t="str">
        <f t="shared" si="274"/>
        <v>KL</v>
      </c>
      <c r="Y2515" s="1128" t="s">
        <v>3380</v>
      </c>
      <c r="Z2515" s="1128" t="s">
        <v>3381</v>
      </c>
      <c r="AA2515" s="1128" t="s">
        <v>3384</v>
      </c>
      <c r="AB2515" s="20"/>
      <c r="AC2515" s="73"/>
    </row>
    <row r="2516" spans="1:29">
      <c r="A2516" s="327" t="str">
        <f>IF(AND($B2516&lt;&gt;"",$C2516&lt;&gt;""),MAX($A$1556:A2515)+1,"")</f>
        <v/>
      </c>
      <c r="B2516" s="361" t="s">
        <v>2164</v>
      </c>
      <c r="C2516" s="360"/>
      <c r="D2516" s="327">
        <f>IF($B2516="","",COUNTIF($B$6:$B2516,$B2516))</f>
        <v>7</v>
      </c>
      <c r="E2516" s="405" t="s">
        <v>2168</v>
      </c>
      <c r="F2516" s="406" t="s">
        <v>178</v>
      </c>
      <c r="G2516" s="327" t="s">
        <v>155</v>
      </c>
      <c r="H2516" s="327" t="s">
        <v>536</v>
      </c>
      <c r="I2516" s="327">
        <v>2</v>
      </c>
      <c r="J2516" s="345"/>
      <c r="K2516" s="327"/>
      <c r="L2516" s="389">
        <v>37000</v>
      </c>
      <c r="M2516" s="371"/>
      <c r="N2516" s="355" t="str">
        <f>+$N$1555</f>
        <v>PK</v>
      </c>
      <c r="O2516" s="407" t="s">
        <v>1698</v>
      </c>
      <c r="P2516" s="392"/>
      <c r="Q2516" s="327"/>
      <c r="R2516" s="351"/>
      <c r="S2516" s="351"/>
      <c r="T2516" s="351"/>
      <c r="U2516" s="329" t="str">
        <f>IF($N2516=$N$4,IFERROR(INDEX(DanhMuc!$E$154:$E$165,MATCH(MID($B2516,4,2),DanhMuc!$B$154:$B$165,0)),""),"")</f>
        <v/>
      </c>
      <c r="V2516" s="361"/>
      <c r="W2516" s="345"/>
      <c r="X2516" s="329" t="str">
        <f t="shared" si="274"/>
        <v>KL</v>
      </c>
      <c r="Y2516" s="1128" t="s">
        <v>3380</v>
      </c>
      <c r="Z2516" s="1128" t="s">
        <v>3381</v>
      </c>
      <c r="AA2516" s="1128" t="s">
        <v>3384</v>
      </c>
      <c r="AB2516" s="20"/>
      <c r="AC2516" s="73"/>
    </row>
    <row r="2517" spans="1:29">
      <c r="A2517" s="327" t="str">
        <f>IF(AND($B2517&lt;&gt;"",$C2517&lt;&gt;""),MAX($A$1556:A2516)+1,"")</f>
        <v/>
      </c>
      <c r="B2517" s="361" t="s">
        <v>2164</v>
      </c>
      <c r="C2517" s="360"/>
      <c r="D2517" s="327">
        <f>IF($B2517="","",COUNTIF($B$6:$B2517,$B2517))</f>
        <v>8</v>
      </c>
      <c r="E2517" s="405" t="s">
        <v>2169</v>
      </c>
      <c r="F2517" s="406" t="s">
        <v>202</v>
      </c>
      <c r="G2517" s="327" t="s">
        <v>155</v>
      </c>
      <c r="H2517" s="327" t="s">
        <v>536</v>
      </c>
      <c r="I2517" s="327">
        <v>2</v>
      </c>
      <c r="J2517" s="345"/>
      <c r="K2517" s="327"/>
      <c r="L2517" s="389">
        <v>43000</v>
      </c>
      <c r="M2517" s="371"/>
      <c r="N2517" s="355" t="str">
        <f t="shared" ref="N2517:N2520" si="275">+$N$1555</f>
        <v>PK</v>
      </c>
      <c r="O2517" s="407" t="s">
        <v>1699</v>
      </c>
      <c r="P2517" s="392"/>
      <c r="Q2517" s="327"/>
      <c r="R2517" s="351"/>
      <c r="S2517" s="351"/>
      <c r="T2517" s="351"/>
      <c r="U2517" s="329" t="str">
        <f>IF($N2517=$N$4,IFERROR(INDEX(DanhMuc!$E$154:$E$165,MATCH(MID($B2517,4,2),DanhMuc!$B$154:$B$165,0)),""),"")</f>
        <v/>
      </c>
      <c r="V2517" s="361"/>
      <c r="W2517" s="345"/>
      <c r="X2517" s="329" t="str">
        <f t="shared" si="274"/>
        <v>KL</v>
      </c>
      <c r="Y2517" s="1128" t="s">
        <v>3380</v>
      </c>
      <c r="Z2517" s="1128" t="s">
        <v>3381</v>
      </c>
      <c r="AA2517" s="1128" t="s">
        <v>3384</v>
      </c>
      <c r="AB2517" s="20"/>
      <c r="AC2517" s="73"/>
    </row>
    <row r="2518" spans="1:29">
      <c r="A2518" s="327" t="str">
        <f>IF(AND($B2518&lt;&gt;"",$C2518&lt;&gt;""),MAX($A$1556:A2517)+1,"")</f>
        <v/>
      </c>
      <c r="B2518" s="361" t="s">
        <v>2164</v>
      </c>
      <c r="C2518" s="360"/>
      <c r="D2518" s="327">
        <f>IF($B2518="","",COUNTIF($B$6:$B2518,$B2518))</f>
        <v>9</v>
      </c>
      <c r="E2518" s="405" t="s">
        <v>2170</v>
      </c>
      <c r="F2518" s="406" t="s">
        <v>204</v>
      </c>
      <c r="G2518" s="327" t="s">
        <v>155</v>
      </c>
      <c r="H2518" s="327" t="s">
        <v>536</v>
      </c>
      <c r="I2518" s="327">
        <v>2</v>
      </c>
      <c r="J2518" s="345"/>
      <c r="K2518" s="327"/>
      <c r="L2518" s="389">
        <v>50000</v>
      </c>
      <c r="M2518" s="371"/>
      <c r="N2518" s="355" t="str">
        <f t="shared" si="275"/>
        <v>PK</v>
      </c>
      <c r="O2518" s="407" t="s">
        <v>1700</v>
      </c>
      <c r="P2518" s="392"/>
      <c r="Q2518" s="327"/>
      <c r="R2518" s="351"/>
      <c r="S2518" s="351"/>
      <c r="T2518" s="351"/>
      <c r="U2518" s="329" t="str">
        <f>IF($N2518=$N$4,IFERROR(INDEX(DanhMuc!$E$154:$E$165,MATCH(MID($B2518,4,2),DanhMuc!$B$154:$B$165,0)),""),"")</f>
        <v/>
      </c>
      <c r="V2518" s="361"/>
      <c r="W2518" s="345"/>
      <c r="X2518" s="329" t="str">
        <f t="shared" si="274"/>
        <v>KL</v>
      </c>
      <c r="Y2518" s="1128" t="s">
        <v>3380</v>
      </c>
      <c r="Z2518" s="1128" t="s">
        <v>3381</v>
      </c>
      <c r="AA2518" s="1128" t="s">
        <v>3384</v>
      </c>
      <c r="AB2518" s="20"/>
      <c r="AC2518" s="73"/>
    </row>
    <row r="2519" spans="1:29">
      <c r="A2519" s="327" t="str">
        <f>IF(AND($B2519&lt;&gt;"",$C2519&lt;&gt;""),MAX($A$1556:A2518)+1,"")</f>
        <v/>
      </c>
      <c r="B2519" s="361" t="s">
        <v>2164</v>
      </c>
      <c r="C2519" s="360"/>
      <c r="D2519" s="327">
        <f>IF($B2519="","",COUNTIF($B$6:$B2519,$B2519))</f>
        <v>10</v>
      </c>
      <c r="E2519" s="405" t="s">
        <v>2171</v>
      </c>
      <c r="F2519" s="406" t="s">
        <v>206</v>
      </c>
      <c r="G2519" s="327" t="s">
        <v>155</v>
      </c>
      <c r="H2519" s="327" t="s">
        <v>536</v>
      </c>
      <c r="I2519" s="327">
        <v>2</v>
      </c>
      <c r="J2519" s="345"/>
      <c r="K2519" s="327"/>
      <c r="L2519" s="389">
        <v>57000</v>
      </c>
      <c r="M2519" s="371"/>
      <c r="N2519" s="355" t="str">
        <f t="shared" si="275"/>
        <v>PK</v>
      </c>
      <c r="O2519" s="407" t="s">
        <v>1701</v>
      </c>
      <c r="P2519" s="392"/>
      <c r="Q2519" s="327"/>
      <c r="R2519" s="351"/>
      <c r="S2519" s="351"/>
      <c r="T2519" s="351"/>
      <c r="U2519" s="329" t="str">
        <f>IF($N2519=$N$4,IFERROR(INDEX(DanhMuc!$E$154:$E$165,MATCH(MID($B2519,4,2),DanhMuc!$B$154:$B$165,0)),""),"")</f>
        <v/>
      </c>
      <c r="V2519" s="361"/>
      <c r="W2519" s="345"/>
      <c r="X2519" s="329" t="str">
        <f t="shared" si="274"/>
        <v>KL</v>
      </c>
      <c r="Y2519" s="1128" t="s">
        <v>3380</v>
      </c>
      <c r="Z2519" s="1128" t="s">
        <v>3381</v>
      </c>
      <c r="AA2519" s="1128" t="s">
        <v>3384</v>
      </c>
      <c r="AB2519" s="20"/>
      <c r="AC2519" s="73"/>
    </row>
    <row r="2520" spans="1:29">
      <c r="A2520" s="327" t="str">
        <f>IF(AND($B2520&lt;&gt;"",$C2520&lt;&gt;""),MAX($A$1556:A2519)+1,"")</f>
        <v/>
      </c>
      <c r="B2520" s="361" t="s">
        <v>2164</v>
      </c>
      <c r="C2520" s="360"/>
      <c r="D2520" s="327">
        <f>IF($B2520="","",COUNTIF($B$6:$B2520,$B2520))</f>
        <v>11</v>
      </c>
      <c r="E2520" s="405" t="s">
        <v>442</v>
      </c>
      <c r="F2520" s="406" t="s">
        <v>505</v>
      </c>
      <c r="G2520" s="327" t="s">
        <v>155</v>
      </c>
      <c r="H2520" s="327" t="s">
        <v>536</v>
      </c>
      <c r="I2520" s="327">
        <v>2</v>
      </c>
      <c r="J2520" s="345"/>
      <c r="K2520" s="327"/>
      <c r="L2520" s="389">
        <v>24000</v>
      </c>
      <c r="M2520" s="371"/>
      <c r="N2520" s="355" t="str">
        <f t="shared" si="275"/>
        <v>PK</v>
      </c>
      <c r="O2520" s="407" t="s">
        <v>442</v>
      </c>
      <c r="P2520" s="392"/>
      <c r="Q2520" s="327"/>
      <c r="R2520" s="351"/>
      <c r="S2520" s="351"/>
      <c r="T2520" s="351"/>
      <c r="U2520" s="329" t="str">
        <f>IF($N2520=$N$4,IFERROR(INDEX(DanhMuc!$E$154:$E$165,MATCH(MID($B2520,4,2),DanhMuc!$B$154:$B$165,0)),""),"")</f>
        <v/>
      </c>
      <c r="V2520" s="361"/>
      <c r="W2520" s="345"/>
      <c r="X2520" s="329" t="str">
        <f t="shared" si="274"/>
        <v>KL</v>
      </c>
      <c r="Y2520" s="1128" t="s">
        <v>3380</v>
      </c>
      <c r="Z2520" s="1128" t="s">
        <v>3381</v>
      </c>
      <c r="AA2520" s="1128" t="s">
        <v>3384</v>
      </c>
      <c r="AB2520" s="20"/>
      <c r="AC2520" s="73"/>
    </row>
    <row r="2521" spans="1:29" ht="39">
      <c r="A2521" s="327">
        <f>IF(AND($B2521&lt;&gt;"",$C2521&lt;&gt;""),MAX($A$1556:A2519)+1,"")</f>
        <v>137</v>
      </c>
      <c r="B2521" s="359" t="s">
        <v>2172</v>
      </c>
      <c r="C2521" s="360" t="s">
        <v>1891</v>
      </c>
      <c r="D2521" s="327">
        <f>IF($B2521="","",COUNTIF($B$6:$B2521,$B2521))</f>
        <v>1</v>
      </c>
      <c r="E2521" s="361" t="s">
        <v>2166</v>
      </c>
      <c r="F2521" s="362" t="s">
        <v>2165</v>
      </c>
      <c r="G2521" s="327" t="s">
        <v>155</v>
      </c>
      <c r="H2521" s="327"/>
      <c r="I2521" s="327">
        <v>1</v>
      </c>
      <c r="J2521" s="361"/>
      <c r="K2521" s="327"/>
      <c r="L2521" s="389">
        <v>70323</v>
      </c>
      <c r="M2521" s="371"/>
      <c r="N2521" s="355" t="str">
        <f>+$N$1555</f>
        <v>PK</v>
      </c>
      <c r="O2521" s="345"/>
      <c r="P2521" s="392"/>
      <c r="Q2521" s="327"/>
      <c r="R2521" s="351"/>
      <c r="S2521" s="351"/>
      <c r="T2521" s="351"/>
      <c r="U2521" s="329" t="str">
        <f>IF($N2521=$N$4,IFERROR(INDEX(DanhMuc!$E$154:$E$165,MATCH(MID($B2521,4,2),DanhMuc!$B$154:$B$165,0)),""),"")</f>
        <v/>
      </c>
      <c r="V2521" s="361"/>
      <c r="W2521" s="345"/>
      <c r="X2521" s="329" t="str">
        <f t="shared" si="274"/>
        <v>KL</v>
      </c>
      <c r="Y2521" s="1128" t="s">
        <v>3380</v>
      </c>
      <c r="Z2521" s="1128" t="s">
        <v>3381</v>
      </c>
      <c r="AA2521" s="1128" t="s">
        <v>3384</v>
      </c>
      <c r="AB2521" s="20"/>
      <c r="AC2521" s="73"/>
    </row>
    <row r="2522" spans="1:29">
      <c r="A2522" s="327" t="str">
        <f>IF(AND($B2522&lt;&gt;"",$C2522&lt;&gt;""),MAX($A$1556:A2521)+1,"")</f>
        <v/>
      </c>
      <c r="B2522" s="361" t="s">
        <v>2172</v>
      </c>
      <c r="C2522" s="360"/>
      <c r="D2522" s="327">
        <f>IF($B2522="","",COUNTIF($B$6:$B2522,$B2522))</f>
        <v>2</v>
      </c>
      <c r="E2522" s="361" t="s">
        <v>2167</v>
      </c>
      <c r="F2522" s="362" t="s">
        <v>224</v>
      </c>
      <c r="G2522" s="327" t="s">
        <v>155</v>
      </c>
      <c r="H2522" s="327" t="s">
        <v>536</v>
      </c>
      <c r="I2522" s="327">
        <v>1</v>
      </c>
      <c r="J2522" s="361"/>
      <c r="K2522" s="327"/>
      <c r="L2522" s="389">
        <v>17300</v>
      </c>
      <c r="M2522" s="371"/>
      <c r="N2522" s="355" t="str">
        <f>+$N$1555</f>
        <v>PK</v>
      </c>
      <c r="O2522" s="345"/>
      <c r="P2522" s="392"/>
      <c r="Q2522" s="327"/>
      <c r="R2522" s="351"/>
      <c r="S2522" s="351"/>
      <c r="T2522" s="351"/>
      <c r="U2522" s="329" t="str">
        <f>IF($N2522=$N$4,IFERROR(INDEX(DanhMuc!$E$154:$E$165,MATCH(MID($B2522,4,2),DanhMuc!$B$154:$B$165,0)),""),"")</f>
        <v/>
      </c>
      <c r="V2522" s="361"/>
      <c r="W2522" s="345"/>
      <c r="X2522" s="329" t="str">
        <f t="shared" si="274"/>
        <v>KL</v>
      </c>
      <c r="Y2522" s="1128" t="s">
        <v>3380</v>
      </c>
      <c r="Z2522" s="1128" t="s">
        <v>3381</v>
      </c>
      <c r="AA2522" s="1128" t="s">
        <v>3384</v>
      </c>
      <c r="AB2522" s="20"/>
      <c r="AC2522" s="73"/>
    </row>
    <row r="2523" spans="1:29">
      <c r="A2523" s="327" t="str">
        <f>IF(AND($B2523&lt;&gt;"",$C2523&lt;&gt;""),MAX($A$1556:A2522)+1,"")</f>
        <v/>
      </c>
      <c r="B2523" s="361" t="s">
        <v>2172</v>
      </c>
      <c r="C2523" s="360"/>
      <c r="D2523" s="327">
        <f>IF($B2523="","",COUNTIF($B$6:$B2523,$B2523))</f>
        <v>3</v>
      </c>
      <c r="E2523" s="361" t="s">
        <v>2114</v>
      </c>
      <c r="F2523" s="362" t="s">
        <v>633</v>
      </c>
      <c r="G2523" s="327" t="s">
        <v>155</v>
      </c>
      <c r="H2523" s="327" t="s">
        <v>536</v>
      </c>
      <c r="I2523" s="327">
        <v>2</v>
      </c>
      <c r="J2523" s="345"/>
      <c r="K2523" s="327"/>
      <c r="L2523" s="389">
        <v>13500</v>
      </c>
      <c r="M2523" s="371"/>
      <c r="N2523" s="355" t="str">
        <f>+$N$1555</f>
        <v>PK</v>
      </c>
      <c r="O2523" s="345"/>
      <c r="P2523" s="392"/>
      <c r="Q2523" s="327"/>
      <c r="R2523" s="351"/>
      <c r="S2523" s="351"/>
      <c r="T2523" s="351"/>
      <c r="U2523" s="329" t="str">
        <f>IF($N2523=$N$4,IFERROR(INDEX(DanhMuc!$E$154:$E$165,MATCH(MID($B2523,4,2),DanhMuc!$B$154:$B$165,0)),""),"")</f>
        <v/>
      </c>
      <c r="V2523" s="361"/>
      <c r="W2523" s="345"/>
      <c r="X2523" s="329" t="str">
        <f t="shared" si="274"/>
        <v>KL</v>
      </c>
      <c r="Y2523" s="1128" t="s">
        <v>3380</v>
      </c>
      <c r="Z2523" s="1128" t="s">
        <v>3381</v>
      </c>
      <c r="AA2523" s="1128" t="s">
        <v>3384</v>
      </c>
      <c r="AB2523" s="20"/>
      <c r="AC2523" s="73"/>
    </row>
    <row r="2524" spans="1:29">
      <c r="A2524" s="327" t="str">
        <f>IF(AND($B2524&lt;&gt;"",$C2524&lt;&gt;""),MAX($A$1556:A2523)+1,"")</f>
        <v/>
      </c>
      <c r="B2524" s="361" t="s">
        <v>2172</v>
      </c>
      <c r="C2524" s="360"/>
      <c r="D2524" s="327">
        <f>IF($B2524="","",COUNTIF($B$6:$B2524,$B2524))</f>
        <v>4</v>
      </c>
      <c r="E2524" s="419" t="s">
        <v>2603</v>
      </c>
      <c r="F2524" s="362" t="s">
        <v>92</v>
      </c>
      <c r="G2524" s="327" t="s">
        <v>155</v>
      </c>
      <c r="H2524" s="327" t="s">
        <v>536</v>
      </c>
      <c r="I2524" s="327">
        <v>2</v>
      </c>
      <c r="J2524" s="345"/>
      <c r="K2524" s="327"/>
      <c r="L2524" s="389">
        <v>8000</v>
      </c>
      <c r="M2524" s="371"/>
      <c r="N2524" s="355" t="str">
        <f>+$N$1555</f>
        <v>PK</v>
      </c>
      <c r="O2524" s="345"/>
      <c r="P2524" s="392"/>
      <c r="Q2524" s="327"/>
      <c r="R2524" s="351"/>
      <c r="S2524" s="351"/>
      <c r="T2524" s="351"/>
      <c r="U2524" s="329" t="str">
        <f>IF($N2524=$N$4,IFERROR(INDEX(DanhMuc!$E$154:$E$165,MATCH(MID($B2524,4,2),DanhMuc!$B$154:$B$165,0)),""),"")</f>
        <v/>
      </c>
      <c r="V2524" s="361"/>
      <c r="W2524" s="345"/>
      <c r="X2524" s="329" t="str">
        <f t="shared" si="274"/>
        <v>KL</v>
      </c>
      <c r="Y2524" s="1128" t="s">
        <v>3380</v>
      </c>
      <c r="Z2524" s="1128" t="s">
        <v>3381</v>
      </c>
      <c r="AA2524" s="1128" t="s">
        <v>3384</v>
      </c>
      <c r="AB2524" s="20"/>
      <c r="AC2524" s="73"/>
    </row>
    <row r="2525" spans="1:29">
      <c r="A2525" s="327" t="str">
        <f>IF(AND($B2525&lt;&gt;"",$C2525&lt;&gt;""),MAX($A$1556:A2524)+1,"")</f>
        <v/>
      </c>
      <c r="B2525" s="361" t="s">
        <v>2172</v>
      </c>
      <c r="C2525" s="360"/>
      <c r="D2525" s="327">
        <f>IF($B2525="","",COUNTIF($B$6:$B2525,$B2525))</f>
        <v>5</v>
      </c>
      <c r="E2525" s="365" t="s">
        <v>327</v>
      </c>
      <c r="F2525" s="368" t="s">
        <v>345</v>
      </c>
      <c r="G2525" s="367" t="s">
        <v>690</v>
      </c>
      <c r="H2525" s="327" t="s">
        <v>536</v>
      </c>
      <c r="I2525" s="327">
        <v>2</v>
      </c>
      <c r="J2525" s="345" t="s">
        <v>705</v>
      </c>
      <c r="K2525" s="327"/>
      <c r="L2525" s="348">
        <f>+$S2525*$T2525*$L$37</f>
        <v>84651</v>
      </c>
      <c r="M2525" s="371"/>
      <c r="N2525" s="369" t="s">
        <v>150</v>
      </c>
      <c r="O2525" s="345"/>
      <c r="P2525" s="392"/>
      <c r="Q2525" s="327"/>
      <c r="R2525" s="351">
        <v>2.5</v>
      </c>
      <c r="S2525" s="351">
        <v>5.8</v>
      </c>
      <c r="T2525" s="351">
        <v>0.13900000000000001</v>
      </c>
      <c r="U2525" s="329">
        <f>IF($N2525=$N$4,IFERROR(INDEX(DanhMuc!$E$154:$E$165,MATCH(MID($B2525,4,2),DanhMuc!$B$154:$B$165,0)),""),"")</f>
        <v>5800</v>
      </c>
      <c r="V2525" s="361"/>
      <c r="W2525" s="345"/>
      <c r="X2525" s="329" t="str">
        <f t="shared" si="274"/>
        <v>C459</v>
      </c>
      <c r="Y2525" s="1128" t="s">
        <v>3380</v>
      </c>
      <c r="Z2525" s="1128" t="s">
        <v>3381</v>
      </c>
      <c r="AA2525" s="1128" t="s">
        <v>3384</v>
      </c>
      <c r="AB2525" s="20"/>
      <c r="AC2525" s="73"/>
    </row>
    <row r="2526" spans="1:29">
      <c r="A2526" s="327" t="str">
        <f>IF(AND($B2526&lt;&gt;"",$C2526&lt;&gt;""),MAX($A$1556:A2525)+1,"")</f>
        <v/>
      </c>
      <c r="B2526" s="361" t="s">
        <v>2172</v>
      </c>
      <c r="C2526" s="360"/>
      <c r="D2526" s="327">
        <f>IF($B2526="","",COUNTIF($B$6:$B2526,$B2526))</f>
        <v>6</v>
      </c>
      <c r="E2526" s="361" t="s">
        <v>1909</v>
      </c>
      <c r="F2526" s="362" t="s">
        <v>1908</v>
      </c>
      <c r="G2526" s="327" t="s">
        <v>344</v>
      </c>
      <c r="H2526" s="327" t="s">
        <v>536</v>
      </c>
      <c r="I2526" s="327">
        <v>2</v>
      </c>
      <c r="J2526" s="361"/>
      <c r="K2526" s="327"/>
      <c r="L2526" s="389">
        <v>36000</v>
      </c>
      <c r="M2526" s="371"/>
      <c r="N2526" s="355" t="str">
        <f t="shared" ref="N2526:N2540" si="276">+$N$1555</f>
        <v>PK</v>
      </c>
      <c r="O2526" s="345"/>
      <c r="P2526" s="392"/>
      <c r="Q2526" s="327"/>
      <c r="R2526" s="351"/>
      <c r="S2526" s="351"/>
      <c r="T2526" s="351"/>
      <c r="U2526" s="329" t="str">
        <f>IF($N2526=$N$4,IFERROR(INDEX(DanhMuc!$E$154:$E$165,MATCH(MID($B2526,4,2),DanhMuc!$B$154:$B$165,0)),""),"")</f>
        <v/>
      </c>
      <c r="V2526" s="361"/>
      <c r="W2526" s="345"/>
      <c r="X2526" s="329" t="str">
        <f t="shared" si="274"/>
        <v>KL</v>
      </c>
      <c r="Y2526" s="1128" t="s">
        <v>3380</v>
      </c>
      <c r="Z2526" s="1128" t="s">
        <v>3381</v>
      </c>
      <c r="AA2526" s="1128" t="s">
        <v>3384</v>
      </c>
      <c r="AB2526" s="20"/>
      <c r="AC2526" s="73"/>
    </row>
    <row r="2527" spans="1:29">
      <c r="A2527" s="327" t="str">
        <f>IF(AND($B2527&lt;&gt;"",$C2527&lt;&gt;""),MAX($A$1556:A2526)+1,"")</f>
        <v/>
      </c>
      <c r="B2527" s="361" t="s">
        <v>2172</v>
      </c>
      <c r="C2527" s="360"/>
      <c r="D2527" s="327">
        <f>IF($B2527="","",COUNTIF($B$6:$B2527,$B2527))</f>
        <v>7</v>
      </c>
      <c r="E2527" s="419" t="s">
        <v>2600</v>
      </c>
      <c r="F2527" s="417" t="s">
        <v>1801</v>
      </c>
      <c r="G2527" s="327" t="s">
        <v>155</v>
      </c>
      <c r="H2527" s="327" t="s">
        <v>536</v>
      </c>
      <c r="I2527" s="327">
        <v>2</v>
      </c>
      <c r="J2527" s="361"/>
      <c r="K2527" s="327"/>
      <c r="L2527" s="389">
        <v>8000</v>
      </c>
      <c r="M2527" s="371"/>
      <c r="N2527" s="355" t="str">
        <f t="shared" si="276"/>
        <v>PK</v>
      </c>
      <c r="O2527" s="345"/>
      <c r="P2527" s="392"/>
      <c r="Q2527" s="327"/>
      <c r="R2527" s="351"/>
      <c r="S2527" s="351"/>
      <c r="T2527" s="351"/>
      <c r="U2527" s="329" t="str">
        <f>IF($N2527=$N$4,IFERROR(INDEX(DanhMuc!$E$154:$E$165,MATCH(MID($B2527,4,2),DanhMuc!$B$154:$B$165,0)),""),"")</f>
        <v/>
      </c>
      <c r="V2527" s="361"/>
      <c r="W2527" s="345"/>
      <c r="X2527" s="329" t="str">
        <f t="shared" si="274"/>
        <v>KL</v>
      </c>
      <c r="Y2527" s="1128" t="s">
        <v>3380</v>
      </c>
      <c r="Z2527" s="1128" t="s">
        <v>3381</v>
      </c>
      <c r="AA2527" s="1128" t="s">
        <v>3384</v>
      </c>
      <c r="AB2527" s="20"/>
      <c r="AC2527" s="73"/>
    </row>
    <row r="2528" spans="1:29">
      <c r="A2528" s="327" t="str">
        <f>IF(AND($B2528&lt;&gt;"",$C2528&lt;&gt;""),MAX($A$1556:A2527)+1,"")</f>
        <v/>
      </c>
      <c r="B2528" s="361" t="s">
        <v>2172</v>
      </c>
      <c r="C2528" s="360"/>
      <c r="D2528" s="327">
        <f>IF($B2528="","",COUNTIF($B$6:$B2528,$B2528))</f>
        <v>8</v>
      </c>
      <c r="E2528" s="361" t="s">
        <v>175</v>
      </c>
      <c r="F2528" s="362" t="s">
        <v>176</v>
      </c>
      <c r="G2528" s="327" t="s">
        <v>155</v>
      </c>
      <c r="H2528" s="327" t="s">
        <v>536</v>
      </c>
      <c r="I2528" s="327">
        <v>4</v>
      </c>
      <c r="J2528" s="361"/>
      <c r="K2528" s="327"/>
      <c r="L2528" s="389">
        <v>2000</v>
      </c>
      <c r="M2528" s="371"/>
      <c r="N2528" s="355" t="str">
        <f t="shared" si="276"/>
        <v>PK</v>
      </c>
      <c r="O2528" s="345"/>
      <c r="P2528" s="392"/>
      <c r="Q2528" s="327"/>
      <c r="R2528" s="351"/>
      <c r="S2528" s="351"/>
      <c r="T2528" s="351"/>
      <c r="U2528" s="329" t="str">
        <f>IF($N2528=$N$4,IFERROR(INDEX(DanhMuc!$E$154:$E$165,MATCH(MID($B2528,4,2),DanhMuc!$B$154:$B$165,0)),""),"")</f>
        <v/>
      </c>
      <c r="V2528" s="361"/>
      <c r="W2528" s="345"/>
      <c r="X2528" s="329" t="str">
        <f t="shared" si="274"/>
        <v>KL</v>
      </c>
      <c r="Y2528" s="1128" t="s">
        <v>3380</v>
      </c>
      <c r="Z2528" s="1128" t="s">
        <v>3381</v>
      </c>
      <c r="AA2528" s="1128" t="s">
        <v>3384</v>
      </c>
      <c r="AB2528" s="20"/>
      <c r="AC2528" s="73"/>
    </row>
    <row r="2529" spans="1:29">
      <c r="A2529" s="327" t="str">
        <f>IF(AND($B2529&lt;&gt;"",$C2529&lt;&gt;""),MAX($A$1556:A2528)+1,"")</f>
        <v/>
      </c>
      <c r="B2529" s="361" t="s">
        <v>2172</v>
      </c>
      <c r="C2529" s="360"/>
      <c r="D2529" s="327">
        <f>IF($B2529="","",COUNTIF($B$6:$B2529,$B2529))</f>
        <v>9</v>
      </c>
      <c r="E2529" s="405" t="s">
        <v>2168</v>
      </c>
      <c r="F2529" s="406" t="s">
        <v>178</v>
      </c>
      <c r="G2529" s="327" t="s">
        <v>155</v>
      </c>
      <c r="H2529" s="327" t="s">
        <v>536</v>
      </c>
      <c r="I2529" s="327">
        <v>4</v>
      </c>
      <c r="J2529" s="345"/>
      <c r="K2529" s="327"/>
      <c r="L2529" s="389">
        <v>37000</v>
      </c>
      <c r="M2529" s="371"/>
      <c r="N2529" s="355" t="str">
        <f t="shared" si="276"/>
        <v>PK</v>
      </c>
      <c r="O2529" s="407" t="s">
        <v>1698</v>
      </c>
      <c r="P2529" s="392"/>
      <c r="Q2529" s="327"/>
      <c r="R2529" s="351"/>
      <c r="S2529" s="351"/>
      <c r="T2529" s="351"/>
      <c r="U2529" s="329" t="str">
        <f>IF($N2529=$N$4,IFERROR(INDEX(DanhMuc!$E$154:$E$165,MATCH(MID($B2529,4,2),DanhMuc!$B$154:$B$165,0)),""),"")</f>
        <v/>
      </c>
      <c r="V2529" s="361"/>
      <c r="W2529" s="345"/>
      <c r="X2529" s="329" t="str">
        <f t="shared" si="274"/>
        <v>KL</v>
      </c>
      <c r="Y2529" s="1128" t="s">
        <v>3380</v>
      </c>
      <c r="Z2529" s="1128" t="s">
        <v>3381</v>
      </c>
      <c r="AA2529" s="1128" t="s">
        <v>3384</v>
      </c>
      <c r="AB2529" s="20"/>
      <c r="AC2529" s="73"/>
    </row>
    <row r="2530" spans="1:29">
      <c r="A2530" s="327" t="str">
        <f>IF(AND($B2530&lt;&gt;"",$C2530&lt;&gt;""),MAX($A$1556:A2529)+1,"")</f>
        <v/>
      </c>
      <c r="B2530" s="361" t="s">
        <v>2172</v>
      </c>
      <c r="C2530" s="360"/>
      <c r="D2530" s="327">
        <f>IF($B2530="","",COUNTIF($B$6:$B2530,$B2530))</f>
        <v>10</v>
      </c>
      <c r="E2530" s="405" t="s">
        <v>2169</v>
      </c>
      <c r="F2530" s="406" t="s">
        <v>202</v>
      </c>
      <c r="G2530" s="327" t="s">
        <v>155</v>
      </c>
      <c r="H2530" s="327" t="s">
        <v>536</v>
      </c>
      <c r="I2530" s="327">
        <v>4</v>
      </c>
      <c r="J2530" s="345"/>
      <c r="K2530" s="327"/>
      <c r="L2530" s="389">
        <v>43000</v>
      </c>
      <c r="M2530" s="371"/>
      <c r="N2530" s="355" t="str">
        <f t="shared" si="276"/>
        <v>PK</v>
      </c>
      <c r="O2530" s="407" t="s">
        <v>1699</v>
      </c>
      <c r="P2530" s="392"/>
      <c r="Q2530" s="327"/>
      <c r="R2530" s="351"/>
      <c r="S2530" s="351"/>
      <c r="T2530" s="351"/>
      <c r="U2530" s="329" t="str">
        <f>IF($N2530=$N$4,IFERROR(INDEX(DanhMuc!$E$154:$E$165,MATCH(MID($B2530,4,2),DanhMuc!$B$154:$B$165,0)),""),"")</f>
        <v/>
      </c>
      <c r="V2530" s="361"/>
      <c r="W2530" s="345"/>
      <c r="X2530" s="329" t="str">
        <f t="shared" si="274"/>
        <v>KL</v>
      </c>
      <c r="Y2530" s="1128" t="s">
        <v>3380</v>
      </c>
      <c r="Z2530" s="1128" t="s">
        <v>3381</v>
      </c>
      <c r="AA2530" s="1128" t="s">
        <v>3384</v>
      </c>
      <c r="AB2530" s="20"/>
      <c r="AC2530" s="73"/>
    </row>
    <row r="2531" spans="1:29">
      <c r="A2531" s="327" t="str">
        <f>IF(AND($B2531&lt;&gt;"",$C2531&lt;&gt;""),MAX($A$1556:A2530)+1,"")</f>
        <v/>
      </c>
      <c r="B2531" s="361" t="s">
        <v>2172</v>
      </c>
      <c r="C2531" s="360"/>
      <c r="D2531" s="327">
        <f>IF($B2531="","",COUNTIF($B$6:$B2531,$B2531))</f>
        <v>11</v>
      </c>
      <c r="E2531" s="405" t="s">
        <v>2170</v>
      </c>
      <c r="F2531" s="406" t="s">
        <v>204</v>
      </c>
      <c r="G2531" s="327" t="s">
        <v>155</v>
      </c>
      <c r="H2531" s="327" t="s">
        <v>536</v>
      </c>
      <c r="I2531" s="327">
        <v>4</v>
      </c>
      <c r="J2531" s="345"/>
      <c r="K2531" s="327"/>
      <c r="L2531" s="389">
        <v>50000</v>
      </c>
      <c r="M2531" s="371"/>
      <c r="N2531" s="355" t="str">
        <f t="shared" si="276"/>
        <v>PK</v>
      </c>
      <c r="O2531" s="407" t="s">
        <v>1700</v>
      </c>
      <c r="P2531" s="392"/>
      <c r="Q2531" s="327"/>
      <c r="R2531" s="351"/>
      <c r="S2531" s="351"/>
      <c r="T2531" s="351"/>
      <c r="U2531" s="329" t="str">
        <f>IF($N2531=$N$4,IFERROR(INDEX(DanhMuc!$E$154:$E$165,MATCH(MID($B2531,4,2),DanhMuc!$B$154:$B$165,0)),""),"")</f>
        <v/>
      </c>
      <c r="V2531" s="361"/>
      <c r="W2531" s="345"/>
      <c r="X2531" s="329" t="str">
        <f t="shared" si="274"/>
        <v>KL</v>
      </c>
      <c r="Y2531" s="1128" t="s">
        <v>3380</v>
      </c>
      <c r="Z2531" s="1128" t="s">
        <v>3381</v>
      </c>
      <c r="AA2531" s="1128" t="s">
        <v>3384</v>
      </c>
      <c r="AB2531" s="20"/>
      <c r="AC2531" s="73"/>
    </row>
    <row r="2532" spans="1:29">
      <c r="A2532" s="327" t="str">
        <f>IF(AND($B2532&lt;&gt;"",$C2532&lt;&gt;""),MAX($A$1556:A2531)+1,"")</f>
        <v/>
      </c>
      <c r="B2532" s="361" t="s">
        <v>2172</v>
      </c>
      <c r="C2532" s="360"/>
      <c r="D2532" s="327">
        <f>IF($B2532="","",COUNTIF($B$6:$B2532,$B2532))</f>
        <v>12</v>
      </c>
      <c r="E2532" s="405" t="s">
        <v>2171</v>
      </c>
      <c r="F2532" s="406" t="s">
        <v>206</v>
      </c>
      <c r="G2532" s="327" t="s">
        <v>155</v>
      </c>
      <c r="H2532" s="327" t="s">
        <v>536</v>
      </c>
      <c r="I2532" s="327">
        <v>4</v>
      </c>
      <c r="J2532" s="345"/>
      <c r="K2532" s="327"/>
      <c r="L2532" s="389">
        <v>57000</v>
      </c>
      <c r="M2532" s="371"/>
      <c r="N2532" s="355" t="str">
        <f t="shared" si="276"/>
        <v>PK</v>
      </c>
      <c r="O2532" s="407" t="s">
        <v>1701</v>
      </c>
      <c r="P2532" s="392"/>
      <c r="Q2532" s="327"/>
      <c r="R2532" s="351"/>
      <c r="S2532" s="351"/>
      <c r="T2532" s="351"/>
      <c r="U2532" s="329" t="str">
        <f>IF($N2532=$N$4,IFERROR(INDEX(DanhMuc!$E$154:$E$165,MATCH(MID($B2532,4,2),DanhMuc!$B$154:$B$165,0)),""),"")</f>
        <v/>
      </c>
      <c r="V2532" s="361"/>
      <c r="W2532" s="345"/>
      <c r="X2532" s="329" t="str">
        <f t="shared" si="274"/>
        <v>KL</v>
      </c>
      <c r="Y2532" s="1128" t="s">
        <v>3380</v>
      </c>
      <c r="Z2532" s="1128" t="s">
        <v>3381</v>
      </c>
      <c r="AA2532" s="1128" t="s">
        <v>3384</v>
      </c>
      <c r="AB2532" s="20"/>
      <c r="AC2532" s="73"/>
    </row>
    <row r="2533" spans="1:29">
      <c r="A2533" s="327" t="str">
        <f>IF(AND($B2533&lt;&gt;"",$C2533&lt;&gt;""),MAX($A$1556:A2532)+1,"")</f>
        <v/>
      </c>
      <c r="B2533" s="361" t="s">
        <v>2172</v>
      </c>
      <c r="C2533" s="360"/>
      <c r="D2533" s="327">
        <f>IF($B2533="","",COUNTIF($B$6:$B2533,$B2533))</f>
        <v>13</v>
      </c>
      <c r="E2533" s="405" t="s">
        <v>442</v>
      </c>
      <c r="F2533" s="406" t="s">
        <v>505</v>
      </c>
      <c r="G2533" s="327" t="s">
        <v>155</v>
      </c>
      <c r="H2533" s="327" t="s">
        <v>536</v>
      </c>
      <c r="I2533" s="327">
        <v>4</v>
      </c>
      <c r="J2533" s="345"/>
      <c r="K2533" s="327"/>
      <c r="L2533" s="389">
        <v>24000</v>
      </c>
      <c r="M2533" s="371"/>
      <c r="N2533" s="355" t="str">
        <f t="shared" si="276"/>
        <v>PK</v>
      </c>
      <c r="O2533" s="407" t="s">
        <v>442</v>
      </c>
      <c r="P2533" s="392"/>
      <c r="Q2533" s="327"/>
      <c r="R2533" s="351"/>
      <c r="S2533" s="351"/>
      <c r="T2533" s="351"/>
      <c r="U2533" s="329" t="str">
        <f>IF($N2533=$N$4,IFERROR(INDEX(DanhMuc!$E$154:$E$165,MATCH(MID($B2533,4,2),DanhMuc!$B$154:$B$165,0)),""),"")</f>
        <v/>
      </c>
      <c r="V2533" s="361"/>
      <c r="W2533" s="345"/>
      <c r="X2533" s="329" t="str">
        <f t="shared" si="274"/>
        <v>KL</v>
      </c>
      <c r="Y2533" s="1128" t="s">
        <v>3380</v>
      </c>
      <c r="Z2533" s="1128" t="s">
        <v>3381</v>
      </c>
      <c r="AA2533" s="1128" t="s">
        <v>3384</v>
      </c>
      <c r="AB2533" s="20"/>
      <c r="AC2533" s="73"/>
    </row>
    <row r="2534" spans="1:29">
      <c r="A2534" s="327" t="str">
        <f>IF(AND($B2534&lt;&gt;"",$C2534&lt;&gt;""),MAX($A$1556:A2532)+1,"")</f>
        <v/>
      </c>
      <c r="B2534" s="361" t="s">
        <v>2172</v>
      </c>
      <c r="C2534" s="360"/>
      <c r="D2534" s="327">
        <f>IF($B2534="","",COUNTIF($B$6:$B2534,$B2534))</f>
        <v>14</v>
      </c>
      <c r="E2534" s="361" t="s">
        <v>678</v>
      </c>
      <c r="F2534" s="362" t="s">
        <v>711</v>
      </c>
      <c r="G2534" s="327" t="s">
        <v>155</v>
      </c>
      <c r="H2534" s="327"/>
      <c r="I2534" s="327">
        <v>1</v>
      </c>
      <c r="J2534" s="361"/>
      <c r="K2534" s="327"/>
      <c r="L2534" s="389">
        <v>1250</v>
      </c>
      <c r="M2534" s="371"/>
      <c r="N2534" s="355" t="str">
        <f t="shared" si="276"/>
        <v>PK</v>
      </c>
      <c r="O2534" s="345"/>
      <c r="P2534" s="392"/>
      <c r="Q2534" s="327"/>
      <c r="R2534" s="351"/>
      <c r="S2534" s="351"/>
      <c r="T2534" s="351"/>
      <c r="U2534" s="329" t="str">
        <f>IF($N2534=$N$4,IFERROR(INDEX(DanhMuc!$E$154:$E$165,MATCH(MID($B2534,4,2),DanhMuc!$B$154:$B$165,0)),""),"")</f>
        <v/>
      </c>
      <c r="V2534" s="361"/>
      <c r="W2534" s="345"/>
      <c r="X2534" s="329" t="str">
        <f t="shared" si="274"/>
        <v>KL</v>
      </c>
      <c r="Y2534" s="1128" t="s">
        <v>3380</v>
      </c>
      <c r="Z2534" s="1128" t="s">
        <v>3381</v>
      </c>
      <c r="AA2534" s="1128" t="s">
        <v>3384</v>
      </c>
      <c r="AB2534" s="20"/>
      <c r="AC2534" s="73"/>
    </row>
    <row r="2535" spans="1:29">
      <c r="A2535" s="327" t="str">
        <f>IF(AND($B2535&lt;&gt;"",$C2535&lt;&gt;""),MAX($A$1556:A2534)+1,"")</f>
        <v/>
      </c>
      <c r="B2535" s="361" t="s">
        <v>2172</v>
      </c>
      <c r="C2535" s="360"/>
      <c r="D2535" s="327">
        <f>IF($B2535="","",COUNTIF($B$6:$B2535,$B2535))</f>
        <v>15</v>
      </c>
      <c r="E2535" s="361" t="s">
        <v>679</v>
      </c>
      <c r="F2535" s="362" t="s">
        <v>712</v>
      </c>
      <c r="G2535" s="327" t="s">
        <v>155</v>
      </c>
      <c r="H2535" s="327"/>
      <c r="I2535" s="327">
        <v>1</v>
      </c>
      <c r="J2535" s="361"/>
      <c r="K2535" s="327"/>
      <c r="L2535" s="389">
        <v>1250</v>
      </c>
      <c r="M2535" s="371"/>
      <c r="N2535" s="355" t="str">
        <f t="shared" si="276"/>
        <v>PK</v>
      </c>
      <c r="O2535" s="345"/>
      <c r="P2535" s="392"/>
      <c r="Q2535" s="327"/>
      <c r="R2535" s="351"/>
      <c r="S2535" s="351"/>
      <c r="T2535" s="351"/>
      <c r="U2535" s="329" t="str">
        <f>IF($N2535=$N$4,IFERROR(INDEX(DanhMuc!$E$154:$E$165,MATCH(MID($B2535,4,2),DanhMuc!$B$154:$B$165,0)),""),"")</f>
        <v/>
      </c>
      <c r="V2535" s="361"/>
      <c r="W2535" s="345"/>
      <c r="X2535" s="329" t="str">
        <f t="shared" si="274"/>
        <v>KL</v>
      </c>
      <c r="Y2535" s="1128" t="s">
        <v>3380</v>
      </c>
      <c r="Z2535" s="1128" t="s">
        <v>3381</v>
      </c>
      <c r="AA2535" s="1128" t="s">
        <v>3384</v>
      </c>
      <c r="AB2535" s="20"/>
      <c r="AC2535" s="73"/>
    </row>
    <row r="2536" spans="1:29" ht="26">
      <c r="A2536" s="327">
        <f>IF(AND($B2536&lt;&gt;"",$C2536&lt;&gt;""),MAX($A$1556:A2535)+1,"")</f>
        <v>138</v>
      </c>
      <c r="B2536" s="359" t="s">
        <v>2173</v>
      </c>
      <c r="C2536" s="360" t="s">
        <v>1544</v>
      </c>
      <c r="D2536" s="327">
        <f>IF($B2536="","",COUNTIF($B$6:$B2536,$B2536))</f>
        <v>1</v>
      </c>
      <c r="E2536" s="361" t="s">
        <v>2166</v>
      </c>
      <c r="F2536" s="362" t="s">
        <v>2165</v>
      </c>
      <c r="G2536" s="327" t="s">
        <v>155</v>
      </c>
      <c r="H2536" s="327"/>
      <c r="I2536" s="327">
        <v>2</v>
      </c>
      <c r="J2536" s="361"/>
      <c r="K2536" s="327"/>
      <c r="L2536" s="389">
        <v>70323</v>
      </c>
      <c r="M2536" s="371"/>
      <c r="N2536" s="355" t="str">
        <f t="shared" si="276"/>
        <v>PK</v>
      </c>
      <c r="O2536" s="345"/>
      <c r="P2536" s="392"/>
      <c r="Q2536" s="327"/>
      <c r="R2536" s="351"/>
      <c r="S2536" s="351"/>
      <c r="T2536" s="351"/>
      <c r="U2536" s="329" t="str">
        <f>IF($N2536=$N$4,IFERROR(INDEX(DanhMuc!$E$154:$E$165,MATCH(MID($B2536,4,2),DanhMuc!$B$154:$B$165,0)),""),"")</f>
        <v/>
      </c>
      <c r="V2536" s="361"/>
      <c r="W2536" s="345"/>
      <c r="X2536" s="329" t="str">
        <f t="shared" si="274"/>
        <v>KL</v>
      </c>
      <c r="Y2536" s="1128" t="s">
        <v>3380</v>
      </c>
      <c r="Z2536" s="1128" t="s">
        <v>3381</v>
      </c>
      <c r="AA2536" s="1128" t="s">
        <v>3384</v>
      </c>
      <c r="AB2536" s="20"/>
      <c r="AC2536" s="73"/>
    </row>
    <row r="2537" spans="1:29">
      <c r="A2537" s="327" t="str">
        <f>IF(AND($B2537&lt;&gt;"",$C2537&lt;&gt;""),MAX($A$1556:A2536)+1,"")</f>
        <v/>
      </c>
      <c r="B2537" s="361" t="s">
        <v>2173</v>
      </c>
      <c r="C2537" s="360"/>
      <c r="D2537" s="327">
        <f>IF($B2537="","",COUNTIF($B$6:$B2537,$B2537))</f>
        <v>2</v>
      </c>
      <c r="E2537" s="361" t="s">
        <v>2167</v>
      </c>
      <c r="F2537" s="362" t="s">
        <v>224</v>
      </c>
      <c r="G2537" s="327" t="s">
        <v>155</v>
      </c>
      <c r="H2537" s="327" t="s">
        <v>536</v>
      </c>
      <c r="I2537" s="327">
        <v>2</v>
      </c>
      <c r="J2537" s="361"/>
      <c r="K2537" s="327"/>
      <c r="L2537" s="389">
        <v>17300</v>
      </c>
      <c r="M2537" s="371"/>
      <c r="N2537" s="355" t="str">
        <f t="shared" si="276"/>
        <v>PK</v>
      </c>
      <c r="O2537" s="345"/>
      <c r="P2537" s="392"/>
      <c r="Q2537" s="327"/>
      <c r="R2537" s="351"/>
      <c r="S2537" s="351"/>
      <c r="T2537" s="351"/>
      <c r="U2537" s="329" t="str">
        <f>IF($N2537=$N$4,IFERROR(INDEX(DanhMuc!$E$154:$E$165,MATCH(MID($B2537,4,2),DanhMuc!$B$154:$B$165,0)),""),"")</f>
        <v/>
      </c>
      <c r="V2537" s="361"/>
      <c r="W2537" s="345"/>
      <c r="X2537" s="329" t="str">
        <f t="shared" si="274"/>
        <v>KL</v>
      </c>
      <c r="Y2537" s="1128" t="s">
        <v>3380</v>
      </c>
      <c r="Z2537" s="1128" t="s">
        <v>3381</v>
      </c>
      <c r="AA2537" s="1128" t="s">
        <v>3384</v>
      </c>
      <c r="AB2537" s="20"/>
      <c r="AC2537" s="73"/>
    </row>
    <row r="2538" spans="1:29">
      <c r="A2538" s="327" t="str">
        <f>IF(AND($B2538&lt;&gt;"",$C2538&lt;&gt;""),MAX($A$1556:A2537)+1,"")</f>
        <v/>
      </c>
      <c r="B2538" s="361" t="s">
        <v>2173</v>
      </c>
      <c r="C2538" s="360"/>
      <c r="D2538" s="327">
        <f>IF($B2538="","",COUNTIF($B$6:$B2538,$B2538))</f>
        <v>3</v>
      </c>
      <c r="E2538" s="361" t="s">
        <v>2114</v>
      </c>
      <c r="F2538" s="362" t="s">
        <v>633</v>
      </c>
      <c r="G2538" s="327" t="s">
        <v>155</v>
      </c>
      <c r="H2538" s="327" t="s">
        <v>536</v>
      </c>
      <c r="I2538" s="327">
        <v>4</v>
      </c>
      <c r="J2538" s="345"/>
      <c r="K2538" s="327"/>
      <c r="L2538" s="389">
        <v>13500</v>
      </c>
      <c r="M2538" s="371"/>
      <c r="N2538" s="355" t="str">
        <f t="shared" si="276"/>
        <v>PK</v>
      </c>
      <c r="O2538" s="345"/>
      <c r="P2538" s="392"/>
      <c r="Q2538" s="327"/>
      <c r="R2538" s="351"/>
      <c r="S2538" s="351"/>
      <c r="T2538" s="351"/>
      <c r="U2538" s="329" t="str">
        <f>IF($N2538=$N$4,IFERROR(INDEX(DanhMuc!$E$154:$E$165,MATCH(MID($B2538,4,2),DanhMuc!$B$154:$B$165,0)),""),"")</f>
        <v/>
      </c>
      <c r="V2538" s="361"/>
      <c r="W2538" s="345"/>
      <c r="X2538" s="329" t="str">
        <f t="shared" si="274"/>
        <v>KL</v>
      </c>
      <c r="Y2538" s="1128" t="s">
        <v>3380</v>
      </c>
      <c r="Z2538" s="1128" t="s">
        <v>3381</v>
      </c>
      <c r="AA2538" s="1128" t="s">
        <v>3384</v>
      </c>
      <c r="AB2538" s="20"/>
      <c r="AC2538" s="73"/>
    </row>
    <row r="2539" spans="1:29">
      <c r="A2539" s="327" t="str">
        <f>IF(AND($B2539&lt;&gt;"",$C2539&lt;&gt;""),MAX($A$1556:A2537)+1,"")</f>
        <v/>
      </c>
      <c r="B2539" s="361" t="s">
        <v>2173</v>
      </c>
      <c r="C2539" s="360"/>
      <c r="D2539" s="327">
        <f>IF($B2539="","",COUNTIF($B$6:$B2539,$B2539))</f>
        <v>4</v>
      </c>
      <c r="E2539" s="419" t="s">
        <v>2600</v>
      </c>
      <c r="F2539" s="417" t="s">
        <v>1801</v>
      </c>
      <c r="G2539" s="327" t="s">
        <v>155</v>
      </c>
      <c r="H2539" s="327" t="s">
        <v>536</v>
      </c>
      <c r="I2539" s="327">
        <v>2</v>
      </c>
      <c r="J2539" s="345"/>
      <c r="K2539" s="327"/>
      <c r="L2539" s="389">
        <v>8000</v>
      </c>
      <c r="M2539" s="371"/>
      <c r="N2539" s="355" t="str">
        <f t="shared" si="276"/>
        <v>PK</v>
      </c>
      <c r="O2539" s="345"/>
      <c r="P2539" s="392"/>
      <c r="Q2539" s="327"/>
      <c r="R2539" s="351"/>
      <c r="S2539" s="351"/>
      <c r="T2539" s="351"/>
      <c r="U2539" s="329" t="str">
        <f>IF($N2539=$N$4,IFERROR(INDEX(DanhMuc!$E$154:$E$165,MATCH(MID($B2539,4,2),DanhMuc!$B$154:$B$165,0)),""),"")</f>
        <v/>
      </c>
      <c r="V2539" s="361"/>
      <c r="W2539" s="345"/>
      <c r="X2539" s="329" t="str">
        <f t="shared" si="274"/>
        <v>KL</v>
      </c>
      <c r="Y2539" s="1128" t="s">
        <v>3380</v>
      </c>
      <c r="Z2539" s="1128" t="s">
        <v>3381</v>
      </c>
      <c r="AA2539" s="1128" t="s">
        <v>3384</v>
      </c>
      <c r="AB2539" s="20"/>
      <c r="AC2539" s="73"/>
    </row>
    <row r="2540" spans="1:29">
      <c r="A2540" s="327" t="str">
        <f>IF(AND($B2540&lt;&gt;"",$C2540&lt;&gt;""),MAX($A$1556:A2538)+1,"")</f>
        <v/>
      </c>
      <c r="B2540" s="361" t="s">
        <v>2173</v>
      </c>
      <c r="C2540" s="360"/>
      <c r="D2540" s="327">
        <f>IF($B2540="","",COUNTIF($B$6:$B2540,$B2540))</f>
        <v>5</v>
      </c>
      <c r="E2540" s="419" t="s">
        <v>2603</v>
      </c>
      <c r="F2540" s="362" t="s">
        <v>92</v>
      </c>
      <c r="G2540" s="327" t="s">
        <v>155</v>
      </c>
      <c r="H2540" s="327" t="s">
        <v>536</v>
      </c>
      <c r="I2540" s="327">
        <v>2</v>
      </c>
      <c r="J2540" s="345"/>
      <c r="K2540" s="327"/>
      <c r="L2540" s="389">
        <v>8000</v>
      </c>
      <c r="M2540" s="371"/>
      <c r="N2540" s="355" t="str">
        <f t="shared" si="276"/>
        <v>PK</v>
      </c>
      <c r="O2540" s="345"/>
      <c r="P2540" s="392"/>
      <c r="Q2540" s="327"/>
      <c r="R2540" s="351"/>
      <c r="S2540" s="351"/>
      <c r="T2540" s="351"/>
      <c r="U2540" s="329" t="str">
        <f>IF($N2540=$N$4,IFERROR(INDEX(DanhMuc!$E$154:$E$165,MATCH(MID($B2540,4,2),DanhMuc!$B$154:$B$165,0)),""),"")</f>
        <v/>
      </c>
      <c r="V2540" s="361"/>
      <c r="W2540" s="345"/>
      <c r="X2540" s="329" t="str">
        <f t="shared" si="274"/>
        <v>KL</v>
      </c>
      <c r="Y2540" s="1128" t="s">
        <v>3380</v>
      </c>
      <c r="Z2540" s="1128" t="s">
        <v>3381</v>
      </c>
      <c r="AA2540" s="1128" t="s">
        <v>3384</v>
      </c>
      <c r="AB2540" s="20"/>
      <c r="AC2540" s="73"/>
    </row>
    <row r="2541" spans="1:29">
      <c r="A2541" s="327" t="str">
        <f>IF(AND($B2541&lt;&gt;"",$C2541&lt;&gt;""),MAX($A$1556:A2540)+1,"")</f>
        <v/>
      </c>
      <c r="B2541" s="361" t="s">
        <v>2173</v>
      </c>
      <c r="C2541" s="360"/>
      <c r="D2541" s="327">
        <f>IF($B2541="","",COUNTIF($B$6:$B2541,$B2541))</f>
        <v>6</v>
      </c>
      <c r="E2541" s="365" t="s">
        <v>327</v>
      </c>
      <c r="F2541" s="368" t="s">
        <v>345</v>
      </c>
      <c r="G2541" s="367" t="s">
        <v>690</v>
      </c>
      <c r="H2541" s="327" t="s">
        <v>536</v>
      </c>
      <c r="I2541" s="327">
        <v>3</v>
      </c>
      <c r="J2541" s="345" t="s">
        <v>705</v>
      </c>
      <c r="K2541" s="327"/>
      <c r="L2541" s="348">
        <f>+$S2541*$T2541*$L$37</f>
        <v>84651</v>
      </c>
      <c r="M2541" s="371"/>
      <c r="N2541" s="369" t="s">
        <v>150</v>
      </c>
      <c r="O2541" s="345"/>
      <c r="P2541" s="392"/>
      <c r="Q2541" s="327"/>
      <c r="R2541" s="351">
        <v>2.5</v>
      </c>
      <c r="S2541" s="351">
        <v>5.8</v>
      </c>
      <c r="T2541" s="351">
        <v>0.13900000000000001</v>
      </c>
      <c r="U2541" s="329">
        <f>IF($N2541=$N$4,IFERROR(INDEX(DanhMuc!$E$154:$E$165,MATCH(MID($B2541,4,2),DanhMuc!$B$154:$B$165,0)),""),"")</f>
        <v>5800</v>
      </c>
      <c r="V2541" s="361"/>
      <c r="W2541" s="345"/>
      <c r="X2541" s="329" t="str">
        <f t="shared" si="274"/>
        <v>C459</v>
      </c>
      <c r="Y2541" s="1128" t="s">
        <v>3380</v>
      </c>
      <c r="Z2541" s="1128" t="s">
        <v>3381</v>
      </c>
      <c r="AA2541" s="1128" t="s">
        <v>3384</v>
      </c>
      <c r="AB2541" s="20"/>
      <c r="AC2541" s="73"/>
    </row>
    <row r="2542" spans="1:29">
      <c r="A2542" s="327" t="str">
        <f>IF(AND($B2542&lt;&gt;"",$C2542&lt;&gt;""),MAX($A$1556:A2538)+1,"")</f>
        <v/>
      </c>
      <c r="B2542" s="361" t="s">
        <v>2173</v>
      </c>
      <c r="C2542" s="360"/>
      <c r="D2542" s="327">
        <f>IF($B2542="","",COUNTIF($B$6:$B2542,$B2542))</f>
        <v>7</v>
      </c>
      <c r="E2542" s="361" t="s">
        <v>1909</v>
      </c>
      <c r="F2542" s="362" t="s">
        <v>1908</v>
      </c>
      <c r="G2542" s="327" t="s">
        <v>344</v>
      </c>
      <c r="H2542" s="327" t="s">
        <v>536</v>
      </c>
      <c r="I2542" s="327">
        <v>4</v>
      </c>
      <c r="J2542" s="361"/>
      <c r="K2542" s="327"/>
      <c r="L2542" s="389">
        <v>36000</v>
      </c>
      <c r="M2542" s="371"/>
      <c r="N2542" s="355" t="str">
        <f t="shared" ref="N2542:N2556" si="277">+$N$1555</f>
        <v>PK</v>
      </c>
      <c r="O2542" s="345"/>
      <c r="P2542" s="392"/>
      <c r="Q2542" s="327"/>
      <c r="R2542" s="351"/>
      <c r="S2542" s="351"/>
      <c r="T2542" s="351"/>
      <c r="U2542" s="329" t="str">
        <f>IF($N2542=$N$4,IFERROR(INDEX(DanhMuc!$E$154:$E$165,MATCH(MID($B2542,4,2),DanhMuc!$B$154:$B$165,0)),""),"")</f>
        <v/>
      </c>
      <c r="V2542" s="361"/>
      <c r="W2542" s="345"/>
      <c r="X2542" s="329" t="str">
        <f t="shared" ref="X2542:X2608" si="278">IF($N2542="PR",$E2542,MID($B2542,10,2))</f>
        <v>KL</v>
      </c>
      <c r="Y2542" s="1128" t="s">
        <v>3380</v>
      </c>
      <c r="Z2542" s="1128" t="s">
        <v>3381</v>
      </c>
      <c r="AA2542" s="1128" t="s">
        <v>3384</v>
      </c>
      <c r="AB2542" s="20"/>
      <c r="AC2542" s="73"/>
    </row>
    <row r="2543" spans="1:29">
      <c r="A2543" s="327" t="str">
        <f>IF(AND($B2543&lt;&gt;"",$C2543&lt;&gt;""),MAX($A$1556:A2541)+1,"")</f>
        <v/>
      </c>
      <c r="B2543" s="361" t="s">
        <v>2173</v>
      </c>
      <c r="C2543" s="360"/>
      <c r="D2543" s="327">
        <f>IF($B2543="","",COUNTIF($B$6:$B2543,$B2543))</f>
        <v>8</v>
      </c>
      <c r="E2543" s="419" t="s">
        <v>2600</v>
      </c>
      <c r="F2543" s="417" t="s">
        <v>1801</v>
      </c>
      <c r="G2543" s="327" t="s">
        <v>155</v>
      </c>
      <c r="H2543" s="327" t="s">
        <v>536</v>
      </c>
      <c r="I2543" s="327">
        <v>2</v>
      </c>
      <c r="J2543" s="361"/>
      <c r="K2543" s="327"/>
      <c r="L2543" s="389">
        <v>8000</v>
      </c>
      <c r="M2543" s="371"/>
      <c r="N2543" s="355" t="str">
        <f t="shared" si="277"/>
        <v>PK</v>
      </c>
      <c r="O2543" s="345"/>
      <c r="P2543" s="392"/>
      <c r="Q2543" s="327"/>
      <c r="R2543" s="351"/>
      <c r="S2543" s="351"/>
      <c r="T2543" s="351"/>
      <c r="U2543" s="329" t="str">
        <f>IF($N2543=$N$4,IFERROR(INDEX(DanhMuc!$E$154:$E$165,MATCH(MID($B2543,4,2),DanhMuc!$B$154:$B$165,0)),""),"")</f>
        <v/>
      </c>
      <c r="V2543" s="361"/>
      <c r="W2543" s="345"/>
      <c r="X2543" s="329" t="str">
        <f t="shared" si="278"/>
        <v>KL</v>
      </c>
      <c r="Y2543" s="1128" t="s">
        <v>3380</v>
      </c>
      <c r="Z2543" s="1128" t="s">
        <v>3381</v>
      </c>
      <c r="AA2543" s="1128" t="s">
        <v>3384</v>
      </c>
      <c r="AB2543" s="20"/>
      <c r="AC2543" s="73"/>
    </row>
    <row r="2544" spans="1:29">
      <c r="A2544" s="327" t="str">
        <f>IF(AND($B2544&lt;&gt;"",$C2544&lt;&gt;""),MAX($A$1556:A2541)+1,"")</f>
        <v/>
      </c>
      <c r="B2544" s="361" t="s">
        <v>2173</v>
      </c>
      <c r="C2544" s="360"/>
      <c r="D2544" s="327">
        <f>IF($B2544="","",COUNTIF($B$6:$B2544,$B2544))</f>
        <v>9</v>
      </c>
      <c r="E2544" s="361" t="s">
        <v>175</v>
      </c>
      <c r="F2544" s="362" t="s">
        <v>176</v>
      </c>
      <c r="G2544" s="327" t="s">
        <v>155</v>
      </c>
      <c r="H2544" s="327" t="s">
        <v>536</v>
      </c>
      <c r="I2544" s="327">
        <v>6</v>
      </c>
      <c r="J2544" s="361"/>
      <c r="K2544" s="327"/>
      <c r="L2544" s="389">
        <v>2000</v>
      </c>
      <c r="M2544" s="371"/>
      <c r="N2544" s="355" t="str">
        <f t="shared" si="277"/>
        <v>PK</v>
      </c>
      <c r="O2544" s="345"/>
      <c r="P2544" s="392"/>
      <c r="Q2544" s="327"/>
      <c r="R2544" s="351"/>
      <c r="S2544" s="351"/>
      <c r="T2544" s="351"/>
      <c r="U2544" s="329" t="str">
        <f>IF($N2544=$N$4,IFERROR(INDEX(DanhMuc!$E$154:$E$165,MATCH(MID($B2544,4,2),DanhMuc!$B$154:$B$165,0)),""),"")</f>
        <v/>
      </c>
      <c r="V2544" s="361"/>
      <c r="W2544" s="345"/>
      <c r="X2544" s="329" t="str">
        <f t="shared" si="278"/>
        <v>KL</v>
      </c>
      <c r="Y2544" s="1128" t="s">
        <v>3380</v>
      </c>
      <c r="Z2544" s="1128" t="s">
        <v>3381</v>
      </c>
      <c r="AA2544" s="1128" t="s">
        <v>3384</v>
      </c>
      <c r="AB2544" s="20"/>
      <c r="AC2544" s="73"/>
    </row>
    <row r="2545" spans="1:29">
      <c r="A2545" s="327" t="str">
        <f>IF(AND($B2545&lt;&gt;"",$C2545&lt;&gt;""),MAX($A$1556:A2544)+1,"")</f>
        <v/>
      </c>
      <c r="B2545" s="361" t="s">
        <v>2173</v>
      </c>
      <c r="C2545" s="360"/>
      <c r="D2545" s="327">
        <f>IF($B2545="","",COUNTIF($B$6:$B2545,$B2545))</f>
        <v>10</v>
      </c>
      <c r="E2545" s="405" t="s">
        <v>2168</v>
      </c>
      <c r="F2545" s="406" t="s">
        <v>178</v>
      </c>
      <c r="G2545" s="327" t="s">
        <v>155</v>
      </c>
      <c r="H2545" s="327" t="s">
        <v>536</v>
      </c>
      <c r="I2545" s="327">
        <v>6</v>
      </c>
      <c r="J2545" s="345"/>
      <c r="K2545" s="327"/>
      <c r="L2545" s="389">
        <v>37000</v>
      </c>
      <c r="M2545" s="371"/>
      <c r="N2545" s="355" t="str">
        <f t="shared" si="277"/>
        <v>PK</v>
      </c>
      <c r="O2545" s="407" t="s">
        <v>1698</v>
      </c>
      <c r="P2545" s="392"/>
      <c r="Q2545" s="327"/>
      <c r="R2545" s="351"/>
      <c r="S2545" s="351"/>
      <c r="T2545" s="351"/>
      <c r="U2545" s="329" t="str">
        <f>IF($N2545=$N$4,IFERROR(INDEX(DanhMuc!$E$154:$E$165,MATCH(MID($B2545,4,2),DanhMuc!$B$154:$B$165,0)),""),"")</f>
        <v/>
      </c>
      <c r="V2545" s="361"/>
      <c r="W2545" s="345"/>
      <c r="X2545" s="329" t="str">
        <f t="shared" si="278"/>
        <v>KL</v>
      </c>
      <c r="Y2545" s="1128" t="s">
        <v>3380</v>
      </c>
      <c r="Z2545" s="1128" t="s">
        <v>3381</v>
      </c>
      <c r="AA2545" s="1128" t="s">
        <v>3384</v>
      </c>
      <c r="AB2545" s="20"/>
      <c r="AC2545" s="73"/>
    </row>
    <row r="2546" spans="1:29">
      <c r="A2546" s="327" t="str">
        <f>IF(AND($B2546&lt;&gt;"",$C2546&lt;&gt;""),MAX($A$1556:A2545)+1,"")</f>
        <v/>
      </c>
      <c r="B2546" s="361" t="s">
        <v>2173</v>
      </c>
      <c r="C2546" s="360"/>
      <c r="D2546" s="327">
        <f>IF($B2546="","",COUNTIF($B$6:$B2546,$B2546))</f>
        <v>11</v>
      </c>
      <c r="E2546" s="405" t="s">
        <v>2169</v>
      </c>
      <c r="F2546" s="406" t="s">
        <v>202</v>
      </c>
      <c r="G2546" s="327" t="s">
        <v>155</v>
      </c>
      <c r="H2546" s="327" t="s">
        <v>536</v>
      </c>
      <c r="I2546" s="327">
        <v>6</v>
      </c>
      <c r="J2546" s="345"/>
      <c r="K2546" s="327"/>
      <c r="L2546" s="389">
        <v>43000</v>
      </c>
      <c r="M2546" s="371"/>
      <c r="N2546" s="355" t="str">
        <f t="shared" si="277"/>
        <v>PK</v>
      </c>
      <c r="O2546" s="407" t="s">
        <v>1699</v>
      </c>
      <c r="P2546" s="392"/>
      <c r="Q2546" s="327"/>
      <c r="R2546" s="351"/>
      <c r="S2546" s="351"/>
      <c r="T2546" s="351"/>
      <c r="U2546" s="329" t="str">
        <f>IF($N2546=$N$4,IFERROR(INDEX(DanhMuc!$E$154:$E$165,MATCH(MID($B2546,4,2),DanhMuc!$B$154:$B$165,0)),""),"")</f>
        <v/>
      </c>
      <c r="V2546" s="361"/>
      <c r="W2546" s="345"/>
      <c r="X2546" s="329" t="str">
        <f t="shared" si="278"/>
        <v>KL</v>
      </c>
      <c r="Y2546" s="1128" t="s">
        <v>3380</v>
      </c>
      <c r="Z2546" s="1128" t="s">
        <v>3381</v>
      </c>
      <c r="AA2546" s="1128" t="s">
        <v>3384</v>
      </c>
      <c r="AB2546" s="20"/>
      <c r="AC2546" s="73"/>
    </row>
    <row r="2547" spans="1:29">
      <c r="A2547" s="327" t="str">
        <f>IF(AND($B2547&lt;&gt;"",$C2547&lt;&gt;""),MAX($A$1556:A2546)+1,"")</f>
        <v/>
      </c>
      <c r="B2547" s="361" t="s">
        <v>2173</v>
      </c>
      <c r="C2547" s="360"/>
      <c r="D2547" s="327">
        <f>IF($B2547="","",COUNTIF($B$6:$B2547,$B2547))</f>
        <v>12</v>
      </c>
      <c r="E2547" s="405" t="s">
        <v>2170</v>
      </c>
      <c r="F2547" s="406" t="s">
        <v>204</v>
      </c>
      <c r="G2547" s="327" t="s">
        <v>155</v>
      </c>
      <c r="H2547" s="327" t="s">
        <v>536</v>
      </c>
      <c r="I2547" s="327">
        <v>6</v>
      </c>
      <c r="J2547" s="345"/>
      <c r="K2547" s="327"/>
      <c r="L2547" s="389">
        <v>50000</v>
      </c>
      <c r="M2547" s="371"/>
      <c r="N2547" s="355" t="str">
        <f t="shared" si="277"/>
        <v>PK</v>
      </c>
      <c r="O2547" s="407" t="s">
        <v>1700</v>
      </c>
      <c r="P2547" s="392"/>
      <c r="Q2547" s="327"/>
      <c r="R2547" s="351"/>
      <c r="S2547" s="351"/>
      <c r="T2547" s="351"/>
      <c r="U2547" s="329" t="str">
        <f>IF($N2547=$N$4,IFERROR(INDEX(DanhMuc!$E$154:$E$165,MATCH(MID($B2547,4,2),DanhMuc!$B$154:$B$165,0)),""),"")</f>
        <v/>
      </c>
      <c r="V2547" s="361"/>
      <c r="W2547" s="345"/>
      <c r="X2547" s="329" t="str">
        <f t="shared" si="278"/>
        <v>KL</v>
      </c>
      <c r="Y2547" s="1128" t="s">
        <v>3380</v>
      </c>
      <c r="Z2547" s="1128" t="s">
        <v>3381</v>
      </c>
      <c r="AA2547" s="1128" t="s">
        <v>3384</v>
      </c>
      <c r="AB2547" s="20"/>
      <c r="AC2547" s="73"/>
    </row>
    <row r="2548" spans="1:29">
      <c r="A2548" s="327" t="str">
        <f>IF(AND($B2548&lt;&gt;"",$C2548&lt;&gt;""),MAX($A$1556:A2547)+1,"")</f>
        <v/>
      </c>
      <c r="B2548" s="361" t="s">
        <v>2173</v>
      </c>
      <c r="C2548" s="360"/>
      <c r="D2548" s="327">
        <f>IF($B2548="","",COUNTIF($B$6:$B2548,$B2548))</f>
        <v>13</v>
      </c>
      <c r="E2548" s="405" t="s">
        <v>2171</v>
      </c>
      <c r="F2548" s="406" t="s">
        <v>206</v>
      </c>
      <c r="G2548" s="327" t="s">
        <v>155</v>
      </c>
      <c r="H2548" s="327" t="s">
        <v>536</v>
      </c>
      <c r="I2548" s="327">
        <v>6</v>
      </c>
      <c r="J2548" s="345"/>
      <c r="K2548" s="327"/>
      <c r="L2548" s="389">
        <v>57000</v>
      </c>
      <c r="M2548" s="371"/>
      <c r="N2548" s="355" t="str">
        <f t="shared" si="277"/>
        <v>PK</v>
      </c>
      <c r="O2548" s="407" t="s">
        <v>1701</v>
      </c>
      <c r="P2548" s="392"/>
      <c r="Q2548" s="327"/>
      <c r="R2548" s="351"/>
      <c r="S2548" s="351"/>
      <c r="T2548" s="351"/>
      <c r="U2548" s="329" t="str">
        <f>IF($N2548=$N$4,IFERROR(INDEX(DanhMuc!$E$154:$E$165,MATCH(MID($B2548,4,2),DanhMuc!$B$154:$B$165,0)),""),"")</f>
        <v/>
      </c>
      <c r="V2548" s="361"/>
      <c r="W2548" s="345"/>
      <c r="X2548" s="329" t="str">
        <f t="shared" si="278"/>
        <v>KL</v>
      </c>
      <c r="Y2548" s="1128" t="s">
        <v>3380</v>
      </c>
      <c r="Z2548" s="1128" t="s">
        <v>3381</v>
      </c>
      <c r="AA2548" s="1128" t="s">
        <v>3384</v>
      </c>
      <c r="AB2548" s="20"/>
      <c r="AC2548" s="73"/>
    </row>
    <row r="2549" spans="1:29">
      <c r="A2549" s="327" t="str">
        <f>IF(AND($B2549&lt;&gt;"",$C2549&lt;&gt;""),MAX($A$1556:A2548)+1,"")</f>
        <v/>
      </c>
      <c r="B2549" s="361" t="s">
        <v>2173</v>
      </c>
      <c r="C2549" s="360"/>
      <c r="D2549" s="327">
        <f>IF($B2549="","",COUNTIF($B$6:$B2549,$B2549))</f>
        <v>14</v>
      </c>
      <c r="E2549" s="405" t="s">
        <v>442</v>
      </c>
      <c r="F2549" s="406" t="s">
        <v>505</v>
      </c>
      <c r="G2549" s="327" t="s">
        <v>155</v>
      </c>
      <c r="H2549" s="327" t="s">
        <v>536</v>
      </c>
      <c r="I2549" s="327">
        <v>6</v>
      </c>
      <c r="J2549" s="345"/>
      <c r="K2549" s="327"/>
      <c r="L2549" s="389">
        <v>24000</v>
      </c>
      <c r="M2549" s="371"/>
      <c r="N2549" s="355" t="str">
        <f t="shared" si="277"/>
        <v>PK</v>
      </c>
      <c r="O2549" s="407" t="s">
        <v>442</v>
      </c>
      <c r="P2549" s="392"/>
      <c r="Q2549" s="327"/>
      <c r="R2549" s="351"/>
      <c r="S2549" s="351"/>
      <c r="T2549" s="351"/>
      <c r="U2549" s="329" t="str">
        <f>IF($N2549=$N$4,IFERROR(INDEX(DanhMuc!$E$154:$E$165,MATCH(MID($B2549,4,2),DanhMuc!$B$154:$B$165,0)),""),"")</f>
        <v/>
      </c>
      <c r="V2549" s="361"/>
      <c r="W2549" s="345"/>
      <c r="X2549" s="329" t="str">
        <f t="shared" si="278"/>
        <v>KL</v>
      </c>
      <c r="Y2549" s="1128" t="s">
        <v>3380</v>
      </c>
      <c r="Z2549" s="1128" t="s">
        <v>3381</v>
      </c>
      <c r="AA2549" s="1128" t="s">
        <v>3384</v>
      </c>
      <c r="AB2549" s="20"/>
      <c r="AC2549" s="73"/>
    </row>
    <row r="2550" spans="1:29">
      <c r="A2550" s="327" t="str">
        <f>IF(AND($B2550&lt;&gt;"",$C2550&lt;&gt;""),MAX($A$1556:A2548)+1,"")</f>
        <v/>
      </c>
      <c r="B2550" s="361" t="s">
        <v>2173</v>
      </c>
      <c r="C2550" s="360"/>
      <c r="D2550" s="327">
        <f>IF($B2550="","",COUNTIF($B$6:$B2550,$B2550))</f>
        <v>15</v>
      </c>
      <c r="E2550" s="361" t="s">
        <v>678</v>
      </c>
      <c r="F2550" s="362" t="s">
        <v>711</v>
      </c>
      <c r="G2550" s="327" t="s">
        <v>155</v>
      </c>
      <c r="H2550" s="327"/>
      <c r="I2550" s="327">
        <v>1</v>
      </c>
      <c r="J2550" s="361"/>
      <c r="K2550" s="327"/>
      <c r="L2550" s="389">
        <v>1250</v>
      </c>
      <c r="M2550" s="371"/>
      <c r="N2550" s="355" t="str">
        <f t="shared" si="277"/>
        <v>PK</v>
      </c>
      <c r="O2550" s="345"/>
      <c r="P2550" s="392"/>
      <c r="Q2550" s="327"/>
      <c r="R2550" s="351"/>
      <c r="S2550" s="351"/>
      <c r="T2550" s="351"/>
      <c r="U2550" s="329" t="str">
        <f>IF($N2550=$N$4,IFERROR(INDEX(DanhMuc!$E$154:$E$165,MATCH(MID($B2550,4,2),DanhMuc!$B$154:$B$165,0)),""),"")</f>
        <v/>
      </c>
      <c r="V2550" s="361"/>
      <c r="W2550" s="345"/>
      <c r="X2550" s="329" t="str">
        <f t="shared" si="278"/>
        <v>KL</v>
      </c>
      <c r="Y2550" s="1128" t="s">
        <v>3380</v>
      </c>
      <c r="Z2550" s="1128" t="s">
        <v>3381</v>
      </c>
      <c r="AA2550" s="1128" t="s">
        <v>3384</v>
      </c>
      <c r="AB2550" s="20"/>
      <c r="AC2550" s="73"/>
    </row>
    <row r="2551" spans="1:29">
      <c r="A2551" s="327" t="str">
        <f>IF(AND($B2551&lt;&gt;"",$C2551&lt;&gt;""),MAX($A$1556:A2550)+1,"")</f>
        <v/>
      </c>
      <c r="B2551" s="361" t="s">
        <v>2173</v>
      </c>
      <c r="C2551" s="360"/>
      <c r="D2551" s="327">
        <f>IF($B2551="","",COUNTIF($B$6:$B2551,$B2551))</f>
        <v>16</v>
      </c>
      <c r="E2551" s="361" t="s">
        <v>679</v>
      </c>
      <c r="F2551" s="362" t="s">
        <v>712</v>
      </c>
      <c r="G2551" s="327" t="s">
        <v>155</v>
      </c>
      <c r="H2551" s="327"/>
      <c r="I2551" s="327">
        <v>1</v>
      </c>
      <c r="J2551" s="361"/>
      <c r="K2551" s="327"/>
      <c r="L2551" s="389">
        <v>1250</v>
      </c>
      <c r="M2551" s="371"/>
      <c r="N2551" s="355" t="str">
        <f t="shared" si="277"/>
        <v>PK</v>
      </c>
      <c r="O2551" s="345"/>
      <c r="P2551" s="392"/>
      <c r="Q2551" s="327"/>
      <c r="R2551" s="351"/>
      <c r="S2551" s="351"/>
      <c r="T2551" s="351"/>
      <c r="U2551" s="329" t="str">
        <f>IF($N2551=$N$4,IFERROR(INDEX(DanhMuc!$E$154:$E$165,MATCH(MID($B2551,4,2),DanhMuc!$B$154:$B$165,0)),""),"")</f>
        <v/>
      </c>
      <c r="V2551" s="361"/>
      <c r="W2551" s="345"/>
      <c r="X2551" s="329" t="str">
        <f t="shared" si="278"/>
        <v>KL</v>
      </c>
      <c r="Y2551" s="1128" t="s">
        <v>3380</v>
      </c>
      <c r="Z2551" s="1128" t="s">
        <v>3381</v>
      </c>
      <c r="AA2551" s="1128" t="s">
        <v>3384</v>
      </c>
      <c r="AB2551" s="20"/>
      <c r="AC2551" s="73"/>
    </row>
    <row r="2552" spans="1:29" ht="26">
      <c r="A2552" s="327">
        <f>IF(AND($B2552&lt;&gt;"",$C2552&lt;&gt;""),MAX($A$1556:A2551)+1,"")</f>
        <v>139</v>
      </c>
      <c r="B2552" s="359" t="s">
        <v>2174</v>
      </c>
      <c r="C2552" s="360" t="s">
        <v>1545</v>
      </c>
      <c r="D2552" s="327">
        <f>IF($B2552="","",COUNTIF($B$6:$B2552,$B2552))</f>
        <v>1</v>
      </c>
      <c r="E2552" s="361" t="s">
        <v>2166</v>
      </c>
      <c r="F2552" s="362" t="s">
        <v>2165</v>
      </c>
      <c r="G2552" s="327" t="s">
        <v>155</v>
      </c>
      <c r="H2552" s="327"/>
      <c r="I2552" s="327">
        <v>3</v>
      </c>
      <c r="J2552" s="361"/>
      <c r="K2552" s="327"/>
      <c r="L2552" s="389">
        <v>70323</v>
      </c>
      <c r="M2552" s="371"/>
      <c r="N2552" s="355" t="str">
        <f t="shared" si="277"/>
        <v>PK</v>
      </c>
      <c r="O2552" s="345"/>
      <c r="P2552" s="392"/>
      <c r="Q2552" s="327"/>
      <c r="R2552" s="351"/>
      <c r="S2552" s="351"/>
      <c r="T2552" s="351"/>
      <c r="U2552" s="329" t="str">
        <f>IF($N2552=$N$4,IFERROR(INDEX(DanhMuc!$E$154:$E$165,MATCH(MID($B2552,4,2),DanhMuc!$B$154:$B$165,0)),""),"")</f>
        <v/>
      </c>
      <c r="V2552" s="361"/>
      <c r="W2552" s="345"/>
      <c r="X2552" s="329" t="str">
        <f t="shared" si="278"/>
        <v>KL</v>
      </c>
      <c r="Y2552" s="1128" t="s">
        <v>3380</v>
      </c>
      <c r="Z2552" s="1128" t="s">
        <v>3381</v>
      </c>
      <c r="AA2552" s="1128" t="s">
        <v>3384</v>
      </c>
      <c r="AB2552" s="20"/>
      <c r="AC2552" s="73"/>
    </row>
    <row r="2553" spans="1:29">
      <c r="A2553" s="327" t="str">
        <f>IF(AND($B2553&lt;&gt;"",$C2553&lt;&gt;""),MAX($A$1556:A2552)+1,"")</f>
        <v/>
      </c>
      <c r="B2553" s="361" t="s">
        <v>2174</v>
      </c>
      <c r="C2553" s="360"/>
      <c r="D2553" s="327">
        <f>IF($B2553="","",COUNTIF($B$6:$B2553,$B2553))</f>
        <v>2</v>
      </c>
      <c r="E2553" s="361" t="s">
        <v>2167</v>
      </c>
      <c r="F2553" s="362" t="s">
        <v>224</v>
      </c>
      <c r="G2553" s="327" t="s">
        <v>155</v>
      </c>
      <c r="H2553" s="327" t="s">
        <v>536</v>
      </c>
      <c r="I2553" s="327">
        <v>3</v>
      </c>
      <c r="J2553" s="361"/>
      <c r="K2553" s="327"/>
      <c r="L2553" s="389">
        <v>17300</v>
      </c>
      <c r="M2553" s="371"/>
      <c r="N2553" s="355" t="str">
        <f t="shared" si="277"/>
        <v>PK</v>
      </c>
      <c r="O2553" s="345"/>
      <c r="P2553" s="392"/>
      <c r="Q2553" s="327"/>
      <c r="R2553" s="351"/>
      <c r="S2553" s="351"/>
      <c r="T2553" s="351"/>
      <c r="U2553" s="329" t="str">
        <f>IF($N2553=$N$4,IFERROR(INDEX(DanhMuc!$E$154:$E$165,MATCH(MID($B2553,4,2),DanhMuc!$B$154:$B$165,0)),""),"")</f>
        <v/>
      </c>
      <c r="V2553" s="361"/>
      <c r="W2553" s="345"/>
      <c r="X2553" s="329" t="str">
        <f t="shared" si="278"/>
        <v>KL</v>
      </c>
      <c r="Y2553" s="1128" t="s">
        <v>3380</v>
      </c>
      <c r="Z2553" s="1128" t="s">
        <v>3381</v>
      </c>
      <c r="AA2553" s="1128" t="s">
        <v>3384</v>
      </c>
      <c r="AB2553" s="20"/>
      <c r="AC2553" s="73"/>
    </row>
    <row r="2554" spans="1:29">
      <c r="A2554" s="327" t="str">
        <f>IF(AND($B2554&lt;&gt;"",$C2554&lt;&gt;""),MAX($A$1556:A2553)+1,"")</f>
        <v/>
      </c>
      <c r="B2554" s="361" t="s">
        <v>2174</v>
      </c>
      <c r="C2554" s="360"/>
      <c r="D2554" s="327">
        <f>IF($B2554="","",COUNTIF($B$6:$B2554,$B2554))</f>
        <v>3</v>
      </c>
      <c r="E2554" s="361" t="s">
        <v>2114</v>
      </c>
      <c r="F2554" s="362" t="s">
        <v>633</v>
      </c>
      <c r="G2554" s="327" t="s">
        <v>155</v>
      </c>
      <c r="H2554" s="327" t="s">
        <v>536</v>
      </c>
      <c r="I2554" s="327">
        <v>6</v>
      </c>
      <c r="J2554" s="345"/>
      <c r="K2554" s="327"/>
      <c r="L2554" s="389">
        <v>13500</v>
      </c>
      <c r="M2554" s="371"/>
      <c r="N2554" s="355" t="str">
        <f t="shared" si="277"/>
        <v>PK</v>
      </c>
      <c r="O2554" s="345"/>
      <c r="P2554" s="392"/>
      <c r="Q2554" s="327"/>
      <c r="R2554" s="351"/>
      <c r="S2554" s="351"/>
      <c r="T2554" s="351"/>
      <c r="U2554" s="329" t="str">
        <f>IF($N2554=$N$4,IFERROR(INDEX(DanhMuc!$E$154:$E$165,MATCH(MID($B2554,4,2),DanhMuc!$B$154:$B$165,0)),""),"")</f>
        <v/>
      </c>
      <c r="V2554" s="361"/>
      <c r="W2554" s="345"/>
      <c r="X2554" s="329" t="str">
        <f t="shared" si="278"/>
        <v>KL</v>
      </c>
      <c r="Y2554" s="1128" t="s">
        <v>3380</v>
      </c>
      <c r="Z2554" s="1128" t="s">
        <v>3381</v>
      </c>
      <c r="AA2554" s="1128" t="s">
        <v>3384</v>
      </c>
      <c r="AB2554" s="20"/>
      <c r="AC2554" s="73"/>
    </row>
    <row r="2555" spans="1:29">
      <c r="A2555" s="327" t="str">
        <f>IF(AND($B2555&lt;&gt;"",$C2555&lt;&gt;""),MAX($A$1556:A2554)+1,"")</f>
        <v/>
      </c>
      <c r="B2555" s="361" t="s">
        <v>2174</v>
      </c>
      <c r="C2555" s="360"/>
      <c r="D2555" s="327">
        <f>IF($B2555="","",COUNTIF($B$6:$B2555,$B2555))</f>
        <v>4</v>
      </c>
      <c r="E2555" s="419" t="s">
        <v>2600</v>
      </c>
      <c r="F2555" s="417" t="s">
        <v>1801</v>
      </c>
      <c r="G2555" s="327" t="s">
        <v>155</v>
      </c>
      <c r="H2555" s="327" t="s">
        <v>536</v>
      </c>
      <c r="I2555" s="327">
        <v>4</v>
      </c>
      <c r="J2555" s="345"/>
      <c r="K2555" s="327"/>
      <c r="L2555" s="389">
        <v>8000</v>
      </c>
      <c r="M2555" s="371"/>
      <c r="N2555" s="355" t="str">
        <f t="shared" si="277"/>
        <v>PK</v>
      </c>
      <c r="O2555" s="345"/>
      <c r="P2555" s="392"/>
      <c r="Q2555" s="327"/>
      <c r="R2555" s="351"/>
      <c r="S2555" s="351"/>
      <c r="T2555" s="351"/>
      <c r="U2555" s="329" t="str">
        <f>IF($N2555=$N$4,IFERROR(INDEX(DanhMuc!$E$154:$E$165,MATCH(MID($B2555,4,2),DanhMuc!$B$154:$B$165,0)),""),"")</f>
        <v/>
      </c>
      <c r="V2555" s="361"/>
      <c r="W2555" s="345"/>
      <c r="X2555" s="329" t="str">
        <f t="shared" si="278"/>
        <v>KL</v>
      </c>
      <c r="Y2555" s="1128" t="s">
        <v>3380</v>
      </c>
      <c r="Z2555" s="1128" t="s">
        <v>3381</v>
      </c>
      <c r="AA2555" s="1128" t="s">
        <v>3384</v>
      </c>
      <c r="AB2555" s="20"/>
      <c r="AC2555" s="73"/>
    </row>
    <row r="2556" spans="1:29">
      <c r="A2556" s="327" t="str">
        <f>IF(AND($B2556&lt;&gt;"",$C2556&lt;&gt;""),MAX($A$1556:A2555)+1,"")</f>
        <v/>
      </c>
      <c r="B2556" s="361" t="s">
        <v>2174</v>
      </c>
      <c r="C2556" s="360"/>
      <c r="D2556" s="327">
        <f>IF($B2556="","",COUNTIF($B$6:$B2556,$B2556))</f>
        <v>5</v>
      </c>
      <c r="E2556" s="419" t="s">
        <v>2603</v>
      </c>
      <c r="F2556" s="362" t="s">
        <v>92</v>
      </c>
      <c r="G2556" s="327" t="s">
        <v>155</v>
      </c>
      <c r="H2556" s="327" t="s">
        <v>536</v>
      </c>
      <c r="I2556" s="327">
        <v>2</v>
      </c>
      <c r="J2556" s="345"/>
      <c r="K2556" s="327"/>
      <c r="L2556" s="389">
        <v>8000</v>
      </c>
      <c r="M2556" s="371"/>
      <c r="N2556" s="355" t="str">
        <f t="shared" si="277"/>
        <v>PK</v>
      </c>
      <c r="O2556" s="345"/>
      <c r="P2556" s="392"/>
      <c r="Q2556" s="327"/>
      <c r="R2556" s="351"/>
      <c r="S2556" s="351"/>
      <c r="T2556" s="351"/>
      <c r="U2556" s="329" t="str">
        <f>IF($N2556=$N$4,IFERROR(INDEX(DanhMuc!$E$154:$E$165,MATCH(MID($B2556,4,2),DanhMuc!$B$154:$B$165,0)),""),"")</f>
        <v/>
      </c>
      <c r="V2556" s="361"/>
      <c r="W2556" s="345"/>
      <c r="X2556" s="329" t="str">
        <f t="shared" si="278"/>
        <v>KL</v>
      </c>
      <c r="Y2556" s="1128" t="s">
        <v>3380</v>
      </c>
      <c r="Z2556" s="1128" t="s">
        <v>3381</v>
      </c>
      <c r="AA2556" s="1128" t="s">
        <v>3384</v>
      </c>
      <c r="AB2556" s="20"/>
      <c r="AC2556" s="73"/>
    </row>
    <row r="2557" spans="1:29">
      <c r="A2557" s="327" t="str">
        <f>IF(AND($B2557&lt;&gt;"",$C2557&lt;&gt;""),MAX($A$1556:A2556)+1,"")</f>
        <v/>
      </c>
      <c r="B2557" s="361" t="s">
        <v>2174</v>
      </c>
      <c r="C2557" s="360"/>
      <c r="D2557" s="327">
        <f>IF($B2557="","",COUNTIF($B$6:$B2557,$B2557))</f>
        <v>6</v>
      </c>
      <c r="E2557" s="365" t="s">
        <v>327</v>
      </c>
      <c r="F2557" s="368" t="s">
        <v>345</v>
      </c>
      <c r="G2557" s="367" t="s">
        <v>690</v>
      </c>
      <c r="H2557" s="327" t="s">
        <v>536</v>
      </c>
      <c r="I2557" s="327">
        <v>4</v>
      </c>
      <c r="J2557" s="345" t="s">
        <v>705</v>
      </c>
      <c r="K2557" s="327"/>
      <c r="L2557" s="348">
        <f>+$S2557*$T2557*$L$37</f>
        <v>84651</v>
      </c>
      <c r="M2557" s="371"/>
      <c r="N2557" s="369" t="s">
        <v>150</v>
      </c>
      <c r="O2557" s="345"/>
      <c r="P2557" s="392"/>
      <c r="Q2557" s="327"/>
      <c r="R2557" s="351">
        <v>2.5</v>
      </c>
      <c r="S2557" s="351">
        <v>5.8</v>
      </c>
      <c r="T2557" s="351">
        <v>0.13900000000000001</v>
      </c>
      <c r="U2557" s="329">
        <f>IF($N2557=$N$4,IFERROR(INDEX(DanhMuc!$E$154:$E$165,MATCH(MID($B2557,4,2),DanhMuc!$B$154:$B$165,0)),""),"")</f>
        <v>5800</v>
      </c>
      <c r="V2557" s="361"/>
      <c r="W2557" s="345"/>
      <c r="X2557" s="329" t="str">
        <f t="shared" si="278"/>
        <v>C459</v>
      </c>
      <c r="Y2557" s="1128" t="s">
        <v>3380</v>
      </c>
      <c r="Z2557" s="1128" t="s">
        <v>3381</v>
      </c>
      <c r="AA2557" s="1128" t="s">
        <v>3384</v>
      </c>
      <c r="AB2557" s="20"/>
      <c r="AC2557" s="73"/>
    </row>
    <row r="2558" spans="1:29">
      <c r="A2558" s="327" t="str">
        <f>IF(AND($B2558&lt;&gt;"",$C2558&lt;&gt;""),MAX($A$1556:A2557)+1,"")</f>
        <v/>
      </c>
      <c r="B2558" s="361" t="s">
        <v>2174</v>
      </c>
      <c r="C2558" s="360"/>
      <c r="D2558" s="327">
        <f>IF($B2558="","",COUNTIF($B$6:$B2558,$B2558))</f>
        <v>7</v>
      </c>
      <c r="E2558" s="361" t="s">
        <v>1909</v>
      </c>
      <c r="F2558" s="362" t="s">
        <v>1908</v>
      </c>
      <c r="G2558" s="327" t="s">
        <v>344</v>
      </c>
      <c r="H2558" s="327" t="s">
        <v>536</v>
      </c>
      <c r="I2558" s="327">
        <v>6</v>
      </c>
      <c r="J2558" s="361"/>
      <c r="K2558" s="327"/>
      <c r="L2558" s="389">
        <v>36000</v>
      </c>
      <c r="M2558" s="371"/>
      <c r="N2558" s="355" t="str">
        <f t="shared" ref="N2558:N2572" si="279">+$N$1555</f>
        <v>PK</v>
      </c>
      <c r="O2558" s="345"/>
      <c r="P2558" s="392"/>
      <c r="Q2558" s="327"/>
      <c r="R2558" s="351"/>
      <c r="S2558" s="351"/>
      <c r="T2558" s="351"/>
      <c r="U2558" s="329" t="str">
        <f>IF($N2558=$N$4,IFERROR(INDEX(DanhMuc!$E$154:$E$165,MATCH(MID($B2558,4,2),DanhMuc!$B$154:$B$165,0)),""),"")</f>
        <v/>
      </c>
      <c r="V2558" s="361"/>
      <c r="W2558" s="345"/>
      <c r="X2558" s="329" t="str">
        <f t="shared" si="278"/>
        <v>KL</v>
      </c>
      <c r="Y2558" s="1128" t="s">
        <v>3380</v>
      </c>
      <c r="Z2558" s="1128" t="s">
        <v>3381</v>
      </c>
      <c r="AA2558" s="1128" t="s">
        <v>3384</v>
      </c>
      <c r="AB2558" s="20"/>
      <c r="AC2558" s="73"/>
    </row>
    <row r="2559" spans="1:29">
      <c r="A2559" s="327" t="str">
        <f>IF(AND($B2559&lt;&gt;"",$C2559&lt;&gt;""),MAX($A$1556:A2558)+1,"")</f>
        <v/>
      </c>
      <c r="B2559" s="361" t="s">
        <v>2174</v>
      </c>
      <c r="C2559" s="360"/>
      <c r="D2559" s="327">
        <f>IF($B2559="","",COUNTIF($B$6:$B2559,$B2559))</f>
        <v>8</v>
      </c>
      <c r="E2559" s="419" t="s">
        <v>2600</v>
      </c>
      <c r="F2559" s="417" t="s">
        <v>1801</v>
      </c>
      <c r="G2559" s="327" t="s">
        <v>155</v>
      </c>
      <c r="H2559" s="327" t="s">
        <v>536</v>
      </c>
      <c r="I2559" s="327">
        <v>2</v>
      </c>
      <c r="J2559" s="361"/>
      <c r="K2559" s="327"/>
      <c r="L2559" s="389">
        <v>8000</v>
      </c>
      <c r="M2559" s="371"/>
      <c r="N2559" s="355" t="str">
        <f t="shared" si="279"/>
        <v>PK</v>
      </c>
      <c r="O2559" s="345"/>
      <c r="P2559" s="392"/>
      <c r="Q2559" s="327"/>
      <c r="R2559" s="351"/>
      <c r="S2559" s="351"/>
      <c r="T2559" s="351"/>
      <c r="U2559" s="329" t="str">
        <f>IF($N2559=$N$4,IFERROR(INDEX(DanhMuc!$E$154:$E$165,MATCH(MID($B2559,4,2),DanhMuc!$B$154:$B$165,0)),""),"")</f>
        <v/>
      </c>
      <c r="V2559" s="361"/>
      <c r="W2559" s="345"/>
      <c r="X2559" s="329" t="str">
        <f t="shared" si="278"/>
        <v>KL</v>
      </c>
      <c r="Y2559" s="1128" t="s">
        <v>3380</v>
      </c>
      <c r="Z2559" s="1128" t="s">
        <v>3381</v>
      </c>
      <c r="AA2559" s="1128" t="s">
        <v>3384</v>
      </c>
      <c r="AB2559" s="20"/>
      <c r="AC2559" s="73"/>
    </row>
    <row r="2560" spans="1:29">
      <c r="A2560" s="327" t="str">
        <f>IF(AND($B2560&lt;&gt;"",$C2560&lt;&gt;""),MAX($A$1556:A2559)+1,"")</f>
        <v/>
      </c>
      <c r="B2560" s="361" t="s">
        <v>2174</v>
      </c>
      <c r="C2560" s="360"/>
      <c r="D2560" s="327">
        <f>IF($B2560="","",COUNTIF($B$6:$B2560,$B2560))</f>
        <v>9</v>
      </c>
      <c r="E2560" s="361" t="s">
        <v>175</v>
      </c>
      <c r="F2560" s="362" t="s">
        <v>176</v>
      </c>
      <c r="G2560" s="327" t="s">
        <v>155</v>
      </c>
      <c r="H2560" s="327" t="s">
        <v>536</v>
      </c>
      <c r="I2560" s="327">
        <v>8</v>
      </c>
      <c r="J2560" s="361"/>
      <c r="K2560" s="327"/>
      <c r="L2560" s="389">
        <v>2000</v>
      </c>
      <c r="M2560" s="371"/>
      <c r="N2560" s="355" t="str">
        <f t="shared" si="279"/>
        <v>PK</v>
      </c>
      <c r="O2560" s="345"/>
      <c r="P2560" s="392"/>
      <c r="Q2560" s="327"/>
      <c r="R2560" s="351"/>
      <c r="S2560" s="351"/>
      <c r="T2560" s="351"/>
      <c r="U2560" s="329" t="str">
        <f>IF($N2560=$N$4,IFERROR(INDEX(DanhMuc!$E$154:$E$165,MATCH(MID($B2560,4,2),DanhMuc!$B$154:$B$165,0)),""),"")</f>
        <v/>
      </c>
      <c r="V2560" s="361"/>
      <c r="W2560" s="345"/>
      <c r="X2560" s="329" t="str">
        <f t="shared" si="278"/>
        <v>KL</v>
      </c>
      <c r="Y2560" s="1128" t="s">
        <v>3380</v>
      </c>
      <c r="Z2560" s="1128" t="s">
        <v>3381</v>
      </c>
      <c r="AA2560" s="1128" t="s">
        <v>3384</v>
      </c>
      <c r="AB2560" s="20"/>
      <c r="AC2560" s="73"/>
    </row>
    <row r="2561" spans="1:29">
      <c r="A2561" s="327" t="str">
        <f>IF(AND($B2561&lt;&gt;"",$C2561&lt;&gt;""),MAX($A$1556:A2560)+1,"")</f>
        <v/>
      </c>
      <c r="B2561" s="361" t="s">
        <v>2174</v>
      </c>
      <c r="C2561" s="360"/>
      <c r="D2561" s="327">
        <f>IF($B2561="","",COUNTIF($B$6:$B2561,$B2561))</f>
        <v>10</v>
      </c>
      <c r="E2561" s="405" t="s">
        <v>2168</v>
      </c>
      <c r="F2561" s="406" t="s">
        <v>178</v>
      </c>
      <c r="G2561" s="327" t="s">
        <v>155</v>
      </c>
      <c r="H2561" s="327" t="s">
        <v>536</v>
      </c>
      <c r="I2561" s="327">
        <v>8</v>
      </c>
      <c r="J2561" s="345"/>
      <c r="K2561" s="327"/>
      <c r="L2561" s="389">
        <v>37000</v>
      </c>
      <c r="M2561" s="371"/>
      <c r="N2561" s="355" t="str">
        <f t="shared" si="279"/>
        <v>PK</v>
      </c>
      <c r="O2561" s="407" t="s">
        <v>1698</v>
      </c>
      <c r="P2561" s="392"/>
      <c r="Q2561" s="327"/>
      <c r="R2561" s="351"/>
      <c r="S2561" s="351"/>
      <c r="T2561" s="351"/>
      <c r="U2561" s="329" t="str">
        <f>IF($N2561=$N$4,IFERROR(INDEX(DanhMuc!$E$154:$E$165,MATCH(MID($B2561,4,2),DanhMuc!$B$154:$B$165,0)),""),"")</f>
        <v/>
      </c>
      <c r="V2561" s="361"/>
      <c r="W2561" s="345"/>
      <c r="X2561" s="329" t="str">
        <f t="shared" si="278"/>
        <v>KL</v>
      </c>
      <c r="Y2561" s="1128" t="s">
        <v>3380</v>
      </c>
      <c r="Z2561" s="1128" t="s">
        <v>3381</v>
      </c>
      <c r="AA2561" s="1128" t="s">
        <v>3384</v>
      </c>
      <c r="AB2561" s="20"/>
      <c r="AC2561" s="73"/>
    </row>
    <row r="2562" spans="1:29">
      <c r="A2562" s="327" t="str">
        <f>IF(AND($B2562&lt;&gt;"",$C2562&lt;&gt;""),MAX($A$1556:A2561)+1,"")</f>
        <v/>
      </c>
      <c r="B2562" s="361" t="s">
        <v>2174</v>
      </c>
      <c r="C2562" s="360"/>
      <c r="D2562" s="327">
        <f>IF($B2562="","",COUNTIF($B$6:$B2562,$B2562))</f>
        <v>11</v>
      </c>
      <c r="E2562" s="405" t="s">
        <v>2169</v>
      </c>
      <c r="F2562" s="406" t="s">
        <v>202</v>
      </c>
      <c r="G2562" s="327" t="s">
        <v>155</v>
      </c>
      <c r="H2562" s="327" t="s">
        <v>536</v>
      </c>
      <c r="I2562" s="327">
        <v>8</v>
      </c>
      <c r="J2562" s="345"/>
      <c r="K2562" s="327"/>
      <c r="L2562" s="389">
        <v>43000</v>
      </c>
      <c r="M2562" s="371"/>
      <c r="N2562" s="355" t="str">
        <f t="shared" si="279"/>
        <v>PK</v>
      </c>
      <c r="O2562" s="407" t="s">
        <v>1699</v>
      </c>
      <c r="P2562" s="392"/>
      <c r="Q2562" s="327"/>
      <c r="R2562" s="351"/>
      <c r="S2562" s="351"/>
      <c r="T2562" s="351"/>
      <c r="U2562" s="329" t="str">
        <f>IF($N2562=$N$4,IFERROR(INDEX(DanhMuc!$E$154:$E$165,MATCH(MID($B2562,4,2),DanhMuc!$B$154:$B$165,0)),""),"")</f>
        <v/>
      </c>
      <c r="V2562" s="361"/>
      <c r="W2562" s="345"/>
      <c r="X2562" s="329" t="str">
        <f t="shared" si="278"/>
        <v>KL</v>
      </c>
      <c r="Y2562" s="1128" t="s">
        <v>3380</v>
      </c>
      <c r="Z2562" s="1128" t="s">
        <v>3381</v>
      </c>
      <c r="AA2562" s="1128" t="s">
        <v>3384</v>
      </c>
      <c r="AB2562" s="20"/>
      <c r="AC2562" s="73"/>
    </row>
    <row r="2563" spans="1:29">
      <c r="A2563" s="327" t="str">
        <f>IF(AND($B2563&lt;&gt;"",$C2563&lt;&gt;""),MAX($A$1556:A2562)+1,"")</f>
        <v/>
      </c>
      <c r="B2563" s="361" t="s">
        <v>2174</v>
      </c>
      <c r="C2563" s="360"/>
      <c r="D2563" s="327">
        <f>IF($B2563="","",COUNTIF($B$6:$B2563,$B2563))</f>
        <v>12</v>
      </c>
      <c r="E2563" s="405" t="s">
        <v>2170</v>
      </c>
      <c r="F2563" s="406" t="s">
        <v>204</v>
      </c>
      <c r="G2563" s="327" t="s">
        <v>155</v>
      </c>
      <c r="H2563" s="327" t="s">
        <v>536</v>
      </c>
      <c r="I2563" s="327">
        <v>8</v>
      </c>
      <c r="J2563" s="345"/>
      <c r="K2563" s="327"/>
      <c r="L2563" s="389">
        <v>50000</v>
      </c>
      <c r="M2563" s="371"/>
      <c r="N2563" s="355" t="str">
        <f t="shared" si="279"/>
        <v>PK</v>
      </c>
      <c r="O2563" s="407" t="s">
        <v>1700</v>
      </c>
      <c r="P2563" s="392"/>
      <c r="Q2563" s="327"/>
      <c r="R2563" s="351"/>
      <c r="S2563" s="351"/>
      <c r="T2563" s="351"/>
      <c r="U2563" s="329" t="str">
        <f>IF($N2563=$N$4,IFERROR(INDEX(DanhMuc!$E$154:$E$165,MATCH(MID($B2563,4,2),DanhMuc!$B$154:$B$165,0)),""),"")</f>
        <v/>
      </c>
      <c r="V2563" s="361"/>
      <c r="W2563" s="345"/>
      <c r="X2563" s="329" t="str">
        <f t="shared" si="278"/>
        <v>KL</v>
      </c>
      <c r="Y2563" s="1128" t="s">
        <v>3380</v>
      </c>
      <c r="Z2563" s="1128" t="s">
        <v>3381</v>
      </c>
      <c r="AA2563" s="1128" t="s">
        <v>3384</v>
      </c>
      <c r="AB2563" s="20"/>
      <c r="AC2563" s="73"/>
    </row>
    <row r="2564" spans="1:29">
      <c r="A2564" s="327" t="str">
        <f>IF(AND($B2564&lt;&gt;"",$C2564&lt;&gt;""),MAX($A$1556:A2563)+1,"")</f>
        <v/>
      </c>
      <c r="B2564" s="361" t="s">
        <v>2174</v>
      </c>
      <c r="C2564" s="360"/>
      <c r="D2564" s="327">
        <f>IF($B2564="","",COUNTIF($B$6:$B2564,$B2564))</f>
        <v>13</v>
      </c>
      <c r="E2564" s="405" t="s">
        <v>2171</v>
      </c>
      <c r="F2564" s="406" t="s">
        <v>206</v>
      </c>
      <c r="G2564" s="327" t="s">
        <v>155</v>
      </c>
      <c r="H2564" s="327" t="s">
        <v>536</v>
      </c>
      <c r="I2564" s="327">
        <v>8</v>
      </c>
      <c r="J2564" s="345"/>
      <c r="K2564" s="327"/>
      <c r="L2564" s="389">
        <v>57000</v>
      </c>
      <c r="M2564" s="371"/>
      <c r="N2564" s="355" t="str">
        <f t="shared" si="279"/>
        <v>PK</v>
      </c>
      <c r="O2564" s="407" t="s">
        <v>1701</v>
      </c>
      <c r="P2564" s="392"/>
      <c r="Q2564" s="327"/>
      <c r="R2564" s="351"/>
      <c r="S2564" s="351"/>
      <c r="T2564" s="351"/>
      <c r="U2564" s="329" t="str">
        <f>IF($N2564=$N$4,IFERROR(INDEX(DanhMuc!$E$154:$E$165,MATCH(MID($B2564,4,2),DanhMuc!$B$154:$B$165,0)),""),"")</f>
        <v/>
      </c>
      <c r="V2564" s="361"/>
      <c r="W2564" s="345"/>
      <c r="X2564" s="329" t="str">
        <f t="shared" si="278"/>
        <v>KL</v>
      </c>
      <c r="Y2564" s="1128" t="s">
        <v>3380</v>
      </c>
      <c r="Z2564" s="1128" t="s">
        <v>3381</v>
      </c>
      <c r="AA2564" s="1128" t="s">
        <v>3384</v>
      </c>
      <c r="AB2564" s="20"/>
      <c r="AC2564" s="73"/>
    </row>
    <row r="2565" spans="1:29">
      <c r="A2565" s="327" t="str">
        <f>IF(AND($B2565&lt;&gt;"",$C2565&lt;&gt;""),MAX($A$1556:A2564)+1,"")</f>
        <v/>
      </c>
      <c r="B2565" s="361" t="s">
        <v>2174</v>
      </c>
      <c r="C2565" s="360"/>
      <c r="D2565" s="327">
        <f>IF($B2565="","",COUNTIF($B$6:$B2565,$B2565))</f>
        <v>14</v>
      </c>
      <c r="E2565" s="405" t="s">
        <v>442</v>
      </c>
      <c r="F2565" s="406" t="s">
        <v>505</v>
      </c>
      <c r="G2565" s="327" t="s">
        <v>155</v>
      </c>
      <c r="H2565" s="327" t="s">
        <v>536</v>
      </c>
      <c r="I2565" s="327">
        <v>8</v>
      </c>
      <c r="J2565" s="345"/>
      <c r="K2565" s="327"/>
      <c r="L2565" s="389">
        <v>24000</v>
      </c>
      <c r="M2565" s="371"/>
      <c r="N2565" s="355" t="str">
        <f t="shared" si="279"/>
        <v>PK</v>
      </c>
      <c r="O2565" s="407" t="s">
        <v>442</v>
      </c>
      <c r="P2565" s="392"/>
      <c r="Q2565" s="327"/>
      <c r="R2565" s="351"/>
      <c r="S2565" s="351"/>
      <c r="T2565" s="351"/>
      <c r="U2565" s="329" t="str">
        <f>IF($N2565=$N$4,IFERROR(INDEX(DanhMuc!$E$154:$E$165,MATCH(MID($B2565,4,2),DanhMuc!$B$154:$B$165,0)),""),"")</f>
        <v/>
      </c>
      <c r="V2565" s="361"/>
      <c r="W2565" s="345"/>
      <c r="X2565" s="329" t="str">
        <f t="shared" si="278"/>
        <v>KL</v>
      </c>
      <c r="Y2565" s="1128" t="s">
        <v>3380</v>
      </c>
      <c r="Z2565" s="1128" t="s">
        <v>3381</v>
      </c>
      <c r="AA2565" s="1128" t="s">
        <v>3384</v>
      </c>
      <c r="AB2565" s="20"/>
      <c r="AC2565" s="73"/>
    </row>
    <row r="2566" spans="1:29">
      <c r="A2566" s="327" t="str">
        <f>IF(AND($B2566&lt;&gt;"",$C2566&lt;&gt;""),MAX($A$1556:A2564)+1,"")</f>
        <v/>
      </c>
      <c r="B2566" s="361" t="s">
        <v>2174</v>
      </c>
      <c r="C2566" s="360"/>
      <c r="D2566" s="327">
        <f>IF($B2566="","",COUNTIF($B$6:$B2566,$B2566))</f>
        <v>15</v>
      </c>
      <c r="E2566" s="361" t="s">
        <v>678</v>
      </c>
      <c r="F2566" s="362" t="s">
        <v>711</v>
      </c>
      <c r="G2566" s="327" t="s">
        <v>155</v>
      </c>
      <c r="H2566" s="327"/>
      <c r="I2566" s="327">
        <v>1</v>
      </c>
      <c r="J2566" s="361"/>
      <c r="K2566" s="327"/>
      <c r="L2566" s="389">
        <v>1250</v>
      </c>
      <c r="M2566" s="371"/>
      <c r="N2566" s="355" t="str">
        <f t="shared" si="279"/>
        <v>PK</v>
      </c>
      <c r="O2566" s="345"/>
      <c r="P2566" s="392"/>
      <c r="Q2566" s="327"/>
      <c r="R2566" s="351"/>
      <c r="S2566" s="351"/>
      <c r="T2566" s="351"/>
      <c r="U2566" s="329" t="str">
        <f>IF($N2566=$N$4,IFERROR(INDEX(DanhMuc!$E$154:$E$165,MATCH(MID($B2566,4,2),DanhMuc!$B$154:$B$165,0)),""),"")</f>
        <v/>
      </c>
      <c r="V2566" s="361"/>
      <c r="W2566" s="345"/>
      <c r="X2566" s="329" t="str">
        <f t="shared" si="278"/>
        <v>KL</v>
      </c>
      <c r="Y2566" s="1128" t="s">
        <v>3380</v>
      </c>
      <c r="Z2566" s="1128" t="s">
        <v>3381</v>
      </c>
      <c r="AA2566" s="1128" t="s">
        <v>3384</v>
      </c>
      <c r="AB2566" s="20"/>
      <c r="AC2566" s="73"/>
    </row>
    <row r="2567" spans="1:29">
      <c r="A2567" s="327" t="str">
        <f>IF(AND($B2567&lt;&gt;"",$C2567&lt;&gt;""),MAX($A$1556:A2566)+1,"")</f>
        <v/>
      </c>
      <c r="B2567" s="361" t="s">
        <v>2174</v>
      </c>
      <c r="C2567" s="360"/>
      <c r="D2567" s="327">
        <f>IF($B2567="","",COUNTIF($B$6:$B2567,$B2567))</f>
        <v>16</v>
      </c>
      <c r="E2567" s="361" t="s">
        <v>679</v>
      </c>
      <c r="F2567" s="362" t="s">
        <v>712</v>
      </c>
      <c r="G2567" s="327" t="s">
        <v>155</v>
      </c>
      <c r="H2567" s="327"/>
      <c r="I2567" s="327">
        <v>1</v>
      </c>
      <c r="J2567" s="361"/>
      <c r="K2567" s="327"/>
      <c r="L2567" s="389">
        <v>1250</v>
      </c>
      <c r="M2567" s="371"/>
      <c r="N2567" s="355" t="str">
        <f t="shared" si="279"/>
        <v>PK</v>
      </c>
      <c r="O2567" s="345"/>
      <c r="P2567" s="392"/>
      <c r="Q2567" s="327"/>
      <c r="R2567" s="351"/>
      <c r="S2567" s="351"/>
      <c r="T2567" s="351"/>
      <c r="U2567" s="329" t="str">
        <f>IF($N2567=$N$4,IFERROR(INDEX(DanhMuc!$E$154:$E$165,MATCH(MID($B2567,4,2),DanhMuc!$B$154:$B$165,0)),""),"")</f>
        <v/>
      </c>
      <c r="V2567" s="361"/>
      <c r="W2567" s="345"/>
      <c r="X2567" s="329" t="str">
        <f t="shared" si="278"/>
        <v>KL</v>
      </c>
      <c r="Y2567" s="1128" t="s">
        <v>3380</v>
      </c>
      <c r="Z2567" s="1128" t="s">
        <v>3381</v>
      </c>
      <c r="AA2567" s="1128" t="s">
        <v>3384</v>
      </c>
      <c r="AB2567" s="20"/>
      <c r="AC2567" s="73"/>
    </row>
    <row r="2568" spans="1:29" ht="26">
      <c r="A2568" s="327">
        <f>IF(AND($B2568&lt;&gt;"",$C2568&lt;&gt;""),MAX($A$1556:A2567)+1,"")</f>
        <v>140</v>
      </c>
      <c r="B2568" s="359" t="s">
        <v>2175</v>
      </c>
      <c r="C2568" s="360" t="s">
        <v>1546</v>
      </c>
      <c r="D2568" s="327">
        <f>IF($B2568="","",COUNTIF($B$6:$B2568,$B2568))</f>
        <v>1</v>
      </c>
      <c r="E2568" s="361" t="s">
        <v>2177</v>
      </c>
      <c r="F2568" s="362" t="s">
        <v>2178</v>
      </c>
      <c r="G2568" s="327" t="s">
        <v>155</v>
      </c>
      <c r="H2568" s="327"/>
      <c r="I2568" s="327">
        <v>1</v>
      </c>
      <c r="J2568" s="361"/>
      <c r="K2568" s="327"/>
      <c r="L2568" s="389">
        <v>67331</v>
      </c>
      <c r="M2568" s="371"/>
      <c r="N2568" s="355" t="str">
        <f t="shared" si="279"/>
        <v>PK</v>
      </c>
      <c r="O2568" s="345" t="s">
        <v>1626</v>
      </c>
      <c r="P2568" s="392"/>
      <c r="Q2568" s="327"/>
      <c r="R2568" s="351"/>
      <c r="S2568" s="351"/>
      <c r="T2568" s="351"/>
      <c r="U2568" s="329" t="str">
        <f>IF($N2568=$N$4,IFERROR(INDEX(DanhMuc!$E$154:$E$165,MATCH(MID($B2568,4,2),DanhMuc!$B$154:$B$165,0)),""),"")</f>
        <v/>
      </c>
      <c r="V2568" s="361"/>
      <c r="W2568" s="345"/>
      <c r="X2568" s="329" t="str">
        <f t="shared" si="278"/>
        <v>KL</v>
      </c>
      <c r="Y2568" s="1128" t="s">
        <v>3380</v>
      </c>
      <c r="Z2568" s="1128" t="s">
        <v>3381</v>
      </c>
      <c r="AA2568" s="1128" t="s">
        <v>3384</v>
      </c>
      <c r="AB2568" s="20"/>
      <c r="AC2568" s="73"/>
    </row>
    <row r="2569" spans="1:29">
      <c r="A2569" s="327" t="str">
        <f>IF(AND($B2569&lt;&gt;"",$C2569&lt;&gt;""),MAX($A$1556:A2568)+1,"")</f>
        <v/>
      </c>
      <c r="B2569" s="361" t="s">
        <v>2175</v>
      </c>
      <c r="C2569" s="360"/>
      <c r="D2569" s="327">
        <f>IF($B2569="","",COUNTIF($B$6:$B2569,$B2569))</f>
        <v>2</v>
      </c>
      <c r="E2569" s="361" t="s">
        <v>2166</v>
      </c>
      <c r="F2569" s="362" t="s">
        <v>2165</v>
      </c>
      <c r="G2569" s="327" t="s">
        <v>155</v>
      </c>
      <c r="H2569" s="327"/>
      <c r="I2569" s="327">
        <v>1</v>
      </c>
      <c r="J2569" s="361"/>
      <c r="K2569" s="327"/>
      <c r="L2569" s="389">
        <v>70323</v>
      </c>
      <c r="M2569" s="371"/>
      <c r="N2569" s="355" t="str">
        <f t="shared" si="279"/>
        <v>PK</v>
      </c>
      <c r="O2569" s="345" t="s">
        <v>1623</v>
      </c>
      <c r="P2569" s="392"/>
      <c r="Q2569" s="327"/>
      <c r="R2569" s="351"/>
      <c r="S2569" s="351"/>
      <c r="T2569" s="351"/>
      <c r="U2569" s="329" t="str">
        <f>IF($N2569=$N$4,IFERROR(INDEX(DanhMuc!$E$154:$E$165,MATCH(MID($B2569,4,2),DanhMuc!$B$154:$B$165,0)),""),"")</f>
        <v/>
      </c>
      <c r="V2569" s="361"/>
      <c r="W2569" s="345"/>
      <c r="X2569" s="329" t="str">
        <f t="shared" si="278"/>
        <v>KL</v>
      </c>
      <c r="Y2569" s="1128" t="s">
        <v>3380</v>
      </c>
      <c r="Z2569" s="1128" t="s">
        <v>3381</v>
      </c>
      <c r="AA2569" s="1128" t="s">
        <v>3384</v>
      </c>
      <c r="AB2569" s="20"/>
      <c r="AC2569" s="73"/>
    </row>
    <row r="2570" spans="1:29">
      <c r="A2570" s="327" t="str">
        <f>IF(AND($B2570&lt;&gt;"",$C2570&lt;&gt;""),MAX($A$1556:A2568)+1,"")</f>
        <v/>
      </c>
      <c r="B2570" s="361" t="s">
        <v>2175</v>
      </c>
      <c r="C2570" s="360"/>
      <c r="D2570" s="327">
        <f>IF($B2570="","",COUNTIF($B$6:$B2570,$B2570))</f>
        <v>3</v>
      </c>
      <c r="E2570" s="361" t="s">
        <v>2167</v>
      </c>
      <c r="F2570" s="362" t="s">
        <v>224</v>
      </c>
      <c r="G2570" s="327" t="s">
        <v>155</v>
      </c>
      <c r="H2570" s="327" t="s">
        <v>536</v>
      </c>
      <c r="I2570" s="327">
        <v>1</v>
      </c>
      <c r="J2570" s="361"/>
      <c r="K2570" s="327"/>
      <c r="L2570" s="389">
        <v>17300</v>
      </c>
      <c r="M2570" s="371"/>
      <c r="N2570" s="355" t="str">
        <f t="shared" si="279"/>
        <v>PK</v>
      </c>
      <c r="O2570" s="345" t="s">
        <v>1623</v>
      </c>
      <c r="P2570" s="392"/>
      <c r="Q2570" s="327"/>
      <c r="R2570" s="351"/>
      <c r="S2570" s="351"/>
      <c r="T2570" s="351"/>
      <c r="U2570" s="329" t="str">
        <f>IF($N2570=$N$4,IFERROR(INDEX(DanhMuc!$E$154:$E$165,MATCH(MID($B2570,4,2),DanhMuc!$B$154:$B$165,0)),""),"")</f>
        <v/>
      </c>
      <c r="V2570" s="361"/>
      <c r="W2570" s="345"/>
      <c r="X2570" s="329" t="str">
        <f t="shared" si="278"/>
        <v>KL</v>
      </c>
      <c r="Y2570" s="1128" t="s">
        <v>3380</v>
      </c>
      <c r="Z2570" s="1128" t="s">
        <v>3381</v>
      </c>
      <c r="AA2570" s="1128" t="s">
        <v>3384</v>
      </c>
      <c r="AB2570" s="20"/>
      <c r="AC2570" s="73"/>
    </row>
    <row r="2571" spans="1:29">
      <c r="A2571" s="327" t="str">
        <f>IF(AND($B2571&lt;&gt;"",$C2571&lt;&gt;""),MAX($A$1556:A2570)+1,"")</f>
        <v/>
      </c>
      <c r="B2571" s="361" t="s">
        <v>2175</v>
      </c>
      <c r="C2571" s="360"/>
      <c r="D2571" s="327">
        <f>IF($B2571="","",COUNTIF($B$6:$B2571,$B2571))</f>
        <v>4</v>
      </c>
      <c r="E2571" s="361" t="s">
        <v>2114</v>
      </c>
      <c r="F2571" s="362" t="s">
        <v>633</v>
      </c>
      <c r="G2571" s="327" t="s">
        <v>155</v>
      </c>
      <c r="H2571" s="327" t="s">
        <v>536</v>
      </c>
      <c r="I2571" s="327">
        <v>2</v>
      </c>
      <c r="J2571" s="345"/>
      <c r="K2571" s="327"/>
      <c r="L2571" s="389">
        <v>13500</v>
      </c>
      <c r="M2571" s="371"/>
      <c r="N2571" s="355" t="str">
        <f t="shared" si="279"/>
        <v>PK</v>
      </c>
      <c r="O2571" s="345" t="s">
        <v>1623</v>
      </c>
      <c r="P2571" s="392"/>
      <c r="Q2571" s="327"/>
      <c r="R2571" s="351"/>
      <c r="S2571" s="351"/>
      <c r="T2571" s="351"/>
      <c r="U2571" s="329" t="str">
        <f>IF($N2571=$N$4,IFERROR(INDEX(DanhMuc!$E$154:$E$165,MATCH(MID($B2571,4,2),DanhMuc!$B$154:$B$165,0)),""),"")</f>
        <v/>
      </c>
      <c r="V2571" s="361"/>
      <c r="W2571" s="345"/>
      <c r="X2571" s="329" t="str">
        <f t="shared" si="278"/>
        <v>KL</v>
      </c>
      <c r="Y2571" s="1128" t="s">
        <v>3380</v>
      </c>
      <c r="Z2571" s="1128" t="s">
        <v>3381</v>
      </c>
      <c r="AA2571" s="1128" t="s">
        <v>3384</v>
      </c>
      <c r="AB2571" s="20"/>
      <c r="AC2571" s="73"/>
    </row>
    <row r="2572" spans="1:29">
      <c r="A2572" s="327" t="str">
        <f>IF(AND($B2572&lt;&gt;"",$C2572&lt;&gt;""),MAX($A$1556:A2568)+1,"")</f>
        <v/>
      </c>
      <c r="B2572" s="361" t="s">
        <v>2175</v>
      </c>
      <c r="C2572" s="360"/>
      <c r="D2572" s="327">
        <f>IF($B2572="","",COUNTIF($B$6:$B2572,$B2572))</f>
        <v>5</v>
      </c>
      <c r="E2572" s="419" t="s">
        <v>2600</v>
      </c>
      <c r="F2572" s="417" t="s">
        <v>1801</v>
      </c>
      <c r="G2572" s="327" t="s">
        <v>155</v>
      </c>
      <c r="H2572" s="327" t="s">
        <v>536</v>
      </c>
      <c r="I2572" s="327">
        <v>2</v>
      </c>
      <c r="J2572" s="345"/>
      <c r="K2572" s="327"/>
      <c r="L2572" s="389">
        <v>8000</v>
      </c>
      <c r="M2572" s="371"/>
      <c r="N2572" s="355" t="str">
        <f t="shared" si="279"/>
        <v>PK</v>
      </c>
      <c r="O2572" s="345" t="s">
        <v>1623</v>
      </c>
      <c r="P2572" s="392"/>
      <c r="Q2572" s="327"/>
      <c r="R2572" s="351"/>
      <c r="S2572" s="351"/>
      <c r="T2572" s="351"/>
      <c r="U2572" s="329" t="str">
        <f>IF($N2572=$N$4,IFERROR(INDEX(DanhMuc!$E$154:$E$165,MATCH(MID($B2572,4,2),DanhMuc!$B$154:$B$165,0)),""),"")</f>
        <v/>
      </c>
      <c r="V2572" s="361"/>
      <c r="W2572" s="345"/>
      <c r="X2572" s="329" t="str">
        <f t="shared" si="278"/>
        <v>KL</v>
      </c>
      <c r="Y2572" s="1128" t="s">
        <v>3380</v>
      </c>
      <c r="Z2572" s="1128" t="s">
        <v>3381</v>
      </c>
      <c r="AA2572" s="1128" t="s">
        <v>3384</v>
      </c>
      <c r="AB2572" s="20"/>
      <c r="AC2572" s="73"/>
    </row>
    <row r="2573" spans="1:29">
      <c r="A2573" s="327" t="str">
        <f>IF(AND($B2573&lt;&gt;"",$C2573&lt;&gt;""),MAX($A$1556:A2571)+1,"")</f>
        <v/>
      </c>
      <c r="B2573" s="361" t="s">
        <v>2175</v>
      </c>
      <c r="C2573" s="360"/>
      <c r="D2573" s="327">
        <f>IF($B2573="","",COUNTIF($B$6:$B2573,$B2573))</f>
        <v>6</v>
      </c>
      <c r="E2573" s="365" t="s">
        <v>327</v>
      </c>
      <c r="F2573" s="368" t="s">
        <v>345</v>
      </c>
      <c r="G2573" s="367" t="s">
        <v>690</v>
      </c>
      <c r="H2573" s="327" t="s">
        <v>536</v>
      </c>
      <c r="I2573" s="327">
        <v>1</v>
      </c>
      <c r="J2573" s="345" t="s">
        <v>727</v>
      </c>
      <c r="K2573" s="327"/>
      <c r="L2573" s="348">
        <f>+$S2573*$T2573*$L$37</f>
        <v>84651</v>
      </c>
      <c r="M2573" s="371"/>
      <c r="N2573" s="369" t="s">
        <v>150</v>
      </c>
      <c r="O2573" s="345" t="s">
        <v>1623</v>
      </c>
      <c r="P2573" s="392"/>
      <c r="Q2573" s="327"/>
      <c r="R2573" s="351">
        <v>2.5</v>
      </c>
      <c r="S2573" s="351">
        <v>5.8</v>
      </c>
      <c r="T2573" s="351">
        <v>0.13900000000000001</v>
      </c>
      <c r="U2573" s="329">
        <f>IF($N2573=$N$4,IFERROR(INDEX(DanhMuc!$E$154:$E$165,MATCH(MID($B2573,4,2),DanhMuc!$B$154:$B$165,0)),""),"")</f>
        <v>5800</v>
      </c>
      <c r="V2573" s="361"/>
      <c r="W2573" s="345"/>
      <c r="X2573" s="329" t="str">
        <f t="shared" si="278"/>
        <v>C459</v>
      </c>
      <c r="Y2573" s="1128" t="s">
        <v>3380</v>
      </c>
      <c r="Z2573" s="1128" t="s">
        <v>3381</v>
      </c>
      <c r="AA2573" s="1128" t="s">
        <v>3384</v>
      </c>
      <c r="AB2573" s="20"/>
      <c r="AC2573" s="73"/>
    </row>
    <row r="2574" spans="1:29">
      <c r="A2574" s="327" t="str">
        <f>IF(AND($B2574&lt;&gt;"",$C2574&lt;&gt;""),MAX($A$1556:A2573)+1,"")</f>
        <v/>
      </c>
      <c r="B2574" s="361" t="s">
        <v>2175</v>
      </c>
      <c r="C2574" s="360"/>
      <c r="D2574" s="327">
        <f>IF($B2574="","",COUNTIF($B$6:$B2574,$B2574))</f>
        <v>7</v>
      </c>
      <c r="E2574" s="361" t="s">
        <v>175</v>
      </c>
      <c r="F2574" s="362" t="s">
        <v>176</v>
      </c>
      <c r="G2574" s="327" t="s">
        <v>155</v>
      </c>
      <c r="H2574" s="327" t="s">
        <v>536</v>
      </c>
      <c r="I2574" s="327">
        <v>4</v>
      </c>
      <c r="J2574" s="361"/>
      <c r="K2574" s="327"/>
      <c r="L2574" s="389">
        <v>2000</v>
      </c>
      <c r="M2574" s="371"/>
      <c r="N2574" s="355" t="str">
        <f>+$N$1555</f>
        <v>PK</v>
      </c>
      <c r="O2574" s="345"/>
      <c r="P2574" s="392"/>
      <c r="Q2574" s="327"/>
      <c r="R2574" s="351"/>
      <c r="S2574" s="351"/>
      <c r="T2574" s="351"/>
      <c r="U2574" s="329" t="str">
        <f>IF($N2574=$N$4,IFERROR(INDEX(DanhMuc!$E$154:$E$165,MATCH(MID($B2574,4,2),DanhMuc!$B$154:$B$165,0)),""),"")</f>
        <v/>
      </c>
      <c r="V2574" s="361"/>
      <c r="W2574" s="345"/>
      <c r="X2574" s="329" t="str">
        <f t="shared" si="278"/>
        <v>KL</v>
      </c>
      <c r="Y2574" s="1128" t="s">
        <v>3380</v>
      </c>
      <c r="Z2574" s="1128" t="s">
        <v>3381</v>
      </c>
      <c r="AA2574" s="1128" t="s">
        <v>3384</v>
      </c>
      <c r="AB2574" s="20"/>
      <c r="AC2574" s="73"/>
    </row>
    <row r="2575" spans="1:29">
      <c r="A2575" s="327" t="str">
        <f>IF(AND($B2575&lt;&gt;"",$C2575&lt;&gt;""),MAX($A$1556:A2574)+1,"")</f>
        <v/>
      </c>
      <c r="B2575" s="361" t="s">
        <v>2175</v>
      </c>
      <c r="C2575" s="360"/>
      <c r="D2575" s="327">
        <f>IF($B2575="","",COUNTIF($B$6:$B2575,$B2575))</f>
        <v>8</v>
      </c>
      <c r="E2575" s="405" t="s">
        <v>2168</v>
      </c>
      <c r="F2575" s="406" t="s">
        <v>178</v>
      </c>
      <c r="G2575" s="327" t="s">
        <v>155</v>
      </c>
      <c r="H2575" s="327" t="s">
        <v>536</v>
      </c>
      <c r="I2575" s="327">
        <v>2</v>
      </c>
      <c r="J2575" s="345"/>
      <c r="K2575" s="327"/>
      <c r="L2575" s="389">
        <v>37000</v>
      </c>
      <c r="M2575" s="371"/>
      <c r="N2575" s="355" t="str">
        <f>+$N$1555</f>
        <v>PK</v>
      </c>
      <c r="O2575" s="407" t="s">
        <v>1698</v>
      </c>
      <c r="P2575" s="392"/>
      <c r="Q2575" s="327"/>
      <c r="R2575" s="351"/>
      <c r="S2575" s="351"/>
      <c r="T2575" s="351"/>
      <c r="U2575" s="329" t="str">
        <f>IF($N2575=$N$4,IFERROR(INDEX(DanhMuc!$E$154:$E$165,MATCH(MID($B2575,4,2),DanhMuc!$B$154:$B$165,0)),""),"")</f>
        <v/>
      </c>
      <c r="V2575" s="361"/>
      <c r="W2575" s="345"/>
      <c r="X2575" s="329" t="str">
        <f t="shared" si="278"/>
        <v>KL</v>
      </c>
      <c r="Y2575" s="1128" t="s">
        <v>3380</v>
      </c>
      <c r="Z2575" s="1128" t="s">
        <v>3381</v>
      </c>
      <c r="AA2575" s="1128" t="s">
        <v>3384</v>
      </c>
      <c r="AB2575" s="20"/>
      <c r="AC2575" s="73"/>
    </row>
    <row r="2576" spans="1:29">
      <c r="A2576" s="327" t="str">
        <f>IF(AND($B2576&lt;&gt;"",$C2576&lt;&gt;""),MAX($A$1556:A2575)+1,"")</f>
        <v/>
      </c>
      <c r="B2576" s="361" t="s">
        <v>2175</v>
      </c>
      <c r="C2576" s="360"/>
      <c r="D2576" s="327">
        <f>IF($B2576="","",COUNTIF($B$6:$B2576,$B2576))</f>
        <v>9</v>
      </c>
      <c r="E2576" s="405" t="s">
        <v>2169</v>
      </c>
      <c r="F2576" s="406" t="s">
        <v>202</v>
      </c>
      <c r="G2576" s="327" t="s">
        <v>155</v>
      </c>
      <c r="H2576" s="327" t="s">
        <v>536</v>
      </c>
      <c r="I2576" s="327">
        <v>2</v>
      </c>
      <c r="J2576" s="345"/>
      <c r="K2576" s="327"/>
      <c r="L2576" s="389">
        <v>43000</v>
      </c>
      <c r="M2576" s="371"/>
      <c r="N2576" s="355" t="str">
        <f t="shared" ref="N2576:N2584" si="280">+$N$1555</f>
        <v>PK</v>
      </c>
      <c r="O2576" s="407" t="s">
        <v>1699</v>
      </c>
      <c r="P2576" s="392"/>
      <c r="Q2576" s="327"/>
      <c r="R2576" s="351"/>
      <c r="S2576" s="351"/>
      <c r="T2576" s="351"/>
      <c r="U2576" s="329" t="str">
        <f>IF($N2576=$N$4,IFERROR(INDEX(DanhMuc!$E$154:$E$165,MATCH(MID($B2576,4,2),DanhMuc!$B$154:$B$165,0)),""),"")</f>
        <v/>
      </c>
      <c r="V2576" s="361"/>
      <c r="W2576" s="345"/>
      <c r="X2576" s="329" t="str">
        <f t="shared" si="278"/>
        <v>KL</v>
      </c>
      <c r="Y2576" s="1128" t="s">
        <v>3380</v>
      </c>
      <c r="Z2576" s="1128" t="s">
        <v>3381</v>
      </c>
      <c r="AA2576" s="1128" t="s">
        <v>3384</v>
      </c>
      <c r="AB2576" s="20"/>
      <c r="AC2576" s="73"/>
    </row>
    <row r="2577" spans="1:29">
      <c r="A2577" s="327" t="str">
        <f>IF(AND($B2577&lt;&gt;"",$C2577&lt;&gt;""),MAX($A$1556:A2576)+1,"")</f>
        <v/>
      </c>
      <c r="B2577" s="361" t="s">
        <v>2175</v>
      </c>
      <c r="C2577" s="360"/>
      <c r="D2577" s="327">
        <f>IF($B2577="","",COUNTIF($B$6:$B2577,$B2577))</f>
        <v>10</v>
      </c>
      <c r="E2577" s="405" t="s">
        <v>2170</v>
      </c>
      <c r="F2577" s="406" t="s">
        <v>204</v>
      </c>
      <c r="G2577" s="327" t="s">
        <v>155</v>
      </c>
      <c r="H2577" s="327" t="s">
        <v>536</v>
      </c>
      <c r="I2577" s="327">
        <v>2</v>
      </c>
      <c r="J2577" s="345"/>
      <c r="K2577" s="327"/>
      <c r="L2577" s="389">
        <v>50000</v>
      </c>
      <c r="M2577" s="371"/>
      <c r="N2577" s="355" t="str">
        <f t="shared" si="280"/>
        <v>PK</v>
      </c>
      <c r="O2577" s="407" t="s">
        <v>1700</v>
      </c>
      <c r="P2577" s="392"/>
      <c r="Q2577" s="327"/>
      <c r="R2577" s="351"/>
      <c r="S2577" s="351"/>
      <c r="T2577" s="351"/>
      <c r="U2577" s="329" t="str">
        <f>IF($N2577=$N$4,IFERROR(INDEX(DanhMuc!$E$154:$E$165,MATCH(MID($B2577,4,2),DanhMuc!$B$154:$B$165,0)),""),"")</f>
        <v/>
      </c>
      <c r="V2577" s="361"/>
      <c r="W2577" s="345"/>
      <c r="X2577" s="329" t="str">
        <f t="shared" si="278"/>
        <v>KL</v>
      </c>
      <c r="Y2577" s="1128" t="s">
        <v>3380</v>
      </c>
      <c r="Z2577" s="1128" t="s">
        <v>3381</v>
      </c>
      <c r="AA2577" s="1128" t="s">
        <v>3384</v>
      </c>
      <c r="AB2577" s="20"/>
      <c r="AC2577" s="73"/>
    </row>
    <row r="2578" spans="1:29">
      <c r="A2578" s="327" t="str">
        <f>IF(AND($B2578&lt;&gt;"",$C2578&lt;&gt;""),MAX($A$1556:A2577)+1,"")</f>
        <v/>
      </c>
      <c r="B2578" s="361" t="s">
        <v>2175</v>
      </c>
      <c r="C2578" s="360"/>
      <c r="D2578" s="327">
        <f>IF($B2578="","",COUNTIF($B$6:$B2578,$B2578))</f>
        <v>11</v>
      </c>
      <c r="E2578" s="405" t="s">
        <v>2171</v>
      </c>
      <c r="F2578" s="406" t="s">
        <v>206</v>
      </c>
      <c r="G2578" s="327" t="s">
        <v>155</v>
      </c>
      <c r="H2578" s="327" t="s">
        <v>536</v>
      </c>
      <c r="I2578" s="327">
        <v>2</v>
      </c>
      <c r="J2578" s="345"/>
      <c r="K2578" s="327"/>
      <c r="L2578" s="389">
        <v>57000</v>
      </c>
      <c r="M2578" s="371"/>
      <c r="N2578" s="355" t="str">
        <f t="shared" si="280"/>
        <v>PK</v>
      </c>
      <c r="O2578" s="407" t="s">
        <v>1701</v>
      </c>
      <c r="P2578" s="392"/>
      <c r="Q2578" s="327"/>
      <c r="R2578" s="351"/>
      <c r="S2578" s="351"/>
      <c r="T2578" s="351"/>
      <c r="U2578" s="329" t="str">
        <f>IF($N2578=$N$4,IFERROR(INDEX(DanhMuc!$E$154:$E$165,MATCH(MID($B2578,4,2),DanhMuc!$B$154:$B$165,0)),""),"")</f>
        <v/>
      </c>
      <c r="V2578" s="361"/>
      <c r="W2578" s="345"/>
      <c r="X2578" s="329" t="str">
        <f t="shared" si="278"/>
        <v>KL</v>
      </c>
      <c r="Y2578" s="1128" t="s">
        <v>3380</v>
      </c>
      <c r="Z2578" s="1128" t="s">
        <v>3381</v>
      </c>
      <c r="AA2578" s="1128" t="s">
        <v>3384</v>
      </c>
      <c r="AB2578" s="20"/>
      <c r="AC2578" s="73"/>
    </row>
    <row r="2579" spans="1:29">
      <c r="A2579" s="327" t="str">
        <f>IF(AND($B2579&lt;&gt;"",$C2579&lt;&gt;""),MAX($A$1556:A2578)+1,"")</f>
        <v/>
      </c>
      <c r="B2579" s="361" t="s">
        <v>2175</v>
      </c>
      <c r="C2579" s="360"/>
      <c r="D2579" s="327">
        <f>IF($B2579="","",COUNTIF($B$6:$B2579,$B2579))</f>
        <v>12</v>
      </c>
      <c r="E2579" s="361" t="s">
        <v>2179</v>
      </c>
      <c r="F2579" s="362" t="s">
        <v>2180</v>
      </c>
      <c r="G2579" s="327" t="s">
        <v>155</v>
      </c>
      <c r="H2579" s="327" t="s">
        <v>536</v>
      </c>
      <c r="I2579" s="327">
        <v>2</v>
      </c>
      <c r="J2579" s="361"/>
      <c r="K2579" s="286"/>
      <c r="L2579" s="415">
        <v>35000</v>
      </c>
      <c r="M2579" s="371"/>
      <c r="N2579" s="355" t="str">
        <f t="shared" si="280"/>
        <v>PK</v>
      </c>
      <c r="O2579" s="345"/>
      <c r="P2579" s="392"/>
      <c r="Q2579" s="327"/>
      <c r="R2579" s="351"/>
      <c r="S2579" s="351"/>
      <c r="T2579" s="351"/>
      <c r="U2579" s="329" t="str">
        <f>IF($N2579=$N$4,IFERROR(INDEX(DanhMuc!$E$154:$E$165,MATCH(MID($B2579,4,2),DanhMuc!$B$154:$B$165,0)),""),"")</f>
        <v/>
      </c>
      <c r="V2579" s="361"/>
      <c r="W2579" s="345"/>
      <c r="X2579" s="329" t="str">
        <f t="shared" si="278"/>
        <v>KL</v>
      </c>
      <c r="Y2579" s="1128" t="s">
        <v>3380</v>
      </c>
      <c r="Z2579" s="1128" t="s">
        <v>3381</v>
      </c>
      <c r="AA2579" s="1128" t="s">
        <v>3384</v>
      </c>
      <c r="AB2579" s="20"/>
      <c r="AC2579" s="73"/>
    </row>
    <row r="2580" spans="1:29" ht="26">
      <c r="A2580" s="327">
        <f>IF(AND($B2580&lt;&gt;"",$C2580&lt;&gt;""),MAX($A$1556:A2579)+1,"")</f>
        <v>141</v>
      </c>
      <c r="B2580" s="359" t="s">
        <v>2176</v>
      </c>
      <c r="C2580" s="360" t="s">
        <v>1547</v>
      </c>
      <c r="D2580" s="327">
        <f>IF($B2580="","",COUNTIF($B$6:$B2580,$B2580))</f>
        <v>1</v>
      </c>
      <c r="E2580" s="361" t="s">
        <v>2177</v>
      </c>
      <c r="F2580" s="362" t="s">
        <v>2178</v>
      </c>
      <c r="G2580" s="327" t="s">
        <v>155</v>
      </c>
      <c r="H2580" s="327"/>
      <c r="I2580" s="327">
        <v>2</v>
      </c>
      <c r="J2580" s="361"/>
      <c r="K2580" s="327"/>
      <c r="L2580" s="389">
        <v>67331</v>
      </c>
      <c r="M2580" s="371"/>
      <c r="N2580" s="355" t="str">
        <f t="shared" si="280"/>
        <v>PK</v>
      </c>
      <c r="O2580" s="345" t="s">
        <v>1626</v>
      </c>
      <c r="P2580" s="392"/>
      <c r="Q2580" s="327"/>
      <c r="R2580" s="351"/>
      <c r="S2580" s="351"/>
      <c r="T2580" s="351"/>
      <c r="U2580" s="329" t="str">
        <f>IF($N2580=$N$4,IFERROR(INDEX(DanhMuc!$E$154:$E$165,MATCH(MID($B2580,4,2),DanhMuc!$B$154:$B$165,0)),""),"")</f>
        <v/>
      </c>
      <c r="V2580" s="361"/>
      <c r="W2580" s="345"/>
      <c r="X2580" s="329" t="str">
        <f t="shared" si="278"/>
        <v>KL</v>
      </c>
      <c r="Y2580" s="1128" t="s">
        <v>3380</v>
      </c>
      <c r="Z2580" s="1128" t="s">
        <v>3381</v>
      </c>
      <c r="AA2580" s="1128" t="s">
        <v>3384</v>
      </c>
      <c r="AB2580" s="20"/>
      <c r="AC2580" s="73"/>
    </row>
    <row r="2581" spans="1:29">
      <c r="A2581" s="327" t="str">
        <f>IF(AND($B2581&lt;&gt;"",$C2581&lt;&gt;""),MAX($A$1556:A2580)+1,"")</f>
        <v/>
      </c>
      <c r="B2581" s="361" t="s">
        <v>2176</v>
      </c>
      <c r="C2581" s="360"/>
      <c r="D2581" s="327">
        <f>IF($B2581="","",COUNTIF($B$6:$B2581,$B2581))</f>
        <v>2</v>
      </c>
      <c r="E2581" s="361" t="s">
        <v>2166</v>
      </c>
      <c r="F2581" s="362" t="s">
        <v>2165</v>
      </c>
      <c r="G2581" s="327" t="s">
        <v>155</v>
      </c>
      <c r="H2581" s="327"/>
      <c r="I2581" s="327">
        <v>2</v>
      </c>
      <c r="J2581" s="361"/>
      <c r="K2581" s="327"/>
      <c r="L2581" s="389">
        <v>70323</v>
      </c>
      <c r="M2581" s="371"/>
      <c r="N2581" s="355" t="str">
        <f t="shared" si="280"/>
        <v>PK</v>
      </c>
      <c r="O2581" s="345" t="s">
        <v>1623</v>
      </c>
      <c r="P2581" s="392"/>
      <c r="Q2581" s="327"/>
      <c r="R2581" s="351"/>
      <c r="S2581" s="351"/>
      <c r="T2581" s="351"/>
      <c r="U2581" s="329" t="str">
        <f>IF($N2581=$N$4,IFERROR(INDEX(DanhMuc!$E$154:$E$165,MATCH(MID($B2581,4,2),DanhMuc!$B$154:$B$165,0)),""),"")</f>
        <v/>
      </c>
      <c r="V2581" s="361"/>
      <c r="W2581" s="345"/>
      <c r="X2581" s="329" t="str">
        <f t="shared" si="278"/>
        <v>KL</v>
      </c>
      <c r="Y2581" s="1128" t="s">
        <v>3380</v>
      </c>
      <c r="Z2581" s="1128" t="s">
        <v>3381</v>
      </c>
      <c r="AA2581" s="1128" t="s">
        <v>3384</v>
      </c>
      <c r="AB2581" s="20"/>
      <c r="AC2581" s="73"/>
    </row>
    <row r="2582" spans="1:29">
      <c r="A2582" s="327" t="str">
        <f>IF(AND($B2582&lt;&gt;"",$C2582&lt;&gt;""),MAX($A$1556:A2580)+1,"")</f>
        <v/>
      </c>
      <c r="B2582" s="361" t="s">
        <v>2176</v>
      </c>
      <c r="C2582" s="360"/>
      <c r="D2582" s="327">
        <f>IF($B2582="","",COUNTIF($B$6:$B2582,$B2582))</f>
        <v>3</v>
      </c>
      <c r="E2582" s="361" t="s">
        <v>2167</v>
      </c>
      <c r="F2582" s="362" t="s">
        <v>224</v>
      </c>
      <c r="G2582" s="327" t="s">
        <v>155</v>
      </c>
      <c r="H2582" s="327" t="s">
        <v>536</v>
      </c>
      <c r="I2582" s="327">
        <v>2</v>
      </c>
      <c r="J2582" s="361"/>
      <c r="K2582" s="327"/>
      <c r="L2582" s="389">
        <v>17300</v>
      </c>
      <c r="M2582" s="371"/>
      <c r="N2582" s="355" t="str">
        <f t="shared" si="280"/>
        <v>PK</v>
      </c>
      <c r="O2582" s="345" t="s">
        <v>1623</v>
      </c>
      <c r="P2582" s="392"/>
      <c r="Q2582" s="327"/>
      <c r="R2582" s="351"/>
      <c r="S2582" s="351"/>
      <c r="T2582" s="351"/>
      <c r="U2582" s="329" t="str">
        <f>IF($N2582=$N$4,IFERROR(INDEX(DanhMuc!$E$154:$E$165,MATCH(MID($B2582,4,2),DanhMuc!$B$154:$B$165,0)),""),"")</f>
        <v/>
      </c>
      <c r="V2582" s="361"/>
      <c r="W2582" s="345"/>
      <c r="X2582" s="329" t="str">
        <f t="shared" si="278"/>
        <v>KL</v>
      </c>
      <c r="Y2582" s="1128" t="s">
        <v>3380</v>
      </c>
      <c r="Z2582" s="1128" t="s">
        <v>3381</v>
      </c>
      <c r="AA2582" s="1128" t="s">
        <v>3384</v>
      </c>
      <c r="AB2582" s="20"/>
      <c r="AC2582" s="73"/>
    </row>
    <row r="2583" spans="1:29">
      <c r="A2583" s="327" t="str">
        <f>IF(AND($B2583&lt;&gt;"",$C2583&lt;&gt;""),MAX($A$1556:A2582)+1,"")</f>
        <v/>
      </c>
      <c r="B2583" s="361" t="s">
        <v>2176</v>
      </c>
      <c r="C2583" s="360"/>
      <c r="D2583" s="327">
        <f>IF($B2583="","",COUNTIF($B$6:$B2583,$B2583))</f>
        <v>4</v>
      </c>
      <c r="E2583" s="361" t="s">
        <v>2114</v>
      </c>
      <c r="F2583" s="362" t="s">
        <v>633</v>
      </c>
      <c r="G2583" s="327" t="s">
        <v>155</v>
      </c>
      <c r="H2583" s="327" t="s">
        <v>536</v>
      </c>
      <c r="I2583" s="327">
        <v>4</v>
      </c>
      <c r="J2583" s="345"/>
      <c r="K2583" s="327"/>
      <c r="L2583" s="389">
        <v>13500</v>
      </c>
      <c r="M2583" s="371"/>
      <c r="N2583" s="355" t="str">
        <f t="shared" si="280"/>
        <v>PK</v>
      </c>
      <c r="O2583" s="345" t="s">
        <v>1623</v>
      </c>
      <c r="P2583" s="392"/>
      <c r="Q2583" s="327"/>
      <c r="R2583" s="351"/>
      <c r="S2583" s="351"/>
      <c r="T2583" s="351"/>
      <c r="U2583" s="329" t="str">
        <f>IF($N2583=$N$4,IFERROR(INDEX(DanhMuc!$E$154:$E$165,MATCH(MID($B2583,4,2),DanhMuc!$B$154:$B$165,0)),""),"")</f>
        <v/>
      </c>
      <c r="V2583" s="361"/>
      <c r="W2583" s="345"/>
      <c r="X2583" s="329" t="str">
        <f t="shared" si="278"/>
        <v>KL</v>
      </c>
      <c r="Y2583" s="1128" t="s">
        <v>3380</v>
      </c>
      <c r="Z2583" s="1128" t="s">
        <v>3381</v>
      </c>
      <c r="AA2583" s="1128" t="s">
        <v>3384</v>
      </c>
      <c r="AB2583" s="20"/>
      <c r="AC2583" s="73"/>
    </row>
    <row r="2584" spans="1:29">
      <c r="A2584" s="327" t="str">
        <f>IF(AND($B2584&lt;&gt;"",$C2584&lt;&gt;""),MAX($A$1556:A2580)+1,"")</f>
        <v/>
      </c>
      <c r="B2584" s="361" t="s">
        <v>2176</v>
      </c>
      <c r="C2584" s="360"/>
      <c r="D2584" s="327">
        <f>IF($B2584="","",COUNTIF($B$6:$B2584,$B2584))</f>
        <v>5</v>
      </c>
      <c r="E2584" s="419" t="s">
        <v>2600</v>
      </c>
      <c r="F2584" s="417" t="s">
        <v>1801</v>
      </c>
      <c r="G2584" s="327" t="s">
        <v>155</v>
      </c>
      <c r="H2584" s="327" t="s">
        <v>536</v>
      </c>
      <c r="I2584" s="327">
        <v>4</v>
      </c>
      <c r="J2584" s="345"/>
      <c r="K2584" s="327"/>
      <c r="L2584" s="389">
        <v>8000</v>
      </c>
      <c r="M2584" s="371"/>
      <c r="N2584" s="355" t="str">
        <f t="shared" si="280"/>
        <v>PK</v>
      </c>
      <c r="O2584" s="345" t="s">
        <v>1623</v>
      </c>
      <c r="P2584" s="392"/>
      <c r="Q2584" s="327"/>
      <c r="R2584" s="351"/>
      <c r="S2584" s="351"/>
      <c r="T2584" s="351"/>
      <c r="U2584" s="329" t="str">
        <f>IF($N2584=$N$4,IFERROR(INDEX(DanhMuc!$E$154:$E$165,MATCH(MID($B2584,4,2),DanhMuc!$B$154:$B$165,0)),""),"")</f>
        <v/>
      </c>
      <c r="V2584" s="361"/>
      <c r="W2584" s="345"/>
      <c r="X2584" s="329" t="str">
        <f t="shared" si="278"/>
        <v>KL</v>
      </c>
      <c r="Y2584" s="1128" t="s">
        <v>3380</v>
      </c>
      <c r="Z2584" s="1128" t="s">
        <v>3381</v>
      </c>
      <c r="AA2584" s="1128" t="s">
        <v>3384</v>
      </c>
      <c r="AB2584" s="20"/>
      <c r="AC2584" s="73"/>
    </row>
    <row r="2585" spans="1:29">
      <c r="A2585" s="327" t="str">
        <f>IF(AND($B2585&lt;&gt;"",$C2585&lt;&gt;""),MAX($A$1556:A2583)+1,"")</f>
        <v/>
      </c>
      <c r="B2585" s="361" t="s">
        <v>2176</v>
      </c>
      <c r="C2585" s="360"/>
      <c r="D2585" s="327">
        <f>IF($B2585="","",COUNTIF($B$6:$B2585,$B2585))</f>
        <v>6</v>
      </c>
      <c r="E2585" s="365" t="s">
        <v>327</v>
      </c>
      <c r="F2585" s="368" t="s">
        <v>345</v>
      </c>
      <c r="G2585" s="367" t="s">
        <v>690</v>
      </c>
      <c r="H2585" s="327" t="s">
        <v>536</v>
      </c>
      <c r="I2585" s="327">
        <v>2</v>
      </c>
      <c r="J2585" s="345" t="s">
        <v>735</v>
      </c>
      <c r="K2585" s="327"/>
      <c r="L2585" s="348">
        <f>+$S2585*$T2585*$L$37</f>
        <v>84651</v>
      </c>
      <c r="M2585" s="371"/>
      <c r="N2585" s="369" t="s">
        <v>150</v>
      </c>
      <c r="O2585" s="345" t="s">
        <v>1623</v>
      </c>
      <c r="P2585" s="392"/>
      <c r="Q2585" s="327"/>
      <c r="R2585" s="351">
        <v>2.5</v>
      </c>
      <c r="S2585" s="351">
        <v>5.8</v>
      </c>
      <c r="T2585" s="351">
        <v>0.13900000000000001</v>
      </c>
      <c r="U2585" s="329">
        <f>IF($N2585=$N$4,IFERROR(INDEX(DanhMuc!$E$154:$E$165,MATCH(MID($B2585,4,2),DanhMuc!$B$154:$B$165,0)),""),"")</f>
        <v>5800</v>
      </c>
      <c r="V2585" s="361"/>
      <c r="W2585" s="345"/>
      <c r="X2585" s="329" t="str">
        <f t="shared" si="278"/>
        <v>C459</v>
      </c>
      <c r="Y2585" s="1128" t="s">
        <v>3380</v>
      </c>
      <c r="Z2585" s="1128" t="s">
        <v>3381</v>
      </c>
      <c r="AA2585" s="1128" t="s">
        <v>3384</v>
      </c>
      <c r="AB2585" s="20"/>
      <c r="AC2585" s="73"/>
    </row>
    <row r="2586" spans="1:29">
      <c r="A2586" s="327" t="str">
        <f>IF(AND($B2586&lt;&gt;"",$C2586&lt;&gt;""),MAX($A$1556:A2585)+1,"")</f>
        <v/>
      </c>
      <c r="B2586" s="361" t="s">
        <v>2176</v>
      </c>
      <c r="C2586" s="360"/>
      <c r="D2586" s="327">
        <f>IF($B2586="","",COUNTIF($B$6:$B2586,$B2586))</f>
        <v>7</v>
      </c>
      <c r="E2586" s="361" t="s">
        <v>175</v>
      </c>
      <c r="F2586" s="362" t="s">
        <v>176</v>
      </c>
      <c r="G2586" s="327" t="s">
        <v>155</v>
      </c>
      <c r="H2586" s="327" t="s">
        <v>536</v>
      </c>
      <c r="I2586" s="327">
        <v>8</v>
      </c>
      <c r="J2586" s="361"/>
      <c r="K2586" s="327"/>
      <c r="L2586" s="389">
        <v>2000</v>
      </c>
      <c r="M2586" s="371"/>
      <c r="N2586" s="355" t="str">
        <f>+$N$1555</f>
        <v>PK</v>
      </c>
      <c r="O2586" s="345"/>
      <c r="P2586" s="392"/>
      <c r="Q2586" s="327"/>
      <c r="R2586" s="351"/>
      <c r="S2586" s="351"/>
      <c r="T2586" s="351"/>
      <c r="U2586" s="329" t="str">
        <f>IF($N2586=$N$4,IFERROR(INDEX(DanhMuc!$E$154:$E$165,MATCH(MID($B2586,4,2),DanhMuc!$B$154:$B$165,0)),""),"")</f>
        <v/>
      </c>
      <c r="V2586" s="361"/>
      <c r="W2586" s="345"/>
      <c r="X2586" s="329" t="str">
        <f t="shared" si="278"/>
        <v>KL</v>
      </c>
      <c r="Y2586" s="1128" t="s">
        <v>3380</v>
      </c>
      <c r="Z2586" s="1128" t="s">
        <v>3381</v>
      </c>
      <c r="AA2586" s="1128" t="s">
        <v>3384</v>
      </c>
      <c r="AB2586" s="20"/>
      <c r="AC2586" s="73"/>
    </row>
    <row r="2587" spans="1:29">
      <c r="A2587" s="327" t="str">
        <f>IF(AND($B2587&lt;&gt;"",$C2587&lt;&gt;""),MAX($A$1556:A2586)+1,"")</f>
        <v/>
      </c>
      <c r="B2587" s="361" t="s">
        <v>2176</v>
      </c>
      <c r="C2587" s="360"/>
      <c r="D2587" s="327">
        <f>IF($B2587="","",COUNTIF($B$6:$B2587,$B2587))</f>
        <v>8</v>
      </c>
      <c r="E2587" s="405" t="s">
        <v>2168</v>
      </c>
      <c r="F2587" s="406" t="s">
        <v>178</v>
      </c>
      <c r="G2587" s="327" t="s">
        <v>155</v>
      </c>
      <c r="H2587" s="327" t="s">
        <v>536</v>
      </c>
      <c r="I2587" s="327">
        <v>4</v>
      </c>
      <c r="J2587" s="345"/>
      <c r="K2587" s="327"/>
      <c r="L2587" s="389">
        <v>37000</v>
      </c>
      <c r="M2587" s="371"/>
      <c r="N2587" s="355" t="str">
        <f>+$N$1555</f>
        <v>PK</v>
      </c>
      <c r="O2587" s="407" t="s">
        <v>1698</v>
      </c>
      <c r="P2587" s="392"/>
      <c r="Q2587" s="327"/>
      <c r="R2587" s="351"/>
      <c r="S2587" s="351"/>
      <c r="T2587" s="351"/>
      <c r="U2587" s="329" t="str">
        <f>IF($N2587=$N$4,IFERROR(INDEX(DanhMuc!$E$154:$E$165,MATCH(MID($B2587,4,2),DanhMuc!$B$154:$B$165,0)),""),"")</f>
        <v/>
      </c>
      <c r="V2587" s="361"/>
      <c r="W2587" s="345"/>
      <c r="X2587" s="329" t="str">
        <f t="shared" si="278"/>
        <v>KL</v>
      </c>
      <c r="Y2587" s="1128" t="s">
        <v>3380</v>
      </c>
      <c r="Z2587" s="1128" t="s">
        <v>3381</v>
      </c>
      <c r="AA2587" s="1128" t="s">
        <v>3384</v>
      </c>
      <c r="AB2587" s="20"/>
      <c r="AC2587" s="73"/>
    </row>
    <row r="2588" spans="1:29">
      <c r="A2588" s="327" t="str">
        <f>IF(AND($B2588&lt;&gt;"",$C2588&lt;&gt;""),MAX($A$1556:A2587)+1,"")</f>
        <v/>
      </c>
      <c r="B2588" s="361" t="s">
        <v>2176</v>
      </c>
      <c r="C2588" s="360"/>
      <c r="D2588" s="327">
        <f>IF($B2588="","",COUNTIF($B$6:$B2588,$B2588))</f>
        <v>9</v>
      </c>
      <c r="E2588" s="405" t="s">
        <v>2169</v>
      </c>
      <c r="F2588" s="406" t="s">
        <v>202</v>
      </c>
      <c r="G2588" s="327" t="s">
        <v>155</v>
      </c>
      <c r="H2588" s="327" t="s">
        <v>536</v>
      </c>
      <c r="I2588" s="327">
        <v>4</v>
      </c>
      <c r="J2588" s="345"/>
      <c r="K2588" s="327"/>
      <c r="L2588" s="389">
        <v>43000</v>
      </c>
      <c r="M2588" s="371"/>
      <c r="N2588" s="355" t="str">
        <f t="shared" ref="N2588:N2591" si="281">+$N$1555</f>
        <v>PK</v>
      </c>
      <c r="O2588" s="407" t="s">
        <v>1699</v>
      </c>
      <c r="P2588" s="392"/>
      <c r="Q2588" s="327"/>
      <c r="R2588" s="351"/>
      <c r="S2588" s="351"/>
      <c r="T2588" s="351"/>
      <c r="U2588" s="329" t="str">
        <f>IF($N2588=$N$4,IFERROR(INDEX(DanhMuc!$E$154:$E$165,MATCH(MID($B2588,4,2),DanhMuc!$B$154:$B$165,0)),""),"")</f>
        <v/>
      </c>
      <c r="V2588" s="361"/>
      <c r="W2588" s="345"/>
      <c r="X2588" s="329" t="str">
        <f t="shared" si="278"/>
        <v>KL</v>
      </c>
      <c r="Y2588" s="1128" t="s">
        <v>3380</v>
      </c>
      <c r="Z2588" s="1128" t="s">
        <v>3381</v>
      </c>
      <c r="AA2588" s="1128" t="s">
        <v>3384</v>
      </c>
      <c r="AB2588" s="20"/>
      <c r="AC2588" s="73"/>
    </row>
    <row r="2589" spans="1:29">
      <c r="A2589" s="327" t="str">
        <f>IF(AND($B2589&lt;&gt;"",$C2589&lt;&gt;""),MAX($A$1556:A2588)+1,"")</f>
        <v/>
      </c>
      <c r="B2589" s="361" t="s">
        <v>2176</v>
      </c>
      <c r="C2589" s="360"/>
      <c r="D2589" s="327">
        <f>IF($B2589="","",COUNTIF($B$6:$B2589,$B2589))</f>
        <v>10</v>
      </c>
      <c r="E2589" s="405" t="s">
        <v>2170</v>
      </c>
      <c r="F2589" s="406" t="s">
        <v>204</v>
      </c>
      <c r="G2589" s="327" t="s">
        <v>155</v>
      </c>
      <c r="H2589" s="327" t="s">
        <v>536</v>
      </c>
      <c r="I2589" s="327">
        <v>4</v>
      </c>
      <c r="J2589" s="345"/>
      <c r="K2589" s="327"/>
      <c r="L2589" s="389">
        <v>50000</v>
      </c>
      <c r="M2589" s="371"/>
      <c r="N2589" s="355" t="str">
        <f t="shared" si="281"/>
        <v>PK</v>
      </c>
      <c r="O2589" s="407" t="s">
        <v>1700</v>
      </c>
      <c r="P2589" s="392"/>
      <c r="Q2589" s="327"/>
      <c r="R2589" s="351"/>
      <c r="S2589" s="351"/>
      <c r="T2589" s="351"/>
      <c r="U2589" s="329" t="str">
        <f>IF($N2589=$N$4,IFERROR(INDEX(DanhMuc!$E$154:$E$165,MATCH(MID($B2589,4,2),DanhMuc!$B$154:$B$165,0)),""),"")</f>
        <v/>
      </c>
      <c r="V2589" s="361"/>
      <c r="W2589" s="345"/>
      <c r="X2589" s="329" t="str">
        <f t="shared" si="278"/>
        <v>KL</v>
      </c>
      <c r="Y2589" s="1128" t="s">
        <v>3380</v>
      </c>
      <c r="Z2589" s="1128" t="s">
        <v>3381</v>
      </c>
      <c r="AA2589" s="1128" t="s">
        <v>3384</v>
      </c>
      <c r="AB2589" s="20"/>
      <c r="AC2589" s="73"/>
    </row>
    <row r="2590" spans="1:29">
      <c r="A2590" s="327" t="str">
        <f>IF(AND($B2590&lt;&gt;"",$C2590&lt;&gt;""),MAX($A$1556:A2589)+1,"")</f>
        <v/>
      </c>
      <c r="B2590" s="361" t="s">
        <v>2176</v>
      </c>
      <c r="C2590" s="360"/>
      <c r="D2590" s="327">
        <f>IF($B2590="","",COUNTIF($B$6:$B2590,$B2590))</f>
        <v>11</v>
      </c>
      <c r="E2590" s="405" t="s">
        <v>2171</v>
      </c>
      <c r="F2590" s="406" t="s">
        <v>206</v>
      </c>
      <c r="G2590" s="327" t="s">
        <v>155</v>
      </c>
      <c r="H2590" s="327" t="s">
        <v>536</v>
      </c>
      <c r="I2590" s="327">
        <v>4</v>
      </c>
      <c r="J2590" s="345"/>
      <c r="K2590" s="327"/>
      <c r="L2590" s="389">
        <v>57000</v>
      </c>
      <c r="M2590" s="371"/>
      <c r="N2590" s="355" t="str">
        <f t="shared" si="281"/>
        <v>PK</v>
      </c>
      <c r="O2590" s="407" t="s">
        <v>1701</v>
      </c>
      <c r="P2590" s="392"/>
      <c r="Q2590" s="327"/>
      <c r="R2590" s="351"/>
      <c r="S2590" s="351"/>
      <c r="T2590" s="351"/>
      <c r="U2590" s="329" t="str">
        <f>IF($N2590=$N$4,IFERROR(INDEX(DanhMuc!$E$154:$E$165,MATCH(MID($B2590,4,2),DanhMuc!$B$154:$B$165,0)),""),"")</f>
        <v/>
      </c>
      <c r="V2590" s="361"/>
      <c r="W2590" s="345"/>
      <c r="X2590" s="329" t="str">
        <f t="shared" si="278"/>
        <v>KL</v>
      </c>
      <c r="Y2590" s="1128" t="s">
        <v>3380</v>
      </c>
      <c r="Z2590" s="1128" t="s">
        <v>3381</v>
      </c>
      <c r="AA2590" s="1128" t="s">
        <v>3384</v>
      </c>
      <c r="AB2590" s="20"/>
      <c r="AC2590" s="73"/>
    </row>
    <row r="2591" spans="1:29">
      <c r="A2591" s="327" t="str">
        <f>IF(AND($B2591&lt;&gt;"",$C2591&lt;&gt;""),MAX($A$1556:A2590)+1,"")</f>
        <v/>
      </c>
      <c r="B2591" s="361" t="s">
        <v>2176</v>
      </c>
      <c r="C2591" s="360"/>
      <c r="D2591" s="327">
        <f>IF($B2591="","",COUNTIF($B$6:$B2591,$B2591))</f>
        <v>12</v>
      </c>
      <c r="E2591" s="361" t="s">
        <v>2179</v>
      </c>
      <c r="F2591" s="362" t="s">
        <v>2180</v>
      </c>
      <c r="G2591" s="327" t="s">
        <v>155</v>
      </c>
      <c r="H2591" s="327" t="s">
        <v>536</v>
      </c>
      <c r="I2591" s="327">
        <v>4</v>
      </c>
      <c r="J2591" s="361"/>
      <c r="K2591" s="286"/>
      <c r="L2591" s="415">
        <v>35000</v>
      </c>
      <c r="M2591" s="371"/>
      <c r="N2591" s="355" t="str">
        <f t="shared" si="281"/>
        <v>PK</v>
      </c>
      <c r="O2591" s="345"/>
      <c r="P2591" s="392"/>
      <c r="Q2591" s="327"/>
      <c r="R2591" s="351"/>
      <c r="S2591" s="351"/>
      <c r="T2591" s="351"/>
      <c r="U2591" s="329" t="str">
        <f>IF($N2591=$N$4,IFERROR(INDEX(DanhMuc!$E$154:$E$165,MATCH(MID($B2591,4,2),DanhMuc!$B$154:$B$165,0)),""),"")</f>
        <v/>
      </c>
      <c r="V2591" s="361"/>
      <c r="W2591" s="345"/>
      <c r="X2591" s="329" t="str">
        <f t="shared" si="278"/>
        <v>KL</v>
      </c>
      <c r="Y2591" s="1128" t="s">
        <v>3380</v>
      </c>
      <c r="Z2591" s="1128" t="s">
        <v>3381</v>
      </c>
      <c r="AA2591" s="1128" t="s">
        <v>3384</v>
      </c>
      <c r="AB2591" s="20"/>
      <c r="AC2591" s="73"/>
    </row>
    <row r="2592" spans="1:29" ht="39">
      <c r="A2592" s="327">
        <f>IF(AND($B2592&lt;&gt;"",$C2592&lt;&gt;""),MAX($A$1556:A2489)+1,"")</f>
        <v>135</v>
      </c>
      <c r="B2592" s="359" t="s">
        <v>2161</v>
      </c>
      <c r="C2592" s="360" t="s">
        <v>2219</v>
      </c>
      <c r="D2592" s="327">
        <f>IF($B2592="","",COUNTIF($B$6:$B2592,$B2592))</f>
        <v>1</v>
      </c>
      <c r="E2592" s="361" t="s">
        <v>2232</v>
      </c>
      <c r="F2592" s="362" t="s">
        <v>2127</v>
      </c>
      <c r="G2592" s="327" t="s">
        <v>155</v>
      </c>
      <c r="H2592" s="327"/>
      <c r="I2592" s="327">
        <v>2</v>
      </c>
      <c r="J2592" s="345"/>
      <c r="K2592" s="327"/>
      <c r="L2592" s="389">
        <v>35500</v>
      </c>
      <c r="M2592" s="371"/>
      <c r="N2592" s="355" t="str">
        <f t="shared" si="273"/>
        <v>PK</v>
      </c>
      <c r="O2592" s="404" t="s">
        <v>1781</v>
      </c>
      <c r="P2592" s="392"/>
      <c r="Q2592" s="327"/>
      <c r="R2592" s="351"/>
      <c r="S2592" s="351"/>
      <c r="T2592" s="351"/>
      <c r="U2592" s="329" t="str">
        <f>IF($N2592=$N$4,IFERROR(INDEX(DanhMuc!$E$154:$E$165,MATCH(MID($B2592,4,2),DanhMuc!$B$154:$B$165,0)),""),"")</f>
        <v/>
      </c>
      <c r="V2592" s="361"/>
      <c r="W2592" s="345"/>
      <c r="X2592" s="329" t="str">
        <f t="shared" si="278"/>
        <v>KL</v>
      </c>
      <c r="Y2592" s="1128" t="s">
        <v>3380</v>
      </c>
      <c r="Z2592" s="1128" t="s">
        <v>3381</v>
      </c>
      <c r="AA2592" s="1128" t="s">
        <v>3384</v>
      </c>
      <c r="AB2592" s="20"/>
      <c r="AC2592" s="73"/>
    </row>
    <row r="2593" spans="1:29">
      <c r="A2593" s="327" t="str">
        <f>IF(AND($B2593&lt;&gt;"",$C2593&lt;&gt;""),MAX($A$1556:A2490)+1,"")</f>
        <v/>
      </c>
      <c r="B2593" s="361" t="s">
        <v>2161</v>
      </c>
      <c r="C2593" s="360"/>
      <c r="D2593" s="327">
        <f>IF($B2593="","",COUNTIF($B$6:$B2593,$B2593))</f>
        <v>2</v>
      </c>
      <c r="E2593" s="361" t="s">
        <v>2125</v>
      </c>
      <c r="F2593" s="362" t="s">
        <v>2126</v>
      </c>
      <c r="G2593" s="327" t="s">
        <v>155</v>
      </c>
      <c r="H2593" s="327" t="s">
        <v>536</v>
      </c>
      <c r="I2593" s="327">
        <v>2</v>
      </c>
      <c r="J2593" s="345"/>
      <c r="K2593" s="327"/>
      <c r="L2593" s="389">
        <v>5000</v>
      </c>
      <c r="M2593" s="371"/>
      <c r="N2593" s="355" t="str">
        <f t="shared" si="273"/>
        <v>PK</v>
      </c>
      <c r="O2593" s="404" t="s">
        <v>1781</v>
      </c>
      <c r="P2593" s="392"/>
      <c r="Q2593" s="327"/>
      <c r="R2593" s="351"/>
      <c r="S2593" s="351"/>
      <c r="T2593" s="351"/>
      <c r="U2593" s="329" t="str">
        <f>IF($N2593=$N$4,IFERROR(INDEX(DanhMuc!$E$154:$E$165,MATCH(MID($B2593,4,2),DanhMuc!$B$154:$B$165,0)),""),"")</f>
        <v/>
      </c>
      <c r="V2593" s="361"/>
      <c r="W2593" s="345"/>
      <c r="X2593" s="329" t="str">
        <f t="shared" si="278"/>
        <v>KL</v>
      </c>
      <c r="Y2593" s="1128" t="s">
        <v>3380</v>
      </c>
      <c r="Z2593" s="1128" t="s">
        <v>3381</v>
      </c>
      <c r="AA2593" s="1128" t="s">
        <v>3384</v>
      </c>
      <c r="AB2593" s="20"/>
      <c r="AC2593" s="73"/>
    </row>
    <row r="2594" spans="1:29">
      <c r="A2594" s="327" t="str">
        <f>IF(AND($B2594&lt;&gt;"",$C2594&lt;&gt;""),MAX($A$1556:A2491)+1,"")</f>
        <v/>
      </c>
      <c r="B2594" s="361" t="s">
        <v>2161</v>
      </c>
      <c r="C2594" s="360"/>
      <c r="D2594" s="327">
        <f>IF($B2594="","",COUNTIF($B$6:$B2594,$B2594))</f>
        <v>3</v>
      </c>
      <c r="E2594" s="361" t="s">
        <v>2235</v>
      </c>
      <c r="F2594" s="362" t="s">
        <v>2970</v>
      </c>
      <c r="G2594" s="327" t="s">
        <v>344</v>
      </c>
      <c r="H2594" s="327"/>
      <c r="I2594" s="327">
        <v>1</v>
      </c>
      <c r="J2594" s="345"/>
      <c r="K2594" s="327"/>
      <c r="L2594" s="389">
        <f>28000-L2596</f>
        <v>27999</v>
      </c>
      <c r="M2594" s="371"/>
      <c r="N2594" s="355" t="str">
        <f t="shared" si="273"/>
        <v>PK</v>
      </c>
      <c r="O2594" s="404" t="s">
        <v>1971</v>
      </c>
      <c r="P2594" s="392"/>
      <c r="Q2594" s="327"/>
      <c r="R2594" s="351"/>
      <c r="S2594" s="351"/>
      <c r="T2594" s="351"/>
      <c r="U2594" s="329" t="str">
        <f>IF($N2594=$N$4,IFERROR(INDEX(DanhMuc!$E$154:$E$165,MATCH(MID($B2594,4,2),DanhMuc!$B$154:$B$165,0)),""),"")</f>
        <v/>
      </c>
      <c r="V2594" s="361"/>
      <c r="W2594" s="345"/>
      <c r="X2594" s="329" t="str">
        <f t="shared" si="278"/>
        <v>KL</v>
      </c>
      <c r="Y2594" s="1128" t="s">
        <v>3380</v>
      </c>
      <c r="Z2594" s="1128" t="s">
        <v>3381</v>
      </c>
      <c r="AA2594" s="1128" t="s">
        <v>3384</v>
      </c>
      <c r="AB2594" s="20"/>
      <c r="AC2594" s="73"/>
    </row>
    <row r="2595" spans="1:29">
      <c r="A2595" s="327" t="str">
        <f>IF(AND($B2595&lt;&gt;"",$C2595&lt;&gt;""),MAX($A$1556:A2492)+1,"")</f>
        <v/>
      </c>
      <c r="B2595" s="361" t="s">
        <v>2161</v>
      </c>
      <c r="C2595" s="360"/>
      <c r="D2595" s="327">
        <f>IF($B2595="","",COUNTIF($B$6:$B2595,$B2595))</f>
        <v>4</v>
      </c>
      <c r="E2595" s="361" t="s">
        <v>2235</v>
      </c>
      <c r="F2595" s="362" t="s">
        <v>2971</v>
      </c>
      <c r="G2595" s="327" t="s">
        <v>344</v>
      </c>
      <c r="H2595" s="327"/>
      <c r="I2595" s="327">
        <v>1</v>
      </c>
      <c r="J2595" s="345"/>
      <c r="K2595" s="327"/>
      <c r="L2595" s="389">
        <f>+L2594</f>
        <v>27999</v>
      </c>
      <c r="M2595" s="371"/>
      <c r="N2595" s="355" t="str">
        <f t="shared" si="273"/>
        <v>PK</v>
      </c>
      <c r="O2595" s="404" t="s">
        <v>1972</v>
      </c>
      <c r="P2595" s="392"/>
      <c r="Q2595" s="327"/>
      <c r="R2595" s="351"/>
      <c r="S2595" s="351"/>
      <c r="T2595" s="351"/>
      <c r="U2595" s="329" t="str">
        <f>IF($N2595=$N$4,IFERROR(INDEX(DanhMuc!$E$154:$E$165,MATCH(MID($B2595,4,2),DanhMuc!$B$154:$B$165,0)),""),"")</f>
        <v/>
      </c>
      <c r="V2595" s="361"/>
      <c r="W2595" s="345"/>
      <c r="X2595" s="329" t="str">
        <f t="shared" si="278"/>
        <v>KL</v>
      </c>
      <c r="Y2595" s="1128" t="s">
        <v>3380</v>
      </c>
      <c r="Z2595" s="1128" t="s">
        <v>3381</v>
      </c>
      <c r="AA2595" s="1128" t="s">
        <v>3384</v>
      </c>
      <c r="AB2595" s="20"/>
      <c r="AC2595" s="73"/>
    </row>
    <row r="2596" spans="1:29">
      <c r="A2596" s="327" t="str">
        <f>IF(AND($B2596&lt;&gt;"",$C2596&lt;&gt;""),MAX($A$1556:A2492)+1,"")</f>
        <v/>
      </c>
      <c r="B2596" s="361" t="s">
        <v>2161</v>
      </c>
      <c r="C2596" s="360"/>
      <c r="D2596" s="327">
        <f>IF($B2596="","",COUNTIF($B$6:$B2596,$B2596))</f>
        <v>5</v>
      </c>
      <c r="E2596" s="361" t="s">
        <v>2236</v>
      </c>
      <c r="F2596" s="362" t="s">
        <v>1970</v>
      </c>
      <c r="G2596" s="327" t="s">
        <v>155</v>
      </c>
      <c r="H2596" s="327" t="s">
        <v>536</v>
      </c>
      <c r="I2596" s="327">
        <v>1</v>
      </c>
      <c r="J2596" s="345"/>
      <c r="K2596" s="327"/>
      <c r="L2596" s="389">
        <v>1</v>
      </c>
      <c r="M2596" s="371"/>
      <c r="N2596" s="355" t="str">
        <f t="shared" si="273"/>
        <v>PK</v>
      </c>
      <c r="O2596" s="404" t="s">
        <v>1780</v>
      </c>
      <c r="P2596" s="392"/>
      <c r="Q2596" s="327"/>
      <c r="R2596" s="351"/>
      <c r="S2596" s="351"/>
      <c r="T2596" s="351"/>
      <c r="U2596" s="329" t="str">
        <f>IF($N2596=$N$4,IFERROR(INDEX(DanhMuc!$E$154:$E$165,MATCH(MID($B2596,4,2),DanhMuc!$B$154:$B$165,0)),""),"")</f>
        <v/>
      </c>
      <c r="V2596" s="361"/>
      <c r="W2596" s="345"/>
      <c r="X2596" s="329" t="str">
        <f t="shared" si="278"/>
        <v>KL</v>
      </c>
      <c r="Y2596" s="1128" t="s">
        <v>3380</v>
      </c>
      <c r="Z2596" s="1128" t="s">
        <v>3381</v>
      </c>
      <c r="AA2596" s="1128" t="s">
        <v>3384</v>
      </c>
      <c r="AB2596" s="20"/>
      <c r="AC2596" s="73"/>
    </row>
    <row r="2597" spans="1:29">
      <c r="A2597" s="327" t="str">
        <f>IF(AND($B2597&lt;&gt;"",$C2597&lt;&gt;""),MAX($A$1556:A2492)+1,"")</f>
        <v/>
      </c>
      <c r="B2597" s="361" t="s">
        <v>2161</v>
      </c>
      <c r="C2597" s="360"/>
      <c r="D2597" s="327">
        <f>IF($B2597="","",COUNTIF($B$6:$B2597,$B2597))</f>
        <v>6</v>
      </c>
      <c r="E2597" s="361" t="s">
        <v>2139</v>
      </c>
      <c r="F2597" s="362" t="s">
        <v>2137</v>
      </c>
      <c r="G2597" s="327" t="s">
        <v>155</v>
      </c>
      <c r="H2597" s="327"/>
      <c r="I2597" s="327">
        <v>2</v>
      </c>
      <c r="J2597" s="345"/>
      <c r="K2597" s="327"/>
      <c r="L2597" s="389">
        <v>70323</v>
      </c>
      <c r="M2597" s="371"/>
      <c r="N2597" s="355" t="str">
        <f t="shared" si="273"/>
        <v>PK</v>
      </c>
      <c r="O2597" s="404" t="s">
        <v>1782</v>
      </c>
      <c r="P2597" s="392"/>
      <c r="Q2597" s="327"/>
      <c r="R2597" s="351"/>
      <c r="S2597" s="351"/>
      <c r="T2597" s="351"/>
      <c r="U2597" s="329" t="str">
        <f>IF($N2597=$N$4,IFERROR(INDEX(DanhMuc!$E$154:$E$165,MATCH(MID($B2597,4,2),DanhMuc!$B$154:$B$165,0)),""),"")</f>
        <v/>
      </c>
      <c r="V2597" s="361"/>
      <c r="W2597" s="345"/>
      <c r="X2597" s="329" t="str">
        <f t="shared" si="278"/>
        <v>KL</v>
      </c>
      <c r="Y2597" s="1128" t="s">
        <v>3380</v>
      </c>
      <c r="Z2597" s="1128" t="s">
        <v>3381</v>
      </c>
      <c r="AA2597" s="1128" t="s">
        <v>3384</v>
      </c>
      <c r="AB2597" s="20"/>
      <c r="AC2597" s="73"/>
    </row>
    <row r="2598" spans="1:29">
      <c r="A2598" s="327" t="str">
        <f>IF(AND($B2598&lt;&gt;"",$C2598&lt;&gt;""),MAX($A$1556:A2493)+1,"")</f>
        <v/>
      </c>
      <c r="B2598" s="361" t="s">
        <v>2161</v>
      </c>
      <c r="C2598" s="360"/>
      <c r="D2598" s="327">
        <f>IF($B2598="","",COUNTIF($B$6:$B2598,$B2598))</f>
        <v>7</v>
      </c>
      <c r="E2598" s="361" t="s">
        <v>2140</v>
      </c>
      <c r="F2598" s="362" t="s">
        <v>2138</v>
      </c>
      <c r="G2598" s="327" t="s">
        <v>155</v>
      </c>
      <c r="H2598" s="327"/>
      <c r="I2598" s="327">
        <v>2</v>
      </c>
      <c r="J2598" s="345"/>
      <c r="K2598" s="327"/>
      <c r="L2598" s="389">
        <v>70323</v>
      </c>
      <c r="M2598" s="371"/>
      <c r="N2598" s="355" t="str">
        <f t="shared" si="273"/>
        <v>PK</v>
      </c>
      <c r="O2598" s="404" t="s">
        <v>1782</v>
      </c>
      <c r="P2598" s="392"/>
      <c r="Q2598" s="327"/>
      <c r="R2598" s="351"/>
      <c r="S2598" s="351"/>
      <c r="T2598" s="351"/>
      <c r="U2598" s="329" t="str">
        <f>IF($N2598=$N$4,IFERROR(INDEX(DanhMuc!$E$154:$E$165,MATCH(MID($B2598,4,2),DanhMuc!$B$154:$B$165,0)),""),"")</f>
        <v/>
      </c>
      <c r="V2598" s="361"/>
      <c r="W2598" s="345"/>
      <c r="X2598" s="329" t="str">
        <f t="shared" si="278"/>
        <v>KL</v>
      </c>
      <c r="Y2598" s="1128" t="s">
        <v>3380</v>
      </c>
      <c r="Z2598" s="1128" t="s">
        <v>3381</v>
      </c>
      <c r="AA2598" s="1128" t="s">
        <v>3384</v>
      </c>
      <c r="AB2598" s="20"/>
      <c r="AC2598" s="73"/>
    </row>
    <row r="2599" spans="1:29">
      <c r="A2599" s="327" t="str">
        <f>IF(AND($B2599&lt;&gt;"",$C2599&lt;&gt;""),MAX($A$1556:A2493)+1,"")</f>
        <v/>
      </c>
      <c r="B2599" s="361" t="s">
        <v>2161</v>
      </c>
      <c r="C2599" s="360"/>
      <c r="D2599" s="327">
        <f>IF($B2599="","",COUNTIF($B$6:$B2599,$B2599))</f>
        <v>8</v>
      </c>
      <c r="E2599" s="361" t="s">
        <v>2133</v>
      </c>
      <c r="F2599" s="362" t="s">
        <v>2141</v>
      </c>
      <c r="G2599" s="327" t="s">
        <v>155</v>
      </c>
      <c r="H2599" s="327" t="s">
        <v>2111</v>
      </c>
      <c r="I2599" s="327">
        <v>4</v>
      </c>
      <c r="J2599" s="345"/>
      <c r="K2599" s="327"/>
      <c r="L2599" s="389">
        <v>5000</v>
      </c>
      <c r="M2599" s="371"/>
      <c r="N2599" s="355" t="str">
        <f t="shared" si="273"/>
        <v>PK</v>
      </c>
      <c r="O2599" s="404" t="s">
        <v>1782</v>
      </c>
      <c r="P2599" s="392"/>
      <c r="Q2599" s="327"/>
      <c r="R2599" s="351"/>
      <c r="S2599" s="351"/>
      <c r="T2599" s="351"/>
      <c r="U2599" s="329" t="str">
        <f>IF($N2599=$N$4,IFERROR(INDEX(DanhMuc!$E$154:$E$165,MATCH(MID($B2599,4,2),DanhMuc!$B$154:$B$165,0)),""),"")</f>
        <v/>
      </c>
      <c r="V2599" s="361"/>
      <c r="W2599" s="345"/>
      <c r="X2599" s="329" t="str">
        <f t="shared" si="278"/>
        <v>KL</v>
      </c>
      <c r="Y2599" s="1128" t="s">
        <v>3380</v>
      </c>
      <c r="Z2599" s="1128" t="s">
        <v>3381</v>
      </c>
      <c r="AA2599" s="1128" t="s">
        <v>3384</v>
      </c>
      <c r="AB2599" s="20"/>
      <c r="AC2599" s="73"/>
    </row>
    <row r="2600" spans="1:29">
      <c r="A2600" s="327" t="str">
        <f>IF(AND($B2600&lt;&gt;"",$C2600&lt;&gt;""),MAX($A$1556:A2492)+1,"")</f>
        <v/>
      </c>
      <c r="B2600" s="361" t="s">
        <v>2161</v>
      </c>
      <c r="C2600" s="360"/>
      <c r="D2600" s="327">
        <f>IF($B2600="","",COUNTIF($B$6:$B2600,$B2600))</f>
        <v>9</v>
      </c>
      <c r="E2600" s="361" t="s">
        <v>2131</v>
      </c>
      <c r="F2600" s="362" t="s">
        <v>2130</v>
      </c>
      <c r="G2600" s="327" t="s">
        <v>155</v>
      </c>
      <c r="H2600" s="327" t="s">
        <v>536</v>
      </c>
      <c r="I2600" s="411" t="s">
        <v>2132</v>
      </c>
      <c r="J2600" s="359"/>
      <c r="K2600" s="327"/>
      <c r="L2600" s="389">
        <v>38000</v>
      </c>
      <c r="M2600" s="371"/>
      <c r="N2600" s="355" t="str">
        <f t="shared" si="273"/>
        <v>PK</v>
      </c>
      <c r="O2600" s="404" t="s">
        <v>1782</v>
      </c>
      <c r="P2600" s="392"/>
      <c r="Q2600" s="327"/>
      <c r="R2600" s="351"/>
      <c r="S2600" s="351"/>
      <c r="T2600" s="351"/>
      <c r="U2600" s="329" t="str">
        <f>IF($N2600=$N$4,IFERROR(INDEX(DanhMuc!$E$154:$E$165,MATCH(MID($B2600,4,2),DanhMuc!$B$154:$B$165,0)),""),"")</f>
        <v/>
      </c>
      <c r="V2600" s="361"/>
      <c r="W2600" s="345"/>
      <c r="X2600" s="329" t="str">
        <f t="shared" si="278"/>
        <v>KL</v>
      </c>
      <c r="Y2600" s="1128" t="s">
        <v>3380</v>
      </c>
      <c r="Z2600" s="1128" t="s">
        <v>3381</v>
      </c>
      <c r="AA2600" s="1128" t="s">
        <v>3384</v>
      </c>
      <c r="AB2600" s="20"/>
      <c r="AC2600" s="73"/>
    </row>
    <row r="2601" spans="1:29">
      <c r="A2601" s="327" t="str">
        <f>IF(AND($B2601&lt;&gt;"",$C2601&lt;&gt;""),MAX($A$1556:A2493)+1,"")</f>
        <v/>
      </c>
      <c r="B2601" s="361" t="s">
        <v>2161</v>
      </c>
      <c r="C2601" s="360"/>
      <c r="D2601" s="327">
        <f>IF($B2601="","",COUNTIF($B$6:$B2601,$B2601))</f>
        <v>10</v>
      </c>
      <c r="E2601" s="361" t="s">
        <v>2129</v>
      </c>
      <c r="F2601" s="362" t="s">
        <v>2130</v>
      </c>
      <c r="G2601" s="327" t="s">
        <v>155</v>
      </c>
      <c r="H2601" s="327" t="s">
        <v>536</v>
      </c>
      <c r="I2601" s="411" t="s">
        <v>1338</v>
      </c>
      <c r="J2601" s="359"/>
      <c r="K2601" s="327"/>
      <c r="L2601" s="389">
        <v>45000</v>
      </c>
      <c r="M2601" s="371"/>
      <c r="N2601" s="355" t="str">
        <f t="shared" si="273"/>
        <v>PK</v>
      </c>
      <c r="O2601" s="404" t="s">
        <v>1782</v>
      </c>
      <c r="P2601" s="392"/>
      <c r="Q2601" s="327"/>
      <c r="R2601" s="351"/>
      <c r="S2601" s="351"/>
      <c r="T2601" s="351"/>
      <c r="U2601" s="329" t="str">
        <f>IF($N2601=$N$4,IFERROR(INDEX(DanhMuc!$E$154:$E$165,MATCH(MID($B2601,4,2),DanhMuc!$B$154:$B$165,0)),""),"")</f>
        <v/>
      </c>
      <c r="V2601" s="361"/>
      <c r="W2601" s="345"/>
      <c r="X2601" s="329" t="str">
        <f t="shared" si="278"/>
        <v>KL</v>
      </c>
      <c r="Y2601" s="1128" t="s">
        <v>3380</v>
      </c>
      <c r="Z2601" s="1128" t="s">
        <v>3381</v>
      </c>
      <c r="AA2601" s="1128" t="s">
        <v>3384</v>
      </c>
      <c r="AB2601" s="20"/>
      <c r="AC2601" s="73"/>
    </row>
    <row r="2602" spans="1:29">
      <c r="A2602" s="327" t="str">
        <f>IF(AND($B2602&lt;&gt;"",$C2602&lt;&gt;""),MAX($A$1556:A2494)+1,"")</f>
        <v/>
      </c>
      <c r="B2602" s="361" t="s">
        <v>2161</v>
      </c>
      <c r="C2602" s="360"/>
      <c r="D2602" s="327">
        <f>IF($B2602="","",COUNTIF($B$6:$B2602,$B2602))</f>
        <v>11</v>
      </c>
      <c r="E2602" s="361" t="s">
        <v>2133</v>
      </c>
      <c r="F2602" s="362" t="s">
        <v>2134</v>
      </c>
      <c r="G2602" s="327" t="s">
        <v>155</v>
      </c>
      <c r="H2602" s="327" t="s">
        <v>2111</v>
      </c>
      <c r="I2602" s="327">
        <v>4</v>
      </c>
      <c r="J2602" s="359"/>
      <c r="K2602" s="327"/>
      <c r="L2602" s="389">
        <v>5000</v>
      </c>
      <c r="M2602" s="371"/>
      <c r="N2602" s="355" t="str">
        <f t="shared" si="273"/>
        <v>PK</v>
      </c>
      <c r="O2602" s="404" t="s">
        <v>1782</v>
      </c>
      <c r="P2602" s="392"/>
      <c r="Q2602" s="327"/>
      <c r="R2602" s="351"/>
      <c r="S2602" s="351"/>
      <c r="T2602" s="351"/>
      <c r="U2602" s="329" t="str">
        <f>IF($N2602=$N$4,IFERROR(INDEX(DanhMuc!$E$154:$E$165,MATCH(MID($B2602,4,2),DanhMuc!$B$154:$B$165,0)),""),"")</f>
        <v/>
      </c>
      <c r="V2602" s="361"/>
      <c r="W2602" s="345"/>
      <c r="X2602" s="329" t="str">
        <f t="shared" si="278"/>
        <v>KL</v>
      </c>
      <c r="Y2602" s="1128" t="s">
        <v>3380</v>
      </c>
      <c r="Z2602" s="1128" t="s">
        <v>3381</v>
      </c>
      <c r="AA2602" s="1128" t="s">
        <v>3384</v>
      </c>
      <c r="AB2602" s="20"/>
      <c r="AC2602" s="73"/>
    </row>
    <row r="2603" spans="1:29">
      <c r="A2603" s="327" t="str">
        <f>IF(AND($B2603&lt;&gt;"",$C2603&lt;&gt;""),MAX($A$1556:A2495)+1,"")</f>
        <v/>
      </c>
      <c r="B2603" s="361" t="s">
        <v>2161</v>
      </c>
      <c r="C2603" s="360"/>
      <c r="D2603" s="327">
        <f>IF($B2603="","",COUNTIF($B$6:$B2603,$B2603))</f>
        <v>12</v>
      </c>
      <c r="E2603" s="361" t="s">
        <v>187</v>
      </c>
      <c r="F2603" s="362" t="s">
        <v>189</v>
      </c>
      <c r="G2603" s="327" t="s">
        <v>155</v>
      </c>
      <c r="H2603" s="327"/>
      <c r="I2603" s="327">
        <v>4</v>
      </c>
      <c r="J2603" s="359"/>
      <c r="K2603" s="327"/>
      <c r="L2603" s="389">
        <v>5000</v>
      </c>
      <c r="M2603" s="371"/>
      <c r="N2603" s="355" t="str">
        <f t="shared" si="273"/>
        <v>PK</v>
      </c>
      <c r="O2603" s="345"/>
      <c r="P2603" s="392"/>
      <c r="Q2603" s="327"/>
      <c r="R2603" s="351"/>
      <c r="S2603" s="351"/>
      <c r="T2603" s="351"/>
      <c r="U2603" s="329" t="str">
        <f>IF($N2603=$N$4,IFERROR(INDEX(DanhMuc!$E$154:$E$165,MATCH(MID($B2603,4,2),DanhMuc!$B$154:$B$165,0)),""),"")</f>
        <v/>
      </c>
      <c r="V2603" s="361"/>
      <c r="W2603" s="345"/>
      <c r="X2603" s="329" t="str">
        <f t="shared" si="278"/>
        <v>KL</v>
      </c>
      <c r="Y2603" s="1128" t="s">
        <v>3380</v>
      </c>
      <c r="Z2603" s="1128" t="s">
        <v>3381</v>
      </c>
      <c r="AA2603" s="1128" t="s">
        <v>3384</v>
      </c>
      <c r="AB2603" s="20"/>
      <c r="AC2603" s="73"/>
    </row>
    <row r="2604" spans="1:29">
      <c r="A2604" s="327" t="str">
        <f>IF(AND($B2604&lt;&gt;"",$C2604&lt;&gt;""),MAX($A$1556:A2497)+1,"")</f>
        <v/>
      </c>
      <c r="B2604" s="361" t="s">
        <v>2161</v>
      </c>
      <c r="C2604" s="360"/>
      <c r="D2604" s="327">
        <f>IF($B2604="","",COUNTIF($B$6:$B2604,$B2604))</f>
        <v>13</v>
      </c>
      <c r="E2604" s="361" t="s">
        <v>163</v>
      </c>
      <c r="F2604" s="362" t="s">
        <v>164</v>
      </c>
      <c r="G2604" s="327" t="s">
        <v>155</v>
      </c>
      <c r="H2604" s="327"/>
      <c r="I2604" s="327">
        <v>2</v>
      </c>
      <c r="J2604" s="345"/>
      <c r="K2604" s="327"/>
      <c r="L2604" s="389">
        <v>2500</v>
      </c>
      <c r="M2604" s="371"/>
      <c r="N2604" s="355" t="str">
        <f t="shared" si="273"/>
        <v>PK</v>
      </c>
      <c r="O2604" s="345"/>
      <c r="P2604" s="392"/>
      <c r="Q2604" s="327"/>
      <c r="R2604" s="351"/>
      <c r="S2604" s="351"/>
      <c r="T2604" s="351"/>
      <c r="U2604" s="329" t="str">
        <f>IF($N2604=$N$4,IFERROR(INDEX(DanhMuc!$E$154:$E$165,MATCH(MID($B2604,4,2),DanhMuc!$B$154:$B$165,0)),""),"")</f>
        <v/>
      </c>
      <c r="V2604" s="361"/>
      <c r="W2604" s="345"/>
      <c r="X2604" s="329" t="str">
        <f t="shared" si="278"/>
        <v>KL</v>
      </c>
      <c r="Y2604" s="1128" t="s">
        <v>3380</v>
      </c>
      <c r="Z2604" s="1128" t="s">
        <v>3381</v>
      </c>
      <c r="AA2604" s="1128" t="s">
        <v>3384</v>
      </c>
      <c r="AB2604" s="20"/>
      <c r="AC2604" s="73"/>
    </row>
    <row r="2605" spans="1:29">
      <c r="A2605" s="327" t="str">
        <f>IF(AND($B2605&lt;&gt;"",$C2605&lt;&gt;""),MAX($A$1556:A2502)+1,"")</f>
        <v/>
      </c>
      <c r="B2605" s="361" t="s">
        <v>2161</v>
      </c>
      <c r="C2605" s="360"/>
      <c r="D2605" s="327">
        <f>IF($B2605="","",COUNTIF($B$6:$B2605,$B2605))</f>
        <v>14</v>
      </c>
      <c r="E2605" s="361" t="s">
        <v>165</v>
      </c>
      <c r="F2605" s="362" t="s">
        <v>166</v>
      </c>
      <c r="G2605" s="327" t="s">
        <v>155</v>
      </c>
      <c r="H2605" s="327"/>
      <c r="I2605" s="327">
        <v>2</v>
      </c>
      <c r="J2605" s="359"/>
      <c r="K2605" s="327"/>
      <c r="L2605" s="389">
        <v>1700</v>
      </c>
      <c r="M2605" s="371"/>
      <c r="N2605" s="355" t="str">
        <f t="shared" si="273"/>
        <v>PK</v>
      </c>
      <c r="O2605" s="345"/>
      <c r="P2605" s="392"/>
      <c r="Q2605" s="327"/>
      <c r="R2605" s="351"/>
      <c r="S2605" s="351"/>
      <c r="T2605" s="351"/>
      <c r="U2605" s="329" t="str">
        <f>IF($N2605=$N$4,IFERROR(INDEX(DanhMuc!$E$154:$E$165,MATCH(MID($B2605,4,2),DanhMuc!$B$154:$B$165,0)),""),"")</f>
        <v/>
      </c>
      <c r="V2605" s="361"/>
      <c r="W2605" s="345"/>
      <c r="X2605" s="329" t="str">
        <f t="shared" si="278"/>
        <v>KL</v>
      </c>
      <c r="Y2605" s="1128" t="s">
        <v>3380</v>
      </c>
      <c r="Z2605" s="1128" t="s">
        <v>3381</v>
      </c>
      <c r="AA2605" s="1128" t="s">
        <v>3384</v>
      </c>
      <c r="AB2605" s="20"/>
      <c r="AC2605" s="73"/>
    </row>
    <row r="2606" spans="1:29">
      <c r="A2606" s="327" t="str">
        <f>IF(AND($B2606&lt;&gt;"",$C2606&lt;&gt;""),MAX($A$1556:A2605)+1,"")</f>
        <v/>
      </c>
      <c r="B2606" s="361" t="s">
        <v>2161</v>
      </c>
      <c r="C2606" s="360"/>
      <c r="D2606" s="327">
        <f>IF($B2606="","",COUNTIF($B$6:$B2606,$B2606))</f>
        <v>15</v>
      </c>
      <c r="E2606" s="361" t="s">
        <v>167</v>
      </c>
      <c r="F2606" s="362" t="s">
        <v>168</v>
      </c>
      <c r="G2606" s="327" t="s">
        <v>155</v>
      </c>
      <c r="H2606" s="327"/>
      <c r="I2606" s="327">
        <v>2</v>
      </c>
      <c r="J2606" s="359"/>
      <c r="K2606" s="327"/>
      <c r="L2606" s="389">
        <v>1700</v>
      </c>
      <c r="M2606" s="371"/>
      <c r="N2606" s="355" t="str">
        <f t="shared" si="273"/>
        <v>PK</v>
      </c>
      <c r="O2606" s="345"/>
      <c r="P2606" s="392"/>
      <c r="Q2606" s="327"/>
      <c r="R2606" s="351"/>
      <c r="S2606" s="351"/>
      <c r="T2606" s="351"/>
      <c r="U2606" s="329" t="str">
        <f>IF($N2606=$N$4,IFERROR(INDEX(DanhMuc!$E$154:$E$165,MATCH(MID($B2606,4,2),DanhMuc!$B$154:$B$165,0)),""),"")</f>
        <v/>
      </c>
      <c r="V2606" s="361"/>
      <c r="W2606" s="345"/>
      <c r="X2606" s="329" t="str">
        <f t="shared" si="278"/>
        <v>KL</v>
      </c>
      <c r="Y2606" s="1128" t="s">
        <v>3380</v>
      </c>
      <c r="Z2606" s="1128" t="s">
        <v>3381</v>
      </c>
      <c r="AA2606" s="1128" t="s">
        <v>3384</v>
      </c>
      <c r="AB2606" s="20"/>
      <c r="AC2606" s="73"/>
    </row>
    <row r="2607" spans="1:29">
      <c r="A2607" s="327" t="str">
        <f>IF(AND($B2607&lt;&gt;"",$C2607&lt;&gt;""),MAX($A$1556:A2606)+1,"")</f>
        <v/>
      </c>
      <c r="B2607" s="361" t="s">
        <v>2161</v>
      </c>
      <c r="C2607" s="360"/>
      <c r="D2607" s="327">
        <f>IF($B2607="","",COUNTIF($B$6:$B2607,$B2607))</f>
        <v>16</v>
      </c>
      <c r="E2607" s="361" t="s">
        <v>169</v>
      </c>
      <c r="F2607" s="362" t="s">
        <v>170</v>
      </c>
      <c r="G2607" s="327" t="s">
        <v>155</v>
      </c>
      <c r="H2607" s="327"/>
      <c r="I2607" s="327">
        <v>2</v>
      </c>
      <c r="J2607" s="359"/>
      <c r="K2607" s="327"/>
      <c r="L2607" s="389">
        <v>1700</v>
      </c>
      <c r="M2607" s="371"/>
      <c r="N2607" s="355" t="str">
        <f t="shared" si="273"/>
        <v>PK</v>
      </c>
      <c r="O2607" s="345"/>
      <c r="P2607" s="392"/>
      <c r="Q2607" s="327"/>
      <c r="R2607" s="351"/>
      <c r="S2607" s="351"/>
      <c r="T2607" s="351"/>
      <c r="U2607" s="329" t="str">
        <f>IF($N2607=$N$4,IFERROR(INDEX(DanhMuc!$E$154:$E$165,MATCH(MID($B2607,4,2),DanhMuc!$B$154:$B$165,0)),""),"")</f>
        <v/>
      </c>
      <c r="V2607" s="361"/>
      <c r="W2607" s="345"/>
      <c r="X2607" s="329" t="str">
        <f t="shared" si="278"/>
        <v>KL</v>
      </c>
      <c r="Y2607" s="1128" t="s">
        <v>3380</v>
      </c>
      <c r="Z2607" s="1128" t="s">
        <v>3381</v>
      </c>
      <c r="AA2607" s="1128" t="s">
        <v>3384</v>
      </c>
      <c r="AB2607" s="20"/>
      <c r="AC2607" s="73"/>
    </row>
    <row r="2608" spans="1:29">
      <c r="A2608" s="327" t="str">
        <f>IF(AND($B2608&lt;&gt;"",$C2608&lt;&gt;""),MAX($A$1556:A2607)+1,"")</f>
        <v/>
      </c>
      <c r="B2608" s="361" t="s">
        <v>2161</v>
      </c>
      <c r="C2608" s="360"/>
      <c r="D2608" s="327">
        <f>IF($B2608="","",COUNTIF($B$6:$B2608,$B2608))</f>
        <v>17</v>
      </c>
      <c r="E2608" s="361" t="s">
        <v>171</v>
      </c>
      <c r="F2608" s="362" t="s">
        <v>291</v>
      </c>
      <c r="G2608" s="327" t="s">
        <v>155</v>
      </c>
      <c r="H2608" s="327"/>
      <c r="I2608" s="327">
        <v>2</v>
      </c>
      <c r="J2608" s="345"/>
      <c r="K2608" s="327"/>
      <c r="L2608" s="389">
        <v>1700</v>
      </c>
      <c r="M2608" s="371"/>
      <c r="N2608" s="355" t="str">
        <f t="shared" si="273"/>
        <v>PK</v>
      </c>
      <c r="O2608" s="345"/>
      <c r="P2608" s="392"/>
      <c r="Q2608" s="327"/>
      <c r="R2608" s="351"/>
      <c r="S2608" s="351"/>
      <c r="T2608" s="351"/>
      <c r="U2608" s="329" t="str">
        <f>IF($N2608=$N$4,IFERROR(INDEX(DanhMuc!$E$154:$E$165,MATCH(MID($B2608,4,2),DanhMuc!$B$154:$B$165,0)),""),"")</f>
        <v/>
      </c>
      <c r="V2608" s="361"/>
      <c r="W2608" s="345"/>
      <c r="X2608" s="329" t="str">
        <f t="shared" si="278"/>
        <v>KL</v>
      </c>
      <c r="Y2608" s="1128" t="s">
        <v>3380</v>
      </c>
      <c r="Z2608" s="1128" t="s">
        <v>3381</v>
      </c>
      <c r="AA2608" s="1128" t="s">
        <v>3384</v>
      </c>
      <c r="AB2608" s="20"/>
      <c r="AC2608" s="73"/>
    </row>
    <row r="2609" spans="1:29">
      <c r="A2609" s="327" t="str">
        <f>IF(AND($B2609&lt;&gt;"",$C2609&lt;&gt;""),MAX($A$1556:A2608)+1,"")</f>
        <v/>
      </c>
      <c r="B2609" s="361" t="s">
        <v>2161</v>
      </c>
      <c r="C2609" s="360"/>
      <c r="D2609" s="327">
        <f>IF($B2609="","",COUNTIF($B$6:$B2609,$B2609))</f>
        <v>18</v>
      </c>
      <c r="E2609" s="361" t="s">
        <v>2163</v>
      </c>
      <c r="F2609" s="362" t="s">
        <v>1930</v>
      </c>
      <c r="G2609" s="327" t="s">
        <v>155</v>
      </c>
      <c r="H2609" s="327" t="s">
        <v>536</v>
      </c>
      <c r="I2609" s="327">
        <v>4</v>
      </c>
      <c r="J2609" s="361"/>
      <c r="K2609" s="327"/>
      <c r="L2609" s="389">
        <v>13000</v>
      </c>
      <c r="M2609" s="371"/>
      <c r="N2609" s="355" t="str">
        <f t="shared" si="273"/>
        <v>PK</v>
      </c>
      <c r="O2609" s="345" t="s">
        <v>1705</v>
      </c>
      <c r="P2609" s="392"/>
      <c r="Q2609" s="327"/>
      <c r="R2609" s="351"/>
      <c r="S2609" s="351"/>
      <c r="T2609" s="351"/>
      <c r="U2609" s="329" t="str">
        <f>IF($N2609=$N$4,IFERROR(INDEX(DanhMuc!$E$154:$E$165,MATCH(MID($B2609,4,2),DanhMuc!$B$154:$B$165,0)),""),"")</f>
        <v/>
      </c>
      <c r="V2609" s="361"/>
      <c r="W2609" s="345"/>
      <c r="X2609" s="329" t="str">
        <f t="shared" ref="X2609:X2681" si="282">IF($N2609="PR",$E2609,MID($B2609,10,2))</f>
        <v>KL</v>
      </c>
      <c r="Y2609" s="1128" t="s">
        <v>3380</v>
      </c>
      <c r="Z2609" s="1128" t="s">
        <v>3381</v>
      </c>
      <c r="AA2609" s="1128" t="s">
        <v>3384</v>
      </c>
      <c r="AB2609" s="20"/>
      <c r="AC2609" s="73"/>
    </row>
    <row r="2610" spans="1:29">
      <c r="A2610" s="327" t="str">
        <f>IF(AND($B2610&lt;&gt;"",$C2610&lt;&gt;""),MAX($A$1556:A2609)+1,"")</f>
        <v/>
      </c>
      <c r="B2610" s="361" t="s">
        <v>2161</v>
      </c>
      <c r="C2610" s="360"/>
      <c r="D2610" s="327">
        <f>IF($B2610="","",COUNTIF($B$6:$B2610,$B2610))</f>
        <v>19</v>
      </c>
      <c r="E2610" s="361" t="s">
        <v>2128</v>
      </c>
      <c r="F2610" s="362" t="s">
        <v>186</v>
      </c>
      <c r="G2610" s="327" t="s">
        <v>155</v>
      </c>
      <c r="H2610" s="327" t="s">
        <v>536</v>
      </c>
      <c r="I2610" s="327">
        <v>4</v>
      </c>
      <c r="J2610" s="361"/>
      <c r="K2610" s="327"/>
      <c r="L2610" s="389">
        <v>38000</v>
      </c>
      <c r="M2610" s="371"/>
      <c r="N2610" s="355" t="str">
        <f t="shared" si="273"/>
        <v>PK</v>
      </c>
      <c r="O2610" s="345" t="s">
        <v>1704</v>
      </c>
      <c r="P2610" s="392"/>
      <c r="Q2610" s="327"/>
      <c r="R2610" s="351"/>
      <c r="S2610" s="351"/>
      <c r="T2610" s="351"/>
      <c r="U2610" s="329" t="str">
        <f>IF($N2610=$N$4,IFERROR(INDEX(DanhMuc!$E$154:$E$165,MATCH(MID($B2610,4,2),DanhMuc!$B$154:$B$165,0)),""),"")</f>
        <v/>
      </c>
      <c r="V2610" s="361"/>
      <c r="W2610" s="345"/>
      <c r="X2610" s="329" t="str">
        <f t="shared" si="282"/>
        <v>KL</v>
      </c>
      <c r="Y2610" s="1128" t="s">
        <v>3380</v>
      </c>
      <c r="Z2610" s="1128" t="s">
        <v>3381</v>
      </c>
      <c r="AA2610" s="1128" t="s">
        <v>3384</v>
      </c>
      <c r="AB2610" s="20"/>
      <c r="AC2610" s="73"/>
    </row>
    <row r="2611" spans="1:29" ht="52">
      <c r="A2611" s="327">
        <f>IF(AND($B2611&lt;&gt;"",$C2611&lt;&gt;""),MAX($A$1556:A2508)+1,"")</f>
        <v>136</v>
      </c>
      <c r="B2611" s="359" t="s">
        <v>3164</v>
      </c>
      <c r="C2611" s="360" t="s">
        <v>2221</v>
      </c>
      <c r="D2611" s="327">
        <f>IF($B2611="","",COUNTIF($B$6:$B2611,$B2611))</f>
        <v>1</v>
      </c>
      <c r="E2611" s="361" t="s">
        <v>2232</v>
      </c>
      <c r="F2611" s="362" t="s">
        <v>2127</v>
      </c>
      <c r="G2611" s="327" t="s">
        <v>155</v>
      </c>
      <c r="H2611" s="327"/>
      <c r="I2611" s="327">
        <v>2</v>
      </c>
      <c r="J2611" s="345"/>
      <c r="K2611" s="327"/>
      <c r="L2611" s="389">
        <v>35500</v>
      </c>
      <c r="M2611" s="371"/>
      <c r="N2611" s="355" t="str">
        <f t="shared" si="273"/>
        <v>PK</v>
      </c>
      <c r="O2611" s="404" t="s">
        <v>1781</v>
      </c>
      <c r="P2611" s="392"/>
      <c r="Q2611" s="327"/>
      <c r="R2611" s="351"/>
      <c r="S2611" s="351"/>
      <c r="T2611" s="351"/>
      <c r="U2611" s="329" t="str">
        <f>IF($N2611=$N$4,IFERROR(INDEX(DanhMuc!$E$154:$E$165,MATCH(MID($B2611,4,2),DanhMuc!$B$154:$B$165,0)),""),"")</f>
        <v/>
      </c>
      <c r="V2611" s="361"/>
      <c r="W2611" s="345"/>
      <c r="X2611" s="329" t="str">
        <f t="shared" si="282"/>
        <v>FI</v>
      </c>
      <c r="Y2611" s="1128" t="s">
        <v>3380</v>
      </c>
      <c r="Z2611" s="1128" t="s">
        <v>3381</v>
      </c>
      <c r="AA2611" s="1128" t="s">
        <v>3384</v>
      </c>
      <c r="AB2611" s="20"/>
      <c r="AC2611" s="73"/>
    </row>
    <row r="2612" spans="1:29">
      <c r="A2612" s="327" t="str">
        <f>IF(AND($B2612&lt;&gt;"",$C2612&lt;&gt;""),MAX($A$1556:A2508)+1,"")</f>
        <v/>
      </c>
      <c r="B2612" s="361" t="s">
        <v>3164</v>
      </c>
      <c r="C2612" s="360"/>
      <c r="D2612" s="327">
        <f>IF($B2612="","",COUNTIF($B$6:$B2612,$B2612))</f>
        <v>2</v>
      </c>
      <c r="E2612" s="361" t="s">
        <v>2125</v>
      </c>
      <c r="F2612" s="362" t="s">
        <v>2126</v>
      </c>
      <c r="G2612" s="327" t="s">
        <v>155</v>
      </c>
      <c r="H2612" s="327"/>
      <c r="I2612" s="327">
        <v>2</v>
      </c>
      <c r="J2612" s="345"/>
      <c r="K2612" s="327"/>
      <c r="L2612" s="389">
        <v>5000</v>
      </c>
      <c r="M2612" s="371"/>
      <c r="N2612" s="355" t="str">
        <f t="shared" si="273"/>
        <v>PK</v>
      </c>
      <c r="O2612" s="404" t="s">
        <v>1781</v>
      </c>
      <c r="P2612" s="392"/>
      <c r="Q2612" s="327"/>
      <c r="R2612" s="351"/>
      <c r="S2612" s="351"/>
      <c r="T2612" s="351"/>
      <c r="U2612" s="329" t="str">
        <f>IF($N2612=$N$4,IFERROR(INDEX(DanhMuc!$E$154:$E$165,MATCH(MID($B2612,4,2),DanhMuc!$B$154:$B$165,0)),""),"")</f>
        <v/>
      </c>
      <c r="V2612" s="361"/>
      <c r="W2612" s="345"/>
      <c r="X2612" s="329" t="str">
        <f t="shared" si="282"/>
        <v>FI</v>
      </c>
      <c r="Y2612" s="1128" t="s">
        <v>3380</v>
      </c>
      <c r="Z2612" s="1128" t="s">
        <v>3381</v>
      </c>
      <c r="AA2612" s="1128" t="s">
        <v>3384</v>
      </c>
      <c r="AB2612" s="20"/>
      <c r="AC2612" s="73"/>
    </row>
    <row r="2613" spans="1:29">
      <c r="A2613" s="327" t="str">
        <f>IF(AND($B2613&lt;&gt;"",$C2613&lt;&gt;""),MAX($A$1556:A2508)+1,"")</f>
        <v/>
      </c>
      <c r="B2613" s="361" t="s">
        <v>3164</v>
      </c>
      <c r="C2613" s="360"/>
      <c r="D2613" s="327">
        <f>IF($B2613="","",COUNTIF($B$6:$B2613,$B2613))</f>
        <v>3</v>
      </c>
      <c r="E2613" s="361" t="s">
        <v>2235</v>
      </c>
      <c r="F2613" s="362" t="s">
        <v>2970</v>
      </c>
      <c r="G2613" s="327" t="s">
        <v>344</v>
      </c>
      <c r="H2613" s="327"/>
      <c r="I2613" s="327">
        <v>1</v>
      </c>
      <c r="J2613" s="345"/>
      <c r="K2613" s="327"/>
      <c r="L2613" s="389">
        <f>28000-L2615</f>
        <v>27999</v>
      </c>
      <c r="M2613" s="371"/>
      <c r="N2613" s="355" t="str">
        <f t="shared" si="273"/>
        <v>PK</v>
      </c>
      <c r="O2613" s="404" t="s">
        <v>1971</v>
      </c>
      <c r="P2613" s="392"/>
      <c r="Q2613" s="327"/>
      <c r="R2613" s="351"/>
      <c r="S2613" s="351"/>
      <c r="T2613" s="351"/>
      <c r="U2613" s="329" t="str">
        <f>IF($N2613=$N$4,IFERROR(INDEX(DanhMuc!$E$154:$E$165,MATCH(MID($B2613,4,2),DanhMuc!$B$154:$B$165,0)),""),"")</f>
        <v/>
      </c>
      <c r="V2613" s="361"/>
      <c r="W2613" s="345"/>
      <c r="X2613" s="329" t="str">
        <f t="shared" si="282"/>
        <v>FI</v>
      </c>
      <c r="Y2613" s="1128" t="s">
        <v>3380</v>
      </c>
      <c r="Z2613" s="1128" t="s">
        <v>3381</v>
      </c>
      <c r="AA2613" s="1128" t="s">
        <v>3384</v>
      </c>
      <c r="AB2613" s="20"/>
      <c r="AC2613" s="73"/>
    </row>
    <row r="2614" spans="1:29">
      <c r="A2614" s="327" t="str">
        <f>IF(AND($B2614&lt;&gt;"",$C2614&lt;&gt;""),MAX($A$1556:A2509)+1,"")</f>
        <v/>
      </c>
      <c r="B2614" s="361" t="s">
        <v>3164</v>
      </c>
      <c r="C2614" s="360"/>
      <c r="D2614" s="327">
        <f>IF($B2614="","",COUNTIF($B$6:$B2614,$B2614))</f>
        <v>4</v>
      </c>
      <c r="E2614" s="361" t="s">
        <v>2235</v>
      </c>
      <c r="F2614" s="362" t="s">
        <v>2971</v>
      </c>
      <c r="G2614" s="327" t="s">
        <v>344</v>
      </c>
      <c r="H2614" s="327"/>
      <c r="I2614" s="327">
        <v>1</v>
      </c>
      <c r="J2614" s="345"/>
      <c r="K2614" s="327"/>
      <c r="L2614" s="389">
        <f>+L2613</f>
        <v>27999</v>
      </c>
      <c r="M2614" s="371"/>
      <c r="N2614" s="355" t="str">
        <f t="shared" si="273"/>
        <v>PK</v>
      </c>
      <c r="O2614" s="404" t="s">
        <v>1972</v>
      </c>
      <c r="P2614" s="392"/>
      <c r="Q2614" s="327"/>
      <c r="R2614" s="351"/>
      <c r="S2614" s="351"/>
      <c r="T2614" s="351"/>
      <c r="U2614" s="329" t="str">
        <f>IF($N2614=$N$4,IFERROR(INDEX(DanhMuc!$E$154:$E$165,MATCH(MID($B2614,4,2),DanhMuc!$B$154:$B$165,0)),""),"")</f>
        <v/>
      </c>
      <c r="V2614" s="361"/>
      <c r="W2614" s="345"/>
      <c r="X2614" s="329" t="str">
        <f t="shared" si="282"/>
        <v>FI</v>
      </c>
      <c r="Y2614" s="1128" t="s">
        <v>3380</v>
      </c>
      <c r="Z2614" s="1128" t="s">
        <v>3381</v>
      </c>
      <c r="AA2614" s="1128" t="s">
        <v>3384</v>
      </c>
      <c r="AB2614" s="20"/>
      <c r="AC2614" s="73"/>
    </row>
    <row r="2615" spans="1:29">
      <c r="A2615" s="327" t="str">
        <f>IF(AND($B2615&lt;&gt;"",$C2615&lt;&gt;""),MAX($A$1556:A2509)+1,"")</f>
        <v/>
      </c>
      <c r="B2615" s="361" t="s">
        <v>3164</v>
      </c>
      <c r="C2615" s="360"/>
      <c r="D2615" s="327">
        <f>IF($B2615="","",COUNTIF($B$6:$B2615,$B2615))</f>
        <v>5</v>
      </c>
      <c r="E2615" s="361" t="s">
        <v>2236</v>
      </c>
      <c r="F2615" s="362" t="s">
        <v>1970</v>
      </c>
      <c r="G2615" s="327" t="s">
        <v>155</v>
      </c>
      <c r="H2615" s="327" t="s">
        <v>536</v>
      </c>
      <c r="I2615" s="327">
        <v>1</v>
      </c>
      <c r="J2615" s="345"/>
      <c r="K2615" s="327"/>
      <c r="L2615" s="389">
        <v>1</v>
      </c>
      <c r="M2615" s="371"/>
      <c r="N2615" s="355" t="str">
        <f t="shared" si="273"/>
        <v>PK</v>
      </c>
      <c r="O2615" s="404" t="s">
        <v>1780</v>
      </c>
      <c r="P2615" s="392"/>
      <c r="Q2615" s="327"/>
      <c r="R2615" s="351"/>
      <c r="S2615" s="351"/>
      <c r="T2615" s="351"/>
      <c r="U2615" s="329" t="str">
        <f>IF($N2615=$N$4,IFERROR(INDEX(DanhMuc!$E$154:$E$165,MATCH(MID($B2615,4,2),DanhMuc!$B$154:$B$165,0)),""),"")</f>
        <v/>
      </c>
      <c r="V2615" s="361"/>
      <c r="W2615" s="345"/>
      <c r="X2615" s="329" t="str">
        <f t="shared" si="282"/>
        <v>FI</v>
      </c>
      <c r="Y2615" s="1128" t="s">
        <v>3380</v>
      </c>
      <c r="Z2615" s="1128" t="s">
        <v>3381</v>
      </c>
      <c r="AA2615" s="1128" t="s">
        <v>3384</v>
      </c>
      <c r="AB2615" s="20"/>
      <c r="AC2615" s="73"/>
    </row>
    <row r="2616" spans="1:29">
      <c r="A2616" s="327" t="str">
        <f>IF(AND($B2616&lt;&gt;"",$C2616&lt;&gt;""),MAX($A$1556:A2508)+1,"")</f>
        <v/>
      </c>
      <c r="B2616" s="361" t="s">
        <v>3164</v>
      </c>
      <c r="C2616" s="360"/>
      <c r="D2616" s="327">
        <f>IF($B2616="","",COUNTIF($B$6:$B2616,$B2616))</f>
        <v>6</v>
      </c>
      <c r="E2616" s="361" t="s">
        <v>2139</v>
      </c>
      <c r="F2616" s="362" t="s">
        <v>2137</v>
      </c>
      <c r="G2616" s="327" t="s">
        <v>155</v>
      </c>
      <c r="H2616" s="327"/>
      <c r="I2616" s="327">
        <v>2</v>
      </c>
      <c r="J2616" s="345"/>
      <c r="K2616" s="327"/>
      <c r="L2616" s="389">
        <v>70323</v>
      </c>
      <c r="M2616" s="371"/>
      <c r="N2616" s="355" t="str">
        <f t="shared" si="273"/>
        <v>PK</v>
      </c>
      <c r="O2616" s="404" t="s">
        <v>1782</v>
      </c>
      <c r="P2616" s="392"/>
      <c r="Q2616" s="327"/>
      <c r="R2616" s="351"/>
      <c r="S2616" s="351"/>
      <c r="T2616" s="351"/>
      <c r="U2616" s="329" t="str">
        <f>IF($N2616=$N$4,IFERROR(INDEX(DanhMuc!$E$154:$E$165,MATCH(MID($B2616,4,2),DanhMuc!$B$154:$B$165,0)),""),"")</f>
        <v/>
      </c>
      <c r="V2616" s="361"/>
      <c r="W2616" s="345"/>
      <c r="X2616" s="329" t="str">
        <f t="shared" si="282"/>
        <v>FI</v>
      </c>
      <c r="Y2616" s="1128" t="s">
        <v>3380</v>
      </c>
      <c r="Z2616" s="1128" t="s">
        <v>3381</v>
      </c>
      <c r="AA2616" s="1128" t="s">
        <v>3384</v>
      </c>
      <c r="AB2616" s="20"/>
      <c r="AC2616" s="73"/>
    </row>
    <row r="2617" spans="1:29">
      <c r="A2617" s="327" t="str">
        <f>IF(AND($B2617&lt;&gt;"",$C2617&lt;&gt;""),MAX($A$1556:A2592)+1,"")</f>
        <v/>
      </c>
      <c r="B2617" s="361" t="s">
        <v>3164</v>
      </c>
      <c r="C2617" s="360"/>
      <c r="D2617" s="327">
        <f>IF($B2617="","",COUNTIF($B$6:$B2617,$B2617))</f>
        <v>7</v>
      </c>
      <c r="E2617" s="361" t="s">
        <v>2140</v>
      </c>
      <c r="F2617" s="362" t="s">
        <v>2138</v>
      </c>
      <c r="G2617" s="327" t="s">
        <v>155</v>
      </c>
      <c r="H2617" s="327"/>
      <c r="I2617" s="327">
        <v>2</v>
      </c>
      <c r="J2617" s="345"/>
      <c r="K2617" s="327"/>
      <c r="L2617" s="389">
        <v>70323</v>
      </c>
      <c r="M2617" s="371"/>
      <c r="N2617" s="355" t="str">
        <f t="shared" si="273"/>
        <v>PK</v>
      </c>
      <c r="O2617" s="404" t="s">
        <v>1782</v>
      </c>
      <c r="P2617" s="392"/>
      <c r="Q2617" s="327"/>
      <c r="R2617" s="351"/>
      <c r="S2617" s="351"/>
      <c r="T2617" s="351"/>
      <c r="U2617" s="329" t="str">
        <f>IF($N2617=$N$4,IFERROR(INDEX(DanhMuc!$E$154:$E$165,MATCH(MID($B2617,4,2),DanhMuc!$B$154:$B$165,0)),""),"")</f>
        <v/>
      </c>
      <c r="V2617" s="361"/>
      <c r="W2617" s="345"/>
      <c r="X2617" s="329" t="str">
        <f t="shared" si="282"/>
        <v>FI</v>
      </c>
      <c r="Y2617" s="1128" t="s">
        <v>3380</v>
      </c>
      <c r="Z2617" s="1128" t="s">
        <v>3381</v>
      </c>
      <c r="AA2617" s="1128" t="s">
        <v>3384</v>
      </c>
      <c r="AB2617" s="20"/>
      <c r="AC2617" s="73"/>
    </row>
    <row r="2618" spans="1:29">
      <c r="A2618" s="327" t="str">
        <f>IF(AND($B2618&lt;&gt;"",$C2618&lt;&gt;""),MAX($A$1556:A2592)+1,"")</f>
        <v/>
      </c>
      <c r="B2618" s="361" t="s">
        <v>3164</v>
      </c>
      <c r="C2618" s="360"/>
      <c r="D2618" s="327">
        <f>IF($B2618="","",COUNTIF($B$6:$B2618,$B2618))</f>
        <v>8</v>
      </c>
      <c r="E2618" s="361" t="s">
        <v>2133</v>
      </c>
      <c r="F2618" s="362" t="s">
        <v>2141</v>
      </c>
      <c r="G2618" s="327" t="s">
        <v>155</v>
      </c>
      <c r="H2618" s="327" t="s">
        <v>2111</v>
      </c>
      <c r="I2618" s="327">
        <v>4</v>
      </c>
      <c r="J2618" s="345"/>
      <c r="K2618" s="327"/>
      <c r="L2618" s="389">
        <v>5000</v>
      </c>
      <c r="M2618" s="371"/>
      <c r="N2618" s="355" t="str">
        <f t="shared" si="273"/>
        <v>PK</v>
      </c>
      <c r="O2618" s="404" t="s">
        <v>1782</v>
      </c>
      <c r="P2618" s="392"/>
      <c r="Q2618" s="327"/>
      <c r="R2618" s="351"/>
      <c r="S2618" s="351"/>
      <c r="T2618" s="351"/>
      <c r="U2618" s="329" t="str">
        <f>IF($N2618=$N$4,IFERROR(INDEX(DanhMuc!$E$154:$E$165,MATCH(MID($B2618,4,2),DanhMuc!$B$154:$B$165,0)),""),"")</f>
        <v/>
      </c>
      <c r="V2618" s="361"/>
      <c r="W2618" s="345"/>
      <c r="X2618" s="329" t="str">
        <f t="shared" si="282"/>
        <v>FI</v>
      </c>
      <c r="Y2618" s="1128" t="s">
        <v>3380</v>
      </c>
      <c r="Z2618" s="1128" t="s">
        <v>3381</v>
      </c>
      <c r="AA2618" s="1128" t="s">
        <v>3384</v>
      </c>
      <c r="AB2618" s="20"/>
      <c r="AC2618" s="73"/>
    </row>
    <row r="2619" spans="1:29">
      <c r="A2619" s="327" t="str">
        <f>IF(AND($B2619&lt;&gt;"",$C2619&lt;&gt;""),MAX($A$1556:A2508)+1,"")</f>
        <v/>
      </c>
      <c r="B2619" s="361" t="s">
        <v>3164</v>
      </c>
      <c r="C2619" s="360"/>
      <c r="D2619" s="327">
        <f>IF($B2619="","",COUNTIF($B$6:$B2619,$B2619))</f>
        <v>9</v>
      </c>
      <c r="E2619" s="361" t="s">
        <v>2131</v>
      </c>
      <c r="F2619" s="362" t="s">
        <v>2130</v>
      </c>
      <c r="G2619" s="327" t="s">
        <v>155</v>
      </c>
      <c r="H2619" s="327" t="s">
        <v>536</v>
      </c>
      <c r="I2619" s="411" t="s">
        <v>2132</v>
      </c>
      <c r="J2619" s="359"/>
      <c r="K2619" s="327"/>
      <c r="L2619" s="389">
        <v>38000</v>
      </c>
      <c r="M2619" s="371"/>
      <c r="N2619" s="355" t="str">
        <f t="shared" si="273"/>
        <v>PK</v>
      </c>
      <c r="O2619" s="404" t="s">
        <v>1782</v>
      </c>
      <c r="P2619" s="392"/>
      <c r="Q2619" s="327"/>
      <c r="R2619" s="351"/>
      <c r="S2619" s="351"/>
      <c r="T2619" s="351"/>
      <c r="U2619" s="329" t="str">
        <f>IF($N2619=$N$4,IFERROR(INDEX(DanhMuc!$E$154:$E$165,MATCH(MID($B2619,4,2),DanhMuc!$B$154:$B$165,0)),""),"")</f>
        <v/>
      </c>
      <c r="V2619" s="361"/>
      <c r="W2619" s="345"/>
      <c r="X2619" s="329" t="str">
        <f t="shared" si="282"/>
        <v>FI</v>
      </c>
      <c r="Y2619" s="1128" t="s">
        <v>3380</v>
      </c>
      <c r="Z2619" s="1128" t="s">
        <v>3381</v>
      </c>
      <c r="AA2619" s="1128" t="s">
        <v>3384</v>
      </c>
      <c r="AB2619" s="20"/>
      <c r="AC2619" s="73"/>
    </row>
    <row r="2620" spans="1:29">
      <c r="A2620" s="327" t="str">
        <f>IF(AND($B2620&lt;&gt;"",$C2620&lt;&gt;""),MAX($A$1556:A2592)+1,"")</f>
        <v/>
      </c>
      <c r="B2620" s="361" t="s">
        <v>3164</v>
      </c>
      <c r="C2620" s="360"/>
      <c r="D2620" s="327">
        <f>IF($B2620="","",COUNTIF($B$6:$B2620,$B2620))</f>
        <v>10</v>
      </c>
      <c r="E2620" s="361" t="s">
        <v>2129</v>
      </c>
      <c r="F2620" s="362" t="s">
        <v>2130</v>
      </c>
      <c r="G2620" s="327" t="s">
        <v>155</v>
      </c>
      <c r="H2620" s="327" t="s">
        <v>536</v>
      </c>
      <c r="I2620" s="411" t="s">
        <v>1338</v>
      </c>
      <c r="J2620" s="359"/>
      <c r="K2620" s="327"/>
      <c r="L2620" s="389">
        <v>45000</v>
      </c>
      <c r="M2620" s="371"/>
      <c r="N2620" s="355" t="str">
        <f t="shared" si="273"/>
        <v>PK</v>
      </c>
      <c r="O2620" s="404" t="s">
        <v>1782</v>
      </c>
      <c r="P2620" s="392"/>
      <c r="Q2620" s="327"/>
      <c r="R2620" s="351"/>
      <c r="S2620" s="351"/>
      <c r="T2620" s="351"/>
      <c r="U2620" s="329" t="str">
        <f>IF($N2620=$N$4,IFERROR(INDEX(DanhMuc!$E$154:$E$165,MATCH(MID($B2620,4,2),DanhMuc!$B$154:$B$165,0)),""),"")</f>
        <v/>
      </c>
      <c r="V2620" s="361"/>
      <c r="W2620" s="345"/>
      <c r="X2620" s="329" t="str">
        <f t="shared" si="282"/>
        <v>FI</v>
      </c>
      <c r="Y2620" s="1128" t="s">
        <v>3380</v>
      </c>
      <c r="Z2620" s="1128" t="s">
        <v>3381</v>
      </c>
      <c r="AA2620" s="1128" t="s">
        <v>3384</v>
      </c>
      <c r="AB2620" s="20"/>
      <c r="AC2620" s="73"/>
    </row>
    <row r="2621" spans="1:29">
      <c r="A2621" s="327" t="str">
        <f>IF(AND($B2621&lt;&gt;"",$C2621&lt;&gt;""),MAX($A$1556:A2593)+1,"")</f>
        <v/>
      </c>
      <c r="B2621" s="361" t="s">
        <v>3164</v>
      </c>
      <c r="C2621" s="360"/>
      <c r="D2621" s="327">
        <f>IF($B2621="","",COUNTIF($B$6:$B2621,$B2621))</f>
        <v>11</v>
      </c>
      <c r="E2621" s="361" t="s">
        <v>2133</v>
      </c>
      <c r="F2621" s="362" t="s">
        <v>2134</v>
      </c>
      <c r="G2621" s="327" t="s">
        <v>155</v>
      </c>
      <c r="H2621" s="327" t="s">
        <v>2111</v>
      </c>
      <c r="I2621" s="327">
        <v>4</v>
      </c>
      <c r="J2621" s="359"/>
      <c r="K2621" s="327"/>
      <c r="L2621" s="389">
        <v>5000</v>
      </c>
      <c r="M2621" s="371"/>
      <c r="N2621" s="355" t="str">
        <f t="shared" si="273"/>
        <v>PK</v>
      </c>
      <c r="O2621" s="404" t="s">
        <v>1782</v>
      </c>
      <c r="P2621" s="392"/>
      <c r="Q2621" s="327"/>
      <c r="R2621" s="351"/>
      <c r="S2621" s="351"/>
      <c r="T2621" s="351"/>
      <c r="U2621" s="329" t="str">
        <f>IF($N2621=$N$4,IFERROR(INDEX(DanhMuc!$E$154:$E$165,MATCH(MID($B2621,4,2),DanhMuc!$B$154:$B$165,0)),""),"")</f>
        <v/>
      </c>
      <c r="V2621" s="361"/>
      <c r="W2621" s="345"/>
      <c r="X2621" s="329" t="str">
        <f t="shared" si="282"/>
        <v>FI</v>
      </c>
      <c r="Y2621" s="1128" t="s">
        <v>3380</v>
      </c>
      <c r="Z2621" s="1128" t="s">
        <v>3381</v>
      </c>
      <c r="AA2621" s="1128" t="s">
        <v>3384</v>
      </c>
      <c r="AB2621" s="20"/>
      <c r="AC2621" s="73"/>
    </row>
    <row r="2622" spans="1:29">
      <c r="A2622" s="327" t="str">
        <f>IF(AND($B2622&lt;&gt;"",$C2622&lt;&gt;""),MAX($A$1556:A2597)+1,"")</f>
        <v/>
      </c>
      <c r="B2622" s="361" t="s">
        <v>3164</v>
      </c>
      <c r="C2622" s="360"/>
      <c r="D2622" s="327">
        <f>IF($B2622="","",COUNTIF($B$6:$B2622,$B2622))</f>
        <v>12</v>
      </c>
      <c r="E2622" s="361" t="s">
        <v>187</v>
      </c>
      <c r="F2622" s="362" t="s">
        <v>189</v>
      </c>
      <c r="G2622" s="327" t="s">
        <v>155</v>
      </c>
      <c r="H2622" s="327"/>
      <c r="I2622" s="327">
        <v>4</v>
      </c>
      <c r="J2622" s="359"/>
      <c r="K2622" s="327"/>
      <c r="L2622" s="389">
        <v>5000</v>
      </c>
      <c r="M2622" s="371"/>
      <c r="N2622" s="355" t="str">
        <f t="shared" si="273"/>
        <v>PK</v>
      </c>
      <c r="O2622" s="345"/>
      <c r="P2622" s="392"/>
      <c r="Q2622" s="327"/>
      <c r="R2622" s="351"/>
      <c r="S2622" s="351"/>
      <c r="T2622" s="351"/>
      <c r="U2622" s="329" t="str">
        <f>IF($N2622=$N$4,IFERROR(INDEX(DanhMuc!$E$154:$E$165,MATCH(MID($B2622,4,2),DanhMuc!$B$154:$B$165,0)),""),"")</f>
        <v/>
      </c>
      <c r="V2622" s="361"/>
      <c r="W2622" s="345"/>
      <c r="X2622" s="329" t="str">
        <f t="shared" si="282"/>
        <v>FI</v>
      </c>
      <c r="Y2622" s="1128" t="s">
        <v>3380</v>
      </c>
      <c r="Z2622" s="1128" t="s">
        <v>3381</v>
      </c>
      <c r="AA2622" s="1128" t="s">
        <v>3384</v>
      </c>
      <c r="AB2622" s="20"/>
      <c r="AC2622" s="73"/>
    </row>
    <row r="2623" spans="1:29">
      <c r="A2623" s="327" t="str">
        <f>IF(AND($B2623&lt;&gt;"",$C2623&lt;&gt;""),MAX($A$1556:A2599)+1,"")</f>
        <v/>
      </c>
      <c r="B2623" s="361" t="s">
        <v>3164</v>
      </c>
      <c r="C2623" s="360"/>
      <c r="D2623" s="327">
        <f>IF($B2623="","",COUNTIF($B$6:$B2623,$B2623))</f>
        <v>13</v>
      </c>
      <c r="E2623" s="361" t="s">
        <v>163</v>
      </c>
      <c r="F2623" s="362" t="s">
        <v>164</v>
      </c>
      <c r="G2623" s="327" t="s">
        <v>155</v>
      </c>
      <c r="H2623" s="327"/>
      <c r="I2623" s="327">
        <v>2</v>
      </c>
      <c r="J2623" s="345"/>
      <c r="K2623" s="327"/>
      <c r="L2623" s="389">
        <v>2500</v>
      </c>
      <c r="M2623" s="371"/>
      <c r="N2623" s="355" t="str">
        <f t="shared" si="273"/>
        <v>PK</v>
      </c>
      <c r="O2623" s="345"/>
      <c r="P2623" s="392"/>
      <c r="Q2623" s="327"/>
      <c r="R2623" s="351"/>
      <c r="S2623" s="351"/>
      <c r="T2623" s="351"/>
      <c r="U2623" s="329" t="str">
        <f>IF($N2623=$N$4,IFERROR(INDEX(DanhMuc!$E$154:$E$165,MATCH(MID($B2623,4,2),DanhMuc!$B$154:$B$165,0)),""),"")</f>
        <v/>
      </c>
      <c r="V2623" s="361"/>
      <c r="W2623" s="345"/>
      <c r="X2623" s="329" t="str">
        <f t="shared" si="282"/>
        <v>FI</v>
      </c>
      <c r="Y2623" s="1128" t="s">
        <v>3380</v>
      </c>
      <c r="Z2623" s="1128" t="s">
        <v>3381</v>
      </c>
      <c r="AA2623" s="1128" t="s">
        <v>3384</v>
      </c>
      <c r="AB2623" s="20"/>
      <c r="AC2623" s="73"/>
    </row>
    <row r="2624" spans="1:29">
      <c r="A2624" s="327" t="str">
        <f>IF(AND($B2624&lt;&gt;"",$C2624&lt;&gt;""),MAX($A$1556:A2603)+1,"")</f>
        <v/>
      </c>
      <c r="B2624" s="361" t="s">
        <v>3164</v>
      </c>
      <c r="C2624" s="360"/>
      <c r="D2624" s="327">
        <f>IF($B2624="","",COUNTIF($B$6:$B2624,$B2624))</f>
        <v>14</v>
      </c>
      <c r="E2624" s="361" t="s">
        <v>165</v>
      </c>
      <c r="F2624" s="362" t="s">
        <v>166</v>
      </c>
      <c r="G2624" s="327" t="s">
        <v>155</v>
      </c>
      <c r="H2624" s="327"/>
      <c r="I2624" s="327">
        <v>2</v>
      </c>
      <c r="J2624" s="359"/>
      <c r="K2624" s="327"/>
      <c r="L2624" s="389">
        <v>1700</v>
      </c>
      <c r="M2624" s="371"/>
      <c r="N2624" s="355" t="str">
        <f t="shared" si="273"/>
        <v>PK</v>
      </c>
      <c r="O2624" s="345"/>
      <c r="P2624" s="392"/>
      <c r="Q2624" s="327"/>
      <c r="R2624" s="351"/>
      <c r="S2624" s="351"/>
      <c r="T2624" s="351"/>
      <c r="U2624" s="329" t="str">
        <f>IF($N2624=$N$4,IFERROR(INDEX(DanhMuc!$E$154:$E$165,MATCH(MID($B2624,4,2),DanhMuc!$B$154:$B$165,0)),""),"")</f>
        <v/>
      </c>
      <c r="V2624" s="361"/>
      <c r="W2624" s="345"/>
      <c r="X2624" s="329" t="str">
        <f t="shared" si="282"/>
        <v>FI</v>
      </c>
      <c r="Y2624" s="1128" t="s">
        <v>3380</v>
      </c>
      <c r="Z2624" s="1128" t="s">
        <v>3381</v>
      </c>
      <c r="AA2624" s="1128" t="s">
        <v>3384</v>
      </c>
      <c r="AB2624" s="20"/>
      <c r="AC2624" s="73"/>
    </row>
    <row r="2625" spans="1:29">
      <c r="A2625" s="327" t="str">
        <f>IF(AND($B2625&lt;&gt;"",$C2625&lt;&gt;""),MAX($A$1556:A2624)+1,"")</f>
        <v/>
      </c>
      <c r="B2625" s="361" t="s">
        <v>3164</v>
      </c>
      <c r="C2625" s="360"/>
      <c r="D2625" s="327">
        <f>IF($B2625="","",COUNTIF($B$6:$B2625,$B2625))</f>
        <v>15</v>
      </c>
      <c r="E2625" s="361" t="s">
        <v>167</v>
      </c>
      <c r="F2625" s="362" t="s">
        <v>168</v>
      </c>
      <c r="G2625" s="327" t="s">
        <v>155</v>
      </c>
      <c r="H2625" s="327"/>
      <c r="I2625" s="327">
        <v>2</v>
      </c>
      <c r="J2625" s="359"/>
      <c r="K2625" s="327"/>
      <c r="L2625" s="389">
        <v>1700</v>
      </c>
      <c r="M2625" s="371"/>
      <c r="N2625" s="355" t="str">
        <f t="shared" si="273"/>
        <v>PK</v>
      </c>
      <c r="O2625" s="345"/>
      <c r="P2625" s="392"/>
      <c r="Q2625" s="327"/>
      <c r="R2625" s="351"/>
      <c r="S2625" s="351"/>
      <c r="T2625" s="351"/>
      <c r="U2625" s="329" t="str">
        <f>IF($N2625=$N$4,IFERROR(INDEX(DanhMuc!$E$154:$E$165,MATCH(MID($B2625,4,2),DanhMuc!$B$154:$B$165,0)),""),"")</f>
        <v/>
      </c>
      <c r="V2625" s="361"/>
      <c r="W2625" s="345"/>
      <c r="X2625" s="329" t="str">
        <f t="shared" si="282"/>
        <v>FI</v>
      </c>
      <c r="Y2625" s="1128" t="s">
        <v>3380</v>
      </c>
      <c r="Z2625" s="1128" t="s">
        <v>3381</v>
      </c>
      <c r="AA2625" s="1128" t="s">
        <v>3384</v>
      </c>
      <c r="AB2625" s="20"/>
      <c r="AC2625" s="73"/>
    </row>
    <row r="2626" spans="1:29">
      <c r="A2626" s="327" t="str">
        <f>IF(AND($B2626&lt;&gt;"",$C2626&lt;&gt;""),MAX($A$1556:A2625)+1,"")</f>
        <v/>
      </c>
      <c r="B2626" s="361" t="s">
        <v>3164</v>
      </c>
      <c r="C2626" s="360"/>
      <c r="D2626" s="327">
        <f>IF($B2626="","",COUNTIF($B$6:$B2626,$B2626))</f>
        <v>16</v>
      </c>
      <c r="E2626" s="361" t="s">
        <v>169</v>
      </c>
      <c r="F2626" s="362" t="s">
        <v>170</v>
      </c>
      <c r="G2626" s="327" t="s">
        <v>155</v>
      </c>
      <c r="H2626" s="327"/>
      <c r="I2626" s="327">
        <v>2</v>
      </c>
      <c r="J2626" s="359"/>
      <c r="K2626" s="327"/>
      <c r="L2626" s="389">
        <v>1700</v>
      </c>
      <c r="M2626" s="371"/>
      <c r="N2626" s="355" t="str">
        <f t="shared" si="273"/>
        <v>PK</v>
      </c>
      <c r="O2626" s="345"/>
      <c r="P2626" s="392"/>
      <c r="Q2626" s="327"/>
      <c r="R2626" s="351"/>
      <c r="S2626" s="351"/>
      <c r="T2626" s="351"/>
      <c r="U2626" s="329" t="str">
        <f>IF($N2626=$N$4,IFERROR(INDEX(DanhMuc!$E$154:$E$165,MATCH(MID($B2626,4,2),DanhMuc!$B$154:$B$165,0)),""),"")</f>
        <v/>
      </c>
      <c r="V2626" s="361"/>
      <c r="W2626" s="345"/>
      <c r="X2626" s="329" t="str">
        <f t="shared" si="282"/>
        <v>FI</v>
      </c>
      <c r="Y2626" s="1128" t="s">
        <v>3380</v>
      </c>
      <c r="Z2626" s="1128" t="s">
        <v>3381</v>
      </c>
      <c r="AA2626" s="1128" t="s">
        <v>3384</v>
      </c>
      <c r="AB2626" s="20"/>
      <c r="AC2626" s="73"/>
    </row>
    <row r="2627" spans="1:29">
      <c r="A2627" s="327" t="str">
        <f>IF(AND($B2627&lt;&gt;"",$C2627&lt;&gt;""),MAX($A$1556:A2626)+1,"")</f>
        <v/>
      </c>
      <c r="B2627" s="361" t="s">
        <v>3164</v>
      </c>
      <c r="C2627" s="360"/>
      <c r="D2627" s="327">
        <f>IF($B2627="","",COUNTIF($B$6:$B2627,$B2627))</f>
        <v>17</v>
      </c>
      <c r="E2627" s="361" t="s">
        <v>171</v>
      </c>
      <c r="F2627" s="362" t="s">
        <v>291</v>
      </c>
      <c r="G2627" s="327" t="s">
        <v>155</v>
      </c>
      <c r="H2627" s="327"/>
      <c r="I2627" s="327">
        <v>2</v>
      </c>
      <c r="J2627" s="345"/>
      <c r="K2627" s="327"/>
      <c r="L2627" s="389">
        <v>1700</v>
      </c>
      <c r="M2627" s="371"/>
      <c r="N2627" s="355" t="str">
        <f t="shared" si="273"/>
        <v>PK</v>
      </c>
      <c r="O2627" s="345"/>
      <c r="P2627" s="392"/>
      <c r="Q2627" s="327"/>
      <c r="R2627" s="351"/>
      <c r="S2627" s="351"/>
      <c r="T2627" s="351"/>
      <c r="U2627" s="329" t="str">
        <f>IF($N2627=$N$4,IFERROR(INDEX(DanhMuc!$E$154:$E$165,MATCH(MID($B2627,4,2),DanhMuc!$B$154:$B$165,0)),""),"")</f>
        <v/>
      </c>
      <c r="V2627" s="361"/>
      <c r="W2627" s="345"/>
      <c r="X2627" s="329" t="str">
        <f t="shared" si="282"/>
        <v>FI</v>
      </c>
      <c r="Y2627" s="1128" t="s">
        <v>3380</v>
      </c>
      <c r="Z2627" s="1128" t="s">
        <v>3381</v>
      </c>
      <c r="AA2627" s="1128" t="s">
        <v>3384</v>
      </c>
      <c r="AB2627" s="20"/>
      <c r="AC2627" s="73"/>
    </row>
    <row r="2628" spans="1:29">
      <c r="A2628" s="327" t="str">
        <f>IF(AND($B2628&lt;&gt;"",$C2628&lt;&gt;""),MAX($A$1556:A2627)+1,"")</f>
        <v/>
      </c>
      <c r="B2628" s="361" t="s">
        <v>3164</v>
      </c>
      <c r="C2628" s="360"/>
      <c r="D2628" s="327">
        <f>IF($B2628="","",COUNTIF($B$6:$B2628,$B2628))</f>
        <v>18</v>
      </c>
      <c r="E2628" s="361" t="s">
        <v>2163</v>
      </c>
      <c r="F2628" s="362" t="s">
        <v>1930</v>
      </c>
      <c r="G2628" s="327" t="s">
        <v>155</v>
      </c>
      <c r="H2628" s="327" t="s">
        <v>536</v>
      </c>
      <c r="I2628" s="327">
        <v>4</v>
      </c>
      <c r="J2628" s="361"/>
      <c r="K2628" s="327"/>
      <c r="L2628" s="389">
        <v>13000</v>
      </c>
      <c r="M2628" s="371"/>
      <c r="N2628" s="355" t="str">
        <f t="shared" si="273"/>
        <v>PK</v>
      </c>
      <c r="O2628" s="345" t="s">
        <v>1705</v>
      </c>
      <c r="P2628" s="392"/>
      <c r="Q2628" s="327"/>
      <c r="R2628" s="351"/>
      <c r="S2628" s="351"/>
      <c r="T2628" s="351"/>
      <c r="U2628" s="329" t="str">
        <f>IF($N2628=$N$4,IFERROR(INDEX(DanhMuc!$E$154:$E$165,MATCH(MID($B2628,4,2),DanhMuc!$B$154:$B$165,0)),""),"")</f>
        <v/>
      </c>
      <c r="V2628" s="361"/>
      <c r="W2628" s="345"/>
      <c r="X2628" s="329" t="str">
        <f t="shared" si="282"/>
        <v>FI</v>
      </c>
      <c r="Y2628" s="1128" t="s">
        <v>3380</v>
      </c>
      <c r="Z2628" s="1128" t="s">
        <v>3381</v>
      </c>
      <c r="AA2628" s="1128" t="s">
        <v>3384</v>
      </c>
      <c r="AB2628" s="20"/>
      <c r="AC2628" s="73"/>
    </row>
    <row r="2629" spans="1:29">
      <c r="A2629" s="327" t="str">
        <f>IF(AND($B2629&lt;&gt;"",$C2629&lt;&gt;""),MAX($A$1556:A2628)+1,"")</f>
        <v/>
      </c>
      <c r="B2629" s="361" t="s">
        <v>3164</v>
      </c>
      <c r="C2629" s="360"/>
      <c r="D2629" s="327">
        <f>IF($B2629="","",COUNTIF($B$6:$B2629,$B2629))</f>
        <v>19</v>
      </c>
      <c r="E2629" s="361" t="s">
        <v>2128</v>
      </c>
      <c r="F2629" s="362" t="s">
        <v>186</v>
      </c>
      <c r="G2629" s="327" t="s">
        <v>155</v>
      </c>
      <c r="H2629" s="327" t="s">
        <v>536</v>
      </c>
      <c r="I2629" s="327">
        <v>4</v>
      </c>
      <c r="J2629" s="361"/>
      <c r="K2629" s="327"/>
      <c r="L2629" s="389">
        <v>38000</v>
      </c>
      <c r="M2629" s="371"/>
      <c r="N2629" s="355" t="str">
        <f t="shared" si="273"/>
        <v>PK</v>
      </c>
      <c r="O2629" s="345" t="s">
        <v>1704</v>
      </c>
      <c r="P2629" s="392"/>
      <c r="Q2629" s="327"/>
      <c r="R2629" s="351"/>
      <c r="S2629" s="351"/>
      <c r="T2629" s="351"/>
      <c r="U2629" s="329" t="str">
        <f>IF($N2629=$N$4,IFERROR(INDEX(DanhMuc!$E$154:$E$165,MATCH(MID($B2629,4,2),DanhMuc!$B$154:$B$165,0)),""),"")</f>
        <v/>
      </c>
      <c r="V2629" s="361"/>
      <c r="W2629" s="345"/>
      <c r="X2629" s="329" t="str">
        <f t="shared" si="282"/>
        <v>FI</v>
      </c>
      <c r="Y2629" s="1128" t="s">
        <v>3380</v>
      </c>
      <c r="Z2629" s="1128" t="s">
        <v>3381</v>
      </c>
      <c r="AA2629" s="1128" t="s">
        <v>3384</v>
      </c>
      <c r="AB2629" s="20"/>
      <c r="AC2629" s="73"/>
    </row>
    <row r="2630" spans="1:29" ht="39">
      <c r="A2630" s="327">
        <f>IF(AND($B2630&lt;&gt;"",$C2630&lt;&gt;""),MAX($A$1556:A2507)+1,"")</f>
        <v>136</v>
      </c>
      <c r="B2630" s="359" t="s">
        <v>2162</v>
      </c>
      <c r="C2630" s="360" t="s">
        <v>2220</v>
      </c>
      <c r="D2630" s="327">
        <f>IF($B2630="","",COUNTIF($B$6:$B2630,$B2630))</f>
        <v>1</v>
      </c>
      <c r="E2630" s="361" t="s">
        <v>2232</v>
      </c>
      <c r="F2630" s="362" t="s">
        <v>2127</v>
      </c>
      <c r="G2630" s="327" t="s">
        <v>155</v>
      </c>
      <c r="H2630" s="327"/>
      <c r="I2630" s="327">
        <v>2</v>
      </c>
      <c r="J2630" s="345"/>
      <c r="K2630" s="327"/>
      <c r="L2630" s="389">
        <v>35500</v>
      </c>
      <c r="M2630" s="371"/>
      <c r="N2630" s="355" t="str">
        <f t="shared" si="273"/>
        <v>PK</v>
      </c>
      <c r="O2630" s="404" t="s">
        <v>1782</v>
      </c>
      <c r="P2630" s="392"/>
      <c r="Q2630" s="327"/>
      <c r="R2630" s="351"/>
      <c r="S2630" s="351"/>
      <c r="T2630" s="351"/>
      <c r="U2630" s="329" t="str">
        <f>IF($N2630=$N$4,IFERROR(INDEX(DanhMuc!$E$154:$E$165,MATCH(MID($B2630,4,2),DanhMuc!$B$154:$B$165,0)),""),"")</f>
        <v/>
      </c>
      <c r="V2630" s="361"/>
      <c r="W2630" s="345"/>
      <c r="X2630" s="329" t="str">
        <f t="shared" si="282"/>
        <v>KL</v>
      </c>
      <c r="Y2630" s="1128" t="s">
        <v>3380</v>
      </c>
      <c r="Z2630" s="1128" t="s">
        <v>3381</v>
      </c>
      <c r="AA2630" s="1128" t="s">
        <v>3384</v>
      </c>
      <c r="AB2630" s="20"/>
      <c r="AC2630" s="73"/>
    </row>
    <row r="2631" spans="1:29">
      <c r="A2631" s="327" t="str">
        <f>IF(AND($B2631&lt;&gt;"",$C2631&lt;&gt;""),MAX($A$1556:A2508)+1,"")</f>
        <v/>
      </c>
      <c r="B2631" s="361" t="s">
        <v>2162</v>
      </c>
      <c r="C2631" s="360"/>
      <c r="D2631" s="327">
        <f>IF($B2631="","",COUNTIF($B$6:$B2631,$B2631))</f>
        <v>2</v>
      </c>
      <c r="E2631" s="361" t="s">
        <v>2125</v>
      </c>
      <c r="F2631" s="362" t="s">
        <v>2126</v>
      </c>
      <c r="G2631" s="327" t="s">
        <v>155</v>
      </c>
      <c r="H2631" s="327"/>
      <c r="I2631" s="327">
        <v>2</v>
      </c>
      <c r="J2631" s="345"/>
      <c r="K2631" s="327"/>
      <c r="L2631" s="389">
        <v>5000</v>
      </c>
      <c r="M2631" s="371"/>
      <c r="N2631" s="355" t="str">
        <f t="shared" si="273"/>
        <v>PK</v>
      </c>
      <c r="O2631" s="404" t="s">
        <v>1782</v>
      </c>
      <c r="P2631" s="392"/>
      <c r="Q2631" s="327"/>
      <c r="R2631" s="351"/>
      <c r="S2631" s="351"/>
      <c r="T2631" s="351"/>
      <c r="U2631" s="329" t="str">
        <f>IF($N2631=$N$4,IFERROR(INDEX(DanhMuc!$E$154:$E$165,MATCH(MID($B2631,4,2),DanhMuc!$B$154:$B$165,0)),""),"")</f>
        <v/>
      </c>
      <c r="V2631" s="361"/>
      <c r="W2631" s="345"/>
      <c r="X2631" s="329" t="str">
        <f t="shared" si="282"/>
        <v>KL</v>
      </c>
      <c r="Y2631" s="1128" t="s">
        <v>3380</v>
      </c>
      <c r="Z2631" s="1128" t="s">
        <v>3381</v>
      </c>
      <c r="AA2631" s="1128" t="s">
        <v>3384</v>
      </c>
      <c r="AB2631" s="20"/>
      <c r="AC2631" s="73"/>
    </row>
    <row r="2632" spans="1:29">
      <c r="A2632" s="327" t="str">
        <f>IF(AND($B2632&lt;&gt;"",$C2632&lt;&gt;""),MAX($A$1556:A2526)+1,"")</f>
        <v/>
      </c>
      <c r="B2632" s="361" t="s">
        <v>2162</v>
      </c>
      <c r="C2632" s="360"/>
      <c r="D2632" s="327">
        <f>IF($B2632="","",COUNTIF($B$6:$B2632,$B2632))</f>
        <v>3</v>
      </c>
      <c r="E2632" s="361" t="s">
        <v>2235</v>
      </c>
      <c r="F2632" s="362" t="s">
        <v>2970</v>
      </c>
      <c r="G2632" s="327" t="s">
        <v>344</v>
      </c>
      <c r="H2632" s="327"/>
      <c r="I2632" s="327">
        <v>2</v>
      </c>
      <c r="J2632" s="345"/>
      <c r="K2632" s="327"/>
      <c r="L2632" s="389">
        <f>28000-L2634</f>
        <v>27999</v>
      </c>
      <c r="M2632" s="371"/>
      <c r="N2632" s="355" t="str">
        <f t="shared" si="273"/>
        <v>PK</v>
      </c>
      <c r="O2632" s="404" t="s">
        <v>1971</v>
      </c>
      <c r="P2632" s="392"/>
      <c r="Q2632" s="327"/>
      <c r="R2632" s="351"/>
      <c r="S2632" s="351"/>
      <c r="T2632" s="351"/>
      <c r="U2632" s="329" t="str">
        <f>IF($N2632=$N$4,IFERROR(INDEX(DanhMuc!$E$154:$E$165,MATCH(MID($B2632,4,2),DanhMuc!$B$154:$B$165,0)),""),"")</f>
        <v/>
      </c>
      <c r="V2632" s="361"/>
      <c r="W2632" s="345"/>
      <c r="X2632" s="329" t="str">
        <f t="shared" si="282"/>
        <v>KL</v>
      </c>
      <c r="Y2632" s="1128" t="s">
        <v>3380</v>
      </c>
      <c r="Z2632" s="1128" t="s">
        <v>3381</v>
      </c>
      <c r="AA2632" s="1128" t="s">
        <v>3384</v>
      </c>
      <c r="AB2632" s="20"/>
      <c r="AC2632" s="73"/>
    </row>
    <row r="2633" spans="1:29">
      <c r="A2633" s="327" t="str">
        <f>IF(AND($B2633&lt;&gt;"",$C2633&lt;&gt;""),MAX($A$1556:A2527)+1,"")</f>
        <v/>
      </c>
      <c r="B2633" s="361" t="s">
        <v>2162</v>
      </c>
      <c r="C2633" s="360"/>
      <c r="D2633" s="327">
        <f>IF($B2633="","",COUNTIF($B$6:$B2633,$B2633))</f>
        <v>4</v>
      </c>
      <c r="E2633" s="361" t="s">
        <v>2235</v>
      </c>
      <c r="F2633" s="362" t="s">
        <v>2971</v>
      </c>
      <c r="G2633" s="327" t="s">
        <v>344</v>
      </c>
      <c r="H2633" s="327"/>
      <c r="I2633" s="327">
        <v>2</v>
      </c>
      <c r="J2633" s="345"/>
      <c r="K2633" s="327"/>
      <c r="L2633" s="389">
        <f>+L2632</f>
        <v>27999</v>
      </c>
      <c r="M2633" s="371"/>
      <c r="N2633" s="355" t="str">
        <f t="shared" si="273"/>
        <v>PK</v>
      </c>
      <c r="O2633" s="404" t="s">
        <v>1972</v>
      </c>
      <c r="P2633" s="392"/>
      <c r="Q2633" s="327"/>
      <c r="R2633" s="351"/>
      <c r="S2633" s="351"/>
      <c r="T2633" s="351"/>
      <c r="U2633" s="329" t="str">
        <f>IF($N2633=$N$4,IFERROR(INDEX(DanhMuc!$E$154:$E$165,MATCH(MID($B2633,4,2),DanhMuc!$B$154:$B$165,0)),""),"")</f>
        <v/>
      </c>
      <c r="V2633" s="361"/>
      <c r="W2633" s="345"/>
      <c r="X2633" s="329" t="str">
        <f t="shared" si="282"/>
        <v>KL</v>
      </c>
      <c r="Y2633" s="1128" t="s">
        <v>3380</v>
      </c>
      <c r="Z2633" s="1128" t="s">
        <v>3381</v>
      </c>
      <c r="AA2633" s="1128" t="s">
        <v>3384</v>
      </c>
      <c r="AB2633" s="20"/>
      <c r="AC2633" s="73"/>
    </row>
    <row r="2634" spans="1:29">
      <c r="A2634" s="327" t="str">
        <f>IF(AND($B2634&lt;&gt;"",$C2634&lt;&gt;""),MAX($A$1556:A2527)+1,"")</f>
        <v/>
      </c>
      <c r="B2634" s="361" t="s">
        <v>2162</v>
      </c>
      <c r="C2634" s="360"/>
      <c r="D2634" s="327">
        <f>IF($B2634="","",COUNTIF($B$6:$B2634,$B2634))</f>
        <v>5</v>
      </c>
      <c r="E2634" s="361" t="s">
        <v>2236</v>
      </c>
      <c r="F2634" s="362" t="s">
        <v>1970</v>
      </c>
      <c r="G2634" s="327" t="s">
        <v>155</v>
      </c>
      <c r="H2634" s="327" t="s">
        <v>536</v>
      </c>
      <c r="I2634" s="327">
        <v>2</v>
      </c>
      <c r="J2634" s="345"/>
      <c r="K2634" s="327"/>
      <c r="L2634" s="389">
        <v>1</v>
      </c>
      <c r="M2634" s="371"/>
      <c r="N2634" s="355" t="str">
        <f t="shared" si="273"/>
        <v>PK</v>
      </c>
      <c r="O2634" s="404" t="s">
        <v>1780</v>
      </c>
      <c r="P2634" s="392"/>
      <c r="Q2634" s="327"/>
      <c r="R2634" s="351"/>
      <c r="S2634" s="351"/>
      <c r="T2634" s="351"/>
      <c r="U2634" s="329" t="str">
        <f>IF($N2634=$N$4,IFERROR(INDEX(DanhMuc!$E$154:$E$165,MATCH(MID($B2634,4,2),DanhMuc!$B$154:$B$165,0)),""),"")</f>
        <v/>
      </c>
      <c r="V2634" s="361"/>
      <c r="W2634" s="345"/>
      <c r="X2634" s="329" t="str">
        <f t="shared" si="282"/>
        <v>KL</v>
      </c>
      <c r="Y2634" s="1128" t="s">
        <v>3380</v>
      </c>
      <c r="Z2634" s="1128" t="s">
        <v>3381</v>
      </c>
      <c r="AA2634" s="1128" t="s">
        <v>3384</v>
      </c>
      <c r="AB2634" s="20"/>
      <c r="AC2634" s="73"/>
    </row>
    <row r="2635" spans="1:29">
      <c r="A2635" s="327" t="str">
        <f>IF(AND($B2635&lt;&gt;"",$C2635&lt;&gt;""),MAX($A$1556:A2508)+1,"")</f>
        <v/>
      </c>
      <c r="B2635" s="361" t="s">
        <v>2162</v>
      </c>
      <c r="C2635" s="360"/>
      <c r="D2635" s="327">
        <f>IF($B2635="","",COUNTIF($B$6:$B2635,$B2635))</f>
        <v>6</v>
      </c>
      <c r="E2635" s="361" t="s">
        <v>2139</v>
      </c>
      <c r="F2635" s="362" t="s">
        <v>2137</v>
      </c>
      <c r="G2635" s="327" t="s">
        <v>155</v>
      </c>
      <c r="H2635" s="327"/>
      <c r="I2635" s="327">
        <v>1</v>
      </c>
      <c r="J2635" s="345"/>
      <c r="K2635" s="327"/>
      <c r="L2635" s="389">
        <v>70323</v>
      </c>
      <c r="M2635" s="371"/>
      <c r="N2635" s="355" t="str">
        <f t="shared" si="273"/>
        <v>PK</v>
      </c>
      <c r="O2635" s="404" t="s">
        <v>1789</v>
      </c>
      <c r="P2635" s="392"/>
      <c r="Q2635" s="327"/>
      <c r="R2635" s="351"/>
      <c r="S2635" s="351"/>
      <c r="T2635" s="351"/>
      <c r="U2635" s="329" t="str">
        <f>IF($N2635=$N$4,IFERROR(INDEX(DanhMuc!$E$154:$E$165,MATCH(MID($B2635,4,2),DanhMuc!$B$154:$B$165,0)),""),"")</f>
        <v/>
      </c>
      <c r="V2635" s="361"/>
      <c r="W2635" s="345"/>
      <c r="X2635" s="329" t="str">
        <f t="shared" si="282"/>
        <v>KL</v>
      </c>
      <c r="Y2635" s="1128" t="s">
        <v>3380</v>
      </c>
      <c r="Z2635" s="1128" t="s">
        <v>3381</v>
      </c>
      <c r="AA2635" s="1128" t="s">
        <v>3384</v>
      </c>
      <c r="AB2635" s="20"/>
      <c r="AC2635" s="73"/>
    </row>
    <row r="2636" spans="1:29">
      <c r="A2636" s="327" t="str">
        <f>IF(AND($B2636&lt;&gt;"",$C2636&lt;&gt;""),MAX($A$1556:A2508)+1,"")</f>
        <v/>
      </c>
      <c r="B2636" s="361" t="s">
        <v>2162</v>
      </c>
      <c r="C2636" s="360"/>
      <c r="D2636" s="327">
        <f>IF($B2636="","",COUNTIF($B$6:$B2636,$B2636))</f>
        <v>7</v>
      </c>
      <c r="E2636" s="361" t="s">
        <v>2140</v>
      </c>
      <c r="F2636" s="362" t="s">
        <v>2138</v>
      </c>
      <c r="G2636" s="327" t="s">
        <v>155</v>
      </c>
      <c r="H2636" s="327"/>
      <c r="I2636" s="327">
        <v>1</v>
      </c>
      <c r="J2636" s="345"/>
      <c r="K2636" s="327"/>
      <c r="L2636" s="389">
        <v>70323</v>
      </c>
      <c r="M2636" s="371"/>
      <c r="N2636" s="355" t="str">
        <f t="shared" si="273"/>
        <v>PK</v>
      </c>
      <c r="O2636" s="404" t="s">
        <v>1790</v>
      </c>
      <c r="P2636" s="392"/>
      <c r="Q2636" s="327"/>
      <c r="R2636" s="351"/>
      <c r="S2636" s="351"/>
      <c r="T2636" s="351"/>
      <c r="U2636" s="329" t="str">
        <f>IF($N2636=$N$4,IFERROR(INDEX(DanhMuc!$E$154:$E$165,MATCH(MID($B2636,4,2),DanhMuc!$B$154:$B$165,0)),""),"")</f>
        <v/>
      </c>
      <c r="V2636" s="361"/>
      <c r="W2636" s="345"/>
      <c r="X2636" s="329" t="str">
        <f t="shared" si="282"/>
        <v>KL</v>
      </c>
      <c r="Y2636" s="1128" t="s">
        <v>3380</v>
      </c>
      <c r="Z2636" s="1128" t="s">
        <v>3381</v>
      </c>
      <c r="AA2636" s="1128" t="s">
        <v>3384</v>
      </c>
      <c r="AB2636" s="20"/>
      <c r="AC2636" s="73"/>
    </row>
    <row r="2637" spans="1:29">
      <c r="A2637" s="327" t="str">
        <f>IF(AND($B2637&lt;&gt;"",$C2637&lt;&gt;""),MAX($A$1556:A2508)+1,"")</f>
        <v/>
      </c>
      <c r="B2637" s="361" t="s">
        <v>2162</v>
      </c>
      <c r="C2637" s="360"/>
      <c r="D2637" s="327">
        <f>IF($B2637="","",COUNTIF($B$6:$B2637,$B2637))</f>
        <v>8</v>
      </c>
      <c r="E2637" s="361" t="s">
        <v>2133</v>
      </c>
      <c r="F2637" s="362" t="s">
        <v>2134</v>
      </c>
      <c r="G2637" s="327" t="s">
        <v>155</v>
      </c>
      <c r="H2637" s="327" t="s">
        <v>536</v>
      </c>
      <c r="I2637" s="327">
        <v>2</v>
      </c>
      <c r="J2637" s="345"/>
      <c r="K2637" s="327"/>
      <c r="L2637" s="389">
        <v>5000</v>
      </c>
      <c r="M2637" s="371"/>
      <c r="N2637" s="355" t="str">
        <f t="shared" si="273"/>
        <v>PK</v>
      </c>
      <c r="O2637" s="404" t="s">
        <v>1782</v>
      </c>
      <c r="P2637" s="392"/>
      <c r="Q2637" s="327"/>
      <c r="R2637" s="351"/>
      <c r="S2637" s="351"/>
      <c r="T2637" s="351"/>
      <c r="U2637" s="329" t="str">
        <f>IF($N2637=$N$4,IFERROR(INDEX(DanhMuc!$E$154:$E$165,MATCH(MID($B2637,4,2),DanhMuc!$B$154:$B$165,0)),""),"")</f>
        <v/>
      </c>
      <c r="V2637" s="361"/>
      <c r="W2637" s="345"/>
      <c r="X2637" s="329" t="str">
        <f t="shared" si="282"/>
        <v>KL</v>
      </c>
      <c r="Y2637" s="1128" t="s">
        <v>3380</v>
      </c>
      <c r="Z2637" s="1128" t="s">
        <v>3381</v>
      </c>
      <c r="AA2637" s="1128" t="s">
        <v>3384</v>
      </c>
      <c r="AB2637" s="20"/>
      <c r="AC2637" s="73"/>
    </row>
    <row r="2638" spans="1:29">
      <c r="A2638" s="327" t="str">
        <f>IF(AND($B2638&lt;&gt;"",$C2638&lt;&gt;""),MAX($A$1556:A2508)+1,"")</f>
        <v/>
      </c>
      <c r="B2638" s="361" t="s">
        <v>2162</v>
      </c>
      <c r="C2638" s="360"/>
      <c r="D2638" s="327">
        <f>IF($B2638="","",COUNTIF($B$6:$B2638,$B2638))</f>
        <v>9</v>
      </c>
      <c r="E2638" s="361" t="s">
        <v>2131</v>
      </c>
      <c r="F2638" s="362" t="s">
        <v>2130</v>
      </c>
      <c r="G2638" s="327" t="s">
        <v>155</v>
      </c>
      <c r="H2638" s="327" t="s">
        <v>536</v>
      </c>
      <c r="I2638" s="411" t="s">
        <v>2136</v>
      </c>
      <c r="J2638" s="359"/>
      <c r="K2638" s="327"/>
      <c r="L2638" s="389">
        <v>38000</v>
      </c>
      <c r="M2638" s="371"/>
      <c r="N2638" s="355" t="str">
        <f t="shared" si="273"/>
        <v>PK</v>
      </c>
      <c r="O2638" s="404" t="s">
        <v>1782</v>
      </c>
      <c r="P2638" s="392"/>
      <c r="Q2638" s="327"/>
      <c r="R2638" s="351"/>
      <c r="S2638" s="351"/>
      <c r="T2638" s="351"/>
      <c r="U2638" s="329" t="str">
        <f>IF($N2638=$N$4,IFERROR(INDEX(DanhMuc!$E$154:$E$165,MATCH(MID($B2638,4,2),DanhMuc!$B$154:$B$165,0)),""),"")</f>
        <v/>
      </c>
      <c r="V2638" s="361"/>
      <c r="W2638" s="345"/>
      <c r="X2638" s="329" t="str">
        <f t="shared" si="282"/>
        <v>KL</v>
      </c>
      <c r="Y2638" s="1128" t="s">
        <v>3380</v>
      </c>
      <c r="Z2638" s="1128" t="s">
        <v>3381</v>
      </c>
      <c r="AA2638" s="1128" t="s">
        <v>3384</v>
      </c>
      <c r="AB2638" s="20"/>
      <c r="AC2638" s="73"/>
    </row>
    <row r="2639" spans="1:29">
      <c r="A2639" s="327" t="str">
        <f>IF(AND($B2639&lt;&gt;"",$C2639&lt;&gt;""),MAX($A$1556:A2508)+1,"")</f>
        <v/>
      </c>
      <c r="B2639" s="361" t="s">
        <v>2162</v>
      </c>
      <c r="C2639" s="360"/>
      <c r="D2639" s="327">
        <f>IF($B2639="","",COUNTIF($B$6:$B2639,$B2639))</f>
        <v>10</v>
      </c>
      <c r="E2639" s="361" t="s">
        <v>2129</v>
      </c>
      <c r="F2639" s="362" t="s">
        <v>2130</v>
      </c>
      <c r="G2639" s="327" t="s">
        <v>155</v>
      </c>
      <c r="H2639" s="327" t="s">
        <v>536</v>
      </c>
      <c r="I2639" s="411" t="s">
        <v>1364</v>
      </c>
      <c r="J2639" s="359"/>
      <c r="K2639" s="327"/>
      <c r="L2639" s="389">
        <v>45000</v>
      </c>
      <c r="M2639" s="371"/>
      <c r="N2639" s="355" t="str">
        <f t="shared" si="273"/>
        <v>PK</v>
      </c>
      <c r="O2639" s="404" t="s">
        <v>1782</v>
      </c>
      <c r="P2639" s="392"/>
      <c r="Q2639" s="327"/>
      <c r="R2639" s="351"/>
      <c r="S2639" s="351"/>
      <c r="T2639" s="351"/>
      <c r="U2639" s="329" t="str">
        <f>IF($N2639=$N$4,IFERROR(INDEX(DanhMuc!$E$154:$E$165,MATCH(MID($B2639,4,2),DanhMuc!$B$154:$B$165,0)),""),"")</f>
        <v/>
      </c>
      <c r="V2639" s="361"/>
      <c r="W2639" s="345"/>
      <c r="X2639" s="329" t="str">
        <f t="shared" si="282"/>
        <v>KL</v>
      </c>
      <c r="Y2639" s="1128" t="s">
        <v>3380</v>
      </c>
      <c r="Z2639" s="1128" t="s">
        <v>3381</v>
      </c>
      <c r="AA2639" s="1128" t="s">
        <v>3384</v>
      </c>
      <c r="AB2639" s="20"/>
      <c r="AC2639" s="73"/>
    </row>
    <row r="2640" spans="1:29">
      <c r="A2640" s="327" t="str">
        <f>IF(AND($B2640&lt;&gt;"",$C2640&lt;&gt;""),MAX($A$1556:A2592)+1,"")</f>
        <v/>
      </c>
      <c r="B2640" s="361" t="s">
        <v>2162</v>
      </c>
      <c r="C2640" s="360"/>
      <c r="D2640" s="327">
        <f>IF($B2640="","",COUNTIF($B$6:$B2640,$B2640))</f>
        <v>11</v>
      </c>
      <c r="E2640" s="361" t="s">
        <v>2133</v>
      </c>
      <c r="F2640" s="362" t="s">
        <v>2141</v>
      </c>
      <c r="G2640" s="327" t="s">
        <v>155</v>
      </c>
      <c r="H2640" s="327" t="s">
        <v>536</v>
      </c>
      <c r="I2640" s="327">
        <v>6</v>
      </c>
      <c r="J2640" s="359"/>
      <c r="K2640" s="327"/>
      <c r="L2640" s="389">
        <v>5000</v>
      </c>
      <c r="M2640" s="371"/>
      <c r="N2640" s="355" t="str">
        <f t="shared" si="273"/>
        <v>PK</v>
      </c>
      <c r="O2640" s="404" t="s">
        <v>1782</v>
      </c>
      <c r="P2640" s="392"/>
      <c r="Q2640" s="327"/>
      <c r="R2640" s="351"/>
      <c r="S2640" s="351"/>
      <c r="T2640" s="351"/>
      <c r="U2640" s="329" t="str">
        <f>IF($N2640=$N$4,IFERROR(INDEX(DanhMuc!$E$154:$E$165,MATCH(MID($B2640,4,2),DanhMuc!$B$154:$B$165,0)),""),"")</f>
        <v/>
      </c>
      <c r="V2640" s="361"/>
      <c r="W2640" s="345"/>
      <c r="X2640" s="329" t="str">
        <f t="shared" si="282"/>
        <v>KL</v>
      </c>
      <c r="Y2640" s="1128" t="s">
        <v>3380</v>
      </c>
      <c r="Z2640" s="1128" t="s">
        <v>3381</v>
      </c>
      <c r="AA2640" s="1128" t="s">
        <v>3384</v>
      </c>
      <c r="AB2640" s="20"/>
      <c r="AC2640" s="73"/>
    </row>
    <row r="2641" spans="1:29">
      <c r="A2641" s="327" t="str">
        <f>IF(AND($B2641&lt;&gt;"",$C2641&lt;&gt;""),MAX($A$1556:A2593)+1,"")</f>
        <v/>
      </c>
      <c r="B2641" s="361" t="s">
        <v>2162</v>
      </c>
      <c r="C2641" s="360"/>
      <c r="D2641" s="327">
        <f>IF($B2641="","",COUNTIF($B$6:$B2641,$B2641))</f>
        <v>12</v>
      </c>
      <c r="E2641" s="361" t="s">
        <v>187</v>
      </c>
      <c r="F2641" s="362" t="s">
        <v>189</v>
      </c>
      <c r="G2641" s="327" t="s">
        <v>155</v>
      </c>
      <c r="H2641" s="327"/>
      <c r="I2641" s="327">
        <v>4</v>
      </c>
      <c r="J2641" s="359"/>
      <c r="K2641" s="327"/>
      <c r="L2641" s="389">
        <v>5000</v>
      </c>
      <c r="M2641" s="371"/>
      <c r="N2641" s="355" t="str">
        <f t="shared" si="273"/>
        <v>PK</v>
      </c>
      <c r="O2641" s="345"/>
      <c r="P2641" s="392"/>
      <c r="Q2641" s="327"/>
      <c r="R2641" s="351"/>
      <c r="S2641" s="351"/>
      <c r="T2641" s="351"/>
      <c r="U2641" s="329" t="str">
        <f>IF($N2641=$N$4,IFERROR(INDEX(DanhMuc!$E$154:$E$165,MATCH(MID($B2641,4,2),DanhMuc!$B$154:$B$165,0)),""),"")</f>
        <v/>
      </c>
      <c r="V2641" s="361"/>
      <c r="W2641" s="345"/>
      <c r="X2641" s="329" t="str">
        <f t="shared" si="282"/>
        <v>KL</v>
      </c>
      <c r="Y2641" s="1128" t="s">
        <v>3380</v>
      </c>
      <c r="Z2641" s="1128" t="s">
        <v>3381</v>
      </c>
      <c r="AA2641" s="1128" t="s">
        <v>3384</v>
      </c>
      <c r="AB2641" s="20"/>
      <c r="AC2641" s="73"/>
    </row>
    <row r="2642" spans="1:29">
      <c r="A2642" s="327" t="str">
        <f>IF(AND($B2642&lt;&gt;"",$C2642&lt;&gt;""),MAX($A$1556:A2599)+1,"")</f>
        <v/>
      </c>
      <c r="B2642" s="361" t="s">
        <v>2162</v>
      </c>
      <c r="C2642" s="360"/>
      <c r="D2642" s="327">
        <f>IF($B2642="","",COUNTIF($B$6:$B2642,$B2642))</f>
        <v>13</v>
      </c>
      <c r="E2642" s="361" t="s">
        <v>163</v>
      </c>
      <c r="F2642" s="362" t="s">
        <v>164</v>
      </c>
      <c r="G2642" s="327" t="s">
        <v>155</v>
      </c>
      <c r="H2642" s="327"/>
      <c r="I2642" s="327">
        <v>4</v>
      </c>
      <c r="J2642" s="345"/>
      <c r="K2642" s="327"/>
      <c r="L2642" s="389">
        <v>2500</v>
      </c>
      <c r="M2642" s="371"/>
      <c r="N2642" s="355" t="str">
        <f t="shared" si="273"/>
        <v>PK</v>
      </c>
      <c r="O2642" s="345"/>
      <c r="P2642" s="392"/>
      <c r="Q2642" s="327"/>
      <c r="R2642" s="351"/>
      <c r="S2642" s="351"/>
      <c r="T2642" s="351"/>
      <c r="U2642" s="329" t="str">
        <f>IF($N2642=$N$4,IFERROR(INDEX(DanhMuc!$E$154:$E$165,MATCH(MID($B2642,4,2),DanhMuc!$B$154:$B$165,0)),""),"")</f>
        <v/>
      </c>
      <c r="V2642" s="361"/>
      <c r="W2642" s="345"/>
      <c r="X2642" s="329" t="str">
        <f t="shared" si="282"/>
        <v>KL</v>
      </c>
      <c r="Y2642" s="1128" t="s">
        <v>3380</v>
      </c>
      <c r="Z2642" s="1128" t="s">
        <v>3381</v>
      </c>
      <c r="AA2642" s="1128" t="s">
        <v>3384</v>
      </c>
      <c r="AB2642" s="20"/>
      <c r="AC2642" s="73"/>
    </row>
    <row r="2643" spans="1:29">
      <c r="A2643" s="327" t="str">
        <f>IF(AND($B2643&lt;&gt;"",$C2643&lt;&gt;""),MAX($A$1556:A2603)+1,"")</f>
        <v/>
      </c>
      <c r="B2643" s="361" t="s">
        <v>2162</v>
      </c>
      <c r="C2643" s="360"/>
      <c r="D2643" s="327">
        <f>IF($B2643="","",COUNTIF($B$6:$B2643,$B2643))</f>
        <v>14</v>
      </c>
      <c r="E2643" s="361" t="s">
        <v>165</v>
      </c>
      <c r="F2643" s="362" t="s">
        <v>166</v>
      </c>
      <c r="G2643" s="327" t="s">
        <v>155</v>
      </c>
      <c r="H2643" s="327"/>
      <c r="I2643" s="327">
        <v>4</v>
      </c>
      <c r="J2643" s="359"/>
      <c r="K2643" s="327"/>
      <c r="L2643" s="389">
        <v>1700</v>
      </c>
      <c r="M2643" s="371"/>
      <c r="N2643" s="355" t="str">
        <f t="shared" si="273"/>
        <v>PK</v>
      </c>
      <c r="O2643" s="345"/>
      <c r="P2643" s="392"/>
      <c r="Q2643" s="327"/>
      <c r="R2643" s="351"/>
      <c r="S2643" s="351"/>
      <c r="T2643" s="351"/>
      <c r="U2643" s="329" t="str">
        <f>IF($N2643=$N$4,IFERROR(INDEX(DanhMuc!$E$154:$E$165,MATCH(MID($B2643,4,2),DanhMuc!$B$154:$B$165,0)),""),"")</f>
        <v/>
      </c>
      <c r="V2643" s="361"/>
      <c r="W2643" s="345"/>
      <c r="X2643" s="329" t="str">
        <f t="shared" si="282"/>
        <v>KL</v>
      </c>
      <c r="Y2643" s="1128" t="s">
        <v>3380</v>
      </c>
      <c r="Z2643" s="1128" t="s">
        <v>3381</v>
      </c>
      <c r="AA2643" s="1128" t="s">
        <v>3384</v>
      </c>
      <c r="AB2643" s="20"/>
      <c r="AC2643" s="73"/>
    </row>
    <row r="2644" spans="1:29">
      <c r="A2644" s="327" t="str">
        <f>IF(AND($B2644&lt;&gt;"",$C2644&lt;&gt;""),MAX($A$1556:A2643)+1,"")</f>
        <v/>
      </c>
      <c r="B2644" s="361" t="s">
        <v>2162</v>
      </c>
      <c r="C2644" s="360"/>
      <c r="D2644" s="327">
        <f>IF($B2644="","",COUNTIF($B$6:$B2644,$B2644))</f>
        <v>15</v>
      </c>
      <c r="E2644" s="361" t="s">
        <v>167</v>
      </c>
      <c r="F2644" s="362" t="s">
        <v>168</v>
      </c>
      <c r="G2644" s="327" t="s">
        <v>155</v>
      </c>
      <c r="H2644" s="327"/>
      <c r="I2644" s="327">
        <v>4</v>
      </c>
      <c r="J2644" s="359"/>
      <c r="K2644" s="327"/>
      <c r="L2644" s="389">
        <v>1700</v>
      </c>
      <c r="M2644" s="371"/>
      <c r="N2644" s="355" t="str">
        <f t="shared" si="273"/>
        <v>PK</v>
      </c>
      <c r="O2644" s="345"/>
      <c r="P2644" s="392"/>
      <c r="Q2644" s="327"/>
      <c r="R2644" s="351"/>
      <c r="S2644" s="351"/>
      <c r="T2644" s="351"/>
      <c r="U2644" s="329" t="str">
        <f>IF($N2644=$N$4,IFERROR(INDEX(DanhMuc!$E$154:$E$165,MATCH(MID($B2644,4,2),DanhMuc!$B$154:$B$165,0)),""),"")</f>
        <v/>
      </c>
      <c r="V2644" s="361"/>
      <c r="W2644" s="345"/>
      <c r="X2644" s="329" t="str">
        <f t="shared" si="282"/>
        <v>KL</v>
      </c>
      <c r="Y2644" s="1128" t="s">
        <v>3380</v>
      </c>
      <c r="Z2644" s="1128" t="s">
        <v>3381</v>
      </c>
      <c r="AA2644" s="1128" t="s">
        <v>3384</v>
      </c>
      <c r="AB2644" s="20"/>
      <c r="AC2644" s="73"/>
    </row>
    <row r="2645" spans="1:29">
      <c r="A2645" s="327" t="str">
        <f>IF(AND($B2645&lt;&gt;"",$C2645&lt;&gt;""),MAX($A$1556:A2644)+1,"")</f>
        <v/>
      </c>
      <c r="B2645" s="361" t="s">
        <v>2162</v>
      </c>
      <c r="C2645" s="360"/>
      <c r="D2645" s="327">
        <f>IF($B2645="","",COUNTIF($B$6:$B2645,$B2645))</f>
        <v>16</v>
      </c>
      <c r="E2645" s="361" t="s">
        <v>169</v>
      </c>
      <c r="F2645" s="362" t="s">
        <v>170</v>
      </c>
      <c r="G2645" s="327" t="s">
        <v>155</v>
      </c>
      <c r="H2645" s="327"/>
      <c r="I2645" s="327">
        <v>4</v>
      </c>
      <c r="J2645" s="359"/>
      <c r="K2645" s="327"/>
      <c r="L2645" s="389">
        <v>1700</v>
      </c>
      <c r="M2645" s="371"/>
      <c r="N2645" s="355" t="str">
        <f t="shared" si="273"/>
        <v>PK</v>
      </c>
      <c r="O2645" s="345"/>
      <c r="P2645" s="392"/>
      <c r="Q2645" s="327"/>
      <c r="R2645" s="351"/>
      <c r="S2645" s="351"/>
      <c r="T2645" s="351"/>
      <c r="U2645" s="329" t="str">
        <f>IF($N2645=$N$4,IFERROR(INDEX(DanhMuc!$E$154:$E$165,MATCH(MID($B2645,4,2),DanhMuc!$B$154:$B$165,0)),""),"")</f>
        <v/>
      </c>
      <c r="V2645" s="361"/>
      <c r="W2645" s="345"/>
      <c r="X2645" s="329" t="str">
        <f t="shared" si="282"/>
        <v>KL</v>
      </c>
      <c r="Y2645" s="1128" t="s">
        <v>3380</v>
      </c>
      <c r="Z2645" s="1128" t="s">
        <v>3381</v>
      </c>
      <c r="AA2645" s="1128" t="s">
        <v>3384</v>
      </c>
      <c r="AB2645" s="20"/>
      <c r="AC2645" s="73"/>
    </row>
    <row r="2646" spans="1:29">
      <c r="A2646" s="327" t="str">
        <f>IF(AND($B2646&lt;&gt;"",$C2646&lt;&gt;""),MAX($A$1556:A2645)+1,"")</f>
        <v/>
      </c>
      <c r="B2646" s="361" t="s">
        <v>2162</v>
      </c>
      <c r="C2646" s="360"/>
      <c r="D2646" s="327">
        <f>IF($B2646="","",COUNTIF($B$6:$B2646,$B2646))</f>
        <v>17</v>
      </c>
      <c r="E2646" s="361" t="s">
        <v>171</v>
      </c>
      <c r="F2646" s="362" t="s">
        <v>291</v>
      </c>
      <c r="G2646" s="327" t="s">
        <v>155</v>
      </c>
      <c r="H2646" s="327"/>
      <c r="I2646" s="327">
        <v>4</v>
      </c>
      <c r="J2646" s="345"/>
      <c r="K2646" s="327"/>
      <c r="L2646" s="389">
        <v>1700</v>
      </c>
      <c r="M2646" s="371"/>
      <c r="N2646" s="355" t="str">
        <f t="shared" si="273"/>
        <v>PK</v>
      </c>
      <c r="O2646" s="345"/>
      <c r="P2646" s="392"/>
      <c r="Q2646" s="327"/>
      <c r="R2646" s="351"/>
      <c r="S2646" s="351"/>
      <c r="T2646" s="351"/>
      <c r="U2646" s="329" t="str">
        <f>IF($N2646=$N$4,IFERROR(INDEX(DanhMuc!$E$154:$E$165,MATCH(MID($B2646,4,2),DanhMuc!$B$154:$B$165,0)),""),"")</f>
        <v/>
      </c>
      <c r="V2646" s="361"/>
      <c r="W2646" s="345"/>
      <c r="X2646" s="329" t="str">
        <f t="shared" si="282"/>
        <v>KL</v>
      </c>
      <c r="Y2646" s="1128" t="s">
        <v>3380</v>
      </c>
      <c r="Z2646" s="1128" t="s">
        <v>3381</v>
      </c>
      <c r="AA2646" s="1128" t="s">
        <v>3384</v>
      </c>
      <c r="AB2646" s="20"/>
      <c r="AC2646" s="73"/>
    </row>
    <row r="2647" spans="1:29">
      <c r="A2647" s="327" t="str">
        <f>IF(AND($B2647&lt;&gt;"",$C2647&lt;&gt;""),MAX($A$1556:A2646)+1,"")</f>
        <v/>
      </c>
      <c r="B2647" s="361" t="s">
        <v>2162</v>
      </c>
      <c r="C2647" s="360"/>
      <c r="D2647" s="327">
        <f>IF($B2647="","",COUNTIF($B$6:$B2647,$B2647))</f>
        <v>18</v>
      </c>
      <c r="E2647" s="361" t="s">
        <v>2163</v>
      </c>
      <c r="F2647" s="362" t="s">
        <v>1930</v>
      </c>
      <c r="G2647" s="327" t="s">
        <v>155</v>
      </c>
      <c r="H2647" s="327" t="s">
        <v>536</v>
      </c>
      <c r="I2647" s="327">
        <v>8</v>
      </c>
      <c r="J2647" s="361"/>
      <c r="K2647" s="327"/>
      <c r="L2647" s="389">
        <v>13000</v>
      </c>
      <c r="M2647" s="371"/>
      <c r="N2647" s="355" t="str">
        <f t="shared" si="273"/>
        <v>PK</v>
      </c>
      <c r="O2647" s="345" t="s">
        <v>1705</v>
      </c>
      <c r="P2647" s="392"/>
      <c r="Q2647" s="327"/>
      <c r="R2647" s="351"/>
      <c r="S2647" s="351"/>
      <c r="T2647" s="351"/>
      <c r="U2647" s="329" t="str">
        <f>IF($N2647=$N$4,IFERROR(INDEX(DanhMuc!$E$154:$E$165,MATCH(MID($B2647,4,2),DanhMuc!$B$154:$B$165,0)),""),"")</f>
        <v/>
      </c>
      <c r="V2647" s="361"/>
      <c r="W2647" s="345"/>
      <c r="X2647" s="329" t="str">
        <f t="shared" si="282"/>
        <v>KL</v>
      </c>
      <c r="Y2647" s="1128" t="s">
        <v>3380</v>
      </c>
      <c r="Z2647" s="1128" t="s">
        <v>3381</v>
      </c>
      <c r="AA2647" s="1128" t="s">
        <v>3384</v>
      </c>
      <c r="AB2647" s="20"/>
      <c r="AC2647" s="73"/>
    </row>
    <row r="2648" spans="1:29">
      <c r="A2648" s="327" t="str">
        <f>IF(AND($B2648&lt;&gt;"",$C2648&lt;&gt;""),MAX($A$1556:A2647)+1,"")</f>
        <v/>
      </c>
      <c r="B2648" s="361" t="s">
        <v>2162</v>
      </c>
      <c r="C2648" s="360"/>
      <c r="D2648" s="327">
        <f>IF($B2648="","",COUNTIF($B$6:$B2648,$B2648))</f>
        <v>19</v>
      </c>
      <c r="E2648" s="361" t="s">
        <v>2128</v>
      </c>
      <c r="F2648" s="362" t="s">
        <v>186</v>
      </c>
      <c r="G2648" s="327" t="s">
        <v>155</v>
      </c>
      <c r="H2648" s="327" t="s">
        <v>536</v>
      </c>
      <c r="I2648" s="327">
        <v>8</v>
      </c>
      <c r="J2648" s="361"/>
      <c r="K2648" s="327"/>
      <c r="L2648" s="389">
        <v>38000</v>
      </c>
      <c r="M2648" s="371"/>
      <c r="N2648" s="355" t="str">
        <f t="shared" si="273"/>
        <v>PK</v>
      </c>
      <c r="O2648" s="345" t="s">
        <v>1704</v>
      </c>
      <c r="P2648" s="392"/>
      <c r="Q2648" s="327"/>
      <c r="R2648" s="351"/>
      <c r="S2648" s="351"/>
      <c r="T2648" s="351"/>
      <c r="U2648" s="329" t="str">
        <f>IF($N2648=$N$4,IFERROR(INDEX(DanhMuc!$E$154:$E$165,MATCH(MID($B2648,4,2),DanhMuc!$B$154:$B$165,0)),""),"")</f>
        <v/>
      </c>
      <c r="V2648" s="361"/>
      <c r="W2648" s="345"/>
      <c r="X2648" s="329" t="str">
        <f t="shared" si="282"/>
        <v>KL</v>
      </c>
      <c r="Y2648" s="1128" t="s">
        <v>3380</v>
      </c>
      <c r="Z2648" s="1128" t="s">
        <v>3381</v>
      </c>
      <c r="AA2648" s="1128" t="s">
        <v>3384</v>
      </c>
      <c r="AB2648" s="20"/>
      <c r="AC2648" s="73"/>
    </row>
    <row r="2649" spans="1:29" ht="52">
      <c r="A2649" s="327">
        <f>IF(AND($B2649&lt;&gt;"",$C2649&lt;&gt;""),MAX($A$1556:A2608)+1,"")</f>
        <v>142</v>
      </c>
      <c r="B2649" s="359" t="s">
        <v>3165</v>
      </c>
      <c r="C2649" s="360" t="s">
        <v>2222</v>
      </c>
      <c r="D2649" s="327">
        <f>IF($B2649="","",COUNTIF($B$6:$B2649,$B2649))</f>
        <v>1</v>
      </c>
      <c r="E2649" s="361" t="s">
        <v>2232</v>
      </c>
      <c r="F2649" s="362" t="s">
        <v>2127</v>
      </c>
      <c r="G2649" s="327" t="s">
        <v>155</v>
      </c>
      <c r="H2649" s="327"/>
      <c r="I2649" s="327">
        <v>2</v>
      </c>
      <c r="J2649" s="345"/>
      <c r="K2649" s="327"/>
      <c r="L2649" s="389">
        <v>35500</v>
      </c>
      <c r="M2649" s="371"/>
      <c r="N2649" s="355" t="str">
        <f t="shared" si="273"/>
        <v>PK</v>
      </c>
      <c r="O2649" s="404" t="s">
        <v>1782</v>
      </c>
      <c r="P2649" s="392"/>
      <c r="Q2649" s="327"/>
      <c r="R2649" s="351"/>
      <c r="S2649" s="351"/>
      <c r="T2649" s="351"/>
      <c r="U2649" s="329" t="str">
        <f>IF($N2649=$N$4,IFERROR(INDEX(DanhMuc!$E$154:$E$165,MATCH(MID($B2649,4,2),DanhMuc!$B$154:$B$165,0)),""),"")</f>
        <v/>
      </c>
      <c r="V2649" s="361"/>
      <c r="W2649" s="345"/>
      <c r="X2649" s="329" t="str">
        <f t="shared" si="282"/>
        <v>FI</v>
      </c>
      <c r="Y2649" s="1128" t="s">
        <v>3380</v>
      </c>
      <c r="Z2649" s="1128" t="s">
        <v>3381</v>
      </c>
      <c r="AA2649" s="1128" t="s">
        <v>3384</v>
      </c>
      <c r="AB2649" s="20"/>
      <c r="AC2649" s="73"/>
    </row>
    <row r="2650" spans="1:29">
      <c r="A2650" s="327" t="str">
        <f>IF(AND($B2650&lt;&gt;"",$C2650&lt;&gt;""),MAX($A$1556:A2609)+1,"")</f>
        <v/>
      </c>
      <c r="B2650" s="361" t="s">
        <v>3165</v>
      </c>
      <c r="C2650" s="360"/>
      <c r="D2650" s="327">
        <f>IF($B2650="","",COUNTIF($B$6:$B2650,$B2650))</f>
        <v>2</v>
      </c>
      <c r="E2650" s="361" t="s">
        <v>2125</v>
      </c>
      <c r="F2650" s="362" t="s">
        <v>2126</v>
      </c>
      <c r="G2650" s="327" t="s">
        <v>155</v>
      </c>
      <c r="H2650" s="327"/>
      <c r="I2650" s="327">
        <v>2</v>
      </c>
      <c r="J2650" s="345"/>
      <c r="K2650" s="327"/>
      <c r="L2650" s="389">
        <v>5000</v>
      </c>
      <c r="M2650" s="371"/>
      <c r="N2650" s="355" t="str">
        <f t="shared" si="273"/>
        <v>PK</v>
      </c>
      <c r="O2650" s="404" t="s">
        <v>1782</v>
      </c>
      <c r="P2650" s="392"/>
      <c r="Q2650" s="327"/>
      <c r="R2650" s="351"/>
      <c r="S2650" s="351"/>
      <c r="T2650" s="351"/>
      <c r="U2650" s="329" t="str">
        <f>IF($N2650=$N$4,IFERROR(INDEX(DanhMuc!$E$154:$E$165,MATCH(MID($B2650,4,2),DanhMuc!$B$154:$B$165,0)),""),"")</f>
        <v/>
      </c>
      <c r="V2650" s="361"/>
      <c r="W2650" s="345"/>
      <c r="X2650" s="329" t="str">
        <f t="shared" si="282"/>
        <v>FI</v>
      </c>
      <c r="Y2650" s="1128" t="s">
        <v>3380</v>
      </c>
      <c r="Z2650" s="1128" t="s">
        <v>3381</v>
      </c>
      <c r="AA2650" s="1128" t="s">
        <v>3384</v>
      </c>
      <c r="AB2650" s="20"/>
      <c r="AC2650" s="73"/>
    </row>
    <row r="2651" spans="1:29">
      <c r="A2651" s="327" t="str">
        <f>IF(AND($B2651&lt;&gt;"",$C2651&lt;&gt;""),MAX($A$1556:A2544)+1,"")</f>
        <v/>
      </c>
      <c r="B2651" s="361" t="s">
        <v>3165</v>
      </c>
      <c r="C2651" s="360"/>
      <c r="D2651" s="327">
        <f>IF($B2651="","",COUNTIF($B$6:$B2651,$B2651))</f>
        <v>3</v>
      </c>
      <c r="E2651" s="361" t="s">
        <v>2235</v>
      </c>
      <c r="F2651" s="362" t="s">
        <v>2970</v>
      </c>
      <c r="G2651" s="327" t="s">
        <v>344</v>
      </c>
      <c r="H2651" s="327"/>
      <c r="I2651" s="327">
        <v>2</v>
      </c>
      <c r="J2651" s="345"/>
      <c r="K2651" s="327"/>
      <c r="L2651" s="389">
        <f>28000-L2653</f>
        <v>27999</v>
      </c>
      <c r="M2651" s="371"/>
      <c r="N2651" s="355" t="str">
        <f t="shared" si="273"/>
        <v>PK</v>
      </c>
      <c r="O2651" s="404" t="s">
        <v>1971</v>
      </c>
      <c r="P2651" s="392"/>
      <c r="Q2651" s="327"/>
      <c r="R2651" s="351"/>
      <c r="S2651" s="351"/>
      <c r="T2651" s="351"/>
      <c r="U2651" s="329" t="str">
        <f>IF($N2651=$N$4,IFERROR(INDEX(DanhMuc!$E$154:$E$165,MATCH(MID($B2651,4,2),DanhMuc!$B$154:$B$165,0)),""),"")</f>
        <v/>
      </c>
      <c r="V2651" s="361"/>
      <c r="W2651" s="345"/>
      <c r="X2651" s="329" t="str">
        <f t="shared" si="282"/>
        <v>FI</v>
      </c>
      <c r="Y2651" s="1128" t="s">
        <v>3380</v>
      </c>
      <c r="Z2651" s="1128" t="s">
        <v>3381</v>
      </c>
      <c r="AA2651" s="1128" t="s">
        <v>3384</v>
      </c>
      <c r="AB2651" s="20"/>
      <c r="AC2651" s="73"/>
    </row>
    <row r="2652" spans="1:29">
      <c r="A2652" s="327" t="str">
        <f>IF(AND($B2652&lt;&gt;"",$C2652&lt;&gt;""),MAX($A$1556:A2545)+1,"")</f>
        <v/>
      </c>
      <c r="B2652" s="361" t="s">
        <v>3165</v>
      </c>
      <c r="C2652" s="360"/>
      <c r="D2652" s="327">
        <f>IF($B2652="","",COUNTIF($B$6:$B2652,$B2652))</f>
        <v>4</v>
      </c>
      <c r="E2652" s="361" t="s">
        <v>2235</v>
      </c>
      <c r="F2652" s="362" t="s">
        <v>2971</v>
      </c>
      <c r="G2652" s="327" t="s">
        <v>344</v>
      </c>
      <c r="H2652" s="327"/>
      <c r="I2652" s="327">
        <v>2</v>
      </c>
      <c r="J2652" s="345"/>
      <c r="K2652" s="327"/>
      <c r="L2652" s="389">
        <f>+L2651</f>
        <v>27999</v>
      </c>
      <c r="M2652" s="371"/>
      <c r="N2652" s="355" t="str">
        <f t="shared" si="273"/>
        <v>PK</v>
      </c>
      <c r="O2652" s="404" t="s">
        <v>1972</v>
      </c>
      <c r="P2652" s="392"/>
      <c r="Q2652" s="327"/>
      <c r="R2652" s="351"/>
      <c r="S2652" s="351"/>
      <c r="T2652" s="351"/>
      <c r="U2652" s="329" t="str">
        <f>IF($N2652=$N$4,IFERROR(INDEX(DanhMuc!$E$154:$E$165,MATCH(MID($B2652,4,2),DanhMuc!$B$154:$B$165,0)),""),"")</f>
        <v/>
      </c>
      <c r="V2652" s="361"/>
      <c r="W2652" s="345"/>
      <c r="X2652" s="329" t="str">
        <f t="shared" si="282"/>
        <v>FI</v>
      </c>
      <c r="Y2652" s="1128" t="s">
        <v>3380</v>
      </c>
      <c r="Z2652" s="1128" t="s">
        <v>3381</v>
      </c>
      <c r="AA2652" s="1128" t="s">
        <v>3384</v>
      </c>
      <c r="AB2652" s="20"/>
      <c r="AC2652" s="73"/>
    </row>
    <row r="2653" spans="1:29">
      <c r="A2653" s="327" t="str">
        <f>IF(AND($B2653&lt;&gt;"",$C2653&lt;&gt;""),MAX($A$1556:A2545)+1,"")</f>
        <v/>
      </c>
      <c r="B2653" s="361" t="s">
        <v>3165</v>
      </c>
      <c r="C2653" s="360"/>
      <c r="D2653" s="327">
        <f>IF($B2653="","",COUNTIF($B$6:$B2653,$B2653))</f>
        <v>5</v>
      </c>
      <c r="E2653" s="361" t="s">
        <v>2236</v>
      </c>
      <c r="F2653" s="362" t="s">
        <v>1970</v>
      </c>
      <c r="G2653" s="327" t="s">
        <v>155</v>
      </c>
      <c r="H2653" s="327" t="s">
        <v>536</v>
      </c>
      <c r="I2653" s="327">
        <v>2</v>
      </c>
      <c r="J2653" s="345"/>
      <c r="K2653" s="327"/>
      <c r="L2653" s="389">
        <v>1</v>
      </c>
      <c r="M2653" s="371"/>
      <c r="N2653" s="355" t="str">
        <f t="shared" si="273"/>
        <v>PK</v>
      </c>
      <c r="O2653" s="404" t="s">
        <v>1780</v>
      </c>
      <c r="P2653" s="392"/>
      <c r="Q2653" s="327"/>
      <c r="R2653" s="351"/>
      <c r="S2653" s="351"/>
      <c r="T2653" s="351"/>
      <c r="U2653" s="329" t="str">
        <f>IF($N2653=$N$4,IFERROR(INDEX(DanhMuc!$E$154:$E$165,MATCH(MID($B2653,4,2),DanhMuc!$B$154:$B$165,0)),""),"")</f>
        <v/>
      </c>
      <c r="V2653" s="361"/>
      <c r="W2653" s="345"/>
      <c r="X2653" s="329" t="str">
        <f t="shared" si="282"/>
        <v>FI</v>
      </c>
      <c r="Y2653" s="1128" t="s">
        <v>3380</v>
      </c>
      <c r="Z2653" s="1128" t="s">
        <v>3381</v>
      </c>
      <c r="AA2653" s="1128" t="s">
        <v>3384</v>
      </c>
      <c r="AB2653" s="20"/>
      <c r="AC2653" s="73"/>
    </row>
    <row r="2654" spans="1:29">
      <c r="A2654" s="327" t="str">
        <f>IF(AND($B2654&lt;&gt;"",$C2654&lt;&gt;""),MAX($A$1556:A2609)+1,"")</f>
        <v/>
      </c>
      <c r="B2654" s="361" t="s">
        <v>3165</v>
      </c>
      <c r="C2654" s="360"/>
      <c r="D2654" s="327">
        <f>IF($B2654="","",COUNTIF($B$6:$B2654,$B2654))</f>
        <v>6</v>
      </c>
      <c r="E2654" s="361" t="s">
        <v>2139</v>
      </c>
      <c r="F2654" s="362" t="s">
        <v>2137</v>
      </c>
      <c r="G2654" s="327" t="s">
        <v>155</v>
      </c>
      <c r="H2654" s="327"/>
      <c r="I2654" s="327">
        <v>1</v>
      </c>
      <c r="J2654" s="345"/>
      <c r="K2654" s="327"/>
      <c r="L2654" s="389">
        <v>70323</v>
      </c>
      <c r="M2654" s="371"/>
      <c r="N2654" s="355" t="str">
        <f t="shared" si="273"/>
        <v>PK</v>
      </c>
      <c r="O2654" s="404" t="s">
        <v>1789</v>
      </c>
      <c r="P2654" s="392"/>
      <c r="Q2654" s="327"/>
      <c r="R2654" s="351"/>
      <c r="S2654" s="351"/>
      <c r="T2654" s="351"/>
      <c r="U2654" s="329" t="str">
        <f>IF($N2654=$N$4,IFERROR(INDEX(DanhMuc!$E$154:$E$165,MATCH(MID($B2654,4,2),DanhMuc!$B$154:$B$165,0)),""),"")</f>
        <v/>
      </c>
      <c r="V2654" s="361"/>
      <c r="W2654" s="345"/>
      <c r="X2654" s="329" t="str">
        <f t="shared" si="282"/>
        <v>FI</v>
      </c>
      <c r="Y2654" s="1128" t="s">
        <v>3380</v>
      </c>
      <c r="Z2654" s="1128" t="s">
        <v>3381</v>
      </c>
      <c r="AA2654" s="1128" t="s">
        <v>3384</v>
      </c>
      <c r="AB2654" s="20"/>
      <c r="AC2654" s="73"/>
    </row>
    <row r="2655" spans="1:29">
      <c r="A2655" s="327" t="str">
        <f>IF(AND($B2655&lt;&gt;"",$C2655&lt;&gt;""),MAX($A$1556:A2609)+1,"")</f>
        <v/>
      </c>
      <c r="B2655" s="361" t="s">
        <v>3165</v>
      </c>
      <c r="C2655" s="360"/>
      <c r="D2655" s="327">
        <f>IF($B2655="","",COUNTIF($B$6:$B2655,$B2655))</f>
        <v>7</v>
      </c>
      <c r="E2655" s="361" t="s">
        <v>2140</v>
      </c>
      <c r="F2655" s="362" t="s">
        <v>2138</v>
      </c>
      <c r="G2655" s="327" t="s">
        <v>155</v>
      </c>
      <c r="H2655" s="327"/>
      <c r="I2655" s="327">
        <v>1</v>
      </c>
      <c r="J2655" s="345"/>
      <c r="K2655" s="327"/>
      <c r="L2655" s="389">
        <v>70323</v>
      </c>
      <c r="M2655" s="371"/>
      <c r="N2655" s="355" t="str">
        <f t="shared" si="273"/>
        <v>PK</v>
      </c>
      <c r="O2655" s="404" t="s">
        <v>1790</v>
      </c>
      <c r="P2655" s="392"/>
      <c r="Q2655" s="327"/>
      <c r="R2655" s="351"/>
      <c r="S2655" s="351"/>
      <c r="T2655" s="351"/>
      <c r="U2655" s="329" t="str">
        <f>IF($N2655=$N$4,IFERROR(INDEX(DanhMuc!$E$154:$E$165,MATCH(MID($B2655,4,2),DanhMuc!$B$154:$B$165,0)),""),"")</f>
        <v/>
      </c>
      <c r="V2655" s="361"/>
      <c r="W2655" s="345"/>
      <c r="X2655" s="329" t="str">
        <f t="shared" si="282"/>
        <v>FI</v>
      </c>
      <c r="Y2655" s="1128" t="s">
        <v>3380</v>
      </c>
      <c r="Z2655" s="1128" t="s">
        <v>3381</v>
      </c>
      <c r="AA2655" s="1128" t="s">
        <v>3384</v>
      </c>
      <c r="AB2655" s="20"/>
      <c r="AC2655" s="73"/>
    </row>
    <row r="2656" spans="1:29">
      <c r="A2656" s="327" t="str">
        <f>IF(AND($B2656&lt;&gt;"",$C2656&lt;&gt;""),MAX($A$1556:A2609)+1,"")</f>
        <v/>
      </c>
      <c r="B2656" s="361" t="s">
        <v>3165</v>
      </c>
      <c r="C2656" s="360"/>
      <c r="D2656" s="327">
        <f>IF($B2656="","",COUNTIF($B$6:$B2656,$B2656))</f>
        <v>8</v>
      </c>
      <c r="E2656" s="361" t="s">
        <v>2133</v>
      </c>
      <c r="F2656" s="362" t="s">
        <v>2134</v>
      </c>
      <c r="G2656" s="327" t="s">
        <v>155</v>
      </c>
      <c r="H2656" s="327" t="s">
        <v>536</v>
      </c>
      <c r="I2656" s="327">
        <v>2</v>
      </c>
      <c r="J2656" s="345"/>
      <c r="K2656" s="327"/>
      <c r="L2656" s="389">
        <v>5000</v>
      </c>
      <c r="M2656" s="371"/>
      <c r="N2656" s="355" t="str">
        <f t="shared" si="273"/>
        <v>PK</v>
      </c>
      <c r="O2656" s="404" t="s">
        <v>1782</v>
      </c>
      <c r="P2656" s="392"/>
      <c r="Q2656" s="327"/>
      <c r="R2656" s="351"/>
      <c r="S2656" s="351"/>
      <c r="T2656" s="351"/>
      <c r="U2656" s="329" t="str">
        <f>IF($N2656=$N$4,IFERROR(INDEX(DanhMuc!$E$154:$E$165,MATCH(MID($B2656,4,2),DanhMuc!$B$154:$B$165,0)),""),"")</f>
        <v/>
      </c>
      <c r="V2656" s="361"/>
      <c r="W2656" s="345"/>
      <c r="X2656" s="329" t="str">
        <f t="shared" si="282"/>
        <v>FI</v>
      </c>
      <c r="Y2656" s="1128" t="s">
        <v>3380</v>
      </c>
      <c r="Z2656" s="1128" t="s">
        <v>3381</v>
      </c>
      <c r="AA2656" s="1128" t="s">
        <v>3384</v>
      </c>
      <c r="AB2656" s="20"/>
      <c r="AC2656" s="73"/>
    </row>
    <row r="2657" spans="1:29">
      <c r="A2657" s="327" t="str">
        <f>IF(AND($B2657&lt;&gt;"",$C2657&lt;&gt;""),MAX($A$1556:A2609)+1,"")</f>
        <v/>
      </c>
      <c r="B2657" s="361" t="s">
        <v>3165</v>
      </c>
      <c r="C2657" s="360"/>
      <c r="D2657" s="327">
        <f>IF($B2657="","",COUNTIF($B$6:$B2657,$B2657))</f>
        <v>9</v>
      </c>
      <c r="E2657" s="361" t="s">
        <v>2131</v>
      </c>
      <c r="F2657" s="362" t="s">
        <v>2130</v>
      </c>
      <c r="G2657" s="327" t="s">
        <v>155</v>
      </c>
      <c r="H2657" s="327" t="s">
        <v>536</v>
      </c>
      <c r="I2657" s="411" t="s">
        <v>2136</v>
      </c>
      <c r="J2657" s="359"/>
      <c r="K2657" s="327"/>
      <c r="L2657" s="389">
        <v>38000</v>
      </c>
      <c r="M2657" s="371"/>
      <c r="N2657" s="355" t="str">
        <f t="shared" si="273"/>
        <v>PK</v>
      </c>
      <c r="O2657" s="404" t="s">
        <v>1782</v>
      </c>
      <c r="P2657" s="392"/>
      <c r="Q2657" s="327"/>
      <c r="R2657" s="351"/>
      <c r="S2657" s="351"/>
      <c r="T2657" s="351"/>
      <c r="U2657" s="329" t="str">
        <f>IF($N2657=$N$4,IFERROR(INDEX(DanhMuc!$E$154:$E$165,MATCH(MID($B2657,4,2),DanhMuc!$B$154:$B$165,0)),""),"")</f>
        <v/>
      </c>
      <c r="V2657" s="361"/>
      <c r="W2657" s="345"/>
      <c r="X2657" s="329" t="str">
        <f t="shared" si="282"/>
        <v>FI</v>
      </c>
      <c r="Y2657" s="1128" t="s">
        <v>3380</v>
      </c>
      <c r="Z2657" s="1128" t="s">
        <v>3381</v>
      </c>
      <c r="AA2657" s="1128" t="s">
        <v>3384</v>
      </c>
      <c r="AB2657" s="20"/>
      <c r="AC2657" s="73"/>
    </row>
    <row r="2658" spans="1:29">
      <c r="A2658" s="327" t="str">
        <f>IF(AND($B2658&lt;&gt;"",$C2658&lt;&gt;""),MAX($A$1556:A2609)+1,"")</f>
        <v/>
      </c>
      <c r="B2658" s="361" t="s">
        <v>3165</v>
      </c>
      <c r="C2658" s="360"/>
      <c r="D2658" s="327">
        <f>IF($B2658="","",COUNTIF($B$6:$B2658,$B2658))</f>
        <v>10</v>
      </c>
      <c r="E2658" s="361" t="s">
        <v>2129</v>
      </c>
      <c r="F2658" s="362" t="s">
        <v>2130</v>
      </c>
      <c r="G2658" s="327" t="s">
        <v>155</v>
      </c>
      <c r="H2658" s="327" t="s">
        <v>536</v>
      </c>
      <c r="I2658" s="411" t="s">
        <v>1364</v>
      </c>
      <c r="J2658" s="359"/>
      <c r="K2658" s="327"/>
      <c r="L2658" s="389">
        <v>45000</v>
      </c>
      <c r="M2658" s="371"/>
      <c r="N2658" s="355" t="str">
        <f t="shared" si="273"/>
        <v>PK</v>
      </c>
      <c r="O2658" s="404" t="s">
        <v>1782</v>
      </c>
      <c r="P2658" s="392"/>
      <c r="Q2658" s="327"/>
      <c r="R2658" s="351"/>
      <c r="S2658" s="351"/>
      <c r="T2658" s="351"/>
      <c r="U2658" s="329" t="str">
        <f>IF($N2658=$N$4,IFERROR(INDEX(DanhMuc!$E$154:$E$165,MATCH(MID($B2658,4,2),DanhMuc!$B$154:$B$165,0)),""),"")</f>
        <v/>
      </c>
      <c r="V2658" s="361"/>
      <c r="W2658" s="345"/>
      <c r="X2658" s="329" t="str">
        <f t="shared" si="282"/>
        <v>FI</v>
      </c>
      <c r="Y2658" s="1128" t="s">
        <v>3380</v>
      </c>
      <c r="Z2658" s="1128" t="s">
        <v>3381</v>
      </c>
      <c r="AA2658" s="1128" t="s">
        <v>3384</v>
      </c>
      <c r="AB2658" s="20"/>
      <c r="AC2658" s="73"/>
    </row>
    <row r="2659" spans="1:29">
      <c r="A2659" s="327" t="str">
        <f>IF(AND($B2659&lt;&gt;"",$C2659&lt;&gt;""),MAX($A$1556:A2611)+1,"")</f>
        <v/>
      </c>
      <c r="B2659" s="361" t="s">
        <v>3165</v>
      </c>
      <c r="C2659" s="360"/>
      <c r="D2659" s="327">
        <f>IF($B2659="","",COUNTIF($B$6:$B2659,$B2659))</f>
        <v>11</v>
      </c>
      <c r="E2659" s="361" t="s">
        <v>2133</v>
      </c>
      <c r="F2659" s="362" t="s">
        <v>2141</v>
      </c>
      <c r="G2659" s="327" t="s">
        <v>155</v>
      </c>
      <c r="H2659" s="327" t="s">
        <v>536</v>
      </c>
      <c r="I2659" s="327">
        <v>6</v>
      </c>
      <c r="J2659" s="359"/>
      <c r="K2659" s="327"/>
      <c r="L2659" s="389">
        <v>5000</v>
      </c>
      <c r="M2659" s="371"/>
      <c r="N2659" s="355" t="str">
        <f t="shared" si="273"/>
        <v>PK</v>
      </c>
      <c r="O2659" s="404" t="s">
        <v>1782</v>
      </c>
      <c r="P2659" s="392"/>
      <c r="Q2659" s="327"/>
      <c r="R2659" s="351"/>
      <c r="S2659" s="351"/>
      <c r="T2659" s="351"/>
      <c r="U2659" s="329" t="str">
        <f>IF($N2659=$N$4,IFERROR(INDEX(DanhMuc!$E$154:$E$165,MATCH(MID($B2659,4,2),DanhMuc!$B$154:$B$165,0)),""),"")</f>
        <v/>
      </c>
      <c r="V2659" s="361"/>
      <c r="W2659" s="345"/>
      <c r="X2659" s="329" t="str">
        <f t="shared" si="282"/>
        <v>FI</v>
      </c>
      <c r="Y2659" s="1128" t="s">
        <v>3380</v>
      </c>
      <c r="Z2659" s="1128" t="s">
        <v>3381</v>
      </c>
      <c r="AA2659" s="1128" t="s">
        <v>3384</v>
      </c>
      <c r="AB2659" s="20"/>
      <c r="AC2659" s="73"/>
    </row>
    <row r="2660" spans="1:29">
      <c r="A2660" s="327" t="str">
        <f>IF(AND($B2660&lt;&gt;"",$C2660&lt;&gt;""),MAX($A$1556:A2612)+1,"")</f>
        <v/>
      </c>
      <c r="B2660" s="361" t="s">
        <v>3165</v>
      </c>
      <c r="C2660" s="360"/>
      <c r="D2660" s="327">
        <f>IF($B2660="","",COUNTIF($B$6:$B2660,$B2660))</f>
        <v>12</v>
      </c>
      <c r="E2660" s="361" t="s">
        <v>187</v>
      </c>
      <c r="F2660" s="362" t="s">
        <v>189</v>
      </c>
      <c r="G2660" s="327" t="s">
        <v>155</v>
      </c>
      <c r="H2660" s="327"/>
      <c r="I2660" s="327">
        <v>4</v>
      </c>
      <c r="J2660" s="359"/>
      <c r="K2660" s="327"/>
      <c r="L2660" s="389">
        <v>5000</v>
      </c>
      <c r="M2660" s="371"/>
      <c r="N2660" s="355" t="str">
        <f t="shared" si="273"/>
        <v>PK</v>
      </c>
      <c r="O2660" s="345"/>
      <c r="P2660" s="392"/>
      <c r="Q2660" s="327"/>
      <c r="R2660" s="351"/>
      <c r="S2660" s="351"/>
      <c r="T2660" s="351"/>
      <c r="U2660" s="329" t="str">
        <f>IF($N2660=$N$4,IFERROR(INDEX(DanhMuc!$E$154:$E$165,MATCH(MID($B2660,4,2),DanhMuc!$B$154:$B$165,0)),""),"")</f>
        <v/>
      </c>
      <c r="V2660" s="361"/>
      <c r="W2660" s="345"/>
      <c r="X2660" s="329" t="str">
        <f t="shared" si="282"/>
        <v>FI</v>
      </c>
      <c r="Y2660" s="1128" t="s">
        <v>3380</v>
      </c>
      <c r="Z2660" s="1128" t="s">
        <v>3381</v>
      </c>
      <c r="AA2660" s="1128" t="s">
        <v>3384</v>
      </c>
      <c r="AB2660" s="20"/>
      <c r="AC2660" s="73"/>
    </row>
    <row r="2661" spans="1:29">
      <c r="A2661" s="327" t="str">
        <f>IF(AND($B2661&lt;&gt;"",$C2661&lt;&gt;""),MAX($A$1556:A2618)+1,"")</f>
        <v/>
      </c>
      <c r="B2661" s="361" t="s">
        <v>3165</v>
      </c>
      <c r="C2661" s="360"/>
      <c r="D2661" s="327">
        <f>IF($B2661="","",COUNTIF($B$6:$B2661,$B2661))</f>
        <v>13</v>
      </c>
      <c r="E2661" s="361" t="s">
        <v>163</v>
      </c>
      <c r="F2661" s="362" t="s">
        <v>164</v>
      </c>
      <c r="G2661" s="327" t="s">
        <v>155</v>
      </c>
      <c r="H2661" s="327"/>
      <c r="I2661" s="327">
        <v>4</v>
      </c>
      <c r="J2661" s="345"/>
      <c r="K2661" s="327"/>
      <c r="L2661" s="389">
        <v>2500</v>
      </c>
      <c r="M2661" s="371"/>
      <c r="N2661" s="355" t="str">
        <f t="shared" si="273"/>
        <v>PK</v>
      </c>
      <c r="O2661" s="345"/>
      <c r="P2661" s="392"/>
      <c r="Q2661" s="327"/>
      <c r="R2661" s="351"/>
      <c r="S2661" s="351"/>
      <c r="T2661" s="351"/>
      <c r="U2661" s="329" t="str">
        <f>IF($N2661=$N$4,IFERROR(INDEX(DanhMuc!$E$154:$E$165,MATCH(MID($B2661,4,2),DanhMuc!$B$154:$B$165,0)),""),"")</f>
        <v/>
      </c>
      <c r="V2661" s="361"/>
      <c r="W2661" s="345"/>
      <c r="X2661" s="329" t="str">
        <f t="shared" si="282"/>
        <v>FI</v>
      </c>
      <c r="Y2661" s="1128" t="s">
        <v>3380</v>
      </c>
      <c r="Z2661" s="1128" t="s">
        <v>3381</v>
      </c>
      <c r="AA2661" s="1128" t="s">
        <v>3384</v>
      </c>
      <c r="AB2661" s="20"/>
      <c r="AC2661" s="73"/>
    </row>
    <row r="2662" spans="1:29">
      <c r="A2662" s="327" t="str">
        <f>IF(AND($B2662&lt;&gt;"",$C2662&lt;&gt;""),MAX($A$1556:A2622)+1,"")</f>
        <v/>
      </c>
      <c r="B2662" s="361" t="s">
        <v>3165</v>
      </c>
      <c r="C2662" s="360"/>
      <c r="D2662" s="327">
        <f>IF($B2662="","",COUNTIF($B$6:$B2662,$B2662))</f>
        <v>14</v>
      </c>
      <c r="E2662" s="361" t="s">
        <v>165</v>
      </c>
      <c r="F2662" s="362" t="s">
        <v>166</v>
      </c>
      <c r="G2662" s="327" t="s">
        <v>155</v>
      </c>
      <c r="H2662" s="327"/>
      <c r="I2662" s="327">
        <v>4</v>
      </c>
      <c r="J2662" s="359"/>
      <c r="K2662" s="327"/>
      <c r="L2662" s="389">
        <v>1700</v>
      </c>
      <c r="M2662" s="371"/>
      <c r="N2662" s="355" t="str">
        <f t="shared" si="273"/>
        <v>PK</v>
      </c>
      <c r="O2662" s="345"/>
      <c r="P2662" s="392"/>
      <c r="Q2662" s="327"/>
      <c r="R2662" s="351"/>
      <c r="S2662" s="351"/>
      <c r="T2662" s="351"/>
      <c r="U2662" s="329" t="str">
        <f>IF($N2662=$N$4,IFERROR(INDEX(DanhMuc!$E$154:$E$165,MATCH(MID($B2662,4,2),DanhMuc!$B$154:$B$165,0)),""),"")</f>
        <v/>
      </c>
      <c r="V2662" s="361"/>
      <c r="W2662" s="345"/>
      <c r="X2662" s="329" t="str">
        <f t="shared" si="282"/>
        <v>FI</v>
      </c>
      <c r="Y2662" s="1128" t="s">
        <v>3380</v>
      </c>
      <c r="Z2662" s="1128" t="s">
        <v>3381</v>
      </c>
      <c r="AA2662" s="1128" t="s">
        <v>3384</v>
      </c>
      <c r="AB2662" s="20"/>
      <c r="AC2662" s="73"/>
    </row>
    <row r="2663" spans="1:29">
      <c r="A2663" s="327" t="str">
        <f>IF(AND($B2663&lt;&gt;"",$C2663&lt;&gt;""),MAX($A$1556:A2662)+1,"")</f>
        <v/>
      </c>
      <c r="B2663" s="361" t="s">
        <v>3165</v>
      </c>
      <c r="C2663" s="360"/>
      <c r="D2663" s="327">
        <f>IF($B2663="","",COUNTIF($B$6:$B2663,$B2663))</f>
        <v>15</v>
      </c>
      <c r="E2663" s="361" t="s">
        <v>167</v>
      </c>
      <c r="F2663" s="362" t="s">
        <v>168</v>
      </c>
      <c r="G2663" s="327" t="s">
        <v>155</v>
      </c>
      <c r="H2663" s="327"/>
      <c r="I2663" s="327">
        <v>4</v>
      </c>
      <c r="J2663" s="359"/>
      <c r="K2663" s="327"/>
      <c r="L2663" s="389">
        <v>1700</v>
      </c>
      <c r="M2663" s="371"/>
      <c r="N2663" s="355" t="str">
        <f t="shared" si="273"/>
        <v>PK</v>
      </c>
      <c r="O2663" s="345"/>
      <c r="P2663" s="392"/>
      <c r="Q2663" s="327"/>
      <c r="R2663" s="351"/>
      <c r="S2663" s="351"/>
      <c r="T2663" s="351"/>
      <c r="U2663" s="329" t="str">
        <f>IF($N2663=$N$4,IFERROR(INDEX(DanhMuc!$E$154:$E$165,MATCH(MID($B2663,4,2),DanhMuc!$B$154:$B$165,0)),""),"")</f>
        <v/>
      </c>
      <c r="V2663" s="361"/>
      <c r="W2663" s="345"/>
      <c r="X2663" s="329" t="str">
        <f t="shared" si="282"/>
        <v>FI</v>
      </c>
      <c r="Y2663" s="1128" t="s">
        <v>3380</v>
      </c>
      <c r="Z2663" s="1128" t="s">
        <v>3381</v>
      </c>
      <c r="AA2663" s="1128" t="s">
        <v>3384</v>
      </c>
      <c r="AB2663" s="20"/>
      <c r="AC2663" s="73"/>
    </row>
    <row r="2664" spans="1:29">
      <c r="A2664" s="327" t="str">
        <f>IF(AND($B2664&lt;&gt;"",$C2664&lt;&gt;""),MAX($A$1556:A2663)+1,"")</f>
        <v/>
      </c>
      <c r="B2664" s="361" t="s">
        <v>3165</v>
      </c>
      <c r="C2664" s="360"/>
      <c r="D2664" s="327">
        <f>IF($B2664="","",COUNTIF($B$6:$B2664,$B2664))</f>
        <v>16</v>
      </c>
      <c r="E2664" s="361" t="s">
        <v>169</v>
      </c>
      <c r="F2664" s="362" t="s">
        <v>170</v>
      </c>
      <c r="G2664" s="327" t="s">
        <v>155</v>
      </c>
      <c r="H2664" s="327"/>
      <c r="I2664" s="327">
        <v>4</v>
      </c>
      <c r="J2664" s="359"/>
      <c r="K2664" s="327"/>
      <c r="L2664" s="389">
        <v>1700</v>
      </c>
      <c r="M2664" s="371"/>
      <c r="N2664" s="355" t="str">
        <f t="shared" si="273"/>
        <v>PK</v>
      </c>
      <c r="O2664" s="345"/>
      <c r="P2664" s="392"/>
      <c r="Q2664" s="327"/>
      <c r="R2664" s="351"/>
      <c r="S2664" s="351"/>
      <c r="T2664" s="351"/>
      <c r="U2664" s="329" t="str">
        <f>IF($N2664=$N$4,IFERROR(INDEX(DanhMuc!$E$154:$E$165,MATCH(MID($B2664,4,2),DanhMuc!$B$154:$B$165,0)),""),"")</f>
        <v/>
      </c>
      <c r="V2664" s="361"/>
      <c r="W2664" s="345"/>
      <c r="X2664" s="329" t="str">
        <f t="shared" si="282"/>
        <v>FI</v>
      </c>
      <c r="Y2664" s="1128" t="s">
        <v>3380</v>
      </c>
      <c r="Z2664" s="1128" t="s">
        <v>3381</v>
      </c>
      <c r="AA2664" s="1128" t="s">
        <v>3384</v>
      </c>
      <c r="AB2664" s="20"/>
      <c r="AC2664" s="73"/>
    </row>
    <row r="2665" spans="1:29">
      <c r="A2665" s="327" t="str">
        <f>IF(AND($B2665&lt;&gt;"",$C2665&lt;&gt;""),MAX($A$1556:A2664)+1,"")</f>
        <v/>
      </c>
      <c r="B2665" s="361" t="s">
        <v>3165</v>
      </c>
      <c r="C2665" s="360"/>
      <c r="D2665" s="327">
        <f>IF($B2665="","",COUNTIF($B$6:$B2665,$B2665))</f>
        <v>17</v>
      </c>
      <c r="E2665" s="361" t="s">
        <v>171</v>
      </c>
      <c r="F2665" s="362" t="s">
        <v>291</v>
      </c>
      <c r="G2665" s="327" t="s">
        <v>155</v>
      </c>
      <c r="H2665" s="327"/>
      <c r="I2665" s="327">
        <v>4</v>
      </c>
      <c r="J2665" s="345"/>
      <c r="K2665" s="327"/>
      <c r="L2665" s="389">
        <v>1700</v>
      </c>
      <c r="M2665" s="371"/>
      <c r="N2665" s="355" t="str">
        <f t="shared" si="273"/>
        <v>PK</v>
      </c>
      <c r="O2665" s="345"/>
      <c r="P2665" s="392"/>
      <c r="Q2665" s="327"/>
      <c r="R2665" s="351"/>
      <c r="S2665" s="351"/>
      <c r="T2665" s="351"/>
      <c r="U2665" s="329" t="str">
        <f>IF($N2665=$N$4,IFERROR(INDEX(DanhMuc!$E$154:$E$165,MATCH(MID($B2665,4,2),DanhMuc!$B$154:$B$165,0)),""),"")</f>
        <v/>
      </c>
      <c r="V2665" s="361"/>
      <c r="W2665" s="345"/>
      <c r="X2665" s="329" t="str">
        <f t="shared" si="282"/>
        <v>FI</v>
      </c>
      <c r="Y2665" s="1128" t="s">
        <v>3380</v>
      </c>
      <c r="Z2665" s="1128" t="s">
        <v>3381</v>
      </c>
      <c r="AA2665" s="1128" t="s">
        <v>3384</v>
      </c>
      <c r="AB2665" s="20"/>
      <c r="AC2665" s="73"/>
    </row>
    <row r="2666" spans="1:29">
      <c r="A2666" s="327" t="str">
        <f>IF(AND($B2666&lt;&gt;"",$C2666&lt;&gt;""),MAX($A$1556:A2665)+1,"")</f>
        <v/>
      </c>
      <c r="B2666" s="361" t="s">
        <v>3165</v>
      </c>
      <c r="C2666" s="360"/>
      <c r="D2666" s="327">
        <f>IF($B2666="","",COUNTIF($B$6:$B2666,$B2666))</f>
        <v>18</v>
      </c>
      <c r="E2666" s="361" t="s">
        <v>2163</v>
      </c>
      <c r="F2666" s="362" t="s">
        <v>1930</v>
      </c>
      <c r="G2666" s="327" t="s">
        <v>155</v>
      </c>
      <c r="H2666" s="327" t="s">
        <v>536</v>
      </c>
      <c r="I2666" s="327">
        <v>8</v>
      </c>
      <c r="J2666" s="361"/>
      <c r="K2666" s="327"/>
      <c r="L2666" s="389">
        <v>13000</v>
      </c>
      <c r="M2666" s="371"/>
      <c r="N2666" s="355" t="str">
        <f t="shared" si="273"/>
        <v>PK</v>
      </c>
      <c r="O2666" s="345" t="s">
        <v>1705</v>
      </c>
      <c r="P2666" s="392"/>
      <c r="Q2666" s="327"/>
      <c r="R2666" s="351"/>
      <c r="S2666" s="351"/>
      <c r="T2666" s="351"/>
      <c r="U2666" s="329" t="str">
        <f>IF($N2666=$N$4,IFERROR(INDEX(DanhMuc!$E$154:$E$165,MATCH(MID($B2666,4,2),DanhMuc!$B$154:$B$165,0)),""),"")</f>
        <v/>
      </c>
      <c r="V2666" s="361"/>
      <c r="W2666" s="345"/>
      <c r="X2666" s="329" t="str">
        <f t="shared" si="282"/>
        <v>FI</v>
      </c>
      <c r="Y2666" s="1128" t="s">
        <v>3380</v>
      </c>
      <c r="Z2666" s="1128" t="s">
        <v>3381</v>
      </c>
      <c r="AA2666" s="1128" t="s">
        <v>3384</v>
      </c>
      <c r="AB2666" s="20"/>
      <c r="AC2666" s="73"/>
    </row>
    <row r="2667" spans="1:29">
      <c r="A2667" s="327" t="str">
        <f>IF(AND($B2667&lt;&gt;"",$C2667&lt;&gt;""),MAX($A$1556:A2666)+1,"")</f>
        <v/>
      </c>
      <c r="B2667" s="361" t="s">
        <v>3165</v>
      </c>
      <c r="C2667" s="360"/>
      <c r="D2667" s="327">
        <f>IF($B2667="","",COUNTIF($B$6:$B2667,$B2667))</f>
        <v>19</v>
      </c>
      <c r="E2667" s="361" t="s">
        <v>2128</v>
      </c>
      <c r="F2667" s="362" t="s">
        <v>186</v>
      </c>
      <c r="G2667" s="327" t="s">
        <v>155</v>
      </c>
      <c r="H2667" s="327" t="s">
        <v>536</v>
      </c>
      <c r="I2667" s="327">
        <v>8</v>
      </c>
      <c r="J2667" s="361"/>
      <c r="K2667" s="327"/>
      <c r="L2667" s="389">
        <v>38000</v>
      </c>
      <c r="M2667" s="371"/>
      <c r="N2667" s="355" t="str">
        <f t="shared" si="273"/>
        <v>PK</v>
      </c>
      <c r="O2667" s="345" t="s">
        <v>1704</v>
      </c>
      <c r="P2667" s="392"/>
      <c r="Q2667" s="327"/>
      <c r="R2667" s="351"/>
      <c r="S2667" s="351"/>
      <c r="T2667" s="351"/>
      <c r="U2667" s="329" t="str">
        <f>IF($N2667=$N$4,IFERROR(INDEX(DanhMuc!$E$154:$E$165,MATCH(MID($B2667,4,2),DanhMuc!$B$154:$B$165,0)),""),"")</f>
        <v/>
      </c>
      <c r="V2667" s="361"/>
      <c r="W2667" s="345"/>
      <c r="X2667" s="329" t="str">
        <f t="shared" si="282"/>
        <v>FI</v>
      </c>
      <c r="Y2667" s="1128" t="s">
        <v>3380</v>
      </c>
      <c r="Z2667" s="1128" t="s">
        <v>3381</v>
      </c>
      <c r="AA2667" s="1128" t="s">
        <v>3384</v>
      </c>
      <c r="AB2667" s="20"/>
      <c r="AC2667" s="73"/>
    </row>
    <row r="2668" spans="1:29" ht="39">
      <c r="A2668" s="327">
        <f>IF(AND($B2668&lt;&gt;"",$C2668&lt;&gt;""),MAX($A$1556:A2666)+1,"")</f>
        <v>143</v>
      </c>
      <c r="B2668" s="359" t="s">
        <v>2227</v>
      </c>
      <c r="C2668" s="360" t="s">
        <v>1899</v>
      </c>
      <c r="D2668" s="327">
        <f>IF($B2668="","",COUNTIF($B$6:$B2668,$B2668))</f>
        <v>1</v>
      </c>
      <c r="E2668" s="361" t="s">
        <v>2232</v>
      </c>
      <c r="F2668" s="362" t="s">
        <v>2127</v>
      </c>
      <c r="G2668" s="327" t="s">
        <v>155</v>
      </c>
      <c r="H2668" s="327"/>
      <c r="I2668" s="327">
        <v>2</v>
      </c>
      <c r="J2668" s="359"/>
      <c r="K2668" s="327"/>
      <c r="L2668" s="389">
        <v>35500</v>
      </c>
      <c r="M2668" s="371"/>
      <c r="N2668" s="355" t="s">
        <v>153</v>
      </c>
      <c r="O2668" s="404" t="s">
        <v>1781</v>
      </c>
      <c r="P2668" s="392"/>
      <c r="Q2668" s="327"/>
      <c r="R2668" s="351"/>
      <c r="S2668" s="351"/>
      <c r="T2668" s="351"/>
      <c r="U2668" s="329" t="str">
        <f>IF($N2668=$N$4,IFERROR(INDEX(DanhMuc!$E$154:$E$165,MATCH(MID($B2668,4,2),DanhMuc!$B$154:$B$165,0)),""),"")</f>
        <v/>
      </c>
      <c r="V2668" s="361"/>
      <c r="W2668" s="345"/>
      <c r="X2668" s="329" t="str">
        <f t="shared" si="282"/>
        <v>KL</v>
      </c>
      <c r="Y2668" s="1128" t="s">
        <v>3380</v>
      </c>
      <c r="Z2668" s="1128" t="s">
        <v>3381</v>
      </c>
      <c r="AA2668" s="1128" t="s">
        <v>3384</v>
      </c>
      <c r="AB2668" s="20"/>
      <c r="AC2668" s="73"/>
    </row>
    <row r="2669" spans="1:29">
      <c r="A2669" s="327" t="str">
        <f>IF(AND($B2669&lt;&gt;"",$C2669&lt;&gt;""),MAX($A$1556:A2668)+1,"")</f>
        <v/>
      </c>
      <c r="B2669" s="361" t="s">
        <v>2227</v>
      </c>
      <c r="C2669" s="360"/>
      <c r="D2669" s="327">
        <f>IF($B2669="","",COUNTIF($B$6:$B2669,$B2669))</f>
        <v>2</v>
      </c>
      <c r="E2669" s="361" t="s">
        <v>2125</v>
      </c>
      <c r="F2669" s="362" t="s">
        <v>2126</v>
      </c>
      <c r="G2669" s="327" t="s">
        <v>155</v>
      </c>
      <c r="H2669" s="327"/>
      <c r="I2669" s="327">
        <v>2</v>
      </c>
      <c r="J2669" s="359"/>
      <c r="K2669" s="327"/>
      <c r="L2669" s="389">
        <v>5000</v>
      </c>
      <c r="M2669" s="371"/>
      <c r="N2669" s="355" t="s">
        <v>153</v>
      </c>
      <c r="O2669" s="404" t="s">
        <v>1781</v>
      </c>
      <c r="P2669" s="392"/>
      <c r="Q2669" s="327"/>
      <c r="R2669" s="351"/>
      <c r="S2669" s="351"/>
      <c r="T2669" s="351"/>
      <c r="U2669" s="329" t="str">
        <f>IF($N2669=$N$4,IFERROR(INDEX(DanhMuc!$E$154:$E$165,MATCH(MID($B2669,4,2),DanhMuc!$B$154:$B$165,0)),""),"")</f>
        <v/>
      </c>
      <c r="V2669" s="361"/>
      <c r="W2669" s="345"/>
      <c r="X2669" s="329" t="str">
        <f t="shared" si="282"/>
        <v>KL</v>
      </c>
      <c r="Y2669" s="1128" t="s">
        <v>3380</v>
      </c>
      <c r="Z2669" s="1128" t="s">
        <v>3381</v>
      </c>
      <c r="AA2669" s="1128" t="s">
        <v>3384</v>
      </c>
      <c r="AB2669" s="20"/>
      <c r="AC2669" s="73"/>
    </row>
    <row r="2670" spans="1:29">
      <c r="A2670" s="327" t="str">
        <f>IF(AND($B2670&lt;&gt;"",$C2670&lt;&gt;""),MAX($A$1556:A2562)+1,"")</f>
        <v/>
      </c>
      <c r="B2670" s="361" t="s">
        <v>2227</v>
      </c>
      <c r="C2670" s="360"/>
      <c r="D2670" s="327">
        <f>IF($B2670="","",COUNTIF($B$6:$B2670,$B2670))</f>
        <v>3</v>
      </c>
      <c r="E2670" s="361" t="s">
        <v>2235</v>
      </c>
      <c r="F2670" s="362" t="s">
        <v>2970</v>
      </c>
      <c r="G2670" s="327" t="s">
        <v>344</v>
      </c>
      <c r="H2670" s="327"/>
      <c r="I2670" s="327">
        <v>1</v>
      </c>
      <c r="J2670" s="345"/>
      <c r="K2670" s="327"/>
      <c r="L2670" s="389">
        <f>28000-L2672</f>
        <v>27999</v>
      </c>
      <c r="M2670" s="371"/>
      <c r="N2670" s="355" t="str">
        <f t="shared" si="273"/>
        <v>PK</v>
      </c>
      <c r="O2670" s="404" t="s">
        <v>1971</v>
      </c>
      <c r="P2670" s="392"/>
      <c r="Q2670" s="327"/>
      <c r="R2670" s="351"/>
      <c r="S2670" s="351"/>
      <c r="T2670" s="351"/>
      <c r="U2670" s="329" t="str">
        <f>IF($N2670=$N$4,IFERROR(INDEX(DanhMuc!$E$154:$E$165,MATCH(MID($B2670,4,2),DanhMuc!$B$154:$B$165,0)),""),"")</f>
        <v/>
      </c>
      <c r="V2670" s="361"/>
      <c r="W2670" s="345"/>
      <c r="X2670" s="329" t="str">
        <f t="shared" si="282"/>
        <v>KL</v>
      </c>
      <c r="Y2670" s="1128" t="s">
        <v>3380</v>
      </c>
      <c r="Z2670" s="1128" t="s">
        <v>3381</v>
      </c>
      <c r="AA2670" s="1128" t="s">
        <v>3384</v>
      </c>
      <c r="AB2670" s="20"/>
      <c r="AC2670" s="73"/>
    </row>
    <row r="2671" spans="1:29">
      <c r="A2671" s="327" t="str">
        <f>IF(AND($B2671&lt;&gt;"",$C2671&lt;&gt;""),MAX($A$1556:A2563)+1,"")</f>
        <v/>
      </c>
      <c r="B2671" s="361" t="s">
        <v>2227</v>
      </c>
      <c r="C2671" s="360"/>
      <c r="D2671" s="327">
        <f>IF($B2671="","",COUNTIF($B$6:$B2671,$B2671))</f>
        <v>4</v>
      </c>
      <c r="E2671" s="361" t="s">
        <v>2235</v>
      </c>
      <c r="F2671" s="362" t="s">
        <v>2971</v>
      </c>
      <c r="G2671" s="327" t="s">
        <v>344</v>
      </c>
      <c r="H2671" s="327"/>
      <c r="I2671" s="327">
        <v>1</v>
      </c>
      <c r="J2671" s="345"/>
      <c r="K2671" s="327"/>
      <c r="L2671" s="389">
        <f>+L2670</f>
        <v>27999</v>
      </c>
      <c r="M2671" s="371"/>
      <c r="N2671" s="355" t="str">
        <f t="shared" si="273"/>
        <v>PK</v>
      </c>
      <c r="O2671" s="404" t="s">
        <v>1972</v>
      </c>
      <c r="P2671" s="392"/>
      <c r="Q2671" s="327"/>
      <c r="R2671" s="351"/>
      <c r="S2671" s="351"/>
      <c r="T2671" s="351"/>
      <c r="U2671" s="329" t="str">
        <f>IF($N2671=$N$4,IFERROR(INDEX(DanhMuc!$E$154:$E$165,MATCH(MID($B2671,4,2),DanhMuc!$B$154:$B$165,0)),""),"")</f>
        <v/>
      </c>
      <c r="V2671" s="361"/>
      <c r="W2671" s="345"/>
      <c r="X2671" s="329" t="str">
        <f t="shared" si="282"/>
        <v>KL</v>
      </c>
      <c r="Y2671" s="1128" t="s">
        <v>3380</v>
      </c>
      <c r="Z2671" s="1128" t="s">
        <v>3381</v>
      </c>
      <c r="AA2671" s="1128" t="s">
        <v>3384</v>
      </c>
      <c r="AB2671" s="20"/>
      <c r="AC2671" s="73"/>
    </row>
    <row r="2672" spans="1:29">
      <c r="A2672" s="327" t="str">
        <f>IF(AND($B2672&lt;&gt;"",$C2672&lt;&gt;""),MAX($A$1556:A2563)+1,"")</f>
        <v/>
      </c>
      <c r="B2672" s="361" t="s">
        <v>2227</v>
      </c>
      <c r="C2672" s="360"/>
      <c r="D2672" s="327">
        <f>IF($B2672="","",COUNTIF($B$6:$B2672,$B2672))</f>
        <v>5</v>
      </c>
      <c r="E2672" s="361" t="s">
        <v>2236</v>
      </c>
      <c r="F2672" s="362" t="s">
        <v>1970</v>
      </c>
      <c r="G2672" s="327" t="s">
        <v>155</v>
      </c>
      <c r="H2672" s="327" t="s">
        <v>536</v>
      </c>
      <c r="I2672" s="327">
        <v>1</v>
      </c>
      <c r="J2672" s="345"/>
      <c r="K2672" s="327"/>
      <c r="L2672" s="389">
        <v>1</v>
      </c>
      <c r="M2672" s="371"/>
      <c r="N2672" s="355" t="str">
        <f t="shared" si="273"/>
        <v>PK</v>
      </c>
      <c r="O2672" s="404" t="s">
        <v>1780</v>
      </c>
      <c r="P2672" s="392"/>
      <c r="Q2672" s="327"/>
      <c r="R2672" s="351"/>
      <c r="S2672" s="351"/>
      <c r="T2672" s="351"/>
      <c r="U2672" s="329" t="str">
        <f>IF($N2672=$N$4,IFERROR(INDEX(DanhMuc!$E$154:$E$165,MATCH(MID($B2672,4,2),DanhMuc!$B$154:$B$165,0)),""),"")</f>
        <v/>
      </c>
      <c r="V2672" s="361"/>
      <c r="W2672" s="345"/>
      <c r="X2672" s="329" t="str">
        <f t="shared" si="282"/>
        <v>KL</v>
      </c>
      <c r="Y2672" s="1128" t="s">
        <v>3380</v>
      </c>
      <c r="Z2672" s="1128" t="s">
        <v>3381</v>
      </c>
      <c r="AA2672" s="1128" t="s">
        <v>3384</v>
      </c>
      <c r="AB2672" s="20"/>
      <c r="AC2672" s="73"/>
    </row>
    <row r="2673" spans="1:29">
      <c r="A2673" s="327" t="str">
        <f>IF(AND($B2673&lt;&gt;"",$C2673&lt;&gt;""),MAX($A$1556:A2666)+1,"")</f>
        <v/>
      </c>
      <c r="B2673" s="361" t="s">
        <v>2227</v>
      </c>
      <c r="C2673" s="360"/>
      <c r="D2673" s="327">
        <f>IF($B2673="","",COUNTIF($B$6:$B2673,$B2673))</f>
        <v>6</v>
      </c>
      <c r="E2673" s="361" t="s">
        <v>2229</v>
      </c>
      <c r="F2673" s="362" t="s">
        <v>2230</v>
      </c>
      <c r="G2673" s="327" t="s">
        <v>155</v>
      </c>
      <c r="H2673" s="327" t="s">
        <v>536</v>
      </c>
      <c r="I2673" s="327">
        <v>4</v>
      </c>
      <c r="J2673" s="361"/>
      <c r="K2673" s="327"/>
      <c r="L2673" s="389">
        <v>10000</v>
      </c>
      <c r="M2673" s="371"/>
      <c r="N2673" s="355" t="str">
        <f t="shared" si="273"/>
        <v>PK</v>
      </c>
      <c r="O2673" s="345"/>
      <c r="P2673" s="392"/>
      <c r="Q2673" s="327"/>
      <c r="R2673" s="351"/>
      <c r="S2673" s="351"/>
      <c r="T2673" s="351"/>
      <c r="U2673" s="329" t="str">
        <f>IF($N2673=$N$4,IFERROR(INDEX(DanhMuc!$E$154:$E$165,MATCH(MID($B2673,4,2),DanhMuc!$B$154:$B$165,0)),""),"")</f>
        <v/>
      </c>
      <c r="V2673" s="361"/>
      <c r="W2673" s="345"/>
      <c r="X2673" s="329" t="str">
        <f t="shared" si="282"/>
        <v>KL</v>
      </c>
      <c r="Y2673" s="1128" t="s">
        <v>3380</v>
      </c>
      <c r="Z2673" s="1128" t="s">
        <v>3381</v>
      </c>
      <c r="AA2673" s="1128" t="s">
        <v>3384</v>
      </c>
      <c r="AB2673" s="20"/>
      <c r="AC2673" s="73"/>
    </row>
    <row r="2674" spans="1:29">
      <c r="A2674" s="327" t="str">
        <f>IF(AND($B2674&lt;&gt;"",$C2674&lt;&gt;""),MAX($A$1556:A2673)+1,"")</f>
        <v/>
      </c>
      <c r="B2674" s="361" t="s">
        <v>2227</v>
      </c>
      <c r="C2674" s="360"/>
      <c r="D2674" s="327">
        <f>IF($B2674="","",COUNTIF($B$6:$B2674,$B2674))</f>
        <v>7</v>
      </c>
      <c r="E2674" s="361" t="s">
        <v>163</v>
      </c>
      <c r="F2674" s="362" t="s">
        <v>164</v>
      </c>
      <c r="G2674" s="327" t="s">
        <v>155</v>
      </c>
      <c r="H2674" s="327"/>
      <c r="I2674" s="327">
        <v>2</v>
      </c>
      <c r="J2674" s="361"/>
      <c r="K2674" s="408"/>
      <c r="L2674" s="389">
        <v>2500</v>
      </c>
      <c r="M2674" s="371"/>
      <c r="N2674" s="355" t="str">
        <f t="shared" si="273"/>
        <v>PK</v>
      </c>
      <c r="O2674" s="345"/>
      <c r="P2674" s="392"/>
      <c r="Q2674" s="327"/>
      <c r="R2674" s="351"/>
      <c r="S2674" s="351"/>
      <c r="T2674" s="351"/>
      <c r="U2674" s="329" t="str">
        <f>IF($N2674=$N$4,IFERROR(INDEX(DanhMuc!$E$154:$E$165,MATCH(MID($B2674,4,2),DanhMuc!$B$154:$B$165,0)),""),"")</f>
        <v/>
      </c>
      <c r="V2674" s="408" t="s">
        <v>342</v>
      </c>
      <c r="W2674" s="345"/>
      <c r="X2674" s="329" t="str">
        <f t="shared" si="282"/>
        <v>KL</v>
      </c>
      <c r="Y2674" s="1128" t="s">
        <v>3380</v>
      </c>
      <c r="Z2674" s="1128" t="s">
        <v>3381</v>
      </c>
      <c r="AA2674" s="1128" t="s">
        <v>3384</v>
      </c>
      <c r="AB2674" s="20"/>
      <c r="AC2674" s="73"/>
    </row>
    <row r="2675" spans="1:29">
      <c r="A2675" s="327" t="str">
        <f>IF(AND($B2675&lt;&gt;"",$C2675&lt;&gt;""),MAX($A$1556:A2674)+1,"")</f>
        <v/>
      </c>
      <c r="B2675" s="361" t="s">
        <v>2227</v>
      </c>
      <c r="C2675" s="360"/>
      <c r="D2675" s="327">
        <f>IF($B2675="","",COUNTIF($B$6:$B2675,$B2675))</f>
        <v>8</v>
      </c>
      <c r="E2675" s="361" t="s">
        <v>187</v>
      </c>
      <c r="F2675" s="362" t="s">
        <v>188</v>
      </c>
      <c r="G2675" s="327" t="s">
        <v>155</v>
      </c>
      <c r="H2675" s="327"/>
      <c r="I2675" s="327">
        <v>4</v>
      </c>
      <c r="J2675" s="361"/>
      <c r="K2675" s="327"/>
      <c r="L2675" s="389">
        <v>5000</v>
      </c>
      <c r="M2675" s="371"/>
      <c r="N2675" s="355" t="str">
        <f t="shared" si="273"/>
        <v>PK</v>
      </c>
      <c r="O2675" s="345"/>
      <c r="P2675" s="392"/>
      <c r="Q2675" s="327"/>
      <c r="R2675" s="351"/>
      <c r="S2675" s="351"/>
      <c r="T2675" s="351"/>
      <c r="U2675" s="329" t="str">
        <f>IF($N2675=$N$4,IFERROR(INDEX(DanhMuc!$E$154:$E$165,MATCH(MID($B2675,4,2),DanhMuc!$B$154:$B$165,0)),""),"")</f>
        <v/>
      </c>
      <c r="V2675" s="361"/>
      <c r="W2675" s="345"/>
      <c r="X2675" s="329" t="str">
        <f t="shared" si="282"/>
        <v>KL</v>
      </c>
      <c r="Y2675" s="1128" t="s">
        <v>3380</v>
      </c>
      <c r="Z2675" s="1128" t="s">
        <v>3381</v>
      </c>
      <c r="AA2675" s="1128" t="s">
        <v>3384</v>
      </c>
      <c r="AB2675" s="20"/>
      <c r="AC2675" s="73"/>
    </row>
    <row r="2676" spans="1:29">
      <c r="A2676" s="327" t="str">
        <f>IF(AND($B2676&lt;&gt;"",$C2676&lt;&gt;""),MAX($A$1556:A2675)+1,"")</f>
        <v/>
      </c>
      <c r="B2676" s="361" t="s">
        <v>2227</v>
      </c>
      <c r="C2676" s="360"/>
      <c r="D2676" s="327">
        <f>IF($B2676="","",COUNTIF($B$6:$B2676,$B2676))</f>
        <v>9</v>
      </c>
      <c r="E2676" s="361" t="s">
        <v>172</v>
      </c>
      <c r="F2676" s="362" t="s">
        <v>173</v>
      </c>
      <c r="G2676" s="327" t="s">
        <v>155</v>
      </c>
      <c r="H2676" s="327"/>
      <c r="I2676" s="327">
        <v>1</v>
      </c>
      <c r="J2676" s="361"/>
      <c r="K2676" s="327"/>
      <c r="L2676" s="389">
        <v>6000</v>
      </c>
      <c r="M2676" s="371"/>
      <c r="N2676" s="355" t="str">
        <f t="shared" si="273"/>
        <v>PK</v>
      </c>
      <c r="O2676" s="345"/>
      <c r="P2676" s="392"/>
      <c r="Q2676" s="327"/>
      <c r="R2676" s="351"/>
      <c r="S2676" s="351"/>
      <c r="T2676" s="351"/>
      <c r="U2676" s="329" t="str">
        <f>IF($N2676=$N$4,IFERROR(INDEX(DanhMuc!$E$154:$E$165,MATCH(MID($B2676,4,2),DanhMuc!$B$154:$B$165,0)),""),"")</f>
        <v/>
      </c>
      <c r="V2676" s="361"/>
      <c r="W2676" s="345"/>
      <c r="X2676" s="329" t="str">
        <f t="shared" si="282"/>
        <v>KL</v>
      </c>
      <c r="Y2676" s="1128" t="s">
        <v>3380</v>
      </c>
      <c r="Z2676" s="1128" t="s">
        <v>3381</v>
      </c>
      <c r="AA2676" s="1128" t="s">
        <v>3384</v>
      </c>
      <c r="AB2676" s="20"/>
      <c r="AC2676" s="73"/>
    </row>
    <row r="2677" spans="1:29" ht="39">
      <c r="A2677" s="327">
        <f>IF(AND($B2677&lt;&gt;"",$C2677&lt;&gt;""),MAX($A$1556:A2676)+1,"")</f>
        <v>144</v>
      </c>
      <c r="B2677" s="359" t="s">
        <v>2228</v>
      </c>
      <c r="C2677" s="360" t="s">
        <v>2226</v>
      </c>
      <c r="D2677" s="327">
        <f>IF($B2677="","",COUNTIF($B$6:$B2677,$B2677))</f>
        <v>1</v>
      </c>
      <c r="E2677" s="361" t="s">
        <v>2232</v>
      </c>
      <c r="F2677" s="362" t="s">
        <v>2127</v>
      </c>
      <c r="G2677" s="327" t="s">
        <v>155</v>
      </c>
      <c r="H2677" s="327"/>
      <c r="I2677" s="327">
        <v>3</v>
      </c>
      <c r="J2677" s="359"/>
      <c r="K2677" s="327"/>
      <c r="L2677" s="389">
        <v>35500</v>
      </c>
      <c r="M2677" s="371"/>
      <c r="N2677" s="355" t="s">
        <v>153</v>
      </c>
      <c r="O2677" s="404" t="s">
        <v>1781</v>
      </c>
      <c r="P2677" s="392"/>
      <c r="Q2677" s="327"/>
      <c r="R2677" s="351"/>
      <c r="S2677" s="351"/>
      <c r="T2677" s="351"/>
      <c r="U2677" s="329" t="str">
        <f>IF($N2677=$N$4,IFERROR(INDEX(DanhMuc!$E$154:$E$165,MATCH(MID($B2677,4,2),DanhMuc!$B$154:$B$165,0)),""),"")</f>
        <v/>
      </c>
      <c r="V2677" s="361"/>
      <c r="W2677" s="345"/>
      <c r="X2677" s="329" t="str">
        <f t="shared" si="282"/>
        <v>KL</v>
      </c>
      <c r="Y2677" s="1128" t="s">
        <v>3380</v>
      </c>
      <c r="Z2677" s="1128" t="s">
        <v>3381</v>
      </c>
      <c r="AA2677" s="1128" t="s">
        <v>3384</v>
      </c>
      <c r="AB2677" s="20"/>
      <c r="AC2677" s="73"/>
    </row>
    <row r="2678" spans="1:29">
      <c r="A2678" s="327" t="str">
        <f>IF(AND($B2678&lt;&gt;"",$C2678&lt;&gt;""),MAX($A$1556:A2677)+1,"")</f>
        <v/>
      </c>
      <c r="B2678" s="361" t="s">
        <v>2228</v>
      </c>
      <c r="C2678" s="360"/>
      <c r="D2678" s="327">
        <f>IF($B2678="","",COUNTIF($B$6:$B2678,$B2678))</f>
        <v>2</v>
      </c>
      <c r="E2678" s="361" t="s">
        <v>2125</v>
      </c>
      <c r="F2678" s="362" t="s">
        <v>2126</v>
      </c>
      <c r="G2678" s="327" t="s">
        <v>155</v>
      </c>
      <c r="H2678" s="327"/>
      <c r="I2678" s="327">
        <v>3</v>
      </c>
      <c r="J2678" s="359"/>
      <c r="K2678" s="327"/>
      <c r="L2678" s="389">
        <v>5000</v>
      </c>
      <c r="M2678" s="371"/>
      <c r="N2678" s="355" t="s">
        <v>153</v>
      </c>
      <c r="O2678" s="404" t="s">
        <v>1781</v>
      </c>
      <c r="P2678" s="392"/>
      <c r="Q2678" s="327"/>
      <c r="R2678" s="351"/>
      <c r="S2678" s="351"/>
      <c r="T2678" s="351"/>
      <c r="U2678" s="329" t="str">
        <f>IF($N2678=$N$4,IFERROR(INDEX(DanhMuc!$E$154:$E$165,MATCH(MID($B2678,4,2),DanhMuc!$B$154:$B$165,0)),""),"")</f>
        <v/>
      </c>
      <c r="V2678" s="361"/>
      <c r="W2678" s="345"/>
      <c r="X2678" s="329" t="str">
        <f t="shared" si="282"/>
        <v>KL</v>
      </c>
      <c r="Y2678" s="1128" t="s">
        <v>3380</v>
      </c>
      <c r="Z2678" s="1128" t="s">
        <v>3381</v>
      </c>
      <c r="AA2678" s="1128" t="s">
        <v>3384</v>
      </c>
      <c r="AB2678" s="20"/>
      <c r="AC2678" s="73"/>
    </row>
    <row r="2679" spans="1:29">
      <c r="A2679" s="327" t="str">
        <f>IF(AND($B2679&lt;&gt;"",$C2679&lt;&gt;""),MAX($A$1556:A2571)+1,"")</f>
        <v/>
      </c>
      <c r="B2679" s="361" t="s">
        <v>2228</v>
      </c>
      <c r="C2679" s="360"/>
      <c r="D2679" s="327">
        <f>IF($B2679="","",COUNTIF($B$6:$B2679,$B2679))</f>
        <v>3</v>
      </c>
      <c r="E2679" s="361" t="s">
        <v>2235</v>
      </c>
      <c r="F2679" s="362" t="s">
        <v>2970</v>
      </c>
      <c r="G2679" s="327" t="s">
        <v>344</v>
      </c>
      <c r="H2679" s="327"/>
      <c r="I2679" s="327">
        <v>2</v>
      </c>
      <c r="J2679" s="345"/>
      <c r="K2679" s="327"/>
      <c r="L2679" s="389">
        <f>28000-L2681</f>
        <v>27999</v>
      </c>
      <c r="M2679" s="371"/>
      <c r="N2679" s="355" t="str">
        <f t="shared" si="273"/>
        <v>PK</v>
      </c>
      <c r="O2679" s="404" t="s">
        <v>1971</v>
      </c>
      <c r="P2679" s="392"/>
      <c r="Q2679" s="327"/>
      <c r="R2679" s="351"/>
      <c r="S2679" s="351"/>
      <c r="T2679" s="351"/>
      <c r="U2679" s="329" t="str">
        <f>IF($N2679=$N$4,IFERROR(INDEX(DanhMuc!$E$154:$E$165,MATCH(MID($B2679,4,2),DanhMuc!$B$154:$B$165,0)),""),"")</f>
        <v/>
      </c>
      <c r="V2679" s="361"/>
      <c r="W2679" s="345"/>
      <c r="X2679" s="329" t="str">
        <f t="shared" si="282"/>
        <v>KL</v>
      </c>
      <c r="Y2679" s="1128" t="s">
        <v>3380</v>
      </c>
      <c r="Z2679" s="1128" t="s">
        <v>3381</v>
      </c>
      <c r="AA2679" s="1128" t="s">
        <v>3384</v>
      </c>
      <c r="AB2679" s="20"/>
      <c r="AC2679" s="73"/>
    </row>
    <row r="2680" spans="1:29">
      <c r="A2680" s="327" t="str">
        <f>IF(AND($B2680&lt;&gt;"",$C2680&lt;&gt;""),MAX($A$1556:A2572)+1,"")</f>
        <v/>
      </c>
      <c r="B2680" s="361" t="s">
        <v>2228</v>
      </c>
      <c r="C2680" s="360"/>
      <c r="D2680" s="327">
        <f>IF($B2680="","",COUNTIF($B$6:$B2680,$B2680))</f>
        <v>4</v>
      </c>
      <c r="E2680" s="361" t="s">
        <v>2235</v>
      </c>
      <c r="F2680" s="362" t="s">
        <v>2971</v>
      </c>
      <c r="G2680" s="327" t="s">
        <v>344</v>
      </c>
      <c r="H2680" s="327"/>
      <c r="I2680" s="327">
        <v>2</v>
      </c>
      <c r="J2680" s="345"/>
      <c r="K2680" s="327"/>
      <c r="L2680" s="389">
        <f>+L2679</f>
        <v>27999</v>
      </c>
      <c r="M2680" s="371"/>
      <c r="N2680" s="355" t="str">
        <f t="shared" si="273"/>
        <v>PK</v>
      </c>
      <c r="O2680" s="404" t="s">
        <v>1972</v>
      </c>
      <c r="P2680" s="392"/>
      <c r="Q2680" s="327"/>
      <c r="R2680" s="351"/>
      <c r="S2680" s="351"/>
      <c r="T2680" s="351"/>
      <c r="U2680" s="329" t="str">
        <f>IF($N2680=$N$4,IFERROR(INDEX(DanhMuc!$E$154:$E$165,MATCH(MID($B2680,4,2),DanhMuc!$B$154:$B$165,0)),""),"")</f>
        <v/>
      </c>
      <c r="V2680" s="361"/>
      <c r="W2680" s="345"/>
      <c r="X2680" s="329" t="str">
        <f t="shared" si="282"/>
        <v>KL</v>
      </c>
      <c r="Y2680" s="1128" t="s">
        <v>3380</v>
      </c>
      <c r="Z2680" s="1128" t="s">
        <v>3381</v>
      </c>
      <c r="AA2680" s="1128" t="s">
        <v>3384</v>
      </c>
      <c r="AB2680" s="20"/>
      <c r="AC2680" s="73"/>
    </row>
    <row r="2681" spans="1:29">
      <c r="A2681" s="327" t="str">
        <f>IF(AND($B2681&lt;&gt;"",$C2681&lt;&gt;""),MAX($A$1556:A2572)+1,"")</f>
        <v/>
      </c>
      <c r="B2681" s="361" t="s">
        <v>2228</v>
      </c>
      <c r="C2681" s="360"/>
      <c r="D2681" s="327">
        <f>IF($B2681="","",COUNTIF($B$6:$B2681,$B2681))</f>
        <v>5</v>
      </c>
      <c r="E2681" s="361" t="s">
        <v>2236</v>
      </c>
      <c r="F2681" s="362" t="s">
        <v>1970</v>
      </c>
      <c r="G2681" s="327" t="s">
        <v>155</v>
      </c>
      <c r="H2681" s="327" t="s">
        <v>536</v>
      </c>
      <c r="I2681" s="327">
        <v>2</v>
      </c>
      <c r="J2681" s="345"/>
      <c r="K2681" s="327"/>
      <c r="L2681" s="389">
        <v>1</v>
      </c>
      <c r="M2681" s="371"/>
      <c r="N2681" s="355" t="str">
        <f t="shared" si="273"/>
        <v>PK</v>
      </c>
      <c r="O2681" s="404" t="s">
        <v>1780</v>
      </c>
      <c r="P2681" s="392"/>
      <c r="Q2681" s="327"/>
      <c r="R2681" s="351"/>
      <c r="S2681" s="351"/>
      <c r="T2681" s="351"/>
      <c r="U2681" s="329" t="str">
        <f>IF($N2681=$N$4,IFERROR(INDEX(DanhMuc!$E$154:$E$165,MATCH(MID($B2681,4,2),DanhMuc!$B$154:$B$165,0)),""),"")</f>
        <v/>
      </c>
      <c r="V2681" s="361"/>
      <c r="W2681" s="345"/>
      <c r="X2681" s="329" t="str">
        <f t="shared" si="282"/>
        <v>KL</v>
      </c>
      <c r="Y2681" s="1128" t="s">
        <v>3380</v>
      </c>
      <c r="Z2681" s="1128" t="s">
        <v>3381</v>
      </c>
      <c r="AA2681" s="1128" t="s">
        <v>3384</v>
      </c>
      <c r="AB2681" s="20"/>
      <c r="AC2681" s="73"/>
    </row>
    <row r="2682" spans="1:29">
      <c r="A2682" s="327" t="str">
        <f>IF(AND($B2682&lt;&gt;"",$C2682&lt;&gt;""),MAX($A$1556:A2676)+1,"")</f>
        <v/>
      </c>
      <c r="B2682" s="361" t="s">
        <v>2228</v>
      </c>
      <c r="C2682" s="360"/>
      <c r="D2682" s="327">
        <f>IF($B2682="","",COUNTIF($B$6:$B2682,$B2682))</f>
        <v>6</v>
      </c>
      <c r="E2682" s="361" t="s">
        <v>2229</v>
      </c>
      <c r="F2682" s="362" t="s">
        <v>2230</v>
      </c>
      <c r="G2682" s="327" t="s">
        <v>155</v>
      </c>
      <c r="H2682" s="327" t="s">
        <v>536</v>
      </c>
      <c r="I2682" s="327">
        <v>8</v>
      </c>
      <c r="J2682" s="361"/>
      <c r="K2682" s="327"/>
      <c r="L2682" s="389">
        <v>10000</v>
      </c>
      <c r="M2682" s="371"/>
      <c r="N2682" s="355" t="str">
        <f t="shared" si="273"/>
        <v>PK</v>
      </c>
      <c r="O2682" s="345"/>
      <c r="P2682" s="392"/>
      <c r="Q2682" s="327"/>
      <c r="R2682" s="351"/>
      <c r="S2682" s="351"/>
      <c r="T2682" s="351"/>
      <c r="U2682" s="329" t="str">
        <f>IF($N2682=$N$4,IFERROR(INDEX(DanhMuc!$E$154:$E$165,MATCH(MID($B2682,4,2),DanhMuc!$B$154:$B$165,0)),""),"")</f>
        <v/>
      </c>
      <c r="V2682" s="361"/>
      <c r="W2682" s="345"/>
      <c r="X2682" s="329" t="str">
        <f t="shared" ref="X2682:X3476" si="283">IF($N2682="PR",$E2682,MID($B2682,10,2))</f>
        <v>KL</v>
      </c>
      <c r="Y2682" s="1128" t="s">
        <v>3380</v>
      </c>
      <c r="Z2682" s="1128" t="s">
        <v>3381</v>
      </c>
      <c r="AA2682" s="1128" t="s">
        <v>3384</v>
      </c>
      <c r="AB2682" s="20"/>
      <c r="AC2682" s="73"/>
    </row>
    <row r="2683" spans="1:29">
      <c r="A2683" s="327" t="str">
        <f>IF(AND($B2683&lt;&gt;"",$C2683&lt;&gt;""),MAX($A$1556:A2682)+1,"")</f>
        <v/>
      </c>
      <c r="B2683" s="361" t="s">
        <v>2228</v>
      </c>
      <c r="C2683" s="360"/>
      <c r="D2683" s="327">
        <f>IF($B2683="","",COUNTIF($B$6:$B2683,$B2683))</f>
        <v>7</v>
      </c>
      <c r="E2683" s="361" t="s">
        <v>163</v>
      </c>
      <c r="F2683" s="362" t="s">
        <v>164</v>
      </c>
      <c r="G2683" s="327" t="s">
        <v>155</v>
      </c>
      <c r="H2683" s="327"/>
      <c r="I2683" s="327">
        <v>4</v>
      </c>
      <c r="J2683" s="361"/>
      <c r="K2683" s="408"/>
      <c r="L2683" s="389">
        <v>2500</v>
      </c>
      <c r="M2683" s="371"/>
      <c r="N2683" s="355" t="str">
        <f t="shared" si="273"/>
        <v>PK</v>
      </c>
      <c r="O2683" s="345"/>
      <c r="P2683" s="392"/>
      <c r="Q2683" s="327"/>
      <c r="R2683" s="351"/>
      <c r="S2683" s="351"/>
      <c r="T2683" s="351"/>
      <c r="U2683" s="329" t="str">
        <f>IF($N2683=$N$4,IFERROR(INDEX(DanhMuc!$E$154:$E$165,MATCH(MID($B2683,4,2),DanhMuc!$B$154:$B$165,0)),""),"")</f>
        <v/>
      </c>
      <c r="V2683" s="408" t="s">
        <v>342</v>
      </c>
      <c r="W2683" s="345"/>
      <c r="X2683" s="329" t="str">
        <f t="shared" si="283"/>
        <v>KL</v>
      </c>
      <c r="Y2683" s="1128" t="s">
        <v>3380</v>
      </c>
      <c r="Z2683" s="1128" t="s">
        <v>3381</v>
      </c>
      <c r="AA2683" s="1128" t="s">
        <v>3384</v>
      </c>
      <c r="AB2683" s="20"/>
      <c r="AC2683" s="73"/>
    </row>
    <row r="2684" spans="1:29">
      <c r="A2684" s="327" t="str">
        <f>IF(AND($B2684&lt;&gt;"",$C2684&lt;&gt;""),MAX($A$1556:A2683)+1,"")</f>
        <v/>
      </c>
      <c r="B2684" s="361" t="s">
        <v>2228</v>
      </c>
      <c r="C2684" s="360"/>
      <c r="D2684" s="327">
        <f>IF($B2684="","",COUNTIF($B$6:$B2684,$B2684))</f>
        <v>8</v>
      </c>
      <c r="E2684" s="361" t="s">
        <v>187</v>
      </c>
      <c r="F2684" s="362" t="s">
        <v>188</v>
      </c>
      <c r="G2684" s="327" t="s">
        <v>155</v>
      </c>
      <c r="H2684" s="327"/>
      <c r="I2684" s="327">
        <v>8</v>
      </c>
      <c r="J2684" s="361"/>
      <c r="K2684" s="327"/>
      <c r="L2684" s="389">
        <v>5000</v>
      </c>
      <c r="M2684" s="371"/>
      <c r="N2684" s="355" t="str">
        <f t="shared" si="273"/>
        <v>PK</v>
      </c>
      <c r="O2684" s="345"/>
      <c r="P2684" s="392"/>
      <c r="Q2684" s="327"/>
      <c r="R2684" s="351"/>
      <c r="S2684" s="351"/>
      <c r="T2684" s="351"/>
      <c r="U2684" s="329" t="str">
        <f>IF($N2684=$N$4,IFERROR(INDEX(DanhMuc!$E$154:$E$165,MATCH(MID($B2684,4,2),DanhMuc!$B$154:$B$165,0)),""),"")</f>
        <v/>
      </c>
      <c r="V2684" s="361"/>
      <c r="W2684" s="345"/>
      <c r="X2684" s="329" t="str">
        <f t="shared" si="283"/>
        <v>KL</v>
      </c>
      <c r="Y2684" s="1128" t="s">
        <v>3380</v>
      </c>
      <c r="Z2684" s="1128" t="s">
        <v>3381</v>
      </c>
      <c r="AA2684" s="1128" t="s">
        <v>3384</v>
      </c>
      <c r="AB2684" s="20"/>
      <c r="AC2684" s="73"/>
    </row>
    <row r="2685" spans="1:29">
      <c r="A2685" s="327" t="str">
        <f>IF(AND($B2685&lt;&gt;"",$C2685&lt;&gt;""),MAX($A$1556:A2684)+1,"")</f>
        <v/>
      </c>
      <c r="B2685" s="361" t="s">
        <v>2228</v>
      </c>
      <c r="C2685" s="360"/>
      <c r="D2685" s="327">
        <f>IF($B2685="","",COUNTIF($B$6:$B2685,$B2685))</f>
        <v>9</v>
      </c>
      <c r="E2685" s="361" t="s">
        <v>172</v>
      </c>
      <c r="F2685" s="362" t="s">
        <v>173</v>
      </c>
      <c r="G2685" s="327" t="s">
        <v>155</v>
      </c>
      <c r="H2685" s="327"/>
      <c r="I2685" s="327">
        <v>2</v>
      </c>
      <c r="J2685" s="361"/>
      <c r="K2685" s="327"/>
      <c r="L2685" s="389">
        <v>6000</v>
      </c>
      <c r="M2685" s="371"/>
      <c r="N2685" s="355" t="str">
        <f t="shared" si="273"/>
        <v>PK</v>
      </c>
      <c r="O2685" s="345"/>
      <c r="P2685" s="392"/>
      <c r="Q2685" s="327"/>
      <c r="R2685" s="351"/>
      <c r="S2685" s="351"/>
      <c r="T2685" s="351"/>
      <c r="U2685" s="329" t="str">
        <f>IF($N2685=$N$4,IFERROR(INDEX(DanhMuc!$E$154:$E$165,MATCH(MID($B2685,4,2),DanhMuc!$B$154:$B$165,0)),""),"")</f>
        <v/>
      </c>
      <c r="V2685" s="361"/>
      <c r="W2685" s="345"/>
      <c r="X2685" s="329" t="str">
        <f t="shared" si="283"/>
        <v>KL</v>
      </c>
      <c r="Y2685" s="1128" t="s">
        <v>3380</v>
      </c>
      <c r="Z2685" s="1128" t="s">
        <v>3381</v>
      </c>
      <c r="AA2685" s="1128" t="s">
        <v>3384</v>
      </c>
      <c r="AB2685" s="20"/>
      <c r="AC2685" s="73"/>
    </row>
    <row r="2686" spans="1:29">
      <c r="A2686" s="327" t="str">
        <f>IF(AND($B2686&lt;&gt;"",$C2686&lt;&gt;""),MAX($A$1556:A2452)+1,"")</f>
        <v/>
      </c>
      <c r="B2686" s="361"/>
      <c r="C2686" s="360"/>
      <c r="D2686" s="327" t="str">
        <f>IF($B2686="","",COUNTIF($B$6:$B2686,$B2686))</f>
        <v/>
      </c>
      <c r="E2686" s="361"/>
      <c r="F2686" s="362"/>
      <c r="G2686" s="327"/>
      <c r="H2686" s="327"/>
      <c r="I2686" s="327"/>
      <c r="J2686" s="345"/>
      <c r="K2686" s="327"/>
      <c r="L2686" s="389"/>
      <c r="M2686" s="371"/>
      <c r="N2686" s="355" t="str">
        <f t="shared" si="273"/>
        <v>PK</v>
      </c>
      <c r="O2686" s="347"/>
      <c r="P2686" s="392"/>
      <c r="Q2686" s="327"/>
      <c r="R2686" s="351"/>
      <c r="S2686" s="351"/>
      <c r="T2686" s="351"/>
      <c r="U2686" s="329" t="str">
        <f>IF($N2686=$N$4,IFERROR(INDEX(DanhMuc!$E$154:$E$165,MATCH(MID($B2686,4,2),DanhMuc!$B$154:$B$165,0)),""),"")</f>
        <v/>
      </c>
      <c r="V2686" s="408" t="s">
        <v>343</v>
      </c>
      <c r="W2686" s="345"/>
      <c r="X2686" s="329" t="str">
        <f t="shared" si="283"/>
        <v/>
      </c>
      <c r="Y2686" s="1128" t="s">
        <v>3380</v>
      </c>
      <c r="Z2686" s="1128" t="s">
        <v>3381</v>
      </c>
      <c r="AA2686" s="1128" t="s">
        <v>3384</v>
      </c>
      <c r="AB2686" s="20"/>
      <c r="AC2686" s="73"/>
    </row>
    <row r="2687" spans="1:29" s="21" customFormat="1">
      <c r="A2687" s="393"/>
      <c r="B2687" s="394" t="s">
        <v>2866</v>
      </c>
      <c r="C2687" s="395" t="s">
        <v>2867</v>
      </c>
      <c r="D2687" s="396"/>
      <c r="E2687" s="396"/>
      <c r="F2687" s="397"/>
      <c r="G2687" s="396"/>
      <c r="H2687" s="351"/>
      <c r="I2687" s="396"/>
      <c r="J2687" s="396"/>
      <c r="K2687" s="393"/>
      <c r="L2687" s="389"/>
      <c r="M2687" s="398"/>
      <c r="N2687" s="398" t="str">
        <f t="shared" ref="N2687:N2709" si="284">+$N$1555</f>
        <v>PK</v>
      </c>
      <c r="O2687" s="394"/>
      <c r="P2687" s="392"/>
      <c r="Q2687" s="351"/>
      <c r="R2687" s="351"/>
      <c r="S2687" s="351"/>
      <c r="T2687" s="351"/>
      <c r="U2687" s="329" t="str">
        <f>IF($N2687=$N$4,IFERROR(INDEX(DanhMuc!$E$154:$E$165,MATCH(MID($B2687,4,2),DanhMuc!$B$154:$B$165,0)),""),"")</f>
        <v/>
      </c>
      <c r="V2687" s="351"/>
      <c r="W2687" s="345"/>
      <c r="X2687" s="329" t="str">
        <f>IF($N2687="PR",$E2687,MID($B2687,10,2))</f>
        <v/>
      </c>
      <c r="Y2687" s="1128" t="s">
        <v>3380</v>
      </c>
      <c r="Z2687" s="1128" t="s">
        <v>3381</v>
      </c>
      <c r="AA2687" s="1128" t="s">
        <v>3384</v>
      </c>
      <c r="AB2687" s="20"/>
      <c r="AC2687" s="73"/>
    </row>
    <row r="2688" spans="1:29" ht="26">
      <c r="A2688" s="327">
        <f>IF(AND($B2688&lt;&gt;"",$C2688&lt;&gt;""),MAX($A$1556:A2687)+1,"")</f>
        <v>145</v>
      </c>
      <c r="B2688" s="359" t="s">
        <v>2868</v>
      </c>
      <c r="C2688" s="360" t="s">
        <v>1527</v>
      </c>
      <c r="D2688" s="327">
        <f>IF($B2688="","",COUNTIF($B$6:$B2688,$B2688))</f>
        <v>1</v>
      </c>
      <c r="E2688" s="361" t="s">
        <v>2892</v>
      </c>
      <c r="F2688" s="362" t="s">
        <v>196</v>
      </c>
      <c r="G2688" s="327" t="s">
        <v>344</v>
      </c>
      <c r="H2688" s="327"/>
      <c r="I2688" s="327">
        <v>1</v>
      </c>
      <c r="J2688" s="361"/>
      <c r="K2688" s="327"/>
      <c r="L2688" s="389">
        <v>126361</v>
      </c>
      <c r="M2688" s="371"/>
      <c r="N2688" s="355" t="str">
        <f t="shared" si="284"/>
        <v>PK</v>
      </c>
      <c r="O2688" s="345"/>
      <c r="P2688" s="392"/>
      <c r="Q2688" s="327"/>
      <c r="R2688" s="351"/>
      <c r="S2688" s="351"/>
      <c r="T2688" s="351"/>
      <c r="U2688" s="329" t="str">
        <f>IF($N2688=$N$4,IFERROR(INDEX(DanhMuc!$E$154:$E$165,MATCH(MID($B2688,4,2),DanhMuc!$B$154:$B$165,0)),""),"")</f>
        <v/>
      </c>
      <c r="V2688" s="361"/>
      <c r="W2688" s="345"/>
      <c r="X2688" s="329" t="str">
        <f t="shared" ref="X2688:X2753" si="285">IF($N2688="PR",$E2688,MID($B2688,10,2))</f>
        <v>DR</v>
      </c>
      <c r="Y2688" s="1128" t="s">
        <v>3380</v>
      </c>
      <c r="Z2688" s="1128" t="s">
        <v>3381</v>
      </c>
      <c r="AA2688" s="1128" t="s">
        <v>3384</v>
      </c>
      <c r="AB2688" s="20"/>
      <c r="AC2688" s="73"/>
    </row>
    <row r="2689" spans="1:29">
      <c r="A2689" s="327" t="str">
        <f>IF(AND($B2689&lt;&gt;"",$C2689&lt;&gt;""),MAX($A$1556:A2688)+1,"")</f>
        <v/>
      </c>
      <c r="B2689" s="361" t="s">
        <v>2868</v>
      </c>
      <c r="C2689" s="360"/>
      <c r="D2689" s="327">
        <f>IF($B2689="","",COUNTIF($B$6:$B2689,$B2689))</f>
        <v>2</v>
      </c>
      <c r="E2689" s="399" t="s">
        <v>2901</v>
      </c>
      <c r="F2689" s="400" t="s">
        <v>323</v>
      </c>
      <c r="G2689" s="327" t="s">
        <v>155</v>
      </c>
      <c r="H2689" s="327" t="s">
        <v>536</v>
      </c>
      <c r="I2689" s="327">
        <v>1</v>
      </c>
      <c r="J2689" s="345"/>
      <c r="K2689" s="327"/>
      <c r="L2689" s="389">
        <v>120913</v>
      </c>
      <c r="M2689" s="371"/>
      <c r="N2689" s="355" t="str">
        <f t="shared" si="284"/>
        <v>PK</v>
      </c>
      <c r="O2689" s="345" t="s">
        <v>1060</v>
      </c>
      <c r="P2689" s="392"/>
      <c r="Q2689" s="327"/>
      <c r="R2689" s="351"/>
      <c r="S2689" s="351"/>
      <c r="T2689" s="351"/>
      <c r="U2689" s="329" t="str">
        <f>IF($N2689=$N$4,IFERROR(INDEX(DanhMuc!$E$154:$E$165,MATCH(MID($B2689,4,2),DanhMuc!$B$154:$B$165,0)),""),"")</f>
        <v/>
      </c>
      <c r="V2689" s="361"/>
      <c r="W2689" s="345"/>
      <c r="X2689" s="329" t="str">
        <f t="shared" si="285"/>
        <v>DR</v>
      </c>
      <c r="Y2689" s="1128" t="s">
        <v>3380</v>
      </c>
      <c r="Z2689" s="1128" t="s">
        <v>3381</v>
      </c>
      <c r="AA2689" s="1128" t="s">
        <v>3384</v>
      </c>
      <c r="AB2689" s="20"/>
      <c r="AC2689" s="73"/>
    </row>
    <row r="2690" spans="1:29">
      <c r="A2690" s="327" t="str">
        <f>IF(AND($B2690&lt;&gt;"",$C2690&lt;&gt;""),MAX($A$1556:A2689)+1,"")</f>
        <v/>
      </c>
      <c r="B2690" s="361" t="s">
        <v>2868</v>
      </c>
      <c r="C2690" s="360"/>
      <c r="D2690" s="327">
        <f>IF($B2690="","",COUNTIF($B$6:$B2690,$B2690))</f>
        <v>3</v>
      </c>
      <c r="E2690" s="399" t="s">
        <v>2904</v>
      </c>
      <c r="F2690" s="400" t="s">
        <v>340</v>
      </c>
      <c r="G2690" s="327" t="s">
        <v>155</v>
      </c>
      <c r="H2690" s="327" t="s">
        <v>536</v>
      </c>
      <c r="I2690" s="327">
        <v>1</v>
      </c>
      <c r="J2690" s="345"/>
      <c r="K2690" s="327"/>
      <c r="L2690" s="389">
        <v>120913</v>
      </c>
      <c r="M2690" s="371"/>
      <c r="N2690" s="355" t="str">
        <f t="shared" si="284"/>
        <v>PK</v>
      </c>
      <c r="O2690" s="401" t="s">
        <v>2705</v>
      </c>
      <c r="P2690" s="392"/>
      <c r="Q2690" s="327"/>
      <c r="R2690" s="351"/>
      <c r="S2690" s="351"/>
      <c r="T2690" s="351"/>
      <c r="U2690" s="329" t="str">
        <f>IF($N2690=$N$4,IFERROR(INDEX(DanhMuc!$E$154:$E$165,MATCH(MID($B2690,4,2),DanhMuc!$B$154:$B$165,0)),""),"")</f>
        <v/>
      </c>
      <c r="V2690" s="361"/>
      <c r="W2690" s="345"/>
      <c r="X2690" s="329" t="str">
        <f t="shared" si="285"/>
        <v>DR</v>
      </c>
      <c r="Y2690" s="1128" t="s">
        <v>3380</v>
      </c>
      <c r="Z2690" s="1128" t="s">
        <v>3381</v>
      </c>
      <c r="AA2690" s="1128" t="s">
        <v>3384</v>
      </c>
      <c r="AB2690" s="20"/>
      <c r="AC2690" s="73"/>
    </row>
    <row r="2691" spans="1:29">
      <c r="A2691" s="327" t="str">
        <f>IF(AND($B2691&lt;&gt;"",$C2691&lt;&gt;""),MAX($A$1556:A2690)+1,"")</f>
        <v/>
      </c>
      <c r="B2691" s="361" t="s">
        <v>2868</v>
      </c>
      <c r="C2691" s="360"/>
      <c r="D2691" s="327">
        <f>IF($B2691="","",COUNTIF($B$6:$B2691,$B2691))</f>
        <v>4</v>
      </c>
      <c r="E2691" s="399" t="s">
        <v>2903</v>
      </c>
      <c r="F2691" s="400" t="s">
        <v>341</v>
      </c>
      <c r="G2691" s="327" t="s">
        <v>155</v>
      </c>
      <c r="H2691" s="327" t="s">
        <v>536</v>
      </c>
      <c r="I2691" s="327">
        <v>1</v>
      </c>
      <c r="J2691" s="345"/>
      <c r="K2691" s="327"/>
      <c r="L2691" s="389">
        <v>120913</v>
      </c>
      <c r="M2691" s="371"/>
      <c r="N2691" s="355" t="str">
        <f t="shared" si="284"/>
        <v>PK</v>
      </c>
      <c r="O2691" s="401" t="s">
        <v>2706</v>
      </c>
      <c r="P2691" s="392"/>
      <c r="Q2691" s="327"/>
      <c r="R2691" s="351"/>
      <c r="S2691" s="351"/>
      <c r="T2691" s="351"/>
      <c r="U2691" s="329" t="str">
        <f>IF($N2691=$N$4,IFERROR(INDEX(DanhMuc!$E$154:$E$165,MATCH(MID($B2691,4,2),DanhMuc!$B$154:$B$165,0)),""),"")</f>
        <v/>
      </c>
      <c r="V2691" s="361"/>
      <c r="W2691" s="345"/>
      <c r="X2691" s="329" t="str">
        <f t="shared" si="285"/>
        <v>DR</v>
      </c>
      <c r="Y2691" s="1128" t="s">
        <v>3380</v>
      </c>
      <c r="Z2691" s="1128" t="s">
        <v>3381</v>
      </c>
      <c r="AA2691" s="1128" t="s">
        <v>3384</v>
      </c>
      <c r="AB2691" s="20"/>
      <c r="AC2691" s="73"/>
    </row>
    <row r="2692" spans="1:29">
      <c r="A2692" s="327" t="str">
        <f>IF(AND($B2692&lt;&gt;"",$C2692&lt;&gt;""),MAX($A$1556:A2691)+1,"")</f>
        <v/>
      </c>
      <c r="B2692" s="361" t="s">
        <v>2868</v>
      </c>
      <c r="C2692" s="360"/>
      <c r="D2692" s="327">
        <f>IF($B2692="","",COUNTIF($B$6:$B2692,$B2692))</f>
        <v>5</v>
      </c>
      <c r="E2692" s="402" t="s">
        <v>2902</v>
      </c>
      <c r="F2692" s="403" t="s">
        <v>197</v>
      </c>
      <c r="G2692" s="327" t="s">
        <v>155</v>
      </c>
      <c r="H2692" s="327" t="s">
        <v>536</v>
      </c>
      <c r="I2692" s="327">
        <v>1</v>
      </c>
      <c r="J2692" s="345"/>
      <c r="K2692" s="327"/>
      <c r="L2692" s="389">
        <v>147220</v>
      </c>
      <c r="M2692" s="371"/>
      <c r="N2692" s="355" t="str">
        <f t="shared" si="284"/>
        <v>PK</v>
      </c>
      <c r="O2692" s="404" t="s">
        <v>1626</v>
      </c>
      <c r="P2692" s="392"/>
      <c r="Q2692" s="327"/>
      <c r="R2692" s="351"/>
      <c r="S2692" s="351"/>
      <c r="T2692" s="351"/>
      <c r="U2692" s="329" t="str">
        <f>IF($N2692=$N$4,IFERROR(INDEX(DanhMuc!$E$154:$E$165,MATCH(MID($B2692,4,2),DanhMuc!$B$154:$B$165,0)),""),"")</f>
        <v/>
      </c>
      <c r="V2692" s="361"/>
      <c r="W2692" s="345"/>
      <c r="X2692" s="329" t="str">
        <f t="shared" si="285"/>
        <v>DR</v>
      </c>
      <c r="Y2692" s="1128" t="s">
        <v>3380</v>
      </c>
      <c r="Z2692" s="1128" t="s">
        <v>3381</v>
      </c>
      <c r="AA2692" s="1128" t="s">
        <v>3384</v>
      </c>
      <c r="AB2692" s="20"/>
      <c r="AC2692" s="73"/>
    </row>
    <row r="2693" spans="1:29">
      <c r="A2693" s="327" t="str">
        <f>IF(AND($B2693&lt;&gt;"",$C2693&lt;&gt;""),MAX($A$1556:A2692)+1,"")</f>
        <v/>
      </c>
      <c r="B2693" s="361" t="s">
        <v>2868</v>
      </c>
      <c r="C2693" s="360"/>
      <c r="D2693" s="327">
        <f>IF($B2693="","",COUNTIF($B$6:$B2693,$B2693))</f>
        <v>6</v>
      </c>
      <c r="E2693" s="402" t="s">
        <v>2893</v>
      </c>
      <c r="F2693" s="403" t="s">
        <v>79</v>
      </c>
      <c r="G2693" s="327" t="s">
        <v>155</v>
      </c>
      <c r="H2693" s="327" t="s">
        <v>536</v>
      </c>
      <c r="I2693" s="327">
        <v>1</v>
      </c>
      <c r="J2693" s="345"/>
      <c r="K2693" s="327"/>
      <c r="L2693" s="389">
        <v>167893</v>
      </c>
      <c r="M2693" s="371"/>
      <c r="N2693" s="355" t="str">
        <f t="shared" si="284"/>
        <v>PK</v>
      </c>
      <c r="O2693" s="404" t="s">
        <v>1623</v>
      </c>
      <c r="P2693" s="392"/>
      <c r="Q2693" s="327"/>
      <c r="R2693" s="351"/>
      <c r="S2693" s="351"/>
      <c r="T2693" s="351"/>
      <c r="U2693" s="329" t="str">
        <f>IF($N2693=$N$4,IFERROR(INDEX(DanhMuc!$E$154:$E$165,MATCH(MID($B2693,4,2),DanhMuc!$B$154:$B$165,0)),""),"")</f>
        <v/>
      </c>
      <c r="V2693" s="361"/>
      <c r="W2693" s="345"/>
      <c r="X2693" s="329" t="str">
        <f t="shared" si="285"/>
        <v>DR</v>
      </c>
      <c r="Y2693" s="1128" t="s">
        <v>3380</v>
      </c>
      <c r="Z2693" s="1128" t="s">
        <v>3381</v>
      </c>
      <c r="AA2693" s="1128" t="s">
        <v>3384</v>
      </c>
      <c r="AB2693" s="20"/>
      <c r="AC2693" s="73"/>
    </row>
    <row r="2694" spans="1:29">
      <c r="A2694" s="327" t="str">
        <f>IF(AND($B2694&lt;&gt;"",$C2694&lt;&gt;""),MAX($A$1556:A2693)+1,"")</f>
        <v/>
      </c>
      <c r="B2694" s="361" t="s">
        <v>2868</v>
      </c>
      <c r="C2694" s="360"/>
      <c r="D2694" s="327">
        <f>IF($B2694="","",COUNTIF($B$6:$B2694,$B2694))</f>
        <v>7</v>
      </c>
      <c r="E2694" s="361" t="s">
        <v>2895</v>
      </c>
      <c r="F2694" s="362" t="s">
        <v>2907</v>
      </c>
      <c r="G2694" s="327" t="s">
        <v>155</v>
      </c>
      <c r="H2694" s="327" t="s">
        <v>536</v>
      </c>
      <c r="I2694" s="327">
        <v>2</v>
      </c>
      <c r="J2694" s="345"/>
      <c r="K2694" s="327"/>
      <c r="L2694" s="389">
        <v>13762</v>
      </c>
      <c r="M2694" s="371"/>
      <c r="N2694" s="355" t="str">
        <f t="shared" si="284"/>
        <v>PK</v>
      </c>
      <c r="O2694" s="404" t="s">
        <v>1623</v>
      </c>
      <c r="P2694" s="392"/>
      <c r="Q2694" s="327"/>
      <c r="R2694" s="351"/>
      <c r="S2694" s="351"/>
      <c r="T2694" s="351"/>
      <c r="U2694" s="329" t="str">
        <f>IF($N2694=$N$4,IFERROR(INDEX(DanhMuc!$E$154:$E$165,MATCH(MID($B2694,4,2),DanhMuc!$B$154:$B$165,0)),""),"")</f>
        <v/>
      </c>
      <c r="V2694" s="361"/>
      <c r="W2694" s="345"/>
      <c r="X2694" s="329" t="str">
        <f t="shared" si="285"/>
        <v>DR</v>
      </c>
      <c r="Y2694" s="1128" t="s">
        <v>3380</v>
      </c>
      <c r="Z2694" s="1128" t="s">
        <v>3381</v>
      </c>
      <c r="AA2694" s="1128" t="s">
        <v>3384</v>
      </c>
      <c r="AB2694" s="20"/>
      <c r="AC2694" s="73"/>
    </row>
    <row r="2695" spans="1:29">
      <c r="A2695" s="327" t="str">
        <f>IF(AND($B2695&lt;&gt;"",$C2695&lt;&gt;""),MAX($A$1556:A2694)+1,"")</f>
        <v/>
      </c>
      <c r="B2695" s="361" t="s">
        <v>2868</v>
      </c>
      <c r="C2695" s="360"/>
      <c r="D2695" s="327">
        <f>IF($B2695="","",COUNTIF($B$6:$B2695,$B2695))</f>
        <v>8</v>
      </c>
      <c r="E2695" s="361" t="s">
        <v>2896</v>
      </c>
      <c r="F2695" s="362" t="s">
        <v>90</v>
      </c>
      <c r="G2695" s="327" t="s">
        <v>155</v>
      </c>
      <c r="H2695" s="327" t="s">
        <v>536</v>
      </c>
      <c r="I2695" s="327">
        <v>2</v>
      </c>
      <c r="J2695" s="345"/>
      <c r="K2695" s="327"/>
      <c r="L2695" s="389">
        <v>5772</v>
      </c>
      <c r="M2695" s="371"/>
      <c r="N2695" s="355" t="str">
        <f t="shared" si="284"/>
        <v>PK</v>
      </c>
      <c r="O2695" s="404" t="s">
        <v>1623</v>
      </c>
      <c r="P2695" s="392"/>
      <c r="Q2695" s="327"/>
      <c r="R2695" s="351"/>
      <c r="S2695" s="351"/>
      <c r="T2695" s="351"/>
      <c r="U2695" s="329" t="str">
        <f>IF($N2695=$N$4,IFERROR(INDEX(DanhMuc!$E$154:$E$165,MATCH(MID($B2695,4,2),DanhMuc!$B$154:$B$165,0)),""),"")</f>
        <v/>
      </c>
      <c r="V2695" s="361"/>
      <c r="W2695" s="345"/>
      <c r="X2695" s="329" t="str">
        <f t="shared" si="285"/>
        <v>DR</v>
      </c>
      <c r="Y2695" s="1128" t="s">
        <v>3380</v>
      </c>
      <c r="Z2695" s="1128" t="s">
        <v>3381</v>
      </c>
      <c r="AA2695" s="1128" t="s">
        <v>3384</v>
      </c>
      <c r="AB2695" s="20"/>
      <c r="AC2695" s="73"/>
    </row>
    <row r="2696" spans="1:29" s="25" customFormat="1">
      <c r="A2696" s="327" t="str">
        <f>IF(AND($B2696&lt;&gt;"",$C2696&lt;&gt;""),MAX($A$1556:A2697)+1,"")</f>
        <v/>
      </c>
      <c r="B2696" s="361" t="s">
        <v>2868</v>
      </c>
      <c r="C2696" s="346"/>
      <c r="D2696" s="367">
        <f>IF($B2696="","",COUNTIF($B$6:$B2696,$B2696))</f>
        <v>9</v>
      </c>
      <c r="E2696" s="365" t="s">
        <v>327</v>
      </c>
      <c r="F2696" s="368" t="s">
        <v>345</v>
      </c>
      <c r="G2696" s="367" t="s">
        <v>690</v>
      </c>
      <c r="H2696" s="327" t="s">
        <v>536</v>
      </c>
      <c r="I2696" s="327">
        <v>1</v>
      </c>
      <c r="J2696" s="345" t="s">
        <v>634</v>
      </c>
      <c r="K2696" s="327"/>
      <c r="L2696" s="348">
        <f>+$S2696*$T2696*$L$37</f>
        <v>84651</v>
      </c>
      <c r="M2696" s="371"/>
      <c r="N2696" s="369" t="s">
        <v>150</v>
      </c>
      <c r="O2696" s="404" t="s">
        <v>1623</v>
      </c>
      <c r="P2696" s="392"/>
      <c r="Q2696" s="327"/>
      <c r="R2696" s="351">
        <v>2.5</v>
      </c>
      <c r="S2696" s="351">
        <v>5.8</v>
      </c>
      <c r="T2696" s="351">
        <v>0.13900000000000001</v>
      </c>
      <c r="U2696" s="329">
        <f>IF($N2696=$N$4,IFERROR(INDEX(DanhMuc!$E$154:$E$165,MATCH(MID($B2696,4,2),DanhMuc!$B$154:$B$165,0)),""),"")</f>
        <v>5800</v>
      </c>
      <c r="V2696" s="365"/>
      <c r="W2696" s="345"/>
      <c r="X2696" s="329" t="str">
        <f t="shared" si="285"/>
        <v>C459</v>
      </c>
      <c r="Y2696" s="1128" t="s">
        <v>3380</v>
      </c>
      <c r="Z2696" s="1128" t="s">
        <v>3381</v>
      </c>
      <c r="AA2696" s="1128" t="s">
        <v>3384</v>
      </c>
      <c r="AB2696" s="20"/>
      <c r="AC2696" s="73"/>
    </row>
    <row r="2697" spans="1:29">
      <c r="A2697" s="327" t="str">
        <f>IF(AND($B2697&lt;&gt;"",$C2697&lt;&gt;""),MAX($A$1556:A2695)+1,"")</f>
        <v/>
      </c>
      <c r="B2697" s="361" t="s">
        <v>2868</v>
      </c>
      <c r="C2697" s="360"/>
      <c r="D2697" s="327">
        <f>IF($B2697="","",COUNTIF($B$6:$B2697,$B2697))</f>
        <v>10</v>
      </c>
      <c r="E2697" s="361" t="s">
        <v>2894</v>
      </c>
      <c r="F2697" s="362" t="s">
        <v>88</v>
      </c>
      <c r="G2697" s="327" t="s">
        <v>155</v>
      </c>
      <c r="H2697" s="327" t="s">
        <v>536</v>
      </c>
      <c r="I2697" s="327">
        <v>1</v>
      </c>
      <c r="J2697" s="361"/>
      <c r="K2697" s="327"/>
      <c r="L2697" s="389">
        <v>16448</v>
      </c>
      <c r="M2697" s="371"/>
      <c r="N2697" s="355" t="str">
        <f t="shared" si="284"/>
        <v>PK</v>
      </c>
      <c r="O2697" s="345"/>
      <c r="P2697" s="392"/>
      <c r="Q2697" s="327"/>
      <c r="R2697" s="351"/>
      <c r="S2697" s="351"/>
      <c r="T2697" s="351"/>
      <c r="U2697" s="329" t="str">
        <f>IF($N2697=$N$4,IFERROR(INDEX(DanhMuc!$E$154:$E$165,MATCH(MID($B2697,4,2),DanhMuc!$B$154:$B$165,0)),""),"")</f>
        <v/>
      </c>
      <c r="V2697" s="361"/>
      <c r="W2697" s="345"/>
      <c r="X2697" s="329" t="str">
        <f t="shared" si="285"/>
        <v>DR</v>
      </c>
      <c r="Y2697" s="1128" t="s">
        <v>3380</v>
      </c>
      <c r="Z2697" s="1128" t="s">
        <v>3381</v>
      </c>
      <c r="AA2697" s="1128" t="s">
        <v>3384</v>
      </c>
      <c r="AB2697" s="20"/>
      <c r="AC2697" s="73"/>
    </row>
    <row r="2698" spans="1:29" ht="25">
      <c r="A2698" s="327" t="str">
        <f>IF(AND($B2698&lt;&gt;"",$C2698&lt;&gt;""),MAX($A$1556:A2696)+1,"")</f>
        <v/>
      </c>
      <c r="B2698" s="361" t="s">
        <v>2868</v>
      </c>
      <c r="C2698" s="360"/>
      <c r="D2698" s="327">
        <f>IF($B2698="","",COUNTIF($B$6:$B2698,$B2698))</f>
        <v>11</v>
      </c>
      <c r="E2698" s="405" t="s">
        <v>2897</v>
      </c>
      <c r="F2698" s="406" t="s">
        <v>676</v>
      </c>
      <c r="G2698" s="327" t="s">
        <v>155</v>
      </c>
      <c r="H2698" s="327"/>
      <c r="I2698" s="327">
        <v>3</v>
      </c>
      <c r="J2698" s="345"/>
      <c r="K2698" s="327"/>
      <c r="L2698" s="389">
        <v>137895</v>
      </c>
      <c r="M2698" s="371"/>
      <c r="N2698" s="355" t="str">
        <f t="shared" si="284"/>
        <v>PK</v>
      </c>
      <c r="O2698" s="407" t="s">
        <v>686</v>
      </c>
      <c r="P2698" s="392"/>
      <c r="Q2698" s="327"/>
      <c r="R2698" s="351"/>
      <c r="S2698" s="351"/>
      <c r="T2698" s="351"/>
      <c r="U2698" s="329" t="str">
        <f>IF($N2698=$N$4,IFERROR(INDEX(DanhMuc!$E$154:$E$165,MATCH(MID($B2698,4,2),DanhMuc!$B$154:$B$165,0)),""),"")</f>
        <v/>
      </c>
      <c r="V2698" s="408" t="s">
        <v>343</v>
      </c>
      <c r="W2698" s="345"/>
      <c r="X2698" s="329" t="str">
        <f t="shared" si="285"/>
        <v>DR</v>
      </c>
      <c r="Y2698" s="1128" t="s">
        <v>3380</v>
      </c>
      <c r="Z2698" s="1128" t="s">
        <v>3381</v>
      </c>
      <c r="AA2698" s="1128" t="s">
        <v>3384</v>
      </c>
      <c r="AB2698" s="20"/>
      <c r="AC2698" s="73"/>
    </row>
    <row r="2699" spans="1:29" ht="25">
      <c r="A2699" s="327" t="str">
        <f>IF(AND($B2699&lt;&gt;"",$C2699&lt;&gt;""),MAX($A$1556:A2697)+1,"")</f>
        <v/>
      </c>
      <c r="B2699" s="361" t="s">
        <v>2868</v>
      </c>
      <c r="C2699" s="360"/>
      <c r="D2699" s="327">
        <f>IF($B2699="","",COUNTIF($B$6:$B2699,$B2699))</f>
        <v>12</v>
      </c>
      <c r="E2699" s="405" t="s">
        <v>2898</v>
      </c>
      <c r="F2699" s="406" t="s">
        <v>677</v>
      </c>
      <c r="G2699" s="327" t="s">
        <v>155</v>
      </c>
      <c r="H2699" s="327"/>
      <c r="I2699" s="327">
        <v>3</v>
      </c>
      <c r="J2699" s="345"/>
      <c r="K2699" s="327"/>
      <c r="L2699" s="389">
        <v>137895</v>
      </c>
      <c r="M2699" s="371"/>
      <c r="N2699" s="355" t="str">
        <f t="shared" si="284"/>
        <v>PK</v>
      </c>
      <c r="O2699" s="407" t="s">
        <v>687</v>
      </c>
      <c r="P2699" s="392"/>
      <c r="Q2699" s="327"/>
      <c r="R2699" s="351"/>
      <c r="S2699" s="351"/>
      <c r="T2699" s="351"/>
      <c r="U2699" s="329" t="str">
        <f>IF($N2699=$N$4,IFERROR(INDEX(DanhMuc!$E$154:$E$165,MATCH(MID($B2699,4,2),DanhMuc!$B$154:$B$165,0)),""),"")</f>
        <v/>
      </c>
      <c r="V2699" s="408" t="s">
        <v>343</v>
      </c>
      <c r="W2699" s="345"/>
      <c r="X2699" s="329" t="str">
        <f t="shared" si="285"/>
        <v>DR</v>
      </c>
      <c r="Y2699" s="1128" t="s">
        <v>3380</v>
      </c>
      <c r="Z2699" s="1128" t="s">
        <v>3381</v>
      </c>
      <c r="AA2699" s="1128" t="s">
        <v>3384</v>
      </c>
      <c r="AB2699" s="20"/>
      <c r="AC2699" s="73"/>
    </row>
    <row r="2700" spans="1:29">
      <c r="A2700" s="327" t="str">
        <f>IF(AND($B2700&lt;&gt;"",$C2700&lt;&gt;""),MAX($A$1556:A2698)+1,"")</f>
        <v/>
      </c>
      <c r="B2700" s="361" t="s">
        <v>2868</v>
      </c>
      <c r="C2700" s="360"/>
      <c r="D2700" s="327">
        <f>IF($B2700="","",COUNTIF($B$6:$B2700,$B2700))</f>
        <v>13</v>
      </c>
      <c r="E2700" s="405" t="s">
        <v>2899</v>
      </c>
      <c r="F2700" s="406" t="s">
        <v>2316</v>
      </c>
      <c r="G2700" s="327" t="s">
        <v>155</v>
      </c>
      <c r="H2700" s="327"/>
      <c r="I2700" s="327">
        <v>3</v>
      </c>
      <c r="J2700" s="345"/>
      <c r="K2700" s="327"/>
      <c r="L2700" s="389">
        <v>135508</v>
      </c>
      <c r="M2700" s="371"/>
      <c r="N2700" s="355" t="str">
        <f t="shared" si="284"/>
        <v>PK</v>
      </c>
      <c r="O2700" s="407" t="s">
        <v>1806</v>
      </c>
      <c r="P2700" s="392"/>
      <c r="Q2700" s="327"/>
      <c r="R2700" s="351"/>
      <c r="S2700" s="351"/>
      <c r="T2700" s="351"/>
      <c r="U2700" s="329" t="str">
        <f>IF($N2700=$N$4,IFERROR(INDEX(DanhMuc!$E$154:$E$165,MATCH(MID($B2700,4,2),DanhMuc!$B$154:$B$165,0)),""),"")</f>
        <v/>
      </c>
      <c r="V2700" s="408" t="s">
        <v>343</v>
      </c>
      <c r="W2700" s="345"/>
      <c r="X2700" s="329" t="str">
        <f t="shared" si="285"/>
        <v>DR</v>
      </c>
      <c r="Y2700" s="1128" t="s">
        <v>3380</v>
      </c>
      <c r="Z2700" s="1128" t="s">
        <v>3381</v>
      </c>
      <c r="AA2700" s="1128" t="s">
        <v>3384</v>
      </c>
      <c r="AB2700" s="20"/>
      <c r="AC2700" s="73"/>
    </row>
    <row r="2701" spans="1:29">
      <c r="A2701" s="327" t="str">
        <f>IF(AND($B2701&lt;&gt;"",$C2701&lt;&gt;""),MAX($A$1556:A2699)+1,"")</f>
        <v/>
      </c>
      <c r="B2701" s="361" t="s">
        <v>2868</v>
      </c>
      <c r="C2701" s="360"/>
      <c r="D2701" s="327">
        <f>IF($B2701="","",COUNTIF($B$6:$B2701,$B2701))</f>
        <v>14</v>
      </c>
      <c r="E2701" s="405" t="s">
        <v>2900</v>
      </c>
      <c r="F2701" s="406" t="s">
        <v>2317</v>
      </c>
      <c r="G2701" s="327" t="s">
        <v>155</v>
      </c>
      <c r="H2701" s="327"/>
      <c r="I2701" s="327">
        <v>3</v>
      </c>
      <c r="J2701" s="345"/>
      <c r="K2701" s="327"/>
      <c r="L2701" s="389">
        <v>135508</v>
      </c>
      <c r="M2701" s="371"/>
      <c r="N2701" s="355" t="str">
        <f t="shared" si="284"/>
        <v>PK</v>
      </c>
      <c r="O2701" s="407" t="s">
        <v>1807</v>
      </c>
      <c r="P2701" s="392"/>
      <c r="Q2701" s="327"/>
      <c r="R2701" s="351"/>
      <c r="S2701" s="351"/>
      <c r="T2701" s="351"/>
      <c r="U2701" s="329" t="str">
        <f>IF($N2701=$N$4,IFERROR(INDEX(DanhMuc!$E$154:$E$165,MATCH(MID($B2701,4,2),DanhMuc!$B$154:$B$165,0)),""),"")</f>
        <v/>
      </c>
      <c r="V2701" s="408" t="s">
        <v>343</v>
      </c>
      <c r="W2701" s="345"/>
      <c r="X2701" s="329" t="str">
        <f t="shared" si="285"/>
        <v>DR</v>
      </c>
      <c r="Y2701" s="1128" t="s">
        <v>3380</v>
      </c>
      <c r="Z2701" s="1128" t="s">
        <v>3381</v>
      </c>
      <c r="AA2701" s="1128" t="s">
        <v>3384</v>
      </c>
      <c r="AB2701" s="20"/>
      <c r="AC2701" s="73"/>
    </row>
    <row r="2702" spans="1:29">
      <c r="A2702" s="327" t="str">
        <f>IF(AND($B2702&lt;&gt;"",$C2702&lt;&gt;""),MAX($A$1556:A2698)+1,"")</f>
        <v/>
      </c>
      <c r="B2702" s="361" t="s">
        <v>2868</v>
      </c>
      <c r="C2702" s="360"/>
      <c r="D2702" s="327">
        <f>IF($B2702="","",COUNTIF($B$6:$B2702,$B2702))</f>
        <v>15</v>
      </c>
      <c r="E2702" s="361" t="s">
        <v>986</v>
      </c>
      <c r="F2702" s="362" t="s">
        <v>985</v>
      </c>
      <c r="G2702" s="327" t="s">
        <v>297</v>
      </c>
      <c r="H2702" s="327"/>
      <c r="I2702" s="327">
        <v>1</v>
      </c>
      <c r="J2702" s="345"/>
      <c r="K2702" s="327"/>
      <c r="L2702" s="389">
        <v>2450</v>
      </c>
      <c r="M2702" s="371"/>
      <c r="N2702" s="355" t="str">
        <f t="shared" si="284"/>
        <v>PK</v>
      </c>
      <c r="O2702" s="347" t="s">
        <v>1475</v>
      </c>
      <c r="P2702" s="392"/>
      <c r="Q2702" s="327"/>
      <c r="R2702" s="351"/>
      <c r="S2702" s="351"/>
      <c r="T2702" s="351"/>
      <c r="U2702" s="329" t="str">
        <f>IF($N2702=$N$4,IFERROR(INDEX(DanhMuc!$E$154:$E$165,MATCH(MID($B2702,4,2),DanhMuc!$B$154:$B$165,0)),""),"")</f>
        <v/>
      </c>
      <c r="V2702" s="408" t="s">
        <v>343</v>
      </c>
      <c r="W2702" s="345"/>
      <c r="X2702" s="329" t="str">
        <f t="shared" si="285"/>
        <v>DR</v>
      </c>
      <c r="Y2702" s="1128" t="s">
        <v>3380</v>
      </c>
      <c r="Z2702" s="1128" t="s">
        <v>3381</v>
      </c>
      <c r="AA2702" s="1128" t="s">
        <v>3384</v>
      </c>
      <c r="AB2702" s="20"/>
      <c r="AC2702" s="73"/>
    </row>
    <row r="2703" spans="1:29" ht="26">
      <c r="A2703" s="327">
        <f>IF(AND($B2703&lt;&gt;"",$C2703&lt;&gt;""),MAX($A$1556:A2698)+1,"")</f>
        <v>146</v>
      </c>
      <c r="B2703" s="359" t="s">
        <v>2869</v>
      </c>
      <c r="C2703" s="360" t="s">
        <v>1528</v>
      </c>
      <c r="D2703" s="327">
        <f>IF($B2703="","",COUNTIF($B$6:$B2703,$B2703))</f>
        <v>1</v>
      </c>
      <c r="E2703" s="361" t="s">
        <v>2892</v>
      </c>
      <c r="F2703" s="362" t="s">
        <v>196</v>
      </c>
      <c r="G2703" s="327" t="s">
        <v>344</v>
      </c>
      <c r="H2703" s="327"/>
      <c r="I2703" s="327">
        <v>1</v>
      </c>
      <c r="J2703" s="361"/>
      <c r="K2703" s="327"/>
      <c r="L2703" s="389">
        <v>126361</v>
      </c>
      <c r="M2703" s="371"/>
      <c r="N2703" s="355" t="str">
        <f t="shared" si="284"/>
        <v>PK</v>
      </c>
      <c r="O2703" s="345"/>
      <c r="P2703" s="392"/>
      <c r="Q2703" s="327"/>
      <c r="R2703" s="351"/>
      <c r="S2703" s="351"/>
      <c r="T2703" s="351"/>
      <c r="U2703" s="329" t="str">
        <f>IF($N2703=$N$4,IFERROR(INDEX(DanhMuc!$E$154:$E$165,MATCH(MID($B2703,4,2),DanhMuc!$B$154:$B$165,0)),""),"")</f>
        <v/>
      </c>
      <c r="V2703" s="361"/>
      <c r="W2703" s="345"/>
      <c r="X2703" s="329" t="str">
        <f t="shared" si="285"/>
        <v>DR</v>
      </c>
      <c r="Y2703" s="1128" t="s">
        <v>3380</v>
      </c>
      <c r="Z2703" s="1128" t="s">
        <v>3381</v>
      </c>
      <c r="AA2703" s="1128" t="s">
        <v>3384</v>
      </c>
      <c r="AB2703" s="20"/>
      <c r="AC2703" s="73"/>
    </row>
    <row r="2704" spans="1:29">
      <c r="A2704" s="327" t="str">
        <f>IF(AND($B2704&lt;&gt;"",$C2704&lt;&gt;""),MAX($A$1556:A2703)+1,"")</f>
        <v/>
      </c>
      <c r="B2704" s="361" t="s">
        <v>2869</v>
      </c>
      <c r="C2704" s="360"/>
      <c r="D2704" s="327">
        <f>IF($B2704="","",COUNTIF($B$6:$B2704,$B2704))</f>
        <v>2</v>
      </c>
      <c r="E2704" s="399" t="s">
        <v>2901</v>
      </c>
      <c r="F2704" s="400" t="s">
        <v>323</v>
      </c>
      <c r="G2704" s="327" t="s">
        <v>155</v>
      </c>
      <c r="H2704" s="327" t="s">
        <v>536</v>
      </c>
      <c r="I2704" s="327">
        <v>1</v>
      </c>
      <c r="J2704" s="345"/>
      <c r="K2704" s="327"/>
      <c r="L2704" s="389">
        <v>120913</v>
      </c>
      <c r="M2704" s="371"/>
      <c r="N2704" s="355" t="str">
        <f t="shared" si="284"/>
        <v>PK</v>
      </c>
      <c r="O2704" s="345" t="s">
        <v>1060</v>
      </c>
      <c r="P2704" s="392"/>
      <c r="Q2704" s="327"/>
      <c r="R2704" s="351"/>
      <c r="S2704" s="351"/>
      <c r="T2704" s="351"/>
      <c r="U2704" s="329" t="str">
        <f>IF($N2704=$N$4,IFERROR(INDEX(DanhMuc!$E$154:$E$165,MATCH(MID($B2704,4,2),DanhMuc!$B$154:$B$165,0)),""),"")</f>
        <v/>
      </c>
      <c r="V2704" s="361"/>
      <c r="W2704" s="345"/>
      <c r="X2704" s="329" t="str">
        <f t="shared" si="285"/>
        <v>DR</v>
      </c>
      <c r="Y2704" s="1128" t="s">
        <v>3380</v>
      </c>
      <c r="Z2704" s="1128" t="s">
        <v>3381</v>
      </c>
      <c r="AA2704" s="1128" t="s">
        <v>3384</v>
      </c>
      <c r="AB2704" s="20"/>
      <c r="AC2704" s="73"/>
    </row>
    <row r="2705" spans="1:29">
      <c r="A2705" s="327" t="str">
        <f>IF(AND($B2705&lt;&gt;"",$C2705&lt;&gt;""),MAX($A$1556:A2704)+1,"")</f>
        <v/>
      </c>
      <c r="B2705" s="361" t="s">
        <v>2869</v>
      </c>
      <c r="C2705" s="360"/>
      <c r="D2705" s="327">
        <f>IF($B2705="","",COUNTIF($B$6:$B2705,$B2705))</f>
        <v>3</v>
      </c>
      <c r="E2705" s="399" t="s">
        <v>2904</v>
      </c>
      <c r="F2705" s="400" t="s">
        <v>340</v>
      </c>
      <c r="G2705" s="327" t="s">
        <v>155</v>
      </c>
      <c r="H2705" s="327" t="s">
        <v>536</v>
      </c>
      <c r="I2705" s="327">
        <v>1</v>
      </c>
      <c r="J2705" s="345"/>
      <c r="K2705" s="327"/>
      <c r="L2705" s="389">
        <v>120913</v>
      </c>
      <c r="M2705" s="371"/>
      <c r="N2705" s="355" t="str">
        <f t="shared" si="284"/>
        <v>PK</v>
      </c>
      <c r="O2705" s="401" t="s">
        <v>2705</v>
      </c>
      <c r="P2705" s="392"/>
      <c r="Q2705" s="327"/>
      <c r="R2705" s="351"/>
      <c r="S2705" s="351"/>
      <c r="T2705" s="351"/>
      <c r="U2705" s="329" t="str">
        <f>IF($N2705=$N$4,IFERROR(INDEX(DanhMuc!$E$154:$E$165,MATCH(MID($B2705,4,2),DanhMuc!$B$154:$B$165,0)),""),"")</f>
        <v/>
      </c>
      <c r="V2705" s="361"/>
      <c r="W2705" s="345"/>
      <c r="X2705" s="329" t="str">
        <f t="shared" si="285"/>
        <v>DR</v>
      </c>
      <c r="Y2705" s="1128" t="s">
        <v>3380</v>
      </c>
      <c r="Z2705" s="1128" t="s">
        <v>3381</v>
      </c>
      <c r="AA2705" s="1128" t="s">
        <v>3384</v>
      </c>
      <c r="AB2705" s="20"/>
      <c r="AC2705" s="73"/>
    </row>
    <row r="2706" spans="1:29">
      <c r="A2706" s="327" t="str">
        <f>IF(AND($B2706&lt;&gt;"",$C2706&lt;&gt;""),MAX($A$1556:A2705)+1,"")</f>
        <v/>
      </c>
      <c r="B2706" s="361" t="s">
        <v>2869</v>
      </c>
      <c r="C2706" s="360"/>
      <c r="D2706" s="327">
        <f>IF($B2706="","",COUNTIF($B$6:$B2706,$B2706))</f>
        <v>4</v>
      </c>
      <c r="E2706" s="399" t="s">
        <v>2903</v>
      </c>
      <c r="F2706" s="400" t="s">
        <v>341</v>
      </c>
      <c r="G2706" s="327" t="s">
        <v>155</v>
      </c>
      <c r="H2706" s="327" t="s">
        <v>536</v>
      </c>
      <c r="I2706" s="327">
        <v>1</v>
      </c>
      <c r="J2706" s="345"/>
      <c r="K2706" s="327"/>
      <c r="L2706" s="389">
        <v>120913</v>
      </c>
      <c r="M2706" s="371"/>
      <c r="N2706" s="355" t="str">
        <f t="shared" si="284"/>
        <v>PK</v>
      </c>
      <c r="O2706" s="401" t="s">
        <v>2706</v>
      </c>
      <c r="P2706" s="392"/>
      <c r="Q2706" s="327"/>
      <c r="R2706" s="351"/>
      <c r="S2706" s="351"/>
      <c r="T2706" s="351"/>
      <c r="U2706" s="329" t="str">
        <f>IF($N2706=$N$4,IFERROR(INDEX(DanhMuc!$E$154:$E$165,MATCH(MID($B2706,4,2),DanhMuc!$B$154:$B$165,0)),""),"")</f>
        <v/>
      </c>
      <c r="V2706" s="361"/>
      <c r="W2706" s="345"/>
      <c r="X2706" s="329" t="str">
        <f t="shared" si="285"/>
        <v>DR</v>
      </c>
      <c r="Y2706" s="1128" t="s">
        <v>3380</v>
      </c>
      <c r="Z2706" s="1128" t="s">
        <v>3381</v>
      </c>
      <c r="AA2706" s="1128" t="s">
        <v>3384</v>
      </c>
      <c r="AB2706" s="20"/>
      <c r="AC2706" s="73"/>
    </row>
    <row r="2707" spans="1:29">
      <c r="A2707" s="327" t="str">
        <f>IF(AND($B2707&lt;&gt;"",$C2707&lt;&gt;""),MAX($A$1556:A2706)+1,"")</f>
        <v/>
      </c>
      <c r="B2707" s="361" t="s">
        <v>2869</v>
      </c>
      <c r="C2707" s="360"/>
      <c r="D2707" s="327">
        <f>IF($B2707="","",COUNTIF($B$6:$B2707,$B2707))</f>
        <v>5</v>
      </c>
      <c r="E2707" s="402" t="s">
        <v>2902</v>
      </c>
      <c r="F2707" s="403" t="s">
        <v>197</v>
      </c>
      <c r="G2707" s="327" t="s">
        <v>155</v>
      </c>
      <c r="H2707" s="327" t="s">
        <v>536</v>
      </c>
      <c r="I2707" s="327">
        <v>1</v>
      </c>
      <c r="J2707" s="345"/>
      <c r="K2707" s="327"/>
      <c r="L2707" s="389">
        <v>147220</v>
      </c>
      <c r="M2707" s="371"/>
      <c r="N2707" s="355" t="str">
        <f t="shared" si="284"/>
        <v>PK</v>
      </c>
      <c r="O2707" s="404" t="s">
        <v>1626</v>
      </c>
      <c r="P2707" s="392"/>
      <c r="Q2707" s="327"/>
      <c r="R2707" s="351"/>
      <c r="S2707" s="351"/>
      <c r="T2707" s="351"/>
      <c r="U2707" s="329" t="str">
        <f>IF($N2707=$N$4,IFERROR(INDEX(DanhMuc!$E$154:$E$165,MATCH(MID($B2707,4,2),DanhMuc!$B$154:$B$165,0)),""),"")</f>
        <v/>
      </c>
      <c r="V2707" s="361"/>
      <c r="W2707" s="345"/>
      <c r="X2707" s="329" t="str">
        <f t="shared" si="285"/>
        <v>DR</v>
      </c>
      <c r="Y2707" s="1128" t="s">
        <v>3380</v>
      </c>
      <c r="Z2707" s="1128" t="s">
        <v>3381</v>
      </c>
      <c r="AA2707" s="1128" t="s">
        <v>3384</v>
      </c>
      <c r="AB2707" s="20"/>
      <c r="AC2707" s="73"/>
    </row>
    <row r="2708" spans="1:29">
      <c r="A2708" s="327" t="str">
        <f>IF(AND($B2708&lt;&gt;"",$C2708&lt;&gt;""),MAX($A$1556:A2707)+1,"")</f>
        <v/>
      </c>
      <c r="B2708" s="361" t="s">
        <v>2869</v>
      </c>
      <c r="C2708" s="360"/>
      <c r="D2708" s="327">
        <f>IF($B2708="","",COUNTIF($B$6:$B2708,$B2708))</f>
        <v>6</v>
      </c>
      <c r="E2708" s="402" t="s">
        <v>2893</v>
      </c>
      <c r="F2708" s="403" t="s">
        <v>79</v>
      </c>
      <c r="G2708" s="327" t="s">
        <v>155</v>
      </c>
      <c r="H2708" s="327" t="s">
        <v>536</v>
      </c>
      <c r="I2708" s="327">
        <v>1</v>
      </c>
      <c r="J2708" s="345"/>
      <c r="K2708" s="327"/>
      <c r="L2708" s="389">
        <v>167893</v>
      </c>
      <c r="M2708" s="371"/>
      <c r="N2708" s="355" t="str">
        <f t="shared" si="284"/>
        <v>PK</v>
      </c>
      <c r="O2708" s="404" t="s">
        <v>1623</v>
      </c>
      <c r="P2708" s="392"/>
      <c r="Q2708" s="327"/>
      <c r="R2708" s="351"/>
      <c r="S2708" s="351"/>
      <c r="T2708" s="351"/>
      <c r="U2708" s="329" t="str">
        <f>IF($N2708=$N$4,IFERROR(INDEX(DanhMuc!$E$154:$E$165,MATCH(MID($B2708,4,2),DanhMuc!$B$154:$B$165,0)),""),"")</f>
        <v/>
      </c>
      <c r="V2708" s="361"/>
      <c r="W2708" s="345"/>
      <c r="X2708" s="329" t="str">
        <f t="shared" si="285"/>
        <v>DR</v>
      </c>
      <c r="Y2708" s="1128" t="s">
        <v>3380</v>
      </c>
      <c r="Z2708" s="1128" t="s">
        <v>3381</v>
      </c>
      <c r="AA2708" s="1128" t="s">
        <v>3384</v>
      </c>
      <c r="AB2708" s="20"/>
      <c r="AC2708" s="73"/>
    </row>
    <row r="2709" spans="1:29">
      <c r="A2709" s="327" t="str">
        <f>IF(AND($B2709&lt;&gt;"",$C2709&lt;&gt;""),MAX($A$1556:A2708)+1,"")</f>
        <v/>
      </c>
      <c r="B2709" s="361" t="s">
        <v>2869</v>
      </c>
      <c r="C2709" s="360"/>
      <c r="D2709" s="327">
        <f>IF($B2709="","",COUNTIF($B$6:$B2709,$B2709))</f>
        <v>7</v>
      </c>
      <c r="E2709" s="361" t="s">
        <v>2905</v>
      </c>
      <c r="F2709" s="362" t="s">
        <v>2906</v>
      </c>
      <c r="G2709" s="327" t="s">
        <v>155</v>
      </c>
      <c r="H2709" s="327" t="s">
        <v>536</v>
      </c>
      <c r="I2709" s="327">
        <v>2</v>
      </c>
      <c r="J2709" s="345"/>
      <c r="K2709" s="327"/>
      <c r="L2709" s="389">
        <v>13762</v>
      </c>
      <c r="M2709" s="371"/>
      <c r="N2709" s="355" t="str">
        <f t="shared" si="284"/>
        <v>PK</v>
      </c>
      <c r="O2709" s="404" t="s">
        <v>1623</v>
      </c>
      <c r="P2709" s="392"/>
      <c r="Q2709" s="327"/>
      <c r="R2709" s="351"/>
      <c r="S2709" s="351"/>
      <c r="T2709" s="351"/>
      <c r="U2709" s="329" t="str">
        <f>IF($N2709=$N$4,IFERROR(INDEX(DanhMuc!$E$154:$E$165,MATCH(MID($B2709,4,2),DanhMuc!$B$154:$B$165,0)),""),"")</f>
        <v/>
      </c>
      <c r="V2709" s="361"/>
      <c r="W2709" s="345"/>
      <c r="X2709" s="329" t="str">
        <f t="shared" si="285"/>
        <v>DR</v>
      </c>
      <c r="Y2709" s="1128" t="s">
        <v>3380</v>
      </c>
      <c r="Z2709" s="1128" t="s">
        <v>3381</v>
      </c>
      <c r="AA2709" s="1128" t="s">
        <v>3384</v>
      </c>
      <c r="AB2709" s="20"/>
      <c r="AC2709" s="73"/>
    </row>
    <row r="2710" spans="1:29">
      <c r="A2710" s="327" t="str">
        <f>IF(AND($B2710&lt;&gt;"",$C2710&lt;&gt;""),MAX($A$1556:A2709)+1,"")</f>
        <v/>
      </c>
      <c r="B2710" s="361" t="s">
        <v>2869</v>
      </c>
      <c r="C2710" s="360"/>
      <c r="D2710" s="327">
        <f>IF($B2710="","",COUNTIF($B$6:$B2710,$B2710))</f>
        <v>8</v>
      </c>
      <c r="E2710" s="402" t="s">
        <v>2908</v>
      </c>
      <c r="F2710" s="403" t="s">
        <v>92</v>
      </c>
      <c r="G2710" s="327" t="s">
        <v>155</v>
      </c>
      <c r="H2710" s="327" t="s">
        <v>536</v>
      </c>
      <c r="I2710" s="327">
        <v>2</v>
      </c>
      <c r="J2710" s="345"/>
      <c r="K2710" s="327"/>
      <c r="L2710" s="389">
        <v>7013</v>
      </c>
      <c r="M2710" s="371"/>
      <c r="N2710" s="355" t="str">
        <f>+$N$1555</f>
        <v>PK</v>
      </c>
      <c r="O2710" s="404" t="s">
        <v>1623</v>
      </c>
      <c r="P2710" s="392"/>
      <c r="Q2710" s="327"/>
      <c r="R2710" s="351"/>
      <c r="S2710" s="351"/>
      <c r="T2710" s="351"/>
      <c r="U2710" s="329" t="str">
        <f>IF($N2710=$N$4,IFERROR(INDEX(DanhMuc!$E$154:$E$165,MATCH(MID($B2710,4,2),DanhMuc!$B$154:$B$165,0)),""),"")</f>
        <v/>
      </c>
      <c r="V2710" s="361"/>
      <c r="W2710" s="345"/>
      <c r="X2710" s="329" t="str">
        <f t="shared" si="285"/>
        <v>DR</v>
      </c>
      <c r="Y2710" s="1128" t="s">
        <v>3380</v>
      </c>
      <c r="Z2710" s="1128" t="s">
        <v>3381</v>
      </c>
      <c r="AA2710" s="1128" t="s">
        <v>3384</v>
      </c>
      <c r="AB2710" s="20"/>
      <c r="AC2710" s="73"/>
    </row>
    <row r="2711" spans="1:29" s="25" customFormat="1">
      <c r="A2711" s="327" t="str">
        <f>IF(AND($B2711&lt;&gt;"",$C2711&lt;&gt;""),MAX($A$1556:A2710)+1,"")</f>
        <v/>
      </c>
      <c r="B2711" s="361" t="s">
        <v>2869</v>
      </c>
      <c r="C2711" s="346"/>
      <c r="D2711" s="367">
        <f>IF($B2711="","",COUNTIF($B$6:$B2711,$B2711))</f>
        <v>9</v>
      </c>
      <c r="E2711" s="365" t="s">
        <v>327</v>
      </c>
      <c r="F2711" s="368" t="s">
        <v>345</v>
      </c>
      <c r="G2711" s="367" t="s">
        <v>690</v>
      </c>
      <c r="H2711" s="327" t="s">
        <v>536</v>
      </c>
      <c r="I2711" s="367">
        <v>1</v>
      </c>
      <c r="J2711" s="345" t="s">
        <v>634</v>
      </c>
      <c r="K2711" s="327"/>
      <c r="L2711" s="348">
        <f>+$S2711*$T2711*$L$37</f>
        <v>84651</v>
      </c>
      <c r="M2711" s="371"/>
      <c r="N2711" s="369" t="s">
        <v>150</v>
      </c>
      <c r="O2711" s="404" t="s">
        <v>1623</v>
      </c>
      <c r="P2711" s="392"/>
      <c r="Q2711" s="327"/>
      <c r="R2711" s="351">
        <v>2.5</v>
      </c>
      <c r="S2711" s="351">
        <v>5.8</v>
      </c>
      <c r="T2711" s="351">
        <v>0.13900000000000001</v>
      </c>
      <c r="U2711" s="329">
        <f>IF($N2711=$N$4,IFERROR(INDEX(DanhMuc!$E$154:$E$165,MATCH(MID($B2711,4,2),DanhMuc!$B$154:$B$165,0)),""),"")</f>
        <v>5800</v>
      </c>
      <c r="V2711" s="365"/>
      <c r="W2711" s="345"/>
      <c r="X2711" s="329" t="str">
        <f t="shared" si="285"/>
        <v>C459</v>
      </c>
      <c r="Y2711" s="1128" t="s">
        <v>3380</v>
      </c>
      <c r="Z2711" s="1128" t="s">
        <v>3381</v>
      </c>
      <c r="AA2711" s="1128" t="s">
        <v>3384</v>
      </c>
      <c r="AB2711" s="20"/>
      <c r="AC2711" s="73"/>
    </row>
    <row r="2712" spans="1:29">
      <c r="A2712" s="327" t="str">
        <f>IF(AND($B2712&lt;&gt;"",$C2712&lt;&gt;""),MAX($A$1556:A2711)+1,"")</f>
        <v/>
      </c>
      <c r="B2712" s="361" t="s">
        <v>2869</v>
      </c>
      <c r="C2712" s="360"/>
      <c r="D2712" s="327">
        <f>IF($B2712="","",COUNTIF($B$6:$B2712,$B2712))</f>
        <v>10</v>
      </c>
      <c r="E2712" s="361" t="s">
        <v>2909</v>
      </c>
      <c r="F2712" s="362" t="s">
        <v>257</v>
      </c>
      <c r="G2712" s="327" t="s">
        <v>155</v>
      </c>
      <c r="H2712" s="327" t="s">
        <v>536</v>
      </c>
      <c r="I2712" s="327">
        <v>1</v>
      </c>
      <c r="J2712" s="361"/>
      <c r="K2712" s="327"/>
      <c r="L2712" s="389">
        <v>16448</v>
      </c>
      <c r="M2712" s="371"/>
      <c r="N2712" s="355" t="str">
        <f t="shared" ref="N2712:N2719" si="286">+$N$1555</f>
        <v>PK</v>
      </c>
      <c r="O2712" s="345"/>
      <c r="P2712" s="392"/>
      <c r="Q2712" s="327"/>
      <c r="R2712" s="351"/>
      <c r="S2712" s="351"/>
      <c r="T2712" s="351"/>
      <c r="U2712" s="329" t="str">
        <f>IF($N2712=$N$4,IFERROR(INDEX(DanhMuc!$E$154:$E$165,MATCH(MID($B2712,4,2),DanhMuc!$B$154:$B$165,0)),""),"")</f>
        <v/>
      </c>
      <c r="V2712" s="361"/>
      <c r="W2712" s="345"/>
      <c r="X2712" s="329" t="str">
        <f t="shared" si="285"/>
        <v>DR</v>
      </c>
      <c r="Y2712" s="1128" t="s">
        <v>3380</v>
      </c>
      <c r="Z2712" s="1128" t="s">
        <v>3381</v>
      </c>
      <c r="AA2712" s="1128" t="s">
        <v>3384</v>
      </c>
      <c r="AB2712" s="20"/>
      <c r="AC2712" s="73"/>
    </row>
    <row r="2713" spans="1:29" ht="25">
      <c r="A2713" s="327" t="str">
        <f>IF(AND($B2713&lt;&gt;"",$C2713&lt;&gt;""),MAX($A$1556:A2712)+1,"")</f>
        <v/>
      </c>
      <c r="B2713" s="361" t="s">
        <v>2869</v>
      </c>
      <c r="C2713" s="360"/>
      <c r="D2713" s="327">
        <f>IF($B2713="","",COUNTIF($B$6:$B2713,$B2713))</f>
        <v>11</v>
      </c>
      <c r="E2713" s="405" t="s">
        <v>2897</v>
      </c>
      <c r="F2713" s="406" t="s">
        <v>676</v>
      </c>
      <c r="G2713" s="327" t="s">
        <v>155</v>
      </c>
      <c r="H2713" s="327"/>
      <c r="I2713" s="327">
        <v>3</v>
      </c>
      <c r="J2713" s="345"/>
      <c r="K2713" s="327"/>
      <c r="L2713" s="389">
        <v>137895</v>
      </c>
      <c r="M2713" s="371"/>
      <c r="N2713" s="355" t="str">
        <f t="shared" si="286"/>
        <v>PK</v>
      </c>
      <c r="O2713" s="407" t="s">
        <v>17</v>
      </c>
      <c r="P2713" s="392"/>
      <c r="Q2713" s="327"/>
      <c r="R2713" s="351"/>
      <c r="S2713" s="351"/>
      <c r="T2713" s="351"/>
      <c r="U2713" s="329" t="str">
        <f>IF($N2713=$N$4,IFERROR(INDEX(DanhMuc!$E$154:$E$165,MATCH(MID($B2713,4,2),DanhMuc!$B$154:$B$165,0)),""),"")</f>
        <v/>
      </c>
      <c r="V2713" s="408" t="s">
        <v>343</v>
      </c>
      <c r="W2713" s="345"/>
      <c r="X2713" s="329" t="str">
        <f t="shared" si="285"/>
        <v>DR</v>
      </c>
      <c r="Y2713" s="1128" t="s">
        <v>3380</v>
      </c>
      <c r="Z2713" s="1128" t="s">
        <v>3381</v>
      </c>
      <c r="AA2713" s="1128" t="s">
        <v>3384</v>
      </c>
      <c r="AB2713" s="20"/>
      <c r="AC2713" s="73"/>
    </row>
    <row r="2714" spans="1:29" ht="25">
      <c r="A2714" s="327" t="str">
        <f>IF(AND($B2714&lt;&gt;"",$C2714&lt;&gt;""),MAX($A$1556:A2713)+1,"")</f>
        <v/>
      </c>
      <c r="B2714" s="361" t="s">
        <v>2869</v>
      </c>
      <c r="C2714" s="360"/>
      <c r="D2714" s="327">
        <f>IF($B2714="","",COUNTIF($B$6:$B2714,$B2714))</f>
        <v>12</v>
      </c>
      <c r="E2714" s="405" t="s">
        <v>2898</v>
      </c>
      <c r="F2714" s="406" t="s">
        <v>677</v>
      </c>
      <c r="G2714" s="327" t="s">
        <v>155</v>
      </c>
      <c r="H2714" s="327"/>
      <c r="I2714" s="327">
        <v>3</v>
      </c>
      <c r="J2714" s="345"/>
      <c r="K2714" s="327"/>
      <c r="L2714" s="389">
        <v>137895</v>
      </c>
      <c r="M2714" s="371"/>
      <c r="N2714" s="355" t="str">
        <f t="shared" si="286"/>
        <v>PK</v>
      </c>
      <c r="O2714" s="407" t="s">
        <v>17</v>
      </c>
      <c r="P2714" s="392"/>
      <c r="Q2714" s="327"/>
      <c r="R2714" s="351"/>
      <c r="S2714" s="351"/>
      <c r="T2714" s="351"/>
      <c r="U2714" s="329" t="str">
        <f>IF($N2714=$N$4,IFERROR(INDEX(DanhMuc!$E$154:$E$165,MATCH(MID($B2714,4,2),DanhMuc!$B$154:$B$165,0)),""),"")</f>
        <v/>
      </c>
      <c r="V2714" s="408" t="s">
        <v>343</v>
      </c>
      <c r="W2714" s="345"/>
      <c r="X2714" s="329" t="str">
        <f t="shared" si="285"/>
        <v>DR</v>
      </c>
      <c r="Y2714" s="1128" t="s">
        <v>3380</v>
      </c>
      <c r="Z2714" s="1128" t="s">
        <v>3381</v>
      </c>
      <c r="AA2714" s="1128" t="s">
        <v>3384</v>
      </c>
      <c r="AB2714" s="20"/>
      <c r="AC2714" s="73"/>
    </row>
    <row r="2715" spans="1:29">
      <c r="A2715" s="327" t="str">
        <f>IF(AND($B2715&lt;&gt;"",$C2715&lt;&gt;""),MAX($A$1556:A2713)+1,"")</f>
        <v/>
      </c>
      <c r="B2715" s="361" t="s">
        <v>2869</v>
      </c>
      <c r="C2715" s="360"/>
      <c r="D2715" s="327">
        <f>IF($B2715="","",COUNTIF($B$6:$B2715,$B2715))</f>
        <v>13</v>
      </c>
      <c r="E2715" s="405" t="s">
        <v>2899</v>
      </c>
      <c r="F2715" s="406" t="s">
        <v>2316</v>
      </c>
      <c r="G2715" s="327" t="s">
        <v>155</v>
      </c>
      <c r="H2715" s="327"/>
      <c r="I2715" s="327">
        <v>3</v>
      </c>
      <c r="J2715" s="345"/>
      <c r="K2715" s="327"/>
      <c r="L2715" s="389">
        <v>135508</v>
      </c>
      <c r="M2715" s="371"/>
      <c r="N2715" s="355" t="str">
        <f>+$N$1555</f>
        <v>PK</v>
      </c>
      <c r="O2715" s="407" t="s">
        <v>21</v>
      </c>
      <c r="P2715" s="392"/>
      <c r="Q2715" s="327"/>
      <c r="R2715" s="351"/>
      <c r="S2715" s="351"/>
      <c r="T2715" s="351"/>
      <c r="U2715" s="329" t="str">
        <f>IF($N2715=$N$4,IFERROR(INDEX(DanhMuc!$E$154:$E$165,MATCH(MID($B2715,4,2),DanhMuc!$B$154:$B$165,0)),""),"")</f>
        <v/>
      </c>
      <c r="V2715" s="408" t="s">
        <v>343</v>
      </c>
      <c r="W2715" s="345"/>
      <c r="X2715" s="329" t="str">
        <f t="shared" si="285"/>
        <v>DR</v>
      </c>
      <c r="Y2715" s="1128" t="s">
        <v>3380</v>
      </c>
      <c r="Z2715" s="1128" t="s">
        <v>3381</v>
      </c>
      <c r="AA2715" s="1128" t="s">
        <v>3384</v>
      </c>
      <c r="AB2715" s="20"/>
      <c r="AC2715" s="73"/>
    </row>
    <row r="2716" spans="1:29">
      <c r="A2716" s="327" t="str">
        <f>IF(AND($B2716&lt;&gt;"",$C2716&lt;&gt;""),MAX($A$1556:A2714)+1,"")</f>
        <v/>
      </c>
      <c r="B2716" s="361" t="s">
        <v>2869</v>
      </c>
      <c r="C2716" s="360"/>
      <c r="D2716" s="327">
        <f>IF($B2716="","",COUNTIF($B$6:$B2716,$B2716))</f>
        <v>14</v>
      </c>
      <c r="E2716" s="405" t="s">
        <v>2900</v>
      </c>
      <c r="F2716" s="406" t="s">
        <v>2317</v>
      </c>
      <c r="G2716" s="327" t="s">
        <v>155</v>
      </c>
      <c r="H2716" s="327"/>
      <c r="I2716" s="327">
        <v>3</v>
      </c>
      <c r="J2716" s="345"/>
      <c r="K2716" s="327"/>
      <c r="L2716" s="389">
        <v>135508</v>
      </c>
      <c r="M2716" s="371"/>
      <c r="N2716" s="355" t="str">
        <f>+$N$1555</f>
        <v>PK</v>
      </c>
      <c r="O2716" s="407" t="s">
        <v>21</v>
      </c>
      <c r="P2716" s="392"/>
      <c r="Q2716" s="327"/>
      <c r="R2716" s="351"/>
      <c r="S2716" s="351"/>
      <c r="T2716" s="351"/>
      <c r="U2716" s="329" t="str">
        <f>IF($N2716=$N$4,IFERROR(INDEX(DanhMuc!$E$154:$E$165,MATCH(MID($B2716,4,2),DanhMuc!$B$154:$B$165,0)),""),"")</f>
        <v/>
      </c>
      <c r="V2716" s="408" t="s">
        <v>343</v>
      </c>
      <c r="W2716" s="345"/>
      <c r="X2716" s="329" t="str">
        <f t="shared" si="285"/>
        <v>DR</v>
      </c>
      <c r="Y2716" s="1128" t="s">
        <v>3380</v>
      </c>
      <c r="Z2716" s="1128" t="s">
        <v>3381</v>
      </c>
      <c r="AA2716" s="1128" t="s">
        <v>3384</v>
      </c>
      <c r="AB2716" s="20"/>
      <c r="AC2716" s="73"/>
    </row>
    <row r="2717" spans="1:29">
      <c r="A2717" s="327" t="str">
        <f>IF(AND($B2717&lt;&gt;"",$C2717&lt;&gt;""),MAX($A$1556:A2714)+1,"")</f>
        <v/>
      </c>
      <c r="B2717" s="361" t="s">
        <v>2869</v>
      </c>
      <c r="C2717" s="360"/>
      <c r="D2717" s="327">
        <f>IF($B2717="","",COUNTIF($B$6:$B2717,$B2717))</f>
        <v>15</v>
      </c>
      <c r="E2717" s="402" t="s">
        <v>2896</v>
      </c>
      <c r="F2717" s="362" t="s">
        <v>90</v>
      </c>
      <c r="G2717" s="327" t="s">
        <v>155</v>
      </c>
      <c r="H2717" s="327" t="s">
        <v>536</v>
      </c>
      <c r="I2717" s="327">
        <v>1</v>
      </c>
      <c r="J2717" s="345"/>
      <c r="K2717" s="327"/>
      <c r="L2717" s="389">
        <v>5772</v>
      </c>
      <c r="M2717" s="371"/>
      <c r="N2717" s="355" t="str">
        <f t="shared" si="286"/>
        <v>PK</v>
      </c>
      <c r="O2717" s="345"/>
      <c r="P2717" s="392"/>
      <c r="Q2717" s="327"/>
      <c r="R2717" s="351"/>
      <c r="S2717" s="351"/>
      <c r="T2717" s="351"/>
      <c r="U2717" s="329" t="str">
        <f>IF($N2717=$N$4,IFERROR(INDEX(DanhMuc!$E$154:$E$165,MATCH(MID($B2717,4,2),DanhMuc!$B$154:$B$165,0)),""),"")</f>
        <v/>
      </c>
      <c r="V2717" s="361"/>
      <c r="W2717" s="345"/>
      <c r="X2717" s="329" t="str">
        <f t="shared" si="285"/>
        <v>DR</v>
      </c>
      <c r="Y2717" s="1128" t="s">
        <v>3380</v>
      </c>
      <c r="Z2717" s="1128" t="s">
        <v>3381</v>
      </c>
      <c r="AA2717" s="1128" t="s">
        <v>3384</v>
      </c>
      <c r="AB2717" s="20"/>
      <c r="AC2717" s="73"/>
    </row>
    <row r="2718" spans="1:29" s="25" customFormat="1">
      <c r="A2718" s="327" t="str">
        <f>IF(AND($B2718&lt;&gt;"",$C2718&lt;&gt;""),MAX($A$1556:A2717)+1,"")</f>
        <v/>
      </c>
      <c r="B2718" s="361" t="s">
        <v>2869</v>
      </c>
      <c r="C2718" s="360"/>
      <c r="D2718" s="327">
        <f>IF($B2718="","",COUNTIF($B$6:$B2718,$B2718))</f>
        <v>16</v>
      </c>
      <c r="E2718" s="361" t="s">
        <v>2983</v>
      </c>
      <c r="F2718" s="362" t="s">
        <v>2984</v>
      </c>
      <c r="G2718" s="327" t="s">
        <v>155</v>
      </c>
      <c r="H2718" s="327" t="s">
        <v>536</v>
      </c>
      <c r="I2718" s="327">
        <v>2</v>
      </c>
      <c r="J2718" s="361"/>
      <c r="K2718" s="327"/>
      <c r="L2718" s="389">
        <v>43299</v>
      </c>
      <c r="M2718" s="371"/>
      <c r="N2718" s="355" t="str">
        <f t="shared" si="286"/>
        <v>PK</v>
      </c>
      <c r="O2718" s="345"/>
      <c r="P2718" s="392"/>
      <c r="Q2718" s="327"/>
      <c r="R2718" s="351"/>
      <c r="S2718" s="351"/>
      <c r="T2718" s="351"/>
      <c r="U2718" s="329" t="str">
        <f>IF($N2718=$N$4,IFERROR(INDEX(DanhMuc!$E$154:$E$165,MATCH(MID($B2718,4,2),DanhMuc!$B$154:$B$165,0)),""),"")</f>
        <v/>
      </c>
      <c r="V2718" s="365"/>
      <c r="W2718" s="345"/>
      <c r="X2718" s="329" t="str">
        <f t="shared" si="285"/>
        <v>DR</v>
      </c>
      <c r="Y2718" s="1128" t="s">
        <v>3380</v>
      </c>
      <c r="Z2718" s="1128" t="s">
        <v>3381</v>
      </c>
      <c r="AA2718" s="1128" t="s">
        <v>3384</v>
      </c>
      <c r="AB2718" s="20"/>
      <c r="AC2718" s="73"/>
    </row>
    <row r="2719" spans="1:29" s="25" customFormat="1">
      <c r="A2719" s="327" t="str">
        <f>IF(AND($B2719&lt;&gt;"",$C2719&lt;&gt;""),MAX($A$1556:A2718)+1,"")</f>
        <v/>
      </c>
      <c r="B2719" s="361" t="s">
        <v>2869</v>
      </c>
      <c r="C2719" s="360"/>
      <c r="D2719" s="327">
        <f>IF($B2719="","",COUNTIF($B$6:$B2719,$B2719))</f>
        <v>17</v>
      </c>
      <c r="E2719" s="361" t="s">
        <v>2985</v>
      </c>
      <c r="F2719" s="362" t="s">
        <v>2986</v>
      </c>
      <c r="G2719" s="327" t="s">
        <v>155</v>
      </c>
      <c r="H2719" s="327" t="s">
        <v>536</v>
      </c>
      <c r="I2719" s="327">
        <v>2</v>
      </c>
      <c r="J2719" s="361"/>
      <c r="K2719" s="327"/>
      <c r="L2719" s="389">
        <v>14110</v>
      </c>
      <c r="M2719" s="371"/>
      <c r="N2719" s="355" t="str">
        <f t="shared" si="286"/>
        <v>PK</v>
      </c>
      <c r="O2719" s="345"/>
      <c r="P2719" s="392"/>
      <c r="Q2719" s="327"/>
      <c r="R2719" s="351"/>
      <c r="S2719" s="351"/>
      <c r="T2719" s="351"/>
      <c r="U2719" s="329" t="str">
        <f>IF($N2719=$N$4,IFERROR(INDEX(DanhMuc!$E$154:$E$165,MATCH(MID($B2719,4,2),DanhMuc!$B$154:$B$165,0)),""),"")</f>
        <v/>
      </c>
      <c r="V2719" s="365"/>
      <c r="W2719" s="345"/>
      <c r="X2719" s="329" t="str">
        <f t="shared" si="285"/>
        <v>DR</v>
      </c>
      <c r="Y2719" s="1128" t="s">
        <v>3380</v>
      </c>
      <c r="Z2719" s="1128" t="s">
        <v>3381</v>
      </c>
      <c r="AA2719" s="1128" t="s">
        <v>3384</v>
      </c>
      <c r="AB2719" s="20"/>
      <c r="AC2719" s="73"/>
    </row>
    <row r="2720" spans="1:29" s="25" customFormat="1">
      <c r="A2720" s="327" t="str">
        <f>IF(AND($B2720&lt;&gt;"",$C2720&lt;&gt;""),MAX($A$1556:A2718)+1,"")</f>
        <v/>
      </c>
      <c r="B2720" s="365" t="s">
        <v>2869</v>
      </c>
      <c r="C2720" s="346"/>
      <c r="D2720" s="367">
        <f>IF($B2720="","",COUNTIF($B$6:$B2720,$B2720))</f>
        <v>18</v>
      </c>
      <c r="E2720" s="365" t="s">
        <v>327</v>
      </c>
      <c r="F2720" s="368" t="s">
        <v>345</v>
      </c>
      <c r="G2720" s="367" t="s">
        <v>690</v>
      </c>
      <c r="H2720" s="327" t="s">
        <v>536</v>
      </c>
      <c r="I2720" s="367">
        <v>1</v>
      </c>
      <c r="J2720" s="345" t="s">
        <v>80</v>
      </c>
      <c r="K2720" s="327"/>
      <c r="L2720" s="348">
        <f>+$S2720*$T2720*$L$37</f>
        <v>84651</v>
      </c>
      <c r="M2720" s="371"/>
      <c r="N2720" s="369" t="s">
        <v>150</v>
      </c>
      <c r="O2720" s="345"/>
      <c r="P2720" s="392"/>
      <c r="Q2720" s="327"/>
      <c r="R2720" s="351">
        <v>2.5</v>
      </c>
      <c r="S2720" s="351">
        <v>5.8</v>
      </c>
      <c r="T2720" s="351">
        <v>0.13900000000000001</v>
      </c>
      <c r="U2720" s="329">
        <f>IF($N2720=$N$4,IFERROR(INDEX(DanhMuc!$E$154:$E$165,MATCH(MID($B2720,4,2),DanhMuc!$B$154:$B$165,0)),""),"")</f>
        <v>5800</v>
      </c>
      <c r="V2720" s="365"/>
      <c r="W2720" s="345"/>
      <c r="X2720" s="329" t="str">
        <f t="shared" si="285"/>
        <v>C459</v>
      </c>
      <c r="Y2720" s="1128" t="s">
        <v>3380</v>
      </c>
      <c r="Z2720" s="1128" t="s">
        <v>3381</v>
      </c>
      <c r="AA2720" s="1128" t="s">
        <v>3384</v>
      </c>
      <c r="AB2720" s="20"/>
      <c r="AC2720" s="73"/>
    </row>
    <row r="2721" spans="1:29">
      <c r="A2721" s="327" t="str">
        <f>IF(AND($B2721&lt;&gt;"",$C2721&lt;&gt;""),MAX($A$1556:A2720)+1,"")</f>
        <v/>
      </c>
      <c r="B2721" s="361" t="s">
        <v>2869</v>
      </c>
      <c r="C2721" s="360"/>
      <c r="D2721" s="327">
        <f>IF($B2721="","",COUNTIF($B$6:$B2721,$B2721))</f>
        <v>19</v>
      </c>
      <c r="E2721" s="361" t="s">
        <v>678</v>
      </c>
      <c r="F2721" s="362" t="s">
        <v>711</v>
      </c>
      <c r="G2721" s="327" t="s">
        <v>155</v>
      </c>
      <c r="H2721" s="327"/>
      <c r="I2721" s="327">
        <v>1</v>
      </c>
      <c r="J2721" s="361"/>
      <c r="K2721" s="327"/>
      <c r="L2721" s="389">
        <v>1250</v>
      </c>
      <c r="M2721" s="371"/>
      <c r="N2721" s="355" t="str">
        <f t="shared" ref="N2721:N2756" si="287">+$N$1555</f>
        <v>PK</v>
      </c>
      <c r="O2721" s="345"/>
      <c r="P2721" s="392"/>
      <c r="Q2721" s="327"/>
      <c r="R2721" s="351"/>
      <c r="S2721" s="351"/>
      <c r="T2721" s="351"/>
      <c r="U2721" s="329" t="str">
        <f>IF($N2721=$N$4,IFERROR(INDEX(DanhMuc!$E$154:$E$165,MATCH(MID($B2721,4,2),DanhMuc!$B$154:$B$165,0)),""),"")</f>
        <v/>
      </c>
      <c r="V2721" s="361"/>
      <c r="W2721" s="345"/>
      <c r="X2721" s="329" t="str">
        <f t="shared" si="285"/>
        <v>DR</v>
      </c>
      <c r="Y2721" s="1128" t="s">
        <v>3380</v>
      </c>
      <c r="Z2721" s="1128" t="s">
        <v>3381</v>
      </c>
      <c r="AA2721" s="1128" t="s">
        <v>3384</v>
      </c>
      <c r="AB2721" s="20"/>
      <c r="AC2721" s="73"/>
    </row>
    <row r="2722" spans="1:29">
      <c r="A2722" s="327" t="str">
        <f>IF(AND($B2722&lt;&gt;"",$C2722&lt;&gt;""),MAX($A$1556:A2721)+1,"")</f>
        <v/>
      </c>
      <c r="B2722" s="361" t="s">
        <v>2869</v>
      </c>
      <c r="C2722" s="360"/>
      <c r="D2722" s="327">
        <f>IF($B2722="","",COUNTIF($B$6:$B2722,$B2722))</f>
        <v>20</v>
      </c>
      <c r="E2722" s="361" t="s">
        <v>679</v>
      </c>
      <c r="F2722" s="362" t="s">
        <v>712</v>
      </c>
      <c r="G2722" s="327" t="s">
        <v>155</v>
      </c>
      <c r="H2722" s="327"/>
      <c r="I2722" s="327">
        <v>1</v>
      </c>
      <c r="J2722" s="361"/>
      <c r="K2722" s="327"/>
      <c r="L2722" s="389">
        <v>1250</v>
      </c>
      <c r="M2722" s="371"/>
      <c r="N2722" s="355" t="str">
        <f t="shared" si="287"/>
        <v>PK</v>
      </c>
      <c r="O2722" s="345"/>
      <c r="P2722" s="392"/>
      <c r="Q2722" s="327"/>
      <c r="R2722" s="351"/>
      <c r="S2722" s="351"/>
      <c r="T2722" s="351"/>
      <c r="U2722" s="329" t="str">
        <f>IF($N2722=$N$4,IFERROR(INDEX(DanhMuc!$E$154:$E$165,MATCH(MID($B2722,4,2),DanhMuc!$B$154:$B$165,0)),""),"")</f>
        <v/>
      </c>
      <c r="V2722" s="361"/>
      <c r="W2722" s="345"/>
      <c r="X2722" s="329" t="str">
        <f t="shared" si="285"/>
        <v>DR</v>
      </c>
      <c r="Y2722" s="1128" t="s">
        <v>3380</v>
      </c>
      <c r="Z2722" s="1128" t="s">
        <v>3381</v>
      </c>
      <c r="AA2722" s="1128" t="s">
        <v>3384</v>
      </c>
      <c r="AB2722" s="20"/>
      <c r="AC2722" s="73"/>
    </row>
    <row r="2723" spans="1:29">
      <c r="A2723" s="327" t="str">
        <f>IF(AND($B2723&lt;&gt;"",$C2723&lt;&gt;""),MAX($A$1556:A2721)+1,"")</f>
        <v/>
      </c>
      <c r="B2723" s="361" t="s">
        <v>2869</v>
      </c>
      <c r="C2723" s="360"/>
      <c r="D2723" s="327">
        <f>IF($B2723="","",COUNTIF($B$6:$B2723,$B2723))</f>
        <v>21</v>
      </c>
      <c r="E2723" s="361" t="s">
        <v>986</v>
      </c>
      <c r="F2723" s="362" t="s">
        <v>985</v>
      </c>
      <c r="G2723" s="327" t="s">
        <v>297</v>
      </c>
      <c r="H2723" s="327"/>
      <c r="I2723" s="327">
        <v>2</v>
      </c>
      <c r="J2723" s="345"/>
      <c r="K2723" s="327"/>
      <c r="L2723" s="389">
        <v>2450</v>
      </c>
      <c r="M2723" s="371"/>
      <c r="N2723" s="355" t="str">
        <f>+$N$1555</f>
        <v>PK</v>
      </c>
      <c r="O2723" s="347" t="s">
        <v>1475</v>
      </c>
      <c r="P2723" s="392"/>
      <c r="Q2723" s="327"/>
      <c r="R2723" s="351"/>
      <c r="S2723" s="351"/>
      <c r="T2723" s="351"/>
      <c r="U2723" s="329" t="str">
        <f>IF($N2723=$N$4,IFERROR(INDEX(DanhMuc!$E$154:$E$165,MATCH(MID($B2723,4,2),DanhMuc!$B$154:$B$165,0)),""),"")</f>
        <v/>
      </c>
      <c r="V2723" s="408" t="s">
        <v>343</v>
      </c>
      <c r="W2723" s="345"/>
      <c r="X2723" s="329" t="str">
        <f t="shared" si="285"/>
        <v>DR</v>
      </c>
      <c r="Y2723" s="1128" t="s">
        <v>3380</v>
      </c>
      <c r="Z2723" s="1128" t="s">
        <v>3381</v>
      </c>
      <c r="AA2723" s="1128" t="s">
        <v>3384</v>
      </c>
      <c r="AB2723" s="20"/>
      <c r="AC2723" s="73"/>
    </row>
    <row r="2724" spans="1:29" ht="26">
      <c r="A2724" s="327">
        <f>IF(AND($B2724&lt;&gt;"",$C2724&lt;&gt;""),MAX($A$1556:A2695)+1,"")</f>
        <v>146</v>
      </c>
      <c r="B2724" s="359" t="s">
        <v>2870</v>
      </c>
      <c r="C2724" s="360" t="s">
        <v>1529</v>
      </c>
      <c r="D2724" s="327">
        <f>IF($B2724="","",COUNTIF($B$6:$B2724,$B2724))</f>
        <v>1</v>
      </c>
      <c r="E2724" s="361" t="s">
        <v>2892</v>
      </c>
      <c r="F2724" s="362" t="s">
        <v>196</v>
      </c>
      <c r="G2724" s="327" t="s">
        <v>344</v>
      </c>
      <c r="H2724" s="327"/>
      <c r="I2724" s="327">
        <v>1</v>
      </c>
      <c r="J2724" s="361"/>
      <c r="K2724" s="327"/>
      <c r="L2724" s="389">
        <v>126361</v>
      </c>
      <c r="M2724" s="371"/>
      <c r="N2724" s="355" t="str">
        <f t="shared" si="287"/>
        <v>PK</v>
      </c>
      <c r="O2724" s="345"/>
      <c r="P2724" s="392"/>
      <c r="Q2724" s="327"/>
      <c r="R2724" s="351"/>
      <c r="S2724" s="351"/>
      <c r="T2724" s="351"/>
      <c r="U2724" s="329" t="str">
        <f>IF($N2724=$N$4,IFERROR(INDEX(DanhMuc!$E$154:$E$165,MATCH(MID($B2724,4,2),DanhMuc!$B$154:$B$165,0)),""),"")</f>
        <v/>
      </c>
      <c r="V2724" s="361"/>
      <c r="W2724" s="345"/>
      <c r="X2724" s="329" t="str">
        <f t="shared" si="285"/>
        <v>DR</v>
      </c>
      <c r="Y2724" s="1128" t="s">
        <v>3380</v>
      </c>
      <c r="Z2724" s="1128" t="s">
        <v>3381</v>
      </c>
      <c r="AA2724" s="1128" t="s">
        <v>3384</v>
      </c>
      <c r="AB2724" s="20"/>
      <c r="AC2724" s="73"/>
    </row>
    <row r="2725" spans="1:29">
      <c r="A2725" s="327" t="str">
        <f>IF(AND($B2725&lt;&gt;"",$C2725&lt;&gt;""),MAX($A$1556:A2724)+1,"")</f>
        <v/>
      </c>
      <c r="B2725" s="361" t="s">
        <v>2870</v>
      </c>
      <c r="C2725" s="360"/>
      <c r="D2725" s="327">
        <f>IF($B2725="","",COUNTIF($B$6:$B2725,$B2725))</f>
        <v>2</v>
      </c>
      <c r="E2725" s="399" t="s">
        <v>2901</v>
      </c>
      <c r="F2725" s="400" t="s">
        <v>323</v>
      </c>
      <c r="G2725" s="327" t="s">
        <v>155</v>
      </c>
      <c r="H2725" s="327" t="s">
        <v>536</v>
      </c>
      <c r="I2725" s="327">
        <v>1</v>
      </c>
      <c r="J2725" s="345"/>
      <c r="K2725" s="327"/>
      <c r="L2725" s="389">
        <v>120913</v>
      </c>
      <c r="M2725" s="371"/>
      <c r="N2725" s="355" t="str">
        <f t="shared" si="287"/>
        <v>PK</v>
      </c>
      <c r="O2725" s="345" t="s">
        <v>1060</v>
      </c>
      <c r="P2725" s="392"/>
      <c r="Q2725" s="327"/>
      <c r="R2725" s="351"/>
      <c r="S2725" s="351"/>
      <c r="T2725" s="351"/>
      <c r="U2725" s="329" t="str">
        <f>IF($N2725=$N$4,IFERROR(INDEX(DanhMuc!$E$154:$E$165,MATCH(MID($B2725,4,2),DanhMuc!$B$154:$B$165,0)),""),"")</f>
        <v/>
      </c>
      <c r="V2725" s="361"/>
      <c r="W2725" s="345"/>
      <c r="X2725" s="329" t="str">
        <f t="shared" si="285"/>
        <v>DR</v>
      </c>
      <c r="Y2725" s="1128" t="s">
        <v>3380</v>
      </c>
      <c r="Z2725" s="1128" t="s">
        <v>3381</v>
      </c>
      <c r="AA2725" s="1128" t="s">
        <v>3384</v>
      </c>
      <c r="AB2725" s="20"/>
      <c r="AC2725" s="73"/>
    </row>
    <row r="2726" spans="1:29">
      <c r="A2726" s="327" t="str">
        <f>IF(AND($B2726&lt;&gt;"",$C2726&lt;&gt;""),MAX($A$1556:A2725)+1,"")</f>
        <v/>
      </c>
      <c r="B2726" s="361" t="s">
        <v>2870</v>
      </c>
      <c r="C2726" s="360"/>
      <c r="D2726" s="327">
        <f>IF($B2726="","",COUNTIF($B$6:$B2726,$B2726))</f>
        <v>3</v>
      </c>
      <c r="E2726" s="399" t="s">
        <v>2904</v>
      </c>
      <c r="F2726" s="400" t="s">
        <v>340</v>
      </c>
      <c r="G2726" s="327" t="s">
        <v>155</v>
      </c>
      <c r="H2726" s="327" t="s">
        <v>536</v>
      </c>
      <c r="I2726" s="327">
        <v>1</v>
      </c>
      <c r="J2726" s="345"/>
      <c r="K2726" s="327"/>
      <c r="L2726" s="389">
        <v>120913</v>
      </c>
      <c r="M2726" s="371"/>
      <c r="N2726" s="355" t="str">
        <f t="shared" si="287"/>
        <v>PK</v>
      </c>
      <c r="O2726" s="401" t="s">
        <v>2705</v>
      </c>
      <c r="P2726" s="392"/>
      <c r="Q2726" s="327"/>
      <c r="R2726" s="351"/>
      <c r="S2726" s="351"/>
      <c r="T2726" s="351"/>
      <c r="U2726" s="329" t="str">
        <f>IF($N2726=$N$4,IFERROR(INDEX(DanhMuc!$E$154:$E$165,MATCH(MID($B2726,4,2),DanhMuc!$B$154:$B$165,0)),""),"")</f>
        <v/>
      </c>
      <c r="V2726" s="361"/>
      <c r="W2726" s="345"/>
      <c r="X2726" s="329" t="str">
        <f t="shared" si="285"/>
        <v>DR</v>
      </c>
      <c r="Y2726" s="1128" t="s">
        <v>3380</v>
      </c>
      <c r="Z2726" s="1128" t="s">
        <v>3381</v>
      </c>
      <c r="AA2726" s="1128" t="s">
        <v>3384</v>
      </c>
      <c r="AB2726" s="20"/>
      <c r="AC2726" s="73"/>
    </row>
    <row r="2727" spans="1:29">
      <c r="A2727" s="327" t="str">
        <f>IF(AND($B2727&lt;&gt;"",$C2727&lt;&gt;""),MAX($A$1556:A2726)+1,"")</f>
        <v/>
      </c>
      <c r="B2727" s="361" t="s">
        <v>2870</v>
      </c>
      <c r="C2727" s="360"/>
      <c r="D2727" s="327">
        <f>IF($B2727="","",COUNTIF($B$6:$B2727,$B2727))</f>
        <v>4</v>
      </c>
      <c r="E2727" s="399" t="s">
        <v>2903</v>
      </c>
      <c r="F2727" s="400" t="s">
        <v>341</v>
      </c>
      <c r="G2727" s="327" t="s">
        <v>155</v>
      </c>
      <c r="H2727" s="327" t="s">
        <v>536</v>
      </c>
      <c r="I2727" s="327">
        <v>1</v>
      </c>
      <c r="J2727" s="345"/>
      <c r="K2727" s="327"/>
      <c r="L2727" s="389">
        <v>120913</v>
      </c>
      <c r="M2727" s="371"/>
      <c r="N2727" s="355" t="str">
        <f t="shared" si="287"/>
        <v>PK</v>
      </c>
      <c r="O2727" s="401" t="s">
        <v>2706</v>
      </c>
      <c r="P2727" s="392"/>
      <c r="Q2727" s="327"/>
      <c r="R2727" s="351"/>
      <c r="S2727" s="351"/>
      <c r="T2727" s="351"/>
      <c r="U2727" s="329" t="str">
        <f>IF($N2727=$N$4,IFERROR(INDEX(DanhMuc!$E$154:$E$165,MATCH(MID($B2727,4,2),DanhMuc!$B$154:$B$165,0)),""),"")</f>
        <v/>
      </c>
      <c r="V2727" s="361"/>
      <c r="W2727" s="345"/>
      <c r="X2727" s="329" t="str">
        <f t="shared" si="285"/>
        <v>DR</v>
      </c>
      <c r="Y2727" s="1128" t="s">
        <v>3380</v>
      </c>
      <c r="Z2727" s="1128" t="s">
        <v>3381</v>
      </c>
      <c r="AA2727" s="1128" t="s">
        <v>3384</v>
      </c>
      <c r="AB2727" s="20"/>
      <c r="AC2727" s="73"/>
    </row>
    <row r="2728" spans="1:29">
      <c r="A2728" s="327" t="str">
        <f>IF(AND($B2728&lt;&gt;"",$C2728&lt;&gt;""),MAX($A$1556:A2727)+1,"")</f>
        <v/>
      </c>
      <c r="B2728" s="361" t="s">
        <v>2870</v>
      </c>
      <c r="C2728" s="360"/>
      <c r="D2728" s="327">
        <f>IF($B2728="","",COUNTIF($B$6:$B2728,$B2728))</f>
        <v>5</v>
      </c>
      <c r="E2728" s="402" t="s">
        <v>2902</v>
      </c>
      <c r="F2728" s="403" t="s">
        <v>197</v>
      </c>
      <c r="G2728" s="327" t="s">
        <v>155</v>
      </c>
      <c r="H2728" s="327" t="s">
        <v>536</v>
      </c>
      <c r="I2728" s="327">
        <v>1</v>
      </c>
      <c r="J2728" s="345"/>
      <c r="K2728" s="327"/>
      <c r="L2728" s="389">
        <v>147220</v>
      </c>
      <c r="M2728" s="371"/>
      <c r="N2728" s="355" t="str">
        <f t="shared" si="287"/>
        <v>PK</v>
      </c>
      <c r="O2728" s="404" t="s">
        <v>1626</v>
      </c>
      <c r="P2728" s="392"/>
      <c r="Q2728" s="327"/>
      <c r="R2728" s="351"/>
      <c r="S2728" s="351"/>
      <c r="T2728" s="351"/>
      <c r="U2728" s="329" t="str">
        <f>IF($N2728=$N$4,IFERROR(INDEX(DanhMuc!$E$154:$E$165,MATCH(MID($B2728,4,2),DanhMuc!$B$154:$B$165,0)),""),"")</f>
        <v/>
      </c>
      <c r="V2728" s="361"/>
      <c r="W2728" s="345"/>
      <c r="X2728" s="329" t="str">
        <f t="shared" si="285"/>
        <v>DR</v>
      </c>
      <c r="Y2728" s="1128" t="s">
        <v>3380</v>
      </c>
      <c r="Z2728" s="1128" t="s">
        <v>3381</v>
      </c>
      <c r="AA2728" s="1128" t="s">
        <v>3384</v>
      </c>
      <c r="AB2728" s="20"/>
      <c r="AC2728" s="73"/>
    </row>
    <row r="2729" spans="1:29">
      <c r="A2729" s="327" t="str">
        <f>IF(AND($B2729&lt;&gt;"",$C2729&lt;&gt;""),MAX($A$1556:A2728)+1,"")</f>
        <v/>
      </c>
      <c r="B2729" s="361" t="s">
        <v>2870</v>
      </c>
      <c r="C2729" s="360"/>
      <c r="D2729" s="327">
        <f>IF($B2729="","",COUNTIF($B$6:$B2729,$B2729))</f>
        <v>6</v>
      </c>
      <c r="E2729" s="402" t="s">
        <v>2893</v>
      </c>
      <c r="F2729" s="403" t="s">
        <v>79</v>
      </c>
      <c r="G2729" s="327" t="s">
        <v>155</v>
      </c>
      <c r="H2729" s="327" t="s">
        <v>536</v>
      </c>
      <c r="I2729" s="327">
        <v>1</v>
      </c>
      <c r="J2729" s="345"/>
      <c r="K2729" s="327"/>
      <c r="L2729" s="389">
        <v>167893</v>
      </c>
      <c r="M2729" s="371"/>
      <c r="N2729" s="355" t="str">
        <f t="shared" si="287"/>
        <v>PK</v>
      </c>
      <c r="O2729" s="404" t="s">
        <v>1623</v>
      </c>
      <c r="P2729" s="392"/>
      <c r="Q2729" s="327"/>
      <c r="R2729" s="351"/>
      <c r="S2729" s="351"/>
      <c r="T2729" s="351"/>
      <c r="U2729" s="329" t="str">
        <f>IF($N2729=$N$4,IFERROR(INDEX(DanhMuc!$E$154:$E$165,MATCH(MID($B2729,4,2),DanhMuc!$B$154:$B$165,0)),""),"")</f>
        <v/>
      </c>
      <c r="V2729" s="361"/>
      <c r="W2729" s="345"/>
      <c r="X2729" s="329" t="str">
        <f t="shared" si="285"/>
        <v>DR</v>
      </c>
      <c r="Y2729" s="1128" t="s">
        <v>3380</v>
      </c>
      <c r="Z2729" s="1128" t="s">
        <v>3381</v>
      </c>
      <c r="AA2729" s="1128" t="s">
        <v>3384</v>
      </c>
      <c r="AB2729" s="20"/>
      <c r="AC2729" s="73"/>
    </row>
    <row r="2730" spans="1:29">
      <c r="A2730" s="327" t="str">
        <f>IF(AND($B2730&lt;&gt;"",$C2730&lt;&gt;""),MAX($A$1556:A2729)+1,"")</f>
        <v/>
      </c>
      <c r="B2730" s="361" t="s">
        <v>2870</v>
      </c>
      <c r="C2730" s="360"/>
      <c r="D2730" s="327">
        <f>IF($B2730="","",COUNTIF($B$6:$B2730,$B2730))</f>
        <v>7</v>
      </c>
      <c r="E2730" s="361" t="s">
        <v>2905</v>
      </c>
      <c r="F2730" s="362" t="s">
        <v>2906</v>
      </c>
      <c r="G2730" s="327" t="s">
        <v>155</v>
      </c>
      <c r="H2730" s="327" t="s">
        <v>536</v>
      </c>
      <c r="I2730" s="327">
        <v>2</v>
      </c>
      <c r="J2730" s="345"/>
      <c r="K2730" s="327"/>
      <c r="L2730" s="389">
        <v>13762</v>
      </c>
      <c r="M2730" s="371"/>
      <c r="N2730" s="355" t="str">
        <f t="shared" si="287"/>
        <v>PK</v>
      </c>
      <c r="O2730" s="404" t="s">
        <v>1623</v>
      </c>
      <c r="P2730" s="392"/>
      <c r="Q2730" s="327"/>
      <c r="R2730" s="351"/>
      <c r="S2730" s="351"/>
      <c r="T2730" s="351"/>
      <c r="U2730" s="329" t="str">
        <f>IF($N2730=$N$4,IFERROR(INDEX(DanhMuc!$E$154:$E$165,MATCH(MID($B2730,4,2),DanhMuc!$B$154:$B$165,0)),""),"")</f>
        <v/>
      </c>
      <c r="V2730" s="361"/>
      <c r="W2730" s="345"/>
      <c r="X2730" s="329" t="str">
        <f t="shared" si="285"/>
        <v>DR</v>
      </c>
      <c r="Y2730" s="1128" t="s">
        <v>3380</v>
      </c>
      <c r="Z2730" s="1128" t="s">
        <v>3381</v>
      </c>
      <c r="AA2730" s="1128" t="s">
        <v>3384</v>
      </c>
      <c r="AB2730" s="20"/>
      <c r="AC2730" s="73"/>
    </row>
    <row r="2731" spans="1:29">
      <c r="A2731" s="327" t="str">
        <f>IF(AND($B2731&lt;&gt;"",$C2731&lt;&gt;""),MAX($A$1556:A2730)+1,"")</f>
        <v/>
      </c>
      <c r="B2731" s="361" t="s">
        <v>2870</v>
      </c>
      <c r="C2731" s="360"/>
      <c r="D2731" s="327">
        <f>IF($B2731="","",COUNTIF($B$6:$B2731,$B2731))</f>
        <v>8</v>
      </c>
      <c r="E2731" s="402" t="s">
        <v>2908</v>
      </c>
      <c r="F2731" s="403" t="s">
        <v>92</v>
      </c>
      <c r="G2731" s="327" t="s">
        <v>155</v>
      </c>
      <c r="H2731" s="327" t="s">
        <v>536</v>
      </c>
      <c r="I2731" s="327">
        <v>2</v>
      </c>
      <c r="J2731" s="345"/>
      <c r="K2731" s="327"/>
      <c r="L2731" s="389">
        <v>7013</v>
      </c>
      <c r="M2731" s="371"/>
      <c r="N2731" s="355" t="str">
        <f>+$N$1555</f>
        <v>PK</v>
      </c>
      <c r="O2731" s="404" t="s">
        <v>1623</v>
      </c>
      <c r="P2731" s="392"/>
      <c r="Q2731" s="327"/>
      <c r="R2731" s="351"/>
      <c r="S2731" s="351"/>
      <c r="T2731" s="351"/>
      <c r="U2731" s="329" t="str">
        <f>IF($N2731=$N$4,IFERROR(INDEX(DanhMuc!$E$154:$E$165,MATCH(MID($B2731,4,2),DanhMuc!$B$154:$B$165,0)),""),"")</f>
        <v/>
      </c>
      <c r="V2731" s="361"/>
      <c r="W2731" s="345"/>
      <c r="X2731" s="329" t="str">
        <f t="shared" si="285"/>
        <v>DR</v>
      </c>
      <c r="Y2731" s="1128" t="s">
        <v>3380</v>
      </c>
      <c r="Z2731" s="1128" t="s">
        <v>3381</v>
      </c>
      <c r="AA2731" s="1128" t="s">
        <v>3384</v>
      </c>
      <c r="AB2731" s="20"/>
      <c r="AC2731" s="73"/>
    </row>
    <row r="2732" spans="1:29">
      <c r="A2732" s="327" t="str">
        <f>IF(AND($B2732&lt;&gt;"",$C2732&lt;&gt;""),MAX($A$1556:A2731)+1,"")</f>
        <v/>
      </c>
      <c r="B2732" s="361" t="s">
        <v>2870</v>
      </c>
      <c r="C2732" s="360"/>
      <c r="D2732" s="327">
        <f>IF($B2732="","",COUNTIF($B$6:$B2732,$B2732))</f>
        <v>9</v>
      </c>
      <c r="E2732" s="365" t="s">
        <v>327</v>
      </c>
      <c r="F2732" s="368" t="s">
        <v>345</v>
      </c>
      <c r="G2732" s="367" t="s">
        <v>690</v>
      </c>
      <c r="H2732" s="327" t="s">
        <v>536</v>
      </c>
      <c r="I2732" s="327">
        <v>1</v>
      </c>
      <c r="J2732" s="345" t="s">
        <v>634</v>
      </c>
      <c r="K2732" s="327"/>
      <c r="L2732" s="348">
        <f>+$S2732*$T2732*$L$37</f>
        <v>84651</v>
      </c>
      <c r="M2732" s="371"/>
      <c r="N2732" s="369" t="s">
        <v>150</v>
      </c>
      <c r="O2732" s="404" t="s">
        <v>1623</v>
      </c>
      <c r="P2732" s="392"/>
      <c r="Q2732" s="327"/>
      <c r="R2732" s="351">
        <v>2.5</v>
      </c>
      <c r="S2732" s="351">
        <v>5.8</v>
      </c>
      <c r="T2732" s="351">
        <v>0.13900000000000001</v>
      </c>
      <c r="U2732" s="329">
        <f>IF($N2732=$N$4,IFERROR(INDEX(DanhMuc!$E$154:$E$165,MATCH(MID($B2732,4,2),DanhMuc!$B$154:$B$165,0)),""),"")</f>
        <v>5800</v>
      </c>
      <c r="V2732" s="361"/>
      <c r="W2732" s="345"/>
      <c r="X2732" s="329" t="str">
        <f t="shared" si="285"/>
        <v>C459</v>
      </c>
      <c r="Y2732" s="1128" t="s">
        <v>3380</v>
      </c>
      <c r="Z2732" s="1128" t="s">
        <v>3381</v>
      </c>
      <c r="AA2732" s="1128" t="s">
        <v>3384</v>
      </c>
      <c r="AB2732" s="20"/>
      <c r="AC2732" s="73"/>
    </row>
    <row r="2733" spans="1:29">
      <c r="A2733" s="327" t="str">
        <f>IF(AND($B2733&lt;&gt;"",$C2733&lt;&gt;""),MAX($A$1556:A2732)+1,"")</f>
        <v/>
      </c>
      <c r="B2733" s="361" t="s">
        <v>2870</v>
      </c>
      <c r="C2733" s="360"/>
      <c r="D2733" s="327">
        <f>IF($B2733="","",COUNTIF($B$6:$B2733,$B2733))</f>
        <v>10</v>
      </c>
      <c r="E2733" s="361" t="s">
        <v>2909</v>
      </c>
      <c r="F2733" s="362" t="s">
        <v>257</v>
      </c>
      <c r="G2733" s="327" t="s">
        <v>155</v>
      </c>
      <c r="H2733" s="327" t="s">
        <v>536</v>
      </c>
      <c r="I2733" s="327">
        <v>1</v>
      </c>
      <c r="J2733" s="361"/>
      <c r="K2733" s="327"/>
      <c r="L2733" s="389">
        <v>16448</v>
      </c>
      <c r="M2733" s="371"/>
      <c r="N2733" s="355" t="str">
        <f t="shared" ref="N2733:N2736" si="288">+$N$1555</f>
        <v>PK</v>
      </c>
      <c r="O2733" s="345"/>
      <c r="P2733" s="392"/>
      <c r="Q2733" s="327"/>
      <c r="R2733" s="351"/>
      <c r="S2733" s="351"/>
      <c r="T2733" s="351"/>
      <c r="U2733" s="329" t="str">
        <f>IF($N2733=$N$4,IFERROR(INDEX(DanhMuc!$E$154:$E$165,MATCH(MID($B2733,4,2),DanhMuc!$B$154:$B$165,0)),""),"")</f>
        <v/>
      </c>
      <c r="V2733" s="361"/>
      <c r="W2733" s="345"/>
      <c r="X2733" s="329" t="str">
        <f t="shared" si="285"/>
        <v>DR</v>
      </c>
      <c r="Y2733" s="1128" t="s">
        <v>3380</v>
      </c>
      <c r="Z2733" s="1128" t="s">
        <v>3381</v>
      </c>
      <c r="AA2733" s="1128" t="s">
        <v>3384</v>
      </c>
      <c r="AB2733" s="20"/>
      <c r="AC2733" s="73"/>
    </row>
    <row r="2734" spans="1:29">
      <c r="A2734" s="327" t="str">
        <f>IF(AND($B2734&lt;&gt;"",$C2734&lt;&gt;""),MAX($A$1556:A2733)+1,"")</f>
        <v/>
      </c>
      <c r="B2734" s="361" t="s">
        <v>2870</v>
      </c>
      <c r="C2734" s="360"/>
      <c r="D2734" s="327">
        <f>IF($B2734="","",COUNTIF($B$6:$B2734,$B2734))</f>
        <v>11</v>
      </c>
      <c r="E2734" s="402" t="s">
        <v>2896</v>
      </c>
      <c r="F2734" s="362" t="s">
        <v>90</v>
      </c>
      <c r="G2734" s="327" t="s">
        <v>155</v>
      </c>
      <c r="H2734" s="327" t="s">
        <v>536</v>
      </c>
      <c r="I2734" s="327">
        <v>3</v>
      </c>
      <c r="J2734" s="345"/>
      <c r="K2734" s="327"/>
      <c r="L2734" s="389">
        <v>5772</v>
      </c>
      <c r="M2734" s="371"/>
      <c r="N2734" s="355" t="str">
        <f t="shared" si="288"/>
        <v>PK</v>
      </c>
      <c r="O2734" s="345"/>
      <c r="P2734" s="392"/>
      <c r="Q2734" s="327"/>
      <c r="R2734" s="351"/>
      <c r="S2734" s="351"/>
      <c r="T2734" s="351"/>
      <c r="U2734" s="329" t="str">
        <f>IF($N2734=$N$4,IFERROR(INDEX(DanhMuc!$E$154:$E$165,MATCH(MID($B2734,4,2),DanhMuc!$B$154:$B$165,0)),""),"")</f>
        <v/>
      </c>
      <c r="V2734" s="361"/>
      <c r="W2734" s="345"/>
      <c r="X2734" s="329" t="str">
        <f t="shared" si="285"/>
        <v>DR</v>
      </c>
      <c r="Y2734" s="1128" t="s">
        <v>3380</v>
      </c>
      <c r="Z2734" s="1128" t="s">
        <v>3381</v>
      </c>
      <c r="AA2734" s="1128" t="s">
        <v>3384</v>
      </c>
      <c r="AB2734" s="20"/>
      <c r="AC2734" s="73"/>
    </row>
    <row r="2735" spans="1:29" s="25" customFormat="1">
      <c r="A2735" s="327" t="str">
        <f>IF(AND($B2735&lt;&gt;"",$C2735&lt;&gt;""),MAX($A$1556:A2734)+1,"")</f>
        <v/>
      </c>
      <c r="B2735" s="361" t="s">
        <v>2870</v>
      </c>
      <c r="C2735" s="360"/>
      <c r="D2735" s="327">
        <f>IF($B2735="","",COUNTIF($B$6:$B2735,$B2735))</f>
        <v>12</v>
      </c>
      <c r="E2735" s="361" t="s">
        <v>2983</v>
      </c>
      <c r="F2735" s="362" t="s">
        <v>2984</v>
      </c>
      <c r="G2735" s="327" t="s">
        <v>155</v>
      </c>
      <c r="H2735" s="327" t="s">
        <v>536</v>
      </c>
      <c r="I2735" s="327">
        <v>4</v>
      </c>
      <c r="J2735" s="361"/>
      <c r="K2735" s="327"/>
      <c r="L2735" s="389">
        <v>43299</v>
      </c>
      <c r="M2735" s="371"/>
      <c r="N2735" s="355" t="str">
        <f t="shared" si="288"/>
        <v>PK</v>
      </c>
      <c r="O2735" s="345"/>
      <c r="P2735" s="392"/>
      <c r="Q2735" s="327"/>
      <c r="R2735" s="351"/>
      <c r="S2735" s="351"/>
      <c r="T2735" s="351"/>
      <c r="U2735" s="329" t="str">
        <f>IF($N2735=$N$4,IFERROR(INDEX(DanhMuc!$E$154:$E$165,MATCH(MID($B2735,4,2),DanhMuc!$B$154:$B$165,0)),""),"")</f>
        <v/>
      </c>
      <c r="V2735" s="365"/>
      <c r="W2735" s="345"/>
      <c r="X2735" s="329" t="str">
        <f t="shared" si="285"/>
        <v>DR</v>
      </c>
      <c r="Y2735" s="1128" t="s">
        <v>3380</v>
      </c>
      <c r="Z2735" s="1128" t="s">
        <v>3381</v>
      </c>
      <c r="AA2735" s="1128" t="s">
        <v>3384</v>
      </c>
      <c r="AB2735" s="20"/>
      <c r="AC2735" s="73"/>
    </row>
    <row r="2736" spans="1:29" s="25" customFormat="1">
      <c r="A2736" s="327" t="str">
        <f>IF(AND($B2736&lt;&gt;"",$C2736&lt;&gt;""),MAX($A$1556:A2735)+1,"")</f>
        <v/>
      </c>
      <c r="B2736" s="361" t="s">
        <v>2870</v>
      </c>
      <c r="C2736" s="360"/>
      <c r="D2736" s="327">
        <f>IF($B2736="","",COUNTIF($B$6:$B2736,$B2736))</f>
        <v>13</v>
      </c>
      <c r="E2736" s="361" t="s">
        <v>2985</v>
      </c>
      <c r="F2736" s="362" t="s">
        <v>2986</v>
      </c>
      <c r="G2736" s="327" t="s">
        <v>155</v>
      </c>
      <c r="H2736" s="327" t="s">
        <v>536</v>
      </c>
      <c r="I2736" s="327">
        <v>4</v>
      </c>
      <c r="J2736" s="361"/>
      <c r="K2736" s="327"/>
      <c r="L2736" s="389">
        <v>14110</v>
      </c>
      <c r="M2736" s="371"/>
      <c r="N2736" s="355" t="str">
        <f t="shared" si="288"/>
        <v>PK</v>
      </c>
      <c r="O2736" s="345"/>
      <c r="P2736" s="392"/>
      <c r="Q2736" s="327"/>
      <c r="R2736" s="351"/>
      <c r="S2736" s="351"/>
      <c r="T2736" s="351"/>
      <c r="U2736" s="329" t="str">
        <f>IF($N2736=$N$4,IFERROR(INDEX(DanhMuc!$E$154:$E$165,MATCH(MID($B2736,4,2),DanhMuc!$B$154:$B$165,0)),""),"")</f>
        <v/>
      </c>
      <c r="V2736" s="365"/>
      <c r="W2736" s="345"/>
      <c r="X2736" s="329" t="str">
        <f t="shared" si="285"/>
        <v>DR</v>
      </c>
      <c r="Y2736" s="1128" t="s">
        <v>3380</v>
      </c>
      <c r="Z2736" s="1128" t="s">
        <v>3381</v>
      </c>
      <c r="AA2736" s="1128" t="s">
        <v>3384</v>
      </c>
      <c r="AB2736" s="20"/>
      <c r="AC2736" s="73"/>
    </row>
    <row r="2737" spans="1:29" s="25" customFormat="1">
      <c r="A2737" s="327" t="str">
        <f>IF(AND($B2737&lt;&gt;"",$C2737&lt;&gt;""),MAX($A$1556:A2734)+1,"")</f>
        <v/>
      </c>
      <c r="B2737" s="361" t="s">
        <v>2870</v>
      </c>
      <c r="C2737" s="346"/>
      <c r="D2737" s="367">
        <f>IF($B2737="","",COUNTIF($B$6:$B2737,$B2737))</f>
        <v>14</v>
      </c>
      <c r="E2737" s="365" t="s">
        <v>327</v>
      </c>
      <c r="F2737" s="368" t="s">
        <v>345</v>
      </c>
      <c r="G2737" s="367" t="s">
        <v>690</v>
      </c>
      <c r="H2737" s="327" t="s">
        <v>536</v>
      </c>
      <c r="I2737" s="367">
        <v>2</v>
      </c>
      <c r="J2737" s="365" t="s">
        <v>80</v>
      </c>
      <c r="K2737" s="367"/>
      <c r="L2737" s="348">
        <f>+$S2737*$T2737*$L$37</f>
        <v>84651</v>
      </c>
      <c r="M2737" s="371"/>
      <c r="N2737" s="369" t="s">
        <v>150</v>
      </c>
      <c r="O2737" s="345"/>
      <c r="P2737" s="392"/>
      <c r="Q2737" s="327"/>
      <c r="R2737" s="351">
        <v>2.5</v>
      </c>
      <c r="S2737" s="351">
        <v>5.8</v>
      </c>
      <c r="T2737" s="351">
        <v>0.13900000000000001</v>
      </c>
      <c r="U2737" s="329">
        <f>IF($N2737=$N$4,IFERROR(INDEX(DanhMuc!$E$154:$E$165,MATCH(MID($B2737,4,2),DanhMuc!$B$154:$B$165,0)),""),"")</f>
        <v>5800</v>
      </c>
      <c r="V2737" s="365"/>
      <c r="W2737" s="345"/>
      <c r="X2737" s="329" t="str">
        <f t="shared" si="285"/>
        <v>C459</v>
      </c>
      <c r="Y2737" s="1128" t="s">
        <v>3380</v>
      </c>
      <c r="Z2737" s="1128" t="s">
        <v>3381</v>
      </c>
      <c r="AA2737" s="1128" t="s">
        <v>3384</v>
      </c>
      <c r="AB2737" s="20"/>
      <c r="AC2737" s="73"/>
    </row>
    <row r="2738" spans="1:29" ht="25">
      <c r="A2738" s="327" t="str">
        <f>IF(AND($B2738&lt;&gt;"",$C2738&lt;&gt;""),MAX($A$1556:A2737)+1,"")</f>
        <v/>
      </c>
      <c r="B2738" s="361" t="s">
        <v>2870</v>
      </c>
      <c r="C2738" s="360"/>
      <c r="D2738" s="327">
        <f>IF($B2738="","",COUNTIF($B$6:$B2738,$B2738))</f>
        <v>15</v>
      </c>
      <c r="E2738" s="405" t="s">
        <v>2897</v>
      </c>
      <c r="F2738" s="406" t="s">
        <v>676</v>
      </c>
      <c r="G2738" s="327" t="s">
        <v>155</v>
      </c>
      <c r="H2738" s="327"/>
      <c r="I2738" s="327">
        <v>3</v>
      </c>
      <c r="J2738" s="345"/>
      <c r="K2738" s="327"/>
      <c r="L2738" s="389">
        <v>137895</v>
      </c>
      <c r="M2738" s="371"/>
      <c r="N2738" s="355" t="str">
        <f>+$N$1555</f>
        <v>PK</v>
      </c>
      <c r="O2738" s="407" t="s">
        <v>17</v>
      </c>
      <c r="P2738" s="392"/>
      <c r="Q2738" s="327"/>
      <c r="R2738" s="351"/>
      <c r="S2738" s="351"/>
      <c r="T2738" s="351"/>
      <c r="U2738" s="329" t="str">
        <f>IF($N2738=$N$4,IFERROR(INDEX(DanhMuc!$E$154:$E$165,MATCH(MID($B2738,4,2),DanhMuc!$B$154:$B$165,0)),""),"")</f>
        <v/>
      </c>
      <c r="V2738" s="408" t="s">
        <v>343</v>
      </c>
      <c r="W2738" s="345"/>
      <c r="X2738" s="329" t="str">
        <f t="shared" si="285"/>
        <v>DR</v>
      </c>
      <c r="Y2738" s="1128" t="s">
        <v>3380</v>
      </c>
      <c r="Z2738" s="1128" t="s">
        <v>3381</v>
      </c>
      <c r="AA2738" s="1128" t="s">
        <v>3384</v>
      </c>
      <c r="AB2738" s="20"/>
      <c r="AC2738" s="73"/>
    </row>
    <row r="2739" spans="1:29" ht="25">
      <c r="A2739" s="327" t="str">
        <f>IF(AND($B2739&lt;&gt;"",$C2739&lt;&gt;""),MAX($A$1556:A2738)+1,"")</f>
        <v/>
      </c>
      <c r="B2739" s="361" t="s">
        <v>2870</v>
      </c>
      <c r="C2739" s="360"/>
      <c r="D2739" s="327">
        <f>IF($B2739="","",COUNTIF($B$6:$B2739,$B2739))</f>
        <v>16</v>
      </c>
      <c r="E2739" s="405" t="s">
        <v>2898</v>
      </c>
      <c r="F2739" s="406" t="s">
        <v>677</v>
      </c>
      <c r="G2739" s="327" t="s">
        <v>155</v>
      </c>
      <c r="H2739" s="327"/>
      <c r="I2739" s="327">
        <v>3</v>
      </c>
      <c r="J2739" s="345"/>
      <c r="K2739" s="327"/>
      <c r="L2739" s="389">
        <v>137895</v>
      </c>
      <c r="M2739" s="371"/>
      <c r="N2739" s="355" t="str">
        <f>+$N$1555</f>
        <v>PK</v>
      </c>
      <c r="O2739" s="407" t="s">
        <v>17</v>
      </c>
      <c r="P2739" s="392"/>
      <c r="Q2739" s="327"/>
      <c r="R2739" s="351"/>
      <c r="S2739" s="351"/>
      <c r="T2739" s="351"/>
      <c r="U2739" s="329" t="str">
        <f>IF($N2739=$N$4,IFERROR(INDEX(DanhMuc!$E$154:$E$165,MATCH(MID($B2739,4,2),DanhMuc!$B$154:$B$165,0)),""),"")</f>
        <v/>
      </c>
      <c r="V2739" s="408" t="s">
        <v>343</v>
      </c>
      <c r="W2739" s="345"/>
      <c r="X2739" s="329" t="str">
        <f t="shared" si="285"/>
        <v>DR</v>
      </c>
      <c r="Y2739" s="1128" t="s">
        <v>3380</v>
      </c>
      <c r="Z2739" s="1128" t="s">
        <v>3381</v>
      </c>
      <c r="AA2739" s="1128" t="s">
        <v>3384</v>
      </c>
      <c r="AB2739" s="20"/>
      <c r="AC2739" s="73"/>
    </row>
    <row r="2740" spans="1:29">
      <c r="A2740" s="327" t="str">
        <f>IF(AND($B2740&lt;&gt;"",$C2740&lt;&gt;""),MAX($A$1556:A2738)+1,"")</f>
        <v/>
      </c>
      <c r="B2740" s="361" t="s">
        <v>2870</v>
      </c>
      <c r="C2740" s="360"/>
      <c r="D2740" s="327">
        <f>IF($B2740="","",COUNTIF($B$6:$B2740,$B2740))</f>
        <v>17</v>
      </c>
      <c r="E2740" s="405" t="s">
        <v>2912</v>
      </c>
      <c r="F2740" s="406" t="s">
        <v>682</v>
      </c>
      <c r="G2740" s="327" t="s">
        <v>155</v>
      </c>
      <c r="H2740" s="327"/>
      <c r="I2740" s="327">
        <v>3</v>
      </c>
      <c r="J2740" s="345"/>
      <c r="K2740" s="327"/>
      <c r="L2740" s="389">
        <v>158465</v>
      </c>
      <c r="M2740" s="371"/>
      <c r="N2740" s="355" t="str">
        <f t="shared" ref="N2740:N2747" si="289">+$N$1555</f>
        <v>PK</v>
      </c>
      <c r="O2740" s="407" t="s">
        <v>686</v>
      </c>
      <c r="P2740" s="392"/>
      <c r="Q2740" s="327"/>
      <c r="R2740" s="351"/>
      <c r="S2740" s="351"/>
      <c r="T2740" s="351"/>
      <c r="U2740" s="329" t="str">
        <f>IF($N2740=$N$4,IFERROR(INDEX(DanhMuc!$E$154:$E$165,MATCH(MID($B2740,4,2),DanhMuc!$B$154:$B$165,0)),""),"")</f>
        <v/>
      </c>
      <c r="V2740" s="361"/>
      <c r="W2740" s="345"/>
      <c r="X2740" s="329" t="str">
        <f t="shared" si="285"/>
        <v>DR</v>
      </c>
      <c r="Y2740" s="1128" t="s">
        <v>3380</v>
      </c>
      <c r="Z2740" s="1128" t="s">
        <v>3381</v>
      </c>
      <c r="AA2740" s="1128" t="s">
        <v>3384</v>
      </c>
      <c r="AB2740" s="20"/>
      <c r="AC2740" s="73"/>
    </row>
    <row r="2741" spans="1:29">
      <c r="A2741" s="327" t="str">
        <f>IF(AND($B2741&lt;&gt;"",$C2741&lt;&gt;""),MAX($A$1556:A2739)+1,"")</f>
        <v/>
      </c>
      <c r="B2741" s="361" t="s">
        <v>2870</v>
      </c>
      <c r="C2741" s="360"/>
      <c r="D2741" s="327">
        <f>IF($B2741="","",COUNTIF($B$6:$B2741,$B2741))</f>
        <v>18</v>
      </c>
      <c r="E2741" s="405" t="s">
        <v>2913</v>
      </c>
      <c r="F2741" s="406" t="s">
        <v>683</v>
      </c>
      <c r="G2741" s="327" t="s">
        <v>155</v>
      </c>
      <c r="H2741" s="327"/>
      <c r="I2741" s="327">
        <v>3</v>
      </c>
      <c r="J2741" s="345"/>
      <c r="K2741" s="327"/>
      <c r="L2741" s="389">
        <v>158465</v>
      </c>
      <c r="M2741" s="371"/>
      <c r="N2741" s="355" t="str">
        <f t="shared" si="289"/>
        <v>PK</v>
      </c>
      <c r="O2741" s="407" t="s">
        <v>687</v>
      </c>
      <c r="P2741" s="392"/>
      <c r="Q2741" s="327"/>
      <c r="R2741" s="351"/>
      <c r="S2741" s="351"/>
      <c r="T2741" s="351"/>
      <c r="U2741" s="329" t="str">
        <f>IF($N2741=$N$4,IFERROR(INDEX(DanhMuc!$E$154:$E$165,MATCH(MID($B2741,4,2),DanhMuc!$B$154:$B$165,0)),""),"")</f>
        <v/>
      </c>
      <c r="V2741" s="361"/>
      <c r="W2741" s="345"/>
      <c r="X2741" s="329" t="str">
        <f t="shared" si="285"/>
        <v>DR</v>
      </c>
      <c r="Y2741" s="1128" t="s">
        <v>3380</v>
      </c>
      <c r="Z2741" s="1128" t="s">
        <v>3381</v>
      </c>
      <c r="AA2741" s="1128" t="s">
        <v>3384</v>
      </c>
      <c r="AB2741" s="20"/>
      <c r="AC2741" s="73"/>
    </row>
    <row r="2742" spans="1:29">
      <c r="A2742" s="327" t="str">
        <f>IF(AND($B2742&lt;&gt;"",$C2742&lt;&gt;""),MAX($A$1556:A2740)+1,"")</f>
        <v/>
      </c>
      <c r="B2742" s="361" t="s">
        <v>2870</v>
      </c>
      <c r="C2742" s="360"/>
      <c r="D2742" s="327">
        <f>IF($B2742="","",COUNTIF($B$6:$B2742,$B2742))</f>
        <v>19</v>
      </c>
      <c r="E2742" s="405" t="s">
        <v>2899</v>
      </c>
      <c r="F2742" s="406" t="s">
        <v>2316</v>
      </c>
      <c r="G2742" s="327" t="s">
        <v>155</v>
      </c>
      <c r="H2742" s="327"/>
      <c r="I2742" s="327">
        <v>3</v>
      </c>
      <c r="J2742" s="345"/>
      <c r="K2742" s="327"/>
      <c r="L2742" s="389">
        <v>135508</v>
      </c>
      <c r="M2742" s="371"/>
      <c r="N2742" s="355" t="str">
        <f>+$N$1555</f>
        <v>PK</v>
      </c>
      <c r="O2742" s="407" t="s">
        <v>21</v>
      </c>
      <c r="P2742" s="392"/>
      <c r="Q2742" s="327"/>
      <c r="R2742" s="351"/>
      <c r="S2742" s="351"/>
      <c r="T2742" s="351"/>
      <c r="U2742" s="329" t="str">
        <f>IF($N2742=$N$4,IFERROR(INDEX(DanhMuc!$E$154:$E$165,MATCH(MID($B2742,4,2),DanhMuc!$B$154:$B$165,0)),""),"")</f>
        <v/>
      </c>
      <c r="V2742" s="408" t="s">
        <v>343</v>
      </c>
      <c r="W2742" s="345"/>
      <c r="X2742" s="329" t="str">
        <f t="shared" si="285"/>
        <v>DR</v>
      </c>
      <c r="Y2742" s="1128" t="s">
        <v>3380</v>
      </c>
      <c r="Z2742" s="1128" t="s">
        <v>3381</v>
      </c>
      <c r="AA2742" s="1128" t="s">
        <v>3384</v>
      </c>
      <c r="AB2742" s="20"/>
      <c r="AC2742" s="73"/>
    </row>
    <row r="2743" spans="1:29">
      <c r="A2743" s="327" t="str">
        <f>IF(AND($B2743&lt;&gt;"",$C2743&lt;&gt;""),MAX($A$1556:A2741)+1,"")</f>
        <v/>
      </c>
      <c r="B2743" s="361" t="s">
        <v>2870</v>
      </c>
      <c r="C2743" s="360"/>
      <c r="D2743" s="327">
        <f>IF($B2743="","",COUNTIF($B$6:$B2743,$B2743))</f>
        <v>20</v>
      </c>
      <c r="E2743" s="405" t="s">
        <v>2900</v>
      </c>
      <c r="F2743" s="406" t="s">
        <v>2317</v>
      </c>
      <c r="G2743" s="327" t="s">
        <v>155</v>
      </c>
      <c r="H2743" s="327"/>
      <c r="I2743" s="327">
        <v>3</v>
      </c>
      <c r="J2743" s="345"/>
      <c r="K2743" s="327"/>
      <c r="L2743" s="389">
        <v>135508</v>
      </c>
      <c r="M2743" s="371"/>
      <c r="N2743" s="355" t="str">
        <f>+$N$1555</f>
        <v>PK</v>
      </c>
      <c r="O2743" s="407" t="s">
        <v>21</v>
      </c>
      <c r="P2743" s="392"/>
      <c r="Q2743" s="327"/>
      <c r="R2743" s="351"/>
      <c r="S2743" s="351"/>
      <c r="T2743" s="351"/>
      <c r="U2743" s="329" t="str">
        <f>IF($N2743=$N$4,IFERROR(INDEX(DanhMuc!$E$154:$E$165,MATCH(MID($B2743,4,2),DanhMuc!$B$154:$B$165,0)),""),"")</f>
        <v/>
      </c>
      <c r="V2743" s="408" t="s">
        <v>343</v>
      </c>
      <c r="W2743" s="345"/>
      <c r="X2743" s="329" t="str">
        <f t="shared" si="285"/>
        <v>DR</v>
      </c>
      <c r="Y2743" s="1128" t="s">
        <v>3380</v>
      </c>
      <c r="Z2743" s="1128" t="s">
        <v>3381</v>
      </c>
      <c r="AA2743" s="1128" t="s">
        <v>3384</v>
      </c>
      <c r="AB2743" s="20"/>
      <c r="AC2743" s="73"/>
    </row>
    <row r="2744" spans="1:29">
      <c r="A2744" s="327" t="str">
        <f>IF(AND($B2744&lt;&gt;"",$C2744&lt;&gt;""),MAX($A$1556:A2742)+1,"")</f>
        <v/>
      </c>
      <c r="B2744" s="361" t="s">
        <v>2870</v>
      </c>
      <c r="C2744" s="360"/>
      <c r="D2744" s="327">
        <f>IF($B2744="","",COUNTIF($B$6:$B2744,$B2744))</f>
        <v>21</v>
      </c>
      <c r="E2744" s="405" t="s">
        <v>2910</v>
      </c>
      <c r="F2744" s="406" t="s">
        <v>2318</v>
      </c>
      <c r="G2744" s="327" t="s">
        <v>155</v>
      </c>
      <c r="H2744" s="327"/>
      <c r="I2744" s="327">
        <v>3</v>
      </c>
      <c r="J2744" s="345"/>
      <c r="K2744" s="327"/>
      <c r="L2744" s="389">
        <v>145214</v>
      </c>
      <c r="M2744" s="371"/>
      <c r="N2744" s="355" t="str">
        <f t="shared" si="289"/>
        <v>PK</v>
      </c>
      <c r="O2744" s="407" t="s">
        <v>1806</v>
      </c>
      <c r="P2744" s="392"/>
      <c r="Q2744" s="327"/>
      <c r="R2744" s="351"/>
      <c r="S2744" s="351"/>
      <c r="T2744" s="351"/>
      <c r="U2744" s="329" t="str">
        <f>IF($N2744=$N$4,IFERROR(INDEX(DanhMuc!$E$154:$E$165,MATCH(MID($B2744,4,2),DanhMuc!$B$154:$B$165,0)),""),"")</f>
        <v/>
      </c>
      <c r="V2744" s="361"/>
      <c r="W2744" s="345"/>
      <c r="X2744" s="329" t="str">
        <f t="shared" si="285"/>
        <v>DR</v>
      </c>
      <c r="Y2744" s="1128" t="s">
        <v>3380</v>
      </c>
      <c r="Z2744" s="1128" t="s">
        <v>3381</v>
      </c>
      <c r="AA2744" s="1128" t="s">
        <v>3384</v>
      </c>
      <c r="AB2744" s="20"/>
      <c r="AC2744" s="73"/>
    </row>
    <row r="2745" spans="1:29">
      <c r="A2745" s="327" t="str">
        <f>IF(AND($B2745&lt;&gt;"",$C2745&lt;&gt;""),MAX($A$1556:A2743)+1,"")</f>
        <v/>
      </c>
      <c r="B2745" s="361" t="s">
        <v>2870</v>
      </c>
      <c r="C2745" s="360"/>
      <c r="D2745" s="327">
        <f>IF($B2745="","",COUNTIF($B$6:$B2745,$B2745))</f>
        <v>22</v>
      </c>
      <c r="E2745" s="405" t="s">
        <v>2911</v>
      </c>
      <c r="F2745" s="406" t="s">
        <v>2319</v>
      </c>
      <c r="G2745" s="327" t="s">
        <v>155</v>
      </c>
      <c r="H2745" s="327"/>
      <c r="I2745" s="327">
        <v>3</v>
      </c>
      <c r="J2745" s="345"/>
      <c r="K2745" s="327"/>
      <c r="L2745" s="389">
        <v>145214</v>
      </c>
      <c r="M2745" s="371"/>
      <c r="N2745" s="355" t="str">
        <f t="shared" si="289"/>
        <v>PK</v>
      </c>
      <c r="O2745" s="407" t="s">
        <v>1807</v>
      </c>
      <c r="P2745" s="392"/>
      <c r="Q2745" s="327"/>
      <c r="R2745" s="351"/>
      <c r="S2745" s="351"/>
      <c r="T2745" s="351"/>
      <c r="U2745" s="329" t="str">
        <f>IF($N2745=$N$4,IFERROR(INDEX(DanhMuc!$E$154:$E$165,MATCH(MID($B2745,4,2),DanhMuc!$B$154:$B$165,0)),""),"")</f>
        <v/>
      </c>
      <c r="V2745" s="361"/>
      <c r="W2745" s="345"/>
      <c r="X2745" s="329" t="str">
        <f t="shared" si="285"/>
        <v>DR</v>
      </c>
      <c r="Y2745" s="1128" t="s">
        <v>3380</v>
      </c>
      <c r="Z2745" s="1128" t="s">
        <v>3381</v>
      </c>
      <c r="AA2745" s="1128" t="s">
        <v>3384</v>
      </c>
      <c r="AB2745" s="20"/>
      <c r="AC2745" s="73"/>
    </row>
    <row r="2746" spans="1:29">
      <c r="A2746" s="327" t="str">
        <f>IF(AND($B2746&lt;&gt;"",$C2746&lt;&gt;""),MAX($A$1556:A2740)+1,"")</f>
        <v/>
      </c>
      <c r="B2746" s="361" t="s">
        <v>2870</v>
      </c>
      <c r="C2746" s="360"/>
      <c r="D2746" s="327">
        <f>IF($B2746="","",COUNTIF($B$6:$B2746,$B2746))</f>
        <v>23</v>
      </c>
      <c r="E2746" s="361" t="s">
        <v>678</v>
      </c>
      <c r="F2746" s="362" t="s">
        <v>711</v>
      </c>
      <c r="G2746" s="327" t="s">
        <v>155</v>
      </c>
      <c r="H2746" s="327"/>
      <c r="I2746" s="327">
        <v>1</v>
      </c>
      <c r="J2746" s="361"/>
      <c r="K2746" s="327"/>
      <c r="L2746" s="389">
        <v>1250</v>
      </c>
      <c r="M2746" s="371"/>
      <c r="N2746" s="355" t="str">
        <f t="shared" si="289"/>
        <v>PK</v>
      </c>
      <c r="O2746" s="345"/>
      <c r="P2746" s="392"/>
      <c r="Q2746" s="327"/>
      <c r="R2746" s="351"/>
      <c r="S2746" s="351"/>
      <c r="T2746" s="351"/>
      <c r="U2746" s="329" t="str">
        <f>IF($N2746=$N$4,IFERROR(INDEX(DanhMuc!$E$154:$E$165,MATCH(MID($B2746,4,2),DanhMuc!$B$154:$B$165,0)),""),"")</f>
        <v/>
      </c>
      <c r="V2746" s="361"/>
      <c r="W2746" s="345"/>
      <c r="X2746" s="329" t="str">
        <f t="shared" si="285"/>
        <v>DR</v>
      </c>
      <c r="Y2746" s="1128" t="s">
        <v>3380</v>
      </c>
      <c r="Z2746" s="1128" t="s">
        <v>3381</v>
      </c>
      <c r="AA2746" s="1128" t="s">
        <v>3384</v>
      </c>
      <c r="AB2746" s="20"/>
      <c r="AC2746" s="73"/>
    </row>
    <row r="2747" spans="1:29">
      <c r="A2747" s="327" t="str">
        <f>IF(AND($B2747&lt;&gt;"",$C2747&lt;&gt;""),MAX($A$1556:A2746)+1,"")</f>
        <v/>
      </c>
      <c r="B2747" s="361" t="s">
        <v>2870</v>
      </c>
      <c r="C2747" s="360"/>
      <c r="D2747" s="327">
        <f>IF($B2747="","",COUNTIF($B$6:$B2747,$B2747))</f>
        <v>24</v>
      </c>
      <c r="E2747" s="361" t="s">
        <v>679</v>
      </c>
      <c r="F2747" s="362" t="s">
        <v>712</v>
      </c>
      <c r="G2747" s="327" t="s">
        <v>155</v>
      </c>
      <c r="H2747" s="327"/>
      <c r="I2747" s="327">
        <v>1</v>
      </c>
      <c r="J2747" s="361"/>
      <c r="K2747" s="327"/>
      <c r="L2747" s="389">
        <v>1250</v>
      </c>
      <c r="M2747" s="371"/>
      <c r="N2747" s="355" t="str">
        <f t="shared" si="289"/>
        <v>PK</v>
      </c>
      <c r="O2747" s="345"/>
      <c r="P2747" s="392"/>
      <c r="Q2747" s="327"/>
      <c r="R2747" s="351"/>
      <c r="S2747" s="351"/>
      <c r="T2747" s="351"/>
      <c r="U2747" s="329" t="str">
        <f>IF($N2747=$N$4,IFERROR(INDEX(DanhMuc!$E$154:$E$165,MATCH(MID($B2747,4,2),DanhMuc!$B$154:$B$165,0)),""),"")</f>
        <v/>
      </c>
      <c r="V2747" s="361"/>
      <c r="W2747" s="345"/>
      <c r="X2747" s="329" t="str">
        <f t="shared" si="285"/>
        <v>DR</v>
      </c>
      <c r="Y2747" s="1128" t="s">
        <v>3380</v>
      </c>
      <c r="Z2747" s="1128" t="s">
        <v>3381</v>
      </c>
      <c r="AA2747" s="1128" t="s">
        <v>3384</v>
      </c>
      <c r="AB2747" s="20"/>
      <c r="AC2747" s="73"/>
    </row>
    <row r="2748" spans="1:29">
      <c r="A2748" s="327" t="str">
        <f>IF(AND($B2748&lt;&gt;"",$C2748&lt;&gt;""),MAX($A$1556:A2746)+1,"")</f>
        <v/>
      </c>
      <c r="B2748" s="361" t="s">
        <v>2870</v>
      </c>
      <c r="C2748" s="360"/>
      <c r="D2748" s="327">
        <f>IF($B2748="","",COUNTIF($B$6:$B2748,$B2748))</f>
        <v>25</v>
      </c>
      <c r="E2748" s="361" t="s">
        <v>986</v>
      </c>
      <c r="F2748" s="362" t="s">
        <v>985</v>
      </c>
      <c r="G2748" s="327" t="s">
        <v>297</v>
      </c>
      <c r="H2748" s="327"/>
      <c r="I2748" s="327">
        <v>6</v>
      </c>
      <c r="J2748" s="345"/>
      <c r="K2748" s="327"/>
      <c r="L2748" s="389">
        <v>2450</v>
      </c>
      <c r="M2748" s="371"/>
      <c r="N2748" s="355" t="str">
        <f>+$N$1555</f>
        <v>PK</v>
      </c>
      <c r="O2748" s="347" t="s">
        <v>1475</v>
      </c>
      <c r="P2748" s="392"/>
      <c r="Q2748" s="327"/>
      <c r="R2748" s="351"/>
      <c r="S2748" s="351"/>
      <c r="T2748" s="351"/>
      <c r="U2748" s="329" t="str">
        <f>IF($N2748=$N$4,IFERROR(INDEX(DanhMuc!$E$154:$E$165,MATCH(MID($B2748,4,2),DanhMuc!$B$154:$B$165,0)),""),"")</f>
        <v/>
      </c>
      <c r="V2748" s="408" t="s">
        <v>343</v>
      </c>
      <c r="W2748" s="345"/>
      <c r="X2748" s="329" t="str">
        <f t="shared" si="285"/>
        <v>DR</v>
      </c>
      <c r="Y2748" s="1128" t="s">
        <v>3380</v>
      </c>
      <c r="Z2748" s="1128" t="s">
        <v>3381</v>
      </c>
      <c r="AA2748" s="1128" t="s">
        <v>3384</v>
      </c>
      <c r="AB2748" s="20"/>
      <c r="AC2748" s="73"/>
    </row>
    <row r="2749" spans="1:29">
      <c r="A2749" s="327" t="str">
        <f>IF(AND($B2749&lt;&gt;"",$C2749&lt;&gt;""),MAX($A$1556:A2747)+1,"")</f>
        <v/>
      </c>
      <c r="B2749" s="361" t="s">
        <v>2870</v>
      </c>
      <c r="C2749" s="360"/>
      <c r="D2749" s="327">
        <f>IF($B2749="","",COUNTIF($B$6:$B2749,$B2749))</f>
        <v>26</v>
      </c>
      <c r="E2749" s="361" t="s">
        <v>1444</v>
      </c>
      <c r="F2749" s="362" t="s">
        <v>2356</v>
      </c>
      <c r="G2749" s="327" t="s">
        <v>297</v>
      </c>
      <c r="H2749" s="327"/>
      <c r="I2749" s="327">
        <v>1</v>
      </c>
      <c r="J2749" s="345"/>
      <c r="K2749" s="327"/>
      <c r="L2749" s="389">
        <v>17000</v>
      </c>
      <c r="M2749" s="371"/>
      <c r="N2749" s="355" t="str">
        <f>+$N$1555</f>
        <v>PK</v>
      </c>
      <c r="O2749" s="347"/>
      <c r="P2749" s="392"/>
      <c r="Q2749" s="327"/>
      <c r="R2749" s="351"/>
      <c r="S2749" s="351"/>
      <c r="T2749" s="351"/>
      <c r="U2749" s="329" t="str">
        <f>IF($N2749=$N$4,IFERROR(INDEX(DanhMuc!$E$154:$E$165,MATCH(MID($B2749,4,2),DanhMuc!$B$154:$B$165,0)),""),"")</f>
        <v/>
      </c>
      <c r="V2749" s="408"/>
      <c r="W2749" s="345"/>
      <c r="X2749" s="329" t="str">
        <f t="shared" si="285"/>
        <v>DR</v>
      </c>
      <c r="Y2749" s="1128" t="s">
        <v>3380</v>
      </c>
      <c r="Z2749" s="1128" t="s">
        <v>3381</v>
      </c>
      <c r="AA2749" s="1128" t="s">
        <v>3384</v>
      </c>
      <c r="AB2749" s="20"/>
      <c r="AC2749" s="73"/>
    </row>
    <row r="2750" spans="1:29" ht="26">
      <c r="A2750" s="327">
        <f>IF(AND($B2750&lt;&gt;"",$C2750&lt;&gt;""),MAX($A$1556:A2721)+1,"")</f>
        <v>147</v>
      </c>
      <c r="B2750" s="359" t="s">
        <v>2871</v>
      </c>
      <c r="C2750" s="360" t="s">
        <v>1530</v>
      </c>
      <c r="D2750" s="327">
        <f>IF($B2750="","",COUNTIF($B$6:$B2750,$B2750))</f>
        <v>1</v>
      </c>
      <c r="E2750" s="361" t="s">
        <v>2892</v>
      </c>
      <c r="F2750" s="362" t="s">
        <v>196</v>
      </c>
      <c r="G2750" s="327" t="s">
        <v>344</v>
      </c>
      <c r="H2750" s="327"/>
      <c r="I2750" s="327">
        <v>1</v>
      </c>
      <c r="J2750" s="361"/>
      <c r="K2750" s="327"/>
      <c r="L2750" s="389">
        <v>126361</v>
      </c>
      <c r="M2750" s="371"/>
      <c r="N2750" s="355" t="str">
        <f t="shared" si="287"/>
        <v>PK</v>
      </c>
      <c r="O2750" s="345"/>
      <c r="P2750" s="392"/>
      <c r="Q2750" s="327"/>
      <c r="R2750" s="351"/>
      <c r="S2750" s="351"/>
      <c r="T2750" s="351"/>
      <c r="U2750" s="329" t="str">
        <f>IF($N2750=$N$4,IFERROR(INDEX(DanhMuc!$E$154:$E$165,MATCH(MID($B2750,4,2),DanhMuc!$B$154:$B$165,0)),""),"")</f>
        <v/>
      </c>
      <c r="V2750" s="361"/>
      <c r="W2750" s="345"/>
      <c r="X2750" s="329" t="str">
        <f t="shared" si="285"/>
        <v>DR</v>
      </c>
      <c r="Y2750" s="1128" t="s">
        <v>3380</v>
      </c>
      <c r="Z2750" s="1128" t="s">
        <v>3381</v>
      </c>
      <c r="AA2750" s="1128" t="s">
        <v>3384</v>
      </c>
      <c r="AB2750" s="20"/>
      <c r="AC2750" s="73"/>
    </row>
    <row r="2751" spans="1:29">
      <c r="A2751" s="327" t="str">
        <f>IF(AND($B2751&lt;&gt;"",$C2751&lt;&gt;""),MAX($A$1556:A2750)+1,"")</f>
        <v/>
      </c>
      <c r="B2751" s="361" t="s">
        <v>2871</v>
      </c>
      <c r="C2751" s="360"/>
      <c r="D2751" s="327">
        <f>IF($B2751="","",COUNTIF($B$6:$B2751,$B2751))</f>
        <v>2</v>
      </c>
      <c r="E2751" s="399" t="s">
        <v>2901</v>
      </c>
      <c r="F2751" s="400" t="s">
        <v>323</v>
      </c>
      <c r="G2751" s="327" t="s">
        <v>155</v>
      </c>
      <c r="H2751" s="327" t="s">
        <v>536</v>
      </c>
      <c r="I2751" s="327">
        <v>1</v>
      </c>
      <c r="J2751" s="345"/>
      <c r="K2751" s="327"/>
      <c r="L2751" s="389">
        <v>120913</v>
      </c>
      <c r="M2751" s="371"/>
      <c r="N2751" s="355" t="str">
        <f t="shared" si="287"/>
        <v>PK</v>
      </c>
      <c r="O2751" s="345" t="s">
        <v>1060</v>
      </c>
      <c r="P2751" s="392"/>
      <c r="Q2751" s="327"/>
      <c r="R2751" s="351"/>
      <c r="S2751" s="351"/>
      <c r="T2751" s="351"/>
      <c r="U2751" s="329" t="str">
        <f>IF($N2751=$N$4,IFERROR(INDEX(DanhMuc!$E$154:$E$165,MATCH(MID($B2751,4,2),DanhMuc!$B$154:$B$165,0)),""),"")</f>
        <v/>
      </c>
      <c r="V2751" s="361"/>
      <c r="W2751" s="345"/>
      <c r="X2751" s="329" t="str">
        <f t="shared" si="285"/>
        <v>DR</v>
      </c>
      <c r="Y2751" s="1128" t="s">
        <v>3380</v>
      </c>
      <c r="Z2751" s="1128" t="s">
        <v>3381</v>
      </c>
      <c r="AA2751" s="1128" t="s">
        <v>3384</v>
      </c>
      <c r="AB2751" s="20"/>
      <c r="AC2751" s="73"/>
    </row>
    <row r="2752" spans="1:29">
      <c r="A2752" s="327" t="str">
        <f>IF(AND($B2752&lt;&gt;"",$C2752&lt;&gt;""),MAX($A$1556:A2751)+1,"")</f>
        <v/>
      </c>
      <c r="B2752" s="361" t="s">
        <v>2871</v>
      </c>
      <c r="C2752" s="360"/>
      <c r="D2752" s="327">
        <f>IF($B2752="","",COUNTIF($B$6:$B2752,$B2752))</f>
        <v>3</v>
      </c>
      <c r="E2752" s="399" t="s">
        <v>2904</v>
      </c>
      <c r="F2752" s="400" t="s">
        <v>340</v>
      </c>
      <c r="G2752" s="327" t="s">
        <v>155</v>
      </c>
      <c r="H2752" s="327" t="s">
        <v>536</v>
      </c>
      <c r="I2752" s="327">
        <v>1</v>
      </c>
      <c r="J2752" s="345"/>
      <c r="K2752" s="327"/>
      <c r="L2752" s="389">
        <v>120913</v>
      </c>
      <c r="M2752" s="371"/>
      <c r="N2752" s="355" t="str">
        <f t="shared" si="287"/>
        <v>PK</v>
      </c>
      <c r="O2752" s="401" t="s">
        <v>2705</v>
      </c>
      <c r="P2752" s="392"/>
      <c r="Q2752" s="327"/>
      <c r="R2752" s="351"/>
      <c r="S2752" s="351"/>
      <c r="T2752" s="351"/>
      <c r="U2752" s="329" t="str">
        <f>IF($N2752=$N$4,IFERROR(INDEX(DanhMuc!$E$154:$E$165,MATCH(MID($B2752,4,2),DanhMuc!$B$154:$B$165,0)),""),"")</f>
        <v/>
      </c>
      <c r="V2752" s="361"/>
      <c r="W2752" s="345"/>
      <c r="X2752" s="329" t="str">
        <f t="shared" si="285"/>
        <v>DR</v>
      </c>
      <c r="Y2752" s="1128" t="s">
        <v>3380</v>
      </c>
      <c r="Z2752" s="1128" t="s">
        <v>3381</v>
      </c>
      <c r="AA2752" s="1128" t="s">
        <v>3384</v>
      </c>
      <c r="AB2752" s="20"/>
      <c r="AC2752" s="73"/>
    </row>
    <row r="2753" spans="1:29">
      <c r="A2753" s="327" t="str">
        <f>IF(AND($B2753&lt;&gt;"",$C2753&lt;&gt;""),MAX($A$1556:A2752)+1,"")</f>
        <v/>
      </c>
      <c r="B2753" s="361" t="s">
        <v>2871</v>
      </c>
      <c r="C2753" s="360"/>
      <c r="D2753" s="327">
        <f>IF($B2753="","",COUNTIF($B$6:$B2753,$B2753))</f>
        <v>4</v>
      </c>
      <c r="E2753" s="399" t="s">
        <v>2903</v>
      </c>
      <c r="F2753" s="400" t="s">
        <v>341</v>
      </c>
      <c r="G2753" s="327" t="s">
        <v>155</v>
      </c>
      <c r="H2753" s="327" t="s">
        <v>536</v>
      </c>
      <c r="I2753" s="327">
        <v>1</v>
      </c>
      <c r="J2753" s="345"/>
      <c r="K2753" s="327"/>
      <c r="L2753" s="389">
        <v>120913</v>
      </c>
      <c r="M2753" s="371"/>
      <c r="N2753" s="355" t="str">
        <f t="shared" si="287"/>
        <v>PK</v>
      </c>
      <c r="O2753" s="401" t="s">
        <v>2706</v>
      </c>
      <c r="P2753" s="392"/>
      <c r="Q2753" s="327"/>
      <c r="R2753" s="351"/>
      <c r="S2753" s="351"/>
      <c r="T2753" s="351"/>
      <c r="U2753" s="329" t="str">
        <f>IF($N2753=$N$4,IFERROR(INDEX(DanhMuc!$E$154:$E$165,MATCH(MID($B2753,4,2),DanhMuc!$B$154:$B$165,0)),""),"")</f>
        <v/>
      </c>
      <c r="V2753" s="361"/>
      <c r="W2753" s="345"/>
      <c r="X2753" s="329" t="str">
        <f t="shared" si="285"/>
        <v>DR</v>
      </c>
      <c r="Y2753" s="1128" t="s">
        <v>3380</v>
      </c>
      <c r="Z2753" s="1128" t="s">
        <v>3381</v>
      </c>
      <c r="AA2753" s="1128" t="s">
        <v>3384</v>
      </c>
      <c r="AB2753" s="20"/>
      <c r="AC2753" s="73"/>
    </row>
    <row r="2754" spans="1:29">
      <c r="A2754" s="327" t="str">
        <f>IF(AND($B2754&lt;&gt;"",$C2754&lt;&gt;""),MAX($A$1556:A2753)+1,"")</f>
        <v/>
      </c>
      <c r="B2754" s="361" t="s">
        <v>2871</v>
      </c>
      <c r="C2754" s="360"/>
      <c r="D2754" s="327">
        <f>IF($B2754="","",COUNTIF($B$6:$B2754,$B2754))</f>
        <v>5</v>
      </c>
      <c r="E2754" s="402" t="s">
        <v>2902</v>
      </c>
      <c r="F2754" s="403" t="s">
        <v>197</v>
      </c>
      <c r="G2754" s="327" t="s">
        <v>155</v>
      </c>
      <c r="H2754" s="327" t="s">
        <v>536</v>
      </c>
      <c r="I2754" s="327">
        <v>1</v>
      </c>
      <c r="J2754" s="345"/>
      <c r="K2754" s="327"/>
      <c r="L2754" s="389">
        <v>147220</v>
      </c>
      <c r="M2754" s="371"/>
      <c r="N2754" s="355" t="str">
        <f t="shared" si="287"/>
        <v>PK</v>
      </c>
      <c r="O2754" s="404" t="s">
        <v>1626</v>
      </c>
      <c r="P2754" s="392"/>
      <c r="Q2754" s="327"/>
      <c r="R2754" s="351"/>
      <c r="S2754" s="351"/>
      <c r="T2754" s="351"/>
      <c r="U2754" s="329" t="str">
        <f>IF($N2754=$N$4,IFERROR(INDEX(DanhMuc!$E$154:$E$165,MATCH(MID($B2754,4,2),DanhMuc!$B$154:$B$165,0)),""),"")</f>
        <v/>
      </c>
      <c r="V2754" s="361"/>
      <c r="W2754" s="345"/>
      <c r="X2754" s="329" t="str">
        <f t="shared" ref="X2754:X2837" si="290">IF($N2754="PR",$E2754,MID($B2754,10,2))</f>
        <v>DR</v>
      </c>
      <c r="Y2754" s="1128" t="s">
        <v>3380</v>
      </c>
      <c r="Z2754" s="1128" t="s">
        <v>3381</v>
      </c>
      <c r="AA2754" s="1128" t="s">
        <v>3384</v>
      </c>
      <c r="AB2754" s="20"/>
      <c r="AC2754" s="73"/>
    </row>
    <row r="2755" spans="1:29">
      <c r="A2755" s="327" t="str">
        <f>IF(AND($B2755&lt;&gt;"",$C2755&lt;&gt;""),MAX($A$1556:A2754)+1,"")</f>
        <v/>
      </c>
      <c r="B2755" s="361" t="s">
        <v>2871</v>
      </c>
      <c r="C2755" s="360"/>
      <c r="D2755" s="327">
        <f>IF($B2755="","",COUNTIF($B$6:$B2755,$B2755))</f>
        <v>6</v>
      </c>
      <c r="E2755" s="402" t="s">
        <v>2893</v>
      </c>
      <c r="F2755" s="403" t="s">
        <v>79</v>
      </c>
      <c r="G2755" s="327" t="s">
        <v>155</v>
      </c>
      <c r="H2755" s="327" t="s">
        <v>536</v>
      </c>
      <c r="I2755" s="327">
        <v>1</v>
      </c>
      <c r="J2755" s="345"/>
      <c r="K2755" s="327"/>
      <c r="L2755" s="389">
        <v>167893</v>
      </c>
      <c r="M2755" s="371"/>
      <c r="N2755" s="355" t="str">
        <f t="shared" si="287"/>
        <v>PK</v>
      </c>
      <c r="O2755" s="404" t="s">
        <v>1623</v>
      </c>
      <c r="P2755" s="392"/>
      <c r="Q2755" s="327"/>
      <c r="R2755" s="351"/>
      <c r="S2755" s="351"/>
      <c r="T2755" s="351"/>
      <c r="U2755" s="329" t="str">
        <f>IF($N2755=$N$4,IFERROR(INDEX(DanhMuc!$E$154:$E$165,MATCH(MID($B2755,4,2),DanhMuc!$B$154:$B$165,0)),""),"")</f>
        <v/>
      </c>
      <c r="V2755" s="361"/>
      <c r="W2755" s="345"/>
      <c r="X2755" s="329" t="str">
        <f t="shared" si="290"/>
        <v>DR</v>
      </c>
      <c r="Y2755" s="1128" t="s">
        <v>3380</v>
      </c>
      <c r="Z2755" s="1128" t="s">
        <v>3381</v>
      </c>
      <c r="AA2755" s="1128" t="s">
        <v>3384</v>
      </c>
      <c r="AB2755" s="20"/>
      <c r="AC2755" s="73"/>
    </row>
    <row r="2756" spans="1:29">
      <c r="A2756" s="327" t="str">
        <f>IF(AND($B2756&lt;&gt;"",$C2756&lt;&gt;""),MAX($A$1556:A2755)+1,"")</f>
        <v/>
      </c>
      <c r="B2756" s="361" t="s">
        <v>2871</v>
      </c>
      <c r="C2756" s="360"/>
      <c r="D2756" s="327">
        <f>IF($B2756="","",COUNTIF($B$6:$B2756,$B2756))</f>
        <v>7</v>
      </c>
      <c r="E2756" s="361" t="s">
        <v>2905</v>
      </c>
      <c r="F2756" s="362" t="s">
        <v>2906</v>
      </c>
      <c r="G2756" s="327" t="s">
        <v>155</v>
      </c>
      <c r="H2756" s="327" t="s">
        <v>536</v>
      </c>
      <c r="I2756" s="327">
        <v>2</v>
      </c>
      <c r="J2756" s="345"/>
      <c r="K2756" s="327"/>
      <c r="L2756" s="389">
        <v>13762</v>
      </c>
      <c r="M2756" s="371"/>
      <c r="N2756" s="355" t="str">
        <f t="shared" si="287"/>
        <v>PK</v>
      </c>
      <c r="O2756" s="404" t="s">
        <v>1623</v>
      </c>
      <c r="P2756" s="392"/>
      <c r="Q2756" s="327"/>
      <c r="R2756" s="351"/>
      <c r="S2756" s="351"/>
      <c r="T2756" s="351"/>
      <c r="U2756" s="329" t="str">
        <f>IF($N2756=$N$4,IFERROR(INDEX(DanhMuc!$E$154:$E$165,MATCH(MID($B2756,4,2),DanhMuc!$B$154:$B$165,0)),""),"")</f>
        <v/>
      </c>
      <c r="V2756" s="361"/>
      <c r="W2756" s="345"/>
      <c r="X2756" s="329" t="str">
        <f t="shared" si="290"/>
        <v>DR</v>
      </c>
      <c r="Y2756" s="1128" t="s">
        <v>3380</v>
      </c>
      <c r="Z2756" s="1128" t="s">
        <v>3381</v>
      </c>
      <c r="AA2756" s="1128" t="s">
        <v>3384</v>
      </c>
      <c r="AB2756" s="20"/>
      <c r="AC2756" s="73"/>
    </row>
    <row r="2757" spans="1:29">
      <c r="A2757" s="327" t="str">
        <f>IF(AND($B2757&lt;&gt;"",$C2757&lt;&gt;""),MAX($A$1556:A2756)+1,"")</f>
        <v/>
      </c>
      <c r="B2757" s="361" t="s">
        <v>2871</v>
      </c>
      <c r="C2757" s="360"/>
      <c r="D2757" s="327">
        <f>IF($B2757="","",COUNTIF($B$6:$B2757,$B2757))</f>
        <v>8</v>
      </c>
      <c r="E2757" s="402" t="s">
        <v>2908</v>
      </c>
      <c r="F2757" s="403" t="s">
        <v>92</v>
      </c>
      <c r="G2757" s="327" t="s">
        <v>155</v>
      </c>
      <c r="H2757" s="327" t="s">
        <v>536</v>
      </c>
      <c r="I2757" s="327">
        <v>2</v>
      </c>
      <c r="J2757" s="345"/>
      <c r="K2757" s="327"/>
      <c r="L2757" s="389">
        <v>7013</v>
      </c>
      <c r="M2757" s="371"/>
      <c r="N2757" s="355" t="str">
        <f>+$N$1555</f>
        <v>PK</v>
      </c>
      <c r="O2757" s="404" t="s">
        <v>1623</v>
      </c>
      <c r="P2757" s="392"/>
      <c r="Q2757" s="327"/>
      <c r="R2757" s="351"/>
      <c r="S2757" s="351"/>
      <c r="T2757" s="351"/>
      <c r="U2757" s="329" t="str">
        <f>IF($N2757=$N$4,IFERROR(INDEX(DanhMuc!$E$154:$E$165,MATCH(MID($B2757,4,2),DanhMuc!$B$154:$B$165,0)),""),"")</f>
        <v/>
      </c>
      <c r="V2757" s="361"/>
      <c r="W2757" s="345"/>
      <c r="X2757" s="329" t="str">
        <f t="shared" si="290"/>
        <v>DR</v>
      </c>
      <c r="Y2757" s="1128" t="s">
        <v>3380</v>
      </c>
      <c r="Z2757" s="1128" t="s">
        <v>3381</v>
      </c>
      <c r="AA2757" s="1128" t="s">
        <v>3384</v>
      </c>
      <c r="AB2757" s="20"/>
      <c r="AC2757" s="73"/>
    </row>
    <row r="2758" spans="1:29">
      <c r="A2758" s="327" t="str">
        <f>IF(AND($B2758&lt;&gt;"",$C2758&lt;&gt;""),MAX($A$1556:A2757)+1,"")</f>
        <v/>
      </c>
      <c r="B2758" s="361" t="s">
        <v>2871</v>
      </c>
      <c r="C2758" s="360"/>
      <c r="D2758" s="327">
        <f>IF($B2758="","",COUNTIF($B$6:$B2758,$B2758))</f>
        <v>9</v>
      </c>
      <c r="E2758" s="365" t="s">
        <v>327</v>
      </c>
      <c r="F2758" s="368" t="s">
        <v>345</v>
      </c>
      <c r="G2758" s="367" t="s">
        <v>690</v>
      </c>
      <c r="H2758" s="327" t="s">
        <v>536</v>
      </c>
      <c r="I2758" s="327">
        <v>1</v>
      </c>
      <c r="J2758" s="345" t="s">
        <v>634</v>
      </c>
      <c r="K2758" s="327"/>
      <c r="L2758" s="348">
        <f>+$S2758*$T2758*$L$37</f>
        <v>84651</v>
      </c>
      <c r="M2758" s="371"/>
      <c r="N2758" s="369" t="s">
        <v>150</v>
      </c>
      <c r="O2758" s="404" t="s">
        <v>1623</v>
      </c>
      <c r="P2758" s="392"/>
      <c r="Q2758" s="327"/>
      <c r="R2758" s="351">
        <v>2.5</v>
      </c>
      <c r="S2758" s="351">
        <v>5.8</v>
      </c>
      <c r="T2758" s="351">
        <v>0.13900000000000001</v>
      </c>
      <c r="U2758" s="329">
        <f>IF($N2758=$N$4,IFERROR(INDEX(DanhMuc!$E$154:$E$165,MATCH(MID($B2758,4,2),DanhMuc!$B$154:$B$165,0)),""),"")</f>
        <v>5800</v>
      </c>
      <c r="V2758" s="361"/>
      <c r="W2758" s="345"/>
      <c r="X2758" s="329" t="str">
        <f t="shared" si="290"/>
        <v>C459</v>
      </c>
      <c r="Y2758" s="1128" t="s">
        <v>3380</v>
      </c>
      <c r="Z2758" s="1128" t="s">
        <v>3381</v>
      </c>
      <c r="AA2758" s="1128" t="s">
        <v>3384</v>
      </c>
      <c r="AB2758" s="20"/>
      <c r="AC2758" s="73"/>
    </row>
    <row r="2759" spans="1:29">
      <c r="A2759" s="327" t="str">
        <f>IF(AND($B2759&lt;&gt;"",$C2759&lt;&gt;""),MAX($A$1556:A2758)+1,"")</f>
        <v/>
      </c>
      <c r="B2759" s="361" t="s">
        <v>2871</v>
      </c>
      <c r="C2759" s="360"/>
      <c r="D2759" s="327">
        <f>IF($B2759="","",COUNTIF($B$6:$B2759,$B2759))</f>
        <v>10</v>
      </c>
      <c r="E2759" s="361" t="s">
        <v>2909</v>
      </c>
      <c r="F2759" s="362" t="s">
        <v>257</v>
      </c>
      <c r="G2759" s="327" t="s">
        <v>155</v>
      </c>
      <c r="H2759" s="327" t="s">
        <v>536</v>
      </c>
      <c r="I2759" s="327">
        <v>1</v>
      </c>
      <c r="J2759" s="361"/>
      <c r="K2759" s="327"/>
      <c r="L2759" s="389">
        <v>16448</v>
      </c>
      <c r="M2759" s="371"/>
      <c r="N2759" s="355" t="str">
        <f t="shared" ref="N2759:N2762" si="291">+$N$1555</f>
        <v>PK</v>
      </c>
      <c r="O2759" s="345"/>
      <c r="P2759" s="392"/>
      <c r="Q2759" s="327"/>
      <c r="R2759" s="351"/>
      <c r="S2759" s="351"/>
      <c r="T2759" s="351"/>
      <c r="U2759" s="329" t="str">
        <f>IF($N2759=$N$4,IFERROR(INDEX(DanhMuc!$E$154:$E$165,MATCH(MID($B2759,4,2),DanhMuc!$B$154:$B$165,0)),""),"")</f>
        <v/>
      </c>
      <c r="V2759" s="361"/>
      <c r="W2759" s="345"/>
      <c r="X2759" s="329" t="str">
        <f t="shared" si="290"/>
        <v>DR</v>
      </c>
      <c r="Y2759" s="1128" t="s">
        <v>3380</v>
      </c>
      <c r="Z2759" s="1128" t="s">
        <v>3381</v>
      </c>
      <c r="AA2759" s="1128" t="s">
        <v>3384</v>
      </c>
      <c r="AB2759" s="20"/>
      <c r="AC2759" s="73"/>
    </row>
    <row r="2760" spans="1:29">
      <c r="A2760" s="327" t="str">
        <f>IF(AND($B2760&lt;&gt;"",$C2760&lt;&gt;""),MAX($A$1556:A2759)+1,"")</f>
        <v/>
      </c>
      <c r="B2760" s="361" t="s">
        <v>2871</v>
      </c>
      <c r="C2760" s="360"/>
      <c r="D2760" s="327">
        <f>IF($B2760="","",COUNTIF($B$6:$B2760,$B2760))</f>
        <v>11</v>
      </c>
      <c r="E2760" s="402" t="s">
        <v>2896</v>
      </c>
      <c r="F2760" s="362" t="s">
        <v>90</v>
      </c>
      <c r="G2760" s="327" t="s">
        <v>155</v>
      </c>
      <c r="H2760" s="327" t="s">
        <v>536</v>
      </c>
      <c r="I2760" s="327">
        <v>3</v>
      </c>
      <c r="J2760" s="345"/>
      <c r="K2760" s="327"/>
      <c r="L2760" s="389">
        <v>5772</v>
      </c>
      <c r="M2760" s="371"/>
      <c r="N2760" s="355" t="str">
        <f t="shared" si="291"/>
        <v>PK</v>
      </c>
      <c r="O2760" s="345"/>
      <c r="P2760" s="392"/>
      <c r="Q2760" s="327"/>
      <c r="R2760" s="351"/>
      <c r="S2760" s="351"/>
      <c r="T2760" s="351"/>
      <c r="U2760" s="329" t="str">
        <f>IF($N2760=$N$4,IFERROR(INDEX(DanhMuc!$E$154:$E$165,MATCH(MID($B2760,4,2),DanhMuc!$B$154:$B$165,0)),""),"")</f>
        <v/>
      </c>
      <c r="V2760" s="361"/>
      <c r="W2760" s="345"/>
      <c r="X2760" s="329" t="str">
        <f t="shared" si="290"/>
        <v>DR</v>
      </c>
      <c r="Y2760" s="1128" t="s">
        <v>3380</v>
      </c>
      <c r="Z2760" s="1128" t="s">
        <v>3381</v>
      </c>
      <c r="AA2760" s="1128" t="s">
        <v>3384</v>
      </c>
      <c r="AB2760" s="20"/>
      <c r="AC2760" s="73"/>
    </row>
    <row r="2761" spans="1:29" s="25" customFormat="1">
      <c r="A2761" s="327" t="str">
        <f>IF(AND($B2761&lt;&gt;"",$C2761&lt;&gt;""),MAX($A$1556:A2760)+1,"")</f>
        <v/>
      </c>
      <c r="B2761" s="361" t="s">
        <v>2871</v>
      </c>
      <c r="C2761" s="360"/>
      <c r="D2761" s="327">
        <f>IF($B2761="","",COUNTIF($B$6:$B2761,$B2761))</f>
        <v>12</v>
      </c>
      <c r="E2761" s="361" t="s">
        <v>2983</v>
      </c>
      <c r="F2761" s="362" t="s">
        <v>2984</v>
      </c>
      <c r="G2761" s="327" t="s">
        <v>155</v>
      </c>
      <c r="H2761" s="327" t="s">
        <v>536</v>
      </c>
      <c r="I2761" s="327">
        <v>6</v>
      </c>
      <c r="J2761" s="361"/>
      <c r="K2761" s="327"/>
      <c r="L2761" s="389">
        <v>43299</v>
      </c>
      <c r="M2761" s="371"/>
      <c r="N2761" s="355" t="str">
        <f t="shared" si="291"/>
        <v>PK</v>
      </c>
      <c r="O2761" s="345"/>
      <c r="P2761" s="392"/>
      <c r="Q2761" s="327"/>
      <c r="R2761" s="351"/>
      <c r="S2761" s="351"/>
      <c r="T2761" s="351"/>
      <c r="U2761" s="329" t="str">
        <f>IF($N2761=$N$4,IFERROR(INDEX(DanhMuc!$E$154:$E$165,MATCH(MID($B2761,4,2),DanhMuc!$B$154:$B$165,0)),""),"")</f>
        <v/>
      </c>
      <c r="V2761" s="365"/>
      <c r="W2761" s="345"/>
      <c r="X2761" s="329" t="str">
        <f t="shared" si="290"/>
        <v>DR</v>
      </c>
      <c r="Y2761" s="1128" t="s">
        <v>3380</v>
      </c>
      <c r="Z2761" s="1128" t="s">
        <v>3381</v>
      </c>
      <c r="AA2761" s="1128" t="s">
        <v>3384</v>
      </c>
      <c r="AB2761" s="20"/>
      <c r="AC2761" s="73"/>
    </row>
    <row r="2762" spans="1:29" s="25" customFormat="1">
      <c r="A2762" s="327" t="str">
        <f>IF(AND($B2762&lt;&gt;"",$C2762&lt;&gt;""),MAX($A$1556:A2761)+1,"")</f>
        <v/>
      </c>
      <c r="B2762" s="361" t="s">
        <v>2871</v>
      </c>
      <c r="C2762" s="360"/>
      <c r="D2762" s="327">
        <f>IF($B2762="","",COUNTIF($B$6:$B2762,$B2762))</f>
        <v>13</v>
      </c>
      <c r="E2762" s="361" t="s">
        <v>2985</v>
      </c>
      <c r="F2762" s="362" t="s">
        <v>2986</v>
      </c>
      <c r="G2762" s="327" t="s">
        <v>155</v>
      </c>
      <c r="H2762" s="327" t="s">
        <v>536</v>
      </c>
      <c r="I2762" s="327">
        <v>6</v>
      </c>
      <c r="J2762" s="361"/>
      <c r="K2762" s="327"/>
      <c r="L2762" s="389">
        <v>14110</v>
      </c>
      <c r="M2762" s="371"/>
      <c r="N2762" s="355" t="str">
        <f t="shared" si="291"/>
        <v>PK</v>
      </c>
      <c r="O2762" s="345"/>
      <c r="P2762" s="392"/>
      <c r="Q2762" s="327"/>
      <c r="R2762" s="351"/>
      <c r="S2762" s="351"/>
      <c r="T2762" s="351"/>
      <c r="U2762" s="329" t="str">
        <f>IF($N2762=$N$4,IFERROR(INDEX(DanhMuc!$E$154:$E$165,MATCH(MID($B2762,4,2),DanhMuc!$B$154:$B$165,0)),""),"")</f>
        <v/>
      </c>
      <c r="V2762" s="365"/>
      <c r="W2762" s="345"/>
      <c r="X2762" s="329" t="str">
        <f t="shared" si="290"/>
        <v>DR</v>
      </c>
      <c r="Y2762" s="1128" t="s">
        <v>3380</v>
      </c>
      <c r="Z2762" s="1128" t="s">
        <v>3381</v>
      </c>
      <c r="AA2762" s="1128" t="s">
        <v>3384</v>
      </c>
      <c r="AB2762" s="20"/>
      <c r="AC2762" s="73"/>
    </row>
    <row r="2763" spans="1:29" s="25" customFormat="1">
      <c r="A2763" s="327" t="str">
        <f>IF(AND($B2763&lt;&gt;"",$C2763&lt;&gt;""),MAX($A$1556:A2760)+1,"")</f>
        <v/>
      </c>
      <c r="B2763" s="361" t="s">
        <v>2871</v>
      </c>
      <c r="C2763" s="346"/>
      <c r="D2763" s="367">
        <f>IF($B2763="","",COUNTIF($B$6:$B2763,$B2763))</f>
        <v>14</v>
      </c>
      <c r="E2763" s="365" t="s">
        <v>327</v>
      </c>
      <c r="F2763" s="368" t="s">
        <v>345</v>
      </c>
      <c r="G2763" s="367" t="s">
        <v>690</v>
      </c>
      <c r="H2763" s="327" t="s">
        <v>536</v>
      </c>
      <c r="I2763" s="367">
        <v>3</v>
      </c>
      <c r="J2763" s="365" t="s">
        <v>80</v>
      </c>
      <c r="K2763" s="367"/>
      <c r="L2763" s="348">
        <f>+$S2763*$T2763*$L$37</f>
        <v>84651</v>
      </c>
      <c r="M2763" s="371"/>
      <c r="N2763" s="369" t="s">
        <v>150</v>
      </c>
      <c r="O2763" s="345"/>
      <c r="P2763" s="392"/>
      <c r="Q2763" s="327"/>
      <c r="R2763" s="351">
        <v>2.5</v>
      </c>
      <c r="S2763" s="351">
        <v>5.8</v>
      </c>
      <c r="T2763" s="351">
        <v>0.13900000000000001</v>
      </c>
      <c r="U2763" s="329">
        <f>IF($N2763=$N$4,IFERROR(INDEX(DanhMuc!$E$154:$E$165,MATCH(MID($B2763,4,2),DanhMuc!$B$154:$B$165,0)),""),"")</f>
        <v>5800</v>
      </c>
      <c r="V2763" s="365"/>
      <c r="W2763" s="345"/>
      <c r="X2763" s="329" t="str">
        <f t="shared" si="290"/>
        <v>C459</v>
      </c>
      <c r="Y2763" s="1128" t="s">
        <v>3380</v>
      </c>
      <c r="Z2763" s="1128" t="s">
        <v>3381</v>
      </c>
      <c r="AA2763" s="1128" t="s">
        <v>3384</v>
      </c>
      <c r="AB2763" s="20"/>
      <c r="AC2763" s="73"/>
    </row>
    <row r="2764" spans="1:29" ht="25">
      <c r="A2764" s="327" t="str">
        <f>IF(AND($B2764&lt;&gt;"",$C2764&lt;&gt;""),MAX($A$1556:A2763)+1,"")</f>
        <v/>
      </c>
      <c r="B2764" s="361" t="s">
        <v>2871</v>
      </c>
      <c r="C2764" s="360"/>
      <c r="D2764" s="327">
        <f>IF($B2764="","",COUNTIF($B$6:$B2764,$B2764))</f>
        <v>15</v>
      </c>
      <c r="E2764" s="405" t="s">
        <v>2897</v>
      </c>
      <c r="F2764" s="406" t="s">
        <v>676</v>
      </c>
      <c r="G2764" s="327" t="s">
        <v>155</v>
      </c>
      <c r="H2764" s="327"/>
      <c r="I2764" s="327">
        <v>3</v>
      </c>
      <c r="J2764" s="345"/>
      <c r="K2764" s="327"/>
      <c r="L2764" s="389">
        <v>137895</v>
      </c>
      <c r="M2764" s="371"/>
      <c r="N2764" s="355" t="str">
        <f>+$N$1555</f>
        <v>PK</v>
      </c>
      <c r="O2764" s="407" t="s">
        <v>17</v>
      </c>
      <c r="P2764" s="392"/>
      <c r="Q2764" s="327"/>
      <c r="R2764" s="351"/>
      <c r="S2764" s="351"/>
      <c r="T2764" s="351"/>
      <c r="U2764" s="329" t="str">
        <f>IF($N2764=$N$4,IFERROR(INDEX(DanhMuc!$E$154:$E$165,MATCH(MID($B2764,4,2),DanhMuc!$B$154:$B$165,0)),""),"")</f>
        <v/>
      </c>
      <c r="V2764" s="408" t="s">
        <v>343</v>
      </c>
      <c r="W2764" s="345"/>
      <c r="X2764" s="329" t="str">
        <f t="shared" si="290"/>
        <v>DR</v>
      </c>
      <c r="Y2764" s="1128" t="s">
        <v>3380</v>
      </c>
      <c r="Z2764" s="1128" t="s">
        <v>3381</v>
      </c>
      <c r="AA2764" s="1128" t="s">
        <v>3384</v>
      </c>
      <c r="AB2764" s="20"/>
      <c r="AC2764" s="73"/>
    </row>
    <row r="2765" spans="1:29" ht="25">
      <c r="A2765" s="327" t="str">
        <f>IF(AND($B2765&lt;&gt;"",$C2765&lt;&gt;""),MAX($A$1556:A2764)+1,"")</f>
        <v/>
      </c>
      <c r="B2765" s="361" t="s">
        <v>2871</v>
      </c>
      <c r="C2765" s="360"/>
      <c r="D2765" s="327">
        <f>IF($B2765="","",COUNTIF($B$6:$B2765,$B2765))</f>
        <v>16</v>
      </c>
      <c r="E2765" s="405" t="s">
        <v>2898</v>
      </c>
      <c r="F2765" s="406" t="s">
        <v>677</v>
      </c>
      <c r="G2765" s="327" t="s">
        <v>155</v>
      </c>
      <c r="H2765" s="327"/>
      <c r="I2765" s="327">
        <v>3</v>
      </c>
      <c r="J2765" s="345"/>
      <c r="K2765" s="327"/>
      <c r="L2765" s="389">
        <v>137895</v>
      </c>
      <c r="M2765" s="371"/>
      <c r="N2765" s="355" t="str">
        <f>+$N$1555</f>
        <v>PK</v>
      </c>
      <c r="O2765" s="407" t="s">
        <v>17</v>
      </c>
      <c r="P2765" s="392"/>
      <c r="Q2765" s="327"/>
      <c r="R2765" s="351"/>
      <c r="S2765" s="351"/>
      <c r="T2765" s="351"/>
      <c r="U2765" s="329" t="str">
        <f>IF($N2765=$N$4,IFERROR(INDEX(DanhMuc!$E$154:$E$165,MATCH(MID($B2765,4,2),DanhMuc!$B$154:$B$165,0)),""),"")</f>
        <v/>
      </c>
      <c r="V2765" s="408" t="s">
        <v>343</v>
      </c>
      <c r="W2765" s="345"/>
      <c r="X2765" s="329" t="str">
        <f t="shared" si="290"/>
        <v>DR</v>
      </c>
      <c r="Y2765" s="1128" t="s">
        <v>3380</v>
      </c>
      <c r="Z2765" s="1128" t="s">
        <v>3381</v>
      </c>
      <c r="AA2765" s="1128" t="s">
        <v>3384</v>
      </c>
      <c r="AB2765" s="20"/>
      <c r="AC2765" s="73"/>
    </row>
    <row r="2766" spans="1:29">
      <c r="A2766" s="327" t="str">
        <f>IF(AND($B2766&lt;&gt;"",$C2766&lt;&gt;""),MAX($A$1556:A2764)+1,"")</f>
        <v/>
      </c>
      <c r="B2766" s="361" t="s">
        <v>2871</v>
      </c>
      <c r="C2766" s="360"/>
      <c r="D2766" s="327">
        <f>IF($B2766="","",COUNTIF($B$6:$B2766,$B2766))</f>
        <v>17</v>
      </c>
      <c r="E2766" s="405" t="s">
        <v>2912</v>
      </c>
      <c r="F2766" s="406" t="s">
        <v>682</v>
      </c>
      <c r="G2766" s="327" t="s">
        <v>155</v>
      </c>
      <c r="H2766" s="327"/>
      <c r="I2766" s="327">
        <v>3</v>
      </c>
      <c r="J2766" s="345"/>
      <c r="K2766" s="327"/>
      <c r="L2766" s="389">
        <v>158465</v>
      </c>
      <c r="M2766" s="371"/>
      <c r="N2766" s="355" t="str">
        <f t="shared" ref="N2766:N2780" si="292">+$N$1555</f>
        <v>PK</v>
      </c>
      <c r="O2766" s="407" t="s">
        <v>17</v>
      </c>
      <c r="P2766" s="392"/>
      <c r="Q2766" s="327"/>
      <c r="R2766" s="351"/>
      <c r="S2766" s="351"/>
      <c r="T2766" s="351"/>
      <c r="U2766" s="329" t="str">
        <f>IF($N2766=$N$4,IFERROR(INDEX(DanhMuc!$E$154:$E$165,MATCH(MID($B2766,4,2),DanhMuc!$B$154:$B$165,0)),""),"")</f>
        <v/>
      </c>
      <c r="V2766" s="361"/>
      <c r="W2766" s="345"/>
      <c r="X2766" s="329" t="str">
        <f t="shared" si="290"/>
        <v>DR</v>
      </c>
      <c r="Y2766" s="1128" t="s">
        <v>3380</v>
      </c>
      <c r="Z2766" s="1128" t="s">
        <v>3381</v>
      </c>
      <c r="AA2766" s="1128" t="s">
        <v>3384</v>
      </c>
      <c r="AB2766" s="20"/>
      <c r="AC2766" s="73"/>
    </row>
    <row r="2767" spans="1:29">
      <c r="A2767" s="327" t="str">
        <f>IF(AND($B2767&lt;&gt;"",$C2767&lt;&gt;""),MAX($A$1556:A2765)+1,"")</f>
        <v/>
      </c>
      <c r="B2767" s="361" t="s">
        <v>2871</v>
      </c>
      <c r="C2767" s="360"/>
      <c r="D2767" s="327">
        <f>IF($B2767="","",COUNTIF($B$6:$B2767,$B2767))</f>
        <v>18</v>
      </c>
      <c r="E2767" s="405" t="s">
        <v>2913</v>
      </c>
      <c r="F2767" s="406" t="s">
        <v>683</v>
      </c>
      <c r="G2767" s="327" t="s">
        <v>155</v>
      </c>
      <c r="H2767" s="327"/>
      <c r="I2767" s="327">
        <v>3</v>
      </c>
      <c r="J2767" s="345"/>
      <c r="K2767" s="327"/>
      <c r="L2767" s="389">
        <v>158465</v>
      </c>
      <c r="M2767" s="371"/>
      <c r="N2767" s="355" t="str">
        <f t="shared" si="292"/>
        <v>PK</v>
      </c>
      <c r="O2767" s="407" t="s">
        <v>17</v>
      </c>
      <c r="P2767" s="392"/>
      <c r="Q2767" s="327"/>
      <c r="R2767" s="351"/>
      <c r="S2767" s="351"/>
      <c r="T2767" s="351"/>
      <c r="U2767" s="329" t="str">
        <f>IF($N2767=$N$4,IFERROR(INDEX(DanhMuc!$E$154:$E$165,MATCH(MID($B2767,4,2),DanhMuc!$B$154:$B$165,0)),""),"")</f>
        <v/>
      </c>
      <c r="V2767" s="361"/>
      <c r="W2767" s="345"/>
      <c r="X2767" s="329" t="str">
        <f t="shared" si="290"/>
        <v>DR</v>
      </c>
      <c r="Y2767" s="1128" t="s">
        <v>3380</v>
      </c>
      <c r="Z2767" s="1128" t="s">
        <v>3381</v>
      </c>
      <c r="AA2767" s="1128" t="s">
        <v>3384</v>
      </c>
      <c r="AB2767" s="20"/>
      <c r="AC2767" s="73"/>
    </row>
    <row r="2768" spans="1:29">
      <c r="A2768" s="327" t="str">
        <f>IF(AND($B2768&lt;&gt;"",$C2768&lt;&gt;""),MAX($A$1556:A2766)+1,"")</f>
        <v/>
      </c>
      <c r="B2768" s="361" t="s">
        <v>2871</v>
      </c>
      <c r="C2768" s="360"/>
      <c r="D2768" s="327">
        <f>IF($B2768="","",COUNTIF($B$6:$B2768,$B2768))</f>
        <v>19</v>
      </c>
      <c r="E2768" s="405" t="s">
        <v>2899</v>
      </c>
      <c r="F2768" s="406" t="s">
        <v>2316</v>
      </c>
      <c r="G2768" s="327" t="s">
        <v>155</v>
      </c>
      <c r="H2768" s="327"/>
      <c r="I2768" s="327">
        <v>3</v>
      </c>
      <c r="J2768" s="345"/>
      <c r="K2768" s="327"/>
      <c r="L2768" s="389">
        <v>135508</v>
      </c>
      <c r="M2768" s="371"/>
      <c r="N2768" s="355" t="str">
        <f>+$N$1555</f>
        <v>PK</v>
      </c>
      <c r="O2768" s="407" t="s">
        <v>21</v>
      </c>
      <c r="P2768" s="392"/>
      <c r="Q2768" s="327"/>
      <c r="R2768" s="351"/>
      <c r="S2768" s="351"/>
      <c r="T2768" s="351"/>
      <c r="U2768" s="329" t="str">
        <f>IF($N2768=$N$4,IFERROR(INDEX(DanhMuc!$E$154:$E$165,MATCH(MID($B2768,4,2),DanhMuc!$B$154:$B$165,0)),""),"")</f>
        <v/>
      </c>
      <c r="V2768" s="408" t="s">
        <v>343</v>
      </c>
      <c r="W2768" s="345"/>
      <c r="X2768" s="329" t="str">
        <f t="shared" si="290"/>
        <v>DR</v>
      </c>
      <c r="Y2768" s="1128" t="s">
        <v>3380</v>
      </c>
      <c r="Z2768" s="1128" t="s">
        <v>3381</v>
      </c>
      <c r="AA2768" s="1128" t="s">
        <v>3384</v>
      </c>
      <c r="AB2768" s="20"/>
      <c r="AC2768" s="73"/>
    </row>
    <row r="2769" spans="1:29">
      <c r="A2769" s="327" t="str">
        <f>IF(AND($B2769&lt;&gt;"",$C2769&lt;&gt;""),MAX($A$1556:A2767)+1,"")</f>
        <v/>
      </c>
      <c r="B2769" s="361" t="s">
        <v>2871</v>
      </c>
      <c r="C2769" s="360"/>
      <c r="D2769" s="327">
        <f>IF($B2769="","",COUNTIF($B$6:$B2769,$B2769))</f>
        <v>20</v>
      </c>
      <c r="E2769" s="405" t="s">
        <v>2900</v>
      </c>
      <c r="F2769" s="406" t="s">
        <v>2317</v>
      </c>
      <c r="G2769" s="327" t="s">
        <v>155</v>
      </c>
      <c r="H2769" s="327"/>
      <c r="I2769" s="327">
        <v>3</v>
      </c>
      <c r="J2769" s="345"/>
      <c r="K2769" s="327"/>
      <c r="L2769" s="389">
        <v>135508</v>
      </c>
      <c r="M2769" s="371"/>
      <c r="N2769" s="355" t="str">
        <f>+$N$1555</f>
        <v>PK</v>
      </c>
      <c r="O2769" s="407" t="s">
        <v>21</v>
      </c>
      <c r="P2769" s="392"/>
      <c r="Q2769" s="327"/>
      <c r="R2769" s="351"/>
      <c r="S2769" s="351"/>
      <c r="T2769" s="351"/>
      <c r="U2769" s="329" t="str">
        <f>IF($N2769=$N$4,IFERROR(INDEX(DanhMuc!$E$154:$E$165,MATCH(MID($B2769,4,2),DanhMuc!$B$154:$B$165,0)),""),"")</f>
        <v/>
      </c>
      <c r="V2769" s="408" t="s">
        <v>343</v>
      </c>
      <c r="W2769" s="345"/>
      <c r="X2769" s="329" t="str">
        <f t="shared" si="290"/>
        <v>DR</v>
      </c>
      <c r="Y2769" s="1128" t="s">
        <v>3380</v>
      </c>
      <c r="Z2769" s="1128" t="s">
        <v>3381</v>
      </c>
      <c r="AA2769" s="1128" t="s">
        <v>3384</v>
      </c>
      <c r="AB2769" s="20"/>
      <c r="AC2769" s="73"/>
    </row>
    <row r="2770" spans="1:29">
      <c r="A2770" s="327" t="str">
        <f>IF(AND($B2770&lt;&gt;"",$C2770&lt;&gt;""),MAX($A$1556:A2768)+1,"")</f>
        <v/>
      </c>
      <c r="B2770" s="361" t="s">
        <v>2871</v>
      </c>
      <c r="C2770" s="360"/>
      <c r="D2770" s="327">
        <f>IF($B2770="","",COUNTIF($B$6:$B2770,$B2770))</f>
        <v>21</v>
      </c>
      <c r="E2770" s="405" t="s">
        <v>2910</v>
      </c>
      <c r="F2770" s="406" t="s">
        <v>2318</v>
      </c>
      <c r="G2770" s="327" t="s">
        <v>155</v>
      </c>
      <c r="H2770" s="327"/>
      <c r="I2770" s="327">
        <v>3</v>
      </c>
      <c r="J2770" s="345"/>
      <c r="K2770" s="327"/>
      <c r="L2770" s="389">
        <v>145214</v>
      </c>
      <c r="M2770" s="371"/>
      <c r="N2770" s="355" t="str">
        <f t="shared" ref="N2770:N2771" si="293">+$N$1555</f>
        <v>PK</v>
      </c>
      <c r="O2770" s="407" t="s">
        <v>21</v>
      </c>
      <c r="P2770" s="392"/>
      <c r="Q2770" s="327"/>
      <c r="R2770" s="351"/>
      <c r="S2770" s="351"/>
      <c r="T2770" s="351"/>
      <c r="U2770" s="329" t="str">
        <f>IF($N2770=$N$4,IFERROR(INDEX(DanhMuc!$E$154:$E$165,MATCH(MID($B2770,4,2),DanhMuc!$B$154:$B$165,0)),""),"")</f>
        <v/>
      </c>
      <c r="V2770" s="361"/>
      <c r="W2770" s="345"/>
      <c r="X2770" s="329" t="str">
        <f t="shared" si="290"/>
        <v>DR</v>
      </c>
      <c r="Y2770" s="1128" t="s">
        <v>3380</v>
      </c>
      <c r="Z2770" s="1128" t="s">
        <v>3381</v>
      </c>
      <c r="AA2770" s="1128" t="s">
        <v>3384</v>
      </c>
      <c r="AB2770" s="20"/>
      <c r="AC2770" s="73"/>
    </row>
    <row r="2771" spans="1:29">
      <c r="A2771" s="327" t="str">
        <f>IF(AND($B2771&lt;&gt;"",$C2771&lt;&gt;""),MAX($A$1556:A2769)+1,"")</f>
        <v/>
      </c>
      <c r="B2771" s="361" t="s">
        <v>2871</v>
      </c>
      <c r="C2771" s="360"/>
      <c r="D2771" s="327">
        <f>IF($B2771="","",COUNTIF($B$6:$B2771,$B2771))</f>
        <v>22</v>
      </c>
      <c r="E2771" s="405" t="s">
        <v>2911</v>
      </c>
      <c r="F2771" s="406" t="s">
        <v>2319</v>
      </c>
      <c r="G2771" s="327" t="s">
        <v>155</v>
      </c>
      <c r="H2771" s="327"/>
      <c r="I2771" s="327">
        <v>3</v>
      </c>
      <c r="J2771" s="345"/>
      <c r="K2771" s="327"/>
      <c r="L2771" s="389">
        <v>145214</v>
      </c>
      <c r="M2771" s="371"/>
      <c r="N2771" s="355" t="str">
        <f t="shared" si="293"/>
        <v>PK</v>
      </c>
      <c r="O2771" s="407" t="s">
        <v>21</v>
      </c>
      <c r="P2771" s="392"/>
      <c r="Q2771" s="327"/>
      <c r="R2771" s="351"/>
      <c r="S2771" s="351"/>
      <c r="T2771" s="351"/>
      <c r="U2771" s="329" t="str">
        <f>IF($N2771=$N$4,IFERROR(INDEX(DanhMuc!$E$154:$E$165,MATCH(MID($B2771,4,2),DanhMuc!$B$154:$B$165,0)),""),"")</f>
        <v/>
      </c>
      <c r="V2771" s="361"/>
      <c r="W2771" s="345"/>
      <c r="X2771" s="329" t="str">
        <f t="shared" si="290"/>
        <v>DR</v>
      </c>
      <c r="Y2771" s="1128" t="s">
        <v>3380</v>
      </c>
      <c r="Z2771" s="1128" t="s">
        <v>3381</v>
      </c>
      <c r="AA2771" s="1128" t="s">
        <v>3384</v>
      </c>
      <c r="AB2771" s="20"/>
      <c r="AC2771" s="73"/>
    </row>
    <row r="2772" spans="1:29">
      <c r="A2772" s="327" t="str">
        <f>IF(AND($B2772&lt;&gt;"",$C2772&lt;&gt;""),MAX($A$1556:A2767)+1,"")</f>
        <v/>
      </c>
      <c r="B2772" s="361" t="s">
        <v>2871</v>
      </c>
      <c r="C2772" s="360"/>
      <c r="D2772" s="327">
        <f>IF($B2772="","",COUNTIF($B$6:$B2772,$B2772))</f>
        <v>23</v>
      </c>
      <c r="E2772" s="361" t="s">
        <v>678</v>
      </c>
      <c r="F2772" s="362" t="s">
        <v>711</v>
      </c>
      <c r="G2772" s="327" t="s">
        <v>155</v>
      </c>
      <c r="H2772" s="327"/>
      <c r="I2772" s="327">
        <v>3</v>
      </c>
      <c r="J2772" s="361"/>
      <c r="K2772" s="327"/>
      <c r="L2772" s="389">
        <v>1250</v>
      </c>
      <c r="M2772" s="371"/>
      <c r="N2772" s="355" t="str">
        <f t="shared" si="292"/>
        <v>PK</v>
      </c>
      <c r="O2772" s="345"/>
      <c r="P2772" s="392"/>
      <c r="Q2772" s="327"/>
      <c r="R2772" s="351"/>
      <c r="S2772" s="351"/>
      <c r="T2772" s="351"/>
      <c r="U2772" s="329" t="str">
        <f>IF($N2772=$N$4,IFERROR(INDEX(DanhMuc!$E$154:$E$165,MATCH(MID($B2772,4,2),DanhMuc!$B$154:$B$165,0)),""),"")</f>
        <v/>
      </c>
      <c r="V2772" s="361"/>
      <c r="W2772" s="345"/>
      <c r="X2772" s="329" t="str">
        <f t="shared" si="290"/>
        <v>DR</v>
      </c>
      <c r="Y2772" s="1128" t="s">
        <v>3380</v>
      </c>
      <c r="Z2772" s="1128" t="s">
        <v>3381</v>
      </c>
      <c r="AA2772" s="1128" t="s">
        <v>3384</v>
      </c>
      <c r="AB2772" s="20"/>
      <c r="AC2772" s="73"/>
    </row>
    <row r="2773" spans="1:29">
      <c r="A2773" s="327" t="str">
        <f>IF(AND($B2773&lt;&gt;"",$C2773&lt;&gt;""),MAX($A$1556:A2772)+1,"")</f>
        <v/>
      </c>
      <c r="B2773" s="361" t="s">
        <v>2871</v>
      </c>
      <c r="C2773" s="360"/>
      <c r="D2773" s="327">
        <f>IF($B2773="","",COUNTIF($B$6:$B2773,$B2773))</f>
        <v>24</v>
      </c>
      <c r="E2773" s="361" t="s">
        <v>679</v>
      </c>
      <c r="F2773" s="362" t="s">
        <v>712</v>
      </c>
      <c r="G2773" s="327" t="s">
        <v>155</v>
      </c>
      <c r="H2773" s="327"/>
      <c r="I2773" s="327">
        <v>3</v>
      </c>
      <c r="J2773" s="361"/>
      <c r="K2773" s="327"/>
      <c r="L2773" s="389">
        <v>1250</v>
      </c>
      <c r="M2773" s="371"/>
      <c r="N2773" s="355" t="str">
        <f t="shared" si="292"/>
        <v>PK</v>
      </c>
      <c r="O2773" s="345"/>
      <c r="P2773" s="392"/>
      <c r="Q2773" s="327"/>
      <c r="R2773" s="351"/>
      <c r="S2773" s="351"/>
      <c r="T2773" s="351"/>
      <c r="U2773" s="329" t="str">
        <f>IF($N2773=$N$4,IFERROR(INDEX(DanhMuc!$E$154:$E$165,MATCH(MID($B2773,4,2),DanhMuc!$B$154:$B$165,0)),""),"")</f>
        <v/>
      </c>
      <c r="V2773" s="361"/>
      <c r="W2773" s="345"/>
      <c r="X2773" s="329" t="str">
        <f t="shared" si="290"/>
        <v>DR</v>
      </c>
      <c r="Y2773" s="1128" t="s">
        <v>3380</v>
      </c>
      <c r="Z2773" s="1128" t="s">
        <v>3381</v>
      </c>
      <c r="AA2773" s="1128" t="s">
        <v>3384</v>
      </c>
      <c r="AB2773" s="20"/>
      <c r="AC2773" s="73"/>
    </row>
    <row r="2774" spans="1:29">
      <c r="A2774" s="327" t="str">
        <f>IF(AND($B2774&lt;&gt;"",$C2774&lt;&gt;""),MAX($A$1556:A2772)+1,"")</f>
        <v/>
      </c>
      <c r="B2774" s="361" t="s">
        <v>2871</v>
      </c>
      <c r="C2774" s="360"/>
      <c r="D2774" s="327">
        <f>IF($B2774="","",COUNTIF($B$6:$B2774,$B2774))</f>
        <v>25</v>
      </c>
      <c r="E2774" s="361" t="s">
        <v>986</v>
      </c>
      <c r="F2774" s="362" t="s">
        <v>985</v>
      </c>
      <c r="G2774" s="327" t="s">
        <v>297</v>
      </c>
      <c r="H2774" s="327"/>
      <c r="I2774" s="327">
        <v>8</v>
      </c>
      <c r="J2774" s="345"/>
      <c r="K2774" s="327"/>
      <c r="L2774" s="389">
        <v>2450</v>
      </c>
      <c r="M2774" s="371"/>
      <c r="N2774" s="355" t="str">
        <f>+$N$1555</f>
        <v>PK</v>
      </c>
      <c r="O2774" s="347" t="s">
        <v>1475</v>
      </c>
      <c r="P2774" s="392"/>
      <c r="Q2774" s="327"/>
      <c r="R2774" s="351"/>
      <c r="S2774" s="351"/>
      <c r="T2774" s="351"/>
      <c r="U2774" s="329" t="str">
        <f>IF($N2774=$N$4,IFERROR(INDEX(DanhMuc!$E$154:$E$165,MATCH(MID($B2774,4,2),DanhMuc!$B$154:$B$165,0)),""),"")</f>
        <v/>
      </c>
      <c r="V2774" s="408" t="s">
        <v>343</v>
      </c>
      <c r="W2774" s="345"/>
      <c r="X2774" s="329" t="str">
        <f t="shared" si="290"/>
        <v>DR</v>
      </c>
      <c r="Y2774" s="1128" t="s">
        <v>3380</v>
      </c>
      <c r="Z2774" s="1128" t="s">
        <v>3381</v>
      </c>
      <c r="AA2774" s="1128" t="s">
        <v>3384</v>
      </c>
      <c r="AB2774" s="20"/>
      <c r="AC2774" s="73"/>
    </row>
    <row r="2775" spans="1:29">
      <c r="A2775" s="327" t="str">
        <f>IF(AND($B2775&lt;&gt;"",$C2775&lt;&gt;""),MAX($A$1556:A2773)+1,"")</f>
        <v/>
      </c>
      <c r="B2775" s="361" t="s">
        <v>2871</v>
      </c>
      <c r="C2775" s="360"/>
      <c r="D2775" s="327">
        <f>IF($B2775="","",COUNTIF($B$6:$B2775,$B2775))</f>
        <v>26</v>
      </c>
      <c r="E2775" s="361" t="s">
        <v>1444</v>
      </c>
      <c r="F2775" s="362" t="s">
        <v>2356</v>
      </c>
      <c r="G2775" s="327" t="s">
        <v>297</v>
      </c>
      <c r="H2775" s="327"/>
      <c r="I2775" s="327">
        <v>2</v>
      </c>
      <c r="J2775" s="345"/>
      <c r="K2775" s="327"/>
      <c r="L2775" s="389">
        <v>17000</v>
      </c>
      <c r="M2775" s="371"/>
      <c r="N2775" s="355" t="str">
        <f>+$N$1555</f>
        <v>PK</v>
      </c>
      <c r="O2775" s="347"/>
      <c r="P2775" s="392"/>
      <c r="Q2775" s="327"/>
      <c r="R2775" s="351"/>
      <c r="S2775" s="351"/>
      <c r="T2775" s="351"/>
      <c r="U2775" s="329" t="str">
        <f>IF($N2775=$N$4,IFERROR(INDEX(DanhMuc!$E$154:$E$165,MATCH(MID($B2775,4,2),DanhMuc!$B$154:$B$165,0)),""),"")</f>
        <v/>
      </c>
      <c r="V2775" s="408" t="s">
        <v>343</v>
      </c>
      <c r="W2775" s="345"/>
      <c r="X2775" s="329" t="str">
        <f t="shared" si="290"/>
        <v>DR</v>
      </c>
      <c r="Y2775" s="1128" t="s">
        <v>3380</v>
      </c>
      <c r="Z2775" s="1128" t="s">
        <v>3381</v>
      </c>
      <c r="AA2775" s="1128" t="s">
        <v>3384</v>
      </c>
      <c r="AB2775" s="20"/>
      <c r="AC2775" s="73"/>
    </row>
    <row r="2776" spans="1:29" ht="37.5">
      <c r="A2776" s="327">
        <f>IF(AND($B2776&lt;&gt;"",$C2776&lt;&gt;""),MAX($A$1556:A2774)+1,"")</f>
        <v>148</v>
      </c>
      <c r="B2776" s="359" t="s">
        <v>2872</v>
      </c>
      <c r="C2776" s="360" t="s">
        <v>1531</v>
      </c>
      <c r="D2776" s="327">
        <f>IF($B2776="","",COUNTIF($B$6:$B2776,$B2776))</f>
        <v>1</v>
      </c>
      <c r="E2776" s="362" t="s">
        <v>2914</v>
      </c>
      <c r="F2776" s="362" t="s">
        <v>2928</v>
      </c>
      <c r="G2776" s="327" t="s">
        <v>155</v>
      </c>
      <c r="H2776" s="327"/>
      <c r="I2776" s="327">
        <v>1</v>
      </c>
      <c r="J2776" s="345"/>
      <c r="K2776" s="327"/>
      <c r="L2776" s="389">
        <v>126387</v>
      </c>
      <c r="M2776" s="371"/>
      <c r="N2776" s="355" t="str">
        <f t="shared" si="292"/>
        <v>PK</v>
      </c>
      <c r="O2776" s="404" t="s">
        <v>2924</v>
      </c>
      <c r="P2776" s="392"/>
      <c r="Q2776" s="327"/>
      <c r="R2776" s="351"/>
      <c r="S2776" s="351"/>
      <c r="T2776" s="351"/>
      <c r="U2776" s="329" t="str">
        <f>IF($N2776=$N$4,IFERROR(INDEX(DanhMuc!$E$154:$E$165,MATCH(MID($B2776,4,2),DanhMuc!$B$154:$B$165,0)),""),"")</f>
        <v/>
      </c>
      <c r="V2776" s="361"/>
      <c r="W2776" s="345"/>
      <c r="X2776" s="329" t="str">
        <f t="shared" si="290"/>
        <v>DR</v>
      </c>
      <c r="Y2776" s="1128" t="s">
        <v>3380</v>
      </c>
      <c r="Z2776" s="1128" t="s">
        <v>3381</v>
      </c>
      <c r="AA2776" s="1128" t="s">
        <v>3384</v>
      </c>
      <c r="AB2776" s="20"/>
      <c r="AC2776" s="73"/>
    </row>
    <row r="2777" spans="1:29">
      <c r="A2777" s="327" t="str">
        <f>IF(AND($B2777&lt;&gt;"",$C2777&lt;&gt;""),MAX($A$1556:A2775)+1,"")</f>
        <v/>
      </c>
      <c r="B2777" s="361" t="s">
        <v>2872</v>
      </c>
      <c r="C2777" s="360"/>
      <c r="D2777" s="327">
        <f>IF($B2777="","",COUNTIF($B$6:$B2777,$B2777))</f>
        <v>2</v>
      </c>
      <c r="E2777" s="361" t="s">
        <v>2915</v>
      </c>
      <c r="F2777" s="362" t="s">
        <v>2917</v>
      </c>
      <c r="G2777" s="327" t="s">
        <v>155</v>
      </c>
      <c r="H2777" s="327"/>
      <c r="I2777" s="327">
        <v>1</v>
      </c>
      <c r="J2777" s="345"/>
      <c r="K2777" s="327"/>
      <c r="L2777" s="389">
        <v>58599</v>
      </c>
      <c r="M2777" s="371"/>
      <c r="N2777" s="355" t="str">
        <f t="shared" si="292"/>
        <v>PK</v>
      </c>
      <c r="O2777" s="404" t="s">
        <v>2924</v>
      </c>
      <c r="P2777" s="392"/>
      <c r="Q2777" s="327"/>
      <c r="R2777" s="351"/>
      <c r="S2777" s="351"/>
      <c r="T2777" s="351"/>
      <c r="U2777" s="329" t="str">
        <f>IF($N2777=$N$4,IFERROR(INDEX(DanhMuc!$E$154:$E$165,MATCH(MID($B2777,4,2),DanhMuc!$B$154:$B$165,0)),""),"")</f>
        <v/>
      </c>
      <c r="V2777" s="361"/>
      <c r="W2777" s="345"/>
      <c r="X2777" s="329" t="str">
        <f t="shared" si="290"/>
        <v>DR</v>
      </c>
      <c r="Y2777" s="1128" t="s">
        <v>3380</v>
      </c>
      <c r="Z2777" s="1128" t="s">
        <v>3381</v>
      </c>
      <c r="AA2777" s="1128" t="s">
        <v>3384</v>
      </c>
      <c r="AB2777" s="20"/>
      <c r="AC2777" s="73"/>
    </row>
    <row r="2778" spans="1:29" ht="37.5">
      <c r="A2778" s="327" t="str">
        <f>IF(AND($B2778&lt;&gt;"",$C2778&lt;&gt;""),MAX($A$1556:A2776)+1,"")</f>
        <v/>
      </c>
      <c r="B2778" s="361" t="s">
        <v>2872</v>
      </c>
      <c r="C2778" s="360"/>
      <c r="D2778" s="327">
        <f>IF($B2778="","",COUNTIF($B$6:$B2778,$B2778))</f>
        <v>3</v>
      </c>
      <c r="E2778" s="362" t="s">
        <v>2914</v>
      </c>
      <c r="F2778" s="362" t="s">
        <v>2931</v>
      </c>
      <c r="G2778" s="327" t="s">
        <v>155</v>
      </c>
      <c r="H2778" s="327"/>
      <c r="I2778" s="327">
        <v>1</v>
      </c>
      <c r="J2778" s="345"/>
      <c r="K2778" s="327"/>
      <c r="L2778" s="389">
        <v>126387</v>
      </c>
      <c r="M2778" s="371"/>
      <c r="N2778" s="355" t="str">
        <f t="shared" si="292"/>
        <v>PK</v>
      </c>
      <c r="O2778" s="404" t="s">
        <v>2925</v>
      </c>
      <c r="P2778" s="392"/>
      <c r="Q2778" s="327"/>
      <c r="R2778" s="351"/>
      <c r="S2778" s="351"/>
      <c r="T2778" s="351"/>
      <c r="U2778" s="329" t="str">
        <f>IF($N2778=$N$4,IFERROR(INDEX(DanhMuc!$E$154:$E$165,MATCH(MID($B2778,4,2),DanhMuc!$B$154:$B$165,0)),""),"")</f>
        <v/>
      </c>
      <c r="V2778" s="361"/>
      <c r="W2778" s="345"/>
      <c r="X2778" s="329" t="str">
        <f t="shared" si="290"/>
        <v>DR</v>
      </c>
      <c r="Y2778" s="1128" t="s">
        <v>3380</v>
      </c>
      <c r="Z2778" s="1128" t="s">
        <v>3381</v>
      </c>
      <c r="AA2778" s="1128" t="s">
        <v>3384</v>
      </c>
      <c r="AB2778" s="20"/>
      <c r="AC2778" s="73"/>
    </row>
    <row r="2779" spans="1:29">
      <c r="A2779" s="327" t="str">
        <f>IF(AND($B2779&lt;&gt;"",$C2779&lt;&gt;""),MAX($A$1556:A2777)+1,"")</f>
        <v/>
      </c>
      <c r="B2779" s="361" t="s">
        <v>2872</v>
      </c>
      <c r="C2779" s="360"/>
      <c r="D2779" s="327">
        <f>IF($B2779="","",COUNTIF($B$6:$B2779,$B2779))</f>
        <v>4</v>
      </c>
      <c r="E2779" s="361" t="s">
        <v>2915</v>
      </c>
      <c r="F2779" s="362" t="s">
        <v>2932</v>
      </c>
      <c r="G2779" s="327" t="s">
        <v>155</v>
      </c>
      <c r="H2779" s="327"/>
      <c r="I2779" s="327">
        <v>1</v>
      </c>
      <c r="J2779" s="345"/>
      <c r="K2779" s="327"/>
      <c r="L2779" s="389">
        <v>58599</v>
      </c>
      <c r="M2779" s="371"/>
      <c r="N2779" s="355" t="str">
        <f t="shared" si="292"/>
        <v>PK</v>
      </c>
      <c r="O2779" s="404" t="s">
        <v>2925</v>
      </c>
      <c r="P2779" s="392"/>
      <c r="Q2779" s="327"/>
      <c r="R2779" s="351"/>
      <c r="S2779" s="351"/>
      <c r="T2779" s="351"/>
      <c r="U2779" s="329" t="str">
        <f>IF($N2779=$N$4,IFERROR(INDEX(DanhMuc!$E$154:$E$165,MATCH(MID($B2779,4,2),DanhMuc!$B$154:$B$165,0)),""),"")</f>
        <v/>
      </c>
      <c r="V2779" s="361"/>
      <c r="W2779" s="345"/>
      <c r="X2779" s="329" t="str">
        <f t="shared" si="290"/>
        <v>DR</v>
      </c>
      <c r="Y2779" s="1128" t="s">
        <v>3380</v>
      </c>
      <c r="Z2779" s="1128" t="s">
        <v>3381</v>
      </c>
      <c r="AA2779" s="1128" t="s">
        <v>3384</v>
      </c>
      <c r="AB2779" s="20"/>
      <c r="AC2779" s="73"/>
    </row>
    <row r="2780" spans="1:29">
      <c r="A2780" s="327" t="str">
        <f>IF(AND($B2780&lt;&gt;"",$C2780&lt;&gt;""),MAX($A$1556:A2778)+1,"")</f>
        <v/>
      </c>
      <c r="B2780" s="361" t="s">
        <v>2872</v>
      </c>
      <c r="C2780" s="360"/>
      <c r="D2780" s="327">
        <f>IF($B2780="","",COUNTIF($B$6:$B2780,$B2780))</f>
        <v>5</v>
      </c>
      <c r="E2780" s="361" t="s">
        <v>2918</v>
      </c>
      <c r="F2780" s="362" t="s">
        <v>2919</v>
      </c>
      <c r="G2780" s="327" t="s">
        <v>155</v>
      </c>
      <c r="H2780" s="327"/>
      <c r="I2780" s="327">
        <v>1</v>
      </c>
      <c r="J2780" s="345"/>
      <c r="K2780" s="327"/>
      <c r="L2780" s="389">
        <v>5389</v>
      </c>
      <c r="M2780" s="371"/>
      <c r="N2780" s="355" t="str">
        <f t="shared" si="292"/>
        <v>PK</v>
      </c>
      <c r="O2780" s="404" t="s">
        <v>2926</v>
      </c>
      <c r="P2780" s="392"/>
      <c r="Q2780" s="327"/>
      <c r="R2780" s="351"/>
      <c r="S2780" s="351"/>
      <c r="T2780" s="351"/>
      <c r="U2780" s="329" t="str">
        <f>IF($N2780=$N$4,IFERROR(INDEX(DanhMuc!$E$154:$E$165,MATCH(MID($B2780,4,2),DanhMuc!$B$154:$B$165,0)),""),"")</f>
        <v/>
      </c>
      <c r="V2780" s="361"/>
      <c r="W2780" s="345"/>
      <c r="X2780" s="329" t="str">
        <f t="shared" si="290"/>
        <v>DR</v>
      </c>
      <c r="Y2780" s="1128" t="s">
        <v>3380</v>
      </c>
      <c r="Z2780" s="1128" t="s">
        <v>3381</v>
      </c>
      <c r="AA2780" s="1128" t="s">
        <v>3384</v>
      </c>
      <c r="AB2780" s="20"/>
      <c r="AC2780" s="73"/>
    </row>
    <row r="2781" spans="1:29">
      <c r="A2781" s="327" t="str">
        <f>IF(AND($B2781&lt;&gt;"",$C2781&lt;&gt;""),MAX($A$1556:A2778)+1,"")</f>
        <v/>
      </c>
      <c r="B2781" s="361" t="s">
        <v>2872</v>
      </c>
      <c r="C2781" s="360"/>
      <c r="D2781" s="327">
        <f>IF($B2781="","",COUNTIF($B$6:$B2781,$B2781))</f>
        <v>6</v>
      </c>
      <c r="E2781" s="361" t="s">
        <v>2952</v>
      </c>
      <c r="F2781" s="362" t="s">
        <v>2920</v>
      </c>
      <c r="G2781" s="327" t="s">
        <v>155</v>
      </c>
      <c r="H2781" s="327"/>
      <c r="I2781" s="327">
        <v>1</v>
      </c>
      <c r="J2781" s="359"/>
      <c r="K2781" s="327"/>
      <c r="L2781" s="389">
        <v>33329</v>
      </c>
      <c r="M2781" s="371"/>
      <c r="N2781" s="355" t="s">
        <v>153</v>
      </c>
      <c r="O2781" s="345"/>
      <c r="P2781" s="392"/>
      <c r="Q2781" s="327"/>
      <c r="R2781" s="351"/>
      <c r="S2781" s="351"/>
      <c r="T2781" s="351"/>
      <c r="U2781" s="329" t="str">
        <f>IF($N2781=$N$4,IFERROR(INDEX(DanhMuc!$E$154:$E$165,MATCH(MID($B2781,4,2),DanhMuc!$B$154:$B$165,0)),""),"")</f>
        <v/>
      </c>
      <c r="V2781" s="361"/>
      <c r="W2781" s="345"/>
      <c r="X2781" s="329" t="str">
        <f t="shared" si="290"/>
        <v>DR</v>
      </c>
      <c r="Y2781" s="1128" t="s">
        <v>3380</v>
      </c>
      <c r="Z2781" s="1128" t="s">
        <v>3381</v>
      </c>
      <c r="AA2781" s="1128" t="s">
        <v>3384</v>
      </c>
      <c r="AB2781" s="20"/>
      <c r="AC2781" s="73"/>
    </row>
    <row r="2782" spans="1:29">
      <c r="A2782" s="327" t="str">
        <f>IF(AND($B2782&lt;&gt;"",$C2782&lt;&gt;""),MAX($A$1556:A2781)+1,"")</f>
        <v/>
      </c>
      <c r="B2782" s="361" t="s">
        <v>2872</v>
      </c>
      <c r="C2782" s="360"/>
      <c r="D2782" s="327">
        <f>IF($B2782="","",COUNTIF($B$6:$B2782,$B2782))</f>
        <v>7</v>
      </c>
      <c r="E2782" s="361" t="s">
        <v>2918</v>
      </c>
      <c r="F2782" s="362" t="s">
        <v>2919</v>
      </c>
      <c r="G2782" s="327" t="s">
        <v>155</v>
      </c>
      <c r="H2782" s="327"/>
      <c r="I2782" s="327">
        <v>1</v>
      </c>
      <c r="J2782" s="359"/>
      <c r="K2782" s="327"/>
      <c r="L2782" s="389">
        <v>5389</v>
      </c>
      <c r="M2782" s="371"/>
      <c r="N2782" s="355" t="s">
        <v>153</v>
      </c>
      <c r="O2782" s="345"/>
      <c r="P2782" s="392"/>
      <c r="Q2782" s="327"/>
      <c r="R2782" s="351"/>
      <c r="S2782" s="351"/>
      <c r="T2782" s="351"/>
      <c r="U2782" s="329" t="str">
        <f>IF($N2782=$N$4,IFERROR(INDEX(DanhMuc!$E$154:$E$165,MATCH(MID($B2782,4,2),DanhMuc!$B$154:$B$165,0)),""),"")</f>
        <v/>
      </c>
      <c r="V2782" s="361"/>
      <c r="W2782" s="345"/>
      <c r="X2782" s="329" t="str">
        <f t="shared" si="290"/>
        <v>DR</v>
      </c>
      <c r="Y2782" s="1128" t="s">
        <v>3380</v>
      </c>
      <c r="Z2782" s="1128" t="s">
        <v>3381</v>
      </c>
      <c r="AA2782" s="1128" t="s">
        <v>3384</v>
      </c>
      <c r="AB2782" s="20"/>
      <c r="AC2782" s="73"/>
    </row>
    <row r="2783" spans="1:29" ht="25">
      <c r="A2783" s="327" t="str">
        <f>IF(AND($B2783&lt;&gt;"",$C2783&lt;&gt;""),MAX($A$1556:A2780)+1,"")</f>
        <v/>
      </c>
      <c r="B2783" s="361" t="s">
        <v>2872</v>
      </c>
      <c r="C2783" s="360"/>
      <c r="D2783" s="327">
        <f>IF($B2783="","",COUNTIF($B$6:$B2783,$B2783))</f>
        <v>8</v>
      </c>
      <c r="E2783" s="361" t="s">
        <v>2927</v>
      </c>
      <c r="F2783" s="362" t="s">
        <v>2929</v>
      </c>
      <c r="G2783" s="327" t="s">
        <v>155</v>
      </c>
      <c r="H2783" s="327" t="s">
        <v>536</v>
      </c>
      <c r="I2783" s="327">
        <v>1</v>
      </c>
      <c r="J2783" s="359"/>
      <c r="K2783" s="327"/>
      <c r="L2783" s="389">
        <v>76721</v>
      </c>
      <c r="M2783" s="371"/>
      <c r="N2783" s="355" t="s">
        <v>153</v>
      </c>
      <c r="O2783" s="404" t="s">
        <v>2930</v>
      </c>
      <c r="P2783" s="392"/>
      <c r="Q2783" s="327"/>
      <c r="R2783" s="351"/>
      <c r="S2783" s="351"/>
      <c r="T2783" s="351"/>
      <c r="U2783" s="329" t="str">
        <f>IF($N2783=$N$4,IFERROR(INDEX(DanhMuc!$E$154:$E$165,MATCH(MID($B2783,4,2),DanhMuc!$B$154:$B$165,0)),""),"")</f>
        <v/>
      </c>
      <c r="V2783" s="361"/>
      <c r="W2783" s="345"/>
      <c r="X2783" s="329" t="str">
        <f t="shared" si="290"/>
        <v>DR</v>
      </c>
      <c r="Y2783" s="1128" t="s">
        <v>3380</v>
      </c>
      <c r="Z2783" s="1128" t="s">
        <v>3381</v>
      </c>
      <c r="AA2783" s="1128" t="s">
        <v>3384</v>
      </c>
      <c r="AB2783" s="20"/>
      <c r="AC2783" s="73"/>
    </row>
    <row r="2784" spans="1:29">
      <c r="A2784" s="327" t="str">
        <f>IF(AND($B2784&lt;&gt;"",$C2784&lt;&gt;""),MAX($A$1556:A2783)+1,"")</f>
        <v/>
      </c>
      <c r="B2784" s="361" t="s">
        <v>2872</v>
      </c>
      <c r="C2784" s="360"/>
      <c r="D2784" s="327">
        <f>IF($B2784="","",COUNTIF($B$6:$B2784,$B2784))</f>
        <v>9</v>
      </c>
      <c r="E2784" s="361" t="s">
        <v>2915</v>
      </c>
      <c r="F2784" s="362" t="s">
        <v>2917</v>
      </c>
      <c r="G2784" s="327" t="s">
        <v>155</v>
      </c>
      <c r="H2784" s="327" t="s">
        <v>536</v>
      </c>
      <c r="I2784" s="327">
        <v>1</v>
      </c>
      <c r="J2784" s="359"/>
      <c r="K2784" s="327"/>
      <c r="L2784" s="389">
        <v>58599</v>
      </c>
      <c r="M2784" s="371"/>
      <c r="N2784" s="355" t="s">
        <v>153</v>
      </c>
      <c r="O2784" s="404" t="s">
        <v>2930</v>
      </c>
      <c r="P2784" s="392"/>
      <c r="Q2784" s="327"/>
      <c r="R2784" s="351"/>
      <c r="S2784" s="351"/>
      <c r="T2784" s="351"/>
      <c r="U2784" s="329" t="str">
        <f>IF($N2784=$N$4,IFERROR(INDEX(DanhMuc!$E$154:$E$165,MATCH(MID($B2784,4,2),DanhMuc!$B$154:$B$165,0)),""),"")</f>
        <v/>
      </c>
      <c r="V2784" s="361"/>
      <c r="W2784" s="345"/>
      <c r="X2784" s="329" t="str">
        <f t="shared" si="290"/>
        <v>DR</v>
      </c>
      <c r="Y2784" s="1128" t="s">
        <v>3380</v>
      </c>
      <c r="Z2784" s="1128" t="s">
        <v>3381</v>
      </c>
      <c r="AA2784" s="1128" t="s">
        <v>3384</v>
      </c>
      <c r="AB2784" s="20"/>
      <c r="AC2784" s="73"/>
    </row>
    <row r="2785" spans="1:29" ht="25">
      <c r="A2785" s="327" t="str">
        <f>IF(AND($B2785&lt;&gt;"",$C2785&lt;&gt;""),MAX($A$1556:A2782)+1,"")</f>
        <v/>
      </c>
      <c r="B2785" s="361" t="s">
        <v>2872</v>
      </c>
      <c r="C2785" s="360"/>
      <c r="D2785" s="327">
        <f>IF($B2785="","",COUNTIF($B$6:$B2785,$B2785))</f>
        <v>10</v>
      </c>
      <c r="E2785" s="361" t="s">
        <v>2927</v>
      </c>
      <c r="F2785" s="362" t="s">
        <v>2934</v>
      </c>
      <c r="G2785" s="327" t="s">
        <v>155</v>
      </c>
      <c r="H2785" s="327" t="s">
        <v>536</v>
      </c>
      <c r="I2785" s="327">
        <v>1</v>
      </c>
      <c r="J2785" s="359"/>
      <c r="K2785" s="327"/>
      <c r="L2785" s="389">
        <v>76721</v>
      </c>
      <c r="M2785" s="371"/>
      <c r="N2785" s="355" t="s">
        <v>153</v>
      </c>
      <c r="O2785" s="404" t="s">
        <v>2933</v>
      </c>
      <c r="P2785" s="392"/>
      <c r="Q2785" s="327"/>
      <c r="R2785" s="351"/>
      <c r="S2785" s="351"/>
      <c r="T2785" s="351"/>
      <c r="U2785" s="329" t="str">
        <f>IF($N2785=$N$4,IFERROR(INDEX(DanhMuc!$E$154:$E$165,MATCH(MID($B2785,4,2),DanhMuc!$B$154:$B$165,0)),""),"")</f>
        <v/>
      </c>
      <c r="V2785" s="361"/>
      <c r="W2785" s="345"/>
      <c r="X2785" s="329" t="str">
        <f t="shared" si="290"/>
        <v>DR</v>
      </c>
      <c r="Y2785" s="1128" t="s">
        <v>3380</v>
      </c>
      <c r="Z2785" s="1128" t="s">
        <v>3381</v>
      </c>
      <c r="AA2785" s="1128" t="s">
        <v>3384</v>
      </c>
      <c r="AB2785" s="20"/>
      <c r="AC2785" s="73"/>
    </row>
    <row r="2786" spans="1:29">
      <c r="A2786" s="327" t="str">
        <f>IF(AND($B2786&lt;&gt;"",$C2786&lt;&gt;""),MAX($A$1556:A2785)+1,"")</f>
        <v/>
      </c>
      <c r="B2786" s="361" t="s">
        <v>2872</v>
      </c>
      <c r="C2786" s="360"/>
      <c r="D2786" s="327">
        <f>IF($B2786="","",COUNTIF($B$6:$B2786,$B2786))</f>
        <v>11</v>
      </c>
      <c r="E2786" s="361" t="s">
        <v>2915</v>
      </c>
      <c r="F2786" s="362" t="s">
        <v>2932</v>
      </c>
      <c r="G2786" s="327" t="s">
        <v>155</v>
      </c>
      <c r="H2786" s="327" t="s">
        <v>536</v>
      </c>
      <c r="I2786" s="327">
        <v>1</v>
      </c>
      <c r="J2786" s="359"/>
      <c r="K2786" s="327"/>
      <c r="L2786" s="389">
        <v>58599</v>
      </c>
      <c r="M2786" s="371"/>
      <c r="N2786" s="355" t="s">
        <v>153</v>
      </c>
      <c r="O2786" s="404" t="s">
        <v>2933</v>
      </c>
      <c r="P2786" s="392"/>
      <c r="Q2786" s="327"/>
      <c r="R2786" s="351"/>
      <c r="S2786" s="351"/>
      <c r="T2786" s="351"/>
      <c r="U2786" s="329" t="str">
        <f>IF($N2786=$N$4,IFERROR(INDEX(DanhMuc!$E$154:$E$165,MATCH(MID($B2786,4,2),DanhMuc!$B$154:$B$165,0)),""),"")</f>
        <v/>
      </c>
      <c r="V2786" s="361"/>
      <c r="W2786" s="345"/>
      <c r="X2786" s="329" t="str">
        <f t="shared" si="290"/>
        <v>DR</v>
      </c>
      <c r="Y2786" s="1128" t="s">
        <v>3380</v>
      </c>
      <c r="Z2786" s="1128" t="s">
        <v>3381</v>
      </c>
      <c r="AA2786" s="1128" t="s">
        <v>3384</v>
      </c>
      <c r="AB2786" s="20"/>
      <c r="AC2786" s="73"/>
    </row>
    <row r="2787" spans="1:29" ht="25">
      <c r="A2787" s="327" t="str">
        <f>IF(AND($B2787&lt;&gt;"",$C2787&lt;&gt;""),MAX($A$1556:A2782)+1,"")</f>
        <v/>
      </c>
      <c r="B2787" s="361" t="s">
        <v>2872</v>
      </c>
      <c r="C2787" s="360"/>
      <c r="D2787" s="327">
        <f>IF($B2787="","",COUNTIF($B$6:$B2787,$B2787))</f>
        <v>12</v>
      </c>
      <c r="E2787" s="361" t="s">
        <v>2921</v>
      </c>
      <c r="F2787" s="362" t="s">
        <v>210</v>
      </c>
      <c r="G2787" s="327" t="s">
        <v>155</v>
      </c>
      <c r="H2787" s="327"/>
      <c r="I2787" s="327">
        <v>1</v>
      </c>
      <c r="J2787" s="359"/>
      <c r="K2787" s="327"/>
      <c r="L2787" s="389">
        <v>68884</v>
      </c>
      <c r="M2787" s="371"/>
      <c r="N2787" s="355" t="s">
        <v>153</v>
      </c>
      <c r="O2787" s="404" t="s">
        <v>1782</v>
      </c>
      <c r="P2787" s="392"/>
      <c r="Q2787" s="327"/>
      <c r="R2787" s="351"/>
      <c r="S2787" s="351"/>
      <c r="T2787" s="351"/>
      <c r="U2787" s="329" t="str">
        <f>IF($N2787=$N$4,IFERROR(INDEX(DanhMuc!$E$154:$E$165,MATCH(MID($B2787,4,2),DanhMuc!$B$154:$B$165,0)),""),"")</f>
        <v/>
      </c>
      <c r="V2787" s="361"/>
      <c r="W2787" s="345"/>
      <c r="X2787" s="329" t="str">
        <f t="shared" si="290"/>
        <v>DR</v>
      </c>
      <c r="Y2787" s="1128" t="s">
        <v>3380</v>
      </c>
      <c r="Z2787" s="1128" t="s">
        <v>3381</v>
      </c>
      <c r="AA2787" s="1128" t="s">
        <v>3384</v>
      </c>
      <c r="AB2787" s="20"/>
      <c r="AC2787" s="73"/>
    </row>
    <row r="2788" spans="1:29" ht="50">
      <c r="A2788" s="327" t="str">
        <f>IF(AND($B2788&lt;&gt;"",$C2788&lt;&gt;""),MAX($A$1556:A2787)+1,"")</f>
        <v/>
      </c>
      <c r="B2788" s="361" t="s">
        <v>2872</v>
      </c>
      <c r="C2788" s="360"/>
      <c r="D2788" s="327">
        <f>IF($B2788="","",COUNTIF($B$6:$B2788,$B2788))</f>
        <v>13</v>
      </c>
      <c r="E2788" s="403" t="s">
        <v>2973</v>
      </c>
      <c r="F2788" s="403" t="s">
        <v>953</v>
      </c>
      <c r="G2788" s="410" t="s">
        <v>156</v>
      </c>
      <c r="H2788" s="327" t="s">
        <v>536</v>
      </c>
      <c r="I2788" s="411" t="s">
        <v>1337</v>
      </c>
      <c r="J2788" s="404"/>
      <c r="K2788" s="410"/>
      <c r="L2788" s="389">
        <v>49122</v>
      </c>
      <c r="M2788" s="371"/>
      <c r="N2788" s="355" t="s">
        <v>153</v>
      </c>
      <c r="O2788" s="404" t="s">
        <v>1623</v>
      </c>
      <c r="P2788" s="392"/>
      <c r="Q2788" s="327"/>
      <c r="R2788" s="351"/>
      <c r="S2788" s="351"/>
      <c r="T2788" s="351"/>
      <c r="U2788" s="329" t="str">
        <f>IF($N2788=$N$4,IFERROR(INDEX(DanhMuc!$E$154:$E$165,MATCH(MID($B2788,4,2),DanhMuc!$B$154:$B$165,0)),""),"")</f>
        <v/>
      </c>
      <c r="V2788" s="361"/>
      <c r="W2788" s="345"/>
      <c r="X2788" s="329" t="str">
        <f t="shared" si="290"/>
        <v>DR</v>
      </c>
      <c r="Y2788" s="1128" t="s">
        <v>3380</v>
      </c>
      <c r="Z2788" s="1128" t="s">
        <v>3381</v>
      </c>
      <c r="AA2788" s="1128" t="s">
        <v>3384</v>
      </c>
      <c r="AB2788" s="20"/>
      <c r="AC2788" s="73"/>
    </row>
    <row r="2789" spans="1:29" ht="50">
      <c r="A2789" s="327" t="str">
        <f>IF(AND($B2789&lt;&gt;"",$C2789&lt;&gt;""),MAX($A$1556:A2788)+1,"")</f>
        <v/>
      </c>
      <c r="B2789" s="361" t="s">
        <v>2872</v>
      </c>
      <c r="C2789" s="360"/>
      <c r="D2789" s="327">
        <f>IF($B2789="","",COUNTIF($B$6:$B2789,$B2789))</f>
        <v>14</v>
      </c>
      <c r="E2789" s="403" t="s">
        <v>2974</v>
      </c>
      <c r="F2789" s="403" t="s">
        <v>1059</v>
      </c>
      <c r="G2789" s="410" t="s">
        <v>156</v>
      </c>
      <c r="H2789" s="327" t="s">
        <v>536</v>
      </c>
      <c r="I2789" s="411" t="s">
        <v>2853</v>
      </c>
      <c r="J2789" s="404"/>
      <c r="K2789" s="410"/>
      <c r="L2789" s="389">
        <v>59067</v>
      </c>
      <c r="M2789" s="371"/>
      <c r="N2789" s="355" t="s">
        <v>153</v>
      </c>
      <c r="O2789" s="404" t="s">
        <v>1623</v>
      </c>
      <c r="P2789" s="392"/>
      <c r="Q2789" s="327"/>
      <c r="R2789" s="351"/>
      <c r="S2789" s="351"/>
      <c r="T2789" s="351"/>
      <c r="U2789" s="329" t="str">
        <f>IF($N2789=$N$4,IFERROR(INDEX(DanhMuc!$E$154:$E$165,MATCH(MID($B2789,4,2),DanhMuc!$B$154:$B$165,0)),""),"")</f>
        <v/>
      </c>
      <c r="V2789" s="361"/>
      <c r="W2789" s="345"/>
      <c r="X2789" s="329" t="str">
        <f t="shared" si="290"/>
        <v>DR</v>
      </c>
      <c r="Y2789" s="1128" t="s">
        <v>3380</v>
      </c>
      <c r="Z2789" s="1128" t="s">
        <v>3381</v>
      </c>
      <c r="AA2789" s="1128" t="s">
        <v>3384</v>
      </c>
      <c r="AB2789" s="20"/>
      <c r="AC2789" s="73"/>
    </row>
    <row r="2790" spans="1:29" ht="50">
      <c r="A2790" s="327" t="str">
        <f>IF(AND($B2790&lt;&gt;"",$C2790&lt;&gt;""),MAX($A$1556:A2789)+1,"")</f>
        <v/>
      </c>
      <c r="B2790" s="361" t="s">
        <v>2872</v>
      </c>
      <c r="C2790" s="360"/>
      <c r="D2790" s="327">
        <f>IF($B2790="","",COUNTIF($B$6:$B2790,$B2790))</f>
        <v>15</v>
      </c>
      <c r="E2790" s="403" t="s">
        <v>2987</v>
      </c>
      <c r="F2790" s="403" t="s">
        <v>956</v>
      </c>
      <c r="G2790" s="410" t="s">
        <v>156</v>
      </c>
      <c r="H2790" s="327" t="s">
        <v>536</v>
      </c>
      <c r="I2790" s="411" t="s">
        <v>2854</v>
      </c>
      <c r="J2790" s="404"/>
      <c r="K2790" s="410"/>
      <c r="L2790" s="389">
        <v>77078</v>
      </c>
      <c r="M2790" s="371"/>
      <c r="N2790" s="355" t="s">
        <v>153</v>
      </c>
      <c r="O2790" s="404" t="s">
        <v>1623</v>
      </c>
      <c r="P2790" s="392"/>
      <c r="Q2790" s="327"/>
      <c r="R2790" s="351"/>
      <c r="S2790" s="351"/>
      <c r="T2790" s="351"/>
      <c r="U2790" s="329" t="str">
        <f>IF($N2790=$N$4,IFERROR(INDEX(DanhMuc!$E$154:$E$165,MATCH(MID($B2790,4,2),DanhMuc!$B$154:$B$165,0)),""),"")</f>
        <v/>
      </c>
      <c r="V2790" s="361"/>
      <c r="W2790" s="345"/>
      <c r="X2790" s="329" t="str">
        <f t="shared" si="290"/>
        <v>DR</v>
      </c>
      <c r="Y2790" s="1128" t="s">
        <v>3380</v>
      </c>
      <c r="Z2790" s="1128" t="s">
        <v>3381</v>
      </c>
      <c r="AA2790" s="1128" t="s">
        <v>3384</v>
      </c>
      <c r="AB2790" s="20"/>
      <c r="AC2790" s="73"/>
    </row>
    <row r="2791" spans="1:29" ht="50">
      <c r="A2791" s="327" t="str">
        <f>IF(AND($B2791&lt;&gt;"",$C2791&lt;&gt;""),MAX($A$1556:A2790)+1,"")</f>
        <v/>
      </c>
      <c r="B2791" s="361" t="s">
        <v>2872</v>
      </c>
      <c r="C2791" s="360"/>
      <c r="D2791" s="327">
        <f>IF($B2791="","",COUNTIF($B$6:$B2791,$B2791))</f>
        <v>16</v>
      </c>
      <c r="E2791" s="403" t="s">
        <v>2975</v>
      </c>
      <c r="F2791" s="403" t="s">
        <v>183</v>
      </c>
      <c r="G2791" s="410" t="s">
        <v>156</v>
      </c>
      <c r="H2791" s="327" t="s">
        <v>536</v>
      </c>
      <c r="I2791" s="411" t="s">
        <v>2855</v>
      </c>
      <c r="J2791" s="404"/>
      <c r="K2791" s="410"/>
      <c r="L2791" s="415">
        <v>77078</v>
      </c>
      <c r="M2791" s="371"/>
      <c r="N2791" s="355" t="s">
        <v>153</v>
      </c>
      <c r="O2791" s="404" t="s">
        <v>1623</v>
      </c>
      <c r="P2791" s="392"/>
      <c r="Q2791" s="327"/>
      <c r="R2791" s="351"/>
      <c r="S2791" s="351"/>
      <c r="T2791" s="351"/>
      <c r="U2791" s="329" t="str">
        <f>IF($N2791=$N$4,IFERROR(INDEX(DanhMuc!$E$154:$E$165,MATCH(MID($B2791,4,2),DanhMuc!$B$154:$B$165,0)),""),"")</f>
        <v/>
      </c>
      <c r="V2791" s="361"/>
      <c r="W2791" s="345"/>
      <c r="X2791" s="329" t="str">
        <f t="shared" si="290"/>
        <v>DR</v>
      </c>
      <c r="Y2791" s="1128" t="s">
        <v>3380</v>
      </c>
      <c r="Z2791" s="1128" t="s">
        <v>3381</v>
      </c>
      <c r="AA2791" s="1128" t="s">
        <v>3384</v>
      </c>
      <c r="AB2791" s="20"/>
      <c r="AC2791" s="73"/>
    </row>
    <row r="2792" spans="1:29">
      <c r="A2792" s="327" t="str">
        <f>IF(AND($B2792&lt;&gt;"",$C2792&lt;&gt;""),MAX($A$1556:A2791)+1,"")</f>
        <v/>
      </c>
      <c r="B2792" s="361" t="s">
        <v>2872</v>
      </c>
      <c r="C2792" s="360"/>
      <c r="D2792" s="327">
        <f>IF($B2792="","",COUNTIF($B$6:$B2792,$B2792))</f>
        <v>17</v>
      </c>
      <c r="E2792" s="361" t="s">
        <v>2922</v>
      </c>
      <c r="F2792" s="362" t="s">
        <v>981</v>
      </c>
      <c r="G2792" s="327" t="s">
        <v>155</v>
      </c>
      <c r="H2792" s="327" t="s">
        <v>536</v>
      </c>
      <c r="I2792" s="327">
        <v>2</v>
      </c>
      <c r="J2792" s="359"/>
      <c r="K2792" s="327"/>
      <c r="L2792" s="389">
        <v>4514</v>
      </c>
      <c r="M2792" s="371"/>
      <c r="N2792" s="355" t="str">
        <f t="shared" ref="N2792:N2805" si="294">+$N$1555</f>
        <v>PK</v>
      </c>
      <c r="O2792" s="404" t="s">
        <v>1623</v>
      </c>
      <c r="P2792" s="392"/>
      <c r="Q2792" s="327"/>
      <c r="R2792" s="351"/>
      <c r="S2792" s="351"/>
      <c r="T2792" s="351"/>
      <c r="U2792" s="329" t="str">
        <f>IF($N2792=$N$4,IFERROR(INDEX(DanhMuc!$E$154:$E$165,MATCH(MID($B2792,4,2),DanhMuc!$B$154:$B$165,0)),""),"")</f>
        <v/>
      </c>
      <c r="V2792" s="361"/>
      <c r="W2792" s="345"/>
      <c r="X2792" s="329" t="str">
        <f t="shared" si="290"/>
        <v>DR</v>
      </c>
      <c r="Y2792" s="1128" t="s">
        <v>3380</v>
      </c>
      <c r="Z2792" s="1128" t="s">
        <v>3381</v>
      </c>
      <c r="AA2792" s="1128" t="s">
        <v>3384</v>
      </c>
      <c r="AB2792" s="20"/>
      <c r="AC2792" s="73"/>
    </row>
    <row r="2793" spans="1:29">
      <c r="A2793" s="327" t="str">
        <f>IF(AND($B2793&lt;&gt;"",$C2793&lt;&gt;""),MAX($A$1556:A2792)+1,"")</f>
        <v/>
      </c>
      <c r="B2793" s="361" t="s">
        <v>2872</v>
      </c>
      <c r="C2793" s="360"/>
      <c r="D2793" s="327">
        <f>IF($B2793="","",COUNTIF($B$6:$B2793,$B2793))</f>
        <v>18</v>
      </c>
      <c r="E2793" s="361" t="s">
        <v>187</v>
      </c>
      <c r="F2793" s="362" t="s">
        <v>189</v>
      </c>
      <c r="G2793" s="327" t="s">
        <v>155</v>
      </c>
      <c r="H2793" s="327"/>
      <c r="I2793" s="327">
        <v>4</v>
      </c>
      <c r="J2793" s="361"/>
      <c r="K2793" s="327"/>
      <c r="L2793" s="389">
        <v>5000</v>
      </c>
      <c r="M2793" s="371"/>
      <c r="N2793" s="355" t="str">
        <f t="shared" si="294"/>
        <v>PK</v>
      </c>
      <c r="O2793" s="345"/>
      <c r="P2793" s="392"/>
      <c r="Q2793" s="327"/>
      <c r="R2793" s="351"/>
      <c r="S2793" s="351"/>
      <c r="T2793" s="351"/>
      <c r="U2793" s="329" t="str">
        <f>IF($N2793=$N$4,IFERROR(INDEX(DanhMuc!$E$154:$E$165,MATCH(MID($B2793,4,2),DanhMuc!$B$154:$B$165,0)),""),"")</f>
        <v/>
      </c>
      <c r="V2793" s="361"/>
      <c r="W2793" s="345"/>
      <c r="X2793" s="329" t="str">
        <f t="shared" si="290"/>
        <v>DR</v>
      </c>
      <c r="Y2793" s="1128" t="s">
        <v>3380</v>
      </c>
      <c r="Z2793" s="1128" t="s">
        <v>3381</v>
      </c>
      <c r="AA2793" s="1128" t="s">
        <v>3384</v>
      </c>
      <c r="AB2793" s="20"/>
      <c r="AC2793" s="73"/>
    </row>
    <row r="2794" spans="1:29">
      <c r="A2794" s="327" t="str">
        <f>IF(AND($B2794&lt;&gt;"",$C2794&lt;&gt;""),MAX($A$1556:A2793)+1,"")</f>
        <v/>
      </c>
      <c r="B2794" s="361" t="s">
        <v>2872</v>
      </c>
      <c r="C2794" s="360"/>
      <c r="D2794" s="327">
        <f>IF($B2794="","",COUNTIF($B$6:$B2794,$B2794))</f>
        <v>19</v>
      </c>
      <c r="E2794" s="361" t="s">
        <v>172</v>
      </c>
      <c r="F2794" s="362" t="s">
        <v>173</v>
      </c>
      <c r="G2794" s="327" t="s">
        <v>155</v>
      </c>
      <c r="H2794" s="327"/>
      <c r="I2794" s="327">
        <v>1</v>
      </c>
      <c r="J2794" s="361"/>
      <c r="K2794" s="327"/>
      <c r="L2794" s="389">
        <v>6000</v>
      </c>
      <c r="M2794" s="371"/>
      <c r="N2794" s="355" t="str">
        <f t="shared" si="294"/>
        <v>PK</v>
      </c>
      <c r="O2794" s="345"/>
      <c r="P2794" s="392"/>
      <c r="Q2794" s="327"/>
      <c r="R2794" s="351"/>
      <c r="S2794" s="351"/>
      <c r="T2794" s="351"/>
      <c r="U2794" s="329" t="str">
        <f>IF($N2794=$N$4,IFERROR(INDEX(DanhMuc!$E$154:$E$165,MATCH(MID($B2794,4,2),DanhMuc!$B$154:$B$165,0)),""),"")</f>
        <v/>
      </c>
      <c r="V2794" s="361"/>
      <c r="W2794" s="345"/>
      <c r="X2794" s="329" t="str">
        <f t="shared" si="290"/>
        <v>DR</v>
      </c>
      <c r="Y2794" s="1128" t="s">
        <v>3380</v>
      </c>
      <c r="Z2794" s="1128" t="s">
        <v>3381</v>
      </c>
      <c r="AA2794" s="1128" t="s">
        <v>3384</v>
      </c>
      <c r="AB2794" s="20"/>
      <c r="AC2794" s="73"/>
    </row>
    <row r="2795" spans="1:29">
      <c r="A2795" s="327" t="str">
        <f>IF(AND($B2795&lt;&gt;"",$C2795&lt;&gt;""),MAX($A$1556:A2794)+1,"")</f>
        <v/>
      </c>
      <c r="B2795" s="361" t="s">
        <v>2872</v>
      </c>
      <c r="C2795" s="360"/>
      <c r="D2795" s="327">
        <f>IF($B2795="","",COUNTIF($B$6:$B2795,$B2795))</f>
        <v>20</v>
      </c>
      <c r="E2795" s="361" t="s">
        <v>163</v>
      </c>
      <c r="F2795" s="362" t="s">
        <v>164</v>
      </c>
      <c r="G2795" s="327" t="s">
        <v>155</v>
      </c>
      <c r="H2795" s="327"/>
      <c r="I2795" s="327">
        <v>2</v>
      </c>
      <c r="J2795" s="361"/>
      <c r="K2795" s="327"/>
      <c r="L2795" s="389">
        <v>2500</v>
      </c>
      <c r="M2795" s="371"/>
      <c r="N2795" s="355" t="str">
        <f t="shared" si="294"/>
        <v>PK</v>
      </c>
      <c r="O2795" s="345"/>
      <c r="P2795" s="392"/>
      <c r="Q2795" s="327"/>
      <c r="R2795" s="351"/>
      <c r="S2795" s="351"/>
      <c r="T2795" s="351"/>
      <c r="U2795" s="329" t="str">
        <f>IF($N2795=$N$4,IFERROR(INDEX(DanhMuc!$E$154:$E$165,MATCH(MID($B2795,4,2),DanhMuc!$B$154:$B$165,0)),""),"")</f>
        <v/>
      </c>
      <c r="V2795" s="408" t="s">
        <v>342</v>
      </c>
      <c r="W2795" s="345"/>
      <c r="X2795" s="329" t="str">
        <f t="shared" si="290"/>
        <v>DR</v>
      </c>
      <c r="Y2795" s="1128" t="s">
        <v>3380</v>
      </c>
      <c r="Z2795" s="1128" t="s">
        <v>3381</v>
      </c>
      <c r="AA2795" s="1128" t="s">
        <v>3384</v>
      </c>
      <c r="AB2795" s="20"/>
      <c r="AC2795" s="73"/>
    </row>
    <row r="2796" spans="1:29">
      <c r="A2796" s="327" t="str">
        <f>IF(AND($B2796&lt;&gt;"",$C2796&lt;&gt;""),MAX($A$1556:A2795)+1,"")</f>
        <v/>
      </c>
      <c r="B2796" s="361" t="s">
        <v>2872</v>
      </c>
      <c r="C2796" s="360"/>
      <c r="D2796" s="327">
        <f>IF($B2796="","",COUNTIF($B$6:$B2796,$B2796))</f>
        <v>21</v>
      </c>
      <c r="E2796" s="361" t="s">
        <v>2923</v>
      </c>
      <c r="F2796" s="362" t="s">
        <v>186</v>
      </c>
      <c r="G2796" s="327" t="s">
        <v>155</v>
      </c>
      <c r="H2796" s="327" t="s">
        <v>536</v>
      </c>
      <c r="I2796" s="327">
        <v>4</v>
      </c>
      <c r="J2796" s="361"/>
      <c r="K2796" s="327"/>
      <c r="L2796" s="389">
        <v>40308</v>
      </c>
      <c r="M2796" s="371"/>
      <c r="N2796" s="355" t="str">
        <f t="shared" si="294"/>
        <v>PK</v>
      </c>
      <c r="O2796" s="345"/>
      <c r="P2796" s="392"/>
      <c r="Q2796" s="327"/>
      <c r="R2796" s="351"/>
      <c r="S2796" s="351"/>
      <c r="T2796" s="351"/>
      <c r="U2796" s="329" t="str">
        <f>IF($N2796=$N$4,IFERROR(INDEX(DanhMuc!$E$154:$E$165,MATCH(MID($B2796,4,2),DanhMuc!$B$154:$B$165,0)),""),"")</f>
        <v/>
      </c>
      <c r="V2796" s="361"/>
      <c r="W2796" s="345"/>
      <c r="X2796" s="329" t="str">
        <f t="shared" si="290"/>
        <v>DR</v>
      </c>
      <c r="Y2796" s="1128" t="s">
        <v>3380</v>
      </c>
      <c r="Z2796" s="1128" t="s">
        <v>3381</v>
      </c>
      <c r="AA2796" s="1128" t="s">
        <v>3384</v>
      </c>
      <c r="AB2796" s="20"/>
      <c r="AC2796" s="73"/>
    </row>
    <row r="2797" spans="1:29">
      <c r="A2797" s="327" t="str">
        <f>IF(AND($B2797&lt;&gt;"",$C2797&lt;&gt;""),MAX($A$1556:A2796)+1,"")</f>
        <v/>
      </c>
      <c r="B2797" s="361" t="s">
        <v>2872</v>
      </c>
      <c r="C2797" s="360"/>
      <c r="D2797" s="327">
        <f>IF($B2797="","",COUNTIF($B$6:$B2797,$B2797))</f>
        <v>22</v>
      </c>
      <c r="E2797" s="361" t="s">
        <v>165</v>
      </c>
      <c r="F2797" s="362" t="s">
        <v>166</v>
      </c>
      <c r="G2797" s="327" t="s">
        <v>155</v>
      </c>
      <c r="H2797" s="327"/>
      <c r="I2797" s="327">
        <v>2</v>
      </c>
      <c r="J2797" s="361"/>
      <c r="K2797" s="327"/>
      <c r="L2797" s="389">
        <v>1700</v>
      </c>
      <c r="M2797" s="371"/>
      <c r="N2797" s="355" t="str">
        <f t="shared" si="294"/>
        <v>PK</v>
      </c>
      <c r="O2797" s="345"/>
      <c r="P2797" s="392"/>
      <c r="Q2797" s="327"/>
      <c r="R2797" s="351"/>
      <c r="S2797" s="351"/>
      <c r="T2797" s="351"/>
      <c r="U2797" s="329" t="str">
        <f>IF($N2797=$N$4,IFERROR(INDEX(DanhMuc!$E$154:$E$165,MATCH(MID($B2797,4,2),DanhMuc!$B$154:$B$165,0)),""),"")</f>
        <v/>
      </c>
      <c r="V2797" s="361"/>
      <c r="W2797" s="345"/>
      <c r="X2797" s="329" t="str">
        <f t="shared" si="290"/>
        <v>DR</v>
      </c>
      <c r="Y2797" s="1128" t="s">
        <v>3380</v>
      </c>
      <c r="Z2797" s="1128" t="s">
        <v>3381</v>
      </c>
      <c r="AA2797" s="1128" t="s">
        <v>3384</v>
      </c>
      <c r="AB2797" s="20"/>
      <c r="AC2797" s="73"/>
    </row>
    <row r="2798" spans="1:29">
      <c r="A2798" s="327" t="str">
        <f>IF(AND($B2798&lt;&gt;"",$C2798&lt;&gt;""),MAX($A$1556:A2797)+1,"")</f>
        <v/>
      </c>
      <c r="B2798" s="361" t="s">
        <v>2872</v>
      </c>
      <c r="C2798" s="360"/>
      <c r="D2798" s="327">
        <f>IF($B2798="","",COUNTIF($B$6:$B2798,$B2798))</f>
        <v>23</v>
      </c>
      <c r="E2798" s="361" t="s">
        <v>167</v>
      </c>
      <c r="F2798" s="362" t="s">
        <v>168</v>
      </c>
      <c r="G2798" s="327" t="s">
        <v>155</v>
      </c>
      <c r="H2798" s="327"/>
      <c r="I2798" s="327">
        <v>2</v>
      </c>
      <c r="J2798" s="361"/>
      <c r="K2798" s="327"/>
      <c r="L2798" s="389">
        <v>1700</v>
      </c>
      <c r="M2798" s="371"/>
      <c r="N2798" s="355" t="str">
        <f t="shared" si="294"/>
        <v>PK</v>
      </c>
      <c r="O2798" s="345"/>
      <c r="P2798" s="392"/>
      <c r="Q2798" s="327"/>
      <c r="R2798" s="351"/>
      <c r="S2798" s="351"/>
      <c r="T2798" s="351"/>
      <c r="U2798" s="329" t="str">
        <f>IF($N2798=$N$4,IFERROR(INDEX(DanhMuc!$E$154:$E$165,MATCH(MID($B2798,4,2),DanhMuc!$B$154:$B$165,0)),""),"")</f>
        <v/>
      </c>
      <c r="V2798" s="361"/>
      <c r="W2798" s="345"/>
      <c r="X2798" s="329" t="str">
        <f t="shared" si="290"/>
        <v>DR</v>
      </c>
      <c r="Y2798" s="1128" t="s">
        <v>3380</v>
      </c>
      <c r="Z2798" s="1128" t="s">
        <v>3381</v>
      </c>
      <c r="AA2798" s="1128" t="s">
        <v>3384</v>
      </c>
      <c r="AB2798" s="20"/>
      <c r="AC2798" s="73"/>
    </row>
    <row r="2799" spans="1:29">
      <c r="A2799" s="327" t="str">
        <f>IF(AND($B2799&lt;&gt;"",$C2799&lt;&gt;""),MAX($A$1556:A2798)+1,"")</f>
        <v/>
      </c>
      <c r="B2799" s="361" t="s">
        <v>2872</v>
      </c>
      <c r="C2799" s="360"/>
      <c r="D2799" s="327">
        <f>IF($B2799="","",COUNTIF($B$6:$B2799,$B2799))</f>
        <v>24</v>
      </c>
      <c r="E2799" s="361" t="s">
        <v>169</v>
      </c>
      <c r="F2799" s="362" t="s">
        <v>170</v>
      </c>
      <c r="G2799" s="327" t="s">
        <v>155</v>
      </c>
      <c r="H2799" s="327"/>
      <c r="I2799" s="327">
        <v>2</v>
      </c>
      <c r="J2799" s="361"/>
      <c r="K2799" s="327"/>
      <c r="L2799" s="389">
        <v>1700</v>
      </c>
      <c r="M2799" s="371"/>
      <c r="N2799" s="355" t="str">
        <f t="shared" si="294"/>
        <v>PK</v>
      </c>
      <c r="O2799" s="345"/>
      <c r="P2799" s="392"/>
      <c r="Q2799" s="327"/>
      <c r="R2799" s="351"/>
      <c r="S2799" s="351"/>
      <c r="T2799" s="351"/>
      <c r="U2799" s="329" t="str">
        <f>IF($N2799=$N$4,IFERROR(INDEX(DanhMuc!$E$154:$E$165,MATCH(MID($B2799,4,2),DanhMuc!$B$154:$B$165,0)),""),"")</f>
        <v/>
      </c>
      <c r="V2799" s="361"/>
      <c r="W2799" s="345"/>
      <c r="X2799" s="329" t="str">
        <f t="shared" si="290"/>
        <v>DR</v>
      </c>
      <c r="Y2799" s="1128" t="s">
        <v>3380</v>
      </c>
      <c r="Z2799" s="1128" t="s">
        <v>3381</v>
      </c>
      <c r="AA2799" s="1128" t="s">
        <v>3384</v>
      </c>
      <c r="AB2799" s="20"/>
      <c r="AC2799" s="73"/>
    </row>
    <row r="2800" spans="1:29">
      <c r="A2800" s="327" t="str">
        <f>IF(AND($B2800&lt;&gt;"",$C2800&lt;&gt;""),MAX($A$1556:A2799)+1,"")</f>
        <v/>
      </c>
      <c r="B2800" s="361" t="s">
        <v>2872</v>
      </c>
      <c r="C2800" s="360"/>
      <c r="D2800" s="327">
        <f>IF($B2800="","",COUNTIF($B$6:$B2800,$B2800))</f>
        <v>25</v>
      </c>
      <c r="E2800" s="361" t="s">
        <v>171</v>
      </c>
      <c r="F2800" s="362" t="s">
        <v>291</v>
      </c>
      <c r="G2800" s="327" t="s">
        <v>155</v>
      </c>
      <c r="H2800" s="327"/>
      <c r="I2800" s="327">
        <v>2</v>
      </c>
      <c r="J2800" s="361"/>
      <c r="K2800" s="327"/>
      <c r="L2800" s="389">
        <v>1700</v>
      </c>
      <c r="M2800" s="371"/>
      <c r="N2800" s="355" t="str">
        <f t="shared" si="294"/>
        <v>PK</v>
      </c>
      <c r="O2800" s="345"/>
      <c r="P2800" s="392"/>
      <c r="Q2800" s="327"/>
      <c r="R2800" s="351"/>
      <c r="S2800" s="351"/>
      <c r="T2800" s="351"/>
      <c r="U2800" s="329" t="str">
        <f>IF($N2800=$N$4,IFERROR(INDEX(DanhMuc!$E$154:$E$165,MATCH(MID($B2800,4,2),DanhMuc!$B$154:$B$165,0)),""),"")</f>
        <v/>
      </c>
      <c r="V2800" s="361"/>
      <c r="W2800" s="345"/>
      <c r="X2800" s="329" t="str">
        <f t="shared" si="290"/>
        <v>DR</v>
      </c>
      <c r="Y2800" s="1128" t="s">
        <v>3380</v>
      </c>
      <c r="Z2800" s="1128" t="s">
        <v>3381</v>
      </c>
      <c r="AA2800" s="1128" t="s">
        <v>3384</v>
      </c>
      <c r="AB2800" s="20"/>
      <c r="AC2800" s="73"/>
    </row>
    <row r="2801" spans="1:29" ht="39">
      <c r="A2801" s="327">
        <f>IF(AND($B2801&lt;&gt;"",$C2801&lt;&gt;""),MAX($A$1556:A2800)+1,"")</f>
        <v>149</v>
      </c>
      <c r="B2801" s="359" t="s">
        <v>3159</v>
      </c>
      <c r="C2801" s="360" t="s">
        <v>1532</v>
      </c>
      <c r="D2801" s="327">
        <f>IF($B2801="","",COUNTIF($B$6:$B2801,$B2801))</f>
        <v>1</v>
      </c>
      <c r="E2801" s="362" t="s">
        <v>2914</v>
      </c>
      <c r="F2801" s="362" t="s">
        <v>2916</v>
      </c>
      <c r="G2801" s="327" t="s">
        <v>155</v>
      </c>
      <c r="H2801" s="327"/>
      <c r="I2801" s="327">
        <v>1</v>
      </c>
      <c r="J2801" s="345"/>
      <c r="K2801" s="327"/>
      <c r="L2801" s="389">
        <v>126387</v>
      </c>
      <c r="M2801" s="371"/>
      <c r="N2801" s="355" t="str">
        <f t="shared" si="294"/>
        <v>PK</v>
      </c>
      <c r="O2801" s="404" t="s">
        <v>2924</v>
      </c>
      <c r="P2801" s="392"/>
      <c r="Q2801" s="327"/>
      <c r="R2801" s="351"/>
      <c r="S2801" s="351"/>
      <c r="T2801" s="351"/>
      <c r="U2801" s="329" t="str">
        <f>IF($N2801=$N$4,IFERROR(INDEX(DanhMuc!$E$154:$E$165,MATCH(MID($B2801,4,2),DanhMuc!$B$154:$B$165,0)),""),"")</f>
        <v/>
      </c>
      <c r="V2801" s="361"/>
      <c r="W2801" s="345"/>
      <c r="X2801" s="329" t="str">
        <f t="shared" si="290"/>
        <v>FI</v>
      </c>
      <c r="Y2801" s="1128" t="s">
        <v>3380</v>
      </c>
      <c r="Z2801" s="1128" t="s">
        <v>3381</v>
      </c>
      <c r="AA2801" s="1128" t="s">
        <v>3384</v>
      </c>
      <c r="AB2801" s="20"/>
      <c r="AC2801" s="73"/>
    </row>
    <row r="2802" spans="1:29">
      <c r="A2802" s="327" t="str">
        <f>IF(AND($B2802&lt;&gt;"",$C2802&lt;&gt;""),MAX($A$1556:A2801)+1,"")</f>
        <v/>
      </c>
      <c r="B2802" s="361" t="s">
        <v>3159</v>
      </c>
      <c r="C2802" s="360"/>
      <c r="D2802" s="327">
        <f>IF($B2802="","",COUNTIF($B$6:$B2802,$B2802))</f>
        <v>2</v>
      </c>
      <c r="E2802" s="361" t="s">
        <v>2915</v>
      </c>
      <c r="F2802" s="362" t="s">
        <v>2917</v>
      </c>
      <c r="G2802" s="327" t="s">
        <v>155</v>
      </c>
      <c r="H2802" s="327"/>
      <c r="I2802" s="327">
        <v>1</v>
      </c>
      <c r="J2802" s="345"/>
      <c r="K2802" s="327"/>
      <c r="L2802" s="389">
        <v>58599</v>
      </c>
      <c r="M2802" s="371"/>
      <c r="N2802" s="355" t="str">
        <f t="shared" si="294"/>
        <v>PK</v>
      </c>
      <c r="O2802" s="404" t="s">
        <v>2924</v>
      </c>
      <c r="P2802" s="392"/>
      <c r="Q2802" s="327"/>
      <c r="R2802" s="351"/>
      <c r="S2802" s="351"/>
      <c r="T2802" s="351"/>
      <c r="U2802" s="329" t="str">
        <f>IF($N2802=$N$4,IFERROR(INDEX(DanhMuc!$E$154:$E$165,MATCH(MID($B2802,4,2),DanhMuc!$B$154:$B$165,0)),""),"")</f>
        <v/>
      </c>
      <c r="V2802" s="361"/>
      <c r="W2802" s="345"/>
      <c r="X2802" s="329" t="str">
        <f t="shared" si="290"/>
        <v>FI</v>
      </c>
      <c r="Y2802" s="1128" t="s">
        <v>3380</v>
      </c>
      <c r="Z2802" s="1128" t="s">
        <v>3381</v>
      </c>
      <c r="AA2802" s="1128" t="s">
        <v>3384</v>
      </c>
      <c r="AB2802" s="20"/>
      <c r="AC2802" s="73"/>
    </row>
    <row r="2803" spans="1:29" ht="37.5">
      <c r="A2803" s="327" t="str">
        <f>IF(AND($B2803&lt;&gt;"",$C2803&lt;&gt;""),MAX($A$1556:A2801)+1,"")</f>
        <v/>
      </c>
      <c r="B2803" s="361" t="s">
        <v>3159</v>
      </c>
      <c r="C2803" s="360"/>
      <c r="D2803" s="327">
        <f>IF($B2803="","",COUNTIF($B$6:$B2803,$B2803))</f>
        <v>3</v>
      </c>
      <c r="E2803" s="362" t="s">
        <v>2914</v>
      </c>
      <c r="F2803" s="362" t="s">
        <v>2931</v>
      </c>
      <c r="G2803" s="327" t="s">
        <v>155</v>
      </c>
      <c r="H2803" s="327"/>
      <c r="I2803" s="327">
        <v>1</v>
      </c>
      <c r="J2803" s="345"/>
      <c r="K2803" s="327"/>
      <c r="L2803" s="389">
        <v>126387</v>
      </c>
      <c r="M2803" s="371"/>
      <c r="N2803" s="355" t="str">
        <f t="shared" si="294"/>
        <v>PK</v>
      </c>
      <c r="O2803" s="404" t="s">
        <v>2925</v>
      </c>
      <c r="P2803" s="392"/>
      <c r="Q2803" s="327"/>
      <c r="R2803" s="351"/>
      <c r="S2803" s="351"/>
      <c r="T2803" s="351"/>
      <c r="U2803" s="329" t="str">
        <f>IF($N2803=$N$4,IFERROR(INDEX(DanhMuc!$E$154:$E$165,MATCH(MID($B2803,4,2),DanhMuc!$B$154:$B$165,0)),""),"")</f>
        <v/>
      </c>
      <c r="V2803" s="361"/>
      <c r="W2803" s="345"/>
      <c r="X2803" s="329" t="str">
        <f t="shared" si="290"/>
        <v>FI</v>
      </c>
      <c r="Y2803" s="1128" t="s">
        <v>3380</v>
      </c>
      <c r="Z2803" s="1128" t="s">
        <v>3381</v>
      </c>
      <c r="AA2803" s="1128" t="s">
        <v>3384</v>
      </c>
      <c r="AB2803" s="20"/>
      <c r="AC2803" s="73"/>
    </row>
    <row r="2804" spans="1:29">
      <c r="A2804" s="327" t="str">
        <f>IF(AND($B2804&lt;&gt;"",$C2804&lt;&gt;""),MAX($A$1556:A2802)+1,"")</f>
        <v/>
      </c>
      <c r="B2804" s="361" t="s">
        <v>3159</v>
      </c>
      <c r="C2804" s="360"/>
      <c r="D2804" s="327">
        <f>IF($B2804="","",COUNTIF($B$6:$B2804,$B2804))</f>
        <v>4</v>
      </c>
      <c r="E2804" s="361" t="s">
        <v>2915</v>
      </c>
      <c r="F2804" s="362" t="s">
        <v>2932</v>
      </c>
      <c r="G2804" s="327" t="s">
        <v>155</v>
      </c>
      <c r="H2804" s="327"/>
      <c r="I2804" s="327">
        <v>1</v>
      </c>
      <c r="J2804" s="345"/>
      <c r="K2804" s="327"/>
      <c r="L2804" s="389">
        <v>58599</v>
      </c>
      <c r="M2804" s="371"/>
      <c r="N2804" s="355" t="str">
        <f t="shared" si="294"/>
        <v>PK</v>
      </c>
      <c r="O2804" s="404" t="s">
        <v>2925</v>
      </c>
      <c r="P2804" s="392"/>
      <c r="Q2804" s="327"/>
      <c r="R2804" s="351"/>
      <c r="S2804" s="351"/>
      <c r="T2804" s="351"/>
      <c r="U2804" s="329" t="str">
        <f>IF($N2804=$N$4,IFERROR(INDEX(DanhMuc!$E$154:$E$165,MATCH(MID($B2804,4,2),DanhMuc!$B$154:$B$165,0)),""),"")</f>
        <v/>
      </c>
      <c r="V2804" s="361"/>
      <c r="W2804" s="345"/>
      <c r="X2804" s="329" t="str">
        <f t="shared" si="290"/>
        <v>FI</v>
      </c>
      <c r="Y2804" s="1128" t="s">
        <v>3380</v>
      </c>
      <c r="Z2804" s="1128" t="s">
        <v>3381</v>
      </c>
      <c r="AA2804" s="1128" t="s">
        <v>3384</v>
      </c>
      <c r="AB2804" s="20"/>
      <c r="AC2804" s="73"/>
    </row>
    <row r="2805" spans="1:29">
      <c r="A2805" s="327" t="str">
        <f>IF(AND($B2805&lt;&gt;"",$C2805&lt;&gt;""),MAX($A$1556:A2803)+1,"")</f>
        <v/>
      </c>
      <c r="B2805" s="361" t="s">
        <v>3159</v>
      </c>
      <c r="C2805" s="360"/>
      <c r="D2805" s="327">
        <f>IF($B2805="","",COUNTIF($B$6:$B2805,$B2805))</f>
        <v>5</v>
      </c>
      <c r="E2805" s="361" t="s">
        <v>2918</v>
      </c>
      <c r="F2805" s="362" t="s">
        <v>2919</v>
      </c>
      <c r="G2805" s="327" t="s">
        <v>155</v>
      </c>
      <c r="H2805" s="327"/>
      <c r="I2805" s="327">
        <v>1</v>
      </c>
      <c r="J2805" s="345"/>
      <c r="K2805" s="327"/>
      <c r="L2805" s="389">
        <v>5389</v>
      </c>
      <c r="M2805" s="371"/>
      <c r="N2805" s="355" t="str">
        <f t="shared" si="294"/>
        <v>PK</v>
      </c>
      <c r="O2805" s="404" t="s">
        <v>2926</v>
      </c>
      <c r="P2805" s="392"/>
      <c r="Q2805" s="327"/>
      <c r="R2805" s="351"/>
      <c r="S2805" s="351"/>
      <c r="T2805" s="351"/>
      <c r="U2805" s="329" t="str">
        <f>IF($N2805=$N$4,IFERROR(INDEX(DanhMuc!$E$154:$E$165,MATCH(MID($B2805,4,2),DanhMuc!$B$154:$B$165,0)),""),"")</f>
        <v/>
      </c>
      <c r="V2805" s="361"/>
      <c r="W2805" s="345"/>
      <c r="X2805" s="329" t="str">
        <f t="shared" si="290"/>
        <v>FI</v>
      </c>
      <c r="Y2805" s="1128" t="s">
        <v>3380</v>
      </c>
      <c r="Z2805" s="1128" t="s">
        <v>3381</v>
      </c>
      <c r="AA2805" s="1128" t="s">
        <v>3384</v>
      </c>
      <c r="AB2805" s="20"/>
      <c r="AC2805" s="73"/>
    </row>
    <row r="2806" spans="1:29">
      <c r="A2806" s="327" t="str">
        <f>IF(AND($B2806&lt;&gt;"",$C2806&lt;&gt;""),MAX($A$1556:A2803)+1,"")</f>
        <v/>
      </c>
      <c r="B2806" s="361" t="s">
        <v>3159</v>
      </c>
      <c r="C2806" s="360"/>
      <c r="D2806" s="327">
        <f>IF($B2806="","",COUNTIF($B$6:$B2806,$B2806))</f>
        <v>6</v>
      </c>
      <c r="E2806" s="361" t="s">
        <v>2952</v>
      </c>
      <c r="F2806" s="362" t="s">
        <v>2920</v>
      </c>
      <c r="G2806" s="327" t="s">
        <v>155</v>
      </c>
      <c r="H2806" s="327"/>
      <c r="I2806" s="327">
        <v>1</v>
      </c>
      <c r="J2806" s="359"/>
      <c r="K2806" s="327"/>
      <c r="L2806" s="389">
        <v>33329</v>
      </c>
      <c r="M2806" s="371"/>
      <c r="N2806" s="355" t="s">
        <v>153</v>
      </c>
      <c r="O2806" s="345"/>
      <c r="P2806" s="392"/>
      <c r="Q2806" s="327"/>
      <c r="R2806" s="351"/>
      <c r="S2806" s="351"/>
      <c r="T2806" s="351"/>
      <c r="U2806" s="329" t="str">
        <f>IF($N2806=$N$4,IFERROR(INDEX(DanhMuc!$E$154:$E$165,MATCH(MID($B2806,4,2),DanhMuc!$B$154:$B$165,0)),""),"")</f>
        <v/>
      </c>
      <c r="V2806" s="361"/>
      <c r="W2806" s="345"/>
      <c r="X2806" s="329" t="str">
        <f t="shared" si="290"/>
        <v>FI</v>
      </c>
      <c r="Y2806" s="1128" t="s">
        <v>3380</v>
      </c>
      <c r="Z2806" s="1128" t="s">
        <v>3381</v>
      </c>
      <c r="AA2806" s="1128" t="s">
        <v>3384</v>
      </c>
      <c r="AB2806" s="20"/>
      <c r="AC2806" s="73"/>
    </row>
    <row r="2807" spans="1:29">
      <c r="A2807" s="327" t="str">
        <f>IF(AND($B2807&lt;&gt;"",$C2807&lt;&gt;""),MAX($A$1556:A2806)+1,"")</f>
        <v/>
      </c>
      <c r="B2807" s="361" t="s">
        <v>3159</v>
      </c>
      <c r="C2807" s="360"/>
      <c r="D2807" s="327">
        <f>IF($B2807="","",COUNTIF($B$6:$B2807,$B2807))</f>
        <v>7</v>
      </c>
      <c r="E2807" s="361" t="s">
        <v>2918</v>
      </c>
      <c r="F2807" s="362" t="s">
        <v>2919</v>
      </c>
      <c r="G2807" s="327" t="s">
        <v>155</v>
      </c>
      <c r="H2807" s="327"/>
      <c r="I2807" s="327">
        <v>1</v>
      </c>
      <c r="J2807" s="359"/>
      <c r="K2807" s="327"/>
      <c r="L2807" s="389">
        <v>5389</v>
      </c>
      <c r="M2807" s="371"/>
      <c r="N2807" s="355" t="s">
        <v>153</v>
      </c>
      <c r="O2807" s="345"/>
      <c r="P2807" s="392"/>
      <c r="Q2807" s="327"/>
      <c r="R2807" s="351"/>
      <c r="S2807" s="351"/>
      <c r="T2807" s="351"/>
      <c r="U2807" s="329" t="str">
        <f>IF($N2807=$N$4,IFERROR(INDEX(DanhMuc!$E$154:$E$165,MATCH(MID($B2807,4,2),DanhMuc!$B$154:$B$165,0)),""),"")</f>
        <v/>
      </c>
      <c r="V2807" s="361"/>
      <c r="W2807" s="345"/>
      <c r="X2807" s="329" t="str">
        <f t="shared" si="290"/>
        <v>FI</v>
      </c>
      <c r="Y2807" s="1128" t="s">
        <v>3380</v>
      </c>
      <c r="Z2807" s="1128" t="s">
        <v>3381</v>
      </c>
      <c r="AA2807" s="1128" t="s">
        <v>3384</v>
      </c>
      <c r="AB2807" s="20"/>
      <c r="AC2807" s="73"/>
    </row>
    <row r="2808" spans="1:29" ht="25">
      <c r="A2808" s="327" t="str">
        <f>IF(AND($B2808&lt;&gt;"",$C2808&lt;&gt;""),MAX($A$1556:A2805)+1,"")</f>
        <v/>
      </c>
      <c r="B2808" s="361" t="s">
        <v>3159</v>
      </c>
      <c r="C2808" s="360"/>
      <c r="D2808" s="327">
        <f>IF($B2808="","",COUNTIF($B$6:$B2808,$B2808))</f>
        <v>8</v>
      </c>
      <c r="E2808" s="361" t="s">
        <v>2927</v>
      </c>
      <c r="F2808" s="362" t="s">
        <v>2929</v>
      </c>
      <c r="G2808" s="327" t="s">
        <v>155</v>
      </c>
      <c r="H2808" s="327" t="s">
        <v>536</v>
      </c>
      <c r="I2808" s="327">
        <v>1</v>
      </c>
      <c r="J2808" s="359"/>
      <c r="K2808" s="327"/>
      <c r="L2808" s="389">
        <v>76721</v>
      </c>
      <c r="M2808" s="371"/>
      <c r="N2808" s="355" t="s">
        <v>153</v>
      </c>
      <c r="O2808" s="404" t="s">
        <v>2930</v>
      </c>
      <c r="P2808" s="392"/>
      <c r="Q2808" s="327"/>
      <c r="R2808" s="351"/>
      <c r="S2808" s="351"/>
      <c r="T2808" s="351"/>
      <c r="U2808" s="329" t="str">
        <f>IF($N2808=$N$4,IFERROR(INDEX(DanhMuc!$E$154:$E$165,MATCH(MID($B2808,4,2),DanhMuc!$B$154:$B$165,0)),""),"")</f>
        <v/>
      </c>
      <c r="V2808" s="361"/>
      <c r="W2808" s="345"/>
      <c r="X2808" s="329" t="str">
        <f t="shared" si="290"/>
        <v>FI</v>
      </c>
      <c r="Y2808" s="1128" t="s">
        <v>3380</v>
      </c>
      <c r="Z2808" s="1128" t="s">
        <v>3381</v>
      </c>
      <c r="AA2808" s="1128" t="s">
        <v>3384</v>
      </c>
      <c r="AB2808" s="20"/>
      <c r="AC2808" s="73"/>
    </row>
    <row r="2809" spans="1:29">
      <c r="A2809" s="327" t="str">
        <f>IF(AND($B2809&lt;&gt;"",$C2809&lt;&gt;""),MAX($A$1556:A2808)+1,"")</f>
        <v/>
      </c>
      <c r="B2809" s="361" t="s">
        <v>3159</v>
      </c>
      <c r="C2809" s="360"/>
      <c r="D2809" s="327">
        <f>IF($B2809="","",COUNTIF($B$6:$B2809,$B2809))</f>
        <v>9</v>
      </c>
      <c r="E2809" s="361" t="s">
        <v>2915</v>
      </c>
      <c r="F2809" s="362" t="s">
        <v>2917</v>
      </c>
      <c r="G2809" s="327" t="s">
        <v>155</v>
      </c>
      <c r="H2809" s="327" t="s">
        <v>536</v>
      </c>
      <c r="I2809" s="327">
        <v>1</v>
      </c>
      <c r="J2809" s="359"/>
      <c r="K2809" s="327"/>
      <c r="L2809" s="389">
        <v>58599</v>
      </c>
      <c r="M2809" s="371"/>
      <c r="N2809" s="355" t="s">
        <v>153</v>
      </c>
      <c r="O2809" s="404" t="s">
        <v>2930</v>
      </c>
      <c r="P2809" s="392"/>
      <c r="Q2809" s="327"/>
      <c r="R2809" s="351"/>
      <c r="S2809" s="351"/>
      <c r="T2809" s="351"/>
      <c r="U2809" s="329" t="str">
        <f>IF($N2809=$N$4,IFERROR(INDEX(DanhMuc!$E$154:$E$165,MATCH(MID($B2809,4,2),DanhMuc!$B$154:$B$165,0)),""),"")</f>
        <v/>
      </c>
      <c r="V2809" s="361"/>
      <c r="W2809" s="345"/>
      <c r="X2809" s="329" t="str">
        <f t="shared" si="290"/>
        <v>FI</v>
      </c>
      <c r="Y2809" s="1128" t="s">
        <v>3380</v>
      </c>
      <c r="Z2809" s="1128" t="s">
        <v>3381</v>
      </c>
      <c r="AA2809" s="1128" t="s">
        <v>3384</v>
      </c>
      <c r="AB2809" s="20"/>
      <c r="AC2809" s="73"/>
    </row>
    <row r="2810" spans="1:29" ht="25">
      <c r="A2810" s="327" t="str">
        <f>IF(AND($B2810&lt;&gt;"",$C2810&lt;&gt;""),MAX($A$1556:A2807)+1,"")</f>
        <v/>
      </c>
      <c r="B2810" s="361" t="s">
        <v>3159</v>
      </c>
      <c r="C2810" s="360"/>
      <c r="D2810" s="327">
        <f>IF($B2810="","",COUNTIF($B$6:$B2810,$B2810))</f>
        <v>10</v>
      </c>
      <c r="E2810" s="361" t="s">
        <v>2927</v>
      </c>
      <c r="F2810" s="362" t="s">
        <v>2934</v>
      </c>
      <c r="G2810" s="327" t="s">
        <v>155</v>
      </c>
      <c r="H2810" s="327" t="s">
        <v>536</v>
      </c>
      <c r="I2810" s="327">
        <v>1</v>
      </c>
      <c r="J2810" s="359"/>
      <c r="K2810" s="327"/>
      <c r="L2810" s="389">
        <v>76721</v>
      </c>
      <c r="M2810" s="371"/>
      <c r="N2810" s="355" t="s">
        <v>153</v>
      </c>
      <c r="O2810" s="404" t="s">
        <v>2933</v>
      </c>
      <c r="P2810" s="392"/>
      <c r="Q2810" s="327"/>
      <c r="R2810" s="351"/>
      <c r="S2810" s="351"/>
      <c r="T2810" s="351"/>
      <c r="U2810" s="329" t="str">
        <f>IF($N2810=$N$4,IFERROR(INDEX(DanhMuc!$E$154:$E$165,MATCH(MID($B2810,4,2),DanhMuc!$B$154:$B$165,0)),""),"")</f>
        <v/>
      </c>
      <c r="V2810" s="361"/>
      <c r="W2810" s="345"/>
      <c r="X2810" s="329" t="str">
        <f t="shared" si="290"/>
        <v>FI</v>
      </c>
      <c r="Y2810" s="1128" t="s">
        <v>3380</v>
      </c>
      <c r="Z2810" s="1128" t="s">
        <v>3381</v>
      </c>
      <c r="AA2810" s="1128" t="s">
        <v>3384</v>
      </c>
      <c r="AB2810" s="20"/>
      <c r="AC2810" s="73"/>
    </row>
    <row r="2811" spans="1:29">
      <c r="A2811" s="327" t="str">
        <f>IF(AND($B2811&lt;&gt;"",$C2811&lt;&gt;""),MAX($A$1556:A2810)+1,"")</f>
        <v/>
      </c>
      <c r="B2811" s="361" t="s">
        <v>3159</v>
      </c>
      <c r="C2811" s="360"/>
      <c r="D2811" s="327">
        <f>IF($B2811="","",COUNTIF($B$6:$B2811,$B2811))</f>
        <v>11</v>
      </c>
      <c r="E2811" s="361" t="s">
        <v>2915</v>
      </c>
      <c r="F2811" s="362" t="s">
        <v>2932</v>
      </c>
      <c r="G2811" s="327" t="s">
        <v>155</v>
      </c>
      <c r="H2811" s="327" t="s">
        <v>536</v>
      </c>
      <c r="I2811" s="327">
        <v>1</v>
      </c>
      <c r="J2811" s="359"/>
      <c r="K2811" s="327"/>
      <c r="L2811" s="389">
        <v>58599</v>
      </c>
      <c r="M2811" s="371"/>
      <c r="N2811" s="355" t="s">
        <v>153</v>
      </c>
      <c r="O2811" s="404" t="s">
        <v>2933</v>
      </c>
      <c r="P2811" s="392"/>
      <c r="Q2811" s="327"/>
      <c r="R2811" s="351"/>
      <c r="S2811" s="351"/>
      <c r="T2811" s="351"/>
      <c r="U2811" s="329" t="str">
        <f>IF($N2811=$N$4,IFERROR(INDEX(DanhMuc!$E$154:$E$165,MATCH(MID($B2811,4,2),DanhMuc!$B$154:$B$165,0)),""),"")</f>
        <v/>
      </c>
      <c r="V2811" s="361"/>
      <c r="W2811" s="345"/>
      <c r="X2811" s="329" t="str">
        <f t="shared" si="290"/>
        <v>FI</v>
      </c>
      <c r="Y2811" s="1128" t="s">
        <v>3380</v>
      </c>
      <c r="Z2811" s="1128" t="s">
        <v>3381</v>
      </c>
      <c r="AA2811" s="1128" t="s">
        <v>3384</v>
      </c>
      <c r="AB2811" s="20"/>
      <c r="AC2811" s="73"/>
    </row>
    <row r="2812" spans="1:29" ht="25">
      <c r="A2812" s="327" t="str">
        <f>IF(AND($B2812&lt;&gt;"",$C2812&lt;&gt;""),MAX($A$1556:A2807)+1,"")</f>
        <v/>
      </c>
      <c r="B2812" s="361" t="s">
        <v>3159</v>
      </c>
      <c r="C2812" s="360"/>
      <c r="D2812" s="327">
        <f>IF($B2812="","",COUNTIF($B$6:$B2812,$B2812))</f>
        <v>12</v>
      </c>
      <c r="E2812" s="361" t="s">
        <v>2921</v>
      </c>
      <c r="F2812" s="362" t="s">
        <v>210</v>
      </c>
      <c r="G2812" s="327" t="s">
        <v>155</v>
      </c>
      <c r="H2812" s="327"/>
      <c r="I2812" s="327">
        <v>1</v>
      </c>
      <c r="J2812" s="359"/>
      <c r="K2812" s="327"/>
      <c r="L2812" s="389">
        <v>68884</v>
      </c>
      <c r="M2812" s="371"/>
      <c r="N2812" s="355" t="s">
        <v>153</v>
      </c>
      <c r="O2812" s="404" t="s">
        <v>1782</v>
      </c>
      <c r="P2812" s="392"/>
      <c r="Q2812" s="327"/>
      <c r="R2812" s="351"/>
      <c r="S2812" s="351"/>
      <c r="T2812" s="351"/>
      <c r="U2812" s="329" t="str">
        <f>IF($N2812=$N$4,IFERROR(INDEX(DanhMuc!$E$154:$E$165,MATCH(MID($B2812,4,2),DanhMuc!$B$154:$B$165,0)),""),"")</f>
        <v/>
      </c>
      <c r="V2812" s="361"/>
      <c r="W2812" s="345"/>
      <c r="X2812" s="329" t="str">
        <f t="shared" si="290"/>
        <v>FI</v>
      </c>
      <c r="Y2812" s="1128" t="s">
        <v>3380</v>
      </c>
      <c r="Z2812" s="1128" t="s">
        <v>3381</v>
      </c>
      <c r="AA2812" s="1128" t="s">
        <v>3384</v>
      </c>
      <c r="AB2812" s="20"/>
      <c r="AC2812" s="73"/>
    </row>
    <row r="2813" spans="1:29" ht="50">
      <c r="A2813" s="327" t="str">
        <f>IF(AND($B2813&lt;&gt;"",$C2813&lt;&gt;""),MAX($A$1556:A2812)+1,"")</f>
        <v/>
      </c>
      <c r="B2813" s="361" t="s">
        <v>3159</v>
      </c>
      <c r="C2813" s="360"/>
      <c r="D2813" s="327">
        <f>IF($B2813="","",COUNTIF($B$6:$B2813,$B2813))</f>
        <v>13</v>
      </c>
      <c r="E2813" s="403" t="s">
        <v>2973</v>
      </c>
      <c r="F2813" s="403" t="s">
        <v>953</v>
      </c>
      <c r="G2813" s="410" t="s">
        <v>156</v>
      </c>
      <c r="H2813" s="327" t="s">
        <v>536</v>
      </c>
      <c r="I2813" s="411" t="s">
        <v>1337</v>
      </c>
      <c r="J2813" s="404"/>
      <c r="K2813" s="410"/>
      <c r="L2813" s="389">
        <v>49122</v>
      </c>
      <c r="M2813" s="371"/>
      <c r="N2813" s="355" t="s">
        <v>153</v>
      </c>
      <c r="O2813" s="404" t="s">
        <v>1623</v>
      </c>
      <c r="P2813" s="392"/>
      <c r="Q2813" s="327"/>
      <c r="R2813" s="351"/>
      <c r="S2813" s="351"/>
      <c r="T2813" s="351"/>
      <c r="U2813" s="329" t="str">
        <f>IF($N2813=$N$4,IFERROR(INDEX(DanhMuc!$E$154:$E$165,MATCH(MID($B2813,4,2),DanhMuc!$B$154:$B$165,0)),""),"")</f>
        <v/>
      </c>
      <c r="V2813" s="361"/>
      <c r="W2813" s="345"/>
      <c r="X2813" s="329" t="str">
        <f t="shared" si="290"/>
        <v>FI</v>
      </c>
      <c r="Y2813" s="1128" t="s">
        <v>3380</v>
      </c>
      <c r="Z2813" s="1128" t="s">
        <v>3381</v>
      </c>
      <c r="AA2813" s="1128" t="s">
        <v>3384</v>
      </c>
      <c r="AB2813" s="20"/>
      <c r="AC2813" s="73"/>
    </row>
    <row r="2814" spans="1:29" ht="50">
      <c r="A2814" s="327" t="str">
        <f>IF(AND($B2814&lt;&gt;"",$C2814&lt;&gt;""),MAX($A$1556:A2813)+1,"")</f>
        <v/>
      </c>
      <c r="B2814" s="361" t="s">
        <v>3159</v>
      </c>
      <c r="C2814" s="360"/>
      <c r="D2814" s="327">
        <f>IF($B2814="","",COUNTIF($B$6:$B2814,$B2814))</f>
        <v>14</v>
      </c>
      <c r="E2814" s="403" t="s">
        <v>2974</v>
      </c>
      <c r="F2814" s="403" t="s">
        <v>1059</v>
      </c>
      <c r="G2814" s="410" t="s">
        <v>156</v>
      </c>
      <c r="H2814" s="327" t="s">
        <v>536</v>
      </c>
      <c r="I2814" s="411" t="s">
        <v>2853</v>
      </c>
      <c r="J2814" s="404"/>
      <c r="K2814" s="410"/>
      <c r="L2814" s="389">
        <v>59067</v>
      </c>
      <c r="M2814" s="371"/>
      <c r="N2814" s="355" t="s">
        <v>153</v>
      </c>
      <c r="O2814" s="404" t="s">
        <v>1623</v>
      </c>
      <c r="P2814" s="392"/>
      <c r="Q2814" s="327"/>
      <c r="R2814" s="351"/>
      <c r="S2814" s="351"/>
      <c r="T2814" s="351"/>
      <c r="U2814" s="329" t="str">
        <f>IF($N2814=$N$4,IFERROR(INDEX(DanhMuc!$E$154:$E$165,MATCH(MID($B2814,4,2),DanhMuc!$B$154:$B$165,0)),""),"")</f>
        <v/>
      </c>
      <c r="V2814" s="361"/>
      <c r="W2814" s="345"/>
      <c r="X2814" s="329" t="str">
        <f t="shared" si="290"/>
        <v>FI</v>
      </c>
      <c r="Y2814" s="1128" t="s">
        <v>3380</v>
      </c>
      <c r="Z2814" s="1128" t="s">
        <v>3381</v>
      </c>
      <c r="AA2814" s="1128" t="s">
        <v>3384</v>
      </c>
      <c r="AB2814" s="20"/>
      <c r="AC2814" s="73"/>
    </row>
    <row r="2815" spans="1:29" ht="50">
      <c r="A2815" s="327" t="str">
        <f>IF(AND($B2815&lt;&gt;"",$C2815&lt;&gt;""),MAX($A$1556:A2814)+1,"")</f>
        <v/>
      </c>
      <c r="B2815" s="361" t="s">
        <v>3159</v>
      </c>
      <c r="C2815" s="360"/>
      <c r="D2815" s="327">
        <f>IF($B2815="","",COUNTIF($B$6:$B2815,$B2815))</f>
        <v>15</v>
      </c>
      <c r="E2815" s="403" t="s">
        <v>2987</v>
      </c>
      <c r="F2815" s="403" t="s">
        <v>956</v>
      </c>
      <c r="G2815" s="410" t="s">
        <v>156</v>
      </c>
      <c r="H2815" s="327" t="s">
        <v>536</v>
      </c>
      <c r="I2815" s="411" t="s">
        <v>2854</v>
      </c>
      <c r="J2815" s="404"/>
      <c r="K2815" s="410"/>
      <c r="L2815" s="389">
        <v>77078</v>
      </c>
      <c r="M2815" s="371"/>
      <c r="N2815" s="355" t="s">
        <v>153</v>
      </c>
      <c r="O2815" s="404" t="s">
        <v>1623</v>
      </c>
      <c r="P2815" s="392"/>
      <c r="Q2815" s="327"/>
      <c r="R2815" s="351"/>
      <c r="S2815" s="351"/>
      <c r="T2815" s="351"/>
      <c r="U2815" s="329" t="str">
        <f>IF($N2815=$N$4,IFERROR(INDEX(DanhMuc!$E$154:$E$165,MATCH(MID($B2815,4,2),DanhMuc!$B$154:$B$165,0)),""),"")</f>
        <v/>
      </c>
      <c r="V2815" s="361"/>
      <c r="W2815" s="345"/>
      <c r="X2815" s="329" t="str">
        <f t="shared" si="290"/>
        <v>FI</v>
      </c>
      <c r="Y2815" s="1128" t="s">
        <v>3380</v>
      </c>
      <c r="Z2815" s="1128" t="s">
        <v>3381</v>
      </c>
      <c r="AA2815" s="1128" t="s">
        <v>3384</v>
      </c>
      <c r="AB2815" s="20"/>
      <c r="AC2815" s="73"/>
    </row>
    <row r="2816" spans="1:29" ht="50">
      <c r="A2816" s="327" t="str">
        <f>IF(AND($B2816&lt;&gt;"",$C2816&lt;&gt;""),MAX($A$1556:A2815)+1,"")</f>
        <v/>
      </c>
      <c r="B2816" s="361" t="s">
        <v>3159</v>
      </c>
      <c r="C2816" s="360"/>
      <c r="D2816" s="327">
        <f>IF($B2816="","",COUNTIF($B$6:$B2816,$B2816))</f>
        <v>16</v>
      </c>
      <c r="E2816" s="403" t="s">
        <v>2975</v>
      </c>
      <c r="F2816" s="403" t="s">
        <v>183</v>
      </c>
      <c r="G2816" s="410" t="s">
        <v>156</v>
      </c>
      <c r="H2816" s="327" t="s">
        <v>536</v>
      </c>
      <c r="I2816" s="411" t="s">
        <v>2855</v>
      </c>
      <c r="J2816" s="404"/>
      <c r="K2816" s="410"/>
      <c r="L2816" s="415">
        <v>77078</v>
      </c>
      <c r="M2816" s="371"/>
      <c r="N2816" s="355" t="s">
        <v>153</v>
      </c>
      <c r="O2816" s="404" t="s">
        <v>1623</v>
      </c>
      <c r="P2816" s="392"/>
      <c r="Q2816" s="327"/>
      <c r="R2816" s="351"/>
      <c r="S2816" s="351"/>
      <c r="T2816" s="351"/>
      <c r="U2816" s="329" t="str">
        <f>IF($N2816=$N$4,IFERROR(INDEX(DanhMuc!$E$154:$E$165,MATCH(MID($B2816,4,2),DanhMuc!$B$154:$B$165,0)),""),"")</f>
        <v/>
      </c>
      <c r="V2816" s="361"/>
      <c r="W2816" s="345"/>
      <c r="X2816" s="329" t="str">
        <f t="shared" si="290"/>
        <v>FI</v>
      </c>
      <c r="Y2816" s="1128" t="s">
        <v>3380</v>
      </c>
      <c r="Z2816" s="1128" t="s">
        <v>3381</v>
      </c>
      <c r="AA2816" s="1128" t="s">
        <v>3384</v>
      </c>
      <c r="AB2816" s="20"/>
      <c r="AC2816" s="73"/>
    </row>
    <row r="2817" spans="1:29">
      <c r="A2817" s="327" t="str">
        <f>IF(AND($B2817&lt;&gt;"",$C2817&lt;&gt;""),MAX($A$1556:A2813)+1,"")</f>
        <v/>
      </c>
      <c r="B2817" s="361" t="s">
        <v>3159</v>
      </c>
      <c r="C2817" s="360"/>
      <c r="D2817" s="327">
        <f>IF($B2817="","",COUNTIF($B$6:$B2817,$B2817))</f>
        <v>17</v>
      </c>
      <c r="E2817" s="361" t="s">
        <v>2922</v>
      </c>
      <c r="F2817" s="362" t="s">
        <v>981</v>
      </c>
      <c r="G2817" s="327" t="s">
        <v>155</v>
      </c>
      <c r="H2817" s="327" t="s">
        <v>536</v>
      </c>
      <c r="I2817" s="327">
        <v>2</v>
      </c>
      <c r="J2817" s="359"/>
      <c r="K2817" s="327"/>
      <c r="L2817" s="389">
        <v>4514</v>
      </c>
      <c r="M2817" s="371"/>
      <c r="N2817" s="355" t="str">
        <f t="shared" ref="N2817:N2830" si="295">+$N$1555</f>
        <v>PK</v>
      </c>
      <c r="O2817" s="404" t="s">
        <v>1623</v>
      </c>
      <c r="P2817" s="392"/>
      <c r="Q2817" s="327"/>
      <c r="R2817" s="351"/>
      <c r="S2817" s="351"/>
      <c r="T2817" s="351"/>
      <c r="U2817" s="329" t="str">
        <f>IF($N2817=$N$4,IFERROR(INDEX(DanhMuc!$E$154:$E$165,MATCH(MID($B2817,4,2),DanhMuc!$B$154:$B$165,0)),""),"")</f>
        <v/>
      </c>
      <c r="V2817" s="361"/>
      <c r="W2817" s="345"/>
      <c r="X2817" s="329" t="str">
        <f t="shared" si="290"/>
        <v>FI</v>
      </c>
      <c r="Y2817" s="1128" t="s">
        <v>3380</v>
      </c>
      <c r="Z2817" s="1128" t="s">
        <v>3381</v>
      </c>
      <c r="AA2817" s="1128" t="s">
        <v>3384</v>
      </c>
      <c r="AB2817" s="20"/>
      <c r="AC2817" s="73"/>
    </row>
    <row r="2818" spans="1:29">
      <c r="A2818" s="327" t="str">
        <f>IF(AND($B2818&lt;&gt;"",$C2818&lt;&gt;""),MAX($A$1556:A2817)+1,"")</f>
        <v/>
      </c>
      <c r="B2818" s="361" t="s">
        <v>3159</v>
      </c>
      <c r="C2818" s="360"/>
      <c r="D2818" s="327">
        <f>IF($B2818="","",COUNTIF($B$6:$B2818,$B2818))</f>
        <v>18</v>
      </c>
      <c r="E2818" s="361" t="s">
        <v>187</v>
      </c>
      <c r="F2818" s="362" t="s">
        <v>189</v>
      </c>
      <c r="G2818" s="327" t="s">
        <v>155</v>
      </c>
      <c r="H2818" s="327"/>
      <c r="I2818" s="327">
        <v>4</v>
      </c>
      <c r="J2818" s="361"/>
      <c r="K2818" s="327"/>
      <c r="L2818" s="389">
        <v>5000</v>
      </c>
      <c r="M2818" s="371"/>
      <c r="N2818" s="355" t="str">
        <f t="shared" si="295"/>
        <v>PK</v>
      </c>
      <c r="O2818" s="345"/>
      <c r="P2818" s="392"/>
      <c r="Q2818" s="327"/>
      <c r="R2818" s="351"/>
      <c r="S2818" s="351"/>
      <c r="T2818" s="351"/>
      <c r="U2818" s="329" t="str">
        <f>IF($N2818=$N$4,IFERROR(INDEX(DanhMuc!$E$154:$E$165,MATCH(MID($B2818,4,2),DanhMuc!$B$154:$B$165,0)),""),"")</f>
        <v/>
      </c>
      <c r="V2818" s="361"/>
      <c r="W2818" s="345"/>
      <c r="X2818" s="329" t="str">
        <f t="shared" si="290"/>
        <v>FI</v>
      </c>
      <c r="Y2818" s="1128" t="s">
        <v>3380</v>
      </c>
      <c r="Z2818" s="1128" t="s">
        <v>3381</v>
      </c>
      <c r="AA2818" s="1128" t="s">
        <v>3384</v>
      </c>
      <c r="AB2818" s="20"/>
      <c r="AC2818" s="73"/>
    </row>
    <row r="2819" spans="1:29">
      <c r="A2819" s="327" t="str">
        <f>IF(AND($B2819&lt;&gt;"",$C2819&lt;&gt;""),MAX($A$1556:A2818)+1,"")</f>
        <v/>
      </c>
      <c r="B2819" s="361" t="s">
        <v>3159</v>
      </c>
      <c r="C2819" s="360"/>
      <c r="D2819" s="327">
        <f>IF($B2819="","",COUNTIF($B$6:$B2819,$B2819))</f>
        <v>19</v>
      </c>
      <c r="E2819" s="361" t="s">
        <v>172</v>
      </c>
      <c r="F2819" s="362" t="s">
        <v>173</v>
      </c>
      <c r="G2819" s="327" t="s">
        <v>155</v>
      </c>
      <c r="H2819" s="327"/>
      <c r="I2819" s="327">
        <v>1</v>
      </c>
      <c r="J2819" s="361"/>
      <c r="K2819" s="327"/>
      <c r="L2819" s="389">
        <v>6000</v>
      </c>
      <c r="M2819" s="371"/>
      <c r="N2819" s="355" t="str">
        <f t="shared" si="295"/>
        <v>PK</v>
      </c>
      <c r="O2819" s="345"/>
      <c r="P2819" s="392"/>
      <c r="Q2819" s="327"/>
      <c r="R2819" s="351"/>
      <c r="S2819" s="351"/>
      <c r="T2819" s="351"/>
      <c r="U2819" s="329" t="str">
        <f>IF($N2819=$N$4,IFERROR(INDEX(DanhMuc!$E$154:$E$165,MATCH(MID($B2819,4,2),DanhMuc!$B$154:$B$165,0)),""),"")</f>
        <v/>
      </c>
      <c r="V2819" s="361"/>
      <c r="W2819" s="345"/>
      <c r="X2819" s="329" t="str">
        <f t="shared" si="290"/>
        <v>FI</v>
      </c>
      <c r="Y2819" s="1128" t="s">
        <v>3380</v>
      </c>
      <c r="Z2819" s="1128" t="s">
        <v>3381</v>
      </c>
      <c r="AA2819" s="1128" t="s">
        <v>3384</v>
      </c>
      <c r="AB2819" s="20"/>
      <c r="AC2819" s="73"/>
    </row>
    <row r="2820" spans="1:29">
      <c r="A2820" s="327" t="str">
        <f>IF(AND($B2820&lt;&gt;"",$C2820&lt;&gt;""),MAX($A$1556:A2819)+1,"")</f>
        <v/>
      </c>
      <c r="B2820" s="361" t="s">
        <v>3159</v>
      </c>
      <c r="C2820" s="360"/>
      <c r="D2820" s="327">
        <f>IF($B2820="","",COUNTIF($B$6:$B2820,$B2820))</f>
        <v>20</v>
      </c>
      <c r="E2820" s="361" t="s">
        <v>163</v>
      </c>
      <c r="F2820" s="362" t="s">
        <v>164</v>
      </c>
      <c r="G2820" s="327" t="s">
        <v>155</v>
      </c>
      <c r="H2820" s="327"/>
      <c r="I2820" s="327">
        <v>2</v>
      </c>
      <c r="J2820" s="361"/>
      <c r="K2820" s="327"/>
      <c r="L2820" s="389">
        <v>2500</v>
      </c>
      <c r="M2820" s="371"/>
      <c r="N2820" s="355" t="str">
        <f t="shared" si="295"/>
        <v>PK</v>
      </c>
      <c r="O2820" s="345"/>
      <c r="P2820" s="392"/>
      <c r="Q2820" s="327"/>
      <c r="R2820" s="351"/>
      <c r="S2820" s="351"/>
      <c r="T2820" s="351"/>
      <c r="U2820" s="329" t="str">
        <f>IF($N2820=$N$4,IFERROR(INDEX(DanhMuc!$E$154:$E$165,MATCH(MID($B2820,4,2),DanhMuc!$B$154:$B$165,0)),""),"")</f>
        <v/>
      </c>
      <c r="V2820" s="408" t="s">
        <v>342</v>
      </c>
      <c r="W2820" s="345"/>
      <c r="X2820" s="329" t="str">
        <f t="shared" si="290"/>
        <v>FI</v>
      </c>
      <c r="Y2820" s="1128" t="s">
        <v>3380</v>
      </c>
      <c r="Z2820" s="1128" t="s">
        <v>3381</v>
      </c>
      <c r="AA2820" s="1128" t="s">
        <v>3384</v>
      </c>
      <c r="AB2820" s="20"/>
      <c r="AC2820" s="73"/>
    </row>
    <row r="2821" spans="1:29">
      <c r="A2821" s="327" t="str">
        <f>IF(AND($B2821&lt;&gt;"",$C2821&lt;&gt;""),MAX($A$1556:A2820)+1,"")</f>
        <v/>
      </c>
      <c r="B2821" s="361" t="s">
        <v>3159</v>
      </c>
      <c r="C2821" s="360"/>
      <c r="D2821" s="327">
        <f>IF($B2821="","",COUNTIF($B$6:$B2821,$B2821))</f>
        <v>21</v>
      </c>
      <c r="E2821" s="361" t="s">
        <v>2923</v>
      </c>
      <c r="F2821" s="362" t="s">
        <v>186</v>
      </c>
      <c r="G2821" s="327" t="s">
        <v>155</v>
      </c>
      <c r="H2821" s="327" t="s">
        <v>536</v>
      </c>
      <c r="I2821" s="327">
        <v>4</v>
      </c>
      <c r="J2821" s="361"/>
      <c r="K2821" s="327"/>
      <c r="L2821" s="389">
        <v>40308</v>
      </c>
      <c r="M2821" s="371"/>
      <c r="N2821" s="355" t="str">
        <f t="shared" si="295"/>
        <v>PK</v>
      </c>
      <c r="O2821" s="345"/>
      <c r="P2821" s="392"/>
      <c r="Q2821" s="327"/>
      <c r="R2821" s="351"/>
      <c r="S2821" s="351"/>
      <c r="T2821" s="351"/>
      <c r="U2821" s="329" t="str">
        <f>IF($N2821=$N$4,IFERROR(INDEX(DanhMuc!$E$154:$E$165,MATCH(MID($B2821,4,2),DanhMuc!$B$154:$B$165,0)),""),"")</f>
        <v/>
      </c>
      <c r="V2821" s="361"/>
      <c r="W2821" s="345"/>
      <c r="X2821" s="329" t="str">
        <f t="shared" si="290"/>
        <v>FI</v>
      </c>
      <c r="Y2821" s="1128" t="s">
        <v>3380</v>
      </c>
      <c r="Z2821" s="1128" t="s">
        <v>3381</v>
      </c>
      <c r="AA2821" s="1128" t="s">
        <v>3384</v>
      </c>
      <c r="AB2821" s="20"/>
      <c r="AC2821" s="73"/>
    </row>
    <row r="2822" spans="1:29">
      <c r="A2822" s="327" t="str">
        <f>IF(AND($B2822&lt;&gt;"",$C2822&lt;&gt;""),MAX($A$1556:A2821)+1,"")</f>
        <v/>
      </c>
      <c r="B2822" s="361" t="s">
        <v>3159</v>
      </c>
      <c r="C2822" s="360"/>
      <c r="D2822" s="327">
        <f>IF($B2822="","",COUNTIF($B$6:$B2822,$B2822))</f>
        <v>22</v>
      </c>
      <c r="E2822" s="361" t="s">
        <v>165</v>
      </c>
      <c r="F2822" s="362" t="s">
        <v>166</v>
      </c>
      <c r="G2822" s="327" t="s">
        <v>155</v>
      </c>
      <c r="H2822" s="327"/>
      <c r="I2822" s="327">
        <v>2</v>
      </c>
      <c r="J2822" s="361"/>
      <c r="K2822" s="327"/>
      <c r="L2822" s="389">
        <v>1700</v>
      </c>
      <c r="M2822" s="371"/>
      <c r="N2822" s="355" t="str">
        <f t="shared" si="295"/>
        <v>PK</v>
      </c>
      <c r="O2822" s="345"/>
      <c r="P2822" s="392"/>
      <c r="Q2822" s="327"/>
      <c r="R2822" s="351"/>
      <c r="S2822" s="351"/>
      <c r="T2822" s="351"/>
      <c r="U2822" s="329" t="str">
        <f>IF($N2822=$N$4,IFERROR(INDEX(DanhMuc!$E$154:$E$165,MATCH(MID($B2822,4,2),DanhMuc!$B$154:$B$165,0)),""),"")</f>
        <v/>
      </c>
      <c r="V2822" s="361"/>
      <c r="W2822" s="345"/>
      <c r="X2822" s="329" t="str">
        <f t="shared" si="290"/>
        <v>FI</v>
      </c>
      <c r="Y2822" s="1128" t="s">
        <v>3380</v>
      </c>
      <c r="Z2822" s="1128" t="s">
        <v>3381</v>
      </c>
      <c r="AA2822" s="1128" t="s">
        <v>3384</v>
      </c>
      <c r="AB2822" s="20"/>
      <c r="AC2822" s="73"/>
    </row>
    <row r="2823" spans="1:29">
      <c r="A2823" s="327" t="str">
        <f>IF(AND($B2823&lt;&gt;"",$C2823&lt;&gt;""),MAX($A$1556:A2822)+1,"")</f>
        <v/>
      </c>
      <c r="B2823" s="361" t="s">
        <v>3159</v>
      </c>
      <c r="C2823" s="360"/>
      <c r="D2823" s="327">
        <f>IF($B2823="","",COUNTIF($B$6:$B2823,$B2823))</f>
        <v>23</v>
      </c>
      <c r="E2823" s="361" t="s">
        <v>167</v>
      </c>
      <c r="F2823" s="362" t="s">
        <v>168</v>
      </c>
      <c r="G2823" s="327" t="s">
        <v>155</v>
      </c>
      <c r="H2823" s="327"/>
      <c r="I2823" s="327">
        <v>2</v>
      </c>
      <c r="J2823" s="361"/>
      <c r="K2823" s="327"/>
      <c r="L2823" s="389">
        <v>1700</v>
      </c>
      <c r="M2823" s="371"/>
      <c r="N2823" s="355" t="str">
        <f t="shared" si="295"/>
        <v>PK</v>
      </c>
      <c r="O2823" s="345"/>
      <c r="P2823" s="392"/>
      <c r="Q2823" s="327"/>
      <c r="R2823" s="351"/>
      <c r="S2823" s="351"/>
      <c r="T2823" s="351"/>
      <c r="U2823" s="329" t="str">
        <f>IF($N2823=$N$4,IFERROR(INDEX(DanhMuc!$E$154:$E$165,MATCH(MID($B2823,4,2),DanhMuc!$B$154:$B$165,0)),""),"")</f>
        <v/>
      </c>
      <c r="V2823" s="361"/>
      <c r="W2823" s="345"/>
      <c r="X2823" s="329" t="str">
        <f t="shared" si="290"/>
        <v>FI</v>
      </c>
      <c r="Y2823" s="1128" t="s">
        <v>3380</v>
      </c>
      <c r="Z2823" s="1128" t="s">
        <v>3381</v>
      </c>
      <c r="AA2823" s="1128" t="s">
        <v>3384</v>
      </c>
      <c r="AB2823" s="20"/>
      <c r="AC2823" s="73"/>
    </row>
    <row r="2824" spans="1:29">
      <c r="A2824" s="327" t="str">
        <f>IF(AND($B2824&lt;&gt;"",$C2824&lt;&gt;""),MAX($A$1556:A2823)+1,"")</f>
        <v/>
      </c>
      <c r="B2824" s="361" t="s">
        <v>3159</v>
      </c>
      <c r="C2824" s="360"/>
      <c r="D2824" s="327">
        <f>IF($B2824="","",COUNTIF($B$6:$B2824,$B2824))</f>
        <v>24</v>
      </c>
      <c r="E2824" s="361" t="s">
        <v>169</v>
      </c>
      <c r="F2824" s="362" t="s">
        <v>170</v>
      </c>
      <c r="G2824" s="327" t="s">
        <v>155</v>
      </c>
      <c r="H2824" s="327"/>
      <c r="I2824" s="327">
        <v>2</v>
      </c>
      <c r="J2824" s="361"/>
      <c r="K2824" s="327"/>
      <c r="L2824" s="389">
        <v>1700</v>
      </c>
      <c r="M2824" s="371"/>
      <c r="N2824" s="355" t="str">
        <f t="shared" si="295"/>
        <v>PK</v>
      </c>
      <c r="O2824" s="345"/>
      <c r="P2824" s="392"/>
      <c r="Q2824" s="327"/>
      <c r="R2824" s="351"/>
      <c r="S2824" s="351"/>
      <c r="T2824" s="351"/>
      <c r="U2824" s="329" t="str">
        <f>IF($N2824=$N$4,IFERROR(INDEX(DanhMuc!$E$154:$E$165,MATCH(MID($B2824,4,2),DanhMuc!$B$154:$B$165,0)),""),"")</f>
        <v/>
      </c>
      <c r="V2824" s="361"/>
      <c r="W2824" s="345"/>
      <c r="X2824" s="329" t="str">
        <f t="shared" si="290"/>
        <v>FI</v>
      </c>
      <c r="Y2824" s="1128" t="s">
        <v>3380</v>
      </c>
      <c r="Z2824" s="1128" t="s">
        <v>3381</v>
      </c>
      <c r="AA2824" s="1128" t="s">
        <v>3384</v>
      </c>
      <c r="AB2824" s="20"/>
      <c r="AC2824" s="73"/>
    </row>
    <row r="2825" spans="1:29">
      <c r="A2825" s="327" t="str">
        <f>IF(AND($B2825&lt;&gt;"",$C2825&lt;&gt;""),MAX($A$1556:A2824)+1,"")</f>
        <v/>
      </c>
      <c r="B2825" s="361" t="s">
        <v>3159</v>
      </c>
      <c r="C2825" s="360"/>
      <c r="D2825" s="327">
        <f>IF($B2825="","",COUNTIF($B$6:$B2825,$B2825))</f>
        <v>25</v>
      </c>
      <c r="E2825" s="361" t="s">
        <v>171</v>
      </c>
      <c r="F2825" s="362" t="s">
        <v>291</v>
      </c>
      <c r="G2825" s="327" t="s">
        <v>155</v>
      </c>
      <c r="H2825" s="327"/>
      <c r="I2825" s="327">
        <v>2</v>
      </c>
      <c r="J2825" s="361"/>
      <c r="K2825" s="327"/>
      <c r="L2825" s="389">
        <v>1700</v>
      </c>
      <c r="M2825" s="371"/>
      <c r="N2825" s="355" t="str">
        <f t="shared" si="295"/>
        <v>PK</v>
      </c>
      <c r="O2825" s="345"/>
      <c r="P2825" s="392"/>
      <c r="Q2825" s="327"/>
      <c r="R2825" s="351"/>
      <c r="S2825" s="351"/>
      <c r="T2825" s="351"/>
      <c r="U2825" s="329" t="str">
        <f>IF($N2825=$N$4,IFERROR(INDEX(DanhMuc!$E$154:$E$165,MATCH(MID($B2825,4,2),DanhMuc!$B$154:$B$165,0)),""),"")</f>
        <v/>
      </c>
      <c r="V2825" s="361"/>
      <c r="W2825" s="345"/>
      <c r="X2825" s="329" t="str">
        <f t="shared" si="290"/>
        <v>FI</v>
      </c>
      <c r="Y2825" s="1128" t="s">
        <v>3380</v>
      </c>
      <c r="Z2825" s="1128" t="s">
        <v>3381</v>
      </c>
      <c r="AA2825" s="1128" t="s">
        <v>3384</v>
      </c>
      <c r="AB2825" s="20"/>
      <c r="AC2825" s="73"/>
    </row>
    <row r="2826" spans="1:29" ht="39">
      <c r="A2826" s="327">
        <f>IF(AND($B2826&lt;&gt;"",$C2826&lt;&gt;""),MAX($A$1556:A2800)+1,"")</f>
        <v>149</v>
      </c>
      <c r="B2826" s="359" t="s">
        <v>2873</v>
      </c>
      <c r="C2826" s="360" t="s">
        <v>1533</v>
      </c>
      <c r="D2826" s="327">
        <f>IF($B2826="","",COUNTIF($B$6:$B2826,$B2826))</f>
        <v>1</v>
      </c>
      <c r="E2826" s="362" t="s">
        <v>2914</v>
      </c>
      <c r="F2826" s="362" t="s">
        <v>2916</v>
      </c>
      <c r="G2826" s="327" t="s">
        <v>155</v>
      </c>
      <c r="H2826" s="327"/>
      <c r="I2826" s="327">
        <v>1</v>
      </c>
      <c r="J2826" s="345"/>
      <c r="K2826" s="327"/>
      <c r="L2826" s="389">
        <v>126387</v>
      </c>
      <c r="M2826" s="371"/>
      <c r="N2826" s="355" t="str">
        <f t="shared" si="295"/>
        <v>PK</v>
      </c>
      <c r="O2826" s="404" t="s">
        <v>2924</v>
      </c>
      <c r="P2826" s="392"/>
      <c r="Q2826" s="327"/>
      <c r="R2826" s="351"/>
      <c r="S2826" s="351"/>
      <c r="T2826" s="351"/>
      <c r="U2826" s="329" t="str">
        <f>IF($N2826=$N$4,IFERROR(INDEX(DanhMuc!$E$154:$E$165,MATCH(MID($B2826,4,2),DanhMuc!$B$154:$B$165,0)),""),"")</f>
        <v/>
      </c>
      <c r="V2826" s="361"/>
      <c r="W2826" s="345"/>
      <c r="X2826" s="329" t="str">
        <f t="shared" si="290"/>
        <v>DR</v>
      </c>
      <c r="Y2826" s="1128" t="s">
        <v>3380</v>
      </c>
      <c r="Z2826" s="1128" t="s">
        <v>3381</v>
      </c>
      <c r="AA2826" s="1128" t="s">
        <v>3384</v>
      </c>
      <c r="AB2826" s="20"/>
      <c r="AC2826" s="73"/>
    </row>
    <row r="2827" spans="1:29">
      <c r="A2827" s="327" t="str">
        <f>IF(AND($B2827&lt;&gt;"",$C2827&lt;&gt;""),MAX($A$1556:A2801)+1,"")</f>
        <v/>
      </c>
      <c r="B2827" s="361" t="s">
        <v>2873</v>
      </c>
      <c r="C2827" s="360"/>
      <c r="D2827" s="327">
        <f>IF($B2827="","",COUNTIF($B$6:$B2827,$B2827))</f>
        <v>2</v>
      </c>
      <c r="E2827" s="361" t="s">
        <v>2915</v>
      </c>
      <c r="F2827" s="362" t="s">
        <v>2917</v>
      </c>
      <c r="G2827" s="327" t="s">
        <v>155</v>
      </c>
      <c r="H2827" s="327"/>
      <c r="I2827" s="327">
        <v>1</v>
      </c>
      <c r="J2827" s="345"/>
      <c r="K2827" s="327"/>
      <c r="L2827" s="389">
        <v>58599</v>
      </c>
      <c r="M2827" s="371"/>
      <c r="N2827" s="355" t="str">
        <f t="shared" si="295"/>
        <v>PK</v>
      </c>
      <c r="O2827" s="404" t="s">
        <v>2924</v>
      </c>
      <c r="P2827" s="392"/>
      <c r="Q2827" s="327"/>
      <c r="R2827" s="351"/>
      <c r="S2827" s="351"/>
      <c r="T2827" s="351"/>
      <c r="U2827" s="329" t="str">
        <f>IF($N2827=$N$4,IFERROR(INDEX(DanhMuc!$E$154:$E$165,MATCH(MID($B2827,4,2),DanhMuc!$B$154:$B$165,0)),""),"")</f>
        <v/>
      </c>
      <c r="V2827" s="361"/>
      <c r="W2827" s="345"/>
      <c r="X2827" s="329" t="str">
        <f t="shared" si="290"/>
        <v>DR</v>
      </c>
      <c r="Y2827" s="1128" t="s">
        <v>3380</v>
      </c>
      <c r="Z2827" s="1128" t="s">
        <v>3381</v>
      </c>
      <c r="AA2827" s="1128" t="s">
        <v>3384</v>
      </c>
      <c r="AB2827" s="20"/>
      <c r="AC2827" s="73"/>
    </row>
    <row r="2828" spans="1:29" ht="37.5">
      <c r="A2828" s="327" t="str">
        <f>IF(AND($B2828&lt;&gt;"",$C2828&lt;&gt;""),MAX($A$1556:A2826)+1,"")</f>
        <v/>
      </c>
      <c r="B2828" s="361" t="s">
        <v>2873</v>
      </c>
      <c r="C2828" s="360"/>
      <c r="D2828" s="327">
        <f>IF($B2828="","",COUNTIF($B$6:$B2828,$B2828))</f>
        <v>3</v>
      </c>
      <c r="E2828" s="362" t="s">
        <v>2914</v>
      </c>
      <c r="F2828" s="362" t="s">
        <v>2931</v>
      </c>
      <c r="G2828" s="327" t="s">
        <v>155</v>
      </c>
      <c r="H2828" s="327"/>
      <c r="I2828" s="327">
        <v>1</v>
      </c>
      <c r="J2828" s="345"/>
      <c r="K2828" s="327"/>
      <c r="L2828" s="389">
        <v>126387</v>
      </c>
      <c r="M2828" s="371"/>
      <c r="N2828" s="355" t="str">
        <f t="shared" si="295"/>
        <v>PK</v>
      </c>
      <c r="O2828" s="404" t="s">
        <v>2925</v>
      </c>
      <c r="P2828" s="392"/>
      <c r="Q2828" s="327"/>
      <c r="R2828" s="351"/>
      <c r="S2828" s="351"/>
      <c r="T2828" s="351"/>
      <c r="U2828" s="329" t="str">
        <f>IF($N2828=$N$4,IFERROR(INDEX(DanhMuc!$E$154:$E$165,MATCH(MID($B2828,4,2),DanhMuc!$B$154:$B$165,0)),""),"")</f>
        <v/>
      </c>
      <c r="V2828" s="361"/>
      <c r="W2828" s="345"/>
      <c r="X2828" s="329" t="str">
        <f t="shared" si="290"/>
        <v>DR</v>
      </c>
      <c r="Y2828" s="1128" t="s">
        <v>3380</v>
      </c>
      <c r="Z2828" s="1128" t="s">
        <v>3381</v>
      </c>
      <c r="AA2828" s="1128" t="s">
        <v>3384</v>
      </c>
      <c r="AB2828" s="20"/>
      <c r="AC2828" s="73"/>
    </row>
    <row r="2829" spans="1:29">
      <c r="A2829" s="327" t="str">
        <f>IF(AND($B2829&lt;&gt;"",$C2829&lt;&gt;""),MAX($A$1556:A2827)+1,"")</f>
        <v/>
      </c>
      <c r="B2829" s="361" t="s">
        <v>2873</v>
      </c>
      <c r="C2829" s="360"/>
      <c r="D2829" s="327">
        <f>IF($B2829="","",COUNTIF($B$6:$B2829,$B2829))</f>
        <v>4</v>
      </c>
      <c r="E2829" s="361" t="s">
        <v>2915</v>
      </c>
      <c r="F2829" s="362" t="s">
        <v>2932</v>
      </c>
      <c r="G2829" s="327" t="s">
        <v>155</v>
      </c>
      <c r="H2829" s="327"/>
      <c r="I2829" s="327">
        <v>1</v>
      </c>
      <c r="J2829" s="345"/>
      <c r="K2829" s="327"/>
      <c r="L2829" s="389">
        <v>58599</v>
      </c>
      <c r="M2829" s="371"/>
      <c r="N2829" s="355" t="str">
        <f t="shared" si="295"/>
        <v>PK</v>
      </c>
      <c r="O2829" s="404" t="s">
        <v>2925</v>
      </c>
      <c r="P2829" s="392"/>
      <c r="Q2829" s="327"/>
      <c r="R2829" s="351"/>
      <c r="S2829" s="351"/>
      <c r="T2829" s="351"/>
      <c r="U2829" s="329" t="str">
        <f>IF($N2829=$N$4,IFERROR(INDEX(DanhMuc!$E$154:$E$165,MATCH(MID($B2829,4,2),DanhMuc!$B$154:$B$165,0)),""),"")</f>
        <v/>
      </c>
      <c r="V2829" s="361"/>
      <c r="W2829" s="345"/>
      <c r="X2829" s="329" t="str">
        <f t="shared" si="290"/>
        <v>DR</v>
      </c>
      <c r="Y2829" s="1128" t="s">
        <v>3380</v>
      </c>
      <c r="Z2829" s="1128" t="s">
        <v>3381</v>
      </c>
      <c r="AA2829" s="1128" t="s">
        <v>3384</v>
      </c>
      <c r="AB2829" s="20"/>
      <c r="AC2829" s="73"/>
    </row>
    <row r="2830" spans="1:29">
      <c r="A2830" s="327" t="str">
        <f>IF(AND($B2830&lt;&gt;"",$C2830&lt;&gt;""),MAX($A$1556:A2828)+1,"")</f>
        <v/>
      </c>
      <c r="B2830" s="361" t="s">
        <v>2873</v>
      </c>
      <c r="C2830" s="360"/>
      <c r="D2830" s="327">
        <f>IF($B2830="","",COUNTIF($B$6:$B2830,$B2830))</f>
        <v>5</v>
      </c>
      <c r="E2830" s="361" t="s">
        <v>2918</v>
      </c>
      <c r="F2830" s="362" t="s">
        <v>2919</v>
      </c>
      <c r="G2830" s="327" t="s">
        <v>155</v>
      </c>
      <c r="H2830" s="327"/>
      <c r="I2830" s="327">
        <v>1</v>
      </c>
      <c r="J2830" s="345"/>
      <c r="K2830" s="327"/>
      <c r="L2830" s="389">
        <v>5389</v>
      </c>
      <c r="M2830" s="371"/>
      <c r="N2830" s="355" t="str">
        <f t="shared" si="295"/>
        <v>PK</v>
      </c>
      <c r="O2830" s="404" t="s">
        <v>2926</v>
      </c>
      <c r="P2830" s="392"/>
      <c r="Q2830" s="327"/>
      <c r="R2830" s="351"/>
      <c r="S2830" s="351"/>
      <c r="T2830" s="351"/>
      <c r="U2830" s="329" t="str">
        <f>IF($N2830=$N$4,IFERROR(INDEX(DanhMuc!$E$154:$E$165,MATCH(MID($B2830,4,2),DanhMuc!$B$154:$B$165,0)),""),"")</f>
        <v/>
      </c>
      <c r="V2830" s="361"/>
      <c r="W2830" s="345"/>
      <c r="X2830" s="329" t="str">
        <f t="shared" si="290"/>
        <v>DR</v>
      </c>
      <c r="Y2830" s="1128" t="s">
        <v>3380</v>
      </c>
      <c r="Z2830" s="1128" t="s">
        <v>3381</v>
      </c>
      <c r="AA2830" s="1128" t="s">
        <v>3384</v>
      </c>
      <c r="AB2830" s="20"/>
      <c r="AC2830" s="73"/>
    </row>
    <row r="2831" spans="1:29">
      <c r="A2831" s="327" t="str">
        <f>IF(AND($B2831&lt;&gt;"",$C2831&lt;&gt;""),MAX($A$1556:A2828)+1,"")</f>
        <v/>
      </c>
      <c r="B2831" s="361" t="s">
        <v>2873</v>
      </c>
      <c r="C2831" s="360"/>
      <c r="D2831" s="327">
        <f>IF($B2831="","",COUNTIF($B$6:$B2831,$B2831))</f>
        <v>6</v>
      </c>
      <c r="E2831" s="361" t="s">
        <v>2952</v>
      </c>
      <c r="F2831" s="362" t="s">
        <v>2920</v>
      </c>
      <c r="G2831" s="327" t="s">
        <v>155</v>
      </c>
      <c r="H2831" s="327"/>
      <c r="I2831" s="327">
        <v>1</v>
      </c>
      <c r="J2831" s="359"/>
      <c r="K2831" s="327"/>
      <c r="L2831" s="389">
        <v>33329</v>
      </c>
      <c r="M2831" s="371"/>
      <c r="N2831" s="355" t="s">
        <v>153</v>
      </c>
      <c r="O2831" s="345"/>
      <c r="P2831" s="392"/>
      <c r="Q2831" s="327"/>
      <c r="R2831" s="351"/>
      <c r="S2831" s="351"/>
      <c r="T2831" s="351"/>
      <c r="U2831" s="329" t="str">
        <f>IF($N2831=$N$4,IFERROR(INDEX(DanhMuc!$E$154:$E$165,MATCH(MID($B2831,4,2),DanhMuc!$B$154:$B$165,0)),""),"")</f>
        <v/>
      </c>
      <c r="V2831" s="361"/>
      <c r="W2831" s="345"/>
      <c r="X2831" s="329" t="str">
        <f t="shared" si="290"/>
        <v>DR</v>
      </c>
      <c r="Y2831" s="1128" t="s">
        <v>3380</v>
      </c>
      <c r="Z2831" s="1128" t="s">
        <v>3381</v>
      </c>
      <c r="AA2831" s="1128" t="s">
        <v>3384</v>
      </c>
      <c r="AB2831" s="20"/>
      <c r="AC2831" s="73"/>
    </row>
    <row r="2832" spans="1:29">
      <c r="A2832" s="327" t="str">
        <f>IF(AND($B2832&lt;&gt;"",$C2832&lt;&gt;""),MAX($A$1556:A2831)+1,"")</f>
        <v/>
      </c>
      <c r="B2832" s="361" t="s">
        <v>2873</v>
      </c>
      <c r="C2832" s="360"/>
      <c r="D2832" s="327">
        <f>IF($B2832="","",COUNTIF($B$6:$B2832,$B2832))</f>
        <v>7</v>
      </c>
      <c r="E2832" s="361" t="s">
        <v>2918</v>
      </c>
      <c r="F2832" s="362" t="s">
        <v>2919</v>
      </c>
      <c r="G2832" s="327" t="s">
        <v>155</v>
      </c>
      <c r="H2832" s="327"/>
      <c r="I2832" s="327">
        <v>1</v>
      </c>
      <c r="J2832" s="359"/>
      <c r="K2832" s="327"/>
      <c r="L2832" s="389">
        <v>5389</v>
      </c>
      <c r="M2832" s="371"/>
      <c r="N2832" s="355" t="s">
        <v>153</v>
      </c>
      <c r="O2832" s="345"/>
      <c r="P2832" s="392"/>
      <c r="Q2832" s="327"/>
      <c r="R2832" s="351"/>
      <c r="S2832" s="351"/>
      <c r="T2832" s="351"/>
      <c r="U2832" s="329" t="str">
        <f>IF($N2832=$N$4,IFERROR(INDEX(DanhMuc!$E$154:$E$165,MATCH(MID($B2832,4,2),DanhMuc!$B$154:$B$165,0)),""),"")</f>
        <v/>
      </c>
      <c r="V2832" s="361"/>
      <c r="W2832" s="345"/>
      <c r="X2832" s="329" t="str">
        <f t="shared" si="290"/>
        <v>DR</v>
      </c>
      <c r="Y2832" s="1128" t="s">
        <v>3380</v>
      </c>
      <c r="Z2832" s="1128" t="s">
        <v>3381</v>
      </c>
      <c r="AA2832" s="1128" t="s">
        <v>3384</v>
      </c>
      <c r="AB2832" s="20"/>
      <c r="AC2832" s="73"/>
    </row>
    <row r="2833" spans="1:29" ht="25">
      <c r="A2833" s="327" t="str">
        <f>IF(AND($B2833&lt;&gt;"",$C2833&lt;&gt;""),MAX($A$1556:A2830)+1,"")</f>
        <v/>
      </c>
      <c r="B2833" s="361" t="s">
        <v>2873</v>
      </c>
      <c r="C2833" s="360"/>
      <c r="D2833" s="327">
        <f>IF($B2833="","",COUNTIF($B$6:$B2833,$B2833))</f>
        <v>8</v>
      </c>
      <c r="E2833" s="361" t="s">
        <v>2927</v>
      </c>
      <c r="F2833" s="362" t="s">
        <v>2929</v>
      </c>
      <c r="G2833" s="327" t="s">
        <v>155</v>
      </c>
      <c r="H2833" s="327" t="s">
        <v>536</v>
      </c>
      <c r="I2833" s="327">
        <v>1</v>
      </c>
      <c r="J2833" s="359"/>
      <c r="K2833" s="327"/>
      <c r="L2833" s="389">
        <v>76721</v>
      </c>
      <c r="M2833" s="371"/>
      <c r="N2833" s="355" t="s">
        <v>153</v>
      </c>
      <c r="O2833" s="404" t="s">
        <v>2930</v>
      </c>
      <c r="P2833" s="392"/>
      <c r="Q2833" s="327"/>
      <c r="R2833" s="351"/>
      <c r="S2833" s="351"/>
      <c r="T2833" s="351"/>
      <c r="U2833" s="329" t="str">
        <f>IF($N2833=$N$4,IFERROR(INDEX(DanhMuc!$E$154:$E$165,MATCH(MID($B2833,4,2),DanhMuc!$B$154:$B$165,0)),""),"")</f>
        <v/>
      </c>
      <c r="V2833" s="361"/>
      <c r="W2833" s="345"/>
      <c r="X2833" s="329" t="str">
        <f t="shared" si="290"/>
        <v>DR</v>
      </c>
      <c r="Y2833" s="1128" t="s">
        <v>3380</v>
      </c>
      <c r="Z2833" s="1128" t="s">
        <v>3381</v>
      </c>
      <c r="AA2833" s="1128" t="s">
        <v>3384</v>
      </c>
      <c r="AB2833" s="20"/>
      <c r="AC2833" s="73"/>
    </row>
    <row r="2834" spans="1:29">
      <c r="A2834" s="327" t="str">
        <f>IF(AND($B2834&lt;&gt;"",$C2834&lt;&gt;""),MAX($A$1556:A2833)+1,"")</f>
        <v/>
      </c>
      <c r="B2834" s="361" t="s">
        <v>2873</v>
      </c>
      <c r="C2834" s="360"/>
      <c r="D2834" s="327">
        <f>IF($B2834="","",COUNTIF($B$6:$B2834,$B2834))</f>
        <v>9</v>
      </c>
      <c r="E2834" s="361" t="s">
        <v>2915</v>
      </c>
      <c r="F2834" s="362" t="s">
        <v>2917</v>
      </c>
      <c r="G2834" s="327" t="s">
        <v>155</v>
      </c>
      <c r="H2834" s="327" t="s">
        <v>536</v>
      </c>
      <c r="I2834" s="327">
        <v>1</v>
      </c>
      <c r="J2834" s="359"/>
      <c r="K2834" s="327"/>
      <c r="L2834" s="389">
        <v>58599</v>
      </c>
      <c r="M2834" s="371"/>
      <c r="N2834" s="355" t="s">
        <v>153</v>
      </c>
      <c r="O2834" s="404" t="s">
        <v>2930</v>
      </c>
      <c r="P2834" s="392"/>
      <c r="Q2834" s="327"/>
      <c r="R2834" s="351"/>
      <c r="S2834" s="351"/>
      <c r="T2834" s="351"/>
      <c r="U2834" s="329" t="str">
        <f>IF($N2834=$N$4,IFERROR(INDEX(DanhMuc!$E$154:$E$165,MATCH(MID($B2834,4,2),DanhMuc!$B$154:$B$165,0)),""),"")</f>
        <v/>
      </c>
      <c r="V2834" s="361"/>
      <c r="W2834" s="345"/>
      <c r="X2834" s="329" t="str">
        <f t="shared" si="290"/>
        <v>DR</v>
      </c>
      <c r="Y2834" s="1128" t="s">
        <v>3380</v>
      </c>
      <c r="Z2834" s="1128" t="s">
        <v>3381</v>
      </c>
      <c r="AA2834" s="1128" t="s">
        <v>3384</v>
      </c>
      <c r="AB2834" s="20"/>
      <c r="AC2834" s="73"/>
    </row>
    <row r="2835" spans="1:29" ht="25">
      <c r="A2835" s="327" t="str">
        <f>IF(AND($B2835&lt;&gt;"",$C2835&lt;&gt;""),MAX($A$1556:A2832)+1,"")</f>
        <v/>
      </c>
      <c r="B2835" s="361" t="s">
        <v>2873</v>
      </c>
      <c r="C2835" s="360"/>
      <c r="D2835" s="327">
        <f>IF($B2835="","",COUNTIF($B$6:$B2835,$B2835))</f>
        <v>10</v>
      </c>
      <c r="E2835" s="361" t="s">
        <v>2927</v>
      </c>
      <c r="F2835" s="362" t="s">
        <v>2934</v>
      </c>
      <c r="G2835" s="327" t="s">
        <v>155</v>
      </c>
      <c r="H2835" s="327" t="s">
        <v>536</v>
      </c>
      <c r="I2835" s="327">
        <v>1</v>
      </c>
      <c r="J2835" s="359"/>
      <c r="K2835" s="327"/>
      <c r="L2835" s="389">
        <v>76721</v>
      </c>
      <c r="M2835" s="371"/>
      <c r="N2835" s="355" t="s">
        <v>153</v>
      </c>
      <c r="O2835" s="404" t="s">
        <v>2933</v>
      </c>
      <c r="P2835" s="392"/>
      <c r="Q2835" s="327"/>
      <c r="R2835" s="351"/>
      <c r="S2835" s="351"/>
      <c r="T2835" s="351"/>
      <c r="U2835" s="329" t="str">
        <f>IF($N2835=$N$4,IFERROR(INDEX(DanhMuc!$E$154:$E$165,MATCH(MID($B2835,4,2),DanhMuc!$B$154:$B$165,0)),""),"")</f>
        <v/>
      </c>
      <c r="V2835" s="361"/>
      <c r="W2835" s="345"/>
      <c r="X2835" s="329" t="str">
        <f t="shared" si="290"/>
        <v>DR</v>
      </c>
      <c r="Y2835" s="1128" t="s">
        <v>3380</v>
      </c>
      <c r="Z2835" s="1128" t="s">
        <v>3381</v>
      </c>
      <c r="AA2835" s="1128" t="s">
        <v>3384</v>
      </c>
      <c r="AB2835" s="20"/>
      <c r="AC2835" s="73"/>
    </row>
    <row r="2836" spans="1:29">
      <c r="A2836" s="327" t="str">
        <f>IF(AND($B2836&lt;&gt;"",$C2836&lt;&gt;""),MAX($A$1556:A2835)+1,"")</f>
        <v/>
      </c>
      <c r="B2836" s="361" t="s">
        <v>2873</v>
      </c>
      <c r="C2836" s="360"/>
      <c r="D2836" s="327">
        <f>IF($B2836="","",COUNTIF($B$6:$B2836,$B2836))</f>
        <v>11</v>
      </c>
      <c r="E2836" s="361" t="s">
        <v>2915</v>
      </c>
      <c r="F2836" s="362" t="s">
        <v>2932</v>
      </c>
      <c r="G2836" s="327" t="s">
        <v>155</v>
      </c>
      <c r="H2836" s="327" t="s">
        <v>536</v>
      </c>
      <c r="I2836" s="327">
        <v>1</v>
      </c>
      <c r="J2836" s="359"/>
      <c r="K2836" s="327"/>
      <c r="L2836" s="389">
        <v>58599</v>
      </c>
      <c r="M2836" s="371"/>
      <c r="N2836" s="355" t="s">
        <v>153</v>
      </c>
      <c r="O2836" s="404" t="s">
        <v>2933</v>
      </c>
      <c r="P2836" s="392"/>
      <c r="Q2836" s="327"/>
      <c r="R2836" s="351"/>
      <c r="S2836" s="351"/>
      <c r="T2836" s="351"/>
      <c r="U2836" s="329" t="str">
        <f>IF($N2836=$N$4,IFERROR(INDEX(DanhMuc!$E$154:$E$165,MATCH(MID($B2836,4,2),DanhMuc!$B$154:$B$165,0)),""),"")</f>
        <v/>
      </c>
      <c r="V2836" s="361"/>
      <c r="W2836" s="345"/>
      <c r="X2836" s="329" t="str">
        <f t="shared" si="290"/>
        <v>DR</v>
      </c>
      <c r="Y2836" s="1128" t="s">
        <v>3380</v>
      </c>
      <c r="Z2836" s="1128" t="s">
        <v>3381</v>
      </c>
      <c r="AA2836" s="1128" t="s">
        <v>3384</v>
      </c>
      <c r="AB2836" s="20"/>
      <c r="AC2836" s="73"/>
    </row>
    <row r="2837" spans="1:29" ht="25">
      <c r="A2837" s="327" t="str">
        <f>IF(AND($B2837&lt;&gt;"",$C2837&lt;&gt;""),MAX($A$1556:A2832)+1,"")</f>
        <v/>
      </c>
      <c r="B2837" s="361" t="s">
        <v>2873</v>
      </c>
      <c r="C2837" s="360"/>
      <c r="D2837" s="327">
        <f>IF($B2837="","",COUNTIF($B$6:$B2837,$B2837))</f>
        <v>12</v>
      </c>
      <c r="E2837" s="361" t="s">
        <v>2921</v>
      </c>
      <c r="F2837" s="362" t="s">
        <v>210</v>
      </c>
      <c r="G2837" s="327" t="s">
        <v>155</v>
      </c>
      <c r="H2837" s="327"/>
      <c r="I2837" s="327">
        <v>1</v>
      </c>
      <c r="J2837" s="359"/>
      <c r="K2837" s="327"/>
      <c r="L2837" s="389">
        <v>68884</v>
      </c>
      <c r="M2837" s="371"/>
      <c r="N2837" s="355" t="s">
        <v>153</v>
      </c>
      <c r="O2837" s="404" t="s">
        <v>1782</v>
      </c>
      <c r="P2837" s="392"/>
      <c r="Q2837" s="327"/>
      <c r="R2837" s="351"/>
      <c r="S2837" s="351"/>
      <c r="T2837" s="351"/>
      <c r="U2837" s="329" t="str">
        <f>IF($N2837=$N$4,IFERROR(INDEX(DanhMuc!$E$154:$E$165,MATCH(MID($B2837,4,2),DanhMuc!$B$154:$B$165,0)),""),"")</f>
        <v/>
      </c>
      <c r="V2837" s="361"/>
      <c r="W2837" s="345"/>
      <c r="X2837" s="329" t="str">
        <f t="shared" si="290"/>
        <v>DR</v>
      </c>
      <c r="Y2837" s="1128" t="s">
        <v>3380</v>
      </c>
      <c r="Z2837" s="1128" t="s">
        <v>3381</v>
      </c>
      <c r="AA2837" s="1128" t="s">
        <v>3384</v>
      </c>
      <c r="AB2837" s="20"/>
      <c r="AC2837" s="73"/>
    </row>
    <row r="2838" spans="1:29" ht="50">
      <c r="A2838" s="327" t="str">
        <f>IF(AND($B2838&lt;&gt;"",$C2838&lt;&gt;""),MAX($A$1556:A2837)+1,"")</f>
        <v/>
      </c>
      <c r="B2838" s="361" t="s">
        <v>2873</v>
      </c>
      <c r="C2838" s="360"/>
      <c r="D2838" s="327">
        <f>IF($B2838="","",COUNTIF($B$6:$B2838,$B2838))</f>
        <v>13</v>
      </c>
      <c r="E2838" s="403" t="s">
        <v>2973</v>
      </c>
      <c r="F2838" s="403" t="s">
        <v>953</v>
      </c>
      <c r="G2838" s="410" t="s">
        <v>156</v>
      </c>
      <c r="H2838" s="327" t="s">
        <v>536</v>
      </c>
      <c r="I2838" s="411" t="s">
        <v>2856</v>
      </c>
      <c r="J2838" s="404"/>
      <c r="K2838" s="410"/>
      <c r="L2838" s="389">
        <v>49122</v>
      </c>
      <c r="M2838" s="371"/>
      <c r="N2838" s="355" t="s">
        <v>153</v>
      </c>
      <c r="O2838" s="404" t="s">
        <v>1623</v>
      </c>
      <c r="P2838" s="392"/>
      <c r="Q2838" s="327"/>
      <c r="R2838" s="351"/>
      <c r="S2838" s="351"/>
      <c r="T2838" s="351"/>
      <c r="U2838" s="329" t="str">
        <f>IF($N2838=$N$4,IFERROR(INDEX(DanhMuc!$E$154:$E$165,MATCH(MID($B2838,4,2),DanhMuc!$B$154:$B$165,0)),""),"")</f>
        <v/>
      </c>
      <c r="V2838" s="361"/>
      <c r="W2838" s="345"/>
      <c r="X2838" s="329" t="str">
        <f t="shared" ref="X2838:X2927" si="296">IF($N2838="PR",$E2838,MID($B2838,10,2))</f>
        <v>DR</v>
      </c>
      <c r="Y2838" s="1128" t="s">
        <v>3380</v>
      </c>
      <c r="Z2838" s="1128" t="s">
        <v>3381</v>
      </c>
      <c r="AA2838" s="1128" t="s">
        <v>3384</v>
      </c>
      <c r="AB2838" s="20"/>
      <c r="AC2838" s="73"/>
    </row>
    <row r="2839" spans="1:29" ht="50">
      <c r="A2839" s="327" t="str">
        <f>IF(AND($B2839&lt;&gt;"",$C2839&lt;&gt;""),MAX($A$1556:A2838)+1,"")</f>
        <v/>
      </c>
      <c r="B2839" s="361" t="s">
        <v>2873</v>
      </c>
      <c r="C2839" s="360"/>
      <c r="D2839" s="327">
        <f>IF($B2839="","",COUNTIF($B$6:$B2839,$B2839))</f>
        <v>14</v>
      </c>
      <c r="E2839" s="403" t="s">
        <v>2974</v>
      </c>
      <c r="F2839" s="403" t="s">
        <v>1059</v>
      </c>
      <c r="G2839" s="410" t="s">
        <v>156</v>
      </c>
      <c r="H2839" s="327" t="s">
        <v>536</v>
      </c>
      <c r="I2839" s="411" t="s">
        <v>2853</v>
      </c>
      <c r="J2839" s="404"/>
      <c r="K2839" s="410"/>
      <c r="L2839" s="389">
        <v>59067</v>
      </c>
      <c r="M2839" s="371"/>
      <c r="N2839" s="355" t="s">
        <v>153</v>
      </c>
      <c r="O2839" s="404" t="s">
        <v>1623</v>
      </c>
      <c r="P2839" s="392"/>
      <c r="Q2839" s="327"/>
      <c r="R2839" s="351"/>
      <c r="S2839" s="351"/>
      <c r="T2839" s="351"/>
      <c r="U2839" s="329" t="str">
        <f>IF($N2839=$N$4,IFERROR(INDEX(DanhMuc!$E$154:$E$165,MATCH(MID($B2839,4,2),DanhMuc!$B$154:$B$165,0)),""),"")</f>
        <v/>
      </c>
      <c r="V2839" s="361"/>
      <c r="W2839" s="345"/>
      <c r="X2839" s="329" t="str">
        <f t="shared" si="296"/>
        <v>DR</v>
      </c>
      <c r="Y2839" s="1128" t="s">
        <v>3380</v>
      </c>
      <c r="Z2839" s="1128" t="s">
        <v>3381</v>
      </c>
      <c r="AA2839" s="1128" t="s">
        <v>3384</v>
      </c>
      <c r="AB2839" s="20"/>
      <c r="AC2839" s="73"/>
    </row>
    <row r="2840" spans="1:29" ht="50">
      <c r="A2840" s="327" t="str">
        <f>IF(AND($B2840&lt;&gt;"",$C2840&lt;&gt;""),MAX($A$1556:A2839)+1,"")</f>
        <v/>
      </c>
      <c r="B2840" s="361" t="s">
        <v>2873</v>
      </c>
      <c r="C2840" s="360"/>
      <c r="D2840" s="327">
        <f>IF($B2840="","",COUNTIF($B$6:$B2840,$B2840))</f>
        <v>15</v>
      </c>
      <c r="E2840" s="403" t="s">
        <v>2987</v>
      </c>
      <c r="F2840" s="403" t="s">
        <v>956</v>
      </c>
      <c r="G2840" s="410" t="s">
        <v>156</v>
      </c>
      <c r="H2840" s="327" t="s">
        <v>536</v>
      </c>
      <c r="I2840" s="411" t="s">
        <v>2854</v>
      </c>
      <c r="J2840" s="404"/>
      <c r="K2840" s="410"/>
      <c r="L2840" s="389">
        <v>77078</v>
      </c>
      <c r="M2840" s="371"/>
      <c r="N2840" s="355" t="s">
        <v>153</v>
      </c>
      <c r="O2840" s="404" t="s">
        <v>1623</v>
      </c>
      <c r="P2840" s="392"/>
      <c r="Q2840" s="327"/>
      <c r="R2840" s="351"/>
      <c r="S2840" s="351"/>
      <c r="T2840" s="351"/>
      <c r="U2840" s="329" t="str">
        <f>IF($N2840=$N$4,IFERROR(INDEX(DanhMuc!$E$154:$E$165,MATCH(MID($B2840,4,2),DanhMuc!$B$154:$B$165,0)),""),"")</f>
        <v/>
      </c>
      <c r="V2840" s="361"/>
      <c r="W2840" s="345"/>
      <c r="X2840" s="329" t="str">
        <f t="shared" si="296"/>
        <v>DR</v>
      </c>
      <c r="Y2840" s="1128" t="s">
        <v>3380</v>
      </c>
      <c r="Z2840" s="1128" t="s">
        <v>3381</v>
      </c>
      <c r="AA2840" s="1128" t="s">
        <v>3384</v>
      </c>
      <c r="AB2840" s="20"/>
      <c r="AC2840" s="73"/>
    </row>
    <row r="2841" spans="1:29" ht="50">
      <c r="A2841" s="327" t="str">
        <f>IF(AND($B2841&lt;&gt;"",$C2841&lt;&gt;""),MAX($A$1556:A2840)+1,"")</f>
        <v/>
      </c>
      <c r="B2841" s="361" t="s">
        <v>2873</v>
      </c>
      <c r="C2841" s="360"/>
      <c r="D2841" s="327">
        <f>IF($B2841="","",COUNTIF($B$6:$B2841,$B2841))</f>
        <v>16</v>
      </c>
      <c r="E2841" s="403" t="s">
        <v>2975</v>
      </c>
      <c r="F2841" s="403" t="s">
        <v>183</v>
      </c>
      <c r="G2841" s="410" t="s">
        <v>156</v>
      </c>
      <c r="H2841" s="327" t="s">
        <v>536</v>
      </c>
      <c r="I2841" s="411" t="s">
        <v>2855</v>
      </c>
      <c r="J2841" s="404"/>
      <c r="K2841" s="410"/>
      <c r="L2841" s="415">
        <v>77078</v>
      </c>
      <c r="M2841" s="371"/>
      <c r="N2841" s="355" t="s">
        <v>153</v>
      </c>
      <c r="O2841" s="404" t="s">
        <v>1623</v>
      </c>
      <c r="P2841" s="392"/>
      <c r="Q2841" s="327"/>
      <c r="R2841" s="351"/>
      <c r="S2841" s="351"/>
      <c r="T2841" s="351"/>
      <c r="U2841" s="329" t="str">
        <f>IF($N2841=$N$4,IFERROR(INDEX(DanhMuc!$E$154:$E$165,MATCH(MID($B2841,4,2),DanhMuc!$B$154:$B$165,0)),""),"")</f>
        <v/>
      </c>
      <c r="V2841" s="361"/>
      <c r="W2841" s="345"/>
      <c r="X2841" s="329" t="str">
        <f t="shared" si="296"/>
        <v>DR</v>
      </c>
      <c r="Y2841" s="1128" t="s">
        <v>3380</v>
      </c>
      <c r="Z2841" s="1128" t="s">
        <v>3381</v>
      </c>
      <c r="AA2841" s="1128" t="s">
        <v>3384</v>
      </c>
      <c r="AB2841" s="20"/>
      <c r="AC2841" s="73"/>
    </row>
    <row r="2842" spans="1:29">
      <c r="A2842" s="327" t="str">
        <f>IF(AND($B2842&lt;&gt;"",$C2842&lt;&gt;""),MAX($A$1556:A2841)+1,"")</f>
        <v/>
      </c>
      <c r="B2842" s="361" t="s">
        <v>2873</v>
      </c>
      <c r="C2842" s="360"/>
      <c r="D2842" s="327">
        <f>IF($B2842="","",COUNTIF($B$6:$B2842,$B2842))</f>
        <v>17</v>
      </c>
      <c r="E2842" s="361" t="s">
        <v>2922</v>
      </c>
      <c r="F2842" s="362" t="s">
        <v>981</v>
      </c>
      <c r="G2842" s="327" t="s">
        <v>155</v>
      </c>
      <c r="H2842" s="327" t="s">
        <v>536</v>
      </c>
      <c r="I2842" s="327">
        <v>2</v>
      </c>
      <c r="J2842" s="359"/>
      <c r="K2842" s="327"/>
      <c r="L2842" s="389">
        <v>4514</v>
      </c>
      <c r="M2842" s="371"/>
      <c r="N2842" s="355" t="str">
        <f t="shared" ref="N2842:N2880" si="297">+$N$1555</f>
        <v>PK</v>
      </c>
      <c r="O2842" s="404" t="s">
        <v>1623</v>
      </c>
      <c r="P2842" s="392"/>
      <c r="Q2842" s="327"/>
      <c r="R2842" s="351"/>
      <c r="S2842" s="351"/>
      <c r="T2842" s="351"/>
      <c r="U2842" s="329" t="str">
        <f>IF($N2842=$N$4,IFERROR(INDEX(DanhMuc!$E$154:$E$165,MATCH(MID($B2842,4,2),DanhMuc!$B$154:$B$165,0)),""),"")</f>
        <v/>
      </c>
      <c r="V2842" s="361"/>
      <c r="W2842" s="345"/>
      <c r="X2842" s="329" t="str">
        <f t="shared" si="296"/>
        <v>DR</v>
      </c>
      <c r="Y2842" s="1128" t="s">
        <v>3380</v>
      </c>
      <c r="Z2842" s="1128" t="s">
        <v>3381</v>
      </c>
      <c r="AA2842" s="1128" t="s">
        <v>3384</v>
      </c>
      <c r="AB2842" s="20"/>
      <c r="AC2842" s="73"/>
    </row>
    <row r="2843" spans="1:29">
      <c r="A2843" s="327" t="str">
        <f>IF(AND($B2843&lt;&gt;"",$C2843&lt;&gt;""),MAX($A$1556:A2842)+1,"")</f>
        <v/>
      </c>
      <c r="B2843" s="361" t="s">
        <v>2873</v>
      </c>
      <c r="C2843" s="360"/>
      <c r="D2843" s="327">
        <f>IF($B2843="","",COUNTIF($B$6:$B2843,$B2843))</f>
        <v>18</v>
      </c>
      <c r="E2843" s="361" t="s">
        <v>187</v>
      </c>
      <c r="F2843" s="362" t="s">
        <v>189</v>
      </c>
      <c r="G2843" s="327" t="s">
        <v>155</v>
      </c>
      <c r="H2843" s="327"/>
      <c r="I2843" s="327">
        <v>4</v>
      </c>
      <c r="J2843" s="361"/>
      <c r="K2843" s="327"/>
      <c r="L2843" s="389">
        <v>5000</v>
      </c>
      <c r="M2843" s="371"/>
      <c r="N2843" s="355" t="str">
        <f t="shared" si="297"/>
        <v>PK</v>
      </c>
      <c r="O2843" s="345"/>
      <c r="P2843" s="392"/>
      <c r="Q2843" s="327"/>
      <c r="R2843" s="351"/>
      <c r="S2843" s="351"/>
      <c r="T2843" s="351"/>
      <c r="U2843" s="329" t="str">
        <f>IF($N2843=$N$4,IFERROR(INDEX(DanhMuc!$E$154:$E$165,MATCH(MID($B2843,4,2),DanhMuc!$B$154:$B$165,0)),""),"")</f>
        <v/>
      </c>
      <c r="V2843" s="361"/>
      <c r="W2843" s="345"/>
      <c r="X2843" s="329" t="str">
        <f t="shared" si="296"/>
        <v>DR</v>
      </c>
      <c r="Y2843" s="1128" t="s">
        <v>3380</v>
      </c>
      <c r="Z2843" s="1128" t="s">
        <v>3381</v>
      </c>
      <c r="AA2843" s="1128" t="s">
        <v>3384</v>
      </c>
      <c r="AB2843" s="20"/>
      <c r="AC2843" s="73"/>
    </row>
    <row r="2844" spans="1:29">
      <c r="A2844" s="327" t="str">
        <f>IF(AND($B2844&lt;&gt;"",$C2844&lt;&gt;""),MAX($A$1556:A2843)+1,"")</f>
        <v/>
      </c>
      <c r="B2844" s="361" t="s">
        <v>2873</v>
      </c>
      <c r="C2844" s="360"/>
      <c r="D2844" s="327">
        <f>IF($B2844="","",COUNTIF($B$6:$B2844,$B2844))</f>
        <v>19</v>
      </c>
      <c r="E2844" s="361" t="s">
        <v>172</v>
      </c>
      <c r="F2844" s="362" t="s">
        <v>173</v>
      </c>
      <c r="G2844" s="327" t="s">
        <v>155</v>
      </c>
      <c r="H2844" s="327"/>
      <c r="I2844" s="327">
        <v>1</v>
      </c>
      <c r="J2844" s="361"/>
      <c r="K2844" s="327"/>
      <c r="L2844" s="389">
        <v>6000</v>
      </c>
      <c r="M2844" s="371"/>
      <c r="N2844" s="355" t="str">
        <f t="shared" si="297"/>
        <v>PK</v>
      </c>
      <c r="O2844" s="345"/>
      <c r="P2844" s="392"/>
      <c r="Q2844" s="327"/>
      <c r="R2844" s="351"/>
      <c r="S2844" s="351"/>
      <c r="T2844" s="351"/>
      <c r="U2844" s="329" t="str">
        <f>IF($N2844=$N$4,IFERROR(INDEX(DanhMuc!$E$154:$E$165,MATCH(MID($B2844,4,2),DanhMuc!$B$154:$B$165,0)),""),"")</f>
        <v/>
      </c>
      <c r="V2844" s="361"/>
      <c r="W2844" s="345"/>
      <c r="X2844" s="329" t="str">
        <f t="shared" si="296"/>
        <v>DR</v>
      </c>
      <c r="Y2844" s="1128" t="s">
        <v>3380</v>
      </c>
      <c r="Z2844" s="1128" t="s">
        <v>3381</v>
      </c>
      <c r="AA2844" s="1128" t="s">
        <v>3384</v>
      </c>
      <c r="AB2844" s="20"/>
      <c r="AC2844" s="73"/>
    </row>
    <row r="2845" spans="1:29">
      <c r="A2845" s="327" t="str">
        <f>IF(AND($B2845&lt;&gt;"",$C2845&lt;&gt;""),MAX($A$1556:A2844)+1,"")</f>
        <v/>
      </c>
      <c r="B2845" s="361" t="s">
        <v>2873</v>
      </c>
      <c r="C2845" s="360"/>
      <c r="D2845" s="327">
        <f>IF($B2845="","",COUNTIF($B$6:$B2845,$B2845))</f>
        <v>20</v>
      </c>
      <c r="E2845" s="361" t="s">
        <v>163</v>
      </c>
      <c r="F2845" s="362" t="s">
        <v>164</v>
      </c>
      <c r="G2845" s="327" t="s">
        <v>155</v>
      </c>
      <c r="H2845" s="327"/>
      <c r="I2845" s="327">
        <v>2</v>
      </c>
      <c r="J2845" s="361"/>
      <c r="K2845" s="327"/>
      <c r="L2845" s="389">
        <v>2500</v>
      </c>
      <c r="M2845" s="371"/>
      <c r="N2845" s="355" t="str">
        <f t="shared" si="297"/>
        <v>PK</v>
      </c>
      <c r="O2845" s="345"/>
      <c r="P2845" s="392"/>
      <c r="Q2845" s="327"/>
      <c r="R2845" s="351"/>
      <c r="S2845" s="351"/>
      <c r="T2845" s="351"/>
      <c r="U2845" s="329" t="str">
        <f>IF($N2845=$N$4,IFERROR(INDEX(DanhMuc!$E$154:$E$165,MATCH(MID($B2845,4,2),DanhMuc!$B$154:$B$165,0)),""),"")</f>
        <v/>
      </c>
      <c r="V2845" s="408" t="s">
        <v>342</v>
      </c>
      <c r="W2845" s="345"/>
      <c r="X2845" s="329" t="str">
        <f t="shared" si="296"/>
        <v>DR</v>
      </c>
      <c r="Y2845" s="1128" t="s">
        <v>3380</v>
      </c>
      <c r="Z2845" s="1128" t="s">
        <v>3381</v>
      </c>
      <c r="AA2845" s="1128" t="s">
        <v>3384</v>
      </c>
      <c r="AB2845" s="20"/>
      <c r="AC2845" s="73"/>
    </row>
    <row r="2846" spans="1:29">
      <c r="A2846" s="327" t="str">
        <f>IF(AND($B2846&lt;&gt;"",$C2846&lt;&gt;""),MAX($A$1556:A2845)+1,"")</f>
        <v/>
      </c>
      <c r="B2846" s="361" t="s">
        <v>2873</v>
      </c>
      <c r="C2846" s="360"/>
      <c r="D2846" s="327">
        <f>IF($B2846="","",COUNTIF($B$6:$B2846,$B2846))</f>
        <v>21</v>
      </c>
      <c r="E2846" s="361" t="s">
        <v>2923</v>
      </c>
      <c r="F2846" s="362" t="s">
        <v>186</v>
      </c>
      <c r="G2846" s="327" t="s">
        <v>155</v>
      </c>
      <c r="H2846" s="327" t="s">
        <v>536</v>
      </c>
      <c r="I2846" s="327">
        <v>6</v>
      </c>
      <c r="J2846" s="361"/>
      <c r="K2846" s="327"/>
      <c r="L2846" s="389">
        <v>40308</v>
      </c>
      <c r="M2846" s="371"/>
      <c r="N2846" s="355" t="str">
        <f t="shared" si="297"/>
        <v>PK</v>
      </c>
      <c r="O2846" s="345"/>
      <c r="P2846" s="392"/>
      <c r="Q2846" s="327"/>
      <c r="R2846" s="351"/>
      <c r="S2846" s="351"/>
      <c r="T2846" s="351"/>
      <c r="U2846" s="329" t="str">
        <f>IF($N2846=$N$4,IFERROR(INDEX(DanhMuc!$E$154:$E$165,MATCH(MID($B2846,4,2),DanhMuc!$B$154:$B$165,0)),""),"")</f>
        <v/>
      </c>
      <c r="V2846" s="361"/>
      <c r="W2846" s="345"/>
      <c r="X2846" s="329" t="str">
        <f t="shared" si="296"/>
        <v>DR</v>
      </c>
      <c r="Y2846" s="1128" t="s">
        <v>3380</v>
      </c>
      <c r="Z2846" s="1128" t="s">
        <v>3381</v>
      </c>
      <c r="AA2846" s="1128" t="s">
        <v>3384</v>
      </c>
      <c r="AB2846" s="20"/>
      <c r="AC2846" s="73"/>
    </row>
    <row r="2847" spans="1:29">
      <c r="A2847" s="327" t="str">
        <f>IF(AND($B2847&lt;&gt;"",$C2847&lt;&gt;""),MAX($A$1556:A2846)+1,"")</f>
        <v/>
      </c>
      <c r="B2847" s="361" t="s">
        <v>2873</v>
      </c>
      <c r="C2847" s="360"/>
      <c r="D2847" s="327">
        <f>IF($B2847="","",COUNTIF($B$6:$B2847,$B2847))</f>
        <v>22</v>
      </c>
      <c r="E2847" s="361" t="s">
        <v>165</v>
      </c>
      <c r="F2847" s="362" t="s">
        <v>166</v>
      </c>
      <c r="G2847" s="327" t="s">
        <v>155</v>
      </c>
      <c r="H2847" s="327"/>
      <c r="I2847" s="327">
        <v>2</v>
      </c>
      <c r="J2847" s="361"/>
      <c r="K2847" s="327"/>
      <c r="L2847" s="389">
        <v>1700</v>
      </c>
      <c r="M2847" s="371"/>
      <c r="N2847" s="355" t="str">
        <f t="shared" si="297"/>
        <v>PK</v>
      </c>
      <c r="O2847" s="345"/>
      <c r="P2847" s="392"/>
      <c r="Q2847" s="327"/>
      <c r="R2847" s="351"/>
      <c r="S2847" s="351"/>
      <c r="T2847" s="351"/>
      <c r="U2847" s="329" t="str">
        <f>IF($N2847=$N$4,IFERROR(INDEX(DanhMuc!$E$154:$E$165,MATCH(MID($B2847,4,2),DanhMuc!$B$154:$B$165,0)),""),"")</f>
        <v/>
      </c>
      <c r="V2847" s="361"/>
      <c r="W2847" s="345"/>
      <c r="X2847" s="329" t="str">
        <f t="shared" si="296"/>
        <v>DR</v>
      </c>
      <c r="Y2847" s="1128" t="s">
        <v>3380</v>
      </c>
      <c r="Z2847" s="1128" t="s">
        <v>3381</v>
      </c>
      <c r="AA2847" s="1128" t="s">
        <v>3384</v>
      </c>
      <c r="AB2847" s="20"/>
      <c r="AC2847" s="73"/>
    </row>
    <row r="2848" spans="1:29">
      <c r="A2848" s="327" t="str">
        <f>IF(AND($B2848&lt;&gt;"",$C2848&lt;&gt;""),MAX($A$1556:A2847)+1,"")</f>
        <v/>
      </c>
      <c r="B2848" s="361" t="s">
        <v>2873</v>
      </c>
      <c r="C2848" s="360"/>
      <c r="D2848" s="327">
        <f>IF($B2848="","",COUNTIF($B$6:$B2848,$B2848))</f>
        <v>23</v>
      </c>
      <c r="E2848" s="361" t="s">
        <v>167</v>
      </c>
      <c r="F2848" s="362" t="s">
        <v>168</v>
      </c>
      <c r="G2848" s="327" t="s">
        <v>155</v>
      </c>
      <c r="H2848" s="327"/>
      <c r="I2848" s="327">
        <v>2</v>
      </c>
      <c r="J2848" s="361"/>
      <c r="K2848" s="327"/>
      <c r="L2848" s="389">
        <v>1700</v>
      </c>
      <c r="M2848" s="371"/>
      <c r="N2848" s="355" t="str">
        <f t="shared" si="297"/>
        <v>PK</v>
      </c>
      <c r="O2848" s="345"/>
      <c r="P2848" s="392"/>
      <c r="Q2848" s="327"/>
      <c r="R2848" s="351"/>
      <c r="S2848" s="351"/>
      <c r="T2848" s="351"/>
      <c r="U2848" s="329" t="str">
        <f>IF($N2848=$N$4,IFERROR(INDEX(DanhMuc!$E$154:$E$165,MATCH(MID($B2848,4,2),DanhMuc!$B$154:$B$165,0)),""),"")</f>
        <v/>
      </c>
      <c r="V2848" s="361"/>
      <c r="W2848" s="345"/>
      <c r="X2848" s="329" t="str">
        <f t="shared" si="296"/>
        <v>DR</v>
      </c>
      <c r="Y2848" s="1128" t="s">
        <v>3380</v>
      </c>
      <c r="Z2848" s="1128" t="s">
        <v>3381</v>
      </c>
      <c r="AA2848" s="1128" t="s">
        <v>3384</v>
      </c>
      <c r="AB2848" s="20"/>
      <c r="AC2848" s="73"/>
    </row>
    <row r="2849" spans="1:29">
      <c r="A2849" s="327" t="str">
        <f>IF(AND($B2849&lt;&gt;"",$C2849&lt;&gt;""),MAX($A$1556:A2848)+1,"")</f>
        <v/>
      </c>
      <c r="B2849" s="361" t="s">
        <v>2873</v>
      </c>
      <c r="C2849" s="360"/>
      <c r="D2849" s="327">
        <f>IF($B2849="","",COUNTIF($B$6:$B2849,$B2849))</f>
        <v>24</v>
      </c>
      <c r="E2849" s="361" t="s">
        <v>169</v>
      </c>
      <c r="F2849" s="362" t="s">
        <v>170</v>
      </c>
      <c r="G2849" s="327" t="s">
        <v>155</v>
      </c>
      <c r="H2849" s="327"/>
      <c r="I2849" s="327">
        <v>4</v>
      </c>
      <c r="J2849" s="361"/>
      <c r="K2849" s="327"/>
      <c r="L2849" s="389">
        <v>1700</v>
      </c>
      <c r="M2849" s="371"/>
      <c r="N2849" s="355" t="str">
        <f t="shared" si="297"/>
        <v>PK</v>
      </c>
      <c r="O2849" s="345"/>
      <c r="P2849" s="392"/>
      <c r="Q2849" s="327"/>
      <c r="R2849" s="351"/>
      <c r="S2849" s="351"/>
      <c r="T2849" s="351"/>
      <c r="U2849" s="329" t="str">
        <f>IF($N2849=$N$4,IFERROR(INDEX(DanhMuc!$E$154:$E$165,MATCH(MID($B2849,4,2),DanhMuc!$B$154:$B$165,0)),""),"")</f>
        <v/>
      </c>
      <c r="V2849" s="361"/>
      <c r="W2849" s="345"/>
      <c r="X2849" s="329" t="str">
        <f t="shared" si="296"/>
        <v>DR</v>
      </c>
      <c r="Y2849" s="1128" t="s">
        <v>3380</v>
      </c>
      <c r="Z2849" s="1128" t="s">
        <v>3381</v>
      </c>
      <c r="AA2849" s="1128" t="s">
        <v>3384</v>
      </c>
      <c r="AB2849" s="20"/>
      <c r="AC2849" s="73"/>
    </row>
    <row r="2850" spans="1:29">
      <c r="A2850" s="327" t="str">
        <f>IF(AND($B2850&lt;&gt;"",$C2850&lt;&gt;""),MAX($A$1556:A2849)+1,"")</f>
        <v/>
      </c>
      <c r="B2850" s="361" t="s">
        <v>2873</v>
      </c>
      <c r="C2850" s="360"/>
      <c r="D2850" s="327">
        <f>IF($B2850="","",COUNTIF($B$6:$B2850,$B2850))</f>
        <v>25</v>
      </c>
      <c r="E2850" s="361" t="s">
        <v>171</v>
      </c>
      <c r="F2850" s="362" t="s">
        <v>291</v>
      </c>
      <c r="G2850" s="327" t="s">
        <v>155</v>
      </c>
      <c r="H2850" s="327"/>
      <c r="I2850" s="327">
        <v>4</v>
      </c>
      <c r="J2850" s="361"/>
      <c r="K2850" s="327"/>
      <c r="L2850" s="389">
        <v>1700</v>
      </c>
      <c r="M2850" s="371"/>
      <c r="N2850" s="355" t="str">
        <f t="shared" si="297"/>
        <v>PK</v>
      </c>
      <c r="O2850" s="345"/>
      <c r="P2850" s="392"/>
      <c r="Q2850" s="327"/>
      <c r="R2850" s="351"/>
      <c r="S2850" s="351"/>
      <c r="T2850" s="351"/>
      <c r="U2850" s="329" t="str">
        <f>IF($N2850=$N$4,IFERROR(INDEX(DanhMuc!$E$154:$E$165,MATCH(MID($B2850,4,2),DanhMuc!$B$154:$B$165,0)),""),"")</f>
        <v/>
      </c>
      <c r="V2850" s="361"/>
      <c r="W2850" s="345"/>
      <c r="X2850" s="329" t="str">
        <f t="shared" si="296"/>
        <v>DR</v>
      </c>
      <c r="Y2850" s="1128" t="s">
        <v>3380</v>
      </c>
      <c r="Z2850" s="1128" t="s">
        <v>3381</v>
      </c>
      <c r="AA2850" s="1128" t="s">
        <v>3384</v>
      </c>
      <c r="AB2850" s="20"/>
      <c r="AC2850" s="73"/>
    </row>
    <row r="2851" spans="1:29" ht="39">
      <c r="A2851" s="327">
        <f>IF(AND($B2851&lt;&gt;"",$C2851&lt;&gt;""),MAX($A$1556:A2825)+1,"")</f>
        <v>150</v>
      </c>
      <c r="B2851" s="359" t="s">
        <v>3169</v>
      </c>
      <c r="C2851" s="360" t="s">
        <v>3154</v>
      </c>
      <c r="D2851" s="327">
        <f>IF($B2851="","",COUNTIF($B$6:$B2851,$B2851))</f>
        <v>1</v>
      </c>
      <c r="E2851" s="362" t="s">
        <v>2914</v>
      </c>
      <c r="F2851" s="362" t="s">
        <v>2916</v>
      </c>
      <c r="G2851" s="327" t="s">
        <v>155</v>
      </c>
      <c r="H2851" s="327"/>
      <c r="I2851" s="327">
        <v>1</v>
      </c>
      <c r="J2851" s="345"/>
      <c r="K2851" s="327"/>
      <c r="L2851" s="389">
        <v>126387</v>
      </c>
      <c r="M2851" s="371"/>
      <c r="N2851" s="355" t="str">
        <f t="shared" si="297"/>
        <v>PK</v>
      </c>
      <c r="O2851" s="404" t="s">
        <v>2924</v>
      </c>
      <c r="P2851" s="392"/>
      <c r="Q2851" s="327"/>
      <c r="R2851" s="351"/>
      <c r="S2851" s="351"/>
      <c r="T2851" s="351"/>
      <c r="U2851" s="329" t="str">
        <f>IF($N2851=$N$4,IFERROR(INDEX(DanhMuc!$E$154:$E$165,MATCH(MID($B2851,4,2),DanhMuc!$B$154:$B$165,0)),""),"")</f>
        <v/>
      </c>
      <c r="V2851" s="361"/>
      <c r="W2851" s="345"/>
      <c r="X2851" s="329" t="str">
        <f t="shared" si="296"/>
        <v>2R</v>
      </c>
      <c r="Y2851" s="1128" t="s">
        <v>3380</v>
      </c>
      <c r="Z2851" s="1128" t="s">
        <v>3381</v>
      </c>
      <c r="AA2851" s="1128" t="s">
        <v>3384</v>
      </c>
      <c r="AB2851" s="20"/>
      <c r="AC2851" s="73"/>
    </row>
    <row r="2852" spans="1:29">
      <c r="A2852" s="327" t="str">
        <f>IF(AND($B2852&lt;&gt;"",$C2852&lt;&gt;""),MAX($A$1556:A2826)+1,"")</f>
        <v/>
      </c>
      <c r="B2852" s="361" t="s">
        <v>3169</v>
      </c>
      <c r="C2852" s="360"/>
      <c r="D2852" s="327">
        <f>IF($B2852="","",COUNTIF($B$6:$B2852,$B2852))</f>
        <v>2</v>
      </c>
      <c r="E2852" s="361" t="s">
        <v>2915</v>
      </c>
      <c r="F2852" s="362" t="s">
        <v>2917</v>
      </c>
      <c r="G2852" s="327" t="s">
        <v>155</v>
      </c>
      <c r="H2852" s="327"/>
      <c r="I2852" s="327">
        <v>1</v>
      </c>
      <c r="J2852" s="345"/>
      <c r="K2852" s="327"/>
      <c r="L2852" s="389">
        <v>58599</v>
      </c>
      <c r="M2852" s="371"/>
      <c r="N2852" s="355" t="str">
        <f t="shared" si="297"/>
        <v>PK</v>
      </c>
      <c r="O2852" s="404" t="s">
        <v>2924</v>
      </c>
      <c r="P2852" s="392"/>
      <c r="Q2852" s="327"/>
      <c r="R2852" s="351"/>
      <c r="S2852" s="351"/>
      <c r="T2852" s="351"/>
      <c r="U2852" s="329" t="str">
        <f>IF($N2852=$N$4,IFERROR(INDEX(DanhMuc!$E$154:$E$165,MATCH(MID($B2852,4,2),DanhMuc!$B$154:$B$165,0)),""),"")</f>
        <v/>
      </c>
      <c r="V2852" s="361"/>
      <c r="W2852" s="345"/>
      <c r="X2852" s="329" t="str">
        <f t="shared" si="296"/>
        <v>2R</v>
      </c>
      <c r="Y2852" s="1128" t="s">
        <v>3380</v>
      </c>
      <c r="Z2852" s="1128" t="s">
        <v>3381</v>
      </c>
      <c r="AA2852" s="1128" t="s">
        <v>3384</v>
      </c>
      <c r="AB2852" s="20"/>
      <c r="AC2852" s="73"/>
    </row>
    <row r="2853" spans="1:29" ht="37.5">
      <c r="A2853" s="327" t="str">
        <f>IF(AND($B2853&lt;&gt;"",$C2853&lt;&gt;""),MAX($A$1556:A2851)+1,"")</f>
        <v/>
      </c>
      <c r="B2853" s="361" t="s">
        <v>3169</v>
      </c>
      <c r="C2853" s="360"/>
      <c r="D2853" s="327">
        <f>IF($B2853="","",COUNTIF($B$6:$B2853,$B2853))</f>
        <v>3</v>
      </c>
      <c r="E2853" s="362" t="s">
        <v>2914</v>
      </c>
      <c r="F2853" s="362" t="s">
        <v>2931</v>
      </c>
      <c r="G2853" s="327" t="s">
        <v>155</v>
      </c>
      <c r="H2853" s="327"/>
      <c r="I2853" s="327">
        <v>1</v>
      </c>
      <c r="J2853" s="345"/>
      <c r="K2853" s="327"/>
      <c r="L2853" s="389">
        <v>126387</v>
      </c>
      <c r="M2853" s="371"/>
      <c r="N2853" s="355" t="str">
        <f t="shared" si="297"/>
        <v>PK</v>
      </c>
      <c r="O2853" s="404" t="s">
        <v>2925</v>
      </c>
      <c r="P2853" s="392"/>
      <c r="Q2853" s="327"/>
      <c r="R2853" s="351"/>
      <c r="S2853" s="351"/>
      <c r="T2853" s="351"/>
      <c r="U2853" s="329" t="str">
        <f>IF($N2853=$N$4,IFERROR(INDEX(DanhMuc!$E$154:$E$165,MATCH(MID($B2853,4,2),DanhMuc!$B$154:$B$165,0)),""),"")</f>
        <v/>
      </c>
      <c r="V2853" s="361"/>
      <c r="W2853" s="345"/>
      <c r="X2853" s="329" t="str">
        <f t="shared" si="296"/>
        <v>2R</v>
      </c>
      <c r="Y2853" s="1128" t="s">
        <v>3380</v>
      </c>
      <c r="Z2853" s="1128" t="s">
        <v>3381</v>
      </c>
      <c r="AA2853" s="1128" t="s">
        <v>3384</v>
      </c>
      <c r="AB2853" s="20"/>
      <c r="AC2853" s="73"/>
    </row>
    <row r="2854" spans="1:29">
      <c r="A2854" s="327" t="str">
        <f>IF(AND($B2854&lt;&gt;"",$C2854&lt;&gt;""),MAX($A$1556:A2852)+1,"")</f>
        <v/>
      </c>
      <c r="B2854" s="361" t="s">
        <v>3169</v>
      </c>
      <c r="C2854" s="360"/>
      <c r="D2854" s="327">
        <f>IF($B2854="","",COUNTIF($B$6:$B2854,$B2854))</f>
        <v>4</v>
      </c>
      <c r="E2854" s="361" t="s">
        <v>2915</v>
      </c>
      <c r="F2854" s="362" t="s">
        <v>2932</v>
      </c>
      <c r="G2854" s="327" t="s">
        <v>155</v>
      </c>
      <c r="H2854" s="327"/>
      <c r="I2854" s="327">
        <v>1</v>
      </c>
      <c r="J2854" s="345"/>
      <c r="K2854" s="327"/>
      <c r="L2854" s="389">
        <v>58599</v>
      </c>
      <c r="M2854" s="371"/>
      <c r="N2854" s="355" t="str">
        <f t="shared" si="297"/>
        <v>PK</v>
      </c>
      <c r="O2854" s="404" t="s">
        <v>2925</v>
      </c>
      <c r="P2854" s="392"/>
      <c r="Q2854" s="327"/>
      <c r="R2854" s="351"/>
      <c r="S2854" s="351"/>
      <c r="T2854" s="351"/>
      <c r="U2854" s="329" t="str">
        <f>IF($N2854=$N$4,IFERROR(INDEX(DanhMuc!$E$154:$E$165,MATCH(MID($B2854,4,2),DanhMuc!$B$154:$B$165,0)),""),"")</f>
        <v/>
      </c>
      <c r="V2854" s="361"/>
      <c r="W2854" s="345"/>
      <c r="X2854" s="329" t="str">
        <f t="shared" si="296"/>
        <v>2R</v>
      </c>
      <c r="Y2854" s="1128" t="s">
        <v>3380</v>
      </c>
      <c r="Z2854" s="1128" t="s">
        <v>3381</v>
      </c>
      <c r="AA2854" s="1128" t="s">
        <v>3384</v>
      </c>
      <c r="AB2854" s="20"/>
      <c r="AC2854" s="73"/>
    </row>
    <row r="2855" spans="1:29">
      <c r="A2855" s="327" t="str">
        <f>IF(AND($B2855&lt;&gt;"",$C2855&lt;&gt;""),MAX($A$1556:A2853)+1,"")</f>
        <v/>
      </c>
      <c r="B2855" s="361" t="s">
        <v>3169</v>
      </c>
      <c r="C2855" s="360"/>
      <c r="D2855" s="327">
        <f>IF($B2855="","",COUNTIF($B$6:$B2855,$B2855))</f>
        <v>5</v>
      </c>
      <c r="E2855" s="361" t="s">
        <v>2918</v>
      </c>
      <c r="F2855" s="362" t="s">
        <v>2919</v>
      </c>
      <c r="G2855" s="327" t="s">
        <v>155</v>
      </c>
      <c r="H2855" s="327"/>
      <c r="I2855" s="327">
        <v>1</v>
      </c>
      <c r="J2855" s="345"/>
      <c r="K2855" s="327"/>
      <c r="L2855" s="389">
        <v>5389</v>
      </c>
      <c r="M2855" s="371"/>
      <c r="N2855" s="355" t="str">
        <f t="shared" si="297"/>
        <v>PK</v>
      </c>
      <c r="O2855" s="404" t="s">
        <v>2926</v>
      </c>
      <c r="P2855" s="392"/>
      <c r="Q2855" s="327"/>
      <c r="R2855" s="351"/>
      <c r="S2855" s="351"/>
      <c r="T2855" s="351"/>
      <c r="U2855" s="329" t="str">
        <f>IF($N2855=$N$4,IFERROR(INDEX(DanhMuc!$E$154:$E$165,MATCH(MID($B2855,4,2),DanhMuc!$B$154:$B$165,0)),""),"")</f>
        <v/>
      </c>
      <c r="V2855" s="361"/>
      <c r="W2855" s="345"/>
      <c r="X2855" s="329" t="str">
        <f t="shared" si="296"/>
        <v>2R</v>
      </c>
      <c r="Y2855" s="1128" t="s">
        <v>3380</v>
      </c>
      <c r="Z2855" s="1128" t="s">
        <v>3381</v>
      </c>
      <c r="AA2855" s="1128" t="s">
        <v>3384</v>
      </c>
      <c r="AB2855" s="20"/>
      <c r="AC2855" s="73"/>
    </row>
    <row r="2856" spans="1:29">
      <c r="A2856" s="327" t="str">
        <f>IF(AND($B2856&lt;&gt;"",$C2856&lt;&gt;""),MAX($A$1556:A2853)+1,"")</f>
        <v/>
      </c>
      <c r="B2856" s="361" t="s">
        <v>3169</v>
      </c>
      <c r="C2856" s="360"/>
      <c r="D2856" s="327">
        <f>IF($B2856="","",COUNTIF($B$6:$B2856,$B2856))</f>
        <v>6</v>
      </c>
      <c r="E2856" s="361" t="s">
        <v>2952</v>
      </c>
      <c r="F2856" s="362" t="s">
        <v>2920</v>
      </c>
      <c r="G2856" s="327" t="s">
        <v>155</v>
      </c>
      <c r="H2856" s="327"/>
      <c r="I2856" s="327">
        <v>1</v>
      </c>
      <c r="J2856" s="359"/>
      <c r="K2856" s="327"/>
      <c r="L2856" s="389">
        <v>33329</v>
      </c>
      <c r="M2856" s="371"/>
      <c r="N2856" s="355" t="s">
        <v>153</v>
      </c>
      <c r="O2856" s="345"/>
      <c r="P2856" s="392"/>
      <c r="Q2856" s="327"/>
      <c r="R2856" s="351"/>
      <c r="S2856" s="351"/>
      <c r="T2856" s="351"/>
      <c r="U2856" s="329" t="str">
        <f>IF($N2856=$N$4,IFERROR(INDEX(DanhMuc!$E$154:$E$165,MATCH(MID($B2856,4,2),DanhMuc!$B$154:$B$165,0)),""),"")</f>
        <v/>
      </c>
      <c r="V2856" s="361"/>
      <c r="W2856" s="345"/>
      <c r="X2856" s="329" t="str">
        <f t="shared" si="296"/>
        <v>2R</v>
      </c>
      <c r="Y2856" s="1128" t="s">
        <v>3380</v>
      </c>
      <c r="Z2856" s="1128" t="s">
        <v>3381</v>
      </c>
      <c r="AA2856" s="1128" t="s">
        <v>3384</v>
      </c>
      <c r="AB2856" s="20"/>
      <c r="AC2856" s="73"/>
    </row>
    <row r="2857" spans="1:29">
      <c r="A2857" s="327" t="str">
        <f>IF(AND($B2857&lt;&gt;"",$C2857&lt;&gt;""),MAX($A$1556:A2856)+1,"")</f>
        <v/>
      </c>
      <c r="B2857" s="361" t="s">
        <v>3169</v>
      </c>
      <c r="C2857" s="360"/>
      <c r="D2857" s="327">
        <f>IF($B2857="","",COUNTIF($B$6:$B2857,$B2857))</f>
        <v>7</v>
      </c>
      <c r="E2857" s="361" t="s">
        <v>2918</v>
      </c>
      <c r="F2857" s="362" t="s">
        <v>2919</v>
      </c>
      <c r="G2857" s="327" t="s">
        <v>155</v>
      </c>
      <c r="H2857" s="327"/>
      <c r="I2857" s="327">
        <v>1</v>
      </c>
      <c r="J2857" s="359"/>
      <c r="K2857" s="327"/>
      <c r="L2857" s="389">
        <v>5389</v>
      </c>
      <c r="M2857" s="371"/>
      <c r="N2857" s="355" t="s">
        <v>153</v>
      </c>
      <c r="O2857" s="345"/>
      <c r="P2857" s="392"/>
      <c r="Q2857" s="327"/>
      <c r="R2857" s="351"/>
      <c r="S2857" s="351"/>
      <c r="T2857" s="351"/>
      <c r="U2857" s="329" t="str">
        <f>IF($N2857=$N$4,IFERROR(INDEX(DanhMuc!$E$154:$E$165,MATCH(MID($B2857,4,2),DanhMuc!$B$154:$B$165,0)),""),"")</f>
        <v/>
      </c>
      <c r="V2857" s="361"/>
      <c r="W2857" s="345"/>
      <c r="X2857" s="329" t="str">
        <f t="shared" si="296"/>
        <v>2R</v>
      </c>
      <c r="Y2857" s="1128" t="s">
        <v>3380</v>
      </c>
      <c r="Z2857" s="1128" t="s">
        <v>3381</v>
      </c>
      <c r="AA2857" s="1128" t="s">
        <v>3384</v>
      </c>
      <c r="AB2857" s="20"/>
      <c r="AC2857" s="73"/>
    </row>
    <row r="2858" spans="1:29" ht="25">
      <c r="A2858" s="327" t="str">
        <f>IF(AND($B2858&lt;&gt;"",$C2858&lt;&gt;""),MAX($A$1556:A2855)+1,"")</f>
        <v/>
      </c>
      <c r="B2858" s="361" t="s">
        <v>3169</v>
      </c>
      <c r="C2858" s="360"/>
      <c r="D2858" s="327">
        <f>IF($B2858="","",COUNTIF($B$6:$B2858,$B2858))</f>
        <v>8</v>
      </c>
      <c r="E2858" s="361" t="s">
        <v>2927</v>
      </c>
      <c r="F2858" s="362" t="s">
        <v>2929</v>
      </c>
      <c r="G2858" s="327" t="s">
        <v>155</v>
      </c>
      <c r="H2858" s="327" t="s">
        <v>536</v>
      </c>
      <c r="I2858" s="327">
        <v>1</v>
      </c>
      <c r="J2858" s="359"/>
      <c r="K2858" s="327"/>
      <c r="L2858" s="389">
        <v>76721</v>
      </c>
      <c r="M2858" s="371"/>
      <c r="N2858" s="355" t="s">
        <v>153</v>
      </c>
      <c r="O2858" s="404" t="s">
        <v>2930</v>
      </c>
      <c r="P2858" s="392"/>
      <c r="Q2858" s="327"/>
      <c r="R2858" s="351"/>
      <c r="S2858" s="351"/>
      <c r="T2858" s="351"/>
      <c r="U2858" s="329" t="str">
        <f>IF($N2858=$N$4,IFERROR(INDEX(DanhMuc!$E$154:$E$165,MATCH(MID($B2858,4,2),DanhMuc!$B$154:$B$165,0)),""),"")</f>
        <v/>
      </c>
      <c r="V2858" s="361"/>
      <c r="W2858" s="345"/>
      <c r="X2858" s="329" t="str">
        <f t="shared" si="296"/>
        <v>2R</v>
      </c>
      <c r="Y2858" s="1128" t="s">
        <v>3380</v>
      </c>
      <c r="Z2858" s="1128" t="s">
        <v>3381</v>
      </c>
      <c r="AA2858" s="1128" t="s">
        <v>3384</v>
      </c>
      <c r="AB2858" s="20"/>
      <c r="AC2858" s="73"/>
    </row>
    <row r="2859" spans="1:29">
      <c r="A2859" s="327" t="str">
        <f>IF(AND($B2859&lt;&gt;"",$C2859&lt;&gt;""),MAX($A$1556:A2858)+1,"")</f>
        <v/>
      </c>
      <c r="B2859" s="361" t="s">
        <v>3169</v>
      </c>
      <c r="C2859" s="360"/>
      <c r="D2859" s="327">
        <f>IF($B2859="","",COUNTIF($B$6:$B2859,$B2859))</f>
        <v>9</v>
      </c>
      <c r="E2859" s="361" t="s">
        <v>2915</v>
      </c>
      <c r="F2859" s="362" t="s">
        <v>2917</v>
      </c>
      <c r="G2859" s="327" t="s">
        <v>155</v>
      </c>
      <c r="H2859" s="327" t="s">
        <v>536</v>
      </c>
      <c r="I2859" s="327">
        <v>1</v>
      </c>
      <c r="J2859" s="359"/>
      <c r="K2859" s="327"/>
      <c r="L2859" s="389">
        <v>58599</v>
      </c>
      <c r="M2859" s="371"/>
      <c r="N2859" s="355" t="s">
        <v>153</v>
      </c>
      <c r="O2859" s="404" t="s">
        <v>2930</v>
      </c>
      <c r="P2859" s="392"/>
      <c r="Q2859" s="327"/>
      <c r="R2859" s="351"/>
      <c r="S2859" s="351"/>
      <c r="T2859" s="351"/>
      <c r="U2859" s="329" t="str">
        <f>IF($N2859=$N$4,IFERROR(INDEX(DanhMuc!$E$154:$E$165,MATCH(MID($B2859,4,2),DanhMuc!$B$154:$B$165,0)),""),"")</f>
        <v/>
      </c>
      <c r="V2859" s="361"/>
      <c r="W2859" s="345"/>
      <c r="X2859" s="329" t="str">
        <f t="shared" si="296"/>
        <v>2R</v>
      </c>
      <c r="Y2859" s="1128" t="s">
        <v>3380</v>
      </c>
      <c r="Z2859" s="1128" t="s">
        <v>3381</v>
      </c>
      <c r="AA2859" s="1128" t="s">
        <v>3384</v>
      </c>
      <c r="AB2859" s="20"/>
      <c r="AC2859" s="73"/>
    </row>
    <row r="2860" spans="1:29" ht="25">
      <c r="A2860" s="327" t="str">
        <f>IF(AND($B2860&lt;&gt;"",$C2860&lt;&gt;""),MAX($A$1556:A2857)+1,"")</f>
        <v/>
      </c>
      <c r="B2860" s="361" t="s">
        <v>3169</v>
      </c>
      <c r="C2860" s="360"/>
      <c r="D2860" s="327">
        <f>IF($B2860="","",COUNTIF($B$6:$B2860,$B2860))</f>
        <v>10</v>
      </c>
      <c r="E2860" s="361" t="s">
        <v>2927</v>
      </c>
      <c r="F2860" s="362" t="s">
        <v>2934</v>
      </c>
      <c r="G2860" s="327" t="s">
        <v>155</v>
      </c>
      <c r="H2860" s="327" t="s">
        <v>536</v>
      </c>
      <c r="I2860" s="327">
        <v>1</v>
      </c>
      <c r="J2860" s="359"/>
      <c r="K2860" s="327"/>
      <c r="L2860" s="389">
        <v>76721</v>
      </c>
      <c r="M2860" s="371"/>
      <c r="N2860" s="355" t="s">
        <v>153</v>
      </c>
      <c r="O2860" s="404" t="s">
        <v>2933</v>
      </c>
      <c r="P2860" s="392"/>
      <c r="Q2860" s="327"/>
      <c r="R2860" s="351"/>
      <c r="S2860" s="351"/>
      <c r="T2860" s="351"/>
      <c r="U2860" s="329" t="str">
        <f>IF($N2860=$N$4,IFERROR(INDEX(DanhMuc!$E$154:$E$165,MATCH(MID($B2860,4,2),DanhMuc!$B$154:$B$165,0)),""),"")</f>
        <v/>
      </c>
      <c r="V2860" s="361"/>
      <c r="W2860" s="345"/>
      <c r="X2860" s="329" t="str">
        <f t="shared" si="296"/>
        <v>2R</v>
      </c>
      <c r="Y2860" s="1128" t="s">
        <v>3380</v>
      </c>
      <c r="Z2860" s="1128" t="s">
        <v>3381</v>
      </c>
      <c r="AA2860" s="1128" t="s">
        <v>3384</v>
      </c>
      <c r="AB2860" s="20"/>
      <c r="AC2860" s="73"/>
    </row>
    <row r="2861" spans="1:29">
      <c r="A2861" s="327" t="str">
        <f>IF(AND($B2861&lt;&gt;"",$C2861&lt;&gt;""),MAX($A$1556:A2860)+1,"")</f>
        <v/>
      </c>
      <c r="B2861" s="361" t="s">
        <v>3169</v>
      </c>
      <c r="C2861" s="360"/>
      <c r="D2861" s="327">
        <f>IF($B2861="","",COUNTIF($B$6:$B2861,$B2861))</f>
        <v>11</v>
      </c>
      <c r="E2861" s="361" t="s">
        <v>2915</v>
      </c>
      <c r="F2861" s="362" t="s">
        <v>2932</v>
      </c>
      <c r="G2861" s="327" t="s">
        <v>155</v>
      </c>
      <c r="H2861" s="327" t="s">
        <v>536</v>
      </c>
      <c r="I2861" s="327">
        <v>1</v>
      </c>
      <c r="J2861" s="359"/>
      <c r="K2861" s="327"/>
      <c r="L2861" s="389">
        <v>58599</v>
      </c>
      <c r="M2861" s="371"/>
      <c r="N2861" s="355" t="s">
        <v>153</v>
      </c>
      <c r="O2861" s="404" t="s">
        <v>2933</v>
      </c>
      <c r="P2861" s="392"/>
      <c r="Q2861" s="327"/>
      <c r="R2861" s="351"/>
      <c r="S2861" s="351"/>
      <c r="T2861" s="351"/>
      <c r="U2861" s="329" t="str">
        <f>IF($N2861=$N$4,IFERROR(INDEX(DanhMuc!$E$154:$E$165,MATCH(MID($B2861,4,2),DanhMuc!$B$154:$B$165,0)),""),"")</f>
        <v/>
      </c>
      <c r="V2861" s="361"/>
      <c r="W2861" s="345"/>
      <c r="X2861" s="329" t="str">
        <f t="shared" si="296"/>
        <v>2R</v>
      </c>
      <c r="Y2861" s="1128" t="s">
        <v>3380</v>
      </c>
      <c r="Z2861" s="1128" t="s">
        <v>3381</v>
      </c>
      <c r="AA2861" s="1128" t="s">
        <v>3384</v>
      </c>
      <c r="AB2861" s="20"/>
      <c r="AC2861" s="73"/>
    </row>
    <row r="2862" spans="1:29" ht="25">
      <c r="A2862" s="327" t="str">
        <f>IF(AND($B2862&lt;&gt;"",$C2862&lt;&gt;""),MAX($A$1556:A2857)+1,"")</f>
        <v/>
      </c>
      <c r="B2862" s="361" t="s">
        <v>3169</v>
      </c>
      <c r="C2862" s="360"/>
      <c r="D2862" s="327">
        <f>IF($B2862="","",COUNTIF($B$6:$B2862,$B2862))</f>
        <v>12</v>
      </c>
      <c r="E2862" s="361" t="s">
        <v>2921</v>
      </c>
      <c r="F2862" s="362" t="s">
        <v>210</v>
      </c>
      <c r="G2862" s="327" t="s">
        <v>155</v>
      </c>
      <c r="H2862" s="327"/>
      <c r="I2862" s="327">
        <v>1</v>
      </c>
      <c r="J2862" s="359"/>
      <c r="K2862" s="327"/>
      <c r="L2862" s="389">
        <v>68884</v>
      </c>
      <c r="M2862" s="371"/>
      <c r="N2862" s="355" t="s">
        <v>153</v>
      </c>
      <c r="O2862" s="404" t="s">
        <v>1782</v>
      </c>
      <c r="P2862" s="392"/>
      <c r="Q2862" s="327"/>
      <c r="R2862" s="351"/>
      <c r="S2862" s="351"/>
      <c r="T2862" s="351"/>
      <c r="U2862" s="329" t="str">
        <f>IF($N2862=$N$4,IFERROR(INDEX(DanhMuc!$E$154:$E$165,MATCH(MID($B2862,4,2),DanhMuc!$B$154:$B$165,0)),""),"")</f>
        <v/>
      </c>
      <c r="V2862" s="361"/>
      <c r="W2862" s="345"/>
      <c r="X2862" s="329" t="str">
        <f t="shared" si="296"/>
        <v>2R</v>
      </c>
      <c r="Y2862" s="1128" t="s">
        <v>3380</v>
      </c>
      <c r="Z2862" s="1128" t="s">
        <v>3381</v>
      </c>
      <c r="AA2862" s="1128" t="s">
        <v>3384</v>
      </c>
      <c r="AB2862" s="20"/>
      <c r="AC2862" s="73"/>
    </row>
    <row r="2863" spans="1:29" ht="50">
      <c r="A2863" s="327" t="str">
        <f>IF(AND($B2863&lt;&gt;"",$C2863&lt;&gt;""),MAX($A$1556:A2862)+1,"")</f>
        <v/>
      </c>
      <c r="B2863" s="361" t="s">
        <v>3169</v>
      </c>
      <c r="C2863" s="360"/>
      <c r="D2863" s="327">
        <f>IF($B2863="","",COUNTIF($B$6:$B2863,$B2863))</f>
        <v>13</v>
      </c>
      <c r="E2863" s="403" t="s">
        <v>2973</v>
      </c>
      <c r="F2863" s="403" t="s">
        <v>953</v>
      </c>
      <c r="G2863" s="410" t="s">
        <v>156</v>
      </c>
      <c r="H2863" s="327" t="s">
        <v>536</v>
      </c>
      <c r="I2863" s="411" t="s">
        <v>2856</v>
      </c>
      <c r="J2863" s="404"/>
      <c r="K2863" s="410"/>
      <c r="L2863" s="389">
        <v>49122</v>
      </c>
      <c r="M2863" s="371"/>
      <c r="N2863" s="355" t="s">
        <v>153</v>
      </c>
      <c r="O2863" s="404" t="s">
        <v>1623</v>
      </c>
      <c r="P2863" s="392"/>
      <c r="Q2863" s="327"/>
      <c r="R2863" s="351"/>
      <c r="S2863" s="351"/>
      <c r="T2863" s="351"/>
      <c r="U2863" s="329" t="str">
        <f>IF($N2863=$N$4,IFERROR(INDEX(DanhMuc!$E$154:$E$165,MATCH(MID($B2863,4,2),DanhMuc!$B$154:$B$165,0)),""),"")</f>
        <v/>
      </c>
      <c r="V2863" s="361"/>
      <c r="W2863" s="345"/>
      <c r="X2863" s="329" t="str">
        <f t="shared" si="296"/>
        <v>2R</v>
      </c>
      <c r="Y2863" s="1128" t="s">
        <v>3380</v>
      </c>
      <c r="Z2863" s="1128" t="s">
        <v>3381</v>
      </c>
      <c r="AA2863" s="1128" t="s">
        <v>3384</v>
      </c>
      <c r="AB2863" s="20"/>
      <c r="AC2863" s="73"/>
    </row>
    <row r="2864" spans="1:29" ht="50">
      <c r="A2864" s="327" t="str">
        <f>IF(AND($B2864&lt;&gt;"",$C2864&lt;&gt;""),MAX($A$1556:A2863)+1,"")</f>
        <v/>
      </c>
      <c r="B2864" s="361" t="s">
        <v>3169</v>
      </c>
      <c r="C2864" s="360"/>
      <c r="D2864" s="327">
        <f>IF($B2864="","",COUNTIF($B$6:$B2864,$B2864))</f>
        <v>14</v>
      </c>
      <c r="E2864" s="403" t="s">
        <v>2974</v>
      </c>
      <c r="F2864" s="403" t="s">
        <v>1059</v>
      </c>
      <c r="G2864" s="410" t="s">
        <v>156</v>
      </c>
      <c r="H2864" s="327" t="s">
        <v>536</v>
      </c>
      <c r="I2864" s="411" t="s">
        <v>2853</v>
      </c>
      <c r="J2864" s="404"/>
      <c r="K2864" s="410"/>
      <c r="L2864" s="389">
        <v>59067</v>
      </c>
      <c r="M2864" s="371"/>
      <c r="N2864" s="355" t="s">
        <v>153</v>
      </c>
      <c r="O2864" s="404" t="s">
        <v>1623</v>
      </c>
      <c r="P2864" s="392"/>
      <c r="Q2864" s="327"/>
      <c r="R2864" s="351"/>
      <c r="S2864" s="351"/>
      <c r="T2864" s="351"/>
      <c r="U2864" s="329" t="str">
        <f>IF($N2864=$N$4,IFERROR(INDEX(DanhMuc!$E$154:$E$165,MATCH(MID($B2864,4,2),DanhMuc!$B$154:$B$165,0)),""),"")</f>
        <v/>
      </c>
      <c r="V2864" s="361"/>
      <c r="W2864" s="345"/>
      <c r="X2864" s="329" t="str">
        <f t="shared" si="296"/>
        <v>2R</v>
      </c>
      <c r="Y2864" s="1128" t="s">
        <v>3380</v>
      </c>
      <c r="Z2864" s="1128" t="s">
        <v>3381</v>
      </c>
      <c r="AA2864" s="1128" t="s">
        <v>3384</v>
      </c>
      <c r="AB2864" s="20"/>
      <c r="AC2864" s="73"/>
    </row>
    <row r="2865" spans="1:29" ht="50">
      <c r="A2865" s="327" t="str">
        <f>IF(AND($B2865&lt;&gt;"",$C2865&lt;&gt;""),MAX($A$1556:A2864)+1,"")</f>
        <v/>
      </c>
      <c r="B2865" s="361" t="s">
        <v>3169</v>
      </c>
      <c r="C2865" s="360"/>
      <c r="D2865" s="327">
        <f>IF($B2865="","",COUNTIF($B$6:$B2865,$B2865))</f>
        <v>15</v>
      </c>
      <c r="E2865" s="403" t="s">
        <v>2987</v>
      </c>
      <c r="F2865" s="403" t="s">
        <v>956</v>
      </c>
      <c r="G2865" s="410" t="s">
        <v>156</v>
      </c>
      <c r="H2865" s="327" t="s">
        <v>536</v>
      </c>
      <c r="I2865" s="411" t="s">
        <v>2854</v>
      </c>
      <c r="J2865" s="404"/>
      <c r="K2865" s="410"/>
      <c r="L2865" s="389">
        <v>77078</v>
      </c>
      <c r="M2865" s="371"/>
      <c r="N2865" s="355" t="s">
        <v>153</v>
      </c>
      <c r="O2865" s="404" t="s">
        <v>1623</v>
      </c>
      <c r="P2865" s="392"/>
      <c r="Q2865" s="327"/>
      <c r="R2865" s="351"/>
      <c r="S2865" s="351"/>
      <c r="T2865" s="351"/>
      <c r="U2865" s="329" t="str">
        <f>IF($N2865=$N$4,IFERROR(INDEX(DanhMuc!$E$154:$E$165,MATCH(MID($B2865,4,2),DanhMuc!$B$154:$B$165,0)),""),"")</f>
        <v/>
      </c>
      <c r="V2865" s="361"/>
      <c r="W2865" s="345"/>
      <c r="X2865" s="329" t="str">
        <f t="shared" si="296"/>
        <v>2R</v>
      </c>
      <c r="Y2865" s="1128" t="s">
        <v>3380</v>
      </c>
      <c r="Z2865" s="1128" t="s">
        <v>3381</v>
      </c>
      <c r="AA2865" s="1128" t="s">
        <v>3384</v>
      </c>
      <c r="AB2865" s="20"/>
      <c r="AC2865" s="73"/>
    </row>
    <row r="2866" spans="1:29" ht="50">
      <c r="A2866" s="327" t="str">
        <f>IF(AND($B2866&lt;&gt;"",$C2866&lt;&gt;""),MAX($A$1556:A2865)+1,"")</f>
        <v/>
      </c>
      <c r="B2866" s="361" t="s">
        <v>3169</v>
      </c>
      <c r="C2866" s="360"/>
      <c r="D2866" s="327">
        <f>IF($B2866="","",COUNTIF($B$6:$B2866,$B2866))</f>
        <v>16</v>
      </c>
      <c r="E2866" s="403" t="s">
        <v>2975</v>
      </c>
      <c r="F2866" s="403" t="s">
        <v>183</v>
      </c>
      <c r="G2866" s="410" t="s">
        <v>156</v>
      </c>
      <c r="H2866" s="327" t="s">
        <v>536</v>
      </c>
      <c r="I2866" s="411" t="s">
        <v>2855</v>
      </c>
      <c r="J2866" s="404"/>
      <c r="K2866" s="410"/>
      <c r="L2866" s="415">
        <v>77078</v>
      </c>
      <c r="M2866" s="371"/>
      <c r="N2866" s="355" t="s">
        <v>153</v>
      </c>
      <c r="O2866" s="404" t="s">
        <v>1623</v>
      </c>
      <c r="P2866" s="392"/>
      <c r="Q2866" s="327"/>
      <c r="R2866" s="351"/>
      <c r="S2866" s="351"/>
      <c r="T2866" s="351"/>
      <c r="U2866" s="329" t="str">
        <f>IF($N2866=$N$4,IFERROR(INDEX(DanhMuc!$E$154:$E$165,MATCH(MID($B2866,4,2),DanhMuc!$B$154:$B$165,0)),""),"")</f>
        <v/>
      </c>
      <c r="V2866" s="361"/>
      <c r="W2866" s="345"/>
      <c r="X2866" s="329" t="str">
        <f t="shared" si="296"/>
        <v>2R</v>
      </c>
      <c r="Y2866" s="1128" t="s">
        <v>3380</v>
      </c>
      <c r="Z2866" s="1128" t="s">
        <v>3381</v>
      </c>
      <c r="AA2866" s="1128" t="s">
        <v>3384</v>
      </c>
      <c r="AB2866" s="20"/>
      <c r="AC2866" s="73"/>
    </row>
    <row r="2867" spans="1:29">
      <c r="A2867" s="327" t="str">
        <f>IF(AND($B2867&lt;&gt;"",$C2867&lt;&gt;""),MAX($A$1556:A2866)+1,"")</f>
        <v/>
      </c>
      <c r="B2867" s="361" t="s">
        <v>3169</v>
      </c>
      <c r="C2867" s="360"/>
      <c r="D2867" s="327">
        <f>IF($B2867="","",COUNTIF($B$6:$B2867,$B2867))</f>
        <v>17</v>
      </c>
      <c r="E2867" s="361" t="s">
        <v>2922</v>
      </c>
      <c r="F2867" s="362" t="s">
        <v>981</v>
      </c>
      <c r="G2867" s="327" t="s">
        <v>155</v>
      </c>
      <c r="H2867" s="327" t="s">
        <v>536</v>
      </c>
      <c r="I2867" s="327">
        <v>2</v>
      </c>
      <c r="J2867" s="359"/>
      <c r="K2867" s="327"/>
      <c r="L2867" s="389">
        <v>4514</v>
      </c>
      <c r="M2867" s="371"/>
      <c r="N2867" s="355" t="str">
        <f t="shared" si="297"/>
        <v>PK</v>
      </c>
      <c r="O2867" s="404" t="s">
        <v>1623</v>
      </c>
      <c r="P2867" s="392"/>
      <c r="Q2867" s="327"/>
      <c r="R2867" s="351"/>
      <c r="S2867" s="351"/>
      <c r="T2867" s="351"/>
      <c r="U2867" s="329" t="str">
        <f>IF($N2867=$N$4,IFERROR(INDEX(DanhMuc!$E$154:$E$165,MATCH(MID($B2867,4,2),DanhMuc!$B$154:$B$165,0)),""),"")</f>
        <v/>
      </c>
      <c r="V2867" s="361"/>
      <c r="W2867" s="345"/>
      <c r="X2867" s="329" t="str">
        <f t="shared" si="296"/>
        <v>2R</v>
      </c>
      <c r="Y2867" s="1128" t="s">
        <v>3380</v>
      </c>
      <c r="Z2867" s="1128" t="s">
        <v>3381</v>
      </c>
      <c r="AA2867" s="1128" t="s">
        <v>3384</v>
      </c>
      <c r="AB2867" s="20"/>
      <c r="AC2867" s="73"/>
    </row>
    <row r="2868" spans="1:29">
      <c r="A2868" s="327" t="str">
        <f>IF(AND($B2868&lt;&gt;"",$C2868&lt;&gt;""),MAX($A$1556:A2867)+1,"")</f>
        <v/>
      </c>
      <c r="B2868" s="361" t="s">
        <v>3169</v>
      </c>
      <c r="C2868" s="360"/>
      <c r="D2868" s="327">
        <f>IF($B2868="","",COUNTIF($B$6:$B2868,$B2868))</f>
        <v>18</v>
      </c>
      <c r="E2868" s="361" t="s">
        <v>187</v>
      </c>
      <c r="F2868" s="362" t="s">
        <v>189</v>
      </c>
      <c r="G2868" s="327" t="s">
        <v>155</v>
      </c>
      <c r="H2868" s="327"/>
      <c r="I2868" s="327">
        <v>4</v>
      </c>
      <c r="J2868" s="361"/>
      <c r="K2868" s="327"/>
      <c r="L2868" s="389">
        <v>5000</v>
      </c>
      <c r="M2868" s="371"/>
      <c r="N2868" s="355" t="str">
        <f t="shared" si="297"/>
        <v>PK</v>
      </c>
      <c r="O2868" s="345"/>
      <c r="P2868" s="392"/>
      <c r="Q2868" s="327"/>
      <c r="R2868" s="351"/>
      <c r="S2868" s="351"/>
      <c r="T2868" s="351"/>
      <c r="U2868" s="329" t="str">
        <f>IF($N2868=$N$4,IFERROR(INDEX(DanhMuc!$E$154:$E$165,MATCH(MID($B2868,4,2),DanhMuc!$B$154:$B$165,0)),""),"")</f>
        <v/>
      </c>
      <c r="V2868" s="361"/>
      <c r="W2868" s="345"/>
      <c r="X2868" s="329" t="str">
        <f t="shared" si="296"/>
        <v>2R</v>
      </c>
      <c r="Y2868" s="1128" t="s">
        <v>3380</v>
      </c>
      <c r="Z2868" s="1128" t="s">
        <v>3381</v>
      </c>
      <c r="AA2868" s="1128" t="s">
        <v>3384</v>
      </c>
      <c r="AB2868" s="20"/>
      <c r="AC2868" s="73"/>
    </row>
    <row r="2869" spans="1:29">
      <c r="A2869" s="327" t="str">
        <f>IF(AND($B2869&lt;&gt;"",$C2869&lt;&gt;""),MAX($A$1556:A2868)+1,"")</f>
        <v/>
      </c>
      <c r="B2869" s="361" t="s">
        <v>3169</v>
      </c>
      <c r="C2869" s="360"/>
      <c r="D2869" s="327">
        <f>IF($B2869="","",COUNTIF($B$6:$B2869,$B2869))</f>
        <v>19</v>
      </c>
      <c r="E2869" s="361" t="s">
        <v>172</v>
      </c>
      <c r="F2869" s="362" t="s">
        <v>173</v>
      </c>
      <c r="G2869" s="327" t="s">
        <v>155</v>
      </c>
      <c r="H2869" s="327"/>
      <c r="I2869" s="327">
        <v>1</v>
      </c>
      <c r="J2869" s="361"/>
      <c r="K2869" s="327"/>
      <c r="L2869" s="389">
        <v>6000</v>
      </c>
      <c r="M2869" s="371"/>
      <c r="N2869" s="355" t="str">
        <f t="shared" si="297"/>
        <v>PK</v>
      </c>
      <c r="O2869" s="345"/>
      <c r="P2869" s="392"/>
      <c r="Q2869" s="327"/>
      <c r="R2869" s="351"/>
      <c r="S2869" s="351"/>
      <c r="T2869" s="351"/>
      <c r="U2869" s="329" t="str">
        <f>IF($N2869=$N$4,IFERROR(INDEX(DanhMuc!$E$154:$E$165,MATCH(MID($B2869,4,2),DanhMuc!$B$154:$B$165,0)),""),"")</f>
        <v/>
      </c>
      <c r="V2869" s="361"/>
      <c r="W2869" s="345"/>
      <c r="X2869" s="329" t="str">
        <f t="shared" si="296"/>
        <v>2R</v>
      </c>
      <c r="Y2869" s="1128" t="s">
        <v>3380</v>
      </c>
      <c r="Z2869" s="1128" t="s">
        <v>3381</v>
      </c>
      <c r="AA2869" s="1128" t="s">
        <v>3384</v>
      </c>
      <c r="AB2869" s="20"/>
      <c r="AC2869" s="73"/>
    </row>
    <row r="2870" spans="1:29">
      <c r="A2870" s="327" t="str">
        <f>IF(AND($B2870&lt;&gt;"",$C2870&lt;&gt;""),MAX($A$1556:A2869)+1,"")</f>
        <v/>
      </c>
      <c r="B2870" s="361" t="s">
        <v>3169</v>
      </c>
      <c r="C2870" s="360"/>
      <c r="D2870" s="327">
        <f>IF($B2870="","",COUNTIF($B$6:$B2870,$B2870))</f>
        <v>20</v>
      </c>
      <c r="E2870" s="361" t="s">
        <v>163</v>
      </c>
      <c r="F2870" s="362" t="s">
        <v>164</v>
      </c>
      <c r="G2870" s="327" t="s">
        <v>155</v>
      </c>
      <c r="H2870" s="327"/>
      <c r="I2870" s="327">
        <v>2</v>
      </c>
      <c r="J2870" s="361"/>
      <c r="K2870" s="327"/>
      <c r="L2870" s="389">
        <v>2500</v>
      </c>
      <c r="M2870" s="371"/>
      <c r="N2870" s="355" t="str">
        <f t="shared" si="297"/>
        <v>PK</v>
      </c>
      <c r="O2870" s="345"/>
      <c r="P2870" s="392"/>
      <c r="Q2870" s="327"/>
      <c r="R2870" s="351"/>
      <c r="S2870" s="351"/>
      <c r="T2870" s="351"/>
      <c r="U2870" s="329" t="str">
        <f>IF($N2870=$N$4,IFERROR(INDEX(DanhMuc!$E$154:$E$165,MATCH(MID($B2870,4,2),DanhMuc!$B$154:$B$165,0)),""),"")</f>
        <v/>
      </c>
      <c r="V2870" s="408" t="s">
        <v>342</v>
      </c>
      <c r="W2870" s="345"/>
      <c r="X2870" s="329" t="str">
        <f t="shared" si="296"/>
        <v>2R</v>
      </c>
      <c r="Y2870" s="1128" t="s">
        <v>3380</v>
      </c>
      <c r="Z2870" s="1128" t="s">
        <v>3381</v>
      </c>
      <c r="AA2870" s="1128" t="s">
        <v>3384</v>
      </c>
      <c r="AB2870" s="20"/>
      <c r="AC2870" s="73"/>
    </row>
    <row r="2871" spans="1:29">
      <c r="A2871" s="327" t="str">
        <f>IF(AND($B2871&lt;&gt;"",$C2871&lt;&gt;""),MAX($A$1556:A2870)+1,"")</f>
        <v/>
      </c>
      <c r="B2871" s="361" t="s">
        <v>3169</v>
      </c>
      <c r="C2871" s="360"/>
      <c r="D2871" s="327">
        <f>IF($B2871="","",COUNTIF($B$6:$B2871,$B2871))</f>
        <v>21</v>
      </c>
      <c r="E2871" s="361" t="s">
        <v>2923</v>
      </c>
      <c r="F2871" s="362" t="s">
        <v>186</v>
      </c>
      <c r="G2871" s="327" t="s">
        <v>155</v>
      </c>
      <c r="H2871" s="327" t="s">
        <v>536</v>
      </c>
      <c r="I2871" s="327">
        <v>6</v>
      </c>
      <c r="J2871" s="361"/>
      <c r="K2871" s="327"/>
      <c r="L2871" s="389">
        <v>40308</v>
      </c>
      <c r="M2871" s="371"/>
      <c r="N2871" s="355" t="str">
        <f t="shared" si="297"/>
        <v>PK</v>
      </c>
      <c r="O2871" s="345"/>
      <c r="P2871" s="392"/>
      <c r="Q2871" s="327"/>
      <c r="R2871" s="351"/>
      <c r="S2871" s="351"/>
      <c r="T2871" s="351"/>
      <c r="U2871" s="329" t="str">
        <f>IF($N2871=$N$4,IFERROR(INDEX(DanhMuc!$E$154:$E$165,MATCH(MID($B2871,4,2),DanhMuc!$B$154:$B$165,0)),""),"")</f>
        <v/>
      </c>
      <c r="V2871" s="361"/>
      <c r="W2871" s="345"/>
      <c r="X2871" s="329" t="str">
        <f t="shared" si="296"/>
        <v>2R</v>
      </c>
      <c r="Y2871" s="1128" t="s">
        <v>3380</v>
      </c>
      <c r="Z2871" s="1128" t="s">
        <v>3381</v>
      </c>
      <c r="AA2871" s="1128" t="s">
        <v>3384</v>
      </c>
      <c r="AB2871" s="20"/>
      <c r="AC2871" s="73"/>
    </row>
    <row r="2872" spans="1:29">
      <c r="A2872" s="327" t="str">
        <f>IF(AND($B2872&lt;&gt;"",$C2872&lt;&gt;""),MAX($A$1556:A2871)+1,"")</f>
        <v/>
      </c>
      <c r="B2872" s="361" t="s">
        <v>3169</v>
      </c>
      <c r="C2872" s="360"/>
      <c r="D2872" s="327">
        <f>IF($B2872="","",COUNTIF($B$6:$B2872,$B2872))</f>
        <v>22</v>
      </c>
      <c r="E2872" s="361" t="s">
        <v>165</v>
      </c>
      <c r="F2872" s="362" t="s">
        <v>166</v>
      </c>
      <c r="G2872" s="327" t="s">
        <v>155</v>
      </c>
      <c r="H2872" s="327"/>
      <c r="I2872" s="327">
        <v>2</v>
      </c>
      <c r="J2872" s="361"/>
      <c r="K2872" s="327"/>
      <c r="L2872" s="389">
        <v>1700</v>
      </c>
      <c r="M2872" s="371"/>
      <c r="N2872" s="355" t="str">
        <f t="shared" si="297"/>
        <v>PK</v>
      </c>
      <c r="O2872" s="345"/>
      <c r="P2872" s="392"/>
      <c r="Q2872" s="327"/>
      <c r="R2872" s="351"/>
      <c r="S2872" s="351"/>
      <c r="T2872" s="351"/>
      <c r="U2872" s="329" t="str">
        <f>IF($N2872=$N$4,IFERROR(INDEX(DanhMuc!$E$154:$E$165,MATCH(MID($B2872,4,2),DanhMuc!$B$154:$B$165,0)),""),"")</f>
        <v/>
      </c>
      <c r="V2872" s="361"/>
      <c r="W2872" s="345"/>
      <c r="X2872" s="329" t="str">
        <f t="shared" si="296"/>
        <v>2R</v>
      </c>
      <c r="Y2872" s="1128" t="s">
        <v>3380</v>
      </c>
      <c r="Z2872" s="1128" t="s">
        <v>3381</v>
      </c>
      <c r="AA2872" s="1128" t="s">
        <v>3384</v>
      </c>
      <c r="AB2872" s="20"/>
      <c r="AC2872" s="73"/>
    </row>
    <row r="2873" spans="1:29">
      <c r="A2873" s="327" t="str">
        <f>IF(AND($B2873&lt;&gt;"",$C2873&lt;&gt;""),MAX($A$1556:A2872)+1,"")</f>
        <v/>
      </c>
      <c r="B2873" s="361" t="s">
        <v>3169</v>
      </c>
      <c r="C2873" s="360"/>
      <c r="D2873" s="327">
        <f>IF($B2873="","",COUNTIF($B$6:$B2873,$B2873))</f>
        <v>23</v>
      </c>
      <c r="E2873" s="361" t="s">
        <v>167</v>
      </c>
      <c r="F2873" s="362" t="s">
        <v>168</v>
      </c>
      <c r="G2873" s="327" t="s">
        <v>155</v>
      </c>
      <c r="H2873" s="327"/>
      <c r="I2873" s="327">
        <v>2</v>
      </c>
      <c r="J2873" s="361"/>
      <c r="K2873" s="327"/>
      <c r="L2873" s="389">
        <v>1700</v>
      </c>
      <c r="M2873" s="371"/>
      <c r="N2873" s="355" t="str">
        <f t="shared" si="297"/>
        <v>PK</v>
      </c>
      <c r="O2873" s="345"/>
      <c r="P2873" s="392"/>
      <c r="Q2873" s="327"/>
      <c r="R2873" s="351"/>
      <c r="S2873" s="351"/>
      <c r="T2873" s="351"/>
      <c r="U2873" s="329" t="str">
        <f>IF($N2873=$N$4,IFERROR(INDEX(DanhMuc!$E$154:$E$165,MATCH(MID($B2873,4,2),DanhMuc!$B$154:$B$165,0)),""),"")</f>
        <v/>
      </c>
      <c r="V2873" s="361"/>
      <c r="W2873" s="345"/>
      <c r="X2873" s="329" t="str">
        <f t="shared" si="296"/>
        <v>2R</v>
      </c>
      <c r="Y2873" s="1128" t="s">
        <v>3380</v>
      </c>
      <c r="Z2873" s="1128" t="s">
        <v>3381</v>
      </c>
      <c r="AA2873" s="1128" t="s">
        <v>3384</v>
      </c>
      <c r="AB2873" s="20"/>
      <c r="AC2873" s="73"/>
    </row>
    <row r="2874" spans="1:29">
      <c r="A2874" s="327" t="str">
        <f>IF(AND($B2874&lt;&gt;"",$C2874&lt;&gt;""),MAX($A$1556:A2873)+1,"")</f>
        <v/>
      </c>
      <c r="B2874" s="361" t="s">
        <v>3169</v>
      </c>
      <c r="C2874" s="360"/>
      <c r="D2874" s="327">
        <f>IF($B2874="","",COUNTIF($B$6:$B2874,$B2874))</f>
        <v>24</v>
      </c>
      <c r="E2874" s="361" t="s">
        <v>169</v>
      </c>
      <c r="F2874" s="362" t="s">
        <v>170</v>
      </c>
      <c r="G2874" s="327" t="s">
        <v>155</v>
      </c>
      <c r="H2874" s="327"/>
      <c r="I2874" s="327">
        <v>4</v>
      </c>
      <c r="J2874" s="361"/>
      <c r="K2874" s="327"/>
      <c r="L2874" s="389">
        <v>1700</v>
      </c>
      <c r="M2874" s="371"/>
      <c r="N2874" s="355" t="str">
        <f t="shared" si="297"/>
        <v>PK</v>
      </c>
      <c r="O2874" s="345"/>
      <c r="P2874" s="392"/>
      <c r="Q2874" s="327"/>
      <c r="R2874" s="351"/>
      <c r="S2874" s="351"/>
      <c r="T2874" s="351"/>
      <c r="U2874" s="329" t="str">
        <f>IF($N2874=$N$4,IFERROR(INDEX(DanhMuc!$E$154:$E$165,MATCH(MID($B2874,4,2),DanhMuc!$B$154:$B$165,0)),""),"")</f>
        <v/>
      </c>
      <c r="V2874" s="361"/>
      <c r="W2874" s="345"/>
      <c r="X2874" s="329" t="str">
        <f t="shared" si="296"/>
        <v>2R</v>
      </c>
      <c r="Y2874" s="1128" t="s">
        <v>3380</v>
      </c>
      <c r="Z2874" s="1128" t="s">
        <v>3381</v>
      </c>
      <c r="AA2874" s="1128" t="s">
        <v>3384</v>
      </c>
      <c r="AB2874" s="20"/>
      <c r="AC2874" s="73"/>
    </row>
    <row r="2875" spans="1:29">
      <c r="A2875" s="327" t="str">
        <f>IF(AND($B2875&lt;&gt;"",$C2875&lt;&gt;""),MAX($A$1556:A2874)+1,"")</f>
        <v/>
      </c>
      <c r="B2875" s="361" t="s">
        <v>3169</v>
      </c>
      <c r="C2875" s="360"/>
      <c r="D2875" s="327">
        <f>IF($B2875="","",COUNTIF($B$6:$B2875,$B2875))</f>
        <v>25</v>
      </c>
      <c r="E2875" s="361" t="s">
        <v>171</v>
      </c>
      <c r="F2875" s="362" t="s">
        <v>291</v>
      </c>
      <c r="G2875" s="327" t="s">
        <v>155</v>
      </c>
      <c r="H2875" s="327"/>
      <c r="I2875" s="327">
        <v>4</v>
      </c>
      <c r="J2875" s="361"/>
      <c r="K2875" s="327"/>
      <c r="L2875" s="389">
        <v>1700</v>
      </c>
      <c r="M2875" s="371"/>
      <c r="N2875" s="355" t="str">
        <f t="shared" si="297"/>
        <v>PK</v>
      </c>
      <c r="O2875" s="345"/>
      <c r="P2875" s="392"/>
      <c r="Q2875" s="327"/>
      <c r="R2875" s="351"/>
      <c r="S2875" s="351"/>
      <c r="T2875" s="351"/>
      <c r="U2875" s="329" t="str">
        <f>IF($N2875=$N$4,IFERROR(INDEX(DanhMuc!$E$154:$E$165,MATCH(MID($B2875,4,2),DanhMuc!$B$154:$B$165,0)),""),"")</f>
        <v/>
      </c>
      <c r="V2875" s="361"/>
      <c r="W2875" s="345"/>
      <c r="X2875" s="329" t="str">
        <f t="shared" si="296"/>
        <v>2R</v>
      </c>
      <c r="Y2875" s="1128" t="s">
        <v>3380</v>
      </c>
      <c r="Z2875" s="1128" t="s">
        <v>3381</v>
      </c>
      <c r="AA2875" s="1128" t="s">
        <v>3384</v>
      </c>
      <c r="AB2875" s="20"/>
      <c r="AC2875" s="73"/>
    </row>
    <row r="2876" spans="1:29" ht="37.5">
      <c r="A2876" s="327">
        <f>IF(AND($B2876&lt;&gt;"",$C2876&lt;&gt;""),MAX($A$1556:A2800)+1,"")</f>
        <v>149</v>
      </c>
      <c r="B2876" s="359" t="s">
        <v>2874</v>
      </c>
      <c r="C2876" s="360" t="s">
        <v>1534</v>
      </c>
      <c r="D2876" s="327">
        <f>IF($B2876="","",COUNTIF($B$6:$B2876,$B2876))</f>
        <v>1</v>
      </c>
      <c r="E2876" s="362" t="s">
        <v>2914</v>
      </c>
      <c r="F2876" s="362" t="s">
        <v>2916</v>
      </c>
      <c r="G2876" s="327" t="s">
        <v>155</v>
      </c>
      <c r="H2876" s="327"/>
      <c r="I2876" s="327">
        <v>1</v>
      </c>
      <c r="J2876" s="345"/>
      <c r="K2876" s="327"/>
      <c r="L2876" s="389">
        <v>126387</v>
      </c>
      <c r="M2876" s="371"/>
      <c r="N2876" s="355" t="str">
        <f t="shared" si="297"/>
        <v>PK</v>
      </c>
      <c r="O2876" s="404" t="s">
        <v>2924</v>
      </c>
      <c r="P2876" s="392"/>
      <c r="Q2876" s="327"/>
      <c r="R2876" s="351"/>
      <c r="S2876" s="351"/>
      <c r="T2876" s="351"/>
      <c r="U2876" s="329" t="str">
        <f>IF($N2876=$N$4,IFERROR(INDEX(DanhMuc!$E$154:$E$165,MATCH(MID($B2876,4,2),DanhMuc!$B$154:$B$165,0)),""),"")</f>
        <v/>
      </c>
      <c r="V2876" s="361"/>
      <c r="W2876" s="345"/>
      <c r="X2876" s="329" t="str">
        <f t="shared" si="296"/>
        <v>DR</v>
      </c>
      <c r="Y2876" s="1128" t="s">
        <v>3380</v>
      </c>
      <c r="Z2876" s="1128" t="s">
        <v>3381</v>
      </c>
      <c r="AA2876" s="1128" t="s">
        <v>3384</v>
      </c>
      <c r="AB2876" s="20"/>
      <c r="AC2876" s="73"/>
    </row>
    <row r="2877" spans="1:29">
      <c r="A2877" s="327" t="str">
        <f>IF(AND($B2877&lt;&gt;"",$C2877&lt;&gt;""),MAX($A$1556:A2801)+1,"")</f>
        <v/>
      </c>
      <c r="B2877" s="361" t="s">
        <v>2874</v>
      </c>
      <c r="C2877" s="360"/>
      <c r="D2877" s="327">
        <f>IF($B2877="","",COUNTIF($B$6:$B2877,$B2877))</f>
        <v>2</v>
      </c>
      <c r="E2877" s="361" t="s">
        <v>2915</v>
      </c>
      <c r="F2877" s="362" t="s">
        <v>2917</v>
      </c>
      <c r="G2877" s="327" t="s">
        <v>155</v>
      </c>
      <c r="H2877" s="327"/>
      <c r="I2877" s="327">
        <v>1</v>
      </c>
      <c r="J2877" s="345"/>
      <c r="K2877" s="327"/>
      <c r="L2877" s="389">
        <v>58599</v>
      </c>
      <c r="M2877" s="371"/>
      <c r="N2877" s="355" t="str">
        <f t="shared" si="297"/>
        <v>PK</v>
      </c>
      <c r="O2877" s="404" t="s">
        <v>2924</v>
      </c>
      <c r="P2877" s="392"/>
      <c r="Q2877" s="327"/>
      <c r="R2877" s="351"/>
      <c r="S2877" s="351"/>
      <c r="T2877" s="351"/>
      <c r="U2877" s="329" t="str">
        <f>IF($N2877=$N$4,IFERROR(INDEX(DanhMuc!$E$154:$E$165,MATCH(MID($B2877,4,2),DanhMuc!$B$154:$B$165,0)),""),"")</f>
        <v/>
      </c>
      <c r="V2877" s="361"/>
      <c r="W2877" s="345"/>
      <c r="X2877" s="329" t="str">
        <f t="shared" si="296"/>
        <v>DR</v>
      </c>
      <c r="Y2877" s="1128" t="s">
        <v>3380</v>
      </c>
      <c r="Z2877" s="1128" t="s">
        <v>3381</v>
      </c>
      <c r="AA2877" s="1128" t="s">
        <v>3384</v>
      </c>
      <c r="AB2877" s="20"/>
      <c r="AC2877" s="73"/>
    </row>
    <row r="2878" spans="1:29" ht="37.5">
      <c r="A2878" s="327" t="str">
        <f>IF(AND($B2878&lt;&gt;"",$C2878&lt;&gt;""),MAX($A$1556:A2876)+1,"")</f>
        <v/>
      </c>
      <c r="B2878" s="361" t="s">
        <v>2874</v>
      </c>
      <c r="C2878" s="360"/>
      <c r="D2878" s="327">
        <f>IF($B2878="","",COUNTIF($B$6:$B2878,$B2878))</f>
        <v>3</v>
      </c>
      <c r="E2878" s="362" t="s">
        <v>2914</v>
      </c>
      <c r="F2878" s="362" t="s">
        <v>2931</v>
      </c>
      <c r="G2878" s="327" t="s">
        <v>155</v>
      </c>
      <c r="H2878" s="327"/>
      <c r="I2878" s="327">
        <v>1</v>
      </c>
      <c r="J2878" s="345"/>
      <c r="K2878" s="327"/>
      <c r="L2878" s="389">
        <v>126387</v>
      </c>
      <c r="M2878" s="371"/>
      <c r="N2878" s="355" t="str">
        <f t="shared" si="297"/>
        <v>PK</v>
      </c>
      <c r="O2878" s="404" t="s">
        <v>2925</v>
      </c>
      <c r="P2878" s="392"/>
      <c r="Q2878" s="327"/>
      <c r="R2878" s="351"/>
      <c r="S2878" s="351"/>
      <c r="T2878" s="351"/>
      <c r="U2878" s="329" t="str">
        <f>IF($N2878=$N$4,IFERROR(INDEX(DanhMuc!$E$154:$E$165,MATCH(MID($B2878,4,2),DanhMuc!$B$154:$B$165,0)),""),"")</f>
        <v/>
      </c>
      <c r="V2878" s="361"/>
      <c r="W2878" s="345"/>
      <c r="X2878" s="329" t="str">
        <f t="shared" si="296"/>
        <v>DR</v>
      </c>
      <c r="Y2878" s="1128" t="s">
        <v>3380</v>
      </c>
      <c r="Z2878" s="1128" t="s">
        <v>3381</v>
      </c>
      <c r="AA2878" s="1128" t="s">
        <v>3384</v>
      </c>
      <c r="AB2878" s="20"/>
      <c r="AC2878" s="73"/>
    </row>
    <row r="2879" spans="1:29">
      <c r="A2879" s="327" t="str">
        <f>IF(AND($B2879&lt;&gt;"",$C2879&lt;&gt;""),MAX($A$1556:A2877)+1,"")</f>
        <v/>
      </c>
      <c r="B2879" s="361" t="s">
        <v>2874</v>
      </c>
      <c r="C2879" s="360"/>
      <c r="D2879" s="327">
        <f>IF($B2879="","",COUNTIF($B$6:$B2879,$B2879))</f>
        <v>4</v>
      </c>
      <c r="E2879" s="361" t="s">
        <v>2915</v>
      </c>
      <c r="F2879" s="362" t="s">
        <v>2932</v>
      </c>
      <c r="G2879" s="327" t="s">
        <v>155</v>
      </c>
      <c r="H2879" s="327"/>
      <c r="I2879" s="327">
        <v>1</v>
      </c>
      <c r="J2879" s="345"/>
      <c r="K2879" s="327"/>
      <c r="L2879" s="389">
        <v>58599</v>
      </c>
      <c r="M2879" s="371"/>
      <c r="N2879" s="355" t="str">
        <f t="shared" si="297"/>
        <v>PK</v>
      </c>
      <c r="O2879" s="404" t="s">
        <v>2925</v>
      </c>
      <c r="P2879" s="392"/>
      <c r="Q2879" s="327"/>
      <c r="R2879" s="351"/>
      <c r="S2879" s="351"/>
      <c r="T2879" s="351"/>
      <c r="U2879" s="329" t="str">
        <f>IF($N2879=$N$4,IFERROR(INDEX(DanhMuc!$E$154:$E$165,MATCH(MID($B2879,4,2),DanhMuc!$B$154:$B$165,0)),""),"")</f>
        <v/>
      </c>
      <c r="V2879" s="361"/>
      <c r="W2879" s="345"/>
      <c r="X2879" s="329" t="str">
        <f t="shared" si="296"/>
        <v>DR</v>
      </c>
      <c r="Y2879" s="1128" t="s">
        <v>3380</v>
      </c>
      <c r="Z2879" s="1128" t="s">
        <v>3381</v>
      </c>
      <c r="AA2879" s="1128" t="s">
        <v>3384</v>
      </c>
      <c r="AB2879" s="20"/>
      <c r="AC2879" s="73"/>
    </row>
    <row r="2880" spans="1:29">
      <c r="A2880" s="327" t="str">
        <f>IF(AND($B2880&lt;&gt;"",$C2880&lt;&gt;""),MAX($A$1556:A2878)+1,"")</f>
        <v/>
      </c>
      <c r="B2880" s="361" t="s">
        <v>2874</v>
      </c>
      <c r="C2880" s="360"/>
      <c r="D2880" s="327">
        <f>IF($B2880="","",COUNTIF($B$6:$B2880,$B2880))</f>
        <v>5</v>
      </c>
      <c r="E2880" s="361" t="s">
        <v>2918</v>
      </c>
      <c r="F2880" s="362" t="s">
        <v>2919</v>
      </c>
      <c r="G2880" s="327" t="s">
        <v>155</v>
      </c>
      <c r="H2880" s="327"/>
      <c r="I2880" s="327">
        <v>1</v>
      </c>
      <c r="J2880" s="345"/>
      <c r="K2880" s="327"/>
      <c r="L2880" s="389">
        <v>5389</v>
      </c>
      <c r="M2880" s="371"/>
      <c r="N2880" s="355" t="str">
        <f t="shared" si="297"/>
        <v>PK</v>
      </c>
      <c r="O2880" s="404" t="s">
        <v>2926</v>
      </c>
      <c r="P2880" s="392"/>
      <c r="Q2880" s="327"/>
      <c r="R2880" s="351"/>
      <c r="S2880" s="351"/>
      <c r="T2880" s="351"/>
      <c r="U2880" s="329" t="str">
        <f>IF($N2880=$N$4,IFERROR(INDEX(DanhMuc!$E$154:$E$165,MATCH(MID($B2880,4,2),DanhMuc!$B$154:$B$165,0)),""),"")</f>
        <v/>
      </c>
      <c r="V2880" s="361"/>
      <c r="W2880" s="345"/>
      <c r="X2880" s="329" t="str">
        <f t="shared" si="296"/>
        <v>DR</v>
      </c>
      <c r="Y2880" s="1128" t="s">
        <v>3380</v>
      </c>
      <c r="Z2880" s="1128" t="s">
        <v>3381</v>
      </c>
      <c r="AA2880" s="1128" t="s">
        <v>3384</v>
      </c>
      <c r="AB2880" s="20"/>
      <c r="AC2880" s="73"/>
    </row>
    <row r="2881" spans="1:29">
      <c r="A2881" s="327" t="str">
        <f>IF(AND($B2881&lt;&gt;"",$C2881&lt;&gt;""),MAX($A$1556:A2878)+1,"")</f>
        <v/>
      </c>
      <c r="B2881" s="361" t="s">
        <v>2874</v>
      </c>
      <c r="C2881" s="360"/>
      <c r="D2881" s="327">
        <f>IF($B2881="","",COUNTIF($B$6:$B2881,$B2881))</f>
        <v>6</v>
      </c>
      <c r="E2881" s="361" t="s">
        <v>2952</v>
      </c>
      <c r="F2881" s="362" t="s">
        <v>2920</v>
      </c>
      <c r="G2881" s="327" t="s">
        <v>155</v>
      </c>
      <c r="H2881" s="327"/>
      <c r="I2881" s="327">
        <v>2</v>
      </c>
      <c r="J2881" s="359"/>
      <c r="K2881" s="327"/>
      <c r="L2881" s="389">
        <v>33329</v>
      </c>
      <c r="M2881" s="371"/>
      <c r="N2881" s="355" t="s">
        <v>153</v>
      </c>
      <c r="O2881" s="345"/>
      <c r="P2881" s="392"/>
      <c r="Q2881" s="327"/>
      <c r="R2881" s="351"/>
      <c r="S2881" s="351"/>
      <c r="T2881" s="351"/>
      <c r="U2881" s="329" t="str">
        <f>IF($N2881=$N$4,IFERROR(INDEX(DanhMuc!$E$154:$E$165,MATCH(MID($B2881,4,2),DanhMuc!$B$154:$B$165,0)),""),"")</f>
        <v/>
      </c>
      <c r="V2881" s="361"/>
      <c r="W2881" s="345"/>
      <c r="X2881" s="329" t="str">
        <f t="shared" si="296"/>
        <v>DR</v>
      </c>
      <c r="Y2881" s="1128" t="s">
        <v>3380</v>
      </c>
      <c r="Z2881" s="1128" t="s">
        <v>3381</v>
      </c>
      <c r="AA2881" s="1128" t="s">
        <v>3384</v>
      </c>
      <c r="AB2881" s="20"/>
      <c r="AC2881" s="73"/>
    </row>
    <row r="2882" spans="1:29">
      <c r="A2882" s="327" t="str">
        <f>IF(AND($B2882&lt;&gt;"",$C2882&lt;&gt;""),MAX($A$1556:A2881)+1,"")</f>
        <v/>
      </c>
      <c r="B2882" s="361" t="s">
        <v>2874</v>
      </c>
      <c r="C2882" s="360"/>
      <c r="D2882" s="327">
        <f>IF($B2882="","",COUNTIF($B$6:$B2882,$B2882))</f>
        <v>7</v>
      </c>
      <c r="E2882" s="361" t="s">
        <v>2918</v>
      </c>
      <c r="F2882" s="362" t="s">
        <v>2919</v>
      </c>
      <c r="G2882" s="327" t="s">
        <v>155</v>
      </c>
      <c r="H2882" s="327"/>
      <c r="I2882" s="327">
        <v>2</v>
      </c>
      <c r="J2882" s="359"/>
      <c r="K2882" s="327"/>
      <c r="L2882" s="389">
        <v>5389</v>
      </c>
      <c r="M2882" s="371"/>
      <c r="N2882" s="355" t="s">
        <v>153</v>
      </c>
      <c r="O2882" s="345"/>
      <c r="P2882" s="392"/>
      <c r="Q2882" s="327"/>
      <c r="R2882" s="351"/>
      <c r="S2882" s="351"/>
      <c r="T2882" s="351"/>
      <c r="U2882" s="329" t="str">
        <f>IF($N2882=$N$4,IFERROR(INDEX(DanhMuc!$E$154:$E$165,MATCH(MID($B2882,4,2),DanhMuc!$B$154:$B$165,0)),""),"")</f>
        <v/>
      </c>
      <c r="V2882" s="361"/>
      <c r="W2882" s="345"/>
      <c r="X2882" s="329" t="str">
        <f t="shared" si="296"/>
        <v>DR</v>
      </c>
      <c r="Y2882" s="1128" t="s">
        <v>3380</v>
      </c>
      <c r="Z2882" s="1128" t="s">
        <v>3381</v>
      </c>
      <c r="AA2882" s="1128" t="s">
        <v>3384</v>
      </c>
      <c r="AB2882" s="20"/>
      <c r="AC2882" s="73"/>
    </row>
    <row r="2883" spans="1:29" ht="25">
      <c r="A2883" s="327" t="str">
        <f>IF(AND($B2883&lt;&gt;"",$C2883&lt;&gt;""),MAX($A$1556:A2880)+1,"")</f>
        <v/>
      </c>
      <c r="B2883" s="361" t="s">
        <v>2874</v>
      </c>
      <c r="C2883" s="360"/>
      <c r="D2883" s="327">
        <f>IF($B2883="","",COUNTIF($B$6:$B2883,$B2883))</f>
        <v>8</v>
      </c>
      <c r="E2883" s="361" t="s">
        <v>2927</v>
      </c>
      <c r="F2883" s="362" t="s">
        <v>2929</v>
      </c>
      <c r="G2883" s="327" t="s">
        <v>155</v>
      </c>
      <c r="H2883" s="327" t="s">
        <v>536</v>
      </c>
      <c r="I2883" s="327">
        <v>1</v>
      </c>
      <c r="J2883" s="359"/>
      <c r="K2883" s="327"/>
      <c r="L2883" s="389">
        <v>76721</v>
      </c>
      <c r="M2883" s="371"/>
      <c r="N2883" s="355" t="s">
        <v>153</v>
      </c>
      <c r="O2883" s="404" t="s">
        <v>2930</v>
      </c>
      <c r="P2883" s="392"/>
      <c r="Q2883" s="327"/>
      <c r="R2883" s="351"/>
      <c r="S2883" s="351"/>
      <c r="T2883" s="351"/>
      <c r="U2883" s="329" t="str">
        <f>IF($N2883=$N$4,IFERROR(INDEX(DanhMuc!$E$154:$E$165,MATCH(MID($B2883,4,2),DanhMuc!$B$154:$B$165,0)),""),"")</f>
        <v/>
      </c>
      <c r="V2883" s="361"/>
      <c r="W2883" s="345"/>
      <c r="X2883" s="329" t="str">
        <f t="shared" si="296"/>
        <v>DR</v>
      </c>
      <c r="Y2883" s="1128" t="s">
        <v>3380</v>
      </c>
      <c r="Z2883" s="1128" t="s">
        <v>3381</v>
      </c>
      <c r="AA2883" s="1128" t="s">
        <v>3384</v>
      </c>
      <c r="AB2883" s="20"/>
      <c r="AC2883" s="73"/>
    </row>
    <row r="2884" spans="1:29">
      <c r="A2884" s="327" t="str">
        <f>IF(AND($B2884&lt;&gt;"",$C2884&lt;&gt;""),MAX($A$1556:A2883)+1,"")</f>
        <v/>
      </c>
      <c r="B2884" s="361" t="s">
        <v>2874</v>
      </c>
      <c r="C2884" s="360"/>
      <c r="D2884" s="327">
        <f>IF($B2884="","",COUNTIF($B$6:$B2884,$B2884))</f>
        <v>9</v>
      </c>
      <c r="E2884" s="361" t="s">
        <v>2915</v>
      </c>
      <c r="F2884" s="362" t="s">
        <v>2917</v>
      </c>
      <c r="G2884" s="327" t="s">
        <v>155</v>
      </c>
      <c r="H2884" s="327" t="s">
        <v>536</v>
      </c>
      <c r="I2884" s="327">
        <v>1</v>
      </c>
      <c r="J2884" s="359"/>
      <c r="K2884" s="327"/>
      <c r="L2884" s="389">
        <v>58599</v>
      </c>
      <c r="M2884" s="371"/>
      <c r="N2884" s="355" t="s">
        <v>153</v>
      </c>
      <c r="O2884" s="404" t="s">
        <v>2930</v>
      </c>
      <c r="P2884" s="392"/>
      <c r="Q2884" s="327"/>
      <c r="R2884" s="351"/>
      <c r="S2884" s="351"/>
      <c r="T2884" s="351"/>
      <c r="U2884" s="329" t="str">
        <f>IF($N2884=$N$4,IFERROR(INDEX(DanhMuc!$E$154:$E$165,MATCH(MID($B2884,4,2),DanhMuc!$B$154:$B$165,0)),""),"")</f>
        <v/>
      </c>
      <c r="V2884" s="361"/>
      <c r="W2884" s="345"/>
      <c r="X2884" s="329" t="str">
        <f t="shared" si="296"/>
        <v>DR</v>
      </c>
      <c r="Y2884" s="1128" t="s">
        <v>3380</v>
      </c>
      <c r="Z2884" s="1128" t="s">
        <v>3381</v>
      </c>
      <c r="AA2884" s="1128" t="s">
        <v>3384</v>
      </c>
      <c r="AB2884" s="20"/>
      <c r="AC2884" s="73"/>
    </row>
    <row r="2885" spans="1:29" ht="25">
      <c r="A2885" s="327" t="str">
        <f>IF(AND($B2885&lt;&gt;"",$C2885&lt;&gt;""),MAX($A$1556:A2882)+1,"")</f>
        <v/>
      </c>
      <c r="B2885" s="361" t="s">
        <v>2874</v>
      </c>
      <c r="C2885" s="360"/>
      <c r="D2885" s="327">
        <f>IF($B2885="","",COUNTIF($B$6:$B2885,$B2885))</f>
        <v>10</v>
      </c>
      <c r="E2885" s="361" t="s">
        <v>2927</v>
      </c>
      <c r="F2885" s="362" t="s">
        <v>2934</v>
      </c>
      <c r="G2885" s="327" t="s">
        <v>155</v>
      </c>
      <c r="H2885" s="327" t="s">
        <v>536</v>
      </c>
      <c r="I2885" s="327">
        <v>1</v>
      </c>
      <c r="J2885" s="359"/>
      <c r="K2885" s="327"/>
      <c r="L2885" s="389">
        <v>76721</v>
      </c>
      <c r="M2885" s="371"/>
      <c r="N2885" s="355" t="s">
        <v>153</v>
      </c>
      <c r="O2885" s="404" t="s">
        <v>2933</v>
      </c>
      <c r="P2885" s="392"/>
      <c r="Q2885" s="327"/>
      <c r="R2885" s="351"/>
      <c r="S2885" s="351"/>
      <c r="T2885" s="351"/>
      <c r="U2885" s="329" t="str">
        <f>IF($N2885=$N$4,IFERROR(INDEX(DanhMuc!$E$154:$E$165,MATCH(MID($B2885,4,2),DanhMuc!$B$154:$B$165,0)),""),"")</f>
        <v/>
      </c>
      <c r="V2885" s="361"/>
      <c r="W2885" s="345"/>
      <c r="X2885" s="329" t="str">
        <f t="shared" si="296"/>
        <v>DR</v>
      </c>
      <c r="Y2885" s="1128" t="s">
        <v>3380</v>
      </c>
      <c r="Z2885" s="1128" t="s">
        <v>3381</v>
      </c>
      <c r="AA2885" s="1128" t="s">
        <v>3384</v>
      </c>
      <c r="AB2885" s="20"/>
      <c r="AC2885" s="73"/>
    </row>
    <row r="2886" spans="1:29">
      <c r="A2886" s="327" t="str">
        <f>IF(AND($B2886&lt;&gt;"",$C2886&lt;&gt;""),MAX($A$1556:A2885)+1,"")</f>
        <v/>
      </c>
      <c r="B2886" s="361" t="s">
        <v>2874</v>
      </c>
      <c r="C2886" s="360"/>
      <c r="D2886" s="327">
        <f>IF($B2886="","",COUNTIF($B$6:$B2886,$B2886))</f>
        <v>11</v>
      </c>
      <c r="E2886" s="361" t="s">
        <v>2915</v>
      </c>
      <c r="F2886" s="362" t="s">
        <v>2932</v>
      </c>
      <c r="G2886" s="327" t="s">
        <v>155</v>
      </c>
      <c r="H2886" s="327" t="s">
        <v>536</v>
      </c>
      <c r="I2886" s="327">
        <v>1</v>
      </c>
      <c r="J2886" s="359"/>
      <c r="K2886" s="327"/>
      <c r="L2886" s="389">
        <v>58599</v>
      </c>
      <c r="M2886" s="371"/>
      <c r="N2886" s="355" t="s">
        <v>153</v>
      </c>
      <c r="O2886" s="404" t="s">
        <v>2933</v>
      </c>
      <c r="P2886" s="392"/>
      <c r="Q2886" s="327"/>
      <c r="R2886" s="351"/>
      <c r="S2886" s="351"/>
      <c r="T2886" s="351"/>
      <c r="U2886" s="329" t="str">
        <f>IF($N2886=$N$4,IFERROR(INDEX(DanhMuc!$E$154:$E$165,MATCH(MID($B2886,4,2),DanhMuc!$B$154:$B$165,0)),""),"")</f>
        <v/>
      </c>
      <c r="V2886" s="361"/>
      <c r="W2886" s="345"/>
      <c r="X2886" s="329" t="str">
        <f t="shared" si="296"/>
        <v>DR</v>
      </c>
      <c r="Y2886" s="1128" t="s">
        <v>3380</v>
      </c>
      <c r="Z2886" s="1128" t="s">
        <v>3381</v>
      </c>
      <c r="AA2886" s="1128" t="s">
        <v>3384</v>
      </c>
      <c r="AB2886" s="20"/>
      <c r="AC2886" s="73"/>
    </row>
    <row r="2887" spans="1:29" ht="25">
      <c r="A2887" s="327" t="str">
        <f>IF(AND($B2887&lt;&gt;"",$C2887&lt;&gt;""),MAX($A$1556:A2882)+1,"")</f>
        <v/>
      </c>
      <c r="B2887" s="361" t="s">
        <v>2874</v>
      </c>
      <c r="C2887" s="360"/>
      <c r="D2887" s="327">
        <f>IF($B2887="","",COUNTIF($B$6:$B2887,$B2887))</f>
        <v>12</v>
      </c>
      <c r="E2887" s="361" t="s">
        <v>2921</v>
      </c>
      <c r="F2887" s="362" t="s">
        <v>210</v>
      </c>
      <c r="G2887" s="327" t="s">
        <v>155</v>
      </c>
      <c r="H2887" s="327"/>
      <c r="I2887" s="327">
        <v>1</v>
      </c>
      <c r="J2887" s="359"/>
      <c r="K2887" s="327"/>
      <c r="L2887" s="389">
        <v>68884</v>
      </c>
      <c r="M2887" s="371"/>
      <c r="N2887" s="355" t="s">
        <v>153</v>
      </c>
      <c r="O2887" s="404" t="s">
        <v>1782</v>
      </c>
      <c r="P2887" s="392"/>
      <c r="Q2887" s="327"/>
      <c r="R2887" s="351"/>
      <c r="S2887" s="351"/>
      <c r="T2887" s="351"/>
      <c r="U2887" s="329" t="str">
        <f>IF($N2887=$N$4,IFERROR(INDEX(DanhMuc!$E$154:$E$165,MATCH(MID($B2887,4,2),DanhMuc!$B$154:$B$165,0)),""),"")</f>
        <v/>
      </c>
      <c r="V2887" s="361"/>
      <c r="W2887" s="345"/>
      <c r="X2887" s="329" t="str">
        <f t="shared" si="296"/>
        <v>DR</v>
      </c>
      <c r="Y2887" s="1128" t="s">
        <v>3380</v>
      </c>
      <c r="Z2887" s="1128" t="s">
        <v>3381</v>
      </c>
      <c r="AA2887" s="1128" t="s">
        <v>3384</v>
      </c>
      <c r="AB2887" s="20"/>
      <c r="AC2887" s="73"/>
    </row>
    <row r="2888" spans="1:29" ht="50">
      <c r="A2888" s="327" t="str">
        <f>IF(AND($B2888&lt;&gt;"",$C2888&lt;&gt;""),MAX($A$1556:A2887)+1,"")</f>
        <v/>
      </c>
      <c r="B2888" s="361" t="s">
        <v>2874</v>
      </c>
      <c r="C2888" s="360"/>
      <c r="D2888" s="327">
        <f>IF($B2888="","",COUNTIF($B$6:$B2888,$B2888))</f>
        <v>13</v>
      </c>
      <c r="E2888" s="403" t="s">
        <v>2973</v>
      </c>
      <c r="F2888" s="403" t="s">
        <v>953</v>
      </c>
      <c r="G2888" s="410" t="s">
        <v>156</v>
      </c>
      <c r="H2888" s="327" t="s">
        <v>536</v>
      </c>
      <c r="I2888" s="411" t="s">
        <v>2856</v>
      </c>
      <c r="J2888" s="404"/>
      <c r="K2888" s="410"/>
      <c r="L2888" s="389">
        <v>49122</v>
      </c>
      <c r="M2888" s="371"/>
      <c r="N2888" s="355" t="s">
        <v>153</v>
      </c>
      <c r="O2888" s="404" t="s">
        <v>1623</v>
      </c>
      <c r="P2888" s="392"/>
      <c r="Q2888" s="327"/>
      <c r="R2888" s="351"/>
      <c r="S2888" s="351"/>
      <c r="T2888" s="351"/>
      <c r="U2888" s="329" t="str">
        <f>IF($N2888=$N$4,IFERROR(INDEX(DanhMuc!$E$154:$E$165,MATCH(MID($B2888,4,2),DanhMuc!$B$154:$B$165,0)),""),"")</f>
        <v/>
      </c>
      <c r="V2888" s="361"/>
      <c r="W2888" s="345"/>
      <c r="X2888" s="329" t="str">
        <f t="shared" si="296"/>
        <v>DR</v>
      </c>
      <c r="Y2888" s="1128" t="s">
        <v>3380</v>
      </c>
      <c r="Z2888" s="1128" t="s">
        <v>3381</v>
      </c>
      <c r="AA2888" s="1128" t="s">
        <v>3384</v>
      </c>
      <c r="AB2888" s="20"/>
      <c r="AC2888" s="73"/>
    </row>
    <row r="2889" spans="1:29" ht="50">
      <c r="A2889" s="327" t="str">
        <f>IF(AND($B2889&lt;&gt;"",$C2889&lt;&gt;""),MAX($A$1556:A2888)+1,"")</f>
        <v/>
      </c>
      <c r="B2889" s="361" t="s">
        <v>2874</v>
      </c>
      <c r="C2889" s="360"/>
      <c r="D2889" s="327">
        <f>IF($B2889="","",COUNTIF($B$6:$B2889,$B2889))</f>
        <v>14</v>
      </c>
      <c r="E2889" s="403" t="s">
        <v>2974</v>
      </c>
      <c r="F2889" s="403" t="s">
        <v>1059</v>
      </c>
      <c r="G2889" s="410" t="s">
        <v>156</v>
      </c>
      <c r="H2889" s="327" t="s">
        <v>536</v>
      </c>
      <c r="I2889" s="411" t="s">
        <v>2853</v>
      </c>
      <c r="J2889" s="404"/>
      <c r="K2889" s="410"/>
      <c r="L2889" s="389">
        <v>59067</v>
      </c>
      <c r="M2889" s="371"/>
      <c r="N2889" s="355" t="s">
        <v>153</v>
      </c>
      <c r="O2889" s="404" t="s">
        <v>1623</v>
      </c>
      <c r="P2889" s="392"/>
      <c r="Q2889" s="327"/>
      <c r="R2889" s="351"/>
      <c r="S2889" s="351"/>
      <c r="T2889" s="351"/>
      <c r="U2889" s="329" t="str">
        <f>IF($N2889=$N$4,IFERROR(INDEX(DanhMuc!$E$154:$E$165,MATCH(MID($B2889,4,2),DanhMuc!$B$154:$B$165,0)),""),"")</f>
        <v/>
      </c>
      <c r="V2889" s="361"/>
      <c r="W2889" s="345"/>
      <c r="X2889" s="329" t="str">
        <f t="shared" si="296"/>
        <v>DR</v>
      </c>
      <c r="Y2889" s="1128" t="s">
        <v>3380</v>
      </c>
      <c r="Z2889" s="1128" t="s">
        <v>3381</v>
      </c>
      <c r="AA2889" s="1128" t="s">
        <v>3384</v>
      </c>
      <c r="AB2889" s="20"/>
      <c r="AC2889" s="73"/>
    </row>
    <row r="2890" spans="1:29" ht="50">
      <c r="A2890" s="327" t="str">
        <f>IF(AND($B2890&lt;&gt;"",$C2890&lt;&gt;""),MAX($A$1556:A2889)+1,"")</f>
        <v/>
      </c>
      <c r="B2890" s="361" t="s">
        <v>2874</v>
      </c>
      <c r="C2890" s="360"/>
      <c r="D2890" s="327">
        <f>IF($B2890="","",COUNTIF($B$6:$B2890,$B2890))</f>
        <v>15</v>
      </c>
      <c r="E2890" s="403" t="s">
        <v>2987</v>
      </c>
      <c r="F2890" s="403" t="s">
        <v>956</v>
      </c>
      <c r="G2890" s="410" t="s">
        <v>156</v>
      </c>
      <c r="H2890" s="327" t="s">
        <v>536</v>
      </c>
      <c r="I2890" s="411" t="s">
        <v>2854</v>
      </c>
      <c r="J2890" s="404"/>
      <c r="K2890" s="410"/>
      <c r="L2890" s="389">
        <v>77078</v>
      </c>
      <c r="M2890" s="371"/>
      <c r="N2890" s="355" t="s">
        <v>153</v>
      </c>
      <c r="O2890" s="404" t="s">
        <v>1623</v>
      </c>
      <c r="P2890" s="392"/>
      <c r="Q2890" s="327"/>
      <c r="R2890" s="351"/>
      <c r="S2890" s="351"/>
      <c r="T2890" s="351"/>
      <c r="U2890" s="329" t="str">
        <f>IF($N2890=$N$4,IFERROR(INDEX(DanhMuc!$E$154:$E$165,MATCH(MID($B2890,4,2),DanhMuc!$B$154:$B$165,0)),""),"")</f>
        <v/>
      </c>
      <c r="V2890" s="361"/>
      <c r="W2890" s="345"/>
      <c r="X2890" s="329" t="str">
        <f t="shared" si="296"/>
        <v>DR</v>
      </c>
      <c r="Y2890" s="1128" t="s">
        <v>3380</v>
      </c>
      <c r="Z2890" s="1128" t="s">
        <v>3381</v>
      </c>
      <c r="AA2890" s="1128" t="s">
        <v>3384</v>
      </c>
      <c r="AB2890" s="20"/>
      <c r="AC2890" s="73"/>
    </row>
    <row r="2891" spans="1:29" ht="50">
      <c r="A2891" s="327" t="str">
        <f>IF(AND($B2891&lt;&gt;"",$C2891&lt;&gt;""),MAX($A$1556:A2890)+1,"")</f>
        <v/>
      </c>
      <c r="B2891" s="361" t="s">
        <v>2874</v>
      </c>
      <c r="C2891" s="360"/>
      <c r="D2891" s="327">
        <f>IF($B2891="","",COUNTIF($B$6:$B2891,$B2891))</f>
        <v>16</v>
      </c>
      <c r="E2891" s="403" t="s">
        <v>2975</v>
      </c>
      <c r="F2891" s="403" t="s">
        <v>183</v>
      </c>
      <c r="G2891" s="410" t="s">
        <v>156</v>
      </c>
      <c r="H2891" s="327" t="s">
        <v>536</v>
      </c>
      <c r="I2891" s="411" t="s">
        <v>2855</v>
      </c>
      <c r="J2891" s="404"/>
      <c r="K2891" s="410"/>
      <c r="L2891" s="415">
        <v>77078</v>
      </c>
      <c r="M2891" s="371"/>
      <c r="N2891" s="355" t="s">
        <v>153</v>
      </c>
      <c r="O2891" s="404" t="s">
        <v>1623</v>
      </c>
      <c r="P2891" s="392"/>
      <c r="Q2891" s="327"/>
      <c r="R2891" s="351"/>
      <c r="S2891" s="351"/>
      <c r="T2891" s="351"/>
      <c r="U2891" s="329" t="str">
        <f>IF($N2891=$N$4,IFERROR(INDEX(DanhMuc!$E$154:$E$165,MATCH(MID($B2891,4,2),DanhMuc!$B$154:$B$165,0)),""),"")</f>
        <v/>
      </c>
      <c r="V2891" s="361"/>
      <c r="W2891" s="345"/>
      <c r="X2891" s="329" t="str">
        <f t="shared" si="296"/>
        <v>DR</v>
      </c>
      <c r="Y2891" s="1128" t="s">
        <v>3380</v>
      </c>
      <c r="Z2891" s="1128" t="s">
        <v>3381</v>
      </c>
      <c r="AA2891" s="1128" t="s">
        <v>3384</v>
      </c>
      <c r="AB2891" s="20"/>
      <c r="AC2891" s="73"/>
    </row>
    <row r="2892" spans="1:29">
      <c r="A2892" s="327" t="str">
        <f>IF(AND($B2892&lt;&gt;"",$C2892&lt;&gt;""),MAX($A$1556:A2891)+1,"")</f>
        <v/>
      </c>
      <c r="B2892" s="361" t="s">
        <v>2874</v>
      </c>
      <c r="C2892" s="360"/>
      <c r="D2892" s="327">
        <f>IF($B2892="","",COUNTIF($B$6:$B2892,$B2892))</f>
        <v>17</v>
      </c>
      <c r="E2892" s="361" t="s">
        <v>2922</v>
      </c>
      <c r="F2892" s="362" t="s">
        <v>981</v>
      </c>
      <c r="G2892" s="327" t="s">
        <v>155</v>
      </c>
      <c r="H2892" s="327" t="s">
        <v>536</v>
      </c>
      <c r="I2892" s="327">
        <v>2</v>
      </c>
      <c r="J2892" s="359"/>
      <c r="K2892" s="327"/>
      <c r="L2892" s="389">
        <v>4514</v>
      </c>
      <c r="M2892" s="371"/>
      <c r="N2892" s="355" t="str">
        <f t="shared" ref="N2892:N2905" si="298">+$N$1555</f>
        <v>PK</v>
      </c>
      <c r="O2892" s="404" t="s">
        <v>1623</v>
      </c>
      <c r="P2892" s="392"/>
      <c r="Q2892" s="327"/>
      <c r="R2892" s="351"/>
      <c r="S2892" s="351"/>
      <c r="T2892" s="351"/>
      <c r="U2892" s="329" t="str">
        <f>IF($N2892=$N$4,IFERROR(INDEX(DanhMuc!$E$154:$E$165,MATCH(MID($B2892,4,2),DanhMuc!$B$154:$B$165,0)),""),"")</f>
        <v/>
      </c>
      <c r="V2892" s="361"/>
      <c r="W2892" s="345"/>
      <c r="X2892" s="329" t="str">
        <f t="shared" si="296"/>
        <v>DR</v>
      </c>
      <c r="Y2892" s="1128" t="s">
        <v>3380</v>
      </c>
      <c r="Z2892" s="1128" t="s">
        <v>3381</v>
      </c>
      <c r="AA2892" s="1128" t="s">
        <v>3384</v>
      </c>
      <c r="AB2892" s="20"/>
      <c r="AC2892" s="73"/>
    </row>
    <row r="2893" spans="1:29">
      <c r="A2893" s="327" t="str">
        <f>IF(AND($B2893&lt;&gt;"",$C2893&lt;&gt;""),MAX($A$1556:A2892)+1,"")</f>
        <v/>
      </c>
      <c r="B2893" s="361" t="s">
        <v>2874</v>
      </c>
      <c r="C2893" s="360"/>
      <c r="D2893" s="327">
        <f>IF($B2893="","",COUNTIF($B$6:$B2893,$B2893))</f>
        <v>18</v>
      </c>
      <c r="E2893" s="361" t="s">
        <v>187</v>
      </c>
      <c r="F2893" s="362" t="s">
        <v>189</v>
      </c>
      <c r="G2893" s="327" t="s">
        <v>155</v>
      </c>
      <c r="H2893" s="327"/>
      <c r="I2893" s="327">
        <v>4</v>
      </c>
      <c r="J2893" s="361"/>
      <c r="K2893" s="327"/>
      <c r="L2893" s="389">
        <v>5000</v>
      </c>
      <c r="M2893" s="371"/>
      <c r="N2893" s="355" t="str">
        <f t="shared" si="298"/>
        <v>PK</v>
      </c>
      <c r="O2893" s="345"/>
      <c r="P2893" s="392"/>
      <c r="Q2893" s="327"/>
      <c r="R2893" s="351"/>
      <c r="S2893" s="351"/>
      <c r="T2893" s="351"/>
      <c r="U2893" s="329" t="str">
        <f>IF($N2893=$N$4,IFERROR(INDEX(DanhMuc!$E$154:$E$165,MATCH(MID($B2893,4,2),DanhMuc!$B$154:$B$165,0)),""),"")</f>
        <v/>
      </c>
      <c r="V2893" s="361"/>
      <c r="W2893" s="345"/>
      <c r="X2893" s="329" t="str">
        <f t="shared" si="296"/>
        <v>DR</v>
      </c>
      <c r="Y2893" s="1128" t="s">
        <v>3380</v>
      </c>
      <c r="Z2893" s="1128" t="s">
        <v>3381</v>
      </c>
      <c r="AA2893" s="1128" t="s">
        <v>3384</v>
      </c>
      <c r="AB2893" s="20"/>
      <c r="AC2893" s="73"/>
    </row>
    <row r="2894" spans="1:29">
      <c r="A2894" s="327" t="str">
        <f>IF(AND($B2894&lt;&gt;"",$C2894&lt;&gt;""),MAX($A$1556:A2893)+1,"")</f>
        <v/>
      </c>
      <c r="B2894" s="361" t="s">
        <v>2874</v>
      </c>
      <c r="C2894" s="360"/>
      <c r="D2894" s="327">
        <f>IF($B2894="","",COUNTIF($B$6:$B2894,$B2894))</f>
        <v>19</v>
      </c>
      <c r="E2894" s="361" t="s">
        <v>172</v>
      </c>
      <c r="F2894" s="362" t="s">
        <v>173</v>
      </c>
      <c r="G2894" s="327" t="s">
        <v>155</v>
      </c>
      <c r="H2894" s="327"/>
      <c r="I2894" s="327">
        <v>2</v>
      </c>
      <c r="J2894" s="361"/>
      <c r="K2894" s="327"/>
      <c r="L2894" s="389">
        <v>6000</v>
      </c>
      <c r="M2894" s="371"/>
      <c r="N2894" s="355" t="str">
        <f t="shared" si="298"/>
        <v>PK</v>
      </c>
      <c r="O2894" s="345"/>
      <c r="P2894" s="392"/>
      <c r="Q2894" s="327"/>
      <c r="R2894" s="351"/>
      <c r="S2894" s="351"/>
      <c r="T2894" s="351"/>
      <c r="U2894" s="329" t="str">
        <f>IF($N2894=$N$4,IFERROR(INDEX(DanhMuc!$E$154:$E$165,MATCH(MID($B2894,4,2),DanhMuc!$B$154:$B$165,0)),""),"")</f>
        <v/>
      </c>
      <c r="V2894" s="361"/>
      <c r="W2894" s="345"/>
      <c r="X2894" s="329" t="str">
        <f t="shared" si="296"/>
        <v>DR</v>
      </c>
      <c r="Y2894" s="1128" t="s">
        <v>3380</v>
      </c>
      <c r="Z2894" s="1128" t="s">
        <v>3381</v>
      </c>
      <c r="AA2894" s="1128" t="s">
        <v>3384</v>
      </c>
      <c r="AB2894" s="20"/>
      <c r="AC2894" s="73"/>
    </row>
    <row r="2895" spans="1:29">
      <c r="A2895" s="327" t="str">
        <f>IF(AND($B2895&lt;&gt;"",$C2895&lt;&gt;""),MAX($A$1556:A2894)+1,"")</f>
        <v/>
      </c>
      <c r="B2895" s="361" t="s">
        <v>2874</v>
      </c>
      <c r="C2895" s="360"/>
      <c r="D2895" s="327">
        <f>IF($B2895="","",COUNTIF($B$6:$B2895,$B2895))</f>
        <v>20</v>
      </c>
      <c r="E2895" s="361" t="s">
        <v>163</v>
      </c>
      <c r="F2895" s="362" t="s">
        <v>164</v>
      </c>
      <c r="G2895" s="327" t="s">
        <v>155</v>
      </c>
      <c r="H2895" s="327"/>
      <c r="I2895" s="327">
        <v>4</v>
      </c>
      <c r="J2895" s="361"/>
      <c r="K2895" s="327"/>
      <c r="L2895" s="389">
        <v>2500</v>
      </c>
      <c r="M2895" s="371"/>
      <c r="N2895" s="355" t="str">
        <f t="shared" si="298"/>
        <v>PK</v>
      </c>
      <c r="O2895" s="345"/>
      <c r="P2895" s="392"/>
      <c r="Q2895" s="327"/>
      <c r="R2895" s="351"/>
      <c r="S2895" s="351"/>
      <c r="T2895" s="351"/>
      <c r="U2895" s="329" t="str">
        <f>IF($N2895=$N$4,IFERROR(INDEX(DanhMuc!$E$154:$E$165,MATCH(MID($B2895,4,2),DanhMuc!$B$154:$B$165,0)),""),"")</f>
        <v/>
      </c>
      <c r="V2895" s="408" t="s">
        <v>342</v>
      </c>
      <c r="W2895" s="345"/>
      <c r="X2895" s="329" t="str">
        <f t="shared" si="296"/>
        <v>DR</v>
      </c>
      <c r="Y2895" s="1128" t="s">
        <v>3380</v>
      </c>
      <c r="Z2895" s="1128" t="s">
        <v>3381</v>
      </c>
      <c r="AA2895" s="1128" t="s">
        <v>3384</v>
      </c>
      <c r="AB2895" s="20"/>
      <c r="AC2895" s="73"/>
    </row>
    <row r="2896" spans="1:29">
      <c r="A2896" s="327" t="str">
        <f>IF(AND($B2896&lt;&gt;"",$C2896&lt;&gt;""),MAX($A$1556:A2895)+1,"")</f>
        <v/>
      </c>
      <c r="B2896" s="361" t="s">
        <v>2874</v>
      </c>
      <c r="C2896" s="360"/>
      <c r="D2896" s="327">
        <f>IF($B2896="","",COUNTIF($B$6:$B2896,$B2896))</f>
        <v>21</v>
      </c>
      <c r="E2896" s="361" t="s">
        <v>2923</v>
      </c>
      <c r="F2896" s="362" t="s">
        <v>186</v>
      </c>
      <c r="G2896" s="327" t="s">
        <v>155</v>
      </c>
      <c r="H2896" s="327" t="s">
        <v>536</v>
      </c>
      <c r="I2896" s="327">
        <v>8</v>
      </c>
      <c r="J2896" s="361"/>
      <c r="K2896" s="327"/>
      <c r="L2896" s="389">
        <v>40308</v>
      </c>
      <c r="M2896" s="371"/>
      <c r="N2896" s="355" t="str">
        <f t="shared" si="298"/>
        <v>PK</v>
      </c>
      <c r="O2896" s="345"/>
      <c r="P2896" s="392"/>
      <c r="Q2896" s="327"/>
      <c r="R2896" s="351"/>
      <c r="S2896" s="351"/>
      <c r="T2896" s="351"/>
      <c r="U2896" s="329" t="str">
        <f>IF($N2896=$N$4,IFERROR(INDEX(DanhMuc!$E$154:$E$165,MATCH(MID($B2896,4,2),DanhMuc!$B$154:$B$165,0)),""),"")</f>
        <v/>
      </c>
      <c r="V2896" s="361"/>
      <c r="W2896" s="345"/>
      <c r="X2896" s="329" t="str">
        <f t="shared" si="296"/>
        <v>DR</v>
      </c>
      <c r="Y2896" s="1128" t="s">
        <v>3380</v>
      </c>
      <c r="Z2896" s="1128" t="s">
        <v>3381</v>
      </c>
      <c r="AA2896" s="1128" t="s">
        <v>3384</v>
      </c>
      <c r="AB2896" s="20"/>
      <c r="AC2896" s="73"/>
    </row>
    <row r="2897" spans="1:29">
      <c r="A2897" s="327" t="str">
        <f>IF(AND($B2897&lt;&gt;"",$C2897&lt;&gt;""),MAX($A$1556:A2896)+1,"")</f>
        <v/>
      </c>
      <c r="B2897" s="361" t="s">
        <v>2874</v>
      </c>
      <c r="C2897" s="360"/>
      <c r="D2897" s="327">
        <f>IF($B2897="","",COUNTIF($B$6:$B2897,$B2897))</f>
        <v>22</v>
      </c>
      <c r="E2897" s="361" t="s">
        <v>165</v>
      </c>
      <c r="F2897" s="362" t="s">
        <v>166</v>
      </c>
      <c r="G2897" s="327" t="s">
        <v>155</v>
      </c>
      <c r="H2897" s="327"/>
      <c r="I2897" s="327">
        <v>4</v>
      </c>
      <c r="J2897" s="361"/>
      <c r="K2897" s="327"/>
      <c r="L2897" s="389">
        <v>1700</v>
      </c>
      <c r="M2897" s="371"/>
      <c r="N2897" s="355" t="str">
        <f t="shared" si="298"/>
        <v>PK</v>
      </c>
      <c r="O2897" s="345"/>
      <c r="P2897" s="392"/>
      <c r="Q2897" s="327"/>
      <c r="R2897" s="351"/>
      <c r="S2897" s="351"/>
      <c r="T2897" s="351"/>
      <c r="U2897" s="329" t="str">
        <f>IF($N2897=$N$4,IFERROR(INDEX(DanhMuc!$E$154:$E$165,MATCH(MID($B2897,4,2),DanhMuc!$B$154:$B$165,0)),""),"")</f>
        <v/>
      </c>
      <c r="V2897" s="361"/>
      <c r="W2897" s="345"/>
      <c r="X2897" s="329" t="str">
        <f t="shared" si="296"/>
        <v>DR</v>
      </c>
      <c r="Y2897" s="1128" t="s">
        <v>3380</v>
      </c>
      <c r="Z2897" s="1128" t="s">
        <v>3381</v>
      </c>
      <c r="AA2897" s="1128" t="s">
        <v>3384</v>
      </c>
      <c r="AB2897" s="20"/>
      <c r="AC2897" s="73"/>
    </row>
    <row r="2898" spans="1:29">
      <c r="A2898" s="327" t="str">
        <f>IF(AND($B2898&lt;&gt;"",$C2898&lt;&gt;""),MAX($A$1556:A2897)+1,"")</f>
        <v/>
      </c>
      <c r="B2898" s="361" t="s">
        <v>2874</v>
      </c>
      <c r="C2898" s="360"/>
      <c r="D2898" s="327">
        <f>IF($B2898="","",COUNTIF($B$6:$B2898,$B2898))</f>
        <v>23</v>
      </c>
      <c r="E2898" s="361" t="s">
        <v>167</v>
      </c>
      <c r="F2898" s="362" t="s">
        <v>168</v>
      </c>
      <c r="G2898" s="327" t="s">
        <v>155</v>
      </c>
      <c r="H2898" s="327"/>
      <c r="I2898" s="327">
        <v>4</v>
      </c>
      <c r="J2898" s="361"/>
      <c r="K2898" s="327"/>
      <c r="L2898" s="389">
        <v>1700</v>
      </c>
      <c r="M2898" s="371"/>
      <c r="N2898" s="355" t="str">
        <f t="shared" si="298"/>
        <v>PK</v>
      </c>
      <c r="O2898" s="345"/>
      <c r="P2898" s="392"/>
      <c r="Q2898" s="327"/>
      <c r="R2898" s="351"/>
      <c r="S2898" s="351"/>
      <c r="T2898" s="351"/>
      <c r="U2898" s="329" t="str">
        <f>IF($N2898=$N$4,IFERROR(INDEX(DanhMuc!$E$154:$E$165,MATCH(MID($B2898,4,2),DanhMuc!$B$154:$B$165,0)),""),"")</f>
        <v/>
      </c>
      <c r="V2898" s="361"/>
      <c r="W2898" s="345"/>
      <c r="X2898" s="329" t="str">
        <f t="shared" si="296"/>
        <v>DR</v>
      </c>
      <c r="Y2898" s="1128" t="s">
        <v>3380</v>
      </c>
      <c r="Z2898" s="1128" t="s">
        <v>3381</v>
      </c>
      <c r="AA2898" s="1128" t="s">
        <v>3384</v>
      </c>
      <c r="AB2898" s="20"/>
      <c r="AC2898" s="73"/>
    </row>
    <row r="2899" spans="1:29">
      <c r="A2899" s="327" t="str">
        <f>IF(AND($B2899&lt;&gt;"",$C2899&lt;&gt;""),MAX($A$1556:A2898)+1,"")</f>
        <v/>
      </c>
      <c r="B2899" s="361" t="s">
        <v>2874</v>
      </c>
      <c r="C2899" s="360"/>
      <c r="D2899" s="327">
        <f>IF($B2899="","",COUNTIF($B$6:$B2899,$B2899))</f>
        <v>24</v>
      </c>
      <c r="E2899" s="361" t="s">
        <v>169</v>
      </c>
      <c r="F2899" s="362" t="s">
        <v>170</v>
      </c>
      <c r="G2899" s="327" t="s">
        <v>155</v>
      </c>
      <c r="H2899" s="327"/>
      <c r="I2899" s="327">
        <v>4</v>
      </c>
      <c r="J2899" s="361"/>
      <c r="K2899" s="327"/>
      <c r="L2899" s="389">
        <v>1700</v>
      </c>
      <c r="M2899" s="371"/>
      <c r="N2899" s="355" t="str">
        <f t="shared" si="298"/>
        <v>PK</v>
      </c>
      <c r="O2899" s="345"/>
      <c r="P2899" s="392"/>
      <c r="Q2899" s="327"/>
      <c r="R2899" s="351"/>
      <c r="S2899" s="351"/>
      <c r="T2899" s="351"/>
      <c r="U2899" s="329" t="str">
        <f>IF($N2899=$N$4,IFERROR(INDEX(DanhMuc!$E$154:$E$165,MATCH(MID($B2899,4,2),DanhMuc!$B$154:$B$165,0)),""),"")</f>
        <v/>
      </c>
      <c r="V2899" s="361"/>
      <c r="W2899" s="345"/>
      <c r="X2899" s="329" t="str">
        <f t="shared" si="296"/>
        <v>DR</v>
      </c>
      <c r="Y2899" s="1128" t="s">
        <v>3380</v>
      </c>
      <c r="Z2899" s="1128" t="s">
        <v>3381</v>
      </c>
      <c r="AA2899" s="1128" t="s">
        <v>3384</v>
      </c>
      <c r="AB2899" s="20"/>
      <c r="AC2899" s="73"/>
    </row>
    <row r="2900" spans="1:29">
      <c r="A2900" s="327" t="str">
        <f>IF(AND($B2900&lt;&gt;"",$C2900&lt;&gt;""),MAX($A$1556:A2899)+1,"")</f>
        <v/>
      </c>
      <c r="B2900" s="361" t="s">
        <v>2874</v>
      </c>
      <c r="C2900" s="360"/>
      <c r="D2900" s="327">
        <f>IF($B2900="","",COUNTIF($B$6:$B2900,$B2900))</f>
        <v>25</v>
      </c>
      <c r="E2900" s="361" t="s">
        <v>171</v>
      </c>
      <c r="F2900" s="362" t="s">
        <v>291</v>
      </c>
      <c r="G2900" s="327" t="s">
        <v>155</v>
      </c>
      <c r="H2900" s="327"/>
      <c r="I2900" s="327">
        <v>4</v>
      </c>
      <c r="J2900" s="361"/>
      <c r="K2900" s="327"/>
      <c r="L2900" s="389">
        <v>1700</v>
      </c>
      <c r="M2900" s="371"/>
      <c r="N2900" s="355" t="str">
        <f t="shared" si="298"/>
        <v>PK</v>
      </c>
      <c r="O2900" s="345"/>
      <c r="P2900" s="392"/>
      <c r="Q2900" s="327"/>
      <c r="R2900" s="351"/>
      <c r="S2900" s="351"/>
      <c r="T2900" s="351"/>
      <c r="U2900" s="329" t="str">
        <f>IF($N2900=$N$4,IFERROR(INDEX(DanhMuc!$E$154:$E$165,MATCH(MID($B2900,4,2),DanhMuc!$B$154:$B$165,0)),""),"")</f>
        <v/>
      </c>
      <c r="V2900" s="361"/>
      <c r="W2900" s="345"/>
      <c r="X2900" s="329" t="str">
        <f t="shared" si="296"/>
        <v>DR</v>
      </c>
      <c r="Y2900" s="1128" t="s">
        <v>3380</v>
      </c>
      <c r="Z2900" s="1128" t="s">
        <v>3381</v>
      </c>
      <c r="AA2900" s="1128" t="s">
        <v>3384</v>
      </c>
      <c r="AB2900" s="20"/>
      <c r="AC2900" s="73"/>
    </row>
    <row r="2901" spans="1:29" ht="39">
      <c r="A2901" s="327">
        <f>IF(AND($B2901&lt;&gt;"",$C2901&lt;&gt;""),MAX($A$1556:A2825)+1,"")</f>
        <v>150</v>
      </c>
      <c r="B2901" s="359" t="s">
        <v>3162</v>
      </c>
      <c r="C2901" s="360" t="s">
        <v>1535</v>
      </c>
      <c r="D2901" s="327">
        <f>IF($B2901="","",COUNTIF($B$6:$B2901,$B2901))</f>
        <v>1</v>
      </c>
      <c r="E2901" s="362" t="s">
        <v>2914</v>
      </c>
      <c r="F2901" s="362" t="s">
        <v>2916</v>
      </c>
      <c r="G2901" s="327" t="s">
        <v>155</v>
      </c>
      <c r="H2901" s="327"/>
      <c r="I2901" s="327">
        <v>1</v>
      </c>
      <c r="J2901" s="345"/>
      <c r="K2901" s="327"/>
      <c r="L2901" s="389">
        <v>126387</v>
      </c>
      <c r="M2901" s="371"/>
      <c r="N2901" s="355" t="str">
        <f t="shared" si="298"/>
        <v>PK</v>
      </c>
      <c r="O2901" s="404" t="s">
        <v>2924</v>
      </c>
      <c r="P2901" s="392"/>
      <c r="Q2901" s="327"/>
      <c r="R2901" s="351"/>
      <c r="S2901" s="351"/>
      <c r="T2901" s="351"/>
      <c r="U2901" s="329" t="str">
        <f>IF($N2901=$N$4,IFERROR(INDEX(DanhMuc!$E$154:$E$165,MATCH(MID($B2901,4,2),DanhMuc!$B$154:$B$165,0)),""),"")</f>
        <v/>
      </c>
      <c r="V2901" s="361"/>
      <c r="W2901" s="345"/>
      <c r="X2901" s="329" t="str">
        <f t="shared" si="296"/>
        <v>FI</v>
      </c>
      <c r="Y2901" s="1128" t="s">
        <v>3380</v>
      </c>
      <c r="Z2901" s="1128" t="s">
        <v>3381</v>
      </c>
      <c r="AA2901" s="1128" t="s">
        <v>3384</v>
      </c>
      <c r="AB2901" s="20"/>
      <c r="AC2901" s="73"/>
    </row>
    <row r="2902" spans="1:29">
      <c r="A2902" s="327" t="str">
        <f>IF(AND($B2902&lt;&gt;"",$C2902&lt;&gt;""),MAX($A$1556:A2826)+1,"")</f>
        <v/>
      </c>
      <c r="B2902" s="361" t="s">
        <v>3162</v>
      </c>
      <c r="C2902" s="360"/>
      <c r="D2902" s="327">
        <f>IF($B2902="","",COUNTIF($B$6:$B2902,$B2902))</f>
        <v>2</v>
      </c>
      <c r="E2902" s="361" t="s">
        <v>2915</v>
      </c>
      <c r="F2902" s="362" t="s">
        <v>2917</v>
      </c>
      <c r="G2902" s="327" t="s">
        <v>155</v>
      </c>
      <c r="H2902" s="327"/>
      <c r="I2902" s="327">
        <v>1</v>
      </c>
      <c r="J2902" s="345"/>
      <c r="K2902" s="327"/>
      <c r="L2902" s="389">
        <v>58599</v>
      </c>
      <c r="M2902" s="371"/>
      <c r="N2902" s="355" t="str">
        <f t="shared" si="298"/>
        <v>PK</v>
      </c>
      <c r="O2902" s="404" t="s">
        <v>2924</v>
      </c>
      <c r="P2902" s="392"/>
      <c r="Q2902" s="327"/>
      <c r="R2902" s="351"/>
      <c r="S2902" s="351"/>
      <c r="T2902" s="351"/>
      <c r="U2902" s="329" t="str">
        <f>IF($N2902=$N$4,IFERROR(INDEX(DanhMuc!$E$154:$E$165,MATCH(MID($B2902,4,2),DanhMuc!$B$154:$B$165,0)),""),"")</f>
        <v/>
      </c>
      <c r="V2902" s="361"/>
      <c r="W2902" s="345"/>
      <c r="X2902" s="329" t="str">
        <f t="shared" si="296"/>
        <v>FI</v>
      </c>
      <c r="Y2902" s="1128" t="s">
        <v>3380</v>
      </c>
      <c r="Z2902" s="1128" t="s">
        <v>3381</v>
      </c>
      <c r="AA2902" s="1128" t="s">
        <v>3384</v>
      </c>
      <c r="AB2902" s="20"/>
      <c r="AC2902" s="73"/>
    </row>
    <row r="2903" spans="1:29" ht="37.5">
      <c r="A2903" s="327" t="str">
        <f>IF(AND($B2903&lt;&gt;"",$C2903&lt;&gt;""),MAX($A$1556:A2901)+1,"")</f>
        <v/>
      </c>
      <c r="B2903" s="361" t="s">
        <v>3162</v>
      </c>
      <c r="C2903" s="360"/>
      <c r="D2903" s="327">
        <f>IF($B2903="","",COUNTIF($B$6:$B2903,$B2903))</f>
        <v>3</v>
      </c>
      <c r="E2903" s="362" t="s">
        <v>2914</v>
      </c>
      <c r="F2903" s="362" t="s">
        <v>2931</v>
      </c>
      <c r="G2903" s="327" t="s">
        <v>155</v>
      </c>
      <c r="H2903" s="327"/>
      <c r="I2903" s="327">
        <v>1</v>
      </c>
      <c r="J2903" s="345"/>
      <c r="K2903" s="327"/>
      <c r="L2903" s="389">
        <v>126387</v>
      </c>
      <c r="M2903" s="371"/>
      <c r="N2903" s="355" t="str">
        <f t="shared" si="298"/>
        <v>PK</v>
      </c>
      <c r="O2903" s="404" t="s">
        <v>2925</v>
      </c>
      <c r="P2903" s="392"/>
      <c r="Q2903" s="327"/>
      <c r="R2903" s="351"/>
      <c r="S2903" s="351"/>
      <c r="T2903" s="351"/>
      <c r="U2903" s="329" t="str">
        <f>IF($N2903=$N$4,IFERROR(INDEX(DanhMuc!$E$154:$E$165,MATCH(MID($B2903,4,2),DanhMuc!$B$154:$B$165,0)),""),"")</f>
        <v/>
      </c>
      <c r="V2903" s="361"/>
      <c r="W2903" s="345"/>
      <c r="X2903" s="329" t="str">
        <f t="shared" si="296"/>
        <v>FI</v>
      </c>
      <c r="Y2903" s="1128" t="s">
        <v>3380</v>
      </c>
      <c r="Z2903" s="1128" t="s">
        <v>3381</v>
      </c>
      <c r="AA2903" s="1128" t="s">
        <v>3384</v>
      </c>
      <c r="AB2903" s="20"/>
      <c r="AC2903" s="73"/>
    </row>
    <row r="2904" spans="1:29">
      <c r="A2904" s="327" t="str">
        <f>IF(AND($B2904&lt;&gt;"",$C2904&lt;&gt;""),MAX($A$1556:A2902)+1,"")</f>
        <v/>
      </c>
      <c r="B2904" s="361" t="s">
        <v>3162</v>
      </c>
      <c r="C2904" s="360"/>
      <c r="D2904" s="327">
        <f>IF($B2904="","",COUNTIF($B$6:$B2904,$B2904))</f>
        <v>4</v>
      </c>
      <c r="E2904" s="361" t="s">
        <v>2915</v>
      </c>
      <c r="F2904" s="362" t="s">
        <v>2932</v>
      </c>
      <c r="G2904" s="327" t="s">
        <v>155</v>
      </c>
      <c r="H2904" s="327"/>
      <c r="I2904" s="327">
        <v>1</v>
      </c>
      <c r="J2904" s="345"/>
      <c r="K2904" s="327"/>
      <c r="L2904" s="389">
        <v>58599</v>
      </c>
      <c r="M2904" s="371"/>
      <c r="N2904" s="355" t="str">
        <f t="shared" si="298"/>
        <v>PK</v>
      </c>
      <c r="O2904" s="404" t="s">
        <v>2925</v>
      </c>
      <c r="P2904" s="392"/>
      <c r="Q2904" s="327"/>
      <c r="R2904" s="351"/>
      <c r="S2904" s="351"/>
      <c r="T2904" s="351"/>
      <c r="U2904" s="329" t="str">
        <f>IF($N2904=$N$4,IFERROR(INDEX(DanhMuc!$E$154:$E$165,MATCH(MID($B2904,4,2),DanhMuc!$B$154:$B$165,0)),""),"")</f>
        <v/>
      </c>
      <c r="V2904" s="361"/>
      <c r="W2904" s="345"/>
      <c r="X2904" s="329" t="str">
        <f t="shared" si="296"/>
        <v>FI</v>
      </c>
      <c r="Y2904" s="1128" t="s">
        <v>3380</v>
      </c>
      <c r="Z2904" s="1128" t="s">
        <v>3381</v>
      </c>
      <c r="AA2904" s="1128" t="s">
        <v>3384</v>
      </c>
      <c r="AB2904" s="20"/>
      <c r="AC2904" s="73"/>
    </row>
    <row r="2905" spans="1:29">
      <c r="A2905" s="327" t="str">
        <f>IF(AND($B2905&lt;&gt;"",$C2905&lt;&gt;""),MAX($A$1556:A2903)+1,"")</f>
        <v/>
      </c>
      <c r="B2905" s="361" t="s">
        <v>3162</v>
      </c>
      <c r="C2905" s="360"/>
      <c r="D2905" s="327">
        <f>IF($B2905="","",COUNTIF($B$6:$B2905,$B2905))</f>
        <v>5</v>
      </c>
      <c r="E2905" s="361" t="s">
        <v>2918</v>
      </c>
      <c r="F2905" s="362" t="s">
        <v>2919</v>
      </c>
      <c r="G2905" s="327" t="s">
        <v>155</v>
      </c>
      <c r="H2905" s="327"/>
      <c r="I2905" s="327">
        <v>1</v>
      </c>
      <c r="J2905" s="345"/>
      <c r="K2905" s="327"/>
      <c r="L2905" s="389">
        <v>5389</v>
      </c>
      <c r="M2905" s="371"/>
      <c r="N2905" s="355" t="str">
        <f t="shared" si="298"/>
        <v>PK</v>
      </c>
      <c r="O2905" s="404" t="s">
        <v>2926</v>
      </c>
      <c r="P2905" s="392"/>
      <c r="Q2905" s="327"/>
      <c r="R2905" s="351"/>
      <c r="S2905" s="351"/>
      <c r="T2905" s="351"/>
      <c r="U2905" s="329" t="str">
        <f>IF($N2905=$N$4,IFERROR(INDEX(DanhMuc!$E$154:$E$165,MATCH(MID($B2905,4,2),DanhMuc!$B$154:$B$165,0)),""),"")</f>
        <v/>
      </c>
      <c r="V2905" s="361"/>
      <c r="W2905" s="345"/>
      <c r="X2905" s="329" t="str">
        <f t="shared" si="296"/>
        <v>FI</v>
      </c>
      <c r="Y2905" s="1128" t="s">
        <v>3380</v>
      </c>
      <c r="Z2905" s="1128" t="s">
        <v>3381</v>
      </c>
      <c r="AA2905" s="1128" t="s">
        <v>3384</v>
      </c>
      <c r="AB2905" s="20"/>
      <c r="AC2905" s="73"/>
    </row>
    <row r="2906" spans="1:29">
      <c r="A2906" s="327" t="str">
        <f>IF(AND($B2906&lt;&gt;"",$C2906&lt;&gt;""),MAX($A$1556:A2903)+1,"")</f>
        <v/>
      </c>
      <c r="B2906" s="361" t="s">
        <v>3162</v>
      </c>
      <c r="C2906" s="360"/>
      <c r="D2906" s="327">
        <f>IF($B2906="","",COUNTIF($B$6:$B2906,$B2906))</f>
        <v>6</v>
      </c>
      <c r="E2906" s="361" t="s">
        <v>2952</v>
      </c>
      <c r="F2906" s="362" t="s">
        <v>2920</v>
      </c>
      <c r="G2906" s="327" t="s">
        <v>155</v>
      </c>
      <c r="H2906" s="327"/>
      <c r="I2906" s="327">
        <v>2</v>
      </c>
      <c r="J2906" s="359"/>
      <c r="K2906" s="327"/>
      <c r="L2906" s="389">
        <v>33329</v>
      </c>
      <c r="M2906" s="371"/>
      <c r="N2906" s="355" t="s">
        <v>153</v>
      </c>
      <c r="O2906" s="345"/>
      <c r="P2906" s="392"/>
      <c r="Q2906" s="327"/>
      <c r="R2906" s="351"/>
      <c r="S2906" s="351"/>
      <c r="T2906" s="351"/>
      <c r="U2906" s="329" t="str">
        <f>IF($N2906=$N$4,IFERROR(INDEX(DanhMuc!$E$154:$E$165,MATCH(MID($B2906,4,2),DanhMuc!$B$154:$B$165,0)),""),"")</f>
        <v/>
      </c>
      <c r="V2906" s="361"/>
      <c r="W2906" s="345"/>
      <c r="X2906" s="329" t="str">
        <f t="shared" si="296"/>
        <v>FI</v>
      </c>
      <c r="Y2906" s="1128" t="s">
        <v>3380</v>
      </c>
      <c r="Z2906" s="1128" t="s">
        <v>3381</v>
      </c>
      <c r="AA2906" s="1128" t="s">
        <v>3384</v>
      </c>
      <c r="AB2906" s="20"/>
      <c r="AC2906" s="73"/>
    </row>
    <row r="2907" spans="1:29">
      <c r="A2907" s="327" t="str">
        <f>IF(AND($B2907&lt;&gt;"",$C2907&lt;&gt;""),MAX($A$1556:A2906)+1,"")</f>
        <v/>
      </c>
      <c r="B2907" s="361" t="s">
        <v>3162</v>
      </c>
      <c r="C2907" s="360"/>
      <c r="D2907" s="327">
        <f>IF($B2907="","",COUNTIF($B$6:$B2907,$B2907))</f>
        <v>7</v>
      </c>
      <c r="E2907" s="361" t="s">
        <v>2918</v>
      </c>
      <c r="F2907" s="362" t="s">
        <v>2919</v>
      </c>
      <c r="G2907" s="327" t="s">
        <v>155</v>
      </c>
      <c r="H2907" s="327"/>
      <c r="I2907" s="327">
        <v>2</v>
      </c>
      <c r="J2907" s="359"/>
      <c r="K2907" s="327"/>
      <c r="L2907" s="389">
        <v>5389</v>
      </c>
      <c r="M2907" s="371"/>
      <c r="N2907" s="355" t="s">
        <v>153</v>
      </c>
      <c r="O2907" s="345"/>
      <c r="P2907" s="392"/>
      <c r="Q2907" s="327"/>
      <c r="R2907" s="351"/>
      <c r="S2907" s="351"/>
      <c r="T2907" s="351"/>
      <c r="U2907" s="329" t="str">
        <f>IF($N2907=$N$4,IFERROR(INDEX(DanhMuc!$E$154:$E$165,MATCH(MID($B2907,4,2),DanhMuc!$B$154:$B$165,0)),""),"")</f>
        <v/>
      </c>
      <c r="V2907" s="361"/>
      <c r="W2907" s="345"/>
      <c r="X2907" s="329" t="str">
        <f t="shared" si="296"/>
        <v>FI</v>
      </c>
      <c r="Y2907" s="1128" t="s">
        <v>3380</v>
      </c>
      <c r="Z2907" s="1128" t="s">
        <v>3381</v>
      </c>
      <c r="AA2907" s="1128" t="s">
        <v>3384</v>
      </c>
      <c r="AB2907" s="20"/>
      <c r="AC2907" s="73"/>
    </row>
    <row r="2908" spans="1:29" ht="25">
      <c r="A2908" s="327" t="str">
        <f>IF(AND($B2908&lt;&gt;"",$C2908&lt;&gt;""),MAX($A$1556:A2905)+1,"")</f>
        <v/>
      </c>
      <c r="B2908" s="361" t="s">
        <v>3162</v>
      </c>
      <c r="C2908" s="360"/>
      <c r="D2908" s="327">
        <f>IF($B2908="","",COUNTIF($B$6:$B2908,$B2908))</f>
        <v>8</v>
      </c>
      <c r="E2908" s="361" t="s">
        <v>2927</v>
      </c>
      <c r="F2908" s="362" t="s">
        <v>2929</v>
      </c>
      <c r="G2908" s="327" t="s">
        <v>155</v>
      </c>
      <c r="H2908" s="327" t="s">
        <v>536</v>
      </c>
      <c r="I2908" s="327">
        <v>1</v>
      </c>
      <c r="J2908" s="359"/>
      <c r="K2908" s="327"/>
      <c r="L2908" s="389">
        <v>76721</v>
      </c>
      <c r="M2908" s="371"/>
      <c r="N2908" s="355" t="s">
        <v>153</v>
      </c>
      <c r="O2908" s="404" t="s">
        <v>2930</v>
      </c>
      <c r="P2908" s="392"/>
      <c r="Q2908" s="327"/>
      <c r="R2908" s="351"/>
      <c r="S2908" s="351"/>
      <c r="T2908" s="351"/>
      <c r="U2908" s="329" t="str">
        <f>IF($N2908=$N$4,IFERROR(INDEX(DanhMuc!$E$154:$E$165,MATCH(MID($B2908,4,2),DanhMuc!$B$154:$B$165,0)),""),"")</f>
        <v/>
      </c>
      <c r="V2908" s="361"/>
      <c r="W2908" s="345"/>
      <c r="X2908" s="329" t="str">
        <f t="shared" si="296"/>
        <v>FI</v>
      </c>
      <c r="Y2908" s="1128" t="s">
        <v>3380</v>
      </c>
      <c r="Z2908" s="1128" t="s">
        <v>3381</v>
      </c>
      <c r="AA2908" s="1128" t="s">
        <v>3384</v>
      </c>
      <c r="AB2908" s="20"/>
      <c r="AC2908" s="73"/>
    </row>
    <row r="2909" spans="1:29">
      <c r="A2909" s="327" t="str">
        <f>IF(AND($B2909&lt;&gt;"",$C2909&lt;&gt;""),MAX($A$1556:A2908)+1,"")</f>
        <v/>
      </c>
      <c r="B2909" s="361" t="s">
        <v>3162</v>
      </c>
      <c r="C2909" s="360"/>
      <c r="D2909" s="327">
        <f>IF($B2909="","",COUNTIF($B$6:$B2909,$B2909))</f>
        <v>9</v>
      </c>
      <c r="E2909" s="361" t="s">
        <v>2915</v>
      </c>
      <c r="F2909" s="362" t="s">
        <v>2917</v>
      </c>
      <c r="G2909" s="327" t="s">
        <v>155</v>
      </c>
      <c r="H2909" s="327" t="s">
        <v>536</v>
      </c>
      <c r="I2909" s="327">
        <v>1</v>
      </c>
      <c r="J2909" s="359"/>
      <c r="K2909" s="327"/>
      <c r="L2909" s="389">
        <v>58599</v>
      </c>
      <c r="M2909" s="371"/>
      <c r="N2909" s="355" t="s">
        <v>153</v>
      </c>
      <c r="O2909" s="404" t="s">
        <v>2930</v>
      </c>
      <c r="P2909" s="392"/>
      <c r="Q2909" s="327"/>
      <c r="R2909" s="351"/>
      <c r="S2909" s="351"/>
      <c r="T2909" s="351"/>
      <c r="U2909" s="329" t="str">
        <f>IF($N2909=$N$4,IFERROR(INDEX(DanhMuc!$E$154:$E$165,MATCH(MID($B2909,4,2),DanhMuc!$B$154:$B$165,0)),""),"")</f>
        <v/>
      </c>
      <c r="V2909" s="361"/>
      <c r="W2909" s="345"/>
      <c r="X2909" s="329" t="str">
        <f t="shared" si="296"/>
        <v>FI</v>
      </c>
      <c r="Y2909" s="1128" t="s">
        <v>3380</v>
      </c>
      <c r="Z2909" s="1128" t="s">
        <v>3381</v>
      </c>
      <c r="AA2909" s="1128" t="s">
        <v>3384</v>
      </c>
      <c r="AB2909" s="20"/>
      <c r="AC2909" s="73"/>
    </row>
    <row r="2910" spans="1:29" ht="25">
      <c r="A2910" s="327" t="str">
        <f>IF(AND($B2910&lt;&gt;"",$C2910&lt;&gt;""),MAX($A$1556:A2907)+1,"")</f>
        <v/>
      </c>
      <c r="B2910" s="361" t="s">
        <v>3162</v>
      </c>
      <c r="C2910" s="360"/>
      <c r="D2910" s="327">
        <f>IF($B2910="","",COUNTIF($B$6:$B2910,$B2910))</f>
        <v>10</v>
      </c>
      <c r="E2910" s="361" t="s">
        <v>2927</v>
      </c>
      <c r="F2910" s="362" t="s">
        <v>2934</v>
      </c>
      <c r="G2910" s="327" t="s">
        <v>155</v>
      </c>
      <c r="H2910" s="327" t="s">
        <v>536</v>
      </c>
      <c r="I2910" s="327">
        <v>1</v>
      </c>
      <c r="J2910" s="359"/>
      <c r="K2910" s="327"/>
      <c r="L2910" s="389">
        <v>76721</v>
      </c>
      <c r="M2910" s="371"/>
      <c r="N2910" s="355" t="s">
        <v>153</v>
      </c>
      <c r="O2910" s="404" t="s">
        <v>2933</v>
      </c>
      <c r="P2910" s="392"/>
      <c r="Q2910" s="327"/>
      <c r="R2910" s="351"/>
      <c r="S2910" s="351"/>
      <c r="T2910" s="351"/>
      <c r="U2910" s="329" t="str">
        <f>IF($N2910=$N$4,IFERROR(INDEX(DanhMuc!$E$154:$E$165,MATCH(MID($B2910,4,2),DanhMuc!$B$154:$B$165,0)),""),"")</f>
        <v/>
      </c>
      <c r="V2910" s="361"/>
      <c r="W2910" s="345"/>
      <c r="X2910" s="329" t="str">
        <f t="shared" si="296"/>
        <v>FI</v>
      </c>
      <c r="Y2910" s="1128" t="s">
        <v>3380</v>
      </c>
      <c r="Z2910" s="1128" t="s">
        <v>3381</v>
      </c>
      <c r="AA2910" s="1128" t="s">
        <v>3384</v>
      </c>
      <c r="AB2910" s="20"/>
      <c r="AC2910" s="73"/>
    </row>
    <row r="2911" spans="1:29">
      <c r="A2911" s="327" t="str">
        <f>IF(AND($B2911&lt;&gt;"",$C2911&lt;&gt;""),MAX($A$1556:A2910)+1,"")</f>
        <v/>
      </c>
      <c r="B2911" s="361" t="s">
        <v>3162</v>
      </c>
      <c r="C2911" s="360"/>
      <c r="D2911" s="327">
        <f>IF($B2911="","",COUNTIF($B$6:$B2911,$B2911))</f>
        <v>11</v>
      </c>
      <c r="E2911" s="361" t="s">
        <v>2915</v>
      </c>
      <c r="F2911" s="362" t="s">
        <v>2932</v>
      </c>
      <c r="G2911" s="327" t="s">
        <v>155</v>
      </c>
      <c r="H2911" s="327" t="s">
        <v>536</v>
      </c>
      <c r="I2911" s="327">
        <v>1</v>
      </c>
      <c r="J2911" s="359"/>
      <c r="K2911" s="327"/>
      <c r="L2911" s="389">
        <v>58599</v>
      </c>
      <c r="M2911" s="371"/>
      <c r="N2911" s="355" t="s">
        <v>153</v>
      </c>
      <c r="O2911" s="404" t="s">
        <v>2933</v>
      </c>
      <c r="P2911" s="392"/>
      <c r="Q2911" s="327"/>
      <c r="R2911" s="351"/>
      <c r="S2911" s="351"/>
      <c r="T2911" s="351"/>
      <c r="U2911" s="329" t="str">
        <f>IF($N2911=$N$4,IFERROR(INDEX(DanhMuc!$E$154:$E$165,MATCH(MID($B2911,4,2),DanhMuc!$B$154:$B$165,0)),""),"")</f>
        <v/>
      </c>
      <c r="V2911" s="361"/>
      <c r="W2911" s="345"/>
      <c r="X2911" s="329" t="str">
        <f t="shared" si="296"/>
        <v>FI</v>
      </c>
      <c r="Y2911" s="1128" t="s">
        <v>3380</v>
      </c>
      <c r="Z2911" s="1128" t="s">
        <v>3381</v>
      </c>
      <c r="AA2911" s="1128" t="s">
        <v>3384</v>
      </c>
      <c r="AB2911" s="20"/>
      <c r="AC2911" s="73"/>
    </row>
    <row r="2912" spans="1:29" ht="25">
      <c r="A2912" s="327" t="str">
        <f>IF(AND($B2912&lt;&gt;"",$C2912&lt;&gt;""),MAX($A$1556:A2907)+1,"")</f>
        <v/>
      </c>
      <c r="B2912" s="361" t="s">
        <v>3162</v>
      </c>
      <c r="C2912" s="360"/>
      <c r="D2912" s="327">
        <f>IF($B2912="","",COUNTIF($B$6:$B2912,$B2912))</f>
        <v>12</v>
      </c>
      <c r="E2912" s="361" t="s">
        <v>2921</v>
      </c>
      <c r="F2912" s="362" t="s">
        <v>210</v>
      </c>
      <c r="G2912" s="327" t="s">
        <v>155</v>
      </c>
      <c r="H2912" s="327"/>
      <c r="I2912" s="327">
        <v>1</v>
      </c>
      <c r="J2912" s="359"/>
      <c r="K2912" s="327"/>
      <c r="L2912" s="389">
        <v>68884</v>
      </c>
      <c r="M2912" s="371"/>
      <c r="N2912" s="355" t="s">
        <v>153</v>
      </c>
      <c r="O2912" s="404" t="s">
        <v>1782</v>
      </c>
      <c r="P2912" s="392"/>
      <c r="Q2912" s="327"/>
      <c r="R2912" s="351"/>
      <c r="S2912" s="351"/>
      <c r="T2912" s="351"/>
      <c r="U2912" s="329" t="str">
        <f>IF($N2912=$N$4,IFERROR(INDEX(DanhMuc!$E$154:$E$165,MATCH(MID($B2912,4,2),DanhMuc!$B$154:$B$165,0)),""),"")</f>
        <v/>
      </c>
      <c r="V2912" s="361"/>
      <c r="W2912" s="345"/>
      <c r="X2912" s="329" t="str">
        <f t="shared" si="296"/>
        <v>FI</v>
      </c>
      <c r="Y2912" s="1128" t="s">
        <v>3380</v>
      </c>
      <c r="Z2912" s="1128" t="s">
        <v>3381</v>
      </c>
      <c r="AA2912" s="1128" t="s">
        <v>3384</v>
      </c>
      <c r="AB2912" s="20"/>
      <c r="AC2912" s="73"/>
    </row>
    <row r="2913" spans="1:29" ht="50">
      <c r="A2913" s="327" t="str">
        <f>IF(AND($B2913&lt;&gt;"",$C2913&lt;&gt;""),MAX($A$1556:A2912)+1,"")</f>
        <v/>
      </c>
      <c r="B2913" s="361" t="s">
        <v>3162</v>
      </c>
      <c r="C2913" s="360"/>
      <c r="D2913" s="327">
        <f>IF($B2913="","",COUNTIF($B$6:$B2913,$B2913))</f>
        <v>13</v>
      </c>
      <c r="E2913" s="403" t="s">
        <v>2973</v>
      </c>
      <c r="F2913" s="403" t="s">
        <v>953</v>
      </c>
      <c r="G2913" s="410" t="s">
        <v>156</v>
      </c>
      <c r="H2913" s="327" t="s">
        <v>536</v>
      </c>
      <c r="I2913" s="411" t="s">
        <v>2856</v>
      </c>
      <c r="J2913" s="404"/>
      <c r="K2913" s="410"/>
      <c r="L2913" s="389">
        <v>49122</v>
      </c>
      <c r="M2913" s="371"/>
      <c r="N2913" s="355" t="s">
        <v>153</v>
      </c>
      <c r="O2913" s="404" t="s">
        <v>1623</v>
      </c>
      <c r="P2913" s="392"/>
      <c r="Q2913" s="327"/>
      <c r="R2913" s="351"/>
      <c r="S2913" s="351"/>
      <c r="T2913" s="351"/>
      <c r="U2913" s="329" t="str">
        <f>IF($N2913=$N$4,IFERROR(INDEX(DanhMuc!$E$154:$E$165,MATCH(MID($B2913,4,2),DanhMuc!$B$154:$B$165,0)),""),"")</f>
        <v/>
      </c>
      <c r="V2913" s="361"/>
      <c r="W2913" s="345"/>
      <c r="X2913" s="329" t="str">
        <f t="shared" si="296"/>
        <v>FI</v>
      </c>
      <c r="Y2913" s="1128" t="s">
        <v>3380</v>
      </c>
      <c r="Z2913" s="1128" t="s">
        <v>3381</v>
      </c>
      <c r="AA2913" s="1128" t="s">
        <v>3384</v>
      </c>
      <c r="AB2913" s="20"/>
      <c r="AC2913" s="73"/>
    </row>
    <row r="2914" spans="1:29" ht="50">
      <c r="A2914" s="327" t="str">
        <f>IF(AND($B2914&lt;&gt;"",$C2914&lt;&gt;""),MAX($A$1556:A2913)+1,"")</f>
        <v/>
      </c>
      <c r="B2914" s="361" t="s">
        <v>3162</v>
      </c>
      <c r="C2914" s="360"/>
      <c r="D2914" s="327">
        <f>IF($B2914="","",COUNTIF($B$6:$B2914,$B2914))</f>
        <v>14</v>
      </c>
      <c r="E2914" s="403" t="s">
        <v>2974</v>
      </c>
      <c r="F2914" s="403" t="s">
        <v>1059</v>
      </c>
      <c r="G2914" s="410" t="s">
        <v>156</v>
      </c>
      <c r="H2914" s="327" t="s">
        <v>536</v>
      </c>
      <c r="I2914" s="411" t="s">
        <v>2853</v>
      </c>
      <c r="J2914" s="404"/>
      <c r="K2914" s="410"/>
      <c r="L2914" s="389">
        <v>59067</v>
      </c>
      <c r="M2914" s="371"/>
      <c r="N2914" s="355" t="s">
        <v>153</v>
      </c>
      <c r="O2914" s="404" t="s">
        <v>1623</v>
      </c>
      <c r="P2914" s="392"/>
      <c r="Q2914" s="327"/>
      <c r="R2914" s="351"/>
      <c r="S2914" s="351"/>
      <c r="T2914" s="351"/>
      <c r="U2914" s="329" t="str">
        <f>IF($N2914=$N$4,IFERROR(INDEX(DanhMuc!$E$154:$E$165,MATCH(MID($B2914,4,2),DanhMuc!$B$154:$B$165,0)),""),"")</f>
        <v/>
      </c>
      <c r="V2914" s="361"/>
      <c r="W2914" s="345"/>
      <c r="X2914" s="329" t="str">
        <f t="shared" si="296"/>
        <v>FI</v>
      </c>
      <c r="Y2914" s="1128" t="s">
        <v>3380</v>
      </c>
      <c r="Z2914" s="1128" t="s">
        <v>3381</v>
      </c>
      <c r="AA2914" s="1128" t="s">
        <v>3384</v>
      </c>
      <c r="AB2914" s="20"/>
      <c r="AC2914" s="73"/>
    </row>
    <row r="2915" spans="1:29" ht="50">
      <c r="A2915" s="327" t="str">
        <f>IF(AND($B2915&lt;&gt;"",$C2915&lt;&gt;""),MAX($A$1556:A2914)+1,"")</f>
        <v/>
      </c>
      <c r="B2915" s="361" t="s">
        <v>3162</v>
      </c>
      <c r="C2915" s="360"/>
      <c r="D2915" s="327">
        <f>IF($B2915="","",COUNTIF($B$6:$B2915,$B2915))</f>
        <v>15</v>
      </c>
      <c r="E2915" s="403" t="s">
        <v>2987</v>
      </c>
      <c r="F2915" s="403" t="s">
        <v>956</v>
      </c>
      <c r="G2915" s="410" t="s">
        <v>156</v>
      </c>
      <c r="H2915" s="327" t="s">
        <v>536</v>
      </c>
      <c r="I2915" s="411" t="s">
        <v>2854</v>
      </c>
      <c r="J2915" s="404"/>
      <c r="K2915" s="410"/>
      <c r="L2915" s="389">
        <v>77078</v>
      </c>
      <c r="M2915" s="371"/>
      <c r="N2915" s="355" t="s">
        <v>153</v>
      </c>
      <c r="O2915" s="404" t="s">
        <v>1623</v>
      </c>
      <c r="P2915" s="392"/>
      <c r="Q2915" s="327"/>
      <c r="R2915" s="351"/>
      <c r="S2915" s="351"/>
      <c r="T2915" s="351"/>
      <c r="U2915" s="329" t="str">
        <f>IF($N2915=$N$4,IFERROR(INDEX(DanhMuc!$E$154:$E$165,MATCH(MID($B2915,4,2),DanhMuc!$B$154:$B$165,0)),""),"")</f>
        <v/>
      </c>
      <c r="V2915" s="361"/>
      <c r="W2915" s="345"/>
      <c r="X2915" s="329" t="str">
        <f t="shared" si="296"/>
        <v>FI</v>
      </c>
      <c r="Y2915" s="1128" t="s">
        <v>3380</v>
      </c>
      <c r="Z2915" s="1128" t="s">
        <v>3381</v>
      </c>
      <c r="AA2915" s="1128" t="s">
        <v>3384</v>
      </c>
      <c r="AB2915" s="20"/>
      <c r="AC2915" s="73"/>
    </row>
    <row r="2916" spans="1:29" ht="50">
      <c r="A2916" s="327" t="str">
        <f>IF(AND($B2916&lt;&gt;"",$C2916&lt;&gt;""),MAX($A$1556:A2915)+1,"")</f>
        <v/>
      </c>
      <c r="B2916" s="361" t="s">
        <v>3162</v>
      </c>
      <c r="C2916" s="360"/>
      <c r="D2916" s="327">
        <f>IF($B2916="","",COUNTIF($B$6:$B2916,$B2916))</f>
        <v>16</v>
      </c>
      <c r="E2916" s="403" t="s">
        <v>2975</v>
      </c>
      <c r="F2916" s="403" t="s">
        <v>183</v>
      </c>
      <c r="G2916" s="410" t="s">
        <v>156</v>
      </c>
      <c r="H2916" s="327" t="s">
        <v>536</v>
      </c>
      <c r="I2916" s="411" t="s">
        <v>2855</v>
      </c>
      <c r="J2916" s="404"/>
      <c r="K2916" s="410"/>
      <c r="L2916" s="415">
        <v>77078</v>
      </c>
      <c r="M2916" s="371"/>
      <c r="N2916" s="355" t="s">
        <v>153</v>
      </c>
      <c r="O2916" s="404" t="s">
        <v>1623</v>
      </c>
      <c r="P2916" s="392"/>
      <c r="Q2916" s="327"/>
      <c r="R2916" s="351"/>
      <c r="S2916" s="351"/>
      <c r="T2916" s="351"/>
      <c r="U2916" s="329" t="str">
        <f>IF($N2916=$N$4,IFERROR(INDEX(DanhMuc!$E$154:$E$165,MATCH(MID($B2916,4,2),DanhMuc!$B$154:$B$165,0)),""),"")</f>
        <v/>
      </c>
      <c r="V2916" s="361"/>
      <c r="W2916" s="345"/>
      <c r="X2916" s="329" t="str">
        <f t="shared" si="296"/>
        <v>FI</v>
      </c>
      <c r="Y2916" s="1128" t="s">
        <v>3380</v>
      </c>
      <c r="Z2916" s="1128" t="s">
        <v>3381</v>
      </c>
      <c r="AA2916" s="1128" t="s">
        <v>3384</v>
      </c>
      <c r="AB2916" s="20"/>
      <c r="AC2916" s="73"/>
    </row>
    <row r="2917" spans="1:29">
      <c r="A2917" s="327" t="str">
        <f>IF(AND($B2917&lt;&gt;"",$C2917&lt;&gt;""),MAX($A$1556:A2916)+1,"")</f>
        <v/>
      </c>
      <c r="B2917" s="361" t="s">
        <v>3162</v>
      </c>
      <c r="C2917" s="360"/>
      <c r="D2917" s="327">
        <f>IF($B2917="","",COUNTIF($B$6:$B2917,$B2917))</f>
        <v>17</v>
      </c>
      <c r="E2917" s="361" t="s">
        <v>2922</v>
      </c>
      <c r="F2917" s="362" t="s">
        <v>981</v>
      </c>
      <c r="G2917" s="327" t="s">
        <v>155</v>
      </c>
      <c r="H2917" s="327" t="s">
        <v>536</v>
      </c>
      <c r="I2917" s="327">
        <v>2</v>
      </c>
      <c r="J2917" s="359"/>
      <c r="K2917" s="327"/>
      <c r="L2917" s="389">
        <v>4514</v>
      </c>
      <c r="M2917" s="371"/>
      <c r="N2917" s="355" t="str">
        <f t="shared" ref="N2917:N2930" si="299">+$N$1555</f>
        <v>PK</v>
      </c>
      <c r="O2917" s="404" t="s">
        <v>1623</v>
      </c>
      <c r="P2917" s="392"/>
      <c r="Q2917" s="327"/>
      <c r="R2917" s="351"/>
      <c r="S2917" s="351"/>
      <c r="T2917" s="351"/>
      <c r="U2917" s="329" t="str">
        <f>IF($N2917=$N$4,IFERROR(INDEX(DanhMuc!$E$154:$E$165,MATCH(MID($B2917,4,2),DanhMuc!$B$154:$B$165,0)),""),"")</f>
        <v/>
      </c>
      <c r="V2917" s="361"/>
      <c r="W2917" s="345"/>
      <c r="X2917" s="329" t="str">
        <f t="shared" si="296"/>
        <v>FI</v>
      </c>
      <c r="Y2917" s="1128" t="s">
        <v>3380</v>
      </c>
      <c r="Z2917" s="1128" t="s">
        <v>3381</v>
      </c>
      <c r="AA2917" s="1128" t="s">
        <v>3384</v>
      </c>
      <c r="AB2917" s="20"/>
      <c r="AC2917" s="73"/>
    </row>
    <row r="2918" spans="1:29">
      <c r="A2918" s="327" t="str">
        <f>IF(AND($B2918&lt;&gt;"",$C2918&lt;&gt;""),MAX($A$1556:A2917)+1,"")</f>
        <v/>
      </c>
      <c r="B2918" s="361" t="s">
        <v>3162</v>
      </c>
      <c r="C2918" s="360"/>
      <c r="D2918" s="327">
        <f>IF($B2918="","",COUNTIF($B$6:$B2918,$B2918))</f>
        <v>18</v>
      </c>
      <c r="E2918" s="361" t="s">
        <v>187</v>
      </c>
      <c r="F2918" s="362" t="s">
        <v>189</v>
      </c>
      <c r="G2918" s="327" t="s">
        <v>155</v>
      </c>
      <c r="H2918" s="327"/>
      <c r="I2918" s="327">
        <v>4</v>
      </c>
      <c r="J2918" s="361"/>
      <c r="K2918" s="327"/>
      <c r="L2918" s="389">
        <v>5000</v>
      </c>
      <c r="M2918" s="371"/>
      <c r="N2918" s="355" t="str">
        <f t="shared" si="299"/>
        <v>PK</v>
      </c>
      <c r="O2918" s="345"/>
      <c r="P2918" s="392"/>
      <c r="Q2918" s="327"/>
      <c r="R2918" s="351"/>
      <c r="S2918" s="351"/>
      <c r="T2918" s="351"/>
      <c r="U2918" s="329" t="str">
        <f>IF($N2918=$N$4,IFERROR(INDEX(DanhMuc!$E$154:$E$165,MATCH(MID($B2918,4,2),DanhMuc!$B$154:$B$165,0)),""),"")</f>
        <v/>
      </c>
      <c r="V2918" s="361"/>
      <c r="W2918" s="345"/>
      <c r="X2918" s="329" t="str">
        <f t="shared" si="296"/>
        <v>FI</v>
      </c>
      <c r="Y2918" s="1128" t="s">
        <v>3380</v>
      </c>
      <c r="Z2918" s="1128" t="s">
        <v>3381</v>
      </c>
      <c r="AA2918" s="1128" t="s">
        <v>3384</v>
      </c>
      <c r="AB2918" s="20"/>
      <c r="AC2918" s="73"/>
    </row>
    <row r="2919" spans="1:29">
      <c r="A2919" s="327" t="str">
        <f>IF(AND($B2919&lt;&gt;"",$C2919&lt;&gt;""),MAX($A$1556:A2918)+1,"")</f>
        <v/>
      </c>
      <c r="B2919" s="361" t="s">
        <v>3162</v>
      </c>
      <c r="C2919" s="360"/>
      <c r="D2919" s="327">
        <f>IF($B2919="","",COUNTIF($B$6:$B2919,$B2919))</f>
        <v>19</v>
      </c>
      <c r="E2919" s="361" t="s">
        <v>172</v>
      </c>
      <c r="F2919" s="362" t="s">
        <v>173</v>
      </c>
      <c r="G2919" s="327" t="s">
        <v>155</v>
      </c>
      <c r="H2919" s="327"/>
      <c r="I2919" s="327">
        <v>2</v>
      </c>
      <c r="J2919" s="361"/>
      <c r="K2919" s="327"/>
      <c r="L2919" s="389">
        <v>6000</v>
      </c>
      <c r="M2919" s="371"/>
      <c r="N2919" s="355" t="str">
        <f t="shared" si="299"/>
        <v>PK</v>
      </c>
      <c r="O2919" s="345"/>
      <c r="P2919" s="392"/>
      <c r="Q2919" s="327"/>
      <c r="R2919" s="351"/>
      <c r="S2919" s="351"/>
      <c r="T2919" s="351"/>
      <c r="U2919" s="329" t="str">
        <f>IF($N2919=$N$4,IFERROR(INDEX(DanhMuc!$E$154:$E$165,MATCH(MID($B2919,4,2),DanhMuc!$B$154:$B$165,0)),""),"")</f>
        <v/>
      </c>
      <c r="V2919" s="361"/>
      <c r="W2919" s="345"/>
      <c r="X2919" s="329" t="str">
        <f t="shared" si="296"/>
        <v>FI</v>
      </c>
      <c r="Y2919" s="1128" t="s">
        <v>3380</v>
      </c>
      <c r="Z2919" s="1128" t="s">
        <v>3381</v>
      </c>
      <c r="AA2919" s="1128" t="s">
        <v>3384</v>
      </c>
      <c r="AB2919" s="20"/>
      <c r="AC2919" s="73"/>
    </row>
    <row r="2920" spans="1:29">
      <c r="A2920" s="327" t="str">
        <f>IF(AND($B2920&lt;&gt;"",$C2920&lt;&gt;""),MAX($A$1556:A2919)+1,"")</f>
        <v/>
      </c>
      <c r="B2920" s="361" t="s">
        <v>3162</v>
      </c>
      <c r="C2920" s="360"/>
      <c r="D2920" s="327">
        <f>IF($B2920="","",COUNTIF($B$6:$B2920,$B2920))</f>
        <v>20</v>
      </c>
      <c r="E2920" s="361" t="s">
        <v>163</v>
      </c>
      <c r="F2920" s="362" t="s">
        <v>164</v>
      </c>
      <c r="G2920" s="327" t="s">
        <v>155</v>
      </c>
      <c r="H2920" s="327"/>
      <c r="I2920" s="327">
        <v>4</v>
      </c>
      <c r="J2920" s="361"/>
      <c r="K2920" s="327"/>
      <c r="L2920" s="389">
        <v>2500</v>
      </c>
      <c r="M2920" s="371"/>
      <c r="N2920" s="355" t="str">
        <f t="shared" si="299"/>
        <v>PK</v>
      </c>
      <c r="O2920" s="345"/>
      <c r="P2920" s="392"/>
      <c r="Q2920" s="327"/>
      <c r="R2920" s="351"/>
      <c r="S2920" s="351"/>
      <c r="T2920" s="351"/>
      <c r="U2920" s="329" t="str">
        <f>IF($N2920=$N$4,IFERROR(INDEX(DanhMuc!$E$154:$E$165,MATCH(MID($B2920,4,2),DanhMuc!$B$154:$B$165,0)),""),"")</f>
        <v/>
      </c>
      <c r="V2920" s="408" t="s">
        <v>342</v>
      </c>
      <c r="W2920" s="345"/>
      <c r="X2920" s="329" t="str">
        <f t="shared" si="296"/>
        <v>FI</v>
      </c>
      <c r="Y2920" s="1128" t="s">
        <v>3380</v>
      </c>
      <c r="Z2920" s="1128" t="s">
        <v>3381</v>
      </c>
      <c r="AA2920" s="1128" t="s">
        <v>3384</v>
      </c>
      <c r="AB2920" s="20"/>
      <c r="AC2920" s="73"/>
    </row>
    <row r="2921" spans="1:29">
      <c r="A2921" s="327" t="str">
        <f>IF(AND($B2921&lt;&gt;"",$C2921&lt;&gt;""),MAX($A$1556:A2920)+1,"")</f>
        <v/>
      </c>
      <c r="B2921" s="361" t="s">
        <v>3162</v>
      </c>
      <c r="C2921" s="360"/>
      <c r="D2921" s="327">
        <f>IF($B2921="","",COUNTIF($B$6:$B2921,$B2921))</f>
        <v>21</v>
      </c>
      <c r="E2921" s="361" t="s">
        <v>2923</v>
      </c>
      <c r="F2921" s="362" t="s">
        <v>186</v>
      </c>
      <c r="G2921" s="327" t="s">
        <v>155</v>
      </c>
      <c r="H2921" s="327" t="s">
        <v>536</v>
      </c>
      <c r="I2921" s="327">
        <v>8</v>
      </c>
      <c r="J2921" s="361"/>
      <c r="K2921" s="327"/>
      <c r="L2921" s="389">
        <v>40308</v>
      </c>
      <c r="M2921" s="371"/>
      <c r="N2921" s="355" t="str">
        <f t="shared" si="299"/>
        <v>PK</v>
      </c>
      <c r="O2921" s="345"/>
      <c r="P2921" s="392"/>
      <c r="Q2921" s="327"/>
      <c r="R2921" s="351"/>
      <c r="S2921" s="351"/>
      <c r="T2921" s="351"/>
      <c r="U2921" s="329" t="str">
        <f>IF($N2921=$N$4,IFERROR(INDEX(DanhMuc!$E$154:$E$165,MATCH(MID($B2921,4,2),DanhMuc!$B$154:$B$165,0)),""),"")</f>
        <v/>
      </c>
      <c r="V2921" s="361"/>
      <c r="W2921" s="345"/>
      <c r="X2921" s="329" t="str">
        <f t="shared" si="296"/>
        <v>FI</v>
      </c>
      <c r="Y2921" s="1128" t="s">
        <v>3380</v>
      </c>
      <c r="Z2921" s="1128" t="s">
        <v>3381</v>
      </c>
      <c r="AA2921" s="1128" t="s">
        <v>3384</v>
      </c>
      <c r="AB2921" s="20"/>
      <c r="AC2921" s="73"/>
    </row>
    <row r="2922" spans="1:29">
      <c r="A2922" s="327" t="str">
        <f>IF(AND($B2922&lt;&gt;"",$C2922&lt;&gt;""),MAX($A$1556:A2921)+1,"")</f>
        <v/>
      </c>
      <c r="B2922" s="361" t="s">
        <v>3162</v>
      </c>
      <c r="C2922" s="360"/>
      <c r="D2922" s="327">
        <f>IF($B2922="","",COUNTIF($B$6:$B2922,$B2922))</f>
        <v>22</v>
      </c>
      <c r="E2922" s="361" t="s">
        <v>165</v>
      </c>
      <c r="F2922" s="362" t="s">
        <v>166</v>
      </c>
      <c r="G2922" s="327" t="s">
        <v>155</v>
      </c>
      <c r="H2922" s="327"/>
      <c r="I2922" s="327">
        <v>4</v>
      </c>
      <c r="J2922" s="361"/>
      <c r="K2922" s="327"/>
      <c r="L2922" s="389">
        <v>1700</v>
      </c>
      <c r="M2922" s="371"/>
      <c r="N2922" s="355" t="str">
        <f t="shared" si="299"/>
        <v>PK</v>
      </c>
      <c r="O2922" s="345"/>
      <c r="P2922" s="392"/>
      <c r="Q2922" s="327"/>
      <c r="R2922" s="351"/>
      <c r="S2922" s="351"/>
      <c r="T2922" s="351"/>
      <c r="U2922" s="329" t="str">
        <f>IF($N2922=$N$4,IFERROR(INDEX(DanhMuc!$E$154:$E$165,MATCH(MID($B2922,4,2),DanhMuc!$B$154:$B$165,0)),""),"")</f>
        <v/>
      </c>
      <c r="V2922" s="361"/>
      <c r="W2922" s="345"/>
      <c r="X2922" s="329" t="str">
        <f t="shared" si="296"/>
        <v>FI</v>
      </c>
      <c r="Y2922" s="1128" t="s">
        <v>3380</v>
      </c>
      <c r="Z2922" s="1128" t="s">
        <v>3381</v>
      </c>
      <c r="AA2922" s="1128" t="s">
        <v>3384</v>
      </c>
      <c r="AB2922" s="20"/>
      <c r="AC2922" s="73"/>
    </row>
    <row r="2923" spans="1:29">
      <c r="A2923" s="327" t="str">
        <f>IF(AND($B2923&lt;&gt;"",$C2923&lt;&gt;""),MAX($A$1556:A2922)+1,"")</f>
        <v/>
      </c>
      <c r="B2923" s="361" t="s">
        <v>3162</v>
      </c>
      <c r="C2923" s="360"/>
      <c r="D2923" s="327">
        <f>IF($B2923="","",COUNTIF($B$6:$B2923,$B2923))</f>
        <v>23</v>
      </c>
      <c r="E2923" s="361" t="s">
        <v>167</v>
      </c>
      <c r="F2923" s="362" t="s">
        <v>168</v>
      </c>
      <c r="G2923" s="327" t="s">
        <v>155</v>
      </c>
      <c r="H2923" s="327"/>
      <c r="I2923" s="327">
        <v>4</v>
      </c>
      <c r="J2923" s="361"/>
      <c r="K2923" s="327"/>
      <c r="L2923" s="389">
        <v>1700</v>
      </c>
      <c r="M2923" s="371"/>
      <c r="N2923" s="355" t="str">
        <f t="shared" si="299"/>
        <v>PK</v>
      </c>
      <c r="O2923" s="345"/>
      <c r="P2923" s="392"/>
      <c r="Q2923" s="327"/>
      <c r="R2923" s="351"/>
      <c r="S2923" s="351"/>
      <c r="T2923" s="351"/>
      <c r="U2923" s="329" t="str">
        <f>IF($N2923=$N$4,IFERROR(INDEX(DanhMuc!$E$154:$E$165,MATCH(MID($B2923,4,2),DanhMuc!$B$154:$B$165,0)),""),"")</f>
        <v/>
      </c>
      <c r="V2923" s="361"/>
      <c r="W2923" s="345"/>
      <c r="X2923" s="329" t="str">
        <f t="shared" si="296"/>
        <v>FI</v>
      </c>
      <c r="Y2923" s="1128" t="s">
        <v>3380</v>
      </c>
      <c r="Z2923" s="1128" t="s">
        <v>3381</v>
      </c>
      <c r="AA2923" s="1128" t="s">
        <v>3384</v>
      </c>
      <c r="AB2923" s="20"/>
      <c r="AC2923" s="73"/>
    </row>
    <row r="2924" spans="1:29">
      <c r="A2924" s="327" t="str">
        <f>IF(AND($B2924&lt;&gt;"",$C2924&lt;&gt;""),MAX($A$1556:A2923)+1,"")</f>
        <v/>
      </c>
      <c r="B2924" s="361" t="s">
        <v>3162</v>
      </c>
      <c r="C2924" s="360"/>
      <c r="D2924" s="327">
        <f>IF($B2924="","",COUNTIF($B$6:$B2924,$B2924))</f>
        <v>24</v>
      </c>
      <c r="E2924" s="361" t="s">
        <v>169</v>
      </c>
      <c r="F2924" s="362" t="s">
        <v>170</v>
      </c>
      <c r="G2924" s="327" t="s">
        <v>155</v>
      </c>
      <c r="H2924" s="327"/>
      <c r="I2924" s="327">
        <v>4</v>
      </c>
      <c r="J2924" s="361"/>
      <c r="K2924" s="327"/>
      <c r="L2924" s="389">
        <v>1700</v>
      </c>
      <c r="M2924" s="371"/>
      <c r="N2924" s="355" t="str">
        <f t="shared" si="299"/>
        <v>PK</v>
      </c>
      <c r="O2924" s="345"/>
      <c r="P2924" s="392"/>
      <c r="Q2924" s="327"/>
      <c r="R2924" s="351"/>
      <c r="S2924" s="351"/>
      <c r="T2924" s="351"/>
      <c r="U2924" s="329" t="str">
        <f>IF($N2924=$N$4,IFERROR(INDEX(DanhMuc!$E$154:$E$165,MATCH(MID($B2924,4,2),DanhMuc!$B$154:$B$165,0)),""),"")</f>
        <v/>
      </c>
      <c r="V2924" s="361"/>
      <c r="W2924" s="345"/>
      <c r="X2924" s="329" t="str">
        <f t="shared" si="296"/>
        <v>FI</v>
      </c>
      <c r="Y2924" s="1128" t="s">
        <v>3380</v>
      </c>
      <c r="Z2924" s="1128" t="s">
        <v>3381</v>
      </c>
      <c r="AA2924" s="1128" t="s">
        <v>3384</v>
      </c>
      <c r="AB2924" s="20"/>
      <c r="AC2924" s="73"/>
    </row>
    <row r="2925" spans="1:29">
      <c r="A2925" s="327" t="str">
        <f>IF(AND($B2925&lt;&gt;"",$C2925&lt;&gt;""),MAX($A$1556:A2924)+1,"")</f>
        <v/>
      </c>
      <c r="B2925" s="361" t="s">
        <v>3162</v>
      </c>
      <c r="C2925" s="360"/>
      <c r="D2925" s="327">
        <f>IF($B2925="","",COUNTIF($B$6:$B2925,$B2925))</f>
        <v>25</v>
      </c>
      <c r="E2925" s="361" t="s">
        <v>171</v>
      </c>
      <c r="F2925" s="362" t="s">
        <v>291</v>
      </c>
      <c r="G2925" s="327" t="s">
        <v>155</v>
      </c>
      <c r="H2925" s="327"/>
      <c r="I2925" s="327">
        <v>4</v>
      </c>
      <c r="J2925" s="361"/>
      <c r="K2925" s="327"/>
      <c r="L2925" s="389">
        <v>1700</v>
      </c>
      <c r="M2925" s="371"/>
      <c r="N2925" s="355" t="str">
        <f t="shared" si="299"/>
        <v>PK</v>
      </c>
      <c r="O2925" s="345"/>
      <c r="P2925" s="392"/>
      <c r="Q2925" s="327"/>
      <c r="R2925" s="351"/>
      <c r="S2925" s="351"/>
      <c r="T2925" s="351"/>
      <c r="U2925" s="329" t="str">
        <f>IF($N2925=$N$4,IFERROR(INDEX(DanhMuc!$E$154:$E$165,MATCH(MID($B2925,4,2),DanhMuc!$B$154:$B$165,0)),""),"")</f>
        <v/>
      </c>
      <c r="V2925" s="361"/>
      <c r="W2925" s="345"/>
      <c r="X2925" s="329" t="str">
        <f t="shared" si="296"/>
        <v>FI</v>
      </c>
      <c r="Y2925" s="1128" t="s">
        <v>3380</v>
      </c>
      <c r="Z2925" s="1128" t="s">
        <v>3381</v>
      </c>
      <c r="AA2925" s="1128" t="s">
        <v>3384</v>
      </c>
      <c r="AB2925" s="20"/>
      <c r="AC2925" s="73"/>
    </row>
    <row r="2926" spans="1:29" ht="37.5">
      <c r="A2926" s="327">
        <f>IF(AND($B2926&lt;&gt;"",$C2926&lt;&gt;""),MAX($A$1556:A2899)+1,"")</f>
        <v>151</v>
      </c>
      <c r="B2926" s="359" t="s">
        <v>3138</v>
      </c>
      <c r="C2926" s="360" t="s">
        <v>1536</v>
      </c>
      <c r="D2926" s="327">
        <f>IF($B2926="","",COUNTIF($B$6:$B2926,$B2926))</f>
        <v>1</v>
      </c>
      <c r="E2926" s="362" t="s">
        <v>2914</v>
      </c>
      <c r="F2926" s="362" t="s">
        <v>2916</v>
      </c>
      <c r="G2926" s="327" t="s">
        <v>155</v>
      </c>
      <c r="H2926" s="327"/>
      <c r="I2926" s="327">
        <v>1</v>
      </c>
      <c r="J2926" s="345"/>
      <c r="K2926" s="327"/>
      <c r="L2926" s="389">
        <v>126387</v>
      </c>
      <c r="M2926" s="371"/>
      <c r="N2926" s="355" t="str">
        <f t="shared" si="299"/>
        <v>PK</v>
      </c>
      <c r="O2926" s="404" t="s">
        <v>2924</v>
      </c>
      <c r="P2926" s="392"/>
      <c r="Q2926" s="327"/>
      <c r="R2926" s="351"/>
      <c r="S2926" s="351"/>
      <c r="T2926" s="351"/>
      <c r="U2926" s="329" t="str">
        <f>IF($N2926=$N$4,IFERROR(INDEX(DanhMuc!$E$154:$E$165,MATCH(MID($B2926,4,2),DanhMuc!$B$154:$B$165,0)),""),"")</f>
        <v/>
      </c>
      <c r="V2926" s="361"/>
      <c r="W2926" s="345"/>
      <c r="X2926" s="329" t="str">
        <f t="shared" si="296"/>
        <v>DR</v>
      </c>
      <c r="Y2926" s="1128" t="s">
        <v>3380</v>
      </c>
      <c r="Z2926" s="1128" t="s">
        <v>3381</v>
      </c>
      <c r="AA2926" s="1128" t="s">
        <v>3384</v>
      </c>
      <c r="AB2926" s="20"/>
      <c r="AC2926" s="73"/>
    </row>
    <row r="2927" spans="1:29">
      <c r="A2927" s="327" t="str">
        <f>IF(AND($B2927&lt;&gt;"",$C2927&lt;&gt;""),MAX($A$1556:A2900)+1,"")</f>
        <v/>
      </c>
      <c r="B2927" s="361" t="s">
        <v>3138</v>
      </c>
      <c r="C2927" s="362"/>
      <c r="D2927" s="327">
        <f>IF($B2927="","",COUNTIF($B$6:$B2927,$B2927))</f>
        <v>2</v>
      </c>
      <c r="E2927" s="361" t="s">
        <v>2915</v>
      </c>
      <c r="F2927" s="362" t="s">
        <v>2917</v>
      </c>
      <c r="G2927" s="327" t="s">
        <v>155</v>
      </c>
      <c r="H2927" s="327"/>
      <c r="I2927" s="327">
        <v>1</v>
      </c>
      <c r="J2927" s="345"/>
      <c r="K2927" s="327"/>
      <c r="L2927" s="389">
        <v>58599</v>
      </c>
      <c r="M2927" s="371"/>
      <c r="N2927" s="355" t="str">
        <f t="shared" si="299"/>
        <v>PK</v>
      </c>
      <c r="O2927" s="404" t="s">
        <v>2924</v>
      </c>
      <c r="P2927" s="392"/>
      <c r="Q2927" s="327"/>
      <c r="R2927" s="351"/>
      <c r="S2927" s="351"/>
      <c r="T2927" s="351"/>
      <c r="U2927" s="329" t="str">
        <f>IF($N2927=$N$4,IFERROR(INDEX(DanhMuc!$E$154:$E$165,MATCH(MID($B2927,4,2),DanhMuc!$B$154:$B$165,0)),""),"")</f>
        <v/>
      </c>
      <c r="V2927" s="361"/>
      <c r="W2927" s="345"/>
      <c r="X2927" s="329" t="str">
        <f t="shared" si="296"/>
        <v>DR</v>
      </c>
      <c r="Y2927" s="1128" t="s">
        <v>3380</v>
      </c>
      <c r="Z2927" s="1128" t="s">
        <v>3381</v>
      </c>
      <c r="AA2927" s="1128" t="s">
        <v>3384</v>
      </c>
      <c r="AB2927" s="20"/>
      <c r="AC2927" s="73"/>
    </row>
    <row r="2928" spans="1:29" ht="37.5">
      <c r="A2928" s="327" t="str">
        <f>IF(AND($B2928&lt;&gt;"",$C2928&lt;&gt;""),MAX($A$1556:A2901)+1,"")</f>
        <v/>
      </c>
      <c r="B2928" s="361" t="s">
        <v>3138</v>
      </c>
      <c r="C2928" s="362"/>
      <c r="D2928" s="327">
        <f>IF($B2928="","",COUNTIF($B$6:$B2928,$B2928))</f>
        <v>3</v>
      </c>
      <c r="E2928" s="362" t="s">
        <v>2914</v>
      </c>
      <c r="F2928" s="362" t="s">
        <v>2931</v>
      </c>
      <c r="G2928" s="327" t="s">
        <v>155</v>
      </c>
      <c r="H2928" s="327"/>
      <c r="I2928" s="327">
        <v>1</v>
      </c>
      <c r="J2928" s="345"/>
      <c r="K2928" s="327"/>
      <c r="L2928" s="389">
        <v>126387</v>
      </c>
      <c r="M2928" s="371"/>
      <c r="N2928" s="355" t="str">
        <f t="shared" si="299"/>
        <v>PK</v>
      </c>
      <c r="O2928" s="404" t="s">
        <v>2925</v>
      </c>
      <c r="P2928" s="392"/>
      <c r="Q2928" s="327"/>
      <c r="R2928" s="351"/>
      <c r="S2928" s="351"/>
      <c r="T2928" s="351"/>
      <c r="U2928" s="329" t="str">
        <f>IF($N2928=$N$4,IFERROR(INDEX(DanhMuc!$E$154:$E$165,MATCH(MID($B2928,4,2),DanhMuc!$B$154:$B$165,0)),""),"")</f>
        <v/>
      </c>
      <c r="V2928" s="361"/>
      <c r="W2928" s="345"/>
      <c r="X2928" s="329" t="str">
        <f t="shared" ref="X2928:X2929" si="300">IF($N2928="PR",$E2928,MID($B2928,10,2))</f>
        <v>DR</v>
      </c>
      <c r="Y2928" s="1128" t="s">
        <v>3380</v>
      </c>
      <c r="Z2928" s="1128" t="s">
        <v>3381</v>
      </c>
      <c r="AA2928" s="1128" t="s">
        <v>3384</v>
      </c>
      <c r="AB2928" s="20"/>
      <c r="AC2928" s="73"/>
    </row>
    <row r="2929" spans="1:29">
      <c r="A2929" s="327" t="str">
        <f>IF(AND($B2929&lt;&gt;"",$C2929&lt;&gt;""),MAX($A$1556:A2902)+1,"")</f>
        <v/>
      </c>
      <c r="B2929" s="361" t="s">
        <v>3138</v>
      </c>
      <c r="C2929" s="362"/>
      <c r="D2929" s="327">
        <f>IF($B2929="","",COUNTIF($B$6:$B2929,$B2929))</f>
        <v>4</v>
      </c>
      <c r="E2929" s="361" t="s">
        <v>2915</v>
      </c>
      <c r="F2929" s="362" t="s">
        <v>2932</v>
      </c>
      <c r="G2929" s="327" t="s">
        <v>155</v>
      </c>
      <c r="H2929" s="327"/>
      <c r="I2929" s="327">
        <v>1</v>
      </c>
      <c r="J2929" s="345"/>
      <c r="K2929" s="327"/>
      <c r="L2929" s="389">
        <v>58599</v>
      </c>
      <c r="M2929" s="371"/>
      <c r="N2929" s="355" t="str">
        <f t="shared" si="299"/>
        <v>PK</v>
      </c>
      <c r="O2929" s="404" t="s">
        <v>2925</v>
      </c>
      <c r="P2929" s="392"/>
      <c r="Q2929" s="327"/>
      <c r="R2929" s="351"/>
      <c r="S2929" s="351"/>
      <c r="T2929" s="351"/>
      <c r="U2929" s="329" t="str">
        <f>IF($N2929=$N$4,IFERROR(INDEX(DanhMuc!$E$154:$E$165,MATCH(MID($B2929,4,2),DanhMuc!$B$154:$B$165,0)),""),"")</f>
        <v/>
      </c>
      <c r="V2929" s="361"/>
      <c r="W2929" s="345"/>
      <c r="X2929" s="329" t="str">
        <f t="shared" si="300"/>
        <v>DR</v>
      </c>
      <c r="Y2929" s="1128" t="s">
        <v>3380</v>
      </c>
      <c r="Z2929" s="1128" t="s">
        <v>3381</v>
      </c>
      <c r="AA2929" s="1128" t="s">
        <v>3384</v>
      </c>
      <c r="AB2929" s="20"/>
      <c r="AC2929" s="73"/>
    </row>
    <row r="2930" spans="1:29">
      <c r="A2930" s="327" t="str">
        <f>IF(AND($B2930&lt;&gt;"",$C2930&lt;&gt;""),MAX($A$1556:A2926)+1,"")</f>
        <v/>
      </c>
      <c r="B2930" s="361" t="s">
        <v>3138</v>
      </c>
      <c r="C2930" s="360"/>
      <c r="D2930" s="327">
        <f>IF($B2930="","",COUNTIF($B$6:$B2930,$B2930))</f>
        <v>5</v>
      </c>
      <c r="E2930" s="361" t="s">
        <v>3140</v>
      </c>
      <c r="F2930" s="362" t="s">
        <v>2373</v>
      </c>
      <c r="G2930" s="327" t="s">
        <v>155</v>
      </c>
      <c r="H2930" s="327"/>
      <c r="I2930" s="327">
        <v>1</v>
      </c>
      <c r="J2930" s="345"/>
      <c r="K2930" s="327"/>
      <c r="L2930" s="389">
        <v>4038</v>
      </c>
      <c r="M2930" s="371"/>
      <c r="N2930" s="355" t="str">
        <f t="shared" si="299"/>
        <v>PK</v>
      </c>
      <c r="O2930" s="404" t="s">
        <v>2926</v>
      </c>
      <c r="P2930" s="392"/>
      <c r="Q2930" s="327"/>
      <c r="R2930" s="351"/>
      <c r="S2930" s="351"/>
      <c r="T2930" s="351"/>
      <c r="U2930" s="329" t="str">
        <f>IF($N2930=$N$4,IFERROR(INDEX(DanhMuc!$E$154:$E$165,MATCH(MID($B2930,4,2),DanhMuc!$B$154:$B$165,0)),""),"")</f>
        <v/>
      </c>
      <c r="V2930" s="361"/>
      <c r="W2930" s="345"/>
      <c r="X2930" s="329" t="str">
        <f t="shared" ref="X2930:X2991" si="301">IF($N2930="PR",$E2930,MID($B2930,10,2))</f>
        <v>DR</v>
      </c>
      <c r="Y2930" s="1128" t="s">
        <v>3380</v>
      </c>
      <c r="Z2930" s="1128" t="s">
        <v>3381</v>
      </c>
      <c r="AA2930" s="1128" t="s">
        <v>3384</v>
      </c>
      <c r="AB2930" s="20"/>
      <c r="AC2930" s="73"/>
    </row>
    <row r="2931" spans="1:29">
      <c r="A2931" s="327" t="str">
        <f>IF(AND($B2931&lt;&gt;"",$C2931&lt;&gt;""),MAX($A$1556:A2930)+1,"")</f>
        <v/>
      </c>
      <c r="B2931" s="361" t="s">
        <v>3138</v>
      </c>
      <c r="C2931" s="360"/>
      <c r="D2931" s="327">
        <f>IF($B2931="","",COUNTIF($B$6:$B2931,$B2931))</f>
        <v>6</v>
      </c>
      <c r="E2931" s="361" t="s">
        <v>2952</v>
      </c>
      <c r="F2931" s="362" t="s">
        <v>2920</v>
      </c>
      <c r="G2931" s="327" t="s">
        <v>155</v>
      </c>
      <c r="H2931" s="327"/>
      <c r="I2931" s="327">
        <v>1</v>
      </c>
      <c r="J2931" s="359"/>
      <c r="K2931" s="327"/>
      <c r="L2931" s="389">
        <v>33329</v>
      </c>
      <c r="M2931" s="371"/>
      <c r="N2931" s="355" t="s">
        <v>153</v>
      </c>
      <c r="O2931" s="404" t="s">
        <v>2926</v>
      </c>
      <c r="P2931" s="392"/>
      <c r="Q2931" s="327"/>
      <c r="R2931" s="351"/>
      <c r="S2931" s="351"/>
      <c r="T2931" s="351"/>
      <c r="U2931" s="329" t="str">
        <f>IF($N2931=$N$4,IFERROR(INDEX(DanhMuc!$E$154:$E$165,MATCH(MID($B2931,4,2),DanhMuc!$B$154:$B$165,0)),""),"")</f>
        <v/>
      </c>
      <c r="V2931" s="361"/>
      <c r="W2931" s="345"/>
      <c r="X2931" s="329" t="str">
        <f t="shared" si="301"/>
        <v>DR</v>
      </c>
      <c r="Y2931" s="1128" t="s">
        <v>3380</v>
      </c>
      <c r="Z2931" s="1128" t="s">
        <v>3381</v>
      </c>
      <c r="AA2931" s="1128" t="s">
        <v>3384</v>
      </c>
      <c r="AB2931" s="20"/>
      <c r="AC2931" s="73"/>
    </row>
    <row r="2932" spans="1:29">
      <c r="A2932" s="327" t="str">
        <f>IF(AND($B2932&lt;&gt;"",$C2932&lt;&gt;""),MAX($A$1556:A2931)+1,"")</f>
        <v/>
      </c>
      <c r="B2932" s="361" t="s">
        <v>3138</v>
      </c>
      <c r="C2932" s="360"/>
      <c r="D2932" s="327">
        <f>IF($B2932="","",COUNTIF($B$6:$B2932,$B2932))</f>
        <v>7</v>
      </c>
      <c r="E2932" s="361" t="s">
        <v>3140</v>
      </c>
      <c r="F2932" s="362" t="s">
        <v>2373</v>
      </c>
      <c r="G2932" s="327" t="s">
        <v>155</v>
      </c>
      <c r="H2932" s="327"/>
      <c r="I2932" s="327">
        <v>1</v>
      </c>
      <c r="J2932" s="359"/>
      <c r="K2932" s="327"/>
      <c r="L2932" s="389">
        <v>4038</v>
      </c>
      <c r="M2932" s="371"/>
      <c r="N2932" s="355" t="s">
        <v>153</v>
      </c>
      <c r="O2932" s="404" t="s">
        <v>2926</v>
      </c>
      <c r="P2932" s="392"/>
      <c r="Q2932" s="327"/>
      <c r="R2932" s="351"/>
      <c r="S2932" s="351"/>
      <c r="T2932" s="351"/>
      <c r="U2932" s="329" t="str">
        <f>IF($N2932=$N$4,IFERROR(INDEX(DanhMuc!$E$154:$E$165,MATCH(MID($B2932,4,2),DanhMuc!$B$154:$B$165,0)),""),"")</f>
        <v/>
      </c>
      <c r="V2932" s="361"/>
      <c r="W2932" s="345"/>
      <c r="X2932" s="329" t="str">
        <f t="shared" si="301"/>
        <v>DR</v>
      </c>
      <c r="Y2932" s="1128" t="s">
        <v>3380</v>
      </c>
      <c r="Z2932" s="1128" t="s">
        <v>3381</v>
      </c>
      <c r="AA2932" s="1128" t="s">
        <v>3384</v>
      </c>
      <c r="AB2932" s="20"/>
      <c r="AC2932" s="73"/>
    </row>
    <row r="2933" spans="1:29">
      <c r="A2933" s="327" t="str">
        <f>IF(AND($B2933&lt;&gt;"",$C2933&lt;&gt;""),MAX($A$1556:A2932)+1,"")</f>
        <v/>
      </c>
      <c r="B2933" s="361" t="s">
        <v>3138</v>
      </c>
      <c r="C2933" s="360"/>
      <c r="D2933" s="327">
        <f>IF($B2933="","",COUNTIF($B$6:$B2933,$B2933))</f>
        <v>8</v>
      </c>
      <c r="E2933" s="361" t="s">
        <v>2952</v>
      </c>
      <c r="F2933" s="362" t="s">
        <v>2920</v>
      </c>
      <c r="G2933" s="327" t="s">
        <v>155</v>
      </c>
      <c r="H2933" s="327"/>
      <c r="I2933" s="327">
        <v>2</v>
      </c>
      <c r="J2933" s="359"/>
      <c r="K2933" s="327"/>
      <c r="L2933" s="389">
        <v>33329</v>
      </c>
      <c r="M2933" s="371"/>
      <c r="N2933" s="355" t="s">
        <v>153</v>
      </c>
      <c r="O2933" s="345" t="s">
        <v>1781</v>
      </c>
      <c r="P2933" s="392"/>
      <c r="Q2933" s="327"/>
      <c r="R2933" s="351"/>
      <c r="S2933" s="351"/>
      <c r="T2933" s="351"/>
      <c r="U2933" s="329" t="str">
        <f>IF($N2933=$N$4,IFERROR(INDEX(DanhMuc!$E$154:$E$165,MATCH(MID($B2933,4,2),DanhMuc!$B$154:$B$165,0)),""),"")</f>
        <v/>
      </c>
      <c r="V2933" s="361"/>
      <c r="W2933" s="345"/>
      <c r="X2933" s="329" t="str">
        <f t="shared" si="301"/>
        <v>DR</v>
      </c>
      <c r="Y2933" s="1128" t="s">
        <v>3380</v>
      </c>
      <c r="Z2933" s="1128" t="s">
        <v>3381</v>
      </c>
      <c r="AA2933" s="1128" t="s">
        <v>3384</v>
      </c>
      <c r="AB2933" s="20"/>
      <c r="AC2933" s="73"/>
    </row>
    <row r="2934" spans="1:29">
      <c r="A2934" s="327" t="str">
        <f>IF(AND($B2934&lt;&gt;"",$C2934&lt;&gt;""),MAX($A$1556:A2933)+1,"")</f>
        <v/>
      </c>
      <c r="B2934" s="361" t="s">
        <v>3138</v>
      </c>
      <c r="C2934" s="360"/>
      <c r="D2934" s="327">
        <f>IF($B2934="","",COUNTIF($B$6:$B2934,$B2934))</f>
        <v>9</v>
      </c>
      <c r="E2934" s="361" t="s">
        <v>3140</v>
      </c>
      <c r="F2934" s="362" t="s">
        <v>2373</v>
      </c>
      <c r="G2934" s="327" t="s">
        <v>155</v>
      </c>
      <c r="H2934" s="327"/>
      <c r="I2934" s="327">
        <v>2</v>
      </c>
      <c r="J2934" s="359"/>
      <c r="K2934" s="327"/>
      <c r="L2934" s="389">
        <v>4038</v>
      </c>
      <c r="M2934" s="371"/>
      <c r="N2934" s="355" t="s">
        <v>153</v>
      </c>
      <c r="O2934" s="345" t="s">
        <v>1781</v>
      </c>
      <c r="P2934" s="392"/>
      <c r="Q2934" s="327"/>
      <c r="R2934" s="351"/>
      <c r="S2934" s="351"/>
      <c r="T2934" s="351"/>
      <c r="U2934" s="329" t="str">
        <f>IF($N2934=$N$4,IFERROR(INDEX(DanhMuc!$E$154:$E$165,MATCH(MID($B2934,4,2),DanhMuc!$B$154:$B$165,0)),""),"")</f>
        <v/>
      </c>
      <c r="V2934" s="361"/>
      <c r="W2934" s="345"/>
      <c r="X2934" s="329" t="str">
        <f t="shared" si="301"/>
        <v>DR</v>
      </c>
      <c r="Y2934" s="1128" t="s">
        <v>3380</v>
      </c>
      <c r="Z2934" s="1128" t="s">
        <v>3381</v>
      </c>
      <c r="AA2934" s="1128" t="s">
        <v>3384</v>
      </c>
      <c r="AB2934" s="20"/>
      <c r="AC2934" s="73"/>
    </row>
    <row r="2935" spans="1:29">
      <c r="A2935" s="327" t="str">
        <f>IF(AND($B2935&lt;&gt;"",$C2935&lt;&gt;""),MAX($A$1556:A2930)+1,"")</f>
        <v/>
      </c>
      <c r="B2935" s="361" t="s">
        <v>3138</v>
      </c>
      <c r="C2935" s="360"/>
      <c r="D2935" s="327">
        <f>IF($B2935="","",COUNTIF($B$6:$B2935,$B2935))</f>
        <v>10</v>
      </c>
      <c r="E2935" s="402" t="s">
        <v>2534</v>
      </c>
      <c r="F2935" s="403" t="s">
        <v>181</v>
      </c>
      <c r="G2935" s="327" t="s">
        <v>155</v>
      </c>
      <c r="H2935" s="327" t="s">
        <v>536</v>
      </c>
      <c r="I2935" s="327">
        <v>4</v>
      </c>
      <c r="J2935" s="361"/>
      <c r="K2935" s="327"/>
      <c r="L2935" s="389">
        <v>19000</v>
      </c>
      <c r="M2935" s="371"/>
      <c r="N2935" s="355" t="str">
        <f t="shared" ref="N2935:N2943" si="302">+$N$1555</f>
        <v>PK</v>
      </c>
      <c r="O2935" s="345"/>
      <c r="P2935" s="392"/>
      <c r="Q2935" s="327"/>
      <c r="R2935" s="351"/>
      <c r="S2935" s="351"/>
      <c r="T2935" s="351"/>
      <c r="U2935" s="329" t="str">
        <f>IF($N2935=$N$4,IFERROR(INDEX(DanhMuc!$E$154:$E$165,MATCH(MID($B2935,4,2),DanhMuc!$B$154:$B$165,0)),""),"")</f>
        <v/>
      </c>
      <c r="V2935" s="361"/>
      <c r="W2935" s="345"/>
      <c r="X2935" s="329" t="str">
        <f t="shared" si="301"/>
        <v>DR</v>
      </c>
      <c r="Y2935" s="1128" t="s">
        <v>3380</v>
      </c>
      <c r="Z2935" s="1128" t="s">
        <v>3381</v>
      </c>
      <c r="AA2935" s="1128" t="s">
        <v>3384</v>
      </c>
      <c r="AB2935" s="20"/>
      <c r="AC2935" s="73"/>
    </row>
    <row r="2936" spans="1:29">
      <c r="A2936" s="327" t="str">
        <f>IF(AND($B2936&lt;&gt;"",$C2936&lt;&gt;""),MAX($A$1556:A2935)+1,"")</f>
        <v/>
      </c>
      <c r="B2936" s="361" t="s">
        <v>3138</v>
      </c>
      <c r="C2936" s="360"/>
      <c r="D2936" s="327">
        <f>IF($B2936="","",COUNTIF($B$6:$B2936,$B2936))</f>
        <v>11</v>
      </c>
      <c r="E2936" s="361" t="s">
        <v>163</v>
      </c>
      <c r="F2936" s="362" t="s">
        <v>164</v>
      </c>
      <c r="G2936" s="327" t="s">
        <v>155</v>
      </c>
      <c r="H2936" s="327"/>
      <c r="I2936" s="327">
        <v>2</v>
      </c>
      <c r="J2936" s="361"/>
      <c r="K2936" s="408"/>
      <c r="L2936" s="389">
        <v>2500</v>
      </c>
      <c r="M2936" s="371"/>
      <c r="N2936" s="355" t="str">
        <f t="shared" si="302"/>
        <v>PK</v>
      </c>
      <c r="O2936" s="345"/>
      <c r="P2936" s="392"/>
      <c r="Q2936" s="327"/>
      <c r="R2936" s="351"/>
      <c r="S2936" s="351"/>
      <c r="T2936" s="351"/>
      <c r="U2936" s="329" t="str">
        <f>IF($N2936=$N$4,IFERROR(INDEX(DanhMuc!$E$154:$E$165,MATCH(MID($B2936,4,2),DanhMuc!$B$154:$B$165,0)),""),"")</f>
        <v/>
      </c>
      <c r="V2936" s="408" t="s">
        <v>342</v>
      </c>
      <c r="W2936" s="345"/>
      <c r="X2936" s="329" t="str">
        <f t="shared" si="301"/>
        <v>DR</v>
      </c>
      <c r="Y2936" s="1128" t="s">
        <v>3380</v>
      </c>
      <c r="Z2936" s="1128" t="s">
        <v>3381</v>
      </c>
      <c r="AA2936" s="1128" t="s">
        <v>3384</v>
      </c>
      <c r="AB2936" s="20"/>
      <c r="AC2936" s="73"/>
    </row>
    <row r="2937" spans="1:29">
      <c r="A2937" s="327" t="str">
        <f>IF(AND($B2937&lt;&gt;"",$C2937&lt;&gt;""),MAX($A$1556:A2936)+1,"")</f>
        <v/>
      </c>
      <c r="B2937" s="361" t="s">
        <v>3138</v>
      </c>
      <c r="C2937" s="360"/>
      <c r="D2937" s="327">
        <f>IF($B2937="","",COUNTIF($B$6:$B2937,$B2937))</f>
        <v>12</v>
      </c>
      <c r="E2937" s="361" t="s">
        <v>187</v>
      </c>
      <c r="F2937" s="362" t="s">
        <v>189</v>
      </c>
      <c r="G2937" s="327" t="s">
        <v>155</v>
      </c>
      <c r="H2937" s="327"/>
      <c r="I2937" s="327">
        <v>4</v>
      </c>
      <c r="J2937" s="361"/>
      <c r="K2937" s="327"/>
      <c r="L2937" s="389">
        <v>5000</v>
      </c>
      <c r="M2937" s="371"/>
      <c r="N2937" s="355" t="str">
        <f t="shared" si="302"/>
        <v>PK</v>
      </c>
      <c r="O2937" s="345"/>
      <c r="P2937" s="392"/>
      <c r="Q2937" s="327"/>
      <c r="R2937" s="351"/>
      <c r="S2937" s="351"/>
      <c r="T2937" s="351"/>
      <c r="U2937" s="329" t="str">
        <f>IF($N2937=$N$4,IFERROR(INDEX(DanhMuc!$E$154:$E$165,MATCH(MID($B2937,4,2),DanhMuc!$B$154:$B$165,0)),""),"")</f>
        <v/>
      </c>
      <c r="V2937" s="361"/>
      <c r="W2937" s="345"/>
      <c r="X2937" s="329" t="str">
        <f t="shared" si="301"/>
        <v>DR</v>
      </c>
      <c r="Y2937" s="1128" t="s">
        <v>3380</v>
      </c>
      <c r="Z2937" s="1128" t="s">
        <v>3381</v>
      </c>
      <c r="AA2937" s="1128" t="s">
        <v>3384</v>
      </c>
      <c r="AB2937" s="20"/>
      <c r="AC2937" s="73"/>
    </row>
    <row r="2938" spans="1:29">
      <c r="A2938" s="327" t="str">
        <f>IF(AND($B2938&lt;&gt;"",$C2938&lt;&gt;""),MAX($A$1556:A2937)+1,"")</f>
        <v/>
      </c>
      <c r="B2938" s="361" t="s">
        <v>3138</v>
      </c>
      <c r="C2938" s="360"/>
      <c r="D2938" s="327">
        <f>IF($B2938="","",COUNTIF($B$6:$B2938,$B2938))</f>
        <v>13</v>
      </c>
      <c r="E2938" s="361" t="s">
        <v>172</v>
      </c>
      <c r="F2938" s="362" t="s">
        <v>173</v>
      </c>
      <c r="G2938" s="327" t="s">
        <v>155</v>
      </c>
      <c r="H2938" s="327"/>
      <c r="I2938" s="327">
        <v>1</v>
      </c>
      <c r="J2938" s="361"/>
      <c r="K2938" s="327"/>
      <c r="L2938" s="389">
        <v>6000</v>
      </c>
      <c r="M2938" s="371"/>
      <c r="N2938" s="355" t="str">
        <f t="shared" si="302"/>
        <v>PK</v>
      </c>
      <c r="O2938" s="345"/>
      <c r="P2938" s="392"/>
      <c r="Q2938" s="327"/>
      <c r="R2938" s="351"/>
      <c r="S2938" s="351"/>
      <c r="T2938" s="351"/>
      <c r="U2938" s="329" t="str">
        <f>IF($N2938=$N$4,IFERROR(INDEX(DanhMuc!$E$154:$E$165,MATCH(MID($B2938,4,2),DanhMuc!$B$154:$B$165,0)),""),"")</f>
        <v/>
      </c>
      <c r="V2938" s="361"/>
      <c r="W2938" s="345"/>
      <c r="X2938" s="329" t="str">
        <f t="shared" si="301"/>
        <v>DR</v>
      </c>
      <c r="Y2938" s="1128" t="s">
        <v>3380</v>
      </c>
      <c r="Z2938" s="1128" t="s">
        <v>3381</v>
      </c>
      <c r="AA2938" s="1128" t="s">
        <v>3384</v>
      </c>
      <c r="AB2938" s="20"/>
      <c r="AC2938" s="73"/>
    </row>
    <row r="2939" spans="1:29" ht="39">
      <c r="A2939" s="327">
        <f>IF(AND($B2939&lt;&gt;"",$C2939&lt;&gt;""),MAX($A$1556:A2912)+1,"")</f>
        <v>151</v>
      </c>
      <c r="B2939" s="359" t="s">
        <v>3187</v>
      </c>
      <c r="C2939" s="360" t="s">
        <v>3189</v>
      </c>
      <c r="D2939" s="327">
        <f>IF($B2939="","",COUNTIF($B$6:$B2939,$B2939))</f>
        <v>1</v>
      </c>
      <c r="E2939" s="362" t="s">
        <v>2914</v>
      </c>
      <c r="F2939" s="362" t="s">
        <v>2916</v>
      </c>
      <c r="G2939" s="327" t="s">
        <v>155</v>
      </c>
      <c r="H2939" s="327"/>
      <c r="I2939" s="327">
        <v>1</v>
      </c>
      <c r="J2939" s="345"/>
      <c r="K2939" s="327"/>
      <c r="L2939" s="389">
        <v>126387</v>
      </c>
      <c r="M2939" s="371"/>
      <c r="N2939" s="355" t="str">
        <f t="shared" si="302"/>
        <v>PK</v>
      </c>
      <c r="O2939" s="404" t="s">
        <v>2924</v>
      </c>
      <c r="P2939" s="392"/>
      <c r="Q2939" s="327"/>
      <c r="R2939" s="351"/>
      <c r="S2939" s="351"/>
      <c r="T2939" s="351"/>
      <c r="U2939" s="329" t="str">
        <f>IF($N2939=$N$4,IFERROR(INDEX(DanhMuc!$E$154:$E$165,MATCH(MID($B2939,4,2),DanhMuc!$B$154:$B$165,0)),""),"")</f>
        <v/>
      </c>
      <c r="V2939" s="361"/>
      <c r="W2939" s="345"/>
      <c r="X2939" s="329" t="str">
        <f t="shared" si="301"/>
        <v>DR</v>
      </c>
      <c r="Y2939" s="1128" t="s">
        <v>3380</v>
      </c>
      <c r="Z2939" s="1128" t="s">
        <v>3381</v>
      </c>
      <c r="AA2939" s="1128" t="s">
        <v>3384</v>
      </c>
      <c r="AB2939" s="20"/>
      <c r="AC2939" s="73"/>
    </row>
    <row r="2940" spans="1:29">
      <c r="A2940" s="327" t="str">
        <f>IF(AND($B2940&lt;&gt;"",$C2940&lt;&gt;""),MAX($A$1556:A2913)+1,"")</f>
        <v/>
      </c>
      <c r="B2940" s="361" t="s">
        <v>3187</v>
      </c>
      <c r="C2940" s="362"/>
      <c r="D2940" s="327">
        <f>IF($B2940="","",COUNTIF($B$6:$B2940,$B2940))</f>
        <v>2</v>
      </c>
      <c r="E2940" s="361" t="s">
        <v>2915</v>
      </c>
      <c r="F2940" s="362" t="s">
        <v>2917</v>
      </c>
      <c r="G2940" s="327" t="s">
        <v>155</v>
      </c>
      <c r="H2940" s="327"/>
      <c r="I2940" s="327">
        <v>1</v>
      </c>
      <c r="J2940" s="345"/>
      <c r="K2940" s="327"/>
      <c r="L2940" s="389">
        <v>58599</v>
      </c>
      <c r="M2940" s="371"/>
      <c r="N2940" s="355" t="str">
        <f t="shared" si="302"/>
        <v>PK</v>
      </c>
      <c r="O2940" s="404" t="s">
        <v>2924</v>
      </c>
      <c r="P2940" s="392"/>
      <c r="Q2940" s="327"/>
      <c r="R2940" s="351"/>
      <c r="S2940" s="351"/>
      <c r="T2940" s="351"/>
      <c r="U2940" s="329" t="str">
        <f>IF($N2940=$N$4,IFERROR(INDEX(DanhMuc!$E$154:$E$165,MATCH(MID($B2940,4,2),DanhMuc!$B$154:$B$165,0)),""),"")</f>
        <v/>
      </c>
      <c r="V2940" s="361"/>
      <c r="W2940" s="345"/>
      <c r="X2940" s="329" t="str">
        <f t="shared" si="301"/>
        <v>DR</v>
      </c>
      <c r="Y2940" s="1128" t="s">
        <v>3380</v>
      </c>
      <c r="Z2940" s="1128" t="s">
        <v>3381</v>
      </c>
      <c r="AA2940" s="1128" t="s">
        <v>3384</v>
      </c>
      <c r="AB2940" s="20"/>
      <c r="AC2940" s="73"/>
    </row>
    <row r="2941" spans="1:29" ht="37.5">
      <c r="A2941" s="327" t="str">
        <f>IF(AND($B2941&lt;&gt;"",$C2941&lt;&gt;""),MAX($A$1556:A2914)+1,"")</f>
        <v/>
      </c>
      <c r="B2941" s="361" t="s">
        <v>3187</v>
      </c>
      <c r="C2941" s="362"/>
      <c r="D2941" s="327">
        <f>IF($B2941="","",COUNTIF($B$6:$B2941,$B2941))</f>
        <v>3</v>
      </c>
      <c r="E2941" s="362" t="s">
        <v>2914</v>
      </c>
      <c r="F2941" s="362" t="s">
        <v>2931</v>
      </c>
      <c r="G2941" s="327" t="s">
        <v>155</v>
      </c>
      <c r="H2941" s="327"/>
      <c r="I2941" s="327">
        <v>1</v>
      </c>
      <c r="J2941" s="345"/>
      <c r="K2941" s="327"/>
      <c r="L2941" s="389">
        <v>126387</v>
      </c>
      <c r="M2941" s="371"/>
      <c r="N2941" s="355" t="str">
        <f t="shared" si="302"/>
        <v>PK</v>
      </c>
      <c r="O2941" s="404" t="s">
        <v>2925</v>
      </c>
      <c r="P2941" s="392"/>
      <c r="Q2941" s="327"/>
      <c r="R2941" s="351"/>
      <c r="S2941" s="351"/>
      <c r="T2941" s="351"/>
      <c r="U2941" s="329" t="str">
        <f>IF($N2941=$N$4,IFERROR(INDEX(DanhMuc!$E$154:$E$165,MATCH(MID($B2941,4,2),DanhMuc!$B$154:$B$165,0)),""),"")</f>
        <v/>
      </c>
      <c r="V2941" s="361"/>
      <c r="W2941" s="345"/>
      <c r="X2941" s="329" t="str">
        <f t="shared" si="301"/>
        <v>DR</v>
      </c>
      <c r="Y2941" s="1128" t="s">
        <v>3380</v>
      </c>
      <c r="Z2941" s="1128" t="s">
        <v>3381</v>
      </c>
      <c r="AA2941" s="1128" t="s">
        <v>3384</v>
      </c>
      <c r="AB2941" s="20"/>
      <c r="AC2941" s="73"/>
    </row>
    <row r="2942" spans="1:29">
      <c r="A2942" s="327" t="str">
        <f>IF(AND($B2942&lt;&gt;"",$C2942&lt;&gt;""),MAX($A$1556:A2915)+1,"")</f>
        <v/>
      </c>
      <c r="B2942" s="361" t="s">
        <v>3187</v>
      </c>
      <c r="C2942" s="362"/>
      <c r="D2942" s="327">
        <f>IF($B2942="","",COUNTIF($B$6:$B2942,$B2942))</f>
        <v>4</v>
      </c>
      <c r="E2942" s="361" t="s">
        <v>2915</v>
      </c>
      <c r="F2942" s="362" t="s">
        <v>2932</v>
      </c>
      <c r="G2942" s="327" t="s">
        <v>155</v>
      </c>
      <c r="H2942" s="327"/>
      <c r="I2942" s="327">
        <v>1</v>
      </c>
      <c r="J2942" s="345"/>
      <c r="K2942" s="327"/>
      <c r="L2942" s="389">
        <v>58599</v>
      </c>
      <c r="M2942" s="371"/>
      <c r="N2942" s="355" t="str">
        <f t="shared" si="302"/>
        <v>PK</v>
      </c>
      <c r="O2942" s="404" t="s">
        <v>2925</v>
      </c>
      <c r="P2942" s="392"/>
      <c r="Q2942" s="327"/>
      <c r="R2942" s="351"/>
      <c r="S2942" s="351"/>
      <c r="T2942" s="351"/>
      <c r="U2942" s="329" t="str">
        <f>IF($N2942=$N$4,IFERROR(INDEX(DanhMuc!$E$154:$E$165,MATCH(MID($B2942,4,2),DanhMuc!$B$154:$B$165,0)),""),"")</f>
        <v/>
      </c>
      <c r="V2942" s="361"/>
      <c r="W2942" s="345"/>
      <c r="X2942" s="329" t="str">
        <f t="shared" si="301"/>
        <v>DR</v>
      </c>
      <c r="Y2942" s="1128" t="s">
        <v>3380</v>
      </c>
      <c r="Z2942" s="1128" t="s">
        <v>3381</v>
      </c>
      <c r="AA2942" s="1128" t="s">
        <v>3384</v>
      </c>
      <c r="AB2942" s="20"/>
      <c r="AC2942" s="73"/>
    </row>
    <row r="2943" spans="1:29">
      <c r="A2943" s="327" t="str">
        <f>IF(AND($B2943&lt;&gt;"",$C2943&lt;&gt;""),MAX($A$1556:A2939)+1,"")</f>
        <v/>
      </c>
      <c r="B2943" s="361" t="s">
        <v>3187</v>
      </c>
      <c r="C2943" s="360"/>
      <c r="D2943" s="327">
        <f>IF($B2943="","",COUNTIF($B$6:$B2943,$B2943))</f>
        <v>5</v>
      </c>
      <c r="E2943" s="361" t="s">
        <v>3140</v>
      </c>
      <c r="F2943" s="362" t="s">
        <v>2373</v>
      </c>
      <c r="G2943" s="327" t="s">
        <v>155</v>
      </c>
      <c r="H2943" s="327"/>
      <c r="I2943" s="327">
        <v>1</v>
      </c>
      <c r="J2943" s="345"/>
      <c r="K2943" s="327"/>
      <c r="L2943" s="389">
        <v>4038</v>
      </c>
      <c r="M2943" s="371"/>
      <c r="N2943" s="355" t="str">
        <f t="shared" si="302"/>
        <v>PK</v>
      </c>
      <c r="O2943" s="404" t="s">
        <v>2926</v>
      </c>
      <c r="P2943" s="392"/>
      <c r="Q2943" s="327"/>
      <c r="R2943" s="351"/>
      <c r="S2943" s="351"/>
      <c r="T2943" s="351"/>
      <c r="U2943" s="329" t="str">
        <f>IF($N2943=$N$4,IFERROR(INDEX(DanhMuc!$E$154:$E$165,MATCH(MID($B2943,4,2),DanhMuc!$B$154:$B$165,0)),""),"")</f>
        <v/>
      </c>
      <c r="V2943" s="361"/>
      <c r="W2943" s="345"/>
      <c r="X2943" s="329" t="str">
        <f t="shared" si="301"/>
        <v>DR</v>
      </c>
      <c r="Y2943" s="1128" t="s">
        <v>3380</v>
      </c>
      <c r="Z2943" s="1128" t="s">
        <v>3381</v>
      </c>
      <c r="AA2943" s="1128" t="s">
        <v>3384</v>
      </c>
      <c r="AB2943" s="20"/>
      <c r="AC2943" s="73"/>
    </row>
    <row r="2944" spans="1:29">
      <c r="A2944" s="327" t="str">
        <f>IF(AND($B2944&lt;&gt;"",$C2944&lt;&gt;""),MAX($A$1556:A2943)+1,"")</f>
        <v/>
      </c>
      <c r="B2944" s="361" t="s">
        <v>3187</v>
      </c>
      <c r="C2944" s="360"/>
      <c r="D2944" s="327">
        <f>IF($B2944="","",COUNTIF($B$6:$B2944,$B2944))</f>
        <v>6</v>
      </c>
      <c r="E2944" s="361" t="s">
        <v>2952</v>
      </c>
      <c r="F2944" s="362" t="s">
        <v>2920</v>
      </c>
      <c r="G2944" s="327" t="s">
        <v>155</v>
      </c>
      <c r="H2944" s="327"/>
      <c r="I2944" s="327">
        <v>1</v>
      </c>
      <c r="J2944" s="359"/>
      <c r="K2944" s="327"/>
      <c r="L2944" s="389">
        <v>33329</v>
      </c>
      <c r="M2944" s="371"/>
      <c r="N2944" s="355" t="s">
        <v>153</v>
      </c>
      <c r="O2944" s="404" t="s">
        <v>2926</v>
      </c>
      <c r="P2944" s="392"/>
      <c r="Q2944" s="327"/>
      <c r="R2944" s="351"/>
      <c r="S2944" s="351"/>
      <c r="T2944" s="351"/>
      <c r="U2944" s="329" t="str">
        <f>IF($N2944=$N$4,IFERROR(INDEX(DanhMuc!$E$154:$E$165,MATCH(MID($B2944,4,2),DanhMuc!$B$154:$B$165,0)),""),"")</f>
        <v/>
      </c>
      <c r="V2944" s="361"/>
      <c r="W2944" s="345"/>
      <c r="X2944" s="329" t="str">
        <f t="shared" si="301"/>
        <v>DR</v>
      </c>
      <c r="Y2944" s="1128" t="s">
        <v>3380</v>
      </c>
      <c r="Z2944" s="1128" t="s">
        <v>3381</v>
      </c>
      <c r="AA2944" s="1128" t="s">
        <v>3384</v>
      </c>
      <c r="AB2944" s="20"/>
      <c r="AC2944" s="73"/>
    </row>
    <row r="2945" spans="1:29">
      <c r="A2945" s="327" t="str">
        <f>IF(AND($B2945&lt;&gt;"",$C2945&lt;&gt;""),MAX($A$1556:A2944)+1,"")</f>
        <v/>
      </c>
      <c r="B2945" s="361" t="s">
        <v>3187</v>
      </c>
      <c r="C2945" s="360"/>
      <c r="D2945" s="327">
        <f>IF($B2945="","",COUNTIF($B$6:$B2945,$B2945))</f>
        <v>7</v>
      </c>
      <c r="E2945" s="361" t="s">
        <v>3140</v>
      </c>
      <c r="F2945" s="362" t="s">
        <v>2373</v>
      </c>
      <c r="G2945" s="327" t="s">
        <v>155</v>
      </c>
      <c r="H2945" s="327"/>
      <c r="I2945" s="327">
        <v>1</v>
      </c>
      <c r="J2945" s="359"/>
      <c r="K2945" s="327"/>
      <c r="L2945" s="389">
        <v>4038</v>
      </c>
      <c r="M2945" s="371"/>
      <c r="N2945" s="355" t="s">
        <v>153</v>
      </c>
      <c r="O2945" s="404" t="s">
        <v>2926</v>
      </c>
      <c r="P2945" s="392"/>
      <c r="Q2945" s="327"/>
      <c r="R2945" s="351"/>
      <c r="S2945" s="351"/>
      <c r="T2945" s="351"/>
      <c r="U2945" s="329" t="str">
        <f>IF($N2945=$N$4,IFERROR(INDEX(DanhMuc!$E$154:$E$165,MATCH(MID($B2945,4,2),DanhMuc!$B$154:$B$165,0)),""),"")</f>
        <v/>
      </c>
      <c r="V2945" s="361"/>
      <c r="W2945" s="345"/>
      <c r="X2945" s="329" t="str">
        <f t="shared" si="301"/>
        <v>DR</v>
      </c>
      <c r="Y2945" s="1128" t="s">
        <v>3380</v>
      </c>
      <c r="Z2945" s="1128" t="s">
        <v>3381</v>
      </c>
      <c r="AA2945" s="1128" t="s">
        <v>3384</v>
      </c>
      <c r="AB2945" s="20"/>
      <c r="AC2945" s="73"/>
    </row>
    <row r="2946" spans="1:29">
      <c r="A2946" s="327" t="str">
        <f>IF(AND($B2946&lt;&gt;"",$C2946&lt;&gt;""),MAX($A$1556:A2945)+1,"")</f>
        <v/>
      </c>
      <c r="B2946" s="361" t="s">
        <v>3187</v>
      </c>
      <c r="C2946" s="360"/>
      <c r="D2946" s="327">
        <f>IF($B2946="","",COUNTIF($B$6:$B2946,$B2946))</f>
        <v>8</v>
      </c>
      <c r="E2946" s="361" t="s">
        <v>2952</v>
      </c>
      <c r="F2946" s="362" t="s">
        <v>2920</v>
      </c>
      <c r="G2946" s="327" t="s">
        <v>155</v>
      </c>
      <c r="H2946" s="327"/>
      <c r="I2946" s="327">
        <v>2</v>
      </c>
      <c r="J2946" s="359"/>
      <c r="K2946" s="327"/>
      <c r="L2946" s="389">
        <v>33329</v>
      </c>
      <c r="M2946" s="371"/>
      <c r="N2946" s="355" t="s">
        <v>153</v>
      </c>
      <c r="O2946" s="345" t="s">
        <v>1781</v>
      </c>
      <c r="P2946" s="392"/>
      <c r="Q2946" s="327"/>
      <c r="R2946" s="351"/>
      <c r="S2946" s="351"/>
      <c r="T2946" s="351"/>
      <c r="U2946" s="329" t="str">
        <f>IF($N2946=$N$4,IFERROR(INDEX(DanhMuc!$E$154:$E$165,MATCH(MID($B2946,4,2),DanhMuc!$B$154:$B$165,0)),""),"")</f>
        <v/>
      </c>
      <c r="V2946" s="361"/>
      <c r="W2946" s="345"/>
      <c r="X2946" s="329" t="str">
        <f t="shared" si="301"/>
        <v>DR</v>
      </c>
      <c r="Y2946" s="1128" t="s">
        <v>3380</v>
      </c>
      <c r="Z2946" s="1128" t="s">
        <v>3381</v>
      </c>
      <c r="AA2946" s="1128" t="s">
        <v>3384</v>
      </c>
      <c r="AB2946" s="20"/>
      <c r="AC2946" s="73"/>
    </row>
    <row r="2947" spans="1:29">
      <c r="A2947" s="327" t="str">
        <f>IF(AND($B2947&lt;&gt;"",$C2947&lt;&gt;""),MAX($A$1556:A2946)+1,"")</f>
        <v/>
      </c>
      <c r="B2947" s="361" t="s">
        <v>3187</v>
      </c>
      <c r="C2947" s="360"/>
      <c r="D2947" s="327">
        <f>IF($B2947="","",COUNTIF($B$6:$B2947,$B2947))</f>
        <v>9</v>
      </c>
      <c r="E2947" s="361" t="s">
        <v>3140</v>
      </c>
      <c r="F2947" s="362" t="s">
        <v>2373</v>
      </c>
      <c r="G2947" s="327" t="s">
        <v>155</v>
      </c>
      <c r="H2947" s="327"/>
      <c r="I2947" s="327">
        <v>2</v>
      </c>
      <c r="J2947" s="359"/>
      <c r="K2947" s="327"/>
      <c r="L2947" s="389">
        <v>4038</v>
      </c>
      <c r="M2947" s="371"/>
      <c r="N2947" s="355" t="s">
        <v>153</v>
      </c>
      <c r="O2947" s="345" t="s">
        <v>1781</v>
      </c>
      <c r="P2947" s="392"/>
      <c r="Q2947" s="327"/>
      <c r="R2947" s="351"/>
      <c r="S2947" s="351"/>
      <c r="T2947" s="351"/>
      <c r="U2947" s="329" t="str">
        <f>IF($N2947=$N$4,IFERROR(INDEX(DanhMuc!$E$154:$E$165,MATCH(MID($B2947,4,2),DanhMuc!$B$154:$B$165,0)),""),"")</f>
        <v/>
      </c>
      <c r="V2947" s="361"/>
      <c r="W2947" s="345"/>
      <c r="X2947" s="329" t="str">
        <f t="shared" si="301"/>
        <v>DR</v>
      </c>
      <c r="Y2947" s="1128" t="s">
        <v>3380</v>
      </c>
      <c r="Z2947" s="1128" t="s">
        <v>3381</v>
      </c>
      <c r="AA2947" s="1128" t="s">
        <v>3384</v>
      </c>
      <c r="AB2947" s="20"/>
      <c r="AC2947" s="73"/>
    </row>
    <row r="2948" spans="1:29">
      <c r="A2948" s="327" t="str">
        <f>IF(AND($B2948&lt;&gt;"",$C2948&lt;&gt;""),MAX($A$1556:A2943)+1,"")</f>
        <v/>
      </c>
      <c r="B2948" s="361" t="s">
        <v>3187</v>
      </c>
      <c r="C2948" s="360"/>
      <c r="D2948" s="327">
        <f>IF($B2948="","",COUNTIF($B$6:$B2948,$B2948))</f>
        <v>10</v>
      </c>
      <c r="E2948" s="402" t="s">
        <v>2534</v>
      </c>
      <c r="F2948" s="403" t="s">
        <v>181</v>
      </c>
      <c r="G2948" s="327" t="s">
        <v>155</v>
      </c>
      <c r="H2948" s="327" t="s">
        <v>536</v>
      </c>
      <c r="I2948" s="327">
        <v>6</v>
      </c>
      <c r="J2948" s="361"/>
      <c r="K2948" s="327"/>
      <c r="L2948" s="389">
        <v>19000</v>
      </c>
      <c r="M2948" s="371"/>
      <c r="N2948" s="355" t="str">
        <f t="shared" ref="N2948:N2956" si="303">+$N$1555</f>
        <v>PK</v>
      </c>
      <c r="O2948" s="345"/>
      <c r="P2948" s="392"/>
      <c r="Q2948" s="327"/>
      <c r="R2948" s="351"/>
      <c r="S2948" s="351"/>
      <c r="T2948" s="351"/>
      <c r="U2948" s="329" t="str">
        <f>IF($N2948=$N$4,IFERROR(INDEX(DanhMuc!$E$154:$E$165,MATCH(MID($B2948,4,2),DanhMuc!$B$154:$B$165,0)),""),"")</f>
        <v/>
      </c>
      <c r="V2948" s="361"/>
      <c r="W2948" s="345"/>
      <c r="X2948" s="329" t="str">
        <f t="shared" si="301"/>
        <v>DR</v>
      </c>
      <c r="Y2948" s="1128" t="s">
        <v>3380</v>
      </c>
      <c r="Z2948" s="1128" t="s">
        <v>3381</v>
      </c>
      <c r="AA2948" s="1128" t="s">
        <v>3384</v>
      </c>
      <c r="AB2948" s="20"/>
      <c r="AC2948" s="73"/>
    </row>
    <row r="2949" spans="1:29">
      <c r="A2949" s="327" t="str">
        <f>IF(AND($B2949&lt;&gt;"",$C2949&lt;&gt;""),MAX($A$1556:A2948)+1,"")</f>
        <v/>
      </c>
      <c r="B2949" s="361" t="s">
        <v>3187</v>
      </c>
      <c r="C2949" s="360"/>
      <c r="D2949" s="327">
        <f>IF($B2949="","",COUNTIF($B$6:$B2949,$B2949))</f>
        <v>11</v>
      </c>
      <c r="E2949" s="361" t="s">
        <v>163</v>
      </c>
      <c r="F2949" s="362" t="s">
        <v>164</v>
      </c>
      <c r="G2949" s="327" t="s">
        <v>155</v>
      </c>
      <c r="H2949" s="327"/>
      <c r="I2949" s="327">
        <v>2</v>
      </c>
      <c r="J2949" s="361"/>
      <c r="K2949" s="408"/>
      <c r="L2949" s="389">
        <v>2500</v>
      </c>
      <c r="M2949" s="371"/>
      <c r="N2949" s="355" t="str">
        <f t="shared" si="303"/>
        <v>PK</v>
      </c>
      <c r="O2949" s="345"/>
      <c r="P2949" s="392"/>
      <c r="Q2949" s="327"/>
      <c r="R2949" s="351"/>
      <c r="S2949" s="351"/>
      <c r="T2949" s="351"/>
      <c r="U2949" s="329" t="str">
        <f>IF($N2949=$N$4,IFERROR(INDEX(DanhMuc!$E$154:$E$165,MATCH(MID($B2949,4,2),DanhMuc!$B$154:$B$165,0)),""),"")</f>
        <v/>
      </c>
      <c r="V2949" s="408" t="s">
        <v>342</v>
      </c>
      <c r="W2949" s="345"/>
      <c r="X2949" s="329" t="str">
        <f t="shared" si="301"/>
        <v>DR</v>
      </c>
      <c r="Y2949" s="1128" t="s">
        <v>3380</v>
      </c>
      <c r="Z2949" s="1128" t="s">
        <v>3381</v>
      </c>
      <c r="AA2949" s="1128" t="s">
        <v>3384</v>
      </c>
      <c r="AB2949" s="20"/>
      <c r="AC2949" s="73"/>
    </row>
    <row r="2950" spans="1:29">
      <c r="A2950" s="327" t="str">
        <f>IF(AND($B2950&lt;&gt;"",$C2950&lt;&gt;""),MAX($A$1556:A2949)+1,"")</f>
        <v/>
      </c>
      <c r="B2950" s="361" t="s">
        <v>3187</v>
      </c>
      <c r="C2950" s="360"/>
      <c r="D2950" s="327">
        <f>IF($B2950="","",COUNTIF($B$6:$B2950,$B2950))</f>
        <v>12</v>
      </c>
      <c r="E2950" s="361" t="s">
        <v>187</v>
      </c>
      <c r="F2950" s="362" t="s">
        <v>189</v>
      </c>
      <c r="G2950" s="327" t="s">
        <v>155</v>
      </c>
      <c r="H2950" s="327"/>
      <c r="I2950" s="327">
        <v>4</v>
      </c>
      <c r="J2950" s="361"/>
      <c r="K2950" s="327"/>
      <c r="L2950" s="389">
        <v>5000</v>
      </c>
      <c r="M2950" s="371"/>
      <c r="N2950" s="355" t="str">
        <f t="shared" si="303"/>
        <v>PK</v>
      </c>
      <c r="O2950" s="345"/>
      <c r="P2950" s="392"/>
      <c r="Q2950" s="327"/>
      <c r="R2950" s="351"/>
      <c r="S2950" s="351"/>
      <c r="T2950" s="351"/>
      <c r="U2950" s="329" t="str">
        <f>IF($N2950=$N$4,IFERROR(INDEX(DanhMuc!$E$154:$E$165,MATCH(MID($B2950,4,2),DanhMuc!$B$154:$B$165,0)),""),"")</f>
        <v/>
      </c>
      <c r="V2950" s="361"/>
      <c r="W2950" s="345"/>
      <c r="X2950" s="329" t="str">
        <f t="shared" si="301"/>
        <v>DR</v>
      </c>
      <c r="Y2950" s="1128" t="s">
        <v>3380</v>
      </c>
      <c r="Z2950" s="1128" t="s">
        <v>3381</v>
      </c>
      <c r="AA2950" s="1128" t="s">
        <v>3384</v>
      </c>
      <c r="AB2950" s="20"/>
      <c r="AC2950" s="73"/>
    </row>
    <row r="2951" spans="1:29">
      <c r="A2951" s="327" t="str">
        <f>IF(AND($B2951&lt;&gt;"",$C2951&lt;&gt;""),MAX($A$1556:A2950)+1,"")</f>
        <v/>
      </c>
      <c r="B2951" s="361" t="s">
        <v>3187</v>
      </c>
      <c r="C2951" s="360"/>
      <c r="D2951" s="327">
        <f>IF($B2951="","",COUNTIF($B$6:$B2951,$B2951))</f>
        <v>13</v>
      </c>
      <c r="E2951" s="361" t="s">
        <v>172</v>
      </c>
      <c r="F2951" s="362" t="s">
        <v>173</v>
      </c>
      <c r="G2951" s="327" t="s">
        <v>155</v>
      </c>
      <c r="H2951" s="327"/>
      <c r="I2951" s="327">
        <v>1</v>
      </c>
      <c r="J2951" s="361"/>
      <c r="K2951" s="327"/>
      <c r="L2951" s="389">
        <v>6000</v>
      </c>
      <c r="M2951" s="371"/>
      <c r="N2951" s="355" t="str">
        <f t="shared" si="303"/>
        <v>PK</v>
      </c>
      <c r="O2951" s="345"/>
      <c r="P2951" s="392"/>
      <c r="Q2951" s="327"/>
      <c r="R2951" s="351"/>
      <c r="S2951" s="351"/>
      <c r="T2951" s="351"/>
      <c r="U2951" s="329" t="str">
        <f>IF($N2951=$N$4,IFERROR(INDEX(DanhMuc!$E$154:$E$165,MATCH(MID($B2951,4,2),DanhMuc!$B$154:$B$165,0)),""),"")</f>
        <v/>
      </c>
      <c r="V2951" s="361"/>
      <c r="W2951" s="345"/>
      <c r="X2951" s="329" t="str">
        <f t="shared" si="301"/>
        <v>DR</v>
      </c>
      <c r="Y2951" s="1128" t="s">
        <v>3380</v>
      </c>
      <c r="Z2951" s="1128" t="s">
        <v>3381</v>
      </c>
      <c r="AA2951" s="1128" t="s">
        <v>3384</v>
      </c>
      <c r="AB2951" s="20"/>
      <c r="AC2951" s="73"/>
    </row>
    <row r="2952" spans="1:29" ht="39">
      <c r="A2952" s="327">
        <f>IF(AND($B2952&lt;&gt;"",$C2952&lt;&gt;""),MAX($A$1556:A2925)+1,"")</f>
        <v>151</v>
      </c>
      <c r="B2952" s="359" t="s">
        <v>3190</v>
      </c>
      <c r="C2952" s="360" t="s">
        <v>3174</v>
      </c>
      <c r="D2952" s="327">
        <f>IF($B2952="","",COUNTIF($B$6:$B2952,$B2952))</f>
        <v>1</v>
      </c>
      <c r="E2952" s="362" t="s">
        <v>2914</v>
      </c>
      <c r="F2952" s="362" t="s">
        <v>2916</v>
      </c>
      <c r="G2952" s="327" t="s">
        <v>155</v>
      </c>
      <c r="H2952" s="327"/>
      <c r="I2952" s="327">
        <v>1</v>
      </c>
      <c r="J2952" s="345"/>
      <c r="K2952" s="327"/>
      <c r="L2952" s="389">
        <v>126387</v>
      </c>
      <c r="M2952" s="371"/>
      <c r="N2952" s="355" t="str">
        <f t="shared" si="303"/>
        <v>PK</v>
      </c>
      <c r="O2952" s="404" t="s">
        <v>2924</v>
      </c>
      <c r="P2952" s="392"/>
      <c r="Q2952" s="327"/>
      <c r="R2952" s="351"/>
      <c r="S2952" s="351"/>
      <c r="T2952" s="351"/>
      <c r="U2952" s="329" t="str">
        <f>IF($N2952=$N$4,IFERROR(INDEX(DanhMuc!$E$154:$E$165,MATCH(MID($B2952,4,2),DanhMuc!$B$154:$B$165,0)),""),"")</f>
        <v/>
      </c>
      <c r="V2952" s="361"/>
      <c r="W2952" s="345"/>
      <c r="X2952" s="329" t="str">
        <f t="shared" si="301"/>
        <v>2R</v>
      </c>
      <c r="Y2952" s="1128" t="s">
        <v>3380</v>
      </c>
      <c r="Z2952" s="1128" t="s">
        <v>3381</v>
      </c>
      <c r="AA2952" s="1128" t="s">
        <v>3384</v>
      </c>
      <c r="AB2952" s="20"/>
      <c r="AC2952" s="73"/>
    </row>
    <row r="2953" spans="1:29">
      <c r="A2953" s="327" t="str">
        <f>IF(AND($B2953&lt;&gt;"",$C2953&lt;&gt;""),MAX($A$1556:A2926)+1,"")</f>
        <v/>
      </c>
      <c r="B2953" s="361" t="s">
        <v>3190</v>
      </c>
      <c r="C2953" s="362"/>
      <c r="D2953" s="327">
        <f>IF($B2953="","",COUNTIF($B$6:$B2953,$B2953))</f>
        <v>2</v>
      </c>
      <c r="E2953" s="361" t="s">
        <v>2915</v>
      </c>
      <c r="F2953" s="362" t="s">
        <v>2917</v>
      </c>
      <c r="G2953" s="327" t="s">
        <v>155</v>
      </c>
      <c r="H2953" s="327"/>
      <c r="I2953" s="327">
        <v>1</v>
      </c>
      <c r="J2953" s="345"/>
      <c r="K2953" s="327"/>
      <c r="L2953" s="389">
        <v>58599</v>
      </c>
      <c r="M2953" s="371"/>
      <c r="N2953" s="355" t="str">
        <f t="shared" si="303"/>
        <v>PK</v>
      </c>
      <c r="O2953" s="404" t="s">
        <v>2924</v>
      </c>
      <c r="P2953" s="392"/>
      <c r="Q2953" s="327"/>
      <c r="R2953" s="351"/>
      <c r="S2953" s="351"/>
      <c r="T2953" s="351"/>
      <c r="U2953" s="329" t="str">
        <f>IF($N2953=$N$4,IFERROR(INDEX(DanhMuc!$E$154:$E$165,MATCH(MID($B2953,4,2),DanhMuc!$B$154:$B$165,0)),""),"")</f>
        <v/>
      </c>
      <c r="V2953" s="361"/>
      <c r="W2953" s="345"/>
      <c r="X2953" s="329" t="str">
        <f t="shared" si="301"/>
        <v>2R</v>
      </c>
      <c r="Y2953" s="1128" t="s">
        <v>3380</v>
      </c>
      <c r="Z2953" s="1128" t="s">
        <v>3381</v>
      </c>
      <c r="AA2953" s="1128" t="s">
        <v>3384</v>
      </c>
      <c r="AB2953" s="20"/>
      <c r="AC2953" s="73"/>
    </row>
    <row r="2954" spans="1:29" ht="37.5">
      <c r="A2954" s="327" t="str">
        <f>IF(AND($B2954&lt;&gt;"",$C2954&lt;&gt;""),MAX($A$1556:A2927)+1,"")</f>
        <v/>
      </c>
      <c r="B2954" s="361" t="s">
        <v>3190</v>
      </c>
      <c r="C2954" s="362"/>
      <c r="D2954" s="327">
        <f>IF($B2954="","",COUNTIF($B$6:$B2954,$B2954))</f>
        <v>3</v>
      </c>
      <c r="E2954" s="362" t="s">
        <v>2914</v>
      </c>
      <c r="F2954" s="362" t="s">
        <v>2931</v>
      </c>
      <c r="G2954" s="327" t="s">
        <v>155</v>
      </c>
      <c r="H2954" s="327"/>
      <c r="I2954" s="327">
        <v>1</v>
      </c>
      <c r="J2954" s="345"/>
      <c r="K2954" s="327"/>
      <c r="L2954" s="389">
        <v>126387</v>
      </c>
      <c r="M2954" s="371"/>
      <c r="N2954" s="355" t="str">
        <f t="shared" si="303"/>
        <v>PK</v>
      </c>
      <c r="O2954" s="404" t="s">
        <v>2925</v>
      </c>
      <c r="P2954" s="392"/>
      <c r="Q2954" s="327"/>
      <c r="R2954" s="351"/>
      <c r="S2954" s="351"/>
      <c r="T2954" s="351"/>
      <c r="U2954" s="329" t="str">
        <f>IF($N2954=$N$4,IFERROR(INDEX(DanhMuc!$E$154:$E$165,MATCH(MID($B2954,4,2),DanhMuc!$B$154:$B$165,0)),""),"")</f>
        <v/>
      </c>
      <c r="V2954" s="361"/>
      <c r="W2954" s="345"/>
      <c r="X2954" s="329" t="str">
        <f t="shared" si="301"/>
        <v>2R</v>
      </c>
      <c r="Y2954" s="1128" t="s">
        <v>3380</v>
      </c>
      <c r="Z2954" s="1128" t="s">
        <v>3381</v>
      </c>
      <c r="AA2954" s="1128" t="s">
        <v>3384</v>
      </c>
      <c r="AB2954" s="20"/>
      <c r="AC2954" s="73"/>
    </row>
    <row r="2955" spans="1:29">
      <c r="A2955" s="327" t="str">
        <f>IF(AND($B2955&lt;&gt;"",$C2955&lt;&gt;""),MAX($A$1556:A2928)+1,"")</f>
        <v/>
      </c>
      <c r="B2955" s="361" t="s">
        <v>3190</v>
      </c>
      <c r="C2955" s="362"/>
      <c r="D2955" s="327">
        <f>IF($B2955="","",COUNTIF($B$6:$B2955,$B2955))</f>
        <v>4</v>
      </c>
      <c r="E2955" s="361" t="s">
        <v>2915</v>
      </c>
      <c r="F2955" s="362" t="s">
        <v>2932</v>
      </c>
      <c r="G2955" s="327" t="s">
        <v>155</v>
      </c>
      <c r="H2955" s="327"/>
      <c r="I2955" s="327">
        <v>1</v>
      </c>
      <c r="J2955" s="345"/>
      <c r="K2955" s="327"/>
      <c r="L2955" s="389">
        <v>58599</v>
      </c>
      <c r="M2955" s="371"/>
      <c r="N2955" s="355" t="str">
        <f t="shared" si="303"/>
        <v>PK</v>
      </c>
      <c r="O2955" s="404" t="s">
        <v>2925</v>
      </c>
      <c r="P2955" s="392"/>
      <c r="Q2955" s="327"/>
      <c r="R2955" s="351"/>
      <c r="S2955" s="351"/>
      <c r="T2955" s="351"/>
      <c r="U2955" s="329" t="str">
        <f>IF($N2955=$N$4,IFERROR(INDEX(DanhMuc!$E$154:$E$165,MATCH(MID($B2955,4,2),DanhMuc!$B$154:$B$165,0)),""),"")</f>
        <v/>
      </c>
      <c r="V2955" s="361"/>
      <c r="W2955" s="345"/>
      <c r="X2955" s="329" t="str">
        <f t="shared" si="301"/>
        <v>2R</v>
      </c>
      <c r="Y2955" s="1128" t="s">
        <v>3380</v>
      </c>
      <c r="Z2955" s="1128" t="s">
        <v>3381</v>
      </c>
      <c r="AA2955" s="1128" t="s">
        <v>3384</v>
      </c>
      <c r="AB2955" s="20"/>
      <c r="AC2955" s="73"/>
    </row>
    <row r="2956" spans="1:29">
      <c r="A2956" s="327" t="str">
        <f>IF(AND($B2956&lt;&gt;"",$C2956&lt;&gt;""),MAX($A$1556:A2952)+1,"")</f>
        <v/>
      </c>
      <c r="B2956" s="361" t="s">
        <v>3190</v>
      </c>
      <c r="C2956" s="360"/>
      <c r="D2956" s="327">
        <f>IF($B2956="","",COUNTIF($B$6:$B2956,$B2956))</f>
        <v>5</v>
      </c>
      <c r="E2956" s="361" t="s">
        <v>3140</v>
      </c>
      <c r="F2956" s="362" t="s">
        <v>2373</v>
      </c>
      <c r="G2956" s="327" t="s">
        <v>155</v>
      </c>
      <c r="H2956" s="327"/>
      <c r="I2956" s="327">
        <v>1</v>
      </c>
      <c r="J2956" s="345"/>
      <c r="K2956" s="327"/>
      <c r="L2956" s="389">
        <v>4038</v>
      </c>
      <c r="M2956" s="371"/>
      <c r="N2956" s="355" t="str">
        <f t="shared" si="303"/>
        <v>PK</v>
      </c>
      <c r="O2956" s="404" t="s">
        <v>2926</v>
      </c>
      <c r="P2956" s="392"/>
      <c r="Q2956" s="327"/>
      <c r="R2956" s="351"/>
      <c r="S2956" s="351"/>
      <c r="T2956" s="351"/>
      <c r="U2956" s="329" t="str">
        <f>IF($N2956=$N$4,IFERROR(INDEX(DanhMuc!$E$154:$E$165,MATCH(MID($B2956,4,2),DanhMuc!$B$154:$B$165,0)),""),"")</f>
        <v/>
      </c>
      <c r="V2956" s="361"/>
      <c r="W2956" s="345"/>
      <c r="X2956" s="329" t="str">
        <f t="shared" si="301"/>
        <v>2R</v>
      </c>
      <c r="Y2956" s="1128" t="s">
        <v>3380</v>
      </c>
      <c r="Z2956" s="1128" t="s">
        <v>3381</v>
      </c>
      <c r="AA2956" s="1128" t="s">
        <v>3384</v>
      </c>
      <c r="AB2956" s="20"/>
      <c r="AC2956" s="73"/>
    </row>
    <row r="2957" spans="1:29">
      <c r="A2957" s="327" t="str">
        <f>IF(AND($B2957&lt;&gt;"",$C2957&lt;&gt;""),MAX($A$1556:A2956)+1,"")</f>
        <v/>
      </c>
      <c r="B2957" s="361" t="s">
        <v>3190</v>
      </c>
      <c r="C2957" s="360"/>
      <c r="D2957" s="327">
        <f>IF($B2957="","",COUNTIF($B$6:$B2957,$B2957))</f>
        <v>6</v>
      </c>
      <c r="E2957" s="361" t="s">
        <v>2952</v>
      </c>
      <c r="F2957" s="362" t="s">
        <v>2920</v>
      </c>
      <c r="G2957" s="327" t="s">
        <v>155</v>
      </c>
      <c r="H2957" s="327"/>
      <c r="I2957" s="327">
        <v>1</v>
      </c>
      <c r="J2957" s="359"/>
      <c r="K2957" s="327"/>
      <c r="L2957" s="389">
        <v>33329</v>
      </c>
      <c r="M2957" s="371"/>
      <c r="N2957" s="355" t="s">
        <v>153</v>
      </c>
      <c r="O2957" s="404" t="s">
        <v>2926</v>
      </c>
      <c r="P2957" s="392"/>
      <c r="Q2957" s="327"/>
      <c r="R2957" s="351"/>
      <c r="S2957" s="351"/>
      <c r="T2957" s="351"/>
      <c r="U2957" s="329" t="str">
        <f>IF($N2957=$N$4,IFERROR(INDEX(DanhMuc!$E$154:$E$165,MATCH(MID($B2957,4,2),DanhMuc!$B$154:$B$165,0)),""),"")</f>
        <v/>
      </c>
      <c r="V2957" s="361"/>
      <c r="W2957" s="345"/>
      <c r="X2957" s="329" t="str">
        <f t="shared" si="301"/>
        <v>2R</v>
      </c>
      <c r="Y2957" s="1128" t="s">
        <v>3380</v>
      </c>
      <c r="Z2957" s="1128" t="s">
        <v>3381</v>
      </c>
      <c r="AA2957" s="1128" t="s">
        <v>3384</v>
      </c>
      <c r="AB2957" s="20"/>
      <c r="AC2957" s="73"/>
    </row>
    <row r="2958" spans="1:29">
      <c r="A2958" s="327" t="str">
        <f>IF(AND($B2958&lt;&gt;"",$C2958&lt;&gt;""),MAX($A$1556:A2957)+1,"")</f>
        <v/>
      </c>
      <c r="B2958" s="361" t="s">
        <v>3190</v>
      </c>
      <c r="C2958" s="360"/>
      <c r="D2958" s="327">
        <f>IF($B2958="","",COUNTIF($B$6:$B2958,$B2958))</f>
        <v>7</v>
      </c>
      <c r="E2958" s="361" t="s">
        <v>3140</v>
      </c>
      <c r="F2958" s="362" t="s">
        <v>2373</v>
      </c>
      <c r="G2958" s="327" t="s">
        <v>155</v>
      </c>
      <c r="H2958" s="327"/>
      <c r="I2958" s="327">
        <v>1</v>
      </c>
      <c r="J2958" s="359"/>
      <c r="K2958" s="327"/>
      <c r="L2958" s="389">
        <v>4038</v>
      </c>
      <c r="M2958" s="371"/>
      <c r="N2958" s="355" t="s">
        <v>153</v>
      </c>
      <c r="O2958" s="404" t="s">
        <v>2926</v>
      </c>
      <c r="P2958" s="392"/>
      <c r="Q2958" s="327"/>
      <c r="R2958" s="351"/>
      <c r="S2958" s="351"/>
      <c r="T2958" s="351"/>
      <c r="U2958" s="329" t="str">
        <f>IF($N2958=$N$4,IFERROR(INDEX(DanhMuc!$E$154:$E$165,MATCH(MID($B2958,4,2),DanhMuc!$B$154:$B$165,0)),""),"")</f>
        <v/>
      </c>
      <c r="V2958" s="361"/>
      <c r="W2958" s="345"/>
      <c r="X2958" s="329" t="str">
        <f t="shared" si="301"/>
        <v>2R</v>
      </c>
      <c r="Y2958" s="1128" t="s">
        <v>3380</v>
      </c>
      <c r="Z2958" s="1128" t="s">
        <v>3381</v>
      </c>
      <c r="AA2958" s="1128" t="s">
        <v>3384</v>
      </c>
      <c r="AB2958" s="20"/>
      <c r="AC2958" s="73"/>
    </row>
    <row r="2959" spans="1:29">
      <c r="A2959" s="327" t="str">
        <f>IF(AND($B2959&lt;&gt;"",$C2959&lt;&gt;""),MAX($A$1556:A2958)+1,"")</f>
        <v/>
      </c>
      <c r="B2959" s="361" t="s">
        <v>3190</v>
      </c>
      <c r="C2959" s="360"/>
      <c r="D2959" s="327">
        <f>IF($B2959="","",COUNTIF($B$6:$B2959,$B2959))</f>
        <v>8</v>
      </c>
      <c r="E2959" s="361" t="s">
        <v>2952</v>
      </c>
      <c r="F2959" s="362" t="s">
        <v>2920</v>
      </c>
      <c r="G2959" s="327" t="s">
        <v>155</v>
      </c>
      <c r="H2959" s="327"/>
      <c r="I2959" s="327">
        <v>2</v>
      </c>
      <c r="J2959" s="359"/>
      <c r="K2959" s="327"/>
      <c r="L2959" s="389">
        <v>33329</v>
      </c>
      <c r="M2959" s="371"/>
      <c r="N2959" s="355" t="s">
        <v>153</v>
      </c>
      <c r="O2959" s="345" t="s">
        <v>1781</v>
      </c>
      <c r="P2959" s="392"/>
      <c r="Q2959" s="327"/>
      <c r="R2959" s="351"/>
      <c r="S2959" s="351"/>
      <c r="T2959" s="351"/>
      <c r="U2959" s="329" t="str">
        <f>IF($N2959=$N$4,IFERROR(INDEX(DanhMuc!$E$154:$E$165,MATCH(MID($B2959,4,2),DanhMuc!$B$154:$B$165,0)),""),"")</f>
        <v/>
      </c>
      <c r="V2959" s="361"/>
      <c r="W2959" s="345"/>
      <c r="X2959" s="329" t="str">
        <f t="shared" si="301"/>
        <v>2R</v>
      </c>
      <c r="Y2959" s="1128" t="s">
        <v>3380</v>
      </c>
      <c r="Z2959" s="1128" t="s">
        <v>3381</v>
      </c>
      <c r="AA2959" s="1128" t="s">
        <v>3384</v>
      </c>
      <c r="AB2959" s="20"/>
      <c r="AC2959" s="73"/>
    </row>
    <row r="2960" spans="1:29">
      <c r="A2960" s="327" t="str">
        <f>IF(AND($B2960&lt;&gt;"",$C2960&lt;&gt;""),MAX($A$1556:A2959)+1,"")</f>
        <v/>
      </c>
      <c r="B2960" s="361" t="s">
        <v>3190</v>
      </c>
      <c r="C2960" s="360"/>
      <c r="D2960" s="327">
        <f>IF($B2960="","",COUNTIF($B$6:$B2960,$B2960))</f>
        <v>9</v>
      </c>
      <c r="E2960" s="361" t="s">
        <v>3140</v>
      </c>
      <c r="F2960" s="362" t="s">
        <v>2373</v>
      </c>
      <c r="G2960" s="327" t="s">
        <v>155</v>
      </c>
      <c r="H2960" s="327"/>
      <c r="I2960" s="327">
        <v>2</v>
      </c>
      <c r="J2960" s="359"/>
      <c r="K2960" s="327"/>
      <c r="L2960" s="389">
        <v>4038</v>
      </c>
      <c r="M2960" s="371"/>
      <c r="N2960" s="355" t="s">
        <v>153</v>
      </c>
      <c r="O2960" s="345" t="s">
        <v>1781</v>
      </c>
      <c r="P2960" s="392"/>
      <c r="Q2960" s="327"/>
      <c r="R2960" s="351"/>
      <c r="S2960" s="351"/>
      <c r="T2960" s="351"/>
      <c r="U2960" s="329" t="str">
        <f>IF($N2960=$N$4,IFERROR(INDEX(DanhMuc!$E$154:$E$165,MATCH(MID($B2960,4,2),DanhMuc!$B$154:$B$165,0)),""),"")</f>
        <v/>
      </c>
      <c r="V2960" s="361"/>
      <c r="W2960" s="345"/>
      <c r="X2960" s="329" t="str">
        <f t="shared" si="301"/>
        <v>2R</v>
      </c>
      <c r="Y2960" s="1128" t="s">
        <v>3380</v>
      </c>
      <c r="Z2960" s="1128" t="s">
        <v>3381</v>
      </c>
      <c r="AA2960" s="1128" t="s">
        <v>3384</v>
      </c>
      <c r="AB2960" s="20"/>
      <c r="AC2960" s="73"/>
    </row>
    <row r="2961" spans="1:29">
      <c r="A2961" s="327" t="str">
        <f>IF(AND($B2961&lt;&gt;"",$C2961&lt;&gt;""),MAX($A$1556:A2956)+1,"")</f>
        <v/>
      </c>
      <c r="B2961" s="361" t="s">
        <v>3190</v>
      </c>
      <c r="C2961" s="360"/>
      <c r="D2961" s="327">
        <f>IF($B2961="","",COUNTIF($B$6:$B2961,$B2961))</f>
        <v>10</v>
      </c>
      <c r="E2961" s="402" t="s">
        <v>2534</v>
      </c>
      <c r="F2961" s="403" t="s">
        <v>181</v>
      </c>
      <c r="G2961" s="327" t="s">
        <v>155</v>
      </c>
      <c r="H2961" s="327" t="s">
        <v>536</v>
      </c>
      <c r="I2961" s="327">
        <v>6</v>
      </c>
      <c r="J2961" s="361"/>
      <c r="K2961" s="327"/>
      <c r="L2961" s="389">
        <v>19000</v>
      </c>
      <c r="M2961" s="371"/>
      <c r="N2961" s="355" t="str">
        <f t="shared" ref="N2961:N3004" si="304">+$N$1555</f>
        <v>PK</v>
      </c>
      <c r="O2961" s="345"/>
      <c r="P2961" s="392"/>
      <c r="Q2961" s="327"/>
      <c r="R2961" s="351"/>
      <c r="S2961" s="351"/>
      <c r="T2961" s="351"/>
      <c r="U2961" s="329" t="str">
        <f>IF($N2961=$N$4,IFERROR(INDEX(DanhMuc!$E$154:$E$165,MATCH(MID($B2961,4,2),DanhMuc!$B$154:$B$165,0)),""),"")</f>
        <v/>
      </c>
      <c r="V2961" s="361"/>
      <c r="W2961" s="345"/>
      <c r="X2961" s="329" t="str">
        <f t="shared" si="301"/>
        <v>2R</v>
      </c>
      <c r="Y2961" s="1128" t="s">
        <v>3380</v>
      </c>
      <c r="Z2961" s="1128" t="s">
        <v>3381</v>
      </c>
      <c r="AA2961" s="1128" t="s">
        <v>3384</v>
      </c>
      <c r="AB2961" s="20"/>
      <c r="AC2961" s="73"/>
    </row>
    <row r="2962" spans="1:29">
      <c r="A2962" s="327" t="str">
        <f>IF(AND($B2962&lt;&gt;"",$C2962&lt;&gt;""),MAX($A$1556:A2961)+1,"")</f>
        <v/>
      </c>
      <c r="B2962" s="361" t="s">
        <v>3190</v>
      </c>
      <c r="C2962" s="360"/>
      <c r="D2962" s="327">
        <f>IF($B2962="","",COUNTIF($B$6:$B2962,$B2962))</f>
        <v>11</v>
      </c>
      <c r="E2962" s="361" t="s">
        <v>163</v>
      </c>
      <c r="F2962" s="362" t="s">
        <v>164</v>
      </c>
      <c r="G2962" s="327" t="s">
        <v>155</v>
      </c>
      <c r="H2962" s="327"/>
      <c r="I2962" s="327">
        <v>2</v>
      </c>
      <c r="J2962" s="361"/>
      <c r="K2962" s="408"/>
      <c r="L2962" s="389">
        <v>2500</v>
      </c>
      <c r="M2962" s="371"/>
      <c r="N2962" s="355" t="str">
        <f t="shared" si="304"/>
        <v>PK</v>
      </c>
      <c r="O2962" s="345"/>
      <c r="P2962" s="392"/>
      <c r="Q2962" s="327"/>
      <c r="R2962" s="351"/>
      <c r="S2962" s="351"/>
      <c r="T2962" s="351"/>
      <c r="U2962" s="329" t="str">
        <f>IF($N2962=$N$4,IFERROR(INDEX(DanhMuc!$E$154:$E$165,MATCH(MID($B2962,4,2),DanhMuc!$B$154:$B$165,0)),""),"")</f>
        <v/>
      </c>
      <c r="V2962" s="408" t="s">
        <v>342</v>
      </c>
      <c r="W2962" s="345"/>
      <c r="X2962" s="329" t="str">
        <f t="shared" si="301"/>
        <v>2R</v>
      </c>
      <c r="Y2962" s="1128" t="s">
        <v>3380</v>
      </c>
      <c r="Z2962" s="1128" t="s">
        <v>3381</v>
      </c>
      <c r="AA2962" s="1128" t="s">
        <v>3384</v>
      </c>
      <c r="AB2962" s="20"/>
      <c r="AC2962" s="73"/>
    </row>
    <row r="2963" spans="1:29">
      <c r="A2963" s="327" t="str">
        <f>IF(AND($B2963&lt;&gt;"",$C2963&lt;&gt;""),MAX($A$1556:A2962)+1,"")</f>
        <v/>
      </c>
      <c r="B2963" s="361" t="s">
        <v>3190</v>
      </c>
      <c r="C2963" s="360"/>
      <c r="D2963" s="327">
        <f>IF($B2963="","",COUNTIF($B$6:$B2963,$B2963))</f>
        <v>12</v>
      </c>
      <c r="E2963" s="361" t="s">
        <v>187</v>
      </c>
      <c r="F2963" s="362" t="s">
        <v>189</v>
      </c>
      <c r="G2963" s="327" t="s">
        <v>155</v>
      </c>
      <c r="H2963" s="327"/>
      <c r="I2963" s="327">
        <v>4</v>
      </c>
      <c r="J2963" s="361"/>
      <c r="K2963" s="327"/>
      <c r="L2963" s="389">
        <v>5000</v>
      </c>
      <c r="M2963" s="371"/>
      <c r="N2963" s="355" t="str">
        <f t="shared" si="304"/>
        <v>PK</v>
      </c>
      <c r="O2963" s="345"/>
      <c r="P2963" s="392"/>
      <c r="Q2963" s="327"/>
      <c r="R2963" s="351"/>
      <c r="S2963" s="351"/>
      <c r="T2963" s="351"/>
      <c r="U2963" s="329" t="str">
        <f>IF($N2963=$N$4,IFERROR(INDEX(DanhMuc!$E$154:$E$165,MATCH(MID($B2963,4,2),DanhMuc!$B$154:$B$165,0)),""),"")</f>
        <v/>
      </c>
      <c r="V2963" s="361"/>
      <c r="W2963" s="345"/>
      <c r="X2963" s="329" t="str">
        <f t="shared" si="301"/>
        <v>2R</v>
      </c>
      <c r="Y2963" s="1128" t="s">
        <v>3380</v>
      </c>
      <c r="Z2963" s="1128" t="s">
        <v>3381</v>
      </c>
      <c r="AA2963" s="1128" t="s">
        <v>3384</v>
      </c>
      <c r="AB2963" s="20"/>
      <c r="AC2963" s="73"/>
    </row>
    <row r="2964" spans="1:29">
      <c r="A2964" s="327" t="str">
        <f>IF(AND($B2964&lt;&gt;"",$C2964&lt;&gt;""),MAX($A$1556:A2963)+1,"")</f>
        <v/>
      </c>
      <c r="B2964" s="361" t="s">
        <v>3190</v>
      </c>
      <c r="C2964" s="360"/>
      <c r="D2964" s="327">
        <f>IF($B2964="","",COUNTIF($B$6:$B2964,$B2964))</f>
        <v>13</v>
      </c>
      <c r="E2964" s="361" t="s">
        <v>172</v>
      </c>
      <c r="F2964" s="362" t="s">
        <v>173</v>
      </c>
      <c r="G2964" s="327" t="s">
        <v>155</v>
      </c>
      <c r="H2964" s="327"/>
      <c r="I2964" s="327">
        <v>1</v>
      </c>
      <c r="J2964" s="361"/>
      <c r="K2964" s="327"/>
      <c r="L2964" s="389">
        <v>6000</v>
      </c>
      <c r="M2964" s="371"/>
      <c r="N2964" s="355" t="str">
        <f t="shared" si="304"/>
        <v>PK</v>
      </c>
      <c r="O2964" s="345"/>
      <c r="P2964" s="392"/>
      <c r="Q2964" s="327"/>
      <c r="R2964" s="351"/>
      <c r="S2964" s="351"/>
      <c r="T2964" s="351"/>
      <c r="U2964" s="329" t="str">
        <f>IF($N2964=$N$4,IFERROR(INDEX(DanhMuc!$E$154:$E$165,MATCH(MID($B2964,4,2),DanhMuc!$B$154:$B$165,0)),""),"")</f>
        <v/>
      </c>
      <c r="V2964" s="361"/>
      <c r="W2964" s="345"/>
      <c r="X2964" s="329" t="str">
        <f t="shared" si="301"/>
        <v>2R</v>
      </c>
      <c r="Y2964" s="1128" t="s">
        <v>3380</v>
      </c>
      <c r="Z2964" s="1128" t="s">
        <v>3381</v>
      </c>
      <c r="AA2964" s="1128" t="s">
        <v>3384</v>
      </c>
      <c r="AB2964" s="20"/>
      <c r="AC2964" s="73"/>
    </row>
    <row r="2965" spans="1:29" ht="37.5">
      <c r="A2965" s="327">
        <f>IF(AND($B2965&lt;&gt;"",$C2965&lt;&gt;""),MAX($A$1556:A2905)+1,"")</f>
        <v>151</v>
      </c>
      <c r="B2965" s="359" t="s">
        <v>3139</v>
      </c>
      <c r="C2965" s="360" t="s">
        <v>1537</v>
      </c>
      <c r="D2965" s="327">
        <f>IF($B2965="","",COUNTIF($B$6:$B2965,$B2965))</f>
        <v>1</v>
      </c>
      <c r="E2965" s="362" t="s">
        <v>2914</v>
      </c>
      <c r="F2965" s="362" t="s">
        <v>2916</v>
      </c>
      <c r="G2965" s="327" t="s">
        <v>297</v>
      </c>
      <c r="H2965" s="327"/>
      <c r="I2965" s="327">
        <v>1</v>
      </c>
      <c r="J2965" s="345"/>
      <c r="K2965" s="327"/>
      <c r="L2965" s="389">
        <v>126387</v>
      </c>
      <c r="M2965" s="371"/>
      <c r="N2965" s="355" t="str">
        <f t="shared" si="304"/>
        <v>PK</v>
      </c>
      <c r="O2965" s="404" t="s">
        <v>2924</v>
      </c>
      <c r="P2965" s="392"/>
      <c r="Q2965" s="327"/>
      <c r="R2965" s="351"/>
      <c r="S2965" s="351"/>
      <c r="T2965" s="351"/>
      <c r="U2965" s="329" t="str">
        <f>IF($N2965=$N$4,IFERROR(INDEX(DanhMuc!$E$154:$E$165,MATCH(MID($B2965,4,2),DanhMuc!$B$154:$B$165,0)),""),"")</f>
        <v/>
      </c>
      <c r="V2965" s="361"/>
      <c r="W2965" s="345"/>
      <c r="X2965" s="329" t="str">
        <f t="shared" si="301"/>
        <v>DR</v>
      </c>
      <c r="Y2965" s="1128" t="s">
        <v>3380</v>
      </c>
      <c r="Z2965" s="1128" t="s">
        <v>3381</v>
      </c>
      <c r="AA2965" s="1128" t="s">
        <v>3384</v>
      </c>
      <c r="AB2965" s="20"/>
      <c r="AC2965" s="73"/>
    </row>
    <row r="2966" spans="1:29">
      <c r="A2966" s="327" t="str">
        <f>IF(AND($B2966&lt;&gt;"",$C2966&lt;&gt;""),MAX($A$1556:A2906)+1,"")</f>
        <v/>
      </c>
      <c r="B2966" s="361" t="s">
        <v>3139</v>
      </c>
      <c r="C2966" s="362"/>
      <c r="D2966" s="327">
        <f>IF($B2966="","",COUNTIF($B$6:$B2966,$B2966))</f>
        <v>2</v>
      </c>
      <c r="E2966" s="361" t="s">
        <v>2915</v>
      </c>
      <c r="F2966" s="362" t="s">
        <v>2917</v>
      </c>
      <c r="G2966" s="327" t="s">
        <v>297</v>
      </c>
      <c r="H2966" s="327"/>
      <c r="I2966" s="327">
        <v>1</v>
      </c>
      <c r="J2966" s="345"/>
      <c r="K2966" s="327"/>
      <c r="L2966" s="389">
        <v>58599</v>
      </c>
      <c r="M2966" s="371"/>
      <c r="N2966" s="355" t="str">
        <f t="shared" si="304"/>
        <v>PK</v>
      </c>
      <c r="O2966" s="404" t="s">
        <v>2924</v>
      </c>
      <c r="P2966" s="392"/>
      <c r="Q2966" s="327"/>
      <c r="R2966" s="351"/>
      <c r="S2966" s="351"/>
      <c r="T2966" s="351"/>
      <c r="U2966" s="329" t="str">
        <f>IF($N2966=$N$4,IFERROR(INDEX(DanhMuc!$E$154:$E$165,MATCH(MID($B2966,4,2),DanhMuc!$B$154:$B$165,0)),""),"")</f>
        <v/>
      </c>
      <c r="V2966" s="361"/>
      <c r="W2966" s="345"/>
      <c r="X2966" s="329" t="str">
        <f t="shared" si="301"/>
        <v>DR</v>
      </c>
      <c r="Y2966" s="1128" t="s">
        <v>3380</v>
      </c>
      <c r="Z2966" s="1128" t="s">
        <v>3381</v>
      </c>
      <c r="AA2966" s="1128" t="s">
        <v>3384</v>
      </c>
      <c r="AB2966" s="20"/>
      <c r="AC2966" s="73"/>
    </row>
    <row r="2967" spans="1:29" ht="37.5">
      <c r="A2967" s="327" t="str">
        <f>IF(AND($B2967&lt;&gt;"",$C2967&lt;&gt;""),MAX($A$1556:A2907)+1,"")</f>
        <v/>
      </c>
      <c r="B2967" s="361" t="s">
        <v>3139</v>
      </c>
      <c r="C2967" s="362"/>
      <c r="D2967" s="327">
        <f>IF($B2967="","",COUNTIF($B$6:$B2967,$B2967))</f>
        <v>3</v>
      </c>
      <c r="E2967" s="362" t="s">
        <v>2914</v>
      </c>
      <c r="F2967" s="362" t="s">
        <v>2931</v>
      </c>
      <c r="G2967" s="327" t="s">
        <v>297</v>
      </c>
      <c r="H2967" s="327"/>
      <c r="I2967" s="327">
        <v>1</v>
      </c>
      <c r="J2967" s="345"/>
      <c r="K2967" s="327"/>
      <c r="L2967" s="389">
        <v>126387</v>
      </c>
      <c r="M2967" s="371"/>
      <c r="N2967" s="355" t="str">
        <f t="shared" si="304"/>
        <v>PK</v>
      </c>
      <c r="O2967" s="404" t="s">
        <v>2925</v>
      </c>
      <c r="P2967" s="392"/>
      <c r="Q2967" s="327"/>
      <c r="R2967" s="351"/>
      <c r="S2967" s="351"/>
      <c r="T2967" s="351"/>
      <c r="U2967" s="329" t="str">
        <f>IF($N2967=$N$4,IFERROR(INDEX(DanhMuc!$E$154:$E$165,MATCH(MID($B2967,4,2),DanhMuc!$B$154:$B$165,0)),""),"")</f>
        <v/>
      </c>
      <c r="V2967" s="361"/>
      <c r="W2967" s="345"/>
      <c r="X2967" s="329" t="str">
        <f t="shared" si="301"/>
        <v>DR</v>
      </c>
      <c r="Y2967" s="1128" t="s">
        <v>3380</v>
      </c>
      <c r="Z2967" s="1128" t="s">
        <v>3381</v>
      </c>
      <c r="AA2967" s="1128" t="s">
        <v>3384</v>
      </c>
      <c r="AB2967" s="20"/>
      <c r="AC2967" s="73"/>
    </row>
    <row r="2968" spans="1:29">
      <c r="A2968" s="327" t="str">
        <f>IF(AND($B2968&lt;&gt;"",$C2968&lt;&gt;""),MAX($A$1556:A2908)+1,"")</f>
        <v/>
      </c>
      <c r="B2968" s="361" t="s">
        <v>3139</v>
      </c>
      <c r="C2968" s="362"/>
      <c r="D2968" s="327">
        <f>IF($B2968="","",COUNTIF($B$6:$B2968,$B2968))</f>
        <v>4</v>
      </c>
      <c r="E2968" s="361" t="s">
        <v>2915</v>
      </c>
      <c r="F2968" s="362" t="s">
        <v>2932</v>
      </c>
      <c r="G2968" s="327" t="s">
        <v>297</v>
      </c>
      <c r="H2968" s="327"/>
      <c r="I2968" s="327">
        <v>1</v>
      </c>
      <c r="J2968" s="345"/>
      <c r="K2968" s="327"/>
      <c r="L2968" s="389">
        <v>58599</v>
      </c>
      <c r="M2968" s="371"/>
      <c r="N2968" s="355" t="str">
        <f t="shared" si="304"/>
        <v>PK</v>
      </c>
      <c r="O2968" s="404" t="s">
        <v>2925</v>
      </c>
      <c r="P2968" s="392"/>
      <c r="Q2968" s="327"/>
      <c r="R2968" s="351"/>
      <c r="S2968" s="351"/>
      <c r="T2968" s="351"/>
      <c r="U2968" s="329" t="str">
        <f>IF($N2968=$N$4,IFERROR(INDEX(DanhMuc!$E$154:$E$165,MATCH(MID($B2968,4,2),DanhMuc!$B$154:$B$165,0)),""),"")</f>
        <v/>
      </c>
      <c r="V2968" s="361"/>
      <c r="W2968" s="345"/>
      <c r="X2968" s="329" t="str">
        <f t="shared" si="301"/>
        <v>DR</v>
      </c>
      <c r="Y2968" s="1128" t="s">
        <v>3380</v>
      </c>
      <c r="Z2968" s="1128" t="s">
        <v>3381</v>
      </c>
      <c r="AA2968" s="1128" t="s">
        <v>3384</v>
      </c>
      <c r="AB2968" s="20"/>
      <c r="AC2968" s="73"/>
    </row>
    <row r="2969" spans="1:29">
      <c r="A2969" s="327" t="str">
        <f>IF(AND($B2969&lt;&gt;"",$C2969&lt;&gt;""),MAX($A$1556:A2965)+1,"")</f>
        <v/>
      </c>
      <c r="B2969" s="361" t="s">
        <v>3139</v>
      </c>
      <c r="C2969" s="360"/>
      <c r="D2969" s="327">
        <f>IF($B2969="","",COUNTIF($B$6:$B2969,$B2969))</f>
        <v>5</v>
      </c>
      <c r="E2969" s="361" t="s">
        <v>3140</v>
      </c>
      <c r="F2969" s="362" t="s">
        <v>2373</v>
      </c>
      <c r="G2969" s="327" t="s">
        <v>155</v>
      </c>
      <c r="H2969" s="327"/>
      <c r="I2969" s="327">
        <v>1</v>
      </c>
      <c r="J2969" s="345"/>
      <c r="K2969" s="327"/>
      <c r="L2969" s="389">
        <v>4038</v>
      </c>
      <c r="M2969" s="371"/>
      <c r="N2969" s="355" t="str">
        <f t="shared" si="304"/>
        <v>PK</v>
      </c>
      <c r="O2969" s="404" t="s">
        <v>2926</v>
      </c>
      <c r="P2969" s="392"/>
      <c r="Q2969" s="327"/>
      <c r="R2969" s="351"/>
      <c r="S2969" s="351"/>
      <c r="T2969" s="351"/>
      <c r="U2969" s="329" t="str">
        <f>IF($N2969=$N$4,IFERROR(INDEX(DanhMuc!$E$154:$E$165,MATCH(MID($B2969,4,2),DanhMuc!$B$154:$B$165,0)),""),"")</f>
        <v/>
      </c>
      <c r="V2969" s="361"/>
      <c r="W2969" s="345"/>
      <c r="X2969" s="329" t="str">
        <f t="shared" si="301"/>
        <v>DR</v>
      </c>
      <c r="Y2969" s="1128" t="s">
        <v>3380</v>
      </c>
      <c r="Z2969" s="1128" t="s">
        <v>3381</v>
      </c>
      <c r="AA2969" s="1128" t="s">
        <v>3384</v>
      </c>
      <c r="AB2969" s="20"/>
      <c r="AC2969" s="73"/>
    </row>
    <row r="2970" spans="1:29">
      <c r="A2970" s="327" t="str">
        <f>IF(AND($B2970&lt;&gt;"",$C2970&lt;&gt;""),MAX($A$1556:A2969)+1,"")</f>
        <v/>
      </c>
      <c r="B2970" s="361" t="s">
        <v>3139</v>
      </c>
      <c r="C2970" s="360"/>
      <c r="D2970" s="327">
        <f>IF($B2970="","",COUNTIF($B$6:$B2970,$B2970))</f>
        <v>6</v>
      </c>
      <c r="E2970" s="361" t="s">
        <v>2952</v>
      </c>
      <c r="F2970" s="362" t="s">
        <v>2920</v>
      </c>
      <c r="G2970" s="327" t="s">
        <v>155</v>
      </c>
      <c r="H2970" s="327"/>
      <c r="I2970" s="327">
        <v>1</v>
      </c>
      <c r="J2970" s="345"/>
      <c r="K2970" s="327"/>
      <c r="L2970" s="389">
        <v>33329</v>
      </c>
      <c r="M2970" s="371"/>
      <c r="N2970" s="355" t="str">
        <f t="shared" si="304"/>
        <v>PK</v>
      </c>
      <c r="O2970" s="404" t="s">
        <v>2926</v>
      </c>
      <c r="P2970" s="392"/>
      <c r="Q2970" s="327"/>
      <c r="R2970" s="351"/>
      <c r="S2970" s="351"/>
      <c r="T2970" s="351"/>
      <c r="U2970" s="329" t="str">
        <f>IF($N2970=$N$4,IFERROR(INDEX(DanhMuc!$E$154:$E$165,MATCH(MID($B2970,4,2),DanhMuc!$B$154:$B$165,0)),""),"")</f>
        <v/>
      </c>
      <c r="V2970" s="361"/>
      <c r="W2970" s="345"/>
      <c r="X2970" s="329" t="str">
        <f t="shared" si="301"/>
        <v>DR</v>
      </c>
      <c r="Y2970" s="1128" t="s">
        <v>3380</v>
      </c>
      <c r="Z2970" s="1128" t="s">
        <v>3381</v>
      </c>
      <c r="AA2970" s="1128" t="s">
        <v>3384</v>
      </c>
      <c r="AB2970" s="20"/>
      <c r="AC2970" s="73"/>
    </row>
    <row r="2971" spans="1:29">
      <c r="A2971" s="327" t="str">
        <f>IF(AND($B2971&lt;&gt;"",$C2971&lt;&gt;""),MAX($A$1556:A2970)+1,"")</f>
        <v/>
      </c>
      <c r="B2971" s="361" t="s">
        <v>3139</v>
      </c>
      <c r="C2971" s="360"/>
      <c r="D2971" s="327">
        <f>IF($B2971="","",COUNTIF($B$6:$B2971,$B2971))</f>
        <v>7</v>
      </c>
      <c r="E2971" s="361" t="s">
        <v>3140</v>
      </c>
      <c r="F2971" s="362" t="s">
        <v>2373</v>
      </c>
      <c r="G2971" s="327" t="s">
        <v>155</v>
      </c>
      <c r="H2971" s="327"/>
      <c r="I2971" s="327">
        <v>1</v>
      </c>
      <c r="J2971" s="345"/>
      <c r="K2971" s="327"/>
      <c r="L2971" s="389">
        <v>4038</v>
      </c>
      <c r="M2971" s="371"/>
      <c r="N2971" s="355" t="str">
        <f t="shared" si="304"/>
        <v>PK</v>
      </c>
      <c r="O2971" s="404" t="s">
        <v>2926</v>
      </c>
      <c r="P2971" s="392"/>
      <c r="Q2971" s="327"/>
      <c r="R2971" s="351"/>
      <c r="S2971" s="351"/>
      <c r="T2971" s="351"/>
      <c r="U2971" s="329" t="str">
        <f>IF($N2971=$N$4,IFERROR(INDEX(DanhMuc!$E$154:$E$165,MATCH(MID($B2971,4,2),DanhMuc!$B$154:$B$165,0)),""),"")</f>
        <v/>
      </c>
      <c r="V2971" s="361"/>
      <c r="W2971" s="345"/>
      <c r="X2971" s="329" t="str">
        <f t="shared" si="301"/>
        <v>DR</v>
      </c>
      <c r="Y2971" s="1128" t="s">
        <v>3380</v>
      </c>
      <c r="Z2971" s="1128" t="s">
        <v>3381</v>
      </c>
      <c r="AA2971" s="1128" t="s">
        <v>3384</v>
      </c>
      <c r="AB2971" s="20"/>
      <c r="AC2971" s="73"/>
    </row>
    <row r="2972" spans="1:29">
      <c r="A2972" s="327" t="str">
        <f>IF(AND($B2972&lt;&gt;"",$C2972&lt;&gt;""),MAX($A$1556:A2971)+1,"")</f>
        <v/>
      </c>
      <c r="B2972" s="361" t="s">
        <v>3139</v>
      </c>
      <c r="C2972" s="360"/>
      <c r="D2972" s="327">
        <f>IF($B2972="","",COUNTIF($B$6:$B2972,$B2972))</f>
        <v>8</v>
      </c>
      <c r="E2972" s="361" t="s">
        <v>2952</v>
      </c>
      <c r="F2972" s="362" t="s">
        <v>2920</v>
      </c>
      <c r="G2972" s="327" t="s">
        <v>155</v>
      </c>
      <c r="H2972" s="327"/>
      <c r="I2972" s="327">
        <v>2</v>
      </c>
      <c r="J2972" s="345"/>
      <c r="K2972" s="327"/>
      <c r="L2972" s="389">
        <v>33329</v>
      </c>
      <c r="M2972" s="371"/>
      <c r="N2972" s="355" t="str">
        <f t="shared" si="304"/>
        <v>PK</v>
      </c>
      <c r="O2972" s="345" t="s">
        <v>1781</v>
      </c>
      <c r="P2972" s="392"/>
      <c r="Q2972" s="327"/>
      <c r="R2972" s="351"/>
      <c r="S2972" s="351"/>
      <c r="T2972" s="351"/>
      <c r="U2972" s="329" t="str">
        <f>IF($N2972=$N$4,IFERROR(INDEX(DanhMuc!$E$154:$E$165,MATCH(MID($B2972,4,2),DanhMuc!$B$154:$B$165,0)),""),"")</f>
        <v/>
      </c>
      <c r="V2972" s="361"/>
      <c r="W2972" s="345"/>
      <c r="X2972" s="329" t="str">
        <f t="shared" si="301"/>
        <v>DR</v>
      </c>
      <c r="Y2972" s="1128" t="s">
        <v>3380</v>
      </c>
      <c r="Z2972" s="1128" t="s">
        <v>3381</v>
      </c>
      <c r="AA2972" s="1128" t="s">
        <v>3384</v>
      </c>
      <c r="AB2972" s="20"/>
      <c r="AC2972" s="73"/>
    </row>
    <row r="2973" spans="1:29">
      <c r="A2973" s="327" t="str">
        <f>IF(AND($B2973&lt;&gt;"",$C2973&lt;&gt;""),MAX($A$1556:A2972)+1,"")</f>
        <v/>
      </c>
      <c r="B2973" s="361" t="s">
        <v>3139</v>
      </c>
      <c r="C2973" s="360"/>
      <c r="D2973" s="327">
        <f>IF($B2973="","",COUNTIF($B$6:$B2973,$B2973))</f>
        <v>9</v>
      </c>
      <c r="E2973" s="361" t="s">
        <v>3140</v>
      </c>
      <c r="F2973" s="362" t="s">
        <v>2373</v>
      </c>
      <c r="G2973" s="327" t="s">
        <v>155</v>
      </c>
      <c r="H2973" s="327"/>
      <c r="I2973" s="327">
        <v>2</v>
      </c>
      <c r="J2973" s="345"/>
      <c r="K2973" s="327"/>
      <c r="L2973" s="389">
        <v>4038</v>
      </c>
      <c r="M2973" s="371"/>
      <c r="N2973" s="355" t="str">
        <f t="shared" si="304"/>
        <v>PK</v>
      </c>
      <c r="O2973" s="345" t="s">
        <v>1781</v>
      </c>
      <c r="P2973" s="392"/>
      <c r="Q2973" s="327"/>
      <c r="R2973" s="351"/>
      <c r="S2973" s="351"/>
      <c r="T2973" s="351"/>
      <c r="U2973" s="329" t="str">
        <f>IF($N2973=$N$4,IFERROR(INDEX(DanhMuc!$E$154:$E$165,MATCH(MID($B2973,4,2),DanhMuc!$B$154:$B$165,0)),""),"")</f>
        <v/>
      </c>
      <c r="V2973" s="361"/>
      <c r="W2973" s="345"/>
      <c r="X2973" s="329" t="str">
        <f t="shared" si="301"/>
        <v>DR</v>
      </c>
      <c r="Y2973" s="1128" t="s">
        <v>3380</v>
      </c>
      <c r="Z2973" s="1128" t="s">
        <v>3381</v>
      </c>
      <c r="AA2973" s="1128" t="s">
        <v>3384</v>
      </c>
      <c r="AB2973" s="20"/>
      <c r="AC2973" s="73"/>
    </row>
    <row r="2974" spans="1:29">
      <c r="A2974" s="327" t="str">
        <f>IF(AND($B2974&lt;&gt;"",$C2974&lt;&gt;""),MAX($A$1556:A2969)+1,"")</f>
        <v/>
      </c>
      <c r="B2974" s="361" t="s">
        <v>3139</v>
      </c>
      <c r="C2974" s="360"/>
      <c r="D2974" s="327">
        <f>IF($B2974="","",COUNTIF($B$6:$B2974,$B2974))</f>
        <v>10</v>
      </c>
      <c r="E2974" s="402" t="s">
        <v>2534</v>
      </c>
      <c r="F2974" s="403" t="s">
        <v>181</v>
      </c>
      <c r="G2974" s="327" t="s">
        <v>155</v>
      </c>
      <c r="H2974" s="327" t="s">
        <v>536</v>
      </c>
      <c r="I2974" s="327">
        <v>8</v>
      </c>
      <c r="J2974" s="361"/>
      <c r="K2974" s="327"/>
      <c r="L2974" s="389">
        <v>19000</v>
      </c>
      <c r="M2974" s="371"/>
      <c r="N2974" s="355" t="str">
        <f t="shared" si="304"/>
        <v>PK</v>
      </c>
      <c r="O2974" s="345"/>
      <c r="P2974" s="392"/>
      <c r="Q2974" s="327"/>
      <c r="R2974" s="351"/>
      <c r="S2974" s="351"/>
      <c r="T2974" s="351"/>
      <c r="U2974" s="329" t="str">
        <f>IF($N2974=$N$4,IFERROR(INDEX(DanhMuc!$E$154:$E$165,MATCH(MID($B2974,4,2),DanhMuc!$B$154:$B$165,0)),""),"")</f>
        <v/>
      </c>
      <c r="V2974" s="361"/>
      <c r="W2974" s="345"/>
      <c r="X2974" s="329" t="str">
        <f t="shared" si="301"/>
        <v>DR</v>
      </c>
      <c r="Y2974" s="1128" t="s">
        <v>3380</v>
      </c>
      <c r="Z2974" s="1128" t="s">
        <v>3381</v>
      </c>
      <c r="AA2974" s="1128" t="s">
        <v>3384</v>
      </c>
      <c r="AB2974" s="20"/>
      <c r="AC2974" s="73"/>
    </row>
    <row r="2975" spans="1:29">
      <c r="A2975" s="327" t="str">
        <f>IF(AND($B2975&lt;&gt;"",$C2975&lt;&gt;""),MAX($A$1556:A2974)+1,"")</f>
        <v/>
      </c>
      <c r="B2975" s="361" t="s">
        <v>3139</v>
      </c>
      <c r="C2975" s="360"/>
      <c r="D2975" s="327">
        <f>IF($B2975="","",COUNTIF($B$6:$B2975,$B2975))</f>
        <v>11</v>
      </c>
      <c r="E2975" s="361" t="s">
        <v>163</v>
      </c>
      <c r="F2975" s="362" t="s">
        <v>164</v>
      </c>
      <c r="G2975" s="327" t="s">
        <v>155</v>
      </c>
      <c r="H2975" s="327"/>
      <c r="I2975" s="327">
        <v>4</v>
      </c>
      <c r="J2975" s="361"/>
      <c r="K2975" s="408"/>
      <c r="L2975" s="389">
        <v>2500</v>
      </c>
      <c r="M2975" s="371"/>
      <c r="N2975" s="355" t="str">
        <f t="shared" si="304"/>
        <v>PK</v>
      </c>
      <c r="O2975" s="345"/>
      <c r="P2975" s="392"/>
      <c r="Q2975" s="327"/>
      <c r="R2975" s="351"/>
      <c r="S2975" s="351"/>
      <c r="T2975" s="351"/>
      <c r="U2975" s="329" t="str">
        <f>IF($N2975=$N$4,IFERROR(INDEX(DanhMuc!$E$154:$E$165,MATCH(MID($B2975,4,2),DanhMuc!$B$154:$B$165,0)),""),"")</f>
        <v/>
      </c>
      <c r="V2975" s="408" t="s">
        <v>342</v>
      </c>
      <c r="W2975" s="345"/>
      <c r="X2975" s="329" t="str">
        <f t="shared" si="301"/>
        <v>DR</v>
      </c>
      <c r="Y2975" s="1128" t="s">
        <v>3380</v>
      </c>
      <c r="Z2975" s="1128" t="s">
        <v>3381</v>
      </c>
      <c r="AA2975" s="1128" t="s">
        <v>3384</v>
      </c>
      <c r="AB2975" s="20"/>
      <c r="AC2975" s="73"/>
    </row>
    <row r="2976" spans="1:29">
      <c r="A2976" s="327" t="str">
        <f>IF(AND($B2976&lt;&gt;"",$C2976&lt;&gt;""),MAX($A$1556:A2975)+1,"")</f>
        <v/>
      </c>
      <c r="B2976" s="361" t="s">
        <v>3139</v>
      </c>
      <c r="C2976" s="360"/>
      <c r="D2976" s="327">
        <f>IF($B2976="","",COUNTIF($B$6:$B2976,$B2976))</f>
        <v>12</v>
      </c>
      <c r="E2976" s="361" t="s">
        <v>187</v>
      </c>
      <c r="F2976" s="362" t="s">
        <v>189</v>
      </c>
      <c r="G2976" s="327" t="s">
        <v>155</v>
      </c>
      <c r="H2976" s="327"/>
      <c r="I2976" s="327">
        <v>8</v>
      </c>
      <c r="J2976" s="361"/>
      <c r="K2976" s="327"/>
      <c r="L2976" s="389">
        <v>5000</v>
      </c>
      <c r="M2976" s="371"/>
      <c r="N2976" s="355" t="str">
        <f t="shared" si="304"/>
        <v>PK</v>
      </c>
      <c r="O2976" s="345"/>
      <c r="P2976" s="392"/>
      <c r="Q2976" s="327"/>
      <c r="R2976" s="351"/>
      <c r="S2976" s="351"/>
      <c r="T2976" s="351"/>
      <c r="U2976" s="329" t="str">
        <f>IF($N2976=$N$4,IFERROR(INDEX(DanhMuc!$E$154:$E$165,MATCH(MID($B2976,4,2),DanhMuc!$B$154:$B$165,0)),""),"")</f>
        <v/>
      </c>
      <c r="V2976" s="361"/>
      <c r="W2976" s="345"/>
      <c r="X2976" s="329" t="str">
        <f t="shared" si="301"/>
        <v>DR</v>
      </c>
      <c r="Y2976" s="1128" t="s">
        <v>3380</v>
      </c>
      <c r="Z2976" s="1128" t="s">
        <v>3381</v>
      </c>
      <c r="AA2976" s="1128" t="s">
        <v>3384</v>
      </c>
      <c r="AB2976" s="20"/>
      <c r="AC2976" s="73"/>
    </row>
    <row r="2977" spans="1:29">
      <c r="A2977" s="327" t="str">
        <f>IF(AND($B2977&lt;&gt;"",$C2977&lt;&gt;""),MAX($A$1556:A2976)+1,"")</f>
        <v/>
      </c>
      <c r="B2977" s="361" t="s">
        <v>3139</v>
      </c>
      <c r="C2977" s="360"/>
      <c r="D2977" s="327">
        <f>IF($B2977="","",COUNTIF($B$6:$B2977,$B2977))</f>
        <v>13</v>
      </c>
      <c r="E2977" s="361" t="s">
        <v>172</v>
      </c>
      <c r="F2977" s="362" t="s">
        <v>173</v>
      </c>
      <c r="G2977" s="327" t="s">
        <v>155</v>
      </c>
      <c r="H2977" s="327"/>
      <c r="I2977" s="327">
        <v>2</v>
      </c>
      <c r="J2977" s="361"/>
      <c r="K2977" s="327"/>
      <c r="L2977" s="389">
        <v>6000</v>
      </c>
      <c r="M2977" s="371"/>
      <c r="N2977" s="355" t="str">
        <f t="shared" si="304"/>
        <v>PK</v>
      </c>
      <c r="O2977" s="345"/>
      <c r="P2977" s="392"/>
      <c r="Q2977" s="327"/>
      <c r="R2977" s="351"/>
      <c r="S2977" s="351"/>
      <c r="T2977" s="351"/>
      <c r="U2977" s="329" t="str">
        <f>IF($N2977=$N$4,IFERROR(INDEX(DanhMuc!$E$154:$E$165,MATCH(MID($B2977,4,2),DanhMuc!$B$154:$B$165,0)),""),"")</f>
        <v/>
      </c>
      <c r="V2977" s="361"/>
      <c r="W2977" s="345"/>
      <c r="X2977" s="329" t="str">
        <f t="shared" si="301"/>
        <v>DR</v>
      </c>
      <c r="Y2977" s="1128" t="s">
        <v>3380</v>
      </c>
      <c r="Z2977" s="1128" t="s">
        <v>3381</v>
      </c>
      <c r="AA2977" s="1128" t="s">
        <v>3384</v>
      </c>
      <c r="AB2977" s="20"/>
      <c r="AC2977" s="73"/>
    </row>
    <row r="2978" spans="1:29" ht="39">
      <c r="A2978" s="327">
        <f>IF(AND($B2978&lt;&gt;"",$C2978&lt;&gt;""),MAX($A$1556:A2945)+1,"")</f>
        <v>152</v>
      </c>
      <c r="B2978" s="359" t="s">
        <v>3863</v>
      </c>
      <c r="C2978" s="360" t="s">
        <v>3223</v>
      </c>
      <c r="D2978" s="327">
        <f>IF($B2978="","",COUNTIF($B$6:$B2978,$B2978))</f>
        <v>1</v>
      </c>
      <c r="E2978" s="362" t="s">
        <v>2914</v>
      </c>
      <c r="F2978" s="362" t="s">
        <v>2916</v>
      </c>
      <c r="G2978" s="327" t="s">
        <v>297</v>
      </c>
      <c r="H2978" s="327"/>
      <c r="I2978" s="327">
        <v>1</v>
      </c>
      <c r="J2978" s="345"/>
      <c r="K2978" s="327"/>
      <c r="L2978" s="389">
        <v>126387</v>
      </c>
      <c r="M2978" s="371"/>
      <c r="N2978" s="355" t="str">
        <f t="shared" si="304"/>
        <v>PK</v>
      </c>
      <c r="O2978" s="345" t="s">
        <v>1783</v>
      </c>
      <c r="P2978" s="392"/>
      <c r="Q2978" s="327"/>
      <c r="R2978" s="351"/>
      <c r="S2978" s="351"/>
      <c r="T2978" s="351"/>
      <c r="U2978" s="329" t="str">
        <f>IF($N2978=$N$4,IFERROR(INDEX(DanhMuc!$E$154:$E$165,MATCH(MID($B2978,4,2),DanhMuc!$B$154:$B$165,0)),""),"")</f>
        <v/>
      </c>
      <c r="V2978" s="361"/>
      <c r="W2978" s="345"/>
      <c r="X2978" s="329" t="str">
        <f t="shared" si="301"/>
        <v>TR</v>
      </c>
      <c r="Y2978" s="1128" t="s">
        <v>3380</v>
      </c>
      <c r="Z2978" s="1128" t="s">
        <v>3381</v>
      </c>
      <c r="AA2978" s="1128" t="s">
        <v>3384</v>
      </c>
      <c r="AB2978" s="20"/>
      <c r="AC2978" s="73"/>
    </row>
    <row r="2979" spans="1:29">
      <c r="A2979" s="327" t="str">
        <f>IF(AND($B2979&lt;&gt;"",$C2979&lt;&gt;""),MAX($A$1556:A2946)+1,"")</f>
        <v/>
      </c>
      <c r="B2979" s="361" t="s">
        <v>3863</v>
      </c>
      <c r="C2979" s="360"/>
      <c r="D2979" s="327">
        <f>IF($B2979="","",COUNTIF($B$6:$B2979,$B2979))</f>
        <v>2</v>
      </c>
      <c r="E2979" s="361" t="s">
        <v>2915</v>
      </c>
      <c r="F2979" s="362" t="s">
        <v>2917</v>
      </c>
      <c r="G2979" s="327" t="s">
        <v>297</v>
      </c>
      <c r="H2979" s="327"/>
      <c r="I2979" s="327">
        <v>1</v>
      </c>
      <c r="J2979" s="345"/>
      <c r="K2979" s="327"/>
      <c r="L2979" s="389">
        <v>58599</v>
      </c>
      <c r="M2979" s="371"/>
      <c r="N2979" s="355" t="str">
        <f t="shared" si="304"/>
        <v>PK</v>
      </c>
      <c r="O2979" s="345" t="s">
        <v>1783</v>
      </c>
      <c r="P2979" s="392"/>
      <c r="Q2979" s="327"/>
      <c r="R2979" s="351"/>
      <c r="S2979" s="351"/>
      <c r="T2979" s="351"/>
      <c r="U2979" s="329" t="str">
        <f>IF($N2979=$N$4,IFERROR(INDEX(DanhMuc!$E$154:$E$165,MATCH(MID($B2979,4,2),DanhMuc!$B$154:$B$165,0)),""),"")</f>
        <v/>
      </c>
      <c r="V2979" s="361"/>
      <c r="W2979" s="345"/>
      <c r="X2979" s="329" t="str">
        <f t="shared" si="301"/>
        <v>TR</v>
      </c>
      <c r="Y2979" s="1128" t="s">
        <v>3380</v>
      </c>
      <c r="Z2979" s="1128" t="s">
        <v>3381</v>
      </c>
      <c r="AA2979" s="1128" t="s">
        <v>3384</v>
      </c>
      <c r="AB2979" s="20"/>
      <c r="AC2979" s="73"/>
    </row>
    <row r="2980" spans="1:29" ht="37.5">
      <c r="A2980" s="327" t="str">
        <f>IF(AND($B2980&lt;&gt;"",$C2980&lt;&gt;""),MAX($A$1556:A2947)+1,"")</f>
        <v/>
      </c>
      <c r="B2980" s="361" t="s">
        <v>3863</v>
      </c>
      <c r="C2980" s="360"/>
      <c r="D2980" s="327">
        <f>IF($B2980="","",COUNTIF($B$6:$B2980,$B2980))</f>
        <v>3</v>
      </c>
      <c r="E2980" s="362" t="s">
        <v>2914</v>
      </c>
      <c r="F2980" s="362" t="s">
        <v>2931</v>
      </c>
      <c r="G2980" s="327" t="s">
        <v>297</v>
      </c>
      <c r="H2980" s="327"/>
      <c r="I2980" s="327">
        <v>1</v>
      </c>
      <c r="J2980" s="345"/>
      <c r="K2980" s="327"/>
      <c r="L2980" s="389">
        <v>126387</v>
      </c>
      <c r="M2980" s="371"/>
      <c r="N2980" s="355" t="str">
        <f t="shared" si="304"/>
        <v>PK</v>
      </c>
      <c r="O2980" s="345" t="s">
        <v>1783</v>
      </c>
      <c r="P2980" s="392"/>
      <c r="Q2980" s="327"/>
      <c r="R2980" s="351"/>
      <c r="S2980" s="351"/>
      <c r="T2980" s="351"/>
      <c r="U2980" s="329" t="str">
        <f>IF($N2980=$N$4,IFERROR(INDEX(DanhMuc!$E$154:$E$165,MATCH(MID($B2980,4,2),DanhMuc!$B$154:$B$165,0)),""),"")</f>
        <v/>
      </c>
      <c r="V2980" s="361"/>
      <c r="W2980" s="345"/>
      <c r="X2980" s="329" t="str">
        <f t="shared" si="301"/>
        <v>TR</v>
      </c>
      <c r="Y2980" s="1128" t="s">
        <v>3380</v>
      </c>
      <c r="Z2980" s="1128" t="s">
        <v>3381</v>
      </c>
      <c r="AA2980" s="1128" t="s">
        <v>3384</v>
      </c>
      <c r="AB2980" s="20"/>
      <c r="AC2980" s="73"/>
    </row>
    <row r="2981" spans="1:29">
      <c r="A2981" s="327" t="str">
        <f>IF(AND($B2981&lt;&gt;"",$C2981&lt;&gt;""),MAX($A$1556:A2948)+1,"")</f>
        <v/>
      </c>
      <c r="B2981" s="361" t="s">
        <v>3863</v>
      </c>
      <c r="C2981" s="360"/>
      <c r="D2981" s="327">
        <f>IF($B2981="","",COUNTIF($B$6:$B2981,$B2981))</f>
        <v>4</v>
      </c>
      <c r="E2981" s="361" t="s">
        <v>2915</v>
      </c>
      <c r="F2981" s="362" t="s">
        <v>2932</v>
      </c>
      <c r="G2981" s="327" t="s">
        <v>297</v>
      </c>
      <c r="H2981" s="327"/>
      <c r="I2981" s="327">
        <v>1</v>
      </c>
      <c r="J2981" s="345"/>
      <c r="K2981" s="327"/>
      <c r="L2981" s="389">
        <v>58599</v>
      </c>
      <c r="M2981" s="371"/>
      <c r="N2981" s="355" t="str">
        <f t="shared" si="304"/>
        <v>PK</v>
      </c>
      <c r="O2981" s="345" t="s">
        <v>1783</v>
      </c>
      <c r="P2981" s="392"/>
      <c r="Q2981" s="327"/>
      <c r="R2981" s="351"/>
      <c r="S2981" s="351"/>
      <c r="T2981" s="351"/>
      <c r="U2981" s="329" t="str">
        <f>IF($N2981=$N$4,IFERROR(INDEX(DanhMuc!$E$154:$E$165,MATCH(MID($B2981,4,2),DanhMuc!$B$154:$B$165,0)),""),"")</f>
        <v/>
      </c>
      <c r="V2981" s="361"/>
      <c r="W2981" s="345"/>
      <c r="X2981" s="329" t="str">
        <f t="shared" si="301"/>
        <v>TR</v>
      </c>
      <c r="Y2981" s="1128" t="s">
        <v>3380</v>
      </c>
      <c r="Z2981" s="1128" t="s">
        <v>3381</v>
      </c>
      <c r="AA2981" s="1128" t="s">
        <v>3384</v>
      </c>
      <c r="AB2981" s="20"/>
      <c r="AC2981" s="73"/>
    </row>
    <row r="2982" spans="1:29">
      <c r="A2982" s="327" t="str">
        <f>IF(AND($B2982&lt;&gt;"",$C2982&lt;&gt;""),MAX($A$1556:A2978)+1,"")</f>
        <v/>
      </c>
      <c r="B2982" s="361" t="s">
        <v>3863</v>
      </c>
      <c r="C2982" s="360"/>
      <c r="D2982" s="327">
        <f>IF($B2982="","",COUNTIF($B$6:$B2982,$B2982))</f>
        <v>5</v>
      </c>
      <c r="E2982" s="361" t="s">
        <v>3140</v>
      </c>
      <c r="F2982" s="362" t="s">
        <v>2373</v>
      </c>
      <c r="G2982" s="327" t="s">
        <v>155</v>
      </c>
      <c r="H2982" s="327"/>
      <c r="I2982" s="327">
        <v>1</v>
      </c>
      <c r="J2982" s="345"/>
      <c r="K2982" s="327"/>
      <c r="L2982" s="389">
        <v>4038</v>
      </c>
      <c r="M2982" s="371"/>
      <c r="N2982" s="355" t="str">
        <f t="shared" si="304"/>
        <v>PK</v>
      </c>
      <c r="O2982" s="345" t="s">
        <v>1783</v>
      </c>
      <c r="P2982" s="392"/>
      <c r="Q2982" s="327"/>
      <c r="R2982" s="351"/>
      <c r="S2982" s="351"/>
      <c r="T2982" s="351"/>
      <c r="U2982" s="329" t="str">
        <f>IF($N2982=$N$4,IFERROR(INDEX(DanhMuc!$E$154:$E$165,MATCH(MID($B2982,4,2),DanhMuc!$B$154:$B$165,0)),""),"")</f>
        <v/>
      </c>
      <c r="V2982" s="361"/>
      <c r="W2982" s="345"/>
      <c r="X2982" s="329" t="str">
        <f t="shared" si="301"/>
        <v>TR</v>
      </c>
      <c r="Y2982" s="1128" t="s">
        <v>3380</v>
      </c>
      <c r="Z2982" s="1128" t="s">
        <v>3381</v>
      </c>
      <c r="AA2982" s="1128" t="s">
        <v>3384</v>
      </c>
      <c r="AB2982" s="20"/>
      <c r="AC2982" s="73"/>
    </row>
    <row r="2983" spans="1:29">
      <c r="A2983" s="327" t="str">
        <f>IF(AND($B2983&lt;&gt;"",$C2983&lt;&gt;""),MAX($A$1556:A2982)+1,"")</f>
        <v/>
      </c>
      <c r="B2983" s="361" t="s">
        <v>3863</v>
      </c>
      <c r="C2983" s="360"/>
      <c r="D2983" s="327">
        <f>IF($B2983="","",COUNTIF($B$6:$B2983,$B2983))</f>
        <v>6</v>
      </c>
      <c r="E2983" s="361" t="s">
        <v>3864</v>
      </c>
      <c r="F2983" s="362" t="s">
        <v>2920</v>
      </c>
      <c r="G2983" s="327" t="s">
        <v>155</v>
      </c>
      <c r="H2983" s="327"/>
      <c r="I2983" s="327">
        <v>1</v>
      </c>
      <c r="J2983" s="345"/>
      <c r="K2983" s="327"/>
      <c r="L2983" s="389">
        <v>77519</v>
      </c>
      <c r="M2983" s="371"/>
      <c r="N2983" s="355" t="str">
        <f t="shared" si="304"/>
        <v>PK</v>
      </c>
      <c r="O2983" s="404" t="s">
        <v>3137</v>
      </c>
      <c r="P2983" s="392"/>
      <c r="Q2983" s="327"/>
      <c r="R2983" s="351"/>
      <c r="S2983" s="351"/>
      <c r="T2983" s="351"/>
      <c r="U2983" s="329" t="str">
        <f>IF($N2983=$N$4,IFERROR(INDEX(DanhMuc!$E$154:$E$165,MATCH(MID($B2983,4,2),DanhMuc!$B$154:$B$165,0)),""),"")</f>
        <v/>
      </c>
      <c r="V2983" s="361"/>
      <c r="W2983" s="345"/>
      <c r="X2983" s="329" t="str">
        <f t="shared" si="301"/>
        <v>TR</v>
      </c>
      <c r="Y2983" s="1128" t="s">
        <v>3380</v>
      </c>
      <c r="Z2983" s="1128" t="s">
        <v>3381</v>
      </c>
      <c r="AA2983" s="1128" t="s">
        <v>3384</v>
      </c>
      <c r="AB2983" s="20"/>
      <c r="AC2983" s="73"/>
    </row>
    <row r="2984" spans="1:29">
      <c r="A2984" s="327" t="str">
        <f>IF(AND($B2984&lt;&gt;"",$C2984&lt;&gt;""),MAX($A$1556:A2983)+1,"")</f>
        <v/>
      </c>
      <c r="B2984" s="361" t="s">
        <v>3863</v>
      </c>
      <c r="C2984" s="360"/>
      <c r="D2984" s="327">
        <f>IF($B2984="","",COUNTIF($B$6:$B2984,$B2984))</f>
        <v>7</v>
      </c>
      <c r="E2984" s="361" t="s">
        <v>3140</v>
      </c>
      <c r="F2984" s="362" t="s">
        <v>2373</v>
      </c>
      <c r="G2984" s="327" t="s">
        <v>155</v>
      </c>
      <c r="H2984" s="327"/>
      <c r="I2984" s="327">
        <v>1</v>
      </c>
      <c r="J2984" s="345"/>
      <c r="K2984" s="327"/>
      <c r="L2984" s="389">
        <v>4038</v>
      </c>
      <c r="M2984" s="371"/>
      <c r="N2984" s="355" t="str">
        <f t="shared" si="304"/>
        <v>PK</v>
      </c>
      <c r="O2984" s="404" t="s">
        <v>3137</v>
      </c>
      <c r="P2984" s="392"/>
      <c r="Q2984" s="327"/>
      <c r="R2984" s="351"/>
      <c r="S2984" s="351"/>
      <c r="T2984" s="351"/>
      <c r="U2984" s="329" t="str">
        <f>IF($N2984=$N$4,IFERROR(INDEX(DanhMuc!$E$154:$E$165,MATCH(MID($B2984,4,2),DanhMuc!$B$154:$B$165,0)),""),"")</f>
        <v/>
      </c>
      <c r="V2984" s="361"/>
      <c r="W2984" s="345"/>
      <c r="X2984" s="329" t="str">
        <f t="shared" si="301"/>
        <v>TR</v>
      </c>
      <c r="Y2984" s="1128" t="s">
        <v>3380</v>
      </c>
      <c r="Z2984" s="1128" t="s">
        <v>3381</v>
      </c>
      <c r="AA2984" s="1128" t="s">
        <v>3384</v>
      </c>
      <c r="AB2984" s="20"/>
      <c r="AC2984" s="73"/>
    </row>
    <row r="2985" spans="1:29">
      <c r="A2985" s="327" t="str">
        <f>IF(AND($B2985&lt;&gt;"",$C2985&lt;&gt;""),MAX($A$1556:A2982)+1,"")</f>
        <v/>
      </c>
      <c r="B2985" s="361" t="s">
        <v>3863</v>
      </c>
      <c r="C2985" s="360"/>
      <c r="D2985" s="327">
        <f>IF($B2985="","",COUNTIF($B$6:$B2985,$B2985))</f>
        <v>8</v>
      </c>
      <c r="E2985" s="361" t="s">
        <v>3864</v>
      </c>
      <c r="F2985" s="362" t="s">
        <v>2920</v>
      </c>
      <c r="G2985" s="327" t="s">
        <v>155</v>
      </c>
      <c r="H2985" s="327"/>
      <c r="I2985" s="327">
        <v>1</v>
      </c>
      <c r="J2985" s="359"/>
      <c r="K2985" s="327"/>
      <c r="L2985" s="389">
        <v>77519</v>
      </c>
      <c r="M2985" s="371"/>
      <c r="N2985" s="355" t="s">
        <v>153</v>
      </c>
      <c r="O2985" s="345" t="s">
        <v>1781</v>
      </c>
      <c r="P2985" s="392"/>
      <c r="Q2985" s="327"/>
      <c r="R2985" s="351"/>
      <c r="S2985" s="351"/>
      <c r="T2985" s="351"/>
      <c r="U2985" s="329" t="str">
        <f>IF($N2985=$N$4,IFERROR(INDEX(DanhMuc!$E$154:$E$165,MATCH(MID($B2985,4,2),DanhMuc!$B$154:$B$165,0)),""),"")</f>
        <v/>
      </c>
      <c r="V2985" s="361"/>
      <c r="W2985" s="345"/>
      <c r="X2985" s="329" t="str">
        <f t="shared" si="301"/>
        <v>TR</v>
      </c>
      <c r="Y2985" s="1128" t="s">
        <v>3380</v>
      </c>
      <c r="Z2985" s="1128" t="s">
        <v>3381</v>
      </c>
      <c r="AA2985" s="1128" t="s">
        <v>3384</v>
      </c>
      <c r="AB2985" s="20"/>
      <c r="AC2985" s="73"/>
    </row>
    <row r="2986" spans="1:29">
      <c r="A2986" s="327" t="str">
        <f>IF(AND($B2986&lt;&gt;"",$C2986&lt;&gt;""),MAX($A$1556:A2985)+1,"")</f>
        <v/>
      </c>
      <c r="B2986" s="361" t="s">
        <v>3863</v>
      </c>
      <c r="C2986" s="360"/>
      <c r="D2986" s="327">
        <f>IF($B2986="","",COUNTIF($B$6:$B2986,$B2986))</f>
        <v>9</v>
      </c>
      <c r="E2986" s="361" t="s">
        <v>3140</v>
      </c>
      <c r="F2986" s="362" t="s">
        <v>2373</v>
      </c>
      <c r="G2986" s="327" t="s">
        <v>155</v>
      </c>
      <c r="H2986" s="327"/>
      <c r="I2986" s="327">
        <v>1</v>
      </c>
      <c r="J2986" s="359"/>
      <c r="K2986" s="327"/>
      <c r="L2986" s="389">
        <v>4038</v>
      </c>
      <c r="M2986" s="371"/>
      <c r="N2986" s="355" t="s">
        <v>153</v>
      </c>
      <c r="O2986" s="345" t="s">
        <v>1781</v>
      </c>
      <c r="P2986" s="392"/>
      <c r="Q2986" s="327"/>
      <c r="R2986" s="351"/>
      <c r="S2986" s="351"/>
      <c r="T2986" s="351"/>
      <c r="U2986" s="329" t="str">
        <f>IF($N2986=$N$4,IFERROR(INDEX(DanhMuc!$E$154:$E$165,MATCH(MID($B2986,4,2),DanhMuc!$B$154:$B$165,0)),""),"")</f>
        <v/>
      </c>
      <c r="V2986" s="361"/>
      <c r="W2986" s="345"/>
      <c r="X2986" s="329" t="str">
        <f t="shared" si="301"/>
        <v>TR</v>
      </c>
      <c r="Y2986" s="1128" t="s">
        <v>3380</v>
      </c>
      <c r="Z2986" s="1128" t="s">
        <v>3381</v>
      </c>
      <c r="AA2986" s="1128" t="s">
        <v>3384</v>
      </c>
      <c r="AB2986" s="20"/>
      <c r="AC2986" s="73"/>
    </row>
    <row r="2987" spans="1:29">
      <c r="A2987" s="327" t="str">
        <f>IF(AND($B2987&lt;&gt;"",$C2987&lt;&gt;""),MAX($A$1556:A2982)+1,"")</f>
        <v/>
      </c>
      <c r="B2987" s="361" t="s">
        <v>3863</v>
      </c>
      <c r="C2987" s="360"/>
      <c r="D2987" s="327">
        <f>IF($B2987="","",COUNTIF($B$6:$B2987,$B2987))</f>
        <v>10</v>
      </c>
      <c r="E2987" s="402" t="s">
        <v>3217</v>
      </c>
      <c r="F2987" s="403" t="s">
        <v>3221</v>
      </c>
      <c r="G2987" s="327" t="s">
        <v>344</v>
      </c>
      <c r="H2987" s="327" t="s">
        <v>536</v>
      </c>
      <c r="I2987" s="327">
        <v>1</v>
      </c>
      <c r="J2987" s="361"/>
      <c r="K2987" s="327"/>
      <c r="L2987" s="389">
        <v>365000</v>
      </c>
      <c r="M2987" s="371"/>
      <c r="N2987" s="355" t="str">
        <f t="shared" si="304"/>
        <v>PK</v>
      </c>
      <c r="O2987" s="345"/>
      <c r="P2987" s="392"/>
      <c r="Q2987" s="327"/>
      <c r="R2987" s="351"/>
      <c r="S2987" s="351"/>
      <c r="T2987" s="351"/>
      <c r="U2987" s="329" t="str">
        <f>IF($N2987=$N$4,IFERROR(INDEX(DanhMuc!$E$154:$E$165,MATCH(MID($B2987,4,2),DanhMuc!$B$154:$B$165,0)),""),"")</f>
        <v/>
      </c>
      <c r="V2987" s="361"/>
      <c r="W2987" s="345"/>
      <c r="X2987" s="329" t="str">
        <f t="shared" si="301"/>
        <v>TR</v>
      </c>
      <c r="Y2987" s="1128" t="s">
        <v>3380</v>
      </c>
      <c r="Z2987" s="1128" t="s">
        <v>3381</v>
      </c>
      <c r="AA2987" s="1128" t="s">
        <v>3384</v>
      </c>
      <c r="AB2987" s="20"/>
      <c r="AC2987" s="73"/>
    </row>
    <row r="2988" spans="1:29">
      <c r="A2988" s="327" t="str">
        <f>IF(AND($B2988&lt;&gt;"",$C2988&lt;&gt;""),MAX($A$1556:A2983)+1,"")</f>
        <v/>
      </c>
      <c r="B2988" s="361" t="s">
        <v>3863</v>
      </c>
      <c r="C2988" s="360"/>
      <c r="D2988" s="327">
        <f>IF($B2988="","",COUNTIF($B$6:$B2988,$B2988))</f>
        <v>11</v>
      </c>
      <c r="E2988" s="402" t="s">
        <v>3218</v>
      </c>
      <c r="F2988" s="403" t="s">
        <v>3219</v>
      </c>
      <c r="G2988" s="327" t="s">
        <v>690</v>
      </c>
      <c r="H2988" s="327" t="s">
        <v>536</v>
      </c>
      <c r="I2988" s="327" t="s">
        <v>3220</v>
      </c>
      <c r="J2988" s="361"/>
      <c r="K2988" s="327"/>
      <c r="L2988" s="389">
        <f>100000/1000</f>
        <v>100</v>
      </c>
      <c r="M2988" s="371"/>
      <c r="N2988" s="355" t="str">
        <f t="shared" si="304"/>
        <v>PK</v>
      </c>
      <c r="O2988" s="345"/>
      <c r="P2988" s="392"/>
      <c r="Q2988" s="327"/>
      <c r="R2988" s="351"/>
      <c r="S2988" s="351"/>
      <c r="T2988" s="351"/>
      <c r="U2988" s="329" t="str">
        <f>IF($N2988=$N$4,IFERROR(INDEX(DanhMuc!$E$154:$E$165,MATCH(MID($B2988,4,2),DanhMuc!$B$154:$B$165,0)),""),"")</f>
        <v/>
      </c>
      <c r="V2988" s="361"/>
      <c r="W2988" s="345"/>
      <c r="X2988" s="329" t="str">
        <f t="shared" si="301"/>
        <v>TR</v>
      </c>
      <c r="Y2988" s="1128" t="s">
        <v>3380</v>
      </c>
      <c r="Z2988" s="1128" t="s">
        <v>3381</v>
      </c>
      <c r="AA2988" s="1128" t="s">
        <v>3384</v>
      </c>
      <c r="AB2988" s="20"/>
      <c r="AC2988" s="73"/>
    </row>
    <row r="2989" spans="1:29">
      <c r="A2989" s="327" t="str">
        <f>IF(AND($B2989&lt;&gt;"",$C2989&lt;&gt;""),MAX($A$1556:A2987)+1,"")</f>
        <v/>
      </c>
      <c r="B2989" s="361" t="s">
        <v>3863</v>
      </c>
      <c r="C2989" s="360"/>
      <c r="D2989" s="327">
        <f>IF($B2989="","",COUNTIF($B$6:$B2989,$B2989))</f>
        <v>12</v>
      </c>
      <c r="E2989" s="361" t="s">
        <v>163</v>
      </c>
      <c r="F2989" s="362" t="s">
        <v>164</v>
      </c>
      <c r="G2989" s="327" t="s">
        <v>155</v>
      </c>
      <c r="H2989" s="327"/>
      <c r="I2989" s="327">
        <v>1</v>
      </c>
      <c r="J2989" s="361"/>
      <c r="K2989" s="408"/>
      <c r="L2989" s="389">
        <v>2500</v>
      </c>
      <c r="M2989" s="371"/>
      <c r="N2989" s="355" t="str">
        <f t="shared" si="304"/>
        <v>PK</v>
      </c>
      <c r="O2989" s="345"/>
      <c r="P2989" s="392"/>
      <c r="Q2989" s="327"/>
      <c r="R2989" s="351"/>
      <c r="S2989" s="351"/>
      <c r="T2989" s="351"/>
      <c r="U2989" s="329" t="str">
        <f>IF($N2989=$N$4,IFERROR(INDEX(DanhMuc!$E$154:$E$165,MATCH(MID($B2989,4,2),DanhMuc!$B$154:$B$165,0)),""),"")</f>
        <v/>
      </c>
      <c r="V2989" s="408" t="s">
        <v>342</v>
      </c>
      <c r="W2989" s="345"/>
      <c r="X2989" s="329" t="str">
        <f t="shared" si="301"/>
        <v>TR</v>
      </c>
      <c r="Y2989" s="1128" t="s">
        <v>3380</v>
      </c>
      <c r="Z2989" s="1128" t="s">
        <v>3381</v>
      </c>
      <c r="AA2989" s="1128" t="s">
        <v>3384</v>
      </c>
      <c r="AB2989" s="20"/>
      <c r="AC2989" s="73"/>
    </row>
    <row r="2990" spans="1:29">
      <c r="A2990" s="327" t="str">
        <f>IF(AND($B2990&lt;&gt;"",$C2990&lt;&gt;""),MAX($A$1556:A2989)+1,"")</f>
        <v/>
      </c>
      <c r="B2990" s="361" t="s">
        <v>3863</v>
      </c>
      <c r="C2990" s="360"/>
      <c r="D2990" s="327">
        <f>IF($B2990="","",COUNTIF($B$6:$B2990,$B2990))</f>
        <v>13</v>
      </c>
      <c r="E2990" s="361" t="s">
        <v>187</v>
      </c>
      <c r="F2990" s="362" t="s">
        <v>189</v>
      </c>
      <c r="G2990" s="327" t="s">
        <v>155</v>
      </c>
      <c r="H2990" s="327"/>
      <c r="I2990" s="327">
        <v>2</v>
      </c>
      <c r="J2990" s="361"/>
      <c r="K2990" s="327"/>
      <c r="L2990" s="389">
        <v>5000</v>
      </c>
      <c r="M2990" s="371"/>
      <c r="N2990" s="355" t="str">
        <f t="shared" si="304"/>
        <v>PK</v>
      </c>
      <c r="O2990" s="345"/>
      <c r="P2990" s="392"/>
      <c r="Q2990" s="327"/>
      <c r="R2990" s="351"/>
      <c r="S2990" s="351"/>
      <c r="T2990" s="351"/>
      <c r="U2990" s="329" t="str">
        <f>IF($N2990=$N$4,IFERROR(INDEX(DanhMuc!$E$154:$E$165,MATCH(MID($B2990,4,2),DanhMuc!$B$154:$B$165,0)),""),"")</f>
        <v/>
      </c>
      <c r="V2990" s="361"/>
      <c r="W2990" s="345"/>
      <c r="X2990" s="329" t="str">
        <f t="shared" si="301"/>
        <v>TR</v>
      </c>
      <c r="Y2990" s="1128" t="s">
        <v>3380</v>
      </c>
      <c r="Z2990" s="1128" t="s">
        <v>3381</v>
      </c>
      <c r="AA2990" s="1128" t="s">
        <v>3384</v>
      </c>
      <c r="AB2990" s="20"/>
      <c r="AC2990" s="73"/>
    </row>
    <row r="2991" spans="1:29">
      <c r="A2991" s="327" t="str">
        <f>IF(AND($B2991&lt;&gt;"",$C2991&lt;&gt;""),MAX($A$1556:A2990)+1,"")</f>
        <v/>
      </c>
      <c r="B2991" s="361" t="s">
        <v>3863</v>
      </c>
      <c r="C2991" s="360"/>
      <c r="D2991" s="327">
        <f>IF($B2991="","",COUNTIF($B$6:$B2991,$B2991))</f>
        <v>14</v>
      </c>
      <c r="E2991" s="361" t="s">
        <v>172</v>
      </c>
      <c r="F2991" s="362" t="s">
        <v>173</v>
      </c>
      <c r="G2991" s="327" t="s">
        <v>155</v>
      </c>
      <c r="H2991" s="327"/>
      <c r="I2991" s="327">
        <v>1</v>
      </c>
      <c r="J2991" s="361"/>
      <c r="K2991" s="327"/>
      <c r="L2991" s="389">
        <v>6000</v>
      </c>
      <c r="M2991" s="371"/>
      <c r="N2991" s="355" t="str">
        <f t="shared" si="304"/>
        <v>PK</v>
      </c>
      <c r="O2991" s="345"/>
      <c r="P2991" s="392"/>
      <c r="Q2991" s="327"/>
      <c r="R2991" s="351"/>
      <c r="S2991" s="351"/>
      <c r="T2991" s="351"/>
      <c r="U2991" s="329" t="str">
        <f>IF($N2991=$N$4,IFERROR(INDEX(DanhMuc!$E$154:$E$165,MATCH(MID($B2991,4,2),DanhMuc!$B$154:$B$165,0)),""),"")</f>
        <v/>
      </c>
      <c r="V2991" s="361"/>
      <c r="W2991" s="345"/>
      <c r="X2991" s="329" t="str">
        <f t="shared" si="301"/>
        <v>TR</v>
      </c>
      <c r="Y2991" s="1128" t="s">
        <v>3380</v>
      </c>
      <c r="Z2991" s="1128" t="s">
        <v>3381</v>
      </c>
      <c r="AA2991" s="1128" t="s">
        <v>3384</v>
      </c>
      <c r="AB2991" s="20"/>
      <c r="AC2991" s="73"/>
    </row>
    <row r="2992" spans="1:29" ht="39">
      <c r="A2992" s="327">
        <f>IF(AND($B2992&lt;&gt;"",$C2992&lt;&gt;""),MAX($A$1556:A2925)+1,"")</f>
        <v>151</v>
      </c>
      <c r="B2992" s="359" t="s">
        <v>2875</v>
      </c>
      <c r="C2992" s="360" t="s">
        <v>2084</v>
      </c>
      <c r="D2992" s="327">
        <f>IF($B2992="","",COUNTIF($B$6:$B2992,$B2992))</f>
        <v>1</v>
      </c>
      <c r="E2992" s="363" t="s">
        <v>2935</v>
      </c>
      <c r="F2992" s="362" t="s">
        <v>207</v>
      </c>
      <c r="G2992" s="327" t="s">
        <v>155</v>
      </c>
      <c r="H2992" s="327"/>
      <c r="I2992" s="327">
        <v>1</v>
      </c>
      <c r="J2992" s="361"/>
      <c r="K2992" s="327"/>
      <c r="L2992" s="389">
        <v>214352</v>
      </c>
      <c r="M2992" s="371"/>
      <c r="N2992" s="355" t="str">
        <f t="shared" si="304"/>
        <v>PK</v>
      </c>
      <c r="O2992" s="345"/>
      <c r="P2992" s="392"/>
      <c r="Q2992" s="327"/>
      <c r="R2992" s="351"/>
      <c r="S2992" s="351"/>
      <c r="T2992" s="351"/>
      <c r="U2992" s="329" t="str">
        <f>IF($N2992=$N$4,IFERROR(INDEX(DanhMuc!$E$154:$E$165,MATCH(MID($B2992,4,2),DanhMuc!$B$154:$B$165,0)),""),"")</f>
        <v/>
      </c>
      <c r="V2992" s="361"/>
      <c r="W2992" s="345"/>
      <c r="X2992" s="329" t="str">
        <f t="shared" ref="X2992:X3074" si="305">IF($N2992="PR",$E2992,MID($B2992,10,2))</f>
        <v>DR</v>
      </c>
      <c r="Y2992" s="1128" t="s">
        <v>3380</v>
      </c>
      <c r="Z2992" s="1128" t="s">
        <v>3381</v>
      </c>
      <c r="AA2992" s="1128" t="s">
        <v>3384</v>
      </c>
      <c r="AB2992" s="20"/>
      <c r="AC2992" s="73"/>
    </row>
    <row r="2993" spans="1:29" ht="25">
      <c r="A2993" s="327" t="str">
        <f>IF(AND($B2993&lt;&gt;"",$C2993&lt;&gt;""),MAX($A$1556:A2992)+1,"")</f>
        <v/>
      </c>
      <c r="B2993" s="361" t="s">
        <v>2875</v>
      </c>
      <c r="C2993" s="360"/>
      <c r="D2993" s="327">
        <f>IF($B2993="","",COUNTIF($B$6:$B2993,$B2993))</f>
        <v>2</v>
      </c>
      <c r="E2993" s="361" t="s">
        <v>2936</v>
      </c>
      <c r="F2993" s="362" t="s">
        <v>208</v>
      </c>
      <c r="G2993" s="327" t="s">
        <v>155</v>
      </c>
      <c r="H2993" s="327"/>
      <c r="I2993" s="327">
        <v>1</v>
      </c>
      <c r="J2993" s="361"/>
      <c r="K2993" s="327"/>
      <c r="L2993" s="389">
        <v>175262</v>
      </c>
      <c r="M2993" s="371"/>
      <c r="N2993" s="355" t="str">
        <f t="shared" si="304"/>
        <v>PK</v>
      </c>
      <c r="O2993" s="345"/>
      <c r="P2993" s="392"/>
      <c r="Q2993" s="327"/>
      <c r="R2993" s="351"/>
      <c r="S2993" s="351"/>
      <c r="T2993" s="351"/>
      <c r="U2993" s="329" t="str">
        <f>IF($N2993=$N$4,IFERROR(INDEX(DanhMuc!$E$154:$E$165,MATCH(MID($B2993,4,2),DanhMuc!$B$154:$B$165,0)),""),"")</f>
        <v/>
      </c>
      <c r="V2993" s="361"/>
      <c r="W2993" s="345"/>
      <c r="X2993" s="329" t="str">
        <f t="shared" si="305"/>
        <v>DR</v>
      </c>
      <c r="Y2993" s="1128" t="s">
        <v>3380</v>
      </c>
      <c r="Z2993" s="1128" t="s">
        <v>3381</v>
      </c>
      <c r="AA2993" s="1128" t="s">
        <v>3384</v>
      </c>
      <c r="AB2993" s="20"/>
      <c r="AC2993" s="73"/>
    </row>
    <row r="2994" spans="1:29" s="73" customFormat="1" ht="25">
      <c r="A2994" s="327" t="str">
        <f>IF(AND($B2994&lt;&gt;"",$C2994&lt;&gt;""),MAX($A$1556:A2993)+1,"")</f>
        <v/>
      </c>
      <c r="B2994" s="361" t="s">
        <v>2875</v>
      </c>
      <c r="C2994" s="346"/>
      <c r="D2994" s="327">
        <f>IF($B2994="","",COUNTIF($B$6:$B2994,$B2994))</f>
        <v>3</v>
      </c>
      <c r="E2994" s="361" t="s">
        <v>2937</v>
      </c>
      <c r="F2994" s="362" t="s">
        <v>2938</v>
      </c>
      <c r="G2994" s="342" t="s">
        <v>155</v>
      </c>
      <c r="H2994" s="327"/>
      <c r="I2994" s="327">
        <v>6</v>
      </c>
      <c r="J2994" s="359"/>
      <c r="K2994" s="127"/>
      <c r="L2994" s="389">
        <v>60198</v>
      </c>
      <c r="M2994" s="371"/>
      <c r="N2994" s="355" t="str">
        <f t="shared" si="304"/>
        <v>PK</v>
      </c>
      <c r="O2994" s="345"/>
      <c r="P2994" s="392"/>
      <c r="Q2994" s="327"/>
      <c r="R2994" s="351"/>
      <c r="S2994" s="351"/>
      <c r="T2994" s="351"/>
      <c r="U2994" s="329" t="str">
        <f>IF($N2994=$N$4,IFERROR(INDEX(DanhMuc!$E$154:$E$165,MATCH(MID($B2994,4,2),DanhMuc!$B$154:$B$165,0)),""),"")</f>
        <v/>
      </c>
      <c r="V2994" s="328"/>
      <c r="W2994" s="345"/>
      <c r="X2994" s="329" t="str">
        <f t="shared" si="305"/>
        <v>DR</v>
      </c>
      <c r="Y2994" s="1128" t="s">
        <v>3380</v>
      </c>
      <c r="Z2994" s="1128" t="s">
        <v>3381</v>
      </c>
      <c r="AA2994" s="1128" t="s">
        <v>3384</v>
      </c>
      <c r="AB2994" s="20"/>
    </row>
    <row r="2995" spans="1:29" s="73" customFormat="1" ht="25">
      <c r="A2995" s="327" t="str">
        <f>IF(AND($B2995&lt;&gt;"",$C2995&lt;&gt;""),MAX($A$1556:A2994)+1,"")</f>
        <v/>
      </c>
      <c r="B2995" s="361" t="s">
        <v>2875</v>
      </c>
      <c r="C2995" s="346"/>
      <c r="D2995" s="327">
        <f>IF($B2995="","",COUNTIF($B$6:$B2995,$B2995))</f>
        <v>4</v>
      </c>
      <c r="E2995" s="361" t="s">
        <v>2937</v>
      </c>
      <c r="F2995" s="362" t="s">
        <v>2938</v>
      </c>
      <c r="G2995" s="342" t="s">
        <v>155</v>
      </c>
      <c r="H2995" s="327"/>
      <c r="I2995" s="327">
        <v>1</v>
      </c>
      <c r="J2995" s="359"/>
      <c r="K2995" s="127"/>
      <c r="L2995" s="389">
        <v>60198</v>
      </c>
      <c r="M2995" s="371"/>
      <c r="N2995" s="355" t="str">
        <f t="shared" si="304"/>
        <v>PK</v>
      </c>
      <c r="O2995" s="345" t="s">
        <v>639</v>
      </c>
      <c r="P2995" s="392"/>
      <c r="Q2995" s="327"/>
      <c r="R2995" s="351"/>
      <c r="S2995" s="351"/>
      <c r="T2995" s="351"/>
      <c r="U2995" s="329" t="str">
        <f>IF($N2995=$N$4,IFERROR(INDEX(DanhMuc!$E$154:$E$165,MATCH(MID($B2995,4,2),DanhMuc!$B$154:$B$165,0)),""),"")</f>
        <v/>
      </c>
      <c r="V2995" s="328"/>
      <c r="W2995" s="345"/>
      <c r="X2995" s="329" t="str">
        <f t="shared" si="305"/>
        <v>DR</v>
      </c>
      <c r="Y2995" s="1128" t="s">
        <v>3380</v>
      </c>
      <c r="Z2995" s="1128" t="s">
        <v>3381</v>
      </c>
      <c r="AA2995" s="1128" t="s">
        <v>3384</v>
      </c>
      <c r="AB2995" s="20"/>
    </row>
    <row r="2996" spans="1:29" s="73" customFormat="1" ht="25">
      <c r="A2996" s="327" t="str">
        <f>IF(AND($B2996&lt;&gt;"",$C2996&lt;&gt;""),MAX($A$1556:A2995)+1,"")</f>
        <v/>
      </c>
      <c r="B2996" s="361" t="s">
        <v>2875</v>
      </c>
      <c r="C2996" s="346"/>
      <c r="D2996" s="327">
        <f>IF($B2996="","",COUNTIF($B$6:$B2996,$B2996))</f>
        <v>5</v>
      </c>
      <c r="E2996" s="361" t="s">
        <v>2939</v>
      </c>
      <c r="F2996" s="362" t="s">
        <v>2940</v>
      </c>
      <c r="G2996" s="342" t="s">
        <v>155</v>
      </c>
      <c r="H2996" s="327"/>
      <c r="I2996" s="327">
        <v>1</v>
      </c>
      <c r="J2996" s="359"/>
      <c r="K2996" s="127"/>
      <c r="L2996" s="389">
        <v>90033</v>
      </c>
      <c r="M2996" s="371"/>
      <c r="N2996" s="355" t="str">
        <f t="shared" si="304"/>
        <v>PK</v>
      </c>
      <c r="O2996" s="345"/>
      <c r="P2996" s="392"/>
      <c r="Q2996" s="327"/>
      <c r="R2996" s="351"/>
      <c r="S2996" s="351"/>
      <c r="T2996" s="351"/>
      <c r="U2996" s="329" t="str">
        <f>IF($N2996=$N$4,IFERROR(INDEX(DanhMuc!$E$154:$E$165,MATCH(MID($B2996,4,2),DanhMuc!$B$154:$B$165,0)),""),"")</f>
        <v/>
      </c>
      <c r="V2996" s="328"/>
      <c r="W2996" s="345"/>
      <c r="X2996" s="329" t="str">
        <f t="shared" si="305"/>
        <v>DR</v>
      </c>
      <c r="Y2996" s="1128" t="s">
        <v>3380</v>
      </c>
      <c r="Z2996" s="1128" t="s">
        <v>3381</v>
      </c>
      <c r="AA2996" s="1128" t="s">
        <v>3384</v>
      </c>
      <c r="AB2996" s="20"/>
    </row>
    <row r="2997" spans="1:29">
      <c r="A2997" s="327" t="str">
        <f>IF(AND($B2997&lt;&gt;"",$C2997&lt;&gt;""),MAX($A$1556:A2995)+1,"")</f>
        <v/>
      </c>
      <c r="B2997" s="361" t="s">
        <v>2875</v>
      </c>
      <c r="C2997" s="360"/>
      <c r="D2997" s="327">
        <f>IF($B2997="","",COUNTIF($B$6:$B2997,$B2997))</f>
        <v>6</v>
      </c>
      <c r="E2997" s="374" t="s">
        <v>2941</v>
      </c>
      <c r="F2997" s="375" t="s">
        <v>2942</v>
      </c>
      <c r="G2997" s="377" t="s">
        <v>155</v>
      </c>
      <c r="H2997" s="327" t="s">
        <v>536</v>
      </c>
      <c r="I2997" s="377">
        <v>1</v>
      </c>
      <c r="J2997" s="374"/>
      <c r="K2997" s="377"/>
      <c r="L2997" s="412">
        <v>46198</v>
      </c>
      <c r="M2997" s="371"/>
      <c r="N2997" s="355" t="str">
        <f t="shared" si="304"/>
        <v>PK</v>
      </c>
      <c r="O2997" s="345"/>
      <c r="P2997" s="392"/>
      <c r="Q2997" s="327"/>
      <c r="R2997" s="351"/>
      <c r="S2997" s="351"/>
      <c r="T2997" s="351"/>
      <c r="U2997" s="329" t="str">
        <f>IF($N2997=$N$4,IFERROR(INDEX(DanhMuc!$E$154:$E$165,MATCH(MID($B2997,4,2),DanhMuc!$B$154:$B$165,0)),""),"")</f>
        <v/>
      </c>
      <c r="V2997" s="361"/>
      <c r="W2997" s="345"/>
      <c r="X2997" s="329" t="str">
        <f t="shared" si="305"/>
        <v>DR</v>
      </c>
      <c r="Y2997" s="1128" t="s">
        <v>3380</v>
      </c>
      <c r="Z2997" s="1128" t="s">
        <v>3381</v>
      </c>
      <c r="AA2997" s="1128" t="s">
        <v>3384</v>
      </c>
      <c r="AB2997" s="20"/>
      <c r="AC2997" s="73"/>
    </row>
    <row r="2998" spans="1:29">
      <c r="A2998" s="327" t="str">
        <f>IF(AND($B2998&lt;&gt;"",$C2998&lt;&gt;""),MAX($A$1556:A2997)+1,"")</f>
        <v/>
      </c>
      <c r="B2998" s="361" t="s">
        <v>2875</v>
      </c>
      <c r="C2998" s="360"/>
      <c r="D2998" s="327">
        <f>IF($B2998="","",COUNTIF($B$6:$B2998,$B2998))</f>
        <v>7</v>
      </c>
      <c r="E2998" s="374" t="s">
        <v>2943</v>
      </c>
      <c r="F2998" s="375" t="s">
        <v>195</v>
      </c>
      <c r="G2998" s="377" t="s">
        <v>155</v>
      </c>
      <c r="H2998" s="327"/>
      <c r="I2998" s="377">
        <v>1</v>
      </c>
      <c r="J2998" s="374"/>
      <c r="K2998" s="377"/>
      <c r="L2998" s="412">
        <v>52794</v>
      </c>
      <c r="M2998" s="371"/>
      <c r="N2998" s="355" t="str">
        <f t="shared" si="304"/>
        <v>PK</v>
      </c>
      <c r="O2998" s="345"/>
      <c r="P2998" s="392"/>
      <c r="Q2998" s="327"/>
      <c r="R2998" s="351"/>
      <c r="S2998" s="351"/>
      <c r="T2998" s="351"/>
      <c r="U2998" s="329" t="str">
        <f>IF($N2998=$N$4,IFERROR(INDEX(DanhMuc!$E$154:$E$165,MATCH(MID($B2998,4,2),DanhMuc!$B$154:$B$165,0)),""),"")</f>
        <v/>
      </c>
      <c r="V2998" s="361"/>
      <c r="W2998" s="345"/>
      <c r="X2998" s="329" t="str">
        <f t="shared" si="305"/>
        <v>DR</v>
      </c>
      <c r="Y2998" s="1128" t="s">
        <v>3380</v>
      </c>
      <c r="Z2998" s="1128" t="s">
        <v>3381</v>
      </c>
      <c r="AA2998" s="1128" t="s">
        <v>3384</v>
      </c>
      <c r="AB2998" s="20"/>
      <c r="AC2998" s="73"/>
    </row>
    <row r="2999" spans="1:29" ht="25">
      <c r="A2999" s="327" t="str">
        <f>IF(AND($B2999&lt;&gt;"",$C2999&lt;&gt;""),MAX($A$1556:A2998)+1,"")</f>
        <v/>
      </c>
      <c r="B2999" s="361" t="s">
        <v>2875</v>
      </c>
      <c r="C2999" s="360"/>
      <c r="D2999" s="327">
        <f>IF($B2999="","",COUNTIF($B$6:$B2999,$B2999))</f>
        <v>8</v>
      </c>
      <c r="E2999" s="374" t="s">
        <v>2977</v>
      </c>
      <c r="F2999" s="375" t="s">
        <v>420</v>
      </c>
      <c r="G2999" s="377" t="s">
        <v>156</v>
      </c>
      <c r="H2999" s="327" t="s">
        <v>536</v>
      </c>
      <c r="I2999" s="413" t="s">
        <v>1925</v>
      </c>
      <c r="J2999" s="374"/>
      <c r="K2999" s="377"/>
      <c r="L2999" s="412">
        <v>39602</v>
      </c>
      <c r="M2999" s="371"/>
      <c r="N2999" s="355" t="str">
        <f t="shared" si="304"/>
        <v>PK</v>
      </c>
      <c r="O2999" s="345" t="s">
        <v>1626</v>
      </c>
      <c r="P2999" s="392"/>
      <c r="Q2999" s="327"/>
      <c r="R2999" s="351"/>
      <c r="S2999" s="351"/>
      <c r="T2999" s="351"/>
      <c r="U2999" s="329" t="str">
        <f>IF($N2999=$N$4,IFERROR(INDEX(DanhMuc!$E$154:$E$165,MATCH(MID($B2999,4,2),DanhMuc!$B$154:$B$165,0)),""),"")</f>
        <v/>
      </c>
      <c r="V2999" s="361"/>
      <c r="W2999" s="345"/>
      <c r="X2999" s="329" t="str">
        <f t="shared" si="305"/>
        <v>DR</v>
      </c>
      <c r="Y2999" s="1128" t="s">
        <v>3380</v>
      </c>
      <c r="Z2999" s="1128" t="s">
        <v>3381</v>
      </c>
      <c r="AA2999" s="1128" t="s">
        <v>3384</v>
      </c>
      <c r="AB2999" s="20"/>
      <c r="AC2999" s="73"/>
    </row>
    <row r="3000" spans="1:29" ht="25">
      <c r="A3000" s="327" t="str">
        <f>IF(AND($B3000&lt;&gt;"",$C3000&lt;&gt;""),MAX($A$1556:A2999)+1,"")</f>
        <v/>
      </c>
      <c r="B3000" s="361" t="s">
        <v>2875</v>
      </c>
      <c r="C3000" s="360"/>
      <c r="D3000" s="327">
        <f>IF($B3000="","",COUNTIF($B$6:$B3000,$B3000))</f>
        <v>9</v>
      </c>
      <c r="E3000" s="374" t="s">
        <v>2979</v>
      </c>
      <c r="F3000" s="375" t="s">
        <v>2944</v>
      </c>
      <c r="G3000" s="377" t="s">
        <v>156</v>
      </c>
      <c r="H3000" s="377" t="s">
        <v>536</v>
      </c>
      <c r="I3000" s="413" t="s">
        <v>2945</v>
      </c>
      <c r="J3000" s="374"/>
      <c r="K3000" s="377"/>
      <c r="L3000" s="412">
        <v>43257</v>
      </c>
      <c r="M3000" s="371"/>
      <c r="N3000" s="355" t="str">
        <f t="shared" si="304"/>
        <v>PK</v>
      </c>
      <c r="O3000" s="345" t="s">
        <v>1626</v>
      </c>
      <c r="P3000" s="392"/>
      <c r="Q3000" s="327"/>
      <c r="R3000" s="351"/>
      <c r="S3000" s="351"/>
      <c r="T3000" s="351"/>
      <c r="U3000" s="329" t="str">
        <f>IF($N3000=$N$4,IFERROR(INDEX(DanhMuc!$E$154:$E$165,MATCH(MID($B3000,4,2),DanhMuc!$B$154:$B$165,0)),""),"")</f>
        <v/>
      </c>
      <c r="V3000" s="361"/>
      <c r="W3000" s="345"/>
      <c r="X3000" s="329" t="str">
        <f t="shared" si="305"/>
        <v>DR</v>
      </c>
      <c r="Y3000" s="1128" t="s">
        <v>3380</v>
      </c>
      <c r="Z3000" s="1128" t="s">
        <v>3381</v>
      </c>
      <c r="AA3000" s="1128" t="s">
        <v>3384</v>
      </c>
      <c r="AB3000" s="20"/>
      <c r="AC3000" s="73"/>
    </row>
    <row r="3001" spans="1:29" ht="25">
      <c r="A3001" s="327" t="str">
        <f>IF(AND($B3001&lt;&gt;"",$C3001&lt;&gt;""),MAX($A$1556:A2999)+1,"")</f>
        <v/>
      </c>
      <c r="B3001" s="361" t="s">
        <v>2875</v>
      </c>
      <c r="C3001" s="360"/>
      <c r="D3001" s="327">
        <f>IF($B3001="","",COUNTIF($B$6:$B3001,$B3001))</f>
        <v>10</v>
      </c>
      <c r="E3001" s="374" t="s">
        <v>2978</v>
      </c>
      <c r="F3001" s="375" t="s">
        <v>407</v>
      </c>
      <c r="G3001" s="377" t="s">
        <v>156</v>
      </c>
      <c r="H3001" s="327" t="s">
        <v>536</v>
      </c>
      <c r="I3001" s="413" t="s">
        <v>1369</v>
      </c>
      <c r="J3001" s="374"/>
      <c r="K3001" s="377"/>
      <c r="L3001" s="412">
        <v>50592</v>
      </c>
      <c r="M3001" s="371"/>
      <c r="N3001" s="355" t="str">
        <f t="shared" si="304"/>
        <v>PK</v>
      </c>
      <c r="O3001" s="345" t="s">
        <v>1626</v>
      </c>
      <c r="P3001" s="392"/>
      <c r="Q3001" s="327"/>
      <c r="R3001" s="351"/>
      <c r="S3001" s="351"/>
      <c r="T3001" s="351"/>
      <c r="U3001" s="329" t="str">
        <f>IF($N3001=$N$4,IFERROR(INDEX(DanhMuc!$E$154:$E$165,MATCH(MID($B3001,4,2),DanhMuc!$B$154:$B$165,0)),""),"")</f>
        <v/>
      </c>
      <c r="V3001" s="361"/>
      <c r="W3001" s="345"/>
      <c r="X3001" s="329" t="str">
        <f t="shared" si="305"/>
        <v>DR</v>
      </c>
      <c r="Y3001" s="1128" t="s">
        <v>3380</v>
      </c>
      <c r="Z3001" s="1128" t="s">
        <v>3381</v>
      </c>
      <c r="AA3001" s="1128" t="s">
        <v>3384</v>
      </c>
      <c r="AB3001" s="20"/>
      <c r="AC3001" s="73"/>
    </row>
    <row r="3002" spans="1:29" ht="25">
      <c r="A3002" s="327" t="str">
        <f>IF(AND($B3002&lt;&gt;"",$C3002&lt;&gt;""),MAX($A$1556:A3001)+1,"")</f>
        <v/>
      </c>
      <c r="B3002" s="361" t="s">
        <v>2875</v>
      </c>
      <c r="C3002" s="360"/>
      <c r="D3002" s="327">
        <f>IF($B3002="","",COUNTIF($B$6:$B3002,$B3002))</f>
        <v>11</v>
      </c>
      <c r="E3002" s="374" t="s">
        <v>421</v>
      </c>
      <c r="F3002" s="375" t="s">
        <v>422</v>
      </c>
      <c r="G3002" s="377" t="s">
        <v>156</v>
      </c>
      <c r="H3002" s="327" t="s">
        <v>536</v>
      </c>
      <c r="I3002" s="413" t="s">
        <v>1370</v>
      </c>
      <c r="J3002" s="374"/>
      <c r="K3002" s="377"/>
      <c r="L3002" s="412">
        <v>85000</v>
      </c>
      <c r="M3002" s="371"/>
      <c r="N3002" s="355" t="str">
        <f t="shared" si="304"/>
        <v>PK</v>
      </c>
      <c r="O3002" s="345" t="s">
        <v>1626</v>
      </c>
      <c r="P3002" s="392"/>
      <c r="Q3002" s="327"/>
      <c r="R3002" s="351"/>
      <c r="S3002" s="351"/>
      <c r="T3002" s="351"/>
      <c r="U3002" s="329" t="str">
        <f>IF($N3002=$N$4,IFERROR(INDEX(DanhMuc!$E$154:$E$165,MATCH(MID($B3002,4,2),DanhMuc!$B$154:$B$165,0)),""),"")</f>
        <v/>
      </c>
      <c r="V3002" s="361"/>
      <c r="W3002" s="345"/>
      <c r="X3002" s="329" t="str">
        <f t="shared" si="305"/>
        <v>DR</v>
      </c>
      <c r="Y3002" s="1128" t="s">
        <v>3380</v>
      </c>
      <c r="Z3002" s="1128" t="s">
        <v>3381</v>
      </c>
      <c r="AA3002" s="1128" t="s">
        <v>3384</v>
      </c>
      <c r="AB3002" s="20"/>
      <c r="AC3002" s="73"/>
    </row>
    <row r="3003" spans="1:29">
      <c r="A3003" s="327" t="str">
        <f>IF(AND($B3003&lt;&gt;"",$C3003&lt;&gt;""),MAX($A$1556:A3002)+1,"")</f>
        <v/>
      </c>
      <c r="B3003" s="361" t="s">
        <v>2875</v>
      </c>
      <c r="C3003" s="360"/>
      <c r="D3003" s="327">
        <f>IF($B3003="","",COUNTIF($B$6:$B3003,$B3003))</f>
        <v>12</v>
      </c>
      <c r="E3003" s="402" t="s">
        <v>2902</v>
      </c>
      <c r="F3003" s="403" t="s">
        <v>197</v>
      </c>
      <c r="G3003" s="327" t="s">
        <v>155</v>
      </c>
      <c r="H3003" s="327" t="s">
        <v>536</v>
      </c>
      <c r="I3003" s="327">
        <v>1</v>
      </c>
      <c r="J3003" s="345"/>
      <c r="K3003" s="327"/>
      <c r="L3003" s="389">
        <v>147220</v>
      </c>
      <c r="M3003" s="371"/>
      <c r="N3003" s="355" t="str">
        <f t="shared" si="304"/>
        <v>PK</v>
      </c>
      <c r="O3003" s="345" t="s">
        <v>1626</v>
      </c>
      <c r="P3003" s="392"/>
      <c r="Q3003" s="327"/>
      <c r="R3003" s="351"/>
      <c r="S3003" s="351"/>
      <c r="T3003" s="351"/>
      <c r="U3003" s="329" t="str">
        <f>IF($N3003=$N$4,IFERROR(INDEX(DanhMuc!$E$154:$E$165,MATCH(MID($B3003,4,2),DanhMuc!$B$154:$B$165,0)),""),"")</f>
        <v/>
      </c>
      <c r="V3003" s="361"/>
      <c r="W3003" s="345"/>
      <c r="X3003" s="329" t="str">
        <f t="shared" si="305"/>
        <v>DR</v>
      </c>
      <c r="Y3003" s="1128" t="s">
        <v>3380</v>
      </c>
      <c r="Z3003" s="1128" t="s">
        <v>3381</v>
      </c>
      <c r="AA3003" s="1128" t="s">
        <v>3384</v>
      </c>
      <c r="AB3003" s="20"/>
      <c r="AC3003" s="73"/>
    </row>
    <row r="3004" spans="1:29">
      <c r="A3004" s="327" t="str">
        <f>IF(AND($B3004&lt;&gt;"",$C3004&lt;&gt;""),MAX($A$1556:A3003)+1,"")</f>
        <v/>
      </c>
      <c r="B3004" s="361" t="s">
        <v>2875</v>
      </c>
      <c r="C3004" s="360"/>
      <c r="D3004" s="327">
        <f>IF($B3004="","",COUNTIF($B$6:$B3004,$B3004))</f>
        <v>13</v>
      </c>
      <c r="E3004" s="402" t="s">
        <v>2902</v>
      </c>
      <c r="F3004" s="403" t="s">
        <v>197</v>
      </c>
      <c r="G3004" s="327" t="s">
        <v>155</v>
      </c>
      <c r="H3004" s="327" t="s">
        <v>536</v>
      </c>
      <c r="I3004" s="327">
        <v>1</v>
      </c>
      <c r="J3004" s="345"/>
      <c r="K3004" s="327"/>
      <c r="L3004" s="389">
        <v>147220</v>
      </c>
      <c r="M3004" s="371"/>
      <c r="N3004" s="355" t="str">
        <f t="shared" si="304"/>
        <v>PK</v>
      </c>
      <c r="O3004" s="345" t="s">
        <v>2722</v>
      </c>
      <c r="P3004" s="392"/>
      <c r="Q3004" s="327"/>
      <c r="R3004" s="351"/>
      <c r="S3004" s="351"/>
      <c r="T3004" s="351"/>
      <c r="U3004" s="329" t="str">
        <f>IF($N3004=$N$4,IFERROR(INDEX(DanhMuc!$E$154:$E$165,MATCH(MID($B3004,4,2),DanhMuc!$B$154:$B$165,0)),""),"")</f>
        <v/>
      </c>
      <c r="V3004" s="361"/>
      <c r="W3004" s="345"/>
      <c r="X3004" s="329" t="str">
        <f t="shared" si="305"/>
        <v>DR</v>
      </c>
      <c r="Y3004" s="1128" t="s">
        <v>3380</v>
      </c>
      <c r="Z3004" s="1128" t="s">
        <v>3381</v>
      </c>
      <c r="AA3004" s="1128" t="s">
        <v>3384</v>
      </c>
      <c r="AB3004" s="20"/>
      <c r="AC3004" s="73"/>
    </row>
    <row r="3005" spans="1:29">
      <c r="A3005" s="327" t="str">
        <f>IF(AND($B3005&lt;&gt;"",$C3005&lt;&gt;""),MAX($A$1556:A3003)+1,"")</f>
        <v/>
      </c>
      <c r="B3005" s="361" t="s">
        <v>2875</v>
      </c>
      <c r="C3005" s="360"/>
      <c r="D3005" s="327">
        <f>IF($B3005="","",COUNTIF($B$6:$B3005,$B3005))</f>
        <v>14</v>
      </c>
      <c r="E3005" s="365" t="s">
        <v>327</v>
      </c>
      <c r="F3005" s="368" t="s">
        <v>345</v>
      </c>
      <c r="G3005" s="367" t="s">
        <v>690</v>
      </c>
      <c r="H3005" s="327" t="s">
        <v>536</v>
      </c>
      <c r="I3005" s="327">
        <v>1</v>
      </c>
      <c r="J3005" s="345" t="s">
        <v>634</v>
      </c>
      <c r="K3005" s="327"/>
      <c r="L3005" s="348">
        <f>+$S3005*$T3005*$L$37</f>
        <v>84651</v>
      </c>
      <c r="M3005" s="371"/>
      <c r="N3005" s="369" t="s">
        <v>150</v>
      </c>
      <c r="O3005" s="345" t="s">
        <v>2722</v>
      </c>
      <c r="P3005" s="392"/>
      <c r="Q3005" s="327"/>
      <c r="R3005" s="351">
        <v>2.5</v>
      </c>
      <c r="S3005" s="351">
        <v>5.8</v>
      </c>
      <c r="T3005" s="351">
        <v>0.13900000000000001</v>
      </c>
      <c r="U3005" s="329">
        <f>IF($N3005=$N$4,IFERROR(INDEX(DanhMuc!$E$154:$E$165,MATCH(MID($B3005,4,2),DanhMuc!$B$154:$B$165,0)),""),"")</f>
        <v>5800</v>
      </c>
      <c r="V3005" s="361"/>
      <c r="W3005" s="345"/>
      <c r="X3005" s="329" t="str">
        <f t="shared" si="305"/>
        <v>C459</v>
      </c>
      <c r="Y3005" s="1128" t="s">
        <v>3380</v>
      </c>
      <c r="Z3005" s="1128" t="s">
        <v>3381</v>
      </c>
      <c r="AA3005" s="1128" t="s">
        <v>3384</v>
      </c>
      <c r="AB3005" s="20"/>
      <c r="AC3005" s="73"/>
    </row>
    <row r="3006" spans="1:29">
      <c r="A3006" s="327" t="str">
        <f>IF(AND($B3006&lt;&gt;"",$C3006&lt;&gt;""),MAX($A$1556:A3003)+1,"")</f>
        <v/>
      </c>
      <c r="B3006" s="361" t="s">
        <v>2875</v>
      </c>
      <c r="C3006" s="360"/>
      <c r="D3006" s="327">
        <f>IF($B3006="","",COUNTIF($B$6:$B3006,$B3006))</f>
        <v>15</v>
      </c>
      <c r="E3006" s="402" t="s">
        <v>2893</v>
      </c>
      <c r="F3006" s="403" t="s">
        <v>79</v>
      </c>
      <c r="G3006" s="327" t="s">
        <v>155</v>
      </c>
      <c r="H3006" s="327" t="s">
        <v>536</v>
      </c>
      <c r="I3006" s="327">
        <v>1</v>
      </c>
      <c r="J3006" s="345"/>
      <c r="K3006" s="327"/>
      <c r="L3006" s="389">
        <v>167893</v>
      </c>
      <c r="M3006" s="371"/>
      <c r="N3006" s="355" t="str">
        <f>+$N$1555</f>
        <v>PK</v>
      </c>
      <c r="O3006" s="404" t="s">
        <v>2721</v>
      </c>
      <c r="P3006" s="392"/>
      <c r="Q3006" s="327"/>
      <c r="R3006" s="351"/>
      <c r="S3006" s="351"/>
      <c r="T3006" s="351"/>
      <c r="U3006" s="329" t="str">
        <f>IF($N3006=$N$4,IFERROR(INDEX(DanhMuc!$E$154:$E$165,MATCH(MID($B3006,4,2),DanhMuc!$B$154:$B$165,0)),""),"")</f>
        <v/>
      </c>
      <c r="V3006" s="361"/>
      <c r="W3006" s="345"/>
      <c r="X3006" s="329" t="str">
        <f t="shared" si="305"/>
        <v>DR</v>
      </c>
      <c r="Y3006" s="1128" t="s">
        <v>3380</v>
      </c>
      <c r="Z3006" s="1128" t="s">
        <v>3381</v>
      </c>
      <c r="AA3006" s="1128" t="s">
        <v>3384</v>
      </c>
      <c r="AB3006" s="20"/>
      <c r="AC3006" s="73"/>
    </row>
    <row r="3007" spans="1:29">
      <c r="A3007" s="327" t="str">
        <f>IF(AND($B3007&lt;&gt;"",$C3007&lt;&gt;""),MAX($A$1556:A3006)+1,"")</f>
        <v/>
      </c>
      <c r="B3007" s="361" t="s">
        <v>2875</v>
      </c>
      <c r="C3007" s="360"/>
      <c r="D3007" s="327">
        <f>IF($B3007="","",COUNTIF($B$6:$B3007,$B3007))</f>
        <v>16</v>
      </c>
      <c r="E3007" s="361" t="s">
        <v>2905</v>
      </c>
      <c r="F3007" s="362" t="s">
        <v>2906</v>
      </c>
      <c r="G3007" s="327" t="s">
        <v>155</v>
      </c>
      <c r="H3007" s="327" t="s">
        <v>536</v>
      </c>
      <c r="I3007" s="327">
        <v>2</v>
      </c>
      <c r="J3007" s="345"/>
      <c r="K3007" s="327"/>
      <c r="L3007" s="389">
        <v>13762</v>
      </c>
      <c r="M3007" s="371"/>
      <c r="N3007" s="355" t="str">
        <f>+$N$1555</f>
        <v>PK</v>
      </c>
      <c r="O3007" s="404" t="s">
        <v>2721</v>
      </c>
      <c r="P3007" s="392"/>
      <c r="Q3007" s="327"/>
      <c r="R3007" s="351"/>
      <c r="S3007" s="351"/>
      <c r="T3007" s="351"/>
      <c r="U3007" s="329" t="str">
        <f>IF($N3007=$N$4,IFERROR(INDEX(DanhMuc!$E$154:$E$165,MATCH(MID($B3007,4,2),DanhMuc!$B$154:$B$165,0)),""),"")</f>
        <v/>
      </c>
      <c r="V3007" s="361"/>
      <c r="W3007" s="345"/>
      <c r="X3007" s="329" t="str">
        <f t="shared" si="305"/>
        <v>DR</v>
      </c>
      <c r="Y3007" s="1128" t="s">
        <v>3380</v>
      </c>
      <c r="Z3007" s="1128" t="s">
        <v>3381</v>
      </c>
      <c r="AA3007" s="1128" t="s">
        <v>3384</v>
      </c>
      <c r="AB3007" s="20"/>
      <c r="AC3007" s="73"/>
    </row>
    <row r="3008" spans="1:29">
      <c r="A3008" s="327" t="str">
        <f>IF(AND($B3008&lt;&gt;"",$C3008&lt;&gt;""),MAX($A$1556:A3007)+1,"")</f>
        <v/>
      </c>
      <c r="B3008" s="361" t="s">
        <v>2875</v>
      </c>
      <c r="C3008" s="360"/>
      <c r="D3008" s="327">
        <f>IF($B3008="","",COUNTIF($B$6:$B3008,$B3008))</f>
        <v>17</v>
      </c>
      <c r="E3008" s="402" t="s">
        <v>2908</v>
      </c>
      <c r="F3008" s="403" t="s">
        <v>92</v>
      </c>
      <c r="G3008" s="327" t="s">
        <v>155</v>
      </c>
      <c r="H3008" s="327" t="s">
        <v>536</v>
      </c>
      <c r="I3008" s="327">
        <v>2</v>
      </c>
      <c r="J3008" s="345"/>
      <c r="K3008" s="327"/>
      <c r="L3008" s="389">
        <v>7013</v>
      </c>
      <c r="M3008" s="371"/>
      <c r="N3008" s="355" t="str">
        <f>+$N$1555</f>
        <v>PK</v>
      </c>
      <c r="O3008" s="404" t="s">
        <v>2721</v>
      </c>
      <c r="P3008" s="392"/>
      <c r="Q3008" s="327"/>
      <c r="R3008" s="351"/>
      <c r="S3008" s="351"/>
      <c r="T3008" s="351"/>
      <c r="U3008" s="329" t="str">
        <f>IF($N3008=$N$4,IFERROR(INDEX(DanhMuc!$E$154:$E$165,MATCH(MID($B3008,4,2),DanhMuc!$B$154:$B$165,0)),""),"")</f>
        <v/>
      </c>
      <c r="V3008" s="361"/>
      <c r="W3008" s="345"/>
      <c r="X3008" s="329" t="str">
        <f t="shared" si="305"/>
        <v>DR</v>
      </c>
      <c r="Y3008" s="1128" t="s">
        <v>3380</v>
      </c>
      <c r="Z3008" s="1128" t="s">
        <v>3381</v>
      </c>
      <c r="AA3008" s="1128" t="s">
        <v>3384</v>
      </c>
      <c r="AB3008" s="20"/>
      <c r="AC3008" s="73"/>
    </row>
    <row r="3009" spans="1:29">
      <c r="A3009" s="327" t="str">
        <f>IF(AND($B3009&lt;&gt;"",$C3009&lt;&gt;""),MAX($A$1556:A3007)+1,"")</f>
        <v/>
      </c>
      <c r="B3009" s="361" t="s">
        <v>2875</v>
      </c>
      <c r="C3009" s="360"/>
      <c r="D3009" s="327">
        <f>IF($B3009="","",COUNTIF($B$6:$B3009,$B3009))</f>
        <v>18</v>
      </c>
      <c r="E3009" s="365" t="s">
        <v>327</v>
      </c>
      <c r="F3009" s="368" t="s">
        <v>345</v>
      </c>
      <c r="G3009" s="367" t="s">
        <v>690</v>
      </c>
      <c r="H3009" s="327" t="s">
        <v>536</v>
      </c>
      <c r="I3009" s="327">
        <v>1</v>
      </c>
      <c r="J3009" s="345" t="s">
        <v>634</v>
      </c>
      <c r="K3009" s="327"/>
      <c r="L3009" s="348">
        <f>+$S3009*$T3009*$L$37</f>
        <v>84651</v>
      </c>
      <c r="M3009" s="371"/>
      <c r="N3009" s="369" t="s">
        <v>150</v>
      </c>
      <c r="O3009" s="404" t="s">
        <v>2721</v>
      </c>
      <c r="P3009" s="392"/>
      <c r="Q3009" s="327"/>
      <c r="R3009" s="351">
        <v>2.5</v>
      </c>
      <c r="S3009" s="351">
        <v>5.8</v>
      </c>
      <c r="T3009" s="351">
        <v>0.13900000000000001</v>
      </c>
      <c r="U3009" s="329">
        <f>IF($N3009=$N$4,IFERROR(INDEX(DanhMuc!$E$154:$E$165,MATCH(MID($B3009,4,2),DanhMuc!$B$154:$B$165,0)),""),"")</f>
        <v>5800</v>
      </c>
      <c r="V3009" s="361"/>
      <c r="W3009" s="345"/>
      <c r="X3009" s="329" t="str">
        <f t="shared" si="305"/>
        <v>C459</v>
      </c>
      <c r="Y3009" s="1128" t="s">
        <v>3380</v>
      </c>
      <c r="Z3009" s="1128" t="s">
        <v>3381</v>
      </c>
      <c r="AA3009" s="1128" t="s">
        <v>3384</v>
      </c>
      <c r="AB3009" s="20"/>
      <c r="AC3009" s="73"/>
    </row>
    <row r="3010" spans="1:29">
      <c r="A3010" s="327" t="str">
        <f>IF(AND($B3010&lt;&gt;"",$C3010&lt;&gt;""),MAX($A$1556:A3003)+1,"")</f>
        <v/>
      </c>
      <c r="B3010" s="361" t="s">
        <v>2875</v>
      </c>
      <c r="C3010" s="360"/>
      <c r="D3010" s="327">
        <f>IF($B3010="","",COUNTIF($B$6:$B3010,$B3010))</f>
        <v>19</v>
      </c>
      <c r="E3010" s="399" t="s">
        <v>2946</v>
      </c>
      <c r="F3010" s="400" t="s">
        <v>322</v>
      </c>
      <c r="G3010" s="327" t="s">
        <v>155</v>
      </c>
      <c r="H3010" s="327" t="s">
        <v>536</v>
      </c>
      <c r="I3010" s="327">
        <v>1</v>
      </c>
      <c r="J3010" s="345"/>
      <c r="K3010" s="327"/>
      <c r="L3010" s="389">
        <v>114113</v>
      </c>
      <c r="M3010" s="371"/>
      <c r="N3010" s="355" t="str">
        <f t="shared" ref="N3010:N3030" si="306">+$N$1555</f>
        <v>PK</v>
      </c>
      <c r="O3010" s="345" t="s">
        <v>2699</v>
      </c>
      <c r="P3010" s="392"/>
      <c r="Q3010" s="327"/>
      <c r="R3010" s="351"/>
      <c r="S3010" s="351"/>
      <c r="T3010" s="351"/>
      <c r="U3010" s="329" t="str">
        <f>IF($N3010=$N$4,IFERROR(INDEX(DanhMuc!$E$154:$E$165,MATCH(MID($B3010,4,2),DanhMuc!$B$154:$B$165,0)),""),"")</f>
        <v/>
      </c>
      <c r="V3010" s="361"/>
      <c r="W3010" s="345"/>
      <c r="X3010" s="329" t="str">
        <f t="shared" si="305"/>
        <v>DR</v>
      </c>
      <c r="Y3010" s="1128" t="s">
        <v>3380</v>
      </c>
      <c r="Z3010" s="1128" t="s">
        <v>3381</v>
      </c>
      <c r="AA3010" s="1128" t="s">
        <v>3384</v>
      </c>
      <c r="AB3010" s="20"/>
      <c r="AC3010" s="73"/>
    </row>
    <row r="3011" spans="1:29">
      <c r="A3011" s="327" t="str">
        <f>IF(AND($B3011&lt;&gt;"",$C3011&lt;&gt;""),MAX($A$1556:A3010)+1,"")</f>
        <v/>
      </c>
      <c r="B3011" s="361" t="s">
        <v>2875</v>
      </c>
      <c r="C3011" s="360"/>
      <c r="D3011" s="327">
        <f>IF($B3011="","",COUNTIF($B$6:$B3011,$B3011))</f>
        <v>20</v>
      </c>
      <c r="E3011" s="399" t="s">
        <v>2954</v>
      </c>
      <c r="F3011" s="400" t="s">
        <v>1208</v>
      </c>
      <c r="G3011" s="327" t="s">
        <v>155</v>
      </c>
      <c r="H3011" s="327" t="s">
        <v>536</v>
      </c>
      <c r="I3011" s="327">
        <v>1</v>
      </c>
      <c r="J3011" s="345"/>
      <c r="K3011" s="327"/>
      <c r="L3011" s="389">
        <v>114113</v>
      </c>
      <c r="M3011" s="371"/>
      <c r="N3011" s="355" t="str">
        <f t="shared" si="306"/>
        <v>PK</v>
      </c>
      <c r="O3011" s="345" t="s">
        <v>1060</v>
      </c>
      <c r="P3011" s="392"/>
      <c r="Q3011" s="327"/>
      <c r="R3011" s="351"/>
      <c r="S3011" s="351"/>
      <c r="T3011" s="351"/>
      <c r="U3011" s="329" t="str">
        <f>IF($N3011=$N$4,IFERROR(INDEX(DanhMuc!$E$154:$E$165,MATCH(MID($B3011,4,2),DanhMuc!$B$154:$B$165,0)),""),"")</f>
        <v/>
      </c>
      <c r="V3011" s="361"/>
      <c r="W3011" s="345"/>
      <c r="X3011" s="329" t="str">
        <f t="shared" si="305"/>
        <v>DR</v>
      </c>
      <c r="Y3011" s="1128" t="s">
        <v>3380</v>
      </c>
      <c r="Z3011" s="1128" t="s">
        <v>3381</v>
      </c>
      <c r="AA3011" s="1128" t="s">
        <v>3384</v>
      </c>
      <c r="AB3011" s="20"/>
      <c r="AC3011" s="73"/>
    </row>
    <row r="3012" spans="1:29">
      <c r="A3012" s="327" t="str">
        <f>IF(AND($B3012&lt;&gt;"",$C3012&lt;&gt;""),MAX($A$1556:A3011)+1,"")</f>
        <v/>
      </c>
      <c r="B3012" s="361" t="s">
        <v>2875</v>
      </c>
      <c r="C3012" s="360"/>
      <c r="D3012" s="327">
        <f>IF($B3012="","",COUNTIF($B$6:$B3012,$B3012))</f>
        <v>21</v>
      </c>
      <c r="E3012" s="361" t="s">
        <v>2892</v>
      </c>
      <c r="F3012" s="362" t="s">
        <v>196</v>
      </c>
      <c r="G3012" s="351" t="s">
        <v>155</v>
      </c>
      <c r="H3012" s="327"/>
      <c r="I3012" s="327">
        <v>1</v>
      </c>
      <c r="J3012" s="361"/>
      <c r="K3012" s="327"/>
      <c r="L3012" s="389">
        <v>126361</v>
      </c>
      <c r="M3012" s="371"/>
      <c r="N3012" s="355" t="str">
        <f t="shared" si="306"/>
        <v>PK</v>
      </c>
      <c r="O3012" s="404"/>
      <c r="P3012" s="392"/>
      <c r="Q3012" s="327"/>
      <c r="R3012" s="351"/>
      <c r="S3012" s="351"/>
      <c r="T3012" s="351"/>
      <c r="U3012" s="329" t="str">
        <f>IF($N3012=$N$4,IFERROR(INDEX(DanhMuc!$E$154:$E$165,MATCH(MID($B3012,4,2),DanhMuc!$B$154:$B$165,0)),""),"")</f>
        <v/>
      </c>
      <c r="V3012" s="361"/>
      <c r="W3012" s="345"/>
      <c r="X3012" s="329" t="str">
        <f t="shared" si="305"/>
        <v>DR</v>
      </c>
      <c r="Y3012" s="1128" t="s">
        <v>3380</v>
      </c>
      <c r="Z3012" s="1128" t="s">
        <v>3381</v>
      </c>
      <c r="AA3012" s="1128" t="s">
        <v>3384</v>
      </c>
      <c r="AB3012" s="20"/>
      <c r="AC3012" s="73"/>
    </row>
    <row r="3013" spans="1:29">
      <c r="A3013" s="327" t="str">
        <f>IF(AND($B3013&lt;&gt;"",$C3013&lt;&gt;""),MAX($A$1556:A3012)+1,"")</f>
        <v/>
      </c>
      <c r="B3013" s="361" t="s">
        <v>2875</v>
      </c>
      <c r="C3013" s="360"/>
      <c r="D3013" s="327">
        <f>IF($B3013="","",COUNTIF($B$6:$B3013,$B3013))</f>
        <v>22</v>
      </c>
      <c r="E3013" s="361" t="s">
        <v>2947</v>
      </c>
      <c r="F3013" s="362" t="s">
        <v>200</v>
      </c>
      <c r="G3013" s="327" t="s">
        <v>155</v>
      </c>
      <c r="H3013" s="327" t="s">
        <v>536</v>
      </c>
      <c r="I3013" s="327">
        <v>1</v>
      </c>
      <c r="J3013" s="361"/>
      <c r="K3013" s="327"/>
      <c r="L3013" s="389">
        <v>12614</v>
      </c>
      <c r="M3013" s="371"/>
      <c r="N3013" s="355" t="str">
        <f t="shared" si="306"/>
        <v>PK</v>
      </c>
      <c r="O3013" s="414"/>
      <c r="P3013" s="392"/>
      <c r="Q3013" s="327"/>
      <c r="R3013" s="351"/>
      <c r="S3013" s="351"/>
      <c r="T3013" s="351"/>
      <c r="U3013" s="329" t="str">
        <f>IF($N3013=$N$4,IFERROR(INDEX(DanhMuc!$E$154:$E$165,MATCH(MID($B3013,4,2),DanhMuc!$B$154:$B$165,0)),""),"")</f>
        <v/>
      </c>
      <c r="V3013" s="361"/>
      <c r="W3013" s="345"/>
      <c r="X3013" s="329" t="str">
        <f t="shared" si="305"/>
        <v>DR</v>
      </c>
      <c r="Y3013" s="1128" t="s">
        <v>3380</v>
      </c>
      <c r="Z3013" s="1128" t="s">
        <v>3381</v>
      </c>
      <c r="AA3013" s="1128" t="s">
        <v>3384</v>
      </c>
      <c r="AB3013" s="20"/>
      <c r="AC3013" s="73"/>
    </row>
    <row r="3014" spans="1:29">
      <c r="A3014" s="327" t="str">
        <f>IF(AND($B3014&lt;&gt;"",$C3014&lt;&gt;""),MAX($A$1556:A3012)+1,"")</f>
        <v/>
      </c>
      <c r="B3014" s="361" t="s">
        <v>2875</v>
      </c>
      <c r="C3014" s="360"/>
      <c r="D3014" s="327">
        <f>IF($B3014="","",COUNTIF($B$6:$B3014,$B3014))</f>
        <v>23</v>
      </c>
      <c r="E3014" s="361" t="s">
        <v>1444</v>
      </c>
      <c r="F3014" s="362" t="s">
        <v>2356</v>
      </c>
      <c r="G3014" s="327" t="s">
        <v>297</v>
      </c>
      <c r="H3014" s="327"/>
      <c r="I3014" s="327">
        <v>1</v>
      </c>
      <c r="J3014" s="345"/>
      <c r="K3014" s="327"/>
      <c r="L3014" s="389">
        <v>17000</v>
      </c>
      <c r="M3014" s="371"/>
      <c r="N3014" s="355" t="str">
        <f t="shared" si="306"/>
        <v>PK</v>
      </c>
      <c r="O3014" s="347"/>
      <c r="P3014" s="392"/>
      <c r="Q3014" s="327"/>
      <c r="R3014" s="351"/>
      <c r="S3014" s="351"/>
      <c r="T3014" s="351"/>
      <c r="U3014" s="329" t="str">
        <f>IF($N3014=$N$4,IFERROR(INDEX(DanhMuc!$E$154:$E$165,MATCH(MID($B3014,4,2),DanhMuc!$B$154:$B$165,0)),""),"")</f>
        <v/>
      </c>
      <c r="V3014" s="408" t="s">
        <v>343</v>
      </c>
      <c r="W3014" s="345"/>
      <c r="X3014" s="329" t="str">
        <f t="shared" si="305"/>
        <v>DR</v>
      </c>
      <c r="Y3014" s="1128" t="s">
        <v>3380</v>
      </c>
      <c r="Z3014" s="1128" t="s">
        <v>3381</v>
      </c>
      <c r="AA3014" s="1128" t="s">
        <v>3384</v>
      </c>
      <c r="AB3014" s="20"/>
      <c r="AC3014" s="73"/>
    </row>
    <row r="3015" spans="1:29" ht="39">
      <c r="A3015" s="327">
        <f>IF(AND($B3015&lt;&gt;"",$C3015&lt;&gt;""),MAX($A$1556:A3013)+1,"")</f>
        <v>153</v>
      </c>
      <c r="B3015" s="359" t="s">
        <v>2876</v>
      </c>
      <c r="C3015" s="360" t="s">
        <v>2085</v>
      </c>
      <c r="D3015" s="327">
        <f>IF($B3015="","",COUNTIF($B$6:$B3015,$B3015))</f>
        <v>1</v>
      </c>
      <c r="E3015" s="363" t="s">
        <v>2935</v>
      </c>
      <c r="F3015" s="362" t="s">
        <v>207</v>
      </c>
      <c r="G3015" s="327" t="s">
        <v>155</v>
      </c>
      <c r="H3015" s="327"/>
      <c r="I3015" s="327">
        <v>1</v>
      </c>
      <c r="J3015" s="361"/>
      <c r="K3015" s="327"/>
      <c r="L3015" s="389">
        <v>214352</v>
      </c>
      <c r="M3015" s="371"/>
      <c r="N3015" s="355" t="str">
        <f t="shared" si="306"/>
        <v>PK</v>
      </c>
      <c r="O3015" s="345"/>
      <c r="P3015" s="392"/>
      <c r="Q3015" s="327"/>
      <c r="R3015" s="351"/>
      <c r="S3015" s="351"/>
      <c r="T3015" s="351"/>
      <c r="U3015" s="329" t="str">
        <f>IF($N3015=$N$4,IFERROR(INDEX(DanhMuc!$E$154:$E$165,MATCH(MID($B3015,4,2),DanhMuc!$B$154:$B$165,0)),""),"")</f>
        <v/>
      </c>
      <c r="V3015" s="361"/>
      <c r="W3015" s="345"/>
      <c r="X3015" s="329" t="str">
        <f t="shared" si="305"/>
        <v>DR</v>
      </c>
      <c r="Y3015" s="1128" t="s">
        <v>3380</v>
      </c>
      <c r="Z3015" s="1128" t="s">
        <v>3381</v>
      </c>
      <c r="AA3015" s="1128" t="s">
        <v>3384</v>
      </c>
      <c r="AB3015" s="20"/>
      <c r="AC3015" s="73"/>
    </row>
    <row r="3016" spans="1:29" ht="25">
      <c r="A3016" s="327" t="str">
        <f>IF(AND($B3016&lt;&gt;"",$C3016&lt;&gt;""),MAX($A$1556:A3015)+1,"")</f>
        <v/>
      </c>
      <c r="B3016" s="361" t="s">
        <v>2876</v>
      </c>
      <c r="C3016" s="360"/>
      <c r="D3016" s="327">
        <f>IF($B3016="","",COUNTIF($B$6:$B3016,$B3016))</f>
        <v>2</v>
      </c>
      <c r="E3016" s="361" t="s">
        <v>2936</v>
      </c>
      <c r="F3016" s="362" t="s">
        <v>208</v>
      </c>
      <c r="G3016" s="327" t="s">
        <v>155</v>
      </c>
      <c r="H3016" s="327"/>
      <c r="I3016" s="327">
        <v>1</v>
      </c>
      <c r="J3016" s="361"/>
      <c r="K3016" s="327"/>
      <c r="L3016" s="389">
        <v>175262</v>
      </c>
      <c r="M3016" s="371"/>
      <c r="N3016" s="355" t="str">
        <f t="shared" si="306"/>
        <v>PK</v>
      </c>
      <c r="O3016" s="345"/>
      <c r="P3016" s="392"/>
      <c r="Q3016" s="327"/>
      <c r="R3016" s="351"/>
      <c r="S3016" s="351"/>
      <c r="T3016" s="351"/>
      <c r="U3016" s="329" t="str">
        <f>IF($N3016=$N$4,IFERROR(INDEX(DanhMuc!$E$154:$E$165,MATCH(MID($B3016,4,2),DanhMuc!$B$154:$B$165,0)),""),"")</f>
        <v/>
      </c>
      <c r="V3016" s="361"/>
      <c r="W3016" s="345"/>
      <c r="X3016" s="329" t="str">
        <f t="shared" si="305"/>
        <v>DR</v>
      </c>
      <c r="Y3016" s="1128" t="s">
        <v>3380</v>
      </c>
      <c r="Z3016" s="1128" t="s">
        <v>3381</v>
      </c>
      <c r="AA3016" s="1128" t="s">
        <v>3384</v>
      </c>
      <c r="AB3016" s="20"/>
      <c r="AC3016" s="73"/>
    </row>
    <row r="3017" spans="1:29" s="73" customFormat="1" ht="25">
      <c r="A3017" s="327" t="str">
        <f>IF(AND($B3017&lt;&gt;"",$C3017&lt;&gt;""),MAX($A$1556:A3016)+1,"")</f>
        <v/>
      </c>
      <c r="B3017" s="361" t="s">
        <v>2876</v>
      </c>
      <c r="C3017" s="346"/>
      <c r="D3017" s="327">
        <f>IF($B3017="","",COUNTIF($B$6:$B3017,$B3017))</f>
        <v>3</v>
      </c>
      <c r="E3017" s="361" t="s">
        <v>2937</v>
      </c>
      <c r="F3017" s="362" t="s">
        <v>2938</v>
      </c>
      <c r="G3017" s="342" t="s">
        <v>155</v>
      </c>
      <c r="H3017" s="327"/>
      <c r="I3017" s="327">
        <v>9</v>
      </c>
      <c r="J3017" s="359"/>
      <c r="K3017" s="127"/>
      <c r="L3017" s="389">
        <v>60198</v>
      </c>
      <c r="M3017" s="371"/>
      <c r="N3017" s="355" t="str">
        <f t="shared" si="306"/>
        <v>PK</v>
      </c>
      <c r="O3017" s="345"/>
      <c r="P3017" s="392"/>
      <c r="Q3017" s="327"/>
      <c r="R3017" s="351"/>
      <c r="S3017" s="351"/>
      <c r="T3017" s="351"/>
      <c r="U3017" s="329" t="str">
        <f>IF($N3017=$N$4,IFERROR(INDEX(DanhMuc!$E$154:$E$165,MATCH(MID($B3017,4,2),DanhMuc!$B$154:$B$165,0)),""),"")</f>
        <v/>
      </c>
      <c r="V3017" s="328"/>
      <c r="W3017" s="345"/>
      <c r="X3017" s="329" t="str">
        <f t="shared" si="305"/>
        <v>DR</v>
      </c>
      <c r="Y3017" s="1128" t="s">
        <v>3380</v>
      </c>
      <c r="Z3017" s="1128" t="s">
        <v>3381</v>
      </c>
      <c r="AA3017" s="1128" t="s">
        <v>3384</v>
      </c>
      <c r="AB3017" s="20"/>
    </row>
    <row r="3018" spans="1:29" s="73" customFormat="1" ht="25">
      <c r="A3018" s="327" t="str">
        <f>IF(AND($B3018&lt;&gt;"",$C3018&lt;&gt;""),MAX($A$1556:A3017)+1,"")</f>
        <v/>
      </c>
      <c r="B3018" s="361" t="s">
        <v>2876</v>
      </c>
      <c r="C3018" s="346"/>
      <c r="D3018" s="327">
        <f>IF($B3018="","",COUNTIF($B$6:$B3018,$B3018))</f>
        <v>4</v>
      </c>
      <c r="E3018" s="361" t="s">
        <v>2937</v>
      </c>
      <c r="F3018" s="362" t="s">
        <v>2938</v>
      </c>
      <c r="G3018" s="342" t="s">
        <v>155</v>
      </c>
      <c r="H3018" s="327"/>
      <c r="I3018" s="327">
        <v>1</v>
      </c>
      <c r="J3018" s="359"/>
      <c r="K3018" s="127"/>
      <c r="L3018" s="389">
        <v>60198</v>
      </c>
      <c r="M3018" s="371"/>
      <c r="N3018" s="355" t="str">
        <f t="shared" si="306"/>
        <v>PK</v>
      </c>
      <c r="O3018" s="345" t="s">
        <v>639</v>
      </c>
      <c r="P3018" s="392"/>
      <c r="Q3018" s="327"/>
      <c r="R3018" s="351"/>
      <c r="S3018" s="351"/>
      <c r="T3018" s="351"/>
      <c r="U3018" s="329" t="str">
        <f>IF($N3018=$N$4,IFERROR(INDEX(DanhMuc!$E$154:$E$165,MATCH(MID($B3018,4,2),DanhMuc!$B$154:$B$165,0)),""),"")</f>
        <v/>
      </c>
      <c r="V3018" s="328"/>
      <c r="W3018" s="345"/>
      <c r="X3018" s="329" t="str">
        <f t="shared" si="305"/>
        <v>DR</v>
      </c>
      <c r="Y3018" s="1128" t="s">
        <v>3380</v>
      </c>
      <c r="Z3018" s="1128" t="s">
        <v>3381</v>
      </c>
      <c r="AA3018" s="1128" t="s">
        <v>3384</v>
      </c>
      <c r="AB3018" s="20"/>
    </row>
    <row r="3019" spans="1:29" s="73" customFormat="1" ht="25">
      <c r="A3019" s="327" t="str">
        <f>IF(AND($B3019&lt;&gt;"",$C3019&lt;&gt;""),MAX($A$1556:A3017)+1,"")</f>
        <v/>
      </c>
      <c r="B3019" s="361" t="s">
        <v>2876</v>
      </c>
      <c r="C3019" s="346"/>
      <c r="D3019" s="327">
        <f>IF($B3019="","",COUNTIF($B$6:$B3019,$B3019))</f>
        <v>5</v>
      </c>
      <c r="E3019" s="361" t="s">
        <v>2939</v>
      </c>
      <c r="F3019" s="362" t="s">
        <v>2940</v>
      </c>
      <c r="G3019" s="342" t="s">
        <v>155</v>
      </c>
      <c r="H3019" s="327"/>
      <c r="I3019" s="327">
        <v>1</v>
      </c>
      <c r="J3019" s="359"/>
      <c r="K3019" s="127"/>
      <c r="L3019" s="389">
        <v>90033</v>
      </c>
      <c r="M3019" s="371"/>
      <c r="N3019" s="355" t="str">
        <f t="shared" si="306"/>
        <v>PK</v>
      </c>
      <c r="O3019" s="345"/>
      <c r="P3019" s="392"/>
      <c r="Q3019" s="327"/>
      <c r="R3019" s="351"/>
      <c r="S3019" s="351"/>
      <c r="T3019" s="351"/>
      <c r="U3019" s="329" t="str">
        <f>IF($N3019=$N$4,IFERROR(INDEX(DanhMuc!$E$154:$E$165,MATCH(MID($B3019,4,2),DanhMuc!$B$154:$B$165,0)),""),"")</f>
        <v/>
      </c>
      <c r="V3019" s="328"/>
      <c r="W3019" s="345"/>
      <c r="X3019" s="329" t="str">
        <f t="shared" si="305"/>
        <v>DR</v>
      </c>
      <c r="Y3019" s="1128" t="s">
        <v>3380</v>
      </c>
      <c r="Z3019" s="1128" t="s">
        <v>3381</v>
      </c>
      <c r="AA3019" s="1128" t="s">
        <v>3384</v>
      </c>
      <c r="AB3019" s="20"/>
    </row>
    <row r="3020" spans="1:29">
      <c r="A3020" s="327" t="str">
        <f>IF(AND($B3020&lt;&gt;"",$C3020&lt;&gt;""),MAX($A$1556:A3019)+1,"")</f>
        <v/>
      </c>
      <c r="B3020" s="361" t="s">
        <v>2876</v>
      </c>
      <c r="C3020" s="360"/>
      <c r="D3020" s="327">
        <f>IF($B3020="","",COUNTIF($B$6:$B3020,$B3020))</f>
        <v>6</v>
      </c>
      <c r="E3020" s="374" t="s">
        <v>2941</v>
      </c>
      <c r="F3020" s="375" t="s">
        <v>190</v>
      </c>
      <c r="G3020" s="377" t="s">
        <v>155</v>
      </c>
      <c r="H3020" s="327" t="s">
        <v>536</v>
      </c>
      <c r="I3020" s="377">
        <v>1</v>
      </c>
      <c r="J3020" s="374"/>
      <c r="K3020" s="377"/>
      <c r="L3020" s="412">
        <v>46198</v>
      </c>
      <c r="M3020" s="371"/>
      <c r="N3020" s="355" t="str">
        <f t="shared" si="306"/>
        <v>PK</v>
      </c>
      <c r="O3020" s="345"/>
      <c r="P3020" s="392"/>
      <c r="Q3020" s="327"/>
      <c r="R3020" s="351"/>
      <c r="S3020" s="351"/>
      <c r="T3020" s="351"/>
      <c r="U3020" s="329" t="str">
        <f>IF($N3020=$N$4,IFERROR(INDEX(DanhMuc!$E$154:$E$165,MATCH(MID($B3020,4,2),DanhMuc!$B$154:$B$165,0)),""),"")</f>
        <v/>
      </c>
      <c r="V3020" s="361"/>
      <c r="W3020" s="345"/>
      <c r="X3020" s="329" t="str">
        <f t="shared" si="305"/>
        <v>DR</v>
      </c>
      <c r="Y3020" s="1128" t="s">
        <v>3380</v>
      </c>
      <c r="Z3020" s="1128" t="s">
        <v>3381</v>
      </c>
      <c r="AA3020" s="1128" t="s">
        <v>3384</v>
      </c>
      <c r="AB3020" s="20"/>
      <c r="AC3020" s="73"/>
    </row>
    <row r="3021" spans="1:29">
      <c r="A3021" s="327" t="str">
        <f>IF(AND($B3021&lt;&gt;"",$C3021&lt;&gt;""),MAX($A$1556:A3020)+1,"")</f>
        <v/>
      </c>
      <c r="B3021" s="361" t="s">
        <v>2876</v>
      </c>
      <c r="C3021" s="360"/>
      <c r="D3021" s="327">
        <f>IF($B3021="","",COUNTIF($B$6:$B3021,$B3021))</f>
        <v>7</v>
      </c>
      <c r="E3021" s="374" t="s">
        <v>2943</v>
      </c>
      <c r="F3021" s="375" t="s">
        <v>195</v>
      </c>
      <c r="G3021" s="377" t="s">
        <v>155</v>
      </c>
      <c r="H3021" s="327"/>
      <c r="I3021" s="377">
        <v>1</v>
      </c>
      <c r="J3021" s="374"/>
      <c r="K3021" s="377"/>
      <c r="L3021" s="412">
        <v>52794</v>
      </c>
      <c r="M3021" s="371"/>
      <c r="N3021" s="355" t="str">
        <f t="shared" si="306"/>
        <v>PK</v>
      </c>
      <c r="O3021" s="345"/>
      <c r="P3021" s="392"/>
      <c r="Q3021" s="327"/>
      <c r="R3021" s="351"/>
      <c r="S3021" s="351"/>
      <c r="T3021" s="351"/>
      <c r="U3021" s="329" t="str">
        <f>IF($N3021=$N$4,IFERROR(INDEX(DanhMuc!$E$154:$E$165,MATCH(MID($B3021,4,2),DanhMuc!$B$154:$B$165,0)),""),"")</f>
        <v/>
      </c>
      <c r="V3021" s="361"/>
      <c r="W3021" s="345"/>
      <c r="X3021" s="329" t="str">
        <f t="shared" si="305"/>
        <v>DR</v>
      </c>
      <c r="Y3021" s="1128" t="s">
        <v>3380</v>
      </c>
      <c r="Z3021" s="1128" t="s">
        <v>3381</v>
      </c>
      <c r="AA3021" s="1128" t="s">
        <v>3384</v>
      </c>
      <c r="AB3021" s="20"/>
      <c r="AC3021" s="73"/>
    </row>
    <row r="3022" spans="1:29" ht="25">
      <c r="A3022" s="327" t="str">
        <f>IF(AND($B3022&lt;&gt;"",$C3022&lt;&gt;""),MAX($A$1556:A3021)+1,"")</f>
        <v/>
      </c>
      <c r="B3022" s="361" t="s">
        <v>2876</v>
      </c>
      <c r="C3022" s="360"/>
      <c r="D3022" s="327">
        <f>IF($B3022="","",COUNTIF($B$6:$B3022,$B3022))</f>
        <v>8</v>
      </c>
      <c r="E3022" s="374" t="s">
        <v>2977</v>
      </c>
      <c r="F3022" s="375" t="s">
        <v>420</v>
      </c>
      <c r="G3022" s="377" t="s">
        <v>156</v>
      </c>
      <c r="H3022" s="327" t="s">
        <v>536</v>
      </c>
      <c r="I3022" s="413" t="s">
        <v>1925</v>
      </c>
      <c r="J3022" s="374"/>
      <c r="K3022" s="377"/>
      <c r="L3022" s="412">
        <v>39602</v>
      </c>
      <c r="M3022" s="371"/>
      <c r="N3022" s="355" t="str">
        <f t="shared" si="306"/>
        <v>PK</v>
      </c>
      <c r="O3022" s="345" t="s">
        <v>1626</v>
      </c>
      <c r="P3022" s="392"/>
      <c r="Q3022" s="327"/>
      <c r="R3022" s="351"/>
      <c r="S3022" s="351"/>
      <c r="T3022" s="351"/>
      <c r="U3022" s="329" t="str">
        <f>IF($N3022=$N$4,IFERROR(INDEX(DanhMuc!$E$154:$E$165,MATCH(MID($B3022,4,2),DanhMuc!$B$154:$B$165,0)),""),"")</f>
        <v/>
      </c>
      <c r="V3022" s="361"/>
      <c r="W3022" s="345"/>
      <c r="X3022" s="329" t="str">
        <f t="shared" si="305"/>
        <v>DR</v>
      </c>
      <c r="Y3022" s="1128" t="s">
        <v>3380</v>
      </c>
      <c r="Z3022" s="1128" t="s">
        <v>3381</v>
      </c>
      <c r="AA3022" s="1128" t="s">
        <v>3384</v>
      </c>
      <c r="AB3022" s="20"/>
      <c r="AC3022" s="73"/>
    </row>
    <row r="3023" spans="1:29" ht="25">
      <c r="A3023" s="327" t="str">
        <f>IF(AND($B3023&lt;&gt;"",$C3023&lt;&gt;""),MAX($A$1556:A3022)+1,"")</f>
        <v/>
      </c>
      <c r="B3023" s="361" t="s">
        <v>2876</v>
      </c>
      <c r="C3023" s="360"/>
      <c r="D3023" s="327">
        <f>IF($B3023="","",COUNTIF($B$6:$B3023,$B3023))</f>
        <v>9</v>
      </c>
      <c r="E3023" s="374" t="s">
        <v>2979</v>
      </c>
      <c r="F3023" s="375" t="s">
        <v>2944</v>
      </c>
      <c r="G3023" s="377" t="s">
        <v>156</v>
      </c>
      <c r="H3023" s="327" t="s">
        <v>536</v>
      </c>
      <c r="I3023" s="413" t="s">
        <v>2945</v>
      </c>
      <c r="J3023" s="374"/>
      <c r="K3023" s="377"/>
      <c r="L3023" s="412">
        <v>43257</v>
      </c>
      <c r="M3023" s="371"/>
      <c r="N3023" s="355" t="str">
        <f t="shared" si="306"/>
        <v>PK</v>
      </c>
      <c r="O3023" s="345" t="s">
        <v>1626</v>
      </c>
      <c r="P3023" s="392"/>
      <c r="Q3023" s="327"/>
      <c r="R3023" s="351"/>
      <c r="S3023" s="351"/>
      <c r="T3023" s="351"/>
      <c r="U3023" s="329" t="str">
        <f>IF($N3023=$N$4,IFERROR(INDEX(DanhMuc!$E$154:$E$165,MATCH(MID($B3023,4,2),DanhMuc!$B$154:$B$165,0)),""),"")</f>
        <v/>
      </c>
      <c r="V3023" s="361"/>
      <c r="W3023" s="345"/>
      <c r="X3023" s="329" t="str">
        <f t="shared" si="305"/>
        <v>DR</v>
      </c>
      <c r="Y3023" s="1128" t="s">
        <v>3380</v>
      </c>
      <c r="Z3023" s="1128" t="s">
        <v>3381</v>
      </c>
      <c r="AA3023" s="1128" t="s">
        <v>3384</v>
      </c>
      <c r="AB3023" s="20"/>
      <c r="AC3023" s="73"/>
    </row>
    <row r="3024" spans="1:29" ht="25">
      <c r="A3024" s="327" t="str">
        <f>IF(AND($B3024&lt;&gt;"",$C3024&lt;&gt;""),MAX($A$1556:A3022)+1,"")</f>
        <v/>
      </c>
      <c r="B3024" s="361" t="s">
        <v>2876</v>
      </c>
      <c r="C3024" s="360"/>
      <c r="D3024" s="327">
        <f>IF($B3024="","",COUNTIF($B$6:$B3024,$B3024))</f>
        <v>10</v>
      </c>
      <c r="E3024" s="374" t="s">
        <v>2978</v>
      </c>
      <c r="F3024" s="375" t="s">
        <v>407</v>
      </c>
      <c r="G3024" s="377" t="s">
        <v>156</v>
      </c>
      <c r="H3024" s="327" t="s">
        <v>536</v>
      </c>
      <c r="I3024" s="413" t="s">
        <v>1369</v>
      </c>
      <c r="J3024" s="374"/>
      <c r="K3024" s="377"/>
      <c r="L3024" s="412">
        <v>50592</v>
      </c>
      <c r="M3024" s="371"/>
      <c r="N3024" s="355" t="str">
        <f t="shared" si="306"/>
        <v>PK</v>
      </c>
      <c r="O3024" s="345" t="s">
        <v>1626</v>
      </c>
      <c r="P3024" s="392"/>
      <c r="Q3024" s="327"/>
      <c r="R3024" s="351"/>
      <c r="S3024" s="351"/>
      <c r="T3024" s="351"/>
      <c r="U3024" s="329" t="str">
        <f>IF($N3024=$N$4,IFERROR(INDEX(DanhMuc!$E$154:$E$165,MATCH(MID($B3024,4,2),DanhMuc!$B$154:$B$165,0)),""),"")</f>
        <v/>
      </c>
      <c r="V3024" s="361"/>
      <c r="W3024" s="345"/>
      <c r="X3024" s="329" t="str">
        <f t="shared" si="305"/>
        <v>DR</v>
      </c>
      <c r="Y3024" s="1128" t="s">
        <v>3380</v>
      </c>
      <c r="Z3024" s="1128" t="s">
        <v>3381</v>
      </c>
      <c r="AA3024" s="1128" t="s">
        <v>3384</v>
      </c>
      <c r="AB3024" s="20"/>
      <c r="AC3024" s="73"/>
    </row>
    <row r="3025" spans="1:29" ht="25">
      <c r="A3025" s="327" t="str">
        <f>IF(AND($B3025&lt;&gt;"",$C3025&lt;&gt;""),MAX($A$1556:A3024)+1,"")</f>
        <v/>
      </c>
      <c r="B3025" s="361" t="s">
        <v>2876</v>
      </c>
      <c r="C3025" s="360"/>
      <c r="D3025" s="327">
        <f>IF($B3025="","",COUNTIF($B$6:$B3025,$B3025))</f>
        <v>11</v>
      </c>
      <c r="E3025" s="374" t="s">
        <v>421</v>
      </c>
      <c r="F3025" s="375" t="s">
        <v>422</v>
      </c>
      <c r="G3025" s="377" t="s">
        <v>156</v>
      </c>
      <c r="H3025" s="327" t="s">
        <v>536</v>
      </c>
      <c r="I3025" s="413" t="s">
        <v>1370</v>
      </c>
      <c r="J3025" s="374"/>
      <c r="K3025" s="377"/>
      <c r="L3025" s="412">
        <v>85000</v>
      </c>
      <c r="M3025" s="371"/>
      <c r="N3025" s="355" t="str">
        <f t="shared" si="306"/>
        <v>PK</v>
      </c>
      <c r="O3025" s="345" t="s">
        <v>1626</v>
      </c>
      <c r="P3025" s="392"/>
      <c r="Q3025" s="327"/>
      <c r="R3025" s="351"/>
      <c r="S3025" s="351"/>
      <c r="T3025" s="351"/>
      <c r="U3025" s="329" t="str">
        <f>IF($N3025=$N$4,IFERROR(INDEX(DanhMuc!$E$154:$E$165,MATCH(MID($B3025,4,2),DanhMuc!$B$154:$B$165,0)),""),"")</f>
        <v/>
      </c>
      <c r="V3025" s="361"/>
      <c r="W3025" s="345"/>
      <c r="X3025" s="329" t="str">
        <f t="shared" si="305"/>
        <v>DR</v>
      </c>
      <c r="Y3025" s="1128" t="s">
        <v>3380</v>
      </c>
      <c r="Z3025" s="1128" t="s">
        <v>3381</v>
      </c>
      <c r="AA3025" s="1128" t="s">
        <v>3384</v>
      </c>
      <c r="AB3025" s="20"/>
      <c r="AC3025" s="73"/>
    </row>
    <row r="3026" spans="1:29">
      <c r="A3026" s="327" t="str">
        <f>IF(AND($B3026&lt;&gt;"",$C3026&lt;&gt;""),MAX($A$1556:A3025)+1,"")</f>
        <v/>
      </c>
      <c r="B3026" s="361" t="s">
        <v>2876</v>
      </c>
      <c r="C3026" s="360"/>
      <c r="D3026" s="327">
        <f>IF($B3026="","",COUNTIF($B$6:$B3026,$B3026))</f>
        <v>12</v>
      </c>
      <c r="E3026" s="374" t="s">
        <v>2948</v>
      </c>
      <c r="F3026" s="375" t="s">
        <v>258</v>
      </c>
      <c r="G3026" s="377" t="s">
        <v>155</v>
      </c>
      <c r="H3026" s="327" t="s">
        <v>536</v>
      </c>
      <c r="I3026" s="377">
        <v>1</v>
      </c>
      <c r="J3026" s="374"/>
      <c r="K3026" s="377"/>
      <c r="L3026" s="412">
        <v>47218</v>
      </c>
      <c r="M3026" s="371"/>
      <c r="N3026" s="355" t="str">
        <f t="shared" si="306"/>
        <v>PK</v>
      </c>
      <c r="O3026" s="345"/>
      <c r="P3026" s="392"/>
      <c r="Q3026" s="327"/>
      <c r="R3026" s="351"/>
      <c r="S3026" s="351"/>
      <c r="T3026" s="351"/>
      <c r="U3026" s="329" t="str">
        <f>IF($N3026=$N$4,IFERROR(INDEX(DanhMuc!$E$154:$E$165,MATCH(MID($B3026,4,2),DanhMuc!$B$154:$B$165,0)),""),"")</f>
        <v/>
      </c>
      <c r="V3026" s="361"/>
      <c r="W3026" s="345"/>
      <c r="X3026" s="329" t="str">
        <f t="shared" si="305"/>
        <v>DR</v>
      </c>
      <c r="Y3026" s="1128" t="s">
        <v>3380</v>
      </c>
      <c r="Z3026" s="1128" t="s">
        <v>3381</v>
      </c>
      <c r="AA3026" s="1128" t="s">
        <v>3384</v>
      </c>
      <c r="AB3026" s="20"/>
      <c r="AC3026" s="73"/>
    </row>
    <row r="3027" spans="1:29">
      <c r="A3027" s="327" t="str">
        <f>IF(AND($B3027&lt;&gt;"",$C3027&lt;&gt;""),MAX($A$1556:A3026)+1,"")</f>
        <v/>
      </c>
      <c r="B3027" s="361" t="s">
        <v>2876</v>
      </c>
      <c r="C3027" s="360"/>
      <c r="D3027" s="327">
        <f>IF($B3027="","",COUNTIF($B$6:$B3027,$B3027))</f>
        <v>13</v>
      </c>
      <c r="E3027" s="374" t="s">
        <v>2949</v>
      </c>
      <c r="F3027" s="375" t="s">
        <v>259</v>
      </c>
      <c r="G3027" s="377" t="s">
        <v>155</v>
      </c>
      <c r="H3027" s="327"/>
      <c r="I3027" s="377">
        <v>1</v>
      </c>
      <c r="J3027" s="374"/>
      <c r="K3027" s="377"/>
      <c r="L3027" s="412">
        <v>25943</v>
      </c>
      <c r="M3027" s="371"/>
      <c r="N3027" s="355" t="str">
        <f t="shared" si="306"/>
        <v>PK</v>
      </c>
      <c r="O3027" s="345"/>
      <c r="P3027" s="392"/>
      <c r="Q3027" s="327"/>
      <c r="R3027" s="351"/>
      <c r="S3027" s="351"/>
      <c r="T3027" s="351"/>
      <c r="U3027" s="329" t="str">
        <f>IF($N3027=$N$4,IFERROR(INDEX(DanhMuc!$E$154:$E$165,MATCH(MID($B3027,4,2),DanhMuc!$B$154:$B$165,0)),""),"")</f>
        <v/>
      </c>
      <c r="V3027" s="361"/>
      <c r="W3027" s="345"/>
      <c r="X3027" s="329" t="str">
        <f t="shared" si="305"/>
        <v>DR</v>
      </c>
      <c r="Y3027" s="1128" t="s">
        <v>3380</v>
      </c>
      <c r="Z3027" s="1128" t="s">
        <v>3381</v>
      </c>
      <c r="AA3027" s="1128" t="s">
        <v>3384</v>
      </c>
      <c r="AB3027" s="20"/>
      <c r="AC3027" s="73"/>
    </row>
    <row r="3028" spans="1:29">
      <c r="A3028" s="327" t="str">
        <f>IF(AND($B3028&lt;&gt;"",$C3028&lt;&gt;""),MAX($A$1556:A3027)+1,"")</f>
        <v/>
      </c>
      <c r="B3028" s="361" t="s">
        <v>2876</v>
      </c>
      <c r="C3028" s="360"/>
      <c r="D3028" s="327">
        <f>IF($B3028="","",COUNTIF($B$6:$B3028,$B3028))</f>
        <v>14</v>
      </c>
      <c r="E3028" s="374" t="s">
        <v>2950</v>
      </c>
      <c r="F3028" s="375" t="s">
        <v>365</v>
      </c>
      <c r="G3028" s="377" t="s">
        <v>155</v>
      </c>
      <c r="H3028" s="327"/>
      <c r="I3028" s="377">
        <v>2</v>
      </c>
      <c r="J3028" s="374"/>
      <c r="K3028" s="377"/>
      <c r="L3028" s="412">
        <v>4157</v>
      </c>
      <c r="M3028" s="371"/>
      <c r="N3028" s="355" t="str">
        <f t="shared" si="306"/>
        <v>PK</v>
      </c>
      <c r="O3028" s="345"/>
      <c r="P3028" s="392"/>
      <c r="Q3028" s="327"/>
      <c r="R3028" s="351"/>
      <c r="S3028" s="351"/>
      <c r="T3028" s="351"/>
      <c r="U3028" s="329" t="str">
        <f>IF($N3028=$N$4,IFERROR(INDEX(DanhMuc!$E$154:$E$165,MATCH(MID($B3028,4,2),DanhMuc!$B$154:$B$165,0)),""),"")</f>
        <v/>
      </c>
      <c r="V3028" s="361"/>
      <c r="W3028" s="345"/>
      <c r="X3028" s="329" t="str">
        <f t="shared" si="305"/>
        <v>DR</v>
      </c>
      <c r="Y3028" s="1128" t="s">
        <v>3380</v>
      </c>
      <c r="Z3028" s="1128" t="s">
        <v>3381</v>
      </c>
      <c r="AA3028" s="1128" t="s">
        <v>3384</v>
      </c>
      <c r="AB3028" s="20"/>
      <c r="AC3028" s="73"/>
    </row>
    <row r="3029" spans="1:29">
      <c r="A3029" s="327" t="str">
        <f>IF(AND($B3029&lt;&gt;"",$C3029&lt;&gt;""),MAX($A$1556:A3028)+1,"")</f>
        <v/>
      </c>
      <c r="B3029" s="361" t="s">
        <v>2876</v>
      </c>
      <c r="C3029" s="360"/>
      <c r="D3029" s="327">
        <f>IF($B3029="","",COUNTIF($B$6:$B3029,$B3029))</f>
        <v>15</v>
      </c>
      <c r="E3029" s="402" t="s">
        <v>2902</v>
      </c>
      <c r="F3029" s="403" t="s">
        <v>197</v>
      </c>
      <c r="G3029" s="327" t="s">
        <v>155</v>
      </c>
      <c r="H3029" s="327" t="s">
        <v>536</v>
      </c>
      <c r="I3029" s="327">
        <v>1</v>
      </c>
      <c r="J3029" s="345"/>
      <c r="K3029" s="327"/>
      <c r="L3029" s="389">
        <v>147220</v>
      </c>
      <c r="M3029" s="371"/>
      <c r="N3029" s="355" t="str">
        <f t="shared" si="306"/>
        <v>PK</v>
      </c>
      <c r="O3029" s="345" t="s">
        <v>1626</v>
      </c>
      <c r="P3029" s="392"/>
      <c r="Q3029" s="327"/>
      <c r="R3029" s="351"/>
      <c r="S3029" s="351"/>
      <c r="T3029" s="351"/>
      <c r="U3029" s="329" t="str">
        <f>IF($N3029=$N$4,IFERROR(INDEX(DanhMuc!$E$154:$E$165,MATCH(MID($B3029,4,2),DanhMuc!$B$154:$B$165,0)),""),"")</f>
        <v/>
      </c>
      <c r="V3029" s="361"/>
      <c r="W3029" s="345"/>
      <c r="X3029" s="329" t="str">
        <f t="shared" si="305"/>
        <v>DR</v>
      </c>
      <c r="Y3029" s="1128" t="s">
        <v>3380</v>
      </c>
      <c r="Z3029" s="1128" t="s">
        <v>3381</v>
      </c>
      <c r="AA3029" s="1128" t="s">
        <v>3384</v>
      </c>
      <c r="AB3029" s="20"/>
      <c r="AC3029" s="73"/>
    </row>
    <row r="3030" spans="1:29">
      <c r="A3030" s="327" t="str">
        <f>IF(AND($B3030&lt;&gt;"",$C3030&lt;&gt;""),MAX($A$1556:A3029)+1,"")</f>
        <v/>
      </c>
      <c r="B3030" s="361" t="s">
        <v>2876</v>
      </c>
      <c r="C3030" s="360"/>
      <c r="D3030" s="327">
        <f>IF($B3030="","",COUNTIF($B$6:$B3030,$B3030))</f>
        <v>16</v>
      </c>
      <c r="E3030" s="402" t="s">
        <v>2902</v>
      </c>
      <c r="F3030" s="403" t="s">
        <v>197</v>
      </c>
      <c r="G3030" s="327" t="s">
        <v>155</v>
      </c>
      <c r="H3030" s="327" t="s">
        <v>536</v>
      </c>
      <c r="I3030" s="327">
        <v>1</v>
      </c>
      <c r="J3030" s="345"/>
      <c r="K3030" s="327"/>
      <c r="L3030" s="389">
        <v>147220</v>
      </c>
      <c r="M3030" s="371"/>
      <c r="N3030" s="355" t="str">
        <f t="shared" si="306"/>
        <v>PK</v>
      </c>
      <c r="O3030" s="345" t="s">
        <v>2722</v>
      </c>
      <c r="P3030" s="392"/>
      <c r="Q3030" s="327"/>
      <c r="R3030" s="351"/>
      <c r="S3030" s="351"/>
      <c r="T3030" s="351"/>
      <c r="U3030" s="329" t="str">
        <f>IF($N3030=$N$4,IFERROR(INDEX(DanhMuc!$E$154:$E$165,MATCH(MID($B3030,4,2),DanhMuc!$B$154:$B$165,0)),""),"")</f>
        <v/>
      </c>
      <c r="V3030" s="361"/>
      <c r="W3030" s="345"/>
      <c r="X3030" s="329" t="str">
        <f t="shared" si="305"/>
        <v>DR</v>
      </c>
      <c r="Y3030" s="1128" t="s">
        <v>3380</v>
      </c>
      <c r="Z3030" s="1128" t="s">
        <v>3381</v>
      </c>
      <c r="AA3030" s="1128" t="s">
        <v>3384</v>
      </c>
      <c r="AB3030" s="20"/>
      <c r="AC3030" s="73"/>
    </row>
    <row r="3031" spans="1:29">
      <c r="A3031" s="327" t="str">
        <f>IF(AND($B3031&lt;&gt;"",$C3031&lt;&gt;""),MAX($A$1556:A3028)+1,"")</f>
        <v/>
      </c>
      <c r="B3031" s="361" t="s">
        <v>2876</v>
      </c>
      <c r="C3031" s="360"/>
      <c r="D3031" s="327">
        <f>IF($B3031="","",COUNTIF($B$6:$B3031,$B3031))</f>
        <v>17</v>
      </c>
      <c r="E3031" s="365" t="s">
        <v>327</v>
      </c>
      <c r="F3031" s="368" t="s">
        <v>345</v>
      </c>
      <c r="G3031" s="367" t="s">
        <v>690</v>
      </c>
      <c r="H3031" s="327" t="s">
        <v>536</v>
      </c>
      <c r="I3031" s="327">
        <v>1</v>
      </c>
      <c r="J3031" s="345" t="s">
        <v>634</v>
      </c>
      <c r="K3031" s="327"/>
      <c r="L3031" s="348">
        <f>+$S3031*$T3031*$L$37</f>
        <v>84651</v>
      </c>
      <c r="M3031" s="371"/>
      <c r="N3031" s="369" t="s">
        <v>150</v>
      </c>
      <c r="O3031" s="345" t="s">
        <v>2722</v>
      </c>
      <c r="P3031" s="392"/>
      <c r="Q3031" s="327"/>
      <c r="R3031" s="351">
        <v>2.5</v>
      </c>
      <c r="S3031" s="351">
        <v>5.8</v>
      </c>
      <c r="T3031" s="351">
        <v>0.13900000000000001</v>
      </c>
      <c r="U3031" s="329">
        <f>IF($N3031=$N$4,IFERROR(INDEX(DanhMuc!$E$154:$E$165,MATCH(MID($B3031,4,2),DanhMuc!$B$154:$B$165,0)),""),"")</f>
        <v>5800</v>
      </c>
      <c r="V3031" s="361"/>
      <c r="W3031" s="345"/>
      <c r="X3031" s="329" t="str">
        <f t="shared" si="305"/>
        <v>C459</v>
      </c>
      <c r="Y3031" s="1128" t="s">
        <v>3380</v>
      </c>
      <c r="Z3031" s="1128" t="s">
        <v>3381</v>
      </c>
      <c r="AA3031" s="1128" t="s">
        <v>3384</v>
      </c>
      <c r="AB3031" s="20"/>
      <c r="AC3031" s="73"/>
    </row>
    <row r="3032" spans="1:29">
      <c r="A3032" s="327" t="str">
        <f>IF(AND($B3032&lt;&gt;"",$C3032&lt;&gt;""),MAX($A$1556:A3029)+1,"")</f>
        <v/>
      </c>
      <c r="B3032" s="361" t="s">
        <v>2876</v>
      </c>
      <c r="C3032" s="360"/>
      <c r="D3032" s="327">
        <f>IF($B3032="","",COUNTIF($B$6:$B3032,$B3032))</f>
        <v>18</v>
      </c>
      <c r="E3032" s="402" t="s">
        <v>2893</v>
      </c>
      <c r="F3032" s="403" t="s">
        <v>79</v>
      </c>
      <c r="G3032" s="327" t="s">
        <v>155</v>
      </c>
      <c r="H3032" s="327" t="s">
        <v>536</v>
      </c>
      <c r="I3032" s="327">
        <v>1</v>
      </c>
      <c r="J3032" s="345"/>
      <c r="K3032" s="327"/>
      <c r="L3032" s="389">
        <v>167893</v>
      </c>
      <c r="M3032" s="371"/>
      <c r="N3032" s="355" t="str">
        <f>+$N$1555</f>
        <v>PK</v>
      </c>
      <c r="O3032" s="404" t="s">
        <v>2721</v>
      </c>
      <c r="P3032" s="392"/>
      <c r="Q3032" s="327"/>
      <c r="R3032" s="351"/>
      <c r="S3032" s="351"/>
      <c r="T3032" s="351"/>
      <c r="U3032" s="329" t="str">
        <f>IF($N3032=$N$4,IFERROR(INDEX(DanhMuc!$E$154:$E$165,MATCH(MID($B3032,4,2),DanhMuc!$B$154:$B$165,0)),""),"")</f>
        <v/>
      </c>
      <c r="V3032" s="361"/>
      <c r="W3032" s="345"/>
      <c r="X3032" s="329" t="str">
        <f t="shared" si="305"/>
        <v>DR</v>
      </c>
      <c r="Y3032" s="1128" t="s">
        <v>3380</v>
      </c>
      <c r="Z3032" s="1128" t="s">
        <v>3381</v>
      </c>
      <c r="AA3032" s="1128" t="s">
        <v>3384</v>
      </c>
      <c r="AB3032" s="20"/>
      <c r="AC3032" s="73"/>
    </row>
    <row r="3033" spans="1:29">
      <c r="A3033" s="327" t="str">
        <f>IF(AND($B3033&lt;&gt;"",$C3033&lt;&gt;""),MAX($A$1556:A3032)+1,"")</f>
        <v/>
      </c>
      <c r="B3033" s="361" t="s">
        <v>2876</v>
      </c>
      <c r="C3033" s="360"/>
      <c r="D3033" s="327">
        <f>IF($B3033="","",COUNTIF($B$6:$B3033,$B3033))</f>
        <v>19</v>
      </c>
      <c r="E3033" s="361" t="s">
        <v>2905</v>
      </c>
      <c r="F3033" s="362" t="s">
        <v>2906</v>
      </c>
      <c r="G3033" s="327" t="s">
        <v>155</v>
      </c>
      <c r="H3033" s="327" t="s">
        <v>536</v>
      </c>
      <c r="I3033" s="327">
        <v>2</v>
      </c>
      <c r="J3033" s="345"/>
      <c r="K3033" s="327"/>
      <c r="L3033" s="389">
        <v>13762</v>
      </c>
      <c r="M3033" s="371"/>
      <c r="N3033" s="355" t="str">
        <f>+$N$1555</f>
        <v>PK</v>
      </c>
      <c r="O3033" s="404" t="s">
        <v>2721</v>
      </c>
      <c r="P3033" s="392"/>
      <c r="Q3033" s="327"/>
      <c r="R3033" s="351"/>
      <c r="S3033" s="351"/>
      <c r="T3033" s="351"/>
      <c r="U3033" s="329" t="str">
        <f>IF($N3033=$N$4,IFERROR(INDEX(DanhMuc!$E$154:$E$165,MATCH(MID($B3033,4,2),DanhMuc!$B$154:$B$165,0)),""),"")</f>
        <v/>
      </c>
      <c r="V3033" s="361"/>
      <c r="W3033" s="345"/>
      <c r="X3033" s="329" t="str">
        <f t="shared" si="305"/>
        <v>DR</v>
      </c>
      <c r="Y3033" s="1128" t="s">
        <v>3380</v>
      </c>
      <c r="Z3033" s="1128" t="s">
        <v>3381</v>
      </c>
      <c r="AA3033" s="1128" t="s">
        <v>3384</v>
      </c>
      <c r="AB3033" s="20"/>
      <c r="AC3033" s="73"/>
    </row>
    <row r="3034" spans="1:29">
      <c r="A3034" s="327" t="str">
        <f>IF(AND($B3034&lt;&gt;"",$C3034&lt;&gt;""),MAX($A$1556:A3033)+1,"")</f>
        <v/>
      </c>
      <c r="B3034" s="361" t="s">
        <v>2876</v>
      </c>
      <c r="C3034" s="360"/>
      <c r="D3034" s="327">
        <f>IF($B3034="","",COUNTIF($B$6:$B3034,$B3034))</f>
        <v>20</v>
      </c>
      <c r="E3034" s="402" t="s">
        <v>2908</v>
      </c>
      <c r="F3034" s="403" t="s">
        <v>92</v>
      </c>
      <c r="G3034" s="327" t="s">
        <v>155</v>
      </c>
      <c r="H3034" s="327" t="s">
        <v>536</v>
      </c>
      <c r="I3034" s="327">
        <v>2</v>
      </c>
      <c r="J3034" s="345"/>
      <c r="K3034" s="327"/>
      <c r="L3034" s="389">
        <v>7013</v>
      </c>
      <c r="M3034" s="371"/>
      <c r="N3034" s="355" t="str">
        <f>+$N$1555</f>
        <v>PK</v>
      </c>
      <c r="O3034" s="404" t="s">
        <v>2721</v>
      </c>
      <c r="P3034" s="392"/>
      <c r="Q3034" s="327"/>
      <c r="R3034" s="351"/>
      <c r="S3034" s="351"/>
      <c r="T3034" s="351"/>
      <c r="U3034" s="329" t="str">
        <f>IF($N3034=$N$4,IFERROR(INDEX(DanhMuc!$E$154:$E$165,MATCH(MID($B3034,4,2),DanhMuc!$B$154:$B$165,0)),""),"")</f>
        <v/>
      </c>
      <c r="V3034" s="361"/>
      <c r="W3034" s="345"/>
      <c r="X3034" s="329" t="str">
        <f t="shared" si="305"/>
        <v>DR</v>
      </c>
      <c r="Y3034" s="1128" t="s">
        <v>3380</v>
      </c>
      <c r="Z3034" s="1128" t="s">
        <v>3381</v>
      </c>
      <c r="AA3034" s="1128" t="s">
        <v>3384</v>
      </c>
      <c r="AB3034" s="20"/>
      <c r="AC3034" s="73"/>
    </row>
    <row r="3035" spans="1:29">
      <c r="A3035" s="327" t="str">
        <f>IF(AND($B3035&lt;&gt;"",$C3035&lt;&gt;""),MAX($A$1556:A3033)+1,"")</f>
        <v/>
      </c>
      <c r="B3035" s="361" t="s">
        <v>2876</v>
      </c>
      <c r="C3035" s="360"/>
      <c r="D3035" s="327">
        <f>IF($B3035="","",COUNTIF($B$6:$B3035,$B3035))</f>
        <v>21</v>
      </c>
      <c r="E3035" s="365" t="s">
        <v>327</v>
      </c>
      <c r="F3035" s="368" t="s">
        <v>345</v>
      </c>
      <c r="G3035" s="367" t="s">
        <v>690</v>
      </c>
      <c r="H3035" s="327" t="s">
        <v>536</v>
      </c>
      <c r="I3035" s="327">
        <v>1</v>
      </c>
      <c r="J3035" s="345" t="s">
        <v>634</v>
      </c>
      <c r="K3035" s="327"/>
      <c r="L3035" s="348">
        <f>+$S3035*$T3035*$L$37</f>
        <v>84651</v>
      </c>
      <c r="M3035" s="371"/>
      <c r="N3035" s="369" t="s">
        <v>150</v>
      </c>
      <c r="O3035" s="404" t="s">
        <v>2721</v>
      </c>
      <c r="P3035" s="392"/>
      <c r="Q3035" s="327"/>
      <c r="R3035" s="351">
        <v>2.5</v>
      </c>
      <c r="S3035" s="351">
        <v>5.8</v>
      </c>
      <c r="T3035" s="351">
        <v>0.13900000000000001</v>
      </c>
      <c r="U3035" s="329">
        <f>IF($N3035=$N$4,IFERROR(INDEX(DanhMuc!$E$154:$E$165,MATCH(MID($B3035,4,2),DanhMuc!$B$154:$B$165,0)),""),"")</f>
        <v>5800</v>
      </c>
      <c r="V3035" s="361"/>
      <c r="W3035" s="345"/>
      <c r="X3035" s="329" t="str">
        <f t="shared" si="305"/>
        <v>C459</v>
      </c>
      <c r="Y3035" s="1128" t="s">
        <v>3380</v>
      </c>
      <c r="Z3035" s="1128" t="s">
        <v>3381</v>
      </c>
      <c r="AA3035" s="1128" t="s">
        <v>3384</v>
      </c>
      <c r="AB3035" s="20"/>
      <c r="AC3035" s="73"/>
    </row>
    <row r="3036" spans="1:29">
      <c r="A3036" s="327" t="str">
        <f>IF(AND($B3036&lt;&gt;"",$C3036&lt;&gt;""),MAX($A$1556:A3029)+1,"")</f>
        <v/>
      </c>
      <c r="B3036" s="361" t="s">
        <v>2876</v>
      </c>
      <c r="C3036" s="360"/>
      <c r="D3036" s="327">
        <f>IF($B3036="","",COUNTIF($B$6:$B3036,$B3036))</f>
        <v>22</v>
      </c>
      <c r="E3036" s="399" t="s">
        <v>2946</v>
      </c>
      <c r="F3036" s="400" t="s">
        <v>322</v>
      </c>
      <c r="G3036" s="327" t="s">
        <v>155</v>
      </c>
      <c r="H3036" s="327" t="s">
        <v>536</v>
      </c>
      <c r="I3036" s="327">
        <v>1</v>
      </c>
      <c r="J3036" s="345"/>
      <c r="K3036" s="327"/>
      <c r="L3036" s="389">
        <v>114113</v>
      </c>
      <c r="M3036" s="371"/>
      <c r="N3036" s="355" t="str">
        <f t="shared" ref="N3036:N3053" si="307">+$N$1555</f>
        <v>PK</v>
      </c>
      <c r="O3036" s="345" t="s">
        <v>2699</v>
      </c>
      <c r="P3036" s="392"/>
      <c r="Q3036" s="327"/>
      <c r="R3036" s="351"/>
      <c r="S3036" s="351"/>
      <c r="T3036" s="351"/>
      <c r="U3036" s="329" t="str">
        <f>IF($N3036=$N$4,IFERROR(INDEX(DanhMuc!$E$154:$E$165,MATCH(MID($B3036,4,2),DanhMuc!$B$154:$B$165,0)),""),"")</f>
        <v/>
      </c>
      <c r="V3036" s="361"/>
      <c r="W3036" s="345"/>
      <c r="X3036" s="329" t="str">
        <f t="shared" si="305"/>
        <v>DR</v>
      </c>
      <c r="Y3036" s="1128" t="s">
        <v>3380</v>
      </c>
      <c r="Z3036" s="1128" t="s">
        <v>3381</v>
      </c>
      <c r="AA3036" s="1128" t="s">
        <v>3384</v>
      </c>
      <c r="AB3036" s="20"/>
      <c r="AC3036" s="73"/>
    </row>
    <row r="3037" spans="1:29">
      <c r="A3037" s="327" t="str">
        <f>IF(AND($B3037&lt;&gt;"",$C3037&lt;&gt;""),MAX($A$1556:A3036)+1,"")</f>
        <v/>
      </c>
      <c r="B3037" s="361" t="s">
        <v>2876</v>
      </c>
      <c r="C3037" s="360"/>
      <c r="D3037" s="327">
        <f>IF($B3037="","",COUNTIF($B$6:$B3037,$B3037))</f>
        <v>23</v>
      </c>
      <c r="E3037" s="399" t="s">
        <v>2954</v>
      </c>
      <c r="F3037" s="400" t="s">
        <v>1208</v>
      </c>
      <c r="G3037" s="327" t="s">
        <v>155</v>
      </c>
      <c r="H3037" s="327" t="s">
        <v>536</v>
      </c>
      <c r="I3037" s="327">
        <v>1</v>
      </c>
      <c r="J3037" s="345"/>
      <c r="K3037" s="327"/>
      <c r="L3037" s="389">
        <v>114113</v>
      </c>
      <c r="M3037" s="371"/>
      <c r="N3037" s="355" t="str">
        <f t="shared" si="307"/>
        <v>PK</v>
      </c>
      <c r="O3037" s="345" t="s">
        <v>1060</v>
      </c>
      <c r="P3037" s="392"/>
      <c r="Q3037" s="327"/>
      <c r="R3037" s="351"/>
      <c r="S3037" s="351"/>
      <c r="T3037" s="351"/>
      <c r="U3037" s="329" t="str">
        <f>IF($N3037=$N$4,IFERROR(INDEX(DanhMuc!$E$154:$E$165,MATCH(MID($B3037,4,2),DanhMuc!$B$154:$B$165,0)),""),"")</f>
        <v/>
      </c>
      <c r="V3037" s="361"/>
      <c r="W3037" s="345"/>
      <c r="X3037" s="329" t="str">
        <f t="shared" si="305"/>
        <v>DR</v>
      </c>
      <c r="Y3037" s="1128" t="s">
        <v>3380</v>
      </c>
      <c r="Z3037" s="1128" t="s">
        <v>3381</v>
      </c>
      <c r="AA3037" s="1128" t="s">
        <v>3384</v>
      </c>
      <c r="AB3037" s="20"/>
      <c r="AC3037" s="73"/>
    </row>
    <row r="3038" spans="1:29">
      <c r="A3038" s="327" t="str">
        <f>IF(AND($B3038&lt;&gt;"",$C3038&lt;&gt;""),MAX($A$1556:A3037)+1,"")</f>
        <v/>
      </c>
      <c r="B3038" s="361" t="s">
        <v>2876</v>
      </c>
      <c r="C3038" s="360"/>
      <c r="D3038" s="327">
        <f>IF($B3038="","",COUNTIF($B$6:$B3038,$B3038))</f>
        <v>24</v>
      </c>
      <c r="E3038" s="361" t="s">
        <v>2892</v>
      </c>
      <c r="F3038" s="362" t="s">
        <v>196</v>
      </c>
      <c r="G3038" s="351" t="s">
        <v>155</v>
      </c>
      <c r="H3038" s="327"/>
      <c r="I3038" s="327">
        <v>1</v>
      </c>
      <c r="J3038" s="361"/>
      <c r="K3038" s="327"/>
      <c r="L3038" s="389">
        <v>126361</v>
      </c>
      <c r="M3038" s="371"/>
      <c r="N3038" s="355" t="str">
        <f t="shared" si="307"/>
        <v>PK</v>
      </c>
      <c r="O3038" s="404"/>
      <c r="P3038" s="392"/>
      <c r="Q3038" s="327"/>
      <c r="R3038" s="351"/>
      <c r="S3038" s="351"/>
      <c r="T3038" s="351"/>
      <c r="U3038" s="329" t="str">
        <f>IF($N3038=$N$4,IFERROR(INDEX(DanhMuc!$E$154:$E$165,MATCH(MID($B3038,4,2),DanhMuc!$B$154:$B$165,0)),""),"")</f>
        <v/>
      </c>
      <c r="V3038" s="361"/>
      <c r="W3038" s="345"/>
      <c r="X3038" s="329" t="str">
        <f t="shared" si="305"/>
        <v>DR</v>
      </c>
      <c r="Y3038" s="1128" t="s">
        <v>3380</v>
      </c>
      <c r="Z3038" s="1128" t="s">
        <v>3381</v>
      </c>
      <c r="AA3038" s="1128" t="s">
        <v>3384</v>
      </c>
      <c r="AB3038" s="20"/>
      <c r="AC3038" s="73"/>
    </row>
    <row r="3039" spans="1:29">
      <c r="A3039" s="327" t="str">
        <f>IF(AND($B3039&lt;&gt;"",$C3039&lt;&gt;""),MAX($A$1556:A3038)+1,"")</f>
        <v/>
      </c>
      <c r="B3039" s="361" t="s">
        <v>2876</v>
      </c>
      <c r="C3039" s="360"/>
      <c r="D3039" s="327">
        <f>IF($B3039="","",COUNTIF($B$6:$B3039,$B3039))</f>
        <v>25</v>
      </c>
      <c r="E3039" s="361" t="s">
        <v>2947</v>
      </c>
      <c r="F3039" s="362" t="s">
        <v>200</v>
      </c>
      <c r="G3039" s="327" t="s">
        <v>155</v>
      </c>
      <c r="H3039" s="327" t="s">
        <v>536</v>
      </c>
      <c r="I3039" s="327">
        <v>1</v>
      </c>
      <c r="J3039" s="361"/>
      <c r="K3039" s="327"/>
      <c r="L3039" s="389">
        <v>12614</v>
      </c>
      <c r="M3039" s="371"/>
      <c r="N3039" s="355" t="str">
        <f t="shared" si="307"/>
        <v>PK</v>
      </c>
      <c r="O3039" s="414"/>
      <c r="P3039" s="392"/>
      <c r="Q3039" s="327"/>
      <c r="R3039" s="351"/>
      <c r="S3039" s="351"/>
      <c r="T3039" s="351"/>
      <c r="U3039" s="329" t="str">
        <f>IF($N3039=$N$4,IFERROR(INDEX(DanhMuc!$E$154:$E$165,MATCH(MID($B3039,4,2),DanhMuc!$B$154:$B$165,0)),""),"")</f>
        <v/>
      </c>
      <c r="V3039" s="361"/>
      <c r="W3039" s="345"/>
      <c r="X3039" s="329" t="str">
        <f t="shared" si="305"/>
        <v>DR</v>
      </c>
      <c r="Y3039" s="1128" t="s">
        <v>3380</v>
      </c>
      <c r="Z3039" s="1128" t="s">
        <v>3381</v>
      </c>
      <c r="AA3039" s="1128" t="s">
        <v>3384</v>
      </c>
      <c r="AB3039" s="20"/>
      <c r="AC3039" s="73"/>
    </row>
    <row r="3040" spans="1:29">
      <c r="A3040" s="327" t="str">
        <f>IF(AND($B3040&lt;&gt;"",$C3040&lt;&gt;""),MAX($A$1556:A3038)+1,"")</f>
        <v/>
      </c>
      <c r="B3040" s="361" t="s">
        <v>2876</v>
      </c>
      <c r="C3040" s="360"/>
      <c r="D3040" s="327">
        <f>IF($B3040="","",COUNTIF($B$6:$B3040,$B3040))</f>
        <v>26</v>
      </c>
      <c r="E3040" s="361" t="s">
        <v>1444</v>
      </c>
      <c r="F3040" s="362" t="s">
        <v>2356</v>
      </c>
      <c r="G3040" s="327" t="s">
        <v>297</v>
      </c>
      <c r="H3040" s="327"/>
      <c r="I3040" s="327">
        <v>2</v>
      </c>
      <c r="J3040" s="345"/>
      <c r="K3040" s="327"/>
      <c r="L3040" s="389">
        <v>17000</v>
      </c>
      <c r="M3040" s="371"/>
      <c r="N3040" s="355" t="str">
        <f t="shared" si="307"/>
        <v>PK</v>
      </c>
      <c r="O3040" s="347"/>
      <c r="P3040" s="392"/>
      <c r="Q3040" s="327"/>
      <c r="R3040" s="351"/>
      <c r="S3040" s="351"/>
      <c r="T3040" s="351"/>
      <c r="U3040" s="329" t="str">
        <f>IF($N3040=$N$4,IFERROR(INDEX(DanhMuc!$E$154:$E$165,MATCH(MID($B3040,4,2),DanhMuc!$B$154:$B$165,0)),""),"")</f>
        <v/>
      </c>
      <c r="V3040" s="408" t="s">
        <v>343</v>
      </c>
      <c r="W3040" s="345"/>
      <c r="X3040" s="329" t="str">
        <f t="shared" si="305"/>
        <v>DR</v>
      </c>
      <c r="Y3040" s="1128" t="s">
        <v>3380</v>
      </c>
      <c r="Z3040" s="1128" t="s">
        <v>3381</v>
      </c>
      <c r="AA3040" s="1128" t="s">
        <v>3384</v>
      </c>
      <c r="AB3040" s="20"/>
      <c r="AC3040" s="73"/>
    </row>
    <row r="3041" spans="1:29" ht="39">
      <c r="A3041" s="327">
        <f>IF(AND($B3041&lt;&gt;"",$C3041&lt;&gt;""),MAX($A$1556:A3039)+1,"")</f>
        <v>154</v>
      </c>
      <c r="B3041" s="359" t="s">
        <v>2877</v>
      </c>
      <c r="C3041" s="360" t="s">
        <v>2086</v>
      </c>
      <c r="D3041" s="327">
        <f>IF($B3041="","",COUNTIF($B$6:$B3041,$B3041))</f>
        <v>1</v>
      </c>
      <c r="E3041" s="363" t="s">
        <v>2935</v>
      </c>
      <c r="F3041" s="362" t="s">
        <v>207</v>
      </c>
      <c r="G3041" s="327" t="s">
        <v>155</v>
      </c>
      <c r="H3041" s="327"/>
      <c r="I3041" s="327">
        <v>2</v>
      </c>
      <c r="J3041" s="361"/>
      <c r="K3041" s="327"/>
      <c r="L3041" s="389">
        <v>214352</v>
      </c>
      <c r="M3041" s="371"/>
      <c r="N3041" s="355" t="str">
        <f t="shared" si="307"/>
        <v>PK</v>
      </c>
      <c r="O3041" s="345"/>
      <c r="P3041" s="392"/>
      <c r="Q3041" s="327"/>
      <c r="R3041" s="351"/>
      <c r="S3041" s="351"/>
      <c r="T3041" s="351"/>
      <c r="U3041" s="329" t="str">
        <f>IF($N3041=$N$4,IFERROR(INDEX(DanhMuc!$E$154:$E$165,MATCH(MID($B3041,4,2),DanhMuc!$B$154:$B$165,0)),""),"")</f>
        <v/>
      </c>
      <c r="V3041" s="361"/>
      <c r="W3041" s="345"/>
      <c r="X3041" s="329" t="str">
        <f t="shared" si="305"/>
        <v>DR</v>
      </c>
      <c r="Y3041" s="1128" t="s">
        <v>3380</v>
      </c>
      <c r="Z3041" s="1128" t="s">
        <v>3381</v>
      </c>
      <c r="AA3041" s="1128" t="s">
        <v>3384</v>
      </c>
      <c r="AB3041" s="20"/>
      <c r="AC3041" s="73"/>
    </row>
    <row r="3042" spans="1:29" ht="25">
      <c r="A3042" s="327" t="str">
        <f>IF(AND($B3042&lt;&gt;"",$C3042&lt;&gt;""),MAX($A$1556:A3041)+1,"")</f>
        <v/>
      </c>
      <c r="B3042" s="361" t="s">
        <v>2877</v>
      </c>
      <c r="C3042" s="360"/>
      <c r="D3042" s="327">
        <f>IF($B3042="","",COUNTIF($B$6:$B3042,$B3042))</f>
        <v>2</v>
      </c>
      <c r="E3042" s="361" t="s">
        <v>2936</v>
      </c>
      <c r="F3042" s="362" t="s">
        <v>208</v>
      </c>
      <c r="G3042" s="327" t="s">
        <v>155</v>
      </c>
      <c r="H3042" s="327"/>
      <c r="I3042" s="327">
        <v>2</v>
      </c>
      <c r="J3042" s="361"/>
      <c r="K3042" s="327"/>
      <c r="L3042" s="389">
        <v>175262</v>
      </c>
      <c r="M3042" s="371"/>
      <c r="N3042" s="355" t="str">
        <f t="shared" si="307"/>
        <v>PK</v>
      </c>
      <c r="O3042" s="345"/>
      <c r="P3042" s="392"/>
      <c r="Q3042" s="327"/>
      <c r="R3042" s="351"/>
      <c r="S3042" s="351"/>
      <c r="T3042" s="351"/>
      <c r="U3042" s="329" t="str">
        <f>IF($N3042=$N$4,IFERROR(INDEX(DanhMuc!$E$154:$E$165,MATCH(MID($B3042,4,2),DanhMuc!$B$154:$B$165,0)),""),"")</f>
        <v/>
      </c>
      <c r="V3042" s="361"/>
      <c r="W3042" s="345"/>
      <c r="X3042" s="329" t="str">
        <f t="shared" si="305"/>
        <v>DR</v>
      </c>
      <c r="Y3042" s="1128" t="s">
        <v>3380</v>
      </c>
      <c r="Z3042" s="1128" t="s">
        <v>3381</v>
      </c>
      <c r="AA3042" s="1128" t="s">
        <v>3384</v>
      </c>
      <c r="AB3042" s="20"/>
      <c r="AC3042" s="73"/>
    </row>
    <row r="3043" spans="1:29" s="73" customFormat="1" ht="25">
      <c r="A3043" s="327" t="str">
        <f>IF(AND($B3043&lt;&gt;"",$C3043&lt;&gt;""),MAX($A$1556:A3042)+1,"")</f>
        <v/>
      </c>
      <c r="B3043" s="361" t="s">
        <v>2877</v>
      </c>
      <c r="C3043" s="346"/>
      <c r="D3043" s="327">
        <f>IF($B3043="","",COUNTIF($B$6:$B3043,$B3043))</f>
        <v>3</v>
      </c>
      <c r="E3043" s="361" t="s">
        <v>2937</v>
      </c>
      <c r="F3043" s="362" t="s">
        <v>2938</v>
      </c>
      <c r="G3043" s="342" t="s">
        <v>155</v>
      </c>
      <c r="H3043" s="327"/>
      <c r="I3043" s="327">
        <v>9</v>
      </c>
      <c r="J3043" s="359"/>
      <c r="K3043" s="127"/>
      <c r="L3043" s="389">
        <v>60198</v>
      </c>
      <c r="M3043" s="371"/>
      <c r="N3043" s="355" t="str">
        <f t="shared" si="307"/>
        <v>PK</v>
      </c>
      <c r="O3043" s="345"/>
      <c r="P3043" s="392"/>
      <c r="Q3043" s="327"/>
      <c r="R3043" s="351"/>
      <c r="S3043" s="351"/>
      <c r="T3043" s="351"/>
      <c r="U3043" s="329" t="str">
        <f>IF($N3043=$N$4,IFERROR(INDEX(DanhMuc!$E$154:$E$165,MATCH(MID($B3043,4,2),DanhMuc!$B$154:$B$165,0)),""),"")</f>
        <v/>
      </c>
      <c r="V3043" s="328"/>
      <c r="W3043" s="345"/>
      <c r="X3043" s="329" t="str">
        <f t="shared" si="305"/>
        <v>DR</v>
      </c>
      <c r="Y3043" s="1128" t="s">
        <v>3380</v>
      </c>
      <c r="Z3043" s="1128" t="s">
        <v>3381</v>
      </c>
      <c r="AA3043" s="1128" t="s">
        <v>3384</v>
      </c>
      <c r="AB3043" s="20"/>
    </row>
    <row r="3044" spans="1:29" s="73" customFormat="1" ht="25">
      <c r="A3044" s="327" t="str">
        <f>IF(AND($B3044&lt;&gt;"",$C3044&lt;&gt;""),MAX($A$1556:A3043)+1,"")</f>
        <v/>
      </c>
      <c r="B3044" s="361" t="s">
        <v>2877</v>
      </c>
      <c r="C3044" s="346"/>
      <c r="D3044" s="327">
        <f>IF($B3044="","",COUNTIF($B$6:$B3044,$B3044))</f>
        <v>4</v>
      </c>
      <c r="E3044" s="361" t="s">
        <v>2937</v>
      </c>
      <c r="F3044" s="362" t="s">
        <v>2938</v>
      </c>
      <c r="G3044" s="342" t="s">
        <v>155</v>
      </c>
      <c r="H3044" s="327"/>
      <c r="I3044" s="327">
        <v>2</v>
      </c>
      <c r="J3044" s="359"/>
      <c r="K3044" s="127"/>
      <c r="L3044" s="389">
        <v>60198</v>
      </c>
      <c r="M3044" s="371"/>
      <c r="N3044" s="355" t="str">
        <f t="shared" si="307"/>
        <v>PK</v>
      </c>
      <c r="O3044" s="345" t="s">
        <v>639</v>
      </c>
      <c r="P3044" s="392"/>
      <c r="Q3044" s="327"/>
      <c r="R3044" s="351"/>
      <c r="S3044" s="351"/>
      <c r="T3044" s="351"/>
      <c r="U3044" s="329" t="str">
        <f>IF($N3044=$N$4,IFERROR(INDEX(DanhMuc!$E$154:$E$165,MATCH(MID($B3044,4,2),DanhMuc!$B$154:$B$165,0)),""),"")</f>
        <v/>
      </c>
      <c r="V3044" s="328"/>
      <c r="W3044" s="345"/>
      <c r="X3044" s="329" t="str">
        <f t="shared" si="305"/>
        <v>DR</v>
      </c>
      <c r="Y3044" s="1128" t="s">
        <v>3380</v>
      </c>
      <c r="Z3044" s="1128" t="s">
        <v>3381</v>
      </c>
      <c r="AA3044" s="1128" t="s">
        <v>3384</v>
      </c>
      <c r="AB3044" s="20"/>
    </row>
    <row r="3045" spans="1:29" s="73" customFormat="1" ht="25">
      <c r="A3045" s="327" t="str">
        <f>IF(AND($B3045&lt;&gt;"",$C3045&lt;&gt;""),MAX($A$1556:A3043)+1,"")</f>
        <v/>
      </c>
      <c r="B3045" s="361" t="s">
        <v>2877</v>
      </c>
      <c r="C3045" s="346"/>
      <c r="D3045" s="327">
        <f>IF($B3045="","",COUNTIF($B$6:$B3045,$B3045))</f>
        <v>5</v>
      </c>
      <c r="E3045" s="361" t="s">
        <v>2939</v>
      </c>
      <c r="F3045" s="362" t="s">
        <v>2940</v>
      </c>
      <c r="G3045" s="342" t="s">
        <v>155</v>
      </c>
      <c r="H3045" s="327"/>
      <c r="I3045" s="327">
        <v>2</v>
      </c>
      <c r="J3045" s="359"/>
      <c r="K3045" s="127"/>
      <c r="L3045" s="389">
        <v>90033</v>
      </c>
      <c r="M3045" s="371"/>
      <c r="N3045" s="355" t="str">
        <f t="shared" si="307"/>
        <v>PK</v>
      </c>
      <c r="O3045" s="345"/>
      <c r="P3045" s="392"/>
      <c r="Q3045" s="327"/>
      <c r="R3045" s="351"/>
      <c r="S3045" s="351"/>
      <c r="T3045" s="351"/>
      <c r="U3045" s="329" t="str">
        <f>IF($N3045=$N$4,IFERROR(INDEX(DanhMuc!$E$154:$E$165,MATCH(MID($B3045,4,2),DanhMuc!$B$154:$B$165,0)),""),"")</f>
        <v/>
      </c>
      <c r="V3045" s="328"/>
      <c r="W3045" s="345"/>
      <c r="X3045" s="329" t="str">
        <f t="shared" si="305"/>
        <v>DR</v>
      </c>
      <c r="Y3045" s="1128" t="s">
        <v>3380</v>
      </c>
      <c r="Z3045" s="1128" t="s">
        <v>3381</v>
      </c>
      <c r="AA3045" s="1128" t="s">
        <v>3384</v>
      </c>
      <c r="AB3045" s="20"/>
    </row>
    <row r="3046" spans="1:29">
      <c r="A3046" s="327" t="str">
        <f>IF(AND($B3046&lt;&gt;"",$C3046&lt;&gt;""),MAX($A$1556:A3045)+1,"")</f>
        <v/>
      </c>
      <c r="B3046" s="361" t="s">
        <v>2877</v>
      </c>
      <c r="C3046" s="360"/>
      <c r="D3046" s="327">
        <f>IF($B3046="","",COUNTIF($B$6:$B3046,$B3046))</f>
        <v>6</v>
      </c>
      <c r="E3046" s="374" t="s">
        <v>2941</v>
      </c>
      <c r="F3046" s="375" t="s">
        <v>190</v>
      </c>
      <c r="G3046" s="377" t="s">
        <v>155</v>
      </c>
      <c r="H3046" s="327" t="s">
        <v>536</v>
      </c>
      <c r="I3046" s="377">
        <v>2</v>
      </c>
      <c r="J3046" s="374"/>
      <c r="K3046" s="377"/>
      <c r="L3046" s="412">
        <v>46198</v>
      </c>
      <c r="M3046" s="371"/>
      <c r="N3046" s="355" t="str">
        <f t="shared" si="307"/>
        <v>PK</v>
      </c>
      <c r="O3046" s="345"/>
      <c r="P3046" s="392"/>
      <c r="Q3046" s="327"/>
      <c r="R3046" s="351"/>
      <c r="S3046" s="351"/>
      <c r="T3046" s="351"/>
      <c r="U3046" s="329" t="str">
        <f>IF($N3046=$N$4,IFERROR(INDEX(DanhMuc!$E$154:$E$165,MATCH(MID($B3046,4,2),DanhMuc!$B$154:$B$165,0)),""),"")</f>
        <v/>
      </c>
      <c r="V3046" s="361"/>
      <c r="W3046" s="345"/>
      <c r="X3046" s="329" t="str">
        <f t="shared" si="305"/>
        <v>DR</v>
      </c>
      <c r="Y3046" s="1128" t="s">
        <v>3380</v>
      </c>
      <c r="Z3046" s="1128" t="s">
        <v>3381</v>
      </c>
      <c r="AA3046" s="1128" t="s">
        <v>3384</v>
      </c>
      <c r="AB3046" s="20"/>
      <c r="AC3046" s="73"/>
    </row>
    <row r="3047" spans="1:29">
      <c r="A3047" s="327" t="str">
        <f>IF(AND($B3047&lt;&gt;"",$C3047&lt;&gt;""),MAX($A$1556:A3046)+1,"")</f>
        <v/>
      </c>
      <c r="B3047" s="361" t="s">
        <v>2877</v>
      </c>
      <c r="C3047" s="360"/>
      <c r="D3047" s="327">
        <f>IF($B3047="","",COUNTIF($B$6:$B3047,$B3047))</f>
        <v>7</v>
      </c>
      <c r="E3047" s="374" t="s">
        <v>2943</v>
      </c>
      <c r="F3047" s="375" t="s">
        <v>195</v>
      </c>
      <c r="G3047" s="377" t="s">
        <v>155</v>
      </c>
      <c r="H3047" s="327"/>
      <c r="I3047" s="377">
        <v>2</v>
      </c>
      <c r="J3047" s="374"/>
      <c r="K3047" s="377"/>
      <c r="L3047" s="412">
        <v>52794</v>
      </c>
      <c r="M3047" s="371"/>
      <c r="N3047" s="355" t="str">
        <f t="shared" si="307"/>
        <v>PK</v>
      </c>
      <c r="O3047" s="345"/>
      <c r="P3047" s="392"/>
      <c r="Q3047" s="327"/>
      <c r="R3047" s="351"/>
      <c r="S3047" s="351"/>
      <c r="T3047" s="351"/>
      <c r="U3047" s="329" t="str">
        <f>IF($N3047=$N$4,IFERROR(INDEX(DanhMuc!$E$154:$E$165,MATCH(MID($B3047,4,2),DanhMuc!$B$154:$B$165,0)),""),"")</f>
        <v/>
      </c>
      <c r="V3047" s="361"/>
      <c r="W3047" s="345"/>
      <c r="X3047" s="329" t="str">
        <f t="shared" si="305"/>
        <v>DR</v>
      </c>
      <c r="Y3047" s="1128" t="s">
        <v>3380</v>
      </c>
      <c r="Z3047" s="1128" t="s">
        <v>3381</v>
      </c>
      <c r="AA3047" s="1128" t="s">
        <v>3384</v>
      </c>
      <c r="AB3047" s="20"/>
      <c r="AC3047" s="73"/>
    </row>
    <row r="3048" spans="1:29" ht="25">
      <c r="A3048" s="327" t="str">
        <f>IF(AND($B3048&lt;&gt;"",$C3048&lt;&gt;""),MAX($A$1556:A3047)+1,"")</f>
        <v/>
      </c>
      <c r="B3048" s="361" t="s">
        <v>2877</v>
      </c>
      <c r="C3048" s="360"/>
      <c r="D3048" s="327">
        <f>IF($B3048="","",COUNTIF($B$6:$B3048,$B3048))</f>
        <v>8</v>
      </c>
      <c r="E3048" s="374" t="s">
        <v>2977</v>
      </c>
      <c r="F3048" s="375" t="s">
        <v>420</v>
      </c>
      <c r="G3048" s="377" t="s">
        <v>156</v>
      </c>
      <c r="H3048" s="327" t="s">
        <v>536</v>
      </c>
      <c r="I3048" s="413" t="s">
        <v>1929</v>
      </c>
      <c r="J3048" s="374"/>
      <c r="K3048" s="377"/>
      <c r="L3048" s="412">
        <v>39602</v>
      </c>
      <c r="M3048" s="371"/>
      <c r="N3048" s="355" t="str">
        <f t="shared" si="307"/>
        <v>PK</v>
      </c>
      <c r="O3048" s="345" t="s">
        <v>1626</v>
      </c>
      <c r="P3048" s="392"/>
      <c r="Q3048" s="327"/>
      <c r="R3048" s="351"/>
      <c r="S3048" s="351"/>
      <c r="T3048" s="351"/>
      <c r="U3048" s="329" t="str">
        <f>IF($N3048=$N$4,IFERROR(INDEX(DanhMuc!$E$154:$E$165,MATCH(MID($B3048,4,2),DanhMuc!$B$154:$B$165,0)),""),"")</f>
        <v/>
      </c>
      <c r="V3048" s="361"/>
      <c r="W3048" s="345"/>
      <c r="X3048" s="329" t="str">
        <f t="shared" si="305"/>
        <v>DR</v>
      </c>
      <c r="Y3048" s="1128" t="s">
        <v>3380</v>
      </c>
      <c r="Z3048" s="1128" t="s">
        <v>3381</v>
      </c>
      <c r="AA3048" s="1128" t="s">
        <v>3384</v>
      </c>
      <c r="AB3048" s="20"/>
      <c r="AC3048" s="73"/>
    </row>
    <row r="3049" spans="1:29" ht="25">
      <c r="A3049" s="327" t="str">
        <f>IF(AND($B3049&lt;&gt;"",$C3049&lt;&gt;""),MAX($A$1556:A3048)+1,"")</f>
        <v/>
      </c>
      <c r="B3049" s="361" t="s">
        <v>2877</v>
      </c>
      <c r="C3049" s="360"/>
      <c r="D3049" s="327">
        <f>IF($B3049="","",COUNTIF($B$6:$B3049,$B3049))</f>
        <v>9</v>
      </c>
      <c r="E3049" s="374" t="s">
        <v>2979</v>
      </c>
      <c r="F3049" s="375" t="s">
        <v>2944</v>
      </c>
      <c r="G3049" s="377" t="s">
        <v>156</v>
      </c>
      <c r="H3049" s="327" t="s">
        <v>536</v>
      </c>
      <c r="I3049" s="413" t="s">
        <v>2951</v>
      </c>
      <c r="J3049" s="374"/>
      <c r="K3049" s="377"/>
      <c r="L3049" s="412">
        <v>43257</v>
      </c>
      <c r="M3049" s="371"/>
      <c r="N3049" s="355" t="str">
        <f t="shared" si="307"/>
        <v>PK</v>
      </c>
      <c r="O3049" s="345" t="s">
        <v>1626</v>
      </c>
      <c r="P3049" s="392"/>
      <c r="Q3049" s="327"/>
      <c r="R3049" s="351"/>
      <c r="S3049" s="351"/>
      <c r="T3049" s="351"/>
      <c r="U3049" s="329" t="str">
        <f>IF($N3049=$N$4,IFERROR(INDEX(DanhMuc!$E$154:$E$165,MATCH(MID($B3049,4,2),DanhMuc!$B$154:$B$165,0)),""),"")</f>
        <v/>
      </c>
      <c r="V3049" s="361"/>
      <c r="W3049" s="345"/>
      <c r="X3049" s="329" t="str">
        <f t="shared" si="305"/>
        <v>DR</v>
      </c>
      <c r="Y3049" s="1128" t="s">
        <v>3380</v>
      </c>
      <c r="Z3049" s="1128" t="s">
        <v>3381</v>
      </c>
      <c r="AA3049" s="1128" t="s">
        <v>3384</v>
      </c>
      <c r="AB3049" s="20"/>
      <c r="AC3049" s="73"/>
    </row>
    <row r="3050" spans="1:29" ht="25">
      <c r="A3050" s="327" t="str">
        <f>IF(AND($B3050&lt;&gt;"",$C3050&lt;&gt;""),MAX($A$1556:A3048)+1,"")</f>
        <v/>
      </c>
      <c r="B3050" s="361" t="s">
        <v>2877</v>
      </c>
      <c r="C3050" s="360"/>
      <c r="D3050" s="327">
        <f>IF($B3050="","",COUNTIF($B$6:$B3050,$B3050))</f>
        <v>10</v>
      </c>
      <c r="E3050" s="374" t="s">
        <v>2978</v>
      </c>
      <c r="F3050" s="375" t="s">
        <v>407</v>
      </c>
      <c r="G3050" s="377" t="s">
        <v>156</v>
      </c>
      <c r="H3050" s="327" t="s">
        <v>536</v>
      </c>
      <c r="I3050" s="413" t="s">
        <v>1366</v>
      </c>
      <c r="J3050" s="374"/>
      <c r="K3050" s="377"/>
      <c r="L3050" s="412">
        <v>50592</v>
      </c>
      <c r="M3050" s="371"/>
      <c r="N3050" s="355" t="str">
        <f t="shared" si="307"/>
        <v>PK</v>
      </c>
      <c r="O3050" s="345" t="s">
        <v>1626</v>
      </c>
      <c r="P3050" s="392"/>
      <c r="Q3050" s="327"/>
      <c r="R3050" s="351"/>
      <c r="S3050" s="351"/>
      <c r="T3050" s="351"/>
      <c r="U3050" s="329" t="str">
        <f>IF($N3050=$N$4,IFERROR(INDEX(DanhMuc!$E$154:$E$165,MATCH(MID($B3050,4,2),DanhMuc!$B$154:$B$165,0)),""),"")</f>
        <v/>
      </c>
      <c r="V3050" s="361"/>
      <c r="W3050" s="345"/>
      <c r="X3050" s="329" t="str">
        <f t="shared" si="305"/>
        <v>DR</v>
      </c>
      <c r="Y3050" s="1128" t="s">
        <v>3380</v>
      </c>
      <c r="Z3050" s="1128" t="s">
        <v>3381</v>
      </c>
      <c r="AA3050" s="1128" t="s">
        <v>3384</v>
      </c>
      <c r="AB3050" s="20"/>
      <c r="AC3050" s="73"/>
    </row>
    <row r="3051" spans="1:29" ht="25">
      <c r="A3051" s="327" t="str">
        <f>IF(AND($B3051&lt;&gt;"",$C3051&lt;&gt;""),MAX($A$1556:A3050)+1,"")</f>
        <v/>
      </c>
      <c r="B3051" s="361" t="s">
        <v>2877</v>
      </c>
      <c r="C3051" s="360"/>
      <c r="D3051" s="327">
        <f>IF($B3051="","",COUNTIF($B$6:$B3051,$B3051))</f>
        <v>11</v>
      </c>
      <c r="E3051" s="374" t="s">
        <v>421</v>
      </c>
      <c r="F3051" s="375" t="s">
        <v>422</v>
      </c>
      <c r="G3051" s="377" t="s">
        <v>156</v>
      </c>
      <c r="H3051" s="327" t="s">
        <v>536</v>
      </c>
      <c r="I3051" s="413" t="s">
        <v>1367</v>
      </c>
      <c r="J3051" s="374"/>
      <c r="K3051" s="377"/>
      <c r="L3051" s="412">
        <v>85000</v>
      </c>
      <c r="M3051" s="371"/>
      <c r="N3051" s="355" t="str">
        <f t="shared" si="307"/>
        <v>PK</v>
      </c>
      <c r="O3051" s="345" t="s">
        <v>1626</v>
      </c>
      <c r="P3051" s="392"/>
      <c r="Q3051" s="327"/>
      <c r="R3051" s="351"/>
      <c r="S3051" s="351"/>
      <c r="T3051" s="351"/>
      <c r="U3051" s="329" t="str">
        <f>IF($N3051=$N$4,IFERROR(INDEX(DanhMuc!$E$154:$E$165,MATCH(MID($B3051,4,2),DanhMuc!$B$154:$B$165,0)),""),"")</f>
        <v/>
      </c>
      <c r="V3051" s="361"/>
      <c r="W3051" s="345"/>
      <c r="X3051" s="329" t="str">
        <f t="shared" si="305"/>
        <v>DR</v>
      </c>
      <c r="Y3051" s="1128" t="s">
        <v>3380</v>
      </c>
      <c r="Z3051" s="1128" t="s">
        <v>3381</v>
      </c>
      <c r="AA3051" s="1128" t="s">
        <v>3384</v>
      </c>
      <c r="AB3051" s="20"/>
      <c r="AC3051" s="73"/>
    </row>
    <row r="3052" spans="1:29">
      <c r="A3052" s="327" t="str">
        <f>IF(AND($B3052&lt;&gt;"",$C3052&lt;&gt;""),MAX($A$1556:A3051)+1,"")</f>
        <v/>
      </c>
      <c r="B3052" s="361" t="s">
        <v>2877</v>
      </c>
      <c r="C3052" s="360"/>
      <c r="D3052" s="327">
        <f>IF($B3052="","",COUNTIF($B$6:$B3052,$B3052))</f>
        <v>12</v>
      </c>
      <c r="E3052" s="402" t="s">
        <v>2902</v>
      </c>
      <c r="F3052" s="403" t="s">
        <v>197</v>
      </c>
      <c r="G3052" s="327" t="s">
        <v>155</v>
      </c>
      <c r="H3052" s="327" t="s">
        <v>536</v>
      </c>
      <c r="I3052" s="327">
        <v>1</v>
      </c>
      <c r="J3052" s="345"/>
      <c r="K3052" s="327"/>
      <c r="L3052" s="389">
        <v>147220</v>
      </c>
      <c r="M3052" s="371"/>
      <c r="N3052" s="355" t="str">
        <f t="shared" si="307"/>
        <v>PK</v>
      </c>
      <c r="O3052" s="345" t="s">
        <v>1626</v>
      </c>
      <c r="P3052" s="392"/>
      <c r="Q3052" s="327"/>
      <c r="R3052" s="351"/>
      <c r="S3052" s="351"/>
      <c r="T3052" s="351"/>
      <c r="U3052" s="329" t="str">
        <f>IF($N3052=$N$4,IFERROR(INDEX(DanhMuc!$E$154:$E$165,MATCH(MID($B3052,4,2),DanhMuc!$B$154:$B$165,0)),""),"")</f>
        <v/>
      </c>
      <c r="V3052" s="361"/>
      <c r="W3052" s="345"/>
      <c r="X3052" s="329" t="str">
        <f t="shared" si="305"/>
        <v>DR</v>
      </c>
      <c r="Y3052" s="1128" t="s">
        <v>3380</v>
      </c>
      <c r="Z3052" s="1128" t="s">
        <v>3381</v>
      </c>
      <c r="AA3052" s="1128" t="s">
        <v>3384</v>
      </c>
      <c r="AB3052" s="20"/>
      <c r="AC3052" s="73"/>
    </row>
    <row r="3053" spans="1:29">
      <c r="A3053" s="327" t="str">
        <f>IF(AND($B3053&lt;&gt;"",$C3053&lt;&gt;""),MAX($A$1556:A3052)+1,"")</f>
        <v/>
      </c>
      <c r="B3053" s="361" t="s">
        <v>2877</v>
      </c>
      <c r="C3053" s="360"/>
      <c r="D3053" s="327">
        <f>IF($B3053="","",COUNTIF($B$6:$B3053,$B3053))</f>
        <v>13</v>
      </c>
      <c r="E3053" s="402" t="s">
        <v>2902</v>
      </c>
      <c r="F3053" s="403" t="s">
        <v>197</v>
      </c>
      <c r="G3053" s="327" t="s">
        <v>155</v>
      </c>
      <c r="H3053" s="327" t="s">
        <v>536</v>
      </c>
      <c r="I3053" s="327">
        <v>1</v>
      </c>
      <c r="J3053" s="345"/>
      <c r="K3053" s="327"/>
      <c r="L3053" s="389">
        <v>147220</v>
      </c>
      <c r="M3053" s="371"/>
      <c r="N3053" s="355" t="str">
        <f t="shared" si="307"/>
        <v>PK</v>
      </c>
      <c r="O3053" s="345" t="s">
        <v>2722</v>
      </c>
      <c r="P3053" s="392"/>
      <c r="Q3053" s="327"/>
      <c r="R3053" s="351"/>
      <c r="S3053" s="351"/>
      <c r="T3053" s="351"/>
      <c r="U3053" s="329" t="str">
        <f>IF($N3053=$N$4,IFERROR(INDEX(DanhMuc!$E$154:$E$165,MATCH(MID($B3053,4,2),DanhMuc!$B$154:$B$165,0)),""),"")</f>
        <v/>
      </c>
      <c r="V3053" s="361"/>
      <c r="W3053" s="345"/>
      <c r="X3053" s="329" t="str">
        <f t="shared" si="305"/>
        <v>DR</v>
      </c>
      <c r="Y3053" s="1128" t="s">
        <v>3380</v>
      </c>
      <c r="Z3053" s="1128" t="s">
        <v>3381</v>
      </c>
      <c r="AA3053" s="1128" t="s">
        <v>3384</v>
      </c>
      <c r="AB3053" s="20"/>
      <c r="AC3053" s="73"/>
    </row>
    <row r="3054" spans="1:29">
      <c r="A3054" s="327" t="str">
        <f>IF(AND($B3054&lt;&gt;"",$C3054&lt;&gt;""),MAX($A$1556:A3051)+1,"")</f>
        <v/>
      </c>
      <c r="B3054" s="361" t="s">
        <v>2877</v>
      </c>
      <c r="C3054" s="360"/>
      <c r="D3054" s="327">
        <f>IF($B3054="","",COUNTIF($B$6:$B3054,$B3054))</f>
        <v>14</v>
      </c>
      <c r="E3054" s="365" t="s">
        <v>327</v>
      </c>
      <c r="F3054" s="368" t="s">
        <v>345</v>
      </c>
      <c r="G3054" s="367" t="s">
        <v>690</v>
      </c>
      <c r="H3054" s="327" t="s">
        <v>536</v>
      </c>
      <c r="I3054" s="327">
        <v>1</v>
      </c>
      <c r="J3054" s="345" t="s">
        <v>634</v>
      </c>
      <c r="K3054" s="327"/>
      <c r="L3054" s="348">
        <f>+$S3054*$T3054*$L$37</f>
        <v>84651</v>
      </c>
      <c r="M3054" s="371"/>
      <c r="N3054" s="369" t="s">
        <v>150</v>
      </c>
      <c r="O3054" s="345" t="s">
        <v>2722</v>
      </c>
      <c r="P3054" s="392"/>
      <c r="Q3054" s="327"/>
      <c r="R3054" s="351">
        <v>2.5</v>
      </c>
      <c r="S3054" s="351">
        <v>5.8</v>
      </c>
      <c r="T3054" s="351">
        <v>0.13900000000000001</v>
      </c>
      <c r="U3054" s="329">
        <f>IF($N3054=$N$4,IFERROR(INDEX(DanhMuc!$E$154:$E$165,MATCH(MID($B3054,4,2),DanhMuc!$B$154:$B$165,0)),""),"")</f>
        <v>5800</v>
      </c>
      <c r="V3054" s="361"/>
      <c r="W3054" s="345"/>
      <c r="X3054" s="329" t="str">
        <f t="shared" si="305"/>
        <v>C459</v>
      </c>
      <c r="Y3054" s="1128" t="s">
        <v>3380</v>
      </c>
      <c r="Z3054" s="1128" t="s">
        <v>3381</v>
      </c>
      <c r="AA3054" s="1128" t="s">
        <v>3384</v>
      </c>
      <c r="AB3054" s="20"/>
      <c r="AC3054" s="73"/>
    </row>
    <row r="3055" spans="1:29">
      <c r="A3055" s="327" t="str">
        <f>IF(AND($B3055&lt;&gt;"",$C3055&lt;&gt;""),MAX($A$1556:A3052)+1,"")</f>
        <v/>
      </c>
      <c r="B3055" s="361" t="s">
        <v>2877</v>
      </c>
      <c r="C3055" s="360"/>
      <c r="D3055" s="327">
        <f>IF($B3055="","",COUNTIF($B$6:$B3055,$B3055))</f>
        <v>15</v>
      </c>
      <c r="E3055" s="402" t="s">
        <v>2893</v>
      </c>
      <c r="F3055" s="403" t="s">
        <v>79</v>
      </c>
      <c r="G3055" s="327" t="s">
        <v>155</v>
      </c>
      <c r="H3055" s="327" t="s">
        <v>536</v>
      </c>
      <c r="I3055" s="327">
        <v>1</v>
      </c>
      <c r="J3055" s="345"/>
      <c r="K3055" s="327"/>
      <c r="L3055" s="389">
        <v>167893</v>
      </c>
      <c r="M3055" s="371"/>
      <c r="N3055" s="355" t="str">
        <f>+$N$1555</f>
        <v>PK</v>
      </c>
      <c r="O3055" s="404" t="s">
        <v>2721</v>
      </c>
      <c r="P3055" s="392"/>
      <c r="Q3055" s="327"/>
      <c r="R3055" s="351"/>
      <c r="S3055" s="351"/>
      <c r="T3055" s="351"/>
      <c r="U3055" s="329" t="str">
        <f>IF($N3055=$N$4,IFERROR(INDEX(DanhMuc!$E$154:$E$165,MATCH(MID($B3055,4,2),DanhMuc!$B$154:$B$165,0)),""),"")</f>
        <v/>
      </c>
      <c r="V3055" s="361"/>
      <c r="W3055" s="345"/>
      <c r="X3055" s="329" t="str">
        <f t="shared" si="305"/>
        <v>DR</v>
      </c>
      <c r="Y3055" s="1128" t="s">
        <v>3380</v>
      </c>
      <c r="Z3055" s="1128" t="s">
        <v>3381</v>
      </c>
      <c r="AA3055" s="1128" t="s">
        <v>3384</v>
      </c>
      <c r="AB3055" s="20"/>
      <c r="AC3055" s="73"/>
    </row>
    <row r="3056" spans="1:29">
      <c r="A3056" s="327" t="str">
        <f>IF(AND($B3056&lt;&gt;"",$C3056&lt;&gt;""),MAX($A$1556:A3055)+1,"")</f>
        <v/>
      </c>
      <c r="B3056" s="361" t="s">
        <v>2877</v>
      </c>
      <c r="C3056" s="360"/>
      <c r="D3056" s="327">
        <f>IF($B3056="","",COUNTIF($B$6:$B3056,$B3056))</f>
        <v>16</v>
      </c>
      <c r="E3056" s="361" t="s">
        <v>2905</v>
      </c>
      <c r="F3056" s="362" t="s">
        <v>2906</v>
      </c>
      <c r="G3056" s="327" t="s">
        <v>155</v>
      </c>
      <c r="H3056" s="327" t="s">
        <v>536</v>
      </c>
      <c r="I3056" s="327">
        <v>2</v>
      </c>
      <c r="J3056" s="345"/>
      <c r="K3056" s="327"/>
      <c r="L3056" s="389">
        <v>13762</v>
      </c>
      <c r="M3056" s="371"/>
      <c r="N3056" s="355" t="str">
        <f>+$N$1555</f>
        <v>PK</v>
      </c>
      <c r="O3056" s="404" t="s">
        <v>2721</v>
      </c>
      <c r="P3056" s="392"/>
      <c r="Q3056" s="327"/>
      <c r="R3056" s="351"/>
      <c r="S3056" s="351"/>
      <c r="T3056" s="351"/>
      <c r="U3056" s="329" t="str">
        <f>IF($N3056=$N$4,IFERROR(INDEX(DanhMuc!$E$154:$E$165,MATCH(MID($B3056,4,2),DanhMuc!$B$154:$B$165,0)),""),"")</f>
        <v/>
      </c>
      <c r="V3056" s="361"/>
      <c r="W3056" s="345"/>
      <c r="X3056" s="329" t="str">
        <f t="shared" si="305"/>
        <v>DR</v>
      </c>
      <c r="Y3056" s="1128" t="s">
        <v>3380</v>
      </c>
      <c r="Z3056" s="1128" t="s">
        <v>3381</v>
      </c>
      <c r="AA3056" s="1128" t="s">
        <v>3384</v>
      </c>
      <c r="AB3056" s="20"/>
      <c r="AC3056" s="73"/>
    </row>
    <row r="3057" spans="1:29">
      <c r="A3057" s="327" t="str">
        <f>IF(AND($B3057&lt;&gt;"",$C3057&lt;&gt;""),MAX($A$1556:A3056)+1,"")</f>
        <v/>
      </c>
      <c r="B3057" s="361" t="s">
        <v>2877</v>
      </c>
      <c r="C3057" s="360"/>
      <c r="D3057" s="327">
        <f>IF($B3057="","",COUNTIF($B$6:$B3057,$B3057))</f>
        <v>17</v>
      </c>
      <c r="E3057" s="402" t="s">
        <v>2908</v>
      </c>
      <c r="F3057" s="403" t="s">
        <v>92</v>
      </c>
      <c r="G3057" s="327" t="s">
        <v>155</v>
      </c>
      <c r="H3057" s="327" t="s">
        <v>536</v>
      </c>
      <c r="I3057" s="327">
        <v>2</v>
      </c>
      <c r="J3057" s="345"/>
      <c r="K3057" s="327"/>
      <c r="L3057" s="389">
        <v>7013</v>
      </c>
      <c r="M3057" s="371"/>
      <c r="N3057" s="355" t="str">
        <f>+$N$1555</f>
        <v>PK</v>
      </c>
      <c r="O3057" s="404" t="s">
        <v>2721</v>
      </c>
      <c r="P3057" s="392"/>
      <c r="Q3057" s="327"/>
      <c r="R3057" s="351"/>
      <c r="S3057" s="351"/>
      <c r="T3057" s="351"/>
      <c r="U3057" s="329" t="str">
        <f>IF($N3057=$N$4,IFERROR(INDEX(DanhMuc!$E$154:$E$165,MATCH(MID($B3057,4,2),DanhMuc!$B$154:$B$165,0)),""),"")</f>
        <v/>
      </c>
      <c r="V3057" s="361"/>
      <c r="W3057" s="345"/>
      <c r="X3057" s="329" t="str">
        <f t="shared" si="305"/>
        <v>DR</v>
      </c>
      <c r="Y3057" s="1128" t="s">
        <v>3380</v>
      </c>
      <c r="Z3057" s="1128" t="s">
        <v>3381</v>
      </c>
      <c r="AA3057" s="1128" t="s">
        <v>3384</v>
      </c>
      <c r="AB3057" s="20"/>
      <c r="AC3057" s="73"/>
    </row>
    <row r="3058" spans="1:29">
      <c r="A3058" s="327" t="str">
        <f>IF(AND($B3058&lt;&gt;"",$C3058&lt;&gt;""),MAX($A$1556:A3056)+1,"")</f>
        <v/>
      </c>
      <c r="B3058" s="361" t="s">
        <v>2877</v>
      </c>
      <c r="C3058" s="360"/>
      <c r="D3058" s="327">
        <f>IF($B3058="","",COUNTIF($B$6:$B3058,$B3058))</f>
        <v>18</v>
      </c>
      <c r="E3058" s="365" t="s">
        <v>327</v>
      </c>
      <c r="F3058" s="368" t="s">
        <v>345</v>
      </c>
      <c r="G3058" s="367" t="s">
        <v>690</v>
      </c>
      <c r="H3058" s="327" t="s">
        <v>536</v>
      </c>
      <c r="I3058" s="327">
        <v>1</v>
      </c>
      <c r="J3058" s="345" t="s">
        <v>634</v>
      </c>
      <c r="K3058" s="327"/>
      <c r="L3058" s="348">
        <f>+$S3058*$T3058*$L$37</f>
        <v>84651</v>
      </c>
      <c r="M3058" s="371"/>
      <c r="N3058" s="369" t="s">
        <v>150</v>
      </c>
      <c r="O3058" s="404" t="s">
        <v>2721</v>
      </c>
      <c r="P3058" s="392"/>
      <c r="Q3058" s="327"/>
      <c r="R3058" s="351">
        <v>2.5</v>
      </c>
      <c r="S3058" s="351">
        <v>5.8</v>
      </c>
      <c r="T3058" s="351">
        <v>0.13900000000000001</v>
      </c>
      <c r="U3058" s="329">
        <f>IF($N3058=$N$4,IFERROR(INDEX(DanhMuc!$E$154:$E$165,MATCH(MID($B3058,4,2),DanhMuc!$B$154:$B$165,0)),""),"")</f>
        <v>5800</v>
      </c>
      <c r="V3058" s="361"/>
      <c r="W3058" s="345"/>
      <c r="X3058" s="329" t="str">
        <f t="shared" si="305"/>
        <v>C459</v>
      </c>
      <c r="Y3058" s="1128" t="s">
        <v>3380</v>
      </c>
      <c r="Z3058" s="1128" t="s">
        <v>3381</v>
      </c>
      <c r="AA3058" s="1128" t="s">
        <v>3384</v>
      </c>
      <c r="AB3058" s="20"/>
      <c r="AC3058" s="73"/>
    </row>
    <row r="3059" spans="1:29">
      <c r="A3059" s="327" t="str">
        <f>IF(AND($B3059&lt;&gt;"",$C3059&lt;&gt;""),MAX($A$1556:A3052)+1,"")</f>
        <v/>
      </c>
      <c r="B3059" s="361" t="s">
        <v>2877</v>
      </c>
      <c r="C3059" s="360"/>
      <c r="D3059" s="327">
        <f>IF($B3059="","",COUNTIF($B$6:$B3059,$B3059))</f>
        <v>19</v>
      </c>
      <c r="E3059" s="399" t="s">
        <v>2946</v>
      </c>
      <c r="F3059" s="400" t="s">
        <v>322</v>
      </c>
      <c r="G3059" s="327" t="s">
        <v>155</v>
      </c>
      <c r="H3059" s="327" t="s">
        <v>536</v>
      </c>
      <c r="I3059" s="327">
        <v>1</v>
      </c>
      <c r="J3059" s="345"/>
      <c r="K3059" s="327"/>
      <c r="L3059" s="389">
        <v>114113</v>
      </c>
      <c r="M3059" s="371"/>
      <c r="N3059" s="355" t="str">
        <f>+$N$1555</f>
        <v>PK</v>
      </c>
      <c r="O3059" s="345" t="s">
        <v>2699</v>
      </c>
      <c r="P3059" s="392"/>
      <c r="Q3059" s="327"/>
      <c r="R3059" s="351"/>
      <c r="S3059" s="351"/>
      <c r="T3059" s="351"/>
      <c r="U3059" s="329" t="str">
        <f>IF($N3059=$N$4,IFERROR(INDEX(DanhMuc!$E$154:$E$165,MATCH(MID($B3059,4,2),DanhMuc!$B$154:$B$165,0)),""),"")</f>
        <v/>
      </c>
      <c r="V3059" s="361"/>
      <c r="W3059" s="345"/>
      <c r="X3059" s="329" t="str">
        <f t="shared" si="305"/>
        <v>DR</v>
      </c>
      <c r="Y3059" s="1128" t="s">
        <v>3380</v>
      </c>
      <c r="Z3059" s="1128" t="s">
        <v>3381</v>
      </c>
      <c r="AA3059" s="1128" t="s">
        <v>3384</v>
      </c>
      <c r="AB3059" s="20"/>
      <c r="AC3059" s="73"/>
    </row>
    <row r="3060" spans="1:29">
      <c r="A3060" s="327" t="str">
        <f>IF(AND($B3060&lt;&gt;"",$C3060&lt;&gt;""),MAX($A$1556:A3059)+1,"")</f>
        <v/>
      </c>
      <c r="B3060" s="361" t="s">
        <v>2877</v>
      </c>
      <c r="C3060" s="360"/>
      <c r="D3060" s="327">
        <f>IF($B3060="","",COUNTIF($B$6:$B3060,$B3060))</f>
        <v>20</v>
      </c>
      <c r="E3060" s="399" t="s">
        <v>2954</v>
      </c>
      <c r="F3060" s="400" t="s">
        <v>1208</v>
      </c>
      <c r="G3060" s="327" t="s">
        <v>155</v>
      </c>
      <c r="H3060" s="327" t="s">
        <v>536</v>
      </c>
      <c r="I3060" s="327">
        <v>1</v>
      </c>
      <c r="J3060" s="345"/>
      <c r="K3060" s="327"/>
      <c r="L3060" s="389">
        <v>114113</v>
      </c>
      <c r="M3060" s="371"/>
      <c r="N3060" s="355" t="str">
        <f>+$N$1555</f>
        <v>PK</v>
      </c>
      <c r="O3060" s="345" t="s">
        <v>1060</v>
      </c>
      <c r="P3060" s="392"/>
      <c r="Q3060" s="327"/>
      <c r="R3060" s="351"/>
      <c r="S3060" s="351"/>
      <c r="T3060" s="351"/>
      <c r="U3060" s="329" t="str">
        <f>IF($N3060=$N$4,IFERROR(INDEX(DanhMuc!$E$154:$E$165,MATCH(MID($B3060,4,2),DanhMuc!$B$154:$B$165,0)),""),"")</f>
        <v/>
      </c>
      <c r="V3060" s="361"/>
      <c r="W3060" s="345"/>
      <c r="X3060" s="329" t="str">
        <f t="shared" si="305"/>
        <v>DR</v>
      </c>
      <c r="Y3060" s="1128" t="s">
        <v>3380</v>
      </c>
      <c r="Z3060" s="1128" t="s">
        <v>3381</v>
      </c>
      <c r="AA3060" s="1128" t="s">
        <v>3384</v>
      </c>
      <c r="AB3060" s="20"/>
      <c r="AC3060" s="73"/>
    </row>
    <row r="3061" spans="1:29">
      <c r="A3061" s="327" t="str">
        <f>IF(AND($B3061&lt;&gt;"",$C3061&lt;&gt;""),MAX($A$1556:A3059)+1,"")</f>
        <v/>
      </c>
      <c r="B3061" s="361" t="s">
        <v>2877</v>
      </c>
      <c r="C3061" s="360"/>
      <c r="D3061" s="327">
        <f>IF($B3061="","",COUNTIF($B$6:$B3061,$B3061))</f>
        <v>21</v>
      </c>
      <c r="E3061" s="361" t="s">
        <v>2892</v>
      </c>
      <c r="F3061" s="362" t="s">
        <v>196</v>
      </c>
      <c r="G3061" s="351" t="s">
        <v>155</v>
      </c>
      <c r="H3061" s="327"/>
      <c r="I3061" s="327">
        <v>1</v>
      </c>
      <c r="J3061" s="361"/>
      <c r="K3061" s="327"/>
      <c r="L3061" s="389">
        <v>126361</v>
      </c>
      <c r="M3061" s="371"/>
      <c r="N3061" s="355" t="str">
        <f t="shared" ref="N3061:N3088" si="308">+$N$1555</f>
        <v>PK</v>
      </c>
      <c r="O3061" s="404"/>
      <c r="P3061" s="392"/>
      <c r="Q3061" s="327"/>
      <c r="R3061" s="351"/>
      <c r="S3061" s="351"/>
      <c r="T3061" s="351"/>
      <c r="U3061" s="329" t="str">
        <f>IF($N3061=$N$4,IFERROR(INDEX(DanhMuc!$E$154:$E$165,MATCH(MID($B3061,4,2),DanhMuc!$B$154:$B$165,0)),""),"")</f>
        <v/>
      </c>
      <c r="V3061" s="361"/>
      <c r="W3061" s="345"/>
      <c r="X3061" s="329" t="str">
        <f t="shared" si="305"/>
        <v>DR</v>
      </c>
      <c r="Y3061" s="1128" t="s">
        <v>3380</v>
      </c>
      <c r="Z3061" s="1128" t="s">
        <v>3381</v>
      </c>
      <c r="AA3061" s="1128" t="s">
        <v>3384</v>
      </c>
      <c r="AB3061" s="20"/>
      <c r="AC3061" s="73"/>
    </row>
    <row r="3062" spans="1:29">
      <c r="A3062" s="327" t="str">
        <f>IF(AND($B3062&lt;&gt;"",$C3062&lt;&gt;""),MAX($A$1556:A3061)+1,"")</f>
        <v/>
      </c>
      <c r="B3062" s="361" t="s">
        <v>2877</v>
      </c>
      <c r="C3062" s="360"/>
      <c r="D3062" s="327">
        <f>IF($B3062="","",COUNTIF($B$6:$B3062,$B3062))</f>
        <v>22</v>
      </c>
      <c r="E3062" s="361" t="s">
        <v>2947</v>
      </c>
      <c r="F3062" s="362" t="s">
        <v>200</v>
      </c>
      <c r="G3062" s="327" t="s">
        <v>155</v>
      </c>
      <c r="H3062" s="327" t="s">
        <v>536</v>
      </c>
      <c r="I3062" s="327">
        <v>1</v>
      </c>
      <c r="J3062" s="361"/>
      <c r="K3062" s="327"/>
      <c r="L3062" s="389">
        <v>12614</v>
      </c>
      <c r="M3062" s="371"/>
      <c r="N3062" s="355" t="str">
        <f t="shared" si="308"/>
        <v>PK</v>
      </c>
      <c r="O3062" s="414"/>
      <c r="P3062" s="392"/>
      <c r="Q3062" s="327"/>
      <c r="R3062" s="351"/>
      <c r="S3062" s="351"/>
      <c r="T3062" s="351"/>
      <c r="U3062" s="329" t="str">
        <f>IF($N3062=$N$4,IFERROR(INDEX(DanhMuc!$E$154:$E$165,MATCH(MID($B3062,4,2),DanhMuc!$B$154:$B$165,0)),""),"")</f>
        <v/>
      </c>
      <c r="V3062" s="361"/>
      <c r="W3062" s="345"/>
      <c r="X3062" s="329" t="str">
        <f t="shared" si="305"/>
        <v>DR</v>
      </c>
      <c r="Y3062" s="1128" t="s">
        <v>3380</v>
      </c>
      <c r="Z3062" s="1128" t="s">
        <v>3381</v>
      </c>
      <c r="AA3062" s="1128" t="s">
        <v>3384</v>
      </c>
      <c r="AB3062" s="20"/>
      <c r="AC3062" s="73"/>
    </row>
    <row r="3063" spans="1:29">
      <c r="A3063" s="327" t="str">
        <f>IF(AND($B3063&lt;&gt;"",$C3063&lt;&gt;""),MAX($A$1556:A3061)+1,"")</f>
        <v/>
      </c>
      <c r="B3063" s="361" t="s">
        <v>2877</v>
      </c>
      <c r="C3063" s="360"/>
      <c r="D3063" s="327">
        <f>IF($B3063="","",COUNTIF($B$6:$B3063,$B3063))</f>
        <v>23</v>
      </c>
      <c r="E3063" s="361" t="s">
        <v>1444</v>
      </c>
      <c r="F3063" s="362" t="s">
        <v>2356</v>
      </c>
      <c r="G3063" s="327" t="s">
        <v>297</v>
      </c>
      <c r="H3063" s="327"/>
      <c r="I3063" s="327">
        <v>2</v>
      </c>
      <c r="J3063" s="345"/>
      <c r="K3063" s="327"/>
      <c r="L3063" s="389">
        <v>17000</v>
      </c>
      <c r="M3063" s="371"/>
      <c r="N3063" s="355" t="str">
        <f>+$N$1555</f>
        <v>PK</v>
      </c>
      <c r="O3063" s="347"/>
      <c r="P3063" s="392"/>
      <c r="Q3063" s="327"/>
      <c r="R3063" s="351"/>
      <c r="S3063" s="351"/>
      <c r="T3063" s="351"/>
      <c r="U3063" s="329" t="str">
        <f>IF($N3063=$N$4,IFERROR(INDEX(DanhMuc!$E$154:$E$165,MATCH(MID($B3063,4,2),DanhMuc!$B$154:$B$165,0)),""),"")</f>
        <v/>
      </c>
      <c r="V3063" s="408" t="s">
        <v>343</v>
      </c>
      <c r="W3063" s="345"/>
      <c r="X3063" s="329" t="str">
        <f t="shared" si="305"/>
        <v>DR</v>
      </c>
      <c r="Y3063" s="1128" t="s">
        <v>3380</v>
      </c>
      <c r="Z3063" s="1128" t="s">
        <v>3381</v>
      </c>
      <c r="AA3063" s="1128" t="s">
        <v>3384</v>
      </c>
      <c r="AB3063" s="20"/>
      <c r="AC3063" s="73"/>
    </row>
    <row r="3064" spans="1:29" ht="39">
      <c r="A3064" s="327">
        <f>IF(AND($B3064&lt;&gt;"",$C3064&lt;&gt;""),MAX($A$1556:A3062)+1,"")</f>
        <v>155</v>
      </c>
      <c r="B3064" s="359" t="s">
        <v>2878</v>
      </c>
      <c r="C3064" s="360" t="s">
        <v>2087</v>
      </c>
      <c r="D3064" s="327">
        <f>IF($B3064="","",COUNTIF($B$6:$B3064,$B3064))</f>
        <v>1</v>
      </c>
      <c r="E3064" s="363" t="s">
        <v>2935</v>
      </c>
      <c r="F3064" s="362" t="s">
        <v>207</v>
      </c>
      <c r="G3064" s="327" t="s">
        <v>155</v>
      </c>
      <c r="H3064" s="327"/>
      <c r="I3064" s="327">
        <v>2</v>
      </c>
      <c r="J3064" s="361"/>
      <c r="K3064" s="327"/>
      <c r="L3064" s="389">
        <v>214352</v>
      </c>
      <c r="M3064" s="371"/>
      <c r="N3064" s="355" t="str">
        <f t="shared" si="308"/>
        <v>PK</v>
      </c>
      <c r="O3064" s="345"/>
      <c r="P3064" s="392"/>
      <c r="Q3064" s="327"/>
      <c r="R3064" s="351"/>
      <c r="S3064" s="351"/>
      <c r="T3064" s="351"/>
      <c r="U3064" s="329" t="str">
        <f>IF($N3064=$N$4,IFERROR(INDEX(DanhMuc!$E$154:$E$165,MATCH(MID($B3064,4,2),DanhMuc!$B$154:$B$165,0)),""),"")</f>
        <v/>
      </c>
      <c r="V3064" s="361"/>
      <c r="W3064" s="345"/>
      <c r="X3064" s="329" t="str">
        <f t="shared" si="305"/>
        <v>DR</v>
      </c>
      <c r="Y3064" s="1128" t="s">
        <v>3380</v>
      </c>
      <c r="Z3064" s="1128" t="s">
        <v>3381</v>
      </c>
      <c r="AA3064" s="1128" t="s">
        <v>3384</v>
      </c>
      <c r="AB3064" s="20"/>
      <c r="AC3064" s="73"/>
    </row>
    <row r="3065" spans="1:29" ht="25">
      <c r="A3065" s="327" t="str">
        <f>IF(AND($B3065&lt;&gt;"",$C3065&lt;&gt;""),MAX($A$1556:A3064)+1,"")</f>
        <v/>
      </c>
      <c r="B3065" s="361" t="s">
        <v>2878</v>
      </c>
      <c r="C3065" s="360"/>
      <c r="D3065" s="327">
        <f>IF($B3065="","",COUNTIF($B$6:$B3065,$B3065))</f>
        <v>2</v>
      </c>
      <c r="E3065" s="361" t="s">
        <v>2936</v>
      </c>
      <c r="F3065" s="362" t="s">
        <v>208</v>
      </c>
      <c r="G3065" s="327" t="s">
        <v>155</v>
      </c>
      <c r="H3065" s="327"/>
      <c r="I3065" s="327">
        <v>2</v>
      </c>
      <c r="J3065" s="361"/>
      <c r="K3065" s="327"/>
      <c r="L3065" s="389">
        <v>175262</v>
      </c>
      <c r="M3065" s="371"/>
      <c r="N3065" s="355" t="str">
        <f t="shared" si="308"/>
        <v>PK</v>
      </c>
      <c r="O3065" s="345"/>
      <c r="P3065" s="392"/>
      <c r="Q3065" s="327"/>
      <c r="R3065" s="351"/>
      <c r="S3065" s="351"/>
      <c r="T3065" s="351"/>
      <c r="U3065" s="329" t="str">
        <f>IF($N3065=$N$4,IFERROR(INDEX(DanhMuc!$E$154:$E$165,MATCH(MID($B3065,4,2),DanhMuc!$B$154:$B$165,0)),""),"")</f>
        <v/>
      </c>
      <c r="V3065" s="361"/>
      <c r="W3065" s="345"/>
      <c r="X3065" s="329" t="str">
        <f t="shared" si="305"/>
        <v>DR</v>
      </c>
      <c r="Y3065" s="1128" t="s">
        <v>3380</v>
      </c>
      <c r="Z3065" s="1128" t="s">
        <v>3381</v>
      </c>
      <c r="AA3065" s="1128" t="s">
        <v>3384</v>
      </c>
      <c r="AB3065" s="20"/>
      <c r="AC3065" s="73"/>
    </row>
    <row r="3066" spans="1:29" s="73" customFormat="1" ht="25">
      <c r="A3066" s="327" t="str">
        <f>IF(AND($B3066&lt;&gt;"",$C3066&lt;&gt;""),MAX($A$1556:A3065)+1,"")</f>
        <v/>
      </c>
      <c r="B3066" s="361" t="s">
        <v>2878</v>
      </c>
      <c r="C3066" s="346"/>
      <c r="D3066" s="327">
        <f>IF($B3066="","",COUNTIF($B$6:$B3066,$B3066))</f>
        <v>3</v>
      </c>
      <c r="E3066" s="361" t="s">
        <v>2937</v>
      </c>
      <c r="F3066" s="362" t="s">
        <v>2938</v>
      </c>
      <c r="G3066" s="342" t="s">
        <v>155</v>
      </c>
      <c r="H3066" s="327"/>
      <c r="I3066" s="327">
        <v>12</v>
      </c>
      <c r="J3066" s="359"/>
      <c r="K3066" s="127"/>
      <c r="L3066" s="389">
        <v>60198</v>
      </c>
      <c r="M3066" s="371"/>
      <c r="N3066" s="355" t="str">
        <f t="shared" si="308"/>
        <v>PK</v>
      </c>
      <c r="O3066" s="345"/>
      <c r="P3066" s="392"/>
      <c r="Q3066" s="327"/>
      <c r="R3066" s="351"/>
      <c r="S3066" s="351"/>
      <c r="T3066" s="351"/>
      <c r="U3066" s="329" t="str">
        <f>IF($N3066=$N$4,IFERROR(INDEX(DanhMuc!$E$154:$E$165,MATCH(MID($B3066,4,2),DanhMuc!$B$154:$B$165,0)),""),"")</f>
        <v/>
      </c>
      <c r="V3066" s="328"/>
      <c r="W3066" s="345"/>
      <c r="X3066" s="329" t="str">
        <f t="shared" si="305"/>
        <v>DR</v>
      </c>
      <c r="Y3066" s="1128" t="s">
        <v>3380</v>
      </c>
      <c r="Z3066" s="1128" t="s">
        <v>3381</v>
      </c>
      <c r="AA3066" s="1128" t="s">
        <v>3384</v>
      </c>
      <c r="AB3066" s="20"/>
    </row>
    <row r="3067" spans="1:29" s="73" customFormat="1" ht="25">
      <c r="A3067" s="327" t="str">
        <f>IF(AND($B3067&lt;&gt;"",$C3067&lt;&gt;""),MAX($A$1556:A3066)+1,"")</f>
        <v/>
      </c>
      <c r="B3067" s="361" t="s">
        <v>2878</v>
      </c>
      <c r="C3067" s="346"/>
      <c r="D3067" s="327">
        <f>IF($B3067="","",COUNTIF($B$6:$B3067,$B3067))</f>
        <v>4</v>
      </c>
      <c r="E3067" s="361" t="s">
        <v>2937</v>
      </c>
      <c r="F3067" s="362" t="s">
        <v>2938</v>
      </c>
      <c r="G3067" s="342" t="s">
        <v>155</v>
      </c>
      <c r="H3067" s="327"/>
      <c r="I3067" s="327">
        <v>2</v>
      </c>
      <c r="J3067" s="359"/>
      <c r="K3067" s="127"/>
      <c r="L3067" s="389">
        <v>60198</v>
      </c>
      <c r="M3067" s="371"/>
      <c r="N3067" s="355" t="str">
        <f t="shared" si="308"/>
        <v>PK</v>
      </c>
      <c r="O3067" s="345" t="s">
        <v>639</v>
      </c>
      <c r="P3067" s="392"/>
      <c r="Q3067" s="327"/>
      <c r="R3067" s="351"/>
      <c r="S3067" s="351"/>
      <c r="T3067" s="351"/>
      <c r="U3067" s="329" t="str">
        <f>IF($N3067=$N$4,IFERROR(INDEX(DanhMuc!$E$154:$E$165,MATCH(MID($B3067,4,2),DanhMuc!$B$154:$B$165,0)),""),"")</f>
        <v/>
      </c>
      <c r="V3067" s="328"/>
      <c r="W3067" s="345"/>
      <c r="X3067" s="329" t="str">
        <f t="shared" si="305"/>
        <v>DR</v>
      </c>
      <c r="Y3067" s="1128" t="s">
        <v>3380</v>
      </c>
      <c r="Z3067" s="1128" t="s">
        <v>3381</v>
      </c>
      <c r="AA3067" s="1128" t="s">
        <v>3384</v>
      </c>
      <c r="AB3067" s="20"/>
    </row>
    <row r="3068" spans="1:29" s="73" customFormat="1" ht="25">
      <c r="A3068" s="327" t="str">
        <f>IF(AND($B3068&lt;&gt;"",$C3068&lt;&gt;""),MAX($A$1556:A3066)+1,"")</f>
        <v/>
      </c>
      <c r="B3068" s="361" t="s">
        <v>2878</v>
      </c>
      <c r="C3068" s="346"/>
      <c r="D3068" s="327">
        <f>IF($B3068="","",COUNTIF($B$6:$B3068,$B3068))</f>
        <v>5</v>
      </c>
      <c r="E3068" s="361" t="s">
        <v>2939</v>
      </c>
      <c r="F3068" s="362" t="s">
        <v>2940</v>
      </c>
      <c r="G3068" s="342" t="s">
        <v>155</v>
      </c>
      <c r="H3068" s="327"/>
      <c r="I3068" s="327">
        <v>2</v>
      </c>
      <c r="J3068" s="359"/>
      <c r="K3068" s="127"/>
      <c r="L3068" s="389">
        <v>90033</v>
      </c>
      <c r="M3068" s="371"/>
      <c r="N3068" s="355" t="str">
        <f t="shared" si="308"/>
        <v>PK</v>
      </c>
      <c r="O3068" s="345"/>
      <c r="P3068" s="392"/>
      <c r="Q3068" s="327"/>
      <c r="R3068" s="351"/>
      <c r="S3068" s="351"/>
      <c r="T3068" s="351"/>
      <c r="U3068" s="329" t="str">
        <f>IF($N3068=$N$4,IFERROR(INDEX(DanhMuc!$E$154:$E$165,MATCH(MID($B3068,4,2),DanhMuc!$B$154:$B$165,0)),""),"")</f>
        <v/>
      </c>
      <c r="V3068" s="328"/>
      <c r="W3068" s="345"/>
      <c r="X3068" s="329" t="str">
        <f t="shared" si="305"/>
        <v>DR</v>
      </c>
      <c r="Y3068" s="1128" t="s">
        <v>3380</v>
      </c>
      <c r="Z3068" s="1128" t="s">
        <v>3381</v>
      </c>
      <c r="AA3068" s="1128" t="s">
        <v>3384</v>
      </c>
      <c r="AB3068" s="20"/>
    </row>
    <row r="3069" spans="1:29">
      <c r="A3069" s="327" t="str">
        <f>IF(AND($B3069&lt;&gt;"",$C3069&lt;&gt;""),MAX($A$1556:A3068)+1,"")</f>
        <v/>
      </c>
      <c r="B3069" s="361" t="s">
        <v>2878</v>
      </c>
      <c r="C3069" s="360"/>
      <c r="D3069" s="327">
        <f>IF($B3069="","",COUNTIF($B$6:$B3069,$B3069))</f>
        <v>6</v>
      </c>
      <c r="E3069" s="374" t="s">
        <v>2941</v>
      </c>
      <c r="F3069" s="375" t="s">
        <v>190</v>
      </c>
      <c r="G3069" s="377" t="s">
        <v>155</v>
      </c>
      <c r="H3069" s="327" t="s">
        <v>536</v>
      </c>
      <c r="I3069" s="377">
        <v>2</v>
      </c>
      <c r="J3069" s="374"/>
      <c r="K3069" s="377"/>
      <c r="L3069" s="412">
        <v>46198</v>
      </c>
      <c r="M3069" s="371"/>
      <c r="N3069" s="355" t="str">
        <f t="shared" si="308"/>
        <v>PK</v>
      </c>
      <c r="O3069" s="345"/>
      <c r="P3069" s="392"/>
      <c r="Q3069" s="327"/>
      <c r="R3069" s="351"/>
      <c r="S3069" s="351"/>
      <c r="T3069" s="351"/>
      <c r="U3069" s="329" t="str">
        <f>IF($N3069=$N$4,IFERROR(INDEX(DanhMuc!$E$154:$E$165,MATCH(MID($B3069,4,2),DanhMuc!$B$154:$B$165,0)),""),"")</f>
        <v/>
      </c>
      <c r="V3069" s="361"/>
      <c r="W3069" s="345"/>
      <c r="X3069" s="329" t="str">
        <f t="shared" si="305"/>
        <v>DR</v>
      </c>
      <c r="Y3069" s="1128" t="s">
        <v>3380</v>
      </c>
      <c r="Z3069" s="1128" t="s">
        <v>3381</v>
      </c>
      <c r="AA3069" s="1128" t="s">
        <v>3384</v>
      </c>
      <c r="AB3069" s="20"/>
      <c r="AC3069" s="73"/>
    </row>
    <row r="3070" spans="1:29">
      <c r="A3070" s="327" t="str">
        <f>IF(AND($B3070&lt;&gt;"",$C3070&lt;&gt;""),MAX($A$1556:A3069)+1,"")</f>
        <v/>
      </c>
      <c r="B3070" s="361" t="s">
        <v>2878</v>
      </c>
      <c r="C3070" s="360"/>
      <c r="D3070" s="327">
        <f>IF($B3070="","",COUNTIF($B$6:$B3070,$B3070))</f>
        <v>7</v>
      </c>
      <c r="E3070" s="374" t="s">
        <v>2943</v>
      </c>
      <c r="F3070" s="375" t="s">
        <v>195</v>
      </c>
      <c r="G3070" s="377" t="s">
        <v>155</v>
      </c>
      <c r="H3070" s="327"/>
      <c r="I3070" s="377">
        <v>2</v>
      </c>
      <c r="J3070" s="374"/>
      <c r="K3070" s="377"/>
      <c r="L3070" s="412">
        <v>52794</v>
      </c>
      <c r="M3070" s="371"/>
      <c r="N3070" s="355" t="str">
        <f t="shared" si="308"/>
        <v>PK</v>
      </c>
      <c r="O3070" s="345"/>
      <c r="P3070" s="392"/>
      <c r="Q3070" s="327"/>
      <c r="R3070" s="351"/>
      <c r="S3070" s="351"/>
      <c r="T3070" s="351"/>
      <c r="U3070" s="329" t="str">
        <f>IF($N3070=$N$4,IFERROR(INDEX(DanhMuc!$E$154:$E$165,MATCH(MID($B3070,4,2),DanhMuc!$B$154:$B$165,0)),""),"")</f>
        <v/>
      </c>
      <c r="V3070" s="361"/>
      <c r="W3070" s="345"/>
      <c r="X3070" s="329" t="str">
        <f t="shared" si="305"/>
        <v>DR</v>
      </c>
      <c r="Y3070" s="1128" t="s">
        <v>3380</v>
      </c>
      <c r="Z3070" s="1128" t="s">
        <v>3381</v>
      </c>
      <c r="AA3070" s="1128" t="s">
        <v>3384</v>
      </c>
      <c r="AB3070" s="20"/>
      <c r="AC3070" s="73"/>
    </row>
    <row r="3071" spans="1:29" ht="25">
      <c r="A3071" s="327" t="str">
        <f>IF(AND($B3071&lt;&gt;"",$C3071&lt;&gt;""),MAX($A$1556:A3070)+1,"")</f>
        <v/>
      </c>
      <c r="B3071" s="361" t="s">
        <v>2878</v>
      </c>
      <c r="C3071" s="360"/>
      <c r="D3071" s="327">
        <f>IF($B3071="","",COUNTIF($B$6:$B3071,$B3071))</f>
        <v>8</v>
      </c>
      <c r="E3071" s="374" t="s">
        <v>2977</v>
      </c>
      <c r="F3071" s="375" t="s">
        <v>420</v>
      </c>
      <c r="G3071" s="377" t="s">
        <v>156</v>
      </c>
      <c r="H3071" s="327" t="s">
        <v>536</v>
      </c>
      <c r="I3071" s="413" t="s">
        <v>1929</v>
      </c>
      <c r="J3071" s="374"/>
      <c r="K3071" s="377"/>
      <c r="L3071" s="412">
        <v>39602</v>
      </c>
      <c r="M3071" s="371"/>
      <c r="N3071" s="355" t="str">
        <f t="shared" si="308"/>
        <v>PK</v>
      </c>
      <c r="O3071" s="345" t="s">
        <v>1626</v>
      </c>
      <c r="P3071" s="392"/>
      <c r="Q3071" s="327"/>
      <c r="R3071" s="351"/>
      <c r="S3071" s="351"/>
      <c r="T3071" s="351"/>
      <c r="U3071" s="329" t="str">
        <f>IF($N3071=$N$4,IFERROR(INDEX(DanhMuc!$E$154:$E$165,MATCH(MID($B3071,4,2),DanhMuc!$B$154:$B$165,0)),""),"")</f>
        <v/>
      </c>
      <c r="V3071" s="361"/>
      <c r="W3071" s="345"/>
      <c r="X3071" s="329" t="str">
        <f t="shared" si="305"/>
        <v>DR</v>
      </c>
      <c r="Y3071" s="1128" t="s">
        <v>3380</v>
      </c>
      <c r="Z3071" s="1128" t="s">
        <v>3381</v>
      </c>
      <c r="AA3071" s="1128" t="s">
        <v>3384</v>
      </c>
      <c r="AB3071" s="20"/>
      <c r="AC3071" s="73"/>
    </row>
    <row r="3072" spans="1:29" ht="25">
      <c r="A3072" s="327" t="str">
        <f>IF(AND($B3072&lt;&gt;"",$C3072&lt;&gt;""),MAX($A$1556:A3071)+1,"")</f>
        <v/>
      </c>
      <c r="B3072" s="361" t="s">
        <v>2878</v>
      </c>
      <c r="C3072" s="360"/>
      <c r="D3072" s="327">
        <f>IF($B3072="","",COUNTIF($B$6:$B3072,$B3072))</f>
        <v>9</v>
      </c>
      <c r="E3072" s="374" t="s">
        <v>2979</v>
      </c>
      <c r="F3072" s="375" t="s">
        <v>2944</v>
      </c>
      <c r="G3072" s="377" t="s">
        <v>156</v>
      </c>
      <c r="H3072" s="327" t="s">
        <v>536</v>
      </c>
      <c r="I3072" s="413" t="s">
        <v>2951</v>
      </c>
      <c r="J3072" s="374"/>
      <c r="K3072" s="377"/>
      <c r="L3072" s="412">
        <v>43257</v>
      </c>
      <c r="M3072" s="371"/>
      <c r="N3072" s="355" t="str">
        <f t="shared" si="308"/>
        <v>PK</v>
      </c>
      <c r="O3072" s="345" t="s">
        <v>1626</v>
      </c>
      <c r="P3072" s="392"/>
      <c r="Q3072" s="327"/>
      <c r="R3072" s="351"/>
      <c r="S3072" s="351"/>
      <c r="T3072" s="351"/>
      <c r="U3072" s="329" t="str">
        <f>IF($N3072=$N$4,IFERROR(INDEX(DanhMuc!$E$154:$E$165,MATCH(MID($B3072,4,2),DanhMuc!$B$154:$B$165,0)),""),"")</f>
        <v/>
      </c>
      <c r="V3072" s="361"/>
      <c r="W3072" s="345"/>
      <c r="X3072" s="329" t="str">
        <f t="shared" si="305"/>
        <v>DR</v>
      </c>
      <c r="Y3072" s="1128" t="s">
        <v>3380</v>
      </c>
      <c r="Z3072" s="1128" t="s">
        <v>3381</v>
      </c>
      <c r="AA3072" s="1128" t="s">
        <v>3384</v>
      </c>
      <c r="AB3072" s="20"/>
      <c r="AC3072" s="73"/>
    </row>
    <row r="3073" spans="1:29" ht="25">
      <c r="A3073" s="327" t="str">
        <f>IF(AND($B3073&lt;&gt;"",$C3073&lt;&gt;""),MAX($A$1556:A3071)+1,"")</f>
        <v/>
      </c>
      <c r="B3073" s="361" t="s">
        <v>2878</v>
      </c>
      <c r="C3073" s="360"/>
      <c r="D3073" s="327">
        <f>IF($B3073="","",COUNTIF($B$6:$B3073,$B3073))</f>
        <v>10</v>
      </c>
      <c r="E3073" s="374" t="s">
        <v>2978</v>
      </c>
      <c r="F3073" s="375" t="s">
        <v>407</v>
      </c>
      <c r="G3073" s="377" t="s">
        <v>156</v>
      </c>
      <c r="H3073" s="327" t="s">
        <v>536</v>
      </c>
      <c r="I3073" s="413" t="s">
        <v>1366</v>
      </c>
      <c r="J3073" s="374"/>
      <c r="K3073" s="377"/>
      <c r="L3073" s="412">
        <v>50592</v>
      </c>
      <c r="M3073" s="371"/>
      <c r="N3073" s="355" t="str">
        <f t="shared" si="308"/>
        <v>PK</v>
      </c>
      <c r="O3073" s="345" t="s">
        <v>1626</v>
      </c>
      <c r="P3073" s="392"/>
      <c r="Q3073" s="327"/>
      <c r="R3073" s="351"/>
      <c r="S3073" s="351"/>
      <c r="T3073" s="351"/>
      <c r="U3073" s="329" t="str">
        <f>IF($N3073=$N$4,IFERROR(INDEX(DanhMuc!$E$154:$E$165,MATCH(MID($B3073,4,2),DanhMuc!$B$154:$B$165,0)),""),"")</f>
        <v/>
      </c>
      <c r="V3073" s="361"/>
      <c r="W3073" s="345"/>
      <c r="X3073" s="329" t="str">
        <f t="shared" si="305"/>
        <v>DR</v>
      </c>
      <c r="Y3073" s="1128" t="s">
        <v>3380</v>
      </c>
      <c r="Z3073" s="1128" t="s">
        <v>3381</v>
      </c>
      <c r="AA3073" s="1128" t="s">
        <v>3384</v>
      </c>
      <c r="AB3073" s="20"/>
      <c r="AC3073" s="73"/>
    </row>
    <row r="3074" spans="1:29" ht="25">
      <c r="A3074" s="327" t="str">
        <f>IF(AND($B3074&lt;&gt;"",$C3074&lt;&gt;""),MAX($A$1556:A3073)+1,"")</f>
        <v/>
      </c>
      <c r="B3074" s="361" t="s">
        <v>2878</v>
      </c>
      <c r="C3074" s="360"/>
      <c r="D3074" s="327">
        <f>IF($B3074="","",COUNTIF($B$6:$B3074,$B3074))</f>
        <v>11</v>
      </c>
      <c r="E3074" s="374" t="s">
        <v>421</v>
      </c>
      <c r="F3074" s="375" t="s">
        <v>422</v>
      </c>
      <c r="G3074" s="377" t="s">
        <v>156</v>
      </c>
      <c r="H3074" s="327" t="s">
        <v>536</v>
      </c>
      <c r="I3074" s="413" t="s">
        <v>1367</v>
      </c>
      <c r="J3074" s="374"/>
      <c r="K3074" s="377"/>
      <c r="L3074" s="412">
        <v>85000</v>
      </c>
      <c r="M3074" s="371"/>
      <c r="N3074" s="355" t="str">
        <f t="shared" si="308"/>
        <v>PK</v>
      </c>
      <c r="O3074" s="345" t="s">
        <v>1626</v>
      </c>
      <c r="P3074" s="392"/>
      <c r="Q3074" s="327"/>
      <c r="R3074" s="351"/>
      <c r="S3074" s="351"/>
      <c r="T3074" s="351"/>
      <c r="U3074" s="329" t="str">
        <f>IF($N3074=$N$4,IFERROR(INDEX(DanhMuc!$E$154:$E$165,MATCH(MID($B3074,4,2),DanhMuc!$B$154:$B$165,0)),""),"")</f>
        <v/>
      </c>
      <c r="V3074" s="361"/>
      <c r="W3074" s="345"/>
      <c r="X3074" s="329" t="str">
        <f t="shared" si="305"/>
        <v>DR</v>
      </c>
      <c r="Y3074" s="1128" t="s">
        <v>3380</v>
      </c>
      <c r="Z3074" s="1128" t="s">
        <v>3381</v>
      </c>
      <c r="AA3074" s="1128" t="s">
        <v>3384</v>
      </c>
      <c r="AB3074" s="20"/>
      <c r="AC3074" s="73"/>
    </row>
    <row r="3075" spans="1:29">
      <c r="A3075" s="327" t="str">
        <f>IF(AND($B3075&lt;&gt;"",$C3075&lt;&gt;""),MAX($A$1556:A3074)+1,"")</f>
        <v/>
      </c>
      <c r="B3075" s="361" t="s">
        <v>2878</v>
      </c>
      <c r="C3075" s="360"/>
      <c r="D3075" s="327">
        <f>IF($B3075="","",COUNTIF($B$6:$B3075,$B3075))</f>
        <v>12</v>
      </c>
      <c r="E3075" s="374" t="s">
        <v>2948</v>
      </c>
      <c r="F3075" s="375" t="s">
        <v>258</v>
      </c>
      <c r="G3075" s="377" t="s">
        <v>155</v>
      </c>
      <c r="H3075" s="327" t="s">
        <v>536</v>
      </c>
      <c r="I3075" s="377">
        <v>2</v>
      </c>
      <c r="J3075" s="374"/>
      <c r="K3075" s="377"/>
      <c r="L3075" s="412">
        <v>47218</v>
      </c>
      <c r="M3075" s="371"/>
      <c r="N3075" s="355" t="str">
        <f t="shared" si="308"/>
        <v>PK</v>
      </c>
      <c r="O3075" s="345"/>
      <c r="P3075" s="392"/>
      <c r="Q3075" s="327"/>
      <c r="R3075" s="351"/>
      <c r="S3075" s="351"/>
      <c r="T3075" s="351"/>
      <c r="U3075" s="329" t="str">
        <f>IF($N3075=$N$4,IFERROR(INDEX(DanhMuc!$E$154:$E$165,MATCH(MID($B3075,4,2),DanhMuc!$B$154:$B$165,0)),""),"")</f>
        <v/>
      </c>
      <c r="V3075" s="361"/>
      <c r="W3075" s="345"/>
      <c r="X3075" s="329" t="str">
        <f t="shared" ref="X3075:X3149" si="309">IF($N3075="PR",$E3075,MID($B3075,10,2))</f>
        <v>DR</v>
      </c>
      <c r="Y3075" s="1128" t="s">
        <v>3380</v>
      </c>
      <c r="Z3075" s="1128" t="s">
        <v>3381</v>
      </c>
      <c r="AA3075" s="1128" t="s">
        <v>3384</v>
      </c>
      <c r="AB3075" s="20"/>
      <c r="AC3075" s="73"/>
    </row>
    <row r="3076" spans="1:29">
      <c r="A3076" s="327" t="str">
        <f>IF(AND($B3076&lt;&gt;"",$C3076&lt;&gt;""),MAX($A$1556:A3075)+1,"")</f>
        <v/>
      </c>
      <c r="B3076" s="361" t="s">
        <v>2878</v>
      </c>
      <c r="C3076" s="360"/>
      <c r="D3076" s="327">
        <f>IF($B3076="","",COUNTIF($B$6:$B3076,$B3076))</f>
        <v>13</v>
      </c>
      <c r="E3076" s="374" t="s">
        <v>2949</v>
      </c>
      <c r="F3076" s="375" t="s">
        <v>259</v>
      </c>
      <c r="G3076" s="377" t="s">
        <v>155</v>
      </c>
      <c r="H3076" s="327"/>
      <c r="I3076" s="377">
        <v>2</v>
      </c>
      <c r="J3076" s="374"/>
      <c r="K3076" s="377"/>
      <c r="L3076" s="412">
        <v>25943</v>
      </c>
      <c r="M3076" s="371"/>
      <c r="N3076" s="355" t="str">
        <f t="shared" si="308"/>
        <v>PK</v>
      </c>
      <c r="O3076" s="345"/>
      <c r="P3076" s="392"/>
      <c r="Q3076" s="327"/>
      <c r="R3076" s="351"/>
      <c r="S3076" s="351"/>
      <c r="T3076" s="351"/>
      <c r="U3076" s="329" t="str">
        <f>IF($N3076=$N$4,IFERROR(INDEX(DanhMuc!$E$154:$E$165,MATCH(MID($B3076,4,2),DanhMuc!$B$154:$B$165,0)),""),"")</f>
        <v/>
      </c>
      <c r="V3076" s="361"/>
      <c r="W3076" s="345"/>
      <c r="X3076" s="329" t="str">
        <f t="shared" si="309"/>
        <v>DR</v>
      </c>
      <c r="Y3076" s="1128" t="s">
        <v>3380</v>
      </c>
      <c r="Z3076" s="1128" t="s">
        <v>3381</v>
      </c>
      <c r="AA3076" s="1128" t="s">
        <v>3384</v>
      </c>
      <c r="AB3076" s="20"/>
      <c r="AC3076" s="73"/>
    </row>
    <row r="3077" spans="1:29">
      <c r="A3077" s="327" t="str">
        <f>IF(AND($B3077&lt;&gt;"",$C3077&lt;&gt;""),MAX($A$1556:A3076)+1,"")</f>
        <v/>
      </c>
      <c r="B3077" s="361" t="s">
        <v>2878</v>
      </c>
      <c r="C3077" s="360"/>
      <c r="D3077" s="327">
        <f>IF($B3077="","",COUNTIF($B$6:$B3077,$B3077))</f>
        <v>14</v>
      </c>
      <c r="E3077" s="374" t="s">
        <v>2950</v>
      </c>
      <c r="F3077" s="375" t="s">
        <v>365</v>
      </c>
      <c r="G3077" s="377" t="s">
        <v>155</v>
      </c>
      <c r="H3077" s="327"/>
      <c r="I3077" s="377">
        <v>4</v>
      </c>
      <c r="J3077" s="374"/>
      <c r="K3077" s="377"/>
      <c r="L3077" s="412">
        <v>4157</v>
      </c>
      <c r="M3077" s="371"/>
      <c r="N3077" s="355" t="str">
        <f t="shared" si="308"/>
        <v>PK</v>
      </c>
      <c r="O3077" s="345"/>
      <c r="P3077" s="392"/>
      <c r="Q3077" s="327"/>
      <c r="R3077" s="351"/>
      <c r="S3077" s="351"/>
      <c r="T3077" s="351"/>
      <c r="U3077" s="329" t="str">
        <f>IF($N3077=$N$4,IFERROR(INDEX(DanhMuc!$E$154:$E$165,MATCH(MID($B3077,4,2),DanhMuc!$B$154:$B$165,0)),""),"")</f>
        <v/>
      </c>
      <c r="V3077" s="361"/>
      <c r="W3077" s="345"/>
      <c r="X3077" s="329" t="str">
        <f t="shared" si="309"/>
        <v>DR</v>
      </c>
      <c r="Y3077" s="1128" t="s">
        <v>3380</v>
      </c>
      <c r="Z3077" s="1128" t="s">
        <v>3381</v>
      </c>
      <c r="AA3077" s="1128" t="s">
        <v>3384</v>
      </c>
      <c r="AB3077" s="20"/>
      <c r="AC3077" s="73"/>
    </row>
    <row r="3078" spans="1:29">
      <c r="A3078" s="327" t="str">
        <f>IF(AND($B3078&lt;&gt;"",$C3078&lt;&gt;""),MAX($A$1556:A3077)+1,"")</f>
        <v/>
      </c>
      <c r="B3078" s="361" t="s">
        <v>2878</v>
      </c>
      <c r="C3078" s="360"/>
      <c r="D3078" s="327">
        <f>IF($B3078="","",COUNTIF($B$6:$B3078,$B3078))</f>
        <v>15</v>
      </c>
      <c r="E3078" s="402" t="s">
        <v>2902</v>
      </c>
      <c r="F3078" s="403" t="s">
        <v>197</v>
      </c>
      <c r="G3078" s="327" t="s">
        <v>155</v>
      </c>
      <c r="H3078" s="327" t="s">
        <v>536</v>
      </c>
      <c r="I3078" s="327">
        <v>1</v>
      </c>
      <c r="J3078" s="345"/>
      <c r="K3078" s="327"/>
      <c r="L3078" s="389">
        <v>147220</v>
      </c>
      <c r="M3078" s="371"/>
      <c r="N3078" s="355" t="str">
        <f t="shared" si="308"/>
        <v>PK</v>
      </c>
      <c r="O3078" s="345" t="s">
        <v>1626</v>
      </c>
      <c r="P3078" s="392"/>
      <c r="Q3078" s="327"/>
      <c r="R3078" s="351"/>
      <c r="S3078" s="351"/>
      <c r="T3078" s="351"/>
      <c r="U3078" s="329" t="str">
        <f>IF($N3078=$N$4,IFERROR(INDEX(DanhMuc!$E$154:$E$165,MATCH(MID($B3078,4,2),DanhMuc!$B$154:$B$165,0)),""),"")</f>
        <v/>
      </c>
      <c r="V3078" s="361"/>
      <c r="W3078" s="345"/>
      <c r="X3078" s="329" t="str">
        <f t="shared" si="309"/>
        <v>DR</v>
      </c>
      <c r="Y3078" s="1128" t="s">
        <v>3380</v>
      </c>
      <c r="Z3078" s="1128" t="s">
        <v>3381</v>
      </c>
      <c r="AA3078" s="1128" t="s">
        <v>3384</v>
      </c>
      <c r="AB3078" s="20"/>
      <c r="AC3078" s="73"/>
    </row>
    <row r="3079" spans="1:29">
      <c r="A3079" s="327" t="str">
        <f>IF(AND($B3079&lt;&gt;"",$C3079&lt;&gt;""),MAX($A$1556:A3078)+1,"")</f>
        <v/>
      </c>
      <c r="B3079" s="361" t="s">
        <v>2878</v>
      </c>
      <c r="C3079" s="360"/>
      <c r="D3079" s="327">
        <f>IF($B3079="","",COUNTIF($B$6:$B3079,$B3079))</f>
        <v>16</v>
      </c>
      <c r="E3079" s="402" t="s">
        <v>2902</v>
      </c>
      <c r="F3079" s="403" t="s">
        <v>197</v>
      </c>
      <c r="G3079" s="327" t="s">
        <v>155</v>
      </c>
      <c r="H3079" s="327" t="s">
        <v>536</v>
      </c>
      <c r="I3079" s="327">
        <v>1</v>
      </c>
      <c r="J3079" s="345"/>
      <c r="K3079" s="327"/>
      <c r="L3079" s="389">
        <v>147220</v>
      </c>
      <c r="M3079" s="371"/>
      <c r="N3079" s="355" t="str">
        <f t="shared" si="308"/>
        <v>PK</v>
      </c>
      <c r="O3079" s="345" t="s">
        <v>2722</v>
      </c>
      <c r="P3079" s="392"/>
      <c r="Q3079" s="327"/>
      <c r="R3079" s="351"/>
      <c r="S3079" s="351"/>
      <c r="T3079" s="351"/>
      <c r="U3079" s="329" t="str">
        <f>IF($N3079=$N$4,IFERROR(INDEX(DanhMuc!$E$154:$E$165,MATCH(MID($B3079,4,2),DanhMuc!$B$154:$B$165,0)),""),"")</f>
        <v/>
      </c>
      <c r="V3079" s="361"/>
      <c r="W3079" s="345"/>
      <c r="X3079" s="329" t="str">
        <f t="shared" si="309"/>
        <v>DR</v>
      </c>
      <c r="Y3079" s="1128" t="s">
        <v>3380</v>
      </c>
      <c r="Z3079" s="1128" t="s">
        <v>3381</v>
      </c>
      <c r="AA3079" s="1128" t="s">
        <v>3384</v>
      </c>
      <c r="AB3079" s="20"/>
      <c r="AC3079" s="73"/>
    </row>
    <row r="3080" spans="1:29">
      <c r="A3080" s="327" t="str">
        <f>IF(AND($B3080&lt;&gt;"",$C3080&lt;&gt;""),MAX($A$1556:A3077)+1,"")</f>
        <v/>
      </c>
      <c r="B3080" s="361" t="s">
        <v>2878</v>
      </c>
      <c r="C3080" s="360"/>
      <c r="D3080" s="327">
        <f>IF($B3080="","",COUNTIF($B$6:$B3080,$B3080))</f>
        <v>17</v>
      </c>
      <c r="E3080" s="365" t="s">
        <v>327</v>
      </c>
      <c r="F3080" s="368" t="s">
        <v>345</v>
      </c>
      <c r="G3080" s="367" t="s">
        <v>690</v>
      </c>
      <c r="H3080" s="327" t="s">
        <v>536</v>
      </c>
      <c r="I3080" s="327">
        <v>1</v>
      </c>
      <c r="J3080" s="345" t="s">
        <v>634</v>
      </c>
      <c r="K3080" s="327"/>
      <c r="L3080" s="348">
        <f>+$S3080*$T3080*$L$37</f>
        <v>84651</v>
      </c>
      <c r="M3080" s="371"/>
      <c r="N3080" s="369" t="s">
        <v>150</v>
      </c>
      <c r="O3080" s="345" t="s">
        <v>2722</v>
      </c>
      <c r="P3080" s="392"/>
      <c r="Q3080" s="327"/>
      <c r="R3080" s="351">
        <v>2.5</v>
      </c>
      <c r="S3080" s="351">
        <v>5.8</v>
      </c>
      <c r="T3080" s="351">
        <v>0.13900000000000001</v>
      </c>
      <c r="U3080" s="329">
        <f>IF($N3080=$N$4,IFERROR(INDEX(DanhMuc!$E$154:$E$165,MATCH(MID($B3080,4,2),DanhMuc!$B$154:$B$165,0)),""),"")</f>
        <v>5800</v>
      </c>
      <c r="V3080" s="361"/>
      <c r="W3080" s="345"/>
      <c r="X3080" s="329" t="str">
        <f t="shared" si="309"/>
        <v>C459</v>
      </c>
      <c r="Y3080" s="1128" t="s">
        <v>3380</v>
      </c>
      <c r="Z3080" s="1128" t="s">
        <v>3381</v>
      </c>
      <c r="AA3080" s="1128" t="s">
        <v>3384</v>
      </c>
      <c r="AB3080" s="20"/>
      <c r="AC3080" s="73"/>
    </row>
    <row r="3081" spans="1:29">
      <c r="A3081" s="327" t="str">
        <f>IF(AND($B3081&lt;&gt;"",$C3081&lt;&gt;""),MAX($A$1556:A3078)+1,"")</f>
        <v/>
      </c>
      <c r="B3081" s="361" t="s">
        <v>2878</v>
      </c>
      <c r="C3081" s="360"/>
      <c r="D3081" s="327">
        <f>IF($B3081="","",COUNTIF($B$6:$B3081,$B3081))</f>
        <v>18</v>
      </c>
      <c r="E3081" s="402" t="s">
        <v>2893</v>
      </c>
      <c r="F3081" s="403" t="s">
        <v>79</v>
      </c>
      <c r="G3081" s="327" t="s">
        <v>155</v>
      </c>
      <c r="H3081" s="327" t="s">
        <v>536</v>
      </c>
      <c r="I3081" s="327">
        <v>1</v>
      </c>
      <c r="J3081" s="345"/>
      <c r="K3081" s="327"/>
      <c r="L3081" s="389">
        <v>167893</v>
      </c>
      <c r="M3081" s="371"/>
      <c r="N3081" s="355" t="str">
        <f t="shared" si="308"/>
        <v>PK</v>
      </c>
      <c r="O3081" s="404" t="s">
        <v>2721</v>
      </c>
      <c r="P3081" s="392"/>
      <c r="Q3081" s="327"/>
      <c r="R3081" s="351"/>
      <c r="S3081" s="351"/>
      <c r="T3081" s="351"/>
      <c r="U3081" s="329" t="str">
        <f>IF($N3081=$N$4,IFERROR(INDEX(DanhMuc!$E$154:$E$165,MATCH(MID($B3081,4,2),DanhMuc!$B$154:$B$165,0)),""),"")</f>
        <v/>
      </c>
      <c r="V3081" s="361"/>
      <c r="W3081" s="345"/>
      <c r="X3081" s="329" t="str">
        <f t="shared" si="309"/>
        <v>DR</v>
      </c>
      <c r="Y3081" s="1128" t="s">
        <v>3380</v>
      </c>
      <c r="Z3081" s="1128" t="s">
        <v>3381</v>
      </c>
      <c r="AA3081" s="1128" t="s">
        <v>3384</v>
      </c>
      <c r="AB3081" s="20"/>
      <c r="AC3081" s="73"/>
    </row>
    <row r="3082" spans="1:29">
      <c r="A3082" s="327" t="str">
        <f>IF(AND($B3082&lt;&gt;"",$C3082&lt;&gt;""),MAX($A$1556:A3081)+1,"")</f>
        <v/>
      </c>
      <c r="B3082" s="361" t="s">
        <v>2878</v>
      </c>
      <c r="C3082" s="360"/>
      <c r="D3082" s="327">
        <f>IF($B3082="","",COUNTIF($B$6:$B3082,$B3082))</f>
        <v>19</v>
      </c>
      <c r="E3082" s="361" t="s">
        <v>2905</v>
      </c>
      <c r="F3082" s="362" t="s">
        <v>2906</v>
      </c>
      <c r="G3082" s="327" t="s">
        <v>155</v>
      </c>
      <c r="H3082" s="327" t="s">
        <v>536</v>
      </c>
      <c r="I3082" s="327">
        <v>2</v>
      </c>
      <c r="J3082" s="345"/>
      <c r="K3082" s="327"/>
      <c r="L3082" s="389">
        <v>13762</v>
      </c>
      <c r="M3082" s="371"/>
      <c r="N3082" s="355" t="str">
        <f t="shared" si="308"/>
        <v>PK</v>
      </c>
      <c r="O3082" s="404" t="s">
        <v>2721</v>
      </c>
      <c r="P3082" s="392"/>
      <c r="Q3082" s="327"/>
      <c r="R3082" s="351"/>
      <c r="S3082" s="351"/>
      <c r="T3082" s="351"/>
      <c r="U3082" s="329" t="str">
        <f>IF($N3082=$N$4,IFERROR(INDEX(DanhMuc!$E$154:$E$165,MATCH(MID($B3082,4,2),DanhMuc!$B$154:$B$165,0)),""),"")</f>
        <v/>
      </c>
      <c r="V3082" s="361"/>
      <c r="W3082" s="345"/>
      <c r="X3082" s="329" t="str">
        <f t="shared" si="309"/>
        <v>DR</v>
      </c>
      <c r="Y3082" s="1128" t="s">
        <v>3380</v>
      </c>
      <c r="Z3082" s="1128" t="s">
        <v>3381</v>
      </c>
      <c r="AA3082" s="1128" t="s">
        <v>3384</v>
      </c>
      <c r="AB3082" s="20"/>
      <c r="AC3082" s="73"/>
    </row>
    <row r="3083" spans="1:29">
      <c r="A3083" s="327" t="str">
        <f>IF(AND($B3083&lt;&gt;"",$C3083&lt;&gt;""),MAX($A$1556:A3082)+1,"")</f>
        <v/>
      </c>
      <c r="B3083" s="361" t="s">
        <v>2878</v>
      </c>
      <c r="C3083" s="360"/>
      <c r="D3083" s="327">
        <f>IF($B3083="","",COUNTIF($B$6:$B3083,$B3083))</f>
        <v>20</v>
      </c>
      <c r="E3083" s="402" t="s">
        <v>2908</v>
      </c>
      <c r="F3083" s="403" t="s">
        <v>92</v>
      </c>
      <c r="G3083" s="327" t="s">
        <v>155</v>
      </c>
      <c r="H3083" s="327" t="s">
        <v>536</v>
      </c>
      <c r="I3083" s="327">
        <v>2</v>
      </c>
      <c r="J3083" s="345"/>
      <c r="K3083" s="327"/>
      <c r="L3083" s="389">
        <v>7013</v>
      </c>
      <c r="M3083" s="371"/>
      <c r="N3083" s="355" t="str">
        <f>+$N$1555</f>
        <v>PK</v>
      </c>
      <c r="O3083" s="404" t="s">
        <v>2721</v>
      </c>
      <c r="P3083" s="392"/>
      <c r="Q3083" s="327"/>
      <c r="R3083" s="351"/>
      <c r="S3083" s="351"/>
      <c r="T3083" s="351"/>
      <c r="U3083" s="329" t="str">
        <f>IF($N3083=$N$4,IFERROR(INDEX(DanhMuc!$E$154:$E$165,MATCH(MID($B3083,4,2),DanhMuc!$B$154:$B$165,0)),""),"")</f>
        <v/>
      </c>
      <c r="V3083" s="361"/>
      <c r="W3083" s="345"/>
      <c r="X3083" s="329" t="str">
        <f t="shared" si="309"/>
        <v>DR</v>
      </c>
      <c r="Y3083" s="1128" t="s">
        <v>3380</v>
      </c>
      <c r="Z3083" s="1128" t="s">
        <v>3381</v>
      </c>
      <c r="AA3083" s="1128" t="s">
        <v>3384</v>
      </c>
      <c r="AB3083" s="20"/>
      <c r="AC3083" s="73"/>
    </row>
    <row r="3084" spans="1:29">
      <c r="A3084" s="327" t="str">
        <f>IF(AND($B3084&lt;&gt;"",$C3084&lt;&gt;""),MAX($A$1556:A3082)+1,"")</f>
        <v/>
      </c>
      <c r="B3084" s="361" t="s">
        <v>2878</v>
      </c>
      <c r="C3084" s="360"/>
      <c r="D3084" s="327">
        <f>IF($B3084="","",COUNTIF($B$6:$B3084,$B3084))</f>
        <v>21</v>
      </c>
      <c r="E3084" s="365" t="s">
        <v>327</v>
      </c>
      <c r="F3084" s="368" t="s">
        <v>345</v>
      </c>
      <c r="G3084" s="367" t="s">
        <v>690</v>
      </c>
      <c r="H3084" s="327" t="s">
        <v>536</v>
      </c>
      <c r="I3084" s="327">
        <v>1</v>
      </c>
      <c r="J3084" s="345" t="s">
        <v>634</v>
      </c>
      <c r="K3084" s="327"/>
      <c r="L3084" s="348">
        <f>+$S3084*$T3084*$L$37</f>
        <v>84651</v>
      </c>
      <c r="M3084" s="371"/>
      <c r="N3084" s="369" t="s">
        <v>150</v>
      </c>
      <c r="O3084" s="404" t="s">
        <v>2721</v>
      </c>
      <c r="P3084" s="392"/>
      <c r="Q3084" s="327"/>
      <c r="R3084" s="351">
        <v>2.5</v>
      </c>
      <c r="S3084" s="351">
        <v>5.8</v>
      </c>
      <c r="T3084" s="351">
        <v>0.13900000000000001</v>
      </c>
      <c r="U3084" s="329">
        <f>IF($N3084=$N$4,IFERROR(INDEX(DanhMuc!$E$154:$E$165,MATCH(MID($B3084,4,2),DanhMuc!$B$154:$B$165,0)),""),"")</f>
        <v>5800</v>
      </c>
      <c r="V3084" s="361"/>
      <c r="W3084" s="345"/>
      <c r="X3084" s="329" t="str">
        <f t="shared" si="309"/>
        <v>C459</v>
      </c>
      <c r="Y3084" s="1128" t="s">
        <v>3380</v>
      </c>
      <c r="Z3084" s="1128" t="s">
        <v>3381</v>
      </c>
      <c r="AA3084" s="1128" t="s">
        <v>3384</v>
      </c>
      <c r="AB3084" s="20"/>
      <c r="AC3084" s="73"/>
    </row>
    <row r="3085" spans="1:29">
      <c r="A3085" s="327" t="str">
        <f>IF(AND($B3085&lt;&gt;"",$C3085&lt;&gt;""),MAX($A$1556:A3078)+1,"")</f>
        <v/>
      </c>
      <c r="B3085" s="361" t="s">
        <v>2878</v>
      </c>
      <c r="C3085" s="360"/>
      <c r="D3085" s="327">
        <f>IF($B3085="","",COUNTIF($B$6:$B3085,$B3085))</f>
        <v>22</v>
      </c>
      <c r="E3085" s="399" t="s">
        <v>2946</v>
      </c>
      <c r="F3085" s="400" t="s">
        <v>322</v>
      </c>
      <c r="G3085" s="327" t="s">
        <v>155</v>
      </c>
      <c r="H3085" s="327" t="s">
        <v>536</v>
      </c>
      <c r="I3085" s="327">
        <v>1</v>
      </c>
      <c r="J3085" s="345"/>
      <c r="K3085" s="327"/>
      <c r="L3085" s="389">
        <v>114113</v>
      </c>
      <c r="M3085" s="371"/>
      <c r="N3085" s="355" t="str">
        <f t="shared" si="308"/>
        <v>PK</v>
      </c>
      <c r="O3085" s="345" t="s">
        <v>2699</v>
      </c>
      <c r="P3085" s="392"/>
      <c r="Q3085" s="327"/>
      <c r="R3085" s="351"/>
      <c r="S3085" s="351"/>
      <c r="T3085" s="351"/>
      <c r="U3085" s="329" t="str">
        <f>IF($N3085=$N$4,IFERROR(INDEX(DanhMuc!$E$154:$E$165,MATCH(MID($B3085,4,2),DanhMuc!$B$154:$B$165,0)),""),"")</f>
        <v/>
      </c>
      <c r="V3085" s="361"/>
      <c r="W3085" s="345"/>
      <c r="X3085" s="329" t="str">
        <f t="shared" si="309"/>
        <v>DR</v>
      </c>
      <c r="Y3085" s="1128" t="s">
        <v>3380</v>
      </c>
      <c r="Z3085" s="1128" t="s">
        <v>3381</v>
      </c>
      <c r="AA3085" s="1128" t="s">
        <v>3384</v>
      </c>
      <c r="AB3085" s="20"/>
      <c r="AC3085" s="73"/>
    </row>
    <row r="3086" spans="1:29">
      <c r="A3086" s="327" t="str">
        <f>IF(AND($B3086&lt;&gt;"",$C3086&lt;&gt;""),MAX($A$1556:A3085)+1,"")</f>
        <v/>
      </c>
      <c r="B3086" s="361" t="s">
        <v>2878</v>
      </c>
      <c r="C3086" s="360"/>
      <c r="D3086" s="327">
        <f>IF($B3086="","",COUNTIF($B$6:$B3086,$B3086))</f>
        <v>23</v>
      </c>
      <c r="E3086" s="399" t="s">
        <v>2954</v>
      </c>
      <c r="F3086" s="400" t="s">
        <v>1208</v>
      </c>
      <c r="G3086" s="327" t="s">
        <v>155</v>
      </c>
      <c r="H3086" s="327" t="s">
        <v>536</v>
      </c>
      <c r="I3086" s="327">
        <v>1</v>
      </c>
      <c r="J3086" s="345"/>
      <c r="K3086" s="327"/>
      <c r="L3086" s="389">
        <v>114113</v>
      </c>
      <c r="M3086" s="371"/>
      <c r="N3086" s="355" t="str">
        <f t="shared" si="308"/>
        <v>PK</v>
      </c>
      <c r="O3086" s="345" t="s">
        <v>1060</v>
      </c>
      <c r="P3086" s="392"/>
      <c r="Q3086" s="327"/>
      <c r="R3086" s="351"/>
      <c r="S3086" s="351"/>
      <c r="T3086" s="351"/>
      <c r="U3086" s="329" t="str">
        <f>IF($N3086=$N$4,IFERROR(INDEX(DanhMuc!$E$154:$E$165,MATCH(MID($B3086,4,2),DanhMuc!$B$154:$B$165,0)),""),"")</f>
        <v/>
      </c>
      <c r="V3086" s="361"/>
      <c r="W3086" s="345"/>
      <c r="X3086" s="329" t="str">
        <f t="shared" si="309"/>
        <v>DR</v>
      </c>
      <c r="Y3086" s="1128" t="s">
        <v>3380</v>
      </c>
      <c r="Z3086" s="1128" t="s">
        <v>3381</v>
      </c>
      <c r="AA3086" s="1128" t="s">
        <v>3384</v>
      </c>
      <c r="AB3086" s="20"/>
      <c r="AC3086" s="73"/>
    </row>
    <row r="3087" spans="1:29">
      <c r="A3087" s="327" t="str">
        <f>IF(AND($B3087&lt;&gt;"",$C3087&lt;&gt;""),MAX($A$1556:A3086)+1,"")</f>
        <v/>
      </c>
      <c r="B3087" s="361" t="s">
        <v>2878</v>
      </c>
      <c r="C3087" s="360"/>
      <c r="D3087" s="327">
        <f>IF($B3087="","",COUNTIF($B$6:$B3087,$B3087))</f>
        <v>24</v>
      </c>
      <c r="E3087" s="361" t="s">
        <v>2892</v>
      </c>
      <c r="F3087" s="362" t="s">
        <v>196</v>
      </c>
      <c r="G3087" s="351" t="s">
        <v>155</v>
      </c>
      <c r="H3087" s="327"/>
      <c r="I3087" s="327">
        <v>1</v>
      </c>
      <c r="J3087" s="361"/>
      <c r="K3087" s="327"/>
      <c r="L3087" s="389">
        <v>126361</v>
      </c>
      <c r="M3087" s="371"/>
      <c r="N3087" s="355" t="str">
        <f t="shared" si="308"/>
        <v>PK</v>
      </c>
      <c r="O3087" s="404"/>
      <c r="P3087" s="392"/>
      <c r="Q3087" s="327"/>
      <c r="R3087" s="351"/>
      <c r="S3087" s="351"/>
      <c r="T3087" s="351"/>
      <c r="U3087" s="329" t="str">
        <f>IF($N3087=$N$4,IFERROR(INDEX(DanhMuc!$E$154:$E$165,MATCH(MID($B3087,4,2),DanhMuc!$B$154:$B$165,0)),""),"")</f>
        <v/>
      </c>
      <c r="V3087" s="361"/>
      <c r="W3087" s="345"/>
      <c r="X3087" s="329" t="str">
        <f t="shared" si="309"/>
        <v>DR</v>
      </c>
      <c r="Y3087" s="1128" t="s">
        <v>3380</v>
      </c>
      <c r="Z3087" s="1128" t="s">
        <v>3381</v>
      </c>
      <c r="AA3087" s="1128" t="s">
        <v>3384</v>
      </c>
      <c r="AB3087" s="20"/>
      <c r="AC3087" s="73"/>
    </row>
    <row r="3088" spans="1:29">
      <c r="A3088" s="327" t="str">
        <f>IF(AND($B3088&lt;&gt;"",$C3088&lt;&gt;""),MAX($A$1556:A3087)+1,"")</f>
        <v/>
      </c>
      <c r="B3088" s="361" t="s">
        <v>2878</v>
      </c>
      <c r="C3088" s="360"/>
      <c r="D3088" s="327">
        <f>IF($B3088="","",COUNTIF($B$6:$B3088,$B3088))</f>
        <v>25</v>
      </c>
      <c r="E3088" s="361" t="s">
        <v>2947</v>
      </c>
      <c r="F3088" s="362" t="s">
        <v>200</v>
      </c>
      <c r="G3088" s="327" t="s">
        <v>155</v>
      </c>
      <c r="H3088" s="327" t="s">
        <v>536</v>
      </c>
      <c r="I3088" s="327">
        <v>1</v>
      </c>
      <c r="J3088" s="361"/>
      <c r="K3088" s="327"/>
      <c r="L3088" s="389">
        <v>12614</v>
      </c>
      <c r="M3088" s="371"/>
      <c r="N3088" s="355" t="str">
        <f t="shared" si="308"/>
        <v>PK</v>
      </c>
      <c r="O3088" s="414"/>
      <c r="P3088" s="392"/>
      <c r="Q3088" s="327"/>
      <c r="R3088" s="351"/>
      <c r="S3088" s="351"/>
      <c r="T3088" s="351"/>
      <c r="U3088" s="329" t="str">
        <f>IF($N3088=$N$4,IFERROR(INDEX(DanhMuc!$E$154:$E$165,MATCH(MID($B3088,4,2),DanhMuc!$B$154:$B$165,0)),""),"")</f>
        <v/>
      </c>
      <c r="V3088" s="361"/>
      <c r="W3088" s="345"/>
      <c r="X3088" s="329" t="str">
        <f t="shared" si="309"/>
        <v>DR</v>
      </c>
      <c r="Y3088" s="1128" t="s">
        <v>3380</v>
      </c>
      <c r="Z3088" s="1128" t="s">
        <v>3381</v>
      </c>
      <c r="AA3088" s="1128" t="s">
        <v>3384</v>
      </c>
      <c r="AB3088" s="20"/>
      <c r="AC3088" s="73"/>
    </row>
    <row r="3089" spans="1:29">
      <c r="A3089" s="327" t="str">
        <f>IF(AND($B3089&lt;&gt;"",$C3089&lt;&gt;""),MAX($A$1556:A3087)+1,"")</f>
        <v/>
      </c>
      <c r="B3089" s="361" t="s">
        <v>2878</v>
      </c>
      <c r="C3089" s="360"/>
      <c r="D3089" s="327">
        <f>IF($B3089="","",COUNTIF($B$6:$B3089,$B3089))</f>
        <v>26</v>
      </c>
      <c r="E3089" s="361" t="s">
        <v>1444</v>
      </c>
      <c r="F3089" s="362" t="s">
        <v>2356</v>
      </c>
      <c r="G3089" s="327" t="s">
        <v>297</v>
      </c>
      <c r="H3089" s="327"/>
      <c r="I3089" s="327">
        <v>3</v>
      </c>
      <c r="J3089" s="345"/>
      <c r="K3089" s="327"/>
      <c r="L3089" s="389">
        <v>17000</v>
      </c>
      <c r="M3089" s="371"/>
      <c r="N3089" s="355" t="str">
        <f>+$N$1555</f>
        <v>PK</v>
      </c>
      <c r="O3089" s="347"/>
      <c r="P3089" s="392"/>
      <c r="Q3089" s="327"/>
      <c r="R3089" s="351"/>
      <c r="S3089" s="351"/>
      <c r="T3089" s="351"/>
      <c r="U3089" s="329" t="str">
        <f>IF($N3089=$N$4,IFERROR(INDEX(DanhMuc!$E$154:$E$165,MATCH(MID($B3089,4,2),DanhMuc!$B$154:$B$165,0)),""),"")</f>
        <v/>
      </c>
      <c r="V3089" s="408" t="s">
        <v>343</v>
      </c>
      <c r="W3089" s="345"/>
      <c r="X3089" s="329" t="str">
        <f t="shared" si="309"/>
        <v>DR</v>
      </c>
      <c r="Y3089" s="1128" t="s">
        <v>3380</v>
      </c>
      <c r="Z3089" s="1128" t="s">
        <v>3381</v>
      </c>
      <c r="AA3089" s="1128" t="s">
        <v>3384</v>
      </c>
      <c r="AB3089" s="20"/>
      <c r="AC3089" s="73"/>
    </row>
    <row r="3090" spans="1:29" ht="26">
      <c r="A3090" s="327">
        <f>IF(AND($B3090&lt;&gt;"",$C3090&lt;&gt;""),MAX($A$1556:A3088)+1,"")</f>
        <v>156</v>
      </c>
      <c r="B3090" s="359" t="s">
        <v>2879</v>
      </c>
      <c r="C3090" s="360" t="s">
        <v>1542</v>
      </c>
      <c r="D3090" s="327">
        <f>IF($B3090="","",COUNTIF($B$6:$B3090,$B3090))</f>
        <v>1</v>
      </c>
      <c r="E3090" s="361" t="s">
        <v>2955</v>
      </c>
      <c r="F3090" s="362" t="s">
        <v>2960</v>
      </c>
      <c r="G3090" s="327" t="s">
        <v>155</v>
      </c>
      <c r="H3090" s="327"/>
      <c r="I3090" s="327">
        <v>1</v>
      </c>
      <c r="J3090" s="361"/>
      <c r="K3090" s="327"/>
      <c r="L3090" s="389">
        <v>66547</v>
      </c>
      <c r="M3090" s="371"/>
      <c r="N3090" s="355" t="str">
        <f t="shared" ref="N3090:N3095" si="310">+$N$1555</f>
        <v>PK</v>
      </c>
      <c r="O3090" s="345" t="s">
        <v>2961</v>
      </c>
      <c r="P3090" s="392"/>
      <c r="Q3090" s="327"/>
      <c r="R3090" s="351"/>
      <c r="S3090" s="351"/>
      <c r="T3090" s="351"/>
      <c r="U3090" s="329" t="str">
        <f>IF($N3090=$N$4,IFERROR(INDEX(DanhMuc!$E$154:$E$165,MATCH(MID($B3090,4,2),DanhMuc!$B$154:$B$165,0)),""),"")</f>
        <v/>
      </c>
      <c r="V3090" s="361"/>
      <c r="W3090" s="345"/>
      <c r="X3090" s="329" t="str">
        <f t="shared" si="309"/>
        <v>DR</v>
      </c>
      <c r="Y3090" s="1128" t="s">
        <v>3380</v>
      </c>
      <c r="Z3090" s="1128" t="s">
        <v>3381</v>
      </c>
      <c r="AA3090" s="1128" t="s">
        <v>3384</v>
      </c>
      <c r="AB3090" s="20"/>
      <c r="AC3090" s="73"/>
    </row>
    <row r="3091" spans="1:29">
      <c r="A3091" s="327" t="str">
        <f>IF(AND($B3091&lt;&gt;"",$C3091&lt;&gt;""),MAX($A$1556:A3089)+1,"")</f>
        <v/>
      </c>
      <c r="B3091" s="361" t="s">
        <v>2879</v>
      </c>
      <c r="C3091" s="362"/>
      <c r="D3091" s="327">
        <f>IF($B3091="","",COUNTIF($B$6:$B3091,$B3091))</f>
        <v>2</v>
      </c>
      <c r="E3091" s="361" t="s">
        <v>2955</v>
      </c>
      <c r="F3091" s="362" t="s">
        <v>2962</v>
      </c>
      <c r="G3091" s="327" t="s">
        <v>155</v>
      </c>
      <c r="H3091" s="327"/>
      <c r="I3091" s="327">
        <v>1</v>
      </c>
      <c r="J3091" s="361"/>
      <c r="K3091" s="327"/>
      <c r="L3091" s="389">
        <v>66547</v>
      </c>
      <c r="M3091" s="371"/>
      <c r="N3091" s="355" t="str">
        <f t="shared" si="310"/>
        <v>PK</v>
      </c>
      <c r="O3091" s="345" t="s">
        <v>2956</v>
      </c>
      <c r="P3091" s="392"/>
      <c r="Q3091" s="327"/>
      <c r="R3091" s="351"/>
      <c r="S3091" s="351"/>
      <c r="T3091" s="351"/>
      <c r="U3091" s="329" t="str">
        <f>IF($N3091=$N$4,IFERROR(INDEX(DanhMuc!$E$154:$E$165,MATCH(MID($B3091,4,2),DanhMuc!$B$154:$B$165,0)),""),"")</f>
        <v/>
      </c>
      <c r="V3091" s="361"/>
      <c r="W3091" s="345"/>
      <c r="X3091" s="329" t="str">
        <f t="shared" si="309"/>
        <v>DR</v>
      </c>
      <c r="Y3091" s="1128" t="s">
        <v>3380</v>
      </c>
      <c r="Z3091" s="1128" t="s">
        <v>3381</v>
      </c>
      <c r="AA3091" s="1128" t="s">
        <v>3384</v>
      </c>
      <c r="AB3091" s="20"/>
      <c r="AC3091" s="73"/>
    </row>
    <row r="3092" spans="1:29" ht="25">
      <c r="A3092" s="327" t="str">
        <f>IF(AND($B3092&lt;&gt;"",$C3092&lt;&gt;""),MAX($A$1556:A3089)+1,"")</f>
        <v/>
      </c>
      <c r="B3092" s="361" t="s">
        <v>2879</v>
      </c>
      <c r="C3092" s="362"/>
      <c r="D3092" s="327">
        <f>IF($B3092="","",COUNTIF($B$6:$B3092,$B3092))</f>
        <v>3</v>
      </c>
      <c r="E3092" s="361" t="s">
        <v>2921</v>
      </c>
      <c r="F3092" s="362" t="s">
        <v>210</v>
      </c>
      <c r="G3092" s="327" t="s">
        <v>155</v>
      </c>
      <c r="H3092" s="327"/>
      <c r="I3092" s="327">
        <v>1</v>
      </c>
      <c r="J3092" s="361"/>
      <c r="K3092" s="327"/>
      <c r="L3092" s="389">
        <v>68884</v>
      </c>
      <c r="M3092" s="371"/>
      <c r="N3092" s="355" t="str">
        <f t="shared" si="310"/>
        <v>PK</v>
      </c>
      <c r="O3092" s="345" t="s">
        <v>1782</v>
      </c>
      <c r="P3092" s="392"/>
      <c r="Q3092" s="327"/>
      <c r="R3092" s="351"/>
      <c r="S3092" s="351"/>
      <c r="T3092" s="351"/>
      <c r="U3092" s="329" t="str">
        <f>IF($N3092=$N$4,IFERROR(INDEX(DanhMuc!$E$154:$E$165,MATCH(MID($B3092,4,2),DanhMuc!$B$154:$B$165,0)),""),"")</f>
        <v/>
      </c>
      <c r="V3092" s="361"/>
      <c r="W3092" s="345"/>
      <c r="X3092" s="329" t="str">
        <f t="shared" si="309"/>
        <v>DR</v>
      </c>
      <c r="Y3092" s="1128" t="s">
        <v>3380</v>
      </c>
      <c r="Z3092" s="1128" t="s">
        <v>3381</v>
      </c>
      <c r="AA3092" s="1128" t="s">
        <v>3384</v>
      </c>
      <c r="AB3092" s="20"/>
      <c r="AC3092" s="73"/>
    </row>
    <row r="3093" spans="1:29">
      <c r="A3093" s="327" t="str">
        <f>IF(AND($B3093&lt;&gt;"",$C3093&lt;&gt;""),MAX($A$1556:A3090)+1,"")</f>
        <v/>
      </c>
      <c r="B3093" s="361" t="s">
        <v>2879</v>
      </c>
      <c r="C3093" s="360"/>
      <c r="D3093" s="327">
        <f>IF($B3093="","",COUNTIF($B$6:$B3093,$B3093))</f>
        <v>4</v>
      </c>
      <c r="E3093" s="361" t="s">
        <v>2957</v>
      </c>
      <c r="F3093" s="362" t="s">
        <v>224</v>
      </c>
      <c r="G3093" s="327" t="s">
        <v>155</v>
      </c>
      <c r="H3093" s="327" t="s">
        <v>536</v>
      </c>
      <c r="I3093" s="327">
        <v>1</v>
      </c>
      <c r="J3093" s="361"/>
      <c r="K3093" s="327"/>
      <c r="L3093" s="389">
        <v>14595</v>
      </c>
      <c r="M3093" s="371"/>
      <c r="N3093" s="355" t="str">
        <f t="shared" si="310"/>
        <v>PK</v>
      </c>
      <c r="O3093" s="345" t="s">
        <v>1623</v>
      </c>
      <c r="P3093" s="392"/>
      <c r="Q3093" s="327"/>
      <c r="R3093" s="351"/>
      <c r="S3093" s="351"/>
      <c r="T3093" s="351"/>
      <c r="U3093" s="329" t="str">
        <f>IF($N3093=$N$4,IFERROR(INDEX(DanhMuc!$E$154:$E$165,MATCH(MID($B3093,4,2),DanhMuc!$B$154:$B$165,0)),""),"")</f>
        <v/>
      </c>
      <c r="V3093" s="361"/>
      <c r="W3093" s="345"/>
      <c r="X3093" s="329" t="str">
        <f t="shared" si="309"/>
        <v>DR</v>
      </c>
      <c r="Y3093" s="1128" t="s">
        <v>3380</v>
      </c>
      <c r="Z3093" s="1128" t="s">
        <v>3381</v>
      </c>
      <c r="AA3093" s="1128" t="s">
        <v>3384</v>
      </c>
      <c r="AB3093" s="20"/>
      <c r="AC3093" s="73"/>
    </row>
    <row r="3094" spans="1:29">
      <c r="A3094" s="327" t="str">
        <f>IF(AND($B3094&lt;&gt;"",$C3094&lt;&gt;""),MAX($A$1556:A3093)+1,"")</f>
        <v/>
      </c>
      <c r="B3094" s="361" t="s">
        <v>2879</v>
      </c>
      <c r="C3094" s="360"/>
      <c r="D3094" s="327">
        <f>IF($B3094="","",COUNTIF($B$6:$B3094,$B3094))</f>
        <v>5</v>
      </c>
      <c r="E3094" s="361" t="s">
        <v>2895</v>
      </c>
      <c r="F3094" s="362" t="s">
        <v>2907</v>
      </c>
      <c r="G3094" s="327" t="s">
        <v>155</v>
      </c>
      <c r="H3094" s="327" t="s">
        <v>536</v>
      </c>
      <c r="I3094" s="327">
        <v>2</v>
      </c>
      <c r="J3094" s="345"/>
      <c r="K3094" s="327"/>
      <c r="L3094" s="389">
        <v>13762</v>
      </c>
      <c r="M3094" s="371"/>
      <c r="N3094" s="355" t="str">
        <f t="shared" si="310"/>
        <v>PK</v>
      </c>
      <c r="O3094" s="345" t="s">
        <v>1623</v>
      </c>
      <c r="P3094" s="392"/>
      <c r="Q3094" s="327"/>
      <c r="R3094" s="351"/>
      <c r="S3094" s="351"/>
      <c r="T3094" s="351"/>
      <c r="U3094" s="329" t="str">
        <f>IF($N3094=$N$4,IFERROR(INDEX(DanhMuc!$E$154:$E$165,MATCH(MID($B3094,4,2),DanhMuc!$B$154:$B$165,0)),""),"")</f>
        <v/>
      </c>
      <c r="V3094" s="361"/>
      <c r="W3094" s="345"/>
      <c r="X3094" s="329" t="str">
        <f t="shared" si="309"/>
        <v>DR</v>
      </c>
      <c r="Y3094" s="1128" t="s">
        <v>3380</v>
      </c>
      <c r="Z3094" s="1128" t="s">
        <v>3381</v>
      </c>
      <c r="AA3094" s="1128" t="s">
        <v>3384</v>
      </c>
      <c r="AB3094" s="20"/>
      <c r="AC3094" s="73"/>
    </row>
    <row r="3095" spans="1:29">
      <c r="A3095" s="327" t="str">
        <f>IF(AND($B3095&lt;&gt;"",$C3095&lt;&gt;""),MAX($A$1556:A3094)+1,"")</f>
        <v/>
      </c>
      <c r="B3095" s="361" t="s">
        <v>2879</v>
      </c>
      <c r="C3095" s="360"/>
      <c r="D3095" s="327">
        <f>IF($B3095="","",COUNTIF($B$6:$B3095,$B3095))</f>
        <v>6</v>
      </c>
      <c r="E3095" s="402" t="s">
        <v>2896</v>
      </c>
      <c r="F3095" s="362" t="s">
        <v>90</v>
      </c>
      <c r="G3095" s="327" t="s">
        <v>155</v>
      </c>
      <c r="H3095" s="327" t="s">
        <v>536</v>
      </c>
      <c r="I3095" s="327">
        <v>2</v>
      </c>
      <c r="J3095" s="345"/>
      <c r="K3095" s="327"/>
      <c r="L3095" s="389">
        <v>5772</v>
      </c>
      <c r="M3095" s="371"/>
      <c r="N3095" s="355" t="str">
        <f t="shared" si="310"/>
        <v>PK</v>
      </c>
      <c r="O3095" s="345"/>
      <c r="P3095" s="392"/>
      <c r="Q3095" s="327"/>
      <c r="R3095" s="351"/>
      <c r="S3095" s="351"/>
      <c r="T3095" s="351"/>
      <c r="U3095" s="329" t="str">
        <f>IF($N3095=$N$4,IFERROR(INDEX(DanhMuc!$E$154:$E$165,MATCH(MID($B3095,4,2),DanhMuc!$B$154:$B$165,0)),""),"")</f>
        <v/>
      </c>
      <c r="V3095" s="361"/>
      <c r="W3095" s="345"/>
      <c r="X3095" s="329" t="str">
        <f t="shared" si="309"/>
        <v>DR</v>
      </c>
      <c r="Y3095" s="1128" t="s">
        <v>3380</v>
      </c>
      <c r="Z3095" s="1128" t="s">
        <v>3381</v>
      </c>
      <c r="AA3095" s="1128" t="s">
        <v>3384</v>
      </c>
      <c r="AB3095" s="20"/>
      <c r="AC3095" s="73"/>
    </row>
    <row r="3096" spans="1:29">
      <c r="A3096" s="327" t="str">
        <f>IF(AND($B3096&lt;&gt;"",$C3096&lt;&gt;""),MAX($A$1556:A3095)+1,"")</f>
        <v/>
      </c>
      <c r="B3096" s="361" t="s">
        <v>2879</v>
      </c>
      <c r="C3096" s="360"/>
      <c r="D3096" s="327">
        <f>IF($B3096="","",COUNTIF($B$6:$B3096,$B3096))</f>
        <v>7</v>
      </c>
      <c r="E3096" s="365" t="s">
        <v>327</v>
      </c>
      <c r="F3096" s="368" t="s">
        <v>345</v>
      </c>
      <c r="G3096" s="367" t="s">
        <v>690</v>
      </c>
      <c r="H3096" s="327" t="s">
        <v>536</v>
      </c>
      <c r="I3096" s="327">
        <v>1</v>
      </c>
      <c r="J3096" s="345" t="s">
        <v>710</v>
      </c>
      <c r="K3096" s="327"/>
      <c r="L3096" s="348">
        <f>+$S3096*$T3096*$L$37</f>
        <v>84651</v>
      </c>
      <c r="M3096" s="371"/>
      <c r="N3096" s="369" t="s">
        <v>150</v>
      </c>
      <c r="O3096" s="345" t="s">
        <v>1623</v>
      </c>
      <c r="P3096" s="392"/>
      <c r="Q3096" s="327"/>
      <c r="R3096" s="351">
        <v>2.5</v>
      </c>
      <c r="S3096" s="351">
        <v>5.8</v>
      </c>
      <c r="T3096" s="351">
        <v>0.13900000000000001</v>
      </c>
      <c r="U3096" s="329">
        <f>IF($N3096=$N$4,IFERROR(INDEX(DanhMuc!$E$154:$E$165,MATCH(MID($B3096,4,2),DanhMuc!$B$154:$B$165,0)),""),"")</f>
        <v>5800</v>
      </c>
      <c r="V3096" s="361"/>
      <c r="W3096" s="345"/>
      <c r="X3096" s="329" t="str">
        <f t="shared" si="309"/>
        <v>C459</v>
      </c>
      <c r="Y3096" s="1128" t="s">
        <v>3380</v>
      </c>
      <c r="Z3096" s="1128" t="s">
        <v>3381</v>
      </c>
      <c r="AA3096" s="1128" t="s">
        <v>3384</v>
      </c>
      <c r="AB3096" s="20"/>
      <c r="AC3096" s="73"/>
    </row>
    <row r="3097" spans="1:29">
      <c r="A3097" s="327" t="str">
        <f>IF(AND($B3097&lt;&gt;"",$C3097&lt;&gt;""),MAX($A$1556:A3096)+1,"")</f>
        <v/>
      </c>
      <c r="B3097" s="361" t="s">
        <v>2879</v>
      </c>
      <c r="C3097" s="360"/>
      <c r="D3097" s="327">
        <f>IF($B3097="","",COUNTIF($B$6:$B3097,$B3097))</f>
        <v>8</v>
      </c>
      <c r="E3097" s="361" t="s">
        <v>175</v>
      </c>
      <c r="F3097" s="362" t="s">
        <v>176</v>
      </c>
      <c r="G3097" s="327" t="s">
        <v>155</v>
      </c>
      <c r="H3097" s="327" t="s">
        <v>536</v>
      </c>
      <c r="I3097" s="327">
        <v>2</v>
      </c>
      <c r="J3097" s="361"/>
      <c r="K3097" s="327"/>
      <c r="L3097" s="389">
        <v>2000</v>
      </c>
      <c r="M3097" s="371"/>
      <c r="N3097" s="355" t="str">
        <f>+$N$1555</f>
        <v>PK</v>
      </c>
      <c r="O3097" s="345"/>
      <c r="P3097" s="392"/>
      <c r="Q3097" s="327"/>
      <c r="R3097" s="351"/>
      <c r="S3097" s="351"/>
      <c r="T3097" s="351"/>
      <c r="U3097" s="329" t="str">
        <f>IF($N3097=$N$4,IFERROR(INDEX(DanhMuc!$E$154:$E$165,MATCH(MID($B3097,4,2),DanhMuc!$B$154:$B$165,0)),""),"")</f>
        <v/>
      </c>
      <c r="V3097" s="361"/>
      <c r="W3097" s="345"/>
      <c r="X3097" s="329" t="str">
        <f t="shared" si="309"/>
        <v>DR</v>
      </c>
      <c r="Y3097" s="1128" t="s">
        <v>3380</v>
      </c>
      <c r="Z3097" s="1128" t="s">
        <v>3381</v>
      </c>
      <c r="AA3097" s="1128" t="s">
        <v>3384</v>
      </c>
      <c r="AB3097" s="20"/>
      <c r="AC3097" s="73"/>
    </row>
    <row r="3098" spans="1:29">
      <c r="A3098" s="327" t="str">
        <f>IF(AND($B3098&lt;&gt;"",$C3098&lt;&gt;""),MAX($A$1556:A3097)+1,"")</f>
        <v/>
      </c>
      <c r="B3098" s="361" t="s">
        <v>2879</v>
      </c>
      <c r="C3098" s="360"/>
      <c r="D3098" s="327">
        <f>IF($B3098="","",COUNTIF($B$6:$B3098,$B3098))</f>
        <v>9</v>
      </c>
      <c r="E3098" s="405" t="s">
        <v>2964</v>
      </c>
      <c r="F3098" s="406" t="s">
        <v>178</v>
      </c>
      <c r="G3098" s="327" t="s">
        <v>155</v>
      </c>
      <c r="H3098" s="327" t="s">
        <v>536</v>
      </c>
      <c r="I3098" s="327">
        <v>2</v>
      </c>
      <c r="J3098" s="345"/>
      <c r="K3098" s="327"/>
      <c r="L3098" s="389">
        <v>59917</v>
      </c>
      <c r="M3098" s="371"/>
      <c r="N3098" s="355" t="str">
        <f>+$N$1555</f>
        <v>PK</v>
      </c>
      <c r="O3098" s="407" t="s">
        <v>1698</v>
      </c>
      <c r="P3098" s="392"/>
      <c r="Q3098" s="327"/>
      <c r="R3098" s="351"/>
      <c r="S3098" s="351"/>
      <c r="T3098" s="351"/>
      <c r="U3098" s="329" t="str">
        <f>IF($N3098=$N$4,IFERROR(INDEX(DanhMuc!$E$154:$E$165,MATCH(MID($B3098,4,2),DanhMuc!$B$154:$B$165,0)),""),"")</f>
        <v/>
      </c>
      <c r="V3098" s="361"/>
      <c r="W3098" s="345"/>
      <c r="X3098" s="329" t="str">
        <f t="shared" si="309"/>
        <v>DR</v>
      </c>
      <c r="Y3098" s="1128" t="s">
        <v>3380</v>
      </c>
      <c r="Z3098" s="1128" t="s">
        <v>3381</v>
      </c>
      <c r="AA3098" s="1128" t="s">
        <v>3384</v>
      </c>
      <c r="AB3098" s="20"/>
      <c r="AC3098" s="73"/>
    </row>
    <row r="3099" spans="1:29">
      <c r="A3099" s="327" t="str">
        <f>IF(AND($B3099&lt;&gt;"",$C3099&lt;&gt;""),MAX($A$1556:A3098)+1,"")</f>
        <v/>
      </c>
      <c r="B3099" s="361" t="s">
        <v>2879</v>
      </c>
      <c r="C3099" s="360"/>
      <c r="D3099" s="327">
        <f>IF($B3099="","",COUNTIF($B$6:$B3099,$B3099))</f>
        <v>10</v>
      </c>
      <c r="E3099" s="405" t="s">
        <v>2965</v>
      </c>
      <c r="F3099" s="406" t="s">
        <v>202</v>
      </c>
      <c r="G3099" s="327" t="s">
        <v>155</v>
      </c>
      <c r="H3099" s="327" t="s">
        <v>536</v>
      </c>
      <c r="I3099" s="327">
        <v>2</v>
      </c>
      <c r="J3099" s="345"/>
      <c r="K3099" s="327"/>
      <c r="L3099" s="389">
        <v>66708</v>
      </c>
      <c r="M3099" s="371"/>
      <c r="N3099" s="355" t="str">
        <f t="shared" ref="N3099:N3108" si="311">+$N$1555</f>
        <v>PK</v>
      </c>
      <c r="O3099" s="407" t="s">
        <v>1699</v>
      </c>
      <c r="P3099" s="392"/>
      <c r="Q3099" s="327"/>
      <c r="R3099" s="351"/>
      <c r="S3099" s="351"/>
      <c r="T3099" s="351"/>
      <c r="U3099" s="329" t="str">
        <f>IF($N3099=$N$4,IFERROR(INDEX(DanhMuc!$E$154:$E$165,MATCH(MID($B3099,4,2),DanhMuc!$B$154:$B$165,0)),""),"")</f>
        <v/>
      </c>
      <c r="V3099" s="361"/>
      <c r="W3099" s="345"/>
      <c r="X3099" s="329" t="str">
        <f t="shared" si="309"/>
        <v>DR</v>
      </c>
      <c r="Y3099" s="1128" t="s">
        <v>3380</v>
      </c>
      <c r="Z3099" s="1128" t="s">
        <v>3381</v>
      </c>
      <c r="AA3099" s="1128" t="s">
        <v>3384</v>
      </c>
      <c r="AB3099" s="20"/>
      <c r="AC3099" s="73"/>
    </row>
    <row r="3100" spans="1:29">
      <c r="A3100" s="327" t="str">
        <f>IF(AND($B3100&lt;&gt;"",$C3100&lt;&gt;""),MAX($A$1556:A3099)+1,"")</f>
        <v/>
      </c>
      <c r="B3100" s="361" t="s">
        <v>2879</v>
      </c>
      <c r="C3100" s="360"/>
      <c r="D3100" s="327">
        <f>IF($B3100="","",COUNTIF($B$6:$B3100,$B3100))</f>
        <v>11</v>
      </c>
      <c r="E3100" s="405" t="s">
        <v>2963</v>
      </c>
      <c r="F3100" s="406" t="s">
        <v>204</v>
      </c>
      <c r="G3100" s="327" t="s">
        <v>155</v>
      </c>
      <c r="H3100" s="327" t="s">
        <v>536</v>
      </c>
      <c r="I3100" s="327">
        <v>2</v>
      </c>
      <c r="J3100" s="345"/>
      <c r="K3100" s="327"/>
      <c r="L3100" s="389">
        <v>71145</v>
      </c>
      <c r="M3100" s="371"/>
      <c r="N3100" s="355" t="str">
        <f t="shared" si="311"/>
        <v>PK</v>
      </c>
      <c r="O3100" s="407" t="s">
        <v>1700</v>
      </c>
      <c r="P3100" s="392"/>
      <c r="Q3100" s="327"/>
      <c r="R3100" s="351"/>
      <c r="S3100" s="351"/>
      <c r="T3100" s="351"/>
      <c r="U3100" s="329" t="str">
        <f>IF($N3100=$N$4,IFERROR(INDEX(DanhMuc!$E$154:$E$165,MATCH(MID($B3100,4,2),DanhMuc!$B$154:$B$165,0)),""),"")</f>
        <v/>
      </c>
      <c r="V3100" s="361"/>
      <c r="W3100" s="345"/>
      <c r="X3100" s="329" t="str">
        <f t="shared" si="309"/>
        <v>DR</v>
      </c>
      <c r="Y3100" s="1128" t="s">
        <v>3380</v>
      </c>
      <c r="Z3100" s="1128" t="s">
        <v>3381</v>
      </c>
      <c r="AA3100" s="1128" t="s">
        <v>3384</v>
      </c>
      <c r="AB3100" s="20"/>
      <c r="AC3100" s="73"/>
    </row>
    <row r="3101" spans="1:29">
      <c r="A3101" s="327" t="str">
        <f>IF(AND($B3101&lt;&gt;"",$C3101&lt;&gt;""),MAX($A$1556:A3100)+1,"")</f>
        <v/>
      </c>
      <c r="B3101" s="361" t="s">
        <v>2879</v>
      </c>
      <c r="C3101" s="360"/>
      <c r="D3101" s="327">
        <f>IF($B3101="","",COUNTIF($B$6:$B3101,$B3101))</f>
        <v>12</v>
      </c>
      <c r="E3101" s="405" t="s">
        <v>2966</v>
      </c>
      <c r="F3101" s="406" t="s">
        <v>206</v>
      </c>
      <c r="G3101" s="327" t="s">
        <v>155</v>
      </c>
      <c r="H3101" s="327" t="s">
        <v>536</v>
      </c>
      <c r="I3101" s="327">
        <v>2</v>
      </c>
      <c r="J3101" s="345"/>
      <c r="K3101" s="327"/>
      <c r="L3101" s="389">
        <v>79747</v>
      </c>
      <c r="M3101" s="371"/>
      <c r="N3101" s="355" t="str">
        <f t="shared" si="311"/>
        <v>PK</v>
      </c>
      <c r="O3101" s="407" t="s">
        <v>1701</v>
      </c>
      <c r="P3101" s="392"/>
      <c r="Q3101" s="327"/>
      <c r="R3101" s="351"/>
      <c r="S3101" s="351"/>
      <c r="T3101" s="351"/>
      <c r="U3101" s="329" t="str">
        <f>IF($N3101=$N$4,IFERROR(INDEX(DanhMuc!$E$154:$E$165,MATCH(MID($B3101,4,2),DanhMuc!$B$154:$B$165,0)),""),"")</f>
        <v/>
      </c>
      <c r="V3101" s="361"/>
      <c r="W3101" s="345"/>
      <c r="X3101" s="329" t="str">
        <f t="shared" si="309"/>
        <v>DR</v>
      </c>
      <c r="Y3101" s="1128" t="s">
        <v>3380</v>
      </c>
      <c r="Z3101" s="1128" t="s">
        <v>3381</v>
      </c>
      <c r="AA3101" s="1128" t="s">
        <v>3384</v>
      </c>
      <c r="AB3101" s="20"/>
      <c r="AC3101" s="73"/>
    </row>
    <row r="3102" spans="1:29">
      <c r="A3102" s="327" t="str">
        <f>IF(AND($B3102&lt;&gt;"",$C3102&lt;&gt;""),MAX($A$1556:A3101)+1,"")</f>
        <v/>
      </c>
      <c r="B3102" s="361" t="s">
        <v>2879</v>
      </c>
      <c r="C3102" s="360"/>
      <c r="D3102" s="327">
        <f>IF($B3102="","",COUNTIF($B$6:$B3102,$B3102))</f>
        <v>13</v>
      </c>
      <c r="E3102" s="405" t="s">
        <v>2958</v>
      </c>
      <c r="F3102" s="406" t="s">
        <v>2959</v>
      </c>
      <c r="G3102" s="327" t="s">
        <v>155</v>
      </c>
      <c r="H3102" s="327" t="s">
        <v>536</v>
      </c>
      <c r="I3102" s="327">
        <v>2</v>
      </c>
      <c r="J3102" s="345"/>
      <c r="K3102" s="327"/>
      <c r="L3102" s="389">
        <v>49955</v>
      </c>
      <c r="M3102" s="371"/>
      <c r="N3102" s="355" t="str">
        <f t="shared" si="311"/>
        <v>PK</v>
      </c>
      <c r="O3102" s="407" t="s">
        <v>442</v>
      </c>
      <c r="P3102" s="392"/>
      <c r="Q3102" s="327"/>
      <c r="R3102" s="351"/>
      <c r="S3102" s="351"/>
      <c r="T3102" s="351"/>
      <c r="U3102" s="329" t="str">
        <f>IF($N3102=$N$4,IFERROR(INDEX(DanhMuc!$E$154:$E$165,MATCH(MID($B3102,4,2),DanhMuc!$B$154:$B$165,0)),""),"")</f>
        <v/>
      </c>
      <c r="V3102" s="361"/>
      <c r="W3102" s="345"/>
      <c r="X3102" s="329" t="str">
        <f t="shared" si="309"/>
        <v>DR</v>
      </c>
      <c r="Y3102" s="1128" t="s">
        <v>3380</v>
      </c>
      <c r="Z3102" s="1128" t="s">
        <v>3381</v>
      </c>
      <c r="AA3102" s="1128" t="s">
        <v>3384</v>
      </c>
      <c r="AB3102" s="20"/>
      <c r="AC3102" s="73"/>
    </row>
    <row r="3103" spans="1:29" ht="26">
      <c r="A3103" s="327">
        <f>IF(AND($B3103&lt;&gt;"",$C3103&lt;&gt;""),MAX($A$1556:A3102)+1,"")</f>
        <v>157</v>
      </c>
      <c r="B3103" s="359" t="s">
        <v>2880</v>
      </c>
      <c r="C3103" s="360" t="s">
        <v>1543</v>
      </c>
      <c r="D3103" s="327">
        <f>IF($B3103="","",COUNTIF($B$6:$B3103,$B3103))</f>
        <v>1</v>
      </c>
      <c r="E3103" s="361" t="s">
        <v>2955</v>
      </c>
      <c r="F3103" s="362" t="s">
        <v>2960</v>
      </c>
      <c r="G3103" s="327" t="s">
        <v>155</v>
      </c>
      <c r="H3103" s="327"/>
      <c r="I3103" s="327">
        <v>1</v>
      </c>
      <c r="J3103" s="361"/>
      <c r="K3103" s="327"/>
      <c r="L3103" s="389">
        <v>66547</v>
      </c>
      <c r="M3103" s="371"/>
      <c r="N3103" s="355" t="str">
        <f t="shared" si="311"/>
        <v>PK</v>
      </c>
      <c r="O3103" s="345" t="s">
        <v>2961</v>
      </c>
      <c r="P3103" s="392"/>
      <c r="Q3103" s="327"/>
      <c r="R3103" s="351"/>
      <c r="S3103" s="351"/>
      <c r="T3103" s="351"/>
      <c r="U3103" s="329" t="str">
        <f>IF($N3103=$N$4,IFERROR(INDEX(DanhMuc!$E$154:$E$165,MATCH(MID($B3103,4,2),DanhMuc!$B$154:$B$165,0)),""),"")</f>
        <v/>
      </c>
      <c r="V3103" s="361"/>
      <c r="W3103" s="345"/>
      <c r="X3103" s="329" t="str">
        <f t="shared" si="309"/>
        <v>DR</v>
      </c>
      <c r="Y3103" s="1128" t="s">
        <v>3380</v>
      </c>
      <c r="Z3103" s="1128" t="s">
        <v>3381</v>
      </c>
      <c r="AA3103" s="1128" t="s">
        <v>3384</v>
      </c>
      <c r="AB3103" s="20"/>
      <c r="AC3103" s="73"/>
    </row>
    <row r="3104" spans="1:29">
      <c r="A3104" s="327" t="str">
        <f>IF(AND($B3104&lt;&gt;"",$C3104&lt;&gt;""),MAX($A$1556:A3103)+1,"")</f>
        <v/>
      </c>
      <c r="B3104" s="361" t="s">
        <v>2880</v>
      </c>
      <c r="C3104" s="360"/>
      <c r="D3104" s="327">
        <f>IF($B3104="","",COUNTIF($B$6:$B3104,$B3104))</f>
        <v>2</v>
      </c>
      <c r="E3104" s="361" t="s">
        <v>2955</v>
      </c>
      <c r="F3104" s="362" t="s">
        <v>2962</v>
      </c>
      <c r="G3104" s="327" t="s">
        <v>155</v>
      </c>
      <c r="H3104" s="327"/>
      <c r="I3104" s="327">
        <v>1</v>
      </c>
      <c r="J3104" s="361"/>
      <c r="K3104" s="327"/>
      <c r="L3104" s="389">
        <v>66547</v>
      </c>
      <c r="M3104" s="371"/>
      <c r="N3104" s="355" t="str">
        <f t="shared" si="311"/>
        <v>PK</v>
      </c>
      <c r="O3104" s="345" t="s">
        <v>2956</v>
      </c>
      <c r="P3104" s="392"/>
      <c r="Q3104" s="327"/>
      <c r="R3104" s="351"/>
      <c r="S3104" s="351"/>
      <c r="T3104" s="351"/>
      <c r="U3104" s="329" t="str">
        <f>IF($N3104=$N$4,IFERROR(INDEX(DanhMuc!$E$154:$E$165,MATCH(MID($B3104,4,2),DanhMuc!$B$154:$B$165,0)),""),"")</f>
        <v/>
      </c>
      <c r="V3104" s="361"/>
      <c r="W3104" s="345"/>
      <c r="X3104" s="329" t="str">
        <f t="shared" si="309"/>
        <v>DR</v>
      </c>
      <c r="Y3104" s="1128" t="s">
        <v>3380</v>
      </c>
      <c r="Z3104" s="1128" t="s">
        <v>3381</v>
      </c>
      <c r="AA3104" s="1128" t="s">
        <v>3384</v>
      </c>
      <c r="AB3104" s="20"/>
      <c r="AC3104" s="73"/>
    </row>
    <row r="3105" spans="1:29" ht="25">
      <c r="A3105" s="327" t="str">
        <f>IF(AND($B3105&lt;&gt;"",$C3105&lt;&gt;""),MAX($A$1556:A3103)+1,"")</f>
        <v/>
      </c>
      <c r="B3105" s="361" t="s">
        <v>2880</v>
      </c>
      <c r="C3105" s="362"/>
      <c r="D3105" s="327">
        <f>IF($B3105="","",COUNTIF($B$6:$B3105,$B3105))</f>
        <v>3</v>
      </c>
      <c r="E3105" s="361" t="s">
        <v>2921</v>
      </c>
      <c r="F3105" s="362" t="s">
        <v>210</v>
      </c>
      <c r="G3105" s="327" t="s">
        <v>155</v>
      </c>
      <c r="H3105" s="327"/>
      <c r="I3105" s="327">
        <v>1</v>
      </c>
      <c r="J3105" s="361"/>
      <c r="K3105" s="327"/>
      <c r="L3105" s="389">
        <v>68884</v>
      </c>
      <c r="M3105" s="371"/>
      <c r="N3105" s="355" t="str">
        <f t="shared" si="311"/>
        <v>PK</v>
      </c>
      <c r="O3105" s="345" t="s">
        <v>1782</v>
      </c>
      <c r="P3105" s="392"/>
      <c r="Q3105" s="327"/>
      <c r="R3105" s="351"/>
      <c r="S3105" s="351"/>
      <c r="T3105" s="351"/>
      <c r="U3105" s="329" t="str">
        <f>IF($N3105=$N$4,IFERROR(INDEX(DanhMuc!$E$154:$E$165,MATCH(MID($B3105,4,2),DanhMuc!$B$154:$B$165,0)),""),"")</f>
        <v/>
      </c>
      <c r="V3105" s="361"/>
      <c r="W3105" s="345"/>
      <c r="X3105" s="329" t="str">
        <f t="shared" si="309"/>
        <v>DR</v>
      </c>
      <c r="Y3105" s="1128" t="s">
        <v>3380</v>
      </c>
      <c r="Z3105" s="1128" t="s">
        <v>3381</v>
      </c>
      <c r="AA3105" s="1128" t="s">
        <v>3384</v>
      </c>
      <c r="AB3105" s="20"/>
      <c r="AC3105" s="73"/>
    </row>
    <row r="3106" spans="1:29">
      <c r="A3106" s="327" t="str">
        <f>IF(AND($B3106&lt;&gt;"",$C3106&lt;&gt;""),MAX($A$1556:A3103)+1,"")</f>
        <v/>
      </c>
      <c r="B3106" s="361" t="s">
        <v>2880</v>
      </c>
      <c r="C3106" s="360"/>
      <c r="D3106" s="327">
        <f>IF($B3106="","",COUNTIF($B$6:$B3106,$B3106))</f>
        <v>4</v>
      </c>
      <c r="E3106" s="361" t="s">
        <v>2957</v>
      </c>
      <c r="F3106" s="362" t="s">
        <v>224</v>
      </c>
      <c r="G3106" s="327" t="s">
        <v>155</v>
      </c>
      <c r="H3106" s="327" t="s">
        <v>536</v>
      </c>
      <c r="I3106" s="327">
        <v>1</v>
      </c>
      <c r="J3106" s="361"/>
      <c r="K3106" s="327"/>
      <c r="L3106" s="389">
        <v>14595</v>
      </c>
      <c r="M3106" s="371"/>
      <c r="N3106" s="355" t="str">
        <f t="shared" si="311"/>
        <v>PK</v>
      </c>
      <c r="O3106" s="345" t="s">
        <v>1623</v>
      </c>
      <c r="P3106" s="392"/>
      <c r="Q3106" s="327"/>
      <c r="R3106" s="351"/>
      <c r="S3106" s="351"/>
      <c r="T3106" s="351"/>
      <c r="U3106" s="329" t="str">
        <f>IF($N3106=$N$4,IFERROR(INDEX(DanhMuc!$E$154:$E$165,MATCH(MID($B3106,4,2),DanhMuc!$B$154:$B$165,0)),""),"")</f>
        <v/>
      </c>
      <c r="V3106" s="361"/>
      <c r="W3106" s="345"/>
      <c r="X3106" s="329" t="str">
        <f t="shared" si="309"/>
        <v>DR</v>
      </c>
      <c r="Y3106" s="1128" t="s">
        <v>3380</v>
      </c>
      <c r="Z3106" s="1128" t="s">
        <v>3381</v>
      </c>
      <c r="AA3106" s="1128" t="s">
        <v>3384</v>
      </c>
      <c r="AB3106" s="20"/>
      <c r="AC3106" s="73"/>
    </row>
    <row r="3107" spans="1:29">
      <c r="A3107" s="327" t="str">
        <f>IF(AND($B3107&lt;&gt;"",$C3107&lt;&gt;""),MAX($A$1556:A3106)+1,"")</f>
        <v/>
      </c>
      <c r="B3107" s="361" t="s">
        <v>2880</v>
      </c>
      <c r="C3107" s="360"/>
      <c r="D3107" s="327">
        <f>IF($B3107="","",COUNTIF($B$6:$B3107,$B3107))</f>
        <v>5</v>
      </c>
      <c r="E3107" s="361" t="s">
        <v>2895</v>
      </c>
      <c r="F3107" s="362" t="s">
        <v>2907</v>
      </c>
      <c r="G3107" s="327" t="s">
        <v>155</v>
      </c>
      <c r="H3107" s="327" t="s">
        <v>536</v>
      </c>
      <c r="I3107" s="327">
        <v>2</v>
      </c>
      <c r="J3107" s="345"/>
      <c r="K3107" s="327"/>
      <c r="L3107" s="389">
        <v>13762</v>
      </c>
      <c r="M3107" s="371"/>
      <c r="N3107" s="355" t="str">
        <f t="shared" si="311"/>
        <v>PK</v>
      </c>
      <c r="O3107" s="345" t="s">
        <v>1623</v>
      </c>
      <c r="P3107" s="392"/>
      <c r="Q3107" s="327"/>
      <c r="R3107" s="351"/>
      <c r="S3107" s="351"/>
      <c r="T3107" s="351"/>
      <c r="U3107" s="329" t="str">
        <f>IF($N3107=$N$4,IFERROR(INDEX(DanhMuc!$E$154:$E$165,MATCH(MID($B3107,4,2),DanhMuc!$B$154:$B$165,0)),""),"")</f>
        <v/>
      </c>
      <c r="V3107" s="361"/>
      <c r="W3107" s="345"/>
      <c r="X3107" s="329" t="str">
        <f t="shared" si="309"/>
        <v>DR</v>
      </c>
      <c r="Y3107" s="1128" t="s">
        <v>3380</v>
      </c>
      <c r="Z3107" s="1128" t="s">
        <v>3381</v>
      </c>
      <c r="AA3107" s="1128" t="s">
        <v>3384</v>
      </c>
      <c r="AB3107" s="20"/>
      <c r="AC3107" s="73"/>
    </row>
    <row r="3108" spans="1:29">
      <c r="A3108" s="327" t="str">
        <f>IF(AND($B3108&lt;&gt;"",$C3108&lt;&gt;""),MAX($A$1556:A3107)+1,"")</f>
        <v/>
      </c>
      <c r="B3108" s="361" t="s">
        <v>2880</v>
      </c>
      <c r="C3108" s="360"/>
      <c r="D3108" s="327">
        <f>IF($B3108="","",COUNTIF($B$6:$B3108,$B3108))</f>
        <v>6</v>
      </c>
      <c r="E3108" s="361" t="s">
        <v>2908</v>
      </c>
      <c r="F3108" s="362" t="s">
        <v>92</v>
      </c>
      <c r="G3108" s="327" t="s">
        <v>155</v>
      </c>
      <c r="H3108" s="327" t="s">
        <v>536</v>
      </c>
      <c r="I3108" s="327">
        <v>2</v>
      </c>
      <c r="J3108" s="345"/>
      <c r="K3108" s="327"/>
      <c r="L3108" s="389">
        <v>7013</v>
      </c>
      <c r="M3108" s="371"/>
      <c r="N3108" s="355" t="str">
        <f t="shared" si="311"/>
        <v>PK</v>
      </c>
      <c r="O3108" s="345"/>
      <c r="P3108" s="392"/>
      <c r="Q3108" s="327"/>
      <c r="R3108" s="351"/>
      <c r="S3108" s="351"/>
      <c r="T3108" s="351"/>
      <c r="U3108" s="329" t="str">
        <f>IF($N3108=$N$4,IFERROR(INDEX(DanhMuc!$E$154:$E$165,MATCH(MID($B3108,4,2),DanhMuc!$B$154:$B$165,0)),""),"")</f>
        <v/>
      </c>
      <c r="V3108" s="361"/>
      <c r="W3108" s="345"/>
      <c r="X3108" s="329" t="str">
        <f t="shared" si="309"/>
        <v>DR</v>
      </c>
      <c r="Y3108" s="1128" t="s">
        <v>3380</v>
      </c>
      <c r="Z3108" s="1128" t="s">
        <v>3381</v>
      </c>
      <c r="AA3108" s="1128" t="s">
        <v>3384</v>
      </c>
      <c r="AB3108" s="20"/>
      <c r="AC3108" s="73"/>
    </row>
    <row r="3109" spans="1:29">
      <c r="A3109" s="327" t="str">
        <f>IF(AND($B3109&lt;&gt;"",$C3109&lt;&gt;""),MAX($A$1556:A3108)+1,"")</f>
        <v/>
      </c>
      <c r="B3109" s="361" t="s">
        <v>2880</v>
      </c>
      <c r="C3109" s="360"/>
      <c r="D3109" s="327">
        <f>IF($B3109="","",COUNTIF($B$6:$B3109,$B3109))</f>
        <v>7</v>
      </c>
      <c r="E3109" s="365" t="s">
        <v>327</v>
      </c>
      <c r="F3109" s="368" t="s">
        <v>345</v>
      </c>
      <c r="G3109" s="367" t="s">
        <v>690</v>
      </c>
      <c r="H3109" s="327" t="s">
        <v>536</v>
      </c>
      <c r="I3109" s="327">
        <v>2</v>
      </c>
      <c r="J3109" s="345" t="s">
        <v>705</v>
      </c>
      <c r="K3109" s="327"/>
      <c r="L3109" s="348">
        <f>+$S3109*$T3109*$L$37</f>
        <v>84651</v>
      </c>
      <c r="M3109" s="371"/>
      <c r="N3109" s="369" t="s">
        <v>150</v>
      </c>
      <c r="O3109" s="345" t="s">
        <v>1623</v>
      </c>
      <c r="P3109" s="392"/>
      <c r="Q3109" s="327"/>
      <c r="R3109" s="351">
        <v>2.5</v>
      </c>
      <c r="S3109" s="351">
        <v>5.8</v>
      </c>
      <c r="T3109" s="351">
        <v>0.13900000000000001</v>
      </c>
      <c r="U3109" s="329">
        <f>IF($N3109=$N$4,IFERROR(INDEX(DanhMuc!$E$154:$E$165,MATCH(MID($B3109,4,2),DanhMuc!$B$154:$B$165,0)),""),"")</f>
        <v>5800</v>
      </c>
      <c r="V3109" s="361"/>
      <c r="W3109" s="345"/>
      <c r="X3109" s="329" t="str">
        <f t="shared" si="309"/>
        <v>C459</v>
      </c>
      <c r="Y3109" s="1128" t="s">
        <v>3380</v>
      </c>
      <c r="Z3109" s="1128" t="s">
        <v>3381</v>
      </c>
      <c r="AA3109" s="1128" t="s">
        <v>3384</v>
      </c>
      <c r="AB3109" s="20"/>
      <c r="AC3109" s="73"/>
    </row>
    <row r="3110" spans="1:29">
      <c r="A3110" s="327" t="str">
        <f>IF(AND($B3110&lt;&gt;"",$C3110&lt;&gt;""),MAX($A$1556:A3109)+1,"")</f>
        <v/>
      </c>
      <c r="B3110" s="361" t="s">
        <v>2880</v>
      </c>
      <c r="C3110" s="360"/>
      <c r="D3110" s="327">
        <f>IF($B3110="","",COUNTIF($B$6:$B3110,$B3110))</f>
        <v>8</v>
      </c>
      <c r="E3110" s="361" t="s">
        <v>709</v>
      </c>
      <c r="F3110" s="362" t="s">
        <v>326</v>
      </c>
      <c r="G3110" s="327" t="s">
        <v>344</v>
      </c>
      <c r="H3110" s="327" t="s">
        <v>536</v>
      </c>
      <c r="I3110" s="327">
        <v>1</v>
      </c>
      <c r="J3110" s="361"/>
      <c r="K3110" s="327"/>
      <c r="L3110" s="389">
        <v>45000</v>
      </c>
      <c r="M3110" s="371"/>
      <c r="N3110" s="355" t="str">
        <f t="shared" ref="N3110:N3126" si="312">+$N$1555</f>
        <v>PK</v>
      </c>
      <c r="O3110" s="345"/>
      <c r="P3110" s="392"/>
      <c r="Q3110" s="327"/>
      <c r="R3110" s="351"/>
      <c r="S3110" s="351"/>
      <c r="T3110" s="351"/>
      <c r="U3110" s="329" t="str">
        <f>IF($N3110=$N$4,IFERROR(INDEX(DanhMuc!$E$154:$E$165,MATCH(MID($B3110,4,2),DanhMuc!$B$154:$B$165,0)),""),"")</f>
        <v/>
      </c>
      <c r="V3110" s="361"/>
      <c r="W3110" s="345"/>
      <c r="X3110" s="329" t="str">
        <f t="shared" si="309"/>
        <v>DR</v>
      </c>
      <c r="Y3110" s="1128" t="s">
        <v>3380</v>
      </c>
      <c r="Z3110" s="1128" t="s">
        <v>3381</v>
      </c>
      <c r="AA3110" s="1128" t="s">
        <v>3384</v>
      </c>
      <c r="AB3110" s="20"/>
      <c r="AC3110" s="73"/>
    </row>
    <row r="3111" spans="1:29">
      <c r="A3111" s="327" t="str">
        <f>IF(AND($B3111&lt;&gt;"",$C3111&lt;&gt;""),MAX($A$1556:A3110)+1,"")</f>
        <v/>
      </c>
      <c r="B3111" s="361" t="s">
        <v>2880</v>
      </c>
      <c r="C3111" s="360"/>
      <c r="D3111" s="327">
        <f>IF($B3111="","",COUNTIF($B$6:$B3111,$B3111))</f>
        <v>9</v>
      </c>
      <c r="E3111" s="402" t="s">
        <v>2896</v>
      </c>
      <c r="F3111" s="362" t="s">
        <v>90</v>
      </c>
      <c r="G3111" s="327" t="s">
        <v>155</v>
      </c>
      <c r="H3111" s="327" t="s">
        <v>536</v>
      </c>
      <c r="I3111" s="327">
        <v>2</v>
      </c>
      <c r="J3111" s="361"/>
      <c r="K3111" s="327"/>
      <c r="L3111" s="389">
        <v>5772</v>
      </c>
      <c r="M3111" s="371"/>
      <c r="N3111" s="355" t="str">
        <f t="shared" si="312"/>
        <v>PK</v>
      </c>
      <c r="O3111" s="345"/>
      <c r="P3111" s="392"/>
      <c r="Q3111" s="327"/>
      <c r="R3111" s="351"/>
      <c r="S3111" s="351"/>
      <c r="T3111" s="351"/>
      <c r="U3111" s="329" t="str">
        <f>IF($N3111=$N$4,IFERROR(INDEX(DanhMuc!$E$154:$E$165,MATCH(MID($B3111,4,2),DanhMuc!$B$154:$B$165,0)),""),"")</f>
        <v/>
      </c>
      <c r="V3111" s="361"/>
      <c r="W3111" s="345"/>
      <c r="X3111" s="329" t="str">
        <f t="shared" si="309"/>
        <v>DR</v>
      </c>
      <c r="Y3111" s="1128" t="s">
        <v>3380</v>
      </c>
      <c r="Z3111" s="1128" t="s">
        <v>3381</v>
      </c>
      <c r="AA3111" s="1128" t="s">
        <v>3384</v>
      </c>
      <c r="AB3111" s="20"/>
      <c r="AC3111" s="73"/>
    </row>
    <row r="3112" spans="1:29">
      <c r="A3112" s="327" t="str">
        <f>IF(AND($B3112&lt;&gt;"",$C3112&lt;&gt;""),MAX($A$1556:A3111)+1,"")</f>
        <v/>
      </c>
      <c r="B3112" s="361" t="s">
        <v>2880</v>
      </c>
      <c r="C3112" s="360"/>
      <c r="D3112" s="327">
        <f>IF($B3112="","",COUNTIF($B$6:$B3112,$B3112))</f>
        <v>10</v>
      </c>
      <c r="E3112" s="361" t="s">
        <v>175</v>
      </c>
      <c r="F3112" s="362" t="s">
        <v>176</v>
      </c>
      <c r="G3112" s="327" t="s">
        <v>155</v>
      </c>
      <c r="H3112" s="327" t="s">
        <v>536</v>
      </c>
      <c r="I3112" s="327">
        <v>4</v>
      </c>
      <c r="J3112" s="361"/>
      <c r="K3112" s="327"/>
      <c r="L3112" s="389">
        <v>2000</v>
      </c>
      <c r="M3112" s="371"/>
      <c r="N3112" s="355" t="str">
        <f t="shared" si="312"/>
        <v>PK</v>
      </c>
      <c r="O3112" s="345"/>
      <c r="P3112" s="392"/>
      <c r="Q3112" s="327"/>
      <c r="R3112" s="351"/>
      <c r="S3112" s="351"/>
      <c r="T3112" s="351"/>
      <c r="U3112" s="329" t="str">
        <f>IF($N3112=$N$4,IFERROR(INDEX(DanhMuc!$E$154:$E$165,MATCH(MID($B3112,4,2),DanhMuc!$B$154:$B$165,0)),""),"")</f>
        <v/>
      </c>
      <c r="V3112" s="361"/>
      <c r="W3112" s="345"/>
      <c r="X3112" s="329" t="str">
        <f t="shared" si="309"/>
        <v>DR</v>
      </c>
      <c r="Y3112" s="1128" t="s">
        <v>3380</v>
      </c>
      <c r="Z3112" s="1128" t="s">
        <v>3381</v>
      </c>
      <c r="AA3112" s="1128" t="s">
        <v>3384</v>
      </c>
      <c r="AB3112" s="20"/>
      <c r="AC3112" s="73"/>
    </row>
    <row r="3113" spans="1:29">
      <c r="A3113" s="327" t="str">
        <f>IF(AND($B3113&lt;&gt;"",$C3113&lt;&gt;""),MAX($A$1556:A3112)+1,"")</f>
        <v/>
      </c>
      <c r="B3113" s="361" t="s">
        <v>2880</v>
      </c>
      <c r="C3113" s="360"/>
      <c r="D3113" s="327">
        <f>IF($B3113="","",COUNTIF($B$6:$B3113,$B3113))</f>
        <v>11</v>
      </c>
      <c r="E3113" s="405" t="s">
        <v>2964</v>
      </c>
      <c r="F3113" s="406" t="s">
        <v>178</v>
      </c>
      <c r="G3113" s="327" t="s">
        <v>155</v>
      </c>
      <c r="H3113" s="327" t="s">
        <v>536</v>
      </c>
      <c r="I3113" s="327">
        <v>4</v>
      </c>
      <c r="J3113" s="345"/>
      <c r="K3113" s="327"/>
      <c r="L3113" s="389">
        <v>59917</v>
      </c>
      <c r="M3113" s="371"/>
      <c r="N3113" s="355" t="str">
        <f t="shared" si="312"/>
        <v>PK</v>
      </c>
      <c r="O3113" s="407" t="s">
        <v>1698</v>
      </c>
      <c r="P3113" s="392"/>
      <c r="Q3113" s="327"/>
      <c r="R3113" s="351"/>
      <c r="S3113" s="351"/>
      <c r="T3113" s="351"/>
      <c r="U3113" s="329" t="str">
        <f>IF($N3113=$N$4,IFERROR(INDEX(DanhMuc!$E$154:$E$165,MATCH(MID($B3113,4,2),DanhMuc!$B$154:$B$165,0)),""),"")</f>
        <v/>
      </c>
      <c r="V3113" s="361"/>
      <c r="W3113" s="345"/>
      <c r="X3113" s="329" t="str">
        <f t="shared" si="309"/>
        <v>DR</v>
      </c>
      <c r="Y3113" s="1128" t="s">
        <v>3380</v>
      </c>
      <c r="Z3113" s="1128" t="s">
        <v>3381</v>
      </c>
      <c r="AA3113" s="1128" t="s">
        <v>3384</v>
      </c>
      <c r="AB3113" s="20"/>
      <c r="AC3113" s="73"/>
    </row>
    <row r="3114" spans="1:29">
      <c r="A3114" s="327" t="str">
        <f>IF(AND($B3114&lt;&gt;"",$C3114&lt;&gt;""),MAX($A$1556:A3113)+1,"")</f>
        <v/>
      </c>
      <c r="B3114" s="361" t="s">
        <v>2880</v>
      </c>
      <c r="C3114" s="360"/>
      <c r="D3114" s="327">
        <f>IF($B3114="","",COUNTIF($B$6:$B3114,$B3114))</f>
        <v>12</v>
      </c>
      <c r="E3114" s="405" t="s">
        <v>2965</v>
      </c>
      <c r="F3114" s="406" t="s">
        <v>202</v>
      </c>
      <c r="G3114" s="327" t="s">
        <v>155</v>
      </c>
      <c r="H3114" s="327" t="s">
        <v>536</v>
      </c>
      <c r="I3114" s="327">
        <v>4</v>
      </c>
      <c r="J3114" s="345"/>
      <c r="K3114" s="327"/>
      <c r="L3114" s="389">
        <v>66708</v>
      </c>
      <c r="M3114" s="371"/>
      <c r="N3114" s="355" t="str">
        <f t="shared" si="312"/>
        <v>PK</v>
      </c>
      <c r="O3114" s="407" t="s">
        <v>1699</v>
      </c>
      <c r="P3114" s="392"/>
      <c r="Q3114" s="327"/>
      <c r="R3114" s="351"/>
      <c r="S3114" s="351"/>
      <c r="T3114" s="351"/>
      <c r="U3114" s="329" t="str">
        <f>IF($N3114=$N$4,IFERROR(INDEX(DanhMuc!$E$154:$E$165,MATCH(MID($B3114,4,2),DanhMuc!$B$154:$B$165,0)),""),"")</f>
        <v/>
      </c>
      <c r="V3114" s="361"/>
      <c r="W3114" s="345"/>
      <c r="X3114" s="329" t="str">
        <f t="shared" si="309"/>
        <v>DR</v>
      </c>
      <c r="Y3114" s="1128" t="s">
        <v>3380</v>
      </c>
      <c r="Z3114" s="1128" t="s">
        <v>3381</v>
      </c>
      <c r="AA3114" s="1128" t="s">
        <v>3384</v>
      </c>
      <c r="AB3114" s="20"/>
      <c r="AC3114" s="73"/>
    </row>
    <row r="3115" spans="1:29">
      <c r="A3115" s="327" t="str">
        <f>IF(AND($B3115&lt;&gt;"",$C3115&lt;&gt;""),MAX($A$1556:A3114)+1,"")</f>
        <v/>
      </c>
      <c r="B3115" s="361" t="s">
        <v>2880</v>
      </c>
      <c r="C3115" s="360"/>
      <c r="D3115" s="327">
        <f>IF($B3115="","",COUNTIF($B$6:$B3115,$B3115))</f>
        <v>13</v>
      </c>
      <c r="E3115" s="405" t="s">
        <v>2963</v>
      </c>
      <c r="F3115" s="406" t="s">
        <v>204</v>
      </c>
      <c r="G3115" s="327" t="s">
        <v>155</v>
      </c>
      <c r="H3115" s="327" t="s">
        <v>536</v>
      </c>
      <c r="I3115" s="327">
        <v>4</v>
      </c>
      <c r="J3115" s="345"/>
      <c r="K3115" s="327"/>
      <c r="L3115" s="389">
        <v>71145</v>
      </c>
      <c r="M3115" s="371"/>
      <c r="N3115" s="355" t="str">
        <f t="shared" si="312"/>
        <v>PK</v>
      </c>
      <c r="O3115" s="407" t="s">
        <v>1700</v>
      </c>
      <c r="P3115" s="392"/>
      <c r="Q3115" s="327"/>
      <c r="R3115" s="351"/>
      <c r="S3115" s="351"/>
      <c r="T3115" s="351"/>
      <c r="U3115" s="329" t="str">
        <f>IF($N3115=$N$4,IFERROR(INDEX(DanhMuc!$E$154:$E$165,MATCH(MID($B3115,4,2),DanhMuc!$B$154:$B$165,0)),""),"")</f>
        <v/>
      </c>
      <c r="V3115" s="361"/>
      <c r="W3115" s="345"/>
      <c r="X3115" s="329" t="str">
        <f t="shared" si="309"/>
        <v>DR</v>
      </c>
      <c r="Y3115" s="1128" t="s">
        <v>3380</v>
      </c>
      <c r="Z3115" s="1128" t="s">
        <v>3381</v>
      </c>
      <c r="AA3115" s="1128" t="s">
        <v>3384</v>
      </c>
      <c r="AB3115" s="20"/>
      <c r="AC3115" s="73"/>
    </row>
    <row r="3116" spans="1:29">
      <c r="A3116" s="327" t="str">
        <f>IF(AND($B3116&lt;&gt;"",$C3116&lt;&gt;""),MAX($A$1556:A3115)+1,"")</f>
        <v/>
      </c>
      <c r="B3116" s="361" t="s">
        <v>2880</v>
      </c>
      <c r="C3116" s="360"/>
      <c r="D3116" s="327">
        <f>IF($B3116="","",COUNTIF($B$6:$B3116,$B3116))</f>
        <v>14</v>
      </c>
      <c r="E3116" s="405" t="s">
        <v>2966</v>
      </c>
      <c r="F3116" s="406" t="s">
        <v>206</v>
      </c>
      <c r="G3116" s="327" t="s">
        <v>155</v>
      </c>
      <c r="H3116" s="327" t="s">
        <v>536</v>
      </c>
      <c r="I3116" s="327">
        <v>4</v>
      </c>
      <c r="J3116" s="345"/>
      <c r="K3116" s="327"/>
      <c r="L3116" s="389">
        <v>79747</v>
      </c>
      <c r="M3116" s="371"/>
      <c r="N3116" s="355" t="str">
        <f t="shared" si="312"/>
        <v>PK</v>
      </c>
      <c r="O3116" s="407" t="s">
        <v>1701</v>
      </c>
      <c r="P3116" s="392"/>
      <c r="Q3116" s="327"/>
      <c r="R3116" s="351"/>
      <c r="S3116" s="351"/>
      <c r="T3116" s="351"/>
      <c r="U3116" s="329" t="str">
        <f>IF($N3116=$N$4,IFERROR(INDEX(DanhMuc!$E$154:$E$165,MATCH(MID($B3116,4,2),DanhMuc!$B$154:$B$165,0)),""),"")</f>
        <v/>
      </c>
      <c r="V3116" s="361"/>
      <c r="W3116" s="345"/>
      <c r="X3116" s="329" t="str">
        <f t="shared" si="309"/>
        <v>DR</v>
      </c>
      <c r="Y3116" s="1128" t="s">
        <v>3380</v>
      </c>
      <c r="Z3116" s="1128" t="s">
        <v>3381</v>
      </c>
      <c r="AA3116" s="1128" t="s">
        <v>3384</v>
      </c>
      <c r="AB3116" s="20"/>
      <c r="AC3116" s="73"/>
    </row>
    <row r="3117" spans="1:29">
      <c r="A3117" s="327" t="str">
        <f>IF(AND($B3117&lt;&gt;"",$C3117&lt;&gt;""),MAX($A$1556:A3116)+1,"")</f>
        <v/>
      </c>
      <c r="B3117" s="361" t="s">
        <v>2880</v>
      </c>
      <c r="C3117" s="360"/>
      <c r="D3117" s="327">
        <f>IF($B3117="","",COUNTIF($B$6:$B3117,$B3117))</f>
        <v>15</v>
      </c>
      <c r="E3117" s="405" t="s">
        <v>2958</v>
      </c>
      <c r="F3117" s="406" t="s">
        <v>2959</v>
      </c>
      <c r="G3117" s="327" t="s">
        <v>155</v>
      </c>
      <c r="H3117" s="327" t="s">
        <v>536</v>
      </c>
      <c r="I3117" s="327">
        <v>4</v>
      </c>
      <c r="J3117" s="345"/>
      <c r="K3117" s="327"/>
      <c r="L3117" s="389">
        <v>49955</v>
      </c>
      <c r="M3117" s="371"/>
      <c r="N3117" s="355" t="str">
        <f t="shared" si="312"/>
        <v>PK</v>
      </c>
      <c r="O3117" s="407" t="s">
        <v>442</v>
      </c>
      <c r="P3117" s="392"/>
      <c r="Q3117" s="327"/>
      <c r="R3117" s="351"/>
      <c r="S3117" s="351"/>
      <c r="T3117" s="351"/>
      <c r="U3117" s="329" t="str">
        <f>IF($N3117=$N$4,IFERROR(INDEX(DanhMuc!$E$154:$E$165,MATCH(MID($B3117,4,2),DanhMuc!$B$154:$B$165,0)),""),"")</f>
        <v/>
      </c>
      <c r="V3117" s="361"/>
      <c r="W3117" s="345"/>
      <c r="X3117" s="329" t="str">
        <f t="shared" si="309"/>
        <v>DR</v>
      </c>
      <c r="Y3117" s="1128" t="s">
        <v>3380</v>
      </c>
      <c r="Z3117" s="1128" t="s">
        <v>3381</v>
      </c>
      <c r="AA3117" s="1128" t="s">
        <v>3384</v>
      </c>
      <c r="AB3117" s="20"/>
      <c r="AC3117" s="73"/>
    </row>
    <row r="3118" spans="1:29">
      <c r="A3118" s="327" t="str">
        <f>IF(AND($B3118&lt;&gt;"",$C3118&lt;&gt;""),MAX($A$1556:A3117)+1,"")</f>
        <v/>
      </c>
      <c r="B3118" s="361" t="s">
        <v>2880</v>
      </c>
      <c r="C3118" s="360"/>
      <c r="D3118" s="327">
        <f>IF($B3118="","",COUNTIF($B$6:$B3118,$B3118))</f>
        <v>16</v>
      </c>
      <c r="E3118" s="361" t="s">
        <v>678</v>
      </c>
      <c r="F3118" s="362" t="s">
        <v>711</v>
      </c>
      <c r="G3118" s="327" t="s">
        <v>155</v>
      </c>
      <c r="H3118" s="327"/>
      <c r="I3118" s="327">
        <v>1</v>
      </c>
      <c r="J3118" s="361"/>
      <c r="K3118" s="327"/>
      <c r="L3118" s="389">
        <v>1250</v>
      </c>
      <c r="M3118" s="371"/>
      <c r="N3118" s="355" t="str">
        <f t="shared" si="312"/>
        <v>PK</v>
      </c>
      <c r="O3118" s="345"/>
      <c r="P3118" s="392"/>
      <c r="Q3118" s="327"/>
      <c r="R3118" s="351"/>
      <c r="S3118" s="351"/>
      <c r="T3118" s="351"/>
      <c r="U3118" s="329" t="str">
        <f>IF($N3118=$N$4,IFERROR(INDEX(DanhMuc!$E$154:$E$165,MATCH(MID($B3118,4,2),DanhMuc!$B$154:$B$165,0)),""),"")</f>
        <v/>
      </c>
      <c r="V3118" s="361"/>
      <c r="W3118" s="345"/>
      <c r="X3118" s="329" t="str">
        <f t="shared" si="309"/>
        <v>DR</v>
      </c>
      <c r="Y3118" s="1128" t="s">
        <v>3380</v>
      </c>
      <c r="Z3118" s="1128" t="s">
        <v>3381</v>
      </c>
      <c r="AA3118" s="1128" t="s">
        <v>3384</v>
      </c>
      <c r="AB3118" s="20"/>
      <c r="AC3118" s="73"/>
    </row>
    <row r="3119" spans="1:29">
      <c r="A3119" s="327" t="str">
        <f>IF(AND($B3119&lt;&gt;"",$C3119&lt;&gt;""),MAX($A$1556:A3118)+1,"")</f>
        <v/>
      </c>
      <c r="B3119" s="361" t="s">
        <v>2880</v>
      </c>
      <c r="C3119" s="360"/>
      <c r="D3119" s="327">
        <f>IF($B3119="","",COUNTIF($B$6:$B3119,$B3119))</f>
        <v>17</v>
      </c>
      <c r="E3119" s="361" t="s">
        <v>679</v>
      </c>
      <c r="F3119" s="362" t="s">
        <v>712</v>
      </c>
      <c r="G3119" s="327" t="s">
        <v>155</v>
      </c>
      <c r="H3119" s="327"/>
      <c r="I3119" s="327">
        <v>1</v>
      </c>
      <c r="J3119" s="361"/>
      <c r="K3119" s="327"/>
      <c r="L3119" s="389">
        <v>1250</v>
      </c>
      <c r="M3119" s="371"/>
      <c r="N3119" s="355" t="str">
        <f t="shared" si="312"/>
        <v>PK</v>
      </c>
      <c r="O3119" s="345"/>
      <c r="P3119" s="392"/>
      <c r="Q3119" s="327"/>
      <c r="R3119" s="351"/>
      <c r="S3119" s="351"/>
      <c r="T3119" s="351"/>
      <c r="U3119" s="329" t="str">
        <f>IF($N3119=$N$4,IFERROR(INDEX(DanhMuc!$E$154:$E$165,MATCH(MID($B3119,4,2),DanhMuc!$B$154:$B$165,0)),""),"")</f>
        <v/>
      </c>
      <c r="V3119" s="361"/>
      <c r="W3119" s="345"/>
      <c r="X3119" s="329" t="str">
        <f t="shared" si="309"/>
        <v>DR</v>
      </c>
      <c r="Y3119" s="1128" t="s">
        <v>3380</v>
      </c>
      <c r="Z3119" s="1128" t="s">
        <v>3381</v>
      </c>
      <c r="AA3119" s="1128" t="s">
        <v>3384</v>
      </c>
      <c r="AB3119" s="20"/>
      <c r="AC3119" s="73"/>
    </row>
    <row r="3120" spans="1:29" ht="26">
      <c r="A3120" s="327">
        <f>IF(AND($B3120&lt;&gt;"",$C3120&lt;&gt;""),MAX($A$1556:A3119)+1,"")</f>
        <v>158</v>
      </c>
      <c r="B3120" s="359" t="s">
        <v>2881</v>
      </c>
      <c r="C3120" s="360" t="s">
        <v>1544</v>
      </c>
      <c r="D3120" s="327">
        <f>IF($B3120="","",COUNTIF($B$6:$B3120,$B3120))</f>
        <v>1</v>
      </c>
      <c r="E3120" s="361" t="s">
        <v>2955</v>
      </c>
      <c r="F3120" s="362" t="s">
        <v>2960</v>
      </c>
      <c r="G3120" s="327" t="s">
        <v>155</v>
      </c>
      <c r="H3120" s="327"/>
      <c r="I3120" s="327">
        <v>2</v>
      </c>
      <c r="J3120" s="361"/>
      <c r="K3120" s="327"/>
      <c r="L3120" s="389">
        <v>66547</v>
      </c>
      <c r="M3120" s="371"/>
      <c r="N3120" s="355" t="str">
        <f t="shared" si="312"/>
        <v>PK</v>
      </c>
      <c r="O3120" s="345" t="s">
        <v>2961</v>
      </c>
      <c r="P3120" s="392"/>
      <c r="Q3120" s="327"/>
      <c r="R3120" s="351"/>
      <c r="S3120" s="351"/>
      <c r="T3120" s="351"/>
      <c r="U3120" s="329" t="str">
        <f>IF($N3120=$N$4,IFERROR(INDEX(DanhMuc!$E$154:$E$165,MATCH(MID($B3120,4,2),DanhMuc!$B$154:$B$165,0)),""),"")</f>
        <v/>
      </c>
      <c r="V3120" s="361"/>
      <c r="W3120" s="345"/>
      <c r="X3120" s="329" t="str">
        <f t="shared" si="309"/>
        <v>DR</v>
      </c>
      <c r="Y3120" s="1128" t="s">
        <v>3380</v>
      </c>
      <c r="Z3120" s="1128" t="s">
        <v>3381</v>
      </c>
      <c r="AA3120" s="1128" t="s">
        <v>3384</v>
      </c>
      <c r="AB3120" s="20"/>
      <c r="AC3120" s="73"/>
    </row>
    <row r="3121" spans="1:29">
      <c r="A3121" s="327" t="str">
        <f>IF(AND($B3121&lt;&gt;"",$C3121&lt;&gt;""),MAX($A$1556:A3120)+1,"")</f>
        <v/>
      </c>
      <c r="B3121" s="361" t="s">
        <v>2881</v>
      </c>
      <c r="C3121" s="362"/>
      <c r="D3121" s="327">
        <f>IF($B3121="","",COUNTIF($B$6:$B3121,$B3121))</f>
        <v>2</v>
      </c>
      <c r="E3121" s="361" t="s">
        <v>2955</v>
      </c>
      <c r="F3121" s="362" t="s">
        <v>2962</v>
      </c>
      <c r="G3121" s="327" t="s">
        <v>155</v>
      </c>
      <c r="H3121" s="327"/>
      <c r="I3121" s="327">
        <v>2</v>
      </c>
      <c r="J3121" s="361"/>
      <c r="K3121" s="327"/>
      <c r="L3121" s="389">
        <v>66547</v>
      </c>
      <c r="M3121" s="371"/>
      <c r="N3121" s="355" t="str">
        <f t="shared" si="312"/>
        <v>PK</v>
      </c>
      <c r="O3121" s="345" t="s">
        <v>2956</v>
      </c>
      <c r="P3121" s="392"/>
      <c r="Q3121" s="327"/>
      <c r="R3121" s="351"/>
      <c r="S3121" s="351"/>
      <c r="T3121" s="351"/>
      <c r="U3121" s="329" t="str">
        <f>IF($N3121=$N$4,IFERROR(INDEX(DanhMuc!$E$154:$E$165,MATCH(MID($B3121,4,2),DanhMuc!$B$154:$B$165,0)),""),"")</f>
        <v/>
      </c>
      <c r="V3121" s="361"/>
      <c r="W3121" s="345"/>
      <c r="X3121" s="329" t="str">
        <f t="shared" si="309"/>
        <v>DR</v>
      </c>
      <c r="Y3121" s="1128" t="s">
        <v>3380</v>
      </c>
      <c r="Z3121" s="1128" t="s">
        <v>3381</v>
      </c>
      <c r="AA3121" s="1128" t="s">
        <v>3384</v>
      </c>
      <c r="AB3121" s="20"/>
      <c r="AC3121" s="73"/>
    </row>
    <row r="3122" spans="1:29" ht="25">
      <c r="A3122" s="327" t="str">
        <f>IF(AND($B3122&lt;&gt;"",$C3122&lt;&gt;""),MAX($A$1556:A3120)+1,"")</f>
        <v/>
      </c>
      <c r="B3122" s="361" t="s">
        <v>2881</v>
      </c>
      <c r="C3122" s="362"/>
      <c r="D3122" s="327">
        <f>IF($B3122="","",COUNTIF($B$6:$B3122,$B3122))</f>
        <v>3</v>
      </c>
      <c r="E3122" s="361" t="s">
        <v>2921</v>
      </c>
      <c r="F3122" s="362" t="s">
        <v>210</v>
      </c>
      <c r="G3122" s="327" t="s">
        <v>155</v>
      </c>
      <c r="H3122" s="327"/>
      <c r="I3122" s="327">
        <v>2</v>
      </c>
      <c r="J3122" s="361"/>
      <c r="K3122" s="327"/>
      <c r="L3122" s="389">
        <v>68884</v>
      </c>
      <c r="M3122" s="371"/>
      <c r="N3122" s="355" t="str">
        <f t="shared" si="312"/>
        <v>PK</v>
      </c>
      <c r="O3122" s="345" t="s">
        <v>1782</v>
      </c>
      <c r="P3122" s="392"/>
      <c r="Q3122" s="327"/>
      <c r="R3122" s="351"/>
      <c r="S3122" s="351"/>
      <c r="T3122" s="351"/>
      <c r="U3122" s="329" t="str">
        <f>IF($N3122=$N$4,IFERROR(INDEX(DanhMuc!$E$154:$E$165,MATCH(MID($B3122,4,2),DanhMuc!$B$154:$B$165,0)),""),"")</f>
        <v/>
      </c>
      <c r="V3122" s="361"/>
      <c r="W3122" s="345"/>
      <c r="X3122" s="329" t="str">
        <f t="shared" si="309"/>
        <v>DR</v>
      </c>
      <c r="Y3122" s="1128" t="s">
        <v>3380</v>
      </c>
      <c r="Z3122" s="1128" t="s">
        <v>3381</v>
      </c>
      <c r="AA3122" s="1128" t="s">
        <v>3384</v>
      </c>
      <c r="AB3122" s="20"/>
      <c r="AC3122" s="73"/>
    </row>
    <row r="3123" spans="1:29">
      <c r="A3123" s="327" t="str">
        <f>IF(AND($B3123&lt;&gt;"",$C3123&lt;&gt;""),MAX($A$1556:A3120)+1,"")</f>
        <v/>
      </c>
      <c r="B3123" s="361" t="s">
        <v>2881</v>
      </c>
      <c r="C3123" s="360"/>
      <c r="D3123" s="327">
        <f>IF($B3123="","",COUNTIF($B$6:$B3123,$B3123))</f>
        <v>4</v>
      </c>
      <c r="E3123" s="361" t="s">
        <v>2957</v>
      </c>
      <c r="F3123" s="362" t="s">
        <v>224</v>
      </c>
      <c r="G3123" s="327" t="s">
        <v>155</v>
      </c>
      <c r="H3123" s="327" t="s">
        <v>536</v>
      </c>
      <c r="I3123" s="327">
        <v>2</v>
      </c>
      <c r="J3123" s="361"/>
      <c r="K3123" s="327"/>
      <c r="L3123" s="389">
        <v>14595</v>
      </c>
      <c r="M3123" s="371"/>
      <c r="N3123" s="355" t="str">
        <f t="shared" si="312"/>
        <v>PK</v>
      </c>
      <c r="O3123" s="345" t="s">
        <v>1623</v>
      </c>
      <c r="P3123" s="392"/>
      <c r="Q3123" s="327"/>
      <c r="R3123" s="351"/>
      <c r="S3123" s="351"/>
      <c r="T3123" s="351"/>
      <c r="U3123" s="329" t="str">
        <f>IF($N3123=$N$4,IFERROR(INDEX(DanhMuc!$E$154:$E$165,MATCH(MID($B3123,4,2),DanhMuc!$B$154:$B$165,0)),""),"")</f>
        <v/>
      </c>
      <c r="V3123" s="361"/>
      <c r="W3123" s="345"/>
      <c r="X3123" s="329" t="str">
        <f t="shared" si="309"/>
        <v>DR</v>
      </c>
      <c r="Y3123" s="1128" t="s">
        <v>3380</v>
      </c>
      <c r="Z3123" s="1128" t="s">
        <v>3381</v>
      </c>
      <c r="AA3123" s="1128" t="s">
        <v>3384</v>
      </c>
      <c r="AB3123" s="20"/>
      <c r="AC3123" s="73"/>
    </row>
    <row r="3124" spans="1:29">
      <c r="A3124" s="327" t="str">
        <f>IF(AND($B3124&lt;&gt;"",$C3124&lt;&gt;""),MAX($A$1556:A3123)+1,"")</f>
        <v/>
      </c>
      <c r="B3124" s="361" t="s">
        <v>2881</v>
      </c>
      <c r="C3124" s="360"/>
      <c r="D3124" s="327">
        <f>IF($B3124="","",COUNTIF($B$6:$B3124,$B3124))</f>
        <v>5</v>
      </c>
      <c r="E3124" s="361" t="s">
        <v>2895</v>
      </c>
      <c r="F3124" s="362" t="s">
        <v>2907</v>
      </c>
      <c r="G3124" s="327" t="s">
        <v>155</v>
      </c>
      <c r="H3124" s="327" t="s">
        <v>536</v>
      </c>
      <c r="I3124" s="327">
        <v>4</v>
      </c>
      <c r="J3124" s="345"/>
      <c r="K3124" s="327"/>
      <c r="L3124" s="389">
        <v>13762</v>
      </c>
      <c r="M3124" s="371"/>
      <c r="N3124" s="355" t="str">
        <f t="shared" si="312"/>
        <v>PK</v>
      </c>
      <c r="O3124" s="345" t="s">
        <v>1623</v>
      </c>
      <c r="P3124" s="392"/>
      <c r="Q3124" s="327"/>
      <c r="R3124" s="351"/>
      <c r="S3124" s="351"/>
      <c r="T3124" s="351"/>
      <c r="U3124" s="329" t="str">
        <f>IF($N3124=$N$4,IFERROR(INDEX(DanhMuc!$E$154:$E$165,MATCH(MID($B3124,4,2),DanhMuc!$B$154:$B$165,0)),""),"")</f>
        <v/>
      </c>
      <c r="V3124" s="361"/>
      <c r="W3124" s="345"/>
      <c r="X3124" s="329" t="str">
        <f t="shared" si="309"/>
        <v>DR</v>
      </c>
      <c r="Y3124" s="1128" t="s">
        <v>3380</v>
      </c>
      <c r="Z3124" s="1128" t="s">
        <v>3381</v>
      </c>
      <c r="AA3124" s="1128" t="s">
        <v>3384</v>
      </c>
      <c r="AB3124" s="20"/>
      <c r="AC3124" s="73"/>
    </row>
    <row r="3125" spans="1:29">
      <c r="A3125" s="327" t="str">
        <f>IF(AND($B3125&lt;&gt;"",$C3125&lt;&gt;""),MAX($A$1556:A3123)+1,"")</f>
        <v/>
      </c>
      <c r="B3125" s="361" t="s">
        <v>2881</v>
      </c>
      <c r="C3125" s="360"/>
      <c r="D3125" s="327">
        <f>IF($B3125="","",COUNTIF($B$6:$B3125,$B3125))</f>
        <v>6</v>
      </c>
      <c r="E3125" s="402" t="s">
        <v>2896</v>
      </c>
      <c r="F3125" s="362" t="s">
        <v>90</v>
      </c>
      <c r="G3125" s="327" t="s">
        <v>155</v>
      </c>
      <c r="H3125" s="327" t="s">
        <v>536</v>
      </c>
      <c r="I3125" s="327">
        <v>2</v>
      </c>
      <c r="J3125" s="345"/>
      <c r="K3125" s="327"/>
      <c r="L3125" s="389">
        <v>5772</v>
      </c>
      <c r="M3125" s="371"/>
      <c r="N3125" s="355" t="str">
        <f t="shared" si="312"/>
        <v>PK</v>
      </c>
      <c r="O3125" s="345"/>
      <c r="P3125" s="392"/>
      <c r="Q3125" s="327"/>
      <c r="R3125" s="351"/>
      <c r="S3125" s="351"/>
      <c r="T3125" s="351"/>
      <c r="U3125" s="329" t="str">
        <f>IF($N3125=$N$4,IFERROR(INDEX(DanhMuc!$E$154:$E$165,MATCH(MID($B3125,4,2),DanhMuc!$B$154:$B$165,0)),""),"")</f>
        <v/>
      </c>
      <c r="V3125" s="361"/>
      <c r="W3125" s="345"/>
      <c r="X3125" s="329" t="str">
        <f t="shared" si="309"/>
        <v>DR</v>
      </c>
      <c r="Y3125" s="1128" t="s">
        <v>3380</v>
      </c>
      <c r="Z3125" s="1128" t="s">
        <v>3381</v>
      </c>
      <c r="AA3125" s="1128" t="s">
        <v>3384</v>
      </c>
      <c r="AB3125" s="20"/>
      <c r="AC3125" s="73"/>
    </row>
    <row r="3126" spans="1:29">
      <c r="A3126" s="327" t="str">
        <f>IF(AND($B3126&lt;&gt;"",$C3126&lt;&gt;""),MAX($A$1556:A3124)+1,"")</f>
        <v/>
      </c>
      <c r="B3126" s="361" t="s">
        <v>2881</v>
      </c>
      <c r="C3126" s="360"/>
      <c r="D3126" s="327">
        <f>IF($B3126="","",COUNTIF($B$6:$B3126,$B3126))</f>
        <v>7</v>
      </c>
      <c r="E3126" s="361" t="s">
        <v>2908</v>
      </c>
      <c r="F3126" s="362" t="s">
        <v>92</v>
      </c>
      <c r="G3126" s="327" t="s">
        <v>155</v>
      </c>
      <c r="H3126" s="327" t="s">
        <v>536</v>
      </c>
      <c r="I3126" s="327">
        <v>2</v>
      </c>
      <c r="J3126" s="345"/>
      <c r="K3126" s="327"/>
      <c r="L3126" s="389">
        <v>7013</v>
      </c>
      <c r="M3126" s="371"/>
      <c r="N3126" s="355" t="str">
        <f t="shared" si="312"/>
        <v>PK</v>
      </c>
      <c r="O3126" s="345"/>
      <c r="P3126" s="392"/>
      <c r="Q3126" s="327"/>
      <c r="R3126" s="351"/>
      <c r="S3126" s="351"/>
      <c r="T3126" s="351"/>
      <c r="U3126" s="329" t="str">
        <f>IF($N3126=$N$4,IFERROR(INDEX(DanhMuc!$E$154:$E$165,MATCH(MID($B3126,4,2),DanhMuc!$B$154:$B$165,0)),""),"")</f>
        <v/>
      </c>
      <c r="V3126" s="361"/>
      <c r="W3126" s="345"/>
      <c r="X3126" s="329" t="str">
        <f t="shared" si="309"/>
        <v>DR</v>
      </c>
      <c r="Y3126" s="1128" t="s">
        <v>3380</v>
      </c>
      <c r="Z3126" s="1128" t="s">
        <v>3381</v>
      </c>
      <c r="AA3126" s="1128" t="s">
        <v>3384</v>
      </c>
      <c r="AB3126" s="20"/>
      <c r="AC3126" s="73"/>
    </row>
    <row r="3127" spans="1:29">
      <c r="A3127" s="327" t="str">
        <f>IF(AND($B3127&lt;&gt;"",$C3127&lt;&gt;""),MAX($A$1556:A3126)+1,"")</f>
        <v/>
      </c>
      <c r="B3127" s="361" t="s">
        <v>2881</v>
      </c>
      <c r="C3127" s="360"/>
      <c r="D3127" s="327">
        <f>IF($B3127="","",COUNTIF($B$6:$B3127,$B3127))</f>
        <v>8</v>
      </c>
      <c r="E3127" s="365" t="s">
        <v>327</v>
      </c>
      <c r="F3127" s="368" t="s">
        <v>345</v>
      </c>
      <c r="G3127" s="367" t="s">
        <v>690</v>
      </c>
      <c r="H3127" s="327" t="s">
        <v>536</v>
      </c>
      <c r="I3127" s="327">
        <v>3</v>
      </c>
      <c r="J3127" s="345" t="s">
        <v>705</v>
      </c>
      <c r="K3127" s="327"/>
      <c r="L3127" s="348">
        <f>+$S3127*$T3127*$L$37</f>
        <v>84651</v>
      </c>
      <c r="M3127" s="371"/>
      <c r="N3127" s="369" t="s">
        <v>150</v>
      </c>
      <c r="O3127" s="345" t="s">
        <v>1623</v>
      </c>
      <c r="P3127" s="392"/>
      <c r="Q3127" s="327"/>
      <c r="R3127" s="351">
        <v>2.5</v>
      </c>
      <c r="S3127" s="351">
        <v>5.8</v>
      </c>
      <c r="T3127" s="351">
        <v>0.13900000000000001</v>
      </c>
      <c r="U3127" s="329">
        <f>IF($N3127=$N$4,IFERROR(INDEX(DanhMuc!$E$154:$E$165,MATCH(MID($B3127,4,2),DanhMuc!$B$154:$B$165,0)),""),"")</f>
        <v>5800</v>
      </c>
      <c r="V3127" s="361"/>
      <c r="W3127" s="345"/>
      <c r="X3127" s="329" t="str">
        <f t="shared" si="309"/>
        <v>C459</v>
      </c>
      <c r="Y3127" s="1128" t="s">
        <v>3380</v>
      </c>
      <c r="Z3127" s="1128" t="s">
        <v>3381</v>
      </c>
      <c r="AA3127" s="1128" t="s">
        <v>3384</v>
      </c>
      <c r="AB3127" s="20"/>
      <c r="AC3127" s="73"/>
    </row>
    <row r="3128" spans="1:29">
      <c r="A3128" s="327" t="str">
        <f>IF(AND($B3128&lt;&gt;"",$C3128&lt;&gt;""),MAX($A$1556:A3124)+1,"")</f>
        <v/>
      </c>
      <c r="B3128" s="361" t="s">
        <v>2881</v>
      </c>
      <c r="C3128" s="360"/>
      <c r="D3128" s="327">
        <f>IF($B3128="","",COUNTIF($B$6:$B3128,$B3128))</f>
        <v>9</v>
      </c>
      <c r="E3128" s="361" t="s">
        <v>709</v>
      </c>
      <c r="F3128" s="362" t="s">
        <v>326</v>
      </c>
      <c r="G3128" s="327" t="s">
        <v>344</v>
      </c>
      <c r="H3128" s="327" t="s">
        <v>536</v>
      </c>
      <c r="I3128" s="327">
        <v>2</v>
      </c>
      <c r="J3128" s="361"/>
      <c r="K3128" s="327"/>
      <c r="L3128" s="389">
        <v>45000</v>
      </c>
      <c r="M3128" s="371"/>
      <c r="N3128" s="355" t="str">
        <f t="shared" ref="N3128:N3144" si="313">+$N$1555</f>
        <v>PK</v>
      </c>
      <c r="O3128" s="345"/>
      <c r="P3128" s="392"/>
      <c r="Q3128" s="327"/>
      <c r="R3128" s="351"/>
      <c r="S3128" s="351"/>
      <c r="T3128" s="351"/>
      <c r="U3128" s="329" t="str">
        <f>IF($N3128=$N$4,IFERROR(INDEX(DanhMuc!$E$154:$E$165,MATCH(MID($B3128,4,2),DanhMuc!$B$154:$B$165,0)),""),"")</f>
        <v/>
      </c>
      <c r="V3128" s="361"/>
      <c r="W3128" s="345"/>
      <c r="X3128" s="329" t="str">
        <f t="shared" si="309"/>
        <v>DR</v>
      </c>
      <c r="Y3128" s="1128" t="s">
        <v>3380</v>
      </c>
      <c r="Z3128" s="1128" t="s">
        <v>3381</v>
      </c>
      <c r="AA3128" s="1128" t="s">
        <v>3384</v>
      </c>
      <c r="AB3128" s="20"/>
      <c r="AC3128" s="73"/>
    </row>
    <row r="3129" spans="1:29">
      <c r="A3129" s="327" t="str">
        <f>IF(AND($B3129&lt;&gt;"",$C3129&lt;&gt;""),MAX($A$1556:A3127)+1,"")</f>
        <v/>
      </c>
      <c r="B3129" s="361" t="s">
        <v>2881</v>
      </c>
      <c r="C3129" s="360"/>
      <c r="D3129" s="327">
        <f>IF($B3129="","",COUNTIF($B$6:$B3129,$B3129))</f>
        <v>10</v>
      </c>
      <c r="E3129" s="402" t="s">
        <v>2896</v>
      </c>
      <c r="F3129" s="362" t="s">
        <v>90</v>
      </c>
      <c r="G3129" s="327" t="s">
        <v>155</v>
      </c>
      <c r="H3129" s="327" t="s">
        <v>536</v>
      </c>
      <c r="I3129" s="327">
        <v>2</v>
      </c>
      <c r="J3129" s="361"/>
      <c r="K3129" s="327"/>
      <c r="L3129" s="389">
        <v>5772</v>
      </c>
      <c r="M3129" s="371"/>
      <c r="N3129" s="355" t="str">
        <f t="shared" si="313"/>
        <v>PK</v>
      </c>
      <c r="O3129" s="345"/>
      <c r="P3129" s="392"/>
      <c r="Q3129" s="327"/>
      <c r="R3129" s="351"/>
      <c r="S3129" s="351"/>
      <c r="T3129" s="351"/>
      <c r="U3129" s="329" t="str">
        <f>IF($N3129=$N$4,IFERROR(INDEX(DanhMuc!$E$154:$E$165,MATCH(MID($B3129,4,2),DanhMuc!$B$154:$B$165,0)),""),"")</f>
        <v/>
      </c>
      <c r="V3129" s="361"/>
      <c r="W3129" s="345"/>
      <c r="X3129" s="329" t="str">
        <f t="shared" si="309"/>
        <v>DR</v>
      </c>
      <c r="Y3129" s="1128" t="s">
        <v>3380</v>
      </c>
      <c r="Z3129" s="1128" t="s">
        <v>3381</v>
      </c>
      <c r="AA3129" s="1128" t="s">
        <v>3384</v>
      </c>
      <c r="AB3129" s="20"/>
      <c r="AC3129" s="73"/>
    </row>
    <row r="3130" spans="1:29">
      <c r="A3130" s="327" t="str">
        <f>IF(AND($B3130&lt;&gt;"",$C3130&lt;&gt;""),MAX($A$1556:A3127)+1,"")</f>
        <v/>
      </c>
      <c r="B3130" s="361" t="s">
        <v>2881</v>
      </c>
      <c r="C3130" s="360"/>
      <c r="D3130" s="327">
        <f>IF($B3130="","",COUNTIF($B$6:$B3130,$B3130))</f>
        <v>11</v>
      </c>
      <c r="E3130" s="361" t="s">
        <v>175</v>
      </c>
      <c r="F3130" s="362" t="s">
        <v>176</v>
      </c>
      <c r="G3130" s="327" t="s">
        <v>155</v>
      </c>
      <c r="H3130" s="327" t="s">
        <v>536</v>
      </c>
      <c r="I3130" s="327">
        <v>6</v>
      </c>
      <c r="J3130" s="361"/>
      <c r="K3130" s="327"/>
      <c r="L3130" s="389">
        <v>2000</v>
      </c>
      <c r="M3130" s="371"/>
      <c r="N3130" s="355" t="str">
        <f t="shared" si="313"/>
        <v>PK</v>
      </c>
      <c r="O3130" s="345"/>
      <c r="P3130" s="392"/>
      <c r="Q3130" s="327"/>
      <c r="R3130" s="351"/>
      <c r="S3130" s="351"/>
      <c r="T3130" s="351"/>
      <c r="U3130" s="329" t="str">
        <f>IF($N3130=$N$4,IFERROR(INDEX(DanhMuc!$E$154:$E$165,MATCH(MID($B3130,4,2),DanhMuc!$B$154:$B$165,0)),""),"")</f>
        <v/>
      </c>
      <c r="V3130" s="361"/>
      <c r="W3130" s="345"/>
      <c r="X3130" s="329" t="str">
        <f t="shared" si="309"/>
        <v>DR</v>
      </c>
      <c r="Y3130" s="1128" t="s">
        <v>3380</v>
      </c>
      <c r="Z3130" s="1128" t="s">
        <v>3381</v>
      </c>
      <c r="AA3130" s="1128" t="s">
        <v>3384</v>
      </c>
      <c r="AB3130" s="20"/>
      <c r="AC3130" s="73"/>
    </row>
    <row r="3131" spans="1:29">
      <c r="A3131" s="327" t="str">
        <f>IF(AND($B3131&lt;&gt;"",$C3131&lt;&gt;""),MAX($A$1556:A3130)+1,"")</f>
        <v/>
      </c>
      <c r="B3131" s="361" t="s">
        <v>2881</v>
      </c>
      <c r="C3131" s="360"/>
      <c r="D3131" s="327">
        <f>IF($B3131="","",COUNTIF($B$6:$B3131,$B3131))</f>
        <v>12</v>
      </c>
      <c r="E3131" s="405" t="s">
        <v>2964</v>
      </c>
      <c r="F3131" s="406" t="s">
        <v>178</v>
      </c>
      <c r="G3131" s="327" t="s">
        <v>155</v>
      </c>
      <c r="H3131" s="327" t="s">
        <v>536</v>
      </c>
      <c r="I3131" s="327">
        <v>6</v>
      </c>
      <c r="J3131" s="345"/>
      <c r="K3131" s="327"/>
      <c r="L3131" s="389">
        <v>59917</v>
      </c>
      <c r="M3131" s="371"/>
      <c r="N3131" s="355" t="str">
        <f t="shared" si="313"/>
        <v>PK</v>
      </c>
      <c r="O3131" s="407" t="s">
        <v>1698</v>
      </c>
      <c r="P3131" s="392"/>
      <c r="Q3131" s="327"/>
      <c r="R3131" s="351"/>
      <c r="S3131" s="351"/>
      <c r="T3131" s="351"/>
      <c r="U3131" s="329" t="str">
        <f>IF($N3131=$N$4,IFERROR(INDEX(DanhMuc!$E$154:$E$165,MATCH(MID($B3131,4,2),DanhMuc!$B$154:$B$165,0)),""),"")</f>
        <v/>
      </c>
      <c r="V3131" s="361"/>
      <c r="W3131" s="345"/>
      <c r="X3131" s="329" t="str">
        <f t="shared" si="309"/>
        <v>DR</v>
      </c>
      <c r="Y3131" s="1128" t="s">
        <v>3380</v>
      </c>
      <c r="Z3131" s="1128" t="s">
        <v>3381</v>
      </c>
      <c r="AA3131" s="1128" t="s">
        <v>3384</v>
      </c>
      <c r="AB3131" s="20"/>
      <c r="AC3131" s="73"/>
    </row>
    <row r="3132" spans="1:29">
      <c r="A3132" s="327" t="str">
        <f>IF(AND($B3132&lt;&gt;"",$C3132&lt;&gt;""),MAX($A$1556:A3131)+1,"")</f>
        <v/>
      </c>
      <c r="B3132" s="361" t="s">
        <v>2881</v>
      </c>
      <c r="C3132" s="360"/>
      <c r="D3132" s="327">
        <f>IF($B3132="","",COUNTIF($B$6:$B3132,$B3132))</f>
        <v>13</v>
      </c>
      <c r="E3132" s="405" t="s">
        <v>2965</v>
      </c>
      <c r="F3132" s="406" t="s">
        <v>202</v>
      </c>
      <c r="G3132" s="327" t="s">
        <v>155</v>
      </c>
      <c r="H3132" s="327" t="s">
        <v>536</v>
      </c>
      <c r="I3132" s="327">
        <v>6</v>
      </c>
      <c r="J3132" s="345"/>
      <c r="K3132" s="327"/>
      <c r="L3132" s="389">
        <v>66708</v>
      </c>
      <c r="M3132" s="371"/>
      <c r="N3132" s="355" t="str">
        <f t="shared" si="313"/>
        <v>PK</v>
      </c>
      <c r="O3132" s="407" t="s">
        <v>1699</v>
      </c>
      <c r="P3132" s="392"/>
      <c r="Q3132" s="327"/>
      <c r="R3132" s="351"/>
      <c r="S3132" s="351"/>
      <c r="T3132" s="351"/>
      <c r="U3132" s="329" t="str">
        <f>IF($N3132=$N$4,IFERROR(INDEX(DanhMuc!$E$154:$E$165,MATCH(MID($B3132,4,2),DanhMuc!$B$154:$B$165,0)),""),"")</f>
        <v/>
      </c>
      <c r="V3132" s="361"/>
      <c r="W3132" s="345"/>
      <c r="X3132" s="329" t="str">
        <f t="shared" si="309"/>
        <v>DR</v>
      </c>
      <c r="Y3132" s="1128" t="s">
        <v>3380</v>
      </c>
      <c r="Z3132" s="1128" t="s">
        <v>3381</v>
      </c>
      <c r="AA3132" s="1128" t="s">
        <v>3384</v>
      </c>
      <c r="AB3132" s="20"/>
      <c r="AC3132" s="73"/>
    </row>
    <row r="3133" spans="1:29">
      <c r="A3133" s="327" t="str">
        <f>IF(AND($B3133&lt;&gt;"",$C3133&lt;&gt;""),MAX($A$1556:A3132)+1,"")</f>
        <v/>
      </c>
      <c r="B3133" s="361" t="s">
        <v>2881</v>
      </c>
      <c r="C3133" s="360"/>
      <c r="D3133" s="327">
        <f>IF($B3133="","",COUNTIF($B$6:$B3133,$B3133))</f>
        <v>14</v>
      </c>
      <c r="E3133" s="405" t="s">
        <v>2963</v>
      </c>
      <c r="F3133" s="406" t="s">
        <v>204</v>
      </c>
      <c r="G3133" s="327" t="s">
        <v>155</v>
      </c>
      <c r="H3133" s="327" t="s">
        <v>536</v>
      </c>
      <c r="I3133" s="327">
        <v>6</v>
      </c>
      <c r="J3133" s="345"/>
      <c r="K3133" s="327"/>
      <c r="L3133" s="389">
        <v>71145</v>
      </c>
      <c r="M3133" s="371"/>
      <c r="N3133" s="355" t="str">
        <f t="shared" si="313"/>
        <v>PK</v>
      </c>
      <c r="O3133" s="407" t="s">
        <v>1700</v>
      </c>
      <c r="P3133" s="392"/>
      <c r="Q3133" s="327"/>
      <c r="R3133" s="351"/>
      <c r="S3133" s="351"/>
      <c r="T3133" s="351"/>
      <c r="U3133" s="329" t="str">
        <f>IF($N3133=$N$4,IFERROR(INDEX(DanhMuc!$E$154:$E$165,MATCH(MID($B3133,4,2),DanhMuc!$B$154:$B$165,0)),""),"")</f>
        <v/>
      </c>
      <c r="V3133" s="361"/>
      <c r="W3133" s="345"/>
      <c r="X3133" s="329" t="str">
        <f t="shared" si="309"/>
        <v>DR</v>
      </c>
      <c r="Y3133" s="1128" t="s">
        <v>3380</v>
      </c>
      <c r="Z3133" s="1128" t="s">
        <v>3381</v>
      </c>
      <c r="AA3133" s="1128" t="s">
        <v>3384</v>
      </c>
      <c r="AB3133" s="20"/>
      <c r="AC3133" s="73"/>
    </row>
    <row r="3134" spans="1:29">
      <c r="A3134" s="327" t="str">
        <f>IF(AND($B3134&lt;&gt;"",$C3134&lt;&gt;""),MAX($A$1556:A3133)+1,"")</f>
        <v/>
      </c>
      <c r="B3134" s="361" t="s">
        <v>2881</v>
      </c>
      <c r="C3134" s="360"/>
      <c r="D3134" s="327">
        <f>IF($B3134="","",COUNTIF($B$6:$B3134,$B3134))</f>
        <v>15</v>
      </c>
      <c r="E3134" s="405" t="s">
        <v>2966</v>
      </c>
      <c r="F3134" s="406" t="s">
        <v>206</v>
      </c>
      <c r="G3134" s="327" t="s">
        <v>155</v>
      </c>
      <c r="H3134" s="327" t="s">
        <v>536</v>
      </c>
      <c r="I3134" s="327">
        <v>6</v>
      </c>
      <c r="J3134" s="345"/>
      <c r="K3134" s="327"/>
      <c r="L3134" s="389">
        <v>79747</v>
      </c>
      <c r="M3134" s="371"/>
      <c r="N3134" s="355" t="str">
        <f t="shared" si="313"/>
        <v>PK</v>
      </c>
      <c r="O3134" s="407" t="s">
        <v>1701</v>
      </c>
      <c r="P3134" s="392"/>
      <c r="Q3134" s="327"/>
      <c r="R3134" s="351"/>
      <c r="S3134" s="351"/>
      <c r="T3134" s="351"/>
      <c r="U3134" s="329" t="str">
        <f>IF($N3134=$N$4,IFERROR(INDEX(DanhMuc!$E$154:$E$165,MATCH(MID($B3134,4,2),DanhMuc!$B$154:$B$165,0)),""),"")</f>
        <v/>
      </c>
      <c r="V3134" s="361"/>
      <c r="W3134" s="345"/>
      <c r="X3134" s="329" t="str">
        <f t="shared" si="309"/>
        <v>DR</v>
      </c>
      <c r="Y3134" s="1128" t="s">
        <v>3380</v>
      </c>
      <c r="Z3134" s="1128" t="s">
        <v>3381</v>
      </c>
      <c r="AA3134" s="1128" t="s">
        <v>3384</v>
      </c>
      <c r="AB3134" s="20"/>
      <c r="AC3134" s="73"/>
    </row>
    <row r="3135" spans="1:29">
      <c r="A3135" s="327" t="str">
        <f>IF(AND($B3135&lt;&gt;"",$C3135&lt;&gt;""),MAX($A$1556:A3134)+1,"")</f>
        <v/>
      </c>
      <c r="B3135" s="361" t="s">
        <v>2881</v>
      </c>
      <c r="C3135" s="360"/>
      <c r="D3135" s="327">
        <f>IF($B3135="","",COUNTIF($B$6:$B3135,$B3135))</f>
        <v>16</v>
      </c>
      <c r="E3135" s="405" t="s">
        <v>2958</v>
      </c>
      <c r="F3135" s="406" t="s">
        <v>2959</v>
      </c>
      <c r="G3135" s="327" t="s">
        <v>155</v>
      </c>
      <c r="H3135" s="327" t="s">
        <v>536</v>
      </c>
      <c r="I3135" s="327">
        <v>6</v>
      </c>
      <c r="J3135" s="345"/>
      <c r="K3135" s="327"/>
      <c r="L3135" s="389">
        <v>49955</v>
      </c>
      <c r="M3135" s="371"/>
      <c r="N3135" s="355" t="str">
        <f t="shared" si="313"/>
        <v>PK</v>
      </c>
      <c r="O3135" s="407" t="s">
        <v>442</v>
      </c>
      <c r="P3135" s="392"/>
      <c r="Q3135" s="327"/>
      <c r="R3135" s="351"/>
      <c r="S3135" s="351"/>
      <c r="T3135" s="351"/>
      <c r="U3135" s="329" t="str">
        <f>IF($N3135=$N$4,IFERROR(INDEX(DanhMuc!$E$154:$E$165,MATCH(MID($B3135,4,2),DanhMuc!$B$154:$B$165,0)),""),"")</f>
        <v/>
      </c>
      <c r="V3135" s="361"/>
      <c r="W3135" s="345"/>
      <c r="X3135" s="329" t="str">
        <f t="shared" si="309"/>
        <v>DR</v>
      </c>
      <c r="Y3135" s="1128" t="s">
        <v>3380</v>
      </c>
      <c r="Z3135" s="1128" t="s">
        <v>3381</v>
      </c>
      <c r="AA3135" s="1128" t="s">
        <v>3384</v>
      </c>
      <c r="AB3135" s="20"/>
      <c r="AC3135" s="73"/>
    </row>
    <row r="3136" spans="1:29">
      <c r="A3136" s="327" t="str">
        <f>IF(AND($B3136&lt;&gt;"",$C3136&lt;&gt;""),MAX($A$1556:A3135)+1,"")</f>
        <v/>
      </c>
      <c r="B3136" s="361" t="s">
        <v>2881</v>
      </c>
      <c r="C3136" s="360"/>
      <c r="D3136" s="327">
        <f>IF($B3136="","",COUNTIF($B$6:$B3136,$B3136))</f>
        <v>17</v>
      </c>
      <c r="E3136" s="361" t="s">
        <v>678</v>
      </c>
      <c r="F3136" s="362" t="s">
        <v>711</v>
      </c>
      <c r="G3136" s="327" t="s">
        <v>155</v>
      </c>
      <c r="H3136" s="327"/>
      <c r="I3136" s="327">
        <v>1</v>
      </c>
      <c r="J3136" s="361"/>
      <c r="K3136" s="327"/>
      <c r="L3136" s="389">
        <v>1250</v>
      </c>
      <c r="M3136" s="371"/>
      <c r="N3136" s="355" t="str">
        <f t="shared" si="313"/>
        <v>PK</v>
      </c>
      <c r="O3136" s="345"/>
      <c r="P3136" s="392"/>
      <c r="Q3136" s="327"/>
      <c r="R3136" s="351"/>
      <c r="S3136" s="351"/>
      <c r="T3136" s="351"/>
      <c r="U3136" s="329" t="str">
        <f>IF($N3136=$N$4,IFERROR(INDEX(DanhMuc!$E$154:$E$165,MATCH(MID($B3136,4,2),DanhMuc!$B$154:$B$165,0)),""),"")</f>
        <v/>
      </c>
      <c r="V3136" s="361"/>
      <c r="W3136" s="345"/>
      <c r="X3136" s="329" t="str">
        <f t="shared" si="309"/>
        <v>DR</v>
      </c>
      <c r="Y3136" s="1128" t="s">
        <v>3380</v>
      </c>
      <c r="Z3136" s="1128" t="s">
        <v>3381</v>
      </c>
      <c r="AA3136" s="1128" t="s">
        <v>3384</v>
      </c>
      <c r="AB3136" s="20"/>
      <c r="AC3136" s="73"/>
    </row>
    <row r="3137" spans="1:29">
      <c r="A3137" s="327" t="str">
        <f>IF(AND($B3137&lt;&gt;"",$C3137&lt;&gt;""),MAX($A$1556:A3136)+1,"")</f>
        <v/>
      </c>
      <c r="B3137" s="361" t="s">
        <v>2881</v>
      </c>
      <c r="C3137" s="360"/>
      <c r="D3137" s="327">
        <f>IF($B3137="","",COUNTIF($B$6:$B3137,$B3137))</f>
        <v>18</v>
      </c>
      <c r="E3137" s="361" t="s">
        <v>679</v>
      </c>
      <c r="F3137" s="362" t="s">
        <v>712</v>
      </c>
      <c r="G3137" s="327" t="s">
        <v>155</v>
      </c>
      <c r="H3137" s="327"/>
      <c r="I3137" s="327">
        <v>1</v>
      </c>
      <c r="J3137" s="361"/>
      <c r="K3137" s="327"/>
      <c r="L3137" s="389">
        <v>1250</v>
      </c>
      <c r="M3137" s="371"/>
      <c r="N3137" s="355" t="str">
        <f t="shared" si="313"/>
        <v>PK</v>
      </c>
      <c r="O3137" s="345"/>
      <c r="P3137" s="392"/>
      <c r="Q3137" s="327"/>
      <c r="R3137" s="351"/>
      <c r="S3137" s="351"/>
      <c r="T3137" s="351"/>
      <c r="U3137" s="329" t="str">
        <f>IF($N3137=$N$4,IFERROR(INDEX(DanhMuc!$E$154:$E$165,MATCH(MID($B3137,4,2),DanhMuc!$B$154:$B$165,0)),""),"")</f>
        <v/>
      </c>
      <c r="V3137" s="361"/>
      <c r="W3137" s="345"/>
      <c r="X3137" s="329" t="str">
        <f t="shared" si="309"/>
        <v>DR</v>
      </c>
      <c r="Y3137" s="1128" t="s">
        <v>3380</v>
      </c>
      <c r="Z3137" s="1128" t="s">
        <v>3381</v>
      </c>
      <c r="AA3137" s="1128" t="s">
        <v>3384</v>
      </c>
      <c r="AB3137" s="20"/>
      <c r="AC3137" s="73"/>
    </row>
    <row r="3138" spans="1:29" ht="26">
      <c r="A3138" s="327">
        <f>IF(AND($B3138&lt;&gt;"",$C3138&lt;&gt;""),MAX($A$1556:A3137)+1,"")</f>
        <v>159</v>
      </c>
      <c r="B3138" s="359" t="s">
        <v>2882</v>
      </c>
      <c r="C3138" s="360" t="s">
        <v>1545</v>
      </c>
      <c r="D3138" s="327">
        <f>IF($B3138="","",COUNTIF($B$6:$B3138,$B3138))</f>
        <v>1</v>
      </c>
      <c r="E3138" s="361" t="s">
        <v>2955</v>
      </c>
      <c r="F3138" s="362" t="s">
        <v>2960</v>
      </c>
      <c r="G3138" s="327" t="s">
        <v>155</v>
      </c>
      <c r="H3138" s="327"/>
      <c r="I3138" s="327">
        <v>3</v>
      </c>
      <c r="J3138" s="361"/>
      <c r="K3138" s="327"/>
      <c r="L3138" s="389">
        <v>66547</v>
      </c>
      <c r="M3138" s="371"/>
      <c r="N3138" s="355" t="str">
        <f t="shared" si="313"/>
        <v>PK</v>
      </c>
      <c r="O3138" s="345" t="s">
        <v>2961</v>
      </c>
      <c r="P3138" s="392"/>
      <c r="Q3138" s="327"/>
      <c r="R3138" s="351"/>
      <c r="S3138" s="351"/>
      <c r="T3138" s="351"/>
      <c r="U3138" s="329" t="str">
        <f>IF($N3138=$N$4,IFERROR(INDEX(DanhMuc!$E$154:$E$165,MATCH(MID($B3138,4,2),DanhMuc!$B$154:$B$165,0)),""),"")</f>
        <v/>
      </c>
      <c r="V3138" s="361"/>
      <c r="W3138" s="345"/>
      <c r="X3138" s="329" t="str">
        <f t="shared" si="309"/>
        <v>DR</v>
      </c>
      <c r="Y3138" s="1128" t="s">
        <v>3380</v>
      </c>
      <c r="Z3138" s="1128" t="s">
        <v>3381</v>
      </c>
      <c r="AA3138" s="1128" t="s">
        <v>3384</v>
      </c>
      <c r="AB3138" s="20"/>
      <c r="AC3138" s="73"/>
    </row>
    <row r="3139" spans="1:29">
      <c r="A3139" s="327" t="str">
        <f>IF(AND($B3139&lt;&gt;"",$C3139&lt;&gt;""),MAX($A$1556:A3138)+1,"")</f>
        <v/>
      </c>
      <c r="B3139" s="361" t="s">
        <v>2882</v>
      </c>
      <c r="C3139" s="360"/>
      <c r="D3139" s="327">
        <f>IF($B3139="","",COUNTIF($B$6:$B3139,$B3139))</f>
        <v>2</v>
      </c>
      <c r="E3139" s="361" t="s">
        <v>2955</v>
      </c>
      <c r="F3139" s="362" t="s">
        <v>2962</v>
      </c>
      <c r="G3139" s="327" t="s">
        <v>155</v>
      </c>
      <c r="H3139" s="327"/>
      <c r="I3139" s="327">
        <v>3</v>
      </c>
      <c r="J3139" s="361"/>
      <c r="K3139" s="327"/>
      <c r="L3139" s="389">
        <v>66547</v>
      </c>
      <c r="M3139" s="371"/>
      <c r="N3139" s="355" t="str">
        <f t="shared" si="313"/>
        <v>PK</v>
      </c>
      <c r="O3139" s="345" t="s">
        <v>2956</v>
      </c>
      <c r="P3139" s="392"/>
      <c r="Q3139" s="327"/>
      <c r="R3139" s="351"/>
      <c r="S3139" s="351"/>
      <c r="T3139" s="351"/>
      <c r="U3139" s="329" t="str">
        <f>IF($N3139=$N$4,IFERROR(INDEX(DanhMuc!$E$154:$E$165,MATCH(MID($B3139,4,2),DanhMuc!$B$154:$B$165,0)),""),"")</f>
        <v/>
      </c>
      <c r="V3139" s="361"/>
      <c r="W3139" s="345"/>
      <c r="X3139" s="329" t="str">
        <f t="shared" si="309"/>
        <v>DR</v>
      </c>
      <c r="Y3139" s="1128" t="s">
        <v>3380</v>
      </c>
      <c r="Z3139" s="1128" t="s">
        <v>3381</v>
      </c>
      <c r="AA3139" s="1128" t="s">
        <v>3384</v>
      </c>
      <c r="AB3139" s="20"/>
      <c r="AC3139" s="73"/>
    </row>
    <row r="3140" spans="1:29" ht="25">
      <c r="A3140" s="327" t="str">
        <f>IF(AND($B3140&lt;&gt;"",$C3140&lt;&gt;""),MAX($A$1556:A3138)+1,"")</f>
        <v/>
      </c>
      <c r="B3140" s="361" t="s">
        <v>2882</v>
      </c>
      <c r="C3140" s="362"/>
      <c r="D3140" s="327">
        <f>IF($B3140="","",COUNTIF($B$6:$B3140,$B3140))</f>
        <v>3</v>
      </c>
      <c r="E3140" s="361" t="s">
        <v>2921</v>
      </c>
      <c r="F3140" s="362" t="s">
        <v>210</v>
      </c>
      <c r="G3140" s="327" t="s">
        <v>155</v>
      </c>
      <c r="H3140" s="327"/>
      <c r="I3140" s="327">
        <v>3</v>
      </c>
      <c r="J3140" s="361"/>
      <c r="K3140" s="327"/>
      <c r="L3140" s="389">
        <v>68884</v>
      </c>
      <c r="M3140" s="371"/>
      <c r="N3140" s="355" t="str">
        <f t="shared" si="313"/>
        <v>PK</v>
      </c>
      <c r="O3140" s="345" t="s">
        <v>1782</v>
      </c>
      <c r="P3140" s="392"/>
      <c r="Q3140" s="327"/>
      <c r="R3140" s="351"/>
      <c r="S3140" s="351"/>
      <c r="T3140" s="351"/>
      <c r="U3140" s="329" t="str">
        <f>IF($N3140=$N$4,IFERROR(INDEX(DanhMuc!$E$154:$E$165,MATCH(MID($B3140,4,2),DanhMuc!$B$154:$B$165,0)),""),"")</f>
        <v/>
      </c>
      <c r="V3140" s="361"/>
      <c r="W3140" s="345"/>
      <c r="X3140" s="329" t="str">
        <f t="shared" si="309"/>
        <v>DR</v>
      </c>
      <c r="Y3140" s="1128" t="s">
        <v>3380</v>
      </c>
      <c r="Z3140" s="1128" t="s">
        <v>3381</v>
      </c>
      <c r="AA3140" s="1128" t="s">
        <v>3384</v>
      </c>
      <c r="AB3140" s="20"/>
      <c r="AC3140" s="73"/>
    </row>
    <row r="3141" spans="1:29">
      <c r="A3141" s="327" t="str">
        <f>IF(AND($B3141&lt;&gt;"",$C3141&lt;&gt;""),MAX($A$1556:A3138)+1,"")</f>
        <v/>
      </c>
      <c r="B3141" s="361" t="s">
        <v>2882</v>
      </c>
      <c r="C3141" s="360"/>
      <c r="D3141" s="327">
        <f>IF($B3141="","",COUNTIF($B$6:$B3141,$B3141))</f>
        <v>4</v>
      </c>
      <c r="E3141" s="361" t="s">
        <v>2957</v>
      </c>
      <c r="F3141" s="362" t="s">
        <v>224</v>
      </c>
      <c r="G3141" s="327" t="s">
        <v>155</v>
      </c>
      <c r="H3141" s="327" t="s">
        <v>536</v>
      </c>
      <c r="I3141" s="327">
        <v>3</v>
      </c>
      <c r="J3141" s="361"/>
      <c r="K3141" s="327"/>
      <c r="L3141" s="389">
        <v>14595</v>
      </c>
      <c r="M3141" s="371"/>
      <c r="N3141" s="355" t="str">
        <f t="shared" si="313"/>
        <v>PK</v>
      </c>
      <c r="O3141" s="345" t="s">
        <v>1623</v>
      </c>
      <c r="P3141" s="392"/>
      <c r="Q3141" s="327"/>
      <c r="R3141" s="351"/>
      <c r="S3141" s="351"/>
      <c r="T3141" s="351"/>
      <c r="U3141" s="329" t="str">
        <f>IF($N3141=$N$4,IFERROR(INDEX(DanhMuc!$E$154:$E$165,MATCH(MID($B3141,4,2),DanhMuc!$B$154:$B$165,0)),""),"")</f>
        <v/>
      </c>
      <c r="V3141" s="361"/>
      <c r="W3141" s="345"/>
      <c r="X3141" s="329" t="str">
        <f t="shared" si="309"/>
        <v>DR</v>
      </c>
      <c r="Y3141" s="1128" t="s">
        <v>3380</v>
      </c>
      <c r="Z3141" s="1128" t="s">
        <v>3381</v>
      </c>
      <c r="AA3141" s="1128" t="s">
        <v>3384</v>
      </c>
      <c r="AB3141" s="20"/>
      <c r="AC3141" s="73"/>
    </row>
    <row r="3142" spans="1:29">
      <c r="A3142" s="327" t="str">
        <f>IF(AND($B3142&lt;&gt;"",$C3142&lt;&gt;""),MAX($A$1556:A3141)+1,"")</f>
        <v/>
      </c>
      <c r="B3142" s="361" t="s">
        <v>2882</v>
      </c>
      <c r="C3142" s="360"/>
      <c r="D3142" s="327">
        <f>IF($B3142="","",COUNTIF($B$6:$B3142,$B3142))</f>
        <v>5</v>
      </c>
      <c r="E3142" s="361" t="s">
        <v>2895</v>
      </c>
      <c r="F3142" s="362" t="s">
        <v>2907</v>
      </c>
      <c r="G3142" s="327" t="s">
        <v>155</v>
      </c>
      <c r="H3142" s="327" t="s">
        <v>536</v>
      </c>
      <c r="I3142" s="327">
        <v>6</v>
      </c>
      <c r="J3142" s="345"/>
      <c r="K3142" s="327"/>
      <c r="L3142" s="389">
        <v>13762</v>
      </c>
      <c r="M3142" s="371"/>
      <c r="N3142" s="355" t="str">
        <f t="shared" si="313"/>
        <v>PK</v>
      </c>
      <c r="O3142" s="345" t="s">
        <v>1623</v>
      </c>
      <c r="P3142" s="392"/>
      <c r="Q3142" s="327"/>
      <c r="R3142" s="351"/>
      <c r="S3142" s="351"/>
      <c r="T3142" s="351"/>
      <c r="U3142" s="329" t="str">
        <f>IF($N3142=$N$4,IFERROR(INDEX(DanhMuc!$E$154:$E$165,MATCH(MID($B3142,4,2),DanhMuc!$B$154:$B$165,0)),""),"")</f>
        <v/>
      </c>
      <c r="V3142" s="361"/>
      <c r="W3142" s="345"/>
      <c r="X3142" s="329" t="str">
        <f t="shared" si="309"/>
        <v>DR</v>
      </c>
      <c r="Y3142" s="1128" t="s">
        <v>3380</v>
      </c>
      <c r="Z3142" s="1128" t="s">
        <v>3381</v>
      </c>
      <c r="AA3142" s="1128" t="s">
        <v>3384</v>
      </c>
      <c r="AB3142" s="20"/>
      <c r="AC3142" s="73"/>
    </row>
    <row r="3143" spans="1:29">
      <c r="A3143" s="327" t="str">
        <f>IF(AND($B3143&lt;&gt;"",$C3143&lt;&gt;""),MAX($A$1556:A3142)+1,"")</f>
        <v/>
      </c>
      <c r="B3143" s="361" t="s">
        <v>2882</v>
      </c>
      <c r="C3143" s="360"/>
      <c r="D3143" s="327">
        <f>IF($B3143="","",COUNTIF($B$6:$B3143,$B3143))</f>
        <v>6</v>
      </c>
      <c r="E3143" s="402" t="s">
        <v>2896</v>
      </c>
      <c r="F3143" s="362" t="s">
        <v>90</v>
      </c>
      <c r="G3143" s="327" t="s">
        <v>155</v>
      </c>
      <c r="H3143" s="327" t="s">
        <v>536</v>
      </c>
      <c r="I3143" s="327">
        <v>4</v>
      </c>
      <c r="J3143" s="345"/>
      <c r="K3143" s="327"/>
      <c r="L3143" s="389">
        <v>5772</v>
      </c>
      <c r="M3143" s="371"/>
      <c r="N3143" s="355" t="str">
        <f t="shared" si="313"/>
        <v>PK</v>
      </c>
      <c r="O3143" s="345"/>
      <c r="P3143" s="392"/>
      <c r="Q3143" s="327"/>
      <c r="R3143" s="351"/>
      <c r="S3143" s="351"/>
      <c r="T3143" s="351"/>
      <c r="U3143" s="329" t="str">
        <f>IF($N3143=$N$4,IFERROR(INDEX(DanhMuc!$E$154:$E$165,MATCH(MID($B3143,4,2),DanhMuc!$B$154:$B$165,0)),""),"")</f>
        <v/>
      </c>
      <c r="V3143" s="361"/>
      <c r="W3143" s="345"/>
      <c r="X3143" s="329" t="str">
        <f t="shared" si="309"/>
        <v>DR</v>
      </c>
      <c r="Y3143" s="1128" t="s">
        <v>3380</v>
      </c>
      <c r="Z3143" s="1128" t="s">
        <v>3381</v>
      </c>
      <c r="AA3143" s="1128" t="s">
        <v>3384</v>
      </c>
      <c r="AB3143" s="20"/>
      <c r="AC3143" s="73"/>
    </row>
    <row r="3144" spans="1:29">
      <c r="A3144" s="327" t="str">
        <f>IF(AND($B3144&lt;&gt;"",$C3144&lt;&gt;""),MAX($A$1556:A3143)+1,"")</f>
        <v/>
      </c>
      <c r="B3144" s="361" t="s">
        <v>2882</v>
      </c>
      <c r="C3144" s="360"/>
      <c r="D3144" s="327">
        <f>IF($B3144="","",COUNTIF($B$6:$B3144,$B3144))</f>
        <v>7</v>
      </c>
      <c r="E3144" s="361" t="s">
        <v>2908</v>
      </c>
      <c r="F3144" s="362" t="s">
        <v>179</v>
      </c>
      <c r="G3144" s="327" t="s">
        <v>155</v>
      </c>
      <c r="H3144" s="327" t="s">
        <v>536</v>
      </c>
      <c r="I3144" s="327">
        <v>2</v>
      </c>
      <c r="J3144" s="345"/>
      <c r="K3144" s="327"/>
      <c r="L3144" s="389">
        <v>7013</v>
      </c>
      <c r="M3144" s="371"/>
      <c r="N3144" s="355" t="str">
        <f t="shared" si="313"/>
        <v>PK</v>
      </c>
      <c r="O3144" s="345"/>
      <c r="P3144" s="392"/>
      <c r="Q3144" s="327"/>
      <c r="R3144" s="351"/>
      <c r="S3144" s="351"/>
      <c r="T3144" s="351"/>
      <c r="U3144" s="329" t="str">
        <f>IF($N3144=$N$4,IFERROR(INDEX(DanhMuc!$E$154:$E$165,MATCH(MID($B3144,4,2),DanhMuc!$B$154:$B$165,0)),""),"")</f>
        <v/>
      </c>
      <c r="V3144" s="361"/>
      <c r="W3144" s="345"/>
      <c r="X3144" s="329" t="str">
        <f t="shared" si="309"/>
        <v>DR</v>
      </c>
      <c r="Y3144" s="1128" t="s">
        <v>3380</v>
      </c>
      <c r="Z3144" s="1128" t="s">
        <v>3381</v>
      </c>
      <c r="AA3144" s="1128" t="s">
        <v>3384</v>
      </c>
      <c r="AB3144" s="20"/>
      <c r="AC3144" s="73"/>
    </row>
    <row r="3145" spans="1:29">
      <c r="A3145" s="327" t="str">
        <f>IF(AND($B3145&lt;&gt;"",$C3145&lt;&gt;""),MAX($A$1556:A3144)+1,"")</f>
        <v/>
      </c>
      <c r="B3145" s="361" t="s">
        <v>2882</v>
      </c>
      <c r="C3145" s="360"/>
      <c r="D3145" s="327">
        <f>IF($B3145="","",COUNTIF($B$6:$B3145,$B3145))</f>
        <v>8</v>
      </c>
      <c r="E3145" s="365" t="s">
        <v>327</v>
      </c>
      <c r="F3145" s="368" t="s">
        <v>345</v>
      </c>
      <c r="G3145" s="367" t="s">
        <v>690</v>
      </c>
      <c r="H3145" s="327" t="s">
        <v>536</v>
      </c>
      <c r="I3145" s="327">
        <v>4</v>
      </c>
      <c r="J3145" s="345" t="s">
        <v>705</v>
      </c>
      <c r="K3145" s="327"/>
      <c r="L3145" s="348">
        <f>+$S3145*$T3145*$L$37</f>
        <v>84651</v>
      </c>
      <c r="M3145" s="371"/>
      <c r="N3145" s="369" t="s">
        <v>150</v>
      </c>
      <c r="O3145" s="345" t="s">
        <v>1623</v>
      </c>
      <c r="P3145" s="392"/>
      <c r="Q3145" s="327"/>
      <c r="R3145" s="351">
        <v>2.5</v>
      </c>
      <c r="S3145" s="351">
        <v>5.8</v>
      </c>
      <c r="T3145" s="351">
        <v>0.13900000000000001</v>
      </c>
      <c r="U3145" s="329">
        <f>IF($N3145=$N$4,IFERROR(INDEX(DanhMuc!$E$154:$E$165,MATCH(MID($B3145,4,2),DanhMuc!$B$154:$B$165,0)),""),"")</f>
        <v>5800</v>
      </c>
      <c r="V3145" s="361"/>
      <c r="W3145" s="345"/>
      <c r="X3145" s="329" t="str">
        <f t="shared" si="309"/>
        <v>C459</v>
      </c>
      <c r="Y3145" s="1128" t="s">
        <v>3380</v>
      </c>
      <c r="Z3145" s="1128" t="s">
        <v>3381</v>
      </c>
      <c r="AA3145" s="1128" t="s">
        <v>3384</v>
      </c>
      <c r="AB3145" s="20"/>
      <c r="AC3145" s="73"/>
    </row>
    <row r="3146" spans="1:29">
      <c r="A3146" s="327" t="str">
        <f>IF(AND($B3146&lt;&gt;"",$C3146&lt;&gt;""),MAX($A$1556:A3145)+1,"")</f>
        <v/>
      </c>
      <c r="B3146" s="361" t="s">
        <v>2882</v>
      </c>
      <c r="C3146" s="360"/>
      <c r="D3146" s="327">
        <f>IF($B3146="","",COUNTIF($B$6:$B3146,$B3146))</f>
        <v>9</v>
      </c>
      <c r="E3146" s="361" t="s">
        <v>709</v>
      </c>
      <c r="F3146" s="362" t="s">
        <v>326</v>
      </c>
      <c r="G3146" s="327" t="s">
        <v>344</v>
      </c>
      <c r="H3146" s="327" t="s">
        <v>536</v>
      </c>
      <c r="I3146" s="327">
        <v>1</v>
      </c>
      <c r="J3146" s="361"/>
      <c r="K3146" s="327"/>
      <c r="L3146" s="389">
        <v>45000</v>
      </c>
      <c r="M3146" s="371"/>
      <c r="N3146" s="355" t="str">
        <f t="shared" ref="N3146:N3161" si="314">+$N$1555</f>
        <v>PK</v>
      </c>
      <c r="O3146" s="345"/>
      <c r="P3146" s="392"/>
      <c r="Q3146" s="327"/>
      <c r="R3146" s="351"/>
      <c r="S3146" s="351"/>
      <c r="T3146" s="351"/>
      <c r="U3146" s="329" t="str">
        <f>IF($N3146=$N$4,IFERROR(INDEX(DanhMuc!$E$154:$E$165,MATCH(MID($B3146,4,2),DanhMuc!$B$154:$B$165,0)),""),"")</f>
        <v/>
      </c>
      <c r="V3146" s="361"/>
      <c r="W3146" s="345"/>
      <c r="X3146" s="329" t="str">
        <f t="shared" si="309"/>
        <v>DR</v>
      </c>
      <c r="Y3146" s="1128" t="s">
        <v>3380</v>
      </c>
      <c r="Z3146" s="1128" t="s">
        <v>3381</v>
      </c>
      <c r="AA3146" s="1128" t="s">
        <v>3384</v>
      </c>
      <c r="AB3146" s="20"/>
      <c r="AC3146" s="73"/>
    </row>
    <row r="3147" spans="1:29">
      <c r="A3147" s="327" t="str">
        <f>IF(AND($B3147&lt;&gt;"",$C3147&lt;&gt;""),MAX($A$1556:A3146)+1,"")</f>
        <v/>
      </c>
      <c r="B3147" s="361" t="s">
        <v>2882</v>
      </c>
      <c r="C3147" s="360"/>
      <c r="D3147" s="327">
        <f>IF($B3147="","",COUNTIF($B$6:$B3147,$B3147))</f>
        <v>10</v>
      </c>
      <c r="E3147" s="402" t="s">
        <v>2896</v>
      </c>
      <c r="F3147" s="362" t="s">
        <v>90</v>
      </c>
      <c r="G3147" s="327" t="s">
        <v>155</v>
      </c>
      <c r="H3147" s="327" t="s">
        <v>536</v>
      </c>
      <c r="I3147" s="327">
        <v>2</v>
      </c>
      <c r="J3147" s="361"/>
      <c r="K3147" s="327"/>
      <c r="L3147" s="389">
        <v>5772</v>
      </c>
      <c r="M3147" s="371"/>
      <c r="N3147" s="355" t="str">
        <f t="shared" si="314"/>
        <v>PK</v>
      </c>
      <c r="O3147" s="345"/>
      <c r="P3147" s="392"/>
      <c r="Q3147" s="327"/>
      <c r="R3147" s="351"/>
      <c r="S3147" s="351"/>
      <c r="T3147" s="351"/>
      <c r="U3147" s="329" t="str">
        <f>IF($N3147=$N$4,IFERROR(INDEX(DanhMuc!$E$154:$E$165,MATCH(MID($B3147,4,2),DanhMuc!$B$154:$B$165,0)),""),"")</f>
        <v/>
      </c>
      <c r="V3147" s="361"/>
      <c r="W3147" s="345"/>
      <c r="X3147" s="329" t="str">
        <f t="shared" si="309"/>
        <v>DR</v>
      </c>
      <c r="Y3147" s="1128" t="s">
        <v>3380</v>
      </c>
      <c r="Z3147" s="1128" t="s">
        <v>3381</v>
      </c>
      <c r="AA3147" s="1128" t="s">
        <v>3384</v>
      </c>
      <c r="AB3147" s="20"/>
      <c r="AC3147" s="73"/>
    </row>
    <row r="3148" spans="1:29">
      <c r="A3148" s="327" t="str">
        <f>IF(AND($B3148&lt;&gt;"",$C3148&lt;&gt;""),MAX($A$1556:A3147)+1,"")</f>
        <v/>
      </c>
      <c r="B3148" s="361" t="s">
        <v>2882</v>
      </c>
      <c r="C3148" s="360"/>
      <c r="D3148" s="327">
        <f>IF($B3148="","",COUNTIF($B$6:$B3148,$B3148))</f>
        <v>11</v>
      </c>
      <c r="E3148" s="361" t="s">
        <v>175</v>
      </c>
      <c r="F3148" s="362" t="s">
        <v>176</v>
      </c>
      <c r="G3148" s="327" t="s">
        <v>155</v>
      </c>
      <c r="H3148" s="327" t="s">
        <v>536</v>
      </c>
      <c r="I3148" s="327">
        <v>8</v>
      </c>
      <c r="J3148" s="361"/>
      <c r="K3148" s="327"/>
      <c r="L3148" s="389">
        <v>2000</v>
      </c>
      <c r="M3148" s="371"/>
      <c r="N3148" s="355" t="str">
        <f t="shared" si="314"/>
        <v>PK</v>
      </c>
      <c r="O3148" s="345"/>
      <c r="P3148" s="392"/>
      <c r="Q3148" s="327"/>
      <c r="R3148" s="351"/>
      <c r="S3148" s="351"/>
      <c r="T3148" s="351"/>
      <c r="U3148" s="329" t="str">
        <f>IF($N3148=$N$4,IFERROR(INDEX(DanhMuc!$E$154:$E$165,MATCH(MID($B3148,4,2),DanhMuc!$B$154:$B$165,0)),""),"")</f>
        <v/>
      </c>
      <c r="V3148" s="361"/>
      <c r="W3148" s="345"/>
      <c r="X3148" s="329" t="str">
        <f t="shared" si="309"/>
        <v>DR</v>
      </c>
      <c r="Y3148" s="1128" t="s">
        <v>3380</v>
      </c>
      <c r="Z3148" s="1128" t="s">
        <v>3381</v>
      </c>
      <c r="AA3148" s="1128" t="s">
        <v>3384</v>
      </c>
      <c r="AB3148" s="20"/>
      <c r="AC3148" s="73"/>
    </row>
    <row r="3149" spans="1:29">
      <c r="A3149" s="327" t="str">
        <f>IF(AND($B3149&lt;&gt;"",$C3149&lt;&gt;""),MAX($A$1556:A3148)+1,"")</f>
        <v/>
      </c>
      <c r="B3149" s="361" t="s">
        <v>2882</v>
      </c>
      <c r="C3149" s="360"/>
      <c r="D3149" s="327">
        <f>IF($B3149="","",COUNTIF($B$6:$B3149,$B3149))</f>
        <v>12</v>
      </c>
      <c r="E3149" s="405" t="s">
        <v>2964</v>
      </c>
      <c r="F3149" s="406" t="s">
        <v>178</v>
      </c>
      <c r="G3149" s="327" t="s">
        <v>155</v>
      </c>
      <c r="H3149" s="327" t="s">
        <v>536</v>
      </c>
      <c r="I3149" s="327">
        <v>8</v>
      </c>
      <c r="J3149" s="345"/>
      <c r="K3149" s="327"/>
      <c r="L3149" s="389">
        <v>59917</v>
      </c>
      <c r="M3149" s="371"/>
      <c r="N3149" s="355" t="str">
        <f t="shared" si="314"/>
        <v>PK</v>
      </c>
      <c r="O3149" s="407" t="s">
        <v>1698</v>
      </c>
      <c r="P3149" s="392"/>
      <c r="Q3149" s="327"/>
      <c r="R3149" s="351"/>
      <c r="S3149" s="351"/>
      <c r="T3149" s="351"/>
      <c r="U3149" s="329" t="str">
        <f>IF($N3149=$N$4,IFERROR(INDEX(DanhMuc!$E$154:$E$165,MATCH(MID($B3149,4,2),DanhMuc!$B$154:$B$165,0)),""),"")</f>
        <v/>
      </c>
      <c r="V3149" s="361"/>
      <c r="W3149" s="345"/>
      <c r="X3149" s="329" t="str">
        <f t="shared" si="309"/>
        <v>DR</v>
      </c>
      <c r="Y3149" s="1128" t="s">
        <v>3380</v>
      </c>
      <c r="Z3149" s="1128" t="s">
        <v>3381</v>
      </c>
      <c r="AA3149" s="1128" t="s">
        <v>3384</v>
      </c>
      <c r="AB3149" s="20"/>
      <c r="AC3149" s="73"/>
    </row>
    <row r="3150" spans="1:29">
      <c r="A3150" s="327" t="str">
        <f>IF(AND($B3150&lt;&gt;"",$C3150&lt;&gt;""),MAX($A$1556:A3149)+1,"")</f>
        <v/>
      </c>
      <c r="B3150" s="361" t="s">
        <v>2882</v>
      </c>
      <c r="C3150" s="360"/>
      <c r="D3150" s="327">
        <f>IF($B3150="","",COUNTIF($B$6:$B3150,$B3150))</f>
        <v>13</v>
      </c>
      <c r="E3150" s="405" t="s">
        <v>2965</v>
      </c>
      <c r="F3150" s="406" t="s">
        <v>202</v>
      </c>
      <c r="G3150" s="327" t="s">
        <v>155</v>
      </c>
      <c r="H3150" s="327" t="s">
        <v>536</v>
      </c>
      <c r="I3150" s="327">
        <v>8</v>
      </c>
      <c r="J3150" s="345"/>
      <c r="K3150" s="327"/>
      <c r="L3150" s="389">
        <v>66708</v>
      </c>
      <c r="M3150" s="371"/>
      <c r="N3150" s="355" t="str">
        <f t="shared" si="314"/>
        <v>PK</v>
      </c>
      <c r="O3150" s="407" t="s">
        <v>1699</v>
      </c>
      <c r="P3150" s="392"/>
      <c r="Q3150" s="327"/>
      <c r="R3150" s="351"/>
      <c r="S3150" s="351"/>
      <c r="T3150" s="351"/>
      <c r="U3150" s="329" t="str">
        <f>IF($N3150=$N$4,IFERROR(INDEX(DanhMuc!$E$154:$E$165,MATCH(MID($B3150,4,2),DanhMuc!$B$154:$B$165,0)),""),"")</f>
        <v/>
      </c>
      <c r="V3150" s="361"/>
      <c r="W3150" s="345"/>
      <c r="X3150" s="329" t="str">
        <f t="shared" ref="X3150:X3220" si="315">IF($N3150="PR",$E3150,MID($B3150,10,2))</f>
        <v>DR</v>
      </c>
      <c r="Y3150" s="1128" t="s">
        <v>3380</v>
      </c>
      <c r="Z3150" s="1128" t="s">
        <v>3381</v>
      </c>
      <c r="AA3150" s="1128" t="s">
        <v>3384</v>
      </c>
      <c r="AB3150" s="20"/>
      <c r="AC3150" s="73"/>
    </row>
    <row r="3151" spans="1:29">
      <c r="A3151" s="327" t="str">
        <f>IF(AND($B3151&lt;&gt;"",$C3151&lt;&gt;""),MAX($A$1556:A3150)+1,"")</f>
        <v/>
      </c>
      <c r="B3151" s="361" t="s">
        <v>2882</v>
      </c>
      <c r="C3151" s="360"/>
      <c r="D3151" s="327">
        <f>IF($B3151="","",COUNTIF($B$6:$B3151,$B3151))</f>
        <v>14</v>
      </c>
      <c r="E3151" s="405" t="s">
        <v>2963</v>
      </c>
      <c r="F3151" s="406" t="s">
        <v>204</v>
      </c>
      <c r="G3151" s="327" t="s">
        <v>155</v>
      </c>
      <c r="H3151" s="327" t="s">
        <v>536</v>
      </c>
      <c r="I3151" s="327">
        <v>8</v>
      </c>
      <c r="J3151" s="345"/>
      <c r="K3151" s="327"/>
      <c r="L3151" s="389">
        <v>71145</v>
      </c>
      <c r="M3151" s="371"/>
      <c r="N3151" s="355" t="str">
        <f t="shared" si="314"/>
        <v>PK</v>
      </c>
      <c r="O3151" s="407" t="s">
        <v>1700</v>
      </c>
      <c r="P3151" s="392"/>
      <c r="Q3151" s="327"/>
      <c r="R3151" s="351"/>
      <c r="S3151" s="351"/>
      <c r="T3151" s="351"/>
      <c r="U3151" s="329" t="str">
        <f>IF($N3151=$N$4,IFERROR(INDEX(DanhMuc!$E$154:$E$165,MATCH(MID($B3151,4,2),DanhMuc!$B$154:$B$165,0)),""),"")</f>
        <v/>
      </c>
      <c r="V3151" s="361"/>
      <c r="W3151" s="345"/>
      <c r="X3151" s="329" t="str">
        <f t="shared" si="315"/>
        <v>DR</v>
      </c>
      <c r="Y3151" s="1128" t="s">
        <v>3380</v>
      </c>
      <c r="Z3151" s="1128" t="s">
        <v>3381</v>
      </c>
      <c r="AA3151" s="1128" t="s">
        <v>3384</v>
      </c>
      <c r="AB3151" s="20"/>
      <c r="AC3151" s="73"/>
    </row>
    <row r="3152" spans="1:29">
      <c r="A3152" s="327" t="str">
        <f>IF(AND($B3152&lt;&gt;"",$C3152&lt;&gt;""),MAX($A$1556:A3151)+1,"")</f>
        <v/>
      </c>
      <c r="B3152" s="361" t="s">
        <v>2882</v>
      </c>
      <c r="C3152" s="360"/>
      <c r="D3152" s="327">
        <f>IF($B3152="","",COUNTIF($B$6:$B3152,$B3152))</f>
        <v>15</v>
      </c>
      <c r="E3152" s="405" t="s">
        <v>2966</v>
      </c>
      <c r="F3152" s="406" t="s">
        <v>206</v>
      </c>
      <c r="G3152" s="327" t="s">
        <v>155</v>
      </c>
      <c r="H3152" s="327" t="s">
        <v>536</v>
      </c>
      <c r="I3152" s="327">
        <v>8</v>
      </c>
      <c r="J3152" s="345"/>
      <c r="K3152" s="327"/>
      <c r="L3152" s="389">
        <v>79747</v>
      </c>
      <c r="M3152" s="371"/>
      <c r="N3152" s="355" t="str">
        <f t="shared" si="314"/>
        <v>PK</v>
      </c>
      <c r="O3152" s="407" t="s">
        <v>1701</v>
      </c>
      <c r="P3152" s="392"/>
      <c r="Q3152" s="327"/>
      <c r="R3152" s="351"/>
      <c r="S3152" s="351"/>
      <c r="T3152" s="351"/>
      <c r="U3152" s="329" t="str">
        <f>IF($N3152=$N$4,IFERROR(INDEX(DanhMuc!$E$154:$E$165,MATCH(MID($B3152,4,2),DanhMuc!$B$154:$B$165,0)),""),"")</f>
        <v/>
      </c>
      <c r="V3152" s="361"/>
      <c r="W3152" s="345"/>
      <c r="X3152" s="329" t="str">
        <f t="shared" si="315"/>
        <v>DR</v>
      </c>
      <c r="Y3152" s="1128" t="s">
        <v>3380</v>
      </c>
      <c r="Z3152" s="1128" t="s">
        <v>3381</v>
      </c>
      <c r="AA3152" s="1128" t="s">
        <v>3384</v>
      </c>
      <c r="AB3152" s="20"/>
      <c r="AC3152" s="73"/>
    </row>
    <row r="3153" spans="1:29">
      <c r="A3153" s="327" t="str">
        <f>IF(AND($B3153&lt;&gt;"",$C3153&lt;&gt;""),MAX($A$1556:A3152)+1,"")</f>
        <v/>
      </c>
      <c r="B3153" s="361" t="s">
        <v>2882</v>
      </c>
      <c r="C3153" s="360"/>
      <c r="D3153" s="327">
        <f>IF($B3153="","",COUNTIF($B$6:$B3153,$B3153))</f>
        <v>16</v>
      </c>
      <c r="E3153" s="405" t="s">
        <v>2958</v>
      </c>
      <c r="F3153" s="406" t="s">
        <v>2959</v>
      </c>
      <c r="G3153" s="327" t="s">
        <v>155</v>
      </c>
      <c r="H3153" s="327" t="s">
        <v>536</v>
      </c>
      <c r="I3153" s="327">
        <v>8</v>
      </c>
      <c r="J3153" s="345"/>
      <c r="K3153" s="327"/>
      <c r="L3153" s="389">
        <v>49955</v>
      </c>
      <c r="M3153" s="371"/>
      <c r="N3153" s="355" t="str">
        <f t="shared" si="314"/>
        <v>PK</v>
      </c>
      <c r="O3153" s="407" t="s">
        <v>442</v>
      </c>
      <c r="P3153" s="392"/>
      <c r="Q3153" s="327"/>
      <c r="R3153" s="351"/>
      <c r="S3153" s="351"/>
      <c r="T3153" s="351"/>
      <c r="U3153" s="329" t="str">
        <f>IF($N3153=$N$4,IFERROR(INDEX(DanhMuc!$E$154:$E$165,MATCH(MID($B3153,4,2),DanhMuc!$B$154:$B$165,0)),""),"")</f>
        <v/>
      </c>
      <c r="V3153" s="361"/>
      <c r="W3153" s="345"/>
      <c r="X3153" s="329" t="str">
        <f t="shared" si="315"/>
        <v>DR</v>
      </c>
      <c r="Y3153" s="1128" t="s">
        <v>3380</v>
      </c>
      <c r="Z3153" s="1128" t="s">
        <v>3381</v>
      </c>
      <c r="AA3153" s="1128" t="s">
        <v>3384</v>
      </c>
      <c r="AB3153" s="20"/>
      <c r="AC3153" s="73"/>
    </row>
    <row r="3154" spans="1:29">
      <c r="A3154" s="327" t="str">
        <f>IF(AND($B3154&lt;&gt;"",$C3154&lt;&gt;""),MAX($A$1556:A3153)+1,"")</f>
        <v/>
      </c>
      <c r="B3154" s="361" t="s">
        <v>2882</v>
      </c>
      <c r="C3154" s="360"/>
      <c r="D3154" s="327">
        <f>IF($B3154="","",COUNTIF($B$6:$B3154,$B3154))</f>
        <v>17</v>
      </c>
      <c r="E3154" s="361" t="s">
        <v>678</v>
      </c>
      <c r="F3154" s="362" t="s">
        <v>711</v>
      </c>
      <c r="G3154" s="327" t="s">
        <v>155</v>
      </c>
      <c r="H3154" s="327"/>
      <c r="I3154" s="327">
        <v>1</v>
      </c>
      <c r="J3154" s="361"/>
      <c r="K3154" s="327"/>
      <c r="L3154" s="389">
        <v>1250</v>
      </c>
      <c r="M3154" s="371"/>
      <c r="N3154" s="355" t="str">
        <f t="shared" si="314"/>
        <v>PK</v>
      </c>
      <c r="O3154" s="345"/>
      <c r="P3154" s="392"/>
      <c r="Q3154" s="327"/>
      <c r="R3154" s="351"/>
      <c r="S3154" s="351"/>
      <c r="T3154" s="351"/>
      <c r="U3154" s="329" t="str">
        <f>IF($N3154=$N$4,IFERROR(INDEX(DanhMuc!$E$154:$E$165,MATCH(MID($B3154,4,2),DanhMuc!$B$154:$B$165,0)),""),"")</f>
        <v/>
      </c>
      <c r="V3154" s="361"/>
      <c r="W3154" s="345"/>
      <c r="X3154" s="329" t="str">
        <f t="shared" si="315"/>
        <v>DR</v>
      </c>
      <c r="Y3154" s="1128" t="s">
        <v>3380</v>
      </c>
      <c r="Z3154" s="1128" t="s">
        <v>3381</v>
      </c>
      <c r="AA3154" s="1128" t="s">
        <v>3384</v>
      </c>
      <c r="AB3154" s="20"/>
      <c r="AC3154" s="73"/>
    </row>
    <row r="3155" spans="1:29">
      <c r="A3155" s="327" t="str">
        <f>IF(AND($B3155&lt;&gt;"",$C3155&lt;&gt;""),MAX($A$1556:A3154)+1,"")</f>
        <v/>
      </c>
      <c r="B3155" s="361" t="s">
        <v>2882</v>
      </c>
      <c r="C3155" s="360"/>
      <c r="D3155" s="327">
        <f>IF($B3155="","",COUNTIF($B$6:$B3155,$B3155))</f>
        <v>18</v>
      </c>
      <c r="E3155" s="361" t="s">
        <v>679</v>
      </c>
      <c r="F3155" s="362" t="s">
        <v>712</v>
      </c>
      <c r="G3155" s="327" t="s">
        <v>155</v>
      </c>
      <c r="H3155" s="327"/>
      <c r="I3155" s="327">
        <v>1</v>
      </c>
      <c r="J3155" s="361"/>
      <c r="K3155" s="327"/>
      <c r="L3155" s="389">
        <v>1250</v>
      </c>
      <c r="M3155" s="371"/>
      <c r="N3155" s="355" t="str">
        <f t="shared" si="314"/>
        <v>PK</v>
      </c>
      <c r="O3155" s="345"/>
      <c r="P3155" s="392"/>
      <c r="Q3155" s="327"/>
      <c r="R3155" s="351"/>
      <c r="S3155" s="351"/>
      <c r="T3155" s="351"/>
      <c r="U3155" s="329" t="str">
        <f>IF($N3155=$N$4,IFERROR(INDEX(DanhMuc!$E$154:$E$165,MATCH(MID($B3155,4,2),DanhMuc!$B$154:$B$165,0)),""),"")</f>
        <v/>
      </c>
      <c r="V3155" s="361"/>
      <c r="W3155" s="345"/>
      <c r="X3155" s="329" t="str">
        <f t="shared" si="315"/>
        <v>DR</v>
      </c>
      <c r="Y3155" s="1128" t="s">
        <v>3380</v>
      </c>
      <c r="Z3155" s="1128" t="s">
        <v>3381</v>
      </c>
      <c r="AA3155" s="1128" t="s">
        <v>3384</v>
      </c>
      <c r="AB3155" s="20"/>
      <c r="AC3155" s="73"/>
    </row>
    <row r="3156" spans="1:29" ht="26">
      <c r="A3156" s="327">
        <f>IF(AND($B3156&lt;&gt;"",$C3156&lt;&gt;""),MAX($A$1556:A3155)+1,"")</f>
        <v>160</v>
      </c>
      <c r="B3156" s="359" t="s">
        <v>2883</v>
      </c>
      <c r="C3156" s="360" t="s">
        <v>1546</v>
      </c>
      <c r="D3156" s="327">
        <f>IF($B3156="","",COUNTIF($B$6:$B3156,$B3156))</f>
        <v>1</v>
      </c>
      <c r="E3156" s="361" t="s">
        <v>2955</v>
      </c>
      <c r="F3156" s="362" t="s">
        <v>2960</v>
      </c>
      <c r="G3156" s="327" t="s">
        <v>155</v>
      </c>
      <c r="H3156" s="327"/>
      <c r="I3156" s="327">
        <v>1</v>
      </c>
      <c r="J3156" s="361"/>
      <c r="K3156" s="327"/>
      <c r="L3156" s="389">
        <v>66547</v>
      </c>
      <c r="M3156" s="371"/>
      <c r="N3156" s="355" t="str">
        <f t="shared" si="314"/>
        <v>PK</v>
      </c>
      <c r="O3156" s="345" t="s">
        <v>2961</v>
      </c>
      <c r="P3156" s="392"/>
      <c r="Q3156" s="327"/>
      <c r="R3156" s="351"/>
      <c r="S3156" s="351"/>
      <c r="T3156" s="351"/>
      <c r="U3156" s="329" t="str">
        <f>IF($N3156=$N$4,IFERROR(INDEX(DanhMuc!$E$154:$E$165,MATCH(MID($B3156,4,2),DanhMuc!$B$154:$B$165,0)),""),"")</f>
        <v/>
      </c>
      <c r="V3156" s="361"/>
      <c r="W3156" s="345"/>
      <c r="X3156" s="329" t="str">
        <f t="shared" si="315"/>
        <v>DR</v>
      </c>
      <c r="Y3156" s="1128" t="s">
        <v>3380</v>
      </c>
      <c r="Z3156" s="1128" t="s">
        <v>3381</v>
      </c>
      <c r="AA3156" s="1128" t="s">
        <v>3384</v>
      </c>
      <c r="AB3156" s="20"/>
      <c r="AC3156" s="73"/>
    </row>
    <row r="3157" spans="1:29">
      <c r="A3157" s="327" t="str">
        <f>IF(AND($B3157&lt;&gt;"",$C3157&lt;&gt;""),MAX($A$1556:A3156)+1,"")</f>
        <v/>
      </c>
      <c r="B3157" s="361" t="s">
        <v>2883</v>
      </c>
      <c r="C3157" s="362"/>
      <c r="D3157" s="327">
        <f>IF($B3157="","",COUNTIF($B$6:$B3157,$B3157))</f>
        <v>2</v>
      </c>
      <c r="E3157" s="361" t="s">
        <v>2955</v>
      </c>
      <c r="F3157" s="362" t="s">
        <v>2962</v>
      </c>
      <c r="G3157" s="327" t="s">
        <v>155</v>
      </c>
      <c r="H3157" s="327"/>
      <c r="I3157" s="327">
        <v>1</v>
      </c>
      <c r="J3157" s="361"/>
      <c r="K3157" s="327"/>
      <c r="L3157" s="389">
        <v>66547</v>
      </c>
      <c r="M3157" s="371"/>
      <c r="N3157" s="355" t="str">
        <f t="shared" si="314"/>
        <v>PK</v>
      </c>
      <c r="O3157" s="345" t="s">
        <v>2956</v>
      </c>
      <c r="P3157" s="392"/>
      <c r="Q3157" s="327"/>
      <c r="R3157" s="351"/>
      <c r="S3157" s="351"/>
      <c r="T3157" s="351"/>
      <c r="U3157" s="329" t="str">
        <f>IF($N3157=$N$4,IFERROR(INDEX(DanhMuc!$E$154:$E$165,MATCH(MID($B3157,4,2),DanhMuc!$B$154:$B$165,0)),""),"")</f>
        <v/>
      </c>
      <c r="V3157" s="361"/>
      <c r="W3157" s="345"/>
      <c r="X3157" s="329" t="str">
        <f t="shared" si="315"/>
        <v>DR</v>
      </c>
      <c r="Y3157" s="1128" t="s">
        <v>3380</v>
      </c>
      <c r="Z3157" s="1128" t="s">
        <v>3381</v>
      </c>
      <c r="AA3157" s="1128" t="s">
        <v>3384</v>
      </c>
      <c r="AB3157" s="20"/>
      <c r="AC3157" s="73"/>
    </row>
    <row r="3158" spans="1:29" ht="25">
      <c r="A3158" s="327" t="str">
        <f>IF(AND($B3158&lt;&gt;"",$C3158&lt;&gt;""),MAX($A$1556:A3156)+1,"")</f>
        <v/>
      </c>
      <c r="B3158" s="361" t="s">
        <v>2883</v>
      </c>
      <c r="C3158" s="360"/>
      <c r="D3158" s="327">
        <f>IF($B3158="","",COUNTIF($B$6:$B3158,$B3158))</f>
        <v>3</v>
      </c>
      <c r="E3158" s="361" t="s">
        <v>2921</v>
      </c>
      <c r="F3158" s="362" t="s">
        <v>210</v>
      </c>
      <c r="G3158" s="327" t="s">
        <v>155</v>
      </c>
      <c r="H3158" s="327"/>
      <c r="I3158" s="327">
        <v>1</v>
      </c>
      <c r="J3158" s="361"/>
      <c r="K3158" s="327"/>
      <c r="L3158" s="389">
        <v>68884</v>
      </c>
      <c r="M3158" s="371"/>
      <c r="N3158" s="355" t="str">
        <f t="shared" si="314"/>
        <v>PK</v>
      </c>
      <c r="O3158" s="345" t="s">
        <v>1782</v>
      </c>
      <c r="P3158" s="392"/>
      <c r="Q3158" s="327"/>
      <c r="R3158" s="351"/>
      <c r="S3158" s="351"/>
      <c r="T3158" s="351"/>
      <c r="U3158" s="329" t="str">
        <f>IF($N3158=$N$4,IFERROR(INDEX(DanhMuc!$E$154:$E$165,MATCH(MID($B3158,4,2),DanhMuc!$B$154:$B$165,0)),""),"")</f>
        <v/>
      </c>
      <c r="V3158" s="361"/>
      <c r="W3158" s="345"/>
      <c r="X3158" s="329" t="str">
        <f t="shared" si="315"/>
        <v>DR</v>
      </c>
      <c r="Y3158" s="1128" t="s">
        <v>3380</v>
      </c>
      <c r="Z3158" s="1128" t="s">
        <v>3381</v>
      </c>
      <c r="AA3158" s="1128" t="s">
        <v>3384</v>
      </c>
      <c r="AB3158" s="20"/>
      <c r="AC3158" s="73"/>
    </row>
    <row r="3159" spans="1:29">
      <c r="A3159" s="327" t="str">
        <f>IF(AND($B3159&lt;&gt;"",$C3159&lt;&gt;""),MAX($A$1556:A3156)+1,"")</f>
        <v/>
      </c>
      <c r="B3159" s="361" t="s">
        <v>2883</v>
      </c>
      <c r="C3159" s="360"/>
      <c r="D3159" s="327">
        <f>IF($B3159="","",COUNTIF($B$6:$B3159,$B3159))</f>
        <v>4</v>
      </c>
      <c r="E3159" s="361" t="s">
        <v>2957</v>
      </c>
      <c r="F3159" s="362" t="s">
        <v>224</v>
      </c>
      <c r="G3159" s="327" t="s">
        <v>155</v>
      </c>
      <c r="H3159" s="327" t="s">
        <v>536</v>
      </c>
      <c r="I3159" s="327">
        <v>1</v>
      </c>
      <c r="J3159" s="361"/>
      <c r="K3159" s="327"/>
      <c r="L3159" s="389">
        <v>14595</v>
      </c>
      <c r="M3159" s="371"/>
      <c r="N3159" s="355" t="str">
        <f t="shared" si="314"/>
        <v>PK</v>
      </c>
      <c r="O3159" s="345" t="s">
        <v>1623</v>
      </c>
      <c r="P3159" s="392"/>
      <c r="Q3159" s="327"/>
      <c r="R3159" s="351"/>
      <c r="S3159" s="351"/>
      <c r="T3159" s="351"/>
      <c r="U3159" s="329" t="str">
        <f>IF($N3159=$N$4,IFERROR(INDEX(DanhMuc!$E$154:$E$165,MATCH(MID($B3159,4,2),DanhMuc!$B$154:$B$165,0)),""),"")</f>
        <v/>
      </c>
      <c r="V3159" s="361"/>
      <c r="W3159" s="345"/>
      <c r="X3159" s="329" t="str">
        <f t="shared" si="315"/>
        <v>DR</v>
      </c>
      <c r="Y3159" s="1128" t="s">
        <v>3380</v>
      </c>
      <c r="Z3159" s="1128" t="s">
        <v>3381</v>
      </c>
      <c r="AA3159" s="1128" t="s">
        <v>3384</v>
      </c>
      <c r="AB3159" s="20"/>
      <c r="AC3159" s="73"/>
    </row>
    <row r="3160" spans="1:29">
      <c r="A3160" s="327" t="str">
        <f>IF(AND($B3160&lt;&gt;"",$C3160&lt;&gt;""),MAX($A$1556:A3159)+1,"")</f>
        <v/>
      </c>
      <c r="B3160" s="361" t="s">
        <v>2883</v>
      </c>
      <c r="C3160" s="360"/>
      <c r="D3160" s="327">
        <f>IF($B3160="","",COUNTIF($B$6:$B3160,$B3160))</f>
        <v>5</v>
      </c>
      <c r="E3160" s="361" t="s">
        <v>2895</v>
      </c>
      <c r="F3160" s="362" t="s">
        <v>2907</v>
      </c>
      <c r="G3160" s="327" t="s">
        <v>155</v>
      </c>
      <c r="H3160" s="327" t="s">
        <v>536</v>
      </c>
      <c r="I3160" s="327">
        <v>2</v>
      </c>
      <c r="J3160" s="345"/>
      <c r="K3160" s="327"/>
      <c r="L3160" s="389">
        <v>13762</v>
      </c>
      <c r="M3160" s="371"/>
      <c r="N3160" s="355" t="str">
        <f t="shared" si="314"/>
        <v>PK</v>
      </c>
      <c r="O3160" s="345" t="s">
        <v>1623</v>
      </c>
      <c r="P3160" s="392"/>
      <c r="Q3160" s="327"/>
      <c r="R3160" s="351"/>
      <c r="S3160" s="351"/>
      <c r="T3160" s="351"/>
      <c r="U3160" s="329" t="str">
        <f>IF($N3160=$N$4,IFERROR(INDEX(DanhMuc!$E$154:$E$165,MATCH(MID($B3160,4,2),DanhMuc!$B$154:$B$165,0)),""),"")</f>
        <v/>
      </c>
      <c r="V3160" s="361"/>
      <c r="W3160" s="345"/>
      <c r="X3160" s="329" t="str">
        <f t="shared" si="315"/>
        <v>DR</v>
      </c>
      <c r="Y3160" s="1128" t="s">
        <v>3380</v>
      </c>
      <c r="Z3160" s="1128" t="s">
        <v>3381</v>
      </c>
      <c r="AA3160" s="1128" t="s">
        <v>3384</v>
      </c>
      <c r="AB3160" s="20"/>
      <c r="AC3160" s="73"/>
    </row>
    <row r="3161" spans="1:29">
      <c r="A3161" s="327" t="str">
        <f>IF(AND($B3161&lt;&gt;"",$C3161&lt;&gt;""),MAX($A$1556:A3156)+1,"")</f>
        <v/>
      </c>
      <c r="B3161" s="361" t="s">
        <v>2883</v>
      </c>
      <c r="C3161" s="360"/>
      <c r="D3161" s="327">
        <f>IF($B3161="","",COUNTIF($B$6:$B3161,$B3161))</f>
        <v>6</v>
      </c>
      <c r="E3161" s="402" t="s">
        <v>2896</v>
      </c>
      <c r="F3161" s="362" t="s">
        <v>90</v>
      </c>
      <c r="G3161" s="327" t="s">
        <v>155</v>
      </c>
      <c r="H3161" s="327" t="s">
        <v>536</v>
      </c>
      <c r="I3161" s="327">
        <v>2</v>
      </c>
      <c r="J3161" s="345"/>
      <c r="K3161" s="327"/>
      <c r="L3161" s="389">
        <v>5772</v>
      </c>
      <c r="M3161" s="371"/>
      <c r="N3161" s="355" t="str">
        <f t="shared" si="314"/>
        <v>PK</v>
      </c>
      <c r="O3161" s="345"/>
      <c r="P3161" s="392"/>
      <c r="Q3161" s="327"/>
      <c r="R3161" s="351"/>
      <c r="S3161" s="351"/>
      <c r="T3161" s="351"/>
      <c r="U3161" s="329" t="str">
        <f>IF($N3161=$N$4,IFERROR(INDEX(DanhMuc!$E$154:$E$165,MATCH(MID($B3161,4,2),DanhMuc!$B$154:$B$165,0)),""),"")</f>
        <v/>
      </c>
      <c r="V3161" s="361"/>
      <c r="W3161" s="345"/>
      <c r="X3161" s="329" t="str">
        <f t="shared" si="315"/>
        <v>DR</v>
      </c>
      <c r="Y3161" s="1128" t="s">
        <v>3380</v>
      </c>
      <c r="Z3161" s="1128" t="s">
        <v>3381</v>
      </c>
      <c r="AA3161" s="1128" t="s">
        <v>3384</v>
      </c>
      <c r="AB3161" s="20"/>
      <c r="AC3161" s="73"/>
    </row>
    <row r="3162" spans="1:29">
      <c r="A3162" s="327" t="str">
        <f>IF(AND($B3162&lt;&gt;"",$C3162&lt;&gt;""),MAX($A$1556:A3160)+1,"")</f>
        <v/>
      </c>
      <c r="B3162" s="361" t="s">
        <v>2883</v>
      </c>
      <c r="C3162" s="360"/>
      <c r="D3162" s="327">
        <f>IF($B3162="","",COUNTIF($B$6:$B3162,$B3162))</f>
        <v>7</v>
      </c>
      <c r="E3162" s="365" t="s">
        <v>327</v>
      </c>
      <c r="F3162" s="368" t="s">
        <v>345</v>
      </c>
      <c r="G3162" s="367" t="s">
        <v>690</v>
      </c>
      <c r="H3162" s="327" t="s">
        <v>536</v>
      </c>
      <c r="I3162" s="327">
        <v>1</v>
      </c>
      <c r="J3162" s="345" t="s">
        <v>727</v>
      </c>
      <c r="K3162" s="327"/>
      <c r="L3162" s="348">
        <f>+$S3162*$T3162*$L$37</f>
        <v>84651</v>
      </c>
      <c r="M3162" s="371"/>
      <c r="N3162" s="369" t="s">
        <v>150</v>
      </c>
      <c r="O3162" s="345" t="s">
        <v>1623</v>
      </c>
      <c r="P3162" s="392"/>
      <c r="Q3162" s="327"/>
      <c r="R3162" s="351">
        <v>2.5</v>
      </c>
      <c r="S3162" s="351">
        <v>5.8</v>
      </c>
      <c r="T3162" s="351">
        <v>0.13900000000000001</v>
      </c>
      <c r="U3162" s="329">
        <f>IF($N3162=$N$4,IFERROR(INDEX(DanhMuc!$E$154:$E$165,MATCH(MID($B3162,4,2),DanhMuc!$B$154:$B$165,0)),""),"")</f>
        <v>5800</v>
      </c>
      <c r="V3162" s="361"/>
      <c r="W3162" s="345"/>
      <c r="X3162" s="329" t="str">
        <f t="shared" si="315"/>
        <v>C459</v>
      </c>
      <c r="Y3162" s="1128" t="s">
        <v>3380</v>
      </c>
      <c r="Z3162" s="1128" t="s">
        <v>3381</v>
      </c>
      <c r="AA3162" s="1128" t="s">
        <v>3384</v>
      </c>
      <c r="AB3162" s="20"/>
      <c r="AC3162" s="73"/>
    </row>
    <row r="3163" spans="1:29">
      <c r="A3163" s="327" t="str">
        <f>IF(AND($B3163&lt;&gt;"",$C3163&lt;&gt;""),MAX($A$1556:A3162)+1,"")</f>
        <v/>
      </c>
      <c r="B3163" s="361" t="s">
        <v>2883</v>
      </c>
      <c r="C3163" s="360"/>
      <c r="D3163" s="327">
        <f>IF($B3163="","",COUNTIF($B$6:$B3163,$B3163))</f>
        <v>8</v>
      </c>
      <c r="E3163" s="361" t="s">
        <v>175</v>
      </c>
      <c r="F3163" s="362" t="s">
        <v>176</v>
      </c>
      <c r="G3163" s="327" t="s">
        <v>155</v>
      </c>
      <c r="H3163" s="327" t="s">
        <v>536</v>
      </c>
      <c r="I3163" s="327">
        <v>4</v>
      </c>
      <c r="J3163" s="361"/>
      <c r="K3163" s="327"/>
      <c r="L3163" s="389">
        <v>2000</v>
      </c>
      <c r="M3163" s="371"/>
      <c r="N3163" s="355" t="str">
        <f>+$N$1555</f>
        <v>PK</v>
      </c>
      <c r="O3163" s="345"/>
      <c r="P3163" s="392"/>
      <c r="Q3163" s="327"/>
      <c r="R3163" s="351"/>
      <c r="S3163" s="351"/>
      <c r="T3163" s="351"/>
      <c r="U3163" s="329" t="str">
        <f>IF($N3163=$N$4,IFERROR(INDEX(DanhMuc!$E$154:$E$165,MATCH(MID($B3163,4,2),DanhMuc!$B$154:$B$165,0)),""),"")</f>
        <v/>
      </c>
      <c r="V3163" s="361"/>
      <c r="W3163" s="345"/>
      <c r="X3163" s="329" t="str">
        <f t="shared" si="315"/>
        <v>DR</v>
      </c>
      <c r="Y3163" s="1128" t="s">
        <v>3380</v>
      </c>
      <c r="Z3163" s="1128" t="s">
        <v>3381</v>
      </c>
      <c r="AA3163" s="1128" t="s">
        <v>3384</v>
      </c>
      <c r="AB3163" s="20"/>
      <c r="AC3163" s="73"/>
    </row>
    <row r="3164" spans="1:29">
      <c r="A3164" s="327" t="str">
        <f>IF(AND($B3164&lt;&gt;"",$C3164&lt;&gt;""),MAX($A$1556:A3163)+1,"")</f>
        <v/>
      </c>
      <c r="B3164" s="361" t="s">
        <v>2883</v>
      </c>
      <c r="C3164" s="360"/>
      <c r="D3164" s="327">
        <f>IF($B3164="","",COUNTIF($B$6:$B3164,$B3164))</f>
        <v>9</v>
      </c>
      <c r="E3164" s="405" t="s">
        <v>2964</v>
      </c>
      <c r="F3164" s="406" t="s">
        <v>178</v>
      </c>
      <c r="G3164" s="327" t="s">
        <v>155</v>
      </c>
      <c r="H3164" s="327" t="s">
        <v>536</v>
      </c>
      <c r="I3164" s="327">
        <v>2</v>
      </c>
      <c r="J3164" s="345"/>
      <c r="K3164" s="327"/>
      <c r="L3164" s="389">
        <v>59917</v>
      </c>
      <c r="M3164" s="371"/>
      <c r="N3164" s="355" t="str">
        <f>+$N$1555</f>
        <v>PK</v>
      </c>
      <c r="O3164" s="407" t="s">
        <v>1698</v>
      </c>
      <c r="P3164" s="392"/>
      <c r="Q3164" s="327"/>
      <c r="R3164" s="351"/>
      <c r="S3164" s="351"/>
      <c r="T3164" s="351"/>
      <c r="U3164" s="329" t="str">
        <f>IF($N3164=$N$4,IFERROR(INDEX(DanhMuc!$E$154:$E$165,MATCH(MID($B3164,4,2),DanhMuc!$B$154:$B$165,0)),""),"")</f>
        <v/>
      </c>
      <c r="V3164" s="361"/>
      <c r="W3164" s="345"/>
      <c r="X3164" s="329" t="str">
        <f t="shared" si="315"/>
        <v>DR</v>
      </c>
      <c r="Y3164" s="1128" t="s">
        <v>3380</v>
      </c>
      <c r="Z3164" s="1128" t="s">
        <v>3381</v>
      </c>
      <c r="AA3164" s="1128" t="s">
        <v>3384</v>
      </c>
      <c r="AB3164" s="20"/>
      <c r="AC3164" s="73"/>
    </row>
    <row r="3165" spans="1:29">
      <c r="A3165" s="327" t="str">
        <f>IF(AND($B3165&lt;&gt;"",$C3165&lt;&gt;""),MAX($A$1556:A3164)+1,"")</f>
        <v/>
      </c>
      <c r="B3165" s="361" t="s">
        <v>2883</v>
      </c>
      <c r="C3165" s="360"/>
      <c r="D3165" s="327">
        <f>IF($B3165="","",COUNTIF($B$6:$B3165,$B3165))</f>
        <v>10</v>
      </c>
      <c r="E3165" s="405" t="s">
        <v>2965</v>
      </c>
      <c r="F3165" s="406" t="s">
        <v>202</v>
      </c>
      <c r="G3165" s="327" t="s">
        <v>155</v>
      </c>
      <c r="H3165" s="327" t="s">
        <v>536</v>
      </c>
      <c r="I3165" s="327">
        <v>2</v>
      </c>
      <c r="J3165" s="345"/>
      <c r="K3165" s="327"/>
      <c r="L3165" s="389">
        <v>66708</v>
      </c>
      <c r="M3165" s="371"/>
      <c r="N3165" s="355" t="str">
        <f t="shared" ref="N3165:N3176" si="316">+$N$1555</f>
        <v>PK</v>
      </c>
      <c r="O3165" s="407" t="s">
        <v>1699</v>
      </c>
      <c r="P3165" s="392"/>
      <c r="Q3165" s="327"/>
      <c r="R3165" s="351"/>
      <c r="S3165" s="351"/>
      <c r="T3165" s="351"/>
      <c r="U3165" s="329" t="str">
        <f>IF($N3165=$N$4,IFERROR(INDEX(DanhMuc!$E$154:$E$165,MATCH(MID($B3165,4,2),DanhMuc!$B$154:$B$165,0)),""),"")</f>
        <v/>
      </c>
      <c r="V3165" s="361"/>
      <c r="W3165" s="345"/>
      <c r="X3165" s="329" t="str">
        <f t="shared" si="315"/>
        <v>DR</v>
      </c>
      <c r="Y3165" s="1128" t="s">
        <v>3380</v>
      </c>
      <c r="Z3165" s="1128" t="s">
        <v>3381</v>
      </c>
      <c r="AA3165" s="1128" t="s">
        <v>3384</v>
      </c>
      <c r="AB3165" s="20"/>
      <c r="AC3165" s="73"/>
    </row>
    <row r="3166" spans="1:29">
      <c r="A3166" s="327" t="str">
        <f>IF(AND($B3166&lt;&gt;"",$C3166&lt;&gt;""),MAX($A$1556:A3165)+1,"")</f>
        <v/>
      </c>
      <c r="B3166" s="361" t="s">
        <v>2883</v>
      </c>
      <c r="C3166" s="360"/>
      <c r="D3166" s="327">
        <f>IF($B3166="","",COUNTIF($B$6:$B3166,$B3166))</f>
        <v>11</v>
      </c>
      <c r="E3166" s="405" t="s">
        <v>2963</v>
      </c>
      <c r="F3166" s="406" t="s">
        <v>204</v>
      </c>
      <c r="G3166" s="327" t="s">
        <v>155</v>
      </c>
      <c r="H3166" s="327" t="s">
        <v>536</v>
      </c>
      <c r="I3166" s="327">
        <v>2</v>
      </c>
      <c r="J3166" s="345"/>
      <c r="K3166" s="327"/>
      <c r="L3166" s="389">
        <v>71145</v>
      </c>
      <c r="M3166" s="371"/>
      <c r="N3166" s="355" t="str">
        <f t="shared" si="316"/>
        <v>PK</v>
      </c>
      <c r="O3166" s="407" t="s">
        <v>1700</v>
      </c>
      <c r="P3166" s="392"/>
      <c r="Q3166" s="327"/>
      <c r="R3166" s="351"/>
      <c r="S3166" s="351"/>
      <c r="T3166" s="351"/>
      <c r="U3166" s="329" t="str">
        <f>IF($N3166=$N$4,IFERROR(INDEX(DanhMuc!$E$154:$E$165,MATCH(MID($B3166,4,2),DanhMuc!$B$154:$B$165,0)),""),"")</f>
        <v/>
      </c>
      <c r="V3166" s="361"/>
      <c r="W3166" s="345"/>
      <c r="X3166" s="329" t="str">
        <f t="shared" si="315"/>
        <v>DR</v>
      </c>
      <c r="Y3166" s="1128" t="s">
        <v>3380</v>
      </c>
      <c r="Z3166" s="1128" t="s">
        <v>3381</v>
      </c>
      <c r="AA3166" s="1128" t="s">
        <v>3384</v>
      </c>
      <c r="AB3166" s="20"/>
      <c r="AC3166" s="73"/>
    </row>
    <row r="3167" spans="1:29">
      <c r="A3167" s="327" t="str">
        <f>IF(AND($B3167&lt;&gt;"",$C3167&lt;&gt;""),MAX($A$1556:A3166)+1,"")</f>
        <v/>
      </c>
      <c r="B3167" s="361" t="s">
        <v>2883</v>
      </c>
      <c r="C3167" s="360"/>
      <c r="D3167" s="327">
        <f>IF($B3167="","",COUNTIF($B$6:$B3167,$B3167))</f>
        <v>12</v>
      </c>
      <c r="E3167" s="405" t="s">
        <v>2966</v>
      </c>
      <c r="F3167" s="406" t="s">
        <v>206</v>
      </c>
      <c r="G3167" s="327" t="s">
        <v>155</v>
      </c>
      <c r="H3167" s="327" t="s">
        <v>536</v>
      </c>
      <c r="I3167" s="327">
        <v>2</v>
      </c>
      <c r="J3167" s="345"/>
      <c r="K3167" s="327"/>
      <c r="L3167" s="389">
        <v>79747</v>
      </c>
      <c r="M3167" s="371"/>
      <c r="N3167" s="355" t="str">
        <f t="shared" si="316"/>
        <v>PK</v>
      </c>
      <c r="O3167" s="407" t="s">
        <v>1701</v>
      </c>
      <c r="P3167" s="392"/>
      <c r="Q3167" s="327"/>
      <c r="R3167" s="351"/>
      <c r="S3167" s="351"/>
      <c r="T3167" s="351"/>
      <c r="U3167" s="329" t="str">
        <f>IF($N3167=$N$4,IFERROR(INDEX(DanhMuc!$E$154:$E$165,MATCH(MID($B3167,4,2),DanhMuc!$B$154:$B$165,0)),""),"")</f>
        <v/>
      </c>
      <c r="V3167" s="361"/>
      <c r="W3167" s="345"/>
      <c r="X3167" s="329" t="str">
        <f t="shared" si="315"/>
        <v>DR</v>
      </c>
      <c r="Y3167" s="1128" t="s">
        <v>3380</v>
      </c>
      <c r="Z3167" s="1128" t="s">
        <v>3381</v>
      </c>
      <c r="AA3167" s="1128" t="s">
        <v>3384</v>
      </c>
      <c r="AB3167" s="20"/>
      <c r="AC3167" s="73"/>
    </row>
    <row r="3168" spans="1:29">
      <c r="A3168" s="327" t="str">
        <f>IF(AND($B3168&lt;&gt;"",$C3168&lt;&gt;""),MAX($A$1556:A3167)+1,"")</f>
        <v/>
      </c>
      <c r="B3168" s="361" t="s">
        <v>2883</v>
      </c>
      <c r="C3168" s="360"/>
      <c r="D3168" s="327">
        <f>IF($B3168="","",COUNTIF($B$6:$B3168,$B3168))</f>
        <v>13</v>
      </c>
      <c r="E3168" s="405" t="s">
        <v>2958</v>
      </c>
      <c r="F3168" s="406" t="s">
        <v>2959</v>
      </c>
      <c r="G3168" s="327" t="s">
        <v>155</v>
      </c>
      <c r="H3168" s="327" t="s">
        <v>536</v>
      </c>
      <c r="I3168" s="327">
        <v>2</v>
      </c>
      <c r="J3168" s="345"/>
      <c r="K3168" s="327"/>
      <c r="L3168" s="389">
        <v>49955</v>
      </c>
      <c r="M3168" s="371"/>
      <c r="N3168" s="355" t="str">
        <f t="shared" si="316"/>
        <v>PK</v>
      </c>
      <c r="O3168" s="407" t="s">
        <v>442</v>
      </c>
      <c r="P3168" s="392"/>
      <c r="Q3168" s="327"/>
      <c r="R3168" s="351"/>
      <c r="S3168" s="351"/>
      <c r="T3168" s="351"/>
      <c r="U3168" s="329" t="str">
        <f>IF($N3168=$N$4,IFERROR(INDEX(DanhMuc!$E$154:$E$165,MATCH(MID($B3168,4,2),DanhMuc!$B$154:$B$165,0)),""),"")</f>
        <v/>
      </c>
      <c r="V3168" s="361"/>
      <c r="W3168" s="345"/>
      <c r="X3168" s="329" t="str">
        <f t="shared" si="315"/>
        <v>DR</v>
      </c>
      <c r="Y3168" s="1128" t="s">
        <v>3380</v>
      </c>
      <c r="Z3168" s="1128" t="s">
        <v>3381</v>
      </c>
      <c r="AA3168" s="1128" t="s">
        <v>3384</v>
      </c>
      <c r="AB3168" s="20"/>
      <c r="AC3168" s="73"/>
    </row>
    <row r="3169" spans="1:29">
      <c r="A3169" s="327" t="str">
        <f>IF(AND($B3169&lt;&gt;"",$C3169&lt;&gt;""),MAX($A$1556:A3168)+1,"")</f>
        <v/>
      </c>
      <c r="B3169" s="361" t="s">
        <v>2883</v>
      </c>
      <c r="C3169" s="360"/>
      <c r="D3169" s="327">
        <f>IF($B3169="","",COUNTIF($B$6:$B3169,$B3169))</f>
        <v>14</v>
      </c>
      <c r="E3169" s="361" t="s">
        <v>2967</v>
      </c>
      <c r="F3169" s="362" t="s">
        <v>2786</v>
      </c>
      <c r="G3169" s="327" t="s">
        <v>155</v>
      </c>
      <c r="H3169" s="327" t="s">
        <v>536</v>
      </c>
      <c r="I3169" s="327">
        <v>2</v>
      </c>
      <c r="J3169" s="361"/>
      <c r="K3169" s="286"/>
      <c r="L3169" s="415">
        <v>39610</v>
      </c>
      <c r="M3169" s="371"/>
      <c r="N3169" s="355" t="str">
        <f t="shared" si="316"/>
        <v>PK</v>
      </c>
      <c r="O3169" s="345"/>
      <c r="P3169" s="392"/>
      <c r="Q3169" s="327"/>
      <c r="R3169" s="351"/>
      <c r="S3169" s="351"/>
      <c r="T3169" s="351"/>
      <c r="U3169" s="329" t="str">
        <f>IF($N3169=$N$4,IFERROR(INDEX(DanhMuc!$E$154:$E$165,MATCH(MID($B3169,4,2),DanhMuc!$B$154:$B$165,0)),""),"")</f>
        <v/>
      </c>
      <c r="V3169" s="361"/>
      <c r="W3169" s="345"/>
      <c r="X3169" s="329" t="str">
        <f t="shared" si="315"/>
        <v>DR</v>
      </c>
      <c r="Y3169" s="1128" t="s">
        <v>3380</v>
      </c>
      <c r="Z3169" s="1128" t="s">
        <v>3381</v>
      </c>
      <c r="AA3169" s="1128" t="s">
        <v>3384</v>
      </c>
      <c r="AB3169" s="20"/>
      <c r="AC3169" s="73"/>
    </row>
    <row r="3170" spans="1:29">
      <c r="A3170" s="327" t="str">
        <f>IF(AND($B3170&lt;&gt;"",$C3170&lt;&gt;""),MAX($A$1556:A3169)+1,"")</f>
        <v/>
      </c>
      <c r="B3170" s="480" t="s">
        <v>2884</v>
      </c>
      <c r="C3170" s="1050"/>
      <c r="D3170" s="436">
        <f>IF($B3170="","",COUNTIF($B$6:$B3170,$B3170))</f>
        <v>1</v>
      </c>
      <c r="E3170" s="480" t="s">
        <v>2784</v>
      </c>
      <c r="F3170" s="1051" t="s">
        <v>2785</v>
      </c>
      <c r="G3170" s="436" t="s">
        <v>155</v>
      </c>
      <c r="H3170" s="436" t="s">
        <v>536</v>
      </c>
      <c r="I3170" s="436">
        <v>2</v>
      </c>
      <c r="J3170" s="480"/>
      <c r="K3170" s="1052"/>
      <c r="L3170" s="415">
        <v>55000</v>
      </c>
      <c r="M3170" s="371"/>
      <c r="N3170" s="355" t="str">
        <f t="shared" si="316"/>
        <v>PK</v>
      </c>
      <c r="O3170" s="345"/>
      <c r="P3170" s="392"/>
      <c r="Q3170" s="327"/>
      <c r="R3170" s="351"/>
      <c r="S3170" s="351"/>
      <c r="T3170" s="351"/>
      <c r="U3170" s="329" t="str">
        <f>IF($N3170=$N$4,IFERROR(INDEX(DanhMuc!$E$154:$E$165,MATCH(MID($B3170,4,2),DanhMuc!$B$154:$B$165,0)),""),"")</f>
        <v/>
      </c>
      <c r="V3170" s="361"/>
      <c r="W3170" s="345"/>
      <c r="X3170" s="329" t="str">
        <f t="shared" si="315"/>
        <v>DR</v>
      </c>
      <c r="Y3170" s="1128" t="s">
        <v>3380</v>
      </c>
      <c r="Z3170" s="1128" t="s">
        <v>3381</v>
      </c>
      <c r="AA3170" s="1128" t="s">
        <v>3384</v>
      </c>
      <c r="AB3170" s="20"/>
      <c r="AC3170" s="73"/>
    </row>
    <row r="3171" spans="1:29" ht="26">
      <c r="A3171" s="327">
        <f>IF(AND($B3171&lt;&gt;"",$C3171&lt;&gt;""),MAX($A$1556:A3169)+1,"")</f>
        <v>161</v>
      </c>
      <c r="B3171" s="359" t="s">
        <v>2885</v>
      </c>
      <c r="C3171" s="360" t="s">
        <v>1547</v>
      </c>
      <c r="D3171" s="327">
        <f>IF($B3171="","",COUNTIF($B$6:$B3171,$B3171))</f>
        <v>1</v>
      </c>
      <c r="E3171" s="361" t="s">
        <v>2955</v>
      </c>
      <c r="F3171" s="362" t="s">
        <v>2960</v>
      </c>
      <c r="G3171" s="327" t="s">
        <v>155</v>
      </c>
      <c r="H3171" s="327"/>
      <c r="I3171" s="327">
        <v>2</v>
      </c>
      <c r="J3171" s="361"/>
      <c r="K3171" s="327"/>
      <c r="L3171" s="389">
        <v>66547</v>
      </c>
      <c r="M3171" s="371"/>
      <c r="N3171" s="355" t="str">
        <f t="shared" si="316"/>
        <v>PK</v>
      </c>
      <c r="O3171" s="345" t="s">
        <v>2961</v>
      </c>
      <c r="P3171" s="392"/>
      <c r="Q3171" s="327"/>
      <c r="R3171" s="351"/>
      <c r="S3171" s="351"/>
      <c r="T3171" s="351"/>
      <c r="U3171" s="329" t="str">
        <f>IF($N3171=$N$4,IFERROR(INDEX(DanhMuc!$E$154:$E$165,MATCH(MID($B3171,4,2),DanhMuc!$B$154:$B$165,0)),""),"")</f>
        <v/>
      </c>
      <c r="V3171" s="361"/>
      <c r="W3171" s="345"/>
      <c r="X3171" s="329" t="str">
        <f t="shared" si="315"/>
        <v>DR</v>
      </c>
      <c r="Y3171" s="1128" t="s">
        <v>3380</v>
      </c>
      <c r="Z3171" s="1128" t="s">
        <v>3381</v>
      </c>
      <c r="AA3171" s="1128" t="s">
        <v>3384</v>
      </c>
      <c r="AB3171" s="20"/>
      <c r="AC3171" s="73"/>
    </row>
    <row r="3172" spans="1:29">
      <c r="A3172" s="327" t="str">
        <f>IF(AND($B3172&lt;&gt;"",$C3172&lt;&gt;""),MAX($A$1556:A3170)+1,"")</f>
        <v/>
      </c>
      <c r="B3172" s="361" t="s">
        <v>2885</v>
      </c>
      <c r="C3172" s="362"/>
      <c r="D3172" s="327">
        <f>IF($B3172="","",COUNTIF($B$6:$B3172,$B3172))</f>
        <v>2</v>
      </c>
      <c r="E3172" s="361" t="s">
        <v>2955</v>
      </c>
      <c r="F3172" s="362" t="s">
        <v>2962</v>
      </c>
      <c r="G3172" s="327" t="s">
        <v>155</v>
      </c>
      <c r="H3172" s="327"/>
      <c r="I3172" s="327">
        <v>2</v>
      </c>
      <c r="J3172" s="361"/>
      <c r="K3172" s="327"/>
      <c r="L3172" s="389">
        <v>66547</v>
      </c>
      <c r="M3172" s="371"/>
      <c r="N3172" s="355" t="str">
        <f t="shared" si="316"/>
        <v>PK</v>
      </c>
      <c r="O3172" s="345" t="s">
        <v>2956</v>
      </c>
      <c r="P3172" s="392"/>
      <c r="Q3172" s="327"/>
      <c r="R3172" s="351"/>
      <c r="S3172" s="351"/>
      <c r="T3172" s="351"/>
      <c r="U3172" s="329" t="str">
        <f>IF($N3172=$N$4,IFERROR(INDEX(DanhMuc!$E$154:$E$165,MATCH(MID($B3172,4,2),DanhMuc!$B$154:$B$165,0)),""),"")</f>
        <v/>
      </c>
      <c r="V3172" s="361"/>
      <c r="W3172" s="345"/>
      <c r="X3172" s="329" t="str">
        <f t="shared" si="315"/>
        <v>DR</v>
      </c>
      <c r="Y3172" s="1128" t="s">
        <v>3380</v>
      </c>
      <c r="Z3172" s="1128" t="s">
        <v>3381</v>
      </c>
      <c r="AA3172" s="1128" t="s">
        <v>3384</v>
      </c>
      <c r="AB3172" s="20"/>
      <c r="AC3172" s="73"/>
    </row>
    <row r="3173" spans="1:29" ht="25">
      <c r="A3173" s="327" t="str">
        <f>IF(AND($B3173&lt;&gt;"",$C3173&lt;&gt;""),MAX($A$1556:A3172)+1,"")</f>
        <v/>
      </c>
      <c r="B3173" s="361" t="s">
        <v>2885</v>
      </c>
      <c r="C3173" s="360"/>
      <c r="D3173" s="327">
        <f>IF($B3173="","",COUNTIF($B$6:$B3173,$B3173))</f>
        <v>3</v>
      </c>
      <c r="E3173" s="361" t="s">
        <v>2921</v>
      </c>
      <c r="F3173" s="362" t="s">
        <v>210</v>
      </c>
      <c r="G3173" s="327" t="s">
        <v>155</v>
      </c>
      <c r="H3173" s="327"/>
      <c r="I3173" s="327">
        <v>2</v>
      </c>
      <c r="J3173" s="361"/>
      <c r="K3173" s="327"/>
      <c r="L3173" s="389">
        <v>68884</v>
      </c>
      <c r="M3173" s="371"/>
      <c r="N3173" s="355" t="str">
        <f t="shared" si="316"/>
        <v>PK</v>
      </c>
      <c r="O3173" s="345" t="s">
        <v>1782</v>
      </c>
      <c r="P3173" s="392"/>
      <c r="Q3173" s="327"/>
      <c r="R3173" s="351"/>
      <c r="S3173" s="351"/>
      <c r="T3173" s="351"/>
      <c r="U3173" s="329" t="str">
        <f>IF($N3173=$N$4,IFERROR(INDEX(DanhMuc!$E$154:$E$165,MATCH(MID($B3173,4,2),DanhMuc!$B$154:$B$165,0)),""),"")</f>
        <v/>
      </c>
      <c r="V3173" s="361"/>
      <c r="W3173" s="345"/>
      <c r="X3173" s="329" t="str">
        <f t="shared" si="315"/>
        <v>DR</v>
      </c>
      <c r="Y3173" s="1128" t="s">
        <v>3380</v>
      </c>
      <c r="Z3173" s="1128" t="s">
        <v>3381</v>
      </c>
      <c r="AA3173" s="1128" t="s">
        <v>3384</v>
      </c>
      <c r="AB3173" s="20"/>
      <c r="AC3173" s="73"/>
    </row>
    <row r="3174" spans="1:29">
      <c r="A3174" s="327" t="str">
        <f>IF(AND($B3174&lt;&gt;"",$C3174&lt;&gt;""),MAX($A$1556:A3171)+1,"")</f>
        <v/>
      </c>
      <c r="B3174" s="361" t="s">
        <v>2885</v>
      </c>
      <c r="C3174" s="360"/>
      <c r="D3174" s="327">
        <f>IF($B3174="","",COUNTIF($B$6:$B3174,$B3174))</f>
        <v>4</v>
      </c>
      <c r="E3174" s="361" t="s">
        <v>2957</v>
      </c>
      <c r="F3174" s="362" t="s">
        <v>224</v>
      </c>
      <c r="G3174" s="327" t="s">
        <v>155</v>
      </c>
      <c r="H3174" s="327" t="s">
        <v>536</v>
      </c>
      <c r="I3174" s="327">
        <v>2</v>
      </c>
      <c r="J3174" s="361"/>
      <c r="K3174" s="327"/>
      <c r="L3174" s="389">
        <v>14595</v>
      </c>
      <c r="M3174" s="371"/>
      <c r="N3174" s="355" t="str">
        <f t="shared" si="316"/>
        <v>PK</v>
      </c>
      <c r="O3174" s="345" t="s">
        <v>1623</v>
      </c>
      <c r="P3174" s="392"/>
      <c r="Q3174" s="327"/>
      <c r="R3174" s="351"/>
      <c r="S3174" s="351"/>
      <c r="T3174" s="351"/>
      <c r="U3174" s="329" t="str">
        <f>IF($N3174=$N$4,IFERROR(INDEX(DanhMuc!$E$154:$E$165,MATCH(MID($B3174,4,2),DanhMuc!$B$154:$B$165,0)),""),"")</f>
        <v/>
      </c>
      <c r="V3174" s="361"/>
      <c r="W3174" s="345"/>
      <c r="X3174" s="329" t="str">
        <f t="shared" si="315"/>
        <v>DR</v>
      </c>
      <c r="Y3174" s="1128" t="s">
        <v>3380</v>
      </c>
      <c r="Z3174" s="1128" t="s">
        <v>3381</v>
      </c>
      <c r="AA3174" s="1128" t="s">
        <v>3384</v>
      </c>
      <c r="AB3174" s="20"/>
      <c r="AC3174" s="73"/>
    </row>
    <row r="3175" spans="1:29">
      <c r="A3175" s="327" t="str">
        <f>IF(AND($B3175&lt;&gt;"",$C3175&lt;&gt;""),MAX($A$1556:A3174)+1,"")</f>
        <v/>
      </c>
      <c r="B3175" s="361" t="s">
        <v>2885</v>
      </c>
      <c r="C3175" s="360"/>
      <c r="D3175" s="327">
        <f>IF($B3175="","",COUNTIF($B$6:$B3175,$B3175))</f>
        <v>5</v>
      </c>
      <c r="E3175" s="361" t="s">
        <v>2895</v>
      </c>
      <c r="F3175" s="362" t="s">
        <v>2907</v>
      </c>
      <c r="G3175" s="327" t="s">
        <v>155</v>
      </c>
      <c r="H3175" s="327" t="s">
        <v>536</v>
      </c>
      <c r="I3175" s="327">
        <v>4</v>
      </c>
      <c r="J3175" s="345"/>
      <c r="K3175" s="327"/>
      <c r="L3175" s="389">
        <v>13762</v>
      </c>
      <c r="M3175" s="371"/>
      <c r="N3175" s="355" t="str">
        <f t="shared" si="316"/>
        <v>PK</v>
      </c>
      <c r="O3175" s="345" t="s">
        <v>1623</v>
      </c>
      <c r="P3175" s="392"/>
      <c r="Q3175" s="327"/>
      <c r="R3175" s="351"/>
      <c r="S3175" s="351"/>
      <c r="T3175" s="351"/>
      <c r="U3175" s="329" t="str">
        <f>IF($N3175=$N$4,IFERROR(INDEX(DanhMuc!$E$154:$E$165,MATCH(MID($B3175,4,2),DanhMuc!$B$154:$B$165,0)),""),"")</f>
        <v/>
      </c>
      <c r="V3175" s="361"/>
      <c r="W3175" s="345"/>
      <c r="X3175" s="329" t="str">
        <f t="shared" si="315"/>
        <v>DR</v>
      </c>
      <c r="Y3175" s="1128" t="s">
        <v>3380</v>
      </c>
      <c r="Z3175" s="1128" t="s">
        <v>3381</v>
      </c>
      <c r="AA3175" s="1128" t="s">
        <v>3384</v>
      </c>
      <c r="AB3175" s="20"/>
      <c r="AC3175" s="73"/>
    </row>
    <row r="3176" spans="1:29">
      <c r="A3176" s="327" t="str">
        <f>IF(AND($B3176&lt;&gt;"",$C3176&lt;&gt;""),MAX($A$1556:A3171)+1,"")</f>
        <v/>
      </c>
      <c r="B3176" s="361" t="s">
        <v>2885</v>
      </c>
      <c r="C3176" s="360"/>
      <c r="D3176" s="327">
        <f>IF($B3176="","",COUNTIF($B$6:$B3176,$B3176))</f>
        <v>6</v>
      </c>
      <c r="E3176" s="402" t="s">
        <v>2896</v>
      </c>
      <c r="F3176" s="362" t="s">
        <v>90</v>
      </c>
      <c r="G3176" s="327" t="s">
        <v>155</v>
      </c>
      <c r="H3176" s="327" t="s">
        <v>536</v>
      </c>
      <c r="I3176" s="327">
        <v>4</v>
      </c>
      <c r="J3176" s="345"/>
      <c r="K3176" s="327"/>
      <c r="L3176" s="389">
        <v>5772</v>
      </c>
      <c r="M3176" s="371"/>
      <c r="N3176" s="355" t="str">
        <f t="shared" si="316"/>
        <v>PK</v>
      </c>
      <c r="O3176" s="345"/>
      <c r="P3176" s="392"/>
      <c r="Q3176" s="327"/>
      <c r="R3176" s="351"/>
      <c r="S3176" s="351"/>
      <c r="T3176" s="351"/>
      <c r="U3176" s="329" t="str">
        <f>IF($N3176=$N$4,IFERROR(INDEX(DanhMuc!$E$154:$E$165,MATCH(MID($B3176,4,2),DanhMuc!$B$154:$B$165,0)),""),"")</f>
        <v/>
      </c>
      <c r="V3176" s="361"/>
      <c r="W3176" s="345"/>
      <c r="X3176" s="329" t="str">
        <f t="shared" si="315"/>
        <v>DR</v>
      </c>
      <c r="Y3176" s="1128" t="s">
        <v>3380</v>
      </c>
      <c r="Z3176" s="1128" t="s">
        <v>3381</v>
      </c>
      <c r="AA3176" s="1128" t="s">
        <v>3384</v>
      </c>
      <c r="AB3176" s="20"/>
      <c r="AC3176" s="73"/>
    </row>
    <row r="3177" spans="1:29">
      <c r="A3177" s="327" t="str">
        <f>IF(AND($B3177&lt;&gt;"",$C3177&lt;&gt;""),MAX($A$1556:A3175)+1,"")</f>
        <v/>
      </c>
      <c r="B3177" s="361" t="s">
        <v>2885</v>
      </c>
      <c r="C3177" s="360"/>
      <c r="D3177" s="327">
        <f>IF($B3177="","",COUNTIF($B$6:$B3177,$B3177))</f>
        <v>7</v>
      </c>
      <c r="E3177" s="365" t="s">
        <v>327</v>
      </c>
      <c r="F3177" s="368" t="s">
        <v>345</v>
      </c>
      <c r="G3177" s="367" t="s">
        <v>690</v>
      </c>
      <c r="H3177" s="327" t="s">
        <v>536</v>
      </c>
      <c r="I3177" s="327">
        <v>2</v>
      </c>
      <c r="J3177" s="345" t="s">
        <v>735</v>
      </c>
      <c r="K3177" s="327"/>
      <c r="L3177" s="348">
        <f>+$S3177*$T3177*$L$37</f>
        <v>84651</v>
      </c>
      <c r="M3177" s="371"/>
      <c r="N3177" s="369" t="s">
        <v>150</v>
      </c>
      <c r="O3177" s="345" t="s">
        <v>1623</v>
      </c>
      <c r="P3177" s="392"/>
      <c r="Q3177" s="327"/>
      <c r="R3177" s="351">
        <v>2.5</v>
      </c>
      <c r="S3177" s="351">
        <v>5.8</v>
      </c>
      <c r="T3177" s="351">
        <v>0.13900000000000001</v>
      </c>
      <c r="U3177" s="329">
        <f>IF($N3177=$N$4,IFERROR(INDEX(DanhMuc!$E$154:$E$165,MATCH(MID($B3177,4,2),DanhMuc!$B$154:$B$165,0)),""),"")</f>
        <v>5800</v>
      </c>
      <c r="V3177" s="361"/>
      <c r="W3177" s="345"/>
      <c r="X3177" s="329" t="str">
        <f t="shared" si="315"/>
        <v>C459</v>
      </c>
      <c r="Y3177" s="1128" t="s">
        <v>3380</v>
      </c>
      <c r="Z3177" s="1128" t="s">
        <v>3381</v>
      </c>
      <c r="AA3177" s="1128" t="s">
        <v>3384</v>
      </c>
      <c r="AB3177" s="20"/>
      <c r="AC3177" s="73"/>
    </row>
    <row r="3178" spans="1:29">
      <c r="A3178" s="327" t="str">
        <f>IF(AND($B3178&lt;&gt;"",$C3178&lt;&gt;""),MAX($A$1556:A3177)+1,"")</f>
        <v/>
      </c>
      <c r="B3178" s="361" t="s">
        <v>2885</v>
      </c>
      <c r="C3178" s="360"/>
      <c r="D3178" s="327">
        <f>IF($B3178="","",COUNTIF($B$6:$B3178,$B3178))</f>
        <v>8</v>
      </c>
      <c r="E3178" s="361" t="s">
        <v>175</v>
      </c>
      <c r="F3178" s="362" t="s">
        <v>176</v>
      </c>
      <c r="G3178" s="327" t="s">
        <v>155</v>
      </c>
      <c r="H3178" s="327" t="s">
        <v>536</v>
      </c>
      <c r="I3178" s="327">
        <v>8</v>
      </c>
      <c r="J3178" s="361"/>
      <c r="K3178" s="327"/>
      <c r="L3178" s="389">
        <v>2000</v>
      </c>
      <c r="M3178" s="371"/>
      <c r="N3178" s="355" t="str">
        <f>+$N$1555</f>
        <v>PK</v>
      </c>
      <c r="O3178" s="345"/>
      <c r="P3178" s="392"/>
      <c r="Q3178" s="327"/>
      <c r="R3178" s="351"/>
      <c r="S3178" s="351"/>
      <c r="T3178" s="351"/>
      <c r="U3178" s="329" t="str">
        <f>IF($N3178=$N$4,IFERROR(INDEX(DanhMuc!$E$154:$E$165,MATCH(MID($B3178,4,2),DanhMuc!$B$154:$B$165,0)),""),"")</f>
        <v/>
      </c>
      <c r="V3178" s="361"/>
      <c r="W3178" s="345"/>
      <c r="X3178" s="329" t="str">
        <f t="shared" si="315"/>
        <v>DR</v>
      </c>
      <c r="Y3178" s="1128" t="s">
        <v>3380</v>
      </c>
      <c r="Z3178" s="1128" t="s">
        <v>3381</v>
      </c>
      <c r="AA3178" s="1128" t="s">
        <v>3384</v>
      </c>
      <c r="AB3178" s="20"/>
      <c r="AC3178" s="73"/>
    </row>
    <row r="3179" spans="1:29">
      <c r="A3179" s="327" t="str">
        <f>IF(AND($B3179&lt;&gt;"",$C3179&lt;&gt;""),MAX($A$1556:A3178)+1,"")</f>
        <v/>
      </c>
      <c r="B3179" s="361" t="s">
        <v>2885</v>
      </c>
      <c r="C3179" s="360"/>
      <c r="D3179" s="327">
        <f>IF($B3179="","",COUNTIF($B$6:$B3179,$B3179))</f>
        <v>9</v>
      </c>
      <c r="E3179" s="405" t="s">
        <v>2964</v>
      </c>
      <c r="F3179" s="406" t="s">
        <v>178</v>
      </c>
      <c r="G3179" s="327" t="s">
        <v>155</v>
      </c>
      <c r="H3179" s="327" t="s">
        <v>536</v>
      </c>
      <c r="I3179" s="327">
        <v>4</v>
      </c>
      <c r="J3179" s="345"/>
      <c r="K3179" s="327"/>
      <c r="L3179" s="389">
        <v>59917</v>
      </c>
      <c r="M3179" s="371"/>
      <c r="N3179" s="355" t="str">
        <f>+$N$1555</f>
        <v>PK</v>
      </c>
      <c r="O3179" s="407" t="s">
        <v>1698</v>
      </c>
      <c r="P3179" s="392"/>
      <c r="Q3179" s="327"/>
      <c r="R3179" s="351"/>
      <c r="S3179" s="351"/>
      <c r="T3179" s="351"/>
      <c r="U3179" s="329" t="str">
        <f>IF($N3179=$N$4,IFERROR(INDEX(DanhMuc!$E$154:$E$165,MATCH(MID($B3179,4,2),DanhMuc!$B$154:$B$165,0)),""),"")</f>
        <v/>
      </c>
      <c r="V3179" s="361"/>
      <c r="W3179" s="345"/>
      <c r="X3179" s="329" t="str">
        <f t="shared" si="315"/>
        <v>DR</v>
      </c>
      <c r="Y3179" s="1128" t="s">
        <v>3380</v>
      </c>
      <c r="Z3179" s="1128" t="s">
        <v>3381</v>
      </c>
      <c r="AA3179" s="1128" t="s">
        <v>3384</v>
      </c>
      <c r="AB3179" s="20"/>
      <c r="AC3179" s="73"/>
    </row>
    <row r="3180" spans="1:29">
      <c r="A3180" s="327" t="str">
        <f>IF(AND($B3180&lt;&gt;"",$C3180&lt;&gt;""),MAX($A$1556:A3179)+1,"")</f>
        <v/>
      </c>
      <c r="B3180" s="361" t="s">
        <v>2885</v>
      </c>
      <c r="C3180" s="360"/>
      <c r="D3180" s="327">
        <f>IF($B3180="","",COUNTIF($B$6:$B3180,$B3180))</f>
        <v>10</v>
      </c>
      <c r="E3180" s="405" t="s">
        <v>2965</v>
      </c>
      <c r="F3180" s="406" t="s">
        <v>202</v>
      </c>
      <c r="G3180" s="327" t="s">
        <v>155</v>
      </c>
      <c r="H3180" s="327" t="s">
        <v>536</v>
      </c>
      <c r="I3180" s="327">
        <v>4</v>
      </c>
      <c r="J3180" s="345"/>
      <c r="K3180" s="327"/>
      <c r="L3180" s="389">
        <v>66708</v>
      </c>
      <c r="M3180" s="371"/>
      <c r="N3180" s="355" t="str">
        <f t="shared" ref="N3180:N3184" si="317">+$N$1555</f>
        <v>PK</v>
      </c>
      <c r="O3180" s="407" t="s">
        <v>1699</v>
      </c>
      <c r="P3180" s="392"/>
      <c r="Q3180" s="327"/>
      <c r="R3180" s="351"/>
      <c r="S3180" s="351"/>
      <c r="T3180" s="351"/>
      <c r="U3180" s="329" t="str">
        <f>IF($N3180=$N$4,IFERROR(INDEX(DanhMuc!$E$154:$E$165,MATCH(MID($B3180,4,2),DanhMuc!$B$154:$B$165,0)),""),"")</f>
        <v/>
      </c>
      <c r="V3180" s="361"/>
      <c r="W3180" s="345"/>
      <c r="X3180" s="329" t="str">
        <f t="shared" si="315"/>
        <v>DR</v>
      </c>
      <c r="Y3180" s="1128" t="s">
        <v>3380</v>
      </c>
      <c r="Z3180" s="1128" t="s">
        <v>3381</v>
      </c>
      <c r="AA3180" s="1128" t="s">
        <v>3384</v>
      </c>
      <c r="AB3180" s="20"/>
      <c r="AC3180" s="73"/>
    </row>
    <row r="3181" spans="1:29">
      <c r="A3181" s="327" t="str">
        <f>IF(AND($B3181&lt;&gt;"",$C3181&lt;&gt;""),MAX($A$1556:A3180)+1,"")</f>
        <v/>
      </c>
      <c r="B3181" s="361" t="s">
        <v>2885</v>
      </c>
      <c r="C3181" s="360"/>
      <c r="D3181" s="327">
        <f>IF($B3181="","",COUNTIF($B$6:$B3181,$B3181))</f>
        <v>11</v>
      </c>
      <c r="E3181" s="405" t="s">
        <v>2963</v>
      </c>
      <c r="F3181" s="406" t="s">
        <v>204</v>
      </c>
      <c r="G3181" s="327" t="s">
        <v>155</v>
      </c>
      <c r="H3181" s="327" t="s">
        <v>536</v>
      </c>
      <c r="I3181" s="327">
        <v>4</v>
      </c>
      <c r="J3181" s="345"/>
      <c r="K3181" s="327"/>
      <c r="L3181" s="389">
        <v>71145</v>
      </c>
      <c r="M3181" s="371"/>
      <c r="N3181" s="355" t="str">
        <f t="shared" si="317"/>
        <v>PK</v>
      </c>
      <c r="O3181" s="407" t="s">
        <v>1700</v>
      </c>
      <c r="P3181" s="392"/>
      <c r="Q3181" s="327"/>
      <c r="R3181" s="351"/>
      <c r="S3181" s="351"/>
      <c r="T3181" s="351"/>
      <c r="U3181" s="329" t="str">
        <f>IF($N3181=$N$4,IFERROR(INDEX(DanhMuc!$E$154:$E$165,MATCH(MID($B3181,4,2),DanhMuc!$B$154:$B$165,0)),""),"")</f>
        <v/>
      </c>
      <c r="V3181" s="361"/>
      <c r="W3181" s="345"/>
      <c r="X3181" s="329" t="str">
        <f t="shared" si="315"/>
        <v>DR</v>
      </c>
      <c r="Y3181" s="1128" t="s">
        <v>3380</v>
      </c>
      <c r="Z3181" s="1128" t="s">
        <v>3381</v>
      </c>
      <c r="AA3181" s="1128" t="s">
        <v>3384</v>
      </c>
      <c r="AB3181" s="20"/>
      <c r="AC3181" s="73"/>
    </row>
    <row r="3182" spans="1:29">
      <c r="A3182" s="327" t="str">
        <f>IF(AND($B3182&lt;&gt;"",$C3182&lt;&gt;""),MAX($A$1556:A3181)+1,"")</f>
        <v/>
      </c>
      <c r="B3182" s="361" t="s">
        <v>2885</v>
      </c>
      <c r="C3182" s="360"/>
      <c r="D3182" s="327">
        <f>IF($B3182="","",COUNTIF($B$6:$B3182,$B3182))</f>
        <v>12</v>
      </c>
      <c r="E3182" s="405" t="s">
        <v>2966</v>
      </c>
      <c r="F3182" s="406" t="s">
        <v>206</v>
      </c>
      <c r="G3182" s="327" t="s">
        <v>155</v>
      </c>
      <c r="H3182" s="327" t="s">
        <v>536</v>
      </c>
      <c r="I3182" s="327">
        <v>4</v>
      </c>
      <c r="J3182" s="345"/>
      <c r="K3182" s="327"/>
      <c r="L3182" s="389">
        <v>79747</v>
      </c>
      <c r="M3182" s="371"/>
      <c r="N3182" s="355" t="str">
        <f t="shared" si="317"/>
        <v>PK</v>
      </c>
      <c r="O3182" s="407" t="s">
        <v>1701</v>
      </c>
      <c r="P3182" s="392"/>
      <c r="Q3182" s="327"/>
      <c r="R3182" s="351"/>
      <c r="S3182" s="351"/>
      <c r="T3182" s="351"/>
      <c r="U3182" s="329" t="str">
        <f>IF($N3182=$N$4,IFERROR(INDEX(DanhMuc!$E$154:$E$165,MATCH(MID($B3182,4,2),DanhMuc!$B$154:$B$165,0)),""),"")</f>
        <v/>
      </c>
      <c r="V3182" s="361"/>
      <c r="W3182" s="345"/>
      <c r="X3182" s="329" t="str">
        <f t="shared" si="315"/>
        <v>DR</v>
      </c>
      <c r="Y3182" s="1128" t="s">
        <v>3380</v>
      </c>
      <c r="Z3182" s="1128" t="s">
        <v>3381</v>
      </c>
      <c r="AA3182" s="1128" t="s">
        <v>3384</v>
      </c>
      <c r="AB3182" s="20"/>
      <c r="AC3182" s="73"/>
    </row>
    <row r="3183" spans="1:29">
      <c r="A3183" s="327" t="str">
        <f>IF(AND($B3183&lt;&gt;"",$C3183&lt;&gt;""),MAX($A$1556:A3182)+1,"")</f>
        <v/>
      </c>
      <c r="B3183" s="361" t="s">
        <v>2885</v>
      </c>
      <c r="C3183" s="360"/>
      <c r="D3183" s="327">
        <f>IF($B3183="","",COUNTIF($B$6:$B3183,$B3183))</f>
        <v>13</v>
      </c>
      <c r="E3183" s="405" t="s">
        <v>2958</v>
      </c>
      <c r="F3183" s="406" t="s">
        <v>2959</v>
      </c>
      <c r="G3183" s="327" t="s">
        <v>155</v>
      </c>
      <c r="H3183" s="327" t="s">
        <v>536</v>
      </c>
      <c r="I3183" s="327">
        <v>4</v>
      </c>
      <c r="J3183" s="345"/>
      <c r="K3183" s="327"/>
      <c r="L3183" s="389">
        <v>49955</v>
      </c>
      <c r="M3183" s="371"/>
      <c r="N3183" s="355" t="str">
        <f t="shared" si="317"/>
        <v>PK</v>
      </c>
      <c r="O3183" s="407" t="s">
        <v>442</v>
      </c>
      <c r="P3183" s="392"/>
      <c r="Q3183" s="327"/>
      <c r="R3183" s="351"/>
      <c r="S3183" s="351"/>
      <c r="T3183" s="351"/>
      <c r="U3183" s="329" t="str">
        <f>IF($N3183=$N$4,IFERROR(INDEX(DanhMuc!$E$154:$E$165,MATCH(MID($B3183,4,2),DanhMuc!$B$154:$B$165,0)),""),"")</f>
        <v/>
      </c>
      <c r="V3183" s="361"/>
      <c r="W3183" s="345"/>
      <c r="X3183" s="329" t="str">
        <f t="shared" si="315"/>
        <v>DR</v>
      </c>
      <c r="Y3183" s="1128" t="s">
        <v>3380</v>
      </c>
      <c r="Z3183" s="1128" t="s">
        <v>3381</v>
      </c>
      <c r="AA3183" s="1128" t="s">
        <v>3384</v>
      </c>
      <c r="AB3183" s="20"/>
      <c r="AC3183" s="73"/>
    </row>
    <row r="3184" spans="1:29">
      <c r="A3184" s="327" t="str">
        <f>IF(AND($B3184&lt;&gt;"",$C3184&lt;&gt;""),MAX($A$1556:A3183)+1,"")</f>
        <v/>
      </c>
      <c r="B3184" s="361" t="s">
        <v>2885</v>
      </c>
      <c r="C3184" s="360"/>
      <c r="D3184" s="327">
        <f>IF($B3184="","",COUNTIF($B$6:$B3184,$B3184))</f>
        <v>14</v>
      </c>
      <c r="E3184" s="361" t="s">
        <v>2967</v>
      </c>
      <c r="F3184" s="362" t="s">
        <v>2786</v>
      </c>
      <c r="G3184" s="327" t="s">
        <v>155</v>
      </c>
      <c r="H3184" s="327" t="s">
        <v>536</v>
      </c>
      <c r="I3184" s="327">
        <v>4</v>
      </c>
      <c r="J3184" s="361"/>
      <c r="K3184" s="286"/>
      <c r="L3184" s="415">
        <v>39610</v>
      </c>
      <c r="M3184" s="371"/>
      <c r="N3184" s="355" t="str">
        <f t="shared" si="317"/>
        <v>PK</v>
      </c>
      <c r="O3184" s="345"/>
      <c r="P3184" s="392"/>
      <c r="Q3184" s="327"/>
      <c r="R3184" s="351"/>
      <c r="S3184" s="351"/>
      <c r="T3184" s="351"/>
      <c r="U3184" s="329" t="str">
        <f>IF($N3184=$N$4,IFERROR(INDEX(DanhMuc!$E$154:$E$165,MATCH(MID($B3184,4,2),DanhMuc!$B$154:$B$165,0)),""),"")</f>
        <v/>
      </c>
      <c r="V3184" s="361"/>
      <c r="W3184" s="345"/>
      <c r="X3184" s="329" t="str">
        <f t="shared" si="315"/>
        <v>DR</v>
      </c>
      <c r="Y3184" s="1128" t="s">
        <v>3380</v>
      </c>
      <c r="Z3184" s="1128" t="s">
        <v>3381</v>
      </c>
      <c r="AA3184" s="1128" t="s">
        <v>3384</v>
      </c>
      <c r="AB3184" s="20"/>
      <c r="AC3184" s="73"/>
    </row>
    <row r="3185" spans="1:29" ht="26">
      <c r="A3185" s="327">
        <f>IF(AND($B3185&lt;&gt;"",$C3185&lt;&gt;""),MAX($A$1556:A3184)+1,"")</f>
        <v>162</v>
      </c>
      <c r="B3185" s="359" t="s">
        <v>2886</v>
      </c>
      <c r="C3185" s="360" t="s">
        <v>1555</v>
      </c>
      <c r="D3185" s="327">
        <f>IF($B3185="","",COUNTIF($B$6:$B3185,$B3185))</f>
        <v>1</v>
      </c>
      <c r="E3185" s="361" t="s">
        <v>2952</v>
      </c>
      <c r="F3185" s="362" t="s">
        <v>2920</v>
      </c>
      <c r="G3185" s="327" t="s">
        <v>155</v>
      </c>
      <c r="H3185" s="327"/>
      <c r="I3185" s="327">
        <v>2</v>
      </c>
      <c r="J3185" s="359"/>
      <c r="K3185" s="327"/>
      <c r="L3185" s="389">
        <v>33329</v>
      </c>
      <c r="M3185" s="371"/>
      <c r="N3185" s="355" t="s">
        <v>153</v>
      </c>
      <c r="O3185" s="404" t="s">
        <v>1781</v>
      </c>
      <c r="P3185" s="392"/>
      <c r="Q3185" s="327"/>
      <c r="R3185" s="351"/>
      <c r="S3185" s="351"/>
      <c r="T3185" s="351"/>
      <c r="U3185" s="329" t="str">
        <f>IF($N3185=$N$4,IFERROR(INDEX(DanhMuc!$E$154:$E$165,MATCH(MID($B3185,4,2),DanhMuc!$B$154:$B$165,0)),""),"")</f>
        <v/>
      </c>
      <c r="V3185" s="361"/>
      <c r="W3185" s="345"/>
      <c r="X3185" s="329" t="str">
        <f t="shared" si="315"/>
        <v>DR</v>
      </c>
      <c r="Y3185" s="1128" t="s">
        <v>3380</v>
      </c>
      <c r="Z3185" s="1128" t="s">
        <v>3381</v>
      </c>
      <c r="AA3185" s="1128" t="s">
        <v>3384</v>
      </c>
      <c r="AB3185" s="20"/>
      <c r="AC3185" s="73"/>
    </row>
    <row r="3186" spans="1:29">
      <c r="A3186" s="327" t="str">
        <f>IF(AND($B3186&lt;&gt;"",$C3186&lt;&gt;""),MAX($A$1556:A3185)+1,"")</f>
        <v/>
      </c>
      <c r="B3186" s="361" t="s">
        <v>2886</v>
      </c>
      <c r="C3186" s="360"/>
      <c r="D3186" s="327">
        <f>IF($B3186="","",COUNTIF($B$6:$B3186,$B3186))</f>
        <v>2</v>
      </c>
      <c r="E3186" s="361" t="s">
        <v>2918</v>
      </c>
      <c r="F3186" s="362" t="s">
        <v>2919</v>
      </c>
      <c r="G3186" s="327" t="s">
        <v>155</v>
      </c>
      <c r="H3186" s="327"/>
      <c r="I3186" s="327">
        <v>2</v>
      </c>
      <c r="J3186" s="359"/>
      <c r="K3186" s="327"/>
      <c r="L3186" s="389">
        <v>5389</v>
      </c>
      <c r="M3186" s="371"/>
      <c r="N3186" s="355" t="s">
        <v>153</v>
      </c>
      <c r="O3186" s="404" t="s">
        <v>1781</v>
      </c>
      <c r="P3186" s="392"/>
      <c r="Q3186" s="327"/>
      <c r="R3186" s="351"/>
      <c r="S3186" s="351"/>
      <c r="T3186" s="351"/>
      <c r="U3186" s="329" t="str">
        <f>IF($N3186=$N$4,IFERROR(INDEX(DanhMuc!$E$154:$E$165,MATCH(MID($B3186,4,2),DanhMuc!$B$154:$B$165,0)),""),"")</f>
        <v/>
      </c>
      <c r="V3186" s="361"/>
      <c r="W3186" s="345"/>
      <c r="X3186" s="329" t="str">
        <f t="shared" si="315"/>
        <v>DR</v>
      </c>
      <c r="Y3186" s="1128" t="s">
        <v>3380</v>
      </c>
      <c r="Z3186" s="1128" t="s">
        <v>3381</v>
      </c>
      <c r="AA3186" s="1128" t="s">
        <v>3384</v>
      </c>
      <c r="AB3186" s="20"/>
      <c r="AC3186" s="73"/>
    </row>
    <row r="3187" spans="1:29">
      <c r="A3187" s="327" t="str">
        <f>IF(AND($B3187&lt;&gt;"",$C3187&lt;&gt;""),MAX($A$1556:A3186)+1,"")</f>
        <v/>
      </c>
      <c r="B3187" s="361" t="s">
        <v>2886</v>
      </c>
      <c r="C3187" s="360"/>
      <c r="D3187" s="327">
        <f>IF($B3187="","",COUNTIF($B$6:$B3187,$B3187))</f>
        <v>3</v>
      </c>
      <c r="E3187" s="362" t="s">
        <v>2969</v>
      </c>
      <c r="F3187" s="362" t="s">
        <v>2970</v>
      </c>
      <c r="G3187" s="327" t="s">
        <v>155</v>
      </c>
      <c r="H3187" s="327"/>
      <c r="I3187" s="327">
        <v>1</v>
      </c>
      <c r="J3187" s="359"/>
      <c r="K3187" s="327"/>
      <c r="L3187" s="389">
        <v>25815</v>
      </c>
      <c r="M3187" s="371"/>
      <c r="N3187" s="355" t="s">
        <v>153</v>
      </c>
      <c r="O3187" s="404" t="s">
        <v>1971</v>
      </c>
      <c r="P3187" s="392"/>
      <c r="Q3187" s="327"/>
      <c r="R3187" s="351"/>
      <c r="S3187" s="351"/>
      <c r="T3187" s="351"/>
      <c r="U3187" s="329" t="str">
        <f>IF($N3187=$N$4,IFERROR(INDEX(DanhMuc!$E$154:$E$165,MATCH(MID($B3187,4,2),DanhMuc!$B$154:$B$165,0)),""),"")</f>
        <v/>
      </c>
      <c r="V3187" s="361"/>
      <c r="W3187" s="345"/>
      <c r="X3187" s="329" t="str">
        <f t="shared" si="315"/>
        <v>DR</v>
      </c>
      <c r="Y3187" s="1128" t="s">
        <v>3380</v>
      </c>
      <c r="Z3187" s="1128" t="s">
        <v>3381</v>
      </c>
      <c r="AA3187" s="1128" t="s">
        <v>3384</v>
      </c>
      <c r="AB3187" s="20"/>
      <c r="AC3187" s="73"/>
    </row>
    <row r="3188" spans="1:29">
      <c r="A3188" s="327" t="str">
        <f>IF(AND($B3188&lt;&gt;"",$C3188&lt;&gt;""),MAX($A$1556:A3187)+1,"")</f>
        <v/>
      </c>
      <c r="B3188" s="361" t="s">
        <v>2886</v>
      </c>
      <c r="C3188" s="360"/>
      <c r="D3188" s="327">
        <f>IF($B3188="","",COUNTIF($B$6:$B3188,$B3188))</f>
        <v>4</v>
      </c>
      <c r="E3188" s="362" t="s">
        <v>2969</v>
      </c>
      <c r="F3188" s="362" t="s">
        <v>2971</v>
      </c>
      <c r="G3188" s="327" t="s">
        <v>155</v>
      </c>
      <c r="H3188" s="327"/>
      <c r="I3188" s="327">
        <v>1</v>
      </c>
      <c r="J3188" s="359"/>
      <c r="K3188" s="327"/>
      <c r="L3188" s="389">
        <v>25815</v>
      </c>
      <c r="M3188" s="371"/>
      <c r="N3188" s="355" t="s">
        <v>153</v>
      </c>
      <c r="O3188" s="404" t="s">
        <v>1972</v>
      </c>
      <c r="P3188" s="392"/>
      <c r="Q3188" s="327"/>
      <c r="R3188" s="351"/>
      <c r="S3188" s="351"/>
      <c r="T3188" s="351"/>
      <c r="U3188" s="329" t="str">
        <f>IF($N3188=$N$4,IFERROR(INDEX(DanhMuc!$E$154:$E$165,MATCH(MID($B3188,4,2),DanhMuc!$B$154:$B$165,0)),""),"")</f>
        <v/>
      </c>
      <c r="V3188" s="361"/>
      <c r="W3188" s="345"/>
      <c r="X3188" s="329" t="str">
        <f t="shared" si="315"/>
        <v>DR</v>
      </c>
      <c r="Y3188" s="1128" t="s">
        <v>3380</v>
      </c>
      <c r="Z3188" s="1128" t="s">
        <v>3381</v>
      </c>
      <c r="AA3188" s="1128" t="s">
        <v>3384</v>
      </c>
      <c r="AB3188" s="20"/>
      <c r="AC3188" s="73"/>
    </row>
    <row r="3189" spans="1:29">
      <c r="A3189" s="327" t="str">
        <f>IF(AND($B3189&lt;&gt;"",$C3189&lt;&gt;""),MAX($A$1556:A3187)+1,"")</f>
        <v/>
      </c>
      <c r="B3189" s="361" t="s">
        <v>2886</v>
      </c>
      <c r="C3189" s="360"/>
      <c r="D3189" s="327">
        <f>IF($B3189="","",COUNTIF($B$6:$B3189,$B3189))</f>
        <v>5</v>
      </c>
      <c r="E3189" s="361" t="s">
        <v>2953</v>
      </c>
      <c r="F3189" s="362" t="s">
        <v>1970</v>
      </c>
      <c r="G3189" s="327" t="s">
        <v>155</v>
      </c>
      <c r="H3189" s="327"/>
      <c r="I3189" s="327">
        <v>1</v>
      </c>
      <c r="J3189" s="359"/>
      <c r="K3189" s="327"/>
      <c r="L3189" s="389">
        <v>2933</v>
      </c>
      <c r="M3189" s="371"/>
      <c r="N3189" s="355" t="s">
        <v>153</v>
      </c>
      <c r="O3189" s="404" t="s">
        <v>1780</v>
      </c>
      <c r="P3189" s="392"/>
      <c r="Q3189" s="327"/>
      <c r="R3189" s="351"/>
      <c r="S3189" s="351"/>
      <c r="T3189" s="351"/>
      <c r="U3189" s="329" t="str">
        <f>IF($N3189=$N$4,IFERROR(INDEX(DanhMuc!$E$154:$E$165,MATCH(MID($B3189,4,2),DanhMuc!$B$154:$B$165,0)),""),"")</f>
        <v/>
      </c>
      <c r="V3189" s="361"/>
      <c r="W3189" s="345"/>
      <c r="X3189" s="329" t="str">
        <f t="shared" si="315"/>
        <v>DR</v>
      </c>
      <c r="Y3189" s="1128" t="s">
        <v>3380</v>
      </c>
      <c r="Z3189" s="1128" t="s">
        <v>3381</v>
      </c>
      <c r="AA3189" s="1128" t="s">
        <v>3384</v>
      </c>
      <c r="AB3189" s="20"/>
      <c r="AC3189" s="73"/>
    </row>
    <row r="3190" spans="1:29">
      <c r="A3190" s="327" t="str">
        <f>IF(AND($B3190&lt;&gt;"",$C3190&lt;&gt;""),MAX($A$1556:A3189)+1,"")</f>
        <v/>
      </c>
      <c r="B3190" s="361" t="s">
        <v>2886</v>
      </c>
      <c r="C3190" s="360"/>
      <c r="D3190" s="327">
        <f>IF($B3190="","",COUNTIF($B$6:$B3190,$B3190))</f>
        <v>6</v>
      </c>
      <c r="E3190" s="361" t="s">
        <v>2952</v>
      </c>
      <c r="F3190" s="362" t="s">
        <v>2920</v>
      </c>
      <c r="G3190" s="327" t="s">
        <v>155</v>
      </c>
      <c r="H3190" s="327"/>
      <c r="I3190" s="327">
        <v>1</v>
      </c>
      <c r="J3190" s="359"/>
      <c r="K3190" s="327"/>
      <c r="L3190" s="389">
        <v>33329</v>
      </c>
      <c r="M3190" s="371"/>
      <c r="N3190" s="355" t="s">
        <v>153</v>
      </c>
      <c r="O3190" s="404" t="s">
        <v>1782</v>
      </c>
      <c r="P3190" s="392"/>
      <c r="Q3190" s="327"/>
      <c r="R3190" s="351"/>
      <c r="S3190" s="351"/>
      <c r="T3190" s="351"/>
      <c r="U3190" s="329" t="str">
        <f>IF($N3190=$N$4,IFERROR(INDEX(DanhMuc!$E$154:$E$165,MATCH(MID($B3190,4,2),DanhMuc!$B$154:$B$165,0)),""),"")</f>
        <v/>
      </c>
      <c r="V3190" s="361"/>
      <c r="W3190" s="345"/>
      <c r="X3190" s="329" t="str">
        <f t="shared" si="315"/>
        <v>DR</v>
      </c>
      <c r="Y3190" s="1128" t="s">
        <v>3380</v>
      </c>
      <c r="Z3190" s="1128" t="s">
        <v>3381</v>
      </c>
      <c r="AA3190" s="1128" t="s">
        <v>3384</v>
      </c>
      <c r="AB3190" s="20"/>
      <c r="AC3190" s="73"/>
    </row>
    <row r="3191" spans="1:29">
      <c r="A3191" s="327" t="str">
        <f>IF(AND($B3191&lt;&gt;"",$C3191&lt;&gt;""),MAX($A$1556:A3190)+1,"")</f>
        <v/>
      </c>
      <c r="B3191" s="361" t="s">
        <v>2886</v>
      </c>
      <c r="C3191" s="360"/>
      <c r="D3191" s="327">
        <f>IF($B3191="","",COUNTIF($B$6:$B3191,$B3191))</f>
        <v>7</v>
      </c>
      <c r="E3191" s="361" t="s">
        <v>2918</v>
      </c>
      <c r="F3191" s="362" t="s">
        <v>2919</v>
      </c>
      <c r="G3191" s="327" t="s">
        <v>155</v>
      </c>
      <c r="H3191" s="327"/>
      <c r="I3191" s="327">
        <v>1</v>
      </c>
      <c r="J3191" s="359"/>
      <c r="K3191" s="327"/>
      <c r="L3191" s="389">
        <v>5389</v>
      </c>
      <c r="M3191" s="371"/>
      <c r="N3191" s="355" t="s">
        <v>153</v>
      </c>
      <c r="O3191" s="404" t="s">
        <v>1782</v>
      </c>
      <c r="P3191" s="392"/>
      <c r="Q3191" s="327"/>
      <c r="R3191" s="351"/>
      <c r="S3191" s="351"/>
      <c r="T3191" s="351"/>
      <c r="U3191" s="329" t="str">
        <f>IF($N3191=$N$4,IFERROR(INDEX(DanhMuc!$E$154:$E$165,MATCH(MID($B3191,4,2),DanhMuc!$B$154:$B$165,0)),""),"")</f>
        <v/>
      </c>
      <c r="V3191" s="361"/>
      <c r="W3191" s="345"/>
      <c r="X3191" s="329" t="str">
        <f t="shared" si="315"/>
        <v>DR</v>
      </c>
      <c r="Y3191" s="1128" t="s">
        <v>3380</v>
      </c>
      <c r="Z3191" s="1128" t="s">
        <v>3381</v>
      </c>
      <c r="AA3191" s="1128" t="s">
        <v>3384</v>
      </c>
      <c r="AB3191" s="20"/>
      <c r="AC3191" s="73"/>
    </row>
    <row r="3192" spans="1:29" ht="25">
      <c r="A3192" s="327" t="str">
        <f>IF(AND($B3192&lt;&gt;"",$C3192&lt;&gt;""),MAX($A$1556:A3187)+1,"")</f>
        <v/>
      </c>
      <c r="B3192" s="361" t="s">
        <v>2886</v>
      </c>
      <c r="C3192" s="360"/>
      <c r="D3192" s="327">
        <f>IF($B3192="","",COUNTIF($B$6:$B3192,$B3192))</f>
        <v>8</v>
      </c>
      <c r="E3192" s="361" t="s">
        <v>2921</v>
      </c>
      <c r="F3192" s="362" t="s">
        <v>210</v>
      </c>
      <c r="G3192" s="327" t="s">
        <v>155</v>
      </c>
      <c r="H3192" s="327"/>
      <c r="I3192" s="327">
        <v>1</v>
      </c>
      <c r="J3192" s="359"/>
      <c r="K3192" s="327"/>
      <c r="L3192" s="389">
        <v>68884</v>
      </c>
      <c r="M3192" s="371"/>
      <c r="N3192" s="355" t="s">
        <v>153</v>
      </c>
      <c r="O3192" s="404" t="s">
        <v>1782</v>
      </c>
      <c r="P3192" s="392"/>
      <c r="Q3192" s="327"/>
      <c r="R3192" s="351"/>
      <c r="S3192" s="351"/>
      <c r="T3192" s="351"/>
      <c r="U3192" s="329" t="str">
        <f>IF($N3192=$N$4,IFERROR(INDEX(DanhMuc!$E$154:$E$165,MATCH(MID($B3192,4,2),DanhMuc!$B$154:$B$165,0)),""),"")</f>
        <v/>
      </c>
      <c r="V3192" s="361"/>
      <c r="W3192" s="345"/>
      <c r="X3192" s="329" t="str">
        <f t="shared" si="315"/>
        <v>DR</v>
      </c>
      <c r="Y3192" s="1128" t="s">
        <v>3380</v>
      </c>
      <c r="Z3192" s="1128" t="s">
        <v>3381</v>
      </c>
      <c r="AA3192" s="1128" t="s">
        <v>3384</v>
      </c>
      <c r="AB3192" s="20"/>
      <c r="AC3192" s="73"/>
    </row>
    <row r="3193" spans="1:29" ht="50">
      <c r="A3193" s="327" t="str">
        <f>IF(AND($B3193&lt;&gt;"",$C3193&lt;&gt;""),MAX($A$1556:A3192)+1,"")</f>
        <v/>
      </c>
      <c r="B3193" s="361" t="s">
        <v>2886</v>
      </c>
      <c r="C3193" s="360"/>
      <c r="D3193" s="327">
        <f>IF($B3193="","",COUNTIF($B$6:$B3193,$B3193))</f>
        <v>9</v>
      </c>
      <c r="E3193" s="403" t="s">
        <v>2973</v>
      </c>
      <c r="F3193" s="403" t="s">
        <v>953</v>
      </c>
      <c r="G3193" s="410" t="s">
        <v>156</v>
      </c>
      <c r="H3193" s="327" t="s">
        <v>536</v>
      </c>
      <c r="I3193" s="411" t="s">
        <v>2856</v>
      </c>
      <c r="J3193" s="404"/>
      <c r="K3193" s="410"/>
      <c r="L3193" s="389">
        <v>49122</v>
      </c>
      <c r="M3193" s="371"/>
      <c r="N3193" s="355" t="s">
        <v>153</v>
      </c>
      <c r="O3193" s="404" t="s">
        <v>1782</v>
      </c>
      <c r="P3193" s="392"/>
      <c r="Q3193" s="327"/>
      <c r="R3193" s="351"/>
      <c r="S3193" s="351"/>
      <c r="T3193" s="351"/>
      <c r="U3193" s="329" t="str">
        <f>IF($N3193=$N$4,IFERROR(INDEX(DanhMuc!$E$154:$E$165,MATCH(MID($B3193,4,2),DanhMuc!$B$154:$B$165,0)),""),"")</f>
        <v/>
      </c>
      <c r="V3193" s="361"/>
      <c r="W3193" s="345"/>
      <c r="X3193" s="329" t="str">
        <f t="shared" si="315"/>
        <v>DR</v>
      </c>
      <c r="Y3193" s="1128" t="s">
        <v>3380</v>
      </c>
      <c r="Z3193" s="1128" t="s">
        <v>3381</v>
      </c>
      <c r="AA3193" s="1128" t="s">
        <v>3384</v>
      </c>
      <c r="AB3193" s="20"/>
      <c r="AC3193" s="73"/>
    </row>
    <row r="3194" spans="1:29" ht="50">
      <c r="A3194" s="327" t="str">
        <f>IF(AND($B3194&lt;&gt;"",$C3194&lt;&gt;""),MAX($A$1556:A3193)+1,"")</f>
        <v/>
      </c>
      <c r="B3194" s="361" t="s">
        <v>2886</v>
      </c>
      <c r="C3194" s="360"/>
      <c r="D3194" s="327">
        <f>IF($B3194="","",COUNTIF($B$6:$B3194,$B3194))</f>
        <v>10</v>
      </c>
      <c r="E3194" s="403" t="s">
        <v>2974</v>
      </c>
      <c r="F3194" s="403" t="s">
        <v>1059</v>
      </c>
      <c r="G3194" s="410" t="s">
        <v>156</v>
      </c>
      <c r="H3194" s="327" t="s">
        <v>536</v>
      </c>
      <c r="I3194" s="411" t="s">
        <v>2853</v>
      </c>
      <c r="J3194" s="404"/>
      <c r="K3194" s="410"/>
      <c r="L3194" s="389">
        <v>59067</v>
      </c>
      <c r="M3194" s="371"/>
      <c r="N3194" s="355" t="s">
        <v>153</v>
      </c>
      <c r="O3194" s="404" t="s">
        <v>1782</v>
      </c>
      <c r="P3194" s="392"/>
      <c r="Q3194" s="327"/>
      <c r="R3194" s="351"/>
      <c r="S3194" s="351"/>
      <c r="T3194" s="351"/>
      <c r="U3194" s="329" t="str">
        <f>IF($N3194=$N$4,IFERROR(INDEX(DanhMuc!$E$154:$E$165,MATCH(MID($B3194,4,2),DanhMuc!$B$154:$B$165,0)),""),"")</f>
        <v/>
      </c>
      <c r="V3194" s="361"/>
      <c r="W3194" s="345"/>
      <c r="X3194" s="329" t="str">
        <f t="shared" si="315"/>
        <v>DR</v>
      </c>
      <c r="Y3194" s="1128" t="s">
        <v>3380</v>
      </c>
      <c r="Z3194" s="1128" t="s">
        <v>3381</v>
      </c>
      <c r="AA3194" s="1128" t="s">
        <v>3384</v>
      </c>
      <c r="AB3194" s="20"/>
      <c r="AC3194" s="73"/>
    </row>
    <row r="3195" spans="1:29" ht="50">
      <c r="A3195" s="327" t="str">
        <f>IF(AND($B3195&lt;&gt;"",$C3195&lt;&gt;""),MAX($A$1556:A3194)+1,"")</f>
        <v/>
      </c>
      <c r="B3195" s="361" t="s">
        <v>2886</v>
      </c>
      <c r="C3195" s="360"/>
      <c r="D3195" s="327">
        <f>IF($B3195="","",COUNTIF($B$6:$B3195,$B3195))</f>
        <v>11</v>
      </c>
      <c r="E3195" s="403" t="s">
        <v>2987</v>
      </c>
      <c r="F3195" s="403" t="s">
        <v>956</v>
      </c>
      <c r="G3195" s="410" t="s">
        <v>156</v>
      </c>
      <c r="H3195" s="327" t="s">
        <v>536</v>
      </c>
      <c r="I3195" s="411" t="s">
        <v>2854</v>
      </c>
      <c r="J3195" s="404"/>
      <c r="K3195" s="410"/>
      <c r="L3195" s="389">
        <v>77078</v>
      </c>
      <c r="M3195" s="371"/>
      <c r="N3195" s="355" t="s">
        <v>153</v>
      </c>
      <c r="O3195" s="404" t="s">
        <v>1782</v>
      </c>
      <c r="P3195" s="392"/>
      <c r="Q3195" s="327"/>
      <c r="R3195" s="351"/>
      <c r="S3195" s="351"/>
      <c r="T3195" s="351"/>
      <c r="U3195" s="329" t="str">
        <f>IF($N3195=$N$4,IFERROR(INDEX(DanhMuc!$E$154:$E$165,MATCH(MID($B3195,4,2),DanhMuc!$B$154:$B$165,0)),""),"")</f>
        <v/>
      </c>
      <c r="V3195" s="361"/>
      <c r="W3195" s="345"/>
      <c r="X3195" s="329" t="str">
        <f t="shared" si="315"/>
        <v>DR</v>
      </c>
      <c r="Y3195" s="1128" t="s">
        <v>3380</v>
      </c>
      <c r="Z3195" s="1128" t="s">
        <v>3381</v>
      </c>
      <c r="AA3195" s="1128" t="s">
        <v>3384</v>
      </c>
      <c r="AB3195" s="20"/>
      <c r="AC3195" s="73"/>
    </row>
    <row r="3196" spans="1:29" ht="50">
      <c r="A3196" s="327" t="str">
        <f>IF(AND($B3196&lt;&gt;"",$C3196&lt;&gt;""),MAX($A$1556:A3195)+1,"")</f>
        <v/>
      </c>
      <c r="B3196" s="361" t="s">
        <v>2886</v>
      </c>
      <c r="C3196" s="360"/>
      <c r="D3196" s="327">
        <f>IF($B3196="","",COUNTIF($B$6:$B3196,$B3196))</f>
        <v>12</v>
      </c>
      <c r="E3196" s="403" t="s">
        <v>2975</v>
      </c>
      <c r="F3196" s="403" t="s">
        <v>183</v>
      </c>
      <c r="G3196" s="410" t="s">
        <v>156</v>
      </c>
      <c r="H3196" s="327" t="s">
        <v>536</v>
      </c>
      <c r="I3196" s="411" t="s">
        <v>2855</v>
      </c>
      <c r="J3196" s="404"/>
      <c r="K3196" s="410"/>
      <c r="L3196" s="415">
        <v>77078</v>
      </c>
      <c r="M3196" s="371"/>
      <c r="N3196" s="355" t="s">
        <v>153</v>
      </c>
      <c r="O3196" s="404" t="s">
        <v>1782</v>
      </c>
      <c r="P3196" s="392"/>
      <c r="Q3196" s="327"/>
      <c r="R3196" s="351"/>
      <c r="S3196" s="351"/>
      <c r="T3196" s="351"/>
      <c r="U3196" s="329" t="str">
        <f>IF($N3196=$N$4,IFERROR(INDEX(DanhMuc!$E$154:$E$165,MATCH(MID($B3196,4,2),DanhMuc!$B$154:$B$165,0)),""),"")</f>
        <v/>
      </c>
      <c r="V3196" s="361"/>
      <c r="W3196" s="345"/>
      <c r="X3196" s="329" t="str">
        <f t="shared" si="315"/>
        <v>DR</v>
      </c>
      <c r="Y3196" s="1128" t="s">
        <v>3380</v>
      </c>
      <c r="Z3196" s="1128" t="s">
        <v>3381</v>
      </c>
      <c r="AA3196" s="1128" t="s">
        <v>3384</v>
      </c>
      <c r="AB3196" s="20"/>
      <c r="AC3196" s="73"/>
    </row>
    <row r="3197" spans="1:29">
      <c r="A3197" s="327" t="str">
        <f>IF(AND($B3197&lt;&gt;"",$C3197&lt;&gt;""),MAX($A$1556:A3196)+1,"")</f>
        <v/>
      </c>
      <c r="B3197" s="361" t="s">
        <v>2886</v>
      </c>
      <c r="C3197" s="360"/>
      <c r="D3197" s="327">
        <f>IF($B3197="","",COUNTIF($B$6:$B3197,$B3197))</f>
        <v>13</v>
      </c>
      <c r="E3197" s="361" t="s">
        <v>2922</v>
      </c>
      <c r="F3197" s="362" t="s">
        <v>981</v>
      </c>
      <c r="G3197" s="327" t="s">
        <v>155</v>
      </c>
      <c r="H3197" s="327" t="s">
        <v>536</v>
      </c>
      <c r="I3197" s="327">
        <v>2</v>
      </c>
      <c r="J3197" s="359"/>
      <c r="K3197" s="327"/>
      <c r="L3197" s="389">
        <v>4514</v>
      </c>
      <c r="M3197" s="371"/>
      <c r="N3197" s="355" t="str">
        <f t="shared" ref="N3197:N3205" si="318">+$N$1555</f>
        <v>PK</v>
      </c>
      <c r="O3197" s="404" t="s">
        <v>1782</v>
      </c>
      <c r="P3197" s="392"/>
      <c r="Q3197" s="327"/>
      <c r="R3197" s="351"/>
      <c r="S3197" s="351"/>
      <c r="T3197" s="351"/>
      <c r="U3197" s="329" t="str">
        <f>IF($N3197=$N$4,IFERROR(INDEX(DanhMuc!$E$154:$E$165,MATCH(MID($B3197,4,2),DanhMuc!$B$154:$B$165,0)),""),"")</f>
        <v/>
      </c>
      <c r="V3197" s="361"/>
      <c r="W3197" s="345"/>
      <c r="X3197" s="329" t="str">
        <f t="shared" si="315"/>
        <v>DR</v>
      </c>
      <c r="Y3197" s="1128" t="s">
        <v>3380</v>
      </c>
      <c r="Z3197" s="1128" t="s">
        <v>3381</v>
      </c>
      <c r="AA3197" s="1128" t="s">
        <v>3384</v>
      </c>
      <c r="AB3197" s="20"/>
      <c r="AC3197" s="73"/>
    </row>
    <row r="3198" spans="1:29">
      <c r="A3198" s="327" t="str">
        <f>IF(AND($B3198&lt;&gt;"",$C3198&lt;&gt;""),MAX($A$1556:A3197)+1,"")</f>
        <v/>
      </c>
      <c r="B3198" s="361" t="s">
        <v>2886</v>
      </c>
      <c r="C3198" s="360"/>
      <c r="D3198" s="327">
        <f>IF($B3198="","",COUNTIF($B$6:$B3198,$B3198))</f>
        <v>14</v>
      </c>
      <c r="E3198" s="361" t="s">
        <v>187</v>
      </c>
      <c r="F3198" s="362" t="s">
        <v>189</v>
      </c>
      <c r="G3198" s="327" t="s">
        <v>155</v>
      </c>
      <c r="H3198" s="327"/>
      <c r="I3198" s="327">
        <v>4</v>
      </c>
      <c r="J3198" s="361"/>
      <c r="K3198" s="327"/>
      <c r="L3198" s="389">
        <v>5000</v>
      </c>
      <c r="M3198" s="371"/>
      <c r="N3198" s="355" t="str">
        <f t="shared" si="318"/>
        <v>PK</v>
      </c>
      <c r="O3198" s="345"/>
      <c r="P3198" s="392"/>
      <c r="Q3198" s="327"/>
      <c r="R3198" s="351"/>
      <c r="S3198" s="351"/>
      <c r="T3198" s="351"/>
      <c r="U3198" s="329" t="str">
        <f>IF($N3198=$N$4,IFERROR(INDEX(DanhMuc!$E$154:$E$165,MATCH(MID($B3198,4,2),DanhMuc!$B$154:$B$165,0)),""),"")</f>
        <v/>
      </c>
      <c r="V3198" s="361"/>
      <c r="W3198" s="345"/>
      <c r="X3198" s="329" t="str">
        <f t="shared" si="315"/>
        <v>DR</v>
      </c>
      <c r="Y3198" s="1128" t="s">
        <v>3380</v>
      </c>
      <c r="Z3198" s="1128" t="s">
        <v>3381</v>
      </c>
      <c r="AA3198" s="1128" t="s">
        <v>3384</v>
      </c>
      <c r="AB3198" s="20"/>
      <c r="AC3198" s="73"/>
    </row>
    <row r="3199" spans="1:29">
      <c r="A3199" s="327" t="str">
        <f>IF(AND($B3199&lt;&gt;"",$C3199&lt;&gt;""),MAX($A$1556:A3198)+1,"")</f>
        <v/>
      </c>
      <c r="B3199" s="361" t="s">
        <v>2886</v>
      </c>
      <c r="C3199" s="360"/>
      <c r="D3199" s="327">
        <f>IF($B3199="","",COUNTIF($B$6:$B3199,$B3199))</f>
        <v>15</v>
      </c>
      <c r="E3199" s="361" t="s">
        <v>163</v>
      </c>
      <c r="F3199" s="362" t="s">
        <v>164</v>
      </c>
      <c r="G3199" s="327" t="s">
        <v>155</v>
      </c>
      <c r="H3199" s="327"/>
      <c r="I3199" s="327">
        <v>2</v>
      </c>
      <c r="J3199" s="361"/>
      <c r="K3199" s="327"/>
      <c r="L3199" s="389">
        <v>2500</v>
      </c>
      <c r="M3199" s="371"/>
      <c r="N3199" s="355" t="str">
        <f t="shared" si="318"/>
        <v>PK</v>
      </c>
      <c r="O3199" s="345"/>
      <c r="P3199" s="392"/>
      <c r="Q3199" s="327"/>
      <c r="R3199" s="351"/>
      <c r="S3199" s="351"/>
      <c r="T3199" s="351"/>
      <c r="U3199" s="329" t="str">
        <f>IF($N3199=$N$4,IFERROR(INDEX(DanhMuc!$E$154:$E$165,MATCH(MID($B3199,4,2),DanhMuc!$B$154:$B$165,0)),""),"")</f>
        <v/>
      </c>
      <c r="V3199" s="408" t="s">
        <v>342</v>
      </c>
      <c r="W3199" s="345"/>
      <c r="X3199" s="329" t="str">
        <f t="shared" si="315"/>
        <v>DR</v>
      </c>
      <c r="Y3199" s="1128" t="s">
        <v>3380</v>
      </c>
      <c r="Z3199" s="1128" t="s">
        <v>3381</v>
      </c>
      <c r="AA3199" s="1128" t="s">
        <v>3384</v>
      </c>
      <c r="AB3199" s="20"/>
      <c r="AC3199" s="73"/>
    </row>
    <row r="3200" spans="1:29">
      <c r="A3200" s="327" t="str">
        <f>IF(AND($B3200&lt;&gt;"",$C3200&lt;&gt;""),MAX($A$1556:A3199)+1,"")</f>
        <v/>
      </c>
      <c r="B3200" s="361" t="s">
        <v>2886</v>
      </c>
      <c r="C3200" s="360"/>
      <c r="D3200" s="327">
        <f>IF($B3200="","",COUNTIF($B$6:$B3200,$B3200))</f>
        <v>16</v>
      </c>
      <c r="E3200" s="361" t="s">
        <v>2968</v>
      </c>
      <c r="F3200" s="362" t="s">
        <v>162</v>
      </c>
      <c r="G3200" s="327" t="s">
        <v>155</v>
      </c>
      <c r="H3200" s="327" t="s">
        <v>536</v>
      </c>
      <c r="I3200" s="327">
        <v>4</v>
      </c>
      <c r="J3200" s="361"/>
      <c r="K3200" s="327"/>
      <c r="L3200" s="389">
        <v>12070</v>
      </c>
      <c r="M3200" s="371"/>
      <c r="N3200" s="355" t="str">
        <f t="shared" si="318"/>
        <v>PK</v>
      </c>
      <c r="O3200" s="345" t="s">
        <v>1705</v>
      </c>
      <c r="P3200" s="392"/>
      <c r="Q3200" s="327"/>
      <c r="R3200" s="351"/>
      <c r="S3200" s="351"/>
      <c r="T3200" s="351"/>
      <c r="U3200" s="329" t="str">
        <f>IF($N3200=$N$4,IFERROR(INDEX(DanhMuc!$E$154:$E$165,MATCH(MID($B3200,4,2),DanhMuc!$B$154:$B$165,0)),""),"")</f>
        <v/>
      </c>
      <c r="V3200" s="361"/>
      <c r="W3200" s="345"/>
      <c r="X3200" s="329" t="str">
        <f t="shared" si="315"/>
        <v>DR</v>
      </c>
      <c r="Y3200" s="1128" t="s">
        <v>3380</v>
      </c>
      <c r="Z3200" s="1128" t="s">
        <v>3381</v>
      </c>
      <c r="AA3200" s="1128" t="s">
        <v>3384</v>
      </c>
      <c r="AB3200" s="20"/>
      <c r="AC3200" s="73"/>
    </row>
    <row r="3201" spans="1:29">
      <c r="A3201" s="327" t="str">
        <f>IF(AND($B3201&lt;&gt;"",$C3201&lt;&gt;""),MAX($A$1556:A3200)+1,"")</f>
        <v/>
      </c>
      <c r="B3201" s="361" t="s">
        <v>2886</v>
      </c>
      <c r="C3201" s="360"/>
      <c r="D3201" s="327">
        <f>IF($B3201="","",COUNTIF($B$6:$B3201,$B3201))</f>
        <v>17</v>
      </c>
      <c r="E3201" s="361" t="s">
        <v>2923</v>
      </c>
      <c r="F3201" s="362" t="s">
        <v>186</v>
      </c>
      <c r="G3201" s="327" t="s">
        <v>155</v>
      </c>
      <c r="H3201" s="327" t="s">
        <v>536</v>
      </c>
      <c r="I3201" s="327">
        <v>4</v>
      </c>
      <c r="J3201" s="361"/>
      <c r="K3201" s="327"/>
      <c r="L3201" s="389">
        <v>40308</v>
      </c>
      <c r="M3201" s="371"/>
      <c r="N3201" s="355" t="str">
        <f t="shared" si="318"/>
        <v>PK</v>
      </c>
      <c r="O3201" s="345" t="s">
        <v>1704</v>
      </c>
      <c r="P3201" s="392"/>
      <c r="Q3201" s="327"/>
      <c r="R3201" s="351"/>
      <c r="S3201" s="351"/>
      <c r="T3201" s="351"/>
      <c r="U3201" s="329" t="str">
        <f>IF($N3201=$N$4,IFERROR(INDEX(DanhMuc!$E$154:$E$165,MATCH(MID($B3201,4,2),DanhMuc!$B$154:$B$165,0)),""),"")</f>
        <v/>
      </c>
      <c r="V3201" s="361"/>
      <c r="W3201" s="345"/>
      <c r="X3201" s="329" t="str">
        <f t="shared" si="315"/>
        <v>DR</v>
      </c>
      <c r="Y3201" s="1128" t="s">
        <v>3380</v>
      </c>
      <c r="Z3201" s="1128" t="s">
        <v>3381</v>
      </c>
      <c r="AA3201" s="1128" t="s">
        <v>3384</v>
      </c>
      <c r="AB3201" s="20"/>
      <c r="AC3201" s="73"/>
    </row>
    <row r="3202" spans="1:29">
      <c r="A3202" s="327" t="str">
        <f>IF(AND($B3202&lt;&gt;"",$C3202&lt;&gt;""),MAX($A$1556:A3200)+1,"")</f>
        <v/>
      </c>
      <c r="B3202" s="361" t="s">
        <v>2886</v>
      </c>
      <c r="C3202" s="360"/>
      <c r="D3202" s="327">
        <f>IF($B3202="","",COUNTIF($B$6:$B3202,$B3202))</f>
        <v>18</v>
      </c>
      <c r="E3202" s="361" t="s">
        <v>165</v>
      </c>
      <c r="F3202" s="362" t="s">
        <v>166</v>
      </c>
      <c r="G3202" s="327" t="s">
        <v>155</v>
      </c>
      <c r="H3202" s="327"/>
      <c r="I3202" s="327">
        <v>2</v>
      </c>
      <c r="J3202" s="361"/>
      <c r="K3202" s="327"/>
      <c r="L3202" s="389">
        <v>1700</v>
      </c>
      <c r="M3202" s="371"/>
      <c r="N3202" s="355" t="str">
        <f t="shared" si="318"/>
        <v>PK</v>
      </c>
      <c r="O3202" s="345"/>
      <c r="P3202" s="392"/>
      <c r="Q3202" s="327"/>
      <c r="R3202" s="351"/>
      <c r="S3202" s="351"/>
      <c r="T3202" s="351"/>
      <c r="U3202" s="329" t="str">
        <f>IF($N3202=$N$4,IFERROR(INDEX(DanhMuc!$E$154:$E$165,MATCH(MID($B3202,4,2),DanhMuc!$B$154:$B$165,0)),""),"")</f>
        <v/>
      </c>
      <c r="V3202" s="361"/>
      <c r="W3202" s="345"/>
      <c r="X3202" s="329" t="str">
        <f t="shared" si="315"/>
        <v>DR</v>
      </c>
      <c r="Y3202" s="1128" t="s">
        <v>3380</v>
      </c>
      <c r="Z3202" s="1128" t="s">
        <v>3381</v>
      </c>
      <c r="AA3202" s="1128" t="s">
        <v>3384</v>
      </c>
      <c r="AB3202" s="20"/>
      <c r="AC3202" s="73"/>
    </row>
    <row r="3203" spans="1:29">
      <c r="A3203" s="327" t="str">
        <f>IF(AND($B3203&lt;&gt;"",$C3203&lt;&gt;""),MAX($A$1556:A3202)+1,"")</f>
        <v/>
      </c>
      <c r="B3203" s="361" t="s">
        <v>2886</v>
      </c>
      <c r="C3203" s="360"/>
      <c r="D3203" s="327">
        <f>IF($B3203="","",COUNTIF($B$6:$B3203,$B3203))</f>
        <v>19</v>
      </c>
      <c r="E3203" s="361" t="s">
        <v>167</v>
      </c>
      <c r="F3203" s="362" t="s">
        <v>168</v>
      </c>
      <c r="G3203" s="327" t="s">
        <v>155</v>
      </c>
      <c r="H3203" s="327"/>
      <c r="I3203" s="327">
        <v>2</v>
      </c>
      <c r="J3203" s="361"/>
      <c r="K3203" s="327"/>
      <c r="L3203" s="389">
        <v>1700</v>
      </c>
      <c r="M3203" s="371"/>
      <c r="N3203" s="355" t="str">
        <f t="shared" si="318"/>
        <v>PK</v>
      </c>
      <c r="O3203" s="345"/>
      <c r="P3203" s="392"/>
      <c r="Q3203" s="327"/>
      <c r="R3203" s="351"/>
      <c r="S3203" s="351"/>
      <c r="T3203" s="351"/>
      <c r="U3203" s="329" t="str">
        <f>IF($N3203=$N$4,IFERROR(INDEX(DanhMuc!$E$154:$E$165,MATCH(MID($B3203,4,2),DanhMuc!$B$154:$B$165,0)),""),"")</f>
        <v/>
      </c>
      <c r="V3203" s="361"/>
      <c r="W3203" s="345"/>
      <c r="X3203" s="329" t="str">
        <f t="shared" si="315"/>
        <v>DR</v>
      </c>
      <c r="Y3203" s="1128" t="s">
        <v>3380</v>
      </c>
      <c r="Z3203" s="1128" t="s">
        <v>3381</v>
      </c>
      <c r="AA3203" s="1128" t="s">
        <v>3384</v>
      </c>
      <c r="AB3203" s="20"/>
      <c r="AC3203" s="73"/>
    </row>
    <row r="3204" spans="1:29">
      <c r="A3204" s="327" t="str">
        <f>IF(AND($B3204&lt;&gt;"",$C3204&lt;&gt;""),MAX($A$1556:A3203)+1,"")</f>
        <v/>
      </c>
      <c r="B3204" s="361" t="s">
        <v>2886</v>
      </c>
      <c r="C3204" s="360"/>
      <c r="D3204" s="327">
        <f>IF($B3204="","",COUNTIF($B$6:$B3204,$B3204))</f>
        <v>20</v>
      </c>
      <c r="E3204" s="361" t="s">
        <v>169</v>
      </c>
      <c r="F3204" s="362" t="s">
        <v>170</v>
      </c>
      <c r="G3204" s="327" t="s">
        <v>155</v>
      </c>
      <c r="H3204" s="327"/>
      <c r="I3204" s="327">
        <v>2</v>
      </c>
      <c r="J3204" s="361"/>
      <c r="K3204" s="327"/>
      <c r="L3204" s="389">
        <v>1700</v>
      </c>
      <c r="M3204" s="371"/>
      <c r="N3204" s="355" t="str">
        <f t="shared" si="318"/>
        <v>PK</v>
      </c>
      <c r="O3204" s="345"/>
      <c r="P3204" s="392"/>
      <c r="Q3204" s="327"/>
      <c r="R3204" s="351"/>
      <c r="S3204" s="351"/>
      <c r="T3204" s="351"/>
      <c r="U3204" s="329" t="str">
        <f>IF($N3204=$N$4,IFERROR(INDEX(DanhMuc!$E$154:$E$165,MATCH(MID($B3204,4,2),DanhMuc!$B$154:$B$165,0)),""),"")</f>
        <v/>
      </c>
      <c r="V3204" s="361"/>
      <c r="W3204" s="345"/>
      <c r="X3204" s="329" t="str">
        <f t="shared" si="315"/>
        <v>DR</v>
      </c>
      <c r="Y3204" s="1128" t="s">
        <v>3380</v>
      </c>
      <c r="Z3204" s="1128" t="s">
        <v>3381</v>
      </c>
      <c r="AA3204" s="1128" t="s">
        <v>3384</v>
      </c>
      <c r="AB3204" s="20"/>
      <c r="AC3204" s="73"/>
    </row>
    <row r="3205" spans="1:29">
      <c r="A3205" s="327" t="str">
        <f>IF(AND($B3205&lt;&gt;"",$C3205&lt;&gt;""),MAX($A$1556:A3204)+1,"")</f>
        <v/>
      </c>
      <c r="B3205" s="361" t="s">
        <v>2886</v>
      </c>
      <c r="C3205" s="360"/>
      <c r="D3205" s="327">
        <f>IF($B3205="","",COUNTIF($B$6:$B3205,$B3205))</f>
        <v>21</v>
      </c>
      <c r="E3205" s="361" t="s">
        <v>171</v>
      </c>
      <c r="F3205" s="362" t="s">
        <v>291</v>
      </c>
      <c r="G3205" s="327" t="s">
        <v>155</v>
      </c>
      <c r="H3205" s="327"/>
      <c r="I3205" s="327">
        <v>2</v>
      </c>
      <c r="J3205" s="361"/>
      <c r="K3205" s="327"/>
      <c r="L3205" s="389">
        <v>1700</v>
      </c>
      <c r="M3205" s="371"/>
      <c r="N3205" s="355" t="str">
        <f t="shared" si="318"/>
        <v>PK</v>
      </c>
      <c r="O3205" s="345"/>
      <c r="P3205" s="392"/>
      <c r="Q3205" s="327"/>
      <c r="R3205" s="351"/>
      <c r="S3205" s="351"/>
      <c r="T3205" s="351"/>
      <c r="U3205" s="329" t="str">
        <f>IF($N3205=$N$4,IFERROR(INDEX(DanhMuc!$E$154:$E$165,MATCH(MID($B3205,4,2),DanhMuc!$B$154:$B$165,0)),""),"")</f>
        <v/>
      </c>
      <c r="V3205" s="361"/>
      <c r="W3205" s="345"/>
      <c r="X3205" s="329" t="str">
        <f t="shared" si="315"/>
        <v>DR</v>
      </c>
      <c r="Y3205" s="1128" t="s">
        <v>3380</v>
      </c>
      <c r="Z3205" s="1128" t="s">
        <v>3381</v>
      </c>
      <c r="AA3205" s="1128" t="s">
        <v>3384</v>
      </c>
      <c r="AB3205" s="20"/>
      <c r="AC3205" s="73"/>
    </row>
    <row r="3206" spans="1:29" ht="39">
      <c r="A3206" s="327">
        <f>IF(AND($B3206&lt;&gt;"",$C3206&lt;&gt;""),MAX($A$1556:A3205)+1,"")</f>
        <v>163</v>
      </c>
      <c r="B3206" s="359" t="s">
        <v>2887</v>
      </c>
      <c r="C3206" s="360" t="s">
        <v>1548</v>
      </c>
      <c r="D3206" s="327">
        <f>IF($B3206="","",COUNTIF($B$6:$B3206,$B3206))</f>
        <v>1</v>
      </c>
      <c r="E3206" s="361" t="s">
        <v>2952</v>
      </c>
      <c r="F3206" s="362" t="s">
        <v>2920</v>
      </c>
      <c r="G3206" s="327" t="s">
        <v>155</v>
      </c>
      <c r="H3206" s="327"/>
      <c r="I3206" s="327">
        <v>2</v>
      </c>
      <c r="J3206" s="359"/>
      <c r="K3206" s="327"/>
      <c r="L3206" s="389">
        <v>33329</v>
      </c>
      <c r="M3206" s="371"/>
      <c r="N3206" s="355" t="s">
        <v>153</v>
      </c>
      <c r="O3206" s="404" t="s">
        <v>1781</v>
      </c>
      <c r="P3206" s="392"/>
      <c r="Q3206" s="327"/>
      <c r="R3206" s="351"/>
      <c r="S3206" s="351"/>
      <c r="T3206" s="351"/>
      <c r="U3206" s="329" t="str">
        <f>IF($N3206=$N$4,IFERROR(INDEX(DanhMuc!$E$154:$E$165,MATCH(MID($B3206,4,2),DanhMuc!$B$154:$B$165,0)),""),"")</f>
        <v/>
      </c>
      <c r="V3206" s="361"/>
      <c r="W3206" s="345"/>
      <c r="X3206" s="329" t="str">
        <f t="shared" si="315"/>
        <v>DR</v>
      </c>
      <c r="Y3206" s="1128" t="s">
        <v>3380</v>
      </c>
      <c r="Z3206" s="1128" t="s">
        <v>3381</v>
      </c>
      <c r="AA3206" s="1128" t="s">
        <v>3384</v>
      </c>
      <c r="AB3206" s="20"/>
      <c r="AC3206" s="73"/>
    </row>
    <row r="3207" spans="1:29">
      <c r="A3207" s="327" t="str">
        <f>IF(AND($B3207&lt;&gt;"",$C3207&lt;&gt;""),MAX($A$1556:A3206)+1,"")</f>
        <v/>
      </c>
      <c r="B3207" s="361" t="s">
        <v>2887</v>
      </c>
      <c r="C3207" s="360"/>
      <c r="D3207" s="327">
        <f>IF($B3207="","",COUNTIF($B$6:$B3207,$B3207))</f>
        <v>2</v>
      </c>
      <c r="E3207" s="361" t="s">
        <v>2918</v>
      </c>
      <c r="F3207" s="362" t="s">
        <v>2919</v>
      </c>
      <c r="G3207" s="327" t="s">
        <v>155</v>
      </c>
      <c r="H3207" s="327"/>
      <c r="I3207" s="327">
        <v>2</v>
      </c>
      <c r="J3207" s="359"/>
      <c r="K3207" s="327"/>
      <c r="L3207" s="389">
        <v>5389</v>
      </c>
      <c r="M3207" s="371"/>
      <c r="N3207" s="355" t="s">
        <v>153</v>
      </c>
      <c r="O3207" s="404" t="s">
        <v>1781</v>
      </c>
      <c r="P3207" s="392"/>
      <c r="Q3207" s="327"/>
      <c r="R3207" s="351"/>
      <c r="S3207" s="351"/>
      <c r="T3207" s="351"/>
      <c r="U3207" s="329" t="str">
        <f>IF($N3207=$N$4,IFERROR(INDEX(DanhMuc!$E$154:$E$165,MATCH(MID($B3207,4,2),DanhMuc!$B$154:$B$165,0)),""),"")</f>
        <v/>
      </c>
      <c r="V3207" s="361"/>
      <c r="W3207" s="345"/>
      <c r="X3207" s="329" t="str">
        <f t="shared" si="315"/>
        <v>DR</v>
      </c>
      <c r="Y3207" s="1128" t="s">
        <v>3380</v>
      </c>
      <c r="Z3207" s="1128" t="s">
        <v>3381</v>
      </c>
      <c r="AA3207" s="1128" t="s">
        <v>3384</v>
      </c>
      <c r="AB3207" s="20"/>
      <c r="AC3207" s="73"/>
    </row>
    <row r="3208" spans="1:29">
      <c r="A3208" s="327" t="str">
        <f>IF(AND($B3208&lt;&gt;"",$C3208&lt;&gt;""),MAX($A$1556:A3207)+1,"")</f>
        <v/>
      </c>
      <c r="B3208" s="361" t="s">
        <v>2887</v>
      </c>
      <c r="C3208" s="360"/>
      <c r="D3208" s="327">
        <f>IF($B3208="","",COUNTIF($B$6:$B3208,$B3208))</f>
        <v>3</v>
      </c>
      <c r="E3208" s="362" t="s">
        <v>2969</v>
      </c>
      <c r="F3208" s="362" t="s">
        <v>2970</v>
      </c>
      <c r="G3208" s="327" t="s">
        <v>155</v>
      </c>
      <c r="H3208" s="327"/>
      <c r="I3208" s="327">
        <v>2</v>
      </c>
      <c r="J3208" s="359"/>
      <c r="K3208" s="327"/>
      <c r="L3208" s="389">
        <v>25815</v>
      </c>
      <c r="M3208" s="371"/>
      <c r="N3208" s="355" t="s">
        <v>153</v>
      </c>
      <c r="O3208" s="404" t="s">
        <v>1971</v>
      </c>
      <c r="P3208" s="392"/>
      <c r="Q3208" s="327"/>
      <c r="R3208" s="351"/>
      <c r="S3208" s="351"/>
      <c r="T3208" s="351"/>
      <c r="U3208" s="329" t="str">
        <f>IF($N3208=$N$4,IFERROR(INDEX(DanhMuc!$E$154:$E$165,MATCH(MID($B3208,4,2),DanhMuc!$B$154:$B$165,0)),""),"")</f>
        <v/>
      </c>
      <c r="V3208" s="361"/>
      <c r="W3208" s="345"/>
      <c r="X3208" s="329" t="str">
        <f t="shared" si="315"/>
        <v>DR</v>
      </c>
      <c r="Y3208" s="1128" t="s">
        <v>3380</v>
      </c>
      <c r="Z3208" s="1128" t="s">
        <v>3381</v>
      </c>
      <c r="AA3208" s="1128" t="s">
        <v>3384</v>
      </c>
      <c r="AB3208" s="20"/>
      <c r="AC3208" s="73"/>
    </row>
    <row r="3209" spans="1:29">
      <c r="A3209" s="327" t="str">
        <f>IF(AND($B3209&lt;&gt;"",$C3209&lt;&gt;""),MAX($A$1556:A3208)+1,"")</f>
        <v/>
      </c>
      <c r="B3209" s="361" t="s">
        <v>2887</v>
      </c>
      <c r="C3209" s="360"/>
      <c r="D3209" s="327">
        <f>IF($B3209="","",COUNTIF($B$6:$B3209,$B3209))</f>
        <v>4</v>
      </c>
      <c r="E3209" s="362" t="s">
        <v>2969</v>
      </c>
      <c r="F3209" s="362" t="s">
        <v>2971</v>
      </c>
      <c r="G3209" s="327" t="s">
        <v>155</v>
      </c>
      <c r="H3209" s="327"/>
      <c r="I3209" s="327">
        <v>2</v>
      </c>
      <c r="J3209" s="359"/>
      <c r="K3209" s="327"/>
      <c r="L3209" s="389">
        <v>25815</v>
      </c>
      <c r="M3209" s="371"/>
      <c r="N3209" s="355" t="s">
        <v>153</v>
      </c>
      <c r="O3209" s="404" t="s">
        <v>1972</v>
      </c>
      <c r="P3209" s="392"/>
      <c r="Q3209" s="327"/>
      <c r="R3209" s="351"/>
      <c r="S3209" s="351"/>
      <c r="T3209" s="351"/>
      <c r="U3209" s="329" t="str">
        <f>IF($N3209=$N$4,IFERROR(INDEX(DanhMuc!$E$154:$E$165,MATCH(MID($B3209,4,2),DanhMuc!$B$154:$B$165,0)),""),"")</f>
        <v/>
      </c>
      <c r="V3209" s="361"/>
      <c r="W3209" s="345"/>
      <c r="X3209" s="329" t="str">
        <f t="shared" si="315"/>
        <v>DR</v>
      </c>
      <c r="Y3209" s="1128" t="s">
        <v>3380</v>
      </c>
      <c r="Z3209" s="1128" t="s">
        <v>3381</v>
      </c>
      <c r="AA3209" s="1128" t="s">
        <v>3384</v>
      </c>
      <c r="AB3209" s="20"/>
      <c r="AC3209" s="73"/>
    </row>
    <row r="3210" spans="1:29">
      <c r="A3210" s="327" t="str">
        <f>IF(AND($B3210&lt;&gt;"",$C3210&lt;&gt;""),MAX($A$1556:A3208)+1,"")</f>
        <v/>
      </c>
      <c r="B3210" s="361" t="s">
        <v>2887</v>
      </c>
      <c r="C3210" s="360"/>
      <c r="D3210" s="327">
        <f>IF($B3210="","",COUNTIF($B$6:$B3210,$B3210))</f>
        <v>5</v>
      </c>
      <c r="E3210" s="361" t="s">
        <v>2953</v>
      </c>
      <c r="F3210" s="362" t="s">
        <v>1970</v>
      </c>
      <c r="G3210" s="327" t="s">
        <v>155</v>
      </c>
      <c r="H3210" s="327"/>
      <c r="I3210" s="327">
        <v>2</v>
      </c>
      <c r="J3210" s="359"/>
      <c r="K3210" s="327"/>
      <c r="L3210" s="389">
        <v>2933</v>
      </c>
      <c r="M3210" s="371"/>
      <c r="N3210" s="355" t="s">
        <v>153</v>
      </c>
      <c r="O3210" s="404" t="s">
        <v>1780</v>
      </c>
      <c r="P3210" s="392"/>
      <c r="Q3210" s="327"/>
      <c r="R3210" s="351"/>
      <c r="S3210" s="351"/>
      <c r="T3210" s="351"/>
      <c r="U3210" s="329" t="str">
        <f>IF($N3210=$N$4,IFERROR(INDEX(DanhMuc!$E$154:$E$165,MATCH(MID($B3210,4,2),DanhMuc!$B$154:$B$165,0)),""),"")</f>
        <v/>
      </c>
      <c r="V3210" s="361"/>
      <c r="W3210" s="345"/>
      <c r="X3210" s="329" t="str">
        <f t="shared" si="315"/>
        <v>DR</v>
      </c>
      <c r="Y3210" s="1128" t="s">
        <v>3380</v>
      </c>
      <c r="Z3210" s="1128" t="s">
        <v>3381</v>
      </c>
      <c r="AA3210" s="1128" t="s">
        <v>3384</v>
      </c>
      <c r="AB3210" s="20"/>
      <c r="AC3210" s="73"/>
    </row>
    <row r="3211" spans="1:29">
      <c r="A3211" s="327" t="str">
        <f>IF(AND($B3211&lt;&gt;"",$C3211&lt;&gt;""),MAX($A$1556:A3210)+1,"")</f>
        <v/>
      </c>
      <c r="B3211" s="361" t="s">
        <v>2887</v>
      </c>
      <c r="C3211" s="360"/>
      <c r="D3211" s="327">
        <f>IF($B3211="","",COUNTIF($B$6:$B3211,$B3211))</f>
        <v>6</v>
      </c>
      <c r="E3211" s="361" t="s">
        <v>2952</v>
      </c>
      <c r="F3211" s="362" t="s">
        <v>2920</v>
      </c>
      <c r="G3211" s="327" t="s">
        <v>155</v>
      </c>
      <c r="H3211" s="327"/>
      <c r="I3211" s="327">
        <v>1</v>
      </c>
      <c r="J3211" s="359"/>
      <c r="K3211" s="327"/>
      <c r="L3211" s="389">
        <v>33329</v>
      </c>
      <c r="M3211" s="371"/>
      <c r="N3211" s="355" t="s">
        <v>153</v>
      </c>
      <c r="O3211" s="404" t="s">
        <v>1782</v>
      </c>
      <c r="P3211" s="392"/>
      <c r="Q3211" s="327"/>
      <c r="R3211" s="351"/>
      <c r="S3211" s="351"/>
      <c r="T3211" s="351"/>
      <c r="U3211" s="329" t="str">
        <f>IF($N3211=$N$4,IFERROR(INDEX(DanhMuc!$E$154:$E$165,MATCH(MID($B3211,4,2),DanhMuc!$B$154:$B$165,0)),""),"")</f>
        <v/>
      </c>
      <c r="V3211" s="361"/>
      <c r="W3211" s="345"/>
      <c r="X3211" s="329" t="str">
        <f t="shared" si="315"/>
        <v>DR</v>
      </c>
      <c r="Y3211" s="1128" t="s">
        <v>3380</v>
      </c>
      <c r="Z3211" s="1128" t="s">
        <v>3381</v>
      </c>
      <c r="AA3211" s="1128" t="s">
        <v>3384</v>
      </c>
      <c r="AB3211" s="20"/>
      <c r="AC3211" s="73"/>
    </row>
    <row r="3212" spans="1:29">
      <c r="A3212" s="327" t="str">
        <f>IF(AND($B3212&lt;&gt;"",$C3212&lt;&gt;""),MAX($A$1556:A3211)+1,"")</f>
        <v/>
      </c>
      <c r="B3212" s="361" t="s">
        <v>2887</v>
      </c>
      <c r="C3212" s="360"/>
      <c r="D3212" s="327">
        <f>IF($B3212="","",COUNTIF($B$6:$B3212,$B3212))</f>
        <v>7</v>
      </c>
      <c r="E3212" s="361" t="s">
        <v>2918</v>
      </c>
      <c r="F3212" s="362" t="s">
        <v>2919</v>
      </c>
      <c r="G3212" s="327" t="s">
        <v>155</v>
      </c>
      <c r="H3212" s="327"/>
      <c r="I3212" s="327">
        <v>1</v>
      </c>
      <c r="J3212" s="359"/>
      <c r="K3212" s="327"/>
      <c r="L3212" s="389">
        <v>5389</v>
      </c>
      <c r="M3212" s="371"/>
      <c r="N3212" s="355" t="s">
        <v>153</v>
      </c>
      <c r="O3212" s="404" t="s">
        <v>1782</v>
      </c>
      <c r="P3212" s="392"/>
      <c r="Q3212" s="327"/>
      <c r="R3212" s="351"/>
      <c r="S3212" s="351"/>
      <c r="T3212" s="351"/>
      <c r="U3212" s="329" t="str">
        <f>IF($N3212=$N$4,IFERROR(INDEX(DanhMuc!$E$154:$E$165,MATCH(MID($B3212,4,2),DanhMuc!$B$154:$B$165,0)),""),"")</f>
        <v/>
      </c>
      <c r="V3212" s="361"/>
      <c r="W3212" s="345"/>
      <c r="X3212" s="329" t="str">
        <f t="shared" si="315"/>
        <v>DR</v>
      </c>
      <c r="Y3212" s="1128" t="s">
        <v>3380</v>
      </c>
      <c r="Z3212" s="1128" t="s">
        <v>3381</v>
      </c>
      <c r="AA3212" s="1128" t="s">
        <v>3384</v>
      </c>
      <c r="AB3212" s="20"/>
      <c r="AC3212" s="73"/>
    </row>
    <row r="3213" spans="1:29" ht="25">
      <c r="A3213" s="327" t="str">
        <f>IF(AND($B3213&lt;&gt;"",$C3213&lt;&gt;""),MAX($A$1556:A3207)+1,"")</f>
        <v/>
      </c>
      <c r="B3213" s="361" t="s">
        <v>2887</v>
      </c>
      <c r="C3213" s="360"/>
      <c r="D3213" s="327">
        <f>IF($B3213="","",COUNTIF($B$6:$B3213,$B3213))</f>
        <v>8</v>
      </c>
      <c r="E3213" s="361" t="s">
        <v>2921</v>
      </c>
      <c r="F3213" s="362" t="s">
        <v>210</v>
      </c>
      <c r="G3213" s="327" t="s">
        <v>155</v>
      </c>
      <c r="H3213" s="327"/>
      <c r="I3213" s="327">
        <v>1</v>
      </c>
      <c r="J3213" s="359"/>
      <c r="K3213" s="327"/>
      <c r="L3213" s="389">
        <v>68884</v>
      </c>
      <c r="M3213" s="371"/>
      <c r="N3213" s="355" t="s">
        <v>153</v>
      </c>
      <c r="O3213" s="404" t="s">
        <v>1782</v>
      </c>
      <c r="P3213" s="392"/>
      <c r="Q3213" s="327"/>
      <c r="R3213" s="351"/>
      <c r="S3213" s="351"/>
      <c r="T3213" s="351"/>
      <c r="U3213" s="329" t="str">
        <f>IF($N3213=$N$4,IFERROR(INDEX(DanhMuc!$E$154:$E$165,MATCH(MID($B3213,4,2),DanhMuc!$B$154:$B$165,0)),""),"")</f>
        <v/>
      </c>
      <c r="V3213" s="361"/>
      <c r="W3213" s="345"/>
      <c r="X3213" s="329" t="str">
        <f t="shared" si="315"/>
        <v>DR</v>
      </c>
      <c r="Y3213" s="1128" t="s">
        <v>3380</v>
      </c>
      <c r="Z3213" s="1128" t="s">
        <v>3381</v>
      </c>
      <c r="AA3213" s="1128" t="s">
        <v>3384</v>
      </c>
      <c r="AB3213" s="20"/>
      <c r="AC3213" s="73"/>
    </row>
    <row r="3214" spans="1:29" ht="50">
      <c r="A3214" s="327" t="str">
        <f>IF(AND($B3214&lt;&gt;"",$C3214&lt;&gt;""),MAX($A$1556:A3213)+1,"")</f>
        <v/>
      </c>
      <c r="B3214" s="361" t="s">
        <v>2887</v>
      </c>
      <c r="C3214" s="360"/>
      <c r="D3214" s="327">
        <f>IF($B3214="","",COUNTIF($B$6:$B3214,$B3214))</f>
        <v>9</v>
      </c>
      <c r="E3214" s="403" t="s">
        <v>2973</v>
      </c>
      <c r="F3214" s="403" t="s">
        <v>953</v>
      </c>
      <c r="G3214" s="410" t="s">
        <v>156</v>
      </c>
      <c r="H3214" s="327" t="s">
        <v>536</v>
      </c>
      <c r="I3214" s="411" t="s">
        <v>2856</v>
      </c>
      <c r="J3214" s="404"/>
      <c r="K3214" s="410"/>
      <c r="L3214" s="389">
        <v>49122</v>
      </c>
      <c r="M3214" s="371"/>
      <c r="N3214" s="355" t="s">
        <v>153</v>
      </c>
      <c r="O3214" s="404" t="s">
        <v>1782</v>
      </c>
      <c r="P3214" s="392"/>
      <c r="Q3214" s="327"/>
      <c r="R3214" s="351"/>
      <c r="S3214" s="351"/>
      <c r="T3214" s="351"/>
      <c r="U3214" s="329" t="str">
        <f>IF($N3214=$N$4,IFERROR(INDEX(DanhMuc!$E$154:$E$165,MATCH(MID($B3214,4,2),DanhMuc!$B$154:$B$165,0)),""),"")</f>
        <v/>
      </c>
      <c r="V3214" s="361"/>
      <c r="W3214" s="345"/>
      <c r="X3214" s="329" t="str">
        <f t="shared" si="315"/>
        <v>DR</v>
      </c>
      <c r="Y3214" s="1128" t="s">
        <v>3380</v>
      </c>
      <c r="Z3214" s="1128" t="s">
        <v>3381</v>
      </c>
      <c r="AA3214" s="1128" t="s">
        <v>3384</v>
      </c>
      <c r="AB3214" s="20"/>
      <c r="AC3214" s="73"/>
    </row>
    <row r="3215" spans="1:29" ht="50">
      <c r="A3215" s="327" t="str">
        <f>IF(AND($B3215&lt;&gt;"",$C3215&lt;&gt;""),MAX($A$1556:A3213)+1,"")</f>
        <v/>
      </c>
      <c r="B3215" s="361" t="s">
        <v>2887</v>
      </c>
      <c r="C3215" s="360"/>
      <c r="D3215" s="327">
        <f>IF($B3215="","",COUNTIF($B$6:$B3215,$B3215))</f>
        <v>10</v>
      </c>
      <c r="E3215" s="403" t="s">
        <v>2974</v>
      </c>
      <c r="F3215" s="403" t="s">
        <v>1059</v>
      </c>
      <c r="G3215" s="410" t="s">
        <v>156</v>
      </c>
      <c r="H3215" s="327" t="s">
        <v>536</v>
      </c>
      <c r="I3215" s="411" t="s">
        <v>2853</v>
      </c>
      <c r="J3215" s="404"/>
      <c r="K3215" s="410"/>
      <c r="L3215" s="389">
        <v>59067</v>
      </c>
      <c r="M3215" s="371"/>
      <c r="N3215" s="355" t="s">
        <v>153</v>
      </c>
      <c r="O3215" s="404" t="s">
        <v>1782</v>
      </c>
      <c r="P3215" s="392"/>
      <c r="Q3215" s="327"/>
      <c r="R3215" s="351"/>
      <c r="S3215" s="351"/>
      <c r="T3215" s="351"/>
      <c r="U3215" s="329" t="str">
        <f>IF($N3215=$N$4,IFERROR(INDEX(DanhMuc!$E$154:$E$165,MATCH(MID($B3215,4,2),DanhMuc!$B$154:$B$165,0)),""),"")</f>
        <v/>
      </c>
      <c r="V3215" s="361"/>
      <c r="W3215" s="345"/>
      <c r="X3215" s="329" t="str">
        <f t="shared" si="315"/>
        <v>DR</v>
      </c>
      <c r="Y3215" s="1128" t="s">
        <v>3380</v>
      </c>
      <c r="Z3215" s="1128" t="s">
        <v>3381</v>
      </c>
      <c r="AA3215" s="1128" t="s">
        <v>3384</v>
      </c>
      <c r="AB3215" s="20"/>
      <c r="AC3215" s="73"/>
    </row>
    <row r="3216" spans="1:29" ht="50">
      <c r="A3216" s="327" t="str">
        <f>IF(AND($B3216&lt;&gt;"",$C3216&lt;&gt;""),MAX($A$1556:A3214)+1,"")</f>
        <v/>
      </c>
      <c r="B3216" s="361" t="s">
        <v>2887</v>
      </c>
      <c r="C3216" s="360"/>
      <c r="D3216" s="327">
        <f>IF($B3216="","",COUNTIF($B$6:$B3216,$B3216))</f>
        <v>11</v>
      </c>
      <c r="E3216" s="403" t="s">
        <v>2987</v>
      </c>
      <c r="F3216" s="403" t="s">
        <v>956</v>
      </c>
      <c r="G3216" s="410" t="s">
        <v>156</v>
      </c>
      <c r="H3216" s="327" t="s">
        <v>536</v>
      </c>
      <c r="I3216" s="411" t="s">
        <v>2854</v>
      </c>
      <c r="J3216" s="404"/>
      <c r="K3216" s="410"/>
      <c r="L3216" s="389">
        <v>77078</v>
      </c>
      <c r="M3216" s="371"/>
      <c r="N3216" s="355" t="s">
        <v>153</v>
      </c>
      <c r="O3216" s="404" t="s">
        <v>1782</v>
      </c>
      <c r="P3216" s="392"/>
      <c r="Q3216" s="327"/>
      <c r="R3216" s="351"/>
      <c r="S3216" s="351"/>
      <c r="T3216" s="351"/>
      <c r="U3216" s="329" t="str">
        <f>IF($N3216=$N$4,IFERROR(INDEX(DanhMuc!$E$154:$E$165,MATCH(MID($B3216,4,2),DanhMuc!$B$154:$B$165,0)),""),"")</f>
        <v/>
      </c>
      <c r="V3216" s="361"/>
      <c r="W3216" s="345"/>
      <c r="X3216" s="329" t="str">
        <f t="shared" si="315"/>
        <v>DR</v>
      </c>
      <c r="Y3216" s="1128" t="s">
        <v>3380</v>
      </c>
      <c r="Z3216" s="1128" t="s">
        <v>3381</v>
      </c>
      <c r="AA3216" s="1128" t="s">
        <v>3384</v>
      </c>
      <c r="AB3216" s="20"/>
      <c r="AC3216" s="73"/>
    </row>
    <row r="3217" spans="1:29" ht="50">
      <c r="A3217" s="327" t="str">
        <f>IF(AND($B3217&lt;&gt;"",$C3217&lt;&gt;""),MAX($A$1556:A3215)+1,"")</f>
        <v/>
      </c>
      <c r="B3217" s="361" t="s">
        <v>2887</v>
      </c>
      <c r="C3217" s="360"/>
      <c r="D3217" s="327">
        <f>IF($B3217="","",COUNTIF($B$6:$B3217,$B3217))</f>
        <v>12</v>
      </c>
      <c r="E3217" s="403" t="s">
        <v>2975</v>
      </c>
      <c r="F3217" s="403" t="s">
        <v>183</v>
      </c>
      <c r="G3217" s="410" t="s">
        <v>156</v>
      </c>
      <c r="H3217" s="327" t="s">
        <v>536</v>
      </c>
      <c r="I3217" s="411" t="s">
        <v>2855</v>
      </c>
      <c r="J3217" s="404"/>
      <c r="K3217" s="410"/>
      <c r="L3217" s="415">
        <v>77078</v>
      </c>
      <c r="M3217" s="371"/>
      <c r="N3217" s="355" t="s">
        <v>153</v>
      </c>
      <c r="O3217" s="404" t="s">
        <v>1782</v>
      </c>
      <c r="P3217" s="392"/>
      <c r="Q3217" s="327"/>
      <c r="R3217" s="351"/>
      <c r="S3217" s="351"/>
      <c r="T3217" s="351"/>
      <c r="U3217" s="329" t="str">
        <f>IF($N3217=$N$4,IFERROR(INDEX(DanhMuc!$E$154:$E$165,MATCH(MID($B3217,4,2),DanhMuc!$B$154:$B$165,0)),""),"")</f>
        <v/>
      </c>
      <c r="V3217" s="361"/>
      <c r="W3217" s="345"/>
      <c r="X3217" s="329" t="str">
        <f t="shared" si="315"/>
        <v>DR</v>
      </c>
      <c r="Y3217" s="1128" t="s">
        <v>3380</v>
      </c>
      <c r="Z3217" s="1128" t="s">
        <v>3381</v>
      </c>
      <c r="AA3217" s="1128" t="s">
        <v>3384</v>
      </c>
      <c r="AB3217" s="20"/>
      <c r="AC3217" s="73"/>
    </row>
    <row r="3218" spans="1:29">
      <c r="A3218" s="327" t="str">
        <f>IF(AND($B3218&lt;&gt;"",$C3218&lt;&gt;""),MAX($A$1556:A3216)+1,"")</f>
        <v/>
      </c>
      <c r="B3218" s="361" t="s">
        <v>2887</v>
      </c>
      <c r="C3218" s="360"/>
      <c r="D3218" s="327">
        <f>IF($B3218="","",COUNTIF($B$6:$B3218,$B3218))</f>
        <v>13</v>
      </c>
      <c r="E3218" s="361" t="s">
        <v>2922</v>
      </c>
      <c r="F3218" s="362" t="s">
        <v>981</v>
      </c>
      <c r="G3218" s="327" t="s">
        <v>155</v>
      </c>
      <c r="H3218" s="327" t="s">
        <v>536</v>
      </c>
      <c r="I3218" s="327">
        <v>2</v>
      </c>
      <c r="J3218" s="359"/>
      <c r="K3218" s="327"/>
      <c r="L3218" s="389">
        <v>4514</v>
      </c>
      <c r="M3218" s="371"/>
      <c r="N3218" s="355" t="str">
        <f t="shared" ref="N3218:N3226" si="319">+$N$1555</f>
        <v>PK</v>
      </c>
      <c r="O3218" s="404" t="s">
        <v>1782</v>
      </c>
      <c r="P3218" s="392"/>
      <c r="Q3218" s="327"/>
      <c r="R3218" s="351"/>
      <c r="S3218" s="351"/>
      <c r="T3218" s="351"/>
      <c r="U3218" s="329" t="str">
        <f>IF($N3218=$N$4,IFERROR(INDEX(DanhMuc!$E$154:$E$165,MATCH(MID($B3218,4,2),DanhMuc!$B$154:$B$165,0)),""),"")</f>
        <v/>
      </c>
      <c r="V3218" s="361"/>
      <c r="W3218" s="345"/>
      <c r="X3218" s="329" t="str">
        <f t="shared" si="315"/>
        <v>DR</v>
      </c>
      <c r="Y3218" s="1128" t="s">
        <v>3380</v>
      </c>
      <c r="Z3218" s="1128" t="s">
        <v>3381</v>
      </c>
      <c r="AA3218" s="1128" t="s">
        <v>3384</v>
      </c>
      <c r="AB3218" s="20"/>
      <c r="AC3218" s="73"/>
    </row>
    <row r="3219" spans="1:29">
      <c r="A3219" s="327" t="str">
        <f>IF(AND($B3219&lt;&gt;"",$C3219&lt;&gt;""),MAX($A$1556:A3217)+1,"")</f>
        <v/>
      </c>
      <c r="B3219" s="361" t="s">
        <v>2887</v>
      </c>
      <c r="C3219" s="360"/>
      <c r="D3219" s="327">
        <f>IF($B3219="","",COUNTIF($B$6:$B3219,$B3219))</f>
        <v>14</v>
      </c>
      <c r="E3219" s="361" t="s">
        <v>187</v>
      </c>
      <c r="F3219" s="362" t="s">
        <v>189</v>
      </c>
      <c r="G3219" s="327" t="s">
        <v>155</v>
      </c>
      <c r="H3219" s="327"/>
      <c r="I3219" s="327">
        <v>2</v>
      </c>
      <c r="J3219" s="361"/>
      <c r="K3219" s="327"/>
      <c r="L3219" s="389">
        <v>5000</v>
      </c>
      <c r="M3219" s="371"/>
      <c r="N3219" s="355" t="str">
        <f t="shared" si="319"/>
        <v>PK</v>
      </c>
      <c r="O3219" s="345"/>
      <c r="P3219" s="392"/>
      <c r="Q3219" s="327"/>
      <c r="R3219" s="351"/>
      <c r="S3219" s="351"/>
      <c r="T3219" s="351"/>
      <c r="U3219" s="329" t="str">
        <f>IF($N3219=$N$4,IFERROR(INDEX(DanhMuc!$E$154:$E$165,MATCH(MID($B3219,4,2),DanhMuc!$B$154:$B$165,0)),""),"")</f>
        <v/>
      </c>
      <c r="V3219" s="361"/>
      <c r="W3219" s="345"/>
      <c r="X3219" s="329" t="str">
        <f t="shared" si="315"/>
        <v>DR</v>
      </c>
      <c r="Y3219" s="1128" t="s">
        <v>3380</v>
      </c>
      <c r="Z3219" s="1128" t="s">
        <v>3381</v>
      </c>
      <c r="AA3219" s="1128" t="s">
        <v>3384</v>
      </c>
      <c r="AB3219" s="20"/>
      <c r="AC3219" s="73"/>
    </row>
    <row r="3220" spans="1:29">
      <c r="A3220" s="327" t="str">
        <f>IF(AND($B3220&lt;&gt;"",$C3220&lt;&gt;""),MAX($A$1556:A3218)+1,"")</f>
        <v/>
      </c>
      <c r="B3220" s="361" t="s">
        <v>2887</v>
      </c>
      <c r="C3220" s="360"/>
      <c r="D3220" s="327">
        <f>IF($B3220="","",COUNTIF($B$6:$B3220,$B3220))</f>
        <v>15</v>
      </c>
      <c r="E3220" s="361" t="s">
        <v>163</v>
      </c>
      <c r="F3220" s="362" t="s">
        <v>164</v>
      </c>
      <c r="G3220" s="327" t="s">
        <v>155</v>
      </c>
      <c r="H3220" s="327"/>
      <c r="I3220" s="327">
        <v>2</v>
      </c>
      <c r="J3220" s="361"/>
      <c r="K3220" s="327"/>
      <c r="L3220" s="389">
        <v>2500</v>
      </c>
      <c r="M3220" s="371"/>
      <c r="N3220" s="355" t="str">
        <f t="shared" si="319"/>
        <v>PK</v>
      </c>
      <c r="O3220" s="345"/>
      <c r="P3220" s="392"/>
      <c r="Q3220" s="327"/>
      <c r="R3220" s="351"/>
      <c r="S3220" s="351"/>
      <c r="T3220" s="351"/>
      <c r="U3220" s="329" t="str">
        <f>IF($N3220=$N$4,IFERROR(INDEX(DanhMuc!$E$154:$E$165,MATCH(MID($B3220,4,2),DanhMuc!$B$154:$B$165,0)),""),"")</f>
        <v/>
      </c>
      <c r="V3220" s="408" t="s">
        <v>342</v>
      </c>
      <c r="W3220" s="345"/>
      <c r="X3220" s="329" t="str">
        <f t="shared" si="315"/>
        <v>DR</v>
      </c>
      <c r="Y3220" s="1128" t="s">
        <v>3380</v>
      </c>
      <c r="Z3220" s="1128" t="s">
        <v>3381</v>
      </c>
      <c r="AA3220" s="1128" t="s">
        <v>3384</v>
      </c>
      <c r="AB3220" s="20"/>
      <c r="AC3220" s="73"/>
    </row>
    <row r="3221" spans="1:29">
      <c r="A3221" s="327" t="str">
        <f>IF(AND($B3221&lt;&gt;"",$C3221&lt;&gt;""),MAX($A$1556:A3220)+1,"")</f>
        <v/>
      </c>
      <c r="B3221" s="361" t="s">
        <v>2887</v>
      </c>
      <c r="C3221" s="360"/>
      <c r="D3221" s="327">
        <f>IF($B3221="","",COUNTIF($B$6:$B3221,$B3221))</f>
        <v>16</v>
      </c>
      <c r="E3221" s="361" t="s">
        <v>2968</v>
      </c>
      <c r="F3221" s="362" t="s">
        <v>162</v>
      </c>
      <c r="G3221" s="327" t="s">
        <v>155</v>
      </c>
      <c r="H3221" s="327" t="s">
        <v>536</v>
      </c>
      <c r="I3221" s="327">
        <v>6</v>
      </c>
      <c r="J3221" s="361"/>
      <c r="K3221" s="327"/>
      <c r="L3221" s="389">
        <v>12070</v>
      </c>
      <c r="M3221" s="371"/>
      <c r="N3221" s="355" t="str">
        <f t="shared" si="319"/>
        <v>PK</v>
      </c>
      <c r="O3221" s="345" t="s">
        <v>1705</v>
      </c>
      <c r="P3221" s="392"/>
      <c r="Q3221" s="327"/>
      <c r="R3221" s="351"/>
      <c r="S3221" s="351"/>
      <c r="T3221" s="351"/>
      <c r="U3221" s="329" t="str">
        <f>IF($N3221=$N$4,IFERROR(INDEX(DanhMuc!$E$154:$E$165,MATCH(MID($B3221,4,2),DanhMuc!$B$154:$B$165,0)),""),"")</f>
        <v/>
      </c>
      <c r="V3221" s="361"/>
      <c r="W3221" s="345"/>
      <c r="X3221" s="329" t="str">
        <f t="shared" ref="X3221:X3417" si="320">IF($N3221="PR",$E3221,MID($B3221,10,2))</f>
        <v>DR</v>
      </c>
      <c r="Y3221" s="1128" t="s">
        <v>3380</v>
      </c>
      <c r="Z3221" s="1128" t="s">
        <v>3381</v>
      </c>
      <c r="AA3221" s="1128" t="s">
        <v>3384</v>
      </c>
      <c r="AB3221" s="20"/>
      <c r="AC3221" s="73"/>
    </row>
    <row r="3222" spans="1:29">
      <c r="A3222" s="327" t="str">
        <f>IF(AND($B3222&lt;&gt;"",$C3222&lt;&gt;""),MAX($A$1556:A3220)+1,"")</f>
        <v/>
      </c>
      <c r="B3222" s="361" t="s">
        <v>2887</v>
      </c>
      <c r="C3222" s="360"/>
      <c r="D3222" s="327">
        <f>IF($B3222="","",COUNTIF($B$6:$B3222,$B3222))</f>
        <v>17</v>
      </c>
      <c r="E3222" s="361" t="s">
        <v>2923</v>
      </c>
      <c r="F3222" s="362" t="s">
        <v>186</v>
      </c>
      <c r="G3222" s="327" t="s">
        <v>155</v>
      </c>
      <c r="H3222" s="327" t="s">
        <v>536</v>
      </c>
      <c r="I3222" s="327">
        <v>6</v>
      </c>
      <c r="J3222" s="361"/>
      <c r="K3222" s="327"/>
      <c r="L3222" s="389">
        <v>40308</v>
      </c>
      <c r="M3222" s="371"/>
      <c r="N3222" s="355" t="str">
        <f t="shared" si="319"/>
        <v>PK</v>
      </c>
      <c r="O3222" s="345" t="s">
        <v>1704</v>
      </c>
      <c r="P3222" s="392"/>
      <c r="Q3222" s="327"/>
      <c r="R3222" s="351"/>
      <c r="S3222" s="351"/>
      <c r="T3222" s="351"/>
      <c r="U3222" s="329" t="str">
        <f>IF($N3222=$N$4,IFERROR(INDEX(DanhMuc!$E$154:$E$165,MATCH(MID($B3222,4,2),DanhMuc!$B$154:$B$165,0)),""),"")</f>
        <v/>
      </c>
      <c r="V3222" s="361"/>
      <c r="W3222" s="345"/>
      <c r="X3222" s="329" t="str">
        <f t="shared" si="320"/>
        <v>DR</v>
      </c>
      <c r="Y3222" s="1128" t="s">
        <v>3380</v>
      </c>
      <c r="Z3222" s="1128" t="s">
        <v>3381</v>
      </c>
      <c r="AA3222" s="1128" t="s">
        <v>3384</v>
      </c>
      <c r="AB3222" s="20"/>
      <c r="AC3222" s="73"/>
    </row>
    <row r="3223" spans="1:29">
      <c r="A3223" s="327" t="str">
        <f>IF(AND($B3223&lt;&gt;"",$C3223&lt;&gt;""),MAX($A$1556:A3222)+1,"")</f>
        <v/>
      </c>
      <c r="B3223" s="361" t="s">
        <v>2887</v>
      </c>
      <c r="C3223" s="360"/>
      <c r="D3223" s="327">
        <f>IF($B3223="","",COUNTIF($B$6:$B3223,$B3223))</f>
        <v>18</v>
      </c>
      <c r="E3223" s="361" t="s">
        <v>165</v>
      </c>
      <c r="F3223" s="362" t="s">
        <v>166</v>
      </c>
      <c r="G3223" s="327" t="s">
        <v>155</v>
      </c>
      <c r="H3223" s="327"/>
      <c r="I3223" s="327">
        <v>2</v>
      </c>
      <c r="J3223" s="361"/>
      <c r="K3223" s="327"/>
      <c r="L3223" s="389">
        <v>1700</v>
      </c>
      <c r="M3223" s="371"/>
      <c r="N3223" s="355" t="str">
        <f t="shared" si="319"/>
        <v>PK</v>
      </c>
      <c r="O3223" s="345"/>
      <c r="P3223" s="392"/>
      <c r="Q3223" s="327"/>
      <c r="R3223" s="351"/>
      <c r="S3223" s="351"/>
      <c r="T3223" s="351"/>
      <c r="U3223" s="329" t="str">
        <f>IF($N3223=$N$4,IFERROR(INDEX(DanhMuc!$E$154:$E$165,MATCH(MID($B3223,4,2),DanhMuc!$B$154:$B$165,0)),""),"")</f>
        <v/>
      </c>
      <c r="V3223" s="361"/>
      <c r="W3223" s="345"/>
      <c r="X3223" s="329" t="str">
        <f t="shared" si="320"/>
        <v>DR</v>
      </c>
      <c r="Y3223" s="1128" t="s">
        <v>3380</v>
      </c>
      <c r="Z3223" s="1128" t="s">
        <v>3381</v>
      </c>
      <c r="AA3223" s="1128" t="s">
        <v>3384</v>
      </c>
      <c r="AB3223" s="20"/>
      <c r="AC3223" s="73"/>
    </row>
    <row r="3224" spans="1:29">
      <c r="A3224" s="327" t="str">
        <f>IF(AND($B3224&lt;&gt;"",$C3224&lt;&gt;""),MAX($A$1556:A3223)+1,"")</f>
        <v/>
      </c>
      <c r="B3224" s="361" t="s">
        <v>2887</v>
      </c>
      <c r="C3224" s="360"/>
      <c r="D3224" s="327">
        <f>IF($B3224="","",COUNTIF($B$6:$B3224,$B3224))</f>
        <v>19</v>
      </c>
      <c r="E3224" s="361" t="s">
        <v>167</v>
      </c>
      <c r="F3224" s="362" t="s">
        <v>168</v>
      </c>
      <c r="G3224" s="327" t="s">
        <v>155</v>
      </c>
      <c r="H3224" s="327"/>
      <c r="I3224" s="327">
        <v>2</v>
      </c>
      <c r="J3224" s="361"/>
      <c r="K3224" s="327"/>
      <c r="L3224" s="389">
        <v>1700</v>
      </c>
      <c r="M3224" s="371"/>
      <c r="N3224" s="355" t="str">
        <f t="shared" si="319"/>
        <v>PK</v>
      </c>
      <c r="O3224" s="345"/>
      <c r="P3224" s="392"/>
      <c r="Q3224" s="327"/>
      <c r="R3224" s="351"/>
      <c r="S3224" s="351"/>
      <c r="T3224" s="351"/>
      <c r="U3224" s="329" t="str">
        <f>IF($N3224=$N$4,IFERROR(INDEX(DanhMuc!$E$154:$E$165,MATCH(MID($B3224,4,2),DanhMuc!$B$154:$B$165,0)),""),"")</f>
        <v/>
      </c>
      <c r="V3224" s="361"/>
      <c r="W3224" s="345"/>
      <c r="X3224" s="329" t="str">
        <f t="shared" si="320"/>
        <v>DR</v>
      </c>
      <c r="Y3224" s="1128" t="s">
        <v>3380</v>
      </c>
      <c r="Z3224" s="1128" t="s">
        <v>3381</v>
      </c>
      <c r="AA3224" s="1128" t="s">
        <v>3384</v>
      </c>
      <c r="AB3224" s="20"/>
      <c r="AC3224" s="73"/>
    </row>
    <row r="3225" spans="1:29">
      <c r="A3225" s="327" t="str">
        <f>IF(AND($B3225&lt;&gt;"",$C3225&lt;&gt;""),MAX($A$1556:A3224)+1,"")</f>
        <v/>
      </c>
      <c r="B3225" s="361" t="s">
        <v>2887</v>
      </c>
      <c r="C3225" s="360"/>
      <c r="D3225" s="327">
        <f>IF($B3225="","",COUNTIF($B$6:$B3225,$B3225))</f>
        <v>20</v>
      </c>
      <c r="E3225" s="361" t="s">
        <v>169</v>
      </c>
      <c r="F3225" s="362" t="s">
        <v>170</v>
      </c>
      <c r="G3225" s="327" t="s">
        <v>155</v>
      </c>
      <c r="H3225" s="327"/>
      <c r="I3225" s="327">
        <v>4</v>
      </c>
      <c r="J3225" s="361"/>
      <c r="K3225" s="327"/>
      <c r="L3225" s="389">
        <v>1700</v>
      </c>
      <c r="M3225" s="371"/>
      <c r="N3225" s="355" t="str">
        <f t="shared" si="319"/>
        <v>PK</v>
      </c>
      <c r="O3225" s="345"/>
      <c r="P3225" s="392"/>
      <c r="Q3225" s="327"/>
      <c r="R3225" s="351"/>
      <c r="S3225" s="351"/>
      <c r="T3225" s="351"/>
      <c r="U3225" s="329" t="str">
        <f>IF($N3225=$N$4,IFERROR(INDEX(DanhMuc!$E$154:$E$165,MATCH(MID($B3225,4,2),DanhMuc!$B$154:$B$165,0)),""),"")</f>
        <v/>
      </c>
      <c r="V3225" s="361"/>
      <c r="W3225" s="345"/>
      <c r="X3225" s="329" t="str">
        <f t="shared" si="320"/>
        <v>DR</v>
      </c>
      <c r="Y3225" s="1128" t="s">
        <v>3380</v>
      </c>
      <c r="Z3225" s="1128" t="s">
        <v>3381</v>
      </c>
      <c r="AA3225" s="1128" t="s">
        <v>3384</v>
      </c>
      <c r="AB3225" s="20"/>
      <c r="AC3225" s="73"/>
    </row>
    <row r="3226" spans="1:29">
      <c r="A3226" s="327" t="str">
        <f>IF(AND($B3226&lt;&gt;"",$C3226&lt;&gt;""),MAX($A$1556:A3225)+1,"")</f>
        <v/>
      </c>
      <c r="B3226" s="361" t="s">
        <v>2887</v>
      </c>
      <c r="C3226" s="360"/>
      <c r="D3226" s="327">
        <f>IF($B3226="","",COUNTIF($B$6:$B3226,$B3226))</f>
        <v>21</v>
      </c>
      <c r="E3226" s="361" t="s">
        <v>171</v>
      </c>
      <c r="F3226" s="362" t="s">
        <v>291</v>
      </c>
      <c r="G3226" s="327" t="s">
        <v>155</v>
      </c>
      <c r="H3226" s="327"/>
      <c r="I3226" s="327">
        <v>4</v>
      </c>
      <c r="J3226" s="361"/>
      <c r="K3226" s="327"/>
      <c r="L3226" s="389">
        <v>1700</v>
      </c>
      <c r="M3226" s="371"/>
      <c r="N3226" s="355" t="str">
        <f t="shared" si="319"/>
        <v>PK</v>
      </c>
      <c r="O3226" s="345"/>
      <c r="P3226" s="392"/>
      <c r="Q3226" s="327"/>
      <c r="R3226" s="351"/>
      <c r="S3226" s="351"/>
      <c r="T3226" s="351"/>
      <c r="U3226" s="329" t="str">
        <f>IF($N3226=$N$4,IFERROR(INDEX(DanhMuc!$E$154:$E$165,MATCH(MID($B3226,4,2),DanhMuc!$B$154:$B$165,0)),""),"")</f>
        <v/>
      </c>
      <c r="V3226" s="361"/>
      <c r="W3226" s="345"/>
      <c r="X3226" s="329" t="str">
        <f t="shared" si="320"/>
        <v>DR</v>
      </c>
      <c r="Y3226" s="1128" t="s">
        <v>3380</v>
      </c>
      <c r="Z3226" s="1128" t="s">
        <v>3381</v>
      </c>
      <c r="AA3226" s="1128" t="s">
        <v>3384</v>
      </c>
      <c r="AB3226" s="20"/>
      <c r="AC3226" s="73"/>
    </row>
    <row r="3227" spans="1:29" ht="39">
      <c r="A3227" s="327">
        <f>IF(AND($B3227&lt;&gt;"",$C3227&lt;&gt;""),MAX($A$1556:A3226)+1,"")</f>
        <v>164</v>
      </c>
      <c r="B3227" s="359" t="s">
        <v>3172</v>
      </c>
      <c r="C3227" s="360" t="s">
        <v>1548</v>
      </c>
      <c r="D3227" s="327">
        <f>IF($B3227="","",COUNTIF($B$6:$B3227,$B3227))</f>
        <v>1</v>
      </c>
      <c r="E3227" s="361" t="s">
        <v>2952</v>
      </c>
      <c r="F3227" s="362" t="s">
        <v>2920</v>
      </c>
      <c r="G3227" s="327" t="s">
        <v>155</v>
      </c>
      <c r="H3227" s="327"/>
      <c r="I3227" s="327">
        <v>2</v>
      </c>
      <c r="J3227" s="359"/>
      <c r="K3227" s="327"/>
      <c r="L3227" s="389">
        <v>33329</v>
      </c>
      <c r="M3227" s="371"/>
      <c r="N3227" s="355" t="s">
        <v>153</v>
      </c>
      <c r="O3227" s="404" t="s">
        <v>1781</v>
      </c>
      <c r="P3227" s="392"/>
      <c r="Q3227" s="327"/>
      <c r="R3227" s="351"/>
      <c r="S3227" s="351"/>
      <c r="T3227" s="351"/>
      <c r="U3227" s="329" t="str">
        <f>IF($N3227=$N$4,IFERROR(INDEX(DanhMuc!$E$154:$E$165,MATCH(MID($B3227,4,2),DanhMuc!$B$154:$B$165,0)),""),"")</f>
        <v/>
      </c>
      <c r="V3227" s="361"/>
      <c r="W3227" s="345"/>
      <c r="X3227" s="329" t="str">
        <f t="shared" si="320"/>
        <v>2R</v>
      </c>
      <c r="Y3227" s="1128" t="s">
        <v>3380</v>
      </c>
      <c r="Z3227" s="1128" t="s">
        <v>3381</v>
      </c>
      <c r="AA3227" s="1128" t="s">
        <v>3384</v>
      </c>
      <c r="AB3227" s="20"/>
      <c r="AC3227" s="73"/>
    </row>
    <row r="3228" spans="1:29">
      <c r="A3228" s="327" t="str">
        <f>IF(AND($B3228&lt;&gt;"",$C3228&lt;&gt;""),MAX($A$1556:A3227)+1,"")</f>
        <v/>
      </c>
      <c r="B3228" s="361" t="s">
        <v>3172</v>
      </c>
      <c r="C3228" s="360"/>
      <c r="D3228" s="327">
        <f>IF($B3228="","",COUNTIF($B$6:$B3228,$B3228))</f>
        <v>2</v>
      </c>
      <c r="E3228" s="361" t="s">
        <v>2918</v>
      </c>
      <c r="F3228" s="362" t="s">
        <v>2919</v>
      </c>
      <c r="G3228" s="327" t="s">
        <v>155</v>
      </c>
      <c r="H3228" s="327"/>
      <c r="I3228" s="327">
        <v>2</v>
      </c>
      <c r="J3228" s="359"/>
      <c r="K3228" s="327"/>
      <c r="L3228" s="389">
        <v>5389</v>
      </c>
      <c r="M3228" s="371"/>
      <c r="N3228" s="355" t="s">
        <v>153</v>
      </c>
      <c r="O3228" s="404" t="s">
        <v>1781</v>
      </c>
      <c r="P3228" s="392"/>
      <c r="Q3228" s="327"/>
      <c r="R3228" s="351"/>
      <c r="S3228" s="351"/>
      <c r="T3228" s="351"/>
      <c r="U3228" s="329" t="str">
        <f>IF($N3228=$N$4,IFERROR(INDEX(DanhMuc!$E$154:$E$165,MATCH(MID($B3228,4,2),DanhMuc!$B$154:$B$165,0)),""),"")</f>
        <v/>
      </c>
      <c r="V3228" s="361"/>
      <c r="W3228" s="345"/>
      <c r="X3228" s="329" t="str">
        <f t="shared" si="320"/>
        <v>2R</v>
      </c>
      <c r="Y3228" s="1128" t="s">
        <v>3380</v>
      </c>
      <c r="Z3228" s="1128" t="s">
        <v>3381</v>
      </c>
      <c r="AA3228" s="1128" t="s">
        <v>3384</v>
      </c>
      <c r="AB3228" s="20"/>
      <c r="AC3228" s="73"/>
    </row>
    <row r="3229" spans="1:29">
      <c r="A3229" s="327" t="str">
        <f>IF(AND($B3229&lt;&gt;"",$C3229&lt;&gt;""),MAX($A$1556:A3228)+1,"")</f>
        <v/>
      </c>
      <c r="B3229" s="361" t="s">
        <v>3172</v>
      </c>
      <c r="C3229" s="360"/>
      <c r="D3229" s="327">
        <f>IF($B3229="","",COUNTIF($B$6:$B3229,$B3229))</f>
        <v>3</v>
      </c>
      <c r="E3229" s="362" t="s">
        <v>2969</v>
      </c>
      <c r="F3229" s="362" t="s">
        <v>2970</v>
      </c>
      <c r="G3229" s="327" t="s">
        <v>155</v>
      </c>
      <c r="H3229" s="327"/>
      <c r="I3229" s="327">
        <v>2</v>
      </c>
      <c r="J3229" s="359"/>
      <c r="K3229" s="327"/>
      <c r="L3229" s="389">
        <v>25815</v>
      </c>
      <c r="M3229" s="371"/>
      <c r="N3229" s="355" t="s">
        <v>153</v>
      </c>
      <c r="O3229" s="404" t="s">
        <v>1971</v>
      </c>
      <c r="P3229" s="392"/>
      <c r="Q3229" s="327"/>
      <c r="R3229" s="351"/>
      <c r="S3229" s="351"/>
      <c r="T3229" s="351"/>
      <c r="U3229" s="329" t="str">
        <f>IF($N3229=$N$4,IFERROR(INDEX(DanhMuc!$E$154:$E$165,MATCH(MID($B3229,4,2),DanhMuc!$B$154:$B$165,0)),""),"")</f>
        <v/>
      </c>
      <c r="V3229" s="361"/>
      <c r="W3229" s="345"/>
      <c r="X3229" s="329" t="str">
        <f t="shared" si="320"/>
        <v>2R</v>
      </c>
      <c r="Y3229" s="1128" t="s">
        <v>3380</v>
      </c>
      <c r="Z3229" s="1128" t="s">
        <v>3381</v>
      </c>
      <c r="AA3229" s="1128" t="s">
        <v>3384</v>
      </c>
      <c r="AB3229" s="20"/>
      <c r="AC3229" s="73"/>
    </row>
    <row r="3230" spans="1:29">
      <c r="A3230" s="327" t="str">
        <f>IF(AND($B3230&lt;&gt;"",$C3230&lt;&gt;""),MAX($A$1556:A3229)+1,"")</f>
        <v/>
      </c>
      <c r="B3230" s="361" t="s">
        <v>3172</v>
      </c>
      <c r="C3230" s="360"/>
      <c r="D3230" s="327">
        <f>IF($B3230="","",COUNTIF($B$6:$B3230,$B3230))</f>
        <v>4</v>
      </c>
      <c r="E3230" s="362" t="s">
        <v>2969</v>
      </c>
      <c r="F3230" s="362" t="s">
        <v>2971</v>
      </c>
      <c r="G3230" s="327" t="s">
        <v>155</v>
      </c>
      <c r="H3230" s="327"/>
      <c r="I3230" s="327">
        <v>2</v>
      </c>
      <c r="J3230" s="359"/>
      <c r="K3230" s="327"/>
      <c r="L3230" s="389">
        <v>25815</v>
      </c>
      <c r="M3230" s="371"/>
      <c r="N3230" s="355" t="s">
        <v>153</v>
      </c>
      <c r="O3230" s="404" t="s">
        <v>1972</v>
      </c>
      <c r="P3230" s="392"/>
      <c r="Q3230" s="327"/>
      <c r="R3230" s="351"/>
      <c r="S3230" s="351"/>
      <c r="T3230" s="351"/>
      <c r="U3230" s="329" t="str">
        <f>IF($N3230=$N$4,IFERROR(INDEX(DanhMuc!$E$154:$E$165,MATCH(MID($B3230,4,2),DanhMuc!$B$154:$B$165,0)),""),"")</f>
        <v/>
      </c>
      <c r="V3230" s="361"/>
      <c r="W3230" s="345"/>
      <c r="X3230" s="329" t="str">
        <f t="shared" si="320"/>
        <v>2R</v>
      </c>
      <c r="Y3230" s="1128" t="s">
        <v>3380</v>
      </c>
      <c r="Z3230" s="1128" t="s">
        <v>3381</v>
      </c>
      <c r="AA3230" s="1128" t="s">
        <v>3384</v>
      </c>
      <c r="AB3230" s="20"/>
      <c r="AC3230" s="73"/>
    </row>
    <row r="3231" spans="1:29">
      <c r="A3231" s="327" t="str">
        <f>IF(AND($B3231&lt;&gt;"",$C3231&lt;&gt;""),MAX($A$1556:A3229)+1,"")</f>
        <v/>
      </c>
      <c r="B3231" s="361" t="s">
        <v>3172</v>
      </c>
      <c r="C3231" s="360"/>
      <c r="D3231" s="327">
        <f>IF($B3231="","",COUNTIF($B$6:$B3231,$B3231))</f>
        <v>5</v>
      </c>
      <c r="E3231" s="361" t="s">
        <v>2953</v>
      </c>
      <c r="F3231" s="362" t="s">
        <v>1970</v>
      </c>
      <c r="G3231" s="327" t="s">
        <v>155</v>
      </c>
      <c r="H3231" s="327"/>
      <c r="I3231" s="327">
        <v>2</v>
      </c>
      <c r="J3231" s="359"/>
      <c r="K3231" s="327"/>
      <c r="L3231" s="389">
        <v>2933</v>
      </c>
      <c r="M3231" s="371"/>
      <c r="N3231" s="355" t="s">
        <v>153</v>
      </c>
      <c r="O3231" s="404" t="s">
        <v>1780</v>
      </c>
      <c r="P3231" s="392"/>
      <c r="Q3231" s="327"/>
      <c r="R3231" s="351"/>
      <c r="S3231" s="351"/>
      <c r="T3231" s="351"/>
      <c r="U3231" s="329" t="str">
        <f>IF($N3231=$N$4,IFERROR(INDEX(DanhMuc!$E$154:$E$165,MATCH(MID($B3231,4,2),DanhMuc!$B$154:$B$165,0)),""),"")</f>
        <v/>
      </c>
      <c r="V3231" s="361"/>
      <c r="W3231" s="345"/>
      <c r="X3231" s="329" t="str">
        <f t="shared" si="320"/>
        <v>2R</v>
      </c>
      <c r="Y3231" s="1128" t="s">
        <v>3380</v>
      </c>
      <c r="Z3231" s="1128" t="s">
        <v>3381</v>
      </c>
      <c r="AA3231" s="1128" t="s">
        <v>3384</v>
      </c>
      <c r="AB3231" s="20"/>
      <c r="AC3231" s="73"/>
    </row>
    <row r="3232" spans="1:29">
      <c r="A3232" s="327" t="str">
        <f>IF(AND($B3232&lt;&gt;"",$C3232&lt;&gt;""),MAX($A$1556:A3231)+1,"")</f>
        <v/>
      </c>
      <c r="B3232" s="361" t="s">
        <v>3172</v>
      </c>
      <c r="C3232" s="360"/>
      <c r="D3232" s="327">
        <f>IF($B3232="","",COUNTIF($B$6:$B3232,$B3232))</f>
        <v>6</v>
      </c>
      <c r="E3232" s="361" t="s">
        <v>2952</v>
      </c>
      <c r="F3232" s="362" t="s">
        <v>2920</v>
      </c>
      <c r="G3232" s="327" t="s">
        <v>155</v>
      </c>
      <c r="H3232" s="327"/>
      <c r="I3232" s="327">
        <v>1</v>
      </c>
      <c r="J3232" s="359"/>
      <c r="K3232" s="327"/>
      <c r="L3232" s="389">
        <v>33329</v>
      </c>
      <c r="M3232" s="371"/>
      <c r="N3232" s="355" t="s">
        <v>153</v>
      </c>
      <c r="O3232" s="404" t="s">
        <v>1782</v>
      </c>
      <c r="P3232" s="392"/>
      <c r="Q3232" s="327"/>
      <c r="R3232" s="351"/>
      <c r="S3232" s="351"/>
      <c r="T3232" s="351"/>
      <c r="U3232" s="329" t="str">
        <f>IF($N3232=$N$4,IFERROR(INDEX(DanhMuc!$E$154:$E$165,MATCH(MID($B3232,4,2),DanhMuc!$B$154:$B$165,0)),""),"")</f>
        <v/>
      </c>
      <c r="V3232" s="361"/>
      <c r="W3232" s="345"/>
      <c r="X3232" s="329" t="str">
        <f t="shared" si="320"/>
        <v>2R</v>
      </c>
      <c r="Y3232" s="1128" t="s">
        <v>3380</v>
      </c>
      <c r="Z3232" s="1128" t="s">
        <v>3381</v>
      </c>
      <c r="AA3232" s="1128" t="s">
        <v>3384</v>
      </c>
      <c r="AB3232" s="20"/>
      <c r="AC3232" s="73"/>
    </row>
    <row r="3233" spans="1:29">
      <c r="A3233" s="327" t="str">
        <f>IF(AND($B3233&lt;&gt;"",$C3233&lt;&gt;""),MAX($A$1556:A3232)+1,"")</f>
        <v/>
      </c>
      <c r="B3233" s="361" t="s">
        <v>3172</v>
      </c>
      <c r="C3233" s="360"/>
      <c r="D3233" s="327">
        <f>IF($B3233="","",COUNTIF($B$6:$B3233,$B3233))</f>
        <v>7</v>
      </c>
      <c r="E3233" s="361" t="s">
        <v>2918</v>
      </c>
      <c r="F3233" s="362" t="s">
        <v>2919</v>
      </c>
      <c r="G3233" s="327" t="s">
        <v>155</v>
      </c>
      <c r="H3233" s="327"/>
      <c r="I3233" s="327">
        <v>1</v>
      </c>
      <c r="J3233" s="359"/>
      <c r="K3233" s="327"/>
      <c r="L3233" s="389">
        <v>5389</v>
      </c>
      <c r="M3233" s="371"/>
      <c r="N3233" s="355" t="s">
        <v>153</v>
      </c>
      <c r="O3233" s="404" t="s">
        <v>1782</v>
      </c>
      <c r="P3233" s="392"/>
      <c r="Q3233" s="327"/>
      <c r="R3233" s="351"/>
      <c r="S3233" s="351"/>
      <c r="T3233" s="351"/>
      <c r="U3233" s="329" t="str">
        <f>IF($N3233=$N$4,IFERROR(INDEX(DanhMuc!$E$154:$E$165,MATCH(MID($B3233,4,2),DanhMuc!$B$154:$B$165,0)),""),"")</f>
        <v/>
      </c>
      <c r="V3233" s="361"/>
      <c r="W3233" s="345"/>
      <c r="X3233" s="329" t="str">
        <f t="shared" si="320"/>
        <v>2R</v>
      </c>
      <c r="Y3233" s="1128" t="s">
        <v>3380</v>
      </c>
      <c r="Z3233" s="1128" t="s">
        <v>3381</v>
      </c>
      <c r="AA3233" s="1128" t="s">
        <v>3384</v>
      </c>
      <c r="AB3233" s="20"/>
      <c r="AC3233" s="73"/>
    </row>
    <row r="3234" spans="1:29" ht="25">
      <c r="A3234" s="327" t="str">
        <f>IF(AND($B3234&lt;&gt;"",$C3234&lt;&gt;""),MAX($A$1556:A3228)+1,"")</f>
        <v/>
      </c>
      <c r="B3234" s="361" t="s">
        <v>3172</v>
      </c>
      <c r="C3234" s="360"/>
      <c r="D3234" s="327">
        <f>IF($B3234="","",COUNTIF($B$6:$B3234,$B3234))</f>
        <v>8</v>
      </c>
      <c r="E3234" s="361" t="s">
        <v>2921</v>
      </c>
      <c r="F3234" s="362" t="s">
        <v>210</v>
      </c>
      <c r="G3234" s="327" t="s">
        <v>155</v>
      </c>
      <c r="H3234" s="327"/>
      <c r="I3234" s="327">
        <v>1</v>
      </c>
      <c r="J3234" s="359"/>
      <c r="K3234" s="327"/>
      <c r="L3234" s="389">
        <v>68884</v>
      </c>
      <c r="M3234" s="371"/>
      <c r="N3234" s="355" t="s">
        <v>153</v>
      </c>
      <c r="O3234" s="404" t="s">
        <v>1782</v>
      </c>
      <c r="P3234" s="392"/>
      <c r="Q3234" s="327"/>
      <c r="R3234" s="351"/>
      <c r="S3234" s="351"/>
      <c r="T3234" s="351"/>
      <c r="U3234" s="329" t="str">
        <f>IF($N3234=$N$4,IFERROR(INDEX(DanhMuc!$E$154:$E$165,MATCH(MID($B3234,4,2),DanhMuc!$B$154:$B$165,0)),""),"")</f>
        <v/>
      </c>
      <c r="V3234" s="361"/>
      <c r="W3234" s="345"/>
      <c r="X3234" s="329" t="str">
        <f t="shared" si="320"/>
        <v>2R</v>
      </c>
      <c r="Y3234" s="1128" t="s">
        <v>3380</v>
      </c>
      <c r="Z3234" s="1128" t="s">
        <v>3381</v>
      </c>
      <c r="AA3234" s="1128" t="s">
        <v>3384</v>
      </c>
      <c r="AB3234" s="20"/>
      <c r="AC3234" s="73"/>
    </row>
    <row r="3235" spans="1:29" ht="50">
      <c r="A3235" s="327" t="str">
        <f>IF(AND($B3235&lt;&gt;"",$C3235&lt;&gt;""),MAX($A$1556:A3234)+1,"")</f>
        <v/>
      </c>
      <c r="B3235" s="361" t="s">
        <v>3172</v>
      </c>
      <c r="C3235" s="360"/>
      <c r="D3235" s="327">
        <f>IF($B3235="","",COUNTIF($B$6:$B3235,$B3235))</f>
        <v>9</v>
      </c>
      <c r="E3235" s="403" t="s">
        <v>2973</v>
      </c>
      <c r="F3235" s="403" t="s">
        <v>953</v>
      </c>
      <c r="G3235" s="410" t="s">
        <v>156</v>
      </c>
      <c r="H3235" s="327" t="s">
        <v>536</v>
      </c>
      <c r="I3235" s="411" t="s">
        <v>2856</v>
      </c>
      <c r="J3235" s="404"/>
      <c r="K3235" s="410"/>
      <c r="L3235" s="389">
        <v>49122</v>
      </c>
      <c r="M3235" s="371"/>
      <c r="N3235" s="355" t="s">
        <v>153</v>
      </c>
      <c r="O3235" s="404" t="s">
        <v>1782</v>
      </c>
      <c r="P3235" s="392"/>
      <c r="Q3235" s="327"/>
      <c r="R3235" s="351"/>
      <c r="S3235" s="351"/>
      <c r="T3235" s="351"/>
      <c r="U3235" s="329" t="str">
        <f>IF($N3235=$N$4,IFERROR(INDEX(DanhMuc!$E$154:$E$165,MATCH(MID($B3235,4,2),DanhMuc!$B$154:$B$165,0)),""),"")</f>
        <v/>
      </c>
      <c r="V3235" s="361"/>
      <c r="W3235" s="345"/>
      <c r="X3235" s="329" t="str">
        <f t="shared" si="320"/>
        <v>2R</v>
      </c>
      <c r="Y3235" s="1128" t="s">
        <v>3380</v>
      </c>
      <c r="Z3235" s="1128" t="s">
        <v>3381</v>
      </c>
      <c r="AA3235" s="1128" t="s">
        <v>3384</v>
      </c>
      <c r="AB3235" s="20"/>
      <c r="AC3235" s="73"/>
    </row>
    <row r="3236" spans="1:29" ht="50">
      <c r="A3236" s="327" t="str">
        <f>IF(AND($B3236&lt;&gt;"",$C3236&lt;&gt;""),MAX($A$1556:A3234)+1,"")</f>
        <v/>
      </c>
      <c r="B3236" s="361" t="s">
        <v>3172</v>
      </c>
      <c r="C3236" s="360"/>
      <c r="D3236" s="327">
        <f>IF($B3236="","",COUNTIF($B$6:$B3236,$B3236))</f>
        <v>10</v>
      </c>
      <c r="E3236" s="403" t="s">
        <v>2974</v>
      </c>
      <c r="F3236" s="403" t="s">
        <v>1059</v>
      </c>
      <c r="G3236" s="410" t="s">
        <v>156</v>
      </c>
      <c r="H3236" s="327" t="s">
        <v>536</v>
      </c>
      <c r="I3236" s="411" t="s">
        <v>2853</v>
      </c>
      <c r="J3236" s="404"/>
      <c r="K3236" s="410"/>
      <c r="L3236" s="389">
        <v>59067</v>
      </c>
      <c r="M3236" s="371"/>
      <c r="N3236" s="355" t="s">
        <v>153</v>
      </c>
      <c r="O3236" s="404" t="s">
        <v>1782</v>
      </c>
      <c r="P3236" s="392"/>
      <c r="Q3236" s="327"/>
      <c r="R3236" s="351"/>
      <c r="S3236" s="351"/>
      <c r="T3236" s="351"/>
      <c r="U3236" s="329" t="str">
        <f>IF($N3236=$N$4,IFERROR(INDEX(DanhMuc!$E$154:$E$165,MATCH(MID($B3236,4,2),DanhMuc!$B$154:$B$165,0)),""),"")</f>
        <v/>
      </c>
      <c r="V3236" s="361"/>
      <c r="W3236" s="345"/>
      <c r="X3236" s="329" t="str">
        <f t="shared" si="320"/>
        <v>2R</v>
      </c>
      <c r="Y3236" s="1128" t="s">
        <v>3380</v>
      </c>
      <c r="Z3236" s="1128" t="s">
        <v>3381</v>
      </c>
      <c r="AA3236" s="1128" t="s">
        <v>3384</v>
      </c>
      <c r="AB3236" s="20"/>
      <c r="AC3236" s="73"/>
    </row>
    <row r="3237" spans="1:29" ht="50">
      <c r="A3237" s="327" t="str">
        <f>IF(AND($B3237&lt;&gt;"",$C3237&lt;&gt;""),MAX($A$1556:A3235)+1,"")</f>
        <v/>
      </c>
      <c r="B3237" s="361" t="s">
        <v>3172</v>
      </c>
      <c r="C3237" s="360"/>
      <c r="D3237" s="327">
        <f>IF($B3237="","",COUNTIF($B$6:$B3237,$B3237))</f>
        <v>11</v>
      </c>
      <c r="E3237" s="403" t="s">
        <v>2987</v>
      </c>
      <c r="F3237" s="403" t="s">
        <v>956</v>
      </c>
      <c r="G3237" s="410" t="s">
        <v>156</v>
      </c>
      <c r="H3237" s="327" t="s">
        <v>536</v>
      </c>
      <c r="I3237" s="411" t="s">
        <v>2854</v>
      </c>
      <c r="J3237" s="404"/>
      <c r="K3237" s="410"/>
      <c r="L3237" s="389">
        <v>77078</v>
      </c>
      <c r="M3237" s="371"/>
      <c r="N3237" s="355" t="s">
        <v>153</v>
      </c>
      <c r="O3237" s="404" t="s">
        <v>1782</v>
      </c>
      <c r="P3237" s="392"/>
      <c r="Q3237" s="327"/>
      <c r="R3237" s="351"/>
      <c r="S3237" s="351"/>
      <c r="T3237" s="351"/>
      <c r="U3237" s="329" t="str">
        <f>IF($N3237=$N$4,IFERROR(INDEX(DanhMuc!$E$154:$E$165,MATCH(MID($B3237,4,2),DanhMuc!$B$154:$B$165,0)),""),"")</f>
        <v/>
      </c>
      <c r="V3237" s="361"/>
      <c r="W3237" s="345"/>
      <c r="X3237" s="329" t="str">
        <f t="shared" si="320"/>
        <v>2R</v>
      </c>
      <c r="Y3237" s="1128" t="s">
        <v>3380</v>
      </c>
      <c r="Z3237" s="1128" t="s">
        <v>3381</v>
      </c>
      <c r="AA3237" s="1128" t="s">
        <v>3384</v>
      </c>
      <c r="AB3237" s="20"/>
      <c r="AC3237" s="73"/>
    </row>
    <row r="3238" spans="1:29" ht="50">
      <c r="A3238" s="327" t="str">
        <f>IF(AND($B3238&lt;&gt;"",$C3238&lt;&gt;""),MAX($A$1556:A3236)+1,"")</f>
        <v/>
      </c>
      <c r="B3238" s="361" t="s">
        <v>3172</v>
      </c>
      <c r="C3238" s="360"/>
      <c r="D3238" s="327">
        <f>IF($B3238="","",COUNTIF($B$6:$B3238,$B3238))</f>
        <v>12</v>
      </c>
      <c r="E3238" s="403" t="s">
        <v>2975</v>
      </c>
      <c r="F3238" s="403" t="s">
        <v>183</v>
      </c>
      <c r="G3238" s="410" t="s">
        <v>156</v>
      </c>
      <c r="H3238" s="327" t="s">
        <v>536</v>
      </c>
      <c r="I3238" s="411" t="s">
        <v>2855</v>
      </c>
      <c r="J3238" s="404"/>
      <c r="K3238" s="410"/>
      <c r="L3238" s="415">
        <v>77078</v>
      </c>
      <c r="M3238" s="371"/>
      <c r="N3238" s="355" t="s">
        <v>153</v>
      </c>
      <c r="O3238" s="404" t="s">
        <v>1782</v>
      </c>
      <c r="P3238" s="392"/>
      <c r="Q3238" s="327"/>
      <c r="R3238" s="351"/>
      <c r="S3238" s="351"/>
      <c r="T3238" s="351"/>
      <c r="U3238" s="329" t="str">
        <f>IF($N3238=$N$4,IFERROR(INDEX(DanhMuc!$E$154:$E$165,MATCH(MID($B3238,4,2),DanhMuc!$B$154:$B$165,0)),""),"")</f>
        <v/>
      </c>
      <c r="V3238" s="361"/>
      <c r="W3238" s="345"/>
      <c r="X3238" s="329" t="str">
        <f t="shared" si="320"/>
        <v>2R</v>
      </c>
      <c r="Y3238" s="1128" t="s">
        <v>3380</v>
      </c>
      <c r="Z3238" s="1128" t="s">
        <v>3381</v>
      </c>
      <c r="AA3238" s="1128" t="s">
        <v>3384</v>
      </c>
      <c r="AB3238" s="20"/>
      <c r="AC3238" s="73"/>
    </row>
    <row r="3239" spans="1:29">
      <c r="A3239" s="327" t="str">
        <f>IF(AND($B3239&lt;&gt;"",$C3239&lt;&gt;""),MAX($A$1556:A3237)+1,"")</f>
        <v/>
      </c>
      <c r="B3239" s="361" t="s">
        <v>3172</v>
      </c>
      <c r="C3239" s="360"/>
      <c r="D3239" s="327">
        <f>IF($B3239="","",COUNTIF($B$6:$B3239,$B3239))</f>
        <v>13</v>
      </c>
      <c r="E3239" s="361" t="s">
        <v>2922</v>
      </c>
      <c r="F3239" s="362" t="s">
        <v>981</v>
      </c>
      <c r="G3239" s="327" t="s">
        <v>155</v>
      </c>
      <c r="H3239" s="327" t="s">
        <v>536</v>
      </c>
      <c r="I3239" s="327">
        <v>2</v>
      </c>
      <c r="J3239" s="359"/>
      <c r="K3239" s="327"/>
      <c r="L3239" s="389">
        <v>4514</v>
      </c>
      <c r="M3239" s="371"/>
      <c r="N3239" s="355" t="str">
        <f t="shared" ref="N3239:N3247" si="321">+$N$1555</f>
        <v>PK</v>
      </c>
      <c r="O3239" s="404" t="s">
        <v>1782</v>
      </c>
      <c r="P3239" s="392"/>
      <c r="Q3239" s="327"/>
      <c r="R3239" s="351"/>
      <c r="S3239" s="351"/>
      <c r="T3239" s="351"/>
      <c r="U3239" s="329" t="str">
        <f>IF($N3239=$N$4,IFERROR(INDEX(DanhMuc!$E$154:$E$165,MATCH(MID($B3239,4,2),DanhMuc!$B$154:$B$165,0)),""),"")</f>
        <v/>
      </c>
      <c r="V3239" s="361"/>
      <c r="W3239" s="345"/>
      <c r="X3239" s="329" t="str">
        <f t="shared" si="320"/>
        <v>2R</v>
      </c>
      <c r="Y3239" s="1128" t="s">
        <v>3380</v>
      </c>
      <c r="Z3239" s="1128" t="s">
        <v>3381</v>
      </c>
      <c r="AA3239" s="1128" t="s">
        <v>3384</v>
      </c>
      <c r="AB3239" s="20"/>
      <c r="AC3239" s="73"/>
    </row>
    <row r="3240" spans="1:29">
      <c r="A3240" s="327" t="str">
        <f>IF(AND($B3240&lt;&gt;"",$C3240&lt;&gt;""),MAX($A$1556:A3238)+1,"")</f>
        <v/>
      </c>
      <c r="B3240" s="361" t="s">
        <v>3172</v>
      </c>
      <c r="C3240" s="360"/>
      <c r="D3240" s="327">
        <f>IF($B3240="","",COUNTIF($B$6:$B3240,$B3240))</f>
        <v>14</v>
      </c>
      <c r="E3240" s="361" t="s">
        <v>187</v>
      </c>
      <c r="F3240" s="362" t="s">
        <v>189</v>
      </c>
      <c r="G3240" s="327" t="s">
        <v>155</v>
      </c>
      <c r="H3240" s="327"/>
      <c r="I3240" s="327">
        <v>2</v>
      </c>
      <c r="J3240" s="361"/>
      <c r="K3240" s="327"/>
      <c r="L3240" s="389">
        <v>5000</v>
      </c>
      <c r="M3240" s="371"/>
      <c r="N3240" s="355" t="str">
        <f t="shared" si="321"/>
        <v>PK</v>
      </c>
      <c r="O3240" s="345"/>
      <c r="P3240" s="392"/>
      <c r="Q3240" s="327"/>
      <c r="R3240" s="351"/>
      <c r="S3240" s="351"/>
      <c r="T3240" s="351"/>
      <c r="U3240" s="329" t="str">
        <f>IF($N3240=$N$4,IFERROR(INDEX(DanhMuc!$E$154:$E$165,MATCH(MID($B3240,4,2),DanhMuc!$B$154:$B$165,0)),""),"")</f>
        <v/>
      </c>
      <c r="V3240" s="361"/>
      <c r="W3240" s="345"/>
      <c r="X3240" s="329" t="str">
        <f t="shared" si="320"/>
        <v>2R</v>
      </c>
      <c r="Y3240" s="1128" t="s">
        <v>3380</v>
      </c>
      <c r="Z3240" s="1128" t="s">
        <v>3381</v>
      </c>
      <c r="AA3240" s="1128" t="s">
        <v>3384</v>
      </c>
      <c r="AB3240" s="20"/>
      <c r="AC3240" s="73"/>
    </row>
    <row r="3241" spans="1:29">
      <c r="A3241" s="327" t="str">
        <f>IF(AND($B3241&lt;&gt;"",$C3241&lt;&gt;""),MAX($A$1556:A3239)+1,"")</f>
        <v/>
      </c>
      <c r="B3241" s="361" t="s">
        <v>3172</v>
      </c>
      <c r="C3241" s="360"/>
      <c r="D3241" s="327">
        <f>IF($B3241="","",COUNTIF($B$6:$B3241,$B3241))</f>
        <v>15</v>
      </c>
      <c r="E3241" s="361" t="s">
        <v>163</v>
      </c>
      <c r="F3241" s="362" t="s">
        <v>164</v>
      </c>
      <c r="G3241" s="327" t="s">
        <v>155</v>
      </c>
      <c r="H3241" s="327"/>
      <c r="I3241" s="327">
        <v>2</v>
      </c>
      <c r="J3241" s="361"/>
      <c r="K3241" s="327"/>
      <c r="L3241" s="389">
        <v>2500</v>
      </c>
      <c r="M3241" s="371"/>
      <c r="N3241" s="355" t="str">
        <f t="shared" si="321"/>
        <v>PK</v>
      </c>
      <c r="O3241" s="345"/>
      <c r="P3241" s="392"/>
      <c r="Q3241" s="327"/>
      <c r="R3241" s="351"/>
      <c r="S3241" s="351"/>
      <c r="T3241" s="351"/>
      <c r="U3241" s="329" t="str">
        <f>IF($N3241=$N$4,IFERROR(INDEX(DanhMuc!$E$154:$E$165,MATCH(MID($B3241,4,2),DanhMuc!$B$154:$B$165,0)),""),"")</f>
        <v/>
      </c>
      <c r="V3241" s="408" t="s">
        <v>342</v>
      </c>
      <c r="W3241" s="345"/>
      <c r="X3241" s="329" t="str">
        <f t="shared" si="320"/>
        <v>2R</v>
      </c>
      <c r="Y3241" s="1128" t="s">
        <v>3380</v>
      </c>
      <c r="Z3241" s="1128" t="s">
        <v>3381</v>
      </c>
      <c r="AA3241" s="1128" t="s">
        <v>3384</v>
      </c>
      <c r="AB3241" s="20"/>
      <c r="AC3241" s="73"/>
    </row>
    <row r="3242" spans="1:29">
      <c r="A3242" s="327" t="str">
        <f>IF(AND($B3242&lt;&gt;"",$C3242&lt;&gt;""),MAX($A$1556:A3241)+1,"")</f>
        <v/>
      </c>
      <c r="B3242" s="361" t="s">
        <v>3172</v>
      </c>
      <c r="C3242" s="360"/>
      <c r="D3242" s="327">
        <f>IF($B3242="","",COUNTIF($B$6:$B3242,$B3242))</f>
        <v>16</v>
      </c>
      <c r="E3242" s="361" t="s">
        <v>2968</v>
      </c>
      <c r="F3242" s="362" t="s">
        <v>162</v>
      </c>
      <c r="G3242" s="327" t="s">
        <v>155</v>
      </c>
      <c r="H3242" s="327" t="s">
        <v>536</v>
      </c>
      <c r="I3242" s="327">
        <v>6</v>
      </c>
      <c r="J3242" s="361"/>
      <c r="K3242" s="327"/>
      <c r="L3242" s="389">
        <v>12070</v>
      </c>
      <c r="M3242" s="371"/>
      <c r="N3242" s="355" t="str">
        <f t="shared" si="321"/>
        <v>PK</v>
      </c>
      <c r="O3242" s="345" t="s">
        <v>1705</v>
      </c>
      <c r="P3242" s="392"/>
      <c r="Q3242" s="327"/>
      <c r="R3242" s="351"/>
      <c r="S3242" s="351"/>
      <c r="T3242" s="351"/>
      <c r="U3242" s="329" t="str">
        <f>IF($N3242=$N$4,IFERROR(INDEX(DanhMuc!$E$154:$E$165,MATCH(MID($B3242,4,2),DanhMuc!$B$154:$B$165,0)),""),"")</f>
        <v/>
      </c>
      <c r="V3242" s="361"/>
      <c r="W3242" s="345"/>
      <c r="X3242" s="329" t="str">
        <f t="shared" si="320"/>
        <v>2R</v>
      </c>
      <c r="Y3242" s="1128" t="s">
        <v>3380</v>
      </c>
      <c r="Z3242" s="1128" t="s">
        <v>3381</v>
      </c>
      <c r="AA3242" s="1128" t="s">
        <v>3384</v>
      </c>
      <c r="AB3242" s="20"/>
      <c r="AC3242" s="73"/>
    </row>
    <row r="3243" spans="1:29">
      <c r="A3243" s="327" t="str">
        <f>IF(AND($B3243&lt;&gt;"",$C3243&lt;&gt;""),MAX($A$1556:A3241)+1,"")</f>
        <v/>
      </c>
      <c r="B3243" s="361" t="s">
        <v>3172</v>
      </c>
      <c r="C3243" s="360"/>
      <c r="D3243" s="327">
        <f>IF($B3243="","",COUNTIF($B$6:$B3243,$B3243))</f>
        <v>17</v>
      </c>
      <c r="E3243" s="361" t="s">
        <v>2923</v>
      </c>
      <c r="F3243" s="362" t="s">
        <v>186</v>
      </c>
      <c r="G3243" s="327" t="s">
        <v>155</v>
      </c>
      <c r="H3243" s="327" t="s">
        <v>536</v>
      </c>
      <c r="I3243" s="327">
        <v>6</v>
      </c>
      <c r="J3243" s="361"/>
      <c r="K3243" s="327"/>
      <c r="L3243" s="389">
        <v>40308</v>
      </c>
      <c r="M3243" s="371"/>
      <c r="N3243" s="355" t="str">
        <f t="shared" si="321"/>
        <v>PK</v>
      </c>
      <c r="O3243" s="345" t="s">
        <v>1704</v>
      </c>
      <c r="P3243" s="392"/>
      <c r="Q3243" s="327"/>
      <c r="R3243" s="351"/>
      <c r="S3243" s="351"/>
      <c r="T3243" s="351"/>
      <c r="U3243" s="329" t="str">
        <f>IF($N3243=$N$4,IFERROR(INDEX(DanhMuc!$E$154:$E$165,MATCH(MID($B3243,4,2),DanhMuc!$B$154:$B$165,0)),""),"")</f>
        <v/>
      </c>
      <c r="V3243" s="361"/>
      <c r="W3243" s="345"/>
      <c r="X3243" s="329" t="str">
        <f t="shared" si="320"/>
        <v>2R</v>
      </c>
      <c r="Y3243" s="1128" t="s">
        <v>3380</v>
      </c>
      <c r="Z3243" s="1128" t="s">
        <v>3381</v>
      </c>
      <c r="AA3243" s="1128" t="s">
        <v>3384</v>
      </c>
      <c r="AB3243" s="20"/>
      <c r="AC3243" s="73"/>
    </row>
    <row r="3244" spans="1:29">
      <c r="A3244" s="327" t="str">
        <f>IF(AND($B3244&lt;&gt;"",$C3244&lt;&gt;""),MAX($A$1556:A3243)+1,"")</f>
        <v/>
      </c>
      <c r="B3244" s="361" t="s">
        <v>3172</v>
      </c>
      <c r="C3244" s="360"/>
      <c r="D3244" s="327">
        <f>IF($B3244="","",COUNTIF($B$6:$B3244,$B3244))</f>
        <v>18</v>
      </c>
      <c r="E3244" s="361" t="s">
        <v>165</v>
      </c>
      <c r="F3244" s="362" t="s">
        <v>166</v>
      </c>
      <c r="G3244" s="327" t="s">
        <v>155</v>
      </c>
      <c r="H3244" s="327"/>
      <c r="I3244" s="327">
        <v>2</v>
      </c>
      <c r="J3244" s="361"/>
      <c r="K3244" s="327"/>
      <c r="L3244" s="389">
        <v>1700</v>
      </c>
      <c r="M3244" s="371"/>
      <c r="N3244" s="355" t="str">
        <f t="shared" si="321"/>
        <v>PK</v>
      </c>
      <c r="O3244" s="345"/>
      <c r="P3244" s="392"/>
      <c r="Q3244" s="327"/>
      <c r="R3244" s="351"/>
      <c r="S3244" s="351"/>
      <c r="T3244" s="351"/>
      <c r="U3244" s="329" t="str">
        <f>IF($N3244=$N$4,IFERROR(INDEX(DanhMuc!$E$154:$E$165,MATCH(MID($B3244,4,2),DanhMuc!$B$154:$B$165,0)),""),"")</f>
        <v/>
      </c>
      <c r="V3244" s="361"/>
      <c r="W3244" s="345"/>
      <c r="X3244" s="329" t="str">
        <f t="shared" si="320"/>
        <v>2R</v>
      </c>
      <c r="Y3244" s="1128" t="s">
        <v>3380</v>
      </c>
      <c r="Z3244" s="1128" t="s">
        <v>3381</v>
      </c>
      <c r="AA3244" s="1128" t="s">
        <v>3384</v>
      </c>
      <c r="AB3244" s="20"/>
      <c r="AC3244" s="73"/>
    </row>
    <row r="3245" spans="1:29">
      <c r="A3245" s="327" t="str">
        <f>IF(AND($B3245&lt;&gt;"",$C3245&lt;&gt;""),MAX($A$1556:A3244)+1,"")</f>
        <v/>
      </c>
      <c r="B3245" s="361" t="s">
        <v>3172</v>
      </c>
      <c r="C3245" s="360"/>
      <c r="D3245" s="327">
        <f>IF($B3245="","",COUNTIF($B$6:$B3245,$B3245))</f>
        <v>19</v>
      </c>
      <c r="E3245" s="361" t="s">
        <v>167</v>
      </c>
      <c r="F3245" s="362" t="s">
        <v>168</v>
      </c>
      <c r="G3245" s="327" t="s">
        <v>155</v>
      </c>
      <c r="H3245" s="327"/>
      <c r="I3245" s="327">
        <v>2</v>
      </c>
      <c r="J3245" s="361"/>
      <c r="K3245" s="327"/>
      <c r="L3245" s="389">
        <v>1700</v>
      </c>
      <c r="M3245" s="371"/>
      <c r="N3245" s="355" t="str">
        <f t="shared" si="321"/>
        <v>PK</v>
      </c>
      <c r="O3245" s="345"/>
      <c r="P3245" s="392"/>
      <c r="Q3245" s="327"/>
      <c r="R3245" s="351"/>
      <c r="S3245" s="351"/>
      <c r="T3245" s="351"/>
      <c r="U3245" s="329" t="str">
        <f>IF($N3245=$N$4,IFERROR(INDEX(DanhMuc!$E$154:$E$165,MATCH(MID($B3245,4,2),DanhMuc!$B$154:$B$165,0)),""),"")</f>
        <v/>
      </c>
      <c r="V3245" s="361"/>
      <c r="W3245" s="345"/>
      <c r="X3245" s="329" t="str">
        <f t="shared" si="320"/>
        <v>2R</v>
      </c>
      <c r="Y3245" s="1128" t="s">
        <v>3380</v>
      </c>
      <c r="Z3245" s="1128" t="s">
        <v>3381</v>
      </c>
      <c r="AA3245" s="1128" t="s">
        <v>3384</v>
      </c>
      <c r="AB3245" s="20"/>
      <c r="AC3245" s="73"/>
    </row>
    <row r="3246" spans="1:29">
      <c r="A3246" s="327" t="str">
        <f>IF(AND($B3246&lt;&gt;"",$C3246&lt;&gt;""),MAX($A$1556:A3245)+1,"")</f>
        <v/>
      </c>
      <c r="B3246" s="361" t="s">
        <v>3172</v>
      </c>
      <c r="C3246" s="360"/>
      <c r="D3246" s="327">
        <f>IF($B3246="","",COUNTIF($B$6:$B3246,$B3246))</f>
        <v>20</v>
      </c>
      <c r="E3246" s="361" t="s">
        <v>169</v>
      </c>
      <c r="F3246" s="362" t="s">
        <v>170</v>
      </c>
      <c r="G3246" s="327" t="s">
        <v>155</v>
      </c>
      <c r="H3246" s="327"/>
      <c r="I3246" s="327">
        <v>4</v>
      </c>
      <c r="J3246" s="361"/>
      <c r="K3246" s="327"/>
      <c r="L3246" s="389">
        <v>1700</v>
      </c>
      <c r="M3246" s="371"/>
      <c r="N3246" s="355" t="str">
        <f t="shared" si="321"/>
        <v>PK</v>
      </c>
      <c r="O3246" s="345"/>
      <c r="P3246" s="392"/>
      <c r="Q3246" s="327"/>
      <c r="R3246" s="351"/>
      <c r="S3246" s="351"/>
      <c r="T3246" s="351"/>
      <c r="U3246" s="329" t="str">
        <f>IF($N3246=$N$4,IFERROR(INDEX(DanhMuc!$E$154:$E$165,MATCH(MID($B3246,4,2),DanhMuc!$B$154:$B$165,0)),""),"")</f>
        <v/>
      </c>
      <c r="V3246" s="361"/>
      <c r="W3246" s="345"/>
      <c r="X3246" s="329" t="str">
        <f t="shared" si="320"/>
        <v>2R</v>
      </c>
      <c r="Y3246" s="1128" t="s">
        <v>3380</v>
      </c>
      <c r="Z3246" s="1128" t="s">
        <v>3381</v>
      </c>
      <c r="AA3246" s="1128" t="s">
        <v>3384</v>
      </c>
      <c r="AB3246" s="20"/>
      <c r="AC3246" s="73"/>
    </row>
    <row r="3247" spans="1:29">
      <c r="A3247" s="327" t="str">
        <f>IF(AND($B3247&lt;&gt;"",$C3247&lt;&gt;""),MAX($A$1556:A3246)+1,"")</f>
        <v/>
      </c>
      <c r="B3247" s="361" t="s">
        <v>3172</v>
      </c>
      <c r="C3247" s="360"/>
      <c r="D3247" s="327">
        <f>IF($B3247="","",COUNTIF($B$6:$B3247,$B3247))</f>
        <v>21</v>
      </c>
      <c r="E3247" s="361" t="s">
        <v>171</v>
      </c>
      <c r="F3247" s="362" t="s">
        <v>291</v>
      </c>
      <c r="G3247" s="327" t="s">
        <v>155</v>
      </c>
      <c r="H3247" s="327"/>
      <c r="I3247" s="327">
        <v>4</v>
      </c>
      <c r="J3247" s="361"/>
      <c r="K3247" s="327"/>
      <c r="L3247" s="389">
        <v>1700</v>
      </c>
      <c r="M3247" s="371"/>
      <c r="N3247" s="355" t="str">
        <f t="shared" si="321"/>
        <v>PK</v>
      </c>
      <c r="O3247" s="345"/>
      <c r="P3247" s="392"/>
      <c r="Q3247" s="327"/>
      <c r="R3247" s="351"/>
      <c r="S3247" s="351"/>
      <c r="T3247" s="351"/>
      <c r="U3247" s="329" t="str">
        <f>IF($N3247=$N$4,IFERROR(INDEX(DanhMuc!$E$154:$E$165,MATCH(MID($B3247,4,2),DanhMuc!$B$154:$B$165,0)),""),"")</f>
        <v/>
      </c>
      <c r="V3247" s="361"/>
      <c r="W3247" s="345"/>
      <c r="X3247" s="329" t="str">
        <f t="shared" si="320"/>
        <v>2R</v>
      </c>
      <c r="Y3247" s="1128" t="s">
        <v>3380</v>
      </c>
      <c r="Z3247" s="1128" t="s">
        <v>3381</v>
      </c>
      <c r="AA3247" s="1128" t="s">
        <v>3384</v>
      </c>
      <c r="AB3247" s="20"/>
      <c r="AC3247" s="73"/>
    </row>
    <row r="3248" spans="1:29" ht="26">
      <c r="A3248" s="327">
        <f>IF(AND($B3248&lt;&gt;"",$C3248&lt;&gt;""),MAX($A$1556:A3205)+1,"")</f>
        <v>163</v>
      </c>
      <c r="B3248" s="359" t="s">
        <v>2888</v>
      </c>
      <c r="C3248" s="360" t="s">
        <v>1549</v>
      </c>
      <c r="D3248" s="327">
        <f>IF($B3248="","",COUNTIF($B$6:$B3248,$B3248))</f>
        <v>1</v>
      </c>
      <c r="E3248" s="361" t="s">
        <v>2952</v>
      </c>
      <c r="F3248" s="362" t="s">
        <v>2920</v>
      </c>
      <c r="G3248" s="327" t="s">
        <v>155</v>
      </c>
      <c r="H3248" s="327"/>
      <c r="I3248" s="327">
        <v>3</v>
      </c>
      <c r="J3248" s="359"/>
      <c r="K3248" s="327"/>
      <c r="L3248" s="389">
        <v>33329</v>
      </c>
      <c r="M3248" s="371"/>
      <c r="N3248" s="355" t="s">
        <v>153</v>
      </c>
      <c r="O3248" s="404" t="s">
        <v>1781</v>
      </c>
      <c r="P3248" s="392"/>
      <c r="Q3248" s="327"/>
      <c r="R3248" s="351"/>
      <c r="S3248" s="351"/>
      <c r="T3248" s="351"/>
      <c r="U3248" s="329" t="str">
        <f>IF($N3248=$N$4,IFERROR(INDEX(DanhMuc!$E$154:$E$165,MATCH(MID($B3248,4,2),DanhMuc!$B$154:$B$165,0)),""),"")</f>
        <v/>
      </c>
      <c r="V3248" s="361"/>
      <c r="W3248" s="345"/>
      <c r="X3248" s="329" t="str">
        <f t="shared" si="320"/>
        <v>DR</v>
      </c>
      <c r="Y3248" s="1128" t="s">
        <v>3380</v>
      </c>
      <c r="Z3248" s="1128" t="s">
        <v>3381</v>
      </c>
      <c r="AA3248" s="1128" t="s">
        <v>3384</v>
      </c>
      <c r="AB3248" s="20"/>
      <c r="AC3248" s="73"/>
    </row>
    <row r="3249" spans="1:29">
      <c r="A3249" s="327" t="str">
        <f>IF(AND($B3249&lt;&gt;"",$C3249&lt;&gt;""),MAX($A$1556:A3248)+1,"")</f>
        <v/>
      </c>
      <c r="B3249" s="361" t="s">
        <v>2888</v>
      </c>
      <c r="C3249" s="360"/>
      <c r="D3249" s="327">
        <f>IF($B3249="","",COUNTIF($B$6:$B3249,$B3249))</f>
        <v>2</v>
      </c>
      <c r="E3249" s="361" t="s">
        <v>2918</v>
      </c>
      <c r="F3249" s="362" t="s">
        <v>2919</v>
      </c>
      <c r="G3249" s="327" t="s">
        <v>155</v>
      </c>
      <c r="H3249" s="327"/>
      <c r="I3249" s="327">
        <v>3</v>
      </c>
      <c r="J3249" s="359"/>
      <c r="K3249" s="327"/>
      <c r="L3249" s="389">
        <v>5389</v>
      </c>
      <c r="M3249" s="371"/>
      <c r="N3249" s="355" t="s">
        <v>153</v>
      </c>
      <c r="O3249" s="404" t="s">
        <v>1781</v>
      </c>
      <c r="P3249" s="392"/>
      <c r="Q3249" s="327"/>
      <c r="R3249" s="351"/>
      <c r="S3249" s="351"/>
      <c r="T3249" s="351"/>
      <c r="U3249" s="329" t="str">
        <f>IF($N3249=$N$4,IFERROR(INDEX(DanhMuc!$E$154:$E$165,MATCH(MID($B3249,4,2),DanhMuc!$B$154:$B$165,0)),""),"")</f>
        <v/>
      </c>
      <c r="V3249" s="361"/>
      <c r="W3249" s="345"/>
      <c r="X3249" s="329" t="str">
        <f t="shared" si="320"/>
        <v>DR</v>
      </c>
      <c r="Y3249" s="1128" t="s">
        <v>3380</v>
      </c>
      <c r="Z3249" s="1128" t="s">
        <v>3381</v>
      </c>
      <c r="AA3249" s="1128" t="s">
        <v>3384</v>
      </c>
      <c r="AB3249" s="20"/>
      <c r="AC3249" s="73"/>
    </row>
    <row r="3250" spans="1:29">
      <c r="A3250" s="327" t="str">
        <f>IF(AND($B3250&lt;&gt;"",$C3250&lt;&gt;""),MAX($A$1556:A3248)+1,"")</f>
        <v/>
      </c>
      <c r="B3250" s="361" t="s">
        <v>2888</v>
      </c>
      <c r="C3250" s="360"/>
      <c r="D3250" s="327">
        <f>IF($B3250="","",COUNTIF($B$6:$B3250,$B3250))</f>
        <v>3</v>
      </c>
      <c r="E3250" s="362" t="s">
        <v>2969</v>
      </c>
      <c r="F3250" s="362" t="s">
        <v>2970</v>
      </c>
      <c r="G3250" s="327" t="s">
        <v>155</v>
      </c>
      <c r="H3250" s="327"/>
      <c r="I3250" s="327">
        <v>2</v>
      </c>
      <c r="J3250" s="359"/>
      <c r="K3250" s="327"/>
      <c r="L3250" s="389">
        <v>25815</v>
      </c>
      <c r="M3250" s="371"/>
      <c r="N3250" s="355" t="s">
        <v>153</v>
      </c>
      <c r="O3250" s="404" t="s">
        <v>1971</v>
      </c>
      <c r="P3250" s="392"/>
      <c r="Q3250" s="327"/>
      <c r="R3250" s="351"/>
      <c r="S3250" s="351"/>
      <c r="T3250" s="351"/>
      <c r="U3250" s="329" t="str">
        <f>IF($N3250=$N$4,IFERROR(INDEX(DanhMuc!$E$154:$E$165,MATCH(MID($B3250,4,2),DanhMuc!$B$154:$B$165,0)),""),"")</f>
        <v/>
      </c>
      <c r="V3250" s="361"/>
      <c r="W3250" s="345"/>
      <c r="X3250" s="329" t="str">
        <f t="shared" si="320"/>
        <v>DR</v>
      </c>
      <c r="Y3250" s="1128" t="s">
        <v>3380</v>
      </c>
      <c r="Z3250" s="1128" t="s">
        <v>3381</v>
      </c>
      <c r="AA3250" s="1128" t="s">
        <v>3384</v>
      </c>
      <c r="AB3250" s="20"/>
      <c r="AC3250" s="73"/>
    </row>
    <row r="3251" spans="1:29">
      <c r="A3251" s="327" t="str">
        <f>IF(AND($B3251&lt;&gt;"",$C3251&lt;&gt;""),MAX($A$1556:A3249)+1,"")</f>
        <v/>
      </c>
      <c r="B3251" s="361" t="s">
        <v>2888</v>
      </c>
      <c r="C3251" s="360"/>
      <c r="D3251" s="327">
        <f>IF($B3251="","",COUNTIF($B$6:$B3251,$B3251))</f>
        <v>4</v>
      </c>
      <c r="E3251" s="362" t="s">
        <v>2969</v>
      </c>
      <c r="F3251" s="362" t="s">
        <v>2971</v>
      </c>
      <c r="G3251" s="327" t="s">
        <v>155</v>
      </c>
      <c r="H3251" s="327"/>
      <c r="I3251" s="327">
        <v>2</v>
      </c>
      <c r="J3251" s="359"/>
      <c r="K3251" s="327"/>
      <c r="L3251" s="389">
        <v>25815</v>
      </c>
      <c r="M3251" s="371"/>
      <c r="N3251" s="355" t="s">
        <v>153</v>
      </c>
      <c r="O3251" s="404" t="s">
        <v>1972</v>
      </c>
      <c r="P3251" s="392"/>
      <c r="Q3251" s="327"/>
      <c r="R3251" s="351"/>
      <c r="S3251" s="351"/>
      <c r="T3251" s="351"/>
      <c r="U3251" s="329" t="str">
        <f>IF($N3251=$N$4,IFERROR(INDEX(DanhMuc!$E$154:$E$165,MATCH(MID($B3251,4,2),DanhMuc!$B$154:$B$165,0)),""),"")</f>
        <v/>
      </c>
      <c r="V3251" s="361"/>
      <c r="W3251" s="345"/>
      <c r="X3251" s="329" t="str">
        <f t="shared" si="320"/>
        <v>DR</v>
      </c>
      <c r="Y3251" s="1128" t="s">
        <v>3380</v>
      </c>
      <c r="Z3251" s="1128" t="s">
        <v>3381</v>
      </c>
      <c r="AA3251" s="1128" t="s">
        <v>3384</v>
      </c>
      <c r="AB3251" s="20"/>
      <c r="AC3251" s="73"/>
    </row>
    <row r="3252" spans="1:29">
      <c r="A3252" s="327" t="str">
        <f>IF(AND($B3252&lt;&gt;"",$C3252&lt;&gt;""),MAX($A$1556:A3250)+1,"")</f>
        <v/>
      </c>
      <c r="B3252" s="361" t="s">
        <v>2888</v>
      </c>
      <c r="C3252" s="360"/>
      <c r="D3252" s="327">
        <f>IF($B3252="","",COUNTIF($B$6:$B3252,$B3252))</f>
        <v>5</v>
      </c>
      <c r="E3252" s="361" t="s">
        <v>2953</v>
      </c>
      <c r="F3252" s="362" t="s">
        <v>1970</v>
      </c>
      <c r="G3252" s="327" t="s">
        <v>155</v>
      </c>
      <c r="H3252" s="327"/>
      <c r="I3252" s="327">
        <v>2</v>
      </c>
      <c r="J3252" s="359"/>
      <c r="K3252" s="327"/>
      <c r="L3252" s="389">
        <v>2933</v>
      </c>
      <c r="M3252" s="371"/>
      <c r="N3252" s="355" t="s">
        <v>153</v>
      </c>
      <c r="O3252" s="404" t="s">
        <v>1780</v>
      </c>
      <c r="P3252" s="392"/>
      <c r="Q3252" s="327"/>
      <c r="R3252" s="351"/>
      <c r="S3252" s="351"/>
      <c r="T3252" s="351"/>
      <c r="U3252" s="329" t="str">
        <f>IF($N3252=$N$4,IFERROR(INDEX(DanhMuc!$E$154:$E$165,MATCH(MID($B3252,4,2),DanhMuc!$B$154:$B$165,0)),""),"")</f>
        <v/>
      </c>
      <c r="V3252" s="361"/>
      <c r="W3252" s="345"/>
      <c r="X3252" s="329" t="str">
        <f t="shared" si="320"/>
        <v>DR</v>
      </c>
      <c r="Y3252" s="1128" t="s">
        <v>3380</v>
      </c>
      <c r="Z3252" s="1128" t="s">
        <v>3381</v>
      </c>
      <c r="AA3252" s="1128" t="s">
        <v>3384</v>
      </c>
      <c r="AB3252" s="20"/>
      <c r="AC3252" s="73"/>
    </row>
    <row r="3253" spans="1:29">
      <c r="A3253" s="327" t="str">
        <f>IF(AND($B3253&lt;&gt;"",$C3253&lt;&gt;""),MAX($A$1556:A3210)+1,"")</f>
        <v/>
      </c>
      <c r="B3253" s="361" t="s">
        <v>2888</v>
      </c>
      <c r="C3253" s="360"/>
      <c r="D3253" s="327">
        <f>IF($B3253="","",COUNTIF($B$6:$B3253,$B3253))</f>
        <v>6</v>
      </c>
      <c r="E3253" s="361" t="s">
        <v>2952</v>
      </c>
      <c r="F3253" s="362" t="s">
        <v>2920</v>
      </c>
      <c r="G3253" s="327" t="s">
        <v>155</v>
      </c>
      <c r="H3253" s="327"/>
      <c r="I3253" s="327">
        <v>2</v>
      </c>
      <c r="J3253" s="359"/>
      <c r="K3253" s="327"/>
      <c r="L3253" s="389">
        <v>33329</v>
      </c>
      <c r="M3253" s="371"/>
      <c r="N3253" s="355" t="s">
        <v>153</v>
      </c>
      <c r="O3253" s="404" t="s">
        <v>1782</v>
      </c>
      <c r="P3253" s="392"/>
      <c r="Q3253" s="327"/>
      <c r="R3253" s="351"/>
      <c r="S3253" s="351"/>
      <c r="T3253" s="351"/>
      <c r="U3253" s="329" t="str">
        <f>IF($N3253=$N$4,IFERROR(INDEX(DanhMuc!$E$154:$E$165,MATCH(MID($B3253,4,2),DanhMuc!$B$154:$B$165,0)),""),"")</f>
        <v/>
      </c>
      <c r="V3253" s="361"/>
      <c r="W3253" s="345"/>
      <c r="X3253" s="329" t="str">
        <f t="shared" si="320"/>
        <v>DR</v>
      </c>
      <c r="Y3253" s="1128" t="s">
        <v>3380</v>
      </c>
      <c r="Z3253" s="1128" t="s">
        <v>3381</v>
      </c>
      <c r="AA3253" s="1128" t="s">
        <v>3384</v>
      </c>
      <c r="AB3253" s="20"/>
      <c r="AC3253" s="73"/>
    </row>
    <row r="3254" spans="1:29">
      <c r="A3254" s="327" t="str">
        <f>IF(AND($B3254&lt;&gt;"",$C3254&lt;&gt;""),MAX($A$1556:A3253)+1,"")</f>
        <v/>
      </c>
      <c r="B3254" s="361" t="s">
        <v>2888</v>
      </c>
      <c r="C3254" s="360"/>
      <c r="D3254" s="327">
        <f>IF($B3254="","",COUNTIF($B$6:$B3254,$B3254))</f>
        <v>7</v>
      </c>
      <c r="E3254" s="361" t="s">
        <v>2918</v>
      </c>
      <c r="F3254" s="362" t="s">
        <v>2919</v>
      </c>
      <c r="G3254" s="327" t="s">
        <v>155</v>
      </c>
      <c r="H3254" s="327"/>
      <c r="I3254" s="327">
        <v>2</v>
      </c>
      <c r="J3254" s="359"/>
      <c r="K3254" s="327"/>
      <c r="L3254" s="389">
        <v>5389</v>
      </c>
      <c r="M3254" s="371"/>
      <c r="N3254" s="355" t="s">
        <v>153</v>
      </c>
      <c r="O3254" s="404" t="s">
        <v>1782</v>
      </c>
      <c r="P3254" s="392"/>
      <c r="Q3254" s="327"/>
      <c r="R3254" s="351"/>
      <c r="S3254" s="351"/>
      <c r="T3254" s="351"/>
      <c r="U3254" s="329" t="str">
        <f>IF($N3254=$N$4,IFERROR(INDEX(DanhMuc!$E$154:$E$165,MATCH(MID($B3254,4,2),DanhMuc!$B$154:$B$165,0)),""),"")</f>
        <v/>
      </c>
      <c r="V3254" s="361"/>
      <c r="W3254" s="345"/>
      <c r="X3254" s="329" t="str">
        <f t="shared" si="320"/>
        <v>DR</v>
      </c>
      <c r="Y3254" s="1128" t="s">
        <v>3380</v>
      </c>
      <c r="Z3254" s="1128" t="s">
        <v>3381</v>
      </c>
      <c r="AA3254" s="1128" t="s">
        <v>3384</v>
      </c>
      <c r="AB3254" s="20"/>
      <c r="AC3254" s="73"/>
    </row>
    <row r="3255" spans="1:29" ht="25">
      <c r="A3255" s="327" t="str">
        <f>IF(AND($B3255&lt;&gt;"",$C3255&lt;&gt;""),MAX($A$1556:A3249)+1,"")</f>
        <v/>
      </c>
      <c r="B3255" s="361" t="s">
        <v>2888</v>
      </c>
      <c r="C3255" s="360"/>
      <c r="D3255" s="327">
        <f>IF($B3255="","",COUNTIF($B$6:$B3255,$B3255))</f>
        <v>8</v>
      </c>
      <c r="E3255" s="361" t="s">
        <v>2921</v>
      </c>
      <c r="F3255" s="362" t="s">
        <v>210</v>
      </c>
      <c r="G3255" s="327" t="s">
        <v>155</v>
      </c>
      <c r="H3255" s="327"/>
      <c r="I3255" s="327">
        <v>1</v>
      </c>
      <c r="J3255" s="359"/>
      <c r="K3255" s="327"/>
      <c r="L3255" s="389">
        <v>68884</v>
      </c>
      <c r="M3255" s="371"/>
      <c r="N3255" s="355" t="s">
        <v>153</v>
      </c>
      <c r="O3255" s="404" t="s">
        <v>1782</v>
      </c>
      <c r="P3255" s="392"/>
      <c r="Q3255" s="327"/>
      <c r="R3255" s="351"/>
      <c r="S3255" s="351"/>
      <c r="T3255" s="351"/>
      <c r="U3255" s="329" t="str">
        <f>IF($N3255=$N$4,IFERROR(INDEX(DanhMuc!$E$154:$E$165,MATCH(MID($B3255,4,2),DanhMuc!$B$154:$B$165,0)),""),"")</f>
        <v/>
      </c>
      <c r="V3255" s="361"/>
      <c r="W3255" s="345"/>
      <c r="X3255" s="329" t="str">
        <f t="shared" si="320"/>
        <v>DR</v>
      </c>
      <c r="Y3255" s="1128" t="s">
        <v>3380</v>
      </c>
      <c r="Z3255" s="1128" t="s">
        <v>3381</v>
      </c>
      <c r="AA3255" s="1128" t="s">
        <v>3384</v>
      </c>
      <c r="AB3255" s="20"/>
      <c r="AC3255" s="73"/>
    </row>
    <row r="3256" spans="1:29" ht="50">
      <c r="A3256" s="327" t="str">
        <f>IF(AND($B3256&lt;&gt;"",$C3256&lt;&gt;""),MAX($A$1556:A3255)+1,"")</f>
        <v/>
      </c>
      <c r="B3256" s="361" t="s">
        <v>2888</v>
      </c>
      <c r="C3256" s="360"/>
      <c r="D3256" s="327">
        <f>IF($B3256="","",COUNTIF($B$6:$B3256,$B3256))</f>
        <v>9</v>
      </c>
      <c r="E3256" s="403" t="s">
        <v>2973</v>
      </c>
      <c r="F3256" s="403" t="s">
        <v>953</v>
      </c>
      <c r="G3256" s="410" t="s">
        <v>156</v>
      </c>
      <c r="H3256" s="327" t="s">
        <v>536</v>
      </c>
      <c r="I3256" s="411" t="s">
        <v>2856</v>
      </c>
      <c r="J3256" s="404"/>
      <c r="K3256" s="410"/>
      <c r="L3256" s="389">
        <v>49122</v>
      </c>
      <c r="M3256" s="371"/>
      <c r="N3256" s="355" t="s">
        <v>153</v>
      </c>
      <c r="O3256" s="404" t="s">
        <v>1782</v>
      </c>
      <c r="P3256" s="392"/>
      <c r="Q3256" s="327"/>
      <c r="R3256" s="351"/>
      <c r="S3256" s="351"/>
      <c r="T3256" s="351"/>
      <c r="U3256" s="329" t="str">
        <f>IF($N3256=$N$4,IFERROR(INDEX(DanhMuc!$E$154:$E$165,MATCH(MID($B3256,4,2),DanhMuc!$B$154:$B$165,0)),""),"")</f>
        <v/>
      </c>
      <c r="V3256" s="361"/>
      <c r="W3256" s="345"/>
      <c r="X3256" s="329" t="str">
        <f t="shared" si="320"/>
        <v>DR</v>
      </c>
      <c r="Y3256" s="1128" t="s">
        <v>3380</v>
      </c>
      <c r="Z3256" s="1128" t="s">
        <v>3381</v>
      </c>
      <c r="AA3256" s="1128" t="s">
        <v>3384</v>
      </c>
      <c r="AB3256" s="20"/>
      <c r="AC3256" s="73"/>
    </row>
    <row r="3257" spans="1:29" ht="50">
      <c r="A3257" s="327" t="str">
        <f>IF(AND($B3257&lt;&gt;"",$C3257&lt;&gt;""),MAX($A$1556:A3256)+1,"")</f>
        <v/>
      </c>
      <c r="B3257" s="361" t="s">
        <v>2888</v>
      </c>
      <c r="C3257" s="360"/>
      <c r="D3257" s="327">
        <f>IF($B3257="","",COUNTIF($B$6:$B3257,$B3257))</f>
        <v>10</v>
      </c>
      <c r="E3257" s="403" t="s">
        <v>2974</v>
      </c>
      <c r="F3257" s="403" t="s">
        <v>1059</v>
      </c>
      <c r="G3257" s="410" t="s">
        <v>156</v>
      </c>
      <c r="H3257" s="327" t="s">
        <v>536</v>
      </c>
      <c r="I3257" s="411" t="s">
        <v>2853</v>
      </c>
      <c r="J3257" s="404"/>
      <c r="K3257" s="410"/>
      <c r="L3257" s="389">
        <v>59067</v>
      </c>
      <c r="M3257" s="371"/>
      <c r="N3257" s="355" t="s">
        <v>153</v>
      </c>
      <c r="O3257" s="404" t="s">
        <v>1782</v>
      </c>
      <c r="P3257" s="392"/>
      <c r="Q3257" s="327"/>
      <c r="R3257" s="351"/>
      <c r="S3257" s="351"/>
      <c r="T3257" s="351"/>
      <c r="U3257" s="329" t="str">
        <f>IF($N3257=$N$4,IFERROR(INDEX(DanhMuc!$E$154:$E$165,MATCH(MID($B3257,4,2),DanhMuc!$B$154:$B$165,0)),""),"")</f>
        <v/>
      </c>
      <c r="V3257" s="361"/>
      <c r="W3257" s="345"/>
      <c r="X3257" s="329" t="str">
        <f t="shared" si="320"/>
        <v>DR</v>
      </c>
      <c r="Y3257" s="1128" t="s">
        <v>3380</v>
      </c>
      <c r="Z3257" s="1128" t="s">
        <v>3381</v>
      </c>
      <c r="AA3257" s="1128" t="s">
        <v>3384</v>
      </c>
      <c r="AB3257" s="20"/>
      <c r="AC3257" s="73"/>
    </row>
    <row r="3258" spans="1:29" ht="50">
      <c r="A3258" s="327" t="str">
        <f>IF(AND($B3258&lt;&gt;"",$C3258&lt;&gt;""),MAX($A$1556:A3257)+1,"")</f>
        <v/>
      </c>
      <c r="B3258" s="361" t="s">
        <v>2888</v>
      </c>
      <c r="C3258" s="360"/>
      <c r="D3258" s="327">
        <f>IF($B3258="","",COUNTIF($B$6:$B3258,$B3258))</f>
        <v>11</v>
      </c>
      <c r="E3258" s="403" t="s">
        <v>2987</v>
      </c>
      <c r="F3258" s="403" t="s">
        <v>956</v>
      </c>
      <c r="G3258" s="410" t="s">
        <v>156</v>
      </c>
      <c r="H3258" s="327" t="s">
        <v>536</v>
      </c>
      <c r="I3258" s="411" t="s">
        <v>2854</v>
      </c>
      <c r="J3258" s="404"/>
      <c r="K3258" s="410"/>
      <c r="L3258" s="389">
        <v>77078</v>
      </c>
      <c r="M3258" s="371"/>
      <c r="N3258" s="355" t="s">
        <v>153</v>
      </c>
      <c r="O3258" s="404" t="s">
        <v>1782</v>
      </c>
      <c r="P3258" s="392"/>
      <c r="Q3258" s="327"/>
      <c r="R3258" s="351"/>
      <c r="S3258" s="351"/>
      <c r="T3258" s="351"/>
      <c r="U3258" s="329" t="str">
        <f>IF($N3258=$N$4,IFERROR(INDEX(DanhMuc!$E$154:$E$165,MATCH(MID($B3258,4,2),DanhMuc!$B$154:$B$165,0)),""),"")</f>
        <v/>
      </c>
      <c r="V3258" s="361"/>
      <c r="W3258" s="345"/>
      <c r="X3258" s="329" t="str">
        <f t="shared" si="320"/>
        <v>DR</v>
      </c>
      <c r="Y3258" s="1128" t="s">
        <v>3380</v>
      </c>
      <c r="Z3258" s="1128" t="s">
        <v>3381</v>
      </c>
      <c r="AA3258" s="1128" t="s">
        <v>3384</v>
      </c>
      <c r="AB3258" s="20"/>
      <c r="AC3258" s="73"/>
    </row>
    <row r="3259" spans="1:29" ht="50">
      <c r="A3259" s="327" t="str">
        <f>IF(AND($B3259&lt;&gt;"",$C3259&lt;&gt;""),MAX($A$1556:A3258)+1,"")</f>
        <v/>
      </c>
      <c r="B3259" s="361" t="s">
        <v>2888</v>
      </c>
      <c r="C3259" s="360"/>
      <c r="D3259" s="327">
        <f>IF($B3259="","",COUNTIF($B$6:$B3259,$B3259))</f>
        <v>12</v>
      </c>
      <c r="E3259" s="403" t="s">
        <v>2975</v>
      </c>
      <c r="F3259" s="403" t="s">
        <v>183</v>
      </c>
      <c r="G3259" s="410" t="s">
        <v>156</v>
      </c>
      <c r="H3259" s="327" t="s">
        <v>536</v>
      </c>
      <c r="I3259" s="411" t="s">
        <v>2855</v>
      </c>
      <c r="J3259" s="404"/>
      <c r="K3259" s="410"/>
      <c r="L3259" s="415">
        <v>77078</v>
      </c>
      <c r="M3259" s="371"/>
      <c r="N3259" s="355" t="s">
        <v>153</v>
      </c>
      <c r="O3259" s="404" t="s">
        <v>1782</v>
      </c>
      <c r="P3259" s="392"/>
      <c r="Q3259" s="327"/>
      <c r="R3259" s="351"/>
      <c r="S3259" s="351"/>
      <c r="T3259" s="351"/>
      <c r="U3259" s="329" t="str">
        <f>IF($N3259=$N$4,IFERROR(INDEX(DanhMuc!$E$154:$E$165,MATCH(MID($B3259,4,2),DanhMuc!$B$154:$B$165,0)),""),"")</f>
        <v/>
      </c>
      <c r="V3259" s="361"/>
      <c r="W3259" s="345"/>
      <c r="X3259" s="329" t="str">
        <f t="shared" si="320"/>
        <v>DR</v>
      </c>
      <c r="Y3259" s="1128" t="s">
        <v>3380</v>
      </c>
      <c r="Z3259" s="1128" t="s">
        <v>3381</v>
      </c>
      <c r="AA3259" s="1128" t="s">
        <v>3384</v>
      </c>
      <c r="AB3259" s="20"/>
      <c r="AC3259" s="73"/>
    </row>
    <row r="3260" spans="1:29">
      <c r="A3260" s="327" t="str">
        <f>IF(AND($B3260&lt;&gt;"",$C3260&lt;&gt;""),MAX($A$1556:A3259)+1,"")</f>
        <v/>
      </c>
      <c r="B3260" s="361" t="s">
        <v>2888</v>
      </c>
      <c r="C3260" s="360"/>
      <c r="D3260" s="327">
        <f>IF($B3260="","",COUNTIF($B$6:$B3260,$B3260))</f>
        <v>13</v>
      </c>
      <c r="E3260" s="361" t="s">
        <v>2922</v>
      </c>
      <c r="F3260" s="362" t="s">
        <v>981</v>
      </c>
      <c r="G3260" s="327" t="s">
        <v>155</v>
      </c>
      <c r="H3260" s="327" t="s">
        <v>536</v>
      </c>
      <c r="I3260" s="327">
        <v>2</v>
      </c>
      <c r="J3260" s="359"/>
      <c r="K3260" s="327"/>
      <c r="L3260" s="389">
        <v>4514</v>
      </c>
      <c r="M3260" s="371"/>
      <c r="N3260" s="355" t="str">
        <f t="shared" ref="N3260:N3270" si="322">+$N$1555</f>
        <v>PK</v>
      </c>
      <c r="O3260" s="404" t="s">
        <v>1782</v>
      </c>
      <c r="P3260" s="392"/>
      <c r="Q3260" s="327"/>
      <c r="R3260" s="351"/>
      <c r="S3260" s="351"/>
      <c r="T3260" s="351"/>
      <c r="U3260" s="329" t="str">
        <f>IF($N3260=$N$4,IFERROR(INDEX(DanhMuc!$E$154:$E$165,MATCH(MID($B3260,4,2),DanhMuc!$B$154:$B$165,0)),""),"")</f>
        <v/>
      </c>
      <c r="V3260" s="361"/>
      <c r="W3260" s="345"/>
      <c r="X3260" s="329" t="str">
        <f t="shared" si="320"/>
        <v>DR</v>
      </c>
      <c r="Y3260" s="1128" t="s">
        <v>3380</v>
      </c>
      <c r="Z3260" s="1128" t="s">
        <v>3381</v>
      </c>
      <c r="AA3260" s="1128" t="s">
        <v>3384</v>
      </c>
      <c r="AB3260" s="20"/>
      <c r="AC3260" s="73"/>
    </row>
    <row r="3261" spans="1:29">
      <c r="A3261" s="327" t="str">
        <f>IF(AND($B3261&lt;&gt;"",$C3261&lt;&gt;""),MAX($A$1556:A3260)+1,"")</f>
        <v/>
      </c>
      <c r="B3261" s="361" t="s">
        <v>2888</v>
      </c>
      <c r="C3261" s="360"/>
      <c r="D3261" s="327">
        <f>IF($B3261="","",COUNTIF($B$6:$B3261,$B3261))</f>
        <v>14</v>
      </c>
      <c r="E3261" s="361" t="s">
        <v>187</v>
      </c>
      <c r="F3261" s="362" t="s">
        <v>189</v>
      </c>
      <c r="G3261" s="327" t="s">
        <v>155</v>
      </c>
      <c r="H3261" s="327"/>
      <c r="I3261" s="327">
        <v>4</v>
      </c>
      <c r="J3261" s="361"/>
      <c r="K3261" s="327"/>
      <c r="L3261" s="389">
        <v>5000</v>
      </c>
      <c r="M3261" s="371"/>
      <c r="N3261" s="355" t="str">
        <f t="shared" si="322"/>
        <v>PK</v>
      </c>
      <c r="O3261" s="345"/>
      <c r="P3261" s="392"/>
      <c r="Q3261" s="327"/>
      <c r="R3261" s="351"/>
      <c r="S3261" s="351"/>
      <c r="T3261" s="351"/>
      <c r="U3261" s="329" t="str">
        <f>IF($N3261=$N$4,IFERROR(INDEX(DanhMuc!$E$154:$E$165,MATCH(MID($B3261,4,2),DanhMuc!$B$154:$B$165,0)),""),"")</f>
        <v/>
      </c>
      <c r="V3261" s="361"/>
      <c r="W3261" s="345"/>
      <c r="X3261" s="329" t="str">
        <f t="shared" si="320"/>
        <v>DR</v>
      </c>
      <c r="Y3261" s="1128" t="s">
        <v>3380</v>
      </c>
      <c r="Z3261" s="1128" t="s">
        <v>3381</v>
      </c>
      <c r="AA3261" s="1128" t="s">
        <v>3384</v>
      </c>
      <c r="AB3261" s="20"/>
      <c r="AC3261" s="73"/>
    </row>
    <row r="3262" spans="1:29">
      <c r="A3262" s="327" t="str">
        <f>IF(AND($B3262&lt;&gt;"",$C3262&lt;&gt;""),MAX($A$1556:A3261)+1,"")</f>
        <v/>
      </c>
      <c r="B3262" s="361" t="s">
        <v>2888</v>
      </c>
      <c r="C3262" s="360"/>
      <c r="D3262" s="327">
        <f>IF($B3262="","",COUNTIF($B$6:$B3262,$B3262))</f>
        <v>15</v>
      </c>
      <c r="E3262" s="361" t="s">
        <v>163</v>
      </c>
      <c r="F3262" s="362" t="s">
        <v>164</v>
      </c>
      <c r="G3262" s="327" t="s">
        <v>155</v>
      </c>
      <c r="H3262" s="327"/>
      <c r="I3262" s="327">
        <v>4</v>
      </c>
      <c r="J3262" s="361"/>
      <c r="K3262" s="327"/>
      <c r="L3262" s="389">
        <v>2500</v>
      </c>
      <c r="M3262" s="371"/>
      <c r="N3262" s="355" t="str">
        <f t="shared" si="322"/>
        <v>PK</v>
      </c>
      <c r="O3262" s="345"/>
      <c r="P3262" s="392"/>
      <c r="Q3262" s="327"/>
      <c r="R3262" s="351"/>
      <c r="S3262" s="351"/>
      <c r="T3262" s="351"/>
      <c r="U3262" s="329" t="str">
        <f>IF($N3262=$N$4,IFERROR(INDEX(DanhMuc!$E$154:$E$165,MATCH(MID($B3262,4,2),DanhMuc!$B$154:$B$165,0)),""),"")</f>
        <v/>
      </c>
      <c r="V3262" s="408" t="s">
        <v>342</v>
      </c>
      <c r="W3262" s="345"/>
      <c r="X3262" s="329" t="str">
        <f t="shared" si="320"/>
        <v>DR</v>
      </c>
      <c r="Y3262" s="1128" t="s">
        <v>3380</v>
      </c>
      <c r="Z3262" s="1128" t="s">
        <v>3381</v>
      </c>
      <c r="AA3262" s="1128" t="s">
        <v>3384</v>
      </c>
      <c r="AB3262" s="20"/>
      <c r="AC3262" s="73"/>
    </row>
    <row r="3263" spans="1:29">
      <c r="A3263" s="327" t="str">
        <f>IF(AND($B3263&lt;&gt;"",$C3263&lt;&gt;""),MAX($A$1556:A3262)+1,"")</f>
        <v/>
      </c>
      <c r="B3263" s="361" t="s">
        <v>2888</v>
      </c>
      <c r="C3263" s="360"/>
      <c r="D3263" s="327">
        <f>IF($B3263="","",COUNTIF($B$6:$B3263,$B3263))</f>
        <v>16</v>
      </c>
      <c r="E3263" s="361" t="s">
        <v>2968</v>
      </c>
      <c r="F3263" s="362" t="s">
        <v>162</v>
      </c>
      <c r="G3263" s="327" t="s">
        <v>155</v>
      </c>
      <c r="H3263" s="327" t="s">
        <v>536</v>
      </c>
      <c r="I3263" s="327">
        <v>8</v>
      </c>
      <c r="J3263" s="361"/>
      <c r="K3263" s="327"/>
      <c r="L3263" s="389">
        <v>12070</v>
      </c>
      <c r="M3263" s="371"/>
      <c r="N3263" s="355" t="str">
        <f t="shared" si="322"/>
        <v>PK</v>
      </c>
      <c r="O3263" s="345" t="s">
        <v>1705</v>
      </c>
      <c r="P3263" s="392"/>
      <c r="Q3263" s="327"/>
      <c r="R3263" s="351"/>
      <c r="S3263" s="351"/>
      <c r="T3263" s="351"/>
      <c r="U3263" s="329" t="str">
        <f>IF($N3263=$N$4,IFERROR(INDEX(DanhMuc!$E$154:$E$165,MATCH(MID($B3263,4,2),DanhMuc!$B$154:$B$165,0)),""),"")</f>
        <v/>
      </c>
      <c r="V3263" s="361"/>
      <c r="W3263" s="345"/>
      <c r="X3263" s="329" t="str">
        <f t="shared" si="320"/>
        <v>DR</v>
      </c>
      <c r="Y3263" s="1128" t="s">
        <v>3380</v>
      </c>
      <c r="Z3263" s="1128" t="s">
        <v>3381</v>
      </c>
      <c r="AA3263" s="1128" t="s">
        <v>3384</v>
      </c>
      <c r="AB3263" s="20"/>
      <c r="AC3263" s="73"/>
    </row>
    <row r="3264" spans="1:29">
      <c r="A3264" s="327" t="str">
        <f>IF(AND($B3264&lt;&gt;"",$C3264&lt;&gt;""),MAX($A$1556:A3262)+1,"")</f>
        <v/>
      </c>
      <c r="B3264" s="361" t="s">
        <v>2888</v>
      </c>
      <c r="C3264" s="360"/>
      <c r="D3264" s="327">
        <f>IF($B3264="","",COUNTIF($B$6:$B3264,$B3264))</f>
        <v>17</v>
      </c>
      <c r="E3264" s="361" t="s">
        <v>2923</v>
      </c>
      <c r="F3264" s="362" t="s">
        <v>186</v>
      </c>
      <c r="G3264" s="327" t="s">
        <v>155</v>
      </c>
      <c r="H3264" s="327" t="s">
        <v>536</v>
      </c>
      <c r="I3264" s="327">
        <v>8</v>
      </c>
      <c r="J3264" s="361"/>
      <c r="K3264" s="327"/>
      <c r="L3264" s="389">
        <v>40308</v>
      </c>
      <c r="M3264" s="371"/>
      <c r="N3264" s="355" t="str">
        <f t="shared" si="322"/>
        <v>PK</v>
      </c>
      <c r="O3264" s="345" t="s">
        <v>1704</v>
      </c>
      <c r="P3264" s="392"/>
      <c r="Q3264" s="327"/>
      <c r="R3264" s="351"/>
      <c r="S3264" s="351"/>
      <c r="T3264" s="351"/>
      <c r="U3264" s="329" t="str">
        <f>IF($N3264=$N$4,IFERROR(INDEX(DanhMuc!$E$154:$E$165,MATCH(MID($B3264,4,2),DanhMuc!$B$154:$B$165,0)),""),"")</f>
        <v/>
      </c>
      <c r="V3264" s="361"/>
      <c r="W3264" s="345"/>
      <c r="X3264" s="329" t="str">
        <f t="shared" si="320"/>
        <v>DR</v>
      </c>
      <c r="Y3264" s="1128" t="s">
        <v>3380</v>
      </c>
      <c r="Z3264" s="1128" t="s">
        <v>3381</v>
      </c>
      <c r="AA3264" s="1128" t="s">
        <v>3384</v>
      </c>
      <c r="AB3264" s="20"/>
      <c r="AC3264" s="73"/>
    </row>
    <row r="3265" spans="1:29">
      <c r="A3265" s="327" t="str">
        <f>IF(AND($B3265&lt;&gt;"",$C3265&lt;&gt;""),MAX($A$1556:A3263)+1,"")</f>
        <v/>
      </c>
      <c r="B3265" s="361" t="s">
        <v>2888</v>
      </c>
      <c r="C3265" s="360"/>
      <c r="D3265" s="327">
        <f>IF($B3265="","",COUNTIF($B$6:$B3265,$B3265))</f>
        <v>18</v>
      </c>
      <c r="E3265" s="361" t="s">
        <v>165</v>
      </c>
      <c r="F3265" s="362" t="s">
        <v>166</v>
      </c>
      <c r="G3265" s="327" t="s">
        <v>155</v>
      </c>
      <c r="H3265" s="327"/>
      <c r="I3265" s="327">
        <v>4</v>
      </c>
      <c r="J3265" s="361"/>
      <c r="K3265" s="327"/>
      <c r="L3265" s="389">
        <v>1700</v>
      </c>
      <c r="M3265" s="371"/>
      <c r="N3265" s="355" t="str">
        <f t="shared" si="322"/>
        <v>PK</v>
      </c>
      <c r="O3265" s="345"/>
      <c r="P3265" s="392"/>
      <c r="Q3265" s="327"/>
      <c r="R3265" s="351"/>
      <c r="S3265" s="351"/>
      <c r="T3265" s="351"/>
      <c r="U3265" s="329" t="str">
        <f>IF($N3265=$N$4,IFERROR(INDEX(DanhMuc!$E$154:$E$165,MATCH(MID($B3265,4,2),DanhMuc!$B$154:$B$165,0)),""),"")</f>
        <v/>
      </c>
      <c r="V3265" s="361"/>
      <c r="W3265" s="345"/>
      <c r="X3265" s="329" t="str">
        <f t="shared" si="320"/>
        <v>DR</v>
      </c>
      <c r="Y3265" s="1128" t="s">
        <v>3380</v>
      </c>
      <c r="Z3265" s="1128" t="s">
        <v>3381</v>
      </c>
      <c r="AA3265" s="1128" t="s">
        <v>3384</v>
      </c>
      <c r="AB3265" s="20"/>
      <c r="AC3265" s="73"/>
    </row>
    <row r="3266" spans="1:29">
      <c r="A3266" s="327" t="str">
        <f>IF(AND($B3266&lt;&gt;"",$C3266&lt;&gt;""),MAX($A$1556:A3265)+1,"")</f>
        <v/>
      </c>
      <c r="B3266" s="361" t="s">
        <v>2888</v>
      </c>
      <c r="C3266" s="360"/>
      <c r="D3266" s="327">
        <f>IF($B3266="","",COUNTIF($B$6:$B3266,$B3266))</f>
        <v>19</v>
      </c>
      <c r="E3266" s="361" t="s">
        <v>167</v>
      </c>
      <c r="F3266" s="362" t="s">
        <v>168</v>
      </c>
      <c r="G3266" s="327" t="s">
        <v>155</v>
      </c>
      <c r="H3266" s="327"/>
      <c r="I3266" s="327">
        <v>4</v>
      </c>
      <c r="J3266" s="361"/>
      <c r="K3266" s="327"/>
      <c r="L3266" s="389">
        <v>1700</v>
      </c>
      <c r="M3266" s="371"/>
      <c r="N3266" s="355" t="str">
        <f t="shared" si="322"/>
        <v>PK</v>
      </c>
      <c r="O3266" s="345"/>
      <c r="P3266" s="392"/>
      <c r="Q3266" s="327"/>
      <c r="R3266" s="351"/>
      <c r="S3266" s="351"/>
      <c r="T3266" s="351"/>
      <c r="U3266" s="329" t="str">
        <f>IF($N3266=$N$4,IFERROR(INDEX(DanhMuc!$E$154:$E$165,MATCH(MID($B3266,4,2),DanhMuc!$B$154:$B$165,0)),""),"")</f>
        <v/>
      </c>
      <c r="V3266" s="361"/>
      <c r="W3266" s="345"/>
      <c r="X3266" s="329" t="str">
        <f t="shared" si="320"/>
        <v>DR</v>
      </c>
      <c r="Y3266" s="1128" t="s">
        <v>3380</v>
      </c>
      <c r="Z3266" s="1128" t="s">
        <v>3381</v>
      </c>
      <c r="AA3266" s="1128" t="s">
        <v>3384</v>
      </c>
      <c r="AB3266" s="20"/>
      <c r="AC3266" s="73"/>
    </row>
    <row r="3267" spans="1:29">
      <c r="A3267" s="327" t="str">
        <f>IF(AND($B3267&lt;&gt;"",$C3267&lt;&gt;""),MAX($A$1556:A3266)+1,"")</f>
        <v/>
      </c>
      <c r="B3267" s="361" t="s">
        <v>2888</v>
      </c>
      <c r="C3267" s="360"/>
      <c r="D3267" s="327">
        <f>IF($B3267="","",COUNTIF($B$6:$B3267,$B3267))</f>
        <v>20</v>
      </c>
      <c r="E3267" s="361" t="s">
        <v>169</v>
      </c>
      <c r="F3267" s="362" t="s">
        <v>170</v>
      </c>
      <c r="G3267" s="327" t="s">
        <v>155</v>
      </c>
      <c r="H3267" s="327"/>
      <c r="I3267" s="327">
        <v>4</v>
      </c>
      <c r="J3267" s="361"/>
      <c r="K3267" s="327"/>
      <c r="L3267" s="389">
        <v>1700</v>
      </c>
      <c r="M3267" s="371"/>
      <c r="N3267" s="355" t="str">
        <f t="shared" si="322"/>
        <v>PK</v>
      </c>
      <c r="O3267" s="345"/>
      <c r="P3267" s="392"/>
      <c r="Q3267" s="327"/>
      <c r="R3267" s="351"/>
      <c r="S3267" s="351"/>
      <c r="T3267" s="351"/>
      <c r="U3267" s="329" t="str">
        <f>IF($N3267=$N$4,IFERROR(INDEX(DanhMuc!$E$154:$E$165,MATCH(MID($B3267,4,2),DanhMuc!$B$154:$B$165,0)),""),"")</f>
        <v/>
      </c>
      <c r="V3267" s="361"/>
      <c r="W3267" s="345"/>
      <c r="X3267" s="329" t="str">
        <f t="shared" si="320"/>
        <v>DR</v>
      </c>
      <c r="Y3267" s="1128" t="s">
        <v>3380</v>
      </c>
      <c r="Z3267" s="1128" t="s">
        <v>3381</v>
      </c>
      <c r="AA3267" s="1128" t="s">
        <v>3384</v>
      </c>
      <c r="AB3267" s="20"/>
      <c r="AC3267" s="73"/>
    </row>
    <row r="3268" spans="1:29">
      <c r="A3268" s="327" t="str">
        <f>IF(AND($B3268&lt;&gt;"",$C3268&lt;&gt;""),MAX($A$1556:A3267)+1,"")</f>
        <v/>
      </c>
      <c r="B3268" s="361" t="s">
        <v>2888</v>
      </c>
      <c r="C3268" s="360"/>
      <c r="D3268" s="327">
        <f>IF($B3268="","",COUNTIF($B$6:$B3268,$B3268))</f>
        <v>21</v>
      </c>
      <c r="E3268" s="361" t="s">
        <v>171</v>
      </c>
      <c r="F3268" s="362" t="s">
        <v>291</v>
      </c>
      <c r="G3268" s="327" t="s">
        <v>155</v>
      </c>
      <c r="H3268" s="327"/>
      <c r="I3268" s="327">
        <v>4</v>
      </c>
      <c r="J3268" s="361"/>
      <c r="K3268" s="327"/>
      <c r="L3268" s="389">
        <v>1700</v>
      </c>
      <c r="M3268" s="371"/>
      <c r="N3268" s="355" t="str">
        <f t="shared" si="322"/>
        <v>PK</v>
      </c>
      <c r="O3268" s="345"/>
      <c r="P3268" s="392"/>
      <c r="Q3268" s="327"/>
      <c r="R3268" s="351"/>
      <c r="S3268" s="351"/>
      <c r="T3268" s="351"/>
      <c r="U3268" s="329" t="str">
        <f>IF($N3268=$N$4,IFERROR(INDEX(DanhMuc!$E$154:$E$165,MATCH(MID($B3268,4,2),DanhMuc!$B$154:$B$165,0)),""),"")</f>
        <v/>
      </c>
      <c r="V3268" s="361"/>
      <c r="W3268" s="345"/>
      <c r="X3268" s="329" t="str">
        <f t="shared" si="320"/>
        <v>DR</v>
      </c>
      <c r="Y3268" s="1128" t="s">
        <v>3380</v>
      </c>
      <c r="Z3268" s="1128" t="s">
        <v>3381</v>
      </c>
      <c r="AA3268" s="1128" t="s">
        <v>3384</v>
      </c>
      <c r="AB3268" s="20"/>
      <c r="AC3268" s="73"/>
    </row>
    <row r="3269" spans="1:29" ht="26">
      <c r="A3269" s="327">
        <f>IF(AND($B3269&lt;&gt;"",$C3269&lt;&gt;""),MAX($A$1556:A3261)+1,"")</f>
        <v>165</v>
      </c>
      <c r="B3269" s="359" t="s">
        <v>2889</v>
      </c>
      <c r="C3269" s="360" t="s">
        <v>1554</v>
      </c>
      <c r="D3269" s="327">
        <f>IF($B3269="","",COUNTIF($B$6:$B3269,$B3269))</f>
        <v>1</v>
      </c>
      <c r="E3269" s="361" t="s">
        <v>2952</v>
      </c>
      <c r="F3269" s="362" t="s">
        <v>2920</v>
      </c>
      <c r="G3269" s="327" t="s">
        <v>155</v>
      </c>
      <c r="H3269" s="327"/>
      <c r="I3269" s="327">
        <v>2</v>
      </c>
      <c r="J3269" s="345"/>
      <c r="K3269" s="327"/>
      <c r="L3269" s="389">
        <v>33329</v>
      </c>
      <c r="M3269" s="371"/>
      <c r="N3269" s="355" t="str">
        <f t="shared" si="322"/>
        <v>PK</v>
      </c>
      <c r="O3269" s="404" t="s">
        <v>1781</v>
      </c>
      <c r="P3269" s="392"/>
      <c r="Q3269" s="327"/>
      <c r="R3269" s="351"/>
      <c r="S3269" s="351"/>
      <c r="T3269" s="351"/>
      <c r="U3269" s="329" t="str">
        <f>IF($N3269=$N$4,IFERROR(INDEX(DanhMuc!$E$154:$E$165,MATCH(MID($B3269,4,2),DanhMuc!$B$154:$B$165,0)),""),"")</f>
        <v/>
      </c>
      <c r="V3269" s="361"/>
      <c r="W3269" s="345"/>
      <c r="X3269" s="329" t="str">
        <f t="shared" si="320"/>
        <v>DR</v>
      </c>
      <c r="Y3269" s="1128" t="s">
        <v>3380</v>
      </c>
      <c r="Z3269" s="1128" t="s">
        <v>3381</v>
      </c>
      <c r="AA3269" s="1128" t="s">
        <v>3384</v>
      </c>
      <c r="AB3269" s="20"/>
      <c r="AC3269" s="73"/>
    </row>
    <row r="3270" spans="1:29">
      <c r="A3270" s="327" t="str">
        <f>IF(AND($B3270&lt;&gt;"",$C3270&lt;&gt;""),MAX($A$1556:A3269)+1,"")</f>
        <v/>
      </c>
      <c r="B3270" s="361" t="s">
        <v>2889</v>
      </c>
      <c r="C3270" s="360"/>
      <c r="D3270" s="327">
        <f>IF($B3270="","",COUNTIF($B$6:$B3270,$B3270))</f>
        <v>2</v>
      </c>
      <c r="E3270" s="361" t="s">
        <v>3140</v>
      </c>
      <c r="F3270" s="362" t="s">
        <v>2373</v>
      </c>
      <c r="G3270" s="327" t="s">
        <v>155</v>
      </c>
      <c r="H3270" s="327"/>
      <c r="I3270" s="327">
        <v>2</v>
      </c>
      <c r="J3270" s="345"/>
      <c r="K3270" s="327"/>
      <c r="L3270" s="389">
        <v>4038</v>
      </c>
      <c r="M3270" s="371"/>
      <c r="N3270" s="355" t="str">
        <f t="shared" si="322"/>
        <v>PK</v>
      </c>
      <c r="O3270" s="404" t="s">
        <v>1781</v>
      </c>
      <c r="P3270" s="392"/>
      <c r="Q3270" s="327"/>
      <c r="R3270" s="351"/>
      <c r="S3270" s="351"/>
      <c r="T3270" s="351"/>
      <c r="U3270" s="329" t="str">
        <f>IF($N3270=$N$4,IFERROR(INDEX(DanhMuc!$E$154:$E$165,MATCH(MID($B3270,4,2),DanhMuc!$B$154:$B$165,0)),""),"")</f>
        <v/>
      </c>
      <c r="V3270" s="361"/>
      <c r="W3270" s="345"/>
      <c r="X3270" s="329" t="str">
        <f t="shared" si="320"/>
        <v>DR</v>
      </c>
      <c r="Y3270" s="1128" t="s">
        <v>3380</v>
      </c>
      <c r="Z3270" s="1128" t="s">
        <v>3381</v>
      </c>
      <c r="AA3270" s="1128" t="s">
        <v>3384</v>
      </c>
      <c r="AB3270" s="20"/>
      <c r="AC3270" s="73"/>
    </row>
    <row r="3271" spans="1:29">
      <c r="A3271" s="327" t="str">
        <f>IF(AND($B3271&lt;&gt;"",$C3271&lt;&gt;""),MAX($A$1556:A3270)+1,"")</f>
        <v/>
      </c>
      <c r="B3271" s="361" t="s">
        <v>2889</v>
      </c>
      <c r="C3271" s="360"/>
      <c r="D3271" s="327">
        <f>IF($B3271="","",COUNTIF($B$6:$B3271,$B3271))</f>
        <v>3</v>
      </c>
      <c r="E3271" s="362" t="s">
        <v>2969</v>
      </c>
      <c r="F3271" s="362" t="s">
        <v>2970</v>
      </c>
      <c r="G3271" s="327" t="s">
        <v>155</v>
      </c>
      <c r="H3271" s="327"/>
      <c r="I3271" s="327">
        <v>1</v>
      </c>
      <c r="J3271" s="359"/>
      <c r="K3271" s="327"/>
      <c r="L3271" s="389">
        <v>25815</v>
      </c>
      <c r="M3271" s="371"/>
      <c r="N3271" s="355" t="s">
        <v>153</v>
      </c>
      <c r="O3271" s="404" t="s">
        <v>1971</v>
      </c>
      <c r="P3271" s="392"/>
      <c r="Q3271" s="327"/>
      <c r="R3271" s="351"/>
      <c r="S3271" s="351"/>
      <c r="T3271" s="351"/>
      <c r="U3271" s="329" t="str">
        <f>IF($N3271=$N$4,IFERROR(INDEX(DanhMuc!$E$154:$E$165,MATCH(MID($B3271,4,2),DanhMuc!$B$154:$B$165,0)),""),"")</f>
        <v/>
      </c>
      <c r="V3271" s="361"/>
      <c r="W3271" s="345"/>
      <c r="X3271" s="329" t="str">
        <f t="shared" si="320"/>
        <v>DR</v>
      </c>
      <c r="Y3271" s="1128" t="s">
        <v>3380</v>
      </c>
      <c r="Z3271" s="1128" t="s">
        <v>3381</v>
      </c>
      <c r="AA3271" s="1128" t="s">
        <v>3384</v>
      </c>
      <c r="AB3271" s="20"/>
      <c r="AC3271" s="73"/>
    </row>
    <row r="3272" spans="1:29">
      <c r="A3272" s="327" t="str">
        <f>IF(AND($B3272&lt;&gt;"",$C3272&lt;&gt;""),MAX($A$1556:A3271)+1,"")</f>
        <v/>
      </c>
      <c r="B3272" s="361" t="s">
        <v>2889</v>
      </c>
      <c r="C3272" s="360"/>
      <c r="D3272" s="327">
        <f>IF($B3272="","",COUNTIF($B$6:$B3272,$B3272))</f>
        <v>4</v>
      </c>
      <c r="E3272" s="362" t="s">
        <v>2969</v>
      </c>
      <c r="F3272" s="362" t="s">
        <v>2971</v>
      </c>
      <c r="G3272" s="327" t="s">
        <v>155</v>
      </c>
      <c r="H3272" s="327"/>
      <c r="I3272" s="327">
        <v>1</v>
      </c>
      <c r="J3272" s="359"/>
      <c r="K3272" s="327"/>
      <c r="L3272" s="389">
        <v>25815</v>
      </c>
      <c r="M3272" s="371"/>
      <c r="N3272" s="355" t="s">
        <v>153</v>
      </c>
      <c r="O3272" s="404" t="s">
        <v>1972</v>
      </c>
      <c r="P3272" s="392"/>
      <c r="Q3272" s="327"/>
      <c r="R3272" s="351"/>
      <c r="S3272" s="351"/>
      <c r="T3272" s="351"/>
      <c r="U3272" s="329" t="str">
        <f>IF($N3272=$N$4,IFERROR(INDEX(DanhMuc!$E$154:$E$165,MATCH(MID($B3272,4,2),DanhMuc!$B$154:$B$165,0)),""),"")</f>
        <v/>
      </c>
      <c r="V3272" s="361"/>
      <c r="W3272" s="345"/>
      <c r="X3272" s="329" t="str">
        <f t="shared" si="320"/>
        <v>DR</v>
      </c>
      <c r="Y3272" s="1128" t="s">
        <v>3380</v>
      </c>
      <c r="Z3272" s="1128" t="s">
        <v>3381</v>
      </c>
      <c r="AA3272" s="1128" t="s">
        <v>3384</v>
      </c>
      <c r="AB3272" s="20"/>
      <c r="AC3272" s="73"/>
    </row>
    <row r="3273" spans="1:29">
      <c r="A3273" s="327" t="str">
        <f>IF(AND($B3273&lt;&gt;"",$C3273&lt;&gt;""),MAX($A$1556:A3271)+1,"")</f>
        <v/>
      </c>
      <c r="B3273" s="361" t="s">
        <v>2889</v>
      </c>
      <c r="C3273" s="360"/>
      <c r="D3273" s="327">
        <f>IF($B3273="","",COUNTIF($B$6:$B3273,$B3273))</f>
        <v>5</v>
      </c>
      <c r="E3273" s="361" t="s">
        <v>2953</v>
      </c>
      <c r="F3273" s="362" t="s">
        <v>1970</v>
      </c>
      <c r="G3273" s="327" t="s">
        <v>155</v>
      </c>
      <c r="H3273" s="327"/>
      <c r="I3273" s="327">
        <v>1</v>
      </c>
      <c r="J3273" s="359"/>
      <c r="K3273" s="327"/>
      <c r="L3273" s="389">
        <v>2933</v>
      </c>
      <c r="M3273" s="371"/>
      <c r="N3273" s="355" t="s">
        <v>153</v>
      </c>
      <c r="O3273" s="404" t="s">
        <v>1780</v>
      </c>
      <c r="P3273" s="392"/>
      <c r="Q3273" s="327"/>
      <c r="R3273" s="351"/>
      <c r="S3273" s="351"/>
      <c r="T3273" s="351"/>
      <c r="U3273" s="329" t="str">
        <f>IF($N3273=$N$4,IFERROR(INDEX(DanhMuc!$E$154:$E$165,MATCH(MID($B3273,4,2),DanhMuc!$B$154:$B$165,0)),""),"")</f>
        <v/>
      </c>
      <c r="V3273" s="361"/>
      <c r="W3273" s="345"/>
      <c r="X3273" s="329" t="str">
        <f t="shared" si="320"/>
        <v>DR</v>
      </c>
      <c r="Y3273" s="1128" t="s">
        <v>3380</v>
      </c>
      <c r="Z3273" s="1128" t="s">
        <v>3381</v>
      </c>
      <c r="AA3273" s="1128" t="s">
        <v>3384</v>
      </c>
      <c r="AB3273" s="20"/>
      <c r="AC3273" s="73"/>
    </row>
    <row r="3274" spans="1:29">
      <c r="A3274" s="327" t="str">
        <f>IF(AND($B3274&lt;&gt;"",$C3274&lt;&gt;""),MAX($A$1556:A3270)+1,"")</f>
        <v/>
      </c>
      <c r="B3274" s="361" t="s">
        <v>2889</v>
      </c>
      <c r="C3274" s="360"/>
      <c r="D3274" s="327">
        <f>IF($B3274="","",COUNTIF($B$6:$B3274,$B3274))</f>
        <v>6</v>
      </c>
      <c r="E3274" s="361" t="s">
        <v>2534</v>
      </c>
      <c r="F3274" s="362" t="s">
        <v>181</v>
      </c>
      <c r="G3274" s="327" t="s">
        <v>155</v>
      </c>
      <c r="H3274" s="327" t="s">
        <v>536</v>
      </c>
      <c r="I3274" s="327">
        <v>4</v>
      </c>
      <c r="J3274" s="361"/>
      <c r="K3274" s="327"/>
      <c r="L3274" s="389">
        <v>19000</v>
      </c>
      <c r="M3274" s="371"/>
      <c r="N3274" s="355" t="str">
        <f>+$N$1555</f>
        <v>PK</v>
      </c>
      <c r="O3274" s="345"/>
      <c r="P3274" s="392"/>
      <c r="Q3274" s="327"/>
      <c r="R3274" s="351"/>
      <c r="S3274" s="351"/>
      <c r="T3274" s="351"/>
      <c r="U3274" s="329" t="str">
        <f>IF($N3274=$N$4,IFERROR(INDEX(DanhMuc!$E$154:$E$165,MATCH(MID($B3274,4,2),DanhMuc!$B$154:$B$165,0)),""),"")</f>
        <v/>
      </c>
      <c r="V3274" s="361"/>
      <c r="W3274" s="345"/>
      <c r="X3274" s="329" t="str">
        <f t="shared" si="320"/>
        <v>DR</v>
      </c>
      <c r="Y3274" s="1128" t="s">
        <v>3380</v>
      </c>
      <c r="Z3274" s="1128" t="s">
        <v>3381</v>
      </c>
      <c r="AA3274" s="1128" t="s">
        <v>3384</v>
      </c>
      <c r="AB3274" s="20"/>
      <c r="AC3274" s="73"/>
    </row>
    <row r="3275" spans="1:29">
      <c r="A3275" s="327" t="str">
        <f>IF(AND($B3275&lt;&gt;"",$C3275&lt;&gt;""),MAX($A$1556:A3274)+1,"")</f>
        <v/>
      </c>
      <c r="B3275" s="361" t="s">
        <v>2889</v>
      </c>
      <c r="C3275" s="360"/>
      <c r="D3275" s="327">
        <f>IF($B3275="","",COUNTIF($B$6:$B3275,$B3275))</f>
        <v>7</v>
      </c>
      <c r="E3275" s="361" t="s">
        <v>163</v>
      </c>
      <c r="F3275" s="362" t="s">
        <v>164</v>
      </c>
      <c r="G3275" s="327" t="s">
        <v>155</v>
      </c>
      <c r="H3275" s="327"/>
      <c r="I3275" s="327">
        <v>2</v>
      </c>
      <c r="J3275" s="361"/>
      <c r="K3275" s="408"/>
      <c r="L3275" s="389">
        <v>2500</v>
      </c>
      <c r="M3275" s="371"/>
      <c r="N3275" s="355" t="str">
        <f>+$N$1555</f>
        <v>PK</v>
      </c>
      <c r="O3275" s="345"/>
      <c r="P3275" s="392"/>
      <c r="Q3275" s="327"/>
      <c r="R3275" s="351"/>
      <c r="S3275" s="351"/>
      <c r="T3275" s="351"/>
      <c r="U3275" s="329" t="str">
        <f>IF($N3275=$N$4,IFERROR(INDEX(DanhMuc!$E$154:$E$165,MATCH(MID($B3275,4,2),DanhMuc!$B$154:$B$165,0)),""),"")</f>
        <v/>
      </c>
      <c r="V3275" s="408" t="s">
        <v>342</v>
      </c>
      <c r="W3275" s="345"/>
      <c r="X3275" s="329" t="str">
        <f t="shared" si="320"/>
        <v>DR</v>
      </c>
      <c r="Y3275" s="1128" t="s">
        <v>3380</v>
      </c>
      <c r="Z3275" s="1128" t="s">
        <v>3381</v>
      </c>
      <c r="AA3275" s="1128" t="s">
        <v>3384</v>
      </c>
      <c r="AB3275" s="20"/>
      <c r="AC3275" s="73"/>
    </row>
    <row r="3276" spans="1:29">
      <c r="A3276" s="327" t="str">
        <f>IF(AND($B3276&lt;&gt;"",$C3276&lt;&gt;""),MAX($A$1556:A3275)+1,"")</f>
        <v/>
      </c>
      <c r="B3276" s="361" t="s">
        <v>2889</v>
      </c>
      <c r="C3276" s="360"/>
      <c r="D3276" s="327">
        <f>IF($B3276="","",COUNTIF($B$6:$B3276,$B3276))</f>
        <v>8</v>
      </c>
      <c r="E3276" s="361" t="s">
        <v>187</v>
      </c>
      <c r="F3276" s="362" t="s">
        <v>189</v>
      </c>
      <c r="G3276" s="327" t="s">
        <v>155</v>
      </c>
      <c r="H3276" s="327"/>
      <c r="I3276" s="327">
        <v>4</v>
      </c>
      <c r="J3276" s="361"/>
      <c r="K3276" s="327"/>
      <c r="L3276" s="389">
        <v>5000</v>
      </c>
      <c r="M3276" s="371"/>
      <c r="N3276" s="355" t="str">
        <f>+$N$1555</f>
        <v>PK</v>
      </c>
      <c r="O3276" s="345"/>
      <c r="P3276" s="392"/>
      <c r="Q3276" s="327"/>
      <c r="R3276" s="351"/>
      <c r="S3276" s="351"/>
      <c r="T3276" s="351"/>
      <c r="U3276" s="329" t="str">
        <f>IF($N3276=$N$4,IFERROR(INDEX(DanhMuc!$E$154:$E$165,MATCH(MID($B3276,4,2),DanhMuc!$B$154:$B$165,0)),""),"")</f>
        <v/>
      </c>
      <c r="V3276" s="361"/>
      <c r="W3276" s="345"/>
      <c r="X3276" s="329" t="str">
        <f t="shared" si="320"/>
        <v>DR</v>
      </c>
      <c r="Y3276" s="1128" t="s">
        <v>3380</v>
      </c>
      <c r="Z3276" s="1128" t="s">
        <v>3381</v>
      </c>
      <c r="AA3276" s="1128" t="s">
        <v>3384</v>
      </c>
      <c r="AB3276" s="20"/>
      <c r="AC3276" s="73"/>
    </row>
    <row r="3277" spans="1:29" ht="39">
      <c r="A3277" s="327">
        <f>IF(AND($B3277&lt;&gt;"",$C3277&lt;&gt;""),MAX($A$1556:A3269)+1,"")</f>
        <v>166</v>
      </c>
      <c r="B3277" s="359" t="s">
        <v>3191</v>
      </c>
      <c r="C3277" s="360" t="s">
        <v>3192</v>
      </c>
      <c r="D3277" s="327">
        <f>IF($B3277="","",COUNTIF($B$6:$B3277,$B3277))</f>
        <v>1</v>
      </c>
      <c r="E3277" s="361" t="s">
        <v>2952</v>
      </c>
      <c r="F3277" s="362" t="s">
        <v>2920</v>
      </c>
      <c r="G3277" s="327" t="s">
        <v>155</v>
      </c>
      <c r="H3277" s="327"/>
      <c r="I3277" s="327">
        <v>2</v>
      </c>
      <c r="J3277" s="345"/>
      <c r="K3277" s="327"/>
      <c r="L3277" s="389">
        <v>33329</v>
      </c>
      <c r="M3277" s="371"/>
      <c r="N3277" s="355" t="str">
        <f>+$N$1555</f>
        <v>PK</v>
      </c>
      <c r="O3277" s="404" t="s">
        <v>1781</v>
      </c>
      <c r="P3277" s="392"/>
      <c r="Q3277" s="327"/>
      <c r="R3277" s="351"/>
      <c r="S3277" s="351"/>
      <c r="T3277" s="351"/>
      <c r="U3277" s="329" t="str">
        <f>IF($N3277=$N$4,IFERROR(INDEX(DanhMuc!$E$154:$E$165,MATCH(MID($B3277,4,2),DanhMuc!$B$154:$B$165,0)),""),"")</f>
        <v/>
      </c>
      <c r="V3277" s="361"/>
      <c r="W3277" s="345"/>
      <c r="X3277" s="329" t="str">
        <f t="shared" si="320"/>
        <v>DR</v>
      </c>
      <c r="Y3277" s="1128" t="s">
        <v>3380</v>
      </c>
      <c r="Z3277" s="1128" t="s">
        <v>3381</v>
      </c>
      <c r="AA3277" s="1128" t="s">
        <v>3384</v>
      </c>
      <c r="AB3277" s="20"/>
      <c r="AC3277" s="73"/>
    </row>
    <row r="3278" spans="1:29">
      <c r="A3278" s="327" t="str">
        <f>IF(AND($B3278&lt;&gt;"",$C3278&lt;&gt;""),MAX($A$1556:A3277)+1,"")</f>
        <v/>
      </c>
      <c r="B3278" s="361" t="s">
        <v>3191</v>
      </c>
      <c r="C3278" s="360"/>
      <c r="D3278" s="327">
        <f>IF($B3278="","",COUNTIF($B$6:$B3278,$B3278))</f>
        <v>2</v>
      </c>
      <c r="E3278" s="361" t="s">
        <v>3140</v>
      </c>
      <c r="F3278" s="362" t="s">
        <v>2373</v>
      </c>
      <c r="G3278" s="327" t="s">
        <v>155</v>
      </c>
      <c r="H3278" s="327"/>
      <c r="I3278" s="327">
        <v>2</v>
      </c>
      <c r="J3278" s="345"/>
      <c r="K3278" s="327"/>
      <c r="L3278" s="389">
        <v>4038</v>
      </c>
      <c r="M3278" s="371"/>
      <c r="N3278" s="355" t="str">
        <f>+$N$1555</f>
        <v>PK</v>
      </c>
      <c r="O3278" s="404" t="s">
        <v>1781</v>
      </c>
      <c r="P3278" s="392"/>
      <c r="Q3278" s="327"/>
      <c r="R3278" s="351"/>
      <c r="S3278" s="351"/>
      <c r="T3278" s="351"/>
      <c r="U3278" s="329" t="str">
        <f>IF($N3278=$N$4,IFERROR(INDEX(DanhMuc!$E$154:$E$165,MATCH(MID($B3278,4,2),DanhMuc!$B$154:$B$165,0)),""),"")</f>
        <v/>
      </c>
      <c r="V3278" s="361"/>
      <c r="W3278" s="345"/>
      <c r="X3278" s="329" t="str">
        <f t="shared" si="320"/>
        <v>DR</v>
      </c>
      <c r="Y3278" s="1128" t="s">
        <v>3380</v>
      </c>
      <c r="Z3278" s="1128" t="s">
        <v>3381</v>
      </c>
      <c r="AA3278" s="1128" t="s">
        <v>3384</v>
      </c>
      <c r="AB3278" s="20"/>
      <c r="AC3278" s="73"/>
    </row>
    <row r="3279" spans="1:29">
      <c r="A3279" s="327" t="str">
        <f>IF(AND($B3279&lt;&gt;"",$C3279&lt;&gt;""),MAX($A$1556:A3278)+1,"")</f>
        <v/>
      </c>
      <c r="B3279" s="361" t="s">
        <v>3191</v>
      </c>
      <c r="C3279" s="360"/>
      <c r="D3279" s="327">
        <f>IF($B3279="","",COUNTIF($B$6:$B3279,$B3279))</f>
        <v>3</v>
      </c>
      <c r="E3279" s="362" t="s">
        <v>2969</v>
      </c>
      <c r="F3279" s="362" t="s">
        <v>2970</v>
      </c>
      <c r="G3279" s="327" t="s">
        <v>155</v>
      </c>
      <c r="H3279" s="327"/>
      <c r="I3279" s="327">
        <v>1</v>
      </c>
      <c r="J3279" s="359"/>
      <c r="K3279" s="327"/>
      <c r="L3279" s="389">
        <v>25815</v>
      </c>
      <c r="M3279" s="371"/>
      <c r="N3279" s="355" t="s">
        <v>153</v>
      </c>
      <c r="O3279" s="404" t="s">
        <v>1971</v>
      </c>
      <c r="P3279" s="392"/>
      <c r="Q3279" s="327"/>
      <c r="R3279" s="351"/>
      <c r="S3279" s="351"/>
      <c r="T3279" s="351"/>
      <c r="U3279" s="329" t="str">
        <f>IF($N3279=$N$4,IFERROR(INDEX(DanhMuc!$E$154:$E$165,MATCH(MID($B3279,4,2),DanhMuc!$B$154:$B$165,0)),""),"")</f>
        <v/>
      </c>
      <c r="V3279" s="361"/>
      <c r="W3279" s="345"/>
      <c r="X3279" s="329" t="str">
        <f t="shared" si="320"/>
        <v>DR</v>
      </c>
      <c r="Y3279" s="1128" t="s">
        <v>3380</v>
      </c>
      <c r="Z3279" s="1128" t="s">
        <v>3381</v>
      </c>
      <c r="AA3279" s="1128" t="s">
        <v>3384</v>
      </c>
      <c r="AB3279" s="20"/>
      <c r="AC3279" s="73"/>
    </row>
    <row r="3280" spans="1:29">
      <c r="A3280" s="327" t="str">
        <f>IF(AND($B3280&lt;&gt;"",$C3280&lt;&gt;""),MAX($A$1556:A3279)+1,"")</f>
        <v/>
      </c>
      <c r="B3280" s="361" t="s">
        <v>3191</v>
      </c>
      <c r="C3280" s="360"/>
      <c r="D3280" s="327">
        <f>IF($B3280="","",COUNTIF($B$6:$B3280,$B3280))</f>
        <v>4</v>
      </c>
      <c r="E3280" s="362" t="s">
        <v>2969</v>
      </c>
      <c r="F3280" s="362" t="s">
        <v>2971</v>
      </c>
      <c r="G3280" s="327" t="s">
        <v>155</v>
      </c>
      <c r="H3280" s="327"/>
      <c r="I3280" s="327">
        <v>1</v>
      </c>
      <c r="J3280" s="359"/>
      <c r="K3280" s="327"/>
      <c r="L3280" s="389">
        <v>25815</v>
      </c>
      <c r="M3280" s="371"/>
      <c r="N3280" s="355" t="s">
        <v>153</v>
      </c>
      <c r="O3280" s="404" t="s">
        <v>1972</v>
      </c>
      <c r="P3280" s="392"/>
      <c r="Q3280" s="327"/>
      <c r="R3280" s="351"/>
      <c r="S3280" s="351"/>
      <c r="T3280" s="351"/>
      <c r="U3280" s="329" t="str">
        <f>IF($N3280=$N$4,IFERROR(INDEX(DanhMuc!$E$154:$E$165,MATCH(MID($B3280,4,2),DanhMuc!$B$154:$B$165,0)),""),"")</f>
        <v/>
      </c>
      <c r="V3280" s="361"/>
      <c r="W3280" s="345"/>
      <c r="X3280" s="329" t="str">
        <f t="shared" si="320"/>
        <v>DR</v>
      </c>
      <c r="Y3280" s="1128" t="s">
        <v>3380</v>
      </c>
      <c r="Z3280" s="1128" t="s">
        <v>3381</v>
      </c>
      <c r="AA3280" s="1128" t="s">
        <v>3384</v>
      </c>
      <c r="AB3280" s="20"/>
      <c r="AC3280" s="73"/>
    </row>
    <row r="3281" spans="1:29">
      <c r="A3281" s="327" t="str">
        <f>IF(AND($B3281&lt;&gt;"",$C3281&lt;&gt;""),MAX($A$1556:A3279)+1,"")</f>
        <v/>
      </c>
      <c r="B3281" s="361" t="s">
        <v>3191</v>
      </c>
      <c r="C3281" s="360"/>
      <c r="D3281" s="327">
        <f>IF($B3281="","",COUNTIF($B$6:$B3281,$B3281))</f>
        <v>5</v>
      </c>
      <c r="E3281" s="361" t="s">
        <v>2953</v>
      </c>
      <c r="F3281" s="362" t="s">
        <v>1970</v>
      </c>
      <c r="G3281" s="327" t="s">
        <v>155</v>
      </c>
      <c r="H3281" s="327"/>
      <c r="I3281" s="327">
        <v>1</v>
      </c>
      <c r="J3281" s="359"/>
      <c r="K3281" s="327"/>
      <c r="L3281" s="389">
        <v>2933</v>
      </c>
      <c r="M3281" s="371"/>
      <c r="N3281" s="355" t="s">
        <v>153</v>
      </c>
      <c r="O3281" s="404" t="s">
        <v>1780</v>
      </c>
      <c r="P3281" s="392"/>
      <c r="Q3281" s="327"/>
      <c r="R3281" s="351"/>
      <c r="S3281" s="351"/>
      <c r="T3281" s="351"/>
      <c r="U3281" s="329" t="str">
        <f>IF($N3281=$N$4,IFERROR(INDEX(DanhMuc!$E$154:$E$165,MATCH(MID($B3281,4,2),DanhMuc!$B$154:$B$165,0)),""),"")</f>
        <v/>
      </c>
      <c r="V3281" s="361"/>
      <c r="W3281" s="345"/>
      <c r="X3281" s="329" t="str">
        <f t="shared" si="320"/>
        <v>DR</v>
      </c>
      <c r="Y3281" s="1128" t="s">
        <v>3380</v>
      </c>
      <c r="Z3281" s="1128" t="s">
        <v>3381</v>
      </c>
      <c r="AA3281" s="1128" t="s">
        <v>3384</v>
      </c>
      <c r="AB3281" s="20"/>
      <c r="AC3281" s="73"/>
    </row>
    <row r="3282" spans="1:29">
      <c r="A3282" s="327" t="str">
        <f>IF(AND($B3282&lt;&gt;"",$C3282&lt;&gt;""),MAX($A$1556:A3278)+1,"")</f>
        <v/>
      </c>
      <c r="B3282" s="361" t="s">
        <v>3191</v>
      </c>
      <c r="C3282" s="360"/>
      <c r="D3282" s="327">
        <f>IF($B3282="","",COUNTIF($B$6:$B3282,$B3282))</f>
        <v>6</v>
      </c>
      <c r="E3282" s="361" t="s">
        <v>2534</v>
      </c>
      <c r="F3282" s="362" t="s">
        <v>181</v>
      </c>
      <c r="G3282" s="327" t="s">
        <v>155</v>
      </c>
      <c r="H3282" s="327" t="s">
        <v>536</v>
      </c>
      <c r="I3282" s="327">
        <v>6</v>
      </c>
      <c r="J3282" s="361"/>
      <c r="K3282" s="327"/>
      <c r="L3282" s="389">
        <v>19000</v>
      </c>
      <c r="M3282" s="371"/>
      <c r="N3282" s="355" t="str">
        <f>+$N$1555</f>
        <v>PK</v>
      </c>
      <c r="O3282" s="345"/>
      <c r="P3282" s="392"/>
      <c r="Q3282" s="327"/>
      <c r="R3282" s="351"/>
      <c r="S3282" s="351"/>
      <c r="T3282" s="351"/>
      <c r="U3282" s="329" t="str">
        <f>IF($N3282=$N$4,IFERROR(INDEX(DanhMuc!$E$154:$E$165,MATCH(MID($B3282,4,2),DanhMuc!$B$154:$B$165,0)),""),"")</f>
        <v/>
      </c>
      <c r="V3282" s="361"/>
      <c r="W3282" s="345"/>
      <c r="X3282" s="329" t="str">
        <f t="shared" si="320"/>
        <v>DR</v>
      </c>
      <c r="Y3282" s="1128" t="s">
        <v>3380</v>
      </c>
      <c r="Z3282" s="1128" t="s">
        <v>3381</v>
      </c>
      <c r="AA3282" s="1128" t="s">
        <v>3384</v>
      </c>
      <c r="AB3282" s="20"/>
      <c r="AC3282" s="73"/>
    </row>
    <row r="3283" spans="1:29">
      <c r="A3283" s="327" t="str">
        <f>IF(AND($B3283&lt;&gt;"",$C3283&lt;&gt;""),MAX($A$1556:A3282)+1,"")</f>
        <v/>
      </c>
      <c r="B3283" s="361" t="s">
        <v>3191</v>
      </c>
      <c r="C3283" s="360"/>
      <c r="D3283" s="327">
        <f>IF($B3283="","",COUNTIF($B$6:$B3283,$B3283))</f>
        <v>7</v>
      </c>
      <c r="E3283" s="361" t="s">
        <v>163</v>
      </c>
      <c r="F3283" s="362" t="s">
        <v>164</v>
      </c>
      <c r="G3283" s="327" t="s">
        <v>155</v>
      </c>
      <c r="H3283" s="327"/>
      <c r="I3283" s="327">
        <v>2</v>
      </c>
      <c r="J3283" s="361"/>
      <c r="K3283" s="408"/>
      <c r="L3283" s="389">
        <v>2500</v>
      </c>
      <c r="M3283" s="371"/>
      <c r="N3283" s="355" t="str">
        <f>+$N$1555</f>
        <v>PK</v>
      </c>
      <c r="O3283" s="345"/>
      <c r="P3283" s="392"/>
      <c r="Q3283" s="327"/>
      <c r="R3283" s="351"/>
      <c r="S3283" s="351"/>
      <c r="T3283" s="351"/>
      <c r="U3283" s="329" t="str">
        <f>IF($N3283=$N$4,IFERROR(INDEX(DanhMuc!$E$154:$E$165,MATCH(MID($B3283,4,2),DanhMuc!$B$154:$B$165,0)),""),"")</f>
        <v/>
      </c>
      <c r="V3283" s="408" t="s">
        <v>342</v>
      </c>
      <c r="W3283" s="345"/>
      <c r="X3283" s="329" t="str">
        <f t="shared" si="320"/>
        <v>DR</v>
      </c>
      <c r="Y3283" s="1128" t="s">
        <v>3380</v>
      </c>
      <c r="Z3283" s="1128" t="s">
        <v>3381</v>
      </c>
      <c r="AA3283" s="1128" t="s">
        <v>3384</v>
      </c>
      <c r="AB3283" s="20"/>
      <c r="AC3283" s="73"/>
    </row>
    <row r="3284" spans="1:29">
      <c r="A3284" s="327" t="str">
        <f>IF(AND($B3284&lt;&gt;"",$C3284&lt;&gt;""),MAX($A$1556:A3283)+1,"")</f>
        <v/>
      </c>
      <c r="B3284" s="361" t="s">
        <v>3191</v>
      </c>
      <c r="C3284" s="360"/>
      <c r="D3284" s="327">
        <f>IF($B3284="","",COUNTIF($B$6:$B3284,$B3284))</f>
        <v>8</v>
      </c>
      <c r="E3284" s="361" t="s">
        <v>187</v>
      </c>
      <c r="F3284" s="362" t="s">
        <v>189</v>
      </c>
      <c r="G3284" s="327" t="s">
        <v>155</v>
      </c>
      <c r="H3284" s="327"/>
      <c r="I3284" s="327">
        <v>4</v>
      </c>
      <c r="J3284" s="361"/>
      <c r="K3284" s="327"/>
      <c r="L3284" s="389">
        <v>5000</v>
      </c>
      <c r="M3284" s="371"/>
      <c r="N3284" s="355" t="str">
        <f>+$N$1555</f>
        <v>PK</v>
      </c>
      <c r="O3284" s="345"/>
      <c r="P3284" s="392"/>
      <c r="Q3284" s="327"/>
      <c r="R3284" s="351"/>
      <c r="S3284" s="351"/>
      <c r="T3284" s="351"/>
      <c r="U3284" s="329" t="str">
        <f>IF($N3284=$N$4,IFERROR(INDEX(DanhMuc!$E$154:$E$165,MATCH(MID($B3284,4,2),DanhMuc!$B$154:$B$165,0)),""),"")</f>
        <v/>
      </c>
      <c r="V3284" s="361"/>
      <c r="W3284" s="345"/>
      <c r="X3284" s="329" t="str">
        <f t="shared" si="320"/>
        <v>DR</v>
      </c>
      <c r="Y3284" s="1128" t="s">
        <v>3380</v>
      </c>
      <c r="Z3284" s="1128" t="s">
        <v>3381</v>
      </c>
      <c r="AA3284" s="1128" t="s">
        <v>3384</v>
      </c>
      <c r="AB3284" s="20"/>
      <c r="AC3284" s="73"/>
    </row>
    <row r="3285" spans="1:29" ht="39">
      <c r="A3285" s="327">
        <f>IF(AND($B3285&lt;&gt;"",$C3285&lt;&gt;""),MAX($A$1556:A3277)+1,"")</f>
        <v>167</v>
      </c>
      <c r="B3285" s="359" t="s">
        <v>3193</v>
      </c>
      <c r="C3285" s="360" t="s">
        <v>3194</v>
      </c>
      <c r="D3285" s="327">
        <f>IF($B3285="","",COUNTIF($B$6:$B3285,$B3285))</f>
        <v>1</v>
      </c>
      <c r="E3285" s="361" t="s">
        <v>2952</v>
      </c>
      <c r="F3285" s="362" t="s">
        <v>2920</v>
      </c>
      <c r="G3285" s="327" t="s">
        <v>155</v>
      </c>
      <c r="H3285" s="327"/>
      <c r="I3285" s="327">
        <v>2</v>
      </c>
      <c r="J3285" s="345"/>
      <c r="K3285" s="327"/>
      <c r="L3285" s="389">
        <v>33329</v>
      </c>
      <c r="M3285" s="371"/>
      <c r="N3285" s="355" t="str">
        <f>+$N$1555</f>
        <v>PK</v>
      </c>
      <c r="O3285" s="404" t="s">
        <v>1781</v>
      </c>
      <c r="P3285" s="392"/>
      <c r="Q3285" s="327"/>
      <c r="R3285" s="351"/>
      <c r="S3285" s="351"/>
      <c r="T3285" s="351"/>
      <c r="U3285" s="329" t="str">
        <f>IF($N3285=$N$4,IFERROR(INDEX(DanhMuc!$E$154:$E$165,MATCH(MID($B3285,4,2),DanhMuc!$B$154:$B$165,0)),""),"")</f>
        <v/>
      </c>
      <c r="V3285" s="361"/>
      <c r="W3285" s="345"/>
      <c r="X3285" s="329" t="str">
        <f t="shared" si="320"/>
        <v>2R</v>
      </c>
      <c r="Y3285" s="1128" t="s">
        <v>3380</v>
      </c>
      <c r="Z3285" s="1128" t="s">
        <v>3381</v>
      </c>
      <c r="AA3285" s="1128" t="s">
        <v>3384</v>
      </c>
      <c r="AB3285" s="20"/>
      <c r="AC3285" s="73"/>
    </row>
    <row r="3286" spans="1:29">
      <c r="A3286" s="327" t="str">
        <f>IF(AND($B3286&lt;&gt;"",$C3286&lt;&gt;""),MAX($A$1556:A3285)+1,"")</f>
        <v/>
      </c>
      <c r="B3286" s="361" t="s">
        <v>3193</v>
      </c>
      <c r="C3286" s="360"/>
      <c r="D3286" s="327">
        <f>IF($B3286="","",COUNTIF($B$6:$B3286,$B3286))</f>
        <v>2</v>
      </c>
      <c r="E3286" s="361" t="s">
        <v>3140</v>
      </c>
      <c r="F3286" s="362" t="s">
        <v>2373</v>
      </c>
      <c r="G3286" s="327" t="s">
        <v>155</v>
      </c>
      <c r="H3286" s="327"/>
      <c r="I3286" s="327">
        <v>2</v>
      </c>
      <c r="J3286" s="345"/>
      <c r="K3286" s="327"/>
      <c r="L3286" s="389">
        <v>4038</v>
      </c>
      <c r="M3286" s="371"/>
      <c r="N3286" s="355" t="str">
        <f>+$N$1555</f>
        <v>PK</v>
      </c>
      <c r="O3286" s="404" t="s">
        <v>1781</v>
      </c>
      <c r="P3286" s="392"/>
      <c r="Q3286" s="327"/>
      <c r="R3286" s="351"/>
      <c r="S3286" s="351"/>
      <c r="T3286" s="351"/>
      <c r="U3286" s="329" t="str">
        <f>IF($N3286=$N$4,IFERROR(INDEX(DanhMuc!$E$154:$E$165,MATCH(MID($B3286,4,2),DanhMuc!$B$154:$B$165,0)),""),"")</f>
        <v/>
      </c>
      <c r="V3286" s="361"/>
      <c r="W3286" s="345"/>
      <c r="X3286" s="329" t="str">
        <f t="shared" si="320"/>
        <v>2R</v>
      </c>
      <c r="Y3286" s="1128" t="s">
        <v>3380</v>
      </c>
      <c r="Z3286" s="1128" t="s">
        <v>3381</v>
      </c>
      <c r="AA3286" s="1128" t="s">
        <v>3384</v>
      </c>
      <c r="AB3286" s="20"/>
      <c r="AC3286" s="73"/>
    </row>
    <row r="3287" spans="1:29">
      <c r="A3287" s="327" t="str">
        <f>IF(AND($B3287&lt;&gt;"",$C3287&lt;&gt;""),MAX($A$1556:A3286)+1,"")</f>
        <v/>
      </c>
      <c r="B3287" s="361" t="s">
        <v>3193</v>
      </c>
      <c r="C3287" s="360"/>
      <c r="D3287" s="327">
        <f>IF($B3287="","",COUNTIF($B$6:$B3287,$B3287))</f>
        <v>3</v>
      </c>
      <c r="E3287" s="362" t="s">
        <v>2969</v>
      </c>
      <c r="F3287" s="362" t="s">
        <v>2970</v>
      </c>
      <c r="G3287" s="327" t="s">
        <v>155</v>
      </c>
      <c r="H3287" s="327"/>
      <c r="I3287" s="327">
        <v>1</v>
      </c>
      <c r="J3287" s="359"/>
      <c r="K3287" s="327"/>
      <c r="L3287" s="389">
        <v>25815</v>
      </c>
      <c r="M3287" s="371"/>
      <c r="N3287" s="355" t="s">
        <v>153</v>
      </c>
      <c r="O3287" s="404" t="s">
        <v>1971</v>
      </c>
      <c r="P3287" s="392"/>
      <c r="Q3287" s="327"/>
      <c r="R3287" s="351"/>
      <c r="S3287" s="351"/>
      <c r="T3287" s="351"/>
      <c r="U3287" s="329" t="str">
        <f>IF($N3287=$N$4,IFERROR(INDEX(DanhMuc!$E$154:$E$165,MATCH(MID($B3287,4,2),DanhMuc!$B$154:$B$165,0)),""),"")</f>
        <v/>
      </c>
      <c r="V3287" s="361"/>
      <c r="W3287" s="345"/>
      <c r="X3287" s="329" t="str">
        <f t="shared" si="320"/>
        <v>2R</v>
      </c>
      <c r="Y3287" s="1128" t="s">
        <v>3380</v>
      </c>
      <c r="Z3287" s="1128" t="s">
        <v>3381</v>
      </c>
      <c r="AA3287" s="1128" t="s">
        <v>3384</v>
      </c>
      <c r="AB3287" s="20"/>
      <c r="AC3287" s="73"/>
    </row>
    <row r="3288" spans="1:29">
      <c r="A3288" s="327" t="str">
        <f>IF(AND($B3288&lt;&gt;"",$C3288&lt;&gt;""),MAX($A$1556:A3287)+1,"")</f>
        <v/>
      </c>
      <c r="B3288" s="361" t="s">
        <v>3193</v>
      </c>
      <c r="C3288" s="360"/>
      <c r="D3288" s="327">
        <f>IF($B3288="","",COUNTIF($B$6:$B3288,$B3288))</f>
        <v>4</v>
      </c>
      <c r="E3288" s="362" t="s">
        <v>2969</v>
      </c>
      <c r="F3288" s="362" t="s">
        <v>2971</v>
      </c>
      <c r="G3288" s="327" t="s">
        <v>155</v>
      </c>
      <c r="H3288" s="327"/>
      <c r="I3288" s="327">
        <v>1</v>
      </c>
      <c r="J3288" s="359"/>
      <c r="K3288" s="327"/>
      <c r="L3288" s="389">
        <v>25815</v>
      </c>
      <c r="M3288" s="371"/>
      <c r="N3288" s="355" t="s">
        <v>153</v>
      </c>
      <c r="O3288" s="404" t="s">
        <v>1972</v>
      </c>
      <c r="P3288" s="392"/>
      <c r="Q3288" s="327"/>
      <c r="R3288" s="351"/>
      <c r="S3288" s="351"/>
      <c r="T3288" s="351"/>
      <c r="U3288" s="329" t="str">
        <f>IF($N3288=$N$4,IFERROR(INDEX(DanhMuc!$E$154:$E$165,MATCH(MID($B3288,4,2),DanhMuc!$B$154:$B$165,0)),""),"")</f>
        <v/>
      </c>
      <c r="V3288" s="361"/>
      <c r="W3288" s="345"/>
      <c r="X3288" s="329" t="str">
        <f t="shared" si="320"/>
        <v>2R</v>
      </c>
      <c r="Y3288" s="1128" t="s">
        <v>3380</v>
      </c>
      <c r="Z3288" s="1128" t="s">
        <v>3381</v>
      </c>
      <c r="AA3288" s="1128" t="s">
        <v>3384</v>
      </c>
      <c r="AB3288" s="20"/>
      <c r="AC3288" s="73"/>
    </row>
    <row r="3289" spans="1:29">
      <c r="A3289" s="327" t="str">
        <f>IF(AND($B3289&lt;&gt;"",$C3289&lt;&gt;""),MAX($A$1556:A3287)+1,"")</f>
        <v/>
      </c>
      <c r="B3289" s="361" t="s">
        <v>3193</v>
      </c>
      <c r="C3289" s="360"/>
      <c r="D3289" s="327">
        <f>IF($B3289="","",COUNTIF($B$6:$B3289,$B3289))</f>
        <v>5</v>
      </c>
      <c r="E3289" s="361" t="s">
        <v>2953</v>
      </c>
      <c r="F3289" s="362" t="s">
        <v>1970</v>
      </c>
      <c r="G3289" s="327" t="s">
        <v>155</v>
      </c>
      <c r="H3289" s="327"/>
      <c r="I3289" s="327">
        <v>1</v>
      </c>
      <c r="J3289" s="359"/>
      <c r="K3289" s="327"/>
      <c r="L3289" s="389">
        <v>2933</v>
      </c>
      <c r="M3289" s="371"/>
      <c r="N3289" s="355" t="s">
        <v>153</v>
      </c>
      <c r="O3289" s="404" t="s">
        <v>1780</v>
      </c>
      <c r="P3289" s="392"/>
      <c r="Q3289" s="327"/>
      <c r="R3289" s="351"/>
      <c r="S3289" s="351"/>
      <c r="T3289" s="351"/>
      <c r="U3289" s="329" t="str">
        <f>IF($N3289=$N$4,IFERROR(INDEX(DanhMuc!$E$154:$E$165,MATCH(MID($B3289,4,2),DanhMuc!$B$154:$B$165,0)),""),"")</f>
        <v/>
      </c>
      <c r="V3289" s="361"/>
      <c r="W3289" s="345"/>
      <c r="X3289" s="329" t="str">
        <f t="shared" si="320"/>
        <v>2R</v>
      </c>
      <c r="Y3289" s="1128" t="s">
        <v>3380</v>
      </c>
      <c r="Z3289" s="1128" t="s">
        <v>3381</v>
      </c>
      <c r="AA3289" s="1128" t="s">
        <v>3384</v>
      </c>
      <c r="AB3289" s="20"/>
      <c r="AC3289" s="73"/>
    </row>
    <row r="3290" spans="1:29">
      <c r="A3290" s="327" t="str">
        <f>IF(AND($B3290&lt;&gt;"",$C3290&lt;&gt;""),MAX($A$1556:A3286)+1,"")</f>
        <v/>
      </c>
      <c r="B3290" s="361" t="s">
        <v>3193</v>
      </c>
      <c r="C3290" s="360"/>
      <c r="D3290" s="327">
        <f>IF($B3290="","",COUNTIF($B$6:$B3290,$B3290))</f>
        <v>6</v>
      </c>
      <c r="E3290" s="361" t="s">
        <v>2534</v>
      </c>
      <c r="F3290" s="362" t="s">
        <v>181</v>
      </c>
      <c r="G3290" s="327" t="s">
        <v>155</v>
      </c>
      <c r="H3290" s="327" t="s">
        <v>536</v>
      </c>
      <c r="I3290" s="327">
        <v>6</v>
      </c>
      <c r="J3290" s="361"/>
      <c r="K3290" s="327"/>
      <c r="L3290" s="389">
        <v>19000</v>
      </c>
      <c r="M3290" s="371"/>
      <c r="N3290" s="355" t="str">
        <f>+$N$1555</f>
        <v>PK</v>
      </c>
      <c r="O3290" s="345"/>
      <c r="P3290" s="392"/>
      <c r="Q3290" s="327"/>
      <c r="R3290" s="351"/>
      <c r="S3290" s="351"/>
      <c r="T3290" s="351"/>
      <c r="U3290" s="329" t="str">
        <f>IF($N3290=$N$4,IFERROR(INDEX(DanhMuc!$E$154:$E$165,MATCH(MID($B3290,4,2),DanhMuc!$B$154:$B$165,0)),""),"")</f>
        <v/>
      </c>
      <c r="V3290" s="361"/>
      <c r="W3290" s="345"/>
      <c r="X3290" s="329" t="str">
        <f t="shared" si="320"/>
        <v>2R</v>
      </c>
      <c r="Y3290" s="1128" t="s">
        <v>3380</v>
      </c>
      <c r="Z3290" s="1128" t="s">
        <v>3381</v>
      </c>
      <c r="AA3290" s="1128" t="s">
        <v>3384</v>
      </c>
      <c r="AB3290" s="20"/>
      <c r="AC3290" s="73"/>
    </row>
    <row r="3291" spans="1:29">
      <c r="A3291" s="327" t="str">
        <f>IF(AND($B3291&lt;&gt;"",$C3291&lt;&gt;""),MAX($A$1556:A3290)+1,"")</f>
        <v/>
      </c>
      <c r="B3291" s="361" t="s">
        <v>3193</v>
      </c>
      <c r="C3291" s="360"/>
      <c r="D3291" s="327">
        <f>IF($B3291="","",COUNTIF($B$6:$B3291,$B3291))</f>
        <v>7</v>
      </c>
      <c r="E3291" s="361" t="s">
        <v>163</v>
      </c>
      <c r="F3291" s="362" t="s">
        <v>164</v>
      </c>
      <c r="G3291" s="327" t="s">
        <v>155</v>
      </c>
      <c r="H3291" s="327"/>
      <c r="I3291" s="327">
        <v>2</v>
      </c>
      <c r="J3291" s="361"/>
      <c r="K3291" s="408"/>
      <c r="L3291" s="389">
        <v>2500</v>
      </c>
      <c r="M3291" s="371"/>
      <c r="N3291" s="355" t="str">
        <f>+$N$1555</f>
        <v>PK</v>
      </c>
      <c r="O3291" s="345"/>
      <c r="P3291" s="392"/>
      <c r="Q3291" s="327"/>
      <c r="R3291" s="351"/>
      <c r="S3291" s="351"/>
      <c r="T3291" s="351"/>
      <c r="U3291" s="329" t="str">
        <f>IF($N3291=$N$4,IFERROR(INDEX(DanhMuc!$E$154:$E$165,MATCH(MID($B3291,4,2),DanhMuc!$B$154:$B$165,0)),""),"")</f>
        <v/>
      </c>
      <c r="V3291" s="408" t="s">
        <v>342</v>
      </c>
      <c r="W3291" s="345"/>
      <c r="X3291" s="329" t="str">
        <f t="shared" si="320"/>
        <v>2R</v>
      </c>
      <c r="Y3291" s="1128" t="s">
        <v>3380</v>
      </c>
      <c r="Z3291" s="1128" t="s">
        <v>3381</v>
      </c>
      <c r="AA3291" s="1128" t="s">
        <v>3384</v>
      </c>
      <c r="AB3291" s="20"/>
      <c r="AC3291" s="73"/>
    </row>
    <row r="3292" spans="1:29">
      <c r="A3292" s="327" t="str">
        <f>IF(AND($B3292&lt;&gt;"",$C3292&lt;&gt;""),MAX($A$1556:A3291)+1,"")</f>
        <v/>
      </c>
      <c r="B3292" s="361" t="s">
        <v>3193</v>
      </c>
      <c r="C3292" s="360"/>
      <c r="D3292" s="327">
        <f>IF($B3292="","",COUNTIF($B$6:$B3292,$B3292))</f>
        <v>8</v>
      </c>
      <c r="E3292" s="361" t="s">
        <v>187</v>
      </c>
      <c r="F3292" s="362" t="s">
        <v>189</v>
      </c>
      <c r="G3292" s="327" t="s">
        <v>155</v>
      </c>
      <c r="H3292" s="327"/>
      <c r="I3292" s="327">
        <v>4</v>
      </c>
      <c r="J3292" s="361"/>
      <c r="K3292" s="327"/>
      <c r="L3292" s="389">
        <v>5000</v>
      </c>
      <c r="M3292" s="371"/>
      <c r="N3292" s="355" t="str">
        <f>+$N$1555</f>
        <v>PK</v>
      </c>
      <c r="O3292" s="345"/>
      <c r="P3292" s="392"/>
      <c r="Q3292" s="327"/>
      <c r="R3292" s="351"/>
      <c r="S3292" s="351"/>
      <c r="T3292" s="351"/>
      <c r="U3292" s="329" t="str">
        <f>IF($N3292=$N$4,IFERROR(INDEX(DanhMuc!$E$154:$E$165,MATCH(MID($B3292,4,2),DanhMuc!$B$154:$B$165,0)),""),"")</f>
        <v/>
      </c>
      <c r="V3292" s="361"/>
      <c r="W3292" s="345"/>
      <c r="X3292" s="329" t="str">
        <f t="shared" si="320"/>
        <v>2R</v>
      </c>
      <c r="Y3292" s="1128" t="s">
        <v>3380</v>
      </c>
      <c r="Z3292" s="1128" t="s">
        <v>3381</v>
      </c>
      <c r="AA3292" s="1128" t="s">
        <v>3384</v>
      </c>
      <c r="AB3292" s="20"/>
      <c r="AC3292" s="73"/>
    </row>
    <row r="3293" spans="1:29" ht="26">
      <c r="A3293" s="327">
        <f>IF(AND($B3293&lt;&gt;"",$C3293&lt;&gt;""),MAX($A$1556:A3268)+1,"")</f>
        <v>165</v>
      </c>
      <c r="B3293" s="359" t="s">
        <v>2890</v>
      </c>
      <c r="C3293" s="360" t="s">
        <v>1550</v>
      </c>
      <c r="D3293" s="327">
        <f>IF($B3293="","",COUNTIF($B$6:$B3293,$B3293))</f>
        <v>1</v>
      </c>
      <c r="E3293" s="361" t="s">
        <v>2952</v>
      </c>
      <c r="F3293" s="362" t="s">
        <v>2920</v>
      </c>
      <c r="G3293" s="327" t="s">
        <v>155</v>
      </c>
      <c r="H3293" s="327"/>
      <c r="I3293" s="327">
        <v>3</v>
      </c>
      <c r="J3293" s="345"/>
      <c r="K3293" s="327"/>
      <c r="L3293" s="389">
        <v>33329</v>
      </c>
      <c r="M3293" s="371"/>
      <c r="N3293" s="355" t="str">
        <f>+$N$1555</f>
        <v>PK</v>
      </c>
      <c r="O3293" s="404" t="s">
        <v>1781</v>
      </c>
      <c r="P3293" s="392"/>
      <c r="Q3293" s="327"/>
      <c r="R3293" s="351"/>
      <c r="S3293" s="351"/>
      <c r="T3293" s="351"/>
      <c r="U3293" s="329" t="str">
        <f>IF($N3293=$N$4,IFERROR(INDEX(DanhMuc!$E$154:$E$165,MATCH(MID($B3293,4,2),DanhMuc!$B$154:$B$165,0)),""),"")</f>
        <v/>
      </c>
      <c r="V3293" s="361"/>
      <c r="W3293" s="345"/>
      <c r="X3293" s="329" t="str">
        <f t="shared" si="320"/>
        <v>DR</v>
      </c>
      <c r="Y3293" s="1128" t="s">
        <v>3380</v>
      </c>
      <c r="Z3293" s="1128" t="s">
        <v>3381</v>
      </c>
      <c r="AA3293" s="1128" t="s">
        <v>3384</v>
      </c>
      <c r="AB3293" s="20"/>
      <c r="AC3293" s="73"/>
    </row>
    <row r="3294" spans="1:29">
      <c r="A3294" s="327" t="str">
        <f>IF(AND($B3294&lt;&gt;"",$C3294&lt;&gt;""),MAX($A$1556:A3269)+1,"")</f>
        <v/>
      </c>
      <c r="B3294" s="361" t="s">
        <v>2890</v>
      </c>
      <c r="C3294" s="360"/>
      <c r="D3294" s="327">
        <f>IF($B3294="","",COUNTIF($B$6:$B3294,$B3294))</f>
        <v>2</v>
      </c>
      <c r="E3294" s="361" t="s">
        <v>3140</v>
      </c>
      <c r="F3294" s="362" t="s">
        <v>2373</v>
      </c>
      <c r="G3294" s="327" t="s">
        <v>155</v>
      </c>
      <c r="H3294" s="327"/>
      <c r="I3294" s="327">
        <v>3</v>
      </c>
      <c r="J3294" s="345"/>
      <c r="K3294" s="327"/>
      <c r="L3294" s="389">
        <v>4038</v>
      </c>
      <c r="M3294" s="371"/>
      <c r="N3294" s="355" t="str">
        <f>+$N$1555</f>
        <v>PK</v>
      </c>
      <c r="O3294" s="404" t="s">
        <v>1781</v>
      </c>
      <c r="P3294" s="392"/>
      <c r="Q3294" s="327"/>
      <c r="R3294" s="351"/>
      <c r="S3294" s="351"/>
      <c r="T3294" s="351"/>
      <c r="U3294" s="329" t="str">
        <f>IF($N3294=$N$4,IFERROR(INDEX(DanhMuc!$E$154:$E$165,MATCH(MID($B3294,4,2),DanhMuc!$B$154:$B$165,0)),""),"")</f>
        <v/>
      </c>
      <c r="V3294" s="361"/>
      <c r="W3294" s="345"/>
      <c r="X3294" s="329" t="str">
        <f t="shared" si="320"/>
        <v>DR</v>
      </c>
      <c r="Y3294" s="1128" t="s">
        <v>3380</v>
      </c>
      <c r="Z3294" s="1128" t="s">
        <v>3381</v>
      </c>
      <c r="AA3294" s="1128" t="s">
        <v>3384</v>
      </c>
      <c r="AB3294" s="20"/>
      <c r="AC3294" s="73"/>
    </row>
    <row r="3295" spans="1:29">
      <c r="A3295" s="327" t="str">
        <f>IF(AND($B3295&lt;&gt;"",$C3295&lt;&gt;""),MAX($A$1556:A3270)+1,"")</f>
        <v/>
      </c>
      <c r="B3295" s="361" t="s">
        <v>2890</v>
      </c>
      <c r="C3295" s="360"/>
      <c r="D3295" s="327">
        <f>IF($B3295="","",COUNTIF($B$6:$B3295,$B3295))</f>
        <v>3</v>
      </c>
      <c r="E3295" s="362" t="s">
        <v>2969</v>
      </c>
      <c r="F3295" s="362" t="s">
        <v>2970</v>
      </c>
      <c r="G3295" s="327" t="s">
        <v>155</v>
      </c>
      <c r="H3295" s="327"/>
      <c r="I3295" s="327">
        <v>1</v>
      </c>
      <c r="J3295" s="359"/>
      <c r="K3295" s="327"/>
      <c r="L3295" s="389">
        <v>25815</v>
      </c>
      <c r="M3295" s="371"/>
      <c r="N3295" s="355" t="s">
        <v>153</v>
      </c>
      <c r="O3295" s="404" t="s">
        <v>1971</v>
      </c>
      <c r="P3295" s="392"/>
      <c r="Q3295" s="327"/>
      <c r="R3295" s="351"/>
      <c r="S3295" s="351"/>
      <c r="T3295" s="351"/>
      <c r="U3295" s="329" t="str">
        <f>IF($N3295=$N$4,IFERROR(INDEX(DanhMuc!$E$154:$E$165,MATCH(MID($B3295,4,2),DanhMuc!$B$154:$B$165,0)),""),"")</f>
        <v/>
      </c>
      <c r="V3295" s="361"/>
      <c r="W3295" s="345"/>
      <c r="X3295" s="329" t="str">
        <f t="shared" si="320"/>
        <v>DR</v>
      </c>
      <c r="Y3295" s="1128" t="s">
        <v>3380</v>
      </c>
      <c r="Z3295" s="1128" t="s">
        <v>3381</v>
      </c>
      <c r="AA3295" s="1128" t="s">
        <v>3384</v>
      </c>
      <c r="AB3295" s="20"/>
      <c r="AC3295" s="73"/>
    </row>
    <row r="3296" spans="1:29">
      <c r="A3296" s="327" t="str">
        <f>IF(AND($B3296&lt;&gt;"",$C3296&lt;&gt;""),MAX($A$1556:A3271)+1,"")</f>
        <v/>
      </c>
      <c r="B3296" s="361" t="s">
        <v>2890</v>
      </c>
      <c r="C3296" s="360"/>
      <c r="D3296" s="327">
        <f>IF($B3296="","",COUNTIF($B$6:$B3296,$B3296))</f>
        <v>4</v>
      </c>
      <c r="E3296" s="362" t="s">
        <v>2969</v>
      </c>
      <c r="F3296" s="362" t="s">
        <v>2971</v>
      </c>
      <c r="G3296" s="327" t="s">
        <v>155</v>
      </c>
      <c r="H3296" s="327"/>
      <c r="I3296" s="327">
        <v>1</v>
      </c>
      <c r="J3296" s="359"/>
      <c r="K3296" s="327"/>
      <c r="L3296" s="389">
        <v>25815</v>
      </c>
      <c r="M3296" s="371"/>
      <c r="N3296" s="355" t="s">
        <v>153</v>
      </c>
      <c r="O3296" s="404" t="s">
        <v>1972</v>
      </c>
      <c r="P3296" s="392"/>
      <c r="Q3296" s="327"/>
      <c r="R3296" s="351"/>
      <c r="S3296" s="351"/>
      <c r="T3296" s="351"/>
      <c r="U3296" s="329" t="str">
        <f>IF($N3296=$N$4,IFERROR(INDEX(DanhMuc!$E$154:$E$165,MATCH(MID($B3296,4,2),DanhMuc!$B$154:$B$165,0)),""),"")</f>
        <v/>
      </c>
      <c r="V3296" s="361"/>
      <c r="W3296" s="345"/>
      <c r="X3296" s="329" t="str">
        <f t="shared" si="320"/>
        <v>DR</v>
      </c>
      <c r="Y3296" s="1128" t="s">
        <v>3380</v>
      </c>
      <c r="Z3296" s="1128" t="s">
        <v>3381</v>
      </c>
      <c r="AA3296" s="1128" t="s">
        <v>3384</v>
      </c>
      <c r="AB3296" s="20"/>
      <c r="AC3296" s="73"/>
    </row>
    <row r="3297" spans="1:29">
      <c r="A3297" s="327" t="str">
        <f>IF(AND($B3297&lt;&gt;"",$C3297&lt;&gt;""),MAX($A$1556:A3272)+1,"")</f>
        <v/>
      </c>
      <c r="B3297" s="361" t="s">
        <v>2890</v>
      </c>
      <c r="C3297" s="360"/>
      <c r="D3297" s="327">
        <f>IF($B3297="","",COUNTIF($B$6:$B3297,$B3297))</f>
        <v>5</v>
      </c>
      <c r="E3297" s="361" t="s">
        <v>2953</v>
      </c>
      <c r="F3297" s="362" t="s">
        <v>1970</v>
      </c>
      <c r="G3297" s="327" t="s">
        <v>155</v>
      </c>
      <c r="H3297" s="327"/>
      <c r="I3297" s="327">
        <v>1</v>
      </c>
      <c r="J3297" s="359"/>
      <c r="K3297" s="327"/>
      <c r="L3297" s="389">
        <v>2933</v>
      </c>
      <c r="M3297" s="371"/>
      <c r="N3297" s="355" t="s">
        <v>153</v>
      </c>
      <c r="O3297" s="404" t="s">
        <v>1780</v>
      </c>
      <c r="P3297" s="392"/>
      <c r="Q3297" s="327"/>
      <c r="R3297" s="351"/>
      <c r="S3297" s="351"/>
      <c r="T3297" s="351"/>
      <c r="U3297" s="329" t="str">
        <f>IF($N3297=$N$4,IFERROR(INDEX(DanhMuc!$E$154:$E$165,MATCH(MID($B3297,4,2),DanhMuc!$B$154:$B$165,0)),""),"")</f>
        <v/>
      </c>
      <c r="V3297" s="361"/>
      <c r="W3297" s="345"/>
      <c r="X3297" s="329" t="str">
        <f t="shared" si="320"/>
        <v>DR</v>
      </c>
      <c r="Y3297" s="1128" t="s">
        <v>3380</v>
      </c>
      <c r="Z3297" s="1128" t="s">
        <v>3381</v>
      </c>
      <c r="AA3297" s="1128" t="s">
        <v>3384</v>
      </c>
      <c r="AB3297" s="20"/>
      <c r="AC3297" s="73"/>
    </row>
    <row r="3298" spans="1:29">
      <c r="A3298" s="327" t="str">
        <f>IF(AND($B3298&lt;&gt;"",$C3298&lt;&gt;""),MAX($A$1556:A3273)+1,"")</f>
        <v/>
      </c>
      <c r="B3298" s="361" t="s">
        <v>2890</v>
      </c>
      <c r="C3298" s="360"/>
      <c r="D3298" s="327">
        <f>IF($B3298="","",COUNTIF($B$6:$B3298,$B3298))</f>
        <v>6</v>
      </c>
      <c r="E3298" s="361" t="s">
        <v>2534</v>
      </c>
      <c r="F3298" s="362" t="s">
        <v>181</v>
      </c>
      <c r="G3298" s="327" t="s">
        <v>155</v>
      </c>
      <c r="H3298" s="327" t="s">
        <v>536</v>
      </c>
      <c r="I3298" s="327">
        <v>8</v>
      </c>
      <c r="J3298" s="361"/>
      <c r="K3298" s="327"/>
      <c r="L3298" s="389">
        <v>19000</v>
      </c>
      <c r="M3298" s="371"/>
      <c r="N3298" s="355" t="str">
        <f t="shared" ref="N3298:N3428" si="323">+$N$1555</f>
        <v>PK</v>
      </c>
      <c r="O3298" s="345"/>
      <c r="P3298" s="392"/>
      <c r="Q3298" s="327"/>
      <c r="R3298" s="351"/>
      <c r="S3298" s="351"/>
      <c r="T3298" s="351"/>
      <c r="U3298" s="329" t="str">
        <f>IF($N3298=$N$4,IFERROR(INDEX(DanhMuc!$E$154:$E$165,MATCH(MID($B3298,4,2),DanhMuc!$B$154:$B$165,0)),""),"")</f>
        <v/>
      </c>
      <c r="V3298" s="361"/>
      <c r="W3298" s="345"/>
      <c r="X3298" s="329" t="str">
        <f t="shared" si="320"/>
        <v>DR</v>
      </c>
      <c r="Y3298" s="1128" t="s">
        <v>3380</v>
      </c>
      <c r="Z3298" s="1128" t="s">
        <v>3381</v>
      </c>
      <c r="AA3298" s="1128" t="s">
        <v>3384</v>
      </c>
      <c r="AB3298" s="20"/>
      <c r="AC3298" s="73"/>
    </row>
    <row r="3299" spans="1:29">
      <c r="A3299" s="327" t="str">
        <f>IF(AND($B3299&lt;&gt;"",$C3299&lt;&gt;""),MAX($A$1556:A3274)+1,"")</f>
        <v/>
      </c>
      <c r="B3299" s="361" t="s">
        <v>2890</v>
      </c>
      <c r="C3299" s="360"/>
      <c r="D3299" s="327">
        <f>IF($B3299="","",COUNTIF($B$6:$B3299,$B3299))</f>
        <v>7</v>
      </c>
      <c r="E3299" s="361" t="s">
        <v>163</v>
      </c>
      <c r="F3299" s="362" t="s">
        <v>164</v>
      </c>
      <c r="G3299" s="327" t="s">
        <v>155</v>
      </c>
      <c r="H3299" s="327"/>
      <c r="I3299" s="327">
        <v>4</v>
      </c>
      <c r="J3299" s="361"/>
      <c r="K3299" s="408"/>
      <c r="L3299" s="389">
        <v>2500</v>
      </c>
      <c r="M3299" s="371"/>
      <c r="N3299" s="355" t="str">
        <f t="shared" si="323"/>
        <v>PK</v>
      </c>
      <c r="O3299" s="345"/>
      <c r="P3299" s="392"/>
      <c r="Q3299" s="327"/>
      <c r="R3299" s="351"/>
      <c r="S3299" s="351"/>
      <c r="T3299" s="351"/>
      <c r="U3299" s="329" t="str">
        <f>IF($N3299=$N$4,IFERROR(INDEX(DanhMuc!$E$154:$E$165,MATCH(MID($B3299,4,2),DanhMuc!$B$154:$B$165,0)),""),"")</f>
        <v/>
      </c>
      <c r="V3299" s="408" t="s">
        <v>342</v>
      </c>
      <c r="W3299" s="345"/>
      <c r="X3299" s="329" t="str">
        <f t="shared" si="320"/>
        <v>DR</v>
      </c>
      <c r="Y3299" s="1128" t="s">
        <v>3380</v>
      </c>
      <c r="Z3299" s="1128" t="s">
        <v>3381</v>
      </c>
      <c r="AA3299" s="1128" t="s">
        <v>3384</v>
      </c>
      <c r="AB3299" s="20"/>
      <c r="AC3299" s="73"/>
    </row>
    <row r="3300" spans="1:29">
      <c r="A3300" s="327" t="str">
        <f>IF(AND($B3300&lt;&gt;"",$C3300&lt;&gt;""),MAX($A$1556:A3275)+1,"")</f>
        <v/>
      </c>
      <c r="B3300" s="361" t="s">
        <v>2890</v>
      </c>
      <c r="C3300" s="360"/>
      <c r="D3300" s="327">
        <f>IF($B3300="","",COUNTIF($B$6:$B3300,$B3300))</f>
        <v>8</v>
      </c>
      <c r="E3300" s="361" t="s">
        <v>187</v>
      </c>
      <c r="F3300" s="362" t="s">
        <v>189</v>
      </c>
      <c r="G3300" s="327" t="s">
        <v>155</v>
      </c>
      <c r="H3300" s="327"/>
      <c r="I3300" s="327">
        <v>8</v>
      </c>
      <c r="J3300" s="361"/>
      <c r="K3300" s="327"/>
      <c r="L3300" s="389">
        <v>5000</v>
      </c>
      <c r="M3300" s="371"/>
      <c r="N3300" s="355" t="str">
        <f t="shared" si="323"/>
        <v>PK</v>
      </c>
      <c r="O3300" s="345"/>
      <c r="P3300" s="392"/>
      <c r="Q3300" s="327"/>
      <c r="R3300" s="351"/>
      <c r="S3300" s="351"/>
      <c r="T3300" s="351"/>
      <c r="U3300" s="329" t="str">
        <f>IF($N3300=$N$4,IFERROR(INDEX(DanhMuc!$E$154:$E$165,MATCH(MID($B3300,4,2),DanhMuc!$B$154:$B$165,0)),""),"")</f>
        <v/>
      </c>
      <c r="V3300" s="361"/>
      <c r="W3300" s="345"/>
      <c r="X3300" s="329" t="str">
        <f t="shared" si="320"/>
        <v>DR</v>
      </c>
      <c r="Y3300" s="1128" t="s">
        <v>3380</v>
      </c>
      <c r="Z3300" s="1128" t="s">
        <v>3381</v>
      </c>
      <c r="AA3300" s="1128" t="s">
        <v>3384</v>
      </c>
      <c r="AB3300" s="20"/>
      <c r="AC3300" s="73"/>
    </row>
    <row r="3301" spans="1:29" ht="39">
      <c r="A3301" s="327">
        <f>IF(AND($B3301&lt;&gt;"",$C3301&lt;&gt;""),MAX($A$1556:A3276)+1,"")</f>
        <v>166</v>
      </c>
      <c r="B3301" s="359" t="s">
        <v>3822</v>
      </c>
      <c r="C3301" s="360" t="s">
        <v>3770</v>
      </c>
      <c r="D3301" s="327">
        <f>IF($B3301="","",COUNTIF($B$6:$B3301,$B3301))</f>
        <v>1</v>
      </c>
      <c r="E3301" s="361" t="s">
        <v>3771</v>
      </c>
      <c r="F3301" s="362" t="s">
        <v>3780</v>
      </c>
      <c r="G3301" s="327" t="s">
        <v>296</v>
      </c>
      <c r="H3301" s="361" t="s">
        <v>3790</v>
      </c>
      <c r="I3301" s="327">
        <v>2</v>
      </c>
      <c r="J3301" s="361"/>
      <c r="K3301" s="327"/>
      <c r="L3301" s="389">
        <v>184503</v>
      </c>
      <c r="M3301" s="355"/>
      <c r="N3301" s="355" t="str">
        <f>+$N$1555</f>
        <v>PK</v>
      </c>
      <c r="O3301" s="345"/>
      <c r="P3301" s="392"/>
      <c r="Q3301" s="327"/>
      <c r="R3301" s="351"/>
      <c r="S3301" s="351"/>
      <c r="T3301" s="351"/>
      <c r="U3301" s="329" t="str">
        <f>IF($N3301=$N$4,IFERROR(INDEX(DanhMuc!$E$154:$E$165,MATCH(MID($B3301,4,2),DanhMuc!$B$154:$B$165,0)),""),"")</f>
        <v/>
      </c>
      <c r="V3301" s="361"/>
      <c r="W3301" s="345"/>
      <c r="X3301" s="329" t="s">
        <v>2866</v>
      </c>
      <c r="Y3301" s="1128" t="s">
        <v>3380</v>
      </c>
      <c r="Z3301" s="1128" t="s">
        <v>3381</v>
      </c>
      <c r="AA3301" s="1128" t="s">
        <v>3384</v>
      </c>
      <c r="AB3301" s="20"/>
      <c r="AC3301" s="73"/>
    </row>
    <row r="3302" spans="1:29">
      <c r="A3302" s="327" t="str">
        <f>IF(AND($B3302&lt;&gt;"",$C3302&lt;&gt;""),MAX($A$1556:A3277)+1,"")</f>
        <v/>
      </c>
      <c r="B3302" s="361" t="s">
        <v>3822</v>
      </c>
      <c r="C3302" s="360"/>
      <c r="D3302" s="327">
        <f>IF($B3302="","",COUNTIF($B$6:$B3302,$B3302))</f>
        <v>2</v>
      </c>
      <c r="E3302" s="361" t="s">
        <v>3772</v>
      </c>
      <c r="F3302" s="362" t="s">
        <v>3781</v>
      </c>
      <c r="G3302" s="327" t="s">
        <v>296</v>
      </c>
      <c r="H3302" s="361" t="s">
        <v>3790</v>
      </c>
      <c r="I3302" s="327">
        <v>2</v>
      </c>
      <c r="J3302" s="345"/>
      <c r="K3302" s="327"/>
      <c r="L3302" s="389">
        <v>72412</v>
      </c>
      <c r="M3302" s="355"/>
      <c r="N3302" s="355" t="str">
        <f>+$N$1555</f>
        <v>PK</v>
      </c>
      <c r="O3302" s="345"/>
      <c r="P3302" s="392"/>
      <c r="Q3302" s="327"/>
      <c r="R3302" s="351"/>
      <c r="S3302" s="351"/>
      <c r="T3302" s="351"/>
      <c r="U3302" s="329" t="str">
        <f>IF($N3302=$N$4,IFERROR(INDEX(DanhMuc!$E$154:$E$165,MATCH(MID($B3302,4,2),DanhMuc!$B$154:$B$165,0)),""),"")</f>
        <v/>
      </c>
      <c r="V3302" s="361"/>
      <c r="W3302" s="345"/>
      <c r="X3302" s="329" t="s">
        <v>2866</v>
      </c>
      <c r="Y3302" s="1128" t="s">
        <v>3380</v>
      </c>
      <c r="Z3302" s="1128" t="s">
        <v>3381</v>
      </c>
      <c r="AA3302" s="1128" t="s">
        <v>3384</v>
      </c>
      <c r="AB3302" s="20"/>
      <c r="AC3302" s="73"/>
    </row>
    <row r="3303" spans="1:29">
      <c r="A3303" s="327" t="str">
        <f>IF(AND($B3303&lt;&gt;"",$C3303&lt;&gt;""),MAX($A$1556:A3278)+1,"")</f>
        <v/>
      </c>
      <c r="B3303" s="361" t="s">
        <v>3822</v>
      </c>
      <c r="C3303" s="360"/>
      <c r="D3303" s="327">
        <f>IF($B3303="","",COUNTIF($B$6:$B3303,$B3303))</f>
        <v>3</v>
      </c>
      <c r="E3303" s="361" t="s">
        <v>3773</v>
      </c>
      <c r="F3303" s="362" t="s">
        <v>3782</v>
      </c>
      <c r="G3303" s="327" t="s">
        <v>296</v>
      </c>
      <c r="H3303" s="361" t="s">
        <v>3790</v>
      </c>
      <c r="I3303" s="327">
        <v>1</v>
      </c>
      <c r="J3303" s="361"/>
      <c r="K3303" s="327"/>
      <c r="L3303" s="389">
        <v>57321</v>
      </c>
      <c r="M3303" s="355"/>
      <c r="N3303" s="355" t="str">
        <f t="shared" ref="N3303:N3416" si="324">+$N$1555</f>
        <v>PK</v>
      </c>
      <c r="O3303" s="345"/>
      <c r="P3303" s="392"/>
      <c r="Q3303" s="327"/>
      <c r="R3303" s="351"/>
      <c r="S3303" s="351"/>
      <c r="T3303" s="351"/>
      <c r="U3303" s="329" t="str">
        <f>IF($N3303=$N$4,IFERROR(INDEX(DanhMuc!$E$154:$E$165,MATCH(MID($B3303,4,2),DanhMuc!$B$154:$B$165,0)),""),"")</f>
        <v/>
      </c>
      <c r="V3303" s="361"/>
      <c r="W3303" s="345"/>
      <c r="X3303" s="329" t="s">
        <v>2866</v>
      </c>
      <c r="Y3303" s="1128" t="s">
        <v>3380</v>
      </c>
      <c r="Z3303" s="1128" t="s">
        <v>3381</v>
      </c>
      <c r="AA3303" s="1128" t="s">
        <v>3384</v>
      </c>
      <c r="AB3303" s="20"/>
      <c r="AC3303" s="73"/>
    </row>
    <row r="3304" spans="1:29">
      <c r="A3304" s="327" t="str">
        <f>IF(AND($B3304&lt;&gt;"",$C3304&lt;&gt;""),MAX($A$1556:A3279)+1,"")</f>
        <v/>
      </c>
      <c r="B3304" s="361" t="s">
        <v>3822</v>
      </c>
      <c r="C3304" s="360"/>
      <c r="D3304" s="327">
        <f>IF($B3304="","",COUNTIF($B$6:$B3304,$B3304))</f>
        <v>4</v>
      </c>
      <c r="E3304" s="361" t="s">
        <v>3774</v>
      </c>
      <c r="F3304" s="362" t="s">
        <v>3783</v>
      </c>
      <c r="G3304" s="327" t="s">
        <v>296</v>
      </c>
      <c r="H3304" s="361" t="s">
        <v>3790</v>
      </c>
      <c r="I3304" s="327">
        <v>1</v>
      </c>
      <c r="J3304" s="361"/>
      <c r="K3304" s="327"/>
      <c r="L3304" s="389">
        <v>156990</v>
      </c>
      <c r="M3304" s="355"/>
      <c r="N3304" s="355" t="str">
        <f t="shared" si="324"/>
        <v>PK</v>
      </c>
      <c r="O3304" s="345"/>
      <c r="P3304" s="392"/>
      <c r="Q3304" s="327"/>
      <c r="R3304" s="351"/>
      <c r="S3304" s="351"/>
      <c r="T3304" s="351"/>
      <c r="U3304" s="329" t="str">
        <f>IF($N3304=$N$4,IFERROR(INDEX(DanhMuc!$E$154:$E$165,MATCH(MID($B3304,4,2),DanhMuc!$B$154:$B$165,0)),""),"")</f>
        <v/>
      </c>
      <c r="V3304" s="361"/>
      <c r="W3304" s="345"/>
      <c r="X3304" s="329" t="s">
        <v>2866</v>
      </c>
      <c r="Y3304" s="1128" t="s">
        <v>3380</v>
      </c>
      <c r="Z3304" s="1128" t="s">
        <v>3381</v>
      </c>
      <c r="AA3304" s="1128" t="s">
        <v>3384</v>
      </c>
      <c r="AB3304" s="20"/>
      <c r="AC3304" s="73"/>
    </row>
    <row r="3305" spans="1:29">
      <c r="A3305" s="327" t="str">
        <f>IF(AND($B3305&lt;&gt;"",$C3305&lt;&gt;""),MAX($A$1556:A3280)+1,"")</f>
        <v/>
      </c>
      <c r="B3305" s="361" t="s">
        <v>3822</v>
      </c>
      <c r="C3305" s="360"/>
      <c r="D3305" s="327">
        <f>IF($B3305="","",COUNTIF($B$6:$B3305,$B3305))</f>
        <v>5</v>
      </c>
      <c r="E3305" s="361" t="s">
        <v>3775</v>
      </c>
      <c r="F3305" s="362" t="s">
        <v>3784</v>
      </c>
      <c r="G3305" s="327" t="s">
        <v>296</v>
      </c>
      <c r="H3305" s="361" t="s">
        <v>3790</v>
      </c>
      <c r="I3305" s="327">
        <v>2</v>
      </c>
      <c r="J3305" s="361"/>
      <c r="K3305" s="327"/>
      <c r="L3305" s="389">
        <v>72848</v>
      </c>
      <c r="M3305" s="355"/>
      <c r="N3305" s="355" t="str">
        <f t="shared" si="324"/>
        <v>PK</v>
      </c>
      <c r="O3305" s="345"/>
      <c r="P3305" s="392"/>
      <c r="Q3305" s="327"/>
      <c r="R3305" s="351"/>
      <c r="S3305" s="351"/>
      <c r="T3305" s="351"/>
      <c r="U3305" s="329" t="str">
        <f>IF($N3305=$N$4,IFERROR(INDEX(DanhMuc!$E$154:$E$165,MATCH(MID($B3305,4,2),DanhMuc!$B$154:$B$165,0)),""),"")</f>
        <v/>
      </c>
      <c r="V3305" s="361"/>
      <c r="W3305" s="345"/>
      <c r="X3305" s="329" t="s">
        <v>2866</v>
      </c>
      <c r="Y3305" s="1128" t="s">
        <v>3380</v>
      </c>
      <c r="Z3305" s="1128" t="s">
        <v>3381</v>
      </c>
      <c r="AA3305" s="1128" t="s">
        <v>3384</v>
      </c>
      <c r="AB3305" s="20"/>
      <c r="AC3305" s="73"/>
    </row>
    <row r="3306" spans="1:29">
      <c r="A3306" s="327" t="str">
        <f>IF(AND($B3306&lt;&gt;"",$C3306&lt;&gt;""),MAX($A$1556:A3281)+1,"")</f>
        <v/>
      </c>
      <c r="B3306" s="361" t="s">
        <v>3822</v>
      </c>
      <c r="C3306" s="360"/>
      <c r="D3306" s="327">
        <f>IF($B3306="","",COUNTIF($B$6:$B3306,$B3306))</f>
        <v>6</v>
      </c>
      <c r="E3306" s="361" t="s">
        <v>3776</v>
      </c>
      <c r="F3306" s="362" t="s">
        <v>3785</v>
      </c>
      <c r="G3306" s="327" t="s">
        <v>296</v>
      </c>
      <c r="H3306" s="361" t="s">
        <v>3790</v>
      </c>
      <c r="I3306" s="327">
        <v>1</v>
      </c>
      <c r="J3306" s="361"/>
      <c r="K3306" s="327"/>
      <c r="L3306" s="389">
        <v>85854</v>
      </c>
      <c r="M3306" s="355"/>
      <c r="N3306" s="355" t="str">
        <f t="shared" si="324"/>
        <v>PK</v>
      </c>
      <c r="O3306" s="345"/>
      <c r="P3306" s="392"/>
      <c r="Q3306" s="327"/>
      <c r="R3306" s="351"/>
      <c r="S3306" s="351"/>
      <c r="T3306" s="351"/>
      <c r="U3306" s="329" t="str">
        <f>IF($N3306=$N$4,IFERROR(INDEX(DanhMuc!$E$154:$E$165,MATCH(MID($B3306,4,2),DanhMuc!$B$154:$B$165,0)),""),"")</f>
        <v/>
      </c>
      <c r="V3306" s="361"/>
      <c r="W3306" s="345"/>
      <c r="X3306" s="329" t="s">
        <v>2866</v>
      </c>
      <c r="Y3306" s="1128" t="s">
        <v>3380</v>
      </c>
      <c r="Z3306" s="1128" t="s">
        <v>3381</v>
      </c>
      <c r="AA3306" s="1128" t="s">
        <v>3384</v>
      </c>
      <c r="AB3306" s="20"/>
      <c r="AC3306" s="73"/>
    </row>
    <row r="3307" spans="1:29">
      <c r="A3307" s="327" t="str">
        <f>IF(AND($B3307&lt;&gt;"",$C3307&lt;&gt;""),MAX($A$1556:A3282)+1,"")</f>
        <v/>
      </c>
      <c r="B3307" s="361" t="s">
        <v>3822</v>
      </c>
      <c r="C3307" s="360"/>
      <c r="D3307" s="327">
        <f>IF($B3307="","",COUNTIF($B$6:$B3307,$B3307))</f>
        <v>7</v>
      </c>
      <c r="E3307" s="361" t="s">
        <v>3777</v>
      </c>
      <c r="F3307" s="362" t="s">
        <v>3786</v>
      </c>
      <c r="G3307" s="327" t="s">
        <v>296</v>
      </c>
      <c r="H3307" s="361" t="s">
        <v>3790</v>
      </c>
      <c r="I3307" s="327">
        <v>1</v>
      </c>
      <c r="J3307" s="361"/>
      <c r="K3307" s="327"/>
      <c r="L3307" s="389">
        <v>328670</v>
      </c>
      <c r="M3307" s="355"/>
      <c r="N3307" s="355" t="str">
        <f t="shared" si="324"/>
        <v>PK</v>
      </c>
      <c r="O3307" s="345"/>
      <c r="P3307" s="392"/>
      <c r="Q3307" s="327"/>
      <c r="R3307" s="351"/>
      <c r="S3307" s="351"/>
      <c r="T3307" s="351"/>
      <c r="U3307" s="329" t="str">
        <f>IF($N3307=$N$4,IFERROR(INDEX(DanhMuc!$E$154:$E$165,MATCH(MID($B3307,4,2),DanhMuc!$B$154:$B$165,0)),""),"")</f>
        <v/>
      </c>
      <c r="V3307" s="361"/>
      <c r="W3307" s="345"/>
      <c r="X3307" s="329" t="s">
        <v>2866</v>
      </c>
      <c r="Y3307" s="1128" t="s">
        <v>3380</v>
      </c>
      <c r="Z3307" s="1128" t="s">
        <v>3381</v>
      </c>
      <c r="AA3307" s="1128" t="s">
        <v>3384</v>
      </c>
      <c r="AB3307" s="20"/>
      <c r="AC3307" s="73"/>
    </row>
    <row r="3308" spans="1:29">
      <c r="A3308" s="327" t="str">
        <f>IF(AND($B3308&lt;&gt;"",$C3308&lt;&gt;""),MAX($A$1556:A3283)+1,"")</f>
        <v/>
      </c>
      <c r="B3308" s="361" t="s">
        <v>3822</v>
      </c>
      <c r="C3308" s="360"/>
      <c r="D3308" s="327">
        <f>IF($B3308="","",COUNTIF($B$6:$B3308,$B3308))</f>
        <v>8</v>
      </c>
      <c r="E3308" s="361" t="s">
        <v>3778</v>
      </c>
      <c r="F3308" s="362" t="s">
        <v>3787</v>
      </c>
      <c r="G3308" s="327" t="s">
        <v>296</v>
      </c>
      <c r="H3308" s="361" t="s">
        <v>536</v>
      </c>
      <c r="I3308" s="327">
        <v>1</v>
      </c>
      <c r="J3308" s="361"/>
      <c r="K3308" s="327"/>
      <c r="L3308" s="389">
        <v>67564</v>
      </c>
      <c r="M3308" s="355"/>
      <c r="N3308" s="355" t="str">
        <f t="shared" si="324"/>
        <v>PK</v>
      </c>
      <c r="O3308" s="345"/>
      <c r="P3308" s="392"/>
      <c r="Q3308" s="327"/>
      <c r="R3308" s="351"/>
      <c r="S3308" s="351"/>
      <c r="T3308" s="351"/>
      <c r="U3308" s="329" t="str">
        <f>IF($N3308=$N$4,IFERROR(INDEX(DanhMuc!$E$154:$E$165,MATCH(MID($B3308,4,2),DanhMuc!$B$154:$B$165,0)),""),"")</f>
        <v/>
      </c>
      <c r="V3308" s="361"/>
      <c r="W3308" s="345"/>
      <c r="X3308" s="329" t="s">
        <v>2866</v>
      </c>
      <c r="Y3308" s="1128" t="s">
        <v>3380</v>
      </c>
      <c r="Z3308" s="1128" t="s">
        <v>3381</v>
      </c>
      <c r="AA3308" s="1128" t="s">
        <v>3384</v>
      </c>
      <c r="AB3308" s="20"/>
      <c r="AC3308" s="73"/>
    </row>
    <row r="3309" spans="1:29">
      <c r="A3309" s="327" t="str">
        <f>IF(AND($B3309&lt;&gt;"",$C3309&lt;&gt;""),MAX($A$1556:A3284)+1,"")</f>
        <v/>
      </c>
      <c r="B3309" s="361" t="s">
        <v>3822</v>
      </c>
      <c r="C3309" s="360"/>
      <c r="D3309" s="327">
        <f>IF($B3309="","",COUNTIF($B$6:$B3309,$B3309))</f>
        <v>9</v>
      </c>
      <c r="E3309" s="361" t="s">
        <v>3779</v>
      </c>
      <c r="F3309" s="362" t="s">
        <v>3788</v>
      </c>
      <c r="G3309" s="327" t="s">
        <v>296</v>
      </c>
      <c r="H3309" s="361" t="s">
        <v>536</v>
      </c>
      <c r="I3309" s="327">
        <v>1</v>
      </c>
      <c r="J3309" s="361"/>
      <c r="K3309" s="327"/>
      <c r="L3309" s="389">
        <v>13377</v>
      </c>
      <c r="M3309" s="355"/>
      <c r="N3309" s="355" t="str">
        <f t="shared" si="324"/>
        <v>PK</v>
      </c>
      <c r="O3309" s="345"/>
      <c r="P3309" s="392"/>
      <c r="Q3309" s="327"/>
      <c r="R3309" s="351"/>
      <c r="S3309" s="351"/>
      <c r="T3309" s="351"/>
      <c r="U3309" s="329" t="str">
        <f>IF($N3309=$N$4,IFERROR(INDEX(DanhMuc!$E$154:$E$165,MATCH(MID($B3309,4,2),DanhMuc!$B$154:$B$165,0)),""),"")</f>
        <v/>
      </c>
      <c r="V3309" s="361"/>
      <c r="W3309" s="345"/>
      <c r="X3309" s="329" t="s">
        <v>2866</v>
      </c>
      <c r="Y3309" s="1128" t="s">
        <v>3380</v>
      </c>
      <c r="Z3309" s="1128" t="s">
        <v>3381</v>
      </c>
      <c r="AA3309" s="1128" t="s">
        <v>3384</v>
      </c>
      <c r="AB3309" s="20"/>
      <c r="AC3309" s="73"/>
    </row>
    <row r="3310" spans="1:29" ht="39">
      <c r="A3310" s="327">
        <f>IF(AND($B3310&lt;&gt;"",$C3310&lt;&gt;""),MAX($A$1556:A3285)+1,"")</f>
        <v>168</v>
      </c>
      <c r="B3310" s="359" t="s">
        <v>3823</v>
      </c>
      <c r="C3310" s="360" t="s">
        <v>3796</v>
      </c>
      <c r="D3310" s="327">
        <f>IF($B3310="","",COUNTIF($B$6:$B3310,$B3310))</f>
        <v>1</v>
      </c>
      <c r="E3310" s="361" t="s">
        <v>3771</v>
      </c>
      <c r="F3310" s="362" t="s">
        <v>3780</v>
      </c>
      <c r="G3310" s="327" t="s">
        <v>3789</v>
      </c>
      <c r="H3310" s="361" t="s">
        <v>3790</v>
      </c>
      <c r="I3310" s="327">
        <v>2</v>
      </c>
      <c r="J3310" s="361"/>
      <c r="K3310" s="327"/>
      <c r="L3310" s="389">
        <v>184503</v>
      </c>
      <c r="M3310" s="355"/>
      <c r="N3310" s="355" t="str">
        <f t="shared" si="324"/>
        <v>PK</v>
      </c>
      <c r="O3310" s="345"/>
      <c r="P3310" s="392"/>
      <c r="Q3310" s="327"/>
      <c r="R3310" s="351"/>
      <c r="S3310" s="351"/>
      <c r="T3310" s="351"/>
      <c r="U3310" s="329" t="str">
        <f>IF($N3310=$N$4,IFERROR(INDEX(DanhMuc!$E$154:$E$165,MATCH(MID($B3310,4,2),DanhMuc!$B$154:$B$165,0)),""),"")</f>
        <v/>
      </c>
      <c r="V3310" s="361"/>
      <c r="W3310" s="345"/>
      <c r="X3310" s="329" t="s">
        <v>2866</v>
      </c>
      <c r="Y3310" s="1128" t="s">
        <v>3380</v>
      </c>
      <c r="Z3310" s="1128" t="s">
        <v>3381</v>
      </c>
      <c r="AA3310" s="1128" t="s">
        <v>3384</v>
      </c>
      <c r="AB3310" s="20"/>
      <c r="AC3310" s="73"/>
    </row>
    <row r="3311" spans="1:29">
      <c r="A3311" s="327" t="str">
        <f>IF(AND($B3311&lt;&gt;"",$C3311&lt;&gt;""),MAX($A$1556:A3286)+1,"")</f>
        <v/>
      </c>
      <c r="B3311" s="361" t="s">
        <v>3823</v>
      </c>
      <c r="C3311" s="360"/>
      <c r="D3311" s="327">
        <f>IF($B3311="","",COUNTIF($B$6:$B3311,$B3311))</f>
        <v>2</v>
      </c>
      <c r="E3311" s="361" t="s">
        <v>3772</v>
      </c>
      <c r="F3311" s="362" t="s">
        <v>3781</v>
      </c>
      <c r="G3311" s="327" t="s">
        <v>3789</v>
      </c>
      <c r="H3311" s="361" t="s">
        <v>3790</v>
      </c>
      <c r="I3311" s="327">
        <v>2</v>
      </c>
      <c r="J3311" s="361"/>
      <c r="K3311" s="327"/>
      <c r="L3311" s="389">
        <v>72412</v>
      </c>
      <c r="M3311" s="355"/>
      <c r="N3311" s="355" t="str">
        <f t="shared" si="324"/>
        <v>PK</v>
      </c>
      <c r="O3311" s="345"/>
      <c r="P3311" s="392"/>
      <c r="Q3311" s="327"/>
      <c r="R3311" s="351"/>
      <c r="S3311" s="351"/>
      <c r="T3311" s="351"/>
      <c r="U3311" s="329" t="str">
        <f>IF($N3311=$N$4,IFERROR(INDEX(DanhMuc!$E$154:$E$165,MATCH(MID($B3311,4,2),DanhMuc!$B$154:$B$165,0)),""),"")</f>
        <v/>
      </c>
      <c r="V3311" s="361"/>
      <c r="W3311" s="345"/>
      <c r="X3311" s="329" t="s">
        <v>2866</v>
      </c>
      <c r="Y3311" s="1128" t="s">
        <v>3380</v>
      </c>
      <c r="Z3311" s="1128" t="s">
        <v>3381</v>
      </c>
      <c r="AA3311" s="1128" t="s">
        <v>3384</v>
      </c>
      <c r="AB3311" s="20"/>
      <c r="AC3311" s="73"/>
    </row>
    <row r="3312" spans="1:29">
      <c r="A3312" s="327" t="str">
        <f>IF(AND($B3312&lt;&gt;"",$C3312&lt;&gt;""),MAX($A$1556:A3287)+1,"")</f>
        <v/>
      </c>
      <c r="B3312" s="361" t="s">
        <v>3823</v>
      </c>
      <c r="C3312" s="360"/>
      <c r="D3312" s="327">
        <f>IF($B3312="","",COUNTIF($B$6:$B3312,$B3312))</f>
        <v>3</v>
      </c>
      <c r="E3312" s="361" t="s">
        <v>3793</v>
      </c>
      <c r="F3312" s="362" t="s">
        <v>3781</v>
      </c>
      <c r="G3312" s="327" t="s">
        <v>3789</v>
      </c>
      <c r="H3312" s="361" t="s">
        <v>3790</v>
      </c>
      <c r="I3312" s="327">
        <v>2</v>
      </c>
      <c r="J3312" s="361"/>
      <c r="K3312" s="327"/>
      <c r="L3312" s="389">
        <v>90105</v>
      </c>
      <c r="M3312" s="355"/>
      <c r="N3312" s="355" t="str">
        <f t="shared" si="324"/>
        <v>PK</v>
      </c>
      <c r="O3312" s="345"/>
      <c r="P3312" s="392"/>
      <c r="Q3312" s="327"/>
      <c r="R3312" s="351"/>
      <c r="S3312" s="351"/>
      <c r="T3312" s="351"/>
      <c r="U3312" s="329" t="str">
        <f>IF($N3312=$N$4,IFERROR(INDEX(DanhMuc!$E$154:$E$165,MATCH(MID($B3312,4,2),DanhMuc!$B$154:$B$165,0)),""),"")</f>
        <v/>
      </c>
      <c r="V3312" s="361"/>
      <c r="W3312" s="345"/>
      <c r="X3312" s="329" t="s">
        <v>2866</v>
      </c>
      <c r="Y3312" s="1128" t="s">
        <v>3380</v>
      </c>
      <c r="Z3312" s="1128" t="s">
        <v>3381</v>
      </c>
      <c r="AA3312" s="1128" t="s">
        <v>3384</v>
      </c>
      <c r="AB3312" s="20"/>
      <c r="AC3312" s="73"/>
    </row>
    <row r="3313" spans="1:29">
      <c r="A3313" s="327" t="str">
        <f>IF(AND($B3313&lt;&gt;"",$C3313&lt;&gt;""),MAX($A$1556:A3288)+1,"")</f>
        <v/>
      </c>
      <c r="B3313" s="361" t="s">
        <v>3823</v>
      </c>
      <c r="C3313" s="360"/>
      <c r="D3313" s="327">
        <f>IF($B3313="","",COUNTIF($B$6:$B3313,$B3313))</f>
        <v>4</v>
      </c>
      <c r="E3313" s="361" t="s">
        <v>3773</v>
      </c>
      <c r="F3313" s="362" t="s">
        <v>3782</v>
      </c>
      <c r="G3313" s="327" t="s">
        <v>3789</v>
      </c>
      <c r="H3313" s="361" t="s">
        <v>3790</v>
      </c>
      <c r="I3313" s="327">
        <v>2</v>
      </c>
      <c r="J3313" s="361"/>
      <c r="K3313" s="327"/>
      <c r="L3313" s="389">
        <v>57321</v>
      </c>
      <c r="M3313" s="355"/>
      <c r="N3313" s="355" t="str">
        <f t="shared" si="324"/>
        <v>PK</v>
      </c>
      <c r="O3313" s="345"/>
      <c r="P3313" s="392"/>
      <c r="Q3313" s="327"/>
      <c r="R3313" s="351"/>
      <c r="S3313" s="351"/>
      <c r="T3313" s="351"/>
      <c r="U3313" s="329" t="str">
        <f>IF($N3313=$N$4,IFERROR(INDEX(DanhMuc!$E$154:$E$165,MATCH(MID($B3313,4,2),DanhMuc!$B$154:$B$165,0)),""),"")</f>
        <v/>
      </c>
      <c r="V3313" s="361"/>
      <c r="W3313" s="345"/>
      <c r="X3313" s="329" t="s">
        <v>2866</v>
      </c>
      <c r="Y3313" s="1128" t="s">
        <v>3380</v>
      </c>
      <c r="Z3313" s="1128" t="s">
        <v>3381</v>
      </c>
      <c r="AA3313" s="1128" t="s">
        <v>3384</v>
      </c>
      <c r="AB3313" s="20"/>
      <c r="AC3313" s="73"/>
    </row>
    <row r="3314" spans="1:29">
      <c r="A3314" s="327" t="str">
        <f>IF(AND($B3314&lt;&gt;"",$C3314&lt;&gt;""),MAX($A$1556:A3289)+1,"")</f>
        <v/>
      </c>
      <c r="B3314" s="361" t="s">
        <v>3823</v>
      </c>
      <c r="C3314" s="360"/>
      <c r="D3314" s="327">
        <f>IF($B3314="","",COUNTIF($B$6:$B3314,$B3314))</f>
        <v>5</v>
      </c>
      <c r="E3314" s="361" t="s">
        <v>3774</v>
      </c>
      <c r="F3314" s="362" t="s">
        <v>3783</v>
      </c>
      <c r="G3314" s="327" t="s">
        <v>3789</v>
      </c>
      <c r="H3314" s="361" t="s">
        <v>3790</v>
      </c>
      <c r="I3314" s="327">
        <v>1</v>
      </c>
      <c r="J3314" s="361"/>
      <c r="K3314" s="327"/>
      <c r="L3314" s="389">
        <v>156990</v>
      </c>
      <c r="M3314" s="355"/>
      <c r="N3314" s="355" t="str">
        <f t="shared" si="324"/>
        <v>PK</v>
      </c>
      <c r="O3314" s="345"/>
      <c r="P3314" s="392"/>
      <c r="Q3314" s="327"/>
      <c r="R3314" s="351"/>
      <c r="S3314" s="351"/>
      <c r="T3314" s="351"/>
      <c r="U3314" s="329" t="str">
        <f>IF($N3314=$N$4,IFERROR(INDEX(DanhMuc!$E$154:$E$165,MATCH(MID($B3314,4,2),DanhMuc!$B$154:$B$165,0)),""),"")</f>
        <v/>
      </c>
      <c r="V3314" s="361"/>
      <c r="W3314" s="345"/>
      <c r="X3314" s="329" t="s">
        <v>2866</v>
      </c>
      <c r="Y3314" s="1128" t="s">
        <v>3380</v>
      </c>
      <c r="Z3314" s="1128" t="s">
        <v>3381</v>
      </c>
      <c r="AA3314" s="1128" t="s">
        <v>3384</v>
      </c>
      <c r="AB3314" s="20"/>
      <c r="AC3314" s="73"/>
    </row>
    <row r="3315" spans="1:29">
      <c r="A3315" s="327" t="str">
        <f>IF(AND($B3315&lt;&gt;"",$C3315&lt;&gt;""),MAX($A$1556:A3290)+1,"")</f>
        <v/>
      </c>
      <c r="B3315" s="361" t="s">
        <v>3823</v>
      </c>
      <c r="C3315" s="360"/>
      <c r="D3315" s="327">
        <f>IF($B3315="","",COUNTIF($B$6:$B3315,$B3315))</f>
        <v>6</v>
      </c>
      <c r="E3315" s="361" t="s">
        <v>3775</v>
      </c>
      <c r="F3315" s="362" t="s">
        <v>3784</v>
      </c>
      <c r="G3315" s="327" t="s">
        <v>3789</v>
      </c>
      <c r="H3315" s="361" t="s">
        <v>3790</v>
      </c>
      <c r="I3315" s="327">
        <v>2</v>
      </c>
      <c r="J3315" s="361"/>
      <c r="K3315" s="327"/>
      <c r="L3315" s="389">
        <v>72848</v>
      </c>
      <c r="M3315" s="355"/>
      <c r="N3315" s="355" t="str">
        <f t="shared" si="324"/>
        <v>PK</v>
      </c>
      <c r="O3315" s="345"/>
      <c r="P3315" s="392"/>
      <c r="Q3315" s="327"/>
      <c r="R3315" s="351"/>
      <c r="S3315" s="351"/>
      <c r="T3315" s="351"/>
      <c r="U3315" s="329" t="str">
        <f>IF($N3315=$N$4,IFERROR(INDEX(DanhMuc!$E$154:$E$165,MATCH(MID($B3315,4,2),DanhMuc!$B$154:$B$165,0)),""),"")</f>
        <v/>
      </c>
      <c r="V3315" s="361"/>
      <c r="W3315" s="345"/>
      <c r="X3315" s="329" t="s">
        <v>2866</v>
      </c>
      <c r="Y3315" s="1128" t="s">
        <v>3380</v>
      </c>
      <c r="Z3315" s="1128" t="s">
        <v>3381</v>
      </c>
      <c r="AA3315" s="1128" t="s">
        <v>3384</v>
      </c>
      <c r="AB3315" s="20"/>
      <c r="AC3315" s="73"/>
    </row>
    <row r="3316" spans="1:29">
      <c r="A3316" s="327" t="str">
        <f>IF(AND($B3316&lt;&gt;"",$C3316&lt;&gt;""),MAX($A$1556:A3291)+1,"")</f>
        <v/>
      </c>
      <c r="B3316" s="361" t="s">
        <v>3823</v>
      </c>
      <c r="C3316" s="360"/>
      <c r="D3316" s="327">
        <f>IF($B3316="","",COUNTIF($B$6:$B3316,$B3316))</f>
        <v>7</v>
      </c>
      <c r="E3316" s="361" t="s">
        <v>3776</v>
      </c>
      <c r="F3316" s="362" t="s">
        <v>3785</v>
      </c>
      <c r="G3316" s="327" t="s">
        <v>3789</v>
      </c>
      <c r="H3316" s="361" t="s">
        <v>3790</v>
      </c>
      <c r="I3316" s="327">
        <v>3</v>
      </c>
      <c r="J3316" s="361"/>
      <c r="K3316" s="327"/>
      <c r="L3316" s="389">
        <v>85854</v>
      </c>
      <c r="M3316" s="355"/>
      <c r="N3316" s="355" t="str">
        <f t="shared" si="324"/>
        <v>PK</v>
      </c>
      <c r="O3316" s="345"/>
      <c r="P3316" s="392"/>
      <c r="Q3316" s="327"/>
      <c r="R3316" s="351"/>
      <c r="S3316" s="351"/>
      <c r="T3316" s="351"/>
      <c r="U3316" s="329" t="str">
        <f>IF($N3316=$N$4,IFERROR(INDEX(DanhMuc!$E$154:$E$165,MATCH(MID($B3316,4,2),DanhMuc!$B$154:$B$165,0)),""),"")</f>
        <v/>
      </c>
      <c r="V3316" s="361"/>
      <c r="W3316" s="345"/>
      <c r="X3316" s="329" t="s">
        <v>2866</v>
      </c>
      <c r="Y3316" s="1128" t="s">
        <v>3380</v>
      </c>
      <c r="Z3316" s="1128" t="s">
        <v>3381</v>
      </c>
      <c r="AA3316" s="1128" t="s">
        <v>3384</v>
      </c>
      <c r="AB3316" s="20"/>
      <c r="AC3316" s="73"/>
    </row>
    <row r="3317" spans="1:29">
      <c r="A3317" s="327" t="str">
        <f>IF(AND($B3317&lt;&gt;"",$C3317&lt;&gt;""),MAX($A$1556:A3292)+1,"")</f>
        <v/>
      </c>
      <c r="B3317" s="361" t="s">
        <v>3823</v>
      </c>
      <c r="C3317" s="360"/>
      <c r="D3317" s="327">
        <f>IF($B3317="","",COUNTIF($B$6:$B3317,$B3317))</f>
        <v>8</v>
      </c>
      <c r="E3317" s="361" t="s">
        <v>3794</v>
      </c>
      <c r="F3317" s="362" t="s">
        <v>3797</v>
      </c>
      <c r="G3317" s="327" t="s">
        <v>3789</v>
      </c>
      <c r="H3317" s="361" t="s">
        <v>3790</v>
      </c>
      <c r="I3317" s="327">
        <v>1</v>
      </c>
      <c r="J3317" s="361"/>
      <c r="K3317" s="327"/>
      <c r="L3317" s="389">
        <v>115838</v>
      </c>
      <c r="M3317" s="355"/>
      <c r="N3317" s="355" t="str">
        <f t="shared" si="324"/>
        <v>PK</v>
      </c>
      <c r="O3317" s="345"/>
      <c r="P3317" s="392"/>
      <c r="Q3317" s="327"/>
      <c r="R3317" s="351"/>
      <c r="S3317" s="351"/>
      <c r="T3317" s="351"/>
      <c r="U3317" s="329" t="str">
        <f>IF($N3317=$N$4,IFERROR(INDEX(DanhMuc!$E$154:$E$165,MATCH(MID($B3317,4,2),DanhMuc!$B$154:$B$165,0)),""),"")</f>
        <v/>
      </c>
      <c r="V3317" s="361"/>
      <c r="W3317" s="345"/>
      <c r="X3317" s="329" t="s">
        <v>2866</v>
      </c>
      <c r="Y3317" s="1128" t="s">
        <v>3380</v>
      </c>
      <c r="Z3317" s="1128" t="s">
        <v>3381</v>
      </c>
      <c r="AA3317" s="1128" t="s">
        <v>3384</v>
      </c>
      <c r="AB3317" s="20"/>
      <c r="AC3317" s="73"/>
    </row>
    <row r="3318" spans="1:29">
      <c r="A3318" s="327" t="str">
        <f>IF(AND($B3318&lt;&gt;"",$C3318&lt;&gt;""),MAX($A$1556:A3293)+1,"")</f>
        <v/>
      </c>
      <c r="B3318" s="361" t="s">
        <v>3823</v>
      </c>
      <c r="C3318" s="360"/>
      <c r="D3318" s="327">
        <f>IF($B3318="","",COUNTIF($B$6:$B3318,$B3318))</f>
        <v>9</v>
      </c>
      <c r="E3318" s="361" t="s">
        <v>3777</v>
      </c>
      <c r="F3318" s="362" t="s">
        <v>3786</v>
      </c>
      <c r="G3318" s="327" t="s">
        <v>3789</v>
      </c>
      <c r="H3318" s="361" t="s">
        <v>3790</v>
      </c>
      <c r="I3318" s="327">
        <v>1</v>
      </c>
      <c r="J3318" s="361"/>
      <c r="K3318" s="327"/>
      <c r="L3318" s="389">
        <v>328670</v>
      </c>
      <c r="M3318" s="355"/>
      <c r="N3318" s="355" t="str">
        <f t="shared" si="324"/>
        <v>PK</v>
      </c>
      <c r="O3318" s="345"/>
      <c r="P3318" s="392"/>
      <c r="Q3318" s="327"/>
      <c r="R3318" s="351"/>
      <c r="S3318" s="351"/>
      <c r="T3318" s="351"/>
      <c r="U3318" s="329" t="str">
        <f>IF($N3318=$N$4,IFERROR(INDEX(DanhMuc!$E$154:$E$165,MATCH(MID($B3318,4,2),DanhMuc!$B$154:$B$165,0)),""),"")</f>
        <v/>
      </c>
      <c r="V3318" s="361"/>
      <c r="W3318" s="345"/>
      <c r="X3318" s="329" t="s">
        <v>2866</v>
      </c>
      <c r="Y3318" s="1128" t="s">
        <v>3380</v>
      </c>
      <c r="Z3318" s="1128" t="s">
        <v>3381</v>
      </c>
      <c r="AA3318" s="1128" t="s">
        <v>3384</v>
      </c>
      <c r="AB3318" s="20"/>
      <c r="AC3318" s="73"/>
    </row>
    <row r="3319" spans="1:29">
      <c r="A3319" s="327" t="str">
        <f>IF(AND($B3319&lt;&gt;"",$C3319&lt;&gt;""),MAX($A$1556:A3294)+1,"")</f>
        <v/>
      </c>
      <c r="B3319" s="361" t="s">
        <v>3823</v>
      </c>
      <c r="C3319" s="360"/>
      <c r="D3319" s="327">
        <f>IF($B3319="","",COUNTIF($B$6:$B3319,$B3319))</f>
        <v>10</v>
      </c>
      <c r="E3319" s="361" t="s">
        <v>3778</v>
      </c>
      <c r="F3319" s="362" t="s">
        <v>3787</v>
      </c>
      <c r="G3319" s="327" t="s">
        <v>3789</v>
      </c>
      <c r="H3319" s="361" t="s">
        <v>536</v>
      </c>
      <c r="I3319" s="327">
        <v>1</v>
      </c>
      <c r="J3319" s="361"/>
      <c r="K3319" s="327"/>
      <c r="L3319" s="389">
        <v>67564</v>
      </c>
      <c r="M3319" s="355"/>
      <c r="N3319" s="355" t="str">
        <f t="shared" si="324"/>
        <v>PK</v>
      </c>
      <c r="O3319" s="345"/>
      <c r="P3319" s="392"/>
      <c r="Q3319" s="327"/>
      <c r="R3319" s="351"/>
      <c r="S3319" s="351"/>
      <c r="T3319" s="351"/>
      <c r="U3319" s="329" t="str">
        <f>IF($N3319=$N$4,IFERROR(INDEX(DanhMuc!$E$154:$E$165,MATCH(MID($B3319,4,2),DanhMuc!$B$154:$B$165,0)),""),"")</f>
        <v/>
      </c>
      <c r="V3319" s="361"/>
      <c r="W3319" s="345"/>
      <c r="X3319" s="329" t="s">
        <v>2866</v>
      </c>
      <c r="Y3319" s="1128" t="s">
        <v>3380</v>
      </c>
      <c r="Z3319" s="1128" t="s">
        <v>3381</v>
      </c>
      <c r="AA3319" s="1128" t="s">
        <v>3384</v>
      </c>
      <c r="AB3319" s="20"/>
      <c r="AC3319" s="73"/>
    </row>
    <row r="3320" spans="1:29">
      <c r="A3320" s="327" t="str">
        <f>IF(AND($B3320&lt;&gt;"",$C3320&lt;&gt;""),MAX($A$1556:A3295)+1,"")</f>
        <v/>
      </c>
      <c r="B3320" s="361" t="s">
        <v>3823</v>
      </c>
      <c r="C3320" s="360"/>
      <c r="D3320" s="327">
        <f>IF($B3320="","",COUNTIF($B$6:$B3320,$B3320))</f>
        <v>11</v>
      </c>
      <c r="E3320" s="361" t="s">
        <v>3779</v>
      </c>
      <c r="F3320" s="362" t="s">
        <v>3788</v>
      </c>
      <c r="G3320" s="327" t="s">
        <v>3789</v>
      </c>
      <c r="H3320" s="361" t="s">
        <v>536</v>
      </c>
      <c r="I3320" s="327">
        <v>1</v>
      </c>
      <c r="J3320" s="361"/>
      <c r="K3320" s="327"/>
      <c r="L3320" s="389">
        <v>13377</v>
      </c>
      <c r="M3320" s="355"/>
      <c r="N3320" s="355" t="str">
        <f t="shared" si="324"/>
        <v>PK</v>
      </c>
      <c r="O3320" s="345"/>
      <c r="P3320" s="392"/>
      <c r="Q3320" s="327"/>
      <c r="R3320" s="351"/>
      <c r="S3320" s="351"/>
      <c r="T3320" s="351"/>
      <c r="U3320" s="329" t="str">
        <f>IF($N3320=$N$4,IFERROR(INDEX(DanhMuc!$E$154:$E$165,MATCH(MID($B3320,4,2),DanhMuc!$B$154:$B$165,0)),""),"")</f>
        <v/>
      </c>
      <c r="V3320" s="361"/>
      <c r="W3320" s="345"/>
      <c r="X3320" s="329" t="s">
        <v>2866</v>
      </c>
      <c r="Y3320" s="1128" t="s">
        <v>3380</v>
      </c>
      <c r="Z3320" s="1128" t="s">
        <v>3381</v>
      </c>
      <c r="AA3320" s="1128" t="s">
        <v>3384</v>
      </c>
      <c r="AB3320" s="20"/>
      <c r="AC3320" s="73"/>
    </row>
    <row r="3321" spans="1:29">
      <c r="A3321" s="327" t="str">
        <f>IF(AND($B3321&lt;&gt;"",$C3321&lt;&gt;""),MAX($A$1556:A3296)+1,"")</f>
        <v/>
      </c>
      <c r="B3321" s="361" t="s">
        <v>3823</v>
      </c>
      <c r="C3321" s="360"/>
      <c r="D3321" s="327">
        <f>IF($B3321="","",COUNTIF($B$6:$B3321,$B3321))</f>
        <v>12</v>
      </c>
      <c r="E3321" s="361" t="s">
        <v>3795</v>
      </c>
      <c r="F3321" s="362" t="s">
        <v>3788</v>
      </c>
      <c r="G3321" s="327" t="s">
        <v>3789</v>
      </c>
      <c r="H3321" s="361" t="s">
        <v>536</v>
      </c>
      <c r="I3321" s="327">
        <v>1</v>
      </c>
      <c r="J3321" s="361"/>
      <c r="K3321" s="327"/>
      <c r="L3321" s="389">
        <v>13377</v>
      </c>
      <c r="M3321" s="355"/>
      <c r="N3321" s="355" t="str">
        <f t="shared" si="324"/>
        <v>PK</v>
      </c>
      <c r="O3321" s="345"/>
      <c r="P3321" s="392"/>
      <c r="Q3321" s="327"/>
      <c r="R3321" s="351"/>
      <c r="S3321" s="351"/>
      <c r="T3321" s="351"/>
      <c r="U3321" s="329" t="str">
        <f>IF($N3321=$N$4,IFERROR(INDEX(DanhMuc!$E$154:$E$165,MATCH(MID($B3321,4,2),DanhMuc!$B$154:$B$165,0)),""),"")</f>
        <v/>
      </c>
      <c r="V3321" s="361"/>
      <c r="W3321" s="345"/>
      <c r="X3321" s="329" t="s">
        <v>2866</v>
      </c>
      <c r="Y3321" s="1128" t="s">
        <v>3380</v>
      </c>
      <c r="Z3321" s="1128" t="s">
        <v>3381</v>
      </c>
      <c r="AA3321" s="1128" t="s">
        <v>3384</v>
      </c>
      <c r="AB3321" s="20"/>
      <c r="AC3321" s="73"/>
    </row>
    <row r="3322" spans="1:29" ht="52">
      <c r="A3322" s="327">
        <f>IF(AND($B3322&lt;&gt;"",$C3322&lt;&gt;""),MAX($A$1556:A3297)+1,"")</f>
        <v>168</v>
      </c>
      <c r="B3322" s="359" t="s">
        <v>3824</v>
      </c>
      <c r="C3322" s="360" t="s">
        <v>3800</v>
      </c>
      <c r="D3322" s="327">
        <f>IF($B3322="","",COUNTIF($B$6:$B3322,$B3322))</f>
        <v>1</v>
      </c>
      <c r="E3322" s="361" t="s">
        <v>3801</v>
      </c>
      <c r="F3322" s="362" t="s">
        <v>3780</v>
      </c>
      <c r="G3322" s="327" t="s">
        <v>3789</v>
      </c>
      <c r="H3322" s="361" t="s">
        <v>3790</v>
      </c>
      <c r="I3322" s="327">
        <v>2</v>
      </c>
      <c r="J3322" s="361"/>
      <c r="K3322" s="327"/>
      <c r="L3322" s="389">
        <v>303278</v>
      </c>
      <c r="M3322" s="355"/>
      <c r="N3322" s="355" t="str">
        <f t="shared" si="324"/>
        <v>PK</v>
      </c>
      <c r="O3322" s="345"/>
      <c r="P3322" s="392"/>
      <c r="Q3322" s="327"/>
      <c r="R3322" s="351"/>
      <c r="S3322" s="351"/>
      <c r="T3322" s="351"/>
      <c r="U3322" s="329" t="str">
        <f>IF($N3322=$N$4,IFERROR(INDEX(DanhMuc!$E$154:$E$165,MATCH(MID($B3322,4,2),DanhMuc!$B$154:$B$165,0)),""),"")</f>
        <v/>
      </c>
      <c r="V3322" s="361"/>
      <c r="W3322" s="345"/>
      <c r="X3322" s="329" t="s">
        <v>2866</v>
      </c>
      <c r="Y3322" s="1128" t="s">
        <v>3380</v>
      </c>
      <c r="Z3322" s="1128" t="s">
        <v>3381</v>
      </c>
      <c r="AA3322" s="1128" t="s">
        <v>3384</v>
      </c>
      <c r="AB3322" s="20"/>
      <c r="AC3322" s="73"/>
    </row>
    <row r="3323" spans="1:29">
      <c r="A3323" s="327" t="str">
        <f>IF(AND($B3323&lt;&gt;"",$C3323&lt;&gt;""),MAX($A$1556:A3298)+1,"")</f>
        <v/>
      </c>
      <c r="B3323" s="361" t="s">
        <v>3824</v>
      </c>
      <c r="C3323" s="360"/>
      <c r="D3323" s="327">
        <f>IF($B3323="","",COUNTIF($B$6:$B3323,$B3323))</f>
        <v>2</v>
      </c>
      <c r="E3323" s="361" t="s">
        <v>3772</v>
      </c>
      <c r="F3323" s="362" t="s">
        <v>3781</v>
      </c>
      <c r="G3323" s="327" t="s">
        <v>3789</v>
      </c>
      <c r="H3323" s="361" t="s">
        <v>3790</v>
      </c>
      <c r="I3323" s="327">
        <v>4</v>
      </c>
      <c r="J3323" s="361"/>
      <c r="K3323" s="327"/>
      <c r="L3323" s="389">
        <v>72412</v>
      </c>
      <c r="M3323" s="355"/>
      <c r="N3323" s="355" t="str">
        <f t="shared" si="324"/>
        <v>PK</v>
      </c>
      <c r="O3323" s="345"/>
      <c r="P3323" s="392"/>
      <c r="Q3323" s="327"/>
      <c r="R3323" s="351"/>
      <c r="S3323" s="351"/>
      <c r="T3323" s="351"/>
      <c r="U3323" s="329" t="str">
        <f>IF($N3323=$N$4,IFERROR(INDEX(DanhMuc!$E$154:$E$165,MATCH(MID($B3323,4,2),DanhMuc!$B$154:$B$165,0)),""),"")</f>
        <v/>
      </c>
      <c r="V3323" s="361"/>
      <c r="W3323" s="345"/>
      <c r="X3323" s="329" t="s">
        <v>2866</v>
      </c>
      <c r="Y3323" s="1128" t="s">
        <v>3380</v>
      </c>
      <c r="Z3323" s="1128" t="s">
        <v>3381</v>
      </c>
      <c r="AA3323" s="1128" t="s">
        <v>3384</v>
      </c>
      <c r="AB3323" s="20"/>
      <c r="AC3323" s="73"/>
    </row>
    <row r="3324" spans="1:29">
      <c r="A3324" s="327" t="str">
        <f>IF(AND($B3324&lt;&gt;"",$C3324&lt;&gt;""),MAX($A$1556:A3299)+1,"")</f>
        <v/>
      </c>
      <c r="B3324" s="361" t="s">
        <v>3824</v>
      </c>
      <c r="C3324" s="360"/>
      <c r="D3324" s="327">
        <f>IF($B3324="","",COUNTIF($B$6:$B3324,$B3324))</f>
        <v>3</v>
      </c>
      <c r="E3324" s="361" t="s">
        <v>3773</v>
      </c>
      <c r="F3324" s="362" t="s">
        <v>3782</v>
      </c>
      <c r="G3324" s="327" t="s">
        <v>3789</v>
      </c>
      <c r="H3324" s="361" t="s">
        <v>3790</v>
      </c>
      <c r="I3324" s="327">
        <v>2</v>
      </c>
      <c r="J3324" s="361"/>
      <c r="K3324" s="327"/>
      <c r="L3324" s="389">
        <v>57321</v>
      </c>
      <c r="M3324" s="355"/>
      <c r="N3324" s="355" t="str">
        <f t="shared" si="324"/>
        <v>PK</v>
      </c>
      <c r="O3324" s="345"/>
      <c r="P3324" s="392"/>
      <c r="Q3324" s="327"/>
      <c r="R3324" s="351"/>
      <c r="S3324" s="351"/>
      <c r="T3324" s="351"/>
      <c r="U3324" s="329" t="str">
        <f>IF($N3324=$N$4,IFERROR(INDEX(DanhMuc!$E$154:$E$165,MATCH(MID($B3324,4,2),DanhMuc!$B$154:$B$165,0)),""),"")</f>
        <v/>
      </c>
      <c r="V3324" s="361"/>
      <c r="W3324" s="345"/>
      <c r="X3324" s="329" t="s">
        <v>2866</v>
      </c>
      <c r="Y3324" s="1128" t="s">
        <v>3380</v>
      </c>
      <c r="Z3324" s="1128" t="s">
        <v>3381</v>
      </c>
      <c r="AA3324" s="1128" t="s">
        <v>3384</v>
      </c>
      <c r="AB3324" s="20"/>
      <c r="AC3324" s="73"/>
    </row>
    <row r="3325" spans="1:29">
      <c r="A3325" s="327" t="str">
        <f>IF(AND($B3325&lt;&gt;"",$C3325&lt;&gt;""),MAX($A$1556:A3300)+1,"")</f>
        <v/>
      </c>
      <c r="B3325" s="361" t="s">
        <v>3824</v>
      </c>
      <c r="C3325" s="360"/>
      <c r="D3325" s="327">
        <f>IF($B3325="","",COUNTIF($B$6:$B3325,$B3325))</f>
        <v>4</v>
      </c>
      <c r="E3325" s="361" t="s">
        <v>3774</v>
      </c>
      <c r="F3325" s="362" t="s">
        <v>3783</v>
      </c>
      <c r="G3325" s="327" t="s">
        <v>3789</v>
      </c>
      <c r="H3325" s="361" t="s">
        <v>3790</v>
      </c>
      <c r="I3325" s="327">
        <v>1</v>
      </c>
      <c r="J3325" s="361"/>
      <c r="K3325" s="327"/>
      <c r="L3325" s="389">
        <v>156990</v>
      </c>
      <c r="M3325" s="355"/>
      <c r="N3325" s="355" t="str">
        <f t="shared" si="324"/>
        <v>PK</v>
      </c>
      <c r="O3325" s="345"/>
      <c r="P3325" s="392"/>
      <c r="Q3325" s="327"/>
      <c r="R3325" s="351"/>
      <c r="S3325" s="351"/>
      <c r="T3325" s="351"/>
      <c r="U3325" s="329" t="str">
        <f>IF($N3325=$N$4,IFERROR(INDEX(DanhMuc!$E$154:$E$165,MATCH(MID($B3325,4,2),DanhMuc!$B$154:$B$165,0)),""),"")</f>
        <v/>
      </c>
      <c r="V3325" s="361"/>
      <c r="W3325" s="345"/>
      <c r="X3325" s="329" t="s">
        <v>2866</v>
      </c>
      <c r="Y3325" s="1128" t="s">
        <v>3380</v>
      </c>
      <c r="Z3325" s="1128" t="s">
        <v>3381</v>
      </c>
      <c r="AA3325" s="1128" t="s">
        <v>3384</v>
      </c>
      <c r="AB3325" s="20"/>
      <c r="AC3325" s="73"/>
    </row>
    <row r="3326" spans="1:29">
      <c r="A3326" s="327" t="str">
        <f>IF(AND($B3326&lt;&gt;"",$C3326&lt;&gt;""),MAX($A$1556:A3301)+1,"")</f>
        <v/>
      </c>
      <c r="B3326" s="361" t="s">
        <v>3824</v>
      </c>
      <c r="C3326" s="360"/>
      <c r="D3326" s="327">
        <f>IF($B3326="","",COUNTIF($B$6:$B3326,$B3326))</f>
        <v>5</v>
      </c>
      <c r="E3326" s="361" t="s">
        <v>3775</v>
      </c>
      <c r="F3326" s="362" t="s">
        <v>3784</v>
      </c>
      <c r="G3326" s="327" t="s">
        <v>3789</v>
      </c>
      <c r="H3326" s="361" t="s">
        <v>3790</v>
      </c>
      <c r="I3326" s="327">
        <v>2</v>
      </c>
      <c r="J3326" s="361"/>
      <c r="K3326" s="327"/>
      <c r="L3326" s="389">
        <v>72848</v>
      </c>
      <c r="M3326" s="355"/>
      <c r="N3326" s="355" t="str">
        <f t="shared" si="324"/>
        <v>PK</v>
      </c>
      <c r="O3326" s="345"/>
      <c r="P3326" s="392"/>
      <c r="Q3326" s="327"/>
      <c r="R3326" s="351"/>
      <c r="S3326" s="351"/>
      <c r="T3326" s="351"/>
      <c r="U3326" s="329" t="str">
        <f>IF($N3326=$N$4,IFERROR(INDEX(DanhMuc!$E$154:$E$165,MATCH(MID($B3326,4,2),DanhMuc!$B$154:$B$165,0)),""),"")</f>
        <v/>
      </c>
      <c r="V3326" s="361"/>
      <c r="W3326" s="345"/>
      <c r="X3326" s="329" t="s">
        <v>2866</v>
      </c>
      <c r="Y3326" s="1128" t="s">
        <v>3380</v>
      </c>
      <c r="Z3326" s="1128" t="s">
        <v>3381</v>
      </c>
      <c r="AA3326" s="1128" t="s">
        <v>3384</v>
      </c>
      <c r="AB3326" s="20"/>
      <c r="AC3326" s="73"/>
    </row>
    <row r="3327" spans="1:29">
      <c r="A3327" s="327" t="str">
        <f>IF(AND($B3327&lt;&gt;"",$C3327&lt;&gt;""),MAX($A$1556:A3302)+1,"")</f>
        <v/>
      </c>
      <c r="B3327" s="361" t="s">
        <v>3824</v>
      </c>
      <c r="C3327" s="360"/>
      <c r="D3327" s="327">
        <f>IF($B3327="","",COUNTIF($B$6:$B3327,$B3327))</f>
        <v>6</v>
      </c>
      <c r="E3327" s="361" t="s">
        <v>3776</v>
      </c>
      <c r="F3327" s="362" t="s">
        <v>3785</v>
      </c>
      <c r="G3327" s="327" t="s">
        <v>3789</v>
      </c>
      <c r="H3327" s="361" t="s">
        <v>3790</v>
      </c>
      <c r="I3327" s="327">
        <v>3</v>
      </c>
      <c r="J3327" s="361"/>
      <c r="K3327" s="327"/>
      <c r="L3327" s="389">
        <v>85854</v>
      </c>
      <c r="M3327" s="355"/>
      <c r="N3327" s="355" t="str">
        <f t="shared" si="324"/>
        <v>PK</v>
      </c>
      <c r="O3327" s="345"/>
      <c r="P3327" s="392"/>
      <c r="Q3327" s="327"/>
      <c r="R3327" s="351"/>
      <c r="S3327" s="351"/>
      <c r="T3327" s="351"/>
      <c r="U3327" s="329" t="str">
        <f>IF($N3327=$N$4,IFERROR(INDEX(DanhMuc!$E$154:$E$165,MATCH(MID($B3327,4,2),DanhMuc!$B$154:$B$165,0)),""),"")</f>
        <v/>
      </c>
      <c r="V3327" s="361"/>
      <c r="W3327" s="345"/>
      <c r="X3327" s="329" t="s">
        <v>2866</v>
      </c>
      <c r="Y3327" s="1128" t="s">
        <v>3380</v>
      </c>
      <c r="Z3327" s="1128" t="s">
        <v>3381</v>
      </c>
      <c r="AA3327" s="1128" t="s">
        <v>3384</v>
      </c>
      <c r="AB3327" s="20"/>
      <c r="AC3327" s="73"/>
    </row>
    <row r="3328" spans="1:29">
      <c r="A3328" s="327" t="str">
        <f>IF(AND($B3328&lt;&gt;"",$C3328&lt;&gt;""),MAX($A$1556:A3303)+1,"")</f>
        <v/>
      </c>
      <c r="B3328" s="361" t="s">
        <v>3824</v>
      </c>
      <c r="C3328" s="360"/>
      <c r="D3328" s="327">
        <f>IF($B3328="","",COUNTIF($B$6:$B3328,$B3328))</f>
        <v>7</v>
      </c>
      <c r="E3328" s="361" t="s">
        <v>3794</v>
      </c>
      <c r="F3328" s="362" t="s">
        <v>3797</v>
      </c>
      <c r="G3328" s="327" t="s">
        <v>3789</v>
      </c>
      <c r="H3328" s="361" t="s">
        <v>3790</v>
      </c>
      <c r="I3328" s="327">
        <v>1</v>
      </c>
      <c r="J3328" s="361"/>
      <c r="K3328" s="327"/>
      <c r="L3328" s="389">
        <v>115838</v>
      </c>
      <c r="M3328" s="355"/>
      <c r="N3328" s="355" t="str">
        <f t="shared" si="324"/>
        <v>PK</v>
      </c>
      <c r="O3328" s="345"/>
      <c r="P3328" s="392"/>
      <c r="Q3328" s="327"/>
      <c r="R3328" s="351"/>
      <c r="S3328" s="351"/>
      <c r="T3328" s="351"/>
      <c r="U3328" s="329" t="str">
        <f>IF($N3328=$N$4,IFERROR(INDEX(DanhMuc!$E$154:$E$165,MATCH(MID($B3328,4,2),DanhMuc!$B$154:$B$165,0)),""),"")</f>
        <v/>
      </c>
      <c r="V3328" s="361"/>
      <c r="W3328" s="345"/>
      <c r="X3328" s="329" t="s">
        <v>2866</v>
      </c>
      <c r="Y3328" s="1128" t="s">
        <v>3380</v>
      </c>
      <c r="Z3328" s="1128" t="s">
        <v>3381</v>
      </c>
      <c r="AA3328" s="1128" t="s">
        <v>3384</v>
      </c>
      <c r="AB3328" s="20"/>
      <c r="AC3328" s="73"/>
    </row>
    <row r="3329" spans="1:29">
      <c r="A3329" s="327" t="str">
        <f>IF(AND($B3329&lt;&gt;"",$C3329&lt;&gt;""),MAX($A$1556:A3304)+1,"")</f>
        <v/>
      </c>
      <c r="B3329" s="361" t="s">
        <v>3824</v>
      </c>
      <c r="C3329" s="360"/>
      <c r="D3329" s="327">
        <f>IF($B3329="","",COUNTIF($B$6:$B3329,$B3329))</f>
        <v>8</v>
      </c>
      <c r="E3329" s="361" t="s">
        <v>3777</v>
      </c>
      <c r="F3329" s="362" t="s">
        <v>3786</v>
      </c>
      <c r="G3329" s="327" t="s">
        <v>3789</v>
      </c>
      <c r="H3329" s="361" t="s">
        <v>3790</v>
      </c>
      <c r="I3329" s="327">
        <v>1</v>
      </c>
      <c r="J3329" s="361"/>
      <c r="K3329" s="327"/>
      <c r="L3329" s="389">
        <v>328670</v>
      </c>
      <c r="M3329" s="355"/>
      <c r="N3329" s="355" t="str">
        <f t="shared" si="324"/>
        <v>PK</v>
      </c>
      <c r="O3329" s="345"/>
      <c r="P3329" s="392"/>
      <c r="Q3329" s="327"/>
      <c r="R3329" s="351"/>
      <c r="S3329" s="351"/>
      <c r="T3329" s="351"/>
      <c r="U3329" s="329" t="str">
        <f>IF($N3329=$N$4,IFERROR(INDEX(DanhMuc!$E$154:$E$165,MATCH(MID($B3329,4,2),DanhMuc!$B$154:$B$165,0)),""),"")</f>
        <v/>
      </c>
      <c r="V3329" s="361"/>
      <c r="W3329" s="345"/>
      <c r="X3329" s="329" t="s">
        <v>2866</v>
      </c>
      <c r="Y3329" s="1128" t="s">
        <v>3380</v>
      </c>
      <c r="Z3329" s="1128" t="s">
        <v>3381</v>
      </c>
      <c r="AA3329" s="1128" t="s">
        <v>3384</v>
      </c>
      <c r="AB3329" s="20"/>
      <c r="AC3329" s="73"/>
    </row>
    <row r="3330" spans="1:29">
      <c r="A3330" s="327" t="str">
        <f>IF(AND($B3330&lt;&gt;"",$C3330&lt;&gt;""),MAX($A$1556:A3305)+1,"")</f>
        <v/>
      </c>
      <c r="B3330" s="361" t="s">
        <v>3824</v>
      </c>
      <c r="C3330" s="360"/>
      <c r="D3330" s="327">
        <f>IF($B3330="","",COUNTIF($B$6:$B3330,$B3330))</f>
        <v>9</v>
      </c>
      <c r="E3330" s="361" t="s">
        <v>3778</v>
      </c>
      <c r="F3330" s="362" t="s">
        <v>3787</v>
      </c>
      <c r="G3330" s="327" t="s">
        <v>3789</v>
      </c>
      <c r="H3330" s="361" t="s">
        <v>2111</v>
      </c>
      <c r="I3330" s="327">
        <v>1</v>
      </c>
      <c r="J3330" s="361"/>
      <c r="K3330" s="327"/>
      <c r="L3330" s="389">
        <v>67564</v>
      </c>
      <c r="M3330" s="355"/>
      <c r="N3330" s="355" t="str">
        <f t="shared" si="324"/>
        <v>PK</v>
      </c>
      <c r="O3330" s="345"/>
      <c r="P3330" s="392"/>
      <c r="Q3330" s="327"/>
      <c r="R3330" s="351"/>
      <c r="S3330" s="351"/>
      <c r="T3330" s="351"/>
      <c r="U3330" s="329" t="str">
        <f>IF($N3330=$N$4,IFERROR(INDEX(DanhMuc!$E$154:$E$165,MATCH(MID($B3330,4,2),DanhMuc!$B$154:$B$165,0)),""),"")</f>
        <v/>
      </c>
      <c r="V3330" s="361"/>
      <c r="W3330" s="345"/>
      <c r="X3330" s="329" t="s">
        <v>2866</v>
      </c>
      <c r="Y3330" s="1128" t="s">
        <v>3380</v>
      </c>
      <c r="Z3330" s="1128" t="s">
        <v>3381</v>
      </c>
      <c r="AA3330" s="1128" t="s">
        <v>3384</v>
      </c>
      <c r="AB3330" s="20"/>
      <c r="AC3330" s="73"/>
    </row>
    <row r="3331" spans="1:29">
      <c r="A3331" s="327" t="str">
        <f>IF(AND($B3331&lt;&gt;"",$C3331&lt;&gt;""),MAX($A$1556:A3306)+1,"")</f>
        <v/>
      </c>
      <c r="B3331" s="361" t="s">
        <v>3824</v>
      </c>
      <c r="C3331" s="360"/>
      <c r="D3331" s="327">
        <f>IF($B3331="","",COUNTIF($B$6:$B3331,$B3331))</f>
        <v>10</v>
      </c>
      <c r="E3331" s="361" t="s">
        <v>3802</v>
      </c>
      <c r="F3331" s="362" t="s">
        <v>3788</v>
      </c>
      <c r="G3331" s="327" t="s">
        <v>3789</v>
      </c>
      <c r="H3331" s="361" t="s">
        <v>2111</v>
      </c>
      <c r="I3331" s="327">
        <v>1</v>
      </c>
      <c r="J3331" s="361"/>
      <c r="K3331" s="327"/>
      <c r="L3331" s="389">
        <v>13377</v>
      </c>
      <c r="M3331" s="355"/>
      <c r="N3331" s="355" t="str">
        <f t="shared" si="324"/>
        <v>PK</v>
      </c>
      <c r="O3331" s="345"/>
      <c r="P3331" s="392"/>
      <c r="Q3331" s="327"/>
      <c r="R3331" s="351"/>
      <c r="S3331" s="351"/>
      <c r="T3331" s="351"/>
      <c r="U3331" s="329" t="str">
        <f>IF($N3331=$N$4,IFERROR(INDEX(DanhMuc!$E$154:$E$165,MATCH(MID($B3331,4,2),DanhMuc!$B$154:$B$165,0)),""),"")</f>
        <v/>
      </c>
      <c r="V3331" s="361"/>
      <c r="W3331" s="345"/>
      <c r="X3331" s="329" t="s">
        <v>2866</v>
      </c>
      <c r="Y3331" s="1128" t="s">
        <v>3380</v>
      </c>
      <c r="Z3331" s="1128" t="s">
        <v>3381</v>
      </c>
      <c r="AA3331" s="1128" t="s">
        <v>3384</v>
      </c>
      <c r="AB3331" s="20"/>
      <c r="AC3331" s="73"/>
    </row>
    <row r="3332" spans="1:29">
      <c r="A3332" s="327" t="str">
        <f>IF(AND($B3332&lt;&gt;"",$C3332&lt;&gt;""),MAX($A$1556:A3307)+1,"")</f>
        <v/>
      </c>
      <c r="B3332" s="361" t="s">
        <v>3824</v>
      </c>
      <c r="C3332" s="360"/>
      <c r="D3332" s="327">
        <f>IF($B3332="","",COUNTIF($B$6:$B3332,$B3332))</f>
        <v>11</v>
      </c>
      <c r="E3332" s="361" t="s">
        <v>3795</v>
      </c>
      <c r="F3332" s="362" t="s">
        <v>3788</v>
      </c>
      <c r="G3332" s="327" t="s">
        <v>3789</v>
      </c>
      <c r="H3332" s="361" t="s">
        <v>2111</v>
      </c>
      <c r="I3332" s="327">
        <v>1</v>
      </c>
      <c r="J3332" s="361"/>
      <c r="K3332" s="327"/>
      <c r="L3332" s="389">
        <v>13377</v>
      </c>
      <c r="M3332" s="355"/>
      <c r="N3332" s="355" t="str">
        <f t="shared" si="324"/>
        <v>PK</v>
      </c>
      <c r="O3332" s="345"/>
      <c r="P3332" s="392"/>
      <c r="Q3332" s="327"/>
      <c r="R3332" s="351"/>
      <c r="S3332" s="351"/>
      <c r="T3332" s="351"/>
      <c r="U3332" s="329" t="str">
        <f>IF($N3332=$N$4,IFERROR(INDEX(DanhMuc!$E$154:$E$165,MATCH(MID($B3332,4,2),DanhMuc!$B$154:$B$165,0)),""),"")</f>
        <v/>
      </c>
      <c r="V3332" s="361"/>
      <c r="W3332" s="345"/>
      <c r="X3332" s="329" t="s">
        <v>2866</v>
      </c>
      <c r="Y3332" s="1128" t="s">
        <v>3380</v>
      </c>
      <c r="Z3332" s="1128" t="s">
        <v>3381</v>
      </c>
      <c r="AA3332" s="1128" t="s">
        <v>3384</v>
      </c>
      <c r="AB3332" s="20"/>
      <c r="AC3332" s="73"/>
    </row>
    <row r="3333" spans="1:29" ht="52">
      <c r="A3333" s="327">
        <f>IF(AND($B3333&lt;&gt;"",$C3333&lt;&gt;""),MAX($A$1556:A3308)+1,"")</f>
        <v>168</v>
      </c>
      <c r="B3333" s="361" t="s">
        <v>3825</v>
      </c>
      <c r="C3333" s="360" t="s">
        <v>3803</v>
      </c>
      <c r="D3333" s="327">
        <f>IF($B3333="","",COUNTIF($B$6:$B3333,$B3333))</f>
        <v>1</v>
      </c>
      <c r="E3333" s="361" t="s">
        <v>3804</v>
      </c>
      <c r="F3333" s="362" t="s">
        <v>3780</v>
      </c>
      <c r="G3333" s="327" t="s">
        <v>3789</v>
      </c>
      <c r="H3333" s="361" t="s">
        <v>3790</v>
      </c>
      <c r="I3333" s="327">
        <v>2</v>
      </c>
      <c r="J3333" s="361"/>
      <c r="K3333" s="327"/>
      <c r="L3333" s="389">
        <v>272959</v>
      </c>
      <c r="M3333" s="355"/>
      <c r="N3333" s="355" t="str">
        <f t="shared" si="324"/>
        <v>PK</v>
      </c>
      <c r="O3333" s="345"/>
      <c r="P3333" s="392"/>
      <c r="Q3333" s="327"/>
      <c r="R3333" s="351"/>
      <c r="S3333" s="351"/>
      <c r="T3333" s="351"/>
      <c r="U3333" s="329" t="str">
        <f>IF($N3333=$N$4,IFERROR(INDEX(DanhMuc!$E$154:$E$165,MATCH(MID($B3333,4,2),DanhMuc!$B$154:$B$165,0)),""),"")</f>
        <v/>
      </c>
      <c r="V3333" s="361"/>
      <c r="W3333" s="345"/>
      <c r="X3333" s="329" t="s">
        <v>2866</v>
      </c>
      <c r="Y3333" s="1128" t="s">
        <v>3380</v>
      </c>
      <c r="Z3333" s="1128" t="s">
        <v>3381</v>
      </c>
      <c r="AA3333" s="1128" t="s">
        <v>3384</v>
      </c>
      <c r="AB3333" s="20"/>
      <c r="AC3333" s="73"/>
    </row>
    <row r="3334" spans="1:29">
      <c r="A3334" s="327" t="str">
        <f>IF(AND($B3334&lt;&gt;"",$C3334&lt;&gt;""),MAX($A$1556:A3309)+1,"")</f>
        <v/>
      </c>
      <c r="B3334" s="361" t="s">
        <v>3825</v>
      </c>
      <c r="C3334" s="360"/>
      <c r="D3334" s="327">
        <f>IF($B3334="","",COUNTIF($B$6:$B3334,$B3334))</f>
        <v>2</v>
      </c>
      <c r="E3334" s="361" t="s">
        <v>3772</v>
      </c>
      <c r="F3334" s="362" t="s">
        <v>3781</v>
      </c>
      <c r="G3334" s="327" t="s">
        <v>296</v>
      </c>
      <c r="H3334" s="361" t="s">
        <v>3790</v>
      </c>
      <c r="I3334" s="327">
        <v>4</v>
      </c>
      <c r="J3334" s="361"/>
      <c r="K3334" s="327"/>
      <c r="L3334" s="389">
        <v>72412</v>
      </c>
      <c r="M3334" s="355"/>
      <c r="N3334" s="355" t="str">
        <f t="shared" si="324"/>
        <v>PK</v>
      </c>
      <c r="O3334" s="345"/>
      <c r="P3334" s="392"/>
      <c r="Q3334" s="327"/>
      <c r="R3334" s="351"/>
      <c r="S3334" s="351"/>
      <c r="T3334" s="351"/>
      <c r="U3334" s="329" t="str">
        <f>IF($N3334=$N$4,IFERROR(INDEX(DanhMuc!$E$154:$E$165,MATCH(MID($B3334,4,2),DanhMuc!$B$154:$B$165,0)),""),"")</f>
        <v/>
      </c>
      <c r="V3334" s="361"/>
      <c r="W3334" s="345"/>
      <c r="X3334" s="329" t="s">
        <v>2866</v>
      </c>
      <c r="Y3334" s="1128" t="s">
        <v>3380</v>
      </c>
      <c r="Z3334" s="1128" t="s">
        <v>3381</v>
      </c>
      <c r="AA3334" s="1128" t="s">
        <v>3384</v>
      </c>
      <c r="AB3334" s="20"/>
      <c r="AC3334" s="73"/>
    </row>
    <row r="3335" spans="1:29">
      <c r="A3335" s="327" t="str">
        <f>IF(AND($B3335&lt;&gt;"",$C3335&lt;&gt;""),MAX($A$1556:A3310)+1,"")</f>
        <v/>
      </c>
      <c r="B3335" s="361" t="s">
        <v>3825</v>
      </c>
      <c r="C3335" s="360"/>
      <c r="D3335" s="327">
        <f>IF($B3335="","",COUNTIF($B$6:$B3335,$B3335))</f>
        <v>3</v>
      </c>
      <c r="E3335" s="361" t="s">
        <v>3773</v>
      </c>
      <c r="F3335" s="362" t="s">
        <v>3782</v>
      </c>
      <c r="G3335" s="327" t="s">
        <v>296</v>
      </c>
      <c r="H3335" s="361" t="s">
        <v>3790</v>
      </c>
      <c r="I3335" s="327">
        <v>2</v>
      </c>
      <c r="J3335" s="361"/>
      <c r="K3335" s="327"/>
      <c r="L3335" s="389">
        <v>57321</v>
      </c>
      <c r="M3335" s="355"/>
      <c r="N3335" s="355" t="str">
        <f t="shared" si="324"/>
        <v>PK</v>
      </c>
      <c r="O3335" s="345"/>
      <c r="P3335" s="392"/>
      <c r="Q3335" s="327"/>
      <c r="R3335" s="351"/>
      <c r="S3335" s="351"/>
      <c r="T3335" s="351"/>
      <c r="U3335" s="329" t="str">
        <f>IF($N3335=$N$4,IFERROR(INDEX(DanhMuc!$E$154:$E$165,MATCH(MID($B3335,4,2),DanhMuc!$B$154:$B$165,0)),""),"")</f>
        <v/>
      </c>
      <c r="V3335" s="361"/>
      <c r="W3335" s="345"/>
      <c r="X3335" s="329" t="s">
        <v>2866</v>
      </c>
      <c r="Y3335" s="1128" t="s">
        <v>3380</v>
      </c>
      <c r="Z3335" s="1128" t="s">
        <v>3381</v>
      </c>
      <c r="AA3335" s="1128" t="s">
        <v>3384</v>
      </c>
      <c r="AB3335" s="20"/>
      <c r="AC3335" s="73"/>
    </row>
    <row r="3336" spans="1:29">
      <c r="A3336" s="327" t="str">
        <f>IF(AND($B3336&lt;&gt;"",$C3336&lt;&gt;""),MAX($A$1556:A3311)+1,"")</f>
        <v/>
      </c>
      <c r="B3336" s="361" t="s">
        <v>3825</v>
      </c>
      <c r="C3336" s="360"/>
      <c r="D3336" s="327">
        <f>IF($B3336="","",COUNTIF($B$6:$B3336,$B3336))</f>
        <v>4</v>
      </c>
      <c r="E3336" s="361" t="s">
        <v>3774</v>
      </c>
      <c r="F3336" s="362" t="s">
        <v>3783</v>
      </c>
      <c r="G3336" s="327" t="s">
        <v>296</v>
      </c>
      <c r="H3336" s="361" t="s">
        <v>3790</v>
      </c>
      <c r="I3336" s="327">
        <v>1</v>
      </c>
      <c r="J3336" s="361"/>
      <c r="K3336" s="327"/>
      <c r="L3336" s="389">
        <v>156990</v>
      </c>
      <c r="M3336" s="355"/>
      <c r="N3336" s="355" t="str">
        <f t="shared" si="324"/>
        <v>PK</v>
      </c>
      <c r="O3336" s="345"/>
      <c r="P3336" s="392"/>
      <c r="Q3336" s="327"/>
      <c r="R3336" s="351"/>
      <c r="S3336" s="351"/>
      <c r="T3336" s="351"/>
      <c r="U3336" s="329" t="str">
        <f>IF($N3336=$N$4,IFERROR(INDEX(DanhMuc!$E$154:$E$165,MATCH(MID($B3336,4,2),DanhMuc!$B$154:$B$165,0)),""),"")</f>
        <v/>
      </c>
      <c r="V3336" s="361"/>
      <c r="W3336" s="345"/>
      <c r="X3336" s="329" t="s">
        <v>2866</v>
      </c>
      <c r="Y3336" s="1128" t="s">
        <v>3380</v>
      </c>
      <c r="Z3336" s="1128" t="s">
        <v>3381</v>
      </c>
      <c r="AA3336" s="1128" t="s">
        <v>3384</v>
      </c>
      <c r="AB3336" s="20"/>
      <c r="AC3336" s="73"/>
    </row>
    <row r="3337" spans="1:29">
      <c r="A3337" s="327" t="str">
        <f>IF(AND($B3337&lt;&gt;"",$C3337&lt;&gt;""),MAX($A$1556:A3312)+1,"")</f>
        <v/>
      </c>
      <c r="B3337" s="361" t="s">
        <v>3825</v>
      </c>
      <c r="C3337" s="360"/>
      <c r="D3337" s="327">
        <f>IF($B3337="","",COUNTIF($B$6:$B3337,$B3337))</f>
        <v>5</v>
      </c>
      <c r="E3337" s="361" t="s">
        <v>3775</v>
      </c>
      <c r="F3337" s="362" t="s">
        <v>3784</v>
      </c>
      <c r="G3337" s="327" t="s">
        <v>296</v>
      </c>
      <c r="H3337" s="361" t="s">
        <v>3790</v>
      </c>
      <c r="I3337" s="327">
        <v>2</v>
      </c>
      <c r="J3337" s="361"/>
      <c r="K3337" s="327"/>
      <c r="L3337" s="389">
        <v>72848</v>
      </c>
      <c r="M3337" s="355"/>
      <c r="N3337" s="355" t="str">
        <f t="shared" si="324"/>
        <v>PK</v>
      </c>
      <c r="O3337" s="345"/>
      <c r="P3337" s="392"/>
      <c r="Q3337" s="327"/>
      <c r="R3337" s="351"/>
      <c r="S3337" s="351"/>
      <c r="T3337" s="351"/>
      <c r="U3337" s="329" t="str">
        <f>IF($N3337=$N$4,IFERROR(INDEX(DanhMuc!$E$154:$E$165,MATCH(MID($B3337,4,2),DanhMuc!$B$154:$B$165,0)),""),"")</f>
        <v/>
      </c>
      <c r="V3337" s="361"/>
      <c r="W3337" s="345"/>
      <c r="X3337" s="329" t="s">
        <v>2866</v>
      </c>
      <c r="Y3337" s="1128" t="s">
        <v>3380</v>
      </c>
      <c r="Z3337" s="1128" t="s">
        <v>3381</v>
      </c>
      <c r="AA3337" s="1128" t="s">
        <v>3384</v>
      </c>
      <c r="AB3337" s="20"/>
      <c r="AC3337" s="73"/>
    </row>
    <row r="3338" spans="1:29">
      <c r="A3338" s="327" t="str">
        <f>IF(AND($B3338&lt;&gt;"",$C3338&lt;&gt;""),MAX($A$1556:A3313)+1,"")</f>
        <v/>
      </c>
      <c r="B3338" s="361" t="s">
        <v>3825</v>
      </c>
      <c r="C3338" s="360"/>
      <c r="D3338" s="327">
        <f>IF($B3338="","",COUNTIF($B$6:$B3338,$B3338))</f>
        <v>6</v>
      </c>
      <c r="E3338" s="361" t="s">
        <v>3776</v>
      </c>
      <c r="F3338" s="362" t="s">
        <v>3785</v>
      </c>
      <c r="G3338" s="327" t="s">
        <v>296</v>
      </c>
      <c r="H3338" s="361" t="s">
        <v>3790</v>
      </c>
      <c r="I3338" s="327">
        <v>2</v>
      </c>
      <c r="J3338" s="361"/>
      <c r="K3338" s="327"/>
      <c r="L3338" s="389">
        <v>85854</v>
      </c>
      <c r="M3338" s="355"/>
      <c r="N3338" s="355" t="str">
        <f t="shared" si="324"/>
        <v>PK</v>
      </c>
      <c r="O3338" s="345"/>
      <c r="P3338" s="392"/>
      <c r="Q3338" s="327"/>
      <c r="R3338" s="351"/>
      <c r="S3338" s="351"/>
      <c r="T3338" s="351"/>
      <c r="U3338" s="329" t="str">
        <f>IF($N3338=$N$4,IFERROR(INDEX(DanhMuc!$E$154:$E$165,MATCH(MID($B3338,4,2),DanhMuc!$B$154:$B$165,0)),""),"")</f>
        <v/>
      </c>
      <c r="V3338" s="361"/>
      <c r="W3338" s="345"/>
      <c r="X3338" s="329" t="s">
        <v>2866</v>
      </c>
      <c r="Y3338" s="1128" t="s">
        <v>3380</v>
      </c>
      <c r="Z3338" s="1128" t="s">
        <v>3381</v>
      </c>
      <c r="AA3338" s="1128" t="s">
        <v>3384</v>
      </c>
      <c r="AB3338" s="20"/>
      <c r="AC3338" s="73"/>
    </row>
    <row r="3339" spans="1:29">
      <c r="A3339" s="327" t="str">
        <f>IF(AND($B3339&lt;&gt;"",$C3339&lt;&gt;""),MAX($A$1556:A3314)+1,"")</f>
        <v/>
      </c>
      <c r="B3339" s="361" t="s">
        <v>3825</v>
      </c>
      <c r="C3339" s="360"/>
      <c r="D3339" s="327">
        <f>IF($B3339="","",COUNTIF($B$6:$B3339,$B3339))</f>
        <v>7</v>
      </c>
      <c r="E3339" s="361" t="s">
        <v>3777</v>
      </c>
      <c r="F3339" s="362" t="s">
        <v>3786</v>
      </c>
      <c r="G3339" s="327" t="s">
        <v>296</v>
      </c>
      <c r="H3339" s="361" t="s">
        <v>3790</v>
      </c>
      <c r="I3339" s="327">
        <v>1</v>
      </c>
      <c r="J3339" s="361"/>
      <c r="K3339" s="327"/>
      <c r="L3339" s="389">
        <v>328670</v>
      </c>
      <c r="M3339" s="355"/>
      <c r="N3339" s="355" t="str">
        <f t="shared" si="324"/>
        <v>PK</v>
      </c>
      <c r="O3339" s="345"/>
      <c r="P3339" s="392"/>
      <c r="Q3339" s="327"/>
      <c r="R3339" s="351"/>
      <c r="S3339" s="351"/>
      <c r="T3339" s="351"/>
      <c r="U3339" s="329" t="str">
        <f>IF($N3339=$N$4,IFERROR(INDEX(DanhMuc!$E$154:$E$165,MATCH(MID($B3339,4,2),DanhMuc!$B$154:$B$165,0)),""),"")</f>
        <v/>
      </c>
      <c r="V3339" s="361"/>
      <c r="W3339" s="345"/>
      <c r="X3339" s="329" t="s">
        <v>2866</v>
      </c>
      <c r="Y3339" s="1128" t="s">
        <v>3380</v>
      </c>
      <c r="Z3339" s="1128" t="s">
        <v>3381</v>
      </c>
      <c r="AA3339" s="1128" t="s">
        <v>3384</v>
      </c>
      <c r="AB3339" s="20"/>
      <c r="AC3339" s="73"/>
    </row>
    <row r="3340" spans="1:29">
      <c r="A3340" s="327" t="str">
        <f>IF(AND($B3340&lt;&gt;"",$C3340&lt;&gt;""),MAX($A$1556:A3315)+1,"")</f>
        <v/>
      </c>
      <c r="B3340" s="361" t="s">
        <v>3825</v>
      </c>
      <c r="C3340" s="360"/>
      <c r="D3340" s="327">
        <f>IF($B3340="","",COUNTIF($B$6:$B3340,$B3340))</f>
        <v>8</v>
      </c>
      <c r="E3340" s="361" t="s">
        <v>3778</v>
      </c>
      <c r="F3340" s="362" t="s">
        <v>3787</v>
      </c>
      <c r="G3340" s="327" t="s">
        <v>296</v>
      </c>
      <c r="H3340" s="361" t="s">
        <v>2111</v>
      </c>
      <c r="I3340" s="327">
        <v>1</v>
      </c>
      <c r="J3340" s="361"/>
      <c r="K3340" s="327"/>
      <c r="L3340" s="389">
        <v>67564</v>
      </c>
      <c r="M3340" s="355"/>
      <c r="N3340" s="355" t="str">
        <f t="shared" si="324"/>
        <v>PK</v>
      </c>
      <c r="O3340" s="345"/>
      <c r="P3340" s="392"/>
      <c r="Q3340" s="327"/>
      <c r="R3340" s="351"/>
      <c r="S3340" s="351"/>
      <c r="T3340" s="351"/>
      <c r="U3340" s="329" t="str">
        <f>IF($N3340=$N$4,IFERROR(INDEX(DanhMuc!$E$154:$E$165,MATCH(MID($B3340,4,2),DanhMuc!$B$154:$B$165,0)),""),"")</f>
        <v/>
      </c>
      <c r="V3340" s="361"/>
      <c r="W3340" s="345"/>
      <c r="X3340" s="329" t="s">
        <v>2866</v>
      </c>
      <c r="Y3340" s="1128" t="s">
        <v>3380</v>
      </c>
      <c r="Z3340" s="1128" t="s">
        <v>3381</v>
      </c>
      <c r="AA3340" s="1128" t="s">
        <v>3384</v>
      </c>
      <c r="AB3340" s="20"/>
      <c r="AC3340" s="73"/>
    </row>
    <row r="3341" spans="1:29">
      <c r="A3341" s="327" t="str">
        <f>IF(AND($B3341&lt;&gt;"",$C3341&lt;&gt;""),MAX($A$1556:A3316)+1,"")</f>
        <v/>
      </c>
      <c r="B3341" s="361" t="s">
        <v>3825</v>
      </c>
      <c r="C3341" s="360"/>
      <c r="D3341" s="327">
        <f>IF($B3341="","",COUNTIF($B$6:$B3341,$B3341))</f>
        <v>9</v>
      </c>
      <c r="E3341" s="361" t="s">
        <v>3795</v>
      </c>
      <c r="F3341" s="362" t="s">
        <v>3788</v>
      </c>
      <c r="G3341" s="327" t="s">
        <v>296</v>
      </c>
      <c r="H3341" s="361" t="s">
        <v>2111</v>
      </c>
      <c r="I3341" s="327">
        <v>1</v>
      </c>
      <c r="J3341" s="361"/>
      <c r="K3341" s="327"/>
      <c r="L3341" s="389">
        <v>13377</v>
      </c>
      <c r="M3341" s="355"/>
      <c r="N3341" s="355" t="str">
        <f t="shared" si="324"/>
        <v>PK</v>
      </c>
      <c r="O3341" s="345"/>
      <c r="P3341" s="392"/>
      <c r="Q3341" s="327"/>
      <c r="R3341" s="351"/>
      <c r="S3341" s="351"/>
      <c r="T3341" s="351"/>
      <c r="U3341" s="329" t="str">
        <f>IF($N3341=$N$4,IFERROR(INDEX(DanhMuc!$E$154:$E$165,MATCH(MID($B3341,4,2),DanhMuc!$B$154:$B$165,0)),""),"")</f>
        <v/>
      </c>
      <c r="V3341" s="361"/>
      <c r="W3341" s="345"/>
      <c r="X3341" s="329" t="s">
        <v>2866</v>
      </c>
      <c r="Y3341" s="1128" t="s">
        <v>3380</v>
      </c>
      <c r="Z3341" s="1128" t="s">
        <v>3381</v>
      </c>
      <c r="AA3341" s="1128" t="s">
        <v>3384</v>
      </c>
      <c r="AB3341" s="20"/>
      <c r="AC3341" s="73"/>
    </row>
    <row r="3342" spans="1:29">
      <c r="A3342" s="327" t="str">
        <f>IF(AND($B3342&lt;&gt;"",$C3342&lt;&gt;""),MAX($A$1556:A3317)+1,"")</f>
        <v/>
      </c>
      <c r="B3342" s="361" t="s">
        <v>3825</v>
      </c>
      <c r="C3342" s="360"/>
      <c r="D3342" s="327">
        <f>IF($B3342="","",COUNTIF($B$6:$B3342,$B3342))</f>
        <v>10</v>
      </c>
      <c r="E3342" s="361" t="s">
        <v>3795</v>
      </c>
      <c r="F3342" s="362" t="s">
        <v>3788</v>
      </c>
      <c r="G3342" s="327" t="s">
        <v>296</v>
      </c>
      <c r="H3342" s="361" t="s">
        <v>2111</v>
      </c>
      <c r="I3342" s="327">
        <v>1</v>
      </c>
      <c r="J3342" s="361"/>
      <c r="K3342" s="327"/>
      <c r="L3342" s="389">
        <v>13377</v>
      </c>
      <c r="M3342" s="355"/>
      <c r="N3342" s="355" t="str">
        <f t="shared" si="324"/>
        <v>PK</v>
      </c>
      <c r="O3342" s="345"/>
      <c r="P3342" s="392"/>
      <c r="Q3342" s="327"/>
      <c r="R3342" s="351"/>
      <c r="S3342" s="351"/>
      <c r="T3342" s="351"/>
      <c r="U3342" s="329" t="str">
        <f>IF($N3342=$N$4,IFERROR(INDEX(DanhMuc!$E$154:$E$165,MATCH(MID($B3342,4,2),DanhMuc!$B$154:$B$165,0)),""),"")</f>
        <v/>
      </c>
      <c r="V3342" s="361"/>
      <c r="W3342" s="345"/>
      <c r="X3342" s="329" t="s">
        <v>2866</v>
      </c>
      <c r="Y3342" s="1128" t="s">
        <v>3380</v>
      </c>
      <c r="Z3342" s="1128" t="s">
        <v>3381</v>
      </c>
      <c r="AA3342" s="1128" t="s">
        <v>3384</v>
      </c>
      <c r="AB3342" s="20"/>
      <c r="AC3342" s="73"/>
    </row>
    <row r="3343" spans="1:29" ht="52">
      <c r="A3343" s="327">
        <f>IF(AND($B3343&lt;&gt;"",$C3343&lt;&gt;""),MAX($A$1556:A3318)+1,"")</f>
        <v>169</v>
      </c>
      <c r="B3343" s="359" t="s">
        <v>3826</v>
      </c>
      <c r="C3343" s="360" t="s">
        <v>3805</v>
      </c>
      <c r="D3343" s="327">
        <f>IF($B3343="","",COUNTIF($B$6:$B3343,$B3343))</f>
        <v>1</v>
      </c>
      <c r="E3343" s="361" t="s">
        <v>3804</v>
      </c>
      <c r="F3343" s="362" t="s">
        <v>3780</v>
      </c>
      <c r="G3343" s="327" t="s">
        <v>3789</v>
      </c>
      <c r="H3343" s="361" t="s">
        <v>3790</v>
      </c>
      <c r="I3343" s="327">
        <v>2</v>
      </c>
      <c r="J3343" s="361"/>
      <c r="K3343" s="327"/>
      <c r="L3343" s="389">
        <v>272959</v>
      </c>
      <c r="M3343" s="355"/>
      <c r="N3343" s="355" t="str">
        <f t="shared" si="324"/>
        <v>PK</v>
      </c>
      <c r="O3343" s="345"/>
      <c r="P3343" s="392"/>
      <c r="Q3343" s="327"/>
      <c r="R3343" s="351"/>
      <c r="S3343" s="351"/>
      <c r="T3343" s="351"/>
      <c r="U3343" s="329" t="str">
        <f>IF($N3343=$N$4,IFERROR(INDEX(DanhMuc!$E$154:$E$165,MATCH(MID($B3343,4,2),DanhMuc!$B$154:$B$165,0)),""),"")</f>
        <v/>
      </c>
      <c r="V3343" s="361"/>
      <c r="W3343" s="345"/>
      <c r="X3343" s="329" t="s">
        <v>2866</v>
      </c>
      <c r="Y3343" s="1128" t="s">
        <v>3380</v>
      </c>
      <c r="Z3343" s="1128" t="s">
        <v>3381</v>
      </c>
      <c r="AA3343" s="1128" t="s">
        <v>3384</v>
      </c>
      <c r="AB3343" s="20"/>
      <c r="AC3343" s="73"/>
    </row>
    <row r="3344" spans="1:29">
      <c r="A3344" s="327" t="str">
        <f>IF(AND($B3344&lt;&gt;"",$C3344&lt;&gt;""),MAX($A$1556:A3319)+1,"")</f>
        <v/>
      </c>
      <c r="B3344" s="361" t="s">
        <v>3826</v>
      </c>
      <c r="C3344" s="360"/>
      <c r="D3344" s="327">
        <f>IF($B3344="","",COUNTIF($B$6:$B3344,$B3344))</f>
        <v>2</v>
      </c>
      <c r="E3344" s="361" t="s">
        <v>3772</v>
      </c>
      <c r="F3344" s="362" t="s">
        <v>3781</v>
      </c>
      <c r="G3344" s="327" t="s">
        <v>3789</v>
      </c>
      <c r="H3344" s="361" t="s">
        <v>3790</v>
      </c>
      <c r="I3344" s="327">
        <v>4</v>
      </c>
      <c r="J3344" s="361"/>
      <c r="K3344" s="327"/>
      <c r="L3344" s="389">
        <v>72412</v>
      </c>
      <c r="M3344" s="355"/>
      <c r="N3344" s="355" t="str">
        <f t="shared" si="324"/>
        <v>PK</v>
      </c>
      <c r="O3344" s="345"/>
      <c r="P3344" s="392"/>
      <c r="Q3344" s="327"/>
      <c r="R3344" s="351"/>
      <c r="S3344" s="351"/>
      <c r="T3344" s="351"/>
      <c r="U3344" s="329" t="str">
        <f>IF($N3344=$N$4,IFERROR(INDEX(DanhMuc!$E$154:$E$165,MATCH(MID($B3344,4,2),DanhMuc!$B$154:$B$165,0)),""),"")</f>
        <v/>
      </c>
      <c r="V3344" s="361"/>
      <c r="W3344" s="345"/>
      <c r="X3344" s="329" t="s">
        <v>2866</v>
      </c>
      <c r="Y3344" s="1128" t="s">
        <v>3380</v>
      </c>
      <c r="Z3344" s="1128" t="s">
        <v>3381</v>
      </c>
      <c r="AA3344" s="1128" t="s">
        <v>3384</v>
      </c>
      <c r="AB3344" s="20"/>
      <c r="AC3344" s="73"/>
    </row>
    <row r="3345" spans="1:29">
      <c r="A3345" s="327" t="str">
        <f>IF(AND($B3345&lt;&gt;"",$C3345&lt;&gt;""),MAX($A$1556:A3320)+1,"")</f>
        <v/>
      </c>
      <c r="B3345" s="361" t="s">
        <v>3826</v>
      </c>
      <c r="C3345" s="360"/>
      <c r="D3345" s="327">
        <f>IF($B3345="","",COUNTIF($B$6:$B3345,$B3345))</f>
        <v>3</v>
      </c>
      <c r="E3345" s="361" t="s">
        <v>3773</v>
      </c>
      <c r="F3345" s="362" t="s">
        <v>3782</v>
      </c>
      <c r="G3345" s="327" t="s">
        <v>3789</v>
      </c>
      <c r="H3345" s="361" t="s">
        <v>3790</v>
      </c>
      <c r="I3345" s="327">
        <v>2</v>
      </c>
      <c r="J3345" s="361"/>
      <c r="K3345" s="327"/>
      <c r="L3345" s="389">
        <v>57321</v>
      </c>
      <c r="M3345" s="355"/>
      <c r="N3345" s="355" t="str">
        <f t="shared" si="324"/>
        <v>PK</v>
      </c>
      <c r="O3345" s="345"/>
      <c r="P3345" s="392"/>
      <c r="Q3345" s="327"/>
      <c r="R3345" s="351"/>
      <c r="S3345" s="351"/>
      <c r="T3345" s="351"/>
      <c r="U3345" s="329" t="str">
        <f>IF($N3345=$N$4,IFERROR(INDEX(DanhMuc!$E$154:$E$165,MATCH(MID($B3345,4,2),DanhMuc!$B$154:$B$165,0)),""),"")</f>
        <v/>
      </c>
      <c r="V3345" s="361"/>
      <c r="W3345" s="345"/>
      <c r="X3345" s="329" t="s">
        <v>2866</v>
      </c>
      <c r="Y3345" s="1128" t="s">
        <v>3380</v>
      </c>
      <c r="Z3345" s="1128" t="s">
        <v>3381</v>
      </c>
      <c r="AA3345" s="1128" t="s">
        <v>3384</v>
      </c>
      <c r="AB3345" s="20"/>
      <c r="AC3345" s="73"/>
    </row>
    <row r="3346" spans="1:29">
      <c r="A3346" s="327" t="str">
        <f>IF(AND($B3346&lt;&gt;"",$C3346&lt;&gt;""),MAX($A$1556:A3321)+1,"")</f>
        <v/>
      </c>
      <c r="B3346" s="361" t="s">
        <v>3826</v>
      </c>
      <c r="C3346" s="360"/>
      <c r="D3346" s="327">
        <f>IF($B3346="","",COUNTIF($B$6:$B3346,$B3346))</f>
        <v>4</v>
      </c>
      <c r="E3346" s="361" t="s">
        <v>3774</v>
      </c>
      <c r="F3346" s="362" t="s">
        <v>3783</v>
      </c>
      <c r="G3346" s="327" t="s">
        <v>3789</v>
      </c>
      <c r="H3346" s="361" t="s">
        <v>3790</v>
      </c>
      <c r="I3346" s="327">
        <v>1</v>
      </c>
      <c r="J3346" s="361"/>
      <c r="K3346" s="327"/>
      <c r="L3346" s="389">
        <v>156990</v>
      </c>
      <c r="M3346" s="355"/>
      <c r="N3346" s="355" t="str">
        <f t="shared" si="324"/>
        <v>PK</v>
      </c>
      <c r="O3346" s="345"/>
      <c r="P3346" s="392"/>
      <c r="Q3346" s="327"/>
      <c r="R3346" s="351"/>
      <c r="S3346" s="351"/>
      <c r="T3346" s="351"/>
      <c r="U3346" s="329" t="str">
        <f>IF($N3346=$N$4,IFERROR(INDEX(DanhMuc!$E$154:$E$165,MATCH(MID($B3346,4,2),DanhMuc!$B$154:$B$165,0)),""),"")</f>
        <v/>
      </c>
      <c r="V3346" s="361"/>
      <c r="W3346" s="345"/>
      <c r="X3346" s="329" t="s">
        <v>2866</v>
      </c>
      <c r="Y3346" s="1128" t="s">
        <v>3380</v>
      </c>
      <c r="Z3346" s="1128" t="s">
        <v>3381</v>
      </c>
      <c r="AA3346" s="1128" t="s">
        <v>3384</v>
      </c>
      <c r="AB3346" s="20"/>
      <c r="AC3346" s="73"/>
    </row>
    <row r="3347" spans="1:29">
      <c r="A3347" s="327" t="str">
        <f>IF(AND($B3347&lt;&gt;"",$C3347&lt;&gt;""),MAX($A$1556:A3322)+1,"")</f>
        <v/>
      </c>
      <c r="B3347" s="361" t="s">
        <v>3826</v>
      </c>
      <c r="C3347" s="360"/>
      <c r="D3347" s="327">
        <f>IF($B3347="","",COUNTIF($B$6:$B3347,$B3347))</f>
        <v>5</v>
      </c>
      <c r="E3347" s="361" t="s">
        <v>3775</v>
      </c>
      <c r="F3347" s="362" t="s">
        <v>3784</v>
      </c>
      <c r="G3347" s="327" t="s">
        <v>3789</v>
      </c>
      <c r="H3347" s="361" t="s">
        <v>3790</v>
      </c>
      <c r="I3347" s="327">
        <v>2</v>
      </c>
      <c r="J3347" s="361"/>
      <c r="K3347" s="327"/>
      <c r="L3347" s="389">
        <v>72848</v>
      </c>
      <c r="M3347" s="355"/>
      <c r="N3347" s="355" t="str">
        <f t="shared" si="324"/>
        <v>PK</v>
      </c>
      <c r="O3347" s="345"/>
      <c r="P3347" s="392"/>
      <c r="Q3347" s="327"/>
      <c r="R3347" s="351"/>
      <c r="S3347" s="351"/>
      <c r="T3347" s="351"/>
      <c r="U3347" s="329" t="str">
        <f>IF($N3347=$N$4,IFERROR(INDEX(DanhMuc!$E$154:$E$165,MATCH(MID($B3347,4,2),DanhMuc!$B$154:$B$165,0)),""),"")</f>
        <v/>
      </c>
      <c r="V3347" s="361"/>
      <c r="W3347" s="345"/>
      <c r="X3347" s="329" t="s">
        <v>2866</v>
      </c>
      <c r="Y3347" s="1128" t="s">
        <v>3380</v>
      </c>
      <c r="Z3347" s="1128" t="s">
        <v>3381</v>
      </c>
      <c r="AA3347" s="1128" t="s">
        <v>3384</v>
      </c>
      <c r="AB3347" s="20"/>
      <c r="AC3347" s="73"/>
    </row>
    <row r="3348" spans="1:29">
      <c r="A3348" s="327" t="str">
        <f>IF(AND($B3348&lt;&gt;"",$C3348&lt;&gt;""),MAX($A$1556:A3323)+1,"")</f>
        <v/>
      </c>
      <c r="B3348" s="361" t="s">
        <v>3826</v>
      </c>
      <c r="C3348" s="360"/>
      <c r="D3348" s="327">
        <f>IF($B3348="","",COUNTIF($B$6:$B3348,$B3348))</f>
        <v>6</v>
      </c>
      <c r="E3348" s="361" t="s">
        <v>3776</v>
      </c>
      <c r="F3348" s="362" t="s">
        <v>3785</v>
      </c>
      <c r="G3348" s="327" t="s">
        <v>3789</v>
      </c>
      <c r="H3348" s="361" t="s">
        <v>3790</v>
      </c>
      <c r="I3348" s="327">
        <v>3</v>
      </c>
      <c r="J3348" s="361"/>
      <c r="K3348" s="327"/>
      <c r="L3348" s="389">
        <v>85854</v>
      </c>
      <c r="M3348" s="355"/>
      <c r="N3348" s="355" t="str">
        <f t="shared" si="324"/>
        <v>PK</v>
      </c>
      <c r="O3348" s="345"/>
      <c r="P3348" s="392"/>
      <c r="Q3348" s="327"/>
      <c r="R3348" s="351"/>
      <c r="S3348" s="351"/>
      <c r="T3348" s="351"/>
      <c r="U3348" s="329" t="str">
        <f>IF($N3348=$N$4,IFERROR(INDEX(DanhMuc!$E$154:$E$165,MATCH(MID($B3348,4,2),DanhMuc!$B$154:$B$165,0)),""),"")</f>
        <v/>
      </c>
      <c r="V3348" s="361"/>
      <c r="W3348" s="345"/>
      <c r="X3348" s="329" t="s">
        <v>2866</v>
      </c>
      <c r="Y3348" s="1128" t="s">
        <v>3380</v>
      </c>
      <c r="Z3348" s="1128" t="s">
        <v>3381</v>
      </c>
      <c r="AA3348" s="1128" t="s">
        <v>3384</v>
      </c>
      <c r="AB3348" s="20"/>
      <c r="AC3348" s="73"/>
    </row>
    <row r="3349" spans="1:29">
      <c r="A3349" s="327" t="str">
        <f>IF(AND($B3349&lt;&gt;"",$C3349&lt;&gt;""),MAX($A$1556:A3324)+1,"")</f>
        <v/>
      </c>
      <c r="B3349" s="361" t="s">
        <v>3826</v>
      </c>
      <c r="C3349" s="360"/>
      <c r="D3349" s="327">
        <f>IF($B3349="","",COUNTIF($B$6:$B3349,$B3349))</f>
        <v>7</v>
      </c>
      <c r="E3349" s="361" t="s">
        <v>3794</v>
      </c>
      <c r="F3349" s="362" t="s">
        <v>3797</v>
      </c>
      <c r="G3349" s="327" t="s">
        <v>3789</v>
      </c>
      <c r="H3349" s="361" t="s">
        <v>3790</v>
      </c>
      <c r="I3349" s="327">
        <v>1</v>
      </c>
      <c r="J3349" s="361"/>
      <c r="K3349" s="327"/>
      <c r="L3349" s="389">
        <v>115838</v>
      </c>
      <c r="M3349" s="355"/>
      <c r="N3349" s="355" t="str">
        <f t="shared" si="324"/>
        <v>PK</v>
      </c>
      <c r="O3349" s="345"/>
      <c r="P3349" s="392"/>
      <c r="Q3349" s="327"/>
      <c r="R3349" s="351"/>
      <c r="S3349" s="351"/>
      <c r="T3349" s="351"/>
      <c r="U3349" s="329" t="str">
        <f>IF($N3349=$N$4,IFERROR(INDEX(DanhMuc!$E$154:$E$165,MATCH(MID($B3349,4,2),DanhMuc!$B$154:$B$165,0)),""),"")</f>
        <v/>
      </c>
      <c r="V3349" s="361"/>
      <c r="W3349" s="345"/>
      <c r="X3349" s="329" t="s">
        <v>2866</v>
      </c>
      <c r="Y3349" s="1128" t="s">
        <v>3380</v>
      </c>
      <c r="Z3349" s="1128" t="s">
        <v>3381</v>
      </c>
      <c r="AA3349" s="1128" t="s">
        <v>3384</v>
      </c>
      <c r="AB3349" s="20"/>
      <c r="AC3349" s="73"/>
    </row>
    <row r="3350" spans="1:29">
      <c r="A3350" s="327" t="str">
        <f>IF(AND($B3350&lt;&gt;"",$C3350&lt;&gt;""),MAX($A$1556:A3325)+1,"")</f>
        <v/>
      </c>
      <c r="B3350" s="361" t="s">
        <v>3826</v>
      </c>
      <c r="C3350" s="360"/>
      <c r="D3350" s="327">
        <f>IF($B3350="","",COUNTIF($B$6:$B3350,$B3350))</f>
        <v>8</v>
      </c>
      <c r="E3350" s="361" t="s">
        <v>3777</v>
      </c>
      <c r="F3350" s="362" t="s">
        <v>3786</v>
      </c>
      <c r="G3350" s="327" t="s">
        <v>3789</v>
      </c>
      <c r="H3350" s="361" t="s">
        <v>3790</v>
      </c>
      <c r="I3350" s="327">
        <v>1</v>
      </c>
      <c r="J3350" s="361"/>
      <c r="K3350" s="327"/>
      <c r="L3350" s="389">
        <v>328670</v>
      </c>
      <c r="M3350" s="355"/>
      <c r="N3350" s="355" t="str">
        <f t="shared" si="324"/>
        <v>PK</v>
      </c>
      <c r="O3350" s="345"/>
      <c r="P3350" s="392"/>
      <c r="Q3350" s="327"/>
      <c r="R3350" s="351"/>
      <c r="S3350" s="351"/>
      <c r="T3350" s="351"/>
      <c r="U3350" s="329" t="str">
        <f>IF($N3350=$N$4,IFERROR(INDEX(DanhMuc!$E$154:$E$165,MATCH(MID($B3350,4,2),DanhMuc!$B$154:$B$165,0)),""),"")</f>
        <v/>
      </c>
      <c r="V3350" s="361"/>
      <c r="W3350" s="345"/>
      <c r="X3350" s="329" t="s">
        <v>2866</v>
      </c>
      <c r="Y3350" s="1128" t="s">
        <v>3380</v>
      </c>
      <c r="Z3350" s="1128" t="s">
        <v>3381</v>
      </c>
      <c r="AA3350" s="1128" t="s">
        <v>3384</v>
      </c>
      <c r="AB3350" s="20"/>
      <c r="AC3350" s="73"/>
    </row>
    <row r="3351" spans="1:29">
      <c r="A3351" s="327" t="str">
        <f>IF(AND($B3351&lt;&gt;"",$C3351&lt;&gt;""),MAX($A$1556:A3326)+1,"")</f>
        <v/>
      </c>
      <c r="B3351" s="361" t="s">
        <v>3826</v>
      </c>
      <c r="C3351" s="360"/>
      <c r="D3351" s="327">
        <f>IF($B3351="","",COUNTIF($B$6:$B3351,$B3351))</f>
        <v>9</v>
      </c>
      <c r="E3351" s="361" t="s">
        <v>3778</v>
      </c>
      <c r="F3351" s="362" t="s">
        <v>3787</v>
      </c>
      <c r="G3351" s="327" t="s">
        <v>3789</v>
      </c>
      <c r="H3351" s="361" t="s">
        <v>2111</v>
      </c>
      <c r="I3351" s="327">
        <v>1</v>
      </c>
      <c r="J3351" s="361"/>
      <c r="K3351" s="327"/>
      <c r="L3351" s="389">
        <v>67564</v>
      </c>
      <c r="M3351" s="355"/>
      <c r="N3351" s="355" t="str">
        <f t="shared" si="324"/>
        <v>PK</v>
      </c>
      <c r="O3351" s="345"/>
      <c r="P3351" s="392"/>
      <c r="Q3351" s="327"/>
      <c r="R3351" s="351"/>
      <c r="S3351" s="351"/>
      <c r="T3351" s="351"/>
      <c r="U3351" s="329" t="str">
        <f>IF($N3351=$N$4,IFERROR(INDEX(DanhMuc!$E$154:$E$165,MATCH(MID($B3351,4,2),DanhMuc!$B$154:$B$165,0)),""),"")</f>
        <v/>
      </c>
      <c r="V3351" s="361"/>
      <c r="W3351" s="345"/>
      <c r="X3351" s="329" t="s">
        <v>2866</v>
      </c>
      <c r="Y3351" s="1128" t="s">
        <v>3380</v>
      </c>
      <c r="Z3351" s="1128" t="s">
        <v>3381</v>
      </c>
      <c r="AA3351" s="1128" t="s">
        <v>3384</v>
      </c>
      <c r="AB3351" s="20"/>
      <c r="AC3351" s="73"/>
    </row>
    <row r="3352" spans="1:29">
      <c r="A3352" s="327" t="str">
        <f>IF(AND($B3352&lt;&gt;"",$C3352&lt;&gt;""),MAX($A$1556:A3327)+1,"")</f>
        <v/>
      </c>
      <c r="B3352" s="361" t="s">
        <v>3826</v>
      </c>
      <c r="C3352" s="360"/>
      <c r="D3352" s="327">
        <f>IF($B3352="","",COUNTIF($B$6:$B3352,$B3352))</f>
        <v>10</v>
      </c>
      <c r="E3352" s="361" t="s">
        <v>3795</v>
      </c>
      <c r="F3352" s="362" t="s">
        <v>3788</v>
      </c>
      <c r="G3352" s="327" t="s">
        <v>3789</v>
      </c>
      <c r="H3352" s="361" t="s">
        <v>2111</v>
      </c>
      <c r="I3352" s="327">
        <v>2</v>
      </c>
      <c r="J3352" s="361"/>
      <c r="K3352" s="327"/>
      <c r="L3352" s="389">
        <v>13377</v>
      </c>
      <c r="M3352" s="355"/>
      <c r="N3352" s="355" t="str">
        <f t="shared" si="324"/>
        <v>PK</v>
      </c>
      <c r="O3352" s="345"/>
      <c r="P3352" s="392"/>
      <c r="Q3352" s="327"/>
      <c r="R3352" s="351"/>
      <c r="S3352" s="351"/>
      <c r="T3352" s="351"/>
      <c r="U3352" s="329" t="str">
        <f>IF($N3352=$N$4,IFERROR(INDEX(DanhMuc!$E$154:$E$165,MATCH(MID($B3352,4,2),DanhMuc!$B$154:$B$165,0)),""),"")</f>
        <v/>
      </c>
      <c r="V3352" s="361"/>
      <c r="W3352" s="345"/>
      <c r="X3352" s="329" t="s">
        <v>2866</v>
      </c>
      <c r="Y3352" s="1128" t="s">
        <v>3380</v>
      </c>
      <c r="Z3352" s="1128" t="s">
        <v>3381</v>
      </c>
      <c r="AA3352" s="1128" t="s">
        <v>3384</v>
      </c>
      <c r="AB3352" s="20"/>
      <c r="AC3352" s="73"/>
    </row>
    <row r="3353" spans="1:29" ht="52">
      <c r="A3353" s="327">
        <f>IF(AND($B3353&lt;&gt;"",$C3353&lt;&gt;""),MAX($A$1556:A3328)+1,"")</f>
        <v>169</v>
      </c>
      <c r="B3353" s="359" t="s">
        <v>3827</v>
      </c>
      <c r="C3353" s="360" t="s">
        <v>3806</v>
      </c>
      <c r="D3353" s="327">
        <f>IF($B3353="","",COUNTIF($B$6:$B3353,$B3353))</f>
        <v>1</v>
      </c>
      <c r="E3353" s="361" t="s">
        <v>3807</v>
      </c>
      <c r="F3353" s="362" t="s">
        <v>3780</v>
      </c>
      <c r="G3353" s="327" t="s">
        <v>3789</v>
      </c>
      <c r="H3353" s="361" t="s">
        <v>3790</v>
      </c>
      <c r="I3353" s="327">
        <v>2</v>
      </c>
      <c r="J3353" s="361"/>
      <c r="K3353" s="327"/>
      <c r="L3353" s="389">
        <v>272959</v>
      </c>
      <c r="M3353" s="355"/>
      <c r="N3353" s="355" t="str">
        <f t="shared" si="324"/>
        <v>PK</v>
      </c>
      <c r="O3353" s="345"/>
      <c r="P3353" s="392"/>
      <c r="Q3353" s="327"/>
      <c r="R3353" s="351"/>
      <c r="S3353" s="351"/>
      <c r="T3353" s="351"/>
      <c r="U3353" s="329" t="str">
        <f>IF($N3353=$N$4,IFERROR(INDEX(DanhMuc!$E$154:$E$165,MATCH(MID($B3353,4,2),DanhMuc!$B$154:$B$165,0)),""),"")</f>
        <v/>
      </c>
      <c r="V3353" s="361"/>
      <c r="W3353" s="345"/>
      <c r="X3353" s="329" t="s">
        <v>2866</v>
      </c>
      <c r="Y3353" s="1128" t="s">
        <v>3380</v>
      </c>
      <c r="Z3353" s="1128" t="s">
        <v>3381</v>
      </c>
      <c r="AA3353" s="1128" t="s">
        <v>3384</v>
      </c>
      <c r="AB3353" s="20"/>
      <c r="AC3353" s="73"/>
    </row>
    <row r="3354" spans="1:29">
      <c r="A3354" s="327" t="str">
        <f>IF(AND($B3354&lt;&gt;"",$C3354&lt;&gt;""),MAX($A$1556:A3329)+1,"")</f>
        <v/>
      </c>
      <c r="B3354" s="361" t="s">
        <v>3827</v>
      </c>
      <c r="C3354" s="360"/>
      <c r="D3354" s="327">
        <f>IF($B3354="","",COUNTIF($B$6:$B3354,$B3354))</f>
        <v>2</v>
      </c>
      <c r="E3354" s="361" t="s">
        <v>3772</v>
      </c>
      <c r="F3354" s="362" t="s">
        <v>3781</v>
      </c>
      <c r="G3354" s="327" t="s">
        <v>3789</v>
      </c>
      <c r="H3354" s="361" t="s">
        <v>3790</v>
      </c>
      <c r="I3354" s="327">
        <v>4</v>
      </c>
      <c r="J3354" s="361"/>
      <c r="K3354" s="327"/>
      <c r="L3354" s="389">
        <v>72412</v>
      </c>
      <c r="M3354" s="355"/>
      <c r="N3354" s="355" t="str">
        <f t="shared" si="324"/>
        <v>PK</v>
      </c>
      <c r="O3354" s="345"/>
      <c r="P3354" s="392"/>
      <c r="Q3354" s="327"/>
      <c r="R3354" s="351"/>
      <c r="S3354" s="351"/>
      <c r="T3354" s="351"/>
      <c r="U3354" s="329" t="str">
        <f>IF($N3354=$N$4,IFERROR(INDEX(DanhMuc!$E$154:$E$165,MATCH(MID($B3354,4,2),DanhMuc!$B$154:$B$165,0)),""),"")</f>
        <v/>
      </c>
      <c r="V3354" s="361"/>
      <c r="W3354" s="345"/>
      <c r="X3354" s="329" t="s">
        <v>2866</v>
      </c>
      <c r="Y3354" s="1128" t="s">
        <v>3380</v>
      </c>
      <c r="Z3354" s="1128" t="s">
        <v>3381</v>
      </c>
      <c r="AA3354" s="1128" t="s">
        <v>3384</v>
      </c>
      <c r="AB3354" s="20"/>
      <c r="AC3354" s="73"/>
    </row>
    <row r="3355" spans="1:29">
      <c r="A3355" s="327" t="str">
        <f>IF(AND($B3355&lt;&gt;"",$C3355&lt;&gt;""),MAX($A$1556:A3330)+1,"")</f>
        <v/>
      </c>
      <c r="B3355" s="361" t="s">
        <v>3827</v>
      </c>
      <c r="C3355" s="360"/>
      <c r="D3355" s="327">
        <f>IF($B3355="","",COUNTIF($B$6:$B3355,$B3355))</f>
        <v>3</v>
      </c>
      <c r="E3355" s="361" t="s">
        <v>3773</v>
      </c>
      <c r="F3355" s="362" t="s">
        <v>3782</v>
      </c>
      <c r="G3355" s="327" t="s">
        <v>3789</v>
      </c>
      <c r="H3355" s="361" t="s">
        <v>3790</v>
      </c>
      <c r="I3355" s="327">
        <v>2</v>
      </c>
      <c r="J3355" s="361"/>
      <c r="K3355" s="327"/>
      <c r="L3355" s="389">
        <v>57321</v>
      </c>
      <c r="M3355" s="355"/>
      <c r="N3355" s="355" t="str">
        <f t="shared" si="324"/>
        <v>PK</v>
      </c>
      <c r="O3355" s="345"/>
      <c r="P3355" s="392"/>
      <c r="Q3355" s="327"/>
      <c r="R3355" s="351"/>
      <c r="S3355" s="351"/>
      <c r="T3355" s="351"/>
      <c r="U3355" s="329" t="str">
        <f>IF($N3355=$N$4,IFERROR(INDEX(DanhMuc!$E$154:$E$165,MATCH(MID($B3355,4,2),DanhMuc!$B$154:$B$165,0)),""),"")</f>
        <v/>
      </c>
      <c r="V3355" s="361"/>
      <c r="W3355" s="345"/>
      <c r="X3355" s="329" t="s">
        <v>2866</v>
      </c>
      <c r="Y3355" s="1128" t="s">
        <v>3380</v>
      </c>
      <c r="Z3355" s="1128" t="s">
        <v>3381</v>
      </c>
      <c r="AA3355" s="1128" t="s">
        <v>3384</v>
      </c>
      <c r="AB3355" s="20"/>
      <c r="AC3355" s="73"/>
    </row>
    <row r="3356" spans="1:29">
      <c r="A3356" s="327" t="str">
        <f>IF(AND($B3356&lt;&gt;"",$C3356&lt;&gt;""),MAX($A$1556:A3331)+1,"")</f>
        <v/>
      </c>
      <c r="B3356" s="361" t="s">
        <v>3827</v>
      </c>
      <c r="C3356" s="360"/>
      <c r="D3356" s="327">
        <f>IF($B3356="","",COUNTIF($B$6:$B3356,$B3356))</f>
        <v>4</v>
      </c>
      <c r="E3356" s="361" t="s">
        <v>3774</v>
      </c>
      <c r="F3356" s="362" t="s">
        <v>3783</v>
      </c>
      <c r="G3356" s="327" t="s">
        <v>3789</v>
      </c>
      <c r="H3356" s="361" t="s">
        <v>3790</v>
      </c>
      <c r="I3356" s="327">
        <v>1</v>
      </c>
      <c r="J3356" s="361"/>
      <c r="K3356" s="327"/>
      <c r="L3356" s="389">
        <v>156990</v>
      </c>
      <c r="M3356" s="355"/>
      <c r="N3356" s="355" t="str">
        <f t="shared" si="324"/>
        <v>PK</v>
      </c>
      <c r="O3356" s="345"/>
      <c r="P3356" s="392"/>
      <c r="Q3356" s="327"/>
      <c r="R3356" s="351"/>
      <c r="S3356" s="351"/>
      <c r="T3356" s="351"/>
      <c r="U3356" s="329" t="str">
        <f>IF($N3356=$N$4,IFERROR(INDEX(DanhMuc!$E$154:$E$165,MATCH(MID($B3356,4,2),DanhMuc!$B$154:$B$165,0)),""),"")</f>
        <v/>
      </c>
      <c r="V3356" s="361"/>
      <c r="W3356" s="345"/>
      <c r="X3356" s="329" t="s">
        <v>2866</v>
      </c>
      <c r="Y3356" s="1128" t="s">
        <v>3380</v>
      </c>
      <c r="Z3356" s="1128" t="s">
        <v>3381</v>
      </c>
      <c r="AA3356" s="1128" t="s">
        <v>3384</v>
      </c>
      <c r="AB3356" s="20"/>
      <c r="AC3356" s="73"/>
    </row>
    <row r="3357" spans="1:29">
      <c r="A3357" s="327" t="str">
        <f>IF(AND($B3357&lt;&gt;"",$C3357&lt;&gt;""),MAX($A$1556:A3332)+1,"")</f>
        <v/>
      </c>
      <c r="B3357" s="361" t="s">
        <v>3827</v>
      </c>
      <c r="C3357" s="360"/>
      <c r="D3357" s="327">
        <f>IF($B3357="","",COUNTIF($B$6:$B3357,$B3357))</f>
        <v>5</v>
      </c>
      <c r="E3357" s="361" t="s">
        <v>3775</v>
      </c>
      <c r="F3357" s="362" t="s">
        <v>3784</v>
      </c>
      <c r="G3357" s="327" t="s">
        <v>3789</v>
      </c>
      <c r="H3357" s="361" t="s">
        <v>3790</v>
      </c>
      <c r="I3357" s="327">
        <v>2</v>
      </c>
      <c r="J3357" s="361"/>
      <c r="K3357" s="327"/>
      <c r="L3357" s="389">
        <v>72848</v>
      </c>
      <c r="M3357" s="355"/>
      <c r="N3357" s="355" t="str">
        <f t="shared" si="324"/>
        <v>PK</v>
      </c>
      <c r="O3357" s="345"/>
      <c r="P3357" s="392"/>
      <c r="Q3357" s="327"/>
      <c r="R3357" s="351"/>
      <c r="S3357" s="351"/>
      <c r="T3357" s="351"/>
      <c r="U3357" s="329" t="str">
        <f>IF($N3357=$N$4,IFERROR(INDEX(DanhMuc!$E$154:$E$165,MATCH(MID($B3357,4,2),DanhMuc!$B$154:$B$165,0)),""),"")</f>
        <v/>
      </c>
      <c r="V3357" s="361"/>
      <c r="W3357" s="345"/>
      <c r="X3357" s="329" t="s">
        <v>2866</v>
      </c>
      <c r="Y3357" s="1128" t="s">
        <v>3380</v>
      </c>
      <c r="Z3357" s="1128" t="s">
        <v>3381</v>
      </c>
      <c r="AA3357" s="1128" t="s">
        <v>3384</v>
      </c>
      <c r="AB3357" s="20"/>
      <c r="AC3357" s="73"/>
    </row>
    <row r="3358" spans="1:29">
      <c r="A3358" s="327" t="str">
        <f>IF(AND($B3358&lt;&gt;"",$C3358&lt;&gt;""),MAX($A$1556:A3333)+1,"")</f>
        <v/>
      </c>
      <c r="B3358" s="361" t="s">
        <v>3827</v>
      </c>
      <c r="C3358" s="360"/>
      <c r="D3358" s="327">
        <f>IF($B3358="","",COUNTIF($B$6:$B3358,$B3358))</f>
        <v>6</v>
      </c>
      <c r="E3358" s="361" t="s">
        <v>3776</v>
      </c>
      <c r="F3358" s="362" t="s">
        <v>3785</v>
      </c>
      <c r="G3358" s="327" t="s">
        <v>3789</v>
      </c>
      <c r="H3358" s="361" t="s">
        <v>3790</v>
      </c>
      <c r="I3358" s="327">
        <v>2</v>
      </c>
      <c r="J3358" s="361"/>
      <c r="K3358" s="327"/>
      <c r="L3358" s="389">
        <v>85854</v>
      </c>
      <c r="M3358" s="355"/>
      <c r="N3358" s="355" t="str">
        <f t="shared" si="324"/>
        <v>PK</v>
      </c>
      <c r="O3358" s="345"/>
      <c r="P3358" s="392"/>
      <c r="Q3358" s="327"/>
      <c r="R3358" s="351"/>
      <c r="S3358" s="351"/>
      <c r="T3358" s="351"/>
      <c r="U3358" s="329" t="str">
        <f>IF($N3358=$N$4,IFERROR(INDEX(DanhMuc!$E$154:$E$165,MATCH(MID($B3358,4,2),DanhMuc!$B$154:$B$165,0)),""),"")</f>
        <v/>
      </c>
      <c r="V3358" s="361"/>
      <c r="W3358" s="345"/>
      <c r="X3358" s="329" t="s">
        <v>2866</v>
      </c>
      <c r="Y3358" s="1128" t="s">
        <v>3380</v>
      </c>
      <c r="Z3358" s="1128" t="s">
        <v>3381</v>
      </c>
      <c r="AA3358" s="1128" t="s">
        <v>3384</v>
      </c>
      <c r="AB3358" s="20"/>
      <c r="AC3358" s="73"/>
    </row>
    <row r="3359" spans="1:29">
      <c r="A3359" s="327" t="str">
        <f>IF(AND($B3359&lt;&gt;"",$C3359&lt;&gt;""),MAX($A$1556:A3334)+1,"")</f>
        <v/>
      </c>
      <c r="B3359" s="361" t="s">
        <v>3827</v>
      </c>
      <c r="C3359" s="360"/>
      <c r="D3359" s="327">
        <f>IF($B3359="","",COUNTIF($B$6:$B3359,$B3359))</f>
        <v>7</v>
      </c>
      <c r="E3359" s="361" t="s">
        <v>3794</v>
      </c>
      <c r="F3359" s="362" t="s">
        <v>3797</v>
      </c>
      <c r="G3359" s="327" t="s">
        <v>3789</v>
      </c>
      <c r="H3359" s="361" t="s">
        <v>3790</v>
      </c>
      <c r="I3359" s="327">
        <v>2</v>
      </c>
      <c r="J3359" s="361"/>
      <c r="K3359" s="327"/>
      <c r="L3359" s="389">
        <v>115838</v>
      </c>
      <c r="M3359" s="355"/>
      <c r="N3359" s="355" t="str">
        <f t="shared" si="324"/>
        <v>PK</v>
      </c>
      <c r="O3359" s="345"/>
      <c r="P3359" s="392"/>
      <c r="Q3359" s="327"/>
      <c r="R3359" s="351"/>
      <c r="S3359" s="351"/>
      <c r="T3359" s="351"/>
      <c r="U3359" s="329" t="str">
        <f>IF($N3359=$N$4,IFERROR(INDEX(DanhMuc!$E$154:$E$165,MATCH(MID($B3359,4,2),DanhMuc!$B$154:$B$165,0)),""),"")</f>
        <v/>
      </c>
      <c r="V3359" s="361"/>
      <c r="W3359" s="345"/>
      <c r="X3359" s="329" t="s">
        <v>2866</v>
      </c>
      <c r="Y3359" s="1128" t="s">
        <v>3380</v>
      </c>
      <c r="Z3359" s="1128" t="s">
        <v>3381</v>
      </c>
      <c r="AA3359" s="1128" t="s">
        <v>3384</v>
      </c>
      <c r="AB3359" s="20"/>
      <c r="AC3359" s="73"/>
    </row>
    <row r="3360" spans="1:29">
      <c r="A3360" s="327" t="str">
        <f>IF(AND($B3360&lt;&gt;"",$C3360&lt;&gt;""),MAX($A$1556:A3335)+1,"")</f>
        <v/>
      </c>
      <c r="B3360" s="361" t="s">
        <v>3827</v>
      </c>
      <c r="C3360" s="360"/>
      <c r="D3360" s="327">
        <f>IF($B3360="","",COUNTIF($B$6:$B3360,$B3360))</f>
        <v>8</v>
      </c>
      <c r="E3360" s="361" t="s">
        <v>3777</v>
      </c>
      <c r="F3360" s="362" t="s">
        <v>3786</v>
      </c>
      <c r="G3360" s="327" t="s">
        <v>3789</v>
      </c>
      <c r="H3360" s="361" t="s">
        <v>3790</v>
      </c>
      <c r="I3360" s="327">
        <v>1</v>
      </c>
      <c r="J3360" s="361"/>
      <c r="K3360" s="327"/>
      <c r="L3360" s="389">
        <v>328670</v>
      </c>
      <c r="M3360" s="355"/>
      <c r="N3360" s="355" t="str">
        <f t="shared" si="324"/>
        <v>PK</v>
      </c>
      <c r="O3360" s="345"/>
      <c r="P3360" s="392"/>
      <c r="Q3360" s="327"/>
      <c r="R3360" s="351"/>
      <c r="S3360" s="351"/>
      <c r="T3360" s="351"/>
      <c r="U3360" s="329" t="str">
        <f>IF($N3360=$N$4,IFERROR(INDEX(DanhMuc!$E$154:$E$165,MATCH(MID($B3360,4,2),DanhMuc!$B$154:$B$165,0)),""),"")</f>
        <v/>
      </c>
      <c r="V3360" s="361"/>
      <c r="W3360" s="345"/>
      <c r="X3360" s="329" t="s">
        <v>2866</v>
      </c>
      <c r="Y3360" s="1128" t="s">
        <v>3380</v>
      </c>
      <c r="Z3360" s="1128" t="s">
        <v>3381</v>
      </c>
      <c r="AA3360" s="1128" t="s">
        <v>3384</v>
      </c>
      <c r="AB3360" s="20"/>
      <c r="AC3360" s="73"/>
    </row>
    <row r="3361" spans="1:29">
      <c r="A3361" s="327" t="str">
        <f>IF(AND($B3361&lt;&gt;"",$C3361&lt;&gt;""),MAX($A$1556:A3336)+1,"")</f>
        <v/>
      </c>
      <c r="B3361" s="361" t="s">
        <v>3827</v>
      </c>
      <c r="C3361" s="360"/>
      <c r="D3361" s="327">
        <f>IF($B3361="","",COUNTIF($B$6:$B3361,$B3361))</f>
        <v>9</v>
      </c>
      <c r="E3361" s="361" t="s">
        <v>3808</v>
      </c>
      <c r="F3361" s="362" t="s">
        <v>3787</v>
      </c>
      <c r="G3361" s="327" t="s">
        <v>3789</v>
      </c>
      <c r="H3361" s="361" t="s">
        <v>2111</v>
      </c>
      <c r="I3361" s="327">
        <v>1</v>
      </c>
      <c r="J3361" s="361"/>
      <c r="K3361" s="327"/>
      <c r="L3361" s="389">
        <v>67564</v>
      </c>
      <c r="M3361" s="355"/>
      <c r="N3361" s="355" t="str">
        <f t="shared" si="324"/>
        <v>PK</v>
      </c>
      <c r="O3361" s="345"/>
      <c r="P3361" s="392"/>
      <c r="Q3361" s="327"/>
      <c r="R3361" s="351"/>
      <c r="S3361" s="351"/>
      <c r="T3361" s="351"/>
      <c r="U3361" s="329" t="str">
        <f>IF($N3361=$N$4,IFERROR(INDEX(DanhMuc!$E$154:$E$165,MATCH(MID($B3361,4,2),DanhMuc!$B$154:$B$165,0)),""),"")</f>
        <v/>
      </c>
      <c r="V3361" s="361"/>
      <c r="W3361" s="345"/>
      <c r="X3361" s="329" t="s">
        <v>2866</v>
      </c>
      <c r="Y3361" s="1128" t="s">
        <v>3380</v>
      </c>
      <c r="Z3361" s="1128" t="s">
        <v>3381</v>
      </c>
      <c r="AA3361" s="1128" t="s">
        <v>3384</v>
      </c>
      <c r="AB3361" s="20"/>
      <c r="AC3361" s="73"/>
    </row>
    <row r="3362" spans="1:29">
      <c r="A3362" s="327" t="str">
        <f>IF(AND($B3362&lt;&gt;"",$C3362&lt;&gt;""),MAX($A$1556:A3337)+1,"")</f>
        <v/>
      </c>
      <c r="B3362" s="361" t="s">
        <v>3827</v>
      </c>
      <c r="C3362" s="360"/>
      <c r="D3362" s="327">
        <f>IF($B3362="","",COUNTIF($B$6:$B3362,$B3362))</f>
        <v>10</v>
      </c>
      <c r="E3362" s="361" t="s">
        <v>3779</v>
      </c>
      <c r="F3362" s="362" t="s">
        <v>3788</v>
      </c>
      <c r="G3362" s="327" t="s">
        <v>3789</v>
      </c>
      <c r="H3362" s="361" t="s">
        <v>2111</v>
      </c>
      <c r="I3362" s="327">
        <v>1</v>
      </c>
      <c r="J3362" s="361"/>
      <c r="K3362" s="327"/>
      <c r="L3362" s="389">
        <v>13377</v>
      </c>
      <c r="M3362" s="355"/>
      <c r="N3362" s="355" t="str">
        <f t="shared" si="324"/>
        <v>PK</v>
      </c>
      <c r="O3362" s="345"/>
      <c r="P3362" s="392"/>
      <c r="Q3362" s="327"/>
      <c r="R3362" s="351"/>
      <c r="S3362" s="351"/>
      <c r="T3362" s="351"/>
      <c r="U3362" s="329" t="str">
        <f>IF($N3362=$N$4,IFERROR(INDEX(DanhMuc!$E$154:$E$165,MATCH(MID($B3362,4,2),DanhMuc!$B$154:$B$165,0)),""),"")</f>
        <v/>
      </c>
      <c r="V3362" s="361"/>
      <c r="W3362" s="345"/>
      <c r="X3362" s="329" t="s">
        <v>2866</v>
      </c>
      <c r="Y3362" s="1128" t="s">
        <v>3380</v>
      </c>
      <c r="Z3362" s="1128" t="s">
        <v>3381</v>
      </c>
      <c r="AA3362" s="1128" t="s">
        <v>3384</v>
      </c>
      <c r="AB3362" s="20"/>
      <c r="AC3362" s="73"/>
    </row>
    <row r="3363" spans="1:29">
      <c r="A3363" s="327" t="str">
        <f>IF(AND($B3363&lt;&gt;"",$C3363&lt;&gt;""),MAX($A$1556:A3338)+1,"")</f>
        <v/>
      </c>
      <c r="B3363" s="361" t="s">
        <v>3827</v>
      </c>
      <c r="C3363" s="360"/>
      <c r="D3363" s="327">
        <f>IF($B3363="","",COUNTIF($B$6:$B3363,$B3363))</f>
        <v>11</v>
      </c>
      <c r="E3363" s="361" t="s">
        <v>3795</v>
      </c>
      <c r="F3363" s="362" t="s">
        <v>3788</v>
      </c>
      <c r="G3363" s="327" t="s">
        <v>3789</v>
      </c>
      <c r="H3363" s="361" t="s">
        <v>2111</v>
      </c>
      <c r="I3363" s="327">
        <v>1</v>
      </c>
      <c r="J3363" s="361"/>
      <c r="K3363" s="327"/>
      <c r="L3363" s="389">
        <v>13377</v>
      </c>
      <c r="M3363" s="355"/>
      <c r="N3363" s="355" t="str">
        <f t="shared" si="324"/>
        <v>PK</v>
      </c>
      <c r="O3363" s="345"/>
      <c r="P3363" s="392"/>
      <c r="Q3363" s="327"/>
      <c r="R3363" s="351"/>
      <c r="S3363" s="351"/>
      <c r="T3363" s="351"/>
      <c r="U3363" s="329" t="str">
        <f>IF($N3363=$N$4,IFERROR(INDEX(DanhMuc!$E$154:$E$165,MATCH(MID($B3363,4,2),DanhMuc!$B$154:$B$165,0)),""),"")</f>
        <v/>
      </c>
      <c r="V3363" s="361"/>
      <c r="W3363" s="345"/>
      <c r="X3363" s="329" t="s">
        <v>2866</v>
      </c>
      <c r="Y3363" s="1128" t="s">
        <v>3380</v>
      </c>
      <c r="Z3363" s="1128" t="s">
        <v>3381</v>
      </c>
      <c r="AA3363" s="1128" t="s">
        <v>3384</v>
      </c>
      <c r="AB3363" s="20"/>
      <c r="AC3363" s="73"/>
    </row>
    <row r="3364" spans="1:29" ht="39">
      <c r="A3364" s="327">
        <f>IF(AND($B3364&lt;&gt;"",$C3364&lt;&gt;""),MAX($A$1556:A3339)+1,"")</f>
        <v>169</v>
      </c>
      <c r="B3364" s="359" t="s">
        <v>3828</v>
      </c>
      <c r="C3364" s="360" t="s">
        <v>3809</v>
      </c>
      <c r="D3364" s="327">
        <f>IF($B3364="","",COUNTIF($B$6:$B3364,$B3364))</f>
        <v>1</v>
      </c>
      <c r="E3364" s="361" t="s">
        <v>3807</v>
      </c>
      <c r="F3364" s="362" t="s">
        <v>3780</v>
      </c>
      <c r="G3364" s="327" t="s">
        <v>3789</v>
      </c>
      <c r="H3364" s="361" t="s">
        <v>3790</v>
      </c>
      <c r="I3364" s="327">
        <v>2</v>
      </c>
      <c r="J3364" s="361"/>
      <c r="K3364" s="327"/>
      <c r="L3364" s="389">
        <v>272959</v>
      </c>
      <c r="M3364" s="355"/>
      <c r="N3364" s="355" t="str">
        <f t="shared" si="324"/>
        <v>PK</v>
      </c>
      <c r="O3364" s="345"/>
      <c r="P3364" s="392"/>
      <c r="Q3364" s="327"/>
      <c r="R3364" s="351"/>
      <c r="S3364" s="351"/>
      <c r="T3364" s="351"/>
      <c r="U3364" s="329" t="str">
        <f>IF($N3364=$N$4,IFERROR(INDEX(DanhMuc!$E$154:$E$165,MATCH(MID($B3364,4,2),DanhMuc!$B$154:$B$165,0)),""),"")</f>
        <v/>
      </c>
      <c r="V3364" s="361"/>
      <c r="W3364" s="345"/>
      <c r="X3364" s="329" t="s">
        <v>2866</v>
      </c>
      <c r="Y3364" s="1128" t="s">
        <v>3380</v>
      </c>
      <c r="Z3364" s="1128" t="s">
        <v>3381</v>
      </c>
      <c r="AA3364" s="1128" t="s">
        <v>3384</v>
      </c>
      <c r="AB3364" s="20"/>
      <c r="AC3364" s="73"/>
    </row>
    <row r="3365" spans="1:29">
      <c r="A3365" s="327" t="str">
        <f>IF(AND($B3365&lt;&gt;"",$C3365&lt;&gt;""),MAX($A$1556:A3340)+1,"")</f>
        <v/>
      </c>
      <c r="B3365" s="361" t="s">
        <v>3828</v>
      </c>
      <c r="C3365" s="360"/>
      <c r="D3365" s="327">
        <f>IF($B3365="","",COUNTIF($B$6:$B3365,$B3365))</f>
        <v>2</v>
      </c>
      <c r="E3365" s="361" t="s">
        <v>3810</v>
      </c>
      <c r="F3365" s="362" t="s">
        <v>3781</v>
      </c>
      <c r="G3365" s="327" t="s">
        <v>3789</v>
      </c>
      <c r="H3365" s="361" t="s">
        <v>3790</v>
      </c>
      <c r="I3365" s="327">
        <v>2</v>
      </c>
      <c r="J3365" s="361"/>
      <c r="K3365" s="327"/>
      <c r="L3365" s="389">
        <v>72412</v>
      </c>
      <c r="M3365" s="355"/>
      <c r="N3365" s="355" t="str">
        <f t="shared" si="324"/>
        <v>PK</v>
      </c>
      <c r="O3365" s="345"/>
      <c r="P3365" s="392"/>
      <c r="Q3365" s="327"/>
      <c r="R3365" s="351"/>
      <c r="S3365" s="351"/>
      <c r="T3365" s="351"/>
      <c r="U3365" s="329" t="str">
        <f>IF($N3365=$N$4,IFERROR(INDEX(DanhMuc!$E$154:$E$165,MATCH(MID($B3365,4,2),DanhMuc!$B$154:$B$165,0)),""),"")</f>
        <v/>
      </c>
      <c r="V3365" s="361"/>
      <c r="W3365" s="345"/>
      <c r="X3365" s="329" t="s">
        <v>2866</v>
      </c>
      <c r="Y3365" s="1128" t="s">
        <v>3380</v>
      </c>
      <c r="Z3365" s="1128" t="s">
        <v>3381</v>
      </c>
      <c r="AA3365" s="1128" t="s">
        <v>3384</v>
      </c>
      <c r="AB3365" s="20"/>
      <c r="AC3365" s="73"/>
    </row>
    <row r="3366" spans="1:29">
      <c r="A3366" s="327" t="str">
        <f>IF(AND($B3366&lt;&gt;"",$C3366&lt;&gt;""),MAX($A$1556:A3341)+1,"")</f>
        <v/>
      </c>
      <c r="B3366" s="361" t="s">
        <v>3828</v>
      </c>
      <c r="C3366" s="360"/>
      <c r="D3366" s="327">
        <f>IF($B3366="","",COUNTIF($B$6:$B3366,$B3366))</f>
        <v>3</v>
      </c>
      <c r="E3366" s="361" t="s">
        <v>3773</v>
      </c>
      <c r="F3366" s="362" t="s">
        <v>3782</v>
      </c>
      <c r="G3366" s="327" t="s">
        <v>3789</v>
      </c>
      <c r="H3366" s="361" t="s">
        <v>3790</v>
      </c>
      <c r="I3366" s="327">
        <v>1</v>
      </c>
      <c r="J3366" s="361"/>
      <c r="K3366" s="327"/>
      <c r="L3366" s="389">
        <v>57321</v>
      </c>
      <c r="M3366" s="355"/>
      <c r="N3366" s="355" t="str">
        <f t="shared" si="324"/>
        <v>PK</v>
      </c>
      <c r="O3366" s="345"/>
      <c r="P3366" s="392"/>
      <c r="Q3366" s="327"/>
      <c r="R3366" s="351"/>
      <c r="S3366" s="351"/>
      <c r="T3366" s="351"/>
      <c r="U3366" s="329" t="str">
        <f>IF($N3366=$N$4,IFERROR(INDEX(DanhMuc!$E$154:$E$165,MATCH(MID($B3366,4,2),DanhMuc!$B$154:$B$165,0)),""),"")</f>
        <v/>
      </c>
      <c r="V3366" s="361"/>
      <c r="W3366" s="345"/>
      <c r="X3366" s="329" t="s">
        <v>2866</v>
      </c>
      <c r="Y3366" s="1128" t="s">
        <v>3380</v>
      </c>
      <c r="Z3366" s="1128" t="s">
        <v>3381</v>
      </c>
      <c r="AA3366" s="1128" t="s">
        <v>3384</v>
      </c>
      <c r="AB3366" s="20"/>
      <c r="AC3366" s="73"/>
    </row>
    <row r="3367" spans="1:29">
      <c r="A3367" s="327" t="str">
        <f>IF(AND($B3367&lt;&gt;"",$C3367&lt;&gt;""),MAX($A$1556:A3342)+1,"")</f>
        <v/>
      </c>
      <c r="B3367" s="361" t="s">
        <v>3828</v>
      </c>
      <c r="C3367" s="360"/>
      <c r="D3367" s="327">
        <f>IF($B3367="","",COUNTIF($B$6:$B3367,$B3367))</f>
        <v>4</v>
      </c>
      <c r="E3367" s="361" t="s">
        <v>3811</v>
      </c>
      <c r="F3367" s="362" t="s">
        <v>3783</v>
      </c>
      <c r="G3367" s="327" t="s">
        <v>3789</v>
      </c>
      <c r="H3367" s="361" t="s">
        <v>3790</v>
      </c>
      <c r="I3367" s="327">
        <v>1</v>
      </c>
      <c r="J3367" s="361"/>
      <c r="K3367" s="327"/>
      <c r="L3367" s="389">
        <v>156990</v>
      </c>
      <c r="M3367" s="355"/>
      <c r="N3367" s="355" t="str">
        <f t="shared" si="324"/>
        <v>PK</v>
      </c>
      <c r="O3367" s="345"/>
      <c r="P3367" s="392"/>
      <c r="Q3367" s="327"/>
      <c r="R3367" s="351"/>
      <c r="S3367" s="351"/>
      <c r="T3367" s="351"/>
      <c r="U3367" s="329" t="str">
        <f>IF($N3367=$N$4,IFERROR(INDEX(DanhMuc!$E$154:$E$165,MATCH(MID($B3367,4,2),DanhMuc!$B$154:$B$165,0)),""),"")</f>
        <v/>
      </c>
      <c r="V3367" s="361"/>
      <c r="W3367" s="345"/>
      <c r="X3367" s="329" t="s">
        <v>2866</v>
      </c>
      <c r="Y3367" s="1128" t="s">
        <v>3380</v>
      </c>
      <c r="Z3367" s="1128" t="s">
        <v>3381</v>
      </c>
      <c r="AA3367" s="1128" t="s">
        <v>3384</v>
      </c>
      <c r="AB3367" s="20"/>
      <c r="AC3367" s="73"/>
    </row>
    <row r="3368" spans="1:29">
      <c r="A3368" s="327" t="str">
        <f>IF(AND($B3368&lt;&gt;"",$C3368&lt;&gt;""),MAX($A$1556:A3343)+1,"")</f>
        <v/>
      </c>
      <c r="B3368" s="361" t="s">
        <v>3828</v>
      </c>
      <c r="C3368" s="360"/>
      <c r="D3368" s="327">
        <f>IF($B3368="","",COUNTIF($B$6:$B3368,$B3368))</f>
        <v>5</v>
      </c>
      <c r="E3368" s="361" t="s">
        <v>3775</v>
      </c>
      <c r="F3368" s="362" t="s">
        <v>3784</v>
      </c>
      <c r="G3368" s="327" t="s">
        <v>3789</v>
      </c>
      <c r="H3368" s="361" t="s">
        <v>3790</v>
      </c>
      <c r="I3368" s="327">
        <v>1</v>
      </c>
      <c r="J3368" s="361"/>
      <c r="K3368" s="327"/>
      <c r="L3368" s="389">
        <v>72848</v>
      </c>
      <c r="M3368" s="355"/>
      <c r="N3368" s="355" t="str">
        <f t="shared" si="324"/>
        <v>PK</v>
      </c>
      <c r="O3368" s="345"/>
      <c r="P3368" s="392"/>
      <c r="Q3368" s="327"/>
      <c r="R3368" s="351"/>
      <c r="S3368" s="351"/>
      <c r="T3368" s="351"/>
      <c r="U3368" s="329" t="str">
        <f>IF($N3368=$N$4,IFERROR(INDEX(DanhMuc!$E$154:$E$165,MATCH(MID($B3368,4,2),DanhMuc!$B$154:$B$165,0)),""),"")</f>
        <v/>
      </c>
      <c r="V3368" s="361"/>
      <c r="W3368" s="345"/>
      <c r="X3368" s="329" t="s">
        <v>2866</v>
      </c>
      <c r="Y3368" s="1128" t="s">
        <v>3380</v>
      </c>
      <c r="Z3368" s="1128" t="s">
        <v>3381</v>
      </c>
      <c r="AA3368" s="1128" t="s">
        <v>3384</v>
      </c>
      <c r="AB3368" s="20"/>
      <c r="AC3368" s="73"/>
    </row>
    <row r="3369" spans="1:29">
      <c r="A3369" s="327" t="str">
        <f>IF(AND($B3369&lt;&gt;"",$C3369&lt;&gt;""),MAX($A$1556:A3344)+1,"")</f>
        <v/>
      </c>
      <c r="B3369" s="361" t="s">
        <v>3828</v>
      </c>
      <c r="C3369" s="360"/>
      <c r="D3369" s="327">
        <f>IF($B3369="","",COUNTIF($B$6:$B3369,$B3369))</f>
        <v>6</v>
      </c>
      <c r="E3369" s="361" t="s">
        <v>3776</v>
      </c>
      <c r="F3369" s="362" t="s">
        <v>3785</v>
      </c>
      <c r="G3369" s="327" t="s">
        <v>3789</v>
      </c>
      <c r="H3369" s="361" t="s">
        <v>3790</v>
      </c>
      <c r="I3369" s="327">
        <v>2</v>
      </c>
      <c r="J3369" s="361"/>
      <c r="K3369" s="327"/>
      <c r="L3369" s="389">
        <v>85854</v>
      </c>
      <c r="M3369" s="355"/>
      <c r="N3369" s="355" t="str">
        <f t="shared" si="324"/>
        <v>PK</v>
      </c>
      <c r="O3369" s="345"/>
      <c r="P3369" s="392"/>
      <c r="Q3369" s="327"/>
      <c r="R3369" s="351"/>
      <c r="S3369" s="351"/>
      <c r="T3369" s="351"/>
      <c r="U3369" s="329" t="str">
        <f>IF($N3369=$N$4,IFERROR(INDEX(DanhMuc!$E$154:$E$165,MATCH(MID($B3369,4,2),DanhMuc!$B$154:$B$165,0)),""),"")</f>
        <v/>
      </c>
      <c r="V3369" s="361"/>
      <c r="W3369" s="345"/>
      <c r="X3369" s="329" t="s">
        <v>2866</v>
      </c>
      <c r="Y3369" s="1128" t="s">
        <v>3380</v>
      </c>
      <c r="Z3369" s="1128" t="s">
        <v>3381</v>
      </c>
      <c r="AA3369" s="1128" t="s">
        <v>3384</v>
      </c>
      <c r="AB3369" s="20"/>
      <c r="AC3369" s="73"/>
    </row>
    <row r="3370" spans="1:29">
      <c r="A3370" s="327" t="str">
        <f>IF(AND($B3370&lt;&gt;"",$C3370&lt;&gt;""),MAX($A$1556:A3345)+1,"")</f>
        <v/>
      </c>
      <c r="B3370" s="361" t="s">
        <v>3828</v>
      </c>
      <c r="C3370" s="360"/>
      <c r="D3370" s="327">
        <f>IF($B3370="","",COUNTIF($B$6:$B3370,$B3370))</f>
        <v>7</v>
      </c>
      <c r="E3370" s="361" t="s">
        <v>3794</v>
      </c>
      <c r="F3370" s="362" t="s">
        <v>3797</v>
      </c>
      <c r="G3370" s="327" t="s">
        <v>3789</v>
      </c>
      <c r="H3370" s="361" t="s">
        <v>3790</v>
      </c>
      <c r="I3370" s="327">
        <v>1</v>
      </c>
      <c r="J3370" s="361"/>
      <c r="K3370" s="327"/>
      <c r="L3370" s="389">
        <v>115838</v>
      </c>
      <c r="M3370" s="355"/>
      <c r="N3370" s="355" t="str">
        <f t="shared" si="324"/>
        <v>PK</v>
      </c>
      <c r="O3370" s="345"/>
      <c r="P3370" s="392"/>
      <c r="Q3370" s="327"/>
      <c r="R3370" s="351"/>
      <c r="S3370" s="351"/>
      <c r="T3370" s="351"/>
      <c r="U3370" s="329" t="str">
        <f>IF($N3370=$N$4,IFERROR(INDEX(DanhMuc!$E$154:$E$165,MATCH(MID($B3370,4,2),DanhMuc!$B$154:$B$165,0)),""),"")</f>
        <v/>
      </c>
      <c r="V3370" s="361"/>
      <c r="W3370" s="345"/>
      <c r="X3370" s="329" t="s">
        <v>2866</v>
      </c>
      <c r="Y3370" s="1128" t="s">
        <v>3380</v>
      </c>
      <c r="Z3370" s="1128" t="s">
        <v>3381</v>
      </c>
      <c r="AA3370" s="1128" t="s">
        <v>3384</v>
      </c>
      <c r="AB3370" s="20"/>
      <c r="AC3370" s="73"/>
    </row>
    <row r="3371" spans="1:29">
      <c r="A3371" s="327" t="str">
        <f>IF(AND($B3371&lt;&gt;"",$C3371&lt;&gt;""),MAX($A$1556:A3346)+1,"")</f>
        <v/>
      </c>
      <c r="B3371" s="361" t="s">
        <v>3828</v>
      </c>
      <c r="C3371" s="360"/>
      <c r="D3371" s="327">
        <f>IF($B3371="","",COUNTIF($B$6:$B3371,$B3371))</f>
        <v>8</v>
      </c>
      <c r="E3371" s="361" t="s">
        <v>3812</v>
      </c>
      <c r="F3371" s="362" t="s">
        <v>3784</v>
      </c>
      <c r="G3371" s="327" t="s">
        <v>3789</v>
      </c>
      <c r="H3371" s="361" t="s">
        <v>3790</v>
      </c>
      <c r="I3371" s="327">
        <v>1</v>
      </c>
      <c r="J3371" s="361"/>
      <c r="K3371" s="327"/>
      <c r="L3371" s="389">
        <v>107097</v>
      </c>
      <c r="M3371" s="355"/>
      <c r="N3371" s="355" t="str">
        <f t="shared" si="324"/>
        <v>PK</v>
      </c>
      <c r="O3371" s="345"/>
      <c r="P3371" s="392"/>
      <c r="Q3371" s="327"/>
      <c r="R3371" s="351"/>
      <c r="S3371" s="351"/>
      <c r="T3371" s="351"/>
      <c r="U3371" s="329" t="str">
        <f>IF($N3371=$N$4,IFERROR(INDEX(DanhMuc!$E$154:$E$165,MATCH(MID($B3371,4,2),DanhMuc!$B$154:$B$165,0)),""),"")</f>
        <v/>
      </c>
      <c r="V3371" s="361"/>
      <c r="W3371" s="345"/>
      <c r="X3371" s="329" t="s">
        <v>2866</v>
      </c>
      <c r="Y3371" s="1128" t="s">
        <v>3380</v>
      </c>
      <c r="Z3371" s="1128" t="s">
        <v>3381</v>
      </c>
      <c r="AA3371" s="1128" t="s">
        <v>3384</v>
      </c>
      <c r="AB3371" s="20"/>
      <c r="AC3371" s="73"/>
    </row>
    <row r="3372" spans="1:29">
      <c r="A3372" s="327" t="str">
        <f>IF(AND($B3372&lt;&gt;"",$C3372&lt;&gt;""),MAX($A$1556:A3347)+1,"")</f>
        <v/>
      </c>
      <c r="B3372" s="361" t="s">
        <v>3828</v>
      </c>
      <c r="C3372" s="360"/>
      <c r="D3372" s="327">
        <f>IF($B3372="","",COUNTIF($B$6:$B3372,$B3372))</f>
        <v>9</v>
      </c>
      <c r="E3372" s="361" t="s">
        <v>3777</v>
      </c>
      <c r="F3372" s="362" t="s">
        <v>3786</v>
      </c>
      <c r="G3372" s="327" t="s">
        <v>3789</v>
      </c>
      <c r="H3372" s="361" t="s">
        <v>3790</v>
      </c>
      <c r="I3372" s="327">
        <v>1</v>
      </c>
      <c r="J3372" s="361"/>
      <c r="K3372" s="327"/>
      <c r="L3372" s="389">
        <v>328670</v>
      </c>
      <c r="M3372" s="355"/>
      <c r="N3372" s="355" t="str">
        <f t="shared" si="324"/>
        <v>PK</v>
      </c>
      <c r="O3372" s="345"/>
      <c r="P3372" s="392"/>
      <c r="Q3372" s="327"/>
      <c r="R3372" s="351"/>
      <c r="S3372" s="351"/>
      <c r="T3372" s="351"/>
      <c r="U3372" s="329" t="str">
        <f>IF($N3372=$N$4,IFERROR(INDEX(DanhMuc!$E$154:$E$165,MATCH(MID($B3372,4,2),DanhMuc!$B$154:$B$165,0)),""),"")</f>
        <v/>
      </c>
      <c r="V3372" s="361"/>
      <c r="W3372" s="345"/>
      <c r="X3372" s="329" t="s">
        <v>2866</v>
      </c>
      <c r="Y3372" s="1128" t="s">
        <v>3380</v>
      </c>
      <c r="Z3372" s="1128" t="s">
        <v>3381</v>
      </c>
      <c r="AA3372" s="1128" t="s">
        <v>3384</v>
      </c>
      <c r="AB3372" s="20"/>
      <c r="AC3372" s="73"/>
    </row>
    <row r="3373" spans="1:29">
      <c r="A3373" s="327" t="str">
        <f>IF(AND($B3373&lt;&gt;"",$C3373&lt;&gt;""),MAX($A$1556:A3348)+1,"")</f>
        <v/>
      </c>
      <c r="B3373" s="361" t="s">
        <v>3828</v>
      </c>
      <c r="C3373" s="360"/>
      <c r="D3373" s="327">
        <f>IF($B3373="","",COUNTIF($B$6:$B3373,$B3373))</f>
        <v>10</v>
      </c>
      <c r="E3373" s="361" t="s">
        <v>3779</v>
      </c>
      <c r="F3373" s="362" t="s">
        <v>3788</v>
      </c>
      <c r="G3373" s="327" t="s">
        <v>3789</v>
      </c>
      <c r="H3373" s="361" t="s">
        <v>2111</v>
      </c>
      <c r="I3373" s="327">
        <v>2</v>
      </c>
      <c r="J3373" s="361"/>
      <c r="K3373" s="327"/>
      <c r="L3373" s="389">
        <v>13377</v>
      </c>
      <c r="M3373" s="355"/>
      <c r="N3373" s="355" t="str">
        <f t="shared" si="324"/>
        <v>PK</v>
      </c>
      <c r="O3373" s="345"/>
      <c r="P3373" s="392"/>
      <c r="Q3373" s="327"/>
      <c r="R3373" s="351"/>
      <c r="S3373" s="351"/>
      <c r="T3373" s="351"/>
      <c r="U3373" s="329" t="str">
        <f>IF($N3373=$N$4,IFERROR(INDEX(DanhMuc!$E$154:$E$165,MATCH(MID($B3373,4,2),DanhMuc!$B$154:$B$165,0)),""),"")</f>
        <v/>
      </c>
      <c r="V3373" s="361"/>
      <c r="W3373" s="345"/>
      <c r="X3373" s="329" t="s">
        <v>2866</v>
      </c>
      <c r="Y3373" s="1128" t="s">
        <v>3380</v>
      </c>
      <c r="Z3373" s="1128" t="s">
        <v>3381</v>
      </c>
      <c r="AA3373" s="1128" t="s">
        <v>3384</v>
      </c>
      <c r="AB3373" s="20"/>
      <c r="AC3373" s="73"/>
    </row>
    <row r="3374" spans="1:29">
      <c r="A3374" s="327" t="str">
        <f>IF(AND($B3374&lt;&gt;"",$C3374&lt;&gt;""),MAX($A$1556:A3349)+1,"")</f>
        <v/>
      </c>
      <c r="B3374" s="361" t="s">
        <v>3828</v>
      </c>
      <c r="C3374" s="360"/>
      <c r="D3374" s="327">
        <f>IF($B3374="","",COUNTIF($B$6:$B3374,$B3374))</f>
        <v>11</v>
      </c>
      <c r="E3374" s="361" t="s">
        <v>3795</v>
      </c>
      <c r="F3374" s="362" t="s">
        <v>3788</v>
      </c>
      <c r="G3374" s="327" t="s">
        <v>3789</v>
      </c>
      <c r="H3374" s="361" t="s">
        <v>2111</v>
      </c>
      <c r="I3374" s="327">
        <v>1</v>
      </c>
      <c r="J3374" s="361"/>
      <c r="K3374" s="327"/>
      <c r="L3374" s="389">
        <v>13377</v>
      </c>
      <c r="M3374" s="355"/>
      <c r="N3374" s="355" t="str">
        <f t="shared" si="324"/>
        <v>PK</v>
      </c>
      <c r="O3374" s="345"/>
      <c r="P3374" s="392"/>
      <c r="Q3374" s="327"/>
      <c r="R3374" s="351"/>
      <c r="S3374" s="351"/>
      <c r="T3374" s="351"/>
      <c r="U3374" s="329" t="str">
        <f>IF($N3374=$N$4,IFERROR(INDEX(DanhMuc!$E$154:$E$165,MATCH(MID($B3374,4,2),DanhMuc!$B$154:$B$165,0)),""),"")</f>
        <v/>
      </c>
      <c r="V3374" s="361"/>
      <c r="W3374" s="345"/>
      <c r="X3374" s="329" t="s">
        <v>2866</v>
      </c>
      <c r="Y3374" s="1128" t="s">
        <v>3380</v>
      </c>
      <c r="Z3374" s="1128" t="s">
        <v>3381</v>
      </c>
      <c r="AA3374" s="1128" t="s">
        <v>3384</v>
      </c>
      <c r="AB3374" s="20"/>
      <c r="AC3374" s="73"/>
    </row>
    <row r="3375" spans="1:29" ht="52">
      <c r="A3375" s="327">
        <f>IF(AND($B3375&lt;&gt;"",$C3375&lt;&gt;""),MAX($A$1556:A3350)+1,"")</f>
        <v>170</v>
      </c>
      <c r="B3375" s="359" t="s">
        <v>3862</v>
      </c>
      <c r="C3375" s="360" t="s">
        <v>3813</v>
      </c>
      <c r="D3375" s="327">
        <f>IF($B3375="","",COUNTIF($B$6:$B3375,$B3375))</f>
        <v>1</v>
      </c>
      <c r="E3375" s="361" t="s">
        <v>3814</v>
      </c>
      <c r="F3375" s="362" t="s">
        <v>3816</v>
      </c>
      <c r="G3375" s="327" t="s">
        <v>3789</v>
      </c>
      <c r="H3375" s="361" t="s">
        <v>3790</v>
      </c>
      <c r="I3375" s="327">
        <v>2</v>
      </c>
      <c r="J3375" s="361"/>
      <c r="K3375" s="327"/>
      <c r="L3375" s="389">
        <v>363261</v>
      </c>
      <c r="M3375" s="355"/>
      <c r="N3375" s="355" t="str">
        <f t="shared" si="324"/>
        <v>PK</v>
      </c>
      <c r="O3375" s="345"/>
      <c r="P3375" s="392"/>
      <c r="Q3375" s="327"/>
      <c r="R3375" s="351"/>
      <c r="S3375" s="351"/>
      <c r="T3375" s="351"/>
      <c r="U3375" s="329" t="str">
        <f>IF($N3375=$N$4,IFERROR(INDEX(DanhMuc!$E$154:$E$165,MATCH(MID($B3375,4,2),DanhMuc!$B$154:$B$165,0)),""),"")</f>
        <v/>
      </c>
      <c r="V3375" s="361"/>
      <c r="W3375" s="345"/>
      <c r="X3375" s="329" t="s">
        <v>2866</v>
      </c>
      <c r="Y3375" s="1128" t="s">
        <v>3380</v>
      </c>
      <c r="Z3375" s="1128" t="s">
        <v>3381</v>
      </c>
      <c r="AA3375" s="1128" t="s">
        <v>3384</v>
      </c>
      <c r="AB3375" s="20"/>
      <c r="AC3375" s="73"/>
    </row>
    <row r="3376" spans="1:29">
      <c r="A3376" s="327" t="str">
        <f>IF(AND($B3376&lt;&gt;"",$C3376&lt;&gt;""),MAX($A$1556:A3351)+1,"")</f>
        <v/>
      </c>
      <c r="B3376" s="361" t="s">
        <v>3862</v>
      </c>
      <c r="C3376" s="360"/>
      <c r="D3376" s="327">
        <f>IF($B3376="","",COUNTIF($B$6:$B3376,$B3376))</f>
        <v>2</v>
      </c>
      <c r="E3376" s="361" t="s">
        <v>3815</v>
      </c>
      <c r="F3376" s="362" t="s">
        <v>3817</v>
      </c>
      <c r="G3376" s="327" t="s">
        <v>3789</v>
      </c>
      <c r="H3376" s="361" t="s">
        <v>3790</v>
      </c>
      <c r="I3376" s="327">
        <v>2</v>
      </c>
      <c r="J3376" s="361"/>
      <c r="K3376" s="327"/>
      <c r="L3376" s="389">
        <v>301303</v>
      </c>
      <c r="M3376" s="355"/>
      <c r="N3376" s="355" t="str">
        <f t="shared" si="324"/>
        <v>PK</v>
      </c>
      <c r="O3376" s="345"/>
      <c r="P3376" s="392"/>
      <c r="Q3376" s="327"/>
      <c r="R3376" s="351"/>
      <c r="S3376" s="351"/>
      <c r="T3376" s="351"/>
      <c r="U3376" s="329" t="str">
        <f>IF($N3376=$N$4,IFERROR(INDEX(DanhMuc!$E$154:$E$165,MATCH(MID($B3376,4,2),DanhMuc!$B$154:$B$165,0)),""),"")</f>
        <v/>
      </c>
      <c r="V3376" s="361"/>
      <c r="W3376" s="345"/>
      <c r="X3376" s="329" t="s">
        <v>2866</v>
      </c>
      <c r="Y3376" s="1128" t="s">
        <v>3380</v>
      </c>
      <c r="Z3376" s="1128" t="s">
        <v>3381</v>
      </c>
      <c r="AA3376" s="1128" t="s">
        <v>3384</v>
      </c>
      <c r="AB3376" s="20"/>
      <c r="AC3376" s="73"/>
    </row>
    <row r="3377" spans="1:29">
      <c r="A3377" s="327" t="str">
        <f>IF(AND($B3377&lt;&gt;"",$C3377&lt;&gt;""),MAX($A$1556:A3352)+1,"")</f>
        <v/>
      </c>
      <c r="B3377" s="361" t="s">
        <v>3862</v>
      </c>
      <c r="C3377" s="360"/>
      <c r="D3377" s="327">
        <f>IF($B3377="","",COUNTIF($B$6:$B3377,$B3377))</f>
        <v>3</v>
      </c>
      <c r="E3377" s="361" t="s">
        <v>3773</v>
      </c>
      <c r="F3377" s="362" t="s">
        <v>3782</v>
      </c>
      <c r="G3377" s="327" t="s">
        <v>3789</v>
      </c>
      <c r="H3377" s="361" t="s">
        <v>3790</v>
      </c>
      <c r="I3377" s="327">
        <v>2</v>
      </c>
      <c r="J3377" s="361"/>
      <c r="K3377" s="327"/>
      <c r="L3377" s="389">
        <v>57321</v>
      </c>
      <c r="M3377" s="355"/>
      <c r="N3377" s="355" t="str">
        <f t="shared" si="324"/>
        <v>PK</v>
      </c>
      <c r="O3377" s="345"/>
      <c r="P3377" s="392"/>
      <c r="Q3377" s="327"/>
      <c r="R3377" s="351"/>
      <c r="S3377" s="351"/>
      <c r="T3377" s="351"/>
      <c r="U3377" s="329" t="str">
        <f>IF($N3377=$N$4,IFERROR(INDEX(DanhMuc!$E$154:$E$165,MATCH(MID($B3377,4,2),DanhMuc!$B$154:$B$165,0)),""),"")</f>
        <v/>
      </c>
      <c r="V3377" s="361"/>
      <c r="W3377" s="345"/>
      <c r="X3377" s="329" t="s">
        <v>2866</v>
      </c>
      <c r="Y3377" s="1128" t="s">
        <v>3380</v>
      </c>
      <c r="Z3377" s="1128" t="s">
        <v>3381</v>
      </c>
      <c r="AA3377" s="1128" t="s">
        <v>3384</v>
      </c>
      <c r="AB3377" s="20"/>
      <c r="AC3377" s="73"/>
    </row>
    <row r="3378" spans="1:29">
      <c r="A3378" s="327" t="str">
        <f>IF(AND($B3378&lt;&gt;"",$C3378&lt;&gt;""),MAX($A$1556:A3353)+1,"")</f>
        <v/>
      </c>
      <c r="B3378" s="361" t="s">
        <v>3862</v>
      </c>
      <c r="C3378" s="360"/>
      <c r="D3378" s="327">
        <f>IF($B3378="","",COUNTIF($B$6:$B3378,$B3378))</f>
        <v>4</v>
      </c>
      <c r="E3378" s="361" t="s">
        <v>3774</v>
      </c>
      <c r="F3378" s="362" t="s">
        <v>3783</v>
      </c>
      <c r="G3378" s="327" t="s">
        <v>3789</v>
      </c>
      <c r="H3378" s="361" t="s">
        <v>3790</v>
      </c>
      <c r="I3378" s="327">
        <v>1</v>
      </c>
      <c r="J3378" s="361"/>
      <c r="K3378" s="327"/>
      <c r="L3378" s="389">
        <v>156990</v>
      </c>
      <c r="M3378" s="355"/>
      <c r="N3378" s="355" t="str">
        <f t="shared" si="324"/>
        <v>PK</v>
      </c>
      <c r="O3378" s="345"/>
      <c r="P3378" s="392"/>
      <c r="Q3378" s="327"/>
      <c r="R3378" s="351"/>
      <c r="S3378" s="351"/>
      <c r="T3378" s="351"/>
      <c r="U3378" s="329" t="str">
        <f>IF($N3378=$N$4,IFERROR(INDEX(DanhMuc!$E$154:$E$165,MATCH(MID($B3378,4,2),DanhMuc!$B$154:$B$165,0)),""),"")</f>
        <v/>
      </c>
      <c r="V3378" s="361"/>
      <c r="W3378" s="345"/>
      <c r="X3378" s="329" t="s">
        <v>2866</v>
      </c>
      <c r="Y3378" s="1128" t="s">
        <v>3380</v>
      </c>
      <c r="Z3378" s="1128" t="s">
        <v>3381</v>
      </c>
      <c r="AA3378" s="1128" t="s">
        <v>3384</v>
      </c>
      <c r="AB3378" s="20"/>
      <c r="AC3378" s="73"/>
    </row>
    <row r="3379" spans="1:29">
      <c r="A3379" s="327" t="str">
        <f>IF(AND($B3379&lt;&gt;"",$C3379&lt;&gt;""),MAX($A$1556:A3354)+1,"")</f>
        <v/>
      </c>
      <c r="B3379" s="361" t="s">
        <v>3862</v>
      </c>
      <c r="C3379" s="360"/>
      <c r="D3379" s="327">
        <f>IF($B3379="","",COUNTIF($B$6:$B3379,$B3379))</f>
        <v>5</v>
      </c>
      <c r="E3379" s="361" t="s">
        <v>3808</v>
      </c>
      <c r="F3379" s="362" t="s">
        <v>3787</v>
      </c>
      <c r="G3379" s="327" t="s">
        <v>3789</v>
      </c>
      <c r="H3379" s="361" t="s">
        <v>2111</v>
      </c>
      <c r="I3379" s="327">
        <v>1</v>
      </c>
      <c r="J3379" s="361"/>
      <c r="K3379" s="327"/>
      <c r="L3379" s="389">
        <v>67564</v>
      </c>
      <c r="M3379" s="355"/>
      <c r="N3379" s="355" t="str">
        <f t="shared" si="324"/>
        <v>PK</v>
      </c>
      <c r="O3379" s="345"/>
      <c r="P3379" s="392"/>
      <c r="Q3379" s="327"/>
      <c r="R3379" s="351"/>
      <c r="S3379" s="351"/>
      <c r="T3379" s="351"/>
      <c r="U3379" s="329" t="str">
        <f>IF($N3379=$N$4,IFERROR(INDEX(DanhMuc!$E$154:$E$165,MATCH(MID($B3379,4,2),DanhMuc!$B$154:$B$165,0)),""),"")</f>
        <v/>
      </c>
      <c r="V3379" s="361"/>
      <c r="W3379" s="345"/>
      <c r="X3379" s="329" t="s">
        <v>2866</v>
      </c>
      <c r="Y3379" s="1128" t="s">
        <v>3380</v>
      </c>
      <c r="Z3379" s="1128" t="s">
        <v>3381</v>
      </c>
      <c r="AA3379" s="1128" t="s">
        <v>3384</v>
      </c>
      <c r="AB3379" s="20"/>
      <c r="AC3379" s="73"/>
    </row>
    <row r="3380" spans="1:29">
      <c r="A3380" s="327" t="str">
        <f>IF(AND($B3380&lt;&gt;"",$C3380&lt;&gt;""),MAX($A$1556:A3355)+1,"")</f>
        <v/>
      </c>
      <c r="B3380" s="361" t="s">
        <v>3862</v>
      </c>
      <c r="C3380" s="360"/>
      <c r="D3380" s="327">
        <f>IF($B3380="","",COUNTIF($B$6:$B3380,$B3380))</f>
        <v>6</v>
      </c>
      <c r="E3380" s="361" t="s">
        <v>3779</v>
      </c>
      <c r="F3380" s="362" t="s">
        <v>3788</v>
      </c>
      <c r="G3380" s="327" t="s">
        <v>3789</v>
      </c>
      <c r="H3380" s="361" t="s">
        <v>2111</v>
      </c>
      <c r="I3380" s="327">
        <v>1</v>
      </c>
      <c r="J3380" s="361"/>
      <c r="K3380" s="327"/>
      <c r="L3380" s="389">
        <v>13377</v>
      </c>
      <c r="M3380" s="355"/>
      <c r="N3380" s="355" t="str">
        <f t="shared" si="324"/>
        <v>PK</v>
      </c>
      <c r="O3380" s="345"/>
      <c r="P3380" s="392"/>
      <c r="Q3380" s="327"/>
      <c r="R3380" s="351"/>
      <c r="S3380" s="351"/>
      <c r="T3380" s="351"/>
      <c r="U3380" s="329" t="str">
        <f>IF($N3380=$N$4,IFERROR(INDEX(DanhMuc!$E$154:$E$165,MATCH(MID($B3380,4,2),DanhMuc!$B$154:$B$165,0)),""),"")</f>
        <v/>
      </c>
      <c r="V3380" s="361"/>
      <c r="W3380" s="345"/>
      <c r="X3380" s="329" t="s">
        <v>2866</v>
      </c>
      <c r="Y3380" s="1128" t="s">
        <v>3380</v>
      </c>
      <c r="Z3380" s="1128" t="s">
        <v>3381</v>
      </c>
      <c r="AA3380" s="1128" t="s">
        <v>3384</v>
      </c>
      <c r="AB3380" s="20"/>
      <c r="AC3380" s="73"/>
    </row>
    <row r="3381" spans="1:29" ht="78">
      <c r="A3381" s="327">
        <f>IF(AND($B3381&lt;&gt;"",$C3381&lt;&gt;""),MAX($A$1556:A3356)+1,"")</f>
        <v>170</v>
      </c>
      <c r="B3381" s="359" t="s">
        <v>3829</v>
      </c>
      <c r="C3381" s="360" t="s">
        <v>3818</v>
      </c>
      <c r="D3381" s="327">
        <f>IF($B3381="","",COUNTIF($B$6:$B3381,$B3381))</f>
        <v>1</v>
      </c>
      <c r="E3381" s="361" t="s">
        <v>3819</v>
      </c>
      <c r="F3381" s="362" t="s">
        <v>3780</v>
      </c>
      <c r="G3381" s="327" t="s">
        <v>3789</v>
      </c>
      <c r="H3381" s="361" t="s">
        <v>3790</v>
      </c>
      <c r="I3381" s="327">
        <v>2</v>
      </c>
      <c r="J3381" s="361"/>
      <c r="K3381" s="327"/>
      <c r="L3381" s="389">
        <v>333015</v>
      </c>
      <c r="M3381" s="355"/>
      <c r="N3381" s="355" t="str">
        <f t="shared" si="324"/>
        <v>PK</v>
      </c>
      <c r="O3381" s="345"/>
      <c r="P3381" s="392"/>
      <c r="Q3381" s="327"/>
      <c r="R3381" s="351"/>
      <c r="S3381" s="351"/>
      <c r="T3381" s="351"/>
      <c r="U3381" s="329" t="str">
        <f>IF($N3381=$N$4,IFERROR(INDEX(DanhMuc!$E$154:$E$165,MATCH(MID($B3381,4,2),DanhMuc!$B$154:$B$165,0)),""),"")</f>
        <v/>
      </c>
      <c r="V3381" s="361"/>
      <c r="W3381" s="345"/>
      <c r="X3381" s="329" t="s">
        <v>2866</v>
      </c>
      <c r="Y3381" s="1128" t="s">
        <v>3380</v>
      </c>
      <c r="Z3381" s="1128" t="s">
        <v>3381</v>
      </c>
      <c r="AA3381" s="1128" t="s">
        <v>3384</v>
      </c>
      <c r="AB3381" s="20"/>
      <c r="AC3381" s="73"/>
    </row>
    <row r="3382" spans="1:29">
      <c r="A3382" s="327" t="str">
        <f>IF(AND($B3382&lt;&gt;"",$C3382&lt;&gt;""),MAX($A$1556:A3357)+1,"")</f>
        <v/>
      </c>
      <c r="B3382" s="361" t="s">
        <v>3829</v>
      </c>
      <c r="C3382" s="360"/>
      <c r="D3382" s="327">
        <f>IF($B3382="","",COUNTIF($B$6:$B3382,$B3382))</f>
        <v>2</v>
      </c>
      <c r="E3382" s="361" t="s">
        <v>3772</v>
      </c>
      <c r="F3382" s="362" t="s">
        <v>3781</v>
      </c>
      <c r="G3382" s="327" t="s">
        <v>3789</v>
      </c>
      <c r="H3382" s="361" t="s">
        <v>3790</v>
      </c>
      <c r="I3382" s="327">
        <v>4</v>
      </c>
      <c r="J3382" s="361"/>
      <c r="K3382" s="327"/>
      <c r="L3382" s="389">
        <v>72412</v>
      </c>
      <c r="M3382" s="355"/>
      <c r="N3382" s="355" t="str">
        <f t="shared" si="324"/>
        <v>PK</v>
      </c>
      <c r="O3382" s="345"/>
      <c r="P3382" s="392"/>
      <c r="Q3382" s="327"/>
      <c r="R3382" s="351"/>
      <c r="S3382" s="351"/>
      <c r="T3382" s="351"/>
      <c r="U3382" s="329" t="str">
        <f>IF($N3382=$N$4,IFERROR(INDEX(DanhMuc!$E$154:$E$165,MATCH(MID($B3382,4,2),DanhMuc!$B$154:$B$165,0)),""),"")</f>
        <v/>
      </c>
      <c r="V3382" s="361"/>
      <c r="W3382" s="345"/>
      <c r="X3382" s="329" t="s">
        <v>2866</v>
      </c>
      <c r="Y3382" s="1128" t="s">
        <v>3380</v>
      </c>
      <c r="Z3382" s="1128" t="s">
        <v>3381</v>
      </c>
      <c r="AA3382" s="1128" t="s">
        <v>3384</v>
      </c>
      <c r="AB3382" s="20"/>
      <c r="AC3382" s="73"/>
    </row>
    <row r="3383" spans="1:29">
      <c r="A3383" s="327" t="str">
        <f>IF(AND($B3383&lt;&gt;"",$C3383&lt;&gt;""),MAX($A$1556:A3358)+1,"")</f>
        <v/>
      </c>
      <c r="B3383" s="361" t="s">
        <v>3829</v>
      </c>
      <c r="C3383" s="360"/>
      <c r="D3383" s="327">
        <f>IF($B3383="","",COUNTIF($B$6:$B3383,$B3383))</f>
        <v>3</v>
      </c>
      <c r="E3383" s="361" t="s">
        <v>3773</v>
      </c>
      <c r="F3383" s="362" t="s">
        <v>3782</v>
      </c>
      <c r="G3383" s="327" t="s">
        <v>3789</v>
      </c>
      <c r="H3383" s="361" t="s">
        <v>3790</v>
      </c>
      <c r="I3383" s="327">
        <v>2</v>
      </c>
      <c r="J3383" s="361"/>
      <c r="K3383" s="327"/>
      <c r="L3383" s="389">
        <v>57321</v>
      </c>
      <c r="M3383" s="355"/>
      <c r="N3383" s="355" t="str">
        <f t="shared" si="324"/>
        <v>PK</v>
      </c>
      <c r="O3383" s="345"/>
      <c r="P3383" s="392"/>
      <c r="Q3383" s="327"/>
      <c r="R3383" s="351"/>
      <c r="S3383" s="351"/>
      <c r="T3383" s="351"/>
      <c r="U3383" s="329" t="str">
        <f>IF($N3383=$N$4,IFERROR(INDEX(DanhMuc!$E$154:$E$165,MATCH(MID($B3383,4,2),DanhMuc!$B$154:$B$165,0)),""),"")</f>
        <v/>
      </c>
      <c r="V3383" s="361"/>
      <c r="W3383" s="345"/>
      <c r="X3383" s="329" t="s">
        <v>2866</v>
      </c>
      <c r="Y3383" s="1128" t="s">
        <v>3380</v>
      </c>
      <c r="Z3383" s="1128" t="s">
        <v>3381</v>
      </c>
      <c r="AA3383" s="1128" t="s">
        <v>3384</v>
      </c>
      <c r="AB3383" s="20"/>
      <c r="AC3383" s="73"/>
    </row>
    <row r="3384" spans="1:29">
      <c r="A3384" s="327" t="str">
        <f>IF(AND($B3384&lt;&gt;"",$C3384&lt;&gt;""),MAX($A$1556:A3359)+1,"")</f>
        <v/>
      </c>
      <c r="B3384" s="361" t="s">
        <v>3829</v>
      </c>
      <c r="C3384" s="360"/>
      <c r="D3384" s="327">
        <f>IF($B3384="","",COUNTIF($B$6:$B3384,$B3384))</f>
        <v>4</v>
      </c>
      <c r="E3384" s="361" t="s">
        <v>3774</v>
      </c>
      <c r="F3384" s="362" t="s">
        <v>3783</v>
      </c>
      <c r="G3384" s="327" t="s">
        <v>3789</v>
      </c>
      <c r="H3384" s="361" t="s">
        <v>3790</v>
      </c>
      <c r="I3384" s="327">
        <v>1</v>
      </c>
      <c r="J3384" s="361"/>
      <c r="K3384" s="327"/>
      <c r="L3384" s="389">
        <v>156990</v>
      </c>
      <c r="M3384" s="355"/>
      <c r="N3384" s="355" t="str">
        <f t="shared" si="324"/>
        <v>PK</v>
      </c>
      <c r="O3384" s="345"/>
      <c r="P3384" s="392"/>
      <c r="Q3384" s="327"/>
      <c r="R3384" s="351"/>
      <c r="S3384" s="351"/>
      <c r="T3384" s="351"/>
      <c r="U3384" s="329" t="str">
        <f>IF($N3384=$N$4,IFERROR(INDEX(DanhMuc!$E$154:$E$165,MATCH(MID($B3384,4,2),DanhMuc!$B$154:$B$165,0)),""),"")</f>
        <v/>
      </c>
      <c r="V3384" s="361"/>
      <c r="W3384" s="345"/>
      <c r="X3384" s="329" t="s">
        <v>2866</v>
      </c>
      <c r="Y3384" s="1128" t="s">
        <v>3380</v>
      </c>
      <c r="Z3384" s="1128" t="s">
        <v>3381</v>
      </c>
      <c r="AA3384" s="1128" t="s">
        <v>3384</v>
      </c>
      <c r="AB3384" s="20"/>
      <c r="AC3384" s="73"/>
    </row>
    <row r="3385" spans="1:29">
      <c r="A3385" s="327" t="str">
        <f>IF(AND($B3385&lt;&gt;"",$C3385&lt;&gt;""),MAX($A$1556:A3360)+1,"")</f>
        <v/>
      </c>
      <c r="B3385" s="361" t="s">
        <v>3829</v>
      </c>
      <c r="C3385" s="360"/>
      <c r="D3385" s="327">
        <f>IF($B3385="","",COUNTIF($B$6:$B3385,$B3385))</f>
        <v>5</v>
      </c>
      <c r="E3385" s="361" t="s">
        <v>3775</v>
      </c>
      <c r="F3385" s="362" t="s">
        <v>3784</v>
      </c>
      <c r="G3385" s="327" t="s">
        <v>3789</v>
      </c>
      <c r="H3385" s="361" t="s">
        <v>3790</v>
      </c>
      <c r="I3385" s="327">
        <v>2</v>
      </c>
      <c r="J3385" s="361"/>
      <c r="K3385" s="327"/>
      <c r="L3385" s="389">
        <v>72848</v>
      </c>
      <c r="M3385" s="355"/>
      <c r="N3385" s="355" t="str">
        <f t="shared" si="324"/>
        <v>PK</v>
      </c>
      <c r="O3385" s="345"/>
      <c r="P3385" s="392"/>
      <c r="Q3385" s="327"/>
      <c r="R3385" s="351"/>
      <c r="S3385" s="351"/>
      <c r="T3385" s="351"/>
      <c r="U3385" s="329" t="str">
        <f>IF($N3385=$N$4,IFERROR(INDEX(DanhMuc!$E$154:$E$165,MATCH(MID($B3385,4,2),DanhMuc!$B$154:$B$165,0)),""),"")</f>
        <v/>
      </c>
      <c r="V3385" s="361"/>
      <c r="W3385" s="345"/>
      <c r="X3385" s="329" t="s">
        <v>2866</v>
      </c>
      <c r="Y3385" s="1128" t="s">
        <v>3380</v>
      </c>
      <c r="Z3385" s="1128" t="s">
        <v>3381</v>
      </c>
      <c r="AA3385" s="1128" t="s">
        <v>3384</v>
      </c>
      <c r="AB3385" s="20"/>
      <c r="AC3385" s="73"/>
    </row>
    <row r="3386" spans="1:29">
      <c r="A3386" s="327" t="str">
        <f>IF(AND($B3386&lt;&gt;"",$C3386&lt;&gt;""),MAX($A$1556:A3361)+1,"")</f>
        <v/>
      </c>
      <c r="B3386" s="361" t="s">
        <v>3829</v>
      </c>
      <c r="C3386" s="360"/>
      <c r="D3386" s="327">
        <f>IF($B3386="","",COUNTIF($B$6:$B3386,$B3386))</f>
        <v>6</v>
      </c>
      <c r="E3386" s="361" t="s">
        <v>3776</v>
      </c>
      <c r="F3386" s="362" t="s">
        <v>3785</v>
      </c>
      <c r="G3386" s="327" t="s">
        <v>3789</v>
      </c>
      <c r="H3386" s="361" t="s">
        <v>3790</v>
      </c>
      <c r="I3386" s="327">
        <v>2</v>
      </c>
      <c r="J3386" s="361"/>
      <c r="K3386" s="327"/>
      <c r="L3386" s="389">
        <v>85854</v>
      </c>
      <c r="M3386" s="355"/>
      <c r="N3386" s="355" t="str">
        <f t="shared" si="324"/>
        <v>PK</v>
      </c>
      <c r="O3386" s="345"/>
      <c r="P3386" s="392"/>
      <c r="Q3386" s="327"/>
      <c r="R3386" s="351"/>
      <c r="S3386" s="351"/>
      <c r="T3386" s="351"/>
      <c r="U3386" s="329" t="str">
        <f>IF($N3386=$N$4,IFERROR(INDEX(DanhMuc!$E$154:$E$165,MATCH(MID($B3386,4,2),DanhMuc!$B$154:$B$165,0)),""),"")</f>
        <v/>
      </c>
      <c r="V3386" s="361"/>
      <c r="W3386" s="345"/>
      <c r="X3386" s="329" t="s">
        <v>2866</v>
      </c>
      <c r="Y3386" s="1128" t="s">
        <v>3380</v>
      </c>
      <c r="Z3386" s="1128" t="s">
        <v>3381</v>
      </c>
      <c r="AA3386" s="1128" t="s">
        <v>3384</v>
      </c>
      <c r="AB3386" s="20"/>
      <c r="AC3386" s="73"/>
    </row>
    <row r="3387" spans="1:29">
      <c r="A3387" s="327" t="str">
        <f>IF(AND($B3387&lt;&gt;"",$C3387&lt;&gt;""),MAX($A$1556:A3362)+1,"")</f>
        <v/>
      </c>
      <c r="B3387" s="361" t="s">
        <v>3829</v>
      </c>
      <c r="C3387" s="360"/>
      <c r="D3387" s="327">
        <f>IF($B3387="","",COUNTIF($B$6:$B3387,$B3387))</f>
        <v>7</v>
      </c>
      <c r="E3387" s="361" t="s">
        <v>3794</v>
      </c>
      <c r="F3387" s="362" t="s">
        <v>3797</v>
      </c>
      <c r="G3387" s="327" t="s">
        <v>3789</v>
      </c>
      <c r="H3387" s="361" t="s">
        <v>3790</v>
      </c>
      <c r="I3387" s="327">
        <v>2</v>
      </c>
      <c r="J3387" s="361"/>
      <c r="K3387" s="327"/>
      <c r="L3387" s="389">
        <v>115838</v>
      </c>
      <c r="M3387" s="355"/>
      <c r="N3387" s="355" t="str">
        <f t="shared" si="324"/>
        <v>PK</v>
      </c>
      <c r="O3387" s="345"/>
      <c r="P3387" s="392"/>
      <c r="Q3387" s="327"/>
      <c r="R3387" s="351"/>
      <c r="S3387" s="351"/>
      <c r="T3387" s="351"/>
      <c r="U3387" s="329" t="str">
        <f>IF($N3387=$N$4,IFERROR(INDEX(DanhMuc!$E$154:$E$165,MATCH(MID($B3387,4,2),DanhMuc!$B$154:$B$165,0)),""),"")</f>
        <v/>
      </c>
      <c r="V3387" s="361"/>
      <c r="W3387" s="345"/>
      <c r="X3387" s="329" t="s">
        <v>2866</v>
      </c>
      <c r="Y3387" s="1128" t="s">
        <v>3380</v>
      </c>
      <c r="Z3387" s="1128" t="s">
        <v>3381</v>
      </c>
      <c r="AA3387" s="1128" t="s">
        <v>3384</v>
      </c>
      <c r="AB3387" s="20"/>
      <c r="AC3387" s="73"/>
    </row>
    <row r="3388" spans="1:29">
      <c r="A3388" s="327" t="str">
        <f>IF(AND($B3388&lt;&gt;"",$C3388&lt;&gt;""),MAX($A$1556:A3363)+1,"")</f>
        <v/>
      </c>
      <c r="B3388" s="361" t="s">
        <v>3829</v>
      </c>
      <c r="C3388" s="360"/>
      <c r="D3388" s="327">
        <f>IF($B3388="","",COUNTIF($B$6:$B3388,$B3388))</f>
        <v>8</v>
      </c>
      <c r="E3388" s="361" t="s">
        <v>3777</v>
      </c>
      <c r="F3388" s="362" t="s">
        <v>3786</v>
      </c>
      <c r="G3388" s="327" t="s">
        <v>3789</v>
      </c>
      <c r="H3388" s="361" t="s">
        <v>3790</v>
      </c>
      <c r="I3388" s="327">
        <v>1</v>
      </c>
      <c r="J3388" s="361"/>
      <c r="K3388" s="327"/>
      <c r="L3388" s="389">
        <v>328670</v>
      </c>
      <c r="M3388" s="355"/>
      <c r="N3388" s="355" t="str">
        <f t="shared" si="324"/>
        <v>PK</v>
      </c>
      <c r="O3388" s="345"/>
      <c r="P3388" s="392"/>
      <c r="Q3388" s="327"/>
      <c r="R3388" s="351"/>
      <c r="S3388" s="351"/>
      <c r="T3388" s="351"/>
      <c r="U3388" s="329" t="str">
        <f>IF($N3388=$N$4,IFERROR(INDEX(DanhMuc!$E$154:$E$165,MATCH(MID($B3388,4,2),DanhMuc!$B$154:$B$165,0)),""),"")</f>
        <v/>
      </c>
      <c r="V3388" s="361"/>
      <c r="W3388" s="345"/>
      <c r="X3388" s="329" t="s">
        <v>2866</v>
      </c>
      <c r="Y3388" s="1128" t="s">
        <v>3380</v>
      </c>
      <c r="Z3388" s="1128" t="s">
        <v>3381</v>
      </c>
      <c r="AA3388" s="1128" t="s">
        <v>3384</v>
      </c>
      <c r="AB3388" s="20"/>
      <c r="AC3388" s="73"/>
    </row>
    <row r="3389" spans="1:29">
      <c r="A3389" s="327" t="str">
        <f>IF(AND($B3389&lt;&gt;"",$C3389&lt;&gt;""),MAX($A$1556:A3364)+1,"")</f>
        <v/>
      </c>
      <c r="B3389" s="361" t="s">
        <v>3829</v>
      </c>
      <c r="C3389" s="360"/>
      <c r="D3389" s="327">
        <f>IF($B3389="","",COUNTIF($B$6:$B3389,$B3389))</f>
        <v>9</v>
      </c>
      <c r="E3389" s="361" t="s">
        <v>3820</v>
      </c>
      <c r="F3389" s="362" t="s">
        <v>3787</v>
      </c>
      <c r="G3389" s="327" t="s">
        <v>3789</v>
      </c>
      <c r="H3389" s="361" t="s">
        <v>2111</v>
      </c>
      <c r="I3389" s="327">
        <v>1</v>
      </c>
      <c r="J3389" s="361"/>
      <c r="K3389" s="327"/>
      <c r="L3389" s="389">
        <v>110079</v>
      </c>
      <c r="M3389" s="355"/>
      <c r="N3389" s="355" t="str">
        <f t="shared" si="324"/>
        <v>PK</v>
      </c>
      <c r="O3389" s="345"/>
      <c r="P3389" s="392"/>
      <c r="Q3389" s="327"/>
      <c r="R3389" s="351"/>
      <c r="S3389" s="351"/>
      <c r="T3389" s="351"/>
      <c r="U3389" s="329" t="str">
        <f>IF($N3389=$N$4,IFERROR(INDEX(DanhMuc!$E$154:$E$165,MATCH(MID($B3389,4,2),DanhMuc!$B$154:$B$165,0)),""),"")</f>
        <v/>
      </c>
      <c r="V3389" s="361"/>
      <c r="W3389" s="345"/>
      <c r="X3389" s="329" t="s">
        <v>2866</v>
      </c>
      <c r="Y3389" s="1128" t="s">
        <v>3380</v>
      </c>
      <c r="Z3389" s="1128" t="s">
        <v>3381</v>
      </c>
      <c r="AA3389" s="1128" t="s">
        <v>3384</v>
      </c>
      <c r="AB3389" s="20"/>
      <c r="AC3389" s="73"/>
    </row>
    <row r="3390" spans="1:29">
      <c r="A3390" s="327" t="str">
        <f>IF(AND($B3390&lt;&gt;"",$C3390&lt;&gt;""),MAX($A$1556:A3365)+1,"")</f>
        <v/>
      </c>
      <c r="B3390" s="361" t="s">
        <v>3829</v>
      </c>
      <c r="C3390" s="360"/>
      <c r="D3390" s="327">
        <f>IF($B3390="","",COUNTIF($B$6:$B3390,$B3390))</f>
        <v>10</v>
      </c>
      <c r="E3390" s="361" t="s">
        <v>3779</v>
      </c>
      <c r="F3390" s="362" t="s">
        <v>3788</v>
      </c>
      <c r="G3390" s="327" t="s">
        <v>3789</v>
      </c>
      <c r="H3390" s="361" t="s">
        <v>2111</v>
      </c>
      <c r="I3390" s="327">
        <v>1</v>
      </c>
      <c r="J3390" s="361"/>
      <c r="K3390" s="327"/>
      <c r="L3390" s="389">
        <v>13377</v>
      </c>
      <c r="M3390" s="355"/>
      <c r="N3390" s="355" t="str">
        <f t="shared" si="324"/>
        <v>PK</v>
      </c>
      <c r="O3390" s="345"/>
      <c r="P3390" s="392"/>
      <c r="Q3390" s="327"/>
      <c r="R3390" s="351"/>
      <c r="S3390" s="351"/>
      <c r="T3390" s="351"/>
      <c r="U3390" s="329" t="str">
        <f>IF($N3390=$N$4,IFERROR(INDEX(DanhMuc!$E$154:$E$165,MATCH(MID($B3390,4,2),DanhMuc!$B$154:$B$165,0)),""),"")</f>
        <v/>
      </c>
      <c r="V3390" s="361"/>
      <c r="W3390" s="345"/>
      <c r="X3390" s="329" t="s">
        <v>2866</v>
      </c>
      <c r="Y3390" s="1128" t="s">
        <v>3380</v>
      </c>
      <c r="Z3390" s="1128" t="s">
        <v>3381</v>
      </c>
      <c r="AA3390" s="1128" t="s">
        <v>3384</v>
      </c>
      <c r="AB3390" s="20"/>
      <c r="AC3390" s="73"/>
    </row>
    <row r="3391" spans="1:29">
      <c r="A3391" s="327" t="str">
        <f>IF(AND($B3391&lt;&gt;"",$C3391&lt;&gt;""),MAX($A$1556:A3366)+1,"")</f>
        <v/>
      </c>
      <c r="B3391" s="361" t="s">
        <v>3829</v>
      </c>
      <c r="C3391" s="360"/>
      <c r="D3391" s="327">
        <f>IF($B3391="","",COUNTIF($B$6:$B3391,$B3391))</f>
        <v>11</v>
      </c>
      <c r="E3391" s="361" t="s">
        <v>3795</v>
      </c>
      <c r="F3391" s="362" t="s">
        <v>3788</v>
      </c>
      <c r="G3391" s="327" t="s">
        <v>3789</v>
      </c>
      <c r="H3391" s="361" t="s">
        <v>2111</v>
      </c>
      <c r="I3391" s="327">
        <v>1</v>
      </c>
      <c r="J3391" s="361"/>
      <c r="K3391" s="327"/>
      <c r="L3391" s="389">
        <v>13377</v>
      </c>
      <c r="M3391" s="355"/>
      <c r="N3391" s="355" t="str">
        <f t="shared" si="324"/>
        <v>PK</v>
      </c>
      <c r="O3391" s="345"/>
      <c r="P3391" s="392"/>
      <c r="Q3391" s="327"/>
      <c r="R3391" s="351"/>
      <c r="S3391" s="351"/>
      <c r="T3391" s="351"/>
      <c r="U3391" s="329" t="str">
        <f>IF($N3391=$N$4,IFERROR(INDEX(DanhMuc!$E$154:$E$165,MATCH(MID($B3391,4,2),DanhMuc!$B$154:$B$165,0)),""),"")</f>
        <v/>
      </c>
      <c r="V3391" s="361"/>
      <c r="W3391" s="345"/>
      <c r="X3391" s="329" t="s">
        <v>2866</v>
      </c>
      <c r="Y3391" s="1128" t="s">
        <v>3380</v>
      </c>
      <c r="Z3391" s="1128" t="s">
        <v>3381</v>
      </c>
      <c r="AA3391" s="1128" t="s">
        <v>3384</v>
      </c>
      <c r="AB3391" s="20"/>
      <c r="AC3391" s="73"/>
    </row>
    <row r="3392" spans="1:29" ht="52">
      <c r="A3392" s="327">
        <f>IF(AND($B3392&lt;&gt;"",$C3392&lt;&gt;""),MAX($A$1556:A3367)+1,"")</f>
        <v>170</v>
      </c>
      <c r="B3392" s="359" t="s">
        <v>3846</v>
      </c>
      <c r="C3392" s="360" t="s">
        <v>3821</v>
      </c>
      <c r="D3392" s="327">
        <f>IF($B3392="","",COUNTIF($B$6:$B3392,$B3392))</f>
        <v>1</v>
      </c>
      <c r="E3392" s="361" t="s">
        <v>3830</v>
      </c>
      <c r="F3392" s="362" t="s">
        <v>3784</v>
      </c>
      <c r="G3392" s="327" t="s">
        <v>3789</v>
      </c>
      <c r="H3392" s="361" t="s">
        <v>3790</v>
      </c>
      <c r="I3392" s="327">
        <v>2</v>
      </c>
      <c r="J3392" s="361"/>
      <c r="K3392" s="327"/>
      <c r="L3392" s="389">
        <v>108840</v>
      </c>
      <c r="M3392" s="355"/>
      <c r="N3392" s="355" t="str">
        <f t="shared" si="324"/>
        <v>PK</v>
      </c>
      <c r="O3392" s="345"/>
      <c r="P3392" s="392"/>
      <c r="Q3392" s="327"/>
      <c r="R3392" s="351"/>
      <c r="S3392" s="351"/>
      <c r="T3392" s="351"/>
      <c r="U3392" s="329" t="str">
        <f>IF($N3392=$N$4,IFERROR(INDEX(DanhMuc!$E$154:$E$165,MATCH(MID($B3392,4,2),DanhMuc!$B$154:$B$165,0)),""),"")</f>
        <v/>
      </c>
      <c r="V3392" s="361"/>
      <c r="W3392" s="345"/>
      <c r="X3392" s="329" t="s">
        <v>2866</v>
      </c>
      <c r="Y3392" s="1128" t="s">
        <v>3380</v>
      </c>
      <c r="Z3392" s="1128" t="s">
        <v>3381</v>
      </c>
      <c r="AA3392" s="1128" t="s">
        <v>3384</v>
      </c>
      <c r="AB3392" s="20"/>
      <c r="AC3392" s="73"/>
    </row>
    <row r="3393" spans="1:29">
      <c r="A3393" s="327" t="str">
        <f>IF(AND($B3393&lt;&gt;"",$C3393&lt;&gt;""),MAX($A$1556:A3368)+1,"")</f>
        <v/>
      </c>
      <c r="B3393" s="361" t="s">
        <v>3846</v>
      </c>
      <c r="C3393" s="360"/>
      <c r="D3393" s="327">
        <f>IF($B3393="","",COUNTIF($B$6:$B3393,$B3393))</f>
        <v>2</v>
      </c>
      <c r="E3393" s="361" t="s">
        <v>3831</v>
      </c>
      <c r="F3393" s="362" t="s">
        <v>3839</v>
      </c>
      <c r="G3393" s="327" t="s">
        <v>3789</v>
      </c>
      <c r="H3393" s="361" t="s">
        <v>3790</v>
      </c>
      <c r="I3393" s="327">
        <v>2</v>
      </c>
      <c r="J3393" s="361"/>
      <c r="K3393" s="327"/>
      <c r="L3393" s="389">
        <v>67943</v>
      </c>
      <c r="M3393" s="355"/>
      <c r="N3393" s="355" t="str">
        <f t="shared" si="324"/>
        <v>PK</v>
      </c>
      <c r="O3393" s="345"/>
      <c r="P3393" s="392"/>
      <c r="Q3393" s="327"/>
      <c r="R3393" s="351"/>
      <c r="S3393" s="351"/>
      <c r="T3393" s="351"/>
      <c r="U3393" s="329" t="str">
        <f>IF($N3393=$N$4,IFERROR(INDEX(DanhMuc!$E$154:$E$165,MATCH(MID($B3393,4,2),DanhMuc!$B$154:$B$165,0)),""),"")</f>
        <v/>
      </c>
      <c r="V3393" s="361"/>
      <c r="W3393" s="345"/>
      <c r="X3393" s="329" t="s">
        <v>2866</v>
      </c>
      <c r="Y3393" s="1128" t="s">
        <v>3380</v>
      </c>
      <c r="Z3393" s="1128" t="s">
        <v>3381</v>
      </c>
      <c r="AA3393" s="1128" t="s">
        <v>3384</v>
      </c>
      <c r="AB3393" s="20"/>
      <c r="AC3393" s="73"/>
    </row>
    <row r="3394" spans="1:29">
      <c r="A3394" s="327" t="str">
        <f>IF(AND($B3394&lt;&gt;"",$C3394&lt;&gt;""),MAX($A$1556:A3369)+1,"")</f>
        <v/>
      </c>
      <c r="B3394" s="361" t="s">
        <v>3846</v>
      </c>
      <c r="C3394" s="360"/>
      <c r="D3394" s="327">
        <f>IF($B3394="","",COUNTIF($B$6:$B3394,$B3394))</f>
        <v>3</v>
      </c>
      <c r="E3394" s="361" t="s">
        <v>3832</v>
      </c>
      <c r="F3394" s="362" t="s">
        <v>3840</v>
      </c>
      <c r="G3394" s="327" t="s">
        <v>3789</v>
      </c>
      <c r="H3394" s="361" t="s">
        <v>3790</v>
      </c>
      <c r="I3394" s="327">
        <v>2</v>
      </c>
      <c r="J3394" s="361"/>
      <c r="K3394" s="327"/>
      <c r="L3394" s="389">
        <v>116494</v>
      </c>
      <c r="M3394" s="355"/>
      <c r="N3394" s="355" t="str">
        <f t="shared" si="324"/>
        <v>PK</v>
      </c>
      <c r="O3394" s="345"/>
      <c r="P3394" s="392"/>
      <c r="Q3394" s="327"/>
      <c r="R3394" s="351"/>
      <c r="S3394" s="351"/>
      <c r="T3394" s="351"/>
      <c r="U3394" s="329" t="str">
        <f>IF($N3394=$N$4,IFERROR(INDEX(DanhMuc!$E$154:$E$165,MATCH(MID($B3394,4,2),DanhMuc!$B$154:$B$165,0)),""),"")</f>
        <v/>
      </c>
      <c r="V3394" s="361"/>
      <c r="W3394" s="345"/>
      <c r="X3394" s="329" t="s">
        <v>2866</v>
      </c>
      <c r="Y3394" s="1128" t="s">
        <v>3380</v>
      </c>
      <c r="Z3394" s="1128" t="s">
        <v>3381</v>
      </c>
      <c r="AA3394" s="1128" t="s">
        <v>3384</v>
      </c>
      <c r="AB3394" s="20"/>
      <c r="AC3394" s="73"/>
    </row>
    <row r="3395" spans="1:29">
      <c r="A3395" s="327" t="str">
        <f>IF(AND($B3395&lt;&gt;"",$C3395&lt;&gt;""),MAX($A$1556:A3370)+1,"")</f>
        <v/>
      </c>
      <c r="B3395" s="361" t="s">
        <v>3846</v>
      </c>
      <c r="C3395" s="360"/>
      <c r="D3395" s="327">
        <f>IF($B3395="","",COUNTIF($B$6:$B3395,$B3395))</f>
        <v>4</v>
      </c>
      <c r="E3395" s="361" t="s">
        <v>3833</v>
      </c>
      <c r="F3395" s="362" t="s">
        <v>3841</v>
      </c>
      <c r="G3395" s="327" t="s">
        <v>3789</v>
      </c>
      <c r="H3395" s="361" t="s">
        <v>3790</v>
      </c>
      <c r="I3395" s="327">
        <v>2</v>
      </c>
      <c r="J3395" s="361"/>
      <c r="K3395" s="327"/>
      <c r="L3395" s="389">
        <v>63132</v>
      </c>
      <c r="M3395" s="355"/>
      <c r="N3395" s="355" t="str">
        <f t="shared" si="324"/>
        <v>PK</v>
      </c>
      <c r="O3395" s="345"/>
      <c r="P3395" s="392"/>
      <c r="Q3395" s="327"/>
      <c r="R3395" s="351"/>
      <c r="S3395" s="351"/>
      <c r="T3395" s="351"/>
      <c r="U3395" s="329" t="str">
        <f>IF($N3395=$N$4,IFERROR(INDEX(DanhMuc!$E$154:$E$165,MATCH(MID($B3395,4,2),DanhMuc!$B$154:$B$165,0)),""),"")</f>
        <v/>
      </c>
      <c r="V3395" s="361"/>
      <c r="W3395" s="345"/>
      <c r="X3395" s="329" t="s">
        <v>2866</v>
      </c>
      <c r="Y3395" s="1128" t="s">
        <v>3380</v>
      </c>
      <c r="Z3395" s="1128" t="s">
        <v>3381</v>
      </c>
      <c r="AA3395" s="1128" t="s">
        <v>3384</v>
      </c>
      <c r="AB3395" s="20"/>
      <c r="AC3395" s="73"/>
    </row>
    <row r="3396" spans="1:29">
      <c r="A3396" s="327" t="str">
        <f>IF(AND($B3396&lt;&gt;"",$C3396&lt;&gt;""),MAX($A$1556:A3371)+1,"")</f>
        <v/>
      </c>
      <c r="B3396" s="361" t="s">
        <v>3846</v>
      </c>
      <c r="C3396" s="360"/>
      <c r="D3396" s="327">
        <f>IF($B3396="","",COUNTIF($B$6:$B3396,$B3396))</f>
        <v>5</v>
      </c>
      <c r="E3396" s="361" t="s">
        <v>3834</v>
      </c>
      <c r="F3396" s="362" t="s">
        <v>3842</v>
      </c>
      <c r="G3396" s="327" t="s">
        <v>3789</v>
      </c>
      <c r="H3396" s="361" t="s">
        <v>3790</v>
      </c>
      <c r="I3396" s="327">
        <v>2</v>
      </c>
      <c r="J3396" s="361"/>
      <c r="K3396" s="327"/>
      <c r="L3396" s="389">
        <v>63132</v>
      </c>
      <c r="M3396" s="355"/>
      <c r="N3396" s="355" t="str">
        <f t="shared" si="324"/>
        <v>PK</v>
      </c>
      <c r="O3396" s="345"/>
      <c r="P3396" s="392"/>
      <c r="Q3396" s="327"/>
      <c r="R3396" s="351"/>
      <c r="S3396" s="351"/>
      <c r="T3396" s="351"/>
      <c r="U3396" s="329" t="str">
        <f>IF($N3396=$N$4,IFERROR(INDEX(DanhMuc!$E$154:$E$165,MATCH(MID($B3396,4,2),DanhMuc!$B$154:$B$165,0)),""),"")</f>
        <v/>
      </c>
      <c r="V3396" s="361"/>
      <c r="W3396" s="345"/>
      <c r="X3396" s="329" t="s">
        <v>2866</v>
      </c>
      <c r="Y3396" s="1128" t="s">
        <v>3380</v>
      </c>
      <c r="Z3396" s="1128" t="s">
        <v>3381</v>
      </c>
      <c r="AA3396" s="1128" t="s">
        <v>3384</v>
      </c>
      <c r="AB3396" s="20"/>
      <c r="AC3396" s="73"/>
    </row>
    <row r="3397" spans="1:29">
      <c r="A3397" s="327" t="str">
        <f>IF(AND($B3397&lt;&gt;"",$C3397&lt;&gt;""),MAX($A$1556:A3372)+1,"")</f>
        <v/>
      </c>
      <c r="B3397" s="361" t="s">
        <v>3846</v>
      </c>
      <c r="C3397" s="360"/>
      <c r="D3397" s="327">
        <f>IF($B3397="","",COUNTIF($B$6:$B3397,$B3397))</f>
        <v>6</v>
      </c>
      <c r="E3397" s="361" t="s">
        <v>3835</v>
      </c>
      <c r="F3397" s="362" t="s">
        <v>3843</v>
      </c>
      <c r="G3397" s="327" t="s">
        <v>3789</v>
      </c>
      <c r="H3397" s="361" t="s">
        <v>3790</v>
      </c>
      <c r="I3397" s="327">
        <v>1</v>
      </c>
      <c r="J3397" s="361"/>
      <c r="K3397" s="327"/>
      <c r="L3397" s="389">
        <v>58247</v>
      </c>
      <c r="M3397" s="355"/>
      <c r="N3397" s="355" t="str">
        <f t="shared" si="324"/>
        <v>PK</v>
      </c>
      <c r="O3397" s="345"/>
      <c r="P3397" s="392"/>
      <c r="Q3397" s="327"/>
      <c r="R3397" s="351"/>
      <c r="S3397" s="351"/>
      <c r="T3397" s="351"/>
      <c r="U3397" s="329" t="str">
        <f>IF($N3397=$N$4,IFERROR(INDEX(DanhMuc!$E$154:$E$165,MATCH(MID($B3397,4,2),DanhMuc!$B$154:$B$165,0)),""),"")</f>
        <v/>
      </c>
      <c r="V3397" s="361"/>
      <c r="W3397" s="345"/>
      <c r="X3397" s="329" t="s">
        <v>2866</v>
      </c>
      <c r="Y3397" s="1128" t="s">
        <v>3380</v>
      </c>
      <c r="Z3397" s="1128" t="s">
        <v>3381</v>
      </c>
      <c r="AA3397" s="1128" t="s">
        <v>3384</v>
      </c>
      <c r="AB3397" s="20"/>
      <c r="AC3397" s="73"/>
    </row>
    <row r="3398" spans="1:29">
      <c r="A3398" s="327" t="str">
        <f>IF(AND($B3398&lt;&gt;"",$C3398&lt;&gt;""),MAX($A$1556:A3373)+1,"")</f>
        <v/>
      </c>
      <c r="B3398" s="361" t="s">
        <v>3846</v>
      </c>
      <c r="C3398" s="360"/>
      <c r="D3398" s="327">
        <f>IF($B3398="","",COUNTIF($B$6:$B3398,$B3398))</f>
        <v>7</v>
      </c>
      <c r="E3398" s="361" t="s">
        <v>3836</v>
      </c>
      <c r="F3398" s="362" t="s">
        <v>3844</v>
      </c>
      <c r="G3398" s="327" t="s">
        <v>3789</v>
      </c>
      <c r="H3398" s="361" t="s">
        <v>3790</v>
      </c>
      <c r="I3398" s="327">
        <v>1</v>
      </c>
      <c r="J3398" s="361"/>
      <c r="K3398" s="327"/>
      <c r="L3398" s="389">
        <v>80117</v>
      </c>
      <c r="M3398" s="355"/>
      <c r="N3398" s="355" t="str">
        <f t="shared" si="324"/>
        <v>PK</v>
      </c>
      <c r="O3398" s="345"/>
      <c r="P3398" s="392"/>
      <c r="Q3398" s="327"/>
      <c r="R3398" s="351"/>
      <c r="S3398" s="351"/>
      <c r="T3398" s="351"/>
      <c r="U3398" s="329" t="str">
        <f>IF($N3398=$N$4,IFERROR(INDEX(DanhMuc!$E$154:$E$165,MATCH(MID($B3398,4,2),DanhMuc!$B$154:$B$165,0)),""),"")</f>
        <v/>
      </c>
      <c r="V3398" s="361"/>
      <c r="W3398" s="345"/>
      <c r="X3398" s="329" t="s">
        <v>2866</v>
      </c>
      <c r="Y3398" s="1128" t="s">
        <v>3380</v>
      </c>
      <c r="Z3398" s="1128" t="s">
        <v>3381</v>
      </c>
      <c r="AA3398" s="1128" t="s">
        <v>3384</v>
      </c>
      <c r="AB3398" s="20"/>
      <c r="AC3398" s="73"/>
    </row>
    <row r="3399" spans="1:29">
      <c r="A3399" s="327" t="str">
        <f>IF(AND($B3399&lt;&gt;"",$C3399&lt;&gt;""),MAX($A$1556:A3374)+1,"")</f>
        <v/>
      </c>
      <c r="B3399" s="361" t="s">
        <v>3846</v>
      </c>
      <c r="C3399" s="360"/>
      <c r="D3399" s="327">
        <f>IF($B3399="","",COUNTIF($B$6:$B3399,$B3399))</f>
        <v>8</v>
      </c>
      <c r="E3399" s="361" t="s">
        <v>3772</v>
      </c>
      <c r="F3399" s="362" t="s">
        <v>3781</v>
      </c>
      <c r="G3399" s="327" t="s">
        <v>3789</v>
      </c>
      <c r="H3399" s="361" t="s">
        <v>3790</v>
      </c>
      <c r="I3399" s="327">
        <v>2</v>
      </c>
      <c r="J3399" s="361"/>
      <c r="K3399" s="327"/>
      <c r="L3399" s="389">
        <v>72412</v>
      </c>
      <c r="M3399" s="355"/>
      <c r="N3399" s="355" t="str">
        <f t="shared" si="324"/>
        <v>PK</v>
      </c>
      <c r="O3399" s="345"/>
      <c r="P3399" s="392"/>
      <c r="Q3399" s="327"/>
      <c r="R3399" s="351"/>
      <c r="S3399" s="351"/>
      <c r="T3399" s="351"/>
      <c r="U3399" s="329" t="str">
        <f>IF($N3399=$N$4,IFERROR(INDEX(DanhMuc!$E$154:$E$165,MATCH(MID($B3399,4,2),DanhMuc!$B$154:$B$165,0)),""),"")</f>
        <v/>
      </c>
      <c r="V3399" s="361"/>
      <c r="W3399" s="345"/>
      <c r="X3399" s="329" t="s">
        <v>2866</v>
      </c>
      <c r="Y3399" s="1128" t="s">
        <v>3380</v>
      </c>
      <c r="Z3399" s="1128" t="s">
        <v>3381</v>
      </c>
      <c r="AA3399" s="1128" t="s">
        <v>3384</v>
      </c>
      <c r="AB3399" s="20"/>
      <c r="AC3399" s="73"/>
    </row>
    <row r="3400" spans="1:29">
      <c r="A3400" s="327" t="str">
        <f>IF(AND($B3400&lt;&gt;"",$C3400&lt;&gt;""),MAX($A$1556:A3375)+1,"")</f>
        <v/>
      </c>
      <c r="B3400" s="361" t="s">
        <v>3846</v>
      </c>
      <c r="C3400" s="360"/>
      <c r="D3400" s="327">
        <f>IF($B3400="","",COUNTIF($B$6:$B3400,$B3400))</f>
        <v>9</v>
      </c>
      <c r="E3400" s="361" t="s">
        <v>3773</v>
      </c>
      <c r="F3400" s="362" t="s">
        <v>3781</v>
      </c>
      <c r="G3400" s="327" t="s">
        <v>3789</v>
      </c>
      <c r="H3400" s="361" t="s">
        <v>3790</v>
      </c>
      <c r="I3400" s="327">
        <v>2</v>
      </c>
      <c r="J3400" s="361"/>
      <c r="K3400" s="327"/>
      <c r="L3400" s="389">
        <v>57321</v>
      </c>
      <c r="M3400" s="355"/>
      <c r="N3400" s="355" t="str">
        <f t="shared" si="324"/>
        <v>PK</v>
      </c>
      <c r="O3400" s="345"/>
      <c r="P3400" s="392"/>
      <c r="Q3400" s="327"/>
      <c r="R3400" s="351"/>
      <c r="S3400" s="351"/>
      <c r="T3400" s="351"/>
      <c r="U3400" s="329" t="str">
        <f>IF($N3400=$N$4,IFERROR(INDEX(DanhMuc!$E$154:$E$165,MATCH(MID($B3400,4,2),DanhMuc!$B$154:$B$165,0)),""),"")</f>
        <v/>
      </c>
      <c r="V3400" s="361"/>
      <c r="W3400" s="345"/>
      <c r="X3400" s="329" t="s">
        <v>2866</v>
      </c>
      <c r="Y3400" s="1128" t="s">
        <v>3380</v>
      </c>
      <c r="Z3400" s="1128" t="s">
        <v>3381</v>
      </c>
      <c r="AA3400" s="1128" t="s">
        <v>3384</v>
      </c>
      <c r="AB3400" s="20"/>
      <c r="AC3400" s="73"/>
    </row>
    <row r="3401" spans="1:29">
      <c r="A3401" s="327" t="str">
        <f>IF(AND($B3401&lt;&gt;"",$C3401&lt;&gt;""),MAX($A$1556:A3376)+1,"")</f>
        <v/>
      </c>
      <c r="B3401" s="361" t="s">
        <v>3846</v>
      </c>
      <c r="C3401" s="360"/>
      <c r="D3401" s="327">
        <f>IF($B3401="","",COUNTIF($B$6:$B3401,$B3401))</f>
        <v>10</v>
      </c>
      <c r="E3401" s="361" t="s">
        <v>3837</v>
      </c>
      <c r="F3401" s="362" t="s">
        <v>3845</v>
      </c>
      <c r="G3401" s="327" t="s">
        <v>3789</v>
      </c>
      <c r="H3401" s="361" t="s">
        <v>3790</v>
      </c>
      <c r="I3401" s="327">
        <v>1</v>
      </c>
      <c r="J3401" s="361"/>
      <c r="K3401" s="327"/>
      <c r="L3401" s="389">
        <v>410799</v>
      </c>
      <c r="M3401" s="355"/>
      <c r="N3401" s="355" t="str">
        <f t="shared" si="324"/>
        <v>PK</v>
      </c>
      <c r="O3401" s="345"/>
      <c r="P3401" s="392"/>
      <c r="Q3401" s="327"/>
      <c r="R3401" s="351"/>
      <c r="S3401" s="351"/>
      <c r="T3401" s="351"/>
      <c r="U3401" s="329" t="str">
        <f>IF($N3401=$N$4,IFERROR(INDEX(DanhMuc!$E$154:$E$165,MATCH(MID($B3401,4,2),DanhMuc!$B$154:$B$165,0)),""),"")</f>
        <v/>
      </c>
      <c r="V3401" s="361"/>
      <c r="W3401" s="345"/>
      <c r="X3401" s="329" t="s">
        <v>2866</v>
      </c>
      <c r="Y3401" s="1128" t="s">
        <v>3380</v>
      </c>
      <c r="Z3401" s="1128" t="s">
        <v>3381</v>
      </c>
      <c r="AA3401" s="1128" t="s">
        <v>3384</v>
      </c>
      <c r="AB3401" s="20"/>
      <c r="AC3401" s="73"/>
    </row>
    <row r="3402" spans="1:29">
      <c r="A3402" s="327" t="str">
        <f>IF(AND($B3402&lt;&gt;"",$C3402&lt;&gt;""),MAX($A$1556:A3377)+1,"")</f>
        <v/>
      </c>
      <c r="B3402" s="361" t="s">
        <v>3846</v>
      </c>
      <c r="C3402" s="360"/>
      <c r="D3402" s="327">
        <f>IF($B3402="","",COUNTIF($B$6:$B3402,$B3402))</f>
        <v>11</v>
      </c>
      <c r="E3402" s="361" t="s">
        <v>3838</v>
      </c>
      <c r="F3402" s="362" t="s">
        <v>3788</v>
      </c>
      <c r="G3402" s="327" t="s">
        <v>3789</v>
      </c>
      <c r="H3402" s="361" t="s">
        <v>2111</v>
      </c>
      <c r="I3402" s="327">
        <v>1</v>
      </c>
      <c r="J3402" s="361"/>
      <c r="K3402" s="327"/>
      <c r="L3402" s="389">
        <v>13377</v>
      </c>
      <c r="M3402" s="355"/>
      <c r="N3402" s="355" t="str">
        <f t="shared" si="324"/>
        <v>PK</v>
      </c>
      <c r="O3402" s="345"/>
      <c r="P3402" s="392"/>
      <c r="Q3402" s="327"/>
      <c r="R3402" s="351"/>
      <c r="S3402" s="351"/>
      <c r="T3402" s="351"/>
      <c r="U3402" s="329" t="str">
        <f>IF($N3402=$N$4,IFERROR(INDEX(DanhMuc!$E$154:$E$165,MATCH(MID($B3402,4,2),DanhMuc!$B$154:$B$165,0)),""),"")</f>
        <v/>
      </c>
      <c r="V3402" s="361"/>
      <c r="W3402" s="345"/>
      <c r="X3402" s="329" t="s">
        <v>2866</v>
      </c>
      <c r="Y3402" s="1128" t="s">
        <v>3380</v>
      </c>
      <c r="Z3402" s="1128" t="s">
        <v>3381</v>
      </c>
      <c r="AA3402" s="1128" t="s">
        <v>3384</v>
      </c>
      <c r="AB3402" s="20"/>
      <c r="AC3402" s="73"/>
    </row>
    <row r="3403" spans="1:29">
      <c r="A3403" s="327" t="str">
        <f>IF(AND($B3403&lt;&gt;"",$C3403&lt;&gt;""),MAX($A$1556:A3378)+1,"")</f>
        <v/>
      </c>
      <c r="B3403" s="361" t="s">
        <v>3846</v>
      </c>
      <c r="C3403" s="360"/>
      <c r="D3403" s="327">
        <f>IF($B3403="","",COUNTIF($B$6:$B3403,$B3403))</f>
        <v>12</v>
      </c>
      <c r="E3403" s="361" t="s">
        <v>3802</v>
      </c>
      <c r="F3403" s="362" t="s">
        <v>3788</v>
      </c>
      <c r="G3403" s="327" t="s">
        <v>3789</v>
      </c>
      <c r="H3403" s="361" t="s">
        <v>2111</v>
      </c>
      <c r="I3403" s="327">
        <v>1</v>
      </c>
      <c r="J3403" s="361"/>
      <c r="K3403" s="327"/>
      <c r="L3403" s="389">
        <v>13377</v>
      </c>
      <c r="M3403" s="355"/>
      <c r="N3403" s="355" t="str">
        <f t="shared" si="324"/>
        <v>PK</v>
      </c>
      <c r="O3403" s="345"/>
      <c r="P3403" s="392"/>
      <c r="Q3403" s="327"/>
      <c r="R3403" s="351"/>
      <c r="S3403" s="351"/>
      <c r="T3403" s="351"/>
      <c r="U3403" s="329" t="str">
        <f>IF($N3403=$N$4,IFERROR(INDEX(DanhMuc!$E$154:$E$165,MATCH(MID($B3403,4,2),DanhMuc!$B$154:$B$165,0)),""),"")</f>
        <v/>
      </c>
      <c r="V3403" s="361"/>
      <c r="W3403" s="345"/>
      <c r="X3403" s="329" t="s">
        <v>2866</v>
      </c>
      <c r="Y3403" s="1128" t="s">
        <v>3380</v>
      </c>
      <c r="Z3403" s="1128" t="s">
        <v>3381</v>
      </c>
      <c r="AA3403" s="1128" t="s">
        <v>3384</v>
      </c>
      <c r="AB3403" s="20"/>
      <c r="AC3403" s="73"/>
    </row>
    <row r="3404" spans="1:29" ht="52">
      <c r="A3404" s="327">
        <f>IF(AND($B3404&lt;&gt;"",$C3404&lt;&gt;""),MAX($A$1556:A3379)+1,"")</f>
        <v>171</v>
      </c>
      <c r="B3404" s="359" t="s">
        <v>3848</v>
      </c>
      <c r="C3404" s="360" t="s">
        <v>3847</v>
      </c>
      <c r="D3404" s="327">
        <f>IF($B3404="","",COUNTIF($B$6:$B3404,$B3404))</f>
        <v>1</v>
      </c>
      <c r="E3404" s="361" t="s">
        <v>3830</v>
      </c>
      <c r="F3404" s="362" t="s">
        <v>3784</v>
      </c>
      <c r="G3404" s="327" t="s">
        <v>3789</v>
      </c>
      <c r="H3404" s="361" t="s">
        <v>3790</v>
      </c>
      <c r="I3404" s="327">
        <v>2</v>
      </c>
      <c r="J3404" s="361"/>
      <c r="K3404" s="327"/>
      <c r="L3404" s="389">
        <v>108840</v>
      </c>
      <c r="M3404" s="355"/>
      <c r="N3404" s="355" t="str">
        <f t="shared" si="324"/>
        <v>PK</v>
      </c>
      <c r="O3404" s="345"/>
      <c r="P3404" s="392"/>
      <c r="Q3404" s="327"/>
      <c r="R3404" s="351"/>
      <c r="S3404" s="351"/>
      <c r="T3404" s="351"/>
      <c r="U3404" s="329" t="str">
        <f>IF($N3404=$N$4,IFERROR(INDEX(DanhMuc!$E$154:$E$165,MATCH(MID($B3404,4,2),DanhMuc!$B$154:$B$165,0)),""),"")</f>
        <v/>
      </c>
      <c r="V3404" s="361"/>
      <c r="W3404" s="345"/>
      <c r="X3404" s="329" t="s">
        <v>2866</v>
      </c>
      <c r="Y3404" s="1128" t="s">
        <v>3380</v>
      </c>
      <c r="Z3404" s="1128" t="s">
        <v>3381</v>
      </c>
      <c r="AA3404" s="1128" t="s">
        <v>3384</v>
      </c>
      <c r="AB3404" s="20"/>
      <c r="AC3404" s="73"/>
    </row>
    <row r="3405" spans="1:29">
      <c r="A3405" s="327" t="str">
        <f>IF(AND($B3405&lt;&gt;"",$C3405&lt;&gt;""),MAX($A$1556:A3380)+1,"")</f>
        <v/>
      </c>
      <c r="B3405" s="361" t="s">
        <v>3848</v>
      </c>
      <c r="C3405" s="360"/>
      <c r="D3405" s="327">
        <f>IF($B3405="","",COUNTIF($B$6:$B3405,$B3405))</f>
        <v>2</v>
      </c>
      <c r="E3405" s="361" t="s">
        <v>3831</v>
      </c>
      <c r="F3405" s="362" t="s">
        <v>3839</v>
      </c>
      <c r="G3405" s="327" t="s">
        <v>3789</v>
      </c>
      <c r="H3405" s="361" t="s">
        <v>3790</v>
      </c>
      <c r="I3405" s="327">
        <v>4</v>
      </c>
      <c r="J3405" s="361"/>
      <c r="K3405" s="327"/>
      <c r="L3405" s="389">
        <v>67943</v>
      </c>
      <c r="M3405" s="355"/>
      <c r="N3405" s="355" t="str">
        <f t="shared" si="324"/>
        <v>PK</v>
      </c>
      <c r="O3405" s="345"/>
      <c r="P3405" s="392"/>
      <c r="Q3405" s="327"/>
      <c r="R3405" s="351"/>
      <c r="S3405" s="351"/>
      <c r="T3405" s="351"/>
      <c r="U3405" s="329" t="str">
        <f>IF($N3405=$N$4,IFERROR(INDEX(DanhMuc!$E$154:$E$165,MATCH(MID($B3405,4,2),DanhMuc!$B$154:$B$165,0)),""),"")</f>
        <v/>
      </c>
      <c r="V3405" s="361"/>
      <c r="W3405" s="345"/>
      <c r="X3405" s="329" t="s">
        <v>2866</v>
      </c>
      <c r="Y3405" s="1128" t="s">
        <v>3380</v>
      </c>
      <c r="Z3405" s="1128" t="s">
        <v>3381</v>
      </c>
      <c r="AA3405" s="1128" t="s">
        <v>3384</v>
      </c>
      <c r="AB3405" s="20"/>
      <c r="AC3405" s="73"/>
    </row>
    <row r="3406" spans="1:29">
      <c r="A3406" s="327" t="str">
        <f>IF(AND($B3406&lt;&gt;"",$C3406&lt;&gt;""),MAX($A$1556:A3381)+1,"")</f>
        <v/>
      </c>
      <c r="B3406" s="361" t="s">
        <v>3848</v>
      </c>
      <c r="C3406" s="360"/>
      <c r="D3406" s="327">
        <f>IF($B3406="","",COUNTIF($B$6:$B3406,$B3406))</f>
        <v>3</v>
      </c>
      <c r="E3406" s="361" t="s">
        <v>3832</v>
      </c>
      <c r="F3406" s="362" t="s">
        <v>3840</v>
      </c>
      <c r="G3406" s="327" t="s">
        <v>3789</v>
      </c>
      <c r="H3406" s="361" t="s">
        <v>3790</v>
      </c>
      <c r="I3406" s="327">
        <v>4</v>
      </c>
      <c r="J3406" s="361"/>
      <c r="K3406" s="327"/>
      <c r="L3406" s="389">
        <v>116494</v>
      </c>
      <c r="M3406" s="355"/>
      <c r="N3406" s="355" t="str">
        <f t="shared" si="324"/>
        <v>PK</v>
      </c>
      <c r="O3406" s="345"/>
      <c r="P3406" s="392"/>
      <c r="Q3406" s="327"/>
      <c r="R3406" s="351"/>
      <c r="S3406" s="351"/>
      <c r="T3406" s="351"/>
      <c r="U3406" s="329" t="str">
        <f>IF($N3406=$N$4,IFERROR(INDEX(DanhMuc!$E$154:$E$165,MATCH(MID($B3406,4,2),DanhMuc!$B$154:$B$165,0)),""),"")</f>
        <v/>
      </c>
      <c r="V3406" s="361"/>
      <c r="W3406" s="345"/>
      <c r="X3406" s="329" t="s">
        <v>2866</v>
      </c>
      <c r="Y3406" s="1128" t="s">
        <v>3380</v>
      </c>
      <c r="Z3406" s="1128" t="s">
        <v>3381</v>
      </c>
      <c r="AA3406" s="1128" t="s">
        <v>3384</v>
      </c>
      <c r="AB3406" s="20"/>
      <c r="AC3406" s="73"/>
    </row>
    <row r="3407" spans="1:29">
      <c r="A3407" s="327" t="str">
        <f>IF(AND($B3407&lt;&gt;"",$C3407&lt;&gt;""),MAX($A$1556:A3382)+1,"")</f>
        <v/>
      </c>
      <c r="B3407" s="361" t="s">
        <v>3848</v>
      </c>
      <c r="C3407" s="360"/>
      <c r="D3407" s="327">
        <f>IF($B3407="","",COUNTIF($B$6:$B3407,$B3407))</f>
        <v>4</v>
      </c>
      <c r="E3407" s="361" t="s">
        <v>3833</v>
      </c>
      <c r="F3407" s="362" t="s">
        <v>3841</v>
      </c>
      <c r="G3407" s="327" t="s">
        <v>3789</v>
      </c>
      <c r="H3407" s="361" t="s">
        <v>3790</v>
      </c>
      <c r="I3407" s="327">
        <v>4</v>
      </c>
      <c r="J3407" s="361"/>
      <c r="K3407" s="327"/>
      <c r="L3407" s="389">
        <v>63132</v>
      </c>
      <c r="M3407" s="355"/>
      <c r="N3407" s="355" t="str">
        <f t="shared" si="324"/>
        <v>PK</v>
      </c>
      <c r="O3407" s="345"/>
      <c r="P3407" s="392"/>
      <c r="Q3407" s="327"/>
      <c r="R3407" s="351"/>
      <c r="S3407" s="351"/>
      <c r="T3407" s="351"/>
      <c r="U3407" s="329" t="str">
        <f>IF($N3407=$N$4,IFERROR(INDEX(DanhMuc!$E$154:$E$165,MATCH(MID($B3407,4,2),DanhMuc!$B$154:$B$165,0)),""),"")</f>
        <v/>
      </c>
      <c r="V3407" s="361"/>
      <c r="W3407" s="345"/>
      <c r="X3407" s="329" t="s">
        <v>2866</v>
      </c>
      <c r="Y3407" s="1128" t="s">
        <v>3380</v>
      </c>
      <c r="Z3407" s="1128" t="s">
        <v>3381</v>
      </c>
      <c r="AA3407" s="1128" t="s">
        <v>3384</v>
      </c>
      <c r="AB3407" s="20"/>
      <c r="AC3407" s="73"/>
    </row>
    <row r="3408" spans="1:29">
      <c r="A3408" s="327" t="str">
        <f>IF(AND($B3408&lt;&gt;"",$C3408&lt;&gt;""),MAX($A$1556:A3383)+1,"")</f>
        <v/>
      </c>
      <c r="B3408" s="361" t="s">
        <v>3848</v>
      </c>
      <c r="C3408" s="360"/>
      <c r="D3408" s="327">
        <f>IF($B3408="","",COUNTIF($B$6:$B3408,$B3408))</f>
        <v>5</v>
      </c>
      <c r="E3408" s="361" t="s">
        <v>3834</v>
      </c>
      <c r="F3408" s="362" t="s">
        <v>3842</v>
      </c>
      <c r="G3408" s="327" t="s">
        <v>3789</v>
      </c>
      <c r="H3408" s="361" t="s">
        <v>3790</v>
      </c>
      <c r="I3408" s="327">
        <v>4</v>
      </c>
      <c r="J3408" s="361"/>
      <c r="K3408" s="327"/>
      <c r="L3408" s="389">
        <v>63132</v>
      </c>
      <c r="M3408" s="355"/>
      <c r="N3408" s="355" t="str">
        <f t="shared" si="324"/>
        <v>PK</v>
      </c>
      <c r="O3408" s="345"/>
      <c r="P3408" s="392"/>
      <c r="Q3408" s="327"/>
      <c r="R3408" s="351"/>
      <c r="S3408" s="351"/>
      <c r="T3408" s="351"/>
      <c r="U3408" s="329" t="str">
        <f>IF($N3408=$N$4,IFERROR(INDEX(DanhMuc!$E$154:$E$165,MATCH(MID($B3408,4,2),DanhMuc!$B$154:$B$165,0)),""),"")</f>
        <v/>
      </c>
      <c r="V3408" s="361"/>
      <c r="W3408" s="345"/>
      <c r="X3408" s="329" t="s">
        <v>2866</v>
      </c>
      <c r="Y3408" s="1128" t="s">
        <v>3380</v>
      </c>
      <c r="Z3408" s="1128" t="s">
        <v>3381</v>
      </c>
      <c r="AA3408" s="1128" t="s">
        <v>3384</v>
      </c>
      <c r="AB3408" s="20"/>
      <c r="AC3408" s="73"/>
    </row>
    <row r="3409" spans="1:29">
      <c r="A3409" s="327" t="str">
        <f>IF(AND($B3409&lt;&gt;"",$C3409&lt;&gt;""),MAX($A$1556:A3384)+1,"")</f>
        <v/>
      </c>
      <c r="B3409" s="361" t="s">
        <v>3848</v>
      </c>
      <c r="C3409" s="360"/>
      <c r="D3409" s="327">
        <f>IF($B3409="","",COUNTIF($B$6:$B3409,$B3409))</f>
        <v>6</v>
      </c>
      <c r="E3409" s="361" t="s">
        <v>3835</v>
      </c>
      <c r="F3409" s="362" t="s">
        <v>3843</v>
      </c>
      <c r="G3409" s="327" t="s">
        <v>3789</v>
      </c>
      <c r="H3409" s="361" t="s">
        <v>3790</v>
      </c>
      <c r="I3409" s="327">
        <v>2</v>
      </c>
      <c r="J3409" s="361"/>
      <c r="K3409" s="327"/>
      <c r="L3409" s="389">
        <v>58247</v>
      </c>
      <c r="M3409" s="355"/>
      <c r="N3409" s="355" t="str">
        <f t="shared" si="324"/>
        <v>PK</v>
      </c>
      <c r="O3409" s="345"/>
      <c r="P3409" s="392"/>
      <c r="Q3409" s="327"/>
      <c r="R3409" s="351"/>
      <c r="S3409" s="351"/>
      <c r="T3409" s="351"/>
      <c r="U3409" s="329" t="str">
        <f>IF($N3409=$N$4,IFERROR(INDEX(DanhMuc!$E$154:$E$165,MATCH(MID($B3409,4,2),DanhMuc!$B$154:$B$165,0)),""),"")</f>
        <v/>
      </c>
      <c r="V3409" s="361"/>
      <c r="W3409" s="345"/>
      <c r="X3409" s="329" t="s">
        <v>2866</v>
      </c>
      <c r="Y3409" s="1128" t="s">
        <v>3380</v>
      </c>
      <c r="Z3409" s="1128" t="s">
        <v>3381</v>
      </c>
      <c r="AA3409" s="1128" t="s">
        <v>3384</v>
      </c>
      <c r="AB3409" s="20"/>
      <c r="AC3409" s="73"/>
    </row>
    <row r="3410" spans="1:29">
      <c r="A3410" s="327" t="str">
        <f>IF(AND($B3410&lt;&gt;"",$C3410&lt;&gt;""),MAX($A$1556:A3385)+1,"")</f>
        <v/>
      </c>
      <c r="B3410" s="361" t="s">
        <v>3848</v>
      </c>
      <c r="C3410" s="360"/>
      <c r="D3410" s="327">
        <f>IF($B3410="","",COUNTIF($B$6:$B3410,$B3410))</f>
        <v>7</v>
      </c>
      <c r="E3410" s="361" t="s">
        <v>3836</v>
      </c>
      <c r="F3410" s="362" t="s">
        <v>3844</v>
      </c>
      <c r="G3410" s="327" t="s">
        <v>3789</v>
      </c>
      <c r="H3410" s="361" t="s">
        <v>3790</v>
      </c>
      <c r="I3410" s="327">
        <v>2</v>
      </c>
      <c r="J3410" s="361"/>
      <c r="K3410" s="327"/>
      <c r="L3410" s="389">
        <v>80117</v>
      </c>
      <c r="M3410" s="355"/>
      <c r="N3410" s="355" t="str">
        <f t="shared" si="324"/>
        <v>PK</v>
      </c>
      <c r="O3410" s="345"/>
      <c r="P3410" s="392"/>
      <c r="Q3410" s="327"/>
      <c r="R3410" s="351"/>
      <c r="S3410" s="351"/>
      <c r="T3410" s="351"/>
      <c r="U3410" s="329" t="str">
        <f>IF($N3410=$N$4,IFERROR(INDEX(DanhMuc!$E$154:$E$165,MATCH(MID($B3410,4,2),DanhMuc!$B$154:$B$165,0)),""),"")</f>
        <v/>
      </c>
      <c r="V3410" s="361"/>
      <c r="W3410" s="345"/>
      <c r="X3410" s="329" t="s">
        <v>2866</v>
      </c>
      <c r="Y3410" s="1128" t="s">
        <v>3380</v>
      </c>
      <c r="Z3410" s="1128" t="s">
        <v>3381</v>
      </c>
      <c r="AA3410" s="1128" t="s">
        <v>3384</v>
      </c>
      <c r="AB3410" s="20"/>
      <c r="AC3410" s="73"/>
    </row>
    <row r="3411" spans="1:29">
      <c r="A3411" s="327" t="str">
        <f>IF(AND($B3411&lt;&gt;"",$C3411&lt;&gt;""),MAX($A$1556:A3386)+1,"")</f>
        <v/>
      </c>
      <c r="B3411" s="361" t="s">
        <v>3848</v>
      </c>
      <c r="C3411" s="360"/>
      <c r="D3411" s="327">
        <f>IF($B3411="","",COUNTIF($B$6:$B3411,$B3411))</f>
        <v>8</v>
      </c>
      <c r="E3411" s="361" t="s">
        <v>3772</v>
      </c>
      <c r="F3411" s="362" t="s">
        <v>3781</v>
      </c>
      <c r="G3411" s="327" t="s">
        <v>3789</v>
      </c>
      <c r="H3411" s="361" t="s">
        <v>3790</v>
      </c>
      <c r="I3411" s="327">
        <v>4</v>
      </c>
      <c r="J3411" s="361"/>
      <c r="K3411" s="327"/>
      <c r="L3411" s="389">
        <v>72412</v>
      </c>
      <c r="M3411" s="355"/>
      <c r="N3411" s="355" t="str">
        <f t="shared" si="324"/>
        <v>PK</v>
      </c>
      <c r="O3411" s="345"/>
      <c r="P3411" s="392"/>
      <c r="Q3411" s="327"/>
      <c r="R3411" s="351"/>
      <c r="S3411" s="351"/>
      <c r="T3411" s="351"/>
      <c r="U3411" s="329" t="str">
        <f>IF($N3411=$N$4,IFERROR(INDEX(DanhMuc!$E$154:$E$165,MATCH(MID($B3411,4,2),DanhMuc!$B$154:$B$165,0)),""),"")</f>
        <v/>
      </c>
      <c r="V3411" s="361"/>
      <c r="W3411" s="345"/>
      <c r="X3411" s="329" t="s">
        <v>2866</v>
      </c>
      <c r="Y3411" s="1128" t="s">
        <v>3380</v>
      </c>
      <c r="Z3411" s="1128" t="s">
        <v>3381</v>
      </c>
      <c r="AA3411" s="1128" t="s">
        <v>3384</v>
      </c>
      <c r="AB3411" s="20"/>
      <c r="AC3411" s="73"/>
    </row>
    <row r="3412" spans="1:29">
      <c r="A3412" s="327" t="str">
        <f>IF(AND($B3412&lt;&gt;"",$C3412&lt;&gt;""),MAX($A$1556:A3387)+1,"")</f>
        <v/>
      </c>
      <c r="B3412" s="361" t="s">
        <v>3848</v>
      </c>
      <c r="C3412" s="360"/>
      <c r="D3412" s="327">
        <f>IF($B3412="","",COUNTIF($B$6:$B3412,$B3412))</f>
        <v>9</v>
      </c>
      <c r="E3412" s="361" t="s">
        <v>3773</v>
      </c>
      <c r="F3412" s="362" t="s">
        <v>3781</v>
      </c>
      <c r="G3412" s="327" t="s">
        <v>3789</v>
      </c>
      <c r="H3412" s="361" t="s">
        <v>3790</v>
      </c>
      <c r="I3412" s="327">
        <v>2</v>
      </c>
      <c r="J3412" s="361"/>
      <c r="K3412" s="327"/>
      <c r="L3412" s="389">
        <v>57321</v>
      </c>
      <c r="M3412" s="355"/>
      <c r="N3412" s="355" t="str">
        <f t="shared" si="324"/>
        <v>PK</v>
      </c>
      <c r="O3412" s="345"/>
      <c r="P3412" s="392"/>
      <c r="Q3412" s="327"/>
      <c r="R3412" s="351"/>
      <c r="S3412" s="351"/>
      <c r="T3412" s="351"/>
      <c r="U3412" s="329" t="str">
        <f>IF($N3412=$N$4,IFERROR(INDEX(DanhMuc!$E$154:$E$165,MATCH(MID($B3412,4,2),DanhMuc!$B$154:$B$165,0)),""),"")</f>
        <v/>
      </c>
      <c r="V3412" s="361"/>
      <c r="W3412" s="345"/>
      <c r="X3412" s="329" t="s">
        <v>2866</v>
      </c>
      <c r="Y3412" s="1128" t="s">
        <v>3380</v>
      </c>
      <c r="Z3412" s="1128" t="s">
        <v>3381</v>
      </c>
      <c r="AA3412" s="1128" t="s">
        <v>3384</v>
      </c>
      <c r="AB3412" s="20"/>
      <c r="AC3412" s="73"/>
    </row>
    <row r="3413" spans="1:29">
      <c r="A3413" s="327" t="str">
        <f>IF(AND($B3413&lt;&gt;"",$C3413&lt;&gt;""),MAX($A$1556:A3388)+1,"")</f>
        <v/>
      </c>
      <c r="B3413" s="361" t="s">
        <v>3848</v>
      </c>
      <c r="C3413" s="360"/>
      <c r="D3413" s="327">
        <f>IF($B3413="","",COUNTIF($B$6:$B3413,$B3413))</f>
        <v>10</v>
      </c>
      <c r="E3413" s="361" t="s">
        <v>3849</v>
      </c>
      <c r="F3413" s="362" t="s">
        <v>3797</v>
      </c>
      <c r="G3413" s="327" t="s">
        <v>3789</v>
      </c>
      <c r="H3413" s="361" t="s">
        <v>3790</v>
      </c>
      <c r="I3413" s="327">
        <v>1</v>
      </c>
      <c r="J3413" s="361"/>
      <c r="K3413" s="327"/>
      <c r="L3413" s="389">
        <v>90112</v>
      </c>
      <c r="M3413" s="355"/>
      <c r="N3413" s="355" t="str">
        <f t="shared" si="324"/>
        <v>PK</v>
      </c>
      <c r="O3413" s="345"/>
      <c r="P3413" s="392"/>
      <c r="Q3413" s="327"/>
      <c r="R3413" s="351"/>
      <c r="S3413" s="351"/>
      <c r="T3413" s="351"/>
      <c r="U3413" s="329" t="str">
        <f>IF($N3413=$N$4,IFERROR(INDEX(DanhMuc!$E$154:$E$165,MATCH(MID($B3413,4,2),DanhMuc!$B$154:$B$165,0)),""),"")</f>
        <v/>
      </c>
      <c r="V3413" s="361"/>
      <c r="W3413" s="345"/>
      <c r="X3413" s="329" t="s">
        <v>2866</v>
      </c>
      <c r="Y3413" s="1128" t="s">
        <v>3380</v>
      </c>
      <c r="Z3413" s="1128" t="s">
        <v>3381</v>
      </c>
      <c r="AA3413" s="1128" t="s">
        <v>3384</v>
      </c>
      <c r="AB3413" s="20"/>
      <c r="AC3413" s="73"/>
    </row>
    <row r="3414" spans="1:29">
      <c r="A3414" s="327" t="str">
        <f>IF(AND($B3414&lt;&gt;"",$C3414&lt;&gt;""),MAX($A$1556:A3389)+1,"")</f>
        <v/>
      </c>
      <c r="B3414" s="361" t="s">
        <v>3848</v>
      </c>
      <c r="C3414" s="360"/>
      <c r="D3414" s="327">
        <f>IF($B3414="","",COUNTIF($B$6:$B3414,$B3414))</f>
        <v>11</v>
      </c>
      <c r="E3414" s="361" t="s">
        <v>3837</v>
      </c>
      <c r="F3414" s="362" t="s">
        <v>3845</v>
      </c>
      <c r="G3414" s="327" t="s">
        <v>3789</v>
      </c>
      <c r="H3414" s="361" t="s">
        <v>3790</v>
      </c>
      <c r="I3414" s="327">
        <v>1</v>
      </c>
      <c r="J3414" s="361"/>
      <c r="K3414" s="327"/>
      <c r="L3414" s="389">
        <v>410799</v>
      </c>
      <c r="M3414" s="355"/>
      <c r="N3414" s="355" t="str">
        <f t="shared" si="324"/>
        <v>PK</v>
      </c>
      <c r="O3414" s="345"/>
      <c r="P3414" s="392"/>
      <c r="Q3414" s="327"/>
      <c r="R3414" s="351"/>
      <c r="S3414" s="351"/>
      <c r="T3414" s="351"/>
      <c r="U3414" s="329" t="str">
        <f>IF($N3414=$N$4,IFERROR(INDEX(DanhMuc!$E$154:$E$165,MATCH(MID($B3414,4,2),DanhMuc!$B$154:$B$165,0)),""),"")</f>
        <v/>
      </c>
      <c r="V3414" s="361"/>
      <c r="W3414" s="345"/>
      <c r="X3414" s="329" t="s">
        <v>2866</v>
      </c>
      <c r="Y3414" s="1128" t="s">
        <v>3380</v>
      </c>
      <c r="Z3414" s="1128" t="s">
        <v>3381</v>
      </c>
      <c r="AA3414" s="1128" t="s">
        <v>3384</v>
      </c>
      <c r="AB3414" s="20"/>
      <c r="AC3414" s="73"/>
    </row>
    <row r="3415" spans="1:29">
      <c r="A3415" s="327" t="str">
        <f>IF(AND($B3415&lt;&gt;"",$C3415&lt;&gt;""),MAX($A$1556:A3390)+1,"")</f>
        <v/>
      </c>
      <c r="B3415" s="361" t="s">
        <v>3848</v>
      </c>
      <c r="C3415" s="360"/>
      <c r="D3415" s="327">
        <f>IF($B3415="","",COUNTIF($B$6:$B3415,$B3415))</f>
        <v>12</v>
      </c>
      <c r="E3415" s="361" t="s">
        <v>3778</v>
      </c>
      <c r="F3415" s="362" t="s">
        <v>3850</v>
      </c>
      <c r="G3415" s="327" t="s">
        <v>3789</v>
      </c>
      <c r="H3415" s="361" t="s">
        <v>2111</v>
      </c>
      <c r="I3415" s="327">
        <v>2</v>
      </c>
      <c r="J3415" s="361"/>
      <c r="K3415" s="327"/>
      <c r="L3415" s="389">
        <v>13377</v>
      </c>
      <c r="M3415" s="355"/>
      <c r="N3415" s="355" t="str">
        <f t="shared" si="324"/>
        <v>PK</v>
      </c>
      <c r="O3415" s="345"/>
      <c r="P3415" s="392"/>
      <c r="Q3415" s="327"/>
      <c r="R3415" s="351"/>
      <c r="S3415" s="351"/>
      <c r="T3415" s="351"/>
      <c r="U3415" s="329" t="str">
        <f>IF($N3415=$N$4,IFERROR(INDEX(DanhMuc!$E$154:$E$165,MATCH(MID($B3415,4,2),DanhMuc!$B$154:$B$165,0)),""),"")</f>
        <v/>
      </c>
      <c r="V3415" s="361"/>
      <c r="W3415" s="345"/>
      <c r="X3415" s="329" t="s">
        <v>2866</v>
      </c>
      <c r="Y3415" s="1128" t="s">
        <v>3380</v>
      </c>
      <c r="Z3415" s="1128" t="s">
        <v>3381</v>
      </c>
      <c r="AA3415" s="1128" t="s">
        <v>3384</v>
      </c>
      <c r="AB3415" s="20"/>
      <c r="AC3415" s="73"/>
    </row>
    <row r="3416" spans="1:29">
      <c r="A3416" s="327" t="str">
        <f>IF(AND($B3416&lt;&gt;"",$C3416&lt;&gt;""),MAX($A$1556:A3391)+1,"")</f>
        <v/>
      </c>
      <c r="B3416" s="361" t="s">
        <v>3848</v>
      </c>
      <c r="C3416" s="360"/>
      <c r="D3416" s="327">
        <f>IF($B3416="","",COUNTIF($B$6:$B3416,$B3416))</f>
        <v>13</v>
      </c>
      <c r="E3416" s="361" t="s">
        <v>3802</v>
      </c>
      <c r="F3416" s="362" t="s">
        <v>3788</v>
      </c>
      <c r="G3416" s="327" t="s">
        <v>3789</v>
      </c>
      <c r="H3416" s="361" t="s">
        <v>2111</v>
      </c>
      <c r="I3416" s="327">
        <v>4</v>
      </c>
      <c r="J3416" s="361"/>
      <c r="K3416" s="327"/>
      <c r="L3416" s="389">
        <v>13377</v>
      </c>
      <c r="M3416" s="355"/>
      <c r="N3416" s="355" t="str">
        <f t="shared" si="324"/>
        <v>PK</v>
      </c>
      <c r="O3416" s="345"/>
      <c r="P3416" s="392"/>
      <c r="Q3416" s="327"/>
      <c r="R3416" s="351"/>
      <c r="S3416" s="351"/>
      <c r="T3416" s="351"/>
      <c r="U3416" s="329" t="str">
        <f>IF($N3416=$N$4,IFERROR(INDEX(DanhMuc!$E$154:$E$165,MATCH(MID($B3416,4,2),DanhMuc!$B$154:$B$165,0)),""),"")</f>
        <v/>
      </c>
      <c r="V3416" s="361"/>
      <c r="W3416" s="345"/>
      <c r="X3416" s="329" t="s">
        <v>2866</v>
      </c>
      <c r="Y3416" s="1128" t="s">
        <v>3380</v>
      </c>
      <c r="Z3416" s="1128" t="s">
        <v>3381</v>
      </c>
      <c r="AA3416" s="1128" t="s">
        <v>3384</v>
      </c>
      <c r="AB3416" s="20"/>
      <c r="AC3416" s="73"/>
    </row>
    <row r="3417" spans="1:29">
      <c r="A3417" s="327" t="str">
        <f>IF(AND($B3417&lt;&gt;"",$C3417&lt;&gt;""),MAX($A$1556:A3392)+1,"")</f>
        <v/>
      </c>
      <c r="B3417" s="359"/>
      <c r="C3417" s="360"/>
      <c r="D3417" s="327" t="str">
        <f>IF($B3417="","",COUNTIF($B$6:$B3417,$B3417))</f>
        <v/>
      </c>
      <c r="E3417" s="361"/>
      <c r="F3417" s="362"/>
      <c r="G3417" s="327"/>
      <c r="H3417" s="327"/>
      <c r="I3417" s="327"/>
      <c r="J3417" s="361"/>
      <c r="K3417" s="327"/>
      <c r="L3417" s="389"/>
      <c r="M3417" s="371"/>
      <c r="N3417" s="355" t="str">
        <f t="shared" si="323"/>
        <v>PK</v>
      </c>
      <c r="O3417" s="345"/>
      <c r="P3417" s="392"/>
      <c r="Q3417" s="327"/>
      <c r="R3417" s="351"/>
      <c r="S3417" s="351"/>
      <c r="T3417" s="351"/>
      <c r="U3417" s="329" t="str">
        <f>IF($N3417=$N$4,IFERROR(INDEX(DanhMuc!$E$154:$E$165,MATCH(MID($B3417,4,2),DanhMuc!$B$154:$B$165,0)),""),"")</f>
        <v/>
      </c>
      <c r="V3417" s="361"/>
      <c r="W3417" s="345"/>
      <c r="X3417" s="329" t="str">
        <f t="shared" si="320"/>
        <v/>
      </c>
      <c r="Y3417" s="1128" t="s">
        <v>3380</v>
      </c>
      <c r="Z3417" s="1128" t="s">
        <v>3381</v>
      </c>
      <c r="AA3417" s="1128" t="s">
        <v>3384</v>
      </c>
      <c r="AB3417" s="20"/>
      <c r="AC3417" s="73"/>
    </row>
    <row r="3418" spans="1:29">
      <c r="A3418" s="327" t="str">
        <f>IF(AND($B3418&lt;&gt;"",$C3418&lt;&gt;""),MAX($A$1556:A3393)+1,"")</f>
        <v/>
      </c>
      <c r="B3418" s="359"/>
      <c r="C3418" s="360"/>
      <c r="D3418" s="327" t="str">
        <f>IF($B3418="","",COUNTIF($B$6:$B3418,$B3418))</f>
        <v/>
      </c>
      <c r="E3418" s="361"/>
      <c r="F3418" s="362"/>
      <c r="G3418" s="327"/>
      <c r="H3418" s="361"/>
      <c r="I3418" s="327"/>
      <c r="J3418" s="361"/>
      <c r="K3418" s="327"/>
      <c r="L3418" s="389"/>
      <c r="M3418" s="371"/>
      <c r="N3418" s="355" t="str">
        <f t="shared" si="323"/>
        <v>PK</v>
      </c>
      <c r="O3418" s="345"/>
      <c r="P3418" s="361"/>
      <c r="Q3418" s="327"/>
      <c r="R3418" s="351"/>
      <c r="S3418" s="351"/>
      <c r="T3418" s="351"/>
      <c r="U3418" s="329" t="str">
        <f>IF($N3418=$N$4,IFERROR(INDEX(DanhMuc!$E$154:$E$165,MATCH(MID($B3418,4,2),DanhMuc!$B$154:$B$165,0)),""),"")</f>
        <v/>
      </c>
      <c r="V3418" s="361"/>
      <c r="W3418" s="345"/>
      <c r="X3418" s="329" t="str">
        <f t="shared" si="283"/>
        <v/>
      </c>
      <c r="Y3418" s="1128" t="s">
        <v>3380</v>
      </c>
      <c r="Z3418" s="1128" t="s">
        <v>3381</v>
      </c>
      <c r="AA3418" s="1128" t="s">
        <v>3384</v>
      </c>
      <c r="AB3418" s="20"/>
      <c r="AC3418" s="73"/>
    </row>
    <row r="3419" spans="1:29" s="21" customFormat="1">
      <c r="A3419" s="327">
        <f>IF(AND($B3419&lt;&gt;"",$C3419&lt;&gt;""),MAX($A$1556:A3394)+1,"")</f>
        <v>171</v>
      </c>
      <c r="B3419" s="394" t="s">
        <v>236</v>
      </c>
      <c r="C3419" s="395" t="s">
        <v>236</v>
      </c>
      <c r="D3419" s="396"/>
      <c r="E3419" s="396"/>
      <c r="F3419" s="397"/>
      <c r="G3419" s="396"/>
      <c r="H3419" s="396"/>
      <c r="I3419" s="396"/>
      <c r="J3419" s="396"/>
      <c r="K3419" s="396"/>
      <c r="L3419" s="396"/>
      <c r="M3419" s="371"/>
      <c r="N3419" s="355" t="str">
        <f t="shared" si="323"/>
        <v>PK</v>
      </c>
      <c r="O3419" s="394"/>
      <c r="P3419" s="351"/>
      <c r="Q3419" s="327"/>
      <c r="R3419" s="351"/>
      <c r="S3419" s="351"/>
      <c r="T3419" s="351"/>
      <c r="U3419" s="329" t="str">
        <f>IF($N3419=$N$4,IFERROR(INDEX(DanhMuc!$E$154:$E$165,MATCH(MID($B3419,4,2),DanhMuc!$B$154:$B$165,0)),""),"")</f>
        <v/>
      </c>
      <c r="V3419" s="351"/>
      <c r="W3419" s="345"/>
      <c r="X3419" s="329" t="str">
        <f t="shared" si="283"/>
        <v/>
      </c>
      <c r="Y3419" s="1128" t="s">
        <v>3380</v>
      </c>
      <c r="Z3419" s="1128" t="s">
        <v>3381</v>
      </c>
      <c r="AA3419" s="1128" t="s">
        <v>3384</v>
      </c>
      <c r="AB3419" s="20"/>
      <c r="AC3419" s="73"/>
    </row>
    <row r="3420" spans="1:29" ht="26">
      <c r="A3420" s="327">
        <f>IF(AND($B3420&lt;&gt;"",$C3420&lt;&gt;""),MAX($A$1556:A3395)+1,"")</f>
        <v>171</v>
      </c>
      <c r="B3420" s="359" t="s">
        <v>2009</v>
      </c>
      <c r="C3420" s="370" t="s">
        <v>1558</v>
      </c>
      <c r="D3420" s="327">
        <f>IF($B3420="","",COUNTIF($B$6:$B3420,$B3420))</f>
        <v>1</v>
      </c>
      <c r="E3420" s="416" t="s">
        <v>957</v>
      </c>
      <c r="F3420" s="417" t="s">
        <v>1104</v>
      </c>
      <c r="G3420" s="418" t="s">
        <v>297</v>
      </c>
      <c r="H3420" s="419"/>
      <c r="I3420" s="418">
        <v>1</v>
      </c>
      <c r="J3420" s="419"/>
      <c r="K3420" s="418"/>
      <c r="L3420" s="420">
        <v>1</v>
      </c>
      <c r="M3420" s="371"/>
      <c r="N3420" s="355" t="str">
        <f t="shared" si="323"/>
        <v>PK</v>
      </c>
      <c r="O3420" s="404" t="s">
        <v>1626</v>
      </c>
      <c r="P3420" s="392"/>
      <c r="Q3420" s="327"/>
      <c r="R3420" s="351"/>
      <c r="S3420" s="351"/>
      <c r="T3420" s="351"/>
      <c r="U3420" s="329" t="str">
        <f>IF($N3420=$N$4,IFERROR(INDEX(DanhMuc!$E$154:$E$165,MATCH(MID($B3420,4,2),DanhMuc!$B$154:$B$165,0)),""),"")</f>
        <v/>
      </c>
      <c r="V3420" s="361"/>
      <c r="W3420" s="345"/>
      <c r="X3420" s="329" t="str">
        <f t="shared" si="283"/>
        <v>GQ</v>
      </c>
      <c r="Y3420" s="1128" t="s">
        <v>3380</v>
      </c>
      <c r="Z3420" s="1128" t="s">
        <v>3381</v>
      </c>
      <c r="AA3420" s="1128" t="s">
        <v>3384</v>
      </c>
      <c r="AB3420" s="20"/>
      <c r="AC3420" s="73"/>
    </row>
    <row r="3421" spans="1:29">
      <c r="A3421" s="327" t="str">
        <f>IF(AND($B3421&lt;&gt;"",$C3421&lt;&gt;""),MAX($A$1556:A3396)+1,"")</f>
        <v/>
      </c>
      <c r="B3421" s="361" t="s">
        <v>2009</v>
      </c>
      <c r="C3421" s="360"/>
      <c r="D3421" s="327">
        <f>IF($B3421="","",COUNTIF($B$6:$B3421,$B3421))</f>
        <v>2</v>
      </c>
      <c r="E3421" s="419" t="s">
        <v>430</v>
      </c>
      <c r="F3421" s="417" t="s">
        <v>428</v>
      </c>
      <c r="G3421" s="418" t="s">
        <v>344</v>
      </c>
      <c r="H3421" s="419"/>
      <c r="I3421" s="418">
        <v>1</v>
      </c>
      <c r="J3421" s="421"/>
      <c r="K3421" s="418"/>
      <c r="L3421" s="420">
        <v>265000</v>
      </c>
      <c r="M3421" s="371"/>
      <c r="N3421" s="355" t="str">
        <f t="shared" si="323"/>
        <v>PK</v>
      </c>
      <c r="O3421" s="404" t="s">
        <v>1626</v>
      </c>
      <c r="P3421" s="392"/>
      <c r="Q3421" s="327"/>
      <c r="R3421" s="351"/>
      <c r="S3421" s="351"/>
      <c r="T3421" s="351"/>
      <c r="U3421" s="329" t="str">
        <f>IF($N3421=$N$4,IFERROR(INDEX(DanhMuc!$E$154:$E$165,MATCH(MID($B3421,4,2),DanhMuc!$B$154:$B$165,0)),""),"")</f>
        <v/>
      </c>
      <c r="V3421" s="361"/>
      <c r="W3421" s="345"/>
      <c r="X3421" s="329" t="str">
        <f t="shared" si="283"/>
        <v>GQ</v>
      </c>
      <c r="Y3421" s="1128" t="s">
        <v>3380</v>
      </c>
      <c r="Z3421" s="1128" t="s">
        <v>3381</v>
      </c>
      <c r="AA3421" s="1128" t="s">
        <v>3384</v>
      </c>
      <c r="AB3421" s="20"/>
      <c r="AC3421" s="73"/>
    </row>
    <row r="3422" spans="1:29">
      <c r="A3422" s="327" t="str">
        <f>IF(AND($B3422&lt;&gt;"",$C3422&lt;&gt;""),MAX($A$1556:A3397)+1,"")</f>
        <v/>
      </c>
      <c r="B3422" s="361" t="s">
        <v>2009</v>
      </c>
      <c r="C3422" s="360"/>
      <c r="D3422" s="327">
        <f>IF($B3422="","",COUNTIF($B$6:$B3422,$B3422))</f>
        <v>3</v>
      </c>
      <c r="E3422" s="419" t="s">
        <v>958</v>
      </c>
      <c r="F3422" s="417" t="s">
        <v>959</v>
      </c>
      <c r="G3422" s="418" t="s">
        <v>155</v>
      </c>
      <c r="H3422" s="419"/>
      <c r="I3422" s="418">
        <v>1</v>
      </c>
      <c r="J3422" s="421"/>
      <c r="K3422" s="418"/>
      <c r="L3422" s="420">
        <v>1</v>
      </c>
      <c r="M3422" s="371"/>
      <c r="N3422" s="355" t="str">
        <f t="shared" si="323"/>
        <v>PK</v>
      </c>
      <c r="O3422" s="404" t="s">
        <v>1629</v>
      </c>
      <c r="P3422" s="392"/>
      <c r="Q3422" s="327"/>
      <c r="R3422" s="351"/>
      <c r="S3422" s="351"/>
      <c r="T3422" s="351"/>
      <c r="U3422" s="329" t="str">
        <f>IF($N3422=$N$4,IFERROR(INDEX(DanhMuc!$E$154:$E$165,MATCH(MID($B3422,4,2),DanhMuc!$B$154:$B$165,0)),""),"")</f>
        <v/>
      </c>
      <c r="V3422" s="361"/>
      <c r="W3422" s="345"/>
      <c r="X3422" s="329" t="str">
        <f t="shared" si="283"/>
        <v>GQ</v>
      </c>
      <c r="Y3422" s="1128" t="s">
        <v>3380</v>
      </c>
      <c r="Z3422" s="1128" t="s">
        <v>3381</v>
      </c>
      <c r="AA3422" s="1128" t="s">
        <v>3384</v>
      </c>
      <c r="AB3422" s="20"/>
      <c r="AC3422" s="73"/>
    </row>
    <row r="3423" spans="1:29">
      <c r="A3423" s="327" t="str">
        <f>IF(AND($B3423&lt;&gt;"",$C3423&lt;&gt;""),MAX($A$1556:A3398)+1,"")</f>
        <v/>
      </c>
      <c r="B3423" s="361" t="s">
        <v>2009</v>
      </c>
      <c r="C3423" s="360"/>
      <c r="D3423" s="327">
        <f>IF($B3423="","",COUNTIF($B$6:$B3423,$B3423))</f>
        <v>4</v>
      </c>
      <c r="E3423" s="419" t="s">
        <v>960</v>
      </c>
      <c r="F3423" s="417" t="s">
        <v>961</v>
      </c>
      <c r="G3423" s="418" t="s">
        <v>155</v>
      </c>
      <c r="H3423" s="419"/>
      <c r="I3423" s="418">
        <v>1</v>
      </c>
      <c r="J3423" s="421"/>
      <c r="K3423" s="418"/>
      <c r="L3423" s="420">
        <v>1</v>
      </c>
      <c r="M3423" s="371"/>
      <c r="N3423" s="355" t="str">
        <f t="shared" si="323"/>
        <v>PK</v>
      </c>
      <c r="O3423" s="404" t="s">
        <v>1630</v>
      </c>
      <c r="P3423" s="392"/>
      <c r="Q3423" s="327"/>
      <c r="R3423" s="351"/>
      <c r="S3423" s="351"/>
      <c r="T3423" s="351"/>
      <c r="U3423" s="329" t="str">
        <f>IF($N3423=$N$4,IFERROR(INDEX(DanhMuc!$E$154:$E$165,MATCH(MID($B3423,4,2),DanhMuc!$B$154:$B$165,0)),""),"")</f>
        <v/>
      </c>
      <c r="V3423" s="361"/>
      <c r="W3423" s="345"/>
      <c r="X3423" s="329" t="str">
        <f t="shared" si="283"/>
        <v>GQ</v>
      </c>
      <c r="Y3423" s="1128" t="s">
        <v>3380</v>
      </c>
      <c r="Z3423" s="1128" t="s">
        <v>3381</v>
      </c>
      <c r="AA3423" s="1128" t="s">
        <v>3384</v>
      </c>
      <c r="AB3423" s="20"/>
      <c r="AC3423" s="73"/>
    </row>
    <row r="3424" spans="1:29">
      <c r="A3424" s="327" t="str">
        <f>IF(AND($B3424&lt;&gt;"",$C3424&lt;&gt;""),MAX($A$1556:A3399)+1,"")</f>
        <v/>
      </c>
      <c r="B3424" s="361" t="s">
        <v>2009</v>
      </c>
      <c r="C3424" s="360"/>
      <c r="D3424" s="327">
        <f>IF($B3424="","",COUNTIF($B$6:$B3424,$B3424))</f>
        <v>5</v>
      </c>
      <c r="E3424" s="419" t="s">
        <v>431</v>
      </c>
      <c r="F3424" s="417" t="s">
        <v>965</v>
      </c>
      <c r="G3424" s="418" t="s">
        <v>155</v>
      </c>
      <c r="H3424" s="419"/>
      <c r="I3424" s="418">
        <v>1</v>
      </c>
      <c r="J3424" s="421"/>
      <c r="K3424" s="418"/>
      <c r="L3424" s="420">
        <v>1</v>
      </c>
      <c r="M3424" s="371"/>
      <c r="N3424" s="355" t="str">
        <f t="shared" si="323"/>
        <v>PK</v>
      </c>
      <c r="O3424" s="404" t="s">
        <v>2704</v>
      </c>
      <c r="P3424" s="392"/>
      <c r="Q3424" s="327"/>
      <c r="R3424" s="351"/>
      <c r="S3424" s="351"/>
      <c r="T3424" s="351"/>
      <c r="U3424" s="329" t="str">
        <f>IF($N3424=$N$4,IFERROR(INDEX(DanhMuc!$E$154:$E$165,MATCH(MID($B3424,4,2),DanhMuc!$B$154:$B$165,0)),""),"")</f>
        <v/>
      </c>
      <c r="V3424" s="361"/>
      <c r="W3424" s="345"/>
      <c r="X3424" s="329" t="str">
        <f t="shared" si="283"/>
        <v>GQ</v>
      </c>
      <c r="Y3424" s="1128" t="s">
        <v>3380</v>
      </c>
      <c r="Z3424" s="1128" t="s">
        <v>3381</v>
      </c>
      <c r="AA3424" s="1128" t="s">
        <v>3384</v>
      </c>
      <c r="AB3424" s="20"/>
      <c r="AC3424" s="73"/>
    </row>
    <row r="3425" spans="1:29">
      <c r="A3425" s="327" t="str">
        <f>IF(AND($B3425&lt;&gt;"",$C3425&lt;&gt;""),MAX($A$1556:A3400)+1,"")</f>
        <v/>
      </c>
      <c r="B3425" s="361" t="s">
        <v>2009</v>
      </c>
      <c r="C3425" s="360"/>
      <c r="D3425" s="327">
        <f>IF($B3425="","",COUNTIF($B$6:$B3425,$B3425))</f>
        <v>6</v>
      </c>
      <c r="E3425" s="419" t="s">
        <v>964</v>
      </c>
      <c r="F3425" s="422" t="s">
        <v>966</v>
      </c>
      <c r="G3425" s="418" t="s">
        <v>155</v>
      </c>
      <c r="H3425" s="419"/>
      <c r="I3425" s="418">
        <v>1</v>
      </c>
      <c r="J3425" s="421"/>
      <c r="K3425" s="418"/>
      <c r="L3425" s="420">
        <v>1</v>
      </c>
      <c r="M3425" s="371"/>
      <c r="N3425" s="355" t="str">
        <f t="shared" si="323"/>
        <v>PK</v>
      </c>
      <c r="O3425" s="404" t="s">
        <v>1622</v>
      </c>
      <c r="P3425" s="392"/>
      <c r="Q3425" s="327"/>
      <c r="R3425" s="351"/>
      <c r="S3425" s="351"/>
      <c r="T3425" s="351"/>
      <c r="U3425" s="329" t="str">
        <f>IF($N3425=$N$4,IFERROR(INDEX(DanhMuc!$E$154:$E$165,MATCH(MID($B3425,4,2),DanhMuc!$B$154:$B$165,0)),""),"")</f>
        <v/>
      </c>
      <c r="V3425" s="361"/>
      <c r="W3425" s="345"/>
      <c r="X3425" s="329" t="str">
        <f t="shared" si="283"/>
        <v>GQ</v>
      </c>
      <c r="Y3425" s="1128" t="s">
        <v>3380</v>
      </c>
      <c r="Z3425" s="1128" t="s">
        <v>3381</v>
      </c>
      <c r="AA3425" s="1128" t="s">
        <v>3384</v>
      </c>
      <c r="AB3425" s="20"/>
      <c r="AC3425" s="73"/>
    </row>
    <row r="3426" spans="1:29">
      <c r="A3426" s="327" t="str">
        <f>IF(AND($B3426&lt;&gt;"",$C3426&lt;&gt;""),MAX($A$1556:A3401)+1,"")</f>
        <v/>
      </c>
      <c r="B3426" s="361" t="s">
        <v>2009</v>
      </c>
      <c r="C3426" s="360"/>
      <c r="D3426" s="327">
        <f>IF($B3426="","",COUNTIF($B$6:$B3426,$B3426))</f>
        <v>7</v>
      </c>
      <c r="E3426" s="423" t="s">
        <v>1105</v>
      </c>
      <c r="F3426" s="424" t="s">
        <v>1106</v>
      </c>
      <c r="G3426" s="425" t="s">
        <v>297</v>
      </c>
      <c r="H3426" s="426"/>
      <c r="I3426" s="425">
        <v>1</v>
      </c>
      <c r="J3426" s="427"/>
      <c r="K3426" s="425"/>
      <c r="L3426" s="428">
        <v>1</v>
      </c>
      <c r="M3426" s="371"/>
      <c r="N3426" s="355" t="str">
        <f t="shared" si="323"/>
        <v>PK</v>
      </c>
      <c r="O3426" s="404" t="s">
        <v>1623</v>
      </c>
      <c r="P3426" s="392"/>
      <c r="Q3426" s="327"/>
      <c r="R3426" s="351"/>
      <c r="S3426" s="351"/>
      <c r="T3426" s="351"/>
      <c r="U3426" s="329" t="str">
        <f>IF($N3426=$N$4,IFERROR(INDEX(DanhMuc!$E$154:$E$165,MATCH(MID($B3426,4,2),DanhMuc!$B$154:$B$165,0)),""),"")</f>
        <v/>
      </c>
      <c r="V3426" s="361"/>
      <c r="W3426" s="345"/>
      <c r="X3426" s="329" t="str">
        <f t="shared" si="283"/>
        <v>GQ</v>
      </c>
      <c r="Y3426" s="1128" t="s">
        <v>3380</v>
      </c>
      <c r="Z3426" s="1128" t="s">
        <v>3381</v>
      </c>
      <c r="AA3426" s="1128" t="s">
        <v>3384</v>
      </c>
      <c r="AB3426" s="20"/>
      <c r="AC3426" s="73"/>
    </row>
    <row r="3427" spans="1:29">
      <c r="A3427" s="327" t="str">
        <f>IF(AND($B3427&lt;&gt;"",$C3427&lt;&gt;""),MAX($A$1556:A3402)+1,"")</f>
        <v/>
      </c>
      <c r="B3427" s="361" t="s">
        <v>2009</v>
      </c>
      <c r="C3427" s="360"/>
      <c r="D3427" s="327">
        <f>IF($B3427="","",COUNTIF($B$6:$B3427,$B3427))</f>
        <v>8</v>
      </c>
      <c r="E3427" s="423" t="s">
        <v>432</v>
      </c>
      <c r="F3427" s="424" t="s">
        <v>434</v>
      </c>
      <c r="G3427" s="425" t="s">
        <v>344</v>
      </c>
      <c r="H3427" s="426"/>
      <c r="I3427" s="423" t="s">
        <v>1332</v>
      </c>
      <c r="J3427" s="427"/>
      <c r="K3427" s="425"/>
      <c r="L3427" s="428">
        <v>510000</v>
      </c>
      <c r="M3427" s="371"/>
      <c r="N3427" s="355" t="str">
        <f t="shared" si="323"/>
        <v>PK</v>
      </c>
      <c r="O3427" s="404" t="s">
        <v>1623</v>
      </c>
      <c r="P3427" s="392"/>
      <c r="Q3427" s="327"/>
      <c r="R3427" s="351"/>
      <c r="S3427" s="351"/>
      <c r="T3427" s="351"/>
      <c r="U3427" s="329" t="str">
        <f>IF($N3427=$N$4,IFERROR(INDEX(DanhMuc!$E$154:$E$165,MATCH(MID($B3427,4,2),DanhMuc!$B$154:$B$165,0)),""),"")</f>
        <v/>
      </c>
      <c r="V3427" s="361"/>
      <c r="W3427" s="345"/>
      <c r="X3427" s="329" t="str">
        <f t="shared" si="283"/>
        <v>GQ</v>
      </c>
      <c r="Y3427" s="1128" t="s">
        <v>3380</v>
      </c>
      <c r="Z3427" s="1128" t="s">
        <v>3381</v>
      </c>
      <c r="AA3427" s="1128" t="s">
        <v>3384</v>
      </c>
      <c r="AB3427" s="20"/>
      <c r="AC3427" s="73"/>
    </row>
    <row r="3428" spans="1:29">
      <c r="A3428" s="327" t="str">
        <f>IF(AND($B3428&lt;&gt;"",$C3428&lt;&gt;""),MAX($A$1556:A3403)+1,"")</f>
        <v/>
      </c>
      <c r="B3428" s="361" t="s">
        <v>2009</v>
      </c>
      <c r="C3428" s="360"/>
      <c r="D3428" s="327">
        <f>IF($B3428="","",COUNTIF($B$6:$B3428,$B3428))</f>
        <v>9</v>
      </c>
      <c r="E3428" s="423" t="s">
        <v>1107</v>
      </c>
      <c r="F3428" s="424" t="s">
        <v>1077</v>
      </c>
      <c r="G3428" s="425" t="s">
        <v>344</v>
      </c>
      <c r="H3428" s="426"/>
      <c r="I3428" s="423" t="s">
        <v>1334</v>
      </c>
      <c r="J3428" s="427"/>
      <c r="K3428" s="425"/>
      <c r="L3428" s="428">
        <v>548000</v>
      </c>
      <c r="M3428" s="371"/>
      <c r="N3428" s="355" t="str">
        <f t="shared" si="323"/>
        <v>PK</v>
      </c>
      <c r="O3428" s="404" t="s">
        <v>1623</v>
      </c>
      <c r="P3428" s="392"/>
      <c r="Q3428" s="327"/>
      <c r="R3428" s="351"/>
      <c r="S3428" s="351"/>
      <c r="T3428" s="351"/>
      <c r="U3428" s="329" t="str">
        <f>IF($N3428=$N$4,IFERROR(INDEX(DanhMuc!$E$154:$E$165,MATCH(MID($B3428,4,2),DanhMuc!$B$154:$B$165,0)),""),"")</f>
        <v/>
      </c>
      <c r="V3428" s="361"/>
      <c r="W3428" s="345"/>
      <c r="X3428" s="329" t="str">
        <f t="shared" si="283"/>
        <v>GQ</v>
      </c>
      <c r="Y3428" s="1128" t="s">
        <v>3380</v>
      </c>
      <c r="Z3428" s="1128" t="s">
        <v>3381</v>
      </c>
      <c r="AA3428" s="1128" t="s">
        <v>3384</v>
      </c>
      <c r="AB3428" s="20"/>
      <c r="AC3428" s="73"/>
    </row>
    <row r="3429" spans="1:29">
      <c r="A3429" s="327" t="str">
        <f>IF(AND($B3429&lt;&gt;"",$C3429&lt;&gt;""),MAX($A$1556:A3404)+1,"")</f>
        <v/>
      </c>
      <c r="B3429" s="361" t="s">
        <v>2009</v>
      </c>
      <c r="C3429" s="360"/>
      <c r="D3429" s="327">
        <f>IF($B3429="","",COUNTIF($B$6:$B3429,$B3429))</f>
        <v>10</v>
      </c>
      <c r="E3429" s="426" t="s">
        <v>958</v>
      </c>
      <c r="F3429" s="429" t="s">
        <v>959</v>
      </c>
      <c r="G3429" s="425" t="s">
        <v>155</v>
      </c>
      <c r="H3429" s="426"/>
      <c r="I3429" s="425">
        <v>1</v>
      </c>
      <c r="J3429" s="427"/>
      <c r="K3429" s="425"/>
      <c r="L3429" s="428">
        <v>1</v>
      </c>
      <c r="M3429" s="371"/>
      <c r="N3429" s="355" t="str">
        <f t="shared" ref="N3429:N3460" si="325">+$N$1555</f>
        <v>PK</v>
      </c>
      <c r="O3429" s="404" t="s">
        <v>1624</v>
      </c>
      <c r="P3429" s="392"/>
      <c r="Q3429" s="327"/>
      <c r="R3429" s="351"/>
      <c r="S3429" s="351"/>
      <c r="T3429" s="351"/>
      <c r="U3429" s="329" t="str">
        <f>IF($N3429=$N$4,IFERROR(INDEX(DanhMuc!$E$154:$E$165,MATCH(MID($B3429,4,2),DanhMuc!$B$154:$B$165,0)),""),"")</f>
        <v/>
      </c>
      <c r="V3429" s="361"/>
      <c r="W3429" s="345"/>
      <c r="X3429" s="329" t="str">
        <f t="shared" si="283"/>
        <v>GQ</v>
      </c>
      <c r="Y3429" s="1128" t="s">
        <v>3380</v>
      </c>
      <c r="Z3429" s="1128" t="s">
        <v>3381</v>
      </c>
      <c r="AA3429" s="1128" t="s">
        <v>3384</v>
      </c>
      <c r="AB3429" s="20"/>
      <c r="AC3429" s="73"/>
    </row>
    <row r="3430" spans="1:29">
      <c r="A3430" s="327" t="str">
        <f>IF(AND($B3430&lt;&gt;"",$C3430&lt;&gt;""),MAX($A$1556:A3405)+1,"")</f>
        <v/>
      </c>
      <c r="B3430" s="361" t="s">
        <v>2009</v>
      </c>
      <c r="C3430" s="360"/>
      <c r="D3430" s="327">
        <f>IF($B3430="","",COUNTIF($B$6:$B3430,$B3430))</f>
        <v>11</v>
      </c>
      <c r="E3430" s="426" t="s">
        <v>960</v>
      </c>
      <c r="F3430" s="429" t="s">
        <v>961</v>
      </c>
      <c r="G3430" s="425" t="s">
        <v>155</v>
      </c>
      <c r="H3430" s="426"/>
      <c r="I3430" s="425">
        <v>1</v>
      </c>
      <c r="J3430" s="427"/>
      <c r="K3430" s="425"/>
      <c r="L3430" s="428">
        <v>1</v>
      </c>
      <c r="M3430" s="371"/>
      <c r="N3430" s="355" t="str">
        <f t="shared" si="325"/>
        <v>PK</v>
      </c>
      <c r="O3430" s="404" t="s">
        <v>1625</v>
      </c>
      <c r="P3430" s="392"/>
      <c r="Q3430" s="327"/>
      <c r="R3430" s="351"/>
      <c r="S3430" s="351"/>
      <c r="T3430" s="351"/>
      <c r="U3430" s="329" t="str">
        <f>IF($N3430=$N$4,IFERROR(INDEX(DanhMuc!$E$154:$E$165,MATCH(MID($B3430,4,2),DanhMuc!$B$154:$B$165,0)),""),"")</f>
        <v/>
      </c>
      <c r="V3430" s="361"/>
      <c r="W3430" s="345"/>
      <c r="X3430" s="329" t="str">
        <f t="shared" si="283"/>
        <v>GQ</v>
      </c>
      <c r="Y3430" s="1128" t="s">
        <v>3380</v>
      </c>
      <c r="Z3430" s="1128" t="s">
        <v>3381</v>
      </c>
      <c r="AA3430" s="1128" t="s">
        <v>3384</v>
      </c>
      <c r="AB3430" s="20"/>
      <c r="AC3430" s="73"/>
    </row>
    <row r="3431" spans="1:29">
      <c r="A3431" s="327" t="str">
        <f>IF(AND($B3431&lt;&gt;"",$C3431&lt;&gt;""),MAX($A$1556:A3406)+1,"")</f>
        <v/>
      </c>
      <c r="B3431" s="361" t="s">
        <v>2009</v>
      </c>
      <c r="C3431" s="360"/>
      <c r="D3431" s="327">
        <f>IF($B3431="","",COUNTIF($B$6:$B3431,$B3431))</f>
        <v>12</v>
      </c>
      <c r="E3431" s="423" t="s">
        <v>967</v>
      </c>
      <c r="F3431" s="429" t="s">
        <v>968</v>
      </c>
      <c r="G3431" s="425" t="s">
        <v>155</v>
      </c>
      <c r="H3431" s="426"/>
      <c r="I3431" s="425">
        <v>1</v>
      </c>
      <c r="J3431" s="427"/>
      <c r="K3431" s="425"/>
      <c r="L3431" s="428">
        <v>1</v>
      </c>
      <c r="M3431" s="371"/>
      <c r="N3431" s="355" t="str">
        <f t="shared" si="325"/>
        <v>PK</v>
      </c>
      <c r="O3431" s="404" t="s">
        <v>2703</v>
      </c>
      <c r="P3431" s="392"/>
      <c r="Q3431" s="327"/>
      <c r="R3431" s="351"/>
      <c r="S3431" s="351"/>
      <c r="T3431" s="351"/>
      <c r="U3431" s="329" t="str">
        <f>IF($N3431=$N$4,IFERROR(INDEX(DanhMuc!$E$154:$E$165,MATCH(MID($B3431,4,2),DanhMuc!$B$154:$B$165,0)),""),"")</f>
        <v/>
      </c>
      <c r="V3431" s="361"/>
      <c r="W3431" s="345"/>
      <c r="X3431" s="329" t="str">
        <f t="shared" si="283"/>
        <v>GQ</v>
      </c>
      <c r="Y3431" s="1128" t="s">
        <v>3380</v>
      </c>
      <c r="Z3431" s="1128" t="s">
        <v>3381</v>
      </c>
      <c r="AA3431" s="1128" t="s">
        <v>3384</v>
      </c>
      <c r="AB3431" s="20"/>
      <c r="AC3431" s="73"/>
    </row>
    <row r="3432" spans="1:29">
      <c r="A3432" s="327" t="str">
        <f>IF(AND($B3432&lt;&gt;"",$C3432&lt;&gt;""),MAX($A$1556:A3407)+1,"")</f>
        <v/>
      </c>
      <c r="B3432" s="361" t="s">
        <v>2009</v>
      </c>
      <c r="C3432" s="360"/>
      <c r="D3432" s="327">
        <f>IF($B3432="","",COUNTIF($B$6:$B3432,$B3432))</f>
        <v>13</v>
      </c>
      <c r="E3432" s="423" t="s">
        <v>433</v>
      </c>
      <c r="F3432" s="424" t="s">
        <v>429</v>
      </c>
      <c r="G3432" s="425" t="s">
        <v>155</v>
      </c>
      <c r="H3432" s="426"/>
      <c r="I3432" s="425">
        <v>1</v>
      </c>
      <c r="J3432" s="427"/>
      <c r="K3432" s="425"/>
      <c r="L3432" s="428">
        <v>1</v>
      </c>
      <c r="M3432" s="371"/>
      <c r="N3432" s="355" t="str">
        <f t="shared" si="325"/>
        <v>PK</v>
      </c>
      <c r="O3432" s="404" t="s">
        <v>969</v>
      </c>
      <c r="P3432" s="392"/>
      <c r="Q3432" s="327"/>
      <c r="R3432" s="351"/>
      <c r="S3432" s="351"/>
      <c r="T3432" s="351"/>
      <c r="U3432" s="329" t="str">
        <f>IF($N3432=$N$4,IFERROR(INDEX(DanhMuc!$E$154:$E$165,MATCH(MID($B3432,4,2),DanhMuc!$B$154:$B$165,0)),""),"")</f>
        <v/>
      </c>
      <c r="V3432" s="361"/>
      <c r="W3432" s="345"/>
      <c r="X3432" s="329" t="str">
        <f t="shared" si="283"/>
        <v>GQ</v>
      </c>
      <c r="Y3432" s="1128" t="s">
        <v>3380</v>
      </c>
      <c r="Z3432" s="1128" t="s">
        <v>3381</v>
      </c>
      <c r="AA3432" s="1128" t="s">
        <v>3384</v>
      </c>
      <c r="AB3432" s="20"/>
      <c r="AC3432" s="73"/>
    </row>
    <row r="3433" spans="1:29">
      <c r="A3433" s="327" t="str">
        <f>IF(AND($B3433&lt;&gt;"",$C3433&lt;&gt;""),MAX($A$1556:A3408)+1,"")</f>
        <v/>
      </c>
      <c r="B3433" s="361" t="s">
        <v>2009</v>
      </c>
      <c r="C3433" s="360"/>
      <c r="D3433" s="327">
        <f>IF($B3433="","",COUNTIF($B$6:$B3433,$B3433))</f>
        <v>14</v>
      </c>
      <c r="E3433" s="423">
        <v>10256</v>
      </c>
      <c r="F3433" s="424" t="s">
        <v>384</v>
      </c>
      <c r="G3433" s="425" t="s">
        <v>155</v>
      </c>
      <c r="H3433" s="426"/>
      <c r="I3433" s="425">
        <v>4</v>
      </c>
      <c r="J3433" s="427"/>
      <c r="K3433" s="425"/>
      <c r="L3433" s="428">
        <v>1</v>
      </c>
      <c r="M3433" s="371"/>
      <c r="N3433" s="355" t="str">
        <f t="shared" si="325"/>
        <v>PK</v>
      </c>
      <c r="O3433" s="404" t="s">
        <v>1623</v>
      </c>
      <c r="P3433" s="392"/>
      <c r="Q3433" s="327"/>
      <c r="R3433" s="351"/>
      <c r="S3433" s="351"/>
      <c r="T3433" s="351"/>
      <c r="U3433" s="329" t="str">
        <f>IF($N3433=$N$4,IFERROR(INDEX(DanhMuc!$E$154:$E$165,MATCH(MID($B3433,4,2),DanhMuc!$B$154:$B$165,0)),""),"")</f>
        <v/>
      </c>
      <c r="V3433" s="361"/>
      <c r="W3433" s="345"/>
      <c r="X3433" s="329" t="str">
        <f t="shared" si="283"/>
        <v>GQ</v>
      </c>
      <c r="Y3433" s="1128" t="s">
        <v>3380</v>
      </c>
      <c r="Z3433" s="1128" t="s">
        <v>3381</v>
      </c>
      <c r="AA3433" s="1128" t="s">
        <v>3384</v>
      </c>
      <c r="AB3433" s="20"/>
      <c r="AC3433" s="73"/>
    </row>
    <row r="3434" spans="1:29">
      <c r="A3434" s="327" t="str">
        <f>IF(AND($B3434&lt;&gt;"",$C3434&lt;&gt;""),MAX($A$1556:A3409)+1,"")</f>
        <v/>
      </c>
      <c r="B3434" s="361" t="s">
        <v>2009</v>
      </c>
      <c r="C3434" s="360"/>
      <c r="D3434" s="327">
        <f>IF($B3434="","",COUNTIF($B$6:$B3434,$B3434))</f>
        <v>15</v>
      </c>
      <c r="E3434" s="430" t="s">
        <v>436</v>
      </c>
      <c r="F3434" s="431" t="s">
        <v>435</v>
      </c>
      <c r="G3434" s="351" t="s">
        <v>155</v>
      </c>
      <c r="H3434" s="361"/>
      <c r="I3434" s="327">
        <v>3</v>
      </c>
      <c r="J3434" s="345"/>
      <c r="K3434" s="327"/>
      <c r="L3434" s="389">
        <v>92000</v>
      </c>
      <c r="M3434" s="371"/>
      <c r="N3434" s="355" t="str">
        <f t="shared" si="325"/>
        <v>PK</v>
      </c>
      <c r="O3434" s="345" t="s">
        <v>1362</v>
      </c>
      <c r="P3434" s="392"/>
      <c r="Q3434" s="327"/>
      <c r="R3434" s="351"/>
      <c r="S3434" s="351"/>
      <c r="T3434" s="351"/>
      <c r="U3434" s="329" t="str">
        <f>IF($N3434=$N$4,IFERROR(INDEX(DanhMuc!$E$154:$E$165,MATCH(MID($B3434,4,2),DanhMuc!$B$154:$B$165,0)),""),"")</f>
        <v/>
      </c>
      <c r="V3434" s="361"/>
      <c r="W3434" s="345"/>
      <c r="X3434" s="329" t="str">
        <f t="shared" si="283"/>
        <v>GQ</v>
      </c>
      <c r="Y3434" s="1128" t="s">
        <v>3380</v>
      </c>
      <c r="Z3434" s="1128" t="s">
        <v>3381</v>
      </c>
      <c r="AA3434" s="1128" t="s">
        <v>3384</v>
      </c>
      <c r="AB3434" s="20"/>
      <c r="AC3434" s="73"/>
    </row>
    <row r="3435" spans="1:29">
      <c r="A3435" s="327" t="str">
        <f>IF(AND($B3435&lt;&gt;"",$C3435&lt;&gt;""),MAX($A$1556:A3410)+1,"")</f>
        <v/>
      </c>
      <c r="B3435" s="361" t="s">
        <v>2009</v>
      </c>
      <c r="C3435" s="360"/>
      <c r="D3435" s="327">
        <f>IF($B3435="","",COUNTIF($B$6:$B3435,$B3435))</f>
        <v>16</v>
      </c>
      <c r="E3435" s="430" t="s">
        <v>440</v>
      </c>
      <c r="F3435" s="431" t="s">
        <v>439</v>
      </c>
      <c r="G3435" s="351" t="s">
        <v>155</v>
      </c>
      <c r="H3435" s="361"/>
      <c r="I3435" s="327">
        <v>3</v>
      </c>
      <c r="J3435" s="345"/>
      <c r="K3435" s="327"/>
      <c r="L3435" s="389">
        <v>135000</v>
      </c>
      <c r="M3435" s="371"/>
      <c r="N3435" s="355" t="str">
        <f t="shared" si="325"/>
        <v>PK</v>
      </c>
      <c r="O3435" s="345" t="s">
        <v>441</v>
      </c>
      <c r="P3435" s="392"/>
      <c r="Q3435" s="327"/>
      <c r="R3435" s="351"/>
      <c r="S3435" s="351"/>
      <c r="T3435" s="351"/>
      <c r="U3435" s="329" t="str">
        <f>IF($N3435=$N$4,IFERROR(INDEX(DanhMuc!$E$154:$E$165,MATCH(MID($B3435,4,2),DanhMuc!$B$154:$B$165,0)),""),"")</f>
        <v/>
      </c>
      <c r="V3435" s="361"/>
      <c r="W3435" s="345"/>
      <c r="X3435" s="329" t="str">
        <f t="shared" si="283"/>
        <v>GQ</v>
      </c>
      <c r="Y3435" s="1128" t="s">
        <v>3380</v>
      </c>
      <c r="Z3435" s="1128" t="s">
        <v>3381</v>
      </c>
      <c r="AA3435" s="1128" t="s">
        <v>3384</v>
      </c>
      <c r="AB3435" s="20"/>
      <c r="AC3435" s="73"/>
    </row>
    <row r="3436" spans="1:29" ht="26">
      <c r="A3436" s="327">
        <f>IF(AND($B3436&lt;&gt;"",$C3436&lt;&gt;""),MAX($A$1556:A3411)+1,"")</f>
        <v>172</v>
      </c>
      <c r="B3436" s="359" t="s">
        <v>2010</v>
      </c>
      <c r="C3436" s="370" t="s">
        <v>1557</v>
      </c>
      <c r="D3436" s="327">
        <f>IF($B3436="","",COUNTIF($B$6:$B3436,$B3436))</f>
        <v>1</v>
      </c>
      <c r="E3436" s="416" t="s">
        <v>957</v>
      </c>
      <c r="F3436" s="417" t="s">
        <v>1104</v>
      </c>
      <c r="G3436" s="418" t="s">
        <v>297</v>
      </c>
      <c r="H3436" s="419"/>
      <c r="I3436" s="418">
        <v>1</v>
      </c>
      <c r="J3436" s="419"/>
      <c r="K3436" s="418"/>
      <c r="L3436" s="420">
        <v>1</v>
      </c>
      <c r="M3436" s="371"/>
      <c r="N3436" s="355" t="str">
        <f t="shared" si="325"/>
        <v>PK</v>
      </c>
      <c r="O3436" s="404" t="s">
        <v>1626</v>
      </c>
      <c r="P3436" s="392"/>
      <c r="Q3436" s="327"/>
      <c r="R3436" s="351"/>
      <c r="S3436" s="351"/>
      <c r="T3436" s="351"/>
      <c r="U3436" s="329" t="str">
        <f>IF($N3436=$N$4,IFERROR(INDEX(DanhMuc!$E$154:$E$165,MATCH(MID($B3436,4,2),DanhMuc!$B$154:$B$165,0)),""),"")</f>
        <v/>
      </c>
      <c r="V3436" s="361"/>
      <c r="W3436" s="345"/>
      <c r="X3436" s="329" t="str">
        <f t="shared" si="283"/>
        <v>GQ</v>
      </c>
      <c r="Y3436" s="1128" t="s">
        <v>3380</v>
      </c>
      <c r="Z3436" s="1128" t="s">
        <v>3381</v>
      </c>
      <c r="AA3436" s="1128" t="s">
        <v>3384</v>
      </c>
      <c r="AB3436" s="20"/>
      <c r="AC3436" s="73"/>
    </row>
    <row r="3437" spans="1:29">
      <c r="A3437" s="327" t="str">
        <f>IF(AND($B3437&lt;&gt;"",$C3437&lt;&gt;""),MAX($A$1556:A3412)+1,"")</f>
        <v/>
      </c>
      <c r="B3437" s="361" t="s">
        <v>2010</v>
      </c>
      <c r="C3437" s="360"/>
      <c r="D3437" s="327">
        <f>IF($B3437="","",COUNTIF($B$6:$B3437,$B3437))</f>
        <v>2</v>
      </c>
      <c r="E3437" s="419" t="s">
        <v>430</v>
      </c>
      <c r="F3437" s="417" t="s">
        <v>428</v>
      </c>
      <c r="G3437" s="418" t="s">
        <v>344</v>
      </c>
      <c r="H3437" s="419"/>
      <c r="I3437" s="418">
        <v>1</v>
      </c>
      <c r="J3437" s="421"/>
      <c r="K3437" s="418"/>
      <c r="L3437" s="420">
        <v>265000</v>
      </c>
      <c r="M3437" s="371"/>
      <c r="N3437" s="355" t="str">
        <f t="shared" si="325"/>
        <v>PK</v>
      </c>
      <c r="O3437" s="404" t="s">
        <v>1626</v>
      </c>
      <c r="P3437" s="392"/>
      <c r="Q3437" s="327"/>
      <c r="R3437" s="351"/>
      <c r="S3437" s="351"/>
      <c r="T3437" s="351"/>
      <c r="U3437" s="329" t="str">
        <f>IF($N3437=$N$4,IFERROR(INDEX(DanhMuc!$E$154:$E$165,MATCH(MID($B3437,4,2),DanhMuc!$B$154:$B$165,0)),""),"")</f>
        <v/>
      </c>
      <c r="V3437" s="361"/>
      <c r="W3437" s="345"/>
      <c r="X3437" s="329" t="str">
        <f t="shared" si="283"/>
        <v>GQ</v>
      </c>
      <c r="Y3437" s="1128" t="s">
        <v>3380</v>
      </c>
      <c r="Z3437" s="1128" t="s">
        <v>3381</v>
      </c>
      <c r="AA3437" s="1128" t="s">
        <v>3384</v>
      </c>
      <c r="AB3437" s="20"/>
      <c r="AC3437" s="73"/>
    </row>
    <row r="3438" spans="1:29">
      <c r="A3438" s="327" t="str">
        <f>IF(AND($B3438&lt;&gt;"",$C3438&lt;&gt;""),MAX($A$1556:A3413)+1,"")</f>
        <v/>
      </c>
      <c r="B3438" s="361" t="s">
        <v>2010</v>
      </c>
      <c r="C3438" s="360"/>
      <c r="D3438" s="327">
        <f>IF($B3438="","",COUNTIF($B$6:$B3438,$B3438))</f>
        <v>3</v>
      </c>
      <c r="E3438" s="419" t="s">
        <v>958</v>
      </c>
      <c r="F3438" s="417" t="s">
        <v>959</v>
      </c>
      <c r="G3438" s="418" t="s">
        <v>155</v>
      </c>
      <c r="H3438" s="419"/>
      <c r="I3438" s="418">
        <v>1</v>
      </c>
      <c r="J3438" s="421"/>
      <c r="K3438" s="418"/>
      <c r="L3438" s="420">
        <v>1</v>
      </c>
      <c r="M3438" s="371"/>
      <c r="N3438" s="355" t="str">
        <f t="shared" si="325"/>
        <v>PK</v>
      </c>
      <c r="O3438" s="404" t="s">
        <v>1629</v>
      </c>
      <c r="P3438" s="392"/>
      <c r="Q3438" s="327"/>
      <c r="R3438" s="351"/>
      <c r="S3438" s="351"/>
      <c r="T3438" s="351"/>
      <c r="U3438" s="329" t="str">
        <f>IF($N3438=$N$4,IFERROR(INDEX(DanhMuc!$E$154:$E$165,MATCH(MID($B3438,4,2),DanhMuc!$B$154:$B$165,0)),""),"")</f>
        <v/>
      </c>
      <c r="V3438" s="361"/>
      <c r="W3438" s="345"/>
      <c r="X3438" s="329" t="str">
        <f t="shared" si="283"/>
        <v>GQ</v>
      </c>
      <c r="Y3438" s="1128" t="s">
        <v>3380</v>
      </c>
      <c r="Z3438" s="1128" t="s">
        <v>3381</v>
      </c>
      <c r="AA3438" s="1128" t="s">
        <v>3384</v>
      </c>
      <c r="AB3438" s="20"/>
      <c r="AC3438" s="73"/>
    </row>
    <row r="3439" spans="1:29">
      <c r="A3439" s="327" t="str">
        <f>IF(AND($B3439&lt;&gt;"",$C3439&lt;&gt;""),MAX($A$1556:A3414)+1,"")</f>
        <v/>
      </c>
      <c r="B3439" s="361" t="s">
        <v>2010</v>
      </c>
      <c r="C3439" s="360"/>
      <c r="D3439" s="327">
        <f>IF($B3439="","",COUNTIF($B$6:$B3439,$B3439))</f>
        <v>4</v>
      </c>
      <c r="E3439" s="419" t="s">
        <v>960</v>
      </c>
      <c r="F3439" s="417" t="s">
        <v>961</v>
      </c>
      <c r="G3439" s="418" t="s">
        <v>155</v>
      </c>
      <c r="H3439" s="419"/>
      <c r="I3439" s="418">
        <v>1</v>
      </c>
      <c r="J3439" s="421"/>
      <c r="K3439" s="418"/>
      <c r="L3439" s="420">
        <v>1</v>
      </c>
      <c r="M3439" s="371"/>
      <c r="N3439" s="355" t="str">
        <f t="shared" si="325"/>
        <v>PK</v>
      </c>
      <c r="O3439" s="404" t="s">
        <v>1630</v>
      </c>
      <c r="P3439" s="392"/>
      <c r="Q3439" s="327"/>
      <c r="R3439" s="351"/>
      <c r="S3439" s="351"/>
      <c r="T3439" s="351"/>
      <c r="U3439" s="329" t="str">
        <f>IF($N3439=$N$4,IFERROR(INDEX(DanhMuc!$E$154:$E$165,MATCH(MID($B3439,4,2),DanhMuc!$B$154:$B$165,0)),""),"")</f>
        <v/>
      </c>
      <c r="V3439" s="361"/>
      <c r="W3439" s="345"/>
      <c r="X3439" s="329" t="str">
        <f t="shared" si="283"/>
        <v>GQ</v>
      </c>
      <c r="Y3439" s="1128" t="s">
        <v>3380</v>
      </c>
      <c r="Z3439" s="1128" t="s">
        <v>3381</v>
      </c>
      <c r="AA3439" s="1128" t="s">
        <v>3384</v>
      </c>
      <c r="AB3439" s="20"/>
      <c r="AC3439" s="73"/>
    </row>
    <row r="3440" spans="1:29">
      <c r="A3440" s="327" t="str">
        <f>IF(AND($B3440&lt;&gt;"",$C3440&lt;&gt;""),MAX($A$1556:A3415)+1,"")</f>
        <v/>
      </c>
      <c r="B3440" s="361" t="s">
        <v>2010</v>
      </c>
      <c r="C3440" s="360"/>
      <c r="D3440" s="327">
        <f>IF($B3440="","",COUNTIF($B$6:$B3440,$B3440))</f>
        <v>5</v>
      </c>
      <c r="E3440" s="419" t="s">
        <v>431</v>
      </c>
      <c r="F3440" s="417" t="s">
        <v>965</v>
      </c>
      <c r="G3440" s="418" t="s">
        <v>155</v>
      </c>
      <c r="H3440" s="419"/>
      <c r="I3440" s="418">
        <v>1</v>
      </c>
      <c r="J3440" s="421"/>
      <c r="K3440" s="418"/>
      <c r="L3440" s="420">
        <v>1</v>
      </c>
      <c r="M3440" s="371"/>
      <c r="N3440" s="355" t="str">
        <f t="shared" si="325"/>
        <v>PK</v>
      </c>
      <c r="O3440" s="404" t="s">
        <v>2704</v>
      </c>
      <c r="P3440" s="392"/>
      <c r="Q3440" s="327"/>
      <c r="R3440" s="351"/>
      <c r="S3440" s="351"/>
      <c r="T3440" s="351"/>
      <c r="U3440" s="329" t="str">
        <f>IF($N3440=$N$4,IFERROR(INDEX(DanhMuc!$E$154:$E$165,MATCH(MID($B3440,4,2),DanhMuc!$B$154:$B$165,0)),""),"")</f>
        <v/>
      </c>
      <c r="V3440" s="361"/>
      <c r="W3440" s="345"/>
      <c r="X3440" s="329" t="str">
        <f t="shared" si="283"/>
        <v>GQ</v>
      </c>
      <c r="Y3440" s="1128" t="s">
        <v>3380</v>
      </c>
      <c r="Z3440" s="1128" t="s">
        <v>3381</v>
      </c>
      <c r="AA3440" s="1128" t="s">
        <v>3384</v>
      </c>
      <c r="AB3440" s="20"/>
      <c r="AC3440" s="73"/>
    </row>
    <row r="3441" spans="1:29">
      <c r="A3441" s="327" t="str">
        <f>IF(AND($B3441&lt;&gt;"",$C3441&lt;&gt;""),MAX($A$1556:A3416)+1,"")</f>
        <v/>
      </c>
      <c r="B3441" s="361" t="s">
        <v>2010</v>
      </c>
      <c r="C3441" s="360"/>
      <c r="D3441" s="327">
        <f>IF($B3441="","",COUNTIF($B$6:$B3441,$B3441))</f>
        <v>6</v>
      </c>
      <c r="E3441" s="419" t="s">
        <v>964</v>
      </c>
      <c r="F3441" s="422" t="s">
        <v>966</v>
      </c>
      <c r="G3441" s="418" t="s">
        <v>155</v>
      </c>
      <c r="H3441" s="419"/>
      <c r="I3441" s="418">
        <v>1</v>
      </c>
      <c r="J3441" s="421"/>
      <c r="K3441" s="418"/>
      <c r="L3441" s="420">
        <v>1</v>
      </c>
      <c r="M3441" s="371"/>
      <c r="N3441" s="355" t="str">
        <f t="shared" si="325"/>
        <v>PK</v>
      </c>
      <c r="O3441" s="404" t="s">
        <v>1622</v>
      </c>
      <c r="P3441" s="392"/>
      <c r="Q3441" s="327"/>
      <c r="R3441" s="351"/>
      <c r="S3441" s="351"/>
      <c r="T3441" s="351"/>
      <c r="U3441" s="329" t="str">
        <f>IF($N3441=$N$4,IFERROR(INDEX(DanhMuc!$E$154:$E$165,MATCH(MID($B3441,4,2),DanhMuc!$B$154:$B$165,0)),""),"")</f>
        <v/>
      </c>
      <c r="V3441" s="361"/>
      <c r="W3441" s="345"/>
      <c r="X3441" s="329" t="str">
        <f t="shared" si="283"/>
        <v>GQ</v>
      </c>
      <c r="Y3441" s="1128" t="s">
        <v>3380</v>
      </c>
      <c r="Z3441" s="1128" t="s">
        <v>3381</v>
      </c>
      <c r="AA3441" s="1128" t="s">
        <v>3384</v>
      </c>
      <c r="AB3441" s="20"/>
      <c r="AC3441" s="73"/>
    </row>
    <row r="3442" spans="1:29">
      <c r="A3442" s="327" t="str">
        <f>IF(AND($B3442&lt;&gt;"",$C3442&lt;&gt;""),MAX($A$1556:A3417)+1,"")</f>
        <v/>
      </c>
      <c r="B3442" s="361" t="s">
        <v>2010</v>
      </c>
      <c r="C3442" s="360"/>
      <c r="D3442" s="327">
        <f>IF($B3442="","",COUNTIF($B$6:$B3442,$B3442))</f>
        <v>7</v>
      </c>
      <c r="E3442" s="423" t="s">
        <v>1105</v>
      </c>
      <c r="F3442" s="424" t="s">
        <v>1106</v>
      </c>
      <c r="G3442" s="425" t="s">
        <v>297</v>
      </c>
      <c r="H3442" s="426"/>
      <c r="I3442" s="425">
        <v>1</v>
      </c>
      <c r="J3442" s="427"/>
      <c r="K3442" s="425"/>
      <c r="L3442" s="428">
        <v>1</v>
      </c>
      <c r="M3442" s="371"/>
      <c r="N3442" s="355" t="str">
        <f t="shared" si="325"/>
        <v>PK</v>
      </c>
      <c r="O3442" s="404" t="s">
        <v>1623</v>
      </c>
      <c r="P3442" s="392"/>
      <c r="Q3442" s="327"/>
      <c r="R3442" s="351"/>
      <c r="S3442" s="351"/>
      <c r="T3442" s="351"/>
      <c r="U3442" s="329" t="str">
        <f>IF($N3442=$N$4,IFERROR(INDEX(DanhMuc!$E$154:$E$165,MATCH(MID($B3442,4,2),DanhMuc!$B$154:$B$165,0)),""),"")</f>
        <v/>
      </c>
      <c r="V3442" s="361"/>
      <c r="W3442" s="345"/>
      <c r="X3442" s="329" t="str">
        <f t="shared" si="283"/>
        <v>GQ</v>
      </c>
      <c r="Y3442" s="1128" t="s">
        <v>3380</v>
      </c>
      <c r="Z3442" s="1128" t="s">
        <v>3381</v>
      </c>
      <c r="AA3442" s="1128" t="s">
        <v>3384</v>
      </c>
      <c r="AB3442" s="20"/>
      <c r="AC3442" s="73"/>
    </row>
    <row r="3443" spans="1:29">
      <c r="A3443" s="327" t="str">
        <f>IF(AND($B3443&lt;&gt;"",$C3443&lt;&gt;""),MAX($A$1556:A3418)+1,"")</f>
        <v/>
      </c>
      <c r="B3443" s="361" t="s">
        <v>2010</v>
      </c>
      <c r="C3443" s="360"/>
      <c r="D3443" s="327">
        <f>IF($B3443="","",COUNTIF($B$6:$B3443,$B3443))</f>
        <v>8</v>
      </c>
      <c r="E3443" s="423" t="s">
        <v>432</v>
      </c>
      <c r="F3443" s="424" t="s">
        <v>434</v>
      </c>
      <c r="G3443" s="425" t="s">
        <v>344</v>
      </c>
      <c r="H3443" s="426"/>
      <c r="I3443" s="423" t="s">
        <v>1332</v>
      </c>
      <c r="J3443" s="427"/>
      <c r="K3443" s="425"/>
      <c r="L3443" s="428">
        <v>510000</v>
      </c>
      <c r="M3443" s="371"/>
      <c r="N3443" s="355" t="str">
        <f t="shared" si="325"/>
        <v>PK</v>
      </c>
      <c r="O3443" s="404" t="s">
        <v>1623</v>
      </c>
      <c r="P3443" s="392"/>
      <c r="Q3443" s="327"/>
      <c r="R3443" s="351"/>
      <c r="S3443" s="351"/>
      <c r="T3443" s="351"/>
      <c r="U3443" s="329" t="str">
        <f>IF($N3443=$N$4,IFERROR(INDEX(DanhMuc!$E$154:$E$165,MATCH(MID($B3443,4,2),DanhMuc!$B$154:$B$165,0)),""),"")</f>
        <v/>
      </c>
      <c r="V3443" s="361"/>
      <c r="W3443" s="345"/>
      <c r="X3443" s="329" t="str">
        <f t="shared" si="283"/>
        <v>GQ</v>
      </c>
      <c r="Y3443" s="1128" t="s">
        <v>3380</v>
      </c>
      <c r="Z3443" s="1128" t="s">
        <v>3381</v>
      </c>
      <c r="AA3443" s="1128" t="s">
        <v>3384</v>
      </c>
      <c r="AB3443" s="20"/>
      <c r="AC3443" s="73"/>
    </row>
    <row r="3444" spans="1:29">
      <c r="A3444" s="327" t="str">
        <f>IF(AND($B3444&lt;&gt;"",$C3444&lt;&gt;""),MAX($A$1556:A3419)+1,"")</f>
        <v/>
      </c>
      <c r="B3444" s="361" t="s">
        <v>2010</v>
      </c>
      <c r="C3444" s="360"/>
      <c r="D3444" s="327">
        <f>IF($B3444="","",COUNTIF($B$6:$B3444,$B3444))</f>
        <v>9</v>
      </c>
      <c r="E3444" s="423" t="s">
        <v>1107</v>
      </c>
      <c r="F3444" s="424" t="s">
        <v>1077</v>
      </c>
      <c r="G3444" s="425" t="s">
        <v>344</v>
      </c>
      <c r="H3444" s="426"/>
      <c r="I3444" s="423" t="s">
        <v>1334</v>
      </c>
      <c r="J3444" s="427"/>
      <c r="K3444" s="425"/>
      <c r="L3444" s="428">
        <v>548000</v>
      </c>
      <c r="M3444" s="371"/>
      <c r="N3444" s="355" t="str">
        <f t="shared" si="325"/>
        <v>PK</v>
      </c>
      <c r="O3444" s="404" t="s">
        <v>1623</v>
      </c>
      <c r="P3444" s="392"/>
      <c r="Q3444" s="327"/>
      <c r="R3444" s="351"/>
      <c r="S3444" s="351"/>
      <c r="T3444" s="351"/>
      <c r="U3444" s="329" t="str">
        <f>IF($N3444=$N$4,IFERROR(INDEX(DanhMuc!$E$154:$E$165,MATCH(MID($B3444,4,2),DanhMuc!$B$154:$B$165,0)),""),"")</f>
        <v/>
      </c>
      <c r="V3444" s="361"/>
      <c r="W3444" s="345"/>
      <c r="X3444" s="329" t="str">
        <f t="shared" si="283"/>
        <v>GQ</v>
      </c>
      <c r="Y3444" s="1128" t="s">
        <v>3380</v>
      </c>
      <c r="Z3444" s="1128" t="s">
        <v>3381</v>
      </c>
      <c r="AA3444" s="1128" t="s">
        <v>3384</v>
      </c>
      <c r="AB3444" s="20"/>
      <c r="AC3444" s="73"/>
    </row>
    <row r="3445" spans="1:29">
      <c r="A3445" s="327" t="str">
        <f>IF(AND($B3445&lt;&gt;"",$C3445&lt;&gt;""),MAX($A$1556:A3420)+1,"")</f>
        <v/>
      </c>
      <c r="B3445" s="361" t="s">
        <v>2010</v>
      </c>
      <c r="C3445" s="360"/>
      <c r="D3445" s="327">
        <f>IF($B3445="","",COUNTIF($B$6:$B3445,$B3445))</f>
        <v>10</v>
      </c>
      <c r="E3445" s="426" t="s">
        <v>958</v>
      </c>
      <c r="F3445" s="429" t="s">
        <v>959</v>
      </c>
      <c r="G3445" s="425" t="s">
        <v>155</v>
      </c>
      <c r="H3445" s="426"/>
      <c r="I3445" s="425">
        <v>1</v>
      </c>
      <c r="J3445" s="427"/>
      <c r="K3445" s="425"/>
      <c r="L3445" s="428">
        <v>1</v>
      </c>
      <c r="M3445" s="371"/>
      <c r="N3445" s="355" t="str">
        <f t="shared" si="325"/>
        <v>PK</v>
      </c>
      <c r="O3445" s="404" t="s">
        <v>1624</v>
      </c>
      <c r="P3445" s="392"/>
      <c r="Q3445" s="327"/>
      <c r="R3445" s="351"/>
      <c r="S3445" s="351"/>
      <c r="T3445" s="351"/>
      <c r="U3445" s="329" t="str">
        <f>IF($N3445=$N$4,IFERROR(INDEX(DanhMuc!$E$154:$E$165,MATCH(MID($B3445,4,2),DanhMuc!$B$154:$B$165,0)),""),"")</f>
        <v/>
      </c>
      <c r="V3445" s="361"/>
      <c r="W3445" s="345"/>
      <c r="X3445" s="329" t="str">
        <f t="shared" si="283"/>
        <v>GQ</v>
      </c>
      <c r="Y3445" s="1128" t="s">
        <v>3380</v>
      </c>
      <c r="Z3445" s="1128" t="s">
        <v>3381</v>
      </c>
      <c r="AA3445" s="1128" t="s">
        <v>3384</v>
      </c>
      <c r="AB3445" s="20"/>
      <c r="AC3445" s="73"/>
    </row>
    <row r="3446" spans="1:29">
      <c r="A3446" s="327" t="str">
        <f>IF(AND($B3446&lt;&gt;"",$C3446&lt;&gt;""),MAX($A$1556:A3421)+1,"")</f>
        <v/>
      </c>
      <c r="B3446" s="361" t="s">
        <v>2010</v>
      </c>
      <c r="C3446" s="360"/>
      <c r="D3446" s="327">
        <f>IF($B3446="","",COUNTIF($B$6:$B3446,$B3446))</f>
        <v>11</v>
      </c>
      <c r="E3446" s="426" t="s">
        <v>960</v>
      </c>
      <c r="F3446" s="429" t="s">
        <v>961</v>
      </c>
      <c r="G3446" s="425" t="s">
        <v>155</v>
      </c>
      <c r="H3446" s="426"/>
      <c r="I3446" s="425">
        <v>1</v>
      </c>
      <c r="J3446" s="427"/>
      <c r="K3446" s="425"/>
      <c r="L3446" s="428">
        <v>1</v>
      </c>
      <c r="M3446" s="371"/>
      <c r="N3446" s="355" t="str">
        <f t="shared" si="325"/>
        <v>PK</v>
      </c>
      <c r="O3446" s="404" t="s">
        <v>1625</v>
      </c>
      <c r="P3446" s="392"/>
      <c r="Q3446" s="327"/>
      <c r="R3446" s="351"/>
      <c r="S3446" s="351"/>
      <c r="T3446" s="351"/>
      <c r="U3446" s="329" t="str">
        <f>IF($N3446=$N$4,IFERROR(INDEX(DanhMuc!$E$154:$E$165,MATCH(MID($B3446,4,2),DanhMuc!$B$154:$B$165,0)),""),"")</f>
        <v/>
      </c>
      <c r="V3446" s="361"/>
      <c r="W3446" s="345"/>
      <c r="X3446" s="329" t="str">
        <f t="shared" si="283"/>
        <v>GQ</v>
      </c>
      <c r="Y3446" s="1128" t="s">
        <v>3380</v>
      </c>
      <c r="Z3446" s="1128" t="s">
        <v>3381</v>
      </c>
      <c r="AA3446" s="1128" t="s">
        <v>3384</v>
      </c>
      <c r="AB3446" s="20"/>
      <c r="AC3446" s="73"/>
    </row>
    <row r="3447" spans="1:29">
      <c r="A3447" s="327" t="str">
        <f>IF(AND($B3447&lt;&gt;"",$C3447&lt;&gt;""),MAX($A$1556:A3422)+1,"")</f>
        <v/>
      </c>
      <c r="B3447" s="361" t="s">
        <v>2010</v>
      </c>
      <c r="C3447" s="360"/>
      <c r="D3447" s="327">
        <f>IF($B3447="","",COUNTIF($B$6:$B3447,$B3447))</f>
        <v>12</v>
      </c>
      <c r="E3447" s="423" t="s">
        <v>967</v>
      </c>
      <c r="F3447" s="429" t="s">
        <v>968</v>
      </c>
      <c r="G3447" s="425" t="s">
        <v>155</v>
      </c>
      <c r="H3447" s="426"/>
      <c r="I3447" s="425">
        <v>1</v>
      </c>
      <c r="J3447" s="427"/>
      <c r="K3447" s="425"/>
      <c r="L3447" s="428">
        <v>1</v>
      </c>
      <c r="M3447" s="371"/>
      <c r="N3447" s="355" t="str">
        <f t="shared" si="325"/>
        <v>PK</v>
      </c>
      <c r="O3447" s="404" t="s">
        <v>2703</v>
      </c>
      <c r="P3447" s="392"/>
      <c r="Q3447" s="327"/>
      <c r="R3447" s="351"/>
      <c r="S3447" s="351"/>
      <c r="T3447" s="351"/>
      <c r="U3447" s="329" t="str">
        <f>IF($N3447=$N$4,IFERROR(INDEX(DanhMuc!$E$154:$E$165,MATCH(MID($B3447,4,2),DanhMuc!$B$154:$B$165,0)),""),"")</f>
        <v/>
      </c>
      <c r="V3447" s="361"/>
      <c r="W3447" s="345"/>
      <c r="X3447" s="329" t="str">
        <f t="shared" si="283"/>
        <v>GQ</v>
      </c>
      <c r="Y3447" s="1128" t="s">
        <v>3380</v>
      </c>
      <c r="Z3447" s="1128" t="s">
        <v>3381</v>
      </c>
      <c r="AA3447" s="1128" t="s">
        <v>3384</v>
      </c>
      <c r="AB3447" s="20"/>
      <c r="AC3447" s="73"/>
    </row>
    <row r="3448" spans="1:29">
      <c r="A3448" s="327" t="str">
        <f>IF(AND($B3448&lt;&gt;"",$C3448&lt;&gt;""),MAX($A$1556:A3423)+1,"")</f>
        <v/>
      </c>
      <c r="B3448" s="361" t="s">
        <v>2010</v>
      </c>
      <c r="C3448" s="360"/>
      <c r="D3448" s="327">
        <f>IF($B3448="","",COUNTIF($B$6:$B3448,$B3448))</f>
        <v>13</v>
      </c>
      <c r="E3448" s="423" t="s">
        <v>433</v>
      </c>
      <c r="F3448" s="424" t="s">
        <v>429</v>
      </c>
      <c r="G3448" s="425" t="s">
        <v>155</v>
      </c>
      <c r="H3448" s="426"/>
      <c r="I3448" s="425">
        <v>1</v>
      </c>
      <c r="J3448" s="427"/>
      <c r="K3448" s="425"/>
      <c r="L3448" s="428">
        <v>1</v>
      </c>
      <c r="M3448" s="371"/>
      <c r="N3448" s="355" t="str">
        <f t="shared" si="325"/>
        <v>PK</v>
      </c>
      <c r="O3448" s="404" t="s">
        <v>969</v>
      </c>
      <c r="P3448" s="392"/>
      <c r="Q3448" s="327"/>
      <c r="R3448" s="351"/>
      <c r="S3448" s="351"/>
      <c r="T3448" s="351"/>
      <c r="U3448" s="329" t="str">
        <f>IF($N3448=$N$4,IFERROR(INDEX(DanhMuc!$E$154:$E$165,MATCH(MID($B3448,4,2),DanhMuc!$B$154:$B$165,0)),""),"")</f>
        <v/>
      </c>
      <c r="V3448" s="361"/>
      <c r="W3448" s="345"/>
      <c r="X3448" s="329" t="str">
        <f t="shared" si="283"/>
        <v>GQ</v>
      </c>
      <c r="Y3448" s="1128" t="s">
        <v>3380</v>
      </c>
      <c r="Z3448" s="1128" t="s">
        <v>3381</v>
      </c>
      <c r="AA3448" s="1128" t="s">
        <v>3384</v>
      </c>
      <c r="AB3448" s="20"/>
      <c r="AC3448" s="73"/>
    </row>
    <row r="3449" spans="1:29">
      <c r="A3449" s="327" t="str">
        <f>IF(AND($B3449&lt;&gt;"",$C3449&lt;&gt;""),MAX($A$1556:A3424)+1,"")</f>
        <v/>
      </c>
      <c r="B3449" s="361" t="s">
        <v>2010</v>
      </c>
      <c r="C3449" s="360"/>
      <c r="D3449" s="327">
        <f>IF($B3449="","",COUNTIF($B$6:$B3449,$B3449))</f>
        <v>14</v>
      </c>
      <c r="E3449" s="423">
        <v>10256</v>
      </c>
      <c r="F3449" s="424" t="s">
        <v>384</v>
      </c>
      <c r="G3449" s="425" t="s">
        <v>155</v>
      </c>
      <c r="H3449" s="426"/>
      <c r="I3449" s="425">
        <v>4</v>
      </c>
      <c r="J3449" s="427"/>
      <c r="K3449" s="425"/>
      <c r="L3449" s="428">
        <v>1</v>
      </c>
      <c r="M3449" s="371"/>
      <c r="N3449" s="355" t="str">
        <f t="shared" si="325"/>
        <v>PK</v>
      </c>
      <c r="O3449" s="404" t="s">
        <v>1623</v>
      </c>
      <c r="P3449" s="392"/>
      <c r="Q3449" s="327"/>
      <c r="R3449" s="351"/>
      <c r="S3449" s="351"/>
      <c r="T3449" s="351"/>
      <c r="U3449" s="329" t="str">
        <f>IF($N3449=$N$4,IFERROR(INDEX(DanhMuc!$E$154:$E$165,MATCH(MID($B3449,4,2),DanhMuc!$B$154:$B$165,0)),""),"")</f>
        <v/>
      </c>
      <c r="V3449" s="361"/>
      <c r="W3449" s="345"/>
      <c r="X3449" s="329" t="str">
        <f t="shared" si="283"/>
        <v>GQ</v>
      </c>
      <c r="Y3449" s="1128" t="s">
        <v>3380</v>
      </c>
      <c r="Z3449" s="1128" t="s">
        <v>3381</v>
      </c>
      <c r="AA3449" s="1128" t="s">
        <v>3384</v>
      </c>
      <c r="AB3449" s="20"/>
      <c r="AC3449" s="73"/>
    </row>
    <row r="3450" spans="1:29">
      <c r="A3450" s="327" t="str">
        <f>IF(AND($B3450&lt;&gt;"",$C3450&lt;&gt;""),MAX($A$1556:A3425)+1,"")</f>
        <v/>
      </c>
      <c r="B3450" s="361" t="s">
        <v>2010</v>
      </c>
      <c r="C3450" s="360"/>
      <c r="D3450" s="327">
        <f>IF($B3450="","",COUNTIF($B$6:$B3450,$B3450))</f>
        <v>15</v>
      </c>
      <c r="E3450" s="430" t="s">
        <v>436</v>
      </c>
      <c r="F3450" s="431" t="s">
        <v>435</v>
      </c>
      <c r="G3450" s="351" t="s">
        <v>155</v>
      </c>
      <c r="H3450" s="361"/>
      <c r="I3450" s="327">
        <v>3</v>
      </c>
      <c r="J3450" s="345"/>
      <c r="K3450" s="327"/>
      <c r="L3450" s="389">
        <v>92000</v>
      </c>
      <c r="M3450" s="371"/>
      <c r="N3450" s="355" t="str">
        <f t="shared" si="325"/>
        <v>PK</v>
      </c>
      <c r="O3450" s="345" t="s">
        <v>1362</v>
      </c>
      <c r="P3450" s="392"/>
      <c r="Q3450" s="327"/>
      <c r="R3450" s="351"/>
      <c r="S3450" s="351"/>
      <c r="T3450" s="351"/>
      <c r="U3450" s="329" t="str">
        <f>IF($N3450=$N$4,IFERROR(INDEX(DanhMuc!$E$154:$E$165,MATCH(MID($B3450,4,2),DanhMuc!$B$154:$B$165,0)),""),"")</f>
        <v/>
      </c>
      <c r="V3450" s="361"/>
      <c r="W3450" s="345"/>
      <c r="X3450" s="329" t="str">
        <f t="shared" si="283"/>
        <v>GQ</v>
      </c>
      <c r="Y3450" s="1128" t="s">
        <v>3380</v>
      </c>
      <c r="Z3450" s="1128" t="s">
        <v>3381</v>
      </c>
      <c r="AA3450" s="1128" t="s">
        <v>3384</v>
      </c>
      <c r="AB3450" s="20"/>
      <c r="AC3450" s="73"/>
    </row>
    <row r="3451" spans="1:29">
      <c r="A3451" s="327" t="str">
        <f>IF(AND($B3451&lt;&gt;"",$C3451&lt;&gt;""),MAX($A$1556:A3426)+1,"")</f>
        <v/>
      </c>
      <c r="B3451" s="361" t="s">
        <v>2010</v>
      </c>
      <c r="C3451" s="360"/>
      <c r="D3451" s="327">
        <f>IF($B3451="","",COUNTIF($B$6:$B3451,$B3451))</f>
        <v>16</v>
      </c>
      <c r="E3451" s="430" t="s">
        <v>440</v>
      </c>
      <c r="F3451" s="431" t="s">
        <v>439</v>
      </c>
      <c r="G3451" s="351" t="s">
        <v>155</v>
      </c>
      <c r="H3451" s="361"/>
      <c r="I3451" s="327">
        <v>3</v>
      </c>
      <c r="J3451" s="345"/>
      <c r="K3451" s="327"/>
      <c r="L3451" s="389">
        <v>135000</v>
      </c>
      <c r="M3451" s="371"/>
      <c r="N3451" s="355" t="str">
        <f t="shared" si="325"/>
        <v>PK</v>
      </c>
      <c r="O3451" s="345" t="s">
        <v>441</v>
      </c>
      <c r="P3451" s="392"/>
      <c r="Q3451" s="327"/>
      <c r="R3451" s="351"/>
      <c r="S3451" s="351"/>
      <c r="T3451" s="351"/>
      <c r="U3451" s="329" t="str">
        <f>IF($N3451=$N$4,IFERROR(INDEX(DanhMuc!$E$154:$E$165,MATCH(MID($B3451,4,2),DanhMuc!$B$154:$B$165,0)),""),"")</f>
        <v/>
      </c>
      <c r="V3451" s="361"/>
      <c r="W3451" s="345"/>
      <c r="X3451" s="329" t="str">
        <f t="shared" si="283"/>
        <v>GQ</v>
      </c>
      <c r="Y3451" s="1128" t="s">
        <v>3380</v>
      </c>
      <c r="Z3451" s="1128" t="s">
        <v>3381</v>
      </c>
      <c r="AA3451" s="1128" t="s">
        <v>3384</v>
      </c>
      <c r="AB3451" s="20"/>
      <c r="AC3451" s="73"/>
    </row>
    <row r="3452" spans="1:29" ht="39">
      <c r="A3452" s="327">
        <f>IF(AND($B3452&lt;&gt;"",$C3452&lt;&gt;""),MAX($A$1556:A3427)+1,"")</f>
        <v>172</v>
      </c>
      <c r="B3452" s="359" t="s">
        <v>2011</v>
      </c>
      <c r="C3452" s="370" t="s">
        <v>1556</v>
      </c>
      <c r="D3452" s="327">
        <f>IF($B3452="","",COUNTIF($B$6:$B3452,$B3452))</f>
        <v>1</v>
      </c>
      <c r="E3452" s="416" t="s">
        <v>957</v>
      </c>
      <c r="F3452" s="417" t="s">
        <v>1104</v>
      </c>
      <c r="G3452" s="418" t="s">
        <v>297</v>
      </c>
      <c r="H3452" s="419"/>
      <c r="I3452" s="418">
        <v>1</v>
      </c>
      <c r="J3452" s="419"/>
      <c r="K3452" s="418"/>
      <c r="L3452" s="420">
        <v>1</v>
      </c>
      <c r="M3452" s="371"/>
      <c r="N3452" s="355" t="str">
        <f t="shared" si="325"/>
        <v>PK</v>
      </c>
      <c r="O3452" s="404" t="s">
        <v>1626</v>
      </c>
      <c r="P3452" s="392"/>
      <c r="Q3452" s="327"/>
      <c r="R3452" s="351"/>
      <c r="S3452" s="351"/>
      <c r="T3452" s="351"/>
      <c r="U3452" s="329" t="str">
        <f>IF($N3452=$N$4,IFERROR(INDEX(DanhMuc!$E$154:$E$165,MATCH(MID($B3452,4,2),DanhMuc!$B$154:$B$165,0)),""),"")</f>
        <v/>
      </c>
      <c r="V3452" s="361"/>
      <c r="W3452" s="345"/>
      <c r="X3452" s="329" t="str">
        <f t="shared" si="283"/>
        <v>GQ</v>
      </c>
      <c r="Y3452" s="1128" t="s">
        <v>3380</v>
      </c>
      <c r="Z3452" s="1128" t="s">
        <v>3381</v>
      </c>
      <c r="AA3452" s="1128" t="s">
        <v>3384</v>
      </c>
      <c r="AB3452" s="20"/>
      <c r="AC3452" s="73"/>
    </row>
    <row r="3453" spans="1:29">
      <c r="A3453" s="327" t="str">
        <f>IF(AND($B3453&lt;&gt;"",$C3453&lt;&gt;""),MAX($A$1556:A3428)+1,"")</f>
        <v/>
      </c>
      <c r="B3453" s="361" t="s">
        <v>2011</v>
      </c>
      <c r="C3453" s="360"/>
      <c r="D3453" s="327">
        <f>IF($B3453="","",COUNTIF($B$6:$B3453,$B3453))</f>
        <v>2</v>
      </c>
      <c r="E3453" s="419" t="s">
        <v>430</v>
      </c>
      <c r="F3453" s="417" t="s">
        <v>428</v>
      </c>
      <c r="G3453" s="418" t="s">
        <v>344</v>
      </c>
      <c r="H3453" s="419"/>
      <c r="I3453" s="418">
        <v>1</v>
      </c>
      <c r="J3453" s="421"/>
      <c r="K3453" s="418"/>
      <c r="L3453" s="420">
        <v>265000</v>
      </c>
      <c r="M3453" s="371"/>
      <c r="N3453" s="355" t="str">
        <f t="shared" si="325"/>
        <v>PK</v>
      </c>
      <c r="O3453" s="404" t="s">
        <v>1626</v>
      </c>
      <c r="P3453" s="392"/>
      <c r="Q3453" s="327"/>
      <c r="R3453" s="351"/>
      <c r="S3453" s="351"/>
      <c r="T3453" s="351"/>
      <c r="U3453" s="329" t="str">
        <f>IF($N3453=$N$4,IFERROR(INDEX(DanhMuc!$E$154:$E$165,MATCH(MID($B3453,4,2),DanhMuc!$B$154:$B$165,0)),""),"")</f>
        <v/>
      </c>
      <c r="V3453" s="361"/>
      <c r="W3453" s="345"/>
      <c r="X3453" s="329" t="str">
        <f t="shared" si="283"/>
        <v>GQ</v>
      </c>
      <c r="Y3453" s="1128" t="s">
        <v>3380</v>
      </c>
      <c r="Z3453" s="1128" t="s">
        <v>3381</v>
      </c>
      <c r="AA3453" s="1128" t="s">
        <v>3384</v>
      </c>
      <c r="AB3453" s="20"/>
      <c r="AC3453" s="73"/>
    </row>
    <row r="3454" spans="1:29">
      <c r="A3454" s="327" t="str">
        <f>IF(AND($B3454&lt;&gt;"",$C3454&lt;&gt;""),MAX($A$1556:A3429)+1,"")</f>
        <v/>
      </c>
      <c r="B3454" s="361" t="s">
        <v>2011</v>
      </c>
      <c r="C3454" s="360"/>
      <c r="D3454" s="327">
        <f>IF($B3454="","",COUNTIF($B$6:$B3454,$B3454))</f>
        <v>3</v>
      </c>
      <c r="E3454" s="419" t="s">
        <v>962</v>
      </c>
      <c r="F3454" s="417" t="s">
        <v>1108</v>
      </c>
      <c r="G3454" s="418" t="s">
        <v>155</v>
      </c>
      <c r="H3454" s="419"/>
      <c r="I3454" s="418">
        <v>1</v>
      </c>
      <c r="J3454" s="421"/>
      <c r="K3454" s="418"/>
      <c r="L3454" s="420">
        <v>1</v>
      </c>
      <c r="M3454" s="371"/>
      <c r="N3454" s="355" t="str">
        <f t="shared" si="325"/>
        <v>PK</v>
      </c>
      <c r="O3454" s="404" t="s">
        <v>1629</v>
      </c>
      <c r="P3454" s="392"/>
      <c r="Q3454" s="327"/>
      <c r="R3454" s="351"/>
      <c r="S3454" s="351"/>
      <c r="T3454" s="351"/>
      <c r="U3454" s="329" t="str">
        <f>IF($N3454=$N$4,IFERROR(INDEX(DanhMuc!$E$154:$E$165,MATCH(MID($B3454,4,2),DanhMuc!$B$154:$B$165,0)),""),"")</f>
        <v/>
      </c>
      <c r="V3454" s="361"/>
      <c r="W3454" s="345"/>
      <c r="X3454" s="329" t="str">
        <f t="shared" si="283"/>
        <v>GQ</v>
      </c>
      <c r="Y3454" s="1128" t="s">
        <v>3380</v>
      </c>
      <c r="Z3454" s="1128" t="s">
        <v>3381</v>
      </c>
      <c r="AA3454" s="1128" t="s">
        <v>3384</v>
      </c>
      <c r="AB3454" s="20"/>
      <c r="AC3454" s="73"/>
    </row>
    <row r="3455" spans="1:29">
      <c r="A3455" s="327" t="str">
        <f>IF(AND($B3455&lt;&gt;"",$C3455&lt;&gt;""),MAX($A$1556:A3430)+1,"")</f>
        <v/>
      </c>
      <c r="B3455" s="361" t="s">
        <v>2011</v>
      </c>
      <c r="C3455" s="360"/>
      <c r="D3455" s="327">
        <f>IF($B3455="","",COUNTIF($B$6:$B3455,$B3455))</f>
        <v>4</v>
      </c>
      <c r="E3455" s="419" t="s">
        <v>963</v>
      </c>
      <c r="F3455" s="417" t="s">
        <v>1109</v>
      </c>
      <c r="G3455" s="418" t="s">
        <v>155</v>
      </c>
      <c r="H3455" s="419"/>
      <c r="I3455" s="418">
        <v>1</v>
      </c>
      <c r="J3455" s="421"/>
      <c r="K3455" s="418"/>
      <c r="L3455" s="420">
        <v>1</v>
      </c>
      <c r="M3455" s="371"/>
      <c r="N3455" s="355" t="str">
        <f t="shared" si="325"/>
        <v>PK</v>
      </c>
      <c r="O3455" s="404" t="s">
        <v>1630</v>
      </c>
      <c r="P3455" s="392"/>
      <c r="Q3455" s="327"/>
      <c r="R3455" s="351"/>
      <c r="S3455" s="351"/>
      <c r="T3455" s="351"/>
      <c r="U3455" s="329" t="str">
        <f>IF($N3455=$N$4,IFERROR(INDEX(DanhMuc!$E$154:$E$165,MATCH(MID($B3455,4,2),DanhMuc!$B$154:$B$165,0)),""),"")</f>
        <v/>
      </c>
      <c r="V3455" s="361"/>
      <c r="W3455" s="345"/>
      <c r="X3455" s="329" t="str">
        <f t="shared" si="283"/>
        <v>GQ</v>
      </c>
      <c r="Y3455" s="1128" t="s">
        <v>3380</v>
      </c>
      <c r="Z3455" s="1128" t="s">
        <v>3381</v>
      </c>
      <c r="AA3455" s="1128" t="s">
        <v>3384</v>
      </c>
      <c r="AB3455" s="20"/>
      <c r="AC3455" s="73"/>
    </row>
    <row r="3456" spans="1:29">
      <c r="A3456" s="327" t="str">
        <f>IF(AND($B3456&lt;&gt;"",$C3456&lt;&gt;""),MAX($A$1556:A3431)+1,"")</f>
        <v/>
      </c>
      <c r="B3456" s="361" t="s">
        <v>2011</v>
      </c>
      <c r="C3456" s="360"/>
      <c r="D3456" s="327">
        <f>IF($B3456="","",COUNTIF($B$6:$B3456,$B3456))</f>
        <v>5</v>
      </c>
      <c r="E3456" s="419" t="s">
        <v>431</v>
      </c>
      <c r="F3456" s="417" t="s">
        <v>965</v>
      </c>
      <c r="G3456" s="418" t="s">
        <v>155</v>
      </c>
      <c r="H3456" s="419"/>
      <c r="I3456" s="418">
        <v>1</v>
      </c>
      <c r="J3456" s="421"/>
      <c r="K3456" s="418"/>
      <c r="L3456" s="420">
        <v>1</v>
      </c>
      <c r="M3456" s="371"/>
      <c r="N3456" s="355" t="str">
        <f t="shared" si="325"/>
        <v>PK</v>
      </c>
      <c r="O3456" s="404" t="s">
        <v>2704</v>
      </c>
      <c r="P3456" s="392"/>
      <c r="Q3456" s="327"/>
      <c r="R3456" s="351"/>
      <c r="S3456" s="351"/>
      <c r="T3456" s="351"/>
      <c r="U3456" s="329" t="str">
        <f>IF($N3456=$N$4,IFERROR(INDEX(DanhMuc!$E$154:$E$165,MATCH(MID($B3456,4,2),DanhMuc!$B$154:$B$165,0)),""),"")</f>
        <v/>
      </c>
      <c r="V3456" s="361"/>
      <c r="W3456" s="345"/>
      <c r="X3456" s="329" t="str">
        <f t="shared" si="283"/>
        <v>GQ</v>
      </c>
      <c r="Y3456" s="1128" t="s">
        <v>3380</v>
      </c>
      <c r="Z3456" s="1128" t="s">
        <v>3381</v>
      </c>
      <c r="AA3456" s="1128" t="s">
        <v>3384</v>
      </c>
      <c r="AB3456" s="20"/>
      <c r="AC3456" s="73"/>
    </row>
    <row r="3457" spans="1:29">
      <c r="A3457" s="327" t="str">
        <f>IF(AND($B3457&lt;&gt;"",$C3457&lt;&gt;""),MAX($A$1556:A3432)+1,"")</f>
        <v/>
      </c>
      <c r="B3457" s="361" t="s">
        <v>2011</v>
      </c>
      <c r="C3457" s="360"/>
      <c r="D3457" s="327">
        <f>IF($B3457="","",COUNTIF($B$6:$B3457,$B3457))</f>
        <v>6</v>
      </c>
      <c r="E3457" s="419" t="s">
        <v>964</v>
      </c>
      <c r="F3457" s="422" t="s">
        <v>966</v>
      </c>
      <c r="G3457" s="418" t="s">
        <v>155</v>
      </c>
      <c r="H3457" s="419"/>
      <c r="I3457" s="418">
        <v>1</v>
      </c>
      <c r="J3457" s="421"/>
      <c r="K3457" s="418"/>
      <c r="L3457" s="420">
        <v>1</v>
      </c>
      <c r="M3457" s="371"/>
      <c r="N3457" s="355" t="str">
        <f t="shared" si="325"/>
        <v>PK</v>
      </c>
      <c r="O3457" s="404" t="s">
        <v>1622</v>
      </c>
      <c r="P3457" s="392"/>
      <c r="Q3457" s="327"/>
      <c r="R3457" s="351"/>
      <c r="S3457" s="351"/>
      <c r="T3457" s="351"/>
      <c r="U3457" s="329" t="str">
        <f>IF($N3457=$N$4,IFERROR(INDEX(DanhMuc!$E$154:$E$165,MATCH(MID($B3457,4,2),DanhMuc!$B$154:$B$165,0)),""),"")</f>
        <v/>
      </c>
      <c r="V3457" s="361"/>
      <c r="W3457" s="345"/>
      <c r="X3457" s="329" t="str">
        <f t="shared" si="283"/>
        <v>GQ</v>
      </c>
      <c r="Y3457" s="1128" t="s">
        <v>3380</v>
      </c>
      <c r="Z3457" s="1128" t="s">
        <v>3381</v>
      </c>
      <c r="AA3457" s="1128" t="s">
        <v>3384</v>
      </c>
      <c r="AB3457" s="20"/>
      <c r="AC3457" s="73"/>
    </row>
    <row r="3458" spans="1:29">
      <c r="A3458" s="327" t="str">
        <f>IF(AND($B3458&lt;&gt;"",$C3458&lt;&gt;""),MAX($A$1556:A3433)+1,"")</f>
        <v/>
      </c>
      <c r="B3458" s="361" t="s">
        <v>2011</v>
      </c>
      <c r="C3458" s="360"/>
      <c r="D3458" s="327">
        <f>IF($B3458="","",COUNTIF($B$6:$B3458,$B3458))</f>
        <v>7</v>
      </c>
      <c r="E3458" s="423" t="s">
        <v>1105</v>
      </c>
      <c r="F3458" s="424" t="s">
        <v>1106</v>
      </c>
      <c r="G3458" s="425" t="s">
        <v>297</v>
      </c>
      <c r="H3458" s="426"/>
      <c r="I3458" s="425">
        <v>1</v>
      </c>
      <c r="J3458" s="427"/>
      <c r="K3458" s="425"/>
      <c r="L3458" s="428">
        <v>1</v>
      </c>
      <c r="M3458" s="371"/>
      <c r="N3458" s="355" t="str">
        <f t="shared" si="325"/>
        <v>PK</v>
      </c>
      <c r="O3458" s="404" t="s">
        <v>1623</v>
      </c>
      <c r="P3458" s="392"/>
      <c r="Q3458" s="327"/>
      <c r="R3458" s="351"/>
      <c r="S3458" s="351"/>
      <c r="T3458" s="351"/>
      <c r="U3458" s="329" t="str">
        <f>IF($N3458=$N$4,IFERROR(INDEX(DanhMuc!$E$154:$E$165,MATCH(MID($B3458,4,2),DanhMuc!$B$154:$B$165,0)),""),"")</f>
        <v/>
      </c>
      <c r="V3458" s="361"/>
      <c r="W3458" s="345"/>
      <c r="X3458" s="329" t="str">
        <f t="shared" si="283"/>
        <v>GQ</v>
      </c>
      <c r="Y3458" s="1128" t="s">
        <v>3380</v>
      </c>
      <c r="Z3458" s="1128" t="s">
        <v>3381</v>
      </c>
      <c r="AA3458" s="1128" t="s">
        <v>3384</v>
      </c>
      <c r="AB3458" s="20"/>
      <c r="AC3458" s="73"/>
    </row>
    <row r="3459" spans="1:29">
      <c r="A3459" s="327" t="str">
        <f>IF(AND($B3459&lt;&gt;"",$C3459&lt;&gt;""),MAX($A$1556:A3434)+1,"")</f>
        <v/>
      </c>
      <c r="B3459" s="361" t="s">
        <v>2011</v>
      </c>
      <c r="C3459" s="360"/>
      <c r="D3459" s="327">
        <f>IF($B3459="","",COUNTIF($B$6:$B3459,$B3459))</f>
        <v>8</v>
      </c>
      <c r="E3459" s="423" t="s">
        <v>432</v>
      </c>
      <c r="F3459" s="424" t="s">
        <v>434</v>
      </c>
      <c r="G3459" s="425" t="s">
        <v>344</v>
      </c>
      <c r="H3459" s="426"/>
      <c r="I3459" s="423" t="s">
        <v>1332</v>
      </c>
      <c r="J3459" s="427"/>
      <c r="K3459" s="425"/>
      <c r="L3459" s="428">
        <v>510000</v>
      </c>
      <c r="M3459" s="371"/>
      <c r="N3459" s="355" t="str">
        <f t="shared" si="325"/>
        <v>PK</v>
      </c>
      <c r="O3459" s="404" t="s">
        <v>1623</v>
      </c>
      <c r="P3459" s="392"/>
      <c r="Q3459" s="327"/>
      <c r="R3459" s="351"/>
      <c r="S3459" s="351"/>
      <c r="T3459" s="351"/>
      <c r="U3459" s="329" t="str">
        <f>IF($N3459=$N$4,IFERROR(INDEX(DanhMuc!$E$154:$E$165,MATCH(MID($B3459,4,2),DanhMuc!$B$154:$B$165,0)),""),"")</f>
        <v/>
      </c>
      <c r="V3459" s="361"/>
      <c r="W3459" s="345"/>
      <c r="X3459" s="329" t="str">
        <f t="shared" si="283"/>
        <v>GQ</v>
      </c>
      <c r="Y3459" s="1128" t="s">
        <v>3380</v>
      </c>
      <c r="Z3459" s="1128" t="s">
        <v>3381</v>
      </c>
      <c r="AA3459" s="1128" t="s">
        <v>3384</v>
      </c>
      <c r="AB3459" s="20"/>
      <c r="AC3459" s="73"/>
    </row>
    <row r="3460" spans="1:29">
      <c r="A3460" s="327" t="str">
        <f>IF(AND($B3460&lt;&gt;"",$C3460&lt;&gt;""),MAX($A$1556:A3435)+1,"")</f>
        <v/>
      </c>
      <c r="B3460" s="361" t="s">
        <v>2011</v>
      </c>
      <c r="C3460" s="360"/>
      <c r="D3460" s="327">
        <f>IF($B3460="","",COUNTIF($B$6:$B3460,$B3460))</f>
        <v>9</v>
      </c>
      <c r="E3460" s="423" t="s">
        <v>1107</v>
      </c>
      <c r="F3460" s="424" t="s">
        <v>1077</v>
      </c>
      <c r="G3460" s="425" t="s">
        <v>344</v>
      </c>
      <c r="H3460" s="426"/>
      <c r="I3460" s="423" t="s">
        <v>1334</v>
      </c>
      <c r="J3460" s="427"/>
      <c r="K3460" s="425"/>
      <c r="L3460" s="428">
        <v>548000</v>
      </c>
      <c r="M3460" s="371"/>
      <c r="N3460" s="355" t="str">
        <f t="shared" si="325"/>
        <v>PK</v>
      </c>
      <c r="O3460" s="404" t="s">
        <v>1623</v>
      </c>
      <c r="P3460" s="392"/>
      <c r="Q3460" s="327"/>
      <c r="R3460" s="351"/>
      <c r="S3460" s="351"/>
      <c r="T3460" s="351"/>
      <c r="U3460" s="329" t="str">
        <f>IF($N3460=$N$4,IFERROR(INDEX(DanhMuc!$E$154:$E$165,MATCH(MID($B3460,4,2),DanhMuc!$B$154:$B$165,0)),""),"")</f>
        <v/>
      </c>
      <c r="V3460" s="361"/>
      <c r="W3460" s="345"/>
      <c r="X3460" s="329" t="str">
        <f t="shared" si="283"/>
        <v>GQ</v>
      </c>
      <c r="Y3460" s="1128" t="s">
        <v>3380</v>
      </c>
      <c r="Z3460" s="1128" t="s">
        <v>3381</v>
      </c>
      <c r="AA3460" s="1128" t="s">
        <v>3384</v>
      </c>
      <c r="AB3460" s="20"/>
      <c r="AC3460" s="73"/>
    </row>
    <row r="3461" spans="1:29">
      <c r="A3461" s="327" t="str">
        <f>IF(AND($B3461&lt;&gt;"",$C3461&lt;&gt;""),MAX($A$1556:A3436)+1,"")</f>
        <v/>
      </c>
      <c r="B3461" s="361" t="s">
        <v>2011</v>
      </c>
      <c r="C3461" s="360"/>
      <c r="D3461" s="327">
        <f>IF($B3461="","",COUNTIF($B$6:$B3461,$B3461))</f>
        <v>10</v>
      </c>
      <c r="E3461" s="426" t="s">
        <v>962</v>
      </c>
      <c r="F3461" s="429" t="s">
        <v>1108</v>
      </c>
      <c r="G3461" s="425" t="s">
        <v>155</v>
      </c>
      <c r="H3461" s="426"/>
      <c r="I3461" s="425">
        <v>1</v>
      </c>
      <c r="J3461" s="427"/>
      <c r="K3461" s="425"/>
      <c r="L3461" s="428">
        <v>1</v>
      </c>
      <c r="M3461" s="371"/>
      <c r="N3461" s="355" t="str">
        <f t="shared" ref="N3461:N3474" si="326">+$N$1555</f>
        <v>PK</v>
      </c>
      <c r="O3461" s="404" t="s">
        <v>1624</v>
      </c>
      <c r="P3461" s="392"/>
      <c r="Q3461" s="327"/>
      <c r="R3461" s="351"/>
      <c r="S3461" s="351"/>
      <c r="T3461" s="351"/>
      <c r="U3461" s="329" t="str">
        <f>IF($N3461=$N$4,IFERROR(INDEX(DanhMuc!$E$154:$E$165,MATCH(MID($B3461,4,2),DanhMuc!$B$154:$B$165,0)),""),"")</f>
        <v/>
      </c>
      <c r="V3461" s="361"/>
      <c r="W3461" s="345"/>
      <c r="X3461" s="329" t="str">
        <f t="shared" si="283"/>
        <v>GQ</v>
      </c>
      <c r="Y3461" s="1128" t="s">
        <v>3380</v>
      </c>
      <c r="Z3461" s="1128" t="s">
        <v>3381</v>
      </c>
      <c r="AA3461" s="1128" t="s">
        <v>3384</v>
      </c>
      <c r="AB3461" s="20"/>
      <c r="AC3461" s="73"/>
    </row>
    <row r="3462" spans="1:29">
      <c r="A3462" s="327" t="str">
        <f>IF(AND($B3462&lt;&gt;"",$C3462&lt;&gt;""),MAX($A$1556:A3437)+1,"")</f>
        <v/>
      </c>
      <c r="B3462" s="361" t="s">
        <v>2011</v>
      </c>
      <c r="C3462" s="360"/>
      <c r="D3462" s="327">
        <f>IF($B3462="","",COUNTIF($B$6:$B3462,$B3462))</f>
        <v>11</v>
      </c>
      <c r="E3462" s="426" t="s">
        <v>963</v>
      </c>
      <c r="F3462" s="429" t="s">
        <v>1109</v>
      </c>
      <c r="G3462" s="425" t="s">
        <v>155</v>
      </c>
      <c r="H3462" s="426"/>
      <c r="I3462" s="425">
        <v>1</v>
      </c>
      <c r="J3462" s="427"/>
      <c r="K3462" s="425"/>
      <c r="L3462" s="428">
        <v>1</v>
      </c>
      <c r="M3462" s="371"/>
      <c r="N3462" s="355" t="str">
        <f t="shared" si="326"/>
        <v>PK</v>
      </c>
      <c r="O3462" s="404" t="s">
        <v>1625</v>
      </c>
      <c r="P3462" s="392"/>
      <c r="Q3462" s="327"/>
      <c r="R3462" s="351"/>
      <c r="S3462" s="351"/>
      <c r="T3462" s="351"/>
      <c r="U3462" s="329" t="str">
        <f>IF($N3462=$N$4,IFERROR(INDEX(DanhMuc!$E$154:$E$165,MATCH(MID($B3462,4,2),DanhMuc!$B$154:$B$165,0)),""),"")</f>
        <v/>
      </c>
      <c r="V3462" s="361"/>
      <c r="W3462" s="345"/>
      <c r="X3462" s="329" t="str">
        <f t="shared" si="283"/>
        <v>GQ</v>
      </c>
      <c r="Y3462" s="1128" t="s">
        <v>3380</v>
      </c>
      <c r="Z3462" s="1128" t="s">
        <v>3381</v>
      </c>
      <c r="AA3462" s="1128" t="s">
        <v>3384</v>
      </c>
      <c r="AB3462" s="20"/>
      <c r="AC3462" s="73"/>
    </row>
    <row r="3463" spans="1:29">
      <c r="A3463" s="327" t="str">
        <f>IF(AND($B3463&lt;&gt;"",$C3463&lt;&gt;""),MAX($A$1556:A3438)+1,"")</f>
        <v/>
      </c>
      <c r="B3463" s="361" t="s">
        <v>2011</v>
      </c>
      <c r="C3463" s="360"/>
      <c r="D3463" s="327">
        <f>IF($B3463="","",COUNTIF($B$6:$B3463,$B3463))</f>
        <v>12</v>
      </c>
      <c r="E3463" s="423" t="s">
        <v>967</v>
      </c>
      <c r="F3463" s="429" t="s">
        <v>968</v>
      </c>
      <c r="G3463" s="425" t="s">
        <v>155</v>
      </c>
      <c r="H3463" s="426"/>
      <c r="I3463" s="425">
        <v>1</v>
      </c>
      <c r="J3463" s="427"/>
      <c r="K3463" s="425"/>
      <c r="L3463" s="428">
        <v>1</v>
      </c>
      <c r="M3463" s="371"/>
      <c r="N3463" s="355" t="str">
        <f t="shared" si="326"/>
        <v>PK</v>
      </c>
      <c r="O3463" s="404" t="s">
        <v>2703</v>
      </c>
      <c r="P3463" s="392"/>
      <c r="Q3463" s="327"/>
      <c r="R3463" s="351"/>
      <c r="S3463" s="351"/>
      <c r="T3463" s="351"/>
      <c r="U3463" s="329" t="str">
        <f>IF($N3463=$N$4,IFERROR(INDEX(DanhMuc!$E$154:$E$165,MATCH(MID($B3463,4,2),DanhMuc!$B$154:$B$165,0)),""),"")</f>
        <v/>
      </c>
      <c r="V3463" s="361"/>
      <c r="W3463" s="345"/>
      <c r="X3463" s="329" t="str">
        <f t="shared" si="283"/>
        <v>GQ</v>
      </c>
      <c r="Y3463" s="1128" t="s">
        <v>3380</v>
      </c>
      <c r="Z3463" s="1128" t="s">
        <v>3381</v>
      </c>
      <c r="AA3463" s="1128" t="s">
        <v>3384</v>
      </c>
      <c r="AB3463" s="20"/>
      <c r="AC3463" s="73"/>
    </row>
    <row r="3464" spans="1:29">
      <c r="A3464" s="327" t="str">
        <f>IF(AND($B3464&lt;&gt;"",$C3464&lt;&gt;""),MAX($A$1556:A3439)+1,"")</f>
        <v/>
      </c>
      <c r="B3464" s="361" t="s">
        <v>2011</v>
      </c>
      <c r="C3464" s="360"/>
      <c r="D3464" s="327">
        <f>IF($B3464="","",COUNTIF($B$6:$B3464,$B3464))</f>
        <v>13</v>
      </c>
      <c r="E3464" s="423" t="s">
        <v>433</v>
      </c>
      <c r="F3464" s="424" t="s">
        <v>429</v>
      </c>
      <c r="G3464" s="425" t="s">
        <v>155</v>
      </c>
      <c r="H3464" s="426"/>
      <c r="I3464" s="425">
        <v>1</v>
      </c>
      <c r="J3464" s="427"/>
      <c r="K3464" s="425"/>
      <c r="L3464" s="428">
        <v>1</v>
      </c>
      <c r="M3464" s="371"/>
      <c r="N3464" s="355" t="str">
        <f t="shared" si="326"/>
        <v>PK</v>
      </c>
      <c r="O3464" s="404" t="s">
        <v>969</v>
      </c>
      <c r="P3464" s="392"/>
      <c r="Q3464" s="327"/>
      <c r="R3464" s="351"/>
      <c r="S3464" s="351"/>
      <c r="T3464" s="351"/>
      <c r="U3464" s="329" t="str">
        <f>IF($N3464=$N$4,IFERROR(INDEX(DanhMuc!$E$154:$E$165,MATCH(MID($B3464,4,2),DanhMuc!$B$154:$B$165,0)),""),"")</f>
        <v/>
      </c>
      <c r="V3464" s="361"/>
      <c r="W3464" s="345"/>
      <c r="X3464" s="329" t="str">
        <f t="shared" si="283"/>
        <v>GQ</v>
      </c>
      <c r="Y3464" s="1128" t="s">
        <v>3380</v>
      </c>
      <c r="Z3464" s="1128" t="s">
        <v>3381</v>
      </c>
      <c r="AA3464" s="1128" t="s">
        <v>3384</v>
      </c>
      <c r="AB3464" s="20"/>
      <c r="AC3464" s="73"/>
    </row>
    <row r="3465" spans="1:29">
      <c r="A3465" s="327" t="str">
        <f>IF(AND($B3465&lt;&gt;"",$C3465&lt;&gt;""),MAX($A$1556:A3440)+1,"")</f>
        <v/>
      </c>
      <c r="B3465" s="361" t="s">
        <v>2011</v>
      </c>
      <c r="C3465" s="360"/>
      <c r="D3465" s="327">
        <f>IF($B3465="","",COUNTIF($B$6:$B3465,$B3465))</f>
        <v>14</v>
      </c>
      <c r="E3465" s="423" t="s">
        <v>1006</v>
      </c>
      <c r="F3465" s="424" t="s">
        <v>1008</v>
      </c>
      <c r="G3465" s="425" t="s">
        <v>155</v>
      </c>
      <c r="H3465" s="426"/>
      <c r="I3465" s="425">
        <v>4</v>
      </c>
      <c r="J3465" s="427"/>
      <c r="K3465" s="425"/>
      <c r="L3465" s="428">
        <v>1</v>
      </c>
      <c r="M3465" s="371"/>
      <c r="N3465" s="355" t="str">
        <f t="shared" si="326"/>
        <v>PK</v>
      </c>
      <c r="O3465" s="404" t="s">
        <v>1624</v>
      </c>
      <c r="P3465" s="392"/>
      <c r="Q3465" s="327"/>
      <c r="R3465" s="351"/>
      <c r="S3465" s="351"/>
      <c r="T3465" s="351"/>
      <c r="U3465" s="329" t="str">
        <f>IF($N3465=$N$4,IFERROR(INDEX(DanhMuc!$E$154:$E$165,MATCH(MID($B3465,4,2),DanhMuc!$B$154:$B$165,0)),""),"")</f>
        <v/>
      </c>
      <c r="V3465" s="361"/>
      <c r="W3465" s="345"/>
      <c r="X3465" s="329" t="str">
        <f t="shared" si="283"/>
        <v>GQ</v>
      </c>
      <c r="Y3465" s="1128" t="s">
        <v>3380</v>
      </c>
      <c r="Z3465" s="1128" t="s">
        <v>3381</v>
      </c>
      <c r="AA3465" s="1128" t="s">
        <v>3384</v>
      </c>
      <c r="AB3465" s="20"/>
      <c r="AC3465" s="73"/>
    </row>
    <row r="3466" spans="1:29">
      <c r="A3466" s="327" t="str">
        <f>IF(AND($B3466&lt;&gt;"",$C3466&lt;&gt;""),MAX($A$1556:A3441)+1,"")</f>
        <v/>
      </c>
      <c r="B3466" s="361" t="s">
        <v>2011</v>
      </c>
      <c r="C3466" s="360"/>
      <c r="D3466" s="327">
        <f>IF($B3466="","",COUNTIF($B$6:$B3466,$B3466))</f>
        <v>15</v>
      </c>
      <c r="E3466" s="423" t="s">
        <v>1007</v>
      </c>
      <c r="F3466" s="424" t="s">
        <v>1009</v>
      </c>
      <c r="G3466" s="425" t="s">
        <v>155</v>
      </c>
      <c r="H3466" s="426"/>
      <c r="I3466" s="425">
        <v>4</v>
      </c>
      <c r="J3466" s="427"/>
      <c r="K3466" s="425"/>
      <c r="L3466" s="428">
        <v>1</v>
      </c>
      <c r="M3466" s="371"/>
      <c r="N3466" s="355" t="str">
        <f t="shared" si="326"/>
        <v>PK</v>
      </c>
      <c r="O3466" s="404" t="s">
        <v>1625</v>
      </c>
      <c r="P3466" s="392"/>
      <c r="Q3466" s="327"/>
      <c r="R3466" s="351"/>
      <c r="S3466" s="351"/>
      <c r="T3466" s="351"/>
      <c r="U3466" s="329" t="str">
        <f>IF($N3466=$N$4,IFERROR(INDEX(DanhMuc!$E$154:$E$165,MATCH(MID($B3466,4,2),DanhMuc!$B$154:$B$165,0)),""),"")</f>
        <v/>
      </c>
      <c r="V3466" s="361"/>
      <c r="W3466" s="345"/>
      <c r="X3466" s="329" t="str">
        <f t="shared" si="283"/>
        <v>GQ</v>
      </c>
      <c r="Y3466" s="1128" t="s">
        <v>3380</v>
      </c>
      <c r="Z3466" s="1128" t="s">
        <v>3381</v>
      </c>
      <c r="AA3466" s="1128" t="s">
        <v>3384</v>
      </c>
      <c r="AB3466" s="20"/>
      <c r="AC3466" s="73"/>
    </row>
    <row r="3467" spans="1:29">
      <c r="A3467" s="327" t="str">
        <f>IF(AND($B3467&lt;&gt;"",$C3467&lt;&gt;""),MAX($A$1556:A3442)+1,"")</f>
        <v/>
      </c>
      <c r="B3467" s="361" t="s">
        <v>2011</v>
      </c>
      <c r="C3467" s="360"/>
      <c r="D3467" s="327">
        <f>IF($B3467="","",COUNTIF($B$6:$B3467,$B3467))</f>
        <v>16</v>
      </c>
      <c r="E3467" s="430" t="s">
        <v>436</v>
      </c>
      <c r="F3467" s="431" t="s">
        <v>435</v>
      </c>
      <c r="G3467" s="351" t="s">
        <v>155</v>
      </c>
      <c r="H3467" s="361"/>
      <c r="I3467" s="327">
        <v>6</v>
      </c>
      <c r="J3467" s="345"/>
      <c r="K3467" s="327"/>
      <c r="L3467" s="389">
        <v>92000</v>
      </c>
      <c r="M3467" s="371"/>
      <c r="N3467" s="355" t="str">
        <f t="shared" si="326"/>
        <v>PK</v>
      </c>
      <c r="O3467" s="345" t="s">
        <v>1362</v>
      </c>
      <c r="P3467" s="392"/>
      <c r="Q3467" s="327"/>
      <c r="R3467" s="351"/>
      <c r="S3467" s="351"/>
      <c r="T3467" s="351"/>
      <c r="U3467" s="329" t="str">
        <f>IF($N3467=$N$4,IFERROR(INDEX(DanhMuc!$E$154:$E$165,MATCH(MID($B3467,4,2),DanhMuc!$B$154:$B$165,0)),""),"")</f>
        <v/>
      </c>
      <c r="V3467" s="361"/>
      <c r="W3467" s="345"/>
      <c r="X3467" s="329" t="str">
        <f t="shared" si="283"/>
        <v>GQ</v>
      </c>
      <c r="Y3467" s="1128" t="s">
        <v>3380</v>
      </c>
      <c r="Z3467" s="1128" t="s">
        <v>3381</v>
      </c>
      <c r="AA3467" s="1128" t="s">
        <v>3384</v>
      </c>
      <c r="AB3467" s="20"/>
      <c r="AC3467" s="73"/>
    </row>
    <row r="3468" spans="1:29">
      <c r="A3468" s="327" t="str">
        <f>IF(AND($B3468&lt;&gt;"",$C3468&lt;&gt;""),MAX($A$1556:A3443)+1,"")</f>
        <v/>
      </c>
      <c r="B3468" s="361" t="s">
        <v>2011</v>
      </c>
      <c r="C3468" s="360"/>
      <c r="D3468" s="327">
        <f>IF($B3468="","",COUNTIF($B$6:$B3468,$B3468))</f>
        <v>17</v>
      </c>
      <c r="E3468" s="430" t="s">
        <v>440</v>
      </c>
      <c r="F3468" s="431" t="s">
        <v>439</v>
      </c>
      <c r="G3468" s="351" t="s">
        <v>155</v>
      </c>
      <c r="H3468" s="361"/>
      <c r="I3468" s="327">
        <v>6</v>
      </c>
      <c r="J3468" s="345"/>
      <c r="K3468" s="327"/>
      <c r="L3468" s="389">
        <v>135000</v>
      </c>
      <c r="M3468" s="371"/>
      <c r="N3468" s="355" t="str">
        <f t="shared" si="326"/>
        <v>PK</v>
      </c>
      <c r="O3468" s="345" t="s">
        <v>441</v>
      </c>
      <c r="P3468" s="392"/>
      <c r="Q3468" s="327"/>
      <c r="R3468" s="351"/>
      <c r="S3468" s="351"/>
      <c r="T3468" s="351"/>
      <c r="U3468" s="329" t="str">
        <f>IF($N3468=$N$4,IFERROR(INDEX(DanhMuc!$E$154:$E$165,MATCH(MID($B3468,4,2),DanhMuc!$B$154:$B$165,0)),""),"")</f>
        <v/>
      </c>
      <c r="V3468" s="361"/>
      <c r="W3468" s="345"/>
      <c r="X3468" s="329" t="str">
        <f t="shared" si="283"/>
        <v>GQ</v>
      </c>
      <c r="Y3468" s="1128" t="s">
        <v>3380</v>
      </c>
      <c r="Z3468" s="1128" t="s">
        <v>3381</v>
      </c>
      <c r="AA3468" s="1128" t="s">
        <v>3384</v>
      </c>
      <c r="AB3468" s="20"/>
      <c r="AC3468" s="73"/>
    </row>
    <row r="3469" spans="1:29">
      <c r="A3469" s="327" t="str">
        <f>IF(AND($B3469&lt;&gt;"",$C3469&lt;&gt;""),MAX($A$1556:A3444)+1,"")</f>
        <v/>
      </c>
      <c r="B3469" s="361" t="s">
        <v>2011</v>
      </c>
      <c r="C3469" s="360"/>
      <c r="D3469" s="327">
        <f>IF($B3469="","",COUNTIF($B$6:$B3469,$B3469))</f>
        <v>18</v>
      </c>
      <c r="E3469" s="411" t="s">
        <v>1019</v>
      </c>
      <c r="F3469" s="432" t="s">
        <v>1020</v>
      </c>
      <c r="G3469" s="410" t="s">
        <v>344</v>
      </c>
      <c r="H3469" s="402"/>
      <c r="I3469" s="411" t="s">
        <v>1335</v>
      </c>
      <c r="J3469" s="345"/>
      <c r="K3469" s="327"/>
      <c r="L3469" s="389">
        <v>190000</v>
      </c>
      <c r="M3469" s="371"/>
      <c r="N3469" s="355" t="str">
        <f t="shared" si="326"/>
        <v>PK</v>
      </c>
      <c r="O3469" s="345"/>
      <c r="P3469" s="392"/>
      <c r="Q3469" s="327"/>
      <c r="R3469" s="351"/>
      <c r="S3469" s="351"/>
      <c r="T3469" s="351"/>
      <c r="U3469" s="329" t="str">
        <f>IF($N3469=$N$4,IFERROR(INDEX(DanhMuc!$E$154:$E$165,MATCH(MID($B3469,4,2),DanhMuc!$B$154:$B$165,0)),""),"")</f>
        <v/>
      </c>
      <c r="V3469" s="361"/>
      <c r="W3469" s="345"/>
      <c r="X3469" s="329" t="str">
        <f t="shared" si="283"/>
        <v>GQ</v>
      </c>
      <c r="Y3469" s="1128" t="s">
        <v>3380</v>
      </c>
      <c r="Z3469" s="1128" t="s">
        <v>3381</v>
      </c>
      <c r="AA3469" s="1128" t="s">
        <v>3384</v>
      </c>
      <c r="AB3469" s="20"/>
      <c r="AC3469" s="73"/>
    </row>
    <row r="3470" spans="1:29">
      <c r="A3470" s="327" t="str">
        <f>IF(AND($B3470&lt;&gt;"",$C3470&lt;&gt;""),MAX($A$1556:A3445)+1,"")</f>
        <v/>
      </c>
      <c r="B3470" s="361" t="s">
        <v>2011</v>
      </c>
      <c r="C3470" s="360"/>
      <c r="D3470" s="327">
        <f>IF($B3470="","",COUNTIF($B$6:$B3470,$B3470))</f>
        <v>19</v>
      </c>
      <c r="E3470" s="411" t="s">
        <v>1021</v>
      </c>
      <c r="F3470" s="432" t="s">
        <v>1022</v>
      </c>
      <c r="G3470" s="410" t="s">
        <v>344</v>
      </c>
      <c r="H3470" s="402"/>
      <c r="I3470" s="411" t="s">
        <v>1336</v>
      </c>
      <c r="J3470" s="345"/>
      <c r="K3470" s="327"/>
      <c r="L3470" s="389">
        <v>195000</v>
      </c>
      <c r="M3470" s="371"/>
      <c r="N3470" s="355" t="str">
        <f t="shared" si="326"/>
        <v>PK</v>
      </c>
      <c r="O3470" s="345"/>
      <c r="P3470" s="392"/>
      <c r="Q3470" s="327"/>
      <c r="R3470" s="351"/>
      <c r="S3470" s="351"/>
      <c r="T3470" s="351"/>
      <c r="U3470" s="329" t="str">
        <f>IF($N3470=$N$4,IFERROR(INDEX(DanhMuc!$E$154:$E$165,MATCH(MID($B3470,4,2),DanhMuc!$B$154:$B$165,0)),""),"")</f>
        <v/>
      </c>
      <c r="V3470" s="361"/>
      <c r="W3470" s="345"/>
      <c r="X3470" s="329" t="str">
        <f t="shared" si="283"/>
        <v>GQ</v>
      </c>
      <c r="Y3470" s="1128" t="s">
        <v>3380</v>
      </c>
      <c r="Z3470" s="1128" t="s">
        <v>3381</v>
      </c>
      <c r="AA3470" s="1128" t="s">
        <v>3384</v>
      </c>
      <c r="AB3470" s="20"/>
      <c r="AC3470" s="73"/>
    </row>
    <row r="3471" spans="1:29">
      <c r="A3471" s="327" t="str">
        <f>IF(AND($B3471&lt;&gt;"",$C3471&lt;&gt;""),MAX($A$1556:A3446)+1,"")</f>
        <v/>
      </c>
      <c r="B3471" s="361" t="s">
        <v>2011</v>
      </c>
      <c r="C3471" s="360"/>
      <c r="D3471" s="327">
        <f>IF($B3471="","",COUNTIF($B$6:$B3471,$B3471))</f>
        <v>20</v>
      </c>
      <c r="E3471" s="430" t="s">
        <v>980</v>
      </c>
      <c r="F3471" s="431" t="s">
        <v>978</v>
      </c>
      <c r="G3471" s="327" t="s">
        <v>297</v>
      </c>
      <c r="H3471" s="361"/>
      <c r="I3471" s="327">
        <v>2</v>
      </c>
      <c r="J3471" s="345"/>
      <c r="K3471" s="327"/>
      <c r="L3471" s="389">
        <v>1</v>
      </c>
      <c r="M3471" s="371"/>
      <c r="N3471" s="355" t="str">
        <f t="shared" si="326"/>
        <v>PK</v>
      </c>
      <c r="O3471" s="345"/>
      <c r="P3471" s="392"/>
      <c r="Q3471" s="327"/>
      <c r="R3471" s="351"/>
      <c r="S3471" s="351"/>
      <c r="T3471" s="351"/>
      <c r="U3471" s="329" t="str">
        <f>IF($N3471=$N$4,IFERROR(INDEX(DanhMuc!$E$154:$E$165,MATCH(MID($B3471,4,2),DanhMuc!$B$154:$B$165,0)),""),"")</f>
        <v/>
      </c>
      <c r="V3471" s="361"/>
      <c r="W3471" s="345"/>
      <c r="X3471" s="329" t="str">
        <f t="shared" si="283"/>
        <v>GQ</v>
      </c>
      <c r="Y3471" s="1128" t="s">
        <v>3380</v>
      </c>
      <c r="Z3471" s="1128" t="s">
        <v>3381</v>
      </c>
      <c r="AA3471" s="1128" t="s">
        <v>3384</v>
      </c>
      <c r="AB3471" s="20"/>
      <c r="AC3471" s="73"/>
    </row>
    <row r="3472" spans="1:29">
      <c r="A3472" s="327" t="str">
        <f>IF(AND($B3472&lt;&gt;"",$C3472&lt;&gt;""),MAX($A$1556:A3447)+1,"")</f>
        <v/>
      </c>
      <c r="B3472" s="361" t="s">
        <v>2011</v>
      </c>
      <c r="C3472" s="360"/>
      <c r="D3472" s="327">
        <f>IF($B3472="","",COUNTIF($B$6:$B3472,$B3472))</f>
        <v>21</v>
      </c>
      <c r="E3472" s="430" t="s">
        <v>1005</v>
      </c>
      <c r="F3472" s="431" t="s">
        <v>979</v>
      </c>
      <c r="G3472" s="327" t="s">
        <v>155</v>
      </c>
      <c r="H3472" s="361"/>
      <c r="I3472" s="327">
        <v>1</v>
      </c>
      <c r="J3472" s="345"/>
      <c r="K3472" s="327"/>
      <c r="L3472" s="389">
        <v>1</v>
      </c>
      <c r="M3472" s="371"/>
      <c r="N3472" s="355" t="str">
        <f t="shared" si="326"/>
        <v>PK</v>
      </c>
      <c r="O3472" s="345"/>
      <c r="P3472" s="392"/>
      <c r="Q3472" s="327"/>
      <c r="R3472" s="351"/>
      <c r="S3472" s="351"/>
      <c r="T3472" s="351"/>
      <c r="U3472" s="329" t="str">
        <f>IF($N3472=$N$4,IFERROR(INDEX(DanhMuc!$E$154:$E$165,MATCH(MID($B3472,4,2),DanhMuc!$B$154:$B$165,0)),""),"")</f>
        <v/>
      </c>
      <c r="V3472" s="361"/>
      <c r="W3472" s="345"/>
      <c r="X3472" s="329" t="str">
        <f t="shared" si="283"/>
        <v>GQ</v>
      </c>
      <c r="Y3472" s="1128" t="s">
        <v>3380</v>
      </c>
      <c r="Z3472" s="1128" t="s">
        <v>3381</v>
      </c>
      <c r="AA3472" s="1128" t="s">
        <v>3384</v>
      </c>
      <c r="AB3472" s="20"/>
      <c r="AC3472" s="73"/>
    </row>
    <row r="3473" spans="1:29">
      <c r="A3473" s="327" t="str">
        <f>IF(AND($B3473&lt;&gt;"",$C3473&lt;&gt;""),MAX($A$1556:A3448)+1,"")</f>
        <v/>
      </c>
      <c r="B3473" s="361" t="s">
        <v>2011</v>
      </c>
      <c r="C3473" s="360"/>
      <c r="D3473" s="327">
        <f>IF($B3473="","",COUNTIF($B$6:$B3473,$B3473))</f>
        <v>22</v>
      </c>
      <c r="E3473" s="430" t="s">
        <v>1110</v>
      </c>
      <c r="F3473" s="431" t="s">
        <v>1112</v>
      </c>
      <c r="G3473" s="327" t="s">
        <v>155</v>
      </c>
      <c r="H3473" s="361"/>
      <c r="I3473" s="327">
        <v>1</v>
      </c>
      <c r="J3473" s="345"/>
      <c r="K3473" s="327"/>
      <c r="L3473" s="389">
        <v>5500</v>
      </c>
      <c r="M3473" s="371"/>
      <c r="N3473" s="355" t="str">
        <f t="shared" si="326"/>
        <v>PK</v>
      </c>
      <c r="O3473" s="345"/>
      <c r="P3473" s="392"/>
      <c r="Q3473" s="327"/>
      <c r="R3473" s="351"/>
      <c r="S3473" s="351"/>
      <c r="T3473" s="351"/>
      <c r="U3473" s="329" t="str">
        <f>IF($N3473=$N$4,IFERROR(INDEX(DanhMuc!$E$154:$E$165,MATCH(MID($B3473,4,2),DanhMuc!$B$154:$B$165,0)),""),"")</f>
        <v/>
      </c>
      <c r="V3473" s="361"/>
      <c r="W3473" s="345"/>
      <c r="X3473" s="329" t="str">
        <f t="shared" si="283"/>
        <v>GQ</v>
      </c>
      <c r="Y3473" s="1128" t="s">
        <v>3380</v>
      </c>
      <c r="Z3473" s="1128" t="s">
        <v>3381</v>
      </c>
      <c r="AA3473" s="1128" t="s">
        <v>3384</v>
      </c>
      <c r="AB3473" s="20"/>
      <c r="AC3473" s="73"/>
    </row>
    <row r="3474" spans="1:29">
      <c r="A3474" s="327" t="str">
        <f>IF(AND($B3474&lt;&gt;"",$C3474&lt;&gt;""),MAX($A$1556:A3449)+1,"")</f>
        <v/>
      </c>
      <c r="B3474" s="361" t="s">
        <v>2011</v>
      </c>
      <c r="C3474" s="360"/>
      <c r="D3474" s="327">
        <f>IF($B3474="","",COUNTIF($B$6:$B3474,$B3474))</f>
        <v>23</v>
      </c>
      <c r="E3474" s="430" t="s">
        <v>1111</v>
      </c>
      <c r="F3474" s="431" t="s">
        <v>1113</v>
      </c>
      <c r="G3474" s="327" t="s">
        <v>155</v>
      </c>
      <c r="H3474" s="361"/>
      <c r="I3474" s="327">
        <v>1</v>
      </c>
      <c r="J3474" s="345"/>
      <c r="K3474" s="327"/>
      <c r="L3474" s="389">
        <v>5500</v>
      </c>
      <c r="M3474" s="371"/>
      <c r="N3474" s="355" t="str">
        <f t="shared" si="326"/>
        <v>PK</v>
      </c>
      <c r="O3474" s="345"/>
      <c r="P3474" s="392"/>
      <c r="Q3474" s="327"/>
      <c r="R3474" s="351"/>
      <c r="S3474" s="351"/>
      <c r="T3474" s="351"/>
      <c r="U3474" s="329" t="str">
        <f>IF($N3474=$N$4,IFERROR(INDEX(DanhMuc!$E$154:$E$165,MATCH(MID($B3474,4,2),DanhMuc!$B$154:$B$165,0)),""),"")</f>
        <v/>
      </c>
      <c r="V3474" s="361"/>
      <c r="W3474" s="345"/>
      <c r="X3474" s="329" t="str">
        <f t="shared" si="283"/>
        <v>GQ</v>
      </c>
      <c r="Y3474" s="1128" t="s">
        <v>3380</v>
      </c>
      <c r="Z3474" s="1128" t="s">
        <v>3381</v>
      </c>
      <c r="AA3474" s="1128" t="s">
        <v>3384</v>
      </c>
      <c r="AB3474" s="20"/>
      <c r="AC3474" s="73"/>
    </row>
    <row r="3475" spans="1:29" ht="26">
      <c r="A3475" s="327">
        <f>IF(AND($B3475&lt;&gt;"",$C3475&lt;&gt;""),MAX($A$1556:A3450)+1,"")</f>
        <v>173</v>
      </c>
      <c r="B3475" s="359" t="s">
        <v>2012</v>
      </c>
      <c r="C3475" s="370" t="s">
        <v>1559</v>
      </c>
      <c r="D3475" s="327">
        <f>IF($B3475="","",COUNTIF($B$6:$B3475,$B3475))</f>
        <v>1</v>
      </c>
      <c r="E3475" s="416" t="s">
        <v>957</v>
      </c>
      <c r="F3475" s="417" t="s">
        <v>1104</v>
      </c>
      <c r="G3475" s="418" t="s">
        <v>297</v>
      </c>
      <c r="H3475" s="419"/>
      <c r="I3475" s="418">
        <v>1</v>
      </c>
      <c r="J3475" s="419"/>
      <c r="K3475" s="418"/>
      <c r="L3475" s="420">
        <v>1</v>
      </c>
      <c r="M3475" s="371"/>
      <c r="N3475" s="355" t="str">
        <f t="shared" ref="N3475:N3506" si="327">+$N$1555</f>
        <v>PK</v>
      </c>
      <c r="O3475" s="404" t="s">
        <v>1626</v>
      </c>
      <c r="P3475" s="392"/>
      <c r="Q3475" s="327"/>
      <c r="R3475" s="351"/>
      <c r="S3475" s="351"/>
      <c r="T3475" s="351"/>
      <c r="U3475" s="329" t="str">
        <f>IF($N3475=$N$4,IFERROR(INDEX(DanhMuc!$E$154:$E$165,MATCH(MID($B3475,4,2),DanhMuc!$B$154:$B$165,0)),""),"")</f>
        <v/>
      </c>
      <c r="V3475" s="361"/>
      <c r="W3475" s="345"/>
      <c r="X3475" s="329" t="str">
        <f t="shared" si="283"/>
        <v>GQ</v>
      </c>
      <c r="Y3475" s="1128" t="s">
        <v>3380</v>
      </c>
      <c r="Z3475" s="1128" t="s">
        <v>3381</v>
      </c>
      <c r="AA3475" s="1128" t="s">
        <v>3384</v>
      </c>
      <c r="AB3475" s="20"/>
      <c r="AC3475" s="73"/>
    </row>
    <row r="3476" spans="1:29">
      <c r="A3476" s="327" t="str">
        <f>IF(AND($B3476&lt;&gt;"",$C3476&lt;&gt;""),MAX($A$1556:A3451)+1,"")</f>
        <v/>
      </c>
      <c r="B3476" s="361" t="s">
        <v>2012</v>
      </c>
      <c r="C3476" s="360"/>
      <c r="D3476" s="327">
        <f>IF($B3476="","",COUNTIF($B$6:$B3476,$B3476))</f>
        <v>2</v>
      </c>
      <c r="E3476" s="419" t="s">
        <v>430</v>
      </c>
      <c r="F3476" s="417" t="s">
        <v>428</v>
      </c>
      <c r="G3476" s="418" t="s">
        <v>344</v>
      </c>
      <c r="H3476" s="419"/>
      <c r="I3476" s="418">
        <v>1</v>
      </c>
      <c r="J3476" s="421"/>
      <c r="K3476" s="418"/>
      <c r="L3476" s="420">
        <v>265000</v>
      </c>
      <c r="M3476" s="371"/>
      <c r="N3476" s="355" t="str">
        <f t="shared" si="327"/>
        <v>PK</v>
      </c>
      <c r="O3476" s="404" t="s">
        <v>1626</v>
      </c>
      <c r="P3476" s="392"/>
      <c r="Q3476" s="327"/>
      <c r="R3476" s="351"/>
      <c r="S3476" s="351"/>
      <c r="T3476" s="351"/>
      <c r="U3476" s="329" t="str">
        <f>IF($N3476=$N$4,IFERROR(INDEX(DanhMuc!$E$154:$E$165,MATCH(MID($B3476,4,2),DanhMuc!$B$154:$B$165,0)),""),"")</f>
        <v/>
      </c>
      <c r="V3476" s="361"/>
      <c r="W3476" s="345"/>
      <c r="X3476" s="329" t="str">
        <f t="shared" si="283"/>
        <v>GQ</v>
      </c>
      <c r="Y3476" s="1128" t="s">
        <v>3380</v>
      </c>
      <c r="Z3476" s="1128" t="s">
        <v>3381</v>
      </c>
      <c r="AA3476" s="1128" t="s">
        <v>3384</v>
      </c>
      <c r="AB3476" s="20"/>
      <c r="AC3476" s="73"/>
    </row>
    <row r="3477" spans="1:29">
      <c r="A3477" s="327" t="str">
        <f>IF(AND($B3477&lt;&gt;"",$C3477&lt;&gt;""),MAX($A$1556:A3452)+1,"")</f>
        <v/>
      </c>
      <c r="B3477" s="361" t="s">
        <v>2012</v>
      </c>
      <c r="C3477" s="360"/>
      <c r="D3477" s="327">
        <f>IF($B3477="","",COUNTIF($B$6:$B3477,$B3477))</f>
        <v>3</v>
      </c>
      <c r="E3477" s="419" t="s">
        <v>962</v>
      </c>
      <c r="F3477" s="417" t="s">
        <v>1108</v>
      </c>
      <c r="G3477" s="418" t="s">
        <v>155</v>
      </c>
      <c r="H3477" s="419"/>
      <c r="I3477" s="418">
        <v>1</v>
      </c>
      <c r="J3477" s="421"/>
      <c r="K3477" s="418"/>
      <c r="L3477" s="420">
        <v>1</v>
      </c>
      <c r="M3477" s="371"/>
      <c r="N3477" s="355" t="str">
        <f t="shared" si="327"/>
        <v>PK</v>
      </c>
      <c r="O3477" s="404" t="s">
        <v>1629</v>
      </c>
      <c r="P3477" s="392"/>
      <c r="Q3477" s="327"/>
      <c r="R3477" s="351"/>
      <c r="S3477" s="351"/>
      <c r="T3477" s="351"/>
      <c r="U3477" s="329" t="str">
        <f>IF($N3477=$N$4,IFERROR(INDEX(DanhMuc!$E$154:$E$165,MATCH(MID($B3477,4,2),DanhMuc!$B$154:$B$165,0)),""),"")</f>
        <v/>
      </c>
      <c r="V3477" s="361"/>
      <c r="W3477" s="345"/>
      <c r="X3477" s="329" t="str">
        <f t="shared" ref="X3477:X3540" si="328">IF($N3477="PR",$E3477,MID($B3477,10,2))</f>
        <v>GQ</v>
      </c>
      <c r="Y3477" s="1128" t="s">
        <v>3380</v>
      </c>
      <c r="Z3477" s="1128" t="s">
        <v>3381</v>
      </c>
      <c r="AA3477" s="1128" t="s">
        <v>3384</v>
      </c>
      <c r="AB3477" s="20"/>
      <c r="AC3477" s="73"/>
    </row>
    <row r="3478" spans="1:29">
      <c r="A3478" s="327" t="str">
        <f>IF(AND($B3478&lt;&gt;"",$C3478&lt;&gt;""),MAX($A$1556:A3453)+1,"")</f>
        <v/>
      </c>
      <c r="B3478" s="361" t="s">
        <v>2012</v>
      </c>
      <c r="C3478" s="360"/>
      <c r="D3478" s="327">
        <f>IF($B3478="","",COUNTIF($B$6:$B3478,$B3478))</f>
        <v>4</v>
      </c>
      <c r="E3478" s="419" t="s">
        <v>963</v>
      </c>
      <c r="F3478" s="417" t="s">
        <v>1109</v>
      </c>
      <c r="G3478" s="418" t="s">
        <v>155</v>
      </c>
      <c r="H3478" s="419"/>
      <c r="I3478" s="418">
        <v>1</v>
      </c>
      <c r="J3478" s="421"/>
      <c r="K3478" s="418"/>
      <c r="L3478" s="420">
        <v>1</v>
      </c>
      <c r="M3478" s="371"/>
      <c r="N3478" s="355" t="str">
        <f t="shared" si="327"/>
        <v>PK</v>
      </c>
      <c r="O3478" s="404" t="s">
        <v>1630</v>
      </c>
      <c r="P3478" s="392"/>
      <c r="Q3478" s="327"/>
      <c r="R3478" s="351"/>
      <c r="S3478" s="351"/>
      <c r="T3478" s="351"/>
      <c r="U3478" s="329" t="str">
        <f>IF($N3478=$N$4,IFERROR(INDEX(DanhMuc!$E$154:$E$165,MATCH(MID($B3478,4,2),DanhMuc!$B$154:$B$165,0)),""),"")</f>
        <v/>
      </c>
      <c r="V3478" s="361"/>
      <c r="W3478" s="345"/>
      <c r="X3478" s="329" t="str">
        <f t="shared" si="328"/>
        <v>GQ</v>
      </c>
      <c r="Y3478" s="1128" t="s">
        <v>3380</v>
      </c>
      <c r="Z3478" s="1128" t="s">
        <v>3381</v>
      </c>
      <c r="AA3478" s="1128" t="s">
        <v>3384</v>
      </c>
      <c r="AB3478" s="20"/>
      <c r="AC3478" s="73"/>
    </row>
    <row r="3479" spans="1:29">
      <c r="A3479" s="327" t="str">
        <f>IF(AND($B3479&lt;&gt;"",$C3479&lt;&gt;""),MAX($A$1556:A3454)+1,"")</f>
        <v/>
      </c>
      <c r="B3479" s="361" t="s">
        <v>2012</v>
      </c>
      <c r="C3479" s="360"/>
      <c r="D3479" s="327">
        <f>IF($B3479="","",COUNTIF($B$6:$B3479,$B3479))</f>
        <v>5</v>
      </c>
      <c r="E3479" s="419" t="s">
        <v>431</v>
      </c>
      <c r="F3479" s="417" t="s">
        <v>965</v>
      </c>
      <c r="G3479" s="418" t="s">
        <v>155</v>
      </c>
      <c r="H3479" s="419"/>
      <c r="I3479" s="418">
        <v>1</v>
      </c>
      <c r="J3479" s="421"/>
      <c r="K3479" s="418"/>
      <c r="L3479" s="420">
        <v>1</v>
      </c>
      <c r="M3479" s="371"/>
      <c r="N3479" s="355" t="str">
        <f t="shared" si="327"/>
        <v>PK</v>
      </c>
      <c r="O3479" s="404" t="s">
        <v>2704</v>
      </c>
      <c r="P3479" s="392"/>
      <c r="Q3479" s="327"/>
      <c r="R3479" s="351"/>
      <c r="S3479" s="351"/>
      <c r="T3479" s="351"/>
      <c r="U3479" s="329" t="str">
        <f>IF($N3479=$N$4,IFERROR(INDEX(DanhMuc!$E$154:$E$165,MATCH(MID($B3479,4,2),DanhMuc!$B$154:$B$165,0)),""),"")</f>
        <v/>
      </c>
      <c r="V3479" s="361"/>
      <c r="W3479" s="345"/>
      <c r="X3479" s="329" t="str">
        <f t="shared" si="328"/>
        <v>GQ</v>
      </c>
      <c r="Y3479" s="1128" t="s">
        <v>3380</v>
      </c>
      <c r="Z3479" s="1128" t="s">
        <v>3381</v>
      </c>
      <c r="AA3479" s="1128" t="s">
        <v>3384</v>
      </c>
      <c r="AB3479" s="20"/>
      <c r="AC3479" s="73"/>
    </row>
    <row r="3480" spans="1:29">
      <c r="A3480" s="327" t="str">
        <f>IF(AND($B3480&lt;&gt;"",$C3480&lt;&gt;""),MAX($A$1556:A3455)+1,"")</f>
        <v/>
      </c>
      <c r="B3480" s="361" t="s">
        <v>2012</v>
      </c>
      <c r="C3480" s="360"/>
      <c r="D3480" s="327">
        <f>IF($B3480="","",COUNTIF($B$6:$B3480,$B3480))</f>
        <v>6</v>
      </c>
      <c r="E3480" s="419" t="s">
        <v>964</v>
      </c>
      <c r="F3480" s="422" t="s">
        <v>966</v>
      </c>
      <c r="G3480" s="418" t="s">
        <v>155</v>
      </c>
      <c r="H3480" s="419"/>
      <c r="I3480" s="418">
        <v>1</v>
      </c>
      <c r="J3480" s="421"/>
      <c r="K3480" s="418"/>
      <c r="L3480" s="420">
        <v>1</v>
      </c>
      <c r="M3480" s="371"/>
      <c r="N3480" s="355" t="str">
        <f t="shared" si="327"/>
        <v>PK</v>
      </c>
      <c r="O3480" s="404" t="s">
        <v>1622</v>
      </c>
      <c r="P3480" s="392"/>
      <c r="Q3480" s="327"/>
      <c r="R3480" s="351"/>
      <c r="S3480" s="351"/>
      <c r="T3480" s="351"/>
      <c r="U3480" s="329" t="str">
        <f>IF($N3480=$N$4,IFERROR(INDEX(DanhMuc!$E$154:$E$165,MATCH(MID($B3480,4,2),DanhMuc!$B$154:$B$165,0)),""),"")</f>
        <v/>
      </c>
      <c r="V3480" s="361"/>
      <c r="W3480" s="345"/>
      <c r="X3480" s="329" t="str">
        <f t="shared" si="328"/>
        <v>GQ</v>
      </c>
      <c r="Y3480" s="1128" t="s">
        <v>3380</v>
      </c>
      <c r="Z3480" s="1128" t="s">
        <v>3381</v>
      </c>
      <c r="AA3480" s="1128" t="s">
        <v>3384</v>
      </c>
      <c r="AB3480" s="20"/>
      <c r="AC3480" s="73"/>
    </row>
    <row r="3481" spans="1:29">
      <c r="A3481" s="327" t="str">
        <f>IF(AND($B3481&lt;&gt;"",$C3481&lt;&gt;""),MAX($A$1556:A3456)+1,"")</f>
        <v/>
      </c>
      <c r="B3481" s="361" t="s">
        <v>2012</v>
      </c>
      <c r="C3481" s="360"/>
      <c r="D3481" s="327">
        <f>IF($B3481="","",COUNTIF($B$6:$B3481,$B3481))</f>
        <v>7</v>
      </c>
      <c r="E3481" s="423" t="s">
        <v>1105</v>
      </c>
      <c r="F3481" s="424" t="s">
        <v>1106</v>
      </c>
      <c r="G3481" s="425" t="s">
        <v>297</v>
      </c>
      <c r="H3481" s="426"/>
      <c r="I3481" s="425">
        <v>1</v>
      </c>
      <c r="J3481" s="427"/>
      <c r="K3481" s="425"/>
      <c r="L3481" s="428">
        <v>1</v>
      </c>
      <c r="M3481" s="371"/>
      <c r="N3481" s="355" t="str">
        <f t="shared" si="327"/>
        <v>PK</v>
      </c>
      <c r="O3481" s="404" t="s">
        <v>1623</v>
      </c>
      <c r="P3481" s="392"/>
      <c r="Q3481" s="327"/>
      <c r="R3481" s="351"/>
      <c r="S3481" s="351"/>
      <c r="T3481" s="351"/>
      <c r="U3481" s="329" t="str">
        <f>IF($N3481=$N$4,IFERROR(INDEX(DanhMuc!$E$154:$E$165,MATCH(MID($B3481,4,2),DanhMuc!$B$154:$B$165,0)),""),"")</f>
        <v/>
      </c>
      <c r="V3481" s="361"/>
      <c r="W3481" s="345"/>
      <c r="X3481" s="329" t="str">
        <f t="shared" si="328"/>
        <v>GQ</v>
      </c>
      <c r="Y3481" s="1128" t="s">
        <v>3380</v>
      </c>
      <c r="Z3481" s="1128" t="s">
        <v>3381</v>
      </c>
      <c r="AA3481" s="1128" t="s">
        <v>3384</v>
      </c>
      <c r="AB3481" s="20"/>
      <c r="AC3481" s="73"/>
    </row>
    <row r="3482" spans="1:29">
      <c r="A3482" s="327" t="str">
        <f>IF(AND($B3482&lt;&gt;"",$C3482&lt;&gt;""),MAX($A$1556:A3457)+1,"")</f>
        <v/>
      </c>
      <c r="B3482" s="361" t="s">
        <v>2012</v>
      </c>
      <c r="C3482" s="360"/>
      <c r="D3482" s="327">
        <f>IF($B3482="","",COUNTIF($B$6:$B3482,$B3482))</f>
        <v>8</v>
      </c>
      <c r="E3482" s="423" t="s">
        <v>432</v>
      </c>
      <c r="F3482" s="424" t="s">
        <v>434</v>
      </c>
      <c r="G3482" s="425" t="s">
        <v>344</v>
      </c>
      <c r="H3482" s="426"/>
      <c r="I3482" s="423" t="s">
        <v>1332</v>
      </c>
      <c r="J3482" s="427"/>
      <c r="K3482" s="425"/>
      <c r="L3482" s="428">
        <v>510000</v>
      </c>
      <c r="M3482" s="371"/>
      <c r="N3482" s="355" t="str">
        <f t="shared" si="327"/>
        <v>PK</v>
      </c>
      <c r="O3482" s="404" t="s">
        <v>1623</v>
      </c>
      <c r="P3482" s="392"/>
      <c r="Q3482" s="327"/>
      <c r="R3482" s="351"/>
      <c r="S3482" s="351"/>
      <c r="T3482" s="351"/>
      <c r="U3482" s="329" t="str">
        <f>IF($N3482=$N$4,IFERROR(INDEX(DanhMuc!$E$154:$E$165,MATCH(MID($B3482,4,2),DanhMuc!$B$154:$B$165,0)),""),"")</f>
        <v/>
      </c>
      <c r="V3482" s="361"/>
      <c r="W3482" s="345"/>
      <c r="X3482" s="329" t="str">
        <f t="shared" si="328"/>
        <v>GQ</v>
      </c>
      <c r="Y3482" s="1128" t="s">
        <v>3380</v>
      </c>
      <c r="Z3482" s="1128" t="s">
        <v>3381</v>
      </c>
      <c r="AA3482" s="1128" t="s">
        <v>3384</v>
      </c>
      <c r="AB3482" s="20"/>
      <c r="AC3482" s="73"/>
    </row>
    <row r="3483" spans="1:29">
      <c r="A3483" s="327" t="str">
        <f>IF(AND($B3483&lt;&gt;"",$C3483&lt;&gt;""),MAX($A$1556:A3458)+1,"")</f>
        <v/>
      </c>
      <c r="B3483" s="361" t="s">
        <v>2012</v>
      </c>
      <c r="C3483" s="360"/>
      <c r="D3483" s="327">
        <f>IF($B3483="","",COUNTIF($B$6:$B3483,$B3483))</f>
        <v>9</v>
      </c>
      <c r="E3483" s="423" t="s">
        <v>1107</v>
      </c>
      <c r="F3483" s="424" t="s">
        <v>1077</v>
      </c>
      <c r="G3483" s="425" t="s">
        <v>344</v>
      </c>
      <c r="H3483" s="426"/>
      <c r="I3483" s="423" t="s">
        <v>1334</v>
      </c>
      <c r="J3483" s="427"/>
      <c r="K3483" s="425"/>
      <c r="L3483" s="428">
        <v>548000</v>
      </c>
      <c r="M3483" s="371"/>
      <c r="N3483" s="355" t="str">
        <f t="shared" si="327"/>
        <v>PK</v>
      </c>
      <c r="O3483" s="404" t="s">
        <v>1623</v>
      </c>
      <c r="P3483" s="392"/>
      <c r="Q3483" s="327"/>
      <c r="R3483" s="351"/>
      <c r="S3483" s="351"/>
      <c r="T3483" s="351"/>
      <c r="U3483" s="329" t="str">
        <f>IF($N3483=$N$4,IFERROR(INDEX(DanhMuc!$E$154:$E$165,MATCH(MID($B3483,4,2),DanhMuc!$B$154:$B$165,0)),""),"")</f>
        <v/>
      </c>
      <c r="V3483" s="361"/>
      <c r="W3483" s="345"/>
      <c r="X3483" s="329" t="str">
        <f t="shared" si="328"/>
        <v>GQ</v>
      </c>
      <c r="Y3483" s="1128" t="s">
        <v>3380</v>
      </c>
      <c r="Z3483" s="1128" t="s">
        <v>3381</v>
      </c>
      <c r="AA3483" s="1128" t="s">
        <v>3384</v>
      </c>
      <c r="AB3483" s="20"/>
      <c r="AC3483" s="73"/>
    </row>
    <row r="3484" spans="1:29">
      <c r="A3484" s="327" t="str">
        <f>IF(AND($B3484&lt;&gt;"",$C3484&lt;&gt;""),MAX($A$1556:A3459)+1,"")</f>
        <v/>
      </c>
      <c r="B3484" s="361" t="s">
        <v>2012</v>
      </c>
      <c r="C3484" s="360"/>
      <c r="D3484" s="327">
        <f>IF($B3484="","",COUNTIF($B$6:$B3484,$B3484))</f>
        <v>10</v>
      </c>
      <c r="E3484" s="426" t="s">
        <v>962</v>
      </c>
      <c r="F3484" s="429" t="s">
        <v>1108</v>
      </c>
      <c r="G3484" s="425" t="s">
        <v>155</v>
      </c>
      <c r="H3484" s="426"/>
      <c r="I3484" s="425">
        <v>1</v>
      </c>
      <c r="J3484" s="427"/>
      <c r="K3484" s="425"/>
      <c r="L3484" s="428">
        <v>1</v>
      </c>
      <c r="M3484" s="371"/>
      <c r="N3484" s="355" t="str">
        <f t="shared" si="327"/>
        <v>PK</v>
      </c>
      <c r="O3484" s="404" t="s">
        <v>1624</v>
      </c>
      <c r="P3484" s="392"/>
      <c r="Q3484" s="327"/>
      <c r="R3484" s="351"/>
      <c r="S3484" s="351"/>
      <c r="T3484" s="351"/>
      <c r="U3484" s="329" t="str">
        <f>IF($N3484=$N$4,IFERROR(INDEX(DanhMuc!$E$154:$E$165,MATCH(MID($B3484,4,2),DanhMuc!$B$154:$B$165,0)),""),"")</f>
        <v/>
      </c>
      <c r="V3484" s="361"/>
      <c r="W3484" s="345"/>
      <c r="X3484" s="329" t="str">
        <f t="shared" si="328"/>
        <v>GQ</v>
      </c>
      <c r="Y3484" s="1128" t="s">
        <v>3380</v>
      </c>
      <c r="Z3484" s="1128" t="s">
        <v>3381</v>
      </c>
      <c r="AA3484" s="1128" t="s">
        <v>3384</v>
      </c>
      <c r="AB3484" s="20"/>
      <c r="AC3484" s="73"/>
    </row>
    <row r="3485" spans="1:29">
      <c r="A3485" s="327" t="str">
        <f>IF(AND($B3485&lt;&gt;"",$C3485&lt;&gt;""),MAX($A$1556:A3460)+1,"")</f>
        <v/>
      </c>
      <c r="B3485" s="361" t="s">
        <v>2012</v>
      </c>
      <c r="C3485" s="360"/>
      <c r="D3485" s="327">
        <f>IF($B3485="","",COUNTIF($B$6:$B3485,$B3485))</f>
        <v>11</v>
      </c>
      <c r="E3485" s="426" t="s">
        <v>963</v>
      </c>
      <c r="F3485" s="429" t="s">
        <v>1109</v>
      </c>
      <c r="G3485" s="425" t="s">
        <v>155</v>
      </c>
      <c r="H3485" s="426"/>
      <c r="I3485" s="425">
        <v>1</v>
      </c>
      <c r="J3485" s="427"/>
      <c r="K3485" s="425"/>
      <c r="L3485" s="428">
        <v>1</v>
      </c>
      <c r="M3485" s="371"/>
      <c r="N3485" s="355" t="str">
        <f t="shared" si="327"/>
        <v>PK</v>
      </c>
      <c r="O3485" s="404" t="s">
        <v>1625</v>
      </c>
      <c r="P3485" s="392"/>
      <c r="Q3485" s="327"/>
      <c r="R3485" s="351"/>
      <c r="S3485" s="351"/>
      <c r="T3485" s="351"/>
      <c r="U3485" s="329" t="str">
        <f>IF($N3485=$N$4,IFERROR(INDEX(DanhMuc!$E$154:$E$165,MATCH(MID($B3485,4,2),DanhMuc!$B$154:$B$165,0)),""),"")</f>
        <v/>
      </c>
      <c r="V3485" s="361"/>
      <c r="W3485" s="345"/>
      <c r="X3485" s="329" t="str">
        <f t="shared" si="328"/>
        <v>GQ</v>
      </c>
      <c r="Y3485" s="1128" t="s">
        <v>3380</v>
      </c>
      <c r="Z3485" s="1128" t="s">
        <v>3381</v>
      </c>
      <c r="AA3485" s="1128" t="s">
        <v>3384</v>
      </c>
      <c r="AB3485" s="20"/>
      <c r="AC3485" s="73"/>
    </row>
    <row r="3486" spans="1:29">
      <c r="A3486" s="327" t="str">
        <f>IF(AND($B3486&lt;&gt;"",$C3486&lt;&gt;""),MAX($A$1556:A3461)+1,"")</f>
        <v/>
      </c>
      <c r="B3486" s="361" t="s">
        <v>2012</v>
      </c>
      <c r="C3486" s="360"/>
      <c r="D3486" s="327">
        <f>IF($B3486="","",COUNTIF($B$6:$B3486,$B3486))</f>
        <v>12</v>
      </c>
      <c r="E3486" s="423" t="s">
        <v>967</v>
      </c>
      <c r="F3486" s="429" t="s">
        <v>968</v>
      </c>
      <c r="G3486" s="425" t="s">
        <v>155</v>
      </c>
      <c r="H3486" s="426"/>
      <c r="I3486" s="425">
        <v>1</v>
      </c>
      <c r="J3486" s="427"/>
      <c r="K3486" s="425"/>
      <c r="L3486" s="428">
        <v>1</v>
      </c>
      <c r="M3486" s="371"/>
      <c r="N3486" s="355" t="str">
        <f t="shared" si="327"/>
        <v>PK</v>
      </c>
      <c r="O3486" s="404" t="s">
        <v>2703</v>
      </c>
      <c r="P3486" s="392"/>
      <c r="Q3486" s="327"/>
      <c r="R3486" s="351"/>
      <c r="S3486" s="351"/>
      <c r="T3486" s="351"/>
      <c r="U3486" s="329" t="str">
        <f>IF($N3486=$N$4,IFERROR(INDEX(DanhMuc!$E$154:$E$165,MATCH(MID($B3486,4,2),DanhMuc!$B$154:$B$165,0)),""),"")</f>
        <v/>
      </c>
      <c r="V3486" s="361"/>
      <c r="W3486" s="345"/>
      <c r="X3486" s="329" t="str">
        <f t="shared" si="328"/>
        <v>GQ</v>
      </c>
      <c r="Y3486" s="1128" t="s">
        <v>3380</v>
      </c>
      <c r="Z3486" s="1128" t="s">
        <v>3381</v>
      </c>
      <c r="AA3486" s="1128" t="s">
        <v>3384</v>
      </c>
      <c r="AB3486" s="20"/>
      <c r="AC3486" s="73"/>
    </row>
    <row r="3487" spans="1:29">
      <c r="A3487" s="327" t="str">
        <f>IF(AND($B3487&lt;&gt;"",$C3487&lt;&gt;""),MAX($A$1556:A3462)+1,"")</f>
        <v/>
      </c>
      <c r="B3487" s="361" t="s">
        <v>2012</v>
      </c>
      <c r="C3487" s="360"/>
      <c r="D3487" s="327">
        <f>IF($B3487="","",COUNTIF($B$6:$B3487,$B3487))</f>
        <v>13</v>
      </c>
      <c r="E3487" s="423" t="s">
        <v>433</v>
      </c>
      <c r="F3487" s="424" t="s">
        <v>429</v>
      </c>
      <c r="G3487" s="425" t="s">
        <v>155</v>
      </c>
      <c r="H3487" s="426"/>
      <c r="I3487" s="425">
        <v>1</v>
      </c>
      <c r="J3487" s="427"/>
      <c r="K3487" s="425"/>
      <c r="L3487" s="428">
        <v>1</v>
      </c>
      <c r="M3487" s="371"/>
      <c r="N3487" s="355" t="str">
        <f t="shared" si="327"/>
        <v>PK</v>
      </c>
      <c r="O3487" s="404" t="s">
        <v>969</v>
      </c>
      <c r="P3487" s="392"/>
      <c r="Q3487" s="327"/>
      <c r="R3487" s="351"/>
      <c r="S3487" s="351"/>
      <c r="T3487" s="351"/>
      <c r="U3487" s="329" t="str">
        <f>IF($N3487=$N$4,IFERROR(INDEX(DanhMuc!$E$154:$E$165,MATCH(MID($B3487,4,2),DanhMuc!$B$154:$B$165,0)),""),"")</f>
        <v/>
      </c>
      <c r="V3487" s="361"/>
      <c r="W3487" s="345"/>
      <c r="X3487" s="329" t="str">
        <f t="shared" si="328"/>
        <v>GQ</v>
      </c>
      <c r="Y3487" s="1128" t="s">
        <v>3380</v>
      </c>
      <c r="Z3487" s="1128" t="s">
        <v>3381</v>
      </c>
      <c r="AA3487" s="1128" t="s">
        <v>3384</v>
      </c>
      <c r="AB3487" s="20"/>
      <c r="AC3487" s="73"/>
    </row>
    <row r="3488" spans="1:29">
      <c r="A3488" s="327" t="str">
        <f>IF(AND($B3488&lt;&gt;"",$C3488&lt;&gt;""),MAX($A$1556:A3463)+1,"")</f>
        <v/>
      </c>
      <c r="B3488" s="361" t="s">
        <v>2012</v>
      </c>
      <c r="C3488" s="360"/>
      <c r="D3488" s="327">
        <f>IF($B3488="","",COUNTIF($B$6:$B3488,$B3488))</f>
        <v>14</v>
      </c>
      <c r="E3488" s="423" t="s">
        <v>1006</v>
      </c>
      <c r="F3488" s="424" t="s">
        <v>1008</v>
      </c>
      <c r="G3488" s="425" t="s">
        <v>155</v>
      </c>
      <c r="H3488" s="426"/>
      <c r="I3488" s="425">
        <v>4</v>
      </c>
      <c r="J3488" s="427"/>
      <c r="K3488" s="425"/>
      <c r="L3488" s="428">
        <v>1</v>
      </c>
      <c r="M3488" s="371"/>
      <c r="N3488" s="355" t="str">
        <f t="shared" si="327"/>
        <v>PK</v>
      </c>
      <c r="O3488" s="404" t="s">
        <v>1624</v>
      </c>
      <c r="P3488" s="392"/>
      <c r="Q3488" s="327"/>
      <c r="R3488" s="351"/>
      <c r="S3488" s="351"/>
      <c r="T3488" s="351"/>
      <c r="U3488" s="329" t="str">
        <f>IF($N3488=$N$4,IFERROR(INDEX(DanhMuc!$E$154:$E$165,MATCH(MID($B3488,4,2),DanhMuc!$B$154:$B$165,0)),""),"")</f>
        <v/>
      </c>
      <c r="V3488" s="361"/>
      <c r="W3488" s="345"/>
      <c r="X3488" s="329" t="str">
        <f t="shared" si="328"/>
        <v>GQ</v>
      </c>
      <c r="Y3488" s="1128" t="s">
        <v>3380</v>
      </c>
      <c r="Z3488" s="1128" t="s">
        <v>3381</v>
      </c>
      <c r="AA3488" s="1128" t="s">
        <v>3384</v>
      </c>
      <c r="AB3488" s="20"/>
      <c r="AC3488" s="73"/>
    </row>
    <row r="3489" spans="1:29">
      <c r="A3489" s="327" t="str">
        <f>IF(AND($B3489&lt;&gt;"",$C3489&lt;&gt;""),MAX($A$1556:A3464)+1,"")</f>
        <v/>
      </c>
      <c r="B3489" s="361" t="s">
        <v>2012</v>
      </c>
      <c r="C3489" s="360"/>
      <c r="D3489" s="327">
        <f>IF($B3489="","",COUNTIF($B$6:$B3489,$B3489))</f>
        <v>15</v>
      </c>
      <c r="E3489" s="423" t="s">
        <v>1007</v>
      </c>
      <c r="F3489" s="424" t="s">
        <v>1009</v>
      </c>
      <c r="G3489" s="425" t="s">
        <v>155</v>
      </c>
      <c r="H3489" s="426"/>
      <c r="I3489" s="425">
        <v>4</v>
      </c>
      <c r="J3489" s="427"/>
      <c r="K3489" s="425"/>
      <c r="L3489" s="428">
        <v>1</v>
      </c>
      <c r="M3489" s="371"/>
      <c r="N3489" s="355" t="str">
        <f t="shared" si="327"/>
        <v>PK</v>
      </c>
      <c r="O3489" s="404" t="s">
        <v>1625</v>
      </c>
      <c r="P3489" s="392"/>
      <c r="Q3489" s="327"/>
      <c r="R3489" s="351"/>
      <c r="S3489" s="351"/>
      <c r="T3489" s="351"/>
      <c r="U3489" s="329" t="str">
        <f>IF($N3489=$N$4,IFERROR(INDEX(DanhMuc!$E$154:$E$165,MATCH(MID($B3489,4,2),DanhMuc!$B$154:$B$165,0)),""),"")</f>
        <v/>
      </c>
      <c r="V3489" s="361"/>
      <c r="W3489" s="345"/>
      <c r="X3489" s="329" t="str">
        <f t="shared" si="328"/>
        <v>GQ</v>
      </c>
      <c r="Y3489" s="1128" t="s">
        <v>3380</v>
      </c>
      <c r="Z3489" s="1128" t="s">
        <v>3381</v>
      </c>
      <c r="AA3489" s="1128" t="s">
        <v>3384</v>
      </c>
      <c r="AB3489" s="20"/>
      <c r="AC3489" s="73"/>
    </row>
    <row r="3490" spans="1:29">
      <c r="A3490" s="327" t="str">
        <f>IF(AND($B3490&lt;&gt;"",$C3490&lt;&gt;""),MAX($A$1556:A3465)+1,"")</f>
        <v/>
      </c>
      <c r="B3490" s="361" t="s">
        <v>2012</v>
      </c>
      <c r="C3490" s="360"/>
      <c r="D3490" s="327">
        <f>IF($B3490="","",COUNTIF($B$6:$B3490,$B3490))</f>
        <v>16</v>
      </c>
      <c r="E3490" s="430" t="s">
        <v>436</v>
      </c>
      <c r="F3490" s="431" t="s">
        <v>435</v>
      </c>
      <c r="G3490" s="351" t="s">
        <v>155</v>
      </c>
      <c r="H3490" s="361"/>
      <c r="I3490" s="327">
        <v>6</v>
      </c>
      <c r="J3490" s="345"/>
      <c r="K3490" s="327"/>
      <c r="L3490" s="389">
        <v>92000</v>
      </c>
      <c r="M3490" s="371"/>
      <c r="N3490" s="355" t="str">
        <f t="shared" si="327"/>
        <v>PK</v>
      </c>
      <c r="O3490" s="345" t="s">
        <v>1362</v>
      </c>
      <c r="P3490" s="392"/>
      <c r="Q3490" s="327"/>
      <c r="R3490" s="351"/>
      <c r="S3490" s="351"/>
      <c r="T3490" s="351"/>
      <c r="U3490" s="329" t="str">
        <f>IF($N3490=$N$4,IFERROR(INDEX(DanhMuc!$E$154:$E$165,MATCH(MID($B3490,4,2),DanhMuc!$B$154:$B$165,0)),""),"")</f>
        <v/>
      </c>
      <c r="V3490" s="361"/>
      <c r="W3490" s="345"/>
      <c r="X3490" s="329" t="str">
        <f t="shared" si="328"/>
        <v>GQ</v>
      </c>
      <c r="Y3490" s="1128" t="s">
        <v>3380</v>
      </c>
      <c r="Z3490" s="1128" t="s">
        <v>3381</v>
      </c>
      <c r="AA3490" s="1128" t="s">
        <v>3384</v>
      </c>
      <c r="AB3490" s="20"/>
      <c r="AC3490" s="73"/>
    </row>
    <row r="3491" spans="1:29">
      <c r="A3491" s="327" t="str">
        <f>IF(AND($B3491&lt;&gt;"",$C3491&lt;&gt;""),MAX($A$1556:A3466)+1,"")</f>
        <v/>
      </c>
      <c r="B3491" s="361" t="s">
        <v>2012</v>
      </c>
      <c r="C3491" s="360"/>
      <c r="D3491" s="327">
        <f>IF($B3491="","",COUNTIF($B$6:$B3491,$B3491))</f>
        <v>17</v>
      </c>
      <c r="E3491" s="430" t="s">
        <v>440</v>
      </c>
      <c r="F3491" s="431" t="s">
        <v>439</v>
      </c>
      <c r="G3491" s="351" t="s">
        <v>155</v>
      </c>
      <c r="H3491" s="361"/>
      <c r="I3491" s="327">
        <v>6</v>
      </c>
      <c r="J3491" s="345"/>
      <c r="K3491" s="327"/>
      <c r="L3491" s="389">
        <v>135000</v>
      </c>
      <c r="M3491" s="371"/>
      <c r="N3491" s="355" t="str">
        <f t="shared" si="327"/>
        <v>PK</v>
      </c>
      <c r="O3491" s="345" t="s">
        <v>441</v>
      </c>
      <c r="P3491" s="392"/>
      <c r="Q3491" s="327"/>
      <c r="R3491" s="351"/>
      <c r="S3491" s="351"/>
      <c r="T3491" s="351"/>
      <c r="U3491" s="329" t="str">
        <f>IF($N3491=$N$4,IFERROR(INDEX(DanhMuc!$E$154:$E$165,MATCH(MID($B3491,4,2),DanhMuc!$B$154:$B$165,0)),""),"")</f>
        <v/>
      </c>
      <c r="V3491" s="361"/>
      <c r="W3491" s="345"/>
      <c r="X3491" s="329" t="str">
        <f t="shared" si="328"/>
        <v>GQ</v>
      </c>
      <c r="Y3491" s="1128" t="s">
        <v>3380</v>
      </c>
      <c r="Z3491" s="1128" t="s">
        <v>3381</v>
      </c>
      <c r="AA3491" s="1128" t="s">
        <v>3384</v>
      </c>
      <c r="AB3491" s="20"/>
      <c r="AC3491" s="73"/>
    </row>
    <row r="3492" spans="1:29">
      <c r="A3492" s="327" t="str">
        <f>IF(AND($B3492&lt;&gt;"",$C3492&lt;&gt;""),MAX($A$1556:A3467)+1,"")</f>
        <v/>
      </c>
      <c r="B3492" s="361" t="s">
        <v>2012</v>
      </c>
      <c r="C3492" s="360"/>
      <c r="D3492" s="327">
        <f>IF($B3492="","",COUNTIF($B$6:$B3492,$B3492))</f>
        <v>18</v>
      </c>
      <c r="E3492" s="411" t="s">
        <v>1019</v>
      </c>
      <c r="F3492" s="432" t="s">
        <v>1020</v>
      </c>
      <c r="G3492" s="410" t="s">
        <v>344</v>
      </c>
      <c r="H3492" s="402"/>
      <c r="I3492" s="411" t="s">
        <v>1335</v>
      </c>
      <c r="J3492" s="345"/>
      <c r="K3492" s="327"/>
      <c r="L3492" s="389">
        <v>190000</v>
      </c>
      <c r="M3492" s="371"/>
      <c r="N3492" s="355" t="str">
        <f t="shared" si="327"/>
        <v>PK</v>
      </c>
      <c r="O3492" s="345"/>
      <c r="P3492" s="392"/>
      <c r="Q3492" s="327"/>
      <c r="R3492" s="351"/>
      <c r="S3492" s="351"/>
      <c r="T3492" s="351"/>
      <c r="U3492" s="329" t="str">
        <f>IF($N3492=$N$4,IFERROR(INDEX(DanhMuc!$E$154:$E$165,MATCH(MID($B3492,4,2),DanhMuc!$B$154:$B$165,0)),""),"")</f>
        <v/>
      </c>
      <c r="V3492" s="361"/>
      <c r="W3492" s="345"/>
      <c r="X3492" s="329" t="str">
        <f t="shared" si="328"/>
        <v>GQ</v>
      </c>
      <c r="Y3492" s="1128" t="s">
        <v>3380</v>
      </c>
      <c r="Z3492" s="1128" t="s">
        <v>3381</v>
      </c>
      <c r="AA3492" s="1128" t="s">
        <v>3384</v>
      </c>
      <c r="AB3492" s="20"/>
      <c r="AC3492" s="73"/>
    </row>
    <row r="3493" spans="1:29">
      <c r="A3493" s="327" t="str">
        <f>IF(AND($B3493&lt;&gt;"",$C3493&lt;&gt;""),MAX($A$1556:A3468)+1,"")</f>
        <v/>
      </c>
      <c r="B3493" s="361" t="s">
        <v>2012</v>
      </c>
      <c r="C3493" s="360"/>
      <c r="D3493" s="327">
        <f>IF($B3493="","",COUNTIF($B$6:$B3493,$B3493))</f>
        <v>19</v>
      </c>
      <c r="E3493" s="411" t="s">
        <v>1021</v>
      </c>
      <c r="F3493" s="432" t="s">
        <v>1022</v>
      </c>
      <c r="G3493" s="410" t="s">
        <v>344</v>
      </c>
      <c r="H3493" s="402"/>
      <c r="I3493" s="411" t="s">
        <v>1336</v>
      </c>
      <c r="J3493" s="345"/>
      <c r="K3493" s="327"/>
      <c r="L3493" s="389">
        <v>195000</v>
      </c>
      <c r="M3493" s="371"/>
      <c r="N3493" s="355" t="str">
        <f t="shared" si="327"/>
        <v>PK</v>
      </c>
      <c r="O3493" s="345"/>
      <c r="P3493" s="392"/>
      <c r="Q3493" s="327"/>
      <c r="R3493" s="351"/>
      <c r="S3493" s="351"/>
      <c r="T3493" s="351"/>
      <c r="U3493" s="329" t="str">
        <f>IF($N3493=$N$4,IFERROR(INDEX(DanhMuc!$E$154:$E$165,MATCH(MID($B3493,4,2),DanhMuc!$B$154:$B$165,0)),""),"")</f>
        <v/>
      </c>
      <c r="V3493" s="361"/>
      <c r="W3493" s="345"/>
      <c r="X3493" s="329" t="str">
        <f t="shared" si="328"/>
        <v>GQ</v>
      </c>
      <c r="Y3493" s="1128" t="s">
        <v>3380</v>
      </c>
      <c r="Z3493" s="1128" t="s">
        <v>3381</v>
      </c>
      <c r="AA3493" s="1128" t="s">
        <v>3384</v>
      </c>
      <c r="AB3493" s="20"/>
      <c r="AC3493" s="73"/>
    </row>
    <row r="3494" spans="1:29">
      <c r="A3494" s="327" t="str">
        <f>IF(AND($B3494&lt;&gt;"",$C3494&lt;&gt;""),MAX($A$1556:A3469)+1,"")</f>
        <v/>
      </c>
      <c r="B3494" s="361" t="s">
        <v>2012</v>
      </c>
      <c r="C3494" s="360"/>
      <c r="D3494" s="327">
        <f>IF($B3494="","",COUNTIF($B$6:$B3494,$B3494))</f>
        <v>20</v>
      </c>
      <c r="E3494" s="430" t="s">
        <v>980</v>
      </c>
      <c r="F3494" s="431" t="s">
        <v>978</v>
      </c>
      <c r="G3494" s="327" t="s">
        <v>297</v>
      </c>
      <c r="H3494" s="361"/>
      <c r="I3494" s="327">
        <v>2</v>
      </c>
      <c r="J3494" s="345"/>
      <c r="K3494" s="327"/>
      <c r="L3494" s="389">
        <v>1</v>
      </c>
      <c r="M3494" s="371"/>
      <c r="N3494" s="355" t="str">
        <f t="shared" si="327"/>
        <v>PK</v>
      </c>
      <c r="O3494" s="345"/>
      <c r="P3494" s="392"/>
      <c r="Q3494" s="327"/>
      <c r="R3494" s="351"/>
      <c r="S3494" s="351"/>
      <c r="T3494" s="351"/>
      <c r="U3494" s="329" t="str">
        <f>IF($N3494=$N$4,IFERROR(INDEX(DanhMuc!$E$154:$E$165,MATCH(MID($B3494,4,2),DanhMuc!$B$154:$B$165,0)),""),"")</f>
        <v/>
      </c>
      <c r="V3494" s="361"/>
      <c r="W3494" s="345"/>
      <c r="X3494" s="329" t="str">
        <f t="shared" si="328"/>
        <v>GQ</v>
      </c>
      <c r="Y3494" s="1128" t="s">
        <v>3380</v>
      </c>
      <c r="Z3494" s="1128" t="s">
        <v>3381</v>
      </c>
      <c r="AA3494" s="1128" t="s">
        <v>3384</v>
      </c>
      <c r="AB3494" s="20"/>
      <c r="AC3494" s="73"/>
    </row>
    <row r="3495" spans="1:29">
      <c r="A3495" s="327" t="str">
        <f>IF(AND($B3495&lt;&gt;"",$C3495&lt;&gt;""),MAX($A$1556:A3470)+1,"")</f>
        <v/>
      </c>
      <c r="B3495" s="361" t="s">
        <v>2012</v>
      </c>
      <c r="C3495" s="360"/>
      <c r="D3495" s="327">
        <f>IF($B3495="","",COUNTIF($B$6:$B3495,$B3495))</f>
        <v>21</v>
      </c>
      <c r="E3495" s="430" t="s">
        <v>1005</v>
      </c>
      <c r="F3495" s="431" t="s">
        <v>979</v>
      </c>
      <c r="G3495" s="327" t="s">
        <v>155</v>
      </c>
      <c r="H3495" s="361"/>
      <c r="I3495" s="327">
        <v>1</v>
      </c>
      <c r="J3495" s="345"/>
      <c r="K3495" s="327"/>
      <c r="L3495" s="389">
        <v>1</v>
      </c>
      <c r="M3495" s="371"/>
      <c r="N3495" s="355" t="str">
        <f t="shared" si="327"/>
        <v>PK</v>
      </c>
      <c r="O3495" s="345"/>
      <c r="P3495" s="392"/>
      <c r="Q3495" s="327"/>
      <c r="R3495" s="351"/>
      <c r="S3495" s="351"/>
      <c r="T3495" s="351"/>
      <c r="U3495" s="329" t="str">
        <f>IF($N3495=$N$4,IFERROR(INDEX(DanhMuc!$E$154:$E$165,MATCH(MID($B3495,4,2),DanhMuc!$B$154:$B$165,0)),""),"")</f>
        <v/>
      </c>
      <c r="V3495" s="361"/>
      <c r="W3495" s="345"/>
      <c r="X3495" s="329" t="str">
        <f t="shared" si="328"/>
        <v>GQ</v>
      </c>
      <c r="Y3495" s="1128" t="s">
        <v>3380</v>
      </c>
      <c r="Z3495" s="1128" t="s">
        <v>3381</v>
      </c>
      <c r="AA3495" s="1128" t="s">
        <v>3384</v>
      </c>
      <c r="AB3495" s="20"/>
      <c r="AC3495" s="73"/>
    </row>
    <row r="3496" spans="1:29">
      <c r="A3496" s="327" t="str">
        <f>IF(AND($B3496&lt;&gt;"",$C3496&lt;&gt;""),MAX($A$1556:A3471)+1,"")</f>
        <v/>
      </c>
      <c r="B3496" s="361" t="s">
        <v>2012</v>
      </c>
      <c r="C3496" s="360"/>
      <c r="D3496" s="327">
        <f>IF($B3496="","",COUNTIF($B$6:$B3496,$B3496))</f>
        <v>22</v>
      </c>
      <c r="E3496" s="430" t="s">
        <v>1110</v>
      </c>
      <c r="F3496" s="431" t="s">
        <v>1112</v>
      </c>
      <c r="G3496" s="327" t="s">
        <v>155</v>
      </c>
      <c r="H3496" s="361"/>
      <c r="I3496" s="327">
        <v>1</v>
      </c>
      <c r="J3496" s="345"/>
      <c r="K3496" s="327"/>
      <c r="L3496" s="389">
        <v>5500</v>
      </c>
      <c r="M3496" s="371"/>
      <c r="N3496" s="355" t="str">
        <f t="shared" si="327"/>
        <v>PK</v>
      </c>
      <c r="O3496" s="345"/>
      <c r="P3496" s="392"/>
      <c r="Q3496" s="327"/>
      <c r="R3496" s="351"/>
      <c r="S3496" s="351"/>
      <c r="T3496" s="351"/>
      <c r="U3496" s="329" t="str">
        <f>IF($N3496=$N$4,IFERROR(INDEX(DanhMuc!$E$154:$E$165,MATCH(MID($B3496,4,2),DanhMuc!$B$154:$B$165,0)),""),"")</f>
        <v/>
      </c>
      <c r="V3496" s="361"/>
      <c r="W3496" s="345"/>
      <c r="X3496" s="329" t="str">
        <f t="shared" si="328"/>
        <v>GQ</v>
      </c>
      <c r="Y3496" s="1128" t="s">
        <v>3380</v>
      </c>
      <c r="Z3496" s="1128" t="s">
        <v>3381</v>
      </c>
      <c r="AA3496" s="1128" t="s">
        <v>3384</v>
      </c>
      <c r="AB3496" s="20"/>
      <c r="AC3496" s="73"/>
    </row>
    <row r="3497" spans="1:29">
      <c r="A3497" s="327" t="str">
        <f>IF(AND($B3497&lt;&gt;"",$C3497&lt;&gt;""),MAX($A$1556:A3472)+1,"")</f>
        <v/>
      </c>
      <c r="B3497" s="361" t="s">
        <v>2012</v>
      </c>
      <c r="C3497" s="360"/>
      <c r="D3497" s="327">
        <f>IF($B3497="","",COUNTIF($B$6:$B3497,$B3497))</f>
        <v>23</v>
      </c>
      <c r="E3497" s="430" t="s">
        <v>1111</v>
      </c>
      <c r="F3497" s="431" t="s">
        <v>1113</v>
      </c>
      <c r="G3497" s="327" t="s">
        <v>155</v>
      </c>
      <c r="H3497" s="361"/>
      <c r="I3497" s="327">
        <v>1</v>
      </c>
      <c r="J3497" s="345"/>
      <c r="K3497" s="327"/>
      <c r="L3497" s="389">
        <v>5500</v>
      </c>
      <c r="M3497" s="371"/>
      <c r="N3497" s="355" t="str">
        <f t="shared" si="327"/>
        <v>PK</v>
      </c>
      <c r="O3497" s="345"/>
      <c r="P3497" s="392"/>
      <c r="Q3497" s="327"/>
      <c r="R3497" s="351"/>
      <c r="S3497" s="351"/>
      <c r="T3497" s="351"/>
      <c r="U3497" s="329" t="str">
        <f>IF($N3497=$N$4,IFERROR(INDEX(DanhMuc!$E$154:$E$165,MATCH(MID($B3497,4,2),DanhMuc!$B$154:$B$165,0)),""),"")</f>
        <v/>
      </c>
      <c r="V3497" s="361"/>
      <c r="W3497" s="345"/>
      <c r="X3497" s="329" t="str">
        <f t="shared" si="328"/>
        <v>GQ</v>
      </c>
      <c r="Y3497" s="1128" t="s">
        <v>3380</v>
      </c>
      <c r="Z3497" s="1128" t="s">
        <v>3381</v>
      </c>
      <c r="AA3497" s="1128" t="s">
        <v>3384</v>
      </c>
      <c r="AB3497" s="20"/>
      <c r="AC3497" s="73"/>
    </row>
    <row r="3498" spans="1:29" ht="39">
      <c r="A3498" s="327">
        <f>IF(AND($B3498&lt;&gt;"",$C3498&lt;&gt;""),MAX($A$1556:A3473)+1,"")</f>
        <v>173</v>
      </c>
      <c r="B3498" s="359" t="s">
        <v>2013</v>
      </c>
      <c r="C3498" s="370" t="s">
        <v>1938</v>
      </c>
      <c r="D3498" s="327">
        <f>IF($B3498="","",COUNTIF($B$6:$B3498,$B3498))</f>
        <v>1</v>
      </c>
      <c r="E3498" s="416" t="s">
        <v>957</v>
      </c>
      <c r="F3498" s="417" t="s">
        <v>1104</v>
      </c>
      <c r="G3498" s="418" t="s">
        <v>297</v>
      </c>
      <c r="H3498" s="419"/>
      <c r="I3498" s="418">
        <v>1</v>
      </c>
      <c r="J3498" s="419"/>
      <c r="K3498" s="418"/>
      <c r="L3498" s="420">
        <v>1</v>
      </c>
      <c r="M3498" s="371"/>
      <c r="N3498" s="355" t="str">
        <f t="shared" si="327"/>
        <v>PK</v>
      </c>
      <c r="O3498" s="404" t="s">
        <v>1626</v>
      </c>
      <c r="P3498" s="392"/>
      <c r="Q3498" s="327"/>
      <c r="R3498" s="351"/>
      <c r="S3498" s="351"/>
      <c r="T3498" s="351"/>
      <c r="U3498" s="329" t="str">
        <f>IF($N3498=$N$4,IFERROR(INDEX(DanhMuc!$E$154:$E$165,MATCH(MID($B3498,4,2),DanhMuc!$B$154:$B$165,0)),""),"")</f>
        <v/>
      </c>
      <c r="V3498" s="361"/>
      <c r="W3498" s="345"/>
      <c r="X3498" s="329" t="str">
        <f t="shared" si="328"/>
        <v>GQ</v>
      </c>
      <c r="Y3498" s="1128" t="s">
        <v>3380</v>
      </c>
      <c r="Z3498" s="1128" t="s">
        <v>3381</v>
      </c>
      <c r="AA3498" s="1128" t="s">
        <v>3384</v>
      </c>
      <c r="AB3498" s="20"/>
      <c r="AC3498" s="73"/>
    </row>
    <row r="3499" spans="1:29">
      <c r="A3499" s="327" t="str">
        <f>IF(AND($B3499&lt;&gt;"",$C3499&lt;&gt;""),MAX($A$1556:A3474)+1,"")</f>
        <v/>
      </c>
      <c r="B3499" s="361" t="s">
        <v>2013</v>
      </c>
      <c r="C3499" s="360"/>
      <c r="D3499" s="327">
        <f>IF($B3499="","",COUNTIF($B$6:$B3499,$B3499))</f>
        <v>2</v>
      </c>
      <c r="E3499" s="419" t="s">
        <v>430</v>
      </c>
      <c r="F3499" s="417" t="s">
        <v>428</v>
      </c>
      <c r="G3499" s="418" t="s">
        <v>344</v>
      </c>
      <c r="H3499" s="419"/>
      <c r="I3499" s="418">
        <v>1</v>
      </c>
      <c r="J3499" s="421"/>
      <c r="K3499" s="418"/>
      <c r="L3499" s="420">
        <v>265000</v>
      </c>
      <c r="M3499" s="371"/>
      <c r="N3499" s="355" t="str">
        <f t="shared" si="327"/>
        <v>PK</v>
      </c>
      <c r="O3499" s="404" t="s">
        <v>1626</v>
      </c>
      <c r="P3499" s="392"/>
      <c r="Q3499" s="327"/>
      <c r="R3499" s="351"/>
      <c r="S3499" s="351"/>
      <c r="T3499" s="351"/>
      <c r="U3499" s="329" t="str">
        <f>IF($N3499=$N$4,IFERROR(INDEX(DanhMuc!$E$154:$E$165,MATCH(MID($B3499,4,2),DanhMuc!$B$154:$B$165,0)),""),"")</f>
        <v/>
      </c>
      <c r="V3499" s="361"/>
      <c r="W3499" s="345"/>
      <c r="X3499" s="329" t="str">
        <f t="shared" si="328"/>
        <v>GQ</v>
      </c>
      <c r="Y3499" s="1128" t="s">
        <v>3380</v>
      </c>
      <c r="Z3499" s="1128" t="s">
        <v>3381</v>
      </c>
      <c r="AA3499" s="1128" t="s">
        <v>3384</v>
      </c>
      <c r="AB3499" s="20"/>
      <c r="AC3499" s="73"/>
    </row>
    <row r="3500" spans="1:29">
      <c r="A3500" s="327" t="str">
        <f>IF(AND($B3500&lt;&gt;"",$C3500&lt;&gt;""),MAX($A$1556:A3475)+1,"")</f>
        <v/>
      </c>
      <c r="B3500" s="361" t="s">
        <v>2013</v>
      </c>
      <c r="C3500" s="360"/>
      <c r="D3500" s="327">
        <f>IF($B3500="","",COUNTIF($B$6:$B3500,$B3500))</f>
        <v>3</v>
      </c>
      <c r="E3500" s="419" t="s">
        <v>962</v>
      </c>
      <c r="F3500" s="417" t="s">
        <v>1108</v>
      </c>
      <c r="G3500" s="418" t="s">
        <v>155</v>
      </c>
      <c r="H3500" s="419"/>
      <c r="I3500" s="418">
        <v>1</v>
      </c>
      <c r="J3500" s="421"/>
      <c r="K3500" s="418"/>
      <c r="L3500" s="420">
        <v>1</v>
      </c>
      <c r="M3500" s="371"/>
      <c r="N3500" s="355" t="str">
        <f t="shared" si="327"/>
        <v>PK</v>
      </c>
      <c r="O3500" s="404" t="s">
        <v>1629</v>
      </c>
      <c r="P3500" s="392"/>
      <c r="Q3500" s="327"/>
      <c r="R3500" s="351"/>
      <c r="S3500" s="351"/>
      <c r="T3500" s="351"/>
      <c r="U3500" s="329" t="str">
        <f>IF($N3500=$N$4,IFERROR(INDEX(DanhMuc!$E$154:$E$165,MATCH(MID($B3500,4,2),DanhMuc!$B$154:$B$165,0)),""),"")</f>
        <v/>
      </c>
      <c r="V3500" s="361"/>
      <c r="W3500" s="345"/>
      <c r="X3500" s="329" t="str">
        <f t="shared" si="328"/>
        <v>GQ</v>
      </c>
      <c r="Y3500" s="1128" t="s">
        <v>3380</v>
      </c>
      <c r="Z3500" s="1128" t="s">
        <v>3381</v>
      </c>
      <c r="AA3500" s="1128" t="s">
        <v>3384</v>
      </c>
      <c r="AB3500" s="20"/>
      <c r="AC3500" s="73"/>
    </row>
    <row r="3501" spans="1:29">
      <c r="A3501" s="327" t="str">
        <f>IF(AND($B3501&lt;&gt;"",$C3501&lt;&gt;""),MAX($A$1556:A3476)+1,"")</f>
        <v/>
      </c>
      <c r="B3501" s="361" t="s">
        <v>2013</v>
      </c>
      <c r="C3501" s="360"/>
      <c r="D3501" s="327">
        <f>IF($B3501="","",COUNTIF($B$6:$B3501,$B3501))</f>
        <v>4</v>
      </c>
      <c r="E3501" s="419" t="s">
        <v>963</v>
      </c>
      <c r="F3501" s="417" t="s">
        <v>1109</v>
      </c>
      <c r="G3501" s="418" t="s">
        <v>155</v>
      </c>
      <c r="H3501" s="419"/>
      <c r="I3501" s="418">
        <v>1</v>
      </c>
      <c r="J3501" s="421"/>
      <c r="K3501" s="418"/>
      <c r="L3501" s="420">
        <v>1</v>
      </c>
      <c r="M3501" s="371"/>
      <c r="N3501" s="355" t="str">
        <f t="shared" si="327"/>
        <v>PK</v>
      </c>
      <c r="O3501" s="404" t="s">
        <v>1630</v>
      </c>
      <c r="P3501" s="392"/>
      <c r="Q3501" s="327"/>
      <c r="R3501" s="351"/>
      <c r="S3501" s="351"/>
      <c r="T3501" s="351"/>
      <c r="U3501" s="329" t="str">
        <f>IF($N3501=$N$4,IFERROR(INDEX(DanhMuc!$E$154:$E$165,MATCH(MID($B3501,4,2),DanhMuc!$B$154:$B$165,0)),""),"")</f>
        <v/>
      </c>
      <c r="V3501" s="361"/>
      <c r="W3501" s="345"/>
      <c r="X3501" s="329" t="str">
        <f t="shared" si="328"/>
        <v>GQ</v>
      </c>
      <c r="Y3501" s="1128" t="s">
        <v>3380</v>
      </c>
      <c r="Z3501" s="1128" t="s">
        <v>3381</v>
      </c>
      <c r="AA3501" s="1128" t="s">
        <v>3384</v>
      </c>
      <c r="AB3501" s="20"/>
      <c r="AC3501" s="73"/>
    </row>
    <row r="3502" spans="1:29">
      <c r="A3502" s="327" t="str">
        <f>IF(AND($B3502&lt;&gt;"",$C3502&lt;&gt;""),MAX($A$1556:A3477)+1,"")</f>
        <v/>
      </c>
      <c r="B3502" s="361" t="s">
        <v>2013</v>
      </c>
      <c r="C3502" s="360"/>
      <c r="D3502" s="327">
        <f>IF($B3502="","",COUNTIF($B$6:$B3502,$B3502))</f>
        <v>5</v>
      </c>
      <c r="E3502" s="419" t="s">
        <v>431</v>
      </c>
      <c r="F3502" s="417" t="s">
        <v>965</v>
      </c>
      <c r="G3502" s="418" t="s">
        <v>155</v>
      </c>
      <c r="H3502" s="419"/>
      <c r="I3502" s="418">
        <v>1</v>
      </c>
      <c r="J3502" s="421"/>
      <c r="K3502" s="418"/>
      <c r="L3502" s="420">
        <v>1</v>
      </c>
      <c r="M3502" s="371"/>
      <c r="N3502" s="355" t="str">
        <f t="shared" si="327"/>
        <v>PK</v>
      </c>
      <c r="O3502" s="404" t="s">
        <v>2704</v>
      </c>
      <c r="P3502" s="392"/>
      <c r="Q3502" s="327"/>
      <c r="R3502" s="351"/>
      <c r="S3502" s="351"/>
      <c r="T3502" s="351"/>
      <c r="U3502" s="329" t="str">
        <f>IF($N3502=$N$4,IFERROR(INDEX(DanhMuc!$E$154:$E$165,MATCH(MID($B3502,4,2),DanhMuc!$B$154:$B$165,0)),""),"")</f>
        <v/>
      </c>
      <c r="V3502" s="361"/>
      <c r="W3502" s="345"/>
      <c r="X3502" s="329" t="str">
        <f t="shared" si="328"/>
        <v>GQ</v>
      </c>
      <c r="Y3502" s="1128" t="s">
        <v>3380</v>
      </c>
      <c r="Z3502" s="1128" t="s">
        <v>3381</v>
      </c>
      <c r="AA3502" s="1128" t="s">
        <v>3384</v>
      </c>
      <c r="AB3502" s="20"/>
      <c r="AC3502" s="73"/>
    </row>
    <row r="3503" spans="1:29">
      <c r="A3503" s="327" t="str">
        <f>IF(AND($B3503&lt;&gt;"",$C3503&lt;&gt;""),MAX($A$1556:A3478)+1,"")</f>
        <v/>
      </c>
      <c r="B3503" s="361" t="s">
        <v>2013</v>
      </c>
      <c r="C3503" s="360"/>
      <c r="D3503" s="327">
        <f>IF($B3503="","",COUNTIF($B$6:$B3503,$B3503))</f>
        <v>6</v>
      </c>
      <c r="E3503" s="419" t="s">
        <v>964</v>
      </c>
      <c r="F3503" s="422" t="s">
        <v>966</v>
      </c>
      <c r="G3503" s="418" t="s">
        <v>155</v>
      </c>
      <c r="H3503" s="419"/>
      <c r="I3503" s="418">
        <v>1</v>
      </c>
      <c r="J3503" s="421"/>
      <c r="K3503" s="418"/>
      <c r="L3503" s="420">
        <v>1</v>
      </c>
      <c r="M3503" s="371"/>
      <c r="N3503" s="355" t="str">
        <f t="shared" si="327"/>
        <v>PK</v>
      </c>
      <c r="O3503" s="404" t="s">
        <v>1622</v>
      </c>
      <c r="P3503" s="392"/>
      <c r="Q3503" s="327"/>
      <c r="R3503" s="351"/>
      <c r="S3503" s="351"/>
      <c r="T3503" s="351"/>
      <c r="U3503" s="329" t="str">
        <f>IF($N3503=$N$4,IFERROR(INDEX(DanhMuc!$E$154:$E$165,MATCH(MID($B3503,4,2),DanhMuc!$B$154:$B$165,0)),""),"")</f>
        <v/>
      </c>
      <c r="V3503" s="361"/>
      <c r="W3503" s="345"/>
      <c r="X3503" s="329" t="str">
        <f t="shared" si="328"/>
        <v>GQ</v>
      </c>
      <c r="Y3503" s="1128" t="s">
        <v>3380</v>
      </c>
      <c r="Z3503" s="1128" t="s">
        <v>3381</v>
      </c>
      <c r="AA3503" s="1128" t="s">
        <v>3384</v>
      </c>
      <c r="AB3503" s="20"/>
      <c r="AC3503" s="73"/>
    </row>
    <row r="3504" spans="1:29">
      <c r="A3504" s="327" t="str">
        <f>IF(AND($B3504&lt;&gt;"",$C3504&lt;&gt;""),MAX($A$1556:A3479)+1,"")</f>
        <v/>
      </c>
      <c r="B3504" s="361" t="s">
        <v>2013</v>
      </c>
      <c r="C3504" s="360"/>
      <c r="D3504" s="327">
        <f>IF($B3504="","",COUNTIF($B$6:$B3504,$B3504))</f>
        <v>7</v>
      </c>
      <c r="E3504" s="423" t="s">
        <v>1105</v>
      </c>
      <c r="F3504" s="424" t="s">
        <v>1106</v>
      </c>
      <c r="G3504" s="425" t="s">
        <v>297</v>
      </c>
      <c r="H3504" s="426"/>
      <c r="I3504" s="425">
        <v>1</v>
      </c>
      <c r="J3504" s="427"/>
      <c r="K3504" s="425"/>
      <c r="L3504" s="428">
        <v>1</v>
      </c>
      <c r="M3504" s="371"/>
      <c r="N3504" s="355" t="str">
        <f t="shared" si="327"/>
        <v>PK</v>
      </c>
      <c r="O3504" s="404" t="s">
        <v>1623</v>
      </c>
      <c r="P3504" s="392"/>
      <c r="Q3504" s="327"/>
      <c r="R3504" s="351"/>
      <c r="S3504" s="351"/>
      <c r="T3504" s="351"/>
      <c r="U3504" s="329" t="str">
        <f>IF($N3504=$N$4,IFERROR(INDEX(DanhMuc!$E$154:$E$165,MATCH(MID($B3504,4,2),DanhMuc!$B$154:$B$165,0)),""),"")</f>
        <v/>
      </c>
      <c r="V3504" s="361"/>
      <c r="W3504" s="345"/>
      <c r="X3504" s="329" t="str">
        <f t="shared" si="328"/>
        <v>GQ</v>
      </c>
      <c r="Y3504" s="1128" t="s">
        <v>3380</v>
      </c>
      <c r="Z3504" s="1128" t="s">
        <v>3381</v>
      </c>
      <c r="AA3504" s="1128" t="s">
        <v>3384</v>
      </c>
      <c r="AB3504" s="20"/>
      <c r="AC3504" s="73"/>
    </row>
    <row r="3505" spans="1:29">
      <c r="A3505" s="327" t="str">
        <f>IF(AND($B3505&lt;&gt;"",$C3505&lt;&gt;""),MAX($A$1556:A3480)+1,"")</f>
        <v/>
      </c>
      <c r="B3505" s="361" t="s">
        <v>2013</v>
      </c>
      <c r="C3505" s="360"/>
      <c r="D3505" s="327">
        <f>IF($B3505="","",COUNTIF($B$6:$B3505,$B3505))</f>
        <v>8</v>
      </c>
      <c r="E3505" s="423" t="s">
        <v>432</v>
      </c>
      <c r="F3505" s="424" t="s">
        <v>434</v>
      </c>
      <c r="G3505" s="425" t="s">
        <v>344</v>
      </c>
      <c r="H3505" s="426"/>
      <c r="I3505" s="423" t="s">
        <v>1332</v>
      </c>
      <c r="J3505" s="427"/>
      <c r="K3505" s="425"/>
      <c r="L3505" s="428">
        <v>510000</v>
      </c>
      <c r="M3505" s="371"/>
      <c r="N3505" s="355" t="str">
        <f t="shared" si="327"/>
        <v>PK</v>
      </c>
      <c r="O3505" s="404" t="s">
        <v>1623</v>
      </c>
      <c r="P3505" s="392"/>
      <c r="Q3505" s="327"/>
      <c r="R3505" s="351"/>
      <c r="S3505" s="351"/>
      <c r="T3505" s="351"/>
      <c r="U3505" s="329" t="str">
        <f>IF($N3505=$N$4,IFERROR(INDEX(DanhMuc!$E$154:$E$165,MATCH(MID($B3505,4,2),DanhMuc!$B$154:$B$165,0)),""),"")</f>
        <v/>
      </c>
      <c r="V3505" s="361"/>
      <c r="W3505" s="345"/>
      <c r="X3505" s="329" t="str">
        <f t="shared" si="328"/>
        <v>GQ</v>
      </c>
      <c r="Y3505" s="1128" t="s">
        <v>3380</v>
      </c>
      <c r="Z3505" s="1128" t="s">
        <v>3381</v>
      </c>
      <c r="AA3505" s="1128" t="s">
        <v>3384</v>
      </c>
      <c r="AB3505" s="20"/>
      <c r="AC3505" s="73"/>
    </row>
    <row r="3506" spans="1:29">
      <c r="A3506" s="327" t="str">
        <f>IF(AND($B3506&lt;&gt;"",$C3506&lt;&gt;""),MAX($A$1556:A3481)+1,"")</f>
        <v/>
      </c>
      <c r="B3506" s="361" t="s">
        <v>2013</v>
      </c>
      <c r="C3506" s="360"/>
      <c r="D3506" s="327">
        <f>IF($B3506="","",COUNTIF($B$6:$B3506,$B3506))</f>
        <v>9</v>
      </c>
      <c r="E3506" s="423" t="s">
        <v>1107</v>
      </c>
      <c r="F3506" s="424" t="s">
        <v>1077</v>
      </c>
      <c r="G3506" s="425" t="s">
        <v>344</v>
      </c>
      <c r="H3506" s="426"/>
      <c r="I3506" s="423" t="s">
        <v>1334</v>
      </c>
      <c r="J3506" s="427"/>
      <c r="K3506" s="425"/>
      <c r="L3506" s="428">
        <v>548000</v>
      </c>
      <c r="M3506" s="371"/>
      <c r="N3506" s="355" t="str">
        <f t="shared" si="327"/>
        <v>PK</v>
      </c>
      <c r="O3506" s="404" t="s">
        <v>1623</v>
      </c>
      <c r="P3506" s="392"/>
      <c r="Q3506" s="327"/>
      <c r="R3506" s="351"/>
      <c r="S3506" s="351"/>
      <c r="T3506" s="351"/>
      <c r="U3506" s="329" t="str">
        <f>IF($N3506=$N$4,IFERROR(INDEX(DanhMuc!$E$154:$E$165,MATCH(MID($B3506,4,2),DanhMuc!$B$154:$B$165,0)),""),"")</f>
        <v/>
      </c>
      <c r="V3506" s="361"/>
      <c r="W3506" s="345"/>
      <c r="X3506" s="329" t="str">
        <f t="shared" si="328"/>
        <v>GQ</v>
      </c>
      <c r="Y3506" s="1128" t="s">
        <v>3380</v>
      </c>
      <c r="Z3506" s="1128" t="s">
        <v>3381</v>
      </c>
      <c r="AA3506" s="1128" t="s">
        <v>3384</v>
      </c>
      <c r="AB3506" s="20"/>
      <c r="AC3506" s="73"/>
    </row>
    <row r="3507" spans="1:29">
      <c r="A3507" s="327" t="str">
        <f>IF(AND($B3507&lt;&gt;"",$C3507&lt;&gt;""),MAX($A$1556:A3482)+1,"")</f>
        <v/>
      </c>
      <c r="B3507" s="361" t="s">
        <v>2013</v>
      </c>
      <c r="C3507" s="360"/>
      <c r="D3507" s="327">
        <f>IF($B3507="","",COUNTIF($B$6:$B3507,$B3507))</f>
        <v>10</v>
      </c>
      <c r="E3507" s="426" t="s">
        <v>962</v>
      </c>
      <c r="F3507" s="429" t="s">
        <v>1108</v>
      </c>
      <c r="G3507" s="425" t="s">
        <v>155</v>
      </c>
      <c r="H3507" s="426"/>
      <c r="I3507" s="425">
        <v>1</v>
      </c>
      <c r="J3507" s="427"/>
      <c r="K3507" s="425"/>
      <c r="L3507" s="428">
        <v>1</v>
      </c>
      <c r="M3507" s="371"/>
      <c r="N3507" s="355" t="str">
        <f t="shared" ref="N3507:N3538" si="329">+$N$1555</f>
        <v>PK</v>
      </c>
      <c r="O3507" s="404" t="s">
        <v>1624</v>
      </c>
      <c r="P3507" s="392"/>
      <c r="Q3507" s="327"/>
      <c r="R3507" s="351"/>
      <c r="S3507" s="351"/>
      <c r="T3507" s="351"/>
      <c r="U3507" s="329" t="str">
        <f>IF($N3507=$N$4,IFERROR(INDEX(DanhMuc!$E$154:$E$165,MATCH(MID($B3507,4,2),DanhMuc!$B$154:$B$165,0)),""),"")</f>
        <v/>
      </c>
      <c r="V3507" s="361"/>
      <c r="W3507" s="345"/>
      <c r="X3507" s="329" t="str">
        <f t="shared" si="328"/>
        <v>GQ</v>
      </c>
      <c r="Y3507" s="1128" t="s">
        <v>3380</v>
      </c>
      <c r="Z3507" s="1128" t="s">
        <v>3381</v>
      </c>
      <c r="AA3507" s="1128" t="s">
        <v>3384</v>
      </c>
      <c r="AB3507" s="20"/>
      <c r="AC3507" s="73"/>
    </row>
    <row r="3508" spans="1:29">
      <c r="A3508" s="327" t="str">
        <f>IF(AND($B3508&lt;&gt;"",$C3508&lt;&gt;""),MAX($A$1556:A3483)+1,"")</f>
        <v/>
      </c>
      <c r="B3508" s="361" t="s">
        <v>2013</v>
      </c>
      <c r="C3508" s="360"/>
      <c r="D3508" s="327">
        <f>IF($B3508="","",COUNTIF($B$6:$B3508,$B3508))</f>
        <v>11</v>
      </c>
      <c r="E3508" s="426" t="s">
        <v>963</v>
      </c>
      <c r="F3508" s="429" t="s">
        <v>1109</v>
      </c>
      <c r="G3508" s="425" t="s">
        <v>155</v>
      </c>
      <c r="H3508" s="426"/>
      <c r="I3508" s="425">
        <v>1</v>
      </c>
      <c r="J3508" s="427"/>
      <c r="K3508" s="425"/>
      <c r="L3508" s="428">
        <v>1</v>
      </c>
      <c r="M3508" s="371"/>
      <c r="N3508" s="355" t="str">
        <f t="shared" si="329"/>
        <v>PK</v>
      </c>
      <c r="O3508" s="404" t="s">
        <v>1625</v>
      </c>
      <c r="P3508" s="392"/>
      <c r="Q3508" s="327"/>
      <c r="R3508" s="351"/>
      <c r="S3508" s="351"/>
      <c r="T3508" s="351"/>
      <c r="U3508" s="329" t="str">
        <f>IF($N3508=$N$4,IFERROR(INDEX(DanhMuc!$E$154:$E$165,MATCH(MID($B3508,4,2),DanhMuc!$B$154:$B$165,0)),""),"")</f>
        <v/>
      </c>
      <c r="V3508" s="361"/>
      <c r="W3508" s="345"/>
      <c r="X3508" s="329" t="str">
        <f t="shared" si="328"/>
        <v>GQ</v>
      </c>
      <c r="Y3508" s="1128" t="s">
        <v>3380</v>
      </c>
      <c r="Z3508" s="1128" t="s">
        <v>3381</v>
      </c>
      <c r="AA3508" s="1128" t="s">
        <v>3384</v>
      </c>
      <c r="AB3508" s="20"/>
      <c r="AC3508" s="73"/>
    </row>
    <row r="3509" spans="1:29">
      <c r="A3509" s="327" t="str">
        <f>IF(AND($B3509&lt;&gt;"",$C3509&lt;&gt;""),MAX($A$1556:A3484)+1,"")</f>
        <v/>
      </c>
      <c r="B3509" s="361" t="s">
        <v>2013</v>
      </c>
      <c r="C3509" s="360"/>
      <c r="D3509" s="327">
        <f>IF($B3509="","",COUNTIF($B$6:$B3509,$B3509))</f>
        <v>12</v>
      </c>
      <c r="E3509" s="423" t="s">
        <v>967</v>
      </c>
      <c r="F3509" s="429" t="s">
        <v>968</v>
      </c>
      <c r="G3509" s="425" t="s">
        <v>155</v>
      </c>
      <c r="H3509" s="426"/>
      <c r="I3509" s="425">
        <v>1</v>
      </c>
      <c r="J3509" s="427"/>
      <c r="K3509" s="425"/>
      <c r="L3509" s="428">
        <v>1</v>
      </c>
      <c r="M3509" s="371"/>
      <c r="N3509" s="355" t="str">
        <f t="shared" si="329"/>
        <v>PK</v>
      </c>
      <c r="O3509" s="404" t="s">
        <v>2703</v>
      </c>
      <c r="P3509" s="392"/>
      <c r="Q3509" s="327"/>
      <c r="R3509" s="351"/>
      <c r="S3509" s="351"/>
      <c r="T3509" s="351"/>
      <c r="U3509" s="329" t="str">
        <f>IF($N3509=$N$4,IFERROR(INDEX(DanhMuc!$E$154:$E$165,MATCH(MID($B3509,4,2),DanhMuc!$B$154:$B$165,0)),""),"")</f>
        <v/>
      </c>
      <c r="V3509" s="361"/>
      <c r="W3509" s="345"/>
      <c r="X3509" s="329" t="str">
        <f t="shared" si="328"/>
        <v>GQ</v>
      </c>
      <c r="Y3509" s="1128" t="s">
        <v>3380</v>
      </c>
      <c r="Z3509" s="1128" t="s">
        <v>3381</v>
      </c>
      <c r="AA3509" s="1128" t="s">
        <v>3384</v>
      </c>
      <c r="AB3509" s="20"/>
      <c r="AC3509" s="73"/>
    </row>
    <row r="3510" spans="1:29">
      <c r="A3510" s="327" t="str">
        <f>IF(AND($B3510&lt;&gt;"",$C3510&lt;&gt;""),MAX($A$1556:A3485)+1,"")</f>
        <v/>
      </c>
      <c r="B3510" s="361" t="s">
        <v>2013</v>
      </c>
      <c r="C3510" s="360"/>
      <c r="D3510" s="327">
        <f>IF($B3510="","",COUNTIF($B$6:$B3510,$B3510))</f>
        <v>13</v>
      </c>
      <c r="E3510" s="423" t="s">
        <v>433</v>
      </c>
      <c r="F3510" s="424" t="s">
        <v>429</v>
      </c>
      <c r="G3510" s="425" t="s">
        <v>155</v>
      </c>
      <c r="H3510" s="426"/>
      <c r="I3510" s="425">
        <v>1</v>
      </c>
      <c r="J3510" s="427"/>
      <c r="K3510" s="425"/>
      <c r="L3510" s="428">
        <v>1</v>
      </c>
      <c r="M3510" s="371"/>
      <c r="N3510" s="355" t="str">
        <f t="shared" si="329"/>
        <v>PK</v>
      </c>
      <c r="O3510" s="404" t="s">
        <v>969</v>
      </c>
      <c r="P3510" s="392"/>
      <c r="Q3510" s="327"/>
      <c r="R3510" s="351"/>
      <c r="S3510" s="351"/>
      <c r="T3510" s="351"/>
      <c r="U3510" s="329" t="str">
        <f>IF($N3510=$N$4,IFERROR(INDEX(DanhMuc!$E$154:$E$165,MATCH(MID($B3510,4,2),DanhMuc!$B$154:$B$165,0)),""),"")</f>
        <v/>
      </c>
      <c r="V3510" s="361"/>
      <c r="W3510" s="345"/>
      <c r="X3510" s="329" t="str">
        <f t="shared" si="328"/>
        <v>GQ</v>
      </c>
      <c r="Y3510" s="1128" t="s">
        <v>3380</v>
      </c>
      <c r="Z3510" s="1128" t="s">
        <v>3381</v>
      </c>
      <c r="AA3510" s="1128" t="s">
        <v>3384</v>
      </c>
      <c r="AB3510" s="20"/>
      <c r="AC3510" s="73"/>
    </row>
    <row r="3511" spans="1:29">
      <c r="A3511" s="327" t="str">
        <f>IF(AND($B3511&lt;&gt;"",$C3511&lt;&gt;""),MAX($A$1556:A3486)+1,"")</f>
        <v/>
      </c>
      <c r="B3511" s="361" t="s">
        <v>2013</v>
      </c>
      <c r="C3511" s="360"/>
      <c r="D3511" s="327">
        <f>IF($B3511="","",COUNTIF($B$6:$B3511,$B3511))</f>
        <v>14</v>
      </c>
      <c r="E3511" s="423" t="s">
        <v>1006</v>
      </c>
      <c r="F3511" s="424" t="s">
        <v>1008</v>
      </c>
      <c r="G3511" s="425" t="s">
        <v>155</v>
      </c>
      <c r="H3511" s="426"/>
      <c r="I3511" s="425">
        <v>4</v>
      </c>
      <c r="J3511" s="427"/>
      <c r="K3511" s="425"/>
      <c r="L3511" s="428">
        <v>1</v>
      </c>
      <c r="M3511" s="371"/>
      <c r="N3511" s="355" t="str">
        <f t="shared" si="329"/>
        <v>PK</v>
      </c>
      <c r="O3511" s="404" t="s">
        <v>1624</v>
      </c>
      <c r="P3511" s="392"/>
      <c r="Q3511" s="327"/>
      <c r="R3511" s="351"/>
      <c r="S3511" s="351"/>
      <c r="T3511" s="351"/>
      <c r="U3511" s="329" t="str">
        <f>IF($N3511=$N$4,IFERROR(INDEX(DanhMuc!$E$154:$E$165,MATCH(MID($B3511,4,2),DanhMuc!$B$154:$B$165,0)),""),"")</f>
        <v/>
      </c>
      <c r="V3511" s="361"/>
      <c r="W3511" s="345"/>
      <c r="X3511" s="329" t="str">
        <f t="shared" si="328"/>
        <v>GQ</v>
      </c>
      <c r="Y3511" s="1128" t="s">
        <v>3380</v>
      </c>
      <c r="Z3511" s="1128" t="s">
        <v>3381</v>
      </c>
      <c r="AA3511" s="1128" t="s">
        <v>3384</v>
      </c>
      <c r="AB3511" s="20"/>
      <c r="AC3511" s="73"/>
    </row>
    <row r="3512" spans="1:29">
      <c r="A3512" s="327" t="str">
        <f>IF(AND($B3512&lt;&gt;"",$C3512&lt;&gt;""),MAX($A$1556:A3487)+1,"")</f>
        <v/>
      </c>
      <c r="B3512" s="361" t="s">
        <v>2013</v>
      </c>
      <c r="C3512" s="360"/>
      <c r="D3512" s="327">
        <f>IF($B3512="","",COUNTIF($B$6:$B3512,$B3512))</f>
        <v>15</v>
      </c>
      <c r="E3512" s="423" t="s">
        <v>1007</v>
      </c>
      <c r="F3512" s="424" t="s">
        <v>1009</v>
      </c>
      <c r="G3512" s="425" t="s">
        <v>155</v>
      </c>
      <c r="H3512" s="426"/>
      <c r="I3512" s="425">
        <v>4</v>
      </c>
      <c r="J3512" s="427"/>
      <c r="K3512" s="425"/>
      <c r="L3512" s="428">
        <v>1</v>
      </c>
      <c r="M3512" s="371"/>
      <c r="N3512" s="355" t="str">
        <f t="shared" si="329"/>
        <v>PK</v>
      </c>
      <c r="O3512" s="404" t="s">
        <v>1625</v>
      </c>
      <c r="P3512" s="392"/>
      <c r="Q3512" s="327"/>
      <c r="R3512" s="351"/>
      <c r="S3512" s="351"/>
      <c r="T3512" s="351"/>
      <c r="U3512" s="329" t="str">
        <f>IF($N3512=$N$4,IFERROR(INDEX(DanhMuc!$E$154:$E$165,MATCH(MID($B3512,4,2),DanhMuc!$B$154:$B$165,0)),""),"")</f>
        <v/>
      </c>
      <c r="V3512" s="361"/>
      <c r="W3512" s="345"/>
      <c r="X3512" s="329" t="str">
        <f t="shared" si="328"/>
        <v>GQ</v>
      </c>
      <c r="Y3512" s="1128" t="s">
        <v>3380</v>
      </c>
      <c r="Z3512" s="1128" t="s">
        <v>3381</v>
      </c>
      <c r="AA3512" s="1128" t="s">
        <v>3384</v>
      </c>
      <c r="AB3512" s="20"/>
      <c r="AC3512" s="73"/>
    </row>
    <row r="3513" spans="1:29">
      <c r="A3513" s="327" t="str">
        <f>IF(AND($B3513&lt;&gt;"",$C3513&lt;&gt;""),MAX($A$1556:A3488)+1,"")</f>
        <v/>
      </c>
      <c r="B3513" s="361" t="s">
        <v>2013</v>
      </c>
      <c r="C3513" s="360"/>
      <c r="D3513" s="327">
        <f>IF($B3513="","",COUNTIF($B$6:$B3513,$B3513))</f>
        <v>16</v>
      </c>
      <c r="E3513" s="430" t="s">
        <v>436</v>
      </c>
      <c r="F3513" s="431" t="s">
        <v>435</v>
      </c>
      <c r="G3513" s="351" t="s">
        <v>155</v>
      </c>
      <c r="H3513" s="361"/>
      <c r="I3513" s="327">
        <v>8</v>
      </c>
      <c r="J3513" s="345"/>
      <c r="K3513" s="327"/>
      <c r="L3513" s="389">
        <v>92000</v>
      </c>
      <c r="M3513" s="371"/>
      <c r="N3513" s="355" t="str">
        <f t="shared" si="329"/>
        <v>PK</v>
      </c>
      <c r="O3513" s="345" t="s">
        <v>1362</v>
      </c>
      <c r="P3513" s="392"/>
      <c r="Q3513" s="327"/>
      <c r="R3513" s="351"/>
      <c r="S3513" s="351"/>
      <c r="T3513" s="351"/>
      <c r="U3513" s="329" t="str">
        <f>IF($N3513=$N$4,IFERROR(INDEX(DanhMuc!$E$154:$E$165,MATCH(MID($B3513,4,2),DanhMuc!$B$154:$B$165,0)),""),"")</f>
        <v/>
      </c>
      <c r="V3513" s="361"/>
      <c r="W3513" s="345"/>
      <c r="X3513" s="329" t="str">
        <f t="shared" si="328"/>
        <v>GQ</v>
      </c>
      <c r="Y3513" s="1128" t="s">
        <v>3380</v>
      </c>
      <c r="Z3513" s="1128" t="s">
        <v>3381</v>
      </c>
      <c r="AA3513" s="1128" t="s">
        <v>3384</v>
      </c>
      <c r="AB3513" s="20"/>
      <c r="AC3513" s="73"/>
    </row>
    <row r="3514" spans="1:29">
      <c r="A3514" s="327" t="str">
        <f>IF(AND($B3514&lt;&gt;"",$C3514&lt;&gt;""),MAX($A$1556:A3489)+1,"")</f>
        <v/>
      </c>
      <c r="B3514" s="361" t="s">
        <v>2013</v>
      </c>
      <c r="C3514" s="360"/>
      <c r="D3514" s="327">
        <f>IF($B3514="","",COUNTIF($B$6:$B3514,$B3514))</f>
        <v>17</v>
      </c>
      <c r="E3514" s="430" t="s">
        <v>440</v>
      </c>
      <c r="F3514" s="431" t="s">
        <v>439</v>
      </c>
      <c r="G3514" s="351" t="s">
        <v>155</v>
      </c>
      <c r="H3514" s="361"/>
      <c r="I3514" s="327">
        <v>8</v>
      </c>
      <c r="J3514" s="345"/>
      <c r="K3514" s="327"/>
      <c r="L3514" s="389">
        <v>135000</v>
      </c>
      <c r="M3514" s="371"/>
      <c r="N3514" s="355" t="str">
        <f t="shared" si="329"/>
        <v>PK</v>
      </c>
      <c r="O3514" s="345" t="s">
        <v>441</v>
      </c>
      <c r="P3514" s="392"/>
      <c r="Q3514" s="327"/>
      <c r="R3514" s="351"/>
      <c r="S3514" s="351"/>
      <c r="T3514" s="351"/>
      <c r="U3514" s="329" t="str">
        <f>IF($N3514=$N$4,IFERROR(INDEX(DanhMuc!$E$154:$E$165,MATCH(MID($B3514,4,2),DanhMuc!$B$154:$B$165,0)),""),"")</f>
        <v/>
      </c>
      <c r="V3514" s="361"/>
      <c r="W3514" s="345"/>
      <c r="X3514" s="329" t="str">
        <f t="shared" si="328"/>
        <v>GQ</v>
      </c>
      <c r="Y3514" s="1128" t="s">
        <v>3380</v>
      </c>
      <c r="Z3514" s="1128" t="s">
        <v>3381</v>
      </c>
      <c r="AA3514" s="1128" t="s">
        <v>3384</v>
      </c>
      <c r="AB3514" s="20"/>
      <c r="AC3514" s="73"/>
    </row>
    <row r="3515" spans="1:29">
      <c r="A3515" s="327" t="str">
        <f>IF(AND($B3515&lt;&gt;"",$C3515&lt;&gt;""),MAX($A$1556:A3490)+1,"")</f>
        <v/>
      </c>
      <c r="B3515" s="361" t="s">
        <v>2013</v>
      </c>
      <c r="C3515" s="360"/>
      <c r="D3515" s="327">
        <f>IF($B3515="","",COUNTIF($B$6:$B3515,$B3515))</f>
        <v>18</v>
      </c>
      <c r="E3515" s="430" t="s">
        <v>1010</v>
      </c>
      <c r="F3515" s="431" t="s">
        <v>1011</v>
      </c>
      <c r="G3515" s="351" t="s">
        <v>155</v>
      </c>
      <c r="H3515" s="361"/>
      <c r="I3515" s="327">
        <v>4</v>
      </c>
      <c r="J3515" s="345"/>
      <c r="K3515" s="327"/>
      <c r="L3515" s="389">
        <v>160000</v>
      </c>
      <c r="M3515" s="371"/>
      <c r="N3515" s="355" t="str">
        <f t="shared" si="329"/>
        <v>PK</v>
      </c>
      <c r="O3515" s="345"/>
      <c r="P3515" s="392"/>
      <c r="Q3515" s="327"/>
      <c r="R3515" s="351"/>
      <c r="S3515" s="351"/>
      <c r="T3515" s="351"/>
      <c r="U3515" s="329" t="str">
        <f>IF($N3515=$N$4,IFERROR(INDEX(DanhMuc!$E$154:$E$165,MATCH(MID($B3515,4,2),DanhMuc!$B$154:$B$165,0)),""),"")</f>
        <v/>
      </c>
      <c r="V3515" s="361"/>
      <c r="W3515" s="345"/>
      <c r="X3515" s="329" t="str">
        <f t="shared" si="328"/>
        <v>GQ</v>
      </c>
      <c r="Y3515" s="1128" t="s">
        <v>3380</v>
      </c>
      <c r="Z3515" s="1128" t="s">
        <v>3381</v>
      </c>
      <c r="AA3515" s="1128" t="s">
        <v>3384</v>
      </c>
      <c r="AB3515" s="20"/>
      <c r="AC3515" s="73"/>
    </row>
    <row r="3516" spans="1:29">
      <c r="A3516" s="327" t="str">
        <f>IF(AND($B3516&lt;&gt;"",$C3516&lt;&gt;""),MAX($A$1556:A3491)+1,"")</f>
        <v/>
      </c>
      <c r="B3516" s="361" t="s">
        <v>2013</v>
      </c>
      <c r="C3516" s="360"/>
      <c r="D3516" s="327">
        <f>IF($B3516="","",COUNTIF($B$6:$B3516,$B3516))</f>
        <v>19</v>
      </c>
      <c r="E3516" s="411" t="s">
        <v>1019</v>
      </c>
      <c r="F3516" s="432" t="s">
        <v>1020</v>
      </c>
      <c r="G3516" s="410" t="s">
        <v>344</v>
      </c>
      <c r="H3516" s="402"/>
      <c r="I3516" s="411" t="s">
        <v>1948</v>
      </c>
      <c r="J3516" s="345"/>
      <c r="K3516" s="327"/>
      <c r="L3516" s="389">
        <v>190000</v>
      </c>
      <c r="M3516" s="371"/>
      <c r="N3516" s="355" t="str">
        <f t="shared" si="329"/>
        <v>PK</v>
      </c>
      <c r="O3516" s="345"/>
      <c r="P3516" s="392"/>
      <c r="Q3516" s="327"/>
      <c r="R3516" s="351"/>
      <c r="S3516" s="351"/>
      <c r="T3516" s="351"/>
      <c r="U3516" s="329" t="str">
        <f>IF($N3516=$N$4,IFERROR(INDEX(DanhMuc!$E$154:$E$165,MATCH(MID($B3516,4,2),DanhMuc!$B$154:$B$165,0)),""),"")</f>
        <v/>
      </c>
      <c r="V3516" s="361"/>
      <c r="W3516" s="345"/>
      <c r="X3516" s="329" t="str">
        <f t="shared" si="328"/>
        <v>GQ</v>
      </c>
      <c r="Y3516" s="1128" t="s">
        <v>3380</v>
      </c>
      <c r="Z3516" s="1128" t="s">
        <v>3381</v>
      </c>
      <c r="AA3516" s="1128" t="s">
        <v>3384</v>
      </c>
      <c r="AB3516" s="20"/>
      <c r="AC3516" s="73"/>
    </row>
    <row r="3517" spans="1:29">
      <c r="A3517" s="327" t="str">
        <f>IF(AND($B3517&lt;&gt;"",$C3517&lt;&gt;""),MAX($A$1556:A3492)+1,"")</f>
        <v/>
      </c>
      <c r="B3517" s="361" t="s">
        <v>2013</v>
      </c>
      <c r="C3517" s="360"/>
      <c r="D3517" s="327">
        <f>IF($B3517="","",COUNTIF($B$6:$B3517,$B3517))</f>
        <v>20</v>
      </c>
      <c r="E3517" s="411" t="s">
        <v>1021</v>
      </c>
      <c r="F3517" s="432" t="s">
        <v>1022</v>
      </c>
      <c r="G3517" s="410" t="s">
        <v>344</v>
      </c>
      <c r="H3517" s="402"/>
      <c r="I3517" s="411" t="s">
        <v>1949</v>
      </c>
      <c r="J3517" s="345"/>
      <c r="K3517" s="327"/>
      <c r="L3517" s="389">
        <v>195000</v>
      </c>
      <c r="M3517" s="371"/>
      <c r="N3517" s="355" t="str">
        <f t="shared" si="329"/>
        <v>PK</v>
      </c>
      <c r="O3517" s="345"/>
      <c r="P3517" s="392"/>
      <c r="Q3517" s="327"/>
      <c r="R3517" s="351"/>
      <c r="S3517" s="351"/>
      <c r="T3517" s="351"/>
      <c r="U3517" s="329" t="str">
        <f>IF($N3517=$N$4,IFERROR(INDEX(DanhMuc!$E$154:$E$165,MATCH(MID($B3517,4,2),DanhMuc!$B$154:$B$165,0)),""),"")</f>
        <v/>
      </c>
      <c r="V3517" s="361"/>
      <c r="W3517" s="345"/>
      <c r="X3517" s="329" t="str">
        <f t="shared" si="328"/>
        <v>GQ</v>
      </c>
      <c r="Y3517" s="1128" t="s">
        <v>3380</v>
      </c>
      <c r="Z3517" s="1128" t="s">
        <v>3381</v>
      </c>
      <c r="AA3517" s="1128" t="s">
        <v>3384</v>
      </c>
      <c r="AB3517" s="20"/>
      <c r="AC3517" s="73"/>
    </row>
    <row r="3518" spans="1:29">
      <c r="A3518" s="327" t="str">
        <f>IF(AND($B3518&lt;&gt;"",$C3518&lt;&gt;""),MAX($A$1556:A3493)+1,"")</f>
        <v/>
      </c>
      <c r="B3518" s="361" t="s">
        <v>2013</v>
      </c>
      <c r="C3518" s="360"/>
      <c r="D3518" s="327">
        <f>IF($B3518="","",COUNTIF($B$6:$B3518,$B3518))</f>
        <v>21</v>
      </c>
      <c r="E3518" s="430" t="s">
        <v>980</v>
      </c>
      <c r="F3518" s="431" t="s">
        <v>978</v>
      </c>
      <c r="G3518" s="327" t="s">
        <v>297</v>
      </c>
      <c r="H3518" s="361"/>
      <c r="I3518" s="327">
        <v>4</v>
      </c>
      <c r="J3518" s="345"/>
      <c r="K3518" s="327"/>
      <c r="L3518" s="389">
        <v>1</v>
      </c>
      <c r="M3518" s="371"/>
      <c r="N3518" s="355" t="str">
        <f t="shared" si="329"/>
        <v>PK</v>
      </c>
      <c r="O3518" s="345"/>
      <c r="P3518" s="392"/>
      <c r="Q3518" s="327"/>
      <c r="R3518" s="351"/>
      <c r="S3518" s="351"/>
      <c r="T3518" s="351"/>
      <c r="U3518" s="329" t="str">
        <f>IF($N3518=$N$4,IFERROR(INDEX(DanhMuc!$E$154:$E$165,MATCH(MID($B3518,4,2),DanhMuc!$B$154:$B$165,0)),""),"")</f>
        <v/>
      </c>
      <c r="V3518" s="361"/>
      <c r="W3518" s="345"/>
      <c r="X3518" s="329" t="str">
        <f t="shared" si="328"/>
        <v>GQ</v>
      </c>
      <c r="Y3518" s="1128" t="s">
        <v>3380</v>
      </c>
      <c r="Z3518" s="1128" t="s">
        <v>3381</v>
      </c>
      <c r="AA3518" s="1128" t="s">
        <v>3384</v>
      </c>
      <c r="AB3518" s="20"/>
      <c r="AC3518" s="73"/>
    </row>
    <row r="3519" spans="1:29">
      <c r="A3519" s="327" t="str">
        <f>IF(AND($B3519&lt;&gt;"",$C3519&lt;&gt;""),MAX($A$1556:A3494)+1,"")</f>
        <v/>
      </c>
      <c r="B3519" s="361" t="s">
        <v>2013</v>
      </c>
      <c r="C3519" s="360"/>
      <c r="D3519" s="327">
        <f>IF($B3519="","",COUNTIF($B$6:$B3519,$B3519))</f>
        <v>22</v>
      </c>
      <c r="E3519" s="430" t="s">
        <v>1005</v>
      </c>
      <c r="F3519" s="431" t="s">
        <v>979</v>
      </c>
      <c r="G3519" s="327" t="s">
        <v>155</v>
      </c>
      <c r="H3519" s="361"/>
      <c r="I3519" s="327">
        <v>4</v>
      </c>
      <c r="J3519" s="345"/>
      <c r="K3519" s="327"/>
      <c r="L3519" s="389">
        <v>1</v>
      </c>
      <c r="M3519" s="371"/>
      <c r="N3519" s="355" t="str">
        <f t="shared" si="329"/>
        <v>PK</v>
      </c>
      <c r="O3519" s="345"/>
      <c r="P3519" s="392"/>
      <c r="Q3519" s="327"/>
      <c r="R3519" s="351"/>
      <c r="S3519" s="351"/>
      <c r="T3519" s="351"/>
      <c r="U3519" s="329" t="str">
        <f>IF($N3519=$N$4,IFERROR(INDEX(DanhMuc!$E$154:$E$165,MATCH(MID($B3519,4,2),DanhMuc!$B$154:$B$165,0)),""),"")</f>
        <v/>
      </c>
      <c r="V3519" s="361"/>
      <c r="W3519" s="345"/>
      <c r="X3519" s="329" t="str">
        <f t="shared" si="328"/>
        <v>GQ</v>
      </c>
      <c r="Y3519" s="1128" t="s">
        <v>3380</v>
      </c>
      <c r="Z3519" s="1128" t="s">
        <v>3381</v>
      </c>
      <c r="AA3519" s="1128" t="s">
        <v>3384</v>
      </c>
      <c r="AB3519" s="20"/>
      <c r="AC3519" s="73"/>
    </row>
    <row r="3520" spans="1:29">
      <c r="A3520" s="327" t="str">
        <f>IF(AND($B3520&lt;&gt;"",$C3520&lt;&gt;""),MAX($A$1556:A3495)+1,"")</f>
        <v/>
      </c>
      <c r="B3520" s="361" t="s">
        <v>2013</v>
      </c>
      <c r="C3520" s="360"/>
      <c r="D3520" s="327">
        <f>IF($B3520="","",COUNTIF($B$6:$B3520,$B3520))</f>
        <v>23</v>
      </c>
      <c r="E3520" s="430" t="s">
        <v>1110</v>
      </c>
      <c r="F3520" s="431" t="s">
        <v>1112</v>
      </c>
      <c r="G3520" s="327" t="s">
        <v>155</v>
      </c>
      <c r="H3520" s="361"/>
      <c r="I3520" s="327">
        <v>1</v>
      </c>
      <c r="J3520" s="345"/>
      <c r="K3520" s="327"/>
      <c r="L3520" s="389">
        <v>5500</v>
      </c>
      <c r="M3520" s="371"/>
      <c r="N3520" s="355" t="str">
        <f t="shared" si="329"/>
        <v>PK</v>
      </c>
      <c r="O3520" s="345"/>
      <c r="P3520" s="392"/>
      <c r="Q3520" s="327"/>
      <c r="R3520" s="351"/>
      <c r="S3520" s="351"/>
      <c r="T3520" s="351"/>
      <c r="U3520" s="329" t="str">
        <f>IF($N3520=$N$4,IFERROR(INDEX(DanhMuc!$E$154:$E$165,MATCH(MID($B3520,4,2),DanhMuc!$B$154:$B$165,0)),""),"")</f>
        <v/>
      </c>
      <c r="V3520" s="361"/>
      <c r="W3520" s="345"/>
      <c r="X3520" s="329" t="str">
        <f t="shared" si="328"/>
        <v>GQ</v>
      </c>
      <c r="Y3520" s="1128" t="s">
        <v>3380</v>
      </c>
      <c r="Z3520" s="1128" t="s">
        <v>3381</v>
      </c>
      <c r="AA3520" s="1128" t="s">
        <v>3384</v>
      </c>
      <c r="AB3520" s="20"/>
      <c r="AC3520" s="73"/>
    </row>
    <row r="3521" spans="1:29">
      <c r="A3521" s="327" t="str">
        <f>IF(AND($B3521&lt;&gt;"",$C3521&lt;&gt;""),MAX($A$1556:A3496)+1,"")</f>
        <v/>
      </c>
      <c r="B3521" s="361" t="s">
        <v>2013</v>
      </c>
      <c r="C3521" s="360"/>
      <c r="D3521" s="327">
        <f>IF($B3521="","",COUNTIF($B$6:$B3521,$B3521))</f>
        <v>24</v>
      </c>
      <c r="E3521" s="430" t="s">
        <v>1111</v>
      </c>
      <c r="F3521" s="431" t="s">
        <v>1113</v>
      </c>
      <c r="G3521" s="327" t="s">
        <v>155</v>
      </c>
      <c r="H3521" s="361"/>
      <c r="I3521" s="327">
        <v>1</v>
      </c>
      <c r="J3521" s="345"/>
      <c r="K3521" s="327"/>
      <c r="L3521" s="389">
        <v>5500</v>
      </c>
      <c r="M3521" s="371"/>
      <c r="N3521" s="355" t="str">
        <f t="shared" si="329"/>
        <v>PK</v>
      </c>
      <c r="O3521" s="345"/>
      <c r="P3521" s="392"/>
      <c r="Q3521" s="327"/>
      <c r="R3521" s="351"/>
      <c r="S3521" s="351"/>
      <c r="T3521" s="351"/>
      <c r="U3521" s="329" t="str">
        <f>IF($N3521=$N$4,IFERROR(INDEX(DanhMuc!$E$154:$E$165,MATCH(MID($B3521,4,2),DanhMuc!$B$154:$B$165,0)),""),"")</f>
        <v/>
      </c>
      <c r="V3521" s="361"/>
      <c r="W3521" s="345"/>
      <c r="X3521" s="329" t="str">
        <f t="shared" si="328"/>
        <v>GQ</v>
      </c>
      <c r="Y3521" s="1128" t="s">
        <v>3380</v>
      </c>
      <c r="Z3521" s="1128" t="s">
        <v>3381</v>
      </c>
      <c r="AA3521" s="1128" t="s">
        <v>3384</v>
      </c>
      <c r="AB3521" s="20"/>
      <c r="AC3521" s="73"/>
    </row>
    <row r="3522" spans="1:29">
      <c r="A3522" s="327" t="str">
        <f>IF(AND($B3522&lt;&gt;"",$C3522&lt;&gt;""),MAX($A$1556:A3497)+1,"")</f>
        <v/>
      </c>
      <c r="B3522" s="361" t="s">
        <v>2013</v>
      </c>
      <c r="C3522" s="360"/>
      <c r="D3522" s="327">
        <f>IF($B3522="","",COUNTIF($B$6:$B3522,$B3522))</f>
        <v>25</v>
      </c>
      <c r="E3522" s="361" t="s">
        <v>1444</v>
      </c>
      <c r="F3522" s="362" t="s">
        <v>2356</v>
      </c>
      <c r="G3522" s="327" t="s">
        <v>297</v>
      </c>
      <c r="H3522" s="327"/>
      <c r="I3522" s="327">
        <v>1</v>
      </c>
      <c r="J3522" s="345"/>
      <c r="K3522" s="327"/>
      <c r="L3522" s="389">
        <v>17000</v>
      </c>
      <c r="M3522" s="371"/>
      <c r="N3522" s="355" t="str">
        <f t="shared" si="329"/>
        <v>PK</v>
      </c>
      <c r="O3522" s="347"/>
      <c r="P3522" s="392"/>
      <c r="Q3522" s="327"/>
      <c r="R3522" s="351"/>
      <c r="S3522" s="351"/>
      <c r="T3522" s="351"/>
      <c r="U3522" s="329" t="str">
        <f>IF($N3522=$N$4,IFERROR(INDEX(DanhMuc!$E$154:$E$165,MATCH(MID($B3522,4,2),DanhMuc!$B$154:$B$165,0)),""),"")</f>
        <v/>
      </c>
      <c r="V3522" s="408"/>
      <c r="W3522" s="345"/>
      <c r="X3522" s="329" t="str">
        <f t="shared" si="328"/>
        <v>GQ</v>
      </c>
      <c r="Y3522" s="1128" t="s">
        <v>3380</v>
      </c>
      <c r="Z3522" s="1128" t="s">
        <v>3381</v>
      </c>
      <c r="AA3522" s="1128" t="s">
        <v>3384</v>
      </c>
      <c r="AB3522" s="20"/>
      <c r="AC3522" s="73"/>
    </row>
    <row r="3523" spans="1:29" ht="26">
      <c r="A3523" s="327">
        <f>IF(AND($B3523&lt;&gt;"",$C3523&lt;&gt;""),MAX($A$1556:A3498)+1,"")</f>
        <v>174</v>
      </c>
      <c r="B3523" s="359" t="s">
        <v>2014</v>
      </c>
      <c r="C3523" s="360" t="s">
        <v>1560</v>
      </c>
      <c r="D3523" s="327">
        <f>IF($B3523="","",COUNTIF($B$6:$B3523,$B3523))</f>
        <v>1</v>
      </c>
      <c r="E3523" s="416" t="s">
        <v>957</v>
      </c>
      <c r="F3523" s="417" t="s">
        <v>1104</v>
      </c>
      <c r="G3523" s="418" t="s">
        <v>297</v>
      </c>
      <c r="H3523" s="419"/>
      <c r="I3523" s="418">
        <v>1</v>
      </c>
      <c r="J3523" s="419"/>
      <c r="K3523" s="418"/>
      <c r="L3523" s="420">
        <v>1</v>
      </c>
      <c r="M3523" s="371"/>
      <c r="N3523" s="355" t="str">
        <f t="shared" si="329"/>
        <v>PK</v>
      </c>
      <c r="O3523" s="404" t="s">
        <v>1626</v>
      </c>
      <c r="P3523" s="392"/>
      <c r="Q3523" s="327"/>
      <c r="R3523" s="351"/>
      <c r="S3523" s="351"/>
      <c r="T3523" s="351"/>
      <c r="U3523" s="329" t="str">
        <f>IF($N3523=$N$4,IFERROR(INDEX(DanhMuc!$E$154:$E$165,MATCH(MID($B3523,4,2),DanhMuc!$B$154:$B$165,0)),""),"")</f>
        <v/>
      </c>
      <c r="V3523" s="361"/>
      <c r="W3523" s="345"/>
      <c r="X3523" s="329" t="str">
        <f t="shared" si="328"/>
        <v>GQ</v>
      </c>
      <c r="Y3523" s="1128" t="s">
        <v>3380</v>
      </c>
      <c r="Z3523" s="1128" t="s">
        <v>3381</v>
      </c>
      <c r="AA3523" s="1128" t="s">
        <v>3384</v>
      </c>
      <c r="AB3523" s="20"/>
      <c r="AC3523" s="73"/>
    </row>
    <row r="3524" spans="1:29">
      <c r="A3524" s="327" t="str">
        <f>IF(AND($B3524&lt;&gt;"",$C3524&lt;&gt;""),MAX($A$1556:A3499)+1,"")</f>
        <v/>
      </c>
      <c r="B3524" s="361" t="s">
        <v>2014</v>
      </c>
      <c r="C3524" s="360"/>
      <c r="D3524" s="327">
        <f>IF($B3524="","",COUNTIF($B$6:$B3524,$B3524))</f>
        <v>2</v>
      </c>
      <c r="E3524" s="419" t="s">
        <v>430</v>
      </c>
      <c r="F3524" s="417" t="s">
        <v>428</v>
      </c>
      <c r="G3524" s="418" t="s">
        <v>344</v>
      </c>
      <c r="H3524" s="419"/>
      <c r="I3524" s="418">
        <v>1</v>
      </c>
      <c r="J3524" s="421"/>
      <c r="K3524" s="418"/>
      <c r="L3524" s="420">
        <v>265000</v>
      </c>
      <c r="M3524" s="371"/>
      <c r="N3524" s="355" t="str">
        <f t="shared" si="329"/>
        <v>PK</v>
      </c>
      <c r="O3524" s="404" t="s">
        <v>1626</v>
      </c>
      <c r="P3524" s="392"/>
      <c r="Q3524" s="327"/>
      <c r="R3524" s="351"/>
      <c r="S3524" s="351"/>
      <c r="T3524" s="351"/>
      <c r="U3524" s="329" t="str">
        <f>IF($N3524=$N$4,IFERROR(INDEX(DanhMuc!$E$154:$E$165,MATCH(MID($B3524,4,2),DanhMuc!$B$154:$B$165,0)),""),"")</f>
        <v/>
      </c>
      <c r="V3524" s="361"/>
      <c r="W3524" s="345"/>
      <c r="X3524" s="329" t="str">
        <f t="shared" si="328"/>
        <v>GQ</v>
      </c>
      <c r="Y3524" s="1128" t="s">
        <v>3380</v>
      </c>
      <c r="Z3524" s="1128" t="s">
        <v>3381</v>
      </c>
      <c r="AA3524" s="1128" t="s">
        <v>3384</v>
      </c>
      <c r="AB3524" s="20"/>
      <c r="AC3524" s="73"/>
    </row>
    <row r="3525" spans="1:29">
      <c r="A3525" s="327" t="str">
        <f>IF(AND($B3525&lt;&gt;"",$C3525&lt;&gt;""),MAX($A$1556:A3500)+1,"")</f>
        <v/>
      </c>
      <c r="B3525" s="361" t="s">
        <v>2014</v>
      </c>
      <c r="C3525" s="360"/>
      <c r="D3525" s="327">
        <f>IF($B3525="","",COUNTIF($B$6:$B3525,$B3525))</f>
        <v>3</v>
      </c>
      <c r="E3525" s="419" t="s">
        <v>962</v>
      </c>
      <c r="F3525" s="417" t="s">
        <v>1108</v>
      </c>
      <c r="G3525" s="418" t="s">
        <v>155</v>
      </c>
      <c r="H3525" s="419"/>
      <c r="I3525" s="418">
        <v>1</v>
      </c>
      <c r="J3525" s="421"/>
      <c r="K3525" s="418"/>
      <c r="L3525" s="420">
        <v>1</v>
      </c>
      <c r="M3525" s="371"/>
      <c r="N3525" s="355" t="str">
        <f t="shared" si="329"/>
        <v>PK</v>
      </c>
      <c r="O3525" s="404" t="s">
        <v>1629</v>
      </c>
      <c r="P3525" s="392"/>
      <c r="Q3525" s="327"/>
      <c r="R3525" s="351"/>
      <c r="S3525" s="351"/>
      <c r="T3525" s="351"/>
      <c r="U3525" s="329" t="str">
        <f>IF($N3525=$N$4,IFERROR(INDEX(DanhMuc!$E$154:$E$165,MATCH(MID($B3525,4,2),DanhMuc!$B$154:$B$165,0)),""),"")</f>
        <v/>
      </c>
      <c r="V3525" s="361"/>
      <c r="W3525" s="345"/>
      <c r="X3525" s="329" t="str">
        <f t="shared" si="328"/>
        <v>GQ</v>
      </c>
      <c r="Y3525" s="1128" t="s">
        <v>3380</v>
      </c>
      <c r="Z3525" s="1128" t="s">
        <v>3381</v>
      </c>
      <c r="AA3525" s="1128" t="s">
        <v>3384</v>
      </c>
      <c r="AB3525" s="20"/>
      <c r="AC3525" s="73"/>
    </row>
    <row r="3526" spans="1:29">
      <c r="A3526" s="327" t="str">
        <f>IF(AND($B3526&lt;&gt;"",$C3526&lt;&gt;""),MAX($A$1556:A3501)+1,"")</f>
        <v/>
      </c>
      <c r="B3526" s="361" t="s">
        <v>2014</v>
      </c>
      <c r="C3526" s="360"/>
      <c r="D3526" s="327">
        <f>IF($B3526="","",COUNTIF($B$6:$B3526,$B3526))</f>
        <v>4</v>
      </c>
      <c r="E3526" s="419" t="s">
        <v>963</v>
      </c>
      <c r="F3526" s="417" t="s">
        <v>1109</v>
      </c>
      <c r="G3526" s="418" t="s">
        <v>155</v>
      </c>
      <c r="H3526" s="419"/>
      <c r="I3526" s="418">
        <v>1</v>
      </c>
      <c r="J3526" s="421"/>
      <c r="K3526" s="418"/>
      <c r="L3526" s="420">
        <v>1</v>
      </c>
      <c r="M3526" s="371"/>
      <c r="N3526" s="355" t="str">
        <f t="shared" si="329"/>
        <v>PK</v>
      </c>
      <c r="O3526" s="404" t="s">
        <v>1630</v>
      </c>
      <c r="P3526" s="392"/>
      <c r="Q3526" s="327"/>
      <c r="R3526" s="351"/>
      <c r="S3526" s="351"/>
      <c r="T3526" s="351"/>
      <c r="U3526" s="329" t="str">
        <f>IF($N3526=$N$4,IFERROR(INDEX(DanhMuc!$E$154:$E$165,MATCH(MID($B3526,4,2),DanhMuc!$B$154:$B$165,0)),""),"")</f>
        <v/>
      </c>
      <c r="V3526" s="361"/>
      <c r="W3526" s="345"/>
      <c r="X3526" s="329" t="str">
        <f t="shared" si="328"/>
        <v>GQ</v>
      </c>
      <c r="Y3526" s="1128" t="s">
        <v>3380</v>
      </c>
      <c r="Z3526" s="1128" t="s">
        <v>3381</v>
      </c>
      <c r="AA3526" s="1128" t="s">
        <v>3384</v>
      </c>
      <c r="AB3526" s="20"/>
      <c r="AC3526" s="73"/>
    </row>
    <row r="3527" spans="1:29">
      <c r="A3527" s="327" t="str">
        <f>IF(AND($B3527&lt;&gt;"",$C3527&lt;&gt;""),MAX($A$1556:A3502)+1,"")</f>
        <v/>
      </c>
      <c r="B3527" s="361" t="s">
        <v>2014</v>
      </c>
      <c r="C3527" s="360"/>
      <c r="D3527" s="327">
        <f>IF($B3527="","",COUNTIF($B$6:$B3527,$B3527))</f>
        <v>5</v>
      </c>
      <c r="E3527" s="419" t="s">
        <v>431</v>
      </c>
      <c r="F3527" s="417" t="s">
        <v>965</v>
      </c>
      <c r="G3527" s="418" t="s">
        <v>155</v>
      </c>
      <c r="H3527" s="419"/>
      <c r="I3527" s="418">
        <v>1</v>
      </c>
      <c r="J3527" s="421"/>
      <c r="K3527" s="418"/>
      <c r="L3527" s="420">
        <v>1</v>
      </c>
      <c r="M3527" s="371"/>
      <c r="N3527" s="355" t="str">
        <f t="shared" si="329"/>
        <v>PK</v>
      </c>
      <c r="O3527" s="404" t="s">
        <v>2704</v>
      </c>
      <c r="P3527" s="392"/>
      <c r="Q3527" s="327"/>
      <c r="R3527" s="351"/>
      <c r="S3527" s="351"/>
      <c r="T3527" s="351"/>
      <c r="U3527" s="329" t="str">
        <f>IF($N3527=$N$4,IFERROR(INDEX(DanhMuc!$E$154:$E$165,MATCH(MID($B3527,4,2),DanhMuc!$B$154:$B$165,0)),""),"")</f>
        <v/>
      </c>
      <c r="V3527" s="361"/>
      <c r="W3527" s="345"/>
      <c r="X3527" s="329" t="str">
        <f t="shared" si="328"/>
        <v>GQ</v>
      </c>
      <c r="Y3527" s="1128" t="s">
        <v>3380</v>
      </c>
      <c r="Z3527" s="1128" t="s">
        <v>3381</v>
      </c>
      <c r="AA3527" s="1128" t="s">
        <v>3384</v>
      </c>
      <c r="AB3527" s="20"/>
      <c r="AC3527" s="73"/>
    </row>
    <row r="3528" spans="1:29">
      <c r="A3528" s="327" t="str">
        <f>IF(AND($B3528&lt;&gt;"",$C3528&lt;&gt;""),MAX($A$1556:A3503)+1,"")</f>
        <v/>
      </c>
      <c r="B3528" s="361" t="s">
        <v>2014</v>
      </c>
      <c r="C3528" s="360"/>
      <c r="D3528" s="327">
        <f>IF($B3528="","",COUNTIF($B$6:$B3528,$B3528))</f>
        <v>6</v>
      </c>
      <c r="E3528" s="419" t="s">
        <v>964</v>
      </c>
      <c r="F3528" s="422" t="s">
        <v>966</v>
      </c>
      <c r="G3528" s="418" t="s">
        <v>155</v>
      </c>
      <c r="H3528" s="419"/>
      <c r="I3528" s="418">
        <v>1</v>
      </c>
      <c r="J3528" s="421"/>
      <c r="K3528" s="418"/>
      <c r="L3528" s="420">
        <v>1</v>
      </c>
      <c r="M3528" s="371"/>
      <c r="N3528" s="355" t="str">
        <f t="shared" si="329"/>
        <v>PK</v>
      </c>
      <c r="O3528" s="404" t="s">
        <v>1622</v>
      </c>
      <c r="P3528" s="392"/>
      <c r="Q3528" s="327"/>
      <c r="R3528" s="351"/>
      <c r="S3528" s="351"/>
      <c r="T3528" s="351"/>
      <c r="U3528" s="329" t="str">
        <f>IF($N3528=$N$4,IFERROR(INDEX(DanhMuc!$E$154:$E$165,MATCH(MID($B3528,4,2),DanhMuc!$B$154:$B$165,0)),""),"")</f>
        <v/>
      </c>
      <c r="V3528" s="361"/>
      <c r="W3528" s="345"/>
      <c r="X3528" s="329" t="str">
        <f t="shared" si="328"/>
        <v>GQ</v>
      </c>
      <c r="Y3528" s="1128" t="s">
        <v>3380</v>
      </c>
      <c r="Z3528" s="1128" t="s">
        <v>3381</v>
      </c>
      <c r="AA3528" s="1128" t="s">
        <v>3384</v>
      </c>
      <c r="AB3528" s="20"/>
      <c r="AC3528" s="73"/>
    </row>
    <row r="3529" spans="1:29">
      <c r="A3529" s="327" t="str">
        <f>IF(AND($B3529&lt;&gt;"",$C3529&lt;&gt;""),MAX($A$1556:A3504)+1,"")</f>
        <v/>
      </c>
      <c r="B3529" s="361" t="s">
        <v>2014</v>
      </c>
      <c r="C3529" s="360"/>
      <c r="D3529" s="327">
        <f>IF($B3529="","",COUNTIF($B$6:$B3529,$B3529))</f>
        <v>7</v>
      </c>
      <c r="E3529" s="423" t="s">
        <v>1105</v>
      </c>
      <c r="F3529" s="424" t="s">
        <v>1106</v>
      </c>
      <c r="G3529" s="425" t="s">
        <v>297</v>
      </c>
      <c r="H3529" s="426"/>
      <c r="I3529" s="425">
        <v>1</v>
      </c>
      <c r="J3529" s="427"/>
      <c r="K3529" s="425"/>
      <c r="L3529" s="428">
        <v>1</v>
      </c>
      <c r="M3529" s="371"/>
      <c r="N3529" s="355" t="str">
        <f t="shared" si="329"/>
        <v>PK</v>
      </c>
      <c r="O3529" s="404" t="s">
        <v>1623</v>
      </c>
      <c r="P3529" s="392"/>
      <c r="Q3529" s="327"/>
      <c r="R3529" s="351"/>
      <c r="S3529" s="351"/>
      <c r="T3529" s="351"/>
      <c r="U3529" s="329" t="str">
        <f>IF($N3529=$N$4,IFERROR(INDEX(DanhMuc!$E$154:$E$165,MATCH(MID($B3529,4,2),DanhMuc!$B$154:$B$165,0)),""),"")</f>
        <v/>
      </c>
      <c r="V3529" s="361"/>
      <c r="W3529" s="345"/>
      <c r="X3529" s="329" t="str">
        <f t="shared" si="328"/>
        <v>GQ</v>
      </c>
      <c r="Y3529" s="1128" t="s">
        <v>3380</v>
      </c>
      <c r="Z3529" s="1128" t="s">
        <v>3381</v>
      </c>
      <c r="AA3529" s="1128" t="s">
        <v>3384</v>
      </c>
      <c r="AB3529" s="20"/>
      <c r="AC3529" s="73"/>
    </row>
    <row r="3530" spans="1:29">
      <c r="A3530" s="327" t="str">
        <f>IF(AND($B3530&lt;&gt;"",$C3530&lt;&gt;""),MAX($A$1556:A3505)+1,"")</f>
        <v/>
      </c>
      <c r="B3530" s="361" t="s">
        <v>2014</v>
      </c>
      <c r="C3530" s="360"/>
      <c r="D3530" s="327">
        <f>IF($B3530="","",COUNTIF($B$6:$B3530,$B3530))</f>
        <v>8</v>
      </c>
      <c r="E3530" s="423" t="s">
        <v>432</v>
      </c>
      <c r="F3530" s="424" t="s">
        <v>434</v>
      </c>
      <c r="G3530" s="425" t="s">
        <v>344</v>
      </c>
      <c r="H3530" s="426"/>
      <c r="I3530" s="423" t="s">
        <v>1332</v>
      </c>
      <c r="J3530" s="427"/>
      <c r="K3530" s="425"/>
      <c r="L3530" s="428">
        <v>510000</v>
      </c>
      <c r="M3530" s="371"/>
      <c r="N3530" s="355" t="str">
        <f t="shared" si="329"/>
        <v>PK</v>
      </c>
      <c r="O3530" s="404" t="s">
        <v>1623</v>
      </c>
      <c r="P3530" s="392"/>
      <c r="Q3530" s="327"/>
      <c r="R3530" s="351"/>
      <c r="S3530" s="351"/>
      <c r="T3530" s="351"/>
      <c r="U3530" s="329" t="str">
        <f>IF($N3530=$N$4,IFERROR(INDEX(DanhMuc!$E$154:$E$165,MATCH(MID($B3530,4,2),DanhMuc!$B$154:$B$165,0)),""),"")</f>
        <v/>
      </c>
      <c r="V3530" s="361"/>
      <c r="W3530" s="345"/>
      <c r="X3530" s="329" t="str">
        <f t="shared" si="328"/>
        <v>GQ</v>
      </c>
      <c r="Y3530" s="1128" t="s">
        <v>3380</v>
      </c>
      <c r="Z3530" s="1128" t="s">
        <v>3381</v>
      </c>
      <c r="AA3530" s="1128" t="s">
        <v>3384</v>
      </c>
      <c r="AB3530" s="20"/>
      <c r="AC3530" s="73"/>
    </row>
    <row r="3531" spans="1:29">
      <c r="A3531" s="327" t="str">
        <f>IF(AND($B3531&lt;&gt;"",$C3531&lt;&gt;""),MAX($A$1556:A3506)+1,"")</f>
        <v/>
      </c>
      <c r="B3531" s="361" t="s">
        <v>2014</v>
      </c>
      <c r="C3531" s="360"/>
      <c r="D3531" s="327">
        <f>IF($B3531="","",COUNTIF($B$6:$B3531,$B3531))</f>
        <v>9</v>
      </c>
      <c r="E3531" s="423" t="s">
        <v>1107</v>
      </c>
      <c r="F3531" s="424" t="s">
        <v>1077</v>
      </c>
      <c r="G3531" s="425" t="s">
        <v>344</v>
      </c>
      <c r="H3531" s="426"/>
      <c r="I3531" s="423" t="s">
        <v>1334</v>
      </c>
      <c r="J3531" s="427"/>
      <c r="K3531" s="425"/>
      <c r="L3531" s="428">
        <v>548000</v>
      </c>
      <c r="M3531" s="371"/>
      <c r="N3531" s="355" t="str">
        <f t="shared" si="329"/>
        <v>PK</v>
      </c>
      <c r="O3531" s="404" t="s">
        <v>1623</v>
      </c>
      <c r="P3531" s="392"/>
      <c r="Q3531" s="327"/>
      <c r="R3531" s="351"/>
      <c r="S3531" s="351"/>
      <c r="T3531" s="351"/>
      <c r="U3531" s="329" t="str">
        <f>IF($N3531=$N$4,IFERROR(INDEX(DanhMuc!$E$154:$E$165,MATCH(MID($B3531,4,2),DanhMuc!$B$154:$B$165,0)),""),"")</f>
        <v/>
      </c>
      <c r="V3531" s="361"/>
      <c r="W3531" s="345"/>
      <c r="X3531" s="329" t="str">
        <f t="shared" si="328"/>
        <v>GQ</v>
      </c>
      <c r="Y3531" s="1128" t="s">
        <v>3380</v>
      </c>
      <c r="Z3531" s="1128" t="s">
        <v>3381</v>
      </c>
      <c r="AA3531" s="1128" t="s">
        <v>3384</v>
      </c>
      <c r="AB3531" s="20"/>
      <c r="AC3531" s="73"/>
    </row>
    <row r="3532" spans="1:29">
      <c r="A3532" s="327" t="str">
        <f>IF(AND($B3532&lt;&gt;"",$C3532&lt;&gt;""),MAX($A$1556:A3507)+1,"")</f>
        <v/>
      </c>
      <c r="B3532" s="361" t="s">
        <v>2014</v>
      </c>
      <c r="C3532" s="360"/>
      <c r="D3532" s="327">
        <f>IF($B3532="","",COUNTIF($B$6:$B3532,$B3532))</f>
        <v>10</v>
      </c>
      <c r="E3532" s="426" t="s">
        <v>962</v>
      </c>
      <c r="F3532" s="429" t="s">
        <v>1108</v>
      </c>
      <c r="G3532" s="425" t="s">
        <v>155</v>
      </c>
      <c r="H3532" s="426"/>
      <c r="I3532" s="425">
        <v>1</v>
      </c>
      <c r="J3532" s="427"/>
      <c r="K3532" s="425"/>
      <c r="L3532" s="428">
        <v>1</v>
      </c>
      <c r="M3532" s="371"/>
      <c r="N3532" s="355" t="str">
        <f t="shared" si="329"/>
        <v>PK</v>
      </c>
      <c r="O3532" s="404" t="s">
        <v>1624</v>
      </c>
      <c r="P3532" s="392"/>
      <c r="Q3532" s="327"/>
      <c r="R3532" s="351"/>
      <c r="S3532" s="351"/>
      <c r="T3532" s="351"/>
      <c r="U3532" s="329" t="str">
        <f>IF($N3532=$N$4,IFERROR(INDEX(DanhMuc!$E$154:$E$165,MATCH(MID($B3532,4,2),DanhMuc!$B$154:$B$165,0)),""),"")</f>
        <v/>
      </c>
      <c r="V3532" s="361"/>
      <c r="W3532" s="345"/>
      <c r="X3532" s="329" t="str">
        <f t="shared" si="328"/>
        <v>GQ</v>
      </c>
      <c r="Y3532" s="1128" t="s">
        <v>3380</v>
      </c>
      <c r="Z3532" s="1128" t="s">
        <v>3381</v>
      </c>
      <c r="AA3532" s="1128" t="s">
        <v>3384</v>
      </c>
      <c r="AB3532" s="20"/>
      <c r="AC3532" s="73"/>
    </row>
    <row r="3533" spans="1:29">
      <c r="A3533" s="327" t="str">
        <f>IF(AND($B3533&lt;&gt;"",$C3533&lt;&gt;""),MAX($A$1556:A3508)+1,"")</f>
        <v/>
      </c>
      <c r="B3533" s="361" t="s">
        <v>2014</v>
      </c>
      <c r="C3533" s="360"/>
      <c r="D3533" s="327">
        <f>IF($B3533="","",COUNTIF($B$6:$B3533,$B3533))</f>
        <v>11</v>
      </c>
      <c r="E3533" s="426" t="s">
        <v>963</v>
      </c>
      <c r="F3533" s="429" t="s">
        <v>1109</v>
      </c>
      <c r="G3533" s="425" t="s">
        <v>155</v>
      </c>
      <c r="H3533" s="426"/>
      <c r="I3533" s="425">
        <v>1</v>
      </c>
      <c r="J3533" s="427"/>
      <c r="K3533" s="425"/>
      <c r="L3533" s="428">
        <v>1</v>
      </c>
      <c r="M3533" s="371"/>
      <c r="N3533" s="355" t="str">
        <f t="shared" si="329"/>
        <v>PK</v>
      </c>
      <c r="O3533" s="404" t="s">
        <v>1625</v>
      </c>
      <c r="P3533" s="392"/>
      <c r="Q3533" s="327"/>
      <c r="R3533" s="351"/>
      <c r="S3533" s="351"/>
      <c r="T3533" s="351"/>
      <c r="U3533" s="329" t="str">
        <f>IF($N3533=$N$4,IFERROR(INDEX(DanhMuc!$E$154:$E$165,MATCH(MID($B3533,4,2),DanhMuc!$B$154:$B$165,0)),""),"")</f>
        <v/>
      </c>
      <c r="V3533" s="361"/>
      <c r="W3533" s="345"/>
      <c r="X3533" s="329" t="str">
        <f t="shared" si="328"/>
        <v>GQ</v>
      </c>
      <c r="Y3533" s="1128" t="s">
        <v>3380</v>
      </c>
      <c r="Z3533" s="1128" t="s">
        <v>3381</v>
      </c>
      <c r="AA3533" s="1128" t="s">
        <v>3384</v>
      </c>
      <c r="AB3533" s="20"/>
      <c r="AC3533" s="73"/>
    </row>
    <row r="3534" spans="1:29">
      <c r="A3534" s="327" t="str">
        <f>IF(AND($B3534&lt;&gt;"",$C3534&lt;&gt;""),MAX($A$1556:A3509)+1,"")</f>
        <v/>
      </c>
      <c r="B3534" s="361" t="s">
        <v>2014</v>
      </c>
      <c r="C3534" s="360"/>
      <c r="D3534" s="327">
        <f>IF($B3534="","",COUNTIF($B$6:$B3534,$B3534))</f>
        <v>12</v>
      </c>
      <c r="E3534" s="423" t="s">
        <v>967</v>
      </c>
      <c r="F3534" s="429" t="s">
        <v>968</v>
      </c>
      <c r="G3534" s="425" t="s">
        <v>155</v>
      </c>
      <c r="H3534" s="426"/>
      <c r="I3534" s="425">
        <v>1</v>
      </c>
      <c r="J3534" s="427"/>
      <c r="K3534" s="425"/>
      <c r="L3534" s="428">
        <v>1</v>
      </c>
      <c r="M3534" s="371"/>
      <c r="N3534" s="355" t="str">
        <f t="shared" si="329"/>
        <v>PK</v>
      </c>
      <c r="O3534" s="404" t="s">
        <v>2703</v>
      </c>
      <c r="P3534" s="392"/>
      <c r="Q3534" s="327"/>
      <c r="R3534" s="351"/>
      <c r="S3534" s="351"/>
      <c r="T3534" s="351"/>
      <c r="U3534" s="329" t="str">
        <f>IF($N3534=$N$4,IFERROR(INDEX(DanhMuc!$E$154:$E$165,MATCH(MID($B3534,4,2),DanhMuc!$B$154:$B$165,0)),""),"")</f>
        <v/>
      </c>
      <c r="V3534" s="361"/>
      <c r="W3534" s="345"/>
      <c r="X3534" s="329" t="str">
        <f t="shared" si="328"/>
        <v>GQ</v>
      </c>
      <c r="Y3534" s="1128" t="s">
        <v>3380</v>
      </c>
      <c r="Z3534" s="1128" t="s">
        <v>3381</v>
      </c>
      <c r="AA3534" s="1128" t="s">
        <v>3384</v>
      </c>
      <c r="AB3534" s="20"/>
      <c r="AC3534" s="73"/>
    </row>
    <row r="3535" spans="1:29">
      <c r="A3535" s="327" t="str">
        <f>IF(AND($B3535&lt;&gt;"",$C3535&lt;&gt;""),MAX($A$1556:A3510)+1,"")</f>
        <v/>
      </c>
      <c r="B3535" s="361" t="s">
        <v>2014</v>
      </c>
      <c r="C3535" s="360"/>
      <c r="D3535" s="327">
        <f>IF($B3535="","",COUNTIF($B$6:$B3535,$B3535))</f>
        <v>13</v>
      </c>
      <c r="E3535" s="423" t="s">
        <v>433</v>
      </c>
      <c r="F3535" s="424" t="s">
        <v>429</v>
      </c>
      <c r="G3535" s="425" t="s">
        <v>155</v>
      </c>
      <c r="H3535" s="426"/>
      <c r="I3535" s="425">
        <v>1</v>
      </c>
      <c r="J3535" s="427"/>
      <c r="K3535" s="425"/>
      <c r="L3535" s="428">
        <v>1</v>
      </c>
      <c r="M3535" s="371"/>
      <c r="N3535" s="355" t="str">
        <f t="shared" si="329"/>
        <v>PK</v>
      </c>
      <c r="O3535" s="404" t="s">
        <v>969</v>
      </c>
      <c r="P3535" s="392"/>
      <c r="Q3535" s="327"/>
      <c r="R3535" s="351"/>
      <c r="S3535" s="351"/>
      <c r="T3535" s="351"/>
      <c r="U3535" s="329" t="str">
        <f>IF($N3535=$N$4,IFERROR(INDEX(DanhMuc!$E$154:$E$165,MATCH(MID($B3535,4,2),DanhMuc!$B$154:$B$165,0)),""),"")</f>
        <v/>
      </c>
      <c r="V3535" s="361"/>
      <c r="W3535" s="345"/>
      <c r="X3535" s="329" t="str">
        <f t="shared" si="328"/>
        <v>GQ</v>
      </c>
      <c r="Y3535" s="1128" t="s">
        <v>3380</v>
      </c>
      <c r="Z3535" s="1128" t="s">
        <v>3381</v>
      </c>
      <c r="AA3535" s="1128" t="s">
        <v>3384</v>
      </c>
      <c r="AB3535" s="20"/>
      <c r="AC3535" s="73"/>
    </row>
    <row r="3536" spans="1:29">
      <c r="A3536" s="327" t="str">
        <f>IF(AND($B3536&lt;&gt;"",$C3536&lt;&gt;""),MAX($A$1556:A3511)+1,"")</f>
        <v/>
      </c>
      <c r="B3536" s="361" t="s">
        <v>2014</v>
      </c>
      <c r="C3536" s="360"/>
      <c r="D3536" s="327">
        <f>IF($B3536="","",COUNTIF($B$6:$B3536,$B3536))</f>
        <v>14</v>
      </c>
      <c r="E3536" s="423" t="s">
        <v>1006</v>
      </c>
      <c r="F3536" s="424" t="s">
        <v>1008</v>
      </c>
      <c r="G3536" s="425" t="s">
        <v>155</v>
      </c>
      <c r="H3536" s="426"/>
      <c r="I3536" s="425">
        <v>4</v>
      </c>
      <c r="J3536" s="427"/>
      <c r="K3536" s="425"/>
      <c r="L3536" s="428">
        <v>1</v>
      </c>
      <c r="M3536" s="371"/>
      <c r="N3536" s="355" t="str">
        <f t="shared" si="329"/>
        <v>PK</v>
      </c>
      <c r="O3536" s="404" t="s">
        <v>1624</v>
      </c>
      <c r="P3536" s="392"/>
      <c r="Q3536" s="327"/>
      <c r="R3536" s="351"/>
      <c r="S3536" s="351"/>
      <c r="T3536" s="351"/>
      <c r="U3536" s="329" t="str">
        <f>IF($N3536=$N$4,IFERROR(INDEX(DanhMuc!$E$154:$E$165,MATCH(MID($B3536,4,2),DanhMuc!$B$154:$B$165,0)),""),"")</f>
        <v/>
      </c>
      <c r="V3536" s="361"/>
      <c r="W3536" s="345"/>
      <c r="X3536" s="329" t="str">
        <f t="shared" si="328"/>
        <v>GQ</v>
      </c>
      <c r="Y3536" s="1128" t="s">
        <v>3380</v>
      </c>
      <c r="Z3536" s="1128" t="s">
        <v>3381</v>
      </c>
      <c r="AA3536" s="1128" t="s">
        <v>3384</v>
      </c>
      <c r="AB3536" s="20"/>
      <c r="AC3536" s="73"/>
    </row>
    <row r="3537" spans="1:29">
      <c r="A3537" s="327" t="str">
        <f>IF(AND($B3537&lt;&gt;"",$C3537&lt;&gt;""),MAX($A$1556:A3512)+1,"")</f>
        <v/>
      </c>
      <c r="B3537" s="361" t="s">
        <v>2014</v>
      </c>
      <c r="C3537" s="360"/>
      <c r="D3537" s="327">
        <f>IF($B3537="","",COUNTIF($B$6:$B3537,$B3537))</f>
        <v>15</v>
      </c>
      <c r="E3537" s="423" t="s">
        <v>1007</v>
      </c>
      <c r="F3537" s="424" t="s">
        <v>1009</v>
      </c>
      <c r="G3537" s="425" t="s">
        <v>155</v>
      </c>
      <c r="H3537" s="426"/>
      <c r="I3537" s="425">
        <v>4</v>
      </c>
      <c r="J3537" s="427"/>
      <c r="K3537" s="425"/>
      <c r="L3537" s="428">
        <v>1</v>
      </c>
      <c r="M3537" s="371"/>
      <c r="N3537" s="355" t="str">
        <f t="shared" si="329"/>
        <v>PK</v>
      </c>
      <c r="O3537" s="404" t="s">
        <v>1625</v>
      </c>
      <c r="P3537" s="392"/>
      <c r="Q3537" s="327"/>
      <c r="R3537" s="351"/>
      <c r="S3537" s="351"/>
      <c r="T3537" s="351"/>
      <c r="U3537" s="329" t="str">
        <f>IF($N3537=$N$4,IFERROR(INDEX(DanhMuc!$E$154:$E$165,MATCH(MID($B3537,4,2),DanhMuc!$B$154:$B$165,0)),""),"")</f>
        <v/>
      </c>
      <c r="V3537" s="361"/>
      <c r="W3537" s="345"/>
      <c r="X3537" s="329" t="str">
        <f t="shared" si="328"/>
        <v>GQ</v>
      </c>
      <c r="Y3537" s="1128" t="s">
        <v>3380</v>
      </c>
      <c r="Z3537" s="1128" t="s">
        <v>3381</v>
      </c>
      <c r="AA3537" s="1128" t="s">
        <v>3384</v>
      </c>
      <c r="AB3537" s="20"/>
      <c r="AC3537" s="73"/>
    </row>
    <row r="3538" spans="1:29">
      <c r="A3538" s="327" t="str">
        <f>IF(AND($B3538&lt;&gt;"",$C3538&lt;&gt;""),MAX($A$1556:A3513)+1,"")</f>
        <v/>
      </c>
      <c r="B3538" s="361" t="s">
        <v>2014</v>
      </c>
      <c r="C3538" s="360"/>
      <c r="D3538" s="327">
        <f>IF($B3538="","",COUNTIF($B$6:$B3538,$B3538))</f>
        <v>16</v>
      </c>
      <c r="E3538" s="430" t="s">
        <v>436</v>
      </c>
      <c r="F3538" s="431" t="s">
        <v>435</v>
      </c>
      <c r="G3538" s="351" t="s">
        <v>155</v>
      </c>
      <c r="H3538" s="361"/>
      <c r="I3538" s="327">
        <v>8</v>
      </c>
      <c r="J3538" s="345"/>
      <c r="K3538" s="327"/>
      <c r="L3538" s="389">
        <v>92000</v>
      </c>
      <c r="M3538" s="371"/>
      <c r="N3538" s="355" t="str">
        <f t="shared" si="329"/>
        <v>PK</v>
      </c>
      <c r="O3538" s="345" t="s">
        <v>1362</v>
      </c>
      <c r="P3538" s="392"/>
      <c r="Q3538" s="327"/>
      <c r="R3538" s="351"/>
      <c r="S3538" s="351"/>
      <c r="T3538" s="351"/>
      <c r="U3538" s="329" t="str">
        <f>IF($N3538=$N$4,IFERROR(INDEX(DanhMuc!$E$154:$E$165,MATCH(MID($B3538,4,2),DanhMuc!$B$154:$B$165,0)),""),"")</f>
        <v/>
      </c>
      <c r="V3538" s="361"/>
      <c r="W3538" s="345"/>
      <c r="X3538" s="329" t="str">
        <f t="shared" si="328"/>
        <v>GQ</v>
      </c>
      <c r="Y3538" s="1128" t="s">
        <v>3380</v>
      </c>
      <c r="Z3538" s="1128" t="s">
        <v>3381</v>
      </c>
      <c r="AA3538" s="1128" t="s">
        <v>3384</v>
      </c>
      <c r="AB3538" s="20"/>
      <c r="AC3538" s="73"/>
    </row>
    <row r="3539" spans="1:29">
      <c r="A3539" s="327" t="str">
        <f>IF(AND($B3539&lt;&gt;"",$C3539&lt;&gt;""),MAX($A$1556:A3514)+1,"")</f>
        <v/>
      </c>
      <c r="B3539" s="361" t="s">
        <v>2014</v>
      </c>
      <c r="C3539" s="360"/>
      <c r="D3539" s="327">
        <f>IF($B3539="","",COUNTIF($B$6:$B3539,$B3539))</f>
        <v>17</v>
      </c>
      <c r="E3539" s="430" t="s">
        <v>440</v>
      </c>
      <c r="F3539" s="431" t="s">
        <v>439</v>
      </c>
      <c r="G3539" s="351" t="s">
        <v>155</v>
      </c>
      <c r="H3539" s="361"/>
      <c r="I3539" s="327">
        <v>8</v>
      </c>
      <c r="J3539" s="345"/>
      <c r="K3539" s="327"/>
      <c r="L3539" s="389">
        <v>135000</v>
      </c>
      <c r="M3539" s="371"/>
      <c r="N3539" s="355" t="str">
        <f t="shared" ref="N3539:N3572" si="330">+$N$1555</f>
        <v>PK</v>
      </c>
      <c r="O3539" s="345" t="s">
        <v>441</v>
      </c>
      <c r="P3539" s="392"/>
      <c r="Q3539" s="327"/>
      <c r="R3539" s="351"/>
      <c r="S3539" s="351"/>
      <c r="T3539" s="351"/>
      <c r="U3539" s="329" t="str">
        <f>IF($N3539=$N$4,IFERROR(INDEX(DanhMuc!$E$154:$E$165,MATCH(MID($B3539,4,2),DanhMuc!$B$154:$B$165,0)),""),"")</f>
        <v/>
      </c>
      <c r="V3539" s="361"/>
      <c r="W3539" s="345"/>
      <c r="X3539" s="329" t="str">
        <f t="shared" si="328"/>
        <v>GQ</v>
      </c>
      <c r="Y3539" s="1128" t="s">
        <v>3380</v>
      </c>
      <c r="Z3539" s="1128" t="s">
        <v>3381</v>
      </c>
      <c r="AA3539" s="1128" t="s">
        <v>3384</v>
      </c>
      <c r="AB3539" s="20"/>
      <c r="AC3539" s="73"/>
    </row>
    <row r="3540" spans="1:29">
      <c r="A3540" s="327" t="str">
        <f>IF(AND($B3540&lt;&gt;"",$C3540&lt;&gt;""),MAX($A$1556:A3515)+1,"")</f>
        <v/>
      </c>
      <c r="B3540" s="361" t="s">
        <v>2014</v>
      </c>
      <c r="C3540" s="360"/>
      <c r="D3540" s="327">
        <f>IF($B3540="","",COUNTIF($B$6:$B3540,$B3540))</f>
        <v>18</v>
      </c>
      <c r="E3540" s="430" t="s">
        <v>1010</v>
      </c>
      <c r="F3540" s="431" t="s">
        <v>1011</v>
      </c>
      <c r="G3540" s="351" t="s">
        <v>155</v>
      </c>
      <c r="H3540" s="361"/>
      <c r="I3540" s="327">
        <v>8</v>
      </c>
      <c r="J3540" s="345"/>
      <c r="K3540" s="327"/>
      <c r="L3540" s="389">
        <v>160000</v>
      </c>
      <c r="M3540" s="371"/>
      <c r="N3540" s="355" t="str">
        <f t="shared" si="330"/>
        <v>PK</v>
      </c>
      <c r="O3540" s="345"/>
      <c r="P3540" s="392"/>
      <c r="Q3540" s="327"/>
      <c r="R3540" s="351"/>
      <c r="S3540" s="351"/>
      <c r="T3540" s="351"/>
      <c r="U3540" s="329" t="str">
        <f>IF($N3540=$N$4,IFERROR(INDEX(DanhMuc!$E$154:$E$165,MATCH(MID($B3540,4,2),DanhMuc!$B$154:$B$165,0)),""),"")</f>
        <v/>
      </c>
      <c r="V3540" s="361"/>
      <c r="W3540" s="345"/>
      <c r="X3540" s="329" t="str">
        <f t="shared" si="328"/>
        <v>GQ</v>
      </c>
      <c r="Y3540" s="1128" t="s">
        <v>3380</v>
      </c>
      <c r="Z3540" s="1128" t="s">
        <v>3381</v>
      </c>
      <c r="AA3540" s="1128" t="s">
        <v>3384</v>
      </c>
      <c r="AB3540" s="20"/>
      <c r="AC3540" s="73"/>
    </row>
    <row r="3541" spans="1:29">
      <c r="A3541" s="327" t="str">
        <f>IF(AND($B3541&lt;&gt;"",$C3541&lt;&gt;""),MAX($A$1556:A3516)+1,"")</f>
        <v/>
      </c>
      <c r="B3541" s="361" t="s">
        <v>2014</v>
      </c>
      <c r="C3541" s="360"/>
      <c r="D3541" s="327">
        <f>IF($B3541="","",COUNTIF($B$6:$B3541,$B3541))</f>
        <v>19</v>
      </c>
      <c r="E3541" s="411" t="s">
        <v>1019</v>
      </c>
      <c r="F3541" s="432" t="s">
        <v>1020</v>
      </c>
      <c r="G3541" s="410" t="s">
        <v>344</v>
      </c>
      <c r="H3541" s="402"/>
      <c r="I3541" s="411" t="s">
        <v>1330</v>
      </c>
      <c r="J3541" s="345"/>
      <c r="K3541" s="327"/>
      <c r="L3541" s="389">
        <v>190000</v>
      </c>
      <c r="M3541" s="371"/>
      <c r="N3541" s="355" t="str">
        <f t="shared" si="330"/>
        <v>PK</v>
      </c>
      <c r="O3541" s="345"/>
      <c r="P3541" s="392"/>
      <c r="Q3541" s="327"/>
      <c r="R3541" s="351"/>
      <c r="S3541" s="351"/>
      <c r="T3541" s="351"/>
      <c r="U3541" s="329" t="str">
        <f>IF($N3541=$N$4,IFERROR(INDEX(DanhMuc!$E$154:$E$165,MATCH(MID($B3541,4,2),DanhMuc!$B$154:$B$165,0)),""),"")</f>
        <v/>
      </c>
      <c r="V3541" s="361"/>
      <c r="W3541" s="345"/>
      <c r="X3541" s="329" t="str">
        <f t="shared" ref="X3541:X3604" si="331">IF($N3541="PR",$E3541,MID($B3541,10,2))</f>
        <v>GQ</v>
      </c>
      <c r="Y3541" s="1128" t="s">
        <v>3380</v>
      </c>
      <c r="Z3541" s="1128" t="s">
        <v>3381</v>
      </c>
      <c r="AA3541" s="1128" t="s">
        <v>3384</v>
      </c>
      <c r="AB3541" s="20"/>
      <c r="AC3541" s="73"/>
    </row>
    <row r="3542" spans="1:29">
      <c r="A3542" s="327" t="str">
        <f>IF(AND($B3542&lt;&gt;"",$C3542&lt;&gt;""),MAX($A$1556:A3517)+1,"")</f>
        <v/>
      </c>
      <c r="B3542" s="361" t="s">
        <v>2014</v>
      </c>
      <c r="C3542" s="360"/>
      <c r="D3542" s="327">
        <f>IF($B3542="","",COUNTIF($B$6:$B3542,$B3542))</f>
        <v>20</v>
      </c>
      <c r="E3542" s="411" t="s">
        <v>1021</v>
      </c>
      <c r="F3542" s="432" t="s">
        <v>1022</v>
      </c>
      <c r="G3542" s="410" t="s">
        <v>344</v>
      </c>
      <c r="H3542" s="402"/>
      <c r="I3542" s="411" t="s">
        <v>1331</v>
      </c>
      <c r="J3542" s="345"/>
      <c r="K3542" s="327"/>
      <c r="L3542" s="389">
        <v>195000</v>
      </c>
      <c r="M3542" s="371"/>
      <c r="N3542" s="355" t="str">
        <f t="shared" si="330"/>
        <v>PK</v>
      </c>
      <c r="O3542" s="345"/>
      <c r="P3542" s="392"/>
      <c r="Q3542" s="327"/>
      <c r="R3542" s="351"/>
      <c r="S3542" s="351"/>
      <c r="T3542" s="351"/>
      <c r="U3542" s="329" t="str">
        <f>IF($N3542=$N$4,IFERROR(INDEX(DanhMuc!$E$154:$E$165,MATCH(MID($B3542,4,2),DanhMuc!$B$154:$B$165,0)),""),"")</f>
        <v/>
      </c>
      <c r="V3542" s="361"/>
      <c r="W3542" s="345"/>
      <c r="X3542" s="329" t="str">
        <f t="shared" si="331"/>
        <v>GQ</v>
      </c>
      <c r="Y3542" s="1128" t="s">
        <v>3380</v>
      </c>
      <c r="Z3542" s="1128" t="s">
        <v>3381</v>
      </c>
      <c r="AA3542" s="1128" t="s">
        <v>3384</v>
      </c>
      <c r="AB3542" s="20"/>
      <c r="AC3542" s="73"/>
    </row>
    <row r="3543" spans="1:29">
      <c r="A3543" s="327" t="str">
        <f>IF(AND($B3543&lt;&gt;"",$C3543&lt;&gt;""),MAX($A$1556:A3518)+1,"")</f>
        <v/>
      </c>
      <c r="B3543" s="361" t="s">
        <v>2014</v>
      </c>
      <c r="C3543" s="360"/>
      <c r="D3543" s="327">
        <f>IF($B3543="","",COUNTIF($B$6:$B3543,$B3543))</f>
        <v>21</v>
      </c>
      <c r="E3543" s="430" t="s">
        <v>980</v>
      </c>
      <c r="F3543" s="431" t="s">
        <v>978</v>
      </c>
      <c r="G3543" s="327" t="s">
        <v>297</v>
      </c>
      <c r="H3543" s="361"/>
      <c r="I3543" s="327">
        <v>6</v>
      </c>
      <c r="J3543" s="345"/>
      <c r="K3543" s="327"/>
      <c r="L3543" s="389">
        <v>1</v>
      </c>
      <c r="M3543" s="371"/>
      <c r="N3543" s="355" t="str">
        <f t="shared" si="330"/>
        <v>PK</v>
      </c>
      <c r="O3543" s="345"/>
      <c r="P3543" s="392"/>
      <c r="Q3543" s="327"/>
      <c r="R3543" s="351"/>
      <c r="S3543" s="351"/>
      <c r="T3543" s="351"/>
      <c r="U3543" s="329" t="str">
        <f>IF($N3543=$N$4,IFERROR(INDEX(DanhMuc!$E$154:$E$165,MATCH(MID($B3543,4,2),DanhMuc!$B$154:$B$165,0)),""),"")</f>
        <v/>
      </c>
      <c r="V3543" s="361"/>
      <c r="W3543" s="345"/>
      <c r="X3543" s="329" t="str">
        <f t="shared" si="331"/>
        <v>GQ</v>
      </c>
      <c r="Y3543" s="1128" t="s">
        <v>3380</v>
      </c>
      <c r="Z3543" s="1128" t="s">
        <v>3381</v>
      </c>
      <c r="AA3543" s="1128" t="s">
        <v>3384</v>
      </c>
      <c r="AB3543" s="20"/>
      <c r="AC3543" s="73"/>
    </row>
    <row r="3544" spans="1:29">
      <c r="A3544" s="327" t="str">
        <f>IF(AND($B3544&lt;&gt;"",$C3544&lt;&gt;""),MAX($A$1556:A3519)+1,"")</f>
        <v/>
      </c>
      <c r="B3544" s="361" t="s">
        <v>2014</v>
      </c>
      <c r="C3544" s="360"/>
      <c r="D3544" s="327">
        <f>IF($B3544="","",COUNTIF($B$6:$B3544,$B3544))</f>
        <v>22</v>
      </c>
      <c r="E3544" s="430" t="s">
        <v>1005</v>
      </c>
      <c r="F3544" s="431" t="s">
        <v>979</v>
      </c>
      <c r="G3544" s="327" t="s">
        <v>155</v>
      </c>
      <c r="H3544" s="361"/>
      <c r="I3544" s="327">
        <v>6</v>
      </c>
      <c r="J3544" s="345"/>
      <c r="K3544" s="327"/>
      <c r="L3544" s="389">
        <v>1</v>
      </c>
      <c r="M3544" s="371"/>
      <c r="N3544" s="355" t="str">
        <f t="shared" si="330"/>
        <v>PK</v>
      </c>
      <c r="O3544" s="345"/>
      <c r="P3544" s="392"/>
      <c r="Q3544" s="327"/>
      <c r="R3544" s="351"/>
      <c r="S3544" s="351"/>
      <c r="T3544" s="351"/>
      <c r="U3544" s="329" t="str">
        <f>IF($N3544=$N$4,IFERROR(INDEX(DanhMuc!$E$154:$E$165,MATCH(MID($B3544,4,2),DanhMuc!$B$154:$B$165,0)),""),"")</f>
        <v/>
      </c>
      <c r="V3544" s="361"/>
      <c r="W3544" s="345"/>
      <c r="X3544" s="329" t="str">
        <f t="shared" si="331"/>
        <v>GQ</v>
      </c>
      <c r="Y3544" s="1128" t="s">
        <v>3380</v>
      </c>
      <c r="Z3544" s="1128" t="s">
        <v>3381</v>
      </c>
      <c r="AA3544" s="1128" t="s">
        <v>3384</v>
      </c>
      <c r="AB3544" s="20"/>
      <c r="AC3544" s="73"/>
    </row>
    <row r="3545" spans="1:29">
      <c r="A3545" s="327" t="str">
        <f>IF(AND($B3545&lt;&gt;"",$C3545&lt;&gt;""),MAX($A$1556:A3520)+1,"")</f>
        <v/>
      </c>
      <c r="B3545" s="361" t="s">
        <v>2014</v>
      </c>
      <c r="C3545" s="360"/>
      <c r="D3545" s="327">
        <f>IF($B3545="","",COUNTIF($B$6:$B3545,$B3545))</f>
        <v>23</v>
      </c>
      <c r="E3545" s="430" t="s">
        <v>1110</v>
      </c>
      <c r="F3545" s="431" t="s">
        <v>1112</v>
      </c>
      <c r="G3545" s="327" t="s">
        <v>155</v>
      </c>
      <c r="H3545" s="361"/>
      <c r="I3545" s="327">
        <v>1</v>
      </c>
      <c r="J3545" s="345"/>
      <c r="K3545" s="327"/>
      <c r="L3545" s="389">
        <v>5500</v>
      </c>
      <c r="M3545" s="371"/>
      <c r="N3545" s="355" t="str">
        <f t="shared" si="330"/>
        <v>PK</v>
      </c>
      <c r="O3545" s="345"/>
      <c r="P3545" s="392"/>
      <c r="Q3545" s="327"/>
      <c r="R3545" s="351"/>
      <c r="S3545" s="351"/>
      <c r="T3545" s="351"/>
      <c r="U3545" s="329" t="str">
        <f>IF($N3545=$N$4,IFERROR(INDEX(DanhMuc!$E$154:$E$165,MATCH(MID($B3545,4,2),DanhMuc!$B$154:$B$165,0)),""),"")</f>
        <v/>
      </c>
      <c r="V3545" s="361"/>
      <c r="W3545" s="345"/>
      <c r="X3545" s="329" t="str">
        <f t="shared" si="331"/>
        <v>GQ</v>
      </c>
      <c r="Y3545" s="1128" t="s">
        <v>3380</v>
      </c>
      <c r="Z3545" s="1128" t="s">
        <v>3381</v>
      </c>
      <c r="AA3545" s="1128" t="s">
        <v>3384</v>
      </c>
      <c r="AB3545" s="20"/>
      <c r="AC3545" s="73"/>
    </row>
    <row r="3546" spans="1:29">
      <c r="A3546" s="327" t="str">
        <f>IF(AND($B3546&lt;&gt;"",$C3546&lt;&gt;""),MAX($A$1556:A3521)+1,"")</f>
        <v/>
      </c>
      <c r="B3546" s="361" t="s">
        <v>2014</v>
      </c>
      <c r="C3546" s="360"/>
      <c r="D3546" s="327">
        <f>IF($B3546="","",COUNTIF($B$6:$B3546,$B3546))</f>
        <v>24</v>
      </c>
      <c r="E3546" s="430" t="s">
        <v>1111</v>
      </c>
      <c r="F3546" s="431" t="s">
        <v>1113</v>
      </c>
      <c r="G3546" s="327" t="s">
        <v>155</v>
      </c>
      <c r="H3546" s="361"/>
      <c r="I3546" s="327">
        <v>1</v>
      </c>
      <c r="J3546" s="345"/>
      <c r="K3546" s="327"/>
      <c r="L3546" s="389">
        <v>5500</v>
      </c>
      <c r="M3546" s="371"/>
      <c r="N3546" s="355" t="str">
        <f t="shared" si="330"/>
        <v>PK</v>
      </c>
      <c r="O3546" s="345"/>
      <c r="P3546" s="392"/>
      <c r="Q3546" s="327"/>
      <c r="R3546" s="351"/>
      <c r="S3546" s="351"/>
      <c r="T3546" s="351"/>
      <c r="U3546" s="329" t="str">
        <f>IF($N3546=$N$4,IFERROR(INDEX(DanhMuc!$E$154:$E$165,MATCH(MID($B3546,4,2),DanhMuc!$B$154:$B$165,0)),""),"")</f>
        <v/>
      </c>
      <c r="V3546" s="361"/>
      <c r="W3546" s="345"/>
      <c r="X3546" s="329" t="str">
        <f t="shared" si="331"/>
        <v>GQ</v>
      </c>
      <c r="Y3546" s="1128" t="s">
        <v>3380</v>
      </c>
      <c r="Z3546" s="1128" t="s">
        <v>3381</v>
      </c>
      <c r="AA3546" s="1128" t="s">
        <v>3384</v>
      </c>
      <c r="AB3546" s="20"/>
      <c r="AC3546" s="73"/>
    </row>
    <row r="3547" spans="1:29">
      <c r="A3547" s="327" t="str">
        <f>IF(AND($B3547&lt;&gt;"",$C3547&lt;&gt;""),MAX($A$1556:A3522)+1,"")</f>
        <v/>
      </c>
      <c r="B3547" s="361" t="s">
        <v>2014</v>
      </c>
      <c r="C3547" s="360"/>
      <c r="D3547" s="327">
        <f>IF($B3547="","",COUNTIF($B$6:$B3547,$B3547))</f>
        <v>25</v>
      </c>
      <c r="E3547" s="361" t="s">
        <v>1444</v>
      </c>
      <c r="F3547" s="362" t="s">
        <v>2356</v>
      </c>
      <c r="G3547" s="327" t="s">
        <v>297</v>
      </c>
      <c r="H3547" s="327"/>
      <c r="I3547" s="327">
        <v>2</v>
      </c>
      <c r="J3547" s="345"/>
      <c r="K3547" s="327"/>
      <c r="L3547" s="389">
        <v>17000</v>
      </c>
      <c r="M3547" s="371"/>
      <c r="N3547" s="355" t="str">
        <f t="shared" si="330"/>
        <v>PK</v>
      </c>
      <c r="O3547" s="347"/>
      <c r="P3547" s="392"/>
      <c r="Q3547" s="327"/>
      <c r="R3547" s="351"/>
      <c r="S3547" s="351"/>
      <c r="T3547" s="351"/>
      <c r="U3547" s="329" t="str">
        <f>IF($N3547=$N$4,IFERROR(INDEX(DanhMuc!$E$154:$E$165,MATCH(MID($B3547,4,2),DanhMuc!$B$154:$B$165,0)),""),"")</f>
        <v/>
      </c>
      <c r="V3547" s="408"/>
      <c r="W3547" s="345"/>
      <c r="X3547" s="329" t="str">
        <f t="shared" si="331"/>
        <v>GQ</v>
      </c>
      <c r="Y3547" s="1128" t="s">
        <v>3380</v>
      </c>
      <c r="Z3547" s="1128" t="s">
        <v>3381</v>
      </c>
      <c r="AA3547" s="1128" t="s">
        <v>3384</v>
      </c>
      <c r="AB3547" s="20"/>
      <c r="AC3547" s="73"/>
    </row>
    <row r="3548" spans="1:29" ht="26">
      <c r="A3548" s="327">
        <f>IF(AND($B3548&lt;&gt;"",$C3548&lt;&gt;""),MAX($A$1556:A3523)+1,"")</f>
        <v>175</v>
      </c>
      <c r="B3548" s="359" t="s">
        <v>2015</v>
      </c>
      <c r="C3548" s="360" t="s">
        <v>1561</v>
      </c>
      <c r="D3548" s="327">
        <f>IF($B3548="","",COUNTIF($B$6:$B3548,$B3548))</f>
        <v>1</v>
      </c>
      <c r="E3548" s="416" t="s">
        <v>957</v>
      </c>
      <c r="F3548" s="417" t="s">
        <v>1104</v>
      </c>
      <c r="G3548" s="418" t="s">
        <v>297</v>
      </c>
      <c r="H3548" s="419"/>
      <c r="I3548" s="418">
        <v>1</v>
      </c>
      <c r="J3548" s="419"/>
      <c r="K3548" s="418"/>
      <c r="L3548" s="420">
        <v>1</v>
      </c>
      <c r="M3548" s="371"/>
      <c r="N3548" s="355" t="str">
        <f t="shared" si="330"/>
        <v>PK</v>
      </c>
      <c r="O3548" s="404" t="s">
        <v>1626</v>
      </c>
      <c r="P3548" s="392"/>
      <c r="Q3548" s="327"/>
      <c r="R3548" s="351"/>
      <c r="S3548" s="351"/>
      <c r="T3548" s="351"/>
      <c r="U3548" s="329" t="str">
        <f>IF($N3548=$N$4,IFERROR(INDEX(DanhMuc!$E$154:$E$165,MATCH(MID($B3548,4,2),DanhMuc!$B$154:$B$165,0)),""),"")</f>
        <v/>
      </c>
      <c r="V3548" s="361"/>
      <c r="W3548" s="345"/>
      <c r="X3548" s="329" t="str">
        <f t="shared" si="331"/>
        <v>GQ</v>
      </c>
      <c r="Y3548" s="1128" t="s">
        <v>3380</v>
      </c>
      <c r="Z3548" s="1128" t="s">
        <v>3381</v>
      </c>
      <c r="AA3548" s="1128" t="s">
        <v>3384</v>
      </c>
      <c r="AB3548" s="20"/>
      <c r="AC3548" s="73"/>
    </row>
    <row r="3549" spans="1:29">
      <c r="A3549" s="327" t="str">
        <f>IF(AND($B3549&lt;&gt;"",$C3549&lt;&gt;""),MAX($A$1556:A3524)+1,"")</f>
        <v/>
      </c>
      <c r="B3549" s="361" t="s">
        <v>2015</v>
      </c>
      <c r="C3549" s="360"/>
      <c r="D3549" s="327">
        <f>IF($B3549="","",COUNTIF($B$6:$B3549,$B3549))</f>
        <v>2</v>
      </c>
      <c r="E3549" s="419" t="s">
        <v>430</v>
      </c>
      <c r="F3549" s="417" t="s">
        <v>428</v>
      </c>
      <c r="G3549" s="418" t="s">
        <v>344</v>
      </c>
      <c r="H3549" s="419"/>
      <c r="I3549" s="418">
        <v>1</v>
      </c>
      <c r="J3549" s="421"/>
      <c r="K3549" s="418"/>
      <c r="L3549" s="420">
        <v>265000</v>
      </c>
      <c r="M3549" s="371"/>
      <c r="N3549" s="355" t="str">
        <f t="shared" si="330"/>
        <v>PK</v>
      </c>
      <c r="O3549" s="404" t="s">
        <v>1626</v>
      </c>
      <c r="P3549" s="392"/>
      <c r="Q3549" s="327"/>
      <c r="R3549" s="351"/>
      <c r="S3549" s="351"/>
      <c r="T3549" s="351"/>
      <c r="U3549" s="329" t="str">
        <f>IF($N3549=$N$4,IFERROR(INDEX(DanhMuc!$E$154:$E$165,MATCH(MID($B3549,4,2),DanhMuc!$B$154:$B$165,0)),""),"")</f>
        <v/>
      </c>
      <c r="V3549" s="361"/>
      <c r="W3549" s="345"/>
      <c r="X3549" s="329" t="str">
        <f t="shared" si="331"/>
        <v>GQ</v>
      </c>
      <c r="Y3549" s="1128" t="s">
        <v>3380</v>
      </c>
      <c r="Z3549" s="1128" t="s">
        <v>3381</v>
      </c>
      <c r="AA3549" s="1128" t="s">
        <v>3384</v>
      </c>
      <c r="AB3549" s="20"/>
      <c r="AC3549" s="73"/>
    </row>
    <row r="3550" spans="1:29">
      <c r="A3550" s="327" t="str">
        <f>IF(AND($B3550&lt;&gt;"",$C3550&lt;&gt;""),MAX($A$1556:A3525)+1,"")</f>
        <v/>
      </c>
      <c r="B3550" s="361" t="s">
        <v>2015</v>
      </c>
      <c r="C3550" s="360"/>
      <c r="D3550" s="327">
        <f>IF($B3550="","",COUNTIF($B$6:$B3550,$B3550))</f>
        <v>3</v>
      </c>
      <c r="E3550" s="419" t="s">
        <v>962</v>
      </c>
      <c r="F3550" s="417" t="s">
        <v>1108</v>
      </c>
      <c r="G3550" s="418" t="s">
        <v>155</v>
      </c>
      <c r="H3550" s="419"/>
      <c r="I3550" s="418">
        <v>1</v>
      </c>
      <c r="J3550" s="421"/>
      <c r="K3550" s="418"/>
      <c r="L3550" s="420">
        <v>1</v>
      </c>
      <c r="M3550" s="371"/>
      <c r="N3550" s="355" t="str">
        <f t="shared" si="330"/>
        <v>PK</v>
      </c>
      <c r="O3550" s="404" t="s">
        <v>1629</v>
      </c>
      <c r="P3550" s="392"/>
      <c r="Q3550" s="327"/>
      <c r="R3550" s="351"/>
      <c r="S3550" s="351"/>
      <c r="T3550" s="351"/>
      <c r="U3550" s="329" t="str">
        <f>IF($N3550=$N$4,IFERROR(INDEX(DanhMuc!$E$154:$E$165,MATCH(MID($B3550,4,2),DanhMuc!$B$154:$B$165,0)),""),"")</f>
        <v/>
      </c>
      <c r="V3550" s="361"/>
      <c r="W3550" s="345"/>
      <c r="X3550" s="329" t="str">
        <f t="shared" si="331"/>
        <v>GQ</v>
      </c>
      <c r="Y3550" s="1128" t="s">
        <v>3380</v>
      </c>
      <c r="Z3550" s="1128" t="s">
        <v>3381</v>
      </c>
      <c r="AA3550" s="1128" t="s">
        <v>3384</v>
      </c>
      <c r="AB3550" s="20"/>
      <c r="AC3550" s="73"/>
    </row>
    <row r="3551" spans="1:29">
      <c r="A3551" s="327" t="str">
        <f>IF(AND($B3551&lt;&gt;"",$C3551&lt;&gt;""),MAX($A$1556:A3526)+1,"")</f>
        <v/>
      </c>
      <c r="B3551" s="361" t="s">
        <v>2015</v>
      </c>
      <c r="C3551" s="360"/>
      <c r="D3551" s="327">
        <f>IF($B3551="","",COUNTIF($B$6:$B3551,$B3551))</f>
        <v>4</v>
      </c>
      <c r="E3551" s="419" t="s">
        <v>963</v>
      </c>
      <c r="F3551" s="417" t="s">
        <v>1109</v>
      </c>
      <c r="G3551" s="418" t="s">
        <v>155</v>
      </c>
      <c r="H3551" s="419"/>
      <c r="I3551" s="418">
        <v>1</v>
      </c>
      <c r="J3551" s="421"/>
      <c r="K3551" s="418"/>
      <c r="L3551" s="420">
        <v>1</v>
      </c>
      <c r="M3551" s="371"/>
      <c r="N3551" s="355" t="str">
        <f t="shared" si="330"/>
        <v>PK</v>
      </c>
      <c r="O3551" s="404" t="s">
        <v>1630</v>
      </c>
      <c r="P3551" s="392"/>
      <c r="Q3551" s="327"/>
      <c r="R3551" s="351"/>
      <c r="S3551" s="351"/>
      <c r="T3551" s="351"/>
      <c r="U3551" s="329" t="str">
        <f>IF($N3551=$N$4,IFERROR(INDEX(DanhMuc!$E$154:$E$165,MATCH(MID($B3551,4,2),DanhMuc!$B$154:$B$165,0)),""),"")</f>
        <v/>
      </c>
      <c r="V3551" s="361"/>
      <c r="W3551" s="345"/>
      <c r="X3551" s="329" t="str">
        <f t="shared" si="331"/>
        <v>GQ</v>
      </c>
      <c r="Y3551" s="1128" t="s">
        <v>3380</v>
      </c>
      <c r="Z3551" s="1128" t="s">
        <v>3381</v>
      </c>
      <c r="AA3551" s="1128" t="s">
        <v>3384</v>
      </c>
      <c r="AB3551" s="20"/>
      <c r="AC3551" s="73"/>
    </row>
    <row r="3552" spans="1:29">
      <c r="A3552" s="327" t="str">
        <f>IF(AND($B3552&lt;&gt;"",$C3552&lt;&gt;""),MAX($A$1556:A3527)+1,"")</f>
        <v/>
      </c>
      <c r="B3552" s="361" t="s">
        <v>2015</v>
      </c>
      <c r="C3552" s="360"/>
      <c r="D3552" s="327">
        <f>IF($B3552="","",COUNTIF($B$6:$B3552,$B3552))</f>
        <v>5</v>
      </c>
      <c r="E3552" s="419" t="s">
        <v>431</v>
      </c>
      <c r="F3552" s="417" t="s">
        <v>965</v>
      </c>
      <c r="G3552" s="418" t="s">
        <v>155</v>
      </c>
      <c r="H3552" s="419"/>
      <c r="I3552" s="418">
        <v>1</v>
      </c>
      <c r="J3552" s="421"/>
      <c r="K3552" s="418"/>
      <c r="L3552" s="420">
        <v>1</v>
      </c>
      <c r="M3552" s="371"/>
      <c r="N3552" s="355" t="str">
        <f t="shared" si="330"/>
        <v>PK</v>
      </c>
      <c r="O3552" s="404" t="s">
        <v>2704</v>
      </c>
      <c r="P3552" s="392"/>
      <c r="Q3552" s="327"/>
      <c r="R3552" s="351"/>
      <c r="S3552" s="351"/>
      <c r="T3552" s="351"/>
      <c r="U3552" s="329" t="str">
        <f>IF($N3552=$N$4,IFERROR(INDEX(DanhMuc!$E$154:$E$165,MATCH(MID($B3552,4,2),DanhMuc!$B$154:$B$165,0)),""),"")</f>
        <v/>
      </c>
      <c r="V3552" s="361"/>
      <c r="W3552" s="345"/>
      <c r="X3552" s="329" t="str">
        <f t="shared" si="331"/>
        <v>GQ</v>
      </c>
      <c r="Y3552" s="1128" t="s">
        <v>3380</v>
      </c>
      <c r="Z3552" s="1128" t="s">
        <v>3381</v>
      </c>
      <c r="AA3552" s="1128" t="s">
        <v>3384</v>
      </c>
      <c r="AB3552" s="20"/>
      <c r="AC3552" s="73"/>
    </row>
    <row r="3553" spans="1:29">
      <c r="A3553" s="327" t="str">
        <f>IF(AND($B3553&lt;&gt;"",$C3553&lt;&gt;""),MAX($A$1556:A3528)+1,"")</f>
        <v/>
      </c>
      <c r="B3553" s="361" t="s">
        <v>2015</v>
      </c>
      <c r="C3553" s="360"/>
      <c r="D3553" s="327">
        <f>IF($B3553="","",COUNTIF($B$6:$B3553,$B3553))</f>
        <v>6</v>
      </c>
      <c r="E3553" s="419" t="s">
        <v>964</v>
      </c>
      <c r="F3553" s="422" t="s">
        <v>966</v>
      </c>
      <c r="G3553" s="418" t="s">
        <v>155</v>
      </c>
      <c r="H3553" s="419"/>
      <c r="I3553" s="418">
        <v>1</v>
      </c>
      <c r="J3553" s="421"/>
      <c r="K3553" s="418"/>
      <c r="L3553" s="420">
        <v>1</v>
      </c>
      <c r="M3553" s="371"/>
      <c r="N3553" s="355" t="str">
        <f t="shared" si="330"/>
        <v>PK</v>
      </c>
      <c r="O3553" s="404" t="s">
        <v>1622</v>
      </c>
      <c r="P3553" s="392"/>
      <c r="Q3553" s="327"/>
      <c r="R3553" s="351"/>
      <c r="S3553" s="351"/>
      <c r="T3553" s="351"/>
      <c r="U3553" s="329" t="str">
        <f>IF($N3553=$N$4,IFERROR(INDEX(DanhMuc!$E$154:$E$165,MATCH(MID($B3553,4,2),DanhMuc!$B$154:$B$165,0)),""),"")</f>
        <v/>
      </c>
      <c r="V3553" s="361"/>
      <c r="W3553" s="345"/>
      <c r="X3553" s="329" t="str">
        <f t="shared" si="331"/>
        <v>GQ</v>
      </c>
      <c r="Y3553" s="1128" t="s">
        <v>3380</v>
      </c>
      <c r="Z3553" s="1128" t="s">
        <v>3381</v>
      </c>
      <c r="AA3553" s="1128" t="s">
        <v>3384</v>
      </c>
      <c r="AB3553" s="20"/>
      <c r="AC3553" s="73"/>
    </row>
    <row r="3554" spans="1:29">
      <c r="A3554" s="327" t="str">
        <f>IF(AND($B3554&lt;&gt;"",$C3554&lt;&gt;""),MAX($A$1556:A3529)+1,"")</f>
        <v/>
      </c>
      <c r="B3554" s="361" t="s">
        <v>2015</v>
      </c>
      <c r="C3554" s="360"/>
      <c r="D3554" s="327">
        <f>IF($B3554="","",COUNTIF($B$6:$B3554,$B3554))</f>
        <v>7</v>
      </c>
      <c r="E3554" s="423" t="s">
        <v>1105</v>
      </c>
      <c r="F3554" s="424" t="s">
        <v>1106</v>
      </c>
      <c r="G3554" s="425" t="s">
        <v>297</v>
      </c>
      <c r="H3554" s="426"/>
      <c r="I3554" s="425">
        <v>1</v>
      </c>
      <c r="J3554" s="427"/>
      <c r="K3554" s="425"/>
      <c r="L3554" s="428">
        <v>1</v>
      </c>
      <c r="M3554" s="371"/>
      <c r="N3554" s="355" t="str">
        <f t="shared" si="330"/>
        <v>PK</v>
      </c>
      <c r="O3554" s="404" t="s">
        <v>1623</v>
      </c>
      <c r="P3554" s="392"/>
      <c r="Q3554" s="327"/>
      <c r="R3554" s="351"/>
      <c r="S3554" s="351"/>
      <c r="T3554" s="351"/>
      <c r="U3554" s="329" t="str">
        <f>IF($N3554=$N$4,IFERROR(INDEX(DanhMuc!$E$154:$E$165,MATCH(MID($B3554,4,2),DanhMuc!$B$154:$B$165,0)),""),"")</f>
        <v/>
      </c>
      <c r="V3554" s="361"/>
      <c r="W3554" s="345"/>
      <c r="X3554" s="329" t="str">
        <f t="shared" si="331"/>
        <v>GQ</v>
      </c>
      <c r="Y3554" s="1128" t="s">
        <v>3380</v>
      </c>
      <c r="Z3554" s="1128" t="s">
        <v>3381</v>
      </c>
      <c r="AA3554" s="1128" t="s">
        <v>3384</v>
      </c>
      <c r="AB3554" s="20"/>
      <c r="AC3554" s="73"/>
    </row>
    <row r="3555" spans="1:29">
      <c r="A3555" s="327" t="str">
        <f>IF(AND($B3555&lt;&gt;"",$C3555&lt;&gt;""),MAX($A$1556:A3530)+1,"")</f>
        <v/>
      </c>
      <c r="B3555" s="361" t="s">
        <v>2015</v>
      </c>
      <c r="C3555" s="360"/>
      <c r="D3555" s="327">
        <f>IF($B3555="","",COUNTIF($B$6:$B3555,$B3555))</f>
        <v>8</v>
      </c>
      <c r="E3555" s="423" t="s">
        <v>432</v>
      </c>
      <c r="F3555" s="424" t="s">
        <v>434</v>
      </c>
      <c r="G3555" s="425" t="s">
        <v>344</v>
      </c>
      <c r="H3555" s="426"/>
      <c r="I3555" s="423" t="s">
        <v>1332</v>
      </c>
      <c r="J3555" s="427"/>
      <c r="K3555" s="425"/>
      <c r="L3555" s="428">
        <v>510000</v>
      </c>
      <c r="M3555" s="371"/>
      <c r="N3555" s="355" t="str">
        <f t="shared" si="330"/>
        <v>PK</v>
      </c>
      <c r="O3555" s="404" t="s">
        <v>1623</v>
      </c>
      <c r="P3555" s="392"/>
      <c r="Q3555" s="327"/>
      <c r="R3555" s="351"/>
      <c r="S3555" s="351"/>
      <c r="T3555" s="351"/>
      <c r="U3555" s="329" t="str">
        <f>IF($N3555=$N$4,IFERROR(INDEX(DanhMuc!$E$154:$E$165,MATCH(MID($B3555,4,2),DanhMuc!$B$154:$B$165,0)),""),"")</f>
        <v/>
      </c>
      <c r="V3555" s="361"/>
      <c r="W3555" s="345"/>
      <c r="X3555" s="329" t="str">
        <f t="shared" si="331"/>
        <v>GQ</v>
      </c>
      <c r="Y3555" s="1128" t="s">
        <v>3380</v>
      </c>
      <c r="Z3555" s="1128" t="s">
        <v>3381</v>
      </c>
      <c r="AA3555" s="1128" t="s">
        <v>3384</v>
      </c>
      <c r="AB3555" s="20"/>
      <c r="AC3555" s="73"/>
    </row>
    <row r="3556" spans="1:29">
      <c r="A3556" s="327" t="str">
        <f>IF(AND($B3556&lt;&gt;"",$C3556&lt;&gt;""),MAX($A$1556:A3531)+1,"")</f>
        <v/>
      </c>
      <c r="B3556" s="361" t="s">
        <v>2015</v>
      </c>
      <c r="C3556" s="360"/>
      <c r="D3556" s="327">
        <f>IF($B3556="","",COUNTIF($B$6:$B3556,$B3556))</f>
        <v>9</v>
      </c>
      <c r="E3556" s="423" t="s">
        <v>1107</v>
      </c>
      <c r="F3556" s="424" t="s">
        <v>1077</v>
      </c>
      <c r="G3556" s="425" t="s">
        <v>344</v>
      </c>
      <c r="H3556" s="426"/>
      <c r="I3556" s="423" t="s">
        <v>1333</v>
      </c>
      <c r="J3556" s="427"/>
      <c r="K3556" s="425"/>
      <c r="L3556" s="428">
        <v>548000</v>
      </c>
      <c r="M3556" s="371"/>
      <c r="N3556" s="355" t="str">
        <f t="shared" si="330"/>
        <v>PK</v>
      </c>
      <c r="O3556" s="404" t="s">
        <v>1623</v>
      </c>
      <c r="P3556" s="392"/>
      <c r="Q3556" s="327"/>
      <c r="R3556" s="351"/>
      <c r="S3556" s="351"/>
      <c r="T3556" s="351"/>
      <c r="U3556" s="329" t="str">
        <f>IF($N3556=$N$4,IFERROR(INDEX(DanhMuc!$E$154:$E$165,MATCH(MID($B3556,4,2),DanhMuc!$B$154:$B$165,0)),""),"")</f>
        <v/>
      </c>
      <c r="V3556" s="361"/>
      <c r="W3556" s="345"/>
      <c r="X3556" s="329" t="str">
        <f t="shared" si="331"/>
        <v>GQ</v>
      </c>
      <c r="Y3556" s="1128" t="s">
        <v>3380</v>
      </c>
      <c r="Z3556" s="1128" t="s">
        <v>3381</v>
      </c>
      <c r="AA3556" s="1128" t="s">
        <v>3384</v>
      </c>
      <c r="AB3556" s="20"/>
      <c r="AC3556" s="73"/>
    </row>
    <row r="3557" spans="1:29">
      <c r="A3557" s="327" t="str">
        <f>IF(AND($B3557&lt;&gt;"",$C3557&lt;&gt;""),MAX($A$1556:A3532)+1,"")</f>
        <v/>
      </c>
      <c r="B3557" s="361" t="s">
        <v>2015</v>
      </c>
      <c r="C3557" s="360"/>
      <c r="D3557" s="327">
        <f>IF($B3557="","",COUNTIF($B$6:$B3557,$B3557))</f>
        <v>10</v>
      </c>
      <c r="E3557" s="426" t="s">
        <v>962</v>
      </c>
      <c r="F3557" s="429" t="s">
        <v>1108</v>
      </c>
      <c r="G3557" s="425" t="s">
        <v>155</v>
      </c>
      <c r="H3557" s="426"/>
      <c r="I3557" s="425">
        <v>1</v>
      </c>
      <c r="J3557" s="427"/>
      <c r="K3557" s="425"/>
      <c r="L3557" s="428">
        <v>1</v>
      </c>
      <c r="M3557" s="371"/>
      <c r="N3557" s="355" t="str">
        <f t="shared" si="330"/>
        <v>PK</v>
      </c>
      <c r="O3557" s="404" t="s">
        <v>1624</v>
      </c>
      <c r="P3557" s="392"/>
      <c r="Q3557" s="327"/>
      <c r="R3557" s="351"/>
      <c r="S3557" s="351"/>
      <c r="T3557" s="351"/>
      <c r="U3557" s="329" t="str">
        <f>IF($N3557=$N$4,IFERROR(INDEX(DanhMuc!$E$154:$E$165,MATCH(MID($B3557,4,2),DanhMuc!$B$154:$B$165,0)),""),"")</f>
        <v/>
      </c>
      <c r="V3557" s="361"/>
      <c r="W3557" s="345"/>
      <c r="X3557" s="329" t="str">
        <f t="shared" si="331"/>
        <v>GQ</v>
      </c>
      <c r="Y3557" s="1128" t="s">
        <v>3380</v>
      </c>
      <c r="Z3557" s="1128" t="s">
        <v>3381</v>
      </c>
      <c r="AA3557" s="1128" t="s">
        <v>3384</v>
      </c>
      <c r="AB3557" s="20"/>
      <c r="AC3557" s="73"/>
    </row>
    <row r="3558" spans="1:29">
      <c r="A3558" s="327" t="str">
        <f>IF(AND($B3558&lt;&gt;"",$C3558&lt;&gt;""),MAX($A$1556:A3533)+1,"")</f>
        <v/>
      </c>
      <c r="B3558" s="361" t="s">
        <v>2015</v>
      </c>
      <c r="C3558" s="360"/>
      <c r="D3558" s="327">
        <f>IF($B3558="","",COUNTIF($B$6:$B3558,$B3558))</f>
        <v>11</v>
      </c>
      <c r="E3558" s="426" t="s">
        <v>963</v>
      </c>
      <c r="F3558" s="429" t="s">
        <v>1109</v>
      </c>
      <c r="G3558" s="425" t="s">
        <v>155</v>
      </c>
      <c r="H3558" s="426"/>
      <c r="I3558" s="425">
        <v>1</v>
      </c>
      <c r="J3558" s="427"/>
      <c r="K3558" s="425"/>
      <c r="L3558" s="428">
        <v>1</v>
      </c>
      <c r="M3558" s="371"/>
      <c r="N3558" s="355" t="str">
        <f t="shared" si="330"/>
        <v>PK</v>
      </c>
      <c r="O3558" s="404" t="s">
        <v>1625</v>
      </c>
      <c r="P3558" s="392"/>
      <c r="Q3558" s="327"/>
      <c r="R3558" s="351"/>
      <c r="S3558" s="351"/>
      <c r="T3558" s="351"/>
      <c r="U3558" s="329" t="str">
        <f>IF($N3558=$N$4,IFERROR(INDEX(DanhMuc!$E$154:$E$165,MATCH(MID($B3558,4,2),DanhMuc!$B$154:$B$165,0)),""),"")</f>
        <v/>
      </c>
      <c r="V3558" s="361"/>
      <c r="W3558" s="345"/>
      <c r="X3558" s="329" t="str">
        <f t="shared" si="331"/>
        <v>GQ</v>
      </c>
      <c r="Y3558" s="1128" t="s">
        <v>3380</v>
      </c>
      <c r="Z3558" s="1128" t="s">
        <v>3381</v>
      </c>
      <c r="AA3558" s="1128" t="s">
        <v>3384</v>
      </c>
      <c r="AB3558" s="20"/>
      <c r="AC3558" s="73"/>
    </row>
    <row r="3559" spans="1:29">
      <c r="A3559" s="327" t="str">
        <f>IF(AND($B3559&lt;&gt;"",$C3559&lt;&gt;""),MAX($A$1556:A3534)+1,"")</f>
        <v/>
      </c>
      <c r="B3559" s="361" t="s">
        <v>2015</v>
      </c>
      <c r="C3559" s="360"/>
      <c r="D3559" s="327">
        <f>IF($B3559="","",COUNTIF($B$6:$B3559,$B3559))</f>
        <v>12</v>
      </c>
      <c r="E3559" s="423" t="s">
        <v>967</v>
      </c>
      <c r="F3559" s="429" t="s">
        <v>968</v>
      </c>
      <c r="G3559" s="425" t="s">
        <v>155</v>
      </c>
      <c r="H3559" s="426"/>
      <c r="I3559" s="425">
        <v>1</v>
      </c>
      <c r="J3559" s="427"/>
      <c r="K3559" s="425"/>
      <c r="L3559" s="428">
        <v>1</v>
      </c>
      <c r="M3559" s="371"/>
      <c r="N3559" s="355" t="str">
        <f t="shared" si="330"/>
        <v>PK</v>
      </c>
      <c r="O3559" s="404" t="s">
        <v>2703</v>
      </c>
      <c r="P3559" s="392"/>
      <c r="Q3559" s="327"/>
      <c r="R3559" s="351"/>
      <c r="S3559" s="351"/>
      <c r="T3559" s="351"/>
      <c r="U3559" s="329" t="str">
        <f>IF($N3559=$N$4,IFERROR(INDEX(DanhMuc!$E$154:$E$165,MATCH(MID($B3559,4,2),DanhMuc!$B$154:$B$165,0)),""),"")</f>
        <v/>
      </c>
      <c r="V3559" s="361"/>
      <c r="W3559" s="345"/>
      <c r="X3559" s="329" t="str">
        <f t="shared" si="331"/>
        <v>GQ</v>
      </c>
      <c r="Y3559" s="1128" t="s">
        <v>3380</v>
      </c>
      <c r="Z3559" s="1128" t="s">
        <v>3381</v>
      </c>
      <c r="AA3559" s="1128" t="s">
        <v>3384</v>
      </c>
      <c r="AB3559" s="20"/>
      <c r="AC3559" s="73"/>
    </row>
    <row r="3560" spans="1:29">
      <c r="A3560" s="327" t="str">
        <f>IF(AND($B3560&lt;&gt;"",$C3560&lt;&gt;""),MAX($A$1556:A3535)+1,"")</f>
        <v/>
      </c>
      <c r="B3560" s="361" t="s">
        <v>2015</v>
      </c>
      <c r="C3560" s="360"/>
      <c r="D3560" s="327">
        <f>IF($B3560="","",COUNTIF($B$6:$B3560,$B3560))</f>
        <v>13</v>
      </c>
      <c r="E3560" s="423" t="s">
        <v>433</v>
      </c>
      <c r="F3560" s="424" t="s">
        <v>429</v>
      </c>
      <c r="G3560" s="425" t="s">
        <v>155</v>
      </c>
      <c r="H3560" s="426"/>
      <c r="I3560" s="425">
        <v>1</v>
      </c>
      <c r="J3560" s="427"/>
      <c r="K3560" s="425"/>
      <c r="L3560" s="428">
        <v>1</v>
      </c>
      <c r="M3560" s="371"/>
      <c r="N3560" s="355" t="str">
        <f t="shared" si="330"/>
        <v>PK</v>
      </c>
      <c r="O3560" s="404" t="s">
        <v>969</v>
      </c>
      <c r="P3560" s="392"/>
      <c r="Q3560" s="327"/>
      <c r="R3560" s="351"/>
      <c r="S3560" s="351"/>
      <c r="T3560" s="351"/>
      <c r="U3560" s="329" t="str">
        <f>IF($N3560=$N$4,IFERROR(INDEX(DanhMuc!$E$154:$E$165,MATCH(MID($B3560,4,2),DanhMuc!$B$154:$B$165,0)),""),"")</f>
        <v/>
      </c>
      <c r="V3560" s="361"/>
      <c r="W3560" s="345"/>
      <c r="X3560" s="329" t="str">
        <f t="shared" si="331"/>
        <v>GQ</v>
      </c>
      <c r="Y3560" s="1128" t="s">
        <v>3380</v>
      </c>
      <c r="Z3560" s="1128" t="s">
        <v>3381</v>
      </c>
      <c r="AA3560" s="1128" t="s">
        <v>3384</v>
      </c>
      <c r="AB3560" s="20"/>
      <c r="AC3560" s="73"/>
    </row>
    <row r="3561" spans="1:29">
      <c r="A3561" s="327" t="str">
        <f>IF(AND($B3561&lt;&gt;"",$C3561&lt;&gt;""),MAX($A$1556:A3536)+1,"")</f>
        <v/>
      </c>
      <c r="B3561" s="361" t="s">
        <v>2015</v>
      </c>
      <c r="C3561" s="360"/>
      <c r="D3561" s="327">
        <f>IF($B3561="","",COUNTIF($B$6:$B3561,$B3561))</f>
        <v>14</v>
      </c>
      <c r="E3561" s="423" t="s">
        <v>1006</v>
      </c>
      <c r="F3561" s="424" t="s">
        <v>1008</v>
      </c>
      <c r="G3561" s="425" t="s">
        <v>155</v>
      </c>
      <c r="H3561" s="426"/>
      <c r="I3561" s="425">
        <v>4</v>
      </c>
      <c r="J3561" s="427"/>
      <c r="K3561" s="425"/>
      <c r="L3561" s="428">
        <v>1</v>
      </c>
      <c r="M3561" s="371"/>
      <c r="N3561" s="355" t="str">
        <f t="shared" si="330"/>
        <v>PK</v>
      </c>
      <c r="O3561" s="404" t="s">
        <v>1624</v>
      </c>
      <c r="P3561" s="392"/>
      <c r="Q3561" s="327"/>
      <c r="R3561" s="351"/>
      <c r="S3561" s="351"/>
      <c r="T3561" s="351"/>
      <c r="U3561" s="329" t="str">
        <f>IF($N3561=$N$4,IFERROR(INDEX(DanhMuc!$E$154:$E$165,MATCH(MID($B3561,4,2),DanhMuc!$B$154:$B$165,0)),""),"")</f>
        <v/>
      </c>
      <c r="V3561" s="361"/>
      <c r="W3561" s="345"/>
      <c r="X3561" s="329" t="str">
        <f t="shared" si="331"/>
        <v>GQ</v>
      </c>
      <c r="Y3561" s="1128" t="s">
        <v>3380</v>
      </c>
      <c r="Z3561" s="1128" t="s">
        <v>3381</v>
      </c>
      <c r="AA3561" s="1128" t="s">
        <v>3384</v>
      </c>
      <c r="AB3561" s="20"/>
      <c r="AC3561" s="73"/>
    </row>
    <row r="3562" spans="1:29">
      <c r="A3562" s="327" t="str">
        <f>IF(AND($B3562&lt;&gt;"",$C3562&lt;&gt;""),MAX($A$1556:A3537)+1,"")</f>
        <v/>
      </c>
      <c r="B3562" s="361" t="s">
        <v>2015</v>
      </c>
      <c r="C3562" s="360"/>
      <c r="D3562" s="327">
        <f>IF($B3562="","",COUNTIF($B$6:$B3562,$B3562))</f>
        <v>15</v>
      </c>
      <c r="E3562" s="423" t="s">
        <v>1007</v>
      </c>
      <c r="F3562" s="424" t="s">
        <v>1009</v>
      </c>
      <c r="G3562" s="425" t="s">
        <v>155</v>
      </c>
      <c r="H3562" s="426"/>
      <c r="I3562" s="425">
        <v>4</v>
      </c>
      <c r="J3562" s="427"/>
      <c r="K3562" s="425"/>
      <c r="L3562" s="428">
        <v>1</v>
      </c>
      <c r="M3562" s="371"/>
      <c r="N3562" s="355" t="str">
        <f t="shared" si="330"/>
        <v>PK</v>
      </c>
      <c r="O3562" s="404" t="s">
        <v>1625</v>
      </c>
      <c r="P3562" s="392"/>
      <c r="Q3562" s="327"/>
      <c r="R3562" s="351"/>
      <c r="S3562" s="351"/>
      <c r="T3562" s="351"/>
      <c r="U3562" s="329" t="str">
        <f>IF($N3562=$N$4,IFERROR(INDEX(DanhMuc!$E$154:$E$165,MATCH(MID($B3562,4,2),DanhMuc!$B$154:$B$165,0)),""),"")</f>
        <v/>
      </c>
      <c r="V3562" s="361"/>
      <c r="W3562" s="345"/>
      <c r="X3562" s="329" t="str">
        <f t="shared" si="331"/>
        <v>GQ</v>
      </c>
      <c r="Y3562" s="1128" t="s">
        <v>3380</v>
      </c>
      <c r="Z3562" s="1128" t="s">
        <v>3381</v>
      </c>
      <c r="AA3562" s="1128" t="s">
        <v>3384</v>
      </c>
      <c r="AB3562" s="20"/>
      <c r="AC3562" s="73"/>
    </row>
    <row r="3563" spans="1:29">
      <c r="A3563" s="327" t="str">
        <f>IF(AND($B3563&lt;&gt;"",$C3563&lt;&gt;""),MAX($A$1556:A3538)+1,"")</f>
        <v/>
      </c>
      <c r="B3563" s="361" t="s">
        <v>2015</v>
      </c>
      <c r="C3563" s="360"/>
      <c r="D3563" s="327">
        <f>IF($B3563="","",COUNTIF($B$6:$B3563,$B3563))</f>
        <v>16</v>
      </c>
      <c r="E3563" s="430" t="s">
        <v>436</v>
      </c>
      <c r="F3563" s="431" t="s">
        <v>435</v>
      </c>
      <c r="G3563" s="351" t="s">
        <v>155</v>
      </c>
      <c r="H3563" s="361"/>
      <c r="I3563" s="327">
        <v>6</v>
      </c>
      <c r="J3563" s="345"/>
      <c r="K3563" s="327"/>
      <c r="L3563" s="389">
        <v>92000</v>
      </c>
      <c r="M3563" s="371"/>
      <c r="N3563" s="355" t="str">
        <f t="shared" si="330"/>
        <v>PK</v>
      </c>
      <c r="O3563" s="345" t="s">
        <v>1362</v>
      </c>
      <c r="P3563" s="392"/>
      <c r="Q3563" s="327"/>
      <c r="R3563" s="351"/>
      <c r="S3563" s="351"/>
      <c r="T3563" s="351"/>
      <c r="U3563" s="329" t="str">
        <f>IF($N3563=$N$4,IFERROR(INDEX(DanhMuc!$E$154:$E$165,MATCH(MID($B3563,4,2),DanhMuc!$B$154:$B$165,0)),""),"")</f>
        <v/>
      </c>
      <c r="V3563" s="361"/>
      <c r="W3563" s="345"/>
      <c r="X3563" s="329" t="str">
        <f t="shared" si="331"/>
        <v>GQ</v>
      </c>
      <c r="Y3563" s="1128" t="s">
        <v>3380</v>
      </c>
      <c r="Z3563" s="1128" t="s">
        <v>3381</v>
      </c>
      <c r="AA3563" s="1128" t="s">
        <v>3384</v>
      </c>
      <c r="AB3563" s="20"/>
      <c r="AC3563" s="73"/>
    </row>
    <row r="3564" spans="1:29">
      <c r="A3564" s="327" t="str">
        <f>IF(AND($B3564&lt;&gt;"",$C3564&lt;&gt;""),MAX($A$1556:A3539)+1,"")</f>
        <v/>
      </c>
      <c r="B3564" s="361" t="s">
        <v>2015</v>
      </c>
      <c r="C3564" s="360"/>
      <c r="D3564" s="327">
        <f>IF($B3564="","",COUNTIF($B$6:$B3564,$B3564))</f>
        <v>17</v>
      </c>
      <c r="E3564" s="430" t="s">
        <v>440</v>
      </c>
      <c r="F3564" s="431" t="s">
        <v>439</v>
      </c>
      <c r="G3564" s="351" t="s">
        <v>155</v>
      </c>
      <c r="H3564" s="361"/>
      <c r="I3564" s="327">
        <v>6</v>
      </c>
      <c r="J3564" s="345"/>
      <c r="K3564" s="327"/>
      <c r="L3564" s="389">
        <v>135000</v>
      </c>
      <c r="M3564" s="371"/>
      <c r="N3564" s="355" t="str">
        <f t="shared" si="330"/>
        <v>PK</v>
      </c>
      <c r="O3564" s="345" t="s">
        <v>441</v>
      </c>
      <c r="P3564" s="392"/>
      <c r="Q3564" s="327"/>
      <c r="R3564" s="351"/>
      <c r="S3564" s="351"/>
      <c r="T3564" s="351"/>
      <c r="U3564" s="329" t="str">
        <f>IF($N3564=$N$4,IFERROR(INDEX(DanhMuc!$E$154:$E$165,MATCH(MID($B3564,4,2),DanhMuc!$B$154:$B$165,0)),""),"")</f>
        <v/>
      </c>
      <c r="V3564" s="361"/>
      <c r="W3564" s="345"/>
      <c r="X3564" s="329" t="str">
        <f t="shared" si="331"/>
        <v>GQ</v>
      </c>
      <c r="Y3564" s="1128" t="s">
        <v>3380</v>
      </c>
      <c r="Z3564" s="1128" t="s">
        <v>3381</v>
      </c>
      <c r="AA3564" s="1128" t="s">
        <v>3384</v>
      </c>
      <c r="AB3564" s="20"/>
      <c r="AC3564" s="73"/>
    </row>
    <row r="3565" spans="1:29">
      <c r="A3565" s="327" t="str">
        <f>IF(AND($B3565&lt;&gt;"",$C3565&lt;&gt;""),MAX($A$1556:A3540)+1,"")</f>
        <v/>
      </c>
      <c r="B3565" s="361" t="s">
        <v>2015</v>
      </c>
      <c r="C3565" s="360"/>
      <c r="D3565" s="327">
        <f>IF($B3565="","",COUNTIF($B$6:$B3565,$B3565))</f>
        <v>18</v>
      </c>
      <c r="E3565" s="430" t="s">
        <v>1010</v>
      </c>
      <c r="F3565" s="431" t="s">
        <v>1011</v>
      </c>
      <c r="G3565" s="351" t="s">
        <v>155</v>
      </c>
      <c r="H3565" s="361"/>
      <c r="I3565" s="327">
        <v>6</v>
      </c>
      <c r="J3565" s="345"/>
      <c r="K3565" s="327"/>
      <c r="L3565" s="389">
        <v>160000</v>
      </c>
      <c r="M3565" s="371"/>
      <c r="N3565" s="355" t="str">
        <f t="shared" si="330"/>
        <v>PK</v>
      </c>
      <c r="O3565" s="345"/>
      <c r="P3565" s="392"/>
      <c r="Q3565" s="327"/>
      <c r="R3565" s="351"/>
      <c r="S3565" s="351"/>
      <c r="T3565" s="351"/>
      <c r="U3565" s="329" t="str">
        <f>IF($N3565=$N$4,IFERROR(INDEX(DanhMuc!$E$154:$E$165,MATCH(MID($B3565,4,2),DanhMuc!$B$154:$B$165,0)),""),"")</f>
        <v/>
      </c>
      <c r="V3565" s="361"/>
      <c r="W3565" s="345"/>
      <c r="X3565" s="329" t="str">
        <f t="shared" si="331"/>
        <v>GQ</v>
      </c>
      <c r="Y3565" s="1128" t="s">
        <v>3380</v>
      </c>
      <c r="Z3565" s="1128" t="s">
        <v>3381</v>
      </c>
      <c r="AA3565" s="1128" t="s">
        <v>3384</v>
      </c>
      <c r="AB3565" s="20"/>
      <c r="AC3565" s="73"/>
    </row>
    <row r="3566" spans="1:29">
      <c r="A3566" s="327" t="str">
        <f>IF(AND($B3566&lt;&gt;"",$C3566&lt;&gt;""),MAX($A$1556:A3541)+1,"")</f>
        <v/>
      </c>
      <c r="B3566" s="361" t="s">
        <v>2015</v>
      </c>
      <c r="C3566" s="360"/>
      <c r="D3566" s="327">
        <f>IF($B3566="","",COUNTIF($B$6:$B3566,$B3566))</f>
        <v>19</v>
      </c>
      <c r="E3566" s="411" t="s">
        <v>1019</v>
      </c>
      <c r="F3566" s="432" t="s">
        <v>1020</v>
      </c>
      <c r="G3566" s="410" t="s">
        <v>344</v>
      </c>
      <c r="H3566" s="402"/>
      <c r="I3566" s="411" t="s">
        <v>1330</v>
      </c>
      <c r="J3566" s="345"/>
      <c r="K3566" s="327"/>
      <c r="L3566" s="389">
        <v>190000</v>
      </c>
      <c r="M3566" s="371"/>
      <c r="N3566" s="355" t="str">
        <f t="shared" si="330"/>
        <v>PK</v>
      </c>
      <c r="O3566" s="345"/>
      <c r="P3566" s="392"/>
      <c r="Q3566" s="327"/>
      <c r="R3566" s="351"/>
      <c r="S3566" s="351"/>
      <c r="T3566" s="351"/>
      <c r="U3566" s="329" t="str">
        <f>IF($N3566=$N$4,IFERROR(INDEX(DanhMuc!$E$154:$E$165,MATCH(MID($B3566,4,2),DanhMuc!$B$154:$B$165,0)),""),"")</f>
        <v/>
      </c>
      <c r="V3566" s="361"/>
      <c r="W3566" s="345"/>
      <c r="X3566" s="329" t="str">
        <f t="shared" si="331"/>
        <v>GQ</v>
      </c>
      <c r="Y3566" s="1128" t="s">
        <v>3380</v>
      </c>
      <c r="Z3566" s="1128" t="s">
        <v>3381</v>
      </c>
      <c r="AA3566" s="1128" t="s">
        <v>3384</v>
      </c>
      <c r="AB3566" s="20"/>
      <c r="AC3566" s="73"/>
    </row>
    <row r="3567" spans="1:29">
      <c r="A3567" s="327" t="str">
        <f>IF(AND($B3567&lt;&gt;"",$C3567&lt;&gt;""),MAX($A$1556:A3542)+1,"")</f>
        <v/>
      </c>
      <c r="B3567" s="361" t="s">
        <v>2015</v>
      </c>
      <c r="C3567" s="360"/>
      <c r="D3567" s="327">
        <f>IF($B3567="","",COUNTIF($B$6:$B3567,$B3567))</f>
        <v>20</v>
      </c>
      <c r="E3567" s="411" t="s">
        <v>1021</v>
      </c>
      <c r="F3567" s="432" t="s">
        <v>1022</v>
      </c>
      <c r="G3567" s="410" t="s">
        <v>344</v>
      </c>
      <c r="H3567" s="402"/>
      <c r="I3567" s="411" t="s">
        <v>1331</v>
      </c>
      <c r="J3567" s="345"/>
      <c r="K3567" s="327"/>
      <c r="L3567" s="389">
        <v>195000</v>
      </c>
      <c r="M3567" s="371"/>
      <c r="N3567" s="355" t="str">
        <f t="shared" si="330"/>
        <v>PK</v>
      </c>
      <c r="O3567" s="345"/>
      <c r="P3567" s="392"/>
      <c r="Q3567" s="327"/>
      <c r="R3567" s="351"/>
      <c r="S3567" s="351"/>
      <c r="T3567" s="351"/>
      <c r="U3567" s="329" t="str">
        <f>IF($N3567=$N$4,IFERROR(INDEX(DanhMuc!$E$154:$E$165,MATCH(MID($B3567,4,2),DanhMuc!$B$154:$B$165,0)),""),"")</f>
        <v/>
      </c>
      <c r="V3567" s="361"/>
      <c r="W3567" s="345"/>
      <c r="X3567" s="329" t="str">
        <f t="shared" si="331"/>
        <v>GQ</v>
      </c>
      <c r="Y3567" s="1128" t="s">
        <v>3380</v>
      </c>
      <c r="Z3567" s="1128" t="s">
        <v>3381</v>
      </c>
      <c r="AA3567" s="1128" t="s">
        <v>3384</v>
      </c>
      <c r="AB3567" s="20"/>
      <c r="AC3567" s="73"/>
    </row>
    <row r="3568" spans="1:29">
      <c r="A3568" s="327" t="str">
        <f>IF(AND($B3568&lt;&gt;"",$C3568&lt;&gt;""),MAX($A$1556:A3543)+1,"")</f>
        <v/>
      </c>
      <c r="B3568" s="361" t="s">
        <v>2015</v>
      </c>
      <c r="C3568" s="360"/>
      <c r="D3568" s="327">
        <f>IF($B3568="","",COUNTIF($B$6:$B3568,$B3568))</f>
        <v>21</v>
      </c>
      <c r="E3568" s="430" t="s">
        <v>980</v>
      </c>
      <c r="F3568" s="431" t="s">
        <v>978</v>
      </c>
      <c r="G3568" s="327" t="s">
        <v>297</v>
      </c>
      <c r="H3568" s="361"/>
      <c r="I3568" s="327">
        <v>6</v>
      </c>
      <c r="J3568" s="345"/>
      <c r="K3568" s="327"/>
      <c r="L3568" s="389">
        <v>1</v>
      </c>
      <c r="M3568" s="371"/>
      <c r="N3568" s="355" t="str">
        <f t="shared" si="330"/>
        <v>PK</v>
      </c>
      <c r="O3568" s="345"/>
      <c r="P3568" s="392"/>
      <c r="Q3568" s="327"/>
      <c r="R3568" s="351"/>
      <c r="S3568" s="351"/>
      <c r="T3568" s="351"/>
      <c r="U3568" s="329" t="str">
        <f>IF($N3568=$N$4,IFERROR(INDEX(DanhMuc!$E$154:$E$165,MATCH(MID($B3568,4,2),DanhMuc!$B$154:$B$165,0)),""),"")</f>
        <v/>
      </c>
      <c r="V3568" s="361"/>
      <c r="W3568" s="345"/>
      <c r="X3568" s="329" t="str">
        <f t="shared" si="331"/>
        <v>GQ</v>
      </c>
      <c r="Y3568" s="1128" t="s">
        <v>3380</v>
      </c>
      <c r="Z3568" s="1128" t="s">
        <v>3381</v>
      </c>
      <c r="AA3568" s="1128" t="s">
        <v>3384</v>
      </c>
      <c r="AB3568" s="20"/>
      <c r="AC3568" s="73"/>
    </row>
    <row r="3569" spans="1:29">
      <c r="A3569" s="327" t="str">
        <f>IF(AND($B3569&lt;&gt;"",$C3569&lt;&gt;""),MAX($A$1556:A3544)+1,"")</f>
        <v/>
      </c>
      <c r="B3569" s="361" t="s">
        <v>2015</v>
      </c>
      <c r="C3569" s="360"/>
      <c r="D3569" s="327">
        <f>IF($B3569="","",COUNTIF($B$6:$B3569,$B3569))</f>
        <v>22</v>
      </c>
      <c r="E3569" s="430" t="s">
        <v>1005</v>
      </c>
      <c r="F3569" s="431" t="s">
        <v>979</v>
      </c>
      <c r="G3569" s="327" t="s">
        <v>155</v>
      </c>
      <c r="H3569" s="361"/>
      <c r="I3569" s="327">
        <v>3</v>
      </c>
      <c r="J3569" s="345"/>
      <c r="K3569" s="327"/>
      <c r="L3569" s="389">
        <v>1</v>
      </c>
      <c r="M3569" s="371"/>
      <c r="N3569" s="355" t="str">
        <f t="shared" si="330"/>
        <v>PK</v>
      </c>
      <c r="O3569" s="345"/>
      <c r="P3569" s="392"/>
      <c r="Q3569" s="327"/>
      <c r="R3569" s="351"/>
      <c r="S3569" s="351"/>
      <c r="T3569" s="351"/>
      <c r="U3569" s="329" t="str">
        <f>IF($N3569=$N$4,IFERROR(INDEX(DanhMuc!$E$154:$E$165,MATCH(MID($B3569,4,2),DanhMuc!$B$154:$B$165,0)),""),"")</f>
        <v/>
      </c>
      <c r="V3569" s="361"/>
      <c r="W3569" s="345"/>
      <c r="X3569" s="329" t="str">
        <f t="shared" si="331"/>
        <v>GQ</v>
      </c>
      <c r="Y3569" s="1128" t="s">
        <v>3380</v>
      </c>
      <c r="Z3569" s="1128" t="s">
        <v>3381</v>
      </c>
      <c r="AA3569" s="1128" t="s">
        <v>3384</v>
      </c>
      <c r="AB3569" s="20"/>
      <c r="AC3569" s="73"/>
    </row>
    <row r="3570" spans="1:29">
      <c r="A3570" s="327" t="str">
        <f>IF(AND($B3570&lt;&gt;"",$C3570&lt;&gt;""),MAX($A$1556:A3545)+1,"")</f>
        <v/>
      </c>
      <c r="B3570" s="361" t="s">
        <v>2015</v>
      </c>
      <c r="C3570" s="360"/>
      <c r="D3570" s="327">
        <f>IF($B3570="","",COUNTIF($B$6:$B3570,$B3570))</f>
        <v>23</v>
      </c>
      <c r="E3570" s="430" t="s">
        <v>1110</v>
      </c>
      <c r="F3570" s="431" t="s">
        <v>1112</v>
      </c>
      <c r="G3570" s="327" t="s">
        <v>155</v>
      </c>
      <c r="H3570" s="361"/>
      <c r="I3570" s="327">
        <v>2</v>
      </c>
      <c r="J3570" s="345"/>
      <c r="K3570" s="327"/>
      <c r="L3570" s="389">
        <v>5500</v>
      </c>
      <c r="M3570" s="371"/>
      <c r="N3570" s="355" t="str">
        <f t="shared" si="330"/>
        <v>PK</v>
      </c>
      <c r="O3570" s="345"/>
      <c r="P3570" s="392"/>
      <c r="Q3570" s="327"/>
      <c r="R3570" s="351"/>
      <c r="S3570" s="351"/>
      <c r="T3570" s="351"/>
      <c r="U3570" s="329" t="str">
        <f>IF($N3570=$N$4,IFERROR(INDEX(DanhMuc!$E$154:$E$165,MATCH(MID($B3570,4,2),DanhMuc!$B$154:$B$165,0)),""),"")</f>
        <v/>
      </c>
      <c r="V3570" s="361"/>
      <c r="W3570" s="345"/>
      <c r="X3570" s="329" t="str">
        <f t="shared" si="331"/>
        <v>GQ</v>
      </c>
      <c r="Y3570" s="1128" t="s">
        <v>3380</v>
      </c>
      <c r="Z3570" s="1128" t="s">
        <v>3381</v>
      </c>
      <c r="AA3570" s="1128" t="s">
        <v>3384</v>
      </c>
      <c r="AB3570" s="20"/>
      <c r="AC3570" s="73"/>
    </row>
    <row r="3571" spans="1:29">
      <c r="A3571" s="327" t="str">
        <f>IF(AND($B3571&lt;&gt;"",$C3571&lt;&gt;""),MAX($A$1556:A3546)+1,"")</f>
        <v/>
      </c>
      <c r="B3571" s="361" t="s">
        <v>2015</v>
      </c>
      <c r="C3571" s="360"/>
      <c r="D3571" s="327">
        <f>IF($B3571="","",COUNTIF($B$6:$B3571,$B3571))</f>
        <v>24</v>
      </c>
      <c r="E3571" s="430" t="s">
        <v>1111</v>
      </c>
      <c r="F3571" s="431" t="s">
        <v>1113</v>
      </c>
      <c r="G3571" s="327" t="s">
        <v>155</v>
      </c>
      <c r="H3571" s="361"/>
      <c r="I3571" s="327">
        <v>2</v>
      </c>
      <c r="J3571" s="345"/>
      <c r="K3571" s="327"/>
      <c r="L3571" s="389">
        <v>5500</v>
      </c>
      <c r="M3571" s="371"/>
      <c r="N3571" s="355" t="str">
        <f t="shared" ref="N3571:N3603" si="332">+$N$1555</f>
        <v>PK</v>
      </c>
      <c r="O3571" s="345"/>
      <c r="P3571" s="392"/>
      <c r="Q3571" s="327"/>
      <c r="R3571" s="351"/>
      <c r="S3571" s="351"/>
      <c r="T3571" s="351"/>
      <c r="U3571" s="329" t="str">
        <f>IF($N3571=$N$4,IFERROR(INDEX(DanhMuc!$E$154:$E$165,MATCH(MID($B3571,4,2),DanhMuc!$B$154:$B$165,0)),""),"")</f>
        <v/>
      </c>
      <c r="V3571" s="361"/>
      <c r="W3571" s="345"/>
      <c r="X3571" s="329" t="str">
        <f t="shared" si="331"/>
        <v>GQ</v>
      </c>
      <c r="Y3571" s="1128" t="s">
        <v>3380</v>
      </c>
      <c r="Z3571" s="1128" t="s">
        <v>3381</v>
      </c>
      <c r="AA3571" s="1128" t="s">
        <v>3384</v>
      </c>
      <c r="AB3571" s="20"/>
      <c r="AC3571" s="73"/>
    </row>
    <row r="3572" spans="1:29">
      <c r="A3572" s="327" t="str">
        <f>IF(AND($B3572&lt;&gt;"",$C3572&lt;&gt;""),MAX($A$1556:A3547)+1,"")</f>
        <v/>
      </c>
      <c r="B3572" s="361" t="s">
        <v>2015</v>
      </c>
      <c r="C3572" s="360"/>
      <c r="D3572" s="327">
        <f>IF($B3572="","",COUNTIF($B$6:$B3572,$B3572))</f>
        <v>25</v>
      </c>
      <c r="E3572" s="361" t="s">
        <v>1444</v>
      </c>
      <c r="F3572" s="362" t="s">
        <v>2356</v>
      </c>
      <c r="G3572" s="327" t="s">
        <v>297</v>
      </c>
      <c r="H3572" s="327"/>
      <c r="I3572" s="327">
        <v>2</v>
      </c>
      <c r="J3572" s="345"/>
      <c r="K3572" s="327"/>
      <c r="L3572" s="389">
        <v>17000</v>
      </c>
      <c r="M3572" s="371"/>
      <c r="N3572" s="355" t="str">
        <f t="shared" si="330"/>
        <v>PK</v>
      </c>
      <c r="O3572" s="347"/>
      <c r="P3572" s="392"/>
      <c r="Q3572" s="327"/>
      <c r="R3572" s="351"/>
      <c r="S3572" s="351"/>
      <c r="T3572" s="351"/>
      <c r="U3572" s="329" t="str">
        <f>IF($N3572=$N$4,IFERROR(INDEX(DanhMuc!$E$154:$E$165,MATCH(MID($B3572,4,2),DanhMuc!$B$154:$B$165,0)),""),"")</f>
        <v/>
      </c>
      <c r="V3572" s="408"/>
      <c r="W3572" s="345"/>
      <c r="X3572" s="329" t="str">
        <f t="shared" si="331"/>
        <v>GQ</v>
      </c>
      <c r="Y3572" s="1128" t="s">
        <v>3380</v>
      </c>
      <c r="Z3572" s="1128" t="s">
        <v>3381</v>
      </c>
      <c r="AA3572" s="1128" t="s">
        <v>3384</v>
      </c>
      <c r="AB3572" s="20"/>
      <c r="AC3572" s="73"/>
    </row>
    <row r="3573" spans="1:29" ht="26">
      <c r="A3573" s="327">
        <f>IF(AND($B3573&lt;&gt;"",$C3573&lt;&gt;""),MAX($A$1556:A3548)+1,"")</f>
        <v>176</v>
      </c>
      <c r="B3573" s="359" t="s">
        <v>2016</v>
      </c>
      <c r="C3573" s="370" t="s">
        <v>1562</v>
      </c>
      <c r="D3573" s="327">
        <f>IF($B3573="","",COUNTIF($B$6:$B3573,$B3573))</f>
        <v>1</v>
      </c>
      <c r="E3573" s="430" t="s">
        <v>1033</v>
      </c>
      <c r="F3573" s="362" t="s">
        <v>1034</v>
      </c>
      <c r="G3573" s="327" t="s">
        <v>155</v>
      </c>
      <c r="H3573" s="361"/>
      <c r="I3573" s="327">
        <v>4</v>
      </c>
      <c r="J3573" s="361"/>
      <c r="K3573" s="327"/>
      <c r="L3573" s="389">
        <v>13000</v>
      </c>
      <c r="M3573" s="371"/>
      <c r="N3573" s="355" t="str">
        <f t="shared" si="332"/>
        <v>PK</v>
      </c>
      <c r="O3573" s="345"/>
      <c r="P3573" s="392"/>
      <c r="Q3573" s="327"/>
      <c r="R3573" s="351"/>
      <c r="S3573" s="351"/>
      <c r="T3573" s="351"/>
      <c r="U3573" s="329" t="str">
        <f>IF($N3573=$N$4,IFERROR(INDEX(DanhMuc!$E$154:$E$165,MATCH(MID($B3573,4,2),DanhMuc!$B$154:$B$165,0)),""),"")</f>
        <v/>
      </c>
      <c r="V3573" s="361"/>
      <c r="W3573" s="345"/>
      <c r="X3573" s="329" t="str">
        <f t="shared" si="331"/>
        <v>GQ</v>
      </c>
      <c r="Y3573" s="1128" t="s">
        <v>3380</v>
      </c>
      <c r="Z3573" s="1128" t="s">
        <v>3381</v>
      </c>
      <c r="AA3573" s="1128" t="s">
        <v>3384</v>
      </c>
      <c r="AB3573" s="20"/>
      <c r="AC3573" s="73"/>
    </row>
    <row r="3574" spans="1:29">
      <c r="A3574" s="327" t="str">
        <f>IF(AND($B3574&lt;&gt;"",$C3574&lt;&gt;""),MAX($A$1556:A3549)+1,"")</f>
        <v/>
      </c>
      <c r="B3574" s="361" t="s">
        <v>2016</v>
      </c>
      <c r="C3574" s="360"/>
      <c r="D3574" s="327">
        <f>IF($B3574="","",COUNTIF($B$6:$B3574,$B3574))</f>
        <v>2</v>
      </c>
      <c r="E3574" s="361" t="s">
        <v>1095</v>
      </c>
      <c r="F3574" s="362" t="s">
        <v>1096</v>
      </c>
      <c r="G3574" s="327" t="s">
        <v>344</v>
      </c>
      <c r="H3574" s="361"/>
      <c r="I3574" s="327">
        <v>1</v>
      </c>
      <c r="J3574" s="345"/>
      <c r="K3574" s="327"/>
      <c r="L3574" s="389">
        <v>28000</v>
      </c>
      <c r="M3574" s="371"/>
      <c r="N3574" s="355" t="str">
        <f t="shared" si="332"/>
        <v>PK</v>
      </c>
      <c r="O3574" s="345" t="s">
        <v>1052</v>
      </c>
      <c r="P3574" s="392"/>
      <c r="Q3574" s="327"/>
      <c r="R3574" s="351"/>
      <c r="S3574" s="351"/>
      <c r="T3574" s="351"/>
      <c r="U3574" s="329" t="str">
        <f>IF($N3574=$N$4,IFERROR(INDEX(DanhMuc!$E$154:$E$165,MATCH(MID($B3574,4,2),DanhMuc!$B$154:$B$165,0)),""),"")</f>
        <v/>
      </c>
      <c r="V3574" s="361"/>
      <c r="W3574" s="345"/>
      <c r="X3574" s="329" t="str">
        <f t="shared" si="331"/>
        <v>GQ</v>
      </c>
      <c r="Y3574" s="1128" t="s">
        <v>3380</v>
      </c>
      <c r="Z3574" s="1128" t="s">
        <v>3381</v>
      </c>
      <c r="AA3574" s="1128" t="s">
        <v>3384</v>
      </c>
      <c r="AB3574" s="20"/>
      <c r="AC3574" s="73"/>
    </row>
    <row r="3575" spans="1:29">
      <c r="A3575" s="327" t="str">
        <f>IF(AND($B3575&lt;&gt;"",$C3575&lt;&gt;""),MAX($A$1556:A3550)+1,"")</f>
        <v/>
      </c>
      <c r="B3575" s="361" t="s">
        <v>2016</v>
      </c>
      <c r="C3575" s="360"/>
      <c r="D3575" s="327">
        <f>IF($B3575="","",COUNTIF($B$6:$B3575,$B3575))</f>
        <v>3</v>
      </c>
      <c r="E3575" s="361" t="s">
        <v>1097</v>
      </c>
      <c r="F3575" s="362" t="s">
        <v>1098</v>
      </c>
      <c r="G3575" s="327" t="s">
        <v>155</v>
      </c>
      <c r="H3575" s="361"/>
      <c r="I3575" s="327">
        <v>2</v>
      </c>
      <c r="J3575" s="345"/>
      <c r="K3575" s="327"/>
      <c r="L3575" s="389">
        <v>36000</v>
      </c>
      <c r="M3575" s="371"/>
      <c r="N3575" s="355" t="str">
        <f t="shared" si="332"/>
        <v>PK</v>
      </c>
      <c r="O3575" s="345" t="s">
        <v>1781</v>
      </c>
      <c r="P3575" s="392"/>
      <c r="Q3575" s="327"/>
      <c r="R3575" s="351"/>
      <c r="S3575" s="351"/>
      <c r="T3575" s="351"/>
      <c r="U3575" s="329" t="str">
        <f>IF($N3575=$N$4,IFERROR(INDEX(DanhMuc!$E$154:$E$165,MATCH(MID($B3575,4,2),DanhMuc!$B$154:$B$165,0)),""),"")</f>
        <v/>
      </c>
      <c r="V3575" s="361"/>
      <c r="W3575" s="345"/>
      <c r="X3575" s="329" t="str">
        <f t="shared" si="331"/>
        <v>GQ</v>
      </c>
      <c r="Y3575" s="1128" t="s">
        <v>3380</v>
      </c>
      <c r="Z3575" s="1128" t="s">
        <v>3381</v>
      </c>
      <c r="AA3575" s="1128" t="s">
        <v>3384</v>
      </c>
      <c r="AB3575" s="20"/>
      <c r="AC3575" s="73"/>
    </row>
    <row r="3576" spans="1:29">
      <c r="A3576" s="327" t="str">
        <f>IF(AND($B3576&lt;&gt;"",$C3576&lt;&gt;""),MAX($A$1556:A3551)+1,"")</f>
        <v/>
      </c>
      <c r="B3576" s="361" t="s">
        <v>2016</v>
      </c>
      <c r="C3576" s="360"/>
      <c r="D3576" s="327">
        <f>IF($B3576="","",COUNTIF($B$6:$B3576,$B3576))</f>
        <v>4</v>
      </c>
      <c r="E3576" s="419" t="s">
        <v>1050</v>
      </c>
      <c r="F3576" s="417" t="s">
        <v>742</v>
      </c>
      <c r="G3576" s="418" t="s">
        <v>155</v>
      </c>
      <c r="H3576" s="419"/>
      <c r="I3576" s="418">
        <v>2</v>
      </c>
      <c r="J3576" s="421"/>
      <c r="K3576" s="418"/>
      <c r="L3576" s="420">
        <v>31000</v>
      </c>
      <c r="M3576" s="371"/>
      <c r="N3576" s="355" t="str">
        <f t="shared" si="332"/>
        <v>PK</v>
      </c>
      <c r="O3576" s="345" t="s">
        <v>1782</v>
      </c>
      <c r="P3576" s="392"/>
      <c r="Q3576" s="327"/>
      <c r="R3576" s="351"/>
      <c r="S3576" s="351"/>
      <c r="T3576" s="351"/>
      <c r="U3576" s="329" t="str">
        <f>IF($N3576=$N$4,IFERROR(INDEX(DanhMuc!$E$154:$E$165,MATCH(MID($B3576,4,2),DanhMuc!$B$154:$B$165,0)),""),"")</f>
        <v/>
      </c>
      <c r="V3576" s="361"/>
      <c r="W3576" s="345"/>
      <c r="X3576" s="329" t="str">
        <f t="shared" si="331"/>
        <v>GQ</v>
      </c>
      <c r="Y3576" s="1128" t="s">
        <v>3380</v>
      </c>
      <c r="Z3576" s="1128" t="s">
        <v>3381</v>
      </c>
      <c r="AA3576" s="1128" t="s">
        <v>3384</v>
      </c>
      <c r="AB3576" s="20"/>
      <c r="AC3576" s="73"/>
    </row>
    <row r="3577" spans="1:29">
      <c r="A3577" s="327" t="str">
        <f>IF(AND($B3577&lt;&gt;"",$C3577&lt;&gt;""),MAX($A$1556:A3552)+1,"")</f>
        <v/>
      </c>
      <c r="B3577" s="361" t="s">
        <v>2016</v>
      </c>
      <c r="C3577" s="360"/>
      <c r="D3577" s="327">
        <f>IF($B3577="","",COUNTIF($B$6:$B3577,$B3577))</f>
        <v>5</v>
      </c>
      <c r="E3577" s="419" t="s">
        <v>1035</v>
      </c>
      <c r="F3577" s="417" t="s">
        <v>1036</v>
      </c>
      <c r="G3577" s="418" t="s">
        <v>155</v>
      </c>
      <c r="H3577" s="419"/>
      <c r="I3577" s="416" t="s">
        <v>1323</v>
      </c>
      <c r="J3577" s="421"/>
      <c r="K3577" s="418"/>
      <c r="L3577" s="420">
        <v>49000</v>
      </c>
      <c r="M3577" s="371"/>
      <c r="N3577" s="355" t="str">
        <f t="shared" si="332"/>
        <v>PK</v>
      </c>
      <c r="O3577" s="345" t="s">
        <v>1782</v>
      </c>
      <c r="P3577" s="392"/>
      <c r="Q3577" s="327"/>
      <c r="R3577" s="351"/>
      <c r="S3577" s="351"/>
      <c r="T3577" s="351"/>
      <c r="U3577" s="329" t="str">
        <f>IF($N3577=$N$4,IFERROR(INDEX(DanhMuc!$E$154:$E$165,MATCH(MID($B3577,4,2),DanhMuc!$B$154:$B$165,0)),""),"")</f>
        <v/>
      </c>
      <c r="V3577" s="361"/>
      <c r="W3577" s="345"/>
      <c r="X3577" s="329" t="str">
        <f t="shared" si="331"/>
        <v>GQ</v>
      </c>
      <c r="Y3577" s="1128" t="s">
        <v>3380</v>
      </c>
      <c r="Z3577" s="1128" t="s">
        <v>3381</v>
      </c>
      <c r="AA3577" s="1128" t="s">
        <v>3384</v>
      </c>
      <c r="AB3577" s="20"/>
      <c r="AC3577" s="73"/>
    </row>
    <row r="3578" spans="1:29">
      <c r="A3578" s="327" t="str">
        <f>IF(AND($B3578&lt;&gt;"",$C3578&lt;&gt;""),MAX($A$1556:A3553)+1,"")</f>
        <v/>
      </c>
      <c r="B3578" s="361" t="s">
        <v>2016</v>
      </c>
      <c r="C3578" s="360"/>
      <c r="D3578" s="327">
        <f>IF($B3578="","",COUNTIF($B$6:$B3578,$B3578))</f>
        <v>6</v>
      </c>
      <c r="E3578" s="419" t="s">
        <v>1037</v>
      </c>
      <c r="F3578" s="417" t="s">
        <v>1038</v>
      </c>
      <c r="G3578" s="418" t="s">
        <v>155</v>
      </c>
      <c r="H3578" s="419"/>
      <c r="I3578" s="416" t="s">
        <v>1324</v>
      </c>
      <c r="J3578" s="421"/>
      <c r="K3578" s="418"/>
      <c r="L3578" s="420">
        <v>55000</v>
      </c>
      <c r="M3578" s="371"/>
      <c r="N3578" s="355" t="str">
        <f t="shared" si="332"/>
        <v>PK</v>
      </c>
      <c r="O3578" s="345" t="s">
        <v>1782</v>
      </c>
      <c r="P3578" s="392"/>
      <c r="Q3578" s="327"/>
      <c r="R3578" s="351"/>
      <c r="S3578" s="351"/>
      <c r="T3578" s="351"/>
      <c r="U3578" s="329" t="str">
        <f>IF($N3578=$N$4,IFERROR(INDEX(DanhMuc!$E$154:$E$165,MATCH(MID($B3578,4,2),DanhMuc!$B$154:$B$165,0)),""),"")</f>
        <v/>
      </c>
      <c r="V3578" s="361"/>
      <c r="W3578" s="345"/>
      <c r="X3578" s="329" t="str">
        <f t="shared" si="331"/>
        <v>GQ</v>
      </c>
      <c r="Y3578" s="1128" t="s">
        <v>3380</v>
      </c>
      <c r="Z3578" s="1128" t="s">
        <v>3381</v>
      </c>
      <c r="AA3578" s="1128" t="s">
        <v>3384</v>
      </c>
      <c r="AB3578" s="20"/>
      <c r="AC3578" s="73"/>
    </row>
    <row r="3579" spans="1:29">
      <c r="A3579" s="327" t="str">
        <f>IF(AND($B3579&lt;&gt;"",$C3579&lt;&gt;""),MAX($A$1556:A3554)+1,"")</f>
        <v/>
      </c>
      <c r="B3579" s="361" t="s">
        <v>2016</v>
      </c>
      <c r="C3579" s="360"/>
      <c r="D3579" s="327">
        <f>IF($B3579="","",COUNTIF($B$6:$B3579,$B3579))</f>
        <v>7</v>
      </c>
      <c r="E3579" s="419" t="s">
        <v>1039</v>
      </c>
      <c r="F3579" s="417" t="s">
        <v>1040</v>
      </c>
      <c r="G3579" s="418" t="s">
        <v>155</v>
      </c>
      <c r="H3579" s="419"/>
      <c r="I3579" s="416" t="s">
        <v>1251</v>
      </c>
      <c r="J3579" s="421"/>
      <c r="K3579" s="418"/>
      <c r="L3579" s="420">
        <v>60000</v>
      </c>
      <c r="M3579" s="371"/>
      <c r="N3579" s="355" t="str">
        <f t="shared" si="332"/>
        <v>PK</v>
      </c>
      <c r="O3579" s="345" t="s">
        <v>1782</v>
      </c>
      <c r="P3579" s="392"/>
      <c r="Q3579" s="327"/>
      <c r="R3579" s="351"/>
      <c r="S3579" s="351"/>
      <c r="T3579" s="351"/>
      <c r="U3579" s="329" t="str">
        <f>IF($N3579=$N$4,IFERROR(INDEX(DanhMuc!$E$154:$E$165,MATCH(MID($B3579,4,2),DanhMuc!$B$154:$B$165,0)),""),"")</f>
        <v/>
      </c>
      <c r="V3579" s="361"/>
      <c r="W3579" s="345"/>
      <c r="X3579" s="329" t="str">
        <f t="shared" si="331"/>
        <v>GQ</v>
      </c>
      <c r="Y3579" s="1128" t="s">
        <v>3380</v>
      </c>
      <c r="Z3579" s="1128" t="s">
        <v>3381</v>
      </c>
      <c r="AA3579" s="1128" t="s">
        <v>3384</v>
      </c>
      <c r="AB3579" s="20"/>
      <c r="AC3579" s="73"/>
    </row>
    <row r="3580" spans="1:29">
      <c r="A3580" s="327" t="str">
        <f>IF(AND($B3580&lt;&gt;"",$C3580&lt;&gt;""),MAX($A$1556:A3555)+1,"")</f>
        <v/>
      </c>
      <c r="B3580" s="361" t="s">
        <v>2016</v>
      </c>
      <c r="C3580" s="360"/>
      <c r="D3580" s="327">
        <f>IF($B3580="","",COUNTIF($B$6:$B3580,$B3580))</f>
        <v>8</v>
      </c>
      <c r="E3580" s="419" t="s">
        <v>1078</v>
      </c>
      <c r="F3580" s="417" t="s">
        <v>1041</v>
      </c>
      <c r="G3580" s="418" t="s">
        <v>155</v>
      </c>
      <c r="H3580" s="419"/>
      <c r="I3580" s="416" t="s">
        <v>1252</v>
      </c>
      <c r="J3580" s="421"/>
      <c r="K3580" s="418"/>
      <c r="L3580" s="420">
        <v>70000</v>
      </c>
      <c r="M3580" s="371"/>
      <c r="N3580" s="355" t="str">
        <f t="shared" si="332"/>
        <v>PK</v>
      </c>
      <c r="O3580" s="345" t="s">
        <v>1782</v>
      </c>
      <c r="P3580" s="392"/>
      <c r="Q3580" s="327"/>
      <c r="R3580" s="351"/>
      <c r="S3580" s="351"/>
      <c r="T3580" s="351"/>
      <c r="U3580" s="329" t="str">
        <f>IF($N3580=$N$4,IFERROR(INDEX(DanhMuc!$E$154:$E$165,MATCH(MID($B3580,4,2),DanhMuc!$B$154:$B$165,0)),""),"")</f>
        <v/>
      </c>
      <c r="V3580" s="361"/>
      <c r="W3580" s="345"/>
      <c r="X3580" s="329" t="str">
        <f t="shared" si="331"/>
        <v>GQ</v>
      </c>
      <c r="Y3580" s="1128" t="s">
        <v>3380</v>
      </c>
      <c r="Z3580" s="1128" t="s">
        <v>3381</v>
      </c>
      <c r="AA3580" s="1128" t="s">
        <v>3384</v>
      </c>
      <c r="AB3580" s="20"/>
      <c r="AC3580" s="73"/>
    </row>
    <row r="3581" spans="1:29">
      <c r="A3581" s="327" t="str">
        <f>IF(AND($B3581&lt;&gt;"",$C3581&lt;&gt;""),MAX($A$1556:A3556)+1,"")</f>
        <v/>
      </c>
      <c r="B3581" s="361" t="s">
        <v>2016</v>
      </c>
      <c r="C3581" s="360"/>
      <c r="D3581" s="327">
        <f>IF($B3581="","",COUNTIF($B$6:$B3581,$B3581))</f>
        <v>9</v>
      </c>
      <c r="E3581" s="419" t="s">
        <v>1042</v>
      </c>
      <c r="F3581" s="417" t="s">
        <v>1043</v>
      </c>
      <c r="G3581" s="418" t="s">
        <v>155</v>
      </c>
      <c r="H3581" s="419"/>
      <c r="I3581" s="416" t="s">
        <v>1253</v>
      </c>
      <c r="J3581" s="421"/>
      <c r="K3581" s="418"/>
      <c r="L3581" s="420">
        <v>79000</v>
      </c>
      <c r="M3581" s="371"/>
      <c r="N3581" s="355" t="str">
        <f t="shared" si="332"/>
        <v>PK</v>
      </c>
      <c r="O3581" s="345" t="s">
        <v>1782</v>
      </c>
      <c r="P3581" s="392"/>
      <c r="Q3581" s="327"/>
      <c r="R3581" s="351"/>
      <c r="S3581" s="351"/>
      <c r="T3581" s="351"/>
      <c r="U3581" s="329" t="str">
        <f>IF($N3581=$N$4,IFERROR(INDEX(DanhMuc!$E$154:$E$165,MATCH(MID($B3581,4,2),DanhMuc!$B$154:$B$165,0)),""),"")</f>
        <v/>
      </c>
      <c r="V3581" s="361"/>
      <c r="W3581" s="345"/>
      <c r="X3581" s="329" t="str">
        <f t="shared" si="331"/>
        <v>GQ</v>
      </c>
      <c r="Y3581" s="1128" t="s">
        <v>3380</v>
      </c>
      <c r="Z3581" s="1128" t="s">
        <v>3381</v>
      </c>
      <c r="AA3581" s="1128" t="s">
        <v>3384</v>
      </c>
      <c r="AB3581" s="20"/>
      <c r="AC3581" s="73"/>
    </row>
    <row r="3582" spans="1:29">
      <c r="A3582" s="327" t="str">
        <f>IF(AND($B3582&lt;&gt;"",$C3582&lt;&gt;""),MAX($A$1556:A3557)+1,"")</f>
        <v/>
      </c>
      <c r="B3582" s="361" t="s">
        <v>2016</v>
      </c>
      <c r="C3582" s="360"/>
      <c r="D3582" s="327">
        <f>IF($B3582="","",COUNTIF($B$6:$B3582,$B3582))</f>
        <v>10</v>
      </c>
      <c r="E3582" s="419" t="s">
        <v>1044</v>
      </c>
      <c r="F3582" s="417" t="s">
        <v>1045</v>
      </c>
      <c r="G3582" s="418" t="s">
        <v>155</v>
      </c>
      <c r="H3582" s="419"/>
      <c r="I3582" s="416" t="s">
        <v>1254</v>
      </c>
      <c r="J3582" s="421"/>
      <c r="K3582" s="418"/>
      <c r="L3582" s="420">
        <v>88000</v>
      </c>
      <c r="M3582" s="371"/>
      <c r="N3582" s="355" t="str">
        <f t="shared" si="332"/>
        <v>PK</v>
      </c>
      <c r="O3582" s="345" t="s">
        <v>1782</v>
      </c>
      <c r="P3582" s="392"/>
      <c r="Q3582" s="327"/>
      <c r="R3582" s="351"/>
      <c r="S3582" s="351"/>
      <c r="T3582" s="351"/>
      <c r="U3582" s="329" t="str">
        <f>IF($N3582=$N$4,IFERROR(INDEX(DanhMuc!$E$154:$E$165,MATCH(MID($B3582,4,2),DanhMuc!$B$154:$B$165,0)),""),"")</f>
        <v/>
      </c>
      <c r="V3582" s="361"/>
      <c r="W3582" s="345"/>
      <c r="X3582" s="329" t="str">
        <f t="shared" si="331"/>
        <v>GQ</v>
      </c>
      <c r="Y3582" s="1128" t="s">
        <v>3380</v>
      </c>
      <c r="Z3582" s="1128" t="s">
        <v>3381</v>
      </c>
      <c r="AA3582" s="1128" t="s">
        <v>3384</v>
      </c>
      <c r="AB3582" s="20"/>
      <c r="AC3582" s="73"/>
    </row>
    <row r="3583" spans="1:29">
      <c r="A3583" s="327" t="str">
        <f>IF(AND($B3583&lt;&gt;"",$C3583&lt;&gt;""),MAX($A$1556:A3558)+1,"")</f>
        <v/>
      </c>
      <c r="B3583" s="361" t="s">
        <v>2016</v>
      </c>
      <c r="C3583" s="360"/>
      <c r="D3583" s="327">
        <f>IF($B3583="","",COUNTIF($B$6:$B3583,$B3583))</f>
        <v>11</v>
      </c>
      <c r="E3583" s="419" t="s">
        <v>1046</v>
      </c>
      <c r="F3583" s="417" t="s">
        <v>1047</v>
      </c>
      <c r="G3583" s="418" t="s">
        <v>155</v>
      </c>
      <c r="H3583" s="419"/>
      <c r="I3583" s="416" t="s">
        <v>1255</v>
      </c>
      <c r="J3583" s="421"/>
      <c r="K3583" s="418"/>
      <c r="L3583" s="420">
        <v>95000</v>
      </c>
      <c r="M3583" s="371"/>
      <c r="N3583" s="355" t="str">
        <f t="shared" si="332"/>
        <v>PK</v>
      </c>
      <c r="O3583" s="345" t="s">
        <v>1782</v>
      </c>
      <c r="P3583" s="392"/>
      <c r="Q3583" s="327"/>
      <c r="R3583" s="351"/>
      <c r="S3583" s="351"/>
      <c r="T3583" s="351"/>
      <c r="U3583" s="329" t="str">
        <f>IF($N3583=$N$4,IFERROR(INDEX(DanhMuc!$E$154:$E$165,MATCH(MID($B3583,4,2),DanhMuc!$B$154:$B$165,0)),""),"")</f>
        <v/>
      </c>
      <c r="V3583" s="361"/>
      <c r="W3583" s="345"/>
      <c r="X3583" s="329" t="str">
        <f t="shared" si="331"/>
        <v>GQ</v>
      </c>
      <c r="Y3583" s="1128" t="s">
        <v>3380</v>
      </c>
      <c r="Z3583" s="1128" t="s">
        <v>3381</v>
      </c>
      <c r="AA3583" s="1128" t="s">
        <v>3384</v>
      </c>
      <c r="AB3583" s="20"/>
      <c r="AC3583" s="73"/>
    </row>
    <row r="3584" spans="1:29">
      <c r="A3584" s="327" t="str">
        <f>IF(AND($B3584&lt;&gt;"",$C3584&lt;&gt;""),MAX($A$1556:A3559)+1,"")</f>
        <v/>
      </c>
      <c r="B3584" s="361" t="s">
        <v>2016</v>
      </c>
      <c r="C3584" s="360"/>
      <c r="D3584" s="327">
        <f>IF($B3584="","",COUNTIF($B$6:$B3584,$B3584))</f>
        <v>12</v>
      </c>
      <c r="E3584" s="419" t="s">
        <v>1048</v>
      </c>
      <c r="F3584" s="417" t="s">
        <v>1049</v>
      </c>
      <c r="G3584" s="418" t="s">
        <v>155</v>
      </c>
      <c r="H3584" s="419"/>
      <c r="I3584" s="416" t="s">
        <v>1325</v>
      </c>
      <c r="J3584" s="421"/>
      <c r="K3584" s="418"/>
      <c r="L3584" s="420">
        <v>135000</v>
      </c>
      <c r="M3584" s="371"/>
      <c r="N3584" s="355" t="str">
        <f t="shared" si="332"/>
        <v>PK</v>
      </c>
      <c r="O3584" s="345" t="s">
        <v>1782</v>
      </c>
      <c r="P3584" s="392"/>
      <c r="Q3584" s="327"/>
      <c r="R3584" s="351"/>
      <c r="S3584" s="351"/>
      <c r="T3584" s="351"/>
      <c r="U3584" s="329" t="str">
        <f>IF($N3584=$N$4,IFERROR(INDEX(DanhMuc!$E$154:$E$165,MATCH(MID($B3584,4,2),DanhMuc!$B$154:$B$165,0)),""),"")</f>
        <v/>
      </c>
      <c r="V3584" s="361"/>
      <c r="W3584" s="345"/>
      <c r="X3584" s="329" t="str">
        <f t="shared" si="331"/>
        <v>GQ</v>
      </c>
      <c r="Y3584" s="1128" t="s">
        <v>3380</v>
      </c>
      <c r="Z3584" s="1128" t="s">
        <v>3381</v>
      </c>
      <c r="AA3584" s="1128" t="s">
        <v>3384</v>
      </c>
      <c r="AB3584" s="20"/>
      <c r="AC3584" s="73"/>
    </row>
    <row r="3585" spans="1:29">
      <c r="A3585" s="327" t="str">
        <f>IF(AND($B3585&lt;&gt;"",$C3585&lt;&gt;""),MAX($A$1556:A3560)+1,"")</f>
        <v/>
      </c>
      <c r="B3585" s="361" t="s">
        <v>2016</v>
      </c>
      <c r="C3585" s="360"/>
      <c r="D3585" s="327">
        <f>IF($B3585="","",COUNTIF($B$6:$B3585,$B3585))</f>
        <v>13</v>
      </c>
      <c r="E3585" s="419">
        <v>14506</v>
      </c>
      <c r="F3585" s="417" t="s">
        <v>1051</v>
      </c>
      <c r="G3585" s="418" t="s">
        <v>155</v>
      </c>
      <c r="H3585" s="419"/>
      <c r="I3585" s="421" t="s">
        <v>1326</v>
      </c>
      <c r="J3585" s="421"/>
      <c r="K3585" s="418"/>
      <c r="L3585" s="420">
        <v>6500</v>
      </c>
      <c r="M3585" s="371"/>
      <c r="N3585" s="355" t="str">
        <f t="shared" si="332"/>
        <v>PK</v>
      </c>
      <c r="O3585" s="345" t="s">
        <v>1782</v>
      </c>
      <c r="P3585" s="392"/>
      <c r="Q3585" s="327"/>
      <c r="R3585" s="351"/>
      <c r="S3585" s="351"/>
      <c r="T3585" s="351"/>
      <c r="U3585" s="329" t="str">
        <f>IF($N3585=$N$4,IFERROR(INDEX(DanhMuc!$E$154:$E$165,MATCH(MID($B3585,4,2),DanhMuc!$B$154:$B$165,0)),""),"")</f>
        <v/>
      </c>
      <c r="V3585" s="361"/>
      <c r="W3585" s="345"/>
      <c r="X3585" s="329" t="str">
        <f t="shared" si="331"/>
        <v>GQ</v>
      </c>
      <c r="Y3585" s="1128" t="s">
        <v>3380</v>
      </c>
      <c r="Z3585" s="1128" t="s">
        <v>3381</v>
      </c>
      <c r="AA3585" s="1128" t="s">
        <v>3384</v>
      </c>
      <c r="AB3585" s="20"/>
      <c r="AC3585" s="73"/>
    </row>
    <row r="3586" spans="1:29">
      <c r="A3586" s="327" t="str">
        <f>IF(AND($B3586&lt;&gt;"",$C3586&lt;&gt;""),MAX($A$1556:A3561)+1,"")</f>
        <v/>
      </c>
      <c r="B3586" s="361" t="s">
        <v>2016</v>
      </c>
      <c r="C3586" s="360"/>
      <c r="D3586" s="327">
        <f>IF($B3586="","",COUNTIF($B$6:$B3586,$B3586))</f>
        <v>14</v>
      </c>
      <c r="E3586" s="426" t="s">
        <v>1099</v>
      </c>
      <c r="F3586" s="429" t="s">
        <v>1100</v>
      </c>
      <c r="G3586" s="425" t="s">
        <v>155</v>
      </c>
      <c r="H3586" s="426"/>
      <c r="I3586" s="425">
        <v>2</v>
      </c>
      <c r="J3586" s="427"/>
      <c r="K3586" s="425"/>
      <c r="L3586" s="428">
        <f>500000</f>
        <v>500000</v>
      </c>
      <c r="M3586" s="371"/>
      <c r="N3586" s="355" t="str">
        <f t="shared" si="332"/>
        <v>PK</v>
      </c>
      <c r="O3586" s="345" t="s">
        <v>1783</v>
      </c>
      <c r="P3586" s="392"/>
      <c r="Q3586" s="327"/>
      <c r="R3586" s="351"/>
      <c r="S3586" s="351"/>
      <c r="T3586" s="351"/>
      <c r="U3586" s="329" t="str">
        <f>IF($N3586=$N$4,IFERROR(INDEX(DanhMuc!$E$154:$E$165,MATCH(MID($B3586,4,2),DanhMuc!$B$154:$B$165,0)),""),"")</f>
        <v/>
      </c>
      <c r="V3586" s="361"/>
      <c r="W3586" s="345"/>
      <c r="X3586" s="329" t="str">
        <f t="shared" si="331"/>
        <v>GQ</v>
      </c>
      <c r="Y3586" s="1128" t="s">
        <v>3380</v>
      </c>
      <c r="Z3586" s="1128" t="s">
        <v>3381</v>
      </c>
      <c r="AA3586" s="1128" t="s">
        <v>3384</v>
      </c>
      <c r="AB3586" s="20"/>
      <c r="AC3586" s="73"/>
    </row>
    <row r="3587" spans="1:29">
      <c r="A3587" s="327" t="str">
        <f>IF(AND($B3587&lt;&gt;"",$C3587&lt;&gt;""),MAX($A$1556:A3562)+1,"")</f>
        <v/>
      </c>
      <c r="B3587" s="361" t="s">
        <v>2016</v>
      </c>
      <c r="C3587" s="360"/>
      <c r="D3587" s="327">
        <f>IF($B3587="","",COUNTIF($B$6:$B3587,$B3587))</f>
        <v>15</v>
      </c>
      <c r="E3587" s="426" t="s">
        <v>1085</v>
      </c>
      <c r="F3587" s="429" t="s">
        <v>1101</v>
      </c>
      <c r="G3587" s="425" t="s">
        <v>155</v>
      </c>
      <c r="H3587" s="426"/>
      <c r="I3587" s="425">
        <v>2</v>
      </c>
      <c r="J3587" s="427"/>
      <c r="K3587" s="425"/>
      <c r="L3587" s="428">
        <v>1</v>
      </c>
      <c r="M3587" s="371"/>
      <c r="N3587" s="355" t="str">
        <f t="shared" si="332"/>
        <v>PK</v>
      </c>
      <c r="O3587" s="345" t="s">
        <v>1787</v>
      </c>
      <c r="P3587" s="392"/>
      <c r="Q3587" s="327"/>
      <c r="R3587" s="351"/>
      <c r="S3587" s="351"/>
      <c r="T3587" s="351"/>
      <c r="U3587" s="329" t="str">
        <f>IF($N3587=$N$4,IFERROR(INDEX(DanhMuc!$E$154:$E$165,MATCH(MID($B3587,4,2),DanhMuc!$B$154:$B$165,0)),""),"")</f>
        <v/>
      </c>
      <c r="V3587" s="361"/>
      <c r="W3587" s="345"/>
      <c r="X3587" s="329" t="str">
        <f t="shared" si="331"/>
        <v>GQ</v>
      </c>
      <c r="Y3587" s="1128" t="s">
        <v>3380</v>
      </c>
      <c r="Z3587" s="1128" t="s">
        <v>3381</v>
      </c>
      <c r="AA3587" s="1128" t="s">
        <v>3384</v>
      </c>
      <c r="AB3587" s="20"/>
      <c r="AC3587" s="73"/>
    </row>
    <row r="3588" spans="1:29">
      <c r="A3588" s="327" t="str">
        <f>IF(AND($B3588&lt;&gt;"",$C3588&lt;&gt;""),MAX($A$1556:A3563)+1,"")</f>
        <v/>
      </c>
      <c r="B3588" s="361" t="s">
        <v>2016</v>
      </c>
      <c r="C3588" s="360"/>
      <c r="D3588" s="327">
        <f>IF($B3588="","",COUNTIF($B$6:$B3588,$B3588))</f>
        <v>16</v>
      </c>
      <c r="E3588" s="426" t="s">
        <v>1086</v>
      </c>
      <c r="F3588" s="429" t="s">
        <v>1087</v>
      </c>
      <c r="G3588" s="425" t="s">
        <v>155</v>
      </c>
      <c r="H3588" s="426"/>
      <c r="I3588" s="425">
        <v>2</v>
      </c>
      <c r="J3588" s="427"/>
      <c r="K3588" s="425"/>
      <c r="L3588" s="428">
        <v>1</v>
      </c>
      <c r="M3588" s="371"/>
      <c r="N3588" s="355" t="str">
        <f t="shared" si="332"/>
        <v>PK</v>
      </c>
      <c r="O3588" s="345" t="s">
        <v>1787</v>
      </c>
      <c r="P3588" s="392"/>
      <c r="Q3588" s="327"/>
      <c r="R3588" s="351"/>
      <c r="S3588" s="351"/>
      <c r="T3588" s="351"/>
      <c r="U3588" s="329" t="str">
        <f>IF($N3588=$N$4,IFERROR(INDEX(DanhMuc!$E$154:$E$165,MATCH(MID($B3588,4,2),DanhMuc!$B$154:$B$165,0)),""),"")</f>
        <v/>
      </c>
      <c r="V3588" s="361"/>
      <c r="W3588" s="345"/>
      <c r="X3588" s="329" t="str">
        <f t="shared" si="331"/>
        <v>GQ</v>
      </c>
      <c r="Y3588" s="1128" t="s">
        <v>3380</v>
      </c>
      <c r="Z3588" s="1128" t="s">
        <v>3381</v>
      </c>
      <c r="AA3588" s="1128" t="s">
        <v>3384</v>
      </c>
      <c r="AB3588" s="20"/>
      <c r="AC3588" s="73"/>
    </row>
    <row r="3589" spans="1:29">
      <c r="A3589" s="327" t="str">
        <f>IF(AND($B3589&lt;&gt;"",$C3589&lt;&gt;""),MAX($A$1556:A3564)+1,"")</f>
        <v/>
      </c>
      <c r="B3589" s="361" t="s">
        <v>2016</v>
      </c>
      <c r="C3589" s="360"/>
      <c r="D3589" s="327">
        <f>IF($B3589="","",COUNTIF($B$6:$B3589,$B3589))</f>
        <v>17</v>
      </c>
      <c r="E3589" s="426" t="s">
        <v>1079</v>
      </c>
      <c r="F3589" s="429" t="s">
        <v>2362</v>
      </c>
      <c r="G3589" s="425" t="s">
        <v>155</v>
      </c>
      <c r="H3589" s="426"/>
      <c r="I3589" s="423" t="s">
        <v>1327</v>
      </c>
      <c r="J3589" s="427"/>
      <c r="K3589" s="425"/>
      <c r="L3589" s="428">
        <f>360000-3-6500</f>
        <v>353497</v>
      </c>
      <c r="M3589" s="371"/>
      <c r="N3589" s="355" t="str">
        <f t="shared" si="332"/>
        <v>PK</v>
      </c>
      <c r="O3589" s="345" t="s">
        <v>1053</v>
      </c>
      <c r="P3589" s="392"/>
      <c r="Q3589" s="327"/>
      <c r="R3589" s="351"/>
      <c r="S3589" s="351"/>
      <c r="T3589" s="351"/>
      <c r="U3589" s="329" t="str">
        <f>IF($N3589=$N$4,IFERROR(INDEX(DanhMuc!$E$154:$E$165,MATCH(MID($B3589,4,2),DanhMuc!$B$154:$B$165,0)),""),"")</f>
        <v/>
      </c>
      <c r="V3589" s="361"/>
      <c r="W3589" s="345"/>
      <c r="X3589" s="329" t="str">
        <f t="shared" si="331"/>
        <v>GQ</v>
      </c>
      <c r="Y3589" s="1128" t="s">
        <v>3380</v>
      </c>
      <c r="Z3589" s="1128" t="s">
        <v>3381</v>
      </c>
      <c r="AA3589" s="1128" t="s">
        <v>3384</v>
      </c>
      <c r="AB3589" s="20"/>
      <c r="AC3589" s="73"/>
    </row>
    <row r="3590" spans="1:29">
      <c r="A3590" s="327" t="str">
        <f>IF(AND($B3590&lt;&gt;"",$C3590&lt;&gt;""),MAX($A$1556:A3565)+1,"")</f>
        <v/>
      </c>
      <c r="B3590" s="361" t="s">
        <v>2016</v>
      </c>
      <c r="C3590" s="360"/>
      <c r="D3590" s="327">
        <f>IF($B3590="","",COUNTIF($B$6:$B3590,$B3590))</f>
        <v>18</v>
      </c>
      <c r="E3590" s="426" t="s">
        <v>1080</v>
      </c>
      <c r="F3590" s="429" t="s">
        <v>2363</v>
      </c>
      <c r="G3590" s="425" t="s">
        <v>155</v>
      </c>
      <c r="H3590" s="426"/>
      <c r="I3590" s="423" t="s">
        <v>1255</v>
      </c>
      <c r="J3590" s="427"/>
      <c r="K3590" s="425"/>
      <c r="L3590" s="428">
        <f>370000-3-6500</f>
        <v>363497</v>
      </c>
      <c r="M3590" s="371"/>
      <c r="N3590" s="355" t="str">
        <f t="shared" si="332"/>
        <v>PK</v>
      </c>
      <c r="O3590" s="345" t="s">
        <v>1053</v>
      </c>
      <c r="P3590" s="392"/>
      <c r="Q3590" s="327"/>
      <c r="R3590" s="351"/>
      <c r="S3590" s="351"/>
      <c r="T3590" s="351"/>
      <c r="U3590" s="329" t="str">
        <f>IF($N3590=$N$4,IFERROR(INDEX(DanhMuc!$E$154:$E$165,MATCH(MID($B3590,4,2),DanhMuc!$B$154:$B$165,0)),""),"")</f>
        <v/>
      </c>
      <c r="V3590" s="361"/>
      <c r="W3590" s="345"/>
      <c r="X3590" s="329" t="str">
        <f t="shared" si="331"/>
        <v>GQ</v>
      </c>
      <c r="Y3590" s="1128" t="s">
        <v>3380</v>
      </c>
      <c r="Z3590" s="1128" t="s">
        <v>3381</v>
      </c>
      <c r="AA3590" s="1128" t="s">
        <v>3384</v>
      </c>
      <c r="AB3590" s="20"/>
      <c r="AC3590" s="73"/>
    </row>
    <row r="3591" spans="1:29">
      <c r="A3591" s="327" t="str">
        <f>IF(AND($B3591&lt;&gt;"",$C3591&lt;&gt;""),MAX($A$1556:A3566)+1,"")</f>
        <v/>
      </c>
      <c r="B3591" s="361" t="s">
        <v>2016</v>
      </c>
      <c r="C3591" s="360"/>
      <c r="D3591" s="327">
        <f>IF($B3591="","",COUNTIF($B$6:$B3591,$B3591))</f>
        <v>19</v>
      </c>
      <c r="E3591" s="426" t="s">
        <v>1081</v>
      </c>
      <c r="F3591" s="429" t="s">
        <v>2364</v>
      </c>
      <c r="G3591" s="425" t="s">
        <v>155</v>
      </c>
      <c r="H3591" s="426"/>
      <c r="I3591" s="423" t="s">
        <v>1328</v>
      </c>
      <c r="J3591" s="427"/>
      <c r="K3591" s="425"/>
      <c r="L3591" s="936" t="s">
        <v>2361</v>
      </c>
      <c r="M3591" s="371"/>
      <c r="N3591" s="355" t="str">
        <f t="shared" si="332"/>
        <v>PK</v>
      </c>
      <c r="O3591" s="345" t="s">
        <v>1053</v>
      </c>
      <c r="P3591" s="392"/>
      <c r="Q3591" s="327"/>
      <c r="R3591" s="351"/>
      <c r="S3591" s="351"/>
      <c r="T3591" s="351"/>
      <c r="U3591" s="329" t="str">
        <f>IF($N3591=$N$4,IFERROR(INDEX(DanhMuc!$E$154:$E$165,MATCH(MID($B3591,4,2),DanhMuc!$B$154:$B$165,0)),""),"")</f>
        <v/>
      </c>
      <c r="V3591" s="361"/>
      <c r="W3591" s="345"/>
      <c r="X3591" s="329" t="str">
        <f t="shared" si="331"/>
        <v>GQ</v>
      </c>
      <c r="Y3591" s="1128" t="s">
        <v>3380</v>
      </c>
      <c r="Z3591" s="1128" t="s">
        <v>3381</v>
      </c>
      <c r="AA3591" s="1128" t="s">
        <v>3384</v>
      </c>
      <c r="AB3591" s="20"/>
      <c r="AC3591" s="73"/>
    </row>
    <row r="3592" spans="1:29">
      <c r="A3592" s="327" t="str">
        <f>IF(AND($B3592&lt;&gt;"",$C3592&lt;&gt;""),MAX($A$1556:A3567)+1,"")</f>
        <v/>
      </c>
      <c r="B3592" s="361" t="s">
        <v>2016</v>
      </c>
      <c r="C3592" s="360"/>
      <c r="D3592" s="327">
        <f>IF($B3592="","",COUNTIF($B$6:$B3592,$B3592))</f>
        <v>20</v>
      </c>
      <c r="E3592" s="426" t="s">
        <v>1088</v>
      </c>
      <c r="F3592" s="429" t="s">
        <v>1090</v>
      </c>
      <c r="G3592" s="425" t="s">
        <v>155</v>
      </c>
      <c r="H3592" s="426"/>
      <c r="I3592" s="426">
        <v>2</v>
      </c>
      <c r="J3592" s="427"/>
      <c r="K3592" s="425"/>
      <c r="L3592" s="428">
        <v>1</v>
      </c>
      <c r="M3592" s="371"/>
      <c r="N3592" s="355" t="str">
        <f t="shared" si="332"/>
        <v>PK</v>
      </c>
      <c r="O3592" s="404" t="s">
        <v>641</v>
      </c>
      <c r="P3592" s="392"/>
      <c r="Q3592" s="434"/>
      <c r="R3592" s="351"/>
      <c r="S3592" s="351"/>
      <c r="T3592" s="351"/>
      <c r="U3592" s="329" t="str">
        <f>IF($N3592=$N$4,IFERROR(INDEX(DanhMuc!$E$154:$E$165,MATCH(MID($B3592,4,2),DanhMuc!$B$154:$B$165,0)),""),"")</f>
        <v/>
      </c>
      <c r="V3592" s="361"/>
      <c r="W3592" s="345"/>
      <c r="X3592" s="329" t="str">
        <f t="shared" si="331"/>
        <v>GQ</v>
      </c>
      <c r="Y3592" s="1128" t="s">
        <v>3380</v>
      </c>
      <c r="Z3592" s="1128" t="s">
        <v>3381</v>
      </c>
      <c r="AA3592" s="1128" t="s">
        <v>3384</v>
      </c>
      <c r="AB3592" s="20"/>
      <c r="AC3592" s="73"/>
    </row>
    <row r="3593" spans="1:29">
      <c r="A3593" s="327" t="str">
        <f>IF(AND($B3593&lt;&gt;"",$C3593&lt;&gt;""),MAX($A$1556:A3568)+1,"")</f>
        <v/>
      </c>
      <c r="B3593" s="361" t="s">
        <v>2016</v>
      </c>
      <c r="C3593" s="360"/>
      <c r="D3593" s="327">
        <f>IF($B3593="","",COUNTIF($B$6:$B3593,$B3593))</f>
        <v>21</v>
      </c>
      <c r="E3593" s="426" t="s">
        <v>1089</v>
      </c>
      <c r="F3593" s="429" t="s">
        <v>1091</v>
      </c>
      <c r="G3593" s="425" t="s">
        <v>155</v>
      </c>
      <c r="H3593" s="426"/>
      <c r="I3593" s="426">
        <v>2</v>
      </c>
      <c r="J3593" s="427"/>
      <c r="K3593" s="425"/>
      <c r="L3593" s="428">
        <v>1</v>
      </c>
      <c r="M3593" s="371"/>
      <c r="N3593" s="355" t="str">
        <f t="shared" si="332"/>
        <v>PK</v>
      </c>
      <c r="O3593" s="345" t="s">
        <v>2699</v>
      </c>
      <c r="P3593" s="392"/>
      <c r="Q3593" s="434"/>
      <c r="R3593" s="351"/>
      <c r="S3593" s="351"/>
      <c r="T3593" s="351"/>
      <c r="U3593" s="329" t="str">
        <f>IF($N3593=$N$4,IFERROR(INDEX(DanhMuc!$E$154:$E$165,MATCH(MID($B3593,4,2),DanhMuc!$B$154:$B$165,0)),""),"")</f>
        <v/>
      </c>
      <c r="V3593" s="361"/>
      <c r="W3593" s="345"/>
      <c r="X3593" s="329" t="str">
        <f t="shared" si="331"/>
        <v>GQ</v>
      </c>
      <c r="Y3593" s="1128" t="s">
        <v>3380</v>
      </c>
      <c r="Z3593" s="1128" t="s">
        <v>3381</v>
      </c>
      <c r="AA3593" s="1128" t="s">
        <v>3384</v>
      </c>
      <c r="AB3593" s="20"/>
      <c r="AC3593" s="73"/>
    </row>
    <row r="3594" spans="1:29">
      <c r="A3594" s="327" t="str">
        <f>IF(AND($B3594&lt;&gt;"",$C3594&lt;&gt;""),MAX($A$1556:A3569)+1,"")</f>
        <v/>
      </c>
      <c r="B3594" s="361" t="s">
        <v>2016</v>
      </c>
      <c r="C3594" s="360"/>
      <c r="D3594" s="327">
        <f>IF($B3594="","",COUNTIF($B$6:$B3594,$B3594))</f>
        <v>22</v>
      </c>
      <c r="E3594" s="426">
        <v>14506</v>
      </c>
      <c r="F3594" s="429" t="s">
        <v>1051</v>
      </c>
      <c r="G3594" s="425" t="s">
        <v>155</v>
      </c>
      <c r="H3594" s="426"/>
      <c r="I3594" s="427" t="s">
        <v>1329</v>
      </c>
      <c r="J3594" s="427"/>
      <c r="K3594" s="425"/>
      <c r="L3594" s="428">
        <v>6500</v>
      </c>
      <c r="M3594" s="371"/>
      <c r="N3594" s="355" t="str">
        <f t="shared" si="332"/>
        <v>PK</v>
      </c>
      <c r="O3594" s="345" t="s">
        <v>1053</v>
      </c>
      <c r="P3594" s="392"/>
      <c r="Q3594" s="327"/>
      <c r="R3594" s="351"/>
      <c r="S3594" s="351"/>
      <c r="T3594" s="351"/>
      <c r="U3594" s="329" t="str">
        <f>IF($N3594=$N$4,IFERROR(INDEX(DanhMuc!$E$154:$E$165,MATCH(MID($B3594,4,2),DanhMuc!$B$154:$B$165,0)),""),"")</f>
        <v/>
      </c>
      <c r="V3594" s="361"/>
      <c r="W3594" s="345"/>
      <c r="X3594" s="329" t="str">
        <f t="shared" si="331"/>
        <v>GQ</v>
      </c>
      <c r="Y3594" s="1128" t="s">
        <v>3380</v>
      </c>
      <c r="Z3594" s="1128" t="s">
        <v>3381</v>
      </c>
      <c r="AA3594" s="1128" t="s">
        <v>3384</v>
      </c>
      <c r="AB3594" s="20"/>
      <c r="AC3594" s="73"/>
    </row>
    <row r="3595" spans="1:29">
      <c r="A3595" s="327" t="str">
        <f>IF(AND($B3595&lt;&gt;"",$C3595&lt;&gt;""),MAX($A$1556:A3570)+1,"")</f>
        <v/>
      </c>
      <c r="B3595" s="361" t="s">
        <v>2016</v>
      </c>
      <c r="C3595" s="360"/>
      <c r="D3595" s="327">
        <f>IF($B3595="","",COUNTIF($B$6:$B3595,$B3595))</f>
        <v>23</v>
      </c>
      <c r="E3595" s="430" t="s">
        <v>1094</v>
      </c>
      <c r="F3595" s="431" t="s">
        <v>1092</v>
      </c>
      <c r="G3595" s="327" t="s">
        <v>155</v>
      </c>
      <c r="H3595" s="361"/>
      <c r="I3595" s="327">
        <v>4</v>
      </c>
      <c r="J3595" s="345"/>
      <c r="K3595" s="327"/>
      <c r="L3595" s="389">
        <v>280</v>
      </c>
      <c r="M3595" s="371"/>
      <c r="N3595" s="355" t="str">
        <f t="shared" si="332"/>
        <v>PK</v>
      </c>
      <c r="O3595" s="345"/>
      <c r="P3595" s="392"/>
      <c r="Q3595" s="327"/>
      <c r="R3595" s="351"/>
      <c r="S3595" s="351"/>
      <c r="T3595" s="351"/>
      <c r="U3595" s="329" t="str">
        <f>IF($N3595=$N$4,IFERROR(INDEX(DanhMuc!$E$154:$E$165,MATCH(MID($B3595,4,2),DanhMuc!$B$154:$B$165,0)),""),"")</f>
        <v/>
      </c>
      <c r="V3595" s="361"/>
      <c r="W3595" s="345"/>
      <c r="X3595" s="329" t="str">
        <f t="shared" si="331"/>
        <v>GQ</v>
      </c>
      <c r="Y3595" s="1128" t="s">
        <v>3380</v>
      </c>
      <c r="Z3595" s="1128" t="s">
        <v>3381</v>
      </c>
      <c r="AA3595" s="1128" t="s">
        <v>3384</v>
      </c>
      <c r="AB3595" s="20"/>
      <c r="AC3595" s="73"/>
    </row>
    <row r="3596" spans="1:29">
      <c r="A3596" s="327" t="str">
        <f>IF(AND($B3596&lt;&gt;"",$C3596&lt;&gt;""),MAX($A$1556:A3571)+1,"")</f>
        <v/>
      </c>
      <c r="B3596" s="361" t="s">
        <v>2016</v>
      </c>
      <c r="C3596" s="360"/>
      <c r="D3596" s="327">
        <f>IF($B3596="","",COUNTIF($B$6:$B3596,$B3596))</f>
        <v>24</v>
      </c>
      <c r="E3596" s="430" t="s">
        <v>1028</v>
      </c>
      <c r="F3596" s="431" t="s">
        <v>1029</v>
      </c>
      <c r="G3596" s="327" t="s">
        <v>155</v>
      </c>
      <c r="H3596" s="361"/>
      <c r="I3596" s="327">
        <v>2</v>
      </c>
      <c r="J3596" s="345"/>
      <c r="K3596" s="327"/>
      <c r="L3596" s="389">
        <v>2500</v>
      </c>
      <c r="M3596" s="371"/>
      <c r="N3596" s="355" t="str">
        <f t="shared" si="332"/>
        <v>PK</v>
      </c>
      <c r="O3596" s="345"/>
      <c r="P3596" s="392"/>
      <c r="Q3596" s="327"/>
      <c r="R3596" s="351"/>
      <c r="S3596" s="351"/>
      <c r="T3596" s="351"/>
      <c r="U3596" s="329" t="str">
        <f>IF($N3596=$N$4,IFERROR(INDEX(DanhMuc!$E$154:$E$165,MATCH(MID($B3596,4,2),DanhMuc!$B$154:$B$165,0)),""),"")</f>
        <v/>
      </c>
      <c r="V3596" s="361"/>
      <c r="W3596" s="345"/>
      <c r="X3596" s="329" t="str">
        <f t="shared" si="331"/>
        <v>GQ</v>
      </c>
      <c r="Y3596" s="1128" t="s">
        <v>3380</v>
      </c>
      <c r="Z3596" s="1128" t="s">
        <v>3381</v>
      </c>
      <c r="AA3596" s="1128" t="s">
        <v>3384</v>
      </c>
      <c r="AB3596" s="20"/>
      <c r="AC3596" s="73"/>
    </row>
    <row r="3597" spans="1:29">
      <c r="A3597" s="327" t="str">
        <f>IF(AND($B3597&lt;&gt;"",$C3597&lt;&gt;""),MAX($A$1556:A3572)+1,"")</f>
        <v/>
      </c>
      <c r="B3597" s="361" t="s">
        <v>2016</v>
      </c>
      <c r="C3597" s="360"/>
      <c r="D3597" s="327">
        <f>IF($B3597="","",COUNTIF($B$6:$B3597,$B3597))</f>
        <v>25</v>
      </c>
      <c r="E3597" s="430" t="s">
        <v>1062</v>
      </c>
      <c r="F3597" s="431" t="s">
        <v>1093</v>
      </c>
      <c r="G3597" s="327" t="s">
        <v>155</v>
      </c>
      <c r="H3597" s="361"/>
      <c r="I3597" s="327">
        <v>1</v>
      </c>
      <c r="J3597" s="345"/>
      <c r="K3597" s="327"/>
      <c r="L3597" s="389">
        <v>1500</v>
      </c>
      <c r="M3597" s="371"/>
      <c r="N3597" s="355" t="str">
        <f t="shared" si="332"/>
        <v>PK</v>
      </c>
      <c r="O3597" s="345"/>
      <c r="P3597" s="392"/>
      <c r="Q3597" s="327"/>
      <c r="R3597" s="351"/>
      <c r="S3597" s="351"/>
      <c r="T3597" s="351"/>
      <c r="U3597" s="329" t="str">
        <f>IF($N3597=$N$4,IFERROR(INDEX(DanhMuc!$E$154:$E$165,MATCH(MID($B3597,4,2),DanhMuc!$B$154:$B$165,0)),""),"")</f>
        <v/>
      </c>
      <c r="V3597" s="361"/>
      <c r="W3597" s="345"/>
      <c r="X3597" s="329" t="str">
        <f t="shared" si="331"/>
        <v>GQ</v>
      </c>
      <c r="Y3597" s="1128" t="s">
        <v>3380</v>
      </c>
      <c r="Z3597" s="1128" t="s">
        <v>3381</v>
      </c>
      <c r="AA3597" s="1128" t="s">
        <v>3384</v>
      </c>
      <c r="AB3597" s="20"/>
      <c r="AC3597" s="73"/>
    </row>
    <row r="3598" spans="1:29" ht="26">
      <c r="A3598" s="327">
        <f>IF(AND($B3598&lt;&gt;"",$C3598&lt;&gt;""),MAX($A$1556:A3573)+1,"")</f>
        <v>177</v>
      </c>
      <c r="B3598" s="359" t="s">
        <v>2017</v>
      </c>
      <c r="C3598" s="370" t="s">
        <v>1563</v>
      </c>
      <c r="D3598" s="327">
        <f>IF($B3598="","",COUNTIF($B$6:$B3598,$B3598))</f>
        <v>1</v>
      </c>
      <c r="E3598" s="430" t="s">
        <v>1033</v>
      </c>
      <c r="F3598" s="362" t="s">
        <v>1034</v>
      </c>
      <c r="G3598" s="327" t="s">
        <v>155</v>
      </c>
      <c r="H3598" s="361"/>
      <c r="I3598" s="327">
        <v>6</v>
      </c>
      <c r="J3598" s="361"/>
      <c r="K3598" s="327"/>
      <c r="L3598" s="389">
        <v>13000</v>
      </c>
      <c r="M3598" s="371"/>
      <c r="N3598" s="355" t="str">
        <f t="shared" si="332"/>
        <v>PK</v>
      </c>
      <c r="O3598" s="345"/>
      <c r="P3598" s="392"/>
      <c r="Q3598" s="327"/>
      <c r="R3598" s="351"/>
      <c r="S3598" s="351"/>
      <c r="T3598" s="351"/>
      <c r="U3598" s="329" t="str">
        <f>IF($N3598=$N$4,IFERROR(INDEX(DanhMuc!$E$154:$E$165,MATCH(MID($B3598,4,2),DanhMuc!$B$154:$B$165,0)),""),"")</f>
        <v/>
      </c>
      <c r="V3598" s="361"/>
      <c r="W3598" s="345"/>
      <c r="X3598" s="329" t="str">
        <f t="shared" si="331"/>
        <v>GQ</v>
      </c>
      <c r="Y3598" s="1128" t="s">
        <v>3380</v>
      </c>
      <c r="Z3598" s="1128" t="s">
        <v>3381</v>
      </c>
      <c r="AA3598" s="1128" t="s">
        <v>3384</v>
      </c>
      <c r="AB3598" s="20"/>
      <c r="AC3598" s="73"/>
    </row>
    <row r="3599" spans="1:29">
      <c r="A3599" s="327" t="str">
        <f>IF(AND($B3599&lt;&gt;"",$C3599&lt;&gt;""),MAX($A$1556:A3574)+1,"")</f>
        <v/>
      </c>
      <c r="B3599" s="361" t="s">
        <v>2017</v>
      </c>
      <c r="C3599" s="360"/>
      <c r="D3599" s="327">
        <f>IF($B3599="","",COUNTIF($B$6:$B3599,$B3599))</f>
        <v>2</v>
      </c>
      <c r="E3599" s="361" t="s">
        <v>1095</v>
      </c>
      <c r="F3599" s="362" t="s">
        <v>1096</v>
      </c>
      <c r="G3599" s="327" t="s">
        <v>344</v>
      </c>
      <c r="H3599" s="361"/>
      <c r="I3599" s="327">
        <v>3</v>
      </c>
      <c r="J3599" s="345"/>
      <c r="K3599" s="327"/>
      <c r="L3599" s="389">
        <v>28000</v>
      </c>
      <c r="M3599" s="371"/>
      <c r="N3599" s="355" t="str">
        <f t="shared" si="332"/>
        <v>PK</v>
      </c>
      <c r="O3599" s="345" t="s">
        <v>1052</v>
      </c>
      <c r="P3599" s="392"/>
      <c r="Q3599" s="327"/>
      <c r="R3599" s="351"/>
      <c r="S3599" s="351"/>
      <c r="T3599" s="351"/>
      <c r="U3599" s="329" t="str">
        <f>IF($N3599=$N$4,IFERROR(INDEX(DanhMuc!$E$154:$E$165,MATCH(MID($B3599,4,2),DanhMuc!$B$154:$B$165,0)),""),"")</f>
        <v/>
      </c>
      <c r="V3599" s="361"/>
      <c r="W3599" s="345"/>
      <c r="X3599" s="329" t="str">
        <f t="shared" si="331"/>
        <v>GQ</v>
      </c>
      <c r="Y3599" s="1128" t="s">
        <v>3380</v>
      </c>
      <c r="Z3599" s="1128" t="s">
        <v>3381</v>
      </c>
      <c r="AA3599" s="1128" t="s">
        <v>3384</v>
      </c>
      <c r="AB3599" s="20"/>
      <c r="AC3599" s="73"/>
    </row>
    <row r="3600" spans="1:29">
      <c r="A3600" s="327" t="str">
        <f>IF(AND($B3600&lt;&gt;"",$C3600&lt;&gt;""),MAX($A$1556:A3575)+1,"")</f>
        <v/>
      </c>
      <c r="B3600" s="361" t="s">
        <v>2017</v>
      </c>
      <c r="C3600" s="360"/>
      <c r="D3600" s="327">
        <f>IF($B3600="","",COUNTIF($B$6:$B3600,$B3600))</f>
        <v>3</v>
      </c>
      <c r="E3600" s="361" t="s">
        <v>1097</v>
      </c>
      <c r="F3600" s="362" t="s">
        <v>1098</v>
      </c>
      <c r="G3600" s="327" t="s">
        <v>155</v>
      </c>
      <c r="H3600" s="361"/>
      <c r="I3600" s="327">
        <v>2</v>
      </c>
      <c r="J3600" s="345"/>
      <c r="K3600" s="327"/>
      <c r="L3600" s="389">
        <v>36000</v>
      </c>
      <c r="M3600" s="371"/>
      <c r="N3600" s="355" t="str">
        <f t="shared" si="332"/>
        <v>PK</v>
      </c>
      <c r="O3600" s="345" t="s">
        <v>1781</v>
      </c>
      <c r="P3600" s="392"/>
      <c r="Q3600" s="327"/>
      <c r="R3600" s="351"/>
      <c r="S3600" s="351"/>
      <c r="T3600" s="351"/>
      <c r="U3600" s="329" t="str">
        <f>IF($N3600=$N$4,IFERROR(INDEX(DanhMuc!$E$154:$E$165,MATCH(MID($B3600,4,2),DanhMuc!$B$154:$B$165,0)),""),"")</f>
        <v/>
      </c>
      <c r="V3600" s="361"/>
      <c r="W3600" s="345"/>
      <c r="X3600" s="329" t="str">
        <f t="shared" si="331"/>
        <v>GQ</v>
      </c>
      <c r="Y3600" s="1128" t="s">
        <v>3380</v>
      </c>
      <c r="Z3600" s="1128" t="s">
        <v>3381</v>
      </c>
      <c r="AA3600" s="1128" t="s">
        <v>3384</v>
      </c>
      <c r="AB3600" s="20"/>
      <c r="AC3600" s="73"/>
    </row>
    <row r="3601" spans="1:29">
      <c r="A3601" s="327" t="str">
        <f>IF(AND($B3601&lt;&gt;"",$C3601&lt;&gt;""),MAX($A$1556:A3576)+1,"")</f>
        <v/>
      </c>
      <c r="B3601" s="361" t="s">
        <v>2017</v>
      </c>
      <c r="C3601" s="360"/>
      <c r="D3601" s="327">
        <f>IF($B3601="","",COUNTIF($B$6:$B3601,$B3601))</f>
        <v>4</v>
      </c>
      <c r="E3601" s="419" t="s">
        <v>1050</v>
      </c>
      <c r="F3601" s="417" t="s">
        <v>742</v>
      </c>
      <c r="G3601" s="418" t="s">
        <v>155</v>
      </c>
      <c r="H3601" s="419"/>
      <c r="I3601" s="418">
        <v>2</v>
      </c>
      <c r="J3601" s="421"/>
      <c r="K3601" s="418"/>
      <c r="L3601" s="420">
        <v>31000</v>
      </c>
      <c r="M3601" s="371"/>
      <c r="N3601" s="355" t="str">
        <f t="shared" si="332"/>
        <v>PK</v>
      </c>
      <c r="O3601" s="345" t="s">
        <v>1782</v>
      </c>
      <c r="P3601" s="392"/>
      <c r="Q3601" s="327"/>
      <c r="R3601" s="351"/>
      <c r="S3601" s="351"/>
      <c r="T3601" s="351"/>
      <c r="U3601" s="329" t="str">
        <f>IF($N3601=$N$4,IFERROR(INDEX(DanhMuc!$E$154:$E$165,MATCH(MID($B3601,4,2),DanhMuc!$B$154:$B$165,0)),""),"")</f>
        <v/>
      </c>
      <c r="V3601" s="361"/>
      <c r="W3601" s="345"/>
      <c r="X3601" s="329" t="str">
        <f t="shared" si="331"/>
        <v>GQ</v>
      </c>
      <c r="Y3601" s="1128" t="s">
        <v>3380</v>
      </c>
      <c r="Z3601" s="1128" t="s">
        <v>3381</v>
      </c>
      <c r="AA3601" s="1128" t="s">
        <v>3384</v>
      </c>
      <c r="AB3601" s="20"/>
      <c r="AC3601" s="73"/>
    </row>
    <row r="3602" spans="1:29">
      <c r="A3602" s="327" t="str">
        <f>IF(AND($B3602&lt;&gt;"",$C3602&lt;&gt;""),MAX($A$1556:A3577)+1,"")</f>
        <v/>
      </c>
      <c r="B3602" s="361" t="s">
        <v>2017</v>
      </c>
      <c r="C3602" s="360"/>
      <c r="D3602" s="327">
        <f>IF($B3602="","",COUNTIF($B$6:$B3602,$B3602))</f>
        <v>5</v>
      </c>
      <c r="E3602" s="419" t="s">
        <v>1035</v>
      </c>
      <c r="F3602" s="417" t="s">
        <v>1036</v>
      </c>
      <c r="G3602" s="418" t="s">
        <v>155</v>
      </c>
      <c r="H3602" s="419"/>
      <c r="I3602" s="416" t="s">
        <v>1323</v>
      </c>
      <c r="J3602" s="421"/>
      <c r="K3602" s="418"/>
      <c r="L3602" s="420">
        <v>49000</v>
      </c>
      <c r="M3602" s="371"/>
      <c r="N3602" s="355" t="str">
        <f t="shared" si="332"/>
        <v>PK</v>
      </c>
      <c r="O3602" s="345" t="s">
        <v>1782</v>
      </c>
      <c r="P3602" s="392"/>
      <c r="Q3602" s="327"/>
      <c r="R3602" s="351"/>
      <c r="S3602" s="351"/>
      <c r="T3602" s="351"/>
      <c r="U3602" s="329" t="str">
        <f>IF($N3602=$N$4,IFERROR(INDEX(DanhMuc!$E$154:$E$165,MATCH(MID($B3602,4,2),DanhMuc!$B$154:$B$165,0)),""),"")</f>
        <v/>
      </c>
      <c r="V3602" s="361"/>
      <c r="W3602" s="345"/>
      <c r="X3602" s="329" t="str">
        <f t="shared" si="331"/>
        <v>GQ</v>
      </c>
      <c r="Y3602" s="1128" t="s">
        <v>3380</v>
      </c>
      <c r="Z3602" s="1128" t="s">
        <v>3381</v>
      </c>
      <c r="AA3602" s="1128" t="s">
        <v>3384</v>
      </c>
      <c r="AB3602" s="20"/>
      <c r="AC3602" s="73"/>
    </row>
    <row r="3603" spans="1:29">
      <c r="A3603" s="327" t="str">
        <f>IF(AND($B3603&lt;&gt;"",$C3603&lt;&gt;""),MAX($A$1556:A3578)+1,"")</f>
        <v/>
      </c>
      <c r="B3603" s="361" t="s">
        <v>2017</v>
      </c>
      <c r="C3603" s="360"/>
      <c r="D3603" s="327">
        <f>IF($B3603="","",COUNTIF($B$6:$B3603,$B3603))</f>
        <v>6</v>
      </c>
      <c r="E3603" s="419" t="s">
        <v>1037</v>
      </c>
      <c r="F3603" s="417" t="s">
        <v>1038</v>
      </c>
      <c r="G3603" s="418" t="s">
        <v>155</v>
      </c>
      <c r="H3603" s="419"/>
      <c r="I3603" s="416" t="s">
        <v>1324</v>
      </c>
      <c r="J3603" s="421"/>
      <c r="K3603" s="418"/>
      <c r="L3603" s="420">
        <v>55000</v>
      </c>
      <c r="M3603" s="371"/>
      <c r="N3603" s="355" t="str">
        <f t="shared" si="332"/>
        <v>PK</v>
      </c>
      <c r="O3603" s="345" t="s">
        <v>1782</v>
      </c>
      <c r="P3603" s="392"/>
      <c r="Q3603" s="327"/>
      <c r="R3603" s="351"/>
      <c r="S3603" s="351"/>
      <c r="T3603" s="351"/>
      <c r="U3603" s="329" t="str">
        <f>IF($N3603=$N$4,IFERROR(INDEX(DanhMuc!$E$154:$E$165,MATCH(MID($B3603,4,2),DanhMuc!$B$154:$B$165,0)),""),"")</f>
        <v/>
      </c>
      <c r="V3603" s="361"/>
      <c r="W3603" s="345"/>
      <c r="X3603" s="329" t="str">
        <f t="shared" si="331"/>
        <v>GQ</v>
      </c>
      <c r="Y3603" s="1128" t="s">
        <v>3380</v>
      </c>
      <c r="Z3603" s="1128" t="s">
        <v>3381</v>
      </c>
      <c r="AA3603" s="1128" t="s">
        <v>3384</v>
      </c>
      <c r="AB3603" s="20"/>
      <c r="AC3603" s="73"/>
    </row>
    <row r="3604" spans="1:29">
      <c r="A3604" s="327" t="str">
        <f>IF(AND($B3604&lt;&gt;"",$C3604&lt;&gt;""),MAX($A$1556:A3579)+1,"")</f>
        <v/>
      </c>
      <c r="B3604" s="361" t="s">
        <v>2017</v>
      </c>
      <c r="C3604" s="360"/>
      <c r="D3604" s="327">
        <f>IF($B3604="","",COUNTIF($B$6:$B3604,$B3604))</f>
        <v>7</v>
      </c>
      <c r="E3604" s="419" t="s">
        <v>1039</v>
      </c>
      <c r="F3604" s="417" t="s">
        <v>1040</v>
      </c>
      <c r="G3604" s="418" t="s">
        <v>155</v>
      </c>
      <c r="H3604" s="419"/>
      <c r="I3604" s="416" t="s">
        <v>1251</v>
      </c>
      <c r="J3604" s="421"/>
      <c r="K3604" s="418"/>
      <c r="L3604" s="420">
        <v>60000</v>
      </c>
      <c r="M3604" s="371"/>
      <c r="N3604" s="355" t="str">
        <f t="shared" ref="N3604:N3635" si="333">+$N$1555</f>
        <v>PK</v>
      </c>
      <c r="O3604" s="345" t="s">
        <v>1782</v>
      </c>
      <c r="P3604" s="392"/>
      <c r="Q3604" s="327"/>
      <c r="R3604" s="351"/>
      <c r="S3604" s="351"/>
      <c r="T3604" s="351"/>
      <c r="U3604" s="329" t="str">
        <f>IF($N3604=$N$4,IFERROR(INDEX(DanhMuc!$E$154:$E$165,MATCH(MID($B3604,4,2),DanhMuc!$B$154:$B$165,0)),""),"")</f>
        <v/>
      </c>
      <c r="V3604" s="361"/>
      <c r="W3604" s="345"/>
      <c r="X3604" s="329" t="str">
        <f t="shared" si="331"/>
        <v>GQ</v>
      </c>
      <c r="Y3604" s="1128" t="s">
        <v>3380</v>
      </c>
      <c r="Z3604" s="1128" t="s">
        <v>3381</v>
      </c>
      <c r="AA3604" s="1128" t="s">
        <v>3384</v>
      </c>
      <c r="AB3604" s="20"/>
      <c r="AC3604" s="73"/>
    </row>
    <row r="3605" spans="1:29">
      <c r="A3605" s="327" t="str">
        <f>IF(AND($B3605&lt;&gt;"",$C3605&lt;&gt;""),MAX($A$1556:A3580)+1,"")</f>
        <v/>
      </c>
      <c r="B3605" s="361" t="s">
        <v>2017</v>
      </c>
      <c r="C3605" s="360"/>
      <c r="D3605" s="327">
        <f>IF($B3605="","",COUNTIF($B$6:$B3605,$B3605))</f>
        <v>8</v>
      </c>
      <c r="E3605" s="419" t="s">
        <v>1078</v>
      </c>
      <c r="F3605" s="417" t="s">
        <v>1041</v>
      </c>
      <c r="G3605" s="418" t="s">
        <v>155</v>
      </c>
      <c r="H3605" s="419"/>
      <c r="I3605" s="416" t="s">
        <v>1252</v>
      </c>
      <c r="J3605" s="421"/>
      <c r="K3605" s="418"/>
      <c r="L3605" s="420">
        <v>70000</v>
      </c>
      <c r="M3605" s="371"/>
      <c r="N3605" s="355" t="str">
        <f t="shared" si="333"/>
        <v>PK</v>
      </c>
      <c r="O3605" s="345" t="s">
        <v>1782</v>
      </c>
      <c r="P3605" s="392"/>
      <c r="Q3605" s="327"/>
      <c r="R3605" s="351"/>
      <c r="S3605" s="351"/>
      <c r="T3605" s="351"/>
      <c r="U3605" s="329" t="str">
        <f>IF($N3605=$N$4,IFERROR(INDEX(DanhMuc!$E$154:$E$165,MATCH(MID($B3605,4,2),DanhMuc!$B$154:$B$165,0)),""),"")</f>
        <v/>
      </c>
      <c r="V3605" s="361"/>
      <c r="W3605" s="345"/>
      <c r="X3605" s="329" t="str">
        <f t="shared" ref="X3605:X3668" si="334">IF($N3605="PR",$E3605,MID($B3605,10,2))</f>
        <v>GQ</v>
      </c>
      <c r="Y3605" s="1128" t="s">
        <v>3380</v>
      </c>
      <c r="Z3605" s="1128" t="s">
        <v>3381</v>
      </c>
      <c r="AA3605" s="1128" t="s">
        <v>3384</v>
      </c>
      <c r="AB3605" s="20"/>
      <c r="AC3605" s="73"/>
    </row>
    <row r="3606" spans="1:29">
      <c r="A3606" s="327" t="str">
        <f>IF(AND($B3606&lt;&gt;"",$C3606&lt;&gt;""),MAX($A$1556:A3581)+1,"")</f>
        <v/>
      </c>
      <c r="B3606" s="361" t="s">
        <v>2017</v>
      </c>
      <c r="C3606" s="360"/>
      <c r="D3606" s="327">
        <f>IF($B3606="","",COUNTIF($B$6:$B3606,$B3606))</f>
        <v>9</v>
      </c>
      <c r="E3606" s="419" t="s">
        <v>1042</v>
      </c>
      <c r="F3606" s="417" t="s">
        <v>1043</v>
      </c>
      <c r="G3606" s="418" t="s">
        <v>155</v>
      </c>
      <c r="H3606" s="419"/>
      <c r="I3606" s="416" t="s">
        <v>1253</v>
      </c>
      <c r="J3606" s="421"/>
      <c r="K3606" s="418"/>
      <c r="L3606" s="420">
        <v>79000</v>
      </c>
      <c r="M3606" s="371"/>
      <c r="N3606" s="355" t="str">
        <f t="shared" si="333"/>
        <v>PK</v>
      </c>
      <c r="O3606" s="345" t="s">
        <v>1782</v>
      </c>
      <c r="P3606" s="392"/>
      <c r="Q3606" s="327"/>
      <c r="R3606" s="351"/>
      <c r="S3606" s="351"/>
      <c r="T3606" s="351"/>
      <c r="U3606" s="329" t="str">
        <f>IF($N3606=$N$4,IFERROR(INDEX(DanhMuc!$E$154:$E$165,MATCH(MID($B3606,4,2),DanhMuc!$B$154:$B$165,0)),""),"")</f>
        <v/>
      </c>
      <c r="V3606" s="361"/>
      <c r="W3606" s="345"/>
      <c r="X3606" s="329" t="str">
        <f t="shared" si="334"/>
        <v>GQ</v>
      </c>
      <c r="Y3606" s="1128" t="s">
        <v>3380</v>
      </c>
      <c r="Z3606" s="1128" t="s">
        <v>3381</v>
      </c>
      <c r="AA3606" s="1128" t="s">
        <v>3384</v>
      </c>
      <c r="AB3606" s="20"/>
      <c r="AC3606" s="73"/>
    </row>
    <row r="3607" spans="1:29">
      <c r="A3607" s="327" t="str">
        <f>IF(AND($B3607&lt;&gt;"",$C3607&lt;&gt;""),MAX($A$1556:A3582)+1,"")</f>
        <v/>
      </c>
      <c r="B3607" s="361" t="s">
        <v>2017</v>
      </c>
      <c r="C3607" s="360"/>
      <c r="D3607" s="327">
        <f>IF($B3607="","",COUNTIF($B$6:$B3607,$B3607))</f>
        <v>10</v>
      </c>
      <c r="E3607" s="419" t="s">
        <v>1044</v>
      </c>
      <c r="F3607" s="417" t="s">
        <v>1045</v>
      </c>
      <c r="G3607" s="418" t="s">
        <v>155</v>
      </c>
      <c r="H3607" s="419"/>
      <c r="I3607" s="416" t="s">
        <v>1254</v>
      </c>
      <c r="J3607" s="421"/>
      <c r="K3607" s="418"/>
      <c r="L3607" s="420">
        <v>88000</v>
      </c>
      <c r="M3607" s="371"/>
      <c r="N3607" s="355" t="str">
        <f t="shared" si="333"/>
        <v>PK</v>
      </c>
      <c r="O3607" s="345" t="s">
        <v>1782</v>
      </c>
      <c r="P3607" s="392"/>
      <c r="Q3607" s="327"/>
      <c r="R3607" s="351"/>
      <c r="S3607" s="351"/>
      <c r="T3607" s="351"/>
      <c r="U3607" s="329" t="str">
        <f>IF($N3607=$N$4,IFERROR(INDEX(DanhMuc!$E$154:$E$165,MATCH(MID($B3607,4,2),DanhMuc!$B$154:$B$165,0)),""),"")</f>
        <v/>
      </c>
      <c r="V3607" s="361"/>
      <c r="W3607" s="345"/>
      <c r="X3607" s="329" t="str">
        <f t="shared" si="334"/>
        <v>GQ</v>
      </c>
      <c r="Y3607" s="1128" t="s">
        <v>3380</v>
      </c>
      <c r="Z3607" s="1128" t="s">
        <v>3381</v>
      </c>
      <c r="AA3607" s="1128" t="s">
        <v>3384</v>
      </c>
      <c r="AB3607" s="20"/>
      <c r="AC3607" s="73"/>
    </row>
    <row r="3608" spans="1:29">
      <c r="A3608" s="327" t="str">
        <f>IF(AND($B3608&lt;&gt;"",$C3608&lt;&gt;""),MAX($A$1556:A3583)+1,"")</f>
        <v/>
      </c>
      <c r="B3608" s="361" t="s">
        <v>2017</v>
      </c>
      <c r="C3608" s="360"/>
      <c r="D3608" s="327">
        <f>IF($B3608="","",COUNTIF($B$6:$B3608,$B3608))</f>
        <v>11</v>
      </c>
      <c r="E3608" s="419" t="s">
        <v>1046</v>
      </c>
      <c r="F3608" s="417" t="s">
        <v>1047</v>
      </c>
      <c r="G3608" s="418" t="s">
        <v>155</v>
      </c>
      <c r="H3608" s="419"/>
      <c r="I3608" s="416" t="s">
        <v>1255</v>
      </c>
      <c r="J3608" s="421"/>
      <c r="K3608" s="418"/>
      <c r="L3608" s="420">
        <v>95000</v>
      </c>
      <c r="M3608" s="371"/>
      <c r="N3608" s="355" t="str">
        <f t="shared" si="333"/>
        <v>PK</v>
      </c>
      <c r="O3608" s="345" t="s">
        <v>1782</v>
      </c>
      <c r="P3608" s="392"/>
      <c r="Q3608" s="327"/>
      <c r="R3608" s="351"/>
      <c r="S3608" s="351"/>
      <c r="T3608" s="351"/>
      <c r="U3608" s="329" t="str">
        <f>IF($N3608=$N$4,IFERROR(INDEX(DanhMuc!$E$154:$E$165,MATCH(MID($B3608,4,2),DanhMuc!$B$154:$B$165,0)),""),"")</f>
        <v/>
      </c>
      <c r="V3608" s="361"/>
      <c r="W3608" s="345"/>
      <c r="X3608" s="329" t="str">
        <f t="shared" si="334"/>
        <v>GQ</v>
      </c>
      <c r="Y3608" s="1128" t="s">
        <v>3380</v>
      </c>
      <c r="Z3608" s="1128" t="s">
        <v>3381</v>
      </c>
      <c r="AA3608" s="1128" t="s">
        <v>3384</v>
      </c>
      <c r="AB3608" s="20"/>
      <c r="AC3608" s="73"/>
    </row>
    <row r="3609" spans="1:29">
      <c r="A3609" s="327" t="str">
        <f>IF(AND($B3609&lt;&gt;"",$C3609&lt;&gt;""),MAX($A$1556:A3584)+1,"")</f>
        <v/>
      </c>
      <c r="B3609" s="361" t="s">
        <v>2017</v>
      </c>
      <c r="C3609" s="360"/>
      <c r="D3609" s="327">
        <f>IF($B3609="","",COUNTIF($B$6:$B3609,$B3609))</f>
        <v>12</v>
      </c>
      <c r="E3609" s="419" t="s">
        <v>1048</v>
      </c>
      <c r="F3609" s="417" t="s">
        <v>1049</v>
      </c>
      <c r="G3609" s="418" t="s">
        <v>155</v>
      </c>
      <c r="H3609" s="419"/>
      <c r="I3609" s="416" t="s">
        <v>1325</v>
      </c>
      <c r="J3609" s="421"/>
      <c r="K3609" s="418"/>
      <c r="L3609" s="420">
        <v>135000</v>
      </c>
      <c r="M3609" s="371"/>
      <c r="N3609" s="355" t="str">
        <f t="shared" si="333"/>
        <v>PK</v>
      </c>
      <c r="O3609" s="345" t="s">
        <v>1782</v>
      </c>
      <c r="P3609" s="392"/>
      <c r="Q3609" s="327"/>
      <c r="R3609" s="351"/>
      <c r="S3609" s="351"/>
      <c r="T3609" s="351"/>
      <c r="U3609" s="329" t="str">
        <f>IF($N3609=$N$4,IFERROR(INDEX(DanhMuc!$E$154:$E$165,MATCH(MID($B3609,4,2),DanhMuc!$B$154:$B$165,0)),""),"")</f>
        <v/>
      </c>
      <c r="V3609" s="361"/>
      <c r="W3609" s="345"/>
      <c r="X3609" s="329" t="str">
        <f t="shared" si="334"/>
        <v>GQ</v>
      </c>
      <c r="Y3609" s="1128" t="s">
        <v>3380</v>
      </c>
      <c r="Z3609" s="1128" t="s">
        <v>3381</v>
      </c>
      <c r="AA3609" s="1128" t="s">
        <v>3384</v>
      </c>
      <c r="AB3609" s="20"/>
      <c r="AC3609" s="73"/>
    </row>
    <row r="3610" spans="1:29">
      <c r="A3610" s="327" t="str">
        <f>IF(AND($B3610&lt;&gt;"",$C3610&lt;&gt;""),MAX($A$1556:A3585)+1,"")</f>
        <v/>
      </c>
      <c r="B3610" s="361" t="s">
        <v>2017</v>
      </c>
      <c r="C3610" s="360"/>
      <c r="D3610" s="327">
        <f>IF($B3610="","",COUNTIF($B$6:$B3610,$B3610))</f>
        <v>13</v>
      </c>
      <c r="E3610" s="419">
        <v>14506</v>
      </c>
      <c r="F3610" s="417" t="s">
        <v>1051</v>
      </c>
      <c r="G3610" s="418" t="s">
        <v>155</v>
      </c>
      <c r="H3610" s="419"/>
      <c r="I3610" s="421" t="s">
        <v>1326</v>
      </c>
      <c r="J3610" s="421"/>
      <c r="K3610" s="418"/>
      <c r="L3610" s="420">
        <v>6500</v>
      </c>
      <c r="M3610" s="371"/>
      <c r="N3610" s="355" t="str">
        <f t="shared" si="333"/>
        <v>PK</v>
      </c>
      <c r="O3610" s="345" t="s">
        <v>1782</v>
      </c>
      <c r="P3610" s="392"/>
      <c r="Q3610" s="327"/>
      <c r="R3610" s="351"/>
      <c r="S3610" s="351"/>
      <c r="T3610" s="351"/>
      <c r="U3610" s="329" t="str">
        <f>IF($N3610=$N$4,IFERROR(INDEX(DanhMuc!$E$154:$E$165,MATCH(MID($B3610,4,2),DanhMuc!$B$154:$B$165,0)),""),"")</f>
        <v/>
      </c>
      <c r="V3610" s="361"/>
      <c r="W3610" s="345"/>
      <c r="X3610" s="329" t="str">
        <f t="shared" si="334"/>
        <v>GQ</v>
      </c>
      <c r="Y3610" s="1128" t="s">
        <v>3380</v>
      </c>
      <c r="Z3610" s="1128" t="s">
        <v>3381</v>
      </c>
      <c r="AA3610" s="1128" t="s">
        <v>3384</v>
      </c>
      <c r="AB3610" s="20"/>
      <c r="AC3610" s="73"/>
    </row>
    <row r="3611" spans="1:29">
      <c r="A3611" s="327" t="str">
        <f>IF(AND($B3611&lt;&gt;"",$C3611&lt;&gt;""),MAX($A$1556:A3586)+1,"")</f>
        <v/>
      </c>
      <c r="B3611" s="361" t="s">
        <v>2017</v>
      </c>
      <c r="C3611" s="360"/>
      <c r="D3611" s="327">
        <f>IF($B3611="","",COUNTIF($B$6:$B3611,$B3611))</f>
        <v>14</v>
      </c>
      <c r="E3611" s="426" t="s">
        <v>1099</v>
      </c>
      <c r="F3611" s="429" t="s">
        <v>1100</v>
      </c>
      <c r="G3611" s="425" t="s">
        <v>155</v>
      </c>
      <c r="H3611" s="426"/>
      <c r="I3611" s="425">
        <v>2</v>
      </c>
      <c r="J3611" s="427"/>
      <c r="K3611" s="425"/>
      <c r="L3611" s="428">
        <v>500000</v>
      </c>
      <c r="M3611" s="371"/>
      <c r="N3611" s="355" t="str">
        <f t="shared" si="333"/>
        <v>PK</v>
      </c>
      <c r="O3611" s="345" t="s">
        <v>1783</v>
      </c>
      <c r="P3611" s="392"/>
      <c r="Q3611" s="327"/>
      <c r="R3611" s="351"/>
      <c r="S3611" s="351"/>
      <c r="T3611" s="351"/>
      <c r="U3611" s="329" t="str">
        <f>IF($N3611=$N$4,IFERROR(INDEX(DanhMuc!$E$154:$E$165,MATCH(MID($B3611,4,2),DanhMuc!$B$154:$B$165,0)),""),"")</f>
        <v/>
      </c>
      <c r="V3611" s="361"/>
      <c r="W3611" s="345"/>
      <c r="X3611" s="329" t="str">
        <f t="shared" si="334"/>
        <v>GQ</v>
      </c>
      <c r="Y3611" s="1128" t="s">
        <v>3380</v>
      </c>
      <c r="Z3611" s="1128" t="s">
        <v>3381</v>
      </c>
      <c r="AA3611" s="1128" t="s">
        <v>3384</v>
      </c>
      <c r="AB3611" s="20"/>
      <c r="AC3611" s="73"/>
    </row>
    <row r="3612" spans="1:29">
      <c r="A3612" s="327" t="str">
        <f>IF(AND($B3612&lt;&gt;"",$C3612&lt;&gt;""),MAX($A$1556:A3587)+1,"")</f>
        <v/>
      </c>
      <c r="B3612" s="361" t="s">
        <v>2017</v>
      </c>
      <c r="C3612" s="360"/>
      <c r="D3612" s="327">
        <f>IF($B3612="","",COUNTIF($B$6:$B3612,$B3612))</f>
        <v>15</v>
      </c>
      <c r="E3612" s="426" t="s">
        <v>1085</v>
      </c>
      <c r="F3612" s="429" t="s">
        <v>1101</v>
      </c>
      <c r="G3612" s="425" t="s">
        <v>155</v>
      </c>
      <c r="H3612" s="426"/>
      <c r="I3612" s="425">
        <v>2</v>
      </c>
      <c r="J3612" s="427"/>
      <c r="K3612" s="425"/>
      <c r="L3612" s="428">
        <v>1</v>
      </c>
      <c r="M3612" s="371"/>
      <c r="N3612" s="355" t="str">
        <f t="shared" si="333"/>
        <v>PK</v>
      </c>
      <c r="O3612" s="345" t="s">
        <v>1787</v>
      </c>
      <c r="P3612" s="392"/>
      <c r="Q3612" s="327"/>
      <c r="R3612" s="351"/>
      <c r="S3612" s="351"/>
      <c r="T3612" s="351"/>
      <c r="U3612" s="329" t="str">
        <f>IF($N3612=$N$4,IFERROR(INDEX(DanhMuc!$E$154:$E$165,MATCH(MID($B3612,4,2),DanhMuc!$B$154:$B$165,0)),""),"")</f>
        <v/>
      </c>
      <c r="V3612" s="361"/>
      <c r="W3612" s="345"/>
      <c r="X3612" s="329" t="str">
        <f t="shared" si="334"/>
        <v>GQ</v>
      </c>
      <c r="Y3612" s="1128" t="s">
        <v>3380</v>
      </c>
      <c r="Z3612" s="1128" t="s">
        <v>3381</v>
      </c>
      <c r="AA3612" s="1128" t="s">
        <v>3384</v>
      </c>
      <c r="AB3612" s="20"/>
      <c r="AC3612" s="73"/>
    </row>
    <row r="3613" spans="1:29">
      <c r="A3613" s="327" t="str">
        <f>IF(AND($B3613&lt;&gt;"",$C3613&lt;&gt;""),MAX($A$1556:A3588)+1,"")</f>
        <v/>
      </c>
      <c r="B3613" s="361" t="s">
        <v>2017</v>
      </c>
      <c r="C3613" s="360"/>
      <c r="D3613" s="327">
        <f>IF($B3613="","",COUNTIF($B$6:$B3613,$B3613))</f>
        <v>16</v>
      </c>
      <c r="E3613" s="426" t="s">
        <v>1086</v>
      </c>
      <c r="F3613" s="429" t="s">
        <v>1087</v>
      </c>
      <c r="G3613" s="425" t="s">
        <v>155</v>
      </c>
      <c r="H3613" s="426"/>
      <c r="I3613" s="425">
        <v>2</v>
      </c>
      <c r="J3613" s="427"/>
      <c r="K3613" s="425"/>
      <c r="L3613" s="428">
        <v>1</v>
      </c>
      <c r="M3613" s="371"/>
      <c r="N3613" s="355" t="str">
        <f t="shared" si="333"/>
        <v>PK</v>
      </c>
      <c r="O3613" s="345" t="s">
        <v>1787</v>
      </c>
      <c r="P3613" s="392"/>
      <c r="Q3613" s="327"/>
      <c r="R3613" s="351"/>
      <c r="S3613" s="351"/>
      <c r="T3613" s="351"/>
      <c r="U3613" s="329" t="str">
        <f>IF($N3613=$N$4,IFERROR(INDEX(DanhMuc!$E$154:$E$165,MATCH(MID($B3613,4,2),DanhMuc!$B$154:$B$165,0)),""),"")</f>
        <v/>
      </c>
      <c r="V3613" s="361"/>
      <c r="W3613" s="345"/>
      <c r="X3613" s="329" t="str">
        <f t="shared" si="334"/>
        <v>GQ</v>
      </c>
      <c r="Y3613" s="1128" t="s">
        <v>3380</v>
      </c>
      <c r="Z3613" s="1128" t="s">
        <v>3381</v>
      </c>
      <c r="AA3613" s="1128" t="s">
        <v>3384</v>
      </c>
      <c r="AB3613" s="20"/>
      <c r="AC3613" s="73"/>
    </row>
    <row r="3614" spans="1:29">
      <c r="A3614" s="327" t="str">
        <f>IF(AND($B3614&lt;&gt;"",$C3614&lt;&gt;""),MAX($A$1556:A3589)+1,"")</f>
        <v/>
      </c>
      <c r="B3614" s="361" t="s">
        <v>2017</v>
      </c>
      <c r="C3614" s="360"/>
      <c r="D3614" s="327">
        <f>IF($B3614="","",COUNTIF($B$6:$B3614,$B3614))</f>
        <v>17</v>
      </c>
      <c r="E3614" s="426" t="s">
        <v>1079</v>
      </c>
      <c r="F3614" s="429" t="s">
        <v>1082</v>
      </c>
      <c r="G3614" s="425" t="s">
        <v>155</v>
      </c>
      <c r="H3614" s="426"/>
      <c r="I3614" s="423" t="s">
        <v>1327</v>
      </c>
      <c r="J3614" s="427"/>
      <c r="K3614" s="425"/>
      <c r="L3614" s="428">
        <f>360000-3-6500</f>
        <v>353497</v>
      </c>
      <c r="M3614" s="371"/>
      <c r="N3614" s="355" t="str">
        <f t="shared" si="333"/>
        <v>PK</v>
      </c>
      <c r="O3614" s="345" t="s">
        <v>1053</v>
      </c>
      <c r="P3614" s="392"/>
      <c r="Q3614" s="327"/>
      <c r="R3614" s="351"/>
      <c r="S3614" s="351"/>
      <c r="T3614" s="351"/>
      <c r="U3614" s="329" t="str">
        <f>IF($N3614=$N$4,IFERROR(INDEX(DanhMuc!$E$154:$E$165,MATCH(MID($B3614,4,2),DanhMuc!$B$154:$B$165,0)),""),"")</f>
        <v/>
      </c>
      <c r="V3614" s="361"/>
      <c r="W3614" s="345"/>
      <c r="X3614" s="329" t="str">
        <f t="shared" si="334"/>
        <v>GQ</v>
      </c>
      <c r="Y3614" s="1128" t="s">
        <v>3380</v>
      </c>
      <c r="Z3614" s="1128" t="s">
        <v>3381</v>
      </c>
      <c r="AA3614" s="1128" t="s">
        <v>3384</v>
      </c>
      <c r="AB3614" s="20"/>
      <c r="AC3614" s="73"/>
    </row>
    <row r="3615" spans="1:29">
      <c r="A3615" s="327" t="str">
        <f>IF(AND($B3615&lt;&gt;"",$C3615&lt;&gt;""),MAX($A$1556:A3590)+1,"")</f>
        <v/>
      </c>
      <c r="B3615" s="361" t="s">
        <v>2017</v>
      </c>
      <c r="C3615" s="360"/>
      <c r="D3615" s="327">
        <f>IF($B3615="","",COUNTIF($B$6:$B3615,$B3615))</f>
        <v>18</v>
      </c>
      <c r="E3615" s="426" t="s">
        <v>1080</v>
      </c>
      <c r="F3615" s="429" t="s">
        <v>1083</v>
      </c>
      <c r="G3615" s="425" t="s">
        <v>155</v>
      </c>
      <c r="H3615" s="426"/>
      <c r="I3615" s="423" t="s">
        <v>1255</v>
      </c>
      <c r="J3615" s="427"/>
      <c r="K3615" s="425"/>
      <c r="L3615" s="428">
        <f>370000-3-6500</f>
        <v>363497</v>
      </c>
      <c r="M3615" s="371"/>
      <c r="N3615" s="355" t="str">
        <f t="shared" si="333"/>
        <v>PK</v>
      </c>
      <c r="O3615" s="345" t="s">
        <v>1053</v>
      </c>
      <c r="P3615" s="392"/>
      <c r="Q3615" s="327"/>
      <c r="R3615" s="351"/>
      <c r="S3615" s="351"/>
      <c r="T3615" s="351"/>
      <c r="U3615" s="329" t="str">
        <f>IF($N3615=$N$4,IFERROR(INDEX(DanhMuc!$E$154:$E$165,MATCH(MID($B3615,4,2),DanhMuc!$B$154:$B$165,0)),""),"")</f>
        <v/>
      </c>
      <c r="V3615" s="361"/>
      <c r="W3615" s="345"/>
      <c r="X3615" s="329" t="str">
        <f t="shared" si="334"/>
        <v>GQ</v>
      </c>
      <c r="Y3615" s="1128" t="s">
        <v>3380</v>
      </c>
      <c r="Z3615" s="1128" t="s">
        <v>3381</v>
      </c>
      <c r="AA3615" s="1128" t="s">
        <v>3384</v>
      </c>
      <c r="AB3615" s="20"/>
      <c r="AC3615" s="73"/>
    </row>
    <row r="3616" spans="1:29">
      <c r="A3616" s="327" t="str">
        <f>IF(AND($B3616&lt;&gt;"",$C3616&lt;&gt;""),MAX($A$1556:A3591)+1,"")</f>
        <v/>
      </c>
      <c r="B3616" s="361" t="s">
        <v>2017</v>
      </c>
      <c r="C3616" s="360"/>
      <c r="D3616" s="327">
        <f>IF($B3616="","",COUNTIF($B$6:$B3616,$B3616))</f>
        <v>19</v>
      </c>
      <c r="E3616" s="426" t="s">
        <v>1081</v>
      </c>
      <c r="F3616" s="429" t="s">
        <v>1084</v>
      </c>
      <c r="G3616" s="425" t="s">
        <v>155</v>
      </c>
      <c r="H3616" s="426"/>
      <c r="I3616" s="423" t="s">
        <v>1328</v>
      </c>
      <c r="J3616" s="427"/>
      <c r="K3616" s="425"/>
      <c r="L3616" s="936" t="s">
        <v>2361</v>
      </c>
      <c r="M3616" s="371"/>
      <c r="N3616" s="355" t="str">
        <f t="shared" si="333"/>
        <v>PK</v>
      </c>
      <c r="O3616" s="345" t="s">
        <v>1053</v>
      </c>
      <c r="P3616" s="392"/>
      <c r="Q3616" s="327"/>
      <c r="R3616" s="351"/>
      <c r="S3616" s="351"/>
      <c r="T3616" s="351"/>
      <c r="U3616" s="329" t="str">
        <f>IF($N3616=$N$4,IFERROR(INDEX(DanhMuc!$E$154:$E$165,MATCH(MID($B3616,4,2),DanhMuc!$B$154:$B$165,0)),""),"")</f>
        <v/>
      </c>
      <c r="V3616" s="361"/>
      <c r="W3616" s="345"/>
      <c r="X3616" s="329" t="str">
        <f t="shared" si="334"/>
        <v>GQ</v>
      </c>
      <c r="Y3616" s="1128" t="s">
        <v>3380</v>
      </c>
      <c r="Z3616" s="1128" t="s">
        <v>3381</v>
      </c>
      <c r="AA3616" s="1128" t="s">
        <v>3384</v>
      </c>
      <c r="AB3616" s="20"/>
      <c r="AC3616" s="73"/>
    </row>
    <row r="3617" spans="1:29">
      <c r="A3617" s="327" t="str">
        <f>IF(AND($B3617&lt;&gt;"",$C3617&lt;&gt;""),MAX($A$1556:A3592)+1,"")</f>
        <v/>
      </c>
      <c r="B3617" s="361" t="s">
        <v>2017</v>
      </c>
      <c r="C3617" s="360"/>
      <c r="D3617" s="327">
        <f>IF($B3617="","",COUNTIF($B$6:$B3617,$B3617))</f>
        <v>20</v>
      </c>
      <c r="E3617" s="426" t="s">
        <v>1088</v>
      </c>
      <c r="F3617" s="429" t="s">
        <v>1090</v>
      </c>
      <c r="G3617" s="425" t="s">
        <v>155</v>
      </c>
      <c r="H3617" s="426"/>
      <c r="I3617" s="426">
        <v>2</v>
      </c>
      <c r="J3617" s="427"/>
      <c r="K3617" s="425"/>
      <c r="L3617" s="428">
        <v>1</v>
      </c>
      <c r="M3617" s="371"/>
      <c r="N3617" s="355" t="str">
        <f t="shared" si="333"/>
        <v>PK</v>
      </c>
      <c r="O3617" s="404" t="s">
        <v>641</v>
      </c>
      <c r="P3617" s="392"/>
      <c r="Q3617" s="434"/>
      <c r="R3617" s="351"/>
      <c r="S3617" s="351"/>
      <c r="T3617" s="351"/>
      <c r="U3617" s="329" t="str">
        <f>IF($N3617=$N$4,IFERROR(INDEX(DanhMuc!$E$154:$E$165,MATCH(MID($B3617,4,2),DanhMuc!$B$154:$B$165,0)),""),"")</f>
        <v/>
      </c>
      <c r="V3617" s="361"/>
      <c r="W3617" s="345"/>
      <c r="X3617" s="329" t="str">
        <f t="shared" si="334"/>
        <v>GQ</v>
      </c>
      <c r="Y3617" s="1128" t="s">
        <v>3380</v>
      </c>
      <c r="Z3617" s="1128" t="s">
        <v>3381</v>
      </c>
      <c r="AA3617" s="1128" t="s">
        <v>3384</v>
      </c>
      <c r="AB3617" s="20"/>
      <c r="AC3617" s="73"/>
    </row>
    <row r="3618" spans="1:29">
      <c r="A3618" s="327" t="str">
        <f>IF(AND($B3618&lt;&gt;"",$C3618&lt;&gt;""),MAX($A$1556:A3593)+1,"")</f>
        <v/>
      </c>
      <c r="B3618" s="361" t="s">
        <v>2017</v>
      </c>
      <c r="C3618" s="360"/>
      <c r="D3618" s="327">
        <f>IF($B3618="","",COUNTIF($B$6:$B3618,$B3618))</f>
        <v>21</v>
      </c>
      <c r="E3618" s="426" t="s">
        <v>1089</v>
      </c>
      <c r="F3618" s="429" t="s">
        <v>1091</v>
      </c>
      <c r="G3618" s="425" t="s">
        <v>155</v>
      </c>
      <c r="H3618" s="426"/>
      <c r="I3618" s="426">
        <v>2</v>
      </c>
      <c r="J3618" s="427"/>
      <c r="K3618" s="425"/>
      <c r="L3618" s="428">
        <v>1</v>
      </c>
      <c r="M3618" s="371"/>
      <c r="N3618" s="355" t="str">
        <f t="shared" si="333"/>
        <v>PK</v>
      </c>
      <c r="O3618" s="345" t="s">
        <v>2699</v>
      </c>
      <c r="P3618" s="392"/>
      <c r="Q3618" s="434"/>
      <c r="R3618" s="351"/>
      <c r="S3618" s="351"/>
      <c r="T3618" s="351"/>
      <c r="U3618" s="329" t="str">
        <f>IF($N3618=$N$4,IFERROR(INDEX(DanhMuc!$E$154:$E$165,MATCH(MID($B3618,4,2),DanhMuc!$B$154:$B$165,0)),""),"")</f>
        <v/>
      </c>
      <c r="V3618" s="361"/>
      <c r="W3618" s="345"/>
      <c r="X3618" s="329" t="str">
        <f t="shared" si="334"/>
        <v>GQ</v>
      </c>
      <c r="Y3618" s="1128" t="s">
        <v>3380</v>
      </c>
      <c r="Z3618" s="1128" t="s">
        <v>3381</v>
      </c>
      <c r="AA3618" s="1128" t="s">
        <v>3384</v>
      </c>
      <c r="AB3618" s="20"/>
      <c r="AC3618" s="73"/>
    </row>
    <row r="3619" spans="1:29">
      <c r="A3619" s="327" t="str">
        <f>IF(AND($B3619&lt;&gt;"",$C3619&lt;&gt;""),MAX($A$1556:A3594)+1,"")</f>
        <v/>
      </c>
      <c r="B3619" s="361" t="s">
        <v>2017</v>
      </c>
      <c r="C3619" s="360"/>
      <c r="D3619" s="327">
        <f>IF($B3619="","",COUNTIF($B$6:$B3619,$B3619))</f>
        <v>22</v>
      </c>
      <c r="E3619" s="426">
        <v>14506</v>
      </c>
      <c r="F3619" s="429" t="s">
        <v>1051</v>
      </c>
      <c r="G3619" s="425" t="s">
        <v>155</v>
      </c>
      <c r="H3619" s="426"/>
      <c r="I3619" s="427" t="s">
        <v>1322</v>
      </c>
      <c r="J3619" s="427"/>
      <c r="K3619" s="425"/>
      <c r="L3619" s="428">
        <v>6500</v>
      </c>
      <c r="M3619" s="371"/>
      <c r="N3619" s="355" t="str">
        <f t="shared" si="333"/>
        <v>PK</v>
      </c>
      <c r="O3619" s="345" t="s">
        <v>1053</v>
      </c>
      <c r="P3619" s="392"/>
      <c r="Q3619" s="327"/>
      <c r="R3619" s="351"/>
      <c r="S3619" s="351"/>
      <c r="T3619" s="351"/>
      <c r="U3619" s="329" t="str">
        <f>IF($N3619=$N$4,IFERROR(INDEX(DanhMuc!$E$154:$E$165,MATCH(MID($B3619,4,2),DanhMuc!$B$154:$B$165,0)),""),"")</f>
        <v/>
      </c>
      <c r="V3619" s="361"/>
      <c r="W3619" s="345"/>
      <c r="X3619" s="329" t="str">
        <f t="shared" si="334"/>
        <v>GQ</v>
      </c>
      <c r="Y3619" s="1128" t="s">
        <v>3380</v>
      </c>
      <c r="Z3619" s="1128" t="s">
        <v>3381</v>
      </c>
      <c r="AA3619" s="1128" t="s">
        <v>3384</v>
      </c>
      <c r="AB3619" s="20"/>
      <c r="AC3619" s="73"/>
    </row>
    <row r="3620" spans="1:29">
      <c r="A3620" s="327" t="str">
        <f>IF(AND($B3620&lt;&gt;"",$C3620&lt;&gt;""),MAX($A$1556:A3595)+1,"")</f>
        <v/>
      </c>
      <c r="B3620" s="361" t="s">
        <v>2017</v>
      </c>
      <c r="C3620" s="360"/>
      <c r="D3620" s="327">
        <f>IF($B3620="","",COUNTIF($B$6:$B3620,$B3620))</f>
        <v>23</v>
      </c>
      <c r="E3620" s="430" t="s">
        <v>1094</v>
      </c>
      <c r="F3620" s="431" t="s">
        <v>1092</v>
      </c>
      <c r="G3620" s="327" t="s">
        <v>155</v>
      </c>
      <c r="H3620" s="361"/>
      <c r="I3620" s="327">
        <v>6</v>
      </c>
      <c r="J3620" s="345"/>
      <c r="K3620" s="327"/>
      <c r="L3620" s="389">
        <v>280</v>
      </c>
      <c r="M3620" s="371"/>
      <c r="N3620" s="355" t="str">
        <f t="shared" si="333"/>
        <v>PK</v>
      </c>
      <c r="O3620" s="345"/>
      <c r="P3620" s="392"/>
      <c r="Q3620" s="327"/>
      <c r="R3620" s="351"/>
      <c r="S3620" s="351"/>
      <c r="T3620" s="351"/>
      <c r="U3620" s="329" t="str">
        <f>IF($N3620=$N$4,IFERROR(INDEX(DanhMuc!$E$154:$E$165,MATCH(MID($B3620,4,2),DanhMuc!$B$154:$B$165,0)),""),"")</f>
        <v/>
      </c>
      <c r="V3620" s="361"/>
      <c r="W3620" s="345"/>
      <c r="X3620" s="329" t="str">
        <f t="shared" si="334"/>
        <v>GQ</v>
      </c>
      <c r="Y3620" s="1128" t="s">
        <v>3380</v>
      </c>
      <c r="Z3620" s="1128" t="s">
        <v>3381</v>
      </c>
      <c r="AA3620" s="1128" t="s">
        <v>3384</v>
      </c>
      <c r="AB3620" s="20"/>
      <c r="AC3620" s="73"/>
    </row>
    <row r="3621" spans="1:29">
      <c r="A3621" s="327" t="str">
        <f>IF(AND($B3621&lt;&gt;"",$C3621&lt;&gt;""),MAX($A$1556:A3596)+1,"")</f>
        <v/>
      </c>
      <c r="B3621" s="361" t="s">
        <v>2017</v>
      </c>
      <c r="C3621" s="360"/>
      <c r="D3621" s="327">
        <f>IF($B3621="","",COUNTIF($B$6:$B3621,$B3621))</f>
        <v>24</v>
      </c>
      <c r="E3621" s="430" t="s">
        <v>1028</v>
      </c>
      <c r="F3621" s="431" t="s">
        <v>1029</v>
      </c>
      <c r="G3621" s="327" t="s">
        <v>155</v>
      </c>
      <c r="H3621" s="361"/>
      <c r="I3621" s="327">
        <v>3</v>
      </c>
      <c r="J3621" s="345"/>
      <c r="K3621" s="327"/>
      <c r="L3621" s="389">
        <v>2500</v>
      </c>
      <c r="M3621" s="371"/>
      <c r="N3621" s="355" t="str">
        <f t="shared" si="333"/>
        <v>PK</v>
      </c>
      <c r="O3621" s="345"/>
      <c r="P3621" s="392"/>
      <c r="Q3621" s="327"/>
      <c r="R3621" s="351"/>
      <c r="S3621" s="351"/>
      <c r="T3621" s="351"/>
      <c r="U3621" s="329" t="str">
        <f>IF($N3621=$N$4,IFERROR(INDEX(DanhMuc!$E$154:$E$165,MATCH(MID($B3621,4,2),DanhMuc!$B$154:$B$165,0)),""),"")</f>
        <v/>
      </c>
      <c r="V3621" s="361"/>
      <c r="W3621" s="345"/>
      <c r="X3621" s="329" t="str">
        <f t="shared" si="334"/>
        <v>GQ</v>
      </c>
      <c r="Y3621" s="1128" t="s">
        <v>3380</v>
      </c>
      <c r="Z3621" s="1128" t="s">
        <v>3381</v>
      </c>
      <c r="AA3621" s="1128" t="s">
        <v>3384</v>
      </c>
      <c r="AB3621" s="20"/>
      <c r="AC3621" s="73"/>
    </row>
    <row r="3622" spans="1:29">
      <c r="A3622" s="327" t="str">
        <f>IF(AND($B3622&lt;&gt;"",$C3622&lt;&gt;""),MAX($A$1556:A3597)+1,"")</f>
        <v/>
      </c>
      <c r="B3622" s="361" t="s">
        <v>2017</v>
      </c>
      <c r="C3622" s="360"/>
      <c r="D3622" s="327">
        <f>IF($B3622="","",COUNTIF($B$6:$B3622,$B3622))</f>
        <v>25</v>
      </c>
      <c r="E3622" s="430" t="s">
        <v>1062</v>
      </c>
      <c r="F3622" s="431" t="s">
        <v>1093</v>
      </c>
      <c r="G3622" s="327" t="s">
        <v>155</v>
      </c>
      <c r="H3622" s="361"/>
      <c r="I3622" s="327">
        <v>1</v>
      </c>
      <c r="J3622" s="345"/>
      <c r="K3622" s="327"/>
      <c r="L3622" s="389">
        <v>1500</v>
      </c>
      <c r="M3622" s="371"/>
      <c r="N3622" s="355" t="str">
        <f t="shared" si="333"/>
        <v>PK</v>
      </c>
      <c r="O3622" s="345"/>
      <c r="P3622" s="392"/>
      <c r="Q3622" s="327"/>
      <c r="R3622" s="351"/>
      <c r="S3622" s="351"/>
      <c r="T3622" s="351"/>
      <c r="U3622" s="329" t="str">
        <f>IF($N3622=$N$4,IFERROR(INDEX(DanhMuc!$E$154:$E$165,MATCH(MID($B3622,4,2),DanhMuc!$B$154:$B$165,0)),""),"")</f>
        <v/>
      </c>
      <c r="V3622" s="361"/>
      <c r="W3622" s="345"/>
      <c r="X3622" s="329" t="str">
        <f t="shared" si="334"/>
        <v>GQ</v>
      </c>
      <c r="Y3622" s="1128" t="s">
        <v>3380</v>
      </c>
      <c r="Z3622" s="1128" t="s">
        <v>3381</v>
      </c>
      <c r="AA3622" s="1128" t="s">
        <v>3384</v>
      </c>
      <c r="AB3622" s="20"/>
      <c r="AC3622" s="73"/>
    </row>
    <row r="3623" spans="1:29" ht="26">
      <c r="A3623" s="327">
        <f>IF(AND($B3623&lt;&gt;"",$C3623&lt;&gt;""),MAX($A$1556:A3598)+1,"")</f>
        <v>178</v>
      </c>
      <c r="B3623" s="359" t="s">
        <v>2018</v>
      </c>
      <c r="C3623" s="370" t="s">
        <v>1564</v>
      </c>
      <c r="D3623" s="327">
        <f>IF($B3623="","",COUNTIF($B$6:$B3623,$B3623))</f>
        <v>1</v>
      </c>
      <c r="E3623" s="430" t="s">
        <v>1033</v>
      </c>
      <c r="F3623" s="362" t="s">
        <v>1034</v>
      </c>
      <c r="G3623" s="327" t="s">
        <v>155</v>
      </c>
      <c r="H3623" s="361"/>
      <c r="I3623" s="327">
        <v>8</v>
      </c>
      <c r="J3623" s="361"/>
      <c r="K3623" s="327"/>
      <c r="L3623" s="389">
        <v>13000</v>
      </c>
      <c r="M3623" s="371"/>
      <c r="N3623" s="355" t="str">
        <f t="shared" si="333"/>
        <v>PK</v>
      </c>
      <c r="O3623" s="345"/>
      <c r="P3623" s="392"/>
      <c r="Q3623" s="327"/>
      <c r="R3623" s="351"/>
      <c r="S3623" s="351"/>
      <c r="T3623" s="351"/>
      <c r="U3623" s="329" t="str">
        <f>IF($N3623=$N$4,IFERROR(INDEX(DanhMuc!$E$154:$E$165,MATCH(MID($B3623,4,2),DanhMuc!$B$154:$B$165,0)),""),"")</f>
        <v/>
      </c>
      <c r="V3623" s="361"/>
      <c r="W3623" s="345"/>
      <c r="X3623" s="329" t="str">
        <f t="shared" si="334"/>
        <v>GQ</v>
      </c>
      <c r="Y3623" s="1128" t="s">
        <v>3380</v>
      </c>
      <c r="Z3623" s="1128" t="s">
        <v>3381</v>
      </c>
      <c r="AA3623" s="1128" t="s">
        <v>3384</v>
      </c>
      <c r="AB3623" s="20"/>
      <c r="AC3623" s="73"/>
    </row>
    <row r="3624" spans="1:29">
      <c r="A3624" s="327" t="str">
        <f>IF(AND($B3624&lt;&gt;"",$C3624&lt;&gt;""),MAX($A$1556:A3599)+1,"")</f>
        <v/>
      </c>
      <c r="B3624" s="361" t="s">
        <v>2018</v>
      </c>
      <c r="C3624" s="360"/>
      <c r="D3624" s="327">
        <f>IF($B3624="","",COUNTIF($B$6:$B3624,$B3624))</f>
        <v>2</v>
      </c>
      <c r="E3624" s="361" t="s">
        <v>1095</v>
      </c>
      <c r="F3624" s="362" t="s">
        <v>1096</v>
      </c>
      <c r="G3624" s="327" t="s">
        <v>344</v>
      </c>
      <c r="H3624" s="361"/>
      <c r="I3624" s="327">
        <v>2</v>
      </c>
      <c r="J3624" s="345"/>
      <c r="K3624" s="327"/>
      <c r="L3624" s="389">
        <v>28000</v>
      </c>
      <c r="M3624" s="371"/>
      <c r="N3624" s="355" t="str">
        <f t="shared" si="333"/>
        <v>PK</v>
      </c>
      <c r="O3624" s="345" t="s">
        <v>1052</v>
      </c>
      <c r="P3624" s="392"/>
      <c r="Q3624" s="327"/>
      <c r="R3624" s="351"/>
      <c r="S3624" s="351"/>
      <c r="T3624" s="351"/>
      <c r="U3624" s="329" t="str">
        <f>IF($N3624=$N$4,IFERROR(INDEX(DanhMuc!$E$154:$E$165,MATCH(MID($B3624,4,2),DanhMuc!$B$154:$B$165,0)),""),"")</f>
        <v/>
      </c>
      <c r="V3624" s="361"/>
      <c r="W3624" s="345"/>
      <c r="X3624" s="329" t="str">
        <f t="shared" si="334"/>
        <v>GQ</v>
      </c>
      <c r="Y3624" s="1128" t="s">
        <v>3380</v>
      </c>
      <c r="Z3624" s="1128" t="s">
        <v>3381</v>
      </c>
      <c r="AA3624" s="1128" t="s">
        <v>3384</v>
      </c>
      <c r="AB3624" s="20"/>
      <c r="AC3624" s="73"/>
    </row>
    <row r="3625" spans="1:29" ht="25">
      <c r="A3625" s="327" t="str">
        <f>IF(AND($B3625&lt;&gt;"",$C3625&lt;&gt;""),MAX($A$1556:A3600)+1,"")</f>
        <v/>
      </c>
      <c r="B3625" s="361" t="s">
        <v>2018</v>
      </c>
      <c r="C3625" s="360"/>
      <c r="D3625" s="327">
        <f>IF($B3625="","",COUNTIF($B$6:$B3625,$B3625))</f>
        <v>3</v>
      </c>
      <c r="E3625" s="361" t="s">
        <v>1097</v>
      </c>
      <c r="F3625" s="362" t="s">
        <v>1102</v>
      </c>
      <c r="G3625" s="327" t="s">
        <v>155</v>
      </c>
      <c r="H3625" s="361"/>
      <c r="I3625" s="327">
        <v>3</v>
      </c>
      <c r="J3625" s="345"/>
      <c r="K3625" s="327"/>
      <c r="L3625" s="389">
        <v>36000</v>
      </c>
      <c r="M3625" s="371"/>
      <c r="N3625" s="355" t="str">
        <f t="shared" si="333"/>
        <v>PK</v>
      </c>
      <c r="O3625" s="345" t="s">
        <v>1781</v>
      </c>
      <c r="P3625" s="392"/>
      <c r="Q3625" s="327"/>
      <c r="R3625" s="351"/>
      <c r="S3625" s="351"/>
      <c r="T3625" s="351"/>
      <c r="U3625" s="329" t="str">
        <f>IF($N3625=$N$4,IFERROR(INDEX(DanhMuc!$E$154:$E$165,MATCH(MID($B3625,4,2),DanhMuc!$B$154:$B$165,0)),""),"")</f>
        <v/>
      </c>
      <c r="V3625" s="361"/>
      <c r="W3625" s="345"/>
      <c r="X3625" s="329" t="str">
        <f t="shared" si="334"/>
        <v>GQ</v>
      </c>
      <c r="Y3625" s="1128" t="s">
        <v>3380</v>
      </c>
      <c r="Z3625" s="1128" t="s">
        <v>3381</v>
      </c>
      <c r="AA3625" s="1128" t="s">
        <v>3384</v>
      </c>
      <c r="AB3625" s="20"/>
      <c r="AC3625" s="73"/>
    </row>
    <row r="3626" spans="1:29">
      <c r="A3626" s="327" t="str">
        <f>IF(AND($B3626&lt;&gt;"",$C3626&lt;&gt;""),MAX($A$1556:A3601)+1,"")</f>
        <v/>
      </c>
      <c r="B3626" s="361" t="s">
        <v>2018</v>
      </c>
      <c r="C3626" s="360"/>
      <c r="D3626" s="327">
        <f>IF($B3626="","",COUNTIF($B$6:$B3626,$B3626))</f>
        <v>4</v>
      </c>
      <c r="E3626" s="419" t="s">
        <v>1050</v>
      </c>
      <c r="F3626" s="417" t="s">
        <v>742</v>
      </c>
      <c r="G3626" s="418" t="s">
        <v>155</v>
      </c>
      <c r="H3626" s="419"/>
      <c r="I3626" s="418">
        <v>3</v>
      </c>
      <c r="J3626" s="421"/>
      <c r="K3626" s="418"/>
      <c r="L3626" s="420">
        <v>31000</v>
      </c>
      <c r="M3626" s="371"/>
      <c r="N3626" s="355" t="str">
        <f t="shared" si="333"/>
        <v>PK</v>
      </c>
      <c r="O3626" s="345" t="s">
        <v>1782</v>
      </c>
      <c r="P3626" s="392"/>
      <c r="Q3626" s="327"/>
      <c r="R3626" s="351"/>
      <c r="S3626" s="351"/>
      <c r="T3626" s="351"/>
      <c r="U3626" s="329" t="str">
        <f>IF($N3626=$N$4,IFERROR(INDEX(DanhMuc!$E$154:$E$165,MATCH(MID($B3626,4,2),DanhMuc!$B$154:$B$165,0)),""),"")</f>
        <v/>
      </c>
      <c r="V3626" s="361"/>
      <c r="W3626" s="345"/>
      <c r="X3626" s="329" t="str">
        <f t="shared" si="334"/>
        <v>GQ</v>
      </c>
      <c r="Y3626" s="1128" t="s">
        <v>3380</v>
      </c>
      <c r="Z3626" s="1128" t="s">
        <v>3381</v>
      </c>
      <c r="AA3626" s="1128" t="s">
        <v>3384</v>
      </c>
      <c r="AB3626" s="20"/>
      <c r="AC3626" s="73"/>
    </row>
    <row r="3627" spans="1:29">
      <c r="A3627" s="327" t="str">
        <f>IF(AND($B3627&lt;&gt;"",$C3627&lt;&gt;""),MAX($A$1556:A3602)+1,"")</f>
        <v/>
      </c>
      <c r="B3627" s="361" t="s">
        <v>2018</v>
      </c>
      <c r="C3627" s="360"/>
      <c r="D3627" s="327">
        <f>IF($B3627="","",COUNTIF($B$6:$B3627,$B3627))</f>
        <v>5</v>
      </c>
      <c r="E3627" s="419" t="s">
        <v>1035</v>
      </c>
      <c r="F3627" s="417" t="s">
        <v>1036</v>
      </c>
      <c r="G3627" s="418" t="s">
        <v>155</v>
      </c>
      <c r="H3627" s="419"/>
      <c r="I3627" s="416" t="s">
        <v>1311</v>
      </c>
      <c r="J3627" s="421"/>
      <c r="K3627" s="418"/>
      <c r="L3627" s="420">
        <v>49000</v>
      </c>
      <c r="M3627" s="371"/>
      <c r="N3627" s="355" t="str">
        <f t="shared" si="333"/>
        <v>PK</v>
      </c>
      <c r="O3627" s="345" t="s">
        <v>1054</v>
      </c>
      <c r="P3627" s="392"/>
      <c r="Q3627" s="327"/>
      <c r="R3627" s="351"/>
      <c r="S3627" s="351"/>
      <c r="T3627" s="351"/>
      <c r="U3627" s="329" t="str">
        <f>IF($N3627=$N$4,IFERROR(INDEX(DanhMuc!$E$154:$E$165,MATCH(MID($B3627,4,2),DanhMuc!$B$154:$B$165,0)),""),"")</f>
        <v/>
      </c>
      <c r="V3627" s="361"/>
      <c r="W3627" s="345"/>
      <c r="X3627" s="329" t="str">
        <f t="shared" si="334"/>
        <v>GQ</v>
      </c>
      <c r="Y3627" s="1128" t="s">
        <v>3380</v>
      </c>
      <c r="Z3627" s="1128" t="s">
        <v>3381</v>
      </c>
      <c r="AA3627" s="1128" t="s">
        <v>3384</v>
      </c>
      <c r="AB3627" s="20"/>
      <c r="AC3627" s="73"/>
    </row>
    <row r="3628" spans="1:29">
      <c r="A3628" s="327" t="str">
        <f>IF(AND($B3628&lt;&gt;"",$C3628&lt;&gt;""),MAX($A$1556:A3603)+1,"")</f>
        <v/>
      </c>
      <c r="B3628" s="361" t="s">
        <v>2018</v>
      </c>
      <c r="C3628" s="360"/>
      <c r="D3628" s="327">
        <f>IF($B3628="","",COUNTIF($B$6:$B3628,$B3628))</f>
        <v>6</v>
      </c>
      <c r="E3628" s="419" t="s">
        <v>1037</v>
      </c>
      <c r="F3628" s="417" t="s">
        <v>1038</v>
      </c>
      <c r="G3628" s="418" t="s">
        <v>155</v>
      </c>
      <c r="H3628" s="419"/>
      <c r="I3628" s="416" t="s">
        <v>1312</v>
      </c>
      <c r="J3628" s="421"/>
      <c r="K3628" s="418"/>
      <c r="L3628" s="420">
        <v>55000</v>
      </c>
      <c r="M3628" s="371"/>
      <c r="N3628" s="355" t="str">
        <f t="shared" si="333"/>
        <v>PK</v>
      </c>
      <c r="O3628" s="345" t="s">
        <v>1054</v>
      </c>
      <c r="P3628" s="392"/>
      <c r="Q3628" s="327"/>
      <c r="R3628" s="351"/>
      <c r="S3628" s="351"/>
      <c r="T3628" s="351"/>
      <c r="U3628" s="329" t="str">
        <f>IF($N3628=$N$4,IFERROR(INDEX(DanhMuc!$E$154:$E$165,MATCH(MID($B3628,4,2),DanhMuc!$B$154:$B$165,0)),""),"")</f>
        <v/>
      </c>
      <c r="V3628" s="361"/>
      <c r="W3628" s="345"/>
      <c r="X3628" s="329" t="str">
        <f t="shared" si="334"/>
        <v>GQ</v>
      </c>
      <c r="Y3628" s="1128" t="s">
        <v>3380</v>
      </c>
      <c r="Z3628" s="1128" t="s">
        <v>3381</v>
      </c>
      <c r="AA3628" s="1128" t="s">
        <v>3384</v>
      </c>
      <c r="AB3628" s="20"/>
      <c r="AC3628" s="73"/>
    </row>
    <row r="3629" spans="1:29">
      <c r="A3629" s="327" t="str">
        <f>IF(AND($B3629&lt;&gt;"",$C3629&lt;&gt;""),MAX($A$1556:A3604)+1,"")</f>
        <v/>
      </c>
      <c r="B3629" s="361" t="s">
        <v>2018</v>
      </c>
      <c r="C3629" s="360"/>
      <c r="D3629" s="327">
        <f>IF($B3629="","",COUNTIF($B$6:$B3629,$B3629))</f>
        <v>7</v>
      </c>
      <c r="E3629" s="419" t="s">
        <v>1039</v>
      </c>
      <c r="F3629" s="417" t="s">
        <v>1040</v>
      </c>
      <c r="G3629" s="418" t="s">
        <v>155</v>
      </c>
      <c r="H3629" s="419"/>
      <c r="I3629" s="416" t="s">
        <v>1313</v>
      </c>
      <c r="J3629" s="421"/>
      <c r="K3629" s="418"/>
      <c r="L3629" s="420">
        <v>60000</v>
      </c>
      <c r="M3629" s="371"/>
      <c r="N3629" s="355" t="str">
        <f t="shared" si="333"/>
        <v>PK</v>
      </c>
      <c r="O3629" s="345" t="s">
        <v>1054</v>
      </c>
      <c r="P3629" s="392"/>
      <c r="Q3629" s="327"/>
      <c r="R3629" s="351"/>
      <c r="S3629" s="351"/>
      <c r="T3629" s="351"/>
      <c r="U3629" s="329" t="str">
        <f>IF($N3629=$N$4,IFERROR(INDEX(DanhMuc!$E$154:$E$165,MATCH(MID($B3629,4,2),DanhMuc!$B$154:$B$165,0)),""),"")</f>
        <v/>
      </c>
      <c r="V3629" s="361"/>
      <c r="W3629" s="345"/>
      <c r="X3629" s="329" t="str">
        <f t="shared" si="334"/>
        <v>GQ</v>
      </c>
      <c r="Y3629" s="1128" t="s">
        <v>3380</v>
      </c>
      <c r="Z3629" s="1128" t="s">
        <v>3381</v>
      </c>
      <c r="AA3629" s="1128" t="s">
        <v>3384</v>
      </c>
      <c r="AB3629" s="20"/>
      <c r="AC3629" s="73"/>
    </row>
    <row r="3630" spans="1:29">
      <c r="A3630" s="327" t="str">
        <f>IF(AND($B3630&lt;&gt;"",$C3630&lt;&gt;""),MAX($A$1556:A3605)+1,"")</f>
        <v/>
      </c>
      <c r="B3630" s="361" t="s">
        <v>2018</v>
      </c>
      <c r="C3630" s="360"/>
      <c r="D3630" s="327">
        <f>IF($B3630="","",COUNTIF($B$6:$B3630,$B3630))</f>
        <v>8</v>
      </c>
      <c r="E3630" s="419" t="s">
        <v>1078</v>
      </c>
      <c r="F3630" s="417" t="s">
        <v>1041</v>
      </c>
      <c r="G3630" s="418" t="s">
        <v>155</v>
      </c>
      <c r="H3630" s="419"/>
      <c r="I3630" s="416" t="s">
        <v>1314</v>
      </c>
      <c r="J3630" s="421"/>
      <c r="K3630" s="418"/>
      <c r="L3630" s="420">
        <v>70000</v>
      </c>
      <c r="M3630" s="371"/>
      <c r="N3630" s="355" t="str">
        <f t="shared" si="333"/>
        <v>PK</v>
      </c>
      <c r="O3630" s="345" t="s">
        <v>1054</v>
      </c>
      <c r="P3630" s="392"/>
      <c r="Q3630" s="327"/>
      <c r="R3630" s="351"/>
      <c r="S3630" s="351"/>
      <c r="T3630" s="351"/>
      <c r="U3630" s="329" t="str">
        <f>IF($N3630=$N$4,IFERROR(INDEX(DanhMuc!$E$154:$E$165,MATCH(MID($B3630,4,2),DanhMuc!$B$154:$B$165,0)),""),"")</f>
        <v/>
      </c>
      <c r="V3630" s="361"/>
      <c r="W3630" s="345"/>
      <c r="X3630" s="329" t="str">
        <f t="shared" si="334"/>
        <v>GQ</v>
      </c>
      <c r="Y3630" s="1128" t="s">
        <v>3380</v>
      </c>
      <c r="Z3630" s="1128" t="s">
        <v>3381</v>
      </c>
      <c r="AA3630" s="1128" t="s">
        <v>3384</v>
      </c>
      <c r="AB3630" s="20"/>
      <c r="AC3630" s="73"/>
    </row>
    <row r="3631" spans="1:29">
      <c r="A3631" s="327" t="str">
        <f>IF(AND($B3631&lt;&gt;"",$C3631&lt;&gt;""),MAX($A$1556:A3606)+1,"")</f>
        <v/>
      </c>
      <c r="B3631" s="361" t="s">
        <v>2018</v>
      </c>
      <c r="C3631" s="360"/>
      <c r="D3631" s="327">
        <f>IF($B3631="","",COUNTIF($B$6:$B3631,$B3631))</f>
        <v>9</v>
      </c>
      <c r="E3631" s="419" t="s">
        <v>1042</v>
      </c>
      <c r="F3631" s="417" t="s">
        <v>1043</v>
      </c>
      <c r="G3631" s="418" t="s">
        <v>155</v>
      </c>
      <c r="H3631" s="419"/>
      <c r="I3631" s="416" t="s">
        <v>1315</v>
      </c>
      <c r="J3631" s="421"/>
      <c r="K3631" s="418"/>
      <c r="L3631" s="420">
        <v>79000</v>
      </c>
      <c r="M3631" s="371"/>
      <c r="N3631" s="355" t="str">
        <f t="shared" si="333"/>
        <v>PK</v>
      </c>
      <c r="O3631" s="345" t="s">
        <v>1054</v>
      </c>
      <c r="P3631" s="392"/>
      <c r="Q3631" s="327"/>
      <c r="R3631" s="351"/>
      <c r="S3631" s="351"/>
      <c r="T3631" s="351"/>
      <c r="U3631" s="329" t="str">
        <f>IF($N3631=$N$4,IFERROR(INDEX(DanhMuc!$E$154:$E$165,MATCH(MID($B3631,4,2),DanhMuc!$B$154:$B$165,0)),""),"")</f>
        <v/>
      </c>
      <c r="V3631" s="361"/>
      <c r="W3631" s="345"/>
      <c r="X3631" s="329" t="str">
        <f t="shared" si="334"/>
        <v>GQ</v>
      </c>
      <c r="Y3631" s="1128" t="s">
        <v>3380</v>
      </c>
      <c r="Z3631" s="1128" t="s">
        <v>3381</v>
      </c>
      <c r="AA3631" s="1128" t="s">
        <v>3384</v>
      </c>
      <c r="AB3631" s="20"/>
      <c r="AC3631" s="73"/>
    </row>
    <row r="3632" spans="1:29">
      <c r="A3632" s="327" t="str">
        <f>IF(AND($B3632&lt;&gt;"",$C3632&lt;&gt;""),MAX($A$1556:A3607)+1,"")</f>
        <v/>
      </c>
      <c r="B3632" s="361" t="s">
        <v>2018</v>
      </c>
      <c r="C3632" s="360"/>
      <c r="D3632" s="327">
        <f>IF($B3632="","",COUNTIF($B$6:$B3632,$B3632))</f>
        <v>10</v>
      </c>
      <c r="E3632" s="419" t="s">
        <v>1044</v>
      </c>
      <c r="F3632" s="417" t="s">
        <v>1045</v>
      </c>
      <c r="G3632" s="418" t="s">
        <v>155</v>
      </c>
      <c r="H3632" s="419"/>
      <c r="I3632" s="416" t="s">
        <v>1316</v>
      </c>
      <c r="J3632" s="421"/>
      <c r="K3632" s="418"/>
      <c r="L3632" s="420">
        <v>88000</v>
      </c>
      <c r="M3632" s="371"/>
      <c r="N3632" s="355" t="str">
        <f t="shared" si="333"/>
        <v>PK</v>
      </c>
      <c r="O3632" s="345" t="s">
        <v>1054</v>
      </c>
      <c r="P3632" s="392"/>
      <c r="Q3632" s="327"/>
      <c r="R3632" s="351"/>
      <c r="S3632" s="351"/>
      <c r="T3632" s="351"/>
      <c r="U3632" s="329" t="str">
        <f>IF($N3632=$N$4,IFERROR(INDEX(DanhMuc!$E$154:$E$165,MATCH(MID($B3632,4,2),DanhMuc!$B$154:$B$165,0)),""),"")</f>
        <v/>
      </c>
      <c r="V3632" s="361"/>
      <c r="W3632" s="345"/>
      <c r="X3632" s="329" t="str">
        <f t="shared" si="334"/>
        <v>GQ</v>
      </c>
      <c r="Y3632" s="1128" t="s">
        <v>3380</v>
      </c>
      <c r="Z3632" s="1128" t="s">
        <v>3381</v>
      </c>
      <c r="AA3632" s="1128" t="s">
        <v>3384</v>
      </c>
      <c r="AB3632" s="20"/>
      <c r="AC3632" s="73"/>
    </row>
    <row r="3633" spans="1:29">
      <c r="A3633" s="327" t="str">
        <f>IF(AND($B3633&lt;&gt;"",$C3633&lt;&gt;""),MAX($A$1556:A3608)+1,"")</f>
        <v/>
      </c>
      <c r="B3633" s="361" t="s">
        <v>2018</v>
      </c>
      <c r="C3633" s="360"/>
      <c r="D3633" s="327">
        <f>IF($B3633="","",COUNTIF($B$6:$B3633,$B3633))</f>
        <v>11</v>
      </c>
      <c r="E3633" s="419" t="s">
        <v>1046</v>
      </c>
      <c r="F3633" s="417" t="s">
        <v>1047</v>
      </c>
      <c r="G3633" s="418" t="s">
        <v>155</v>
      </c>
      <c r="H3633" s="419"/>
      <c r="I3633" s="416" t="s">
        <v>1317</v>
      </c>
      <c r="J3633" s="421"/>
      <c r="K3633" s="418"/>
      <c r="L3633" s="420">
        <v>95000</v>
      </c>
      <c r="M3633" s="371"/>
      <c r="N3633" s="355" t="str">
        <f t="shared" si="333"/>
        <v>PK</v>
      </c>
      <c r="O3633" s="345" t="s">
        <v>1054</v>
      </c>
      <c r="P3633" s="392"/>
      <c r="Q3633" s="327"/>
      <c r="R3633" s="351"/>
      <c r="S3633" s="351"/>
      <c r="T3633" s="351"/>
      <c r="U3633" s="329" t="str">
        <f>IF($N3633=$N$4,IFERROR(INDEX(DanhMuc!$E$154:$E$165,MATCH(MID($B3633,4,2),DanhMuc!$B$154:$B$165,0)),""),"")</f>
        <v/>
      </c>
      <c r="V3633" s="361"/>
      <c r="W3633" s="345"/>
      <c r="X3633" s="329" t="str">
        <f t="shared" si="334"/>
        <v>GQ</v>
      </c>
      <c r="Y3633" s="1128" t="s">
        <v>3380</v>
      </c>
      <c r="Z3633" s="1128" t="s">
        <v>3381</v>
      </c>
      <c r="AA3633" s="1128" t="s">
        <v>3384</v>
      </c>
      <c r="AB3633" s="20"/>
      <c r="AC3633" s="73"/>
    </row>
    <row r="3634" spans="1:29">
      <c r="A3634" s="327" t="str">
        <f>IF(AND($B3634&lt;&gt;"",$C3634&lt;&gt;""),MAX($A$1556:A3609)+1,"")</f>
        <v/>
      </c>
      <c r="B3634" s="361" t="s">
        <v>2018</v>
      </c>
      <c r="C3634" s="360"/>
      <c r="D3634" s="327">
        <f>IF($B3634="","",COUNTIF($B$6:$B3634,$B3634))</f>
        <v>12</v>
      </c>
      <c r="E3634" s="419" t="s">
        <v>1048</v>
      </c>
      <c r="F3634" s="417" t="s">
        <v>1049</v>
      </c>
      <c r="G3634" s="418" t="s">
        <v>155</v>
      </c>
      <c r="H3634" s="419"/>
      <c r="I3634" s="416" t="s">
        <v>1318</v>
      </c>
      <c r="J3634" s="421"/>
      <c r="K3634" s="418"/>
      <c r="L3634" s="420">
        <v>135000</v>
      </c>
      <c r="M3634" s="371"/>
      <c r="N3634" s="355" t="str">
        <f t="shared" si="333"/>
        <v>PK</v>
      </c>
      <c r="O3634" s="345" t="s">
        <v>1054</v>
      </c>
      <c r="P3634" s="392"/>
      <c r="Q3634" s="327"/>
      <c r="R3634" s="351"/>
      <c r="S3634" s="351"/>
      <c r="T3634" s="351"/>
      <c r="U3634" s="329" t="str">
        <f>IF($N3634=$N$4,IFERROR(INDEX(DanhMuc!$E$154:$E$165,MATCH(MID($B3634,4,2),DanhMuc!$B$154:$B$165,0)),""),"")</f>
        <v/>
      </c>
      <c r="V3634" s="361"/>
      <c r="W3634" s="345"/>
      <c r="X3634" s="329" t="str">
        <f t="shared" si="334"/>
        <v>GQ</v>
      </c>
      <c r="Y3634" s="1128" t="s">
        <v>3380</v>
      </c>
      <c r="Z3634" s="1128" t="s">
        <v>3381</v>
      </c>
      <c r="AA3634" s="1128" t="s">
        <v>3384</v>
      </c>
      <c r="AB3634" s="20"/>
      <c r="AC3634" s="73"/>
    </row>
    <row r="3635" spans="1:29">
      <c r="A3635" s="327" t="str">
        <f>IF(AND($B3635&lt;&gt;"",$C3635&lt;&gt;""),MAX($A$1556:A3610)+1,"")</f>
        <v/>
      </c>
      <c r="B3635" s="361" t="s">
        <v>2018</v>
      </c>
      <c r="C3635" s="360"/>
      <c r="D3635" s="327">
        <f>IF($B3635="","",COUNTIF($B$6:$B3635,$B3635))</f>
        <v>13</v>
      </c>
      <c r="E3635" s="419">
        <v>14506</v>
      </c>
      <c r="F3635" s="417" t="s">
        <v>1051</v>
      </c>
      <c r="G3635" s="418" t="s">
        <v>155</v>
      </c>
      <c r="H3635" s="419"/>
      <c r="I3635" s="421" t="s">
        <v>1319</v>
      </c>
      <c r="J3635" s="421"/>
      <c r="K3635" s="418"/>
      <c r="L3635" s="420">
        <v>6500</v>
      </c>
      <c r="M3635" s="371"/>
      <c r="N3635" s="355" t="str">
        <f t="shared" si="333"/>
        <v>PK</v>
      </c>
      <c r="O3635" s="345" t="s">
        <v>1054</v>
      </c>
      <c r="P3635" s="392"/>
      <c r="Q3635" s="327"/>
      <c r="R3635" s="351"/>
      <c r="S3635" s="351"/>
      <c r="T3635" s="351"/>
      <c r="U3635" s="329" t="str">
        <f>IF($N3635=$N$4,IFERROR(INDEX(DanhMuc!$E$154:$E$165,MATCH(MID($B3635,4,2),DanhMuc!$B$154:$B$165,0)),""),"")</f>
        <v/>
      </c>
      <c r="V3635" s="361"/>
      <c r="W3635" s="345"/>
      <c r="X3635" s="329" t="str">
        <f t="shared" si="334"/>
        <v>GQ</v>
      </c>
      <c r="Y3635" s="1128" t="s">
        <v>3380</v>
      </c>
      <c r="Z3635" s="1128" t="s">
        <v>3381</v>
      </c>
      <c r="AA3635" s="1128" t="s">
        <v>3384</v>
      </c>
      <c r="AB3635" s="20"/>
      <c r="AC3635" s="73"/>
    </row>
    <row r="3636" spans="1:29">
      <c r="A3636" s="327" t="str">
        <f>IF(AND($B3636&lt;&gt;"",$C3636&lt;&gt;""),MAX($A$1556:A3611)+1,"")</f>
        <v/>
      </c>
      <c r="B3636" s="361" t="s">
        <v>2018</v>
      </c>
      <c r="C3636" s="360"/>
      <c r="D3636" s="327">
        <f>IF($B3636="","",COUNTIF($B$6:$B3636,$B3636))</f>
        <v>14</v>
      </c>
      <c r="E3636" s="426" t="s">
        <v>1099</v>
      </c>
      <c r="F3636" s="429" t="s">
        <v>1100</v>
      </c>
      <c r="G3636" s="425" t="s">
        <v>155</v>
      </c>
      <c r="H3636" s="426"/>
      <c r="I3636" s="425">
        <v>3</v>
      </c>
      <c r="J3636" s="427"/>
      <c r="K3636" s="425"/>
      <c r="L3636" s="428">
        <v>500000</v>
      </c>
      <c r="M3636" s="371"/>
      <c r="N3636" s="355" t="str">
        <f t="shared" ref="N3636:N3658" si="335">+$N$1555</f>
        <v>PK</v>
      </c>
      <c r="O3636" s="345" t="s">
        <v>1783</v>
      </c>
      <c r="P3636" s="392"/>
      <c r="Q3636" s="327"/>
      <c r="R3636" s="351"/>
      <c r="S3636" s="351"/>
      <c r="T3636" s="351"/>
      <c r="U3636" s="329" t="str">
        <f>IF($N3636=$N$4,IFERROR(INDEX(DanhMuc!$E$154:$E$165,MATCH(MID($B3636,4,2),DanhMuc!$B$154:$B$165,0)),""),"")</f>
        <v/>
      </c>
      <c r="V3636" s="361"/>
      <c r="W3636" s="345"/>
      <c r="X3636" s="329" t="str">
        <f t="shared" si="334"/>
        <v>GQ</v>
      </c>
      <c r="Y3636" s="1128" t="s">
        <v>3380</v>
      </c>
      <c r="Z3636" s="1128" t="s">
        <v>3381</v>
      </c>
      <c r="AA3636" s="1128" t="s">
        <v>3384</v>
      </c>
      <c r="AB3636" s="20"/>
      <c r="AC3636" s="73"/>
    </row>
    <row r="3637" spans="1:29">
      <c r="A3637" s="327" t="str">
        <f>IF(AND($B3637&lt;&gt;"",$C3637&lt;&gt;""),MAX($A$1556:A3612)+1,"")</f>
        <v/>
      </c>
      <c r="B3637" s="361" t="s">
        <v>2018</v>
      </c>
      <c r="C3637" s="360"/>
      <c r="D3637" s="327">
        <f>IF($B3637="","",COUNTIF($B$6:$B3637,$B3637))</f>
        <v>15</v>
      </c>
      <c r="E3637" s="426" t="s">
        <v>1085</v>
      </c>
      <c r="F3637" s="429" t="s">
        <v>1103</v>
      </c>
      <c r="G3637" s="425" t="s">
        <v>155</v>
      </c>
      <c r="H3637" s="426"/>
      <c r="I3637" s="425">
        <v>3</v>
      </c>
      <c r="J3637" s="427"/>
      <c r="K3637" s="425"/>
      <c r="L3637" s="428">
        <v>1</v>
      </c>
      <c r="M3637" s="371"/>
      <c r="N3637" s="355" t="str">
        <f t="shared" si="335"/>
        <v>PK</v>
      </c>
      <c r="O3637" s="345" t="s">
        <v>1787</v>
      </c>
      <c r="P3637" s="392"/>
      <c r="Q3637" s="327"/>
      <c r="R3637" s="351"/>
      <c r="S3637" s="351"/>
      <c r="T3637" s="351"/>
      <c r="U3637" s="329" t="str">
        <f>IF($N3637=$N$4,IFERROR(INDEX(DanhMuc!$E$154:$E$165,MATCH(MID($B3637,4,2),DanhMuc!$B$154:$B$165,0)),""),"")</f>
        <v/>
      </c>
      <c r="V3637" s="361"/>
      <c r="W3637" s="345"/>
      <c r="X3637" s="329" t="str">
        <f t="shared" si="334"/>
        <v>GQ</v>
      </c>
      <c r="Y3637" s="1128" t="s">
        <v>3380</v>
      </c>
      <c r="Z3637" s="1128" t="s">
        <v>3381</v>
      </c>
      <c r="AA3637" s="1128" t="s">
        <v>3384</v>
      </c>
      <c r="AB3637" s="20"/>
      <c r="AC3637" s="73"/>
    </row>
    <row r="3638" spans="1:29">
      <c r="A3638" s="327" t="str">
        <f>IF(AND($B3638&lt;&gt;"",$C3638&lt;&gt;""),MAX($A$1556:A3613)+1,"")</f>
        <v/>
      </c>
      <c r="B3638" s="361" t="s">
        <v>2018</v>
      </c>
      <c r="C3638" s="360"/>
      <c r="D3638" s="327">
        <f>IF($B3638="","",COUNTIF($B$6:$B3638,$B3638))</f>
        <v>16</v>
      </c>
      <c r="E3638" s="426" t="s">
        <v>1086</v>
      </c>
      <c r="F3638" s="429" t="s">
        <v>1087</v>
      </c>
      <c r="G3638" s="425" t="s">
        <v>155</v>
      </c>
      <c r="H3638" s="426"/>
      <c r="I3638" s="425">
        <v>3</v>
      </c>
      <c r="J3638" s="427"/>
      <c r="K3638" s="425"/>
      <c r="L3638" s="428">
        <v>1</v>
      </c>
      <c r="M3638" s="371"/>
      <c r="N3638" s="355" t="str">
        <f t="shared" si="335"/>
        <v>PK</v>
      </c>
      <c r="O3638" s="345" t="s">
        <v>1787</v>
      </c>
      <c r="P3638" s="392"/>
      <c r="Q3638" s="327"/>
      <c r="R3638" s="351"/>
      <c r="S3638" s="351"/>
      <c r="T3638" s="351"/>
      <c r="U3638" s="329" t="str">
        <f>IF($N3638=$N$4,IFERROR(INDEX(DanhMuc!$E$154:$E$165,MATCH(MID($B3638,4,2),DanhMuc!$B$154:$B$165,0)),""),"")</f>
        <v/>
      </c>
      <c r="V3638" s="361"/>
      <c r="W3638" s="345"/>
      <c r="X3638" s="329" t="str">
        <f t="shared" si="334"/>
        <v>GQ</v>
      </c>
      <c r="Y3638" s="1128" t="s">
        <v>3380</v>
      </c>
      <c r="Z3638" s="1128" t="s">
        <v>3381</v>
      </c>
      <c r="AA3638" s="1128" t="s">
        <v>3384</v>
      </c>
      <c r="AB3638" s="20"/>
      <c r="AC3638" s="73"/>
    </row>
    <row r="3639" spans="1:29">
      <c r="A3639" s="327" t="str">
        <f>IF(AND($B3639&lt;&gt;"",$C3639&lt;&gt;""),MAX($A$1556:A3614)+1,"")</f>
        <v/>
      </c>
      <c r="B3639" s="361" t="s">
        <v>2018</v>
      </c>
      <c r="C3639" s="360"/>
      <c r="D3639" s="327">
        <f>IF($B3639="","",COUNTIF($B$6:$B3639,$B3639))</f>
        <v>17</v>
      </c>
      <c r="E3639" s="426" t="s">
        <v>1079</v>
      </c>
      <c r="F3639" s="429" t="s">
        <v>1082</v>
      </c>
      <c r="G3639" s="425" t="s">
        <v>155</v>
      </c>
      <c r="H3639" s="426"/>
      <c r="I3639" s="423" t="s">
        <v>1320</v>
      </c>
      <c r="J3639" s="427"/>
      <c r="K3639" s="425"/>
      <c r="L3639" s="428">
        <f>360000-3-6500</f>
        <v>353497</v>
      </c>
      <c r="M3639" s="371"/>
      <c r="N3639" s="355" t="str">
        <f t="shared" si="335"/>
        <v>PK</v>
      </c>
      <c r="O3639" s="345" t="s">
        <v>1053</v>
      </c>
      <c r="P3639" s="392"/>
      <c r="Q3639" s="327"/>
      <c r="R3639" s="351"/>
      <c r="S3639" s="351"/>
      <c r="T3639" s="351"/>
      <c r="U3639" s="329" t="str">
        <f>IF($N3639=$N$4,IFERROR(INDEX(DanhMuc!$E$154:$E$165,MATCH(MID($B3639,4,2),DanhMuc!$B$154:$B$165,0)),""),"")</f>
        <v/>
      </c>
      <c r="V3639" s="361"/>
      <c r="W3639" s="345"/>
      <c r="X3639" s="329" t="str">
        <f t="shared" si="334"/>
        <v>GQ</v>
      </c>
      <c r="Y3639" s="1128" t="s">
        <v>3380</v>
      </c>
      <c r="Z3639" s="1128" t="s">
        <v>3381</v>
      </c>
      <c r="AA3639" s="1128" t="s">
        <v>3384</v>
      </c>
      <c r="AB3639" s="20"/>
      <c r="AC3639" s="73"/>
    </row>
    <row r="3640" spans="1:29">
      <c r="A3640" s="327" t="str">
        <f>IF(AND($B3640&lt;&gt;"",$C3640&lt;&gt;""),MAX($A$1556:A3615)+1,"")</f>
        <v/>
      </c>
      <c r="B3640" s="361" t="s">
        <v>2018</v>
      </c>
      <c r="C3640" s="360"/>
      <c r="D3640" s="327">
        <f>IF($B3640="","",COUNTIF($B$6:$B3640,$B3640))</f>
        <v>18</v>
      </c>
      <c r="E3640" s="426" t="s">
        <v>1080</v>
      </c>
      <c r="F3640" s="429" t="s">
        <v>1083</v>
      </c>
      <c r="G3640" s="425" t="s">
        <v>155</v>
      </c>
      <c r="H3640" s="426"/>
      <c r="I3640" s="423" t="s">
        <v>1317</v>
      </c>
      <c r="J3640" s="427"/>
      <c r="K3640" s="425"/>
      <c r="L3640" s="428">
        <f>370000-3-6500</f>
        <v>363497</v>
      </c>
      <c r="M3640" s="371"/>
      <c r="N3640" s="355" t="str">
        <f t="shared" si="335"/>
        <v>PK</v>
      </c>
      <c r="O3640" s="345" t="s">
        <v>1053</v>
      </c>
      <c r="P3640" s="392"/>
      <c r="Q3640" s="327"/>
      <c r="R3640" s="351"/>
      <c r="S3640" s="351"/>
      <c r="T3640" s="351"/>
      <c r="U3640" s="329" t="str">
        <f>IF($N3640=$N$4,IFERROR(INDEX(DanhMuc!$E$154:$E$165,MATCH(MID($B3640,4,2),DanhMuc!$B$154:$B$165,0)),""),"")</f>
        <v/>
      </c>
      <c r="V3640" s="361"/>
      <c r="W3640" s="345"/>
      <c r="X3640" s="329" t="str">
        <f t="shared" si="334"/>
        <v>GQ</v>
      </c>
      <c r="Y3640" s="1128" t="s">
        <v>3380</v>
      </c>
      <c r="Z3640" s="1128" t="s">
        <v>3381</v>
      </c>
      <c r="AA3640" s="1128" t="s">
        <v>3384</v>
      </c>
      <c r="AB3640" s="20"/>
      <c r="AC3640" s="73"/>
    </row>
    <row r="3641" spans="1:29">
      <c r="A3641" s="327" t="str">
        <f>IF(AND($B3641&lt;&gt;"",$C3641&lt;&gt;""),MAX($A$1556:A3616)+1,"")</f>
        <v/>
      </c>
      <c r="B3641" s="361" t="s">
        <v>2018</v>
      </c>
      <c r="C3641" s="360"/>
      <c r="D3641" s="327">
        <f>IF($B3641="","",COUNTIF($B$6:$B3641,$B3641))</f>
        <v>19</v>
      </c>
      <c r="E3641" s="426" t="s">
        <v>1081</v>
      </c>
      <c r="F3641" s="429" t="s">
        <v>1084</v>
      </c>
      <c r="G3641" s="425" t="s">
        <v>155</v>
      </c>
      <c r="H3641" s="426"/>
      <c r="I3641" s="423" t="s">
        <v>1321</v>
      </c>
      <c r="J3641" s="427"/>
      <c r="K3641" s="425"/>
      <c r="L3641" s="936" t="s">
        <v>2361</v>
      </c>
      <c r="M3641" s="371"/>
      <c r="N3641" s="355" t="str">
        <f t="shared" si="335"/>
        <v>PK</v>
      </c>
      <c r="O3641" s="345" t="s">
        <v>1053</v>
      </c>
      <c r="P3641" s="392"/>
      <c r="Q3641" s="327"/>
      <c r="R3641" s="351"/>
      <c r="S3641" s="351"/>
      <c r="T3641" s="351"/>
      <c r="U3641" s="329" t="str">
        <f>IF($N3641=$N$4,IFERROR(INDEX(DanhMuc!$E$154:$E$165,MATCH(MID($B3641,4,2),DanhMuc!$B$154:$B$165,0)),""),"")</f>
        <v/>
      </c>
      <c r="V3641" s="361"/>
      <c r="W3641" s="345"/>
      <c r="X3641" s="329" t="str">
        <f t="shared" si="334"/>
        <v>GQ</v>
      </c>
      <c r="Y3641" s="1128" t="s">
        <v>3380</v>
      </c>
      <c r="Z3641" s="1128" t="s">
        <v>3381</v>
      </c>
      <c r="AA3641" s="1128" t="s">
        <v>3384</v>
      </c>
      <c r="AB3641" s="20"/>
      <c r="AC3641" s="73"/>
    </row>
    <row r="3642" spans="1:29">
      <c r="A3642" s="327" t="str">
        <f>IF(AND($B3642&lt;&gt;"",$C3642&lt;&gt;""),MAX($A$1556:A3617)+1,"")</f>
        <v/>
      </c>
      <c r="B3642" s="361" t="s">
        <v>2018</v>
      </c>
      <c r="C3642" s="360"/>
      <c r="D3642" s="327">
        <f>IF($B3642="","",COUNTIF($B$6:$B3642,$B3642))</f>
        <v>20</v>
      </c>
      <c r="E3642" s="426" t="s">
        <v>1088</v>
      </c>
      <c r="F3642" s="429" t="s">
        <v>1090</v>
      </c>
      <c r="G3642" s="425" t="s">
        <v>155</v>
      </c>
      <c r="H3642" s="426"/>
      <c r="I3642" s="426">
        <v>3</v>
      </c>
      <c r="J3642" s="427"/>
      <c r="K3642" s="425"/>
      <c r="L3642" s="428">
        <v>1</v>
      </c>
      <c r="M3642" s="371"/>
      <c r="N3642" s="355" t="str">
        <f t="shared" si="335"/>
        <v>PK</v>
      </c>
      <c r="O3642" s="404" t="s">
        <v>641</v>
      </c>
      <c r="P3642" s="392"/>
      <c r="Q3642" s="434"/>
      <c r="R3642" s="351"/>
      <c r="S3642" s="351"/>
      <c r="T3642" s="351"/>
      <c r="U3642" s="329" t="str">
        <f>IF($N3642=$N$4,IFERROR(INDEX(DanhMuc!$E$154:$E$165,MATCH(MID($B3642,4,2),DanhMuc!$B$154:$B$165,0)),""),"")</f>
        <v/>
      </c>
      <c r="V3642" s="361"/>
      <c r="W3642" s="345"/>
      <c r="X3642" s="329" t="str">
        <f t="shared" si="334"/>
        <v>GQ</v>
      </c>
      <c r="Y3642" s="1128" t="s">
        <v>3380</v>
      </c>
      <c r="Z3642" s="1128" t="s">
        <v>3381</v>
      </c>
      <c r="AA3642" s="1128" t="s">
        <v>3384</v>
      </c>
      <c r="AB3642" s="20"/>
      <c r="AC3642" s="73"/>
    </row>
    <row r="3643" spans="1:29">
      <c r="A3643" s="327" t="str">
        <f>IF(AND($B3643&lt;&gt;"",$C3643&lt;&gt;""),MAX($A$1556:A3618)+1,"")</f>
        <v/>
      </c>
      <c r="B3643" s="361" t="s">
        <v>2018</v>
      </c>
      <c r="C3643" s="360"/>
      <c r="D3643" s="327">
        <f>IF($B3643="","",COUNTIF($B$6:$B3643,$B3643))</f>
        <v>21</v>
      </c>
      <c r="E3643" s="426" t="s">
        <v>1089</v>
      </c>
      <c r="F3643" s="429" t="s">
        <v>1091</v>
      </c>
      <c r="G3643" s="425" t="s">
        <v>155</v>
      </c>
      <c r="H3643" s="426"/>
      <c r="I3643" s="426">
        <v>3</v>
      </c>
      <c r="J3643" s="427"/>
      <c r="K3643" s="425"/>
      <c r="L3643" s="428">
        <v>1</v>
      </c>
      <c r="M3643" s="371"/>
      <c r="N3643" s="355" t="str">
        <f t="shared" si="335"/>
        <v>PK</v>
      </c>
      <c r="O3643" s="345" t="s">
        <v>2699</v>
      </c>
      <c r="P3643" s="392"/>
      <c r="Q3643" s="434"/>
      <c r="R3643" s="351"/>
      <c r="S3643" s="351"/>
      <c r="T3643" s="351"/>
      <c r="U3643" s="329" t="str">
        <f>IF($N3643=$N$4,IFERROR(INDEX(DanhMuc!$E$154:$E$165,MATCH(MID($B3643,4,2),DanhMuc!$B$154:$B$165,0)),""),"")</f>
        <v/>
      </c>
      <c r="V3643" s="361"/>
      <c r="W3643" s="345"/>
      <c r="X3643" s="329" t="str">
        <f t="shared" si="334"/>
        <v>GQ</v>
      </c>
      <c r="Y3643" s="1128" t="s">
        <v>3380</v>
      </c>
      <c r="Z3643" s="1128" t="s">
        <v>3381</v>
      </c>
      <c r="AA3643" s="1128" t="s">
        <v>3384</v>
      </c>
      <c r="AB3643" s="20"/>
      <c r="AC3643" s="73"/>
    </row>
    <row r="3644" spans="1:29">
      <c r="A3644" s="327" t="str">
        <f>IF(AND($B3644&lt;&gt;"",$C3644&lt;&gt;""),MAX($A$1556:A3619)+1,"")</f>
        <v/>
      </c>
      <c r="B3644" s="361" t="s">
        <v>2018</v>
      </c>
      <c r="C3644" s="360"/>
      <c r="D3644" s="327">
        <f>IF($B3644="","",COUNTIF($B$6:$B3644,$B3644))</f>
        <v>22</v>
      </c>
      <c r="E3644" s="426">
        <v>14506</v>
      </c>
      <c r="F3644" s="429" t="s">
        <v>1051</v>
      </c>
      <c r="G3644" s="425" t="s">
        <v>155</v>
      </c>
      <c r="H3644" s="426"/>
      <c r="I3644" s="427" t="s">
        <v>1322</v>
      </c>
      <c r="J3644" s="427"/>
      <c r="K3644" s="425"/>
      <c r="L3644" s="428">
        <v>6500</v>
      </c>
      <c r="M3644" s="371"/>
      <c r="N3644" s="355" t="str">
        <f t="shared" si="335"/>
        <v>PK</v>
      </c>
      <c r="O3644" s="345" t="s">
        <v>1053</v>
      </c>
      <c r="P3644" s="392"/>
      <c r="Q3644" s="327"/>
      <c r="R3644" s="351"/>
      <c r="S3644" s="351"/>
      <c r="T3644" s="351"/>
      <c r="U3644" s="329" t="str">
        <f>IF($N3644=$N$4,IFERROR(INDEX(DanhMuc!$E$154:$E$165,MATCH(MID($B3644,4,2),DanhMuc!$B$154:$B$165,0)),""),"")</f>
        <v/>
      </c>
      <c r="V3644" s="361"/>
      <c r="W3644" s="345"/>
      <c r="X3644" s="329" t="str">
        <f t="shared" si="334"/>
        <v>GQ</v>
      </c>
      <c r="Y3644" s="1128" t="s">
        <v>3380</v>
      </c>
      <c r="Z3644" s="1128" t="s">
        <v>3381</v>
      </c>
      <c r="AA3644" s="1128" t="s">
        <v>3384</v>
      </c>
      <c r="AB3644" s="20"/>
      <c r="AC3644" s="73"/>
    </row>
    <row r="3645" spans="1:29">
      <c r="A3645" s="327" t="str">
        <f>IF(AND($B3645&lt;&gt;"",$C3645&lt;&gt;""),MAX($A$1556:A3620)+1,"")</f>
        <v/>
      </c>
      <c r="B3645" s="361" t="s">
        <v>2018</v>
      </c>
      <c r="C3645" s="360"/>
      <c r="D3645" s="327">
        <f>IF($B3645="","",COUNTIF($B$6:$B3645,$B3645))</f>
        <v>23</v>
      </c>
      <c r="E3645" s="430" t="s">
        <v>1094</v>
      </c>
      <c r="F3645" s="431" t="s">
        <v>1092</v>
      </c>
      <c r="G3645" s="327" t="s">
        <v>155</v>
      </c>
      <c r="H3645" s="361"/>
      <c r="I3645" s="327">
        <v>8</v>
      </c>
      <c r="J3645" s="345"/>
      <c r="K3645" s="327"/>
      <c r="L3645" s="389">
        <v>280</v>
      </c>
      <c r="M3645" s="371"/>
      <c r="N3645" s="355" t="str">
        <f t="shared" si="335"/>
        <v>PK</v>
      </c>
      <c r="O3645" s="345"/>
      <c r="P3645" s="392"/>
      <c r="Q3645" s="327"/>
      <c r="R3645" s="351"/>
      <c r="S3645" s="351"/>
      <c r="T3645" s="351"/>
      <c r="U3645" s="329" t="str">
        <f>IF($N3645=$N$4,IFERROR(INDEX(DanhMuc!$E$154:$E$165,MATCH(MID($B3645,4,2),DanhMuc!$B$154:$B$165,0)),""),"")</f>
        <v/>
      </c>
      <c r="V3645" s="361"/>
      <c r="W3645" s="345"/>
      <c r="X3645" s="329" t="str">
        <f t="shared" si="334"/>
        <v>GQ</v>
      </c>
      <c r="Y3645" s="1128" t="s">
        <v>3380</v>
      </c>
      <c r="Z3645" s="1128" t="s">
        <v>3381</v>
      </c>
      <c r="AA3645" s="1128" t="s">
        <v>3384</v>
      </c>
      <c r="AB3645" s="20"/>
      <c r="AC3645" s="73"/>
    </row>
    <row r="3646" spans="1:29">
      <c r="A3646" s="327" t="str">
        <f>IF(AND($B3646&lt;&gt;"",$C3646&lt;&gt;""),MAX($A$1556:A3621)+1,"")</f>
        <v/>
      </c>
      <c r="B3646" s="361" t="s">
        <v>2018</v>
      </c>
      <c r="C3646" s="360"/>
      <c r="D3646" s="327">
        <f>IF($B3646="","",COUNTIF($B$6:$B3646,$B3646))</f>
        <v>24</v>
      </c>
      <c r="E3646" s="430" t="s">
        <v>1028</v>
      </c>
      <c r="F3646" s="431" t="s">
        <v>1029</v>
      </c>
      <c r="G3646" s="327" t="s">
        <v>155</v>
      </c>
      <c r="H3646" s="361"/>
      <c r="I3646" s="327">
        <v>4</v>
      </c>
      <c r="J3646" s="345"/>
      <c r="K3646" s="327"/>
      <c r="L3646" s="389">
        <v>2500</v>
      </c>
      <c r="M3646" s="371"/>
      <c r="N3646" s="355" t="str">
        <f t="shared" si="335"/>
        <v>PK</v>
      </c>
      <c r="O3646" s="345"/>
      <c r="P3646" s="392"/>
      <c r="Q3646" s="327"/>
      <c r="R3646" s="351"/>
      <c r="S3646" s="351"/>
      <c r="T3646" s="351"/>
      <c r="U3646" s="329" t="str">
        <f>IF($N3646=$N$4,IFERROR(INDEX(DanhMuc!$E$154:$E$165,MATCH(MID($B3646,4,2),DanhMuc!$B$154:$B$165,0)),""),"")</f>
        <v/>
      </c>
      <c r="V3646" s="361"/>
      <c r="W3646" s="345"/>
      <c r="X3646" s="329" t="str">
        <f t="shared" si="334"/>
        <v>GQ</v>
      </c>
      <c r="Y3646" s="1128" t="s">
        <v>3380</v>
      </c>
      <c r="Z3646" s="1128" t="s">
        <v>3381</v>
      </c>
      <c r="AA3646" s="1128" t="s">
        <v>3384</v>
      </c>
      <c r="AB3646" s="20"/>
      <c r="AC3646" s="73"/>
    </row>
    <row r="3647" spans="1:29">
      <c r="A3647" s="327" t="str">
        <f>IF(AND($B3647&lt;&gt;"",$C3647&lt;&gt;""),MAX($A$1556:A3622)+1,"")</f>
        <v/>
      </c>
      <c r="B3647" s="361" t="s">
        <v>2018</v>
      </c>
      <c r="C3647" s="360"/>
      <c r="D3647" s="327">
        <f>IF($B3647="","",COUNTIF($B$6:$B3647,$B3647))</f>
        <v>25</v>
      </c>
      <c r="E3647" s="430" t="s">
        <v>1062</v>
      </c>
      <c r="F3647" s="431" t="s">
        <v>1093</v>
      </c>
      <c r="G3647" s="327" t="s">
        <v>155</v>
      </c>
      <c r="H3647" s="361"/>
      <c r="I3647" s="327">
        <v>2</v>
      </c>
      <c r="J3647" s="345"/>
      <c r="K3647" s="327"/>
      <c r="L3647" s="389">
        <v>1500</v>
      </c>
      <c r="M3647" s="371"/>
      <c r="N3647" s="355" t="str">
        <f t="shared" si="335"/>
        <v>PK</v>
      </c>
      <c r="O3647" s="345"/>
      <c r="P3647" s="392"/>
      <c r="Q3647" s="327"/>
      <c r="R3647" s="351"/>
      <c r="S3647" s="351"/>
      <c r="T3647" s="351"/>
      <c r="U3647" s="329" t="str">
        <f>IF($N3647=$N$4,IFERROR(INDEX(DanhMuc!$E$154:$E$165,MATCH(MID($B3647,4,2),DanhMuc!$B$154:$B$165,0)),""),"")</f>
        <v/>
      </c>
      <c r="V3647" s="361"/>
      <c r="W3647" s="345"/>
      <c r="X3647" s="329" t="str">
        <f t="shared" si="334"/>
        <v>GQ</v>
      </c>
      <c r="Y3647" s="1128" t="s">
        <v>3380</v>
      </c>
      <c r="Z3647" s="1128" t="s">
        <v>3381</v>
      </c>
      <c r="AA3647" s="1128" t="s">
        <v>3384</v>
      </c>
      <c r="AB3647" s="20"/>
      <c r="AC3647" s="73"/>
    </row>
    <row r="3648" spans="1:29" ht="26">
      <c r="A3648" s="327">
        <f>IF(AND($B3648&lt;&gt;"",$C3648&lt;&gt;""),MAX($A$1556:A3623)+1,"")</f>
        <v>179</v>
      </c>
      <c r="B3648" s="359" t="s">
        <v>2019</v>
      </c>
      <c r="C3648" s="370" t="s">
        <v>1565</v>
      </c>
      <c r="D3648" s="327">
        <f>IF($B3648="","",COUNTIF($B$6:$B3648,$B3648))</f>
        <v>1</v>
      </c>
      <c r="E3648" s="430" t="s">
        <v>1114</v>
      </c>
      <c r="F3648" s="362" t="s">
        <v>1012</v>
      </c>
      <c r="G3648" s="327" t="s">
        <v>296</v>
      </c>
      <c r="H3648" s="361"/>
      <c r="I3648" s="327">
        <v>1</v>
      </c>
      <c r="J3648" s="361"/>
      <c r="K3648" s="327"/>
      <c r="L3648" s="389">
        <v>31000</v>
      </c>
      <c r="M3648" s="371"/>
      <c r="N3648" s="355" t="str">
        <f t="shared" si="335"/>
        <v>PK</v>
      </c>
      <c r="O3648" s="345"/>
      <c r="P3648" s="392"/>
      <c r="Q3648" s="327"/>
      <c r="R3648" s="351"/>
      <c r="S3648" s="351"/>
      <c r="T3648" s="351"/>
      <c r="U3648" s="329" t="str">
        <f>IF($N3648=$N$4,IFERROR(INDEX(DanhMuc!$E$154:$E$165,MATCH(MID($B3648,4,2),DanhMuc!$B$154:$B$165,0)),""),"")</f>
        <v/>
      </c>
      <c r="V3648" s="361"/>
      <c r="W3648" s="345"/>
      <c r="X3648" s="329" t="str">
        <f t="shared" si="334"/>
        <v>GQ</v>
      </c>
      <c r="Y3648" s="1128" t="s">
        <v>3380</v>
      </c>
      <c r="Z3648" s="1128" t="s">
        <v>3381</v>
      </c>
      <c r="AA3648" s="1128" t="s">
        <v>3384</v>
      </c>
      <c r="AB3648" s="20"/>
      <c r="AC3648" s="73"/>
    </row>
    <row r="3649" spans="1:29">
      <c r="A3649" s="327" t="str">
        <f>IF(AND($B3649&lt;&gt;"",$C3649&lt;&gt;""),MAX($A$1556:A3624)+1,"")</f>
        <v/>
      </c>
      <c r="B3649" s="361" t="s">
        <v>2019</v>
      </c>
      <c r="C3649" s="360"/>
      <c r="D3649" s="327">
        <f>IF($B3649="","",COUNTIF($B$6:$B3649,$B3649))</f>
        <v>2</v>
      </c>
      <c r="E3649" s="419" t="s">
        <v>1124</v>
      </c>
      <c r="F3649" s="417" t="s">
        <v>1115</v>
      </c>
      <c r="G3649" s="418" t="s">
        <v>155</v>
      </c>
      <c r="H3649" s="419"/>
      <c r="I3649" s="416" t="s">
        <v>1237</v>
      </c>
      <c r="J3649" s="421"/>
      <c r="K3649" s="418"/>
      <c r="L3649" s="435">
        <v>47000</v>
      </c>
      <c r="M3649" s="371"/>
      <c r="N3649" s="355" t="str">
        <f t="shared" si="335"/>
        <v>PK</v>
      </c>
      <c r="O3649" s="345"/>
      <c r="P3649" s="392"/>
      <c r="Q3649" s="436"/>
      <c r="R3649" s="437"/>
      <c r="S3649" s="351"/>
      <c r="T3649" s="351"/>
      <c r="U3649" s="329" t="str">
        <f>IF($N3649=$N$4,IFERROR(INDEX(DanhMuc!$E$154:$E$165,MATCH(MID($B3649,4,2),DanhMuc!$B$154:$B$165,0)),""),"")</f>
        <v/>
      </c>
      <c r="V3649" s="361"/>
      <c r="W3649" s="345"/>
      <c r="X3649" s="329" t="str">
        <f t="shared" si="334"/>
        <v>GQ</v>
      </c>
      <c r="Y3649" s="1128" t="s">
        <v>3380</v>
      </c>
      <c r="Z3649" s="1128" t="s">
        <v>3381</v>
      </c>
      <c r="AA3649" s="1128" t="s">
        <v>3384</v>
      </c>
      <c r="AB3649" s="20"/>
      <c r="AC3649" s="73"/>
    </row>
    <row r="3650" spans="1:29">
      <c r="A3650" s="327" t="str">
        <f>IF(AND($B3650&lt;&gt;"",$C3650&lt;&gt;""),MAX($A$1556:A3625)+1,"")</f>
        <v/>
      </c>
      <c r="B3650" s="361" t="s">
        <v>2019</v>
      </c>
      <c r="C3650" s="360"/>
      <c r="D3650" s="327">
        <f>IF($B3650="","",COUNTIF($B$6:$B3650,$B3650))</f>
        <v>3</v>
      </c>
      <c r="E3650" s="419" t="s">
        <v>1125</v>
      </c>
      <c r="F3650" s="417" t="s">
        <v>1116</v>
      </c>
      <c r="G3650" s="418" t="s">
        <v>155</v>
      </c>
      <c r="H3650" s="419"/>
      <c r="I3650" s="416" t="s">
        <v>1238</v>
      </c>
      <c r="J3650" s="421"/>
      <c r="K3650" s="418"/>
      <c r="L3650" s="435">
        <v>54000</v>
      </c>
      <c r="M3650" s="371"/>
      <c r="N3650" s="355" t="str">
        <f t="shared" si="335"/>
        <v>PK</v>
      </c>
      <c r="O3650" s="345"/>
      <c r="P3650" s="392"/>
      <c r="Q3650" s="436"/>
      <c r="R3650" s="437"/>
      <c r="S3650" s="351"/>
      <c r="T3650" s="351"/>
      <c r="U3650" s="329" t="str">
        <f>IF($N3650=$N$4,IFERROR(INDEX(DanhMuc!$E$154:$E$165,MATCH(MID($B3650,4,2),DanhMuc!$B$154:$B$165,0)),""),"")</f>
        <v/>
      </c>
      <c r="V3650" s="361"/>
      <c r="W3650" s="345"/>
      <c r="X3650" s="329" t="str">
        <f t="shared" si="334"/>
        <v>GQ</v>
      </c>
      <c r="Y3650" s="1128" t="s">
        <v>3380</v>
      </c>
      <c r="Z3650" s="1128" t="s">
        <v>3381</v>
      </c>
      <c r="AA3650" s="1128" t="s">
        <v>3384</v>
      </c>
      <c r="AB3650" s="20"/>
      <c r="AC3650" s="73"/>
    </row>
    <row r="3651" spans="1:29">
      <c r="A3651" s="327" t="str">
        <f>IF(AND($B3651&lt;&gt;"",$C3651&lt;&gt;""),MAX($A$1556:A3626)+1,"")</f>
        <v/>
      </c>
      <c r="B3651" s="361" t="s">
        <v>2019</v>
      </c>
      <c r="C3651" s="360"/>
      <c r="D3651" s="327">
        <f>IF($B3651="","",COUNTIF($B$6:$B3651,$B3651))</f>
        <v>4</v>
      </c>
      <c r="E3651" s="419" t="s">
        <v>1126</v>
      </c>
      <c r="F3651" s="417" t="s">
        <v>1117</v>
      </c>
      <c r="G3651" s="418" t="s">
        <v>155</v>
      </c>
      <c r="H3651" s="419"/>
      <c r="I3651" s="416" t="s">
        <v>1239</v>
      </c>
      <c r="J3651" s="421"/>
      <c r="K3651" s="418"/>
      <c r="L3651" s="435">
        <v>58000</v>
      </c>
      <c r="M3651" s="371"/>
      <c r="N3651" s="355" t="str">
        <f t="shared" si="335"/>
        <v>PK</v>
      </c>
      <c r="O3651" s="345"/>
      <c r="P3651" s="392"/>
      <c r="Q3651" s="436"/>
      <c r="R3651" s="437"/>
      <c r="S3651" s="351"/>
      <c r="T3651" s="351"/>
      <c r="U3651" s="329" t="str">
        <f>IF($N3651=$N$4,IFERROR(INDEX(DanhMuc!$E$154:$E$165,MATCH(MID($B3651,4,2),DanhMuc!$B$154:$B$165,0)),""),"")</f>
        <v/>
      </c>
      <c r="V3651" s="361"/>
      <c r="W3651" s="345"/>
      <c r="X3651" s="329" t="str">
        <f t="shared" si="334"/>
        <v>GQ</v>
      </c>
      <c r="Y3651" s="1128" t="s">
        <v>3380</v>
      </c>
      <c r="Z3651" s="1128" t="s">
        <v>3381</v>
      </c>
      <c r="AA3651" s="1128" t="s">
        <v>3384</v>
      </c>
      <c r="AB3651" s="20"/>
      <c r="AC3651" s="73"/>
    </row>
    <row r="3652" spans="1:29">
      <c r="A3652" s="327" t="str">
        <f>IF(AND($B3652&lt;&gt;"",$C3652&lt;&gt;""),MAX($A$1556:A3627)+1,"")</f>
        <v/>
      </c>
      <c r="B3652" s="361" t="s">
        <v>2019</v>
      </c>
      <c r="C3652" s="360"/>
      <c r="D3652" s="327">
        <f>IF($B3652="","",COUNTIF($B$6:$B3652,$B3652))</f>
        <v>5</v>
      </c>
      <c r="E3652" s="419" t="s">
        <v>1127</v>
      </c>
      <c r="F3652" s="417" t="s">
        <v>1118</v>
      </c>
      <c r="G3652" s="418" t="s">
        <v>155</v>
      </c>
      <c r="H3652" s="419"/>
      <c r="I3652" s="416" t="s">
        <v>1240</v>
      </c>
      <c r="J3652" s="421"/>
      <c r="K3652" s="418"/>
      <c r="L3652" s="435">
        <v>63000</v>
      </c>
      <c r="M3652" s="371"/>
      <c r="N3652" s="355" t="str">
        <f t="shared" si="335"/>
        <v>PK</v>
      </c>
      <c r="O3652" s="345"/>
      <c r="P3652" s="392"/>
      <c r="Q3652" s="436"/>
      <c r="R3652" s="437"/>
      <c r="S3652" s="351"/>
      <c r="T3652" s="351"/>
      <c r="U3652" s="329" t="str">
        <f>IF($N3652=$N$4,IFERROR(INDEX(DanhMuc!$E$154:$E$165,MATCH(MID($B3652,4,2),DanhMuc!$B$154:$B$165,0)),""),"")</f>
        <v/>
      </c>
      <c r="V3652" s="361"/>
      <c r="W3652" s="345"/>
      <c r="X3652" s="329" t="str">
        <f t="shared" si="334"/>
        <v>GQ</v>
      </c>
      <c r="Y3652" s="1128" t="s">
        <v>3380</v>
      </c>
      <c r="Z3652" s="1128" t="s">
        <v>3381</v>
      </c>
      <c r="AA3652" s="1128" t="s">
        <v>3384</v>
      </c>
      <c r="AB3652" s="20"/>
      <c r="AC3652" s="73"/>
    </row>
    <row r="3653" spans="1:29">
      <c r="A3653" s="327" t="str">
        <f>IF(AND($B3653&lt;&gt;"",$C3653&lt;&gt;""),MAX($A$1556:A3628)+1,"")</f>
        <v/>
      </c>
      <c r="B3653" s="361" t="s">
        <v>2019</v>
      </c>
      <c r="C3653" s="360"/>
      <c r="D3653" s="327">
        <f>IF($B3653="","",COUNTIF($B$6:$B3653,$B3653))</f>
        <v>6</v>
      </c>
      <c r="E3653" s="419" t="s">
        <v>1128</v>
      </c>
      <c r="F3653" s="417" t="s">
        <v>1119</v>
      </c>
      <c r="G3653" s="418" t="s">
        <v>155</v>
      </c>
      <c r="H3653" s="419"/>
      <c r="I3653" s="416" t="s">
        <v>1241</v>
      </c>
      <c r="J3653" s="421"/>
      <c r="K3653" s="418"/>
      <c r="L3653" s="435">
        <v>78000</v>
      </c>
      <c r="M3653" s="371"/>
      <c r="N3653" s="355" t="str">
        <f t="shared" si="335"/>
        <v>PK</v>
      </c>
      <c r="O3653" s="345"/>
      <c r="P3653" s="392"/>
      <c r="Q3653" s="436"/>
      <c r="R3653" s="437"/>
      <c r="S3653" s="351"/>
      <c r="T3653" s="351"/>
      <c r="U3653" s="329" t="str">
        <f>IF($N3653=$N$4,IFERROR(INDEX(DanhMuc!$E$154:$E$165,MATCH(MID($B3653,4,2),DanhMuc!$B$154:$B$165,0)),""),"")</f>
        <v/>
      </c>
      <c r="V3653" s="361"/>
      <c r="W3653" s="345"/>
      <c r="X3653" s="329" t="str">
        <f t="shared" si="334"/>
        <v>GQ</v>
      </c>
      <c r="Y3653" s="1128" t="s">
        <v>3380</v>
      </c>
      <c r="Z3653" s="1128" t="s">
        <v>3381</v>
      </c>
      <c r="AA3653" s="1128" t="s">
        <v>3384</v>
      </c>
      <c r="AB3653" s="20"/>
      <c r="AC3653" s="73"/>
    </row>
    <row r="3654" spans="1:29">
      <c r="A3654" s="327" t="str">
        <f>IF(AND($B3654&lt;&gt;"",$C3654&lt;&gt;""),MAX($A$1556:A3629)+1,"")</f>
        <v/>
      </c>
      <c r="B3654" s="361" t="s">
        <v>2019</v>
      </c>
      <c r="C3654" s="360"/>
      <c r="D3654" s="327">
        <f>IF($B3654="","",COUNTIF($B$6:$B3654,$B3654))</f>
        <v>7</v>
      </c>
      <c r="E3654" s="419" t="s">
        <v>2365</v>
      </c>
      <c r="F3654" s="417" t="s">
        <v>1120</v>
      </c>
      <c r="G3654" s="418" t="s">
        <v>155</v>
      </c>
      <c r="H3654" s="419"/>
      <c r="I3654" s="416" t="s">
        <v>1242</v>
      </c>
      <c r="J3654" s="421"/>
      <c r="K3654" s="418"/>
      <c r="L3654" s="435">
        <v>84000</v>
      </c>
      <c r="M3654" s="371"/>
      <c r="N3654" s="355" t="str">
        <f t="shared" si="335"/>
        <v>PK</v>
      </c>
      <c r="O3654" s="345"/>
      <c r="P3654" s="392"/>
      <c r="Q3654" s="436"/>
      <c r="R3654" s="437"/>
      <c r="S3654" s="351"/>
      <c r="T3654" s="351"/>
      <c r="U3654" s="329" t="str">
        <f>IF($N3654=$N$4,IFERROR(INDEX(DanhMuc!$E$154:$E$165,MATCH(MID($B3654,4,2),DanhMuc!$B$154:$B$165,0)),""),"")</f>
        <v/>
      </c>
      <c r="V3654" s="361"/>
      <c r="W3654" s="345"/>
      <c r="X3654" s="329" t="str">
        <f t="shared" si="334"/>
        <v>GQ</v>
      </c>
      <c r="Y3654" s="1128" t="s">
        <v>3380</v>
      </c>
      <c r="Z3654" s="1128" t="s">
        <v>3381</v>
      </c>
      <c r="AA3654" s="1128" t="s">
        <v>3384</v>
      </c>
      <c r="AB3654" s="20"/>
      <c r="AC3654" s="73"/>
    </row>
    <row r="3655" spans="1:29">
      <c r="A3655" s="327" t="str">
        <f>IF(AND($B3655&lt;&gt;"",$C3655&lt;&gt;""),MAX($A$1556:A3630)+1,"")</f>
        <v/>
      </c>
      <c r="B3655" s="361" t="s">
        <v>2019</v>
      </c>
      <c r="C3655" s="360"/>
      <c r="D3655" s="327">
        <f>IF($B3655="","",COUNTIF($B$6:$B3655,$B3655))</f>
        <v>8</v>
      </c>
      <c r="E3655" s="419" t="s">
        <v>1129</v>
      </c>
      <c r="F3655" s="417" t="s">
        <v>1121</v>
      </c>
      <c r="G3655" s="418" t="s">
        <v>155</v>
      </c>
      <c r="H3655" s="419"/>
      <c r="I3655" s="416" t="s">
        <v>1243</v>
      </c>
      <c r="J3655" s="421"/>
      <c r="K3655" s="418"/>
      <c r="L3655" s="435">
        <v>98000</v>
      </c>
      <c r="M3655" s="371"/>
      <c r="N3655" s="355" t="str">
        <f t="shared" si="335"/>
        <v>PK</v>
      </c>
      <c r="O3655" s="345"/>
      <c r="P3655" s="392"/>
      <c r="Q3655" s="436"/>
      <c r="R3655" s="437"/>
      <c r="S3655" s="351"/>
      <c r="T3655" s="351"/>
      <c r="U3655" s="329" t="str">
        <f>IF($N3655=$N$4,IFERROR(INDEX(DanhMuc!$E$154:$E$165,MATCH(MID($B3655,4,2),DanhMuc!$B$154:$B$165,0)),""),"")</f>
        <v/>
      </c>
      <c r="V3655" s="361"/>
      <c r="W3655" s="345"/>
      <c r="X3655" s="329" t="str">
        <f t="shared" si="334"/>
        <v>GQ</v>
      </c>
      <c r="Y3655" s="1128" t="s">
        <v>3380</v>
      </c>
      <c r="Z3655" s="1128" t="s">
        <v>3381</v>
      </c>
      <c r="AA3655" s="1128" t="s">
        <v>3384</v>
      </c>
      <c r="AB3655" s="20"/>
      <c r="AC3655" s="73"/>
    </row>
    <row r="3656" spans="1:29">
      <c r="A3656" s="327" t="str">
        <f>IF(AND($B3656&lt;&gt;"",$C3656&lt;&gt;""),MAX($A$1556:A3631)+1,"")</f>
        <v/>
      </c>
      <c r="B3656" s="361" t="s">
        <v>2019</v>
      </c>
      <c r="C3656" s="360"/>
      <c r="D3656" s="327">
        <f>IF($B3656="","",COUNTIF($B$6:$B3656,$B3656))</f>
        <v>9</v>
      </c>
      <c r="E3656" s="419" t="s">
        <v>1130</v>
      </c>
      <c r="F3656" s="417" t="s">
        <v>1122</v>
      </c>
      <c r="G3656" s="418" t="s">
        <v>155</v>
      </c>
      <c r="H3656" s="419"/>
      <c r="I3656" s="416" t="s">
        <v>1244</v>
      </c>
      <c r="J3656" s="421"/>
      <c r="K3656" s="418"/>
      <c r="L3656" s="435">
        <v>117000</v>
      </c>
      <c r="M3656" s="371"/>
      <c r="N3656" s="355" t="str">
        <f t="shared" si="335"/>
        <v>PK</v>
      </c>
      <c r="O3656" s="345"/>
      <c r="P3656" s="392"/>
      <c r="Q3656" s="436"/>
      <c r="R3656" s="437"/>
      <c r="S3656" s="351"/>
      <c r="T3656" s="351"/>
      <c r="U3656" s="329" t="str">
        <f>IF($N3656=$N$4,IFERROR(INDEX(DanhMuc!$E$154:$E$165,MATCH(MID($B3656,4,2),DanhMuc!$B$154:$B$165,0)),""),"")</f>
        <v/>
      </c>
      <c r="V3656" s="361"/>
      <c r="W3656" s="345"/>
      <c r="X3656" s="329" t="str">
        <f t="shared" si="334"/>
        <v>GQ</v>
      </c>
      <c r="Y3656" s="1128" t="s">
        <v>3380</v>
      </c>
      <c r="Z3656" s="1128" t="s">
        <v>3381</v>
      </c>
      <c r="AA3656" s="1128" t="s">
        <v>3384</v>
      </c>
      <c r="AB3656" s="20"/>
      <c r="AC3656" s="73"/>
    </row>
    <row r="3657" spans="1:29">
      <c r="A3657" s="327" t="str">
        <f>IF(AND($B3657&lt;&gt;"",$C3657&lt;&gt;""),MAX($A$1556:A3632)+1,"")</f>
        <v/>
      </c>
      <c r="B3657" s="361" t="s">
        <v>2019</v>
      </c>
      <c r="C3657" s="360"/>
      <c r="D3657" s="327">
        <f>IF($B3657="","",COUNTIF($B$6:$B3657,$B3657))</f>
        <v>10</v>
      </c>
      <c r="E3657" s="419" t="s">
        <v>1131</v>
      </c>
      <c r="F3657" s="417" t="s">
        <v>1123</v>
      </c>
      <c r="G3657" s="418" t="s">
        <v>155</v>
      </c>
      <c r="H3657" s="419"/>
      <c r="I3657" s="416" t="s">
        <v>1245</v>
      </c>
      <c r="J3657" s="421"/>
      <c r="K3657" s="418"/>
      <c r="L3657" s="435">
        <v>135000</v>
      </c>
      <c r="M3657" s="371"/>
      <c r="N3657" s="355" t="str">
        <f t="shared" si="335"/>
        <v>PK</v>
      </c>
      <c r="O3657" s="345"/>
      <c r="P3657" s="392"/>
      <c r="Q3657" s="327"/>
      <c r="R3657" s="437"/>
      <c r="S3657" s="351"/>
      <c r="T3657" s="351"/>
      <c r="U3657" s="329" t="str">
        <f>IF($N3657=$N$4,IFERROR(INDEX(DanhMuc!$E$154:$E$165,MATCH(MID($B3657,4,2),DanhMuc!$B$154:$B$165,0)),""),"")</f>
        <v/>
      </c>
      <c r="V3657" s="361"/>
      <c r="W3657" s="345"/>
      <c r="X3657" s="329" t="str">
        <f t="shared" si="334"/>
        <v>GQ</v>
      </c>
      <c r="Y3657" s="1128" t="s">
        <v>3380</v>
      </c>
      <c r="Z3657" s="1128" t="s">
        <v>3381</v>
      </c>
      <c r="AA3657" s="1128" t="s">
        <v>3384</v>
      </c>
      <c r="AB3657" s="20"/>
      <c r="AC3657" s="73"/>
    </row>
    <row r="3658" spans="1:29">
      <c r="A3658" s="327" t="str">
        <f>IF(AND($B3658&lt;&gt;"",$C3658&lt;&gt;""),MAX($A$1556:A3633)+1,"")</f>
        <v/>
      </c>
      <c r="B3658" s="361" t="s">
        <v>2019</v>
      </c>
      <c r="C3658" s="360"/>
      <c r="D3658" s="327">
        <f>IF($B3658="","",COUNTIF($B$6:$B3658,$B3658))</f>
        <v>11</v>
      </c>
      <c r="E3658" s="419">
        <v>10801</v>
      </c>
      <c r="F3658" s="422" t="s">
        <v>1013</v>
      </c>
      <c r="G3658" s="418" t="s">
        <v>155</v>
      </c>
      <c r="H3658" s="419"/>
      <c r="I3658" s="416" t="s">
        <v>2366</v>
      </c>
      <c r="J3658" s="421"/>
      <c r="K3658" s="418"/>
      <c r="L3658" s="420">
        <v>6500</v>
      </c>
      <c r="M3658" s="371"/>
      <c r="N3658" s="355" t="str">
        <f t="shared" si="335"/>
        <v>PK</v>
      </c>
      <c r="O3658" s="345"/>
      <c r="P3658" s="392"/>
      <c r="Q3658" s="327"/>
      <c r="R3658" s="437"/>
      <c r="S3658" s="351"/>
      <c r="T3658" s="351"/>
      <c r="U3658" s="329" t="str">
        <f>IF($N3658=$N$4,IFERROR(INDEX(DanhMuc!$E$154:$E$165,MATCH(MID($B3658,4,2),DanhMuc!$B$154:$B$165,0)),""),"")</f>
        <v/>
      </c>
      <c r="V3658" s="361"/>
      <c r="W3658" s="345"/>
      <c r="X3658" s="329" t="str">
        <f t="shared" si="334"/>
        <v>GQ</v>
      </c>
      <c r="Y3658" s="1128" t="s">
        <v>3380</v>
      </c>
      <c r="Z3658" s="1128" t="s">
        <v>3381</v>
      </c>
      <c r="AA3658" s="1128" t="s">
        <v>3384</v>
      </c>
      <c r="AB3658" s="20"/>
      <c r="AC3658" s="73"/>
    </row>
    <row r="3659" spans="1:29">
      <c r="A3659" s="327" t="str">
        <f>IF(AND($B3659&lt;&gt;"",$C3659&lt;&gt;""),MAX($A$1556:A3634)+1,"")</f>
        <v/>
      </c>
      <c r="B3659" s="361" t="s">
        <v>2019</v>
      </c>
      <c r="C3659" s="360"/>
      <c r="D3659" s="327">
        <f>IF($B3659="","",COUNTIF($B$6:$B3659,$B3659))</f>
        <v>12</v>
      </c>
      <c r="E3659" s="430" t="s">
        <v>1223</v>
      </c>
      <c r="F3659" s="431" t="s">
        <v>1218</v>
      </c>
      <c r="G3659" s="327" t="s">
        <v>155</v>
      </c>
      <c r="H3659" s="361"/>
      <c r="I3659" s="327">
        <v>2</v>
      </c>
      <c r="J3659" s="345"/>
      <c r="K3659" s="327"/>
      <c r="L3659" s="389">
        <v>46000</v>
      </c>
      <c r="M3659" s="371"/>
      <c r="N3659" s="355" t="str">
        <f t="shared" ref="N3659:N3744" si="336">+$N$1555</f>
        <v>PK</v>
      </c>
      <c r="O3659" s="345" t="s">
        <v>1702</v>
      </c>
      <c r="P3659" s="392"/>
      <c r="Q3659" s="327"/>
      <c r="R3659" s="351"/>
      <c r="S3659" s="351"/>
      <c r="T3659" s="351"/>
      <c r="U3659" s="329" t="str">
        <f>IF($N3659=$N$4,IFERROR(INDEX(DanhMuc!$E$154:$E$165,MATCH(MID($B3659,4,2),DanhMuc!$B$154:$B$165,0)),""),"")</f>
        <v/>
      </c>
      <c r="V3659" s="361"/>
      <c r="W3659" s="345"/>
      <c r="X3659" s="329" t="str">
        <f t="shared" si="334"/>
        <v>GQ</v>
      </c>
      <c r="Y3659" s="1128" t="s">
        <v>3380</v>
      </c>
      <c r="Z3659" s="1128" t="s">
        <v>3381</v>
      </c>
      <c r="AA3659" s="1128" t="s">
        <v>3384</v>
      </c>
      <c r="AB3659" s="20"/>
      <c r="AC3659" s="73"/>
    </row>
    <row r="3660" spans="1:29">
      <c r="A3660" s="327" t="str">
        <f>IF(AND($B3660&lt;&gt;"",$C3660&lt;&gt;""),MAX($A$1556:A3635)+1,"")</f>
        <v/>
      </c>
      <c r="B3660" s="361" t="s">
        <v>2019</v>
      </c>
      <c r="C3660" s="360"/>
      <c r="D3660" s="327">
        <f>IF($B3660="","",COUNTIF($B$6:$B3660,$B3660))</f>
        <v>13</v>
      </c>
      <c r="E3660" s="430" t="s">
        <v>1224</v>
      </c>
      <c r="F3660" s="431" t="s">
        <v>1219</v>
      </c>
      <c r="G3660" s="327" t="s">
        <v>155</v>
      </c>
      <c r="H3660" s="361"/>
      <c r="I3660" s="327">
        <v>2</v>
      </c>
      <c r="J3660" s="345"/>
      <c r="K3660" s="327"/>
      <c r="L3660" s="389">
        <v>58000</v>
      </c>
      <c r="M3660" s="371"/>
      <c r="N3660" s="355" t="str">
        <f t="shared" si="336"/>
        <v>PK</v>
      </c>
      <c r="O3660" s="407" t="s">
        <v>1698</v>
      </c>
      <c r="P3660" s="392"/>
      <c r="Q3660" s="327"/>
      <c r="R3660" s="351"/>
      <c r="S3660" s="351"/>
      <c r="T3660" s="351"/>
      <c r="U3660" s="329" t="str">
        <f>IF($N3660=$N$4,IFERROR(INDEX(DanhMuc!$E$154:$E$165,MATCH(MID($B3660,4,2),DanhMuc!$B$154:$B$165,0)),""),"")</f>
        <v/>
      </c>
      <c r="V3660" s="361"/>
      <c r="W3660" s="345"/>
      <c r="X3660" s="329" t="str">
        <f t="shared" si="334"/>
        <v>GQ</v>
      </c>
      <c r="Y3660" s="1128" t="s">
        <v>3380</v>
      </c>
      <c r="Z3660" s="1128" t="s">
        <v>3381</v>
      </c>
      <c r="AA3660" s="1128" t="s">
        <v>3384</v>
      </c>
      <c r="AB3660" s="20"/>
      <c r="AC3660" s="73"/>
    </row>
    <row r="3661" spans="1:29">
      <c r="A3661" s="327" t="str">
        <f>IF(AND($B3661&lt;&gt;"",$C3661&lt;&gt;""),MAX($A$1556:A3636)+1,"")</f>
        <v/>
      </c>
      <c r="B3661" s="361" t="s">
        <v>2019</v>
      </c>
      <c r="C3661" s="360"/>
      <c r="D3661" s="327">
        <f>IF($B3661="","",COUNTIF($B$6:$B3661,$B3661))</f>
        <v>14</v>
      </c>
      <c r="E3661" s="430" t="s">
        <v>1225</v>
      </c>
      <c r="F3661" s="431" t="s">
        <v>1220</v>
      </c>
      <c r="G3661" s="327" t="s">
        <v>155</v>
      </c>
      <c r="H3661" s="361"/>
      <c r="I3661" s="327">
        <v>2</v>
      </c>
      <c r="J3661" s="345"/>
      <c r="K3661" s="327"/>
      <c r="L3661" s="389">
        <v>62000</v>
      </c>
      <c r="M3661" s="371"/>
      <c r="N3661" s="355" t="str">
        <f t="shared" si="336"/>
        <v>PK</v>
      </c>
      <c r="O3661" s="407" t="s">
        <v>1699</v>
      </c>
      <c r="P3661" s="392"/>
      <c r="Q3661" s="327"/>
      <c r="R3661" s="351"/>
      <c r="S3661" s="351"/>
      <c r="T3661" s="351"/>
      <c r="U3661" s="329" t="str">
        <f>IF($N3661=$N$4,IFERROR(INDEX(DanhMuc!$E$154:$E$165,MATCH(MID($B3661,4,2),DanhMuc!$B$154:$B$165,0)),""),"")</f>
        <v/>
      </c>
      <c r="V3661" s="361"/>
      <c r="W3661" s="345"/>
      <c r="X3661" s="329" t="str">
        <f t="shared" si="334"/>
        <v>GQ</v>
      </c>
      <c r="Y3661" s="1128" t="s">
        <v>3380</v>
      </c>
      <c r="Z3661" s="1128" t="s">
        <v>3381</v>
      </c>
      <c r="AA3661" s="1128" t="s">
        <v>3384</v>
      </c>
      <c r="AB3661" s="20"/>
      <c r="AC3661" s="73"/>
    </row>
    <row r="3662" spans="1:29">
      <c r="A3662" s="327" t="str">
        <f>IF(AND($B3662&lt;&gt;"",$C3662&lt;&gt;""),MAX($A$1556:A3637)+1,"")</f>
        <v/>
      </c>
      <c r="B3662" s="361" t="s">
        <v>2019</v>
      </c>
      <c r="C3662" s="360"/>
      <c r="D3662" s="327">
        <f>IF($B3662="","",COUNTIF($B$6:$B3662,$B3662))</f>
        <v>15</v>
      </c>
      <c r="E3662" s="430" t="s">
        <v>1226</v>
      </c>
      <c r="F3662" s="431" t="s">
        <v>1221</v>
      </c>
      <c r="G3662" s="327" t="s">
        <v>155</v>
      </c>
      <c r="H3662" s="361"/>
      <c r="I3662" s="327">
        <v>2</v>
      </c>
      <c r="J3662" s="345"/>
      <c r="K3662" s="327"/>
      <c r="L3662" s="389">
        <v>72000</v>
      </c>
      <c r="M3662" s="371"/>
      <c r="N3662" s="355" t="str">
        <f t="shared" si="336"/>
        <v>PK</v>
      </c>
      <c r="O3662" s="407" t="s">
        <v>1700</v>
      </c>
      <c r="P3662" s="392"/>
      <c r="Q3662" s="327"/>
      <c r="R3662" s="351"/>
      <c r="S3662" s="351"/>
      <c r="T3662" s="351"/>
      <c r="U3662" s="329" t="str">
        <f>IF($N3662=$N$4,IFERROR(INDEX(DanhMuc!$E$154:$E$165,MATCH(MID($B3662,4,2),DanhMuc!$B$154:$B$165,0)),""),"")</f>
        <v/>
      </c>
      <c r="V3662" s="361"/>
      <c r="W3662" s="345"/>
      <c r="X3662" s="329" t="str">
        <f t="shared" si="334"/>
        <v>GQ</v>
      </c>
      <c r="Y3662" s="1128" t="s">
        <v>3380</v>
      </c>
      <c r="Z3662" s="1128" t="s">
        <v>3381</v>
      </c>
      <c r="AA3662" s="1128" t="s">
        <v>3384</v>
      </c>
      <c r="AB3662" s="20"/>
      <c r="AC3662" s="73"/>
    </row>
    <row r="3663" spans="1:29">
      <c r="A3663" s="327" t="str">
        <f>IF(AND($B3663&lt;&gt;"",$C3663&lt;&gt;""),MAX($A$1556:A3638)+1,"")</f>
        <v/>
      </c>
      <c r="B3663" s="361" t="s">
        <v>2019</v>
      </c>
      <c r="C3663" s="360"/>
      <c r="D3663" s="327">
        <f>IF($B3663="","",COUNTIF($B$6:$B3663,$B3663))</f>
        <v>16</v>
      </c>
      <c r="E3663" s="430" t="s">
        <v>1227</v>
      </c>
      <c r="F3663" s="431" t="s">
        <v>1222</v>
      </c>
      <c r="G3663" s="327" t="s">
        <v>155</v>
      </c>
      <c r="H3663" s="361"/>
      <c r="I3663" s="327">
        <v>2</v>
      </c>
      <c r="J3663" s="345"/>
      <c r="K3663" s="327"/>
      <c r="L3663" s="389">
        <v>83000</v>
      </c>
      <c r="M3663" s="371"/>
      <c r="N3663" s="355" t="str">
        <f t="shared" si="336"/>
        <v>PK</v>
      </c>
      <c r="O3663" s="407" t="s">
        <v>1701</v>
      </c>
      <c r="P3663" s="392"/>
      <c r="Q3663" s="327"/>
      <c r="R3663" s="351"/>
      <c r="S3663" s="351"/>
      <c r="T3663" s="351"/>
      <c r="U3663" s="329" t="str">
        <f>IF($N3663=$N$4,IFERROR(INDEX(DanhMuc!$E$154:$E$165,MATCH(MID($B3663,4,2),DanhMuc!$B$154:$B$165,0)),""),"")</f>
        <v/>
      </c>
      <c r="V3663" s="361"/>
      <c r="W3663" s="345"/>
      <c r="X3663" s="329" t="str">
        <f t="shared" si="334"/>
        <v>GQ</v>
      </c>
      <c r="Y3663" s="1128" t="s">
        <v>3380</v>
      </c>
      <c r="Z3663" s="1128" t="s">
        <v>3381</v>
      </c>
      <c r="AA3663" s="1128" t="s">
        <v>3384</v>
      </c>
      <c r="AB3663" s="20"/>
      <c r="AC3663" s="73"/>
    </row>
    <row r="3664" spans="1:29">
      <c r="A3664" s="327" t="str">
        <f>IF(AND($B3664&lt;&gt;"",$C3664&lt;&gt;""),MAX($A$1556:A3639)+1,"")</f>
        <v/>
      </c>
      <c r="B3664" s="361" t="s">
        <v>2019</v>
      </c>
      <c r="C3664" s="360"/>
      <c r="D3664" s="327">
        <f>IF($B3664="","",COUNTIF($B$6:$B3664,$B3664))</f>
        <v>17</v>
      </c>
      <c r="E3664" s="430" t="s">
        <v>1132</v>
      </c>
      <c r="F3664" s="431" t="s">
        <v>1133</v>
      </c>
      <c r="G3664" s="327" t="s">
        <v>155</v>
      </c>
      <c r="H3664" s="361"/>
      <c r="I3664" s="327">
        <v>2</v>
      </c>
      <c r="J3664" s="345"/>
      <c r="K3664" s="327"/>
      <c r="L3664" s="389">
        <v>1500</v>
      </c>
      <c r="M3664" s="371"/>
      <c r="N3664" s="355" t="str">
        <f t="shared" si="336"/>
        <v>PK</v>
      </c>
      <c r="O3664" s="345"/>
      <c r="P3664" s="392"/>
      <c r="Q3664" s="327"/>
      <c r="R3664" s="351"/>
      <c r="S3664" s="351"/>
      <c r="T3664" s="351"/>
      <c r="U3664" s="329" t="str">
        <f>IF($N3664=$N$4,IFERROR(INDEX(DanhMuc!$E$154:$E$165,MATCH(MID($B3664,4,2),DanhMuc!$B$154:$B$165,0)),""),"")</f>
        <v/>
      </c>
      <c r="V3664" s="361"/>
      <c r="W3664" s="345"/>
      <c r="X3664" s="329" t="str">
        <f t="shared" si="334"/>
        <v>GQ</v>
      </c>
      <c r="Y3664" s="1128" t="s">
        <v>3380</v>
      </c>
      <c r="Z3664" s="1128" t="s">
        <v>3381</v>
      </c>
      <c r="AA3664" s="1128" t="s">
        <v>3384</v>
      </c>
      <c r="AB3664" s="20"/>
      <c r="AC3664" s="73"/>
    </row>
    <row r="3665" spans="1:29" ht="26">
      <c r="A3665" s="327">
        <f>IF(AND($B3665&lt;&gt;"",$C3665&lt;&gt;""),MAX($A$1556:A3640)+1,"")</f>
        <v>179</v>
      </c>
      <c r="B3665" s="359" t="s">
        <v>2020</v>
      </c>
      <c r="C3665" s="370" t="s">
        <v>1566</v>
      </c>
      <c r="D3665" s="327">
        <f>IF($B3665="","",COUNTIF($B$6:$B3665,$B3665))</f>
        <v>1</v>
      </c>
      <c r="E3665" s="430" t="s">
        <v>1114</v>
      </c>
      <c r="F3665" s="362" t="s">
        <v>1012</v>
      </c>
      <c r="G3665" s="327" t="s">
        <v>296</v>
      </c>
      <c r="H3665" s="361"/>
      <c r="I3665" s="327">
        <v>1</v>
      </c>
      <c r="J3665" s="361"/>
      <c r="K3665" s="327"/>
      <c r="L3665" s="389">
        <v>31000</v>
      </c>
      <c r="M3665" s="371"/>
      <c r="N3665" s="355" t="str">
        <f t="shared" si="336"/>
        <v>PK</v>
      </c>
      <c r="O3665" s="345"/>
      <c r="P3665" s="392"/>
      <c r="Q3665" s="327"/>
      <c r="R3665" s="351"/>
      <c r="S3665" s="351"/>
      <c r="T3665" s="351"/>
      <c r="U3665" s="329" t="str">
        <f>IF($N3665=$N$4,IFERROR(INDEX(DanhMuc!$E$154:$E$165,MATCH(MID($B3665,4,2),DanhMuc!$B$154:$B$165,0)),""),"")</f>
        <v/>
      </c>
      <c r="V3665" s="361"/>
      <c r="W3665" s="345"/>
      <c r="X3665" s="329" t="str">
        <f t="shared" si="334"/>
        <v>GQ</v>
      </c>
      <c r="Y3665" s="1128" t="s">
        <v>3380</v>
      </c>
      <c r="Z3665" s="1128" t="s">
        <v>3381</v>
      </c>
      <c r="AA3665" s="1128" t="s">
        <v>3384</v>
      </c>
      <c r="AB3665" s="20"/>
      <c r="AC3665" s="73"/>
    </row>
    <row r="3666" spans="1:29">
      <c r="A3666" s="327" t="str">
        <f>IF(AND($B3666&lt;&gt;"",$C3666&lt;&gt;""),MAX($A$1556:A3641)+1,"")</f>
        <v/>
      </c>
      <c r="B3666" s="361" t="s">
        <v>2020</v>
      </c>
      <c r="C3666" s="360"/>
      <c r="D3666" s="327">
        <f>IF($B3666="","",COUNTIF($B$6:$B3666,$B3666))</f>
        <v>2</v>
      </c>
      <c r="E3666" s="419" t="s">
        <v>1124</v>
      </c>
      <c r="F3666" s="417" t="s">
        <v>1115</v>
      </c>
      <c r="G3666" s="418" t="s">
        <v>155</v>
      </c>
      <c r="H3666" s="419"/>
      <c r="I3666" s="416" t="s">
        <v>1237</v>
      </c>
      <c r="J3666" s="421"/>
      <c r="K3666" s="418"/>
      <c r="L3666" s="435">
        <v>47000</v>
      </c>
      <c r="M3666" s="371"/>
      <c r="N3666" s="355" t="str">
        <f t="shared" si="336"/>
        <v>PK</v>
      </c>
      <c r="O3666" s="345"/>
      <c r="P3666" s="392"/>
      <c r="Q3666" s="436"/>
      <c r="R3666" s="437"/>
      <c r="S3666" s="351"/>
      <c r="T3666" s="351"/>
      <c r="U3666" s="329" t="str">
        <f>IF($N3666=$N$4,IFERROR(INDEX(DanhMuc!$E$154:$E$165,MATCH(MID($B3666,4,2),DanhMuc!$B$154:$B$165,0)),""),"")</f>
        <v/>
      </c>
      <c r="V3666" s="361"/>
      <c r="W3666" s="345"/>
      <c r="X3666" s="329" t="str">
        <f t="shared" si="334"/>
        <v>GQ</v>
      </c>
      <c r="Y3666" s="1128" t="s">
        <v>3380</v>
      </c>
      <c r="Z3666" s="1128" t="s">
        <v>3381</v>
      </c>
      <c r="AA3666" s="1128" t="s">
        <v>3384</v>
      </c>
      <c r="AB3666" s="20"/>
      <c r="AC3666" s="73"/>
    </row>
    <row r="3667" spans="1:29">
      <c r="A3667" s="327" t="str">
        <f>IF(AND($B3667&lt;&gt;"",$C3667&lt;&gt;""),MAX($A$1556:A3642)+1,"")</f>
        <v/>
      </c>
      <c r="B3667" s="361" t="s">
        <v>2020</v>
      </c>
      <c r="C3667" s="360"/>
      <c r="D3667" s="327">
        <f>IF($B3667="","",COUNTIF($B$6:$B3667,$B3667))</f>
        <v>3</v>
      </c>
      <c r="E3667" s="419" t="s">
        <v>1125</v>
      </c>
      <c r="F3667" s="417" t="s">
        <v>1116</v>
      </c>
      <c r="G3667" s="418" t="s">
        <v>155</v>
      </c>
      <c r="H3667" s="419"/>
      <c r="I3667" s="416" t="s">
        <v>1238</v>
      </c>
      <c r="J3667" s="421"/>
      <c r="K3667" s="418"/>
      <c r="L3667" s="435">
        <v>54000</v>
      </c>
      <c r="M3667" s="371"/>
      <c r="N3667" s="355" t="str">
        <f t="shared" si="336"/>
        <v>PK</v>
      </c>
      <c r="O3667" s="345"/>
      <c r="P3667" s="392"/>
      <c r="Q3667" s="436"/>
      <c r="R3667" s="437"/>
      <c r="S3667" s="351"/>
      <c r="T3667" s="351"/>
      <c r="U3667" s="329" t="str">
        <f>IF($N3667=$N$4,IFERROR(INDEX(DanhMuc!$E$154:$E$165,MATCH(MID($B3667,4,2),DanhMuc!$B$154:$B$165,0)),""),"")</f>
        <v/>
      </c>
      <c r="V3667" s="361"/>
      <c r="W3667" s="345"/>
      <c r="X3667" s="329" t="str">
        <f t="shared" si="334"/>
        <v>GQ</v>
      </c>
      <c r="Y3667" s="1128" t="s">
        <v>3380</v>
      </c>
      <c r="Z3667" s="1128" t="s">
        <v>3381</v>
      </c>
      <c r="AA3667" s="1128" t="s">
        <v>3384</v>
      </c>
      <c r="AB3667" s="20"/>
      <c r="AC3667" s="73"/>
    </row>
    <row r="3668" spans="1:29">
      <c r="A3668" s="327" t="str">
        <f>IF(AND($B3668&lt;&gt;"",$C3668&lt;&gt;""),MAX($A$1556:A3643)+1,"")</f>
        <v/>
      </c>
      <c r="B3668" s="361" t="s">
        <v>2020</v>
      </c>
      <c r="C3668" s="360"/>
      <c r="D3668" s="327">
        <f>IF($B3668="","",COUNTIF($B$6:$B3668,$B3668))</f>
        <v>4</v>
      </c>
      <c r="E3668" s="419" t="s">
        <v>1126</v>
      </c>
      <c r="F3668" s="417" t="s">
        <v>1117</v>
      </c>
      <c r="G3668" s="418" t="s">
        <v>155</v>
      </c>
      <c r="H3668" s="419"/>
      <c r="I3668" s="416" t="s">
        <v>1239</v>
      </c>
      <c r="J3668" s="421"/>
      <c r="K3668" s="418"/>
      <c r="L3668" s="435">
        <v>58000</v>
      </c>
      <c r="M3668" s="371"/>
      <c r="N3668" s="355" t="str">
        <f t="shared" si="336"/>
        <v>PK</v>
      </c>
      <c r="O3668" s="345"/>
      <c r="P3668" s="392"/>
      <c r="Q3668" s="436"/>
      <c r="R3668" s="437"/>
      <c r="S3668" s="351"/>
      <c r="T3668" s="351"/>
      <c r="U3668" s="329" t="str">
        <f>IF($N3668=$N$4,IFERROR(INDEX(DanhMuc!$E$154:$E$165,MATCH(MID($B3668,4,2),DanhMuc!$B$154:$B$165,0)),""),"")</f>
        <v/>
      </c>
      <c r="V3668" s="361"/>
      <c r="W3668" s="345"/>
      <c r="X3668" s="329" t="str">
        <f t="shared" si="334"/>
        <v>GQ</v>
      </c>
      <c r="Y3668" s="1128" t="s">
        <v>3380</v>
      </c>
      <c r="Z3668" s="1128" t="s">
        <v>3381</v>
      </c>
      <c r="AA3668" s="1128" t="s">
        <v>3384</v>
      </c>
      <c r="AB3668" s="20"/>
      <c r="AC3668" s="73"/>
    </row>
    <row r="3669" spans="1:29">
      <c r="A3669" s="327" t="str">
        <f>IF(AND($B3669&lt;&gt;"",$C3669&lt;&gt;""),MAX($A$1556:A3644)+1,"")</f>
        <v/>
      </c>
      <c r="B3669" s="361" t="s">
        <v>2020</v>
      </c>
      <c r="C3669" s="360"/>
      <c r="D3669" s="327">
        <f>IF($B3669="","",COUNTIF($B$6:$B3669,$B3669))</f>
        <v>5</v>
      </c>
      <c r="E3669" s="419" t="s">
        <v>1127</v>
      </c>
      <c r="F3669" s="417" t="s">
        <v>1118</v>
      </c>
      <c r="G3669" s="418" t="s">
        <v>155</v>
      </c>
      <c r="H3669" s="419"/>
      <c r="I3669" s="416" t="s">
        <v>1240</v>
      </c>
      <c r="J3669" s="421"/>
      <c r="K3669" s="418"/>
      <c r="L3669" s="435">
        <v>63000</v>
      </c>
      <c r="M3669" s="371"/>
      <c r="N3669" s="355" t="str">
        <f t="shared" si="336"/>
        <v>PK</v>
      </c>
      <c r="O3669" s="345"/>
      <c r="P3669" s="392"/>
      <c r="Q3669" s="436"/>
      <c r="R3669" s="437"/>
      <c r="S3669" s="351"/>
      <c r="T3669" s="351"/>
      <c r="U3669" s="329" t="str">
        <f>IF($N3669=$N$4,IFERROR(INDEX(DanhMuc!$E$154:$E$165,MATCH(MID($B3669,4,2),DanhMuc!$B$154:$B$165,0)),""),"")</f>
        <v/>
      </c>
      <c r="V3669" s="361"/>
      <c r="W3669" s="345"/>
      <c r="X3669" s="329" t="str">
        <f t="shared" ref="X3669:X3732" si="337">IF($N3669="PR",$E3669,MID($B3669,10,2))</f>
        <v>GQ</v>
      </c>
      <c r="Y3669" s="1128" t="s">
        <v>3380</v>
      </c>
      <c r="Z3669" s="1128" t="s">
        <v>3381</v>
      </c>
      <c r="AA3669" s="1128" t="s">
        <v>3384</v>
      </c>
      <c r="AB3669" s="20"/>
      <c r="AC3669" s="73"/>
    </row>
    <row r="3670" spans="1:29">
      <c r="A3670" s="327" t="str">
        <f>IF(AND($B3670&lt;&gt;"",$C3670&lt;&gt;""),MAX($A$1556:A3645)+1,"")</f>
        <v/>
      </c>
      <c r="B3670" s="361" t="s">
        <v>2020</v>
      </c>
      <c r="C3670" s="360"/>
      <c r="D3670" s="327">
        <f>IF($B3670="","",COUNTIF($B$6:$B3670,$B3670))</f>
        <v>6</v>
      </c>
      <c r="E3670" s="419" t="s">
        <v>1128</v>
      </c>
      <c r="F3670" s="417" t="s">
        <v>1119</v>
      </c>
      <c r="G3670" s="418" t="s">
        <v>155</v>
      </c>
      <c r="H3670" s="419"/>
      <c r="I3670" s="416" t="s">
        <v>1241</v>
      </c>
      <c r="J3670" s="421"/>
      <c r="K3670" s="418"/>
      <c r="L3670" s="435">
        <v>78000</v>
      </c>
      <c r="M3670" s="371"/>
      <c r="N3670" s="355" t="str">
        <f t="shared" si="336"/>
        <v>PK</v>
      </c>
      <c r="O3670" s="345"/>
      <c r="P3670" s="392"/>
      <c r="Q3670" s="436"/>
      <c r="R3670" s="437"/>
      <c r="S3670" s="351"/>
      <c r="T3670" s="351"/>
      <c r="U3670" s="329" t="str">
        <f>IF($N3670=$N$4,IFERROR(INDEX(DanhMuc!$E$154:$E$165,MATCH(MID($B3670,4,2),DanhMuc!$B$154:$B$165,0)),""),"")</f>
        <v/>
      </c>
      <c r="V3670" s="361"/>
      <c r="W3670" s="345"/>
      <c r="X3670" s="329" t="str">
        <f t="shared" si="337"/>
        <v>GQ</v>
      </c>
      <c r="Y3670" s="1128" t="s">
        <v>3380</v>
      </c>
      <c r="Z3670" s="1128" t="s">
        <v>3381</v>
      </c>
      <c r="AA3670" s="1128" t="s">
        <v>3384</v>
      </c>
      <c r="AB3670" s="20"/>
      <c r="AC3670" s="73"/>
    </row>
    <row r="3671" spans="1:29">
      <c r="A3671" s="327" t="str">
        <f>IF(AND($B3671&lt;&gt;"",$C3671&lt;&gt;""),MAX($A$1556:A3646)+1,"")</f>
        <v/>
      </c>
      <c r="B3671" s="361" t="s">
        <v>2020</v>
      </c>
      <c r="C3671" s="360"/>
      <c r="D3671" s="327">
        <f>IF($B3671="","",COUNTIF($B$6:$B3671,$B3671))</f>
        <v>7</v>
      </c>
      <c r="E3671" s="419" t="s">
        <v>2365</v>
      </c>
      <c r="F3671" s="417" t="s">
        <v>1120</v>
      </c>
      <c r="G3671" s="418" t="s">
        <v>155</v>
      </c>
      <c r="H3671" s="419"/>
      <c r="I3671" s="416" t="s">
        <v>1242</v>
      </c>
      <c r="J3671" s="421"/>
      <c r="K3671" s="418"/>
      <c r="L3671" s="435">
        <v>84000</v>
      </c>
      <c r="M3671" s="371"/>
      <c r="N3671" s="355" t="str">
        <f t="shared" si="336"/>
        <v>PK</v>
      </c>
      <c r="O3671" s="345"/>
      <c r="P3671" s="392"/>
      <c r="Q3671" s="436"/>
      <c r="R3671" s="437"/>
      <c r="S3671" s="351"/>
      <c r="T3671" s="351"/>
      <c r="U3671" s="329" t="str">
        <f>IF($N3671=$N$4,IFERROR(INDEX(DanhMuc!$E$154:$E$165,MATCH(MID($B3671,4,2),DanhMuc!$B$154:$B$165,0)),""),"")</f>
        <v/>
      </c>
      <c r="V3671" s="361"/>
      <c r="W3671" s="345"/>
      <c r="X3671" s="329" t="str">
        <f t="shared" si="337"/>
        <v>GQ</v>
      </c>
      <c r="Y3671" s="1128" t="s">
        <v>3380</v>
      </c>
      <c r="Z3671" s="1128" t="s">
        <v>3381</v>
      </c>
      <c r="AA3671" s="1128" t="s">
        <v>3384</v>
      </c>
      <c r="AB3671" s="20"/>
      <c r="AC3671" s="73"/>
    </row>
    <row r="3672" spans="1:29">
      <c r="A3672" s="327" t="str">
        <f>IF(AND($B3672&lt;&gt;"",$C3672&lt;&gt;""),MAX($A$1556:A3647)+1,"")</f>
        <v/>
      </c>
      <c r="B3672" s="361" t="s">
        <v>2020</v>
      </c>
      <c r="C3672" s="360"/>
      <c r="D3672" s="327">
        <f>IF($B3672="","",COUNTIF($B$6:$B3672,$B3672))</f>
        <v>8</v>
      </c>
      <c r="E3672" s="419" t="s">
        <v>1129</v>
      </c>
      <c r="F3672" s="417" t="s">
        <v>1121</v>
      </c>
      <c r="G3672" s="418" t="s">
        <v>155</v>
      </c>
      <c r="H3672" s="419"/>
      <c r="I3672" s="416" t="s">
        <v>1243</v>
      </c>
      <c r="J3672" s="421"/>
      <c r="K3672" s="418"/>
      <c r="L3672" s="435">
        <v>98000</v>
      </c>
      <c r="M3672" s="371"/>
      <c r="N3672" s="355" t="str">
        <f t="shared" si="336"/>
        <v>PK</v>
      </c>
      <c r="O3672" s="345"/>
      <c r="P3672" s="392"/>
      <c r="Q3672" s="436"/>
      <c r="R3672" s="437"/>
      <c r="S3672" s="351"/>
      <c r="T3672" s="351"/>
      <c r="U3672" s="329" t="str">
        <f>IF($N3672=$N$4,IFERROR(INDEX(DanhMuc!$E$154:$E$165,MATCH(MID($B3672,4,2),DanhMuc!$B$154:$B$165,0)),""),"")</f>
        <v/>
      </c>
      <c r="V3672" s="361"/>
      <c r="W3672" s="345"/>
      <c r="X3672" s="329" t="str">
        <f t="shared" si="337"/>
        <v>GQ</v>
      </c>
      <c r="Y3672" s="1128" t="s">
        <v>3380</v>
      </c>
      <c r="Z3672" s="1128" t="s">
        <v>3381</v>
      </c>
      <c r="AA3672" s="1128" t="s">
        <v>3384</v>
      </c>
      <c r="AB3672" s="20"/>
      <c r="AC3672" s="73"/>
    </row>
    <row r="3673" spans="1:29">
      <c r="A3673" s="327" t="str">
        <f>IF(AND($B3673&lt;&gt;"",$C3673&lt;&gt;""),MAX($A$1556:A3648)+1,"")</f>
        <v/>
      </c>
      <c r="B3673" s="361" t="s">
        <v>2020</v>
      </c>
      <c r="C3673" s="360"/>
      <c r="D3673" s="327">
        <f>IF($B3673="","",COUNTIF($B$6:$B3673,$B3673))</f>
        <v>9</v>
      </c>
      <c r="E3673" s="419" t="s">
        <v>1130</v>
      </c>
      <c r="F3673" s="417" t="s">
        <v>1122</v>
      </c>
      <c r="G3673" s="418" t="s">
        <v>155</v>
      </c>
      <c r="H3673" s="419"/>
      <c r="I3673" s="416" t="s">
        <v>1244</v>
      </c>
      <c r="J3673" s="421"/>
      <c r="K3673" s="418"/>
      <c r="L3673" s="435">
        <v>117000</v>
      </c>
      <c r="M3673" s="371"/>
      <c r="N3673" s="355" t="str">
        <f t="shared" si="336"/>
        <v>PK</v>
      </c>
      <c r="O3673" s="345"/>
      <c r="P3673" s="392"/>
      <c r="Q3673" s="436"/>
      <c r="R3673" s="437"/>
      <c r="S3673" s="351"/>
      <c r="T3673" s="351"/>
      <c r="U3673" s="329" t="str">
        <f>IF($N3673=$N$4,IFERROR(INDEX(DanhMuc!$E$154:$E$165,MATCH(MID($B3673,4,2),DanhMuc!$B$154:$B$165,0)),""),"")</f>
        <v/>
      </c>
      <c r="V3673" s="361"/>
      <c r="W3673" s="345"/>
      <c r="X3673" s="329" t="str">
        <f t="shared" si="337"/>
        <v>GQ</v>
      </c>
      <c r="Y3673" s="1128" t="s">
        <v>3380</v>
      </c>
      <c r="Z3673" s="1128" t="s">
        <v>3381</v>
      </c>
      <c r="AA3673" s="1128" t="s">
        <v>3384</v>
      </c>
      <c r="AB3673" s="20"/>
      <c r="AC3673" s="73"/>
    </row>
    <row r="3674" spans="1:29">
      <c r="A3674" s="327" t="str">
        <f>IF(AND($B3674&lt;&gt;"",$C3674&lt;&gt;""),MAX($A$1556:A3649)+1,"")</f>
        <v/>
      </c>
      <c r="B3674" s="361" t="s">
        <v>2020</v>
      </c>
      <c r="C3674" s="360"/>
      <c r="D3674" s="327">
        <f>IF($B3674="","",COUNTIF($B$6:$B3674,$B3674))</f>
        <v>10</v>
      </c>
      <c r="E3674" s="419" t="s">
        <v>1131</v>
      </c>
      <c r="F3674" s="417" t="s">
        <v>1123</v>
      </c>
      <c r="G3674" s="418" t="s">
        <v>155</v>
      </c>
      <c r="H3674" s="419"/>
      <c r="I3674" s="416" t="s">
        <v>1245</v>
      </c>
      <c r="J3674" s="421"/>
      <c r="K3674" s="418"/>
      <c r="L3674" s="435">
        <v>135000</v>
      </c>
      <c r="M3674" s="371"/>
      <c r="N3674" s="355" t="str">
        <f t="shared" si="336"/>
        <v>PK</v>
      </c>
      <c r="O3674" s="345"/>
      <c r="P3674" s="392"/>
      <c r="Q3674" s="327"/>
      <c r="R3674" s="437"/>
      <c r="S3674" s="351"/>
      <c r="T3674" s="351"/>
      <c r="U3674" s="329" t="str">
        <f>IF($N3674=$N$4,IFERROR(INDEX(DanhMuc!$E$154:$E$165,MATCH(MID($B3674,4,2),DanhMuc!$B$154:$B$165,0)),""),"")</f>
        <v/>
      </c>
      <c r="V3674" s="361"/>
      <c r="W3674" s="345"/>
      <c r="X3674" s="329" t="str">
        <f t="shared" si="337"/>
        <v>GQ</v>
      </c>
      <c r="Y3674" s="1128" t="s">
        <v>3380</v>
      </c>
      <c r="Z3674" s="1128" t="s">
        <v>3381</v>
      </c>
      <c r="AA3674" s="1128" t="s">
        <v>3384</v>
      </c>
      <c r="AB3674" s="20"/>
      <c r="AC3674" s="73"/>
    </row>
    <row r="3675" spans="1:29">
      <c r="A3675" s="327" t="str">
        <f>IF(AND($B3675&lt;&gt;"",$C3675&lt;&gt;""),MAX($A$1556:A3650)+1,"")</f>
        <v/>
      </c>
      <c r="B3675" s="361" t="s">
        <v>2020</v>
      </c>
      <c r="C3675" s="360"/>
      <c r="D3675" s="327">
        <f>IF($B3675="","",COUNTIF($B$6:$B3675,$B3675))</f>
        <v>11</v>
      </c>
      <c r="E3675" s="402" t="s">
        <v>1006</v>
      </c>
      <c r="F3675" s="432" t="s">
        <v>1017</v>
      </c>
      <c r="G3675" s="327" t="s">
        <v>155</v>
      </c>
      <c r="H3675" s="361"/>
      <c r="I3675" s="416" t="s">
        <v>2367</v>
      </c>
      <c r="J3675" s="345"/>
      <c r="K3675" s="327"/>
      <c r="L3675" s="420">
        <v>1</v>
      </c>
      <c r="M3675" s="371"/>
      <c r="N3675" s="355" t="str">
        <f t="shared" si="336"/>
        <v>PK</v>
      </c>
      <c r="O3675" s="345" t="s">
        <v>106</v>
      </c>
      <c r="P3675" s="392"/>
      <c r="Q3675" s="327"/>
      <c r="R3675" s="351"/>
      <c r="S3675" s="351"/>
      <c r="T3675" s="351"/>
      <c r="U3675" s="329" t="str">
        <f>IF($N3675=$N$4,IFERROR(INDEX(DanhMuc!$E$154:$E$165,MATCH(MID($B3675,4,2),DanhMuc!$B$154:$B$165,0)),""),"")</f>
        <v/>
      </c>
      <c r="V3675" s="361"/>
      <c r="W3675" s="345"/>
      <c r="X3675" s="329" t="str">
        <f t="shared" si="337"/>
        <v>GQ</v>
      </c>
      <c r="Y3675" s="1128" t="s">
        <v>3380</v>
      </c>
      <c r="Z3675" s="1128" t="s">
        <v>3381</v>
      </c>
      <c r="AA3675" s="1128" t="s">
        <v>3384</v>
      </c>
      <c r="AB3675" s="20"/>
      <c r="AC3675" s="73"/>
    </row>
    <row r="3676" spans="1:29">
      <c r="A3676" s="327" t="str">
        <f>IF(AND($B3676&lt;&gt;"",$C3676&lt;&gt;""),MAX($A$1556:A3651)+1,"")</f>
        <v/>
      </c>
      <c r="B3676" s="361" t="s">
        <v>2020</v>
      </c>
      <c r="C3676" s="360"/>
      <c r="D3676" s="327">
        <f>IF($B3676="","",COUNTIF($B$6:$B3676,$B3676))</f>
        <v>12</v>
      </c>
      <c r="E3676" s="402" t="s">
        <v>1007</v>
      </c>
      <c r="F3676" s="432" t="s">
        <v>1018</v>
      </c>
      <c r="G3676" s="327" t="s">
        <v>155</v>
      </c>
      <c r="H3676" s="361"/>
      <c r="I3676" s="416" t="s">
        <v>2366</v>
      </c>
      <c r="J3676" s="345"/>
      <c r="K3676" s="327"/>
      <c r="L3676" s="420">
        <v>1</v>
      </c>
      <c r="M3676" s="371"/>
      <c r="N3676" s="355" t="str">
        <f t="shared" si="336"/>
        <v>PK</v>
      </c>
      <c r="O3676" s="345" t="s">
        <v>1246</v>
      </c>
      <c r="P3676" s="392"/>
      <c r="Q3676" s="327"/>
      <c r="R3676" s="351"/>
      <c r="S3676" s="351"/>
      <c r="T3676" s="351"/>
      <c r="U3676" s="329" t="str">
        <f>IF($N3676=$N$4,IFERROR(INDEX(DanhMuc!$E$154:$E$165,MATCH(MID($B3676,4,2),DanhMuc!$B$154:$B$165,0)),""),"")</f>
        <v/>
      </c>
      <c r="V3676" s="361"/>
      <c r="W3676" s="345"/>
      <c r="X3676" s="329" t="str">
        <f t="shared" si="337"/>
        <v>GQ</v>
      </c>
      <c r="Y3676" s="1128" t="s">
        <v>3380</v>
      </c>
      <c r="Z3676" s="1128" t="s">
        <v>3381</v>
      </c>
      <c r="AA3676" s="1128" t="s">
        <v>3384</v>
      </c>
      <c r="AB3676" s="20"/>
      <c r="AC3676" s="73"/>
    </row>
    <row r="3677" spans="1:29">
      <c r="A3677" s="327" t="str">
        <f>IF(AND($B3677&lt;&gt;"",$C3677&lt;&gt;""),MAX($A$1556:A3652)+1,"")</f>
        <v/>
      </c>
      <c r="B3677" s="361" t="s">
        <v>2020</v>
      </c>
      <c r="C3677" s="360"/>
      <c r="D3677" s="327">
        <f>IF($B3677="","",COUNTIF($B$6:$B3677,$B3677))</f>
        <v>13</v>
      </c>
      <c r="E3677" s="430" t="s">
        <v>1223</v>
      </c>
      <c r="F3677" s="431" t="s">
        <v>1218</v>
      </c>
      <c r="G3677" s="327" t="s">
        <v>155</v>
      </c>
      <c r="H3677" s="361"/>
      <c r="I3677" s="327">
        <v>4</v>
      </c>
      <c r="J3677" s="345"/>
      <c r="K3677" s="327"/>
      <c r="L3677" s="389">
        <v>46000</v>
      </c>
      <c r="M3677" s="371"/>
      <c r="N3677" s="355" t="str">
        <f t="shared" si="336"/>
        <v>PK</v>
      </c>
      <c r="O3677" s="345" t="s">
        <v>1702</v>
      </c>
      <c r="P3677" s="392"/>
      <c r="Q3677" s="327"/>
      <c r="R3677" s="351"/>
      <c r="S3677" s="351"/>
      <c r="T3677" s="351"/>
      <c r="U3677" s="329" t="str">
        <f>IF($N3677=$N$4,IFERROR(INDEX(DanhMuc!$E$154:$E$165,MATCH(MID($B3677,4,2),DanhMuc!$B$154:$B$165,0)),""),"")</f>
        <v/>
      </c>
      <c r="V3677" s="361"/>
      <c r="W3677" s="345"/>
      <c r="X3677" s="329" t="str">
        <f t="shared" si="337"/>
        <v>GQ</v>
      </c>
      <c r="Y3677" s="1128" t="s">
        <v>3380</v>
      </c>
      <c r="Z3677" s="1128" t="s">
        <v>3381</v>
      </c>
      <c r="AA3677" s="1128" t="s">
        <v>3384</v>
      </c>
      <c r="AB3677" s="20"/>
      <c r="AC3677" s="73"/>
    </row>
    <row r="3678" spans="1:29">
      <c r="A3678" s="327" t="str">
        <f>IF(AND($B3678&lt;&gt;"",$C3678&lt;&gt;""),MAX($A$1556:A3653)+1,"")</f>
        <v/>
      </c>
      <c r="B3678" s="361" t="s">
        <v>2020</v>
      </c>
      <c r="C3678" s="360"/>
      <c r="D3678" s="327">
        <f>IF($B3678="","",COUNTIF($B$6:$B3678,$B3678))</f>
        <v>14</v>
      </c>
      <c r="E3678" s="430" t="s">
        <v>1224</v>
      </c>
      <c r="F3678" s="431" t="s">
        <v>1219</v>
      </c>
      <c r="G3678" s="327" t="s">
        <v>155</v>
      </c>
      <c r="H3678" s="361"/>
      <c r="I3678" s="327">
        <v>4</v>
      </c>
      <c r="J3678" s="345"/>
      <c r="K3678" s="327"/>
      <c r="L3678" s="389">
        <v>58000</v>
      </c>
      <c r="M3678" s="371"/>
      <c r="N3678" s="355" t="str">
        <f t="shared" si="336"/>
        <v>PK</v>
      </c>
      <c r="O3678" s="407" t="s">
        <v>1698</v>
      </c>
      <c r="P3678" s="392"/>
      <c r="Q3678" s="327"/>
      <c r="R3678" s="351"/>
      <c r="S3678" s="351"/>
      <c r="T3678" s="351"/>
      <c r="U3678" s="329" t="str">
        <f>IF($N3678=$N$4,IFERROR(INDEX(DanhMuc!$E$154:$E$165,MATCH(MID($B3678,4,2),DanhMuc!$B$154:$B$165,0)),""),"")</f>
        <v/>
      </c>
      <c r="V3678" s="361"/>
      <c r="W3678" s="345"/>
      <c r="X3678" s="329" t="str">
        <f t="shared" si="337"/>
        <v>GQ</v>
      </c>
      <c r="Y3678" s="1128" t="s">
        <v>3380</v>
      </c>
      <c r="Z3678" s="1128" t="s">
        <v>3381</v>
      </c>
      <c r="AA3678" s="1128" t="s">
        <v>3384</v>
      </c>
      <c r="AB3678" s="20"/>
      <c r="AC3678" s="73"/>
    </row>
    <row r="3679" spans="1:29">
      <c r="A3679" s="327" t="str">
        <f>IF(AND($B3679&lt;&gt;"",$C3679&lt;&gt;""),MAX($A$1556:A3654)+1,"")</f>
        <v/>
      </c>
      <c r="B3679" s="361" t="s">
        <v>2020</v>
      </c>
      <c r="C3679" s="360"/>
      <c r="D3679" s="327">
        <f>IF($B3679="","",COUNTIF($B$6:$B3679,$B3679))</f>
        <v>15</v>
      </c>
      <c r="E3679" s="430" t="s">
        <v>1225</v>
      </c>
      <c r="F3679" s="431" t="s">
        <v>1220</v>
      </c>
      <c r="G3679" s="327" t="s">
        <v>155</v>
      </c>
      <c r="H3679" s="361"/>
      <c r="I3679" s="327">
        <v>4</v>
      </c>
      <c r="J3679" s="345"/>
      <c r="K3679" s="327"/>
      <c r="L3679" s="389">
        <v>62000</v>
      </c>
      <c r="M3679" s="371"/>
      <c r="N3679" s="355" t="str">
        <f t="shared" si="336"/>
        <v>PK</v>
      </c>
      <c r="O3679" s="407" t="s">
        <v>1699</v>
      </c>
      <c r="P3679" s="392"/>
      <c r="Q3679" s="327"/>
      <c r="R3679" s="351"/>
      <c r="S3679" s="351"/>
      <c r="T3679" s="351"/>
      <c r="U3679" s="329" t="str">
        <f>IF($N3679=$N$4,IFERROR(INDEX(DanhMuc!$E$154:$E$165,MATCH(MID($B3679,4,2),DanhMuc!$B$154:$B$165,0)),""),"")</f>
        <v/>
      </c>
      <c r="V3679" s="361"/>
      <c r="W3679" s="345"/>
      <c r="X3679" s="329" t="str">
        <f t="shared" si="337"/>
        <v>GQ</v>
      </c>
      <c r="Y3679" s="1128" t="s">
        <v>3380</v>
      </c>
      <c r="Z3679" s="1128" t="s">
        <v>3381</v>
      </c>
      <c r="AA3679" s="1128" t="s">
        <v>3384</v>
      </c>
      <c r="AB3679" s="20"/>
      <c r="AC3679" s="73"/>
    </row>
    <row r="3680" spans="1:29">
      <c r="A3680" s="327" t="str">
        <f>IF(AND($B3680&lt;&gt;"",$C3680&lt;&gt;""),MAX($A$1556:A3655)+1,"")</f>
        <v/>
      </c>
      <c r="B3680" s="361" t="s">
        <v>2020</v>
      </c>
      <c r="C3680" s="360"/>
      <c r="D3680" s="327">
        <f>IF($B3680="","",COUNTIF($B$6:$B3680,$B3680))</f>
        <v>16</v>
      </c>
      <c r="E3680" s="430" t="s">
        <v>1226</v>
      </c>
      <c r="F3680" s="431" t="s">
        <v>1221</v>
      </c>
      <c r="G3680" s="327" t="s">
        <v>155</v>
      </c>
      <c r="H3680" s="361"/>
      <c r="I3680" s="327">
        <v>4</v>
      </c>
      <c r="J3680" s="345"/>
      <c r="K3680" s="327"/>
      <c r="L3680" s="389">
        <v>72000</v>
      </c>
      <c r="M3680" s="371"/>
      <c r="N3680" s="355" t="str">
        <f t="shared" si="336"/>
        <v>PK</v>
      </c>
      <c r="O3680" s="407" t="s">
        <v>1700</v>
      </c>
      <c r="P3680" s="392"/>
      <c r="Q3680" s="327"/>
      <c r="R3680" s="351"/>
      <c r="S3680" s="351"/>
      <c r="T3680" s="351"/>
      <c r="U3680" s="329" t="str">
        <f>IF($N3680=$N$4,IFERROR(INDEX(DanhMuc!$E$154:$E$165,MATCH(MID($B3680,4,2),DanhMuc!$B$154:$B$165,0)),""),"")</f>
        <v/>
      </c>
      <c r="V3680" s="361"/>
      <c r="W3680" s="345"/>
      <c r="X3680" s="329" t="str">
        <f t="shared" si="337"/>
        <v>GQ</v>
      </c>
      <c r="Y3680" s="1128" t="s">
        <v>3380</v>
      </c>
      <c r="Z3680" s="1128" t="s">
        <v>3381</v>
      </c>
      <c r="AA3680" s="1128" t="s">
        <v>3384</v>
      </c>
      <c r="AB3680" s="20"/>
      <c r="AC3680" s="73"/>
    </row>
    <row r="3681" spans="1:29">
      <c r="A3681" s="327" t="str">
        <f>IF(AND($B3681&lt;&gt;"",$C3681&lt;&gt;""),MAX($A$1556:A3656)+1,"")</f>
        <v/>
      </c>
      <c r="B3681" s="361" t="s">
        <v>2020</v>
      </c>
      <c r="C3681" s="360"/>
      <c r="D3681" s="327">
        <f>IF($B3681="","",COUNTIF($B$6:$B3681,$B3681))</f>
        <v>17</v>
      </c>
      <c r="E3681" s="430" t="s">
        <v>1227</v>
      </c>
      <c r="F3681" s="431" t="s">
        <v>1222</v>
      </c>
      <c r="G3681" s="327" t="s">
        <v>155</v>
      </c>
      <c r="H3681" s="361"/>
      <c r="I3681" s="327">
        <v>4</v>
      </c>
      <c r="J3681" s="345"/>
      <c r="K3681" s="327"/>
      <c r="L3681" s="389">
        <v>83000</v>
      </c>
      <c r="M3681" s="371"/>
      <c r="N3681" s="355" t="str">
        <f t="shared" si="336"/>
        <v>PK</v>
      </c>
      <c r="O3681" s="407" t="s">
        <v>1701</v>
      </c>
      <c r="P3681" s="392"/>
      <c r="Q3681" s="327"/>
      <c r="R3681" s="351"/>
      <c r="S3681" s="351"/>
      <c r="T3681" s="351"/>
      <c r="U3681" s="329" t="str">
        <f>IF($N3681=$N$4,IFERROR(INDEX(DanhMuc!$E$154:$E$165,MATCH(MID($B3681,4,2),DanhMuc!$B$154:$B$165,0)),""),"")</f>
        <v/>
      </c>
      <c r="V3681" s="361"/>
      <c r="W3681" s="345"/>
      <c r="X3681" s="329" t="str">
        <f t="shared" si="337"/>
        <v>GQ</v>
      </c>
      <c r="Y3681" s="1128" t="s">
        <v>3380</v>
      </c>
      <c r="Z3681" s="1128" t="s">
        <v>3381</v>
      </c>
      <c r="AA3681" s="1128" t="s">
        <v>3384</v>
      </c>
      <c r="AB3681" s="20"/>
      <c r="AC3681" s="73"/>
    </row>
    <row r="3682" spans="1:29">
      <c r="A3682" s="327" t="str">
        <f>IF(AND($B3682&lt;&gt;"",$C3682&lt;&gt;""),MAX($A$1556:A3657)+1,"")</f>
        <v/>
      </c>
      <c r="B3682" s="361" t="s">
        <v>2020</v>
      </c>
      <c r="C3682" s="360"/>
      <c r="D3682" s="327">
        <f>IF($B3682="","",COUNTIF($B$6:$B3682,$B3682))</f>
        <v>18</v>
      </c>
      <c r="E3682" s="430" t="s">
        <v>1132</v>
      </c>
      <c r="F3682" s="431" t="s">
        <v>1133</v>
      </c>
      <c r="G3682" s="327" t="s">
        <v>155</v>
      </c>
      <c r="H3682" s="361"/>
      <c r="I3682" s="327">
        <v>4</v>
      </c>
      <c r="J3682" s="345"/>
      <c r="K3682" s="327"/>
      <c r="L3682" s="389">
        <v>1500</v>
      </c>
      <c r="M3682" s="371"/>
      <c r="N3682" s="355" t="str">
        <f t="shared" si="336"/>
        <v>PK</v>
      </c>
      <c r="O3682" s="345"/>
      <c r="P3682" s="392"/>
      <c r="Q3682" s="327"/>
      <c r="R3682" s="351"/>
      <c r="S3682" s="351"/>
      <c r="T3682" s="351"/>
      <c r="U3682" s="329" t="str">
        <f>IF($N3682=$N$4,IFERROR(INDEX(DanhMuc!$E$154:$E$165,MATCH(MID($B3682,4,2),DanhMuc!$B$154:$B$165,0)),""),"")</f>
        <v/>
      </c>
      <c r="V3682" s="361"/>
      <c r="W3682" s="345"/>
      <c r="X3682" s="329" t="str">
        <f t="shared" si="337"/>
        <v>GQ</v>
      </c>
      <c r="Y3682" s="1128" t="s">
        <v>3380</v>
      </c>
      <c r="Z3682" s="1128" t="s">
        <v>3381</v>
      </c>
      <c r="AA3682" s="1128" t="s">
        <v>3384</v>
      </c>
      <c r="AB3682" s="20"/>
      <c r="AC3682" s="73"/>
    </row>
    <row r="3683" spans="1:29">
      <c r="A3683" s="327" t="str">
        <f>IF(AND($B3683&lt;&gt;"",$C3683&lt;&gt;""),MAX($A$1556:A3658)+1,"")</f>
        <v/>
      </c>
      <c r="B3683" s="361" t="s">
        <v>2020</v>
      </c>
      <c r="C3683" s="360"/>
      <c r="D3683" s="327">
        <f>IF($B3683="","",COUNTIF($B$6:$B3683,$B3683))</f>
        <v>19</v>
      </c>
      <c r="E3683" s="419" t="s">
        <v>1247</v>
      </c>
      <c r="F3683" s="417" t="s">
        <v>1249</v>
      </c>
      <c r="G3683" s="418" t="s">
        <v>155</v>
      </c>
      <c r="H3683" s="419"/>
      <c r="I3683" s="416" t="s">
        <v>1259</v>
      </c>
      <c r="J3683" s="421"/>
      <c r="K3683" s="418"/>
      <c r="L3683" s="936" t="s">
        <v>2361</v>
      </c>
      <c r="M3683" s="371"/>
      <c r="N3683" s="355" t="str">
        <f t="shared" si="336"/>
        <v>PK</v>
      </c>
      <c r="O3683" s="345"/>
      <c r="P3683" s="392"/>
      <c r="Q3683" s="327"/>
      <c r="R3683" s="351"/>
      <c r="S3683" s="351"/>
      <c r="T3683" s="351"/>
      <c r="U3683" s="329" t="str">
        <f>IF($N3683=$N$4,IFERROR(INDEX(DanhMuc!$E$154:$E$165,MATCH(MID($B3683,4,2),DanhMuc!$B$154:$B$165,0)),""),"")</f>
        <v/>
      </c>
      <c r="V3683" s="361"/>
      <c r="W3683" s="345"/>
      <c r="X3683" s="329" t="str">
        <f t="shared" si="337"/>
        <v>GQ</v>
      </c>
      <c r="Y3683" s="1128" t="s">
        <v>3380</v>
      </c>
      <c r="Z3683" s="1128" t="s">
        <v>3381</v>
      </c>
      <c r="AA3683" s="1128" t="s">
        <v>3384</v>
      </c>
      <c r="AB3683" s="20"/>
      <c r="AC3683" s="73"/>
    </row>
    <row r="3684" spans="1:29">
      <c r="A3684" s="327" t="str">
        <f>IF(AND($B3684&lt;&gt;"",$C3684&lt;&gt;""),MAX($A$1556:A3659)+1,"")</f>
        <v/>
      </c>
      <c r="B3684" s="361" t="s">
        <v>2020</v>
      </c>
      <c r="C3684" s="360"/>
      <c r="D3684" s="327">
        <f>IF($B3684="","",COUNTIF($B$6:$B3684,$B3684))</f>
        <v>20</v>
      </c>
      <c r="E3684" s="419" t="s">
        <v>1248</v>
      </c>
      <c r="F3684" s="417" t="s">
        <v>1249</v>
      </c>
      <c r="G3684" s="418" t="s">
        <v>155</v>
      </c>
      <c r="H3684" s="419"/>
      <c r="I3684" s="416" t="s">
        <v>1259</v>
      </c>
      <c r="J3684" s="421"/>
      <c r="K3684" s="418"/>
      <c r="L3684" s="936" t="s">
        <v>2361</v>
      </c>
      <c r="M3684" s="371"/>
      <c r="N3684" s="355" t="str">
        <f t="shared" si="336"/>
        <v>PK</v>
      </c>
      <c r="O3684" s="345"/>
      <c r="P3684" s="392"/>
      <c r="Q3684" s="327"/>
      <c r="R3684" s="351"/>
      <c r="S3684" s="351"/>
      <c r="T3684" s="351"/>
      <c r="U3684" s="329" t="str">
        <f>IF($N3684=$N$4,IFERROR(INDEX(DanhMuc!$E$154:$E$165,MATCH(MID($B3684,4,2),DanhMuc!$B$154:$B$165,0)),""),"")</f>
        <v/>
      </c>
      <c r="V3684" s="361"/>
      <c r="W3684" s="345"/>
      <c r="X3684" s="329" t="str">
        <f t="shared" si="337"/>
        <v>GQ</v>
      </c>
      <c r="Y3684" s="1128" t="s">
        <v>3380</v>
      </c>
      <c r="Z3684" s="1128" t="s">
        <v>3381</v>
      </c>
      <c r="AA3684" s="1128" t="s">
        <v>3384</v>
      </c>
      <c r="AB3684" s="20"/>
      <c r="AC3684" s="73"/>
    </row>
    <row r="3685" spans="1:29">
      <c r="A3685" s="327" t="str">
        <f>IF(AND($B3685&lt;&gt;"",$C3685&lt;&gt;""),MAX($A$1556:A3660)+1,"")</f>
        <v/>
      </c>
      <c r="B3685" s="361" t="s">
        <v>2020</v>
      </c>
      <c r="C3685" s="360"/>
      <c r="D3685" s="327">
        <f>IF($B3685="","",COUNTIF($B$6:$B3685,$B3685))</f>
        <v>21</v>
      </c>
      <c r="E3685" s="419" t="s">
        <v>1014</v>
      </c>
      <c r="F3685" s="417" t="s">
        <v>1138</v>
      </c>
      <c r="G3685" s="418" t="s">
        <v>155</v>
      </c>
      <c r="H3685" s="419"/>
      <c r="I3685" s="416" t="s">
        <v>1260</v>
      </c>
      <c r="J3685" s="421"/>
      <c r="K3685" s="418"/>
      <c r="L3685" s="433">
        <v>160000</v>
      </c>
      <c r="M3685" s="371"/>
      <c r="N3685" s="355" t="str">
        <f t="shared" si="336"/>
        <v>PK</v>
      </c>
      <c r="O3685" s="345"/>
      <c r="P3685" s="392"/>
      <c r="Q3685" s="327"/>
      <c r="R3685" s="351"/>
      <c r="S3685" s="351"/>
      <c r="T3685" s="351"/>
      <c r="U3685" s="329" t="str">
        <f>IF($N3685=$N$4,IFERROR(INDEX(DanhMuc!$E$154:$E$165,MATCH(MID($B3685,4,2),DanhMuc!$B$154:$B$165,0)),""),"")</f>
        <v/>
      </c>
      <c r="V3685" s="361"/>
      <c r="W3685" s="345"/>
      <c r="X3685" s="329" t="str">
        <f t="shared" si="337"/>
        <v>GQ</v>
      </c>
      <c r="Y3685" s="1128" t="s">
        <v>3380</v>
      </c>
      <c r="Z3685" s="1128" t="s">
        <v>3381</v>
      </c>
      <c r="AA3685" s="1128" t="s">
        <v>3384</v>
      </c>
      <c r="AB3685" s="20"/>
      <c r="AC3685" s="73"/>
    </row>
    <row r="3686" spans="1:29">
      <c r="A3686" s="327" t="str">
        <f>IF(AND($B3686&lt;&gt;"",$C3686&lt;&gt;""),MAX($A$1556:A3661)+1,"")</f>
        <v/>
      </c>
      <c r="B3686" s="361" t="s">
        <v>2020</v>
      </c>
      <c r="C3686" s="360"/>
      <c r="D3686" s="327">
        <f>IF($B3686="","",COUNTIF($B$6:$B3686,$B3686))</f>
        <v>22</v>
      </c>
      <c r="E3686" s="419" t="s">
        <v>1015</v>
      </c>
      <c r="F3686" s="417" t="s">
        <v>1137</v>
      </c>
      <c r="G3686" s="418" t="s">
        <v>155</v>
      </c>
      <c r="H3686" s="419"/>
      <c r="I3686" s="416" t="s">
        <v>1261</v>
      </c>
      <c r="J3686" s="421"/>
      <c r="K3686" s="418"/>
      <c r="L3686" s="420">
        <v>160000</v>
      </c>
      <c r="M3686" s="371"/>
      <c r="N3686" s="355" t="str">
        <f t="shared" si="336"/>
        <v>PK</v>
      </c>
      <c r="O3686" s="345"/>
      <c r="P3686" s="392"/>
      <c r="Q3686" s="327"/>
      <c r="R3686" s="351"/>
      <c r="S3686" s="351"/>
      <c r="T3686" s="351"/>
      <c r="U3686" s="329" t="str">
        <f>IF($N3686=$N$4,IFERROR(INDEX(DanhMuc!$E$154:$E$165,MATCH(MID($B3686,4,2),DanhMuc!$B$154:$B$165,0)),""),"")</f>
        <v/>
      </c>
      <c r="V3686" s="361"/>
      <c r="W3686" s="345"/>
      <c r="X3686" s="329" t="str">
        <f t="shared" si="337"/>
        <v>GQ</v>
      </c>
      <c r="Y3686" s="1128" t="s">
        <v>3380</v>
      </c>
      <c r="Z3686" s="1128" t="s">
        <v>3381</v>
      </c>
      <c r="AA3686" s="1128" t="s">
        <v>3384</v>
      </c>
      <c r="AB3686" s="20"/>
      <c r="AC3686" s="73"/>
    </row>
    <row r="3687" spans="1:29">
      <c r="A3687" s="327" t="str">
        <f>IF(AND($B3687&lt;&gt;"",$C3687&lt;&gt;""),MAX($A$1556:A3662)+1,"")</f>
        <v/>
      </c>
      <c r="B3687" s="361" t="s">
        <v>2020</v>
      </c>
      <c r="C3687" s="360"/>
      <c r="D3687" s="327">
        <f>IF($B3687="","",COUNTIF($B$6:$B3687,$B3687))</f>
        <v>23</v>
      </c>
      <c r="E3687" s="419" t="s">
        <v>1016</v>
      </c>
      <c r="F3687" s="417" t="s">
        <v>1136</v>
      </c>
      <c r="G3687" s="418" t="s">
        <v>155</v>
      </c>
      <c r="H3687" s="419"/>
      <c r="I3687" s="416" t="s">
        <v>1262</v>
      </c>
      <c r="J3687" s="421"/>
      <c r="K3687" s="418"/>
      <c r="L3687" s="420">
        <v>165000</v>
      </c>
      <c r="M3687" s="371"/>
      <c r="N3687" s="355" t="str">
        <f t="shared" si="336"/>
        <v>PK</v>
      </c>
      <c r="O3687" s="345"/>
      <c r="P3687" s="392"/>
      <c r="Q3687" s="327"/>
      <c r="R3687" s="351"/>
      <c r="S3687" s="351"/>
      <c r="T3687" s="351"/>
      <c r="U3687" s="329" t="str">
        <f>IF($N3687=$N$4,IFERROR(INDEX(DanhMuc!$E$154:$E$165,MATCH(MID($B3687,4,2),DanhMuc!$B$154:$B$165,0)),""),"")</f>
        <v/>
      </c>
      <c r="V3687" s="361"/>
      <c r="W3687" s="345"/>
      <c r="X3687" s="329" t="str">
        <f t="shared" si="337"/>
        <v>GQ</v>
      </c>
      <c r="Y3687" s="1128" t="s">
        <v>3380</v>
      </c>
      <c r="Z3687" s="1128" t="s">
        <v>3381</v>
      </c>
      <c r="AA3687" s="1128" t="s">
        <v>3384</v>
      </c>
      <c r="AB3687" s="20"/>
      <c r="AC3687" s="73"/>
    </row>
    <row r="3688" spans="1:29">
      <c r="A3688" s="327" t="str">
        <f>IF(AND($B3688&lt;&gt;"",$C3688&lt;&gt;""),MAX($A$1556:A3663)+1,"")</f>
        <v/>
      </c>
      <c r="B3688" s="361" t="s">
        <v>2020</v>
      </c>
      <c r="C3688" s="360"/>
      <c r="D3688" s="327">
        <f>IF($B3688="","",COUNTIF($B$6:$B3688,$B3688))</f>
        <v>24</v>
      </c>
      <c r="E3688" s="419" t="s">
        <v>1134</v>
      </c>
      <c r="F3688" s="417" t="s">
        <v>1135</v>
      </c>
      <c r="G3688" s="418" t="s">
        <v>155</v>
      </c>
      <c r="H3688" s="419"/>
      <c r="I3688" s="416" t="s">
        <v>1263</v>
      </c>
      <c r="J3688" s="421"/>
      <c r="K3688" s="418"/>
      <c r="L3688" s="936" t="s">
        <v>2361</v>
      </c>
      <c r="M3688" s="371"/>
      <c r="N3688" s="355" t="str">
        <f t="shared" si="336"/>
        <v>PK</v>
      </c>
      <c r="O3688" s="345"/>
      <c r="P3688" s="392"/>
      <c r="Q3688" s="327"/>
      <c r="R3688" s="351"/>
      <c r="S3688" s="351"/>
      <c r="T3688" s="351"/>
      <c r="U3688" s="329" t="str">
        <f>IF($N3688=$N$4,IFERROR(INDEX(DanhMuc!$E$154:$E$165,MATCH(MID($B3688,4,2),DanhMuc!$B$154:$B$165,0)),""),"")</f>
        <v/>
      </c>
      <c r="V3688" s="361"/>
      <c r="W3688" s="345"/>
      <c r="X3688" s="329" t="str">
        <f t="shared" si="337"/>
        <v>GQ</v>
      </c>
      <c r="Y3688" s="1128" t="s">
        <v>3380</v>
      </c>
      <c r="Z3688" s="1128" t="s">
        <v>3381</v>
      </c>
      <c r="AA3688" s="1128" t="s">
        <v>3384</v>
      </c>
      <c r="AB3688" s="20"/>
      <c r="AC3688" s="73"/>
    </row>
    <row r="3689" spans="1:29">
      <c r="A3689" s="327" t="str">
        <f>IF(AND($B3689&lt;&gt;"",$C3689&lt;&gt;""),MAX($A$1556:A3664)+1,"")</f>
        <v/>
      </c>
      <c r="B3689" s="361" t="s">
        <v>2020</v>
      </c>
      <c r="C3689" s="360"/>
      <c r="D3689" s="327">
        <f>IF($B3689="","",COUNTIF($B$6:$B3689,$B3689))</f>
        <v>25</v>
      </c>
      <c r="E3689" s="419" t="s">
        <v>980</v>
      </c>
      <c r="F3689" s="417" t="s">
        <v>1139</v>
      </c>
      <c r="G3689" s="418" t="s">
        <v>155</v>
      </c>
      <c r="H3689" s="419"/>
      <c r="I3689" s="418">
        <v>2</v>
      </c>
      <c r="J3689" s="421"/>
      <c r="K3689" s="418"/>
      <c r="L3689" s="420">
        <v>1</v>
      </c>
      <c r="M3689" s="371"/>
      <c r="N3689" s="355" t="str">
        <f t="shared" si="336"/>
        <v>PK</v>
      </c>
      <c r="O3689" s="345"/>
      <c r="P3689" s="392"/>
      <c r="Q3689" s="438"/>
      <c r="R3689" s="351"/>
      <c r="S3689" s="351"/>
      <c r="T3689" s="351"/>
      <c r="U3689" s="329" t="str">
        <f>IF($N3689=$N$4,IFERROR(INDEX(DanhMuc!$E$154:$E$165,MATCH(MID($B3689,4,2),DanhMuc!$B$154:$B$165,0)),""),"")</f>
        <v/>
      </c>
      <c r="V3689" s="361"/>
      <c r="W3689" s="345"/>
      <c r="X3689" s="329" t="str">
        <f t="shared" si="337"/>
        <v>GQ</v>
      </c>
      <c r="Y3689" s="1128" t="s">
        <v>3380</v>
      </c>
      <c r="Z3689" s="1128" t="s">
        <v>3381</v>
      </c>
      <c r="AA3689" s="1128" t="s">
        <v>3384</v>
      </c>
      <c r="AB3689" s="20"/>
      <c r="AC3689" s="73"/>
    </row>
    <row r="3690" spans="1:29">
      <c r="A3690" s="327" t="str">
        <f>IF(AND($B3690&lt;&gt;"",$C3690&lt;&gt;""),MAX($A$1556:A3665)+1,"")</f>
        <v/>
      </c>
      <c r="B3690" s="361" t="s">
        <v>2020</v>
      </c>
      <c r="C3690" s="360"/>
      <c r="D3690" s="327">
        <f>IF($B3690="","",COUNTIF($B$6:$B3690,$B3690))</f>
        <v>26</v>
      </c>
      <c r="E3690" s="419" t="s">
        <v>1005</v>
      </c>
      <c r="F3690" s="417" t="s">
        <v>979</v>
      </c>
      <c r="G3690" s="418" t="s">
        <v>155</v>
      </c>
      <c r="H3690" s="419"/>
      <c r="I3690" s="418">
        <v>2</v>
      </c>
      <c r="J3690" s="421"/>
      <c r="K3690" s="418"/>
      <c r="L3690" s="420">
        <v>1</v>
      </c>
      <c r="M3690" s="371"/>
      <c r="N3690" s="355" t="str">
        <f t="shared" si="336"/>
        <v>PK</v>
      </c>
      <c r="O3690" s="345"/>
      <c r="P3690" s="392"/>
      <c r="Q3690" s="438"/>
      <c r="R3690" s="351"/>
      <c r="S3690" s="351"/>
      <c r="T3690" s="351"/>
      <c r="U3690" s="329" t="str">
        <f>IF($N3690=$N$4,IFERROR(INDEX(DanhMuc!$E$154:$E$165,MATCH(MID($B3690,4,2),DanhMuc!$B$154:$B$165,0)),""),"")</f>
        <v/>
      </c>
      <c r="V3690" s="361"/>
      <c r="W3690" s="345"/>
      <c r="X3690" s="329" t="str">
        <f t="shared" si="337"/>
        <v>GQ</v>
      </c>
      <c r="Y3690" s="1128" t="s">
        <v>3380</v>
      </c>
      <c r="Z3690" s="1128" t="s">
        <v>3381</v>
      </c>
      <c r="AA3690" s="1128" t="s">
        <v>3384</v>
      </c>
      <c r="AB3690" s="20"/>
      <c r="AC3690" s="73"/>
    </row>
    <row r="3691" spans="1:29" ht="26">
      <c r="A3691" s="327">
        <f>IF(AND($B3691&lt;&gt;"",$C3691&lt;&gt;""),MAX($A$1556:A3666)+1,"")</f>
        <v>180</v>
      </c>
      <c r="B3691" s="359" t="s">
        <v>2021</v>
      </c>
      <c r="C3691" s="370" t="s">
        <v>1567</v>
      </c>
      <c r="D3691" s="327">
        <f>IF($B3691="","",COUNTIF($B$6:$B3691,$B3691))</f>
        <v>1</v>
      </c>
      <c r="E3691" s="430" t="s">
        <v>1114</v>
      </c>
      <c r="F3691" s="362" t="s">
        <v>1012</v>
      </c>
      <c r="G3691" s="327" t="s">
        <v>296</v>
      </c>
      <c r="H3691" s="361"/>
      <c r="I3691" s="327">
        <v>2</v>
      </c>
      <c r="J3691" s="361"/>
      <c r="K3691" s="327"/>
      <c r="L3691" s="389">
        <v>31000</v>
      </c>
      <c r="M3691" s="371"/>
      <c r="N3691" s="355" t="str">
        <f t="shared" si="336"/>
        <v>PK</v>
      </c>
      <c r="O3691" s="345"/>
      <c r="P3691" s="392"/>
      <c r="Q3691" s="327"/>
      <c r="R3691" s="351"/>
      <c r="S3691" s="351"/>
      <c r="T3691" s="351"/>
      <c r="U3691" s="329" t="str">
        <f>IF($N3691=$N$4,IFERROR(INDEX(DanhMuc!$E$154:$E$165,MATCH(MID($B3691,4,2),DanhMuc!$B$154:$B$165,0)),""),"")</f>
        <v/>
      </c>
      <c r="V3691" s="361"/>
      <c r="W3691" s="345"/>
      <c r="X3691" s="329" t="str">
        <f t="shared" si="337"/>
        <v>GQ</v>
      </c>
      <c r="Y3691" s="1128" t="s">
        <v>3380</v>
      </c>
      <c r="Z3691" s="1128" t="s">
        <v>3381</v>
      </c>
      <c r="AA3691" s="1128" t="s">
        <v>3384</v>
      </c>
      <c r="AB3691" s="20"/>
      <c r="AC3691" s="73"/>
    </row>
    <row r="3692" spans="1:29">
      <c r="A3692" s="327" t="str">
        <f>IF(AND($B3692&lt;&gt;"",$C3692&lt;&gt;""),MAX($A$1556:A3667)+1,"")</f>
        <v/>
      </c>
      <c r="B3692" s="361" t="s">
        <v>2021</v>
      </c>
      <c r="C3692" s="360"/>
      <c r="D3692" s="327">
        <f>IF($B3692="","",COUNTIF($B$6:$B3692,$B3692))</f>
        <v>2</v>
      </c>
      <c r="E3692" s="419" t="s">
        <v>1124</v>
      </c>
      <c r="F3692" s="417" t="s">
        <v>1115</v>
      </c>
      <c r="G3692" s="418" t="s">
        <v>155</v>
      </c>
      <c r="H3692" s="419"/>
      <c r="I3692" s="416" t="s">
        <v>1237</v>
      </c>
      <c r="J3692" s="421"/>
      <c r="K3692" s="418"/>
      <c r="L3692" s="435">
        <v>47000</v>
      </c>
      <c r="M3692" s="371"/>
      <c r="N3692" s="355" t="str">
        <f t="shared" si="336"/>
        <v>PK</v>
      </c>
      <c r="O3692" s="345"/>
      <c r="P3692" s="392"/>
      <c r="Q3692" s="436"/>
      <c r="R3692" s="437"/>
      <c r="S3692" s="351"/>
      <c r="T3692" s="351"/>
      <c r="U3692" s="329" t="str">
        <f>IF($N3692=$N$4,IFERROR(INDEX(DanhMuc!$E$154:$E$165,MATCH(MID($B3692,4,2),DanhMuc!$B$154:$B$165,0)),""),"")</f>
        <v/>
      </c>
      <c r="V3692" s="361"/>
      <c r="W3692" s="345"/>
      <c r="X3692" s="329" t="str">
        <f t="shared" si="337"/>
        <v>GQ</v>
      </c>
      <c r="Y3692" s="1128" t="s">
        <v>3380</v>
      </c>
      <c r="Z3692" s="1128" t="s">
        <v>3381</v>
      </c>
      <c r="AA3692" s="1128" t="s">
        <v>3384</v>
      </c>
      <c r="AB3692" s="20"/>
      <c r="AC3692" s="73"/>
    </row>
    <row r="3693" spans="1:29">
      <c r="A3693" s="327" t="str">
        <f>IF(AND($B3693&lt;&gt;"",$C3693&lt;&gt;""),MAX($A$1556:A3668)+1,"")</f>
        <v/>
      </c>
      <c r="B3693" s="361" t="s">
        <v>2021</v>
      </c>
      <c r="C3693" s="360"/>
      <c r="D3693" s="327">
        <f>IF($B3693="","",COUNTIF($B$6:$B3693,$B3693))</f>
        <v>3</v>
      </c>
      <c r="E3693" s="419" t="s">
        <v>1125</v>
      </c>
      <c r="F3693" s="417" t="s">
        <v>1116</v>
      </c>
      <c r="G3693" s="418" t="s">
        <v>155</v>
      </c>
      <c r="H3693" s="419"/>
      <c r="I3693" s="416" t="s">
        <v>1238</v>
      </c>
      <c r="J3693" s="421"/>
      <c r="K3693" s="418"/>
      <c r="L3693" s="435">
        <v>54000</v>
      </c>
      <c r="M3693" s="371"/>
      <c r="N3693" s="355" t="str">
        <f t="shared" si="336"/>
        <v>PK</v>
      </c>
      <c r="O3693" s="345"/>
      <c r="P3693" s="392"/>
      <c r="Q3693" s="436"/>
      <c r="R3693" s="437"/>
      <c r="S3693" s="351"/>
      <c r="T3693" s="351"/>
      <c r="U3693" s="329" t="str">
        <f>IF($N3693=$N$4,IFERROR(INDEX(DanhMuc!$E$154:$E$165,MATCH(MID($B3693,4,2),DanhMuc!$B$154:$B$165,0)),""),"")</f>
        <v/>
      </c>
      <c r="V3693" s="361"/>
      <c r="W3693" s="345"/>
      <c r="X3693" s="329" t="str">
        <f t="shared" si="337"/>
        <v>GQ</v>
      </c>
      <c r="Y3693" s="1128" t="s">
        <v>3380</v>
      </c>
      <c r="Z3693" s="1128" t="s">
        <v>3381</v>
      </c>
      <c r="AA3693" s="1128" t="s">
        <v>3384</v>
      </c>
      <c r="AB3693" s="20"/>
      <c r="AC3693" s="73"/>
    </row>
    <row r="3694" spans="1:29">
      <c r="A3694" s="327" t="str">
        <f>IF(AND($B3694&lt;&gt;"",$C3694&lt;&gt;""),MAX($A$1556:A3669)+1,"")</f>
        <v/>
      </c>
      <c r="B3694" s="361" t="s">
        <v>2021</v>
      </c>
      <c r="C3694" s="360"/>
      <c r="D3694" s="327">
        <f>IF($B3694="","",COUNTIF($B$6:$B3694,$B3694))</f>
        <v>4</v>
      </c>
      <c r="E3694" s="419" t="s">
        <v>1126</v>
      </c>
      <c r="F3694" s="417" t="s">
        <v>1117</v>
      </c>
      <c r="G3694" s="418" t="s">
        <v>155</v>
      </c>
      <c r="H3694" s="419"/>
      <c r="I3694" s="416" t="s">
        <v>1239</v>
      </c>
      <c r="J3694" s="421"/>
      <c r="K3694" s="418"/>
      <c r="L3694" s="435">
        <v>58000</v>
      </c>
      <c r="M3694" s="371"/>
      <c r="N3694" s="355" t="str">
        <f t="shared" si="336"/>
        <v>PK</v>
      </c>
      <c r="O3694" s="345"/>
      <c r="P3694" s="392"/>
      <c r="Q3694" s="436"/>
      <c r="R3694" s="437"/>
      <c r="S3694" s="351"/>
      <c r="T3694" s="351"/>
      <c r="U3694" s="329" t="str">
        <f>IF($N3694=$N$4,IFERROR(INDEX(DanhMuc!$E$154:$E$165,MATCH(MID($B3694,4,2),DanhMuc!$B$154:$B$165,0)),""),"")</f>
        <v/>
      </c>
      <c r="V3694" s="361"/>
      <c r="W3694" s="345"/>
      <c r="X3694" s="329" t="str">
        <f t="shared" si="337"/>
        <v>GQ</v>
      </c>
      <c r="Y3694" s="1128" t="s">
        <v>3380</v>
      </c>
      <c r="Z3694" s="1128" t="s">
        <v>3381</v>
      </c>
      <c r="AA3694" s="1128" t="s">
        <v>3384</v>
      </c>
      <c r="AB3694" s="20"/>
      <c r="AC3694" s="73"/>
    </row>
    <row r="3695" spans="1:29">
      <c r="A3695" s="327" t="str">
        <f>IF(AND($B3695&lt;&gt;"",$C3695&lt;&gt;""),MAX($A$1556:A3670)+1,"")</f>
        <v/>
      </c>
      <c r="B3695" s="361" t="s">
        <v>2021</v>
      </c>
      <c r="C3695" s="360"/>
      <c r="D3695" s="327">
        <f>IF($B3695="","",COUNTIF($B$6:$B3695,$B3695))</f>
        <v>5</v>
      </c>
      <c r="E3695" s="419" t="s">
        <v>1127</v>
      </c>
      <c r="F3695" s="417" t="s">
        <v>1118</v>
      </c>
      <c r="G3695" s="418" t="s">
        <v>155</v>
      </c>
      <c r="H3695" s="419"/>
      <c r="I3695" s="416" t="s">
        <v>1240</v>
      </c>
      <c r="J3695" s="421"/>
      <c r="K3695" s="418"/>
      <c r="L3695" s="435">
        <v>63000</v>
      </c>
      <c r="M3695" s="371"/>
      <c r="N3695" s="355" t="str">
        <f t="shared" si="336"/>
        <v>PK</v>
      </c>
      <c r="O3695" s="345"/>
      <c r="P3695" s="392"/>
      <c r="Q3695" s="436"/>
      <c r="R3695" s="437"/>
      <c r="S3695" s="351"/>
      <c r="T3695" s="351"/>
      <c r="U3695" s="329" t="str">
        <f>IF($N3695=$N$4,IFERROR(INDEX(DanhMuc!$E$154:$E$165,MATCH(MID($B3695,4,2),DanhMuc!$B$154:$B$165,0)),""),"")</f>
        <v/>
      </c>
      <c r="V3695" s="361"/>
      <c r="W3695" s="345"/>
      <c r="X3695" s="329" t="str">
        <f t="shared" si="337"/>
        <v>GQ</v>
      </c>
      <c r="Y3695" s="1128" t="s">
        <v>3380</v>
      </c>
      <c r="Z3695" s="1128" t="s">
        <v>3381</v>
      </c>
      <c r="AA3695" s="1128" t="s">
        <v>3384</v>
      </c>
      <c r="AB3695" s="20"/>
      <c r="AC3695" s="73"/>
    </row>
    <row r="3696" spans="1:29">
      <c r="A3696" s="327" t="str">
        <f>IF(AND($B3696&lt;&gt;"",$C3696&lt;&gt;""),MAX($A$1556:A3671)+1,"")</f>
        <v/>
      </c>
      <c r="B3696" s="361" t="s">
        <v>2021</v>
      </c>
      <c r="C3696" s="360"/>
      <c r="D3696" s="327">
        <f>IF($B3696="","",COUNTIF($B$6:$B3696,$B3696))</f>
        <v>6</v>
      </c>
      <c r="E3696" s="419" t="s">
        <v>1128</v>
      </c>
      <c r="F3696" s="417" t="s">
        <v>1119</v>
      </c>
      <c r="G3696" s="418" t="s">
        <v>155</v>
      </c>
      <c r="H3696" s="419"/>
      <c r="I3696" s="416" t="s">
        <v>1241</v>
      </c>
      <c r="J3696" s="421"/>
      <c r="K3696" s="418"/>
      <c r="L3696" s="435">
        <v>78000</v>
      </c>
      <c r="M3696" s="371"/>
      <c r="N3696" s="355" t="str">
        <f t="shared" si="336"/>
        <v>PK</v>
      </c>
      <c r="O3696" s="345"/>
      <c r="P3696" s="392"/>
      <c r="Q3696" s="436"/>
      <c r="R3696" s="437"/>
      <c r="S3696" s="351"/>
      <c r="T3696" s="351"/>
      <c r="U3696" s="329" t="str">
        <f>IF($N3696=$N$4,IFERROR(INDEX(DanhMuc!$E$154:$E$165,MATCH(MID($B3696,4,2),DanhMuc!$B$154:$B$165,0)),""),"")</f>
        <v/>
      </c>
      <c r="V3696" s="361"/>
      <c r="W3696" s="345"/>
      <c r="X3696" s="329" t="str">
        <f t="shared" si="337"/>
        <v>GQ</v>
      </c>
      <c r="Y3696" s="1128" t="s">
        <v>3380</v>
      </c>
      <c r="Z3696" s="1128" t="s">
        <v>3381</v>
      </c>
      <c r="AA3696" s="1128" t="s">
        <v>3384</v>
      </c>
      <c r="AB3696" s="20"/>
      <c r="AC3696" s="73"/>
    </row>
    <row r="3697" spans="1:29">
      <c r="A3697" s="327" t="str">
        <f>IF(AND($B3697&lt;&gt;"",$C3697&lt;&gt;""),MAX($A$1556:A3672)+1,"")</f>
        <v/>
      </c>
      <c r="B3697" s="361" t="s">
        <v>2021</v>
      </c>
      <c r="C3697" s="360"/>
      <c r="D3697" s="327">
        <f>IF($B3697="","",COUNTIF($B$6:$B3697,$B3697))</f>
        <v>7</v>
      </c>
      <c r="E3697" s="419" t="s">
        <v>2365</v>
      </c>
      <c r="F3697" s="417" t="s">
        <v>1120</v>
      </c>
      <c r="G3697" s="418" t="s">
        <v>155</v>
      </c>
      <c r="H3697" s="419"/>
      <c r="I3697" s="416" t="s">
        <v>1242</v>
      </c>
      <c r="J3697" s="421"/>
      <c r="K3697" s="418"/>
      <c r="L3697" s="435">
        <v>84000</v>
      </c>
      <c r="M3697" s="371"/>
      <c r="N3697" s="355" t="str">
        <f t="shared" si="336"/>
        <v>PK</v>
      </c>
      <c r="O3697" s="345"/>
      <c r="P3697" s="392"/>
      <c r="Q3697" s="436"/>
      <c r="R3697" s="437"/>
      <c r="S3697" s="351"/>
      <c r="T3697" s="351"/>
      <c r="U3697" s="329" t="str">
        <f>IF($N3697=$N$4,IFERROR(INDEX(DanhMuc!$E$154:$E$165,MATCH(MID($B3697,4,2),DanhMuc!$B$154:$B$165,0)),""),"")</f>
        <v/>
      </c>
      <c r="V3697" s="361"/>
      <c r="W3697" s="345"/>
      <c r="X3697" s="329" t="str">
        <f t="shared" si="337"/>
        <v>GQ</v>
      </c>
      <c r="Y3697" s="1128" t="s">
        <v>3380</v>
      </c>
      <c r="Z3697" s="1128" t="s">
        <v>3381</v>
      </c>
      <c r="AA3697" s="1128" t="s">
        <v>3384</v>
      </c>
      <c r="AB3697" s="20"/>
      <c r="AC3697" s="73"/>
    </row>
    <row r="3698" spans="1:29">
      <c r="A3698" s="327" t="str">
        <f>IF(AND($B3698&lt;&gt;"",$C3698&lt;&gt;""),MAX($A$1556:A3673)+1,"")</f>
        <v/>
      </c>
      <c r="B3698" s="361" t="s">
        <v>2021</v>
      </c>
      <c r="C3698" s="360"/>
      <c r="D3698" s="327">
        <f>IF($B3698="","",COUNTIF($B$6:$B3698,$B3698))</f>
        <v>8</v>
      </c>
      <c r="E3698" s="419" t="s">
        <v>1129</v>
      </c>
      <c r="F3698" s="417" t="s">
        <v>1121</v>
      </c>
      <c r="G3698" s="418" t="s">
        <v>155</v>
      </c>
      <c r="H3698" s="419"/>
      <c r="I3698" s="416" t="s">
        <v>1243</v>
      </c>
      <c r="J3698" s="421"/>
      <c r="K3698" s="418"/>
      <c r="L3698" s="435">
        <v>98000</v>
      </c>
      <c r="M3698" s="371"/>
      <c r="N3698" s="355" t="str">
        <f t="shared" si="336"/>
        <v>PK</v>
      </c>
      <c r="O3698" s="345"/>
      <c r="P3698" s="392"/>
      <c r="Q3698" s="436"/>
      <c r="R3698" s="437"/>
      <c r="S3698" s="351"/>
      <c r="T3698" s="351"/>
      <c r="U3698" s="329" t="str">
        <f>IF($N3698=$N$4,IFERROR(INDEX(DanhMuc!$E$154:$E$165,MATCH(MID($B3698,4,2),DanhMuc!$B$154:$B$165,0)),""),"")</f>
        <v/>
      </c>
      <c r="V3698" s="361"/>
      <c r="W3698" s="345"/>
      <c r="X3698" s="329" t="str">
        <f t="shared" si="337"/>
        <v>GQ</v>
      </c>
      <c r="Y3698" s="1128" t="s">
        <v>3380</v>
      </c>
      <c r="Z3698" s="1128" t="s">
        <v>3381</v>
      </c>
      <c r="AA3698" s="1128" t="s">
        <v>3384</v>
      </c>
      <c r="AB3698" s="20"/>
      <c r="AC3698" s="73"/>
    </row>
    <row r="3699" spans="1:29">
      <c r="A3699" s="327" t="str">
        <f>IF(AND($B3699&lt;&gt;"",$C3699&lt;&gt;""),MAX($A$1556:A3674)+1,"")</f>
        <v/>
      </c>
      <c r="B3699" s="361" t="s">
        <v>2021</v>
      </c>
      <c r="C3699" s="360"/>
      <c r="D3699" s="327">
        <f>IF($B3699="","",COUNTIF($B$6:$B3699,$B3699))</f>
        <v>9</v>
      </c>
      <c r="E3699" s="419" t="s">
        <v>1130</v>
      </c>
      <c r="F3699" s="417" t="s">
        <v>1122</v>
      </c>
      <c r="G3699" s="418" t="s">
        <v>155</v>
      </c>
      <c r="H3699" s="419"/>
      <c r="I3699" s="416" t="s">
        <v>1244</v>
      </c>
      <c r="J3699" s="421"/>
      <c r="K3699" s="418"/>
      <c r="L3699" s="435">
        <v>117000</v>
      </c>
      <c r="M3699" s="371"/>
      <c r="N3699" s="355" t="str">
        <f t="shared" si="336"/>
        <v>PK</v>
      </c>
      <c r="O3699" s="345"/>
      <c r="P3699" s="392"/>
      <c r="Q3699" s="436"/>
      <c r="R3699" s="437"/>
      <c r="S3699" s="351"/>
      <c r="T3699" s="351"/>
      <c r="U3699" s="329" t="str">
        <f>IF($N3699=$N$4,IFERROR(INDEX(DanhMuc!$E$154:$E$165,MATCH(MID($B3699,4,2),DanhMuc!$B$154:$B$165,0)),""),"")</f>
        <v/>
      </c>
      <c r="V3699" s="361"/>
      <c r="W3699" s="345"/>
      <c r="X3699" s="329" t="str">
        <f t="shared" si="337"/>
        <v>GQ</v>
      </c>
      <c r="Y3699" s="1128" t="s">
        <v>3380</v>
      </c>
      <c r="Z3699" s="1128" t="s">
        <v>3381</v>
      </c>
      <c r="AA3699" s="1128" t="s">
        <v>3384</v>
      </c>
      <c r="AB3699" s="20"/>
      <c r="AC3699" s="73"/>
    </row>
    <row r="3700" spans="1:29">
      <c r="A3700" s="327" t="str">
        <f>IF(AND($B3700&lt;&gt;"",$C3700&lt;&gt;""),MAX($A$1556:A3675)+1,"")</f>
        <v/>
      </c>
      <c r="B3700" s="361" t="s">
        <v>2021</v>
      </c>
      <c r="C3700" s="360"/>
      <c r="D3700" s="327">
        <f>IF($B3700="","",COUNTIF($B$6:$B3700,$B3700))</f>
        <v>10</v>
      </c>
      <c r="E3700" s="419" t="s">
        <v>1131</v>
      </c>
      <c r="F3700" s="417" t="s">
        <v>1123</v>
      </c>
      <c r="G3700" s="418" t="s">
        <v>155</v>
      </c>
      <c r="H3700" s="419"/>
      <c r="I3700" s="416" t="s">
        <v>1245</v>
      </c>
      <c r="J3700" s="421"/>
      <c r="K3700" s="418"/>
      <c r="L3700" s="435">
        <v>135000</v>
      </c>
      <c r="M3700" s="371"/>
      <c r="N3700" s="355" t="str">
        <f t="shared" si="336"/>
        <v>PK</v>
      </c>
      <c r="O3700" s="345"/>
      <c r="P3700" s="392"/>
      <c r="Q3700" s="327"/>
      <c r="R3700" s="437"/>
      <c r="S3700" s="351"/>
      <c r="T3700" s="351"/>
      <c r="U3700" s="329" t="str">
        <f>IF($N3700=$N$4,IFERROR(INDEX(DanhMuc!$E$154:$E$165,MATCH(MID($B3700,4,2),DanhMuc!$B$154:$B$165,0)),""),"")</f>
        <v/>
      </c>
      <c r="V3700" s="361"/>
      <c r="W3700" s="345"/>
      <c r="X3700" s="329" t="str">
        <f t="shared" si="337"/>
        <v>GQ</v>
      </c>
      <c r="Y3700" s="1128" t="s">
        <v>3380</v>
      </c>
      <c r="Z3700" s="1128" t="s">
        <v>3381</v>
      </c>
      <c r="AA3700" s="1128" t="s">
        <v>3384</v>
      </c>
      <c r="AB3700" s="20"/>
      <c r="AC3700" s="73"/>
    </row>
    <row r="3701" spans="1:29">
      <c r="A3701" s="327" t="str">
        <f>IF(AND($B3701&lt;&gt;"",$C3701&lt;&gt;""),MAX($A$1556:A3676)+1,"")</f>
        <v/>
      </c>
      <c r="B3701" s="361" t="s">
        <v>2021</v>
      </c>
      <c r="C3701" s="360"/>
      <c r="D3701" s="327">
        <f>IF($B3701="","",COUNTIF($B$6:$B3701,$B3701))</f>
        <v>11</v>
      </c>
      <c r="E3701" s="402" t="s">
        <v>1006</v>
      </c>
      <c r="F3701" s="432" t="s">
        <v>1017</v>
      </c>
      <c r="G3701" s="327" t="s">
        <v>155</v>
      </c>
      <c r="H3701" s="361"/>
      <c r="I3701" s="416" t="s">
        <v>2366</v>
      </c>
      <c r="J3701" s="345"/>
      <c r="K3701" s="327"/>
      <c r="L3701" s="420">
        <v>1</v>
      </c>
      <c r="M3701" s="371"/>
      <c r="N3701" s="355" t="str">
        <f t="shared" si="336"/>
        <v>PK</v>
      </c>
      <c r="O3701" s="345" t="s">
        <v>106</v>
      </c>
      <c r="P3701" s="392"/>
      <c r="Q3701" s="327"/>
      <c r="R3701" s="351"/>
      <c r="S3701" s="351"/>
      <c r="T3701" s="351"/>
      <c r="U3701" s="329" t="str">
        <f>IF($N3701=$N$4,IFERROR(INDEX(DanhMuc!$E$154:$E$165,MATCH(MID($B3701,4,2),DanhMuc!$B$154:$B$165,0)),""),"")</f>
        <v/>
      </c>
      <c r="V3701" s="361"/>
      <c r="W3701" s="345"/>
      <c r="X3701" s="329" t="str">
        <f t="shared" si="337"/>
        <v>GQ</v>
      </c>
      <c r="Y3701" s="1128" t="s">
        <v>3380</v>
      </c>
      <c r="Z3701" s="1128" t="s">
        <v>3381</v>
      </c>
      <c r="AA3701" s="1128" t="s">
        <v>3384</v>
      </c>
      <c r="AB3701" s="20"/>
      <c r="AC3701" s="73"/>
    </row>
    <row r="3702" spans="1:29">
      <c r="A3702" s="327" t="str">
        <f>IF(AND($B3702&lt;&gt;"",$C3702&lt;&gt;""),MAX($A$1556:A3677)+1,"")</f>
        <v/>
      </c>
      <c r="B3702" s="361" t="s">
        <v>2021</v>
      </c>
      <c r="C3702" s="360"/>
      <c r="D3702" s="327">
        <f>IF($B3702="","",COUNTIF($B$6:$B3702,$B3702))</f>
        <v>12</v>
      </c>
      <c r="E3702" s="402" t="s">
        <v>1007</v>
      </c>
      <c r="F3702" s="432" t="s">
        <v>1018</v>
      </c>
      <c r="G3702" s="327" t="s">
        <v>155</v>
      </c>
      <c r="H3702" s="361"/>
      <c r="I3702" s="416" t="s">
        <v>2366</v>
      </c>
      <c r="J3702" s="345"/>
      <c r="K3702" s="327"/>
      <c r="L3702" s="420">
        <v>1</v>
      </c>
      <c r="M3702" s="371"/>
      <c r="N3702" s="355" t="str">
        <f t="shared" si="336"/>
        <v>PK</v>
      </c>
      <c r="O3702" s="345" t="s">
        <v>1246</v>
      </c>
      <c r="P3702" s="392"/>
      <c r="Q3702" s="327"/>
      <c r="R3702" s="351"/>
      <c r="S3702" s="351"/>
      <c r="T3702" s="351"/>
      <c r="U3702" s="329" t="str">
        <f>IF($N3702=$N$4,IFERROR(INDEX(DanhMuc!$E$154:$E$165,MATCH(MID($B3702,4,2),DanhMuc!$B$154:$B$165,0)),""),"")</f>
        <v/>
      </c>
      <c r="V3702" s="361"/>
      <c r="W3702" s="345"/>
      <c r="X3702" s="329" t="str">
        <f t="shared" si="337"/>
        <v>GQ</v>
      </c>
      <c r="Y3702" s="1128" t="s">
        <v>3380</v>
      </c>
      <c r="Z3702" s="1128" t="s">
        <v>3381</v>
      </c>
      <c r="AA3702" s="1128" t="s">
        <v>3384</v>
      </c>
      <c r="AB3702" s="20"/>
      <c r="AC3702" s="73"/>
    </row>
    <row r="3703" spans="1:29">
      <c r="A3703" s="327" t="str">
        <f>IF(AND($B3703&lt;&gt;"",$C3703&lt;&gt;""),MAX($A$1556:A3678)+1,"")</f>
        <v/>
      </c>
      <c r="B3703" s="361" t="s">
        <v>2021</v>
      </c>
      <c r="C3703" s="360"/>
      <c r="D3703" s="327">
        <f>IF($B3703="","",COUNTIF($B$6:$B3703,$B3703))</f>
        <v>13</v>
      </c>
      <c r="E3703" s="430" t="s">
        <v>1223</v>
      </c>
      <c r="F3703" s="431" t="s">
        <v>1218</v>
      </c>
      <c r="G3703" s="327" t="s">
        <v>155</v>
      </c>
      <c r="H3703" s="361"/>
      <c r="I3703" s="327">
        <v>6</v>
      </c>
      <c r="J3703" s="345"/>
      <c r="K3703" s="327"/>
      <c r="L3703" s="389">
        <v>46000</v>
      </c>
      <c r="M3703" s="371"/>
      <c r="N3703" s="355" t="str">
        <f t="shared" si="336"/>
        <v>PK</v>
      </c>
      <c r="O3703" s="345" t="s">
        <v>1702</v>
      </c>
      <c r="P3703" s="392"/>
      <c r="Q3703" s="327"/>
      <c r="R3703" s="351"/>
      <c r="S3703" s="351"/>
      <c r="T3703" s="351"/>
      <c r="U3703" s="329" t="str">
        <f>IF($N3703=$N$4,IFERROR(INDEX(DanhMuc!$E$154:$E$165,MATCH(MID($B3703,4,2),DanhMuc!$B$154:$B$165,0)),""),"")</f>
        <v/>
      </c>
      <c r="V3703" s="361"/>
      <c r="W3703" s="345"/>
      <c r="X3703" s="329" t="str">
        <f t="shared" si="337"/>
        <v>GQ</v>
      </c>
      <c r="Y3703" s="1128" t="s">
        <v>3380</v>
      </c>
      <c r="Z3703" s="1128" t="s">
        <v>3381</v>
      </c>
      <c r="AA3703" s="1128" t="s">
        <v>3384</v>
      </c>
      <c r="AB3703" s="20"/>
      <c r="AC3703" s="73"/>
    </row>
    <row r="3704" spans="1:29">
      <c r="A3704" s="327" t="str">
        <f>IF(AND($B3704&lt;&gt;"",$C3704&lt;&gt;""),MAX($A$1556:A3679)+1,"")</f>
        <v/>
      </c>
      <c r="B3704" s="361" t="s">
        <v>2021</v>
      </c>
      <c r="C3704" s="360"/>
      <c r="D3704" s="327">
        <f>IF($B3704="","",COUNTIF($B$6:$B3704,$B3704))</f>
        <v>14</v>
      </c>
      <c r="E3704" s="430" t="s">
        <v>1224</v>
      </c>
      <c r="F3704" s="431" t="s">
        <v>1219</v>
      </c>
      <c r="G3704" s="327" t="s">
        <v>155</v>
      </c>
      <c r="H3704" s="361"/>
      <c r="I3704" s="327">
        <v>6</v>
      </c>
      <c r="J3704" s="345"/>
      <c r="K3704" s="327"/>
      <c r="L3704" s="389">
        <v>58000</v>
      </c>
      <c r="M3704" s="371"/>
      <c r="N3704" s="355" t="str">
        <f t="shared" si="336"/>
        <v>PK</v>
      </c>
      <c r="O3704" s="407" t="s">
        <v>1698</v>
      </c>
      <c r="P3704" s="392"/>
      <c r="Q3704" s="327"/>
      <c r="R3704" s="351"/>
      <c r="S3704" s="351"/>
      <c r="T3704" s="351"/>
      <c r="U3704" s="329" t="str">
        <f>IF($N3704=$N$4,IFERROR(INDEX(DanhMuc!$E$154:$E$165,MATCH(MID($B3704,4,2),DanhMuc!$B$154:$B$165,0)),""),"")</f>
        <v/>
      </c>
      <c r="V3704" s="361"/>
      <c r="W3704" s="345"/>
      <c r="X3704" s="329" t="str">
        <f t="shared" si="337"/>
        <v>GQ</v>
      </c>
      <c r="Y3704" s="1128" t="s">
        <v>3380</v>
      </c>
      <c r="Z3704" s="1128" t="s">
        <v>3381</v>
      </c>
      <c r="AA3704" s="1128" t="s">
        <v>3384</v>
      </c>
      <c r="AB3704" s="20"/>
      <c r="AC3704" s="73"/>
    </row>
    <row r="3705" spans="1:29">
      <c r="A3705" s="327" t="str">
        <f>IF(AND($B3705&lt;&gt;"",$C3705&lt;&gt;""),MAX($A$1556:A3680)+1,"")</f>
        <v/>
      </c>
      <c r="B3705" s="361" t="s">
        <v>2021</v>
      </c>
      <c r="C3705" s="360"/>
      <c r="D3705" s="327">
        <f>IF($B3705="","",COUNTIF($B$6:$B3705,$B3705))</f>
        <v>15</v>
      </c>
      <c r="E3705" s="430" t="s">
        <v>1225</v>
      </c>
      <c r="F3705" s="431" t="s">
        <v>1220</v>
      </c>
      <c r="G3705" s="327" t="s">
        <v>155</v>
      </c>
      <c r="H3705" s="361"/>
      <c r="I3705" s="327">
        <v>6</v>
      </c>
      <c r="J3705" s="345"/>
      <c r="K3705" s="327"/>
      <c r="L3705" s="389">
        <v>62000</v>
      </c>
      <c r="M3705" s="371"/>
      <c r="N3705" s="355" t="str">
        <f t="shared" si="336"/>
        <v>PK</v>
      </c>
      <c r="O3705" s="407" t="s">
        <v>1699</v>
      </c>
      <c r="P3705" s="392"/>
      <c r="Q3705" s="327"/>
      <c r="R3705" s="351"/>
      <c r="S3705" s="351"/>
      <c r="T3705" s="351"/>
      <c r="U3705" s="329" t="str">
        <f>IF($N3705=$N$4,IFERROR(INDEX(DanhMuc!$E$154:$E$165,MATCH(MID($B3705,4,2),DanhMuc!$B$154:$B$165,0)),""),"")</f>
        <v/>
      </c>
      <c r="V3705" s="361"/>
      <c r="W3705" s="345"/>
      <c r="X3705" s="329" t="str">
        <f t="shared" si="337"/>
        <v>GQ</v>
      </c>
      <c r="Y3705" s="1128" t="s">
        <v>3380</v>
      </c>
      <c r="Z3705" s="1128" t="s">
        <v>3381</v>
      </c>
      <c r="AA3705" s="1128" t="s">
        <v>3384</v>
      </c>
      <c r="AB3705" s="20"/>
      <c r="AC3705" s="73"/>
    </row>
    <row r="3706" spans="1:29">
      <c r="A3706" s="327" t="str">
        <f>IF(AND($B3706&lt;&gt;"",$C3706&lt;&gt;""),MAX($A$1556:A3681)+1,"")</f>
        <v/>
      </c>
      <c r="B3706" s="361" t="s">
        <v>2021</v>
      </c>
      <c r="C3706" s="360"/>
      <c r="D3706" s="327">
        <f>IF($B3706="","",COUNTIF($B$6:$B3706,$B3706))</f>
        <v>16</v>
      </c>
      <c r="E3706" s="430" t="s">
        <v>1226</v>
      </c>
      <c r="F3706" s="431" t="s">
        <v>1221</v>
      </c>
      <c r="G3706" s="327" t="s">
        <v>155</v>
      </c>
      <c r="H3706" s="361"/>
      <c r="I3706" s="327">
        <v>6</v>
      </c>
      <c r="J3706" s="345"/>
      <c r="K3706" s="327"/>
      <c r="L3706" s="389">
        <v>72000</v>
      </c>
      <c r="M3706" s="371"/>
      <c r="N3706" s="355" t="str">
        <f t="shared" si="336"/>
        <v>PK</v>
      </c>
      <c r="O3706" s="407" t="s">
        <v>1700</v>
      </c>
      <c r="P3706" s="392"/>
      <c r="Q3706" s="327"/>
      <c r="R3706" s="351"/>
      <c r="S3706" s="351"/>
      <c r="T3706" s="351"/>
      <c r="U3706" s="329" t="str">
        <f>IF($N3706=$N$4,IFERROR(INDEX(DanhMuc!$E$154:$E$165,MATCH(MID($B3706,4,2),DanhMuc!$B$154:$B$165,0)),""),"")</f>
        <v/>
      </c>
      <c r="V3706" s="361"/>
      <c r="W3706" s="345"/>
      <c r="X3706" s="329" t="str">
        <f t="shared" si="337"/>
        <v>GQ</v>
      </c>
      <c r="Y3706" s="1128" t="s">
        <v>3380</v>
      </c>
      <c r="Z3706" s="1128" t="s">
        <v>3381</v>
      </c>
      <c r="AA3706" s="1128" t="s">
        <v>3384</v>
      </c>
      <c r="AB3706" s="20"/>
      <c r="AC3706" s="73"/>
    </row>
    <row r="3707" spans="1:29">
      <c r="A3707" s="327" t="str">
        <f>IF(AND($B3707&lt;&gt;"",$C3707&lt;&gt;""),MAX($A$1556:A3682)+1,"")</f>
        <v/>
      </c>
      <c r="B3707" s="361" t="s">
        <v>2021</v>
      </c>
      <c r="C3707" s="360"/>
      <c r="D3707" s="327">
        <f>IF($B3707="","",COUNTIF($B$6:$B3707,$B3707))</f>
        <v>17</v>
      </c>
      <c r="E3707" s="430" t="s">
        <v>1227</v>
      </c>
      <c r="F3707" s="431" t="s">
        <v>1222</v>
      </c>
      <c r="G3707" s="327" t="s">
        <v>155</v>
      </c>
      <c r="H3707" s="361"/>
      <c r="I3707" s="327">
        <v>6</v>
      </c>
      <c r="J3707" s="345"/>
      <c r="K3707" s="327"/>
      <c r="L3707" s="389">
        <v>83000</v>
      </c>
      <c r="M3707" s="371"/>
      <c r="N3707" s="355" t="str">
        <f t="shared" si="336"/>
        <v>PK</v>
      </c>
      <c r="O3707" s="407" t="s">
        <v>1701</v>
      </c>
      <c r="P3707" s="392"/>
      <c r="Q3707" s="327"/>
      <c r="R3707" s="351"/>
      <c r="S3707" s="351"/>
      <c r="T3707" s="351"/>
      <c r="U3707" s="329" t="str">
        <f>IF($N3707=$N$4,IFERROR(INDEX(DanhMuc!$E$154:$E$165,MATCH(MID($B3707,4,2),DanhMuc!$B$154:$B$165,0)),""),"")</f>
        <v/>
      </c>
      <c r="V3707" s="361"/>
      <c r="W3707" s="345"/>
      <c r="X3707" s="329" t="str">
        <f t="shared" si="337"/>
        <v>GQ</v>
      </c>
      <c r="Y3707" s="1128" t="s">
        <v>3380</v>
      </c>
      <c r="Z3707" s="1128" t="s">
        <v>3381</v>
      </c>
      <c r="AA3707" s="1128" t="s">
        <v>3384</v>
      </c>
      <c r="AB3707" s="20"/>
      <c r="AC3707" s="73"/>
    </row>
    <row r="3708" spans="1:29">
      <c r="A3708" s="327" t="str">
        <f>IF(AND($B3708&lt;&gt;"",$C3708&lt;&gt;""),MAX($A$1556:A3683)+1,"")</f>
        <v/>
      </c>
      <c r="B3708" s="361" t="s">
        <v>2021</v>
      </c>
      <c r="C3708" s="360"/>
      <c r="D3708" s="327">
        <f>IF($B3708="","",COUNTIF($B$6:$B3708,$B3708))</f>
        <v>18</v>
      </c>
      <c r="E3708" s="430" t="s">
        <v>1132</v>
      </c>
      <c r="F3708" s="431" t="s">
        <v>1133</v>
      </c>
      <c r="G3708" s="327" t="s">
        <v>155</v>
      </c>
      <c r="H3708" s="361"/>
      <c r="I3708" s="327">
        <v>6</v>
      </c>
      <c r="J3708" s="345"/>
      <c r="K3708" s="327"/>
      <c r="L3708" s="389">
        <v>1500</v>
      </c>
      <c r="M3708" s="371"/>
      <c r="N3708" s="355" t="str">
        <f t="shared" si="336"/>
        <v>PK</v>
      </c>
      <c r="O3708" s="345"/>
      <c r="P3708" s="392"/>
      <c r="Q3708" s="327"/>
      <c r="R3708" s="351"/>
      <c r="S3708" s="351"/>
      <c r="T3708" s="351"/>
      <c r="U3708" s="329" t="str">
        <f>IF($N3708=$N$4,IFERROR(INDEX(DanhMuc!$E$154:$E$165,MATCH(MID($B3708,4,2),DanhMuc!$B$154:$B$165,0)),""),"")</f>
        <v/>
      </c>
      <c r="V3708" s="361"/>
      <c r="W3708" s="345"/>
      <c r="X3708" s="329" t="str">
        <f t="shared" si="337"/>
        <v>GQ</v>
      </c>
      <c r="Y3708" s="1128" t="s">
        <v>3380</v>
      </c>
      <c r="Z3708" s="1128" t="s">
        <v>3381</v>
      </c>
      <c r="AA3708" s="1128" t="s">
        <v>3384</v>
      </c>
      <c r="AB3708" s="20"/>
      <c r="AC3708" s="73"/>
    </row>
    <row r="3709" spans="1:29">
      <c r="A3709" s="327" t="str">
        <f>IF(AND($B3709&lt;&gt;"",$C3709&lt;&gt;""),MAX($A$1556:A3684)+1,"")</f>
        <v/>
      </c>
      <c r="B3709" s="361" t="s">
        <v>2021</v>
      </c>
      <c r="C3709" s="360"/>
      <c r="D3709" s="327">
        <f>IF($B3709="","",COUNTIF($B$6:$B3709,$B3709))</f>
        <v>19</v>
      </c>
      <c r="E3709" s="419" t="s">
        <v>1247</v>
      </c>
      <c r="F3709" s="417" t="s">
        <v>1249</v>
      </c>
      <c r="G3709" s="418" t="s">
        <v>155</v>
      </c>
      <c r="H3709" s="419"/>
      <c r="I3709" s="416" t="s">
        <v>1259</v>
      </c>
      <c r="J3709" s="421"/>
      <c r="K3709" s="418"/>
      <c r="L3709" s="936" t="s">
        <v>2361</v>
      </c>
      <c r="M3709" s="371"/>
      <c r="N3709" s="355" t="str">
        <f t="shared" si="336"/>
        <v>PK</v>
      </c>
      <c r="O3709" s="345"/>
      <c r="P3709" s="392"/>
      <c r="Q3709" s="327"/>
      <c r="R3709" s="351"/>
      <c r="S3709" s="351"/>
      <c r="T3709" s="351"/>
      <c r="U3709" s="329" t="str">
        <f>IF($N3709=$N$4,IFERROR(INDEX(DanhMuc!$E$154:$E$165,MATCH(MID($B3709,4,2),DanhMuc!$B$154:$B$165,0)),""),"")</f>
        <v/>
      </c>
      <c r="V3709" s="361"/>
      <c r="W3709" s="345"/>
      <c r="X3709" s="329" t="str">
        <f t="shared" si="337"/>
        <v>GQ</v>
      </c>
      <c r="Y3709" s="1128" t="s">
        <v>3380</v>
      </c>
      <c r="Z3709" s="1128" t="s">
        <v>3381</v>
      </c>
      <c r="AA3709" s="1128" t="s">
        <v>3384</v>
      </c>
      <c r="AB3709" s="20"/>
      <c r="AC3709" s="73"/>
    </row>
    <row r="3710" spans="1:29">
      <c r="A3710" s="327" t="str">
        <f>IF(AND($B3710&lt;&gt;"",$C3710&lt;&gt;""),MAX($A$1556:A3685)+1,"")</f>
        <v/>
      </c>
      <c r="B3710" s="361" t="s">
        <v>2021</v>
      </c>
      <c r="C3710" s="360"/>
      <c r="D3710" s="327">
        <f>IF($B3710="","",COUNTIF($B$6:$B3710,$B3710))</f>
        <v>20</v>
      </c>
      <c r="E3710" s="419" t="s">
        <v>1248</v>
      </c>
      <c r="F3710" s="417" t="s">
        <v>1249</v>
      </c>
      <c r="G3710" s="418" t="s">
        <v>155</v>
      </c>
      <c r="H3710" s="419"/>
      <c r="I3710" s="416" t="s">
        <v>1259</v>
      </c>
      <c r="J3710" s="421"/>
      <c r="K3710" s="418"/>
      <c r="L3710" s="936" t="s">
        <v>2361</v>
      </c>
      <c r="M3710" s="371"/>
      <c r="N3710" s="355" t="str">
        <f t="shared" si="336"/>
        <v>PK</v>
      </c>
      <c r="O3710" s="345"/>
      <c r="P3710" s="392"/>
      <c r="Q3710" s="327"/>
      <c r="R3710" s="351"/>
      <c r="S3710" s="351"/>
      <c r="T3710" s="351"/>
      <c r="U3710" s="329" t="str">
        <f>IF($N3710=$N$4,IFERROR(INDEX(DanhMuc!$E$154:$E$165,MATCH(MID($B3710,4,2),DanhMuc!$B$154:$B$165,0)),""),"")</f>
        <v/>
      </c>
      <c r="V3710" s="361"/>
      <c r="W3710" s="345"/>
      <c r="X3710" s="329" t="str">
        <f t="shared" si="337"/>
        <v>GQ</v>
      </c>
      <c r="Y3710" s="1128" t="s">
        <v>3380</v>
      </c>
      <c r="Z3710" s="1128" t="s">
        <v>3381</v>
      </c>
      <c r="AA3710" s="1128" t="s">
        <v>3384</v>
      </c>
      <c r="AB3710" s="20"/>
      <c r="AC3710" s="73"/>
    </row>
    <row r="3711" spans="1:29">
      <c r="A3711" s="327" t="str">
        <f>IF(AND($B3711&lt;&gt;"",$C3711&lt;&gt;""),MAX($A$1556:A3686)+1,"")</f>
        <v/>
      </c>
      <c r="B3711" s="361" t="s">
        <v>2021</v>
      </c>
      <c r="C3711" s="360"/>
      <c r="D3711" s="327">
        <f>IF($B3711="","",COUNTIF($B$6:$B3711,$B3711))</f>
        <v>21</v>
      </c>
      <c r="E3711" s="419" t="s">
        <v>1014</v>
      </c>
      <c r="F3711" s="417" t="s">
        <v>1138</v>
      </c>
      <c r="G3711" s="418" t="s">
        <v>155</v>
      </c>
      <c r="H3711" s="419"/>
      <c r="I3711" s="416" t="s">
        <v>1260</v>
      </c>
      <c r="J3711" s="421"/>
      <c r="K3711" s="418"/>
      <c r="L3711" s="433">
        <v>160000</v>
      </c>
      <c r="M3711" s="371"/>
      <c r="N3711" s="355" t="str">
        <f t="shared" si="336"/>
        <v>PK</v>
      </c>
      <c r="O3711" s="345"/>
      <c r="P3711" s="392"/>
      <c r="Q3711" s="327"/>
      <c r="R3711" s="351"/>
      <c r="S3711" s="351"/>
      <c r="T3711" s="351"/>
      <c r="U3711" s="329" t="str">
        <f>IF($N3711=$N$4,IFERROR(INDEX(DanhMuc!$E$154:$E$165,MATCH(MID($B3711,4,2),DanhMuc!$B$154:$B$165,0)),""),"")</f>
        <v/>
      </c>
      <c r="V3711" s="361"/>
      <c r="W3711" s="345"/>
      <c r="X3711" s="329" t="str">
        <f t="shared" si="337"/>
        <v>GQ</v>
      </c>
      <c r="Y3711" s="1128" t="s">
        <v>3380</v>
      </c>
      <c r="Z3711" s="1128" t="s">
        <v>3381</v>
      </c>
      <c r="AA3711" s="1128" t="s">
        <v>3384</v>
      </c>
      <c r="AB3711" s="20"/>
      <c r="AC3711" s="73"/>
    </row>
    <row r="3712" spans="1:29">
      <c r="A3712" s="327" t="str">
        <f>IF(AND($B3712&lt;&gt;"",$C3712&lt;&gt;""),MAX($A$1556:A3687)+1,"")</f>
        <v/>
      </c>
      <c r="B3712" s="361" t="s">
        <v>2021</v>
      </c>
      <c r="C3712" s="360"/>
      <c r="D3712" s="327">
        <f>IF($B3712="","",COUNTIF($B$6:$B3712,$B3712))</f>
        <v>22</v>
      </c>
      <c r="E3712" s="419" t="s">
        <v>1015</v>
      </c>
      <c r="F3712" s="417" t="s">
        <v>1137</v>
      </c>
      <c r="G3712" s="418" t="s">
        <v>155</v>
      </c>
      <c r="H3712" s="419"/>
      <c r="I3712" s="416" t="s">
        <v>1261</v>
      </c>
      <c r="J3712" s="421"/>
      <c r="K3712" s="418"/>
      <c r="L3712" s="420">
        <v>160000</v>
      </c>
      <c r="M3712" s="371"/>
      <c r="N3712" s="355" t="str">
        <f t="shared" si="336"/>
        <v>PK</v>
      </c>
      <c r="O3712" s="345"/>
      <c r="P3712" s="392"/>
      <c r="Q3712" s="327"/>
      <c r="R3712" s="351"/>
      <c r="S3712" s="351"/>
      <c r="T3712" s="351"/>
      <c r="U3712" s="329" t="str">
        <f>IF($N3712=$N$4,IFERROR(INDEX(DanhMuc!$E$154:$E$165,MATCH(MID($B3712,4,2),DanhMuc!$B$154:$B$165,0)),""),"")</f>
        <v/>
      </c>
      <c r="V3712" s="361"/>
      <c r="W3712" s="345"/>
      <c r="X3712" s="329" t="str">
        <f t="shared" si="337"/>
        <v>GQ</v>
      </c>
      <c r="Y3712" s="1128" t="s">
        <v>3380</v>
      </c>
      <c r="Z3712" s="1128" t="s">
        <v>3381</v>
      </c>
      <c r="AA3712" s="1128" t="s">
        <v>3384</v>
      </c>
      <c r="AB3712" s="20"/>
      <c r="AC3712" s="73"/>
    </row>
    <row r="3713" spans="1:29">
      <c r="A3713" s="327" t="str">
        <f>IF(AND($B3713&lt;&gt;"",$C3713&lt;&gt;""),MAX($A$1556:A3688)+1,"")</f>
        <v/>
      </c>
      <c r="B3713" s="361" t="s">
        <v>2021</v>
      </c>
      <c r="C3713" s="360"/>
      <c r="D3713" s="327">
        <f>IF($B3713="","",COUNTIF($B$6:$B3713,$B3713))</f>
        <v>23</v>
      </c>
      <c r="E3713" s="419" t="s">
        <v>1016</v>
      </c>
      <c r="F3713" s="417" t="s">
        <v>1136</v>
      </c>
      <c r="G3713" s="418" t="s">
        <v>155</v>
      </c>
      <c r="H3713" s="419"/>
      <c r="I3713" s="416" t="s">
        <v>1262</v>
      </c>
      <c r="J3713" s="421"/>
      <c r="K3713" s="418"/>
      <c r="L3713" s="420">
        <v>165000</v>
      </c>
      <c r="M3713" s="371"/>
      <c r="N3713" s="355" t="str">
        <f t="shared" si="336"/>
        <v>PK</v>
      </c>
      <c r="O3713" s="345"/>
      <c r="P3713" s="392"/>
      <c r="Q3713" s="327"/>
      <c r="R3713" s="351"/>
      <c r="S3713" s="351"/>
      <c r="T3713" s="351"/>
      <c r="U3713" s="329" t="str">
        <f>IF($N3713=$N$4,IFERROR(INDEX(DanhMuc!$E$154:$E$165,MATCH(MID($B3713,4,2),DanhMuc!$B$154:$B$165,0)),""),"")</f>
        <v/>
      </c>
      <c r="V3713" s="361"/>
      <c r="W3713" s="345"/>
      <c r="X3713" s="329" t="str">
        <f t="shared" si="337"/>
        <v>GQ</v>
      </c>
      <c r="Y3713" s="1128" t="s">
        <v>3380</v>
      </c>
      <c r="Z3713" s="1128" t="s">
        <v>3381</v>
      </c>
      <c r="AA3713" s="1128" t="s">
        <v>3384</v>
      </c>
      <c r="AB3713" s="20"/>
      <c r="AC3713" s="73"/>
    </row>
    <row r="3714" spans="1:29">
      <c r="A3714" s="327" t="str">
        <f>IF(AND($B3714&lt;&gt;"",$C3714&lt;&gt;""),MAX($A$1556:A3689)+1,"")</f>
        <v/>
      </c>
      <c r="B3714" s="361" t="s">
        <v>2021</v>
      </c>
      <c r="C3714" s="360"/>
      <c r="D3714" s="327">
        <f>IF($B3714="","",COUNTIF($B$6:$B3714,$B3714))</f>
        <v>24</v>
      </c>
      <c r="E3714" s="419" t="s">
        <v>1134</v>
      </c>
      <c r="F3714" s="417" t="s">
        <v>1135</v>
      </c>
      <c r="G3714" s="418" t="s">
        <v>155</v>
      </c>
      <c r="H3714" s="419"/>
      <c r="I3714" s="416" t="s">
        <v>1263</v>
      </c>
      <c r="J3714" s="421"/>
      <c r="K3714" s="418"/>
      <c r="L3714" s="936" t="s">
        <v>2361</v>
      </c>
      <c r="M3714" s="371"/>
      <c r="N3714" s="355" t="str">
        <f t="shared" si="336"/>
        <v>PK</v>
      </c>
      <c r="O3714" s="345"/>
      <c r="P3714" s="392"/>
      <c r="Q3714" s="327"/>
      <c r="R3714" s="351"/>
      <c r="S3714" s="351"/>
      <c r="T3714" s="351"/>
      <c r="U3714" s="329" t="str">
        <f>IF($N3714=$N$4,IFERROR(INDEX(DanhMuc!$E$154:$E$165,MATCH(MID($B3714,4,2),DanhMuc!$B$154:$B$165,0)),""),"")</f>
        <v/>
      </c>
      <c r="V3714" s="361"/>
      <c r="W3714" s="345"/>
      <c r="X3714" s="329" t="str">
        <f t="shared" si="337"/>
        <v>GQ</v>
      </c>
      <c r="Y3714" s="1128" t="s">
        <v>3380</v>
      </c>
      <c r="Z3714" s="1128" t="s">
        <v>3381</v>
      </c>
      <c r="AA3714" s="1128" t="s">
        <v>3384</v>
      </c>
      <c r="AB3714" s="20"/>
      <c r="AC3714" s="73"/>
    </row>
    <row r="3715" spans="1:29">
      <c r="A3715" s="327" t="str">
        <f>IF(AND($B3715&lt;&gt;"",$C3715&lt;&gt;""),MAX($A$1556:A3690)+1,"")</f>
        <v/>
      </c>
      <c r="B3715" s="361" t="s">
        <v>2021</v>
      </c>
      <c r="C3715" s="360"/>
      <c r="D3715" s="327">
        <f>IF($B3715="","",COUNTIF($B$6:$B3715,$B3715))</f>
        <v>25</v>
      </c>
      <c r="E3715" s="419" t="s">
        <v>980</v>
      </c>
      <c r="F3715" s="417" t="s">
        <v>1139</v>
      </c>
      <c r="G3715" s="418" t="s">
        <v>155</v>
      </c>
      <c r="H3715" s="419"/>
      <c r="I3715" s="418">
        <v>2</v>
      </c>
      <c r="J3715" s="421"/>
      <c r="K3715" s="418"/>
      <c r="L3715" s="420">
        <v>1</v>
      </c>
      <c r="M3715" s="371"/>
      <c r="N3715" s="355" t="str">
        <f t="shared" si="336"/>
        <v>PK</v>
      </c>
      <c r="O3715" s="345"/>
      <c r="P3715" s="392"/>
      <c r="Q3715" s="438"/>
      <c r="R3715" s="351"/>
      <c r="S3715" s="351"/>
      <c r="T3715" s="351"/>
      <c r="U3715" s="329" t="str">
        <f>IF($N3715=$N$4,IFERROR(INDEX(DanhMuc!$E$154:$E$165,MATCH(MID($B3715,4,2),DanhMuc!$B$154:$B$165,0)),""),"")</f>
        <v/>
      </c>
      <c r="V3715" s="361"/>
      <c r="W3715" s="345"/>
      <c r="X3715" s="329" t="str">
        <f t="shared" si="337"/>
        <v>GQ</v>
      </c>
      <c r="Y3715" s="1128" t="s">
        <v>3380</v>
      </c>
      <c r="Z3715" s="1128" t="s">
        <v>3381</v>
      </c>
      <c r="AA3715" s="1128" t="s">
        <v>3384</v>
      </c>
      <c r="AB3715" s="20"/>
      <c r="AC3715" s="73"/>
    </row>
    <row r="3716" spans="1:29">
      <c r="A3716" s="327" t="str">
        <f>IF(AND($B3716&lt;&gt;"",$C3716&lt;&gt;""),MAX($A$1556:A3691)+1,"")</f>
        <v/>
      </c>
      <c r="B3716" s="361" t="s">
        <v>2021</v>
      </c>
      <c r="C3716" s="360"/>
      <c r="D3716" s="327">
        <f>IF($B3716="","",COUNTIF($B$6:$B3716,$B3716))</f>
        <v>26</v>
      </c>
      <c r="E3716" s="419" t="s">
        <v>1005</v>
      </c>
      <c r="F3716" s="417" t="s">
        <v>979</v>
      </c>
      <c r="G3716" s="418" t="s">
        <v>155</v>
      </c>
      <c r="H3716" s="419"/>
      <c r="I3716" s="418">
        <v>2</v>
      </c>
      <c r="J3716" s="421"/>
      <c r="K3716" s="418"/>
      <c r="L3716" s="420">
        <v>1</v>
      </c>
      <c r="M3716" s="371"/>
      <c r="N3716" s="355" t="str">
        <f t="shared" si="336"/>
        <v>PK</v>
      </c>
      <c r="O3716" s="345"/>
      <c r="P3716" s="392"/>
      <c r="Q3716" s="438"/>
      <c r="R3716" s="351"/>
      <c r="S3716" s="351"/>
      <c r="T3716" s="351"/>
      <c r="U3716" s="329" t="str">
        <f>IF($N3716=$N$4,IFERROR(INDEX(DanhMuc!$E$154:$E$165,MATCH(MID($B3716,4,2),DanhMuc!$B$154:$B$165,0)),""),"")</f>
        <v/>
      </c>
      <c r="V3716" s="361"/>
      <c r="W3716" s="345"/>
      <c r="X3716" s="329" t="str">
        <f t="shared" si="337"/>
        <v>GQ</v>
      </c>
      <c r="Y3716" s="1128" t="s">
        <v>3380</v>
      </c>
      <c r="Z3716" s="1128" t="s">
        <v>3381</v>
      </c>
      <c r="AA3716" s="1128" t="s">
        <v>3384</v>
      </c>
      <c r="AB3716" s="20"/>
      <c r="AC3716" s="73"/>
    </row>
    <row r="3717" spans="1:29" ht="26">
      <c r="A3717" s="327">
        <f>IF(AND($B3717&lt;&gt;"",$C3717&lt;&gt;""),MAX($A$1556:A3692)+1,"")</f>
        <v>181</v>
      </c>
      <c r="B3717" s="359" t="s">
        <v>2022</v>
      </c>
      <c r="C3717" s="370" t="s">
        <v>1568</v>
      </c>
      <c r="D3717" s="327">
        <f>IF($B3717="","",COUNTIF($B$6:$B3717,$B3717))</f>
        <v>1</v>
      </c>
      <c r="E3717" s="430" t="s">
        <v>1114</v>
      </c>
      <c r="F3717" s="362" t="s">
        <v>1012</v>
      </c>
      <c r="G3717" s="327" t="s">
        <v>296</v>
      </c>
      <c r="H3717" s="361"/>
      <c r="I3717" s="327">
        <v>2</v>
      </c>
      <c r="J3717" s="361"/>
      <c r="K3717" s="327"/>
      <c r="L3717" s="389">
        <v>31000</v>
      </c>
      <c r="M3717" s="371"/>
      <c r="N3717" s="355" t="str">
        <f t="shared" si="336"/>
        <v>PK</v>
      </c>
      <c r="O3717" s="345"/>
      <c r="P3717" s="392"/>
      <c r="Q3717" s="327"/>
      <c r="R3717" s="351"/>
      <c r="S3717" s="351"/>
      <c r="T3717" s="351"/>
      <c r="U3717" s="329" t="str">
        <f>IF($N3717=$N$4,IFERROR(INDEX(DanhMuc!$E$154:$E$165,MATCH(MID($B3717,4,2),DanhMuc!$B$154:$B$165,0)),""),"")</f>
        <v/>
      </c>
      <c r="V3717" s="361"/>
      <c r="W3717" s="345"/>
      <c r="X3717" s="329" t="str">
        <f t="shared" si="337"/>
        <v>GQ</v>
      </c>
      <c r="Y3717" s="1128" t="s">
        <v>3380</v>
      </c>
      <c r="Z3717" s="1128" t="s">
        <v>3381</v>
      </c>
      <c r="AA3717" s="1128" t="s">
        <v>3384</v>
      </c>
      <c r="AB3717" s="20"/>
      <c r="AC3717" s="73"/>
    </row>
    <row r="3718" spans="1:29">
      <c r="A3718" s="327" t="str">
        <f>IF(AND($B3718&lt;&gt;"",$C3718&lt;&gt;""),MAX($A$1556:A3693)+1,"")</f>
        <v/>
      </c>
      <c r="B3718" s="361" t="s">
        <v>2022</v>
      </c>
      <c r="C3718" s="360"/>
      <c r="D3718" s="327">
        <f>IF($B3718="","",COUNTIF($B$6:$B3718,$B3718))</f>
        <v>2</v>
      </c>
      <c r="E3718" s="419" t="s">
        <v>1124</v>
      </c>
      <c r="F3718" s="417" t="s">
        <v>1115</v>
      </c>
      <c r="G3718" s="418" t="s">
        <v>155</v>
      </c>
      <c r="H3718" s="419"/>
      <c r="I3718" s="416" t="s">
        <v>1271</v>
      </c>
      <c r="J3718" s="421"/>
      <c r="K3718" s="418"/>
      <c r="L3718" s="435">
        <v>47000</v>
      </c>
      <c r="M3718" s="371"/>
      <c r="N3718" s="355" t="str">
        <f t="shared" si="336"/>
        <v>PK</v>
      </c>
      <c r="O3718" s="345"/>
      <c r="P3718" s="392"/>
      <c r="Q3718" s="436"/>
      <c r="R3718" s="437"/>
      <c r="S3718" s="351"/>
      <c r="T3718" s="351"/>
      <c r="U3718" s="329" t="str">
        <f>IF($N3718=$N$4,IFERROR(INDEX(DanhMuc!$E$154:$E$165,MATCH(MID($B3718,4,2),DanhMuc!$B$154:$B$165,0)),""),"")</f>
        <v/>
      </c>
      <c r="V3718" s="361"/>
      <c r="W3718" s="345"/>
      <c r="X3718" s="329" t="str">
        <f t="shared" si="337"/>
        <v>GQ</v>
      </c>
      <c r="Y3718" s="1128" t="s">
        <v>3380</v>
      </c>
      <c r="Z3718" s="1128" t="s">
        <v>3381</v>
      </c>
      <c r="AA3718" s="1128" t="s">
        <v>3384</v>
      </c>
      <c r="AB3718" s="20"/>
      <c r="AC3718" s="73"/>
    </row>
    <row r="3719" spans="1:29">
      <c r="A3719" s="327" t="str">
        <f>IF(AND($B3719&lt;&gt;"",$C3719&lt;&gt;""),MAX($A$1556:A3694)+1,"")</f>
        <v/>
      </c>
      <c r="B3719" s="361" t="s">
        <v>2022</v>
      </c>
      <c r="C3719" s="360"/>
      <c r="D3719" s="327">
        <f>IF($B3719="","",COUNTIF($B$6:$B3719,$B3719))</f>
        <v>3</v>
      </c>
      <c r="E3719" s="419" t="s">
        <v>1125</v>
      </c>
      <c r="F3719" s="417" t="s">
        <v>1116</v>
      </c>
      <c r="G3719" s="418" t="s">
        <v>155</v>
      </c>
      <c r="H3719" s="419"/>
      <c r="I3719" s="416" t="s">
        <v>1264</v>
      </c>
      <c r="J3719" s="421"/>
      <c r="K3719" s="418"/>
      <c r="L3719" s="435">
        <v>54000</v>
      </c>
      <c r="M3719" s="371"/>
      <c r="N3719" s="355" t="str">
        <f t="shared" si="336"/>
        <v>PK</v>
      </c>
      <c r="O3719" s="345"/>
      <c r="P3719" s="392"/>
      <c r="Q3719" s="436"/>
      <c r="R3719" s="437"/>
      <c r="S3719" s="351"/>
      <c r="T3719" s="351"/>
      <c r="U3719" s="329" t="str">
        <f>IF($N3719=$N$4,IFERROR(INDEX(DanhMuc!$E$154:$E$165,MATCH(MID($B3719,4,2),DanhMuc!$B$154:$B$165,0)),""),"")</f>
        <v/>
      </c>
      <c r="V3719" s="361"/>
      <c r="W3719" s="345"/>
      <c r="X3719" s="329" t="str">
        <f t="shared" si="337"/>
        <v>GQ</v>
      </c>
      <c r="Y3719" s="1128" t="s">
        <v>3380</v>
      </c>
      <c r="Z3719" s="1128" t="s">
        <v>3381</v>
      </c>
      <c r="AA3719" s="1128" t="s">
        <v>3384</v>
      </c>
      <c r="AB3719" s="20"/>
      <c r="AC3719" s="73"/>
    </row>
    <row r="3720" spans="1:29">
      <c r="A3720" s="327" t="str">
        <f>IF(AND($B3720&lt;&gt;"",$C3720&lt;&gt;""),MAX($A$1556:A3695)+1,"")</f>
        <v/>
      </c>
      <c r="B3720" s="361" t="s">
        <v>2022</v>
      </c>
      <c r="C3720" s="360"/>
      <c r="D3720" s="327">
        <f>IF($B3720="","",COUNTIF($B$6:$B3720,$B3720))</f>
        <v>4</v>
      </c>
      <c r="E3720" s="419" t="s">
        <v>1126</v>
      </c>
      <c r="F3720" s="417" t="s">
        <v>1117</v>
      </c>
      <c r="G3720" s="418" t="s">
        <v>155</v>
      </c>
      <c r="H3720" s="419"/>
      <c r="I3720" s="416" t="s">
        <v>1265</v>
      </c>
      <c r="J3720" s="421"/>
      <c r="K3720" s="418"/>
      <c r="L3720" s="435">
        <v>58000</v>
      </c>
      <c r="M3720" s="371"/>
      <c r="N3720" s="355" t="str">
        <f t="shared" si="336"/>
        <v>PK</v>
      </c>
      <c r="O3720" s="345"/>
      <c r="P3720" s="392"/>
      <c r="Q3720" s="436"/>
      <c r="R3720" s="437"/>
      <c r="S3720" s="351"/>
      <c r="T3720" s="351"/>
      <c r="U3720" s="329" t="str">
        <f>IF($N3720=$N$4,IFERROR(INDEX(DanhMuc!$E$154:$E$165,MATCH(MID($B3720,4,2),DanhMuc!$B$154:$B$165,0)),""),"")</f>
        <v/>
      </c>
      <c r="V3720" s="361"/>
      <c r="W3720" s="345"/>
      <c r="X3720" s="329" t="str">
        <f t="shared" si="337"/>
        <v>GQ</v>
      </c>
      <c r="Y3720" s="1128" t="s">
        <v>3380</v>
      </c>
      <c r="Z3720" s="1128" t="s">
        <v>3381</v>
      </c>
      <c r="AA3720" s="1128" t="s">
        <v>3384</v>
      </c>
      <c r="AB3720" s="20"/>
      <c r="AC3720" s="73"/>
    </row>
    <row r="3721" spans="1:29">
      <c r="A3721" s="327" t="str">
        <f>IF(AND($B3721&lt;&gt;"",$C3721&lt;&gt;""),MAX($A$1556:A3696)+1,"")</f>
        <v/>
      </c>
      <c r="B3721" s="361" t="s">
        <v>2022</v>
      </c>
      <c r="C3721" s="360"/>
      <c r="D3721" s="327">
        <f>IF($B3721="","",COUNTIF($B$6:$B3721,$B3721))</f>
        <v>5</v>
      </c>
      <c r="E3721" s="419" t="s">
        <v>1127</v>
      </c>
      <c r="F3721" s="417" t="s">
        <v>1118</v>
      </c>
      <c r="G3721" s="418" t="s">
        <v>155</v>
      </c>
      <c r="H3721" s="419"/>
      <c r="I3721" s="416" t="s">
        <v>1266</v>
      </c>
      <c r="J3721" s="421"/>
      <c r="K3721" s="418"/>
      <c r="L3721" s="435">
        <v>63000</v>
      </c>
      <c r="M3721" s="371"/>
      <c r="N3721" s="355" t="str">
        <f t="shared" si="336"/>
        <v>PK</v>
      </c>
      <c r="O3721" s="345"/>
      <c r="P3721" s="392"/>
      <c r="Q3721" s="436"/>
      <c r="R3721" s="437"/>
      <c r="S3721" s="351"/>
      <c r="T3721" s="351"/>
      <c r="U3721" s="329" t="str">
        <f>IF($N3721=$N$4,IFERROR(INDEX(DanhMuc!$E$154:$E$165,MATCH(MID($B3721,4,2),DanhMuc!$B$154:$B$165,0)),""),"")</f>
        <v/>
      </c>
      <c r="V3721" s="361"/>
      <c r="W3721" s="345"/>
      <c r="X3721" s="329" t="str">
        <f t="shared" si="337"/>
        <v>GQ</v>
      </c>
      <c r="Y3721" s="1128" t="s">
        <v>3380</v>
      </c>
      <c r="Z3721" s="1128" t="s">
        <v>3381</v>
      </c>
      <c r="AA3721" s="1128" t="s">
        <v>3384</v>
      </c>
      <c r="AB3721" s="20"/>
      <c r="AC3721" s="73"/>
    </row>
    <row r="3722" spans="1:29">
      <c r="A3722" s="327" t="str">
        <f>IF(AND($B3722&lt;&gt;"",$C3722&lt;&gt;""),MAX($A$1556:A3697)+1,"")</f>
        <v/>
      </c>
      <c r="B3722" s="361" t="s">
        <v>2022</v>
      </c>
      <c r="C3722" s="360"/>
      <c r="D3722" s="327">
        <f>IF($B3722="","",COUNTIF($B$6:$B3722,$B3722))</f>
        <v>6</v>
      </c>
      <c r="E3722" s="419" t="s">
        <v>1128</v>
      </c>
      <c r="F3722" s="417" t="s">
        <v>1119</v>
      </c>
      <c r="G3722" s="418" t="s">
        <v>155</v>
      </c>
      <c r="H3722" s="419"/>
      <c r="I3722" s="416" t="s">
        <v>1267</v>
      </c>
      <c r="J3722" s="421"/>
      <c r="K3722" s="418"/>
      <c r="L3722" s="435">
        <v>78000</v>
      </c>
      <c r="M3722" s="371"/>
      <c r="N3722" s="355" t="str">
        <f t="shared" si="336"/>
        <v>PK</v>
      </c>
      <c r="O3722" s="345"/>
      <c r="P3722" s="392"/>
      <c r="Q3722" s="436"/>
      <c r="R3722" s="437"/>
      <c r="S3722" s="351"/>
      <c r="T3722" s="351"/>
      <c r="U3722" s="329" t="str">
        <f>IF($N3722=$N$4,IFERROR(INDEX(DanhMuc!$E$154:$E$165,MATCH(MID($B3722,4,2),DanhMuc!$B$154:$B$165,0)),""),"")</f>
        <v/>
      </c>
      <c r="V3722" s="361"/>
      <c r="W3722" s="345"/>
      <c r="X3722" s="329" t="str">
        <f t="shared" si="337"/>
        <v>GQ</v>
      </c>
      <c r="Y3722" s="1128" t="s">
        <v>3380</v>
      </c>
      <c r="Z3722" s="1128" t="s">
        <v>3381</v>
      </c>
      <c r="AA3722" s="1128" t="s">
        <v>3384</v>
      </c>
      <c r="AB3722" s="20"/>
      <c r="AC3722" s="73"/>
    </row>
    <row r="3723" spans="1:29">
      <c r="A3723" s="327" t="str">
        <f>IF(AND($B3723&lt;&gt;"",$C3723&lt;&gt;""),MAX($A$1556:A3698)+1,"")</f>
        <v/>
      </c>
      <c r="B3723" s="361" t="s">
        <v>2022</v>
      </c>
      <c r="C3723" s="360"/>
      <c r="D3723" s="327">
        <f>IF($B3723="","",COUNTIF($B$6:$B3723,$B3723))</f>
        <v>7</v>
      </c>
      <c r="E3723" s="419" t="s">
        <v>2365</v>
      </c>
      <c r="F3723" s="417" t="s">
        <v>1120</v>
      </c>
      <c r="G3723" s="418" t="s">
        <v>155</v>
      </c>
      <c r="H3723" s="419"/>
      <c r="I3723" s="416" t="s">
        <v>1268</v>
      </c>
      <c r="J3723" s="421"/>
      <c r="K3723" s="418"/>
      <c r="L3723" s="435">
        <v>84000</v>
      </c>
      <c r="M3723" s="371"/>
      <c r="N3723" s="355" t="str">
        <f t="shared" si="336"/>
        <v>PK</v>
      </c>
      <c r="O3723" s="345"/>
      <c r="P3723" s="392"/>
      <c r="Q3723" s="436"/>
      <c r="R3723" s="437"/>
      <c r="S3723" s="351"/>
      <c r="T3723" s="351"/>
      <c r="U3723" s="329" t="str">
        <f>IF($N3723=$N$4,IFERROR(INDEX(DanhMuc!$E$154:$E$165,MATCH(MID($B3723,4,2),DanhMuc!$B$154:$B$165,0)),""),"")</f>
        <v/>
      </c>
      <c r="V3723" s="361"/>
      <c r="W3723" s="345"/>
      <c r="X3723" s="329" t="str">
        <f t="shared" si="337"/>
        <v>GQ</v>
      </c>
      <c r="Y3723" s="1128" t="s">
        <v>3380</v>
      </c>
      <c r="Z3723" s="1128" t="s">
        <v>3381</v>
      </c>
      <c r="AA3723" s="1128" t="s">
        <v>3384</v>
      </c>
      <c r="AB3723" s="20"/>
      <c r="AC3723" s="73"/>
    </row>
    <row r="3724" spans="1:29">
      <c r="A3724" s="327" t="str">
        <f>IF(AND($B3724&lt;&gt;"",$C3724&lt;&gt;""),MAX($A$1556:A3699)+1,"")</f>
        <v/>
      </c>
      <c r="B3724" s="361" t="s">
        <v>2022</v>
      </c>
      <c r="C3724" s="360"/>
      <c r="D3724" s="327">
        <f>IF($B3724="","",COUNTIF($B$6:$B3724,$B3724))</f>
        <v>8</v>
      </c>
      <c r="E3724" s="419" t="s">
        <v>1129</v>
      </c>
      <c r="F3724" s="417" t="s">
        <v>1121</v>
      </c>
      <c r="G3724" s="418" t="s">
        <v>155</v>
      </c>
      <c r="H3724" s="419"/>
      <c r="I3724" s="416" t="s">
        <v>1269</v>
      </c>
      <c r="J3724" s="421"/>
      <c r="K3724" s="418"/>
      <c r="L3724" s="435">
        <v>98000</v>
      </c>
      <c r="M3724" s="371"/>
      <c r="N3724" s="355" t="str">
        <f t="shared" si="336"/>
        <v>PK</v>
      </c>
      <c r="O3724" s="345"/>
      <c r="P3724" s="392"/>
      <c r="Q3724" s="436"/>
      <c r="R3724" s="437"/>
      <c r="S3724" s="351"/>
      <c r="T3724" s="351"/>
      <c r="U3724" s="329" t="str">
        <f>IF($N3724=$N$4,IFERROR(INDEX(DanhMuc!$E$154:$E$165,MATCH(MID($B3724,4,2),DanhMuc!$B$154:$B$165,0)),""),"")</f>
        <v/>
      </c>
      <c r="V3724" s="361"/>
      <c r="W3724" s="345"/>
      <c r="X3724" s="329" t="str">
        <f t="shared" si="337"/>
        <v>GQ</v>
      </c>
      <c r="Y3724" s="1128" t="s">
        <v>3380</v>
      </c>
      <c r="Z3724" s="1128" t="s">
        <v>3381</v>
      </c>
      <c r="AA3724" s="1128" t="s">
        <v>3384</v>
      </c>
      <c r="AB3724" s="20"/>
      <c r="AC3724" s="73"/>
    </row>
    <row r="3725" spans="1:29">
      <c r="A3725" s="327" t="str">
        <f>IF(AND($B3725&lt;&gt;"",$C3725&lt;&gt;""),MAX($A$1556:A3700)+1,"")</f>
        <v/>
      </c>
      <c r="B3725" s="361" t="s">
        <v>2022</v>
      </c>
      <c r="C3725" s="360"/>
      <c r="D3725" s="327">
        <f>IF($B3725="","",COUNTIF($B$6:$B3725,$B3725))</f>
        <v>9</v>
      </c>
      <c r="E3725" s="419" t="s">
        <v>1130</v>
      </c>
      <c r="F3725" s="417" t="s">
        <v>1122</v>
      </c>
      <c r="G3725" s="418" t="s">
        <v>155</v>
      </c>
      <c r="H3725" s="419"/>
      <c r="I3725" s="416" t="s">
        <v>1272</v>
      </c>
      <c r="J3725" s="421"/>
      <c r="K3725" s="418"/>
      <c r="L3725" s="435">
        <v>117000</v>
      </c>
      <c r="M3725" s="371"/>
      <c r="N3725" s="355" t="str">
        <f t="shared" si="336"/>
        <v>PK</v>
      </c>
      <c r="O3725" s="345"/>
      <c r="P3725" s="392"/>
      <c r="Q3725" s="436"/>
      <c r="R3725" s="437"/>
      <c r="S3725" s="351"/>
      <c r="T3725" s="351"/>
      <c r="U3725" s="329" t="str">
        <f>IF($N3725=$N$4,IFERROR(INDEX(DanhMuc!$E$154:$E$165,MATCH(MID($B3725,4,2),DanhMuc!$B$154:$B$165,0)),""),"")</f>
        <v/>
      </c>
      <c r="V3725" s="361"/>
      <c r="W3725" s="345"/>
      <c r="X3725" s="329" t="str">
        <f t="shared" si="337"/>
        <v>GQ</v>
      </c>
      <c r="Y3725" s="1128" t="s">
        <v>3380</v>
      </c>
      <c r="Z3725" s="1128" t="s">
        <v>3381</v>
      </c>
      <c r="AA3725" s="1128" t="s">
        <v>3384</v>
      </c>
      <c r="AB3725" s="20"/>
      <c r="AC3725" s="73"/>
    </row>
    <row r="3726" spans="1:29">
      <c r="A3726" s="327" t="str">
        <f>IF(AND($B3726&lt;&gt;"",$C3726&lt;&gt;""),MAX($A$1556:A3701)+1,"")</f>
        <v/>
      </c>
      <c r="B3726" s="361" t="s">
        <v>2022</v>
      </c>
      <c r="C3726" s="360"/>
      <c r="D3726" s="327">
        <f>IF($B3726="","",COUNTIF($B$6:$B3726,$B3726))</f>
        <v>10</v>
      </c>
      <c r="E3726" s="419" t="s">
        <v>1131</v>
      </c>
      <c r="F3726" s="417" t="s">
        <v>1123</v>
      </c>
      <c r="G3726" s="418" t="s">
        <v>155</v>
      </c>
      <c r="H3726" s="419"/>
      <c r="I3726" s="416" t="s">
        <v>1270</v>
      </c>
      <c r="J3726" s="421"/>
      <c r="K3726" s="418"/>
      <c r="L3726" s="435">
        <v>135000</v>
      </c>
      <c r="M3726" s="371"/>
      <c r="N3726" s="355" t="str">
        <f t="shared" si="336"/>
        <v>PK</v>
      </c>
      <c r="O3726" s="345"/>
      <c r="P3726" s="392"/>
      <c r="Q3726" s="327"/>
      <c r="R3726" s="437"/>
      <c r="S3726" s="351"/>
      <c r="T3726" s="351"/>
      <c r="U3726" s="329" t="str">
        <f>IF($N3726=$N$4,IFERROR(INDEX(DanhMuc!$E$154:$E$165,MATCH(MID($B3726,4,2),DanhMuc!$B$154:$B$165,0)),""),"")</f>
        <v/>
      </c>
      <c r="V3726" s="361"/>
      <c r="W3726" s="345"/>
      <c r="X3726" s="329" t="str">
        <f t="shared" si="337"/>
        <v>GQ</v>
      </c>
      <c r="Y3726" s="1128" t="s">
        <v>3380</v>
      </c>
      <c r="Z3726" s="1128" t="s">
        <v>3381</v>
      </c>
      <c r="AA3726" s="1128" t="s">
        <v>3384</v>
      </c>
      <c r="AB3726" s="20"/>
      <c r="AC3726" s="73"/>
    </row>
    <row r="3727" spans="1:29">
      <c r="A3727" s="327" t="str">
        <f>IF(AND($B3727&lt;&gt;"",$C3727&lt;&gt;""),MAX($A$1556:A3702)+1,"")</f>
        <v/>
      </c>
      <c r="B3727" s="361" t="s">
        <v>2022</v>
      </c>
      <c r="C3727" s="360"/>
      <c r="D3727" s="327">
        <f>IF($B3727="","",COUNTIF($B$6:$B3727,$B3727))</f>
        <v>11</v>
      </c>
      <c r="E3727" s="402" t="s">
        <v>1006</v>
      </c>
      <c r="F3727" s="432" t="s">
        <v>1017</v>
      </c>
      <c r="G3727" s="327" t="s">
        <v>155</v>
      </c>
      <c r="H3727" s="361"/>
      <c r="I3727" s="416" t="s">
        <v>2368</v>
      </c>
      <c r="J3727" s="345"/>
      <c r="K3727" s="327"/>
      <c r="L3727" s="420">
        <v>1</v>
      </c>
      <c r="M3727" s="371"/>
      <c r="N3727" s="355" t="str">
        <f t="shared" si="336"/>
        <v>PK</v>
      </c>
      <c r="O3727" s="345" t="s">
        <v>106</v>
      </c>
      <c r="P3727" s="392"/>
      <c r="Q3727" s="327"/>
      <c r="R3727" s="351"/>
      <c r="S3727" s="351"/>
      <c r="T3727" s="351"/>
      <c r="U3727" s="329" t="str">
        <f>IF($N3727=$N$4,IFERROR(INDEX(DanhMuc!$E$154:$E$165,MATCH(MID($B3727,4,2),DanhMuc!$B$154:$B$165,0)),""),"")</f>
        <v/>
      </c>
      <c r="V3727" s="361"/>
      <c r="W3727" s="345"/>
      <c r="X3727" s="329" t="str">
        <f t="shared" si="337"/>
        <v>GQ</v>
      </c>
      <c r="Y3727" s="1128" t="s">
        <v>3380</v>
      </c>
      <c r="Z3727" s="1128" t="s">
        <v>3381</v>
      </c>
      <c r="AA3727" s="1128" t="s">
        <v>3384</v>
      </c>
      <c r="AB3727" s="20"/>
      <c r="AC3727" s="73"/>
    </row>
    <row r="3728" spans="1:29">
      <c r="A3728" s="327" t="str">
        <f>IF(AND($B3728&lt;&gt;"",$C3728&lt;&gt;""),MAX($A$1556:A3703)+1,"")</f>
        <v/>
      </c>
      <c r="B3728" s="361" t="s">
        <v>2022</v>
      </c>
      <c r="C3728" s="360"/>
      <c r="D3728" s="327">
        <f>IF($B3728="","",COUNTIF($B$6:$B3728,$B3728))</f>
        <v>12</v>
      </c>
      <c r="E3728" s="402" t="s">
        <v>1007</v>
      </c>
      <c r="F3728" s="432" t="s">
        <v>1018</v>
      </c>
      <c r="G3728" s="327" t="s">
        <v>155</v>
      </c>
      <c r="H3728" s="361"/>
      <c r="I3728" s="416" t="s">
        <v>2368</v>
      </c>
      <c r="J3728" s="345"/>
      <c r="K3728" s="327"/>
      <c r="L3728" s="420">
        <v>1</v>
      </c>
      <c r="M3728" s="371"/>
      <c r="N3728" s="355" t="str">
        <f t="shared" si="336"/>
        <v>PK</v>
      </c>
      <c r="O3728" s="345" t="s">
        <v>1246</v>
      </c>
      <c r="P3728" s="392"/>
      <c r="Q3728" s="327"/>
      <c r="R3728" s="351"/>
      <c r="S3728" s="351"/>
      <c r="T3728" s="351"/>
      <c r="U3728" s="329" t="str">
        <f>IF($N3728=$N$4,IFERROR(INDEX(DanhMuc!$E$154:$E$165,MATCH(MID($B3728,4,2),DanhMuc!$B$154:$B$165,0)),""),"")</f>
        <v/>
      </c>
      <c r="V3728" s="361"/>
      <c r="W3728" s="345"/>
      <c r="X3728" s="329" t="str">
        <f t="shared" si="337"/>
        <v>GQ</v>
      </c>
      <c r="Y3728" s="1128" t="s">
        <v>3380</v>
      </c>
      <c r="Z3728" s="1128" t="s">
        <v>3381</v>
      </c>
      <c r="AA3728" s="1128" t="s">
        <v>3384</v>
      </c>
      <c r="AB3728" s="20"/>
      <c r="AC3728" s="73"/>
    </row>
    <row r="3729" spans="1:29">
      <c r="A3729" s="327" t="str">
        <f>IF(AND($B3729&lt;&gt;"",$C3729&lt;&gt;""),MAX($A$1556:A3704)+1,"")</f>
        <v/>
      </c>
      <c r="B3729" s="361" t="s">
        <v>2022</v>
      </c>
      <c r="C3729" s="360"/>
      <c r="D3729" s="327">
        <f>IF($B3729="","",COUNTIF($B$6:$B3729,$B3729))</f>
        <v>13</v>
      </c>
      <c r="E3729" s="430" t="s">
        <v>1223</v>
      </c>
      <c r="F3729" s="431" t="s">
        <v>1218</v>
      </c>
      <c r="G3729" s="327" t="s">
        <v>155</v>
      </c>
      <c r="H3729" s="361"/>
      <c r="I3729" s="327">
        <v>6</v>
      </c>
      <c r="J3729" s="345"/>
      <c r="K3729" s="327"/>
      <c r="L3729" s="389">
        <v>46000</v>
      </c>
      <c r="M3729" s="371"/>
      <c r="N3729" s="355" t="str">
        <f t="shared" si="336"/>
        <v>PK</v>
      </c>
      <c r="O3729" s="345" t="s">
        <v>1702</v>
      </c>
      <c r="P3729" s="392"/>
      <c r="Q3729" s="327"/>
      <c r="R3729" s="351"/>
      <c r="S3729" s="351"/>
      <c r="T3729" s="351"/>
      <c r="U3729" s="329" t="str">
        <f>IF($N3729=$N$4,IFERROR(INDEX(DanhMuc!$E$154:$E$165,MATCH(MID($B3729,4,2),DanhMuc!$B$154:$B$165,0)),""),"")</f>
        <v/>
      </c>
      <c r="V3729" s="361"/>
      <c r="W3729" s="345"/>
      <c r="X3729" s="329" t="str">
        <f t="shared" si="337"/>
        <v>GQ</v>
      </c>
      <c r="Y3729" s="1128" t="s">
        <v>3380</v>
      </c>
      <c r="Z3729" s="1128" t="s">
        <v>3381</v>
      </c>
      <c r="AA3729" s="1128" t="s">
        <v>3384</v>
      </c>
      <c r="AB3729" s="20"/>
      <c r="AC3729" s="73"/>
    </row>
    <row r="3730" spans="1:29">
      <c r="A3730" s="327" t="str">
        <f>IF(AND($B3730&lt;&gt;"",$C3730&lt;&gt;""),MAX($A$1556:A3705)+1,"")</f>
        <v/>
      </c>
      <c r="B3730" s="361" t="s">
        <v>2022</v>
      </c>
      <c r="C3730" s="360"/>
      <c r="D3730" s="327">
        <f>IF($B3730="","",COUNTIF($B$6:$B3730,$B3730))</f>
        <v>14</v>
      </c>
      <c r="E3730" s="430" t="s">
        <v>1224</v>
      </c>
      <c r="F3730" s="431" t="s">
        <v>1219</v>
      </c>
      <c r="G3730" s="327" t="s">
        <v>155</v>
      </c>
      <c r="H3730" s="361"/>
      <c r="I3730" s="327">
        <v>6</v>
      </c>
      <c r="J3730" s="345"/>
      <c r="K3730" s="327"/>
      <c r="L3730" s="389">
        <v>58000</v>
      </c>
      <c r="M3730" s="371"/>
      <c r="N3730" s="355" t="str">
        <f t="shared" si="336"/>
        <v>PK</v>
      </c>
      <c r="O3730" s="407" t="s">
        <v>1698</v>
      </c>
      <c r="P3730" s="392"/>
      <c r="Q3730" s="327"/>
      <c r="R3730" s="351"/>
      <c r="S3730" s="351"/>
      <c r="T3730" s="351"/>
      <c r="U3730" s="329" t="str">
        <f>IF($N3730=$N$4,IFERROR(INDEX(DanhMuc!$E$154:$E$165,MATCH(MID($B3730,4,2),DanhMuc!$B$154:$B$165,0)),""),"")</f>
        <v/>
      </c>
      <c r="V3730" s="361"/>
      <c r="W3730" s="345"/>
      <c r="X3730" s="329" t="str">
        <f t="shared" si="337"/>
        <v>GQ</v>
      </c>
      <c r="Y3730" s="1128" t="s">
        <v>3380</v>
      </c>
      <c r="Z3730" s="1128" t="s">
        <v>3381</v>
      </c>
      <c r="AA3730" s="1128" t="s">
        <v>3384</v>
      </c>
      <c r="AB3730" s="20"/>
      <c r="AC3730" s="73"/>
    </row>
    <row r="3731" spans="1:29">
      <c r="A3731" s="327" t="str">
        <f>IF(AND($B3731&lt;&gt;"",$C3731&lt;&gt;""),MAX($A$1556:A3706)+1,"")</f>
        <v/>
      </c>
      <c r="B3731" s="361" t="s">
        <v>2022</v>
      </c>
      <c r="C3731" s="360"/>
      <c r="D3731" s="327">
        <f>IF($B3731="","",COUNTIF($B$6:$B3731,$B3731))</f>
        <v>15</v>
      </c>
      <c r="E3731" s="430" t="s">
        <v>1225</v>
      </c>
      <c r="F3731" s="431" t="s">
        <v>1220</v>
      </c>
      <c r="G3731" s="327" t="s">
        <v>155</v>
      </c>
      <c r="H3731" s="361"/>
      <c r="I3731" s="327">
        <v>6</v>
      </c>
      <c r="J3731" s="345"/>
      <c r="K3731" s="327"/>
      <c r="L3731" s="389">
        <v>62000</v>
      </c>
      <c r="M3731" s="371"/>
      <c r="N3731" s="355" t="str">
        <f t="shared" si="336"/>
        <v>PK</v>
      </c>
      <c r="O3731" s="407" t="s">
        <v>1699</v>
      </c>
      <c r="P3731" s="392"/>
      <c r="Q3731" s="327"/>
      <c r="R3731" s="351"/>
      <c r="S3731" s="351"/>
      <c r="T3731" s="351"/>
      <c r="U3731" s="329" t="str">
        <f>IF($N3731=$N$4,IFERROR(INDEX(DanhMuc!$E$154:$E$165,MATCH(MID($B3731,4,2),DanhMuc!$B$154:$B$165,0)),""),"")</f>
        <v/>
      </c>
      <c r="V3731" s="361"/>
      <c r="W3731" s="345"/>
      <c r="X3731" s="329" t="str">
        <f t="shared" si="337"/>
        <v>GQ</v>
      </c>
      <c r="Y3731" s="1128" t="s">
        <v>3380</v>
      </c>
      <c r="Z3731" s="1128" t="s">
        <v>3381</v>
      </c>
      <c r="AA3731" s="1128" t="s">
        <v>3384</v>
      </c>
      <c r="AB3731" s="20"/>
      <c r="AC3731" s="73"/>
    </row>
    <row r="3732" spans="1:29">
      <c r="A3732" s="327" t="str">
        <f>IF(AND($B3732&lt;&gt;"",$C3732&lt;&gt;""),MAX($A$1556:A3707)+1,"")</f>
        <v/>
      </c>
      <c r="B3732" s="361" t="s">
        <v>2022</v>
      </c>
      <c r="C3732" s="360"/>
      <c r="D3732" s="327">
        <f>IF($B3732="","",COUNTIF($B$6:$B3732,$B3732))</f>
        <v>16</v>
      </c>
      <c r="E3732" s="430" t="s">
        <v>1226</v>
      </c>
      <c r="F3732" s="431" t="s">
        <v>1221</v>
      </c>
      <c r="G3732" s="327" t="s">
        <v>155</v>
      </c>
      <c r="H3732" s="361"/>
      <c r="I3732" s="327">
        <v>6</v>
      </c>
      <c r="J3732" s="345"/>
      <c r="K3732" s="327"/>
      <c r="L3732" s="389">
        <v>72000</v>
      </c>
      <c r="M3732" s="371"/>
      <c r="N3732" s="355" t="str">
        <f t="shared" si="336"/>
        <v>PK</v>
      </c>
      <c r="O3732" s="407" t="s">
        <v>1700</v>
      </c>
      <c r="P3732" s="392"/>
      <c r="Q3732" s="327"/>
      <c r="R3732" s="351"/>
      <c r="S3732" s="351"/>
      <c r="T3732" s="351"/>
      <c r="U3732" s="329" t="str">
        <f>IF($N3732=$N$4,IFERROR(INDEX(DanhMuc!$E$154:$E$165,MATCH(MID($B3732,4,2),DanhMuc!$B$154:$B$165,0)),""),"")</f>
        <v/>
      </c>
      <c r="V3732" s="361"/>
      <c r="W3732" s="345"/>
      <c r="X3732" s="329" t="str">
        <f t="shared" si="337"/>
        <v>GQ</v>
      </c>
      <c r="Y3732" s="1128" t="s">
        <v>3380</v>
      </c>
      <c r="Z3732" s="1128" t="s">
        <v>3381</v>
      </c>
      <c r="AA3732" s="1128" t="s">
        <v>3384</v>
      </c>
      <c r="AB3732" s="20"/>
      <c r="AC3732" s="73"/>
    </row>
    <row r="3733" spans="1:29">
      <c r="A3733" s="327" t="str">
        <f>IF(AND($B3733&lt;&gt;"",$C3733&lt;&gt;""),MAX($A$1556:A3708)+1,"")</f>
        <v/>
      </c>
      <c r="B3733" s="361" t="s">
        <v>2022</v>
      </c>
      <c r="C3733" s="360"/>
      <c r="D3733" s="327">
        <f>IF($B3733="","",COUNTIF($B$6:$B3733,$B3733))</f>
        <v>17</v>
      </c>
      <c r="E3733" s="430" t="s">
        <v>1227</v>
      </c>
      <c r="F3733" s="431" t="s">
        <v>1222</v>
      </c>
      <c r="G3733" s="327" t="s">
        <v>155</v>
      </c>
      <c r="H3733" s="361"/>
      <c r="I3733" s="327">
        <v>6</v>
      </c>
      <c r="J3733" s="345"/>
      <c r="K3733" s="327"/>
      <c r="L3733" s="389">
        <v>83000</v>
      </c>
      <c r="M3733" s="371"/>
      <c r="N3733" s="355" t="str">
        <f t="shared" si="336"/>
        <v>PK</v>
      </c>
      <c r="O3733" s="407" t="s">
        <v>1701</v>
      </c>
      <c r="P3733" s="392"/>
      <c r="Q3733" s="327"/>
      <c r="R3733" s="351"/>
      <c r="S3733" s="351"/>
      <c r="T3733" s="351"/>
      <c r="U3733" s="329" t="str">
        <f>IF($N3733=$N$4,IFERROR(INDEX(DanhMuc!$E$154:$E$165,MATCH(MID($B3733,4,2),DanhMuc!$B$154:$B$165,0)),""),"")</f>
        <v/>
      </c>
      <c r="V3733" s="361"/>
      <c r="W3733" s="345"/>
      <c r="X3733" s="329" t="str">
        <f t="shared" ref="X3733:X3796" si="338">IF($N3733="PR",$E3733,MID($B3733,10,2))</f>
        <v>GQ</v>
      </c>
      <c r="Y3733" s="1128" t="s">
        <v>3380</v>
      </c>
      <c r="Z3733" s="1128" t="s">
        <v>3381</v>
      </c>
      <c r="AA3733" s="1128" t="s">
        <v>3384</v>
      </c>
      <c r="AB3733" s="20"/>
      <c r="AC3733" s="73"/>
    </row>
    <row r="3734" spans="1:29">
      <c r="A3734" s="327" t="str">
        <f>IF(AND($B3734&lt;&gt;"",$C3734&lt;&gt;""),MAX($A$1556:A3709)+1,"")</f>
        <v/>
      </c>
      <c r="B3734" s="361" t="s">
        <v>2022</v>
      </c>
      <c r="C3734" s="360"/>
      <c r="D3734" s="327">
        <f>IF($B3734="","",COUNTIF($B$6:$B3734,$B3734))</f>
        <v>18</v>
      </c>
      <c r="E3734" s="430" t="s">
        <v>1132</v>
      </c>
      <c r="F3734" s="431" t="s">
        <v>1133</v>
      </c>
      <c r="G3734" s="327" t="s">
        <v>155</v>
      </c>
      <c r="H3734" s="361"/>
      <c r="I3734" s="327">
        <v>6</v>
      </c>
      <c r="J3734" s="345"/>
      <c r="K3734" s="327"/>
      <c r="L3734" s="389">
        <v>1500</v>
      </c>
      <c r="M3734" s="371"/>
      <c r="N3734" s="355" t="str">
        <f t="shared" si="336"/>
        <v>PK</v>
      </c>
      <c r="O3734" s="345"/>
      <c r="P3734" s="392"/>
      <c r="Q3734" s="327"/>
      <c r="R3734" s="351"/>
      <c r="S3734" s="351"/>
      <c r="T3734" s="351"/>
      <c r="U3734" s="329" t="str">
        <f>IF($N3734=$N$4,IFERROR(INDEX(DanhMuc!$E$154:$E$165,MATCH(MID($B3734,4,2),DanhMuc!$B$154:$B$165,0)),""),"")</f>
        <v/>
      </c>
      <c r="V3734" s="361"/>
      <c r="W3734" s="345"/>
      <c r="X3734" s="329" t="str">
        <f t="shared" si="338"/>
        <v>GQ</v>
      </c>
      <c r="Y3734" s="1128" t="s">
        <v>3380</v>
      </c>
      <c r="Z3734" s="1128" t="s">
        <v>3381</v>
      </c>
      <c r="AA3734" s="1128" t="s">
        <v>3384</v>
      </c>
      <c r="AB3734" s="20"/>
      <c r="AC3734" s="73"/>
    </row>
    <row r="3735" spans="1:29">
      <c r="A3735" s="327" t="str">
        <f>IF(AND($B3735&lt;&gt;"",$C3735&lt;&gt;""),MAX($A$1556:A3710)+1,"")</f>
        <v/>
      </c>
      <c r="B3735" s="361" t="s">
        <v>2022</v>
      </c>
      <c r="C3735" s="360"/>
      <c r="D3735" s="327">
        <f>IF($B3735="","",COUNTIF($B$6:$B3735,$B3735))</f>
        <v>19</v>
      </c>
      <c r="E3735" s="419" t="s">
        <v>1247</v>
      </c>
      <c r="F3735" s="417" t="s">
        <v>1249</v>
      </c>
      <c r="G3735" s="418" t="s">
        <v>155</v>
      </c>
      <c r="H3735" s="419"/>
      <c r="I3735" s="416" t="s">
        <v>1273</v>
      </c>
      <c r="J3735" s="421"/>
      <c r="K3735" s="418"/>
      <c r="L3735" s="936" t="s">
        <v>2361</v>
      </c>
      <c r="M3735" s="371"/>
      <c r="N3735" s="355" t="str">
        <f t="shared" si="336"/>
        <v>PK</v>
      </c>
      <c r="O3735" s="345"/>
      <c r="P3735" s="392"/>
      <c r="Q3735" s="327"/>
      <c r="R3735" s="351"/>
      <c r="S3735" s="351"/>
      <c r="T3735" s="351"/>
      <c r="U3735" s="329" t="str">
        <f>IF($N3735=$N$4,IFERROR(INDEX(DanhMuc!$E$154:$E$165,MATCH(MID($B3735,4,2),DanhMuc!$B$154:$B$165,0)),""),"")</f>
        <v/>
      </c>
      <c r="V3735" s="361"/>
      <c r="W3735" s="345"/>
      <c r="X3735" s="329" t="str">
        <f t="shared" si="338"/>
        <v>GQ</v>
      </c>
      <c r="Y3735" s="1128" t="s">
        <v>3380</v>
      </c>
      <c r="Z3735" s="1128" t="s">
        <v>3381</v>
      </c>
      <c r="AA3735" s="1128" t="s">
        <v>3384</v>
      </c>
      <c r="AB3735" s="20"/>
      <c r="AC3735" s="73"/>
    </row>
    <row r="3736" spans="1:29">
      <c r="A3736" s="327" t="str">
        <f>IF(AND($B3736&lt;&gt;"",$C3736&lt;&gt;""),MAX($A$1556:A3711)+1,"")</f>
        <v/>
      </c>
      <c r="B3736" s="361" t="s">
        <v>2022</v>
      </c>
      <c r="C3736" s="360"/>
      <c r="D3736" s="327">
        <f>IF($B3736="","",COUNTIF($B$6:$B3736,$B3736))</f>
        <v>20</v>
      </c>
      <c r="E3736" s="419" t="s">
        <v>1248</v>
      </c>
      <c r="F3736" s="417" t="s">
        <v>1249</v>
      </c>
      <c r="G3736" s="418" t="s">
        <v>155</v>
      </c>
      <c r="H3736" s="419"/>
      <c r="I3736" s="416" t="s">
        <v>1273</v>
      </c>
      <c r="J3736" s="421"/>
      <c r="K3736" s="418"/>
      <c r="L3736" s="936" t="s">
        <v>2361</v>
      </c>
      <c r="M3736" s="371"/>
      <c r="N3736" s="355" t="str">
        <f t="shared" si="336"/>
        <v>PK</v>
      </c>
      <c r="O3736" s="345"/>
      <c r="P3736" s="392"/>
      <c r="Q3736" s="327"/>
      <c r="R3736" s="351"/>
      <c r="S3736" s="351"/>
      <c r="T3736" s="351"/>
      <c r="U3736" s="329" t="str">
        <f>IF($N3736=$N$4,IFERROR(INDEX(DanhMuc!$E$154:$E$165,MATCH(MID($B3736,4,2),DanhMuc!$B$154:$B$165,0)),""),"")</f>
        <v/>
      </c>
      <c r="V3736" s="361"/>
      <c r="W3736" s="345"/>
      <c r="X3736" s="329" t="str">
        <f t="shared" si="338"/>
        <v>GQ</v>
      </c>
      <c r="Y3736" s="1128" t="s">
        <v>3380</v>
      </c>
      <c r="Z3736" s="1128" t="s">
        <v>3381</v>
      </c>
      <c r="AA3736" s="1128" t="s">
        <v>3384</v>
      </c>
      <c r="AB3736" s="20"/>
      <c r="AC3736" s="73"/>
    </row>
    <row r="3737" spans="1:29">
      <c r="A3737" s="327" t="str">
        <f>IF(AND($B3737&lt;&gt;"",$C3737&lt;&gt;""),MAX($A$1556:A3712)+1,"")</f>
        <v/>
      </c>
      <c r="B3737" s="361" t="s">
        <v>2022</v>
      </c>
      <c r="C3737" s="360"/>
      <c r="D3737" s="327">
        <f>IF($B3737="","",COUNTIF($B$6:$B3737,$B3737))</f>
        <v>21</v>
      </c>
      <c r="E3737" s="419" t="s">
        <v>1014</v>
      </c>
      <c r="F3737" s="417" t="s">
        <v>1138</v>
      </c>
      <c r="G3737" s="418" t="s">
        <v>155</v>
      </c>
      <c r="H3737" s="419"/>
      <c r="I3737" s="416" t="s">
        <v>1274</v>
      </c>
      <c r="J3737" s="421"/>
      <c r="K3737" s="418"/>
      <c r="L3737" s="433">
        <v>160000</v>
      </c>
      <c r="M3737" s="371"/>
      <c r="N3737" s="355" t="str">
        <f t="shared" si="336"/>
        <v>PK</v>
      </c>
      <c r="O3737" s="345"/>
      <c r="P3737" s="392"/>
      <c r="Q3737" s="327"/>
      <c r="R3737" s="351"/>
      <c r="S3737" s="351"/>
      <c r="T3737" s="351"/>
      <c r="U3737" s="329" t="str">
        <f>IF($N3737=$N$4,IFERROR(INDEX(DanhMuc!$E$154:$E$165,MATCH(MID($B3737,4,2),DanhMuc!$B$154:$B$165,0)),""),"")</f>
        <v/>
      </c>
      <c r="V3737" s="361"/>
      <c r="W3737" s="345"/>
      <c r="X3737" s="329" t="str">
        <f t="shared" si="338"/>
        <v>GQ</v>
      </c>
      <c r="Y3737" s="1128" t="s">
        <v>3380</v>
      </c>
      <c r="Z3737" s="1128" t="s">
        <v>3381</v>
      </c>
      <c r="AA3737" s="1128" t="s">
        <v>3384</v>
      </c>
      <c r="AB3737" s="20"/>
      <c r="AC3737" s="73"/>
    </row>
    <row r="3738" spans="1:29">
      <c r="A3738" s="327" t="str">
        <f>IF(AND($B3738&lt;&gt;"",$C3738&lt;&gt;""),MAX($A$1556:A3713)+1,"")</f>
        <v/>
      </c>
      <c r="B3738" s="361" t="s">
        <v>2022</v>
      </c>
      <c r="C3738" s="360"/>
      <c r="D3738" s="327">
        <f>IF($B3738="","",COUNTIF($B$6:$B3738,$B3738))</f>
        <v>22</v>
      </c>
      <c r="E3738" s="419" t="s">
        <v>1015</v>
      </c>
      <c r="F3738" s="417" t="s">
        <v>1137</v>
      </c>
      <c r="G3738" s="418" t="s">
        <v>155</v>
      </c>
      <c r="H3738" s="419"/>
      <c r="I3738" s="416" t="s">
        <v>1275</v>
      </c>
      <c r="J3738" s="421"/>
      <c r="K3738" s="418"/>
      <c r="L3738" s="420">
        <v>160000</v>
      </c>
      <c r="M3738" s="371"/>
      <c r="N3738" s="355" t="str">
        <f t="shared" si="336"/>
        <v>PK</v>
      </c>
      <c r="O3738" s="345"/>
      <c r="P3738" s="392"/>
      <c r="Q3738" s="327"/>
      <c r="R3738" s="351"/>
      <c r="S3738" s="351"/>
      <c r="T3738" s="351"/>
      <c r="U3738" s="329" t="str">
        <f>IF($N3738=$N$4,IFERROR(INDEX(DanhMuc!$E$154:$E$165,MATCH(MID($B3738,4,2),DanhMuc!$B$154:$B$165,0)),""),"")</f>
        <v/>
      </c>
      <c r="V3738" s="361"/>
      <c r="W3738" s="345"/>
      <c r="X3738" s="329" t="str">
        <f t="shared" si="338"/>
        <v>GQ</v>
      </c>
      <c r="Y3738" s="1128" t="s">
        <v>3380</v>
      </c>
      <c r="Z3738" s="1128" t="s">
        <v>3381</v>
      </c>
      <c r="AA3738" s="1128" t="s">
        <v>3384</v>
      </c>
      <c r="AB3738" s="20"/>
      <c r="AC3738" s="73"/>
    </row>
    <row r="3739" spans="1:29">
      <c r="A3739" s="327" t="str">
        <f>IF(AND($B3739&lt;&gt;"",$C3739&lt;&gt;""),MAX($A$1556:A3714)+1,"")</f>
        <v/>
      </c>
      <c r="B3739" s="361" t="s">
        <v>2022</v>
      </c>
      <c r="C3739" s="360"/>
      <c r="D3739" s="327">
        <f>IF($B3739="","",COUNTIF($B$6:$B3739,$B3739))</f>
        <v>23</v>
      </c>
      <c r="E3739" s="419" t="s">
        <v>1016</v>
      </c>
      <c r="F3739" s="417" t="s">
        <v>1136</v>
      </c>
      <c r="G3739" s="418" t="s">
        <v>155</v>
      </c>
      <c r="H3739" s="419"/>
      <c r="I3739" s="416" t="s">
        <v>1276</v>
      </c>
      <c r="J3739" s="421"/>
      <c r="K3739" s="418"/>
      <c r="L3739" s="420">
        <v>165000</v>
      </c>
      <c r="M3739" s="371"/>
      <c r="N3739" s="355" t="str">
        <f t="shared" si="336"/>
        <v>PK</v>
      </c>
      <c r="O3739" s="345"/>
      <c r="P3739" s="392"/>
      <c r="Q3739" s="327"/>
      <c r="R3739" s="351"/>
      <c r="S3739" s="351"/>
      <c r="T3739" s="351"/>
      <c r="U3739" s="329" t="str">
        <f>IF($N3739=$N$4,IFERROR(INDEX(DanhMuc!$E$154:$E$165,MATCH(MID($B3739,4,2),DanhMuc!$B$154:$B$165,0)),""),"")</f>
        <v/>
      </c>
      <c r="V3739" s="361"/>
      <c r="W3739" s="345"/>
      <c r="X3739" s="329" t="str">
        <f t="shared" si="338"/>
        <v>GQ</v>
      </c>
      <c r="Y3739" s="1128" t="s">
        <v>3380</v>
      </c>
      <c r="Z3739" s="1128" t="s">
        <v>3381</v>
      </c>
      <c r="AA3739" s="1128" t="s">
        <v>3384</v>
      </c>
      <c r="AB3739" s="20"/>
      <c r="AC3739" s="73"/>
    </row>
    <row r="3740" spans="1:29">
      <c r="A3740" s="327" t="str">
        <f>IF(AND($B3740&lt;&gt;"",$C3740&lt;&gt;""),MAX($A$1556:A3715)+1,"")</f>
        <v/>
      </c>
      <c r="B3740" s="361" t="s">
        <v>2022</v>
      </c>
      <c r="C3740" s="360"/>
      <c r="D3740" s="327">
        <f>IF($B3740="","",COUNTIF($B$6:$B3740,$B3740))</f>
        <v>24</v>
      </c>
      <c r="E3740" s="419" t="s">
        <v>1134</v>
      </c>
      <c r="F3740" s="417" t="s">
        <v>1135</v>
      </c>
      <c r="G3740" s="418" t="s">
        <v>155</v>
      </c>
      <c r="H3740" s="419"/>
      <c r="I3740" s="416" t="s">
        <v>1277</v>
      </c>
      <c r="J3740" s="421"/>
      <c r="K3740" s="418"/>
      <c r="L3740" s="936" t="s">
        <v>2361</v>
      </c>
      <c r="M3740" s="371"/>
      <c r="N3740" s="355" t="str">
        <f t="shared" si="336"/>
        <v>PK</v>
      </c>
      <c r="O3740" s="345"/>
      <c r="P3740" s="392"/>
      <c r="Q3740" s="327"/>
      <c r="R3740" s="351"/>
      <c r="S3740" s="351"/>
      <c r="T3740" s="351"/>
      <c r="U3740" s="329" t="str">
        <f>IF($N3740=$N$4,IFERROR(INDEX(DanhMuc!$E$154:$E$165,MATCH(MID($B3740,4,2),DanhMuc!$B$154:$B$165,0)),""),"")</f>
        <v/>
      </c>
      <c r="V3740" s="361"/>
      <c r="W3740" s="345"/>
      <c r="X3740" s="329" t="str">
        <f t="shared" si="338"/>
        <v>GQ</v>
      </c>
      <c r="Y3740" s="1128" t="s">
        <v>3380</v>
      </c>
      <c r="Z3740" s="1128" t="s">
        <v>3381</v>
      </c>
      <c r="AA3740" s="1128" t="s">
        <v>3384</v>
      </c>
      <c r="AB3740" s="20"/>
      <c r="AC3740" s="73"/>
    </row>
    <row r="3741" spans="1:29">
      <c r="A3741" s="327" t="str">
        <f>IF(AND($B3741&lt;&gt;"",$C3741&lt;&gt;""),MAX($A$1556:A3716)+1,"")</f>
        <v/>
      </c>
      <c r="B3741" s="361" t="s">
        <v>2022</v>
      </c>
      <c r="C3741" s="360"/>
      <c r="D3741" s="327">
        <f>IF($B3741="","",COUNTIF($B$6:$B3741,$B3741))</f>
        <v>25</v>
      </c>
      <c r="E3741" s="419" t="s">
        <v>980</v>
      </c>
      <c r="F3741" s="417" t="s">
        <v>1139</v>
      </c>
      <c r="G3741" s="418" t="s">
        <v>155</v>
      </c>
      <c r="H3741" s="419"/>
      <c r="I3741" s="418">
        <v>2</v>
      </c>
      <c r="J3741" s="421"/>
      <c r="K3741" s="418"/>
      <c r="L3741" s="420">
        <v>1</v>
      </c>
      <c r="M3741" s="371"/>
      <c r="N3741" s="355" t="str">
        <f t="shared" si="336"/>
        <v>PK</v>
      </c>
      <c r="O3741" s="345"/>
      <c r="P3741" s="392"/>
      <c r="Q3741" s="438"/>
      <c r="R3741" s="351"/>
      <c r="S3741" s="351"/>
      <c r="T3741" s="351"/>
      <c r="U3741" s="329" t="str">
        <f>IF($N3741=$N$4,IFERROR(INDEX(DanhMuc!$E$154:$E$165,MATCH(MID($B3741,4,2),DanhMuc!$B$154:$B$165,0)),""),"")</f>
        <v/>
      </c>
      <c r="V3741" s="361"/>
      <c r="W3741" s="345"/>
      <c r="X3741" s="329" t="str">
        <f t="shared" si="338"/>
        <v>GQ</v>
      </c>
      <c r="Y3741" s="1128" t="s">
        <v>3380</v>
      </c>
      <c r="Z3741" s="1128" t="s">
        <v>3381</v>
      </c>
      <c r="AA3741" s="1128" t="s">
        <v>3384</v>
      </c>
      <c r="AB3741" s="20"/>
      <c r="AC3741" s="73"/>
    </row>
    <row r="3742" spans="1:29">
      <c r="A3742" s="327" t="str">
        <f>IF(AND($B3742&lt;&gt;"",$C3742&lt;&gt;""),MAX($A$1556:A3717)+1,"")</f>
        <v/>
      </c>
      <c r="B3742" s="361" t="s">
        <v>2022</v>
      </c>
      <c r="C3742" s="360"/>
      <c r="D3742" s="327">
        <f>IF($B3742="","",COUNTIF($B$6:$B3742,$B3742))</f>
        <v>26</v>
      </c>
      <c r="E3742" s="419" t="s">
        <v>1005</v>
      </c>
      <c r="F3742" s="417" t="s">
        <v>979</v>
      </c>
      <c r="G3742" s="418" t="s">
        <v>155</v>
      </c>
      <c r="H3742" s="419"/>
      <c r="I3742" s="418">
        <v>4</v>
      </c>
      <c r="J3742" s="421"/>
      <c r="K3742" s="418"/>
      <c r="L3742" s="420">
        <v>1</v>
      </c>
      <c r="M3742" s="371"/>
      <c r="N3742" s="355" t="str">
        <f t="shared" si="336"/>
        <v>PK</v>
      </c>
      <c r="O3742" s="345"/>
      <c r="P3742" s="392"/>
      <c r="Q3742" s="438"/>
      <c r="R3742" s="351"/>
      <c r="S3742" s="351"/>
      <c r="T3742" s="351"/>
      <c r="U3742" s="329" t="str">
        <f>IF($N3742=$N$4,IFERROR(INDEX(DanhMuc!$E$154:$E$165,MATCH(MID($B3742,4,2),DanhMuc!$B$154:$B$165,0)),""),"")</f>
        <v/>
      </c>
      <c r="V3742" s="361"/>
      <c r="W3742" s="345"/>
      <c r="X3742" s="329" t="str">
        <f t="shared" si="338"/>
        <v>GQ</v>
      </c>
      <c r="Y3742" s="1128" t="s">
        <v>3380</v>
      </c>
      <c r="Z3742" s="1128" t="s">
        <v>3381</v>
      </c>
      <c r="AA3742" s="1128" t="s">
        <v>3384</v>
      </c>
      <c r="AB3742" s="20"/>
      <c r="AC3742" s="73"/>
    </row>
    <row r="3743" spans="1:29" ht="26">
      <c r="A3743" s="327">
        <f>IF(AND($B3743&lt;&gt;"",$C3743&lt;&gt;""),MAX($A$1556:A3718)+1,"")</f>
        <v>182</v>
      </c>
      <c r="B3743" s="359" t="s">
        <v>2023</v>
      </c>
      <c r="C3743" s="370" t="s">
        <v>1595</v>
      </c>
      <c r="D3743" s="327">
        <f>IF($B3743="","",COUNTIF($B$6:$B3743,$B3743))</f>
        <v>1</v>
      </c>
      <c r="E3743" s="430" t="s">
        <v>1114</v>
      </c>
      <c r="F3743" s="362" t="s">
        <v>1012</v>
      </c>
      <c r="G3743" s="327" t="s">
        <v>296</v>
      </c>
      <c r="H3743" s="361"/>
      <c r="I3743" s="327">
        <v>1</v>
      </c>
      <c r="J3743" s="361"/>
      <c r="K3743" s="327"/>
      <c r="L3743" s="389">
        <v>31000</v>
      </c>
      <c r="M3743" s="371"/>
      <c r="N3743" s="355" t="str">
        <f t="shared" si="336"/>
        <v>PK</v>
      </c>
      <c r="O3743" s="345"/>
      <c r="P3743" s="392"/>
      <c r="Q3743" s="327"/>
      <c r="R3743" s="351"/>
      <c r="S3743" s="351"/>
      <c r="T3743" s="351"/>
      <c r="U3743" s="329" t="str">
        <f>IF($N3743=$N$4,IFERROR(INDEX(DanhMuc!$E$154:$E$165,MATCH(MID($B3743,4,2),DanhMuc!$B$154:$B$165,0)),""),"")</f>
        <v/>
      </c>
      <c r="V3743" s="361"/>
      <c r="W3743" s="345"/>
      <c r="X3743" s="329" t="str">
        <f t="shared" si="338"/>
        <v>GQ</v>
      </c>
      <c r="Y3743" s="1128" t="s">
        <v>3380</v>
      </c>
      <c r="Z3743" s="1128" t="s">
        <v>3381</v>
      </c>
      <c r="AA3743" s="1128" t="s">
        <v>3384</v>
      </c>
      <c r="AB3743" s="20"/>
      <c r="AC3743" s="73"/>
    </row>
    <row r="3744" spans="1:29">
      <c r="A3744" s="327" t="str">
        <f>IF(AND($B3744&lt;&gt;"",$C3744&lt;&gt;""),MAX($A$1556:A3719)+1,"")</f>
        <v/>
      </c>
      <c r="B3744" s="361" t="s">
        <v>2023</v>
      </c>
      <c r="C3744" s="360"/>
      <c r="D3744" s="327">
        <f>IF($B3744="","",COUNTIF($B$6:$B3744,$B3744))</f>
        <v>2</v>
      </c>
      <c r="E3744" s="419" t="s">
        <v>1124</v>
      </c>
      <c r="F3744" s="417" t="s">
        <v>1115</v>
      </c>
      <c r="G3744" s="418" t="s">
        <v>155</v>
      </c>
      <c r="H3744" s="419"/>
      <c r="I3744" s="416" t="s">
        <v>1234</v>
      </c>
      <c r="J3744" s="421"/>
      <c r="K3744" s="418"/>
      <c r="L3744" s="435">
        <v>47000</v>
      </c>
      <c r="M3744" s="371"/>
      <c r="N3744" s="355" t="str">
        <f t="shared" si="336"/>
        <v>PK</v>
      </c>
      <c r="O3744" s="345"/>
      <c r="P3744" s="392"/>
      <c r="Q3744" s="436"/>
      <c r="R3744" s="437"/>
      <c r="S3744" s="351"/>
      <c r="T3744" s="351"/>
      <c r="U3744" s="329" t="str">
        <f>IF($N3744=$N$4,IFERROR(INDEX(DanhMuc!$E$154:$E$165,MATCH(MID($B3744,4,2),DanhMuc!$B$154:$B$165,0)),""),"")</f>
        <v/>
      </c>
      <c r="V3744" s="361"/>
      <c r="W3744" s="345"/>
      <c r="X3744" s="329" t="str">
        <f t="shared" si="338"/>
        <v>GQ</v>
      </c>
      <c r="Y3744" s="1128" t="s">
        <v>3380</v>
      </c>
      <c r="Z3744" s="1128" t="s">
        <v>3381</v>
      </c>
      <c r="AA3744" s="1128" t="s">
        <v>3384</v>
      </c>
      <c r="AB3744" s="20"/>
      <c r="AC3744" s="73"/>
    </row>
    <row r="3745" spans="1:29">
      <c r="A3745" s="327" t="str">
        <f>IF(AND($B3745&lt;&gt;"",$C3745&lt;&gt;""),MAX($A$1556:A3720)+1,"")</f>
        <v/>
      </c>
      <c r="B3745" s="361" t="s">
        <v>2023</v>
      </c>
      <c r="C3745" s="360"/>
      <c r="D3745" s="327">
        <f>IF($B3745="","",COUNTIF($B$6:$B3745,$B3745))</f>
        <v>3</v>
      </c>
      <c r="E3745" s="419" t="s">
        <v>1125</v>
      </c>
      <c r="F3745" s="417" t="s">
        <v>1116</v>
      </c>
      <c r="G3745" s="418" t="s">
        <v>155</v>
      </c>
      <c r="H3745" s="419"/>
      <c r="I3745" s="416" t="s">
        <v>1228</v>
      </c>
      <c r="J3745" s="421"/>
      <c r="K3745" s="418"/>
      <c r="L3745" s="435">
        <v>54000</v>
      </c>
      <c r="M3745" s="371"/>
      <c r="N3745" s="355" t="str">
        <f t="shared" ref="N3745:N3774" si="339">+$N$1555</f>
        <v>PK</v>
      </c>
      <c r="O3745" s="345"/>
      <c r="P3745" s="392"/>
      <c r="Q3745" s="436"/>
      <c r="R3745" s="437"/>
      <c r="S3745" s="351"/>
      <c r="T3745" s="351"/>
      <c r="U3745" s="329" t="str">
        <f>IF($N3745=$N$4,IFERROR(INDEX(DanhMuc!$E$154:$E$165,MATCH(MID($B3745,4,2),DanhMuc!$B$154:$B$165,0)),""),"")</f>
        <v/>
      </c>
      <c r="V3745" s="361"/>
      <c r="W3745" s="345"/>
      <c r="X3745" s="329" t="str">
        <f t="shared" si="338"/>
        <v>GQ</v>
      </c>
      <c r="Y3745" s="1128" t="s">
        <v>3380</v>
      </c>
      <c r="Z3745" s="1128" t="s">
        <v>3381</v>
      </c>
      <c r="AA3745" s="1128" t="s">
        <v>3384</v>
      </c>
      <c r="AB3745" s="20"/>
      <c r="AC3745" s="73"/>
    </row>
    <row r="3746" spans="1:29">
      <c r="A3746" s="327" t="str">
        <f>IF(AND($B3746&lt;&gt;"",$C3746&lt;&gt;""),MAX($A$1556:A3721)+1,"")</f>
        <v/>
      </c>
      <c r="B3746" s="361" t="s">
        <v>2023</v>
      </c>
      <c r="C3746" s="360"/>
      <c r="D3746" s="327">
        <f>IF($B3746="","",COUNTIF($B$6:$B3746,$B3746))</f>
        <v>4</v>
      </c>
      <c r="E3746" s="419" t="s">
        <v>1126</v>
      </c>
      <c r="F3746" s="417" t="s">
        <v>1117</v>
      </c>
      <c r="G3746" s="418" t="s">
        <v>155</v>
      </c>
      <c r="H3746" s="419"/>
      <c r="I3746" s="416" t="s">
        <v>1229</v>
      </c>
      <c r="J3746" s="421"/>
      <c r="K3746" s="418"/>
      <c r="L3746" s="435">
        <v>58000</v>
      </c>
      <c r="M3746" s="371"/>
      <c r="N3746" s="355" t="str">
        <f t="shared" si="339"/>
        <v>PK</v>
      </c>
      <c r="O3746" s="345"/>
      <c r="P3746" s="392"/>
      <c r="Q3746" s="436"/>
      <c r="R3746" s="437"/>
      <c r="S3746" s="351"/>
      <c r="T3746" s="351"/>
      <c r="U3746" s="329" t="str">
        <f>IF($N3746=$N$4,IFERROR(INDEX(DanhMuc!$E$154:$E$165,MATCH(MID($B3746,4,2),DanhMuc!$B$154:$B$165,0)),""),"")</f>
        <v/>
      </c>
      <c r="V3746" s="361"/>
      <c r="W3746" s="345"/>
      <c r="X3746" s="329" t="str">
        <f t="shared" si="338"/>
        <v>GQ</v>
      </c>
      <c r="Y3746" s="1128" t="s">
        <v>3380</v>
      </c>
      <c r="Z3746" s="1128" t="s">
        <v>3381</v>
      </c>
      <c r="AA3746" s="1128" t="s">
        <v>3384</v>
      </c>
      <c r="AB3746" s="20"/>
      <c r="AC3746" s="73"/>
    </row>
    <row r="3747" spans="1:29">
      <c r="A3747" s="327" t="str">
        <f>IF(AND($B3747&lt;&gt;"",$C3747&lt;&gt;""),MAX($A$1556:A3722)+1,"")</f>
        <v/>
      </c>
      <c r="B3747" s="361" t="s">
        <v>2023</v>
      </c>
      <c r="C3747" s="360"/>
      <c r="D3747" s="327">
        <f>IF($B3747="","",COUNTIF($B$6:$B3747,$B3747))</f>
        <v>5</v>
      </c>
      <c r="E3747" s="419" t="s">
        <v>1127</v>
      </c>
      <c r="F3747" s="417" t="s">
        <v>1118</v>
      </c>
      <c r="G3747" s="418" t="s">
        <v>155</v>
      </c>
      <c r="H3747" s="419"/>
      <c r="I3747" s="416" t="s">
        <v>1230</v>
      </c>
      <c r="J3747" s="421"/>
      <c r="K3747" s="418"/>
      <c r="L3747" s="435">
        <v>63000</v>
      </c>
      <c r="M3747" s="371"/>
      <c r="N3747" s="355" t="str">
        <f t="shared" si="339"/>
        <v>PK</v>
      </c>
      <c r="O3747" s="345"/>
      <c r="P3747" s="392"/>
      <c r="Q3747" s="436"/>
      <c r="R3747" s="437"/>
      <c r="S3747" s="351"/>
      <c r="T3747" s="351"/>
      <c r="U3747" s="329" t="str">
        <f>IF($N3747=$N$4,IFERROR(INDEX(DanhMuc!$E$154:$E$165,MATCH(MID($B3747,4,2),DanhMuc!$B$154:$B$165,0)),""),"")</f>
        <v/>
      </c>
      <c r="V3747" s="361"/>
      <c r="W3747" s="345"/>
      <c r="X3747" s="329" t="str">
        <f t="shared" si="338"/>
        <v>GQ</v>
      </c>
      <c r="Y3747" s="1128" t="s">
        <v>3380</v>
      </c>
      <c r="Z3747" s="1128" t="s">
        <v>3381</v>
      </c>
      <c r="AA3747" s="1128" t="s">
        <v>3384</v>
      </c>
      <c r="AB3747" s="20"/>
      <c r="AC3747" s="73"/>
    </row>
    <row r="3748" spans="1:29">
      <c r="A3748" s="327" t="str">
        <f>IF(AND($B3748&lt;&gt;"",$C3748&lt;&gt;""),MAX($A$1556:A3723)+1,"")</f>
        <v/>
      </c>
      <c r="B3748" s="361" t="s">
        <v>2023</v>
      </c>
      <c r="C3748" s="360"/>
      <c r="D3748" s="327">
        <f>IF($B3748="","",COUNTIF($B$6:$B3748,$B3748))</f>
        <v>6</v>
      </c>
      <c r="E3748" s="419" t="s">
        <v>1128</v>
      </c>
      <c r="F3748" s="417" t="s">
        <v>1119</v>
      </c>
      <c r="G3748" s="418" t="s">
        <v>155</v>
      </c>
      <c r="H3748" s="419"/>
      <c r="I3748" s="416" t="s">
        <v>1231</v>
      </c>
      <c r="J3748" s="421"/>
      <c r="K3748" s="418"/>
      <c r="L3748" s="435">
        <v>78000</v>
      </c>
      <c r="M3748" s="371"/>
      <c r="N3748" s="355" t="str">
        <f t="shared" si="339"/>
        <v>PK</v>
      </c>
      <c r="O3748" s="345"/>
      <c r="P3748" s="392"/>
      <c r="Q3748" s="436"/>
      <c r="R3748" s="437"/>
      <c r="S3748" s="351"/>
      <c r="T3748" s="351"/>
      <c r="U3748" s="329" t="str">
        <f>IF($N3748=$N$4,IFERROR(INDEX(DanhMuc!$E$154:$E$165,MATCH(MID($B3748,4,2),DanhMuc!$B$154:$B$165,0)),""),"")</f>
        <v/>
      </c>
      <c r="V3748" s="361"/>
      <c r="W3748" s="345"/>
      <c r="X3748" s="329" t="str">
        <f t="shared" si="338"/>
        <v>GQ</v>
      </c>
      <c r="Y3748" s="1128" t="s">
        <v>3380</v>
      </c>
      <c r="Z3748" s="1128" t="s">
        <v>3381</v>
      </c>
      <c r="AA3748" s="1128" t="s">
        <v>3384</v>
      </c>
      <c r="AB3748" s="20"/>
      <c r="AC3748" s="73"/>
    </row>
    <row r="3749" spans="1:29">
      <c r="A3749" s="327" t="str">
        <f>IF(AND($B3749&lt;&gt;"",$C3749&lt;&gt;""),MAX($A$1556:A3724)+1,"")</f>
        <v/>
      </c>
      <c r="B3749" s="361" t="s">
        <v>2023</v>
      </c>
      <c r="C3749" s="360"/>
      <c r="D3749" s="327">
        <f>IF($B3749="","",COUNTIF($B$6:$B3749,$B3749))</f>
        <v>7</v>
      </c>
      <c r="E3749" s="419" t="s">
        <v>2365</v>
      </c>
      <c r="F3749" s="417" t="s">
        <v>1120</v>
      </c>
      <c r="G3749" s="418" t="s">
        <v>155</v>
      </c>
      <c r="H3749" s="419"/>
      <c r="I3749" s="416" t="s">
        <v>1232</v>
      </c>
      <c r="J3749" s="421"/>
      <c r="K3749" s="418"/>
      <c r="L3749" s="435">
        <v>84000</v>
      </c>
      <c r="M3749" s="371"/>
      <c r="N3749" s="355" t="str">
        <f t="shared" si="339"/>
        <v>PK</v>
      </c>
      <c r="O3749" s="345"/>
      <c r="P3749" s="392"/>
      <c r="Q3749" s="436"/>
      <c r="R3749" s="437"/>
      <c r="S3749" s="351"/>
      <c r="T3749" s="351"/>
      <c r="U3749" s="329" t="str">
        <f>IF($N3749=$N$4,IFERROR(INDEX(DanhMuc!$E$154:$E$165,MATCH(MID($B3749,4,2),DanhMuc!$B$154:$B$165,0)),""),"")</f>
        <v/>
      </c>
      <c r="V3749" s="361"/>
      <c r="W3749" s="345"/>
      <c r="X3749" s="329" t="str">
        <f t="shared" si="338"/>
        <v>GQ</v>
      </c>
      <c r="Y3749" s="1128" t="s">
        <v>3380</v>
      </c>
      <c r="Z3749" s="1128" t="s">
        <v>3381</v>
      </c>
      <c r="AA3749" s="1128" t="s">
        <v>3384</v>
      </c>
      <c r="AB3749" s="20"/>
      <c r="AC3749" s="73"/>
    </row>
    <row r="3750" spans="1:29">
      <c r="A3750" s="327" t="str">
        <f>IF(AND($B3750&lt;&gt;"",$C3750&lt;&gt;""),MAX($A$1556:A3725)+1,"")</f>
        <v/>
      </c>
      <c r="B3750" s="361" t="s">
        <v>2023</v>
      </c>
      <c r="C3750" s="360"/>
      <c r="D3750" s="327">
        <f>IF($B3750="","",COUNTIF($B$6:$B3750,$B3750))</f>
        <v>8</v>
      </c>
      <c r="E3750" s="419" t="s">
        <v>1129</v>
      </c>
      <c r="F3750" s="417" t="s">
        <v>1121</v>
      </c>
      <c r="G3750" s="418" t="s">
        <v>155</v>
      </c>
      <c r="H3750" s="419"/>
      <c r="I3750" s="416" t="s">
        <v>1233</v>
      </c>
      <c r="J3750" s="421"/>
      <c r="K3750" s="418"/>
      <c r="L3750" s="435">
        <v>98000</v>
      </c>
      <c r="M3750" s="371"/>
      <c r="N3750" s="355" t="str">
        <f t="shared" si="339"/>
        <v>PK</v>
      </c>
      <c r="O3750" s="345"/>
      <c r="P3750" s="392"/>
      <c r="Q3750" s="436"/>
      <c r="R3750" s="437"/>
      <c r="S3750" s="351"/>
      <c r="T3750" s="351"/>
      <c r="U3750" s="329" t="str">
        <f>IF($N3750=$N$4,IFERROR(INDEX(DanhMuc!$E$154:$E$165,MATCH(MID($B3750,4,2),DanhMuc!$B$154:$B$165,0)),""),"")</f>
        <v/>
      </c>
      <c r="V3750" s="361"/>
      <c r="W3750" s="345"/>
      <c r="X3750" s="329" t="str">
        <f t="shared" si="338"/>
        <v>GQ</v>
      </c>
      <c r="Y3750" s="1128" t="s">
        <v>3380</v>
      </c>
      <c r="Z3750" s="1128" t="s">
        <v>3381</v>
      </c>
      <c r="AA3750" s="1128" t="s">
        <v>3384</v>
      </c>
      <c r="AB3750" s="20"/>
      <c r="AC3750" s="73"/>
    </row>
    <row r="3751" spans="1:29">
      <c r="A3751" s="327" t="str">
        <f>IF(AND($B3751&lt;&gt;"",$C3751&lt;&gt;""),MAX($A$1556:A3726)+1,"")</f>
        <v/>
      </c>
      <c r="B3751" s="361" t="s">
        <v>2023</v>
      </c>
      <c r="C3751" s="360"/>
      <c r="D3751" s="327">
        <f>IF($B3751="","",COUNTIF($B$6:$B3751,$B3751))</f>
        <v>9</v>
      </c>
      <c r="E3751" s="419" t="s">
        <v>1130</v>
      </c>
      <c r="F3751" s="417" t="s">
        <v>1122</v>
      </c>
      <c r="G3751" s="418" t="s">
        <v>155</v>
      </c>
      <c r="H3751" s="419"/>
      <c r="I3751" s="416" t="s">
        <v>1235</v>
      </c>
      <c r="J3751" s="421"/>
      <c r="K3751" s="418"/>
      <c r="L3751" s="435">
        <v>117000</v>
      </c>
      <c r="M3751" s="371"/>
      <c r="N3751" s="355" t="str">
        <f t="shared" si="339"/>
        <v>PK</v>
      </c>
      <c r="O3751" s="345"/>
      <c r="P3751" s="392"/>
      <c r="Q3751" s="436"/>
      <c r="R3751" s="437"/>
      <c r="S3751" s="351"/>
      <c r="T3751" s="351"/>
      <c r="U3751" s="329" t="str">
        <f>IF($N3751=$N$4,IFERROR(INDEX(DanhMuc!$E$154:$E$165,MATCH(MID($B3751,4,2),DanhMuc!$B$154:$B$165,0)),""),"")</f>
        <v/>
      </c>
      <c r="V3751" s="361"/>
      <c r="W3751" s="345"/>
      <c r="X3751" s="329" t="str">
        <f t="shared" si="338"/>
        <v>GQ</v>
      </c>
      <c r="Y3751" s="1128" t="s">
        <v>3380</v>
      </c>
      <c r="Z3751" s="1128" t="s">
        <v>3381</v>
      </c>
      <c r="AA3751" s="1128" t="s">
        <v>3384</v>
      </c>
      <c r="AB3751" s="20"/>
      <c r="AC3751" s="73"/>
    </row>
    <row r="3752" spans="1:29">
      <c r="A3752" s="327" t="str">
        <f>IF(AND($B3752&lt;&gt;"",$C3752&lt;&gt;""),MAX($A$1556:A3727)+1,"")</f>
        <v/>
      </c>
      <c r="B3752" s="361" t="s">
        <v>2023</v>
      </c>
      <c r="C3752" s="360"/>
      <c r="D3752" s="327">
        <f>IF($B3752="","",COUNTIF($B$6:$B3752,$B3752))</f>
        <v>10</v>
      </c>
      <c r="E3752" s="419" t="s">
        <v>1131</v>
      </c>
      <c r="F3752" s="417" t="s">
        <v>1123</v>
      </c>
      <c r="G3752" s="418" t="s">
        <v>155</v>
      </c>
      <c r="H3752" s="419"/>
      <c r="I3752" s="416" t="s">
        <v>1236</v>
      </c>
      <c r="J3752" s="421"/>
      <c r="K3752" s="418"/>
      <c r="L3752" s="435">
        <v>135000</v>
      </c>
      <c r="M3752" s="371"/>
      <c r="N3752" s="355" t="str">
        <f t="shared" si="339"/>
        <v>PK</v>
      </c>
      <c r="O3752" s="345"/>
      <c r="P3752" s="392"/>
      <c r="Q3752" s="327"/>
      <c r="R3752" s="437"/>
      <c r="S3752" s="351"/>
      <c r="T3752" s="351"/>
      <c r="U3752" s="329" t="str">
        <f>IF($N3752=$N$4,IFERROR(INDEX(DanhMuc!$E$154:$E$165,MATCH(MID($B3752,4,2),DanhMuc!$B$154:$B$165,0)),""),"")</f>
        <v/>
      </c>
      <c r="V3752" s="361"/>
      <c r="W3752" s="345"/>
      <c r="X3752" s="329" t="str">
        <f t="shared" si="338"/>
        <v>GQ</v>
      </c>
      <c r="Y3752" s="1128" t="s">
        <v>3380</v>
      </c>
      <c r="Z3752" s="1128" t="s">
        <v>3381</v>
      </c>
      <c r="AA3752" s="1128" t="s">
        <v>3384</v>
      </c>
      <c r="AB3752" s="20"/>
      <c r="AC3752" s="73"/>
    </row>
    <row r="3753" spans="1:29">
      <c r="A3753" s="327" t="str">
        <f>IF(AND($B3753&lt;&gt;"",$C3753&lt;&gt;""),MAX($A$1556:A3728)+1,"")</f>
        <v/>
      </c>
      <c r="B3753" s="361" t="s">
        <v>2023</v>
      </c>
      <c r="C3753" s="360"/>
      <c r="D3753" s="327">
        <f>IF($B3753="","",COUNTIF($B$6:$B3753,$B3753))</f>
        <v>11</v>
      </c>
      <c r="E3753" s="419">
        <v>10801</v>
      </c>
      <c r="F3753" s="422" t="s">
        <v>1013</v>
      </c>
      <c r="G3753" s="418" t="s">
        <v>155</v>
      </c>
      <c r="H3753" s="419"/>
      <c r="I3753" s="416" t="s">
        <v>2369</v>
      </c>
      <c r="J3753" s="421"/>
      <c r="K3753" s="418"/>
      <c r="L3753" s="420">
        <v>6500</v>
      </c>
      <c r="M3753" s="371"/>
      <c r="N3753" s="355" t="str">
        <f t="shared" si="339"/>
        <v>PK</v>
      </c>
      <c r="O3753" s="345"/>
      <c r="P3753" s="392"/>
      <c r="Q3753" s="327"/>
      <c r="R3753" s="437"/>
      <c r="S3753" s="351"/>
      <c r="T3753" s="351"/>
      <c r="U3753" s="329" t="str">
        <f>IF($N3753=$N$4,IFERROR(INDEX(DanhMuc!$E$154:$E$165,MATCH(MID($B3753,4,2),DanhMuc!$B$154:$B$165,0)),""),"")</f>
        <v/>
      </c>
      <c r="V3753" s="361"/>
      <c r="W3753" s="345"/>
      <c r="X3753" s="329" t="str">
        <f t="shared" si="338"/>
        <v>GQ</v>
      </c>
      <c r="Y3753" s="1128" t="s">
        <v>3380</v>
      </c>
      <c r="Z3753" s="1128" t="s">
        <v>3381</v>
      </c>
      <c r="AA3753" s="1128" t="s">
        <v>3384</v>
      </c>
      <c r="AB3753" s="20"/>
      <c r="AC3753" s="73"/>
    </row>
    <row r="3754" spans="1:29">
      <c r="A3754" s="327" t="str">
        <f>IF(AND($B3754&lt;&gt;"",$C3754&lt;&gt;""),MAX($A$1556:A3729)+1,"")</f>
        <v/>
      </c>
      <c r="B3754" s="361" t="s">
        <v>2023</v>
      </c>
      <c r="C3754" s="360"/>
      <c r="D3754" s="327">
        <f>IF($B3754="","",COUNTIF($B$6:$B3754,$B3754))</f>
        <v>12</v>
      </c>
      <c r="E3754" s="430" t="s">
        <v>1223</v>
      </c>
      <c r="F3754" s="431" t="s">
        <v>1218</v>
      </c>
      <c r="G3754" s="327" t="s">
        <v>155</v>
      </c>
      <c r="H3754" s="361"/>
      <c r="I3754" s="327">
        <v>2</v>
      </c>
      <c r="J3754" s="345"/>
      <c r="K3754" s="327"/>
      <c r="L3754" s="389">
        <v>46000</v>
      </c>
      <c r="M3754" s="371"/>
      <c r="N3754" s="355" t="str">
        <f t="shared" si="339"/>
        <v>PK</v>
      </c>
      <c r="O3754" s="345" t="s">
        <v>1702</v>
      </c>
      <c r="P3754" s="392"/>
      <c r="Q3754" s="327"/>
      <c r="R3754" s="351"/>
      <c r="S3754" s="351"/>
      <c r="T3754" s="351"/>
      <c r="U3754" s="329" t="str">
        <f>IF($N3754=$N$4,IFERROR(INDEX(DanhMuc!$E$154:$E$165,MATCH(MID($B3754,4,2),DanhMuc!$B$154:$B$165,0)),""),"")</f>
        <v/>
      </c>
      <c r="V3754" s="361"/>
      <c r="W3754" s="345"/>
      <c r="X3754" s="329" t="str">
        <f t="shared" si="338"/>
        <v>GQ</v>
      </c>
      <c r="Y3754" s="1128" t="s">
        <v>3380</v>
      </c>
      <c r="Z3754" s="1128" t="s">
        <v>3381</v>
      </c>
      <c r="AA3754" s="1128" t="s">
        <v>3384</v>
      </c>
      <c r="AB3754" s="20"/>
      <c r="AC3754" s="73"/>
    </row>
    <row r="3755" spans="1:29">
      <c r="A3755" s="327" t="str">
        <f>IF(AND($B3755&lt;&gt;"",$C3755&lt;&gt;""),MAX($A$1556:A3730)+1,"")</f>
        <v/>
      </c>
      <c r="B3755" s="361" t="s">
        <v>2023</v>
      </c>
      <c r="C3755" s="360"/>
      <c r="D3755" s="327">
        <f>IF($B3755="","",COUNTIF($B$6:$B3755,$B3755))</f>
        <v>13</v>
      </c>
      <c r="E3755" s="430" t="s">
        <v>1224</v>
      </c>
      <c r="F3755" s="431" t="s">
        <v>1219</v>
      </c>
      <c r="G3755" s="327" t="s">
        <v>155</v>
      </c>
      <c r="H3755" s="361"/>
      <c r="I3755" s="327">
        <v>2</v>
      </c>
      <c r="J3755" s="345"/>
      <c r="K3755" s="327"/>
      <c r="L3755" s="389">
        <v>58000</v>
      </c>
      <c r="M3755" s="371"/>
      <c r="N3755" s="355" t="str">
        <f t="shared" si="339"/>
        <v>PK</v>
      </c>
      <c r="O3755" s="407" t="s">
        <v>1698</v>
      </c>
      <c r="P3755" s="392"/>
      <c r="Q3755" s="327"/>
      <c r="R3755" s="351"/>
      <c r="S3755" s="351"/>
      <c r="T3755" s="351"/>
      <c r="U3755" s="329" t="str">
        <f>IF($N3755=$N$4,IFERROR(INDEX(DanhMuc!$E$154:$E$165,MATCH(MID($B3755,4,2),DanhMuc!$B$154:$B$165,0)),""),"")</f>
        <v/>
      </c>
      <c r="V3755" s="361"/>
      <c r="W3755" s="345"/>
      <c r="X3755" s="329" t="str">
        <f t="shared" si="338"/>
        <v>GQ</v>
      </c>
      <c r="Y3755" s="1128" t="s">
        <v>3380</v>
      </c>
      <c r="Z3755" s="1128" t="s">
        <v>3381</v>
      </c>
      <c r="AA3755" s="1128" t="s">
        <v>3384</v>
      </c>
      <c r="AB3755" s="20"/>
      <c r="AC3755" s="73"/>
    </row>
    <row r="3756" spans="1:29">
      <c r="A3756" s="327" t="str">
        <f>IF(AND($B3756&lt;&gt;"",$C3756&lt;&gt;""),MAX($A$1556:A3731)+1,"")</f>
        <v/>
      </c>
      <c r="B3756" s="361" t="s">
        <v>2023</v>
      </c>
      <c r="C3756" s="360"/>
      <c r="D3756" s="327">
        <f>IF($B3756="","",COUNTIF($B$6:$B3756,$B3756))</f>
        <v>14</v>
      </c>
      <c r="E3756" s="430" t="s">
        <v>1225</v>
      </c>
      <c r="F3756" s="431" t="s">
        <v>1220</v>
      </c>
      <c r="G3756" s="327" t="s">
        <v>155</v>
      </c>
      <c r="H3756" s="361"/>
      <c r="I3756" s="327">
        <v>2</v>
      </c>
      <c r="J3756" s="345"/>
      <c r="K3756" s="327"/>
      <c r="L3756" s="389">
        <v>62000</v>
      </c>
      <c r="M3756" s="371"/>
      <c r="N3756" s="355" t="str">
        <f t="shared" si="339"/>
        <v>PK</v>
      </c>
      <c r="O3756" s="407" t="s">
        <v>1699</v>
      </c>
      <c r="P3756" s="392"/>
      <c r="Q3756" s="327"/>
      <c r="R3756" s="351"/>
      <c r="S3756" s="351"/>
      <c r="T3756" s="351"/>
      <c r="U3756" s="329" t="str">
        <f>IF($N3756=$N$4,IFERROR(INDEX(DanhMuc!$E$154:$E$165,MATCH(MID($B3756,4,2),DanhMuc!$B$154:$B$165,0)),""),"")</f>
        <v/>
      </c>
      <c r="V3756" s="361"/>
      <c r="W3756" s="345"/>
      <c r="X3756" s="329" t="str">
        <f t="shared" si="338"/>
        <v>GQ</v>
      </c>
      <c r="Y3756" s="1128" t="s">
        <v>3380</v>
      </c>
      <c r="Z3756" s="1128" t="s">
        <v>3381</v>
      </c>
      <c r="AA3756" s="1128" t="s">
        <v>3384</v>
      </c>
      <c r="AB3756" s="20"/>
      <c r="AC3756" s="73"/>
    </row>
    <row r="3757" spans="1:29">
      <c r="A3757" s="327" t="str">
        <f>IF(AND($B3757&lt;&gt;"",$C3757&lt;&gt;""),MAX($A$1556:A3732)+1,"")</f>
        <v/>
      </c>
      <c r="B3757" s="361" t="s">
        <v>2023</v>
      </c>
      <c r="C3757" s="360"/>
      <c r="D3757" s="327">
        <f>IF($B3757="","",COUNTIF($B$6:$B3757,$B3757))</f>
        <v>15</v>
      </c>
      <c r="E3757" s="430" t="s">
        <v>1226</v>
      </c>
      <c r="F3757" s="431" t="s">
        <v>1221</v>
      </c>
      <c r="G3757" s="327" t="s">
        <v>155</v>
      </c>
      <c r="H3757" s="361"/>
      <c r="I3757" s="327">
        <v>2</v>
      </c>
      <c r="J3757" s="345"/>
      <c r="K3757" s="327"/>
      <c r="L3757" s="389">
        <v>72000</v>
      </c>
      <c r="M3757" s="371"/>
      <c r="N3757" s="355" t="str">
        <f t="shared" si="339"/>
        <v>PK</v>
      </c>
      <c r="O3757" s="407" t="s">
        <v>1700</v>
      </c>
      <c r="P3757" s="392"/>
      <c r="Q3757" s="327"/>
      <c r="R3757" s="351"/>
      <c r="S3757" s="351"/>
      <c r="T3757" s="351"/>
      <c r="U3757" s="329" t="str">
        <f>IF($N3757=$N$4,IFERROR(INDEX(DanhMuc!$E$154:$E$165,MATCH(MID($B3757,4,2),DanhMuc!$B$154:$B$165,0)),""),"")</f>
        <v/>
      </c>
      <c r="V3757" s="361"/>
      <c r="W3757" s="345"/>
      <c r="X3757" s="329" t="str">
        <f t="shared" si="338"/>
        <v>GQ</v>
      </c>
      <c r="Y3757" s="1128" t="s">
        <v>3380</v>
      </c>
      <c r="Z3757" s="1128" t="s">
        <v>3381</v>
      </c>
      <c r="AA3757" s="1128" t="s">
        <v>3384</v>
      </c>
      <c r="AB3757" s="20"/>
      <c r="AC3757" s="73"/>
    </row>
    <row r="3758" spans="1:29">
      <c r="A3758" s="327" t="str">
        <f>IF(AND($B3758&lt;&gt;"",$C3758&lt;&gt;""),MAX($A$1556:A3733)+1,"")</f>
        <v/>
      </c>
      <c r="B3758" s="361" t="s">
        <v>2023</v>
      </c>
      <c r="C3758" s="360"/>
      <c r="D3758" s="327">
        <f>IF($B3758="","",COUNTIF($B$6:$B3758,$B3758))</f>
        <v>16</v>
      </c>
      <c r="E3758" s="430" t="s">
        <v>1227</v>
      </c>
      <c r="F3758" s="431" t="s">
        <v>1222</v>
      </c>
      <c r="G3758" s="327" t="s">
        <v>155</v>
      </c>
      <c r="H3758" s="361"/>
      <c r="I3758" s="327">
        <v>2</v>
      </c>
      <c r="J3758" s="345"/>
      <c r="K3758" s="327"/>
      <c r="L3758" s="389">
        <v>83000</v>
      </c>
      <c r="M3758" s="371"/>
      <c r="N3758" s="355" t="str">
        <f t="shared" si="339"/>
        <v>PK</v>
      </c>
      <c r="O3758" s="407" t="s">
        <v>1701</v>
      </c>
      <c r="P3758" s="392"/>
      <c r="Q3758" s="327"/>
      <c r="R3758" s="351"/>
      <c r="S3758" s="351"/>
      <c r="T3758" s="351"/>
      <c r="U3758" s="329" t="str">
        <f>IF($N3758=$N$4,IFERROR(INDEX(DanhMuc!$E$154:$E$165,MATCH(MID($B3758,4,2),DanhMuc!$B$154:$B$165,0)),""),"")</f>
        <v/>
      </c>
      <c r="V3758" s="361"/>
      <c r="W3758" s="345"/>
      <c r="X3758" s="329" t="str">
        <f t="shared" si="338"/>
        <v>GQ</v>
      </c>
      <c r="Y3758" s="1128" t="s">
        <v>3380</v>
      </c>
      <c r="Z3758" s="1128" t="s">
        <v>3381</v>
      </c>
      <c r="AA3758" s="1128" t="s">
        <v>3384</v>
      </c>
      <c r="AB3758" s="20"/>
      <c r="AC3758" s="73"/>
    </row>
    <row r="3759" spans="1:29">
      <c r="A3759" s="327" t="str">
        <f>IF(AND($B3759&lt;&gt;"",$C3759&lt;&gt;""),MAX($A$1556:A3734)+1,"")</f>
        <v/>
      </c>
      <c r="B3759" s="361" t="s">
        <v>2023</v>
      </c>
      <c r="C3759" s="360"/>
      <c r="D3759" s="327">
        <f>IF($B3759="","",COUNTIF($B$6:$B3759,$B3759))</f>
        <v>17</v>
      </c>
      <c r="E3759" s="430" t="s">
        <v>1132</v>
      </c>
      <c r="F3759" s="431" t="s">
        <v>1133</v>
      </c>
      <c r="G3759" s="327" t="s">
        <v>155</v>
      </c>
      <c r="H3759" s="361"/>
      <c r="I3759" s="327">
        <v>4</v>
      </c>
      <c r="J3759" s="345"/>
      <c r="K3759" s="327"/>
      <c r="L3759" s="389">
        <v>1500</v>
      </c>
      <c r="M3759" s="371"/>
      <c r="N3759" s="355" t="str">
        <f t="shared" si="339"/>
        <v>PK</v>
      </c>
      <c r="O3759" s="345"/>
      <c r="P3759" s="392"/>
      <c r="Q3759" s="327"/>
      <c r="R3759" s="351"/>
      <c r="S3759" s="351"/>
      <c r="T3759" s="351"/>
      <c r="U3759" s="329" t="str">
        <f>IF($N3759=$N$4,IFERROR(INDEX(DanhMuc!$E$154:$E$165,MATCH(MID($B3759,4,2),DanhMuc!$B$154:$B$165,0)),""),"")</f>
        <v/>
      </c>
      <c r="V3759" s="361"/>
      <c r="W3759" s="345"/>
      <c r="X3759" s="329" t="str">
        <f t="shared" si="338"/>
        <v>GQ</v>
      </c>
      <c r="Y3759" s="1128" t="s">
        <v>3380</v>
      </c>
      <c r="Z3759" s="1128" t="s">
        <v>3381</v>
      </c>
      <c r="AA3759" s="1128" t="s">
        <v>3384</v>
      </c>
      <c r="AB3759" s="20"/>
      <c r="AC3759" s="73"/>
    </row>
    <row r="3760" spans="1:29">
      <c r="A3760" s="327" t="str">
        <f>IF(AND($B3760&lt;&gt;"",$C3760&lt;&gt;""),MAX($A$1556:A3735)+1,"")</f>
        <v/>
      </c>
      <c r="B3760" s="361" t="s">
        <v>2023</v>
      </c>
      <c r="C3760" s="360"/>
      <c r="D3760" s="327">
        <f>IF($B3760="","",COUNTIF($B$6:$B3760,$B3760))</f>
        <v>18</v>
      </c>
      <c r="E3760" s="430" t="s">
        <v>1023</v>
      </c>
      <c r="F3760" s="362" t="s">
        <v>1024</v>
      </c>
      <c r="G3760" s="327" t="s">
        <v>155</v>
      </c>
      <c r="H3760" s="361"/>
      <c r="I3760" s="327">
        <v>0</v>
      </c>
      <c r="J3760" s="345"/>
      <c r="K3760" s="327"/>
      <c r="L3760" s="389">
        <v>37000</v>
      </c>
      <c r="M3760" s="371"/>
      <c r="N3760" s="355" t="str">
        <f t="shared" si="339"/>
        <v>PK</v>
      </c>
      <c r="O3760" s="345"/>
      <c r="P3760" s="392"/>
      <c r="Q3760" s="327"/>
      <c r="R3760" s="351"/>
      <c r="S3760" s="351"/>
      <c r="T3760" s="351"/>
      <c r="U3760" s="329" t="str">
        <f>IF($N3760=$N$4,IFERROR(INDEX(DanhMuc!$E$154:$E$165,MATCH(MID($B3760,4,2),DanhMuc!$B$154:$B$165,0)),""),"")</f>
        <v/>
      </c>
      <c r="V3760" s="361"/>
      <c r="W3760" s="345"/>
      <c r="X3760" s="329" t="str">
        <f t="shared" si="338"/>
        <v>GQ</v>
      </c>
      <c r="Y3760" s="1128" t="s">
        <v>3380</v>
      </c>
      <c r="Z3760" s="1128" t="s">
        <v>3381</v>
      </c>
      <c r="AA3760" s="1128" t="s">
        <v>3384</v>
      </c>
      <c r="AB3760" s="20"/>
      <c r="AC3760" s="73"/>
    </row>
    <row r="3761" spans="1:29">
      <c r="A3761" s="327" t="str">
        <f>IF(AND($B3761&lt;&gt;"",$C3761&lt;&gt;""),MAX($A$1556:A3736)+1,"")</f>
        <v/>
      </c>
      <c r="B3761" s="361" t="s">
        <v>2023</v>
      </c>
      <c r="C3761" s="360"/>
      <c r="D3761" s="327">
        <f>IF($B3761="","",COUNTIF($B$6:$B3761,$B3761))</f>
        <v>19</v>
      </c>
      <c r="E3761" s="430">
        <v>18010</v>
      </c>
      <c r="F3761" s="431" t="s">
        <v>1025</v>
      </c>
      <c r="G3761" s="327" t="s">
        <v>155</v>
      </c>
      <c r="H3761" s="361"/>
      <c r="I3761" s="327">
        <v>2</v>
      </c>
      <c r="J3761" s="345"/>
      <c r="K3761" s="327"/>
      <c r="L3761" s="389">
        <v>40000</v>
      </c>
      <c r="M3761" s="371"/>
      <c r="N3761" s="355" t="str">
        <f t="shared" si="339"/>
        <v>PK</v>
      </c>
      <c r="O3761" s="345"/>
      <c r="P3761" s="392"/>
      <c r="Q3761" s="327"/>
      <c r="R3761" s="351"/>
      <c r="S3761" s="351"/>
      <c r="T3761" s="351"/>
      <c r="U3761" s="329" t="str">
        <f>IF($N3761=$N$4,IFERROR(INDEX(DanhMuc!$E$154:$E$165,MATCH(MID($B3761,4,2),DanhMuc!$B$154:$B$165,0)),""),"")</f>
        <v/>
      </c>
      <c r="V3761" s="361"/>
      <c r="W3761" s="345"/>
      <c r="X3761" s="329" t="str">
        <f t="shared" si="338"/>
        <v>GQ</v>
      </c>
      <c r="Y3761" s="1128" t="s">
        <v>3380</v>
      </c>
      <c r="Z3761" s="1128" t="s">
        <v>3381</v>
      </c>
      <c r="AA3761" s="1128" t="s">
        <v>3384</v>
      </c>
      <c r="AB3761" s="20"/>
      <c r="AC3761" s="73"/>
    </row>
    <row r="3762" spans="1:29" ht="26">
      <c r="A3762" s="327">
        <f>IF(AND($B3762&lt;&gt;"",$C3762&lt;&gt;""),MAX($A$1556:A3737)+1,"")</f>
        <v>182</v>
      </c>
      <c r="B3762" s="359" t="s">
        <v>2024</v>
      </c>
      <c r="C3762" s="370" t="s">
        <v>1569</v>
      </c>
      <c r="D3762" s="327">
        <f>IF($B3762="","",COUNTIF($B$6:$B3762,$B3762))</f>
        <v>1</v>
      </c>
      <c r="E3762" s="430" t="s">
        <v>1026</v>
      </c>
      <c r="F3762" s="362" t="s">
        <v>1027</v>
      </c>
      <c r="G3762" s="327" t="s">
        <v>155</v>
      </c>
      <c r="H3762" s="361"/>
      <c r="I3762" s="327">
        <v>4</v>
      </c>
      <c r="J3762" s="361"/>
      <c r="K3762" s="327"/>
      <c r="L3762" s="389">
        <v>8500</v>
      </c>
      <c r="M3762" s="371"/>
      <c r="N3762" s="355" t="str">
        <f t="shared" si="339"/>
        <v>PK</v>
      </c>
      <c r="O3762" s="345"/>
      <c r="P3762" s="392"/>
      <c r="Q3762" s="327"/>
      <c r="R3762" s="351"/>
      <c r="S3762" s="351"/>
      <c r="T3762" s="351"/>
      <c r="U3762" s="329" t="str">
        <f>IF($N3762=$N$4,IFERROR(INDEX(DanhMuc!$E$154:$E$165,MATCH(MID($B3762,4,2),DanhMuc!$B$154:$B$165,0)),""),"")</f>
        <v/>
      </c>
      <c r="V3762" s="361"/>
      <c r="W3762" s="345"/>
      <c r="X3762" s="329" t="str">
        <f t="shared" si="338"/>
        <v>GQ</v>
      </c>
      <c r="Y3762" s="1128" t="s">
        <v>3380</v>
      </c>
      <c r="Z3762" s="1128" t="s">
        <v>3381</v>
      </c>
      <c r="AA3762" s="1128" t="s">
        <v>3384</v>
      </c>
      <c r="AB3762" s="20"/>
      <c r="AC3762" s="73"/>
    </row>
    <row r="3763" spans="1:29">
      <c r="A3763" s="327" t="str">
        <f>IF(AND($B3763&lt;&gt;"",$C3763&lt;&gt;""),MAX($A$1556:A3738)+1,"")</f>
        <v/>
      </c>
      <c r="B3763" s="361" t="s">
        <v>2024</v>
      </c>
      <c r="C3763" s="360"/>
      <c r="D3763" s="327">
        <f>IF($B3763="","",COUNTIF($B$6:$B3763,$B3763))</f>
        <v>2</v>
      </c>
      <c r="E3763" s="361" t="s">
        <v>1095</v>
      </c>
      <c r="F3763" s="362" t="s">
        <v>1096</v>
      </c>
      <c r="G3763" s="327" t="s">
        <v>344</v>
      </c>
      <c r="H3763" s="361"/>
      <c r="I3763" s="327">
        <v>1</v>
      </c>
      <c r="J3763" s="345"/>
      <c r="K3763" s="327"/>
      <c r="L3763" s="389">
        <v>28000</v>
      </c>
      <c r="M3763" s="371"/>
      <c r="N3763" s="355" t="str">
        <f t="shared" si="339"/>
        <v>PK</v>
      </c>
      <c r="O3763" s="345" t="s">
        <v>1052</v>
      </c>
      <c r="P3763" s="392"/>
      <c r="Q3763" s="327"/>
      <c r="R3763" s="351"/>
      <c r="S3763" s="351"/>
      <c r="T3763" s="351"/>
      <c r="U3763" s="329" t="str">
        <f>IF($N3763=$N$4,IFERROR(INDEX(DanhMuc!$E$154:$E$165,MATCH(MID($B3763,4,2),DanhMuc!$B$154:$B$165,0)),""),"")</f>
        <v/>
      </c>
      <c r="V3763" s="361"/>
      <c r="W3763" s="345"/>
      <c r="X3763" s="329" t="str">
        <f t="shared" si="338"/>
        <v>GQ</v>
      </c>
      <c r="Y3763" s="1128" t="s">
        <v>3380</v>
      </c>
      <c r="Z3763" s="1128" t="s">
        <v>3381</v>
      </c>
      <c r="AA3763" s="1128" t="s">
        <v>3384</v>
      </c>
      <c r="AB3763" s="20"/>
      <c r="AC3763" s="73"/>
    </row>
    <row r="3764" spans="1:29">
      <c r="A3764" s="327" t="str">
        <f>IF(AND($B3764&lt;&gt;"",$C3764&lt;&gt;""),MAX($A$1556:A3739)+1,"")</f>
        <v/>
      </c>
      <c r="B3764" s="361" t="s">
        <v>2024</v>
      </c>
      <c r="C3764" s="360"/>
      <c r="D3764" s="327">
        <f>IF($B3764="","",COUNTIF($B$6:$B3764,$B3764))</f>
        <v>3</v>
      </c>
      <c r="E3764" s="361" t="s">
        <v>1097</v>
      </c>
      <c r="F3764" s="362" t="s">
        <v>1098</v>
      </c>
      <c r="G3764" s="327" t="s">
        <v>155</v>
      </c>
      <c r="H3764" s="361"/>
      <c r="I3764" s="327">
        <v>2</v>
      </c>
      <c r="J3764" s="345"/>
      <c r="K3764" s="327"/>
      <c r="L3764" s="389">
        <v>36000</v>
      </c>
      <c r="M3764" s="371"/>
      <c r="N3764" s="355" t="str">
        <f t="shared" si="339"/>
        <v>PK</v>
      </c>
      <c r="O3764" s="345" t="s">
        <v>1781</v>
      </c>
      <c r="P3764" s="392"/>
      <c r="Q3764" s="327"/>
      <c r="R3764" s="351"/>
      <c r="S3764" s="351"/>
      <c r="T3764" s="351"/>
      <c r="U3764" s="329" t="str">
        <f>IF($N3764=$N$4,IFERROR(INDEX(DanhMuc!$E$154:$E$165,MATCH(MID($B3764,4,2),DanhMuc!$B$154:$B$165,0)),""),"")</f>
        <v/>
      </c>
      <c r="V3764" s="361"/>
      <c r="W3764" s="345"/>
      <c r="X3764" s="329" t="str">
        <f t="shared" si="338"/>
        <v>GQ</v>
      </c>
      <c r="Y3764" s="1128" t="s">
        <v>3380</v>
      </c>
      <c r="Z3764" s="1128" t="s">
        <v>3381</v>
      </c>
      <c r="AA3764" s="1128" t="s">
        <v>3384</v>
      </c>
      <c r="AB3764" s="20"/>
      <c r="AC3764" s="73"/>
    </row>
    <row r="3765" spans="1:29">
      <c r="A3765" s="327" t="str">
        <f>IF(AND($B3765&lt;&gt;"",$C3765&lt;&gt;""),MAX($A$1556:A3740)+1,"")</f>
        <v/>
      </c>
      <c r="B3765" s="361" t="s">
        <v>2024</v>
      </c>
      <c r="C3765" s="360"/>
      <c r="D3765" s="327">
        <f>IF($B3765="","",COUNTIF($B$6:$B3765,$B3765))</f>
        <v>4</v>
      </c>
      <c r="E3765" s="419" t="s">
        <v>1050</v>
      </c>
      <c r="F3765" s="417" t="s">
        <v>742</v>
      </c>
      <c r="G3765" s="418" t="s">
        <v>155</v>
      </c>
      <c r="H3765" s="419"/>
      <c r="I3765" s="418">
        <v>2</v>
      </c>
      <c r="J3765" s="421"/>
      <c r="K3765" s="418"/>
      <c r="L3765" s="420">
        <v>31000</v>
      </c>
      <c r="M3765" s="371"/>
      <c r="N3765" s="355" t="str">
        <f t="shared" si="339"/>
        <v>PK</v>
      </c>
      <c r="O3765" s="345" t="s">
        <v>1782</v>
      </c>
      <c r="P3765" s="392"/>
      <c r="Q3765" s="327"/>
      <c r="R3765" s="351"/>
      <c r="S3765" s="351"/>
      <c r="T3765" s="351"/>
      <c r="U3765" s="329" t="str">
        <f>IF($N3765=$N$4,IFERROR(INDEX(DanhMuc!$E$154:$E$165,MATCH(MID($B3765,4,2),DanhMuc!$B$154:$B$165,0)),""),"")</f>
        <v/>
      </c>
      <c r="V3765" s="361"/>
      <c r="W3765" s="345"/>
      <c r="X3765" s="329" t="str">
        <f t="shared" si="338"/>
        <v>GQ</v>
      </c>
      <c r="Y3765" s="1128" t="s">
        <v>3380</v>
      </c>
      <c r="Z3765" s="1128" t="s">
        <v>3381</v>
      </c>
      <c r="AA3765" s="1128" t="s">
        <v>3384</v>
      </c>
      <c r="AB3765" s="20"/>
      <c r="AC3765" s="73"/>
    </row>
    <row r="3766" spans="1:29">
      <c r="A3766" s="327" t="str">
        <f>IF(AND($B3766&lt;&gt;"",$C3766&lt;&gt;""),MAX($A$1556:A3741)+1,"")</f>
        <v/>
      </c>
      <c r="B3766" s="361" t="s">
        <v>2024</v>
      </c>
      <c r="C3766" s="360"/>
      <c r="D3766" s="327">
        <f>IF($B3766="","",COUNTIF($B$6:$B3766,$B3766))</f>
        <v>5</v>
      </c>
      <c r="E3766" s="419" t="s">
        <v>1035</v>
      </c>
      <c r="F3766" s="417" t="s">
        <v>1036</v>
      </c>
      <c r="G3766" s="418" t="s">
        <v>155</v>
      </c>
      <c r="H3766" s="419"/>
      <c r="I3766" s="416" t="s">
        <v>1250</v>
      </c>
      <c r="J3766" s="421"/>
      <c r="K3766" s="418"/>
      <c r="L3766" s="420">
        <v>49000</v>
      </c>
      <c r="M3766" s="371"/>
      <c r="N3766" s="355" t="str">
        <f t="shared" si="339"/>
        <v>PK</v>
      </c>
      <c r="O3766" s="345" t="s">
        <v>1782</v>
      </c>
      <c r="P3766" s="392"/>
      <c r="Q3766" s="327"/>
      <c r="R3766" s="351"/>
      <c r="S3766" s="351"/>
      <c r="T3766" s="351"/>
      <c r="U3766" s="329" t="str">
        <f>IF($N3766=$N$4,IFERROR(INDEX(DanhMuc!$E$154:$E$165,MATCH(MID($B3766,4,2),DanhMuc!$B$154:$B$165,0)),""),"")</f>
        <v/>
      </c>
      <c r="V3766" s="361"/>
      <c r="W3766" s="345"/>
      <c r="X3766" s="329" t="str">
        <f t="shared" si="338"/>
        <v>GQ</v>
      </c>
      <c r="Y3766" s="1128" t="s">
        <v>3380</v>
      </c>
      <c r="Z3766" s="1128" t="s">
        <v>3381</v>
      </c>
      <c r="AA3766" s="1128" t="s">
        <v>3384</v>
      </c>
      <c r="AB3766" s="20"/>
      <c r="AC3766" s="73"/>
    </row>
    <row r="3767" spans="1:29">
      <c r="A3767" s="327" t="str">
        <f>IF(AND($B3767&lt;&gt;"",$C3767&lt;&gt;""),MAX($A$1556:A3742)+1,"")</f>
        <v/>
      </c>
      <c r="B3767" s="361" t="s">
        <v>2024</v>
      </c>
      <c r="C3767" s="360"/>
      <c r="D3767" s="327">
        <f>IF($B3767="","",COUNTIF($B$6:$B3767,$B3767))</f>
        <v>6</v>
      </c>
      <c r="E3767" s="419" t="s">
        <v>1037</v>
      </c>
      <c r="F3767" s="417" t="s">
        <v>1038</v>
      </c>
      <c r="G3767" s="418" t="s">
        <v>155</v>
      </c>
      <c r="H3767" s="419"/>
      <c r="I3767" s="416" t="s">
        <v>1251</v>
      </c>
      <c r="J3767" s="421"/>
      <c r="K3767" s="418"/>
      <c r="L3767" s="420">
        <v>55000</v>
      </c>
      <c r="M3767" s="371"/>
      <c r="N3767" s="355" t="str">
        <f t="shared" si="339"/>
        <v>PK</v>
      </c>
      <c r="O3767" s="345" t="s">
        <v>1782</v>
      </c>
      <c r="P3767" s="392"/>
      <c r="Q3767" s="327"/>
      <c r="R3767" s="351"/>
      <c r="S3767" s="351"/>
      <c r="T3767" s="351"/>
      <c r="U3767" s="329" t="str">
        <f>IF($N3767=$N$4,IFERROR(INDEX(DanhMuc!$E$154:$E$165,MATCH(MID($B3767,4,2),DanhMuc!$B$154:$B$165,0)),""),"")</f>
        <v/>
      </c>
      <c r="V3767" s="361"/>
      <c r="W3767" s="345"/>
      <c r="X3767" s="329" t="str">
        <f t="shared" si="338"/>
        <v>GQ</v>
      </c>
      <c r="Y3767" s="1128" t="s">
        <v>3380</v>
      </c>
      <c r="Z3767" s="1128" t="s">
        <v>3381</v>
      </c>
      <c r="AA3767" s="1128" t="s">
        <v>3384</v>
      </c>
      <c r="AB3767" s="20"/>
      <c r="AC3767" s="73"/>
    </row>
    <row r="3768" spans="1:29">
      <c r="A3768" s="327" t="str">
        <f>IF(AND($B3768&lt;&gt;"",$C3768&lt;&gt;""),MAX($A$1556:A3743)+1,"")</f>
        <v/>
      </c>
      <c r="B3768" s="361" t="s">
        <v>2024</v>
      </c>
      <c r="C3768" s="360"/>
      <c r="D3768" s="327">
        <f>IF($B3768="","",COUNTIF($B$6:$B3768,$B3768))</f>
        <v>7</v>
      </c>
      <c r="E3768" s="419" t="s">
        <v>1039</v>
      </c>
      <c r="F3768" s="417" t="s">
        <v>1040</v>
      </c>
      <c r="G3768" s="418" t="s">
        <v>155</v>
      </c>
      <c r="H3768" s="419"/>
      <c r="I3768" s="416" t="s">
        <v>1252</v>
      </c>
      <c r="J3768" s="421"/>
      <c r="K3768" s="418"/>
      <c r="L3768" s="420">
        <v>60000</v>
      </c>
      <c r="M3768" s="371"/>
      <c r="N3768" s="355" t="str">
        <f t="shared" si="339"/>
        <v>PK</v>
      </c>
      <c r="O3768" s="345" t="s">
        <v>1782</v>
      </c>
      <c r="P3768" s="392"/>
      <c r="Q3768" s="327"/>
      <c r="R3768" s="351"/>
      <c r="S3768" s="351"/>
      <c r="T3768" s="351"/>
      <c r="U3768" s="329" t="str">
        <f>IF($N3768=$N$4,IFERROR(INDEX(DanhMuc!$E$154:$E$165,MATCH(MID($B3768,4,2),DanhMuc!$B$154:$B$165,0)),""),"")</f>
        <v/>
      </c>
      <c r="V3768" s="361"/>
      <c r="W3768" s="345"/>
      <c r="X3768" s="329" t="str">
        <f t="shared" si="338"/>
        <v>GQ</v>
      </c>
      <c r="Y3768" s="1128" t="s">
        <v>3380</v>
      </c>
      <c r="Z3768" s="1128" t="s">
        <v>3381</v>
      </c>
      <c r="AA3768" s="1128" t="s">
        <v>3384</v>
      </c>
      <c r="AB3768" s="20"/>
      <c r="AC3768" s="73"/>
    </row>
    <row r="3769" spans="1:29">
      <c r="A3769" s="327" t="str">
        <f>IF(AND($B3769&lt;&gt;"",$C3769&lt;&gt;""),MAX($A$1556:A3744)+1,"")</f>
        <v/>
      </c>
      <c r="B3769" s="361" t="s">
        <v>2024</v>
      </c>
      <c r="C3769" s="360"/>
      <c r="D3769" s="327">
        <f>IF($B3769="","",COUNTIF($B$6:$B3769,$B3769))</f>
        <v>8</v>
      </c>
      <c r="E3769" s="419" t="s">
        <v>1078</v>
      </c>
      <c r="F3769" s="417" t="s">
        <v>1041</v>
      </c>
      <c r="G3769" s="418" t="s">
        <v>155</v>
      </c>
      <c r="H3769" s="419"/>
      <c r="I3769" s="416" t="s">
        <v>1253</v>
      </c>
      <c r="J3769" s="421"/>
      <c r="K3769" s="418"/>
      <c r="L3769" s="420">
        <v>70000</v>
      </c>
      <c r="M3769" s="371"/>
      <c r="N3769" s="355" t="str">
        <f t="shared" si="339"/>
        <v>PK</v>
      </c>
      <c r="O3769" s="345" t="s">
        <v>1782</v>
      </c>
      <c r="P3769" s="392"/>
      <c r="Q3769" s="327"/>
      <c r="R3769" s="351"/>
      <c r="S3769" s="351"/>
      <c r="T3769" s="351"/>
      <c r="U3769" s="329" t="str">
        <f>IF($N3769=$N$4,IFERROR(INDEX(DanhMuc!$E$154:$E$165,MATCH(MID($B3769,4,2),DanhMuc!$B$154:$B$165,0)),""),"")</f>
        <v/>
      </c>
      <c r="V3769" s="361"/>
      <c r="W3769" s="345"/>
      <c r="X3769" s="329" t="str">
        <f t="shared" si="338"/>
        <v>GQ</v>
      </c>
      <c r="Y3769" s="1128" t="s">
        <v>3380</v>
      </c>
      <c r="Z3769" s="1128" t="s">
        <v>3381</v>
      </c>
      <c r="AA3769" s="1128" t="s">
        <v>3384</v>
      </c>
      <c r="AB3769" s="20"/>
      <c r="AC3769" s="73"/>
    </row>
    <row r="3770" spans="1:29">
      <c r="A3770" s="327" t="str">
        <f>IF(AND($B3770&lt;&gt;"",$C3770&lt;&gt;""),MAX($A$1556:A3745)+1,"")</f>
        <v/>
      </c>
      <c r="B3770" s="361" t="s">
        <v>2024</v>
      </c>
      <c r="C3770" s="360"/>
      <c r="D3770" s="327">
        <f>IF($B3770="","",COUNTIF($B$6:$B3770,$B3770))</f>
        <v>9</v>
      </c>
      <c r="E3770" s="419" t="s">
        <v>1042</v>
      </c>
      <c r="F3770" s="417" t="s">
        <v>1043</v>
      </c>
      <c r="G3770" s="418" t="s">
        <v>155</v>
      </c>
      <c r="H3770" s="419"/>
      <c r="I3770" s="416" t="s">
        <v>1254</v>
      </c>
      <c r="J3770" s="421"/>
      <c r="K3770" s="418"/>
      <c r="L3770" s="420">
        <v>79000</v>
      </c>
      <c r="M3770" s="371"/>
      <c r="N3770" s="355" t="str">
        <f t="shared" si="339"/>
        <v>PK</v>
      </c>
      <c r="O3770" s="345" t="s">
        <v>1782</v>
      </c>
      <c r="P3770" s="392"/>
      <c r="Q3770" s="327"/>
      <c r="R3770" s="351"/>
      <c r="S3770" s="351"/>
      <c r="T3770" s="351"/>
      <c r="U3770" s="329" t="str">
        <f>IF($N3770=$N$4,IFERROR(INDEX(DanhMuc!$E$154:$E$165,MATCH(MID($B3770,4,2),DanhMuc!$B$154:$B$165,0)),""),"")</f>
        <v/>
      </c>
      <c r="V3770" s="361"/>
      <c r="W3770" s="345"/>
      <c r="X3770" s="329" t="str">
        <f t="shared" si="338"/>
        <v>GQ</v>
      </c>
      <c r="Y3770" s="1128" t="s">
        <v>3380</v>
      </c>
      <c r="Z3770" s="1128" t="s">
        <v>3381</v>
      </c>
      <c r="AA3770" s="1128" t="s">
        <v>3384</v>
      </c>
      <c r="AB3770" s="20"/>
      <c r="AC3770" s="73"/>
    </row>
    <row r="3771" spans="1:29">
      <c r="A3771" s="327" t="str">
        <f>IF(AND($B3771&lt;&gt;"",$C3771&lt;&gt;""),MAX($A$1556:A3746)+1,"")</f>
        <v/>
      </c>
      <c r="B3771" s="361" t="s">
        <v>2024</v>
      </c>
      <c r="C3771" s="360"/>
      <c r="D3771" s="327">
        <f>IF($B3771="","",COUNTIF($B$6:$B3771,$B3771))</f>
        <v>10</v>
      </c>
      <c r="E3771" s="419" t="s">
        <v>1044</v>
      </c>
      <c r="F3771" s="417" t="s">
        <v>1045</v>
      </c>
      <c r="G3771" s="418" t="s">
        <v>155</v>
      </c>
      <c r="H3771" s="419"/>
      <c r="I3771" s="416" t="s">
        <v>1255</v>
      </c>
      <c r="J3771" s="421"/>
      <c r="K3771" s="418"/>
      <c r="L3771" s="420">
        <v>88000</v>
      </c>
      <c r="M3771" s="371"/>
      <c r="N3771" s="355" t="str">
        <f t="shared" si="339"/>
        <v>PK</v>
      </c>
      <c r="O3771" s="345" t="s">
        <v>1782</v>
      </c>
      <c r="P3771" s="392"/>
      <c r="Q3771" s="327"/>
      <c r="R3771" s="351"/>
      <c r="S3771" s="351"/>
      <c r="T3771" s="351"/>
      <c r="U3771" s="329" t="str">
        <f>IF($N3771=$N$4,IFERROR(INDEX(DanhMuc!$E$154:$E$165,MATCH(MID($B3771,4,2),DanhMuc!$B$154:$B$165,0)),""),"")</f>
        <v/>
      </c>
      <c r="V3771" s="361"/>
      <c r="W3771" s="345"/>
      <c r="X3771" s="329" t="str">
        <f t="shared" si="338"/>
        <v>GQ</v>
      </c>
      <c r="Y3771" s="1128" t="s">
        <v>3380</v>
      </c>
      <c r="Z3771" s="1128" t="s">
        <v>3381</v>
      </c>
      <c r="AA3771" s="1128" t="s">
        <v>3384</v>
      </c>
      <c r="AB3771" s="20"/>
      <c r="AC3771" s="73"/>
    </row>
    <row r="3772" spans="1:29">
      <c r="A3772" s="327" t="str">
        <f>IF(AND($B3772&lt;&gt;"",$C3772&lt;&gt;""),MAX($A$1556:A3747)+1,"")</f>
        <v/>
      </c>
      <c r="B3772" s="361" t="s">
        <v>2024</v>
      </c>
      <c r="C3772" s="360"/>
      <c r="D3772" s="327">
        <f>IF($B3772="","",COUNTIF($B$6:$B3772,$B3772))</f>
        <v>11</v>
      </c>
      <c r="E3772" s="419" t="s">
        <v>1046</v>
      </c>
      <c r="F3772" s="417" t="s">
        <v>1047</v>
      </c>
      <c r="G3772" s="418" t="s">
        <v>155</v>
      </c>
      <c r="H3772" s="419"/>
      <c r="I3772" s="416" t="s">
        <v>1256</v>
      </c>
      <c r="J3772" s="421"/>
      <c r="K3772" s="418"/>
      <c r="L3772" s="420">
        <v>95000</v>
      </c>
      <c r="M3772" s="371"/>
      <c r="N3772" s="355" t="str">
        <f t="shared" si="339"/>
        <v>PK</v>
      </c>
      <c r="O3772" s="345" t="s">
        <v>1782</v>
      </c>
      <c r="P3772" s="392"/>
      <c r="Q3772" s="327"/>
      <c r="R3772" s="351"/>
      <c r="S3772" s="351"/>
      <c r="T3772" s="351"/>
      <c r="U3772" s="329" t="str">
        <f>IF($N3772=$N$4,IFERROR(INDEX(DanhMuc!$E$154:$E$165,MATCH(MID($B3772,4,2),DanhMuc!$B$154:$B$165,0)),""),"")</f>
        <v/>
      </c>
      <c r="V3772" s="361"/>
      <c r="W3772" s="345"/>
      <c r="X3772" s="329" t="str">
        <f t="shared" si="338"/>
        <v>GQ</v>
      </c>
      <c r="Y3772" s="1128" t="s">
        <v>3380</v>
      </c>
      <c r="Z3772" s="1128" t="s">
        <v>3381</v>
      </c>
      <c r="AA3772" s="1128" t="s">
        <v>3384</v>
      </c>
      <c r="AB3772" s="20"/>
      <c r="AC3772" s="73"/>
    </row>
    <row r="3773" spans="1:29">
      <c r="A3773" s="327" t="str">
        <f>IF(AND($B3773&lt;&gt;"",$C3773&lt;&gt;""),MAX($A$1556:A3748)+1,"")</f>
        <v/>
      </c>
      <c r="B3773" s="361" t="s">
        <v>2024</v>
      </c>
      <c r="C3773" s="360"/>
      <c r="D3773" s="327">
        <f>IF($B3773="","",COUNTIF($B$6:$B3773,$B3773))</f>
        <v>12</v>
      </c>
      <c r="E3773" s="419" t="s">
        <v>1048</v>
      </c>
      <c r="F3773" s="417" t="s">
        <v>1049</v>
      </c>
      <c r="G3773" s="418" t="s">
        <v>155</v>
      </c>
      <c r="H3773" s="419"/>
      <c r="I3773" s="416" t="s">
        <v>1257</v>
      </c>
      <c r="J3773" s="421"/>
      <c r="K3773" s="418"/>
      <c r="L3773" s="420">
        <v>135000</v>
      </c>
      <c r="M3773" s="371"/>
      <c r="N3773" s="355" t="str">
        <f t="shared" si="339"/>
        <v>PK</v>
      </c>
      <c r="O3773" s="345" t="s">
        <v>1782</v>
      </c>
      <c r="P3773" s="392"/>
      <c r="Q3773" s="327"/>
      <c r="R3773" s="351"/>
      <c r="S3773" s="351"/>
      <c r="T3773" s="351"/>
      <c r="U3773" s="329" t="str">
        <f>IF($N3773=$N$4,IFERROR(INDEX(DanhMuc!$E$154:$E$165,MATCH(MID($B3773,4,2),DanhMuc!$B$154:$B$165,0)),""),"")</f>
        <v/>
      </c>
      <c r="V3773" s="361"/>
      <c r="W3773" s="345"/>
      <c r="X3773" s="329" t="str">
        <f t="shared" si="338"/>
        <v>GQ</v>
      </c>
      <c r="Y3773" s="1128" t="s">
        <v>3380</v>
      </c>
      <c r="Z3773" s="1128" t="s">
        <v>3381</v>
      </c>
      <c r="AA3773" s="1128" t="s">
        <v>3384</v>
      </c>
      <c r="AB3773" s="20"/>
      <c r="AC3773" s="73"/>
    </row>
    <row r="3774" spans="1:29">
      <c r="A3774" s="327" t="str">
        <f>IF(AND($B3774&lt;&gt;"",$C3774&lt;&gt;""),MAX($A$1556:A3749)+1,"")</f>
        <v/>
      </c>
      <c r="B3774" s="361" t="s">
        <v>2024</v>
      </c>
      <c r="C3774" s="360"/>
      <c r="D3774" s="327">
        <f>IF($B3774="","",COUNTIF($B$6:$B3774,$B3774))</f>
        <v>13</v>
      </c>
      <c r="E3774" s="419">
        <v>14506</v>
      </c>
      <c r="F3774" s="417" t="s">
        <v>1051</v>
      </c>
      <c r="G3774" s="418" t="s">
        <v>155</v>
      </c>
      <c r="H3774" s="419"/>
      <c r="I3774" s="421" t="s">
        <v>1258</v>
      </c>
      <c r="J3774" s="421"/>
      <c r="K3774" s="418"/>
      <c r="L3774" s="420">
        <v>6500</v>
      </c>
      <c r="M3774" s="371"/>
      <c r="N3774" s="355" t="str">
        <f t="shared" si="339"/>
        <v>PK</v>
      </c>
      <c r="O3774" s="345" t="s">
        <v>1782</v>
      </c>
      <c r="P3774" s="392"/>
      <c r="Q3774" s="327"/>
      <c r="R3774" s="351"/>
      <c r="S3774" s="351"/>
      <c r="T3774" s="351"/>
      <c r="U3774" s="329" t="str">
        <f>IF($N3774=$N$4,IFERROR(INDEX(DanhMuc!$E$154:$E$165,MATCH(MID($B3774,4,2),DanhMuc!$B$154:$B$165,0)),""),"")</f>
        <v/>
      </c>
      <c r="V3774" s="361"/>
      <c r="W3774" s="345"/>
      <c r="X3774" s="329" t="str">
        <f t="shared" si="338"/>
        <v>GQ</v>
      </c>
      <c r="Y3774" s="1128" t="s">
        <v>3380</v>
      </c>
      <c r="Z3774" s="1128" t="s">
        <v>3381</v>
      </c>
      <c r="AA3774" s="1128" t="s">
        <v>3384</v>
      </c>
      <c r="AB3774" s="20"/>
      <c r="AC3774" s="73"/>
    </row>
    <row r="3775" spans="1:29">
      <c r="A3775" s="327" t="str">
        <f>IF(AND($B3775&lt;&gt;"",$C3775&lt;&gt;""),MAX($A$1556:A3750)+1,"")</f>
        <v/>
      </c>
      <c r="B3775" s="361" t="s">
        <v>2024</v>
      </c>
      <c r="C3775" s="360"/>
      <c r="D3775" s="327">
        <f>IF($B3775="","",COUNTIF($B$6:$B3775,$B3775))</f>
        <v>14</v>
      </c>
      <c r="E3775" s="430" t="s">
        <v>1094</v>
      </c>
      <c r="F3775" s="431" t="s">
        <v>1092</v>
      </c>
      <c r="G3775" s="327" t="s">
        <v>155</v>
      </c>
      <c r="H3775" s="361"/>
      <c r="I3775" s="327">
        <v>4</v>
      </c>
      <c r="J3775" s="345"/>
      <c r="K3775" s="327"/>
      <c r="L3775" s="389">
        <v>280</v>
      </c>
      <c r="M3775" s="371"/>
      <c r="N3775" s="355" t="str">
        <f t="shared" ref="N3775:N3807" si="340">+$N$1555</f>
        <v>PK</v>
      </c>
      <c r="O3775" s="345"/>
      <c r="P3775" s="392"/>
      <c r="Q3775" s="327"/>
      <c r="R3775" s="351"/>
      <c r="S3775" s="351"/>
      <c r="T3775" s="351"/>
      <c r="U3775" s="329" t="str">
        <f>IF($N3775=$N$4,IFERROR(INDEX(DanhMuc!$E$154:$E$165,MATCH(MID($B3775,4,2),DanhMuc!$B$154:$B$165,0)),""),"")</f>
        <v/>
      </c>
      <c r="V3775" s="361"/>
      <c r="W3775" s="345"/>
      <c r="X3775" s="329" t="str">
        <f t="shared" si="338"/>
        <v>GQ</v>
      </c>
      <c r="Y3775" s="1128" t="s">
        <v>3380</v>
      </c>
      <c r="Z3775" s="1128" t="s">
        <v>3381</v>
      </c>
      <c r="AA3775" s="1128" t="s">
        <v>3384</v>
      </c>
      <c r="AB3775" s="20"/>
      <c r="AC3775" s="73"/>
    </row>
    <row r="3776" spans="1:29">
      <c r="A3776" s="327" t="str">
        <f>IF(AND($B3776&lt;&gt;"",$C3776&lt;&gt;""),MAX($A$1556:A3751)+1,"")</f>
        <v/>
      </c>
      <c r="B3776" s="361" t="s">
        <v>2024</v>
      </c>
      <c r="C3776" s="360"/>
      <c r="D3776" s="327">
        <f>IF($B3776="","",COUNTIF($B$6:$B3776,$B3776))</f>
        <v>15</v>
      </c>
      <c r="E3776" s="430" t="s">
        <v>1028</v>
      </c>
      <c r="F3776" s="431" t="s">
        <v>1029</v>
      </c>
      <c r="G3776" s="327" t="s">
        <v>155</v>
      </c>
      <c r="H3776" s="361"/>
      <c r="I3776" s="327">
        <v>2</v>
      </c>
      <c r="J3776" s="345"/>
      <c r="K3776" s="327"/>
      <c r="L3776" s="389">
        <v>2500</v>
      </c>
      <c r="M3776" s="371"/>
      <c r="N3776" s="355" t="str">
        <f t="shared" si="340"/>
        <v>PK</v>
      </c>
      <c r="O3776" s="345"/>
      <c r="P3776" s="392"/>
      <c r="Q3776" s="327"/>
      <c r="R3776" s="351"/>
      <c r="S3776" s="351"/>
      <c r="T3776" s="351"/>
      <c r="U3776" s="329" t="str">
        <f>IF($N3776=$N$4,IFERROR(INDEX(DanhMuc!$E$154:$E$165,MATCH(MID($B3776,4,2),DanhMuc!$B$154:$B$165,0)),""),"")</f>
        <v/>
      </c>
      <c r="V3776" s="361"/>
      <c r="W3776" s="345"/>
      <c r="X3776" s="329" t="str">
        <f t="shared" si="338"/>
        <v>GQ</v>
      </c>
      <c r="Y3776" s="1128" t="s">
        <v>3380</v>
      </c>
      <c r="Z3776" s="1128" t="s">
        <v>3381</v>
      </c>
      <c r="AA3776" s="1128" t="s">
        <v>3384</v>
      </c>
      <c r="AB3776" s="20"/>
      <c r="AC3776" s="73"/>
    </row>
    <row r="3777" spans="1:29" ht="26">
      <c r="A3777" s="327">
        <f>IF(AND($B3777&lt;&gt;"",$C3777&lt;&gt;""),MAX($A$1556:A3752)+1,"")</f>
        <v>183</v>
      </c>
      <c r="B3777" s="359" t="s">
        <v>2025</v>
      </c>
      <c r="C3777" s="370" t="s">
        <v>1570</v>
      </c>
      <c r="D3777" s="327">
        <f>IF($B3777="","",COUNTIF($B$6:$B3777,$B3777))</f>
        <v>1</v>
      </c>
      <c r="E3777" s="430" t="s">
        <v>1026</v>
      </c>
      <c r="F3777" s="362" t="s">
        <v>1027</v>
      </c>
      <c r="G3777" s="327" t="s">
        <v>155</v>
      </c>
      <c r="H3777" s="361"/>
      <c r="I3777" s="327">
        <v>6</v>
      </c>
      <c r="J3777" s="361"/>
      <c r="K3777" s="327"/>
      <c r="L3777" s="389">
        <v>8500</v>
      </c>
      <c r="M3777" s="371"/>
      <c r="N3777" s="355" t="str">
        <f t="shared" si="340"/>
        <v>PK</v>
      </c>
      <c r="O3777" s="345"/>
      <c r="P3777" s="392"/>
      <c r="Q3777" s="327"/>
      <c r="R3777" s="351"/>
      <c r="S3777" s="351"/>
      <c r="T3777" s="351"/>
      <c r="U3777" s="329" t="str">
        <f>IF($N3777=$N$4,IFERROR(INDEX(DanhMuc!$E$154:$E$165,MATCH(MID($B3777,4,2),DanhMuc!$B$154:$B$165,0)),""),"")</f>
        <v/>
      </c>
      <c r="V3777" s="361"/>
      <c r="W3777" s="345"/>
      <c r="X3777" s="329" t="str">
        <f t="shared" si="338"/>
        <v>GQ</v>
      </c>
      <c r="Y3777" s="1128" t="s">
        <v>3380</v>
      </c>
      <c r="Z3777" s="1128" t="s">
        <v>3381</v>
      </c>
      <c r="AA3777" s="1128" t="s">
        <v>3384</v>
      </c>
      <c r="AB3777" s="20"/>
      <c r="AC3777" s="73"/>
    </row>
    <row r="3778" spans="1:29">
      <c r="A3778" s="327" t="str">
        <f>IF(AND($B3778&lt;&gt;"",$C3778&lt;&gt;""),MAX($A$1556:A3753)+1,"")</f>
        <v/>
      </c>
      <c r="B3778" s="361" t="s">
        <v>2025</v>
      </c>
      <c r="C3778" s="360"/>
      <c r="D3778" s="327">
        <f>IF($B3778="","",COUNTIF($B$6:$B3778,$B3778))</f>
        <v>2</v>
      </c>
      <c r="E3778" s="361" t="s">
        <v>1095</v>
      </c>
      <c r="F3778" s="362" t="s">
        <v>1096</v>
      </c>
      <c r="G3778" s="327" t="s">
        <v>344</v>
      </c>
      <c r="H3778" s="361"/>
      <c r="I3778" s="327">
        <v>2</v>
      </c>
      <c r="J3778" s="345"/>
      <c r="K3778" s="327"/>
      <c r="L3778" s="389">
        <v>28000</v>
      </c>
      <c r="M3778" s="371"/>
      <c r="N3778" s="355" t="str">
        <f t="shared" si="340"/>
        <v>PK</v>
      </c>
      <c r="O3778" s="345" t="s">
        <v>1052</v>
      </c>
      <c r="P3778" s="392"/>
      <c r="Q3778" s="327"/>
      <c r="R3778" s="351"/>
      <c r="S3778" s="351"/>
      <c r="T3778" s="351"/>
      <c r="U3778" s="329" t="str">
        <f>IF($N3778=$N$4,IFERROR(INDEX(DanhMuc!$E$154:$E$165,MATCH(MID($B3778,4,2),DanhMuc!$B$154:$B$165,0)),""),"")</f>
        <v/>
      </c>
      <c r="V3778" s="361"/>
      <c r="W3778" s="345"/>
      <c r="X3778" s="329" t="str">
        <f t="shared" si="338"/>
        <v>GQ</v>
      </c>
      <c r="Y3778" s="1128" t="s">
        <v>3380</v>
      </c>
      <c r="Z3778" s="1128" t="s">
        <v>3381</v>
      </c>
      <c r="AA3778" s="1128" t="s">
        <v>3384</v>
      </c>
      <c r="AB3778" s="20"/>
      <c r="AC3778" s="73"/>
    </row>
    <row r="3779" spans="1:29">
      <c r="A3779" s="327" t="str">
        <f>IF(AND($B3779&lt;&gt;"",$C3779&lt;&gt;""),MAX($A$1556:A3754)+1,"")</f>
        <v/>
      </c>
      <c r="B3779" s="361" t="s">
        <v>2025</v>
      </c>
      <c r="C3779" s="360"/>
      <c r="D3779" s="327">
        <f>IF($B3779="","",COUNTIF($B$6:$B3779,$B3779))</f>
        <v>3</v>
      </c>
      <c r="E3779" s="361" t="s">
        <v>1097</v>
      </c>
      <c r="F3779" s="362" t="s">
        <v>1098</v>
      </c>
      <c r="G3779" s="327" t="s">
        <v>155</v>
      </c>
      <c r="H3779" s="361"/>
      <c r="I3779" s="327">
        <v>2</v>
      </c>
      <c r="J3779" s="345"/>
      <c r="K3779" s="327"/>
      <c r="L3779" s="389">
        <v>36000</v>
      </c>
      <c r="M3779" s="371"/>
      <c r="N3779" s="355" t="str">
        <f t="shared" si="340"/>
        <v>PK</v>
      </c>
      <c r="O3779" s="345" t="s">
        <v>1781</v>
      </c>
      <c r="P3779" s="392"/>
      <c r="Q3779" s="327"/>
      <c r="R3779" s="351"/>
      <c r="S3779" s="351"/>
      <c r="T3779" s="351"/>
      <c r="U3779" s="329" t="str">
        <f>IF($N3779=$N$4,IFERROR(INDEX(DanhMuc!$E$154:$E$165,MATCH(MID($B3779,4,2),DanhMuc!$B$154:$B$165,0)),""),"")</f>
        <v/>
      </c>
      <c r="V3779" s="361"/>
      <c r="W3779" s="345"/>
      <c r="X3779" s="329" t="str">
        <f t="shared" si="338"/>
        <v>GQ</v>
      </c>
      <c r="Y3779" s="1128" t="s">
        <v>3380</v>
      </c>
      <c r="Z3779" s="1128" t="s">
        <v>3381</v>
      </c>
      <c r="AA3779" s="1128" t="s">
        <v>3384</v>
      </c>
      <c r="AB3779" s="20"/>
      <c r="AC3779" s="73"/>
    </row>
    <row r="3780" spans="1:29">
      <c r="A3780" s="327" t="str">
        <f>IF(AND($B3780&lt;&gt;"",$C3780&lt;&gt;""),MAX($A$1556:A3755)+1,"")</f>
        <v/>
      </c>
      <c r="B3780" s="361" t="s">
        <v>2025</v>
      </c>
      <c r="C3780" s="360"/>
      <c r="D3780" s="327">
        <f>IF($B3780="","",COUNTIF($B$6:$B3780,$B3780))</f>
        <v>4</v>
      </c>
      <c r="E3780" s="419" t="s">
        <v>1050</v>
      </c>
      <c r="F3780" s="417" t="s">
        <v>742</v>
      </c>
      <c r="G3780" s="418" t="s">
        <v>155</v>
      </c>
      <c r="H3780" s="419"/>
      <c r="I3780" s="418">
        <v>2</v>
      </c>
      <c r="J3780" s="421"/>
      <c r="K3780" s="418"/>
      <c r="L3780" s="420">
        <v>31000</v>
      </c>
      <c r="M3780" s="371"/>
      <c r="N3780" s="355" t="str">
        <f t="shared" si="340"/>
        <v>PK</v>
      </c>
      <c r="O3780" s="345" t="s">
        <v>1782</v>
      </c>
      <c r="P3780" s="392"/>
      <c r="Q3780" s="327"/>
      <c r="R3780" s="351"/>
      <c r="S3780" s="351"/>
      <c r="T3780" s="351"/>
      <c r="U3780" s="329" t="str">
        <f>IF($N3780=$N$4,IFERROR(INDEX(DanhMuc!$E$154:$E$165,MATCH(MID($B3780,4,2),DanhMuc!$B$154:$B$165,0)),""),"")</f>
        <v/>
      </c>
      <c r="V3780" s="361"/>
      <c r="W3780" s="345"/>
      <c r="X3780" s="329" t="str">
        <f t="shared" si="338"/>
        <v>GQ</v>
      </c>
      <c r="Y3780" s="1128" t="s">
        <v>3380</v>
      </c>
      <c r="Z3780" s="1128" t="s">
        <v>3381</v>
      </c>
      <c r="AA3780" s="1128" t="s">
        <v>3384</v>
      </c>
      <c r="AB3780" s="20"/>
      <c r="AC3780" s="73"/>
    </row>
    <row r="3781" spans="1:29">
      <c r="A3781" s="327" t="str">
        <f>IF(AND($B3781&lt;&gt;"",$C3781&lt;&gt;""),MAX($A$1556:A3756)+1,"")</f>
        <v/>
      </c>
      <c r="B3781" s="361" t="s">
        <v>2025</v>
      </c>
      <c r="C3781" s="360"/>
      <c r="D3781" s="327">
        <f>IF($B3781="","",COUNTIF($B$6:$B3781,$B3781))</f>
        <v>5</v>
      </c>
      <c r="E3781" s="419" t="s">
        <v>1035</v>
      </c>
      <c r="F3781" s="417" t="s">
        <v>1036</v>
      </c>
      <c r="G3781" s="418" t="s">
        <v>155</v>
      </c>
      <c r="H3781" s="419"/>
      <c r="I3781" s="416" t="s">
        <v>1250</v>
      </c>
      <c r="J3781" s="421"/>
      <c r="K3781" s="418"/>
      <c r="L3781" s="420">
        <v>49000</v>
      </c>
      <c r="M3781" s="371"/>
      <c r="N3781" s="355" t="str">
        <f t="shared" si="340"/>
        <v>PK</v>
      </c>
      <c r="O3781" s="345" t="s">
        <v>1782</v>
      </c>
      <c r="P3781" s="392"/>
      <c r="Q3781" s="327"/>
      <c r="R3781" s="351"/>
      <c r="S3781" s="351"/>
      <c r="T3781" s="351"/>
      <c r="U3781" s="329" t="str">
        <f>IF($N3781=$N$4,IFERROR(INDEX(DanhMuc!$E$154:$E$165,MATCH(MID($B3781,4,2),DanhMuc!$B$154:$B$165,0)),""),"")</f>
        <v/>
      </c>
      <c r="V3781" s="361"/>
      <c r="W3781" s="345"/>
      <c r="X3781" s="329" t="str">
        <f t="shared" si="338"/>
        <v>GQ</v>
      </c>
      <c r="Y3781" s="1128" t="s">
        <v>3380</v>
      </c>
      <c r="Z3781" s="1128" t="s">
        <v>3381</v>
      </c>
      <c r="AA3781" s="1128" t="s">
        <v>3384</v>
      </c>
      <c r="AB3781" s="20"/>
      <c r="AC3781" s="73"/>
    </row>
    <row r="3782" spans="1:29">
      <c r="A3782" s="327" t="str">
        <f>IF(AND($B3782&lt;&gt;"",$C3782&lt;&gt;""),MAX($A$1556:A3757)+1,"")</f>
        <v/>
      </c>
      <c r="B3782" s="361" t="s">
        <v>2025</v>
      </c>
      <c r="C3782" s="360"/>
      <c r="D3782" s="327">
        <f>IF($B3782="","",COUNTIF($B$6:$B3782,$B3782))</f>
        <v>6</v>
      </c>
      <c r="E3782" s="419" t="s">
        <v>1037</v>
      </c>
      <c r="F3782" s="417" t="s">
        <v>1038</v>
      </c>
      <c r="G3782" s="418" t="s">
        <v>155</v>
      </c>
      <c r="H3782" s="419"/>
      <c r="I3782" s="416" t="s">
        <v>1251</v>
      </c>
      <c r="J3782" s="421"/>
      <c r="K3782" s="418"/>
      <c r="L3782" s="420">
        <v>55000</v>
      </c>
      <c r="M3782" s="371"/>
      <c r="N3782" s="355" t="str">
        <f t="shared" si="340"/>
        <v>PK</v>
      </c>
      <c r="O3782" s="345" t="s">
        <v>1782</v>
      </c>
      <c r="P3782" s="392"/>
      <c r="Q3782" s="327"/>
      <c r="R3782" s="351"/>
      <c r="S3782" s="351"/>
      <c r="T3782" s="351"/>
      <c r="U3782" s="329" t="str">
        <f>IF($N3782=$N$4,IFERROR(INDEX(DanhMuc!$E$154:$E$165,MATCH(MID($B3782,4,2),DanhMuc!$B$154:$B$165,0)),""),"")</f>
        <v/>
      </c>
      <c r="V3782" s="361"/>
      <c r="W3782" s="345"/>
      <c r="X3782" s="329" t="str">
        <f t="shared" si="338"/>
        <v>GQ</v>
      </c>
      <c r="Y3782" s="1128" t="s">
        <v>3380</v>
      </c>
      <c r="Z3782" s="1128" t="s">
        <v>3381</v>
      </c>
      <c r="AA3782" s="1128" t="s">
        <v>3384</v>
      </c>
      <c r="AB3782" s="20"/>
      <c r="AC3782" s="73"/>
    </row>
    <row r="3783" spans="1:29">
      <c r="A3783" s="327" t="str">
        <f>IF(AND($B3783&lt;&gt;"",$C3783&lt;&gt;""),MAX($A$1556:A3758)+1,"")</f>
        <v/>
      </c>
      <c r="B3783" s="361" t="s">
        <v>2025</v>
      </c>
      <c r="C3783" s="360"/>
      <c r="D3783" s="327">
        <f>IF($B3783="","",COUNTIF($B$6:$B3783,$B3783))</f>
        <v>7</v>
      </c>
      <c r="E3783" s="419" t="s">
        <v>1039</v>
      </c>
      <c r="F3783" s="417" t="s">
        <v>1040</v>
      </c>
      <c r="G3783" s="418" t="s">
        <v>155</v>
      </c>
      <c r="H3783" s="419"/>
      <c r="I3783" s="416" t="s">
        <v>1252</v>
      </c>
      <c r="J3783" s="421"/>
      <c r="K3783" s="418"/>
      <c r="L3783" s="420">
        <v>60000</v>
      </c>
      <c r="M3783" s="371"/>
      <c r="N3783" s="355" t="str">
        <f t="shared" si="340"/>
        <v>PK</v>
      </c>
      <c r="O3783" s="345" t="s">
        <v>1782</v>
      </c>
      <c r="P3783" s="392"/>
      <c r="Q3783" s="327"/>
      <c r="R3783" s="351"/>
      <c r="S3783" s="351"/>
      <c r="T3783" s="351"/>
      <c r="U3783" s="329" t="str">
        <f>IF($N3783=$N$4,IFERROR(INDEX(DanhMuc!$E$154:$E$165,MATCH(MID($B3783,4,2),DanhMuc!$B$154:$B$165,0)),""),"")</f>
        <v/>
      </c>
      <c r="V3783" s="361"/>
      <c r="W3783" s="345"/>
      <c r="X3783" s="329" t="str">
        <f t="shared" si="338"/>
        <v>GQ</v>
      </c>
      <c r="Y3783" s="1128" t="s">
        <v>3380</v>
      </c>
      <c r="Z3783" s="1128" t="s">
        <v>3381</v>
      </c>
      <c r="AA3783" s="1128" t="s">
        <v>3384</v>
      </c>
      <c r="AB3783" s="20"/>
      <c r="AC3783" s="73"/>
    </row>
    <row r="3784" spans="1:29">
      <c r="A3784" s="327" t="str">
        <f>IF(AND($B3784&lt;&gt;"",$C3784&lt;&gt;""),MAX($A$1556:A3759)+1,"")</f>
        <v/>
      </c>
      <c r="B3784" s="361" t="s">
        <v>2025</v>
      </c>
      <c r="C3784" s="360"/>
      <c r="D3784" s="327">
        <f>IF($B3784="","",COUNTIF($B$6:$B3784,$B3784))</f>
        <v>8</v>
      </c>
      <c r="E3784" s="419" t="s">
        <v>1078</v>
      </c>
      <c r="F3784" s="417" t="s">
        <v>1041</v>
      </c>
      <c r="G3784" s="418" t="s">
        <v>155</v>
      </c>
      <c r="H3784" s="419"/>
      <c r="I3784" s="416" t="s">
        <v>1253</v>
      </c>
      <c r="J3784" s="421"/>
      <c r="K3784" s="418"/>
      <c r="L3784" s="420">
        <v>70000</v>
      </c>
      <c r="M3784" s="371"/>
      <c r="N3784" s="355" t="str">
        <f t="shared" si="340"/>
        <v>PK</v>
      </c>
      <c r="O3784" s="345" t="s">
        <v>1782</v>
      </c>
      <c r="P3784" s="392"/>
      <c r="Q3784" s="327"/>
      <c r="R3784" s="351"/>
      <c r="S3784" s="351"/>
      <c r="T3784" s="351"/>
      <c r="U3784" s="329" t="str">
        <f>IF($N3784=$N$4,IFERROR(INDEX(DanhMuc!$E$154:$E$165,MATCH(MID($B3784,4,2),DanhMuc!$B$154:$B$165,0)),""),"")</f>
        <v/>
      </c>
      <c r="V3784" s="361"/>
      <c r="W3784" s="345"/>
      <c r="X3784" s="329" t="str">
        <f t="shared" si="338"/>
        <v>GQ</v>
      </c>
      <c r="Y3784" s="1128" t="s">
        <v>3380</v>
      </c>
      <c r="Z3784" s="1128" t="s">
        <v>3381</v>
      </c>
      <c r="AA3784" s="1128" t="s">
        <v>3384</v>
      </c>
      <c r="AB3784" s="20"/>
      <c r="AC3784" s="73"/>
    </row>
    <row r="3785" spans="1:29">
      <c r="A3785" s="327" t="str">
        <f>IF(AND($B3785&lt;&gt;"",$C3785&lt;&gt;""),MAX($A$1556:A3760)+1,"")</f>
        <v/>
      </c>
      <c r="B3785" s="361" t="s">
        <v>2025</v>
      </c>
      <c r="C3785" s="360"/>
      <c r="D3785" s="327">
        <f>IF($B3785="","",COUNTIF($B$6:$B3785,$B3785))</f>
        <v>9</v>
      </c>
      <c r="E3785" s="419" t="s">
        <v>1042</v>
      </c>
      <c r="F3785" s="417" t="s">
        <v>1043</v>
      </c>
      <c r="G3785" s="418" t="s">
        <v>155</v>
      </c>
      <c r="H3785" s="419"/>
      <c r="I3785" s="416" t="s">
        <v>1254</v>
      </c>
      <c r="J3785" s="421"/>
      <c r="K3785" s="418"/>
      <c r="L3785" s="420">
        <v>79000</v>
      </c>
      <c r="M3785" s="371"/>
      <c r="N3785" s="355" t="str">
        <f t="shared" si="340"/>
        <v>PK</v>
      </c>
      <c r="O3785" s="345" t="s">
        <v>1782</v>
      </c>
      <c r="P3785" s="392"/>
      <c r="Q3785" s="327"/>
      <c r="R3785" s="351"/>
      <c r="S3785" s="351"/>
      <c r="T3785" s="351"/>
      <c r="U3785" s="329" t="str">
        <f>IF($N3785=$N$4,IFERROR(INDEX(DanhMuc!$E$154:$E$165,MATCH(MID($B3785,4,2),DanhMuc!$B$154:$B$165,0)),""),"")</f>
        <v/>
      </c>
      <c r="V3785" s="361"/>
      <c r="W3785" s="345"/>
      <c r="X3785" s="329" t="str">
        <f t="shared" si="338"/>
        <v>GQ</v>
      </c>
      <c r="Y3785" s="1128" t="s">
        <v>3380</v>
      </c>
      <c r="Z3785" s="1128" t="s">
        <v>3381</v>
      </c>
      <c r="AA3785" s="1128" t="s">
        <v>3384</v>
      </c>
      <c r="AB3785" s="20"/>
      <c r="AC3785" s="73"/>
    </row>
    <row r="3786" spans="1:29">
      <c r="A3786" s="327" t="str">
        <f>IF(AND($B3786&lt;&gt;"",$C3786&lt;&gt;""),MAX($A$1556:A3761)+1,"")</f>
        <v/>
      </c>
      <c r="B3786" s="361" t="s">
        <v>2025</v>
      </c>
      <c r="C3786" s="360"/>
      <c r="D3786" s="327">
        <f>IF($B3786="","",COUNTIF($B$6:$B3786,$B3786))</f>
        <v>10</v>
      </c>
      <c r="E3786" s="419" t="s">
        <v>1044</v>
      </c>
      <c r="F3786" s="417" t="s">
        <v>1045</v>
      </c>
      <c r="G3786" s="418" t="s">
        <v>155</v>
      </c>
      <c r="H3786" s="419"/>
      <c r="I3786" s="416" t="s">
        <v>1255</v>
      </c>
      <c r="J3786" s="421"/>
      <c r="K3786" s="418"/>
      <c r="L3786" s="420">
        <v>88000</v>
      </c>
      <c r="M3786" s="371"/>
      <c r="N3786" s="355" t="str">
        <f t="shared" si="340"/>
        <v>PK</v>
      </c>
      <c r="O3786" s="345" t="s">
        <v>1782</v>
      </c>
      <c r="P3786" s="392"/>
      <c r="Q3786" s="327"/>
      <c r="R3786" s="351"/>
      <c r="S3786" s="351"/>
      <c r="T3786" s="351"/>
      <c r="U3786" s="329" t="str">
        <f>IF($N3786=$N$4,IFERROR(INDEX(DanhMuc!$E$154:$E$165,MATCH(MID($B3786,4,2),DanhMuc!$B$154:$B$165,0)),""),"")</f>
        <v/>
      </c>
      <c r="V3786" s="361"/>
      <c r="W3786" s="345"/>
      <c r="X3786" s="329" t="str">
        <f t="shared" si="338"/>
        <v>GQ</v>
      </c>
      <c r="Y3786" s="1128" t="s">
        <v>3380</v>
      </c>
      <c r="Z3786" s="1128" t="s">
        <v>3381</v>
      </c>
      <c r="AA3786" s="1128" t="s">
        <v>3384</v>
      </c>
      <c r="AB3786" s="20"/>
      <c r="AC3786" s="73"/>
    </row>
    <row r="3787" spans="1:29">
      <c r="A3787" s="327" t="str">
        <f>IF(AND($B3787&lt;&gt;"",$C3787&lt;&gt;""),MAX($A$1556:A3762)+1,"")</f>
        <v/>
      </c>
      <c r="B3787" s="361" t="s">
        <v>2025</v>
      </c>
      <c r="C3787" s="360"/>
      <c r="D3787" s="327">
        <f>IF($B3787="","",COUNTIF($B$6:$B3787,$B3787))</f>
        <v>11</v>
      </c>
      <c r="E3787" s="419" t="s">
        <v>1046</v>
      </c>
      <c r="F3787" s="417" t="s">
        <v>1047</v>
      </c>
      <c r="G3787" s="418" t="s">
        <v>155</v>
      </c>
      <c r="H3787" s="419"/>
      <c r="I3787" s="416" t="s">
        <v>1256</v>
      </c>
      <c r="J3787" s="421"/>
      <c r="K3787" s="418"/>
      <c r="L3787" s="420">
        <v>95000</v>
      </c>
      <c r="M3787" s="371"/>
      <c r="N3787" s="355" t="str">
        <f t="shared" si="340"/>
        <v>PK</v>
      </c>
      <c r="O3787" s="345" t="s">
        <v>1782</v>
      </c>
      <c r="P3787" s="392"/>
      <c r="Q3787" s="327"/>
      <c r="R3787" s="351"/>
      <c r="S3787" s="351"/>
      <c r="T3787" s="351"/>
      <c r="U3787" s="329" t="str">
        <f>IF($N3787=$N$4,IFERROR(INDEX(DanhMuc!$E$154:$E$165,MATCH(MID($B3787,4,2),DanhMuc!$B$154:$B$165,0)),""),"")</f>
        <v/>
      </c>
      <c r="V3787" s="361"/>
      <c r="W3787" s="345"/>
      <c r="X3787" s="329" t="str">
        <f t="shared" si="338"/>
        <v>GQ</v>
      </c>
      <c r="Y3787" s="1128" t="s">
        <v>3380</v>
      </c>
      <c r="Z3787" s="1128" t="s">
        <v>3381</v>
      </c>
      <c r="AA3787" s="1128" t="s">
        <v>3384</v>
      </c>
      <c r="AB3787" s="20"/>
      <c r="AC3787" s="73"/>
    </row>
    <row r="3788" spans="1:29">
      <c r="A3788" s="327" t="str">
        <f>IF(AND($B3788&lt;&gt;"",$C3788&lt;&gt;""),MAX($A$1556:A3763)+1,"")</f>
        <v/>
      </c>
      <c r="B3788" s="361" t="s">
        <v>2025</v>
      </c>
      <c r="C3788" s="360"/>
      <c r="D3788" s="327">
        <f>IF($B3788="","",COUNTIF($B$6:$B3788,$B3788))</f>
        <v>12</v>
      </c>
      <c r="E3788" s="419" t="s">
        <v>1048</v>
      </c>
      <c r="F3788" s="417" t="s">
        <v>1049</v>
      </c>
      <c r="G3788" s="418" t="s">
        <v>155</v>
      </c>
      <c r="H3788" s="419"/>
      <c r="I3788" s="416" t="s">
        <v>1257</v>
      </c>
      <c r="J3788" s="421"/>
      <c r="K3788" s="418"/>
      <c r="L3788" s="420">
        <v>135000</v>
      </c>
      <c r="M3788" s="371"/>
      <c r="N3788" s="355" t="str">
        <f t="shared" si="340"/>
        <v>PK</v>
      </c>
      <c r="O3788" s="345" t="s">
        <v>1782</v>
      </c>
      <c r="P3788" s="392"/>
      <c r="Q3788" s="327"/>
      <c r="R3788" s="351"/>
      <c r="S3788" s="351"/>
      <c r="T3788" s="351"/>
      <c r="U3788" s="329" t="str">
        <f>IF($N3788=$N$4,IFERROR(INDEX(DanhMuc!$E$154:$E$165,MATCH(MID($B3788,4,2),DanhMuc!$B$154:$B$165,0)),""),"")</f>
        <v/>
      </c>
      <c r="V3788" s="361"/>
      <c r="W3788" s="345"/>
      <c r="X3788" s="329" t="str">
        <f t="shared" si="338"/>
        <v>GQ</v>
      </c>
      <c r="Y3788" s="1128" t="s">
        <v>3380</v>
      </c>
      <c r="Z3788" s="1128" t="s">
        <v>3381</v>
      </c>
      <c r="AA3788" s="1128" t="s">
        <v>3384</v>
      </c>
      <c r="AB3788" s="20"/>
      <c r="AC3788" s="73"/>
    </row>
    <row r="3789" spans="1:29">
      <c r="A3789" s="327" t="str">
        <f>IF(AND($B3789&lt;&gt;"",$C3789&lt;&gt;""),MAX($A$1556:A3764)+1,"")</f>
        <v/>
      </c>
      <c r="B3789" s="361" t="s">
        <v>2025</v>
      </c>
      <c r="C3789" s="360"/>
      <c r="D3789" s="327">
        <f>IF($B3789="","",COUNTIF($B$6:$B3789,$B3789))</f>
        <v>13</v>
      </c>
      <c r="E3789" s="419">
        <v>14506</v>
      </c>
      <c r="F3789" s="417" t="s">
        <v>1051</v>
      </c>
      <c r="G3789" s="418" t="s">
        <v>155</v>
      </c>
      <c r="H3789" s="419"/>
      <c r="I3789" s="421" t="s">
        <v>1258</v>
      </c>
      <c r="J3789" s="421"/>
      <c r="K3789" s="418"/>
      <c r="L3789" s="420">
        <v>6500</v>
      </c>
      <c r="M3789" s="371"/>
      <c r="N3789" s="355" t="str">
        <f t="shared" si="340"/>
        <v>PK</v>
      </c>
      <c r="O3789" s="345" t="s">
        <v>1782</v>
      </c>
      <c r="P3789" s="392"/>
      <c r="Q3789" s="327"/>
      <c r="R3789" s="351"/>
      <c r="S3789" s="351"/>
      <c r="T3789" s="351"/>
      <c r="U3789" s="329" t="str">
        <f>IF($N3789=$N$4,IFERROR(INDEX(DanhMuc!$E$154:$E$165,MATCH(MID($B3789,4,2),DanhMuc!$B$154:$B$165,0)),""),"")</f>
        <v/>
      </c>
      <c r="V3789" s="361"/>
      <c r="W3789" s="345"/>
      <c r="X3789" s="329" t="str">
        <f t="shared" si="338"/>
        <v>GQ</v>
      </c>
      <c r="Y3789" s="1128" t="s">
        <v>3380</v>
      </c>
      <c r="Z3789" s="1128" t="s">
        <v>3381</v>
      </c>
      <c r="AA3789" s="1128" t="s">
        <v>3384</v>
      </c>
      <c r="AB3789" s="20"/>
      <c r="AC3789" s="73"/>
    </row>
    <row r="3790" spans="1:29">
      <c r="A3790" s="327" t="str">
        <f>IF(AND($B3790&lt;&gt;"",$C3790&lt;&gt;""),MAX($A$1556:A3765)+1,"")</f>
        <v/>
      </c>
      <c r="B3790" s="361" t="s">
        <v>2025</v>
      </c>
      <c r="C3790" s="360"/>
      <c r="D3790" s="327">
        <f>IF($B3790="","",COUNTIF($B$6:$B3790,$B3790))</f>
        <v>14</v>
      </c>
      <c r="E3790" s="430" t="s">
        <v>1094</v>
      </c>
      <c r="F3790" s="431" t="s">
        <v>1092</v>
      </c>
      <c r="G3790" s="327" t="s">
        <v>155</v>
      </c>
      <c r="H3790" s="361"/>
      <c r="I3790" s="327">
        <v>6</v>
      </c>
      <c r="J3790" s="345"/>
      <c r="K3790" s="327"/>
      <c r="L3790" s="389">
        <v>280</v>
      </c>
      <c r="M3790" s="371"/>
      <c r="N3790" s="355" t="str">
        <f t="shared" si="340"/>
        <v>PK</v>
      </c>
      <c r="O3790" s="345"/>
      <c r="P3790" s="392"/>
      <c r="Q3790" s="327"/>
      <c r="R3790" s="351"/>
      <c r="S3790" s="351"/>
      <c r="T3790" s="351"/>
      <c r="U3790" s="329" t="str">
        <f>IF($N3790=$N$4,IFERROR(INDEX(DanhMuc!$E$154:$E$165,MATCH(MID($B3790,4,2),DanhMuc!$B$154:$B$165,0)),""),"")</f>
        <v/>
      </c>
      <c r="V3790" s="361"/>
      <c r="W3790" s="345"/>
      <c r="X3790" s="329" t="str">
        <f t="shared" si="338"/>
        <v>GQ</v>
      </c>
      <c r="Y3790" s="1128" t="s">
        <v>3380</v>
      </c>
      <c r="Z3790" s="1128" t="s">
        <v>3381</v>
      </c>
      <c r="AA3790" s="1128" t="s">
        <v>3384</v>
      </c>
      <c r="AB3790" s="20"/>
      <c r="AC3790" s="73"/>
    </row>
    <row r="3791" spans="1:29">
      <c r="A3791" s="327" t="str">
        <f>IF(AND($B3791&lt;&gt;"",$C3791&lt;&gt;""),MAX($A$1556:A3766)+1,"")</f>
        <v/>
      </c>
      <c r="B3791" s="361" t="s">
        <v>2025</v>
      </c>
      <c r="C3791" s="360"/>
      <c r="D3791" s="327">
        <f>IF($B3791="","",COUNTIF($B$6:$B3791,$B3791))</f>
        <v>15</v>
      </c>
      <c r="E3791" s="430" t="s">
        <v>1028</v>
      </c>
      <c r="F3791" s="431" t="s">
        <v>1029</v>
      </c>
      <c r="G3791" s="327" t="s">
        <v>155</v>
      </c>
      <c r="H3791" s="361"/>
      <c r="I3791" s="327">
        <v>3</v>
      </c>
      <c r="J3791" s="345"/>
      <c r="K3791" s="327"/>
      <c r="L3791" s="389">
        <v>2500</v>
      </c>
      <c r="M3791" s="371"/>
      <c r="N3791" s="355" t="str">
        <f t="shared" si="340"/>
        <v>PK</v>
      </c>
      <c r="O3791" s="345"/>
      <c r="P3791" s="392"/>
      <c r="Q3791" s="327"/>
      <c r="R3791" s="351"/>
      <c r="S3791" s="351"/>
      <c r="T3791" s="351"/>
      <c r="U3791" s="329" t="str">
        <f>IF($N3791=$N$4,IFERROR(INDEX(DanhMuc!$E$154:$E$165,MATCH(MID($B3791,4,2),DanhMuc!$B$154:$B$165,0)),""),"")</f>
        <v/>
      </c>
      <c r="V3791" s="361"/>
      <c r="W3791" s="345"/>
      <c r="X3791" s="329" t="str">
        <f t="shared" si="338"/>
        <v>GQ</v>
      </c>
      <c r="Y3791" s="1128" t="s">
        <v>3380</v>
      </c>
      <c r="Z3791" s="1128" t="s">
        <v>3381</v>
      </c>
      <c r="AA3791" s="1128" t="s">
        <v>3384</v>
      </c>
      <c r="AB3791" s="20"/>
      <c r="AC3791" s="73"/>
    </row>
    <row r="3792" spans="1:29" ht="26">
      <c r="A3792" s="327">
        <f>IF(AND($B3792&lt;&gt;"",$C3792&lt;&gt;""),MAX($A$1556:A3767)+1,"")</f>
        <v>183</v>
      </c>
      <c r="B3792" s="359" t="s">
        <v>2026</v>
      </c>
      <c r="C3792" s="370" t="s">
        <v>1571</v>
      </c>
      <c r="D3792" s="327">
        <f>IF($B3792="","",COUNTIF($B$6:$B3792,$B3792))</f>
        <v>1</v>
      </c>
      <c r="E3792" s="430" t="s">
        <v>1026</v>
      </c>
      <c r="F3792" s="362" t="s">
        <v>1027</v>
      </c>
      <c r="G3792" s="327" t="s">
        <v>155</v>
      </c>
      <c r="H3792" s="361"/>
      <c r="I3792" s="327">
        <v>8</v>
      </c>
      <c r="J3792" s="361"/>
      <c r="K3792" s="327"/>
      <c r="L3792" s="389">
        <v>8500</v>
      </c>
      <c r="M3792" s="371"/>
      <c r="N3792" s="355" t="str">
        <f t="shared" si="340"/>
        <v>PK</v>
      </c>
      <c r="O3792" s="345"/>
      <c r="P3792" s="392"/>
      <c r="Q3792" s="327"/>
      <c r="R3792" s="351"/>
      <c r="S3792" s="351"/>
      <c r="T3792" s="351"/>
      <c r="U3792" s="329" t="str">
        <f>IF($N3792=$N$4,IFERROR(INDEX(DanhMuc!$E$154:$E$165,MATCH(MID($B3792,4,2),DanhMuc!$B$154:$B$165,0)),""),"")</f>
        <v/>
      </c>
      <c r="V3792" s="361"/>
      <c r="W3792" s="345"/>
      <c r="X3792" s="329" t="str">
        <f t="shared" si="338"/>
        <v>GQ</v>
      </c>
      <c r="Y3792" s="1128" t="s">
        <v>3380</v>
      </c>
      <c r="Z3792" s="1128" t="s">
        <v>3381</v>
      </c>
      <c r="AA3792" s="1128" t="s">
        <v>3384</v>
      </c>
      <c r="AB3792" s="20"/>
      <c r="AC3792" s="73"/>
    </row>
    <row r="3793" spans="1:29">
      <c r="A3793" s="327" t="str">
        <f>IF(AND($B3793&lt;&gt;"",$C3793&lt;&gt;""),MAX($A$1556:A3768)+1,"")</f>
        <v/>
      </c>
      <c r="B3793" s="361" t="s">
        <v>2026</v>
      </c>
      <c r="C3793" s="360"/>
      <c r="D3793" s="327">
        <f>IF($B3793="","",COUNTIF($B$6:$B3793,$B3793))</f>
        <v>2</v>
      </c>
      <c r="E3793" s="361" t="s">
        <v>1095</v>
      </c>
      <c r="F3793" s="362" t="s">
        <v>1096</v>
      </c>
      <c r="G3793" s="327" t="s">
        <v>344</v>
      </c>
      <c r="H3793" s="361"/>
      <c r="I3793" s="327">
        <v>2</v>
      </c>
      <c r="J3793" s="345"/>
      <c r="K3793" s="327"/>
      <c r="L3793" s="389">
        <v>28000</v>
      </c>
      <c r="M3793" s="371"/>
      <c r="N3793" s="355" t="str">
        <f t="shared" si="340"/>
        <v>PK</v>
      </c>
      <c r="O3793" s="345" t="s">
        <v>1052</v>
      </c>
      <c r="P3793" s="392"/>
      <c r="Q3793" s="327"/>
      <c r="R3793" s="351"/>
      <c r="S3793" s="351"/>
      <c r="T3793" s="351"/>
      <c r="U3793" s="329" t="str">
        <f>IF($N3793=$N$4,IFERROR(INDEX(DanhMuc!$E$154:$E$165,MATCH(MID($B3793,4,2),DanhMuc!$B$154:$B$165,0)),""),"")</f>
        <v/>
      </c>
      <c r="V3793" s="361"/>
      <c r="W3793" s="345"/>
      <c r="X3793" s="329" t="str">
        <f t="shared" si="338"/>
        <v>GQ</v>
      </c>
      <c r="Y3793" s="1128" t="s">
        <v>3380</v>
      </c>
      <c r="Z3793" s="1128" t="s">
        <v>3381</v>
      </c>
      <c r="AA3793" s="1128" t="s">
        <v>3384</v>
      </c>
      <c r="AB3793" s="20"/>
      <c r="AC3793" s="73"/>
    </row>
    <row r="3794" spans="1:29" ht="25">
      <c r="A3794" s="327" t="str">
        <f>IF(AND($B3794&lt;&gt;"",$C3794&lt;&gt;""),MAX($A$1556:A3769)+1,"")</f>
        <v/>
      </c>
      <c r="B3794" s="361" t="s">
        <v>2026</v>
      </c>
      <c r="C3794" s="360"/>
      <c r="D3794" s="327">
        <f>IF($B3794="","",COUNTIF($B$6:$B3794,$B3794))</f>
        <v>3</v>
      </c>
      <c r="E3794" s="361" t="s">
        <v>1097</v>
      </c>
      <c r="F3794" s="362" t="s">
        <v>1102</v>
      </c>
      <c r="G3794" s="327" t="s">
        <v>155</v>
      </c>
      <c r="H3794" s="361"/>
      <c r="I3794" s="327">
        <v>3</v>
      </c>
      <c r="J3794" s="345"/>
      <c r="K3794" s="327"/>
      <c r="L3794" s="389">
        <v>36000</v>
      </c>
      <c r="M3794" s="371"/>
      <c r="N3794" s="355" t="str">
        <f t="shared" si="340"/>
        <v>PK</v>
      </c>
      <c r="O3794" s="345" t="s">
        <v>1781</v>
      </c>
      <c r="P3794" s="392"/>
      <c r="Q3794" s="327"/>
      <c r="R3794" s="351"/>
      <c r="S3794" s="351"/>
      <c r="T3794" s="351"/>
      <c r="U3794" s="329" t="str">
        <f>IF($N3794=$N$4,IFERROR(INDEX(DanhMuc!$E$154:$E$165,MATCH(MID($B3794,4,2),DanhMuc!$B$154:$B$165,0)),""),"")</f>
        <v/>
      </c>
      <c r="V3794" s="361"/>
      <c r="W3794" s="345"/>
      <c r="X3794" s="329" t="str">
        <f t="shared" si="338"/>
        <v>GQ</v>
      </c>
      <c r="Y3794" s="1128" t="s">
        <v>3380</v>
      </c>
      <c r="Z3794" s="1128" t="s">
        <v>3381</v>
      </c>
      <c r="AA3794" s="1128" t="s">
        <v>3384</v>
      </c>
      <c r="AB3794" s="20"/>
      <c r="AC3794" s="73"/>
    </row>
    <row r="3795" spans="1:29">
      <c r="A3795" s="327" t="str">
        <f>IF(AND($B3795&lt;&gt;"",$C3795&lt;&gt;""),MAX($A$1556:A3770)+1,"")</f>
        <v/>
      </c>
      <c r="B3795" s="361" t="s">
        <v>2026</v>
      </c>
      <c r="C3795" s="360"/>
      <c r="D3795" s="327">
        <f>IF($B3795="","",COUNTIF($B$6:$B3795,$B3795))</f>
        <v>4</v>
      </c>
      <c r="E3795" s="419" t="s">
        <v>1050</v>
      </c>
      <c r="F3795" s="417" t="s">
        <v>742</v>
      </c>
      <c r="G3795" s="418" t="s">
        <v>155</v>
      </c>
      <c r="H3795" s="419"/>
      <c r="I3795" s="418">
        <v>3</v>
      </c>
      <c r="J3795" s="421"/>
      <c r="K3795" s="418"/>
      <c r="L3795" s="420">
        <v>31000</v>
      </c>
      <c r="M3795" s="371"/>
      <c r="N3795" s="355" t="str">
        <f t="shared" si="340"/>
        <v>PK</v>
      </c>
      <c r="O3795" s="345" t="s">
        <v>1782</v>
      </c>
      <c r="P3795" s="392"/>
      <c r="Q3795" s="327"/>
      <c r="R3795" s="351"/>
      <c r="S3795" s="351"/>
      <c r="T3795" s="351"/>
      <c r="U3795" s="329" t="str">
        <f>IF($N3795=$N$4,IFERROR(INDEX(DanhMuc!$E$154:$E$165,MATCH(MID($B3795,4,2),DanhMuc!$B$154:$B$165,0)),""),"")</f>
        <v/>
      </c>
      <c r="V3795" s="361"/>
      <c r="W3795" s="345"/>
      <c r="X3795" s="329" t="str">
        <f t="shared" si="338"/>
        <v>GQ</v>
      </c>
      <c r="Y3795" s="1128" t="s">
        <v>3380</v>
      </c>
      <c r="Z3795" s="1128" t="s">
        <v>3381</v>
      </c>
      <c r="AA3795" s="1128" t="s">
        <v>3384</v>
      </c>
      <c r="AB3795" s="20"/>
      <c r="AC3795" s="73"/>
    </row>
    <row r="3796" spans="1:29">
      <c r="A3796" s="327" t="str">
        <f>IF(AND($B3796&lt;&gt;"",$C3796&lt;&gt;""),MAX($A$1556:A3771)+1,"")</f>
        <v/>
      </c>
      <c r="B3796" s="361" t="s">
        <v>2026</v>
      </c>
      <c r="C3796" s="360"/>
      <c r="D3796" s="327">
        <f>IF($B3796="","",COUNTIF($B$6:$B3796,$B3796))</f>
        <v>5</v>
      </c>
      <c r="E3796" s="419" t="s">
        <v>1035</v>
      </c>
      <c r="F3796" s="417" t="s">
        <v>1036</v>
      </c>
      <c r="G3796" s="418" t="s">
        <v>155</v>
      </c>
      <c r="H3796" s="419"/>
      <c r="I3796" s="416" t="s">
        <v>1339</v>
      </c>
      <c r="J3796" s="421"/>
      <c r="K3796" s="418"/>
      <c r="L3796" s="420">
        <v>49000</v>
      </c>
      <c r="M3796" s="371"/>
      <c r="N3796" s="355" t="str">
        <f t="shared" si="340"/>
        <v>PK</v>
      </c>
      <c r="O3796" s="345" t="s">
        <v>1782</v>
      </c>
      <c r="P3796" s="392"/>
      <c r="Q3796" s="327"/>
      <c r="R3796" s="351"/>
      <c r="S3796" s="351"/>
      <c r="T3796" s="351"/>
      <c r="U3796" s="329" t="str">
        <f>IF($N3796=$N$4,IFERROR(INDEX(DanhMuc!$E$154:$E$165,MATCH(MID($B3796,4,2),DanhMuc!$B$154:$B$165,0)),""),"")</f>
        <v/>
      </c>
      <c r="V3796" s="361"/>
      <c r="W3796" s="345"/>
      <c r="X3796" s="329" t="str">
        <f t="shared" si="338"/>
        <v>GQ</v>
      </c>
      <c r="Y3796" s="1128" t="s">
        <v>3380</v>
      </c>
      <c r="Z3796" s="1128" t="s">
        <v>3381</v>
      </c>
      <c r="AA3796" s="1128" t="s">
        <v>3384</v>
      </c>
      <c r="AB3796" s="20"/>
      <c r="AC3796" s="73"/>
    </row>
    <row r="3797" spans="1:29">
      <c r="A3797" s="327" t="str">
        <f>IF(AND($B3797&lt;&gt;"",$C3797&lt;&gt;""),MAX($A$1556:A3772)+1,"")</f>
        <v/>
      </c>
      <c r="B3797" s="361" t="s">
        <v>2026</v>
      </c>
      <c r="C3797" s="360"/>
      <c r="D3797" s="327">
        <f>IF($B3797="","",COUNTIF($B$6:$B3797,$B3797))</f>
        <v>6</v>
      </c>
      <c r="E3797" s="419" t="s">
        <v>1037</v>
      </c>
      <c r="F3797" s="417" t="s">
        <v>1038</v>
      </c>
      <c r="G3797" s="418" t="s">
        <v>155</v>
      </c>
      <c r="H3797" s="419"/>
      <c r="I3797" s="416" t="s">
        <v>1313</v>
      </c>
      <c r="J3797" s="421"/>
      <c r="K3797" s="418"/>
      <c r="L3797" s="420">
        <v>55000</v>
      </c>
      <c r="M3797" s="371"/>
      <c r="N3797" s="355" t="str">
        <f t="shared" si="340"/>
        <v>PK</v>
      </c>
      <c r="O3797" s="345" t="s">
        <v>1782</v>
      </c>
      <c r="P3797" s="392"/>
      <c r="Q3797" s="327"/>
      <c r="R3797" s="351"/>
      <c r="S3797" s="351"/>
      <c r="T3797" s="351"/>
      <c r="U3797" s="329" t="str">
        <f>IF($N3797=$N$4,IFERROR(INDEX(DanhMuc!$E$154:$E$165,MATCH(MID($B3797,4,2),DanhMuc!$B$154:$B$165,0)),""),"")</f>
        <v/>
      </c>
      <c r="V3797" s="361"/>
      <c r="W3797" s="345"/>
      <c r="X3797" s="329" t="str">
        <f t="shared" ref="X3797:X3860" si="341">IF($N3797="PR",$E3797,MID($B3797,10,2))</f>
        <v>GQ</v>
      </c>
      <c r="Y3797" s="1128" t="s">
        <v>3380</v>
      </c>
      <c r="Z3797" s="1128" t="s">
        <v>3381</v>
      </c>
      <c r="AA3797" s="1128" t="s">
        <v>3384</v>
      </c>
      <c r="AB3797" s="20"/>
      <c r="AC3797" s="73"/>
    </row>
    <row r="3798" spans="1:29">
      <c r="A3798" s="327" t="str">
        <f>IF(AND($B3798&lt;&gt;"",$C3798&lt;&gt;""),MAX($A$1556:A3773)+1,"")</f>
        <v/>
      </c>
      <c r="B3798" s="361" t="s">
        <v>2026</v>
      </c>
      <c r="C3798" s="360"/>
      <c r="D3798" s="327">
        <f>IF($B3798="","",COUNTIF($B$6:$B3798,$B3798))</f>
        <v>7</v>
      </c>
      <c r="E3798" s="419" t="s">
        <v>1039</v>
      </c>
      <c r="F3798" s="417" t="s">
        <v>1040</v>
      </c>
      <c r="G3798" s="418" t="s">
        <v>155</v>
      </c>
      <c r="H3798" s="419"/>
      <c r="I3798" s="416" t="s">
        <v>1314</v>
      </c>
      <c r="J3798" s="421"/>
      <c r="K3798" s="418"/>
      <c r="L3798" s="420">
        <v>60000</v>
      </c>
      <c r="M3798" s="371"/>
      <c r="N3798" s="355" t="str">
        <f t="shared" si="340"/>
        <v>PK</v>
      </c>
      <c r="O3798" s="345" t="s">
        <v>1782</v>
      </c>
      <c r="P3798" s="392"/>
      <c r="Q3798" s="327"/>
      <c r="R3798" s="351"/>
      <c r="S3798" s="351"/>
      <c r="T3798" s="351"/>
      <c r="U3798" s="329" t="str">
        <f>IF($N3798=$N$4,IFERROR(INDEX(DanhMuc!$E$154:$E$165,MATCH(MID($B3798,4,2),DanhMuc!$B$154:$B$165,0)),""),"")</f>
        <v/>
      </c>
      <c r="V3798" s="361"/>
      <c r="W3798" s="345"/>
      <c r="X3798" s="329" t="str">
        <f t="shared" si="341"/>
        <v>GQ</v>
      </c>
      <c r="Y3798" s="1128" t="s">
        <v>3380</v>
      </c>
      <c r="Z3798" s="1128" t="s">
        <v>3381</v>
      </c>
      <c r="AA3798" s="1128" t="s">
        <v>3384</v>
      </c>
      <c r="AB3798" s="20"/>
      <c r="AC3798" s="73"/>
    </row>
    <row r="3799" spans="1:29">
      <c r="A3799" s="327" t="str">
        <f>IF(AND($B3799&lt;&gt;"",$C3799&lt;&gt;""),MAX($A$1556:A3774)+1,"")</f>
        <v/>
      </c>
      <c r="B3799" s="361" t="s">
        <v>2026</v>
      </c>
      <c r="C3799" s="360"/>
      <c r="D3799" s="327">
        <f>IF($B3799="","",COUNTIF($B$6:$B3799,$B3799))</f>
        <v>8</v>
      </c>
      <c r="E3799" s="419" t="s">
        <v>1078</v>
      </c>
      <c r="F3799" s="417" t="s">
        <v>1041</v>
      </c>
      <c r="G3799" s="418" t="s">
        <v>155</v>
      </c>
      <c r="H3799" s="419"/>
      <c r="I3799" s="416" t="s">
        <v>1315</v>
      </c>
      <c r="J3799" s="421"/>
      <c r="K3799" s="418"/>
      <c r="L3799" s="420">
        <v>70000</v>
      </c>
      <c r="M3799" s="371"/>
      <c r="N3799" s="355" t="str">
        <f t="shared" si="340"/>
        <v>PK</v>
      </c>
      <c r="O3799" s="345" t="s">
        <v>1782</v>
      </c>
      <c r="P3799" s="392"/>
      <c r="Q3799" s="327"/>
      <c r="R3799" s="351"/>
      <c r="S3799" s="351"/>
      <c r="T3799" s="351"/>
      <c r="U3799" s="329" t="str">
        <f>IF($N3799=$N$4,IFERROR(INDEX(DanhMuc!$E$154:$E$165,MATCH(MID($B3799,4,2),DanhMuc!$B$154:$B$165,0)),""),"")</f>
        <v/>
      </c>
      <c r="V3799" s="361"/>
      <c r="W3799" s="345"/>
      <c r="X3799" s="329" t="str">
        <f t="shared" si="341"/>
        <v>GQ</v>
      </c>
      <c r="Y3799" s="1128" t="s">
        <v>3380</v>
      </c>
      <c r="Z3799" s="1128" t="s">
        <v>3381</v>
      </c>
      <c r="AA3799" s="1128" t="s">
        <v>3384</v>
      </c>
      <c r="AB3799" s="20"/>
      <c r="AC3799" s="73"/>
    </row>
    <row r="3800" spans="1:29">
      <c r="A3800" s="327" t="str">
        <f>IF(AND($B3800&lt;&gt;"",$C3800&lt;&gt;""),MAX($A$1556:A3775)+1,"")</f>
        <v/>
      </c>
      <c r="B3800" s="361" t="s">
        <v>2026</v>
      </c>
      <c r="C3800" s="360"/>
      <c r="D3800" s="327">
        <f>IF($B3800="","",COUNTIF($B$6:$B3800,$B3800))</f>
        <v>9</v>
      </c>
      <c r="E3800" s="419" t="s">
        <v>1042</v>
      </c>
      <c r="F3800" s="417" t="s">
        <v>1043</v>
      </c>
      <c r="G3800" s="418" t="s">
        <v>155</v>
      </c>
      <c r="H3800" s="419"/>
      <c r="I3800" s="416" t="s">
        <v>1316</v>
      </c>
      <c r="J3800" s="421"/>
      <c r="K3800" s="418"/>
      <c r="L3800" s="420">
        <v>79000</v>
      </c>
      <c r="M3800" s="371"/>
      <c r="N3800" s="355" t="str">
        <f t="shared" si="340"/>
        <v>PK</v>
      </c>
      <c r="O3800" s="345" t="s">
        <v>1782</v>
      </c>
      <c r="P3800" s="392"/>
      <c r="Q3800" s="327"/>
      <c r="R3800" s="351"/>
      <c r="S3800" s="351"/>
      <c r="T3800" s="351"/>
      <c r="U3800" s="329" t="str">
        <f>IF($N3800=$N$4,IFERROR(INDEX(DanhMuc!$E$154:$E$165,MATCH(MID($B3800,4,2),DanhMuc!$B$154:$B$165,0)),""),"")</f>
        <v/>
      </c>
      <c r="V3800" s="361"/>
      <c r="W3800" s="345"/>
      <c r="X3800" s="329" t="str">
        <f t="shared" si="341"/>
        <v>GQ</v>
      </c>
      <c r="Y3800" s="1128" t="s">
        <v>3380</v>
      </c>
      <c r="Z3800" s="1128" t="s">
        <v>3381</v>
      </c>
      <c r="AA3800" s="1128" t="s">
        <v>3384</v>
      </c>
      <c r="AB3800" s="20"/>
      <c r="AC3800" s="73"/>
    </row>
    <row r="3801" spans="1:29">
      <c r="A3801" s="327" t="str">
        <f>IF(AND($B3801&lt;&gt;"",$C3801&lt;&gt;""),MAX($A$1556:A3776)+1,"")</f>
        <v/>
      </c>
      <c r="B3801" s="361" t="s">
        <v>2026</v>
      </c>
      <c r="C3801" s="360"/>
      <c r="D3801" s="327">
        <f>IF($B3801="","",COUNTIF($B$6:$B3801,$B3801))</f>
        <v>10</v>
      </c>
      <c r="E3801" s="419" t="s">
        <v>1044</v>
      </c>
      <c r="F3801" s="417" t="s">
        <v>1045</v>
      </c>
      <c r="G3801" s="418" t="s">
        <v>155</v>
      </c>
      <c r="H3801" s="419"/>
      <c r="I3801" s="416" t="s">
        <v>1317</v>
      </c>
      <c r="J3801" s="421"/>
      <c r="K3801" s="418"/>
      <c r="L3801" s="420">
        <v>88000</v>
      </c>
      <c r="M3801" s="371"/>
      <c r="N3801" s="355" t="str">
        <f t="shared" si="340"/>
        <v>PK</v>
      </c>
      <c r="O3801" s="345" t="s">
        <v>1782</v>
      </c>
      <c r="P3801" s="392"/>
      <c r="Q3801" s="327"/>
      <c r="R3801" s="351"/>
      <c r="S3801" s="351"/>
      <c r="T3801" s="351"/>
      <c r="U3801" s="329" t="str">
        <f>IF($N3801=$N$4,IFERROR(INDEX(DanhMuc!$E$154:$E$165,MATCH(MID($B3801,4,2),DanhMuc!$B$154:$B$165,0)),""),"")</f>
        <v/>
      </c>
      <c r="V3801" s="361"/>
      <c r="W3801" s="345"/>
      <c r="X3801" s="329" t="str">
        <f t="shared" si="341"/>
        <v>GQ</v>
      </c>
      <c r="Y3801" s="1128" t="s">
        <v>3380</v>
      </c>
      <c r="Z3801" s="1128" t="s">
        <v>3381</v>
      </c>
      <c r="AA3801" s="1128" t="s">
        <v>3384</v>
      </c>
      <c r="AB3801" s="20"/>
      <c r="AC3801" s="73"/>
    </row>
    <row r="3802" spans="1:29">
      <c r="A3802" s="327" t="str">
        <f>IF(AND($B3802&lt;&gt;"",$C3802&lt;&gt;""),MAX($A$1556:A3777)+1,"")</f>
        <v/>
      </c>
      <c r="B3802" s="361" t="s">
        <v>2026</v>
      </c>
      <c r="C3802" s="360"/>
      <c r="D3802" s="327">
        <f>IF($B3802="","",COUNTIF($B$6:$B3802,$B3802))</f>
        <v>11</v>
      </c>
      <c r="E3802" s="419" t="s">
        <v>1046</v>
      </c>
      <c r="F3802" s="417" t="s">
        <v>1047</v>
      </c>
      <c r="G3802" s="418" t="s">
        <v>155</v>
      </c>
      <c r="H3802" s="419"/>
      <c r="I3802" s="416" t="s">
        <v>1340</v>
      </c>
      <c r="J3802" s="421"/>
      <c r="K3802" s="418"/>
      <c r="L3802" s="420">
        <v>95000</v>
      </c>
      <c r="M3802" s="371"/>
      <c r="N3802" s="355" t="str">
        <f t="shared" si="340"/>
        <v>PK</v>
      </c>
      <c r="O3802" s="345" t="s">
        <v>1782</v>
      </c>
      <c r="P3802" s="392"/>
      <c r="Q3802" s="327"/>
      <c r="R3802" s="351"/>
      <c r="S3802" s="351"/>
      <c r="T3802" s="351"/>
      <c r="U3802" s="329" t="str">
        <f>IF($N3802=$N$4,IFERROR(INDEX(DanhMuc!$E$154:$E$165,MATCH(MID($B3802,4,2),DanhMuc!$B$154:$B$165,0)),""),"")</f>
        <v/>
      </c>
      <c r="V3802" s="361"/>
      <c r="W3802" s="345"/>
      <c r="X3802" s="329" t="str">
        <f t="shared" si="341"/>
        <v>GQ</v>
      </c>
      <c r="Y3802" s="1128" t="s">
        <v>3380</v>
      </c>
      <c r="Z3802" s="1128" t="s">
        <v>3381</v>
      </c>
      <c r="AA3802" s="1128" t="s">
        <v>3384</v>
      </c>
      <c r="AB3802" s="20"/>
      <c r="AC3802" s="73"/>
    </row>
    <row r="3803" spans="1:29">
      <c r="A3803" s="327" t="str">
        <f>IF(AND($B3803&lt;&gt;"",$C3803&lt;&gt;""),MAX($A$1556:A3778)+1,"")</f>
        <v/>
      </c>
      <c r="B3803" s="361" t="s">
        <v>2026</v>
      </c>
      <c r="C3803" s="360"/>
      <c r="D3803" s="327">
        <f>IF($B3803="","",COUNTIF($B$6:$B3803,$B3803))</f>
        <v>12</v>
      </c>
      <c r="E3803" s="419" t="s">
        <v>1048</v>
      </c>
      <c r="F3803" s="417" t="s">
        <v>1049</v>
      </c>
      <c r="G3803" s="418" t="s">
        <v>155</v>
      </c>
      <c r="H3803" s="419"/>
      <c r="I3803" s="416" t="s">
        <v>1341</v>
      </c>
      <c r="J3803" s="421"/>
      <c r="K3803" s="418"/>
      <c r="L3803" s="420">
        <v>135000</v>
      </c>
      <c r="M3803" s="371"/>
      <c r="N3803" s="355" t="str">
        <f t="shared" si="340"/>
        <v>PK</v>
      </c>
      <c r="O3803" s="345" t="s">
        <v>1782</v>
      </c>
      <c r="P3803" s="392"/>
      <c r="Q3803" s="327"/>
      <c r="R3803" s="351"/>
      <c r="S3803" s="351"/>
      <c r="T3803" s="351"/>
      <c r="U3803" s="329" t="str">
        <f>IF($N3803=$N$4,IFERROR(INDEX(DanhMuc!$E$154:$E$165,MATCH(MID($B3803,4,2),DanhMuc!$B$154:$B$165,0)),""),"")</f>
        <v/>
      </c>
      <c r="V3803" s="361"/>
      <c r="W3803" s="345"/>
      <c r="X3803" s="329" t="str">
        <f t="shared" si="341"/>
        <v>GQ</v>
      </c>
      <c r="Y3803" s="1128" t="s">
        <v>3380</v>
      </c>
      <c r="Z3803" s="1128" t="s">
        <v>3381</v>
      </c>
      <c r="AA3803" s="1128" t="s">
        <v>3384</v>
      </c>
      <c r="AB3803" s="20"/>
      <c r="AC3803" s="73"/>
    </row>
    <row r="3804" spans="1:29">
      <c r="A3804" s="327" t="str">
        <f>IF(AND($B3804&lt;&gt;"",$C3804&lt;&gt;""),MAX($A$1556:A3779)+1,"")</f>
        <v/>
      </c>
      <c r="B3804" s="361" t="s">
        <v>2026</v>
      </c>
      <c r="C3804" s="360"/>
      <c r="D3804" s="327">
        <f>IF($B3804="","",COUNTIF($B$6:$B3804,$B3804))</f>
        <v>13</v>
      </c>
      <c r="E3804" s="419">
        <v>14506</v>
      </c>
      <c r="F3804" s="417" t="s">
        <v>1051</v>
      </c>
      <c r="G3804" s="418" t="s">
        <v>155</v>
      </c>
      <c r="H3804" s="419"/>
      <c r="I3804" s="421" t="s">
        <v>1342</v>
      </c>
      <c r="J3804" s="421"/>
      <c r="K3804" s="418"/>
      <c r="L3804" s="420">
        <v>6500</v>
      </c>
      <c r="M3804" s="371"/>
      <c r="N3804" s="355" t="str">
        <f t="shared" si="340"/>
        <v>PK</v>
      </c>
      <c r="O3804" s="345" t="s">
        <v>1782</v>
      </c>
      <c r="P3804" s="392"/>
      <c r="Q3804" s="327"/>
      <c r="R3804" s="351"/>
      <c r="S3804" s="351"/>
      <c r="T3804" s="351"/>
      <c r="U3804" s="329" t="str">
        <f>IF($N3804=$N$4,IFERROR(INDEX(DanhMuc!$E$154:$E$165,MATCH(MID($B3804,4,2),DanhMuc!$B$154:$B$165,0)),""),"")</f>
        <v/>
      </c>
      <c r="V3804" s="361"/>
      <c r="W3804" s="345"/>
      <c r="X3804" s="329" t="str">
        <f t="shared" si="341"/>
        <v>GQ</v>
      </c>
      <c r="Y3804" s="1128" t="s">
        <v>3380</v>
      </c>
      <c r="Z3804" s="1128" t="s">
        <v>3381</v>
      </c>
      <c r="AA3804" s="1128" t="s">
        <v>3384</v>
      </c>
      <c r="AB3804" s="20"/>
      <c r="AC3804" s="73"/>
    </row>
    <row r="3805" spans="1:29">
      <c r="A3805" s="327" t="str">
        <f>IF(AND($B3805&lt;&gt;"",$C3805&lt;&gt;""),MAX($A$1556:A3780)+1,"")</f>
        <v/>
      </c>
      <c r="B3805" s="361" t="s">
        <v>2026</v>
      </c>
      <c r="C3805" s="360"/>
      <c r="D3805" s="327">
        <f>IF($B3805="","",COUNTIF($B$6:$B3805,$B3805))</f>
        <v>14</v>
      </c>
      <c r="E3805" s="430" t="s">
        <v>1094</v>
      </c>
      <c r="F3805" s="431" t="s">
        <v>1092</v>
      </c>
      <c r="G3805" s="327" t="s">
        <v>155</v>
      </c>
      <c r="H3805" s="361"/>
      <c r="I3805" s="327">
        <v>8</v>
      </c>
      <c r="J3805" s="345"/>
      <c r="K3805" s="327"/>
      <c r="L3805" s="389">
        <v>280</v>
      </c>
      <c r="M3805" s="371"/>
      <c r="N3805" s="355" t="str">
        <f t="shared" si="340"/>
        <v>PK</v>
      </c>
      <c r="O3805" s="345"/>
      <c r="P3805" s="392"/>
      <c r="Q3805" s="327"/>
      <c r="R3805" s="351"/>
      <c r="S3805" s="351"/>
      <c r="T3805" s="351"/>
      <c r="U3805" s="329" t="str">
        <f>IF($N3805=$N$4,IFERROR(INDEX(DanhMuc!$E$154:$E$165,MATCH(MID($B3805,4,2),DanhMuc!$B$154:$B$165,0)),""),"")</f>
        <v/>
      </c>
      <c r="V3805" s="361"/>
      <c r="W3805" s="345"/>
      <c r="X3805" s="329" t="str">
        <f t="shared" si="341"/>
        <v>GQ</v>
      </c>
      <c r="Y3805" s="1128" t="s">
        <v>3380</v>
      </c>
      <c r="Z3805" s="1128" t="s">
        <v>3381</v>
      </c>
      <c r="AA3805" s="1128" t="s">
        <v>3384</v>
      </c>
      <c r="AB3805" s="20"/>
      <c r="AC3805" s="73"/>
    </row>
    <row r="3806" spans="1:29">
      <c r="A3806" s="327" t="str">
        <f>IF(AND($B3806&lt;&gt;"",$C3806&lt;&gt;""),MAX($A$1556:A3781)+1,"")</f>
        <v/>
      </c>
      <c r="B3806" s="361" t="s">
        <v>2026</v>
      </c>
      <c r="C3806" s="360"/>
      <c r="D3806" s="327">
        <f>IF($B3806="","",COUNTIF($B$6:$B3806,$B3806))</f>
        <v>15</v>
      </c>
      <c r="E3806" s="430" t="s">
        <v>1028</v>
      </c>
      <c r="F3806" s="431" t="s">
        <v>1029</v>
      </c>
      <c r="G3806" s="327" t="s">
        <v>155</v>
      </c>
      <c r="H3806" s="361"/>
      <c r="I3806" s="327">
        <v>4</v>
      </c>
      <c r="J3806" s="345"/>
      <c r="K3806" s="327"/>
      <c r="L3806" s="389">
        <v>2500</v>
      </c>
      <c r="M3806" s="371"/>
      <c r="N3806" s="355" t="str">
        <f t="shared" si="340"/>
        <v>PK</v>
      </c>
      <c r="O3806" s="345"/>
      <c r="P3806" s="392"/>
      <c r="Q3806" s="327"/>
      <c r="R3806" s="351"/>
      <c r="S3806" s="351"/>
      <c r="T3806" s="351"/>
      <c r="U3806" s="329" t="str">
        <f>IF($N3806=$N$4,IFERROR(INDEX(DanhMuc!$E$154:$E$165,MATCH(MID($B3806,4,2),DanhMuc!$B$154:$B$165,0)),""),"")</f>
        <v/>
      </c>
      <c r="V3806" s="361"/>
      <c r="W3806" s="345"/>
      <c r="X3806" s="329" t="str">
        <f t="shared" si="341"/>
        <v>GQ</v>
      </c>
      <c r="Y3806" s="1128" t="s">
        <v>3380</v>
      </c>
      <c r="Z3806" s="1128" t="s">
        <v>3381</v>
      </c>
      <c r="AA3806" s="1128" t="s">
        <v>3384</v>
      </c>
      <c r="AB3806" s="20"/>
      <c r="AC3806" s="73"/>
    </row>
    <row r="3807" spans="1:29">
      <c r="A3807" s="327" t="str">
        <f>IF(AND($B3807&lt;&gt;"",$C3807&lt;&gt;""),MAX($A$1556:A3782)+1,"")</f>
        <v/>
      </c>
      <c r="B3807" s="361"/>
      <c r="C3807" s="360"/>
      <c r="D3807" s="327" t="str">
        <f>IF($B3807="","",COUNTIF($B$6:$B3807,$B3807))</f>
        <v/>
      </c>
      <c r="E3807" s="430"/>
      <c r="F3807" s="431"/>
      <c r="G3807" s="351"/>
      <c r="H3807" s="361"/>
      <c r="I3807" s="327"/>
      <c r="J3807" s="345"/>
      <c r="K3807" s="327"/>
      <c r="L3807" s="389"/>
      <c r="M3807" s="371"/>
      <c r="N3807" s="355" t="str">
        <f t="shared" si="340"/>
        <v>PK</v>
      </c>
      <c r="O3807" s="345"/>
      <c r="P3807" s="392"/>
      <c r="Q3807" s="327"/>
      <c r="R3807" s="351"/>
      <c r="S3807" s="351"/>
      <c r="T3807" s="351"/>
      <c r="U3807" s="329" t="str">
        <f>IF($N3807=$N$4,IFERROR(INDEX(DanhMuc!$E$154:$E$165,MATCH(MID($B3807,4,2),DanhMuc!$B$154:$B$165,0)),""),"")</f>
        <v/>
      </c>
      <c r="V3807" s="361"/>
      <c r="W3807" s="345"/>
      <c r="X3807" s="329" t="str">
        <f t="shared" si="341"/>
        <v/>
      </c>
      <c r="Y3807" s="1128" t="s">
        <v>3380</v>
      </c>
      <c r="Z3807" s="1128" t="s">
        <v>3381</v>
      </c>
      <c r="AA3807" s="1128" t="s">
        <v>3384</v>
      </c>
      <c r="AB3807" s="20"/>
      <c r="AC3807" s="73"/>
    </row>
    <row r="3808" spans="1:29" s="21" customFormat="1">
      <c r="A3808" s="327">
        <f>IF(AND($B3808&lt;&gt;"",$C3808&lt;&gt;""),MAX($A$1556:A3783)+1,"")</f>
        <v>184</v>
      </c>
      <c r="B3808" s="394" t="s">
        <v>246</v>
      </c>
      <c r="C3808" s="395" t="s">
        <v>247</v>
      </c>
      <c r="D3808" s="396"/>
      <c r="E3808" s="396"/>
      <c r="F3808" s="397"/>
      <c r="G3808" s="396"/>
      <c r="H3808" s="396"/>
      <c r="I3808" s="396"/>
      <c r="J3808" s="396"/>
      <c r="K3808" s="393"/>
      <c r="L3808" s="439">
        <f>23260</f>
        <v>23260</v>
      </c>
      <c r="M3808" s="371"/>
      <c r="N3808" s="440" t="str">
        <f t="shared" ref="N3808:N3867" si="342">+$N$1555</f>
        <v>PK</v>
      </c>
      <c r="O3808" s="394"/>
      <c r="P3808" s="351"/>
      <c r="Q3808" s="327"/>
      <c r="R3808" s="351"/>
      <c r="S3808" s="351"/>
      <c r="T3808" s="351"/>
      <c r="U3808" s="329" t="str">
        <f>IF($N3808=$N$4,IFERROR(INDEX(DanhMuc!$E$154:$E$165,MATCH(MID($B3808,4,2),DanhMuc!$B$154:$B$165,0)),""),"")</f>
        <v/>
      </c>
      <c r="V3808" s="351"/>
      <c r="W3808" s="345"/>
      <c r="X3808" s="329" t="str">
        <f t="shared" si="341"/>
        <v/>
      </c>
      <c r="Y3808" s="1128" t="s">
        <v>3380</v>
      </c>
      <c r="Z3808" s="1128" t="s">
        <v>3381</v>
      </c>
      <c r="AA3808" s="1128" t="s">
        <v>3384</v>
      </c>
      <c r="AB3808" s="20"/>
      <c r="AC3808" s="73"/>
    </row>
    <row r="3809" spans="1:29" ht="26">
      <c r="A3809" s="327">
        <f>IF(AND($B3809&lt;&gt;"",$C3809&lt;&gt;""),MAX($A$1556:A3784)+1,"")</f>
        <v>184</v>
      </c>
      <c r="B3809" s="359" t="s">
        <v>2027</v>
      </c>
      <c r="C3809" s="370" t="s">
        <v>1574</v>
      </c>
      <c r="D3809" s="327">
        <f>IF($B3809="","",COUNTIF($B$6:$B3809,$B3809))</f>
        <v>1</v>
      </c>
      <c r="E3809" s="430">
        <v>630963</v>
      </c>
      <c r="F3809" s="362" t="s">
        <v>1376</v>
      </c>
      <c r="G3809" s="327" t="s">
        <v>344</v>
      </c>
      <c r="H3809" s="361"/>
      <c r="I3809" s="327">
        <v>1</v>
      </c>
      <c r="J3809" s="361"/>
      <c r="K3809" s="327"/>
      <c r="L3809" s="389">
        <f>+$L$3808*$Q3809</f>
        <v>866202.4</v>
      </c>
      <c r="M3809" s="371"/>
      <c r="N3809" s="355" t="str">
        <f t="shared" si="342"/>
        <v>PK</v>
      </c>
      <c r="O3809" s="404" t="s">
        <v>1623</v>
      </c>
      <c r="P3809" s="392"/>
      <c r="Q3809" s="441">
        <v>37.24</v>
      </c>
      <c r="R3809" s="441"/>
      <c r="S3809" s="351"/>
      <c r="T3809" s="351"/>
      <c r="U3809" s="329" t="str">
        <f>IF($N3809=$N$4,IFERROR(INDEX(DanhMuc!$E$154:$E$165,MATCH(MID($B3809,4,2),DanhMuc!$B$154:$B$165,0)),""),"")</f>
        <v/>
      </c>
      <c r="V3809" s="361"/>
      <c r="W3809" s="345"/>
      <c r="X3809" s="329" t="str">
        <f t="shared" si="341"/>
        <v>RT</v>
      </c>
      <c r="Y3809" s="1128" t="s">
        <v>3380</v>
      </c>
      <c r="Z3809" s="1128" t="s">
        <v>3381</v>
      </c>
      <c r="AA3809" s="1128" t="s">
        <v>3384</v>
      </c>
      <c r="AB3809" s="20"/>
      <c r="AC3809" s="73"/>
    </row>
    <row r="3810" spans="1:29">
      <c r="A3810" s="327" t="str">
        <f>IF(AND($B3810&lt;&gt;"",$C3810&lt;&gt;""),MAX($A$1556:A3785)+1,"")</f>
        <v/>
      </c>
      <c r="B3810" s="361" t="s">
        <v>2027</v>
      </c>
      <c r="C3810" s="360"/>
      <c r="D3810" s="327">
        <f>IF($B3810="","",COUNTIF($B$6:$B3810,$B3810))</f>
        <v>2</v>
      </c>
      <c r="E3810" s="430">
        <v>449873</v>
      </c>
      <c r="F3810" s="362" t="s">
        <v>1377</v>
      </c>
      <c r="G3810" s="327" t="s">
        <v>344</v>
      </c>
      <c r="H3810" s="361"/>
      <c r="I3810" s="327">
        <v>1</v>
      </c>
      <c r="J3810" s="361"/>
      <c r="K3810" s="327"/>
      <c r="L3810" s="389">
        <f t="shared" ref="L3810:L4047" si="343">+$L$3808*$Q3810</f>
        <v>494972.80000000005</v>
      </c>
      <c r="M3810" s="371"/>
      <c r="N3810" s="355" t="str">
        <f t="shared" si="342"/>
        <v>PK</v>
      </c>
      <c r="O3810" s="404" t="s">
        <v>1626</v>
      </c>
      <c r="P3810" s="392"/>
      <c r="Q3810" s="441">
        <v>21.28</v>
      </c>
      <c r="R3810" s="441"/>
      <c r="S3810" s="351"/>
      <c r="T3810" s="351"/>
      <c r="U3810" s="329" t="str">
        <f>IF($N3810=$N$4,IFERROR(INDEX(DanhMuc!$E$154:$E$165,MATCH(MID($B3810,4,2),DanhMuc!$B$154:$B$165,0)),""),"")</f>
        <v/>
      </c>
      <c r="V3810" s="361"/>
      <c r="W3810" s="345"/>
      <c r="X3810" s="329" t="str">
        <f t="shared" si="341"/>
        <v>RT</v>
      </c>
      <c r="Y3810" s="1128" t="s">
        <v>3380</v>
      </c>
      <c r="Z3810" s="1128" t="s">
        <v>3381</v>
      </c>
      <c r="AA3810" s="1128" t="s">
        <v>3384</v>
      </c>
      <c r="AB3810" s="20"/>
      <c r="AC3810" s="73"/>
    </row>
    <row r="3811" spans="1:29">
      <c r="A3811" s="327" t="str">
        <f>IF(AND($B3811&lt;&gt;"",$C3811&lt;&gt;""),MAX($A$1556:A3786)+1,"")</f>
        <v/>
      </c>
      <c r="B3811" s="361" t="s">
        <v>2027</v>
      </c>
      <c r="C3811" s="360"/>
      <c r="D3811" s="327">
        <f>IF($B3811="","",COUNTIF($B$6:$B3811,$B3811))</f>
        <v>3</v>
      </c>
      <c r="E3811" s="361">
        <v>570669</v>
      </c>
      <c r="F3811" s="362" t="s">
        <v>1378</v>
      </c>
      <c r="G3811" s="327" t="s">
        <v>344</v>
      </c>
      <c r="H3811" s="361"/>
      <c r="I3811" s="327">
        <v>1</v>
      </c>
      <c r="J3811" s="345"/>
      <c r="K3811" s="327"/>
      <c r="L3811" s="389">
        <f t="shared" si="343"/>
        <v>525908.6</v>
      </c>
      <c r="M3811" s="371"/>
      <c r="N3811" s="355" t="str">
        <f t="shared" si="342"/>
        <v>PK</v>
      </c>
      <c r="O3811" s="345"/>
      <c r="P3811" s="392"/>
      <c r="Q3811" s="441">
        <v>22.61</v>
      </c>
      <c r="R3811" s="441"/>
      <c r="S3811" s="351"/>
      <c r="T3811" s="351"/>
      <c r="U3811" s="329" t="str">
        <f>IF($N3811=$N$4,IFERROR(INDEX(DanhMuc!$E$154:$E$165,MATCH(MID($B3811,4,2),DanhMuc!$B$154:$B$165,0)),""),"")</f>
        <v/>
      </c>
      <c r="V3811" s="361"/>
      <c r="W3811" s="345"/>
      <c r="X3811" s="329" t="str">
        <f t="shared" si="341"/>
        <v>RT</v>
      </c>
      <c r="Y3811" s="1128" t="s">
        <v>3380</v>
      </c>
      <c r="Z3811" s="1128" t="s">
        <v>3381</v>
      </c>
      <c r="AA3811" s="1128" t="s">
        <v>3384</v>
      </c>
      <c r="AB3811" s="20"/>
      <c r="AC3811" s="73"/>
    </row>
    <row r="3812" spans="1:29">
      <c r="A3812" s="327" t="str">
        <f>IF(AND($B3812&lt;&gt;"",$C3812&lt;&gt;""),MAX($A$1556:A3787)+1,"")</f>
        <v/>
      </c>
      <c r="B3812" s="361" t="s">
        <v>2027</v>
      </c>
      <c r="C3812" s="360"/>
      <c r="D3812" s="327">
        <f>IF($B3812="","",COUNTIF($B$6:$B3812,$B3812))</f>
        <v>4</v>
      </c>
      <c r="E3812" s="361">
        <v>775376</v>
      </c>
      <c r="F3812" s="362" t="s">
        <v>1379</v>
      </c>
      <c r="G3812" s="327" t="s">
        <v>155</v>
      </c>
      <c r="H3812" s="361"/>
      <c r="I3812" s="327">
        <v>1</v>
      </c>
      <c r="J3812" s="345"/>
      <c r="K3812" s="327"/>
      <c r="L3812" s="389">
        <f t="shared" si="343"/>
        <v>247486.40000000002</v>
      </c>
      <c r="M3812" s="371"/>
      <c r="N3812" s="355" t="str">
        <f t="shared" si="342"/>
        <v>PK</v>
      </c>
      <c r="O3812" s="345" t="s">
        <v>1060</v>
      </c>
      <c r="P3812" s="392"/>
      <c r="Q3812" s="441">
        <v>10.64</v>
      </c>
      <c r="R3812" s="441"/>
      <c r="S3812" s="351"/>
      <c r="T3812" s="351"/>
      <c r="U3812" s="329" t="str">
        <f>IF($N3812=$N$4,IFERROR(INDEX(DanhMuc!$E$154:$E$165,MATCH(MID($B3812,4,2),DanhMuc!$B$154:$B$165,0)),""),"")</f>
        <v/>
      </c>
      <c r="V3812" s="361"/>
      <c r="W3812" s="345"/>
      <c r="X3812" s="329" t="str">
        <f t="shared" si="341"/>
        <v>RT</v>
      </c>
      <c r="Y3812" s="1128" t="s">
        <v>3380</v>
      </c>
      <c r="Z3812" s="1128" t="s">
        <v>3381</v>
      </c>
      <c r="AA3812" s="1128" t="s">
        <v>3384</v>
      </c>
      <c r="AB3812" s="20"/>
      <c r="AC3812" s="73"/>
    </row>
    <row r="3813" spans="1:29">
      <c r="A3813" s="327" t="str">
        <f>IF(AND($B3813&lt;&gt;"",$C3813&lt;&gt;""),MAX($A$1556:A3788)+1,"")</f>
        <v/>
      </c>
      <c r="B3813" s="361" t="s">
        <v>2027</v>
      </c>
      <c r="C3813" s="360"/>
      <c r="D3813" s="327">
        <f>IF($B3813="","",COUNTIF($B$6:$B3813,$B3813))</f>
        <v>5</v>
      </c>
      <c r="E3813" s="361">
        <v>775375</v>
      </c>
      <c r="F3813" s="362" t="s">
        <v>1380</v>
      </c>
      <c r="G3813" s="327" t="s">
        <v>155</v>
      </c>
      <c r="H3813" s="361"/>
      <c r="I3813" s="327">
        <v>1</v>
      </c>
      <c r="J3813" s="345"/>
      <c r="K3813" s="327"/>
      <c r="L3813" s="389">
        <f t="shared" si="343"/>
        <v>433101.2</v>
      </c>
      <c r="M3813" s="371"/>
      <c r="N3813" s="355" t="str">
        <f t="shared" si="342"/>
        <v>PK</v>
      </c>
      <c r="O3813" s="345" t="s">
        <v>2699</v>
      </c>
      <c r="P3813" s="392"/>
      <c r="Q3813" s="441">
        <v>18.62</v>
      </c>
      <c r="R3813" s="441"/>
      <c r="S3813" s="351"/>
      <c r="T3813" s="351"/>
      <c r="U3813" s="329" t="str">
        <f>IF($N3813=$N$4,IFERROR(INDEX(DanhMuc!$E$154:$E$165,MATCH(MID($B3813,4,2),DanhMuc!$B$154:$B$165,0)),""),"")</f>
        <v/>
      </c>
      <c r="V3813" s="361"/>
      <c r="W3813" s="345"/>
      <c r="X3813" s="329" t="str">
        <f t="shared" si="341"/>
        <v>RT</v>
      </c>
      <c r="Y3813" s="1128" t="s">
        <v>3380</v>
      </c>
      <c r="Z3813" s="1128" t="s">
        <v>3381</v>
      </c>
      <c r="AA3813" s="1128" t="s">
        <v>3384</v>
      </c>
      <c r="AB3813" s="20"/>
      <c r="AC3813" s="73"/>
    </row>
    <row r="3814" spans="1:29">
      <c r="A3814" s="327" t="str">
        <f>IF(AND($B3814&lt;&gt;"",$C3814&lt;&gt;""),MAX($A$1556:A3789)+1,"")</f>
        <v/>
      </c>
      <c r="B3814" s="361" t="s">
        <v>2027</v>
      </c>
      <c r="C3814" s="360"/>
      <c r="D3814" s="327">
        <f>IF($B3814="","",COUNTIF($B$6:$B3814,$B3814))</f>
        <v>6</v>
      </c>
      <c r="E3814" s="361">
        <v>492522</v>
      </c>
      <c r="F3814" s="362" t="s">
        <v>1381</v>
      </c>
      <c r="G3814" s="327" t="s">
        <v>344</v>
      </c>
      <c r="H3814" s="361"/>
      <c r="I3814" s="327">
        <v>3</v>
      </c>
      <c r="J3814" s="345"/>
      <c r="K3814" s="327"/>
      <c r="L3814" s="389">
        <f t="shared" si="343"/>
        <v>433101.2</v>
      </c>
      <c r="M3814" s="371"/>
      <c r="N3814" s="355" t="str">
        <f t="shared" si="342"/>
        <v>PK</v>
      </c>
      <c r="O3814" s="345" t="s">
        <v>1362</v>
      </c>
      <c r="P3814" s="392"/>
      <c r="Q3814" s="441">
        <v>18.62</v>
      </c>
      <c r="R3814" s="441"/>
      <c r="S3814" s="351"/>
      <c r="T3814" s="351"/>
      <c r="U3814" s="329" t="str">
        <f>IF($N3814=$N$4,IFERROR(INDEX(DanhMuc!$E$154:$E$165,MATCH(MID($B3814,4,2),DanhMuc!$B$154:$B$165,0)),""),"")</f>
        <v/>
      </c>
      <c r="V3814" s="361"/>
      <c r="W3814" s="345"/>
      <c r="X3814" s="329" t="str">
        <f t="shared" si="341"/>
        <v>RT</v>
      </c>
      <c r="Y3814" s="1128" t="s">
        <v>3380</v>
      </c>
      <c r="Z3814" s="1128" t="s">
        <v>3381</v>
      </c>
      <c r="AA3814" s="1128" t="s">
        <v>3384</v>
      </c>
      <c r="AB3814" s="20"/>
      <c r="AC3814" s="73"/>
    </row>
    <row r="3815" spans="1:29">
      <c r="A3815" s="327" t="str">
        <f>IF(AND($B3815&lt;&gt;"",$C3815&lt;&gt;""),MAX($A$1556:A3790)+1,"")</f>
        <v/>
      </c>
      <c r="B3815" s="361" t="s">
        <v>2027</v>
      </c>
      <c r="C3815" s="360"/>
      <c r="D3815" s="327">
        <f>IF($B3815="","",COUNTIF($B$6:$B3815,$B3815))</f>
        <v>7</v>
      </c>
      <c r="E3815" s="361">
        <v>492575</v>
      </c>
      <c r="F3815" s="431" t="s">
        <v>1382</v>
      </c>
      <c r="G3815" s="327" t="s">
        <v>344</v>
      </c>
      <c r="H3815" s="361"/>
      <c r="I3815" s="327">
        <v>3</v>
      </c>
      <c r="J3815" s="345"/>
      <c r="K3815" s="327"/>
      <c r="L3815" s="389">
        <f t="shared" si="343"/>
        <v>510557</v>
      </c>
      <c r="M3815" s="371"/>
      <c r="N3815" s="355" t="str">
        <f t="shared" si="342"/>
        <v>PK</v>
      </c>
      <c r="O3815" s="345" t="s">
        <v>441</v>
      </c>
      <c r="P3815" s="392"/>
      <c r="Q3815" s="441">
        <v>21.95</v>
      </c>
      <c r="R3815" s="441"/>
      <c r="S3815" s="351"/>
      <c r="T3815" s="351"/>
      <c r="U3815" s="329" t="str">
        <f>IF($N3815=$N$4,IFERROR(INDEX(DanhMuc!$E$154:$E$165,MATCH(MID($B3815,4,2),DanhMuc!$B$154:$B$165,0)),""),"")</f>
        <v/>
      </c>
      <c r="V3815" s="361"/>
      <c r="W3815" s="345"/>
      <c r="X3815" s="329" t="str">
        <f t="shared" si="341"/>
        <v>RT</v>
      </c>
      <c r="Y3815" s="1128" t="s">
        <v>3380</v>
      </c>
      <c r="Z3815" s="1128" t="s">
        <v>3381</v>
      </c>
      <c r="AA3815" s="1128" t="s">
        <v>3384</v>
      </c>
      <c r="AB3815" s="20"/>
      <c r="AC3815" s="73"/>
    </row>
    <row r="3816" spans="1:29">
      <c r="A3816" s="327" t="str">
        <f>IF(AND($B3816&lt;&gt;"",$C3816&lt;&gt;""),MAX($A$1556:A3791)+1,"")</f>
        <v/>
      </c>
      <c r="B3816" s="361" t="s">
        <v>2027</v>
      </c>
      <c r="C3816" s="360"/>
      <c r="D3816" s="327">
        <f>IF($B3816="","",COUNTIF($B$6:$B3816,$B3816))</f>
        <v>8</v>
      </c>
      <c r="E3816" s="430">
        <v>390659</v>
      </c>
      <c r="F3816" s="431" t="s">
        <v>1383</v>
      </c>
      <c r="G3816" s="327" t="s">
        <v>155</v>
      </c>
      <c r="H3816" s="361"/>
      <c r="I3816" s="327">
        <v>1</v>
      </c>
      <c r="J3816" s="345"/>
      <c r="K3816" s="327"/>
      <c r="L3816" s="389">
        <f t="shared" si="343"/>
        <v>247486.40000000002</v>
      </c>
      <c r="M3816" s="371"/>
      <c r="N3816" s="355" t="str">
        <f t="shared" si="342"/>
        <v>PK</v>
      </c>
      <c r="O3816" s="404" t="s">
        <v>1624</v>
      </c>
      <c r="P3816" s="392"/>
      <c r="Q3816" s="441">
        <v>10.64</v>
      </c>
      <c r="R3816" s="441"/>
      <c r="S3816" s="351"/>
      <c r="T3816" s="351"/>
      <c r="U3816" s="329" t="str">
        <f>IF($N3816=$N$4,IFERROR(INDEX(DanhMuc!$E$154:$E$165,MATCH(MID($B3816,4,2),DanhMuc!$B$154:$B$165,0)),""),"")</f>
        <v/>
      </c>
      <c r="V3816" s="361"/>
      <c r="W3816" s="345"/>
      <c r="X3816" s="329" t="str">
        <f t="shared" si="341"/>
        <v>RT</v>
      </c>
      <c r="Y3816" s="1128" t="s">
        <v>3380</v>
      </c>
      <c r="Z3816" s="1128" t="s">
        <v>3381</v>
      </c>
      <c r="AA3816" s="1128" t="s">
        <v>3384</v>
      </c>
      <c r="AB3816" s="20"/>
      <c r="AC3816" s="73"/>
    </row>
    <row r="3817" spans="1:29">
      <c r="A3817" s="327" t="str">
        <f>IF(AND($B3817&lt;&gt;"",$C3817&lt;&gt;""),MAX($A$1556:A3792)+1,"")</f>
        <v/>
      </c>
      <c r="B3817" s="361" t="s">
        <v>2027</v>
      </c>
      <c r="C3817" s="360"/>
      <c r="D3817" s="327">
        <f>IF($B3817="","",COUNTIF($B$6:$B3817,$B3817))</f>
        <v>9</v>
      </c>
      <c r="E3817" s="430">
        <v>390660</v>
      </c>
      <c r="F3817" s="431" t="s">
        <v>1384</v>
      </c>
      <c r="G3817" s="327" t="s">
        <v>155</v>
      </c>
      <c r="H3817" s="361"/>
      <c r="I3817" s="327">
        <v>1</v>
      </c>
      <c r="J3817" s="345"/>
      <c r="K3817" s="327"/>
      <c r="L3817" s="389">
        <f t="shared" si="343"/>
        <v>247486.40000000002</v>
      </c>
      <c r="M3817" s="371"/>
      <c r="N3817" s="355" t="str">
        <f t="shared" si="342"/>
        <v>PK</v>
      </c>
      <c r="O3817" s="404" t="s">
        <v>1625</v>
      </c>
      <c r="P3817" s="392"/>
      <c r="Q3817" s="441">
        <v>10.64</v>
      </c>
      <c r="R3817" s="441"/>
      <c r="S3817" s="351"/>
      <c r="T3817" s="351"/>
      <c r="U3817" s="329" t="str">
        <f>IF($N3817=$N$4,IFERROR(INDEX(DanhMuc!$E$154:$E$165,MATCH(MID($B3817,4,2),DanhMuc!$B$154:$B$165,0)),""),"")</f>
        <v/>
      </c>
      <c r="V3817" s="361"/>
      <c r="W3817" s="345"/>
      <c r="X3817" s="329" t="str">
        <f t="shared" si="341"/>
        <v>RT</v>
      </c>
      <c r="Y3817" s="1128" t="s">
        <v>3380</v>
      </c>
      <c r="Z3817" s="1128" t="s">
        <v>3381</v>
      </c>
      <c r="AA3817" s="1128" t="s">
        <v>3384</v>
      </c>
      <c r="AB3817" s="20"/>
      <c r="AC3817" s="73"/>
    </row>
    <row r="3818" spans="1:29">
      <c r="A3818" s="327" t="str">
        <f>IF(AND($B3818&lt;&gt;"",$C3818&lt;&gt;""),MAX($A$1556:A3793)+1,"")</f>
        <v/>
      </c>
      <c r="B3818" s="361" t="s">
        <v>2027</v>
      </c>
      <c r="C3818" s="360"/>
      <c r="D3818" s="327">
        <f>IF($B3818="","",COUNTIF($B$6:$B3818,$B3818))</f>
        <v>10</v>
      </c>
      <c r="E3818" s="430">
        <v>390659</v>
      </c>
      <c r="F3818" s="431" t="s">
        <v>1383</v>
      </c>
      <c r="G3818" s="327" t="s">
        <v>155</v>
      </c>
      <c r="H3818" s="361"/>
      <c r="I3818" s="327">
        <v>1</v>
      </c>
      <c r="J3818" s="345"/>
      <c r="K3818" s="327"/>
      <c r="L3818" s="389">
        <f t="shared" si="343"/>
        <v>247486.40000000002</v>
      </c>
      <c r="M3818" s="371"/>
      <c r="N3818" s="355" t="str">
        <f t="shared" si="342"/>
        <v>PK</v>
      </c>
      <c r="O3818" s="404" t="s">
        <v>1629</v>
      </c>
      <c r="P3818" s="392"/>
      <c r="Q3818" s="441">
        <v>10.64</v>
      </c>
      <c r="R3818" s="441"/>
      <c r="S3818" s="351"/>
      <c r="T3818" s="351"/>
      <c r="U3818" s="329" t="str">
        <f>IF($N3818=$N$4,IFERROR(INDEX(DanhMuc!$E$154:$E$165,MATCH(MID($B3818,4,2),DanhMuc!$B$154:$B$165,0)),""),"")</f>
        <v/>
      </c>
      <c r="V3818" s="361"/>
      <c r="W3818" s="345"/>
      <c r="X3818" s="329" t="str">
        <f t="shared" si="341"/>
        <v>RT</v>
      </c>
      <c r="Y3818" s="1128" t="s">
        <v>3380</v>
      </c>
      <c r="Z3818" s="1128" t="s">
        <v>3381</v>
      </c>
      <c r="AA3818" s="1128" t="s">
        <v>3384</v>
      </c>
      <c r="AB3818" s="20"/>
      <c r="AC3818" s="73"/>
    </row>
    <row r="3819" spans="1:29">
      <c r="A3819" s="327" t="str">
        <f>IF(AND($B3819&lt;&gt;"",$C3819&lt;&gt;""),MAX($A$1556:A3794)+1,"")</f>
        <v/>
      </c>
      <c r="B3819" s="361" t="s">
        <v>2027</v>
      </c>
      <c r="C3819" s="360"/>
      <c r="D3819" s="327">
        <f>IF($B3819="","",COUNTIF($B$6:$B3819,$B3819))</f>
        <v>11</v>
      </c>
      <c r="E3819" s="430">
        <v>390660</v>
      </c>
      <c r="F3819" s="431" t="s">
        <v>1384</v>
      </c>
      <c r="G3819" s="327" t="s">
        <v>155</v>
      </c>
      <c r="H3819" s="361"/>
      <c r="I3819" s="327">
        <v>1</v>
      </c>
      <c r="J3819" s="345"/>
      <c r="K3819" s="327"/>
      <c r="L3819" s="389">
        <f t="shared" si="343"/>
        <v>247486.40000000002</v>
      </c>
      <c r="M3819" s="371"/>
      <c r="N3819" s="355" t="str">
        <f t="shared" si="342"/>
        <v>PK</v>
      </c>
      <c r="O3819" s="404" t="s">
        <v>1630</v>
      </c>
      <c r="P3819" s="392"/>
      <c r="Q3819" s="441">
        <v>10.64</v>
      </c>
      <c r="R3819" s="441"/>
      <c r="S3819" s="351"/>
      <c r="T3819" s="351"/>
      <c r="U3819" s="329" t="str">
        <f>IF($N3819=$N$4,IFERROR(INDEX(DanhMuc!$E$154:$E$165,MATCH(MID($B3819,4,2),DanhMuc!$B$154:$B$165,0)),""),"")</f>
        <v/>
      </c>
      <c r="V3819" s="361"/>
      <c r="W3819" s="345"/>
      <c r="X3819" s="329" t="str">
        <f t="shared" si="341"/>
        <v>RT</v>
      </c>
      <c r="Y3819" s="1128" t="s">
        <v>3380</v>
      </c>
      <c r="Z3819" s="1128" t="s">
        <v>3381</v>
      </c>
      <c r="AA3819" s="1128" t="s">
        <v>3384</v>
      </c>
      <c r="AB3819" s="20"/>
      <c r="AC3819" s="73"/>
    </row>
    <row r="3820" spans="1:29" ht="25">
      <c r="A3820" s="327" t="str">
        <f>IF(AND($B3820&lt;&gt;"",$C3820&lt;&gt;""),MAX($A$1556:A3795)+1,"")</f>
        <v/>
      </c>
      <c r="B3820" s="361" t="s">
        <v>2027</v>
      </c>
      <c r="C3820" s="360"/>
      <c r="D3820" s="327">
        <f>IF($B3820="","",COUNTIF($B$6:$B3820,$B3820))</f>
        <v>12</v>
      </c>
      <c r="E3820" s="411">
        <v>630955</v>
      </c>
      <c r="F3820" s="432" t="s">
        <v>1385</v>
      </c>
      <c r="G3820" s="410" t="s">
        <v>156</v>
      </c>
      <c r="H3820" s="402"/>
      <c r="I3820" s="327">
        <v>1</v>
      </c>
      <c r="J3820" s="345"/>
      <c r="K3820" s="327"/>
      <c r="L3820" s="389">
        <f t="shared" si="343"/>
        <v>114904.40000000001</v>
      </c>
      <c r="M3820" s="371"/>
      <c r="N3820" s="355" t="str">
        <f t="shared" si="342"/>
        <v>PK</v>
      </c>
      <c r="O3820" s="404" t="s">
        <v>1623</v>
      </c>
      <c r="P3820" s="392"/>
      <c r="Q3820" s="441">
        <v>4.9400000000000004</v>
      </c>
      <c r="R3820" s="441"/>
      <c r="S3820" s="351"/>
      <c r="T3820" s="351"/>
      <c r="U3820" s="329" t="str">
        <f>IF($N3820=$N$4,IFERROR(INDEX(DanhMuc!$E$154:$E$165,MATCH(MID($B3820,4,2),DanhMuc!$B$154:$B$165,0)),""),"")</f>
        <v/>
      </c>
      <c r="V3820" s="361"/>
      <c r="W3820" s="345"/>
      <c r="X3820" s="329" t="str">
        <f t="shared" si="341"/>
        <v>RT</v>
      </c>
      <c r="Y3820" s="1128" t="s">
        <v>3380</v>
      </c>
      <c r="Z3820" s="1128" t="s">
        <v>3381</v>
      </c>
      <c r="AA3820" s="1128" t="s">
        <v>3384</v>
      </c>
      <c r="AB3820" s="20"/>
      <c r="AC3820" s="73"/>
    </row>
    <row r="3821" spans="1:29" ht="25">
      <c r="A3821" s="327" t="str">
        <f>IF(AND($B3821&lt;&gt;"",$C3821&lt;&gt;""),MAX($A$1556:A3796)+1,"")</f>
        <v/>
      </c>
      <c r="B3821" s="361" t="s">
        <v>2027</v>
      </c>
      <c r="C3821" s="360"/>
      <c r="D3821" s="327">
        <f>IF($B3821="","",COUNTIF($B$6:$B3821,$B3821))</f>
        <v>13</v>
      </c>
      <c r="E3821" s="411">
        <v>630957</v>
      </c>
      <c r="F3821" s="432" t="s">
        <v>1386</v>
      </c>
      <c r="G3821" s="410" t="s">
        <v>156</v>
      </c>
      <c r="H3821" s="402"/>
      <c r="I3821" s="327">
        <v>1</v>
      </c>
      <c r="J3821" s="345"/>
      <c r="K3821" s="327"/>
      <c r="L3821" s="389">
        <f t="shared" si="343"/>
        <v>154911.6</v>
      </c>
      <c r="M3821" s="371"/>
      <c r="N3821" s="355" t="str">
        <f t="shared" si="342"/>
        <v>PK</v>
      </c>
      <c r="O3821" s="404" t="s">
        <v>1623</v>
      </c>
      <c r="P3821" s="392"/>
      <c r="Q3821" s="441">
        <v>6.66</v>
      </c>
      <c r="R3821" s="441"/>
      <c r="S3821" s="351"/>
      <c r="T3821" s="351"/>
      <c r="U3821" s="329" t="str">
        <f>IF($N3821=$N$4,IFERROR(INDEX(DanhMuc!$E$154:$E$165,MATCH(MID($B3821,4,2),DanhMuc!$B$154:$B$165,0)),""),"")</f>
        <v/>
      </c>
      <c r="V3821" s="361"/>
      <c r="W3821" s="345"/>
      <c r="X3821" s="329" t="str">
        <f t="shared" si="341"/>
        <v>RT</v>
      </c>
      <c r="Y3821" s="1128" t="s">
        <v>3380</v>
      </c>
      <c r="Z3821" s="1128" t="s">
        <v>3381</v>
      </c>
      <c r="AA3821" s="1128" t="s">
        <v>3384</v>
      </c>
      <c r="AB3821" s="20"/>
      <c r="AC3821" s="73"/>
    </row>
    <row r="3822" spans="1:29">
      <c r="A3822" s="327" t="str">
        <f>IF(AND($B3822&lt;&gt;"",$C3822&lt;&gt;""),MAX($A$1556:A3797)+1,"")</f>
        <v/>
      </c>
      <c r="B3822" s="361" t="s">
        <v>2027</v>
      </c>
      <c r="C3822" s="360"/>
      <c r="D3822" s="327">
        <f>IF($B3822="","",COUNTIF($B$6:$B3822,$B3822))</f>
        <v>14</v>
      </c>
      <c r="E3822" s="430">
        <v>332439</v>
      </c>
      <c r="F3822" s="431" t="s">
        <v>1387</v>
      </c>
      <c r="G3822" s="327" t="s">
        <v>155</v>
      </c>
      <c r="H3822" s="361"/>
      <c r="I3822" s="327">
        <v>4</v>
      </c>
      <c r="J3822" s="345"/>
      <c r="K3822" s="327"/>
      <c r="L3822" s="389">
        <f t="shared" si="343"/>
        <v>12560.400000000001</v>
      </c>
      <c r="M3822" s="371"/>
      <c r="N3822" s="355" t="str">
        <f t="shared" si="342"/>
        <v>PK</v>
      </c>
      <c r="O3822" s="404" t="s">
        <v>1623</v>
      </c>
      <c r="P3822" s="392"/>
      <c r="Q3822" s="441">
        <v>0.54</v>
      </c>
      <c r="R3822" s="441"/>
      <c r="S3822" s="351"/>
      <c r="T3822" s="351"/>
      <c r="U3822" s="329" t="str">
        <f>IF($N3822=$N$4,IFERROR(INDEX(DanhMuc!$E$154:$E$165,MATCH(MID($B3822,4,2),DanhMuc!$B$154:$B$165,0)),""),"")</f>
        <v/>
      </c>
      <c r="V3822" s="361"/>
      <c r="W3822" s="345"/>
      <c r="X3822" s="329" t="str">
        <f t="shared" si="341"/>
        <v>RT</v>
      </c>
      <c r="Y3822" s="1128" t="s">
        <v>3380</v>
      </c>
      <c r="Z3822" s="1128" t="s">
        <v>3381</v>
      </c>
      <c r="AA3822" s="1128" t="s">
        <v>3384</v>
      </c>
      <c r="AB3822" s="20"/>
      <c r="AC3822" s="73"/>
    </row>
    <row r="3823" spans="1:29" ht="26">
      <c r="A3823" s="327">
        <f>IF(AND($B3823&lt;&gt;"",$C3823&lt;&gt;""),MAX($A$1556:A3798)+1,"")</f>
        <v>184</v>
      </c>
      <c r="B3823" s="359" t="s">
        <v>2028</v>
      </c>
      <c r="C3823" s="360" t="s">
        <v>1575</v>
      </c>
      <c r="D3823" s="327">
        <f>IF($B3823="","",COUNTIF($B$6:$B3823,$B3823))</f>
        <v>1</v>
      </c>
      <c r="E3823" s="430">
        <v>630963</v>
      </c>
      <c r="F3823" s="362" t="s">
        <v>1376</v>
      </c>
      <c r="G3823" s="327" t="s">
        <v>344</v>
      </c>
      <c r="H3823" s="361"/>
      <c r="I3823" s="327">
        <v>1</v>
      </c>
      <c r="J3823" s="361"/>
      <c r="K3823" s="327"/>
      <c r="L3823" s="389">
        <f t="shared" si="343"/>
        <v>866202.4</v>
      </c>
      <c r="M3823" s="371"/>
      <c r="N3823" s="355" t="str">
        <f t="shared" si="342"/>
        <v>PK</v>
      </c>
      <c r="O3823" s="404" t="s">
        <v>1623</v>
      </c>
      <c r="P3823" s="392"/>
      <c r="Q3823" s="441">
        <v>37.24</v>
      </c>
      <c r="R3823" s="441"/>
      <c r="S3823" s="351"/>
      <c r="T3823" s="351"/>
      <c r="U3823" s="329" t="str">
        <f>IF($N3823=$N$4,IFERROR(INDEX(DanhMuc!$E$154:$E$165,MATCH(MID($B3823,4,2),DanhMuc!$B$154:$B$165,0)),""),"")</f>
        <v/>
      </c>
      <c r="V3823" s="361"/>
      <c r="W3823" s="345"/>
      <c r="X3823" s="329" t="str">
        <f t="shared" si="341"/>
        <v>RT</v>
      </c>
      <c r="Y3823" s="1128" t="s">
        <v>3380</v>
      </c>
      <c r="Z3823" s="1128" t="s">
        <v>3381</v>
      </c>
      <c r="AA3823" s="1128" t="s">
        <v>3384</v>
      </c>
      <c r="AB3823" s="20"/>
      <c r="AC3823" s="73"/>
    </row>
    <row r="3824" spans="1:29">
      <c r="A3824" s="327" t="str">
        <f>IF(AND($B3824&lt;&gt;"",$C3824&lt;&gt;""),MAX($A$1556:A3799)+1,"")</f>
        <v/>
      </c>
      <c r="B3824" s="361" t="s">
        <v>2028</v>
      </c>
      <c r="C3824" s="360"/>
      <c r="D3824" s="327">
        <f>IF($B3824="","",COUNTIF($B$6:$B3824,$B3824))</f>
        <v>2</v>
      </c>
      <c r="E3824" s="430">
        <v>449873</v>
      </c>
      <c r="F3824" s="362" t="s">
        <v>1377</v>
      </c>
      <c r="G3824" s="327" t="s">
        <v>344</v>
      </c>
      <c r="H3824" s="361"/>
      <c r="I3824" s="327">
        <v>1</v>
      </c>
      <c r="J3824" s="361"/>
      <c r="K3824" s="327"/>
      <c r="L3824" s="389">
        <f t="shared" si="343"/>
        <v>494972.80000000005</v>
      </c>
      <c r="M3824" s="371"/>
      <c r="N3824" s="355" t="str">
        <f t="shared" si="342"/>
        <v>PK</v>
      </c>
      <c r="O3824" s="404" t="s">
        <v>1626</v>
      </c>
      <c r="P3824" s="392"/>
      <c r="Q3824" s="441">
        <v>21.28</v>
      </c>
      <c r="R3824" s="441"/>
      <c r="S3824" s="351"/>
      <c r="T3824" s="351"/>
      <c r="U3824" s="329" t="str">
        <f>IF($N3824=$N$4,IFERROR(INDEX(DanhMuc!$E$154:$E$165,MATCH(MID($B3824,4,2),DanhMuc!$B$154:$B$165,0)),""),"")</f>
        <v/>
      </c>
      <c r="V3824" s="361"/>
      <c r="W3824" s="345"/>
      <c r="X3824" s="329" t="str">
        <f t="shared" si="341"/>
        <v>RT</v>
      </c>
      <c r="Y3824" s="1128" t="s">
        <v>3380</v>
      </c>
      <c r="Z3824" s="1128" t="s">
        <v>3381</v>
      </c>
      <c r="AA3824" s="1128" t="s">
        <v>3384</v>
      </c>
      <c r="AB3824" s="20"/>
      <c r="AC3824" s="73"/>
    </row>
    <row r="3825" spans="1:29">
      <c r="A3825" s="327" t="str">
        <f>IF(AND($B3825&lt;&gt;"",$C3825&lt;&gt;""),MAX($A$1556:A3800)+1,"")</f>
        <v/>
      </c>
      <c r="B3825" s="361" t="s">
        <v>2028</v>
      </c>
      <c r="C3825" s="360"/>
      <c r="D3825" s="327">
        <f>IF($B3825="","",COUNTIF($B$6:$B3825,$B3825))</f>
        <v>3</v>
      </c>
      <c r="E3825" s="361">
        <v>570669</v>
      </c>
      <c r="F3825" s="362" t="s">
        <v>1378</v>
      </c>
      <c r="G3825" s="327" t="s">
        <v>344</v>
      </c>
      <c r="H3825" s="361"/>
      <c r="I3825" s="327">
        <v>1</v>
      </c>
      <c r="J3825" s="345"/>
      <c r="K3825" s="327"/>
      <c r="L3825" s="389">
        <f t="shared" si="343"/>
        <v>525908.6</v>
      </c>
      <c r="M3825" s="371"/>
      <c r="N3825" s="355" t="str">
        <f t="shared" si="342"/>
        <v>PK</v>
      </c>
      <c r="O3825" s="345"/>
      <c r="P3825" s="392"/>
      <c r="Q3825" s="441">
        <v>22.61</v>
      </c>
      <c r="R3825" s="441"/>
      <c r="S3825" s="351"/>
      <c r="T3825" s="351"/>
      <c r="U3825" s="329" t="str">
        <f>IF($N3825=$N$4,IFERROR(INDEX(DanhMuc!$E$154:$E$165,MATCH(MID($B3825,4,2),DanhMuc!$B$154:$B$165,0)),""),"")</f>
        <v/>
      </c>
      <c r="V3825" s="361"/>
      <c r="W3825" s="345"/>
      <c r="X3825" s="329" t="str">
        <f t="shared" si="341"/>
        <v>RT</v>
      </c>
      <c r="Y3825" s="1128" t="s">
        <v>3380</v>
      </c>
      <c r="Z3825" s="1128" t="s">
        <v>3381</v>
      </c>
      <c r="AA3825" s="1128" t="s">
        <v>3384</v>
      </c>
      <c r="AB3825" s="20"/>
      <c r="AC3825" s="73"/>
    </row>
    <row r="3826" spans="1:29">
      <c r="A3826" s="327" t="str">
        <f>IF(AND($B3826&lt;&gt;"",$C3826&lt;&gt;""),MAX($A$1556:A3801)+1,"")</f>
        <v/>
      </c>
      <c r="B3826" s="361" t="s">
        <v>2028</v>
      </c>
      <c r="C3826" s="360"/>
      <c r="D3826" s="327">
        <f>IF($B3826="","",COUNTIF($B$6:$B3826,$B3826))</f>
        <v>4</v>
      </c>
      <c r="E3826" s="361">
        <v>775376</v>
      </c>
      <c r="F3826" s="362" t="s">
        <v>1379</v>
      </c>
      <c r="G3826" s="327" t="s">
        <v>155</v>
      </c>
      <c r="H3826" s="361"/>
      <c r="I3826" s="327">
        <v>1</v>
      </c>
      <c r="J3826" s="345"/>
      <c r="K3826" s="327"/>
      <c r="L3826" s="389">
        <f t="shared" si="343"/>
        <v>247486.40000000002</v>
      </c>
      <c r="M3826" s="371"/>
      <c r="N3826" s="355" t="str">
        <f t="shared" si="342"/>
        <v>PK</v>
      </c>
      <c r="O3826" s="345" t="s">
        <v>1060</v>
      </c>
      <c r="P3826" s="392"/>
      <c r="Q3826" s="441">
        <v>10.64</v>
      </c>
      <c r="R3826" s="441"/>
      <c r="S3826" s="351"/>
      <c r="T3826" s="351"/>
      <c r="U3826" s="329" t="str">
        <f>IF($N3826=$N$4,IFERROR(INDEX(DanhMuc!$E$154:$E$165,MATCH(MID($B3826,4,2),DanhMuc!$B$154:$B$165,0)),""),"")</f>
        <v/>
      </c>
      <c r="V3826" s="361"/>
      <c r="W3826" s="345"/>
      <c r="X3826" s="329" t="str">
        <f t="shared" si="341"/>
        <v>RT</v>
      </c>
      <c r="Y3826" s="1128" t="s">
        <v>3380</v>
      </c>
      <c r="Z3826" s="1128" t="s">
        <v>3381</v>
      </c>
      <c r="AA3826" s="1128" t="s">
        <v>3384</v>
      </c>
      <c r="AB3826" s="20"/>
      <c r="AC3826" s="73"/>
    </row>
    <row r="3827" spans="1:29">
      <c r="A3827" s="327" t="str">
        <f>IF(AND($B3827&lt;&gt;"",$C3827&lt;&gt;""),MAX($A$1556:A3802)+1,"")</f>
        <v/>
      </c>
      <c r="B3827" s="361" t="s">
        <v>2028</v>
      </c>
      <c r="C3827" s="360"/>
      <c r="D3827" s="327">
        <f>IF($B3827="","",COUNTIF($B$6:$B3827,$B3827))</f>
        <v>5</v>
      </c>
      <c r="E3827" s="361">
        <v>775375</v>
      </c>
      <c r="F3827" s="362" t="s">
        <v>1380</v>
      </c>
      <c r="G3827" s="327" t="s">
        <v>155</v>
      </c>
      <c r="H3827" s="361"/>
      <c r="I3827" s="327">
        <v>1</v>
      </c>
      <c r="J3827" s="345"/>
      <c r="K3827" s="327"/>
      <c r="L3827" s="389">
        <f t="shared" si="343"/>
        <v>433101.2</v>
      </c>
      <c r="M3827" s="371"/>
      <c r="N3827" s="355" t="str">
        <f t="shared" si="342"/>
        <v>PK</v>
      </c>
      <c r="O3827" s="345" t="s">
        <v>2699</v>
      </c>
      <c r="P3827" s="392"/>
      <c r="Q3827" s="441">
        <v>18.62</v>
      </c>
      <c r="R3827" s="441"/>
      <c r="S3827" s="351"/>
      <c r="T3827" s="351"/>
      <c r="U3827" s="329" t="str">
        <f>IF($N3827=$N$4,IFERROR(INDEX(DanhMuc!$E$154:$E$165,MATCH(MID($B3827,4,2),DanhMuc!$B$154:$B$165,0)),""),"")</f>
        <v/>
      </c>
      <c r="V3827" s="361"/>
      <c r="W3827" s="345"/>
      <c r="X3827" s="329" t="str">
        <f t="shared" si="341"/>
        <v>RT</v>
      </c>
      <c r="Y3827" s="1128" t="s">
        <v>3380</v>
      </c>
      <c r="Z3827" s="1128" t="s">
        <v>3381</v>
      </c>
      <c r="AA3827" s="1128" t="s">
        <v>3384</v>
      </c>
      <c r="AB3827" s="20"/>
      <c r="AC3827" s="73"/>
    </row>
    <row r="3828" spans="1:29">
      <c r="A3828" s="327" t="str">
        <f>IF(AND($B3828&lt;&gt;"",$C3828&lt;&gt;""),MAX($A$1556:A3803)+1,"")</f>
        <v/>
      </c>
      <c r="B3828" s="361" t="s">
        <v>2028</v>
      </c>
      <c r="C3828" s="360"/>
      <c r="D3828" s="327">
        <f>IF($B3828="","",COUNTIF($B$6:$B3828,$B3828))</f>
        <v>6</v>
      </c>
      <c r="E3828" s="361">
        <v>492522</v>
      </c>
      <c r="F3828" s="362" t="s">
        <v>1381</v>
      </c>
      <c r="G3828" s="327" t="s">
        <v>344</v>
      </c>
      <c r="H3828" s="361"/>
      <c r="I3828" s="327">
        <v>6</v>
      </c>
      <c r="J3828" s="345"/>
      <c r="K3828" s="327"/>
      <c r="L3828" s="389">
        <f t="shared" si="343"/>
        <v>433101.2</v>
      </c>
      <c r="M3828" s="371"/>
      <c r="N3828" s="355" t="str">
        <f t="shared" si="342"/>
        <v>PK</v>
      </c>
      <c r="O3828" s="345" t="s">
        <v>1362</v>
      </c>
      <c r="P3828" s="392"/>
      <c r="Q3828" s="441">
        <v>18.62</v>
      </c>
      <c r="R3828" s="441"/>
      <c r="S3828" s="351"/>
      <c r="T3828" s="351"/>
      <c r="U3828" s="329" t="str">
        <f>IF($N3828=$N$4,IFERROR(INDEX(DanhMuc!$E$154:$E$165,MATCH(MID($B3828,4,2),DanhMuc!$B$154:$B$165,0)),""),"")</f>
        <v/>
      </c>
      <c r="V3828" s="361"/>
      <c r="W3828" s="345"/>
      <c r="X3828" s="329" t="str">
        <f t="shared" si="341"/>
        <v>RT</v>
      </c>
      <c r="Y3828" s="1128" t="s">
        <v>3380</v>
      </c>
      <c r="Z3828" s="1128" t="s">
        <v>3381</v>
      </c>
      <c r="AA3828" s="1128" t="s">
        <v>3384</v>
      </c>
      <c r="AB3828" s="20"/>
      <c r="AC3828" s="73"/>
    </row>
    <row r="3829" spans="1:29">
      <c r="A3829" s="327" t="str">
        <f>IF(AND($B3829&lt;&gt;"",$C3829&lt;&gt;""),MAX($A$1556:A3804)+1,"")</f>
        <v/>
      </c>
      <c r="B3829" s="361" t="s">
        <v>2028</v>
      </c>
      <c r="C3829" s="360"/>
      <c r="D3829" s="327">
        <f>IF($B3829="","",COUNTIF($B$6:$B3829,$B3829))</f>
        <v>7</v>
      </c>
      <c r="E3829" s="361">
        <v>492575</v>
      </c>
      <c r="F3829" s="431" t="s">
        <v>1382</v>
      </c>
      <c r="G3829" s="327" t="s">
        <v>344</v>
      </c>
      <c r="H3829" s="361"/>
      <c r="I3829" s="327">
        <v>6</v>
      </c>
      <c r="J3829" s="345"/>
      <c r="K3829" s="327"/>
      <c r="L3829" s="389">
        <f t="shared" si="343"/>
        <v>510557</v>
      </c>
      <c r="M3829" s="371"/>
      <c r="N3829" s="355" t="str">
        <f t="shared" si="342"/>
        <v>PK</v>
      </c>
      <c r="O3829" s="345" t="s">
        <v>441</v>
      </c>
      <c r="P3829" s="392"/>
      <c r="Q3829" s="441">
        <v>21.95</v>
      </c>
      <c r="R3829" s="441"/>
      <c r="S3829" s="351"/>
      <c r="T3829" s="351"/>
      <c r="U3829" s="329" t="str">
        <f>IF($N3829=$N$4,IFERROR(INDEX(DanhMuc!$E$154:$E$165,MATCH(MID($B3829,4,2),DanhMuc!$B$154:$B$165,0)),""),"")</f>
        <v/>
      </c>
      <c r="V3829" s="361"/>
      <c r="W3829" s="345"/>
      <c r="X3829" s="329" t="str">
        <f t="shared" si="341"/>
        <v>RT</v>
      </c>
      <c r="Y3829" s="1128" t="s">
        <v>3380</v>
      </c>
      <c r="Z3829" s="1128" t="s">
        <v>3381</v>
      </c>
      <c r="AA3829" s="1128" t="s">
        <v>3384</v>
      </c>
      <c r="AB3829" s="20"/>
      <c r="AC3829" s="73"/>
    </row>
    <row r="3830" spans="1:29" ht="25">
      <c r="A3830" s="327" t="str">
        <f>IF(AND($B3830&lt;&gt;"",$C3830&lt;&gt;""),MAX($A$1556:A3805)+1,"")</f>
        <v/>
      </c>
      <c r="B3830" s="361" t="s">
        <v>2028</v>
      </c>
      <c r="C3830" s="360"/>
      <c r="D3830" s="327">
        <f>IF($B3830="","",COUNTIF($B$6:$B3830,$B3830))</f>
        <v>8</v>
      </c>
      <c r="E3830" s="411">
        <v>630955</v>
      </c>
      <c r="F3830" s="432" t="s">
        <v>1385</v>
      </c>
      <c r="G3830" s="410" t="s">
        <v>156</v>
      </c>
      <c r="H3830" s="402"/>
      <c r="I3830" s="327">
        <v>1</v>
      </c>
      <c r="J3830" s="345"/>
      <c r="K3830" s="327"/>
      <c r="L3830" s="389">
        <f t="shared" si="343"/>
        <v>114904.40000000001</v>
      </c>
      <c r="M3830" s="371"/>
      <c r="N3830" s="355" t="str">
        <f t="shared" si="342"/>
        <v>PK</v>
      </c>
      <c r="O3830" s="404" t="s">
        <v>1623</v>
      </c>
      <c r="P3830" s="392"/>
      <c r="Q3830" s="441">
        <v>4.9400000000000004</v>
      </c>
      <c r="R3830" s="441"/>
      <c r="S3830" s="351"/>
      <c r="T3830" s="351"/>
      <c r="U3830" s="329" t="str">
        <f>IF($N3830=$N$4,IFERROR(INDEX(DanhMuc!$E$154:$E$165,MATCH(MID($B3830,4,2),DanhMuc!$B$154:$B$165,0)),""),"")</f>
        <v/>
      </c>
      <c r="V3830" s="361"/>
      <c r="W3830" s="345"/>
      <c r="X3830" s="329" t="str">
        <f t="shared" si="341"/>
        <v>RT</v>
      </c>
      <c r="Y3830" s="1128" t="s">
        <v>3380</v>
      </c>
      <c r="Z3830" s="1128" t="s">
        <v>3381</v>
      </c>
      <c r="AA3830" s="1128" t="s">
        <v>3384</v>
      </c>
      <c r="AB3830" s="20"/>
      <c r="AC3830" s="73"/>
    </row>
    <row r="3831" spans="1:29" ht="25">
      <c r="A3831" s="327" t="str">
        <f>IF(AND($B3831&lt;&gt;"",$C3831&lt;&gt;""),MAX($A$1556:A3806)+1,"")</f>
        <v/>
      </c>
      <c r="B3831" s="361" t="s">
        <v>2028</v>
      </c>
      <c r="C3831" s="360"/>
      <c r="D3831" s="327">
        <f>IF($B3831="","",COUNTIF($B$6:$B3831,$B3831))</f>
        <v>9</v>
      </c>
      <c r="E3831" s="411">
        <v>630957</v>
      </c>
      <c r="F3831" s="432" t="s">
        <v>1386</v>
      </c>
      <c r="G3831" s="410" t="s">
        <v>156</v>
      </c>
      <c r="H3831" s="402"/>
      <c r="I3831" s="327">
        <v>1</v>
      </c>
      <c r="J3831" s="345"/>
      <c r="K3831" s="327"/>
      <c r="L3831" s="389">
        <f t="shared" si="343"/>
        <v>154911.6</v>
      </c>
      <c r="M3831" s="371"/>
      <c r="N3831" s="355" t="str">
        <f t="shared" si="342"/>
        <v>PK</v>
      </c>
      <c r="O3831" s="404" t="s">
        <v>1623</v>
      </c>
      <c r="P3831" s="392"/>
      <c r="Q3831" s="441">
        <v>6.66</v>
      </c>
      <c r="R3831" s="441"/>
      <c r="S3831" s="351"/>
      <c r="T3831" s="351"/>
      <c r="U3831" s="329" t="str">
        <f>IF($N3831=$N$4,IFERROR(INDEX(DanhMuc!$E$154:$E$165,MATCH(MID($B3831,4,2),DanhMuc!$B$154:$B$165,0)),""),"")</f>
        <v/>
      </c>
      <c r="V3831" s="361"/>
      <c r="W3831" s="345"/>
      <c r="X3831" s="329" t="str">
        <f t="shared" si="341"/>
        <v>RT</v>
      </c>
      <c r="Y3831" s="1128" t="s">
        <v>3380</v>
      </c>
      <c r="Z3831" s="1128" t="s">
        <v>3381</v>
      </c>
      <c r="AA3831" s="1128" t="s">
        <v>3384</v>
      </c>
      <c r="AB3831" s="20"/>
      <c r="AC3831" s="73"/>
    </row>
    <row r="3832" spans="1:29">
      <c r="A3832" s="327" t="str">
        <f>IF(AND($B3832&lt;&gt;"",$C3832&lt;&gt;""),MAX($A$1556:A3807)+1,"")</f>
        <v/>
      </c>
      <c r="B3832" s="361" t="s">
        <v>2028</v>
      </c>
      <c r="C3832" s="360"/>
      <c r="D3832" s="327">
        <f>IF($B3832="","",COUNTIF($B$6:$B3832,$B3832))</f>
        <v>10</v>
      </c>
      <c r="E3832" s="430">
        <v>633302</v>
      </c>
      <c r="F3832" s="431" t="s">
        <v>1388</v>
      </c>
      <c r="G3832" s="327" t="s">
        <v>156</v>
      </c>
      <c r="H3832" s="361"/>
      <c r="I3832" s="327">
        <v>1</v>
      </c>
      <c r="J3832" s="345"/>
      <c r="K3832" s="327"/>
      <c r="L3832" s="389">
        <f t="shared" si="343"/>
        <v>665236</v>
      </c>
      <c r="M3832" s="371"/>
      <c r="N3832" s="355" t="str">
        <f t="shared" si="342"/>
        <v>PK</v>
      </c>
      <c r="O3832" s="404" t="s">
        <v>1623</v>
      </c>
      <c r="P3832" s="392"/>
      <c r="Q3832" s="441">
        <v>28.6</v>
      </c>
      <c r="R3832" s="441"/>
      <c r="S3832" s="351"/>
      <c r="T3832" s="351"/>
      <c r="U3832" s="329" t="str">
        <f>IF($N3832=$N$4,IFERROR(INDEX(DanhMuc!$E$154:$E$165,MATCH(MID($B3832,4,2),DanhMuc!$B$154:$B$165,0)),""),"")</f>
        <v/>
      </c>
      <c r="V3832" s="361"/>
      <c r="W3832" s="345"/>
      <c r="X3832" s="329" t="str">
        <f t="shared" si="341"/>
        <v>RT</v>
      </c>
      <c r="Y3832" s="1128" t="s">
        <v>3380</v>
      </c>
      <c r="Z3832" s="1128" t="s">
        <v>3381</v>
      </c>
      <c r="AA3832" s="1128" t="s">
        <v>3384</v>
      </c>
      <c r="AB3832" s="20"/>
      <c r="AC3832" s="73"/>
    </row>
    <row r="3833" spans="1:29">
      <c r="A3833" s="327" t="str">
        <f>IF(AND($B3833&lt;&gt;"",$C3833&lt;&gt;""),MAX($A$1556:A3808)+1,"")</f>
        <v/>
      </c>
      <c r="B3833" s="361" t="s">
        <v>2028</v>
      </c>
      <c r="C3833" s="360"/>
      <c r="D3833" s="327">
        <f>IF($B3833="","",COUNTIF($B$6:$B3833,$B3833))</f>
        <v>11</v>
      </c>
      <c r="E3833" s="430">
        <v>641810</v>
      </c>
      <c r="F3833" s="431" t="s">
        <v>1389</v>
      </c>
      <c r="G3833" s="327" t="s">
        <v>156</v>
      </c>
      <c r="H3833" s="361"/>
      <c r="I3833" s="327">
        <v>1</v>
      </c>
      <c r="J3833" s="345"/>
      <c r="K3833" s="327"/>
      <c r="L3833" s="389">
        <f t="shared" si="343"/>
        <v>71640.800000000003</v>
      </c>
      <c r="M3833" s="371"/>
      <c r="N3833" s="355" t="str">
        <f t="shared" si="342"/>
        <v>PK</v>
      </c>
      <c r="O3833" s="345"/>
      <c r="P3833" s="392"/>
      <c r="Q3833" s="441">
        <v>3.08</v>
      </c>
      <c r="R3833" s="441"/>
      <c r="S3833" s="351"/>
      <c r="T3833" s="351"/>
      <c r="U3833" s="329" t="str">
        <f>IF($N3833=$N$4,IFERROR(INDEX(DanhMuc!$E$154:$E$165,MATCH(MID($B3833,4,2),DanhMuc!$B$154:$B$165,0)),""),"")</f>
        <v/>
      </c>
      <c r="V3833" s="361"/>
      <c r="W3833" s="345"/>
      <c r="X3833" s="329" t="str">
        <f t="shared" si="341"/>
        <v>RT</v>
      </c>
      <c r="Y3833" s="1128" t="s">
        <v>3380</v>
      </c>
      <c r="Z3833" s="1128" t="s">
        <v>3381</v>
      </c>
      <c r="AA3833" s="1128" t="s">
        <v>3384</v>
      </c>
      <c r="AB3833" s="20"/>
      <c r="AC3833" s="73"/>
    </row>
    <row r="3834" spans="1:29">
      <c r="A3834" s="327" t="str">
        <f>IF(AND($B3834&lt;&gt;"",$C3834&lt;&gt;""),MAX($A$1556:A3809)+1,"")</f>
        <v/>
      </c>
      <c r="B3834" s="361" t="s">
        <v>2028</v>
      </c>
      <c r="C3834" s="360"/>
      <c r="D3834" s="327">
        <f>IF($B3834="","",COUNTIF($B$6:$B3834,$B3834))</f>
        <v>12</v>
      </c>
      <c r="E3834" s="430">
        <v>349187</v>
      </c>
      <c r="F3834" s="362" t="s">
        <v>1390</v>
      </c>
      <c r="G3834" s="327" t="s">
        <v>155</v>
      </c>
      <c r="H3834" s="361"/>
      <c r="I3834" s="327">
        <v>2</v>
      </c>
      <c r="J3834" s="345"/>
      <c r="K3834" s="327"/>
      <c r="L3834" s="389">
        <f t="shared" si="343"/>
        <v>145840.19999999998</v>
      </c>
      <c r="M3834" s="371"/>
      <c r="N3834" s="355" t="str">
        <f t="shared" si="342"/>
        <v>PK</v>
      </c>
      <c r="O3834" s="345"/>
      <c r="P3834" s="392"/>
      <c r="Q3834" s="441">
        <v>6.27</v>
      </c>
      <c r="R3834" s="441"/>
      <c r="S3834" s="351"/>
      <c r="T3834" s="351"/>
      <c r="U3834" s="329" t="str">
        <f>IF($N3834=$N$4,IFERROR(INDEX(DanhMuc!$E$154:$E$165,MATCH(MID($B3834,4,2),DanhMuc!$B$154:$B$165,0)),""),"")</f>
        <v/>
      </c>
      <c r="V3834" s="361"/>
      <c r="W3834" s="345"/>
      <c r="X3834" s="329" t="str">
        <f t="shared" si="341"/>
        <v>RT</v>
      </c>
      <c r="Y3834" s="1128" t="s">
        <v>3380</v>
      </c>
      <c r="Z3834" s="1128" t="s">
        <v>3381</v>
      </c>
      <c r="AA3834" s="1128" t="s">
        <v>3384</v>
      </c>
      <c r="AB3834" s="20"/>
      <c r="AC3834" s="73"/>
    </row>
    <row r="3835" spans="1:29">
      <c r="A3835" s="327" t="str">
        <f>IF(AND($B3835&lt;&gt;"",$C3835&lt;&gt;""),MAX($A$1556:A3810)+1,"")</f>
        <v/>
      </c>
      <c r="B3835" s="361" t="s">
        <v>2028</v>
      </c>
      <c r="C3835" s="360"/>
      <c r="D3835" s="327">
        <f>IF($B3835="","",COUNTIF($B$6:$B3835,$B3835))</f>
        <v>13</v>
      </c>
      <c r="E3835" s="430">
        <v>260434</v>
      </c>
      <c r="F3835" s="431" t="s">
        <v>1391</v>
      </c>
      <c r="G3835" s="327" t="s">
        <v>155</v>
      </c>
      <c r="H3835" s="361"/>
      <c r="I3835" s="327">
        <v>1</v>
      </c>
      <c r="J3835" s="345"/>
      <c r="K3835" s="327"/>
      <c r="L3835" s="389">
        <f t="shared" si="343"/>
        <v>31168.400000000001</v>
      </c>
      <c r="M3835" s="371"/>
      <c r="N3835" s="355" t="str">
        <f t="shared" si="342"/>
        <v>PK</v>
      </c>
      <c r="O3835" s="345"/>
      <c r="P3835" s="392"/>
      <c r="Q3835" s="441">
        <v>1.34</v>
      </c>
      <c r="R3835" s="441"/>
      <c r="S3835" s="351"/>
      <c r="T3835" s="351"/>
      <c r="U3835" s="329" t="str">
        <f>IF($N3835=$N$4,IFERROR(INDEX(DanhMuc!$E$154:$E$165,MATCH(MID($B3835,4,2),DanhMuc!$B$154:$B$165,0)),""),"")</f>
        <v/>
      </c>
      <c r="V3835" s="361"/>
      <c r="W3835" s="345"/>
      <c r="X3835" s="329" t="str">
        <f t="shared" si="341"/>
        <v>RT</v>
      </c>
      <c r="Y3835" s="1128" t="s">
        <v>3380</v>
      </c>
      <c r="Z3835" s="1128" t="s">
        <v>3381</v>
      </c>
      <c r="AA3835" s="1128" t="s">
        <v>3384</v>
      </c>
      <c r="AB3835" s="20"/>
      <c r="AC3835" s="73"/>
    </row>
    <row r="3836" spans="1:29">
      <c r="A3836" s="327" t="str">
        <f>IF(AND($B3836&lt;&gt;"",$C3836&lt;&gt;""),MAX($A$1556:A3811)+1,"")</f>
        <v/>
      </c>
      <c r="B3836" s="361" t="s">
        <v>2028</v>
      </c>
      <c r="C3836" s="360"/>
      <c r="D3836" s="327">
        <f>IF($B3836="","",COUNTIF($B$6:$B3836,$B3836))</f>
        <v>14</v>
      </c>
      <c r="E3836" s="430">
        <v>339395</v>
      </c>
      <c r="F3836" s="431" t="s">
        <v>1392</v>
      </c>
      <c r="G3836" s="351" t="s">
        <v>155</v>
      </c>
      <c r="H3836" s="361"/>
      <c r="I3836" s="327">
        <v>4</v>
      </c>
      <c r="J3836" s="345"/>
      <c r="K3836" s="327"/>
      <c r="L3836" s="389">
        <f t="shared" si="343"/>
        <v>37216</v>
      </c>
      <c r="M3836" s="371"/>
      <c r="N3836" s="355" t="str">
        <f t="shared" si="342"/>
        <v>PK</v>
      </c>
      <c r="O3836" s="404" t="s">
        <v>1623</v>
      </c>
      <c r="P3836" s="392"/>
      <c r="Q3836" s="441">
        <v>1.6</v>
      </c>
      <c r="R3836" s="441"/>
      <c r="S3836" s="351"/>
      <c r="T3836" s="351"/>
      <c r="U3836" s="329" t="str">
        <f>IF($N3836=$N$4,IFERROR(INDEX(DanhMuc!$E$154:$E$165,MATCH(MID($B3836,4,2),DanhMuc!$B$154:$B$165,0)),""),"")</f>
        <v/>
      </c>
      <c r="V3836" s="361"/>
      <c r="W3836" s="345"/>
      <c r="X3836" s="329" t="str">
        <f t="shared" si="341"/>
        <v>RT</v>
      </c>
      <c r="Y3836" s="1128" t="s">
        <v>3380</v>
      </c>
      <c r="Z3836" s="1128" t="s">
        <v>3381</v>
      </c>
      <c r="AA3836" s="1128" t="s">
        <v>3384</v>
      </c>
      <c r="AB3836" s="20"/>
      <c r="AC3836" s="73"/>
    </row>
    <row r="3837" spans="1:29">
      <c r="A3837" s="327" t="str">
        <f>IF(AND($B3837&lt;&gt;"",$C3837&lt;&gt;""),MAX($A$1556:A3812)+1,"")</f>
        <v/>
      </c>
      <c r="B3837" s="361" t="s">
        <v>2028</v>
      </c>
      <c r="C3837" s="360"/>
      <c r="D3837" s="327">
        <f>IF($B3837="","",COUNTIF($B$6:$B3837,$B3837))</f>
        <v>15</v>
      </c>
      <c r="E3837" s="430">
        <v>229107</v>
      </c>
      <c r="F3837" s="431" t="s">
        <v>1456</v>
      </c>
      <c r="G3837" s="351" t="s">
        <v>155</v>
      </c>
      <c r="H3837" s="361"/>
      <c r="I3837" s="327">
        <v>1</v>
      </c>
      <c r="J3837" s="345"/>
      <c r="K3837" s="327"/>
      <c r="L3837" s="389">
        <v>23600</v>
      </c>
      <c r="M3837" s="371"/>
      <c r="N3837" s="355" t="str">
        <f t="shared" si="342"/>
        <v>PK</v>
      </c>
      <c r="O3837" s="345"/>
      <c r="P3837" s="392"/>
      <c r="Q3837" s="441"/>
      <c r="R3837" s="441"/>
      <c r="S3837" s="351"/>
      <c r="T3837" s="351"/>
      <c r="U3837" s="329" t="str">
        <f>IF($N3837=$N$4,IFERROR(INDEX(DanhMuc!$E$154:$E$165,MATCH(MID($B3837,4,2),DanhMuc!$B$154:$B$165,0)),""),"")</f>
        <v/>
      </c>
      <c r="V3837" s="361"/>
      <c r="W3837" s="345"/>
      <c r="X3837" s="329" t="str">
        <f t="shared" si="341"/>
        <v>RT</v>
      </c>
      <c r="Y3837" s="1128" t="s">
        <v>3380</v>
      </c>
      <c r="Z3837" s="1128" t="s">
        <v>3381</v>
      </c>
      <c r="AA3837" s="1128" t="s">
        <v>3384</v>
      </c>
      <c r="AB3837" s="20"/>
      <c r="AC3837" s="73"/>
    </row>
    <row r="3838" spans="1:29">
      <c r="A3838" s="327" t="str">
        <f>IF(AND($B3838&lt;&gt;"",$C3838&lt;&gt;""),MAX($A$1556:A3813)+1,"")</f>
        <v/>
      </c>
      <c r="B3838" s="361" t="s">
        <v>2028</v>
      </c>
      <c r="C3838" s="360"/>
      <c r="D3838" s="327">
        <f>IF($B3838="","",COUNTIF($B$6:$B3838,$B3838))</f>
        <v>16</v>
      </c>
      <c r="E3838" s="430">
        <v>229117</v>
      </c>
      <c r="F3838" s="431" t="s">
        <v>1457</v>
      </c>
      <c r="G3838" s="351" t="s">
        <v>155</v>
      </c>
      <c r="H3838" s="361"/>
      <c r="I3838" s="327">
        <v>1</v>
      </c>
      <c r="J3838" s="345"/>
      <c r="K3838" s="327"/>
      <c r="L3838" s="389">
        <v>23600</v>
      </c>
      <c r="M3838" s="371"/>
      <c r="N3838" s="355" t="str">
        <f t="shared" si="342"/>
        <v>PK</v>
      </c>
      <c r="O3838" s="345"/>
      <c r="P3838" s="392"/>
      <c r="Q3838" s="441"/>
      <c r="R3838" s="441"/>
      <c r="S3838" s="351"/>
      <c r="T3838" s="351"/>
      <c r="U3838" s="329" t="str">
        <f>IF($N3838=$N$4,IFERROR(INDEX(DanhMuc!$E$154:$E$165,MATCH(MID($B3838,4,2),DanhMuc!$B$154:$B$165,0)),""),"")</f>
        <v/>
      </c>
      <c r="V3838" s="361"/>
      <c r="W3838" s="345"/>
      <c r="X3838" s="329" t="str">
        <f t="shared" si="341"/>
        <v>RT</v>
      </c>
      <c r="Y3838" s="1128" t="s">
        <v>3380</v>
      </c>
      <c r="Z3838" s="1128" t="s">
        <v>3381</v>
      </c>
      <c r="AA3838" s="1128" t="s">
        <v>3384</v>
      </c>
      <c r="AB3838" s="20"/>
      <c r="AC3838" s="73"/>
    </row>
    <row r="3839" spans="1:29" ht="26">
      <c r="A3839" s="327">
        <f>IF(AND($B3839&lt;&gt;"",$C3839&lt;&gt;""),MAX($A$1556:A3814)+1,"")</f>
        <v>185</v>
      </c>
      <c r="B3839" s="359" t="s">
        <v>2029</v>
      </c>
      <c r="C3839" s="370" t="s">
        <v>1957</v>
      </c>
      <c r="D3839" s="327">
        <f>IF($B3839="","",COUNTIF($B$6:$B3839,$B3839))</f>
        <v>1</v>
      </c>
      <c r="E3839" s="430">
        <v>630963</v>
      </c>
      <c r="F3839" s="362" t="s">
        <v>1376</v>
      </c>
      <c r="G3839" s="327" t="s">
        <v>344</v>
      </c>
      <c r="H3839" s="361"/>
      <c r="I3839" s="327">
        <v>1</v>
      </c>
      <c r="J3839" s="361"/>
      <c r="K3839" s="327"/>
      <c r="L3839" s="389">
        <f t="shared" si="343"/>
        <v>866202.4</v>
      </c>
      <c r="M3839" s="371"/>
      <c r="N3839" s="355" t="str">
        <f t="shared" si="342"/>
        <v>PK</v>
      </c>
      <c r="O3839" s="404" t="s">
        <v>1623</v>
      </c>
      <c r="P3839" s="392"/>
      <c r="Q3839" s="441">
        <v>37.24</v>
      </c>
      <c r="R3839" s="441"/>
      <c r="S3839" s="351"/>
      <c r="T3839" s="351"/>
      <c r="U3839" s="329" t="str">
        <f>IF($N3839=$N$4,IFERROR(INDEX(DanhMuc!$E$154:$E$165,MATCH(MID($B3839,4,2),DanhMuc!$B$154:$B$165,0)),""),"")</f>
        <v/>
      </c>
      <c r="V3839" s="361"/>
      <c r="W3839" s="345"/>
      <c r="X3839" s="329" t="str">
        <f t="shared" si="341"/>
        <v>RT</v>
      </c>
      <c r="Y3839" s="1128" t="s">
        <v>3380</v>
      </c>
      <c r="Z3839" s="1128" t="s">
        <v>3381</v>
      </c>
      <c r="AA3839" s="1128" t="s">
        <v>3384</v>
      </c>
      <c r="AB3839" s="20"/>
      <c r="AC3839" s="73"/>
    </row>
    <row r="3840" spans="1:29">
      <c r="A3840" s="327" t="str">
        <f>IF(AND($B3840&lt;&gt;"",$C3840&lt;&gt;""),MAX($A$1556:A3815)+1,"")</f>
        <v/>
      </c>
      <c r="B3840" s="361" t="s">
        <v>2029</v>
      </c>
      <c r="C3840" s="360"/>
      <c r="D3840" s="327">
        <f>IF($B3840="","",COUNTIF($B$6:$B3840,$B3840))</f>
        <v>2</v>
      </c>
      <c r="E3840" s="430">
        <v>449873</v>
      </c>
      <c r="F3840" s="362" t="s">
        <v>1377</v>
      </c>
      <c r="G3840" s="327" t="s">
        <v>344</v>
      </c>
      <c r="H3840" s="361"/>
      <c r="I3840" s="327">
        <v>1</v>
      </c>
      <c r="J3840" s="361"/>
      <c r="K3840" s="327"/>
      <c r="L3840" s="389">
        <f t="shared" si="343"/>
        <v>494972.80000000005</v>
      </c>
      <c r="M3840" s="371"/>
      <c r="N3840" s="355" t="str">
        <f t="shared" si="342"/>
        <v>PK</v>
      </c>
      <c r="O3840" s="404" t="s">
        <v>1626</v>
      </c>
      <c r="P3840" s="392"/>
      <c r="Q3840" s="441">
        <v>21.28</v>
      </c>
      <c r="R3840" s="441"/>
      <c r="S3840" s="351"/>
      <c r="T3840" s="351"/>
      <c r="U3840" s="329" t="str">
        <f>IF($N3840=$N$4,IFERROR(INDEX(DanhMuc!$E$154:$E$165,MATCH(MID($B3840,4,2),DanhMuc!$B$154:$B$165,0)),""),"")</f>
        <v/>
      </c>
      <c r="V3840" s="361"/>
      <c r="W3840" s="345"/>
      <c r="X3840" s="329" t="str">
        <f t="shared" si="341"/>
        <v>RT</v>
      </c>
      <c r="Y3840" s="1128" t="s">
        <v>3380</v>
      </c>
      <c r="Z3840" s="1128" t="s">
        <v>3381</v>
      </c>
      <c r="AA3840" s="1128" t="s">
        <v>3384</v>
      </c>
      <c r="AB3840" s="20"/>
      <c r="AC3840" s="73"/>
    </row>
    <row r="3841" spans="1:29">
      <c r="A3841" s="327" t="str">
        <f>IF(AND($B3841&lt;&gt;"",$C3841&lt;&gt;""),MAX($A$1556:A3816)+1,"")</f>
        <v/>
      </c>
      <c r="B3841" s="361" t="s">
        <v>2029</v>
      </c>
      <c r="C3841" s="360"/>
      <c r="D3841" s="327">
        <f>IF($B3841="","",COUNTIF($B$6:$B3841,$B3841))</f>
        <v>3</v>
      </c>
      <c r="E3841" s="361">
        <v>570669</v>
      </c>
      <c r="F3841" s="362" t="s">
        <v>1378</v>
      </c>
      <c r="G3841" s="327" t="s">
        <v>344</v>
      </c>
      <c r="H3841" s="361"/>
      <c r="I3841" s="327">
        <v>1</v>
      </c>
      <c r="J3841" s="345"/>
      <c r="K3841" s="327"/>
      <c r="L3841" s="389">
        <f t="shared" si="343"/>
        <v>525908.6</v>
      </c>
      <c r="M3841" s="371"/>
      <c r="N3841" s="355" t="str">
        <f t="shared" si="342"/>
        <v>PK</v>
      </c>
      <c r="O3841" s="345"/>
      <c r="P3841" s="392"/>
      <c r="Q3841" s="441">
        <v>22.61</v>
      </c>
      <c r="R3841" s="441"/>
      <c r="S3841" s="351"/>
      <c r="T3841" s="351"/>
      <c r="U3841" s="329" t="str">
        <f>IF($N3841=$N$4,IFERROR(INDEX(DanhMuc!$E$154:$E$165,MATCH(MID($B3841,4,2),DanhMuc!$B$154:$B$165,0)),""),"")</f>
        <v/>
      </c>
      <c r="V3841" s="361"/>
      <c r="W3841" s="345"/>
      <c r="X3841" s="329" t="str">
        <f t="shared" si="341"/>
        <v>RT</v>
      </c>
      <c r="Y3841" s="1128" t="s">
        <v>3380</v>
      </c>
      <c r="Z3841" s="1128" t="s">
        <v>3381</v>
      </c>
      <c r="AA3841" s="1128" t="s">
        <v>3384</v>
      </c>
      <c r="AB3841" s="20"/>
      <c r="AC3841" s="73"/>
    </row>
    <row r="3842" spans="1:29">
      <c r="A3842" s="327" t="str">
        <f>IF(AND($B3842&lt;&gt;"",$C3842&lt;&gt;""),MAX($A$1556:A3817)+1,"")</f>
        <v/>
      </c>
      <c r="B3842" s="361" t="s">
        <v>2029</v>
      </c>
      <c r="C3842" s="360"/>
      <c r="D3842" s="327">
        <f>IF($B3842="","",COUNTIF($B$6:$B3842,$B3842))</f>
        <v>4</v>
      </c>
      <c r="E3842" s="361">
        <v>775376</v>
      </c>
      <c r="F3842" s="362" t="s">
        <v>1379</v>
      </c>
      <c r="G3842" s="327" t="s">
        <v>155</v>
      </c>
      <c r="H3842" s="361"/>
      <c r="I3842" s="327">
        <v>1</v>
      </c>
      <c r="J3842" s="345"/>
      <c r="K3842" s="327"/>
      <c r="L3842" s="389">
        <f t="shared" si="343"/>
        <v>247486.40000000002</v>
      </c>
      <c r="M3842" s="371"/>
      <c r="N3842" s="355" t="str">
        <f t="shared" si="342"/>
        <v>PK</v>
      </c>
      <c r="O3842" s="345" t="s">
        <v>1060</v>
      </c>
      <c r="P3842" s="392"/>
      <c r="Q3842" s="441">
        <v>10.64</v>
      </c>
      <c r="R3842" s="441"/>
      <c r="S3842" s="351"/>
      <c r="T3842" s="351"/>
      <c r="U3842" s="329" t="str">
        <f>IF($N3842=$N$4,IFERROR(INDEX(DanhMuc!$E$154:$E$165,MATCH(MID($B3842,4,2),DanhMuc!$B$154:$B$165,0)),""),"")</f>
        <v/>
      </c>
      <c r="V3842" s="361"/>
      <c r="W3842" s="345"/>
      <c r="X3842" s="329" t="str">
        <f t="shared" si="341"/>
        <v>RT</v>
      </c>
      <c r="Y3842" s="1128" t="s">
        <v>3380</v>
      </c>
      <c r="Z3842" s="1128" t="s">
        <v>3381</v>
      </c>
      <c r="AA3842" s="1128" t="s">
        <v>3384</v>
      </c>
      <c r="AB3842" s="20"/>
      <c r="AC3842" s="73"/>
    </row>
    <row r="3843" spans="1:29">
      <c r="A3843" s="327" t="str">
        <f>IF(AND($B3843&lt;&gt;"",$C3843&lt;&gt;""),MAX($A$1556:A3818)+1,"")</f>
        <v/>
      </c>
      <c r="B3843" s="361" t="s">
        <v>2029</v>
      </c>
      <c r="C3843" s="360"/>
      <c r="D3843" s="327">
        <f>IF($B3843="","",COUNTIF($B$6:$B3843,$B3843))</f>
        <v>5</v>
      </c>
      <c r="E3843" s="361">
        <v>775375</v>
      </c>
      <c r="F3843" s="362" t="s">
        <v>1380</v>
      </c>
      <c r="G3843" s="327" t="s">
        <v>155</v>
      </c>
      <c r="H3843" s="361"/>
      <c r="I3843" s="327">
        <v>1</v>
      </c>
      <c r="J3843" s="345"/>
      <c r="K3843" s="327"/>
      <c r="L3843" s="389">
        <f t="shared" si="343"/>
        <v>433101.2</v>
      </c>
      <c r="M3843" s="371"/>
      <c r="N3843" s="355" t="str">
        <f t="shared" si="342"/>
        <v>PK</v>
      </c>
      <c r="O3843" s="345" t="s">
        <v>2699</v>
      </c>
      <c r="P3843" s="392"/>
      <c r="Q3843" s="441">
        <v>18.62</v>
      </c>
      <c r="R3843" s="441"/>
      <c r="S3843" s="351"/>
      <c r="T3843" s="351"/>
      <c r="U3843" s="329" t="str">
        <f>IF($N3843=$N$4,IFERROR(INDEX(DanhMuc!$E$154:$E$165,MATCH(MID($B3843,4,2),DanhMuc!$B$154:$B$165,0)),""),"")</f>
        <v/>
      </c>
      <c r="V3843" s="361"/>
      <c r="W3843" s="345"/>
      <c r="X3843" s="329" t="str">
        <f t="shared" si="341"/>
        <v>RT</v>
      </c>
      <c r="Y3843" s="1128" t="s">
        <v>3380</v>
      </c>
      <c r="Z3843" s="1128" t="s">
        <v>3381</v>
      </c>
      <c r="AA3843" s="1128" t="s">
        <v>3384</v>
      </c>
      <c r="AB3843" s="20"/>
      <c r="AC3843" s="73"/>
    </row>
    <row r="3844" spans="1:29" ht="25">
      <c r="A3844" s="327" t="str">
        <f>IF(AND($B3844&lt;&gt;"",$C3844&lt;&gt;""),MAX($A$1556:A3819)+1,"")</f>
        <v/>
      </c>
      <c r="B3844" s="361" t="s">
        <v>2029</v>
      </c>
      <c r="C3844" s="360"/>
      <c r="D3844" s="327">
        <f>IF($B3844="","",COUNTIF($B$6:$B3844,$B3844))</f>
        <v>6</v>
      </c>
      <c r="E3844" s="605">
        <v>733375</v>
      </c>
      <c r="F3844" s="362" t="s">
        <v>1393</v>
      </c>
      <c r="G3844" s="327" t="s">
        <v>155</v>
      </c>
      <c r="H3844" s="327"/>
      <c r="I3844" s="327">
        <v>0</v>
      </c>
      <c r="J3844" s="345"/>
      <c r="K3844" s="327"/>
      <c r="L3844" s="389">
        <f>+$L$3808*$Q3844/3</f>
        <v>278422.2</v>
      </c>
      <c r="M3844" s="371"/>
      <c r="N3844" s="355" t="str">
        <f t="shared" si="342"/>
        <v>PK</v>
      </c>
      <c r="O3844" s="345"/>
      <c r="P3844" s="392"/>
      <c r="Q3844" s="441">
        <v>35.909999999999997</v>
      </c>
      <c r="R3844" s="441"/>
      <c r="S3844" s="351"/>
      <c r="T3844" s="351"/>
      <c r="U3844" s="329" t="str">
        <f>IF($N3844=$N$4,IFERROR(INDEX(DanhMuc!$E$154:$E$165,MATCH(MID($B3844,4,2),DanhMuc!$B$154:$B$165,0)),""),"")</f>
        <v/>
      </c>
      <c r="V3844" s="361"/>
      <c r="W3844" s="345"/>
      <c r="X3844" s="329" t="str">
        <f t="shared" si="341"/>
        <v>RT</v>
      </c>
      <c r="Y3844" s="1128" t="s">
        <v>3380</v>
      </c>
      <c r="Z3844" s="1128" t="s">
        <v>3381</v>
      </c>
      <c r="AA3844" s="1128" t="s">
        <v>3384</v>
      </c>
      <c r="AB3844" s="20"/>
      <c r="AC3844" s="73"/>
    </row>
    <row r="3845" spans="1:29" ht="25">
      <c r="A3845" s="327" t="str">
        <f>IF(AND($B3845&lt;&gt;"",$C3845&lt;&gt;""),MAX($A$1556:A3820)+1,"")</f>
        <v/>
      </c>
      <c r="B3845" s="361" t="s">
        <v>2029</v>
      </c>
      <c r="C3845" s="360"/>
      <c r="D3845" s="327">
        <f>IF($B3845="","",COUNTIF($B$6:$B3845,$B3845))</f>
        <v>7</v>
      </c>
      <c r="E3845" s="361">
        <v>734365</v>
      </c>
      <c r="F3845" s="362" t="s">
        <v>1394</v>
      </c>
      <c r="G3845" s="327" t="s">
        <v>155</v>
      </c>
      <c r="H3845" s="327"/>
      <c r="I3845" s="327">
        <v>4</v>
      </c>
      <c r="J3845" s="345"/>
      <c r="K3845" s="327"/>
      <c r="L3845" s="389">
        <f>+$L$3808*$Q3845/3</f>
        <v>397048.2</v>
      </c>
      <c r="M3845" s="371"/>
      <c r="N3845" s="355" t="str">
        <f t="shared" si="342"/>
        <v>PK</v>
      </c>
      <c r="O3845" s="345"/>
      <c r="P3845" s="392"/>
      <c r="Q3845" s="441">
        <v>51.21</v>
      </c>
      <c r="R3845" s="441"/>
      <c r="S3845" s="351"/>
      <c r="T3845" s="351"/>
      <c r="U3845" s="329" t="str">
        <f>IF($N3845=$N$4,IFERROR(INDEX(DanhMuc!$E$154:$E$165,MATCH(MID($B3845,4,2),DanhMuc!$B$154:$B$165,0)),""),"")</f>
        <v/>
      </c>
      <c r="V3845" s="361"/>
      <c r="W3845" s="345"/>
      <c r="X3845" s="329" t="str">
        <f t="shared" si="341"/>
        <v>RT</v>
      </c>
      <c r="Y3845" s="1128" t="s">
        <v>3380</v>
      </c>
      <c r="Z3845" s="1128" t="s">
        <v>3381</v>
      </c>
      <c r="AA3845" s="1128" t="s">
        <v>3384</v>
      </c>
      <c r="AB3845" s="20"/>
      <c r="AC3845" s="73"/>
    </row>
    <row r="3846" spans="1:29" ht="25">
      <c r="A3846" s="327" t="str">
        <f>IF(AND($B3846&lt;&gt;"",$C3846&lt;&gt;""),MAX($A$1556:A3821)+1,"")</f>
        <v/>
      </c>
      <c r="B3846" s="361" t="s">
        <v>2029</v>
      </c>
      <c r="C3846" s="360"/>
      <c r="D3846" s="327">
        <f>IF($B3846="","",COUNTIF($B$6:$B3846,$B3846))</f>
        <v>8</v>
      </c>
      <c r="E3846" s="605">
        <v>733369</v>
      </c>
      <c r="F3846" s="362" t="s">
        <v>1395</v>
      </c>
      <c r="G3846" s="327" t="s">
        <v>155</v>
      </c>
      <c r="H3846" s="327"/>
      <c r="I3846" s="327">
        <v>4</v>
      </c>
      <c r="J3846" s="345"/>
      <c r="K3846" s="327"/>
      <c r="L3846" s="389">
        <f>+$L$3808*$Q3846/3</f>
        <v>188793.66666666666</v>
      </c>
      <c r="M3846" s="371"/>
      <c r="N3846" s="355" t="str">
        <f t="shared" si="342"/>
        <v>PK</v>
      </c>
      <c r="O3846" s="345"/>
      <c r="P3846" s="392"/>
      <c r="Q3846" s="441">
        <v>24.35</v>
      </c>
      <c r="R3846" s="441"/>
      <c r="S3846" s="351"/>
      <c r="T3846" s="351"/>
      <c r="U3846" s="329" t="str">
        <f>IF($N3846=$N$4,IFERROR(INDEX(DanhMuc!$E$154:$E$165,MATCH(MID($B3846,4,2),DanhMuc!$B$154:$B$165,0)),""),"")</f>
        <v/>
      </c>
      <c r="V3846" s="361"/>
      <c r="W3846" s="345"/>
      <c r="X3846" s="329" t="str">
        <f t="shared" si="341"/>
        <v>RT</v>
      </c>
      <c r="Y3846" s="1128" t="s">
        <v>3380</v>
      </c>
      <c r="Z3846" s="1128" t="s">
        <v>3381</v>
      </c>
      <c r="AA3846" s="1128" t="s">
        <v>3384</v>
      </c>
      <c r="AB3846" s="20"/>
      <c r="AC3846" s="73"/>
    </row>
    <row r="3847" spans="1:29">
      <c r="A3847" s="327" t="str">
        <f>IF(AND($B3847&lt;&gt;"",$C3847&lt;&gt;""),MAX($A$1556:A3822)+1,"")</f>
        <v/>
      </c>
      <c r="B3847" s="361" t="s">
        <v>2029</v>
      </c>
      <c r="C3847" s="360"/>
      <c r="D3847" s="327">
        <f>IF($B3847="","",COUNTIF($B$6:$B3847,$B3847))</f>
        <v>9</v>
      </c>
      <c r="E3847" s="605">
        <v>733492</v>
      </c>
      <c r="F3847" s="362" t="s">
        <v>1514</v>
      </c>
      <c r="G3847" s="327" t="s">
        <v>155</v>
      </c>
      <c r="H3847" s="327"/>
      <c r="I3847" s="327">
        <v>4</v>
      </c>
      <c r="J3847" s="345"/>
      <c r="K3847" s="327"/>
      <c r="L3847" s="389">
        <f>+$L$3808*$Q3847/3</f>
        <v>309358</v>
      </c>
      <c r="M3847" s="371"/>
      <c r="N3847" s="355" t="str">
        <f t="shared" si="342"/>
        <v>PK</v>
      </c>
      <c r="O3847" s="345"/>
      <c r="P3847" s="392"/>
      <c r="Q3847" s="441">
        <v>39.9</v>
      </c>
      <c r="R3847" s="441"/>
      <c r="S3847" s="351"/>
      <c r="T3847" s="351"/>
      <c r="U3847" s="329" t="str">
        <f>IF($N3847=$N$4,IFERROR(INDEX(DanhMuc!$E$154:$E$165,MATCH(MID($B3847,4,2),DanhMuc!$B$154:$B$165,0)),""),"")</f>
        <v/>
      </c>
      <c r="V3847" s="361"/>
      <c r="W3847" s="345"/>
      <c r="X3847" s="329" t="str">
        <f t="shared" si="341"/>
        <v>RT</v>
      </c>
      <c r="Y3847" s="1128" t="s">
        <v>3380</v>
      </c>
      <c r="Z3847" s="1128" t="s">
        <v>3381</v>
      </c>
      <c r="AA3847" s="1128" t="s">
        <v>3384</v>
      </c>
      <c r="AB3847" s="20"/>
      <c r="AC3847" s="73"/>
    </row>
    <row r="3848" spans="1:29" ht="25">
      <c r="A3848" s="327" t="str">
        <f>IF(AND($B3848&lt;&gt;"",$C3848&lt;&gt;""),MAX($A$1556:A3823)+1,"")</f>
        <v/>
      </c>
      <c r="B3848" s="361" t="s">
        <v>2029</v>
      </c>
      <c r="C3848" s="360"/>
      <c r="D3848" s="327">
        <f>IF($B3848="","",COUNTIF($B$6:$B3848,$B3848))</f>
        <v>10</v>
      </c>
      <c r="E3848" s="605">
        <v>312831</v>
      </c>
      <c r="F3848" s="362" t="s">
        <v>1515</v>
      </c>
      <c r="G3848" s="327" t="s">
        <v>155</v>
      </c>
      <c r="H3848" s="327"/>
      <c r="I3848" s="327">
        <v>0</v>
      </c>
      <c r="J3848" s="345"/>
      <c r="K3848" s="327"/>
      <c r="L3848" s="389">
        <f>+$L$3808*$Q3848/3</f>
        <v>15584.199999999999</v>
      </c>
      <c r="M3848" s="371"/>
      <c r="N3848" s="355" t="str">
        <f t="shared" si="342"/>
        <v>PK</v>
      </c>
      <c r="O3848" s="345"/>
      <c r="P3848" s="392"/>
      <c r="Q3848" s="441">
        <v>2.0099999999999998</v>
      </c>
      <c r="R3848" s="441"/>
      <c r="S3848" s="351"/>
      <c r="T3848" s="351"/>
      <c r="U3848" s="329" t="str">
        <f>IF($N3848=$N$4,IFERROR(INDEX(DanhMuc!$E$154:$E$165,MATCH(MID($B3848,4,2),DanhMuc!$B$154:$B$165,0)),""),"")</f>
        <v/>
      </c>
      <c r="V3848" s="361"/>
      <c r="W3848" s="345"/>
      <c r="X3848" s="329" t="str">
        <f t="shared" si="341"/>
        <v>RT</v>
      </c>
      <c r="Y3848" s="1128" t="s">
        <v>3380</v>
      </c>
      <c r="Z3848" s="1128" t="s">
        <v>3381</v>
      </c>
      <c r="AA3848" s="1128" t="s">
        <v>3384</v>
      </c>
      <c r="AB3848" s="20"/>
      <c r="AC3848" s="73"/>
    </row>
    <row r="3849" spans="1:29">
      <c r="A3849" s="327" t="str">
        <f>IF(AND($B3849&lt;&gt;"",$C3849&lt;&gt;""),MAX($A$1556:A3824)+1,"")</f>
        <v/>
      </c>
      <c r="B3849" s="361" t="s">
        <v>2029</v>
      </c>
      <c r="C3849" s="360"/>
      <c r="D3849" s="327">
        <f>IF($B3849="","",COUNTIF($B$6:$B3849,$B3849))</f>
        <v>11</v>
      </c>
      <c r="E3849" s="361">
        <v>492575</v>
      </c>
      <c r="F3849" s="431" t="s">
        <v>1382</v>
      </c>
      <c r="G3849" s="327" t="s">
        <v>155</v>
      </c>
      <c r="H3849" s="361"/>
      <c r="I3849" s="327">
        <v>8</v>
      </c>
      <c r="J3849" s="345"/>
      <c r="K3849" s="327"/>
      <c r="L3849" s="389">
        <f t="shared" si="343"/>
        <v>510557</v>
      </c>
      <c r="M3849" s="371"/>
      <c r="N3849" s="355" t="str">
        <f t="shared" si="342"/>
        <v>PK</v>
      </c>
      <c r="O3849" s="345"/>
      <c r="P3849" s="392"/>
      <c r="Q3849" s="441">
        <v>21.95</v>
      </c>
      <c r="R3849" s="441"/>
      <c r="S3849" s="351"/>
      <c r="T3849" s="351"/>
      <c r="U3849" s="329" t="str">
        <f>IF($N3849=$N$4,IFERROR(INDEX(DanhMuc!$E$154:$E$165,MATCH(MID($B3849,4,2),DanhMuc!$B$154:$B$165,0)),""),"")</f>
        <v/>
      </c>
      <c r="V3849" s="361"/>
      <c r="W3849" s="345"/>
      <c r="X3849" s="329" t="str">
        <f t="shared" si="341"/>
        <v>RT</v>
      </c>
      <c r="Y3849" s="1128" t="s">
        <v>3380</v>
      </c>
      <c r="Z3849" s="1128" t="s">
        <v>3381</v>
      </c>
      <c r="AA3849" s="1128" t="s">
        <v>3384</v>
      </c>
      <c r="AB3849" s="20"/>
      <c r="AC3849" s="73"/>
    </row>
    <row r="3850" spans="1:29" ht="25">
      <c r="A3850" s="327" t="str">
        <f>IF(AND($B3850&lt;&gt;"",$C3850&lt;&gt;""),MAX($A$1556:A3825)+1,"")</f>
        <v/>
      </c>
      <c r="B3850" s="361" t="s">
        <v>2029</v>
      </c>
      <c r="C3850" s="360"/>
      <c r="D3850" s="327">
        <f>IF($B3850="","",COUNTIF($B$6:$B3850,$B3850))</f>
        <v>12</v>
      </c>
      <c r="E3850" s="411">
        <v>630955</v>
      </c>
      <c r="F3850" s="432" t="s">
        <v>1385</v>
      </c>
      <c r="G3850" s="410" t="s">
        <v>156</v>
      </c>
      <c r="H3850" s="402"/>
      <c r="I3850" s="327">
        <v>1</v>
      </c>
      <c r="J3850" s="345"/>
      <c r="K3850" s="327"/>
      <c r="L3850" s="389">
        <f t="shared" si="343"/>
        <v>114904.40000000001</v>
      </c>
      <c r="M3850" s="371"/>
      <c r="N3850" s="355" t="str">
        <f t="shared" si="342"/>
        <v>PK</v>
      </c>
      <c r="O3850" s="404" t="s">
        <v>1623</v>
      </c>
      <c r="P3850" s="392"/>
      <c r="Q3850" s="441">
        <v>4.9400000000000004</v>
      </c>
      <c r="R3850" s="441"/>
      <c r="S3850" s="351"/>
      <c r="T3850" s="351"/>
      <c r="U3850" s="329" t="str">
        <f>IF($N3850=$N$4,IFERROR(INDEX(DanhMuc!$E$154:$E$165,MATCH(MID($B3850,4,2),DanhMuc!$B$154:$B$165,0)),""),"")</f>
        <v/>
      </c>
      <c r="V3850" s="361"/>
      <c r="W3850" s="345"/>
      <c r="X3850" s="329" t="str">
        <f t="shared" si="341"/>
        <v>RT</v>
      </c>
      <c r="Y3850" s="1128" t="s">
        <v>3380</v>
      </c>
      <c r="Z3850" s="1128" t="s">
        <v>3381</v>
      </c>
      <c r="AA3850" s="1128" t="s">
        <v>3384</v>
      </c>
      <c r="AB3850" s="20"/>
      <c r="AC3850" s="73"/>
    </row>
    <row r="3851" spans="1:29" ht="25">
      <c r="A3851" s="327" t="str">
        <f>IF(AND($B3851&lt;&gt;"",$C3851&lt;&gt;""),MAX($A$1556:A3826)+1,"")</f>
        <v/>
      </c>
      <c r="B3851" s="361" t="s">
        <v>2029</v>
      </c>
      <c r="C3851" s="360"/>
      <c r="D3851" s="327">
        <f>IF($B3851="","",COUNTIF($B$6:$B3851,$B3851))</f>
        <v>13</v>
      </c>
      <c r="E3851" s="411">
        <v>630957</v>
      </c>
      <c r="F3851" s="432" t="s">
        <v>1386</v>
      </c>
      <c r="G3851" s="410" t="s">
        <v>156</v>
      </c>
      <c r="H3851" s="402"/>
      <c r="I3851" s="327">
        <v>1</v>
      </c>
      <c r="J3851" s="345"/>
      <c r="K3851" s="327"/>
      <c r="L3851" s="389">
        <f t="shared" si="343"/>
        <v>154911.6</v>
      </c>
      <c r="M3851" s="371"/>
      <c r="N3851" s="355" t="str">
        <f t="shared" si="342"/>
        <v>PK</v>
      </c>
      <c r="O3851" s="404" t="s">
        <v>1623</v>
      </c>
      <c r="P3851" s="392"/>
      <c r="Q3851" s="441">
        <v>6.66</v>
      </c>
      <c r="R3851" s="441"/>
      <c r="S3851" s="351"/>
      <c r="T3851" s="351"/>
      <c r="U3851" s="329" t="str">
        <f>IF($N3851=$N$4,IFERROR(INDEX(DanhMuc!$E$154:$E$165,MATCH(MID($B3851,4,2),DanhMuc!$B$154:$B$165,0)),""),"")</f>
        <v/>
      </c>
      <c r="V3851" s="361"/>
      <c r="W3851" s="345"/>
      <c r="X3851" s="329" t="str">
        <f t="shared" si="341"/>
        <v>RT</v>
      </c>
      <c r="Y3851" s="1128" t="s">
        <v>3380</v>
      </c>
      <c r="Z3851" s="1128" t="s">
        <v>3381</v>
      </c>
      <c r="AA3851" s="1128" t="s">
        <v>3384</v>
      </c>
      <c r="AB3851" s="20"/>
      <c r="AC3851" s="73"/>
    </row>
    <row r="3852" spans="1:29">
      <c r="A3852" s="327" t="str">
        <f>IF(AND($B3852&lt;&gt;"",$C3852&lt;&gt;""),MAX($A$1556:A3827)+1,"")</f>
        <v/>
      </c>
      <c r="B3852" s="361" t="s">
        <v>2029</v>
      </c>
      <c r="C3852" s="360"/>
      <c r="D3852" s="327">
        <f>IF($B3852="","",COUNTIF($B$6:$B3852,$B3852))</f>
        <v>14</v>
      </c>
      <c r="E3852" s="430">
        <v>633302</v>
      </c>
      <c r="F3852" s="431" t="s">
        <v>1388</v>
      </c>
      <c r="G3852" s="327" t="s">
        <v>156</v>
      </c>
      <c r="H3852" s="361"/>
      <c r="I3852" s="327">
        <v>2</v>
      </c>
      <c r="J3852" s="345"/>
      <c r="K3852" s="327"/>
      <c r="L3852" s="389">
        <f t="shared" si="343"/>
        <v>665236</v>
      </c>
      <c r="M3852" s="371"/>
      <c r="N3852" s="355" t="str">
        <f t="shared" si="342"/>
        <v>PK</v>
      </c>
      <c r="O3852" s="404" t="s">
        <v>1623</v>
      </c>
      <c r="P3852" s="392"/>
      <c r="Q3852" s="441">
        <v>28.6</v>
      </c>
      <c r="R3852" s="441"/>
      <c r="S3852" s="351"/>
      <c r="T3852" s="351"/>
      <c r="U3852" s="329" t="str">
        <f>IF($N3852=$N$4,IFERROR(INDEX(DanhMuc!$E$154:$E$165,MATCH(MID($B3852,4,2),DanhMuc!$B$154:$B$165,0)),""),"")</f>
        <v/>
      </c>
      <c r="V3852" s="361"/>
      <c r="W3852" s="345"/>
      <c r="X3852" s="329" t="str">
        <f t="shared" si="341"/>
        <v>RT</v>
      </c>
      <c r="Y3852" s="1128" t="s">
        <v>3380</v>
      </c>
      <c r="Z3852" s="1128" t="s">
        <v>3381</v>
      </c>
      <c r="AA3852" s="1128" t="s">
        <v>3384</v>
      </c>
      <c r="AB3852" s="20"/>
      <c r="AC3852" s="73"/>
    </row>
    <row r="3853" spans="1:29">
      <c r="A3853" s="327" t="str">
        <f>IF(AND($B3853&lt;&gt;"",$C3853&lt;&gt;""),MAX($A$1556:A3828)+1,"")</f>
        <v/>
      </c>
      <c r="B3853" s="361" t="s">
        <v>2029</v>
      </c>
      <c r="C3853" s="360"/>
      <c r="D3853" s="327">
        <f>IF($B3853="","",COUNTIF($B$6:$B3853,$B3853))</f>
        <v>15</v>
      </c>
      <c r="E3853" s="430">
        <v>641810</v>
      </c>
      <c r="F3853" s="431" t="s">
        <v>1389</v>
      </c>
      <c r="G3853" s="327" t="s">
        <v>156</v>
      </c>
      <c r="H3853" s="361"/>
      <c r="I3853" s="327">
        <v>2</v>
      </c>
      <c r="J3853" s="345"/>
      <c r="K3853" s="327"/>
      <c r="L3853" s="389">
        <f t="shared" si="343"/>
        <v>71640.800000000003</v>
      </c>
      <c r="M3853" s="371"/>
      <c r="N3853" s="355" t="str">
        <f t="shared" si="342"/>
        <v>PK</v>
      </c>
      <c r="O3853" s="345"/>
      <c r="P3853" s="392"/>
      <c r="Q3853" s="441">
        <v>3.08</v>
      </c>
      <c r="R3853" s="441"/>
      <c r="S3853" s="351"/>
      <c r="T3853" s="351"/>
      <c r="U3853" s="329" t="str">
        <f>IF($N3853=$N$4,IFERROR(INDEX(DanhMuc!$E$154:$E$165,MATCH(MID($B3853,4,2),DanhMuc!$B$154:$B$165,0)),""),"")</f>
        <v/>
      </c>
      <c r="V3853" s="361"/>
      <c r="W3853" s="345"/>
      <c r="X3853" s="329" t="str">
        <f t="shared" si="341"/>
        <v>RT</v>
      </c>
      <c r="Y3853" s="1128" t="s">
        <v>3380</v>
      </c>
      <c r="Z3853" s="1128" t="s">
        <v>3381</v>
      </c>
      <c r="AA3853" s="1128" t="s">
        <v>3384</v>
      </c>
      <c r="AB3853" s="20"/>
      <c r="AC3853" s="73"/>
    </row>
    <row r="3854" spans="1:29">
      <c r="A3854" s="327" t="str">
        <f>IF(AND($B3854&lt;&gt;"",$C3854&lt;&gt;""),MAX($A$1556:A3829)+1,"")</f>
        <v/>
      </c>
      <c r="B3854" s="361" t="s">
        <v>2029</v>
      </c>
      <c r="C3854" s="360"/>
      <c r="D3854" s="327">
        <f>IF($B3854="","",COUNTIF($B$6:$B3854,$B3854))</f>
        <v>16</v>
      </c>
      <c r="E3854" s="430">
        <v>349187</v>
      </c>
      <c r="F3854" s="362" t="s">
        <v>1390</v>
      </c>
      <c r="G3854" s="327" t="s">
        <v>155</v>
      </c>
      <c r="H3854" s="361"/>
      <c r="I3854" s="327">
        <v>4</v>
      </c>
      <c r="J3854" s="345"/>
      <c r="K3854" s="327"/>
      <c r="L3854" s="389">
        <f t="shared" si="343"/>
        <v>145840.19999999998</v>
      </c>
      <c r="M3854" s="371"/>
      <c r="N3854" s="355" t="str">
        <f t="shared" si="342"/>
        <v>PK</v>
      </c>
      <c r="O3854" s="345"/>
      <c r="P3854" s="392"/>
      <c r="Q3854" s="441">
        <v>6.27</v>
      </c>
      <c r="R3854" s="441"/>
      <c r="S3854" s="351"/>
      <c r="T3854" s="351"/>
      <c r="U3854" s="329" t="str">
        <f>IF($N3854=$N$4,IFERROR(INDEX(DanhMuc!$E$154:$E$165,MATCH(MID($B3854,4,2),DanhMuc!$B$154:$B$165,0)),""),"")</f>
        <v/>
      </c>
      <c r="V3854" s="361"/>
      <c r="W3854" s="345"/>
      <c r="X3854" s="329" t="str">
        <f t="shared" si="341"/>
        <v>RT</v>
      </c>
      <c r="Y3854" s="1128" t="s">
        <v>3380</v>
      </c>
      <c r="Z3854" s="1128" t="s">
        <v>3381</v>
      </c>
      <c r="AA3854" s="1128" t="s">
        <v>3384</v>
      </c>
      <c r="AB3854" s="20"/>
      <c r="AC3854" s="73"/>
    </row>
    <row r="3855" spans="1:29">
      <c r="A3855" s="327" t="str">
        <f>IF(AND($B3855&lt;&gt;"",$C3855&lt;&gt;""),MAX($A$1556:A3830)+1,"")</f>
        <v/>
      </c>
      <c r="B3855" s="361" t="s">
        <v>2029</v>
      </c>
      <c r="C3855" s="360"/>
      <c r="D3855" s="327">
        <f>IF($B3855="","",COUNTIF($B$6:$B3855,$B3855))</f>
        <v>17</v>
      </c>
      <c r="E3855" s="430">
        <v>260434</v>
      </c>
      <c r="F3855" s="431" t="s">
        <v>1391</v>
      </c>
      <c r="G3855" s="327" t="s">
        <v>155</v>
      </c>
      <c r="H3855" s="361"/>
      <c r="I3855" s="327">
        <v>4</v>
      </c>
      <c r="J3855" s="345"/>
      <c r="K3855" s="327"/>
      <c r="L3855" s="389">
        <f t="shared" si="343"/>
        <v>31168.400000000001</v>
      </c>
      <c r="M3855" s="371"/>
      <c r="N3855" s="355" t="str">
        <f t="shared" si="342"/>
        <v>PK</v>
      </c>
      <c r="O3855" s="345"/>
      <c r="P3855" s="392"/>
      <c r="Q3855" s="441">
        <v>1.34</v>
      </c>
      <c r="R3855" s="441"/>
      <c r="S3855" s="351"/>
      <c r="T3855" s="351"/>
      <c r="U3855" s="329" t="str">
        <f>IF($N3855=$N$4,IFERROR(INDEX(DanhMuc!$E$154:$E$165,MATCH(MID($B3855,4,2),DanhMuc!$B$154:$B$165,0)),""),"")</f>
        <v/>
      </c>
      <c r="V3855" s="361"/>
      <c r="W3855" s="345"/>
      <c r="X3855" s="329" t="str">
        <f t="shared" si="341"/>
        <v>RT</v>
      </c>
      <c r="Y3855" s="1128" t="s">
        <v>3380</v>
      </c>
      <c r="Z3855" s="1128" t="s">
        <v>3381</v>
      </c>
      <c r="AA3855" s="1128" t="s">
        <v>3384</v>
      </c>
      <c r="AB3855" s="20"/>
      <c r="AC3855" s="73"/>
    </row>
    <row r="3856" spans="1:29">
      <c r="A3856" s="327" t="str">
        <f>IF(AND($B3856&lt;&gt;"",$C3856&lt;&gt;""),MAX($A$1556:A3831)+1,"")</f>
        <v/>
      </c>
      <c r="B3856" s="361" t="s">
        <v>2029</v>
      </c>
      <c r="C3856" s="360"/>
      <c r="D3856" s="327">
        <f>IF($B3856="","",COUNTIF($B$6:$B3856,$B3856))</f>
        <v>18</v>
      </c>
      <c r="E3856" s="430">
        <v>339395</v>
      </c>
      <c r="F3856" s="431" t="s">
        <v>1392</v>
      </c>
      <c r="G3856" s="351" t="s">
        <v>155</v>
      </c>
      <c r="H3856" s="361"/>
      <c r="I3856" s="327">
        <v>4</v>
      </c>
      <c r="J3856" s="345"/>
      <c r="K3856" s="327"/>
      <c r="L3856" s="389">
        <f t="shared" si="343"/>
        <v>37216</v>
      </c>
      <c r="M3856" s="371"/>
      <c r="N3856" s="355" t="str">
        <f t="shared" si="342"/>
        <v>PK</v>
      </c>
      <c r="O3856" s="404" t="s">
        <v>1623</v>
      </c>
      <c r="P3856" s="392"/>
      <c r="Q3856" s="441">
        <v>1.6</v>
      </c>
      <c r="R3856" s="441"/>
      <c r="S3856" s="351"/>
      <c r="T3856" s="351"/>
      <c r="U3856" s="329" t="str">
        <f>IF($N3856=$N$4,IFERROR(INDEX(DanhMuc!$E$154:$E$165,MATCH(MID($B3856,4,2),DanhMuc!$B$154:$B$165,0)),""),"")</f>
        <v/>
      </c>
      <c r="V3856" s="361"/>
      <c r="W3856" s="345"/>
      <c r="X3856" s="329" t="str">
        <f t="shared" si="341"/>
        <v>RT</v>
      </c>
      <c r="Y3856" s="1128" t="s">
        <v>3380</v>
      </c>
      <c r="Z3856" s="1128" t="s">
        <v>3381</v>
      </c>
      <c r="AA3856" s="1128" t="s">
        <v>3384</v>
      </c>
      <c r="AB3856" s="20"/>
      <c r="AC3856" s="73"/>
    </row>
    <row r="3857" spans="1:29">
      <c r="A3857" s="327" t="str">
        <f>IF(AND($B3857&lt;&gt;"",$C3857&lt;&gt;""),MAX($A$1556:A3832)+1,"")</f>
        <v/>
      </c>
      <c r="B3857" s="361" t="s">
        <v>2029</v>
      </c>
      <c r="C3857" s="360"/>
      <c r="D3857" s="327">
        <f>IF($B3857="","",COUNTIF($B$6:$B3857,$B3857))</f>
        <v>19</v>
      </c>
      <c r="E3857" s="430">
        <v>229107</v>
      </c>
      <c r="F3857" s="431" t="s">
        <v>1456</v>
      </c>
      <c r="G3857" s="351" t="s">
        <v>155</v>
      </c>
      <c r="H3857" s="361"/>
      <c r="I3857" s="327">
        <v>1</v>
      </c>
      <c r="J3857" s="345"/>
      <c r="K3857" s="327"/>
      <c r="L3857" s="389">
        <v>23600</v>
      </c>
      <c r="M3857" s="371"/>
      <c r="N3857" s="355" t="str">
        <f t="shared" si="342"/>
        <v>PK</v>
      </c>
      <c r="O3857" s="345"/>
      <c r="P3857" s="392"/>
      <c r="Q3857" s="441"/>
      <c r="R3857" s="441"/>
      <c r="S3857" s="351"/>
      <c r="T3857" s="351"/>
      <c r="U3857" s="329" t="str">
        <f>IF($N3857=$N$4,IFERROR(INDEX(DanhMuc!$E$154:$E$165,MATCH(MID($B3857,4,2),DanhMuc!$B$154:$B$165,0)),""),"")</f>
        <v/>
      </c>
      <c r="V3857" s="361"/>
      <c r="W3857" s="345"/>
      <c r="X3857" s="329" t="str">
        <f t="shared" si="341"/>
        <v>RT</v>
      </c>
      <c r="Y3857" s="1128" t="s">
        <v>3380</v>
      </c>
      <c r="Z3857" s="1128" t="s">
        <v>3381</v>
      </c>
      <c r="AA3857" s="1128" t="s">
        <v>3384</v>
      </c>
      <c r="AB3857" s="20"/>
      <c r="AC3857" s="73"/>
    </row>
    <row r="3858" spans="1:29">
      <c r="A3858" s="327" t="str">
        <f>IF(AND($B3858&lt;&gt;"",$C3858&lt;&gt;""),MAX($A$1556:A3833)+1,"")</f>
        <v/>
      </c>
      <c r="B3858" s="361" t="s">
        <v>2029</v>
      </c>
      <c r="C3858" s="360"/>
      <c r="D3858" s="327">
        <f>IF($B3858="","",COUNTIF($B$6:$B3858,$B3858))</f>
        <v>20</v>
      </c>
      <c r="E3858" s="430">
        <v>229117</v>
      </c>
      <c r="F3858" s="431" t="s">
        <v>1457</v>
      </c>
      <c r="G3858" s="351" t="s">
        <v>155</v>
      </c>
      <c r="H3858" s="361"/>
      <c r="I3858" s="327">
        <v>1</v>
      </c>
      <c r="J3858" s="345"/>
      <c r="K3858" s="327"/>
      <c r="L3858" s="389">
        <v>23600</v>
      </c>
      <c r="M3858" s="371"/>
      <c r="N3858" s="355" t="str">
        <f t="shared" si="342"/>
        <v>PK</v>
      </c>
      <c r="O3858" s="345"/>
      <c r="P3858" s="392"/>
      <c r="Q3858" s="441"/>
      <c r="R3858" s="441"/>
      <c r="S3858" s="351"/>
      <c r="T3858" s="351"/>
      <c r="U3858" s="329" t="str">
        <f>IF($N3858=$N$4,IFERROR(INDEX(DanhMuc!$E$154:$E$165,MATCH(MID($B3858,4,2),DanhMuc!$B$154:$B$165,0)),""),"")</f>
        <v/>
      </c>
      <c r="V3858" s="361"/>
      <c r="W3858" s="345"/>
      <c r="X3858" s="329" t="str">
        <f t="shared" si="341"/>
        <v>RT</v>
      </c>
      <c r="Y3858" s="1128" t="s">
        <v>3380</v>
      </c>
      <c r="Z3858" s="1128" t="s">
        <v>3381</v>
      </c>
      <c r="AA3858" s="1128" t="s">
        <v>3384</v>
      </c>
      <c r="AB3858" s="20"/>
      <c r="AC3858" s="73"/>
    </row>
    <row r="3859" spans="1:29">
      <c r="A3859" s="327" t="str">
        <f>IF(AND($B3859&lt;&gt;"",$C3859&lt;&gt;""),MAX($A$1556:A3834)+1,"")</f>
        <v/>
      </c>
      <c r="B3859" s="361" t="s">
        <v>2029</v>
      </c>
      <c r="C3859" s="360"/>
      <c r="D3859" s="327">
        <f>IF($B3859="","",COUNTIF($B$6:$B3859,$B3859))</f>
        <v>21</v>
      </c>
      <c r="E3859" s="430">
        <v>445213</v>
      </c>
      <c r="F3859" s="431" t="s">
        <v>1963</v>
      </c>
      <c r="G3859" s="351" t="s">
        <v>155</v>
      </c>
      <c r="H3859" s="361"/>
      <c r="I3859" s="327">
        <v>1</v>
      </c>
      <c r="J3859" s="345"/>
      <c r="K3859" s="327"/>
      <c r="L3859" s="389">
        <f t="shared" si="343"/>
        <v>294239</v>
      </c>
      <c r="M3859" s="371"/>
      <c r="N3859" s="355" t="str">
        <f t="shared" si="342"/>
        <v>PK</v>
      </c>
      <c r="O3859" s="345"/>
      <c r="P3859" s="392"/>
      <c r="Q3859" s="441">
        <v>12.65</v>
      </c>
      <c r="R3859" s="441"/>
      <c r="S3859" s="351"/>
      <c r="T3859" s="351"/>
      <c r="U3859" s="329" t="str">
        <f>IF($N3859=$N$4,IFERROR(INDEX(DanhMuc!$E$154:$E$165,MATCH(MID($B3859,4,2),DanhMuc!$B$154:$B$165,0)),""),"")</f>
        <v/>
      </c>
      <c r="V3859" s="361"/>
      <c r="W3859" s="345"/>
      <c r="X3859" s="329" t="str">
        <f t="shared" si="341"/>
        <v>RT</v>
      </c>
      <c r="Y3859" s="1128" t="s">
        <v>3380</v>
      </c>
      <c r="Z3859" s="1128" t="s">
        <v>3381</v>
      </c>
      <c r="AA3859" s="1128" t="s">
        <v>3384</v>
      </c>
      <c r="AB3859" s="20"/>
      <c r="AC3859" s="73"/>
    </row>
    <row r="3860" spans="1:29" ht="26">
      <c r="A3860" s="327">
        <f>IF(AND($B3860&lt;&gt;"",$C3860&lt;&gt;""),MAX($A$1556:A3835)+1,"")</f>
        <v>185</v>
      </c>
      <c r="B3860" s="359" t="s">
        <v>2030</v>
      </c>
      <c r="C3860" s="370" t="s">
        <v>1593</v>
      </c>
      <c r="D3860" s="327">
        <f>IF($B3860="","",COUNTIF($B$6:$B3860,$B3860))</f>
        <v>1</v>
      </c>
      <c r="E3860" s="430">
        <v>630963</v>
      </c>
      <c r="F3860" s="362" t="s">
        <v>1376</v>
      </c>
      <c r="G3860" s="327" t="s">
        <v>344</v>
      </c>
      <c r="H3860" s="361"/>
      <c r="I3860" s="327">
        <v>1</v>
      </c>
      <c r="J3860" s="361"/>
      <c r="K3860" s="327"/>
      <c r="L3860" s="389">
        <f t="shared" si="343"/>
        <v>866202.4</v>
      </c>
      <c r="M3860" s="371"/>
      <c r="N3860" s="355" t="str">
        <f t="shared" si="342"/>
        <v>PK</v>
      </c>
      <c r="O3860" s="404" t="s">
        <v>1623</v>
      </c>
      <c r="P3860" s="392"/>
      <c r="Q3860" s="441">
        <v>37.24</v>
      </c>
      <c r="R3860" s="441"/>
      <c r="S3860" s="351"/>
      <c r="T3860" s="351"/>
      <c r="U3860" s="329" t="str">
        <f>IF($N3860=$N$4,IFERROR(INDEX(DanhMuc!$E$154:$E$165,MATCH(MID($B3860,4,2),DanhMuc!$B$154:$B$165,0)),""),"")</f>
        <v/>
      </c>
      <c r="V3860" s="361"/>
      <c r="W3860" s="345"/>
      <c r="X3860" s="329" t="str">
        <f t="shared" si="341"/>
        <v>RT</v>
      </c>
      <c r="Y3860" s="1128" t="s">
        <v>3380</v>
      </c>
      <c r="Z3860" s="1128" t="s">
        <v>3381</v>
      </c>
      <c r="AA3860" s="1128" t="s">
        <v>3384</v>
      </c>
      <c r="AB3860" s="20"/>
      <c r="AC3860" s="73"/>
    </row>
    <row r="3861" spans="1:29">
      <c r="A3861" s="327" t="str">
        <f>IF(AND($B3861&lt;&gt;"",$C3861&lt;&gt;""),MAX($A$1556:A3836)+1,"")</f>
        <v/>
      </c>
      <c r="B3861" s="361" t="s">
        <v>2030</v>
      </c>
      <c r="C3861" s="360"/>
      <c r="D3861" s="327">
        <f>IF($B3861="","",COUNTIF($B$6:$B3861,$B3861))</f>
        <v>2</v>
      </c>
      <c r="E3861" s="430">
        <v>449873</v>
      </c>
      <c r="F3861" s="362" t="s">
        <v>1377</v>
      </c>
      <c r="G3861" s="327" t="s">
        <v>344</v>
      </c>
      <c r="H3861" s="361"/>
      <c r="I3861" s="327">
        <v>1</v>
      </c>
      <c r="J3861" s="361"/>
      <c r="K3861" s="327"/>
      <c r="L3861" s="389">
        <f t="shared" si="343"/>
        <v>494972.80000000005</v>
      </c>
      <c r="M3861" s="371"/>
      <c r="N3861" s="355" t="str">
        <f t="shared" si="342"/>
        <v>PK</v>
      </c>
      <c r="O3861" s="404" t="s">
        <v>1626</v>
      </c>
      <c r="P3861" s="392"/>
      <c r="Q3861" s="441">
        <v>21.28</v>
      </c>
      <c r="R3861" s="441"/>
      <c r="S3861" s="351"/>
      <c r="T3861" s="351"/>
      <c r="U3861" s="329" t="str">
        <f>IF($N3861=$N$4,IFERROR(INDEX(DanhMuc!$E$154:$E$165,MATCH(MID($B3861,4,2),DanhMuc!$B$154:$B$165,0)),""),"")</f>
        <v/>
      </c>
      <c r="V3861" s="361"/>
      <c r="W3861" s="345"/>
      <c r="X3861" s="329" t="str">
        <f t="shared" ref="X3861:X4068" si="344">IF($N3861="PR",$E3861,MID($B3861,10,2))</f>
        <v>RT</v>
      </c>
      <c r="Y3861" s="1128" t="s">
        <v>3380</v>
      </c>
      <c r="Z3861" s="1128" t="s">
        <v>3381</v>
      </c>
      <c r="AA3861" s="1128" t="s">
        <v>3384</v>
      </c>
      <c r="AB3861" s="20"/>
      <c r="AC3861" s="73"/>
    </row>
    <row r="3862" spans="1:29">
      <c r="A3862" s="327" t="str">
        <f>IF(AND($B3862&lt;&gt;"",$C3862&lt;&gt;""),MAX($A$1556:A3837)+1,"")</f>
        <v/>
      </c>
      <c r="B3862" s="361" t="s">
        <v>2030</v>
      </c>
      <c r="C3862" s="360"/>
      <c r="D3862" s="327">
        <f>IF($B3862="","",COUNTIF($B$6:$B3862,$B3862))</f>
        <v>3</v>
      </c>
      <c r="E3862" s="361">
        <v>570669</v>
      </c>
      <c r="F3862" s="362" t="s">
        <v>1378</v>
      </c>
      <c r="G3862" s="327" t="s">
        <v>344</v>
      </c>
      <c r="H3862" s="361"/>
      <c r="I3862" s="327">
        <v>1</v>
      </c>
      <c r="J3862" s="345"/>
      <c r="K3862" s="327"/>
      <c r="L3862" s="389">
        <f t="shared" si="343"/>
        <v>525908.6</v>
      </c>
      <c r="M3862" s="371"/>
      <c r="N3862" s="355" t="str">
        <f t="shared" si="342"/>
        <v>PK</v>
      </c>
      <c r="O3862" s="345"/>
      <c r="P3862" s="392"/>
      <c r="Q3862" s="441">
        <v>22.61</v>
      </c>
      <c r="R3862" s="441"/>
      <c r="S3862" s="351"/>
      <c r="T3862" s="351"/>
      <c r="U3862" s="329" t="str">
        <f>IF($N3862=$N$4,IFERROR(INDEX(DanhMuc!$E$154:$E$165,MATCH(MID($B3862,4,2),DanhMuc!$B$154:$B$165,0)),""),"")</f>
        <v/>
      </c>
      <c r="V3862" s="361"/>
      <c r="W3862" s="345"/>
      <c r="X3862" s="329" t="str">
        <f t="shared" si="344"/>
        <v>RT</v>
      </c>
      <c r="Y3862" s="1128" t="s">
        <v>3380</v>
      </c>
      <c r="Z3862" s="1128" t="s">
        <v>3381</v>
      </c>
      <c r="AA3862" s="1128" t="s">
        <v>3384</v>
      </c>
      <c r="AB3862" s="20"/>
      <c r="AC3862" s="73"/>
    </row>
    <row r="3863" spans="1:29">
      <c r="A3863" s="327" t="str">
        <f>IF(AND($B3863&lt;&gt;"",$C3863&lt;&gt;""),MAX($A$1556:A3838)+1,"")</f>
        <v/>
      </c>
      <c r="B3863" s="361" t="s">
        <v>2030</v>
      </c>
      <c r="C3863" s="360"/>
      <c r="D3863" s="327">
        <f>IF($B3863="","",COUNTIF($B$6:$B3863,$B3863))</f>
        <v>4</v>
      </c>
      <c r="E3863" s="361">
        <v>775376</v>
      </c>
      <c r="F3863" s="362" t="s">
        <v>1379</v>
      </c>
      <c r="G3863" s="327" t="s">
        <v>155</v>
      </c>
      <c r="H3863" s="361"/>
      <c r="I3863" s="327">
        <v>1</v>
      </c>
      <c r="J3863" s="345"/>
      <c r="K3863" s="327"/>
      <c r="L3863" s="389">
        <f t="shared" si="343"/>
        <v>247486.40000000002</v>
      </c>
      <c r="M3863" s="371"/>
      <c r="N3863" s="355" t="str">
        <f t="shared" si="342"/>
        <v>PK</v>
      </c>
      <c r="O3863" s="345" t="s">
        <v>1060</v>
      </c>
      <c r="P3863" s="392"/>
      <c r="Q3863" s="441">
        <v>10.64</v>
      </c>
      <c r="R3863" s="441"/>
      <c r="S3863" s="351"/>
      <c r="T3863" s="351"/>
      <c r="U3863" s="329" t="str">
        <f>IF($N3863=$N$4,IFERROR(INDEX(DanhMuc!$E$154:$E$165,MATCH(MID($B3863,4,2),DanhMuc!$B$154:$B$165,0)),""),"")</f>
        <v/>
      </c>
      <c r="V3863" s="361"/>
      <c r="W3863" s="345"/>
      <c r="X3863" s="329" t="str">
        <f t="shared" si="344"/>
        <v>RT</v>
      </c>
      <c r="Y3863" s="1128" t="s">
        <v>3380</v>
      </c>
      <c r="Z3863" s="1128" t="s">
        <v>3381</v>
      </c>
      <c r="AA3863" s="1128" t="s">
        <v>3384</v>
      </c>
      <c r="AB3863" s="20"/>
      <c r="AC3863" s="73"/>
    </row>
    <row r="3864" spans="1:29">
      <c r="A3864" s="327" t="str">
        <f>IF(AND($B3864&lt;&gt;"",$C3864&lt;&gt;""),MAX($A$1556:A3839)+1,"")</f>
        <v/>
      </c>
      <c r="B3864" s="361" t="s">
        <v>2030</v>
      </c>
      <c r="C3864" s="360"/>
      <c r="D3864" s="327">
        <f>IF($B3864="","",COUNTIF($B$6:$B3864,$B3864))</f>
        <v>5</v>
      </c>
      <c r="E3864" s="361">
        <v>775375</v>
      </c>
      <c r="F3864" s="362" t="s">
        <v>1380</v>
      </c>
      <c r="G3864" s="327" t="s">
        <v>155</v>
      </c>
      <c r="H3864" s="361"/>
      <c r="I3864" s="327">
        <v>1</v>
      </c>
      <c r="J3864" s="345"/>
      <c r="K3864" s="327"/>
      <c r="L3864" s="389">
        <f t="shared" si="343"/>
        <v>433101.2</v>
      </c>
      <c r="M3864" s="371"/>
      <c r="N3864" s="355" t="str">
        <f t="shared" si="342"/>
        <v>PK</v>
      </c>
      <c r="O3864" s="345" t="s">
        <v>2699</v>
      </c>
      <c r="P3864" s="392"/>
      <c r="Q3864" s="441">
        <v>18.62</v>
      </c>
      <c r="R3864" s="441"/>
      <c r="S3864" s="351"/>
      <c r="T3864" s="351"/>
      <c r="U3864" s="329" t="str">
        <f>IF($N3864=$N$4,IFERROR(INDEX(DanhMuc!$E$154:$E$165,MATCH(MID($B3864,4,2),DanhMuc!$B$154:$B$165,0)),""),"")</f>
        <v/>
      </c>
      <c r="V3864" s="361"/>
      <c r="W3864" s="345"/>
      <c r="X3864" s="329" t="str">
        <f t="shared" si="344"/>
        <v>RT</v>
      </c>
      <c r="Y3864" s="1128" t="s">
        <v>3380</v>
      </c>
      <c r="Z3864" s="1128" t="s">
        <v>3381</v>
      </c>
      <c r="AA3864" s="1128" t="s">
        <v>3384</v>
      </c>
      <c r="AB3864" s="20"/>
      <c r="AC3864" s="73"/>
    </row>
    <row r="3865" spans="1:29" ht="25">
      <c r="A3865" s="327" t="str">
        <f>IF(AND($B3865&lt;&gt;"",$C3865&lt;&gt;""),MAX($A$1556:A3840)+1,"")</f>
        <v/>
      </c>
      <c r="B3865" s="361" t="s">
        <v>2030</v>
      </c>
      <c r="C3865" s="360"/>
      <c r="D3865" s="327">
        <f>IF($B3865="","",COUNTIF($B$6:$B3865,$B3865))</f>
        <v>6</v>
      </c>
      <c r="E3865" s="605">
        <v>733375</v>
      </c>
      <c r="F3865" s="362" t="s">
        <v>1393</v>
      </c>
      <c r="G3865" s="327" t="s">
        <v>344</v>
      </c>
      <c r="H3865" s="361"/>
      <c r="I3865" s="327">
        <v>0</v>
      </c>
      <c r="J3865" s="345"/>
      <c r="K3865" s="327"/>
      <c r="L3865" s="389">
        <f>+$L$3808*$Q3865/3</f>
        <v>278422.2</v>
      </c>
      <c r="M3865" s="371"/>
      <c r="N3865" s="355" t="str">
        <f t="shared" si="342"/>
        <v>PK</v>
      </c>
      <c r="O3865" s="345"/>
      <c r="P3865" s="392"/>
      <c r="Q3865" s="441">
        <v>35.909999999999997</v>
      </c>
      <c r="R3865" s="441"/>
      <c r="S3865" s="351"/>
      <c r="T3865" s="351"/>
      <c r="U3865" s="329" t="str">
        <f>IF($N3865=$N$4,IFERROR(INDEX(DanhMuc!$E$154:$E$165,MATCH(MID($B3865,4,2),DanhMuc!$B$154:$B$165,0)),""),"")</f>
        <v/>
      </c>
      <c r="V3865" s="361"/>
      <c r="W3865" s="345"/>
      <c r="X3865" s="329" t="str">
        <f t="shared" si="344"/>
        <v>RT</v>
      </c>
      <c r="Y3865" s="1128" t="s">
        <v>3380</v>
      </c>
      <c r="Z3865" s="1128" t="s">
        <v>3381</v>
      </c>
      <c r="AA3865" s="1128" t="s">
        <v>3384</v>
      </c>
      <c r="AB3865" s="20"/>
      <c r="AC3865" s="73"/>
    </row>
    <row r="3866" spans="1:29" ht="25">
      <c r="A3866" s="327" t="str">
        <f>IF(AND($B3866&lt;&gt;"",$C3866&lt;&gt;""),MAX($A$1556:A3841)+1,"")</f>
        <v/>
      </c>
      <c r="B3866" s="361" t="s">
        <v>2030</v>
      </c>
      <c r="C3866" s="360"/>
      <c r="D3866" s="327">
        <f>IF($B3866="","",COUNTIF($B$6:$B3866,$B3866))</f>
        <v>7</v>
      </c>
      <c r="E3866" s="361">
        <v>734365</v>
      </c>
      <c r="F3866" s="362" t="s">
        <v>1394</v>
      </c>
      <c r="G3866" s="327" t="s">
        <v>155</v>
      </c>
      <c r="H3866" s="361"/>
      <c r="I3866" s="327">
        <v>8</v>
      </c>
      <c r="J3866" s="345"/>
      <c r="K3866" s="327"/>
      <c r="L3866" s="389">
        <f>+$L$3808*$Q3866/3</f>
        <v>397048.2</v>
      </c>
      <c r="M3866" s="371"/>
      <c r="N3866" s="355" t="str">
        <f t="shared" si="342"/>
        <v>PK</v>
      </c>
      <c r="O3866" s="345"/>
      <c r="P3866" s="392"/>
      <c r="Q3866" s="441">
        <v>51.21</v>
      </c>
      <c r="R3866" s="441"/>
      <c r="S3866" s="351"/>
      <c r="T3866" s="351"/>
      <c r="U3866" s="329" t="str">
        <f>IF($N3866=$N$4,IFERROR(INDEX(DanhMuc!$E$154:$E$165,MATCH(MID($B3866,4,2),DanhMuc!$B$154:$B$165,0)),""),"")</f>
        <v/>
      </c>
      <c r="V3866" s="361"/>
      <c r="W3866" s="345"/>
      <c r="X3866" s="329" t="str">
        <f t="shared" si="344"/>
        <v>RT</v>
      </c>
      <c r="Y3866" s="1128" t="s">
        <v>3380</v>
      </c>
      <c r="Z3866" s="1128" t="s">
        <v>3381</v>
      </c>
      <c r="AA3866" s="1128" t="s">
        <v>3384</v>
      </c>
      <c r="AB3866" s="20"/>
      <c r="AC3866" s="73"/>
    </row>
    <row r="3867" spans="1:29" ht="25">
      <c r="A3867" s="327" t="str">
        <f>IF(AND($B3867&lt;&gt;"",$C3867&lt;&gt;""),MAX($A$1556:A3842)+1,"")</f>
        <v/>
      </c>
      <c r="B3867" s="361" t="s">
        <v>2030</v>
      </c>
      <c r="C3867" s="360"/>
      <c r="D3867" s="327">
        <f>IF($B3867="","",COUNTIF($B$6:$B3867,$B3867))</f>
        <v>8</v>
      </c>
      <c r="E3867" s="605">
        <v>733369</v>
      </c>
      <c r="F3867" s="362" t="s">
        <v>1395</v>
      </c>
      <c r="G3867" s="327" t="s">
        <v>155</v>
      </c>
      <c r="H3867" s="361"/>
      <c r="I3867" s="327">
        <v>8</v>
      </c>
      <c r="J3867" s="345"/>
      <c r="K3867" s="327"/>
      <c r="L3867" s="389">
        <f>+$L$3808*$Q3867/3</f>
        <v>188793.66666666666</v>
      </c>
      <c r="M3867" s="371"/>
      <c r="N3867" s="355" t="str">
        <f t="shared" si="342"/>
        <v>PK</v>
      </c>
      <c r="O3867" s="345"/>
      <c r="P3867" s="392"/>
      <c r="Q3867" s="441">
        <v>24.35</v>
      </c>
      <c r="R3867" s="441"/>
      <c r="S3867" s="351"/>
      <c r="T3867" s="351"/>
      <c r="U3867" s="329" t="str">
        <f>IF($N3867=$N$4,IFERROR(INDEX(DanhMuc!$E$154:$E$165,MATCH(MID($B3867,4,2),DanhMuc!$B$154:$B$165,0)),""),"")</f>
        <v/>
      </c>
      <c r="V3867" s="361"/>
      <c r="W3867" s="345"/>
      <c r="X3867" s="329" t="str">
        <f t="shared" si="344"/>
        <v>RT</v>
      </c>
      <c r="Y3867" s="1128" t="s">
        <v>3380</v>
      </c>
      <c r="Z3867" s="1128" t="s">
        <v>3381</v>
      </c>
      <c r="AA3867" s="1128" t="s">
        <v>3384</v>
      </c>
      <c r="AB3867" s="20"/>
      <c r="AC3867" s="73"/>
    </row>
    <row r="3868" spans="1:29">
      <c r="A3868" s="327" t="str">
        <f>IF(AND($B3868&lt;&gt;"",$C3868&lt;&gt;""),MAX($A$1556:A3843)+1,"")</f>
        <v/>
      </c>
      <c r="B3868" s="361" t="s">
        <v>2030</v>
      </c>
      <c r="C3868" s="360"/>
      <c r="D3868" s="327">
        <f>IF($B3868="","",COUNTIF($B$6:$B3868,$B3868))</f>
        <v>9</v>
      </c>
      <c r="E3868" s="605">
        <v>733492</v>
      </c>
      <c r="F3868" s="362" t="s">
        <v>1514</v>
      </c>
      <c r="G3868" s="327" t="s">
        <v>155</v>
      </c>
      <c r="H3868" s="361"/>
      <c r="I3868" s="327">
        <v>8</v>
      </c>
      <c r="J3868" s="345"/>
      <c r="K3868" s="327"/>
      <c r="L3868" s="389">
        <f>+$L$3808*$Q3868/3</f>
        <v>309358</v>
      </c>
      <c r="M3868" s="371"/>
      <c r="N3868" s="355" t="str">
        <f t="shared" ref="N3868:N4050" si="345">+$N$1555</f>
        <v>PK</v>
      </c>
      <c r="O3868" s="345"/>
      <c r="P3868" s="392"/>
      <c r="Q3868" s="441">
        <v>39.9</v>
      </c>
      <c r="R3868" s="441"/>
      <c r="S3868" s="351"/>
      <c r="T3868" s="351"/>
      <c r="U3868" s="329" t="str">
        <f>IF($N3868=$N$4,IFERROR(INDEX(DanhMuc!$E$154:$E$165,MATCH(MID($B3868,4,2),DanhMuc!$B$154:$B$165,0)),""),"")</f>
        <v/>
      </c>
      <c r="V3868" s="361"/>
      <c r="W3868" s="345"/>
      <c r="X3868" s="329" t="str">
        <f t="shared" si="344"/>
        <v>RT</v>
      </c>
      <c r="Y3868" s="1128" t="s">
        <v>3380</v>
      </c>
      <c r="Z3868" s="1128" t="s">
        <v>3381</v>
      </c>
      <c r="AA3868" s="1128" t="s">
        <v>3384</v>
      </c>
      <c r="AB3868" s="20"/>
      <c r="AC3868" s="73"/>
    </row>
    <row r="3869" spans="1:29" ht="25">
      <c r="A3869" s="327" t="str">
        <f>IF(AND($B3869&lt;&gt;"",$C3869&lt;&gt;""),MAX($A$1556:A3844)+1,"")</f>
        <v/>
      </c>
      <c r="B3869" s="361" t="s">
        <v>2030</v>
      </c>
      <c r="C3869" s="360"/>
      <c r="D3869" s="327">
        <f>IF($B3869="","",COUNTIF($B$6:$B3869,$B3869))</f>
        <v>10</v>
      </c>
      <c r="E3869" s="605">
        <v>312831</v>
      </c>
      <c r="F3869" s="362" t="s">
        <v>1515</v>
      </c>
      <c r="G3869" s="327" t="s">
        <v>344</v>
      </c>
      <c r="H3869" s="361"/>
      <c r="I3869" s="327">
        <v>0</v>
      </c>
      <c r="J3869" s="345"/>
      <c r="K3869" s="327"/>
      <c r="L3869" s="389">
        <f>+$L$3808*$Q3869/3</f>
        <v>15584.199999999999</v>
      </c>
      <c r="M3869" s="371"/>
      <c r="N3869" s="355" t="str">
        <f t="shared" si="345"/>
        <v>PK</v>
      </c>
      <c r="O3869" s="345"/>
      <c r="P3869" s="392"/>
      <c r="Q3869" s="441">
        <v>2.0099999999999998</v>
      </c>
      <c r="R3869" s="441"/>
      <c r="S3869" s="351"/>
      <c r="T3869" s="351"/>
      <c r="U3869" s="329" t="str">
        <f>IF($N3869=$N$4,IFERROR(INDEX(DanhMuc!$E$154:$E$165,MATCH(MID($B3869,4,2),DanhMuc!$B$154:$B$165,0)),""),"")</f>
        <v/>
      </c>
      <c r="V3869" s="361"/>
      <c r="W3869" s="345"/>
      <c r="X3869" s="329" t="str">
        <f t="shared" si="344"/>
        <v>RT</v>
      </c>
      <c r="Y3869" s="1128" t="s">
        <v>3380</v>
      </c>
      <c r="Z3869" s="1128" t="s">
        <v>3381</v>
      </c>
      <c r="AA3869" s="1128" t="s">
        <v>3384</v>
      </c>
      <c r="AB3869" s="20"/>
      <c r="AC3869" s="73"/>
    </row>
    <row r="3870" spans="1:29">
      <c r="A3870" s="327" t="str">
        <f>IF(AND($B3870&lt;&gt;"",$C3870&lt;&gt;""),MAX($A$1556:A3845)+1,"")</f>
        <v/>
      </c>
      <c r="B3870" s="361" t="s">
        <v>2030</v>
      </c>
      <c r="C3870" s="360"/>
      <c r="D3870" s="327">
        <f>IF($B3870="","",COUNTIF($B$6:$B3870,$B3870))</f>
        <v>11</v>
      </c>
      <c r="E3870" s="361">
        <v>492575</v>
      </c>
      <c r="F3870" s="431" t="s">
        <v>1382</v>
      </c>
      <c r="G3870" s="327" t="s">
        <v>155</v>
      </c>
      <c r="H3870" s="361"/>
      <c r="I3870" s="327">
        <v>8</v>
      </c>
      <c r="J3870" s="345"/>
      <c r="K3870" s="327"/>
      <c r="L3870" s="389">
        <f t="shared" si="343"/>
        <v>510557</v>
      </c>
      <c r="M3870" s="371"/>
      <c r="N3870" s="355" t="str">
        <f t="shared" si="345"/>
        <v>PK</v>
      </c>
      <c r="O3870" s="345"/>
      <c r="P3870" s="392"/>
      <c r="Q3870" s="441">
        <v>21.95</v>
      </c>
      <c r="R3870" s="441"/>
      <c r="S3870" s="351"/>
      <c r="T3870" s="351"/>
      <c r="U3870" s="329" t="str">
        <f>IF($N3870=$N$4,IFERROR(INDEX(DanhMuc!$E$154:$E$165,MATCH(MID($B3870,4,2),DanhMuc!$B$154:$B$165,0)),""),"")</f>
        <v/>
      </c>
      <c r="V3870" s="361"/>
      <c r="W3870" s="345"/>
      <c r="X3870" s="329" t="str">
        <f t="shared" si="344"/>
        <v>RT</v>
      </c>
      <c r="Y3870" s="1128" t="s">
        <v>3380</v>
      </c>
      <c r="Z3870" s="1128" t="s">
        <v>3381</v>
      </c>
      <c r="AA3870" s="1128" t="s">
        <v>3384</v>
      </c>
      <c r="AB3870" s="20"/>
      <c r="AC3870" s="73"/>
    </row>
    <row r="3871" spans="1:29" ht="25">
      <c r="A3871" s="327" t="str">
        <f>IF(AND($B3871&lt;&gt;"",$C3871&lt;&gt;""),MAX($A$1556:A3846)+1,"")</f>
        <v/>
      </c>
      <c r="B3871" s="361" t="s">
        <v>2030</v>
      </c>
      <c r="C3871" s="360"/>
      <c r="D3871" s="327">
        <f>IF($B3871="","",COUNTIF($B$6:$B3871,$B3871))</f>
        <v>12</v>
      </c>
      <c r="E3871" s="411">
        <v>630955</v>
      </c>
      <c r="F3871" s="432" t="s">
        <v>1385</v>
      </c>
      <c r="G3871" s="410" t="s">
        <v>156</v>
      </c>
      <c r="H3871" s="402"/>
      <c r="I3871" s="327">
        <v>1</v>
      </c>
      <c r="J3871" s="345"/>
      <c r="K3871" s="327"/>
      <c r="L3871" s="389">
        <f t="shared" si="343"/>
        <v>114904.40000000001</v>
      </c>
      <c r="M3871" s="371"/>
      <c r="N3871" s="355" t="str">
        <f t="shared" si="345"/>
        <v>PK</v>
      </c>
      <c r="O3871" s="404" t="s">
        <v>1623</v>
      </c>
      <c r="P3871" s="392"/>
      <c r="Q3871" s="441">
        <v>4.9400000000000004</v>
      </c>
      <c r="R3871" s="441"/>
      <c r="S3871" s="351"/>
      <c r="T3871" s="351"/>
      <c r="U3871" s="329" t="str">
        <f>IF($N3871=$N$4,IFERROR(INDEX(DanhMuc!$E$154:$E$165,MATCH(MID($B3871,4,2),DanhMuc!$B$154:$B$165,0)),""),"")</f>
        <v/>
      </c>
      <c r="V3871" s="361"/>
      <c r="W3871" s="345"/>
      <c r="X3871" s="329" t="str">
        <f t="shared" si="344"/>
        <v>RT</v>
      </c>
      <c r="Y3871" s="1128" t="s">
        <v>3380</v>
      </c>
      <c r="Z3871" s="1128" t="s">
        <v>3381</v>
      </c>
      <c r="AA3871" s="1128" t="s">
        <v>3384</v>
      </c>
      <c r="AB3871" s="20"/>
      <c r="AC3871" s="73"/>
    </row>
    <row r="3872" spans="1:29" ht="25">
      <c r="A3872" s="327" t="str">
        <f>IF(AND($B3872&lt;&gt;"",$C3872&lt;&gt;""),MAX($A$1556:A3847)+1,"")</f>
        <v/>
      </c>
      <c r="B3872" s="361" t="s">
        <v>2030</v>
      </c>
      <c r="C3872" s="360"/>
      <c r="D3872" s="327">
        <f>IF($B3872="","",COUNTIF($B$6:$B3872,$B3872))</f>
        <v>13</v>
      </c>
      <c r="E3872" s="411">
        <v>630957</v>
      </c>
      <c r="F3872" s="432" t="s">
        <v>1386</v>
      </c>
      <c r="G3872" s="410" t="s">
        <v>156</v>
      </c>
      <c r="H3872" s="402"/>
      <c r="I3872" s="327">
        <v>1</v>
      </c>
      <c r="J3872" s="345"/>
      <c r="K3872" s="327"/>
      <c r="L3872" s="389">
        <f t="shared" si="343"/>
        <v>154911.6</v>
      </c>
      <c r="M3872" s="371"/>
      <c r="N3872" s="355" t="str">
        <f t="shared" si="345"/>
        <v>PK</v>
      </c>
      <c r="O3872" s="404" t="s">
        <v>1623</v>
      </c>
      <c r="P3872" s="392"/>
      <c r="Q3872" s="441">
        <v>6.66</v>
      </c>
      <c r="R3872" s="441"/>
      <c r="S3872" s="351"/>
      <c r="T3872" s="351"/>
      <c r="U3872" s="329" t="str">
        <f>IF($N3872=$N$4,IFERROR(INDEX(DanhMuc!$E$154:$E$165,MATCH(MID($B3872,4,2),DanhMuc!$B$154:$B$165,0)),""),"")</f>
        <v/>
      </c>
      <c r="V3872" s="361"/>
      <c r="W3872" s="345"/>
      <c r="X3872" s="329" t="str">
        <f t="shared" si="344"/>
        <v>RT</v>
      </c>
      <c r="Y3872" s="1128" t="s">
        <v>3380</v>
      </c>
      <c r="Z3872" s="1128" t="s">
        <v>3381</v>
      </c>
      <c r="AA3872" s="1128" t="s">
        <v>3384</v>
      </c>
      <c r="AB3872" s="20"/>
      <c r="AC3872" s="73"/>
    </row>
    <row r="3873" spans="1:29">
      <c r="A3873" s="327" t="str">
        <f>IF(AND($B3873&lt;&gt;"",$C3873&lt;&gt;""),MAX($A$1556:A3848)+1,"")</f>
        <v/>
      </c>
      <c r="B3873" s="361" t="s">
        <v>2030</v>
      </c>
      <c r="C3873" s="360"/>
      <c r="D3873" s="327">
        <f>IF($B3873="","",COUNTIF($B$6:$B3873,$B3873))</f>
        <v>14</v>
      </c>
      <c r="E3873" s="430">
        <v>633302</v>
      </c>
      <c r="F3873" s="431" t="s">
        <v>1388</v>
      </c>
      <c r="G3873" s="327" t="s">
        <v>156</v>
      </c>
      <c r="H3873" s="361"/>
      <c r="I3873" s="327">
        <v>3</v>
      </c>
      <c r="J3873" s="345"/>
      <c r="K3873" s="327"/>
      <c r="L3873" s="389">
        <f t="shared" si="343"/>
        <v>665236</v>
      </c>
      <c r="M3873" s="371"/>
      <c r="N3873" s="355" t="str">
        <f t="shared" si="345"/>
        <v>PK</v>
      </c>
      <c r="O3873" s="404" t="s">
        <v>1623</v>
      </c>
      <c r="P3873" s="392"/>
      <c r="Q3873" s="441">
        <v>28.6</v>
      </c>
      <c r="R3873" s="441"/>
      <c r="S3873" s="351"/>
      <c r="T3873" s="351"/>
      <c r="U3873" s="329" t="str">
        <f>IF($N3873=$N$4,IFERROR(INDEX(DanhMuc!$E$154:$E$165,MATCH(MID($B3873,4,2),DanhMuc!$B$154:$B$165,0)),""),"")</f>
        <v/>
      </c>
      <c r="V3873" s="361"/>
      <c r="W3873" s="345"/>
      <c r="X3873" s="329" t="str">
        <f t="shared" si="344"/>
        <v>RT</v>
      </c>
      <c r="Y3873" s="1128" t="s">
        <v>3380</v>
      </c>
      <c r="Z3873" s="1128" t="s">
        <v>3381</v>
      </c>
      <c r="AA3873" s="1128" t="s">
        <v>3384</v>
      </c>
      <c r="AB3873" s="20"/>
      <c r="AC3873" s="73"/>
    </row>
    <row r="3874" spans="1:29">
      <c r="A3874" s="327" t="str">
        <f>IF(AND($B3874&lt;&gt;"",$C3874&lt;&gt;""),MAX($A$1556:A3849)+1,"")</f>
        <v/>
      </c>
      <c r="B3874" s="361" t="s">
        <v>2030</v>
      </c>
      <c r="C3874" s="360"/>
      <c r="D3874" s="327">
        <f>IF($B3874="","",COUNTIF($B$6:$B3874,$B3874))</f>
        <v>15</v>
      </c>
      <c r="E3874" s="430">
        <v>641810</v>
      </c>
      <c r="F3874" s="431" t="s">
        <v>1389</v>
      </c>
      <c r="G3874" s="327" t="s">
        <v>156</v>
      </c>
      <c r="H3874" s="361"/>
      <c r="I3874" s="327">
        <v>3</v>
      </c>
      <c r="J3874" s="345"/>
      <c r="K3874" s="327"/>
      <c r="L3874" s="389">
        <f t="shared" si="343"/>
        <v>71640.800000000003</v>
      </c>
      <c r="M3874" s="371"/>
      <c r="N3874" s="355" t="str">
        <f t="shared" si="345"/>
        <v>PK</v>
      </c>
      <c r="O3874" s="345"/>
      <c r="P3874" s="392"/>
      <c r="Q3874" s="441">
        <v>3.08</v>
      </c>
      <c r="R3874" s="441"/>
      <c r="S3874" s="351"/>
      <c r="T3874" s="351"/>
      <c r="U3874" s="329" t="str">
        <f>IF($N3874=$N$4,IFERROR(INDEX(DanhMuc!$E$154:$E$165,MATCH(MID($B3874,4,2),DanhMuc!$B$154:$B$165,0)),""),"")</f>
        <v/>
      </c>
      <c r="V3874" s="361"/>
      <c r="W3874" s="345"/>
      <c r="X3874" s="329" t="str">
        <f t="shared" si="344"/>
        <v>RT</v>
      </c>
      <c r="Y3874" s="1128" t="s">
        <v>3380</v>
      </c>
      <c r="Z3874" s="1128" t="s">
        <v>3381</v>
      </c>
      <c r="AA3874" s="1128" t="s">
        <v>3384</v>
      </c>
      <c r="AB3874" s="20"/>
      <c r="AC3874" s="73"/>
    </row>
    <row r="3875" spans="1:29">
      <c r="A3875" s="327" t="str">
        <f>IF(AND($B3875&lt;&gt;"",$C3875&lt;&gt;""),MAX($A$1556:A3850)+1,"")</f>
        <v/>
      </c>
      <c r="B3875" s="361" t="s">
        <v>2030</v>
      </c>
      <c r="C3875" s="360"/>
      <c r="D3875" s="327">
        <f>IF($B3875="","",COUNTIF($B$6:$B3875,$B3875))</f>
        <v>16</v>
      </c>
      <c r="E3875" s="430">
        <v>349187</v>
      </c>
      <c r="F3875" s="362" t="s">
        <v>1390</v>
      </c>
      <c r="G3875" s="327" t="s">
        <v>155</v>
      </c>
      <c r="H3875" s="361"/>
      <c r="I3875" s="327">
        <v>6</v>
      </c>
      <c r="J3875" s="345"/>
      <c r="K3875" s="327"/>
      <c r="L3875" s="389">
        <f t="shared" si="343"/>
        <v>145840.19999999998</v>
      </c>
      <c r="M3875" s="371"/>
      <c r="N3875" s="355" t="str">
        <f t="shared" si="345"/>
        <v>PK</v>
      </c>
      <c r="O3875" s="345"/>
      <c r="P3875" s="392"/>
      <c r="Q3875" s="441">
        <v>6.27</v>
      </c>
      <c r="R3875" s="441"/>
      <c r="S3875" s="351"/>
      <c r="T3875" s="351"/>
      <c r="U3875" s="329" t="str">
        <f>IF($N3875=$N$4,IFERROR(INDEX(DanhMuc!$E$154:$E$165,MATCH(MID($B3875,4,2),DanhMuc!$B$154:$B$165,0)),""),"")</f>
        <v/>
      </c>
      <c r="V3875" s="361"/>
      <c r="W3875" s="345"/>
      <c r="X3875" s="329" t="str">
        <f t="shared" si="344"/>
        <v>RT</v>
      </c>
      <c r="Y3875" s="1128" t="s">
        <v>3380</v>
      </c>
      <c r="Z3875" s="1128" t="s">
        <v>3381</v>
      </c>
      <c r="AA3875" s="1128" t="s">
        <v>3384</v>
      </c>
      <c r="AB3875" s="20"/>
      <c r="AC3875" s="73"/>
    </row>
    <row r="3876" spans="1:29">
      <c r="A3876" s="327" t="str">
        <f>IF(AND($B3876&lt;&gt;"",$C3876&lt;&gt;""),MAX($A$1556:A3851)+1,"")</f>
        <v/>
      </c>
      <c r="B3876" s="361" t="s">
        <v>2030</v>
      </c>
      <c r="C3876" s="360"/>
      <c r="D3876" s="327">
        <f>IF($B3876="","",COUNTIF($B$6:$B3876,$B3876))</f>
        <v>17</v>
      </c>
      <c r="E3876" s="430">
        <v>260434</v>
      </c>
      <c r="F3876" s="431" t="s">
        <v>1391</v>
      </c>
      <c r="G3876" s="327" t="s">
        <v>155</v>
      </c>
      <c r="H3876" s="361"/>
      <c r="I3876" s="327">
        <v>3</v>
      </c>
      <c r="J3876" s="345"/>
      <c r="K3876" s="327"/>
      <c r="L3876" s="389">
        <f t="shared" si="343"/>
        <v>31168.400000000001</v>
      </c>
      <c r="M3876" s="371"/>
      <c r="N3876" s="355" t="str">
        <f t="shared" si="345"/>
        <v>PK</v>
      </c>
      <c r="O3876" s="345"/>
      <c r="P3876" s="392"/>
      <c r="Q3876" s="441">
        <v>1.34</v>
      </c>
      <c r="R3876" s="441"/>
      <c r="S3876" s="351"/>
      <c r="T3876" s="351"/>
      <c r="U3876" s="329" t="str">
        <f>IF($N3876=$N$4,IFERROR(INDEX(DanhMuc!$E$154:$E$165,MATCH(MID($B3876,4,2),DanhMuc!$B$154:$B$165,0)),""),"")</f>
        <v/>
      </c>
      <c r="V3876" s="361"/>
      <c r="W3876" s="345"/>
      <c r="X3876" s="329" t="str">
        <f t="shared" si="344"/>
        <v>RT</v>
      </c>
      <c r="Y3876" s="1128" t="s">
        <v>3380</v>
      </c>
      <c r="Z3876" s="1128" t="s">
        <v>3381</v>
      </c>
      <c r="AA3876" s="1128" t="s">
        <v>3384</v>
      </c>
      <c r="AB3876" s="20"/>
      <c r="AC3876" s="73"/>
    </row>
    <row r="3877" spans="1:29">
      <c r="A3877" s="327" t="str">
        <f>IF(AND($B3877&lt;&gt;"",$C3877&lt;&gt;""),MAX($A$1556:A3852)+1,"")</f>
        <v/>
      </c>
      <c r="B3877" s="361" t="s">
        <v>2030</v>
      </c>
      <c r="C3877" s="360"/>
      <c r="D3877" s="327">
        <f>IF($B3877="","",COUNTIF($B$6:$B3877,$B3877))</f>
        <v>18</v>
      </c>
      <c r="E3877" s="430">
        <v>339395</v>
      </c>
      <c r="F3877" s="431" t="s">
        <v>1392</v>
      </c>
      <c r="G3877" s="351" t="s">
        <v>155</v>
      </c>
      <c r="H3877" s="361"/>
      <c r="I3877" s="327">
        <v>4</v>
      </c>
      <c r="J3877" s="345"/>
      <c r="K3877" s="327"/>
      <c r="L3877" s="389">
        <f t="shared" si="343"/>
        <v>37216</v>
      </c>
      <c r="M3877" s="371"/>
      <c r="N3877" s="355" t="str">
        <f t="shared" si="345"/>
        <v>PK</v>
      </c>
      <c r="O3877" s="404" t="s">
        <v>1623</v>
      </c>
      <c r="P3877" s="392"/>
      <c r="Q3877" s="441">
        <v>1.6</v>
      </c>
      <c r="R3877" s="441"/>
      <c r="S3877" s="351"/>
      <c r="T3877" s="351"/>
      <c r="U3877" s="329" t="str">
        <f>IF($N3877=$N$4,IFERROR(INDEX(DanhMuc!$E$154:$E$165,MATCH(MID($B3877,4,2),DanhMuc!$B$154:$B$165,0)),""),"")</f>
        <v/>
      </c>
      <c r="V3877" s="361"/>
      <c r="W3877" s="345"/>
      <c r="X3877" s="329" t="str">
        <f t="shared" si="344"/>
        <v>RT</v>
      </c>
      <c r="Y3877" s="1128" t="s">
        <v>3380</v>
      </c>
      <c r="Z3877" s="1128" t="s">
        <v>3381</v>
      </c>
      <c r="AA3877" s="1128" t="s">
        <v>3384</v>
      </c>
      <c r="AB3877" s="20"/>
      <c r="AC3877" s="73"/>
    </row>
    <row r="3878" spans="1:29">
      <c r="A3878" s="327" t="str">
        <f>IF(AND($B3878&lt;&gt;"",$C3878&lt;&gt;""),MAX($A$1556:A3853)+1,"")</f>
        <v/>
      </c>
      <c r="B3878" s="361" t="s">
        <v>2030</v>
      </c>
      <c r="C3878" s="360"/>
      <c r="D3878" s="327">
        <f>IF($B3878="","",COUNTIF($B$6:$B3878,$B3878))</f>
        <v>19</v>
      </c>
      <c r="E3878" s="430">
        <v>229107</v>
      </c>
      <c r="F3878" s="431" t="s">
        <v>1456</v>
      </c>
      <c r="G3878" s="351" t="s">
        <v>155</v>
      </c>
      <c r="H3878" s="361"/>
      <c r="I3878" s="327">
        <v>1</v>
      </c>
      <c r="J3878" s="345"/>
      <c r="K3878" s="327"/>
      <c r="L3878" s="389">
        <v>23600</v>
      </c>
      <c r="M3878" s="371"/>
      <c r="N3878" s="355" t="str">
        <f t="shared" si="345"/>
        <v>PK</v>
      </c>
      <c r="O3878" s="345"/>
      <c r="P3878" s="392"/>
      <c r="Q3878" s="441"/>
      <c r="R3878" s="441"/>
      <c r="S3878" s="351"/>
      <c r="T3878" s="351"/>
      <c r="U3878" s="329" t="str">
        <f>IF($N3878=$N$4,IFERROR(INDEX(DanhMuc!$E$154:$E$165,MATCH(MID($B3878,4,2),DanhMuc!$B$154:$B$165,0)),""),"")</f>
        <v/>
      </c>
      <c r="V3878" s="361"/>
      <c r="W3878" s="345"/>
      <c r="X3878" s="329" t="str">
        <f t="shared" si="344"/>
        <v>RT</v>
      </c>
      <c r="Y3878" s="1128" t="s">
        <v>3380</v>
      </c>
      <c r="Z3878" s="1128" t="s">
        <v>3381</v>
      </c>
      <c r="AA3878" s="1128" t="s">
        <v>3384</v>
      </c>
      <c r="AB3878" s="20"/>
      <c r="AC3878" s="73"/>
    </row>
    <row r="3879" spans="1:29">
      <c r="A3879" s="327" t="str">
        <f>IF(AND($B3879&lt;&gt;"",$C3879&lt;&gt;""),MAX($A$1556:A3854)+1,"")</f>
        <v/>
      </c>
      <c r="B3879" s="361" t="s">
        <v>2030</v>
      </c>
      <c r="C3879" s="360"/>
      <c r="D3879" s="327">
        <f>IF($B3879="","",COUNTIF($B$6:$B3879,$B3879))</f>
        <v>20</v>
      </c>
      <c r="E3879" s="430">
        <v>229117</v>
      </c>
      <c r="F3879" s="431" t="s">
        <v>1457</v>
      </c>
      <c r="G3879" s="351" t="s">
        <v>155</v>
      </c>
      <c r="H3879" s="361"/>
      <c r="I3879" s="327">
        <v>1</v>
      </c>
      <c r="J3879" s="345"/>
      <c r="K3879" s="327"/>
      <c r="L3879" s="389">
        <v>23600</v>
      </c>
      <c r="M3879" s="371"/>
      <c r="N3879" s="355" t="str">
        <f t="shared" si="345"/>
        <v>PK</v>
      </c>
      <c r="O3879" s="345"/>
      <c r="P3879" s="392"/>
      <c r="Q3879" s="441"/>
      <c r="R3879" s="441"/>
      <c r="S3879" s="351"/>
      <c r="T3879" s="351"/>
      <c r="U3879" s="329" t="str">
        <f>IF($N3879=$N$4,IFERROR(INDEX(DanhMuc!$E$154:$E$165,MATCH(MID($B3879,4,2),DanhMuc!$B$154:$B$165,0)),""),"")</f>
        <v/>
      </c>
      <c r="V3879" s="361"/>
      <c r="W3879" s="345"/>
      <c r="X3879" s="329" t="str">
        <f t="shared" si="344"/>
        <v>RT</v>
      </c>
      <c r="Y3879" s="1128" t="s">
        <v>3380</v>
      </c>
      <c r="Z3879" s="1128" t="s">
        <v>3381</v>
      </c>
      <c r="AA3879" s="1128" t="s">
        <v>3384</v>
      </c>
      <c r="AB3879" s="20"/>
      <c r="AC3879" s="73"/>
    </row>
    <row r="3880" spans="1:29">
      <c r="A3880" s="327" t="str">
        <f>IF(AND($B3880&lt;&gt;"",$C3880&lt;&gt;""),MAX($A$1556:A3855)+1,"")</f>
        <v/>
      </c>
      <c r="B3880" s="361" t="s">
        <v>2030</v>
      </c>
      <c r="C3880" s="360"/>
      <c r="D3880" s="327">
        <f>IF($B3880="","",COUNTIF($B$6:$B3880,$B3880))</f>
        <v>21</v>
      </c>
      <c r="E3880" s="430">
        <v>445213</v>
      </c>
      <c r="F3880" s="431" t="s">
        <v>1963</v>
      </c>
      <c r="G3880" s="351" t="s">
        <v>155</v>
      </c>
      <c r="H3880" s="361"/>
      <c r="I3880" s="327">
        <v>1</v>
      </c>
      <c r="J3880" s="345"/>
      <c r="K3880" s="327"/>
      <c r="L3880" s="389">
        <f t="shared" si="343"/>
        <v>294239</v>
      </c>
      <c r="M3880" s="371"/>
      <c r="N3880" s="355" t="str">
        <f t="shared" si="345"/>
        <v>PK</v>
      </c>
      <c r="O3880" s="345"/>
      <c r="P3880" s="392"/>
      <c r="Q3880" s="441">
        <v>12.65</v>
      </c>
      <c r="R3880" s="441"/>
      <c r="S3880" s="351"/>
      <c r="T3880" s="351"/>
      <c r="U3880" s="329" t="str">
        <f>IF($N3880=$N$4,IFERROR(INDEX(DanhMuc!$E$154:$E$165,MATCH(MID($B3880,4,2),DanhMuc!$B$154:$B$165,0)),""),"")</f>
        <v/>
      </c>
      <c r="V3880" s="361"/>
      <c r="W3880" s="345"/>
      <c r="X3880" s="329" t="str">
        <f t="shared" si="344"/>
        <v>RT</v>
      </c>
      <c r="Y3880" s="1128" t="s">
        <v>3380</v>
      </c>
      <c r="Z3880" s="1128" t="s">
        <v>3381</v>
      </c>
      <c r="AA3880" s="1128" t="s">
        <v>3384</v>
      </c>
      <c r="AB3880" s="20"/>
      <c r="AC3880" s="73"/>
    </row>
    <row r="3881" spans="1:29" ht="26">
      <c r="A3881" s="327">
        <f>IF(AND($B3881&lt;&gt;"",$C3881&lt;&gt;""),MAX($A$1556:A3856)+1,"")</f>
        <v>186</v>
      </c>
      <c r="B3881" s="359" t="s">
        <v>2838</v>
      </c>
      <c r="C3881" s="370" t="s">
        <v>1574</v>
      </c>
      <c r="D3881" s="327">
        <f>IF($B3881="","",COUNTIF($B$6:$B3881,$B3881))</f>
        <v>1</v>
      </c>
      <c r="E3881" s="430">
        <v>630963</v>
      </c>
      <c r="F3881" s="362" t="s">
        <v>1376</v>
      </c>
      <c r="G3881" s="327" t="s">
        <v>344</v>
      </c>
      <c r="H3881" s="361"/>
      <c r="I3881" s="327">
        <v>1</v>
      </c>
      <c r="J3881" s="361"/>
      <c r="K3881" s="327"/>
      <c r="L3881" s="389">
        <f>+$L$3808*$Q3881</f>
        <v>866202.4</v>
      </c>
      <c r="M3881" s="371"/>
      <c r="N3881" s="355" t="str">
        <f t="shared" si="345"/>
        <v>PK</v>
      </c>
      <c r="O3881" s="404" t="s">
        <v>1623</v>
      </c>
      <c r="P3881" s="392"/>
      <c r="Q3881" s="441">
        <v>37.24</v>
      </c>
      <c r="R3881" s="441"/>
      <c r="S3881" s="351"/>
      <c r="T3881" s="351"/>
      <c r="U3881" s="329" t="str">
        <f>IF($N3881=$N$4,IFERROR(INDEX(DanhMuc!$E$154:$E$165,MATCH(MID($B3881,4,2),DanhMuc!$B$154:$B$165,0)),""),"")</f>
        <v/>
      </c>
      <c r="V3881" s="361"/>
      <c r="W3881" s="345"/>
      <c r="X3881" s="329" t="str">
        <f t="shared" si="344"/>
        <v>RT</v>
      </c>
      <c r="Y3881" s="1128" t="s">
        <v>3380</v>
      </c>
      <c r="Z3881" s="1128" t="s">
        <v>3381</v>
      </c>
      <c r="AA3881" s="1128" t="s">
        <v>3384</v>
      </c>
      <c r="AB3881" s="20"/>
      <c r="AC3881" s="73"/>
    </row>
    <row r="3882" spans="1:29">
      <c r="A3882" s="327" t="str">
        <f>IF(AND($B3882&lt;&gt;"",$C3882&lt;&gt;""),MAX($A$1556:A3857)+1,"")</f>
        <v/>
      </c>
      <c r="B3882" s="361" t="s">
        <v>2838</v>
      </c>
      <c r="C3882" s="360"/>
      <c r="D3882" s="327">
        <f>IF($B3882="","",COUNTIF($B$6:$B3882,$B3882))</f>
        <v>2</v>
      </c>
      <c r="E3882" s="430">
        <v>449873</v>
      </c>
      <c r="F3882" s="362" t="s">
        <v>1377</v>
      </c>
      <c r="G3882" s="327" t="s">
        <v>344</v>
      </c>
      <c r="H3882" s="361"/>
      <c r="I3882" s="327">
        <v>1</v>
      </c>
      <c r="J3882" s="361"/>
      <c r="K3882" s="327"/>
      <c r="L3882" s="389">
        <f t="shared" si="343"/>
        <v>494972.80000000005</v>
      </c>
      <c r="M3882" s="371"/>
      <c r="N3882" s="355" t="str">
        <f t="shared" si="345"/>
        <v>PK</v>
      </c>
      <c r="O3882" s="404" t="s">
        <v>1626</v>
      </c>
      <c r="P3882" s="392"/>
      <c r="Q3882" s="441">
        <v>21.28</v>
      </c>
      <c r="R3882" s="441"/>
      <c r="S3882" s="351"/>
      <c r="T3882" s="351"/>
      <c r="U3882" s="329" t="str">
        <f>IF($N3882=$N$4,IFERROR(INDEX(DanhMuc!$E$154:$E$165,MATCH(MID($B3882,4,2),DanhMuc!$B$154:$B$165,0)),""),"")</f>
        <v/>
      </c>
      <c r="V3882" s="361"/>
      <c r="W3882" s="345"/>
      <c r="X3882" s="329" t="str">
        <f t="shared" si="344"/>
        <v>RT</v>
      </c>
      <c r="Y3882" s="1128" t="s">
        <v>3380</v>
      </c>
      <c r="Z3882" s="1128" t="s">
        <v>3381</v>
      </c>
      <c r="AA3882" s="1128" t="s">
        <v>3384</v>
      </c>
      <c r="AB3882" s="20"/>
      <c r="AC3882" s="73"/>
    </row>
    <row r="3883" spans="1:29">
      <c r="A3883" s="327" t="str">
        <f>IF(AND($B3883&lt;&gt;"",$C3883&lt;&gt;""),MAX($A$1556:A3858)+1,"")</f>
        <v/>
      </c>
      <c r="B3883" s="361" t="s">
        <v>2838</v>
      </c>
      <c r="C3883" s="360"/>
      <c r="D3883" s="327">
        <f>IF($B3883="","",COUNTIF($B$6:$B3883,$B3883))</f>
        <v>3</v>
      </c>
      <c r="E3883" s="361">
        <v>570669</v>
      </c>
      <c r="F3883" s="362" t="s">
        <v>1378</v>
      </c>
      <c r="G3883" s="327" t="s">
        <v>344</v>
      </c>
      <c r="H3883" s="361"/>
      <c r="I3883" s="327">
        <v>1</v>
      </c>
      <c r="J3883" s="345"/>
      <c r="K3883" s="327"/>
      <c r="L3883" s="389">
        <f t="shared" si="343"/>
        <v>525908.6</v>
      </c>
      <c r="M3883" s="371"/>
      <c r="N3883" s="355" t="str">
        <f t="shared" si="345"/>
        <v>PK</v>
      </c>
      <c r="O3883" s="345"/>
      <c r="P3883" s="392"/>
      <c r="Q3883" s="441">
        <v>22.61</v>
      </c>
      <c r="R3883" s="441"/>
      <c r="S3883" s="351"/>
      <c r="T3883" s="351"/>
      <c r="U3883" s="329" t="str">
        <f>IF($N3883=$N$4,IFERROR(INDEX(DanhMuc!$E$154:$E$165,MATCH(MID($B3883,4,2),DanhMuc!$B$154:$B$165,0)),""),"")</f>
        <v/>
      </c>
      <c r="V3883" s="361"/>
      <c r="W3883" s="345"/>
      <c r="X3883" s="329" t="str">
        <f t="shared" si="344"/>
        <v>RT</v>
      </c>
      <c r="Y3883" s="1128" t="s">
        <v>3380</v>
      </c>
      <c r="Z3883" s="1128" t="s">
        <v>3381</v>
      </c>
      <c r="AA3883" s="1128" t="s">
        <v>3384</v>
      </c>
      <c r="AB3883" s="20"/>
      <c r="AC3883" s="73"/>
    </row>
    <row r="3884" spans="1:29">
      <c r="A3884" s="327" t="str">
        <f>IF(AND($B3884&lt;&gt;"",$C3884&lt;&gt;""),MAX($A$1556:A3859)+1,"")</f>
        <v/>
      </c>
      <c r="B3884" s="361" t="s">
        <v>2838</v>
      </c>
      <c r="C3884" s="360"/>
      <c r="D3884" s="327">
        <f>IF($B3884="","",COUNTIF($B$6:$B3884,$B3884))</f>
        <v>4</v>
      </c>
      <c r="E3884" s="361">
        <v>775376</v>
      </c>
      <c r="F3884" s="362" t="s">
        <v>1379</v>
      </c>
      <c r="G3884" s="327" t="s">
        <v>155</v>
      </c>
      <c r="H3884" s="361"/>
      <c r="I3884" s="327">
        <v>1</v>
      </c>
      <c r="J3884" s="345"/>
      <c r="K3884" s="327"/>
      <c r="L3884" s="389">
        <f t="shared" si="343"/>
        <v>247486.40000000002</v>
      </c>
      <c r="M3884" s="371"/>
      <c r="N3884" s="355" t="str">
        <f t="shared" si="345"/>
        <v>PK</v>
      </c>
      <c r="O3884" s="345" t="s">
        <v>1060</v>
      </c>
      <c r="P3884" s="392"/>
      <c r="Q3884" s="441">
        <v>10.64</v>
      </c>
      <c r="R3884" s="441"/>
      <c r="S3884" s="351"/>
      <c r="T3884" s="351"/>
      <c r="U3884" s="329" t="str">
        <f>IF($N3884=$N$4,IFERROR(INDEX(DanhMuc!$E$154:$E$165,MATCH(MID($B3884,4,2),DanhMuc!$B$154:$B$165,0)),""),"")</f>
        <v/>
      </c>
      <c r="V3884" s="361"/>
      <c r="W3884" s="345"/>
      <c r="X3884" s="329" t="str">
        <f t="shared" si="344"/>
        <v>RT</v>
      </c>
      <c r="Y3884" s="1128" t="s">
        <v>3380</v>
      </c>
      <c r="Z3884" s="1128" t="s">
        <v>3381</v>
      </c>
      <c r="AA3884" s="1128" t="s">
        <v>3384</v>
      </c>
      <c r="AB3884" s="20"/>
      <c r="AC3884" s="73"/>
    </row>
    <row r="3885" spans="1:29">
      <c r="A3885" s="327" t="str">
        <f>IF(AND($B3885&lt;&gt;"",$C3885&lt;&gt;""),MAX($A$1556:A3860)+1,"")</f>
        <v/>
      </c>
      <c r="B3885" s="361" t="s">
        <v>2838</v>
      </c>
      <c r="C3885" s="360"/>
      <c r="D3885" s="327">
        <f>IF($B3885="","",COUNTIF($B$6:$B3885,$B3885))</f>
        <v>5</v>
      </c>
      <c r="E3885" s="361">
        <v>775375</v>
      </c>
      <c r="F3885" s="362" t="s">
        <v>1380</v>
      </c>
      <c r="G3885" s="327" t="s">
        <v>155</v>
      </c>
      <c r="H3885" s="361"/>
      <c r="I3885" s="327">
        <v>1</v>
      </c>
      <c r="J3885" s="345"/>
      <c r="K3885" s="327"/>
      <c r="L3885" s="389">
        <f t="shared" si="343"/>
        <v>433101.2</v>
      </c>
      <c r="M3885" s="371"/>
      <c r="N3885" s="355" t="str">
        <f t="shared" si="345"/>
        <v>PK</v>
      </c>
      <c r="O3885" s="345" t="s">
        <v>2699</v>
      </c>
      <c r="P3885" s="392"/>
      <c r="Q3885" s="441">
        <v>18.62</v>
      </c>
      <c r="R3885" s="441"/>
      <c r="S3885" s="351"/>
      <c r="T3885" s="351"/>
      <c r="U3885" s="329" t="str">
        <f>IF($N3885=$N$4,IFERROR(INDEX(DanhMuc!$E$154:$E$165,MATCH(MID($B3885,4,2),DanhMuc!$B$154:$B$165,0)),""),"")</f>
        <v/>
      </c>
      <c r="V3885" s="361"/>
      <c r="W3885" s="345"/>
      <c r="X3885" s="329" t="str">
        <f t="shared" si="344"/>
        <v>RT</v>
      </c>
      <c r="Y3885" s="1128" t="s">
        <v>3380</v>
      </c>
      <c r="Z3885" s="1128" t="s">
        <v>3381</v>
      </c>
      <c r="AA3885" s="1128" t="s">
        <v>3384</v>
      </c>
      <c r="AB3885" s="20"/>
      <c r="AC3885" s="73"/>
    </row>
    <row r="3886" spans="1:29">
      <c r="A3886" s="327" t="str">
        <f>IF(AND($B3886&lt;&gt;"",$C3886&lt;&gt;""),MAX($A$1556:A3861)+1,"")</f>
        <v/>
      </c>
      <c r="B3886" s="361" t="s">
        <v>2838</v>
      </c>
      <c r="C3886" s="360"/>
      <c r="D3886" s="327">
        <f>IF($B3886="","",COUNTIF($B$6:$B3886,$B3886))</f>
        <v>6</v>
      </c>
      <c r="E3886" s="361">
        <v>492522</v>
      </c>
      <c r="F3886" s="362" t="s">
        <v>1381</v>
      </c>
      <c r="G3886" s="327" t="s">
        <v>344</v>
      </c>
      <c r="H3886" s="361"/>
      <c r="I3886" s="327">
        <v>3</v>
      </c>
      <c r="J3886" s="345"/>
      <c r="K3886" s="327"/>
      <c r="L3886" s="389">
        <f t="shared" si="343"/>
        <v>433101.2</v>
      </c>
      <c r="M3886" s="371"/>
      <c r="N3886" s="355" t="str">
        <f t="shared" si="345"/>
        <v>PK</v>
      </c>
      <c r="O3886" s="345" t="s">
        <v>1362</v>
      </c>
      <c r="P3886" s="392"/>
      <c r="Q3886" s="441">
        <v>18.62</v>
      </c>
      <c r="R3886" s="441"/>
      <c r="S3886" s="351"/>
      <c r="T3886" s="351"/>
      <c r="U3886" s="329" t="str">
        <f>IF($N3886=$N$4,IFERROR(INDEX(DanhMuc!$E$154:$E$165,MATCH(MID($B3886,4,2),DanhMuc!$B$154:$B$165,0)),""),"")</f>
        <v/>
      </c>
      <c r="V3886" s="361"/>
      <c r="W3886" s="345"/>
      <c r="X3886" s="329" t="str">
        <f t="shared" si="344"/>
        <v>RT</v>
      </c>
      <c r="Y3886" s="1128" t="s">
        <v>3380</v>
      </c>
      <c r="Z3886" s="1128" t="s">
        <v>3381</v>
      </c>
      <c r="AA3886" s="1128" t="s">
        <v>3384</v>
      </c>
      <c r="AB3886" s="20"/>
      <c r="AC3886" s="73"/>
    </row>
    <row r="3887" spans="1:29">
      <c r="A3887" s="327" t="str">
        <f>IF(AND($B3887&lt;&gt;"",$C3887&lt;&gt;""),MAX($A$1556:A3862)+1,"")</f>
        <v/>
      </c>
      <c r="B3887" s="361" t="s">
        <v>2838</v>
      </c>
      <c r="C3887" s="360"/>
      <c r="D3887" s="327">
        <f>IF($B3887="","",COUNTIF($B$6:$B3887,$B3887))</f>
        <v>7</v>
      </c>
      <c r="E3887" s="361">
        <v>492575</v>
      </c>
      <c r="F3887" s="431" t="s">
        <v>1382</v>
      </c>
      <c r="G3887" s="327" t="s">
        <v>344</v>
      </c>
      <c r="H3887" s="361"/>
      <c r="I3887" s="327">
        <v>3</v>
      </c>
      <c r="J3887" s="345"/>
      <c r="K3887" s="327"/>
      <c r="L3887" s="389">
        <f t="shared" si="343"/>
        <v>510557</v>
      </c>
      <c r="M3887" s="371"/>
      <c r="N3887" s="355" t="str">
        <f t="shared" si="345"/>
        <v>PK</v>
      </c>
      <c r="O3887" s="345" t="s">
        <v>441</v>
      </c>
      <c r="P3887" s="392"/>
      <c r="Q3887" s="441">
        <v>21.95</v>
      </c>
      <c r="R3887" s="441"/>
      <c r="S3887" s="351"/>
      <c r="T3887" s="351"/>
      <c r="U3887" s="329" t="str">
        <f>IF($N3887=$N$4,IFERROR(INDEX(DanhMuc!$E$154:$E$165,MATCH(MID($B3887,4,2),DanhMuc!$B$154:$B$165,0)),""),"")</f>
        <v/>
      </c>
      <c r="V3887" s="361"/>
      <c r="W3887" s="345"/>
      <c r="X3887" s="329" t="str">
        <f t="shared" si="344"/>
        <v>RT</v>
      </c>
      <c r="Y3887" s="1128" t="s">
        <v>3380</v>
      </c>
      <c r="Z3887" s="1128" t="s">
        <v>3381</v>
      </c>
      <c r="AA3887" s="1128" t="s">
        <v>3384</v>
      </c>
      <c r="AB3887" s="20"/>
      <c r="AC3887" s="73"/>
    </row>
    <row r="3888" spans="1:29">
      <c r="A3888" s="327" t="str">
        <f>IF(AND($B3888&lt;&gt;"",$C3888&lt;&gt;""),MAX($A$1556:A3863)+1,"")</f>
        <v/>
      </c>
      <c r="B3888" s="361" t="s">
        <v>2838</v>
      </c>
      <c r="C3888" s="360"/>
      <c r="D3888" s="327">
        <f>IF($B3888="","",COUNTIF($B$6:$B3888,$B3888))</f>
        <v>8</v>
      </c>
      <c r="E3888" s="430">
        <v>390659</v>
      </c>
      <c r="F3888" s="431" t="s">
        <v>1383</v>
      </c>
      <c r="G3888" s="327" t="s">
        <v>155</v>
      </c>
      <c r="H3888" s="361"/>
      <c r="I3888" s="327">
        <v>1</v>
      </c>
      <c r="J3888" s="345"/>
      <c r="K3888" s="327"/>
      <c r="L3888" s="389">
        <f t="shared" si="343"/>
        <v>247486.40000000002</v>
      </c>
      <c r="M3888" s="371"/>
      <c r="N3888" s="355" t="str">
        <f t="shared" si="345"/>
        <v>PK</v>
      </c>
      <c r="O3888" s="404" t="s">
        <v>1624</v>
      </c>
      <c r="P3888" s="392"/>
      <c r="Q3888" s="441">
        <v>10.64</v>
      </c>
      <c r="R3888" s="441"/>
      <c r="S3888" s="351"/>
      <c r="T3888" s="351"/>
      <c r="U3888" s="329" t="str">
        <f>IF($N3888=$N$4,IFERROR(INDEX(DanhMuc!$E$154:$E$165,MATCH(MID($B3888,4,2),DanhMuc!$B$154:$B$165,0)),""),"")</f>
        <v/>
      </c>
      <c r="V3888" s="361"/>
      <c r="W3888" s="345"/>
      <c r="X3888" s="329" t="str">
        <f t="shared" si="344"/>
        <v>RT</v>
      </c>
      <c r="Y3888" s="1128" t="s">
        <v>3380</v>
      </c>
      <c r="Z3888" s="1128" t="s">
        <v>3381</v>
      </c>
      <c r="AA3888" s="1128" t="s">
        <v>3384</v>
      </c>
      <c r="AB3888" s="20"/>
      <c r="AC3888" s="73"/>
    </row>
    <row r="3889" spans="1:29">
      <c r="A3889" s="327" t="str">
        <f>IF(AND($B3889&lt;&gt;"",$C3889&lt;&gt;""),MAX($A$1556:A3864)+1,"")</f>
        <v/>
      </c>
      <c r="B3889" s="361" t="s">
        <v>2838</v>
      </c>
      <c r="C3889" s="360"/>
      <c r="D3889" s="327">
        <f>IF($B3889="","",COUNTIF($B$6:$B3889,$B3889))</f>
        <v>9</v>
      </c>
      <c r="E3889" s="430">
        <v>390660</v>
      </c>
      <c r="F3889" s="431" t="s">
        <v>1384</v>
      </c>
      <c r="G3889" s="327" t="s">
        <v>155</v>
      </c>
      <c r="H3889" s="361"/>
      <c r="I3889" s="327">
        <v>1</v>
      </c>
      <c r="J3889" s="345"/>
      <c r="K3889" s="327"/>
      <c r="L3889" s="389">
        <f t="shared" si="343"/>
        <v>247486.40000000002</v>
      </c>
      <c r="M3889" s="371"/>
      <c r="N3889" s="355" t="str">
        <f t="shared" si="345"/>
        <v>PK</v>
      </c>
      <c r="O3889" s="404" t="s">
        <v>1625</v>
      </c>
      <c r="P3889" s="392"/>
      <c r="Q3889" s="441">
        <v>10.64</v>
      </c>
      <c r="R3889" s="441"/>
      <c r="S3889" s="351"/>
      <c r="T3889" s="351"/>
      <c r="U3889" s="329" t="str">
        <f>IF($N3889=$N$4,IFERROR(INDEX(DanhMuc!$E$154:$E$165,MATCH(MID($B3889,4,2),DanhMuc!$B$154:$B$165,0)),""),"")</f>
        <v/>
      </c>
      <c r="V3889" s="361"/>
      <c r="W3889" s="345"/>
      <c r="X3889" s="329" t="str">
        <f t="shared" si="344"/>
        <v>RT</v>
      </c>
      <c r="Y3889" s="1128" t="s">
        <v>3380</v>
      </c>
      <c r="Z3889" s="1128" t="s">
        <v>3381</v>
      </c>
      <c r="AA3889" s="1128" t="s">
        <v>3384</v>
      </c>
      <c r="AB3889" s="20"/>
      <c r="AC3889" s="73"/>
    </row>
    <row r="3890" spans="1:29">
      <c r="A3890" s="327" t="str">
        <f>IF(AND($B3890&lt;&gt;"",$C3890&lt;&gt;""),MAX($A$1556:A3865)+1,"")</f>
        <v/>
      </c>
      <c r="B3890" s="361" t="s">
        <v>2838</v>
      </c>
      <c r="C3890" s="360"/>
      <c r="D3890" s="327">
        <f>IF($B3890="","",COUNTIF($B$6:$B3890,$B3890))</f>
        <v>10</v>
      </c>
      <c r="E3890" s="430">
        <v>390659</v>
      </c>
      <c r="F3890" s="431" t="s">
        <v>1383</v>
      </c>
      <c r="G3890" s="327" t="s">
        <v>155</v>
      </c>
      <c r="H3890" s="361"/>
      <c r="I3890" s="327">
        <v>1</v>
      </c>
      <c r="J3890" s="345"/>
      <c r="K3890" s="327"/>
      <c r="L3890" s="389">
        <f t="shared" si="343"/>
        <v>247486.40000000002</v>
      </c>
      <c r="M3890" s="371"/>
      <c r="N3890" s="355" t="str">
        <f t="shared" si="345"/>
        <v>PK</v>
      </c>
      <c r="O3890" s="404" t="s">
        <v>1629</v>
      </c>
      <c r="P3890" s="392"/>
      <c r="Q3890" s="441">
        <v>10.64</v>
      </c>
      <c r="R3890" s="441"/>
      <c r="S3890" s="351"/>
      <c r="T3890" s="351"/>
      <c r="U3890" s="329" t="str">
        <f>IF($N3890=$N$4,IFERROR(INDEX(DanhMuc!$E$154:$E$165,MATCH(MID($B3890,4,2),DanhMuc!$B$154:$B$165,0)),""),"")</f>
        <v/>
      </c>
      <c r="V3890" s="361"/>
      <c r="W3890" s="345"/>
      <c r="X3890" s="329" t="str">
        <f t="shared" si="344"/>
        <v>RT</v>
      </c>
      <c r="Y3890" s="1128" t="s">
        <v>3380</v>
      </c>
      <c r="Z3890" s="1128" t="s">
        <v>3381</v>
      </c>
      <c r="AA3890" s="1128" t="s">
        <v>3384</v>
      </c>
      <c r="AB3890" s="20"/>
      <c r="AC3890" s="73"/>
    </row>
    <row r="3891" spans="1:29">
      <c r="A3891" s="327" t="str">
        <f>IF(AND($B3891&lt;&gt;"",$C3891&lt;&gt;""),MAX($A$1556:A3866)+1,"")</f>
        <v/>
      </c>
      <c r="B3891" s="361" t="s">
        <v>2838</v>
      </c>
      <c r="C3891" s="360"/>
      <c r="D3891" s="327">
        <f>IF($B3891="","",COUNTIF($B$6:$B3891,$B3891))</f>
        <v>11</v>
      </c>
      <c r="E3891" s="430">
        <v>390660</v>
      </c>
      <c r="F3891" s="431" t="s">
        <v>1384</v>
      </c>
      <c r="G3891" s="327" t="s">
        <v>155</v>
      </c>
      <c r="H3891" s="361"/>
      <c r="I3891" s="327">
        <v>1</v>
      </c>
      <c r="J3891" s="345"/>
      <c r="K3891" s="327"/>
      <c r="L3891" s="389">
        <f t="shared" si="343"/>
        <v>247486.40000000002</v>
      </c>
      <c r="M3891" s="371"/>
      <c r="N3891" s="355" t="str">
        <f t="shared" si="345"/>
        <v>PK</v>
      </c>
      <c r="O3891" s="404" t="s">
        <v>1630</v>
      </c>
      <c r="P3891" s="392"/>
      <c r="Q3891" s="441">
        <v>10.64</v>
      </c>
      <c r="R3891" s="441"/>
      <c r="S3891" s="351"/>
      <c r="T3891" s="351"/>
      <c r="U3891" s="329" t="str">
        <f>IF($N3891=$N$4,IFERROR(INDEX(DanhMuc!$E$154:$E$165,MATCH(MID($B3891,4,2),DanhMuc!$B$154:$B$165,0)),""),"")</f>
        <v/>
      </c>
      <c r="V3891" s="361"/>
      <c r="W3891" s="345"/>
      <c r="X3891" s="329" t="str">
        <f t="shared" si="344"/>
        <v>RT</v>
      </c>
      <c r="Y3891" s="1128" t="s">
        <v>3380</v>
      </c>
      <c r="Z3891" s="1128" t="s">
        <v>3381</v>
      </c>
      <c r="AA3891" s="1128" t="s">
        <v>3384</v>
      </c>
      <c r="AB3891" s="20"/>
      <c r="AC3891" s="73"/>
    </row>
    <row r="3892" spans="1:29" ht="25">
      <c r="A3892" s="327" t="str">
        <f>IF(AND($B3892&lt;&gt;"",$C3892&lt;&gt;""),MAX($A$1556:A3867)+1,"")</f>
        <v/>
      </c>
      <c r="B3892" s="361" t="s">
        <v>2838</v>
      </c>
      <c r="C3892" s="360"/>
      <c r="D3892" s="327">
        <f>IF($B3892="","",COUNTIF($B$6:$B3892,$B3892))</f>
        <v>12</v>
      </c>
      <c r="E3892" s="411">
        <v>630955</v>
      </c>
      <c r="F3892" s="432" t="s">
        <v>1385</v>
      </c>
      <c r="G3892" s="410" t="s">
        <v>156</v>
      </c>
      <c r="H3892" s="402"/>
      <c r="I3892" s="327">
        <v>1</v>
      </c>
      <c r="J3892" s="345"/>
      <c r="K3892" s="327"/>
      <c r="L3892" s="389">
        <f t="shared" si="343"/>
        <v>114904.40000000001</v>
      </c>
      <c r="M3892" s="371"/>
      <c r="N3892" s="355" t="str">
        <f t="shared" si="345"/>
        <v>PK</v>
      </c>
      <c r="O3892" s="404" t="s">
        <v>1623</v>
      </c>
      <c r="P3892" s="392"/>
      <c r="Q3892" s="441">
        <v>4.9400000000000004</v>
      </c>
      <c r="R3892" s="441"/>
      <c r="S3892" s="351"/>
      <c r="T3892" s="351"/>
      <c r="U3892" s="329" t="str">
        <f>IF($N3892=$N$4,IFERROR(INDEX(DanhMuc!$E$154:$E$165,MATCH(MID($B3892,4,2),DanhMuc!$B$154:$B$165,0)),""),"")</f>
        <v/>
      </c>
      <c r="V3892" s="361"/>
      <c r="W3892" s="345"/>
      <c r="X3892" s="329" t="str">
        <f t="shared" si="344"/>
        <v>RT</v>
      </c>
      <c r="Y3892" s="1128" t="s">
        <v>3380</v>
      </c>
      <c r="Z3892" s="1128" t="s">
        <v>3381</v>
      </c>
      <c r="AA3892" s="1128" t="s">
        <v>3384</v>
      </c>
      <c r="AB3892" s="20"/>
      <c r="AC3892" s="73"/>
    </row>
    <row r="3893" spans="1:29" ht="25">
      <c r="A3893" s="327" t="str">
        <f>IF(AND($B3893&lt;&gt;"",$C3893&lt;&gt;""),MAX($A$1556:A3868)+1,"")</f>
        <v/>
      </c>
      <c r="B3893" s="361" t="s">
        <v>2838</v>
      </c>
      <c r="C3893" s="360"/>
      <c r="D3893" s="327">
        <f>IF($B3893="","",COUNTIF($B$6:$B3893,$B3893))</f>
        <v>13</v>
      </c>
      <c r="E3893" s="411">
        <v>630957</v>
      </c>
      <c r="F3893" s="432" t="s">
        <v>1386</v>
      </c>
      <c r="G3893" s="410" t="s">
        <v>156</v>
      </c>
      <c r="H3893" s="402"/>
      <c r="I3893" s="327">
        <v>1</v>
      </c>
      <c r="J3893" s="345"/>
      <c r="K3893" s="327"/>
      <c r="L3893" s="389">
        <f t="shared" si="343"/>
        <v>154911.6</v>
      </c>
      <c r="M3893" s="371"/>
      <c r="N3893" s="355" t="str">
        <f t="shared" si="345"/>
        <v>PK</v>
      </c>
      <c r="O3893" s="404" t="s">
        <v>1623</v>
      </c>
      <c r="P3893" s="392"/>
      <c r="Q3893" s="441">
        <v>6.66</v>
      </c>
      <c r="R3893" s="441"/>
      <c r="S3893" s="351"/>
      <c r="T3893" s="351"/>
      <c r="U3893" s="329" t="str">
        <f>IF($N3893=$N$4,IFERROR(INDEX(DanhMuc!$E$154:$E$165,MATCH(MID($B3893,4,2),DanhMuc!$B$154:$B$165,0)),""),"")</f>
        <v/>
      </c>
      <c r="V3893" s="361"/>
      <c r="W3893" s="345"/>
      <c r="X3893" s="329" t="str">
        <f t="shared" si="344"/>
        <v>RT</v>
      </c>
      <c r="Y3893" s="1128" t="s">
        <v>3380</v>
      </c>
      <c r="Z3893" s="1128" t="s">
        <v>3381</v>
      </c>
      <c r="AA3893" s="1128" t="s">
        <v>3384</v>
      </c>
      <c r="AB3893" s="20"/>
      <c r="AC3893" s="73"/>
    </row>
    <row r="3894" spans="1:29">
      <c r="A3894" s="327" t="str">
        <f>IF(AND($B3894&lt;&gt;"",$C3894&lt;&gt;""),MAX($A$1556:A3869)+1,"")</f>
        <v/>
      </c>
      <c r="B3894" s="361" t="s">
        <v>2838</v>
      </c>
      <c r="C3894" s="360"/>
      <c r="D3894" s="327">
        <f>IF($B3894="","",COUNTIF($B$6:$B3894,$B3894))</f>
        <v>14</v>
      </c>
      <c r="E3894" s="430">
        <v>332439</v>
      </c>
      <c r="F3894" s="431" t="s">
        <v>1387</v>
      </c>
      <c r="G3894" s="327" t="s">
        <v>155</v>
      </c>
      <c r="H3894" s="361"/>
      <c r="I3894" s="327">
        <v>4</v>
      </c>
      <c r="J3894" s="345"/>
      <c r="K3894" s="327"/>
      <c r="L3894" s="389">
        <f t="shared" si="343"/>
        <v>12560.400000000001</v>
      </c>
      <c r="M3894" s="371"/>
      <c r="N3894" s="355" t="str">
        <f t="shared" si="345"/>
        <v>PK</v>
      </c>
      <c r="O3894" s="404" t="s">
        <v>1623</v>
      </c>
      <c r="P3894" s="392"/>
      <c r="Q3894" s="441">
        <v>0.54</v>
      </c>
      <c r="R3894" s="441"/>
      <c r="S3894" s="351"/>
      <c r="T3894" s="351"/>
      <c r="U3894" s="329" t="str">
        <f>IF($N3894=$N$4,IFERROR(INDEX(DanhMuc!$E$154:$E$165,MATCH(MID($B3894,4,2),DanhMuc!$B$154:$B$165,0)),""),"")</f>
        <v/>
      </c>
      <c r="V3894" s="361"/>
      <c r="W3894" s="345"/>
      <c r="X3894" s="329" t="str">
        <f t="shared" si="344"/>
        <v>RT</v>
      </c>
      <c r="Y3894" s="1128" t="s">
        <v>3380</v>
      </c>
      <c r="Z3894" s="1128" t="s">
        <v>3381</v>
      </c>
      <c r="AA3894" s="1128" t="s">
        <v>3384</v>
      </c>
      <c r="AB3894" s="20"/>
      <c r="AC3894" s="73"/>
    </row>
    <row r="3895" spans="1:29" ht="26">
      <c r="A3895" s="327">
        <f>IF(AND($B3895&lt;&gt;"",$C3895&lt;&gt;""),MAX($A$1556:A3870)+1,"")</f>
        <v>186</v>
      </c>
      <c r="B3895" s="359" t="s">
        <v>2839</v>
      </c>
      <c r="C3895" s="360" t="s">
        <v>1575</v>
      </c>
      <c r="D3895" s="327">
        <f>IF($B3895="","",COUNTIF($B$6:$B3895,$B3895))</f>
        <v>1</v>
      </c>
      <c r="E3895" s="430">
        <v>630963</v>
      </c>
      <c r="F3895" s="362" t="s">
        <v>1376</v>
      </c>
      <c r="G3895" s="327" t="s">
        <v>344</v>
      </c>
      <c r="H3895" s="361"/>
      <c r="I3895" s="327">
        <v>1</v>
      </c>
      <c r="J3895" s="361"/>
      <c r="K3895" s="327"/>
      <c r="L3895" s="389">
        <f t="shared" si="343"/>
        <v>866202.4</v>
      </c>
      <c r="M3895" s="371"/>
      <c r="N3895" s="355" t="str">
        <f t="shared" si="345"/>
        <v>PK</v>
      </c>
      <c r="O3895" s="404" t="s">
        <v>1623</v>
      </c>
      <c r="P3895" s="392"/>
      <c r="Q3895" s="441">
        <v>37.24</v>
      </c>
      <c r="R3895" s="441"/>
      <c r="S3895" s="351"/>
      <c r="T3895" s="351"/>
      <c r="U3895" s="329" t="str">
        <f>IF($N3895=$N$4,IFERROR(INDEX(DanhMuc!$E$154:$E$165,MATCH(MID($B3895,4,2),DanhMuc!$B$154:$B$165,0)),""),"")</f>
        <v/>
      </c>
      <c r="V3895" s="361"/>
      <c r="W3895" s="345"/>
      <c r="X3895" s="329" t="str">
        <f t="shared" si="344"/>
        <v>RT</v>
      </c>
      <c r="Y3895" s="1128" t="s">
        <v>3380</v>
      </c>
      <c r="Z3895" s="1128" t="s">
        <v>3381</v>
      </c>
      <c r="AA3895" s="1128" t="s">
        <v>3384</v>
      </c>
      <c r="AB3895" s="20"/>
      <c r="AC3895" s="73"/>
    </row>
    <row r="3896" spans="1:29">
      <c r="A3896" s="327" t="str">
        <f>IF(AND($B3896&lt;&gt;"",$C3896&lt;&gt;""),MAX($A$1556:A3871)+1,"")</f>
        <v/>
      </c>
      <c r="B3896" s="361" t="s">
        <v>2839</v>
      </c>
      <c r="C3896" s="360"/>
      <c r="D3896" s="327">
        <f>IF($B3896="","",COUNTIF($B$6:$B3896,$B3896))</f>
        <v>2</v>
      </c>
      <c r="E3896" s="430">
        <v>449873</v>
      </c>
      <c r="F3896" s="362" t="s">
        <v>1377</v>
      </c>
      <c r="G3896" s="327" t="s">
        <v>344</v>
      </c>
      <c r="H3896" s="361"/>
      <c r="I3896" s="327">
        <v>1</v>
      </c>
      <c r="J3896" s="361"/>
      <c r="K3896" s="327"/>
      <c r="L3896" s="389">
        <f t="shared" si="343"/>
        <v>494972.80000000005</v>
      </c>
      <c r="M3896" s="371"/>
      <c r="N3896" s="355" t="str">
        <f t="shared" si="345"/>
        <v>PK</v>
      </c>
      <c r="O3896" s="404" t="s">
        <v>1626</v>
      </c>
      <c r="P3896" s="392"/>
      <c r="Q3896" s="441">
        <v>21.28</v>
      </c>
      <c r="R3896" s="441"/>
      <c r="S3896" s="351"/>
      <c r="T3896" s="351"/>
      <c r="U3896" s="329" t="str">
        <f>IF($N3896=$N$4,IFERROR(INDEX(DanhMuc!$E$154:$E$165,MATCH(MID($B3896,4,2),DanhMuc!$B$154:$B$165,0)),""),"")</f>
        <v/>
      </c>
      <c r="V3896" s="361"/>
      <c r="W3896" s="345"/>
      <c r="X3896" s="329" t="str">
        <f t="shared" si="344"/>
        <v>RT</v>
      </c>
      <c r="Y3896" s="1128" t="s">
        <v>3380</v>
      </c>
      <c r="Z3896" s="1128" t="s">
        <v>3381</v>
      </c>
      <c r="AA3896" s="1128" t="s">
        <v>3384</v>
      </c>
      <c r="AB3896" s="20"/>
      <c r="AC3896" s="73"/>
    </row>
    <row r="3897" spans="1:29">
      <c r="A3897" s="327" t="str">
        <f>IF(AND($B3897&lt;&gt;"",$C3897&lt;&gt;""),MAX($A$1556:A3872)+1,"")</f>
        <v/>
      </c>
      <c r="B3897" s="361" t="s">
        <v>2839</v>
      </c>
      <c r="C3897" s="360"/>
      <c r="D3897" s="327">
        <f>IF($B3897="","",COUNTIF($B$6:$B3897,$B3897))</f>
        <v>3</v>
      </c>
      <c r="E3897" s="361">
        <v>570669</v>
      </c>
      <c r="F3897" s="362" t="s">
        <v>1378</v>
      </c>
      <c r="G3897" s="327" t="s">
        <v>344</v>
      </c>
      <c r="H3897" s="361"/>
      <c r="I3897" s="327">
        <v>1</v>
      </c>
      <c r="J3897" s="345"/>
      <c r="K3897" s="327"/>
      <c r="L3897" s="389">
        <f t="shared" si="343"/>
        <v>525908.6</v>
      </c>
      <c r="M3897" s="371"/>
      <c r="N3897" s="355" t="str">
        <f t="shared" si="345"/>
        <v>PK</v>
      </c>
      <c r="O3897" s="345"/>
      <c r="P3897" s="392"/>
      <c r="Q3897" s="441">
        <v>22.61</v>
      </c>
      <c r="R3897" s="441"/>
      <c r="S3897" s="351"/>
      <c r="T3897" s="351"/>
      <c r="U3897" s="329" t="str">
        <f>IF($N3897=$N$4,IFERROR(INDEX(DanhMuc!$E$154:$E$165,MATCH(MID($B3897,4,2),DanhMuc!$B$154:$B$165,0)),""),"")</f>
        <v/>
      </c>
      <c r="V3897" s="361"/>
      <c r="W3897" s="345"/>
      <c r="X3897" s="329" t="str">
        <f t="shared" si="344"/>
        <v>RT</v>
      </c>
      <c r="Y3897" s="1128" t="s">
        <v>3380</v>
      </c>
      <c r="Z3897" s="1128" t="s">
        <v>3381</v>
      </c>
      <c r="AA3897" s="1128" t="s">
        <v>3384</v>
      </c>
      <c r="AB3897" s="20"/>
      <c r="AC3897" s="73"/>
    </row>
    <row r="3898" spans="1:29">
      <c r="A3898" s="327" t="str">
        <f>IF(AND($B3898&lt;&gt;"",$C3898&lt;&gt;""),MAX($A$1556:A3873)+1,"")</f>
        <v/>
      </c>
      <c r="B3898" s="361" t="s">
        <v>2839</v>
      </c>
      <c r="C3898" s="360"/>
      <c r="D3898" s="327">
        <f>IF($B3898="","",COUNTIF($B$6:$B3898,$B3898))</f>
        <v>4</v>
      </c>
      <c r="E3898" s="361">
        <v>775376</v>
      </c>
      <c r="F3898" s="362" t="s">
        <v>1379</v>
      </c>
      <c r="G3898" s="327" t="s">
        <v>155</v>
      </c>
      <c r="H3898" s="361"/>
      <c r="I3898" s="327">
        <v>1</v>
      </c>
      <c r="J3898" s="345"/>
      <c r="K3898" s="327"/>
      <c r="L3898" s="389">
        <f t="shared" si="343"/>
        <v>247486.40000000002</v>
      </c>
      <c r="M3898" s="371"/>
      <c r="N3898" s="355" t="str">
        <f t="shared" si="345"/>
        <v>PK</v>
      </c>
      <c r="O3898" s="345" t="s">
        <v>1060</v>
      </c>
      <c r="P3898" s="392"/>
      <c r="Q3898" s="441">
        <v>10.64</v>
      </c>
      <c r="R3898" s="441"/>
      <c r="S3898" s="351"/>
      <c r="T3898" s="351"/>
      <c r="U3898" s="329" t="str">
        <f>IF($N3898=$N$4,IFERROR(INDEX(DanhMuc!$E$154:$E$165,MATCH(MID($B3898,4,2),DanhMuc!$B$154:$B$165,0)),""),"")</f>
        <v/>
      </c>
      <c r="V3898" s="361"/>
      <c r="W3898" s="345"/>
      <c r="X3898" s="329" t="str">
        <f t="shared" si="344"/>
        <v>RT</v>
      </c>
      <c r="Y3898" s="1128" t="s">
        <v>3380</v>
      </c>
      <c r="Z3898" s="1128" t="s">
        <v>3381</v>
      </c>
      <c r="AA3898" s="1128" t="s">
        <v>3384</v>
      </c>
      <c r="AB3898" s="20"/>
      <c r="AC3898" s="73"/>
    </row>
    <row r="3899" spans="1:29">
      <c r="A3899" s="327" t="str">
        <f>IF(AND($B3899&lt;&gt;"",$C3899&lt;&gt;""),MAX($A$1556:A3874)+1,"")</f>
        <v/>
      </c>
      <c r="B3899" s="361" t="s">
        <v>2839</v>
      </c>
      <c r="C3899" s="360"/>
      <c r="D3899" s="327">
        <f>IF($B3899="","",COUNTIF($B$6:$B3899,$B3899))</f>
        <v>5</v>
      </c>
      <c r="E3899" s="361">
        <v>775375</v>
      </c>
      <c r="F3899" s="362" t="s">
        <v>1380</v>
      </c>
      <c r="G3899" s="327" t="s">
        <v>155</v>
      </c>
      <c r="H3899" s="361"/>
      <c r="I3899" s="327">
        <v>1</v>
      </c>
      <c r="J3899" s="345"/>
      <c r="K3899" s="327"/>
      <c r="L3899" s="389">
        <f t="shared" si="343"/>
        <v>433101.2</v>
      </c>
      <c r="M3899" s="371"/>
      <c r="N3899" s="355" t="str">
        <f t="shared" si="345"/>
        <v>PK</v>
      </c>
      <c r="O3899" s="345" t="s">
        <v>2699</v>
      </c>
      <c r="P3899" s="392"/>
      <c r="Q3899" s="441">
        <v>18.62</v>
      </c>
      <c r="R3899" s="441"/>
      <c r="S3899" s="351"/>
      <c r="T3899" s="351"/>
      <c r="U3899" s="329" t="str">
        <f>IF($N3899=$N$4,IFERROR(INDEX(DanhMuc!$E$154:$E$165,MATCH(MID($B3899,4,2),DanhMuc!$B$154:$B$165,0)),""),"")</f>
        <v/>
      </c>
      <c r="V3899" s="361"/>
      <c r="W3899" s="345"/>
      <c r="X3899" s="329" t="str">
        <f t="shared" si="344"/>
        <v>RT</v>
      </c>
      <c r="Y3899" s="1128" t="s">
        <v>3380</v>
      </c>
      <c r="Z3899" s="1128" t="s">
        <v>3381</v>
      </c>
      <c r="AA3899" s="1128" t="s">
        <v>3384</v>
      </c>
      <c r="AB3899" s="20"/>
      <c r="AC3899" s="73"/>
    </row>
    <row r="3900" spans="1:29">
      <c r="A3900" s="327" t="str">
        <f>IF(AND($B3900&lt;&gt;"",$C3900&lt;&gt;""),MAX($A$1556:A3875)+1,"")</f>
        <v/>
      </c>
      <c r="B3900" s="361" t="s">
        <v>2839</v>
      </c>
      <c r="C3900" s="360"/>
      <c r="D3900" s="327">
        <f>IF($B3900="","",COUNTIF($B$6:$B3900,$B3900))</f>
        <v>6</v>
      </c>
      <c r="E3900" s="361">
        <v>492522</v>
      </c>
      <c r="F3900" s="362" t="s">
        <v>1381</v>
      </c>
      <c r="G3900" s="327" t="s">
        <v>344</v>
      </c>
      <c r="H3900" s="361"/>
      <c r="I3900" s="327">
        <v>6</v>
      </c>
      <c r="J3900" s="345"/>
      <c r="K3900" s="327"/>
      <c r="L3900" s="389">
        <f t="shared" si="343"/>
        <v>433101.2</v>
      </c>
      <c r="M3900" s="371"/>
      <c r="N3900" s="355" t="str">
        <f t="shared" si="345"/>
        <v>PK</v>
      </c>
      <c r="O3900" s="345" t="s">
        <v>1362</v>
      </c>
      <c r="P3900" s="392"/>
      <c r="Q3900" s="441">
        <v>18.62</v>
      </c>
      <c r="R3900" s="441"/>
      <c r="S3900" s="351"/>
      <c r="T3900" s="351"/>
      <c r="U3900" s="329" t="str">
        <f>IF($N3900=$N$4,IFERROR(INDEX(DanhMuc!$E$154:$E$165,MATCH(MID($B3900,4,2),DanhMuc!$B$154:$B$165,0)),""),"")</f>
        <v/>
      </c>
      <c r="V3900" s="361"/>
      <c r="W3900" s="345"/>
      <c r="X3900" s="329" t="str">
        <f t="shared" si="344"/>
        <v>RT</v>
      </c>
      <c r="Y3900" s="1128" t="s">
        <v>3380</v>
      </c>
      <c r="Z3900" s="1128" t="s">
        <v>3381</v>
      </c>
      <c r="AA3900" s="1128" t="s">
        <v>3384</v>
      </c>
      <c r="AB3900" s="20"/>
      <c r="AC3900" s="73"/>
    </row>
    <row r="3901" spans="1:29">
      <c r="A3901" s="327" t="str">
        <f>IF(AND($B3901&lt;&gt;"",$C3901&lt;&gt;""),MAX($A$1556:A3876)+1,"")</f>
        <v/>
      </c>
      <c r="B3901" s="361" t="s">
        <v>2839</v>
      </c>
      <c r="C3901" s="360"/>
      <c r="D3901" s="327">
        <f>IF($B3901="","",COUNTIF($B$6:$B3901,$B3901))</f>
        <v>7</v>
      </c>
      <c r="E3901" s="361">
        <v>492575</v>
      </c>
      <c r="F3901" s="431" t="s">
        <v>1382</v>
      </c>
      <c r="G3901" s="327" t="s">
        <v>344</v>
      </c>
      <c r="H3901" s="361"/>
      <c r="I3901" s="327">
        <v>6</v>
      </c>
      <c r="J3901" s="345"/>
      <c r="K3901" s="327"/>
      <c r="L3901" s="389">
        <f t="shared" si="343"/>
        <v>510557</v>
      </c>
      <c r="M3901" s="371"/>
      <c r="N3901" s="355" t="str">
        <f t="shared" si="345"/>
        <v>PK</v>
      </c>
      <c r="O3901" s="345" t="s">
        <v>441</v>
      </c>
      <c r="P3901" s="392"/>
      <c r="Q3901" s="441">
        <v>21.95</v>
      </c>
      <c r="R3901" s="441"/>
      <c r="S3901" s="351"/>
      <c r="T3901" s="351"/>
      <c r="U3901" s="329" t="str">
        <f>IF($N3901=$N$4,IFERROR(INDEX(DanhMuc!$E$154:$E$165,MATCH(MID($B3901,4,2),DanhMuc!$B$154:$B$165,0)),""),"")</f>
        <v/>
      </c>
      <c r="V3901" s="361"/>
      <c r="W3901" s="345"/>
      <c r="X3901" s="329" t="str">
        <f t="shared" si="344"/>
        <v>RT</v>
      </c>
      <c r="Y3901" s="1128" t="s">
        <v>3380</v>
      </c>
      <c r="Z3901" s="1128" t="s">
        <v>3381</v>
      </c>
      <c r="AA3901" s="1128" t="s">
        <v>3384</v>
      </c>
      <c r="AB3901" s="20"/>
      <c r="AC3901" s="73"/>
    </row>
    <row r="3902" spans="1:29" ht="25">
      <c r="A3902" s="327" t="str">
        <f>IF(AND($B3902&lt;&gt;"",$C3902&lt;&gt;""),MAX($A$1556:A3877)+1,"")</f>
        <v/>
      </c>
      <c r="B3902" s="361" t="s">
        <v>2839</v>
      </c>
      <c r="C3902" s="360"/>
      <c r="D3902" s="327">
        <f>IF($B3902="","",COUNTIF($B$6:$B3902,$B3902))</f>
        <v>8</v>
      </c>
      <c r="E3902" s="411">
        <v>630955</v>
      </c>
      <c r="F3902" s="432" t="s">
        <v>1385</v>
      </c>
      <c r="G3902" s="410" t="s">
        <v>156</v>
      </c>
      <c r="H3902" s="402"/>
      <c r="I3902" s="327">
        <v>1</v>
      </c>
      <c r="J3902" s="345"/>
      <c r="K3902" s="327"/>
      <c r="L3902" s="389">
        <f t="shared" si="343"/>
        <v>114904.40000000001</v>
      </c>
      <c r="M3902" s="371"/>
      <c r="N3902" s="355" t="str">
        <f t="shared" si="345"/>
        <v>PK</v>
      </c>
      <c r="O3902" s="404" t="s">
        <v>1623</v>
      </c>
      <c r="P3902" s="392"/>
      <c r="Q3902" s="441">
        <v>4.9400000000000004</v>
      </c>
      <c r="R3902" s="441"/>
      <c r="S3902" s="351"/>
      <c r="T3902" s="351"/>
      <c r="U3902" s="329" t="str">
        <f>IF($N3902=$N$4,IFERROR(INDEX(DanhMuc!$E$154:$E$165,MATCH(MID($B3902,4,2),DanhMuc!$B$154:$B$165,0)),""),"")</f>
        <v/>
      </c>
      <c r="V3902" s="361"/>
      <c r="W3902" s="345"/>
      <c r="X3902" s="329" t="str">
        <f t="shared" si="344"/>
        <v>RT</v>
      </c>
      <c r="Y3902" s="1128" t="s">
        <v>3380</v>
      </c>
      <c r="Z3902" s="1128" t="s">
        <v>3381</v>
      </c>
      <c r="AA3902" s="1128" t="s">
        <v>3384</v>
      </c>
      <c r="AB3902" s="20"/>
      <c r="AC3902" s="73"/>
    </row>
    <row r="3903" spans="1:29" ht="25">
      <c r="A3903" s="327" t="str">
        <f>IF(AND($B3903&lt;&gt;"",$C3903&lt;&gt;""),MAX($A$1556:A3878)+1,"")</f>
        <v/>
      </c>
      <c r="B3903" s="361" t="s">
        <v>2839</v>
      </c>
      <c r="C3903" s="360"/>
      <c r="D3903" s="327">
        <f>IF($B3903="","",COUNTIF($B$6:$B3903,$B3903))</f>
        <v>9</v>
      </c>
      <c r="E3903" s="411">
        <v>630957</v>
      </c>
      <c r="F3903" s="432" t="s">
        <v>1386</v>
      </c>
      <c r="G3903" s="410" t="s">
        <v>156</v>
      </c>
      <c r="H3903" s="402"/>
      <c r="I3903" s="327">
        <v>1</v>
      </c>
      <c r="J3903" s="345"/>
      <c r="K3903" s="327"/>
      <c r="L3903" s="389">
        <f t="shared" si="343"/>
        <v>154911.6</v>
      </c>
      <c r="M3903" s="371"/>
      <c r="N3903" s="355" t="str">
        <f t="shared" si="345"/>
        <v>PK</v>
      </c>
      <c r="O3903" s="404" t="s">
        <v>1623</v>
      </c>
      <c r="P3903" s="392"/>
      <c r="Q3903" s="441">
        <v>6.66</v>
      </c>
      <c r="R3903" s="441"/>
      <c r="S3903" s="351"/>
      <c r="T3903" s="351"/>
      <c r="U3903" s="329" t="str">
        <f>IF($N3903=$N$4,IFERROR(INDEX(DanhMuc!$E$154:$E$165,MATCH(MID($B3903,4,2),DanhMuc!$B$154:$B$165,0)),""),"")</f>
        <v/>
      </c>
      <c r="V3903" s="361"/>
      <c r="W3903" s="345"/>
      <c r="X3903" s="329" t="str">
        <f t="shared" si="344"/>
        <v>RT</v>
      </c>
      <c r="Y3903" s="1128" t="s">
        <v>3380</v>
      </c>
      <c r="Z3903" s="1128" t="s">
        <v>3381</v>
      </c>
      <c r="AA3903" s="1128" t="s">
        <v>3384</v>
      </c>
      <c r="AB3903" s="20"/>
      <c r="AC3903" s="73"/>
    </row>
    <row r="3904" spans="1:29">
      <c r="A3904" s="327" t="str">
        <f>IF(AND($B3904&lt;&gt;"",$C3904&lt;&gt;""),MAX($A$1556:A3879)+1,"")</f>
        <v/>
      </c>
      <c r="B3904" s="361" t="s">
        <v>2839</v>
      </c>
      <c r="C3904" s="360"/>
      <c r="D3904" s="327">
        <f>IF($B3904="","",COUNTIF($B$6:$B3904,$B3904))</f>
        <v>10</v>
      </c>
      <c r="E3904" s="430">
        <v>633302</v>
      </c>
      <c r="F3904" s="431" t="s">
        <v>1388</v>
      </c>
      <c r="G3904" s="327" t="s">
        <v>156</v>
      </c>
      <c r="H3904" s="361"/>
      <c r="I3904" s="327">
        <v>1</v>
      </c>
      <c r="J3904" s="345"/>
      <c r="K3904" s="327"/>
      <c r="L3904" s="389">
        <f t="shared" si="343"/>
        <v>665236</v>
      </c>
      <c r="M3904" s="371"/>
      <c r="N3904" s="355" t="str">
        <f t="shared" si="345"/>
        <v>PK</v>
      </c>
      <c r="O3904" s="404" t="s">
        <v>1623</v>
      </c>
      <c r="P3904" s="392"/>
      <c r="Q3904" s="441">
        <v>28.6</v>
      </c>
      <c r="R3904" s="441"/>
      <c r="S3904" s="351"/>
      <c r="T3904" s="351"/>
      <c r="U3904" s="329" t="str">
        <f>IF($N3904=$N$4,IFERROR(INDEX(DanhMuc!$E$154:$E$165,MATCH(MID($B3904,4,2),DanhMuc!$B$154:$B$165,0)),""),"")</f>
        <v/>
      </c>
      <c r="V3904" s="361"/>
      <c r="W3904" s="345"/>
      <c r="X3904" s="329" t="str">
        <f t="shared" si="344"/>
        <v>RT</v>
      </c>
      <c r="Y3904" s="1128" t="s">
        <v>3380</v>
      </c>
      <c r="Z3904" s="1128" t="s">
        <v>3381</v>
      </c>
      <c r="AA3904" s="1128" t="s">
        <v>3384</v>
      </c>
      <c r="AB3904" s="20"/>
      <c r="AC3904" s="73"/>
    </row>
    <row r="3905" spans="1:29">
      <c r="A3905" s="327" t="str">
        <f>IF(AND($B3905&lt;&gt;"",$C3905&lt;&gt;""),MAX($A$1556:A3880)+1,"")</f>
        <v/>
      </c>
      <c r="B3905" s="361" t="s">
        <v>2839</v>
      </c>
      <c r="C3905" s="360"/>
      <c r="D3905" s="327">
        <f>IF($B3905="","",COUNTIF($B$6:$B3905,$B3905))</f>
        <v>11</v>
      </c>
      <c r="E3905" s="430">
        <v>641810</v>
      </c>
      <c r="F3905" s="431" t="s">
        <v>1389</v>
      </c>
      <c r="G3905" s="327" t="s">
        <v>156</v>
      </c>
      <c r="H3905" s="361"/>
      <c r="I3905" s="327">
        <v>1</v>
      </c>
      <c r="J3905" s="345"/>
      <c r="K3905" s="327"/>
      <c r="L3905" s="389">
        <f t="shared" si="343"/>
        <v>71640.800000000003</v>
      </c>
      <c r="M3905" s="371"/>
      <c r="N3905" s="355" t="str">
        <f t="shared" si="345"/>
        <v>PK</v>
      </c>
      <c r="O3905" s="345"/>
      <c r="P3905" s="392"/>
      <c r="Q3905" s="441">
        <v>3.08</v>
      </c>
      <c r="R3905" s="441"/>
      <c r="S3905" s="351"/>
      <c r="T3905" s="351"/>
      <c r="U3905" s="329" t="str">
        <f>IF($N3905=$N$4,IFERROR(INDEX(DanhMuc!$E$154:$E$165,MATCH(MID($B3905,4,2),DanhMuc!$B$154:$B$165,0)),""),"")</f>
        <v/>
      </c>
      <c r="V3905" s="361"/>
      <c r="W3905" s="345"/>
      <c r="X3905" s="329" t="str">
        <f t="shared" si="344"/>
        <v>RT</v>
      </c>
      <c r="Y3905" s="1128" t="s">
        <v>3380</v>
      </c>
      <c r="Z3905" s="1128" t="s">
        <v>3381</v>
      </c>
      <c r="AA3905" s="1128" t="s">
        <v>3384</v>
      </c>
      <c r="AB3905" s="20"/>
      <c r="AC3905" s="73"/>
    </row>
    <row r="3906" spans="1:29">
      <c r="A3906" s="327" t="str">
        <f>IF(AND($B3906&lt;&gt;"",$C3906&lt;&gt;""),MAX($A$1556:A3881)+1,"")</f>
        <v/>
      </c>
      <c r="B3906" s="361" t="s">
        <v>2839</v>
      </c>
      <c r="C3906" s="360"/>
      <c r="D3906" s="327">
        <f>IF($B3906="","",COUNTIF($B$6:$B3906,$B3906))</f>
        <v>12</v>
      </c>
      <c r="E3906" s="430">
        <v>349187</v>
      </c>
      <c r="F3906" s="362" t="s">
        <v>1390</v>
      </c>
      <c r="G3906" s="327" t="s">
        <v>155</v>
      </c>
      <c r="H3906" s="361"/>
      <c r="I3906" s="327">
        <v>2</v>
      </c>
      <c r="J3906" s="345"/>
      <c r="K3906" s="327"/>
      <c r="L3906" s="389">
        <f t="shared" si="343"/>
        <v>145840.19999999998</v>
      </c>
      <c r="M3906" s="371"/>
      <c r="N3906" s="355" t="str">
        <f t="shared" si="345"/>
        <v>PK</v>
      </c>
      <c r="O3906" s="345"/>
      <c r="P3906" s="392"/>
      <c r="Q3906" s="441">
        <v>6.27</v>
      </c>
      <c r="R3906" s="441"/>
      <c r="S3906" s="351"/>
      <c r="T3906" s="351"/>
      <c r="U3906" s="329" t="str">
        <f>IF($N3906=$N$4,IFERROR(INDEX(DanhMuc!$E$154:$E$165,MATCH(MID($B3906,4,2),DanhMuc!$B$154:$B$165,0)),""),"")</f>
        <v/>
      </c>
      <c r="V3906" s="361"/>
      <c r="W3906" s="345"/>
      <c r="X3906" s="329" t="str">
        <f t="shared" si="344"/>
        <v>RT</v>
      </c>
      <c r="Y3906" s="1128" t="s">
        <v>3380</v>
      </c>
      <c r="Z3906" s="1128" t="s">
        <v>3381</v>
      </c>
      <c r="AA3906" s="1128" t="s">
        <v>3384</v>
      </c>
      <c r="AB3906" s="20"/>
      <c r="AC3906" s="73"/>
    </row>
    <row r="3907" spans="1:29">
      <c r="A3907" s="327" t="str">
        <f>IF(AND($B3907&lt;&gt;"",$C3907&lt;&gt;""),MAX($A$1556:A3882)+1,"")</f>
        <v/>
      </c>
      <c r="B3907" s="361" t="s">
        <v>2839</v>
      </c>
      <c r="C3907" s="360"/>
      <c r="D3907" s="327">
        <f>IF($B3907="","",COUNTIF($B$6:$B3907,$B3907))</f>
        <v>13</v>
      </c>
      <c r="E3907" s="430">
        <v>260434</v>
      </c>
      <c r="F3907" s="431" t="s">
        <v>1391</v>
      </c>
      <c r="G3907" s="327" t="s">
        <v>155</v>
      </c>
      <c r="H3907" s="361"/>
      <c r="I3907" s="327">
        <v>1</v>
      </c>
      <c r="J3907" s="345"/>
      <c r="K3907" s="327"/>
      <c r="L3907" s="389">
        <f t="shared" si="343"/>
        <v>31168.400000000001</v>
      </c>
      <c r="M3907" s="371"/>
      <c r="N3907" s="355" t="str">
        <f t="shared" si="345"/>
        <v>PK</v>
      </c>
      <c r="O3907" s="345"/>
      <c r="P3907" s="392"/>
      <c r="Q3907" s="441">
        <v>1.34</v>
      </c>
      <c r="R3907" s="441"/>
      <c r="S3907" s="351"/>
      <c r="T3907" s="351"/>
      <c r="U3907" s="329" t="str">
        <f>IF($N3907=$N$4,IFERROR(INDEX(DanhMuc!$E$154:$E$165,MATCH(MID($B3907,4,2),DanhMuc!$B$154:$B$165,0)),""),"")</f>
        <v/>
      </c>
      <c r="V3907" s="361"/>
      <c r="W3907" s="345"/>
      <c r="X3907" s="329" t="str">
        <f t="shared" si="344"/>
        <v>RT</v>
      </c>
      <c r="Y3907" s="1128" t="s">
        <v>3380</v>
      </c>
      <c r="Z3907" s="1128" t="s">
        <v>3381</v>
      </c>
      <c r="AA3907" s="1128" t="s">
        <v>3384</v>
      </c>
      <c r="AB3907" s="20"/>
      <c r="AC3907" s="73"/>
    </row>
    <row r="3908" spans="1:29">
      <c r="A3908" s="327" t="str">
        <f>IF(AND($B3908&lt;&gt;"",$C3908&lt;&gt;""),MAX($A$1556:A3883)+1,"")</f>
        <v/>
      </c>
      <c r="B3908" s="361" t="s">
        <v>2839</v>
      </c>
      <c r="C3908" s="360"/>
      <c r="D3908" s="327">
        <f>IF($B3908="","",COUNTIF($B$6:$B3908,$B3908))</f>
        <v>14</v>
      </c>
      <c r="E3908" s="430">
        <v>339395</v>
      </c>
      <c r="F3908" s="431" t="s">
        <v>1392</v>
      </c>
      <c r="G3908" s="351" t="s">
        <v>155</v>
      </c>
      <c r="H3908" s="361"/>
      <c r="I3908" s="327">
        <v>4</v>
      </c>
      <c r="J3908" s="345"/>
      <c r="K3908" s="327"/>
      <c r="L3908" s="389">
        <f t="shared" si="343"/>
        <v>37216</v>
      </c>
      <c r="M3908" s="371"/>
      <c r="N3908" s="355" t="str">
        <f t="shared" si="345"/>
        <v>PK</v>
      </c>
      <c r="O3908" s="404" t="s">
        <v>1623</v>
      </c>
      <c r="P3908" s="392"/>
      <c r="Q3908" s="441">
        <v>1.6</v>
      </c>
      <c r="R3908" s="441"/>
      <c r="S3908" s="351"/>
      <c r="T3908" s="351"/>
      <c r="U3908" s="329" t="str">
        <f>IF($N3908=$N$4,IFERROR(INDEX(DanhMuc!$E$154:$E$165,MATCH(MID($B3908,4,2),DanhMuc!$B$154:$B$165,0)),""),"")</f>
        <v/>
      </c>
      <c r="V3908" s="361"/>
      <c r="W3908" s="345"/>
      <c r="X3908" s="329" t="str">
        <f t="shared" si="344"/>
        <v>RT</v>
      </c>
      <c r="Y3908" s="1128" t="s">
        <v>3380</v>
      </c>
      <c r="Z3908" s="1128" t="s">
        <v>3381</v>
      </c>
      <c r="AA3908" s="1128" t="s">
        <v>3384</v>
      </c>
      <c r="AB3908" s="20"/>
      <c r="AC3908" s="73"/>
    </row>
    <row r="3909" spans="1:29">
      <c r="A3909" s="327" t="str">
        <f>IF(AND($B3909&lt;&gt;"",$C3909&lt;&gt;""),MAX($A$1556:A3884)+1,"")</f>
        <v/>
      </c>
      <c r="B3909" s="361" t="s">
        <v>2839</v>
      </c>
      <c r="C3909" s="360"/>
      <c r="D3909" s="327">
        <f>IF($B3909="","",COUNTIF($B$6:$B3909,$B3909))</f>
        <v>15</v>
      </c>
      <c r="E3909" s="430">
        <v>229107</v>
      </c>
      <c r="F3909" s="431" t="s">
        <v>1456</v>
      </c>
      <c r="G3909" s="351" t="s">
        <v>155</v>
      </c>
      <c r="H3909" s="361"/>
      <c r="I3909" s="327">
        <v>1</v>
      </c>
      <c r="J3909" s="345"/>
      <c r="K3909" s="327"/>
      <c r="L3909" s="389">
        <v>23600</v>
      </c>
      <c r="M3909" s="371"/>
      <c r="N3909" s="355" t="str">
        <f t="shared" si="345"/>
        <v>PK</v>
      </c>
      <c r="O3909" s="345"/>
      <c r="P3909" s="392"/>
      <c r="Q3909" s="441"/>
      <c r="R3909" s="441"/>
      <c r="S3909" s="351"/>
      <c r="T3909" s="351"/>
      <c r="U3909" s="329" t="str">
        <f>IF($N3909=$N$4,IFERROR(INDEX(DanhMuc!$E$154:$E$165,MATCH(MID($B3909,4,2),DanhMuc!$B$154:$B$165,0)),""),"")</f>
        <v/>
      </c>
      <c r="V3909" s="361"/>
      <c r="W3909" s="345"/>
      <c r="X3909" s="329" t="str">
        <f t="shared" si="344"/>
        <v>RT</v>
      </c>
      <c r="Y3909" s="1128" t="s">
        <v>3380</v>
      </c>
      <c r="Z3909" s="1128" t="s">
        <v>3381</v>
      </c>
      <c r="AA3909" s="1128" t="s">
        <v>3384</v>
      </c>
      <c r="AB3909" s="20"/>
      <c r="AC3909" s="73"/>
    </row>
    <row r="3910" spans="1:29">
      <c r="A3910" s="327" t="str">
        <f>IF(AND($B3910&lt;&gt;"",$C3910&lt;&gt;""),MAX($A$1556:A3885)+1,"")</f>
        <v/>
      </c>
      <c r="B3910" s="361" t="s">
        <v>2839</v>
      </c>
      <c r="C3910" s="360"/>
      <c r="D3910" s="327">
        <f>IF($B3910="","",COUNTIF($B$6:$B3910,$B3910))</f>
        <v>16</v>
      </c>
      <c r="E3910" s="430">
        <v>229117</v>
      </c>
      <c r="F3910" s="431" t="s">
        <v>1457</v>
      </c>
      <c r="G3910" s="351" t="s">
        <v>155</v>
      </c>
      <c r="H3910" s="361"/>
      <c r="I3910" s="327">
        <v>1</v>
      </c>
      <c r="J3910" s="345"/>
      <c r="K3910" s="327"/>
      <c r="L3910" s="389">
        <v>23600</v>
      </c>
      <c r="M3910" s="371"/>
      <c r="N3910" s="355" t="str">
        <f t="shared" si="345"/>
        <v>PK</v>
      </c>
      <c r="O3910" s="345"/>
      <c r="P3910" s="392"/>
      <c r="Q3910" s="441"/>
      <c r="R3910" s="441"/>
      <c r="S3910" s="351"/>
      <c r="T3910" s="351"/>
      <c r="U3910" s="329" t="str">
        <f>IF($N3910=$N$4,IFERROR(INDEX(DanhMuc!$E$154:$E$165,MATCH(MID($B3910,4,2),DanhMuc!$B$154:$B$165,0)),""),"")</f>
        <v/>
      </c>
      <c r="V3910" s="361"/>
      <c r="W3910" s="345"/>
      <c r="X3910" s="329" t="str">
        <f t="shared" si="344"/>
        <v>RT</v>
      </c>
      <c r="Y3910" s="1128" t="s">
        <v>3380</v>
      </c>
      <c r="Z3910" s="1128" t="s">
        <v>3381</v>
      </c>
      <c r="AA3910" s="1128" t="s">
        <v>3384</v>
      </c>
      <c r="AB3910" s="20"/>
      <c r="AC3910" s="73"/>
    </row>
    <row r="3911" spans="1:29" ht="26">
      <c r="A3911" s="327">
        <f>IF(AND($B3911&lt;&gt;"",$C3911&lt;&gt;""),MAX($A$1556:A3886)+1,"")</f>
        <v>187</v>
      </c>
      <c r="B3911" s="359" t="s">
        <v>2840</v>
      </c>
      <c r="C3911" s="370" t="s">
        <v>1957</v>
      </c>
      <c r="D3911" s="327">
        <f>IF($B3911="","",COUNTIF($B$6:$B3911,$B3911))</f>
        <v>1</v>
      </c>
      <c r="E3911" s="430">
        <v>630963</v>
      </c>
      <c r="F3911" s="362" t="s">
        <v>1376</v>
      </c>
      <c r="G3911" s="327" t="s">
        <v>344</v>
      </c>
      <c r="H3911" s="361"/>
      <c r="I3911" s="327">
        <v>1</v>
      </c>
      <c r="J3911" s="361"/>
      <c r="K3911" s="327"/>
      <c r="L3911" s="389">
        <f t="shared" si="343"/>
        <v>866202.4</v>
      </c>
      <c r="M3911" s="371"/>
      <c r="N3911" s="355" t="str">
        <f t="shared" si="345"/>
        <v>PK</v>
      </c>
      <c r="O3911" s="404" t="s">
        <v>1623</v>
      </c>
      <c r="P3911" s="392"/>
      <c r="Q3911" s="441">
        <v>37.24</v>
      </c>
      <c r="R3911" s="441"/>
      <c r="S3911" s="351"/>
      <c r="T3911" s="351"/>
      <c r="U3911" s="329" t="str">
        <f>IF($N3911=$N$4,IFERROR(INDEX(DanhMuc!$E$154:$E$165,MATCH(MID($B3911,4,2),DanhMuc!$B$154:$B$165,0)),""),"")</f>
        <v/>
      </c>
      <c r="V3911" s="361"/>
      <c r="W3911" s="345"/>
      <c r="X3911" s="329" t="str">
        <f t="shared" si="344"/>
        <v>RT</v>
      </c>
      <c r="Y3911" s="1128" t="s">
        <v>3380</v>
      </c>
      <c r="Z3911" s="1128" t="s">
        <v>3381</v>
      </c>
      <c r="AA3911" s="1128" t="s">
        <v>3384</v>
      </c>
      <c r="AB3911" s="20"/>
      <c r="AC3911" s="73"/>
    </row>
    <row r="3912" spans="1:29">
      <c r="A3912" s="327" t="str">
        <f>IF(AND($B3912&lt;&gt;"",$C3912&lt;&gt;""),MAX($A$1556:A3887)+1,"")</f>
        <v/>
      </c>
      <c r="B3912" s="361" t="s">
        <v>2840</v>
      </c>
      <c r="C3912" s="360"/>
      <c r="D3912" s="327">
        <f>IF($B3912="","",COUNTIF($B$6:$B3912,$B3912))</f>
        <v>2</v>
      </c>
      <c r="E3912" s="430">
        <v>449873</v>
      </c>
      <c r="F3912" s="362" t="s">
        <v>1377</v>
      </c>
      <c r="G3912" s="327" t="s">
        <v>344</v>
      </c>
      <c r="H3912" s="361"/>
      <c r="I3912" s="327">
        <v>1</v>
      </c>
      <c r="J3912" s="361"/>
      <c r="K3912" s="327"/>
      <c r="L3912" s="389">
        <f t="shared" si="343"/>
        <v>494972.80000000005</v>
      </c>
      <c r="M3912" s="371"/>
      <c r="N3912" s="355" t="str">
        <f t="shared" si="345"/>
        <v>PK</v>
      </c>
      <c r="O3912" s="404" t="s">
        <v>1626</v>
      </c>
      <c r="P3912" s="392"/>
      <c r="Q3912" s="441">
        <v>21.28</v>
      </c>
      <c r="R3912" s="441"/>
      <c r="S3912" s="351"/>
      <c r="T3912" s="351"/>
      <c r="U3912" s="329" t="str">
        <f>IF($N3912=$N$4,IFERROR(INDEX(DanhMuc!$E$154:$E$165,MATCH(MID($B3912,4,2),DanhMuc!$B$154:$B$165,0)),""),"")</f>
        <v/>
      </c>
      <c r="V3912" s="361"/>
      <c r="W3912" s="345"/>
      <c r="X3912" s="329" t="str">
        <f t="shared" si="344"/>
        <v>RT</v>
      </c>
      <c r="Y3912" s="1128" t="s">
        <v>3380</v>
      </c>
      <c r="Z3912" s="1128" t="s">
        <v>3381</v>
      </c>
      <c r="AA3912" s="1128" t="s">
        <v>3384</v>
      </c>
      <c r="AB3912" s="20"/>
      <c r="AC3912" s="73"/>
    </row>
    <row r="3913" spans="1:29">
      <c r="A3913" s="327" t="str">
        <f>IF(AND($B3913&lt;&gt;"",$C3913&lt;&gt;""),MAX($A$1556:A3888)+1,"")</f>
        <v/>
      </c>
      <c r="B3913" s="361" t="s">
        <v>2840</v>
      </c>
      <c r="C3913" s="360"/>
      <c r="D3913" s="327">
        <f>IF($B3913="","",COUNTIF($B$6:$B3913,$B3913))</f>
        <v>3</v>
      </c>
      <c r="E3913" s="361">
        <v>570669</v>
      </c>
      <c r="F3913" s="362" t="s">
        <v>1378</v>
      </c>
      <c r="G3913" s="327" t="s">
        <v>344</v>
      </c>
      <c r="H3913" s="361"/>
      <c r="I3913" s="327">
        <v>1</v>
      </c>
      <c r="J3913" s="345"/>
      <c r="K3913" s="327"/>
      <c r="L3913" s="389">
        <f t="shared" si="343"/>
        <v>525908.6</v>
      </c>
      <c r="M3913" s="371"/>
      <c r="N3913" s="355" t="str">
        <f t="shared" si="345"/>
        <v>PK</v>
      </c>
      <c r="O3913" s="345"/>
      <c r="P3913" s="392"/>
      <c r="Q3913" s="441">
        <v>22.61</v>
      </c>
      <c r="R3913" s="441"/>
      <c r="S3913" s="351"/>
      <c r="T3913" s="351"/>
      <c r="U3913" s="329" t="str">
        <f>IF($N3913=$N$4,IFERROR(INDEX(DanhMuc!$E$154:$E$165,MATCH(MID($B3913,4,2),DanhMuc!$B$154:$B$165,0)),""),"")</f>
        <v/>
      </c>
      <c r="V3913" s="361"/>
      <c r="W3913" s="345"/>
      <c r="X3913" s="329" t="str">
        <f t="shared" si="344"/>
        <v>RT</v>
      </c>
      <c r="Y3913" s="1128" t="s">
        <v>3380</v>
      </c>
      <c r="Z3913" s="1128" t="s">
        <v>3381</v>
      </c>
      <c r="AA3913" s="1128" t="s">
        <v>3384</v>
      </c>
      <c r="AB3913" s="20"/>
      <c r="AC3913" s="73"/>
    </row>
    <row r="3914" spans="1:29">
      <c r="A3914" s="327" t="str">
        <f>IF(AND($B3914&lt;&gt;"",$C3914&lt;&gt;""),MAX($A$1556:A3889)+1,"")</f>
        <v/>
      </c>
      <c r="B3914" s="361" t="s">
        <v>2840</v>
      </c>
      <c r="C3914" s="360"/>
      <c r="D3914" s="327">
        <f>IF($B3914="","",COUNTIF($B$6:$B3914,$B3914))</f>
        <v>4</v>
      </c>
      <c r="E3914" s="361">
        <v>775376</v>
      </c>
      <c r="F3914" s="362" t="s">
        <v>1379</v>
      </c>
      <c r="G3914" s="327" t="s">
        <v>155</v>
      </c>
      <c r="H3914" s="361"/>
      <c r="I3914" s="327">
        <v>1</v>
      </c>
      <c r="J3914" s="345"/>
      <c r="K3914" s="327"/>
      <c r="L3914" s="389">
        <f t="shared" si="343"/>
        <v>247486.40000000002</v>
      </c>
      <c r="M3914" s="371"/>
      <c r="N3914" s="355" t="str">
        <f t="shared" si="345"/>
        <v>PK</v>
      </c>
      <c r="O3914" s="345" t="s">
        <v>1060</v>
      </c>
      <c r="P3914" s="392"/>
      <c r="Q3914" s="441">
        <v>10.64</v>
      </c>
      <c r="R3914" s="441"/>
      <c r="S3914" s="351"/>
      <c r="T3914" s="351"/>
      <c r="U3914" s="329" t="str">
        <f>IF($N3914=$N$4,IFERROR(INDEX(DanhMuc!$E$154:$E$165,MATCH(MID($B3914,4,2),DanhMuc!$B$154:$B$165,0)),""),"")</f>
        <v/>
      </c>
      <c r="V3914" s="361"/>
      <c r="W3914" s="345"/>
      <c r="X3914" s="329" t="str">
        <f t="shared" si="344"/>
        <v>RT</v>
      </c>
      <c r="Y3914" s="1128" t="s">
        <v>3380</v>
      </c>
      <c r="Z3914" s="1128" t="s">
        <v>3381</v>
      </c>
      <c r="AA3914" s="1128" t="s">
        <v>3384</v>
      </c>
      <c r="AB3914" s="20"/>
      <c r="AC3914" s="73"/>
    </row>
    <row r="3915" spans="1:29">
      <c r="A3915" s="327" t="str">
        <f>IF(AND($B3915&lt;&gt;"",$C3915&lt;&gt;""),MAX($A$1556:A3890)+1,"")</f>
        <v/>
      </c>
      <c r="B3915" s="361" t="s">
        <v>2840</v>
      </c>
      <c r="C3915" s="360"/>
      <c r="D3915" s="327">
        <f>IF($B3915="","",COUNTIF($B$6:$B3915,$B3915))</f>
        <v>5</v>
      </c>
      <c r="E3915" s="361">
        <v>775375</v>
      </c>
      <c r="F3915" s="362" t="s">
        <v>1380</v>
      </c>
      <c r="G3915" s="327" t="s">
        <v>155</v>
      </c>
      <c r="H3915" s="361"/>
      <c r="I3915" s="327">
        <v>1</v>
      </c>
      <c r="J3915" s="345"/>
      <c r="K3915" s="327"/>
      <c r="L3915" s="389">
        <f t="shared" si="343"/>
        <v>433101.2</v>
      </c>
      <c r="M3915" s="371"/>
      <c r="N3915" s="355" t="str">
        <f t="shared" si="345"/>
        <v>PK</v>
      </c>
      <c r="O3915" s="345" t="s">
        <v>2699</v>
      </c>
      <c r="P3915" s="392"/>
      <c r="Q3915" s="441">
        <v>18.62</v>
      </c>
      <c r="R3915" s="441"/>
      <c r="S3915" s="351"/>
      <c r="T3915" s="351"/>
      <c r="U3915" s="329" t="str">
        <f>IF($N3915=$N$4,IFERROR(INDEX(DanhMuc!$E$154:$E$165,MATCH(MID($B3915,4,2),DanhMuc!$B$154:$B$165,0)),""),"")</f>
        <v/>
      </c>
      <c r="V3915" s="361"/>
      <c r="W3915" s="345"/>
      <c r="X3915" s="329" t="str">
        <f t="shared" si="344"/>
        <v>RT</v>
      </c>
      <c r="Y3915" s="1128" t="s">
        <v>3380</v>
      </c>
      <c r="Z3915" s="1128" t="s">
        <v>3381</v>
      </c>
      <c r="AA3915" s="1128" t="s">
        <v>3384</v>
      </c>
      <c r="AB3915" s="20"/>
      <c r="AC3915" s="73"/>
    </row>
    <row r="3916" spans="1:29" ht="25">
      <c r="A3916" s="327" t="str">
        <f>IF(AND($B3916&lt;&gt;"",$C3916&lt;&gt;""),MAX($A$1556:A3891)+1,"")</f>
        <v/>
      </c>
      <c r="B3916" s="361" t="s">
        <v>2840</v>
      </c>
      <c r="C3916" s="360"/>
      <c r="D3916" s="327">
        <f>IF($B3916="","",COUNTIF($B$6:$B3916,$B3916))</f>
        <v>6</v>
      </c>
      <c r="E3916" s="605">
        <v>733375</v>
      </c>
      <c r="F3916" s="362" t="s">
        <v>1393</v>
      </c>
      <c r="G3916" s="327" t="s">
        <v>155</v>
      </c>
      <c r="H3916" s="327"/>
      <c r="I3916" s="327">
        <v>0</v>
      </c>
      <c r="J3916" s="345"/>
      <c r="K3916" s="327"/>
      <c r="L3916" s="389">
        <f>+$L$3808*$Q3916/3</f>
        <v>278422.2</v>
      </c>
      <c r="M3916" s="371"/>
      <c r="N3916" s="355" t="str">
        <f t="shared" si="345"/>
        <v>PK</v>
      </c>
      <c r="O3916" s="345"/>
      <c r="P3916" s="392"/>
      <c r="Q3916" s="441">
        <v>35.909999999999997</v>
      </c>
      <c r="R3916" s="441"/>
      <c r="S3916" s="351"/>
      <c r="T3916" s="351"/>
      <c r="U3916" s="329" t="str">
        <f>IF($N3916=$N$4,IFERROR(INDEX(DanhMuc!$E$154:$E$165,MATCH(MID($B3916,4,2),DanhMuc!$B$154:$B$165,0)),""),"")</f>
        <v/>
      </c>
      <c r="V3916" s="361"/>
      <c r="W3916" s="345"/>
      <c r="X3916" s="329" t="str">
        <f t="shared" si="344"/>
        <v>RT</v>
      </c>
      <c r="Y3916" s="1128" t="s">
        <v>3380</v>
      </c>
      <c r="Z3916" s="1128" t="s">
        <v>3381</v>
      </c>
      <c r="AA3916" s="1128" t="s">
        <v>3384</v>
      </c>
      <c r="AB3916" s="20"/>
      <c r="AC3916" s="73"/>
    </row>
    <row r="3917" spans="1:29" ht="25">
      <c r="A3917" s="327" t="str">
        <f>IF(AND($B3917&lt;&gt;"",$C3917&lt;&gt;""),MAX($A$1556:A3892)+1,"")</f>
        <v/>
      </c>
      <c r="B3917" s="361" t="s">
        <v>2840</v>
      </c>
      <c r="C3917" s="360"/>
      <c r="D3917" s="327">
        <f>IF($B3917="","",COUNTIF($B$6:$B3917,$B3917))</f>
        <v>7</v>
      </c>
      <c r="E3917" s="361">
        <v>734365</v>
      </c>
      <c r="F3917" s="362" t="s">
        <v>1394</v>
      </c>
      <c r="G3917" s="327" t="s">
        <v>155</v>
      </c>
      <c r="H3917" s="327"/>
      <c r="I3917" s="327">
        <v>4</v>
      </c>
      <c r="J3917" s="345"/>
      <c r="K3917" s="327"/>
      <c r="L3917" s="389">
        <f>+$L$3808*$Q3917/3</f>
        <v>397048.2</v>
      </c>
      <c r="M3917" s="371"/>
      <c r="N3917" s="355" t="str">
        <f t="shared" si="345"/>
        <v>PK</v>
      </c>
      <c r="O3917" s="345"/>
      <c r="P3917" s="392"/>
      <c r="Q3917" s="441">
        <v>51.21</v>
      </c>
      <c r="R3917" s="441"/>
      <c r="S3917" s="351"/>
      <c r="T3917" s="351"/>
      <c r="U3917" s="329" t="str">
        <f>IF($N3917=$N$4,IFERROR(INDEX(DanhMuc!$E$154:$E$165,MATCH(MID($B3917,4,2),DanhMuc!$B$154:$B$165,0)),""),"")</f>
        <v/>
      </c>
      <c r="V3917" s="361"/>
      <c r="W3917" s="345"/>
      <c r="X3917" s="329" t="str">
        <f t="shared" si="344"/>
        <v>RT</v>
      </c>
      <c r="Y3917" s="1128" t="s">
        <v>3380</v>
      </c>
      <c r="Z3917" s="1128" t="s">
        <v>3381</v>
      </c>
      <c r="AA3917" s="1128" t="s">
        <v>3384</v>
      </c>
      <c r="AB3917" s="20"/>
      <c r="AC3917" s="73"/>
    </row>
    <row r="3918" spans="1:29" ht="25">
      <c r="A3918" s="327" t="str">
        <f>IF(AND($B3918&lt;&gt;"",$C3918&lt;&gt;""),MAX($A$1556:A3893)+1,"")</f>
        <v/>
      </c>
      <c r="B3918" s="361" t="s">
        <v>2840</v>
      </c>
      <c r="C3918" s="360"/>
      <c r="D3918" s="327">
        <f>IF($B3918="","",COUNTIF($B$6:$B3918,$B3918))</f>
        <v>8</v>
      </c>
      <c r="E3918" s="605">
        <v>733369</v>
      </c>
      <c r="F3918" s="362" t="s">
        <v>1395</v>
      </c>
      <c r="G3918" s="327" t="s">
        <v>155</v>
      </c>
      <c r="H3918" s="327"/>
      <c r="I3918" s="327">
        <v>4</v>
      </c>
      <c r="J3918" s="345"/>
      <c r="K3918" s="327"/>
      <c r="L3918" s="389">
        <f>+$L$3808*$Q3918/3</f>
        <v>188793.66666666666</v>
      </c>
      <c r="M3918" s="371"/>
      <c r="N3918" s="355" t="str">
        <f t="shared" si="345"/>
        <v>PK</v>
      </c>
      <c r="O3918" s="345"/>
      <c r="P3918" s="392"/>
      <c r="Q3918" s="441">
        <v>24.35</v>
      </c>
      <c r="R3918" s="441"/>
      <c r="S3918" s="351"/>
      <c r="T3918" s="351"/>
      <c r="U3918" s="329" t="str">
        <f>IF($N3918=$N$4,IFERROR(INDEX(DanhMuc!$E$154:$E$165,MATCH(MID($B3918,4,2),DanhMuc!$B$154:$B$165,0)),""),"")</f>
        <v/>
      </c>
      <c r="V3918" s="361"/>
      <c r="W3918" s="345"/>
      <c r="X3918" s="329" t="str">
        <f t="shared" si="344"/>
        <v>RT</v>
      </c>
      <c r="Y3918" s="1128" t="s">
        <v>3380</v>
      </c>
      <c r="Z3918" s="1128" t="s">
        <v>3381</v>
      </c>
      <c r="AA3918" s="1128" t="s">
        <v>3384</v>
      </c>
      <c r="AB3918" s="20"/>
      <c r="AC3918" s="73"/>
    </row>
    <row r="3919" spans="1:29">
      <c r="A3919" s="327" t="str">
        <f>IF(AND($B3919&lt;&gt;"",$C3919&lt;&gt;""),MAX($A$1556:A3894)+1,"")</f>
        <v/>
      </c>
      <c r="B3919" s="361" t="s">
        <v>2840</v>
      </c>
      <c r="C3919" s="360"/>
      <c r="D3919" s="327">
        <f>IF($B3919="","",COUNTIF($B$6:$B3919,$B3919))</f>
        <v>9</v>
      </c>
      <c r="E3919" s="605">
        <v>733492</v>
      </c>
      <c r="F3919" s="362" t="s">
        <v>1514</v>
      </c>
      <c r="G3919" s="327" t="s">
        <v>155</v>
      </c>
      <c r="H3919" s="327"/>
      <c r="I3919" s="327">
        <v>4</v>
      </c>
      <c r="J3919" s="345"/>
      <c r="K3919" s="327"/>
      <c r="L3919" s="389">
        <f>+$L$3808*$Q3919/3</f>
        <v>309358</v>
      </c>
      <c r="M3919" s="371"/>
      <c r="N3919" s="355" t="str">
        <f t="shared" si="345"/>
        <v>PK</v>
      </c>
      <c r="O3919" s="345"/>
      <c r="P3919" s="392"/>
      <c r="Q3919" s="441">
        <v>39.9</v>
      </c>
      <c r="R3919" s="441"/>
      <c r="S3919" s="351"/>
      <c r="T3919" s="351"/>
      <c r="U3919" s="329" t="str">
        <f>IF($N3919=$N$4,IFERROR(INDEX(DanhMuc!$E$154:$E$165,MATCH(MID($B3919,4,2),DanhMuc!$B$154:$B$165,0)),""),"")</f>
        <v/>
      </c>
      <c r="V3919" s="361"/>
      <c r="W3919" s="345"/>
      <c r="X3919" s="329" t="str">
        <f t="shared" si="344"/>
        <v>RT</v>
      </c>
      <c r="Y3919" s="1128" t="s">
        <v>3380</v>
      </c>
      <c r="Z3919" s="1128" t="s">
        <v>3381</v>
      </c>
      <c r="AA3919" s="1128" t="s">
        <v>3384</v>
      </c>
      <c r="AB3919" s="20"/>
      <c r="AC3919" s="73"/>
    </row>
    <row r="3920" spans="1:29" ht="25">
      <c r="A3920" s="327" t="str">
        <f>IF(AND($B3920&lt;&gt;"",$C3920&lt;&gt;""),MAX($A$1556:A3895)+1,"")</f>
        <v/>
      </c>
      <c r="B3920" s="361" t="s">
        <v>2840</v>
      </c>
      <c r="C3920" s="360"/>
      <c r="D3920" s="327">
        <f>IF($B3920="","",COUNTIF($B$6:$B3920,$B3920))</f>
        <v>10</v>
      </c>
      <c r="E3920" s="605">
        <v>312831</v>
      </c>
      <c r="F3920" s="362" t="s">
        <v>1515</v>
      </c>
      <c r="G3920" s="327" t="s">
        <v>155</v>
      </c>
      <c r="H3920" s="327"/>
      <c r="I3920" s="327">
        <v>0</v>
      </c>
      <c r="J3920" s="345"/>
      <c r="K3920" s="327"/>
      <c r="L3920" s="389">
        <f>+$L$3808*$Q3920/3</f>
        <v>15584.199999999999</v>
      </c>
      <c r="M3920" s="371"/>
      <c r="N3920" s="355" t="str">
        <f t="shared" si="345"/>
        <v>PK</v>
      </c>
      <c r="O3920" s="345"/>
      <c r="P3920" s="392"/>
      <c r="Q3920" s="441">
        <v>2.0099999999999998</v>
      </c>
      <c r="R3920" s="441"/>
      <c r="S3920" s="351"/>
      <c r="T3920" s="351"/>
      <c r="U3920" s="329" t="str">
        <f>IF($N3920=$N$4,IFERROR(INDEX(DanhMuc!$E$154:$E$165,MATCH(MID($B3920,4,2),DanhMuc!$B$154:$B$165,0)),""),"")</f>
        <v/>
      </c>
      <c r="V3920" s="361"/>
      <c r="W3920" s="345"/>
      <c r="X3920" s="329" t="str">
        <f t="shared" si="344"/>
        <v>RT</v>
      </c>
      <c r="Y3920" s="1128" t="s">
        <v>3380</v>
      </c>
      <c r="Z3920" s="1128" t="s">
        <v>3381</v>
      </c>
      <c r="AA3920" s="1128" t="s">
        <v>3384</v>
      </c>
      <c r="AB3920" s="20"/>
      <c r="AC3920" s="73"/>
    </row>
    <row r="3921" spans="1:29">
      <c r="A3921" s="327" t="str">
        <f>IF(AND($B3921&lt;&gt;"",$C3921&lt;&gt;""),MAX($A$1556:A3896)+1,"")</f>
        <v/>
      </c>
      <c r="B3921" s="361" t="s">
        <v>2840</v>
      </c>
      <c r="C3921" s="360"/>
      <c r="D3921" s="327">
        <f>IF($B3921="","",COUNTIF($B$6:$B3921,$B3921))</f>
        <v>11</v>
      </c>
      <c r="E3921" s="361">
        <v>492575</v>
      </c>
      <c r="F3921" s="431" t="s">
        <v>1382</v>
      </c>
      <c r="G3921" s="327" t="s">
        <v>155</v>
      </c>
      <c r="H3921" s="361"/>
      <c r="I3921" s="327">
        <v>8</v>
      </c>
      <c r="J3921" s="345"/>
      <c r="K3921" s="327"/>
      <c r="L3921" s="389">
        <f t="shared" si="343"/>
        <v>510557</v>
      </c>
      <c r="M3921" s="371"/>
      <c r="N3921" s="355" t="str">
        <f t="shared" si="345"/>
        <v>PK</v>
      </c>
      <c r="O3921" s="345"/>
      <c r="P3921" s="392"/>
      <c r="Q3921" s="441">
        <v>21.95</v>
      </c>
      <c r="R3921" s="441"/>
      <c r="S3921" s="351"/>
      <c r="T3921" s="351"/>
      <c r="U3921" s="329" t="str">
        <f>IF($N3921=$N$4,IFERROR(INDEX(DanhMuc!$E$154:$E$165,MATCH(MID($B3921,4,2),DanhMuc!$B$154:$B$165,0)),""),"")</f>
        <v/>
      </c>
      <c r="V3921" s="361"/>
      <c r="W3921" s="345"/>
      <c r="X3921" s="329" t="str">
        <f t="shared" si="344"/>
        <v>RT</v>
      </c>
      <c r="Y3921" s="1128" t="s">
        <v>3380</v>
      </c>
      <c r="Z3921" s="1128" t="s">
        <v>3381</v>
      </c>
      <c r="AA3921" s="1128" t="s">
        <v>3384</v>
      </c>
      <c r="AB3921" s="20"/>
      <c r="AC3921" s="73"/>
    </row>
    <row r="3922" spans="1:29" ht="25">
      <c r="A3922" s="327" t="str">
        <f>IF(AND($B3922&lt;&gt;"",$C3922&lt;&gt;""),MAX($A$1556:A3897)+1,"")</f>
        <v/>
      </c>
      <c r="B3922" s="361" t="s">
        <v>2840</v>
      </c>
      <c r="C3922" s="360"/>
      <c r="D3922" s="327">
        <f>IF($B3922="","",COUNTIF($B$6:$B3922,$B3922))</f>
        <v>12</v>
      </c>
      <c r="E3922" s="411">
        <v>630955</v>
      </c>
      <c r="F3922" s="432" t="s">
        <v>1385</v>
      </c>
      <c r="G3922" s="410" t="s">
        <v>156</v>
      </c>
      <c r="H3922" s="402"/>
      <c r="I3922" s="327">
        <v>1</v>
      </c>
      <c r="J3922" s="345"/>
      <c r="K3922" s="327"/>
      <c r="L3922" s="389">
        <f t="shared" si="343"/>
        <v>114904.40000000001</v>
      </c>
      <c r="M3922" s="371"/>
      <c r="N3922" s="355" t="str">
        <f t="shared" si="345"/>
        <v>PK</v>
      </c>
      <c r="O3922" s="404" t="s">
        <v>1623</v>
      </c>
      <c r="P3922" s="392"/>
      <c r="Q3922" s="441">
        <v>4.9400000000000004</v>
      </c>
      <c r="R3922" s="441"/>
      <c r="S3922" s="351"/>
      <c r="T3922" s="351"/>
      <c r="U3922" s="329" t="str">
        <f>IF($N3922=$N$4,IFERROR(INDEX(DanhMuc!$E$154:$E$165,MATCH(MID($B3922,4,2),DanhMuc!$B$154:$B$165,0)),""),"")</f>
        <v/>
      </c>
      <c r="V3922" s="361"/>
      <c r="W3922" s="345"/>
      <c r="X3922" s="329" t="str">
        <f t="shared" si="344"/>
        <v>RT</v>
      </c>
      <c r="Y3922" s="1128" t="s">
        <v>3380</v>
      </c>
      <c r="Z3922" s="1128" t="s">
        <v>3381</v>
      </c>
      <c r="AA3922" s="1128" t="s">
        <v>3384</v>
      </c>
      <c r="AB3922" s="20"/>
      <c r="AC3922" s="73"/>
    </row>
    <row r="3923" spans="1:29" ht="25">
      <c r="A3923" s="327" t="str">
        <f>IF(AND($B3923&lt;&gt;"",$C3923&lt;&gt;""),MAX($A$1556:A3898)+1,"")</f>
        <v/>
      </c>
      <c r="B3923" s="361" t="s">
        <v>2840</v>
      </c>
      <c r="C3923" s="360"/>
      <c r="D3923" s="327">
        <f>IF($B3923="","",COUNTIF($B$6:$B3923,$B3923))</f>
        <v>13</v>
      </c>
      <c r="E3923" s="411">
        <v>630957</v>
      </c>
      <c r="F3923" s="432" t="s">
        <v>1386</v>
      </c>
      <c r="G3923" s="410" t="s">
        <v>156</v>
      </c>
      <c r="H3923" s="402"/>
      <c r="I3923" s="327">
        <v>1</v>
      </c>
      <c r="J3923" s="345"/>
      <c r="K3923" s="327"/>
      <c r="L3923" s="389">
        <f t="shared" si="343"/>
        <v>154911.6</v>
      </c>
      <c r="M3923" s="371"/>
      <c r="N3923" s="355" t="str">
        <f t="shared" si="345"/>
        <v>PK</v>
      </c>
      <c r="O3923" s="404" t="s">
        <v>1623</v>
      </c>
      <c r="P3923" s="392"/>
      <c r="Q3923" s="441">
        <v>6.66</v>
      </c>
      <c r="R3923" s="441"/>
      <c r="S3923" s="351"/>
      <c r="T3923" s="351"/>
      <c r="U3923" s="329" t="str">
        <f>IF($N3923=$N$4,IFERROR(INDEX(DanhMuc!$E$154:$E$165,MATCH(MID($B3923,4,2),DanhMuc!$B$154:$B$165,0)),""),"")</f>
        <v/>
      </c>
      <c r="V3923" s="361"/>
      <c r="W3923" s="345"/>
      <c r="X3923" s="329" t="str">
        <f t="shared" si="344"/>
        <v>RT</v>
      </c>
      <c r="Y3923" s="1128" t="s">
        <v>3380</v>
      </c>
      <c r="Z3923" s="1128" t="s">
        <v>3381</v>
      </c>
      <c r="AA3923" s="1128" t="s">
        <v>3384</v>
      </c>
      <c r="AB3923" s="20"/>
      <c r="AC3923" s="73"/>
    </row>
    <row r="3924" spans="1:29">
      <c r="A3924" s="327" t="str">
        <f>IF(AND($B3924&lt;&gt;"",$C3924&lt;&gt;""),MAX($A$1556:A3899)+1,"")</f>
        <v/>
      </c>
      <c r="B3924" s="361" t="s">
        <v>2840</v>
      </c>
      <c r="C3924" s="360"/>
      <c r="D3924" s="327">
        <f>IF($B3924="","",COUNTIF($B$6:$B3924,$B3924))</f>
        <v>14</v>
      </c>
      <c r="E3924" s="430">
        <v>633302</v>
      </c>
      <c r="F3924" s="431" t="s">
        <v>1388</v>
      </c>
      <c r="G3924" s="327" t="s">
        <v>156</v>
      </c>
      <c r="H3924" s="361"/>
      <c r="I3924" s="327">
        <v>2</v>
      </c>
      <c r="J3924" s="345"/>
      <c r="K3924" s="327"/>
      <c r="L3924" s="389">
        <f t="shared" si="343"/>
        <v>665236</v>
      </c>
      <c r="M3924" s="371"/>
      <c r="N3924" s="355" t="str">
        <f t="shared" si="345"/>
        <v>PK</v>
      </c>
      <c r="O3924" s="404" t="s">
        <v>1623</v>
      </c>
      <c r="P3924" s="392"/>
      <c r="Q3924" s="441">
        <v>28.6</v>
      </c>
      <c r="R3924" s="441"/>
      <c r="S3924" s="351"/>
      <c r="T3924" s="351"/>
      <c r="U3924" s="329" t="str">
        <f>IF($N3924=$N$4,IFERROR(INDEX(DanhMuc!$E$154:$E$165,MATCH(MID($B3924,4,2),DanhMuc!$B$154:$B$165,0)),""),"")</f>
        <v/>
      </c>
      <c r="V3924" s="361"/>
      <c r="W3924" s="345"/>
      <c r="X3924" s="329" t="str">
        <f t="shared" si="344"/>
        <v>RT</v>
      </c>
      <c r="Y3924" s="1128" t="s">
        <v>3380</v>
      </c>
      <c r="Z3924" s="1128" t="s">
        <v>3381</v>
      </c>
      <c r="AA3924" s="1128" t="s">
        <v>3384</v>
      </c>
      <c r="AB3924" s="20"/>
      <c r="AC3924" s="73"/>
    </row>
    <row r="3925" spans="1:29">
      <c r="A3925" s="327" t="str">
        <f>IF(AND($B3925&lt;&gt;"",$C3925&lt;&gt;""),MAX($A$1556:A3900)+1,"")</f>
        <v/>
      </c>
      <c r="B3925" s="361" t="s">
        <v>2840</v>
      </c>
      <c r="C3925" s="360"/>
      <c r="D3925" s="327">
        <f>IF($B3925="","",COUNTIF($B$6:$B3925,$B3925))</f>
        <v>15</v>
      </c>
      <c r="E3925" s="430">
        <v>641810</v>
      </c>
      <c r="F3925" s="431" t="s">
        <v>1389</v>
      </c>
      <c r="G3925" s="327" t="s">
        <v>156</v>
      </c>
      <c r="H3925" s="361"/>
      <c r="I3925" s="327">
        <v>2</v>
      </c>
      <c r="J3925" s="345"/>
      <c r="K3925" s="327"/>
      <c r="L3925" s="389">
        <f t="shared" si="343"/>
        <v>71640.800000000003</v>
      </c>
      <c r="M3925" s="371"/>
      <c r="N3925" s="355" t="str">
        <f t="shared" si="345"/>
        <v>PK</v>
      </c>
      <c r="O3925" s="345"/>
      <c r="P3925" s="392"/>
      <c r="Q3925" s="441">
        <v>3.08</v>
      </c>
      <c r="R3925" s="441"/>
      <c r="S3925" s="351"/>
      <c r="T3925" s="351"/>
      <c r="U3925" s="329" t="str">
        <f>IF($N3925=$N$4,IFERROR(INDEX(DanhMuc!$E$154:$E$165,MATCH(MID($B3925,4,2),DanhMuc!$B$154:$B$165,0)),""),"")</f>
        <v/>
      </c>
      <c r="V3925" s="361"/>
      <c r="W3925" s="345"/>
      <c r="X3925" s="329" t="str">
        <f t="shared" si="344"/>
        <v>RT</v>
      </c>
      <c r="Y3925" s="1128" t="s">
        <v>3380</v>
      </c>
      <c r="Z3925" s="1128" t="s">
        <v>3381</v>
      </c>
      <c r="AA3925" s="1128" t="s">
        <v>3384</v>
      </c>
      <c r="AB3925" s="20"/>
      <c r="AC3925" s="73"/>
    </row>
    <row r="3926" spans="1:29">
      <c r="A3926" s="327" t="str">
        <f>IF(AND($B3926&lt;&gt;"",$C3926&lt;&gt;""),MAX($A$1556:A3901)+1,"")</f>
        <v/>
      </c>
      <c r="B3926" s="361" t="s">
        <v>2840</v>
      </c>
      <c r="C3926" s="360"/>
      <c r="D3926" s="327">
        <f>IF($B3926="","",COUNTIF($B$6:$B3926,$B3926))</f>
        <v>16</v>
      </c>
      <c r="E3926" s="430">
        <v>349187</v>
      </c>
      <c r="F3926" s="362" t="s">
        <v>1390</v>
      </c>
      <c r="G3926" s="327" t="s">
        <v>155</v>
      </c>
      <c r="H3926" s="361"/>
      <c r="I3926" s="327">
        <v>4</v>
      </c>
      <c r="J3926" s="345"/>
      <c r="K3926" s="327"/>
      <c r="L3926" s="389">
        <f t="shared" si="343"/>
        <v>145840.19999999998</v>
      </c>
      <c r="M3926" s="371"/>
      <c r="N3926" s="355" t="str">
        <f t="shared" si="345"/>
        <v>PK</v>
      </c>
      <c r="O3926" s="345"/>
      <c r="P3926" s="392"/>
      <c r="Q3926" s="441">
        <v>6.27</v>
      </c>
      <c r="R3926" s="441"/>
      <c r="S3926" s="351"/>
      <c r="T3926" s="351"/>
      <c r="U3926" s="329" t="str">
        <f>IF($N3926=$N$4,IFERROR(INDEX(DanhMuc!$E$154:$E$165,MATCH(MID($B3926,4,2),DanhMuc!$B$154:$B$165,0)),""),"")</f>
        <v/>
      </c>
      <c r="V3926" s="361"/>
      <c r="W3926" s="345"/>
      <c r="X3926" s="329" t="str">
        <f t="shared" si="344"/>
        <v>RT</v>
      </c>
      <c r="Y3926" s="1128" t="s">
        <v>3380</v>
      </c>
      <c r="Z3926" s="1128" t="s">
        <v>3381</v>
      </c>
      <c r="AA3926" s="1128" t="s">
        <v>3384</v>
      </c>
      <c r="AB3926" s="20"/>
      <c r="AC3926" s="73"/>
    </row>
    <row r="3927" spans="1:29">
      <c r="A3927" s="327" t="str">
        <f>IF(AND($B3927&lt;&gt;"",$C3927&lt;&gt;""),MAX($A$1556:A3902)+1,"")</f>
        <v/>
      </c>
      <c r="B3927" s="361" t="s">
        <v>2840</v>
      </c>
      <c r="C3927" s="360"/>
      <c r="D3927" s="327">
        <f>IF($B3927="","",COUNTIF($B$6:$B3927,$B3927))</f>
        <v>17</v>
      </c>
      <c r="E3927" s="430">
        <v>260434</v>
      </c>
      <c r="F3927" s="431" t="s">
        <v>1391</v>
      </c>
      <c r="G3927" s="327" t="s">
        <v>155</v>
      </c>
      <c r="H3927" s="361"/>
      <c r="I3927" s="327">
        <v>4</v>
      </c>
      <c r="J3927" s="345"/>
      <c r="K3927" s="327"/>
      <c r="L3927" s="389">
        <f t="shared" si="343"/>
        <v>31168.400000000001</v>
      </c>
      <c r="M3927" s="371"/>
      <c r="N3927" s="355" t="str">
        <f t="shared" si="345"/>
        <v>PK</v>
      </c>
      <c r="O3927" s="345"/>
      <c r="P3927" s="392"/>
      <c r="Q3927" s="441">
        <v>1.34</v>
      </c>
      <c r="R3927" s="441"/>
      <c r="S3927" s="351"/>
      <c r="T3927" s="351"/>
      <c r="U3927" s="329" t="str">
        <f>IF($N3927=$N$4,IFERROR(INDEX(DanhMuc!$E$154:$E$165,MATCH(MID($B3927,4,2),DanhMuc!$B$154:$B$165,0)),""),"")</f>
        <v/>
      </c>
      <c r="V3927" s="361"/>
      <c r="W3927" s="345"/>
      <c r="X3927" s="329" t="str">
        <f t="shared" si="344"/>
        <v>RT</v>
      </c>
      <c r="Y3927" s="1128" t="s">
        <v>3380</v>
      </c>
      <c r="Z3927" s="1128" t="s">
        <v>3381</v>
      </c>
      <c r="AA3927" s="1128" t="s">
        <v>3384</v>
      </c>
      <c r="AB3927" s="20"/>
      <c r="AC3927" s="73"/>
    </row>
    <row r="3928" spans="1:29">
      <c r="A3928" s="327" t="str">
        <f>IF(AND($B3928&lt;&gt;"",$C3928&lt;&gt;""),MAX($A$1556:A3903)+1,"")</f>
        <v/>
      </c>
      <c r="B3928" s="361" t="s">
        <v>2840</v>
      </c>
      <c r="C3928" s="360"/>
      <c r="D3928" s="327">
        <f>IF($B3928="","",COUNTIF($B$6:$B3928,$B3928))</f>
        <v>18</v>
      </c>
      <c r="E3928" s="430">
        <v>339395</v>
      </c>
      <c r="F3928" s="431" t="s">
        <v>1392</v>
      </c>
      <c r="G3928" s="351" t="s">
        <v>155</v>
      </c>
      <c r="H3928" s="361"/>
      <c r="I3928" s="327">
        <v>4</v>
      </c>
      <c r="J3928" s="345"/>
      <c r="K3928" s="327"/>
      <c r="L3928" s="389">
        <f t="shared" si="343"/>
        <v>37216</v>
      </c>
      <c r="M3928" s="371"/>
      <c r="N3928" s="355" t="str">
        <f t="shared" si="345"/>
        <v>PK</v>
      </c>
      <c r="O3928" s="404" t="s">
        <v>1623</v>
      </c>
      <c r="P3928" s="392"/>
      <c r="Q3928" s="441">
        <v>1.6</v>
      </c>
      <c r="R3928" s="441"/>
      <c r="S3928" s="351"/>
      <c r="T3928" s="351"/>
      <c r="U3928" s="329" t="str">
        <f>IF($N3928=$N$4,IFERROR(INDEX(DanhMuc!$E$154:$E$165,MATCH(MID($B3928,4,2),DanhMuc!$B$154:$B$165,0)),""),"")</f>
        <v/>
      </c>
      <c r="V3928" s="361"/>
      <c r="W3928" s="345"/>
      <c r="X3928" s="329" t="str">
        <f t="shared" si="344"/>
        <v>RT</v>
      </c>
      <c r="Y3928" s="1128" t="s">
        <v>3380</v>
      </c>
      <c r="Z3928" s="1128" t="s">
        <v>3381</v>
      </c>
      <c r="AA3928" s="1128" t="s">
        <v>3384</v>
      </c>
      <c r="AB3928" s="20"/>
      <c r="AC3928" s="73"/>
    </row>
    <row r="3929" spans="1:29">
      <c r="A3929" s="327" t="str">
        <f>IF(AND($B3929&lt;&gt;"",$C3929&lt;&gt;""),MAX($A$1556:A3904)+1,"")</f>
        <v/>
      </c>
      <c r="B3929" s="361" t="s">
        <v>2840</v>
      </c>
      <c r="C3929" s="360"/>
      <c r="D3929" s="327">
        <f>IF($B3929="","",COUNTIF($B$6:$B3929,$B3929))</f>
        <v>19</v>
      </c>
      <c r="E3929" s="430">
        <v>229107</v>
      </c>
      <c r="F3929" s="431" t="s">
        <v>1456</v>
      </c>
      <c r="G3929" s="351" t="s">
        <v>155</v>
      </c>
      <c r="H3929" s="361"/>
      <c r="I3929" s="327">
        <v>1</v>
      </c>
      <c r="J3929" s="345"/>
      <c r="K3929" s="327"/>
      <c r="L3929" s="389">
        <v>23600</v>
      </c>
      <c r="M3929" s="371"/>
      <c r="N3929" s="355" t="str">
        <f t="shared" si="345"/>
        <v>PK</v>
      </c>
      <c r="O3929" s="345"/>
      <c r="P3929" s="392"/>
      <c r="Q3929" s="441"/>
      <c r="R3929" s="441"/>
      <c r="S3929" s="351"/>
      <c r="T3929" s="351"/>
      <c r="U3929" s="329" t="str">
        <f>IF($N3929=$N$4,IFERROR(INDEX(DanhMuc!$E$154:$E$165,MATCH(MID($B3929,4,2),DanhMuc!$B$154:$B$165,0)),""),"")</f>
        <v/>
      </c>
      <c r="V3929" s="361"/>
      <c r="W3929" s="345"/>
      <c r="X3929" s="329" t="str">
        <f t="shared" si="344"/>
        <v>RT</v>
      </c>
      <c r="Y3929" s="1128" t="s">
        <v>3380</v>
      </c>
      <c r="Z3929" s="1128" t="s">
        <v>3381</v>
      </c>
      <c r="AA3929" s="1128" t="s">
        <v>3384</v>
      </c>
      <c r="AB3929" s="20"/>
      <c r="AC3929" s="73"/>
    </row>
    <row r="3930" spans="1:29">
      <c r="A3930" s="327" t="str">
        <f>IF(AND($B3930&lt;&gt;"",$C3930&lt;&gt;""),MAX($A$1556:A3905)+1,"")</f>
        <v/>
      </c>
      <c r="B3930" s="361" t="s">
        <v>2840</v>
      </c>
      <c r="C3930" s="360"/>
      <c r="D3930" s="327">
        <f>IF($B3930="","",COUNTIF($B$6:$B3930,$B3930))</f>
        <v>20</v>
      </c>
      <c r="E3930" s="430">
        <v>229117</v>
      </c>
      <c r="F3930" s="431" t="s">
        <v>1457</v>
      </c>
      <c r="G3930" s="351" t="s">
        <v>155</v>
      </c>
      <c r="H3930" s="361"/>
      <c r="I3930" s="327">
        <v>1</v>
      </c>
      <c r="J3930" s="345"/>
      <c r="K3930" s="327"/>
      <c r="L3930" s="389">
        <v>23600</v>
      </c>
      <c r="M3930" s="371"/>
      <c r="N3930" s="355" t="str">
        <f t="shared" si="345"/>
        <v>PK</v>
      </c>
      <c r="O3930" s="345"/>
      <c r="P3930" s="392"/>
      <c r="Q3930" s="441"/>
      <c r="R3930" s="441"/>
      <c r="S3930" s="351"/>
      <c r="T3930" s="351"/>
      <c r="U3930" s="329" t="str">
        <f>IF($N3930=$N$4,IFERROR(INDEX(DanhMuc!$E$154:$E$165,MATCH(MID($B3930,4,2),DanhMuc!$B$154:$B$165,0)),""),"")</f>
        <v/>
      </c>
      <c r="V3930" s="361"/>
      <c r="W3930" s="345"/>
      <c r="X3930" s="329" t="str">
        <f t="shared" si="344"/>
        <v>RT</v>
      </c>
      <c r="Y3930" s="1128" t="s">
        <v>3380</v>
      </c>
      <c r="Z3930" s="1128" t="s">
        <v>3381</v>
      </c>
      <c r="AA3930" s="1128" t="s">
        <v>3384</v>
      </c>
      <c r="AB3930" s="20"/>
      <c r="AC3930" s="73"/>
    </row>
    <row r="3931" spans="1:29">
      <c r="A3931" s="327" t="str">
        <f>IF(AND($B3931&lt;&gt;"",$C3931&lt;&gt;""),MAX($A$1556:A3906)+1,"")</f>
        <v/>
      </c>
      <c r="B3931" s="361" t="s">
        <v>2840</v>
      </c>
      <c r="C3931" s="360"/>
      <c r="D3931" s="327">
        <f>IF($B3931="","",COUNTIF($B$6:$B3931,$B3931))</f>
        <v>21</v>
      </c>
      <c r="E3931" s="430">
        <v>445213</v>
      </c>
      <c r="F3931" s="431" t="s">
        <v>1963</v>
      </c>
      <c r="G3931" s="351" t="s">
        <v>155</v>
      </c>
      <c r="H3931" s="361"/>
      <c r="I3931" s="327">
        <v>1</v>
      </c>
      <c r="J3931" s="345"/>
      <c r="K3931" s="327"/>
      <c r="L3931" s="389">
        <f t="shared" si="343"/>
        <v>294239</v>
      </c>
      <c r="M3931" s="371"/>
      <c r="N3931" s="355" t="str">
        <f t="shared" si="345"/>
        <v>PK</v>
      </c>
      <c r="O3931" s="345"/>
      <c r="P3931" s="392"/>
      <c r="Q3931" s="441">
        <v>12.65</v>
      </c>
      <c r="R3931" s="441"/>
      <c r="S3931" s="351"/>
      <c r="T3931" s="351"/>
      <c r="U3931" s="329" t="str">
        <f>IF($N3931=$N$4,IFERROR(INDEX(DanhMuc!$E$154:$E$165,MATCH(MID($B3931,4,2),DanhMuc!$B$154:$B$165,0)),""),"")</f>
        <v/>
      </c>
      <c r="V3931" s="361"/>
      <c r="W3931" s="345"/>
      <c r="X3931" s="329" t="str">
        <f t="shared" si="344"/>
        <v>RT</v>
      </c>
      <c r="Y3931" s="1128" t="s">
        <v>3380</v>
      </c>
      <c r="Z3931" s="1128" t="s">
        <v>3381</v>
      </c>
      <c r="AA3931" s="1128" t="s">
        <v>3384</v>
      </c>
      <c r="AB3931" s="20"/>
      <c r="AC3931" s="73"/>
    </row>
    <row r="3932" spans="1:29" ht="26">
      <c r="A3932" s="327">
        <f>IF(AND($B3932&lt;&gt;"",$C3932&lt;&gt;""),MAX($A$1556:A3907)+1,"")</f>
        <v>187</v>
      </c>
      <c r="B3932" s="359" t="s">
        <v>2841</v>
      </c>
      <c r="C3932" s="370" t="s">
        <v>1593</v>
      </c>
      <c r="D3932" s="327">
        <f>IF($B3932="","",COUNTIF($B$6:$B3932,$B3932))</f>
        <v>1</v>
      </c>
      <c r="E3932" s="430">
        <v>630963</v>
      </c>
      <c r="F3932" s="362" t="s">
        <v>1376</v>
      </c>
      <c r="G3932" s="327" t="s">
        <v>344</v>
      </c>
      <c r="H3932" s="361"/>
      <c r="I3932" s="327">
        <v>1</v>
      </c>
      <c r="J3932" s="361"/>
      <c r="K3932" s="327"/>
      <c r="L3932" s="389">
        <f t="shared" si="343"/>
        <v>866202.4</v>
      </c>
      <c r="M3932" s="371"/>
      <c r="N3932" s="355" t="str">
        <f t="shared" si="345"/>
        <v>PK</v>
      </c>
      <c r="O3932" s="404" t="s">
        <v>1623</v>
      </c>
      <c r="P3932" s="392"/>
      <c r="Q3932" s="441">
        <v>37.24</v>
      </c>
      <c r="R3932" s="441"/>
      <c r="S3932" s="351"/>
      <c r="T3932" s="351"/>
      <c r="U3932" s="329" t="str">
        <f>IF($N3932=$N$4,IFERROR(INDEX(DanhMuc!$E$154:$E$165,MATCH(MID($B3932,4,2),DanhMuc!$B$154:$B$165,0)),""),"")</f>
        <v/>
      </c>
      <c r="V3932" s="361"/>
      <c r="W3932" s="345"/>
      <c r="X3932" s="329" t="str">
        <f t="shared" si="344"/>
        <v>RT</v>
      </c>
      <c r="Y3932" s="1128" t="s">
        <v>3380</v>
      </c>
      <c r="Z3932" s="1128" t="s">
        <v>3381</v>
      </c>
      <c r="AA3932" s="1128" t="s">
        <v>3384</v>
      </c>
      <c r="AB3932" s="20"/>
      <c r="AC3932" s="73"/>
    </row>
    <row r="3933" spans="1:29">
      <c r="A3933" s="327" t="str">
        <f>IF(AND($B3933&lt;&gt;"",$C3933&lt;&gt;""),MAX($A$1556:A3908)+1,"")</f>
        <v/>
      </c>
      <c r="B3933" s="361" t="s">
        <v>2841</v>
      </c>
      <c r="C3933" s="360"/>
      <c r="D3933" s="327">
        <f>IF($B3933="","",COUNTIF($B$6:$B3933,$B3933))</f>
        <v>2</v>
      </c>
      <c r="E3933" s="430">
        <v>449873</v>
      </c>
      <c r="F3933" s="362" t="s">
        <v>1377</v>
      </c>
      <c r="G3933" s="327" t="s">
        <v>344</v>
      </c>
      <c r="H3933" s="361"/>
      <c r="I3933" s="327">
        <v>1</v>
      </c>
      <c r="J3933" s="361"/>
      <c r="K3933" s="327"/>
      <c r="L3933" s="389">
        <f t="shared" si="343"/>
        <v>494972.80000000005</v>
      </c>
      <c r="M3933" s="371"/>
      <c r="N3933" s="355" t="str">
        <f t="shared" si="345"/>
        <v>PK</v>
      </c>
      <c r="O3933" s="404" t="s">
        <v>1626</v>
      </c>
      <c r="P3933" s="392"/>
      <c r="Q3933" s="441">
        <v>21.28</v>
      </c>
      <c r="R3933" s="441"/>
      <c r="S3933" s="351"/>
      <c r="T3933" s="351"/>
      <c r="U3933" s="329" t="str">
        <f>IF($N3933=$N$4,IFERROR(INDEX(DanhMuc!$E$154:$E$165,MATCH(MID($B3933,4,2),DanhMuc!$B$154:$B$165,0)),""),"")</f>
        <v/>
      </c>
      <c r="V3933" s="361"/>
      <c r="W3933" s="345"/>
      <c r="X3933" s="329" t="str">
        <f t="shared" si="344"/>
        <v>RT</v>
      </c>
      <c r="Y3933" s="1128" t="s">
        <v>3380</v>
      </c>
      <c r="Z3933" s="1128" t="s">
        <v>3381</v>
      </c>
      <c r="AA3933" s="1128" t="s">
        <v>3384</v>
      </c>
      <c r="AB3933" s="20"/>
      <c r="AC3933" s="73"/>
    </row>
    <row r="3934" spans="1:29">
      <c r="A3934" s="327" t="str">
        <f>IF(AND($B3934&lt;&gt;"",$C3934&lt;&gt;""),MAX($A$1556:A3909)+1,"")</f>
        <v/>
      </c>
      <c r="B3934" s="361" t="s">
        <v>2841</v>
      </c>
      <c r="C3934" s="360"/>
      <c r="D3934" s="327">
        <f>IF($B3934="","",COUNTIF($B$6:$B3934,$B3934))</f>
        <v>3</v>
      </c>
      <c r="E3934" s="361">
        <v>570669</v>
      </c>
      <c r="F3934" s="362" t="s">
        <v>1378</v>
      </c>
      <c r="G3934" s="327" t="s">
        <v>344</v>
      </c>
      <c r="H3934" s="361"/>
      <c r="I3934" s="327">
        <v>1</v>
      </c>
      <c r="J3934" s="345"/>
      <c r="K3934" s="327"/>
      <c r="L3934" s="389">
        <f t="shared" si="343"/>
        <v>525908.6</v>
      </c>
      <c r="M3934" s="371"/>
      <c r="N3934" s="355" t="str">
        <f t="shared" si="345"/>
        <v>PK</v>
      </c>
      <c r="O3934" s="345"/>
      <c r="P3934" s="392"/>
      <c r="Q3934" s="441">
        <v>22.61</v>
      </c>
      <c r="R3934" s="441"/>
      <c r="S3934" s="351"/>
      <c r="T3934" s="351"/>
      <c r="U3934" s="329" t="str">
        <f>IF($N3934=$N$4,IFERROR(INDEX(DanhMuc!$E$154:$E$165,MATCH(MID($B3934,4,2),DanhMuc!$B$154:$B$165,0)),""),"")</f>
        <v/>
      </c>
      <c r="V3934" s="361"/>
      <c r="W3934" s="345"/>
      <c r="X3934" s="329" t="str">
        <f t="shared" si="344"/>
        <v>RT</v>
      </c>
      <c r="Y3934" s="1128" t="s">
        <v>3380</v>
      </c>
      <c r="Z3934" s="1128" t="s">
        <v>3381</v>
      </c>
      <c r="AA3934" s="1128" t="s">
        <v>3384</v>
      </c>
      <c r="AB3934" s="20"/>
      <c r="AC3934" s="73"/>
    </row>
    <row r="3935" spans="1:29">
      <c r="A3935" s="327" t="str">
        <f>IF(AND($B3935&lt;&gt;"",$C3935&lt;&gt;""),MAX($A$1556:A3910)+1,"")</f>
        <v/>
      </c>
      <c r="B3935" s="361" t="s">
        <v>2841</v>
      </c>
      <c r="C3935" s="360"/>
      <c r="D3935" s="327">
        <f>IF($B3935="","",COUNTIF($B$6:$B3935,$B3935))</f>
        <v>4</v>
      </c>
      <c r="E3935" s="361">
        <v>775376</v>
      </c>
      <c r="F3935" s="362" t="s">
        <v>1379</v>
      </c>
      <c r="G3935" s="327" t="s">
        <v>155</v>
      </c>
      <c r="H3935" s="361"/>
      <c r="I3935" s="327">
        <v>1</v>
      </c>
      <c r="J3935" s="345"/>
      <c r="K3935" s="327"/>
      <c r="L3935" s="389">
        <f t="shared" si="343"/>
        <v>247486.40000000002</v>
      </c>
      <c r="M3935" s="371"/>
      <c r="N3935" s="355" t="str">
        <f t="shared" si="345"/>
        <v>PK</v>
      </c>
      <c r="O3935" s="345" t="s">
        <v>1060</v>
      </c>
      <c r="P3935" s="392"/>
      <c r="Q3935" s="441">
        <v>10.64</v>
      </c>
      <c r="R3935" s="441"/>
      <c r="S3935" s="351"/>
      <c r="T3935" s="351"/>
      <c r="U3935" s="329" t="str">
        <f>IF($N3935=$N$4,IFERROR(INDEX(DanhMuc!$E$154:$E$165,MATCH(MID($B3935,4,2),DanhMuc!$B$154:$B$165,0)),""),"")</f>
        <v/>
      </c>
      <c r="V3935" s="361"/>
      <c r="W3935" s="345"/>
      <c r="X3935" s="329" t="str">
        <f t="shared" si="344"/>
        <v>RT</v>
      </c>
      <c r="Y3935" s="1128" t="s">
        <v>3380</v>
      </c>
      <c r="Z3935" s="1128" t="s">
        <v>3381</v>
      </c>
      <c r="AA3935" s="1128" t="s">
        <v>3384</v>
      </c>
      <c r="AB3935" s="20"/>
      <c r="AC3935" s="73"/>
    </row>
    <row r="3936" spans="1:29">
      <c r="A3936" s="327" t="str">
        <f>IF(AND($B3936&lt;&gt;"",$C3936&lt;&gt;""),MAX($A$1556:A3911)+1,"")</f>
        <v/>
      </c>
      <c r="B3936" s="361" t="s">
        <v>2841</v>
      </c>
      <c r="C3936" s="360"/>
      <c r="D3936" s="327">
        <f>IF($B3936="","",COUNTIF($B$6:$B3936,$B3936))</f>
        <v>5</v>
      </c>
      <c r="E3936" s="361">
        <v>775375</v>
      </c>
      <c r="F3936" s="362" t="s">
        <v>1380</v>
      </c>
      <c r="G3936" s="327" t="s">
        <v>155</v>
      </c>
      <c r="H3936" s="361"/>
      <c r="I3936" s="327">
        <v>1</v>
      </c>
      <c r="J3936" s="345"/>
      <c r="K3936" s="327"/>
      <c r="L3936" s="389">
        <f t="shared" si="343"/>
        <v>433101.2</v>
      </c>
      <c r="M3936" s="371"/>
      <c r="N3936" s="355" t="str">
        <f t="shared" si="345"/>
        <v>PK</v>
      </c>
      <c r="O3936" s="345" t="s">
        <v>2699</v>
      </c>
      <c r="P3936" s="392"/>
      <c r="Q3936" s="441">
        <v>18.62</v>
      </c>
      <c r="R3936" s="441"/>
      <c r="S3936" s="351"/>
      <c r="T3936" s="351"/>
      <c r="U3936" s="329" t="str">
        <f>IF($N3936=$N$4,IFERROR(INDEX(DanhMuc!$E$154:$E$165,MATCH(MID($B3936,4,2),DanhMuc!$B$154:$B$165,0)),""),"")</f>
        <v/>
      </c>
      <c r="V3936" s="361"/>
      <c r="W3936" s="345"/>
      <c r="X3936" s="329" t="str">
        <f t="shared" si="344"/>
        <v>RT</v>
      </c>
      <c r="Y3936" s="1128" t="s">
        <v>3380</v>
      </c>
      <c r="Z3936" s="1128" t="s">
        <v>3381</v>
      </c>
      <c r="AA3936" s="1128" t="s">
        <v>3384</v>
      </c>
      <c r="AB3936" s="20"/>
      <c r="AC3936" s="73"/>
    </row>
    <row r="3937" spans="1:29" ht="25">
      <c r="A3937" s="327" t="str">
        <f>IF(AND($B3937&lt;&gt;"",$C3937&lt;&gt;""),MAX($A$1556:A3912)+1,"")</f>
        <v/>
      </c>
      <c r="B3937" s="361" t="s">
        <v>2841</v>
      </c>
      <c r="C3937" s="360"/>
      <c r="D3937" s="327">
        <f>IF($B3937="","",COUNTIF($B$6:$B3937,$B3937))</f>
        <v>6</v>
      </c>
      <c r="E3937" s="605">
        <v>733375</v>
      </c>
      <c r="F3937" s="362" t="s">
        <v>1393</v>
      </c>
      <c r="G3937" s="327" t="s">
        <v>344</v>
      </c>
      <c r="H3937" s="361"/>
      <c r="I3937" s="327">
        <v>0</v>
      </c>
      <c r="J3937" s="345"/>
      <c r="K3937" s="327"/>
      <c r="L3937" s="389">
        <f>+$L$3808*$Q3937/3</f>
        <v>278422.2</v>
      </c>
      <c r="M3937" s="371"/>
      <c r="N3937" s="355" t="str">
        <f t="shared" si="345"/>
        <v>PK</v>
      </c>
      <c r="O3937" s="345"/>
      <c r="P3937" s="392"/>
      <c r="Q3937" s="441">
        <v>35.909999999999997</v>
      </c>
      <c r="R3937" s="441"/>
      <c r="S3937" s="351"/>
      <c r="T3937" s="351"/>
      <c r="U3937" s="329" t="str">
        <f>IF($N3937=$N$4,IFERROR(INDEX(DanhMuc!$E$154:$E$165,MATCH(MID($B3937,4,2),DanhMuc!$B$154:$B$165,0)),""),"")</f>
        <v/>
      </c>
      <c r="V3937" s="361"/>
      <c r="W3937" s="345"/>
      <c r="X3937" s="329" t="str">
        <f t="shared" si="344"/>
        <v>RT</v>
      </c>
      <c r="Y3937" s="1128" t="s">
        <v>3380</v>
      </c>
      <c r="Z3937" s="1128" t="s">
        <v>3381</v>
      </c>
      <c r="AA3937" s="1128" t="s">
        <v>3384</v>
      </c>
      <c r="AB3937" s="20"/>
      <c r="AC3937" s="73"/>
    </row>
    <row r="3938" spans="1:29" ht="25">
      <c r="A3938" s="327" t="str">
        <f>IF(AND($B3938&lt;&gt;"",$C3938&lt;&gt;""),MAX($A$1556:A3913)+1,"")</f>
        <v/>
      </c>
      <c r="B3938" s="361" t="s">
        <v>2841</v>
      </c>
      <c r="C3938" s="360"/>
      <c r="D3938" s="327">
        <f>IF($B3938="","",COUNTIF($B$6:$B3938,$B3938))</f>
        <v>7</v>
      </c>
      <c r="E3938" s="361">
        <v>734365</v>
      </c>
      <c r="F3938" s="362" t="s">
        <v>1394</v>
      </c>
      <c r="G3938" s="327" t="s">
        <v>155</v>
      </c>
      <c r="H3938" s="361"/>
      <c r="I3938" s="327">
        <v>8</v>
      </c>
      <c r="J3938" s="345"/>
      <c r="K3938" s="327"/>
      <c r="L3938" s="389">
        <f>+$L$3808*$Q3938/3</f>
        <v>397048.2</v>
      </c>
      <c r="M3938" s="371"/>
      <c r="N3938" s="355" t="str">
        <f t="shared" si="345"/>
        <v>PK</v>
      </c>
      <c r="O3938" s="345"/>
      <c r="P3938" s="392"/>
      <c r="Q3938" s="441">
        <v>51.21</v>
      </c>
      <c r="R3938" s="441"/>
      <c r="S3938" s="351"/>
      <c r="T3938" s="351"/>
      <c r="U3938" s="329" t="str">
        <f>IF($N3938=$N$4,IFERROR(INDEX(DanhMuc!$E$154:$E$165,MATCH(MID($B3938,4,2),DanhMuc!$B$154:$B$165,0)),""),"")</f>
        <v/>
      </c>
      <c r="V3938" s="361"/>
      <c r="W3938" s="345"/>
      <c r="X3938" s="329" t="str">
        <f t="shared" si="344"/>
        <v>RT</v>
      </c>
      <c r="Y3938" s="1128" t="s">
        <v>3380</v>
      </c>
      <c r="Z3938" s="1128" t="s">
        <v>3381</v>
      </c>
      <c r="AA3938" s="1128" t="s">
        <v>3384</v>
      </c>
      <c r="AB3938" s="20"/>
      <c r="AC3938" s="73"/>
    </row>
    <row r="3939" spans="1:29" ht="25">
      <c r="A3939" s="327" t="str">
        <f>IF(AND($B3939&lt;&gt;"",$C3939&lt;&gt;""),MAX($A$1556:A3914)+1,"")</f>
        <v/>
      </c>
      <c r="B3939" s="361" t="s">
        <v>2841</v>
      </c>
      <c r="C3939" s="360"/>
      <c r="D3939" s="327">
        <f>IF($B3939="","",COUNTIF($B$6:$B3939,$B3939))</f>
        <v>8</v>
      </c>
      <c r="E3939" s="605">
        <v>733369</v>
      </c>
      <c r="F3939" s="362" t="s">
        <v>1395</v>
      </c>
      <c r="G3939" s="327" t="s">
        <v>155</v>
      </c>
      <c r="H3939" s="361"/>
      <c r="I3939" s="327">
        <v>8</v>
      </c>
      <c r="J3939" s="345"/>
      <c r="K3939" s="327"/>
      <c r="L3939" s="389">
        <f>+$L$3808*$Q3939/3</f>
        <v>188793.66666666666</v>
      </c>
      <c r="M3939" s="371"/>
      <c r="N3939" s="355" t="str">
        <f t="shared" si="345"/>
        <v>PK</v>
      </c>
      <c r="O3939" s="345"/>
      <c r="P3939" s="392"/>
      <c r="Q3939" s="441">
        <v>24.35</v>
      </c>
      <c r="R3939" s="441"/>
      <c r="S3939" s="351"/>
      <c r="T3939" s="351"/>
      <c r="U3939" s="329" t="str">
        <f>IF($N3939=$N$4,IFERROR(INDEX(DanhMuc!$E$154:$E$165,MATCH(MID($B3939,4,2),DanhMuc!$B$154:$B$165,0)),""),"")</f>
        <v/>
      </c>
      <c r="V3939" s="361"/>
      <c r="W3939" s="345"/>
      <c r="X3939" s="329" t="str">
        <f t="shared" si="344"/>
        <v>RT</v>
      </c>
      <c r="Y3939" s="1128" t="s">
        <v>3380</v>
      </c>
      <c r="Z3939" s="1128" t="s">
        <v>3381</v>
      </c>
      <c r="AA3939" s="1128" t="s">
        <v>3384</v>
      </c>
      <c r="AB3939" s="20"/>
      <c r="AC3939" s="73"/>
    </row>
    <row r="3940" spans="1:29">
      <c r="A3940" s="327" t="str">
        <f>IF(AND($B3940&lt;&gt;"",$C3940&lt;&gt;""),MAX($A$1556:A3915)+1,"")</f>
        <v/>
      </c>
      <c r="B3940" s="361" t="s">
        <v>2841</v>
      </c>
      <c r="C3940" s="360"/>
      <c r="D3940" s="327">
        <f>IF($B3940="","",COUNTIF($B$6:$B3940,$B3940))</f>
        <v>9</v>
      </c>
      <c r="E3940" s="605">
        <v>733492</v>
      </c>
      <c r="F3940" s="362" t="s">
        <v>1514</v>
      </c>
      <c r="G3940" s="327" t="s">
        <v>155</v>
      </c>
      <c r="H3940" s="361"/>
      <c r="I3940" s="327">
        <v>8</v>
      </c>
      <c r="J3940" s="345"/>
      <c r="K3940" s="327"/>
      <c r="L3940" s="389">
        <f>+$L$3808*$Q3940/3</f>
        <v>309358</v>
      </c>
      <c r="M3940" s="371"/>
      <c r="N3940" s="355" t="str">
        <f t="shared" si="345"/>
        <v>PK</v>
      </c>
      <c r="O3940" s="345"/>
      <c r="P3940" s="392"/>
      <c r="Q3940" s="441">
        <v>39.9</v>
      </c>
      <c r="R3940" s="441"/>
      <c r="S3940" s="351"/>
      <c r="T3940" s="351"/>
      <c r="U3940" s="329" t="str">
        <f>IF($N3940=$N$4,IFERROR(INDEX(DanhMuc!$E$154:$E$165,MATCH(MID($B3940,4,2),DanhMuc!$B$154:$B$165,0)),""),"")</f>
        <v/>
      </c>
      <c r="V3940" s="361"/>
      <c r="W3940" s="345"/>
      <c r="X3940" s="329" t="str">
        <f t="shared" si="344"/>
        <v>RT</v>
      </c>
      <c r="Y3940" s="1128" t="s">
        <v>3380</v>
      </c>
      <c r="Z3940" s="1128" t="s">
        <v>3381</v>
      </c>
      <c r="AA3940" s="1128" t="s">
        <v>3384</v>
      </c>
      <c r="AB3940" s="20"/>
      <c r="AC3940" s="73"/>
    </row>
    <row r="3941" spans="1:29" ht="25">
      <c r="A3941" s="327" t="str">
        <f>IF(AND($B3941&lt;&gt;"",$C3941&lt;&gt;""),MAX($A$1556:A3916)+1,"")</f>
        <v/>
      </c>
      <c r="B3941" s="361" t="s">
        <v>2841</v>
      </c>
      <c r="C3941" s="360"/>
      <c r="D3941" s="327">
        <f>IF($B3941="","",COUNTIF($B$6:$B3941,$B3941))</f>
        <v>10</v>
      </c>
      <c r="E3941" s="605">
        <v>312831</v>
      </c>
      <c r="F3941" s="362" t="s">
        <v>1515</v>
      </c>
      <c r="G3941" s="327" t="s">
        <v>344</v>
      </c>
      <c r="H3941" s="361"/>
      <c r="I3941" s="327">
        <v>0</v>
      </c>
      <c r="J3941" s="345"/>
      <c r="K3941" s="327"/>
      <c r="L3941" s="389">
        <f>+$L$3808*$Q3941/3</f>
        <v>15584.199999999999</v>
      </c>
      <c r="M3941" s="371"/>
      <c r="N3941" s="355" t="str">
        <f t="shared" si="345"/>
        <v>PK</v>
      </c>
      <c r="O3941" s="345"/>
      <c r="P3941" s="392"/>
      <c r="Q3941" s="441">
        <v>2.0099999999999998</v>
      </c>
      <c r="R3941" s="441"/>
      <c r="S3941" s="351"/>
      <c r="T3941" s="351"/>
      <c r="U3941" s="329" t="str">
        <f>IF($N3941=$N$4,IFERROR(INDEX(DanhMuc!$E$154:$E$165,MATCH(MID($B3941,4,2),DanhMuc!$B$154:$B$165,0)),""),"")</f>
        <v/>
      </c>
      <c r="V3941" s="361"/>
      <c r="W3941" s="345"/>
      <c r="X3941" s="329" t="str">
        <f t="shared" si="344"/>
        <v>RT</v>
      </c>
      <c r="Y3941" s="1128" t="s">
        <v>3380</v>
      </c>
      <c r="Z3941" s="1128" t="s">
        <v>3381</v>
      </c>
      <c r="AA3941" s="1128" t="s">
        <v>3384</v>
      </c>
      <c r="AB3941" s="20"/>
      <c r="AC3941" s="73"/>
    </row>
    <row r="3942" spans="1:29">
      <c r="A3942" s="327" t="str">
        <f>IF(AND($B3942&lt;&gt;"",$C3942&lt;&gt;""),MAX($A$1556:A3917)+1,"")</f>
        <v/>
      </c>
      <c r="B3942" s="361" t="s">
        <v>2841</v>
      </c>
      <c r="C3942" s="360"/>
      <c r="D3942" s="327">
        <f>IF($B3942="","",COUNTIF($B$6:$B3942,$B3942))</f>
        <v>11</v>
      </c>
      <c r="E3942" s="361">
        <v>492575</v>
      </c>
      <c r="F3942" s="431" t="s">
        <v>1382</v>
      </c>
      <c r="G3942" s="327" t="s">
        <v>155</v>
      </c>
      <c r="H3942" s="361"/>
      <c r="I3942" s="327">
        <v>8</v>
      </c>
      <c r="J3942" s="345"/>
      <c r="K3942" s="327"/>
      <c r="L3942" s="389">
        <f t="shared" si="343"/>
        <v>510557</v>
      </c>
      <c r="M3942" s="371"/>
      <c r="N3942" s="355" t="str">
        <f t="shared" si="345"/>
        <v>PK</v>
      </c>
      <c r="O3942" s="345"/>
      <c r="P3942" s="392"/>
      <c r="Q3942" s="441">
        <v>21.95</v>
      </c>
      <c r="R3942" s="441"/>
      <c r="S3942" s="351"/>
      <c r="T3942" s="351"/>
      <c r="U3942" s="329" t="str">
        <f>IF($N3942=$N$4,IFERROR(INDEX(DanhMuc!$E$154:$E$165,MATCH(MID($B3942,4,2),DanhMuc!$B$154:$B$165,0)),""),"")</f>
        <v/>
      </c>
      <c r="V3942" s="361"/>
      <c r="W3942" s="345"/>
      <c r="X3942" s="329" t="str">
        <f t="shared" si="344"/>
        <v>RT</v>
      </c>
      <c r="Y3942" s="1128" t="s">
        <v>3380</v>
      </c>
      <c r="Z3942" s="1128" t="s">
        <v>3381</v>
      </c>
      <c r="AA3942" s="1128" t="s">
        <v>3384</v>
      </c>
      <c r="AB3942" s="20"/>
      <c r="AC3942" s="73"/>
    </row>
    <row r="3943" spans="1:29" ht="25">
      <c r="A3943" s="327" t="str">
        <f>IF(AND($B3943&lt;&gt;"",$C3943&lt;&gt;""),MAX($A$1556:A3918)+1,"")</f>
        <v/>
      </c>
      <c r="B3943" s="361" t="s">
        <v>2841</v>
      </c>
      <c r="C3943" s="360"/>
      <c r="D3943" s="327">
        <f>IF($B3943="","",COUNTIF($B$6:$B3943,$B3943))</f>
        <v>12</v>
      </c>
      <c r="E3943" s="411">
        <v>630955</v>
      </c>
      <c r="F3943" s="432" t="s">
        <v>1385</v>
      </c>
      <c r="G3943" s="410" t="s">
        <v>156</v>
      </c>
      <c r="H3943" s="402"/>
      <c r="I3943" s="327">
        <v>1</v>
      </c>
      <c r="J3943" s="345"/>
      <c r="K3943" s="327"/>
      <c r="L3943" s="389">
        <f t="shared" si="343"/>
        <v>114904.40000000001</v>
      </c>
      <c r="M3943" s="371"/>
      <c r="N3943" s="355" t="str">
        <f t="shared" si="345"/>
        <v>PK</v>
      </c>
      <c r="O3943" s="404" t="s">
        <v>1623</v>
      </c>
      <c r="P3943" s="392"/>
      <c r="Q3943" s="441">
        <v>4.9400000000000004</v>
      </c>
      <c r="R3943" s="441"/>
      <c r="S3943" s="351"/>
      <c r="T3943" s="351"/>
      <c r="U3943" s="329" t="str">
        <f>IF($N3943=$N$4,IFERROR(INDEX(DanhMuc!$E$154:$E$165,MATCH(MID($B3943,4,2),DanhMuc!$B$154:$B$165,0)),""),"")</f>
        <v/>
      </c>
      <c r="V3943" s="361"/>
      <c r="W3943" s="345"/>
      <c r="X3943" s="329" t="str">
        <f t="shared" si="344"/>
        <v>RT</v>
      </c>
      <c r="Y3943" s="1128" t="s">
        <v>3380</v>
      </c>
      <c r="Z3943" s="1128" t="s">
        <v>3381</v>
      </c>
      <c r="AA3943" s="1128" t="s">
        <v>3384</v>
      </c>
      <c r="AB3943" s="20"/>
      <c r="AC3943" s="73"/>
    </row>
    <row r="3944" spans="1:29" ht="25">
      <c r="A3944" s="327" t="str">
        <f>IF(AND($B3944&lt;&gt;"",$C3944&lt;&gt;""),MAX($A$1556:A3919)+1,"")</f>
        <v/>
      </c>
      <c r="B3944" s="361" t="s">
        <v>2841</v>
      </c>
      <c r="C3944" s="360"/>
      <c r="D3944" s="327">
        <f>IF($B3944="","",COUNTIF($B$6:$B3944,$B3944))</f>
        <v>13</v>
      </c>
      <c r="E3944" s="411">
        <v>630957</v>
      </c>
      <c r="F3944" s="432" t="s">
        <v>1386</v>
      </c>
      <c r="G3944" s="410" t="s">
        <v>156</v>
      </c>
      <c r="H3944" s="402"/>
      <c r="I3944" s="327">
        <v>1</v>
      </c>
      <c r="J3944" s="345"/>
      <c r="K3944" s="327"/>
      <c r="L3944" s="389">
        <f t="shared" si="343"/>
        <v>154911.6</v>
      </c>
      <c r="M3944" s="371"/>
      <c r="N3944" s="355" t="str">
        <f t="shared" si="345"/>
        <v>PK</v>
      </c>
      <c r="O3944" s="404" t="s">
        <v>1623</v>
      </c>
      <c r="P3944" s="392"/>
      <c r="Q3944" s="441">
        <v>6.66</v>
      </c>
      <c r="R3944" s="441"/>
      <c r="S3944" s="351"/>
      <c r="T3944" s="351"/>
      <c r="U3944" s="329" t="str">
        <f>IF($N3944=$N$4,IFERROR(INDEX(DanhMuc!$E$154:$E$165,MATCH(MID($B3944,4,2),DanhMuc!$B$154:$B$165,0)),""),"")</f>
        <v/>
      </c>
      <c r="V3944" s="361"/>
      <c r="W3944" s="345"/>
      <c r="X3944" s="329" t="str">
        <f t="shared" si="344"/>
        <v>RT</v>
      </c>
      <c r="Y3944" s="1128" t="s">
        <v>3380</v>
      </c>
      <c r="Z3944" s="1128" t="s">
        <v>3381</v>
      </c>
      <c r="AA3944" s="1128" t="s">
        <v>3384</v>
      </c>
      <c r="AB3944" s="20"/>
      <c r="AC3944" s="73"/>
    </row>
    <row r="3945" spans="1:29">
      <c r="A3945" s="327" t="str">
        <f>IF(AND($B3945&lt;&gt;"",$C3945&lt;&gt;""),MAX($A$1556:A3920)+1,"")</f>
        <v/>
      </c>
      <c r="B3945" s="361" t="s">
        <v>2841</v>
      </c>
      <c r="C3945" s="360"/>
      <c r="D3945" s="327">
        <f>IF($B3945="","",COUNTIF($B$6:$B3945,$B3945))</f>
        <v>14</v>
      </c>
      <c r="E3945" s="430">
        <v>633302</v>
      </c>
      <c r="F3945" s="431" t="s">
        <v>1388</v>
      </c>
      <c r="G3945" s="327" t="s">
        <v>156</v>
      </c>
      <c r="H3945" s="361"/>
      <c r="I3945" s="327">
        <v>3</v>
      </c>
      <c r="J3945" s="345"/>
      <c r="K3945" s="327"/>
      <c r="L3945" s="389">
        <f t="shared" si="343"/>
        <v>665236</v>
      </c>
      <c r="M3945" s="371"/>
      <c r="N3945" s="355" t="str">
        <f t="shared" si="345"/>
        <v>PK</v>
      </c>
      <c r="O3945" s="404" t="s">
        <v>1623</v>
      </c>
      <c r="P3945" s="392"/>
      <c r="Q3945" s="441">
        <v>28.6</v>
      </c>
      <c r="R3945" s="441"/>
      <c r="S3945" s="351"/>
      <c r="T3945" s="351"/>
      <c r="U3945" s="329" t="str">
        <f>IF($N3945=$N$4,IFERROR(INDEX(DanhMuc!$E$154:$E$165,MATCH(MID($B3945,4,2),DanhMuc!$B$154:$B$165,0)),""),"")</f>
        <v/>
      </c>
      <c r="V3945" s="361"/>
      <c r="W3945" s="345"/>
      <c r="X3945" s="329" t="str">
        <f t="shared" si="344"/>
        <v>RT</v>
      </c>
      <c r="Y3945" s="1128" t="s">
        <v>3380</v>
      </c>
      <c r="Z3945" s="1128" t="s">
        <v>3381</v>
      </c>
      <c r="AA3945" s="1128" t="s">
        <v>3384</v>
      </c>
      <c r="AB3945" s="20"/>
      <c r="AC3945" s="73"/>
    </row>
    <row r="3946" spans="1:29">
      <c r="A3946" s="327" t="str">
        <f>IF(AND($B3946&lt;&gt;"",$C3946&lt;&gt;""),MAX($A$1556:A3921)+1,"")</f>
        <v/>
      </c>
      <c r="B3946" s="361" t="s">
        <v>2841</v>
      </c>
      <c r="C3946" s="360"/>
      <c r="D3946" s="327">
        <f>IF($B3946="","",COUNTIF($B$6:$B3946,$B3946))</f>
        <v>15</v>
      </c>
      <c r="E3946" s="430">
        <v>641810</v>
      </c>
      <c r="F3946" s="431" t="s">
        <v>1389</v>
      </c>
      <c r="G3946" s="327" t="s">
        <v>156</v>
      </c>
      <c r="H3946" s="361"/>
      <c r="I3946" s="327">
        <v>3</v>
      </c>
      <c r="J3946" s="345"/>
      <c r="K3946" s="327"/>
      <c r="L3946" s="389">
        <f t="shared" si="343"/>
        <v>71640.800000000003</v>
      </c>
      <c r="M3946" s="371"/>
      <c r="N3946" s="355" t="str">
        <f t="shared" si="345"/>
        <v>PK</v>
      </c>
      <c r="O3946" s="345"/>
      <c r="P3946" s="392"/>
      <c r="Q3946" s="441">
        <v>3.08</v>
      </c>
      <c r="R3946" s="441"/>
      <c r="S3946" s="351"/>
      <c r="T3946" s="351"/>
      <c r="U3946" s="329" t="str">
        <f>IF($N3946=$N$4,IFERROR(INDEX(DanhMuc!$E$154:$E$165,MATCH(MID($B3946,4,2),DanhMuc!$B$154:$B$165,0)),""),"")</f>
        <v/>
      </c>
      <c r="V3946" s="361"/>
      <c r="W3946" s="345"/>
      <c r="X3946" s="329" t="str">
        <f t="shared" si="344"/>
        <v>RT</v>
      </c>
      <c r="Y3946" s="1128" t="s">
        <v>3380</v>
      </c>
      <c r="Z3946" s="1128" t="s">
        <v>3381</v>
      </c>
      <c r="AA3946" s="1128" t="s">
        <v>3384</v>
      </c>
      <c r="AB3946" s="20"/>
      <c r="AC3946" s="73"/>
    </row>
    <row r="3947" spans="1:29">
      <c r="A3947" s="327" t="str">
        <f>IF(AND($B3947&lt;&gt;"",$C3947&lt;&gt;""),MAX($A$1556:A3922)+1,"")</f>
        <v/>
      </c>
      <c r="B3947" s="361" t="s">
        <v>2841</v>
      </c>
      <c r="C3947" s="360"/>
      <c r="D3947" s="327">
        <f>IF($B3947="","",COUNTIF($B$6:$B3947,$B3947))</f>
        <v>16</v>
      </c>
      <c r="E3947" s="430">
        <v>349187</v>
      </c>
      <c r="F3947" s="362" t="s">
        <v>1390</v>
      </c>
      <c r="G3947" s="327" t="s">
        <v>155</v>
      </c>
      <c r="H3947" s="361"/>
      <c r="I3947" s="327">
        <v>6</v>
      </c>
      <c r="J3947" s="345"/>
      <c r="K3947" s="327"/>
      <c r="L3947" s="389">
        <f t="shared" si="343"/>
        <v>145840.19999999998</v>
      </c>
      <c r="M3947" s="371"/>
      <c r="N3947" s="355" t="str">
        <f t="shared" si="345"/>
        <v>PK</v>
      </c>
      <c r="O3947" s="345"/>
      <c r="P3947" s="392"/>
      <c r="Q3947" s="441">
        <v>6.27</v>
      </c>
      <c r="R3947" s="441"/>
      <c r="S3947" s="351"/>
      <c r="T3947" s="351"/>
      <c r="U3947" s="329" t="str">
        <f>IF($N3947=$N$4,IFERROR(INDEX(DanhMuc!$E$154:$E$165,MATCH(MID($B3947,4,2),DanhMuc!$B$154:$B$165,0)),""),"")</f>
        <v/>
      </c>
      <c r="V3947" s="361"/>
      <c r="W3947" s="345"/>
      <c r="X3947" s="329" t="str">
        <f t="shared" si="344"/>
        <v>RT</v>
      </c>
      <c r="Y3947" s="1128" t="s">
        <v>3380</v>
      </c>
      <c r="Z3947" s="1128" t="s">
        <v>3381</v>
      </c>
      <c r="AA3947" s="1128" t="s">
        <v>3384</v>
      </c>
      <c r="AB3947" s="20"/>
      <c r="AC3947" s="73"/>
    </row>
    <row r="3948" spans="1:29">
      <c r="A3948" s="327" t="str">
        <f>IF(AND($B3948&lt;&gt;"",$C3948&lt;&gt;""),MAX($A$1556:A3923)+1,"")</f>
        <v/>
      </c>
      <c r="B3948" s="361" t="s">
        <v>2841</v>
      </c>
      <c r="C3948" s="360"/>
      <c r="D3948" s="327">
        <f>IF($B3948="","",COUNTIF($B$6:$B3948,$B3948))</f>
        <v>17</v>
      </c>
      <c r="E3948" s="430">
        <v>260434</v>
      </c>
      <c r="F3948" s="431" t="s">
        <v>1391</v>
      </c>
      <c r="G3948" s="327" t="s">
        <v>155</v>
      </c>
      <c r="H3948" s="361"/>
      <c r="I3948" s="327">
        <v>3</v>
      </c>
      <c r="J3948" s="345"/>
      <c r="K3948" s="327"/>
      <c r="L3948" s="389">
        <f t="shared" si="343"/>
        <v>31168.400000000001</v>
      </c>
      <c r="M3948" s="371"/>
      <c r="N3948" s="355" t="str">
        <f t="shared" si="345"/>
        <v>PK</v>
      </c>
      <c r="O3948" s="345"/>
      <c r="P3948" s="392"/>
      <c r="Q3948" s="441">
        <v>1.34</v>
      </c>
      <c r="R3948" s="441"/>
      <c r="S3948" s="351"/>
      <c r="T3948" s="351"/>
      <c r="U3948" s="329" t="str">
        <f>IF($N3948=$N$4,IFERROR(INDEX(DanhMuc!$E$154:$E$165,MATCH(MID($B3948,4,2),DanhMuc!$B$154:$B$165,0)),""),"")</f>
        <v/>
      </c>
      <c r="V3948" s="361"/>
      <c r="W3948" s="345"/>
      <c r="X3948" s="329" t="str">
        <f t="shared" si="344"/>
        <v>RT</v>
      </c>
      <c r="Y3948" s="1128" t="s">
        <v>3380</v>
      </c>
      <c r="Z3948" s="1128" t="s">
        <v>3381</v>
      </c>
      <c r="AA3948" s="1128" t="s">
        <v>3384</v>
      </c>
      <c r="AB3948" s="20"/>
      <c r="AC3948" s="73"/>
    </row>
    <row r="3949" spans="1:29">
      <c r="A3949" s="327" t="str">
        <f>IF(AND($B3949&lt;&gt;"",$C3949&lt;&gt;""),MAX($A$1556:A3924)+1,"")</f>
        <v/>
      </c>
      <c r="B3949" s="361" t="s">
        <v>2841</v>
      </c>
      <c r="C3949" s="360"/>
      <c r="D3949" s="327">
        <f>IF($B3949="","",COUNTIF($B$6:$B3949,$B3949))</f>
        <v>18</v>
      </c>
      <c r="E3949" s="430">
        <v>339395</v>
      </c>
      <c r="F3949" s="431" t="s">
        <v>1392</v>
      </c>
      <c r="G3949" s="351" t="s">
        <v>155</v>
      </c>
      <c r="H3949" s="361"/>
      <c r="I3949" s="327">
        <v>4</v>
      </c>
      <c r="J3949" s="345"/>
      <c r="K3949" s="327"/>
      <c r="L3949" s="389">
        <f t="shared" si="343"/>
        <v>37216</v>
      </c>
      <c r="M3949" s="371"/>
      <c r="N3949" s="355" t="str">
        <f t="shared" si="345"/>
        <v>PK</v>
      </c>
      <c r="O3949" s="404" t="s">
        <v>1623</v>
      </c>
      <c r="P3949" s="392"/>
      <c r="Q3949" s="441">
        <v>1.6</v>
      </c>
      <c r="R3949" s="441"/>
      <c r="S3949" s="351"/>
      <c r="T3949" s="351"/>
      <c r="U3949" s="329" t="str">
        <f>IF($N3949=$N$4,IFERROR(INDEX(DanhMuc!$E$154:$E$165,MATCH(MID($B3949,4,2),DanhMuc!$B$154:$B$165,0)),""),"")</f>
        <v/>
      </c>
      <c r="V3949" s="361"/>
      <c r="W3949" s="345"/>
      <c r="X3949" s="329" t="str">
        <f t="shared" si="344"/>
        <v>RT</v>
      </c>
      <c r="Y3949" s="1128" t="s">
        <v>3380</v>
      </c>
      <c r="Z3949" s="1128" t="s">
        <v>3381</v>
      </c>
      <c r="AA3949" s="1128" t="s">
        <v>3384</v>
      </c>
      <c r="AB3949" s="20"/>
      <c r="AC3949" s="73"/>
    </row>
    <row r="3950" spans="1:29">
      <c r="A3950" s="327" t="str">
        <f>IF(AND($B3950&lt;&gt;"",$C3950&lt;&gt;""),MAX($A$1556:A3925)+1,"")</f>
        <v/>
      </c>
      <c r="B3950" s="361" t="s">
        <v>2841</v>
      </c>
      <c r="C3950" s="360"/>
      <c r="D3950" s="327">
        <f>IF($B3950="","",COUNTIF($B$6:$B3950,$B3950))</f>
        <v>19</v>
      </c>
      <c r="E3950" s="430">
        <v>229107</v>
      </c>
      <c r="F3950" s="431" t="s">
        <v>1456</v>
      </c>
      <c r="G3950" s="351" t="s">
        <v>155</v>
      </c>
      <c r="H3950" s="361"/>
      <c r="I3950" s="327">
        <v>1</v>
      </c>
      <c r="J3950" s="345"/>
      <c r="K3950" s="327"/>
      <c r="L3950" s="389">
        <v>23600</v>
      </c>
      <c r="M3950" s="371"/>
      <c r="N3950" s="355" t="str">
        <f t="shared" si="345"/>
        <v>PK</v>
      </c>
      <c r="O3950" s="345"/>
      <c r="P3950" s="392"/>
      <c r="Q3950" s="441"/>
      <c r="R3950" s="441"/>
      <c r="S3950" s="351"/>
      <c r="T3950" s="351"/>
      <c r="U3950" s="329" t="str">
        <f>IF($N3950=$N$4,IFERROR(INDEX(DanhMuc!$E$154:$E$165,MATCH(MID($B3950,4,2),DanhMuc!$B$154:$B$165,0)),""),"")</f>
        <v/>
      </c>
      <c r="V3950" s="361"/>
      <c r="W3950" s="345"/>
      <c r="X3950" s="329" t="str">
        <f t="shared" si="344"/>
        <v>RT</v>
      </c>
      <c r="Y3950" s="1128" t="s">
        <v>3380</v>
      </c>
      <c r="Z3950" s="1128" t="s">
        <v>3381</v>
      </c>
      <c r="AA3950" s="1128" t="s">
        <v>3384</v>
      </c>
      <c r="AB3950" s="20"/>
      <c r="AC3950" s="73"/>
    </row>
    <row r="3951" spans="1:29">
      <c r="A3951" s="327" t="str">
        <f>IF(AND($B3951&lt;&gt;"",$C3951&lt;&gt;""),MAX($A$1556:A3926)+1,"")</f>
        <v/>
      </c>
      <c r="B3951" s="361" t="s">
        <v>2841</v>
      </c>
      <c r="C3951" s="360"/>
      <c r="D3951" s="327">
        <f>IF($B3951="","",COUNTIF($B$6:$B3951,$B3951))</f>
        <v>20</v>
      </c>
      <c r="E3951" s="430">
        <v>229117</v>
      </c>
      <c r="F3951" s="431" t="s">
        <v>1457</v>
      </c>
      <c r="G3951" s="351" t="s">
        <v>155</v>
      </c>
      <c r="H3951" s="361"/>
      <c r="I3951" s="327">
        <v>1</v>
      </c>
      <c r="J3951" s="345"/>
      <c r="K3951" s="327"/>
      <c r="L3951" s="389">
        <v>23600</v>
      </c>
      <c r="M3951" s="371"/>
      <c r="N3951" s="355" t="str">
        <f t="shared" si="345"/>
        <v>PK</v>
      </c>
      <c r="O3951" s="345"/>
      <c r="P3951" s="392"/>
      <c r="Q3951" s="441"/>
      <c r="R3951" s="441"/>
      <c r="S3951" s="351"/>
      <c r="T3951" s="351"/>
      <c r="U3951" s="329" t="str">
        <f>IF($N3951=$N$4,IFERROR(INDEX(DanhMuc!$E$154:$E$165,MATCH(MID($B3951,4,2),DanhMuc!$B$154:$B$165,0)),""),"")</f>
        <v/>
      </c>
      <c r="V3951" s="361"/>
      <c r="W3951" s="345"/>
      <c r="X3951" s="329" t="str">
        <f t="shared" si="344"/>
        <v>RT</v>
      </c>
      <c r="Y3951" s="1128" t="s">
        <v>3380</v>
      </c>
      <c r="Z3951" s="1128" t="s">
        <v>3381</v>
      </c>
      <c r="AA3951" s="1128" t="s">
        <v>3384</v>
      </c>
      <c r="AB3951" s="20"/>
      <c r="AC3951" s="73"/>
    </row>
    <row r="3952" spans="1:29">
      <c r="A3952" s="327" t="str">
        <f>IF(AND($B3952&lt;&gt;"",$C3952&lt;&gt;""),MAX($A$1556:A3927)+1,"")</f>
        <v/>
      </c>
      <c r="B3952" s="361" t="s">
        <v>2841</v>
      </c>
      <c r="C3952" s="360"/>
      <c r="D3952" s="327">
        <f>IF($B3952="","",COUNTIF($B$6:$B3952,$B3952))</f>
        <v>21</v>
      </c>
      <c r="E3952" s="430">
        <v>445213</v>
      </c>
      <c r="F3952" s="431" t="s">
        <v>1963</v>
      </c>
      <c r="G3952" s="351" t="s">
        <v>155</v>
      </c>
      <c r="H3952" s="361"/>
      <c r="I3952" s="327">
        <v>1</v>
      </c>
      <c r="J3952" s="345"/>
      <c r="K3952" s="327"/>
      <c r="L3952" s="389">
        <f t="shared" si="343"/>
        <v>294239</v>
      </c>
      <c r="M3952" s="371"/>
      <c r="N3952" s="355" t="str">
        <f t="shared" si="345"/>
        <v>PK</v>
      </c>
      <c r="O3952" s="345"/>
      <c r="P3952" s="392"/>
      <c r="Q3952" s="441">
        <v>12.65</v>
      </c>
      <c r="R3952" s="441"/>
      <c r="S3952" s="351"/>
      <c r="T3952" s="351"/>
      <c r="U3952" s="329" t="str">
        <f>IF($N3952=$N$4,IFERROR(INDEX(DanhMuc!$E$154:$E$165,MATCH(MID($B3952,4,2),DanhMuc!$B$154:$B$165,0)),""),"")</f>
        <v/>
      </c>
      <c r="V3952" s="361"/>
      <c r="W3952" s="345"/>
      <c r="X3952" s="329" t="str">
        <f t="shared" si="344"/>
        <v>RT</v>
      </c>
      <c r="Y3952" s="1128" t="s">
        <v>3380</v>
      </c>
      <c r="Z3952" s="1128" t="s">
        <v>3381</v>
      </c>
      <c r="AA3952" s="1128" t="s">
        <v>3384</v>
      </c>
      <c r="AB3952" s="20"/>
      <c r="AC3952" s="73"/>
    </row>
    <row r="3953" spans="1:29" ht="26">
      <c r="A3953" s="327">
        <f>IF(AND($B3953&lt;&gt;"",$C3953&lt;&gt;""),MAX($A$1556:A3928)+1,"")</f>
        <v>188</v>
      </c>
      <c r="B3953" s="359" t="s">
        <v>2842</v>
      </c>
      <c r="C3953" s="370" t="s">
        <v>1574</v>
      </c>
      <c r="D3953" s="327">
        <f>IF($B3953="","",COUNTIF($B$6:$B3953,$B3953))</f>
        <v>1</v>
      </c>
      <c r="E3953" s="430">
        <v>630963</v>
      </c>
      <c r="F3953" s="362" t="s">
        <v>1376</v>
      </c>
      <c r="G3953" s="327" t="s">
        <v>344</v>
      </c>
      <c r="H3953" s="361"/>
      <c r="I3953" s="327">
        <v>1</v>
      </c>
      <c r="J3953" s="361"/>
      <c r="K3953" s="327"/>
      <c r="L3953" s="389">
        <f>+$L$3808*$Q3953</f>
        <v>866202.4</v>
      </c>
      <c r="M3953" s="371"/>
      <c r="N3953" s="355" t="str">
        <f t="shared" si="345"/>
        <v>PK</v>
      </c>
      <c r="O3953" s="404" t="s">
        <v>1623</v>
      </c>
      <c r="P3953" s="392"/>
      <c r="Q3953" s="441">
        <v>37.24</v>
      </c>
      <c r="R3953" s="441"/>
      <c r="S3953" s="351"/>
      <c r="T3953" s="351"/>
      <c r="U3953" s="329" t="str">
        <f>IF($N3953=$N$4,IFERROR(INDEX(DanhMuc!$E$154:$E$165,MATCH(MID($B3953,4,2),DanhMuc!$B$154:$B$165,0)),""),"")</f>
        <v/>
      </c>
      <c r="V3953" s="361"/>
      <c r="W3953" s="345"/>
      <c r="X3953" s="329" t="str">
        <f t="shared" si="344"/>
        <v>RT</v>
      </c>
      <c r="Y3953" s="1128" t="s">
        <v>3380</v>
      </c>
      <c r="Z3953" s="1128" t="s">
        <v>3381</v>
      </c>
      <c r="AA3953" s="1128" t="s">
        <v>3384</v>
      </c>
      <c r="AB3953" s="20"/>
      <c r="AC3953" s="73"/>
    </row>
    <row r="3954" spans="1:29">
      <c r="A3954" s="327" t="str">
        <f>IF(AND($B3954&lt;&gt;"",$C3954&lt;&gt;""),MAX($A$1556:A3929)+1,"")</f>
        <v/>
      </c>
      <c r="B3954" s="361" t="s">
        <v>2842</v>
      </c>
      <c r="C3954" s="360"/>
      <c r="D3954" s="327">
        <f>IF($B3954="","",COUNTIF($B$6:$B3954,$B3954))</f>
        <v>2</v>
      </c>
      <c r="E3954" s="430">
        <v>449873</v>
      </c>
      <c r="F3954" s="362" t="s">
        <v>1377</v>
      </c>
      <c r="G3954" s="327" t="s">
        <v>344</v>
      </c>
      <c r="H3954" s="361"/>
      <c r="I3954" s="327">
        <v>1</v>
      </c>
      <c r="J3954" s="361"/>
      <c r="K3954" s="327"/>
      <c r="L3954" s="389">
        <f t="shared" si="343"/>
        <v>494972.80000000005</v>
      </c>
      <c r="M3954" s="371"/>
      <c r="N3954" s="355" t="str">
        <f t="shared" si="345"/>
        <v>PK</v>
      </c>
      <c r="O3954" s="404" t="s">
        <v>1626</v>
      </c>
      <c r="P3954" s="392"/>
      <c r="Q3954" s="441">
        <v>21.28</v>
      </c>
      <c r="R3954" s="441"/>
      <c r="S3954" s="351"/>
      <c r="T3954" s="351"/>
      <c r="U3954" s="329" t="str">
        <f>IF($N3954=$N$4,IFERROR(INDEX(DanhMuc!$E$154:$E$165,MATCH(MID($B3954,4,2),DanhMuc!$B$154:$B$165,0)),""),"")</f>
        <v/>
      </c>
      <c r="V3954" s="361"/>
      <c r="W3954" s="345"/>
      <c r="X3954" s="329" t="str">
        <f t="shared" si="344"/>
        <v>RT</v>
      </c>
      <c r="Y3954" s="1128" t="s">
        <v>3380</v>
      </c>
      <c r="Z3954" s="1128" t="s">
        <v>3381</v>
      </c>
      <c r="AA3954" s="1128" t="s">
        <v>3384</v>
      </c>
      <c r="AB3954" s="20"/>
      <c r="AC3954" s="73"/>
    </row>
    <row r="3955" spans="1:29">
      <c r="A3955" s="327" t="str">
        <f>IF(AND($B3955&lt;&gt;"",$C3955&lt;&gt;""),MAX($A$1556:A3930)+1,"")</f>
        <v/>
      </c>
      <c r="B3955" s="361" t="s">
        <v>2842</v>
      </c>
      <c r="C3955" s="360"/>
      <c r="D3955" s="327">
        <f>IF($B3955="","",COUNTIF($B$6:$B3955,$B3955))</f>
        <v>3</v>
      </c>
      <c r="E3955" s="361">
        <v>570669</v>
      </c>
      <c r="F3955" s="362" t="s">
        <v>1378</v>
      </c>
      <c r="G3955" s="327" t="s">
        <v>344</v>
      </c>
      <c r="H3955" s="361"/>
      <c r="I3955" s="327">
        <v>1</v>
      </c>
      <c r="J3955" s="345"/>
      <c r="K3955" s="327"/>
      <c r="L3955" s="389">
        <f t="shared" si="343"/>
        <v>525908.6</v>
      </c>
      <c r="M3955" s="371"/>
      <c r="N3955" s="355" t="str">
        <f t="shared" si="345"/>
        <v>PK</v>
      </c>
      <c r="O3955" s="345"/>
      <c r="P3955" s="392"/>
      <c r="Q3955" s="441">
        <v>22.61</v>
      </c>
      <c r="R3955" s="441"/>
      <c r="S3955" s="351"/>
      <c r="T3955" s="351"/>
      <c r="U3955" s="329" t="str">
        <f>IF($N3955=$N$4,IFERROR(INDEX(DanhMuc!$E$154:$E$165,MATCH(MID($B3955,4,2),DanhMuc!$B$154:$B$165,0)),""),"")</f>
        <v/>
      </c>
      <c r="V3955" s="361"/>
      <c r="W3955" s="345"/>
      <c r="X3955" s="329" t="str">
        <f t="shared" si="344"/>
        <v>RT</v>
      </c>
      <c r="Y3955" s="1128" t="s">
        <v>3380</v>
      </c>
      <c r="Z3955" s="1128" t="s">
        <v>3381</v>
      </c>
      <c r="AA3955" s="1128" t="s">
        <v>3384</v>
      </c>
      <c r="AB3955" s="20"/>
      <c r="AC3955" s="73"/>
    </row>
    <row r="3956" spans="1:29">
      <c r="A3956" s="327" t="str">
        <f>IF(AND($B3956&lt;&gt;"",$C3956&lt;&gt;""),MAX($A$1556:A3931)+1,"")</f>
        <v/>
      </c>
      <c r="B3956" s="361" t="s">
        <v>2842</v>
      </c>
      <c r="C3956" s="360"/>
      <c r="D3956" s="327">
        <f>IF($B3956="","",COUNTIF($B$6:$B3956,$B3956))</f>
        <v>4</v>
      </c>
      <c r="E3956" s="361">
        <v>775376</v>
      </c>
      <c r="F3956" s="362" t="s">
        <v>1379</v>
      </c>
      <c r="G3956" s="327" t="s">
        <v>155</v>
      </c>
      <c r="H3956" s="361"/>
      <c r="I3956" s="327">
        <v>1</v>
      </c>
      <c r="J3956" s="345"/>
      <c r="K3956" s="327"/>
      <c r="L3956" s="389">
        <f t="shared" si="343"/>
        <v>247486.40000000002</v>
      </c>
      <c r="M3956" s="371"/>
      <c r="N3956" s="355" t="str">
        <f t="shared" si="345"/>
        <v>PK</v>
      </c>
      <c r="O3956" s="345" t="s">
        <v>1060</v>
      </c>
      <c r="P3956" s="392"/>
      <c r="Q3956" s="441">
        <v>10.64</v>
      </c>
      <c r="R3956" s="441"/>
      <c r="S3956" s="351"/>
      <c r="T3956" s="351"/>
      <c r="U3956" s="329" t="str">
        <f>IF($N3956=$N$4,IFERROR(INDEX(DanhMuc!$E$154:$E$165,MATCH(MID($B3956,4,2),DanhMuc!$B$154:$B$165,0)),""),"")</f>
        <v/>
      </c>
      <c r="V3956" s="361"/>
      <c r="W3956" s="345"/>
      <c r="X3956" s="329" t="str">
        <f t="shared" si="344"/>
        <v>RT</v>
      </c>
      <c r="Y3956" s="1128" t="s">
        <v>3380</v>
      </c>
      <c r="Z3956" s="1128" t="s">
        <v>3381</v>
      </c>
      <c r="AA3956" s="1128" t="s">
        <v>3384</v>
      </c>
      <c r="AB3956" s="20"/>
      <c r="AC3956" s="73"/>
    </row>
    <row r="3957" spans="1:29">
      <c r="A3957" s="327" t="str">
        <f>IF(AND($B3957&lt;&gt;"",$C3957&lt;&gt;""),MAX($A$1556:A3932)+1,"")</f>
        <v/>
      </c>
      <c r="B3957" s="361" t="s">
        <v>2842</v>
      </c>
      <c r="C3957" s="360"/>
      <c r="D3957" s="327">
        <f>IF($B3957="","",COUNTIF($B$6:$B3957,$B3957))</f>
        <v>5</v>
      </c>
      <c r="E3957" s="361">
        <v>775375</v>
      </c>
      <c r="F3957" s="362" t="s">
        <v>1380</v>
      </c>
      <c r="G3957" s="327" t="s">
        <v>155</v>
      </c>
      <c r="H3957" s="361"/>
      <c r="I3957" s="327">
        <v>1</v>
      </c>
      <c r="J3957" s="345"/>
      <c r="K3957" s="327"/>
      <c r="L3957" s="389">
        <f t="shared" si="343"/>
        <v>433101.2</v>
      </c>
      <c r="M3957" s="371"/>
      <c r="N3957" s="355" t="str">
        <f t="shared" si="345"/>
        <v>PK</v>
      </c>
      <c r="O3957" s="345" t="s">
        <v>2699</v>
      </c>
      <c r="P3957" s="392"/>
      <c r="Q3957" s="441">
        <v>18.62</v>
      </c>
      <c r="R3957" s="441"/>
      <c r="S3957" s="351"/>
      <c r="T3957" s="351"/>
      <c r="U3957" s="329" t="str">
        <f>IF($N3957=$N$4,IFERROR(INDEX(DanhMuc!$E$154:$E$165,MATCH(MID($B3957,4,2),DanhMuc!$B$154:$B$165,0)),""),"")</f>
        <v/>
      </c>
      <c r="V3957" s="361"/>
      <c r="W3957" s="345"/>
      <c r="X3957" s="329" t="str">
        <f t="shared" si="344"/>
        <v>RT</v>
      </c>
      <c r="Y3957" s="1128" t="s">
        <v>3380</v>
      </c>
      <c r="Z3957" s="1128" t="s">
        <v>3381</v>
      </c>
      <c r="AA3957" s="1128" t="s">
        <v>3384</v>
      </c>
      <c r="AB3957" s="20"/>
      <c r="AC3957" s="73"/>
    </row>
    <row r="3958" spans="1:29">
      <c r="A3958" s="327" t="str">
        <f>IF(AND($B3958&lt;&gt;"",$C3958&lt;&gt;""),MAX($A$1556:A3933)+1,"")</f>
        <v/>
      </c>
      <c r="B3958" s="361" t="s">
        <v>2842</v>
      </c>
      <c r="C3958" s="360"/>
      <c r="D3958" s="327">
        <f>IF($B3958="","",COUNTIF($B$6:$B3958,$B3958))</f>
        <v>6</v>
      </c>
      <c r="E3958" s="361">
        <v>492522</v>
      </c>
      <c r="F3958" s="362" t="s">
        <v>1381</v>
      </c>
      <c r="G3958" s="327" t="s">
        <v>344</v>
      </c>
      <c r="H3958" s="361"/>
      <c r="I3958" s="327">
        <v>3</v>
      </c>
      <c r="J3958" s="345"/>
      <c r="K3958" s="327"/>
      <c r="L3958" s="389">
        <f t="shared" si="343"/>
        <v>433101.2</v>
      </c>
      <c r="M3958" s="371"/>
      <c r="N3958" s="355" t="str">
        <f t="shared" si="345"/>
        <v>PK</v>
      </c>
      <c r="O3958" s="345" t="s">
        <v>1362</v>
      </c>
      <c r="P3958" s="392"/>
      <c r="Q3958" s="441">
        <v>18.62</v>
      </c>
      <c r="R3958" s="441"/>
      <c r="S3958" s="351"/>
      <c r="T3958" s="351"/>
      <c r="U3958" s="329" t="str">
        <f>IF($N3958=$N$4,IFERROR(INDEX(DanhMuc!$E$154:$E$165,MATCH(MID($B3958,4,2),DanhMuc!$B$154:$B$165,0)),""),"")</f>
        <v/>
      </c>
      <c r="V3958" s="361"/>
      <c r="W3958" s="345"/>
      <c r="X3958" s="329" t="str">
        <f t="shared" si="344"/>
        <v>RT</v>
      </c>
      <c r="Y3958" s="1128" t="s">
        <v>3380</v>
      </c>
      <c r="Z3958" s="1128" t="s">
        <v>3381</v>
      </c>
      <c r="AA3958" s="1128" t="s">
        <v>3384</v>
      </c>
      <c r="AB3958" s="20"/>
      <c r="AC3958" s="73"/>
    </row>
    <row r="3959" spans="1:29">
      <c r="A3959" s="327" t="str">
        <f>IF(AND($B3959&lt;&gt;"",$C3959&lt;&gt;""),MAX($A$1556:A3934)+1,"")</f>
        <v/>
      </c>
      <c r="B3959" s="361" t="s">
        <v>2842</v>
      </c>
      <c r="C3959" s="360"/>
      <c r="D3959" s="327">
        <f>IF($B3959="","",COUNTIF($B$6:$B3959,$B3959))</f>
        <v>7</v>
      </c>
      <c r="E3959" s="361">
        <v>492575</v>
      </c>
      <c r="F3959" s="431" t="s">
        <v>1382</v>
      </c>
      <c r="G3959" s="327" t="s">
        <v>344</v>
      </c>
      <c r="H3959" s="361"/>
      <c r="I3959" s="327">
        <v>3</v>
      </c>
      <c r="J3959" s="345"/>
      <c r="K3959" s="327"/>
      <c r="L3959" s="389">
        <f t="shared" si="343"/>
        <v>510557</v>
      </c>
      <c r="M3959" s="371"/>
      <c r="N3959" s="355" t="str">
        <f t="shared" si="345"/>
        <v>PK</v>
      </c>
      <c r="O3959" s="345" t="s">
        <v>441</v>
      </c>
      <c r="P3959" s="392"/>
      <c r="Q3959" s="441">
        <v>21.95</v>
      </c>
      <c r="R3959" s="441"/>
      <c r="S3959" s="351"/>
      <c r="T3959" s="351"/>
      <c r="U3959" s="329" t="str">
        <f>IF($N3959=$N$4,IFERROR(INDEX(DanhMuc!$E$154:$E$165,MATCH(MID($B3959,4,2),DanhMuc!$B$154:$B$165,0)),""),"")</f>
        <v/>
      </c>
      <c r="V3959" s="361"/>
      <c r="W3959" s="345"/>
      <c r="X3959" s="329" t="str">
        <f t="shared" si="344"/>
        <v>RT</v>
      </c>
      <c r="Y3959" s="1128" t="s">
        <v>3380</v>
      </c>
      <c r="Z3959" s="1128" t="s">
        <v>3381</v>
      </c>
      <c r="AA3959" s="1128" t="s">
        <v>3384</v>
      </c>
      <c r="AB3959" s="20"/>
      <c r="AC3959" s="73"/>
    </row>
    <row r="3960" spans="1:29">
      <c r="A3960" s="327" t="str">
        <f>IF(AND($B3960&lt;&gt;"",$C3960&lt;&gt;""),MAX($A$1556:A3935)+1,"")</f>
        <v/>
      </c>
      <c r="B3960" s="361" t="s">
        <v>2842</v>
      </c>
      <c r="C3960" s="360"/>
      <c r="D3960" s="327">
        <f>IF($B3960="","",COUNTIF($B$6:$B3960,$B3960))</f>
        <v>8</v>
      </c>
      <c r="E3960" s="430">
        <v>390659</v>
      </c>
      <c r="F3960" s="431" t="s">
        <v>1383</v>
      </c>
      <c r="G3960" s="327" t="s">
        <v>155</v>
      </c>
      <c r="H3960" s="361"/>
      <c r="I3960" s="327">
        <v>1</v>
      </c>
      <c r="J3960" s="345"/>
      <c r="K3960" s="327"/>
      <c r="L3960" s="389">
        <f t="shared" si="343"/>
        <v>247486.40000000002</v>
      </c>
      <c r="M3960" s="371"/>
      <c r="N3960" s="355" t="str">
        <f t="shared" si="345"/>
        <v>PK</v>
      </c>
      <c r="O3960" s="404" t="s">
        <v>1624</v>
      </c>
      <c r="P3960" s="392"/>
      <c r="Q3960" s="441">
        <v>10.64</v>
      </c>
      <c r="R3960" s="441"/>
      <c r="S3960" s="351"/>
      <c r="T3960" s="351"/>
      <c r="U3960" s="329" t="str">
        <f>IF($N3960=$N$4,IFERROR(INDEX(DanhMuc!$E$154:$E$165,MATCH(MID($B3960,4,2),DanhMuc!$B$154:$B$165,0)),""),"")</f>
        <v/>
      </c>
      <c r="V3960" s="361"/>
      <c r="W3960" s="345"/>
      <c r="X3960" s="329" t="str">
        <f t="shared" si="344"/>
        <v>RT</v>
      </c>
      <c r="Y3960" s="1128" t="s">
        <v>3380</v>
      </c>
      <c r="Z3960" s="1128" t="s">
        <v>3381</v>
      </c>
      <c r="AA3960" s="1128" t="s">
        <v>3384</v>
      </c>
      <c r="AB3960" s="20"/>
      <c r="AC3960" s="73"/>
    </row>
    <row r="3961" spans="1:29">
      <c r="A3961" s="327" t="str">
        <f>IF(AND($B3961&lt;&gt;"",$C3961&lt;&gt;""),MAX($A$1556:A3936)+1,"")</f>
        <v/>
      </c>
      <c r="B3961" s="361" t="s">
        <v>2842</v>
      </c>
      <c r="C3961" s="360"/>
      <c r="D3961" s="327">
        <f>IF($B3961="","",COUNTIF($B$6:$B3961,$B3961))</f>
        <v>9</v>
      </c>
      <c r="E3961" s="430">
        <v>390660</v>
      </c>
      <c r="F3961" s="431" t="s">
        <v>1384</v>
      </c>
      <c r="G3961" s="327" t="s">
        <v>155</v>
      </c>
      <c r="H3961" s="361"/>
      <c r="I3961" s="327">
        <v>1</v>
      </c>
      <c r="J3961" s="345"/>
      <c r="K3961" s="327"/>
      <c r="L3961" s="389">
        <f t="shared" si="343"/>
        <v>247486.40000000002</v>
      </c>
      <c r="M3961" s="371"/>
      <c r="N3961" s="355" t="str">
        <f t="shared" si="345"/>
        <v>PK</v>
      </c>
      <c r="O3961" s="404" t="s">
        <v>1625</v>
      </c>
      <c r="P3961" s="392"/>
      <c r="Q3961" s="441">
        <v>10.64</v>
      </c>
      <c r="R3961" s="441"/>
      <c r="S3961" s="351"/>
      <c r="T3961" s="351"/>
      <c r="U3961" s="329" t="str">
        <f>IF($N3961=$N$4,IFERROR(INDEX(DanhMuc!$E$154:$E$165,MATCH(MID($B3961,4,2),DanhMuc!$B$154:$B$165,0)),""),"")</f>
        <v/>
      </c>
      <c r="V3961" s="361"/>
      <c r="W3961" s="345"/>
      <c r="X3961" s="329" t="str">
        <f t="shared" si="344"/>
        <v>RT</v>
      </c>
      <c r="Y3961" s="1128" t="s">
        <v>3380</v>
      </c>
      <c r="Z3961" s="1128" t="s">
        <v>3381</v>
      </c>
      <c r="AA3961" s="1128" t="s">
        <v>3384</v>
      </c>
      <c r="AB3961" s="20"/>
      <c r="AC3961" s="73"/>
    </row>
    <row r="3962" spans="1:29">
      <c r="A3962" s="327" t="str">
        <f>IF(AND($B3962&lt;&gt;"",$C3962&lt;&gt;""),MAX($A$1556:A3937)+1,"")</f>
        <v/>
      </c>
      <c r="B3962" s="361" t="s">
        <v>2842</v>
      </c>
      <c r="C3962" s="360"/>
      <c r="D3962" s="327">
        <f>IF($B3962="","",COUNTIF($B$6:$B3962,$B3962))</f>
        <v>10</v>
      </c>
      <c r="E3962" s="430">
        <v>390659</v>
      </c>
      <c r="F3962" s="431" t="s">
        <v>1383</v>
      </c>
      <c r="G3962" s="327" t="s">
        <v>155</v>
      </c>
      <c r="H3962" s="361"/>
      <c r="I3962" s="327">
        <v>1</v>
      </c>
      <c r="J3962" s="345"/>
      <c r="K3962" s="327"/>
      <c r="L3962" s="389">
        <f t="shared" si="343"/>
        <v>247486.40000000002</v>
      </c>
      <c r="M3962" s="371"/>
      <c r="N3962" s="355" t="str">
        <f t="shared" si="345"/>
        <v>PK</v>
      </c>
      <c r="O3962" s="404" t="s">
        <v>1629</v>
      </c>
      <c r="P3962" s="392"/>
      <c r="Q3962" s="441">
        <v>10.64</v>
      </c>
      <c r="R3962" s="441"/>
      <c r="S3962" s="351"/>
      <c r="T3962" s="351"/>
      <c r="U3962" s="329" t="str">
        <f>IF($N3962=$N$4,IFERROR(INDEX(DanhMuc!$E$154:$E$165,MATCH(MID($B3962,4,2),DanhMuc!$B$154:$B$165,0)),""),"")</f>
        <v/>
      </c>
      <c r="V3962" s="361"/>
      <c r="W3962" s="345"/>
      <c r="X3962" s="329" t="str">
        <f t="shared" si="344"/>
        <v>RT</v>
      </c>
      <c r="Y3962" s="1128" t="s">
        <v>3380</v>
      </c>
      <c r="Z3962" s="1128" t="s">
        <v>3381</v>
      </c>
      <c r="AA3962" s="1128" t="s">
        <v>3384</v>
      </c>
      <c r="AB3962" s="20"/>
      <c r="AC3962" s="73"/>
    </row>
    <row r="3963" spans="1:29">
      <c r="A3963" s="327" t="str">
        <f>IF(AND($B3963&lt;&gt;"",$C3963&lt;&gt;""),MAX($A$1556:A3938)+1,"")</f>
        <v/>
      </c>
      <c r="B3963" s="361" t="s">
        <v>2842</v>
      </c>
      <c r="C3963" s="360"/>
      <c r="D3963" s="327">
        <f>IF($B3963="","",COUNTIF($B$6:$B3963,$B3963))</f>
        <v>11</v>
      </c>
      <c r="E3963" s="430">
        <v>390660</v>
      </c>
      <c r="F3963" s="431" t="s">
        <v>1384</v>
      </c>
      <c r="G3963" s="327" t="s">
        <v>155</v>
      </c>
      <c r="H3963" s="361"/>
      <c r="I3963" s="327">
        <v>1</v>
      </c>
      <c r="J3963" s="345"/>
      <c r="K3963" s="327"/>
      <c r="L3963" s="389">
        <f t="shared" si="343"/>
        <v>247486.40000000002</v>
      </c>
      <c r="M3963" s="371"/>
      <c r="N3963" s="355" t="str">
        <f t="shared" si="345"/>
        <v>PK</v>
      </c>
      <c r="O3963" s="404" t="s">
        <v>1630</v>
      </c>
      <c r="P3963" s="392"/>
      <c r="Q3963" s="441">
        <v>10.64</v>
      </c>
      <c r="R3963" s="441"/>
      <c r="S3963" s="351"/>
      <c r="T3963" s="351"/>
      <c r="U3963" s="329" t="str">
        <f>IF($N3963=$N$4,IFERROR(INDEX(DanhMuc!$E$154:$E$165,MATCH(MID($B3963,4,2),DanhMuc!$B$154:$B$165,0)),""),"")</f>
        <v/>
      </c>
      <c r="V3963" s="361"/>
      <c r="W3963" s="345"/>
      <c r="X3963" s="329" t="str">
        <f t="shared" si="344"/>
        <v>RT</v>
      </c>
      <c r="Y3963" s="1128" t="s">
        <v>3380</v>
      </c>
      <c r="Z3963" s="1128" t="s">
        <v>3381</v>
      </c>
      <c r="AA3963" s="1128" t="s">
        <v>3384</v>
      </c>
      <c r="AB3963" s="20"/>
      <c r="AC3963" s="73"/>
    </row>
    <row r="3964" spans="1:29" ht="25">
      <c r="A3964" s="327" t="str">
        <f>IF(AND($B3964&lt;&gt;"",$C3964&lt;&gt;""),MAX($A$1556:A3939)+1,"")</f>
        <v/>
      </c>
      <c r="B3964" s="361" t="s">
        <v>2842</v>
      </c>
      <c r="C3964" s="360"/>
      <c r="D3964" s="327">
        <f>IF($B3964="","",COUNTIF($B$6:$B3964,$B3964))</f>
        <v>12</v>
      </c>
      <c r="E3964" s="411">
        <v>630955</v>
      </c>
      <c r="F3964" s="432" t="s">
        <v>1385</v>
      </c>
      <c r="G3964" s="410" t="s">
        <v>156</v>
      </c>
      <c r="H3964" s="402"/>
      <c r="I3964" s="327">
        <v>1</v>
      </c>
      <c r="J3964" s="345"/>
      <c r="K3964" s="327"/>
      <c r="L3964" s="389">
        <f t="shared" si="343"/>
        <v>114904.40000000001</v>
      </c>
      <c r="M3964" s="371"/>
      <c r="N3964" s="355" t="str">
        <f t="shared" si="345"/>
        <v>PK</v>
      </c>
      <c r="O3964" s="404" t="s">
        <v>1623</v>
      </c>
      <c r="P3964" s="392"/>
      <c r="Q3964" s="441">
        <v>4.9400000000000004</v>
      </c>
      <c r="R3964" s="441"/>
      <c r="S3964" s="351"/>
      <c r="T3964" s="351"/>
      <c r="U3964" s="329" t="str">
        <f>IF($N3964=$N$4,IFERROR(INDEX(DanhMuc!$E$154:$E$165,MATCH(MID($B3964,4,2),DanhMuc!$B$154:$B$165,0)),""),"")</f>
        <v/>
      </c>
      <c r="V3964" s="361"/>
      <c r="W3964" s="345"/>
      <c r="X3964" s="329" t="str">
        <f t="shared" si="344"/>
        <v>RT</v>
      </c>
      <c r="Y3964" s="1128" t="s">
        <v>3380</v>
      </c>
      <c r="Z3964" s="1128" t="s">
        <v>3381</v>
      </c>
      <c r="AA3964" s="1128" t="s">
        <v>3384</v>
      </c>
      <c r="AB3964" s="20"/>
      <c r="AC3964" s="73"/>
    </row>
    <row r="3965" spans="1:29" ht="25">
      <c r="A3965" s="327" t="str">
        <f>IF(AND($B3965&lt;&gt;"",$C3965&lt;&gt;""),MAX($A$1556:A3940)+1,"")</f>
        <v/>
      </c>
      <c r="B3965" s="361" t="s">
        <v>2842</v>
      </c>
      <c r="C3965" s="360"/>
      <c r="D3965" s="327">
        <f>IF($B3965="","",COUNTIF($B$6:$B3965,$B3965))</f>
        <v>13</v>
      </c>
      <c r="E3965" s="411">
        <v>630957</v>
      </c>
      <c r="F3965" s="432" t="s">
        <v>1386</v>
      </c>
      <c r="G3965" s="410" t="s">
        <v>156</v>
      </c>
      <c r="H3965" s="402"/>
      <c r="I3965" s="327">
        <v>1</v>
      </c>
      <c r="J3965" s="345"/>
      <c r="K3965" s="327"/>
      <c r="L3965" s="389">
        <f t="shared" si="343"/>
        <v>154911.6</v>
      </c>
      <c r="M3965" s="371"/>
      <c r="N3965" s="355" t="str">
        <f t="shared" si="345"/>
        <v>PK</v>
      </c>
      <c r="O3965" s="404" t="s">
        <v>1623</v>
      </c>
      <c r="P3965" s="392"/>
      <c r="Q3965" s="441">
        <v>6.66</v>
      </c>
      <c r="R3965" s="441"/>
      <c r="S3965" s="351"/>
      <c r="T3965" s="351"/>
      <c r="U3965" s="329" t="str">
        <f>IF($N3965=$N$4,IFERROR(INDEX(DanhMuc!$E$154:$E$165,MATCH(MID($B3965,4,2),DanhMuc!$B$154:$B$165,0)),""),"")</f>
        <v/>
      </c>
      <c r="V3965" s="361"/>
      <c r="W3965" s="345"/>
      <c r="X3965" s="329" t="str">
        <f t="shared" si="344"/>
        <v>RT</v>
      </c>
      <c r="Y3965" s="1128" t="s">
        <v>3380</v>
      </c>
      <c r="Z3965" s="1128" t="s">
        <v>3381</v>
      </c>
      <c r="AA3965" s="1128" t="s">
        <v>3384</v>
      </c>
      <c r="AB3965" s="20"/>
      <c r="AC3965" s="73"/>
    </row>
    <row r="3966" spans="1:29">
      <c r="A3966" s="327" t="str">
        <f>IF(AND($B3966&lt;&gt;"",$C3966&lt;&gt;""),MAX($A$1556:A3941)+1,"")</f>
        <v/>
      </c>
      <c r="B3966" s="361" t="s">
        <v>2842</v>
      </c>
      <c r="C3966" s="360"/>
      <c r="D3966" s="327">
        <f>IF($B3966="","",COUNTIF($B$6:$B3966,$B3966))</f>
        <v>14</v>
      </c>
      <c r="E3966" s="430">
        <v>332439</v>
      </c>
      <c r="F3966" s="431" t="s">
        <v>1387</v>
      </c>
      <c r="G3966" s="327" t="s">
        <v>155</v>
      </c>
      <c r="H3966" s="361"/>
      <c r="I3966" s="327">
        <v>4</v>
      </c>
      <c r="J3966" s="345"/>
      <c r="K3966" s="327"/>
      <c r="L3966" s="389">
        <f t="shared" si="343"/>
        <v>12560.400000000001</v>
      </c>
      <c r="M3966" s="371"/>
      <c r="N3966" s="355" t="str">
        <f t="shared" si="345"/>
        <v>PK</v>
      </c>
      <c r="O3966" s="404" t="s">
        <v>1623</v>
      </c>
      <c r="P3966" s="392"/>
      <c r="Q3966" s="441">
        <v>0.54</v>
      </c>
      <c r="R3966" s="441"/>
      <c r="S3966" s="351"/>
      <c r="T3966" s="351"/>
      <c r="U3966" s="329" t="str">
        <f>IF($N3966=$N$4,IFERROR(INDEX(DanhMuc!$E$154:$E$165,MATCH(MID($B3966,4,2),DanhMuc!$B$154:$B$165,0)),""),"")</f>
        <v/>
      </c>
      <c r="V3966" s="361"/>
      <c r="W3966" s="345"/>
      <c r="X3966" s="329" t="str">
        <f t="shared" si="344"/>
        <v>RT</v>
      </c>
      <c r="Y3966" s="1128" t="s">
        <v>3380</v>
      </c>
      <c r="Z3966" s="1128" t="s">
        <v>3381</v>
      </c>
      <c r="AA3966" s="1128" t="s">
        <v>3384</v>
      </c>
      <c r="AB3966" s="20"/>
      <c r="AC3966" s="73"/>
    </row>
    <row r="3967" spans="1:29" ht="26">
      <c r="A3967" s="327">
        <f>IF(AND($B3967&lt;&gt;"",$C3967&lt;&gt;""),MAX($A$1556:A3942)+1,"")</f>
        <v>188</v>
      </c>
      <c r="B3967" s="359" t="s">
        <v>2843</v>
      </c>
      <c r="C3967" s="360" t="s">
        <v>1575</v>
      </c>
      <c r="D3967" s="327">
        <f>IF($B3967="","",COUNTIF($B$6:$B3967,$B3967))</f>
        <v>1</v>
      </c>
      <c r="E3967" s="430">
        <v>630963</v>
      </c>
      <c r="F3967" s="362" t="s">
        <v>1376</v>
      </c>
      <c r="G3967" s="327" t="s">
        <v>344</v>
      </c>
      <c r="H3967" s="361"/>
      <c r="I3967" s="327">
        <v>1</v>
      </c>
      <c r="J3967" s="361"/>
      <c r="K3967" s="327"/>
      <c r="L3967" s="389">
        <f t="shared" si="343"/>
        <v>866202.4</v>
      </c>
      <c r="M3967" s="371"/>
      <c r="N3967" s="355" t="str">
        <f t="shared" si="345"/>
        <v>PK</v>
      </c>
      <c r="O3967" s="404" t="s">
        <v>1623</v>
      </c>
      <c r="P3967" s="392"/>
      <c r="Q3967" s="441">
        <v>37.24</v>
      </c>
      <c r="R3967" s="441"/>
      <c r="S3967" s="351"/>
      <c r="T3967" s="351"/>
      <c r="U3967" s="329" t="str">
        <f>IF($N3967=$N$4,IFERROR(INDEX(DanhMuc!$E$154:$E$165,MATCH(MID($B3967,4,2),DanhMuc!$B$154:$B$165,0)),""),"")</f>
        <v/>
      </c>
      <c r="V3967" s="361"/>
      <c r="W3967" s="345"/>
      <c r="X3967" s="329" t="str">
        <f t="shared" si="344"/>
        <v>RT</v>
      </c>
      <c r="Y3967" s="1128" t="s">
        <v>3380</v>
      </c>
      <c r="Z3967" s="1128" t="s">
        <v>3381</v>
      </c>
      <c r="AA3967" s="1128" t="s">
        <v>3384</v>
      </c>
      <c r="AB3967" s="20"/>
      <c r="AC3967" s="73"/>
    </row>
    <row r="3968" spans="1:29">
      <c r="A3968" s="327" t="str">
        <f>IF(AND($B3968&lt;&gt;"",$C3968&lt;&gt;""),MAX($A$1556:A3943)+1,"")</f>
        <v/>
      </c>
      <c r="B3968" s="361" t="s">
        <v>2843</v>
      </c>
      <c r="C3968" s="360"/>
      <c r="D3968" s="327">
        <f>IF($B3968="","",COUNTIF($B$6:$B3968,$B3968))</f>
        <v>2</v>
      </c>
      <c r="E3968" s="430">
        <v>449873</v>
      </c>
      <c r="F3968" s="362" t="s">
        <v>1377</v>
      </c>
      <c r="G3968" s="327" t="s">
        <v>344</v>
      </c>
      <c r="H3968" s="361"/>
      <c r="I3968" s="327">
        <v>1</v>
      </c>
      <c r="J3968" s="361"/>
      <c r="K3968" s="327"/>
      <c r="L3968" s="389">
        <f t="shared" si="343"/>
        <v>494972.80000000005</v>
      </c>
      <c r="M3968" s="371"/>
      <c r="N3968" s="355" t="str">
        <f t="shared" si="345"/>
        <v>PK</v>
      </c>
      <c r="O3968" s="404" t="s">
        <v>1626</v>
      </c>
      <c r="P3968" s="392"/>
      <c r="Q3968" s="441">
        <v>21.28</v>
      </c>
      <c r="R3968" s="441"/>
      <c r="S3968" s="351"/>
      <c r="T3968" s="351"/>
      <c r="U3968" s="329" t="str">
        <f>IF($N3968=$N$4,IFERROR(INDEX(DanhMuc!$E$154:$E$165,MATCH(MID($B3968,4,2),DanhMuc!$B$154:$B$165,0)),""),"")</f>
        <v/>
      </c>
      <c r="V3968" s="361"/>
      <c r="W3968" s="345"/>
      <c r="X3968" s="329" t="str">
        <f t="shared" si="344"/>
        <v>RT</v>
      </c>
      <c r="Y3968" s="1128" t="s">
        <v>3380</v>
      </c>
      <c r="Z3968" s="1128" t="s">
        <v>3381</v>
      </c>
      <c r="AA3968" s="1128" t="s">
        <v>3384</v>
      </c>
      <c r="AB3968" s="20"/>
      <c r="AC3968" s="73"/>
    </row>
    <row r="3969" spans="1:29">
      <c r="A3969" s="327" t="str">
        <f>IF(AND($B3969&lt;&gt;"",$C3969&lt;&gt;""),MAX($A$1556:A3944)+1,"")</f>
        <v/>
      </c>
      <c r="B3969" s="361" t="s">
        <v>2843</v>
      </c>
      <c r="C3969" s="360"/>
      <c r="D3969" s="327">
        <f>IF($B3969="","",COUNTIF($B$6:$B3969,$B3969))</f>
        <v>3</v>
      </c>
      <c r="E3969" s="361">
        <v>570669</v>
      </c>
      <c r="F3969" s="362" t="s">
        <v>1378</v>
      </c>
      <c r="G3969" s="327" t="s">
        <v>344</v>
      </c>
      <c r="H3969" s="361"/>
      <c r="I3969" s="327">
        <v>1</v>
      </c>
      <c r="J3969" s="345"/>
      <c r="K3969" s="327"/>
      <c r="L3969" s="389">
        <f t="shared" si="343"/>
        <v>525908.6</v>
      </c>
      <c r="M3969" s="371"/>
      <c r="N3969" s="355" t="str">
        <f t="shared" si="345"/>
        <v>PK</v>
      </c>
      <c r="O3969" s="345"/>
      <c r="P3969" s="392"/>
      <c r="Q3969" s="441">
        <v>22.61</v>
      </c>
      <c r="R3969" s="441"/>
      <c r="S3969" s="351"/>
      <c r="T3969" s="351"/>
      <c r="U3969" s="329" t="str">
        <f>IF($N3969=$N$4,IFERROR(INDEX(DanhMuc!$E$154:$E$165,MATCH(MID($B3969,4,2),DanhMuc!$B$154:$B$165,0)),""),"")</f>
        <v/>
      </c>
      <c r="V3969" s="361"/>
      <c r="W3969" s="345"/>
      <c r="X3969" s="329" t="str">
        <f t="shared" si="344"/>
        <v>RT</v>
      </c>
      <c r="Y3969" s="1128" t="s">
        <v>3380</v>
      </c>
      <c r="Z3969" s="1128" t="s">
        <v>3381</v>
      </c>
      <c r="AA3969" s="1128" t="s">
        <v>3384</v>
      </c>
      <c r="AB3969" s="20"/>
      <c r="AC3969" s="73"/>
    </row>
    <row r="3970" spans="1:29">
      <c r="A3970" s="327" t="str">
        <f>IF(AND($B3970&lt;&gt;"",$C3970&lt;&gt;""),MAX($A$1556:A3945)+1,"")</f>
        <v/>
      </c>
      <c r="B3970" s="361" t="s">
        <v>2843</v>
      </c>
      <c r="C3970" s="360"/>
      <c r="D3970" s="327">
        <f>IF($B3970="","",COUNTIF($B$6:$B3970,$B3970))</f>
        <v>4</v>
      </c>
      <c r="E3970" s="361">
        <v>775376</v>
      </c>
      <c r="F3970" s="362" t="s">
        <v>1379</v>
      </c>
      <c r="G3970" s="327" t="s">
        <v>155</v>
      </c>
      <c r="H3970" s="361"/>
      <c r="I3970" s="327">
        <v>1</v>
      </c>
      <c r="J3970" s="345"/>
      <c r="K3970" s="327"/>
      <c r="L3970" s="389">
        <f t="shared" si="343"/>
        <v>247486.40000000002</v>
      </c>
      <c r="M3970" s="371"/>
      <c r="N3970" s="355" t="str">
        <f t="shared" si="345"/>
        <v>PK</v>
      </c>
      <c r="O3970" s="345" t="s">
        <v>1060</v>
      </c>
      <c r="P3970" s="392"/>
      <c r="Q3970" s="441">
        <v>10.64</v>
      </c>
      <c r="R3970" s="441"/>
      <c r="S3970" s="351"/>
      <c r="T3970" s="351"/>
      <c r="U3970" s="329" t="str">
        <f>IF($N3970=$N$4,IFERROR(INDEX(DanhMuc!$E$154:$E$165,MATCH(MID($B3970,4,2),DanhMuc!$B$154:$B$165,0)),""),"")</f>
        <v/>
      </c>
      <c r="V3970" s="361"/>
      <c r="W3970" s="345"/>
      <c r="X3970" s="329" t="str">
        <f t="shared" si="344"/>
        <v>RT</v>
      </c>
      <c r="Y3970" s="1128" t="s">
        <v>3380</v>
      </c>
      <c r="Z3970" s="1128" t="s">
        <v>3381</v>
      </c>
      <c r="AA3970" s="1128" t="s">
        <v>3384</v>
      </c>
      <c r="AB3970" s="20"/>
      <c r="AC3970" s="73"/>
    </row>
    <row r="3971" spans="1:29">
      <c r="A3971" s="327" t="str">
        <f>IF(AND($B3971&lt;&gt;"",$C3971&lt;&gt;""),MAX($A$1556:A3946)+1,"")</f>
        <v/>
      </c>
      <c r="B3971" s="361" t="s">
        <v>2843</v>
      </c>
      <c r="C3971" s="360"/>
      <c r="D3971" s="327">
        <f>IF($B3971="","",COUNTIF($B$6:$B3971,$B3971))</f>
        <v>5</v>
      </c>
      <c r="E3971" s="361">
        <v>775375</v>
      </c>
      <c r="F3971" s="362" t="s">
        <v>1380</v>
      </c>
      <c r="G3971" s="327" t="s">
        <v>155</v>
      </c>
      <c r="H3971" s="361"/>
      <c r="I3971" s="327">
        <v>1</v>
      </c>
      <c r="J3971" s="345"/>
      <c r="K3971" s="327"/>
      <c r="L3971" s="389">
        <f t="shared" si="343"/>
        <v>433101.2</v>
      </c>
      <c r="M3971" s="371"/>
      <c r="N3971" s="355" t="str">
        <f t="shared" si="345"/>
        <v>PK</v>
      </c>
      <c r="O3971" s="345" t="s">
        <v>2699</v>
      </c>
      <c r="P3971" s="392"/>
      <c r="Q3971" s="441">
        <v>18.62</v>
      </c>
      <c r="R3971" s="441"/>
      <c r="S3971" s="351"/>
      <c r="T3971" s="351"/>
      <c r="U3971" s="329" t="str">
        <f>IF($N3971=$N$4,IFERROR(INDEX(DanhMuc!$E$154:$E$165,MATCH(MID($B3971,4,2),DanhMuc!$B$154:$B$165,0)),""),"")</f>
        <v/>
      </c>
      <c r="V3971" s="361"/>
      <c r="W3971" s="345"/>
      <c r="X3971" s="329" t="str">
        <f t="shared" si="344"/>
        <v>RT</v>
      </c>
      <c r="Y3971" s="1128" t="s">
        <v>3380</v>
      </c>
      <c r="Z3971" s="1128" t="s">
        <v>3381</v>
      </c>
      <c r="AA3971" s="1128" t="s">
        <v>3384</v>
      </c>
      <c r="AB3971" s="20"/>
      <c r="AC3971" s="73"/>
    </row>
    <row r="3972" spans="1:29">
      <c r="A3972" s="327" t="str">
        <f>IF(AND($B3972&lt;&gt;"",$C3972&lt;&gt;""),MAX($A$1556:A3947)+1,"")</f>
        <v/>
      </c>
      <c r="B3972" s="361" t="s">
        <v>2843</v>
      </c>
      <c r="C3972" s="360"/>
      <c r="D3972" s="327">
        <f>IF($B3972="","",COUNTIF($B$6:$B3972,$B3972))</f>
        <v>6</v>
      </c>
      <c r="E3972" s="361">
        <v>492522</v>
      </c>
      <c r="F3972" s="362" t="s">
        <v>1381</v>
      </c>
      <c r="G3972" s="327" t="s">
        <v>344</v>
      </c>
      <c r="H3972" s="361"/>
      <c r="I3972" s="327">
        <v>6</v>
      </c>
      <c r="J3972" s="345"/>
      <c r="K3972" s="327"/>
      <c r="L3972" s="389">
        <f t="shared" si="343"/>
        <v>433101.2</v>
      </c>
      <c r="M3972" s="371"/>
      <c r="N3972" s="355" t="str">
        <f t="shared" si="345"/>
        <v>PK</v>
      </c>
      <c r="O3972" s="345" t="s">
        <v>1362</v>
      </c>
      <c r="P3972" s="392"/>
      <c r="Q3972" s="441">
        <v>18.62</v>
      </c>
      <c r="R3972" s="441"/>
      <c r="S3972" s="351"/>
      <c r="T3972" s="351"/>
      <c r="U3972" s="329" t="str">
        <f>IF($N3972=$N$4,IFERROR(INDEX(DanhMuc!$E$154:$E$165,MATCH(MID($B3972,4,2),DanhMuc!$B$154:$B$165,0)),""),"")</f>
        <v/>
      </c>
      <c r="V3972" s="361"/>
      <c r="W3972" s="345"/>
      <c r="X3972" s="329" t="str">
        <f t="shared" si="344"/>
        <v>RT</v>
      </c>
      <c r="Y3972" s="1128" t="s">
        <v>3380</v>
      </c>
      <c r="Z3972" s="1128" t="s">
        <v>3381</v>
      </c>
      <c r="AA3972" s="1128" t="s">
        <v>3384</v>
      </c>
      <c r="AB3972" s="20"/>
      <c r="AC3972" s="73"/>
    </row>
    <row r="3973" spans="1:29">
      <c r="A3973" s="327" t="str">
        <f>IF(AND($B3973&lt;&gt;"",$C3973&lt;&gt;""),MAX($A$1556:A3948)+1,"")</f>
        <v/>
      </c>
      <c r="B3973" s="361" t="s">
        <v>2843</v>
      </c>
      <c r="C3973" s="360"/>
      <c r="D3973" s="327">
        <f>IF($B3973="","",COUNTIF($B$6:$B3973,$B3973))</f>
        <v>7</v>
      </c>
      <c r="E3973" s="361">
        <v>492575</v>
      </c>
      <c r="F3973" s="431" t="s">
        <v>1382</v>
      </c>
      <c r="G3973" s="327" t="s">
        <v>344</v>
      </c>
      <c r="H3973" s="361"/>
      <c r="I3973" s="327">
        <v>6</v>
      </c>
      <c r="J3973" s="345"/>
      <c r="K3973" s="327"/>
      <c r="L3973" s="389">
        <f t="shared" si="343"/>
        <v>510557</v>
      </c>
      <c r="M3973" s="371"/>
      <c r="N3973" s="355" t="str">
        <f t="shared" si="345"/>
        <v>PK</v>
      </c>
      <c r="O3973" s="345" t="s">
        <v>441</v>
      </c>
      <c r="P3973" s="392"/>
      <c r="Q3973" s="441">
        <v>21.95</v>
      </c>
      <c r="R3973" s="441"/>
      <c r="S3973" s="351"/>
      <c r="T3973" s="351"/>
      <c r="U3973" s="329" t="str">
        <f>IF($N3973=$N$4,IFERROR(INDEX(DanhMuc!$E$154:$E$165,MATCH(MID($B3973,4,2),DanhMuc!$B$154:$B$165,0)),""),"")</f>
        <v/>
      </c>
      <c r="V3973" s="361"/>
      <c r="W3973" s="345"/>
      <c r="X3973" s="329" t="str">
        <f t="shared" si="344"/>
        <v>RT</v>
      </c>
      <c r="Y3973" s="1128" t="s">
        <v>3380</v>
      </c>
      <c r="Z3973" s="1128" t="s">
        <v>3381</v>
      </c>
      <c r="AA3973" s="1128" t="s">
        <v>3384</v>
      </c>
      <c r="AB3973" s="20"/>
      <c r="AC3973" s="73"/>
    </row>
    <row r="3974" spans="1:29" ht="25">
      <c r="A3974" s="327" t="str">
        <f>IF(AND($B3974&lt;&gt;"",$C3974&lt;&gt;""),MAX($A$1556:A3949)+1,"")</f>
        <v/>
      </c>
      <c r="B3974" s="361" t="s">
        <v>2843</v>
      </c>
      <c r="C3974" s="360"/>
      <c r="D3974" s="327">
        <f>IF($B3974="","",COUNTIF($B$6:$B3974,$B3974))</f>
        <v>8</v>
      </c>
      <c r="E3974" s="411">
        <v>630955</v>
      </c>
      <c r="F3974" s="432" t="s">
        <v>1385</v>
      </c>
      <c r="G3974" s="410" t="s">
        <v>156</v>
      </c>
      <c r="H3974" s="402"/>
      <c r="I3974" s="327">
        <v>1</v>
      </c>
      <c r="J3974" s="345"/>
      <c r="K3974" s="327"/>
      <c r="L3974" s="389">
        <f t="shared" si="343"/>
        <v>114904.40000000001</v>
      </c>
      <c r="M3974" s="371"/>
      <c r="N3974" s="355" t="str">
        <f t="shared" si="345"/>
        <v>PK</v>
      </c>
      <c r="O3974" s="404" t="s">
        <v>1623</v>
      </c>
      <c r="P3974" s="392"/>
      <c r="Q3974" s="441">
        <v>4.9400000000000004</v>
      </c>
      <c r="R3974" s="441"/>
      <c r="S3974" s="351"/>
      <c r="T3974" s="351"/>
      <c r="U3974" s="329" t="str">
        <f>IF($N3974=$N$4,IFERROR(INDEX(DanhMuc!$E$154:$E$165,MATCH(MID($B3974,4,2),DanhMuc!$B$154:$B$165,0)),""),"")</f>
        <v/>
      </c>
      <c r="V3974" s="361"/>
      <c r="W3974" s="345"/>
      <c r="X3974" s="329" t="str">
        <f t="shared" si="344"/>
        <v>RT</v>
      </c>
      <c r="Y3974" s="1128" t="s">
        <v>3380</v>
      </c>
      <c r="Z3974" s="1128" t="s">
        <v>3381</v>
      </c>
      <c r="AA3974" s="1128" t="s">
        <v>3384</v>
      </c>
      <c r="AB3974" s="20"/>
      <c r="AC3974" s="73"/>
    </row>
    <row r="3975" spans="1:29" ht="25">
      <c r="A3975" s="327" t="str">
        <f>IF(AND($B3975&lt;&gt;"",$C3975&lt;&gt;""),MAX($A$1556:A3950)+1,"")</f>
        <v/>
      </c>
      <c r="B3975" s="361" t="s">
        <v>2843</v>
      </c>
      <c r="C3975" s="360"/>
      <c r="D3975" s="327">
        <f>IF($B3975="","",COUNTIF($B$6:$B3975,$B3975))</f>
        <v>9</v>
      </c>
      <c r="E3975" s="411">
        <v>630957</v>
      </c>
      <c r="F3975" s="432" t="s">
        <v>1386</v>
      </c>
      <c r="G3975" s="410" t="s">
        <v>156</v>
      </c>
      <c r="H3975" s="402"/>
      <c r="I3975" s="327">
        <v>1</v>
      </c>
      <c r="J3975" s="345"/>
      <c r="K3975" s="327"/>
      <c r="L3975" s="389">
        <f t="shared" si="343"/>
        <v>154911.6</v>
      </c>
      <c r="M3975" s="371"/>
      <c r="N3975" s="355" t="str">
        <f t="shared" si="345"/>
        <v>PK</v>
      </c>
      <c r="O3975" s="404" t="s">
        <v>1623</v>
      </c>
      <c r="P3975" s="392"/>
      <c r="Q3975" s="441">
        <v>6.66</v>
      </c>
      <c r="R3975" s="441"/>
      <c r="S3975" s="351"/>
      <c r="T3975" s="351"/>
      <c r="U3975" s="329" t="str">
        <f>IF($N3975=$N$4,IFERROR(INDEX(DanhMuc!$E$154:$E$165,MATCH(MID($B3975,4,2),DanhMuc!$B$154:$B$165,0)),""),"")</f>
        <v/>
      </c>
      <c r="V3975" s="361"/>
      <c r="W3975" s="345"/>
      <c r="X3975" s="329" t="str">
        <f t="shared" si="344"/>
        <v>RT</v>
      </c>
      <c r="Y3975" s="1128" t="s">
        <v>3380</v>
      </c>
      <c r="Z3975" s="1128" t="s">
        <v>3381</v>
      </c>
      <c r="AA3975" s="1128" t="s">
        <v>3384</v>
      </c>
      <c r="AB3975" s="20"/>
      <c r="AC3975" s="73"/>
    </row>
    <row r="3976" spans="1:29">
      <c r="A3976" s="327" t="str">
        <f>IF(AND($B3976&lt;&gt;"",$C3976&lt;&gt;""),MAX($A$1556:A3951)+1,"")</f>
        <v/>
      </c>
      <c r="B3976" s="361" t="s">
        <v>2843</v>
      </c>
      <c r="C3976" s="360"/>
      <c r="D3976" s="327">
        <f>IF($B3976="","",COUNTIF($B$6:$B3976,$B3976))</f>
        <v>10</v>
      </c>
      <c r="E3976" s="430">
        <v>633302</v>
      </c>
      <c r="F3976" s="431" t="s">
        <v>1388</v>
      </c>
      <c r="G3976" s="327" t="s">
        <v>156</v>
      </c>
      <c r="H3976" s="361"/>
      <c r="I3976" s="327">
        <v>1</v>
      </c>
      <c r="J3976" s="345"/>
      <c r="K3976" s="327"/>
      <c r="L3976" s="389">
        <f t="shared" si="343"/>
        <v>665236</v>
      </c>
      <c r="M3976" s="371"/>
      <c r="N3976" s="355" t="str">
        <f t="shared" si="345"/>
        <v>PK</v>
      </c>
      <c r="O3976" s="404" t="s">
        <v>1623</v>
      </c>
      <c r="P3976" s="392"/>
      <c r="Q3976" s="441">
        <v>28.6</v>
      </c>
      <c r="R3976" s="441"/>
      <c r="S3976" s="351"/>
      <c r="T3976" s="351"/>
      <c r="U3976" s="329" t="str">
        <f>IF($N3976=$N$4,IFERROR(INDEX(DanhMuc!$E$154:$E$165,MATCH(MID($B3976,4,2),DanhMuc!$B$154:$B$165,0)),""),"")</f>
        <v/>
      </c>
      <c r="V3976" s="361"/>
      <c r="W3976" s="345"/>
      <c r="X3976" s="329" t="str">
        <f t="shared" si="344"/>
        <v>RT</v>
      </c>
      <c r="Y3976" s="1128" t="s">
        <v>3380</v>
      </c>
      <c r="Z3976" s="1128" t="s">
        <v>3381</v>
      </c>
      <c r="AA3976" s="1128" t="s">
        <v>3384</v>
      </c>
      <c r="AB3976" s="20"/>
      <c r="AC3976" s="73"/>
    </row>
    <row r="3977" spans="1:29">
      <c r="A3977" s="327" t="str">
        <f>IF(AND($B3977&lt;&gt;"",$C3977&lt;&gt;""),MAX($A$1556:A3952)+1,"")</f>
        <v/>
      </c>
      <c r="B3977" s="361" t="s">
        <v>2843</v>
      </c>
      <c r="C3977" s="360"/>
      <c r="D3977" s="327">
        <f>IF($B3977="","",COUNTIF($B$6:$B3977,$B3977))</f>
        <v>11</v>
      </c>
      <c r="E3977" s="430">
        <v>641810</v>
      </c>
      <c r="F3977" s="431" t="s">
        <v>1389</v>
      </c>
      <c r="G3977" s="327" t="s">
        <v>156</v>
      </c>
      <c r="H3977" s="361"/>
      <c r="I3977" s="327">
        <v>1</v>
      </c>
      <c r="J3977" s="345"/>
      <c r="K3977" s="327"/>
      <c r="L3977" s="389">
        <f t="shared" si="343"/>
        <v>71640.800000000003</v>
      </c>
      <c r="M3977" s="371"/>
      <c r="N3977" s="355" t="str">
        <f t="shared" si="345"/>
        <v>PK</v>
      </c>
      <c r="O3977" s="345"/>
      <c r="P3977" s="392"/>
      <c r="Q3977" s="441">
        <v>3.08</v>
      </c>
      <c r="R3977" s="441"/>
      <c r="S3977" s="351"/>
      <c r="T3977" s="351"/>
      <c r="U3977" s="329" t="str">
        <f>IF($N3977=$N$4,IFERROR(INDEX(DanhMuc!$E$154:$E$165,MATCH(MID($B3977,4,2),DanhMuc!$B$154:$B$165,0)),""),"")</f>
        <v/>
      </c>
      <c r="V3977" s="361"/>
      <c r="W3977" s="345"/>
      <c r="X3977" s="329" t="str">
        <f t="shared" si="344"/>
        <v>RT</v>
      </c>
      <c r="Y3977" s="1128" t="s">
        <v>3380</v>
      </c>
      <c r="Z3977" s="1128" t="s">
        <v>3381</v>
      </c>
      <c r="AA3977" s="1128" t="s">
        <v>3384</v>
      </c>
      <c r="AB3977" s="20"/>
      <c r="AC3977" s="73"/>
    </row>
    <row r="3978" spans="1:29">
      <c r="A3978" s="327" t="str">
        <f>IF(AND($B3978&lt;&gt;"",$C3978&lt;&gt;""),MAX($A$1556:A3953)+1,"")</f>
        <v/>
      </c>
      <c r="B3978" s="361" t="s">
        <v>2843</v>
      </c>
      <c r="C3978" s="360"/>
      <c r="D3978" s="327">
        <f>IF($B3978="","",COUNTIF($B$6:$B3978,$B3978))</f>
        <v>12</v>
      </c>
      <c r="E3978" s="430">
        <v>349187</v>
      </c>
      <c r="F3978" s="362" t="s">
        <v>1390</v>
      </c>
      <c r="G3978" s="327" t="s">
        <v>155</v>
      </c>
      <c r="H3978" s="361"/>
      <c r="I3978" s="327">
        <v>2</v>
      </c>
      <c r="J3978" s="345"/>
      <c r="K3978" s="327"/>
      <c r="L3978" s="389">
        <f t="shared" si="343"/>
        <v>145840.19999999998</v>
      </c>
      <c r="M3978" s="371"/>
      <c r="N3978" s="355" t="str">
        <f t="shared" si="345"/>
        <v>PK</v>
      </c>
      <c r="O3978" s="345"/>
      <c r="P3978" s="392"/>
      <c r="Q3978" s="441">
        <v>6.27</v>
      </c>
      <c r="R3978" s="441"/>
      <c r="S3978" s="351"/>
      <c r="T3978" s="351"/>
      <c r="U3978" s="329" t="str">
        <f>IF($N3978=$N$4,IFERROR(INDEX(DanhMuc!$E$154:$E$165,MATCH(MID($B3978,4,2),DanhMuc!$B$154:$B$165,0)),""),"")</f>
        <v/>
      </c>
      <c r="V3978" s="361"/>
      <c r="W3978" s="345"/>
      <c r="X3978" s="329" t="str">
        <f t="shared" si="344"/>
        <v>RT</v>
      </c>
      <c r="Y3978" s="1128" t="s">
        <v>3380</v>
      </c>
      <c r="Z3978" s="1128" t="s">
        <v>3381</v>
      </c>
      <c r="AA3978" s="1128" t="s">
        <v>3384</v>
      </c>
      <c r="AB3978" s="20"/>
      <c r="AC3978" s="73"/>
    </row>
    <row r="3979" spans="1:29">
      <c r="A3979" s="327" t="str">
        <f>IF(AND($B3979&lt;&gt;"",$C3979&lt;&gt;""),MAX($A$1556:A3954)+1,"")</f>
        <v/>
      </c>
      <c r="B3979" s="361" t="s">
        <v>2843</v>
      </c>
      <c r="C3979" s="360"/>
      <c r="D3979" s="327">
        <f>IF($B3979="","",COUNTIF($B$6:$B3979,$B3979))</f>
        <v>13</v>
      </c>
      <c r="E3979" s="430">
        <v>260434</v>
      </c>
      <c r="F3979" s="431" t="s">
        <v>1391</v>
      </c>
      <c r="G3979" s="327" t="s">
        <v>155</v>
      </c>
      <c r="H3979" s="361"/>
      <c r="I3979" s="327">
        <v>1</v>
      </c>
      <c r="J3979" s="345"/>
      <c r="K3979" s="327"/>
      <c r="L3979" s="389">
        <f t="shared" si="343"/>
        <v>31168.400000000001</v>
      </c>
      <c r="M3979" s="371"/>
      <c r="N3979" s="355" t="str">
        <f t="shared" si="345"/>
        <v>PK</v>
      </c>
      <c r="O3979" s="345"/>
      <c r="P3979" s="392"/>
      <c r="Q3979" s="441">
        <v>1.34</v>
      </c>
      <c r="R3979" s="441"/>
      <c r="S3979" s="351"/>
      <c r="T3979" s="351"/>
      <c r="U3979" s="329" t="str">
        <f>IF($N3979=$N$4,IFERROR(INDEX(DanhMuc!$E$154:$E$165,MATCH(MID($B3979,4,2),DanhMuc!$B$154:$B$165,0)),""),"")</f>
        <v/>
      </c>
      <c r="V3979" s="361"/>
      <c r="W3979" s="345"/>
      <c r="X3979" s="329" t="str">
        <f t="shared" si="344"/>
        <v>RT</v>
      </c>
      <c r="Y3979" s="1128" t="s">
        <v>3380</v>
      </c>
      <c r="Z3979" s="1128" t="s">
        <v>3381</v>
      </c>
      <c r="AA3979" s="1128" t="s">
        <v>3384</v>
      </c>
      <c r="AB3979" s="20"/>
      <c r="AC3979" s="73"/>
    </row>
    <row r="3980" spans="1:29">
      <c r="A3980" s="327" t="str">
        <f>IF(AND($B3980&lt;&gt;"",$C3980&lt;&gt;""),MAX($A$1556:A3955)+1,"")</f>
        <v/>
      </c>
      <c r="B3980" s="361" t="s">
        <v>2843</v>
      </c>
      <c r="C3980" s="360"/>
      <c r="D3980" s="327">
        <f>IF($B3980="","",COUNTIF($B$6:$B3980,$B3980))</f>
        <v>14</v>
      </c>
      <c r="E3980" s="430">
        <v>339395</v>
      </c>
      <c r="F3980" s="431" t="s">
        <v>1392</v>
      </c>
      <c r="G3980" s="351" t="s">
        <v>155</v>
      </c>
      <c r="H3980" s="361"/>
      <c r="I3980" s="327">
        <v>4</v>
      </c>
      <c r="J3980" s="345"/>
      <c r="K3980" s="327"/>
      <c r="L3980" s="389">
        <f t="shared" si="343"/>
        <v>37216</v>
      </c>
      <c r="M3980" s="371"/>
      <c r="N3980" s="355" t="str">
        <f t="shared" si="345"/>
        <v>PK</v>
      </c>
      <c r="O3980" s="404" t="s">
        <v>1623</v>
      </c>
      <c r="P3980" s="392"/>
      <c r="Q3980" s="441">
        <v>1.6</v>
      </c>
      <c r="R3980" s="441"/>
      <c r="S3980" s="351"/>
      <c r="T3980" s="351"/>
      <c r="U3980" s="329" t="str">
        <f>IF($N3980=$N$4,IFERROR(INDEX(DanhMuc!$E$154:$E$165,MATCH(MID($B3980,4,2),DanhMuc!$B$154:$B$165,0)),""),"")</f>
        <v/>
      </c>
      <c r="V3980" s="361"/>
      <c r="W3980" s="345"/>
      <c r="X3980" s="329" t="str">
        <f t="shared" si="344"/>
        <v>RT</v>
      </c>
      <c r="Y3980" s="1128" t="s">
        <v>3380</v>
      </c>
      <c r="Z3980" s="1128" t="s">
        <v>3381</v>
      </c>
      <c r="AA3980" s="1128" t="s">
        <v>3384</v>
      </c>
      <c r="AB3980" s="20"/>
      <c r="AC3980" s="73"/>
    </row>
    <row r="3981" spans="1:29">
      <c r="A3981" s="327" t="str">
        <f>IF(AND($B3981&lt;&gt;"",$C3981&lt;&gt;""),MAX($A$1556:A3956)+1,"")</f>
        <v/>
      </c>
      <c r="B3981" s="361" t="s">
        <v>2843</v>
      </c>
      <c r="C3981" s="360"/>
      <c r="D3981" s="327">
        <f>IF($B3981="","",COUNTIF($B$6:$B3981,$B3981))</f>
        <v>15</v>
      </c>
      <c r="E3981" s="430">
        <v>229107</v>
      </c>
      <c r="F3981" s="431" t="s">
        <v>1456</v>
      </c>
      <c r="G3981" s="351" t="s">
        <v>155</v>
      </c>
      <c r="H3981" s="361"/>
      <c r="I3981" s="327">
        <v>1</v>
      </c>
      <c r="J3981" s="345"/>
      <c r="K3981" s="327"/>
      <c r="L3981" s="389">
        <v>23600</v>
      </c>
      <c r="M3981" s="371"/>
      <c r="N3981" s="355" t="str">
        <f t="shared" si="345"/>
        <v>PK</v>
      </c>
      <c r="O3981" s="345"/>
      <c r="P3981" s="392"/>
      <c r="Q3981" s="441"/>
      <c r="R3981" s="441"/>
      <c r="S3981" s="351"/>
      <c r="T3981" s="351"/>
      <c r="U3981" s="329" t="str">
        <f>IF($N3981=$N$4,IFERROR(INDEX(DanhMuc!$E$154:$E$165,MATCH(MID($B3981,4,2),DanhMuc!$B$154:$B$165,0)),""),"")</f>
        <v/>
      </c>
      <c r="V3981" s="361"/>
      <c r="W3981" s="345"/>
      <c r="X3981" s="329" t="str">
        <f t="shared" si="344"/>
        <v>RT</v>
      </c>
      <c r="Y3981" s="1128" t="s">
        <v>3380</v>
      </c>
      <c r="Z3981" s="1128" t="s">
        <v>3381</v>
      </c>
      <c r="AA3981" s="1128" t="s">
        <v>3384</v>
      </c>
      <c r="AB3981" s="20"/>
      <c r="AC3981" s="73"/>
    </row>
    <row r="3982" spans="1:29">
      <c r="A3982" s="327" t="str">
        <f>IF(AND($B3982&lt;&gt;"",$C3982&lt;&gt;""),MAX($A$1556:A3957)+1,"")</f>
        <v/>
      </c>
      <c r="B3982" s="361" t="s">
        <v>2843</v>
      </c>
      <c r="C3982" s="360"/>
      <c r="D3982" s="327">
        <f>IF($B3982="","",COUNTIF($B$6:$B3982,$B3982))</f>
        <v>16</v>
      </c>
      <c r="E3982" s="430">
        <v>229117</v>
      </c>
      <c r="F3982" s="431" t="s">
        <v>1457</v>
      </c>
      <c r="G3982" s="351" t="s">
        <v>155</v>
      </c>
      <c r="H3982" s="361"/>
      <c r="I3982" s="327">
        <v>1</v>
      </c>
      <c r="J3982" s="345"/>
      <c r="K3982" s="327"/>
      <c r="L3982" s="389">
        <v>23600</v>
      </c>
      <c r="M3982" s="371"/>
      <c r="N3982" s="355" t="str">
        <f t="shared" si="345"/>
        <v>PK</v>
      </c>
      <c r="O3982" s="345"/>
      <c r="P3982" s="392"/>
      <c r="Q3982" s="441"/>
      <c r="R3982" s="441"/>
      <c r="S3982" s="351"/>
      <c r="T3982" s="351"/>
      <c r="U3982" s="329" t="str">
        <f>IF($N3982=$N$4,IFERROR(INDEX(DanhMuc!$E$154:$E$165,MATCH(MID($B3982,4,2),DanhMuc!$B$154:$B$165,0)),""),"")</f>
        <v/>
      </c>
      <c r="V3982" s="361"/>
      <c r="W3982" s="345"/>
      <c r="X3982" s="329" t="str">
        <f t="shared" si="344"/>
        <v>RT</v>
      </c>
      <c r="Y3982" s="1128" t="s">
        <v>3380</v>
      </c>
      <c r="Z3982" s="1128" t="s">
        <v>3381</v>
      </c>
      <c r="AA3982" s="1128" t="s">
        <v>3384</v>
      </c>
      <c r="AB3982" s="20"/>
      <c r="AC3982" s="73"/>
    </row>
    <row r="3983" spans="1:29" ht="26">
      <c r="A3983" s="327">
        <f>IF(AND($B3983&lt;&gt;"",$C3983&lt;&gt;""),MAX($A$1556:A3958)+1,"")</f>
        <v>189</v>
      </c>
      <c r="B3983" s="359" t="s">
        <v>2844</v>
      </c>
      <c r="C3983" s="370" t="s">
        <v>1957</v>
      </c>
      <c r="D3983" s="327">
        <f>IF($B3983="","",COUNTIF($B$6:$B3983,$B3983))</f>
        <v>1</v>
      </c>
      <c r="E3983" s="430">
        <v>630963</v>
      </c>
      <c r="F3983" s="362" t="s">
        <v>1376</v>
      </c>
      <c r="G3983" s="327" t="s">
        <v>344</v>
      </c>
      <c r="H3983" s="361"/>
      <c r="I3983" s="327">
        <v>1</v>
      </c>
      <c r="J3983" s="361"/>
      <c r="K3983" s="327"/>
      <c r="L3983" s="389">
        <f t="shared" si="343"/>
        <v>866202.4</v>
      </c>
      <c r="M3983" s="371"/>
      <c r="N3983" s="355" t="str">
        <f t="shared" si="345"/>
        <v>PK</v>
      </c>
      <c r="O3983" s="404" t="s">
        <v>1623</v>
      </c>
      <c r="P3983" s="392"/>
      <c r="Q3983" s="441">
        <v>37.24</v>
      </c>
      <c r="R3983" s="441"/>
      <c r="S3983" s="351"/>
      <c r="T3983" s="351"/>
      <c r="U3983" s="329" t="str">
        <f>IF($N3983=$N$4,IFERROR(INDEX(DanhMuc!$E$154:$E$165,MATCH(MID($B3983,4,2),DanhMuc!$B$154:$B$165,0)),""),"")</f>
        <v/>
      </c>
      <c r="V3983" s="361"/>
      <c r="W3983" s="345"/>
      <c r="X3983" s="329" t="str">
        <f t="shared" si="344"/>
        <v>RT</v>
      </c>
      <c r="Y3983" s="1128" t="s">
        <v>3380</v>
      </c>
      <c r="Z3983" s="1128" t="s">
        <v>3381</v>
      </c>
      <c r="AA3983" s="1128" t="s">
        <v>3384</v>
      </c>
      <c r="AB3983" s="20"/>
      <c r="AC3983" s="73"/>
    </row>
    <row r="3984" spans="1:29">
      <c r="A3984" s="327" t="str">
        <f>IF(AND($B3984&lt;&gt;"",$C3984&lt;&gt;""),MAX($A$1556:A3959)+1,"")</f>
        <v/>
      </c>
      <c r="B3984" s="361" t="s">
        <v>2844</v>
      </c>
      <c r="C3984" s="360"/>
      <c r="D3984" s="327">
        <f>IF($B3984="","",COUNTIF($B$6:$B3984,$B3984))</f>
        <v>2</v>
      </c>
      <c r="E3984" s="430">
        <v>449873</v>
      </c>
      <c r="F3984" s="362" t="s">
        <v>1377</v>
      </c>
      <c r="G3984" s="327" t="s">
        <v>344</v>
      </c>
      <c r="H3984" s="361"/>
      <c r="I3984" s="327">
        <v>1</v>
      </c>
      <c r="J3984" s="361"/>
      <c r="K3984" s="327"/>
      <c r="L3984" s="389">
        <f t="shared" si="343"/>
        <v>494972.80000000005</v>
      </c>
      <c r="M3984" s="371"/>
      <c r="N3984" s="355" t="str">
        <f t="shared" si="345"/>
        <v>PK</v>
      </c>
      <c r="O3984" s="404" t="s">
        <v>1626</v>
      </c>
      <c r="P3984" s="392"/>
      <c r="Q3984" s="441">
        <v>21.28</v>
      </c>
      <c r="R3984" s="441"/>
      <c r="S3984" s="351"/>
      <c r="T3984" s="351"/>
      <c r="U3984" s="329" t="str">
        <f>IF($N3984=$N$4,IFERROR(INDEX(DanhMuc!$E$154:$E$165,MATCH(MID($B3984,4,2),DanhMuc!$B$154:$B$165,0)),""),"")</f>
        <v/>
      </c>
      <c r="V3984" s="361"/>
      <c r="W3984" s="345"/>
      <c r="X3984" s="329" t="str">
        <f t="shared" si="344"/>
        <v>RT</v>
      </c>
      <c r="Y3984" s="1128" t="s">
        <v>3380</v>
      </c>
      <c r="Z3984" s="1128" t="s">
        <v>3381</v>
      </c>
      <c r="AA3984" s="1128" t="s">
        <v>3384</v>
      </c>
      <c r="AB3984" s="20"/>
      <c r="AC3984" s="73"/>
    </row>
    <row r="3985" spans="1:29">
      <c r="A3985" s="327" t="str">
        <f>IF(AND($B3985&lt;&gt;"",$C3985&lt;&gt;""),MAX($A$1556:A3960)+1,"")</f>
        <v/>
      </c>
      <c r="B3985" s="361" t="s">
        <v>2844</v>
      </c>
      <c r="C3985" s="360"/>
      <c r="D3985" s="327">
        <f>IF($B3985="","",COUNTIF($B$6:$B3985,$B3985))</f>
        <v>3</v>
      </c>
      <c r="E3985" s="361">
        <v>570669</v>
      </c>
      <c r="F3985" s="362" t="s">
        <v>1378</v>
      </c>
      <c r="G3985" s="327" t="s">
        <v>344</v>
      </c>
      <c r="H3985" s="361"/>
      <c r="I3985" s="327">
        <v>1</v>
      </c>
      <c r="J3985" s="345"/>
      <c r="K3985" s="327"/>
      <c r="L3985" s="389">
        <f t="shared" si="343"/>
        <v>525908.6</v>
      </c>
      <c r="M3985" s="371"/>
      <c r="N3985" s="355" t="str">
        <f t="shared" si="345"/>
        <v>PK</v>
      </c>
      <c r="O3985" s="345"/>
      <c r="P3985" s="392"/>
      <c r="Q3985" s="441">
        <v>22.61</v>
      </c>
      <c r="R3985" s="441"/>
      <c r="S3985" s="351"/>
      <c r="T3985" s="351"/>
      <c r="U3985" s="329" t="str">
        <f>IF($N3985=$N$4,IFERROR(INDEX(DanhMuc!$E$154:$E$165,MATCH(MID($B3985,4,2),DanhMuc!$B$154:$B$165,0)),""),"")</f>
        <v/>
      </c>
      <c r="V3985" s="361"/>
      <c r="W3985" s="345"/>
      <c r="X3985" s="329" t="str">
        <f t="shared" si="344"/>
        <v>RT</v>
      </c>
      <c r="Y3985" s="1128" t="s">
        <v>3380</v>
      </c>
      <c r="Z3985" s="1128" t="s">
        <v>3381</v>
      </c>
      <c r="AA3985" s="1128" t="s">
        <v>3384</v>
      </c>
      <c r="AB3985" s="20"/>
      <c r="AC3985" s="73"/>
    </row>
    <row r="3986" spans="1:29">
      <c r="A3986" s="327" t="str">
        <f>IF(AND($B3986&lt;&gt;"",$C3986&lt;&gt;""),MAX($A$1556:A3961)+1,"")</f>
        <v/>
      </c>
      <c r="B3986" s="361" t="s">
        <v>2844</v>
      </c>
      <c r="C3986" s="360"/>
      <c r="D3986" s="327">
        <f>IF($B3986="","",COUNTIF($B$6:$B3986,$B3986))</f>
        <v>4</v>
      </c>
      <c r="E3986" s="361">
        <v>775376</v>
      </c>
      <c r="F3986" s="362" t="s">
        <v>1379</v>
      </c>
      <c r="G3986" s="327" t="s">
        <v>155</v>
      </c>
      <c r="H3986" s="361"/>
      <c r="I3986" s="327">
        <v>1</v>
      </c>
      <c r="J3986" s="345"/>
      <c r="K3986" s="327"/>
      <c r="L3986" s="389">
        <f t="shared" si="343"/>
        <v>247486.40000000002</v>
      </c>
      <c r="M3986" s="371"/>
      <c r="N3986" s="355" t="str">
        <f t="shared" si="345"/>
        <v>PK</v>
      </c>
      <c r="O3986" s="345" t="s">
        <v>1060</v>
      </c>
      <c r="P3986" s="392"/>
      <c r="Q3986" s="441">
        <v>10.64</v>
      </c>
      <c r="R3986" s="441"/>
      <c r="S3986" s="351"/>
      <c r="T3986" s="351"/>
      <c r="U3986" s="329" t="str">
        <f>IF($N3986=$N$4,IFERROR(INDEX(DanhMuc!$E$154:$E$165,MATCH(MID($B3986,4,2),DanhMuc!$B$154:$B$165,0)),""),"")</f>
        <v/>
      </c>
      <c r="V3986" s="361"/>
      <c r="W3986" s="345"/>
      <c r="X3986" s="329" t="str">
        <f t="shared" si="344"/>
        <v>RT</v>
      </c>
      <c r="Y3986" s="1128" t="s">
        <v>3380</v>
      </c>
      <c r="Z3986" s="1128" t="s">
        <v>3381</v>
      </c>
      <c r="AA3986" s="1128" t="s">
        <v>3384</v>
      </c>
      <c r="AB3986" s="20"/>
      <c r="AC3986" s="73"/>
    </row>
    <row r="3987" spans="1:29">
      <c r="A3987" s="327" t="str">
        <f>IF(AND($B3987&lt;&gt;"",$C3987&lt;&gt;""),MAX($A$1556:A3962)+1,"")</f>
        <v/>
      </c>
      <c r="B3987" s="361" t="s">
        <v>2844</v>
      </c>
      <c r="C3987" s="360"/>
      <c r="D3987" s="327">
        <f>IF($B3987="","",COUNTIF($B$6:$B3987,$B3987))</f>
        <v>5</v>
      </c>
      <c r="E3987" s="361">
        <v>775375</v>
      </c>
      <c r="F3987" s="362" t="s">
        <v>1380</v>
      </c>
      <c r="G3987" s="327" t="s">
        <v>155</v>
      </c>
      <c r="H3987" s="361"/>
      <c r="I3987" s="327">
        <v>1</v>
      </c>
      <c r="J3987" s="345"/>
      <c r="K3987" s="327"/>
      <c r="L3987" s="389">
        <f t="shared" si="343"/>
        <v>433101.2</v>
      </c>
      <c r="M3987" s="371"/>
      <c r="N3987" s="355" t="str">
        <f t="shared" si="345"/>
        <v>PK</v>
      </c>
      <c r="O3987" s="345" t="s">
        <v>2699</v>
      </c>
      <c r="P3987" s="392"/>
      <c r="Q3987" s="441">
        <v>18.62</v>
      </c>
      <c r="R3987" s="441"/>
      <c r="S3987" s="351"/>
      <c r="T3987" s="351"/>
      <c r="U3987" s="329" t="str">
        <f>IF($N3987=$N$4,IFERROR(INDEX(DanhMuc!$E$154:$E$165,MATCH(MID($B3987,4,2),DanhMuc!$B$154:$B$165,0)),""),"")</f>
        <v/>
      </c>
      <c r="V3987" s="361"/>
      <c r="W3987" s="345"/>
      <c r="X3987" s="329" t="str">
        <f t="shared" si="344"/>
        <v>RT</v>
      </c>
      <c r="Y3987" s="1128" t="s">
        <v>3380</v>
      </c>
      <c r="Z3987" s="1128" t="s">
        <v>3381</v>
      </c>
      <c r="AA3987" s="1128" t="s">
        <v>3384</v>
      </c>
      <c r="AB3987" s="20"/>
      <c r="AC3987" s="73"/>
    </row>
    <row r="3988" spans="1:29" ht="25">
      <c r="A3988" s="327" t="str">
        <f>IF(AND($B3988&lt;&gt;"",$C3988&lt;&gt;""),MAX($A$1556:A3963)+1,"")</f>
        <v/>
      </c>
      <c r="B3988" s="361" t="s">
        <v>2844</v>
      </c>
      <c r="C3988" s="360"/>
      <c r="D3988" s="327">
        <f>IF($B3988="","",COUNTIF($B$6:$B3988,$B3988))</f>
        <v>6</v>
      </c>
      <c r="E3988" s="605">
        <v>733375</v>
      </c>
      <c r="F3988" s="362" t="s">
        <v>1393</v>
      </c>
      <c r="G3988" s="327" t="s">
        <v>155</v>
      </c>
      <c r="H3988" s="327"/>
      <c r="I3988" s="327">
        <v>0</v>
      </c>
      <c r="J3988" s="345"/>
      <c r="K3988" s="327"/>
      <c r="L3988" s="389">
        <f>+$L$3808*$Q3988/3</f>
        <v>278422.2</v>
      </c>
      <c r="M3988" s="371"/>
      <c r="N3988" s="355" t="str">
        <f t="shared" si="345"/>
        <v>PK</v>
      </c>
      <c r="O3988" s="345"/>
      <c r="P3988" s="392"/>
      <c r="Q3988" s="441">
        <v>35.909999999999997</v>
      </c>
      <c r="R3988" s="441"/>
      <c r="S3988" s="351"/>
      <c r="T3988" s="351"/>
      <c r="U3988" s="329" t="str">
        <f>IF($N3988=$N$4,IFERROR(INDEX(DanhMuc!$E$154:$E$165,MATCH(MID($B3988,4,2),DanhMuc!$B$154:$B$165,0)),""),"")</f>
        <v/>
      </c>
      <c r="V3988" s="361"/>
      <c r="W3988" s="345"/>
      <c r="X3988" s="329" t="str">
        <f t="shared" si="344"/>
        <v>RT</v>
      </c>
      <c r="Y3988" s="1128" t="s">
        <v>3380</v>
      </c>
      <c r="Z3988" s="1128" t="s">
        <v>3381</v>
      </c>
      <c r="AA3988" s="1128" t="s">
        <v>3384</v>
      </c>
      <c r="AB3988" s="20"/>
      <c r="AC3988" s="73"/>
    </row>
    <row r="3989" spans="1:29" ht="25">
      <c r="A3989" s="327" t="str">
        <f>IF(AND($B3989&lt;&gt;"",$C3989&lt;&gt;""),MAX($A$1556:A3964)+1,"")</f>
        <v/>
      </c>
      <c r="B3989" s="361" t="s">
        <v>2844</v>
      </c>
      <c r="C3989" s="360"/>
      <c r="D3989" s="327">
        <f>IF($B3989="","",COUNTIF($B$6:$B3989,$B3989))</f>
        <v>7</v>
      </c>
      <c r="E3989" s="361">
        <v>734365</v>
      </c>
      <c r="F3989" s="362" t="s">
        <v>1394</v>
      </c>
      <c r="G3989" s="327" t="s">
        <v>155</v>
      </c>
      <c r="H3989" s="327"/>
      <c r="I3989" s="327">
        <v>4</v>
      </c>
      <c r="J3989" s="345"/>
      <c r="K3989" s="327"/>
      <c r="L3989" s="389">
        <f>+$L$3808*$Q3989/3</f>
        <v>397048.2</v>
      </c>
      <c r="M3989" s="371"/>
      <c r="N3989" s="355" t="str">
        <f t="shared" si="345"/>
        <v>PK</v>
      </c>
      <c r="O3989" s="345"/>
      <c r="P3989" s="392"/>
      <c r="Q3989" s="441">
        <v>51.21</v>
      </c>
      <c r="R3989" s="441"/>
      <c r="S3989" s="351"/>
      <c r="T3989" s="351"/>
      <c r="U3989" s="329" t="str">
        <f>IF($N3989=$N$4,IFERROR(INDEX(DanhMuc!$E$154:$E$165,MATCH(MID($B3989,4,2),DanhMuc!$B$154:$B$165,0)),""),"")</f>
        <v/>
      </c>
      <c r="V3989" s="361"/>
      <c r="W3989" s="345"/>
      <c r="X3989" s="329" t="str">
        <f t="shared" si="344"/>
        <v>RT</v>
      </c>
      <c r="Y3989" s="1128" t="s">
        <v>3380</v>
      </c>
      <c r="Z3989" s="1128" t="s">
        <v>3381</v>
      </c>
      <c r="AA3989" s="1128" t="s">
        <v>3384</v>
      </c>
      <c r="AB3989" s="20"/>
      <c r="AC3989" s="73"/>
    </row>
    <row r="3990" spans="1:29" ht="25">
      <c r="A3990" s="327" t="str">
        <f>IF(AND($B3990&lt;&gt;"",$C3990&lt;&gt;""),MAX($A$1556:A3965)+1,"")</f>
        <v/>
      </c>
      <c r="B3990" s="361" t="s">
        <v>2844</v>
      </c>
      <c r="C3990" s="360"/>
      <c r="D3990" s="327">
        <f>IF($B3990="","",COUNTIF($B$6:$B3990,$B3990))</f>
        <v>8</v>
      </c>
      <c r="E3990" s="605">
        <v>733369</v>
      </c>
      <c r="F3990" s="362" t="s">
        <v>1395</v>
      </c>
      <c r="G3990" s="327" t="s">
        <v>155</v>
      </c>
      <c r="H3990" s="327"/>
      <c r="I3990" s="327">
        <v>4</v>
      </c>
      <c r="J3990" s="345"/>
      <c r="K3990" s="327"/>
      <c r="L3990" s="389">
        <f>+$L$3808*$Q3990/3</f>
        <v>188793.66666666666</v>
      </c>
      <c r="M3990" s="371"/>
      <c r="N3990" s="355" t="str">
        <f t="shared" si="345"/>
        <v>PK</v>
      </c>
      <c r="O3990" s="345"/>
      <c r="P3990" s="392"/>
      <c r="Q3990" s="441">
        <v>24.35</v>
      </c>
      <c r="R3990" s="441"/>
      <c r="S3990" s="351"/>
      <c r="T3990" s="351"/>
      <c r="U3990" s="329" t="str">
        <f>IF($N3990=$N$4,IFERROR(INDEX(DanhMuc!$E$154:$E$165,MATCH(MID($B3990,4,2),DanhMuc!$B$154:$B$165,0)),""),"")</f>
        <v/>
      </c>
      <c r="V3990" s="361"/>
      <c r="W3990" s="345"/>
      <c r="X3990" s="329" t="str">
        <f t="shared" si="344"/>
        <v>RT</v>
      </c>
      <c r="Y3990" s="1128" t="s">
        <v>3380</v>
      </c>
      <c r="Z3990" s="1128" t="s">
        <v>3381</v>
      </c>
      <c r="AA3990" s="1128" t="s">
        <v>3384</v>
      </c>
      <c r="AB3990" s="20"/>
      <c r="AC3990" s="73"/>
    </row>
    <row r="3991" spans="1:29">
      <c r="A3991" s="327" t="str">
        <f>IF(AND($B3991&lt;&gt;"",$C3991&lt;&gt;""),MAX($A$1556:A3966)+1,"")</f>
        <v/>
      </c>
      <c r="B3991" s="361" t="s">
        <v>2844</v>
      </c>
      <c r="C3991" s="360"/>
      <c r="D3991" s="327">
        <f>IF($B3991="","",COUNTIF($B$6:$B3991,$B3991))</f>
        <v>9</v>
      </c>
      <c r="E3991" s="605">
        <v>733492</v>
      </c>
      <c r="F3991" s="362" t="s">
        <v>1514</v>
      </c>
      <c r="G3991" s="327" t="s">
        <v>155</v>
      </c>
      <c r="H3991" s="327"/>
      <c r="I3991" s="327">
        <v>4</v>
      </c>
      <c r="J3991" s="345"/>
      <c r="K3991" s="327"/>
      <c r="L3991" s="389">
        <f>+$L$3808*$Q3991/3</f>
        <v>309358</v>
      </c>
      <c r="M3991" s="371"/>
      <c r="N3991" s="355" t="str">
        <f t="shared" si="345"/>
        <v>PK</v>
      </c>
      <c r="O3991" s="345"/>
      <c r="P3991" s="392"/>
      <c r="Q3991" s="441">
        <v>39.9</v>
      </c>
      <c r="R3991" s="441"/>
      <c r="S3991" s="351"/>
      <c r="T3991" s="351"/>
      <c r="U3991" s="329" t="str">
        <f>IF($N3991=$N$4,IFERROR(INDEX(DanhMuc!$E$154:$E$165,MATCH(MID($B3991,4,2),DanhMuc!$B$154:$B$165,0)),""),"")</f>
        <v/>
      </c>
      <c r="V3991" s="361"/>
      <c r="W3991" s="345"/>
      <c r="X3991" s="329" t="str">
        <f t="shared" si="344"/>
        <v>RT</v>
      </c>
      <c r="Y3991" s="1128" t="s">
        <v>3380</v>
      </c>
      <c r="Z3991" s="1128" t="s">
        <v>3381</v>
      </c>
      <c r="AA3991" s="1128" t="s">
        <v>3384</v>
      </c>
      <c r="AB3991" s="20"/>
      <c r="AC3991" s="73"/>
    </row>
    <row r="3992" spans="1:29" ht="25">
      <c r="A3992" s="327" t="str">
        <f>IF(AND($B3992&lt;&gt;"",$C3992&lt;&gt;""),MAX($A$1556:A3967)+1,"")</f>
        <v/>
      </c>
      <c r="B3992" s="361" t="s">
        <v>2844</v>
      </c>
      <c r="C3992" s="360"/>
      <c r="D3992" s="327">
        <f>IF($B3992="","",COUNTIF($B$6:$B3992,$B3992))</f>
        <v>10</v>
      </c>
      <c r="E3992" s="605">
        <v>312831</v>
      </c>
      <c r="F3992" s="362" t="s">
        <v>1515</v>
      </c>
      <c r="G3992" s="327" t="s">
        <v>155</v>
      </c>
      <c r="H3992" s="327"/>
      <c r="I3992" s="327">
        <v>0</v>
      </c>
      <c r="J3992" s="345"/>
      <c r="K3992" s="327"/>
      <c r="L3992" s="389">
        <f>+$L$3808*$Q3992/3</f>
        <v>15584.199999999999</v>
      </c>
      <c r="M3992" s="371"/>
      <c r="N3992" s="355" t="str">
        <f t="shared" si="345"/>
        <v>PK</v>
      </c>
      <c r="O3992" s="345"/>
      <c r="P3992" s="392"/>
      <c r="Q3992" s="441">
        <v>2.0099999999999998</v>
      </c>
      <c r="R3992" s="441"/>
      <c r="S3992" s="351"/>
      <c r="T3992" s="351"/>
      <c r="U3992" s="329" t="str">
        <f>IF($N3992=$N$4,IFERROR(INDEX(DanhMuc!$E$154:$E$165,MATCH(MID($B3992,4,2),DanhMuc!$B$154:$B$165,0)),""),"")</f>
        <v/>
      </c>
      <c r="V3992" s="361"/>
      <c r="W3992" s="345"/>
      <c r="X3992" s="329" t="str">
        <f t="shared" si="344"/>
        <v>RT</v>
      </c>
      <c r="Y3992" s="1128" t="s">
        <v>3380</v>
      </c>
      <c r="Z3992" s="1128" t="s">
        <v>3381</v>
      </c>
      <c r="AA3992" s="1128" t="s">
        <v>3384</v>
      </c>
      <c r="AB3992" s="20"/>
      <c r="AC3992" s="73"/>
    </row>
    <row r="3993" spans="1:29">
      <c r="A3993" s="327" t="str">
        <f>IF(AND($B3993&lt;&gt;"",$C3993&lt;&gt;""),MAX($A$1556:A3968)+1,"")</f>
        <v/>
      </c>
      <c r="B3993" s="361" t="s">
        <v>2844</v>
      </c>
      <c r="C3993" s="360"/>
      <c r="D3993" s="327">
        <f>IF($B3993="","",COUNTIF($B$6:$B3993,$B3993))</f>
        <v>11</v>
      </c>
      <c r="E3993" s="361">
        <v>492575</v>
      </c>
      <c r="F3993" s="431" t="s">
        <v>1382</v>
      </c>
      <c r="G3993" s="327" t="s">
        <v>155</v>
      </c>
      <c r="H3993" s="361"/>
      <c r="I3993" s="327">
        <v>8</v>
      </c>
      <c r="J3993" s="345"/>
      <c r="K3993" s="327"/>
      <c r="L3993" s="389">
        <f t="shared" si="343"/>
        <v>510557</v>
      </c>
      <c r="M3993" s="371"/>
      <c r="N3993" s="355" t="str">
        <f t="shared" si="345"/>
        <v>PK</v>
      </c>
      <c r="O3993" s="345"/>
      <c r="P3993" s="392"/>
      <c r="Q3993" s="441">
        <v>21.95</v>
      </c>
      <c r="R3993" s="441"/>
      <c r="S3993" s="351"/>
      <c r="T3993" s="351"/>
      <c r="U3993" s="329" t="str">
        <f>IF($N3993=$N$4,IFERROR(INDEX(DanhMuc!$E$154:$E$165,MATCH(MID($B3993,4,2),DanhMuc!$B$154:$B$165,0)),""),"")</f>
        <v/>
      </c>
      <c r="V3993" s="361"/>
      <c r="W3993" s="345"/>
      <c r="X3993" s="329" t="str">
        <f t="shared" si="344"/>
        <v>RT</v>
      </c>
      <c r="Y3993" s="1128" t="s">
        <v>3380</v>
      </c>
      <c r="Z3993" s="1128" t="s">
        <v>3381</v>
      </c>
      <c r="AA3993" s="1128" t="s">
        <v>3384</v>
      </c>
      <c r="AB3993" s="20"/>
      <c r="AC3993" s="73"/>
    </row>
    <row r="3994" spans="1:29" ht="25">
      <c r="A3994" s="327" t="str">
        <f>IF(AND($B3994&lt;&gt;"",$C3994&lt;&gt;""),MAX($A$1556:A3969)+1,"")</f>
        <v/>
      </c>
      <c r="B3994" s="361" t="s">
        <v>2844</v>
      </c>
      <c r="C3994" s="360"/>
      <c r="D3994" s="327">
        <f>IF($B3994="","",COUNTIF($B$6:$B3994,$B3994))</f>
        <v>12</v>
      </c>
      <c r="E3994" s="411">
        <v>630955</v>
      </c>
      <c r="F3994" s="432" t="s">
        <v>1385</v>
      </c>
      <c r="G3994" s="410" t="s">
        <v>156</v>
      </c>
      <c r="H3994" s="402"/>
      <c r="I3994" s="327">
        <v>1</v>
      </c>
      <c r="J3994" s="345"/>
      <c r="K3994" s="327"/>
      <c r="L3994" s="389">
        <f t="shared" si="343"/>
        <v>114904.40000000001</v>
      </c>
      <c r="M3994" s="371"/>
      <c r="N3994" s="355" t="str">
        <f t="shared" si="345"/>
        <v>PK</v>
      </c>
      <c r="O3994" s="404" t="s">
        <v>1623</v>
      </c>
      <c r="P3994" s="392"/>
      <c r="Q3994" s="441">
        <v>4.9400000000000004</v>
      </c>
      <c r="R3994" s="441"/>
      <c r="S3994" s="351"/>
      <c r="T3994" s="351"/>
      <c r="U3994" s="329" t="str">
        <f>IF($N3994=$N$4,IFERROR(INDEX(DanhMuc!$E$154:$E$165,MATCH(MID($B3994,4,2),DanhMuc!$B$154:$B$165,0)),""),"")</f>
        <v/>
      </c>
      <c r="V3994" s="361"/>
      <c r="W3994" s="345"/>
      <c r="X3994" s="329" t="str">
        <f t="shared" si="344"/>
        <v>RT</v>
      </c>
      <c r="Y3994" s="1128" t="s">
        <v>3380</v>
      </c>
      <c r="Z3994" s="1128" t="s">
        <v>3381</v>
      </c>
      <c r="AA3994" s="1128" t="s">
        <v>3384</v>
      </c>
      <c r="AB3994" s="20"/>
      <c r="AC3994" s="73"/>
    </row>
    <row r="3995" spans="1:29" ht="25">
      <c r="A3995" s="327" t="str">
        <f>IF(AND($B3995&lt;&gt;"",$C3995&lt;&gt;""),MAX($A$1556:A3970)+1,"")</f>
        <v/>
      </c>
      <c r="B3995" s="361" t="s">
        <v>2844</v>
      </c>
      <c r="C3995" s="360"/>
      <c r="D3995" s="327">
        <f>IF($B3995="","",COUNTIF($B$6:$B3995,$B3995))</f>
        <v>13</v>
      </c>
      <c r="E3995" s="411">
        <v>630957</v>
      </c>
      <c r="F3995" s="432" t="s">
        <v>1386</v>
      </c>
      <c r="G3995" s="410" t="s">
        <v>156</v>
      </c>
      <c r="H3995" s="402"/>
      <c r="I3995" s="327">
        <v>1</v>
      </c>
      <c r="J3995" s="345"/>
      <c r="K3995" s="327"/>
      <c r="L3995" s="389">
        <f t="shared" si="343"/>
        <v>154911.6</v>
      </c>
      <c r="M3995" s="371"/>
      <c r="N3995" s="355" t="str">
        <f t="shared" si="345"/>
        <v>PK</v>
      </c>
      <c r="O3995" s="404" t="s">
        <v>1623</v>
      </c>
      <c r="P3995" s="392"/>
      <c r="Q3995" s="441">
        <v>6.66</v>
      </c>
      <c r="R3995" s="441"/>
      <c r="S3995" s="351"/>
      <c r="T3995" s="351"/>
      <c r="U3995" s="329" t="str">
        <f>IF($N3995=$N$4,IFERROR(INDEX(DanhMuc!$E$154:$E$165,MATCH(MID($B3995,4,2),DanhMuc!$B$154:$B$165,0)),""),"")</f>
        <v/>
      </c>
      <c r="V3995" s="361"/>
      <c r="W3995" s="345"/>
      <c r="X3995" s="329" t="str">
        <f t="shared" si="344"/>
        <v>RT</v>
      </c>
      <c r="Y3995" s="1128" t="s">
        <v>3380</v>
      </c>
      <c r="Z3995" s="1128" t="s">
        <v>3381</v>
      </c>
      <c r="AA3995" s="1128" t="s">
        <v>3384</v>
      </c>
      <c r="AB3995" s="20"/>
      <c r="AC3995" s="73"/>
    </row>
    <row r="3996" spans="1:29">
      <c r="A3996" s="327" t="str">
        <f>IF(AND($B3996&lt;&gt;"",$C3996&lt;&gt;""),MAX($A$1556:A3971)+1,"")</f>
        <v/>
      </c>
      <c r="B3996" s="361" t="s">
        <v>2844</v>
      </c>
      <c r="C3996" s="360"/>
      <c r="D3996" s="327">
        <f>IF($B3996="","",COUNTIF($B$6:$B3996,$B3996))</f>
        <v>14</v>
      </c>
      <c r="E3996" s="430">
        <v>633302</v>
      </c>
      <c r="F3996" s="431" t="s">
        <v>1388</v>
      </c>
      <c r="G3996" s="327" t="s">
        <v>156</v>
      </c>
      <c r="H3996" s="361"/>
      <c r="I3996" s="327">
        <v>2</v>
      </c>
      <c r="J3996" s="345"/>
      <c r="K3996" s="327"/>
      <c r="L3996" s="389">
        <f t="shared" si="343"/>
        <v>665236</v>
      </c>
      <c r="M3996" s="371"/>
      <c r="N3996" s="355" t="str">
        <f t="shared" si="345"/>
        <v>PK</v>
      </c>
      <c r="O3996" s="404" t="s">
        <v>1623</v>
      </c>
      <c r="P3996" s="392"/>
      <c r="Q3996" s="441">
        <v>28.6</v>
      </c>
      <c r="R3996" s="441"/>
      <c r="S3996" s="351"/>
      <c r="T3996" s="351"/>
      <c r="U3996" s="329" t="str">
        <f>IF($N3996=$N$4,IFERROR(INDEX(DanhMuc!$E$154:$E$165,MATCH(MID($B3996,4,2),DanhMuc!$B$154:$B$165,0)),""),"")</f>
        <v/>
      </c>
      <c r="V3996" s="361"/>
      <c r="W3996" s="345"/>
      <c r="X3996" s="329" t="str">
        <f t="shared" si="344"/>
        <v>RT</v>
      </c>
      <c r="Y3996" s="1128" t="s">
        <v>3380</v>
      </c>
      <c r="Z3996" s="1128" t="s">
        <v>3381</v>
      </c>
      <c r="AA3996" s="1128" t="s">
        <v>3384</v>
      </c>
      <c r="AB3996" s="20"/>
      <c r="AC3996" s="73"/>
    </row>
    <row r="3997" spans="1:29">
      <c r="A3997" s="327" t="str">
        <f>IF(AND($B3997&lt;&gt;"",$C3997&lt;&gt;""),MAX($A$1556:A3972)+1,"")</f>
        <v/>
      </c>
      <c r="B3997" s="361" t="s">
        <v>2844</v>
      </c>
      <c r="C3997" s="360"/>
      <c r="D3997" s="327">
        <f>IF($B3997="","",COUNTIF($B$6:$B3997,$B3997))</f>
        <v>15</v>
      </c>
      <c r="E3997" s="430">
        <v>641810</v>
      </c>
      <c r="F3997" s="431" t="s">
        <v>1389</v>
      </c>
      <c r="G3997" s="327" t="s">
        <v>156</v>
      </c>
      <c r="H3997" s="361"/>
      <c r="I3997" s="327">
        <v>2</v>
      </c>
      <c r="J3997" s="345"/>
      <c r="K3997" s="327"/>
      <c r="L3997" s="389">
        <f t="shared" si="343"/>
        <v>71640.800000000003</v>
      </c>
      <c r="M3997" s="371"/>
      <c r="N3997" s="355" t="str">
        <f t="shared" si="345"/>
        <v>PK</v>
      </c>
      <c r="O3997" s="345"/>
      <c r="P3997" s="392"/>
      <c r="Q3997" s="441">
        <v>3.08</v>
      </c>
      <c r="R3997" s="441"/>
      <c r="S3997" s="351"/>
      <c r="T3997" s="351"/>
      <c r="U3997" s="329" t="str">
        <f>IF($N3997=$N$4,IFERROR(INDEX(DanhMuc!$E$154:$E$165,MATCH(MID($B3997,4,2),DanhMuc!$B$154:$B$165,0)),""),"")</f>
        <v/>
      </c>
      <c r="V3997" s="361"/>
      <c r="W3997" s="345"/>
      <c r="X3997" s="329" t="str">
        <f t="shared" si="344"/>
        <v>RT</v>
      </c>
      <c r="Y3997" s="1128" t="s">
        <v>3380</v>
      </c>
      <c r="Z3997" s="1128" t="s">
        <v>3381</v>
      </c>
      <c r="AA3997" s="1128" t="s">
        <v>3384</v>
      </c>
      <c r="AB3997" s="20"/>
      <c r="AC3997" s="73"/>
    </row>
    <row r="3998" spans="1:29">
      <c r="A3998" s="327" t="str">
        <f>IF(AND($B3998&lt;&gt;"",$C3998&lt;&gt;""),MAX($A$1556:A3973)+1,"")</f>
        <v/>
      </c>
      <c r="B3998" s="361" t="s">
        <v>2844</v>
      </c>
      <c r="C3998" s="360"/>
      <c r="D3998" s="327">
        <f>IF($B3998="","",COUNTIF($B$6:$B3998,$B3998))</f>
        <v>16</v>
      </c>
      <c r="E3998" s="430">
        <v>349187</v>
      </c>
      <c r="F3998" s="362" t="s">
        <v>1390</v>
      </c>
      <c r="G3998" s="327" t="s">
        <v>155</v>
      </c>
      <c r="H3998" s="361"/>
      <c r="I3998" s="327">
        <v>4</v>
      </c>
      <c r="J3998" s="345"/>
      <c r="K3998" s="327"/>
      <c r="L3998" s="389">
        <f t="shared" si="343"/>
        <v>145840.19999999998</v>
      </c>
      <c r="M3998" s="371"/>
      <c r="N3998" s="355" t="str">
        <f t="shared" si="345"/>
        <v>PK</v>
      </c>
      <c r="O3998" s="345"/>
      <c r="P3998" s="392"/>
      <c r="Q3998" s="441">
        <v>6.27</v>
      </c>
      <c r="R3998" s="441"/>
      <c r="S3998" s="351"/>
      <c r="T3998" s="351"/>
      <c r="U3998" s="329" t="str">
        <f>IF($N3998=$N$4,IFERROR(INDEX(DanhMuc!$E$154:$E$165,MATCH(MID($B3998,4,2),DanhMuc!$B$154:$B$165,0)),""),"")</f>
        <v/>
      </c>
      <c r="V3998" s="361"/>
      <c r="W3998" s="345"/>
      <c r="X3998" s="329" t="str">
        <f t="shared" si="344"/>
        <v>RT</v>
      </c>
      <c r="Y3998" s="1128" t="s">
        <v>3380</v>
      </c>
      <c r="Z3998" s="1128" t="s">
        <v>3381</v>
      </c>
      <c r="AA3998" s="1128" t="s">
        <v>3384</v>
      </c>
      <c r="AB3998" s="20"/>
      <c r="AC3998" s="73"/>
    </row>
    <row r="3999" spans="1:29">
      <c r="A3999" s="327" t="str">
        <f>IF(AND($B3999&lt;&gt;"",$C3999&lt;&gt;""),MAX($A$1556:A3974)+1,"")</f>
        <v/>
      </c>
      <c r="B3999" s="361" t="s">
        <v>2844</v>
      </c>
      <c r="C3999" s="360"/>
      <c r="D3999" s="327">
        <f>IF($B3999="","",COUNTIF($B$6:$B3999,$B3999))</f>
        <v>17</v>
      </c>
      <c r="E3999" s="430">
        <v>260434</v>
      </c>
      <c r="F3999" s="431" t="s">
        <v>1391</v>
      </c>
      <c r="G3999" s="327" t="s">
        <v>155</v>
      </c>
      <c r="H3999" s="361"/>
      <c r="I3999" s="327">
        <v>4</v>
      </c>
      <c r="J3999" s="345"/>
      <c r="K3999" s="327"/>
      <c r="L3999" s="389">
        <f t="shared" si="343"/>
        <v>31168.400000000001</v>
      </c>
      <c r="M3999" s="371"/>
      <c r="N3999" s="355" t="str">
        <f t="shared" si="345"/>
        <v>PK</v>
      </c>
      <c r="O3999" s="345"/>
      <c r="P3999" s="392"/>
      <c r="Q3999" s="441">
        <v>1.34</v>
      </c>
      <c r="R3999" s="441"/>
      <c r="S3999" s="351"/>
      <c r="T3999" s="351"/>
      <c r="U3999" s="329" t="str">
        <f>IF($N3999=$N$4,IFERROR(INDEX(DanhMuc!$E$154:$E$165,MATCH(MID($B3999,4,2),DanhMuc!$B$154:$B$165,0)),""),"")</f>
        <v/>
      </c>
      <c r="V3999" s="361"/>
      <c r="W3999" s="345"/>
      <c r="X3999" s="329" t="str">
        <f t="shared" si="344"/>
        <v>RT</v>
      </c>
      <c r="Y3999" s="1128" t="s">
        <v>3380</v>
      </c>
      <c r="Z3999" s="1128" t="s">
        <v>3381</v>
      </c>
      <c r="AA3999" s="1128" t="s">
        <v>3384</v>
      </c>
      <c r="AB3999" s="20"/>
      <c r="AC3999" s="73"/>
    </row>
    <row r="4000" spans="1:29">
      <c r="A4000" s="327" t="str">
        <f>IF(AND($B4000&lt;&gt;"",$C4000&lt;&gt;""),MAX($A$1556:A3975)+1,"")</f>
        <v/>
      </c>
      <c r="B4000" s="361" t="s">
        <v>2844</v>
      </c>
      <c r="C4000" s="360"/>
      <c r="D4000" s="327">
        <f>IF($B4000="","",COUNTIF($B$6:$B4000,$B4000))</f>
        <v>18</v>
      </c>
      <c r="E4000" s="430">
        <v>339395</v>
      </c>
      <c r="F4000" s="431" t="s">
        <v>1392</v>
      </c>
      <c r="G4000" s="351" t="s">
        <v>155</v>
      </c>
      <c r="H4000" s="361"/>
      <c r="I4000" s="327">
        <v>4</v>
      </c>
      <c r="J4000" s="345"/>
      <c r="K4000" s="327"/>
      <c r="L4000" s="389">
        <f t="shared" si="343"/>
        <v>37216</v>
      </c>
      <c r="M4000" s="371"/>
      <c r="N4000" s="355" t="str">
        <f t="shared" si="345"/>
        <v>PK</v>
      </c>
      <c r="O4000" s="404" t="s">
        <v>1623</v>
      </c>
      <c r="P4000" s="392"/>
      <c r="Q4000" s="441">
        <v>1.6</v>
      </c>
      <c r="R4000" s="441"/>
      <c r="S4000" s="351"/>
      <c r="T4000" s="351"/>
      <c r="U4000" s="329" t="str">
        <f>IF($N4000=$N$4,IFERROR(INDEX(DanhMuc!$E$154:$E$165,MATCH(MID($B4000,4,2),DanhMuc!$B$154:$B$165,0)),""),"")</f>
        <v/>
      </c>
      <c r="V4000" s="361"/>
      <c r="W4000" s="345"/>
      <c r="X4000" s="329" t="str">
        <f t="shared" si="344"/>
        <v>RT</v>
      </c>
      <c r="Y4000" s="1128" t="s">
        <v>3380</v>
      </c>
      <c r="Z4000" s="1128" t="s">
        <v>3381</v>
      </c>
      <c r="AA4000" s="1128" t="s">
        <v>3384</v>
      </c>
      <c r="AB4000" s="20"/>
      <c r="AC4000" s="73"/>
    </row>
    <row r="4001" spans="1:29">
      <c r="A4001" s="327" t="str">
        <f>IF(AND($B4001&lt;&gt;"",$C4001&lt;&gt;""),MAX($A$1556:A3976)+1,"")</f>
        <v/>
      </c>
      <c r="B4001" s="361" t="s">
        <v>2844</v>
      </c>
      <c r="C4001" s="360"/>
      <c r="D4001" s="327">
        <f>IF($B4001="","",COUNTIF($B$6:$B4001,$B4001))</f>
        <v>19</v>
      </c>
      <c r="E4001" s="430">
        <v>229107</v>
      </c>
      <c r="F4001" s="431" t="s">
        <v>1456</v>
      </c>
      <c r="G4001" s="351" t="s">
        <v>155</v>
      </c>
      <c r="H4001" s="361"/>
      <c r="I4001" s="327">
        <v>1</v>
      </c>
      <c r="J4001" s="345"/>
      <c r="K4001" s="327"/>
      <c r="L4001" s="389">
        <v>23600</v>
      </c>
      <c r="M4001" s="371"/>
      <c r="N4001" s="355" t="str">
        <f t="shared" si="345"/>
        <v>PK</v>
      </c>
      <c r="O4001" s="345"/>
      <c r="P4001" s="392"/>
      <c r="Q4001" s="441"/>
      <c r="R4001" s="441"/>
      <c r="S4001" s="351"/>
      <c r="T4001" s="351"/>
      <c r="U4001" s="329" t="str">
        <f>IF($N4001=$N$4,IFERROR(INDEX(DanhMuc!$E$154:$E$165,MATCH(MID($B4001,4,2),DanhMuc!$B$154:$B$165,0)),""),"")</f>
        <v/>
      </c>
      <c r="V4001" s="361"/>
      <c r="W4001" s="345"/>
      <c r="X4001" s="329" t="str">
        <f t="shared" si="344"/>
        <v>RT</v>
      </c>
      <c r="Y4001" s="1128" t="s">
        <v>3380</v>
      </c>
      <c r="Z4001" s="1128" t="s">
        <v>3381</v>
      </c>
      <c r="AA4001" s="1128" t="s">
        <v>3384</v>
      </c>
      <c r="AB4001" s="20"/>
      <c r="AC4001" s="73"/>
    </row>
    <row r="4002" spans="1:29">
      <c r="A4002" s="327" t="str">
        <f>IF(AND($B4002&lt;&gt;"",$C4002&lt;&gt;""),MAX($A$1556:A3977)+1,"")</f>
        <v/>
      </c>
      <c r="B4002" s="361" t="s">
        <v>2844</v>
      </c>
      <c r="C4002" s="360"/>
      <c r="D4002" s="327">
        <f>IF($B4002="","",COUNTIF($B$6:$B4002,$B4002))</f>
        <v>20</v>
      </c>
      <c r="E4002" s="430">
        <v>229117</v>
      </c>
      <c r="F4002" s="431" t="s">
        <v>1457</v>
      </c>
      <c r="G4002" s="351" t="s">
        <v>155</v>
      </c>
      <c r="H4002" s="361"/>
      <c r="I4002" s="327">
        <v>1</v>
      </c>
      <c r="J4002" s="345"/>
      <c r="K4002" s="327"/>
      <c r="L4002" s="389">
        <v>23600</v>
      </c>
      <c r="M4002" s="371"/>
      <c r="N4002" s="355" t="str">
        <f t="shared" si="345"/>
        <v>PK</v>
      </c>
      <c r="O4002" s="345"/>
      <c r="P4002" s="392"/>
      <c r="Q4002" s="441"/>
      <c r="R4002" s="441"/>
      <c r="S4002" s="351"/>
      <c r="T4002" s="351"/>
      <c r="U4002" s="329" t="str">
        <f>IF($N4002=$N$4,IFERROR(INDEX(DanhMuc!$E$154:$E$165,MATCH(MID($B4002,4,2),DanhMuc!$B$154:$B$165,0)),""),"")</f>
        <v/>
      </c>
      <c r="V4002" s="361"/>
      <c r="W4002" s="345"/>
      <c r="X4002" s="329" t="str">
        <f t="shared" si="344"/>
        <v>RT</v>
      </c>
      <c r="Y4002" s="1128" t="s">
        <v>3380</v>
      </c>
      <c r="Z4002" s="1128" t="s">
        <v>3381</v>
      </c>
      <c r="AA4002" s="1128" t="s">
        <v>3384</v>
      </c>
      <c r="AB4002" s="20"/>
      <c r="AC4002" s="73"/>
    </row>
    <row r="4003" spans="1:29">
      <c r="A4003" s="327" t="str">
        <f>IF(AND($B4003&lt;&gt;"",$C4003&lt;&gt;""),MAX($A$1556:A3978)+1,"")</f>
        <v/>
      </c>
      <c r="B4003" s="361" t="s">
        <v>2844</v>
      </c>
      <c r="C4003" s="360"/>
      <c r="D4003" s="327">
        <f>IF($B4003="","",COUNTIF($B$6:$B4003,$B4003))</f>
        <v>21</v>
      </c>
      <c r="E4003" s="430">
        <v>445213</v>
      </c>
      <c r="F4003" s="431" t="s">
        <v>1963</v>
      </c>
      <c r="G4003" s="351" t="s">
        <v>155</v>
      </c>
      <c r="H4003" s="361"/>
      <c r="I4003" s="327">
        <v>1</v>
      </c>
      <c r="J4003" s="345"/>
      <c r="K4003" s="327"/>
      <c r="L4003" s="389">
        <f t="shared" si="343"/>
        <v>294239</v>
      </c>
      <c r="M4003" s="371"/>
      <c r="N4003" s="355" t="str">
        <f t="shared" si="345"/>
        <v>PK</v>
      </c>
      <c r="O4003" s="345"/>
      <c r="P4003" s="392"/>
      <c r="Q4003" s="441">
        <v>12.65</v>
      </c>
      <c r="R4003" s="441"/>
      <c r="S4003" s="351"/>
      <c r="T4003" s="351"/>
      <c r="U4003" s="329" t="str">
        <f>IF($N4003=$N$4,IFERROR(INDEX(DanhMuc!$E$154:$E$165,MATCH(MID($B4003,4,2),DanhMuc!$B$154:$B$165,0)),""),"")</f>
        <v/>
      </c>
      <c r="V4003" s="361"/>
      <c r="W4003" s="345"/>
      <c r="X4003" s="329" t="str">
        <f t="shared" si="344"/>
        <v>RT</v>
      </c>
      <c r="Y4003" s="1128" t="s">
        <v>3380</v>
      </c>
      <c r="Z4003" s="1128" t="s">
        <v>3381</v>
      </c>
      <c r="AA4003" s="1128" t="s">
        <v>3384</v>
      </c>
      <c r="AB4003" s="20"/>
      <c r="AC4003" s="73"/>
    </row>
    <row r="4004" spans="1:29" ht="26">
      <c r="A4004" s="327">
        <f>IF(AND($B4004&lt;&gt;"",$C4004&lt;&gt;""),MAX($A$1556:A3979)+1,"")</f>
        <v>189</v>
      </c>
      <c r="B4004" s="359" t="s">
        <v>2845</v>
      </c>
      <c r="C4004" s="370" t="s">
        <v>1593</v>
      </c>
      <c r="D4004" s="327">
        <f>IF($B4004="","",COUNTIF($B$6:$B4004,$B4004))</f>
        <v>1</v>
      </c>
      <c r="E4004" s="430">
        <v>630963</v>
      </c>
      <c r="F4004" s="362" t="s">
        <v>1376</v>
      </c>
      <c r="G4004" s="327" t="s">
        <v>344</v>
      </c>
      <c r="H4004" s="361"/>
      <c r="I4004" s="327">
        <v>1</v>
      </c>
      <c r="J4004" s="361"/>
      <c r="K4004" s="327"/>
      <c r="L4004" s="389">
        <f t="shared" si="343"/>
        <v>866202.4</v>
      </c>
      <c r="M4004" s="371"/>
      <c r="N4004" s="355" t="str">
        <f t="shared" si="345"/>
        <v>PK</v>
      </c>
      <c r="O4004" s="404" t="s">
        <v>1623</v>
      </c>
      <c r="P4004" s="392"/>
      <c r="Q4004" s="441">
        <v>37.24</v>
      </c>
      <c r="R4004" s="441"/>
      <c r="S4004" s="351"/>
      <c r="T4004" s="351"/>
      <c r="U4004" s="329" t="str">
        <f>IF($N4004=$N$4,IFERROR(INDEX(DanhMuc!$E$154:$E$165,MATCH(MID($B4004,4,2),DanhMuc!$B$154:$B$165,0)),""),"")</f>
        <v/>
      </c>
      <c r="V4004" s="361"/>
      <c r="W4004" s="345"/>
      <c r="X4004" s="329" t="str">
        <f t="shared" si="344"/>
        <v>RT</v>
      </c>
      <c r="Y4004" s="1128" t="s">
        <v>3380</v>
      </c>
      <c r="Z4004" s="1128" t="s">
        <v>3381</v>
      </c>
      <c r="AA4004" s="1128" t="s">
        <v>3384</v>
      </c>
      <c r="AB4004" s="20"/>
      <c r="AC4004" s="73"/>
    </row>
    <row r="4005" spans="1:29">
      <c r="A4005" s="327" t="str">
        <f>IF(AND($B4005&lt;&gt;"",$C4005&lt;&gt;""),MAX($A$1556:A3980)+1,"")</f>
        <v/>
      </c>
      <c r="B4005" s="361" t="s">
        <v>2845</v>
      </c>
      <c r="C4005" s="360"/>
      <c r="D4005" s="327">
        <f>IF($B4005="","",COUNTIF($B$6:$B4005,$B4005))</f>
        <v>2</v>
      </c>
      <c r="E4005" s="430">
        <v>449873</v>
      </c>
      <c r="F4005" s="362" t="s">
        <v>1377</v>
      </c>
      <c r="G4005" s="327" t="s">
        <v>344</v>
      </c>
      <c r="H4005" s="361"/>
      <c r="I4005" s="327">
        <v>1</v>
      </c>
      <c r="J4005" s="361"/>
      <c r="K4005" s="327"/>
      <c r="L4005" s="389">
        <f t="shared" si="343"/>
        <v>494972.80000000005</v>
      </c>
      <c r="M4005" s="371"/>
      <c r="N4005" s="355" t="str">
        <f t="shared" si="345"/>
        <v>PK</v>
      </c>
      <c r="O4005" s="404" t="s">
        <v>1626</v>
      </c>
      <c r="P4005" s="392"/>
      <c r="Q4005" s="441">
        <v>21.28</v>
      </c>
      <c r="R4005" s="441"/>
      <c r="S4005" s="351"/>
      <c r="T4005" s="351"/>
      <c r="U4005" s="329" t="str">
        <f>IF($N4005=$N$4,IFERROR(INDEX(DanhMuc!$E$154:$E$165,MATCH(MID($B4005,4,2),DanhMuc!$B$154:$B$165,0)),""),"")</f>
        <v/>
      </c>
      <c r="V4005" s="361"/>
      <c r="W4005" s="345"/>
      <c r="X4005" s="329" t="str">
        <f t="shared" si="344"/>
        <v>RT</v>
      </c>
      <c r="Y4005" s="1128" t="s">
        <v>3380</v>
      </c>
      <c r="Z4005" s="1128" t="s">
        <v>3381</v>
      </c>
      <c r="AA4005" s="1128" t="s">
        <v>3384</v>
      </c>
      <c r="AB4005" s="20"/>
      <c r="AC4005" s="73"/>
    </row>
    <row r="4006" spans="1:29">
      <c r="A4006" s="327" t="str">
        <f>IF(AND($B4006&lt;&gt;"",$C4006&lt;&gt;""),MAX($A$1556:A3981)+1,"")</f>
        <v/>
      </c>
      <c r="B4006" s="361" t="s">
        <v>2845</v>
      </c>
      <c r="C4006" s="360"/>
      <c r="D4006" s="327">
        <f>IF($B4006="","",COUNTIF($B$6:$B4006,$B4006))</f>
        <v>3</v>
      </c>
      <c r="E4006" s="361">
        <v>570669</v>
      </c>
      <c r="F4006" s="362" t="s">
        <v>1378</v>
      </c>
      <c r="G4006" s="327" t="s">
        <v>344</v>
      </c>
      <c r="H4006" s="361"/>
      <c r="I4006" s="327">
        <v>1</v>
      </c>
      <c r="J4006" s="345"/>
      <c r="K4006" s="327"/>
      <c r="L4006" s="389">
        <f t="shared" si="343"/>
        <v>525908.6</v>
      </c>
      <c r="M4006" s="371"/>
      <c r="N4006" s="355" t="str">
        <f t="shared" si="345"/>
        <v>PK</v>
      </c>
      <c r="O4006" s="345"/>
      <c r="P4006" s="392"/>
      <c r="Q4006" s="441">
        <v>22.61</v>
      </c>
      <c r="R4006" s="441"/>
      <c r="S4006" s="351"/>
      <c r="T4006" s="351"/>
      <c r="U4006" s="329" t="str">
        <f>IF($N4006=$N$4,IFERROR(INDEX(DanhMuc!$E$154:$E$165,MATCH(MID($B4006,4,2),DanhMuc!$B$154:$B$165,0)),""),"")</f>
        <v/>
      </c>
      <c r="V4006" s="361"/>
      <c r="W4006" s="345"/>
      <c r="X4006" s="329" t="str">
        <f t="shared" si="344"/>
        <v>RT</v>
      </c>
      <c r="Y4006" s="1128" t="s">
        <v>3380</v>
      </c>
      <c r="Z4006" s="1128" t="s">
        <v>3381</v>
      </c>
      <c r="AA4006" s="1128" t="s">
        <v>3384</v>
      </c>
      <c r="AB4006" s="20"/>
      <c r="AC4006" s="73"/>
    </row>
    <row r="4007" spans="1:29">
      <c r="A4007" s="327" t="str">
        <f>IF(AND($B4007&lt;&gt;"",$C4007&lt;&gt;""),MAX($A$1556:A3982)+1,"")</f>
        <v/>
      </c>
      <c r="B4007" s="361" t="s">
        <v>2845</v>
      </c>
      <c r="C4007" s="360"/>
      <c r="D4007" s="327">
        <f>IF($B4007="","",COUNTIF($B$6:$B4007,$B4007))</f>
        <v>4</v>
      </c>
      <c r="E4007" s="361">
        <v>775376</v>
      </c>
      <c r="F4007" s="362" t="s">
        <v>1379</v>
      </c>
      <c r="G4007" s="327" t="s">
        <v>155</v>
      </c>
      <c r="H4007" s="361"/>
      <c r="I4007" s="327">
        <v>1</v>
      </c>
      <c r="J4007" s="345"/>
      <c r="K4007" s="327"/>
      <c r="L4007" s="389">
        <f t="shared" si="343"/>
        <v>247486.40000000002</v>
      </c>
      <c r="M4007" s="371"/>
      <c r="N4007" s="355" t="str">
        <f t="shared" si="345"/>
        <v>PK</v>
      </c>
      <c r="O4007" s="345" t="s">
        <v>1060</v>
      </c>
      <c r="P4007" s="392"/>
      <c r="Q4007" s="441">
        <v>10.64</v>
      </c>
      <c r="R4007" s="441"/>
      <c r="S4007" s="351"/>
      <c r="T4007" s="351"/>
      <c r="U4007" s="329" t="str">
        <f>IF($N4007=$N$4,IFERROR(INDEX(DanhMuc!$E$154:$E$165,MATCH(MID($B4007,4,2),DanhMuc!$B$154:$B$165,0)),""),"")</f>
        <v/>
      </c>
      <c r="V4007" s="361"/>
      <c r="W4007" s="345"/>
      <c r="X4007" s="329" t="str">
        <f t="shared" si="344"/>
        <v>RT</v>
      </c>
      <c r="Y4007" s="1128" t="s">
        <v>3380</v>
      </c>
      <c r="Z4007" s="1128" t="s">
        <v>3381</v>
      </c>
      <c r="AA4007" s="1128" t="s">
        <v>3384</v>
      </c>
      <c r="AB4007" s="20"/>
      <c r="AC4007" s="73"/>
    </row>
    <row r="4008" spans="1:29">
      <c r="A4008" s="327" t="str">
        <f>IF(AND($B4008&lt;&gt;"",$C4008&lt;&gt;""),MAX($A$1556:A3983)+1,"")</f>
        <v/>
      </c>
      <c r="B4008" s="361" t="s">
        <v>2845</v>
      </c>
      <c r="C4008" s="360"/>
      <c r="D4008" s="327">
        <f>IF($B4008="","",COUNTIF($B$6:$B4008,$B4008))</f>
        <v>5</v>
      </c>
      <c r="E4008" s="361">
        <v>775375</v>
      </c>
      <c r="F4008" s="362" t="s">
        <v>1380</v>
      </c>
      <c r="G4008" s="327" t="s">
        <v>155</v>
      </c>
      <c r="H4008" s="361"/>
      <c r="I4008" s="327">
        <v>1</v>
      </c>
      <c r="J4008" s="345"/>
      <c r="K4008" s="327"/>
      <c r="L4008" s="389">
        <f t="shared" si="343"/>
        <v>433101.2</v>
      </c>
      <c r="M4008" s="371"/>
      <c r="N4008" s="355" t="str">
        <f t="shared" si="345"/>
        <v>PK</v>
      </c>
      <c r="O4008" s="345" t="s">
        <v>2699</v>
      </c>
      <c r="P4008" s="392"/>
      <c r="Q4008" s="441">
        <v>18.62</v>
      </c>
      <c r="R4008" s="441"/>
      <c r="S4008" s="351"/>
      <c r="T4008" s="351"/>
      <c r="U4008" s="329" t="str">
        <f>IF($N4008=$N$4,IFERROR(INDEX(DanhMuc!$E$154:$E$165,MATCH(MID($B4008,4,2),DanhMuc!$B$154:$B$165,0)),""),"")</f>
        <v/>
      </c>
      <c r="V4008" s="361"/>
      <c r="W4008" s="345"/>
      <c r="X4008" s="329" t="str">
        <f t="shared" si="344"/>
        <v>RT</v>
      </c>
      <c r="Y4008" s="1128" t="s">
        <v>3380</v>
      </c>
      <c r="Z4008" s="1128" t="s">
        <v>3381</v>
      </c>
      <c r="AA4008" s="1128" t="s">
        <v>3384</v>
      </c>
      <c r="AB4008" s="20"/>
      <c r="AC4008" s="73"/>
    </row>
    <row r="4009" spans="1:29" ht="25">
      <c r="A4009" s="327" t="str">
        <f>IF(AND($B4009&lt;&gt;"",$C4009&lt;&gt;""),MAX($A$1556:A3984)+1,"")</f>
        <v/>
      </c>
      <c r="B4009" s="361" t="s">
        <v>2845</v>
      </c>
      <c r="C4009" s="360"/>
      <c r="D4009" s="327">
        <f>IF($B4009="","",COUNTIF($B$6:$B4009,$B4009))</f>
        <v>6</v>
      </c>
      <c r="E4009" s="605">
        <v>733375</v>
      </c>
      <c r="F4009" s="362" t="s">
        <v>1393</v>
      </c>
      <c r="G4009" s="327" t="s">
        <v>344</v>
      </c>
      <c r="H4009" s="361"/>
      <c r="I4009" s="327">
        <v>0</v>
      </c>
      <c r="J4009" s="345"/>
      <c r="K4009" s="327"/>
      <c r="L4009" s="389">
        <f>+$L$3808*$Q4009/3</f>
        <v>278422.2</v>
      </c>
      <c r="M4009" s="371"/>
      <c r="N4009" s="355" t="str">
        <f t="shared" si="345"/>
        <v>PK</v>
      </c>
      <c r="O4009" s="345"/>
      <c r="P4009" s="392"/>
      <c r="Q4009" s="441">
        <v>35.909999999999997</v>
      </c>
      <c r="R4009" s="441"/>
      <c r="S4009" s="351"/>
      <c r="T4009" s="351"/>
      <c r="U4009" s="329" t="str">
        <f>IF($N4009=$N$4,IFERROR(INDEX(DanhMuc!$E$154:$E$165,MATCH(MID($B4009,4,2),DanhMuc!$B$154:$B$165,0)),""),"")</f>
        <v/>
      </c>
      <c r="V4009" s="361"/>
      <c r="W4009" s="345"/>
      <c r="X4009" s="329" t="str">
        <f t="shared" si="344"/>
        <v>RT</v>
      </c>
      <c r="Y4009" s="1128" t="s">
        <v>3380</v>
      </c>
      <c r="Z4009" s="1128" t="s">
        <v>3381</v>
      </c>
      <c r="AA4009" s="1128" t="s">
        <v>3384</v>
      </c>
      <c r="AB4009" s="20"/>
      <c r="AC4009" s="73"/>
    </row>
    <row r="4010" spans="1:29" ht="25">
      <c r="A4010" s="327" t="str">
        <f>IF(AND($B4010&lt;&gt;"",$C4010&lt;&gt;""),MAX($A$1556:A3985)+1,"")</f>
        <v/>
      </c>
      <c r="B4010" s="361" t="s">
        <v>2845</v>
      </c>
      <c r="C4010" s="360"/>
      <c r="D4010" s="327">
        <f>IF($B4010="","",COUNTIF($B$6:$B4010,$B4010))</f>
        <v>7</v>
      </c>
      <c r="E4010" s="361">
        <v>734365</v>
      </c>
      <c r="F4010" s="362" t="s">
        <v>1394</v>
      </c>
      <c r="G4010" s="327" t="s">
        <v>155</v>
      </c>
      <c r="H4010" s="361"/>
      <c r="I4010" s="327">
        <v>8</v>
      </c>
      <c r="J4010" s="345"/>
      <c r="K4010" s="327"/>
      <c r="L4010" s="389">
        <f>+$L$3808*$Q4010/3</f>
        <v>397048.2</v>
      </c>
      <c r="M4010" s="371"/>
      <c r="N4010" s="355" t="str">
        <f t="shared" si="345"/>
        <v>PK</v>
      </c>
      <c r="O4010" s="345"/>
      <c r="P4010" s="392"/>
      <c r="Q4010" s="441">
        <v>51.21</v>
      </c>
      <c r="R4010" s="441"/>
      <c r="S4010" s="351"/>
      <c r="T4010" s="351"/>
      <c r="U4010" s="329" t="str">
        <f>IF($N4010=$N$4,IFERROR(INDEX(DanhMuc!$E$154:$E$165,MATCH(MID($B4010,4,2),DanhMuc!$B$154:$B$165,0)),""),"")</f>
        <v/>
      </c>
      <c r="V4010" s="361"/>
      <c r="W4010" s="345"/>
      <c r="X4010" s="329" t="str">
        <f t="shared" si="344"/>
        <v>RT</v>
      </c>
      <c r="Y4010" s="1128" t="s">
        <v>3380</v>
      </c>
      <c r="Z4010" s="1128" t="s">
        <v>3381</v>
      </c>
      <c r="AA4010" s="1128" t="s">
        <v>3384</v>
      </c>
      <c r="AB4010" s="20"/>
      <c r="AC4010" s="73"/>
    </row>
    <row r="4011" spans="1:29" ht="25">
      <c r="A4011" s="327" t="str">
        <f>IF(AND($B4011&lt;&gt;"",$C4011&lt;&gt;""),MAX($A$1556:A3986)+1,"")</f>
        <v/>
      </c>
      <c r="B4011" s="361" t="s">
        <v>2845</v>
      </c>
      <c r="C4011" s="360"/>
      <c r="D4011" s="327">
        <f>IF($B4011="","",COUNTIF($B$6:$B4011,$B4011))</f>
        <v>8</v>
      </c>
      <c r="E4011" s="605">
        <v>733369</v>
      </c>
      <c r="F4011" s="362" t="s">
        <v>1395</v>
      </c>
      <c r="G4011" s="327" t="s">
        <v>155</v>
      </c>
      <c r="H4011" s="361"/>
      <c r="I4011" s="327">
        <v>8</v>
      </c>
      <c r="J4011" s="345"/>
      <c r="K4011" s="327"/>
      <c r="L4011" s="389">
        <f>+$L$3808*$Q4011/3</f>
        <v>188793.66666666666</v>
      </c>
      <c r="M4011" s="371"/>
      <c r="N4011" s="355" t="str">
        <f t="shared" si="345"/>
        <v>PK</v>
      </c>
      <c r="O4011" s="345"/>
      <c r="P4011" s="392"/>
      <c r="Q4011" s="441">
        <v>24.35</v>
      </c>
      <c r="R4011" s="441"/>
      <c r="S4011" s="351"/>
      <c r="T4011" s="351"/>
      <c r="U4011" s="329" t="str">
        <f>IF($N4011=$N$4,IFERROR(INDEX(DanhMuc!$E$154:$E$165,MATCH(MID($B4011,4,2),DanhMuc!$B$154:$B$165,0)),""),"")</f>
        <v/>
      </c>
      <c r="V4011" s="361"/>
      <c r="W4011" s="345"/>
      <c r="X4011" s="329" t="str">
        <f t="shared" si="344"/>
        <v>RT</v>
      </c>
      <c r="Y4011" s="1128" t="s">
        <v>3380</v>
      </c>
      <c r="Z4011" s="1128" t="s">
        <v>3381</v>
      </c>
      <c r="AA4011" s="1128" t="s">
        <v>3384</v>
      </c>
      <c r="AB4011" s="20"/>
      <c r="AC4011" s="73"/>
    </row>
    <row r="4012" spans="1:29">
      <c r="A4012" s="327" t="str">
        <f>IF(AND($B4012&lt;&gt;"",$C4012&lt;&gt;""),MAX($A$1556:A3987)+1,"")</f>
        <v/>
      </c>
      <c r="B4012" s="361" t="s">
        <v>2845</v>
      </c>
      <c r="C4012" s="360"/>
      <c r="D4012" s="327">
        <f>IF($B4012="","",COUNTIF($B$6:$B4012,$B4012))</f>
        <v>9</v>
      </c>
      <c r="E4012" s="605">
        <v>733492</v>
      </c>
      <c r="F4012" s="362" t="s">
        <v>1514</v>
      </c>
      <c r="G4012" s="327" t="s">
        <v>155</v>
      </c>
      <c r="H4012" s="361"/>
      <c r="I4012" s="327">
        <v>8</v>
      </c>
      <c r="J4012" s="345"/>
      <c r="K4012" s="327"/>
      <c r="L4012" s="389">
        <f>+$L$3808*$Q4012/3</f>
        <v>309358</v>
      </c>
      <c r="M4012" s="371"/>
      <c r="N4012" s="355" t="str">
        <f t="shared" si="345"/>
        <v>PK</v>
      </c>
      <c r="O4012" s="345"/>
      <c r="P4012" s="392"/>
      <c r="Q4012" s="441">
        <v>39.9</v>
      </c>
      <c r="R4012" s="441"/>
      <c r="S4012" s="351"/>
      <c r="T4012" s="351"/>
      <c r="U4012" s="329" t="str">
        <f>IF($N4012=$N$4,IFERROR(INDEX(DanhMuc!$E$154:$E$165,MATCH(MID($B4012,4,2),DanhMuc!$B$154:$B$165,0)),""),"")</f>
        <v/>
      </c>
      <c r="V4012" s="361"/>
      <c r="W4012" s="345"/>
      <c r="X4012" s="329" t="str">
        <f t="shared" si="344"/>
        <v>RT</v>
      </c>
      <c r="Y4012" s="1128" t="s">
        <v>3380</v>
      </c>
      <c r="Z4012" s="1128" t="s">
        <v>3381</v>
      </c>
      <c r="AA4012" s="1128" t="s">
        <v>3384</v>
      </c>
      <c r="AB4012" s="20"/>
      <c r="AC4012" s="73"/>
    </row>
    <row r="4013" spans="1:29" ht="25">
      <c r="A4013" s="327" t="str">
        <f>IF(AND($B4013&lt;&gt;"",$C4013&lt;&gt;""),MAX($A$1556:A3988)+1,"")</f>
        <v/>
      </c>
      <c r="B4013" s="361" t="s">
        <v>2845</v>
      </c>
      <c r="C4013" s="360"/>
      <c r="D4013" s="327">
        <f>IF($B4013="","",COUNTIF($B$6:$B4013,$B4013))</f>
        <v>10</v>
      </c>
      <c r="E4013" s="605">
        <v>312831</v>
      </c>
      <c r="F4013" s="362" t="s">
        <v>1515</v>
      </c>
      <c r="G4013" s="327" t="s">
        <v>344</v>
      </c>
      <c r="H4013" s="361"/>
      <c r="I4013" s="327">
        <v>0</v>
      </c>
      <c r="J4013" s="345"/>
      <c r="K4013" s="327"/>
      <c r="L4013" s="389">
        <f>+$L$3808*$Q4013/3</f>
        <v>15584.199999999999</v>
      </c>
      <c r="M4013" s="371"/>
      <c r="N4013" s="355" t="str">
        <f t="shared" si="345"/>
        <v>PK</v>
      </c>
      <c r="O4013" s="345"/>
      <c r="P4013" s="392"/>
      <c r="Q4013" s="441">
        <v>2.0099999999999998</v>
      </c>
      <c r="R4013" s="441"/>
      <c r="S4013" s="351"/>
      <c r="T4013" s="351"/>
      <c r="U4013" s="329" t="str">
        <f>IF($N4013=$N$4,IFERROR(INDEX(DanhMuc!$E$154:$E$165,MATCH(MID($B4013,4,2),DanhMuc!$B$154:$B$165,0)),""),"")</f>
        <v/>
      </c>
      <c r="V4013" s="361"/>
      <c r="W4013" s="345"/>
      <c r="X4013" s="329" t="str">
        <f t="shared" si="344"/>
        <v>RT</v>
      </c>
      <c r="Y4013" s="1128" t="s">
        <v>3380</v>
      </c>
      <c r="Z4013" s="1128" t="s">
        <v>3381</v>
      </c>
      <c r="AA4013" s="1128" t="s">
        <v>3384</v>
      </c>
      <c r="AB4013" s="20"/>
      <c r="AC4013" s="73"/>
    </row>
    <row r="4014" spans="1:29">
      <c r="A4014" s="327" t="str">
        <f>IF(AND($B4014&lt;&gt;"",$C4014&lt;&gt;""),MAX($A$1556:A3989)+1,"")</f>
        <v/>
      </c>
      <c r="B4014" s="361" t="s">
        <v>2845</v>
      </c>
      <c r="C4014" s="360"/>
      <c r="D4014" s="327">
        <f>IF($B4014="","",COUNTIF($B$6:$B4014,$B4014))</f>
        <v>11</v>
      </c>
      <c r="E4014" s="361">
        <v>492575</v>
      </c>
      <c r="F4014" s="431" t="s">
        <v>1382</v>
      </c>
      <c r="G4014" s="327" t="s">
        <v>155</v>
      </c>
      <c r="H4014" s="361"/>
      <c r="I4014" s="327">
        <v>8</v>
      </c>
      <c r="J4014" s="345"/>
      <c r="K4014" s="327"/>
      <c r="L4014" s="389">
        <f t="shared" si="343"/>
        <v>510557</v>
      </c>
      <c r="M4014" s="371"/>
      <c r="N4014" s="355" t="str">
        <f t="shared" si="345"/>
        <v>PK</v>
      </c>
      <c r="O4014" s="345"/>
      <c r="P4014" s="392"/>
      <c r="Q4014" s="441">
        <v>21.95</v>
      </c>
      <c r="R4014" s="441"/>
      <c r="S4014" s="351"/>
      <c r="T4014" s="351"/>
      <c r="U4014" s="329" t="str">
        <f>IF($N4014=$N$4,IFERROR(INDEX(DanhMuc!$E$154:$E$165,MATCH(MID($B4014,4,2),DanhMuc!$B$154:$B$165,0)),""),"")</f>
        <v/>
      </c>
      <c r="V4014" s="361"/>
      <c r="W4014" s="345"/>
      <c r="X4014" s="329" t="str">
        <f t="shared" si="344"/>
        <v>RT</v>
      </c>
      <c r="Y4014" s="1128" t="s">
        <v>3380</v>
      </c>
      <c r="Z4014" s="1128" t="s">
        <v>3381</v>
      </c>
      <c r="AA4014" s="1128" t="s">
        <v>3384</v>
      </c>
      <c r="AB4014" s="20"/>
      <c r="AC4014" s="73"/>
    </row>
    <row r="4015" spans="1:29" ht="25">
      <c r="A4015" s="327" t="str">
        <f>IF(AND($B4015&lt;&gt;"",$C4015&lt;&gt;""),MAX($A$1556:A3990)+1,"")</f>
        <v/>
      </c>
      <c r="B4015" s="361" t="s">
        <v>2845</v>
      </c>
      <c r="C4015" s="360"/>
      <c r="D4015" s="327">
        <f>IF($B4015="","",COUNTIF($B$6:$B4015,$B4015))</f>
        <v>12</v>
      </c>
      <c r="E4015" s="411">
        <v>630955</v>
      </c>
      <c r="F4015" s="432" t="s">
        <v>1385</v>
      </c>
      <c r="G4015" s="410" t="s">
        <v>156</v>
      </c>
      <c r="H4015" s="402"/>
      <c r="I4015" s="327">
        <v>1</v>
      </c>
      <c r="J4015" s="345"/>
      <c r="K4015" s="327"/>
      <c r="L4015" s="389">
        <f t="shared" si="343"/>
        <v>114904.40000000001</v>
      </c>
      <c r="M4015" s="371"/>
      <c r="N4015" s="355" t="str">
        <f t="shared" si="345"/>
        <v>PK</v>
      </c>
      <c r="O4015" s="404" t="s">
        <v>1623</v>
      </c>
      <c r="P4015" s="392"/>
      <c r="Q4015" s="441">
        <v>4.9400000000000004</v>
      </c>
      <c r="R4015" s="441"/>
      <c r="S4015" s="351"/>
      <c r="T4015" s="351"/>
      <c r="U4015" s="329" t="str">
        <f>IF($N4015=$N$4,IFERROR(INDEX(DanhMuc!$E$154:$E$165,MATCH(MID($B4015,4,2),DanhMuc!$B$154:$B$165,0)),""),"")</f>
        <v/>
      </c>
      <c r="V4015" s="361"/>
      <c r="W4015" s="345"/>
      <c r="X4015" s="329" t="str">
        <f t="shared" si="344"/>
        <v>RT</v>
      </c>
      <c r="Y4015" s="1128" t="s">
        <v>3380</v>
      </c>
      <c r="Z4015" s="1128" t="s">
        <v>3381</v>
      </c>
      <c r="AA4015" s="1128" t="s">
        <v>3384</v>
      </c>
      <c r="AB4015" s="20"/>
      <c r="AC4015" s="73"/>
    </row>
    <row r="4016" spans="1:29" ht="25">
      <c r="A4016" s="327" t="str">
        <f>IF(AND($B4016&lt;&gt;"",$C4016&lt;&gt;""),MAX($A$1556:A3991)+1,"")</f>
        <v/>
      </c>
      <c r="B4016" s="361" t="s">
        <v>2845</v>
      </c>
      <c r="C4016" s="360"/>
      <c r="D4016" s="327">
        <f>IF($B4016="","",COUNTIF($B$6:$B4016,$B4016))</f>
        <v>13</v>
      </c>
      <c r="E4016" s="411">
        <v>630957</v>
      </c>
      <c r="F4016" s="432" t="s">
        <v>1386</v>
      </c>
      <c r="G4016" s="410" t="s">
        <v>156</v>
      </c>
      <c r="H4016" s="402"/>
      <c r="I4016" s="327">
        <v>1</v>
      </c>
      <c r="J4016" s="345"/>
      <c r="K4016" s="327"/>
      <c r="L4016" s="389">
        <f t="shared" si="343"/>
        <v>154911.6</v>
      </c>
      <c r="M4016" s="371"/>
      <c r="N4016" s="355" t="str">
        <f t="shared" si="345"/>
        <v>PK</v>
      </c>
      <c r="O4016" s="404" t="s">
        <v>1623</v>
      </c>
      <c r="P4016" s="392"/>
      <c r="Q4016" s="441">
        <v>6.66</v>
      </c>
      <c r="R4016" s="441"/>
      <c r="S4016" s="351"/>
      <c r="T4016" s="351"/>
      <c r="U4016" s="329" t="str">
        <f>IF($N4016=$N$4,IFERROR(INDEX(DanhMuc!$E$154:$E$165,MATCH(MID($B4016,4,2),DanhMuc!$B$154:$B$165,0)),""),"")</f>
        <v/>
      </c>
      <c r="V4016" s="361"/>
      <c r="W4016" s="345"/>
      <c r="X4016" s="329" t="str">
        <f t="shared" si="344"/>
        <v>RT</v>
      </c>
      <c r="Y4016" s="1128" t="s">
        <v>3380</v>
      </c>
      <c r="Z4016" s="1128" t="s">
        <v>3381</v>
      </c>
      <c r="AA4016" s="1128" t="s">
        <v>3384</v>
      </c>
      <c r="AB4016" s="20"/>
      <c r="AC4016" s="73"/>
    </row>
    <row r="4017" spans="1:29">
      <c r="A4017" s="327" t="str">
        <f>IF(AND($B4017&lt;&gt;"",$C4017&lt;&gt;""),MAX($A$1556:A3992)+1,"")</f>
        <v/>
      </c>
      <c r="B4017" s="361" t="s">
        <v>2845</v>
      </c>
      <c r="C4017" s="360"/>
      <c r="D4017" s="327">
        <f>IF($B4017="","",COUNTIF($B$6:$B4017,$B4017))</f>
        <v>14</v>
      </c>
      <c r="E4017" s="430">
        <v>633302</v>
      </c>
      <c r="F4017" s="431" t="s">
        <v>1388</v>
      </c>
      <c r="G4017" s="327" t="s">
        <v>156</v>
      </c>
      <c r="H4017" s="361"/>
      <c r="I4017" s="327">
        <v>3</v>
      </c>
      <c r="J4017" s="345"/>
      <c r="K4017" s="327"/>
      <c r="L4017" s="389">
        <f t="shared" si="343"/>
        <v>665236</v>
      </c>
      <c r="M4017" s="371"/>
      <c r="N4017" s="355" t="str">
        <f t="shared" si="345"/>
        <v>PK</v>
      </c>
      <c r="O4017" s="404" t="s">
        <v>1623</v>
      </c>
      <c r="P4017" s="392"/>
      <c r="Q4017" s="441">
        <v>28.6</v>
      </c>
      <c r="R4017" s="441"/>
      <c r="S4017" s="351"/>
      <c r="T4017" s="351"/>
      <c r="U4017" s="329" t="str">
        <f>IF($N4017=$N$4,IFERROR(INDEX(DanhMuc!$E$154:$E$165,MATCH(MID($B4017,4,2),DanhMuc!$B$154:$B$165,0)),""),"")</f>
        <v/>
      </c>
      <c r="V4017" s="361"/>
      <c r="W4017" s="345"/>
      <c r="X4017" s="329" t="str">
        <f t="shared" si="344"/>
        <v>RT</v>
      </c>
      <c r="Y4017" s="1128" t="s">
        <v>3380</v>
      </c>
      <c r="Z4017" s="1128" t="s">
        <v>3381</v>
      </c>
      <c r="AA4017" s="1128" t="s">
        <v>3384</v>
      </c>
      <c r="AB4017" s="20"/>
      <c r="AC4017" s="73"/>
    </row>
    <row r="4018" spans="1:29">
      <c r="A4018" s="327" t="str">
        <f>IF(AND($B4018&lt;&gt;"",$C4018&lt;&gt;""),MAX($A$1556:A3993)+1,"")</f>
        <v/>
      </c>
      <c r="B4018" s="361" t="s">
        <v>2845</v>
      </c>
      <c r="C4018" s="360"/>
      <c r="D4018" s="327">
        <f>IF($B4018="","",COUNTIF($B$6:$B4018,$B4018))</f>
        <v>15</v>
      </c>
      <c r="E4018" s="430">
        <v>641810</v>
      </c>
      <c r="F4018" s="431" t="s">
        <v>1389</v>
      </c>
      <c r="G4018" s="327" t="s">
        <v>156</v>
      </c>
      <c r="H4018" s="361"/>
      <c r="I4018" s="327">
        <v>3</v>
      </c>
      <c r="J4018" s="345"/>
      <c r="K4018" s="327"/>
      <c r="L4018" s="389">
        <f t="shared" si="343"/>
        <v>71640.800000000003</v>
      </c>
      <c r="M4018" s="371"/>
      <c r="N4018" s="355" t="str">
        <f t="shared" si="345"/>
        <v>PK</v>
      </c>
      <c r="O4018" s="345"/>
      <c r="P4018" s="392"/>
      <c r="Q4018" s="441">
        <v>3.08</v>
      </c>
      <c r="R4018" s="441"/>
      <c r="S4018" s="351"/>
      <c r="T4018" s="351"/>
      <c r="U4018" s="329" t="str">
        <f>IF($N4018=$N$4,IFERROR(INDEX(DanhMuc!$E$154:$E$165,MATCH(MID($B4018,4,2),DanhMuc!$B$154:$B$165,0)),""),"")</f>
        <v/>
      </c>
      <c r="V4018" s="361"/>
      <c r="W4018" s="345"/>
      <c r="X4018" s="329" t="str">
        <f t="shared" si="344"/>
        <v>RT</v>
      </c>
      <c r="Y4018" s="1128" t="s">
        <v>3380</v>
      </c>
      <c r="Z4018" s="1128" t="s">
        <v>3381</v>
      </c>
      <c r="AA4018" s="1128" t="s">
        <v>3384</v>
      </c>
      <c r="AB4018" s="20"/>
      <c r="AC4018" s="73"/>
    </row>
    <row r="4019" spans="1:29">
      <c r="A4019" s="327" t="str">
        <f>IF(AND($B4019&lt;&gt;"",$C4019&lt;&gt;""),MAX($A$1556:A3994)+1,"")</f>
        <v/>
      </c>
      <c r="B4019" s="361" t="s">
        <v>2845</v>
      </c>
      <c r="C4019" s="360"/>
      <c r="D4019" s="327">
        <f>IF($B4019="","",COUNTIF($B$6:$B4019,$B4019))</f>
        <v>16</v>
      </c>
      <c r="E4019" s="430">
        <v>349187</v>
      </c>
      <c r="F4019" s="362" t="s">
        <v>1390</v>
      </c>
      <c r="G4019" s="327" t="s">
        <v>155</v>
      </c>
      <c r="H4019" s="361"/>
      <c r="I4019" s="327">
        <v>6</v>
      </c>
      <c r="J4019" s="345"/>
      <c r="K4019" s="327"/>
      <c r="L4019" s="389">
        <f t="shared" si="343"/>
        <v>145840.19999999998</v>
      </c>
      <c r="M4019" s="371"/>
      <c r="N4019" s="355" t="str">
        <f t="shared" si="345"/>
        <v>PK</v>
      </c>
      <c r="O4019" s="345"/>
      <c r="P4019" s="392"/>
      <c r="Q4019" s="441">
        <v>6.27</v>
      </c>
      <c r="R4019" s="441"/>
      <c r="S4019" s="351"/>
      <c r="T4019" s="351"/>
      <c r="U4019" s="329" t="str">
        <f>IF($N4019=$N$4,IFERROR(INDEX(DanhMuc!$E$154:$E$165,MATCH(MID($B4019,4,2),DanhMuc!$B$154:$B$165,0)),""),"")</f>
        <v/>
      </c>
      <c r="V4019" s="361"/>
      <c r="W4019" s="345"/>
      <c r="X4019" s="329" t="str">
        <f t="shared" si="344"/>
        <v>RT</v>
      </c>
      <c r="Y4019" s="1128" t="s">
        <v>3380</v>
      </c>
      <c r="Z4019" s="1128" t="s">
        <v>3381</v>
      </c>
      <c r="AA4019" s="1128" t="s">
        <v>3384</v>
      </c>
      <c r="AB4019" s="20"/>
      <c r="AC4019" s="73"/>
    </row>
    <row r="4020" spans="1:29">
      <c r="A4020" s="327" t="str">
        <f>IF(AND($B4020&lt;&gt;"",$C4020&lt;&gt;""),MAX($A$1556:A3995)+1,"")</f>
        <v/>
      </c>
      <c r="B4020" s="361" t="s">
        <v>2845</v>
      </c>
      <c r="C4020" s="360"/>
      <c r="D4020" s="327">
        <f>IF($B4020="","",COUNTIF($B$6:$B4020,$B4020))</f>
        <v>17</v>
      </c>
      <c r="E4020" s="430">
        <v>260434</v>
      </c>
      <c r="F4020" s="431" t="s">
        <v>1391</v>
      </c>
      <c r="G4020" s="327" t="s">
        <v>155</v>
      </c>
      <c r="H4020" s="361"/>
      <c r="I4020" s="327">
        <v>3</v>
      </c>
      <c r="J4020" s="345"/>
      <c r="K4020" s="327"/>
      <c r="L4020" s="389">
        <f t="shared" si="343"/>
        <v>31168.400000000001</v>
      </c>
      <c r="M4020" s="371"/>
      <c r="N4020" s="355" t="str">
        <f t="shared" si="345"/>
        <v>PK</v>
      </c>
      <c r="O4020" s="345"/>
      <c r="P4020" s="392"/>
      <c r="Q4020" s="441">
        <v>1.34</v>
      </c>
      <c r="R4020" s="441"/>
      <c r="S4020" s="351"/>
      <c r="T4020" s="351"/>
      <c r="U4020" s="329" t="str">
        <f>IF($N4020=$N$4,IFERROR(INDEX(DanhMuc!$E$154:$E$165,MATCH(MID($B4020,4,2),DanhMuc!$B$154:$B$165,0)),""),"")</f>
        <v/>
      </c>
      <c r="V4020" s="361"/>
      <c r="W4020" s="345"/>
      <c r="X4020" s="329" t="str">
        <f t="shared" si="344"/>
        <v>RT</v>
      </c>
      <c r="Y4020" s="1128" t="s">
        <v>3380</v>
      </c>
      <c r="Z4020" s="1128" t="s">
        <v>3381</v>
      </c>
      <c r="AA4020" s="1128" t="s">
        <v>3384</v>
      </c>
      <c r="AB4020" s="20"/>
      <c r="AC4020" s="73"/>
    </row>
    <row r="4021" spans="1:29">
      <c r="A4021" s="327" t="str">
        <f>IF(AND($B4021&lt;&gt;"",$C4021&lt;&gt;""),MAX($A$1556:A3996)+1,"")</f>
        <v/>
      </c>
      <c r="B4021" s="361" t="s">
        <v>2845</v>
      </c>
      <c r="C4021" s="360"/>
      <c r="D4021" s="327">
        <f>IF($B4021="","",COUNTIF($B$6:$B4021,$B4021))</f>
        <v>18</v>
      </c>
      <c r="E4021" s="430">
        <v>339395</v>
      </c>
      <c r="F4021" s="431" t="s">
        <v>1392</v>
      </c>
      <c r="G4021" s="351" t="s">
        <v>155</v>
      </c>
      <c r="H4021" s="361"/>
      <c r="I4021" s="327">
        <v>4</v>
      </c>
      <c r="J4021" s="345"/>
      <c r="K4021" s="327"/>
      <c r="L4021" s="389">
        <f t="shared" si="343"/>
        <v>37216</v>
      </c>
      <c r="M4021" s="371"/>
      <c r="N4021" s="355" t="str">
        <f t="shared" si="345"/>
        <v>PK</v>
      </c>
      <c r="O4021" s="404" t="s">
        <v>1623</v>
      </c>
      <c r="P4021" s="392"/>
      <c r="Q4021" s="441">
        <v>1.6</v>
      </c>
      <c r="R4021" s="441"/>
      <c r="S4021" s="351"/>
      <c r="T4021" s="351"/>
      <c r="U4021" s="329" t="str">
        <f>IF($N4021=$N$4,IFERROR(INDEX(DanhMuc!$E$154:$E$165,MATCH(MID($B4021,4,2),DanhMuc!$B$154:$B$165,0)),""),"")</f>
        <v/>
      </c>
      <c r="V4021" s="361"/>
      <c r="W4021" s="345"/>
      <c r="X4021" s="329" t="str">
        <f t="shared" si="344"/>
        <v>RT</v>
      </c>
      <c r="Y4021" s="1128" t="s">
        <v>3380</v>
      </c>
      <c r="Z4021" s="1128" t="s">
        <v>3381</v>
      </c>
      <c r="AA4021" s="1128" t="s">
        <v>3384</v>
      </c>
      <c r="AB4021" s="20"/>
      <c r="AC4021" s="73"/>
    </row>
    <row r="4022" spans="1:29">
      <c r="A4022" s="327" t="str">
        <f>IF(AND($B4022&lt;&gt;"",$C4022&lt;&gt;""),MAX($A$1556:A3997)+1,"")</f>
        <v/>
      </c>
      <c r="B4022" s="361" t="s">
        <v>2845</v>
      </c>
      <c r="C4022" s="360"/>
      <c r="D4022" s="327">
        <f>IF($B4022="","",COUNTIF($B$6:$B4022,$B4022))</f>
        <v>19</v>
      </c>
      <c r="E4022" s="430">
        <v>229107</v>
      </c>
      <c r="F4022" s="431" t="s">
        <v>1456</v>
      </c>
      <c r="G4022" s="351" t="s">
        <v>155</v>
      </c>
      <c r="H4022" s="361"/>
      <c r="I4022" s="327">
        <v>1</v>
      </c>
      <c r="J4022" s="345"/>
      <c r="K4022" s="327"/>
      <c r="L4022" s="389">
        <v>23600</v>
      </c>
      <c r="M4022" s="371"/>
      <c r="N4022" s="355" t="str">
        <f t="shared" si="345"/>
        <v>PK</v>
      </c>
      <c r="O4022" s="345"/>
      <c r="P4022" s="392"/>
      <c r="Q4022" s="441"/>
      <c r="R4022" s="441"/>
      <c r="S4022" s="351"/>
      <c r="T4022" s="351"/>
      <c r="U4022" s="329" t="str">
        <f>IF($N4022=$N$4,IFERROR(INDEX(DanhMuc!$E$154:$E$165,MATCH(MID($B4022,4,2),DanhMuc!$B$154:$B$165,0)),""),"")</f>
        <v/>
      </c>
      <c r="V4022" s="361"/>
      <c r="W4022" s="345"/>
      <c r="X4022" s="329" t="str">
        <f t="shared" si="344"/>
        <v>RT</v>
      </c>
      <c r="Y4022" s="1128" t="s">
        <v>3380</v>
      </c>
      <c r="Z4022" s="1128" t="s">
        <v>3381</v>
      </c>
      <c r="AA4022" s="1128" t="s">
        <v>3384</v>
      </c>
      <c r="AB4022" s="20"/>
      <c r="AC4022" s="73"/>
    </row>
    <row r="4023" spans="1:29">
      <c r="A4023" s="327" t="str">
        <f>IF(AND($B4023&lt;&gt;"",$C4023&lt;&gt;""),MAX($A$1556:A3998)+1,"")</f>
        <v/>
      </c>
      <c r="B4023" s="361" t="s">
        <v>2845</v>
      </c>
      <c r="C4023" s="360"/>
      <c r="D4023" s="327">
        <f>IF($B4023="","",COUNTIF($B$6:$B4023,$B4023))</f>
        <v>20</v>
      </c>
      <c r="E4023" s="430">
        <v>229117</v>
      </c>
      <c r="F4023" s="431" t="s">
        <v>1457</v>
      </c>
      <c r="G4023" s="351" t="s">
        <v>155</v>
      </c>
      <c r="H4023" s="361"/>
      <c r="I4023" s="327">
        <v>1</v>
      </c>
      <c r="J4023" s="345"/>
      <c r="K4023" s="327"/>
      <c r="L4023" s="389">
        <v>23600</v>
      </c>
      <c r="M4023" s="371"/>
      <c r="N4023" s="355" t="str">
        <f t="shared" si="345"/>
        <v>PK</v>
      </c>
      <c r="O4023" s="345"/>
      <c r="P4023" s="392"/>
      <c r="Q4023" s="441"/>
      <c r="R4023" s="441"/>
      <c r="S4023" s="351"/>
      <c r="T4023" s="351"/>
      <c r="U4023" s="329" t="str">
        <f>IF($N4023=$N$4,IFERROR(INDEX(DanhMuc!$E$154:$E$165,MATCH(MID($B4023,4,2),DanhMuc!$B$154:$B$165,0)),""),"")</f>
        <v/>
      </c>
      <c r="V4023" s="361"/>
      <c r="W4023" s="345"/>
      <c r="X4023" s="329" t="str">
        <f t="shared" si="344"/>
        <v>RT</v>
      </c>
      <c r="Y4023" s="1128" t="s">
        <v>3380</v>
      </c>
      <c r="Z4023" s="1128" t="s">
        <v>3381</v>
      </c>
      <c r="AA4023" s="1128" t="s">
        <v>3384</v>
      </c>
      <c r="AB4023" s="20"/>
      <c r="AC4023" s="73"/>
    </row>
    <row r="4024" spans="1:29">
      <c r="A4024" s="327" t="str">
        <f>IF(AND($B4024&lt;&gt;"",$C4024&lt;&gt;""),MAX($A$1556:A3999)+1,"")</f>
        <v/>
      </c>
      <c r="B4024" s="361" t="s">
        <v>2845</v>
      </c>
      <c r="C4024" s="360"/>
      <c r="D4024" s="327">
        <f>IF($B4024="","",COUNTIF($B$6:$B4024,$B4024))</f>
        <v>21</v>
      </c>
      <c r="E4024" s="430">
        <v>445213</v>
      </c>
      <c r="F4024" s="431" t="s">
        <v>1963</v>
      </c>
      <c r="G4024" s="351" t="s">
        <v>155</v>
      </c>
      <c r="H4024" s="361"/>
      <c r="I4024" s="327">
        <v>1</v>
      </c>
      <c r="J4024" s="345"/>
      <c r="K4024" s="327"/>
      <c r="L4024" s="389">
        <f t="shared" si="343"/>
        <v>294239</v>
      </c>
      <c r="M4024" s="371"/>
      <c r="N4024" s="355" t="str">
        <f t="shared" si="345"/>
        <v>PK</v>
      </c>
      <c r="O4024" s="345"/>
      <c r="P4024" s="392"/>
      <c r="Q4024" s="441">
        <v>12.65</v>
      </c>
      <c r="R4024" s="441"/>
      <c r="S4024" s="351"/>
      <c r="T4024" s="351"/>
      <c r="U4024" s="329" t="str">
        <f>IF($N4024=$N$4,IFERROR(INDEX(DanhMuc!$E$154:$E$165,MATCH(MID($B4024,4,2),DanhMuc!$B$154:$B$165,0)),""),"")</f>
        <v/>
      </c>
      <c r="V4024" s="361"/>
      <c r="W4024" s="345"/>
      <c r="X4024" s="329" t="str">
        <f t="shared" si="344"/>
        <v>RT</v>
      </c>
      <c r="Y4024" s="1128" t="s">
        <v>3380</v>
      </c>
      <c r="Z4024" s="1128" t="s">
        <v>3381</v>
      </c>
      <c r="AA4024" s="1128" t="s">
        <v>3384</v>
      </c>
      <c r="AB4024" s="20"/>
      <c r="AC4024" s="73"/>
    </row>
    <row r="4025" spans="1:29" ht="26">
      <c r="A4025" s="327">
        <f>IF(AND($B4025&lt;&gt;"",$C4025&lt;&gt;""),MAX($A$1556:A4000)+1,"")</f>
        <v>190</v>
      </c>
      <c r="B4025" s="359" t="s">
        <v>2031</v>
      </c>
      <c r="C4025" s="370" t="s">
        <v>1576</v>
      </c>
      <c r="D4025" s="327">
        <f>IF($B4025="","",COUNTIF($B$6:$B4025,$B4025))</f>
        <v>1</v>
      </c>
      <c r="E4025" s="430">
        <v>770011</v>
      </c>
      <c r="F4025" s="362" t="s">
        <v>1396</v>
      </c>
      <c r="G4025" s="351" t="s">
        <v>155</v>
      </c>
      <c r="H4025" s="361"/>
      <c r="I4025" s="327">
        <v>1</v>
      </c>
      <c r="J4025" s="361"/>
      <c r="K4025" s="327"/>
      <c r="L4025" s="389">
        <f t="shared" si="343"/>
        <v>294704.2</v>
      </c>
      <c r="M4025" s="371"/>
      <c r="N4025" s="355" t="str">
        <f t="shared" si="345"/>
        <v>PK</v>
      </c>
      <c r="O4025" s="345" t="s">
        <v>1784</v>
      </c>
      <c r="P4025" s="392"/>
      <c r="Q4025" s="441">
        <v>12.67</v>
      </c>
      <c r="R4025" s="441"/>
      <c r="S4025" s="351"/>
      <c r="T4025" s="351"/>
      <c r="U4025" s="329" t="str">
        <f>IF($N4025=$N$4,IFERROR(INDEX(DanhMuc!$E$154:$E$165,MATCH(MID($B4025,4,2),DanhMuc!$B$154:$B$165,0)),""),"")</f>
        <v/>
      </c>
      <c r="V4025" s="361"/>
      <c r="W4025" s="345"/>
      <c r="X4025" s="329" t="str">
        <f t="shared" si="344"/>
        <v>RT</v>
      </c>
      <c r="Y4025" s="1128" t="s">
        <v>3380</v>
      </c>
      <c r="Z4025" s="1128" t="s">
        <v>3381</v>
      </c>
      <c r="AA4025" s="1128" t="s">
        <v>3384</v>
      </c>
      <c r="AB4025" s="20"/>
      <c r="AC4025" s="73"/>
    </row>
    <row r="4026" spans="1:29" ht="25">
      <c r="A4026" s="327" t="str">
        <f>IF(AND($B4026&lt;&gt;"",$C4026&lt;&gt;""),MAX($A$1556:A4001)+1,"")</f>
        <v/>
      </c>
      <c r="B4026" s="361" t="s">
        <v>2031</v>
      </c>
      <c r="C4026" s="360"/>
      <c r="D4026" s="327">
        <f>IF($B4026="","",COUNTIF($B$6:$B4026,$B4026))</f>
        <v>2</v>
      </c>
      <c r="E4026" s="430">
        <v>770007</v>
      </c>
      <c r="F4026" s="362" t="s">
        <v>1397</v>
      </c>
      <c r="G4026" s="351" t="s">
        <v>155</v>
      </c>
      <c r="H4026" s="361"/>
      <c r="I4026" s="327">
        <v>1</v>
      </c>
      <c r="J4026" s="345"/>
      <c r="K4026" s="327"/>
      <c r="L4026" s="389">
        <f t="shared" si="343"/>
        <v>300519.2</v>
      </c>
      <c r="M4026" s="371"/>
      <c r="N4026" s="355" t="str">
        <f t="shared" si="345"/>
        <v>PK</v>
      </c>
      <c r="O4026" s="345" t="s">
        <v>1784</v>
      </c>
      <c r="P4026" s="392"/>
      <c r="Q4026" s="441">
        <v>12.92</v>
      </c>
      <c r="R4026" s="441"/>
      <c r="S4026" s="351"/>
      <c r="T4026" s="351"/>
      <c r="U4026" s="329" t="str">
        <f>IF($N4026=$N$4,IFERROR(INDEX(DanhMuc!$E$154:$E$165,MATCH(MID($B4026,4,2),DanhMuc!$B$154:$B$165,0)),""),"")</f>
        <v/>
      </c>
      <c r="V4026" s="361"/>
      <c r="W4026" s="345"/>
      <c r="X4026" s="329" t="str">
        <f t="shared" si="344"/>
        <v>RT</v>
      </c>
      <c r="Y4026" s="1128" t="s">
        <v>3380</v>
      </c>
      <c r="Z4026" s="1128" t="s">
        <v>3381</v>
      </c>
      <c r="AA4026" s="1128" t="s">
        <v>3384</v>
      </c>
      <c r="AB4026" s="20"/>
      <c r="AC4026" s="73"/>
    </row>
    <row r="4027" spans="1:29" ht="25">
      <c r="A4027" s="327" t="str">
        <f>IF(AND($B4027&lt;&gt;"",$C4027&lt;&gt;""),MAX($A$1556:A4002)+1,"")</f>
        <v/>
      </c>
      <c r="B4027" s="361" t="s">
        <v>2031</v>
      </c>
      <c r="C4027" s="360"/>
      <c r="D4027" s="327">
        <f>IF($B4027="","",COUNTIF($B$6:$B4027,$B4027))</f>
        <v>3</v>
      </c>
      <c r="E4027" s="411">
        <v>613234</v>
      </c>
      <c r="F4027" s="362" t="s">
        <v>1974</v>
      </c>
      <c r="G4027" s="351" t="s">
        <v>155</v>
      </c>
      <c r="H4027" s="361"/>
      <c r="I4027" s="327">
        <v>1</v>
      </c>
      <c r="J4027" s="345"/>
      <c r="K4027" s="327"/>
      <c r="L4027" s="389">
        <f t="shared" si="343"/>
        <v>304240.8</v>
      </c>
      <c r="M4027" s="371"/>
      <c r="N4027" s="355" t="str">
        <f t="shared" si="345"/>
        <v>PK</v>
      </c>
      <c r="O4027" s="345" t="s">
        <v>1785</v>
      </c>
      <c r="P4027" s="392"/>
      <c r="Q4027" s="441">
        <v>13.08</v>
      </c>
      <c r="R4027" s="441"/>
      <c r="S4027" s="351"/>
      <c r="T4027" s="351"/>
      <c r="U4027" s="329" t="str">
        <f>IF($N4027=$N$4,IFERROR(INDEX(DanhMuc!$E$154:$E$165,MATCH(MID($B4027,4,2),DanhMuc!$B$154:$B$165,0)),""),"")</f>
        <v/>
      </c>
      <c r="V4027" s="361">
        <v>770009</v>
      </c>
      <c r="W4027" s="345"/>
      <c r="X4027" s="329" t="str">
        <f t="shared" si="344"/>
        <v>RT</v>
      </c>
      <c r="Y4027" s="1128" t="s">
        <v>3380</v>
      </c>
      <c r="Z4027" s="1128" t="s">
        <v>3381</v>
      </c>
      <c r="AA4027" s="1128" t="s">
        <v>3384</v>
      </c>
      <c r="AB4027" s="20"/>
      <c r="AC4027" s="73"/>
    </row>
    <row r="4028" spans="1:29" ht="25">
      <c r="A4028" s="327" t="str">
        <f>IF(AND($B4028&lt;&gt;"",$C4028&lt;&gt;""),MAX($A$1556:A4003)+1,"")</f>
        <v/>
      </c>
      <c r="B4028" s="361" t="s">
        <v>2031</v>
      </c>
      <c r="C4028" s="360"/>
      <c r="D4028" s="327">
        <f>IF($B4028="","",COUNTIF($B$6:$B4028,$B4028))</f>
        <v>4</v>
      </c>
      <c r="E4028" s="430">
        <v>770005</v>
      </c>
      <c r="F4028" s="362" t="s">
        <v>1399</v>
      </c>
      <c r="G4028" s="351" t="s">
        <v>155</v>
      </c>
      <c r="H4028" s="361"/>
      <c r="I4028" s="327">
        <v>1</v>
      </c>
      <c r="J4028" s="345"/>
      <c r="K4028" s="327"/>
      <c r="L4028" s="389">
        <f t="shared" si="343"/>
        <v>271211.59999999998</v>
      </c>
      <c r="M4028" s="371"/>
      <c r="N4028" s="355" t="str">
        <f t="shared" si="345"/>
        <v>PK</v>
      </c>
      <c r="O4028" s="345" t="s">
        <v>1785</v>
      </c>
      <c r="P4028" s="392"/>
      <c r="Q4028" s="441">
        <v>11.66</v>
      </c>
      <c r="R4028" s="441"/>
      <c r="S4028" s="351"/>
      <c r="T4028" s="351"/>
      <c r="U4028" s="329" t="str">
        <f>IF($N4028=$N$4,IFERROR(INDEX(DanhMuc!$E$154:$E$165,MATCH(MID($B4028,4,2),DanhMuc!$B$154:$B$165,0)),""),"")</f>
        <v/>
      </c>
      <c r="V4028" s="361"/>
      <c r="W4028" s="345"/>
      <c r="X4028" s="329" t="str">
        <f t="shared" si="344"/>
        <v>RT</v>
      </c>
      <c r="Y4028" s="1128" t="s">
        <v>3380</v>
      </c>
      <c r="Z4028" s="1128" t="s">
        <v>3381</v>
      </c>
      <c r="AA4028" s="1128" t="s">
        <v>3384</v>
      </c>
      <c r="AB4028" s="20"/>
      <c r="AC4028" s="73"/>
    </row>
    <row r="4029" spans="1:29" ht="25">
      <c r="A4029" s="327" t="str">
        <f>IF(AND($B4029&lt;&gt;"",$C4029&lt;&gt;""),MAX($A$1556:A4004)+1,"")</f>
        <v/>
      </c>
      <c r="B4029" s="361" t="s">
        <v>2031</v>
      </c>
      <c r="C4029" s="360"/>
      <c r="D4029" s="327">
        <f>IF($B4029="","",COUNTIF($B$6:$B4029,$B4029))</f>
        <v>5</v>
      </c>
      <c r="E4029" s="430">
        <v>774436</v>
      </c>
      <c r="F4029" s="362" t="s">
        <v>1935</v>
      </c>
      <c r="G4029" s="351" t="s">
        <v>155</v>
      </c>
      <c r="H4029" s="361"/>
      <c r="I4029" s="327">
        <v>1</v>
      </c>
      <c r="J4029" s="345"/>
      <c r="K4029" s="327"/>
      <c r="L4029" s="389">
        <f t="shared" si="343"/>
        <v>273770.2</v>
      </c>
      <c r="M4029" s="371"/>
      <c r="N4029" s="355" t="str">
        <f t="shared" si="345"/>
        <v>PK</v>
      </c>
      <c r="O4029" s="345" t="s">
        <v>1786</v>
      </c>
      <c r="P4029" s="392"/>
      <c r="Q4029" s="441">
        <v>11.77</v>
      </c>
      <c r="R4029" s="441"/>
      <c r="S4029" s="351"/>
      <c r="T4029" s="351"/>
      <c r="U4029" s="329" t="str">
        <f>IF($N4029=$N$4,IFERROR(INDEX(DanhMuc!$E$154:$E$165,MATCH(MID($B4029,4,2),DanhMuc!$B$154:$B$165,0)),""),"")</f>
        <v/>
      </c>
      <c r="V4029" s="361">
        <v>774436</v>
      </c>
      <c r="W4029" s="345"/>
      <c r="X4029" s="329" t="str">
        <f t="shared" si="344"/>
        <v>RT</v>
      </c>
      <c r="Y4029" s="1128" t="s">
        <v>3380</v>
      </c>
      <c r="Z4029" s="1128" t="s">
        <v>3381</v>
      </c>
      <c r="AA4029" s="1128" t="s">
        <v>3384</v>
      </c>
      <c r="AB4029" s="20"/>
      <c r="AC4029" s="73"/>
    </row>
    <row r="4030" spans="1:29" ht="25">
      <c r="A4030" s="327" t="str">
        <f>IF(AND($B4030&lt;&gt;"",$C4030&lt;&gt;""),MAX($A$1556:A4005)+1,"")</f>
        <v/>
      </c>
      <c r="B4030" s="361" t="s">
        <v>2031</v>
      </c>
      <c r="C4030" s="360"/>
      <c r="D4030" s="327">
        <f>IF($B4030="","",COUNTIF($B$6:$B4030,$B4030))</f>
        <v>6</v>
      </c>
      <c r="E4030" s="411">
        <v>613191</v>
      </c>
      <c r="F4030" s="362" t="s">
        <v>1973</v>
      </c>
      <c r="G4030" s="351" t="s">
        <v>155</v>
      </c>
      <c r="H4030" s="361"/>
      <c r="I4030" s="327">
        <v>1</v>
      </c>
      <c r="J4030" s="345"/>
      <c r="K4030" s="327"/>
      <c r="L4030" s="389">
        <f t="shared" si="343"/>
        <v>249579.80000000002</v>
      </c>
      <c r="M4030" s="371"/>
      <c r="N4030" s="355" t="str">
        <f t="shared" si="345"/>
        <v>PK</v>
      </c>
      <c r="O4030" s="345" t="s">
        <v>1786</v>
      </c>
      <c r="P4030" s="392"/>
      <c r="Q4030" s="441">
        <v>10.73</v>
      </c>
      <c r="R4030" s="441"/>
      <c r="S4030" s="351"/>
      <c r="T4030" s="351"/>
      <c r="U4030" s="329" t="str">
        <f>IF($N4030=$N$4,IFERROR(INDEX(DanhMuc!$E$154:$E$165,MATCH(MID($B4030,4,2),DanhMuc!$B$154:$B$165,0)),""),"")</f>
        <v/>
      </c>
      <c r="V4030" s="361">
        <v>774442</v>
      </c>
      <c r="W4030" s="345"/>
      <c r="X4030" s="329" t="str">
        <f t="shared" si="344"/>
        <v>RT</v>
      </c>
      <c r="Y4030" s="1128" t="s">
        <v>3380</v>
      </c>
      <c r="Z4030" s="1128" t="s">
        <v>3381</v>
      </c>
      <c r="AA4030" s="1128" t="s">
        <v>3384</v>
      </c>
      <c r="AB4030" s="20"/>
      <c r="AC4030" s="73"/>
    </row>
    <row r="4031" spans="1:29">
      <c r="A4031" s="327" t="str">
        <f>IF(AND($B4031&lt;&gt;"",$C4031&lt;&gt;""),MAX($A$1556:A4006)+1,"")</f>
        <v/>
      </c>
      <c r="B4031" s="361" t="s">
        <v>2031</v>
      </c>
      <c r="C4031" s="360"/>
      <c r="D4031" s="327">
        <f>IF($B4031="","",COUNTIF($B$6:$B4031,$B4031))</f>
        <v>7</v>
      </c>
      <c r="E4031" s="430">
        <v>570810</v>
      </c>
      <c r="F4031" s="362" t="s">
        <v>1401</v>
      </c>
      <c r="G4031" s="327" t="s">
        <v>155</v>
      </c>
      <c r="H4031" s="361"/>
      <c r="I4031" s="327">
        <v>1</v>
      </c>
      <c r="J4031" s="345"/>
      <c r="K4031" s="327"/>
      <c r="L4031" s="389">
        <f t="shared" si="343"/>
        <v>120952</v>
      </c>
      <c r="M4031" s="371"/>
      <c r="N4031" s="355" t="str">
        <f t="shared" si="345"/>
        <v>PK</v>
      </c>
      <c r="O4031" s="345"/>
      <c r="P4031" s="392"/>
      <c r="Q4031" s="441">
        <v>5.2</v>
      </c>
      <c r="R4031" s="441"/>
      <c r="S4031" s="351"/>
      <c r="T4031" s="351"/>
      <c r="U4031" s="329" t="str">
        <f>IF($N4031=$N$4,IFERROR(INDEX(DanhMuc!$E$154:$E$165,MATCH(MID($B4031,4,2),DanhMuc!$B$154:$B$165,0)),""),"")</f>
        <v/>
      </c>
      <c r="V4031" s="361"/>
      <c r="W4031" s="345"/>
      <c r="X4031" s="329" t="str">
        <f t="shared" si="344"/>
        <v>RT</v>
      </c>
      <c r="Y4031" s="1128" t="s">
        <v>3380</v>
      </c>
      <c r="Z4031" s="1128" t="s">
        <v>3381</v>
      </c>
      <c r="AA4031" s="1128" t="s">
        <v>3384</v>
      </c>
      <c r="AB4031" s="20"/>
      <c r="AC4031" s="73"/>
    </row>
    <row r="4032" spans="1:29" ht="25">
      <c r="A4032" s="327" t="str">
        <f>IF(AND($B4032&lt;&gt;"",$C4032&lt;&gt;""),MAX($A$1556:A4007)+1,"")</f>
        <v/>
      </c>
      <c r="B4032" s="361" t="s">
        <v>2031</v>
      </c>
      <c r="C4032" s="360"/>
      <c r="D4032" s="327">
        <f>IF($B4032="","",COUNTIF($B$6:$B4032,$B4032))</f>
        <v>8</v>
      </c>
      <c r="E4032" s="430">
        <v>738152</v>
      </c>
      <c r="F4032" s="362" t="s">
        <v>1402</v>
      </c>
      <c r="G4032" s="327" t="s">
        <v>156</v>
      </c>
      <c r="H4032" s="361"/>
      <c r="I4032" s="327">
        <v>2</v>
      </c>
      <c r="J4032" s="345"/>
      <c r="K4032" s="327"/>
      <c r="L4032" s="389">
        <f t="shared" si="343"/>
        <v>615924.80000000005</v>
      </c>
      <c r="M4032" s="371"/>
      <c r="N4032" s="355" t="str">
        <f t="shared" si="345"/>
        <v>PK</v>
      </c>
      <c r="O4032" s="345" t="s">
        <v>1053</v>
      </c>
      <c r="P4032" s="392"/>
      <c r="Q4032" s="441">
        <v>26.48</v>
      </c>
      <c r="R4032" s="441"/>
      <c r="S4032" s="351"/>
      <c r="T4032" s="351"/>
      <c r="U4032" s="329" t="str">
        <f>IF($N4032=$N$4,IFERROR(INDEX(DanhMuc!$E$154:$E$165,MATCH(MID($B4032,4,2),DanhMuc!$B$154:$B$165,0)),""),"")</f>
        <v/>
      </c>
      <c r="V4032" s="361"/>
      <c r="W4032" s="345"/>
      <c r="X4032" s="329" t="str">
        <f t="shared" si="344"/>
        <v>RT</v>
      </c>
      <c r="Y4032" s="1128" t="s">
        <v>3380</v>
      </c>
      <c r="Z4032" s="1128" t="s">
        <v>3381</v>
      </c>
      <c r="AA4032" s="1128" t="s">
        <v>3384</v>
      </c>
      <c r="AB4032" s="20"/>
      <c r="AC4032" s="73"/>
    </row>
    <row r="4033" spans="1:29" ht="25">
      <c r="A4033" s="327" t="str">
        <f>IF(AND($B4033&lt;&gt;"",$C4033&lt;&gt;""),MAX($A$1556:A4008)+1,"")</f>
        <v/>
      </c>
      <c r="B4033" s="361" t="s">
        <v>2031</v>
      </c>
      <c r="C4033" s="360"/>
      <c r="D4033" s="327">
        <f>IF($B4033="","",COUNTIF($B$6:$B4033,$B4033))</f>
        <v>9</v>
      </c>
      <c r="E4033" s="430">
        <v>774286</v>
      </c>
      <c r="F4033" s="362" t="s">
        <v>1403</v>
      </c>
      <c r="G4033" s="327" t="s">
        <v>156</v>
      </c>
      <c r="H4033" s="361"/>
      <c r="I4033" s="411" t="s">
        <v>1344</v>
      </c>
      <c r="J4033" s="345"/>
      <c r="K4033" s="327"/>
      <c r="L4033" s="389">
        <f t="shared" si="343"/>
        <v>216550.6</v>
      </c>
      <c r="M4033" s="371"/>
      <c r="N4033" s="355" t="str">
        <f t="shared" si="345"/>
        <v>PK</v>
      </c>
      <c r="O4033" s="345" t="s">
        <v>1054</v>
      </c>
      <c r="P4033" s="392"/>
      <c r="Q4033" s="441">
        <v>9.31</v>
      </c>
      <c r="R4033" s="441"/>
      <c r="S4033" s="351"/>
      <c r="T4033" s="351"/>
      <c r="U4033" s="329" t="str">
        <f>IF($N4033=$N$4,IFERROR(INDEX(DanhMuc!$E$154:$E$165,MATCH(MID($B4033,4,2),DanhMuc!$B$154:$B$165,0)),""),"")</f>
        <v/>
      </c>
      <c r="V4033" s="361"/>
      <c r="W4033" s="345"/>
      <c r="X4033" s="329" t="str">
        <f t="shared" si="344"/>
        <v>RT</v>
      </c>
      <c r="Y4033" s="1128" t="s">
        <v>3380</v>
      </c>
      <c r="Z4033" s="1128" t="s">
        <v>3381</v>
      </c>
      <c r="AA4033" s="1128" t="s">
        <v>3384</v>
      </c>
      <c r="AB4033" s="20"/>
      <c r="AC4033" s="73"/>
    </row>
    <row r="4034" spans="1:29" ht="25">
      <c r="A4034" s="327" t="str">
        <f>IF(AND($B4034&lt;&gt;"",$C4034&lt;&gt;""),MAX($A$1556:A4009)+1,"")</f>
        <v/>
      </c>
      <c r="B4034" s="361" t="s">
        <v>2031</v>
      </c>
      <c r="C4034" s="360"/>
      <c r="D4034" s="327">
        <f>IF($B4034="","",COUNTIF($B$6:$B4034,$B4034))</f>
        <v>10</v>
      </c>
      <c r="E4034" s="430">
        <v>774287</v>
      </c>
      <c r="F4034" s="362" t="s">
        <v>1404</v>
      </c>
      <c r="G4034" s="327" t="s">
        <v>156</v>
      </c>
      <c r="H4034" s="361"/>
      <c r="I4034" s="411" t="s">
        <v>1343</v>
      </c>
      <c r="J4034" s="345"/>
      <c r="K4034" s="327"/>
      <c r="L4034" s="389">
        <f t="shared" si="343"/>
        <v>399374.2</v>
      </c>
      <c r="M4034" s="371"/>
      <c r="N4034" s="355" t="str">
        <f t="shared" si="345"/>
        <v>PK</v>
      </c>
      <c r="O4034" s="345" t="s">
        <v>1054</v>
      </c>
      <c r="P4034" s="392"/>
      <c r="Q4034" s="441">
        <v>17.170000000000002</v>
      </c>
      <c r="R4034" s="441"/>
      <c r="S4034" s="351"/>
      <c r="T4034" s="351"/>
      <c r="U4034" s="329" t="str">
        <f>IF($N4034=$N$4,IFERROR(INDEX(DanhMuc!$E$154:$E$165,MATCH(MID($B4034,4,2),DanhMuc!$B$154:$B$165,0)),""),"")</f>
        <v/>
      </c>
      <c r="V4034" s="361"/>
      <c r="W4034" s="345"/>
      <c r="X4034" s="329" t="str">
        <f t="shared" si="344"/>
        <v>RT</v>
      </c>
      <c r="Y4034" s="1128" t="s">
        <v>3380</v>
      </c>
      <c r="Z4034" s="1128" t="s">
        <v>3381</v>
      </c>
      <c r="AA4034" s="1128" t="s">
        <v>3384</v>
      </c>
      <c r="AB4034" s="20"/>
      <c r="AC4034" s="73"/>
    </row>
    <row r="4035" spans="1:29">
      <c r="A4035" s="327" t="str">
        <f>IF(AND($B4035&lt;&gt;"",$C4035&lt;&gt;""),MAX($A$1556:A4010)+1,"")</f>
        <v/>
      </c>
      <c r="B4035" s="361" t="s">
        <v>2031</v>
      </c>
      <c r="C4035" s="360"/>
      <c r="D4035" s="327">
        <f>IF($B4035="","",COUNTIF($B$6:$B4035,$B4035))</f>
        <v>11</v>
      </c>
      <c r="E4035" s="411">
        <v>616040</v>
      </c>
      <c r="F4035" s="403" t="s">
        <v>1405</v>
      </c>
      <c r="G4035" s="410" t="s">
        <v>155</v>
      </c>
      <c r="H4035" s="402"/>
      <c r="I4035" s="410">
        <v>4</v>
      </c>
      <c r="J4035" s="345"/>
      <c r="K4035" s="327"/>
      <c r="L4035" s="389">
        <f t="shared" si="343"/>
        <v>62104.2</v>
      </c>
      <c r="M4035" s="371"/>
      <c r="N4035" s="355" t="str">
        <f t="shared" si="345"/>
        <v>PK</v>
      </c>
      <c r="O4035" s="345" t="s">
        <v>1705</v>
      </c>
      <c r="P4035" s="392"/>
      <c r="Q4035" s="441">
        <v>2.67</v>
      </c>
      <c r="R4035" s="441"/>
      <c r="S4035" s="351"/>
      <c r="T4035" s="351"/>
      <c r="U4035" s="329" t="str">
        <f>IF($N4035=$N$4,IFERROR(INDEX(DanhMuc!$E$154:$E$165,MATCH(MID($B4035,4,2),DanhMuc!$B$154:$B$165,0)),""),"")</f>
        <v/>
      </c>
      <c r="V4035" s="361"/>
      <c r="W4035" s="345"/>
      <c r="X4035" s="329" t="str">
        <f t="shared" si="344"/>
        <v>RT</v>
      </c>
      <c r="Y4035" s="1128" t="s">
        <v>3380</v>
      </c>
      <c r="Z4035" s="1128" t="s">
        <v>3381</v>
      </c>
      <c r="AA4035" s="1128" t="s">
        <v>3384</v>
      </c>
      <c r="AB4035" s="20"/>
      <c r="AC4035" s="73"/>
    </row>
    <row r="4036" spans="1:29">
      <c r="A4036" s="327" t="str">
        <f>IF(AND($B4036&lt;&gt;"",$C4036&lt;&gt;""),MAX($A$1556:A4011)+1,"")</f>
        <v/>
      </c>
      <c r="B4036" s="361" t="s">
        <v>2031</v>
      </c>
      <c r="C4036" s="360"/>
      <c r="D4036" s="327">
        <f>IF($B4036="","",COUNTIF($B$6:$B4036,$B4036))</f>
        <v>12</v>
      </c>
      <c r="E4036" s="411">
        <v>615951</v>
      </c>
      <c r="F4036" s="403" t="s">
        <v>1406</v>
      </c>
      <c r="G4036" s="410" t="s">
        <v>155</v>
      </c>
      <c r="H4036" s="402"/>
      <c r="I4036" s="410">
        <v>4</v>
      </c>
      <c r="J4036" s="345"/>
      <c r="K4036" s="327"/>
      <c r="L4036" s="389">
        <f t="shared" si="343"/>
        <v>120952</v>
      </c>
      <c r="M4036" s="371"/>
      <c r="N4036" s="355" t="str">
        <f t="shared" si="345"/>
        <v>PK</v>
      </c>
      <c r="O4036" s="345" t="s">
        <v>1704</v>
      </c>
      <c r="P4036" s="392"/>
      <c r="Q4036" s="441">
        <v>5.2</v>
      </c>
      <c r="R4036" s="441"/>
      <c r="S4036" s="351"/>
      <c r="T4036" s="351"/>
      <c r="U4036" s="329" t="str">
        <f>IF($N4036=$N$4,IFERROR(INDEX(DanhMuc!$E$154:$E$165,MATCH(MID($B4036,4,2),DanhMuc!$B$154:$B$165,0)),""),"")</f>
        <v/>
      </c>
      <c r="V4036" s="361"/>
      <c r="W4036" s="345"/>
      <c r="X4036" s="329" t="str">
        <f t="shared" si="344"/>
        <v>RT</v>
      </c>
      <c r="Y4036" s="1128" t="s">
        <v>3380</v>
      </c>
      <c r="Z4036" s="1128" t="s">
        <v>3381</v>
      </c>
      <c r="AA4036" s="1128" t="s">
        <v>3384</v>
      </c>
      <c r="AB4036" s="20"/>
      <c r="AC4036" s="73"/>
    </row>
    <row r="4037" spans="1:29">
      <c r="A4037" s="327" t="str">
        <f>IF(AND($B4037&lt;&gt;"",$C4037&lt;&gt;""),MAX($A$1556:A4012)+1,"")</f>
        <v/>
      </c>
      <c r="B4037" s="361" t="s">
        <v>2031</v>
      </c>
      <c r="C4037" s="360"/>
      <c r="D4037" s="327">
        <f>IF($B4037="","",COUNTIF($B$6:$B4037,$B4037))</f>
        <v>13</v>
      </c>
      <c r="E4037" s="430">
        <v>640068</v>
      </c>
      <c r="F4037" s="362" t="s">
        <v>1407</v>
      </c>
      <c r="G4037" s="327" t="s">
        <v>155</v>
      </c>
      <c r="H4037" s="361"/>
      <c r="I4037" s="327">
        <v>1</v>
      </c>
      <c r="J4037" s="345"/>
      <c r="K4037" s="327"/>
      <c r="L4037" s="389">
        <f t="shared" si="343"/>
        <v>201431.6</v>
      </c>
      <c r="M4037" s="371"/>
      <c r="N4037" s="355" t="str">
        <f t="shared" si="345"/>
        <v>PK</v>
      </c>
      <c r="O4037" s="345" t="s">
        <v>1053</v>
      </c>
      <c r="P4037" s="392"/>
      <c r="Q4037" s="441">
        <v>8.66</v>
      </c>
      <c r="R4037" s="441"/>
      <c r="S4037" s="351"/>
      <c r="T4037" s="351"/>
      <c r="U4037" s="329" t="str">
        <f>IF($N4037=$N$4,IFERROR(INDEX(DanhMuc!$E$154:$E$165,MATCH(MID($B4037,4,2),DanhMuc!$B$154:$B$165,0)),""),"")</f>
        <v/>
      </c>
      <c r="V4037" s="361"/>
      <c r="W4037" s="345"/>
      <c r="X4037" s="329" t="str">
        <f t="shared" si="344"/>
        <v>RT</v>
      </c>
      <c r="Y4037" s="1128" t="s">
        <v>3380</v>
      </c>
      <c r="Z4037" s="1128" t="s">
        <v>3381</v>
      </c>
      <c r="AA4037" s="1128" t="s">
        <v>3384</v>
      </c>
      <c r="AB4037" s="20"/>
      <c r="AC4037" s="73"/>
    </row>
    <row r="4038" spans="1:29" ht="25">
      <c r="A4038" s="327" t="str">
        <f>IF(AND($B4038&lt;&gt;"",$C4038&lt;&gt;""),MAX($A$1556:A4013)+1,"")</f>
        <v/>
      </c>
      <c r="B4038" s="361" t="s">
        <v>2031</v>
      </c>
      <c r="C4038" s="360"/>
      <c r="D4038" s="327">
        <f>IF($B4038="","",COUNTIF($B$6:$B4038,$B4038))</f>
        <v>14</v>
      </c>
      <c r="E4038" s="430">
        <v>629551</v>
      </c>
      <c r="F4038" s="362" t="s">
        <v>1936</v>
      </c>
      <c r="G4038" s="327" t="s">
        <v>155</v>
      </c>
      <c r="H4038" s="361"/>
      <c r="I4038" s="327">
        <v>8</v>
      </c>
      <c r="J4038" s="345"/>
      <c r="K4038" s="327"/>
      <c r="L4038" s="389">
        <f t="shared" si="343"/>
        <v>31168.400000000001</v>
      </c>
      <c r="M4038" s="371"/>
      <c r="N4038" s="355" t="str">
        <f t="shared" si="345"/>
        <v>PK</v>
      </c>
      <c r="O4038" s="345" t="s">
        <v>1053</v>
      </c>
      <c r="P4038" s="392"/>
      <c r="Q4038" s="441">
        <v>1.34</v>
      </c>
      <c r="R4038" s="441"/>
      <c r="S4038" s="351"/>
      <c r="T4038" s="351"/>
      <c r="U4038" s="329" t="str">
        <f>IF($N4038=$N$4,IFERROR(INDEX(DanhMuc!$E$154:$E$165,MATCH(MID($B4038,4,2),DanhMuc!$B$154:$B$165,0)),""),"")</f>
        <v/>
      </c>
      <c r="V4038" s="361"/>
      <c r="W4038" s="345"/>
      <c r="X4038" s="329" t="str">
        <f t="shared" si="344"/>
        <v>RT</v>
      </c>
      <c r="Y4038" s="1128" t="s">
        <v>3380</v>
      </c>
      <c r="Z4038" s="1128" t="s">
        <v>3381</v>
      </c>
      <c r="AA4038" s="1128" t="s">
        <v>3384</v>
      </c>
      <c r="AB4038" s="20"/>
      <c r="AC4038" s="73"/>
    </row>
    <row r="4039" spans="1:29" ht="25">
      <c r="A4039" s="327" t="str">
        <f>IF(AND($B4039&lt;&gt;"",$C4039&lt;&gt;""),MAX($A$1556:A4014)+1,"")</f>
        <v/>
      </c>
      <c r="B4039" s="361" t="s">
        <v>2031</v>
      </c>
      <c r="C4039" s="360"/>
      <c r="D4039" s="327">
        <f>IF($B4039="","",COUNTIF($B$6:$B4039,$B4039))</f>
        <v>15</v>
      </c>
      <c r="E4039" s="430">
        <v>629551</v>
      </c>
      <c r="F4039" s="362" t="s">
        <v>1936</v>
      </c>
      <c r="G4039" s="327" t="s">
        <v>155</v>
      </c>
      <c r="H4039" s="361"/>
      <c r="I4039" s="411" t="s">
        <v>1345</v>
      </c>
      <c r="J4039" s="345"/>
      <c r="K4039" s="327"/>
      <c r="L4039" s="389">
        <f t="shared" si="343"/>
        <v>31168.400000000001</v>
      </c>
      <c r="M4039" s="371"/>
      <c r="N4039" s="355" t="str">
        <f t="shared" si="345"/>
        <v>PK</v>
      </c>
      <c r="O4039" s="345" t="s">
        <v>1054</v>
      </c>
      <c r="P4039" s="392"/>
      <c r="Q4039" s="441">
        <v>1.34</v>
      </c>
      <c r="R4039" s="441"/>
      <c r="S4039" s="351"/>
      <c r="T4039" s="351"/>
      <c r="U4039" s="329" t="str">
        <f>IF($N4039=$N$4,IFERROR(INDEX(DanhMuc!$E$154:$E$165,MATCH(MID($B4039,4,2),DanhMuc!$B$154:$B$165,0)),""),"")</f>
        <v/>
      </c>
      <c r="V4039" s="361"/>
      <c r="W4039" s="345"/>
      <c r="X4039" s="329" t="str">
        <f t="shared" si="344"/>
        <v>RT</v>
      </c>
      <c r="Y4039" s="1128" t="s">
        <v>3380</v>
      </c>
      <c r="Z4039" s="1128" t="s">
        <v>3381</v>
      </c>
      <c r="AA4039" s="1128" t="s">
        <v>3384</v>
      </c>
      <c r="AB4039" s="20"/>
      <c r="AC4039" s="73"/>
    </row>
    <row r="4040" spans="1:29">
      <c r="A4040" s="327" t="str">
        <f>IF(AND($B4040&lt;&gt;"",$C4040&lt;&gt;""),MAX($A$1556:A4015)+1,"")</f>
        <v/>
      </c>
      <c r="B4040" s="361" t="s">
        <v>2031</v>
      </c>
      <c r="C4040" s="360"/>
      <c r="D4040" s="327">
        <f>IF($B4040="","",COUNTIF($B$6:$B4040,$B4040))</f>
        <v>16</v>
      </c>
      <c r="E4040" s="411">
        <v>221847</v>
      </c>
      <c r="F4040" s="432" t="s">
        <v>1374</v>
      </c>
      <c r="G4040" s="410" t="s">
        <v>155</v>
      </c>
      <c r="H4040" s="402"/>
      <c r="I4040" s="410">
        <v>4</v>
      </c>
      <c r="J4040" s="404"/>
      <c r="K4040" s="410"/>
      <c r="L4040" s="356">
        <v>1000</v>
      </c>
      <c r="M4040" s="371"/>
      <c r="N4040" s="355" t="str">
        <f t="shared" si="345"/>
        <v>PK</v>
      </c>
      <c r="O4040" s="345"/>
      <c r="P4040" s="392"/>
      <c r="Q4040" s="356">
        <v>1000</v>
      </c>
      <c r="R4040" s="441"/>
      <c r="S4040" s="351"/>
      <c r="T4040" s="351"/>
      <c r="U4040" s="329" t="str">
        <f>IF($N4040=$N$4,IFERROR(INDEX(DanhMuc!$E$154:$E$165,MATCH(MID($B4040,4,2),DanhMuc!$B$154:$B$165,0)),""),"")</f>
        <v/>
      </c>
      <c r="V4040" s="361"/>
      <c r="W4040" s="345"/>
      <c r="X4040" s="329" t="str">
        <f t="shared" si="344"/>
        <v>RT</v>
      </c>
      <c r="Y4040" s="1128" t="s">
        <v>3380</v>
      </c>
      <c r="Z4040" s="1128" t="s">
        <v>3381</v>
      </c>
      <c r="AA4040" s="1128" t="s">
        <v>3384</v>
      </c>
      <c r="AB4040" s="20"/>
      <c r="AC4040" s="73"/>
    </row>
    <row r="4041" spans="1:29">
      <c r="A4041" s="327" t="str">
        <f>IF(AND($B4041&lt;&gt;"",$C4041&lt;&gt;""),MAX($A$1556:A4016)+1,"")</f>
        <v/>
      </c>
      <c r="B4041" s="361" t="s">
        <v>2031</v>
      </c>
      <c r="C4041" s="360"/>
      <c r="D4041" s="327">
        <f>IF($B4041="","",COUNTIF($B$6:$B4041,$B4041))</f>
        <v>17</v>
      </c>
      <c r="E4041" s="411">
        <v>221848</v>
      </c>
      <c r="F4041" s="432" t="s">
        <v>1375</v>
      </c>
      <c r="G4041" s="410" t="s">
        <v>155</v>
      </c>
      <c r="H4041" s="402"/>
      <c r="I4041" s="410">
        <v>2</v>
      </c>
      <c r="J4041" s="404"/>
      <c r="K4041" s="410"/>
      <c r="L4041" s="356">
        <v>10100</v>
      </c>
      <c r="M4041" s="371"/>
      <c r="N4041" s="355" t="str">
        <f t="shared" si="345"/>
        <v>PK</v>
      </c>
      <c r="O4041" s="345"/>
      <c r="P4041" s="392"/>
      <c r="Q4041" s="356">
        <v>10100</v>
      </c>
      <c r="R4041" s="441"/>
      <c r="S4041" s="351"/>
      <c r="T4041" s="351"/>
      <c r="U4041" s="329" t="str">
        <f>IF($N4041=$N$4,IFERROR(INDEX(DanhMuc!$E$154:$E$165,MATCH(MID($B4041,4,2),DanhMuc!$B$154:$B$165,0)),""),"")</f>
        <v/>
      </c>
      <c r="V4041" s="361"/>
      <c r="W4041" s="345"/>
      <c r="X4041" s="329" t="str">
        <f t="shared" si="344"/>
        <v>RT</v>
      </c>
      <c r="Y4041" s="1128" t="s">
        <v>3380</v>
      </c>
      <c r="Z4041" s="1128" t="s">
        <v>3381</v>
      </c>
      <c r="AA4041" s="1128" t="s">
        <v>3384</v>
      </c>
      <c r="AB4041" s="20"/>
      <c r="AC4041" s="73"/>
    </row>
    <row r="4042" spans="1:29">
      <c r="A4042" s="327" t="str">
        <f>IF(AND($B4042&lt;&gt;"",$C4042&lt;&gt;""),MAX($A$1556:A4017)+1,"")</f>
        <v/>
      </c>
      <c r="B4042" s="361" t="s">
        <v>2031</v>
      </c>
      <c r="C4042" s="360"/>
      <c r="D4042" s="327">
        <f>IF($B4042="","",COUNTIF($B$6:$B4042,$B4042))</f>
        <v>18</v>
      </c>
      <c r="E4042" s="430">
        <v>317250</v>
      </c>
      <c r="F4042" s="362" t="s">
        <v>1408</v>
      </c>
      <c r="G4042" s="327" t="s">
        <v>344</v>
      </c>
      <c r="H4042" s="361"/>
      <c r="I4042" s="327">
        <v>1</v>
      </c>
      <c r="J4042" s="345"/>
      <c r="K4042" s="327"/>
      <c r="L4042" s="389">
        <f t="shared" si="343"/>
        <v>62104.2</v>
      </c>
      <c r="M4042" s="371"/>
      <c r="N4042" s="355" t="str">
        <f t="shared" si="345"/>
        <v>PK</v>
      </c>
      <c r="O4042" s="345"/>
      <c r="P4042" s="392"/>
      <c r="Q4042" s="441">
        <v>2.67</v>
      </c>
      <c r="R4042" s="441"/>
      <c r="S4042" s="351"/>
      <c r="T4042" s="351"/>
      <c r="U4042" s="329" t="str">
        <f>IF($N4042=$N$4,IFERROR(INDEX(DanhMuc!$E$154:$E$165,MATCH(MID($B4042,4,2),DanhMuc!$B$154:$B$165,0)),""),"")</f>
        <v/>
      </c>
      <c r="V4042" s="361"/>
      <c r="W4042" s="345"/>
      <c r="X4042" s="329" t="str">
        <f t="shared" si="344"/>
        <v>RT</v>
      </c>
      <c r="Y4042" s="1128" t="s">
        <v>3380</v>
      </c>
      <c r="Z4042" s="1128" t="s">
        <v>3381</v>
      </c>
      <c r="AA4042" s="1128" t="s">
        <v>3384</v>
      </c>
      <c r="AB4042" s="20"/>
      <c r="AC4042" s="73"/>
    </row>
    <row r="4043" spans="1:29" ht="26">
      <c r="A4043" s="327">
        <f>IF(AND($B4043&lt;&gt;"",$C4043&lt;&gt;""),MAX($A$1556:A4018)+1,"")</f>
        <v>190</v>
      </c>
      <c r="B4043" s="359" t="s">
        <v>2032</v>
      </c>
      <c r="C4043" s="360" t="s">
        <v>1577</v>
      </c>
      <c r="D4043" s="327">
        <f>IF($B4043="","",COUNTIF($B$6:$B4043,$B4043))</f>
        <v>1</v>
      </c>
      <c r="E4043" s="430">
        <v>770011</v>
      </c>
      <c r="F4043" s="362" t="s">
        <v>1396</v>
      </c>
      <c r="G4043" s="327" t="s">
        <v>155</v>
      </c>
      <c r="H4043" s="361"/>
      <c r="I4043" s="327">
        <v>1</v>
      </c>
      <c r="J4043" s="361"/>
      <c r="K4043" s="327"/>
      <c r="L4043" s="389">
        <f t="shared" si="343"/>
        <v>294704.2</v>
      </c>
      <c r="M4043" s="371"/>
      <c r="N4043" s="355" t="str">
        <f t="shared" si="345"/>
        <v>PK</v>
      </c>
      <c r="O4043" s="345" t="s">
        <v>1784</v>
      </c>
      <c r="P4043" s="392"/>
      <c r="Q4043" s="441">
        <v>12.67</v>
      </c>
      <c r="R4043" s="441"/>
      <c r="S4043" s="351"/>
      <c r="T4043" s="351"/>
      <c r="U4043" s="329" t="str">
        <f>IF($N4043=$N$4,IFERROR(INDEX(DanhMuc!$E$154:$E$165,MATCH(MID($B4043,4,2),DanhMuc!$B$154:$B$165,0)),""),"")</f>
        <v/>
      </c>
      <c r="V4043" s="361"/>
      <c r="W4043" s="345"/>
      <c r="X4043" s="329" t="str">
        <f t="shared" si="344"/>
        <v>RT</v>
      </c>
      <c r="Y4043" s="1128" t="s">
        <v>3380</v>
      </c>
      <c r="Z4043" s="1128" t="s">
        <v>3381</v>
      </c>
      <c r="AA4043" s="1128" t="s">
        <v>3384</v>
      </c>
      <c r="AB4043" s="20"/>
      <c r="AC4043" s="73"/>
    </row>
    <row r="4044" spans="1:29" ht="25">
      <c r="A4044" s="327" t="str">
        <f>IF(AND($B4044&lt;&gt;"",$C4044&lt;&gt;""),MAX($A$1556:A4019)+1,"")</f>
        <v/>
      </c>
      <c r="B4044" s="361" t="s">
        <v>2032</v>
      </c>
      <c r="C4044" s="360"/>
      <c r="D4044" s="327">
        <f>IF($B4044="","",COUNTIF($B$6:$B4044,$B4044))</f>
        <v>2</v>
      </c>
      <c r="E4044" s="430">
        <v>770007</v>
      </c>
      <c r="F4044" s="362" t="s">
        <v>1397</v>
      </c>
      <c r="G4044" s="327" t="s">
        <v>155</v>
      </c>
      <c r="H4044" s="361"/>
      <c r="I4044" s="327">
        <v>1</v>
      </c>
      <c r="J4044" s="345"/>
      <c r="K4044" s="327"/>
      <c r="L4044" s="389">
        <f t="shared" si="343"/>
        <v>300519.2</v>
      </c>
      <c r="M4044" s="371"/>
      <c r="N4044" s="355" t="str">
        <f t="shared" si="345"/>
        <v>PK</v>
      </c>
      <c r="O4044" s="345" t="s">
        <v>1784</v>
      </c>
      <c r="P4044" s="392"/>
      <c r="Q4044" s="441">
        <v>12.92</v>
      </c>
      <c r="R4044" s="441"/>
      <c r="S4044" s="351"/>
      <c r="T4044" s="351"/>
      <c r="U4044" s="329" t="str">
        <f>IF($N4044=$N$4,IFERROR(INDEX(DanhMuc!$E$154:$E$165,MATCH(MID($B4044,4,2),DanhMuc!$B$154:$B$165,0)),""),"")</f>
        <v/>
      </c>
      <c r="V4044" s="361"/>
      <c r="W4044" s="345"/>
      <c r="X4044" s="329" t="str">
        <f t="shared" si="344"/>
        <v>RT</v>
      </c>
      <c r="Y4044" s="1128" t="s">
        <v>3380</v>
      </c>
      <c r="Z4044" s="1128" t="s">
        <v>3381</v>
      </c>
      <c r="AA4044" s="1128" t="s">
        <v>3384</v>
      </c>
      <c r="AB4044" s="20"/>
      <c r="AC4044" s="73"/>
    </row>
    <row r="4045" spans="1:29" ht="25">
      <c r="A4045" s="327" t="str">
        <f>IF(AND($B4045&lt;&gt;"",$C4045&lt;&gt;""),MAX($A$1556:A4020)+1,"")</f>
        <v/>
      </c>
      <c r="B4045" s="361" t="s">
        <v>2032</v>
      </c>
      <c r="C4045" s="360"/>
      <c r="D4045" s="327">
        <f>IF($B4045="","",COUNTIF($B$6:$B4045,$B4045))</f>
        <v>3</v>
      </c>
      <c r="E4045" s="411">
        <v>613234</v>
      </c>
      <c r="F4045" s="362" t="s">
        <v>1398</v>
      </c>
      <c r="G4045" s="327" t="s">
        <v>155</v>
      </c>
      <c r="H4045" s="361"/>
      <c r="I4045" s="327">
        <v>1</v>
      </c>
      <c r="J4045" s="345"/>
      <c r="K4045" s="327"/>
      <c r="L4045" s="389">
        <f t="shared" si="343"/>
        <v>304240.8</v>
      </c>
      <c r="M4045" s="371"/>
      <c r="N4045" s="355" t="str">
        <f t="shared" si="345"/>
        <v>PK</v>
      </c>
      <c r="O4045" s="345" t="s">
        <v>1785</v>
      </c>
      <c r="P4045" s="392"/>
      <c r="Q4045" s="441">
        <v>13.08</v>
      </c>
      <c r="R4045" s="441"/>
      <c r="S4045" s="351"/>
      <c r="T4045" s="351"/>
      <c r="U4045" s="329" t="str">
        <f>IF($N4045=$N$4,IFERROR(INDEX(DanhMuc!$E$154:$E$165,MATCH(MID($B4045,4,2),DanhMuc!$B$154:$B$165,0)),""),"")</f>
        <v/>
      </c>
      <c r="V4045" s="361"/>
      <c r="W4045" s="345"/>
      <c r="X4045" s="329" t="str">
        <f t="shared" si="344"/>
        <v>RT</v>
      </c>
      <c r="Y4045" s="1128" t="s">
        <v>3380</v>
      </c>
      <c r="Z4045" s="1128" t="s">
        <v>3381</v>
      </c>
      <c r="AA4045" s="1128" t="s">
        <v>3384</v>
      </c>
      <c r="AB4045" s="20"/>
      <c r="AC4045" s="73"/>
    </row>
    <row r="4046" spans="1:29" ht="25">
      <c r="A4046" s="327" t="str">
        <f>IF(AND($B4046&lt;&gt;"",$C4046&lt;&gt;""),MAX($A$1556:A4021)+1,"")</f>
        <v/>
      </c>
      <c r="B4046" s="361" t="s">
        <v>2032</v>
      </c>
      <c r="C4046" s="360"/>
      <c r="D4046" s="327">
        <f>IF($B4046="","",COUNTIF($B$6:$B4046,$B4046))</f>
        <v>4</v>
      </c>
      <c r="E4046" s="430">
        <v>770005</v>
      </c>
      <c r="F4046" s="362" t="s">
        <v>1399</v>
      </c>
      <c r="G4046" s="327" t="s">
        <v>155</v>
      </c>
      <c r="H4046" s="361"/>
      <c r="I4046" s="327">
        <v>1</v>
      </c>
      <c r="J4046" s="345"/>
      <c r="K4046" s="327"/>
      <c r="L4046" s="389">
        <f t="shared" si="343"/>
        <v>271211.59999999998</v>
      </c>
      <c r="M4046" s="371"/>
      <c r="N4046" s="355" t="str">
        <f t="shared" si="345"/>
        <v>PK</v>
      </c>
      <c r="O4046" s="345" t="s">
        <v>1785</v>
      </c>
      <c r="P4046" s="392"/>
      <c r="Q4046" s="441">
        <v>11.66</v>
      </c>
      <c r="R4046" s="441"/>
      <c r="S4046" s="351"/>
      <c r="T4046" s="351"/>
      <c r="U4046" s="329" t="str">
        <f>IF($N4046=$N$4,IFERROR(INDEX(DanhMuc!$E$154:$E$165,MATCH(MID($B4046,4,2),DanhMuc!$B$154:$B$165,0)),""),"")</f>
        <v/>
      </c>
      <c r="V4046" s="361"/>
      <c r="W4046" s="345"/>
      <c r="X4046" s="329" t="str">
        <f t="shared" si="344"/>
        <v>RT</v>
      </c>
      <c r="Y4046" s="1128" t="s">
        <v>3380</v>
      </c>
      <c r="Z4046" s="1128" t="s">
        <v>3381</v>
      </c>
      <c r="AA4046" s="1128" t="s">
        <v>3384</v>
      </c>
      <c r="AB4046" s="20"/>
      <c r="AC4046" s="73"/>
    </row>
    <row r="4047" spans="1:29" ht="25">
      <c r="A4047" s="327" t="str">
        <f>IF(AND($B4047&lt;&gt;"",$C4047&lt;&gt;""),MAX($A$1556:A4022)+1,"")</f>
        <v/>
      </c>
      <c r="B4047" s="361" t="s">
        <v>2032</v>
      </c>
      <c r="C4047" s="360"/>
      <c r="D4047" s="327">
        <f>IF($B4047="","",COUNTIF($B$6:$B4047,$B4047))</f>
        <v>5</v>
      </c>
      <c r="E4047" s="411">
        <v>774436</v>
      </c>
      <c r="F4047" s="362" t="s">
        <v>1935</v>
      </c>
      <c r="G4047" s="327" t="s">
        <v>155</v>
      </c>
      <c r="H4047" s="361"/>
      <c r="I4047" s="327">
        <v>1</v>
      </c>
      <c r="J4047" s="345"/>
      <c r="K4047" s="327"/>
      <c r="L4047" s="389">
        <f t="shared" si="343"/>
        <v>273770.2</v>
      </c>
      <c r="M4047" s="371"/>
      <c r="N4047" s="355" t="str">
        <f t="shared" si="345"/>
        <v>PK</v>
      </c>
      <c r="O4047" s="345" t="s">
        <v>1786</v>
      </c>
      <c r="P4047" s="392"/>
      <c r="Q4047" s="441">
        <v>11.77</v>
      </c>
      <c r="R4047" s="441"/>
      <c r="S4047" s="351"/>
      <c r="T4047" s="351"/>
      <c r="U4047" s="329" t="str">
        <f>IF($N4047=$N$4,IFERROR(INDEX(DanhMuc!$E$154:$E$165,MATCH(MID($B4047,4,2),DanhMuc!$B$154:$B$165,0)),""),"")</f>
        <v/>
      </c>
      <c r="V4047" s="361"/>
      <c r="W4047" s="345"/>
      <c r="X4047" s="329" t="str">
        <f t="shared" si="344"/>
        <v>RT</v>
      </c>
      <c r="Y4047" s="1128" t="s">
        <v>3380</v>
      </c>
      <c r="Z4047" s="1128" t="s">
        <v>3381</v>
      </c>
      <c r="AA4047" s="1128" t="s">
        <v>3384</v>
      </c>
      <c r="AB4047" s="20"/>
      <c r="AC4047" s="73"/>
    </row>
    <row r="4048" spans="1:29" ht="25">
      <c r="A4048" s="327" t="str">
        <f>IF(AND($B4048&lt;&gt;"",$C4048&lt;&gt;""),MAX($A$1556:A4023)+1,"")</f>
        <v/>
      </c>
      <c r="B4048" s="361" t="s">
        <v>2032</v>
      </c>
      <c r="C4048" s="360"/>
      <c r="D4048" s="327">
        <f>IF($B4048="","",COUNTIF($B$6:$B4048,$B4048))</f>
        <v>6</v>
      </c>
      <c r="E4048" s="411">
        <v>613191</v>
      </c>
      <c r="F4048" s="362" t="s">
        <v>1400</v>
      </c>
      <c r="G4048" s="327" t="s">
        <v>155</v>
      </c>
      <c r="H4048" s="361"/>
      <c r="I4048" s="327">
        <v>1</v>
      </c>
      <c r="J4048" s="345"/>
      <c r="K4048" s="327"/>
      <c r="L4048" s="389">
        <f t="shared" ref="L4048:L4254" si="346">+$L$3808*$Q4048</f>
        <v>249579.80000000002</v>
      </c>
      <c r="M4048" s="371"/>
      <c r="N4048" s="355" t="str">
        <f t="shared" si="345"/>
        <v>PK</v>
      </c>
      <c r="O4048" s="345" t="s">
        <v>1786</v>
      </c>
      <c r="P4048" s="392"/>
      <c r="Q4048" s="441">
        <v>10.73</v>
      </c>
      <c r="R4048" s="441"/>
      <c r="S4048" s="351"/>
      <c r="T4048" s="351"/>
      <c r="U4048" s="329" t="str">
        <f>IF($N4048=$N$4,IFERROR(INDEX(DanhMuc!$E$154:$E$165,MATCH(MID($B4048,4,2),DanhMuc!$B$154:$B$165,0)),""),"")</f>
        <v/>
      </c>
      <c r="V4048" s="361"/>
      <c r="W4048" s="345"/>
      <c r="X4048" s="329" t="str">
        <f t="shared" si="344"/>
        <v>RT</v>
      </c>
      <c r="Y4048" s="1128" t="s">
        <v>3380</v>
      </c>
      <c r="Z4048" s="1128" t="s">
        <v>3381</v>
      </c>
      <c r="AA4048" s="1128" t="s">
        <v>3384</v>
      </c>
      <c r="AB4048" s="20"/>
      <c r="AC4048" s="73"/>
    </row>
    <row r="4049" spans="1:29">
      <c r="A4049" s="327" t="str">
        <f>IF(AND($B4049&lt;&gt;"",$C4049&lt;&gt;""),MAX($A$1556:A4024)+1,"")</f>
        <v/>
      </c>
      <c r="B4049" s="361" t="s">
        <v>2032</v>
      </c>
      <c r="C4049" s="360"/>
      <c r="D4049" s="327">
        <f>IF($B4049="","",COUNTIF($B$6:$B4049,$B4049))</f>
        <v>7</v>
      </c>
      <c r="E4049" s="430">
        <v>570810</v>
      </c>
      <c r="F4049" s="362" t="s">
        <v>1401</v>
      </c>
      <c r="G4049" s="327" t="s">
        <v>155</v>
      </c>
      <c r="H4049" s="361"/>
      <c r="I4049" s="327">
        <v>1</v>
      </c>
      <c r="J4049" s="345"/>
      <c r="K4049" s="327"/>
      <c r="L4049" s="389">
        <f t="shared" si="346"/>
        <v>120952</v>
      </c>
      <c r="M4049" s="371"/>
      <c r="N4049" s="355" t="str">
        <f t="shared" si="345"/>
        <v>PK</v>
      </c>
      <c r="O4049" s="345"/>
      <c r="P4049" s="392"/>
      <c r="Q4049" s="441">
        <v>5.2</v>
      </c>
      <c r="R4049" s="441"/>
      <c r="S4049" s="351"/>
      <c r="T4049" s="351"/>
      <c r="U4049" s="329" t="str">
        <f>IF($N4049=$N$4,IFERROR(INDEX(DanhMuc!$E$154:$E$165,MATCH(MID($B4049,4,2),DanhMuc!$B$154:$B$165,0)),""),"")</f>
        <v/>
      </c>
      <c r="V4049" s="361"/>
      <c r="W4049" s="345"/>
      <c r="X4049" s="329" t="str">
        <f t="shared" si="344"/>
        <v>RT</v>
      </c>
      <c r="Y4049" s="1128" t="s">
        <v>3380</v>
      </c>
      <c r="Z4049" s="1128" t="s">
        <v>3381</v>
      </c>
      <c r="AA4049" s="1128" t="s">
        <v>3384</v>
      </c>
      <c r="AB4049" s="20"/>
      <c r="AC4049" s="73"/>
    </row>
    <row r="4050" spans="1:29" ht="25">
      <c r="A4050" s="327" t="str">
        <f>IF(AND($B4050&lt;&gt;"",$C4050&lt;&gt;""),MAX($A$1556:A4025)+1,"")</f>
        <v/>
      </c>
      <c r="B4050" s="361" t="s">
        <v>2032</v>
      </c>
      <c r="C4050" s="360"/>
      <c r="D4050" s="327">
        <f>IF($B4050="","",COUNTIF($B$6:$B4050,$B4050))</f>
        <v>8</v>
      </c>
      <c r="E4050" s="430">
        <v>738152</v>
      </c>
      <c r="F4050" s="362" t="s">
        <v>1402</v>
      </c>
      <c r="G4050" s="327" t="s">
        <v>156</v>
      </c>
      <c r="H4050" s="361"/>
      <c r="I4050" s="327">
        <v>2</v>
      </c>
      <c r="J4050" s="345"/>
      <c r="K4050" s="327"/>
      <c r="L4050" s="389">
        <f t="shared" si="346"/>
        <v>615924.80000000005</v>
      </c>
      <c r="M4050" s="371"/>
      <c r="N4050" s="355" t="str">
        <f t="shared" si="345"/>
        <v>PK</v>
      </c>
      <c r="O4050" s="345" t="s">
        <v>1053</v>
      </c>
      <c r="P4050" s="392"/>
      <c r="Q4050" s="441">
        <v>26.48</v>
      </c>
      <c r="R4050" s="441"/>
      <c r="S4050" s="351"/>
      <c r="T4050" s="351"/>
      <c r="U4050" s="329" t="str">
        <f>IF($N4050=$N$4,IFERROR(INDEX(DanhMuc!$E$154:$E$165,MATCH(MID($B4050,4,2),DanhMuc!$B$154:$B$165,0)),""),"")</f>
        <v/>
      </c>
      <c r="V4050" s="361"/>
      <c r="W4050" s="345"/>
      <c r="X4050" s="329" t="str">
        <f t="shared" si="344"/>
        <v>RT</v>
      </c>
      <c r="Y4050" s="1128" t="s">
        <v>3380</v>
      </c>
      <c r="Z4050" s="1128" t="s">
        <v>3381</v>
      </c>
      <c r="AA4050" s="1128" t="s">
        <v>3384</v>
      </c>
      <c r="AB4050" s="20"/>
      <c r="AC4050" s="73"/>
    </row>
    <row r="4051" spans="1:29" ht="25">
      <c r="A4051" s="327" t="str">
        <f>IF(AND($B4051&lt;&gt;"",$C4051&lt;&gt;""),MAX($A$1556:A4026)+1,"")</f>
        <v/>
      </c>
      <c r="B4051" s="361" t="s">
        <v>2032</v>
      </c>
      <c r="C4051" s="360"/>
      <c r="D4051" s="327">
        <f>IF($B4051="","",COUNTIF($B$6:$B4051,$B4051))</f>
        <v>9</v>
      </c>
      <c r="E4051" s="430">
        <v>774286</v>
      </c>
      <c r="F4051" s="362" t="s">
        <v>1403</v>
      </c>
      <c r="G4051" s="327" t="s">
        <v>156</v>
      </c>
      <c r="H4051" s="361"/>
      <c r="I4051" s="411" t="s">
        <v>1344</v>
      </c>
      <c r="J4051" s="345"/>
      <c r="K4051" s="327"/>
      <c r="L4051" s="389">
        <f t="shared" si="346"/>
        <v>216550.6</v>
      </c>
      <c r="M4051" s="371"/>
      <c r="N4051" s="355" t="str">
        <f t="shared" ref="N4051:N4225" si="347">+$N$1555</f>
        <v>PK</v>
      </c>
      <c r="O4051" s="345" t="s">
        <v>1054</v>
      </c>
      <c r="P4051" s="392"/>
      <c r="Q4051" s="441">
        <v>9.31</v>
      </c>
      <c r="R4051" s="441"/>
      <c r="S4051" s="351"/>
      <c r="T4051" s="351"/>
      <c r="U4051" s="329" t="str">
        <f>IF($N4051=$N$4,IFERROR(INDEX(DanhMuc!$E$154:$E$165,MATCH(MID($B4051,4,2),DanhMuc!$B$154:$B$165,0)),""),"")</f>
        <v/>
      </c>
      <c r="V4051" s="361"/>
      <c r="W4051" s="345"/>
      <c r="X4051" s="329" t="str">
        <f t="shared" si="344"/>
        <v>RT</v>
      </c>
      <c r="Y4051" s="1128" t="s">
        <v>3380</v>
      </c>
      <c r="Z4051" s="1128" t="s">
        <v>3381</v>
      </c>
      <c r="AA4051" s="1128" t="s">
        <v>3384</v>
      </c>
      <c r="AB4051" s="20"/>
      <c r="AC4051" s="73"/>
    </row>
    <row r="4052" spans="1:29" ht="25">
      <c r="A4052" s="327" t="str">
        <f>IF(AND($B4052&lt;&gt;"",$C4052&lt;&gt;""),MAX($A$1556:A4027)+1,"")</f>
        <v/>
      </c>
      <c r="B4052" s="361" t="s">
        <v>2032</v>
      </c>
      <c r="C4052" s="360"/>
      <c r="D4052" s="327">
        <f>IF($B4052="","",COUNTIF($B$6:$B4052,$B4052))</f>
        <v>10</v>
      </c>
      <c r="E4052" s="430">
        <v>774287</v>
      </c>
      <c r="F4052" s="362" t="s">
        <v>1404</v>
      </c>
      <c r="G4052" s="327" t="s">
        <v>156</v>
      </c>
      <c r="H4052" s="361"/>
      <c r="I4052" s="411" t="s">
        <v>1343</v>
      </c>
      <c r="J4052" s="345"/>
      <c r="K4052" s="327"/>
      <c r="L4052" s="389">
        <f t="shared" si="346"/>
        <v>399374.2</v>
      </c>
      <c r="M4052" s="371"/>
      <c r="N4052" s="355" t="str">
        <f t="shared" si="347"/>
        <v>PK</v>
      </c>
      <c r="O4052" s="345" t="s">
        <v>1054</v>
      </c>
      <c r="P4052" s="392"/>
      <c r="Q4052" s="441">
        <v>17.170000000000002</v>
      </c>
      <c r="R4052" s="441"/>
      <c r="S4052" s="351"/>
      <c r="T4052" s="351"/>
      <c r="U4052" s="329" t="str">
        <f>IF($N4052=$N$4,IFERROR(INDEX(DanhMuc!$E$154:$E$165,MATCH(MID($B4052,4,2),DanhMuc!$B$154:$B$165,0)),""),"")</f>
        <v/>
      </c>
      <c r="V4052" s="361"/>
      <c r="W4052" s="345"/>
      <c r="X4052" s="329" t="str">
        <f t="shared" si="344"/>
        <v>RT</v>
      </c>
      <c r="Y4052" s="1128" t="s">
        <v>3380</v>
      </c>
      <c r="Z4052" s="1128" t="s">
        <v>3381</v>
      </c>
      <c r="AA4052" s="1128" t="s">
        <v>3384</v>
      </c>
      <c r="AB4052" s="20"/>
      <c r="AC4052" s="73"/>
    </row>
    <row r="4053" spans="1:29">
      <c r="A4053" s="327" t="str">
        <f>IF(AND($B4053&lt;&gt;"",$C4053&lt;&gt;""),MAX($A$1556:A4028)+1,"")</f>
        <v/>
      </c>
      <c r="B4053" s="361" t="s">
        <v>2032</v>
      </c>
      <c r="C4053" s="360"/>
      <c r="D4053" s="327">
        <f>IF($B4053="","",COUNTIF($B$6:$B4053,$B4053))</f>
        <v>11</v>
      </c>
      <c r="E4053" s="411">
        <v>616040</v>
      </c>
      <c r="F4053" s="403" t="s">
        <v>1405</v>
      </c>
      <c r="G4053" s="410" t="s">
        <v>155</v>
      </c>
      <c r="H4053" s="402"/>
      <c r="I4053" s="410">
        <v>6</v>
      </c>
      <c r="J4053" s="345"/>
      <c r="K4053" s="327"/>
      <c r="L4053" s="389">
        <f t="shared" si="346"/>
        <v>62104.2</v>
      </c>
      <c r="M4053" s="371"/>
      <c r="N4053" s="355" t="str">
        <f t="shared" si="347"/>
        <v>PK</v>
      </c>
      <c r="O4053" s="345" t="s">
        <v>1705</v>
      </c>
      <c r="P4053" s="392"/>
      <c r="Q4053" s="441">
        <v>2.67</v>
      </c>
      <c r="R4053" s="441"/>
      <c r="S4053" s="351"/>
      <c r="T4053" s="351"/>
      <c r="U4053" s="329" t="str">
        <f>IF($N4053=$N$4,IFERROR(INDEX(DanhMuc!$E$154:$E$165,MATCH(MID($B4053,4,2),DanhMuc!$B$154:$B$165,0)),""),"")</f>
        <v/>
      </c>
      <c r="V4053" s="361"/>
      <c r="W4053" s="345"/>
      <c r="X4053" s="329" t="str">
        <f t="shared" si="344"/>
        <v>RT</v>
      </c>
      <c r="Y4053" s="1128" t="s">
        <v>3380</v>
      </c>
      <c r="Z4053" s="1128" t="s">
        <v>3381</v>
      </c>
      <c r="AA4053" s="1128" t="s">
        <v>3384</v>
      </c>
      <c r="AB4053" s="20"/>
      <c r="AC4053" s="73"/>
    </row>
    <row r="4054" spans="1:29">
      <c r="A4054" s="327" t="str">
        <f>IF(AND($B4054&lt;&gt;"",$C4054&lt;&gt;""),MAX($A$1556:A4029)+1,"")</f>
        <v/>
      </c>
      <c r="B4054" s="361" t="s">
        <v>2032</v>
      </c>
      <c r="C4054" s="360"/>
      <c r="D4054" s="327">
        <f>IF($B4054="","",COUNTIF($B$6:$B4054,$B4054))</f>
        <v>12</v>
      </c>
      <c r="E4054" s="411">
        <v>615951</v>
      </c>
      <c r="F4054" s="403" t="s">
        <v>1406</v>
      </c>
      <c r="G4054" s="410" t="s">
        <v>155</v>
      </c>
      <c r="H4054" s="402"/>
      <c r="I4054" s="410">
        <v>6</v>
      </c>
      <c r="J4054" s="345"/>
      <c r="K4054" s="327"/>
      <c r="L4054" s="389">
        <f t="shared" si="346"/>
        <v>120952</v>
      </c>
      <c r="M4054" s="371"/>
      <c r="N4054" s="355" t="str">
        <f t="shared" si="347"/>
        <v>PK</v>
      </c>
      <c r="O4054" s="345" t="s">
        <v>1704</v>
      </c>
      <c r="P4054" s="392"/>
      <c r="Q4054" s="441">
        <v>5.2</v>
      </c>
      <c r="R4054" s="441"/>
      <c r="S4054" s="351"/>
      <c r="T4054" s="351"/>
      <c r="U4054" s="329" t="str">
        <f>IF($N4054=$N$4,IFERROR(INDEX(DanhMuc!$E$154:$E$165,MATCH(MID($B4054,4,2),DanhMuc!$B$154:$B$165,0)),""),"")</f>
        <v/>
      </c>
      <c r="V4054" s="361"/>
      <c r="W4054" s="345"/>
      <c r="X4054" s="329" t="str">
        <f t="shared" si="344"/>
        <v>RT</v>
      </c>
      <c r="Y4054" s="1128" t="s">
        <v>3380</v>
      </c>
      <c r="Z4054" s="1128" t="s">
        <v>3381</v>
      </c>
      <c r="AA4054" s="1128" t="s">
        <v>3384</v>
      </c>
      <c r="AB4054" s="20"/>
      <c r="AC4054" s="73"/>
    </row>
    <row r="4055" spans="1:29">
      <c r="A4055" s="327" t="str">
        <f>IF(AND($B4055&lt;&gt;"",$C4055&lt;&gt;""),MAX($A$1556:A4030)+1,"")</f>
        <v/>
      </c>
      <c r="B4055" s="361" t="s">
        <v>2032</v>
      </c>
      <c r="C4055" s="360"/>
      <c r="D4055" s="327">
        <f>IF($B4055="","",COUNTIF($B$6:$B4055,$B4055))</f>
        <v>13</v>
      </c>
      <c r="E4055" s="430">
        <v>640068</v>
      </c>
      <c r="F4055" s="362" t="s">
        <v>1407</v>
      </c>
      <c r="G4055" s="327" t="s">
        <v>155</v>
      </c>
      <c r="H4055" s="361"/>
      <c r="I4055" s="327">
        <v>1</v>
      </c>
      <c r="J4055" s="345"/>
      <c r="K4055" s="327"/>
      <c r="L4055" s="389">
        <f t="shared" si="346"/>
        <v>201431.6</v>
      </c>
      <c r="M4055" s="371"/>
      <c r="N4055" s="355" t="str">
        <f t="shared" si="347"/>
        <v>PK</v>
      </c>
      <c r="O4055" s="345" t="s">
        <v>1053</v>
      </c>
      <c r="P4055" s="392"/>
      <c r="Q4055" s="441">
        <v>8.66</v>
      </c>
      <c r="R4055" s="441"/>
      <c r="S4055" s="351"/>
      <c r="T4055" s="351"/>
      <c r="U4055" s="329" t="str">
        <f>IF($N4055=$N$4,IFERROR(INDEX(DanhMuc!$E$154:$E$165,MATCH(MID($B4055,4,2),DanhMuc!$B$154:$B$165,0)),""),"")</f>
        <v/>
      </c>
      <c r="V4055" s="361"/>
      <c r="W4055" s="345"/>
      <c r="X4055" s="329" t="str">
        <f t="shared" si="344"/>
        <v>RT</v>
      </c>
      <c r="Y4055" s="1128" t="s">
        <v>3380</v>
      </c>
      <c r="Z4055" s="1128" t="s">
        <v>3381</v>
      </c>
      <c r="AA4055" s="1128" t="s">
        <v>3384</v>
      </c>
      <c r="AB4055" s="20"/>
      <c r="AC4055" s="73"/>
    </row>
    <row r="4056" spans="1:29" ht="25">
      <c r="A4056" s="327" t="str">
        <f>IF(AND($B4056&lt;&gt;"",$C4056&lt;&gt;""),MAX($A$1556:A4031)+1,"")</f>
        <v/>
      </c>
      <c r="B4056" s="361" t="s">
        <v>2032</v>
      </c>
      <c r="C4056" s="360"/>
      <c r="D4056" s="327">
        <f>IF($B4056="","",COUNTIF($B$6:$B4056,$B4056))</f>
        <v>14</v>
      </c>
      <c r="E4056" s="430">
        <v>629551</v>
      </c>
      <c r="F4056" s="362" t="s">
        <v>1936</v>
      </c>
      <c r="G4056" s="327" t="s">
        <v>155</v>
      </c>
      <c r="H4056" s="361"/>
      <c r="I4056" s="327">
        <v>8</v>
      </c>
      <c r="J4056" s="345"/>
      <c r="K4056" s="327"/>
      <c r="L4056" s="389">
        <f t="shared" si="346"/>
        <v>31168.400000000001</v>
      </c>
      <c r="M4056" s="371"/>
      <c r="N4056" s="355" t="str">
        <f t="shared" si="347"/>
        <v>PK</v>
      </c>
      <c r="O4056" s="345" t="s">
        <v>1053</v>
      </c>
      <c r="P4056" s="392"/>
      <c r="Q4056" s="441">
        <v>1.34</v>
      </c>
      <c r="R4056" s="441"/>
      <c r="S4056" s="351"/>
      <c r="T4056" s="351"/>
      <c r="U4056" s="329" t="str">
        <f>IF($N4056=$N$4,IFERROR(INDEX(DanhMuc!$E$154:$E$165,MATCH(MID($B4056,4,2),DanhMuc!$B$154:$B$165,0)),""),"")</f>
        <v/>
      </c>
      <c r="V4056" s="361"/>
      <c r="W4056" s="345"/>
      <c r="X4056" s="329" t="str">
        <f t="shared" si="344"/>
        <v>RT</v>
      </c>
      <c r="Y4056" s="1128" t="s">
        <v>3380</v>
      </c>
      <c r="Z4056" s="1128" t="s">
        <v>3381</v>
      </c>
      <c r="AA4056" s="1128" t="s">
        <v>3384</v>
      </c>
      <c r="AB4056" s="20"/>
      <c r="AC4056" s="73"/>
    </row>
    <row r="4057" spans="1:29" ht="25">
      <c r="A4057" s="327" t="str">
        <f>IF(AND($B4057&lt;&gt;"",$C4057&lt;&gt;""),MAX($A$1556:A4032)+1,"")</f>
        <v/>
      </c>
      <c r="B4057" s="361" t="s">
        <v>2032</v>
      </c>
      <c r="C4057" s="360"/>
      <c r="D4057" s="327">
        <f>IF($B4057="","",COUNTIF($B$6:$B4057,$B4057))</f>
        <v>15</v>
      </c>
      <c r="E4057" s="430">
        <v>629551</v>
      </c>
      <c r="F4057" s="362" t="s">
        <v>1936</v>
      </c>
      <c r="G4057" s="327" t="s">
        <v>155</v>
      </c>
      <c r="H4057" s="361"/>
      <c r="I4057" s="411" t="s">
        <v>1345</v>
      </c>
      <c r="J4057" s="345"/>
      <c r="K4057" s="327"/>
      <c r="L4057" s="389">
        <f t="shared" si="346"/>
        <v>31168.400000000001</v>
      </c>
      <c r="M4057" s="371"/>
      <c r="N4057" s="355" t="str">
        <f t="shared" si="347"/>
        <v>PK</v>
      </c>
      <c r="O4057" s="345" t="s">
        <v>1054</v>
      </c>
      <c r="P4057" s="392"/>
      <c r="Q4057" s="441">
        <v>1.34</v>
      </c>
      <c r="R4057" s="441"/>
      <c r="S4057" s="351"/>
      <c r="T4057" s="351"/>
      <c r="U4057" s="329" t="str">
        <f>IF($N4057=$N$4,IFERROR(INDEX(DanhMuc!$E$154:$E$165,MATCH(MID($B4057,4,2),DanhMuc!$B$154:$B$165,0)),""),"")</f>
        <v/>
      </c>
      <c r="V4057" s="361"/>
      <c r="W4057" s="345"/>
      <c r="X4057" s="329" t="str">
        <f t="shared" si="344"/>
        <v>RT</v>
      </c>
      <c r="Y4057" s="1128" t="s">
        <v>3380</v>
      </c>
      <c r="Z4057" s="1128" t="s">
        <v>3381</v>
      </c>
      <c r="AA4057" s="1128" t="s">
        <v>3384</v>
      </c>
      <c r="AB4057" s="20"/>
      <c r="AC4057" s="73"/>
    </row>
    <row r="4058" spans="1:29">
      <c r="A4058" s="327" t="str">
        <f>IF(AND($B4058&lt;&gt;"",$C4058&lt;&gt;""),MAX($A$1556:A4033)+1,"")</f>
        <v/>
      </c>
      <c r="B4058" s="361" t="s">
        <v>2032</v>
      </c>
      <c r="C4058" s="360"/>
      <c r="D4058" s="327">
        <f>IF($B4058="","",COUNTIF($B$6:$B4058,$B4058))</f>
        <v>16</v>
      </c>
      <c r="E4058" s="411">
        <v>221847</v>
      </c>
      <c r="F4058" s="432" t="s">
        <v>1374</v>
      </c>
      <c r="G4058" s="410" t="s">
        <v>155</v>
      </c>
      <c r="H4058" s="361"/>
      <c r="I4058" s="327">
        <v>6</v>
      </c>
      <c r="J4058" s="345"/>
      <c r="K4058" s="327"/>
      <c r="L4058" s="356">
        <v>1000</v>
      </c>
      <c r="M4058" s="371"/>
      <c r="N4058" s="355" t="str">
        <f t="shared" si="347"/>
        <v>PK</v>
      </c>
      <c r="O4058" s="345"/>
      <c r="P4058" s="392"/>
      <c r="Q4058" s="356">
        <v>1000</v>
      </c>
      <c r="R4058" s="441"/>
      <c r="S4058" s="351"/>
      <c r="T4058" s="351"/>
      <c r="U4058" s="329" t="str">
        <f>IF($N4058=$N$4,IFERROR(INDEX(DanhMuc!$E$154:$E$165,MATCH(MID($B4058,4,2),DanhMuc!$B$154:$B$165,0)),""),"")</f>
        <v/>
      </c>
      <c r="V4058" s="361"/>
      <c r="W4058" s="345"/>
      <c r="X4058" s="329" t="str">
        <f t="shared" si="344"/>
        <v>RT</v>
      </c>
      <c r="Y4058" s="1128" t="s">
        <v>3380</v>
      </c>
      <c r="Z4058" s="1128" t="s">
        <v>3381</v>
      </c>
      <c r="AA4058" s="1128" t="s">
        <v>3384</v>
      </c>
      <c r="AB4058" s="20"/>
      <c r="AC4058" s="73"/>
    </row>
    <row r="4059" spans="1:29">
      <c r="A4059" s="327" t="str">
        <f>IF(AND($B4059&lt;&gt;"",$C4059&lt;&gt;""),MAX($A$1556:A4034)+1,"")</f>
        <v/>
      </c>
      <c r="B4059" s="361" t="s">
        <v>2032</v>
      </c>
      <c r="C4059" s="360"/>
      <c r="D4059" s="327">
        <f>IF($B4059="","",COUNTIF($B$6:$B4059,$B4059))</f>
        <v>17</v>
      </c>
      <c r="E4059" s="411">
        <v>221848</v>
      </c>
      <c r="F4059" s="432" t="s">
        <v>1375</v>
      </c>
      <c r="G4059" s="410" t="s">
        <v>155</v>
      </c>
      <c r="H4059" s="361"/>
      <c r="I4059" s="327">
        <v>3</v>
      </c>
      <c r="J4059" s="345"/>
      <c r="K4059" s="327"/>
      <c r="L4059" s="356">
        <v>10100</v>
      </c>
      <c r="M4059" s="371"/>
      <c r="N4059" s="355" t="str">
        <f t="shared" si="347"/>
        <v>PK</v>
      </c>
      <c r="O4059" s="345"/>
      <c r="P4059" s="392"/>
      <c r="Q4059" s="356">
        <v>10100</v>
      </c>
      <c r="R4059" s="441"/>
      <c r="S4059" s="351"/>
      <c r="T4059" s="351"/>
      <c r="U4059" s="329" t="str">
        <f>IF($N4059=$N$4,IFERROR(INDEX(DanhMuc!$E$154:$E$165,MATCH(MID($B4059,4,2),DanhMuc!$B$154:$B$165,0)),""),"")</f>
        <v/>
      </c>
      <c r="V4059" s="361"/>
      <c r="W4059" s="345"/>
      <c r="X4059" s="329" t="str">
        <f t="shared" si="344"/>
        <v>RT</v>
      </c>
      <c r="Y4059" s="1128" t="s">
        <v>3380</v>
      </c>
      <c r="Z4059" s="1128" t="s">
        <v>3381</v>
      </c>
      <c r="AA4059" s="1128" t="s">
        <v>3384</v>
      </c>
      <c r="AB4059" s="20"/>
      <c r="AC4059" s="73"/>
    </row>
    <row r="4060" spans="1:29">
      <c r="A4060" s="327" t="str">
        <f>IF(AND($B4060&lt;&gt;"",$C4060&lt;&gt;""),MAX($A$1556:A4035)+1,"")</f>
        <v/>
      </c>
      <c r="B4060" s="361" t="s">
        <v>2032</v>
      </c>
      <c r="C4060" s="360"/>
      <c r="D4060" s="327">
        <f>IF($B4060="","",COUNTIF($B$6:$B4060,$B4060))</f>
        <v>18</v>
      </c>
      <c r="E4060" s="430">
        <v>317250</v>
      </c>
      <c r="F4060" s="362" t="s">
        <v>1408</v>
      </c>
      <c r="G4060" s="327" t="s">
        <v>344</v>
      </c>
      <c r="H4060" s="361"/>
      <c r="I4060" s="327">
        <v>2</v>
      </c>
      <c r="J4060" s="345"/>
      <c r="K4060" s="327"/>
      <c r="L4060" s="389">
        <f t="shared" si="346"/>
        <v>62104.2</v>
      </c>
      <c r="M4060" s="371"/>
      <c r="N4060" s="355" t="str">
        <f t="shared" si="347"/>
        <v>PK</v>
      </c>
      <c r="O4060" s="345"/>
      <c r="P4060" s="392"/>
      <c r="Q4060" s="441">
        <v>2.67</v>
      </c>
      <c r="R4060" s="441"/>
      <c r="S4060" s="351"/>
      <c r="T4060" s="351"/>
      <c r="U4060" s="329" t="str">
        <f>IF($N4060=$N$4,IFERROR(INDEX(DanhMuc!$E$154:$E$165,MATCH(MID($B4060,4,2),DanhMuc!$B$154:$B$165,0)),""),"")</f>
        <v/>
      </c>
      <c r="V4060" s="361"/>
      <c r="W4060" s="345"/>
      <c r="X4060" s="329" t="str">
        <f t="shared" si="344"/>
        <v>RT</v>
      </c>
      <c r="Y4060" s="1128" t="s">
        <v>3380</v>
      </c>
      <c r="Z4060" s="1128" t="s">
        <v>3381</v>
      </c>
      <c r="AA4060" s="1128" t="s">
        <v>3384</v>
      </c>
      <c r="AB4060" s="20"/>
      <c r="AC4060" s="73"/>
    </row>
    <row r="4061" spans="1:29" ht="26">
      <c r="A4061" s="327">
        <f>IF(AND($B4061&lt;&gt;"",$C4061&lt;&gt;""),MAX($A$1556:A4036)+1,"")</f>
        <v>191</v>
      </c>
      <c r="B4061" s="359" t="s">
        <v>2033</v>
      </c>
      <c r="C4061" s="370" t="s">
        <v>1578</v>
      </c>
      <c r="D4061" s="327">
        <f>IF($B4061="","",COUNTIF($B$6:$B4061,$B4061))</f>
        <v>1</v>
      </c>
      <c r="E4061" s="430">
        <v>770011</v>
      </c>
      <c r="F4061" s="362" t="s">
        <v>1396</v>
      </c>
      <c r="G4061" s="327" t="s">
        <v>155</v>
      </c>
      <c r="H4061" s="361"/>
      <c r="I4061" s="327">
        <v>1</v>
      </c>
      <c r="J4061" s="361"/>
      <c r="K4061" s="327"/>
      <c r="L4061" s="389">
        <f t="shared" si="346"/>
        <v>294704.2</v>
      </c>
      <c r="M4061" s="371"/>
      <c r="N4061" s="355" t="str">
        <f t="shared" si="347"/>
        <v>PK</v>
      </c>
      <c r="O4061" s="345" t="s">
        <v>1784</v>
      </c>
      <c r="P4061" s="392"/>
      <c r="Q4061" s="441">
        <v>12.67</v>
      </c>
      <c r="R4061" s="441"/>
      <c r="S4061" s="351"/>
      <c r="T4061" s="351"/>
      <c r="U4061" s="329" t="str">
        <f>IF($N4061=$N$4,IFERROR(INDEX(DanhMuc!$E$154:$E$165,MATCH(MID($B4061,4,2),DanhMuc!$B$154:$B$165,0)),""),"")</f>
        <v/>
      </c>
      <c r="V4061" s="361"/>
      <c r="W4061" s="345"/>
      <c r="X4061" s="329" t="str">
        <f t="shared" si="344"/>
        <v>RT</v>
      </c>
      <c r="Y4061" s="1128" t="s">
        <v>3380</v>
      </c>
      <c r="Z4061" s="1128" t="s">
        <v>3381</v>
      </c>
      <c r="AA4061" s="1128" t="s">
        <v>3384</v>
      </c>
      <c r="AB4061" s="20"/>
      <c r="AC4061" s="73"/>
    </row>
    <row r="4062" spans="1:29" ht="25">
      <c r="A4062" s="327" t="str">
        <f>IF(AND($B4062&lt;&gt;"",$C4062&lt;&gt;""),MAX($A$1556:A4037)+1,"")</f>
        <v/>
      </c>
      <c r="B4062" s="361" t="s">
        <v>2033</v>
      </c>
      <c r="C4062" s="360"/>
      <c r="D4062" s="327">
        <f>IF($B4062="","",COUNTIF($B$6:$B4062,$B4062))</f>
        <v>2</v>
      </c>
      <c r="E4062" s="430">
        <v>770007</v>
      </c>
      <c r="F4062" s="362" t="s">
        <v>1397</v>
      </c>
      <c r="G4062" s="327" t="s">
        <v>155</v>
      </c>
      <c r="H4062" s="361"/>
      <c r="I4062" s="327">
        <v>1</v>
      </c>
      <c r="J4062" s="345"/>
      <c r="K4062" s="327"/>
      <c r="L4062" s="389">
        <f t="shared" si="346"/>
        <v>300519.2</v>
      </c>
      <c r="M4062" s="371"/>
      <c r="N4062" s="355" t="str">
        <f t="shared" si="347"/>
        <v>PK</v>
      </c>
      <c r="O4062" s="345" t="s">
        <v>1784</v>
      </c>
      <c r="P4062" s="392"/>
      <c r="Q4062" s="441">
        <v>12.92</v>
      </c>
      <c r="R4062" s="441"/>
      <c r="S4062" s="351"/>
      <c r="T4062" s="351"/>
      <c r="U4062" s="329" t="str">
        <f>IF($N4062=$N$4,IFERROR(INDEX(DanhMuc!$E$154:$E$165,MATCH(MID($B4062,4,2),DanhMuc!$B$154:$B$165,0)),""),"")</f>
        <v/>
      </c>
      <c r="V4062" s="361"/>
      <c r="W4062" s="345"/>
      <c r="X4062" s="329" t="str">
        <f t="shared" si="344"/>
        <v>RT</v>
      </c>
      <c r="Y4062" s="1128" t="s">
        <v>3380</v>
      </c>
      <c r="Z4062" s="1128" t="s">
        <v>3381</v>
      </c>
      <c r="AA4062" s="1128" t="s">
        <v>3384</v>
      </c>
      <c r="AB4062" s="20"/>
      <c r="AC4062" s="73"/>
    </row>
    <row r="4063" spans="1:29" ht="25">
      <c r="A4063" s="327" t="str">
        <f>IF(AND($B4063&lt;&gt;"",$C4063&lt;&gt;""),MAX($A$1556:A4038)+1,"")</f>
        <v/>
      </c>
      <c r="B4063" s="361" t="s">
        <v>2033</v>
      </c>
      <c r="C4063" s="360"/>
      <c r="D4063" s="327">
        <f>IF($B4063="","",COUNTIF($B$6:$B4063,$B4063))</f>
        <v>3</v>
      </c>
      <c r="E4063" s="411">
        <v>613234</v>
      </c>
      <c r="F4063" s="362" t="s">
        <v>1398</v>
      </c>
      <c r="G4063" s="327" t="s">
        <v>155</v>
      </c>
      <c r="H4063" s="361"/>
      <c r="I4063" s="327">
        <v>1</v>
      </c>
      <c r="J4063" s="345"/>
      <c r="K4063" s="327"/>
      <c r="L4063" s="389">
        <f t="shared" si="346"/>
        <v>304240.8</v>
      </c>
      <c r="M4063" s="371"/>
      <c r="N4063" s="355" t="str">
        <f t="shared" si="347"/>
        <v>PK</v>
      </c>
      <c r="O4063" s="345" t="s">
        <v>1785</v>
      </c>
      <c r="P4063" s="392"/>
      <c r="Q4063" s="441">
        <v>13.08</v>
      </c>
      <c r="R4063" s="441"/>
      <c r="S4063" s="351"/>
      <c r="T4063" s="351"/>
      <c r="U4063" s="329" t="str">
        <f>IF($N4063=$N$4,IFERROR(INDEX(DanhMuc!$E$154:$E$165,MATCH(MID($B4063,4,2),DanhMuc!$B$154:$B$165,0)),""),"")</f>
        <v/>
      </c>
      <c r="V4063" s="361"/>
      <c r="W4063" s="345"/>
      <c r="X4063" s="329" t="str">
        <f t="shared" si="344"/>
        <v>RT</v>
      </c>
      <c r="Y4063" s="1128" t="s">
        <v>3380</v>
      </c>
      <c r="Z4063" s="1128" t="s">
        <v>3381</v>
      </c>
      <c r="AA4063" s="1128" t="s">
        <v>3384</v>
      </c>
      <c r="AB4063" s="20"/>
      <c r="AC4063" s="73"/>
    </row>
    <row r="4064" spans="1:29" ht="25">
      <c r="A4064" s="327" t="str">
        <f>IF(AND($B4064&lt;&gt;"",$C4064&lt;&gt;""),MAX($A$1556:A4039)+1,"")</f>
        <v/>
      </c>
      <c r="B4064" s="361" t="s">
        <v>2033</v>
      </c>
      <c r="C4064" s="360"/>
      <c r="D4064" s="327">
        <f>IF($B4064="","",COUNTIF($B$6:$B4064,$B4064))</f>
        <v>4</v>
      </c>
      <c r="E4064" s="430">
        <v>770005</v>
      </c>
      <c r="F4064" s="362" t="s">
        <v>1399</v>
      </c>
      <c r="G4064" s="327" t="s">
        <v>155</v>
      </c>
      <c r="H4064" s="361"/>
      <c r="I4064" s="327">
        <v>1</v>
      </c>
      <c r="J4064" s="345"/>
      <c r="K4064" s="327"/>
      <c r="L4064" s="389">
        <f t="shared" si="346"/>
        <v>271211.59999999998</v>
      </c>
      <c r="M4064" s="371"/>
      <c r="N4064" s="355" t="str">
        <f t="shared" si="347"/>
        <v>PK</v>
      </c>
      <c r="O4064" s="345" t="s">
        <v>1785</v>
      </c>
      <c r="P4064" s="392"/>
      <c r="Q4064" s="441">
        <v>11.66</v>
      </c>
      <c r="R4064" s="441"/>
      <c r="S4064" s="351"/>
      <c r="T4064" s="351"/>
      <c r="U4064" s="329" t="str">
        <f>IF($N4064=$N$4,IFERROR(INDEX(DanhMuc!$E$154:$E$165,MATCH(MID($B4064,4,2),DanhMuc!$B$154:$B$165,0)),""),"")</f>
        <v/>
      </c>
      <c r="V4064" s="361"/>
      <c r="W4064" s="345"/>
      <c r="X4064" s="329" t="str">
        <f t="shared" si="344"/>
        <v>RT</v>
      </c>
      <c r="Y4064" s="1128" t="s">
        <v>3380</v>
      </c>
      <c r="Z4064" s="1128" t="s">
        <v>3381</v>
      </c>
      <c r="AA4064" s="1128" t="s">
        <v>3384</v>
      </c>
      <c r="AB4064" s="20"/>
      <c r="AC4064" s="73"/>
    </row>
    <row r="4065" spans="1:29" ht="25">
      <c r="A4065" s="327" t="str">
        <f>IF(AND($B4065&lt;&gt;"",$C4065&lt;&gt;""),MAX($A$1556:A4040)+1,"")</f>
        <v/>
      </c>
      <c r="B4065" s="361" t="s">
        <v>2033</v>
      </c>
      <c r="C4065" s="360"/>
      <c r="D4065" s="327">
        <f>IF($B4065="","",COUNTIF($B$6:$B4065,$B4065))</f>
        <v>5</v>
      </c>
      <c r="E4065" s="411">
        <v>774436</v>
      </c>
      <c r="F4065" s="362" t="s">
        <v>1935</v>
      </c>
      <c r="G4065" s="327" t="s">
        <v>155</v>
      </c>
      <c r="H4065" s="361"/>
      <c r="I4065" s="327">
        <v>1</v>
      </c>
      <c r="J4065" s="345"/>
      <c r="K4065" s="327"/>
      <c r="L4065" s="389">
        <f t="shared" si="346"/>
        <v>273770.2</v>
      </c>
      <c r="M4065" s="371"/>
      <c r="N4065" s="355" t="str">
        <f t="shared" si="347"/>
        <v>PK</v>
      </c>
      <c r="O4065" s="345" t="s">
        <v>1786</v>
      </c>
      <c r="P4065" s="392"/>
      <c r="Q4065" s="441">
        <v>11.77</v>
      </c>
      <c r="R4065" s="441"/>
      <c r="S4065" s="351"/>
      <c r="T4065" s="351"/>
      <c r="U4065" s="329" t="str">
        <f>IF($N4065=$N$4,IFERROR(INDEX(DanhMuc!$E$154:$E$165,MATCH(MID($B4065,4,2),DanhMuc!$B$154:$B$165,0)),""),"")</f>
        <v/>
      </c>
      <c r="V4065" s="361"/>
      <c r="W4065" s="345"/>
      <c r="X4065" s="329" t="str">
        <f t="shared" si="344"/>
        <v>RT</v>
      </c>
      <c r="Y4065" s="1128" t="s">
        <v>3380</v>
      </c>
      <c r="Z4065" s="1128" t="s">
        <v>3381</v>
      </c>
      <c r="AA4065" s="1128" t="s">
        <v>3384</v>
      </c>
      <c r="AB4065" s="20"/>
      <c r="AC4065" s="73"/>
    </row>
    <row r="4066" spans="1:29" ht="25">
      <c r="A4066" s="327" t="str">
        <f>IF(AND($B4066&lt;&gt;"",$C4066&lt;&gt;""),MAX($A$1556:A4041)+1,"")</f>
        <v/>
      </c>
      <c r="B4066" s="361" t="s">
        <v>2033</v>
      </c>
      <c r="C4066" s="360"/>
      <c r="D4066" s="327">
        <f>IF($B4066="","",COUNTIF($B$6:$B4066,$B4066))</f>
        <v>6</v>
      </c>
      <c r="E4066" s="411">
        <v>613191</v>
      </c>
      <c r="F4066" s="362" t="s">
        <v>1400</v>
      </c>
      <c r="G4066" s="327" t="s">
        <v>155</v>
      </c>
      <c r="H4066" s="361"/>
      <c r="I4066" s="327">
        <v>1</v>
      </c>
      <c r="J4066" s="345"/>
      <c r="K4066" s="327"/>
      <c r="L4066" s="389">
        <f t="shared" si="346"/>
        <v>249579.80000000002</v>
      </c>
      <c r="M4066" s="371"/>
      <c r="N4066" s="355" t="str">
        <f t="shared" si="347"/>
        <v>PK</v>
      </c>
      <c r="O4066" s="345" t="s">
        <v>1786</v>
      </c>
      <c r="P4066" s="392"/>
      <c r="Q4066" s="441">
        <v>10.73</v>
      </c>
      <c r="R4066" s="441"/>
      <c r="S4066" s="351"/>
      <c r="T4066" s="351"/>
      <c r="U4066" s="329" t="str">
        <f>IF($N4066=$N$4,IFERROR(INDEX(DanhMuc!$E$154:$E$165,MATCH(MID($B4066,4,2),DanhMuc!$B$154:$B$165,0)),""),"")</f>
        <v/>
      </c>
      <c r="V4066" s="361"/>
      <c r="W4066" s="345"/>
      <c r="X4066" s="329" t="str">
        <f t="shared" si="344"/>
        <v>RT</v>
      </c>
      <c r="Y4066" s="1128" t="s">
        <v>3380</v>
      </c>
      <c r="Z4066" s="1128" t="s">
        <v>3381</v>
      </c>
      <c r="AA4066" s="1128" t="s">
        <v>3384</v>
      </c>
      <c r="AB4066" s="20"/>
      <c r="AC4066" s="73"/>
    </row>
    <row r="4067" spans="1:29">
      <c r="A4067" s="327" t="str">
        <f>IF(AND($B4067&lt;&gt;"",$C4067&lt;&gt;""),MAX($A$1556:A4042)+1,"")</f>
        <v/>
      </c>
      <c r="B4067" s="361" t="s">
        <v>2033</v>
      </c>
      <c r="C4067" s="360"/>
      <c r="D4067" s="327">
        <f>IF($B4067="","",COUNTIF($B$6:$B4067,$B4067))</f>
        <v>7</v>
      </c>
      <c r="E4067" s="430">
        <v>570810</v>
      </c>
      <c r="F4067" s="362" t="s">
        <v>1401</v>
      </c>
      <c r="G4067" s="327" t="s">
        <v>155</v>
      </c>
      <c r="H4067" s="361"/>
      <c r="I4067" s="327">
        <v>2</v>
      </c>
      <c r="J4067" s="345"/>
      <c r="K4067" s="327"/>
      <c r="L4067" s="389">
        <f t="shared" si="346"/>
        <v>120952</v>
      </c>
      <c r="M4067" s="371"/>
      <c r="N4067" s="355" t="str">
        <f t="shared" si="347"/>
        <v>PK</v>
      </c>
      <c r="O4067" s="345"/>
      <c r="P4067" s="392"/>
      <c r="Q4067" s="441">
        <v>5.2</v>
      </c>
      <c r="R4067" s="441"/>
      <c r="S4067" s="351"/>
      <c r="T4067" s="351"/>
      <c r="U4067" s="329" t="str">
        <f>IF($N4067=$N$4,IFERROR(INDEX(DanhMuc!$E$154:$E$165,MATCH(MID($B4067,4,2),DanhMuc!$B$154:$B$165,0)),""),"")</f>
        <v/>
      </c>
      <c r="V4067" s="361"/>
      <c r="W4067" s="345"/>
      <c r="X4067" s="329" t="str">
        <f t="shared" si="344"/>
        <v>RT</v>
      </c>
      <c r="Y4067" s="1128" t="s">
        <v>3380</v>
      </c>
      <c r="Z4067" s="1128" t="s">
        <v>3381</v>
      </c>
      <c r="AA4067" s="1128" t="s">
        <v>3384</v>
      </c>
      <c r="AB4067" s="20"/>
      <c r="AC4067" s="73"/>
    </row>
    <row r="4068" spans="1:29" ht="25">
      <c r="A4068" s="327" t="str">
        <f>IF(AND($B4068&lt;&gt;"",$C4068&lt;&gt;""),MAX($A$1556:A4043)+1,"")</f>
        <v/>
      </c>
      <c r="B4068" s="361" t="s">
        <v>2033</v>
      </c>
      <c r="C4068" s="360"/>
      <c r="D4068" s="327">
        <f>IF($B4068="","",COUNTIF($B$6:$B4068,$B4068))</f>
        <v>8</v>
      </c>
      <c r="E4068" s="430">
        <v>738152</v>
      </c>
      <c r="F4068" s="362" t="s">
        <v>1402</v>
      </c>
      <c r="G4068" s="327" t="s">
        <v>156</v>
      </c>
      <c r="H4068" s="361"/>
      <c r="I4068" s="327">
        <v>3</v>
      </c>
      <c r="J4068" s="345"/>
      <c r="K4068" s="327"/>
      <c r="L4068" s="389">
        <f t="shared" si="346"/>
        <v>615924.80000000005</v>
      </c>
      <c r="M4068" s="371"/>
      <c r="N4068" s="355" t="str">
        <f t="shared" si="347"/>
        <v>PK</v>
      </c>
      <c r="O4068" s="345" t="s">
        <v>1053</v>
      </c>
      <c r="P4068" s="392"/>
      <c r="Q4068" s="441">
        <v>26.48</v>
      </c>
      <c r="R4068" s="441"/>
      <c r="S4068" s="351"/>
      <c r="T4068" s="351"/>
      <c r="U4068" s="329" t="str">
        <f>IF($N4068=$N$4,IFERROR(INDEX(DanhMuc!$E$154:$E$165,MATCH(MID($B4068,4,2),DanhMuc!$B$154:$B$165,0)),""),"")</f>
        <v/>
      </c>
      <c r="V4068" s="361"/>
      <c r="W4068" s="345"/>
      <c r="X4068" s="329" t="str">
        <f t="shared" si="344"/>
        <v>RT</v>
      </c>
      <c r="Y4068" s="1128" t="s">
        <v>3380</v>
      </c>
      <c r="Z4068" s="1128" t="s">
        <v>3381</v>
      </c>
      <c r="AA4068" s="1128" t="s">
        <v>3384</v>
      </c>
      <c r="AB4068" s="20"/>
      <c r="AC4068" s="73"/>
    </row>
    <row r="4069" spans="1:29" ht="25">
      <c r="A4069" s="327" t="str">
        <f>IF(AND($B4069&lt;&gt;"",$C4069&lt;&gt;""),MAX($A$1556:A4044)+1,"")</f>
        <v/>
      </c>
      <c r="B4069" s="361" t="s">
        <v>2033</v>
      </c>
      <c r="C4069" s="360"/>
      <c r="D4069" s="327">
        <f>IF($B4069="","",COUNTIF($B$6:$B4069,$B4069))</f>
        <v>9</v>
      </c>
      <c r="E4069" s="430">
        <v>774286</v>
      </c>
      <c r="F4069" s="362" t="s">
        <v>1403</v>
      </c>
      <c r="G4069" s="327" t="s">
        <v>156</v>
      </c>
      <c r="H4069" s="361"/>
      <c r="I4069" s="411" t="s">
        <v>1346</v>
      </c>
      <c r="J4069" s="345"/>
      <c r="K4069" s="327"/>
      <c r="L4069" s="389">
        <f t="shared" si="346"/>
        <v>216550.6</v>
      </c>
      <c r="M4069" s="371"/>
      <c r="N4069" s="355" t="str">
        <f t="shared" si="347"/>
        <v>PK</v>
      </c>
      <c r="O4069" s="345" t="s">
        <v>1054</v>
      </c>
      <c r="P4069" s="392"/>
      <c r="Q4069" s="441">
        <v>9.31</v>
      </c>
      <c r="R4069" s="441"/>
      <c r="S4069" s="351"/>
      <c r="T4069" s="351"/>
      <c r="U4069" s="329" t="str">
        <f>IF($N4069=$N$4,IFERROR(INDEX(DanhMuc!$E$154:$E$165,MATCH(MID($B4069,4,2),DanhMuc!$B$154:$B$165,0)),""),"")</f>
        <v/>
      </c>
      <c r="V4069" s="361"/>
      <c r="W4069" s="345"/>
      <c r="X4069" s="329" t="str">
        <f t="shared" ref="X4069:X4186" si="348">IF($N4069="PR",$E4069,MID($B4069,10,2))</f>
        <v>RT</v>
      </c>
      <c r="Y4069" s="1128" t="s">
        <v>3380</v>
      </c>
      <c r="Z4069" s="1128" t="s">
        <v>3381</v>
      </c>
      <c r="AA4069" s="1128" t="s">
        <v>3384</v>
      </c>
      <c r="AB4069" s="20"/>
      <c r="AC4069" s="73"/>
    </row>
    <row r="4070" spans="1:29" ht="25">
      <c r="A4070" s="327" t="str">
        <f>IF(AND($B4070&lt;&gt;"",$C4070&lt;&gt;""),MAX($A$1556:A4045)+1,"")</f>
        <v/>
      </c>
      <c r="B4070" s="361" t="s">
        <v>2033</v>
      </c>
      <c r="C4070" s="360"/>
      <c r="D4070" s="327">
        <f>IF($B4070="","",COUNTIF($B$6:$B4070,$B4070))</f>
        <v>10</v>
      </c>
      <c r="E4070" s="430">
        <v>774287</v>
      </c>
      <c r="F4070" s="362" t="s">
        <v>1404</v>
      </c>
      <c r="G4070" s="327" t="s">
        <v>156</v>
      </c>
      <c r="H4070" s="361"/>
      <c r="I4070" s="411" t="s">
        <v>1347</v>
      </c>
      <c r="J4070" s="345"/>
      <c r="K4070" s="327"/>
      <c r="L4070" s="389">
        <f t="shared" si="346"/>
        <v>399374.2</v>
      </c>
      <c r="M4070" s="371"/>
      <c r="N4070" s="355" t="str">
        <f t="shared" si="347"/>
        <v>PK</v>
      </c>
      <c r="O4070" s="345" t="s">
        <v>1054</v>
      </c>
      <c r="P4070" s="392"/>
      <c r="Q4070" s="441">
        <v>17.170000000000002</v>
      </c>
      <c r="R4070" s="441"/>
      <c r="S4070" s="351"/>
      <c r="T4070" s="351"/>
      <c r="U4070" s="329" t="str">
        <f>IF($N4070=$N$4,IFERROR(INDEX(DanhMuc!$E$154:$E$165,MATCH(MID($B4070,4,2),DanhMuc!$B$154:$B$165,0)),""),"")</f>
        <v/>
      </c>
      <c r="V4070" s="361"/>
      <c r="W4070" s="345"/>
      <c r="X4070" s="329" t="str">
        <f t="shared" si="348"/>
        <v>RT</v>
      </c>
      <c r="Y4070" s="1128" t="s">
        <v>3380</v>
      </c>
      <c r="Z4070" s="1128" t="s">
        <v>3381</v>
      </c>
      <c r="AA4070" s="1128" t="s">
        <v>3384</v>
      </c>
      <c r="AB4070" s="20"/>
      <c r="AC4070" s="73"/>
    </row>
    <row r="4071" spans="1:29">
      <c r="A4071" s="327" t="str">
        <f>IF(AND($B4071&lt;&gt;"",$C4071&lt;&gt;""),MAX($A$1556:A4046)+1,"")</f>
        <v/>
      </c>
      <c r="B4071" s="361" t="s">
        <v>2033</v>
      </c>
      <c r="C4071" s="360"/>
      <c r="D4071" s="327">
        <f>IF($B4071="","",COUNTIF($B$6:$B4071,$B4071))</f>
        <v>11</v>
      </c>
      <c r="E4071" s="411">
        <v>616040</v>
      </c>
      <c r="F4071" s="403" t="s">
        <v>1405</v>
      </c>
      <c r="G4071" s="410" t="s">
        <v>155</v>
      </c>
      <c r="H4071" s="402"/>
      <c r="I4071" s="410">
        <v>8</v>
      </c>
      <c r="J4071" s="345"/>
      <c r="K4071" s="327"/>
      <c r="L4071" s="389">
        <f t="shared" si="346"/>
        <v>62104.2</v>
      </c>
      <c r="M4071" s="371"/>
      <c r="N4071" s="355" t="str">
        <f t="shared" si="347"/>
        <v>PK</v>
      </c>
      <c r="O4071" s="345" t="s">
        <v>1705</v>
      </c>
      <c r="P4071" s="392"/>
      <c r="Q4071" s="441">
        <v>2.67</v>
      </c>
      <c r="R4071" s="441"/>
      <c r="S4071" s="351"/>
      <c r="T4071" s="351"/>
      <c r="U4071" s="329" t="str">
        <f>IF($N4071=$N$4,IFERROR(INDEX(DanhMuc!$E$154:$E$165,MATCH(MID($B4071,4,2),DanhMuc!$B$154:$B$165,0)),""),"")</f>
        <v/>
      </c>
      <c r="V4071" s="361"/>
      <c r="W4071" s="345"/>
      <c r="X4071" s="329" t="str">
        <f t="shared" si="348"/>
        <v>RT</v>
      </c>
      <c r="Y4071" s="1128" t="s">
        <v>3380</v>
      </c>
      <c r="Z4071" s="1128" t="s">
        <v>3381</v>
      </c>
      <c r="AA4071" s="1128" t="s">
        <v>3384</v>
      </c>
      <c r="AB4071" s="20"/>
      <c r="AC4071" s="73"/>
    </row>
    <row r="4072" spans="1:29">
      <c r="A4072" s="327" t="str">
        <f>IF(AND($B4072&lt;&gt;"",$C4072&lt;&gt;""),MAX($A$1556:A4047)+1,"")</f>
        <v/>
      </c>
      <c r="B4072" s="361" t="s">
        <v>2033</v>
      </c>
      <c r="C4072" s="360"/>
      <c r="D4072" s="327">
        <f>IF($B4072="","",COUNTIF($B$6:$B4072,$B4072))</f>
        <v>12</v>
      </c>
      <c r="E4072" s="411">
        <v>615951</v>
      </c>
      <c r="F4072" s="403" t="s">
        <v>1406</v>
      </c>
      <c r="G4072" s="410" t="s">
        <v>155</v>
      </c>
      <c r="H4072" s="402"/>
      <c r="I4072" s="410">
        <v>8</v>
      </c>
      <c r="J4072" s="345"/>
      <c r="K4072" s="327"/>
      <c r="L4072" s="389">
        <f t="shared" si="346"/>
        <v>120952</v>
      </c>
      <c r="M4072" s="371"/>
      <c r="N4072" s="355" t="str">
        <f t="shared" si="347"/>
        <v>PK</v>
      </c>
      <c r="O4072" s="345" t="s">
        <v>1704</v>
      </c>
      <c r="P4072" s="392"/>
      <c r="Q4072" s="441">
        <v>5.2</v>
      </c>
      <c r="R4072" s="441"/>
      <c r="S4072" s="351"/>
      <c r="T4072" s="351"/>
      <c r="U4072" s="329" t="str">
        <f>IF($N4072=$N$4,IFERROR(INDEX(DanhMuc!$E$154:$E$165,MATCH(MID($B4072,4,2),DanhMuc!$B$154:$B$165,0)),""),"")</f>
        <v/>
      </c>
      <c r="V4072" s="361"/>
      <c r="W4072" s="345"/>
      <c r="X4072" s="329" t="str">
        <f t="shared" si="348"/>
        <v>RT</v>
      </c>
      <c r="Y4072" s="1128" t="s">
        <v>3380</v>
      </c>
      <c r="Z4072" s="1128" t="s">
        <v>3381</v>
      </c>
      <c r="AA4072" s="1128" t="s">
        <v>3384</v>
      </c>
      <c r="AB4072" s="20"/>
      <c r="AC4072" s="73"/>
    </row>
    <row r="4073" spans="1:29">
      <c r="A4073" s="327" t="str">
        <f>IF(AND($B4073&lt;&gt;"",$C4073&lt;&gt;""),MAX($A$1556:A4048)+1,"")</f>
        <v/>
      </c>
      <c r="B4073" s="361" t="s">
        <v>2033</v>
      </c>
      <c r="C4073" s="360"/>
      <c r="D4073" s="327">
        <f>IF($B4073="","",COUNTIF($B$6:$B4073,$B4073))</f>
        <v>13</v>
      </c>
      <c r="E4073" s="430">
        <v>640068</v>
      </c>
      <c r="F4073" s="362" t="s">
        <v>1407</v>
      </c>
      <c r="G4073" s="327" t="s">
        <v>155</v>
      </c>
      <c r="H4073" s="361"/>
      <c r="I4073" s="327">
        <v>1</v>
      </c>
      <c r="J4073" s="345"/>
      <c r="K4073" s="327"/>
      <c r="L4073" s="389">
        <f t="shared" si="346"/>
        <v>201431.6</v>
      </c>
      <c r="M4073" s="371"/>
      <c r="N4073" s="355" t="str">
        <f t="shared" si="347"/>
        <v>PK</v>
      </c>
      <c r="O4073" s="345" t="s">
        <v>1053</v>
      </c>
      <c r="P4073" s="392"/>
      <c r="Q4073" s="441">
        <v>8.66</v>
      </c>
      <c r="R4073" s="441"/>
      <c r="S4073" s="351"/>
      <c r="T4073" s="351"/>
      <c r="U4073" s="329" t="str">
        <f>IF($N4073=$N$4,IFERROR(INDEX(DanhMuc!$E$154:$E$165,MATCH(MID($B4073,4,2),DanhMuc!$B$154:$B$165,0)),""),"")</f>
        <v/>
      </c>
      <c r="V4073" s="361"/>
      <c r="W4073" s="345"/>
      <c r="X4073" s="329" t="str">
        <f t="shared" si="348"/>
        <v>RT</v>
      </c>
      <c r="Y4073" s="1128" t="s">
        <v>3380</v>
      </c>
      <c r="Z4073" s="1128" t="s">
        <v>3381</v>
      </c>
      <c r="AA4073" s="1128" t="s">
        <v>3384</v>
      </c>
      <c r="AB4073" s="20"/>
      <c r="AC4073" s="73"/>
    </row>
    <row r="4074" spans="1:29" ht="25">
      <c r="A4074" s="327" t="str">
        <f>IF(AND($B4074&lt;&gt;"",$C4074&lt;&gt;""),MAX($A$1556:A4049)+1,"")</f>
        <v/>
      </c>
      <c r="B4074" s="361" t="s">
        <v>2033</v>
      </c>
      <c r="C4074" s="360"/>
      <c r="D4074" s="327">
        <f>IF($B4074="","",COUNTIF($B$6:$B4074,$B4074))</f>
        <v>14</v>
      </c>
      <c r="E4074" s="430">
        <v>629551</v>
      </c>
      <c r="F4074" s="362" t="s">
        <v>1936</v>
      </c>
      <c r="G4074" s="327" t="s">
        <v>155</v>
      </c>
      <c r="H4074" s="361"/>
      <c r="I4074" s="327">
        <v>12</v>
      </c>
      <c r="J4074" s="345"/>
      <c r="K4074" s="327"/>
      <c r="L4074" s="389">
        <f t="shared" si="346"/>
        <v>31168.400000000001</v>
      </c>
      <c r="M4074" s="371"/>
      <c r="N4074" s="355" t="str">
        <f t="shared" si="347"/>
        <v>PK</v>
      </c>
      <c r="O4074" s="345" t="s">
        <v>1053</v>
      </c>
      <c r="P4074" s="392"/>
      <c r="Q4074" s="441">
        <v>1.34</v>
      </c>
      <c r="R4074" s="441"/>
      <c r="S4074" s="351"/>
      <c r="T4074" s="351"/>
      <c r="U4074" s="329" t="str">
        <f>IF($N4074=$N$4,IFERROR(INDEX(DanhMuc!$E$154:$E$165,MATCH(MID($B4074,4,2),DanhMuc!$B$154:$B$165,0)),""),"")</f>
        <v/>
      </c>
      <c r="V4074" s="361"/>
      <c r="W4074" s="345"/>
      <c r="X4074" s="329" t="str">
        <f t="shared" si="348"/>
        <v>RT</v>
      </c>
      <c r="Y4074" s="1128" t="s">
        <v>3380</v>
      </c>
      <c r="Z4074" s="1128" t="s">
        <v>3381</v>
      </c>
      <c r="AA4074" s="1128" t="s">
        <v>3384</v>
      </c>
      <c r="AB4074" s="20"/>
      <c r="AC4074" s="73"/>
    </row>
    <row r="4075" spans="1:29" ht="25">
      <c r="A4075" s="327" t="str">
        <f>IF(AND($B4075&lt;&gt;"",$C4075&lt;&gt;""),MAX($A$1556:A4050)+1,"")</f>
        <v/>
      </c>
      <c r="B4075" s="361" t="s">
        <v>2033</v>
      </c>
      <c r="C4075" s="360"/>
      <c r="D4075" s="327">
        <f>IF($B4075="","",COUNTIF($B$6:$B4075,$B4075))</f>
        <v>15</v>
      </c>
      <c r="E4075" s="430">
        <v>629551</v>
      </c>
      <c r="F4075" s="362" t="s">
        <v>1936</v>
      </c>
      <c r="G4075" s="327" t="s">
        <v>155</v>
      </c>
      <c r="H4075" s="361"/>
      <c r="I4075" s="411" t="s">
        <v>1348</v>
      </c>
      <c r="J4075" s="345"/>
      <c r="K4075" s="327"/>
      <c r="L4075" s="389">
        <f t="shared" si="346"/>
        <v>31168.400000000001</v>
      </c>
      <c r="M4075" s="371"/>
      <c r="N4075" s="355" t="str">
        <f t="shared" si="347"/>
        <v>PK</v>
      </c>
      <c r="O4075" s="345" t="s">
        <v>1054</v>
      </c>
      <c r="P4075" s="392"/>
      <c r="Q4075" s="441">
        <v>1.34</v>
      </c>
      <c r="R4075" s="441"/>
      <c r="S4075" s="351"/>
      <c r="T4075" s="351"/>
      <c r="U4075" s="329" t="str">
        <f>IF($N4075=$N$4,IFERROR(INDEX(DanhMuc!$E$154:$E$165,MATCH(MID($B4075,4,2),DanhMuc!$B$154:$B$165,0)),""),"")</f>
        <v/>
      </c>
      <c r="V4075" s="361"/>
      <c r="W4075" s="345"/>
      <c r="X4075" s="329" t="str">
        <f t="shared" si="348"/>
        <v>RT</v>
      </c>
      <c r="Y4075" s="1128" t="s">
        <v>3380</v>
      </c>
      <c r="Z4075" s="1128" t="s">
        <v>3381</v>
      </c>
      <c r="AA4075" s="1128" t="s">
        <v>3384</v>
      </c>
      <c r="AB4075" s="20"/>
      <c r="AC4075" s="73"/>
    </row>
    <row r="4076" spans="1:29">
      <c r="A4076" s="327" t="str">
        <f>IF(AND($B4076&lt;&gt;"",$C4076&lt;&gt;""),MAX($A$1556:A4051)+1,"")</f>
        <v/>
      </c>
      <c r="B4076" s="361" t="s">
        <v>2033</v>
      </c>
      <c r="C4076" s="360"/>
      <c r="D4076" s="327">
        <f>IF($B4076="","",COUNTIF($B$6:$B4076,$B4076))</f>
        <v>16</v>
      </c>
      <c r="E4076" s="411">
        <v>221847</v>
      </c>
      <c r="F4076" s="432" t="s">
        <v>1374</v>
      </c>
      <c r="G4076" s="410" t="s">
        <v>155</v>
      </c>
      <c r="H4076" s="361"/>
      <c r="I4076" s="327">
        <v>8</v>
      </c>
      <c r="J4076" s="345"/>
      <c r="K4076" s="327"/>
      <c r="L4076" s="356">
        <v>1000</v>
      </c>
      <c r="M4076" s="371"/>
      <c r="N4076" s="355" t="str">
        <f t="shared" si="347"/>
        <v>PK</v>
      </c>
      <c r="O4076" s="345"/>
      <c r="P4076" s="392"/>
      <c r="Q4076" s="356">
        <v>1000</v>
      </c>
      <c r="R4076" s="441"/>
      <c r="S4076" s="351"/>
      <c r="T4076" s="351"/>
      <c r="U4076" s="329" t="str">
        <f>IF($N4076=$N$4,IFERROR(INDEX(DanhMuc!$E$154:$E$165,MATCH(MID($B4076,4,2),DanhMuc!$B$154:$B$165,0)),""),"")</f>
        <v/>
      </c>
      <c r="V4076" s="361"/>
      <c r="W4076" s="345"/>
      <c r="X4076" s="329" t="str">
        <f t="shared" si="348"/>
        <v>RT</v>
      </c>
      <c r="Y4076" s="1128" t="s">
        <v>3380</v>
      </c>
      <c r="Z4076" s="1128" t="s">
        <v>3381</v>
      </c>
      <c r="AA4076" s="1128" t="s">
        <v>3384</v>
      </c>
      <c r="AB4076" s="20"/>
      <c r="AC4076" s="73"/>
    </row>
    <row r="4077" spans="1:29">
      <c r="A4077" s="327" t="str">
        <f>IF(AND($B4077&lt;&gt;"",$C4077&lt;&gt;""),MAX($A$1556:A4052)+1,"")</f>
        <v/>
      </c>
      <c r="B4077" s="361" t="s">
        <v>2033</v>
      </c>
      <c r="C4077" s="360"/>
      <c r="D4077" s="327">
        <f>IF($B4077="","",COUNTIF($B$6:$B4077,$B4077))</f>
        <v>17</v>
      </c>
      <c r="E4077" s="411">
        <v>221848</v>
      </c>
      <c r="F4077" s="432" t="s">
        <v>1375</v>
      </c>
      <c r="G4077" s="410" t="s">
        <v>155</v>
      </c>
      <c r="H4077" s="361"/>
      <c r="I4077" s="327">
        <v>4</v>
      </c>
      <c r="J4077" s="345"/>
      <c r="K4077" s="327"/>
      <c r="L4077" s="356">
        <v>10100</v>
      </c>
      <c r="M4077" s="371"/>
      <c r="N4077" s="355" t="str">
        <f t="shared" si="347"/>
        <v>PK</v>
      </c>
      <c r="O4077" s="345"/>
      <c r="P4077" s="392"/>
      <c r="Q4077" s="356">
        <v>10100</v>
      </c>
      <c r="R4077" s="441"/>
      <c r="S4077" s="351"/>
      <c r="T4077" s="351"/>
      <c r="U4077" s="329" t="str">
        <f>IF($N4077=$N$4,IFERROR(INDEX(DanhMuc!$E$154:$E$165,MATCH(MID($B4077,4,2),DanhMuc!$B$154:$B$165,0)),""),"")</f>
        <v/>
      </c>
      <c r="V4077" s="361"/>
      <c r="W4077" s="345"/>
      <c r="X4077" s="329" t="str">
        <f t="shared" si="348"/>
        <v>RT</v>
      </c>
      <c r="Y4077" s="1128" t="s">
        <v>3380</v>
      </c>
      <c r="Z4077" s="1128" t="s">
        <v>3381</v>
      </c>
      <c r="AA4077" s="1128" t="s">
        <v>3384</v>
      </c>
      <c r="AB4077" s="20"/>
      <c r="AC4077" s="73"/>
    </row>
    <row r="4078" spans="1:29">
      <c r="A4078" s="327" t="str">
        <f>IF(AND($B4078&lt;&gt;"",$C4078&lt;&gt;""),MAX($A$1556:A4053)+1,"")</f>
        <v/>
      </c>
      <c r="B4078" s="361" t="s">
        <v>2033</v>
      </c>
      <c r="C4078" s="360"/>
      <c r="D4078" s="327">
        <f>IF($B4078="","",COUNTIF($B$6:$B4078,$B4078))</f>
        <v>18</v>
      </c>
      <c r="E4078" s="430">
        <v>317250</v>
      </c>
      <c r="F4078" s="362" t="s">
        <v>1408</v>
      </c>
      <c r="G4078" s="327" t="s">
        <v>344</v>
      </c>
      <c r="H4078" s="361"/>
      <c r="I4078" s="327">
        <v>2</v>
      </c>
      <c r="J4078" s="345"/>
      <c r="K4078" s="327"/>
      <c r="L4078" s="389">
        <f t="shared" si="346"/>
        <v>62104.2</v>
      </c>
      <c r="M4078" s="371"/>
      <c r="N4078" s="355" t="str">
        <f t="shared" si="347"/>
        <v>PK</v>
      </c>
      <c r="O4078" s="345"/>
      <c r="P4078" s="392"/>
      <c r="Q4078" s="441">
        <v>2.67</v>
      </c>
      <c r="R4078" s="441"/>
      <c r="S4078" s="351"/>
      <c r="T4078" s="351"/>
      <c r="U4078" s="329" t="str">
        <f>IF($N4078=$N$4,IFERROR(INDEX(DanhMuc!$E$154:$E$165,MATCH(MID($B4078,4,2),DanhMuc!$B$154:$B$165,0)),""),"")</f>
        <v/>
      </c>
      <c r="V4078" s="361"/>
      <c r="W4078" s="345"/>
      <c r="X4078" s="329" t="str">
        <f t="shared" si="348"/>
        <v>RT</v>
      </c>
      <c r="Y4078" s="1128" t="s">
        <v>3380</v>
      </c>
      <c r="Z4078" s="1128" t="s">
        <v>3381</v>
      </c>
      <c r="AA4078" s="1128" t="s">
        <v>3384</v>
      </c>
      <c r="AB4078" s="20"/>
      <c r="AC4078" s="73"/>
    </row>
    <row r="4079" spans="1:29" ht="26">
      <c r="A4079" s="327">
        <f>IF(AND($B4079&lt;&gt;"",$C4079&lt;&gt;""),MAX($A$1556:A4054)+1,"")</f>
        <v>191</v>
      </c>
      <c r="B4079" s="359" t="s">
        <v>2846</v>
      </c>
      <c r="C4079" s="370" t="s">
        <v>1576</v>
      </c>
      <c r="D4079" s="327">
        <f>IF($B4079="","",COUNTIF($B$6:$B4079,$B4079))</f>
        <v>1</v>
      </c>
      <c r="E4079" s="430">
        <v>770011</v>
      </c>
      <c r="F4079" s="362" t="s">
        <v>1396</v>
      </c>
      <c r="G4079" s="351" t="s">
        <v>155</v>
      </c>
      <c r="H4079" s="361"/>
      <c r="I4079" s="327">
        <v>1</v>
      </c>
      <c r="J4079" s="361"/>
      <c r="K4079" s="327"/>
      <c r="L4079" s="389">
        <f t="shared" si="346"/>
        <v>294704.2</v>
      </c>
      <c r="M4079" s="371"/>
      <c r="N4079" s="355" t="str">
        <f t="shared" si="347"/>
        <v>PK</v>
      </c>
      <c r="O4079" s="345" t="s">
        <v>1784</v>
      </c>
      <c r="P4079" s="392"/>
      <c r="Q4079" s="441">
        <v>12.67</v>
      </c>
      <c r="R4079" s="441"/>
      <c r="S4079" s="351"/>
      <c r="T4079" s="351"/>
      <c r="U4079" s="329" t="str">
        <f>IF($N4079=$N$4,IFERROR(INDEX(DanhMuc!$E$154:$E$165,MATCH(MID($B4079,4,2),DanhMuc!$B$154:$B$165,0)),""),"")</f>
        <v/>
      </c>
      <c r="V4079" s="361"/>
      <c r="W4079" s="345"/>
      <c r="X4079" s="329" t="str">
        <f t="shared" si="348"/>
        <v>RT</v>
      </c>
      <c r="Y4079" s="1128" t="s">
        <v>3380</v>
      </c>
      <c r="Z4079" s="1128" t="s">
        <v>3381</v>
      </c>
      <c r="AA4079" s="1128" t="s">
        <v>3384</v>
      </c>
      <c r="AB4079" s="20"/>
      <c r="AC4079" s="73"/>
    </row>
    <row r="4080" spans="1:29" ht="25">
      <c r="A4080" s="327" t="str">
        <f>IF(AND($B4080&lt;&gt;"",$C4080&lt;&gt;""),MAX($A$1556:A4055)+1,"")</f>
        <v/>
      </c>
      <c r="B4080" s="361" t="s">
        <v>2846</v>
      </c>
      <c r="C4080" s="360"/>
      <c r="D4080" s="327">
        <f>IF($B4080="","",COUNTIF($B$6:$B4080,$B4080))</f>
        <v>2</v>
      </c>
      <c r="E4080" s="430">
        <v>770007</v>
      </c>
      <c r="F4080" s="362" t="s">
        <v>1397</v>
      </c>
      <c r="G4080" s="351" t="s">
        <v>155</v>
      </c>
      <c r="H4080" s="361"/>
      <c r="I4080" s="327">
        <v>1</v>
      </c>
      <c r="J4080" s="345"/>
      <c r="K4080" s="327"/>
      <c r="L4080" s="389">
        <f t="shared" si="346"/>
        <v>300519.2</v>
      </c>
      <c r="M4080" s="371"/>
      <c r="N4080" s="355" t="str">
        <f t="shared" si="347"/>
        <v>PK</v>
      </c>
      <c r="O4080" s="345" t="s">
        <v>1784</v>
      </c>
      <c r="P4080" s="392"/>
      <c r="Q4080" s="441">
        <v>12.92</v>
      </c>
      <c r="R4080" s="441"/>
      <c r="S4080" s="351"/>
      <c r="T4080" s="351"/>
      <c r="U4080" s="329" t="str">
        <f>IF($N4080=$N$4,IFERROR(INDEX(DanhMuc!$E$154:$E$165,MATCH(MID($B4080,4,2),DanhMuc!$B$154:$B$165,0)),""),"")</f>
        <v/>
      </c>
      <c r="V4080" s="361"/>
      <c r="W4080" s="345"/>
      <c r="X4080" s="329" t="str">
        <f t="shared" si="348"/>
        <v>RT</v>
      </c>
      <c r="Y4080" s="1128" t="s">
        <v>3380</v>
      </c>
      <c r="Z4080" s="1128" t="s">
        <v>3381</v>
      </c>
      <c r="AA4080" s="1128" t="s">
        <v>3384</v>
      </c>
      <c r="AB4080" s="20"/>
      <c r="AC4080" s="73"/>
    </row>
    <row r="4081" spans="1:29" ht="25">
      <c r="A4081" s="327" t="str">
        <f>IF(AND($B4081&lt;&gt;"",$C4081&lt;&gt;""),MAX($A$1556:A4056)+1,"")</f>
        <v/>
      </c>
      <c r="B4081" s="361" t="s">
        <v>2846</v>
      </c>
      <c r="C4081" s="360"/>
      <c r="D4081" s="327">
        <f>IF($B4081="","",COUNTIF($B$6:$B4081,$B4081))</f>
        <v>3</v>
      </c>
      <c r="E4081" s="411">
        <v>613234</v>
      </c>
      <c r="F4081" s="362" t="s">
        <v>1974</v>
      </c>
      <c r="G4081" s="351" t="s">
        <v>155</v>
      </c>
      <c r="H4081" s="361"/>
      <c r="I4081" s="327">
        <v>1</v>
      </c>
      <c r="J4081" s="345"/>
      <c r="K4081" s="327"/>
      <c r="L4081" s="389">
        <f t="shared" si="346"/>
        <v>304240.8</v>
      </c>
      <c r="M4081" s="371"/>
      <c r="N4081" s="355" t="str">
        <f t="shared" si="347"/>
        <v>PK</v>
      </c>
      <c r="O4081" s="345" t="s">
        <v>1785</v>
      </c>
      <c r="P4081" s="392"/>
      <c r="Q4081" s="441">
        <v>13.08</v>
      </c>
      <c r="R4081" s="441"/>
      <c r="S4081" s="351"/>
      <c r="T4081" s="351"/>
      <c r="U4081" s="329" t="str">
        <f>IF($N4081=$N$4,IFERROR(INDEX(DanhMuc!$E$154:$E$165,MATCH(MID($B4081,4,2),DanhMuc!$B$154:$B$165,0)),""),"")</f>
        <v/>
      </c>
      <c r="V4081" s="361">
        <v>770009</v>
      </c>
      <c r="W4081" s="345"/>
      <c r="X4081" s="329" t="str">
        <f t="shared" si="348"/>
        <v>RT</v>
      </c>
      <c r="Y4081" s="1128" t="s">
        <v>3380</v>
      </c>
      <c r="Z4081" s="1128" t="s">
        <v>3381</v>
      </c>
      <c r="AA4081" s="1128" t="s">
        <v>3384</v>
      </c>
      <c r="AB4081" s="20"/>
      <c r="AC4081" s="73"/>
    </row>
    <row r="4082" spans="1:29" ht="25">
      <c r="A4082" s="327" t="str">
        <f>IF(AND($B4082&lt;&gt;"",$C4082&lt;&gt;""),MAX($A$1556:A4057)+1,"")</f>
        <v/>
      </c>
      <c r="B4082" s="361" t="s">
        <v>2846</v>
      </c>
      <c r="C4082" s="360"/>
      <c r="D4082" s="327">
        <f>IF($B4082="","",COUNTIF($B$6:$B4082,$B4082))</f>
        <v>4</v>
      </c>
      <c r="E4082" s="430">
        <v>770005</v>
      </c>
      <c r="F4082" s="362" t="s">
        <v>1399</v>
      </c>
      <c r="G4082" s="351" t="s">
        <v>155</v>
      </c>
      <c r="H4082" s="361"/>
      <c r="I4082" s="327">
        <v>1</v>
      </c>
      <c r="J4082" s="345"/>
      <c r="K4082" s="327"/>
      <c r="L4082" s="389">
        <f t="shared" si="346"/>
        <v>271211.59999999998</v>
      </c>
      <c r="M4082" s="371"/>
      <c r="N4082" s="355" t="str">
        <f t="shared" si="347"/>
        <v>PK</v>
      </c>
      <c r="O4082" s="345" t="s">
        <v>1785</v>
      </c>
      <c r="P4082" s="392"/>
      <c r="Q4082" s="441">
        <v>11.66</v>
      </c>
      <c r="R4082" s="441"/>
      <c r="S4082" s="351"/>
      <c r="T4082" s="351"/>
      <c r="U4082" s="329" t="str">
        <f>IF($N4082=$N$4,IFERROR(INDEX(DanhMuc!$E$154:$E$165,MATCH(MID($B4082,4,2),DanhMuc!$B$154:$B$165,0)),""),"")</f>
        <v/>
      </c>
      <c r="V4082" s="361"/>
      <c r="W4082" s="345"/>
      <c r="X4082" s="329" t="str">
        <f t="shared" si="348"/>
        <v>RT</v>
      </c>
      <c r="Y4082" s="1128" t="s">
        <v>3380</v>
      </c>
      <c r="Z4082" s="1128" t="s">
        <v>3381</v>
      </c>
      <c r="AA4082" s="1128" t="s">
        <v>3384</v>
      </c>
      <c r="AB4082" s="20"/>
      <c r="AC4082" s="73"/>
    </row>
    <row r="4083" spans="1:29" ht="25">
      <c r="A4083" s="327" t="str">
        <f>IF(AND($B4083&lt;&gt;"",$C4083&lt;&gt;""),MAX($A$1556:A4058)+1,"")</f>
        <v/>
      </c>
      <c r="B4083" s="361" t="s">
        <v>2846</v>
      </c>
      <c r="C4083" s="360"/>
      <c r="D4083" s="327">
        <f>IF($B4083="","",COUNTIF($B$6:$B4083,$B4083))</f>
        <v>5</v>
      </c>
      <c r="E4083" s="430">
        <v>774436</v>
      </c>
      <c r="F4083" s="362" t="s">
        <v>1935</v>
      </c>
      <c r="G4083" s="351" t="s">
        <v>155</v>
      </c>
      <c r="H4083" s="361"/>
      <c r="I4083" s="327">
        <v>1</v>
      </c>
      <c r="J4083" s="345"/>
      <c r="K4083" s="327"/>
      <c r="L4083" s="389">
        <f t="shared" si="346"/>
        <v>273770.2</v>
      </c>
      <c r="M4083" s="371"/>
      <c r="N4083" s="355" t="str">
        <f t="shared" si="347"/>
        <v>PK</v>
      </c>
      <c r="O4083" s="345" t="s">
        <v>1786</v>
      </c>
      <c r="P4083" s="392"/>
      <c r="Q4083" s="441">
        <v>11.77</v>
      </c>
      <c r="R4083" s="441"/>
      <c r="S4083" s="351"/>
      <c r="T4083" s="351"/>
      <c r="U4083" s="329" t="str">
        <f>IF($N4083=$N$4,IFERROR(INDEX(DanhMuc!$E$154:$E$165,MATCH(MID($B4083,4,2),DanhMuc!$B$154:$B$165,0)),""),"")</f>
        <v/>
      </c>
      <c r="V4083" s="361">
        <v>774436</v>
      </c>
      <c r="W4083" s="345"/>
      <c r="X4083" s="329" t="str">
        <f t="shared" si="348"/>
        <v>RT</v>
      </c>
      <c r="Y4083" s="1128" t="s">
        <v>3380</v>
      </c>
      <c r="Z4083" s="1128" t="s">
        <v>3381</v>
      </c>
      <c r="AA4083" s="1128" t="s">
        <v>3384</v>
      </c>
      <c r="AB4083" s="20"/>
      <c r="AC4083" s="73"/>
    </row>
    <row r="4084" spans="1:29" ht="25">
      <c r="A4084" s="327" t="str">
        <f>IF(AND($B4084&lt;&gt;"",$C4084&lt;&gt;""),MAX($A$1556:A4059)+1,"")</f>
        <v/>
      </c>
      <c r="B4084" s="361" t="s">
        <v>2846</v>
      </c>
      <c r="C4084" s="360"/>
      <c r="D4084" s="327">
        <f>IF($B4084="","",COUNTIF($B$6:$B4084,$B4084))</f>
        <v>6</v>
      </c>
      <c r="E4084" s="411">
        <v>613191</v>
      </c>
      <c r="F4084" s="362" t="s">
        <v>1973</v>
      </c>
      <c r="G4084" s="351" t="s">
        <v>155</v>
      </c>
      <c r="H4084" s="361"/>
      <c r="I4084" s="327">
        <v>1</v>
      </c>
      <c r="J4084" s="345"/>
      <c r="K4084" s="327"/>
      <c r="L4084" s="389">
        <f t="shared" si="346"/>
        <v>249579.80000000002</v>
      </c>
      <c r="M4084" s="371"/>
      <c r="N4084" s="355" t="str">
        <f t="shared" si="347"/>
        <v>PK</v>
      </c>
      <c r="O4084" s="345" t="s">
        <v>1786</v>
      </c>
      <c r="P4084" s="392"/>
      <c r="Q4084" s="441">
        <v>10.73</v>
      </c>
      <c r="R4084" s="441"/>
      <c r="S4084" s="351"/>
      <c r="T4084" s="351"/>
      <c r="U4084" s="329" t="str">
        <f>IF($N4084=$N$4,IFERROR(INDEX(DanhMuc!$E$154:$E$165,MATCH(MID($B4084,4,2),DanhMuc!$B$154:$B$165,0)),""),"")</f>
        <v/>
      </c>
      <c r="V4084" s="361">
        <v>774442</v>
      </c>
      <c r="W4084" s="345"/>
      <c r="X4084" s="329" t="str">
        <f t="shared" si="348"/>
        <v>RT</v>
      </c>
      <c r="Y4084" s="1128" t="s">
        <v>3380</v>
      </c>
      <c r="Z4084" s="1128" t="s">
        <v>3381</v>
      </c>
      <c r="AA4084" s="1128" t="s">
        <v>3384</v>
      </c>
      <c r="AB4084" s="20"/>
      <c r="AC4084" s="73"/>
    </row>
    <row r="4085" spans="1:29">
      <c r="A4085" s="327" t="str">
        <f>IF(AND($B4085&lt;&gt;"",$C4085&lt;&gt;""),MAX($A$1556:A4060)+1,"")</f>
        <v/>
      </c>
      <c r="B4085" s="361" t="s">
        <v>2846</v>
      </c>
      <c r="C4085" s="360"/>
      <c r="D4085" s="327">
        <f>IF($B4085="","",COUNTIF($B$6:$B4085,$B4085))</f>
        <v>7</v>
      </c>
      <c r="E4085" s="430">
        <v>570810</v>
      </c>
      <c r="F4085" s="362" t="s">
        <v>1401</v>
      </c>
      <c r="G4085" s="327" t="s">
        <v>155</v>
      </c>
      <c r="H4085" s="361"/>
      <c r="I4085" s="327">
        <v>1</v>
      </c>
      <c r="J4085" s="345"/>
      <c r="K4085" s="327"/>
      <c r="L4085" s="389">
        <f t="shared" si="346"/>
        <v>120952</v>
      </c>
      <c r="M4085" s="371"/>
      <c r="N4085" s="355" t="str">
        <f t="shared" si="347"/>
        <v>PK</v>
      </c>
      <c r="O4085" s="345"/>
      <c r="P4085" s="392"/>
      <c r="Q4085" s="441">
        <v>5.2</v>
      </c>
      <c r="R4085" s="441"/>
      <c r="S4085" s="351"/>
      <c r="T4085" s="351"/>
      <c r="U4085" s="329" t="str">
        <f>IF($N4085=$N$4,IFERROR(INDEX(DanhMuc!$E$154:$E$165,MATCH(MID($B4085,4,2),DanhMuc!$B$154:$B$165,0)),""),"")</f>
        <v/>
      </c>
      <c r="V4085" s="361"/>
      <c r="W4085" s="345"/>
      <c r="X4085" s="329" t="str">
        <f t="shared" si="348"/>
        <v>RT</v>
      </c>
      <c r="Y4085" s="1128" t="s">
        <v>3380</v>
      </c>
      <c r="Z4085" s="1128" t="s">
        <v>3381</v>
      </c>
      <c r="AA4085" s="1128" t="s">
        <v>3384</v>
      </c>
      <c r="AB4085" s="20"/>
      <c r="AC4085" s="73"/>
    </row>
    <row r="4086" spans="1:29" ht="25">
      <c r="A4086" s="327" t="str">
        <f>IF(AND($B4086&lt;&gt;"",$C4086&lt;&gt;""),MAX($A$1556:A4061)+1,"")</f>
        <v/>
      </c>
      <c r="B4086" s="361" t="s">
        <v>2846</v>
      </c>
      <c r="C4086" s="360"/>
      <c r="D4086" s="327">
        <f>IF($B4086="","",COUNTIF($B$6:$B4086,$B4086))</f>
        <v>8</v>
      </c>
      <c r="E4086" s="430">
        <v>738152</v>
      </c>
      <c r="F4086" s="362" t="s">
        <v>1402</v>
      </c>
      <c r="G4086" s="327" t="s">
        <v>156</v>
      </c>
      <c r="H4086" s="361"/>
      <c r="I4086" s="327">
        <v>2</v>
      </c>
      <c r="J4086" s="345"/>
      <c r="K4086" s="327"/>
      <c r="L4086" s="389">
        <f t="shared" si="346"/>
        <v>615924.80000000005</v>
      </c>
      <c r="M4086" s="371"/>
      <c r="N4086" s="355" t="str">
        <f t="shared" si="347"/>
        <v>PK</v>
      </c>
      <c r="O4086" s="345" t="s">
        <v>1053</v>
      </c>
      <c r="P4086" s="392"/>
      <c r="Q4086" s="441">
        <v>26.48</v>
      </c>
      <c r="R4086" s="441"/>
      <c r="S4086" s="351"/>
      <c r="T4086" s="351"/>
      <c r="U4086" s="329" t="str">
        <f>IF($N4086=$N$4,IFERROR(INDEX(DanhMuc!$E$154:$E$165,MATCH(MID($B4086,4,2),DanhMuc!$B$154:$B$165,0)),""),"")</f>
        <v/>
      </c>
      <c r="V4086" s="361"/>
      <c r="W4086" s="345"/>
      <c r="X4086" s="329" t="str">
        <f t="shared" si="348"/>
        <v>RT</v>
      </c>
      <c r="Y4086" s="1128" t="s">
        <v>3380</v>
      </c>
      <c r="Z4086" s="1128" t="s">
        <v>3381</v>
      </c>
      <c r="AA4086" s="1128" t="s">
        <v>3384</v>
      </c>
      <c r="AB4086" s="20"/>
      <c r="AC4086" s="73"/>
    </row>
    <row r="4087" spans="1:29" ht="25">
      <c r="A4087" s="327" t="str">
        <f>IF(AND($B4087&lt;&gt;"",$C4087&lt;&gt;""),MAX($A$1556:A4062)+1,"")</f>
        <v/>
      </c>
      <c r="B4087" s="361" t="s">
        <v>2846</v>
      </c>
      <c r="C4087" s="360"/>
      <c r="D4087" s="327">
        <f>IF($B4087="","",COUNTIF($B$6:$B4087,$B4087))</f>
        <v>9</v>
      </c>
      <c r="E4087" s="430">
        <v>774286</v>
      </c>
      <c r="F4087" s="362" t="s">
        <v>1403</v>
      </c>
      <c r="G4087" s="327" t="s">
        <v>156</v>
      </c>
      <c r="H4087" s="361"/>
      <c r="I4087" s="411" t="s">
        <v>1344</v>
      </c>
      <c r="J4087" s="345"/>
      <c r="K4087" s="327"/>
      <c r="L4087" s="389">
        <f t="shared" si="346"/>
        <v>216550.6</v>
      </c>
      <c r="M4087" s="371"/>
      <c r="N4087" s="355" t="str">
        <f t="shared" si="347"/>
        <v>PK</v>
      </c>
      <c r="O4087" s="345" t="s">
        <v>1054</v>
      </c>
      <c r="P4087" s="392"/>
      <c r="Q4087" s="441">
        <v>9.31</v>
      </c>
      <c r="R4087" s="441"/>
      <c r="S4087" s="351"/>
      <c r="T4087" s="351"/>
      <c r="U4087" s="329" t="str">
        <f>IF($N4087=$N$4,IFERROR(INDEX(DanhMuc!$E$154:$E$165,MATCH(MID($B4087,4,2),DanhMuc!$B$154:$B$165,0)),""),"")</f>
        <v/>
      </c>
      <c r="V4087" s="361"/>
      <c r="W4087" s="345"/>
      <c r="X4087" s="329" t="str">
        <f t="shared" si="348"/>
        <v>RT</v>
      </c>
      <c r="Y4087" s="1128" t="s">
        <v>3380</v>
      </c>
      <c r="Z4087" s="1128" t="s">
        <v>3381</v>
      </c>
      <c r="AA4087" s="1128" t="s">
        <v>3384</v>
      </c>
      <c r="AB4087" s="20"/>
      <c r="AC4087" s="73"/>
    </row>
    <row r="4088" spans="1:29" ht="25">
      <c r="A4088" s="327" t="str">
        <f>IF(AND($B4088&lt;&gt;"",$C4088&lt;&gt;""),MAX($A$1556:A4063)+1,"")</f>
        <v/>
      </c>
      <c r="B4088" s="361" t="s">
        <v>2846</v>
      </c>
      <c r="C4088" s="360"/>
      <c r="D4088" s="327">
        <f>IF($B4088="","",COUNTIF($B$6:$B4088,$B4088))</f>
        <v>10</v>
      </c>
      <c r="E4088" s="430">
        <v>774287</v>
      </c>
      <c r="F4088" s="362" t="s">
        <v>1404</v>
      </c>
      <c r="G4088" s="327" t="s">
        <v>156</v>
      </c>
      <c r="H4088" s="361"/>
      <c r="I4088" s="411" t="s">
        <v>1343</v>
      </c>
      <c r="J4088" s="345"/>
      <c r="K4088" s="327"/>
      <c r="L4088" s="389">
        <f t="shared" si="346"/>
        <v>399374.2</v>
      </c>
      <c r="M4088" s="371"/>
      <c r="N4088" s="355" t="str">
        <f t="shared" si="347"/>
        <v>PK</v>
      </c>
      <c r="O4088" s="345" t="s">
        <v>1054</v>
      </c>
      <c r="P4088" s="392"/>
      <c r="Q4088" s="441">
        <v>17.170000000000002</v>
      </c>
      <c r="R4088" s="441"/>
      <c r="S4088" s="351"/>
      <c r="T4088" s="351"/>
      <c r="U4088" s="329" t="str">
        <f>IF($N4088=$N$4,IFERROR(INDEX(DanhMuc!$E$154:$E$165,MATCH(MID($B4088,4,2),DanhMuc!$B$154:$B$165,0)),""),"")</f>
        <v/>
      </c>
      <c r="V4088" s="361"/>
      <c r="W4088" s="345"/>
      <c r="X4088" s="329" t="str">
        <f t="shared" si="348"/>
        <v>RT</v>
      </c>
      <c r="Y4088" s="1128" t="s">
        <v>3380</v>
      </c>
      <c r="Z4088" s="1128" t="s">
        <v>3381</v>
      </c>
      <c r="AA4088" s="1128" t="s">
        <v>3384</v>
      </c>
      <c r="AB4088" s="20"/>
      <c r="AC4088" s="73"/>
    </row>
    <row r="4089" spans="1:29">
      <c r="A4089" s="327" t="str">
        <f>IF(AND($B4089&lt;&gt;"",$C4089&lt;&gt;""),MAX($A$1556:A4064)+1,"")</f>
        <v/>
      </c>
      <c r="B4089" s="361" t="s">
        <v>2846</v>
      </c>
      <c r="C4089" s="360"/>
      <c r="D4089" s="327">
        <f>IF($B4089="","",COUNTIF($B$6:$B4089,$B4089))</f>
        <v>11</v>
      </c>
      <c r="E4089" s="411">
        <v>616040</v>
      </c>
      <c r="F4089" s="403" t="s">
        <v>1405</v>
      </c>
      <c r="G4089" s="410" t="s">
        <v>155</v>
      </c>
      <c r="H4089" s="402"/>
      <c r="I4089" s="410">
        <v>4</v>
      </c>
      <c r="J4089" s="345"/>
      <c r="K4089" s="327"/>
      <c r="L4089" s="389">
        <f t="shared" si="346"/>
        <v>62104.2</v>
      </c>
      <c r="M4089" s="371"/>
      <c r="N4089" s="355" t="str">
        <f t="shared" si="347"/>
        <v>PK</v>
      </c>
      <c r="O4089" s="345" t="s">
        <v>1705</v>
      </c>
      <c r="P4089" s="392"/>
      <c r="Q4089" s="441">
        <v>2.67</v>
      </c>
      <c r="R4089" s="441"/>
      <c r="S4089" s="351"/>
      <c r="T4089" s="351"/>
      <c r="U4089" s="329" t="str">
        <f>IF($N4089=$N$4,IFERROR(INDEX(DanhMuc!$E$154:$E$165,MATCH(MID($B4089,4,2),DanhMuc!$B$154:$B$165,0)),""),"")</f>
        <v/>
      </c>
      <c r="V4089" s="361"/>
      <c r="W4089" s="345"/>
      <c r="X4089" s="329" t="str">
        <f t="shared" si="348"/>
        <v>RT</v>
      </c>
      <c r="Y4089" s="1128" t="s">
        <v>3380</v>
      </c>
      <c r="Z4089" s="1128" t="s">
        <v>3381</v>
      </c>
      <c r="AA4089" s="1128" t="s">
        <v>3384</v>
      </c>
      <c r="AB4089" s="20"/>
      <c r="AC4089" s="73"/>
    </row>
    <row r="4090" spans="1:29">
      <c r="A4090" s="327" t="str">
        <f>IF(AND($B4090&lt;&gt;"",$C4090&lt;&gt;""),MAX($A$1556:A4065)+1,"")</f>
        <v/>
      </c>
      <c r="B4090" s="361" t="s">
        <v>2846</v>
      </c>
      <c r="C4090" s="360"/>
      <c r="D4090" s="327">
        <f>IF($B4090="","",COUNTIF($B$6:$B4090,$B4090))</f>
        <v>12</v>
      </c>
      <c r="E4090" s="411">
        <v>615951</v>
      </c>
      <c r="F4090" s="403" t="s">
        <v>1406</v>
      </c>
      <c r="G4090" s="410" t="s">
        <v>155</v>
      </c>
      <c r="H4090" s="402"/>
      <c r="I4090" s="410">
        <v>4</v>
      </c>
      <c r="J4090" s="345"/>
      <c r="K4090" s="327"/>
      <c r="L4090" s="389">
        <f t="shared" si="346"/>
        <v>120952</v>
      </c>
      <c r="M4090" s="371"/>
      <c r="N4090" s="355" t="str">
        <f t="shared" si="347"/>
        <v>PK</v>
      </c>
      <c r="O4090" s="345" t="s">
        <v>1704</v>
      </c>
      <c r="P4090" s="392"/>
      <c r="Q4090" s="441">
        <v>5.2</v>
      </c>
      <c r="R4090" s="441"/>
      <c r="S4090" s="351"/>
      <c r="T4090" s="351"/>
      <c r="U4090" s="329" t="str">
        <f>IF($N4090=$N$4,IFERROR(INDEX(DanhMuc!$E$154:$E$165,MATCH(MID($B4090,4,2),DanhMuc!$B$154:$B$165,0)),""),"")</f>
        <v/>
      </c>
      <c r="V4090" s="361"/>
      <c r="W4090" s="345"/>
      <c r="X4090" s="329" t="str">
        <f t="shared" si="348"/>
        <v>RT</v>
      </c>
      <c r="Y4090" s="1128" t="s">
        <v>3380</v>
      </c>
      <c r="Z4090" s="1128" t="s">
        <v>3381</v>
      </c>
      <c r="AA4090" s="1128" t="s">
        <v>3384</v>
      </c>
      <c r="AB4090" s="20"/>
      <c r="AC4090" s="73"/>
    </row>
    <row r="4091" spans="1:29">
      <c r="A4091" s="327" t="str">
        <f>IF(AND($B4091&lt;&gt;"",$C4091&lt;&gt;""),MAX($A$1556:A4066)+1,"")</f>
        <v/>
      </c>
      <c r="B4091" s="361" t="s">
        <v>2846</v>
      </c>
      <c r="C4091" s="360"/>
      <c r="D4091" s="327">
        <f>IF($B4091="","",COUNTIF($B$6:$B4091,$B4091))</f>
        <v>13</v>
      </c>
      <c r="E4091" s="430">
        <v>640068</v>
      </c>
      <c r="F4091" s="362" t="s">
        <v>1407</v>
      </c>
      <c r="G4091" s="327" t="s">
        <v>155</v>
      </c>
      <c r="H4091" s="361"/>
      <c r="I4091" s="327">
        <v>1</v>
      </c>
      <c r="J4091" s="345"/>
      <c r="K4091" s="327"/>
      <c r="L4091" s="389">
        <f t="shared" si="346"/>
        <v>201431.6</v>
      </c>
      <c r="M4091" s="371"/>
      <c r="N4091" s="355" t="str">
        <f t="shared" si="347"/>
        <v>PK</v>
      </c>
      <c r="O4091" s="345" t="s">
        <v>1053</v>
      </c>
      <c r="P4091" s="392"/>
      <c r="Q4091" s="441">
        <v>8.66</v>
      </c>
      <c r="R4091" s="441"/>
      <c r="S4091" s="351"/>
      <c r="T4091" s="351"/>
      <c r="U4091" s="329" t="str">
        <f>IF($N4091=$N$4,IFERROR(INDEX(DanhMuc!$E$154:$E$165,MATCH(MID($B4091,4,2),DanhMuc!$B$154:$B$165,0)),""),"")</f>
        <v/>
      </c>
      <c r="V4091" s="361"/>
      <c r="W4091" s="345"/>
      <c r="X4091" s="329" t="str">
        <f t="shared" si="348"/>
        <v>RT</v>
      </c>
      <c r="Y4091" s="1128" t="s">
        <v>3380</v>
      </c>
      <c r="Z4091" s="1128" t="s">
        <v>3381</v>
      </c>
      <c r="AA4091" s="1128" t="s">
        <v>3384</v>
      </c>
      <c r="AB4091" s="20"/>
      <c r="AC4091" s="73"/>
    </row>
    <row r="4092" spans="1:29" ht="25">
      <c r="A4092" s="327" t="str">
        <f>IF(AND($B4092&lt;&gt;"",$C4092&lt;&gt;""),MAX($A$1556:A4067)+1,"")</f>
        <v/>
      </c>
      <c r="B4092" s="361" t="s">
        <v>2846</v>
      </c>
      <c r="C4092" s="360"/>
      <c r="D4092" s="327">
        <f>IF($B4092="","",COUNTIF($B$6:$B4092,$B4092))</f>
        <v>14</v>
      </c>
      <c r="E4092" s="430">
        <v>629551</v>
      </c>
      <c r="F4092" s="362" t="s">
        <v>1936</v>
      </c>
      <c r="G4092" s="327" t="s">
        <v>155</v>
      </c>
      <c r="H4092" s="361"/>
      <c r="I4092" s="327">
        <v>8</v>
      </c>
      <c r="J4092" s="345"/>
      <c r="K4092" s="327"/>
      <c r="L4092" s="389">
        <f t="shared" si="346"/>
        <v>31168.400000000001</v>
      </c>
      <c r="M4092" s="371"/>
      <c r="N4092" s="355" t="str">
        <f t="shared" si="347"/>
        <v>PK</v>
      </c>
      <c r="O4092" s="345" t="s">
        <v>1053</v>
      </c>
      <c r="P4092" s="392"/>
      <c r="Q4092" s="441">
        <v>1.34</v>
      </c>
      <c r="R4092" s="441"/>
      <c r="S4092" s="351"/>
      <c r="T4092" s="351"/>
      <c r="U4092" s="329" t="str">
        <f>IF($N4092=$N$4,IFERROR(INDEX(DanhMuc!$E$154:$E$165,MATCH(MID($B4092,4,2),DanhMuc!$B$154:$B$165,0)),""),"")</f>
        <v/>
      </c>
      <c r="V4092" s="361"/>
      <c r="W4092" s="345"/>
      <c r="X4092" s="329" t="str">
        <f t="shared" si="348"/>
        <v>RT</v>
      </c>
      <c r="Y4092" s="1128" t="s">
        <v>3380</v>
      </c>
      <c r="Z4092" s="1128" t="s">
        <v>3381</v>
      </c>
      <c r="AA4092" s="1128" t="s">
        <v>3384</v>
      </c>
      <c r="AB4092" s="20"/>
      <c r="AC4092" s="73"/>
    </row>
    <row r="4093" spans="1:29" ht="25">
      <c r="A4093" s="327" t="str">
        <f>IF(AND($B4093&lt;&gt;"",$C4093&lt;&gt;""),MAX($A$1556:A4068)+1,"")</f>
        <v/>
      </c>
      <c r="B4093" s="361" t="s">
        <v>2846</v>
      </c>
      <c r="C4093" s="360"/>
      <c r="D4093" s="327">
        <f>IF($B4093="","",COUNTIF($B$6:$B4093,$B4093))</f>
        <v>15</v>
      </c>
      <c r="E4093" s="430">
        <v>629551</v>
      </c>
      <c r="F4093" s="362" t="s">
        <v>1936</v>
      </c>
      <c r="G4093" s="327" t="s">
        <v>155</v>
      </c>
      <c r="H4093" s="361"/>
      <c r="I4093" s="411" t="s">
        <v>1345</v>
      </c>
      <c r="J4093" s="345"/>
      <c r="K4093" s="327"/>
      <c r="L4093" s="389">
        <f t="shared" si="346"/>
        <v>31168.400000000001</v>
      </c>
      <c r="M4093" s="371"/>
      <c r="N4093" s="355" t="str">
        <f t="shared" si="347"/>
        <v>PK</v>
      </c>
      <c r="O4093" s="345" t="s">
        <v>1054</v>
      </c>
      <c r="P4093" s="392"/>
      <c r="Q4093" s="441">
        <v>1.34</v>
      </c>
      <c r="R4093" s="441"/>
      <c r="S4093" s="351"/>
      <c r="T4093" s="351"/>
      <c r="U4093" s="329" t="str">
        <f>IF($N4093=$N$4,IFERROR(INDEX(DanhMuc!$E$154:$E$165,MATCH(MID($B4093,4,2),DanhMuc!$B$154:$B$165,0)),""),"")</f>
        <v/>
      </c>
      <c r="V4093" s="361"/>
      <c r="W4093" s="345"/>
      <c r="X4093" s="329" t="str">
        <f t="shared" si="348"/>
        <v>RT</v>
      </c>
      <c r="Y4093" s="1128" t="s">
        <v>3380</v>
      </c>
      <c r="Z4093" s="1128" t="s">
        <v>3381</v>
      </c>
      <c r="AA4093" s="1128" t="s">
        <v>3384</v>
      </c>
      <c r="AB4093" s="20"/>
      <c r="AC4093" s="73"/>
    </row>
    <row r="4094" spans="1:29">
      <c r="A4094" s="327" t="str">
        <f>IF(AND($B4094&lt;&gt;"",$C4094&lt;&gt;""),MAX($A$1556:A4069)+1,"")</f>
        <v/>
      </c>
      <c r="B4094" s="361" t="s">
        <v>2846</v>
      </c>
      <c r="C4094" s="360"/>
      <c r="D4094" s="327">
        <f>IF($B4094="","",COUNTIF($B$6:$B4094,$B4094))</f>
        <v>16</v>
      </c>
      <c r="E4094" s="411">
        <v>221847</v>
      </c>
      <c r="F4094" s="432" t="s">
        <v>1374</v>
      </c>
      <c r="G4094" s="410" t="s">
        <v>155</v>
      </c>
      <c r="H4094" s="402"/>
      <c r="I4094" s="410">
        <v>4</v>
      </c>
      <c r="J4094" s="404"/>
      <c r="K4094" s="410"/>
      <c r="L4094" s="356">
        <v>1000</v>
      </c>
      <c r="M4094" s="371"/>
      <c r="N4094" s="355" t="str">
        <f t="shared" si="347"/>
        <v>PK</v>
      </c>
      <c r="O4094" s="345"/>
      <c r="P4094" s="392"/>
      <c r="Q4094" s="356">
        <v>1000</v>
      </c>
      <c r="R4094" s="441"/>
      <c r="S4094" s="351"/>
      <c r="T4094" s="351"/>
      <c r="U4094" s="329" t="str">
        <f>IF($N4094=$N$4,IFERROR(INDEX(DanhMuc!$E$154:$E$165,MATCH(MID($B4094,4,2),DanhMuc!$B$154:$B$165,0)),""),"")</f>
        <v/>
      </c>
      <c r="V4094" s="361"/>
      <c r="W4094" s="345"/>
      <c r="X4094" s="329" t="str">
        <f t="shared" si="348"/>
        <v>RT</v>
      </c>
      <c r="Y4094" s="1128" t="s">
        <v>3380</v>
      </c>
      <c r="Z4094" s="1128" t="s">
        <v>3381</v>
      </c>
      <c r="AA4094" s="1128" t="s">
        <v>3384</v>
      </c>
      <c r="AB4094" s="20"/>
      <c r="AC4094" s="73"/>
    </row>
    <row r="4095" spans="1:29">
      <c r="A4095" s="327" t="str">
        <f>IF(AND($B4095&lt;&gt;"",$C4095&lt;&gt;""),MAX($A$1556:A4070)+1,"")</f>
        <v/>
      </c>
      <c r="B4095" s="361" t="s">
        <v>2846</v>
      </c>
      <c r="C4095" s="360"/>
      <c r="D4095" s="327">
        <f>IF($B4095="","",COUNTIF($B$6:$B4095,$B4095))</f>
        <v>17</v>
      </c>
      <c r="E4095" s="411">
        <v>221848</v>
      </c>
      <c r="F4095" s="432" t="s">
        <v>1375</v>
      </c>
      <c r="G4095" s="410" t="s">
        <v>155</v>
      </c>
      <c r="H4095" s="402"/>
      <c r="I4095" s="410">
        <v>2</v>
      </c>
      <c r="J4095" s="404"/>
      <c r="K4095" s="410"/>
      <c r="L4095" s="356">
        <v>10100</v>
      </c>
      <c r="M4095" s="371"/>
      <c r="N4095" s="355" t="str">
        <f t="shared" si="347"/>
        <v>PK</v>
      </c>
      <c r="O4095" s="345"/>
      <c r="P4095" s="392"/>
      <c r="Q4095" s="356">
        <v>10100</v>
      </c>
      <c r="R4095" s="441"/>
      <c r="S4095" s="351"/>
      <c r="T4095" s="351"/>
      <c r="U4095" s="329" t="str">
        <f>IF($N4095=$N$4,IFERROR(INDEX(DanhMuc!$E$154:$E$165,MATCH(MID($B4095,4,2),DanhMuc!$B$154:$B$165,0)),""),"")</f>
        <v/>
      </c>
      <c r="V4095" s="361"/>
      <c r="W4095" s="345"/>
      <c r="X4095" s="329" t="str">
        <f t="shared" si="348"/>
        <v>RT</v>
      </c>
      <c r="Y4095" s="1128" t="s">
        <v>3380</v>
      </c>
      <c r="Z4095" s="1128" t="s">
        <v>3381</v>
      </c>
      <c r="AA4095" s="1128" t="s">
        <v>3384</v>
      </c>
      <c r="AB4095" s="20"/>
      <c r="AC4095" s="73"/>
    </row>
    <row r="4096" spans="1:29">
      <c r="A4096" s="327" t="str">
        <f>IF(AND($B4096&lt;&gt;"",$C4096&lt;&gt;""),MAX($A$1556:A4071)+1,"")</f>
        <v/>
      </c>
      <c r="B4096" s="361" t="s">
        <v>2846</v>
      </c>
      <c r="C4096" s="360"/>
      <c r="D4096" s="327">
        <f>IF($B4096="","",COUNTIF($B$6:$B4096,$B4096))</f>
        <v>18</v>
      </c>
      <c r="E4096" s="430">
        <v>317250</v>
      </c>
      <c r="F4096" s="362" t="s">
        <v>1408</v>
      </c>
      <c r="G4096" s="327" t="s">
        <v>344</v>
      </c>
      <c r="H4096" s="361"/>
      <c r="I4096" s="327">
        <v>1</v>
      </c>
      <c r="J4096" s="345"/>
      <c r="K4096" s="327"/>
      <c r="L4096" s="389">
        <f t="shared" si="346"/>
        <v>62104.2</v>
      </c>
      <c r="M4096" s="371"/>
      <c r="N4096" s="355" t="str">
        <f t="shared" si="347"/>
        <v>PK</v>
      </c>
      <c r="O4096" s="345"/>
      <c r="P4096" s="392"/>
      <c r="Q4096" s="441">
        <v>2.67</v>
      </c>
      <c r="R4096" s="441"/>
      <c r="S4096" s="351"/>
      <c r="T4096" s="351"/>
      <c r="U4096" s="329" t="str">
        <f>IF($N4096=$N$4,IFERROR(INDEX(DanhMuc!$E$154:$E$165,MATCH(MID($B4096,4,2),DanhMuc!$B$154:$B$165,0)),""),"")</f>
        <v/>
      </c>
      <c r="V4096" s="361"/>
      <c r="W4096" s="345"/>
      <c r="X4096" s="329" t="str">
        <f t="shared" si="348"/>
        <v>RT</v>
      </c>
      <c r="Y4096" s="1128" t="s">
        <v>3380</v>
      </c>
      <c r="Z4096" s="1128" t="s">
        <v>3381</v>
      </c>
      <c r="AA4096" s="1128" t="s">
        <v>3384</v>
      </c>
      <c r="AB4096" s="20"/>
      <c r="AC4096" s="73"/>
    </row>
    <row r="4097" spans="1:29" ht="26">
      <c r="A4097" s="327">
        <f>IF(AND($B4097&lt;&gt;"",$C4097&lt;&gt;""),MAX($A$1556:A4072)+1,"")</f>
        <v>192</v>
      </c>
      <c r="B4097" s="359" t="s">
        <v>2847</v>
      </c>
      <c r="C4097" s="360" t="s">
        <v>1577</v>
      </c>
      <c r="D4097" s="327">
        <f>IF($B4097="","",COUNTIF($B$6:$B4097,$B4097))</f>
        <v>1</v>
      </c>
      <c r="E4097" s="430">
        <v>770011</v>
      </c>
      <c r="F4097" s="362" t="s">
        <v>1396</v>
      </c>
      <c r="G4097" s="327" t="s">
        <v>155</v>
      </c>
      <c r="H4097" s="361"/>
      <c r="I4097" s="327">
        <v>1</v>
      </c>
      <c r="J4097" s="361"/>
      <c r="K4097" s="327"/>
      <c r="L4097" s="389">
        <f t="shared" si="346"/>
        <v>294704.2</v>
      </c>
      <c r="M4097" s="371"/>
      <c r="N4097" s="355" t="str">
        <f t="shared" si="347"/>
        <v>PK</v>
      </c>
      <c r="O4097" s="345" t="s">
        <v>1784</v>
      </c>
      <c r="P4097" s="392"/>
      <c r="Q4097" s="441">
        <v>12.67</v>
      </c>
      <c r="R4097" s="441"/>
      <c r="S4097" s="351"/>
      <c r="T4097" s="351"/>
      <c r="U4097" s="329" t="str">
        <f>IF($N4097=$N$4,IFERROR(INDEX(DanhMuc!$E$154:$E$165,MATCH(MID($B4097,4,2),DanhMuc!$B$154:$B$165,0)),""),"")</f>
        <v/>
      </c>
      <c r="V4097" s="361"/>
      <c r="W4097" s="345"/>
      <c r="X4097" s="329" t="str">
        <f t="shared" si="348"/>
        <v>RT</v>
      </c>
      <c r="Y4097" s="1128" t="s">
        <v>3380</v>
      </c>
      <c r="Z4097" s="1128" t="s">
        <v>3381</v>
      </c>
      <c r="AA4097" s="1128" t="s">
        <v>3384</v>
      </c>
      <c r="AB4097" s="20"/>
      <c r="AC4097" s="73"/>
    </row>
    <row r="4098" spans="1:29" ht="25">
      <c r="A4098" s="327" t="str">
        <f>IF(AND($B4098&lt;&gt;"",$C4098&lt;&gt;""),MAX($A$1556:A4073)+1,"")</f>
        <v/>
      </c>
      <c r="B4098" s="361" t="s">
        <v>2847</v>
      </c>
      <c r="C4098" s="360"/>
      <c r="D4098" s="327">
        <f>IF($B4098="","",COUNTIF($B$6:$B4098,$B4098))</f>
        <v>2</v>
      </c>
      <c r="E4098" s="430">
        <v>770007</v>
      </c>
      <c r="F4098" s="362" t="s">
        <v>1397</v>
      </c>
      <c r="G4098" s="327" t="s">
        <v>155</v>
      </c>
      <c r="H4098" s="361"/>
      <c r="I4098" s="327">
        <v>1</v>
      </c>
      <c r="J4098" s="345"/>
      <c r="K4098" s="327"/>
      <c r="L4098" s="389">
        <f t="shared" si="346"/>
        <v>300519.2</v>
      </c>
      <c r="M4098" s="371"/>
      <c r="N4098" s="355" t="str">
        <f t="shared" si="347"/>
        <v>PK</v>
      </c>
      <c r="O4098" s="345" t="s">
        <v>1784</v>
      </c>
      <c r="P4098" s="392"/>
      <c r="Q4098" s="441">
        <v>12.92</v>
      </c>
      <c r="R4098" s="441"/>
      <c r="S4098" s="351"/>
      <c r="T4098" s="351"/>
      <c r="U4098" s="329" t="str">
        <f>IF($N4098=$N$4,IFERROR(INDEX(DanhMuc!$E$154:$E$165,MATCH(MID($B4098,4,2),DanhMuc!$B$154:$B$165,0)),""),"")</f>
        <v/>
      </c>
      <c r="V4098" s="361"/>
      <c r="W4098" s="345"/>
      <c r="X4098" s="329" t="str">
        <f t="shared" si="348"/>
        <v>RT</v>
      </c>
      <c r="Y4098" s="1128" t="s">
        <v>3380</v>
      </c>
      <c r="Z4098" s="1128" t="s">
        <v>3381</v>
      </c>
      <c r="AA4098" s="1128" t="s">
        <v>3384</v>
      </c>
      <c r="AB4098" s="20"/>
      <c r="AC4098" s="73"/>
    </row>
    <row r="4099" spans="1:29" ht="25">
      <c r="A4099" s="327" t="str">
        <f>IF(AND($B4099&lt;&gt;"",$C4099&lt;&gt;""),MAX($A$1556:A4074)+1,"")</f>
        <v/>
      </c>
      <c r="B4099" s="361" t="s">
        <v>2847</v>
      </c>
      <c r="C4099" s="360"/>
      <c r="D4099" s="327">
        <f>IF($B4099="","",COUNTIF($B$6:$B4099,$B4099))</f>
        <v>3</v>
      </c>
      <c r="E4099" s="411">
        <v>613234</v>
      </c>
      <c r="F4099" s="362" t="s">
        <v>1398</v>
      </c>
      <c r="G4099" s="327" t="s">
        <v>155</v>
      </c>
      <c r="H4099" s="361"/>
      <c r="I4099" s="327">
        <v>1</v>
      </c>
      <c r="J4099" s="345"/>
      <c r="K4099" s="327"/>
      <c r="L4099" s="389">
        <f t="shared" si="346"/>
        <v>304240.8</v>
      </c>
      <c r="M4099" s="371"/>
      <c r="N4099" s="355" t="str">
        <f t="shared" si="347"/>
        <v>PK</v>
      </c>
      <c r="O4099" s="345" t="s">
        <v>1785</v>
      </c>
      <c r="P4099" s="392"/>
      <c r="Q4099" s="441">
        <v>13.08</v>
      </c>
      <c r="R4099" s="441"/>
      <c r="S4099" s="351"/>
      <c r="T4099" s="351"/>
      <c r="U4099" s="329" t="str">
        <f>IF($N4099=$N$4,IFERROR(INDEX(DanhMuc!$E$154:$E$165,MATCH(MID($B4099,4,2),DanhMuc!$B$154:$B$165,0)),""),"")</f>
        <v/>
      </c>
      <c r="V4099" s="361"/>
      <c r="W4099" s="345"/>
      <c r="X4099" s="329" t="str">
        <f t="shared" si="348"/>
        <v>RT</v>
      </c>
      <c r="Y4099" s="1128" t="s">
        <v>3380</v>
      </c>
      <c r="Z4099" s="1128" t="s">
        <v>3381</v>
      </c>
      <c r="AA4099" s="1128" t="s">
        <v>3384</v>
      </c>
      <c r="AB4099" s="20"/>
      <c r="AC4099" s="73"/>
    </row>
    <row r="4100" spans="1:29" ht="25">
      <c r="A4100" s="327" t="str">
        <f>IF(AND($B4100&lt;&gt;"",$C4100&lt;&gt;""),MAX($A$1556:A4075)+1,"")</f>
        <v/>
      </c>
      <c r="B4100" s="361" t="s">
        <v>2847</v>
      </c>
      <c r="C4100" s="360"/>
      <c r="D4100" s="327">
        <f>IF($B4100="","",COUNTIF($B$6:$B4100,$B4100))</f>
        <v>4</v>
      </c>
      <c r="E4100" s="430">
        <v>770005</v>
      </c>
      <c r="F4100" s="362" t="s">
        <v>1399</v>
      </c>
      <c r="G4100" s="327" t="s">
        <v>155</v>
      </c>
      <c r="H4100" s="361"/>
      <c r="I4100" s="327">
        <v>1</v>
      </c>
      <c r="J4100" s="345"/>
      <c r="K4100" s="327"/>
      <c r="L4100" s="389">
        <f t="shared" si="346"/>
        <v>271211.59999999998</v>
      </c>
      <c r="M4100" s="371"/>
      <c r="N4100" s="355" t="str">
        <f t="shared" si="347"/>
        <v>PK</v>
      </c>
      <c r="O4100" s="345" t="s">
        <v>1785</v>
      </c>
      <c r="P4100" s="392"/>
      <c r="Q4100" s="441">
        <v>11.66</v>
      </c>
      <c r="R4100" s="441"/>
      <c r="S4100" s="351"/>
      <c r="T4100" s="351"/>
      <c r="U4100" s="329" t="str">
        <f>IF($N4100=$N$4,IFERROR(INDEX(DanhMuc!$E$154:$E$165,MATCH(MID($B4100,4,2),DanhMuc!$B$154:$B$165,0)),""),"")</f>
        <v/>
      </c>
      <c r="V4100" s="361"/>
      <c r="W4100" s="345"/>
      <c r="X4100" s="329" t="str">
        <f t="shared" si="348"/>
        <v>RT</v>
      </c>
      <c r="Y4100" s="1128" t="s">
        <v>3380</v>
      </c>
      <c r="Z4100" s="1128" t="s">
        <v>3381</v>
      </c>
      <c r="AA4100" s="1128" t="s">
        <v>3384</v>
      </c>
      <c r="AB4100" s="20"/>
      <c r="AC4100" s="73"/>
    </row>
    <row r="4101" spans="1:29" ht="25">
      <c r="A4101" s="327" t="str">
        <f>IF(AND($B4101&lt;&gt;"",$C4101&lt;&gt;""),MAX($A$1556:A4076)+1,"")</f>
        <v/>
      </c>
      <c r="B4101" s="361" t="s">
        <v>2847</v>
      </c>
      <c r="C4101" s="360"/>
      <c r="D4101" s="327">
        <f>IF($B4101="","",COUNTIF($B$6:$B4101,$B4101))</f>
        <v>5</v>
      </c>
      <c r="E4101" s="411">
        <v>774436</v>
      </c>
      <c r="F4101" s="362" t="s">
        <v>1935</v>
      </c>
      <c r="G4101" s="327" t="s">
        <v>155</v>
      </c>
      <c r="H4101" s="361"/>
      <c r="I4101" s="327">
        <v>1</v>
      </c>
      <c r="J4101" s="345"/>
      <c r="K4101" s="327"/>
      <c r="L4101" s="389">
        <f t="shared" si="346"/>
        <v>273770.2</v>
      </c>
      <c r="M4101" s="371"/>
      <c r="N4101" s="355" t="str">
        <f t="shared" si="347"/>
        <v>PK</v>
      </c>
      <c r="O4101" s="345" t="s">
        <v>1786</v>
      </c>
      <c r="P4101" s="392"/>
      <c r="Q4101" s="441">
        <v>11.77</v>
      </c>
      <c r="R4101" s="441"/>
      <c r="S4101" s="351"/>
      <c r="T4101" s="351"/>
      <c r="U4101" s="329" t="str">
        <f>IF($N4101=$N$4,IFERROR(INDEX(DanhMuc!$E$154:$E$165,MATCH(MID($B4101,4,2),DanhMuc!$B$154:$B$165,0)),""),"")</f>
        <v/>
      </c>
      <c r="V4101" s="361"/>
      <c r="W4101" s="345"/>
      <c r="X4101" s="329" t="str">
        <f t="shared" si="348"/>
        <v>RT</v>
      </c>
      <c r="Y4101" s="1128" t="s">
        <v>3380</v>
      </c>
      <c r="Z4101" s="1128" t="s">
        <v>3381</v>
      </c>
      <c r="AA4101" s="1128" t="s">
        <v>3384</v>
      </c>
      <c r="AB4101" s="20"/>
      <c r="AC4101" s="73"/>
    </row>
    <row r="4102" spans="1:29" ht="25">
      <c r="A4102" s="327" t="str">
        <f>IF(AND($B4102&lt;&gt;"",$C4102&lt;&gt;""),MAX($A$1556:A4077)+1,"")</f>
        <v/>
      </c>
      <c r="B4102" s="361" t="s">
        <v>2847</v>
      </c>
      <c r="C4102" s="360"/>
      <c r="D4102" s="327">
        <f>IF($B4102="","",COUNTIF($B$6:$B4102,$B4102))</f>
        <v>6</v>
      </c>
      <c r="E4102" s="411">
        <v>613191</v>
      </c>
      <c r="F4102" s="362" t="s">
        <v>1400</v>
      </c>
      <c r="G4102" s="327" t="s">
        <v>155</v>
      </c>
      <c r="H4102" s="361"/>
      <c r="I4102" s="327">
        <v>1</v>
      </c>
      <c r="J4102" s="345"/>
      <c r="K4102" s="327"/>
      <c r="L4102" s="389">
        <f t="shared" si="346"/>
        <v>249579.80000000002</v>
      </c>
      <c r="M4102" s="371"/>
      <c r="N4102" s="355" t="str">
        <f t="shared" si="347"/>
        <v>PK</v>
      </c>
      <c r="O4102" s="345" t="s">
        <v>1786</v>
      </c>
      <c r="P4102" s="392"/>
      <c r="Q4102" s="441">
        <v>10.73</v>
      </c>
      <c r="R4102" s="441"/>
      <c r="S4102" s="351"/>
      <c r="T4102" s="351"/>
      <c r="U4102" s="329" t="str">
        <f>IF($N4102=$N$4,IFERROR(INDEX(DanhMuc!$E$154:$E$165,MATCH(MID($B4102,4,2),DanhMuc!$B$154:$B$165,0)),""),"")</f>
        <v/>
      </c>
      <c r="V4102" s="361"/>
      <c r="W4102" s="345"/>
      <c r="X4102" s="329" t="str">
        <f t="shared" si="348"/>
        <v>RT</v>
      </c>
      <c r="Y4102" s="1128" t="s">
        <v>3380</v>
      </c>
      <c r="Z4102" s="1128" t="s">
        <v>3381</v>
      </c>
      <c r="AA4102" s="1128" t="s">
        <v>3384</v>
      </c>
      <c r="AB4102" s="20"/>
      <c r="AC4102" s="73"/>
    </row>
    <row r="4103" spans="1:29">
      <c r="A4103" s="327" t="str">
        <f>IF(AND($B4103&lt;&gt;"",$C4103&lt;&gt;""),MAX($A$1556:A4078)+1,"")</f>
        <v/>
      </c>
      <c r="B4103" s="361" t="s">
        <v>2847</v>
      </c>
      <c r="C4103" s="360"/>
      <c r="D4103" s="327">
        <f>IF($B4103="","",COUNTIF($B$6:$B4103,$B4103))</f>
        <v>7</v>
      </c>
      <c r="E4103" s="430">
        <v>570810</v>
      </c>
      <c r="F4103" s="362" t="s">
        <v>1401</v>
      </c>
      <c r="G4103" s="327" t="s">
        <v>155</v>
      </c>
      <c r="H4103" s="361"/>
      <c r="I4103" s="327">
        <v>1</v>
      </c>
      <c r="J4103" s="345"/>
      <c r="K4103" s="327"/>
      <c r="L4103" s="389">
        <f t="shared" si="346"/>
        <v>120952</v>
      </c>
      <c r="M4103" s="371"/>
      <c r="N4103" s="355" t="str">
        <f t="shared" si="347"/>
        <v>PK</v>
      </c>
      <c r="O4103" s="345"/>
      <c r="P4103" s="392"/>
      <c r="Q4103" s="441">
        <v>5.2</v>
      </c>
      <c r="R4103" s="441"/>
      <c r="S4103" s="351"/>
      <c r="T4103" s="351"/>
      <c r="U4103" s="329" t="str">
        <f>IF($N4103=$N$4,IFERROR(INDEX(DanhMuc!$E$154:$E$165,MATCH(MID($B4103,4,2),DanhMuc!$B$154:$B$165,0)),""),"")</f>
        <v/>
      </c>
      <c r="V4103" s="361"/>
      <c r="W4103" s="345"/>
      <c r="X4103" s="329" t="str">
        <f t="shared" si="348"/>
        <v>RT</v>
      </c>
      <c r="Y4103" s="1128" t="s">
        <v>3380</v>
      </c>
      <c r="Z4103" s="1128" t="s">
        <v>3381</v>
      </c>
      <c r="AA4103" s="1128" t="s">
        <v>3384</v>
      </c>
      <c r="AB4103" s="20"/>
      <c r="AC4103" s="73"/>
    </row>
    <row r="4104" spans="1:29" ht="25">
      <c r="A4104" s="327" t="str">
        <f>IF(AND($B4104&lt;&gt;"",$C4104&lt;&gt;""),MAX($A$1556:A4079)+1,"")</f>
        <v/>
      </c>
      <c r="B4104" s="361" t="s">
        <v>2847</v>
      </c>
      <c r="C4104" s="360"/>
      <c r="D4104" s="327">
        <f>IF($B4104="","",COUNTIF($B$6:$B4104,$B4104))</f>
        <v>8</v>
      </c>
      <c r="E4104" s="430">
        <v>738152</v>
      </c>
      <c r="F4104" s="362" t="s">
        <v>1402</v>
      </c>
      <c r="G4104" s="327" t="s">
        <v>156</v>
      </c>
      <c r="H4104" s="361"/>
      <c r="I4104" s="327">
        <v>2</v>
      </c>
      <c r="J4104" s="345"/>
      <c r="K4104" s="327"/>
      <c r="L4104" s="389">
        <f t="shared" si="346"/>
        <v>615924.80000000005</v>
      </c>
      <c r="M4104" s="371"/>
      <c r="N4104" s="355" t="str">
        <f t="shared" si="347"/>
        <v>PK</v>
      </c>
      <c r="O4104" s="345" t="s">
        <v>1053</v>
      </c>
      <c r="P4104" s="392"/>
      <c r="Q4104" s="441">
        <v>26.48</v>
      </c>
      <c r="R4104" s="441"/>
      <c r="S4104" s="351"/>
      <c r="T4104" s="351"/>
      <c r="U4104" s="329" t="str">
        <f>IF($N4104=$N$4,IFERROR(INDEX(DanhMuc!$E$154:$E$165,MATCH(MID($B4104,4,2),DanhMuc!$B$154:$B$165,0)),""),"")</f>
        <v/>
      </c>
      <c r="V4104" s="361"/>
      <c r="W4104" s="345"/>
      <c r="X4104" s="329" t="str">
        <f t="shared" si="348"/>
        <v>RT</v>
      </c>
      <c r="Y4104" s="1128" t="s">
        <v>3380</v>
      </c>
      <c r="Z4104" s="1128" t="s">
        <v>3381</v>
      </c>
      <c r="AA4104" s="1128" t="s">
        <v>3384</v>
      </c>
      <c r="AB4104" s="20"/>
      <c r="AC4104" s="73"/>
    </row>
    <row r="4105" spans="1:29" ht="25">
      <c r="A4105" s="327" t="str">
        <f>IF(AND($B4105&lt;&gt;"",$C4105&lt;&gt;""),MAX($A$1556:A4080)+1,"")</f>
        <v/>
      </c>
      <c r="B4105" s="361" t="s">
        <v>2847</v>
      </c>
      <c r="C4105" s="360"/>
      <c r="D4105" s="327">
        <f>IF($B4105="","",COUNTIF($B$6:$B4105,$B4105))</f>
        <v>9</v>
      </c>
      <c r="E4105" s="430">
        <v>774286</v>
      </c>
      <c r="F4105" s="362" t="s">
        <v>1403</v>
      </c>
      <c r="G4105" s="327" t="s">
        <v>156</v>
      </c>
      <c r="H4105" s="361"/>
      <c r="I4105" s="411" t="s">
        <v>1344</v>
      </c>
      <c r="J4105" s="345"/>
      <c r="K4105" s="327"/>
      <c r="L4105" s="389">
        <f t="shared" si="346"/>
        <v>216550.6</v>
      </c>
      <c r="M4105" s="371"/>
      <c r="N4105" s="355" t="str">
        <f t="shared" si="347"/>
        <v>PK</v>
      </c>
      <c r="O4105" s="345" t="s">
        <v>1054</v>
      </c>
      <c r="P4105" s="392"/>
      <c r="Q4105" s="441">
        <v>9.31</v>
      </c>
      <c r="R4105" s="441"/>
      <c r="S4105" s="351"/>
      <c r="T4105" s="351"/>
      <c r="U4105" s="329" t="str">
        <f>IF($N4105=$N$4,IFERROR(INDEX(DanhMuc!$E$154:$E$165,MATCH(MID($B4105,4,2),DanhMuc!$B$154:$B$165,0)),""),"")</f>
        <v/>
      </c>
      <c r="V4105" s="361"/>
      <c r="W4105" s="345"/>
      <c r="X4105" s="329" t="str">
        <f t="shared" si="348"/>
        <v>RT</v>
      </c>
      <c r="Y4105" s="1128" t="s">
        <v>3380</v>
      </c>
      <c r="Z4105" s="1128" t="s">
        <v>3381</v>
      </c>
      <c r="AA4105" s="1128" t="s">
        <v>3384</v>
      </c>
      <c r="AB4105" s="20"/>
      <c r="AC4105" s="73"/>
    </row>
    <row r="4106" spans="1:29" ht="25">
      <c r="A4106" s="327" t="str">
        <f>IF(AND($B4106&lt;&gt;"",$C4106&lt;&gt;""),MAX($A$1556:A4081)+1,"")</f>
        <v/>
      </c>
      <c r="B4106" s="361" t="s">
        <v>2847</v>
      </c>
      <c r="C4106" s="360"/>
      <c r="D4106" s="327">
        <f>IF($B4106="","",COUNTIF($B$6:$B4106,$B4106))</f>
        <v>10</v>
      </c>
      <c r="E4106" s="430">
        <v>774287</v>
      </c>
      <c r="F4106" s="362" t="s">
        <v>1404</v>
      </c>
      <c r="G4106" s="327" t="s">
        <v>156</v>
      </c>
      <c r="H4106" s="361"/>
      <c r="I4106" s="411" t="s">
        <v>1343</v>
      </c>
      <c r="J4106" s="345"/>
      <c r="K4106" s="327"/>
      <c r="L4106" s="389">
        <f t="shared" si="346"/>
        <v>399374.2</v>
      </c>
      <c r="M4106" s="371"/>
      <c r="N4106" s="355" t="str">
        <f t="shared" si="347"/>
        <v>PK</v>
      </c>
      <c r="O4106" s="345" t="s">
        <v>1054</v>
      </c>
      <c r="P4106" s="392"/>
      <c r="Q4106" s="441">
        <v>17.170000000000002</v>
      </c>
      <c r="R4106" s="441"/>
      <c r="S4106" s="351"/>
      <c r="T4106" s="351"/>
      <c r="U4106" s="329" t="str">
        <f>IF($N4106=$N$4,IFERROR(INDEX(DanhMuc!$E$154:$E$165,MATCH(MID($B4106,4,2),DanhMuc!$B$154:$B$165,0)),""),"")</f>
        <v/>
      </c>
      <c r="V4106" s="361"/>
      <c r="W4106" s="345"/>
      <c r="X4106" s="329" t="str">
        <f t="shared" si="348"/>
        <v>RT</v>
      </c>
      <c r="Y4106" s="1128" t="s">
        <v>3380</v>
      </c>
      <c r="Z4106" s="1128" t="s">
        <v>3381</v>
      </c>
      <c r="AA4106" s="1128" t="s">
        <v>3384</v>
      </c>
      <c r="AB4106" s="20"/>
      <c r="AC4106" s="73"/>
    </row>
    <row r="4107" spans="1:29">
      <c r="A4107" s="327" t="str">
        <f>IF(AND($B4107&lt;&gt;"",$C4107&lt;&gt;""),MAX($A$1556:A4082)+1,"")</f>
        <v/>
      </c>
      <c r="B4107" s="361" t="s">
        <v>2847</v>
      </c>
      <c r="C4107" s="360"/>
      <c r="D4107" s="327">
        <f>IF($B4107="","",COUNTIF($B$6:$B4107,$B4107))</f>
        <v>11</v>
      </c>
      <c r="E4107" s="411">
        <v>616040</v>
      </c>
      <c r="F4107" s="403" t="s">
        <v>1405</v>
      </c>
      <c r="G4107" s="410" t="s">
        <v>155</v>
      </c>
      <c r="H4107" s="402"/>
      <c r="I4107" s="410">
        <v>6</v>
      </c>
      <c r="J4107" s="345"/>
      <c r="K4107" s="327"/>
      <c r="L4107" s="389">
        <f t="shared" si="346"/>
        <v>62104.2</v>
      </c>
      <c r="M4107" s="371"/>
      <c r="N4107" s="355" t="str">
        <f t="shared" si="347"/>
        <v>PK</v>
      </c>
      <c r="O4107" s="345" t="s">
        <v>1705</v>
      </c>
      <c r="P4107" s="392"/>
      <c r="Q4107" s="441">
        <v>2.67</v>
      </c>
      <c r="R4107" s="441"/>
      <c r="S4107" s="351"/>
      <c r="T4107" s="351"/>
      <c r="U4107" s="329" t="str">
        <f>IF($N4107=$N$4,IFERROR(INDEX(DanhMuc!$E$154:$E$165,MATCH(MID($B4107,4,2),DanhMuc!$B$154:$B$165,0)),""),"")</f>
        <v/>
      </c>
      <c r="V4107" s="361"/>
      <c r="W4107" s="345"/>
      <c r="X4107" s="329" t="str">
        <f t="shared" si="348"/>
        <v>RT</v>
      </c>
      <c r="Y4107" s="1128" t="s">
        <v>3380</v>
      </c>
      <c r="Z4107" s="1128" t="s">
        <v>3381</v>
      </c>
      <c r="AA4107" s="1128" t="s">
        <v>3384</v>
      </c>
      <c r="AB4107" s="20"/>
      <c r="AC4107" s="73"/>
    </row>
    <row r="4108" spans="1:29">
      <c r="A4108" s="327" t="str">
        <f>IF(AND($B4108&lt;&gt;"",$C4108&lt;&gt;""),MAX($A$1556:A4083)+1,"")</f>
        <v/>
      </c>
      <c r="B4108" s="361" t="s">
        <v>2847</v>
      </c>
      <c r="C4108" s="360"/>
      <c r="D4108" s="327">
        <f>IF($B4108="","",COUNTIF($B$6:$B4108,$B4108))</f>
        <v>12</v>
      </c>
      <c r="E4108" s="411">
        <v>615951</v>
      </c>
      <c r="F4108" s="403" t="s">
        <v>1406</v>
      </c>
      <c r="G4108" s="410" t="s">
        <v>155</v>
      </c>
      <c r="H4108" s="402"/>
      <c r="I4108" s="410">
        <v>6</v>
      </c>
      <c r="J4108" s="345"/>
      <c r="K4108" s="327"/>
      <c r="L4108" s="389">
        <f t="shared" si="346"/>
        <v>120952</v>
      </c>
      <c r="M4108" s="371"/>
      <c r="N4108" s="355" t="str">
        <f t="shared" si="347"/>
        <v>PK</v>
      </c>
      <c r="O4108" s="345" t="s">
        <v>1704</v>
      </c>
      <c r="P4108" s="392"/>
      <c r="Q4108" s="441">
        <v>5.2</v>
      </c>
      <c r="R4108" s="441"/>
      <c r="S4108" s="351"/>
      <c r="T4108" s="351"/>
      <c r="U4108" s="329" t="str">
        <f>IF($N4108=$N$4,IFERROR(INDEX(DanhMuc!$E$154:$E$165,MATCH(MID($B4108,4,2),DanhMuc!$B$154:$B$165,0)),""),"")</f>
        <v/>
      </c>
      <c r="V4108" s="361"/>
      <c r="W4108" s="345"/>
      <c r="X4108" s="329" t="str">
        <f t="shared" si="348"/>
        <v>RT</v>
      </c>
      <c r="Y4108" s="1128" t="s">
        <v>3380</v>
      </c>
      <c r="Z4108" s="1128" t="s">
        <v>3381</v>
      </c>
      <c r="AA4108" s="1128" t="s">
        <v>3384</v>
      </c>
      <c r="AB4108" s="20"/>
      <c r="AC4108" s="73"/>
    </row>
    <row r="4109" spans="1:29">
      <c r="A4109" s="327" t="str">
        <f>IF(AND($B4109&lt;&gt;"",$C4109&lt;&gt;""),MAX($A$1556:A4084)+1,"")</f>
        <v/>
      </c>
      <c r="B4109" s="361" t="s">
        <v>2847</v>
      </c>
      <c r="C4109" s="360"/>
      <c r="D4109" s="327">
        <f>IF($B4109="","",COUNTIF($B$6:$B4109,$B4109))</f>
        <v>13</v>
      </c>
      <c r="E4109" s="430">
        <v>640068</v>
      </c>
      <c r="F4109" s="362" t="s">
        <v>1407</v>
      </c>
      <c r="G4109" s="327" t="s">
        <v>155</v>
      </c>
      <c r="H4109" s="361"/>
      <c r="I4109" s="327">
        <v>1</v>
      </c>
      <c r="J4109" s="345"/>
      <c r="K4109" s="327"/>
      <c r="L4109" s="389">
        <f t="shared" si="346"/>
        <v>201431.6</v>
      </c>
      <c r="M4109" s="371"/>
      <c r="N4109" s="355" t="str">
        <f t="shared" si="347"/>
        <v>PK</v>
      </c>
      <c r="O4109" s="345" t="s">
        <v>1053</v>
      </c>
      <c r="P4109" s="392"/>
      <c r="Q4109" s="441">
        <v>8.66</v>
      </c>
      <c r="R4109" s="441"/>
      <c r="S4109" s="351"/>
      <c r="T4109" s="351"/>
      <c r="U4109" s="329" t="str">
        <f>IF($N4109=$N$4,IFERROR(INDEX(DanhMuc!$E$154:$E$165,MATCH(MID($B4109,4,2),DanhMuc!$B$154:$B$165,0)),""),"")</f>
        <v/>
      </c>
      <c r="V4109" s="361"/>
      <c r="W4109" s="345"/>
      <c r="X4109" s="329" t="str">
        <f t="shared" si="348"/>
        <v>RT</v>
      </c>
      <c r="Y4109" s="1128" t="s">
        <v>3380</v>
      </c>
      <c r="Z4109" s="1128" t="s">
        <v>3381</v>
      </c>
      <c r="AA4109" s="1128" t="s">
        <v>3384</v>
      </c>
      <c r="AB4109" s="20"/>
      <c r="AC4109" s="73"/>
    </row>
    <row r="4110" spans="1:29" ht="25">
      <c r="A4110" s="327" t="str">
        <f>IF(AND($B4110&lt;&gt;"",$C4110&lt;&gt;""),MAX($A$1556:A4085)+1,"")</f>
        <v/>
      </c>
      <c r="B4110" s="361" t="s">
        <v>2847</v>
      </c>
      <c r="C4110" s="360"/>
      <c r="D4110" s="327">
        <f>IF($B4110="","",COUNTIF($B$6:$B4110,$B4110))</f>
        <v>14</v>
      </c>
      <c r="E4110" s="430">
        <v>629551</v>
      </c>
      <c r="F4110" s="362" t="s">
        <v>1936</v>
      </c>
      <c r="G4110" s="327" t="s">
        <v>155</v>
      </c>
      <c r="H4110" s="361"/>
      <c r="I4110" s="327">
        <v>8</v>
      </c>
      <c r="J4110" s="345"/>
      <c r="K4110" s="327"/>
      <c r="L4110" s="389">
        <f t="shared" si="346"/>
        <v>31168.400000000001</v>
      </c>
      <c r="M4110" s="371"/>
      <c r="N4110" s="355" t="str">
        <f t="shared" si="347"/>
        <v>PK</v>
      </c>
      <c r="O4110" s="345" t="s">
        <v>1053</v>
      </c>
      <c r="P4110" s="392"/>
      <c r="Q4110" s="441">
        <v>1.34</v>
      </c>
      <c r="R4110" s="441"/>
      <c r="S4110" s="351"/>
      <c r="T4110" s="351"/>
      <c r="U4110" s="329" t="str">
        <f>IF($N4110=$N$4,IFERROR(INDEX(DanhMuc!$E$154:$E$165,MATCH(MID($B4110,4,2),DanhMuc!$B$154:$B$165,0)),""),"")</f>
        <v/>
      </c>
      <c r="V4110" s="361"/>
      <c r="W4110" s="345"/>
      <c r="X4110" s="329" t="str">
        <f t="shared" si="348"/>
        <v>RT</v>
      </c>
      <c r="Y4110" s="1128" t="s">
        <v>3380</v>
      </c>
      <c r="Z4110" s="1128" t="s">
        <v>3381</v>
      </c>
      <c r="AA4110" s="1128" t="s">
        <v>3384</v>
      </c>
      <c r="AB4110" s="20"/>
      <c r="AC4110" s="73"/>
    </row>
    <row r="4111" spans="1:29" ht="25">
      <c r="A4111" s="327" t="str">
        <f>IF(AND($B4111&lt;&gt;"",$C4111&lt;&gt;""),MAX($A$1556:A4086)+1,"")</f>
        <v/>
      </c>
      <c r="B4111" s="361" t="s">
        <v>2847</v>
      </c>
      <c r="C4111" s="360"/>
      <c r="D4111" s="327">
        <f>IF($B4111="","",COUNTIF($B$6:$B4111,$B4111))</f>
        <v>15</v>
      </c>
      <c r="E4111" s="430">
        <v>629551</v>
      </c>
      <c r="F4111" s="362" t="s">
        <v>1936</v>
      </c>
      <c r="G4111" s="327" t="s">
        <v>155</v>
      </c>
      <c r="H4111" s="361"/>
      <c r="I4111" s="411" t="s">
        <v>1345</v>
      </c>
      <c r="J4111" s="345"/>
      <c r="K4111" s="327"/>
      <c r="L4111" s="389">
        <f t="shared" si="346"/>
        <v>31168.400000000001</v>
      </c>
      <c r="M4111" s="371"/>
      <c r="N4111" s="355" t="str">
        <f t="shared" si="347"/>
        <v>PK</v>
      </c>
      <c r="O4111" s="345" t="s">
        <v>1054</v>
      </c>
      <c r="P4111" s="392"/>
      <c r="Q4111" s="441">
        <v>1.34</v>
      </c>
      <c r="R4111" s="441"/>
      <c r="S4111" s="351"/>
      <c r="T4111" s="351"/>
      <c r="U4111" s="329" t="str">
        <f>IF($N4111=$N$4,IFERROR(INDEX(DanhMuc!$E$154:$E$165,MATCH(MID($B4111,4,2),DanhMuc!$B$154:$B$165,0)),""),"")</f>
        <v/>
      </c>
      <c r="V4111" s="361"/>
      <c r="W4111" s="345"/>
      <c r="X4111" s="329" t="str">
        <f t="shared" si="348"/>
        <v>RT</v>
      </c>
      <c r="Y4111" s="1128" t="s">
        <v>3380</v>
      </c>
      <c r="Z4111" s="1128" t="s">
        <v>3381</v>
      </c>
      <c r="AA4111" s="1128" t="s">
        <v>3384</v>
      </c>
      <c r="AB4111" s="20"/>
      <c r="AC4111" s="73"/>
    </row>
    <row r="4112" spans="1:29">
      <c r="A4112" s="327" t="str">
        <f>IF(AND($B4112&lt;&gt;"",$C4112&lt;&gt;""),MAX($A$1556:A4087)+1,"")</f>
        <v/>
      </c>
      <c r="B4112" s="361" t="s">
        <v>2847</v>
      </c>
      <c r="C4112" s="360"/>
      <c r="D4112" s="327">
        <f>IF($B4112="","",COUNTIF($B$6:$B4112,$B4112))</f>
        <v>16</v>
      </c>
      <c r="E4112" s="411">
        <v>221847</v>
      </c>
      <c r="F4112" s="432" t="s">
        <v>1374</v>
      </c>
      <c r="G4112" s="410" t="s">
        <v>155</v>
      </c>
      <c r="H4112" s="361"/>
      <c r="I4112" s="327">
        <v>6</v>
      </c>
      <c r="J4112" s="345"/>
      <c r="K4112" s="327"/>
      <c r="L4112" s="356">
        <v>1000</v>
      </c>
      <c r="M4112" s="371"/>
      <c r="N4112" s="355" t="str">
        <f t="shared" si="347"/>
        <v>PK</v>
      </c>
      <c r="O4112" s="345"/>
      <c r="P4112" s="392"/>
      <c r="Q4112" s="356">
        <v>1000</v>
      </c>
      <c r="R4112" s="441"/>
      <c r="S4112" s="351"/>
      <c r="T4112" s="351"/>
      <c r="U4112" s="329" t="str">
        <f>IF($N4112=$N$4,IFERROR(INDEX(DanhMuc!$E$154:$E$165,MATCH(MID($B4112,4,2),DanhMuc!$B$154:$B$165,0)),""),"")</f>
        <v/>
      </c>
      <c r="V4112" s="361"/>
      <c r="W4112" s="345"/>
      <c r="X4112" s="329" t="str">
        <f t="shared" si="348"/>
        <v>RT</v>
      </c>
      <c r="Y4112" s="1128" t="s">
        <v>3380</v>
      </c>
      <c r="Z4112" s="1128" t="s">
        <v>3381</v>
      </c>
      <c r="AA4112" s="1128" t="s">
        <v>3384</v>
      </c>
      <c r="AB4112" s="20"/>
      <c r="AC4112" s="73"/>
    </row>
    <row r="4113" spans="1:29">
      <c r="A4113" s="327" t="str">
        <f>IF(AND($B4113&lt;&gt;"",$C4113&lt;&gt;""),MAX($A$1556:A4088)+1,"")</f>
        <v/>
      </c>
      <c r="B4113" s="361" t="s">
        <v>2847</v>
      </c>
      <c r="C4113" s="360"/>
      <c r="D4113" s="327">
        <f>IF($B4113="","",COUNTIF($B$6:$B4113,$B4113))</f>
        <v>17</v>
      </c>
      <c r="E4113" s="411">
        <v>221848</v>
      </c>
      <c r="F4113" s="432" t="s">
        <v>1375</v>
      </c>
      <c r="G4113" s="410" t="s">
        <v>155</v>
      </c>
      <c r="H4113" s="361"/>
      <c r="I4113" s="327">
        <v>3</v>
      </c>
      <c r="J4113" s="345"/>
      <c r="K4113" s="327"/>
      <c r="L4113" s="356">
        <v>10100</v>
      </c>
      <c r="M4113" s="371"/>
      <c r="N4113" s="355" t="str">
        <f t="shared" si="347"/>
        <v>PK</v>
      </c>
      <c r="O4113" s="345"/>
      <c r="P4113" s="392"/>
      <c r="Q4113" s="356">
        <v>10100</v>
      </c>
      <c r="R4113" s="441"/>
      <c r="S4113" s="351"/>
      <c r="T4113" s="351"/>
      <c r="U4113" s="329" t="str">
        <f>IF($N4113=$N$4,IFERROR(INDEX(DanhMuc!$E$154:$E$165,MATCH(MID($B4113,4,2),DanhMuc!$B$154:$B$165,0)),""),"")</f>
        <v/>
      </c>
      <c r="V4113" s="361"/>
      <c r="W4113" s="345"/>
      <c r="X4113" s="329" t="str">
        <f t="shared" si="348"/>
        <v>RT</v>
      </c>
      <c r="Y4113" s="1128" t="s">
        <v>3380</v>
      </c>
      <c r="Z4113" s="1128" t="s">
        <v>3381</v>
      </c>
      <c r="AA4113" s="1128" t="s">
        <v>3384</v>
      </c>
      <c r="AB4113" s="20"/>
      <c r="AC4113" s="73"/>
    </row>
    <row r="4114" spans="1:29">
      <c r="A4114" s="327" t="str">
        <f>IF(AND($B4114&lt;&gt;"",$C4114&lt;&gt;""),MAX($A$1556:A4089)+1,"")</f>
        <v/>
      </c>
      <c r="B4114" s="361" t="s">
        <v>2847</v>
      </c>
      <c r="C4114" s="360"/>
      <c r="D4114" s="327">
        <f>IF($B4114="","",COUNTIF($B$6:$B4114,$B4114))</f>
        <v>18</v>
      </c>
      <c r="E4114" s="430">
        <v>317250</v>
      </c>
      <c r="F4114" s="362" t="s">
        <v>1408</v>
      </c>
      <c r="G4114" s="327" t="s">
        <v>344</v>
      </c>
      <c r="H4114" s="361"/>
      <c r="I4114" s="327">
        <v>2</v>
      </c>
      <c r="J4114" s="345"/>
      <c r="K4114" s="327"/>
      <c r="L4114" s="389">
        <f t="shared" si="346"/>
        <v>62104.2</v>
      </c>
      <c r="M4114" s="371"/>
      <c r="N4114" s="355" t="str">
        <f t="shared" si="347"/>
        <v>PK</v>
      </c>
      <c r="O4114" s="345"/>
      <c r="P4114" s="392"/>
      <c r="Q4114" s="441">
        <v>2.67</v>
      </c>
      <c r="R4114" s="441"/>
      <c r="S4114" s="351"/>
      <c r="T4114" s="351"/>
      <c r="U4114" s="329" t="str">
        <f>IF($N4114=$N$4,IFERROR(INDEX(DanhMuc!$E$154:$E$165,MATCH(MID($B4114,4,2),DanhMuc!$B$154:$B$165,0)),""),"")</f>
        <v/>
      </c>
      <c r="V4114" s="361"/>
      <c r="W4114" s="345"/>
      <c r="X4114" s="329" t="str">
        <f t="shared" si="348"/>
        <v>RT</v>
      </c>
      <c r="Y4114" s="1128" t="s">
        <v>3380</v>
      </c>
      <c r="Z4114" s="1128" t="s">
        <v>3381</v>
      </c>
      <c r="AA4114" s="1128" t="s">
        <v>3384</v>
      </c>
      <c r="AB4114" s="20"/>
      <c r="AC4114" s="73"/>
    </row>
    <row r="4115" spans="1:29" ht="26">
      <c r="A4115" s="327">
        <f>IF(AND($B4115&lt;&gt;"",$C4115&lt;&gt;""),MAX($A$1556:A4090)+1,"")</f>
        <v>192</v>
      </c>
      <c r="B4115" s="359" t="s">
        <v>2848</v>
      </c>
      <c r="C4115" s="370" t="s">
        <v>1578</v>
      </c>
      <c r="D4115" s="327">
        <f>IF($B4115="","",COUNTIF($B$6:$B4115,$B4115))</f>
        <v>1</v>
      </c>
      <c r="E4115" s="430">
        <v>770011</v>
      </c>
      <c r="F4115" s="362" t="s">
        <v>1396</v>
      </c>
      <c r="G4115" s="327" t="s">
        <v>155</v>
      </c>
      <c r="H4115" s="361"/>
      <c r="I4115" s="327">
        <v>1</v>
      </c>
      <c r="J4115" s="361"/>
      <c r="K4115" s="327"/>
      <c r="L4115" s="389">
        <f t="shared" si="346"/>
        <v>294704.2</v>
      </c>
      <c r="M4115" s="371"/>
      <c r="N4115" s="355" t="str">
        <f t="shared" si="347"/>
        <v>PK</v>
      </c>
      <c r="O4115" s="345" t="s">
        <v>1784</v>
      </c>
      <c r="P4115" s="392"/>
      <c r="Q4115" s="441">
        <v>12.67</v>
      </c>
      <c r="R4115" s="441"/>
      <c r="S4115" s="351"/>
      <c r="T4115" s="351"/>
      <c r="U4115" s="329" t="str">
        <f>IF($N4115=$N$4,IFERROR(INDEX(DanhMuc!$E$154:$E$165,MATCH(MID($B4115,4,2),DanhMuc!$B$154:$B$165,0)),""),"")</f>
        <v/>
      </c>
      <c r="V4115" s="361"/>
      <c r="W4115" s="345"/>
      <c r="X4115" s="329" t="str">
        <f t="shared" si="348"/>
        <v>RT</v>
      </c>
      <c r="Y4115" s="1128" t="s">
        <v>3380</v>
      </c>
      <c r="Z4115" s="1128" t="s">
        <v>3381</v>
      </c>
      <c r="AA4115" s="1128" t="s">
        <v>3384</v>
      </c>
      <c r="AB4115" s="20"/>
      <c r="AC4115" s="73"/>
    </row>
    <row r="4116" spans="1:29" ht="25">
      <c r="A4116" s="327" t="str">
        <f>IF(AND($B4116&lt;&gt;"",$C4116&lt;&gt;""),MAX($A$1556:A4091)+1,"")</f>
        <v/>
      </c>
      <c r="B4116" s="361" t="s">
        <v>2848</v>
      </c>
      <c r="C4116" s="360"/>
      <c r="D4116" s="327">
        <f>IF($B4116="","",COUNTIF($B$6:$B4116,$B4116))</f>
        <v>2</v>
      </c>
      <c r="E4116" s="430">
        <v>770007</v>
      </c>
      <c r="F4116" s="362" t="s">
        <v>1397</v>
      </c>
      <c r="G4116" s="327" t="s">
        <v>155</v>
      </c>
      <c r="H4116" s="361"/>
      <c r="I4116" s="327">
        <v>1</v>
      </c>
      <c r="J4116" s="345"/>
      <c r="K4116" s="327"/>
      <c r="L4116" s="389">
        <f t="shared" si="346"/>
        <v>300519.2</v>
      </c>
      <c r="M4116" s="371"/>
      <c r="N4116" s="355" t="str">
        <f t="shared" si="347"/>
        <v>PK</v>
      </c>
      <c r="O4116" s="345" t="s">
        <v>1784</v>
      </c>
      <c r="P4116" s="392"/>
      <c r="Q4116" s="441">
        <v>12.92</v>
      </c>
      <c r="R4116" s="441"/>
      <c r="S4116" s="351"/>
      <c r="T4116" s="351"/>
      <c r="U4116" s="329" t="str">
        <f>IF($N4116=$N$4,IFERROR(INDEX(DanhMuc!$E$154:$E$165,MATCH(MID($B4116,4,2),DanhMuc!$B$154:$B$165,0)),""),"")</f>
        <v/>
      </c>
      <c r="V4116" s="361"/>
      <c r="W4116" s="345"/>
      <c r="X4116" s="329" t="str">
        <f t="shared" si="348"/>
        <v>RT</v>
      </c>
      <c r="Y4116" s="1128" t="s">
        <v>3380</v>
      </c>
      <c r="Z4116" s="1128" t="s">
        <v>3381</v>
      </c>
      <c r="AA4116" s="1128" t="s">
        <v>3384</v>
      </c>
      <c r="AB4116" s="20"/>
      <c r="AC4116" s="73"/>
    </row>
    <row r="4117" spans="1:29" ht="25">
      <c r="A4117" s="327" t="str">
        <f>IF(AND($B4117&lt;&gt;"",$C4117&lt;&gt;""),MAX($A$1556:A4092)+1,"")</f>
        <v/>
      </c>
      <c r="B4117" s="361" t="s">
        <v>2848</v>
      </c>
      <c r="C4117" s="360"/>
      <c r="D4117" s="327">
        <f>IF($B4117="","",COUNTIF($B$6:$B4117,$B4117))</f>
        <v>3</v>
      </c>
      <c r="E4117" s="411">
        <v>613234</v>
      </c>
      <c r="F4117" s="362" t="s">
        <v>1398</v>
      </c>
      <c r="G4117" s="327" t="s">
        <v>155</v>
      </c>
      <c r="H4117" s="361"/>
      <c r="I4117" s="327">
        <v>1</v>
      </c>
      <c r="J4117" s="345"/>
      <c r="K4117" s="327"/>
      <c r="L4117" s="389">
        <f t="shared" si="346"/>
        <v>304240.8</v>
      </c>
      <c r="M4117" s="371"/>
      <c r="N4117" s="355" t="str">
        <f t="shared" si="347"/>
        <v>PK</v>
      </c>
      <c r="O4117" s="345" t="s">
        <v>1785</v>
      </c>
      <c r="P4117" s="392"/>
      <c r="Q4117" s="441">
        <v>13.08</v>
      </c>
      <c r="R4117" s="441"/>
      <c r="S4117" s="351"/>
      <c r="T4117" s="351"/>
      <c r="U4117" s="329" t="str">
        <f>IF($N4117=$N$4,IFERROR(INDEX(DanhMuc!$E$154:$E$165,MATCH(MID($B4117,4,2),DanhMuc!$B$154:$B$165,0)),""),"")</f>
        <v/>
      </c>
      <c r="V4117" s="361"/>
      <c r="W4117" s="345"/>
      <c r="X4117" s="329" t="str">
        <f t="shared" si="348"/>
        <v>RT</v>
      </c>
      <c r="Y4117" s="1128" t="s">
        <v>3380</v>
      </c>
      <c r="Z4117" s="1128" t="s">
        <v>3381</v>
      </c>
      <c r="AA4117" s="1128" t="s">
        <v>3384</v>
      </c>
      <c r="AB4117" s="20"/>
      <c r="AC4117" s="73"/>
    </row>
    <row r="4118" spans="1:29" ht="25">
      <c r="A4118" s="327" t="str">
        <f>IF(AND($B4118&lt;&gt;"",$C4118&lt;&gt;""),MAX($A$1556:A4093)+1,"")</f>
        <v/>
      </c>
      <c r="B4118" s="361" t="s">
        <v>2848</v>
      </c>
      <c r="C4118" s="360"/>
      <c r="D4118" s="327">
        <f>IF($B4118="","",COUNTIF($B$6:$B4118,$B4118))</f>
        <v>4</v>
      </c>
      <c r="E4118" s="430">
        <v>770005</v>
      </c>
      <c r="F4118" s="362" t="s">
        <v>1399</v>
      </c>
      <c r="G4118" s="327" t="s">
        <v>155</v>
      </c>
      <c r="H4118" s="361"/>
      <c r="I4118" s="327">
        <v>1</v>
      </c>
      <c r="J4118" s="345"/>
      <c r="K4118" s="327"/>
      <c r="L4118" s="389">
        <f t="shared" si="346"/>
        <v>271211.59999999998</v>
      </c>
      <c r="M4118" s="371"/>
      <c r="N4118" s="355" t="str">
        <f t="shared" si="347"/>
        <v>PK</v>
      </c>
      <c r="O4118" s="345" t="s">
        <v>1785</v>
      </c>
      <c r="P4118" s="392"/>
      <c r="Q4118" s="441">
        <v>11.66</v>
      </c>
      <c r="R4118" s="441"/>
      <c r="S4118" s="351"/>
      <c r="T4118" s="351"/>
      <c r="U4118" s="329" t="str">
        <f>IF($N4118=$N$4,IFERROR(INDEX(DanhMuc!$E$154:$E$165,MATCH(MID($B4118,4,2),DanhMuc!$B$154:$B$165,0)),""),"")</f>
        <v/>
      </c>
      <c r="V4118" s="361"/>
      <c r="W4118" s="345"/>
      <c r="X4118" s="329" t="str">
        <f t="shared" si="348"/>
        <v>RT</v>
      </c>
      <c r="Y4118" s="1128" t="s">
        <v>3380</v>
      </c>
      <c r="Z4118" s="1128" t="s">
        <v>3381</v>
      </c>
      <c r="AA4118" s="1128" t="s">
        <v>3384</v>
      </c>
      <c r="AB4118" s="20"/>
      <c r="AC4118" s="73"/>
    </row>
    <row r="4119" spans="1:29" ht="25">
      <c r="A4119" s="327" t="str">
        <f>IF(AND($B4119&lt;&gt;"",$C4119&lt;&gt;""),MAX($A$1556:A4094)+1,"")</f>
        <v/>
      </c>
      <c r="B4119" s="361" t="s">
        <v>2848</v>
      </c>
      <c r="C4119" s="360"/>
      <c r="D4119" s="327">
        <f>IF($B4119="","",COUNTIF($B$6:$B4119,$B4119))</f>
        <v>5</v>
      </c>
      <c r="E4119" s="411">
        <v>774436</v>
      </c>
      <c r="F4119" s="362" t="s">
        <v>1935</v>
      </c>
      <c r="G4119" s="327" t="s">
        <v>155</v>
      </c>
      <c r="H4119" s="361"/>
      <c r="I4119" s="327">
        <v>1</v>
      </c>
      <c r="J4119" s="345"/>
      <c r="K4119" s="327"/>
      <c r="L4119" s="389">
        <f t="shared" si="346"/>
        <v>273770.2</v>
      </c>
      <c r="M4119" s="371"/>
      <c r="N4119" s="355" t="str">
        <f t="shared" si="347"/>
        <v>PK</v>
      </c>
      <c r="O4119" s="345" t="s">
        <v>1786</v>
      </c>
      <c r="P4119" s="392"/>
      <c r="Q4119" s="441">
        <v>11.77</v>
      </c>
      <c r="R4119" s="441"/>
      <c r="S4119" s="351"/>
      <c r="T4119" s="351"/>
      <c r="U4119" s="329" t="str">
        <f>IF($N4119=$N$4,IFERROR(INDEX(DanhMuc!$E$154:$E$165,MATCH(MID($B4119,4,2),DanhMuc!$B$154:$B$165,0)),""),"")</f>
        <v/>
      </c>
      <c r="V4119" s="361"/>
      <c r="W4119" s="345"/>
      <c r="X4119" s="329" t="str">
        <f t="shared" si="348"/>
        <v>RT</v>
      </c>
      <c r="Y4119" s="1128" t="s">
        <v>3380</v>
      </c>
      <c r="Z4119" s="1128" t="s">
        <v>3381</v>
      </c>
      <c r="AA4119" s="1128" t="s">
        <v>3384</v>
      </c>
      <c r="AB4119" s="20"/>
      <c r="AC4119" s="73"/>
    </row>
    <row r="4120" spans="1:29" ht="25">
      <c r="A4120" s="327" t="str">
        <f>IF(AND($B4120&lt;&gt;"",$C4120&lt;&gt;""),MAX($A$1556:A4095)+1,"")</f>
        <v/>
      </c>
      <c r="B4120" s="361" t="s">
        <v>2848</v>
      </c>
      <c r="C4120" s="360"/>
      <c r="D4120" s="327">
        <f>IF($B4120="","",COUNTIF($B$6:$B4120,$B4120))</f>
        <v>6</v>
      </c>
      <c r="E4120" s="411">
        <v>613191</v>
      </c>
      <c r="F4120" s="362" t="s">
        <v>1400</v>
      </c>
      <c r="G4120" s="327" t="s">
        <v>155</v>
      </c>
      <c r="H4120" s="361"/>
      <c r="I4120" s="327">
        <v>1</v>
      </c>
      <c r="J4120" s="345"/>
      <c r="K4120" s="327"/>
      <c r="L4120" s="389">
        <f t="shared" si="346"/>
        <v>249579.80000000002</v>
      </c>
      <c r="M4120" s="371"/>
      <c r="N4120" s="355" t="str">
        <f t="shared" si="347"/>
        <v>PK</v>
      </c>
      <c r="O4120" s="345" t="s">
        <v>1786</v>
      </c>
      <c r="P4120" s="392"/>
      <c r="Q4120" s="441">
        <v>10.73</v>
      </c>
      <c r="R4120" s="441"/>
      <c r="S4120" s="351"/>
      <c r="T4120" s="351"/>
      <c r="U4120" s="329" t="str">
        <f>IF($N4120=$N$4,IFERROR(INDEX(DanhMuc!$E$154:$E$165,MATCH(MID($B4120,4,2),DanhMuc!$B$154:$B$165,0)),""),"")</f>
        <v/>
      </c>
      <c r="V4120" s="361"/>
      <c r="W4120" s="345"/>
      <c r="X4120" s="329" t="str">
        <f t="shared" si="348"/>
        <v>RT</v>
      </c>
      <c r="Y4120" s="1128" t="s">
        <v>3380</v>
      </c>
      <c r="Z4120" s="1128" t="s">
        <v>3381</v>
      </c>
      <c r="AA4120" s="1128" t="s">
        <v>3384</v>
      </c>
      <c r="AB4120" s="20"/>
      <c r="AC4120" s="73"/>
    </row>
    <row r="4121" spans="1:29">
      <c r="A4121" s="327" t="str">
        <f>IF(AND($B4121&lt;&gt;"",$C4121&lt;&gt;""),MAX($A$1556:A4096)+1,"")</f>
        <v/>
      </c>
      <c r="B4121" s="361" t="s">
        <v>2848</v>
      </c>
      <c r="C4121" s="360"/>
      <c r="D4121" s="327">
        <f>IF($B4121="","",COUNTIF($B$6:$B4121,$B4121))</f>
        <v>7</v>
      </c>
      <c r="E4121" s="430">
        <v>570810</v>
      </c>
      <c r="F4121" s="362" t="s">
        <v>1401</v>
      </c>
      <c r="G4121" s="327" t="s">
        <v>155</v>
      </c>
      <c r="H4121" s="361"/>
      <c r="I4121" s="327">
        <v>2</v>
      </c>
      <c r="J4121" s="345"/>
      <c r="K4121" s="327"/>
      <c r="L4121" s="389">
        <f t="shared" si="346"/>
        <v>120952</v>
      </c>
      <c r="M4121" s="371"/>
      <c r="N4121" s="355" t="str">
        <f t="shared" si="347"/>
        <v>PK</v>
      </c>
      <c r="O4121" s="345"/>
      <c r="P4121" s="392"/>
      <c r="Q4121" s="441">
        <v>5.2</v>
      </c>
      <c r="R4121" s="441"/>
      <c r="S4121" s="351"/>
      <c r="T4121" s="351"/>
      <c r="U4121" s="329" t="str">
        <f>IF($N4121=$N$4,IFERROR(INDEX(DanhMuc!$E$154:$E$165,MATCH(MID($B4121,4,2),DanhMuc!$B$154:$B$165,0)),""),"")</f>
        <v/>
      </c>
      <c r="V4121" s="361"/>
      <c r="W4121" s="345"/>
      <c r="X4121" s="329" t="str">
        <f t="shared" si="348"/>
        <v>RT</v>
      </c>
      <c r="Y4121" s="1128" t="s">
        <v>3380</v>
      </c>
      <c r="Z4121" s="1128" t="s">
        <v>3381</v>
      </c>
      <c r="AA4121" s="1128" t="s">
        <v>3384</v>
      </c>
      <c r="AB4121" s="20"/>
      <c r="AC4121" s="73"/>
    </row>
    <row r="4122" spans="1:29" ht="25">
      <c r="A4122" s="327" t="str">
        <f>IF(AND($B4122&lt;&gt;"",$C4122&lt;&gt;""),MAX($A$1556:A4097)+1,"")</f>
        <v/>
      </c>
      <c r="B4122" s="361" t="s">
        <v>2848</v>
      </c>
      <c r="C4122" s="360"/>
      <c r="D4122" s="327">
        <f>IF($B4122="","",COUNTIF($B$6:$B4122,$B4122))</f>
        <v>8</v>
      </c>
      <c r="E4122" s="430">
        <v>738152</v>
      </c>
      <c r="F4122" s="362" t="s">
        <v>1402</v>
      </c>
      <c r="G4122" s="327" t="s">
        <v>156</v>
      </c>
      <c r="H4122" s="361"/>
      <c r="I4122" s="327">
        <v>3</v>
      </c>
      <c r="J4122" s="345"/>
      <c r="K4122" s="327"/>
      <c r="L4122" s="389">
        <f t="shared" si="346"/>
        <v>615924.80000000005</v>
      </c>
      <c r="M4122" s="371"/>
      <c r="N4122" s="355" t="str">
        <f t="shared" si="347"/>
        <v>PK</v>
      </c>
      <c r="O4122" s="345" t="s">
        <v>1053</v>
      </c>
      <c r="P4122" s="392"/>
      <c r="Q4122" s="441">
        <v>26.48</v>
      </c>
      <c r="R4122" s="441"/>
      <c r="S4122" s="351"/>
      <c r="T4122" s="351"/>
      <c r="U4122" s="329" t="str">
        <f>IF($N4122=$N$4,IFERROR(INDEX(DanhMuc!$E$154:$E$165,MATCH(MID($B4122,4,2),DanhMuc!$B$154:$B$165,0)),""),"")</f>
        <v/>
      </c>
      <c r="V4122" s="361"/>
      <c r="W4122" s="345"/>
      <c r="X4122" s="329" t="str">
        <f t="shared" si="348"/>
        <v>RT</v>
      </c>
      <c r="Y4122" s="1128" t="s">
        <v>3380</v>
      </c>
      <c r="Z4122" s="1128" t="s">
        <v>3381</v>
      </c>
      <c r="AA4122" s="1128" t="s">
        <v>3384</v>
      </c>
      <c r="AB4122" s="20"/>
      <c r="AC4122" s="73"/>
    </row>
    <row r="4123" spans="1:29" ht="25">
      <c r="A4123" s="327" t="str">
        <f>IF(AND($B4123&lt;&gt;"",$C4123&lt;&gt;""),MAX($A$1556:A4098)+1,"")</f>
        <v/>
      </c>
      <c r="B4123" s="361" t="s">
        <v>2848</v>
      </c>
      <c r="C4123" s="360"/>
      <c r="D4123" s="327">
        <f>IF($B4123="","",COUNTIF($B$6:$B4123,$B4123))</f>
        <v>9</v>
      </c>
      <c r="E4123" s="430">
        <v>774286</v>
      </c>
      <c r="F4123" s="362" t="s">
        <v>1403</v>
      </c>
      <c r="G4123" s="327" t="s">
        <v>156</v>
      </c>
      <c r="H4123" s="361"/>
      <c r="I4123" s="411" t="s">
        <v>1346</v>
      </c>
      <c r="J4123" s="345"/>
      <c r="K4123" s="327"/>
      <c r="L4123" s="389">
        <f t="shared" si="346"/>
        <v>216550.6</v>
      </c>
      <c r="M4123" s="371"/>
      <c r="N4123" s="355" t="str">
        <f t="shared" si="347"/>
        <v>PK</v>
      </c>
      <c r="O4123" s="345" t="s">
        <v>1054</v>
      </c>
      <c r="P4123" s="392"/>
      <c r="Q4123" s="441">
        <v>9.31</v>
      </c>
      <c r="R4123" s="441"/>
      <c r="S4123" s="351"/>
      <c r="T4123" s="351"/>
      <c r="U4123" s="329" t="str">
        <f>IF($N4123=$N$4,IFERROR(INDEX(DanhMuc!$E$154:$E$165,MATCH(MID($B4123,4,2),DanhMuc!$B$154:$B$165,0)),""),"")</f>
        <v/>
      </c>
      <c r="V4123" s="361"/>
      <c r="W4123" s="345"/>
      <c r="X4123" s="329" t="str">
        <f t="shared" si="348"/>
        <v>RT</v>
      </c>
      <c r="Y4123" s="1128" t="s">
        <v>3380</v>
      </c>
      <c r="Z4123" s="1128" t="s">
        <v>3381</v>
      </c>
      <c r="AA4123" s="1128" t="s">
        <v>3384</v>
      </c>
      <c r="AB4123" s="20"/>
      <c r="AC4123" s="73"/>
    </row>
    <row r="4124" spans="1:29" ht="25">
      <c r="A4124" s="327" t="str">
        <f>IF(AND($B4124&lt;&gt;"",$C4124&lt;&gt;""),MAX($A$1556:A4099)+1,"")</f>
        <v/>
      </c>
      <c r="B4124" s="361" t="s">
        <v>2848</v>
      </c>
      <c r="C4124" s="360"/>
      <c r="D4124" s="327">
        <f>IF($B4124="","",COUNTIF($B$6:$B4124,$B4124))</f>
        <v>10</v>
      </c>
      <c r="E4124" s="430">
        <v>774287</v>
      </c>
      <c r="F4124" s="362" t="s">
        <v>1404</v>
      </c>
      <c r="G4124" s="327" t="s">
        <v>156</v>
      </c>
      <c r="H4124" s="361"/>
      <c r="I4124" s="411" t="s">
        <v>1347</v>
      </c>
      <c r="J4124" s="345"/>
      <c r="K4124" s="327"/>
      <c r="L4124" s="389">
        <f t="shared" si="346"/>
        <v>399374.2</v>
      </c>
      <c r="M4124" s="371"/>
      <c r="N4124" s="355" t="str">
        <f t="shared" si="347"/>
        <v>PK</v>
      </c>
      <c r="O4124" s="345" t="s">
        <v>1054</v>
      </c>
      <c r="P4124" s="392"/>
      <c r="Q4124" s="441">
        <v>17.170000000000002</v>
      </c>
      <c r="R4124" s="441"/>
      <c r="S4124" s="351"/>
      <c r="T4124" s="351"/>
      <c r="U4124" s="329" t="str">
        <f>IF($N4124=$N$4,IFERROR(INDEX(DanhMuc!$E$154:$E$165,MATCH(MID($B4124,4,2),DanhMuc!$B$154:$B$165,0)),""),"")</f>
        <v/>
      </c>
      <c r="V4124" s="361"/>
      <c r="W4124" s="345"/>
      <c r="X4124" s="329" t="str">
        <f t="shared" si="348"/>
        <v>RT</v>
      </c>
      <c r="Y4124" s="1128" t="s">
        <v>3380</v>
      </c>
      <c r="Z4124" s="1128" t="s">
        <v>3381</v>
      </c>
      <c r="AA4124" s="1128" t="s">
        <v>3384</v>
      </c>
      <c r="AB4124" s="20"/>
      <c r="AC4124" s="73"/>
    </row>
    <row r="4125" spans="1:29">
      <c r="A4125" s="327" t="str">
        <f>IF(AND($B4125&lt;&gt;"",$C4125&lt;&gt;""),MAX($A$1556:A4100)+1,"")</f>
        <v/>
      </c>
      <c r="B4125" s="361" t="s">
        <v>2848</v>
      </c>
      <c r="C4125" s="360"/>
      <c r="D4125" s="327">
        <f>IF($B4125="","",COUNTIF($B$6:$B4125,$B4125))</f>
        <v>11</v>
      </c>
      <c r="E4125" s="411">
        <v>616040</v>
      </c>
      <c r="F4125" s="403" t="s">
        <v>1405</v>
      </c>
      <c r="G4125" s="410" t="s">
        <v>155</v>
      </c>
      <c r="H4125" s="402"/>
      <c r="I4125" s="410">
        <v>8</v>
      </c>
      <c r="J4125" s="345"/>
      <c r="K4125" s="327"/>
      <c r="L4125" s="389">
        <f t="shared" si="346"/>
        <v>62104.2</v>
      </c>
      <c r="M4125" s="371"/>
      <c r="N4125" s="355" t="str">
        <f t="shared" si="347"/>
        <v>PK</v>
      </c>
      <c r="O4125" s="345" t="s">
        <v>1705</v>
      </c>
      <c r="P4125" s="392"/>
      <c r="Q4125" s="441">
        <v>2.67</v>
      </c>
      <c r="R4125" s="441"/>
      <c r="S4125" s="351"/>
      <c r="T4125" s="351"/>
      <c r="U4125" s="329" t="str">
        <f>IF($N4125=$N$4,IFERROR(INDEX(DanhMuc!$E$154:$E$165,MATCH(MID($B4125,4,2),DanhMuc!$B$154:$B$165,0)),""),"")</f>
        <v/>
      </c>
      <c r="V4125" s="361"/>
      <c r="W4125" s="345"/>
      <c r="X4125" s="329" t="str">
        <f t="shared" si="348"/>
        <v>RT</v>
      </c>
      <c r="Y4125" s="1128" t="s">
        <v>3380</v>
      </c>
      <c r="Z4125" s="1128" t="s">
        <v>3381</v>
      </c>
      <c r="AA4125" s="1128" t="s">
        <v>3384</v>
      </c>
      <c r="AB4125" s="20"/>
      <c r="AC4125" s="73"/>
    </row>
    <row r="4126" spans="1:29">
      <c r="A4126" s="327" t="str">
        <f>IF(AND($B4126&lt;&gt;"",$C4126&lt;&gt;""),MAX($A$1556:A4101)+1,"")</f>
        <v/>
      </c>
      <c r="B4126" s="361" t="s">
        <v>2848</v>
      </c>
      <c r="C4126" s="360"/>
      <c r="D4126" s="327">
        <f>IF($B4126="","",COUNTIF($B$6:$B4126,$B4126))</f>
        <v>12</v>
      </c>
      <c r="E4126" s="411">
        <v>615951</v>
      </c>
      <c r="F4126" s="403" t="s">
        <v>1406</v>
      </c>
      <c r="G4126" s="410" t="s">
        <v>155</v>
      </c>
      <c r="H4126" s="402"/>
      <c r="I4126" s="410">
        <v>8</v>
      </c>
      <c r="J4126" s="345"/>
      <c r="K4126" s="327"/>
      <c r="L4126" s="389">
        <f t="shared" si="346"/>
        <v>120952</v>
      </c>
      <c r="M4126" s="371"/>
      <c r="N4126" s="355" t="str">
        <f t="shared" si="347"/>
        <v>PK</v>
      </c>
      <c r="O4126" s="345" t="s">
        <v>1704</v>
      </c>
      <c r="P4126" s="392"/>
      <c r="Q4126" s="441">
        <v>5.2</v>
      </c>
      <c r="R4126" s="441"/>
      <c r="S4126" s="351"/>
      <c r="T4126" s="351"/>
      <c r="U4126" s="329" t="str">
        <f>IF($N4126=$N$4,IFERROR(INDEX(DanhMuc!$E$154:$E$165,MATCH(MID($B4126,4,2),DanhMuc!$B$154:$B$165,0)),""),"")</f>
        <v/>
      </c>
      <c r="V4126" s="361"/>
      <c r="W4126" s="345"/>
      <c r="X4126" s="329" t="str">
        <f t="shared" si="348"/>
        <v>RT</v>
      </c>
      <c r="Y4126" s="1128" t="s">
        <v>3380</v>
      </c>
      <c r="Z4126" s="1128" t="s">
        <v>3381</v>
      </c>
      <c r="AA4126" s="1128" t="s">
        <v>3384</v>
      </c>
      <c r="AB4126" s="20"/>
      <c r="AC4126" s="73"/>
    </row>
    <row r="4127" spans="1:29">
      <c r="A4127" s="327" t="str">
        <f>IF(AND($B4127&lt;&gt;"",$C4127&lt;&gt;""),MAX($A$1556:A4102)+1,"")</f>
        <v/>
      </c>
      <c r="B4127" s="361" t="s">
        <v>2848</v>
      </c>
      <c r="C4127" s="360"/>
      <c r="D4127" s="327">
        <f>IF($B4127="","",COUNTIF($B$6:$B4127,$B4127))</f>
        <v>13</v>
      </c>
      <c r="E4127" s="430">
        <v>640068</v>
      </c>
      <c r="F4127" s="362" t="s">
        <v>1407</v>
      </c>
      <c r="G4127" s="327" t="s">
        <v>155</v>
      </c>
      <c r="H4127" s="361"/>
      <c r="I4127" s="327">
        <v>1</v>
      </c>
      <c r="J4127" s="345"/>
      <c r="K4127" s="327"/>
      <c r="L4127" s="389">
        <f t="shared" si="346"/>
        <v>201431.6</v>
      </c>
      <c r="M4127" s="371"/>
      <c r="N4127" s="355" t="str">
        <f t="shared" si="347"/>
        <v>PK</v>
      </c>
      <c r="O4127" s="345" t="s">
        <v>1053</v>
      </c>
      <c r="P4127" s="392"/>
      <c r="Q4127" s="441">
        <v>8.66</v>
      </c>
      <c r="R4127" s="441"/>
      <c r="S4127" s="351"/>
      <c r="T4127" s="351"/>
      <c r="U4127" s="329" t="str">
        <f>IF($N4127=$N$4,IFERROR(INDEX(DanhMuc!$E$154:$E$165,MATCH(MID($B4127,4,2),DanhMuc!$B$154:$B$165,0)),""),"")</f>
        <v/>
      </c>
      <c r="V4127" s="361"/>
      <c r="W4127" s="345"/>
      <c r="X4127" s="329" t="str">
        <f t="shared" si="348"/>
        <v>RT</v>
      </c>
      <c r="Y4127" s="1128" t="s">
        <v>3380</v>
      </c>
      <c r="Z4127" s="1128" t="s">
        <v>3381</v>
      </c>
      <c r="AA4127" s="1128" t="s">
        <v>3384</v>
      </c>
      <c r="AB4127" s="20"/>
      <c r="AC4127" s="73"/>
    </row>
    <row r="4128" spans="1:29" ht="25">
      <c r="A4128" s="327" t="str">
        <f>IF(AND($B4128&lt;&gt;"",$C4128&lt;&gt;""),MAX($A$1556:A4103)+1,"")</f>
        <v/>
      </c>
      <c r="B4128" s="361" t="s">
        <v>2848</v>
      </c>
      <c r="C4128" s="360"/>
      <c r="D4128" s="327">
        <f>IF($B4128="","",COUNTIF($B$6:$B4128,$B4128))</f>
        <v>14</v>
      </c>
      <c r="E4128" s="430">
        <v>629551</v>
      </c>
      <c r="F4128" s="362" t="s">
        <v>1936</v>
      </c>
      <c r="G4128" s="327" t="s">
        <v>155</v>
      </c>
      <c r="H4128" s="361"/>
      <c r="I4128" s="327">
        <v>12</v>
      </c>
      <c r="J4128" s="345"/>
      <c r="K4128" s="327"/>
      <c r="L4128" s="389">
        <f t="shared" si="346"/>
        <v>31168.400000000001</v>
      </c>
      <c r="M4128" s="371"/>
      <c r="N4128" s="355" t="str">
        <f t="shared" si="347"/>
        <v>PK</v>
      </c>
      <c r="O4128" s="345" t="s">
        <v>1053</v>
      </c>
      <c r="P4128" s="392"/>
      <c r="Q4128" s="441">
        <v>1.34</v>
      </c>
      <c r="R4128" s="441"/>
      <c r="S4128" s="351"/>
      <c r="T4128" s="351"/>
      <c r="U4128" s="329" t="str">
        <f>IF($N4128=$N$4,IFERROR(INDEX(DanhMuc!$E$154:$E$165,MATCH(MID($B4128,4,2),DanhMuc!$B$154:$B$165,0)),""),"")</f>
        <v/>
      </c>
      <c r="V4128" s="361"/>
      <c r="W4128" s="345"/>
      <c r="X4128" s="329" t="str">
        <f t="shared" si="348"/>
        <v>RT</v>
      </c>
      <c r="Y4128" s="1128" t="s">
        <v>3380</v>
      </c>
      <c r="Z4128" s="1128" t="s">
        <v>3381</v>
      </c>
      <c r="AA4128" s="1128" t="s">
        <v>3384</v>
      </c>
      <c r="AB4128" s="20"/>
      <c r="AC4128" s="73"/>
    </row>
    <row r="4129" spans="1:29" ht="25">
      <c r="A4129" s="327" t="str">
        <f>IF(AND($B4129&lt;&gt;"",$C4129&lt;&gt;""),MAX($A$1556:A4104)+1,"")</f>
        <v/>
      </c>
      <c r="B4129" s="361" t="s">
        <v>2848</v>
      </c>
      <c r="C4129" s="360"/>
      <c r="D4129" s="327">
        <f>IF($B4129="","",COUNTIF($B$6:$B4129,$B4129))</f>
        <v>15</v>
      </c>
      <c r="E4129" s="430">
        <v>629551</v>
      </c>
      <c r="F4129" s="362" t="s">
        <v>1936</v>
      </c>
      <c r="G4129" s="327" t="s">
        <v>155</v>
      </c>
      <c r="H4129" s="361"/>
      <c r="I4129" s="411" t="s">
        <v>1348</v>
      </c>
      <c r="J4129" s="345"/>
      <c r="K4129" s="327"/>
      <c r="L4129" s="389">
        <f t="shared" si="346"/>
        <v>31168.400000000001</v>
      </c>
      <c r="M4129" s="371"/>
      <c r="N4129" s="355" t="str">
        <f t="shared" si="347"/>
        <v>PK</v>
      </c>
      <c r="O4129" s="345" t="s">
        <v>1054</v>
      </c>
      <c r="P4129" s="392"/>
      <c r="Q4129" s="441">
        <v>1.34</v>
      </c>
      <c r="R4129" s="441"/>
      <c r="S4129" s="351"/>
      <c r="T4129" s="351"/>
      <c r="U4129" s="329" t="str">
        <f>IF($N4129=$N$4,IFERROR(INDEX(DanhMuc!$E$154:$E$165,MATCH(MID($B4129,4,2),DanhMuc!$B$154:$B$165,0)),""),"")</f>
        <v/>
      </c>
      <c r="V4129" s="361"/>
      <c r="W4129" s="345"/>
      <c r="X4129" s="329" t="str">
        <f t="shared" si="348"/>
        <v>RT</v>
      </c>
      <c r="Y4129" s="1128" t="s">
        <v>3380</v>
      </c>
      <c r="Z4129" s="1128" t="s">
        <v>3381</v>
      </c>
      <c r="AA4129" s="1128" t="s">
        <v>3384</v>
      </c>
      <c r="AB4129" s="20"/>
      <c r="AC4129" s="73"/>
    </row>
    <row r="4130" spans="1:29">
      <c r="A4130" s="327" t="str">
        <f>IF(AND($B4130&lt;&gt;"",$C4130&lt;&gt;""),MAX($A$1556:A4105)+1,"")</f>
        <v/>
      </c>
      <c r="B4130" s="361" t="s">
        <v>2848</v>
      </c>
      <c r="C4130" s="360"/>
      <c r="D4130" s="327">
        <f>IF($B4130="","",COUNTIF($B$6:$B4130,$B4130))</f>
        <v>16</v>
      </c>
      <c r="E4130" s="411">
        <v>221847</v>
      </c>
      <c r="F4130" s="432" t="s">
        <v>1374</v>
      </c>
      <c r="G4130" s="410" t="s">
        <v>155</v>
      </c>
      <c r="H4130" s="361"/>
      <c r="I4130" s="327">
        <v>8</v>
      </c>
      <c r="J4130" s="345"/>
      <c r="K4130" s="327"/>
      <c r="L4130" s="356">
        <v>1000</v>
      </c>
      <c r="M4130" s="371"/>
      <c r="N4130" s="355" t="str">
        <f t="shared" si="347"/>
        <v>PK</v>
      </c>
      <c r="O4130" s="345"/>
      <c r="P4130" s="392"/>
      <c r="Q4130" s="356">
        <v>1000</v>
      </c>
      <c r="R4130" s="441"/>
      <c r="S4130" s="351"/>
      <c r="T4130" s="351"/>
      <c r="U4130" s="329" t="str">
        <f>IF($N4130=$N$4,IFERROR(INDEX(DanhMuc!$E$154:$E$165,MATCH(MID($B4130,4,2),DanhMuc!$B$154:$B$165,0)),""),"")</f>
        <v/>
      </c>
      <c r="V4130" s="361"/>
      <c r="W4130" s="345"/>
      <c r="X4130" s="329" t="str">
        <f t="shared" si="348"/>
        <v>RT</v>
      </c>
      <c r="Y4130" s="1128" t="s">
        <v>3380</v>
      </c>
      <c r="Z4130" s="1128" t="s">
        <v>3381</v>
      </c>
      <c r="AA4130" s="1128" t="s">
        <v>3384</v>
      </c>
      <c r="AB4130" s="20"/>
      <c r="AC4130" s="73"/>
    </row>
    <row r="4131" spans="1:29">
      <c r="A4131" s="327" t="str">
        <f>IF(AND($B4131&lt;&gt;"",$C4131&lt;&gt;""),MAX($A$1556:A4106)+1,"")</f>
        <v/>
      </c>
      <c r="B4131" s="361" t="s">
        <v>2848</v>
      </c>
      <c r="C4131" s="360"/>
      <c r="D4131" s="327">
        <f>IF($B4131="","",COUNTIF($B$6:$B4131,$B4131))</f>
        <v>17</v>
      </c>
      <c r="E4131" s="411">
        <v>221848</v>
      </c>
      <c r="F4131" s="432" t="s">
        <v>1375</v>
      </c>
      <c r="G4131" s="410" t="s">
        <v>155</v>
      </c>
      <c r="H4131" s="361"/>
      <c r="I4131" s="327">
        <v>4</v>
      </c>
      <c r="J4131" s="345"/>
      <c r="K4131" s="327"/>
      <c r="L4131" s="356">
        <v>10100</v>
      </c>
      <c r="M4131" s="371"/>
      <c r="N4131" s="355" t="str">
        <f t="shared" si="347"/>
        <v>PK</v>
      </c>
      <c r="O4131" s="345"/>
      <c r="P4131" s="392"/>
      <c r="Q4131" s="356">
        <v>10100</v>
      </c>
      <c r="R4131" s="441"/>
      <c r="S4131" s="351"/>
      <c r="T4131" s="351"/>
      <c r="U4131" s="329" t="str">
        <f>IF($N4131=$N$4,IFERROR(INDEX(DanhMuc!$E$154:$E$165,MATCH(MID($B4131,4,2),DanhMuc!$B$154:$B$165,0)),""),"")</f>
        <v/>
      </c>
      <c r="V4131" s="361"/>
      <c r="W4131" s="345"/>
      <c r="X4131" s="329" t="str">
        <f t="shared" si="348"/>
        <v>RT</v>
      </c>
      <c r="Y4131" s="1128" t="s">
        <v>3380</v>
      </c>
      <c r="Z4131" s="1128" t="s">
        <v>3381</v>
      </c>
      <c r="AA4131" s="1128" t="s">
        <v>3384</v>
      </c>
      <c r="AB4131" s="20"/>
      <c r="AC4131" s="73"/>
    </row>
    <row r="4132" spans="1:29">
      <c r="A4132" s="327" t="str">
        <f>IF(AND($B4132&lt;&gt;"",$C4132&lt;&gt;""),MAX($A$1556:A4107)+1,"")</f>
        <v/>
      </c>
      <c r="B4132" s="361" t="s">
        <v>2848</v>
      </c>
      <c r="C4132" s="360"/>
      <c r="D4132" s="327">
        <f>IF($B4132="","",COUNTIF($B$6:$B4132,$B4132))</f>
        <v>18</v>
      </c>
      <c r="E4132" s="430">
        <v>317250</v>
      </c>
      <c r="F4132" s="362" t="s">
        <v>1408</v>
      </c>
      <c r="G4132" s="327" t="s">
        <v>344</v>
      </c>
      <c r="H4132" s="361"/>
      <c r="I4132" s="327">
        <v>2</v>
      </c>
      <c r="J4132" s="345"/>
      <c r="K4132" s="327"/>
      <c r="L4132" s="389">
        <f t="shared" si="346"/>
        <v>62104.2</v>
      </c>
      <c r="M4132" s="371"/>
      <c r="N4132" s="355" t="str">
        <f t="shared" si="347"/>
        <v>PK</v>
      </c>
      <c r="O4132" s="345"/>
      <c r="P4132" s="392"/>
      <c r="Q4132" s="441">
        <v>2.67</v>
      </c>
      <c r="R4132" s="441"/>
      <c r="S4132" s="351"/>
      <c r="T4132" s="351"/>
      <c r="U4132" s="329" t="str">
        <f>IF($N4132=$N$4,IFERROR(INDEX(DanhMuc!$E$154:$E$165,MATCH(MID($B4132,4,2),DanhMuc!$B$154:$B$165,0)),""),"")</f>
        <v/>
      </c>
      <c r="V4132" s="361"/>
      <c r="W4132" s="345"/>
      <c r="X4132" s="329" t="str">
        <f t="shared" si="348"/>
        <v>RT</v>
      </c>
      <c r="Y4132" s="1128" t="s">
        <v>3380</v>
      </c>
      <c r="Z4132" s="1128" t="s">
        <v>3381</v>
      </c>
      <c r="AA4132" s="1128" t="s">
        <v>3384</v>
      </c>
      <c r="AB4132" s="20"/>
      <c r="AC4132" s="73"/>
    </row>
    <row r="4133" spans="1:29" ht="39">
      <c r="A4133" s="327">
        <f>IF(AND($B4133&lt;&gt;"",$C4133&lt;&gt;""),MAX($A$1556:A4108)+1,"")</f>
        <v>193</v>
      </c>
      <c r="B4133" s="359" t="s">
        <v>2034</v>
      </c>
      <c r="C4133" s="370" t="s">
        <v>1579</v>
      </c>
      <c r="D4133" s="327">
        <f>IF($B4133="","",COUNTIF($B$6:$B4133,$B4133))</f>
        <v>1</v>
      </c>
      <c r="E4133" s="411">
        <v>571419</v>
      </c>
      <c r="F4133" s="403" t="s">
        <v>1502</v>
      </c>
      <c r="G4133" s="410" t="s">
        <v>1494</v>
      </c>
      <c r="H4133" s="402"/>
      <c r="I4133" s="402" t="s">
        <v>1499</v>
      </c>
      <c r="J4133" s="361"/>
      <c r="K4133" s="327"/>
      <c r="L4133" s="389">
        <f t="shared" si="346"/>
        <v>1392111</v>
      </c>
      <c r="M4133" s="371"/>
      <c r="N4133" s="355" t="str">
        <f t="shared" si="347"/>
        <v>PK</v>
      </c>
      <c r="O4133" s="345"/>
      <c r="P4133" s="392"/>
      <c r="Q4133" s="392">
        <v>59.85</v>
      </c>
      <c r="R4133" s="441"/>
      <c r="S4133" s="351"/>
      <c r="T4133" s="351"/>
      <c r="U4133" s="329" t="str">
        <f>IF($N4133=$N$4,IFERROR(INDEX(DanhMuc!$E$154:$E$165,MATCH(MID($B4133,4,2),DanhMuc!$B$154:$B$165,0)),""),"")</f>
        <v/>
      </c>
      <c r="V4133" s="361"/>
      <c r="W4133" s="345"/>
      <c r="X4133" s="329" t="str">
        <f t="shared" si="348"/>
        <v>RT</v>
      </c>
      <c r="Y4133" s="1128" t="s">
        <v>3380</v>
      </c>
      <c r="Z4133" s="1128" t="s">
        <v>3381</v>
      </c>
      <c r="AA4133" s="1128" t="s">
        <v>3384</v>
      </c>
      <c r="AB4133" s="20"/>
      <c r="AC4133" s="73"/>
    </row>
    <row r="4134" spans="1:29">
      <c r="A4134" s="327" t="str">
        <f>IF(AND($B4134&lt;&gt;"",$C4134&lt;&gt;""),MAX($A$1556:A4109)+1,"")</f>
        <v/>
      </c>
      <c r="B4134" s="361" t="s">
        <v>2034</v>
      </c>
      <c r="C4134" s="360"/>
      <c r="D4134" s="327">
        <f>IF($B4134="","",COUNTIF($B$6:$B4134,$B4134))</f>
        <v>2</v>
      </c>
      <c r="E4134" s="411">
        <v>571420</v>
      </c>
      <c r="F4134" s="403" t="s">
        <v>1503</v>
      </c>
      <c r="G4134" s="410" t="s">
        <v>1495</v>
      </c>
      <c r="H4134" s="402"/>
      <c r="I4134" s="402" t="s">
        <v>1500</v>
      </c>
      <c r="J4134" s="361"/>
      <c r="K4134" s="327"/>
      <c r="L4134" s="389">
        <f t="shared" si="346"/>
        <v>1639364.8</v>
      </c>
      <c r="M4134" s="371"/>
      <c r="N4134" s="355" t="str">
        <f t="shared" si="347"/>
        <v>PK</v>
      </c>
      <c r="O4134" s="345"/>
      <c r="P4134" s="392"/>
      <c r="Q4134" s="392">
        <v>70.48</v>
      </c>
      <c r="R4134" s="441"/>
      <c r="S4134" s="351"/>
      <c r="T4134" s="351"/>
      <c r="U4134" s="329" t="str">
        <f>IF($N4134=$N$4,IFERROR(INDEX(DanhMuc!$E$154:$E$165,MATCH(MID($B4134,4,2),DanhMuc!$B$154:$B$165,0)),""),"")</f>
        <v/>
      </c>
      <c r="V4134" s="361"/>
      <c r="W4134" s="345"/>
      <c r="X4134" s="329" t="str">
        <f t="shared" si="348"/>
        <v>RT</v>
      </c>
      <c r="Y4134" s="1128" t="s">
        <v>3380</v>
      </c>
      <c r="Z4134" s="1128" t="s">
        <v>3381</v>
      </c>
      <c r="AA4134" s="1128" t="s">
        <v>3384</v>
      </c>
      <c r="AB4134" s="20"/>
      <c r="AC4134" s="73"/>
    </row>
    <row r="4135" spans="1:29">
      <c r="A4135" s="327" t="str">
        <f>IF(AND($B4135&lt;&gt;"",$C4135&lt;&gt;""),MAX($A$1556:A4110)+1,"")</f>
        <v/>
      </c>
      <c r="B4135" s="361" t="s">
        <v>2034</v>
      </c>
      <c r="C4135" s="360"/>
      <c r="D4135" s="327">
        <f>IF($B4135="","",COUNTIF($B$6:$B4135,$B4135))</f>
        <v>3</v>
      </c>
      <c r="E4135" s="411">
        <v>614284</v>
      </c>
      <c r="F4135" s="403" t="s">
        <v>1504</v>
      </c>
      <c r="G4135" s="410" t="s">
        <v>1496</v>
      </c>
      <c r="H4135" s="402"/>
      <c r="I4135" s="402" t="s">
        <v>1501</v>
      </c>
      <c r="J4135" s="361"/>
      <c r="K4135" s="327"/>
      <c r="L4135" s="389">
        <f t="shared" si="346"/>
        <v>2226912.4</v>
      </c>
      <c r="M4135" s="371"/>
      <c r="N4135" s="355" t="str">
        <f t="shared" si="347"/>
        <v>PK</v>
      </c>
      <c r="O4135" s="345"/>
      <c r="P4135" s="392"/>
      <c r="Q4135" s="392">
        <v>95.74</v>
      </c>
      <c r="R4135" s="441"/>
      <c r="S4135" s="351"/>
      <c r="T4135" s="351"/>
      <c r="U4135" s="329" t="str">
        <f>IF($N4135=$N$4,IFERROR(INDEX(DanhMuc!$E$154:$E$165,MATCH(MID($B4135,4,2),DanhMuc!$B$154:$B$165,0)),""),"")</f>
        <v/>
      </c>
      <c r="V4135" s="361"/>
      <c r="W4135" s="345"/>
      <c r="X4135" s="329" t="str">
        <f t="shared" si="348"/>
        <v>RT</v>
      </c>
      <c r="Y4135" s="1128" t="s">
        <v>3380</v>
      </c>
      <c r="Z4135" s="1128" t="s">
        <v>3381</v>
      </c>
      <c r="AA4135" s="1128" t="s">
        <v>3384</v>
      </c>
      <c r="AB4135" s="20"/>
      <c r="AC4135" s="73"/>
    </row>
    <row r="4136" spans="1:29" ht="25">
      <c r="A4136" s="327" t="str">
        <f>IF(AND($B4136&lt;&gt;"",$C4136&lt;&gt;""),MAX($A$1556:A4111)+1,"")</f>
        <v/>
      </c>
      <c r="B4136" s="361" t="s">
        <v>2034</v>
      </c>
      <c r="C4136" s="360"/>
      <c r="D4136" s="327">
        <f>IF($B4136="","",COUNTIF($B$6:$B4136,$B4136))</f>
        <v>4</v>
      </c>
      <c r="E4136" s="600">
        <v>570929</v>
      </c>
      <c r="F4136" s="601" t="s">
        <v>1505</v>
      </c>
      <c r="G4136" s="602" t="s">
        <v>1494</v>
      </c>
      <c r="H4136" s="603"/>
      <c r="I4136" s="603" t="s">
        <v>1499</v>
      </c>
      <c r="J4136" s="361"/>
      <c r="K4136" s="327"/>
      <c r="L4136" s="389">
        <f t="shared" si="346"/>
        <v>2629077.7999999998</v>
      </c>
      <c r="M4136" s="371"/>
      <c r="N4136" s="355" t="str">
        <f t="shared" si="347"/>
        <v>PK</v>
      </c>
      <c r="O4136" s="345"/>
      <c r="P4136" s="392"/>
      <c r="Q4136" s="392">
        <v>113.03</v>
      </c>
      <c r="R4136" s="441"/>
      <c r="S4136" s="351"/>
      <c r="T4136" s="351"/>
      <c r="U4136" s="329" t="str">
        <f>IF($N4136=$N$4,IFERROR(INDEX(DanhMuc!$E$154:$E$165,MATCH(MID($B4136,4,2),DanhMuc!$B$154:$B$165,0)),""),"")</f>
        <v/>
      </c>
      <c r="V4136" s="361"/>
      <c r="W4136" s="345"/>
      <c r="X4136" s="329" t="str">
        <f t="shared" si="348"/>
        <v>RT</v>
      </c>
      <c r="Y4136" s="1128" t="s">
        <v>3380</v>
      </c>
      <c r="Z4136" s="1128" t="s">
        <v>3381</v>
      </c>
      <c r="AA4136" s="1128" t="s">
        <v>3384</v>
      </c>
      <c r="AB4136" s="20"/>
      <c r="AC4136" s="73"/>
    </row>
    <row r="4137" spans="1:29" ht="25">
      <c r="A4137" s="327" t="str">
        <f>IF(AND($B4137&lt;&gt;"",$C4137&lt;&gt;""),MAX($A$1556:A4112)+1,"")</f>
        <v/>
      </c>
      <c r="B4137" s="361" t="s">
        <v>2034</v>
      </c>
      <c r="C4137" s="360"/>
      <c r="D4137" s="327">
        <f>IF($B4137="","",COUNTIF($B$6:$B4137,$B4137))</f>
        <v>5</v>
      </c>
      <c r="E4137" s="600">
        <v>570930</v>
      </c>
      <c r="F4137" s="601" t="s">
        <v>1506</v>
      </c>
      <c r="G4137" s="602" t="s">
        <v>1495</v>
      </c>
      <c r="H4137" s="603"/>
      <c r="I4137" s="603" t="s">
        <v>1500</v>
      </c>
      <c r="J4137" s="361"/>
      <c r="K4137" s="327"/>
      <c r="L4137" s="389">
        <f t="shared" si="346"/>
        <v>3402240.2</v>
      </c>
      <c r="M4137" s="371"/>
      <c r="N4137" s="355" t="str">
        <f t="shared" si="347"/>
        <v>PK</v>
      </c>
      <c r="O4137" s="345"/>
      <c r="P4137" s="392"/>
      <c r="Q4137" s="392">
        <v>146.27000000000001</v>
      </c>
      <c r="R4137" s="441"/>
      <c r="S4137" s="351"/>
      <c r="T4137" s="351"/>
      <c r="U4137" s="329" t="str">
        <f>IF($N4137=$N$4,IFERROR(INDEX(DanhMuc!$E$154:$E$165,MATCH(MID($B4137,4,2),DanhMuc!$B$154:$B$165,0)),""),"")</f>
        <v/>
      </c>
      <c r="V4137" s="361"/>
      <c r="W4137" s="345"/>
      <c r="X4137" s="329" t="str">
        <f t="shared" si="348"/>
        <v>RT</v>
      </c>
      <c r="Y4137" s="1128" t="s">
        <v>3380</v>
      </c>
      <c r="Z4137" s="1128" t="s">
        <v>3381</v>
      </c>
      <c r="AA4137" s="1128" t="s">
        <v>3384</v>
      </c>
      <c r="AB4137" s="20"/>
      <c r="AC4137" s="73"/>
    </row>
    <row r="4138" spans="1:29">
      <c r="A4138" s="327" t="str">
        <f>IF(AND($B4138&lt;&gt;"",$C4138&lt;&gt;""),MAX($A$1556:A4113)+1,"")</f>
        <v/>
      </c>
      <c r="B4138" s="361" t="s">
        <v>2034</v>
      </c>
      <c r="C4138" s="360"/>
      <c r="D4138" s="327">
        <f>IF($B4138="","",COUNTIF($B$6:$B4138,$B4138))</f>
        <v>6</v>
      </c>
      <c r="E4138" s="600">
        <v>614283</v>
      </c>
      <c r="F4138" s="601" t="s">
        <v>1507</v>
      </c>
      <c r="G4138" s="602" t="s">
        <v>1496</v>
      </c>
      <c r="H4138" s="603"/>
      <c r="I4138" s="603" t="s">
        <v>1501</v>
      </c>
      <c r="J4138" s="361"/>
      <c r="K4138" s="327"/>
      <c r="L4138" s="389">
        <f t="shared" si="346"/>
        <v>4330081.5999999996</v>
      </c>
      <c r="M4138" s="371"/>
      <c r="N4138" s="355" t="str">
        <f t="shared" si="347"/>
        <v>PK</v>
      </c>
      <c r="O4138" s="345"/>
      <c r="P4138" s="392"/>
      <c r="Q4138" s="392">
        <v>186.16</v>
      </c>
      <c r="R4138" s="441"/>
      <c r="S4138" s="351"/>
      <c r="T4138" s="351"/>
      <c r="U4138" s="329" t="str">
        <f>IF($N4138=$N$4,IFERROR(INDEX(DanhMuc!$E$154:$E$165,MATCH(MID($B4138,4,2),DanhMuc!$B$154:$B$165,0)),""),"")</f>
        <v/>
      </c>
      <c r="V4138" s="361"/>
      <c r="W4138" s="345"/>
      <c r="X4138" s="329" t="str">
        <f t="shared" si="348"/>
        <v>RT</v>
      </c>
      <c r="Y4138" s="1128" t="s">
        <v>3380</v>
      </c>
      <c r="Z4138" s="1128" t="s">
        <v>3381</v>
      </c>
      <c r="AA4138" s="1128" t="s">
        <v>3384</v>
      </c>
      <c r="AB4138" s="20"/>
      <c r="AC4138" s="73"/>
    </row>
    <row r="4139" spans="1:29">
      <c r="A4139" s="327" t="str">
        <f>IF(AND($B4139&lt;&gt;"",$C4139&lt;&gt;""),MAX($A$1556:A4114)+1,"")</f>
        <v/>
      </c>
      <c r="B4139" s="361" t="s">
        <v>2034</v>
      </c>
      <c r="C4139" s="360"/>
      <c r="D4139" s="327">
        <f>IF($B4139="","",COUNTIF($B$6:$B4139,$B4139))</f>
        <v>7</v>
      </c>
      <c r="E4139" s="430">
        <v>206898</v>
      </c>
      <c r="F4139" s="362" t="s">
        <v>1508</v>
      </c>
      <c r="G4139" s="327" t="s">
        <v>1497</v>
      </c>
      <c r="H4139" s="361"/>
      <c r="I4139" s="327">
        <v>2</v>
      </c>
      <c r="J4139" s="345"/>
      <c r="K4139" s="327"/>
      <c r="L4139" s="389">
        <f t="shared" si="346"/>
        <v>278422.2</v>
      </c>
      <c r="M4139" s="371"/>
      <c r="N4139" s="355" t="str">
        <f t="shared" si="347"/>
        <v>PK</v>
      </c>
      <c r="O4139" s="345"/>
      <c r="P4139" s="392"/>
      <c r="Q4139" s="392">
        <v>11.97</v>
      </c>
      <c r="R4139" s="441"/>
      <c r="S4139" s="351"/>
      <c r="T4139" s="351"/>
      <c r="U4139" s="329" t="str">
        <f>IF($N4139=$N$4,IFERROR(INDEX(DanhMuc!$E$154:$E$165,MATCH(MID($B4139,4,2),DanhMuc!$B$154:$B$165,0)),""),"")</f>
        <v/>
      </c>
      <c r="V4139" s="361"/>
      <c r="W4139" s="345"/>
      <c r="X4139" s="329" t="str">
        <f t="shared" si="348"/>
        <v>RT</v>
      </c>
      <c r="Y4139" s="1128" t="s">
        <v>3380</v>
      </c>
      <c r="Z4139" s="1128" t="s">
        <v>3381</v>
      </c>
      <c r="AA4139" s="1128" t="s">
        <v>3384</v>
      </c>
      <c r="AB4139" s="20"/>
      <c r="AC4139" s="73"/>
    </row>
    <row r="4140" spans="1:29" ht="25">
      <c r="A4140" s="327" t="str">
        <f>IF(AND($B4140&lt;&gt;"",$C4140&lt;&gt;""),MAX($A$1556:A4115)+1,"")</f>
        <v/>
      </c>
      <c r="B4140" s="361" t="s">
        <v>2034</v>
      </c>
      <c r="C4140" s="360"/>
      <c r="D4140" s="327">
        <f>IF($B4140="","",COUNTIF($B$6:$B4140,$B4140))</f>
        <v>8</v>
      </c>
      <c r="E4140" s="430">
        <v>626452</v>
      </c>
      <c r="F4140" s="362" t="s">
        <v>1509</v>
      </c>
      <c r="G4140" s="327" t="s">
        <v>344</v>
      </c>
      <c r="H4140" s="361"/>
      <c r="I4140" s="327">
        <v>1</v>
      </c>
      <c r="J4140" s="345"/>
      <c r="K4140" s="327"/>
      <c r="L4140" s="389">
        <f t="shared" si="346"/>
        <v>46752.6</v>
      </c>
      <c r="M4140" s="371"/>
      <c r="N4140" s="355" t="str">
        <f t="shared" si="347"/>
        <v>PK</v>
      </c>
      <c r="O4140" s="345"/>
      <c r="P4140" s="392"/>
      <c r="Q4140" s="392">
        <v>2.0099999999999998</v>
      </c>
      <c r="R4140" s="441"/>
      <c r="S4140" s="351"/>
      <c r="T4140" s="351"/>
      <c r="U4140" s="329" t="str">
        <f>IF($N4140=$N$4,IFERROR(INDEX(DanhMuc!$E$154:$E$165,MATCH(MID($B4140,4,2),DanhMuc!$B$154:$B$165,0)),""),"")</f>
        <v/>
      </c>
      <c r="V4140" s="361"/>
      <c r="W4140" s="345"/>
      <c r="X4140" s="329" t="str">
        <f t="shared" si="348"/>
        <v>RT</v>
      </c>
      <c r="Y4140" s="1128" t="s">
        <v>3380</v>
      </c>
      <c r="Z4140" s="1128" t="s">
        <v>3381</v>
      </c>
      <c r="AA4140" s="1128" t="s">
        <v>3384</v>
      </c>
      <c r="AB4140" s="20"/>
      <c r="AC4140" s="73"/>
    </row>
    <row r="4141" spans="1:29" ht="25">
      <c r="A4141" s="327" t="str">
        <f>IF(AND($B4141&lt;&gt;"",$C4141&lt;&gt;""),MAX($A$1556:A4116)+1,"")</f>
        <v/>
      </c>
      <c r="B4141" s="361" t="s">
        <v>2034</v>
      </c>
      <c r="C4141" s="360"/>
      <c r="D4141" s="327">
        <f>IF($B4141="","",COUNTIF($B$6:$B4141,$B4141))</f>
        <v>9</v>
      </c>
      <c r="E4141" s="430">
        <v>336451</v>
      </c>
      <c r="F4141" s="362" t="s">
        <v>1510</v>
      </c>
      <c r="G4141" s="327" t="s">
        <v>344</v>
      </c>
      <c r="H4141" s="361"/>
      <c r="I4141" s="327">
        <v>1</v>
      </c>
      <c r="J4141" s="345"/>
      <c r="K4141" s="327"/>
      <c r="L4141" s="389">
        <f t="shared" si="346"/>
        <v>188638.59999999998</v>
      </c>
      <c r="M4141" s="371"/>
      <c r="N4141" s="355" t="str">
        <f t="shared" si="347"/>
        <v>PK</v>
      </c>
      <c r="O4141" s="345"/>
      <c r="P4141" s="392"/>
      <c r="Q4141" s="392">
        <v>8.11</v>
      </c>
      <c r="R4141" s="441"/>
      <c r="S4141" s="351"/>
      <c r="T4141" s="351"/>
      <c r="U4141" s="329" t="str">
        <f>IF($N4141=$N$4,IFERROR(INDEX(DanhMuc!$E$154:$E$165,MATCH(MID($B4141,4,2),DanhMuc!$B$154:$B$165,0)),""),"")</f>
        <v/>
      </c>
      <c r="V4141" s="361"/>
      <c r="W4141" s="345"/>
      <c r="X4141" s="329" t="str">
        <f t="shared" si="348"/>
        <v>RT</v>
      </c>
      <c r="Y4141" s="1128" t="s">
        <v>3380</v>
      </c>
      <c r="Z4141" s="1128" t="s">
        <v>3381</v>
      </c>
      <c r="AA4141" s="1128" t="s">
        <v>3384</v>
      </c>
      <c r="AB4141" s="20"/>
      <c r="AC4141" s="73"/>
    </row>
    <row r="4142" spans="1:29" ht="25">
      <c r="A4142" s="327" t="str">
        <f>IF(AND($B4142&lt;&gt;"",$C4142&lt;&gt;""),MAX($A$1556:A4117)+1,"")</f>
        <v/>
      </c>
      <c r="B4142" s="361" t="s">
        <v>2034</v>
      </c>
      <c r="C4142" s="360"/>
      <c r="D4142" s="327">
        <f>IF($B4142="","",COUNTIF($B$6:$B4142,$B4142))</f>
        <v>10</v>
      </c>
      <c r="E4142" s="430">
        <v>312563</v>
      </c>
      <c r="F4142" s="362" t="s">
        <v>1511</v>
      </c>
      <c r="G4142" s="327" t="s">
        <v>344</v>
      </c>
      <c r="H4142" s="361"/>
      <c r="I4142" s="327">
        <v>1</v>
      </c>
      <c r="J4142" s="345"/>
      <c r="K4142" s="327"/>
      <c r="L4142" s="389">
        <f t="shared" si="346"/>
        <v>2584651.2000000002</v>
      </c>
      <c r="M4142" s="371"/>
      <c r="N4142" s="355" t="str">
        <f t="shared" si="347"/>
        <v>PK</v>
      </c>
      <c r="O4142" s="345"/>
      <c r="P4142" s="392"/>
      <c r="Q4142" s="392">
        <v>111.12</v>
      </c>
      <c r="R4142" s="441"/>
      <c r="S4142" s="351"/>
      <c r="T4142" s="351"/>
      <c r="U4142" s="329" t="str">
        <f>IF($N4142=$N$4,IFERROR(INDEX(DanhMuc!$E$154:$E$165,MATCH(MID($B4142,4,2),DanhMuc!$B$154:$B$165,0)),""),"")</f>
        <v/>
      </c>
      <c r="V4142" s="361"/>
      <c r="W4142" s="345"/>
      <c r="X4142" s="329" t="str">
        <f t="shared" si="348"/>
        <v>RT</v>
      </c>
      <c r="Y4142" s="1128" t="s">
        <v>3380</v>
      </c>
      <c r="Z4142" s="1128" t="s">
        <v>3381</v>
      </c>
      <c r="AA4142" s="1128" t="s">
        <v>3384</v>
      </c>
      <c r="AB4142" s="20"/>
      <c r="AC4142" s="73"/>
    </row>
    <row r="4143" spans="1:29">
      <c r="A4143" s="327" t="str">
        <f>IF(AND($B4143&lt;&gt;"",$C4143&lt;&gt;""),MAX($A$1556:A4118)+1,"")</f>
        <v/>
      </c>
      <c r="B4143" s="361" t="s">
        <v>2034</v>
      </c>
      <c r="C4143" s="360"/>
      <c r="D4143" s="327">
        <f>IF($B4143="","",COUNTIF($B$6:$B4143,$B4143))</f>
        <v>11</v>
      </c>
      <c r="E4143" s="430">
        <v>312566</v>
      </c>
      <c r="F4143" s="362" t="s">
        <v>1512</v>
      </c>
      <c r="G4143" s="327" t="s">
        <v>344</v>
      </c>
      <c r="H4143" s="361"/>
      <c r="I4143" s="327">
        <v>1</v>
      </c>
      <c r="J4143" s="345"/>
      <c r="K4143" s="327"/>
      <c r="L4143" s="389">
        <f t="shared" si="346"/>
        <v>2280410.4000000004</v>
      </c>
      <c r="M4143" s="371"/>
      <c r="N4143" s="355" t="str">
        <f t="shared" si="347"/>
        <v>PK</v>
      </c>
      <c r="O4143" s="345"/>
      <c r="P4143" s="392"/>
      <c r="Q4143" s="392">
        <v>98.04</v>
      </c>
      <c r="R4143" s="441"/>
      <c r="S4143" s="351"/>
      <c r="T4143" s="351"/>
      <c r="U4143" s="329" t="str">
        <f>IF($N4143=$N$4,IFERROR(INDEX(DanhMuc!$E$154:$E$165,MATCH(MID($B4143,4,2),DanhMuc!$B$154:$B$165,0)),""),"")</f>
        <v/>
      </c>
      <c r="V4143" s="361"/>
      <c r="W4143" s="345"/>
      <c r="X4143" s="329" t="str">
        <f t="shared" si="348"/>
        <v>RT</v>
      </c>
      <c r="Y4143" s="1128" t="s">
        <v>3380</v>
      </c>
      <c r="Z4143" s="1128" t="s">
        <v>3381</v>
      </c>
      <c r="AA4143" s="1128" t="s">
        <v>3384</v>
      </c>
      <c r="AB4143" s="20"/>
      <c r="AC4143" s="73"/>
    </row>
    <row r="4144" spans="1:29" ht="25">
      <c r="A4144" s="327" t="str">
        <f>IF(AND($B4144&lt;&gt;"",$C4144&lt;&gt;""),MAX($A$1556:A4119)+1,"")</f>
        <v/>
      </c>
      <c r="B4144" s="361" t="s">
        <v>2034</v>
      </c>
      <c r="C4144" s="360"/>
      <c r="D4144" s="327">
        <f>IF($B4144="","",COUNTIF($B$6:$B4144,$B4144))</f>
        <v>12</v>
      </c>
      <c r="E4144" s="430">
        <v>733375</v>
      </c>
      <c r="F4144" s="362" t="s">
        <v>1393</v>
      </c>
      <c r="G4144" s="327" t="s">
        <v>1498</v>
      </c>
      <c r="H4144" s="361"/>
      <c r="I4144" s="327">
        <v>1</v>
      </c>
      <c r="J4144" s="345"/>
      <c r="K4144" s="327"/>
      <c r="L4144" s="389">
        <f>+$L$3808*$Q4144/3</f>
        <v>278422.2</v>
      </c>
      <c r="M4144" s="371"/>
      <c r="N4144" s="355" t="str">
        <f t="shared" si="347"/>
        <v>PK</v>
      </c>
      <c r="O4144" s="345"/>
      <c r="P4144" s="392"/>
      <c r="Q4144" s="392">
        <v>35.909999999999997</v>
      </c>
      <c r="R4144" s="441"/>
      <c r="S4144" s="351"/>
      <c r="T4144" s="351"/>
      <c r="U4144" s="329" t="str">
        <f>IF($N4144=$N$4,IFERROR(INDEX(DanhMuc!$E$154:$E$165,MATCH(MID($B4144,4,2),DanhMuc!$B$154:$B$165,0)),""),"")</f>
        <v/>
      </c>
      <c r="V4144" s="361"/>
      <c r="W4144" s="345"/>
      <c r="X4144" s="329" t="str">
        <f t="shared" si="348"/>
        <v>RT</v>
      </c>
      <c r="Y4144" s="1128" t="s">
        <v>3380</v>
      </c>
      <c r="Z4144" s="1128" t="s">
        <v>3381</v>
      </c>
      <c r="AA4144" s="1128" t="s">
        <v>3384</v>
      </c>
      <c r="AB4144" s="20"/>
      <c r="AC4144" s="73"/>
    </row>
    <row r="4145" spans="1:29" ht="25">
      <c r="A4145" s="327" t="str">
        <f>IF(AND($B4145&lt;&gt;"",$C4145&lt;&gt;""),MAX($A$1556:A4120)+1,"")</f>
        <v/>
      </c>
      <c r="B4145" s="361" t="s">
        <v>2034</v>
      </c>
      <c r="C4145" s="360"/>
      <c r="D4145" s="327">
        <f>IF($B4145="","",COUNTIF($B$6:$B4145,$B4145))</f>
        <v>13</v>
      </c>
      <c r="E4145" s="430">
        <v>734361</v>
      </c>
      <c r="F4145" s="362" t="s">
        <v>1513</v>
      </c>
      <c r="G4145" s="327" t="s">
        <v>1498</v>
      </c>
      <c r="H4145" s="361"/>
      <c r="I4145" s="327">
        <v>2</v>
      </c>
      <c r="J4145" s="345"/>
      <c r="K4145" s="327"/>
      <c r="L4145" s="389">
        <f t="shared" si="346"/>
        <v>928074</v>
      </c>
      <c r="M4145" s="371"/>
      <c r="N4145" s="355" t="str">
        <f t="shared" si="347"/>
        <v>PK</v>
      </c>
      <c r="O4145" s="345"/>
      <c r="P4145" s="392"/>
      <c r="Q4145" s="392">
        <v>39.9</v>
      </c>
      <c r="R4145" s="441"/>
      <c r="S4145" s="351"/>
      <c r="T4145" s="351"/>
      <c r="U4145" s="329" t="str">
        <f>IF($N4145=$N$4,IFERROR(INDEX(DanhMuc!$E$154:$E$165,MATCH(MID($B4145,4,2),DanhMuc!$B$154:$B$165,0)),""),"")</f>
        <v/>
      </c>
      <c r="V4145" s="361"/>
      <c r="W4145" s="345"/>
      <c r="X4145" s="329" t="str">
        <f t="shared" si="348"/>
        <v>RT</v>
      </c>
      <c r="Y4145" s="1128" t="s">
        <v>3380</v>
      </c>
      <c r="Z4145" s="1128" t="s">
        <v>3381</v>
      </c>
      <c r="AA4145" s="1128" t="s">
        <v>3384</v>
      </c>
      <c r="AB4145" s="20"/>
      <c r="AC4145" s="73"/>
    </row>
    <row r="4146" spans="1:29" ht="25">
      <c r="A4146" s="327" t="str">
        <f>IF(AND($B4146&lt;&gt;"",$C4146&lt;&gt;""),MAX($A$1556:A4121)+1,"")</f>
        <v/>
      </c>
      <c r="B4146" s="361" t="s">
        <v>2034</v>
      </c>
      <c r="C4146" s="360"/>
      <c r="D4146" s="327">
        <f>IF($B4146="","",COUNTIF($B$6:$B4146,$B4146))</f>
        <v>14</v>
      </c>
      <c r="E4146" s="430">
        <v>733369</v>
      </c>
      <c r="F4146" s="362" t="s">
        <v>1395</v>
      </c>
      <c r="G4146" s="327" t="s">
        <v>1498</v>
      </c>
      <c r="H4146" s="361"/>
      <c r="I4146" s="327">
        <v>3</v>
      </c>
      <c r="J4146" s="345"/>
      <c r="K4146" s="327"/>
      <c r="L4146" s="389">
        <f>+$L$3808*$Q4146/3</f>
        <v>188793.66666666666</v>
      </c>
      <c r="M4146" s="371"/>
      <c r="N4146" s="355" t="str">
        <f t="shared" si="347"/>
        <v>PK</v>
      </c>
      <c r="O4146" s="345"/>
      <c r="P4146" s="392"/>
      <c r="Q4146" s="392">
        <v>24.35</v>
      </c>
      <c r="R4146" s="441"/>
      <c r="S4146" s="351"/>
      <c r="T4146" s="351"/>
      <c r="U4146" s="329" t="str">
        <f>IF($N4146=$N$4,IFERROR(INDEX(DanhMuc!$E$154:$E$165,MATCH(MID($B4146,4,2),DanhMuc!$B$154:$B$165,0)),""),"")</f>
        <v/>
      </c>
      <c r="V4146" s="361"/>
      <c r="W4146" s="345"/>
      <c r="X4146" s="329" t="str">
        <f t="shared" si="348"/>
        <v>RT</v>
      </c>
      <c r="Y4146" s="1128" t="s">
        <v>3380</v>
      </c>
      <c r="Z4146" s="1128" t="s">
        <v>3381</v>
      </c>
      <c r="AA4146" s="1128" t="s">
        <v>3384</v>
      </c>
      <c r="AB4146" s="20"/>
      <c r="AC4146" s="73"/>
    </row>
    <row r="4147" spans="1:29">
      <c r="A4147" s="327" t="str">
        <f>IF(AND($B4147&lt;&gt;"",$C4147&lt;&gt;""),MAX($A$1556:A4122)+1,"")</f>
        <v/>
      </c>
      <c r="B4147" s="361" t="s">
        <v>2034</v>
      </c>
      <c r="C4147" s="360"/>
      <c r="D4147" s="327">
        <f>IF($B4147="","",COUNTIF($B$6:$B4147,$B4147))</f>
        <v>15</v>
      </c>
      <c r="E4147" s="430">
        <v>734492</v>
      </c>
      <c r="F4147" s="362" t="s">
        <v>1514</v>
      </c>
      <c r="G4147" s="327" t="s">
        <v>1498</v>
      </c>
      <c r="H4147" s="361"/>
      <c r="I4147" s="327">
        <v>3</v>
      </c>
      <c r="J4147" s="345"/>
      <c r="K4147" s="327"/>
      <c r="L4147" s="389">
        <f t="shared" si="346"/>
        <v>928074</v>
      </c>
      <c r="M4147" s="371"/>
      <c r="N4147" s="355" t="str">
        <f t="shared" si="347"/>
        <v>PK</v>
      </c>
      <c r="O4147" s="345"/>
      <c r="P4147" s="392"/>
      <c r="Q4147" s="392">
        <v>39.9</v>
      </c>
      <c r="R4147" s="441"/>
      <c r="S4147" s="351"/>
      <c r="T4147" s="351"/>
      <c r="U4147" s="329" t="str">
        <f>IF($N4147=$N$4,IFERROR(INDEX(DanhMuc!$E$154:$E$165,MATCH(MID($B4147,4,2),DanhMuc!$B$154:$B$165,0)),""),"")</f>
        <v/>
      </c>
      <c r="V4147" s="361"/>
      <c r="W4147" s="345"/>
      <c r="X4147" s="329" t="str">
        <f t="shared" si="348"/>
        <v>RT</v>
      </c>
      <c r="Y4147" s="1128" t="s">
        <v>3380</v>
      </c>
      <c r="Z4147" s="1128" t="s">
        <v>3381</v>
      </c>
      <c r="AA4147" s="1128" t="s">
        <v>3384</v>
      </c>
      <c r="AB4147" s="20"/>
      <c r="AC4147" s="73"/>
    </row>
    <row r="4148" spans="1:29" ht="25">
      <c r="A4148" s="327" t="str">
        <f>IF(AND($B4148&lt;&gt;"",$C4148&lt;&gt;""),MAX($A$1556:A4123)+1,"")</f>
        <v/>
      </c>
      <c r="B4148" s="361" t="s">
        <v>2034</v>
      </c>
      <c r="C4148" s="360"/>
      <c r="D4148" s="327">
        <f>IF($B4148="","",COUNTIF($B$6:$B4148,$B4148))</f>
        <v>16</v>
      </c>
      <c r="E4148" s="430">
        <v>312831</v>
      </c>
      <c r="F4148" s="431" t="s">
        <v>1515</v>
      </c>
      <c r="G4148" s="327" t="s">
        <v>1498</v>
      </c>
      <c r="H4148" s="361"/>
      <c r="I4148" s="327">
        <v>3</v>
      </c>
      <c r="J4148" s="345"/>
      <c r="K4148" s="327"/>
      <c r="L4148" s="389">
        <f>+$L$3808*$Q4148/3</f>
        <v>15584.199999999999</v>
      </c>
      <c r="M4148" s="371"/>
      <c r="N4148" s="355" t="str">
        <f t="shared" si="347"/>
        <v>PK</v>
      </c>
      <c r="O4148" s="345"/>
      <c r="P4148" s="392"/>
      <c r="Q4148" s="392">
        <v>2.0099999999999998</v>
      </c>
      <c r="R4148" s="441"/>
      <c r="S4148" s="351"/>
      <c r="T4148" s="351"/>
      <c r="U4148" s="329" t="str">
        <f>IF($N4148=$N$4,IFERROR(INDEX(DanhMuc!$E$154:$E$165,MATCH(MID($B4148,4,2),DanhMuc!$B$154:$B$165,0)),""),"")</f>
        <v/>
      </c>
      <c r="V4148" s="361"/>
      <c r="W4148" s="345"/>
      <c r="X4148" s="329" t="str">
        <f t="shared" si="348"/>
        <v>RT</v>
      </c>
      <c r="Y4148" s="1128" t="s">
        <v>3380</v>
      </c>
      <c r="Z4148" s="1128" t="s">
        <v>3381</v>
      </c>
      <c r="AA4148" s="1128" t="s">
        <v>3384</v>
      </c>
      <c r="AB4148" s="20"/>
      <c r="AC4148" s="73"/>
    </row>
    <row r="4149" spans="1:29">
      <c r="A4149" s="327" t="str">
        <f>IF(AND($B4149&lt;&gt;"",$C4149&lt;&gt;""),MAX($A$1556:A4124)+1,"")</f>
        <v/>
      </c>
      <c r="B4149" s="361" t="s">
        <v>2034</v>
      </c>
      <c r="C4149" s="360"/>
      <c r="D4149" s="327">
        <f>IF($B4149="","",COUNTIF($B$6:$B4149,$B4149))</f>
        <v>17</v>
      </c>
      <c r="E4149" s="430">
        <v>340208</v>
      </c>
      <c r="F4149" s="431" t="s">
        <v>1516</v>
      </c>
      <c r="G4149" s="327" t="s">
        <v>344</v>
      </c>
      <c r="H4149" s="361"/>
      <c r="I4149" s="327">
        <v>2</v>
      </c>
      <c r="J4149" s="345"/>
      <c r="K4149" s="327"/>
      <c r="L4149" s="389">
        <f t="shared" si="346"/>
        <v>238647.6</v>
      </c>
      <c r="M4149" s="371"/>
      <c r="N4149" s="355" t="str">
        <f t="shared" si="347"/>
        <v>PK</v>
      </c>
      <c r="O4149" s="345"/>
      <c r="P4149" s="392"/>
      <c r="Q4149" s="392">
        <v>10.26</v>
      </c>
      <c r="R4149" s="441"/>
      <c r="S4149" s="351"/>
      <c r="T4149" s="351"/>
      <c r="U4149" s="329" t="str">
        <f>IF($N4149=$N$4,IFERROR(INDEX(DanhMuc!$E$154:$E$165,MATCH(MID($B4149,4,2),DanhMuc!$B$154:$B$165,0)),""),"")</f>
        <v/>
      </c>
      <c r="V4149" s="361"/>
      <c r="W4149" s="345"/>
      <c r="X4149" s="329" t="str">
        <f t="shared" si="348"/>
        <v>RT</v>
      </c>
      <c r="Y4149" s="1128" t="s">
        <v>3380</v>
      </c>
      <c r="Z4149" s="1128" t="s">
        <v>3381</v>
      </c>
      <c r="AA4149" s="1128" t="s">
        <v>3384</v>
      </c>
      <c r="AB4149" s="20"/>
      <c r="AC4149" s="73"/>
    </row>
    <row r="4150" spans="1:29" ht="39">
      <c r="A4150" s="327">
        <f>IF(AND($B4150&lt;&gt;"",$C4150&lt;&gt;""),MAX($A$1556:A4125)+1,"")</f>
        <v>193</v>
      </c>
      <c r="B4150" s="359" t="s">
        <v>2035</v>
      </c>
      <c r="C4150" s="370" t="s">
        <v>1580</v>
      </c>
      <c r="D4150" s="327">
        <f>IF($B4150="","",COUNTIF($B$6:$B4150,$B4150))</f>
        <v>1</v>
      </c>
      <c r="E4150" s="411">
        <v>571419</v>
      </c>
      <c r="F4150" s="403" t="s">
        <v>1502</v>
      </c>
      <c r="G4150" s="410" t="s">
        <v>1494</v>
      </c>
      <c r="H4150" s="402"/>
      <c r="I4150" s="402" t="s">
        <v>1499</v>
      </c>
      <c r="J4150" s="361"/>
      <c r="K4150" s="327"/>
      <c r="L4150" s="389">
        <f t="shared" si="346"/>
        <v>1392111</v>
      </c>
      <c r="M4150" s="371"/>
      <c r="N4150" s="355" t="str">
        <f t="shared" si="347"/>
        <v>PK</v>
      </c>
      <c r="O4150" s="345"/>
      <c r="P4150" s="392"/>
      <c r="Q4150" s="392">
        <v>59.85</v>
      </c>
      <c r="R4150" s="441"/>
      <c r="S4150" s="351"/>
      <c r="T4150" s="351"/>
      <c r="U4150" s="329" t="str">
        <f>IF($N4150=$N$4,IFERROR(INDEX(DanhMuc!$E$154:$E$165,MATCH(MID($B4150,4,2),DanhMuc!$B$154:$B$165,0)),""),"")</f>
        <v/>
      </c>
      <c r="V4150" s="361"/>
      <c r="W4150" s="345"/>
      <c r="X4150" s="329" t="str">
        <f t="shared" si="348"/>
        <v>RT</v>
      </c>
      <c r="Y4150" s="1128" t="s">
        <v>3380</v>
      </c>
      <c r="Z4150" s="1128" t="s">
        <v>3381</v>
      </c>
      <c r="AA4150" s="1128" t="s">
        <v>3384</v>
      </c>
      <c r="AB4150" s="20"/>
      <c r="AC4150" s="73"/>
    </row>
    <row r="4151" spans="1:29">
      <c r="A4151" s="327" t="str">
        <f>IF(AND($B4151&lt;&gt;"",$C4151&lt;&gt;""),MAX($A$1556:A4126)+1,"")</f>
        <v/>
      </c>
      <c r="B4151" s="361" t="s">
        <v>2035</v>
      </c>
      <c r="C4151" s="360"/>
      <c r="D4151" s="327">
        <f>IF($B4151="","",COUNTIF($B$6:$B4151,$B4151))</f>
        <v>2</v>
      </c>
      <c r="E4151" s="411">
        <v>571420</v>
      </c>
      <c r="F4151" s="403" t="s">
        <v>1503</v>
      </c>
      <c r="G4151" s="410" t="s">
        <v>1495</v>
      </c>
      <c r="H4151" s="402"/>
      <c r="I4151" s="402" t="s">
        <v>1500</v>
      </c>
      <c r="J4151" s="361"/>
      <c r="K4151" s="327"/>
      <c r="L4151" s="389">
        <f t="shared" si="346"/>
        <v>1639364.8</v>
      </c>
      <c r="M4151" s="371"/>
      <c r="N4151" s="355" t="str">
        <f t="shared" si="347"/>
        <v>PK</v>
      </c>
      <c r="O4151" s="345"/>
      <c r="P4151" s="392"/>
      <c r="Q4151" s="392">
        <v>70.48</v>
      </c>
      <c r="R4151" s="441"/>
      <c r="S4151" s="351"/>
      <c r="T4151" s="351"/>
      <c r="U4151" s="329" t="str">
        <f>IF($N4151=$N$4,IFERROR(INDEX(DanhMuc!$E$154:$E$165,MATCH(MID($B4151,4,2),DanhMuc!$B$154:$B$165,0)),""),"")</f>
        <v/>
      </c>
      <c r="V4151" s="361"/>
      <c r="W4151" s="345"/>
      <c r="X4151" s="329" t="str">
        <f t="shared" si="348"/>
        <v>RT</v>
      </c>
      <c r="Y4151" s="1128" t="s">
        <v>3380</v>
      </c>
      <c r="Z4151" s="1128" t="s">
        <v>3381</v>
      </c>
      <c r="AA4151" s="1128" t="s">
        <v>3384</v>
      </c>
      <c r="AB4151" s="20"/>
      <c r="AC4151" s="73"/>
    </row>
    <row r="4152" spans="1:29">
      <c r="A4152" s="327" t="str">
        <f>IF(AND($B4152&lt;&gt;"",$C4152&lt;&gt;""),MAX($A$1556:A4127)+1,"")</f>
        <v/>
      </c>
      <c r="B4152" s="361" t="s">
        <v>2035</v>
      </c>
      <c r="C4152" s="360"/>
      <c r="D4152" s="327">
        <f>IF($B4152="","",COUNTIF($B$6:$B4152,$B4152))</f>
        <v>3</v>
      </c>
      <c r="E4152" s="411">
        <v>614284</v>
      </c>
      <c r="F4152" s="403" t="s">
        <v>1504</v>
      </c>
      <c r="G4152" s="410" t="s">
        <v>1496</v>
      </c>
      <c r="H4152" s="402"/>
      <c r="I4152" s="402" t="s">
        <v>1501</v>
      </c>
      <c r="J4152" s="361"/>
      <c r="K4152" s="327"/>
      <c r="L4152" s="389">
        <f t="shared" si="346"/>
        <v>2226912.4</v>
      </c>
      <c r="M4152" s="371"/>
      <c r="N4152" s="355" t="str">
        <f t="shared" si="347"/>
        <v>PK</v>
      </c>
      <c r="O4152" s="345"/>
      <c r="P4152" s="392"/>
      <c r="Q4152" s="392">
        <v>95.74</v>
      </c>
      <c r="R4152" s="441"/>
      <c r="S4152" s="351"/>
      <c r="T4152" s="351"/>
      <c r="U4152" s="329" t="str">
        <f>IF($N4152=$N$4,IFERROR(INDEX(DanhMuc!$E$154:$E$165,MATCH(MID($B4152,4,2),DanhMuc!$B$154:$B$165,0)),""),"")</f>
        <v/>
      </c>
      <c r="V4152" s="361"/>
      <c r="W4152" s="345"/>
      <c r="X4152" s="329" t="str">
        <f t="shared" si="348"/>
        <v>RT</v>
      </c>
      <c r="Y4152" s="1128" t="s">
        <v>3380</v>
      </c>
      <c r="Z4152" s="1128" t="s">
        <v>3381</v>
      </c>
      <c r="AA4152" s="1128" t="s">
        <v>3384</v>
      </c>
      <c r="AB4152" s="20"/>
      <c r="AC4152" s="73"/>
    </row>
    <row r="4153" spans="1:29" ht="25">
      <c r="A4153" s="327" t="str">
        <f>IF(AND($B4153&lt;&gt;"",$C4153&lt;&gt;""),MAX($A$1556:A4128)+1,"")</f>
        <v/>
      </c>
      <c r="B4153" s="361" t="s">
        <v>2035</v>
      </c>
      <c r="C4153" s="360"/>
      <c r="D4153" s="327">
        <f>IF($B4153="","",COUNTIF($B$6:$B4153,$B4153))</f>
        <v>4</v>
      </c>
      <c r="E4153" s="600">
        <v>570929</v>
      </c>
      <c r="F4153" s="601" t="s">
        <v>1505</v>
      </c>
      <c r="G4153" s="602" t="s">
        <v>1494</v>
      </c>
      <c r="H4153" s="603"/>
      <c r="I4153" s="603" t="s">
        <v>1499</v>
      </c>
      <c r="J4153" s="361"/>
      <c r="K4153" s="327"/>
      <c r="L4153" s="389">
        <f t="shared" si="346"/>
        <v>2629077.7999999998</v>
      </c>
      <c r="M4153" s="371"/>
      <c r="N4153" s="355" t="str">
        <f t="shared" si="347"/>
        <v>PK</v>
      </c>
      <c r="O4153" s="345"/>
      <c r="P4153" s="392"/>
      <c r="Q4153" s="392">
        <v>113.03</v>
      </c>
      <c r="R4153" s="441"/>
      <c r="S4153" s="351"/>
      <c r="T4153" s="351"/>
      <c r="U4153" s="329" t="str">
        <f>IF($N4153=$N$4,IFERROR(INDEX(DanhMuc!$E$154:$E$165,MATCH(MID($B4153,4,2),DanhMuc!$B$154:$B$165,0)),""),"")</f>
        <v/>
      </c>
      <c r="V4153" s="361"/>
      <c r="W4153" s="345"/>
      <c r="X4153" s="329" t="str">
        <f t="shared" si="348"/>
        <v>RT</v>
      </c>
      <c r="Y4153" s="1128" t="s">
        <v>3380</v>
      </c>
      <c r="Z4153" s="1128" t="s">
        <v>3381</v>
      </c>
      <c r="AA4153" s="1128" t="s">
        <v>3384</v>
      </c>
      <c r="AB4153" s="20"/>
      <c r="AC4153" s="73"/>
    </row>
    <row r="4154" spans="1:29" ht="25">
      <c r="A4154" s="327" t="str">
        <f>IF(AND($B4154&lt;&gt;"",$C4154&lt;&gt;""),MAX($A$1556:A4129)+1,"")</f>
        <v/>
      </c>
      <c r="B4154" s="361" t="s">
        <v>2035</v>
      </c>
      <c r="C4154" s="360"/>
      <c r="D4154" s="327">
        <f>IF($B4154="","",COUNTIF($B$6:$B4154,$B4154))</f>
        <v>5</v>
      </c>
      <c r="E4154" s="600">
        <v>570930</v>
      </c>
      <c r="F4154" s="601" t="s">
        <v>1506</v>
      </c>
      <c r="G4154" s="602" t="s">
        <v>1495</v>
      </c>
      <c r="H4154" s="603"/>
      <c r="I4154" s="603" t="s">
        <v>1500</v>
      </c>
      <c r="J4154" s="361"/>
      <c r="K4154" s="327"/>
      <c r="L4154" s="389">
        <f t="shared" si="346"/>
        <v>3402240.2</v>
      </c>
      <c r="M4154" s="371"/>
      <c r="N4154" s="355" t="str">
        <f t="shared" si="347"/>
        <v>PK</v>
      </c>
      <c r="O4154" s="345"/>
      <c r="P4154" s="392"/>
      <c r="Q4154" s="392">
        <v>146.27000000000001</v>
      </c>
      <c r="R4154" s="441"/>
      <c r="S4154" s="351"/>
      <c r="T4154" s="351"/>
      <c r="U4154" s="329" t="str">
        <f>IF($N4154=$N$4,IFERROR(INDEX(DanhMuc!$E$154:$E$165,MATCH(MID($B4154,4,2),DanhMuc!$B$154:$B$165,0)),""),"")</f>
        <v/>
      </c>
      <c r="V4154" s="361"/>
      <c r="W4154" s="345"/>
      <c r="X4154" s="329" t="str">
        <f t="shared" si="348"/>
        <v>RT</v>
      </c>
      <c r="Y4154" s="1128" t="s">
        <v>3380</v>
      </c>
      <c r="Z4154" s="1128" t="s">
        <v>3381</v>
      </c>
      <c r="AA4154" s="1128" t="s">
        <v>3384</v>
      </c>
      <c r="AB4154" s="20"/>
      <c r="AC4154" s="73"/>
    </row>
    <row r="4155" spans="1:29">
      <c r="A4155" s="327" t="str">
        <f>IF(AND($B4155&lt;&gt;"",$C4155&lt;&gt;""),MAX($A$1556:A4130)+1,"")</f>
        <v/>
      </c>
      <c r="B4155" s="361" t="s">
        <v>2035</v>
      </c>
      <c r="C4155" s="360"/>
      <c r="D4155" s="327">
        <f>IF($B4155="","",COUNTIF($B$6:$B4155,$B4155))</f>
        <v>6</v>
      </c>
      <c r="E4155" s="600">
        <v>614283</v>
      </c>
      <c r="F4155" s="601" t="s">
        <v>1507</v>
      </c>
      <c r="G4155" s="602" t="s">
        <v>1496</v>
      </c>
      <c r="H4155" s="603"/>
      <c r="I4155" s="603" t="s">
        <v>1501</v>
      </c>
      <c r="J4155" s="361"/>
      <c r="K4155" s="327"/>
      <c r="L4155" s="389">
        <f t="shared" si="346"/>
        <v>4330081.5999999996</v>
      </c>
      <c r="M4155" s="371"/>
      <c r="N4155" s="355" t="str">
        <f t="shared" si="347"/>
        <v>PK</v>
      </c>
      <c r="O4155" s="345"/>
      <c r="P4155" s="392"/>
      <c r="Q4155" s="392">
        <v>186.16</v>
      </c>
      <c r="R4155" s="441"/>
      <c r="S4155" s="351"/>
      <c r="T4155" s="351"/>
      <c r="U4155" s="329" t="str">
        <f>IF($N4155=$N$4,IFERROR(INDEX(DanhMuc!$E$154:$E$165,MATCH(MID($B4155,4,2),DanhMuc!$B$154:$B$165,0)),""),"")</f>
        <v/>
      </c>
      <c r="V4155" s="361"/>
      <c r="W4155" s="345"/>
      <c r="X4155" s="329" t="str">
        <f t="shared" si="348"/>
        <v>RT</v>
      </c>
      <c r="Y4155" s="1128" t="s">
        <v>3380</v>
      </c>
      <c r="Z4155" s="1128" t="s">
        <v>3381</v>
      </c>
      <c r="AA4155" s="1128" t="s">
        <v>3384</v>
      </c>
      <c r="AB4155" s="20"/>
      <c r="AC4155" s="73"/>
    </row>
    <row r="4156" spans="1:29">
      <c r="A4156" s="327" t="str">
        <f>IF(AND($B4156&lt;&gt;"",$C4156&lt;&gt;""),MAX($A$1556:A4131)+1,"")</f>
        <v/>
      </c>
      <c r="B4156" s="361" t="s">
        <v>2035</v>
      </c>
      <c r="C4156" s="360"/>
      <c r="D4156" s="327">
        <f>IF($B4156="","",COUNTIF($B$6:$B4156,$B4156))</f>
        <v>7</v>
      </c>
      <c r="E4156" s="430">
        <v>206898</v>
      </c>
      <c r="F4156" s="362" t="s">
        <v>1508</v>
      </c>
      <c r="G4156" s="327" t="s">
        <v>1497</v>
      </c>
      <c r="H4156" s="361"/>
      <c r="I4156" s="327">
        <v>2</v>
      </c>
      <c r="J4156" s="345"/>
      <c r="K4156" s="327"/>
      <c r="L4156" s="389">
        <f t="shared" si="346"/>
        <v>278422.2</v>
      </c>
      <c r="M4156" s="371"/>
      <c r="N4156" s="355" t="str">
        <f t="shared" si="347"/>
        <v>PK</v>
      </c>
      <c r="O4156" s="345"/>
      <c r="P4156" s="392"/>
      <c r="Q4156" s="392">
        <v>11.97</v>
      </c>
      <c r="R4156" s="441"/>
      <c r="S4156" s="351"/>
      <c r="T4156" s="351"/>
      <c r="U4156" s="329" t="str">
        <f>IF($N4156=$N$4,IFERROR(INDEX(DanhMuc!$E$154:$E$165,MATCH(MID($B4156,4,2),DanhMuc!$B$154:$B$165,0)),""),"")</f>
        <v/>
      </c>
      <c r="V4156" s="361"/>
      <c r="W4156" s="345"/>
      <c r="X4156" s="329" t="str">
        <f t="shared" si="348"/>
        <v>RT</v>
      </c>
      <c r="Y4156" s="1128" t="s">
        <v>3380</v>
      </c>
      <c r="Z4156" s="1128" t="s">
        <v>3381</v>
      </c>
      <c r="AA4156" s="1128" t="s">
        <v>3384</v>
      </c>
      <c r="AB4156" s="20"/>
      <c r="AC4156" s="73"/>
    </row>
    <row r="4157" spans="1:29" ht="25">
      <c r="A4157" s="327" t="str">
        <f>IF(AND($B4157&lt;&gt;"",$C4157&lt;&gt;""),MAX($A$1556:A4132)+1,"")</f>
        <v/>
      </c>
      <c r="B4157" s="361" t="s">
        <v>2035</v>
      </c>
      <c r="C4157" s="360"/>
      <c r="D4157" s="327">
        <f>IF($B4157="","",COUNTIF($B$6:$B4157,$B4157))</f>
        <v>8</v>
      </c>
      <c r="E4157" s="430">
        <v>626452</v>
      </c>
      <c r="F4157" s="362" t="s">
        <v>1509</v>
      </c>
      <c r="G4157" s="327" t="s">
        <v>344</v>
      </c>
      <c r="H4157" s="361"/>
      <c r="I4157" s="327">
        <v>1</v>
      </c>
      <c r="J4157" s="345"/>
      <c r="K4157" s="327"/>
      <c r="L4157" s="389">
        <f t="shared" si="346"/>
        <v>46752.6</v>
      </c>
      <c r="M4157" s="371"/>
      <c r="N4157" s="355" t="str">
        <f t="shared" si="347"/>
        <v>PK</v>
      </c>
      <c r="O4157" s="345"/>
      <c r="P4157" s="392"/>
      <c r="Q4157" s="392">
        <v>2.0099999999999998</v>
      </c>
      <c r="R4157" s="441"/>
      <c r="S4157" s="351"/>
      <c r="T4157" s="351"/>
      <c r="U4157" s="329" t="str">
        <f>IF($N4157=$N$4,IFERROR(INDEX(DanhMuc!$E$154:$E$165,MATCH(MID($B4157,4,2),DanhMuc!$B$154:$B$165,0)),""),"")</f>
        <v/>
      </c>
      <c r="V4157" s="361"/>
      <c r="W4157" s="345"/>
      <c r="X4157" s="329" t="str">
        <f t="shared" si="348"/>
        <v>RT</v>
      </c>
      <c r="Y4157" s="1128" t="s">
        <v>3380</v>
      </c>
      <c r="Z4157" s="1128" t="s">
        <v>3381</v>
      </c>
      <c r="AA4157" s="1128" t="s">
        <v>3384</v>
      </c>
      <c r="AB4157" s="20"/>
      <c r="AC4157" s="73"/>
    </row>
    <row r="4158" spans="1:29" ht="25">
      <c r="A4158" s="327" t="str">
        <f>IF(AND($B4158&lt;&gt;"",$C4158&lt;&gt;""),MAX($A$1556:A4133)+1,"")</f>
        <v/>
      </c>
      <c r="B4158" s="361" t="s">
        <v>2035</v>
      </c>
      <c r="C4158" s="360"/>
      <c r="D4158" s="327">
        <f>IF($B4158="","",COUNTIF($B$6:$B4158,$B4158))</f>
        <v>9</v>
      </c>
      <c r="E4158" s="430">
        <v>336451</v>
      </c>
      <c r="F4158" s="362" t="s">
        <v>1510</v>
      </c>
      <c r="G4158" s="327" t="s">
        <v>344</v>
      </c>
      <c r="H4158" s="361"/>
      <c r="I4158" s="327">
        <v>1</v>
      </c>
      <c r="J4158" s="345"/>
      <c r="K4158" s="327"/>
      <c r="L4158" s="389">
        <f t="shared" si="346"/>
        <v>188638.59999999998</v>
      </c>
      <c r="M4158" s="371"/>
      <c r="N4158" s="355" t="str">
        <f t="shared" si="347"/>
        <v>PK</v>
      </c>
      <c r="O4158" s="345"/>
      <c r="P4158" s="392"/>
      <c r="Q4158" s="392">
        <v>8.11</v>
      </c>
      <c r="R4158" s="441"/>
      <c r="S4158" s="351"/>
      <c r="T4158" s="351"/>
      <c r="U4158" s="329" t="str">
        <f>IF($N4158=$N$4,IFERROR(INDEX(DanhMuc!$E$154:$E$165,MATCH(MID($B4158,4,2),DanhMuc!$B$154:$B$165,0)),""),"")</f>
        <v/>
      </c>
      <c r="V4158" s="361"/>
      <c r="W4158" s="345"/>
      <c r="X4158" s="329" t="str">
        <f t="shared" si="348"/>
        <v>RT</v>
      </c>
      <c r="Y4158" s="1128" t="s">
        <v>3380</v>
      </c>
      <c r="Z4158" s="1128" t="s">
        <v>3381</v>
      </c>
      <c r="AA4158" s="1128" t="s">
        <v>3384</v>
      </c>
      <c r="AB4158" s="20"/>
      <c r="AC4158" s="73"/>
    </row>
    <row r="4159" spans="1:29" ht="25">
      <c r="A4159" s="327" t="str">
        <f>IF(AND($B4159&lt;&gt;"",$C4159&lt;&gt;""),MAX($A$1556:A4134)+1,"")</f>
        <v/>
      </c>
      <c r="B4159" s="361" t="s">
        <v>2035</v>
      </c>
      <c r="C4159" s="360"/>
      <c r="D4159" s="327">
        <f>IF($B4159="","",COUNTIF($B$6:$B4159,$B4159))</f>
        <v>10</v>
      </c>
      <c r="E4159" s="430">
        <v>312563</v>
      </c>
      <c r="F4159" s="362" t="s">
        <v>1511</v>
      </c>
      <c r="G4159" s="327" t="s">
        <v>344</v>
      </c>
      <c r="H4159" s="361"/>
      <c r="I4159" s="327">
        <v>1</v>
      </c>
      <c r="J4159" s="345"/>
      <c r="K4159" s="327"/>
      <c r="L4159" s="389">
        <f t="shared" si="346"/>
        <v>2584651.2000000002</v>
      </c>
      <c r="M4159" s="371"/>
      <c r="N4159" s="355" t="str">
        <f t="shared" si="347"/>
        <v>PK</v>
      </c>
      <c r="O4159" s="345"/>
      <c r="P4159" s="392"/>
      <c r="Q4159" s="392">
        <v>111.12</v>
      </c>
      <c r="R4159" s="441"/>
      <c r="S4159" s="351"/>
      <c r="T4159" s="351"/>
      <c r="U4159" s="329" t="str">
        <f>IF($N4159=$N$4,IFERROR(INDEX(DanhMuc!$E$154:$E$165,MATCH(MID($B4159,4,2),DanhMuc!$B$154:$B$165,0)),""),"")</f>
        <v/>
      </c>
      <c r="V4159" s="361"/>
      <c r="W4159" s="345"/>
      <c r="X4159" s="329" t="str">
        <f t="shared" si="348"/>
        <v>RT</v>
      </c>
      <c r="Y4159" s="1128" t="s">
        <v>3380</v>
      </c>
      <c r="Z4159" s="1128" t="s">
        <v>3381</v>
      </c>
      <c r="AA4159" s="1128" t="s">
        <v>3384</v>
      </c>
      <c r="AB4159" s="20"/>
      <c r="AC4159" s="73"/>
    </row>
    <row r="4160" spans="1:29">
      <c r="A4160" s="327" t="str">
        <f>IF(AND($B4160&lt;&gt;"",$C4160&lt;&gt;""),MAX($A$1556:A4135)+1,"")</f>
        <v/>
      </c>
      <c r="B4160" s="361" t="s">
        <v>2035</v>
      </c>
      <c r="C4160" s="360"/>
      <c r="D4160" s="327">
        <f>IF($B4160="","",COUNTIF($B$6:$B4160,$B4160))</f>
        <v>11</v>
      </c>
      <c r="E4160" s="430">
        <v>312566</v>
      </c>
      <c r="F4160" s="362" t="s">
        <v>1512</v>
      </c>
      <c r="G4160" s="327" t="s">
        <v>344</v>
      </c>
      <c r="H4160" s="361"/>
      <c r="I4160" s="327">
        <v>1</v>
      </c>
      <c r="J4160" s="345"/>
      <c r="K4160" s="327"/>
      <c r="L4160" s="389">
        <f t="shared" si="346"/>
        <v>2280410.4000000004</v>
      </c>
      <c r="M4160" s="371"/>
      <c r="N4160" s="355" t="str">
        <f t="shared" si="347"/>
        <v>PK</v>
      </c>
      <c r="O4160" s="345"/>
      <c r="P4160" s="392"/>
      <c r="Q4160" s="392">
        <v>98.04</v>
      </c>
      <c r="R4160" s="441"/>
      <c r="S4160" s="351"/>
      <c r="T4160" s="351"/>
      <c r="U4160" s="329" t="str">
        <f>IF($N4160=$N$4,IFERROR(INDEX(DanhMuc!$E$154:$E$165,MATCH(MID($B4160,4,2),DanhMuc!$B$154:$B$165,0)),""),"")</f>
        <v/>
      </c>
      <c r="V4160" s="361"/>
      <c r="W4160" s="345"/>
      <c r="X4160" s="329" t="str">
        <f t="shared" si="348"/>
        <v>RT</v>
      </c>
      <c r="Y4160" s="1128" t="s">
        <v>3380</v>
      </c>
      <c r="Z4160" s="1128" t="s">
        <v>3381</v>
      </c>
      <c r="AA4160" s="1128" t="s">
        <v>3384</v>
      </c>
      <c r="AB4160" s="20"/>
      <c r="AC4160" s="73"/>
    </row>
    <row r="4161" spans="1:29" ht="25">
      <c r="A4161" s="327" t="str">
        <f>IF(AND($B4161&lt;&gt;"",$C4161&lt;&gt;""),MAX($A$1556:A4136)+1,"")</f>
        <v/>
      </c>
      <c r="B4161" s="361" t="s">
        <v>2035</v>
      </c>
      <c r="C4161" s="360"/>
      <c r="D4161" s="327">
        <f>IF($B4161="","",COUNTIF($B$6:$B4161,$B4161))</f>
        <v>12</v>
      </c>
      <c r="E4161" s="430">
        <v>733375</v>
      </c>
      <c r="F4161" s="362" t="s">
        <v>1393</v>
      </c>
      <c r="G4161" s="327" t="s">
        <v>1498</v>
      </c>
      <c r="H4161" s="361"/>
      <c r="I4161" s="327">
        <v>2</v>
      </c>
      <c r="J4161" s="345"/>
      <c r="K4161" s="327"/>
      <c r="L4161" s="389">
        <f>+$L$3808*$Q4161/3</f>
        <v>278422.2</v>
      </c>
      <c r="M4161" s="371"/>
      <c r="N4161" s="355" t="str">
        <f t="shared" si="347"/>
        <v>PK</v>
      </c>
      <c r="O4161" s="345"/>
      <c r="P4161" s="392"/>
      <c r="Q4161" s="392">
        <v>35.909999999999997</v>
      </c>
      <c r="R4161" s="441"/>
      <c r="S4161" s="351"/>
      <c r="T4161" s="351"/>
      <c r="U4161" s="329" t="str">
        <f>IF($N4161=$N$4,IFERROR(INDEX(DanhMuc!$E$154:$E$165,MATCH(MID($B4161,4,2),DanhMuc!$B$154:$B$165,0)),""),"")</f>
        <v/>
      </c>
      <c r="V4161" s="361"/>
      <c r="W4161" s="345"/>
      <c r="X4161" s="329" t="str">
        <f t="shared" si="348"/>
        <v>RT</v>
      </c>
      <c r="Y4161" s="1128" t="s">
        <v>3380</v>
      </c>
      <c r="Z4161" s="1128" t="s">
        <v>3381</v>
      </c>
      <c r="AA4161" s="1128" t="s">
        <v>3384</v>
      </c>
      <c r="AB4161" s="20"/>
      <c r="AC4161" s="73"/>
    </row>
    <row r="4162" spans="1:29" ht="25">
      <c r="A4162" s="327" t="str">
        <f>IF(AND($B4162&lt;&gt;"",$C4162&lt;&gt;""),MAX($A$1556:A4137)+1,"")</f>
        <v/>
      </c>
      <c r="B4162" s="361" t="s">
        <v>2035</v>
      </c>
      <c r="C4162" s="360"/>
      <c r="D4162" s="327">
        <f>IF($B4162="","",COUNTIF($B$6:$B4162,$B4162))</f>
        <v>13</v>
      </c>
      <c r="E4162" s="430">
        <v>734361</v>
      </c>
      <c r="F4162" s="362" t="s">
        <v>1513</v>
      </c>
      <c r="G4162" s="327" t="s">
        <v>1498</v>
      </c>
      <c r="H4162" s="361"/>
      <c r="I4162" s="327">
        <v>2</v>
      </c>
      <c r="J4162" s="345"/>
      <c r="K4162" s="327"/>
      <c r="L4162" s="389">
        <f t="shared" si="346"/>
        <v>928074</v>
      </c>
      <c r="M4162" s="371"/>
      <c r="N4162" s="355" t="str">
        <f t="shared" si="347"/>
        <v>PK</v>
      </c>
      <c r="O4162" s="345"/>
      <c r="P4162" s="392"/>
      <c r="Q4162" s="392">
        <v>39.9</v>
      </c>
      <c r="R4162" s="441"/>
      <c r="S4162" s="351"/>
      <c r="T4162" s="351"/>
      <c r="U4162" s="329" t="str">
        <f>IF($N4162=$N$4,IFERROR(INDEX(DanhMuc!$E$154:$E$165,MATCH(MID($B4162,4,2),DanhMuc!$B$154:$B$165,0)),""),"")</f>
        <v/>
      </c>
      <c r="V4162" s="361"/>
      <c r="W4162" s="345"/>
      <c r="X4162" s="329" t="str">
        <f t="shared" si="348"/>
        <v>RT</v>
      </c>
      <c r="Y4162" s="1128" t="s">
        <v>3380</v>
      </c>
      <c r="Z4162" s="1128" t="s">
        <v>3381</v>
      </c>
      <c r="AA4162" s="1128" t="s">
        <v>3384</v>
      </c>
      <c r="AB4162" s="20"/>
      <c r="AC4162" s="73"/>
    </row>
    <row r="4163" spans="1:29" ht="25">
      <c r="A4163" s="327" t="str">
        <f>IF(AND($B4163&lt;&gt;"",$C4163&lt;&gt;""),MAX($A$1556:A4138)+1,"")</f>
        <v/>
      </c>
      <c r="B4163" s="361" t="s">
        <v>2035</v>
      </c>
      <c r="C4163" s="360"/>
      <c r="D4163" s="327">
        <f>IF($B4163="","",COUNTIF($B$6:$B4163,$B4163))</f>
        <v>14</v>
      </c>
      <c r="E4163" s="430">
        <v>733369</v>
      </c>
      <c r="F4163" s="362" t="s">
        <v>1395</v>
      </c>
      <c r="G4163" s="327" t="s">
        <v>1498</v>
      </c>
      <c r="H4163" s="361"/>
      <c r="I4163" s="327">
        <v>4</v>
      </c>
      <c r="J4163" s="345"/>
      <c r="K4163" s="327"/>
      <c r="L4163" s="389">
        <f>+$L$3808*$Q4163/3</f>
        <v>188793.66666666666</v>
      </c>
      <c r="M4163" s="371"/>
      <c r="N4163" s="355" t="str">
        <f t="shared" si="347"/>
        <v>PK</v>
      </c>
      <c r="O4163" s="345"/>
      <c r="P4163" s="392"/>
      <c r="Q4163" s="392">
        <v>24.35</v>
      </c>
      <c r="R4163" s="441"/>
      <c r="S4163" s="351"/>
      <c r="T4163" s="351"/>
      <c r="U4163" s="329" t="str">
        <f>IF($N4163=$N$4,IFERROR(INDEX(DanhMuc!$E$154:$E$165,MATCH(MID($B4163,4,2),DanhMuc!$B$154:$B$165,0)),""),"")</f>
        <v/>
      </c>
      <c r="V4163" s="361"/>
      <c r="W4163" s="345"/>
      <c r="X4163" s="329" t="str">
        <f t="shared" si="348"/>
        <v>RT</v>
      </c>
      <c r="Y4163" s="1128" t="s">
        <v>3380</v>
      </c>
      <c r="Z4163" s="1128" t="s">
        <v>3381</v>
      </c>
      <c r="AA4163" s="1128" t="s">
        <v>3384</v>
      </c>
      <c r="AB4163" s="20"/>
      <c r="AC4163" s="73"/>
    </row>
    <row r="4164" spans="1:29">
      <c r="A4164" s="327" t="str">
        <f>IF(AND($B4164&lt;&gt;"",$C4164&lt;&gt;""),MAX($A$1556:A4139)+1,"")</f>
        <v/>
      </c>
      <c r="B4164" s="361" t="s">
        <v>2035</v>
      </c>
      <c r="C4164" s="360"/>
      <c r="D4164" s="327">
        <f>IF($B4164="","",COUNTIF($B$6:$B4164,$B4164))</f>
        <v>15</v>
      </c>
      <c r="E4164" s="430">
        <v>734492</v>
      </c>
      <c r="F4164" s="362" t="s">
        <v>1514</v>
      </c>
      <c r="G4164" s="327" t="s">
        <v>1498</v>
      </c>
      <c r="H4164" s="361"/>
      <c r="I4164" s="327">
        <v>4</v>
      </c>
      <c r="J4164" s="345"/>
      <c r="K4164" s="327"/>
      <c r="L4164" s="389">
        <f t="shared" si="346"/>
        <v>928074</v>
      </c>
      <c r="M4164" s="371"/>
      <c r="N4164" s="355" t="str">
        <f t="shared" si="347"/>
        <v>PK</v>
      </c>
      <c r="O4164" s="345"/>
      <c r="P4164" s="392"/>
      <c r="Q4164" s="392">
        <v>39.9</v>
      </c>
      <c r="R4164" s="441"/>
      <c r="S4164" s="351"/>
      <c r="T4164" s="351"/>
      <c r="U4164" s="329" t="str">
        <f>IF($N4164=$N$4,IFERROR(INDEX(DanhMuc!$E$154:$E$165,MATCH(MID($B4164,4,2),DanhMuc!$B$154:$B$165,0)),""),"")</f>
        <v/>
      </c>
      <c r="V4164" s="361"/>
      <c r="W4164" s="345"/>
      <c r="X4164" s="329" t="str">
        <f t="shared" si="348"/>
        <v>RT</v>
      </c>
      <c r="Y4164" s="1128" t="s">
        <v>3380</v>
      </c>
      <c r="Z4164" s="1128" t="s">
        <v>3381</v>
      </c>
      <c r="AA4164" s="1128" t="s">
        <v>3384</v>
      </c>
      <c r="AB4164" s="20"/>
      <c r="AC4164" s="73"/>
    </row>
    <row r="4165" spans="1:29" ht="25">
      <c r="A4165" s="327" t="str">
        <f>IF(AND($B4165&lt;&gt;"",$C4165&lt;&gt;""),MAX($A$1556:A4140)+1,"")</f>
        <v/>
      </c>
      <c r="B4165" s="361" t="s">
        <v>2035</v>
      </c>
      <c r="C4165" s="360"/>
      <c r="D4165" s="327">
        <f>IF($B4165="","",COUNTIF($B$6:$B4165,$B4165))</f>
        <v>16</v>
      </c>
      <c r="E4165" s="430">
        <v>312831</v>
      </c>
      <c r="F4165" s="431" t="s">
        <v>1515</v>
      </c>
      <c r="G4165" s="327" t="s">
        <v>1498</v>
      </c>
      <c r="H4165" s="361"/>
      <c r="I4165" s="327">
        <v>4</v>
      </c>
      <c r="J4165" s="345"/>
      <c r="K4165" s="327"/>
      <c r="L4165" s="389">
        <f>+$L$3808*$Q4165/3</f>
        <v>15584.199999999999</v>
      </c>
      <c r="M4165" s="371"/>
      <c r="N4165" s="355" t="str">
        <f t="shared" si="347"/>
        <v>PK</v>
      </c>
      <c r="O4165" s="345"/>
      <c r="P4165" s="392"/>
      <c r="Q4165" s="392">
        <v>2.0099999999999998</v>
      </c>
      <c r="R4165" s="441"/>
      <c r="S4165" s="351"/>
      <c r="T4165" s="351"/>
      <c r="U4165" s="329" t="str">
        <f>IF($N4165=$N$4,IFERROR(INDEX(DanhMuc!$E$154:$E$165,MATCH(MID($B4165,4,2),DanhMuc!$B$154:$B$165,0)),""),"")</f>
        <v/>
      </c>
      <c r="V4165" s="361"/>
      <c r="W4165" s="345"/>
      <c r="X4165" s="329" t="str">
        <f t="shared" si="348"/>
        <v>RT</v>
      </c>
      <c r="Y4165" s="1128" t="s">
        <v>3380</v>
      </c>
      <c r="Z4165" s="1128" t="s">
        <v>3381</v>
      </c>
      <c r="AA4165" s="1128" t="s">
        <v>3384</v>
      </c>
      <c r="AB4165" s="20"/>
      <c r="AC4165" s="73"/>
    </row>
    <row r="4166" spans="1:29">
      <c r="A4166" s="327" t="str">
        <f>IF(AND($B4166&lt;&gt;"",$C4166&lt;&gt;""),MAX($A$1556:A4141)+1,"")</f>
        <v/>
      </c>
      <c r="B4166" s="361" t="s">
        <v>2035</v>
      </c>
      <c r="C4166" s="360"/>
      <c r="D4166" s="327">
        <f>IF($B4166="","",COUNTIF($B$6:$B4166,$B4166))</f>
        <v>17</v>
      </c>
      <c r="E4166" s="430">
        <v>340208</v>
      </c>
      <c r="F4166" s="431" t="s">
        <v>1516</v>
      </c>
      <c r="G4166" s="327" t="s">
        <v>344</v>
      </c>
      <c r="H4166" s="361"/>
      <c r="I4166" s="327">
        <v>2</v>
      </c>
      <c r="J4166" s="345"/>
      <c r="K4166" s="327"/>
      <c r="L4166" s="389">
        <f t="shared" si="346"/>
        <v>238647.6</v>
      </c>
      <c r="M4166" s="371"/>
      <c r="N4166" s="355" t="str">
        <f t="shared" si="347"/>
        <v>PK</v>
      </c>
      <c r="O4166" s="345"/>
      <c r="P4166" s="392"/>
      <c r="Q4166" s="392">
        <v>10.26</v>
      </c>
      <c r="R4166" s="441"/>
      <c r="S4166" s="351"/>
      <c r="T4166" s="351"/>
      <c r="U4166" s="329" t="str">
        <f>IF($N4166=$N$4,IFERROR(INDEX(DanhMuc!$E$154:$E$165,MATCH(MID($B4166,4,2),DanhMuc!$B$154:$B$165,0)),""),"")</f>
        <v/>
      </c>
      <c r="V4166" s="361"/>
      <c r="W4166" s="345"/>
      <c r="X4166" s="329" t="str">
        <f t="shared" si="348"/>
        <v>RT</v>
      </c>
      <c r="Y4166" s="1128" t="s">
        <v>3380</v>
      </c>
      <c r="Z4166" s="1128" t="s">
        <v>3381</v>
      </c>
      <c r="AA4166" s="1128" t="s">
        <v>3384</v>
      </c>
      <c r="AB4166" s="20"/>
      <c r="AC4166" s="73"/>
    </row>
    <row r="4167" spans="1:29" ht="39">
      <c r="A4167" s="327">
        <f>IF(AND($B4167&lt;&gt;"",$C4167&lt;&gt;""),MAX($A$1556:A4142)+1,"")</f>
        <v>194</v>
      </c>
      <c r="B4167" s="359" t="s">
        <v>2036</v>
      </c>
      <c r="C4167" s="370" t="s">
        <v>1581</v>
      </c>
      <c r="D4167" s="327">
        <f>IF($B4167="","",COUNTIF($B$6:$B4167,$B4167))</f>
        <v>1</v>
      </c>
      <c r="E4167" s="411">
        <v>571419</v>
      </c>
      <c r="F4167" s="403" t="s">
        <v>1502</v>
      </c>
      <c r="G4167" s="410" t="s">
        <v>1494</v>
      </c>
      <c r="H4167" s="402"/>
      <c r="I4167" s="402" t="s">
        <v>1499</v>
      </c>
      <c r="J4167" s="361"/>
      <c r="K4167" s="327"/>
      <c r="L4167" s="389">
        <f t="shared" si="346"/>
        <v>1392111</v>
      </c>
      <c r="M4167" s="371"/>
      <c r="N4167" s="355" t="str">
        <f t="shared" si="347"/>
        <v>PK</v>
      </c>
      <c r="O4167" s="345"/>
      <c r="P4167" s="392"/>
      <c r="Q4167" s="392">
        <v>59.85</v>
      </c>
      <c r="R4167" s="441"/>
      <c r="S4167" s="351"/>
      <c r="T4167" s="351"/>
      <c r="U4167" s="329" t="str">
        <f>IF($N4167=$N$4,IFERROR(INDEX(DanhMuc!$E$154:$E$165,MATCH(MID($B4167,4,2),DanhMuc!$B$154:$B$165,0)),""),"")</f>
        <v/>
      </c>
      <c r="V4167" s="361"/>
      <c r="W4167" s="345"/>
      <c r="X4167" s="329" t="str">
        <f t="shared" si="348"/>
        <v>RT</v>
      </c>
      <c r="Y4167" s="1128" t="s">
        <v>3380</v>
      </c>
      <c r="Z4167" s="1128" t="s">
        <v>3381</v>
      </c>
      <c r="AA4167" s="1128" t="s">
        <v>3384</v>
      </c>
      <c r="AB4167" s="20"/>
      <c r="AC4167" s="73"/>
    </row>
    <row r="4168" spans="1:29">
      <c r="A4168" s="327" t="str">
        <f>IF(AND($B4168&lt;&gt;"",$C4168&lt;&gt;""),MAX($A$1556:A4143)+1,"")</f>
        <v/>
      </c>
      <c r="B4168" s="361" t="s">
        <v>2036</v>
      </c>
      <c r="C4168" s="360"/>
      <c r="D4168" s="327">
        <f>IF($B4168="","",COUNTIF($B$6:$B4168,$B4168))</f>
        <v>2</v>
      </c>
      <c r="E4168" s="411">
        <v>571420</v>
      </c>
      <c r="F4168" s="403" t="s">
        <v>1503</v>
      </c>
      <c r="G4168" s="410" t="s">
        <v>1495</v>
      </c>
      <c r="H4168" s="402"/>
      <c r="I4168" s="402" t="s">
        <v>1500</v>
      </c>
      <c r="J4168" s="361"/>
      <c r="K4168" s="327"/>
      <c r="L4168" s="389">
        <f t="shared" si="346"/>
        <v>1639364.8</v>
      </c>
      <c r="M4168" s="371"/>
      <c r="N4168" s="355" t="str">
        <f t="shared" si="347"/>
        <v>PK</v>
      </c>
      <c r="O4168" s="345"/>
      <c r="P4168" s="392"/>
      <c r="Q4168" s="392">
        <v>70.48</v>
      </c>
      <c r="R4168" s="441"/>
      <c r="S4168" s="351"/>
      <c r="T4168" s="351"/>
      <c r="U4168" s="329" t="str">
        <f>IF($N4168=$N$4,IFERROR(INDEX(DanhMuc!$E$154:$E$165,MATCH(MID($B4168,4,2),DanhMuc!$B$154:$B$165,0)),""),"")</f>
        <v/>
      </c>
      <c r="V4168" s="361"/>
      <c r="W4168" s="345"/>
      <c r="X4168" s="329" t="str">
        <f t="shared" si="348"/>
        <v>RT</v>
      </c>
      <c r="Y4168" s="1128" t="s">
        <v>3380</v>
      </c>
      <c r="Z4168" s="1128" t="s">
        <v>3381</v>
      </c>
      <c r="AA4168" s="1128" t="s">
        <v>3384</v>
      </c>
      <c r="AB4168" s="20"/>
      <c r="AC4168" s="73"/>
    </row>
    <row r="4169" spans="1:29">
      <c r="A4169" s="327" t="str">
        <f>IF(AND($B4169&lt;&gt;"",$C4169&lt;&gt;""),MAX($A$1556:A4144)+1,"")</f>
        <v/>
      </c>
      <c r="B4169" s="361" t="s">
        <v>2036</v>
      </c>
      <c r="C4169" s="360"/>
      <c r="D4169" s="327">
        <f>IF($B4169="","",COUNTIF($B$6:$B4169,$B4169))</f>
        <v>3</v>
      </c>
      <c r="E4169" s="411">
        <v>614284</v>
      </c>
      <c r="F4169" s="403" t="s">
        <v>1504</v>
      </c>
      <c r="G4169" s="410" t="s">
        <v>1496</v>
      </c>
      <c r="H4169" s="402"/>
      <c r="I4169" s="402" t="s">
        <v>1501</v>
      </c>
      <c r="J4169" s="361"/>
      <c r="K4169" s="327"/>
      <c r="L4169" s="389">
        <f t="shared" si="346"/>
        <v>2226912.4</v>
      </c>
      <c r="M4169" s="371"/>
      <c r="N4169" s="355" t="str">
        <f t="shared" si="347"/>
        <v>PK</v>
      </c>
      <c r="O4169" s="345"/>
      <c r="P4169" s="392"/>
      <c r="Q4169" s="392">
        <v>95.74</v>
      </c>
      <c r="R4169" s="441"/>
      <c r="S4169" s="351"/>
      <c r="T4169" s="351"/>
      <c r="U4169" s="329" t="str">
        <f>IF($N4169=$N$4,IFERROR(INDEX(DanhMuc!$E$154:$E$165,MATCH(MID($B4169,4,2),DanhMuc!$B$154:$B$165,0)),""),"")</f>
        <v/>
      </c>
      <c r="V4169" s="361"/>
      <c r="W4169" s="345"/>
      <c r="X4169" s="329" t="str">
        <f t="shared" si="348"/>
        <v>RT</v>
      </c>
      <c r="Y4169" s="1128" t="s">
        <v>3380</v>
      </c>
      <c r="Z4169" s="1128" t="s">
        <v>3381</v>
      </c>
      <c r="AA4169" s="1128" t="s">
        <v>3384</v>
      </c>
      <c r="AB4169" s="20"/>
      <c r="AC4169" s="73"/>
    </row>
    <row r="4170" spans="1:29" ht="25">
      <c r="A4170" s="327" t="str">
        <f>IF(AND($B4170&lt;&gt;"",$C4170&lt;&gt;""),MAX($A$1556:A4145)+1,"")</f>
        <v/>
      </c>
      <c r="B4170" s="361" t="s">
        <v>2036</v>
      </c>
      <c r="C4170" s="360"/>
      <c r="D4170" s="327">
        <f>IF($B4170="","",COUNTIF($B$6:$B4170,$B4170))</f>
        <v>4</v>
      </c>
      <c r="E4170" s="600">
        <v>570929</v>
      </c>
      <c r="F4170" s="601" t="s">
        <v>1505</v>
      </c>
      <c r="G4170" s="602" t="s">
        <v>1494</v>
      </c>
      <c r="H4170" s="603"/>
      <c r="I4170" s="603" t="s">
        <v>1499</v>
      </c>
      <c r="J4170" s="361"/>
      <c r="K4170" s="327"/>
      <c r="L4170" s="389">
        <f t="shared" si="346"/>
        <v>2629077.7999999998</v>
      </c>
      <c r="M4170" s="371"/>
      <c r="N4170" s="355" t="str">
        <f t="shared" si="347"/>
        <v>PK</v>
      </c>
      <c r="O4170" s="345"/>
      <c r="P4170" s="392"/>
      <c r="Q4170" s="392">
        <v>113.03</v>
      </c>
      <c r="R4170" s="441"/>
      <c r="S4170" s="351"/>
      <c r="T4170" s="351"/>
      <c r="U4170" s="329" t="str">
        <f>IF($N4170=$N$4,IFERROR(INDEX(DanhMuc!$E$154:$E$165,MATCH(MID($B4170,4,2),DanhMuc!$B$154:$B$165,0)),""),"")</f>
        <v/>
      </c>
      <c r="V4170" s="361"/>
      <c r="W4170" s="345"/>
      <c r="X4170" s="329" t="str">
        <f t="shared" si="348"/>
        <v>RT</v>
      </c>
      <c r="Y4170" s="1128" t="s">
        <v>3380</v>
      </c>
      <c r="Z4170" s="1128" t="s">
        <v>3381</v>
      </c>
      <c r="AA4170" s="1128" t="s">
        <v>3384</v>
      </c>
      <c r="AB4170" s="20"/>
      <c r="AC4170" s="73"/>
    </row>
    <row r="4171" spans="1:29" ht="25">
      <c r="A4171" s="327" t="str">
        <f>IF(AND($B4171&lt;&gt;"",$C4171&lt;&gt;""),MAX($A$1556:A4146)+1,"")</f>
        <v/>
      </c>
      <c r="B4171" s="361" t="s">
        <v>2036</v>
      </c>
      <c r="C4171" s="360"/>
      <c r="D4171" s="327">
        <f>IF($B4171="","",COUNTIF($B$6:$B4171,$B4171))</f>
        <v>5</v>
      </c>
      <c r="E4171" s="600">
        <v>570930</v>
      </c>
      <c r="F4171" s="601" t="s">
        <v>1506</v>
      </c>
      <c r="G4171" s="602" t="s">
        <v>1495</v>
      </c>
      <c r="H4171" s="603"/>
      <c r="I4171" s="603" t="s">
        <v>1500</v>
      </c>
      <c r="J4171" s="361"/>
      <c r="K4171" s="327"/>
      <c r="L4171" s="389">
        <f t="shared" si="346"/>
        <v>3402240.2</v>
      </c>
      <c r="M4171" s="371"/>
      <c r="N4171" s="355" t="str">
        <f t="shared" si="347"/>
        <v>PK</v>
      </c>
      <c r="O4171" s="345"/>
      <c r="P4171" s="392"/>
      <c r="Q4171" s="392">
        <v>146.27000000000001</v>
      </c>
      <c r="R4171" s="441"/>
      <c r="S4171" s="351"/>
      <c r="T4171" s="351"/>
      <c r="U4171" s="329" t="str">
        <f>IF($N4171=$N$4,IFERROR(INDEX(DanhMuc!$E$154:$E$165,MATCH(MID($B4171,4,2),DanhMuc!$B$154:$B$165,0)),""),"")</f>
        <v/>
      </c>
      <c r="V4171" s="361"/>
      <c r="W4171" s="345"/>
      <c r="X4171" s="329" t="str">
        <f t="shared" si="348"/>
        <v>RT</v>
      </c>
      <c r="Y4171" s="1128" t="s">
        <v>3380</v>
      </c>
      <c r="Z4171" s="1128" t="s">
        <v>3381</v>
      </c>
      <c r="AA4171" s="1128" t="s">
        <v>3384</v>
      </c>
      <c r="AB4171" s="20"/>
      <c r="AC4171" s="73"/>
    </row>
    <row r="4172" spans="1:29">
      <c r="A4172" s="327" t="str">
        <f>IF(AND($B4172&lt;&gt;"",$C4172&lt;&gt;""),MAX($A$1556:A4147)+1,"")</f>
        <v/>
      </c>
      <c r="B4172" s="361" t="s">
        <v>2036</v>
      </c>
      <c r="C4172" s="360"/>
      <c r="D4172" s="327">
        <f>IF($B4172="","",COUNTIF($B$6:$B4172,$B4172))</f>
        <v>6</v>
      </c>
      <c r="E4172" s="600">
        <v>614283</v>
      </c>
      <c r="F4172" s="601" t="s">
        <v>1507</v>
      </c>
      <c r="G4172" s="602" t="s">
        <v>1496</v>
      </c>
      <c r="H4172" s="603"/>
      <c r="I4172" s="603" t="s">
        <v>1501</v>
      </c>
      <c r="J4172" s="361"/>
      <c r="K4172" s="327"/>
      <c r="L4172" s="389">
        <f t="shared" si="346"/>
        <v>4330081.5999999996</v>
      </c>
      <c r="M4172" s="371"/>
      <c r="N4172" s="355" t="str">
        <f t="shared" si="347"/>
        <v>PK</v>
      </c>
      <c r="O4172" s="345"/>
      <c r="P4172" s="392"/>
      <c r="Q4172" s="392">
        <v>186.16</v>
      </c>
      <c r="R4172" s="441"/>
      <c r="S4172" s="351"/>
      <c r="T4172" s="351"/>
      <c r="U4172" s="329" t="str">
        <f>IF($N4172=$N$4,IFERROR(INDEX(DanhMuc!$E$154:$E$165,MATCH(MID($B4172,4,2),DanhMuc!$B$154:$B$165,0)),""),"")</f>
        <v/>
      </c>
      <c r="V4172" s="361"/>
      <c r="W4172" s="345"/>
      <c r="X4172" s="329" t="str">
        <f t="shared" si="348"/>
        <v>RT</v>
      </c>
      <c r="Y4172" s="1128" t="s">
        <v>3380</v>
      </c>
      <c r="Z4172" s="1128" t="s">
        <v>3381</v>
      </c>
      <c r="AA4172" s="1128" t="s">
        <v>3384</v>
      </c>
      <c r="AB4172" s="20"/>
      <c r="AC4172" s="73"/>
    </row>
    <row r="4173" spans="1:29">
      <c r="A4173" s="327" t="str">
        <f>IF(AND($B4173&lt;&gt;"",$C4173&lt;&gt;""),MAX($A$1556:A4148)+1,"")</f>
        <v/>
      </c>
      <c r="B4173" s="361" t="s">
        <v>2036</v>
      </c>
      <c r="C4173" s="360"/>
      <c r="D4173" s="327">
        <f>IF($B4173="","",COUNTIF($B$6:$B4173,$B4173))</f>
        <v>7</v>
      </c>
      <c r="E4173" s="430">
        <v>206898</v>
      </c>
      <c r="F4173" s="362" t="s">
        <v>1508</v>
      </c>
      <c r="G4173" s="327" t="s">
        <v>1497</v>
      </c>
      <c r="H4173" s="361"/>
      <c r="I4173" s="327">
        <v>2</v>
      </c>
      <c r="J4173" s="345"/>
      <c r="K4173" s="327"/>
      <c r="L4173" s="389">
        <f t="shared" si="346"/>
        <v>278422.2</v>
      </c>
      <c r="M4173" s="371"/>
      <c r="N4173" s="355" t="str">
        <f t="shared" si="347"/>
        <v>PK</v>
      </c>
      <c r="O4173" s="345"/>
      <c r="P4173" s="392"/>
      <c r="Q4173" s="392">
        <v>11.97</v>
      </c>
      <c r="R4173" s="441"/>
      <c r="S4173" s="351"/>
      <c r="T4173" s="351"/>
      <c r="U4173" s="329" t="str">
        <f>IF($N4173=$N$4,IFERROR(INDEX(DanhMuc!$E$154:$E$165,MATCH(MID($B4173,4,2),DanhMuc!$B$154:$B$165,0)),""),"")</f>
        <v/>
      </c>
      <c r="V4173" s="361"/>
      <c r="W4173" s="345"/>
      <c r="X4173" s="329" t="str">
        <f t="shared" si="348"/>
        <v>RT</v>
      </c>
      <c r="Y4173" s="1128" t="s">
        <v>3380</v>
      </c>
      <c r="Z4173" s="1128" t="s">
        <v>3381</v>
      </c>
      <c r="AA4173" s="1128" t="s">
        <v>3384</v>
      </c>
      <c r="AB4173" s="20"/>
      <c r="AC4173" s="73"/>
    </row>
    <row r="4174" spans="1:29" ht="25">
      <c r="A4174" s="327" t="str">
        <f>IF(AND($B4174&lt;&gt;"",$C4174&lt;&gt;""),MAX($A$1556:A4149)+1,"")</f>
        <v/>
      </c>
      <c r="B4174" s="361" t="s">
        <v>2036</v>
      </c>
      <c r="C4174" s="360"/>
      <c r="D4174" s="327">
        <f>IF($B4174="","",COUNTIF($B$6:$B4174,$B4174))</f>
        <v>8</v>
      </c>
      <c r="E4174" s="430">
        <v>626452</v>
      </c>
      <c r="F4174" s="362" t="s">
        <v>1509</v>
      </c>
      <c r="G4174" s="327" t="s">
        <v>344</v>
      </c>
      <c r="H4174" s="361"/>
      <c r="I4174" s="327">
        <v>1</v>
      </c>
      <c r="J4174" s="345"/>
      <c r="K4174" s="327"/>
      <c r="L4174" s="389">
        <f t="shared" si="346"/>
        <v>46752.6</v>
      </c>
      <c r="M4174" s="371"/>
      <c r="N4174" s="355" t="str">
        <f t="shared" si="347"/>
        <v>PK</v>
      </c>
      <c r="O4174" s="345"/>
      <c r="P4174" s="392"/>
      <c r="Q4174" s="392">
        <v>2.0099999999999998</v>
      </c>
      <c r="R4174" s="441"/>
      <c r="S4174" s="351"/>
      <c r="T4174" s="351"/>
      <c r="U4174" s="329" t="str">
        <f>IF($N4174=$N$4,IFERROR(INDEX(DanhMuc!$E$154:$E$165,MATCH(MID($B4174,4,2),DanhMuc!$B$154:$B$165,0)),""),"")</f>
        <v/>
      </c>
      <c r="V4174" s="361"/>
      <c r="W4174" s="345"/>
      <c r="X4174" s="329" t="str">
        <f t="shared" si="348"/>
        <v>RT</v>
      </c>
      <c r="Y4174" s="1128" t="s">
        <v>3380</v>
      </c>
      <c r="Z4174" s="1128" t="s">
        <v>3381</v>
      </c>
      <c r="AA4174" s="1128" t="s">
        <v>3384</v>
      </c>
      <c r="AB4174" s="20"/>
      <c r="AC4174" s="73"/>
    </row>
    <row r="4175" spans="1:29" ht="25">
      <c r="A4175" s="327" t="str">
        <f>IF(AND($B4175&lt;&gt;"",$C4175&lt;&gt;""),MAX($A$1556:A4150)+1,"")</f>
        <v/>
      </c>
      <c r="B4175" s="361" t="s">
        <v>2036</v>
      </c>
      <c r="C4175" s="360"/>
      <c r="D4175" s="327">
        <f>IF($B4175="","",COUNTIF($B$6:$B4175,$B4175))</f>
        <v>9</v>
      </c>
      <c r="E4175" s="430">
        <v>336451</v>
      </c>
      <c r="F4175" s="362" t="s">
        <v>1510</v>
      </c>
      <c r="G4175" s="327" t="s">
        <v>344</v>
      </c>
      <c r="H4175" s="361"/>
      <c r="I4175" s="327">
        <v>1</v>
      </c>
      <c r="J4175" s="345"/>
      <c r="K4175" s="327"/>
      <c r="L4175" s="389">
        <f t="shared" si="346"/>
        <v>188638.59999999998</v>
      </c>
      <c r="M4175" s="371"/>
      <c r="N4175" s="355" t="str">
        <f t="shared" si="347"/>
        <v>PK</v>
      </c>
      <c r="O4175" s="345"/>
      <c r="P4175" s="392"/>
      <c r="Q4175" s="392">
        <v>8.11</v>
      </c>
      <c r="R4175" s="441"/>
      <c r="S4175" s="351"/>
      <c r="T4175" s="351"/>
      <c r="U4175" s="329" t="str">
        <f>IF($N4175=$N$4,IFERROR(INDEX(DanhMuc!$E$154:$E$165,MATCH(MID($B4175,4,2),DanhMuc!$B$154:$B$165,0)),""),"")</f>
        <v/>
      </c>
      <c r="V4175" s="361"/>
      <c r="W4175" s="345"/>
      <c r="X4175" s="329" t="str">
        <f t="shared" si="348"/>
        <v>RT</v>
      </c>
      <c r="Y4175" s="1128" t="s">
        <v>3380</v>
      </c>
      <c r="Z4175" s="1128" t="s">
        <v>3381</v>
      </c>
      <c r="AA4175" s="1128" t="s">
        <v>3384</v>
      </c>
      <c r="AB4175" s="20"/>
      <c r="AC4175" s="73"/>
    </row>
    <row r="4176" spans="1:29" ht="25">
      <c r="A4176" s="327" t="str">
        <f>IF(AND($B4176&lt;&gt;"",$C4176&lt;&gt;""),MAX($A$1556:A4151)+1,"")</f>
        <v/>
      </c>
      <c r="B4176" s="361" t="s">
        <v>2036</v>
      </c>
      <c r="C4176" s="360"/>
      <c r="D4176" s="327">
        <f>IF($B4176="","",COUNTIF($B$6:$B4176,$B4176))</f>
        <v>10</v>
      </c>
      <c r="E4176" s="430">
        <v>312563</v>
      </c>
      <c r="F4176" s="362" t="s">
        <v>1511</v>
      </c>
      <c r="G4176" s="327" t="s">
        <v>344</v>
      </c>
      <c r="H4176" s="361"/>
      <c r="I4176" s="327">
        <v>2</v>
      </c>
      <c r="J4176" s="345"/>
      <c r="K4176" s="327"/>
      <c r="L4176" s="389">
        <f t="shared" si="346"/>
        <v>2584651.2000000002</v>
      </c>
      <c r="M4176" s="371"/>
      <c r="N4176" s="355" t="str">
        <f t="shared" si="347"/>
        <v>PK</v>
      </c>
      <c r="O4176" s="345"/>
      <c r="P4176" s="392"/>
      <c r="Q4176" s="392">
        <v>111.12</v>
      </c>
      <c r="R4176" s="441"/>
      <c r="S4176" s="351"/>
      <c r="T4176" s="351"/>
      <c r="U4176" s="329" t="str">
        <f>IF($N4176=$N$4,IFERROR(INDEX(DanhMuc!$E$154:$E$165,MATCH(MID($B4176,4,2),DanhMuc!$B$154:$B$165,0)),""),"")</f>
        <v/>
      </c>
      <c r="V4176" s="361"/>
      <c r="W4176" s="345"/>
      <c r="X4176" s="329" t="str">
        <f t="shared" si="348"/>
        <v>RT</v>
      </c>
      <c r="Y4176" s="1128" t="s">
        <v>3380</v>
      </c>
      <c r="Z4176" s="1128" t="s">
        <v>3381</v>
      </c>
      <c r="AA4176" s="1128" t="s">
        <v>3384</v>
      </c>
      <c r="AB4176" s="20"/>
      <c r="AC4176" s="73"/>
    </row>
    <row r="4177" spans="1:29">
      <c r="A4177" s="327" t="str">
        <f>IF(AND($B4177&lt;&gt;"",$C4177&lt;&gt;""),MAX($A$1556:A4152)+1,"")</f>
        <v/>
      </c>
      <c r="B4177" s="361" t="s">
        <v>2036</v>
      </c>
      <c r="C4177" s="360"/>
      <c r="D4177" s="327">
        <f>IF($B4177="","",COUNTIF($B$6:$B4177,$B4177))</f>
        <v>11</v>
      </c>
      <c r="E4177" s="430">
        <v>312566</v>
      </c>
      <c r="F4177" s="362" t="s">
        <v>1512</v>
      </c>
      <c r="G4177" s="327" t="s">
        <v>344</v>
      </c>
      <c r="H4177" s="361"/>
      <c r="I4177" s="327">
        <v>2</v>
      </c>
      <c r="J4177" s="345"/>
      <c r="K4177" s="327"/>
      <c r="L4177" s="389">
        <f t="shared" si="346"/>
        <v>2280410.4000000004</v>
      </c>
      <c r="M4177" s="371"/>
      <c r="N4177" s="355" t="str">
        <f t="shared" si="347"/>
        <v>PK</v>
      </c>
      <c r="O4177" s="345"/>
      <c r="P4177" s="392"/>
      <c r="Q4177" s="392">
        <v>98.04</v>
      </c>
      <c r="R4177" s="441"/>
      <c r="S4177" s="351"/>
      <c r="T4177" s="351"/>
      <c r="U4177" s="329" t="str">
        <f>IF($N4177=$N$4,IFERROR(INDEX(DanhMuc!$E$154:$E$165,MATCH(MID($B4177,4,2),DanhMuc!$B$154:$B$165,0)),""),"")</f>
        <v/>
      </c>
      <c r="V4177" s="361"/>
      <c r="W4177" s="345"/>
      <c r="X4177" s="329" t="str">
        <f t="shared" si="348"/>
        <v>RT</v>
      </c>
      <c r="Y4177" s="1128" t="s">
        <v>3380</v>
      </c>
      <c r="Z4177" s="1128" t="s">
        <v>3381</v>
      </c>
      <c r="AA4177" s="1128" t="s">
        <v>3384</v>
      </c>
      <c r="AB4177" s="20"/>
      <c r="AC4177" s="73"/>
    </row>
    <row r="4178" spans="1:29" ht="25">
      <c r="A4178" s="327" t="str">
        <f>IF(AND($B4178&lt;&gt;"",$C4178&lt;&gt;""),MAX($A$1556:A4153)+1,"")</f>
        <v/>
      </c>
      <c r="B4178" s="361" t="s">
        <v>2036</v>
      </c>
      <c r="C4178" s="360"/>
      <c r="D4178" s="327">
        <f>IF($B4178="","",COUNTIF($B$6:$B4178,$B4178))</f>
        <v>12</v>
      </c>
      <c r="E4178" s="430">
        <v>733375</v>
      </c>
      <c r="F4178" s="362" t="s">
        <v>1393</v>
      </c>
      <c r="G4178" s="327" t="s">
        <v>1498</v>
      </c>
      <c r="H4178" s="361"/>
      <c r="I4178" s="327">
        <v>1</v>
      </c>
      <c r="J4178" s="345"/>
      <c r="K4178" s="327"/>
      <c r="L4178" s="389">
        <f>+$L$3808*$Q4178/3</f>
        <v>278422.2</v>
      </c>
      <c r="M4178" s="371"/>
      <c r="N4178" s="355" t="str">
        <f t="shared" si="347"/>
        <v>PK</v>
      </c>
      <c r="O4178" s="345"/>
      <c r="P4178" s="392"/>
      <c r="Q4178" s="392">
        <v>35.909999999999997</v>
      </c>
      <c r="R4178" s="441"/>
      <c r="S4178" s="351"/>
      <c r="T4178" s="351"/>
      <c r="U4178" s="329" t="str">
        <f>IF($N4178=$N$4,IFERROR(INDEX(DanhMuc!$E$154:$E$165,MATCH(MID($B4178,4,2),DanhMuc!$B$154:$B$165,0)),""),"")</f>
        <v/>
      </c>
      <c r="V4178" s="361"/>
      <c r="W4178" s="345"/>
      <c r="X4178" s="329" t="str">
        <f t="shared" si="348"/>
        <v>RT</v>
      </c>
      <c r="Y4178" s="1128" t="s">
        <v>3380</v>
      </c>
      <c r="Z4178" s="1128" t="s">
        <v>3381</v>
      </c>
      <c r="AA4178" s="1128" t="s">
        <v>3384</v>
      </c>
      <c r="AB4178" s="20"/>
      <c r="AC4178" s="73"/>
    </row>
    <row r="4179" spans="1:29" ht="25">
      <c r="A4179" s="327" t="str">
        <f>IF(AND($B4179&lt;&gt;"",$C4179&lt;&gt;""),MAX($A$1556:A4154)+1,"")</f>
        <v/>
      </c>
      <c r="B4179" s="361" t="s">
        <v>2036</v>
      </c>
      <c r="C4179" s="360"/>
      <c r="D4179" s="327">
        <f>IF($B4179="","",COUNTIF($B$6:$B4179,$B4179))</f>
        <v>13</v>
      </c>
      <c r="E4179" s="430">
        <v>734361</v>
      </c>
      <c r="F4179" s="362" t="s">
        <v>1513</v>
      </c>
      <c r="G4179" s="327" t="s">
        <v>1498</v>
      </c>
      <c r="H4179" s="361"/>
      <c r="I4179" s="327">
        <v>4</v>
      </c>
      <c r="J4179" s="345"/>
      <c r="K4179" s="327"/>
      <c r="L4179" s="389">
        <f t="shared" si="346"/>
        <v>928074</v>
      </c>
      <c r="M4179" s="371"/>
      <c r="N4179" s="355" t="str">
        <f t="shared" si="347"/>
        <v>PK</v>
      </c>
      <c r="O4179" s="345"/>
      <c r="P4179" s="392"/>
      <c r="Q4179" s="392">
        <v>39.9</v>
      </c>
      <c r="R4179" s="441"/>
      <c r="S4179" s="351"/>
      <c r="T4179" s="351"/>
      <c r="U4179" s="329" t="str">
        <f>IF($N4179=$N$4,IFERROR(INDEX(DanhMuc!$E$154:$E$165,MATCH(MID($B4179,4,2),DanhMuc!$B$154:$B$165,0)),""),"")</f>
        <v/>
      </c>
      <c r="V4179" s="361"/>
      <c r="W4179" s="345"/>
      <c r="X4179" s="329" t="str">
        <f t="shared" si="348"/>
        <v>RT</v>
      </c>
      <c r="Y4179" s="1128" t="s">
        <v>3380</v>
      </c>
      <c r="Z4179" s="1128" t="s">
        <v>3381</v>
      </c>
      <c r="AA4179" s="1128" t="s">
        <v>3384</v>
      </c>
      <c r="AB4179" s="20"/>
      <c r="AC4179" s="73"/>
    </row>
    <row r="4180" spans="1:29" ht="25">
      <c r="A4180" s="327" t="str">
        <f>IF(AND($B4180&lt;&gt;"",$C4180&lt;&gt;""),MAX($A$1556:A4155)+1,"")</f>
        <v/>
      </c>
      <c r="B4180" s="361" t="s">
        <v>2036</v>
      </c>
      <c r="C4180" s="360"/>
      <c r="D4180" s="327">
        <f>IF($B4180="","",COUNTIF($B$6:$B4180,$B4180))</f>
        <v>14</v>
      </c>
      <c r="E4180" s="430">
        <v>733369</v>
      </c>
      <c r="F4180" s="362" t="s">
        <v>1395</v>
      </c>
      <c r="G4180" s="327" t="s">
        <v>1498</v>
      </c>
      <c r="H4180" s="361"/>
      <c r="I4180" s="327">
        <v>5</v>
      </c>
      <c r="J4180" s="345"/>
      <c r="K4180" s="327"/>
      <c r="L4180" s="389">
        <f>+$L$3808*$Q4180/3</f>
        <v>188793.66666666666</v>
      </c>
      <c r="M4180" s="371"/>
      <c r="N4180" s="355" t="str">
        <f t="shared" si="347"/>
        <v>PK</v>
      </c>
      <c r="O4180" s="345"/>
      <c r="P4180" s="392"/>
      <c r="Q4180" s="392">
        <v>24.35</v>
      </c>
      <c r="R4180" s="441"/>
      <c r="S4180" s="351"/>
      <c r="T4180" s="351"/>
      <c r="U4180" s="329" t="str">
        <f>IF($N4180=$N$4,IFERROR(INDEX(DanhMuc!$E$154:$E$165,MATCH(MID($B4180,4,2),DanhMuc!$B$154:$B$165,0)),""),"")</f>
        <v/>
      </c>
      <c r="V4180" s="361"/>
      <c r="W4180" s="345"/>
      <c r="X4180" s="329" t="str">
        <f t="shared" si="348"/>
        <v>RT</v>
      </c>
      <c r="Y4180" s="1128" t="s">
        <v>3380</v>
      </c>
      <c r="Z4180" s="1128" t="s">
        <v>3381</v>
      </c>
      <c r="AA4180" s="1128" t="s">
        <v>3384</v>
      </c>
      <c r="AB4180" s="20"/>
      <c r="AC4180" s="73"/>
    </row>
    <row r="4181" spans="1:29">
      <c r="A4181" s="327" t="str">
        <f>IF(AND($B4181&lt;&gt;"",$C4181&lt;&gt;""),MAX($A$1556:A4156)+1,"")</f>
        <v/>
      </c>
      <c r="B4181" s="361" t="s">
        <v>2036</v>
      </c>
      <c r="C4181" s="360"/>
      <c r="D4181" s="327">
        <f>IF($B4181="","",COUNTIF($B$6:$B4181,$B4181))</f>
        <v>15</v>
      </c>
      <c r="E4181" s="430">
        <v>734492</v>
      </c>
      <c r="F4181" s="362" t="s">
        <v>1514</v>
      </c>
      <c r="G4181" s="327" t="s">
        <v>1498</v>
      </c>
      <c r="H4181" s="361"/>
      <c r="I4181" s="327">
        <v>5</v>
      </c>
      <c r="J4181" s="345"/>
      <c r="K4181" s="327"/>
      <c r="L4181" s="389">
        <f t="shared" si="346"/>
        <v>928074</v>
      </c>
      <c r="M4181" s="371"/>
      <c r="N4181" s="355" t="str">
        <f t="shared" si="347"/>
        <v>PK</v>
      </c>
      <c r="O4181" s="345"/>
      <c r="P4181" s="392"/>
      <c r="Q4181" s="392">
        <v>39.9</v>
      </c>
      <c r="R4181" s="441"/>
      <c r="S4181" s="351"/>
      <c r="T4181" s="351"/>
      <c r="U4181" s="329" t="str">
        <f>IF($N4181=$N$4,IFERROR(INDEX(DanhMuc!$E$154:$E$165,MATCH(MID($B4181,4,2),DanhMuc!$B$154:$B$165,0)),""),"")</f>
        <v/>
      </c>
      <c r="V4181" s="361"/>
      <c r="W4181" s="345"/>
      <c r="X4181" s="329" t="str">
        <f t="shared" si="348"/>
        <v>RT</v>
      </c>
      <c r="Y4181" s="1128" t="s">
        <v>3380</v>
      </c>
      <c r="Z4181" s="1128" t="s">
        <v>3381</v>
      </c>
      <c r="AA4181" s="1128" t="s">
        <v>3384</v>
      </c>
      <c r="AB4181" s="20"/>
      <c r="AC4181" s="73"/>
    </row>
    <row r="4182" spans="1:29" ht="25">
      <c r="A4182" s="327" t="str">
        <f>IF(AND($B4182&lt;&gt;"",$C4182&lt;&gt;""),MAX($A$1556:A4157)+1,"")</f>
        <v/>
      </c>
      <c r="B4182" s="361" t="s">
        <v>2036</v>
      </c>
      <c r="C4182" s="360"/>
      <c r="D4182" s="327">
        <f>IF($B4182="","",COUNTIF($B$6:$B4182,$B4182))</f>
        <v>16</v>
      </c>
      <c r="E4182" s="430">
        <v>312831</v>
      </c>
      <c r="F4182" s="431" t="s">
        <v>1515</v>
      </c>
      <c r="G4182" s="327" t="s">
        <v>1498</v>
      </c>
      <c r="H4182" s="361"/>
      <c r="I4182" s="327">
        <v>5</v>
      </c>
      <c r="J4182" s="345"/>
      <c r="K4182" s="327"/>
      <c r="L4182" s="389">
        <f>+$L$3808*$Q4182/3</f>
        <v>15584.199999999999</v>
      </c>
      <c r="M4182" s="371"/>
      <c r="N4182" s="355" t="str">
        <f t="shared" si="347"/>
        <v>PK</v>
      </c>
      <c r="O4182" s="345"/>
      <c r="P4182" s="392"/>
      <c r="Q4182" s="392">
        <v>2.0099999999999998</v>
      </c>
      <c r="R4182" s="441"/>
      <c r="S4182" s="351"/>
      <c r="T4182" s="351"/>
      <c r="U4182" s="329" t="str">
        <f>IF($N4182=$N$4,IFERROR(INDEX(DanhMuc!$E$154:$E$165,MATCH(MID($B4182,4,2),DanhMuc!$B$154:$B$165,0)),""),"")</f>
        <v/>
      </c>
      <c r="V4182" s="361"/>
      <c r="W4182" s="345"/>
      <c r="X4182" s="329" t="str">
        <f t="shared" si="348"/>
        <v>RT</v>
      </c>
      <c r="Y4182" s="1128" t="s">
        <v>3380</v>
      </c>
      <c r="Z4182" s="1128" t="s">
        <v>3381</v>
      </c>
      <c r="AA4182" s="1128" t="s">
        <v>3384</v>
      </c>
      <c r="AB4182" s="20"/>
      <c r="AC4182" s="73"/>
    </row>
    <row r="4183" spans="1:29">
      <c r="A4183" s="327" t="str">
        <f>IF(AND($B4183&lt;&gt;"",$C4183&lt;&gt;""),MAX($A$1556:A4158)+1,"")</f>
        <v/>
      </c>
      <c r="B4183" s="361" t="s">
        <v>2036</v>
      </c>
      <c r="C4183" s="360"/>
      <c r="D4183" s="327">
        <f>IF($B4183="","",COUNTIF($B$6:$B4183,$B4183))</f>
        <v>17</v>
      </c>
      <c r="E4183" s="430">
        <v>340208</v>
      </c>
      <c r="F4183" s="431" t="s">
        <v>1516</v>
      </c>
      <c r="G4183" s="327" t="s">
        <v>344</v>
      </c>
      <c r="H4183" s="361"/>
      <c r="I4183" s="327">
        <v>4</v>
      </c>
      <c r="J4183" s="345"/>
      <c r="K4183" s="327"/>
      <c r="L4183" s="389">
        <f t="shared" si="346"/>
        <v>238647.6</v>
      </c>
      <c r="M4183" s="371"/>
      <c r="N4183" s="355" t="str">
        <f t="shared" si="347"/>
        <v>PK</v>
      </c>
      <c r="O4183" s="345"/>
      <c r="P4183" s="392"/>
      <c r="Q4183" s="392">
        <v>10.26</v>
      </c>
      <c r="R4183" s="441"/>
      <c r="S4183" s="351"/>
      <c r="T4183" s="351"/>
      <c r="U4183" s="329" t="str">
        <f>IF($N4183=$N$4,IFERROR(INDEX(DanhMuc!$E$154:$E$165,MATCH(MID($B4183,4,2),DanhMuc!$B$154:$B$165,0)),""),"")</f>
        <v/>
      </c>
      <c r="V4183" s="361"/>
      <c r="W4183" s="345"/>
      <c r="X4183" s="329" t="str">
        <f t="shared" si="348"/>
        <v>RT</v>
      </c>
      <c r="Y4183" s="1128" t="s">
        <v>3380</v>
      </c>
      <c r="Z4183" s="1128" t="s">
        <v>3381</v>
      </c>
      <c r="AA4183" s="1128" t="s">
        <v>3384</v>
      </c>
      <c r="AB4183" s="20"/>
      <c r="AC4183" s="73"/>
    </row>
    <row r="4184" spans="1:29" ht="39">
      <c r="A4184" s="327">
        <f>IF(AND($B4184&lt;&gt;"",$C4184&lt;&gt;""),MAX($A$1556:A4159)+1,"")</f>
        <v>194</v>
      </c>
      <c r="B4184" s="359" t="s">
        <v>3798</v>
      </c>
      <c r="C4184" s="370" t="s">
        <v>1582</v>
      </c>
      <c r="D4184" s="327">
        <f>IF($B4184="","",COUNTIF($B$6:$B4184,$B4184))</f>
        <v>1</v>
      </c>
      <c r="E4184" s="411">
        <v>571419</v>
      </c>
      <c r="F4184" s="403" t="s">
        <v>1502</v>
      </c>
      <c r="G4184" s="410" t="s">
        <v>1494</v>
      </c>
      <c r="H4184" s="402"/>
      <c r="I4184" s="402" t="s">
        <v>1499</v>
      </c>
      <c r="J4184" s="361"/>
      <c r="K4184" s="327"/>
      <c r="L4184" s="389">
        <f t="shared" si="346"/>
        <v>1392111</v>
      </c>
      <c r="M4184" s="371"/>
      <c r="N4184" s="355" t="str">
        <f t="shared" si="347"/>
        <v>PK</v>
      </c>
      <c r="O4184" s="345"/>
      <c r="P4184" s="392"/>
      <c r="Q4184" s="392">
        <v>59.85</v>
      </c>
      <c r="R4184" s="441"/>
      <c r="S4184" s="351"/>
      <c r="T4184" s="351"/>
      <c r="U4184" s="329" t="str">
        <f>IF($N4184=$N$4,IFERROR(INDEX(DanhMuc!$E$154:$E$165,MATCH(MID($B4184,4,2),DanhMuc!$B$154:$B$165,0)),""),"")</f>
        <v/>
      </c>
      <c r="V4184" s="361"/>
      <c r="W4184" s="345"/>
      <c r="X4184" s="329" t="str">
        <f t="shared" si="348"/>
        <v>63</v>
      </c>
      <c r="Y4184" s="1128" t="s">
        <v>3380</v>
      </c>
      <c r="Z4184" s="1128" t="s">
        <v>3381</v>
      </c>
      <c r="AA4184" s="1128" t="s">
        <v>3384</v>
      </c>
      <c r="AB4184" s="20"/>
      <c r="AC4184" s="73"/>
    </row>
    <row r="4185" spans="1:29">
      <c r="A4185" s="327" t="str">
        <f>IF(AND($B4185&lt;&gt;"",$C4185&lt;&gt;""),MAX($A$1556:A4160)+1,"")</f>
        <v/>
      </c>
      <c r="B4185" s="361" t="s">
        <v>3798</v>
      </c>
      <c r="C4185" s="360"/>
      <c r="D4185" s="327">
        <f>IF($B4185="","",COUNTIF($B$6:$B4185,$B4185))</f>
        <v>2</v>
      </c>
      <c r="E4185" s="411">
        <v>571420</v>
      </c>
      <c r="F4185" s="403" t="s">
        <v>1503</v>
      </c>
      <c r="G4185" s="410" t="s">
        <v>1495</v>
      </c>
      <c r="H4185" s="402"/>
      <c r="I4185" s="402" t="s">
        <v>1500</v>
      </c>
      <c r="J4185" s="361"/>
      <c r="K4185" s="327"/>
      <c r="L4185" s="389">
        <f t="shared" si="346"/>
        <v>1639364.8</v>
      </c>
      <c r="M4185" s="371"/>
      <c r="N4185" s="355" t="str">
        <f t="shared" si="347"/>
        <v>PK</v>
      </c>
      <c r="O4185" s="345"/>
      <c r="P4185" s="392"/>
      <c r="Q4185" s="392">
        <v>70.48</v>
      </c>
      <c r="R4185" s="441"/>
      <c r="S4185" s="351"/>
      <c r="T4185" s="351"/>
      <c r="U4185" s="329" t="str">
        <f>IF($N4185=$N$4,IFERROR(INDEX(DanhMuc!$E$154:$E$165,MATCH(MID($B4185,4,2),DanhMuc!$B$154:$B$165,0)),""),"")</f>
        <v/>
      </c>
      <c r="V4185" s="361"/>
      <c r="W4185" s="345"/>
      <c r="X4185" s="329" t="str">
        <f t="shared" si="348"/>
        <v>63</v>
      </c>
      <c r="Y4185" s="1128" t="s">
        <v>3380</v>
      </c>
      <c r="Z4185" s="1128" t="s">
        <v>3381</v>
      </c>
      <c r="AA4185" s="1128" t="s">
        <v>3384</v>
      </c>
      <c r="AB4185" s="20"/>
      <c r="AC4185" s="73"/>
    </row>
    <row r="4186" spans="1:29">
      <c r="A4186" s="327" t="str">
        <f>IF(AND($B4186&lt;&gt;"",$C4186&lt;&gt;""),MAX($A$1556:A4161)+1,"")</f>
        <v/>
      </c>
      <c r="B4186" s="361" t="s">
        <v>3798</v>
      </c>
      <c r="C4186" s="360"/>
      <c r="D4186" s="327">
        <f>IF($B4186="","",COUNTIF($B$6:$B4186,$B4186))</f>
        <v>3</v>
      </c>
      <c r="E4186" s="411">
        <v>614284</v>
      </c>
      <c r="F4186" s="403" t="s">
        <v>1504</v>
      </c>
      <c r="G4186" s="410" t="s">
        <v>1496</v>
      </c>
      <c r="H4186" s="402"/>
      <c r="I4186" s="402" t="s">
        <v>1501</v>
      </c>
      <c r="J4186" s="361"/>
      <c r="K4186" s="327"/>
      <c r="L4186" s="389">
        <f t="shared" si="346"/>
        <v>2226912.4</v>
      </c>
      <c r="M4186" s="371"/>
      <c r="N4186" s="355" t="str">
        <f t="shared" si="347"/>
        <v>PK</v>
      </c>
      <c r="O4186" s="345"/>
      <c r="P4186" s="392"/>
      <c r="Q4186" s="392">
        <v>95.74</v>
      </c>
      <c r="R4186" s="441"/>
      <c r="S4186" s="351"/>
      <c r="T4186" s="351"/>
      <c r="U4186" s="329" t="str">
        <f>IF($N4186=$N$4,IFERROR(INDEX(DanhMuc!$E$154:$E$165,MATCH(MID($B4186,4,2),DanhMuc!$B$154:$B$165,0)),""),"")</f>
        <v/>
      </c>
      <c r="V4186" s="361"/>
      <c r="W4186" s="345"/>
      <c r="X4186" s="329" t="str">
        <f t="shared" si="348"/>
        <v>63</v>
      </c>
      <c r="Y4186" s="1128" t="s">
        <v>3380</v>
      </c>
      <c r="Z4186" s="1128" t="s">
        <v>3381</v>
      </c>
      <c r="AA4186" s="1128" t="s">
        <v>3384</v>
      </c>
      <c r="AB4186" s="20"/>
      <c r="AC4186" s="73"/>
    </row>
    <row r="4187" spans="1:29" ht="25">
      <c r="A4187" s="327" t="str">
        <f>IF(AND($B4187&lt;&gt;"",$C4187&lt;&gt;""),MAX($A$1556:A4162)+1,"")</f>
        <v/>
      </c>
      <c r="B4187" s="361" t="s">
        <v>3798</v>
      </c>
      <c r="C4187" s="360"/>
      <c r="D4187" s="327">
        <f>IF($B4187="","",COUNTIF($B$6:$B4187,$B4187))</f>
        <v>4</v>
      </c>
      <c r="E4187" s="600">
        <v>570929</v>
      </c>
      <c r="F4187" s="601" t="s">
        <v>1505</v>
      </c>
      <c r="G4187" s="602" t="s">
        <v>1494</v>
      </c>
      <c r="H4187" s="603"/>
      <c r="I4187" s="603" t="s">
        <v>1499</v>
      </c>
      <c r="J4187" s="361"/>
      <c r="K4187" s="327"/>
      <c r="L4187" s="389">
        <f t="shared" si="346"/>
        <v>2629077.7999999998</v>
      </c>
      <c r="M4187" s="371"/>
      <c r="N4187" s="355" t="str">
        <f t="shared" si="347"/>
        <v>PK</v>
      </c>
      <c r="O4187" s="345"/>
      <c r="P4187" s="392"/>
      <c r="Q4187" s="392">
        <v>113.03</v>
      </c>
      <c r="R4187" s="441"/>
      <c r="S4187" s="351"/>
      <c r="T4187" s="351"/>
      <c r="U4187" s="329" t="str">
        <f>IF($N4187=$N$4,IFERROR(INDEX(DanhMuc!$E$154:$E$165,MATCH(MID($B4187,4,2),DanhMuc!$B$154:$B$165,0)),""),"")</f>
        <v/>
      </c>
      <c r="V4187" s="361"/>
      <c r="W4187" s="345"/>
      <c r="X4187" s="329" t="str">
        <f t="shared" ref="X4187:X4250" si="349">IF($N4187="PR",$E4187,MID($B4187,10,2))</f>
        <v>63</v>
      </c>
      <c r="Y4187" s="1128" t="s">
        <v>3380</v>
      </c>
      <c r="Z4187" s="1128" t="s">
        <v>3381</v>
      </c>
      <c r="AA4187" s="1128" t="s">
        <v>3384</v>
      </c>
      <c r="AB4187" s="20"/>
      <c r="AC4187" s="73"/>
    </row>
    <row r="4188" spans="1:29" ht="25">
      <c r="A4188" s="327" t="str">
        <f>IF(AND($B4188&lt;&gt;"",$C4188&lt;&gt;""),MAX($A$1556:A4163)+1,"")</f>
        <v/>
      </c>
      <c r="B4188" s="361" t="s">
        <v>3798</v>
      </c>
      <c r="C4188" s="360"/>
      <c r="D4188" s="327">
        <f>IF($B4188="","",COUNTIF($B$6:$B4188,$B4188))</f>
        <v>5</v>
      </c>
      <c r="E4188" s="600">
        <v>570930</v>
      </c>
      <c r="F4188" s="601" t="s">
        <v>1506</v>
      </c>
      <c r="G4188" s="602" t="s">
        <v>1495</v>
      </c>
      <c r="H4188" s="603"/>
      <c r="I4188" s="603" t="s">
        <v>1500</v>
      </c>
      <c r="J4188" s="361"/>
      <c r="K4188" s="327"/>
      <c r="L4188" s="389">
        <f t="shared" si="346"/>
        <v>3402240.2</v>
      </c>
      <c r="M4188" s="371"/>
      <c r="N4188" s="355" t="str">
        <f t="shared" si="347"/>
        <v>PK</v>
      </c>
      <c r="O4188" s="345"/>
      <c r="P4188" s="392"/>
      <c r="Q4188" s="392">
        <v>146.27000000000001</v>
      </c>
      <c r="R4188" s="441"/>
      <c r="S4188" s="351"/>
      <c r="T4188" s="351"/>
      <c r="U4188" s="329" t="str">
        <f>IF($N4188=$N$4,IFERROR(INDEX(DanhMuc!$E$154:$E$165,MATCH(MID($B4188,4,2),DanhMuc!$B$154:$B$165,0)),""),"")</f>
        <v/>
      </c>
      <c r="V4188" s="361"/>
      <c r="W4188" s="345"/>
      <c r="X4188" s="329" t="str">
        <f t="shared" si="349"/>
        <v>63</v>
      </c>
      <c r="Y4188" s="1128" t="s">
        <v>3380</v>
      </c>
      <c r="Z4188" s="1128" t="s">
        <v>3381</v>
      </c>
      <c r="AA4188" s="1128" t="s">
        <v>3384</v>
      </c>
      <c r="AB4188" s="20"/>
      <c r="AC4188" s="73"/>
    </row>
    <row r="4189" spans="1:29">
      <c r="A4189" s="327" t="str">
        <f>IF(AND($B4189&lt;&gt;"",$C4189&lt;&gt;""),MAX($A$1556:A4164)+1,"")</f>
        <v/>
      </c>
      <c r="B4189" s="361" t="s">
        <v>3798</v>
      </c>
      <c r="C4189" s="360"/>
      <c r="D4189" s="327">
        <f>IF($B4189="","",COUNTIF($B$6:$B4189,$B4189))</f>
        <v>6</v>
      </c>
      <c r="E4189" s="600">
        <v>614283</v>
      </c>
      <c r="F4189" s="601" t="s">
        <v>1507</v>
      </c>
      <c r="G4189" s="602" t="s">
        <v>1496</v>
      </c>
      <c r="H4189" s="603"/>
      <c r="I4189" s="603" t="s">
        <v>1501</v>
      </c>
      <c r="J4189" s="361"/>
      <c r="K4189" s="327"/>
      <c r="L4189" s="389">
        <f t="shared" si="346"/>
        <v>4330081.5999999996</v>
      </c>
      <c r="M4189" s="371"/>
      <c r="N4189" s="355" t="str">
        <f t="shared" si="347"/>
        <v>PK</v>
      </c>
      <c r="O4189" s="345"/>
      <c r="P4189" s="392"/>
      <c r="Q4189" s="392">
        <v>186.16</v>
      </c>
      <c r="R4189" s="441"/>
      <c r="S4189" s="351"/>
      <c r="T4189" s="351"/>
      <c r="U4189" s="329" t="str">
        <f>IF($N4189=$N$4,IFERROR(INDEX(DanhMuc!$E$154:$E$165,MATCH(MID($B4189,4,2),DanhMuc!$B$154:$B$165,0)),""),"")</f>
        <v/>
      </c>
      <c r="V4189" s="361"/>
      <c r="W4189" s="345"/>
      <c r="X4189" s="329" t="str">
        <f t="shared" si="349"/>
        <v>63</v>
      </c>
      <c r="Y4189" s="1128" t="s">
        <v>3380</v>
      </c>
      <c r="Z4189" s="1128" t="s">
        <v>3381</v>
      </c>
      <c r="AA4189" s="1128" t="s">
        <v>3384</v>
      </c>
      <c r="AB4189" s="20"/>
      <c r="AC4189" s="73"/>
    </row>
    <row r="4190" spans="1:29">
      <c r="A4190" s="327" t="str">
        <f>IF(AND($B4190&lt;&gt;"",$C4190&lt;&gt;""),MAX($A$1556:A4165)+1,"")</f>
        <v/>
      </c>
      <c r="B4190" s="361" t="s">
        <v>3798</v>
      </c>
      <c r="C4190" s="360"/>
      <c r="D4190" s="327">
        <f>IF($B4190="","",COUNTIF($B$6:$B4190,$B4190))</f>
        <v>7</v>
      </c>
      <c r="E4190" s="430">
        <v>206898</v>
      </c>
      <c r="F4190" s="362" t="s">
        <v>1508</v>
      </c>
      <c r="G4190" s="327" t="s">
        <v>1497</v>
      </c>
      <c r="H4190" s="361"/>
      <c r="I4190" s="327">
        <v>2</v>
      </c>
      <c r="J4190" s="345"/>
      <c r="K4190" s="327"/>
      <c r="L4190" s="389">
        <f t="shared" si="346"/>
        <v>278422.2</v>
      </c>
      <c r="M4190" s="371"/>
      <c r="N4190" s="355" t="str">
        <f t="shared" si="347"/>
        <v>PK</v>
      </c>
      <c r="O4190" s="345"/>
      <c r="P4190" s="392"/>
      <c r="Q4190" s="392">
        <v>11.97</v>
      </c>
      <c r="R4190" s="441"/>
      <c r="S4190" s="351"/>
      <c r="T4190" s="351"/>
      <c r="U4190" s="329" t="str">
        <f>IF($N4190=$N$4,IFERROR(INDEX(DanhMuc!$E$154:$E$165,MATCH(MID($B4190,4,2),DanhMuc!$B$154:$B$165,0)),""),"")</f>
        <v/>
      </c>
      <c r="V4190" s="361"/>
      <c r="W4190" s="345"/>
      <c r="X4190" s="329" t="str">
        <f t="shared" si="349"/>
        <v>63</v>
      </c>
      <c r="Y4190" s="1128" t="s">
        <v>3380</v>
      </c>
      <c r="Z4190" s="1128" t="s">
        <v>3381</v>
      </c>
      <c r="AA4190" s="1128" t="s">
        <v>3384</v>
      </c>
      <c r="AB4190" s="20"/>
      <c r="AC4190" s="73"/>
    </row>
    <row r="4191" spans="1:29" ht="25">
      <c r="A4191" s="327" t="str">
        <f>IF(AND($B4191&lt;&gt;"",$C4191&lt;&gt;""),MAX($A$1556:A4166)+1,"")</f>
        <v/>
      </c>
      <c r="B4191" s="361" t="s">
        <v>3798</v>
      </c>
      <c r="C4191" s="360"/>
      <c r="D4191" s="327">
        <f>IF($B4191="","",COUNTIF($B$6:$B4191,$B4191))</f>
        <v>8</v>
      </c>
      <c r="E4191" s="430">
        <v>626452</v>
      </c>
      <c r="F4191" s="362" t="s">
        <v>1509</v>
      </c>
      <c r="G4191" s="327" t="s">
        <v>344</v>
      </c>
      <c r="H4191" s="361"/>
      <c r="I4191" s="327">
        <v>1</v>
      </c>
      <c r="J4191" s="345"/>
      <c r="K4191" s="327"/>
      <c r="L4191" s="389">
        <f t="shared" si="346"/>
        <v>46752.6</v>
      </c>
      <c r="M4191" s="371"/>
      <c r="N4191" s="355" t="str">
        <f t="shared" si="347"/>
        <v>PK</v>
      </c>
      <c r="O4191" s="345"/>
      <c r="P4191" s="392"/>
      <c r="Q4191" s="392">
        <v>2.0099999999999998</v>
      </c>
      <c r="R4191" s="441"/>
      <c r="S4191" s="351"/>
      <c r="T4191" s="351"/>
      <c r="U4191" s="329" t="str">
        <f>IF($N4191=$N$4,IFERROR(INDEX(DanhMuc!$E$154:$E$165,MATCH(MID($B4191,4,2),DanhMuc!$B$154:$B$165,0)),""),"")</f>
        <v/>
      </c>
      <c r="V4191" s="361"/>
      <c r="W4191" s="345"/>
      <c r="X4191" s="329" t="str">
        <f t="shared" si="349"/>
        <v>63</v>
      </c>
      <c r="Y4191" s="1128" t="s">
        <v>3380</v>
      </c>
      <c r="Z4191" s="1128" t="s">
        <v>3381</v>
      </c>
      <c r="AA4191" s="1128" t="s">
        <v>3384</v>
      </c>
      <c r="AB4191" s="20"/>
      <c r="AC4191" s="73"/>
    </row>
    <row r="4192" spans="1:29" ht="25">
      <c r="A4192" s="327" t="str">
        <f>IF(AND($B4192&lt;&gt;"",$C4192&lt;&gt;""),MAX($A$1556:A4167)+1,"")</f>
        <v/>
      </c>
      <c r="B4192" s="361" t="s">
        <v>3798</v>
      </c>
      <c r="C4192" s="360"/>
      <c r="D4192" s="327">
        <f>IF($B4192="","",COUNTIF($B$6:$B4192,$B4192))</f>
        <v>9</v>
      </c>
      <c r="E4192" s="430">
        <v>336451</v>
      </c>
      <c r="F4192" s="362" t="s">
        <v>1510</v>
      </c>
      <c r="G4192" s="327" t="s">
        <v>344</v>
      </c>
      <c r="H4192" s="361"/>
      <c r="I4192" s="327">
        <v>1</v>
      </c>
      <c r="J4192" s="345"/>
      <c r="K4192" s="327"/>
      <c r="L4192" s="389">
        <f t="shared" si="346"/>
        <v>188638.59999999998</v>
      </c>
      <c r="M4192" s="371"/>
      <c r="N4192" s="355" t="str">
        <f t="shared" si="347"/>
        <v>PK</v>
      </c>
      <c r="O4192" s="345"/>
      <c r="P4192" s="392"/>
      <c r="Q4192" s="392">
        <v>8.11</v>
      </c>
      <c r="R4192" s="441"/>
      <c r="S4192" s="351"/>
      <c r="T4192" s="351"/>
      <c r="U4192" s="329" t="str">
        <f>IF($N4192=$N$4,IFERROR(INDEX(DanhMuc!$E$154:$E$165,MATCH(MID($B4192,4,2),DanhMuc!$B$154:$B$165,0)),""),"")</f>
        <v/>
      </c>
      <c r="V4192" s="361"/>
      <c r="W4192" s="345"/>
      <c r="X4192" s="329" t="str">
        <f t="shared" si="349"/>
        <v>63</v>
      </c>
      <c r="Y4192" s="1128" t="s">
        <v>3380</v>
      </c>
      <c r="Z4192" s="1128" t="s">
        <v>3381</v>
      </c>
      <c r="AA4192" s="1128" t="s">
        <v>3384</v>
      </c>
      <c r="AB4192" s="20"/>
      <c r="AC4192" s="73"/>
    </row>
    <row r="4193" spans="1:29" ht="25">
      <c r="A4193" s="327" t="str">
        <f>IF(AND($B4193&lt;&gt;"",$C4193&lt;&gt;""),MAX($A$1556:A4168)+1,"")</f>
        <v/>
      </c>
      <c r="B4193" s="361" t="s">
        <v>3798</v>
      </c>
      <c r="C4193" s="360"/>
      <c r="D4193" s="327">
        <f>IF($B4193="","",COUNTIF($B$6:$B4193,$B4193))</f>
        <v>10</v>
      </c>
      <c r="E4193" s="430">
        <v>312563</v>
      </c>
      <c r="F4193" s="362" t="s">
        <v>1511</v>
      </c>
      <c r="G4193" s="327" t="s">
        <v>344</v>
      </c>
      <c r="H4193" s="361"/>
      <c r="I4193" s="327">
        <v>2</v>
      </c>
      <c r="J4193" s="345"/>
      <c r="K4193" s="327"/>
      <c r="L4193" s="389">
        <f t="shared" si="346"/>
        <v>2584651.2000000002</v>
      </c>
      <c r="M4193" s="371"/>
      <c r="N4193" s="355" t="str">
        <f t="shared" si="347"/>
        <v>PK</v>
      </c>
      <c r="O4193" s="345"/>
      <c r="P4193" s="392"/>
      <c r="Q4193" s="392">
        <v>111.12</v>
      </c>
      <c r="R4193" s="441"/>
      <c r="S4193" s="351"/>
      <c r="T4193" s="351"/>
      <c r="U4193" s="329" t="str">
        <f>IF($N4193=$N$4,IFERROR(INDEX(DanhMuc!$E$154:$E$165,MATCH(MID($B4193,4,2),DanhMuc!$B$154:$B$165,0)),""),"")</f>
        <v/>
      </c>
      <c r="V4193" s="361"/>
      <c r="W4193" s="345"/>
      <c r="X4193" s="329" t="str">
        <f t="shared" si="349"/>
        <v>63</v>
      </c>
      <c r="Y4193" s="1128" t="s">
        <v>3380</v>
      </c>
      <c r="Z4193" s="1128" t="s">
        <v>3381</v>
      </c>
      <c r="AA4193" s="1128" t="s">
        <v>3384</v>
      </c>
      <c r="AB4193" s="20"/>
      <c r="AC4193" s="73"/>
    </row>
    <row r="4194" spans="1:29">
      <c r="A4194" s="327" t="str">
        <f>IF(AND($B4194&lt;&gt;"",$C4194&lt;&gt;""),MAX($A$1556:A4169)+1,"")</f>
        <v/>
      </c>
      <c r="B4194" s="361" t="s">
        <v>3798</v>
      </c>
      <c r="C4194" s="360"/>
      <c r="D4194" s="327">
        <f>IF($B4194="","",COUNTIF($B$6:$B4194,$B4194))</f>
        <v>11</v>
      </c>
      <c r="E4194" s="430">
        <v>312566</v>
      </c>
      <c r="F4194" s="362" t="s">
        <v>1512</v>
      </c>
      <c r="G4194" s="327" t="s">
        <v>344</v>
      </c>
      <c r="H4194" s="361"/>
      <c r="I4194" s="327">
        <v>2</v>
      </c>
      <c r="J4194" s="345"/>
      <c r="K4194" s="327"/>
      <c r="L4194" s="389">
        <f t="shared" si="346"/>
        <v>2280410.4000000004</v>
      </c>
      <c r="M4194" s="371"/>
      <c r="N4194" s="355" t="str">
        <f t="shared" si="347"/>
        <v>PK</v>
      </c>
      <c r="O4194" s="345"/>
      <c r="P4194" s="392"/>
      <c r="Q4194" s="392">
        <v>98.04</v>
      </c>
      <c r="R4194" s="441"/>
      <c r="S4194" s="351"/>
      <c r="T4194" s="351"/>
      <c r="U4194" s="329" t="str">
        <f>IF($N4194=$N$4,IFERROR(INDEX(DanhMuc!$E$154:$E$165,MATCH(MID($B4194,4,2),DanhMuc!$B$154:$B$165,0)),""),"")</f>
        <v/>
      </c>
      <c r="V4194" s="361"/>
      <c r="W4194" s="345"/>
      <c r="X4194" s="329" t="str">
        <f t="shared" si="349"/>
        <v>63</v>
      </c>
      <c r="Y4194" s="1128" t="s">
        <v>3380</v>
      </c>
      <c r="Z4194" s="1128" t="s">
        <v>3381</v>
      </c>
      <c r="AA4194" s="1128" t="s">
        <v>3384</v>
      </c>
      <c r="AB4194" s="20"/>
      <c r="AC4194" s="73"/>
    </row>
    <row r="4195" spans="1:29" ht="25">
      <c r="A4195" s="327" t="str">
        <f>IF(AND($B4195&lt;&gt;"",$C4195&lt;&gt;""),MAX($A$1556:A4170)+1,"")</f>
        <v/>
      </c>
      <c r="B4195" s="361" t="s">
        <v>3798</v>
      </c>
      <c r="C4195" s="360"/>
      <c r="D4195" s="327">
        <f>IF($B4195="","",COUNTIF($B$6:$B4195,$B4195))</f>
        <v>12</v>
      </c>
      <c r="E4195" s="430">
        <v>733375</v>
      </c>
      <c r="F4195" s="362" t="s">
        <v>1393</v>
      </c>
      <c r="G4195" s="327" t="s">
        <v>1498</v>
      </c>
      <c r="H4195" s="361"/>
      <c r="I4195" s="327">
        <v>2</v>
      </c>
      <c r="J4195" s="345"/>
      <c r="K4195" s="327"/>
      <c r="L4195" s="389">
        <f>+$L$3808*$Q4195/3</f>
        <v>278422.2</v>
      </c>
      <c r="M4195" s="371"/>
      <c r="N4195" s="355" t="str">
        <f t="shared" si="347"/>
        <v>PK</v>
      </c>
      <c r="O4195" s="345"/>
      <c r="P4195" s="392"/>
      <c r="Q4195" s="392">
        <v>35.909999999999997</v>
      </c>
      <c r="R4195" s="441"/>
      <c r="S4195" s="351"/>
      <c r="T4195" s="351"/>
      <c r="U4195" s="329" t="str">
        <f>IF($N4195=$N$4,IFERROR(INDEX(DanhMuc!$E$154:$E$165,MATCH(MID($B4195,4,2),DanhMuc!$B$154:$B$165,0)),""),"")</f>
        <v/>
      </c>
      <c r="V4195" s="361"/>
      <c r="W4195" s="345"/>
      <c r="X4195" s="329" t="str">
        <f t="shared" si="349"/>
        <v>63</v>
      </c>
      <c r="Y4195" s="1128" t="s">
        <v>3380</v>
      </c>
      <c r="Z4195" s="1128" t="s">
        <v>3381</v>
      </c>
      <c r="AA4195" s="1128" t="s">
        <v>3384</v>
      </c>
      <c r="AB4195" s="20"/>
      <c r="AC4195" s="73"/>
    </row>
    <row r="4196" spans="1:29" ht="25">
      <c r="A4196" s="327" t="str">
        <f>IF(AND($B4196&lt;&gt;"",$C4196&lt;&gt;""),MAX($A$1556:A4171)+1,"")</f>
        <v/>
      </c>
      <c r="B4196" s="361" t="s">
        <v>3798</v>
      </c>
      <c r="C4196" s="360"/>
      <c r="D4196" s="327">
        <f>IF($B4196="","",COUNTIF($B$6:$B4196,$B4196))</f>
        <v>13</v>
      </c>
      <c r="E4196" s="430">
        <v>734361</v>
      </c>
      <c r="F4196" s="362" t="s">
        <v>1513</v>
      </c>
      <c r="G4196" s="327" t="s">
        <v>1498</v>
      </c>
      <c r="H4196" s="361"/>
      <c r="I4196" s="327">
        <v>4</v>
      </c>
      <c r="J4196" s="345"/>
      <c r="K4196" s="327"/>
      <c r="L4196" s="389">
        <f t="shared" si="346"/>
        <v>928074</v>
      </c>
      <c r="M4196" s="371"/>
      <c r="N4196" s="355" t="str">
        <f t="shared" si="347"/>
        <v>PK</v>
      </c>
      <c r="O4196" s="345"/>
      <c r="P4196" s="392"/>
      <c r="Q4196" s="392">
        <v>39.9</v>
      </c>
      <c r="R4196" s="441"/>
      <c r="S4196" s="351"/>
      <c r="T4196" s="351"/>
      <c r="U4196" s="329" t="str">
        <f>IF($N4196=$N$4,IFERROR(INDEX(DanhMuc!$E$154:$E$165,MATCH(MID($B4196,4,2),DanhMuc!$B$154:$B$165,0)),""),"")</f>
        <v/>
      </c>
      <c r="V4196" s="361"/>
      <c r="W4196" s="345"/>
      <c r="X4196" s="329" t="str">
        <f t="shared" si="349"/>
        <v>63</v>
      </c>
      <c r="Y4196" s="1128" t="s">
        <v>3380</v>
      </c>
      <c r="Z4196" s="1128" t="s">
        <v>3381</v>
      </c>
      <c r="AA4196" s="1128" t="s">
        <v>3384</v>
      </c>
      <c r="AB4196" s="20"/>
      <c r="AC4196" s="73"/>
    </row>
    <row r="4197" spans="1:29" ht="25">
      <c r="A4197" s="327" t="str">
        <f>IF(AND($B4197&lt;&gt;"",$C4197&lt;&gt;""),MAX($A$1556:A4172)+1,"")</f>
        <v/>
      </c>
      <c r="B4197" s="361" t="s">
        <v>3798</v>
      </c>
      <c r="C4197" s="360"/>
      <c r="D4197" s="327">
        <f>IF($B4197="","",COUNTIF($B$6:$B4197,$B4197))</f>
        <v>14</v>
      </c>
      <c r="E4197" s="430">
        <v>733369</v>
      </c>
      <c r="F4197" s="362" t="s">
        <v>1395</v>
      </c>
      <c r="G4197" s="327" t="s">
        <v>1498</v>
      </c>
      <c r="H4197" s="361"/>
      <c r="I4197" s="327">
        <v>6</v>
      </c>
      <c r="J4197" s="345"/>
      <c r="K4197" s="327"/>
      <c r="L4197" s="389">
        <f>+$L$3808*$Q4197/3</f>
        <v>188793.66666666666</v>
      </c>
      <c r="M4197" s="371"/>
      <c r="N4197" s="355" t="str">
        <f t="shared" si="347"/>
        <v>PK</v>
      </c>
      <c r="O4197" s="345"/>
      <c r="P4197" s="392"/>
      <c r="Q4197" s="392">
        <v>24.35</v>
      </c>
      <c r="R4197" s="441"/>
      <c r="S4197" s="351"/>
      <c r="T4197" s="351"/>
      <c r="U4197" s="329" t="str">
        <f>IF($N4197=$N$4,IFERROR(INDEX(DanhMuc!$E$154:$E$165,MATCH(MID($B4197,4,2),DanhMuc!$B$154:$B$165,0)),""),"")</f>
        <v/>
      </c>
      <c r="V4197" s="361"/>
      <c r="W4197" s="345"/>
      <c r="X4197" s="329" t="str">
        <f t="shared" si="349"/>
        <v>63</v>
      </c>
      <c r="Y4197" s="1128" t="s">
        <v>3380</v>
      </c>
      <c r="Z4197" s="1128" t="s">
        <v>3381</v>
      </c>
      <c r="AA4197" s="1128" t="s">
        <v>3384</v>
      </c>
      <c r="AB4197" s="20"/>
      <c r="AC4197" s="73"/>
    </row>
    <row r="4198" spans="1:29">
      <c r="A4198" s="327" t="str">
        <f>IF(AND($B4198&lt;&gt;"",$C4198&lt;&gt;""),MAX($A$1556:A4173)+1,"")</f>
        <v/>
      </c>
      <c r="B4198" s="361" t="s">
        <v>3798</v>
      </c>
      <c r="C4198" s="360"/>
      <c r="D4198" s="327">
        <f>IF($B4198="","",COUNTIF($B$6:$B4198,$B4198))</f>
        <v>15</v>
      </c>
      <c r="E4198" s="430">
        <v>734492</v>
      </c>
      <c r="F4198" s="362" t="s">
        <v>1514</v>
      </c>
      <c r="G4198" s="327" t="s">
        <v>1498</v>
      </c>
      <c r="H4198" s="361"/>
      <c r="I4198" s="327">
        <v>6</v>
      </c>
      <c r="J4198" s="345"/>
      <c r="K4198" s="327"/>
      <c r="L4198" s="389">
        <f t="shared" si="346"/>
        <v>928074</v>
      </c>
      <c r="M4198" s="371"/>
      <c r="N4198" s="355" t="str">
        <f t="shared" si="347"/>
        <v>PK</v>
      </c>
      <c r="O4198" s="345"/>
      <c r="P4198" s="392"/>
      <c r="Q4198" s="392">
        <v>39.9</v>
      </c>
      <c r="R4198" s="441"/>
      <c r="S4198" s="351"/>
      <c r="T4198" s="351"/>
      <c r="U4198" s="329" t="str">
        <f>IF($N4198=$N$4,IFERROR(INDEX(DanhMuc!$E$154:$E$165,MATCH(MID($B4198,4,2),DanhMuc!$B$154:$B$165,0)),""),"")</f>
        <v/>
      </c>
      <c r="V4198" s="361"/>
      <c r="W4198" s="345"/>
      <c r="X4198" s="329" t="str">
        <f t="shared" si="349"/>
        <v>63</v>
      </c>
      <c r="Y4198" s="1128" t="s">
        <v>3380</v>
      </c>
      <c r="Z4198" s="1128" t="s">
        <v>3381</v>
      </c>
      <c r="AA4198" s="1128" t="s">
        <v>3384</v>
      </c>
      <c r="AB4198" s="20"/>
      <c r="AC4198" s="73"/>
    </row>
    <row r="4199" spans="1:29" ht="25">
      <c r="A4199" s="327" t="str">
        <f>IF(AND($B4199&lt;&gt;"",$C4199&lt;&gt;""),MAX($A$1556:A4174)+1,"")</f>
        <v/>
      </c>
      <c r="B4199" s="361" t="s">
        <v>3798</v>
      </c>
      <c r="C4199" s="360"/>
      <c r="D4199" s="327">
        <f>IF($B4199="","",COUNTIF($B$6:$B4199,$B4199))</f>
        <v>16</v>
      </c>
      <c r="E4199" s="430">
        <v>312831</v>
      </c>
      <c r="F4199" s="431" t="s">
        <v>1515</v>
      </c>
      <c r="G4199" s="327" t="s">
        <v>1498</v>
      </c>
      <c r="H4199" s="361"/>
      <c r="I4199" s="327">
        <v>6</v>
      </c>
      <c r="J4199" s="345"/>
      <c r="K4199" s="327"/>
      <c r="L4199" s="389">
        <f>+$L$3808*$Q4199/3</f>
        <v>15584.199999999999</v>
      </c>
      <c r="M4199" s="371"/>
      <c r="N4199" s="355" t="str">
        <f t="shared" si="347"/>
        <v>PK</v>
      </c>
      <c r="O4199" s="345"/>
      <c r="P4199" s="392"/>
      <c r="Q4199" s="392">
        <v>2.0099999999999998</v>
      </c>
      <c r="R4199" s="441"/>
      <c r="S4199" s="351"/>
      <c r="T4199" s="351"/>
      <c r="U4199" s="329" t="str">
        <f>IF($N4199=$N$4,IFERROR(INDEX(DanhMuc!$E$154:$E$165,MATCH(MID($B4199,4,2),DanhMuc!$B$154:$B$165,0)),""),"")</f>
        <v/>
      </c>
      <c r="V4199" s="361"/>
      <c r="W4199" s="345"/>
      <c r="X4199" s="329" t="str">
        <f t="shared" si="349"/>
        <v>63</v>
      </c>
      <c r="Y4199" s="1128" t="s">
        <v>3380</v>
      </c>
      <c r="Z4199" s="1128" t="s">
        <v>3381</v>
      </c>
      <c r="AA4199" s="1128" t="s">
        <v>3384</v>
      </c>
      <c r="AB4199" s="20"/>
      <c r="AC4199" s="73"/>
    </row>
    <row r="4200" spans="1:29">
      <c r="A4200" s="327" t="str">
        <f>IF(AND($B4200&lt;&gt;"",$C4200&lt;&gt;""),MAX($A$1556:A4175)+1,"")</f>
        <v/>
      </c>
      <c r="B4200" s="361" t="s">
        <v>3798</v>
      </c>
      <c r="C4200" s="360"/>
      <c r="D4200" s="327">
        <f>IF($B4200="","",COUNTIF($B$6:$B4200,$B4200))</f>
        <v>17</v>
      </c>
      <c r="E4200" s="430">
        <v>340208</v>
      </c>
      <c r="F4200" s="431" t="s">
        <v>1516</v>
      </c>
      <c r="G4200" s="327" t="s">
        <v>344</v>
      </c>
      <c r="H4200" s="361"/>
      <c r="I4200" s="327">
        <v>4</v>
      </c>
      <c r="J4200" s="345"/>
      <c r="K4200" s="327"/>
      <c r="L4200" s="389">
        <f t="shared" si="346"/>
        <v>238647.6</v>
      </c>
      <c r="M4200" s="371"/>
      <c r="N4200" s="355" t="str">
        <f t="shared" si="347"/>
        <v>PK</v>
      </c>
      <c r="O4200" s="345"/>
      <c r="P4200" s="392"/>
      <c r="Q4200" s="392">
        <v>10.26</v>
      </c>
      <c r="R4200" s="441"/>
      <c r="S4200" s="351"/>
      <c r="T4200" s="351"/>
      <c r="U4200" s="329" t="str">
        <f>IF($N4200=$N$4,IFERROR(INDEX(DanhMuc!$E$154:$E$165,MATCH(MID($B4200,4,2),DanhMuc!$B$154:$B$165,0)),""),"")</f>
        <v/>
      </c>
      <c r="V4200" s="361"/>
      <c r="W4200" s="345"/>
      <c r="X4200" s="329" t="str">
        <f t="shared" si="349"/>
        <v>63</v>
      </c>
      <c r="Y4200" s="1128" t="s">
        <v>3380</v>
      </c>
      <c r="Z4200" s="1128" t="s">
        <v>3381</v>
      </c>
      <c r="AA4200" s="1128" t="s">
        <v>3384</v>
      </c>
      <c r="AB4200" s="20"/>
      <c r="AC4200" s="73"/>
    </row>
    <row r="4201" spans="1:29" ht="39">
      <c r="A4201" s="327">
        <f>IF(AND($B4201&lt;&gt;"",$C4201&lt;&gt;""),MAX($A$1556:A4176)+1,"")</f>
        <v>195</v>
      </c>
      <c r="B4201" s="359" t="s">
        <v>3799</v>
      </c>
      <c r="C4201" s="370" t="s">
        <v>1583</v>
      </c>
      <c r="D4201" s="327">
        <f>IF($B4201="","",COUNTIF($B$6:$B4201,$B4201))</f>
        <v>1</v>
      </c>
      <c r="E4201" s="411">
        <v>571419</v>
      </c>
      <c r="F4201" s="403" t="s">
        <v>1502</v>
      </c>
      <c r="G4201" s="410" t="s">
        <v>1494</v>
      </c>
      <c r="H4201" s="402"/>
      <c r="I4201" s="402" t="s">
        <v>1499</v>
      </c>
      <c r="J4201" s="361"/>
      <c r="K4201" s="327"/>
      <c r="L4201" s="389">
        <f t="shared" si="346"/>
        <v>1392111</v>
      </c>
      <c r="M4201" s="371"/>
      <c r="N4201" s="355" t="str">
        <f t="shared" si="347"/>
        <v>PK</v>
      </c>
      <c r="O4201" s="345"/>
      <c r="P4201" s="392"/>
      <c r="Q4201" s="392">
        <v>59.85</v>
      </c>
      <c r="R4201" s="441"/>
      <c r="S4201" s="351"/>
      <c r="T4201" s="351"/>
      <c r="U4201" s="329" t="str">
        <f>IF($N4201=$N$4,IFERROR(INDEX(DanhMuc!$E$154:$E$165,MATCH(MID($B4201,4,2),DanhMuc!$B$154:$B$165,0)),""),"")</f>
        <v/>
      </c>
      <c r="V4201" s="361"/>
      <c r="W4201" s="345"/>
      <c r="X4201" s="329" t="str">
        <f t="shared" si="349"/>
        <v>65</v>
      </c>
      <c r="Y4201" s="1128" t="s">
        <v>3380</v>
      </c>
      <c r="Z4201" s="1128" t="s">
        <v>3381</v>
      </c>
      <c r="AA4201" s="1128" t="s">
        <v>3384</v>
      </c>
      <c r="AB4201" s="20"/>
      <c r="AC4201" s="73"/>
    </row>
    <row r="4202" spans="1:29">
      <c r="A4202" s="327" t="str">
        <f>IF(AND($B4202&lt;&gt;"",$C4202&lt;&gt;""),MAX($A$1556:A4177)+1,"")</f>
        <v/>
      </c>
      <c r="B4202" s="361" t="s">
        <v>3799</v>
      </c>
      <c r="C4202" s="360"/>
      <c r="D4202" s="327">
        <f>IF($B4202="","",COUNTIF($B$6:$B4202,$B4202))</f>
        <v>2</v>
      </c>
      <c r="E4202" s="411">
        <v>571420</v>
      </c>
      <c r="F4202" s="403" t="s">
        <v>1503</v>
      </c>
      <c r="G4202" s="410" t="s">
        <v>1495</v>
      </c>
      <c r="H4202" s="402"/>
      <c r="I4202" s="402" t="s">
        <v>1500</v>
      </c>
      <c r="J4202" s="361"/>
      <c r="K4202" s="327"/>
      <c r="L4202" s="389">
        <f t="shared" si="346"/>
        <v>1639364.8</v>
      </c>
      <c r="M4202" s="371"/>
      <c r="N4202" s="355" t="str">
        <f t="shared" si="347"/>
        <v>PK</v>
      </c>
      <c r="O4202" s="345"/>
      <c r="P4202" s="392"/>
      <c r="Q4202" s="392">
        <v>70.48</v>
      </c>
      <c r="R4202" s="441"/>
      <c r="S4202" s="351"/>
      <c r="T4202" s="351"/>
      <c r="U4202" s="329" t="str">
        <f>IF($N4202=$N$4,IFERROR(INDEX(DanhMuc!$E$154:$E$165,MATCH(MID($B4202,4,2),DanhMuc!$B$154:$B$165,0)),""),"")</f>
        <v/>
      </c>
      <c r="V4202" s="361"/>
      <c r="W4202" s="345"/>
      <c r="X4202" s="329" t="str">
        <f t="shared" si="349"/>
        <v>65</v>
      </c>
      <c r="Y4202" s="1128" t="s">
        <v>3380</v>
      </c>
      <c r="Z4202" s="1128" t="s">
        <v>3381</v>
      </c>
      <c r="AA4202" s="1128" t="s">
        <v>3384</v>
      </c>
      <c r="AB4202" s="20"/>
      <c r="AC4202" s="73"/>
    </row>
    <row r="4203" spans="1:29">
      <c r="A4203" s="327" t="str">
        <f>IF(AND($B4203&lt;&gt;"",$C4203&lt;&gt;""),MAX($A$1556:A4178)+1,"")</f>
        <v/>
      </c>
      <c r="B4203" s="361" t="s">
        <v>3799</v>
      </c>
      <c r="C4203" s="360"/>
      <c r="D4203" s="327">
        <f>IF($B4203="","",COUNTIF($B$6:$B4203,$B4203))</f>
        <v>3</v>
      </c>
      <c r="E4203" s="411">
        <v>614284</v>
      </c>
      <c r="F4203" s="403" t="s">
        <v>1504</v>
      </c>
      <c r="G4203" s="410" t="s">
        <v>1496</v>
      </c>
      <c r="H4203" s="402"/>
      <c r="I4203" s="402" t="s">
        <v>1501</v>
      </c>
      <c r="J4203" s="361"/>
      <c r="K4203" s="327"/>
      <c r="L4203" s="389">
        <f t="shared" si="346"/>
        <v>2226912.4</v>
      </c>
      <c r="M4203" s="371"/>
      <c r="N4203" s="355" t="str">
        <f t="shared" si="347"/>
        <v>PK</v>
      </c>
      <c r="O4203" s="345"/>
      <c r="P4203" s="392"/>
      <c r="Q4203" s="392">
        <v>95.74</v>
      </c>
      <c r="R4203" s="441"/>
      <c r="S4203" s="351"/>
      <c r="T4203" s="351"/>
      <c r="U4203" s="329" t="str">
        <f>IF($N4203=$N$4,IFERROR(INDEX(DanhMuc!$E$154:$E$165,MATCH(MID($B4203,4,2),DanhMuc!$B$154:$B$165,0)),""),"")</f>
        <v/>
      </c>
      <c r="V4203" s="361"/>
      <c r="W4203" s="345"/>
      <c r="X4203" s="329" t="str">
        <f t="shared" si="349"/>
        <v>65</v>
      </c>
      <c r="Y4203" s="1128" t="s">
        <v>3380</v>
      </c>
      <c r="Z4203" s="1128" t="s">
        <v>3381</v>
      </c>
      <c r="AA4203" s="1128" t="s">
        <v>3384</v>
      </c>
      <c r="AB4203" s="20"/>
      <c r="AC4203" s="73"/>
    </row>
    <row r="4204" spans="1:29" ht="25">
      <c r="A4204" s="327" t="str">
        <f>IF(AND($B4204&lt;&gt;"",$C4204&lt;&gt;""),MAX($A$1556:A4179)+1,"")</f>
        <v/>
      </c>
      <c r="B4204" s="361" t="s">
        <v>3799</v>
      </c>
      <c r="C4204" s="360"/>
      <c r="D4204" s="327">
        <f>IF($B4204="","",COUNTIF($B$6:$B4204,$B4204))</f>
        <v>4</v>
      </c>
      <c r="E4204" s="600">
        <v>570929</v>
      </c>
      <c r="F4204" s="601" t="s">
        <v>1505</v>
      </c>
      <c r="G4204" s="602" t="s">
        <v>1494</v>
      </c>
      <c r="H4204" s="603"/>
      <c r="I4204" s="603" t="s">
        <v>1499</v>
      </c>
      <c r="J4204" s="361"/>
      <c r="K4204" s="327"/>
      <c r="L4204" s="389">
        <f t="shared" si="346"/>
        <v>2629077.7999999998</v>
      </c>
      <c r="M4204" s="371"/>
      <c r="N4204" s="355" t="str">
        <f t="shared" si="347"/>
        <v>PK</v>
      </c>
      <c r="O4204" s="345"/>
      <c r="P4204" s="392"/>
      <c r="Q4204" s="392">
        <v>113.03</v>
      </c>
      <c r="R4204" s="441"/>
      <c r="S4204" s="351"/>
      <c r="T4204" s="351"/>
      <c r="U4204" s="329" t="str">
        <f>IF($N4204=$N$4,IFERROR(INDEX(DanhMuc!$E$154:$E$165,MATCH(MID($B4204,4,2),DanhMuc!$B$154:$B$165,0)),""),"")</f>
        <v/>
      </c>
      <c r="V4204" s="361"/>
      <c r="W4204" s="345"/>
      <c r="X4204" s="329" t="str">
        <f t="shared" si="349"/>
        <v>65</v>
      </c>
      <c r="Y4204" s="1128" t="s">
        <v>3380</v>
      </c>
      <c r="Z4204" s="1128" t="s">
        <v>3381</v>
      </c>
      <c r="AA4204" s="1128" t="s">
        <v>3384</v>
      </c>
      <c r="AB4204" s="20"/>
      <c r="AC4204" s="73"/>
    </row>
    <row r="4205" spans="1:29" ht="25">
      <c r="A4205" s="327" t="str">
        <f>IF(AND($B4205&lt;&gt;"",$C4205&lt;&gt;""),MAX($A$1556:A4180)+1,"")</f>
        <v/>
      </c>
      <c r="B4205" s="361" t="s">
        <v>3799</v>
      </c>
      <c r="C4205" s="360"/>
      <c r="D4205" s="327">
        <f>IF($B4205="","",COUNTIF($B$6:$B4205,$B4205))</f>
        <v>5</v>
      </c>
      <c r="E4205" s="600">
        <v>570930</v>
      </c>
      <c r="F4205" s="601" t="s">
        <v>1506</v>
      </c>
      <c r="G4205" s="602" t="s">
        <v>1495</v>
      </c>
      <c r="H4205" s="603"/>
      <c r="I4205" s="603" t="s">
        <v>1500</v>
      </c>
      <c r="J4205" s="361"/>
      <c r="K4205" s="327"/>
      <c r="L4205" s="389">
        <f t="shared" si="346"/>
        <v>3402240.2</v>
      </c>
      <c r="M4205" s="371"/>
      <c r="N4205" s="355" t="str">
        <f t="shared" si="347"/>
        <v>PK</v>
      </c>
      <c r="O4205" s="345"/>
      <c r="P4205" s="392"/>
      <c r="Q4205" s="392">
        <v>146.27000000000001</v>
      </c>
      <c r="R4205" s="441"/>
      <c r="S4205" s="351"/>
      <c r="T4205" s="351"/>
      <c r="U4205" s="329" t="str">
        <f>IF($N4205=$N$4,IFERROR(INDEX(DanhMuc!$E$154:$E$165,MATCH(MID($B4205,4,2),DanhMuc!$B$154:$B$165,0)),""),"")</f>
        <v/>
      </c>
      <c r="V4205" s="361"/>
      <c r="W4205" s="345"/>
      <c r="X4205" s="329" t="str">
        <f t="shared" si="349"/>
        <v>65</v>
      </c>
      <c r="Y4205" s="1128" t="s">
        <v>3380</v>
      </c>
      <c r="Z4205" s="1128" t="s">
        <v>3381</v>
      </c>
      <c r="AA4205" s="1128" t="s">
        <v>3384</v>
      </c>
      <c r="AB4205" s="20"/>
      <c r="AC4205" s="73"/>
    </row>
    <row r="4206" spans="1:29">
      <c r="A4206" s="327" t="str">
        <f>IF(AND($B4206&lt;&gt;"",$C4206&lt;&gt;""),MAX($A$1556:A4181)+1,"")</f>
        <v/>
      </c>
      <c r="B4206" s="361" t="s">
        <v>3799</v>
      </c>
      <c r="C4206" s="360"/>
      <c r="D4206" s="327">
        <f>IF($B4206="","",COUNTIF($B$6:$B4206,$B4206))</f>
        <v>6</v>
      </c>
      <c r="E4206" s="600">
        <v>614283</v>
      </c>
      <c r="F4206" s="601" t="s">
        <v>1507</v>
      </c>
      <c r="G4206" s="602" t="s">
        <v>1496</v>
      </c>
      <c r="H4206" s="603"/>
      <c r="I4206" s="603" t="s">
        <v>1501</v>
      </c>
      <c r="J4206" s="361"/>
      <c r="K4206" s="327"/>
      <c r="L4206" s="389">
        <f t="shared" si="346"/>
        <v>4330081.5999999996</v>
      </c>
      <c r="M4206" s="371"/>
      <c r="N4206" s="355" t="str">
        <f t="shared" si="347"/>
        <v>PK</v>
      </c>
      <c r="O4206" s="345"/>
      <c r="P4206" s="392"/>
      <c r="Q4206" s="392">
        <v>186.16</v>
      </c>
      <c r="R4206" s="441"/>
      <c r="S4206" s="351"/>
      <c r="T4206" s="351"/>
      <c r="U4206" s="329" t="str">
        <f>IF($N4206=$N$4,IFERROR(INDEX(DanhMuc!$E$154:$E$165,MATCH(MID($B4206,4,2),DanhMuc!$B$154:$B$165,0)),""),"")</f>
        <v/>
      </c>
      <c r="V4206" s="361"/>
      <c r="W4206" s="345"/>
      <c r="X4206" s="329" t="str">
        <f t="shared" si="349"/>
        <v>65</v>
      </c>
      <c r="Y4206" s="1128" t="s">
        <v>3380</v>
      </c>
      <c r="Z4206" s="1128" t="s">
        <v>3381</v>
      </c>
      <c r="AA4206" s="1128" t="s">
        <v>3384</v>
      </c>
      <c r="AB4206" s="20"/>
      <c r="AC4206" s="73"/>
    </row>
    <row r="4207" spans="1:29">
      <c r="A4207" s="327" t="str">
        <f>IF(AND($B4207&lt;&gt;"",$C4207&lt;&gt;""),MAX($A$1556:A4182)+1,"")</f>
        <v/>
      </c>
      <c r="B4207" s="361" t="s">
        <v>3799</v>
      </c>
      <c r="C4207" s="360"/>
      <c r="D4207" s="327">
        <f>IF($B4207="","",COUNTIF($B$6:$B4207,$B4207))</f>
        <v>7</v>
      </c>
      <c r="E4207" s="430">
        <v>206898</v>
      </c>
      <c r="F4207" s="362" t="s">
        <v>1508</v>
      </c>
      <c r="G4207" s="327" t="s">
        <v>1497</v>
      </c>
      <c r="H4207" s="361"/>
      <c r="I4207" s="327">
        <v>2</v>
      </c>
      <c r="J4207" s="345"/>
      <c r="K4207" s="327"/>
      <c r="L4207" s="389">
        <f t="shared" si="346"/>
        <v>278422.2</v>
      </c>
      <c r="M4207" s="371"/>
      <c r="N4207" s="355" t="str">
        <f t="shared" si="347"/>
        <v>PK</v>
      </c>
      <c r="O4207" s="345"/>
      <c r="P4207" s="392"/>
      <c r="Q4207" s="392">
        <v>11.97</v>
      </c>
      <c r="R4207" s="441"/>
      <c r="S4207" s="351"/>
      <c r="T4207" s="351"/>
      <c r="U4207" s="329" t="str">
        <f>IF($N4207=$N$4,IFERROR(INDEX(DanhMuc!$E$154:$E$165,MATCH(MID($B4207,4,2),DanhMuc!$B$154:$B$165,0)),""),"")</f>
        <v/>
      </c>
      <c r="V4207" s="361"/>
      <c r="W4207" s="345"/>
      <c r="X4207" s="329" t="str">
        <f t="shared" si="349"/>
        <v>65</v>
      </c>
      <c r="Y4207" s="1128" t="s">
        <v>3380</v>
      </c>
      <c r="Z4207" s="1128" t="s">
        <v>3381</v>
      </c>
      <c r="AA4207" s="1128" t="s">
        <v>3384</v>
      </c>
      <c r="AB4207" s="20"/>
      <c r="AC4207" s="73"/>
    </row>
    <row r="4208" spans="1:29" ht="25">
      <c r="A4208" s="327" t="str">
        <f>IF(AND($B4208&lt;&gt;"",$C4208&lt;&gt;""),MAX($A$1556:A4183)+1,"")</f>
        <v/>
      </c>
      <c r="B4208" s="361" t="s">
        <v>3799</v>
      </c>
      <c r="C4208" s="360"/>
      <c r="D4208" s="327">
        <f>IF($B4208="","",COUNTIF($B$6:$B4208,$B4208))</f>
        <v>8</v>
      </c>
      <c r="E4208" s="430">
        <v>626452</v>
      </c>
      <c r="F4208" s="362" t="s">
        <v>1509</v>
      </c>
      <c r="G4208" s="327" t="s">
        <v>344</v>
      </c>
      <c r="H4208" s="361"/>
      <c r="I4208" s="327">
        <v>1</v>
      </c>
      <c r="J4208" s="345"/>
      <c r="K4208" s="327"/>
      <c r="L4208" s="389">
        <f t="shared" si="346"/>
        <v>46752.6</v>
      </c>
      <c r="M4208" s="371"/>
      <c r="N4208" s="355" t="str">
        <f t="shared" si="347"/>
        <v>PK</v>
      </c>
      <c r="O4208" s="345"/>
      <c r="P4208" s="392"/>
      <c r="Q4208" s="392">
        <v>2.0099999999999998</v>
      </c>
      <c r="R4208" s="441"/>
      <c r="S4208" s="351"/>
      <c r="T4208" s="351"/>
      <c r="U4208" s="329" t="str">
        <f>IF($N4208=$N$4,IFERROR(INDEX(DanhMuc!$E$154:$E$165,MATCH(MID($B4208,4,2),DanhMuc!$B$154:$B$165,0)),""),"")</f>
        <v/>
      </c>
      <c r="V4208" s="361"/>
      <c r="W4208" s="345"/>
      <c r="X4208" s="329" t="str">
        <f t="shared" si="349"/>
        <v>65</v>
      </c>
      <c r="Y4208" s="1128" t="s">
        <v>3380</v>
      </c>
      <c r="Z4208" s="1128" t="s">
        <v>3381</v>
      </c>
      <c r="AA4208" s="1128" t="s">
        <v>3384</v>
      </c>
      <c r="AB4208" s="20"/>
      <c r="AC4208" s="73"/>
    </row>
    <row r="4209" spans="1:29" ht="25">
      <c r="A4209" s="327" t="str">
        <f>IF(AND($B4209&lt;&gt;"",$C4209&lt;&gt;""),MAX($A$1556:A4184)+1,"")</f>
        <v/>
      </c>
      <c r="B4209" s="361" t="s">
        <v>3799</v>
      </c>
      <c r="C4209" s="360"/>
      <c r="D4209" s="327">
        <f>IF($B4209="","",COUNTIF($B$6:$B4209,$B4209))</f>
        <v>9</v>
      </c>
      <c r="E4209" s="430">
        <v>336451</v>
      </c>
      <c r="F4209" s="362" t="s">
        <v>1510</v>
      </c>
      <c r="G4209" s="327" t="s">
        <v>344</v>
      </c>
      <c r="H4209" s="361"/>
      <c r="I4209" s="327">
        <v>1</v>
      </c>
      <c r="J4209" s="345"/>
      <c r="K4209" s="327"/>
      <c r="L4209" s="389">
        <f t="shared" si="346"/>
        <v>188638.59999999998</v>
      </c>
      <c r="M4209" s="371"/>
      <c r="N4209" s="355" t="str">
        <f t="shared" si="347"/>
        <v>PK</v>
      </c>
      <c r="O4209" s="345"/>
      <c r="P4209" s="392"/>
      <c r="Q4209" s="392">
        <v>8.11</v>
      </c>
      <c r="R4209" s="441"/>
      <c r="S4209" s="351"/>
      <c r="T4209" s="351"/>
      <c r="U4209" s="329" t="str">
        <f>IF($N4209=$N$4,IFERROR(INDEX(DanhMuc!$E$154:$E$165,MATCH(MID($B4209,4,2),DanhMuc!$B$154:$B$165,0)),""),"")</f>
        <v/>
      </c>
      <c r="V4209" s="361"/>
      <c r="W4209" s="345"/>
      <c r="X4209" s="329" t="str">
        <f t="shared" si="349"/>
        <v>65</v>
      </c>
      <c r="Y4209" s="1128" t="s">
        <v>3380</v>
      </c>
      <c r="Z4209" s="1128" t="s">
        <v>3381</v>
      </c>
      <c r="AA4209" s="1128" t="s">
        <v>3384</v>
      </c>
      <c r="AB4209" s="20"/>
      <c r="AC4209" s="73"/>
    </row>
    <row r="4210" spans="1:29" ht="25">
      <c r="A4210" s="327" t="str">
        <f>IF(AND($B4210&lt;&gt;"",$C4210&lt;&gt;""),MAX($A$1556:A4185)+1,"")</f>
        <v/>
      </c>
      <c r="B4210" s="361" t="s">
        <v>3799</v>
      </c>
      <c r="C4210" s="360"/>
      <c r="D4210" s="327">
        <f>IF($B4210="","",COUNTIF($B$6:$B4210,$B4210))</f>
        <v>10</v>
      </c>
      <c r="E4210" s="430">
        <v>312563</v>
      </c>
      <c r="F4210" s="362" t="s">
        <v>1511</v>
      </c>
      <c r="G4210" s="327" t="s">
        <v>344</v>
      </c>
      <c r="H4210" s="361"/>
      <c r="I4210" s="327">
        <v>2</v>
      </c>
      <c r="J4210" s="345"/>
      <c r="K4210" s="327"/>
      <c r="L4210" s="389">
        <f t="shared" si="346"/>
        <v>2584651.2000000002</v>
      </c>
      <c r="M4210" s="371"/>
      <c r="N4210" s="355" t="str">
        <f t="shared" si="347"/>
        <v>PK</v>
      </c>
      <c r="O4210" s="345"/>
      <c r="P4210" s="392"/>
      <c r="Q4210" s="392">
        <v>111.12</v>
      </c>
      <c r="R4210" s="441"/>
      <c r="S4210" s="351"/>
      <c r="T4210" s="351"/>
      <c r="U4210" s="329" t="str">
        <f>IF($N4210=$N$4,IFERROR(INDEX(DanhMuc!$E$154:$E$165,MATCH(MID($B4210,4,2),DanhMuc!$B$154:$B$165,0)),""),"")</f>
        <v/>
      </c>
      <c r="V4210" s="361"/>
      <c r="W4210" s="345"/>
      <c r="X4210" s="329" t="str">
        <f t="shared" si="349"/>
        <v>65</v>
      </c>
      <c r="Y4210" s="1128" t="s">
        <v>3380</v>
      </c>
      <c r="Z4210" s="1128" t="s">
        <v>3381</v>
      </c>
      <c r="AA4210" s="1128" t="s">
        <v>3384</v>
      </c>
      <c r="AB4210" s="20"/>
      <c r="AC4210" s="73"/>
    </row>
    <row r="4211" spans="1:29">
      <c r="A4211" s="327" t="str">
        <f>IF(AND($B4211&lt;&gt;"",$C4211&lt;&gt;""),MAX($A$1556:A4186)+1,"")</f>
        <v/>
      </c>
      <c r="B4211" s="361" t="s">
        <v>3799</v>
      </c>
      <c r="C4211" s="360"/>
      <c r="D4211" s="327">
        <f>IF($B4211="","",COUNTIF($B$6:$B4211,$B4211))</f>
        <v>11</v>
      </c>
      <c r="E4211" s="430">
        <v>312566</v>
      </c>
      <c r="F4211" s="362" t="s">
        <v>1512</v>
      </c>
      <c r="G4211" s="327" t="s">
        <v>344</v>
      </c>
      <c r="H4211" s="361"/>
      <c r="I4211" s="327">
        <v>2</v>
      </c>
      <c r="J4211" s="345"/>
      <c r="K4211" s="327"/>
      <c r="L4211" s="389">
        <f t="shared" si="346"/>
        <v>2280410.4000000004</v>
      </c>
      <c r="M4211" s="371"/>
      <c r="N4211" s="355" t="str">
        <f t="shared" si="347"/>
        <v>PK</v>
      </c>
      <c r="O4211" s="345"/>
      <c r="P4211" s="392"/>
      <c r="Q4211" s="392">
        <v>98.04</v>
      </c>
      <c r="R4211" s="441"/>
      <c r="S4211" s="351"/>
      <c r="T4211" s="351"/>
      <c r="U4211" s="329" t="str">
        <f>IF($N4211=$N$4,IFERROR(INDEX(DanhMuc!$E$154:$E$165,MATCH(MID($B4211,4,2),DanhMuc!$B$154:$B$165,0)),""),"")</f>
        <v/>
      </c>
      <c r="V4211" s="361"/>
      <c r="W4211" s="345"/>
      <c r="X4211" s="329" t="str">
        <f t="shared" si="349"/>
        <v>65</v>
      </c>
      <c r="Y4211" s="1128" t="s">
        <v>3380</v>
      </c>
      <c r="Z4211" s="1128" t="s">
        <v>3381</v>
      </c>
      <c r="AA4211" s="1128" t="s">
        <v>3384</v>
      </c>
      <c r="AB4211" s="20"/>
      <c r="AC4211" s="73"/>
    </row>
    <row r="4212" spans="1:29" ht="25">
      <c r="A4212" s="327" t="str">
        <f>IF(AND($B4212&lt;&gt;"",$C4212&lt;&gt;""),MAX($A$1556:A4187)+1,"")</f>
        <v/>
      </c>
      <c r="B4212" s="361" t="s">
        <v>3799</v>
      </c>
      <c r="C4212" s="360"/>
      <c r="D4212" s="327">
        <f>IF($B4212="","",COUNTIF($B$6:$B4212,$B4212))</f>
        <v>12</v>
      </c>
      <c r="E4212" s="430">
        <v>733375</v>
      </c>
      <c r="F4212" s="362" t="s">
        <v>1393</v>
      </c>
      <c r="G4212" s="327" t="s">
        <v>1498</v>
      </c>
      <c r="H4212" s="361"/>
      <c r="I4212" s="327">
        <v>2</v>
      </c>
      <c r="J4212" s="345"/>
      <c r="K4212" s="327"/>
      <c r="L4212" s="389">
        <f>+$L$3808*$Q4212/3</f>
        <v>278422.2</v>
      </c>
      <c r="M4212" s="371"/>
      <c r="N4212" s="355" t="str">
        <f t="shared" si="347"/>
        <v>PK</v>
      </c>
      <c r="O4212" s="345"/>
      <c r="P4212" s="392"/>
      <c r="Q4212" s="392">
        <v>35.909999999999997</v>
      </c>
      <c r="R4212" s="441"/>
      <c r="S4212" s="351"/>
      <c r="T4212" s="351"/>
      <c r="U4212" s="329" t="str">
        <f>IF($N4212=$N$4,IFERROR(INDEX(DanhMuc!$E$154:$E$165,MATCH(MID($B4212,4,2),DanhMuc!$B$154:$B$165,0)),""),"")</f>
        <v/>
      </c>
      <c r="V4212" s="361"/>
      <c r="W4212" s="345"/>
      <c r="X4212" s="329" t="str">
        <f t="shared" si="349"/>
        <v>65</v>
      </c>
      <c r="Y4212" s="1128" t="s">
        <v>3380</v>
      </c>
      <c r="Z4212" s="1128" t="s">
        <v>3381</v>
      </c>
      <c r="AA4212" s="1128" t="s">
        <v>3384</v>
      </c>
      <c r="AB4212" s="20"/>
      <c r="AC4212" s="73"/>
    </row>
    <row r="4213" spans="1:29" ht="25">
      <c r="A4213" s="327" t="str">
        <f>IF(AND($B4213&lt;&gt;"",$C4213&lt;&gt;""),MAX($A$1556:A4188)+1,"")</f>
        <v/>
      </c>
      <c r="B4213" s="361" t="s">
        <v>3799</v>
      </c>
      <c r="C4213" s="360"/>
      <c r="D4213" s="327">
        <f>IF($B4213="","",COUNTIF($B$6:$B4213,$B4213))</f>
        <v>13</v>
      </c>
      <c r="E4213" s="430">
        <v>734361</v>
      </c>
      <c r="F4213" s="362" t="s">
        <v>1513</v>
      </c>
      <c r="G4213" s="327" t="s">
        <v>1498</v>
      </c>
      <c r="H4213" s="361"/>
      <c r="I4213" s="327">
        <v>4</v>
      </c>
      <c r="J4213" s="345"/>
      <c r="K4213" s="327"/>
      <c r="L4213" s="389">
        <f t="shared" si="346"/>
        <v>928074</v>
      </c>
      <c r="M4213" s="371"/>
      <c r="N4213" s="355" t="str">
        <f t="shared" si="347"/>
        <v>PK</v>
      </c>
      <c r="O4213" s="345"/>
      <c r="P4213" s="392"/>
      <c r="Q4213" s="392">
        <v>39.9</v>
      </c>
      <c r="R4213" s="441"/>
      <c r="S4213" s="351"/>
      <c r="T4213" s="351"/>
      <c r="U4213" s="329" t="str">
        <f>IF($N4213=$N$4,IFERROR(INDEX(DanhMuc!$E$154:$E$165,MATCH(MID($B4213,4,2),DanhMuc!$B$154:$B$165,0)),""),"")</f>
        <v/>
      </c>
      <c r="V4213" s="361"/>
      <c r="W4213" s="345"/>
      <c r="X4213" s="329" t="str">
        <f t="shared" si="349"/>
        <v>65</v>
      </c>
      <c r="Y4213" s="1128" t="s">
        <v>3380</v>
      </c>
      <c r="Z4213" s="1128" t="s">
        <v>3381</v>
      </c>
      <c r="AA4213" s="1128" t="s">
        <v>3384</v>
      </c>
      <c r="AB4213" s="20"/>
      <c r="AC4213" s="73"/>
    </row>
    <row r="4214" spans="1:29" ht="25">
      <c r="A4214" s="327" t="str">
        <f>IF(AND($B4214&lt;&gt;"",$C4214&lt;&gt;""),MAX($A$1556:A4189)+1,"")</f>
        <v/>
      </c>
      <c r="B4214" s="361" t="s">
        <v>3799</v>
      </c>
      <c r="C4214" s="360"/>
      <c r="D4214" s="327">
        <f>IF($B4214="","",COUNTIF($B$6:$B4214,$B4214))</f>
        <v>14</v>
      </c>
      <c r="E4214" s="430">
        <v>733369</v>
      </c>
      <c r="F4214" s="362" t="s">
        <v>1395</v>
      </c>
      <c r="G4214" s="327" t="s">
        <v>1498</v>
      </c>
      <c r="H4214" s="361"/>
      <c r="I4214" s="327">
        <v>6</v>
      </c>
      <c r="J4214" s="345"/>
      <c r="K4214" s="327"/>
      <c r="L4214" s="389">
        <f>+$L$3808*$Q4214/3</f>
        <v>188793.66666666666</v>
      </c>
      <c r="M4214" s="371"/>
      <c r="N4214" s="355" t="str">
        <f t="shared" si="347"/>
        <v>PK</v>
      </c>
      <c r="O4214" s="345"/>
      <c r="P4214" s="392"/>
      <c r="Q4214" s="392">
        <v>24.35</v>
      </c>
      <c r="R4214" s="441"/>
      <c r="S4214" s="351"/>
      <c r="T4214" s="351"/>
      <c r="U4214" s="329" t="str">
        <f>IF($N4214=$N$4,IFERROR(INDEX(DanhMuc!$E$154:$E$165,MATCH(MID($B4214,4,2),DanhMuc!$B$154:$B$165,0)),""),"")</f>
        <v/>
      </c>
      <c r="V4214" s="361"/>
      <c r="W4214" s="345"/>
      <c r="X4214" s="329" t="str">
        <f t="shared" si="349"/>
        <v>65</v>
      </c>
      <c r="Y4214" s="1128" t="s">
        <v>3380</v>
      </c>
      <c r="Z4214" s="1128" t="s">
        <v>3381</v>
      </c>
      <c r="AA4214" s="1128" t="s">
        <v>3384</v>
      </c>
      <c r="AB4214" s="20"/>
      <c r="AC4214" s="73"/>
    </row>
    <row r="4215" spans="1:29">
      <c r="A4215" s="327" t="str">
        <f>IF(AND($B4215&lt;&gt;"",$C4215&lt;&gt;""),MAX($A$1556:A4190)+1,"")</f>
        <v/>
      </c>
      <c r="B4215" s="361" t="s">
        <v>3799</v>
      </c>
      <c r="C4215" s="360"/>
      <c r="D4215" s="327">
        <f>IF($B4215="","",COUNTIF($B$6:$B4215,$B4215))</f>
        <v>15</v>
      </c>
      <c r="E4215" s="430">
        <v>734492</v>
      </c>
      <c r="F4215" s="362" t="s">
        <v>1514</v>
      </c>
      <c r="G4215" s="327" t="s">
        <v>1498</v>
      </c>
      <c r="H4215" s="361"/>
      <c r="I4215" s="327">
        <v>6</v>
      </c>
      <c r="J4215" s="345"/>
      <c r="K4215" s="327"/>
      <c r="L4215" s="389">
        <f t="shared" si="346"/>
        <v>928074</v>
      </c>
      <c r="M4215" s="371"/>
      <c r="N4215" s="355" t="str">
        <f t="shared" si="347"/>
        <v>PK</v>
      </c>
      <c r="O4215" s="345"/>
      <c r="P4215" s="392"/>
      <c r="Q4215" s="392">
        <v>39.9</v>
      </c>
      <c r="R4215" s="441"/>
      <c r="S4215" s="351"/>
      <c r="T4215" s="351"/>
      <c r="U4215" s="329" t="str">
        <f>IF($N4215=$N$4,IFERROR(INDEX(DanhMuc!$E$154:$E$165,MATCH(MID($B4215,4,2),DanhMuc!$B$154:$B$165,0)),""),"")</f>
        <v/>
      </c>
      <c r="V4215" s="361"/>
      <c r="W4215" s="345"/>
      <c r="X4215" s="329" t="str">
        <f t="shared" si="349"/>
        <v>65</v>
      </c>
      <c r="Y4215" s="1128" t="s">
        <v>3380</v>
      </c>
      <c r="Z4215" s="1128" t="s">
        <v>3381</v>
      </c>
      <c r="AA4215" s="1128" t="s">
        <v>3384</v>
      </c>
      <c r="AB4215" s="20"/>
      <c r="AC4215" s="73"/>
    </row>
    <row r="4216" spans="1:29" ht="25">
      <c r="A4216" s="327" t="str">
        <f>IF(AND($B4216&lt;&gt;"",$C4216&lt;&gt;""),MAX($A$1556:A4191)+1,"")</f>
        <v/>
      </c>
      <c r="B4216" s="361" t="s">
        <v>3799</v>
      </c>
      <c r="C4216" s="360"/>
      <c r="D4216" s="327">
        <f>IF($B4216="","",COUNTIF($B$6:$B4216,$B4216))</f>
        <v>16</v>
      </c>
      <c r="E4216" s="430">
        <v>312831</v>
      </c>
      <c r="F4216" s="431" t="s">
        <v>1515</v>
      </c>
      <c r="G4216" s="327" t="s">
        <v>1498</v>
      </c>
      <c r="H4216" s="361"/>
      <c r="I4216" s="327">
        <v>6</v>
      </c>
      <c r="J4216" s="345"/>
      <c r="K4216" s="327"/>
      <c r="L4216" s="389">
        <f>+$L$3808*$Q4216/3</f>
        <v>15584.199999999999</v>
      </c>
      <c r="M4216" s="371"/>
      <c r="N4216" s="355" t="str">
        <f t="shared" si="347"/>
        <v>PK</v>
      </c>
      <c r="O4216" s="345"/>
      <c r="P4216" s="392"/>
      <c r="Q4216" s="392">
        <v>2.0099999999999998</v>
      </c>
      <c r="R4216" s="441"/>
      <c r="S4216" s="351"/>
      <c r="T4216" s="351"/>
      <c r="U4216" s="329" t="str">
        <f>IF($N4216=$N$4,IFERROR(INDEX(DanhMuc!$E$154:$E$165,MATCH(MID($B4216,4,2),DanhMuc!$B$154:$B$165,0)),""),"")</f>
        <v/>
      </c>
      <c r="V4216" s="361"/>
      <c r="W4216" s="345"/>
      <c r="X4216" s="329" t="str">
        <f t="shared" si="349"/>
        <v>65</v>
      </c>
      <c r="Y4216" s="1128" t="s">
        <v>3380</v>
      </c>
      <c r="Z4216" s="1128" t="s">
        <v>3381</v>
      </c>
      <c r="AA4216" s="1128" t="s">
        <v>3384</v>
      </c>
      <c r="AB4216" s="20"/>
      <c r="AC4216" s="73"/>
    </row>
    <row r="4217" spans="1:29">
      <c r="A4217" s="327" t="str">
        <f>IF(AND($B4217&lt;&gt;"",$C4217&lt;&gt;""),MAX($A$1556:A4192)+1,"")</f>
        <v/>
      </c>
      <c r="B4217" s="361" t="s">
        <v>3799</v>
      </c>
      <c r="C4217" s="360"/>
      <c r="D4217" s="327">
        <f>IF($B4217="","",COUNTIF($B$6:$B4217,$B4217))</f>
        <v>17</v>
      </c>
      <c r="E4217" s="430">
        <v>340208</v>
      </c>
      <c r="F4217" s="431" t="s">
        <v>1516</v>
      </c>
      <c r="G4217" s="327" t="s">
        <v>344</v>
      </c>
      <c r="H4217" s="361"/>
      <c r="I4217" s="327">
        <v>5</v>
      </c>
      <c r="J4217" s="345"/>
      <c r="K4217" s="327"/>
      <c r="L4217" s="389">
        <f t="shared" si="346"/>
        <v>238647.6</v>
      </c>
      <c r="M4217" s="371"/>
      <c r="N4217" s="355" t="str">
        <f t="shared" si="347"/>
        <v>PK</v>
      </c>
      <c r="O4217" s="345"/>
      <c r="P4217" s="392"/>
      <c r="Q4217" s="392">
        <v>10.26</v>
      </c>
      <c r="R4217" s="441"/>
      <c r="S4217" s="351"/>
      <c r="T4217" s="351"/>
      <c r="U4217" s="329" t="str">
        <f>IF($N4217=$N$4,IFERROR(INDEX(DanhMuc!$E$154:$E$165,MATCH(MID($B4217,4,2),DanhMuc!$B$154:$B$165,0)),""),"")</f>
        <v/>
      </c>
      <c r="V4217" s="361"/>
      <c r="W4217" s="345"/>
      <c r="X4217" s="329" t="str">
        <f t="shared" si="349"/>
        <v>65</v>
      </c>
      <c r="Y4217" s="1128" t="s">
        <v>3380</v>
      </c>
      <c r="Z4217" s="1128" t="s">
        <v>3381</v>
      </c>
      <c r="AA4217" s="1128" t="s">
        <v>3384</v>
      </c>
      <c r="AB4217" s="20"/>
      <c r="AC4217" s="73"/>
    </row>
    <row r="4218" spans="1:29" ht="26">
      <c r="A4218" s="327">
        <f>IF(AND($B4218&lt;&gt;"",$C4218&lt;&gt;""),MAX($A$1556:A4193)+1,"")</f>
        <v>195</v>
      </c>
      <c r="B4218" s="359" t="s">
        <v>2037</v>
      </c>
      <c r="C4218" s="370" t="s">
        <v>1584</v>
      </c>
      <c r="D4218" s="327">
        <f>IF($B4218="","",COUNTIF($B$6:$B4218,$B4218))</f>
        <v>1</v>
      </c>
      <c r="E4218" s="430">
        <v>571162</v>
      </c>
      <c r="F4218" s="362" t="s">
        <v>1409</v>
      </c>
      <c r="G4218" s="327" t="s">
        <v>155</v>
      </c>
      <c r="H4218" s="361"/>
      <c r="I4218" s="327">
        <v>1</v>
      </c>
      <c r="J4218" s="361"/>
      <c r="K4218" s="327"/>
      <c r="L4218" s="389">
        <f t="shared" si="346"/>
        <v>114904.40000000001</v>
      </c>
      <c r="M4218" s="371"/>
      <c r="N4218" s="355" t="str">
        <f t="shared" si="347"/>
        <v>PK</v>
      </c>
      <c r="O4218" s="345"/>
      <c r="P4218" s="392"/>
      <c r="Q4218" s="441">
        <v>4.9400000000000004</v>
      </c>
      <c r="R4218" s="441"/>
      <c r="S4218" s="351"/>
      <c r="T4218" s="351"/>
      <c r="U4218" s="329" t="str">
        <f>IF($N4218=$N$4,IFERROR(INDEX(DanhMuc!$E$154:$E$165,MATCH(MID($B4218,4,2),DanhMuc!$B$154:$B$165,0)),""),"")</f>
        <v/>
      </c>
      <c r="V4218" s="361"/>
      <c r="W4218" s="345"/>
      <c r="X4218" s="329" t="str">
        <f t="shared" si="349"/>
        <v>RT</v>
      </c>
      <c r="Y4218" s="1128" t="s">
        <v>3380</v>
      </c>
      <c r="Z4218" s="1128" t="s">
        <v>3381</v>
      </c>
      <c r="AA4218" s="1128" t="s">
        <v>3384</v>
      </c>
      <c r="AB4218" s="20"/>
      <c r="AC4218" s="73"/>
    </row>
    <row r="4219" spans="1:29" ht="25">
      <c r="A4219" s="327" t="str">
        <f>IF(AND($B4219&lt;&gt;"",$C4219&lt;&gt;""),MAX($A$1556:A4194)+1,"")</f>
        <v/>
      </c>
      <c r="B4219" s="361" t="s">
        <v>2037</v>
      </c>
      <c r="C4219" s="360"/>
      <c r="D4219" s="327">
        <f>IF($B4219="","",COUNTIF($B$6:$B4219,$B4219))</f>
        <v>2</v>
      </c>
      <c r="E4219" s="361">
        <v>628790</v>
      </c>
      <c r="F4219" s="362" t="s">
        <v>1410</v>
      </c>
      <c r="G4219" s="327" t="s">
        <v>155</v>
      </c>
      <c r="H4219" s="361"/>
      <c r="I4219" s="411" t="s">
        <v>1462</v>
      </c>
      <c r="J4219" s="361"/>
      <c r="K4219" s="327"/>
      <c r="L4219" s="389">
        <f t="shared" si="346"/>
        <v>110019.8</v>
      </c>
      <c r="M4219" s="371"/>
      <c r="N4219" s="355" t="str">
        <f t="shared" si="347"/>
        <v>PK</v>
      </c>
      <c r="O4219" s="345"/>
      <c r="P4219" s="392"/>
      <c r="Q4219" s="441">
        <v>4.7300000000000004</v>
      </c>
      <c r="R4219" s="441"/>
      <c r="S4219" s="351"/>
      <c r="T4219" s="351"/>
      <c r="U4219" s="329" t="str">
        <f>IF($N4219=$N$4,IFERROR(INDEX(DanhMuc!$E$154:$E$165,MATCH(MID($B4219,4,2),DanhMuc!$B$154:$B$165,0)),""),"")</f>
        <v/>
      </c>
      <c r="V4219" s="361"/>
      <c r="W4219" s="345"/>
      <c r="X4219" s="329" t="str">
        <f t="shared" si="349"/>
        <v>RT</v>
      </c>
      <c r="Y4219" s="1128" t="s">
        <v>3380</v>
      </c>
      <c r="Z4219" s="1128" t="s">
        <v>3381</v>
      </c>
      <c r="AA4219" s="1128" t="s">
        <v>3384</v>
      </c>
      <c r="AB4219" s="20"/>
      <c r="AC4219" s="73"/>
    </row>
    <row r="4220" spans="1:29" ht="25">
      <c r="A4220" s="327" t="str">
        <f>IF(AND($B4220&lt;&gt;"",$C4220&lt;&gt;""),MAX($A$1556:A4195)+1,"")</f>
        <v/>
      </c>
      <c r="B4220" s="361" t="s">
        <v>2037</v>
      </c>
      <c r="C4220" s="360"/>
      <c r="D4220" s="327">
        <f>IF($B4220="","",COUNTIF($B$6:$B4220,$B4220))</f>
        <v>3</v>
      </c>
      <c r="E4220" s="361">
        <v>628791</v>
      </c>
      <c r="F4220" s="362" t="s">
        <v>1411</v>
      </c>
      <c r="G4220" s="327" t="s">
        <v>155</v>
      </c>
      <c r="H4220" s="361"/>
      <c r="I4220" s="411" t="s">
        <v>1349</v>
      </c>
      <c r="J4220" s="361"/>
      <c r="K4220" s="327"/>
      <c r="L4220" s="389">
        <f t="shared" si="346"/>
        <v>114904.40000000001</v>
      </c>
      <c r="M4220" s="371"/>
      <c r="N4220" s="355" t="str">
        <f t="shared" si="347"/>
        <v>PK</v>
      </c>
      <c r="O4220" s="345"/>
      <c r="P4220" s="392"/>
      <c r="Q4220" s="441">
        <v>4.9400000000000004</v>
      </c>
      <c r="R4220" s="441"/>
      <c r="S4220" s="351"/>
      <c r="T4220" s="351"/>
      <c r="U4220" s="329" t="str">
        <f>IF($N4220=$N$4,IFERROR(INDEX(DanhMuc!$E$154:$E$165,MATCH(MID($B4220,4,2),DanhMuc!$B$154:$B$165,0)),""),"")</f>
        <v/>
      </c>
      <c r="V4220" s="361"/>
      <c r="W4220" s="345"/>
      <c r="X4220" s="329" t="str">
        <f t="shared" si="349"/>
        <v>RT</v>
      </c>
      <c r="Y4220" s="1128" t="s">
        <v>3380</v>
      </c>
      <c r="Z4220" s="1128" t="s">
        <v>3381</v>
      </c>
      <c r="AA4220" s="1128" t="s">
        <v>3384</v>
      </c>
      <c r="AB4220" s="20"/>
      <c r="AC4220" s="73"/>
    </row>
    <row r="4221" spans="1:29" ht="25">
      <c r="A4221" s="327" t="str">
        <f>IF(AND($B4221&lt;&gt;"",$C4221&lt;&gt;""),MAX($A$1556:A4196)+1,"")</f>
        <v/>
      </c>
      <c r="B4221" s="361" t="s">
        <v>2037</v>
      </c>
      <c r="C4221" s="360"/>
      <c r="D4221" s="327">
        <f>IF($B4221="","",COUNTIF($B$6:$B4221,$B4221))</f>
        <v>4</v>
      </c>
      <c r="E4221" s="361">
        <v>628792</v>
      </c>
      <c r="F4221" s="362" t="s">
        <v>1412</v>
      </c>
      <c r="G4221" s="327" t="s">
        <v>155</v>
      </c>
      <c r="H4221" s="361"/>
      <c r="I4221" s="411" t="s">
        <v>1463</v>
      </c>
      <c r="J4221" s="361"/>
      <c r="K4221" s="327"/>
      <c r="L4221" s="389">
        <f t="shared" si="346"/>
        <v>120952</v>
      </c>
      <c r="M4221" s="371"/>
      <c r="N4221" s="355" t="str">
        <f t="shared" si="347"/>
        <v>PK</v>
      </c>
      <c r="O4221" s="345"/>
      <c r="P4221" s="392"/>
      <c r="Q4221" s="441">
        <v>5.2</v>
      </c>
      <c r="R4221" s="441"/>
      <c r="S4221" s="351"/>
      <c r="T4221" s="351"/>
      <c r="U4221" s="329" t="str">
        <f>IF($N4221=$N$4,IFERROR(INDEX(DanhMuc!$E$154:$E$165,MATCH(MID($B4221,4,2),DanhMuc!$B$154:$B$165,0)),""),"")</f>
        <v/>
      </c>
      <c r="V4221" s="361"/>
      <c r="W4221" s="345"/>
      <c r="X4221" s="329" t="str">
        <f t="shared" si="349"/>
        <v>RT</v>
      </c>
      <c r="Y4221" s="1128" t="s">
        <v>3380</v>
      </c>
      <c r="Z4221" s="1128" t="s">
        <v>3381</v>
      </c>
      <c r="AA4221" s="1128" t="s">
        <v>3384</v>
      </c>
      <c r="AB4221" s="20"/>
      <c r="AC4221" s="73"/>
    </row>
    <row r="4222" spans="1:29" ht="25">
      <c r="A4222" s="327" t="str">
        <f>IF(AND($B4222&lt;&gt;"",$C4222&lt;&gt;""),MAX($A$1556:A4197)+1,"")</f>
        <v/>
      </c>
      <c r="B4222" s="361" t="s">
        <v>2037</v>
      </c>
      <c r="C4222" s="360"/>
      <c r="D4222" s="327">
        <f>IF($B4222="","",COUNTIF($B$6:$B4222,$B4222))</f>
        <v>5</v>
      </c>
      <c r="E4222" s="361">
        <v>628793</v>
      </c>
      <c r="F4222" s="362" t="s">
        <v>1413</v>
      </c>
      <c r="G4222" s="327" t="s">
        <v>155</v>
      </c>
      <c r="H4222" s="361"/>
      <c r="I4222" s="411" t="s">
        <v>1464</v>
      </c>
      <c r="J4222" s="361"/>
      <c r="K4222" s="327"/>
      <c r="L4222" s="389">
        <f t="shared" si="346"/>
        <v>130255.99999999999</v>
      </c>
      <c r="M4222" s="371"/>
      <c r="N4222" s="355" t="str">
        <f t="shared" si="347"/>
        <v>PK</v>
      </c>
      <c r="O4222" s="345"/>
      <c r="P4222" s="392"/>
      <c r="Q4222" s="441">
        <v>5.6</v>
      </c>
      <c r="R4222" s="441"/>
      <c r="S4222" s="351"/>
      <c r="T4222" s="351"/>
      <c r="U4222" s="329" t="str">
        <f>IF($N4222=$N$4,IFERROR(INDEX(DanhMuc!$E$154:$E$165,MATCH(MID($B4222,4,2),DanhMuc!$B$154:$B$165,0)),""),"")</f>
        <v/>
      </c>
      <c r="V4222" s="361"/>
      <c r="W4222" s="345"/>
      <c r="X4222" s="329" t="str">
        <f t="shared" si="349"/>
        <v>RT</v>
      </c>
      <c r="Y4222" s="1128" t="s">
        <v>3380</v>
      </c>
      <c r="Z4222" s="1128" t="s">
        <v>3381</v>
      </c>
      <c r="AA4222" s="1128" t="s">
        <v>3384</v>
      </c>
      <c r="AB4222" s="20"/>
      <c r="AC4222" s="73"/>
    </row>
    <row r="4223" spans="1:29">
      <c r="A4223" s="327" t="str">
        <f>IF(AND($B4223&lt;&gt;"",$C4223&lt;&gt;""),MAX($A$1556:A4198)+1,"")</f>
        <v/>
      </c>
      <c r="B4223" s="361" t="s">
        <v>2037</v>
      </c>
      <c r="C4223" s="360"/>
      <c r="D4223" s="327">
        <f>IF($B4223="","",COUNTIF($B$6:$B4223,$B4223))</f>
        <v>6</v>
      </c>
      <c r="E4223" s="430">
        <v>571276</v>
      </c>
      <c r="F4223" s="431" t="s">
        <v>1414</v>
      </c>
      <c r="G4223" s="327" t="s">
        <v>155</v>
      </c>
      <c r="H4223" s="361"/>
      <c r="I4223" s="327">
        <v>2</v>
      </c>
      <c r="J4223" s="361"/>
      <c r="K4223" s="327"/>
      <c r="L4223" s="389">
        <f t="shared" si="346"/>
        <v>14188.6</v>
      </c>
      <c r="M4223" s="371"/>
      <c r="N4223" s="355" t="str">
        <f t="shared" si="347"/>
        <v>PK</v>
      </c>
      <c r="O4223" s="345"/>
      <c r="P4223" s="392"/>
      <c r="Q4223" s="441">
        <v>0.61</v>
      </c>
      <c r="R4223" s="441"/>
      <c r="S4223" s="351"/>
      <c r="T4223" s="351"/>
      <c r="U4223" s="329" t="str">
        <f>IF($N4223=$N$4,IFERROR(INDEX(DanhMuc!$E$154:$E$165,MATCH(MID($B4223,4,2),DanhMuc!$B$154:$B$165,0)),""),"")</f>
        <v/>
      </c>
      <c r="V4223" s="361"/>
      <c r="W4223" s="345"/>
      <c r="X4223" s="329" t="str">
        <f t="shared" si="349"/>
        <v>RT</v>
      </c>
      <c r="Y4223" s="1128" t="s">
        <v>3380</v>
      </c>
      <c r="Z4223" s="1128" t="s">
        <v>3381</v>
      </c>
      <c r="AA4223" s="1128" t="s">
        <v>3384</v>
      </c>
      <c r="AB4223" s="20"/>
      <c r="AC4223" s="73"/>
    </row>
    <row r="4224" spans="1:29">
      <c r="A4224" s="327" t="str">
        <f>IF(AND($B4224&lt;&gt;"",$C4224&lt;&gt;""),MAX($A$1556:A4199)+1,"")</f>
        <v/>
      </c>
      <c r="B4224" s="361" t="s">
        <v>2037</v>
      </c>
      <c r="C4224" s="360"/>
      <c r="D4224" s="327">
        <f>IF($B4224="","",COUNTIF($B$6:$B4224,$B4224))</f>
        <v>7</v>
      </c>
      <c r="E4224" s="430">
        <v>570886</v>
      </c>
      <c r="F4224" s="431" t="s">
        <v>1415</v>
      </c>
      <c r="G4224" s="327" t="s">
        <v>155</v>
      </c>
      <c r="H4224" s="361"/>
      <c r="I4224" s="327">
        <v>2</v>
      </c>
      <c r="J4224" s="361"/>
      <c r="K4224" s="327"/>
      <c r="L4224" s="389">
        <f t="shared" si="346"/>
        <v>317266.40000000002</v>
      </c>
      <c r="M4224" s="371"/>
      <c r="N4224" s="355" t="str">
        <f t="shared" si="347"/>
        <v>PK</v>
      </c>
      <c r="O4224" s="345" t="s">
        <v>1702</v>
      </c>
      <c r="P4224" s="392"/>
      <c r="Q4224" s="441">
        <v>13.64</v>
      </c>
      <c r="R4224" s="441"/>
      <c r="S4224" s="351"/>
      <c r="T4224" s="351"/>
      <c r="U4224" s="329" t="str">
        <f>IF($N4224=$N$4,IFERROR(INDEX(DanhMuc!$E$154:$E$165,MATCH(MID($B4224,4,2),DanhMuc!$B$154:$B$165,0)),""),"")</f>
        <v/>
      </c>
      <c r="V4224" s="361"/>
      <c r="W4224" s="345"/>
      <c r="X4224" s="329" t="str">
        <f t="shared" si="349"/>
        <v>RT</v>
      </c>
      <c r="Y4224" s="1128" t="s">
        <v>3380</v>
      </c>
      <c r="Z4224" s="1128" t="s">
        <v>3381</v>
      </c>
      <c r="AA4224" s="1128" t="s">
        <v>3384</v>
      </c>
      <c r="AB4224" s="20"/>
      <c r="AC4224" s="73"/>
    </row>
    <row r="4225" spans="1:29">
      <c r="A4225" s="327" t="str">
        <f>IF(AND($B4225&lt;&gt;"",$C4225&lt;&gt;""),MAX($A$1556:A4200)+1,"")</f>
        <v/>
      </c>
      <c r="B4225" s="361" t="s">
        <v>2037</v>
      </c>
      <c r="C4225" s="360"/>
      <c r="D4225" s="327">
        <f>IF($B4225="","",COUNTIF($B$6:$B4225,$B4225))</f>
        <v>8</v>
      </c>
      <c r="E4225" s="430">
        <v>570887</v>
      </c>
      <c r="F4225" s="431" t="s">
        <v>1416</v>
      </c>
      <c r="G4225" s="327" t="s">
        <v>155</v>
      </c>
      <c r="H4225" s="361"/>
      <c r="I4225" s="327">
        <v>2</v>
      </c>
      <c r="J4225" s="361"/>
      <c r="K4225" s="327"/>
      <c r="L4225" s="389">
        <f t="shared" si="346"/>
        <v>402165.39999999997</v>
      </c>
      <c r="M4225" s="371"/>
      <c r="N4225" s="355" t="str">
        <f t="shared" si="347"/>
        <v>PK</v>
      </c>
      <c r="O4225" s="407" t="s">
        <v>1699</v>
      </c>
      <c r="P4225" s="392"/>
      <c r="Q4225" s="441">
        <v>17.29</v>
      </c>
      <c r="R4225" s="441"/>
      <c r="S4225" s="351"/>
      <c r="T4225" s="351"/>
      <c r="U4225" s="329" t="str">
        <f>IF($N4225=$N$4,IFERROR(INDEX(DanhMuc!$E$154:$E$165,MATCH(MID($B4225,4,2),DanhMuc!$B$154:$B$165,0)),""),"")</f>
        <v/>
      </c>
      <c r="V4225" s="361"/>
      <c r="W4225" s="345"/>
      <c r="X4225" s="329" t="str">
        <f t="shared" si="349"/>
        <v>RT</v>
      </c>
      <c r="Y4225" s="1128" t="s">
        <v>3380</v>
      </c>
      <c r="Z4225" s="1128" t="s">
        <v>3381</v>
      </c>
      <c r="AA4225" s="1128" t="s">
        <v>3384</v>
      </c>
      <c r="AB4225" s="20"/>
      <c r="AC4225" s="73"/>
    </row>
    <row r="4226" spans="1:29">
      <c r="A4226" s="327" t="str">
        <f>IF(AND($B4226&lt;&gt;"",$C4226&lt;&gt;""),MAX($A$1556:A4201)+1,"")</f>
        <v/>
      </c>
      <c r="B4226" s="361" t="s">
        <v>2037</v>
      </c>
      <c r="C4226" s="360"/>
      <c r="D4226" s="327">
        <f>IF($B4226="","",COUNTIF($B$6:$B4226,$B4226))</f>
        <v>9</v>
      </c>
      <c r="E4226" s="430">
        <v>567261</v>
      </c>
      <c r="F4226" s="431" t="s">
        <v>1417</v>
      </c>
      <c r="G4226" s="327" t="s">
        <v>155</v>
      </c>
      <c r="H4226" s="361"/>
      <c r="I4226" s="327">
        <v>2</v>
      </c>
      <c r="J4226" s="361"/>
      <c r="K4226" s="327"/>
      <c r="L4226" s="389">
        <f t="shared" si="346"/>
        <v>494972.80000000005</v>
      </c>
      <c r="M4226" s="371"/>
      <c r="N4226" s="355" t="str">
        <f t="shared" ref="N4226:N4293" si="350">+$N$1555</f>
        <v>PK</v>
      </c>
      <c r="O4226" s="407" t="s">
        <v>1701</v>
      </c>
      <c r="P4226" s="392"/>
      <c r="Q4226" s="441">
        <v>21.28</v>
      </c>
      <c r="R4226" s="441"/>
      <c r="S4226" s="351"/>
      <c r="T4226" s="351"/>
      <c r="U4226" s="329" t="str">
        <f>IF($N4226=$N$4,IFERROR(INDEX(DanhMuc!$E$154:$E$165,MATCH(MID($B4226,4,2),DanhMuc!$B$154:$B$165,0)),""),"")</f>
        <v/>
      </c>
      <c r="V4226" s="361"/>
      <c r="W4226" s="345"/>
      <c r="X4226" s="329" t="str">
        <f t="shared" si="349"/>
        <v>RT</v>
      </c>
      <c r="Y4226" s="1128" t="s">
        <v>3380</v>
      </c>
      <c r="Z4226" s="1128" t="s">
        <v>3381</v>
      </c>
      <c r="AA4226" s="1128" t="s">
        <v>3384</v>
      </c>
      <c r="AB4226" s="20"/>
      <c r="AC4226" s="73"/>
    </row>
    <row r="4227" spans="1:29" ht="26">
      <c r="A4227" s="327">
        <f>IF(AND($B4227&lt;&gt;"",$C4227&lt;&gt;""),MAX($A$1556:A4202)+1,"")</f>
        <v>196</v>
      </c>
      <c r="B4227" s="359" t="s">
        <v>2038</v>
      </c>
      <c r="C4227" s="370" t="s">
        <v>1585</v>
      </c>
      <c r="D4227" s="327">
        <f>IF($B4227="","",COUNTIF($B$6:$B4227,$B4227))</f>
        <v>1</v>
      </c>
      <c r="E4227" s="430">
        <v>571162</v>
      </c>
      <c r="F4227" s="362" t="s">
        <v>1409</v>
      </c>
      <c r="G4227" s="327" t="s">
        <v>155</v>
      </c>
      <c r="H4227" s="361"/>
      <c r="I4227" s="327">
        <v>1</v>
      </c>
      <c r="J4227" s="361"/>
      <c r="K4227" s="327"/>
      <c r="L4227" s="389">
        <f t="shared" si="346"/>
        <v>114904.40000000001</v>
      </c>
      <c r="M4227" s="371"/>
      <c r="N4227" s="355" t="str">
        <f t="shared" si="350"/>
        <v>PK</v>
      </c>
      <c r="O4227" s="345"/>
      <c r="P4227" s="392"/>
      <c r="Q4227" s="441">
        <v>4.9400000000000004</v>
      </c>
      <c r="R4227" s="441"/>
      <c r="S4227" s="351"/>
      <c r="T4227" s="351"/>
      <c r="U4227" s="329" t="str">
        <f>IF($N4227=$N$4,IFERROR(INDEX(DanhMuc!$E$154:$E$165,MATCH(MID($B4227,4,2),DanhMuc!$B$154:$B$165,0)),""),"")</f>
        <v/>
      </c>
      <c r="V4227" s="361"/>
      <c r="W4227" s="345"/>
      <c r="X4227" s="329" t="str">
        <f t="shared" si="349"/>
        <v>RT</v>
      </c>
      <c r="Y4227" s="1128" t="s">
        <v>3380</v>
      </c>
      <c r="Z4227" s="1128" t="s">
        <v>3381</v>
      </c>
      <c r="AA4227" s="1128" t="s">
        <v>3384</v>
      </c>
      <c r="AB4227" s="20"/>
      <c r="AC4227" s="73"/>
    </row>
    <row r="4228" spans="1:29" ht="25">
      <c r="A4228" s="327" t="str">
        <f>IF(AND($B4228&lt;&gt;"",$C4228&lt;&gt;""),MAX($A$1556:A4203)+1,"")</f>
        <v/>
      </c>
      <c r="B4228" s="361" t="s">
        <v>2038</v>
      </c>
      <c r="C4228" s="360"/>
      <c r="D4228" s="327">
        <f>IF($B4228="","",COUNTIF($B$6:$B4228,$B4228))</f>
        <v>2</v>
      </c>
      <c r="E4228" s="361">
        <v>628790</v>
      </c>
      <c r="F4228" s="362" t="s">
        <v>1410</v>
      </c>
      <c r="G4228" s="327" t="s">
        <v>155</v>
      </c>
      <c r="H4228" s="361"/>
      <c r="I4228" s="411" t="s">
        <v>1462</v>
      </c>
      <c r="J4228" s="361"/>
      <c r="K4228" s="327"/>
      <c r="L4228" s="389">
        <f t="shared" si="346"/>
        <v>110019.8</v>
      </c>
      <c r="M4228" s="371"/>
      <c r="N4228" s="355" t="str">
        <f t="shared" si="350"/>
        <v>PK</v>
      </c>
      <c r="O4228" s="345"/>
      <c r="P4228" s="392"/>
      <c r="Q4228" s="441">
        <v>4.7300000000000004</v>
      </c>
      <c r="R4228" s="441"/>
      <c r="S4228" s="351"/>
      <c r="T4228" s="351"/>
      <c r="U4228" s="329" t="str">
        <f>IF($N4228=$N$4,IFERROR(INDEX(DanhMuc!$E$154:$E$165,MATCH(MID($B4228,4,2),DanhMuc!$B$154:$B$165,0)),""),"")</f>
        <v/>
      </c>
      <c r="V4228" s="361"/>
      <c r="W4228" s="345"/>
      <c r="X4228" s="329" t="str">
        <f t="shared" si="349"/>
        <v>RT</v>
      </c>
      <c r="Y4228" s="1128" t="s">
        <v>3380</v>
      </c>
      <c r="Z4228" s="1128" t="s">
        <v>3381</v>
      </c>
      <c r="AA4228" s="1128" t="s">
        <v>3384</v>
      </c>
      <c r="AB4228" s="20"/>
      <c r="AC4228" s="73"/>
    </row>
    <row r="4229" spans="1:29" ht="25">
      <c r="A4229" s="327" t="str">
        <f>IF(AND($B4229&lt;&gt;"",$C4229&lt;&gt;""),MAX($A$1556:A4204)+1,"")</f>
        <v/>
      </c>
      <c r="B4229" s="361" t="s">
        <v>2038</v>
      </c>
      <c r="C4229" s="360"/>
      <c r="D4229" s="327">
        <f>IF($B4229="","",COUNTIF($B$6:$B4229,$B4229))</f>
        <v>3</v>
      </c>
      <c r="E4229" s="361">
        <v>628791</v>
      </c>
      <c r="F4229" s="362" t="s">
        <v>1411</v>
      </c>
      <c r="G4229" s="327" t="s">
        <v>155</v>
      </c>
      <c r="H4229" s="361"/>
      <c r="I4229" s="411" t="s">
        <v>1349</v>
      </c>
      <c r="J4229" s="361"/>
      <c r="K4229" s="327"/>
      <c r="L4229" s="389">
        <f t="shared" si="346"/>
        <v>114904.40000000001</v>
      </c>
      <c r="M4229" s="371"/>
      <c r="N4229" s="355" t="str">
        <f t="shared" si="350"/>
        <v>PK</v>
      </c>
      <c r="O4229" s="345"/>
      <c r="P4229" s="392"/>
      <c r="Q4229" s="441">
        <v>4.9400000000000004</v>
      </c>
      <c r="R4229" s="441"/>
      <c r="S4229" s="351"/>
      <c r="T4229" s="351"/>
      <c r="U4229" s="329" t="str">
        <f>IF($N4229=$N$4,IFERROR(INDEX(DanhMuc!$E$154:$E$165,MATCH(MID($B4229,4,2),DanhMuc!$B$154:$B$165,0)),""),"")</f>
        <v/>
      </c>
      <c r="V4229" s="361"/>
      <c r="W4229" s="345"/>
      <c r="X4229" s="329" t="str">
        <f t="shared" si="349"/>
        <v>RT</v>
      </c>
      <c r="Y4229" s="1128" t="s">
        <v>3380</v>
      </c>
      <c r="Z4229" s="1128" t="s">
        <v>3381</v>
      </c>
      <c r="AA4229" s="1128" t="s">
        <v>3384</v>
      </c>
      <c r="AB4229" s="20"/>
      <c r="AC4229" s="73"/>
    </row>
    <row r="4230" spans="1:29" ht="25">
      <c r="A4230" s="327" t="str">
        <f>IF(AND($B4230&lt;&gt;"",$C4230&lt;&gt;""),MAX($A$1556:A4205)+1,"")</f>
        <v/>
      </c>
      <c r="B4230" s="361" t="s">
        <v>2038</v>
      </c>
      <c r="C4230" s="360"/>
      <c r="D4230" s="327">
        <f>IF($B4230="","",COUNTIF($B$6:$B4230,$B4230))</f>
        <v>4</v>
      </c>
      <c r="E4230" s="361">
        <v>628792</v>
      </c>
      <c r="F4230" s="362" t="s">
        <v>1412</v>
      </c>
      <c r="G4230" s="327" t="s">
        <v>155</v>
      </c>
      <c r="H4230" s="361"/>
      <c r="I4230" s="411" t="s">
        <v>1463</v>
      </c>
      <c r="J4230" s="361"/>
      <c r="K4230" s="327"/>
      <c r="L4230" s="389">
        <f t="shared" si="346"/>
        <v>120952</v>
      </c>
      <c r="M4230" s="371"/>
      <c r="N4230" s="355" t="str">
        <f t="shared" si="350"/>
        <v>PK</v>
      </c>
      <c r="O4230" s="345"/>
      <c r="P4230" s="392"/>
      <c r="Q4230" s="441">
        <v>5.2</v>
      </c>
      <c r="R4230" s="441"/>
      <c r="S4230" s="351"/>
      <c r="T4230" s="351"/>
      <c r="U4230" s="329" t="str">
        <f>IF($N4230=$N$4,IFERROR(INDEX(DanhMuc!$E$154:$E$165,MATCH(MID($B4230,4,2),DanhMuc!$B$154:$B$165,0)),""),"")</f>
        <v/>
      </c>
      <c r="V4230" s="361"/>
      <c r="W4230" s="345"/>
      <c r="X4230" s="329" t="str">
        <f t="shared" si="349"/>
        <v>RT</v>
      </c>
      <c r="Y4230" s="1128" t="s">
        <v>3380</v>
      </c>
      <c r="Z4230" s="1128" t="s">
        <v>3381</v>
      </c>
      <c r="AA4230" s="1128" t="s">
        <v>3384</v>
      </c>
      <c r="AB4230" s="20"/>
      <c r="AC4230" s="73"/>
    </row>
    <row r="4231" spans="1:29" ht="25">
      <c r="A4231" s="327" t="str">
        <f>IF(AND($B4231&lt;&gt;"",$C4231&lt;&gt;""),MAX($A$1556:A4206)+1,"")</f>
        <v/>
      </c>
      <c r="B4231" s="361" t="s">
        <v>2038</v>
      </c>
      <c r="C4231" s="360"/>
      <c r="D4231" s="327">
        <f>IF($B4231="","",COUNTIF($B$6:$B4231,$B4231))</f>
        <v>5</v>
      </c>
      <c r="E4231" s="361">
        <v>628793</v>
      </c>
      <c r="F4231" s="362" t="s">
        <v>1413</v>
      </c>
      <c r="G4231" s="327" t="s">
        <v>155</v>
      </c>
      <c r="H4231" s="361"/>
      <c r="I4231" s="411" t="s">
        <v>1464</v>
      </c>
      <c r="J4231" s="361"/>
      <c r="K4231" s="327"/>
      <c r="L4231" s="389">
        <f t="shared" si="346"/>
        <v>130255.99999999999</v>
      </c>
      <c r="M4231" s="371"/>
      <c r="N4231" s="355" t="str">
        <f t="shared" si="350"/>
        <v>PK</v>
      </c>
      <c r="O4231" s="345"/>
      <c r="P4231" s="392"/>
      <c r="Q4231" s="441">
        <v>5.6</v>
      </c>
      <c r="R4231" s="441"/>
      <c r="S4231" s="351"/>
      <c r="T4231" s="351"/>
      <c r="U4231" s="329" t="str">
        <f>IF($N4231=$N$4,IFERROR(INDEX(DanhMuc!$E$154:$E$165,MATCH(MID($B4231,4,2),DanhMuc!$B$154:$B$165,0)),""),"")</f>
        <v/>
      </c>
      <c r="V4231" s="361"/>
      <c r="W4231" s="345"/>
      <c r="X4231" s="329" t="str">
        <f t="shared" si="349"/>
        <v>RT</v>
      </c>
      <c r="Y4231" s="1128" t="s">
        <v>3380</v>
      </c>
      <c r="Z4231" s="1128" t="s">
        <v>3381</v>
      </c>
      <c r="AA4231" s="1128" t="s">
        <v>3384</v>
      </c>
      <c r="AB4231" s="20"/>
      <c r="AC4231" s="73"/>
    </row>
    <row r="4232" spans="1:29">
      <c r="A4232" s="327" t="str">
        <f>IF(AND($B4232&lt;&gt;"",$C4232&lt;&gt;""),MAX($A$1556:A4207)+1,"")</f>
        <v/>
      </c>
      <c r="B4232" s="361" t="s">
        <v>2038</v>
      </c>
      <c r="C4232" s="360"/>
      <c r="D4232" s="327">
        <f>IF($B4232="","",COUNTIF($B$6:$B4232,$B4232))</f>
        <v>6</v>
      </c>
      <c r="E4232" s="430">
        <v>339395</v>
      </c>
      <c r="F4232" s="431" t="s">
        <v>1392</v>
      </c>
      <c r="G4232" s="327" t="s">
        <v>155</v>
      </c>
      <c r="H4232" s="361"/>
      <c r="I4232" s="327">
        <v>2</v>
      </c>
      <c r="J4232" s="361"/>
      <c r="K4232" s="327"/>
      <c r="L4232" s="389">
        <f t="shared" si="346"/>
        <v>37216</v>
      </c>
      <c r="M4232" s="371"/>
      <c r="N4232" s="355" t="str">
        <f t="shared" si="350"/>
        <v>PK</v>
      </c>
      <c r="O4232" s="345"/>
      <c r="P4232" s="392"/>
      <c r="Q4232" s="441">
        <v>1.6</v>
      </c>
      <c r="R4232" s="441"/>
      <c r="S4232" s="351"/>
      <c r="T4232" s="351"/>
      <c r="U4232" s="329" t="str">
        <f>IF($N4232=$N$4,IFERROR(INDEX(DanhMuc!$E$154:$E$165,MATCH(MID($B4232,4,2),DanhMuc!$B$154:$B$165,0)),""),"")</f>
        <v/>
      </c>
      <c r="V4232" s="361"/>
      <c r="W4232" s="345"/>
      <c r="X4232" s="329" t="str">
        <f t="shared" si="349"/>
        <v>RT</v>
      </c>
      <c r="Y4232" s="1128" t="s">
        <v>3380</v>
      </c>
      <c r="Z4232" s="1128" t="s">
        <v>3381</v>
      </c>
      <c r="AA4232" s="1128" t="s">
        <v>3384</v>
      </c>
      <c r="AB4232" s="20"/>
      <c r="AC4232" s="73"/>
    </row>
    <row r="4233" spans="1:29" ht="25">
      <c r="A4233" s="327" t="str">
        <f>IF(AND($B4233&lt;&gt;"",$C4233&lt;&gt;""),MAX($A$1556:A4208)+1,"")</f>
        <v/>
      </c>
      <c r="B4233" s="361" t="s">
        <v>2038</v>
      </c>
      <c r="C4233" s="360"/>
      <c r="D4233" s="327">
        <f>IF($B4233="","",COUNTIF($B$6:$B4233,$B4233))</f>
        <v>7</v>
      </c>
      <c r="E4233" s="430">
        <v>625205</v>
      </c>
      <c r="F4233" s="431" t="s">
        <v>1418</v>
      </c>
      <c r="G4233" s="327" t="s">
        <v>155</v>
      </c>
      <c r="H4233" s="361"/>
      <c r="I4233" s="411" t="s">
        <v>1465</v>
      </c>
      <c r="J4233" s="361"/>
      <c r="K4233" s="327"/>
      <c r="L4233" s="389">
        <f t="shared" si="346"/>
        <v>247486.40000000002</v>
      </c>
      <c r="M4233" s="371"/>
      <c r="N4233" s="355" t="str">
        <f t="shared" si="350"/>
        <v>PK</v>
      </c>
      <c r="O4233" s="345"/>
      <c r="P4233" s="392"/>
      <c r="Q4233" s="441">
        <v>10.64</v>
      </c>
      <c r="R4233" s="441"/>
      <c r="S4233" s="351"/>
      <c r="T4233" s="351"/>
      <c r="U4233" s="329" t="str">
        <f>IF($N4233=$N$4,IFERROR(INDEX(DanhMuc!$E$154:$E$165,MATCH(MID($B4233,4,2),DanhMuc!$B$154:$B$165,0)),""),"")</f>
        <v/>
      </c>
      <c r="V4233" s="361"/>
      <c r="W4233" s="345"/>
      <c r="X4233" s="329" t="str">
        <f t="shared" si="349"/>
        <v>RT</v>
      </c>
      <c r="Y4233" s="1128" t="s">
        <v>3380</v>
      </c>
      <c r="Z4233" s="1128" t="s">
        <v>3381</v>
      </c>
      <c r="AA4233" s="1128" t="s">
        <v>3384</v>
      </c>
      <c r="AB4233" s="20"/>
      <c r="AC4233" s="73"/>
    </row>
    <row r="4234" spans="1:29" ht="25">
      <c r="A4234" s="327" t="str">
        <f>IF(AND($B4234&lt;&gt;"",$C4234&lt;&gt;""),MAX($A$1556:A4209)+1,"")</f>
        <v/>
      </c>
      <c r="B4234" s="361" t="s">
        <v>2038</v>
      </c>
      <c r="C4234" s="360"/>
      <c r="D4234" s="327">
        <f>IF($B4234="","",COUNTIF($B$6:$B4234,$B4234))</f>
        <v>8</v>
      </c>
      <c r="E4234" s="430">
        <v>625206</v>
      </c>
      <c r="F4234" s="431" t="s">
        <v>1419</v>
      </c>
      <c r="G4234" s="327" t="s">
        <v>155</v>
      </c>
      <c r="H4234" s="361"/>
      <c r="I4234" s="411" t="s">
        <v>1466</v>
      </c>
      <c r="J4234" s="361"/>
      <c r="K4234" s="327"/>
      <c r="L4234" s="389">
        <f t="shared" si="346"/>
        <v>325174.8</v>
      </c>
      <c r="M4234" s="371"/>
      <c r="N4234" s="355" t="str">
        <f t="shared" si="350"/>
        <v>PK</v>
      </c>
      <c r="O4234" s="345"/>
      <c r="P4234" s="392"/>
      <c r="Q4234" s="441">
        <v>13.98</v>
      </c>
      <c r="R4234" s="441"/>
      <c r="S4234" s="351"/>
      <c r="T4234" s="351"/>
      <c r="U4234" s="329" t="str">
        <f>IF($N4234=$N$4,IFERROR(INDEX(DanhMuc!$E$154:$E$165,MATCH(MID($B4234,4,2),DanhMuc!$B$154:$B$165,0)),""),"")</f>
        <v/>
      </c>
      <c r="V4234" s="361"/>
      <c r="W4234" s="345"/>
      <c r="X4234" s="329" t="str">
        <f t="shared" si="349"/>
        <v>RT</v>
      </c>
      <c r="Y4234" s="1128" t="s">
        <v>3380</v>
      </c>
      <c r="Z4234" s="1128" t="s">
        <v>3381</v>
      </c>
      <c r="AA4234" s="1128" t="s">
        <v>3384</v>
      </c>
      <c r="AB4234" s="20"/>
      <c r="AC4234" s="73"/>
    </row>
    <row r="4235" spans="1:29" ht="25">
      <c r="A4235" s="327" t="str">
        <f>IF(AND($B4235&lt;&gt;"",$C4235&lt;&gt;""),MAX($A$1556:A4210)+1,"")</f>
        <v/>
      </c>
      <c r="B4235" s="361" t="s">
        <v>2038</v>
      </c>
      <c r="C4235" s="360"/>
      <c r="D4235" s="327">
        <f>IF($B4235="","",COUNTIF($B$6:$B4235,$B4235))</f>
        <v>9</v>
      </c>
      <c r="E4235" s="430">
        <v>625207</v>
      </c>
      <c r="F4235" s="431" t="s">
        <v>1420</v>
      </c>
      <c r="G4235" s="327" t="s">
        <v>155</v>
      </c>
      <c r="H4235" s="361"/>
      <c r="I4235" s="411" t="s">
        <v>1467</v>
      </c>
      <c r="J4235" s="361"/>
      <c r="K4235" s="327"/>
      <c r="L4235" s="389">
        <f t="shared" si="346"/>
        <v>371229.60000000003</v>
      </c>
      <c r="M4235" s="371"/>
      <c r="N4235" s="355" t="str">
        <f t="shared" si="350"/>
        <v>PK</v>
      </c>
      <c r="O4235" s="345"/>
      <c r="P4235" s="392"/>
      <c r="Q4235" s="441">
        <v>15.96</v>
      </c>
      <c r="R4235" s="441"/>
      <c r="S4235" s="351"/>
      <c r="T4235" s="351"/>
      <c r="U4235" s="329" t="str">
        <f>IF($N4235=$N$4,IFERROR(INDEX(DanhMuc!$E$154:$E$165,MATCH(MID($B4235,4,2),DanhMuc!$B$154:$B$165,0)),""),"")</f>
        <v/>
      </c>
      <c r="V4235" s="361"/>
      <c r="W4235" s="345"/>
      <c r="X4235" s="329" t="str">
        <f t="shared" si="349"/>
        <v>RT</v>
      </c>
      <c r="Y4235" s="1128" t="s">
        <v>3380</v>
      </c>
      <c r="Z4235" s="1128" t="s">
        <v>3381</v>
      </c>
      <c r="AA4235" s="1128" t="s">
        <v>3384</v>
      </c>
      <c r="AB4235" s="20"/>
      <c r="AC4235" s="73"/>
    </row>
    <row r="4236" spans="1:29">
      <c r="A4236" s="327" t="str">
        <f>IF(AND($B4236&lt;&gt;"",$C4236&lt;&gt;""),MAX($A$1556:A4211)+1,"")</f>
        <v/>
      </c>
      <c r="B4236" s="361" t="s">
        <v>2038</v>
      </c>
      <c r="C4236" s="360"/>
      <c r="D4236" s="327">
        <f>IF($B4236="","",COUNTIF($B$6:$B4236,$B4236))</f>
        <v>10</v>
      </c>
      <c r="E4236" s="430">
        <v>349187</v>
      </c>
      <c r="F4236" s="362" t="s">
        <v>1390</v>
      </c>
      <c r="G4236" s="327" t="s">
        <v>155</v>
      </c>
      <c r="H4236" s="361"/>
      <c r="I4236" s="327">
        <v>2</v>
      </c>
      <c r="J4236" s="361"/>
      <c r="K4236" s="327"/>
      <c r="L4236" s="389">
        <f t="shared" si="346"/>
        <v>145840.19999999998</v>
      </c>
      <c r="M4236" s="371"/>
      <c r="N4236" s="355" t="str">
        <f t="shared" si="350"/>
        <v>PK</v>
      </c>
      <c r="O4236" s="345"/>
      <c r="P4236" s="392"/>
      <c r="Q4236" s="441">
        <v>6.27</v>
      </c>
      <c r="R4236" s="441"/>
      <c r="S4236" s="351"/>
      <c r="T4236" s="351"/>
      <c r="U4236" s="329" t="str">
        <f>IF($N4236=$N$4,IFERROR(INDEX(DanhMuc!$E$154:$E$165,MATCH(MID($B4236,4,2),DanhMuc!$B$154:$B$165,0)),""),"")</f>
        <v/>
      </c>
      <c r="V4236" s="361"/>
      <c r="W4236" s="345"/>
      <c r="X4236" s="329" t="str">
        <f t="shared" si="349"/>
        <v>RT</v>
      </c>
      <c r="Y4236" s="1128" t="s">
        <v>3380</v>
      </c>
      <c r="Z4236" s="1128" t="s">
        <v>3381</v>
      </c>
      <c r="AA4236" s="1128" t="s">
        <v>3384</v>
      </c>
      <c r="AB4236" s="20"/>
      <c r="AC4236" s="73"/>
    </row>
    <row r="4237" spans="1:29">
      <c r="A4237" s="327" t="str">
        <f>IF(AND($B4237&lt;&gt;"",$C4237&lt;&gt;""),MAX($A$1556:A4212)+1,"")</f>
        <v/>
      </c>
      <c r="B4237" s="361" t="s">
        <v>2038</v>
      </c>
      <c r="C4237" s="360"/>
      <c r="D4237" s="327">
        <f>IF($B4237="","",COUNTIF($B$6:$B4237,$B4237))</f>
        <v>11</v>
      </c>
      <c r="E4237" s="430">
        <v>260434</v>
      </c>
      <c r="F4237" s="431" t="s">
        <v>1391</v>
      </c>
      <c r="G4237" s="327" t="s">
        <v>155</v>
      </c>
      <c r="H4237" s="361"/>
      <c r="I4237" s="327">
        <v>2</v>
      </c>
      <c r="J4237" s="361"/>
      <c r="K4237" s="327"/>
      <c r="L4237" s="389">
        <f t="shared" si="346"/>
        <v>31168.400000000001</v>
      </c>
      <c r="M4237" s="371"/>
      <c r="N4237" s="355" t="str">
        <f t="shared" si="350"/>
        <v>PK</v>
      </c>
      <c r="O4237" s="345"/>
      <c r="P4237" s="392"/>
      <c r="Q4237" s="441">
        <v>1.34</v>
      </c>
      <c r="R4237" s="441"/>
      <c r="S4237" s="351"/>
      <c r="T4237" s="351"/>
      <c r="U4237" s="329" t="str">
        <f>IF($N4237=$N$4,IFERROR(INDEX(DanhMuc!$E$154:$E$165,MATCH(MID($B4237,4,2),DanhMuc!$B$154:$B$165,0)),""),"")</f>
        <v/>
      </c>
      <c r="V4237" s="361"/>
      <c r="W4237" s="345"/>
      <c r="X4237" s="329" t="str">
        <f t="shared" si="349"/>
        <v>RT</v>
      </c>
      <c r="Y4237" s="1128" t="s">
        <v>3380</v>
      </c>
      <c r="Z4237" s="1128" t="s">
        <v>3381</v>
      </c>
      <c r="AA4237" s="1128" t="s">
        <v>3384</v>
      </c>
      <c r="AB4237" s="20"/>
      <c r="AC4237" s="73"/>
    </row>
    <row r="4238" spans="1:29">
      <c r="A4238" s="327" t="str">
        <f>IF(AND($B4238&lt;&gt;"",$C4238&lt;&gt;""),MAX($A$1556:A4213)+1,"")</f>
        <v/>
      </c>
      <c r="B4238" s="361" t="s">
        <v>2038</v>
      </c>
      <c r="C4238" s="360"/>
      <c r="D4238" s="327">
        <f>IF($B4238="","",COUNTIF($B$6:$B4238,$B4238))</f>
        <v>12</v>
      </c>
      <c r="E4238" s="430">
        <v>570886</v>
      </c>
      <c r="F4238" s="431" t="s">
        <v>1415</v>
      </c>
      <c r="G4238" s="327" t="s">
        <v>155</v>
      </c>
      <c r="H4238" s="361"/>
      <c r="I4238" s="327">
        <v>4</v>
      </c>
      <c r="J4238" s="361"/>
      <c r="K4238" s="327"/>
      <c r="L4238" s="389">
        <f t="shared" si="346"/>
        <v>317266.40000000002</v>
      </c>
      <c r="M4238" s="371"/>
      <c r="N4238" s="355" t="str">
        <f t="shared" si="350"/>
        <v>PK</v>
      </c>
      <c r="O4238" s="345" t="s">
        <v>1702</v>
      </c>
      <c r="P4238" s="392"/>
      <c r="Q4238" s="441">
        <v>13.64</v>
      </c>
      <c r="R4238" s="441"/>
      <c r="S4238" s="351"/>
      <c r="T4238" s="351"/>
      <c r="U4238" s="329" t="str">
        <f>IF($N4238=$N$4,IFERROR(INDEX(DanhMuc!$E$154:$E$165,MATCH(MID($B4238,4,2),DanhMuc!$B$154:$B$165,0)),""),"")</f>
        <v/>
      </c>
      <c r="V4238" s="361"/>
      <c r="W4238" s="345"/>
      <c r="X4238" s="329" t="str">
        <f t="shared" si="349"/>
        <v>RT</v>
      </c>
      <c r="Y4238" s="1128" t="s">
        <v>3380</v>
      </c>
      <c r="Z4238" s="1128" t="s">
        <v>3381</v>
      </c>
      <c r="AA4238" s="1128" t="s">
        <v>3384</v>
      </c>
      <c r="AB4238" s="20"/>
      <c r="AC4238" s="73"/>
    </row>
    <row r="4239" spans="1:29">
      <c r="A4239" s="327" t="str">
        <f>IF(AND($B4239&lt;&gt;"",$C4239&lt;&gt;""),MAX($A$1556:A4214)+1,"")</f>
        <v/>
      </c>
      <c r="B4239" s="361" t="s">
        <v>2038</v>
      </c>
      <c r="C4239" s="360"/>
      <c r="D4239" s="327">
        <f>IF($B4239="","",COUNTIF($B$6:$B4239,$B4239))</f>
        <v>13</v>
      </c>
      <c r="E4239" s="430">
        <v>570887</v>
      </c>
      <c r="F4239" s="431" t="s">
        <v>1416</v>
      </c>
      <c r="G4239" s="327" t="s">
        <v>155</v>
      </c>
      <c r="H4239" s="361"/>
      <c r="I4239" s="327">
        <v>4</v>
      </c>
      <c r="J4239" s="361"/>
      <c r="K4239" s="327"/>
      <c r="L4239" s="389">
        <f t="shared" si="346"/>
        <v>402165.39999999997</v>
      </c>
      <c r="M4239" s="371"/>
      <c r="N4239" s="355" t="str">
        <f t="shared" si="350"/>
        <v>PK</v>
      </c>
      <c r="O4239" s="407" t="s">
        <v>1699</v>
      </c>
      <c r="P4239" s="392"/>
      <c r="Q4239" s="441">
        <v>17.29</v>
      </c>
      <c r="R4239" s="441"/>
      <c r="S4239" s="351"/>
      <c r="T4239" s="351"/>
      <c r="U4239" s="329" t="str">
        <f>IF($N4239=$N$4,IFERROR(INDEX(DanhMuc!$E$154:$E$165,MATCH(MID($B4239,4,2),DanhMuc!$B$154:$B$165,0)),""),"")</f>
        <v/>
      </c>
      <c r="V4239" s="361"/>
      <c r="W4239" s="345"/>
      <c r="X4239" s="329" t="str">
        <f t="shared" si="349"/>
        <v>RT</v>
      </c>
      <c r="Y4239" s="1128" t="s">
        <v>3380</v>
      </c>
      <c r="Z4239" s="1128" t="s">
        <v>3381</v>
      </c>
      <c r="AA4239" s="1128" t="s">
        <v>3384</v>
      </c>
      <c r="AB4239" s="20"/>
      <c r="AC4239" s="73"/>
    </row>
    <row r="4240" spans="1:29">
      <c r="A4240" s="327" t="str">
        <f>IF(AND($B4240&lt;&gt;"",$C4240&lt;&gt;""),MAX($A$1556:A4215)+1,"")</f>
        <v/>
      </c>
      <c r="B4240" s="361" t="s">
        <v>2038</v>
      </c>
      <c r="C4240" s="360"/>
      <c r="D4240" s="327">
        <f>IF($B4240="","",COUNTIF($B$6:$B4240,$B4240))</f>
        <v>14</v>
      </c>
      <c r="E4240" s="430">
        <v>567261</v>
      </c>
      <c r="F4240" s="431" t="s">
        <v>1417</v>
      </c>
      <c r="G4240" s="327" t="s">
        <v>155</v>
      </c>
      <c r="H4240" s="361"/>
      <c r="I4240" s="327">
        <v>4</v>
      </c>
      <c r="J4240" s="361"/>
      <c r="K4240" s="327"/>
      <c r="L4240" s="389">
        <f t="shared" si="346"/>
        <v>494972.80000000005</v>
      </c>
      <c r="M4240" s="371"/>
      <c r="N4240" s="355" t="str">
        <f t="shared" si="350"/>
        <v>PK</v>
      </c>
      <c r="O4240" s="407" t="s">
        <v>1701</v>
      </c>
      <c r="P4240" s="392"/>
      <c r="Q4240" s="441">
        <v>21.28</v>
      </c>
      <c r="R4240" s="441"/>
      <c r="S4240" s="351"/>
      <c r="T4240" s="351"/>
      <c r="U4240" s="329" t="str">
        <f>IF($N4240=$N$4,IFERROR(INDEX(DanhMuc!$E$154:$E$165,MATCH(MID($B4240,4,2),DanhMuc!$B$154:$B$165,0)),""),"")</f>
        <v/>
      </c>
      <c r="V4240" s="361"/>
      <c r="W4240" s="345"/>
      <c r="X4240" s="329" t="str">
        <f t="shared" si="349"/>
        <v>RT</v>
      </c>
      <c r="Y4240" s="1128" t="s">
        <v>3380</v>
      </c>
      <c r="Z4240" s="1128" t="s">
        <v>3381</v>
      </c>
      <c r="AA4240" s="1128" t="s">
        <v>3384</v>
      </c>
      <c r="AB4240" s="20"/>
      <c r="AC4240" s="73"/>
    </row>
    <row r="4241" spans="1:29">
      <c r="A4241" s="327" t="str">
        <f>IF(AND($B4241&lt;&gt;"",$C4241&lt;&gt;""),MAX($A$1556:A4216)+1,"")</f>
        <v/>
      </c>
      <c r="B4241" s="361" t="s">
        <v>2038</v>
      </c>
      <c r="C4241" s="360"/>
      <c r="D4241" s="327">
        <f>IF($B4241="","",COUNTIF($B$6:$B4241,$B4241))</f>
        <v>15</v>
      </c>
      <c r="E4241" s="430">
        <v>229107</v>
      </c>
      <c r="F4241" s="431" t="s">
        <v>1456</v>
      </c>
      <c r="G4241" s="351" t="s">
        <v>155</v>
      </c>
      <c r="H4241" s="361"/>
      <c r="I4241" s="327">
        <v>1</v>
      </c>
      <c r="J4241" s="345"/>
      <c r="K4241" s="327"/>
      <c r="L4241" s="389">
        <v>23600</v>
      </c>
      <c r="M4241" s="371"/>
      <c r="N4241" s="355" t="str">
        <f t="shared" si="350"/>
        <v>PK</v>
      </c>
      <c r="O4241" s="345"/>
      <c r="P4241" s="392"/>
      <c r="Q4241" s="441"/>
      <c r="R4241" s="441"/>
      <c r="S4241" s="351"/>
      <c r="T4241" s="351"/>
      <c r="U4241" s="329" t="str">
        <f>IF($N4241=$N$4,IFERROR(INDEX(DanhMuc!$E$154:$E$165,MATCH(MID($B4241,4,2),DanhMuc!$B$154:$B$165,0)),""),"")</f>
        <v/>
      </c>
      <c r="V4241" s="361"/>
      <c r="W4241" s="345"/>
      <c r="X4241" s="329" t="str">
        <f t="shared" si="349"/>
        <v>RT</v>
      </c>
      <c r="Y4241" s="1128" t="s">
        <v>3380</v>
      </c>
      <c r="Z4241" s="1128" t="s">
        <v>3381</v>
      </c>
      <c r="AA4241" s="1128" t="s">
        <v>3384</v>
      </c>
      <c r="AB4241" s="20"/>
      <c r="AC4241" s="73"/>
    </row>
    <row r="4242" spans="1:29">
      <c r="A4242" s="327" t="str">
        <f>IF(AND($B4242&lt;&gt;"",$C4242&lt;&gt;""),MAX($A$1556:A4217)+1,"")</f>
        <v/>
      </c>
      <c r="B4242" s="361" t="s">
        <v>2038</v>
      </c>
      <c r="C4242" s="360"/>
      <c r="D4242" s="327">
        <f>IF($B4242="","",COUNTIF($B$6:$B4242,$B4242))</f>
        <v>16</v>
      </c>
      <c r="E4242" s="430">
        <v>229117</v>
      </c>
      <c r="F4242" s="431" t="s">
        <v>1457</v>
      </c>
      <c r="G4242" s="351" t="s">
        <v>155</v>
      </c>
      <c r="H4242" s="361"/>
      <c r="I4242" s="327">
        <v>1</v>
      </c>
      <c r="J4242" s="345"/>
      <c r="K4242" s="327"/>
      <c r="L4242" s="389">
        <v>23600</v>
      </c>
      <c r="M4242" s="371"/>
      <c r="N4242" s="355" t="str">
        <f t="shared" si="350"/>
        <v>PK</v>
      </c>
      <c r="O4242" s="345"/>
      <c r="P4242" s="392"/>
      <c r="Q4242" s="441"/>
      <c r="R4242" s="441"/>
      <c r="S4242" s="351"/>
      <c r="T4242" s="351"/>
      <c r="U4242" s="329" t="str">
        <f>IF($N4242=$N$4,IFERROR(INDEX(DanhMuc!$E$154:$E$165,MATCH(MID($B4242,4,2),DanhMuc!$B$154:$B$165,0)),""),"")</f>
        <v/>
      </c>
      <c r="V4242" s="361"/>
      <c r="W4242" s="345"/>
      <c r="X4242" s="329" t="str">
        <f t="shared" si="349"/>
        <v>RT</v>
      </c>
      <c r="Y4242" s="1128" t="s">
        <v>3380</v>
      </c>
      <c r="Z4242" s="1128" t="s">
        <v>3381</v>
      </c>
      <c r="AA4242" s="1128" t="s">
        <v>3384</v>
      </c>
      <c r="AB4242" s="20"/>
      <c r="AC4242" s="73"/>
    </row>
    <row r="4243" spans="1:29" ht="26">
      <c r="A4243" s="327">
        <f>IF(AND($B4243&lt;&gt;"",$C4243&lt;&gt;""),MAX($A$1556:A4218)+1,"")</f>
        <v>196</v>
      </c>
      <c r="B4243" s="359" t="s">
        <v>2039</v>
      </c>
      <c r="C4243" s="370" t="s">
        <v>1586</v>
      </c>
      <c r="D4243" s="327">
        <f>IF($B4243="","",COUNTIF($B$6:$B4243,$B4243))</f>
        <v>1</v>
      </c>
      <c r="E4243" s="430">
        <v>571162</v>
      </c>
      <c r="F4243" s="362" t="s">
        <v>1409</v>
      </c>
      <c r="G4243" s="327" t="s">
        <v>155</v>
      </c>
      <c r="H4243" s="361"/>
      <c r="I4243" s="327">
        <v>2</v>
      </c>
      <c r="J4243" s="361"/>
      <c r="K4243" s="327"/>
      <c r="L4243" s="389">
        <f t="shared" si="346"/>
        <v>114904.40000000001</v>
      </c>
      <c r="M4243" s="371"/>
      <c r="N4243" s="355" t="str">
        <f t="shared" si="350"/>
        <v>PK</v>
      </c>
      <c r="O4243" s="345"/>
      <c r="P4243" s="392"/>
      <c r="Q4243" s="441">
        <v>4.9400000000000004</v>
      </c>
      <c r="R4243" s="441"/>
      <c r="S4243" s="351"/>
      <c r="T4243" s="351"/>
      <c r="U4243" s="329" t="str">
        <f>IF($N4243=$N$4,IFERROR(INDEX(DanhMuc!$E$154:$E$165,MATCH(MID($B4243,4,2),DanhMuc!$B$154:$B$165,0)),""),"")</f>
        <v/>
      </c>
      <c r="V4243" s="361"/>
      <c r="W4243" s="345"/>
      <c r="X4243" s="329" t="str">
        <f t="shared" si="349"/>
        <v>RT</v>
      </c>
      <c r="Y4243" s="1128" t="s">
        <v>3380</v>
      </c>
      <c r="Z4243" s="1128" t="s">
        <v>3381</v>
      </c>
      <c r="AA4243" s="1128" t="s">
        <v>3384</v>
      </c>
      <c r="AB4243" s="20"/>
      <c r="AC4243" s="73"/>
    </row>
    <row r="4244" spans="1:29" ht="25">
      <c r="A4244" s="327" t="str">
        <f>IF(AND($B4244&lt;&gt;"",$C4244&lt;&gt;""),MAX($A$1556:A4219)+1,"")</f>
        <v/>
      </c>
      <c r="B4244" s="361" t="s">
        <v>2039</v>
      </c>
      <c r="C4244" s="360"/>
      <c r="D4244" s="327">
        <f>IF($B4244="","",COUNTIF($B$6:$B4244,$B4244))</f>
        <v>2</v>
      </c>
      <c r="E4244" s="361">
        <v>628790</v>
      </c>
      <c r="F4244" s="362" t="s">
        <v>1410</v>
      </c>
      <c r="G4244" s="327" t="s">
        <v>155</v>
      </c>
      <c r="H4244" s="361"/>
      <c r="I4244" s="411" t="s">
        <v>1350</v>
      </c>
      <c r="J4244" s="361"/>
      <c r="K4244" s="327"/>
      <c r="L4244" s="389">
        <f t="shared" si="346"/>
        <v>110019.8</v>
      </c>
      <c r="M4244" s="371"/>
      <c r="N4244" s="355" t="str">
        <f t="shared" si="350"/>
        <v>PK</v>
      </c>
      <c r="O4244" s="345"/>
      <c r="P4244" s="392"/>
      <c r="Q4244" s="441">
        <v>4.7300000000000004</v>
      </c>
      <c r="R4244" s="441"/>
      <c r="S4244" s="351"/>
      <c r="T4244" s="351"/>
      <c r="U4244" s="329" t="str">
        <f>IF($N4244=$N$4,IFERROR(INDEX(DanhMuc!$E$154:$E$165,MATCH(MID($B4244,4,2),DanhMuc!$B$154:$B$165,0)),""),"")</f>
        <v/>
      </c>
      <c r="V4244" s="361"/>
      <c r="W4244" s="345"/>
      <c r="X4244" s="329" t="str">
        <f t="shared" si="349"/>
        <v>RT</v>
      </c>
      <c r="Y4244" s="1128" t="s">
        <v>3380</v>
      </c>
      <c r="Z4244" s="1128" t="s">
        <v>3381</v>
      </c>
      <c r="AA4244" s="1128" t="s">
        <v>3384</v>
      </c>
      <c r="AB4244" s="20"/>
      <c r="AC4244" s="73"/>
    </row>
    <row r="4245" spans="1:29" ht="25">
      <c r="A4245" s="327" t="str">
        <f>IF(AND($B4245&lt;&gt;"",$C4245&lt;&gt;""),MAX($A$1556:A4220)+1,"")</f>
        <v/>
      </c>
      <c r="B4245" s="361" t="s">
        <v>2039</v>
      </c>
      <c r="C4245" s="360"/>
      <c r="D4245" s="327">
        <f>IF($B4245="","",COUNTIF($B$6:$B4245,$B4245))</f>
        <v>3</v>
      </c>
      <c r="E4245" s="361">
        <v>628791</v>
      </c>
      <c r="F4245" s="362" t="s">
        <v>1411</v>
      </c>
      <c r="G4245" s="327" t="s">
        <v>155</v>
      </c>
      <c r="H4245" s="361"/>
      <c r="I4245" s="411" t="s">
        <v>1363</v>
      </c>
      <c r="J4245" s="361"/>
      <c r="K4245" s="327"/>
      <c r="L4245" s="389">
        <f t="shared" si="346"/>
        <v>114904.40000000001</v>
      </c>
      <c r="M4245" s="371"/>
      <c r="N4245" s="355" t="str">
        <f t="shared" si="350"/>
        <v>PK</v>
      </c>
      <c r="O4245" s="345"/>
      <c r="P4245" s="392"/>
      <c r="Q4245" s="441">
        <v>4.9400000000000004</v>
      </c>
      <c r="R4245" s="441"/>
      <c r="S4245" s="351"/>
      <c r="T4245" s="351"/>
      <c r="U4245" s="329" t="str">
        <f>IF($N4245=$N$4,IFERROR(INDEX(DanhMuc!$E$154:$E$165,MATCH(MID($B4245,4,2),DanhMuc!$B$154:$B$165,0)),""),"")</f>
        <v/>
      </c>
      <c r="V4245" s="361"/>
      <c r="W4245" s="345"/>
      <c r="X4245" s="329" t="str">
        <f t="shared" si="349"/>
        <v>RT</v>
      </c>
      <c r="Y4245" s="1128" t="s">
        <v>3380</v>
      </c>
      <c r="Z4245" s="1128" t="s">
        <v>3381</v>
      </c>
      <c r="AA4245" s="1128" t="s">
        <v>3384</v>
      </c>
      <c r="AB4245" s="20"/>
      <c r="AC4245" s="73"/>
    </row>
    <row r="4246" spans="1:29" ht="25">
      <c r="A4246" s="327" t="str">
        <f>IF(AND($B4246&lt;&gt;"",$C4246&lt;&gt;""),MAX($A$1556:A4221)+1,"")</f>
        <v/>
      </c>
      <c r="B4246" s="361" t="s">
        <v>2039</v>
      </c>
      <c r="C4246" s="360"/>
      <c r="D4246" s="327">
        <f>IF($B4246="","",COUNTIF($B$6:$B4246,$B4246))</f>
        <v>4</v>
      </c>
      <c r="E4246" s="361">
        <v>628792</v>
      </c>
      <c r="F4246" s="362" t="s">
        <v>1412</v>
      </c>
      <c r="G4246" s="327" t="s">
        <v>155</v>
      </c>
      <c r="H4246" s="361"/>
      <c r="I4246" s="411" t="s">
        <v>1468</v>
      </c>
      <c r="J4246" s="361"/>
      <c r="K4246" s="327"/>
      <c r="L4246" s="389">
        <f t="shared" si="346"/>
        <v>120952</v>
      </c>
      <c r="M4246" s="371"/>
      <c r="N4246" s="355" t="str">
        <f t="shared" si="350"/>
        <v>PK</v>
      </c>
      <c r="O4246" s="345"/>
      <c r="P4246" s="392"/>
      <c r="Q4246" s="441">
        <v>5.2</v>
      </c>
      <c r="R4246" s="441"/>
      <c r="S4246" s="351"/>
      <c r="T4246" s="351"/>
      <c r="U4246" s="329" t="str">
        <f>IF($N4246=$N$4,IFERROR(INDEX(DanhMuc!$E$154:$E$165,MATCH(MID($B4246,4,2),DanhMuc!$B$154:$B$165,0)),""),"")</f>
        <v/>
      </c>
      <c r="V4246" s="361"/>
      <c r="W4246" s="345"/>
      <c r="X4246" s="329" t="str">
        <f t="shared" si="349"/>
        <v>RT</v>
      </c>
      <c r="Y4246" s="1128" t="s">
        <v>3380</v>
      </c>
      <c r="Z4246" s="1128" t="s">
        <v>3381</v>
      </c>
      <c r="AA4246" s="1128" t="s">
        <v>3384</v>
      </c>
      <c r="AB4246" s="20"/>
      <c r="AC4246" s="73"/>
    </row>
    <row r="4247" spans="1:29" ht="25">
      <c r="A4247" s="327" t="str">
        <f>IF(AND($B4247&lt;&gt;"",$C4247&lt;&gt;""),MAX($A$1556:A4222)+1,"")</f>
        <v/>
      </c>
      <c r="B4247" s="361" t="s">
        <v>2039</v>
      </c>
      <c r="C4247" s="360"/>
      <c r="D4247" s="327">
        <f>IF($B4247="","",COUNTIF($B$6:$B4247,$B4247))</f>
        <v>5</v>
      </c>
      <c r="E4247" s="361">
        <v>628793</v>
      </c>
      <c r="F4247" s="362" t="s">
        <v>1413</v>
      </c>
      <c r="G4247" s="327" t="s">
        <v>155</v>
      </c>
      <c r="H4247" s="361"/>
      <c r="I4247" s="411" t="s">
        <v>1469</v>
      </c>
      <c r="J4247" s="361"/>
      <c r="K4247" s="327"/>
      <c r="L4247" s="389">
        <f t="shared" si="346"/>
        <v>130255.99999999999</v>
      </c>
      <c r="M4247" s="371"/>
      <c r="N4247" s="355" t="str">
        <f t="shared" si="350"/>
        <v>PK</v>
      </c>
      <c r="O4247" s="345"/>
      <c r="P4247" s="392"/>
      <c r="Q4247" s="441">
        <v>5.6</v>
      </c>
      <c r="R4247" s="441"/>
      <c r="S4247" s="351"/>
      <c r="T4247" s="351"/>
      <c r="U4247" s="329" t="str">
        <f>IF($N4247=$N$4,IFERROR(INDEX(DanhMuc!$E$154:$E$165,MATCH(MID($B4247,4,2),DanhMuc!$B$154:$B$165,0)),""),"")</f>
        <v/>
      </c>
      <c r="V4247" s="361"/>
      <c r="W4247" s="345"/>
      <c r="X4247" s="329" t="str">
        <f t="shared" si="349"/>
        <v>RT</v>
      </c>
      <c r="Y4247" s="1128" t="s">
        <v>3380</v>
      </c>
      <c r="Z4247" s="1128" t="s">
        <v>3381</v>
      </c>
      <c r="AA4247" s="1128" t="s">
        <v>3384</v>
      </c>
      <c r="AB4247" s="20"/>
      <c r="AC4247" s="73"/>
    </row>
    <row r="4248" spans="1:29">
      <c r="A4248" s="327" t="str">
        <f>IF(AND($B4248&lt;&gt;"",$C4248&lt;&gt;""),MAX($A$1556:A4223)+1,"")</f>
        <v/>
      </c>
      <c r="B4248" s="361" t="s">
        <v>2039</v>
      </c>
      <c r="C4248" s="360"/>
      <c r="D4248" s="327">
        <f>IF($B4248="","",COUNTIF($B$6:$B4248,$B4248))</f>
        <v>6</v>
      </c>
      <c r="E4248" s="430">
        <v>339395</v>
      </c>
      <c r="F4248" s="431" t="s">
        <v>1392</v>
      </c>
      <c r="G4248" s="327" t="s">
        <v>155</v>
      </c>
      <c r="H4248" s="361"/>
      <c r="I4248" s="327">
        <v>2</v>
      </c>
      <c r="J4248" s="361"/>
      <c r="K4248" s="327"/>
      <c r="L4248" s="389">
        <f t="shared" si="346"/>
        <v>37216</v>
      </c>
      <c r="M4248" s="371"/>
      <c r="N4248" s="355" t="str">
        <f t="shared" si="350"/>
        <v>PK</v>
      </c>
      <c r="O4248" s="345"/>
      <c r="P4248" s="392"/>
      <c r="Q4248" s="441">
        <v>1.6</v>
      </c>
      <c r="R4248" s="441"/>
      <c r="S4248" s="351"/>
      <c r="T4248" s="351"/>
      <c r="U4248" s="329" t="str">
        <f>IF($N4248=$N$4,IFERROR(INDEX(DanhMuc!$E$154:$E$165,MATCH(MID($B4248,4,2),DanhMuc!$B$154:$B$165,0)),""),"")</f>
        <v/>
      </c>
      <c r="V4248" s="361"/>
      <c r="W4248" s="345"/>
      <c r="X4248" s="329" t="str">
        <f t="shared" si="349"/>
        <v>RT</v>
      </c>
      <c r="Y4248" s="1128" t="s">
        <v>3380</v>
      </c>
      <c r="Z4248" s="1128" t="s">
        <v>3381</v>
      </c>
      <c r="AA4248" s="1128" t="s">
        <v>3384</v>
      </c>
      <c r="AB4248" s="20"/>
      <c r="AC4248" s="73"/>
    </row>
    <row r="4249" spans="1:29" ht="25">
      <c r="A4249" s="327" t="str">
        <f>IF(AND($B4249&lt;&gt;"",$C4249&lt;&gt;""),MAX($A$1556:A4224)+1,"")</f>
        <v/>
      </c>
      <c r="B4249" s="361" t="s">
        <v>2039</v>
      </c>
      <c r="C4249" s="360"/>
      <c r="D4249" s="327">
        <f>IF($B4249="","",COUNTIF($B$6:$B4249,$B4249))</f>
        <v>7</v>
      </c>
      <c r="E4249" s="430">
        <v>625205</v>
      </c>
      <c r="F4249" s="431" t="s">
        <v>1418</v>
      </c>
      <c r="G4249" s="327" t="s">
        <v>155</v>
      </c>
      <c r="H4249" s="361"/>
      <c r="I4249" s="411" t="s">
        <v>1465</v>
      </c>
      <c r="J4249" s="361"/>
      <c r="K4249" s="327"/>
      <c r="L4249" s="389">
        <f t="shared" si="346"/>
        <v>247486.40000000002</v>
      </c>
      <c r="M4249" s="371"/>
      <c r="N4249" s="355" t="str">
        <f t="shared" si="350"/>
        <v>PK</v>
      </c>
      <c r="O4249" s="345"/>
      <c r="P4249" s="392"/>
      <c r="Q4249" s="441">
        <v>10.64</v>
      </c>
      <c r="R4249" s="441"/>
      <c r="S4249" s="351"/>
      <c r="T4249" s="351"/>
      <c r="U4249" s="329" t="str">
        <f>IF($N4249=$N$4,IFERROR(INDEX(DanhMuc!$E$154:$E$165,MATCH(MID($B4249,4,2),DanhMuc!$B$154:$B$165,0)),""),"")</f>
        <v/>
      </c>
      <c r="V4249" s="361"/>
      <c r="W4249" s="345"/>
      <c r="X4249" s="329" t="str">
        <f t="shared" si="349"/>
        <v>RT</v>
      </c>
      <c r="Y4249" s="1128" t="s">
        <v>3380</v>
      </c>
      <c r="Z4249" s="1128" t="s">
        <v>3381</v>
      </c>
      <c r="AA4249" s="1128" t="s">
        <v>3384</v>
      </c>
      <c r="AB4249" s="20"/>
      <c r="AC4249" s="73"/>
    </row>
    <row r="4250" spans="1:29" ht="25">
      <c r="A4250" s="327" t="str">
        <f>IF(AND($B4250&lt;&gt;"",$C4250&lt;&gt;""),MAX($A$1556:A4225)+1,"")</f>
        <v/>
      </c>
      <c r="B4250" s="361" t="s">
        <v>2039</v>
      </c>
      <c r="C4250" s="360"/>
      <c r="D4250" s="327">
        <f>IF($B4250="","",COUNTIF($B$6:$B4250,$B4250))</f>
        <v>8</v>
      </c>
      <c r="E4250" s="430">
        <v>625206</v>
      </c>
      <c r="F4250" s="431" t="s">
        <v>1419</v>
      </c>
      <c r="G4250" s="327" t="s">
        <v>155</v>
      </c>
      <c r="H4250" s="361"/>
      <c r="I4250" s="411" t="s">
        <v>1466</v>
      </c>
      <c r="J4250" s="361"/>
      <c r="K4250" s="327"/>
      <c r="L4250" s="389">
        <f t="shared" si="346"/>
        <v>325174.8</v>
      </c>
      <c r="M4250" s="371"/>
      <c r="N4250" s="355" t="str">
        <f t="shared" si="350"/>
        <v>PK</v>
      </c>
      <c r="O4250" s="345"/>
      <c r="P4250" s="392"/>
      <c r="Q4250" s="441">
        <v>13.98</v>
      </c>
      <c r="R4250" s="441"/>
      <c r="S4250" s="351"/>
      <c r="T4250" s="351"/>
      <c r="U4250" s="329" t="str">
        <f>IF($N4250=$N$4,IFERROR(INDEX(DanhMuc!$E$154:$E$165,MATCH(MID($B4250,4,2),DanhMuc!$B$154:$B$165,0)),""),"")</f>
        <v/>
      </c>
      <c r="V4250" s="361"/>
      <c r="W4250" s="345"/>
      <c r="X4250" s="329" t="str">
        <f t="shared" si="349"/>
        <v>RT</v>
      </c>
      <c r="Y4250" s="1128" t="s">
        <v>3380</v>
      </c>
      <c r="Z4250" s="1128" t="s">
        <v>3381</v>
      </c>
      <c r="AA4250" s="1128" t="s">
        <v>3384</v>
      </c>
      <c r="AB4250" s="20"/>
      <c r="AC4250" s="73"/>
    </row>
    <row r="4251" spans="1:29" ht="25">
      <c r="A4251" s="327" t="str">
        <f>IF(AND($B4251&lt;&gt;"",$C4251&lt;&gt;""),MAX($A$1556:A4226)+1,"")</f>
        <v/>
      </c>
      <c r="B4251" s="361" t="s">
        <v>2039</v>
      </c>
      <c r="C4251" s="360"/>
      <c r="D4251" s="327">
        <f>IF($B4251="","",COUNTIF($B$6:$B4251,$B4251))</f>
        <v>9</v>
      </c>
      <c r="E4251" s="430">
        <v>625207</v>
      </c>
      <c r="F4251" s="431" t="s">
        <v>1420</v>
      </c>
      <c r="G4251" s="327" t="s">
        <v>155</v>
      </c>
      <c r="H4251" s="361"/>
      <c r="I4251" s="411" t="s">
        <v>1467</v>
      </c>
      <c r="J4251" s="361"/>
      <c r="K4251" s="327"/>
      <c r="L4251" s="389">
        <f t="shared" si="346"/>
        <v>371229.60000000003</v>
      </c>
      <c r="M4251" s="371"/>
      <c r="N4251" s="355" t="str">
        <f t="shared" si="350"/>
        <v>PK</v>
      </c>
      <c r="O4251" s="345"/>
      <c r="P4251" s="392"/>
      <c r="Q4251" s="441">
        <v>15.96</v>
      </c>
      <c r="R4251" s="441"/>
      <c r="S4251" s="351"/>
      <c r="T4251" s="351"/>
      <c r="U4251" s="329" t="str">
        <f>IF($N4251=$N$4,IFERROR(INDEX(DanhMuc!$E$154:$E$165,MATCH(MID($B4251,4,2),DanhMuc!$B$154:$B$165,0)),""),"")</f>
        <v/>
      </c>
      <c r="V4251" s="361"/>
      <c r="W4251" s="345"/>
      <c r="X4251" s="329" t="str">
        <f t="shared" ref="X4251:X4314" si="351">IF($N4251="PR",$E4251,MID($B4251,10,2))</f>
        <v>RT</v>
      </c>
      <c r="Y4251" s="1128" t="s">
        <v>3380</v>
      </c>
      <c r="Z4251" s="1128" t="s">
        <v>3381</v>
      </c>
      <c r="AA4251" s="1128" t="s">
        <v>3384</v>
      </c>
      <c r="AB4251" s="20"/>
      <c r="AC4251" s="73"/>
    </row>
    <row r="4252" spans="1:29">
      <c r="A4252" s="327" t="str">
        <f>IF(AND($B4252&lt;&gt;"",$C4252&lt;&gt;""),MAX($A$1556:A4227)+1,"")</f>
        <v/>
      </c>
      <c r="B4252" s="361" t="s">
        <v>2039</v>
      </c>
      <c r="C4252" s="360"/>
      <c r="D4252" s="327">
        <f>IF($B4252="","",COUNTIF($B$6:$B4252,$B4252))</f>
        <v>10</v>
      </c>
      <c r="E4252" s="430">
        <v>349187</v>
      </c>
      <c r="F4252" s="362" t="s">
        <v>1390</v>
      </c>
      <c r="G4252" s="327" t="s">
        <v>155</v>
      </c>
      <c r="H4252" s="361"/>
      <c r="I4252" s="327">
        <v>2</v>
      </c>
      <c r="J4252" s="361"/>
      <c r="K4252" s="327"/>
      <c r="L4252" s="389">
        <f t="shared" si="346"/>
        <v>145840.19999999998</v>
      </c>
      <c r="M4252" s="371"/>
      <c r="N4252" s="355" t="str">
        <f t="shared" si="350"/>
        <v>PK</v>
      </c>
      <c r="O4252" s="345"/>
      <c r="P4252" s="392"/>
      <c r="Q4252" s="441">
        <v>6.27</v>
      </c>
      <c r="R4252" s="441"/>
      <c r="S4252" s="351"/>
      <c r="T4252" s="351"/>
      <c r="U4252" s="329" t="str">
        <f>IF($N4252=$N$4,IFERROR(INDEX(DanhMuc!$E$154:$E$165,MATCH(MID($B4252,4,2),DanhMuc!$B$154:$B$165,0)),""),"")</f>
        <v/>
      </c>
      <c r="V4252" s="361"/>
      <c r="W4252" s="345"/>
      <c r="X4252" s="329" t="str">
        <f t="shared" si="351"/>
        <v>RT</v>
      </c>
      <c r="Y4252" s="1128" t="s">
        <v>3380</v>
      </c>
      <c r="Z4252" s="1128" t="s">
        <v>3381</v>
      </c>
      <c r="AA4252" s="1128" t="s">
        <v>3384</v>
      </c>
      <c r="AB4252" s="20"/>
      <c r="AC4252" s="73"/>
    </row>
    <row r="4253" spans="1:29">
      <c r="A4253" s="327" t="str">
        <f>IF(AND($B4253&lt;&gt;"",$C4253&lt;&gt;""),MAX($A$1556:A4228)+1,"")</f>
        <v/>
      </c>
      <c r="B4253" s="361" t="s">
        <v>2039</v>
      </c>
      <c r="C4253" s="360"/>
      <c r="D4253" s="327">
        <f>IF($B4253="","",COUNTIF($B$6:$B4253,$B4253))</f>
        <v>11</v>
      </c>
      <c r="E4253" s="430">
        <v>260434</v>
      </c>
      <c r="F4253" s="431" t="s">
        <v>1391</v>
      </c>
      <c r="G4253" s="327" t="s">
        <v>155</v>
      </c>
      <c r="H4253" s="361"/>
      <c r="I4253" s="327">
        <v>2</v>
      </c>
      <c r="J4253" s="361"/>
      <c r="K4253" s="327"/>
      <c r="L4253" s="389">
        <f t="shared" ref="L4253:L4318" si="352">+$L$3808*$Q4253</f>
        <v>31168.400000000001</v>
      </c>
      <c r="M4253" s="371"/>
      <c r="N4253" s="355" t="str">
        <f t="shared" si="350"/>
        <v>PK</v>
      </c>
      <c r="O4253" s="345"/>
      <c r="P4253" s="392"/>
      <c r="Q4253" s="441">
        <v>1.34</v>
      </c>
      <c r="R4253" s="441"/>
      <c r="S4253" s="351"/>
      <c r="T4253" s="351"/>
      <c r="U4253" s="329" t="str">
        <f>IF($N4253=$N$4,IFERROR(INDEX(DanhMuc!$E$154:$E$165,MATCH(MID($B4253,4,2),DanhMuc!$B$154:$B$165,0)),""),"")</f>
        <v/>
      </c>
      <c r="V4253" s="361"/>
      <c r="W4253" s="345"/>
      <c r="X4253" s="329" t="str">
        <f t="shared" si="351"/>
        <v>RT</v>
      </c>
      <c r="Y4253" s="1128" t="s">
        <v>3380</v>
      </c>
      <c r="Z4253" s="1128" t="s">
        <v>3381</v>
      </c>
      <c r="AA4253" s="1128" t="s">
        <v>3384</v>
      </c>
      <c r="AB4253" s="20"/>
      <c r="AC4253" s="73"/>
    </row>
    <row r="4254" spans="1:29">
      <c r="A4254" s="327" t="str">
        <f>IF(AND($B4254&lt;&gt;"",$C4254&lt;&gt;""),MAX($A$1556:A4229)+1,"")</f>
        <v/>
      </c>
      <c r="B4254" s="361" t="s">
        <v>2039</v>
      </c>
      <c r="C4254" s="360"/>
      <c r="D4254" s="327">
        <f>IF($B4254="","",COUNTIF($B$6:$B4254,$B4254))</f>
        <v>12</v>
      </c>
      <c r="E4254" s="430">
        <v>571276</v>
      </c>
      <c r="F4254" s="431" t="s">
        <v>1414</v>
      </c>
      <c r="G4254" s="327" t="s">
        <v>155</v>
      </c>
      <c r="H4254" s="361"/>
      <c r="I4254" s="327">
        <v>2</v>
      </c>
      <c r="J4254" s="361"/>
      <c r="K4254" s="327"/>
      <c r="L4254" s="389">
        <f t="shared" si="346"/>
        <v>14188.6</v>
      </c>
      <c r="M4254" s="371"/>
      <c r="N4254" s="355" t="str">
        <f t="shared" si="350"/>
        <v>PK</v>
      </c>
      <c r="O4254" s="345"/>
      <c r="P4254" s="392"/>
      <c r="Q4254" s="441">
        <v>0.61</v>
      </c>
      <c r="R4254" s="441"/>
      <c r="S4254" s="351"/>
      <c r="T4254" s="351"/>
      <c r="U4254" s="329" t="str">
        <f>IF($N4254=$N$4,IFERROR(INDEX(DanhMuc!$E$154:$E$165,MATCH(MID($B4254,4,2),DanhMuc!$B$154:$B$165,0)),""),"")</f>
        <v/>
      </c>
      <c r="V4254" s="361"/>
      <c r="W4254" s="345"/>
      <c r="X4254" s="329" t="str">
        <f t="shared" si="351"/>
        <v>RT</v>
      </c>
      <c r="Y4254" s="1128" t="s">
        <v>3380</v>
      </c>
      <c r="Z4254" s="1128" t="s">
        <v>3381</v>
      </c>
      <c r="AA4254" s="1128" t="s">
        <v>3384</v>
      </c>
      <c r="AB4254" s="20"/>
      <c r="AC4254" s="73"/>
    </row>
    <row r="4255" spans="1:29">
      <c r="A4255" s="327" t="str">
        <f>IF(AND($B4255&lt;&gt;"",$C4255&lt;&gt;""),MAX($A$1556:A4230)+1,"")</f>
        <v/>
      </c>
      <c r="B4255" s="361" t="s">
        <v>2039</v>
      </c>
      <c r="C4255" s="360"/>
      <c r="D4255" s="327">
        <f>IF($B4255="","",COUNTIF($B$6:$B4255,$B4255))</f>
        <v>13</v>
      </c>
      <c r="E4255" s="430">
        <v>570886</v>
      </c>
      <c r="F4255" s="431" t="s">
        <v>1415</v>
      </c>
      <c r="G4255" s="327" t="s">
        <v>155</v>
      </c>
      <c r="H4255" s="361"/>
      <c r="I4255" s="327">
        <v>6</v>
      </c>
      <c r="J4255" s="361"/>
      <c r="K4255" s="327"/>
      <c r="L4255" s="389">
        <f t="shared" si="352"/>
        <v>317266.40000000002</v>
      </c>
      <c r="M4255" s="371"/>
      <c r="N4255" s="355" t="str">
        <f t="shared" si="350"/>
        <v>PK</v>
      </c>
      <c r="O4255" s="345" t="s">
        <v>1702</v>
      </c>
      <c r="P4255" s="392"/>
      <c r="Q4255" s="441">
        <v>13.64</v>
      </c>
      <c r="R4255" s="441"/>
      <c r="S4255" s="351"/>
      <c r="T4255" s="351"/>
      <c r="U4255" s="329" t="str">
        <f>IF($N4255=$N$4,IFERROR(INDEX(DanhMuc!$E$154:$E$165,MATCH(MID($B4255,4,2),DanhMuc!$B$154:$B$165,0)),""),"")</f>
        <v/>
      </c>
      <c r="V4255" s="361"/>
      <c r="W4255" s="345"/>
      <c r="X4255" s="329" t="str">
        <f t="shared" si="351"/>
        <v>RT</v>
      </c>
      <c r="Y4255" s="1128" t="s">
        <v>3380</v>
      </c>
      <c r="Z4255" s="1128" t="s">
        <v>3381</v>
      </c>
      <c r="AA4255" s="1128" t="s">
        <v>3384</v>
      </c>
      <c r="AB4255" s="20"/>
      <c r="AC4255" s="73"/>
    </row>
    <row r="4256" spans="1:29">
      <c r="A4256" s="327" t="str">
        <f>IF(AND($B4256&lt;&gt;"",$C4256&lt;&gt;""),MAX($A$1556:A4231)+1,"")</f>
        <v/>
      </c>
      <c r="B4256" s="361" t="s">
        <v>2039</v>
      </c>
      <c r="C4256" s="360"/>
      <c r="D4256" s="327">
        <f>IF($B4256="","",COUNTIF($B$6:$B4256,$B4256))</f>
        <v>14</v>
      </c>
      <c r="E4256" s="430">
        <v>570887</v>
      </c>
      <c r="F4256" s="431" t="s">
        <v>1416</v>
      </c>
      <c r="G4256" s="327" t="s">
        <v>155</v>
      </c>
      <c r="H4256" s="361"/>
      <c r="I4256" s="327">
        <v>6</v>
      </c>
      <c r="J4256" s="361"/>
      <c r="K4256" s="327"/>
      <c r="L4256" s="389">
        <f t="shared" si="352"/>
        <v>402165.39999999997</v>
      </c>
      <c r="M4256" s="371"/>
      <c r="N4256" s="355" t="str">
        <f t="shared" si="350"/>
        <v>PK</v>
      </c>
      <c r="O4256" s="407" t="s">
        <v>1699</v>
      </c>
      <c r="P4256" s="392"/>
      <c r="Q4256" s="441">
        <v>17.29</v>
      </c>
      <c r="R4256" s="441"/>
      <c r="S4256" s="351"/>
      <c r="T4256" s="351"/>
      <c r="U4256" s="329" t="str">
        <f>IF($N4256=$N$4,IFERROR(INDEX(DanhMuc!$E$154:$E$165,MATCH(MID($B4256,4,2),DanhMuc!$B$154:$B$165,0)),""),"")</f>
        <v/>
      </c>
      <c r="V4256" s="361"/>
      <c r="W4256" s="345"/>
      <c r="X4256" s="329" t="str">
        <f t="shared" si="351"/>
        <v>RT</v>
      </c>
      <c r="Y4256" s="1128" t="s">
        <v>3380</v>
      </c>
      <c r="Z4256" s="1128" t="s">
        <v>3381</v>
      </c>
      <c r="AA4256" s="1128" t="s">
        <v>3384</v>
      </c>
      <c r="AB4256" s="20"/>
      <c r="AC4256" s="73"/>
    </row>
    <row r="4257" spans="1:29">
      <c r="A4257" s="327" t="str">
        <f>IF(AND($B4257&lt;&gt;"",$C4257&lt;&gt;""),MAX($A$1556:A4232)+1,"")</f>
        <v/>
      </c>
      <c r="B4257" s="361" t="s">
        <v>2039</v>
      </c>
      <c r="C4257" s="360"/>
      <c r="D4257" s="327">
        <f>IF($B4257="","",COUNTIF($B$6:$B4257,$B4257))</f>
        <v>15</v>
      </c>
      <c r="E4257" s="430">
        <v>567261</v>
      </c>
      <c r="F4257" s="431" t="s">
        <v>1417</v>
      </c>
      <c r="G4257" s="327" t="s">
        <v>155</v>
      </c>
      <c r="H4257" s="361"/>
      <c r="I4257" s="327">
        <v>6</v>
      </c>
      <c r="J4257" s="361"/>
      <c r="K4257" s="327"/>
      <c r="L4257" s="389">
        <f t="shared" si="352"/>
        <v>494972.80000000005</v>
      </c>
      <c r="M4257" s="371"/>
      <c r="N4257" s="355" t="str">
        <f t="shared" si="350"/>
        <v>PK</v>
      </c>
      <c r="O4257" s="407" t="s">
        <v>1701</v>
      </c>
      <c r="P4257" s="392"/>
      <c r="Q4257" s="441">
        <v>21.28</v>
      </c>
      <c r="R4257" s="441"/>
      <c r="S4257" s="351"/>
      <c r="T4257" s="351"/>
      <c r="U4257" s="329" t="str">
        <f>IF($N4257=$N$4,IFERROR(INDEX(DanhMuc!$E$154:$E$165,MATCH(MID($B4257,4,2),DanhMuc!$B$154:$B$165,0)),""),"")</f>
        <v/>
      </c>
      <c r="V4257" s="361"/>
      <c r="W4257" s="345"/>
      <c r="X4257" s="329" t="str">
        <f t="shared" si="351"/>
        <v>RT</v>
      </c>
      <c r="Y4257" s="1128" t="s">
        <v>3380</v>
      </c>
      <c r="Z4257" s="1128" t="s">
        <v>3381</v>
      </c>
      <c r="AA4257" s="1128" t="s">
        <v>3384</v>
      </c>
      <c r="AB4257" s="20"/>
      <c r="AC4257" s="73"/>
    </row>
    <row r="4258" spans="1:29">
      <c r="A4258" s="327" t="str">
        <f>IF(AND($B4258&lt;&gt;"",$C4258&lt;&gt;""),MAX($A$1556:A4233)+1,"")</f>
        <v/>
      </c>
      <c r="B4258" s="361" t="s">
        <v>2039</v>
      </c>
      <c r="C4258" s="360"/>
      <c r="D4258" s="327">
        <f>IF($B4258="","",COUNTIF($B$6:$B4258,$B4258))</f>
        <v>16</v>
      </c>
      <c r="E4258" s="430">
        <v>229107</v>
      </c>
      <c r="F4258" s="431" t="s">
        <v>1456</v>
      </c>
      <c r="G4258" s="351" t="s">
        <v>155</v>
      </c>
      <c r="H4258" s="361"/>
      <c r="I4258" s="327">
        <v>1</v>
      </c>
      <c r="J4258" s="345"/>
      <c r="K4258" s="327"/>
      <c r="L4258" s="389">
        <v>23600</v>
      </c>
      <c r="M4258" s="371"/>
      <c r="N4258" s="355" t="str">
        <f t="shared" si="350"/>
        <v>PK</v>
      </c>
      <c r="O4258" s="345"/>
      <c r="P4258" s="392"/>
      <c r="Q4258" s="441"/>
      <c r="R4258" s="441"/>
      <c r="S4258" s="351"/>
      <c r="T4258" s="351"/>
      <c r="U4258" s="329" t="str">
        <f>IF($N4258=$N$4,IFERROR(INDEX(DanhMuc!$E$154:$E$165,MATCH(MID($B4258,4,2),DanhMuc!$B$154:$B$165,0)),""),"")</f>
        <v/>
      </c>
      <c r="V4258" s="361"/>
      <c r="W4258" s="345"/>
      <c r="X4258" s="329" t="str">
        <f t="shared" si="351"/>
        <v>RT</v>
      </c>
      <c r="Y4258" s="1128" t="s">
        <v>3380</v>
      </c>
      <c r="Z4258" s="1128" t="s">
        <v>3381</v>
      </c>
      <c r="AA4258" s="1128" t="s">
        <v>3384</v>
      </c>
      <c r="AB4258" s="20"/>
      <c r="AC4258" s="73"/>
    </row>
    <row r="4259" spans="1:29">
      <c r="A4259" s="327" t="str">
        <f>IF(AND($B4259&lt;&gt;"",$C4259&lt;&gt;""),MAX($A$1556:A4234)+1,"")</f>
        <v/>
      </c>
      <c r="B4259" s="361" t="s">
        <v>2039</v>
      </c>
      <c r="C4259" s="360"/>
      <c r="D4259" s="327">
        <f>IF($B4259="","",COUNTIF($B$6:$B4259,$B4259))</f>
        <v>17</v>
      </c>
      <c r="E4259" s="430">
        <v>229117</v>
      </c>
      <c r="F4259" s="431" t="s">
        <v>1457</v>
      </c>
      <c r="G4259" s="351" t="s">
        <v>155</v>
      </c>
      <c r="H4259" s="361"/>
      <c r="I4259" s="327">
        <v>1</v>
      </c>
      <c r="J4259" s="345"/>
      <c r="K4259" s="327"/>
      <c r="L4259" s="389">
        <v>23600</v>
      </c>
      <c r="M4259" s="371"/>
      <c r="N4259" s="355" t="str">
        <f t="shared" si="350"/>
        <v>PK</v>
      </c>
      <c r="O4259" s="345"/>
      <c r="P4259" s="392"/>
      <c r="Q4259" s="441"/>
      <c r="R4259" s="441"/>
      <c r="S4259" s="351"/>
      <c r="T4259" s="351"/>
      <c r="U4259" s="329" t="str">
        <f>IF($N4259=$N$4,IFERROR(INDEX(DanhMuc!$E$154:$E$165,MATCH(MID($B4259,4,2),DanhMuc!$B$154:$B$165,0)),""),"")</f>
        <v/>
      </c>
      <c r="V4259" s="361"/>
      <c r="W4259" s="345"/>
      <c r="X4259" s="329" t="str">
        <f t="shared" si="351"/>
        <v>RT</v>
      </c>
      <c r="Y4259" s="1128" t="s">
        <v>3380</v>
      </c>
      <c r="Z4259" s="1128" t="s">
        <v>3381</v>
      </c>
      <c r="AA4259" s="1128" t="s">
        <v>3384</v>
      </c>
      <c r="AB4259" s="20"/>
      <c r="AC4259" s="73"/>
    </row>
    <row r="4260" spans="1:29" ht="26">
      <c r="A4260" s="327">
        <f>IF(AND($B4260&lt;&gt;"",$C4260&lt;&gt;""),MAX($A$1556:A4235)+1,"")</f>
        <v>197</v>
      </c>
      <c r="B4260" s="359" t="s">
        <v>2040</v>
      </c>
      <c r="C4260" s="370" t="s">
        <v>1587</v>
      </c>
      <c r="D4260" s="327">
        <f>IF($B4260="","",COUNTIF($B$6:$B4260,$B4260))</f>
        <v>1</v>
      </c>
      <c r="E4260" s="430">
        <v>571162</v>
      </c>
      <c r="F4260" s="362" t="s">
        <v>1409</v>
      </c>
      <c r="G4260" s="327" t="s">
        <v>155</v>
      </c>
      <c r="H4260" s="361"/>
      <c r="I4260" s="327">
        <v>3</v>
      </c>
      <c r="J4260" s="361"/>
      <c r="K4260" s="327"/>
      <c r="L4260" s="389">
        <f t="shared" si="352"/>
        <v>114904.40000000001</v>
      </c>
      <c r="M4260" s="371"/>
      <c r="N4260" s="355" t="str">
        <f t="shared" si="350"/>
        <v>PK</v>
      </c>
      <c r="O4260" s="345"/>
      <c r="P4260" s="392"/>
      <c r="Q4260" s="441">
        <v>4.9400000000000004</v>
      </c>
      <c r="R4260" s="441"/>
      <c r="S4260" s="351"/>
      <c r="T4260" s="351"/>
      <c r="U4260" s="329" t="str">
        <f>IF($N4260=$N$4,IFERROR(INDEX(DanhMuc!$E$154:$E$165,MATCH(MID($B4260,4,2),DanhMuc!$B$154:$B$165,0)),""),"")</f>
        <v/>
      </c>
      <c r="V4260" s="361"/>
      <c r="W4260" s="345"/>
      <c r="X4260" s="329" t="str">
        <f t="shared" si="351"/>
        <v>RT</v>
      </c>
      <c r="Y4260" s="1128" t="s">
        <v>3380</v>
      </c>
      <c r="Z4260" s="1128" t="s">
        <v>3381</v>
      </c>
      <c r="AA4260" s="1128" t="s">
        <v>3384</v>
      </c>
      <c r="AB4260" s="20"/>
      <c r="AC4260" s="73"/>
    </row>
    <row r="4261" spans="1:29" ht="25">
      <c r="A4261" s="327" t="str">
        <f>IF(AND($B4261&lt;&gt;"",$C4261&lt;&gt;""),MAX($A$1556:A4236)+1,"")</f>
        <v/>
      </c>
      <c r="B4261" s="361" t="s">
        <v>2040</v>
      </c>
      <c r="C4261" s="360"/>
      <c r="D4261" s="327">
        <f>IF($B4261="","",COUNTIF($B$6:$B4261,$B4261))</f>
        <v>2</v>
      </c>
      <c r="E4261" s="361">
        <v>628790</v>
      </c>
      <c r="F4261" s="362" t="s">
        <v>1410</v>
      </c>
      <c r="G4261" s="327" t="s">
        <v>155</v>
      </c>
      <c r="H4261" s="361"/>
      <c r="I4261" s="411" t="s">
        <v>1356</v>
      </c>
      <c r="J4261" s="361"/>
      <c r="K4261" s="327"/>
      <c r="L4261" s="389">
        <f t="shared" si="352"/>
        <v>110019.8</v>
      </c>
      <c r="M4261" s="371"/>
      <c r="N4261" s="355" t="str">
        <f t="shared" si="350"/>
        <v>PK</v>
      </c>
      <c r="O4261" s="345"/>
      <c r="P4261" s="392"/>
      <c r="Q4261" s="441">
        <v>4.7300000000000004</v>
      </c>
      <c r="R4261" s="441"/>
      <c r="S4261" s="351"/>
      <c r="T4261" s="351"/>
      <c r="U4261" s="329" t="str">
        <f>IF($N4261=$N$4,IFERROR(INDEX(DanhMuc!$E$154:$E$165,MATCH(MID($B4261,4,2),DanhMuc!$B$154:$B$165,0)),""),"")</f>
        <v/>
      </c>
      <c r="V4261" s="361"/>
      <c r="W4261" s="345"/>
      <c r="X4261" s="329" t="str">
        <f t="shared" si="351"/>
        <v>RT</v>
      </c>
      <c r="Y4261" s="1128" t="s">
        <v>3380</v>
      </c>
      <c r="Z4261" s="1128" t="s">
        <v>3381</v>
      </c>
      <c r="AA4261" s="1128" t="s">
        <v>3384</v>
      </c>
      <c r="AB4261" s="20"/>
      <c r="AC4261" s="73"/>
    </row>
    <row r="4262" spans="1:29" ht="25">
      <c r="A4262" s="327" t="str">
        <f>IF(AND($B4262&lt;&gt;"",$C4262&lt;&gt;""),MAX($A$1556:A4237)+1,"")</f>
        <v/>
      </c>
      <c r="B4262" s="361" t="s">
        <v>2040</v>
      </c>
      <c r="C4262" s="360"/>
      <c r="D4262" s="327">
        <f>IF($B4262="","",COUNTIF($B$6:$B4262,$B4262))</f>
        <v>3</v>
      </c>
      <c r="E4262" s="361">
        <v>628791</v>
      </c>
      <c r="F4262" s="362" t="s">
        <v>1411</v>
      </c>
      <c r="G4262" s="327" t="s">
        <v>155</v>
      </c>
      <c r="H4262" s="361"/>
      <c r="I4262" s="411" t="s">
        <v>1460</v>
      </c>
      <c r="J4262" s="361"/>
      <c r="K4262" s="327"/>
      <c r="L4262" s="389">
        <f t="shared" si="352"/>
        <v>114904.40000000001</v>
      </c>
      <c r="M4262" s="371"/>
      <c r="N4262" s="355" t="str">
        <f t="shared" si="350"/>
        <v>PK</v>
      </c>
      <c r="O4262" s="345"/>
      <c r="P4262" s="392"/>
      <c r="Q4262" s="441">
        <v>4.9400000000000004</v>
      </c>
      <c r="R4262" s="441"/>
      <c r="S4262" s="351"/>
      <c r="T4262" s="351"/>
      <c r="U4262" s="329" t="str">
        <f>IF($N4262=$N$4,IFERROR(INDEX(DanhMuc!$E$154:$E$165,MATCH(MID($B4262,4,2),DanhMuc!$B$154:$B$165,0)),""),"")</f>
        <v/>
      </c>
      <c r="V4262" s="361"/>
      <c r="W4262" s="345"/>
      <c r="X4262" s="329" t="str">
        <f t="shared" si="351"/>
        <v>RT</v>
      </c>
      <c r="Y4262" s="1128" t="s">
        <v>3380</v>
      </c>
      <c r="Z4262" s="1128" t="s">
        <v>3381</v>
      </c>
      <c r="AA4262" s="1128" t="s">
        <v>3384</v>
      </c>
      <c r="AB4262" s="20"/>
      <c r="AC4262" s="73"/>
    </row>
    <row r="4263" spans="1:29" ht="25">
      <c r="A4263" s="327" t="str">
        <f>IF(AND($B4263&lt;&gt;"",$C4263&lt;&gt;""),MAX($A$1556:A4238)+1,"")</f>
        <v/>
      </c>
      <c r="B4263" s="361" t="s">
        <v>2040</v>
      </c>
      <c r="C4263" s="360"/>
      <c r="D4263" s="327">
        <f>IF($B4263="","",COUNTIF($B$6:$B4263,$B4263))</f>
        <v>4</v>
      </c>
      <c r="E4263" s="361">
        <v>628792</v>
      </c>
      <c r="F4263" s="362" t="s">
        <v>1412</v>
      </c>
      <c r="G4263" s="327" t="s">
        <v>155</v>
      </c>
      <c r="H4263" s="361"/>
      <c r="I4263" s="411" t="s">
        <v>1470</v>
      </c>
      <c r="J4263" s="361"/>
      <c r="K4263" s="327"/>
      <c r="L4263" s="389">
        <f t="shared" si="352"/>
        <v>120952</v>
      </c>
      <c r="M4263" s="371"/>
      <c r="N4263" s="355" t="str">
        <f t="shared" si="350"/>
        <v>PK</v>
      </c>
      <c r="O4263" s="345"/>
      <c r="P4263" s="392"/>
      <c r="Q4263" s="441">
        <v>5.2</v>
      </c>
      <c r="R4263" s="441"/>
      <c r="S4263" s="351"/>
      <c r="T4263" s="351"/>
      <c r="U4263" s="329" t="str">
        <f>IF($N4263=$N$4,IFERROR(INDEX(DanhMuc!$E$154:$E$165,MATCH(MID($B4263,4,2),DanhMuc!$B$154:$B$165,0)),""),"")</f>
        <v/>
      </c>
      <c r="V4263" s="361"/>
      <c r="W4263" s="345"/>
      <c r="X4263" s="329" t="str">
        <f t="shared" si="351"/>
        <v>RT</v>
      </c>
      <c r="Y4263" s="1128" t="s">
        <v>3380</v>
      </c>
      <c r="Z4263" s="1128" t="s">
        <v>3381</v>
      </c>
      <c r="AA4263" s="1128" t="s">
        <v>3384</v>
      </c>
      <c r="AB4263" s="20"/>
      <c r="AC4263" s="73"/>
    </row>
    <row r="4264" spans="1:29" ht="25">
      <c r="A4264" s="327" t="str">
        <f>IF(AND($B4264&lt;&gt;"",$C4264&lt;&gt;""),MAX($A$1556:A4239)+1,"")</f>
        <v/>
      </c>
      <c r="B4264" s="361" t="s">
        <v>2040</v>
      </c>
      <c r="C4264" s="360"/>
      <c r="D4264" s="327">
        <f>IF($B4264="","",COUNTIF($B$6:$B4264,$B4264))</f>
        <v>5</v>
      </c>
      <c r="E4264" s="361">
        <v>628793</v>
      </c>
      <c r="F4264" s="362" t="s">
        <v>1413</v>
      </c>
      <c r="G4264" s="327" t="s">
        <v>155</v>
      </c>
      <c r="H4264" s="361"/>
      <c r="I4264" s="411" t="s">
        <v>1471</v>
      </c>
      <c r="J4264" s="361"/>
      <c r="K4264" s="327"/>
      <c r="L4264" s="389">
        <f t="shared" si="352"/>
        <v>130255.99999999999</v>
      </c>
      <c r="M4264" s="371"/>
      <c r="N4264" s="355" t="str">
        <f t="shared" si="350"/>
        <v>PK</v>
      </c>
      <c r="O4264" s="345"/>
      <c r="P4264" s="392"/>
      <c r="Q4264" s="441">
        <v>5.6</v>
      </c>
      <c r="R4264" s="441"/>
      <c r="S4264" s="351"/>
      <c r="T4264" s="351"/>
      <c r="U4264" s="329" t="str">
        <f>IF($N4264=$N$4,IFERROR(INDEX(DanhMuc!$E$154:$E$165,MATCH(MID($B4264,4,2),DanhMuc!$B$154:$B$165,0)),""),"")</f>
        <v/>
      </c>
      <c r="V4264" s="361"/>
      <c r="W4264" s="345"/>
      <c r="X4264" s="329" t="str">
        <f t="shared" si="351"/>
        <v>RT</v>
      </c>
      <c r="Y4264" s="1128" t="s">
        <v>3380</v>
      </c>
      <c r="Z4264" s="1128" t="s">
        <v>3381</v>
      </c>
      <c r="AA4264" s="1128" t="s">
        <v>3384</v>
      </c>
      <c r="AB4264" s="20"/>
      <c r="AC4264" s="73"/>
    </row>
    <row r="4265" spans="1:29">
      <c r="A4265" s="327" t="str">
        <f>IF(AND($B4265&lt;&gt;"",$C4265&lt;&gt;""),MAX($A$1556:A4240)+1,"")</f>
        <v/>
      </c>
      <c r="B4265" s="361" t="s">
        <v>2040</v>
      </c>
      <c r="C4265" s="360"/>
      <c r="D4265" s="327">
        <f>IF($B4265="","",COUNTIF($B$6:$B4265,$B4265))</f>
        <v>6</v>
      </c>
      <c r="E4265" s="430">
        <v>339395</v>
      </c>
      <c r="F4265" s="431" t="s">
        <v>1392</v>
      </c>
      <c r="G4265" s="327" t="s">
        <v>155</v>
      </c>
      <c r="H4265" s="361"/>
      <c r="I4265" s="327">
        <v>2</v>
      </c>
      <c r="J4265" s="361"/>
      <c r="K4265" s="327"/>
      <c r="L4265" s="389">
        <f t="shared" si="352"/>
        <v>37216</v>
      </c>
      <c r="M4265" s="371"/>
      <c r="N4265" s="355" t="str">
        <f t="shared" si="350"/>
        <v>PK</v>
      </c>
      <c r="O4265" s="345"/>
      <c r="P4265" s="392"/>
      <c r="Q4265" s="441">
        <v>1.6</v>
      </c>
      <c r="R4265" s="441"/>
      <c r="S4265" s="351"/>
      <c r="T4265" s="351"/>
      <c r="U4265" s="329" t="str">
        <f>IF($N4265=$N$4,IFERROR(INDEX(DanhMuc!$E$154:$E$165,MATCH(MID($B4265,4,2),DanhMuc!$B$154:$B$165,0)),""),"")</f>
        <v/>
      </c>
      <c r="V4265" s="361"/>
      <c r="W4265" s="345"/>
      <c r="X4265" s="329" t="str">
        <f t="shared" si="351"/>
        <v>RT</v>
      </c>
      <c r="Y4265" s="1128" t="s">
        <v>3380</v>
      </c>
      <c r="Z4265" s="1128" t="s">
        <v>3381</v>
      </c>
      <c r="AA4265" s="1128" t="s">
        <v>3384</v>
      </c>
      <c r="AB4265" s="20"/>
      <c r="AC4265" s="73"/>
    </row>
    <row r="4266" spans="1:29">
      <c r="A4266" s="327" t="str">
        <f>IF(AND($B4266&lt;&gt;"",$C4266&lt;&gt;""),MAX($A$1556:A4241)+1,"")</f>
        <v/>
      </c>
      <c r="B4266" s="361" t="s">
        <v>2040</v>
      </c>
      <c r="C4266" s="360"/>
      <c r="D4266" s="327">
        <f>IF($B4266="","",COUNTIF($B$6:$B4266,$B4266))</f>
        <v>7</v>
      </c>
      <c r="E4266" s="430">
        <v>571276</v>
      </c>
      <c r="F4266" s="431" t="s">
        <v>1414</v>
      </c>
      <c r="G4266" s="327" t="s">
        <v>155</v>
      </c>
      <c r="H4266" s="361"/>
      <c r="I4266" s="327">
        <v>4</v>
      </c>
      <c r="J4266" s="361"/>
      <c r="K4266" s="327"/>
      <c r="L4266" s="389">
        <f t="shared" si="352"/>
        <v>14188.6</v>
      </c>
      <c r="M4266" s="371"/>
      <c r="N4266" s="355" t="str">
        <f t="shared" si="350"/>
        <v>PK</v>
      </c>
      <c r="O4266" s="345"/>
      <c r="P4266" s="392"/>
      <c r="Q4266" s="441">
        <v>0.61</v>
      </c>
      <c r="R4266" s="441"/>
      <c r="S4266" s="351"/>
      <c r="T4266" s="351"/>
      <c r="U4266" s="329" t="str">
        <f>IF($N4266=$N$4,IFERROR(INDEX(DanhMuc!$E$154:$E$165,MATCH(MID($B4266,4,2),DanhMuc!$B$154:$B$165,0)),""),"")</f>
        <v/>
      </c>
      <c r="V4266" s="361"/>
      <c r="W4266" s="345"/>
      <c r="X4266" s="329" t="str">
        <f t="shared" si="351"/>
        <v>RT</v>
      </c>
      <c r="Y4266" s="1128" t="s">
        <v>3380</v>
      </c>
      <c r="Z4266" s="1128" t="s">
        <v>3381</v>
      </c>
      <c r="AA4266" s="1128" t="s">
        <v>3384</v>
      </c>
      <c r="AB4266" s="20"/>
      <c r="AC4266" s="73"/>
    </row>
    <row r="4267" spans="1:29" ht="25">
      <c r="A4267" s="327" t="str">
        <f>IF(AND($B4267&lt;&gt;"",$C4267&lt;&gt;""),MAX($A$1556:A4242)+1,"")</f>
        <v/>
      </c>
      <c r="B4267" s="361" t="s">
        <v>2040</v>
      </c>
      <c r="C4267" s="360"/>
      <c r="D4267" s="327">
        <f>IF($B4267="","",COUNTIF($B$6:$B4267,$B4267))</f>
        <v>8</v>
      </c>
      <c r="E4267" s="430">
        <v>625205</v>
      </c>
      <c r="F4267" s="431" t="s">
        <v>1418</v>
      </c>
      <c r="G4267" s="327" t="s">
        <v>155</v>
      </c>
      <c r="H4267" s="361"/>
      <c r="I4267" s="411" t="s">
        <v>1465</v>
      </c>
      <c r="J4267" s="361"/>
      <c r="K4267" s="327"/>
      <c r="L4267" s="389">
        <f t="shared" si="352"/>
        <v>247486.40000000002</v>
      </c>
      <c r="M4267" s="371"/>
      <c r="N4267" s="355" t="str">
        <f t="shared" si="350"/>
        <v>PK</v>
      </c>
      <c r="O4267" s="345"/>
      <c r="P4267" s="392"/>
      <c r="Q4267" s="441">
        <v>10.64</v>
      </c>
      <c r="R4267" s="441"/>
      <c r="S4267" s="351"/>
      <c r="T4267" s="351"/>
      <c r="U4267" s="329" t="str">
        <f>IF($N4267=$N$4,IFERROR(INDEX(DanhMuc!$E$154:$E$165,MATCH(MID($B4267,4,2),DanhMuc!$B$154:$B$165,0)),""),"")</f>
        <v/>
      </c>
      <c r="V4267" s="361"/>
      <c r="W4267" s="345"/>
      <c r="X4267" s="329" t="str">
        <f t="shared" si="351"/>
        <v>RT</v>
      </c>
      <c r="Y4267" s="1128" t="s">
        <v>3380</v>
      </c>
      <c r="Z4267" s="1128" t="s">
        <v>3381</v>
      </c>
      <c r="AA4267" s="1128" t="s">
        <v>3384</v>
      </c>
      <c r="AB4267" s="20"/>
      <c r="AC4267" s="73"/>
    </row>
    <row r="4268" spans="1:29" ht="25">
      <c r="A4268" s="327" t="str">
        <f>IF(AND($B4268&lt;&gt;"",$C4268&lt;&gt;""),MAX($A$1556:A4243)+1,"")</f>
        <v/>
      </c>
      <c r="B4268" s="361" t="s">
        <v>2040</v>
      </c>
      <c r="C4268" s="360"/>
      <c r="D4268" s="327">
        <f>IF($B4268="","",COUNTIF($B$6:$B4268,$B4268))</f>
        <v>9</v>
      </c>
      <c r="E4268" s="430">
        <v>625206</v>
      </c>
      <c r="F4268" s="431" t="s">
        <v>1419</v>
      </c>
      <c r="G4268" s="327" t="s">
        <v>155</v>
      </c>
      <c r="H4268" s="361"/>
      <c r="I4268" s="411" t="s">
        <v>1466</v>
      </c>
      <c r="J4268" s="361"/>
      <c r="K4268" s="327"/>
      <c r="L4268" s="389">
        <f t="shared" si="352"/>
        <v>325174.8</v>
      </c>
      <c r="M4268" s="371"/>
      <c r="N4268" s="355" t="str">
        <f t="shared" si="350"/>
        <v>PK</v>
      </c>
      <c r="O4268" s="345"/>
      <c r="P4268" s="392"/>
      <c r="Q4268" s="441">
        <v>13.98</v>
      </c>
      <c r="R4268" s="441"/>
      <c r="S4268" s="351"/>
      <c r="T4268" s="351"/>
      <c r="U4268" s="329" t="str">
        <f>IF($N4268=$N$4,IFERROR(INDEX(DanhMuc!$E$154:$E$165,MATCH(MID($B4268,4,2),DanhMuc!$B$154:$B$165,0)),""),"")</f>
        <v/>
      </c>
      <c r="V4268" s="361"/>
      <c r="W4268" s="345"/>
      <c r="X4268" s="329" t="str">
        <f t="shared" si="351"/>
        <v>RT</v>
      </c>
      <c r="Y4268" s="1128" t="s">
        <v>3380</v>
      </c>
      <c r="Z4268" s="1128" t="s">
        <v>3381</v>
      </c>
      <c r="AA4268" s="1128" t="s">
        <v>3384</v>
      </c>
      <c r="AB4268" s="20"/>
      <c r="AC4268" s="73"/>
    </row>
    <row r="4269" spans="1:29" ht="25">
      <c r="A4269" s="327" t="str">
        <f>IF(AND($B4269&lt;&gt;"",$C4269&lt;&gt;""),MAX($A$1556:A4244)+1,"")</f>
        <v/>
      </c>
      <c r="B4269" s="361" t="s">
        <v>2040</v>
      </c>
      <c r="C4269" s="360"/>
      <c r="D4269" s="327">
        <f>IF($B4269="","",COUNTIF($B$6:$B4269,$B4269))</f>
        <v>10</v>
      </c>
      <c r="E4269" s="430">
        <v>625207</v>
      </c>
      <c r="F4269" s="431" t="s">
        <v>1420</v>
      </c>
      <c r="G4269" s="327" t="s">
        <v>155</v>
      </c>
      <c r="H4269" s="361"/>
      <c r="I4269" s="411" t="s">
        <v>1467</v>
      </c>
      <c r="J4269" s="361"/>
      <c r="K4269" s="327"/>
      <c r="L4269" s="389">
        <f t="shared" si="352"/>
        <v>371229.60000000003</v>
      </c>
      <c r="M4269" s="371"/>
      <c r="N4269" s="355" t="str">
        <f t="shared" si="350"/>
        <v>PK</v>
      </c>
      <c r="O4269" s="345"/>
      <c r="P4269" s="392"/>
      <c r="Q4269" s="441">
        <v>15.96</v>
      </c>
      <c r="R4269" s="441"/>
      <c r="S4269" s="351"/>
      <c r="T4269" s="351"/>
      <c r="U4269" s="329" t="str">
        <f>IF($N4269=$N$4,IFERROR(INDEX(DanhMuc!$E$154:$E$165,MATCH(MID($B4269,4,2),DanhMuc!$B$154:$B$165,0)),""),"")</f>
        <v/>
      </c>
      <c r="V4269" s="361"/>
      <c r="W4269" s="345"/>
      <c r="X4269" s="329" t="str">
        <f t="shared" si="351"/>
        <v>RT</v>
      </c>
      <c r="Y4269" s="1128" t="s">
        <v>3380</v>
      </c>
      <c r="Z4269" s="1128" t="s">
        <v>3381</v>
      </c>
      <c r="AA4269" s="1128" t="s">
        <v>3384</v>
      </c>
      <c r="AB4269" s="20"/>
      <c r="AC4269" s="73"/>
    </row>
    <row r="4270" spans="1:29">
      <c r="A4270" s="327" t="str">
        <f>IF(AND($B4270&lt;&gt;"",$C4270&lt;&gt;""),MAX($A$1556:A4245)+1,"")</f>
        <v/>
      </c>
      <c r="B4270" s="361" t="s">
        <v>2040</v>
      </c>
      <c r="C4270" s="360"/>
      <c r="D4270" s="327">
        <f>IF($B4270="","",COUNTIF($B$6:$B4270,$B4270))</f>
        <v>11</v>
      </c>
      <c r="E4270" s="430">
        <v>349187</v>
      </c>
      <c r="F4270" s="362" t="s">
        <v>1390</v>
      </c>
      <c r="G4270" s="327" t="s">
        <v>155</v>
      </c>
      <c r="H4270" s="361"/>
      <c r="I4270" s="327">
        <v>2</v>
      </c>
      <c r="J4270" s="361"/>
      <c r="K4270" s="327"/>
      <c r="L4270" s="389">
        <f t="shared" si="352"/>
        <v>145840.19999999998</v>
      </c>
      <c r="M4270" s="371"/>
      <c r="N4270" s="355" t="str">
        <f t="shared" si="350"/>
        <v>PK</v>
      </c>
      <c r="O4270" s="345"/>
      <c r="P4270" s="392"/>
      <c r="Q4270" s="441">
        <v>6.27</v>
      </c>
      <c r="R4270" s="441"/>
      <c r="S4270" s="351"/>
      <c r="T4270" s="351"/>
      <c r="U4270" s="329" t="str">
        <f>IF($N4270=$N$4,IFERROR(INDEX(DanhMuc!$E$154:$E$165,MATCH(MID($B4270,4,2),DanhMuc!$B$154:$B$165,0)),""),"")</f>
        <v/>
      </c>
      <c r="V4270" s="361"/>
      <c r="W4270" s="345"/>
      <c r="X4270" s="329" t="str">
        <f t="shared" si="351"/>
        <v>RT</v>
      </c>
      <c r="Y4270" s="1128" t="s">
        <v>3380</v>
      </c>
      <c r="Z4270" s="1128" t="s">
        <v>3381</v>
      </c>
      <c r="AA4270" s="1128" t="s">
        <v>3384</v>
      </c>
      <c r="AB4270" s="20"/>
      <c r="AC4270" s="73"/>
    </row>
    <row r="4271" spans="1:29">
      <c r="A4271" s="327" t="str">
        <f>IF(AND($B4271&lt;&gt;"",$C4271&lt;&gt;""),MAX($A$1556:A4246)+1,"")</f>
        <v/>
      </c>
      <c r="B4271" s="361" t="s">
        <v>2040</v>
      </c>
      <c r="C4271" s="360"/>
      <c r="D4271" s="327">
        <f>IF($B4271="","",COUNTIF($B$6:$B4271,$B4271))</f>
        <v>12</v>
      </c>
      <c r="E4271" s="430">
        <v>260434</v>
      </c>
      <c r="F4271" s="431" t="s">
        <v>1391</v>
      </c>
      <c r="G4271" s="327" t="s">
        <v>155</v>
      </c>
      <c r="H4271" s="361"/>
      <c r="I4271" s="327">
        <v>2</v>
      </c>
      <c r="J4271" s="361"/>
      <c r="K4271" s="327"/>
      <c r="L4271" s="389">
        <f t="shared" si="352"/>
        <v>31168.400000000001</v>
      </c>
      <c r="M4271" s="371"/>
      <c r="N4271" s="355" t="str">
        <f t="shared" si="350"/>
        <v>PK</v>
      </c>
      <c r="O4271" s="345"/>
      <c r="P4271" s="392"/>
      <c r="Q4271" s="441">
        <v>1.34</v>
      </c>
      <c r="R4271" s="441"/>
      <c r="S4271" s="351"/>
      <c r="T4271" s="351"/>
      <c r="U4271" s="329" t="str">
        <f>IF($N4271=$N$4,IFERROR(INDEX(DanhMuc!$E$154:$E$165,MATCH(MID($B4271,4,2),DanhMuc!$B$154:$B$165,0)),""),"")</f>
        <v/>
      </c>
      <c r="V4271" s="361"/>
      <c r="W4271" s="345"/>
      <c r="X4271" s="329" t="str">
        <f t="shared" si="351"/>
        <v>RT</v>
      </c>
      <c r="Y4271" s="1128" t="s">
        <v>3380</v>
      </c>
      <c r="Z4271" s="1128" t="s">
        <v>3381</v>
      </c>
      <c r="AA4271" s="1128" t="s">
        <v>3384</v>
      </c>
      <c r="AB4271" s="20"/>
      <c r="AC4271" s="73"/>
    </row>
    <row r="4272" spans="1:29">
      <c r="A4272" s="327" t="str">
        <f>IF(AND($B4272&lt;&gt;"",$C4272&lt;&gt;""),MAX($A$1556:A4247)+1,"")</f>
        <v/>
      </c>
      <c r="B4272" s="361" t="s">
        <v>2040</v>
      </c>
      <c r="C4272" s="360"/>
      <c r="D4272" s="327">
        <f>IF($B4272="","",COUNTIF($B$6:$B4272,$B4272))</f>
        <v>13</v>
      </c>
      <c r="E4272" s="430">
        <v>570886</v>
      </c>
      <c r="F4272" s="431" t="s">
        <v>1415</v>
      </c>
      <c r="G4272" s="327" t="s">
        <v>155</v>
      </c>
      <c r="H4272" s="361"/>
      <c r="I4272" s="327">
        <v>8</v>
      </c>
      <c r="J4272" s="361"/>
      <c r="K4272" s="327"/>
      <c r="L4272" s="389">
        <f t="shared" si="352"/>
        <v>317266.40000000002</v>
      </c>
      <c r="M4272" s="371"/>
      <c r="N4272" s="355" t="str">
        <f t="shared" si="350"/>
        <v>PK</v>
      </c>
      <c r="O4272" s="345" t="s">
        <v>1702</v>
      </c>
      <c r="P4272" s="392"/>
      <c r="Q4272" s="441">
        <v>13.64</v>
      </c>
      <c r="R4272" s="441"/>
      <c r="S4272" s="351"/>
      <c r="T4272" s="351"/>
      <c r="U4272" s="329" t="str">
        <f>IF($N4272=$N$4,IFERROR(INDEX(DanhMuc!$E$154:$E$165,MATCH(MID($B4272,4,2),DanhMuc!$B$154:$B$165,0)),""),"")</f>
        <v/>
      </c>
      <c r="V4272" s="361"/>
      <c r="W4272" s="345"/>
      <c r="X4272" s="329" t="str">
        <f t="shared" si="351"/>
        <v>RT</v>
      </c>
      <c r="Y4272" s="1128" t="s">
        <v>3380</v>
      </c>
      <c r="Z4272" s="1128" t="s">
        <v>3381</v>
      </c>
      <c r="AA4272" s="1128" t="s">
        <v>3384</v>
      </c>
      <c r="AB4272" s="20"/>
      <c r="AC4272" s="73"/>
    </row>
    <row r="4273" spans="1:29">
      <c r="A4273" s="327" t="str">
        <f>IF(AND($B4273&lt;&gt;"",$C4273&lt;&gt;""),MAX($A$1556:A4248)+1,"")</f>
        <v/>
      </c>
      <c r="B4273" s="361" t="s">
        <v>2040</v>
      </c>
      <c r="C4273" s="360"/>
      <c r="D4273" s="327">
        <f>IF($B4273="","",COUNTIF($B$6:$B4273,$B4273))</f>
        <v>14</v>
      </c>
      <c r="E4273" s="430">
        <v>570887</v>
      </c>
      <c r="F4273" s="431" t="s">
        <v>1416</v>
      </c>
      <c r="G4273" s="327" t="s">
        <v>155</v>
      </c>
      <c r="H4273" s="361"/>
      <c r="I4273" s="327">
        <v>8</v>
      </c>
      <c r="J4273" s="361"/>
      <c r="K4273" s="327"/>
      <c r="L4273" s="389">
        <f t="shared" si="352"/>
        <v>402165.39999999997</v>
      </c>
      <c r="M4273" s="371"/>
      <c r="N4273" s="355" t="str">
        <f t="shared" si="350"/>
        <v>PK</v>
      </c>
      <c r="O4273" s="407" t="s">
        <v>1699</v>
      </c>
      <c r="P4273" s="392"/>
      <c r="Q4273" s="441">
        <v>17.29</v>
      </c>
      <c r="R4273" s="441"/>
      <c r="S4273" s="351"/>
      <c r="T4273" s="351"/>
      <c r="U4273" s="329" t="str">
        <f>IF($N4273=$N$4,IFERROR(INDEX(DanhMuc!$E$154:$E$165,MATCH(MID($B4273,4,2),DanhMuc!$B$154:$B$165,0)),""),"")</f>
        <v/>
      </c>
      <c r="V4273" s="361"/>
      <c r="W4273" s="345"/>
      <c r="X4273" s="329" t="str">
        <f t="shared" si="351"/>
        <v>RT</v>
      </c>
      <c r="Y4273" s="1128" t="s">
        <v>3380</v>
      </c>
      <c r="Z4273" s="1128" t="s">
        <v>3381</v>
      </c>
      <c r="AA4273" s="1128" t="s">
        <v>3384</v>
      </c>
      <c r="AB4273" s="20"/>
      <c r="AC4273" s="73"/>
    </row>
    <row r="4274" spans="1:29">
      <c r="A4274" s="327" t="str">
        <f>IF(AND($B4274&lt;&gt;"",$C4274&lt;&gt;""),MAX($A$1556:A4249)+1,"")</f>
        <v/>
      </c>
      <c r="B4274" s="361" t="s">
        <v>2040</v>
      </c>
      <c r="C4274" s="360"/>
      <c r="D4274" s="327">
        <f>IF($B4274="","",COUNTIF($B$6:$B4274,$B4274))</f>
        <v>15</v>
      </c>
      <c r="E4274" s="430">
        <v>567261</v>
      </c>
      <c r="F4274" s="431" t="s">
        <v>1417</v>
      </c>
      <c r="G4274" s="327" t="s">
        <v>155</v>
      </c>
      <c r="H4274" s="361"/>
      <c r="I4274" s="327">
        <v>8</v>
      </c>
      <c r="J4274" s="361"/>
      <c r="K4274" s="327"/>
      <c r="L4274" s="389">
        <f t="shared" si="352"/>
        <v>494972.80000000005</v>
      </c>
      <c r="M4274" s="371"/>
      <c r="N4274" s="355" t="str">
        <f t="shared" si="350"/>
        <v>PK</v>
      </c>
      <c r="O4274" s="407" t="s">
        <v>1701</v>
      </c>
      <c r="P4274" s="392"/>
      <c r="Q4274" s="441">
        <v>21.28</v>
      </c>
      <c r="R4274" s="441"/>
      <c r="S4274" s="351"/>
      <c r="T4274" s="351"/>
      <c r="U4274" s="329" t="str">
        <f>IF($N4274=$N$4,IFERROR(INDEX(DanhMuc!$E$154:$E$165,MATCH(MID($B4274,4,2),DanhMuc!$B$154:$B$165,0)),""),"")</f>
        <v/>
      </c>
      <c r="V4274" s="361"/>
      <c r="W4274" s="345"/>
      <c r="X4274" s="329" t="str">
        <f t="shared" si="351"/>
        <v>RT</v>
      </c>
      <c r="Y4274" s="1128" t="s">
        <v>3380</v>
      </c>
      <c r="Z4274" s="1128" t="s">
        <v>3381</v>
      </c>
      <c r="AA4274" s="1128" t="s">
        <v>3384</v>
      </c>
      <c r="AB4274" s="20"/>
      <c r="AC4274" s="73"/>
    </row>
    <row r="4275" spans="1:29">
      <c r="A4275" s="327" t="str">
        <f>IF(AND($B4275&lt;&gt;"",$C4275&lt;&gt;""),MAX($A$1556:A4250)+1,"")</f>
        <v/>
      </c>
      <c r="B4275" s="361" t="s">
        <v>2040</v>
      </c>
      <c r="C4275" s="360"/>
      <c r="D4275" s="327">
        <f>IF($B4275="","",COUNTIF($B$6:$B4275,$B4275))</f>
        <v>16</v>
      </c>
      <c r="E4275" s="430">
        <v>229107</v>
      </c>
      <c r="F4275" s="431" t="s">
        <v>1456</v>
      </c>
      <c r="G4275" s="351" t="s">
        <v>155</v>
      </c>
      <c r="H4275" s="361"/>
      <c r="I4275" s="327">
        <v>1</v>
      </c>
      <c r="J4275" s="345"/>
      <c r="K4275" s="327"/>
      <c r="L4275" s="389">
        <v>23600</v>
      </c>
      <c r="M4275" s="371"/>
      <c r="N4275" s="355" t="str">
        <f t="shared" si="350"/>
        <v>PK</v>
      </c>
      <c r="O4275" s="345"/>
      <c r="P4275" s="392"/>
      <c r="Q4275" s="441"/>
      <c r="R4275" s="441"/>
      <c r="S4275" s="351"/>
      <c r="T4275" s="351"/>
      <c r="U4275" s="329" t="str">
        <f>IF($N4275=$N$4,IFERROR(INDEX(DanhMuc!$E$154:$E$165,MATCH(MID($B4275,4,2),DanhMuc!$B$154:$B$165,0)),""),"")</f>
        <v/>
      </c>
      <c r="V4275" s="361"/>
      <c r="W4275" s="345"/>
      <c r="X4275" s="329" t="str">
        <f t="shared" si="351"/>
        <v>RT</v>
      </c>
      <c r="Y4275" s="1128" t="s">
        <v>3380</v>
      </c>
      <c r="Z4275" s="1128" t="s">
        <v>3381</v>
      </c>
      <c r="AA4275" s="1128" t="s">
        <v>3384</v>
      </c>
      <c r="AB4275" s="20"/>
      <c r="AC4275" s="73"/>
    </row>
    <row r="4276" spans="1:29">
      <c r="A4276" s="327" t="str">
        <f>IF(AND($B4276&lt;&gt;"",$C4276&lt;&gt;""),MAX($A$1556:A4251)+1,"")</f>
        <v/>
      </c>
      <c r="B4276" s="361" t="s">
        <v>2040</v>
      </c>
      <c r="C4276" s="360"/>
      <c r="D4276" s="327">
        <f>IF($B4276="","",COUNTIF($B$6:$B4276,$B4276))</f>
        <v>17</v>
      </c>
      <c r="E4276" s="430">
        <v>229117</v>
      </c>
      <c r="F4276" s="431" t="s">
        <v>1457</v>
      </c>
      <c r="G4276" s="351" t="s">
        <v>155</v>
      </c>
      <c r="H4276" s="361"/>
      <c r="I4276" s="327">
        <v>1</v>
      </c>
      <c r="J4276" s="345"/>
      <c r="K4276" s="327"/>
      <c r="L4276" s="389">
        <v>23600</v>
      </c>
      <c r="M4276" s="371"/>
      <c r="N4276" s="355" t="str">
        <f t="shared" si="350"/>
        <v>PK</v>
      </c>
      <c r="O4276" s="345"/>
      <c r="P4276" s="392"/>
      <c r="Q4276" s="441"/>
      <c r="R4276" s="441"/>
      <c r="S4276" s="351"/>
      <c r="T4276" s="351"/>
      <c r="U4276" s="329" t="str">
        <f>IF($N4276=$N$4,IFERROR(INDEX(DanhMuc!$E$154:$E$165,MATCH(MID($B4276,4,2),DanhMuc!$B$154:$B$165,0)),""),"")</f>
        <v/>
      </c>
      <c r="V4276" s="361"/>
      <c r="W4276" s="345"/>
      <c r="X4276" s="329" t="str">
        <f t="shared" si="351"/>
        <v>RT</v>
      </c>
      <c r="Y4276" s="1128" t="s">
        <v>3380</v>
      </c>
      <c r="Z4276" s="1128" t="s">
        <v>3381</v>
      </c>
      <c r="AA4276" s="1128" t="s">
        <v>3384</v>
      </c>
      <c r="AB4276" s="20"/>
      <c r="AC4276" s="73"/>
    </row>
    <row r="4277" spans="1:29" ht="26">
      <c r="A4277" s="327">
        <f>IF(AND($B4277&lt;&gt;"",$C4277&lt;&gt;""),MAX($A$1556:A4252)+1,"")</f>
        <v>197</v>
      </c>
      <c r="B4277" s="359" t="s">
        <v>2041</v>
      </c>
      <c r="C4277" s="370" t="s">
        <v>1594</v>
      </c>
      <c r="D4277" s="327">
        <f>IF($B4277="","",COUNTIF($B$6:$B4277,$B4277))</f>
        <v>1</v>
      </c>
      <c r="E4277" s="430">
        <v>571162</v>
      </c>
      <c r="F4277" s="362" t="s">
        <v>1409</v>
      </c>
      <c r="G4277" s="327" t="s">
        <v>155</v>
      </c>
      <c r="H4277" s="361"/>
      <c r="I4277" s="327">
        <v>1</v>
      </c>
      <c r="J4277" s="361"/>
      <c r="K4277" s="327"/>
      <c r="L4277" s="389">
        <f t="shared" si="352"/>
        <v>114904.40000000001</v>
      </c>
      <c r="M4277" s="371"/>
      <c r="N4277" s="355" t="str">
        <f t="shared" si="350"/>
        <v>PK</v>
      </c>
      <c r="O4277" s="345"/>
      <c r="P4277" s="392"/>
      <c r="Q4277" s="441">
        <v>4.9400000000000004</v>
      </c>
      <c r="R4277" s="441"/>
      <c r="S4277" s="351"/>
      <c r="T4277" s="351"/>
      <c r="U4277" s="329" t="str">
        <f>IF($N4277=$N$4,IFERROR(INDEX(DanhMuc!$E$154:$E$165,MATCH(MID($B4277,4,2),DanhMuc!$B$154:$B$165,0)),""),"")</f>
        <v/>
      </c>
      <c r="V4277" s="361"/>
      <c r="W4277" s="345"/>
      <c r="X4277" s="329" t="str">
        <f t="shared" si="351"/>
        <v>RT</v>
      </c>
      <c r="Y4277" s="1128" t="s">
        <v>3380</v>
      </c>
      <c r="Z4277" s="1128" t="s">
        <v>3381</v>
      </c>
      <c r="AA4277" s="1128" t="s">
        <v>3384</v>
      </c>
      <c r="AB4277" s="20"/>
      <c r="AC4277" s="73"/>
    </row>
    <row r="4278" spans="1:29" ht="25">
      <c r="A4278" s="327" t="str">
        <f>IF(AND($B4278&lt;&gt;"",$C4278&lt;&gt;""),MAX($A$1556:A4253)+1,"")</f>
        <v/>
      </c>
      <c r="B4278" s="361" t="s">
        <v>2041</v>
      </c>
      <c r="C4278" s="360"/>
      <c r="D4278" s="327">
        <f>IF($B4278="","",COUNTIF($B$6:$B4278,$B4278))</f>
        <v>2</v>
      </c>
      <c r="E4278" s="361">
        <v>628790</v>
      </c>
      <c r="F4278" s="362" t="s">
        <v>1410</v>
      </c>
      <c r="G4278" s="327" t="s">
        <v>155</v>
      </c>
      <c r="H4278" s="361"/>
      <c r="I4278" s="411" t="s">
        <v>1472</v>
      </c>
      <c r="J4278" s="361"/>
      <c r="K4278" s="327"/>
      <c r="L4278" s="389">
        <f t="shared" si="352"/>
        <v>110019.8</v>
      </c>
      <c r="M4278" s="371"/>
      <c r="N4278" s="355" t="str">
        <f t="shared" si="350"/>
        <v>PK</v>
      </c>
      <c r="O4278" s="345"/>
      <c r="P4278" s="392"/>
      <c r="Q4278" s="441">
        <v>4.7300000000000004</v>
      </c>
      <c r="R4278" s="441"/>
      <c r="S4278" s="351"/>
      <c r="T4278" s="351"/>
      <c r="U4278" s="329" t="str">
        <f>IF($N4278=$N$4,IFERROR(INDEX(DanhMuc!$E$154:$E$165,MATCH(MID($B4278,4,2),DanhMuc!$B$154:$B$165,0)),""),"")</f>
        <v/>
      </c>
      <c r="V4278" s="361"/>
      <c r="W4278" s="345"/>
      <c r="X4278" s="329" t="str">
        <f t="shared" si="351"/>
        <v>RT</v>
      </c>
      <c r="Y4278" s="1128" t="s">
        <v>3380</v>
      </c>
      <c r="Z4278" s="1128" t="s">
        <v>3381</v>
      </c>
      <c r="AA4278" s="1128" t="s">
        <v>3384</v>
      </c>
      <c r="AB4278" s="20"/>
      <c r="AC4278" s="73"/>
    </row>
    <row r="4279" spans="1:29" ht="25">
      <c r="A4279" s="327" t="str">
        <f>IF(AND($B4279&lt;&gt;"",$C4279&lt;&gt;""),MAX($A$1556:A4254)+1,"")</f>
        <v/>
      </c>
      <c r="B4279" s="361" t="s">
        <v>2041</v>
      </c>
      <c r="C4279" s="360"/>
      <c r="D4279" s="327">
        <f>IF($B4279="","",COUNTIF($B$6:$B4279,$B4279))</f>
        <v>3</v>
      </c>
      <c r="E4279" s="361">
        <v>628791</v>
      </c>
      <c r="F4279" s="362" t="s">
        <v>1411</v>
      </c>
      <c r="G4279" s="327" t="s">
        <v>155</v>
      </c>
      <c r="H4279" s="361"/>
      <c r="I4279" s="411" t="s">
        <v>1461</v>
      </c>
      <c r="J4279" s="361"/>
      <c r="K4279" s="327"/>
      <c r="L4279" s="389">
        <f t="shared" si="352"/>
        <v>114904.40000000001</v>
      </c>
      <c r="M4279" s="371"/>
      <c r="N4279" s="355" t="str">
        <f t="shared" si="350"/>
        <v>PK</v>
      </c>
      <c r="O4279" s="345"/>
      <c r="P4279" s="392"/>
      <c r="Q4279" s="441">
        <v>4.9400000000000004</v>
      </c>
      <c r="R4279" s="441"/>
      <c r="S4279" s="351"/>
      <c r="T4279" s="351"/>
      <c r="U4279" s="329" t="str">
        <f>IF($N4279=$N$4,IFERROR(INDEX(DanhMuc!$E$154:$E$165,MATCH(MID($B4279,4,2),DanhMuc!$B$154:$B$165,0)),""),"")</f>
        <v/>
      </c>
      <c r="V4279" s="361"/>
      <c r="W4279" s="345"/>
      <c r="X4279" s="329" t="str">
        <f t="shared" si="351"/>
        <v>RT</v>
      </c>
      <c r="Y4279" s="1128" t="s">
        <v>3380</v>
      </c>
      <c r="Z4279" s="1128" t="s">
        <v>3381</v>
      </c>
      <c r="AA4279" s="1128" t="s">
        <v>3384</v>
      </c>
      <c r="AB4279" s="20"/>
      <c r="AC4279" s="73"/>
    </row>
    <row r="4280" spans="1:29" ht="25">
      <c r="A4280" s="327" t="str">
        <f>IF(AND($B4280&lt;&gt;"",$C4280&lt;&gt;""),MAX($A$1556:A4255)+1,"")</f>
        <v/>
      </c>
      <c r="B4280" s="361" t="s">
        <v>2041</v>
      </c>
      <c r="C4280" s="360"/>
      <c r="D4280" s="327">
        <f>IF($B4280="","",COUNTIF($B$6:$B4280,$B4280))</f>
        <v>4</v>
      </c>
      <c r="E4280" s="361">
        <v>628792</v>
      </c>
      <c r="F4280" s="362" t="s">
        <v>1412</v>
      </c>
      <c r="G4280" s="327" t="s">
        <v>155</v>
      </c>
      <c r="H4280" s="361"/>
      <c r="I4280" s="411" t="s">
        <v>1473</v>
      </c>
      <c r="J4280" s="361"/>
      <c r="K4280" s="327"/>
      <c r="L4280" s="389">
        <f t="shared" si="352"/>
        <v>120952</v>
      </c>
      <c r="M4280" s="371"/>
      <c r="N4280" s="355" t="str">
        <f t="shared" si="350"/>
        <v>PK</v>
      </c>
      <c r="O4280" s="345"/>
      <c r="P4280" s="392"/>
      <c r="Q4280" s="441">
        <v>5.2</v>
      </c>
      <c r="R4280" s="441"/>
      <c r="S4280" s="351"/>
      <c r="T4280" s="351"/>
      <c r="U4280" s="329" t="str">
        <f>IF($N4280=$N$4,IFERROR(INDEX(DanhMuc!$E$154:$E$165,MATCH(MID($B4280,4,2),DanhMuc!$B$154:$B$165,0)),""),"")</f>
        <v/>
      </c>
      <c r="V4280" s="361"/>
      <c r="W4280" s="345"/>
      <c r="X4280" s="329" t="str">
        <f t="shared" si="351"/>
        <v>RT</v>
      </c>
      <c r="Y4280" s="1128" t="s">
        <v>3380</v>
      </c>
      <c r="Z4280" s="1128" t="s">
        <v>3381</v>
      </c>
      <c r="AA4280" s="1128" t="s">
        <v>3384</v>
      </c>
      <c r="AB4280" s="20"/>
      <c r="AC4280" s="73"/>
    </row>
    <row r="4281" spans="1:29" ht="25">
      <c r="A4281" s="327" t="str">
        <f>IF(AND($B4281&lt;&gt;"",$C4281&lt;&gt;""),MAX($A$1556:A4256)+1,"")</f>
        <v/>
      </c>
      <c r="B4281" s="361" t="s">
        <v>2041</v>
      </c>
      <c r="C4281" s="360"/>
      <c r="D4281" s="327">
        <f>IF($B4281="","",COUNTIF($B$6:$B4281,$B4281))</f>
        <v>5</v>
      </c>
      <c r="E4281" s="361">
        <v>628793</v>
      </c>
      <c r="F4281" s="362" t="s">
        <v>1413</v>
      </c>
      <c r="G4281" s="327" t="s">
        <v>155</v>
      </c>
      <c r="H4281" s="361"/>
      <c r="I4281" s="411" t="s">
        <v>1474</v>
      </c>
      <c r="J4281" s="361"/>
      <c r="K4281" s="327"/>
      <c r="L4281" s="389">
        <f t="shared" si="352"/>
        <v>130255.99999999999</v>
      </c>
      <c r="M4281" s="371"/>
      <c r="N4281" s="355" t="str">
        <f t="shared" si="350"/>
        <v>PK</v>
      </c>
      <c r="O4281" s="345"/>
      <c r="P4281" s="392"/>
      <c r="Q4281" s="441">
        <v>5.6</v>
      </c>
      <c r="R4281" s="441"/>
      <c r="S4281" s="351"/>
      <c r="T4281" s="351"/>
      <c r="U4281" s="329" t="str">
        <f>IF($N4281=$N$4,IFERROR(INDEX(DanhMuc!$E$154:$E$165,MATCH(MID($B4281,4,2),DanhMuc!$B$154:$B$165,0)),""),"")</f>
        <v/>
      </c>
      <c r="V4281" s="361"/>
      <c r="W4281" s="345"/>
      <c r="X4281" s="329" t="str">
        <f t="shared" si="351"/>
        <v>RT</v>
      </c>
      <c r="Y4281" s="1128" t="s">
        <v>3380</v>
      </c>
      <c r="Z4281" s="1128" t="s">
        <v>3381</v>
      </c>
      <c r="AA4281" s="1128" t="s">
        <v>3384</v>
      </c>
      <c r="AB4281" s="20"/>
      <c r="AC4281" s="73"/>
    </row>
    <row r="4282" spans="1:29">
      <c r="A4282" s="327" t="str">
        <f>IF(AND($B4282&lt;&gt;"",$C4282&lt;&gt;""),MAX($A$1556:A4257)+1,"")</f>
        <v/>
      </c>
      <c r="B4282" s="361" t="s">
        <v>2041</v>
      </c>
      <c r="C4282" s="360"/>
      <c r="D4282" s="327">
        <f>IF($B4282="","",COUNTIF($B$6:$B4282,$B4282))</f>
        <v>6</v>
      </c>
      <c r="E4282" s="430">
        <v>571276</v>
      </c>
      <c r="F4282" s="431" t="s">
        <v>1414</v>
      </c>
      <c r="G4282" s="327" t="s">
        <v>155</v>
      </c>
      <c r="H4282" s="361"/>
      <c r="I4282" s="327">
        <v>2</v>
      </c>
      <c r="J4282" s="361"/>
      <c r="K4282" s="327"/>
      <c r="L4282" s="389">
        <f t="shared" si="352"/>
        <v>14188.6</v>
      </c>
      <c r="M4282" s="371"/>
      <c r="N4282" s="355" t="str">
        <f t="shared" si="350"/>
        <v>PK</v>
      </c>
      <c r="O4282" s="345"/>
      <c r="P4282" s="392"/>
      <c r="Q4282" s="441">
        <v>0.61</v>
      </c>
      <c r="R4282" s="441"/>
      <c r="S4282" s="351"/>
      <c r="T4282" s="351"/>
      <c r="U4282" s="329" t="str">
        <f>IF($N4282=$N$4,IFERROR(INDEX(DanhMuc!$E$154:$E$165,MATCH(MID($B4282,4,2),DanhMuc!$B$154:$B$165,0)),""),"")</f>
        <v/>
      </c>
      <c r="V4282" s="361"/>
      <c r="W4282" s="345"/>
      <c r="X4282" s="329" t="str">
        <f t="shared" si="351"/>
        <v>RT</v>
      </c>
      <c r="Y4282" s="1128" t="s">
        <v>3380</v>
      </c>
      <c r="Z4282" s="1128" t="s">
        <v>3381</v>
      </c>
      <c r="AA4282" s="1128" t="s">
        <v>3384</v>
      </c>
      <c r="AB4282" s="20"/>
      <c r="AC4282" s="73"/>
    </row>
    <row r="4283" spans="1:29">
      <c r="A4283" s="327" t="str">
        <f>IF(AND($B4283&lt;&gt;"",$C4283&lt;&gt;""),MAX($A$1556:A4258)+1,"")</f>
        <v/>
      </c>
      <c r="B4283" s="361" t="s">
        <v>2041</v>
      </c>
      <c r="C4283" s="360"/>
      <c r="D4283" s="327">
        <f>IF($B4283="","",COUNTIF($B$6:$B4283,$B4283))</f>
        <v>7</v>
      </c>
      <c r="E4283" s="430">
        <v>570886</v>
      </c>
      <c r="F4283" s="431" t="s">
        <v>1415</v>
      </c>
      <c r="G4283" s="327" t="s">
        <v>155</v>
      </c>
      <c r="H4283" s="361"/>
      <c r="I4283" s="327">
        <v>2</v>
      </c>
      <c r="J4283" s="361"/>
      <c r="K4283" s="327"/>
      <c r="L4283" s="389">
        <f t="shared" si="352"/>
        <v>317266.40000000002</v>
      </c>
      <c r="M4283" s="371"/>
      <c r="N4283" s="355" t="str">
        <f t="shared" si="350"/>
        <v>PK</v>
      </c>
      <c r="O4283" s="345" t="s">
        <v>1702</v>
      </c>
      <c r="P4283" s="392"/>
      <c r="Q4283" s="441">
        <v>13.64</v>
      </c>
      <c r="R4283" s="441"/>
      <c r="S4283" s="351"/>
      <c r="T4283" s="351"/>
      <c r="U4283" s="329" t="str">
        <f>IF($N4283=$N$4,IFERROR(INDEX(DanhMuc!$E$154:$E$165,MATCH(MID($B4283,4,2),DanhMuc!$B$154:$B$165,0)),""),"")</f>
        <v/>
      </c>
      <c r="V4283" s="361"/>
      <c r="W4283" s="345"/>
      <c r="X4283" s="329" t="str">
        <f t="shared" si="351"/>
        <v>RT</v>
      </c>
      <c r="Y4283" s="1128" t="s">
        <v>3380</v>
      </c>
      <c r="Z4283" s="1128" t="s">
        <v>3381</v>
      </c>
      <c r="AA4283" s="1128" t="s">
        <v>3384</v>
      </c>
      <c r="AB4283" s="20"/>
      <c r="AC4283" s="73"/>
    </row>
    <row r="4284" spans="1:29">
      <c r="A4284" s="327" t="str">
        <f>IF(AND($B4284&lt;&gt;"",$C4284&lt;&gt;""),MAX($A$1556:A4259)+1,"")</f>
        <v/>
      </c>
      <c r="B4284" s="361" t="s">
        <v>2041</v>
      </c>
      <c r="C4284" s="360"/>
      <c r="D4284" s="327">
        <f>IF($B4284="","",COUNTIF($B$6:$B4284,$B4284))</f>
        <v>8</v>
      </c>
      <c r="E4284" s="430">
        <v>570887</v>
      </c>
      <c r="F4284" s="431" t="s">
        <v>1416</v>
      </c>
      <c r="G4284" s="327" t="s">
        <v>155</v>
      </c>
      <c r="H4284" s="361"/>
      <c r="I4284" s="327">
        <v>2</v>
      </c>
      <c r="J4284" s="361"/>
      <c r="K4284" s="327"/>
      <c r="L4284" s="389">
        <f t="shared" si="352"/>
        <v>402165.39999999997</v>
      </c>
      <c r="M4284" s="371"/>
      <c r="N4284" s="355" t="str">
        <f t="shared" si="350"/>
        <v>PK</v>
      </c>
      <c r="O4284" s="407" t="s">
        <v>1699</v>
      </c>
      <c r="P4284" s="392"/>
      <c r="Q4284" s="441">
        <v>17.29</v>
      </c>
      <c r="R4284" s="441"/>
      <c r="S4284" s="351"/>
      <c r="T4284" s="351"/>
      <c r="U4284" s="329" t="str">
        <f>IF($N4284=$N$4,IFERROR(INDEX(DanhMuc!$E$154:$E$165,MATCH(MID($B4284,4,2),DanhMuc!$B$154:$B$165,0)),""),"")</f>
        <v/>
      </c>
      <c r="V4284" s="361"/>
      <c r="W4284" s="345"/>
      <c r="X4284" s="329" t="str">
        <f t="shared" si="351"/>
        <v>RT</v>
      </c>
      <c r="Y4284" s="1128" t="s">
        <v>3380</v>
      </c>
      <c r="Z4284" s="1128" t="s">
        <v>3381</v>
      </c>
      <c r="AA4284" s="1128" t="s">
        <v>3384</v>
      </c>
      <c r="AB4284" s="20"/>
      <c r="AC4284" s="73"/>
    </row>
    <row r="4285" spans="1:29">
      <c r="A4285" s="327" t="str">
        <f>IF(AND($B4285&lt;&gt;"",$C4285&lt;&gt;""),MAX($A$1556:A4260)+1,"")</f>
        <v/>
      </c>
      <c r="B4285" s="361" t="s">
        <v>2041</v>
      </c>
      <c r="C4285" s="360"/>
      <c r="D4285" s="327">
        <f>IF($B4285="","",COUNTIF($B$6:$B4285,$B4285))</f>
        <v>9</v>
      </c>
      <c r="E4285" s="430">
        <v>567261</v>
      </c>
      <c r="F4285" s="431" t="s">
        <v>1417</v>
      </c>
      <c r="G4285" s="327" t="s">
        <v>155</v>
      </c>
      <c r="H4285" s="361"/>
      <c r="I4285" s="327">
        <v>2</v>
      </c>
      <c r="J4285" s="361"/>
      <c r="K4285" s="327"/>
      <c r="L4285" s="389">
        <f t="shared" si="352"/>
        <v>494972.80000000005</v>
      </c>
      <c r="M4285" s="371"/>
      <c r="N4285" s="355" t="str">
        <f t="shared" si="350"/>
        <v>PK</v>
      </c>
      <c r="O4285" s="407" t="s">
        <v>1701</v>
      </c>
      <c r="P4285" s="392"/>
      <c r="Q4285" s="441">
        <v>21.28</v>
      </c>
      <c r="R4285" s="441"/>
      <c r="S4285" s="351"/>
      <c r="T4285" s="351"/>
      <c r="U4285" s="329" t="str">
        <f>IF($N4285=$N$4,IFERROR(INDEX(DanhMuc!$E$154:$E$165,MATCH(MID($B4285,4,2),DanhMuc!$B$154:$B$165,0)),""),"")</f>
        <v/>
      </c>
      <c r="V4285" s="361"/>
      <c r="W4285" s="345"/>
      <c r="X4285" s="329" t="str">
        <f t="shared" si="351"/>
        <v>RT</v>
      </c>
      <c r="Y4285" s="1128" t="s">
        <v>3380</v>
      </c>
      <c r="Z4285" s="1128" t="s">
        <v>3381</v>
      </c>
      <c r="AA4285" s="1128" t="s">
        <v>3384</v>
      </c>
      <c r="AB4285" s="20"/>
      <c r="AC4285" s="73"/>
    </row>
    <row r="4286" spans="1:29">
      <c r="A4286" s="327" t="str">
        <f>IF(AND($B4286&lt;&gt;"",$C4286&lt;&gt;""),MAX($A$1556:A4261)+1,"")</f>
        <v/>
      </c>
      <c r="B4286" s="361" t="s">
        <v>2041</v>
      </c>
      <c r="C4286" s="360"/>
      <c r="D4286" s="327">
        <f>IF($B4286="","",COUNTIF($B$6:$B4286,$B4286))</f>
        <v>10</v>
      </c>
      <c r="E4286" s="442">
        <v>792616</v>
      </c>
      <c r="F4286" s="443" t="s">
        <v>1024</v>
      </c>
      <c r="G4286" s="327" t="s">
        <v>155</v>
      </c>
      <c r="H4286" s="361"/>
      <c r="I4286" s="327">
        <v>2</v>
      </c>
      <c r="J4286" s="361"/>
      <c r="K4286" s="327"/>
      <c r="L4286" s="710" t="s">
        <v>2286</v>
      </c>
      <c r="M4286" s="371"/>
      <c r="N4286" s="355" t="str">
        <f t="shared" si="350"/>
        <v>PK</v>
      </c>
      <c r="O4286" s="345"/>
      <c r="P4286" s="392"/>
      <c r="Q4286" s="441">
        <v>0</v>
      </c>
      <c r="R4286" s="441"/>
      <c r="S4286" s="351"/>
      <c r="T4286" s="351"/>
      <c r="U4286" s="329" t="str">
        <f>IF($N4286=$N$4,IFERROR(INDEX(DanhMuc!$E$154:$E$165,MATCH(MID($B4286,4,2),DanhMuc!$B$154:$B$165,0)),""),"")</f>
        <v/>
      </c>
      <c r="V4286" s="361"/>
      <c r="W4286" s="345"/>
      <c r="X4286" s="329" t="str">
        <f t="shared" si="351"/>
        <v>RT</v>
      </c>
      <c r="Y4286" s="1128" t="s">
        <v>3380</v>
      </c>
      <c r="Z4286" s="1128" t="s">
        <v>3381</v>
      </c>
      <c r="AA4286" s="1128" t="s">
        <v>3384</v>
      </c>
      <c r="AB4286" s="20"/>
      <c r="AC4286" s="73"/>
    </row>
    <row r="4287" spans="1:29">
      <c r="A4287" s="327" t="str">
        <f>IF(AND($B4287&lt;&gt;"",$C4287&lt;&gt;""),MAX($A$1556:A4262)+1,"")</f>
        <v/>
      </c>
      <c r="B4287" s="361" t="s">
        <v>2041</v>
      </c>
      <c r="C4287" s="360"/>
      <c r="D4287" s="327">
        <f>IF($B4287="","",COUNTIF($B$6:$B4287,$B4287))</f>
        <v>11</v>
      </c>
      <c r="E4287" s="430">
        <v>570889</v>
      </c>
      <c r="F4287" s="431" t="s">
        <v>1421</v>
      </c>
      <c r="G4287" s="327" t="s">
        <v>155</v>
      </c>
      <c r="H4287" s="361"/>
      <c r="I4287" s="327">
        <v>0</v>
      </c>
      <c r="J4287" s="361"/>
      <c r="K4287" s="327"/>
      <c r="L4287" s="389">
        <f t="shared" si="352"/>
        <v>83736</v>
      </c>
      <c r="M4287" s="371"/>
      <c r="N4287" s="355" t="str">
        <f t="shared" si="350"/>
        <v>PK</v>
      </c>
      <c r="O4287" s="345"/>
      <c r="P4287" s="392"/>
      <c r="Q4287" s="441">
        <v>3.6</v>
      </c>
      <c r="R4287" s="441"/>
      <c r="S4287" s="351"/>
      <c r="T4287" s="351"/>
      <c r="U4287" s="329" t="str">
        <f>IF($N4287=$N$4,IFERROR(INDEX(DanhMuc!$E$154:$E$165,MATCH(MID($B4287,4,2),DanhMuc!$B$154:$B$165,0)),""),"")</f>
        <v/>
      </c>
      <c r="V4287" s="361"/>
      <c r="W4287" s="345"/>
      <c r="X4287" s="329" t="str">
        <f t="shared" si="351"/>
        <v>RT</v>
      </c>
      <c r="Y4287" s="1128" t="s">
        <v>3380</v>
      </c>
      <c r="Z4287" s="1128" t="s">
        <v>3381</v>
      </c>
      <c r="AA4287" s="1128" t="s">
        <v>3384</v>
      </c>
      <c r="AB4287" s="20"/>
      <c r="AC4287" s="73"/>
    </row>
    <row r="4288" spans="1:29" ht="26">
      <c r="A4288" s="327">
        <f>IF(AND($B4288&lt;&gt;"",$C4288&lt;&gt;""),MAX($A$1556:A4263)+1,"")</f>
        <v>198</v>
      </c>
      <c r="B4288" s="359" t="s">
        <v>2042</v>
      </c>
      <c r="C4288" s="370" t="s">
        <v>1588</v>
      </c>
      <c r="D4288" s="327">
        <f>IF($B4288="","",COUNTIF($B$6:$B4288,$B4288))</f>
        <v>1</v>
      </c>
      <c r="E4288" s="430">
        <v>617437</v>
      </c>
      <c r="F4288" s="362" t="s">
        <v>1422</v>
      </c>
      <c r="G4288" s="327" t="s">
        <v>155</v>
      </c>
      <c r="H4288" s="361"/>
      <c r="I4288" s="327">
        <v>2</v>
      </c>
      <c r="J4288" s="361"/>
      <c r="K4288" s="327"/>
      <c r="L4288" s="389">
        <f t="shared" si="352"/>
        <v>99320.2</v>
      </c>
      <c r="M4288" s="371"/>
      <c r="N4288" s="355" t="str">
        <f t="shared" si="350"/>
        <v>PK</v>
      </c>
      <c r="O4288" s="345" t="s">
        <v>1788</v>
      </c>
      <c r="P4288" s="392"/>
      <c r="Q4288" s="441">
        <v>4.2699999999999996</v>
      </c>
      <c r="R4288" s="441"/>
      <c r="S4288" s="351"/>
      <c r="T4288" s="351"/>
      <c r="U4288" s="329" t="str">
        <f>IF($N4288=$N$4,IFERROR(INDEX(DanhMuc!$E$154:$E$165,MATCH(MID($B4288,4,2),DanhMuc!$B$154:$B$165,0)),""),"")</f>
        <v/>
      </c>
      <c r="V4288" s="361"/>
      <c r="W4288" s="345"/>
      <c r="X4288" s="329" t="str">
        <f t="shared" si="351"/>
        <v>RT</v>
      </c>
      <c r="Y4288" s="1128" t="s">
        <v>3380</v>
      </c>
      <c r="Z4288" s="1128" t="s">
        <v>3381</v>
      </c>
      <c r="AA4288" s="1128" t="s">
        <v>3384</v>
      </c>
      <c r="AB4288" s="20"/>
      <c r="AC4288" s="73"/>
    </row>
    <row r="4289" spans="1:29">
      <c r="A4289" s="327" t="str">
        <f>IF(AND($B4289&lt;&gt;"",$C4289&lt;&gt;""),MAX($A$1556:A4264)+1,"")</f>
        <v/>
      </c>
      <c r="B4289" s="361" t="s">
        <v>2042</v>
      </c>
      <c r="C4289" s="360"/>
      <c r="D4289" s="327">
        <f>IF($B4289="","",COUNTIF($B$6:$B4289,$B4289))</f>
        <v>2</v>
      </c>
      <c r="E4289" s="430">
        <v>570810</v>
      </c>
      <c r="F4289" s="362" t="s">
        <v>1401</v>
      </c>
      <c r="G4289" s="327" t="s">
        <v>155</v>
      </c>
      <c r="H4289" s="361"/>
      <c r="I4289" s="327">
        <v>2</v>
      </c>
      <c r="J4289" s="345"/>
      <c r="K4289" s="327"/>
      <c r="L4289" s="389">
        <f t="shared" si="352"/>
        <v>120952</v>
      </c>
      <c r="M4289" s="371"/>
      <c r="N4289" s="355" t="str">
        <f t="shared" si="350"/>
        <v>PK</v>
      </c>
      <c r="O4289" s="345" t="s">
        <v>1781</v>
      </c>
      <c r="P4289" s="392"/>
      <c r="Q4289" s="441">
        <v>5.2</v>
      </c>
      <c r="R4289" s="441"/>
      <c r="S4289" s="351"/>
      <c r="T4289" s="351"/>
      <c r="U4289" s="329" t="str">
        <f>IF($N4289=$N$4,IFERROR(INDEX(DanhMuc!$E$154:$E$165,MATCH(MID($B4289,4,2),DanhMuc!$B$154:$B$165,0)),""),"")</f>
        <v/>
      </c>
      <c r="V4289" s="361"/>
      <c r="W4289" s="345"/>
      <c r="X4289" s="329" t="str">
        <f t="shared" si="351"/>
        <v>RT</v>
      </c>
      <c r="Y4289" s="1128" t="s">
        <v>3380</v>
      </c>
      <c r="Z4289" s="1128" t="s">
        <v>3381</v>
      </c>
      <c r="AA4289" s="1128" t="s">
        <v>3384</v>
      </c>
      <c r="AB4289" s="20"/>
      <c r="AC4289" s="73"/>
    </row>
    <row r="4290" spans="1:29">
      <c r="A4290" s="327" t="str">
        <f>IF(AND($B4290&lt;&gt;"",$C4290&lt;&gt;""),MAX($A$1556:A4265)+1,"")</f>
        <v/>
      </c>
      <c r="B4290" s="361" t="s">
        <v>2042</v>
      </c>
      <c r="C4290" s="360"/>
      <c r="D4290" s="327">
        <f>IF($B4290="","",COUNTIF($B$6:$B4290,$B4290))</f>
        <v>3</v>
      </c>
      <c r="E4290" s="430">
        <v>774275</v>
      </c>
      <c r="F4290" s="362" t="s">
        <v>1423</v>
      </c>
      <c r="G4290" s="327" t="s">
        <v>155</v>
      </c>
      <c r="H4290" s="361"/>
      <c r="I4290" s="411" t="s">
        <v>1350</v>
      </c>
      <c r="J4290" s="345"/>
      <c r="K4290" s="327"/>
      <c r="L4290" s="389">
        <f t="shared" si="352"/>
        <v>213759.4</v>
      </c>
      <c r="M4290" s="371"/>
      <c r="N4290" s="355" t="str">
        <f t="shared" si="350"/>
        <v>PK</v>
      </c>
      <c r="O4290" s="345"/>
      <c r="P4290" s="392"/>
      <c r="Q4290" s="441">
        <v>9.19</v>
      </c>
      <c r="R4290" s="441"/>
      <c r="S4290" s="351"/>
      <c r="T4290" s="351"/>
      <c r="U4290" s="329" t="str">
        <f>IF($N4290=$N$4,IFERROR(INDEX(DanhMuc!$E$154:$E$165,MATCH(MID($B4290,4,2),DanhMuc!$B$154:$B$165,0)),""),"")</f>
        <v/>
      </c>
      <c r="V4290" s="361"/>
      <c r="W4290" s="345"/>
      <c r="X4290" s="329" t="str">
        <f t="shared" si="351"/>
        <v>RT</v>
      </c>
      <c r="Y4290" s="1128" t="s">
        <v>3380</v>
      </c>
      <c r="Z4290" s="1128" t="s">
        <v>3381</v>
      </c>
      <c r="AA4290" s="1128" t="s">
        <v>3384</v>
      </c>
      <c r="AB4290" s="20"/>
      <c r="AC4290" s="73"/>
    </row>
    <row r="4291" spans="1:29">
      <c r="A4291" s="327" t="str">
        <f>IF(AND($B4291&lt;&gt;"",$C4291&lt;&gt;""),MAX($A$1556:A4266)+1,"")</f>
        <v/>
      </c>
      <c r="B4291" s="361" t="s">
        <v>2042</v>
      </c>
      <c r="C4291" s="360"/>
      <c r="D4291" s="327">
        <f>IF($B4291="","",COUNTIF($B$6:$B4291,$B4291))</f>
        <v>4</v>
      </c>
      <c r="E4291" s="430">
        <v>774276</v>
      </c>
      <c r="F4291" s="362" t="s">
        <v>1424</v>
      </c>
      <c r="G4291" s="327" t="s">
        <v>155</v>
      </c>
      <c r="H4291" s="361"/>
      <c r="I4291" s="411" t="s">
        <v>1351</v>
      </c>
      <c r="J4291" s="345"/>
      <c r="K4291" s="327"/>
      <c r="L4291" s="389">
        <f t="shared" si="352"/>
        <v>151887.80000000002</v>
      </c>
      <c r="M4291" s="371"/>
      <c r="N4291" s="355" t="str">
        <f t="shared" si="350"/>
        <v>PK</v>
      </c>
      <c r="O4291" s="345"/>
      <c r="P4291" s="392"/>
      <c r="Q4291" s="441">
        <v>6.53</v>
      </c>
      <c r="R4291" s="441"/>
      <c r="S4291" s="351"/>
      <c r="T4291" s="351"/>
      <c r="U4291" s="329" t="str">
        <f>IF($N4291=$N$4,IFERROR(INDEX(DanhMuc!$E$154:$E$165,MATCH(MID($B4291,4,2),DanhMuc!$B$154:$B$165,0)),""),"")</f>
        <v/>
      </c>
      <c r="V4291" s="361"/>
      <c r="W4291" s="345"/>
      <c r="X4291" s="329" t="str">
        <f t="shared" si="351"/>
        <v>RT</v>
      </c>
      <c r="Y4291" s="1128" t="s">
        <v>3380</v>
      </c>
      <c r="Z4291" s="1128" t="s">
        <v>3381</v>
      </c>
      <c r="AA4291" s="1128" t="s">
        <v>3384</v>
      </c>
      <c r="AB4291" s="20"/>
      <c r="AC4291" s="73"/>
    </row>
    <row r="4292" spans="1:29">
      <c r="A4292" s="327" t="str">
        <f>IF(AND($B4292&lt;&gt;"",$C4292&lt;&gt;""),MAX($A$1556:A4267)+1,"")</f>
        <v/>
      </c>
      <c r="B4292" s="361" t="s">
        <v>2042</v>
      </c>
      <c r="C4292" s="360"/>
      <c r="D4292" s="327">
        <f>IF($B4292="","",COUNTIF($B$6:$B4292,$B4292))</f>
        <v>5</v>
      </c>
      <c r="E4292" s="430">
        <v>774277</v>
      </c>
      <c r="F4292" s="362" t="s">
        <v>1425</v>
      </c>
      <c r="G4292" s="327" t="s">
        <v>155</v>
      </c>
      <c r="H4292" s="361"/>
      <c r="I4292" s="411" t="s">
        <v>1352</v>
      </c>
      <c r="J4292" s="345"/>
      <c r="K4292" s="327"/>
      <c r="L4292" s="389">
        <f t="shared" si="352"/>
        <v>170495.8</v>
      </c>
      <c r="M4292" s="371"/>
      <c r="N4292" s="355" t="str">
        <f t="shared" si="350"/>
        <v>PK</v>
      </c>
      <c r="O4292" s="345"/>
      <c r="P4292" s="392"/>
      <c r="Q4292" s="441">
        <v>7.33</v>
      </c>
      <c r="R4292" s="441"/>
      <c r="S4292" s="351"/>
      <c r="T4292" s="351"/>
      <c r="U4292" s="329" t="str">
        <f>IF($N4292=$N$4,IFERROR(INDEX(DanhMuc!$E$154:$E$165,MATCH(MID($B4292,4,2),DanhMuc!$B$154:$B$165,0)),""),"")</f>
        <v/>
      </c>
      <c r="V4292" s="361"/>
      <c r="W4292" s="345"/>
      <c r="X4292" s="329" t="str">
        <f t="shared" si="351"/>
        <v>RT</v>
      </c>
      <c r="Y4292" s="1128" t="s">
        <v>3380</v>
      </c>
      <c r="Z4292" s="1128" t="s">
        <v>3381</v>
      </c>
      <c r="AA4292" s="1128" t="s">
        <v>3384</v>
      </c>
      <c r="AB4292" s="20"/>
      <c r="AC4292" s="73"/>
    </row>
    <row r="4293" spans="1:29">
      <c r="A4293" s="327" t="str">
        <f>IF(AND($B4293&lt;&gt;"",$C4293&lt;&gt;""),MAX($A$1556:A4268)+1,"")</f>
        <v/>
      </c>
      <c r="B4293" s="361" t="s">
        <v>2042</v>
      </c>
      <c r="C4293" s="360"/>
      <c r="D4293" s="327">
        <f>IF($B4293="","",COUNTIF($B$6:$B4293,$B4293))</f>
        <v>6</v>
      </c>
      <c r="E4293" s="430">
        <v>774278</v>
      </c>
      <c r="F4293" s="362" t="s">
        <v>1426</v>
      </c>
      <c r="G4293" s="327" t="s">
        <v>155</v>
      </c>
      <c r="H4293" s="361"/>
      <c r="I4293" s="411" t="s">
        <v>1353</v>
      </c>
      <c r="J4293" s="345"/>
      <c r="K4293" s="327"/>
      <c r="L4293" s="389">
        <f t="shared" si="352"/>
        <v>195151.40000000002</v>
      </c>
      <c r="M4293" s="371"/>
      <c r="N4293" s="355" t="str">
        <f t="shared" si="350"/>
        <v>PK</v>
      </c>
      <c r="O4293" s="345"/>
      <c r="P4293" s="392"/>
      <c r="Q4293" s="441">
        <v>8.39</v>
      </c>
      <c r="R4293" s="441"/>
      <c r="S4293" s="351"/>
      <c r="T4293" s="351"/>
      <c r="U4293" s="329" t="str">
        <f>IF($N4293=$N$4,IFERROR(INDEX(DanhMuc!$E$154:$E$165,MATCH(MID($B4293,4,2),DanhMuc!$B$154:$B$165,0)),""),"")</f>
        <v/>
      </c>
      <c r="V4293" s="361"/>
      <c r="W4293" s="345"/>
      <c r="X4293" s="329" t="str">
        <f t="shared" si="351"/>
        <v>RT</v>
      </c>
      <c r="Y4293" s="1128" t="s">
        <v>3380</v>
      </c>
      <c r="Z4293" s="1128" t="s">
        <v>3381</v>
      </c>
      <c r="AA4293" s="1128" t="s">
        <v>3384</v>
      </c>
      <c r="AB4293" s="20"/>
      <c r="AC4293" s="73"/>
    </row>
    <row r="4294" spans="1:29">
      <c r="A4294" s="327" t="str">
        <f>IF(AND($B4294&lt;&gt;"",$C4294&lt;&gt;""),MAX($A$1556:A4269)+1,"")</f>
        <v/>
      </c>
      <c r="B4294" s="361" t="s">
        <v>2042</v>
      </c>
      <c r="C4294" s="360"/>
      <c r="D4294" s="327">
        <f>IF($B4294="","",COUNTIF($B$6:$B4294,$B4294))</f>
        <v>7</v>
      </c>
      <c r="E4294" s="430">
        <v>774279</v>
      </c>
      <c r="F4294" s="362" t="s">
        <v>1427</v>
      </c>
      <c r="G4294" s="327" t="s">
        <v>155</v>
      </c>
      <c r="H4294" s="361"/>
      <c r="I4294" s="411" t="s">
        <v>1354</v>
      </c>
      <c r="J4294" s="345"/>
      <c r="K4294" s="327"/>
      <c r="L4294" s="389">
        <f t="shared" si="352"/>
        <v>216550.6</v>
      </c>
      <c r="M4294" s="371"/>
      <c r="N4294" s="355" t="str">
        <f t="shared" ref="N4294:N4358" si="353">+$N$1555</f>
        <v>PK</v>
      </c>
      <c r="O4294" s="345"/>
      <c r="P4294" s="392"/>
      <c r="Q4294" s="441">
        <v>9.31</v>
      </c>
      <c r="R4294" s="441"/>
      <c r="S4294" s="351"/>
      <c r="T4294" s="351"/>
      <c r="U4294" s="329" t="str">
        <f>IF($N4294=$N$4,IFERROR(INDEX(DanhMuc!$E$154:$E$165,MATCH(MID($B4294,4,2),DanhMuc!$B$154:$B$165,0)),""),"")</f>
        <v/>
      </c>
      <c r="V4294" s="361"/>
      <c r="W4294" s="345"/>
      <c r="X4294" s="329" t="str">
        <f t="shared" si="351"/>
        <v>RT</v>
      </c>
      <c r="Y4294" s="1128" t="s">
        <v>3380</v>
      </c>
      <c r="Z4294" s="1128" t="s">
        <v>3381</v>
      </c>
      <c r="AA4294" s="1128" t="s">
        <v>3384</v>
      </c>
      <c r="AB4294" s="20"/>
      <c r="AC4294" s="73"/>
    </row>
    <row r="4295" spans="1:29">
      <c r="A4295" s="327" t="str">
        <f>IF(AND($B4295&lt;&gt;"",$C4295&lt;&gt;""),MAX($A$1556:A4270)+1,"")</f>
        <v/>
      </c>
      <c r="B4295" s="361" t="s">
        <v>2042</v>
      </c>
      <c r="C4295" s="360"/>
      <c r="D4295" s="327">
        <f>IF($B4295="","",COUNTIF($B$6:$B4295,$B4295))</f>
        <v>8</v>
      </c>
      <c r="E4295" s="430">
        <v>616040</v>
      </c>
      <c r="F4295" s="362" t="s">
        <v>1405</v>
      </c>
      <c r="G4295" s="327" t="s">
        <v>155</v>
      </c>
      <c r="H4295" s="361"/>
      <c r="I4295" s="327">
        <v>4</v>
      </c>
      <c r="J4295" s="345"/>
      <c r="K4295" s="327"/>
      <c r="L4295" s="389">
        <f t="shared" si="352"/>
        <v>62104.2</v>
      </c>
      <c r="M4295" s="371"/>
      <c r="N4295" s="355" t="str">
        <f t="shared" si="353"/>
        <v>PK</v>
      </c>
      <c r="O4295" s="345" t="s">
        <v>1705</v>
      </c>
      <c r="P4295" s="392"/>
      <c r="Q4295" s="441">
        <v>2.67</v>
      </c>
      <c r="R4295" s="441"/>
      <c r="S4295" s="351"/>
      <c r="T4295" s="351"/>
      <c r="U4295" s="329" t="str">
        <f>IF($N4295=$N$4,IFERROR(INDEX(DanhMuc!$E$154:$E$165,MATCH(MID($B4295,4,2),DanhMuc!$B$154:$B$165,0)),""),"")</f>
        <v/>
      </c>
      <c r="V4295" s="361"/>
      <c r="W4295" s="345"/>
      <c r="X4295" s="329" t="str">
        <f t="shared" si="351"/>
        <v>RT</v>
      </c>
      <c r="Y4295" s="1128" t="s">
        <v>3380</v>
      </c>
      <c r="Z4295" s="1128" t="s">
        <v>3381</v>
      </c>
      <c r="AA4295" s="1128" t="s">
        <v>3384</v>
      </c>
      <c r="AB4295" s="20"/>
      <c r="AC4295" s="73"/>
    </row>
    <row r="4296" spans="1:29" ht="25">
      <c r="A4296" s="327" t="str">
        <f>IF(AND($B4296&lt;&gt;"",$C4296&lt;&gt;""),MAX($A$1556:A4271)+1,"")</f>
        <v/>
      </c>
      <c r="B4296" s="361" t="s">
        <v>2042</v>
      </c>
      <c r="C4296" s="360"/>
      <c r="D4296" s="327">
        <f>IF($B4296="","",COUNTIF($B$6:$B4296,$B4296))</f>
        <v>9</v>
      </c>
      <c r="E4296" s="430">
        <v>629551</v>
      </c>
      <c r="F4296" s="362" t="s">
        <v>1936</v>
      </c>
      <c r="G4296" s="327" t="s">
        <v>155</v>
      </c>
      <c r="H4296" s="361"/>
      <c r="I4296" s="411" t="s">
        <v>1355</v>
      </c>
      <c r="J4296" s="345"/>
      <c r="K4296" s="327"/>
      <c r="L4296" s="389">
        <f t="shared" si="352"/>
        <v>31168.400000000001</v>
      </c>
      <c r="M4296" s="371"/>
      <c r="N4296" s="355" t="str">
        <f t="shared" si="353"/>
        <v>PK</v>
      </c>
      <c r="O4296" s="345"/>
      <c r="P4296" s="392"/>
      <c r="Q4296" s="441">
        <v>1.34</v>
      </c>
      <c r="R4296" s="441"/>
      <c r="S4296" s="351"/>
      <c r="T4296" s="351"/>
      <c r="U4296" s="329" t="str">
        <f>IF($N4296=$N$4,IFERROR(INDEX(DanhMuc!$E$154:$E$165,MATCH(MID($B4296,4,2),DanhMuc!$B$154:$B$165,0)),""),"")</f>
        <v/>
      </c>
      <c r="V4296" s="361"/>
      <c r="W4296" s="345"/>
      <c r="X4296" s="329" t="str">
        <f t="shared" si="351"/>
        <v>RT</v>
      </c>
      <c r="Y4296" s="1128" t="s">
        <v>3380</v>
      </c>
      <c r="Z4296" s="1128" t="s">
        <v>3381</v>
      </c>
      <c r="AA4296" s="1128" t="s">
        <v>3384</v>
      </c>
      <c r="AB4296" s="20"/>
      <c r="AC4296" s="73"/>
    </row>
    <row r="4297" spans="1:29">
      <c r="A4297" s="327" t="str">
        <f>IF(AND($B4297&lt;&gt;"",$C4297&lt;&gt;""),MAX($A$1556:A4272)+1,"")</f>
        <v/>
      </c>
      <c r="B4297" s="361" t="s">
        <v>2042</v>
      </c>
      <c r="C4297" s="360"/>
      <c r="D4297" s="327">
        <f>IF($B4297="","",COUNTIF($B$6:$B4297,$B4297))</f>
        <v>10</v>
      </c>
      <c r="E4297" s="411">
        <v>221847</v>
      </c>
      <c r="F4297" s="432" t="s">
        <v>1374</v>
      </c>
      <c r="G4297" s="410" t="s">
        <v>155</v>
      </c>
      <c r="H4297" s="361"/>
      <c r="I4297" s="327">
        <v>4</v>
      </c>
      <c r="J4297" s="345"/>
      <c r="K4297" s="327"/>
      <c r="L4297" s="356">
        <v>1000</v>
      </c>
      <c r="M4297" s="371"/>
      <c r="N4297" s="355" t="str">
        <f t="shared" si="353"/>
        <v>PK</v>
      </c>
      <c r="O4297" s="345"/>
      <c r="P4297" s="392"/>
      <c r="Q4297" s="356">
        <v>1000</v>
      </c>
      <c r="R4297" s="441"/>
      <c r="S4297" s="351"/>
      <c r="T4297" s="351"/>
      <c r="U4297" s="329" t="str">
        <f>IF($N4297=$N$4,IFERROR(INDEX(DanhMuc!$E$154:$E$165,MATCH(MID($B4297,4,2),DanhMuc!$B$154:$B$165,0)),""),"")</f>
        <v/>
      </c>
      <c r="V4297" s="361"/>
      <c r="W4297" s="345"/>
      <c r="X4297" s="329" t="str">
        <f t="shared" si="351"/>
        <v>RT</v>
      </c>
      <c r="Y4297" s="1128" t="s">
        <v>3380</v>
      </c>
      <c r="Z4297" s="1128" t="s">
        <v>3381</v>
      </c>
      <c r="AA4297" s="1128" t="s">
        <v>3384</v>
      </c>
      <c r="AB4297" s="20"/>
      <c r="AC4297" s="73"/>
    </row>
    <row r="4298" spans="1:29">
      <c r="A4298" s="327" t="str">
        <f>IF(AND($B4298&lt;&gt;"",$C4298&lt;&gt;""),MAX($A$1556:A4273)+1,"")</f>
        <v/>
      </c>
      <c r="B4298" s="361" t="s">
        <v>2042</v>
      </c>
      <c r="C4298" s="360"/>
      <c r="D4298" s="327">
        <f>IF($B4298="","",COUNTIF($B$6:$B4298,$B4298))</f>
        <v>11</v>
      </c>
      <c r="E4298" s="411">
        <v>221848</v>
      </c>
      <c r="F4298" s="432" t="s">
        <v>1375</v>
      </c>
      <c r="G4298" s="410" t="s">
        <v>155</v>
      </c>
      <c r="H4298" s="361"/>
      <c r="I4298" s="327">
        <v>2</v>
      </c>
      <c r="J4298" s="345"/>
      <c r="K4298" s="327"/>
      <c r="L4298" s="356">
        <v>10100</v>
      </c>
      <c r="M4298" s="371"/>
      <c r="N4298" s="355" t="str">
        <f t="shared" si="353"/>
        <v>PK</v>
      </c>
      <c r="O4298" s="345"/>
      <c r="P4298" s="392"/>
      <c r="Q4298" s="356">
        <v>10100</v>
      </c>
      <c r="R4298" s="441"/>
      <c r="S4298" s="351"/>
      <c r="T4298" s="351"/>
      <c r="U4298" s="329" t="str">
        <f>IF($N4298=$N$4,IFERROR(INDEX(DanhMuc!$E$154:$E$165,MATCH(MID($B4298,4,2),DanhMuc!$B$154:$B$165,0)),""),"")</f>
        <v/>
      </c>
      <c r="V4298" s="361"/>
      <c r="W4298" s="345"/>
      <c r="X4298" s="329" t="str">
        <f t="shared" si="351"/>
        <v>RT</v>
      </c>
      <c r="Y4298" s="1128" t="s">
        <v>3380</v>
      </c>
      <c r="Z4298" s="1128" t="s">
        <v>3381</v>
      </c>
      <c r="AA4298" s="1128" t="s">
        <v>3384</v>
      </c>
      <c r="AB4298" s="20"/>
      <c r="AC4298" s="73"/>
    </row>
    <row r="4299" spans="1:29" ht="26">
      <c r="A4299" s="327">
        <f>IF(AND($B4299&lt;&gt;"",$C4299&lt;&gt;""),MAX($A$1556:A4274)+1,"")</f>
        <v>198</v>
      </c>
      <c r="B4299" s="359" t="s">
        <v>2043</v>
      </c>
      <c r="C4299" s="360" t="s">
        <v>1589</v>
      </c>
      <c r="D4299" s="327">
        <f>IF($B4299="","",COUNTIF($B$6:$B4299,$B4299))</f>
        <v>1</v>
      </c>
      <c r="E4299" s="430">
        <v>617437</v>
      </c>
      <c r="F4299" s="362" t="s">
        <v>1422</v>
      </c>
      <c r="G4299" s="327" t="s">
        <v>155</v>
      </c>
      <c r="H4299" s="361"/>
      <c r="I4299" s="327">
        <v>2</v>
      </c>
      <c r="J4299" s="361"/>
      <c r="K4299" s="327"/>
      <c r="L4299" s="389">
        <f t="shared" si="352"/>
        <v>99320.2</v>
      </c>
      <c r="M4299" s="371"/>
      <c r="N4299" s="355" t="str">
        <f t="shared" si="353"/>
        <v>PK</v>
      </c>
      <c r="O4299" s="345" t="s">
        <v>1788</v>
      </c>
      <c r="P4299" s="392"/>
      <c r="Q4299" s="441">
        <v>4.2699999999999996</v>
      </c>
      <c r="R4299" s="441"/>
      <c r="S4299" s="351"/>
      <c r="T4299" s="351"/>
      <c r="U4299" s="329" t="str">
        <f>IF($N4299=$N$4,IFERROR(INDEX(DanhMuc!$E$154:$E$165,MATCH(MID($B4299,4,2),DanhMuc!$B$154:$B$165,0)),""),"")</f>
        <v/>
      </c>
      <c r="V4299" s="361"/>
      <c r="W4299" s="345"/>
      <c r="X4299" s="329" t="str">
        <f t="shared" si="351"/>
        <v>RT</v>
      </c>
      <c r="Y4299" s="1128" t="s">
        <v>3380</v>
      </c>
      <c r="Z4299" s="1128" t="s">
        <v>3381</v>
      </c>
      <c r="AA4299" s="1128" t="s">
        <v>3384</v>
      </c>
      <c r="AB4299" s="20"/>
      <c r="AC4299" s="73"/>
    </row>
    <row r="4300" spans="1:29">
      <c r="A4300" s="327" t="str">
        <f>IF(AND($B4300&lt;&gt;"",$C4300&lt;&gt;""),MAX($A$1556:A4275)+1,"")</f>
        <v/>
      </c>
      <c r="B4300" s="361" t="s">
        <v>2043</v>
      </c>
      <c r="C4300" s="360"/>
      <c r="D4300" s="327">
        <f>IF($B4300="","",COUNTIF($B$6:$B4300,$B4300))</f>
        <v>2</v>
      </c>
      <c r="E4300" s="430">
        <v>570810</v>
      </c>
      <c r="F4300" s="362" t="s">
        <v>1401</v>
      </c>
      <c r="G4300" s="327" t="s">
        <v>155</v>
      </c>
      <c r="H4300" s="361"/>
      <c r="I4300" s="327">
        <v>2</v>
      </c>
      <c r="J4300" s="345"/>
      <c r="K4300" s="327"/>
      <c r="L4300" s="389">
        <f t="shared" si="352"/>
        <v>120952</v>
      </c>
      <c r="M4300" s="371"/>
      <c r="N4300" s="355" t="str">
        <f t="shared" si="353"/>
        <v>PK</v>
      </c>
      <c r="O4300" s="345" t="s">
        <v>1781</v>
      </c>
      <c r="P4300" s="392"/>
      <c r="Q4300" s="441">
        <v>5.2</v>
      </c>
      <c r="R4300" s="441"/>
      <c r="S4300" s="351"/>
      <c r="T4300" s="351"/>
      <c r="U4300" s="329" t="str">
        <f>IF($N4300=$N$4,IFERROR(INDEX(DanhMuc!$E$154:$E$165,MATCH(MID($B4300,4,2),DanhMuc!$B$154:$B$165,0)),""),"")</f>
        <v/>
      </c>
      <c r="V4300" s="361"/>
      <c r="W4300" s="345"/>
      <c r="X4300" s="329" t="str">
        <f t="shared" si="351"/>
        <v>RT</v>
      </c>
      <c r="Y4300" s="1128" t="s">
        <v>3380</v>
      </c>
      <c r="Z4300" s="1128" t="s">
        <v>3381</v>
      </c>
      <c r="AA4300" s="1128" t="s">
        <v>3384</v>
      </c>
      <c r="AB4300" s="20"/>
      <c r="AC4300" s="73"/>
    </row>
    <row r="4301" spans="1:29">
      <c r="A4301" s="327" t="str">
        <f>IF(AND($B4301&lt;&gt;"",$C4301&lt;&gt;""),MAX($A$1556:A4276)+1,"")</f>
        <v/>
      </c>
      <c r="B4301" s="361" t="s">
        <v>2043</v>
      </c>
      <c r="C4301" s="360"/>
      <c r="D4301" s="327">
        <f>IF($B4301="","",COUNTIF($B$6:$B4301,$B4301))</f>
        <v>3</v>
      </c>
      <c r="E4301" s="430">
        <v>774275</v>
      </c>
      <c r="F4301" s="362" t="s">
        <v>1423</v>
      </c>
      <c r="G4301" s="327" t="s">
        <v>155</v>
      </c>
      <c r="H4301" s="361"/>
      <c r="I4301" s="411" t="s">
        <v>1350</v>
      </c>
      <c r="J4301" s="345"/>
      <c r="K4301" s="327"/>
      <c r="L4301" s="389">
        <f t="shared" si="352"/>
        <v>213759.4</v>
      </c>
      <c r="M4301" s="371"/>
      <c r="N4301" s="355" t="str">
        <f t="shared" si="353"/>
        <v>PK</v>
      </c>
      <c r="O4301" s="345"/>
      <c r="P4301" s="392"/>
      <c r="Q4301" s="441">
        <v>9.19</v>
      </c>
      <c r="R4301" s="441"/>
      <c r="S4301" s="351"/>
      <c r="T4301" s="351"/>
      <c r="U4301" s="329" t="str">
        <f>IF($N4301=$N$4,IFERROR(INDEX(DanhMuc!$E$154:$E$165,MATCH(MID($B4301,4,2),DanhMuc!$B$154:$B$165,0)),""),"")</f>
        <v/>
      </c>
      <c r="V4301" s="361"/>
      <c r="W4301" s="345"/>
      <c r="X4301" s="329" t="str">
        <f t="shared" si="351"/>
        <v>RT</v>
      </c>
      <c r="Y4301" s="1128" t="s">
        <v>3380</v>
      </c>
      <c r="Z4301" s="1128" t="s">
        <v>3381</v>
      </c>
      <c r="AA4301" s="1128" t="s">
        <v>3384</v>
      </c>
      <c r="AB4301" s="20"/>
      <c r="AC4301" s="73"/>
    </row>
    <row r="4302" spans="1:29">
      <c r="A4302" s="327" t="str">
        <f>IF(AND($B4302&lt;&gt;"",$C4302&lt;&gt;""),MAX($A$1556:A4277)+1,"")</f>
        <v/>
      </c>
      <c r="B4302" s="361" t="s">
        <v>2043</v>
      </c>
      <c r="C4302" s="360"/>
      <c r="D4302" s="327">
        <f>IF($B4302="","",COUNTIF($B$6:$B4302,$B4302))</f>
        <v>4</v>
      </c>
      <c r="E4302" s="430">
        <v>774276</v>
      </c>
      <c r="F4302" s="362" t="s">
        <v>1424</v>
      </c>
      <c r="G4302" s="327" t="s">
        <v>155</v>
      </c>
      <c r="H4302" s="361"/>
      <c r="I4302" s="411" t="s">
        <v>1351</v>
      </c>
      <c r="J4302" s="345"/>
      <c r="K4302" s="327"/>
      <c r="L4302" s="389">
        <f t="shared" si="352"/>
        <v>151887.80000000002</v>
      </c>
      <c r="M4302" s="371"/>
      <c r="N4302" s="355" t="str">
        <f t="shared" si="353"/>
        <v>PK</v>
      </c>
      <c r="O4302" s="345"/>
      <c r="P4302" s="392"/>
      <c r="Q4302" s="441">
        <v>6.53</v>
      </c>
      <c r="R4302" s="441"/>
      <c r="S4302" s="351"/>
      <c r="T4302" s="351"/>
      <c r="U4302" s="329" t="str">
        <f>IF($N4302=$N$4,IFERROR(INDEX(DanhMuc!$E$154:$E$165,MATCH(MID($B4302,4,2),DanhMuc!$B$154:$B$165,0)),""),"")</f>
        <v/>
      </c>
      <c r="V4302" s="361"/>
      <c r="W4302" s="345"/>
      <c r="X4302" s="329" t="str">
        <f t="shared" si="351"/>
        <v>RT</v>
      </c>
      <c r="Y4302" s="1128" t="s">
        <v>3380</v>
      </c>
      <c r="Z4302" s="1128" t="s">
        <v>3381</v>
      </c>
      <c r="AA4302" s="1128" t="s">
        <v>3384</v>
      </c>
      <c r="AB4302" s="20"/>
      <c r="AC4302" s="73"/>
    </row>
    <row r="4303" spans="1:29">
      <c r="A4303" s="327" t="str">
        <f>IF(AND($B4303&lt;&gt;"",$C4303&lt;&gt;""),MAX($A$1556:A4278)+1,"")</f>
        <v/>
      </c>
      <c r="B4303" s="361" t="s">
        <v>2043</v>
      </c>
      <c r="C4303" s="360"/>
      <c r="D4303" s="327">
        <f>IF($B4303="","",COUNTIF($B$6:$B4303,$B4303))</f>
        <v>5</v>
      </c>
      <c r="E4303" s="430">
        <v>774277</v>
      </c>
      <c r="F4303" s="362" t="s">
        <v>1425</v>
      </c>
      <c r="G4303" s="327" t="s">
        <v>155</v>
      </c>
      <c r="H4303" s="361"/>
      <c r="I4303" s="411" t="s">
        <v>1352</v>
      </c>
      <c r="J4303" s="345"/>
      <c r="K4303" s="327"/>
      <c r="L4303" s="389">
        <f t="shared" si="352"/>
        <v>170495.8</v>
      </c>
      <c r="M4303" s="371"/>
      <c r="N4303" s="355" t="str">
        <f t="shared" si="353"/>
        <v>PK</v>
      </c>
      <c r="O4303" s="345"/>
      <c r="P4303" s="392"/>
      <c r="Q4303" s="441">
        <v>7.33</v>
      </c>
      <c r="R4303" s="441"/>
      <c r="S4303" s="351"/>
      <c r="T4303" s="351"/>
      <c r="U4303" s="329" t="str">
        <f>IF($N4303=$N$4,IFERROR(INDEX(DanhMuc!$E$154:$E$165,MATCH(MID($B4303,4,2),DanhMuc!$B$154:$B$165,0)),""),"")</f>
        <v/>
      </c>
      <c r="V4303" s="361"/>
      <c r="W4303" s="345"/>
      <c r="X4303" s="329" t="str">
        <f t="shared" si="351"/>
        <v>RT</v>
      </c>
      <c r="Y4303" s="1128" t="s">
        <v>3380</v>
      </c>
      <c r="Z4303" s="1128" t="s">
        <v>3381</v>
      </c>
      <c r="AA4303" s="1128" t="s">
        <v>3384</v>
      </c>
      <c r="AB4303" s="20"/>
      <c r="AC4303" s="73"/>
    </row>
    <row r="4304" spans="1:29">
      <c r="A4304" s="327" t="str">
        <f>IF(AND($B4304&lt;&gt;"",$C4304&lt;&gt;""),MAX($A$1556:A4279)+1,"")</f>
        <v/>
      </c>
      <c r="B4304" s="361" t="s">
        <v>2043</v>
      </c>
      <c r="C4304" s="360"/>
      <c r="D4304" s="327">
        <f>IF($B4304="","",COUNTIF($B$6:$B4304,$B4304))</f>
        <v>6</v>
      </c>
      <c r="E4304" s="430">
        <v>774278</v>
      </c>
      <c r="F4304" s="362" t="s">
        <v>1426</v>
      </c>
      <c r="G4304" s="327" t="s">
        <v>155</v>
      </c>
      <c r="H4304" s="361"/>
      <c r="I4304" s="411" t="s">
        <v>1353</v>
      </c>
      <c r="J4304" s="345"/>
      <c r="K4304" s="327"/>
      <c r="L4304" s="389">
        <f t="shared" si="352"/>
        <v>195151.40000000002</v>
      </c>
      <c r="M4304" s="371"/>
      <c r="N4304" s="355" t="str">
        <f t="shared" si="353"/>
        <v>PK</v>
      </c>
      <c r="O4304" s="345"/>
      <c r="P4304" s="392"/>
      <c r="Q4304" s="441">
        <v>8.39</v>
      </c>
      <c r="R4304" s="441"/>
      <c r="S4304" s="351"/>
      <c r="T4304" s="351"/>
      <c r="U4304" s="329" t="str">
        <f>IF($N4304=$N$4,IFERROR(INDEX(DanhMuc!$E$154:$E$165,MATCH(MID($B4304,4,2),DanhMuc!$B$154:$B$165,0)),""),"")</f>
        <v/>
      </c>
      <c r="V4304" s="361"/>
      <c r="W4304" s="345"/>
      <c r="X4304" s="329" t="str">
        <f t="shared" si="351"/>
        <v>RT</v>
      </c>
      <c r="Y4304" s="1128" t="s">
        <v>3380</v>
      </c>
      <c r="Z4304" s="1128" t="s">
        <v>3381</v>
      </c>
      <c r="AA4304" s="1128" t="s">
        <v>3384</v>
      </c>
      <c r="AB4304" s="20"/>
      <c r="AC4304" s="73"/>
    </row>
    <row r="4305" spans="1:29">
      <c r="A4305" s="327" t="str">
        <f>IF(AND($B4305&lt;&gt;"",$C4305&lt;&gt;""),MAX($A$1556:A4280)+1,"")</f>
        <v/>
      </c>
      <c r="B4305" s="361" t="s">
        <v>2043</v>
      </c>
      <c r="C4305" s="360"/>
      <c r="D4305" s="327">
        <f>IF($B4305="","",COUNTIF($B$6:$B4305,$B4305))</f>
        <v>7</v>
      </c>
      <c r="E4305" s="430">
        <v>774279</v>
      </c>
      <c r="F4305" s="362" t="s">
        <v>1427</v>
      </c>
      <c r="G4305" s="327" t="s">
        <v>155</v>
      </c>
      <c r="H4305" s="361"/>
      <c r="I4305" s="411" t="s">
        <v>1354</v>
      </c>
      <c r="J4305" s="345"/>
      <c r="K4305" s="327"/>
      <c r="L4305" s="389">
        <f t="shared" si="352"/>
        <v>216550.6</v>
      </c>
      <c r="M4305" s="371"/>
      <c r="N4305" s="355" t="str">
        <f t="shared" si="353"/>
        <v>PK</v>
      </c>
      <c r="O4305" s="345"/>
      <c r="P4305" s="392"/>
      <c r="Q4305" s="441">
        <v>9.31</v>
      </c>
      <c r="R4305" s="441"/>
      <c r="S4305" s="351"/>
      <c r="T4305" s="351"/>
      <c r="U4305" s="329" t="str">
        <f>IF($N4305=$N$4,IFERROR(INDEX(DanhMuc!$E$154:$E$165,MATCH(MID($B4305,4,2),DanhMuc!$B$154:$B$165,0)),""),"")</f>
        <v/>
      </c>
      <c r="V4305" s="361"/>
      <c r="W4305" s="345"/>
      <c r="X4305" s="329" t="str">
        <f t="shared" si="351"/>
        <v>RT</v>
      </c>
      <c r="Y4305" s="1128" t="s">
        <v>3380</v>
      </c>
      <c r="Z4305" s="1128" t="s">
        <v>3381</v>
      </c>
      <c r="AA4305" s="1128" t="s">
        <v>3384</v>
      </c>
      <c r="AB4305" s="20"/>
      <c r="AC4305" s="73"/>
    </row>
    <row r="4306" spans="1:29">
      <c r="A4306" s="327" t="str">
        <f>IF(AND($B4306&lt;&gt;"",$C4306&lt;&gt;""),MAX($A$1556:A4281)+1,"")</f>
        <v/>
      </c>
      <c r="B4306" s="361" t="s">
        <v>2043</v>
      </c>
      <c r="C4306" s="360"/>
      <c r="D4306" s="327">
        <f>IF($B4306="","",COUNTIF($B$6:$B4306,$B4306))</f>
        <v>8</v>
      </c>
      <c r="E4306" s="430">
        <v>616040</v>
      </c>
      <c r="F4306" s="362" t="s">
        <v>1405</v>
      </c>
      <c r="G4306" s="327" t="s">
        <v>155</v>
      </c>
      <c r="H4306" s="361"/>
      <c r="I4306" s="327">
        <v>6</v>
      </c>
      <c r="J4306" s="345"/>
      <c r="K4306" s="327"/>
      <c r="L4306" s="389">
        <f t="shared" si="352"/>
        <v>62104.2</v>
      </c>
      <c r="M4306" s="371"/>
      <c r="N4306" s="355" t="str">
        <f t="shared" si="353"/>
        <v>PK</v>
      </c>
      <c r="O4306" s="345" t="s">
        <v>1705</v>
      </c>
      <c r="P4306" s="392"/>
      <c r="Q4306" s="441">
        <v>2.67</v>
      </c>
      <c r="R4306" s="441"/>
      <c r="S4306" s="351"/>
      <c r="T4306" s="351"/>
      <c r="U4306" s="329" t="str">
        <f>IF($N4306=$N$4,IFERROR(INDEX(DanhMuc!$E$154:$E$165,MATCH(MID($B4306,4,2),DanhMuc!$B$154:$B$165,0)),""),"")</f>
        <v/>
      </c>
      <c r="V4306" s="361"/>
      <c r="W4306" s="345"/>
      <c r="X4306" s="329" t="str">
        <f t="shared" si="351"/>
        <v>RT</v>
      </c>
      <c r="Y4306" s="1128" t="s">
        <v>3380</v>
      </c>
      <c r="Z4306" s="1128" t="s">
        <v>3381</v>
      </c>
      <c r="AA4306" s="1128" t="s">
        <v>3384</v>
      </c>
      <c r="AB4306" s="20"/>
      <c r="AC4306" s="73"/>
    </row>
    <row r="4307" spans="1:29" ht="25">
      <c r="A4307" s="327" t="str">
        <f>IF(AND($B4307&lt;&gt;"",$C4307&lt;&gt;""),MAX($A$1556:A4282)+1,"")</f>
        <v/>
      </c>
      <c r="B4307" s="361" t="s">
        <v>2043</v>
      </c>
      <c r="C4307" s="360"/>
      <c r="D4307" s="327">
        <f>IF($B4307="","",COUNTIF($B$6:$B4307,$B4307))</f>
        <v>9</v>
      </c>
      <c r="E4307" s="430">
        <v>629551</v>
      </c>
      <c r="F4307" s="362" t="s">
        <v>1936</v>
      </c>
      <c r="G4307" s="327" t="s">
        <v>155</v>
      </c>
      <c r="H4307" s="361"/>
      <c r="I4307" s="411" t="s">
        <v>1355</v>
      </c>
      <c r="J4307" s="345"/>
      <c r="K4307" s="327"/>
      <c r="L4307" s="389">
        <f t="shared" si="352"/>
        <v>31168.400000000001</v>
      </c>
      <c r="M4307" s="371"/>
      <c r="N4307" s="355" t="str">
        <f t="shared" si="353"/>
        <v>PK</v>
      </c>
      <c r="O4307" s="345"/>
      <c r="P4307" s="392"/>
      <c r="Q4307" s="441">
        <v>1.34</v>
      </c>
      <c r="R4307" s="441"/>
      <c r="S4307" s="351"/>
      <c r="T4307" s="351"/>
      <c r="U4307" s="329" t="str">
        <f>IF($N4307=$N$4,IFERROR(INDEX(DanhMuc!$E$154:$E$165,MATCH(MID($B4307,4,2),DanhMuc!$B$154:$B$165,0)),""),"")</f>
        <v/>
      </c>
      <c r="V4307" s="361"/>
      <c r="W4307" s="345"/>
      <c r="X4307" s="329" t="str">
        <f t="shared" si="351"/>
        <v>RT</v>
      </c>
      <c r="Y4307" s="1128" t="s">
        <v>3380</v>
      </c>
      <c r="Z4307" s="1128" t="s">
        <v>3381</v>
      </c>
      <c r="AA4307" s="1128" t="s">
        <v>3384</v>
      </c>
      <c r="AB4307" s="20"/>
      <c r="AC4307" s="73"/>
    </row>
    <row r="4308" spans="1:29">
      <c r="A4308" s="327" t="str">
        <f>IF(AND($B4308&lt;&gt;"",$C4308&lt;&gt;""),MAX($A$1556:A4283)+1,"")</f>
        <v/>
      </c>
      <c r="B4308" s="361" t="s">
        <v>2043</v>
      </c>
      <c r="C4308" s="360"/>
      <c r="D4308" s="327">
        <f>IF($B4308="","",COUNTIF($B$6:$B4308,$B4308))</f>
        <v>10</v>
      </c>
      <c r="E4308" s="411">
        <v>221847</v>
      </c>
      <c r="F4308" s="432" t="s">
        <v>1374</v>
      </c>
      <c r="G4308" s="410" t="s">
        <v>155</v>
      </c>
      <c r="H4308" s="361"/>
      <c r="I4308" s="327">
        <v>6</v>
      </c>
      <c r="J4308" s="345"/>
      <c r="K4308" s="327"/>
      <c r="L4308" s="356">
        <v>1000</v>
      </c>
      <c r="M4308" s="371"/>
      <c r="N4308" s="355" t="str">
        <f t="shared" si="353"/>
        <v>PK</v>
      </c>
      <c r="O4308" s="345"/>
      <c r="P4308" s="392"/>
      <c r="Q4308" s="356">
        <v>1000</v>
      </c>
      <c r="R4308" s="441"/>
      <c r="S4308" s="351"/>
      <c r="T4308" s="351"/>
      <c r="U4308" s="329" t="str">
        <f>IF($N4308=$N$4,IFERROR(INDEX(DanhMuc!$E$154:$E$165,MATCH(MID($B4308,4,2),DanhMuc!$B$154:$B$165,0)),""),"")</f>
        <v/>
      </c>
      <c r="V4308" s="361"/>
      <c r="W4308" s="345"/>
      <c r="X4308" s="329" t="str">
        <f t="shared" si="351"/>
        <v>RT</v>
      </c>
      <c r="Y4308" s="1128" t="s">
        <v>3380</v>
      </c>
      <c r="Z4308" s="1128" t="s">
        <v>3381</v>
      </c>
      <c r="AA4308" s="1128" t="s">
        <v>3384</v>
      </c>
      <c r="AB4308" s="20"/>
      <c r="AC4308" s="73"/>
    </row>
    <row r="4309" spans="1:29">
      <c r="A4309" s="327" t="str">
        <f>IF(AND($B4309&lt;&gt;"",$C4309&lt;&gt;""),MAX($A$1556:A4284)+1,"")</f>
        <v/>
      </c>
      <c r="B4309" s="361" t="s">
        <v>2043</v>
      </c>
      <c r="C4309" s="360"/>
      <c r="D4309" s="327">
        <f>IF($B4309="","",COUNTIF($B$6:$B4309,$B4309))</f>
        <v>11</v>
      </c>
      <c r="E4309" s="411">
        <v>221848</v>
      </c>
      <c r="F4309" s="432" t="s">
        <v>1375</v>
      </c>
      <c r="G4309" s="410" t="s">
        <v>155</v>
      </c>
      <c r="H4309" s="361"/>
      <c r="I4309" s="327">
        <v>3</v>
      </c>
      <c r="J4309" s="345"/>
      <c r="K4309" s="327"/>
      <c r="L4309" s="356">
        <v>10100</v>
      </c>
      <c r="M4309" s="371"/>
      <c r="N4309" s="355" t="str">
        <f t="shared" si="353"/>
        <v>PK</v>
      </c>
      <c r="O4309" s="345"/>
      <c r="P4309" s="392"/>
      <c r="Q4309" s="356">
        <v>10100</v>
      </c>
      <c r="R4309" s="441"/>
      <c r="S4309" s="351"/>
      <c r="T4309" s="351"/>
      <c r="U4309" s="329" t="str">
        <f>IF($N4309=$N$4,IFERROR(INDEX(DanhMuc!$E$154:$E$165,MATCH(MID($B4309,4,2),DanhMuc!$B$154:$B$165,0)),""),"")</f>
        <v/>
      </c>
      <c r="V4309" s="361"/>
      <c r="W4309" s="345"/>
      <c r="X4309" s="329" t="str">
        <f t="shared" si="351"/>
        <v>RT</v>
      </c>
      <c r="Y4309" s="1128" t="s">
        <v>3380</v>
      </c>
      <c r="Z4309" s="1128" t="s">
        <v>3381</v>
      </c>
      <c r="AA4309" s="1128" t="s">
        <v>3384</v>
      </c>
      <c r="AB4309" s="20"/>
      <c r="AC4309" s="73"/>
    </row>
    <row r="4310" spans="1:29" ht="26">
      <c r="A4310" s="327">
        <f>IF(AND($B4310&lt;&gt;"",$C4310&lt;&gt;""),MAX($A$1556:A4285)+1,"")</f>
        <v>198</v>
      </c>
      <c r="B4310" s="359" t="s">
        <v>2044</v>
      </c>
      <c r="C4310" s="370" t="s">
        <v>1590</v>
      </c>
      <c r="D4310" s="327">
        <f>IF($B4310="","",COUNTIF($B$6:$B4310,$B4310))</f>
        <v>1</v>
      </c>
      <c r="E4310" s="430">
        <v>617437</v>
      </c>
      <c r="F4310" s="362" t="s">
        <v>1422</v>
      </c>
      <c r="G4310" s="327" t="s">
        <v>155</v>
      </c>
      <c r="H4310" s="361"/>
      <c r="I4310" s="327">
        <v>3</v>
      </c>
      <c r="J4310" s="361"/>
      <c r="K4310" s="327"/>
      <c r="L4310" s="389">
        <f t="shared" si="352"/>
        <v>99320.2</v>
      </c>
      <c r="M4310" s="371"/>
      <c r="N4310" s="355" t="str">
        <f t="shared" si="353"/>
        <v>PK</v>
      </c>
      <c r="O4310" s="345" t="s">
        <v>1788</v>
      </c>
      <c r="P4310" s="392"/>
      <c r="Q4310" s="441">
        <v>4.2699999999999996</v>
      </c>
      <c r="R4310" s="441"/>
      <c r="S4310" s="351"/>
      <c r="T4310" s="351"/>
      <c r="U4310" s="329" t="str">
        <f>IF($N4310=$N$4,IFERROR(INDEX(DanhMuc!$E$154:$E$165,MATCH(MID($B4310,4,2),DanhMuc!$B$154:$B$165,0)),""),"")</f>
        <v/>
      </c>
      <c r="V4310" s="361"/>
      <c r="W4310" s="345"/>
      <c r="X4310" s="329" t="str">
        <f t="shared" si="351"/>
        <v>RT</v>
      </c>
      <c r="Y4310" s="1128" t="s">
        <v>3380</v>
      </c>
      <c r="Z4310" s="1128" t="s">
        <v>3381</v>
      </c>
      <c r="AA4310" s="1128" t="s">
        <v>3384</v>
      </c>
      <c r="AB4310" s="20"/>
      <c r="AC4310" s="73"/>
    </row>
    <row r="4311" spans="1:29">
      <c r="A4311" s="327" t="str">
        <f>IF(AND($B4311&lt;&gt;"",$C4311&lt;&gt;""),MAX($A$1556:A4286)+1,"")</f>
        <v/>
      </c>
      <c r="B4311" s="361" t="s">
        <v>2044</v>
      </c>
      <c r="C4311" s="360"/>
      <c r="D4311" s="327">
        <f>IF($B4311="","",COUNTIF($B$6:$B4311,$B4311))</f>
        <v>2</v>
      </c>
      <c r="E4311" s="430">
        <v>570810</v>
      </c>
      <c r="F4311" s="362" t="s">
        <v>1401</v>
      </c>
      <c r="G4311" s="327" t="s">
        <v>155</v>
      </c>
      <c r="H4311" s="361"/>
      <c r="I4311" s="327">
        <v>3</v>
      </c>
      <c r="J4311" s="345"/>
      <c r="K4311" s="327"/>
      <c r="L4311" s="389">
        <f t="shared" si="352"/>
        <v>120952</v>
      </c>
      <c r="M4311" s="371"/>
      <c r="N4311" s="355" t="str">
        <f t="shared" si="353"/>
        <v>PK</v>
      </c>
      <c r="O4311" s="345" t="s">
        <v>1781</v>
      </c>
      <c r="P4311" s="392"/>
      <c r="Q4311" s="441">
        <v>5.2</v>
      </c>
      <c r="R4311" s="441"/>
      <c r="S4311" s="351"/>
      <c r="T4311" s="351"/>
      <c r="U4311" s="329" t="str">
        <f>IF($N4311=$N$4,IFERROR(INDEX(DanhMuc!$E$154:$E$165,MATCH(MID($B4311,4,2),DanhMuc!$B$154:$B$165,0)),""),"")</f>
        <v/>
      </c>
      <c r="V4311" s="361"/>
      <c r="W4311" s="345"/>
      <c r="X4311" s="329" t="str">
        <f t="shared" si="351"/>
        <v>RT</v>
      </c>
      <c r="Y4311" s="1128" t="s">
        <v>3380</v>
      </c>
      <c r="Z4311" s="1128" t="s">
        <v>3381</v>
      </c>
      <c r="AA4311" s="1128" t="s">
        <v>3384</v>
      </c>
      <c r="AB4311" s="20"/>
      <c r="AC4311" s="73"/>
    </row>
    <row r="4312" spans="1:29">
      <c r="A4312" s="327" t="str">
        <f>IF(AND($B4312&lt;&gt;"",$C4312&lt;&gt;""),MAX($A$1556:A4287)+1,"")</f>
        <v/>
      </c>
      <c r="B4312" s="361" t="s">
        <v>2044</v>
      </c>
      <c r="C4312" s="360"/>
      <c r="D4312" s="327">
        <f>IF($B4312="","",COUNTIF($B$6:$B4312,$B4312))</f>
        <v>3</v>
      </c>
      <c r="E4312" s="430">
        <v>774275</v>
      </c>
      <c r="F4312" s="362" t="s">
        <v>1423</v>
      </c>
      <c r="G4312" s="327" t="s">
        <v>155</v>
      </c>
      <c r="H4312" s="361"/>
      <c r="I4312" s="411" t="s">
        <v>1356</v>
      </c>
      <c r="J4312" s="345"/>
      <c r="K4312" s="327"/>
      <c r="L4312" s="389">
        <f t="shared" si="352"/>
        <v>213759.4</v>
      </c>
      <c r="M4312" s="371"/>
      <c r="N4312" s="355" t="str">
        <f t="shared" si="353"/>
        <v>PK</v>
      </c>
      <c r="O4312" s="345"/>
      <c r="P4312" s="392"/>
      <c r="Q4312" s="441">
        <v>9.19</v>
      </c>
      <c r="R4312" s="441"/>
      <c r="S4312" s="351"/>
      <c r="T4312" s="351"/>
      <c r="U4312" s="329" t="str">
        <f>IF($N4312=$N$4,IFERROR(INDEX(DanhMuc!$E$154:$E$165,MATCH(MID($B4312,4,2),DanhMuc!$B$154:$B$165,0)),""),"")</f>
        <v/>
      </c>
      <c r="V4312" s="361"/>
      <c r="W4312" s="345"/>
      <c r="X4312" s="329" t="str">
        <f t="shared" si="351"/>
        <v>RT</v>
      </c>
      <c r="Y4312" s="1128" t="s">
        <v>3380</v>
      </c>
      <c r="Z4312" s="1128" t="s">
        <v>3381</v>
      </c>
      <c r="AA4312" s="1128" t="s">
        <v>3384</v>
      </c>
      <c r="AB4312" s="20"/>
      <c r="AC4312" s="73"/>
    </row>
    <row r="4313" spans="1:29">
      <c r="A4313" s="327" t="str">
        <f>IF(AND($B4313&lt;&gt;"",$C4313&lt;&gt;""),MAX($A$1556:A4288)+1,"")</f>
        <v/>
      </c>
      <c r="B4313" s="361" t="s">
        <v>2044</v>
      </c>
      <c r="C4313" s="360"/>
      <c r="D4313" s="327">
        <f>IF($B4313="","",COUNTIF($B$6:$B4313,$B4313))</f>
        <v>4</v>
      </c>
      <c r="E4313" s="430">
        <v>774276</v>
      </c>
      <c r="F4313" s="362" t="s">
        <v>1424</v>
      </c>
      <c r="G4313" s="327" t="s">
        <v>155</v>
      </c>
      <c r="H4313" s="361"/>
      <c r="I4313" s="411" t="s">
        <v>1357</v>
      </c>
      <c r="J4313" s="345"/>
      <c r="K4313" s="327"/>
      <c r="L4313" s="389">
        <f t="shared" si="352"/>
        <v>151887.80000000002</v>
      </c>
      <c r="M4313" s="371"/>
      <c r="N4313" s="355" t="str">
        <f t="shared" si="353"/>
        <v>PK</v>
      </c>
      <c r="O4313" s="345"/>
      <c r="P4313" s="392"/>
      <c r="Q4313" s="441">
        <v>6.53</v>
      </c>
      <c r="R4313" s="441"/>
      <c r="S4313" s="351"/>
      <c r="T4313" s="351"/>
      <c r="U4313" s="329" t="str">
        <f>IF($N4313=$N$4,IFERROR(INDEX(DanhMuc!$E$154:$E$165,MATCH(MID($B4313,4,2),DanhMuc!$B$154:$B$165,0)),""),"")</f>
        <v/>
      </c>
      <c r="V4313" s="361"/>
      <c r="W4313" s="345"/>
      <c r="X4313" s="329" t="str">
        <f t="shared" si="351"/>
        <v>RT</v>
      </c>
      <c r="Y4313" s="1128" t="s">
        <v>3380</v>
      </c>
      <c r="Z4313" s="1128" t="s">
        <v>3381</v>
      </c>
      <c r="AA4313" s="1128" t="s">
        <v>3384</v>
      </c>
      <c r="AB4313" s="20"/>
      <c r="AC4313" s="73"/>
    </row>
    <row r="4314" spans="1:29">
      <c r="A4314" s="327" t="str">
        <f>IF(AND($B4314&lt;&gt;"",$C4314&lt;&gt;""),MAX($A$1556:A4289)+1,"")</f>
        <v/>
      </c>
      <c r="B4314" s="361" t="s">
        <v>2044</v>
      </c>
      <c r="C4314" s="360"/>
      <c r="D4314" s="327">
        <f>IF($B4314="","",COUNTIF($B$6:$B4314,$B4314))</f>
        <v>5</v>
      </c>
      <c r="E4314" s="430">
        <v>774277</v>
      </c>
      <c r="F4314" s="362" t="s">
        <v>1425</v>
      </c>
      <c r="G4314" s="327" t="s">
        <v>155</v>
      </c>
      <c r="H4314" s="361"/>
      <c r="I4314" s="411" t="s">
        <v>1358</v>
      </c>
      <c r="J4314" s="345"/>
      <c r="K4314" s="327"/>
      <c r="L4314" s="389">
        <f t="shared" si="352"/>
        <v>170495.8</v>
      </c>
      <c r="M4314" s="371"/>
      <c r="N4314" s="355" t="str">
        <f t="shared" si="353"/>
        <v>PK</v>
      </c>
      <c r="O4314" s="345"/>
      <c r="P4314" s="392"/>
      <c r="Q4314" s="441">
        <v>7.33</v>
      </c>
      <c r="R4314" s="441"/>
      <c r="S4314" s="351"/>
      <c r="T4314" s="351"/>
      <c r="U4314" s="329" t="str">
        <f>IF($N4314=$N$4,IFERROR(INDEX(DanhMuc!$E$154:$E$165,MATCH(MID($B4314,4,2),DanhMuc!$B$154:$B$165,0)),""),"")</f>
        <v/>
      </c>
      <c r="V4314" s="361"/>
      <c r="W4314" s="345"/>
      <c r="X4314" s="329" t="str">
        <f t="shared" si="351"/>
        <v>RT</v>
      </c>
      <c r="Y4314" s="1128" t="s">
        <v>3380</v>
      </c>
      <c r="Z4314" s="1128" t="s">
        <v>3381</v>
      </c>
      <c r="AA4314" s="1128" t="s">
        <v>3384</v>
      </c>
      <c r="AB4314" s="20"/>
      <c r="AC4314" s="73"/>
    </row>
    <row r="4315" spans="1:29">
      <c r="A4315" s="327" t="str">
        <f>IF(AND($B4315&lt;&gt;"",$C4315&lt;&gt;""),MAX($A$1556:A4290)+1,"")</f>
        <v/>
      </c>
      <c r="B4315" s="361" t="s">
        <v>2044</v>
      </c>
      <c r="C4315" s="360"/>
      <c r="D4315" s="327">
        <f>IF($B4315="","",COUNTIF($B$6:$B4315,$B4315))</f>
        <v>6</v>
      </c>
      <c r="E4315" s="430">
        <v>774278</v>
      </c>
      <c r="F4315" s="362" t="s">
        <v>1426</v>
      </c>
      <c r="G4315" s="327" t="s">
        <v>155</v>
      </c>
      <c r="H4315" s="361"/>
      <c r="I4315" s="411" t="s">
        <v>1359</v>
      </c>
      <c r="J4315" s="345"/>
      <c r="K4315" s="327"/>
      <c r="L4315" s="389">
        <f t="shared" si="352"/>
        <v>195151.40000000002</v>
      </c>
      <c r="M4315" s="371"/>
      <c r="N4315" s="355" t="str">
        <f t="shared" si="353"/>
        <v>PK</v>
      </c>
      <c r="O4315" s="345"/>
      <c r="P4315" s="392"/>
      <c r="Q4315" s="441">
        <v>8.39</v>
      </c>
      <c r="R4315" s="441"/>
      <c r="S4315" s="351"/>
      <c r="T4315" s="351"/>
      <c r="U4315" s="329" t="str">
        <f>IF($N4315=$N$4,IFERROR(INDEX(DanhMuc!$E$154:$E$165,MATCH(MID($B4315,4,2),DanhMuc!$B$154:$B$165,0)),""),"")</f>
        <v/>
      </c>
      <c r="V4315" s="361"/>
      <c r="W4315" s="345"/>
      <c r="X4315" s="329" t="str">
        <f t="shared" ref="X4315:X4411" si="354">IF($N4315="PR",$E4315,MID($B4315,10,2))</f>
        <v>RT</v>
      </c>
      <c r="Y4315" s="1128" t="s">
        <v>3380</v>
      </c>
      <c r="Z4315" s="1128" t="s">
        <v>3381</v>
      </c>
      <c r="AA4315" s="1128" t="s">
        <v>3384</v>
      </c>
      <c r="AB4315" s="20"/>
      <c r="AC4315" s="73"/>
    </row>
    <row r="4316" spans="1:29">
      <c r="A4316" s="327" t="str">
        <f>IF(AND($B4316&lt;&gt;"",$C4316&lt;&gt;""),MAX($A$1556:A4291)+1,"")</f>
        <v/>
      </c>
      <c r="B4316" s="361" t="s">
        <v>2044</v>
      </c>
      <c r="C4316" s="360"/>
      <c r="D4316" s="327">
        <f>IF($B4316="","",COUNTIF($B$6:$B4316,$B4316))</f>
        <v>7</v>
      </c>
      <c r="E4316" s="430">
        <v>774279</v>
      </c>
      <c r="F4316" s="362" t="s">
        <v>1427</v>
      </c>
      <c r="G4316" s="327" t="s">
        <v>155</v>
      </c>
      <c r="H4316" s="361"/>
      <c r="I4316" s="411" t="s">
        <v>1360</v>
      </c>
      <c r="J4316" s="345"/>
      <c r="K4316" s="327"/>
      <c r="L4316" s="389">
        <f t="shared" si="352"/>
        <v>216550.6</v>
      </c>
      <c r="M4316" s="371"/>
      <c r="N4316" s="355" t="str">
        <f t="shared" si="353"/>
        <v>PK</v>
      </c>
      <c r="O4316" s="345"/>
      <c r="P4316" s="392"/>
      <c r="Q4316" s="441">
        <v>9.31</v>
      </c>
      <c r="R4316" s="441"/>
      <c r="S4316" s="351"/>
      <c r="T4316" s="351"/>
      <c r="U4316" s="329" t="str">
        <f>IF($N4316=$N$4,IFERROR(INDEX(DanhMuc!$E$154:$E$165,MATCH(MID($B4316,4,2),DanhMuc!$B$154:$B$165,0)),""),"")</f>
        <v/>
      </c>
      <c r="V4316" s="361"/>
      <c r="W4316" s="345"/>
      <c r="X4316" s="329" t="str">
        <f t="shared" si="354"/>
        <v>RT</v>
      </c>
      <c r="Y4316" s="1128" t="s">
        <v>3380</v>
      </c>
      <c r="Z4316" s="1128" t="s">
        <v>3381</v>
      </c>
      <c r="AA4316" s="1128" t="s">
        <v>3384</v>
      </c>
      <c r="AB4316" s="20"/>
      <c r="AC4316" s="73"/>
    </row>
    <row r="4317" spans="1:29">
      <c r="A4317" s="327" t="str">
        <f>IF(AND($B4317&lt;&gt;"",$C4317&lt;&gt;""),MAX($A$1556:A4292)+1,"")</f>
        <v/>
      </c>
      <c r="B4317" s="361" t="s">
        <v>2044</v>
      </c>
      <c r="C4317" s="360"/>
      <c r="D4317" s="327">
        <f>IF($B4317="","",COUNTIF($B$6:$B4317,$B4317))</f>
        <v>8</v>
      </c>
      <c r="E4317" s="430">
        <v>616040</v>
      </c>
      <c r="F4317" s="362" t="s">
        <v>1405</v>
      </c>
      <c r="G4317" s="327" t="s">
        <v>155</v>
      </c>
      <c r="H4317" s="361"/>
      <c r="I4317" s="327">
        <v>8</v>
      </c>
      <c r="J4317" s="345"/>
      <c r="K4317" s="327"/>
      <c r="L4317" s="389">
        <f t="shared" si="352"/>
        <v>62104.2</v>
      </c>
      <c r="M4317" s="371"/>
      <c r="N4317" s="355" t="str">
        <f t="shared" si="353"/>
        <v>PK</v>
      </c>
      <c r="O4317" s="345" t="s">
        <v>1705</v>
      </c>
      <c r="P4317" s="392"/>
      <c r="Q4317" s="441">
        <v>2.67</v>
      </c>
      <c r="R4317" s="441"/>
      <c r="S4317" s="351"/>
      <c r="T4317" s="351"/>
      <c r="U4317" s="329" t="str">
        <f>IF($N4317=$N$4,IFERROR(INDEX(DanhMuc!$E$154:$E$165,MATCH(MID($B4317,4,2),DanhMuc!$B$154:$B$165,0)),""),"")</f>
        <v/>
      </c>
      <c r="V4317" s="361"/>
      <c r="W4317" s="345"/>
      <c r="X4317" s="329" t="str">
        <f t="shared" si="354"/>
        <v>RT</v>
      </c>
      <c r="Y4317" s="1128" t="s">
        <v>3380</v>
      </c>
      <c r="Z4317" s="1128" t="s">
        <v>3381</v>
      </c>
      <c r="AA4317" s="1128" t="s">
        <v>3384</v>
      </c>
      <c r="AB4317" s="20"/>
      <c r="AC4317" s="73"/>
    </row>
    <row r="4318" spans="1:29" ht="25">
      <c r="A4318" s="327" t="str">
        <f>IF(AND($B4318&lt;&gt;"",$C4318&lt;&gt;""),MAX($A$1556:A4293)+1,"")</f>
        <v/>
      </c>
      <c r="B4318" s="361" t="s">
        <v>2044</v>
      </c>
      <c r="C4318" s="360"/>
      <c r="D4318" s="327">
        <f>IF($B4318="","",COUNTIF($B$6:$B4318,$B4318))</f>
        <v>9</v>
      </c>
      <c r="E4318" s="430">
        <v>629551</v>
      </c>
      <c r="F4318" s="362" t="s">
        <v>1936</v>
      </c>
      <c r="G4318" s="327" t="s">
        <v>155</v>
      </c>
      <c r="H4318" s="361"/>
      <c r="I4318" s="411" t="s">
        <v>1361</v>
      </c>
      <c r="J4318" s="345"/>
      <c r="K4318" s="327"/>
      <c r="L4318" s="389">
        <f t="shared" si="352"/>
        <v>31168.400000000001</v>
      </c>
      <c r="M4318" s="371"/>
      <c r="N4318" s="355" t="str">
        <f t="shared" si="353"/>
        <v>PK</v>
      </c>
      <c r="O4318" s="345"/>
      <c r="P4318" s="392"/>
      <c r="Q4318" s="441">
        <v>1.34</v>
      </c>
      <c r="R4318" s="441"/>
      <c r="S4318" s="351"/>
      <c r="T4318" s="351"/>
      <c r="U4318" s="329" t="str">
        <f>IF($N4318=$N$4,IFERROR(INDEX(DanhMuc!$E$154:$E$165,MATCH(MID($B4318,4,2),DanhMuc!$B$154:$B$165,0)),""),"")</f>
        <v/>
      </c>
      <c r="V4318" s="361"/>
      <c r="W4318" s="345"/>
      <c r="X4318" s="329" t="str">
        <f t="shared" si="354"/>
        <v>RT</v>
      </c>
      <c r="Y4318" s="1128" t="s">
        <v>3380</v>
      </c>
      <c r="Z4318" s="1128" t="s">
        <v>3381</v>
      </c>
      <c r="AA4318" s="1128" t="s">
        <v>3384</v>
      </c>
      <c r="AB4318" s="20"/>
      <c r="AC4318" s="73"/>
    </row>
    <row r="4319" spans="1:29">
      <c r="A4319" s="327" t="str">
        <f>IF(AND($B4319&lt;&gt;"",$C4319&lt;&gt;""),MAX($A$1556:A4294)+1,"")</f>
        <v/>
      </c>
      <c r="B4319" s="361" t="s">
        <v>2044</v>
      </c>
      <c r="C4319" s="360"/>
      <c r="D4319" s="327">
        <f>IF($B4319="","",COUNTIF($B$6:$B4319,$B4319))</f>
        <v>10</v>
      </c>
      <c r="E4319" s="411">
        <v>221847</v>
      </c>
      <c r="F4319" s="432" t="s">
        <v>1374</v>
      </c>
      <c r="G4319" s="410" t="s">
        <v>155</v>
      </c>
      <c r="H4319" s="361"/>
      <c r="I4319" s="327">
        <v>8</v>
      </c>
      <c r="J4319" s="345"/>
      <c r="K4319" s="327"/>
      <c r="L4319" s="356">
        <v>1000</v>
      </c>
      <c r="M4319" s="371"/>
      <c r="N4319" s="355" t="str">
        <f t="shared" si="353"/>
        <v>PK</v>
      </c>
      <c r="O4319" s="345"/>
      <c r="P4319" s="392"/>
      <c r="Q4319" s="356">
        <v>1000</v>
      </c>
      <c r="R4319" s="441"/>
      <c r="S4319" s="351"/>
      <c r="T4319" s="351"/>
      <c r="U4319" s="329" t="str">
        <f>IF($N4319=$N$4,IFERROR(INDEX(DanhMuc!$E$154:$E$165,MATCH(MID($B4319,4,2),DanhMuc!$B$154:$B$165,0)),""),"")</f>
        <v/>
      </c>
      <c r="V4319" s="361"/>
      <c r="W4319" s="345"/>
      <c r="X4319" s="329" t="str">
        <f t="shared" si="354"/>
        <v>RT</v>
      </c>
      <c r="Y4319" s="1128" t="s">
        <v>3380</v>
      </c>
      <c r="Z4319" s="1128" t="s">
        <v>3381</v>
      </c>
      <c r="AA4319" s="1128" t="s">
        <v>3384</v>
      </c>
      <c r="AB4319" s="20"/>
      <c r="AC4319" s="73"/>
    </row>
    <row r="4320" spans="1:29">
      <c r="A4320" s="327" t="str">
        <f>IF(AND($B4320&lt;&gt;"",$C4320&lt;&gt;""),MAX($A$1556:A4295)+1,"")</f>
        <v/>
      </c>
      <c r="B4320" s="361" t="s">
        <v>2044</v>
      </c>
      <c r="C4320" s="360"/>
      <c r="D4320" s="327">
        <f>IF($B4320="","",COUNTIF($B$6:$B4320,$B4320))</f>
        <v>11</v>
      </c>
      <c r="E4320" s="411">
        <v>221848</v>
      </c>
      <c r="F4320" s="432" t="s">
        <v>1375</v>
      </c>
      <c r="G4320" s="410" t="s">
        <v>155</v>
      </c>
      <c r="H4320" s="361"/>
      <c r="I4320" s="327">
        <v>4</v>
      </c>
      <c r="J4320" s="345"/>
      <c r="K4320" s="327"/>
      <c r="L4320" s="356">
        <v>10100</v>
      </c>
      <c r="M4320" s="371"/>
      <c r="N4320" s="355" t="str">
        <f t="shared" si="353"/>
        <v>PK</v>
      </c>
      <c r="O4320" s="345"/>
      <c r="P4320" s="392"/>
      <c r="Q4320" s="356">
        <v>10100</v>
      </c>
      <c r="R4320" s="441"/>
      <c r="S4320" s="351"/>
      <c r="T4320" s="351"/>
      <c r="U4320" s="329" t="str">
        <f>IF($N4320=$N$4,IFERROR(INDEX(DanhMuc!$E$154:$E$165,MATCH(MID($B4320,4,2),DanhMuc!$B$154:$B$165,0)),""),"")</f>
        <v/>
      </c>
      <c r="V4320" s="361"/>
      <c r="W4320" s="345"/>
      <c r="X4320" s="329" t="str">
        <f t="shared" si="354"/>
        <v>RT</v>
      </c>
      <c r="Y4320" s="1128" t="s">
        <v>3380</v>
      </c>
      <c r="Z4320" s="1128" t="s">
        <v>3381</v>
      </c>
      <c r="AA4320" s="1128" t="s">
        <v>3384</v>
      </c>
      <c r="AB4320" s="20"/>
      <c r="AC4320" s="73"/>
    </row>
    <row r="4321" spans="1:29" ht="26">
      <c r="A4321" s="327">
        <f>IF(AND($B4321&lt;&gt;"",$C4321&lt;&gt;""),MAX($A$1556:A4296)+1,"")</f>
        <v>199</v>
      </c>
      <c r="B4321" s="359" t="s">
        <v>2849</v>
      </c>
      <c r="C4321" s="370" t="s">
        <v>1588</v>
      </c>
      <c r="D4321" s="327">
        <f>IF($B4321="","",COUNTIF($B$6:$B4321,$B4321))</f>
        <v>1</v>
      </c>
      <c r="E4321" s="430">
        <v>617437</v>
      </c>
      <c r="F4321" s="362" t="s">
        <v>1422</v>
      </c>
      <c r="G4321" s="327" t="s">
        <v>155</v>
      </c>
      <c r="H4321" s="361"/>
      <c r="I4321" s="327">
        <v>2</v>
      </c>
      <c r="J4321" s="361"/>
      <c r="K4321" s="327"/>
      <c r="L4321" s="389">
        <f t="shared" ref="L4321:L4351" si="355">+$L$3808*$Q4321</f>
        <v>99320.2</v>
      </c>
      <c r="M4321" s="371"/>
      <c r="N4321" s="355" t="str">
        <f t="shared" si="353"/>
        <v>PK</v>
      </c>
      <c r="O4321" s="345" t="s">
        <v>1788</v>
      </c>
      <c r="P4321" s="392"/>
      <c r="Q4321" s="441">
        <v>4.2699999999999996</v>
      </c>
      <c r="R4321" s="441"/>
      <c r="S4321" s="351"/>
      <c r="T4321" s="351"/>
      <c r="U4321" s="329" t="str">
        <f>IF($N4321=$N$4,IFERROR(INDEX(DanhMuc!$E$154:$E$165,MATCH(MID($B4321,4,2),DanhMuc!$B$154:$B$165,0)),""),"")</f>
        <v/>
      </c>
      <c r="V4321" s="361"/>
      <c r="W4321" s="345"/>
      <c r="X4321" s="329" t="str">
        <f t="shared" si="354"/>
        <v>RT</v>
      </c>
      <c r="Y4321" s="1128" t="s">
        <v>3380</v>
      </c>
      <c r="Z4321" s="1128" t="s">
        <v>3381</v>
      </c>
      <c r="AA4321" s="1128" t="s">
        <v>3384</v>
      </c>
      <c r="AB4321" s="20"/>
      <c r="AC4321" s="73"/>
    </row>
    <row r="4322" spans="1:29">
      <c r="A4322" s="327" t="str">
        <f>IF(AND($B4322&lt;&gt;"",$C4322&lt;&gt;""),MAX($A$1556:A4297)+1,"")</f>
        <v/>
      </c>
      <c r="B4322" s="361" t="s">
        <v>2849</v>
      </c>
      <c r="C4322" s="360"/>
      <c r="D4322" s="327">
        <f>IF($B4322="","",COUNTIF($B$6:$B4322,$B4322))</f>
        <v>2</v>
      </c>
      <c r="E4322" s="430">
        <v>570810</v>
      </c>
      <c r="F4322" s="362" t="s">
        <v>1401</v>
      </c>
      <c r="G4322" s="327" t="s">
        <v>155</v>
      </c>
      <c r="H4322" s="361"/>
      <c r="I4322" s="327">
        <v>2</v>
      </c>
      <c r="J4322" s="345"/>
      <c r="K4322" s="327"/>
      <c r="L4322" s="389">
        <f t="shared" si="355"/>
        <v>120952</v>
      </c>
      <c r="M4322" s="371"/>
      <c r="N4322" s="355" t="str">
        <f t="shared" si="353"/>
        <v>PK</v>
      </c>
      <c r="O4322" s="345" t="s">
        <v>1781</v>
      </c>
      <c r="P4322" s="392"/>
      <c r="Q4322" s="441">
        <v>5.2</v>
      </c>
      <c r="R4322" s="441"/>
      <c r="S4322" s="351"/>
      <c r="T4322" s="351"/>
      <c r="U4322" s="329" t="str">
        <f>IF($N4322=$N$4,IFERROR(INDEX(DanhMuc!$E$154:$E$165,MATCH(MID($B4322,4,2),DanhMuc!$B$154:$B$165,0)),""),"")</f>
        <v/>
      </c>
      <c r="V4322" s="361"/>
      <c r="W4322" s="345"/>
      <c r="X4322" s="329" t="str">
        <f t="shared" si="354"/>
        <v>RT</v>
      </c>
      <c r="Y4322" s="1128" t="s">
        <v>3380</v>
      </c>
      <c r="Z4322" s="1128" t="s">
        <v>3381</v>
      </c>
      <c r="AA4322" s="1128" t="s">
        <v>3384</v>
      </c>
      <c r="AB4322" s="20"/>
      <c r="AC4322" s="73"/>
    </row>
    <row r="4323" spans="1:29">
      <c r="A4323" s="327" t="str">
        <f>IF(AND($B4323&lt;&gt;"",$C4323&lt;&gt;""),MAX($A$1556:A4298)+1,"")</f>
        <v/>
      </c>
      <c r="B4323" s="361" t="s">
        <v>2849</v>
      </c>
      <c r="C4323" s="360"/>
      <c r="D4323" s="327">
        <f>IF($B4323="","",COUNTIF($B$6:$B4323,$B4323))</f>
        <v>3</v>
      </c>
      <c r="E4323" s="430">
        <v>774275</v>
      </c>
      <c r="F4323" s="362" t="s">
        <v>1423</v>
      </c>
      <c r="G4323" s="327" t="s">
        <v>155</v>
      </c>
      <c r="H4323" s="361"/>
      <c r="I4323" s="411" t="s">
        <v>1350</v>
      </c>
      <c r="J4323" s="345"/>
      <c r="K4323" s="327"/>
      <c r="L4323" s="389">
        <f t="shared" si="355"/>
        <v>213759.4</v>
      </c>
      <c r="M4323" s="371"/>
      <c r="N4323" s="355" t="str">
        <f t="shared" si="353"/>
        <v>PK</v>
      </c>
      <c r="O4323" s="345"/>
      <c r="P4323" s="392"/>
      <c r="Q4323" s="441">
        <v>9.19</v>
      </c>
      <c r="R4323" s="441"/>
      <c r="S4323" s="351"/>
      <c r="T4323" s="351"/>
      <c r="U4323" s="329" t="str">
        <f>IF($N4323=$N$4,IFERROR(INDEX(DanhMuc!$E$154:$E$165,MATCH(MID($B4323,4,2),DanhMuc!$B$154:$B$165,0)),""),"")</f>
        <v/>
      </c>
      <c r="V4323" s="361"/>
      <c r="W4323" s="345"/>
      <c r="X4323" s="329" t="str">
        <f t="shared" si="354"/>
        <v>RT</v>
      </c>
      <c r="Y4323" s="1128" t="s">
        <v>3380</v>
      </c>
      <c r="Z4323" s="1128" t="s">
        <v>3381</v>
      </c>
      <c r="AA4323" s="1128" t="s">
        <v>3384</v>
      </c>
      <c r="AB4323" s="20"/>
      <c r="AC4323" s="73"/>
    </row>
    <row r="4324" spans="1:29">
      <c r="A4324" s="327" t="str">
        <f>IF(AND($B4324&lt;&gt;"",$C4324&lt;&gt;""),MAX($A$1556:A4299)+1,"")</f>
        <v/>
      </c>
      <c r="B4324" s="361" t="s">
        <v>2849</v>
      </c>
      <c r="C4324" s="360"/>
      <c r="D4324" s="327">
        <f>IF($B4324="","",COUNTIF($B$6:$B4324,$B4324))</f>
        <v>4</v>
      </c>
      <c r="E4324" s="430">
        <v>774276</v>
      </c>
      <c r="F4324" s="362" t="s">
        <v>1424</v>
      </c>
      <c r="G4324" s="327" t="s">
        <v>155</v>
      </c>
      <c r="H4324" s="361"/>
      <c r="I4324" s="411" t="s">
        <v>1351</v>
      </c>
      <c r="J4324" s="345"/>
      <c r="K4324" s="327"/>
      <c r="L4324" s="389">
        <f t="shared" si="355"/>
        <v>151887.80000000002</v>
      </c>
      <c r="M4324" s="371"/>
      <c r="N4324" s="355" t="str">
        <f t="shared" si="353"/>
        <v>PK</v>
      </c>
      <c r="O4324" s="345"/>
      <c r="P4324" s="392"/>
      <c r="Q4324" s="441">
        <v>6.53</v>
      </c>
      <c r="R4324" s="441"/>
      <c r="S4324" s="351"/>
      <c r="T4324" s="351"/>
      <c r="U4324" s="329" t="str">
        <f>IF($N4324=$N$4,IFERROR(INDEX(DanhMuc!$E$154:$E$165,MATCH(MID($B4324,4,2),DanhMuc!$B$154:$B$165,0)),""),"")</f>
        <v/>
      </c>
      <c r="V4324" s="361"/>
      <c r="W4324" s="345"/>
      <c r="X4324" s="329" t="str">
        <f t="shared" si="354"/>
        <v>RT</v>
      </c>
      <c r="Y4324" s="1128" t="s">
        <v>3380</v>
      </c>
      <c r="Z4324" s="1128" t="s">
        <v>3381</v>
      </c>
      <c r="AA4324" s="1128" t="s">
        <v>3384</v>
      </c>
      <c r="AB4324" s="20"/>
      <c r="AC4324" s="73"/>
    </row>
    <row r="4325" spans="1:29">
      <c r="A4325" s="327" t="str">
        <f>IF(AND($B4325&lt;&gt;"",$C4325&lt;&gt;""),MAX($A$1556:A4300)+1,"")</f>
        <v/>
      </c>
      <c r="B4325" s="361" t="s">
        <v>2849</v>
      </c>
      <c r="C4325" s="360"/>
      <c r="D4325" s="327">
        <f>IF($B4325="","",COUNTIF($B$6:$B4325,$B4325))</f>
        <v>5</v>
      </c>
      <c r="E4325" s="430">
        <v>774277</v>
      </c>
      <c r="F4325" s="362" t="s">
        <v>1425</v>
      </c>
      <c r="G4325" s="327" t="s">
        <v>155</v>
      </c>
      <c r="H4325" s="361"/>
      <c r="I4325" s="411" t="s">
        <v>1352</v>
      </c>
      <c r="J4325" s="345"/>
      <c r="K4325" s="327"/>
      <c r="L4325" s="389">
        <f t="shared" si="355"/>
        <v>170495.8</v>
      </c>
      <c r="M4325" s="371"/>
      <c r="N4325" s="355" t="str">
        <f t="shared" si="353"/>
        <v>PK</v>
      </c>
      <c r="O4325" s="345"/>
      <c r="P4325" s="392"/>
      <c r="Q4325" s="441">
        <v>7.33</v>
      </c>
      <c r="R4325" s="441"/>
      <c r="S4325" s="351"/>
      <c r="T4325" s="351"/>
      <c r="U4325" s="329" t="str">
        <f>IF($N4325=$N$4,IFERROR(INDEX(DanhMuc!$E$154:$E$165,MATCH(MID($B4325,4,2),DanhMuc!$B$154:$B$165,0)),""),"")</f>
        <v/>
      </c>
      <c r="V4325" s="361"/>
      <c r="W4325" s="345"/>
      <c r="X4325" s="329" t="str">
        <f t="shared" si="354"/>
        <v>RT</v>
      </c>
      <c r="Y4325" s="1128" t="s">
        <v>3380</v>
      </c>
      <c r="Z4325" s="1128" t="s">
        <v>3381</v>
      </c>
      <c r="AA4325" s="1128" t="s">
        <v>3384</v>
      </c>
      <c r="AB4325" s="20"/>
      <c r="AC4325" s="73"/>
    </row>
    <row r="4326" spans="1:29">
      <c r="A4326" s="327" t="str">
        <f>IF(AND($B4326&lt;&gt;"",$C4326&lt;&gt;""),MAX($A$1556:A4301)+1,"")</f>
        <v/>
      </c>
      <c r="B4326" s="361" t="s">
        <v>2849</v>
      </c>
      <c r="C4326" s="360"/>
      <c r="D4326" s="327">
        <f>IF($B4326="","",COUNTIF($B$6:$B4326,$B4326))</f>
        <v>6</v>
      </c>
      <c r="E4326" s="430">
        <v>774278</v>
      </c>
      <c r="F4326" s="362" t="s">
        <v>1426</v>
      </c>
      <c r="G4326" s="327" t="s">
        <v>155</v>
      </c>
      <c r="H4326" s="361"/>
      <c r="I4326" s="411" t="s">
        <v>1353</v>
      </c>
      <c r="J4326" s="345"/>
      <c r="K4326" s="327"/>
      <c r="L4326" s="389">
        <f t="shared" si="355"/>
        <v>195151.40000000002</v>
      </c>
      <c r="M4326" s="371"/>
      <c r="N4326" s="355" t="str">
        <f t="shared" si="353"/>
        <v>PK</v>
      </c>
      <c r="O4326" s="345"/>
      <c r="P4326" s="392"/>
      <c r="Q4326" s="441">
        <v>8.39</v>
      </c>
      <c r="R4326" s="441"/>
      <c r="S4326" s="351"/>
      <c r="T4326" s="351"/>
      <c r="U4326" s="329" t="str">
        <f>IF($N4326=$N$4,IFERROR(INDEX(DanhMuc!$E$154:$E$165,MATCH(MID($B4326,4,2),DanhMuc!$B$154:$B$165,0)),""),"")</f>
        <v/>
      </c>
      <c r="V4326" s="361"/>
      <c r="W4326" s="345"/>
      <c r="X4326" s="329" t="str">
        <f t="shared" si="354"/>
        <v>RT</v>
      </c>
      <c r="Y4326" s="1128" t="s">
        <v>3380</v>
      </c>
      <c r="Z4326" s="1128" t="s">
        <v>3381</v>
      </c>
      <c r="AA4326" s="1128" t="s">
        <v>3384</v>
      </c>
      <c r="AB4326" s="20"/>
      <c r="AC4326" s="73"/>
    </row>
    <row r="4327" spans="1:29">
      <c r="A4327" s="327" t="str">
        <f>IF(AND($B4327&lt;&gt;"",$C4327&lt;&gt;""),MAX($A$1556:A4302)+1,"")</f>
        <v/>
      </c>
      <c r="B4327" s="361" t="s">
        <v>2849</v>
      </c>
      <c r="C4327" s="360"/>
      <c r="D4327" s="327">
        <f>IF($B4327="","",COUNTIF($B$6:$B4327,$B4327))</f>
        <v>7</v>
      </c>
      <c r="E4327" s="430">
        <v>774279</v>
      </c>
      <c r="F4327" s="362" t="s">
        <v>1427</v>
      </c>
      <c r="G4327" s="327" t="s">
        <v>155</v>
      </c>
      <c r="H4327" s="361"/>
      <c r="I4327" s="411" t="s">
        <v>1354</v>
      </c>
      <c r="J4327" s="345"/>
      <c r="K4327" s="327"/>
      <c r="L4327" s="389">
        <f t="shared" si="355"/>
        <v>216550.6</v>
      </c>
      <c r="M4327" s="371"/>
      <c r="N4327" s="355" t="str">
        <f t="shared" si="353"/>
        <v>PK</v>
      </c>
      <c r="O4327" s="345"/>
      <c r="P4327" s="392"/>
      <c r="Q4327" s="441">
        <v>9.31</v>
      </c>
      <c r="R4327" s="441"/>
      <c r="S4327" s="351"/>
      <c r="T4327" s="351"/>
      <c r="U4327" s="329" t="str">
        <f>IF($N4327=$N$4,IFERROR(INDEX(DanhMuc!$E$154:$E$165,MATCH(MID($B4327,4,2),DanhMuc!$B$154:$B$165,0)),""),"")</f>
        <v/>
      </c>
      <c r="V4327" s="361"/>
      <c r="W4327" s="345"/>
      <c r="X4327" s="329" t="str">
        <f t="shared" si="354"/>
        <v>RT</v>
      </c>
      <c r="Y4327" s="1128" t="s">
        <v>3380</v>
      </c>
      <c r="Z4327" s="1128" t="s">
        <v>3381</v>
      </c>
      <c r="AA4327" s="1128" t="s">
        <v>3384</v>
      </c>
      <c r="AB4327" s="20"/>
      <c r="AC4327" s="73"/>
    </row>
    <row r="4328" spans="1:29">
      <c r="A4328" s="327" t="str">
        <f>IF(AND($B4328&lt;&gt;"",$C4328&lt;&gt;""),MAX($A$1556:A4303)+1,"")</f>
        <v/>
      </c>
      <c r="B4328" s="361" t="s">
        <v>2849</v>
      </c>
      <c r="C4328" s="360"/>
      <c r="D4328" s="327">
        <f>IF($B4328="","",COUNTIF($B$6:$B4328,$B4328))</f>
        <v>8</v>
      </c>
      <c r="E4328" s="430">
        <v>616040</v>
      </c>
      <c r="F4328" s="362" t="s">
        <v>1405</v>
      </c>
      <c r="G4328" s="327" t="s">
        <v>155</v>
      </c>
      <c r="H4328" s="361"/>
      <c r="I4328" s="327">
        <v>4</v>
      </c>
      <c r="J4328" s="345"/>
      <c r="K4328" s="327"/>
      <c r="L4328" s="389">
        <f t="shared" si="355"/>
        <v>62104.2</v>
      </c>
      <c r="M4328" s="371"/>
      <c r="N4328" s="355" t="str">
        <f t="shared" si="353"/>
        <v>PK</v>
      </c>
      <c r="O4328" s="345" t="s">
        <v>1705</v>
      </c>
      <c r="P4328" s="392"/>
      <c r="Q4328" s="441">
        <v>2.67</v>
      </c>
      <c r="R4328" s="441"/>
      <c r="S4328" s="351"/>
      <c r="T4328" s="351"/>
      <c r="U4328" s="329" t="str">
        <f>IF($N4328=$N$4,IFERROR(INDEX(DanhMuc!$E$154:$E$165,MATCH(MID($B4328,4,2),DanhMuc!$B$154:$B$165,0)),""),"")</f>
        <v/>
      </c>
      <c r="V4328" s="361"/>
      <c r="W4328" s="345"/>
      <c r="X4328" s="329" t="str">
        <f t="shared" si="354"/>
        <v>RT</v>
      </c>
      <c r="Y4328" s="1128" t="s">
        <v>3380</v>
      </c>
      <c r="Z4328" s="1128" t="s">
        <v>3381</v>
      </c>
      <c r="AA4328" s="1128" t="s">
        <v>3384</v>
      </c>
      <c r="AB4328" s="20"/>
      <c r="AC4328" s="73"/>
    </row>
    <row r="4329" spans="1:29" ht="25">
      <c r="A4329" s="327" t="str">
        <f>IF(AND($B4329&lt;&gt;"",$C4329&lt;&gt;""),MAX($A$1556:A4304)+1,"")</f>
        <v/>
      </c>
      <c r="B4329" s="361" t="s">
        <v>2849</v>
      </c>
      <c r="C4329" s="360"/>
      <c r="D4329" s="327">
        <f>IF($B4329="","",COUNTIF($B$6:$B4329,$B4329))</f>
        <v>9</v>
      </c>
      <c r="E4329" s="430">
        <v>629551</v>
      </c>
      <c r="F4329" s="362" t="s">
        <v>1936</v>
      </c>
      <c r="G4329" s="327" t="s">
        <v>155</v>
      </c>
      <c r="H4329" s="361"/>
      <c r="I4329" s="411" t="s">
        <v>1355</v>
      </c>
      <c r="J4329" s="345"/>
      <c r="K4329" s="327"/>
      <c r="L4329" s="389">
        <f t="shared" si="355"/>
        <v>31168.400000000001</v>
      </c>
      <c r="M4329" s="371"/>
      <c r="N4329" s="355" t="str">
        <f t="shared" si="353"/>
        <v>PK</v>
      </c>
      <c r="O4329" s="345"/>
      <c r="P4329" s="392"/>
      <c r="Q4329" s="441">
        <v>1.34</v>
      </c>
      <c r="R4329" s="441"/>
      <c r="S4329" s="351"/>
      <c r="T4329" s="351"/>
      <c r="U4329" s="329" t="str">
        <f>IF($N4329=$N$4,IFERROR(INDEX(DanhMuc!$E$154:$E$165,MATCH(MID($B4329,4,2),DanhMuc!$B$154:$B$165,0)),""),"")</f>
        <v/>
      </c>
      <c r="V4329" s="361"/>
      <c r="W4329" s="345"/>
      <c r="X4329" s="329" t="str">
        <f t="shared" si="354"/>
        <v>RT</v>
      </c>
      <c r="Y4329" s="1128" t="s">
        <v>3380</v>
      </c>
      <c r="Z4329" s="1128" t="s">
        <v>3381</v>
      </c>
      <c r="AA4329" s="1128" t="s">
        <v>3384</v>
      </c>
      <c r="AB4329" s="20"/>
      <c r="AC4329" s="73"/>
    </row>
    <row r="4330" spans="1:29">
      <c r="A4330" s="327" t="str">
        <f>IF(AND($B4330&lt;&gt;"",$C4330&lt;&gt;""),MAX($A$1556:A4305)+1,"")</f>
        <v/>
      </c>
      <c r="B4330" s="361" t="s">
        <v>2849</v>
      </c>
      <c r="C4330" s="360"/>
      <c r="D4330" s="327">
        <f>IF($B4330="","",COUNTIF($B$6:$B4330,$B4330))</f>
        <v>10</v>
      </c>
      <c r="E4330" s="411">
        <v>221847</v>
      </c>
      <c r="F4330" s="432" t="s">
        <v>1374</v>
      </c>
      <c r="G4330" s="410" t="s">
        <v>155</v>
      </c>
      <c r="H4330" s="361"/>
      <c r="I4330" s="327">
        <v>4</v>
      </c>
      <c r="J4330" s="345"/>
      <c r="K4330" s="327"/>
      <c r="L4330" s="356">
        <v>1000</v>
      </c>
      <c r="M4330" s="371"/>
      <c r="N4330" s="355" t="str">
        <f t="shared" si="353"/>
        <v>PK</v>
      </c>
      <c r="O4330" s="345"/>
      <c r="P4330" s="392"/>
      <c r="Q4330" s="356">
        <v>1000</v>
      </c>
      <c r="R4330" s="441"/>
      <c r="S4330" s="351"/>
      <c r="T4330" s="351"/>
      <c r="U4330" s="329" t="str">
        <f>IF($N4330=$N$4,IFERROR(INDEX(DanhMuc!$E$154:$E$165,MATCH(MID($B4330,4,2),DanhMuc!$B$154:$B$165,0)),""),"")</f>
        <v/>
      </c>
      <c r="V4330" s="361"/>
      <c r="W4330" s="345"/>
      <c r="X4330" s="329" t="str">
        <f t="shared" si="354"/>
        <v>RT</v>
      </c>
      <c r="Y4330" s="1128" t="s">
        <v>3380</v>
      </c>
      <c r="Z4330" s="1128" t="s">
        <v>3381</v>
      </c>
      <c r="AA4330" s="1128" t="s">
        <v>3384</v>
      </c>
      <c r="AB4330" s="20"/>
      <c r="AC4330" s="73"/>
    </row>
    <row r="4331" spans="1:29">
      <c r="A4331" s="327" t="str">
        <f>IF(AND($B4331&lt;&gt;"",$C4331&lt;&gt;""),MAX($A$1556:A4306)+1,"")</f>
        <v/>
      </c>
      <c r="B4331" s="361" t="s">
        <v>2849</v>
      </c>
      <c r="C4331" s="360"/>
      <c r="D4331" s="327">
        <f>IF($B4331="","",COUNTIF($B$6:$B4331,$B4331))</f>
        <v>11</v>
      </c>
      <c r="E4331" s="411">
        <v>221848</v>
      </c>
      <c r="F4331" s="432" t="s">
        <v>1375</v>
      </c>
      <c r="G4331" s="410" t="s">
        <v>155</v>
      </c>
      <c r="H4331" s="361"/>
      <c r="I4331" s="327">
        <v>2</v>
      </c>
      <c r="J4331" s="345"/>
      <c r="K4331" s="327"/>
      <c r="L4331" s="356">
        <v>10100</v>
      </c>
      <c r="M4331" s="371"/>
      <c r="N4331" s="355" t="str">
        <f t="shared" si="353"/>
        <v>PK</v>
      </c>
      <c r="O4331" s="345"/>
      <c r="P4331" s="392"/>
      <c r="Q4331" s="356">
        <v>10100</v>
      </c>
      <c r="R4331" s="441"/>
      <c r="S4331" s="351"/>
      <c r="T4331" s="351"/>
      <c r="U4331" s="329" t="str">
        <f>IF($N4331=$N$4,IFERROR(INDEX(DanhMuc!$E$154:$E$165,MATCH(MID($B4331,4,2),DanhMuc!$B$154:$B$165,0)),""),"")</f>
        <v/>
      </c>
      <c r="V4331" s="361"/>
      <c r="W4331" s="345"/>
      <c r="X4331" s="329" t="str">
        <f t="shared" si="354"/>
        <v>RT</v>
      </c>
      <c r="Y4331" s="1128" t="s">
        <v>3380</v>
      </c>
      <c r="Z4331" s="1128" t="s">
        <v>3381</v>
      </c>
      <c r="AA4331" s="1128" t="s">
        <v>3384</v>
      </c>
      <c r="AB4331" s="20"/>
      <c r="AC4331" s="73"/>
    </row>
    <row r="4332" spans="1:29" ht="26">
      <c r="A4332" s="327">
        <f>IF(AND($B4332&lt;&gt;"",$C4332&lt;&gt;""),MAX($A$1556:A4307)+1,"")</f>
        <v>199</v>
      </c>
      <c r="B4332" s="359" t="s">
        <v>2850</v>
      </c>
      <c r="C4332" s="360" t="s">
        <v>1589</v>
      </c>
      <c r="D4332" s="327">
        <f>IF($B4332="","",COUNTIF($B$6:$B4332,$B4332))</f>
        <v>1</v>
      </c>
      <c r="E4332" s="430">
        <v>617437</v>
      </c>
      <c r="F4332" s="362" t="s">
        <v>1422</v>
      </c>
      <c r="G4332" s="327" t="s">
        <v>155</v>
      </c>
      <c r="H4332" s="361"/>
      <c r="I4332" s="327">
        <v>2</v>
      </c>
      <c r="J4332" s="361"/>
      <c r="K4332" s="327"/>
      <c r="L4332" s="389">
        <f t="shared" si="355"/>
        <v>99320.2</v>
      </c>
      <c r="M4332" s="371"/>
      <c r="N4332" s="355" t="str">
        <f t="shared" si="353"/>
        <v>PK</v>
      </c>
      <c r="O4332" s="345" t="s">
        <v>1788</v>
      </c>
      <c r="P4332" s="392"/>
      <c r="Q4332" s="441">
        <v>4.2699999999999996</v>
      </c>
      <c r="R4332" s="441"/>
      <c r="S4332" s="351"/>
      <c r="T4332" s="351"/>
      <c r="U4332" s="329" t="str">
        <f>IF($N4332=$N$4,IFERROR(INDEX(DanhMuc!$E$154:$E$165,MATCH(MID($B4332,4,2),DanhMuc!$B$154:$B$165,0)),""),"")</f>
        <v/>
      </c>
      <c r="V4332" s="361"/>
      <c r="W4332" s="345"/>
      <c r="X4332" s="329" t="str">
        <f t="shared" si="354"/>
        <v>RT</v>
      </c>
      <c r="Y4332" s="1128" t="s">
        <v>3380</v>
      </c>
      <c r="Z4332" s="1128" t="s">
        <v>3381</v>
      </c>
      <c r="AA4332" s="1128" t="s">
        <v>3384</v>
      </c>
      <c r="AB4332" s="20"/>
      <c r="AC4332" s="73"/>
    </row>
    <row r="4333" spans="1:29">
      <c r="A4333" s="327" t="str">
        <f>IF(AND($B4333&lt;&gt;"",$C4333&lt;&gt;""),MAX($A$1556:A4308)+1,"")</f>
        <v/>
      </c>
      <c r="B4333" s="361" t="s">
        <v>2850</v>
      </c>
      <c r="C4333" s="360"/>
      <c r="D4333" s="327">
        <f>IF($B4333="","",COUNTIF($B$6:$B4333,$B4333))</f>
        <v>2</v>
      </c>
      <c r="E4333" s="430">
        <v>570810</v>
      </c>
      <c r="F4333" s="362" t="s">
        <v>1401</v>
      </c>
      <c r="G4333" s="327" t="s">
        <v>155</v>
      </c>
      <c r="H4333" s="361"/>
      <c r="I4333" s="327">
        <v>2</v>
      </c>
      <c r="J4333" s="345"/>
      <c r="K4333" s="327"/>
      <c r="L4333" s="389">
        <f t="shared" si="355"/>
        <v>120952</v>
      </c>
      <c r="M4333" s="371"/>
      <c r="N4333" s="355" t="str">
        <f t="shared" si="353"/>
        <v>PK</v>
      </c>
      <c r="O4333" s="345" t="s">
        <v>1781</v>
      </c>
      <c r="P4333" s="392"/>
      <c r="Q4333" s="441">
        <v>5.2</v>
      </c>
      <c r="R4333" s="441"/>
      <c r="S4333" s="351"/>
      <c r="T4333" s="351"/>
      <c r="U4333" s="329" t="str">
        <f>IF($N4333=$N$4,IFERROR(INDEX(DanhMuc!$E$154:$E$165,MATCH(MID($B4333,4,2),DanhMuc!$B$154:$B$165,0)),""),"")</f>
        <v/>
      </c>
      <c r="V4333" s="361"/>
      <c r="W4333" s="345"/>
      <c r="X4333" s="329" t="str">
        <f t="shared" si="354"/>
        <v>RT</v>
      </c>
      <c r="Y4333" s="1128" t="s">
        <v>3380</v>
      </c>
      <c r="Z4333" s="1128" t="s">
        <v>3381</v>
      </c>
      <c r="AA4333" s="1128" t="s">
        <v>3384</v>
      </c>
      <c r="AB4333" s="20"/>
      <c r="AC4333" s="73"/>
    </row>
    <row r="4334" spans="1:29">
      <c r="A4334" s="327" t="str">
        <f>IF(AND($B4334&lt;&gt;"",$C4334&lt;&gt;""),MAX($A$1556:A4309)+1,"")</f>
        <v/>
      </c>
      <c r="B4334" s="361" t="s">
        <v>2850</v>
      </c>
      <c r="C4334" s="360"/>
      <c r="D4334" s="327">
        <f>IF($B4334="","",COUNTIF($B$6:$B4334,$B4334))</f>
        <v>3</v>
      </c>
      <c r="E4334" s="430">
        <v>774275</v>
      </c>
      <c r="F4334" s="362" t="s">
        <v>1423</v>
      </c>
      <c r="G4334" s="327" t="s">
        <v>155</v>
      </c>
      <c r="H4334" s="361"/>
      <c r="I4334" s="411" t="s">
        <v>1350</v>
      </c>
      <c r="J4334" s="345"/>
      <c r="K4334" s="327"/>
      <c r="L4334" s="389">
        <f t="shared" si="355"/>
        <v>213759.4</v>
      </c>
      <c r="M4334" s="371"/>
      <c r="N4334" s="355" t="str">
        <f t="shared" si="353"/>
        <v>PK</v>
      </c>
      <c r="O4334" s="345"/>
      <c r="P4334" s="392"/>
      <c r="Q4334" s="441">
        <v>9.19</v>
      </c>
      <c r="R4334" s="441"/>
      <c r="S4334" s="351"/>
      <c r="T4334" s="351"/>
      <c r="U4334" s="329" t="str">
        <f>IF($N4334=$N$4,IFERROR(INDEX(DanhMuc!$E$154:$E$165,MATCH(MID($B4334,4,2),DanhMuc!$B$154:$B$165,0)),""),"")</f>
        <v/>
      </c>
      <c r="V4334" s="361"/>
      <c r="W4334" s="345"/>
      <c r="X4334" s="329" t="str">
        <f t="shared" si="354"/>
        <v>RT</v>
      </c>
      <c r="Y4334" s="1128" t="s">
        <v>3380</v>
      </c>
      <c r="Z4334" s="1128" t="s">
        <v>3381</v>
      </c>
      <c r="AA4334" s="1128" t="s">
        <v>3384</v>
      </c>
      <c r="AB4334" s="20"/>
      <c r="AC4334" s="73"/>
    </row>
    <row r="4335" spans="1:29">
      <c r="A4335" s="327" t="str">
        <f>IF(AND($B4335&lt;&gt;"",$C4335&lt;&gt;""),MAX($A$1556:A4310)+1,"")</f>
        <v/>
      </c>
      <c r="B4335" s="361" t="s">
        <v>2850</v>
      </c>
      <c r="C4335" s="360"/>
      <c r="D4335" s="327">
        <f>IF($B4335="","",COUNTIF($B$6:$B4335,$B4335))</f>
        <v>4</v>
      </c>
      <c r="E4335" s="430">
        <v>774276</v>
      </c>
      <c r="F4335" s="362" t="s">
        <v>1424</v>
      </c>
      <c r="G4335" s="327" t="s">
        <v>155</v>
      </c>
      <c r="H4335" s="361"/>
      <c r="I4335" s="411" t="s">
        <v>1351</v>
      </c>
      <c r="J4335" s="345"/>
      <c r="K4335" s="327"/>
      <c r="L4335" s="389">
        <f t="shared" si="355"/>
        <v>151887.80000000002</v>
      </c>
      <c r="M4335" s="371"/>
      <c r="N4335" s="355" t="str">
        <f t="shared" si="353"/>
        <v>PK</v>
      </c>
      <c r="O4335" s="345"/>
      <c r="P4335" s="392"/>
      <c r="Q4335" s="441">
        <v>6.53</v>
      </c>
      <c r="R4335" s="441"/>
      <c r="S4335" s="351"/>
      <c r="T4335" s="351"/>
      <c r="U4335" s="329" t="str">
        <f>IF($N4335=$N$4,IFERROR(INDEX(DanhMuc!$E$154:$E$165,MATCH(MID($B4335,4,2),DanhMuc!$B$154:$B$165,0)),""),"")</f>
        <v/>
      </c>
      <c r="V4335" s="361"/>
      <c r="W4335" s="345"/>
      <c r="X4335" s="329" t="str">
        <f t="shared" si="354"/>
        <v>RT</v>
      </c>
      <c r="Y4335" s="1128" t="s">
        <v>3380</v>
      </c>
      <c r="Z4335" s="1128" t="s">
        <v>3381</v>
      </c>
      <c r="AA4335" s="1128" t="s">
        <v>3384</v>
      </c>
      <c r="AB4335" s="20"/>
      <c r="AC4335" s="73"/>
    </row>
    <row r="4336" spans="1:29">
      <c r="A4336" s="327" t="str">
        <f>IF(AND($B4336&lt;&gt;"",$C4336&lt;&gt;""),MAX($A$1556:A4311)+1,"")</f>
        <v/>
      </c>
      <c r="B4336" s="361" t="s">
        <v>2850</v>
      </c>
      <c r="C4336" s="360"/>
      <c r="D4336" s="327">
        <f>IF($B4336="","",COUNTIF($B$6:$B4336,$B4336))</f>
        <v>5</v>
      </c>
      <c r="E4336" s="430">
        <v>774277</v>
      </c>
      <c r="F4336" s="362" t="s">
        <v>1425</v>
      </c>
      <c r="G4336" s="327" t="s">
        <v>155</v>
      </c>
      <c r="H4336" s="361"/>
      <c r="I4336" s="411" t="s">
        <v>1352</v>
      </c>
      <c r="J4336" s="345"/>
      <c r="K4336" s="327"/>
      <c r="L4336" s="389">
        <f t="shared" si="355"/>
        <v>170495.8</v>
      </c>
      <c r="M4336" s="371"/>
      <c r="N4336" s="355" t="str">
        <f t="shared" si="353"/>
        <v>PK</v>
      </c>
      <c r="O4336" s="345"/>
      <c r="P4336" s="392"/>
      <c r="Q4336" s="441">
        <v>7.33</v>
      </c>
      <c r="R4336" s="441"/>
      <c r="S4336" s="351"/>
      <c r="T4336" s="351"/>
      <c r="U4336" s="329" t="str">
        <f>IF($N4336=$N$4,IFERROR(INDEX(DanhMuc!$E$154:$E$165,MATCH(MID($B4336,4,2),DanhMuc!$B$154:$B$165,0)),""),"")</f>
        <v/>
      </c>
      <c r="V4336" s="361"/>
      <c r="W4336" s="345"/>
      <c r="X4336" s="329" t="str">
        <f t="shared" si="354"/>
        <v>RT</v>
      </c>
      <c r="Y4336" s="1128" t="s">
        <v>3380</v>
      </c>
      <c r="Z4336" s="1128" t="s">
        <v>3381</v>
      </c>
      <c r="AA4336" s="1128" t="s">
        <v>3384</v>
      </c>
      <c r="AB4336" s="20"/>
      <c r="AC4336" s="73"/>
    </row>
    <row r="4337" spans="1:29">
      <c r="A4337" s="327" t="str">
        <f>IF(AND($B4337&lt;&gt;"",$C4337&lt;&gt;""),MAX($A$1556:A4312)+1,"")</f>
        <v/>
      </c>
      <c r="B4337" s="361" t="s">
        <v>2850</v>
      </c>
      <c r="C4337" s="360"/>
      <c r="D4337" s="327">
        <f>IF($B4337="","",COUNTIF($B$6:$B4337,$B4337))</f>
        <v>6</v>
      </c>
      <c r="E4337" s="430">
        <v>774278</v>
      </c>
      <c r="F4337" s="362" t="s">
        <v>1426</v>
      </c>
      <c r="G4337" s="327" t="s">
        <v>155</v>
      </c>
      <c r="H4337" s="361"/>
      <c r="I4337" s="411" t="s">
        <v>1353</v>
      </c>
      <c r="J4337" s="345"/>
      <c r="K4337" s="327"/>
      <c r="L4337" s="389">
        <f t="shared" si="355"/>
        <v>195151.40000000002</v>
      </c>
      <c r="M4337" s="371"/>
      <c r="N4337" s="355" t="str">
        <f t="shared" si="353"/>
        <v>PK</v>
      </c>
      <c r="O4337" s="345"/>
      <c r="P4337" s="392"/>
      <c r="Q4337" s="441">
        <v>8.39</v>
      </c>
      <c r="R4337" s="441"/>
      <c r="S4337" s="351"/>
      <c r="T4337" s="351"/>
      <c r="U4337" s="329" t="str">
        <f>IF($N4337=$N$4,IFERROR(INDEX(DanhMuc!$E$154:$E$165,MATCH(MID($B4337,4,2),DanhMuc!$B$154:$B$165,0)),""),"")</f>
        <v/>
      </c>
      <c r="V4337" s="361"/>
      <c r="W4337" s="345"/>
      <c r="X4337" s="329" t="str">
        <f t="shared" si="354"/>
        <v>RT</v>
      </c>
      <c r="Y4337" s="1128" t="s">
        <v>3380</v>
      </c>
      <c r="Z4337" s="1128" t="s">
        <v>3381</v>
      </c>
      <c r="AA4337" s="1128" t="s">
        <v>3384</v>
      </c>
      <c r="AB4337" s="20"/>
      <c r="AC4337" s="73"/>
    </row>
    <row r="4338" spans="1:29">
      <c r="A4338" s="327" t="str">
        <f>IF(AND($B4338&lt;&gt;"",$C4338&lt;&gt;""),MAX($A$1556:A4313)+1,"")</f>
        <v/>
      </c>
      <c r="B4338" s="361" t="s">
        <v>2850</v>
      </c>
      <c r="C4338" s="360"/>
      <c r="D4338" s="327">
        <f>IF($B4338="","",COUNTIF($B$6:$B4338,$B4338))</f>
        <v>7</v>
      </c>
      <c r="E4338" s="430">
        <v>774279</v>
      </c>
      <c r="F4338" s="362" t="s">
        <v>1427</v>
      </c>
      <c r="G4338" s="327" t="s">
        <v>155</v>
      </c>
      <c r="H4338" s="361"/>
      <c r="I4338" s="411" t="s">
        <v>1354</v>
      </c>
      <c r="J4338" s="345"/>
      <c r="K4338" s="327"/>
      <c r="L4338" s="389">
        <f t="shared" si="355"/>
        <v>216550.6</v>
      </c>
      <c r="M4338" s="371"/>
      <c r="N4338" s="355" t="str">
        <f t="shared" si="353"/>
        <v>PK</v>
      </c>
      <c r="O4338" s="345"/>
      <c r="P4338" s="392"/>
      <c r="Q4338" s="441">
        <v>9.31</v>
      </c>
      <c r="R4338" s="441"/>
      <c r="S4338" s="351"/>
      <c r="T4338" s="351"/>
      <c r="U4338" s="329" t="str">
        <f>IF($N4338=$N$4,IFERROR(INDEX(DanhMuc!$E$154:$E$165,MATCH(MID($B4338,4,2),DanhMuc!$B$154:$B$165,0)),""),"")</f>
        <v/>
      </c>
      <c r="V4338" s="361"/>
      <c r="W4338" s="345"/>
      <c r="X4338" s="329" t="str">
        <f t="shared" si="354"/>
        <v>RT</v>
      </c>
      <c r="Y4338" s="1128" t="s">
        <v>3380</v>
      </c>
      <c r="Z4338" s="1128" t="s">
        <v>3381</v>
      </c>
      <c r="AA4338" s="1128" t="s">
        <v>3384</v>
      </c>
      <c r="AB4338" s="20"/>
      <c r="AC4338" s="73"/>
    </row>
    <row r="4339" spans="1:29">
      <c r="A4339" s="327" t="str">
        <f>IF(AND($B4339&lt;&gt;"",$C4339&lt;&gt;""),MAX($A$1556:A4314)+1,"")</f>
        <v/>
      </c>
      <c r="B4339" s="361" t="s">
        <v>2850</v>
      </c>
      <c r="C4339" s="360"/>
      <c r="D4339" s="327">
        <f>IF($B4339="","",COUNTIF($B$6:$B4339,$B4339))</f>
        <v>8</v>
      </c>
      <c r="E4339" s="430">
        <v>616040</v>
      </c>
      <c r="F4339" s="362" t="s">
        <v>1405</v>
      </c>
      <c r="G4339" s="327" t="s">
        <v>155</v>
      </c>
      <c r="H4339" s="361"/>
      <c r="I4339" s="327">
        <v>6</v>
      </c>
      <c r="J4339" s="345"/>
      <c r="K4339" s="327"/>
      <c r="L4339" s="389">
        <f t="shared" si="355"/>
        <v>62104.2</v>
      </c>
      <c r="M4339" s="371"/>
      <c r="N4339" s="355" t="str">
        <f t="shared" si="353"/>
        <v>PK</v>
      </c>
      <c r="O4339" s="345" t="s">
        <v>1705</v>
      </c>
      <c r="P4339" s="392"/>
      <c r="Q4339" s="441">
        <v>2.67</v>
      </c>
      <c r="R4339" s="441"/>
      <c r="S4339" s="351"/>
      <c r="T4339" s="351"/>
      <c r="U4339" s="329" t="str">
        <f>IF($N4339=$N$4,IFERROR(INDEX(DanhMuc!$E$154:$E$165,MATCH(MID($B4339,4,2),DanhMuc!$B$154:$B$165,0)),""),"")</f>
        <v/>
      </c>
      <c r="V4339" s="361"/>
      <c r="W4339" s="345"/>
      <c r="X4339" s="329" t="str">
        <f t="shared" si="354"/>
        <v>RT</v>
      </c>
      <c r="Y4339" s="1128" t="s">
        <v>3380</v>
      </c>
      <c r="Z4339" s="1128" t="s">
        <v>3381</v>
      </c>
      <c r="AA4339" s="1128" t="s">
        <v>3384</v>
      </c>
      <c r="AB4339" s="20"/>
      <c r="AC4339" s="73"/>
    </row>
    <row r="4340" spans="1:29" ht="25">
      <c r="A4340" s="327" t="str">
        <f>IF(AND($B4340&lt;&gt;"",$C4340&lt;&gt;""),MAX($A$1556:A4315)+1,"")</f>
        <v/>
      </c>
      <c r="B4340" s="361" t="s">
        <v>2850</v>
      </c>
      <c r="C4340" s="360"/>
      <c r="D4340" s="327">
        <f>IF($B4340="","",COUNTIF($B$6:$B4340,$B4340))</f>
        <v>9</v>
      </c>
      <c r="E4340" s="430">
        <v>629551</v>
      </c>
      <c r="F4340" s="362" t="s">
        <v>1936</v>
      </c>
      <c r="G4340" s="327" t="s">
        <v>155</v>
      </c>
      <c r="H4340" s="361"/>
      <c r="I4340" s="411" t="s">
        <v>1355</v>
      </c>
      <c r="J4340" s="345"/>
      <c r="K4340" s="327"/>
      <c r="L4340" s="389">
        <f t="shared" si="355"/>
        <v>31168.400000000001</v>
      </c>
      <c r="M4340" s="371"/>
      <c r="N4340" s="355" t="str">
        <f t="shared" si="353"/>
        <v>PK</v>
      </c>
      <c r="O4340" s="345"/>
      <c r="P4340" s="392"/>
      <c r="Q4340" s="441">
        <v>1.34</v>
      </c>
      <c r="R4340" s="441"/>
      <c r="S4340" s="351"/>
      <c r="T4340" s="351"/>
      <c r="U4340" s="329" t="str">
        <f>IF($N4340=$N$4,IFERROR(INDEX(DanhMuc!$E$154:$E$165,MATCH(MID($B4340,4,2),DanhMuc!$B$154:$B$165,0)),""),"")</f>
        <v/>
      </c>
      <c r="V4340" s="361"/>
      <c r="W4340" s="345"/>
      <c r="X4340" s="329" t="str">
        <f t="shared" si="354"/>
        <v>RT</v>
      </c>
      <c r="Y4340" s="1128" t="s">
        <v>3380</v>
      </c>
      <c r="Z4340" s="1128" t="s">
        <v>3381</v>
      </c>
      <c r="AA4340" s="1128" t="s">
        <v>3384</v>
      </c>
      <c r="AB4340" s="20"/>
      <c r="AC4340" s="73"/>
    </row>
    <row r="4341" spans="1:29">
      <c r="A4341" s="327" t="str">
        <f>IF(AND($B4341&lt;&gt;"",$C4341&lt;&gt;""),MAX($A$1556:A4316)+1,"")</f>
        <v/>
      </c>
      <c r="B4341" s="361" t="s">
        <v>2850</v>
      </c>
      <c r="C4341" s="360"/>
      <c r="D4341" s="327">
        <f>IF($B4341="","",COUNTIF($B$6:$B4341,$B4341))</f>
        <v>10</v>
      </c>
      <c r="E4341" s="411">
        <v>221847</v>
      </c>
      <c r="F4341" s="432" t="s">
        <v>1374</v>
      </c>
      <c r="G4341" s="410" t="s">
        <v>155</v>
      </c>
      <c r="H4341" s="361"/>
      <c r="I4341" s="327">
        <v>6</v>
      </c>
      <c r="J4341" s="345"/>
      <c r="K4341" s="327"/>
      <c r="L4341" s="356">
        <v>1000</v>
      </c>
      <c r="M4341" s="371"/>
      <c r="N4341" s="355" t="str">
        <f t="shared" si="353"/>
        <v>PK</v>
      </c>
      <c r="O4341" s="345"/>
      <c r="P4341" s="392"/>
      <c r="Q4341" s="356">
        <v>1000</v>
      </c>
      <c r="R4341" s="441"/>
      <c r="S4341" s="351"/>
      <c r="T4341" s="351"/>
      <c r="U4341" s="329" t="str">
        <f>IF($N4341=$N$4,IFERROR(INDEX(DanhMuc!$E$154:$E$165,MATCH(MID($B4341,4,2),DanhMuc!$B$154:$B$165,0)),""),"")</f>
        <v/>
      </c>
      <c r="V4341" s="361"/>
      <c r="W4341" s="345"/>
      <c r="X4341" s="329" t="str">
        <f t="shared" si="354"/>
        <v>RT</v>
      </c>
      <c r="Y4341" s="1128" t="s">
        <v>3380</v>
      </c>
      <c r="Z4341" s="1128" t="s">
        <v>3381</v>
      </c>
      <c r="AA4341" s="1128" t="s">
        <v>3384</v>
      </c>
      <c r="AB4341" s="20"/>
      <c r="AC4341" s="73"/>
    </row>
    <row r="4342" spans="1:29">
      <c r="A4342" s="327" t="str">
        <f>IF(AND($B4342&lt;&gt;"",$C4342&lt;&gt;""),MAX($A$1556:A4317)+1,"")</f>
        <v/>
      </c>
      <c r="B4342" s="361" t="s">
        <v>2850</v>
      </c>
      <c r="C4342" s="360"/>
      <c r="D4342" s="327">
        <f>IF($B4342="","",COUNTIF($B$6:$B4342,$B4342))</f>
        <v>11</v>
      </c>
      <c r="E4342" s="411">
        <v>221848</v>
      </c>
      <c r="F4342" s="432" t="s">
        <v>1375</v>
      </c>
      <c r="G4342" s="410" t="s">
        <v>155</v>
      </c>
      <c r="H4342" s="361"/>
      <c r="I4342" s="327">
        <v>3</v>
      </c>
      <c r="J4342" s="345"/>
      <c r="K4342" s="327"/>
      <c r="L4342" s="356">
        <v>10100</v>
      </c>
      <c r="M4342" s="371"/>
      <c r="N4342" s="355" t="str">
        <f t="shared" si="353"/>
        <v>PK</v>
      </c>
      <c r="O4342" s="345"/>
      <c r="P4342" s="392"/>
      <c r="Q4342" s="356">
        <v>10100</v>
      </c>
      <c r="R4342" s="441"/>
      <c r="S4342" s="351"/>
      <c r="T4342" s="351"/>
      <c r="U4342" s="329" t="str">
        <f>IF($N4342=$N$4,IFERROR(INDEX(DanhMuc!$E$154:$E$165,MATCH(MID($B4342,4,2),DanhMuc!$B$154:$B$165,0)),""),"")</f>
        <v/>
      </c>
      <c r="V4342" s="361"/>
      <c r="W4342" s="345"/>
      <c r="X4342" s="329" t="str">
        <f t="shared" si="354"/>
        <v>RT</v>
      </c>
      <c r="Y4342" s="1128" t="s">
        <v>3380</v>
      </c>
      <c r="Z4342" s="1128" t="s">
        <v>3381</v>
      </c>
      <c r="AA4342" s="1128" t="s">
        <v>3384</v>
      </c>
      <c r="AB4342" s="20"/>
      <c r="AC4342" s="73"/>
    </row>
    <row r="4343" spans="1:29" ht="26">
      <c r="A4343" s="327">
        <f>IF(AND($B4343&lt;&gt;"",$C4343&lt;&gt;""),MAX($A$1556:A4318)+1,"")</f>
        <v>199</v>
      </c>
      <c r="B4343" s="359" t="s">
        <v>2851</v>
      </c>
      <c r="C4343" s="370" t="s">
        <v>1590</v>
      </c>
      <c r="D4343" s="327">
        <f>IF($B4343="","",COUNTIF($B$6:$B4343,$B4343))</f>
        <v>1</v>
      </c>
      <c r="E4343" s="430">
        <v>617437</v>
      </c>
      <c r="F4343" s="362" t="s">
        <v>1422</v>
      </c>
      <c r="G4343" s="327" t="s">
        <v>155</v>
      </c>
      <c r="H4343" s="361"/>
      <c r="I4343" s="327">
        <v>3</v>
      </c>
      <c r="J4343" s="361"/>
      <c r="K4343" s="327"/>
      <c r="L4343" s="389">
        <f t="shared" si="355"/>
        <v>99320.2</v>
      </c>
      <c r="M4343" s="371"/>
      <c r="N4343" s="355" t="str">
        <f t="shared" si="353"/>
        <v>PK</v>
      </c>
      <c r="O4343" s="345" t="s">
        <v>1788</v>
      </c>
      <c r="P4343" s="392"/>
      <c r="Q4343" s="441">
        <v>4.2699999999999996</v>
      </c>
      <c r="R4343" s="441"/>
      <c r="S4343" s="351"/>
      <c r="T4343" s="351"/>
      <c r="U4343" s="329" t="str">
        <f>IF($N4343=$N$4,IFERROR(INDEX(DanhMuc!$E$154:$E$165,MATCH(MID($B4343,4,2),DanhMuc!$B$154:$B$165,0)),""),"")</f>
        <v/>
      </c>
      <c r="V4343" s="361"/>
      <c r="W4343" s="345"/>
      <c r="X4343" s="329" t="str">
        <f t="shared" si="354"/>
        <v>RT</v>
      </c>
      <c r="Y4343" s="1128" t="s">
        <v>3380</v>
      </c>
      <c r="Z4343" s="1128" t="s">
        <v>3381</v>
      </c>
      <c r="AA4343" s="1128" t="s">
        <v>3384</v>
      </c>
      <c r="AB4343" s="20"/>
      <c r="AC4343" s="73"/>
    </row>
    <row r="4344" spans="1:29">
      <c r="A4344" s="327" t="str">
        <f>IF(AND($B4344&lt;&gt;"",$C4344&lt;&gt;""),MAX($A$1556:A4319)+1,"")</f>
        <v/>
      </c>
      <c r="B4344" s="361" t="s">
        <v>2851</v>
      </c>
      <c r="C4344" s="360"/>
      <c r="D4344" s="327">
        <f>IF($B4344="","",COUNTIF($B$6:$B4344,$B4344))</f>
        <v>2</v>
      </c>
      <c r="E4344" s="430">
        <v>570810</v>
      </c>
      <c r="F4344" s="362" t="s">
        <v>1401</v>
      </c>
      <c r="G4344" s="327" t="s">
        <v>155</v>
      </c>
      <c r="H4344" s="361"/>
      <c r="I4344" s="327">
        <v>3</v>
      </c>
      <c r="J4344" s="345"/>
      <c r="K4344" s="327"/>
      <c r="L4344" s="389">
        <f t="shared" si="355"/>
        <v>120952</v>
      </c>
      <c r="M4344" s="371"/>
      <c r="N4344" s="355" t="str">
        <f t="shared" si="353"/>
        <v>PK</v>
      </c>
      <c r="O4344" s="345" t="s">
        <v>1781</v>
      </c>
      <c r="P4344" s="392"/>
      <c r="Q4344" s="441">
        <v>5.2</v>
      </c>
      <c r="R4344" s="441"/>
      <c r="S4344" s="351"/>
      <c r="T4344" s="351"/>
      <c r="U4344" s="329" t="str">
        <f>IF($N4344=$N$4,IFERROR(INDEX(DanhMuc!$E$154:$E$165,MATCH(MID($B4344,4,2),DanhMuc!$B$154:$B$165,0)),""),"")</f>
        <v/>
      </c>
      <c r="V4344" s="361"/>
      <c r="W4344" s="345"/>
      <c r="X4344" s="329" t="str">
        <f t="shared" si="354"/>
        <v>RT</v>
      </c>
      <c r="Y4344" s="1128" t="s">
        <v>3380</v>
      </c>
      <c r="Z4344" s="1128" t="s">
        <v>3381</v>
      </c>
      <c r="AA4344" s="1128" t="s">
        <v>3384</v>
      </c>
      <c r="AB4344" s="20"/>
      <c r="AC4344" s="73"/>
    </row>
    <row r="4345" spans="1:29">
      <c r="A4345" s="327" t="str">
        <f>IF(AND($B4345&lt;&gt;"",$C4345&lt;&gt;""),MAX($A$1556:A4320)+1,"")</f>
        <v/>
      </c>
      <c r="B4345" s="361" t="s">
        <v>2851</v>
      </c>
      <c r="C4345" s="360"/>
      <c r="D4345" s="327">
        <f>IF($B4345="","",COUNTIF($B$6:$B4345,$B4345))</f>
        <v>3</v>
      </c>
      <c r="E4345" s="430">
        <v>774275</v>
      </c>
      <c r="F4345" s="362" t="s">
        <v>1423</v>
      </c>
      <c r="G4345" s="327" t="s">
        <v>155</v>
      </c>
      <c r="H4345" s="361"/>
      <c r="I4345" s="411" t="s">
        <v>1356</v>
      </c>
      <c r="J4345" s="345"/>
      <c r="K4345" s="327"/>
      <c r="L4345" s="389">
        <f t="shared" si="355"/>
        <v>213759.4</v>
      </c>
      <c r="M4345" s="371"/>
      <c r="N4345" s="355" t="str">
        <f t="shared" si="353"/>
        <v>PK</v>
      </c>
      <c r="O4345" s="345"/>
      <c r="P4345" s="392"/>
      <c r="Q4345" s="441">
        <v>9.19</v>
      </c>
      <c r="R4345" s="441"/>
      <c r="S4345" s="351"/>
      <c r="T4345" s="351"/>
      <c r="U4345" s="329" t="str">
        <f>IF($N4345=$N$4,IFERROR(INDEX(DanhMuc!$E$154:$E$165,MATCH(MID($B4345,4,2),DanhMuc!$B$154:$B$165,0)),""),"")</f>
        <v/>
      </c>
      <c r="V4345" s="361"/>
      <c r="W4345" s="345"/>
      <c r="X4345" s="329" t="str">
        <f t="shared" si="354"/>
        <v>RT</v>
      </c>
      <c r="Y4345" s="1128" t="s">
        <v>3380</v>
      </c>
      <c r="Z4345" s="1128" t="s">
        <v>3381</v>
      </c>
      <c r="AA4345" s="1128" t="s">
        <v>3384</v>
      </c>
      <c r="AB4345" s="20"/>
      <c r="AC4345" s="73"/>
    </row>
    <row r="4346" spans="1:29">
      <c r="A4346" s="327" t="str">
        <f>IF(AND($B4346&lt;&gt;"",$C4346&lt;&gt;""),MAX($A$1556:A4321)+1,"")</f>
        <v/>
      </c>
      <c r="B4346" s="361" t="s">
        <v>2851</v>
      </c>
      <c r="C4346" s="360"/>
      <c r="D4346" s="327">
        <f>IF($B4346="","",COUNTIF($B$6:$B4346,$B4346))</f>
        <v>4</v>
      </c>
      <c r="E4346" s="430">
        <v>774276</v>
      </c>
      <c r="F4346" s="362" t="s">
        <v>1424</v>
      </c>
      <c r="G4346" s="327" t="s">
        <v>155</v>
      </c>
      <c r="H4346" s="361"/>
      <c r="I4346" s="411" t="s">
        <v>1357</v>
      </c>
      <c r="J4346" s="345"/>
      <c r="K4346" s="327"/>
      <c r="L4346" s="389">
        <f t="shared" si="355"/>
        <v>151887.80000000002</v>
      </c>
      <c r="M4346" s="371"/>
      <c r="N4346" s="355" t="str">
        <f t="shared" si="353"/>
        <v>PK</v>
      </c>
      <c r="O4346" s="345"/>
      <c r="P4346" s="392"/>
      <c r="Q4346" s="441">
        <v>6.53</v>
      </c>
      <c r="R4346" s="441"/>
      <c r="S4346" s="351"/>
      <c r="T4346" s="351"/>
      <c r="U4346" s="329" t="str">
        <f>IF($N4346=$N$4,IFERROR(INDEX(DanhMuc!$E$154:$E$165,MATCH(MID($B4346,4,2),DanhMuc!$B$154:$B$165,0)),""),"")</f>
        <v/>
      </c>
      <c r="V4346" s="361"/>
      <c r="W4346" s="345"/>
      <c r="X4346" s="329" t="str">
        <f t="shared" si="354"/>
        <v>RT</v>
      </c>
      <c r="Y4346" s="1128" t="s">
        <v>3380</v>
      </c>
      <c r="Z4346" s="1128" t="s">
        <v>3381</v>
      </c>
      <c r="AA4346" s="1128" t="s">
        <v>3384</v>
      </c>
      <c r="AB4346" s="20"/>
      <c r="AC4346" s="73"/>
    </row>
    <row r="4347" spans="1:29">
      <c r="A4347" s="327" t="str">
        <f>IF(AND($B4347&lt;&gt;"",$C4347&lt;&gt;""),MAX($A$1556:A4322)+1,"")</f>
        <v/>
      </c>
      <c r="B4347" s="361" t="s">
        <v>2851</v>
      </c>
      <c r="C4347" s="360"/>
      <c r="D4347" s="327">
        <f>IF($B4347="","",COUNTIF($B$6:$B4347,$B4347))</f>
        <v>5</v>
      </c>
      <c r="E4347" s="430">
        <v>774277</v>
      </c>
      <c r="F4347" s="362" t="s">
        <v>1425</v>
      </c>
      <c r="G4347" s="327" t="s">
        <v>155</v>
      </c>
      <c r="H4347" s="361"/>
      <c r="I4347" s="411" t="s">
        <v>1358</v>
      </c>
      <c r="J4347" s="345"/>
      <c r="K4347" s="327"/>
      <c r="L4347" s="389">
        <f t="shared" si="355"/>
        <v>170495.8</v>
      </c>
      <c r="M4347" s="371"/>
      <c r="N4347" s="355" t="str">
        <f t="shared" si="353"/>
        <v>PK</v>
      </c>
      <c r="O4347" s="345"/>
      <c r="P4347" s="392"/>
      <c r="Q4347" s="441">
        <v>7.33</v>
      </c>
      <c r="R4347" s="441"/>
      <c r="S4347" s="351"/>
      <c r="T4347" s="351"/>
      <c r="U4347" s="329" t="str">
        <f>IF($N4347=$N$4,IFERROR(INDEX(DanhMuc!$E$154:$E$165,MATCH(MID($B4347,4,2),DanhMuc!$B$154:$B$165,0)),""),"")</f>
        <v/>
      </c>
      <c r="V4347" s="361"/>
      <c r="W4347" s="345"/>
      <c r="X4347" s="329" t="str">
        <f t="shared" si="354"/>
        <v>RT</v>
      </c>
      <c r="Y4347" s="1128" t="s">
        <v>3380</v>
      </c>
      <c r="Z4347" s="1128" t="s">
        <v>3381</v>
      </c>
      <c r="AA4347" s="1128" t="s">
        <v>3384</v>
      </c>
      <c r="AB4347" s="20"/>
      <c r="AC4347" s="73"/>
    </row>
    <row r="4348" spans="1:29">
      <c r="A4348" s="327" t="str">
        <f>IF(AND($B4348&lt;&gt;"",$C4348&lt;&gt;""),MAX($A$1556:A4323)+1,"")</f>
        <v/>
      </c>
      <c r="B4348" s="361" t="s">
        <v>2851</v>
      </c>
      <c r="C4348" s="360"/>
      <c r="D4348" s="327">
        <f>IF($B4348="","",COUNTIF($B$6:$B4348,$B4348))</f>
        <v>6</v>
      </c>
      <c r="E4348" s="430">
        <v>774278</v>
      </c>
      <c r="F4348" s="362" t="s">
        <v>1426</v>
      </c>
      <c r="G4348" s="327" t="s">
        <v>155</v>
      </c>
      <c r="H4348" s="361"/>
      <c r="I4348" s="411" t="s">
        <v>1359</v>
      </c>
      <c r="J4348" s="345"/>
      <c r="K4348" s="327"/>
      <c r="L4348" s="389">
        <f t="shared" si="355"/>
        <v>195151.40000000002</v>
      </c>
      <c r="M4348" s="371"/>
      <c r="N4348" s="355" t="str">
        <f t="shared" si="353"/>
        <v>PK</v>
      </c>
      <c r="O4348" s="345"/>
      <c r="P4348" s="392"/>
      <c r="Q4348" s="441">
        <v>8.39</v>
      </c>
      <c r="R4348" s="441"/>
      <c r="S4348" s="351"/>
      <c r="T4348" s="351"/>
      <c r="U4348" s="329" t="str">
        <f>IF($N4348=$N$4,IFERROR(INDEX(DanhMuc!$E$154:$E$165,MATCH(MID($B4348,4,2),DanhMuc!$B$154:$B$165,0)),""),"")</f>
        <v/>
      </c>
      <c r="V4348" s="361"/>
      <c r="W4348" s="345"/>
      <c r="X4348" s="329" t="str">
        <f t="shared" si="354"/>
        <v>RT</v>
      </c>
      <c r="Y4348" s="1128" t="s">
        <v>3380</v>
      </c>
      <c r="Z4348" s="1128" t="s">
        <v>3381</v>
      </c>
      <c r="AA4348" s="1128" t="s">
        <v>3384</v>
      </c>
      <c r="AB4348" s="20"/>
      <c r="AC4348" s="73"/>
    </row>
    <row r="4349" spans="1:29">
      <c r="A4349" s="327" t="str">
        <f>IF(AND($B4349&lt;&gt;"",$C4349&lt;&gt;""),MAX($A$1556:A4324)+1,"")</f>
        <v/>
      </c>
      <c r="B4349" s="361" t="s">
        <v>2851</v>
      </c>
      <c r="C4349" s="360"/>
      <c r="D4349" s="327">
        <f>IF($B4349="","",COUNTIF($B$6:$B4349,$B4349))</f>
        <v>7</v>
      </c>
      <c r="E4349" s="430">
        <v>774279</v>
      </c>
      <c r="F4349" s="362" t="s">
        <v>1427</v>
      </c>
      <c r="G4349" s="327" t="s">
        <v>155</v>
      </c>
      <c r="H4349" s="361"/>
      <c r="I4349" s="411" t="s">
        <v>1360</v>
      </c>
      <c r="J4349" s="345"/>
      <c r="K4349" s="327"/>
      <c r="L4349" s="389">
        <f t="shared" si="355"/>
        <v>216550.6</v>
      </c>
      <c r="M4349" s="371"/>
      <c r="N4349" s="355" t="str">
        <f t="shared" si="353"/>
        <v>PK</v>
      </c>
      <c r="O4349" s="345"/>
      <c r="P4349" s="392"/>
      <c r="Q4349" s="441">
        <v>9.31</v>
      </c>
      <c r="R4349" s="441"/>
      <c r="S4349" s="351"/>
      <c r="T4349" s="351"/>
      <c r="U4349" s="329" t="str">
        <f>IF($N4349=$N$4,IFERROR(INDEX(DanhMuc!$E$154:$E$165,MATCH(MID($B4349,4,2),DanhMuc!$B$154:$B$165,0)),""),"")</f>
        <v/>
      </c>
      <c r="V4349" s="361"/>
      <c r="W4349" s="345"/>
      <c r="X4349" s="329" t="str">
        <f t="shared" si="354"/>
        <v>RT</v>
      </c>
      <c r="Y4349" s="1128" t="s">
        <v>3380</v>
      </c>
      <c r="Z4349" s="1128" t="s">
        <v>3381</v>
      </c>
      <c r="AA4349" s="1128" t="s">
        <v>3384</v>
      </c>
      <c r="AB4349" s="20"/>
      <c r="AC4349" s="73"/>
    </row>
    <row r="4350" spans="1:29">
      <c r="A4350" s="327" t="str">
        <f>IF(AND($B4350&lt;&gt;"",$C4350&lt;&gt;""),MAX($A$1556:A4325)+1,"")</f>
        <v/>
      </c>
      <c r="B4350" s="361" t="s">
        <v>2851</v>
      </c>
      <c r="C4350" s="360"/>
      <c r="D4350" s="327">
        <f>IF($B4350="","",COUNTIF($B$6:$B4350,$B4350))</f>
        <v>8</v>
      </c>
      <c r="E4350" s="430">
        <v>616040</v>
      </c>
      <c r="F4350" s="362" t="s">
        <v>1405</v>
      </c>
      <c r="G4350" s="327" t="s">
        <v>155</v>
      </c>
      <c r="H4350" s="361"/>
      <c r="I4350" s="327">
        <v>8</v>
      </c>
      <c r="J4350" s="345"/>
      <c r="K4350" s="327"/>
      <c r="L4350" s="389">
        <f t="shared" si="355"/>
        <v>62104.2</v>
      </c>
      <c r="M4350" s="371"/>
      <c r="N4350" s="355" t="str">
        <f t="shared" si="353"/>
        <v>PK</v>
      </c>
      <c r="O4350" s="345" t="s">
        <v>1705</v>
      </c>
      <c r="P4350" s="392"/>
      <c r="Q4350" s="441">
        <v>2.67</v>
      </c>
      <c r="R4350" s="441"/>
      <c r="S4350" s="351"/>
      <c r="T4350" s="351"/>
      <c r="U4350" s="329" t="str">
        <f>IF($N4350=$N$4,IFERROR(INDEX(DanhMuc!$E$154:$E$165,MATCH(MID($B4350,4,2),DanhMuc!$B$154:$B$165,0)),""),"")</f>
        <v/>
      </c>
      <c r="V4350" s="361"/>
      <c r="W4350" s="345"/>
      <c r="X4350" s="329" t="str">
        <f t="shared" si="354"/>
        <v>RT</v>
      </c>
      <c r="Y4350" s="1128" t="s">
        <v>3380</v>
      </c>
      <c r="Z4350" s="1128" t="s">
        <v>3381</v>
      </c>
      <c r="AA4350" s="1128" t="s">
        <v>3384</v>
      </c>
      <c r="AB4350" s="20"/>
      <c r="AC4350" s="73"/>
    </row>
    <row r="4351" spans="1:29" ht="25">
      <c r="A4351" s="327" t="str">
        <f>IF(AND($B4351&lt;&gt;"",$C4351&lt;&gt;""),MAX($A$1556:A4326)+1,"")</f>
        <v/>
      </c>
      <c r="B4351" s="361" t="s">
        <v>2851</v>
      </c>
      <c r="C4351" s="360"/>
      <c r="D4351" s="327">
        <f>IF($B4351="","",COUNTIF($B$6:$B4351,$B4351))</f>
        <v>9</v>
      </c>
      <c r="E4351" s="430">
        <v>629551</v>
      </c>
      <c r="F4351" s="362" t="s">
        <v>1936</v>
      </c>
      <c r="G4351" s="327" t="s">
        <v>155</v>
      </c>
      <c r="H4351" s="361"/>
      <c r="I4351" s="411" t="s">
        <v>1361</v>
      </c>
      <c r="J4351" s="345"/>
      <c r="K4351" s="327"/>
      <c r="L4351" s="389">
        <f t="shared" si="355"/>
        <v>31168.400000000001</v>
      </c>
      <c r="M4351" s="371"/>
      <c r="N4351" s="355" t="str">
        <f t="shared" si="353"/>
        <v>PK</v>
      </c>
      <c r="O4351" s="345"/>
      <c r="P4351" s="392"/>
      <c r="Q4351" s="441">
        <v>1.34</v>
      </c>
      <c r="R4351" s="441"/>
      <c r="S4351" s="351"/>
      <c r="T4351" s="351"/>
      <c r="U4351" s="329" t="str">
        <f>IF($N4351=$N$4,IFERROR(INDEX(DanhMuc!$E$154:$E$165,MATCH(MID($B4351,4,2),DanhMuc!$B$154:$B$165,0)),""),"")</f>
        <v/>
      </c>
      <c r="V4351" s="361"/>
      <c r="W4351" s="345"/>
      <c r="X4351" s="329" t="str">
        <f t="shared" si="354"/>
        <v>RT</v>
      </c>
      <c r="Y4351" s="1128" t="s">
        <v>3380</v>
      </c>
      <c r="Z4351" s="1128" t="s">
        <v>3381</v>
      </c>
      <c r="AA4351" s="1128" t="s">
        <v>3384</v>
      </c>
      <c r="AB4351" s="20"/>
      <c r="AC4351" s="73"/>
    </row>
    <row r="4352" spans="1:29">
      <c r="A4352" s="327" t="str">
        <f>IF(AND($B4352&lt;&gt;"",$C4352&lt;&gt;""),MAX($A$1556:A4327)+1,"")</f>
        <v/>
      </c>
      <c r="B4352" s="361" t="s">
        <v>2851</v>
      </c>
      <c r="C4352" s="360"/>
      <c r="D4352" s="327">
        <f>IF($B4352="","",COUNTIF($B$6:$B4352,$B4352))</f>
        <v>10</v>
      </c>
      <c r="E4352" s="411">
        <v>221847</v>
      </c>
      <c r="F4352" s="432" t="s">
        <v>1374</v>
      </c>
      <c r="G4352" s="410" t="s">
        <v>155</v>
      </c>
      <c r="H4352" s="361"/>
      <c r="I4352" s="327">
        <v>8</v>
      </c>
      <c r="J4352" s="345"/>
      <c r="K4352" s="327"/>
      <c r="L4352" s="356">
        <v>1000</v>
      </c>
      <c r="M4352" s="371"/>
      <c r="N4352" s="355" t="str">
        <f t="shared" si="353"/>
        <v>PK</v>
      </c>
      <c r="O4352" s="345"/>
      <c r="P4352" s="392"/>
      <c r="Q4352" s="356">
        <v>1000</v>
      </c>
      <c r="R4352" s="441"/>
      <c r="S4352" s="351"/>
      <c r="T4352" s="351"/>
      <c r="U4352" s="329" t="str">
        <f>IF($N4352=$N$4,IFERROR(INDEX(DanhMuc!$E$154:$E$165,MATCH(MID($B4352,4,2),DanhMuc!$B$154:$B$165,0)),""),"")</f>
        <v/>
      </c>
      <c r="V4352" s="361"/>
      <c r="W4352" s="345"/>
      <c r="X4352" s="329" t="str">
        <f t="shared" si="354"/>
        <v>RT</v>
      </c>
      <c r="Y4352" s="1128" t="s">
        <v>3380</v>
      </c>
      <c r="Z4352" s="1128" t="s">
        <v>3381</v>
      </c>
      <c r="AA4352" s="1128" t="s">
        <v>3384</v>
      </c>
      <c r="AB4352" s="20"/>
      <c r="AC4352" s="73"/>
    </row>
    <row r="4353" spans="1:29">
      <c r="A4353" s="327" t="str">
        <f>IF(AND($B4353&lt;&gt;"",$C4353&lt;&gt;""),MAX($A$1556:A4328)+1,"")</f>
        <v/>
      </c>
      <c r="B4353" s="361" t="s">
        <v>2851</v>
      </c>
      <c r="C4353" s="360"/>
      <c r="D4353" s="327">
        <f>IF($B4353="","",COUNTIF($B$6:$B4353,$B4353))</f>
        <v>11</v>
      </c>
      <c r="E4353" s="411">
        <v>221848</v>
      </c>
      <c r="F4353" s="432" t="s">
        <v>1375</v>
      </c>
      <c r="G4353" s="410" t="s">
        <v>155</v>
      </c>
      <c r="H4353" s="361"/>
      <c r="I4353" s="327">
        <v>4</v>
      </c>
      <c r="J4353" s="345"/>
      <c r="K4353" s="327"/>
      <c r="L4353" s="356">
        <v>10100</v>
      </c>
      <c r="M4353" s="371"/>
      <c r="N4353" s="355" t="str">
        <f t="shared" si="353"/>
        <v>PK</v>
      </c>
      <c r="O4353" s="345"/>
      <c r="P4353" s="392"/>
      <c r="Q4353" s="356">
        <v>10100</v>
      </c>
      <c r="R4353" s="441"/>
      <c r="S4353" s="351"/>
      <c r="T4353" s="351"/>
      <c r="U4353" s="329" t="str">
        <f>IF($N4353=$N$4,IFERROR(INDEX(DanhMuc!$E$154:$E$165,MATCH(MID($B4353,4,2),DanhMuc!$B$154:$B$165,0)),""),"")</f>
        <v/>
      </c>
      <c r="V4353" s="361"/>
      <c r="W4353" s="345"/>
      <c r="X4353" s="329" t="str">
        <f t="shared" si="354"/>
        <v>RT</v>
      </c>
      <c r="Y4353" s="1128" t="s">
        <v>3380</v>
      </c>
      <c r="Z4353" s="1128" t="s">
        <v>3381</v>
      </c>
      <c r="AA4353" s="1128" t="s">
        <v>3384</v>
      </c>
      <c r="AB4353" s="20"/>
      <c r="AC4353" s="73"/>
    </row>
    <row r="4354" spans="1:29">
      <c r="A4354" s="327" t="str">
        <f>IF(AND($B4354&lt;&gt;"",$C4354&lt;&gt;""),MAX($A$1556:A4329)+1,"")</f>
        <v/>
      </c>
      <c r="B4354" s="361"/>
      <c r="C4354" s="360"/>
      <c r="D4354" s="327" t="str">
        <f>IF($B4354="","",COUNTIF($B$6:$B4354,$B4354))</f>
        <v/>
      </c>
      <c r="E4354" s="430"/>
      <c r="F4354" s="362"/>
      <c r="G4354" s="327"/>
      <c r="H4354" s="361"/>
      <c r="I4354" s="327"/>
      <c r="J4354" s="345"/>
      <c r="K4354" s="327"/>
      <c r="L4354" s="389"/>
      <c r="M4354" s="371"/>
      <c r="N4354" s="355" t="str">
        <f t="shared" si="353"/>
        <v>PK</v>
      </c>
      <c r="O4354" s="345"/>
      <c r="P4354" s="392"/>
      <c r="Q4354" s="327"/>
      <c r="R4354" s="351"/>
      <c r="S4354" s="351"/>
      <c r="T4354" s="351"/>
      <c r="U4354" s="329" t="str">
        <f>IF($N4354=$N$4,IFERROR(INDEX(DanhMuc!$E$154:$E$165,MATCH(MID($B4354,4,2),DanhMuc!$B$154:$B$165,0)),""),"")</f>
        <v/>
      </c>
      <c r="V4354" s="361"/>
      <c r="W4354" s="345"/>
      <c r="X4354" s="329" t="str">
        <f t="shared" si="354"/>
        <v/>
      </c>
      <c r="Y4354" s="1128" t="s">
        <v>3380</v>
      </c>
      <c r="Z4354" s="1128" t="s">
        <v>3381</v>
      </c>
      <c r="AA4354" s="1128" t="s">
        <v>3384</v>
      </c>
      <c r="AB4354" s="20"/>
      <c r="AC4354" s="73"/>
    </row>
    <row r="4355" spans="1:29">
      <c r="A4355" s="327" t="str">
        <f>IF(AND($B4355&lt;&gt;"",$C4355&lt;&gt;""),MAX($A$1556:A4330)+1,"")</f>
        <v/>
      </c>
      <c r="B4355" s="361"/>
      <c r="C4355" s="360"/>
      <c r="D4355" s="327" t="str">
        <f>IF($B4355="","",COUNTIF($B$6:$B4355,$B4355))</f>
        <v/>
      </c>
      <c r="E4355" s="430"/>
      <c r="F4355" s="431"/>
      <c r="G4355" s="351"/>
      <c r="H4355" s="361"/>
      <c r="I4355" s="327"/>
      <c r="J4355" s="345"/>
      <c r="K4355" s="327"/>
      <c r="L4355" s="389"/>
      <c r="M4355" s="371"/>
      <c r="N4355" s="355" t="str">
        <f t="shared" si="353"/>
        <v>PK</v>
      </c>
      <c r="O4355" s="345"/>
      <c r="P4355" s="392"/>
      <c r="Q4355" s="327"/>
      <c r="R4355" s="351"/>
      <c r="S4355" s="351"/>
      <c r="T4355" s="351"/>
      <c r="U4355" s="329" t="str">
        <f>IF($N4355=$N$4,IFERROR(INDEX(DanhMuc!$E$154:$E$165,MATCH(MID($B4355,4,2),DanhMuc!$B$154:$B$165,0)),""),"")</f>
        <v/>
      </c>
      <c r="V4355" s="361"/>
      <c r="W4355" s="345"/>
      <c r="X4355" s="329" t="str">
        <f t="shared" si="354"/>
        <v/>
      </c>
      <c r="Y4355" s="1128" t="s">
        <v>3380</v>
      </c>
      <c r="Z4355" s="1128" t="s">
        <v>3381</v>
      </c>
      <c r="AA4355" s="1128" t="s">
        <v>3384</v>
      </c>
      <c r="AB4355" s="20"/>
      <c r="AC4355" s="73"/>
    </row>
    <row r="4356" spans="1:29" s="21" customFormat="1">
      <c r="A4356" s="327">
        <f>IF(AND($B4356&lt;&gt;"",$C4356&lt;&gt;""),MAX($A$1556:A4331)+1,"")</f>
        <v>200</v>
      </c>
      <c r="B4356" s="394" t="s">
        <v>251</v>
      </c>
      <c r="C4356" s="395" t="s">
        <v>251</v>
      </c>
      <c r="D4356" s="396"/>
      <c r="E4356" s="396"/>
      <c r="F4356" s="397"/>
      <c r="G4356" s="396"/>
      <c r="H4356" s="351"/>
      <c r="I4356" s="396"/>
      <c r="J4356" s="396"/>
      <c r="K4356" s="393"/>
      <c r="L4356" s="389"/>
      <c r="M4356" s="398"/>
      <c r="N4356" s="355" t="str">
        <f t="shared" si="353"/>
        <v>PK</v>
      </c>
      <c r="O4356" s="394"/>
      <c r="P4356" s="351"/>
      <c r="Q4356" s="327"/>
      <c r="R4356" s="351"/>
      <c r="S4356" s="351"/>
      <c r="T4356" s="351"/>
      <c r="U4356" s="329" t="str">
        <f>IF($N4356=$N$4,IFERROR(INDEX(DanhMuc!$E$154:$E$165,MATCH(MID($B4356,4,2),DanhMuc!$B$154:$B$165,0)),""),"")</f>
        <v/>
      </c>
      <c r="V4356" s="351"/>
      <c r="W4356" s="345"/>
      <c r="X4356" s="329" t="str">
        <f t="shared" si="354"/>
        <v/>
      </c>
      <c r="Y4356" s="1128" t="s">
        <v>3380</v>
      </c>
      <c r="Z4356" s="1128" t="s">
        <v>3381</v>
      </c>
      <c r="AA4356" s="1128" t="s">
        <v>3384</v>
      </c>
      <c r="AB4356" s="20"/>
      <c r="AC4356" s="73"/>
    </row>
    <row r="4357" spans="1:29" ht="39">
      <c r="A4357" s="327">
        <f>IF(AND($B4357&lt;&gt;"",$C4357&lt;&gt;""),MAX($A$1556:A4332)+1,"")</f>
        <v>200</v>
      </c>
      <c r="B4357" s="359" t="s">
        <v>2045</v>
      </c>
      <c r="C4357" s="360" t="s">
        <v>1631</v>
      </c>
      <c r="D4357" s="327">
        <f>IF($B4357="","",COUNTIF($B$6:$B4357,$B4357))</f>
        <v>1</v>
      </c>
      <c r="E4357" s="361" t="s">
        <v>1606</v>
      </c>
      <c r="F4357" s="362" t="s">
        <v>1607</v>
      </c>
      <c r="G4357" s="327" t="s">
        <v>155</v>
      </c>
      <c r="H4357" s="327"/>
      <c r="I4357" s="327">
        <v>3</v>
      </c>
      <c r="J4357" s="361"/>
      <c r="K4357" s="327"/>
      <c r="L4357" s="389">
        <v>150000</v>
      </c>
      <c r="M4357" s="355"/>
      <c r="N4357" s="355" t="str">
        <f t="shared" si="353"/>
        <v>PK</v>
      </c>
      <c r="O4357" s="345"/>
      <c r="P4357" s="392"/>
      <c r="Q4357" s="327"/>
      <c r="R4357" s="351"/>
      <c r="S4357" s="351"/>
      <c r="T4357" s="351"/>
      <c r="U4357" s="329" t="str">
        <f>IF($N4357=$N$4,IFERROR(INDEX(DanhMuc!$E$154:$E$165,MATCH(MID($B4357,4,2),DanhMuc!$B$154:$B$165,0)),""),"")</f>
        <v/>
      </c>
      <c r="V4357" s="361"/>
      <c r="W4357" s="345"/>
      <c r="X4357" s="329" t="str">
        <f t="shared" si="354"/>
        <v>AN</v>
      </c>
      <c r="Y4357" s="1128" t="s">
        <v>3380</v>
      </c>
      <c r="Z4357" s="1128" t="s">
        <v>3381</v>
      </c>
      <c r="AA4357" s="1128" t="s">
        <v>3384</v>
      </c>
      <c r="AB4357" s="20"/>
      <c r="AC4357" s="73"/>
    </row>
    <row r="4358" spans="1:29">
      <c r="A4358" s="327" t="str">
        <f>IF(AND($B4358&lt;&gt;"",$C4358&lt;&gt;""),MAX($A$1556:A4333)+1,"")</f>
        <v/>
      </c>
      <c r="B4358" s="361" t="s">
        <v>2045</v>
      </c>
      <c r="C4358" s="360"/>
      <c r="D4358" s="327">
        <f>IF($B4358="","",COUNTIF($B$6:$B4358,$B4358))</f>
        <v>2</v>
      </c>
      <c r="E4358" s="361" t="s">
        <v>1608</v>
      </c>
      <c r="F4358" s="362" t="s">
        <v>1609</v>
      </c>
      <c r="G4358" s="327" t="s">
        <v>155</v>
      </c>
      <c r="H4358" s="327"/>
      <c r="I4358" s="327">
        <v>1</v>
      </c>
      <c r="J4358" s="359"/>
      <c r="K4358" s="327"/>
      <c r="L4358" s="389">
        <v>600000</v>
      </c>
      <c r="M4358" s="355"/>
      <c r="N4358" s="355" t="str">
        <f t="shared" si="353"/>
        <v>PK</v>
      </c>
      <c r="O4358" s="345"/>
      <c r="P4358" s="392"/>
      <c r="Q4358" s="327"/>
      <c r="R4358" s="351"/>
      <c r="S4358" s="351"/>
      <c r="T4358" s="351"/>
      <c r="U4358" s="329" t="str">
        <f>IF($N4358=$N$4,IFERROR(INDEX(DanhMuc!$E$154:$E$165,MATCH(MID($B4358,4,2),DanhMuc!$B$154:$B$165,0)),""),"")</f>
        <v/>
      </c>
      <c r="V4358" s="361"/>
      <c r="W4358" s="345"/>
      <c r="X4358" s="329" t="str">
        <f t="shared" si="354"/>
        <v>AN</v>
      </c>
      <c r="Y4358" s="1128" t="s">
        <v>3380</v>
      </c>
      <c r="Z4358" s="1128" t="s">
        <v>3381</v>
      </c>
      <c r="AA4358" s="1128" t="s">
        <v>3384</v>
      </c>
      <c r="AB4358" s="20"/>
      <c r="AC4358" s="73"/>
    </row>
    <row r="4359" spans="1:29">
      <c r="A4359" s="327" t="str">
        <f>IF(AND($B4359&lt;&gt;"",$C4359&lt;&gt;""),MAX($A$1556:A4334)+1,"")</f>
        <v/>
      </c>
      <c r="B4359" s="361" t="s">
        <v>2045</v>
      </c>
      <c r="C4359" s="360"/>
      <c r="D4359" s="327">
        <f>IF($B4359="","",COUNTIF($B$6:$B4359,$B4359))</f>
        <v>3</v>
      </c>
      <c r="E4359" s="361" t="s">
        <v>1610</v>
      </c>
      <c r="F4359" s="362" t="s">
        <v>1611</v>
      </c>
      <c r="G4359" s="327" t="s">
        <v>155</v>
      </c>
      <c r="H4359" s="327"/>
      <c r="I4359" s="327">
        <v>1</v>
      </c>
      <c r="J4359" s="359"/>
      <c r="K4359" s="327"/>
      <c r="L4359" s="389">
        <v>190000</v>
      </c>
      <c r="M4359" s="355"/>
      <c r="N4359" s="355" t="str">
        <f t="shared" ref="N4359:N4393" si="356">+$N$1555</f>
        <v>PK</v>
      </c>
      <c r="O4359" s="404" t="s">
        <v>1623</v>
      </c>
      <c r="P4359" s="392"/>
      <c r="Q4359" s="327"/>
      <c r="R4359" s="351"/>
      <c r="S4359" s="351"/>
      <c r="T4359" s="351"/>
      <c r="U4359" s="329" t="str">
        <f>IF($N4359=$N$4,IFERROR(INDEX(DanhMuc!$E$154:$E$165,MATCH(MID($B4359,4,2),DanhMuc!$B$154:$B$165,0)),""),"")</f>
        <v/>
      </c>
      <c r="V4359" s="361"/>
      <c r="W4359" s="345"/>
      <c r="X4359" s="329" t="str">
        <f t="shared" si="354"/>
        <v>AN</v>
      </c>
      <c r="Y4359" s="1128" t="s">
        <v>3380</v>
      </c>
      <c r="Z4359" s="1128" t="s">
        <v>3381</v>
      </c>
      <c r="AA4359" s="1128" t="s">
        <v>3384</v>
      </c>
      <c r="AB4359" s="20"/>
      <c r="AC4359" s="73"/>
    </row>
    <row r="4360" spans="1:29">
      <c r="A4360" s="327" t="str">
        <f>IF(AND($B4360&lt;&gt;"",$C4360&lt;&gt;""),MAX($A$1556:A4335)+1,"")</f>
        <v/>
      </c>
      <c r="B4360" s="361" t="s">
        <v>2045</v>
      </c>
      <c r="C4360" s="360"/>
      <c r="D4360" s="327">
        <f>IF($B4360="","",COUNTIF($B$6:$B4360,$B4360))</f>
        <v>4</v>
      </c>
      <c r="E4360" s="361" t="s">
        <v>1618</v>
      </c>
      <c r="F4360" s="362" t="s">
        <v>1619</v>
      </c>
      <c r="G4360" s="327" t="s">
        <v>155</v>
      </c>
      <c r="H4360" s="327"/>
      <c r="I4360" s="327">
        <v>1</v>
      </c>
      <c r="J4360" s="361"/>
      <c r="K4360" s="327"/>
      <c r="L4360" s="389">
        <v>280000</v>
      </c>
      <c r="M4360" s="355"/>
      <c r="N4360" s="355" t="str">
        <f t="shared" si="356"/>
        <v>PK</v>
      </c>
      <c r="O4360" s="404" t="s">
        <v>1626</v>
      </c>
      <c r="P4360" s="392"/>
      <c r="Q4360" s="327"/>
      <c r="R4360" s="351"/>
      <c r="S4360" s="351"/>
      <c r="T4360" s="351"/>
      <c r="U4360" s="329" t="str">
        <f>IF($N4360=$N$4,IFERROR(INDEX(DanhMuc!$E$154:$E$165,MATCH(MID($B4360,4,2),DanhMuc!$B$154:$B$165,0)),""),"")</f>
        <v/>
      </c>
      <c r="V4360" s="361"/>
      <c r="W4360" s="345"/>
      <c r="X4360" s="329" t="str">
        <f t="shared" si="354"/>
        <v>AN</v>
      </c>
      <c r="Y4360" s="1128" t="s">
        <v>3380</v>
      </c>
      <c r="Z4360" s="1128" t="s">
        <v>3381</v>
      </c>
      <c r="AA4360" s="1128" t="s">
        <v>3384</v>
      </c>
      <c r="AB4360" s="20"/>
      <c r="AC4360" s="73"/>
    </row>
    <row r="4361" spans="1:29">
      <c r="A4361" s="327" t="str">
        <f>IF(AND($B4361&lt;&gt;"",$C4361&lt;&gt;""),MAX($A$1556:A4336)+1,"")</f>
        <v/>
      </c>
      <c r="B4361" s="361" t="s">
        <v>2045</v>
      </c>
      <c r="C4361" s="360"/>
      <c r="D4361" s="327">
        <f>IF($B4361="","",COUNTIF($B$6:$B4361,$B4361))</f>
        <v>5</v>
      </c>
      <c r="E4361" s="361" t="s">
        <v>1612</v>
      </c>
      <c r="F4361" s="362" t="s">
        <v>1613</v>
      </c>
      <c r="G4361" s="327" t="s">
        <v>155</v>
      </c>
      <c r="H4361" s="327"/>
      <c r="I4361" s="327">
        <v>1</v>
      </c>
      <c r="J4361" s="359"/>
      <c r="K4361" s="327"/>
      <c r="L4361" s="389">
        <v>230000</v>
      </c>
      <c r="M4361" s="355"/>
      <c r="N4361" s="355" t="str">
        <f t="shared" si="356"/>
        <v>PK</v>
      </c>
      <c r="O4361" s="345" t="s">
        <v>1060</v>
      </c>
      <c r="P4361" s="392"/>
      <c r="Q4361" s="327"/>
      <c r="R4361" s="351"/>
      <c r="S4361" s="351"/>
      <c r="T4361" s="351"/>
      <c r="U4361" s="329" t="str">
        <f>IF($N4361=$N$4,IFERROR(INDEX(DanhMuc!$E$154:$E$165,MATCH(MID($B4361,4,2),DanhMuc!$B$154:$B$165,0)),""),"")</f>
        <v/>
      </c>
      <c r="V4361" s="361"/>
      <c r="W4361" s="345"/>
      <c r="X4361" s="329" t="str">
        <f t="shared" si="354"/>
        <v>AN</v>
      </c>
      <c r="Y4361" s="1128" t="s">
        <v>3380</v>
      </c>
      <c r="Z4361" s="1128" t="s">
        <v>3381</v>
      </c>
      <c r="AA4361" s="1128" t="s">
        <v>3384</v>
      </c>
      <c r="AB4361" s="20"/>
      <c r="AC4361" s="73"/>
    </row>
    <row r="4362" spans="1:29">
      <c r="A4362" s="327" t="str">
        <f>IF(AND($B4362&lt;&gt;"",$C4362&lt;&gt;""),MAX($A$1556:A4337)+1,"")</f>
        <v/>
      </c>
      <c r="B4362" s="361" t="s">
        <v>2045</v>
      </c>
      <c r="C4362" s="360"/>
      <c r="D4362" s="327">
        <f>IF($B4362="","",COUNTIF($B$6:$B4362,$B4362))</f>
        <v>6</v>
      </c>
      <c r="E4362" s="361" t="s">
        <v>1620</v>
      </c>
      <c r="F4362" s="362" t="s">
        <v>1621</v>
      </c>
      <c r="G4362" s="327" t="s">
        <v>155</v>
      </c>
      <c r="H4362" s="327"/>
      <c r="I4362" s="327">
        <v>1</v>
      </c>
      <c r="J4362" s="359"/>
      <c r="K4362" s="327"/>
      <c r="L4362" s="389">
        <v>260000</v>
      </c>
      <c r="M4362" s="355"/>
      <c r="N4362" s="355" t="str">
        <f t="shared" si="356"/>
        <v>PK</v>
      </c>
      <c r="O4362" s="345" t="s">
        <v>2699</v>
      </c>
      <c r="P4362" s="392"/>
      <c r="Q4362" s="327"/>
      <c r="R4362" s="351"/>
      <c r="S4362" s="351"/>
      <c r="T4362" s="351"/>
      <c r="U4362" s="329" t="str">
        <f>IF($N4362=$N$4,IFERROR(INDEX(DanhMuc!$E$154:$E$165,MATCH(MID($B4362,4,2),DanhMuc!$B$154:$B$165,0)),""),"")</f>
        <v/>
      </c>
      <c r="V4362" s="408"/>
      <c r="W4362" s="345"/>
      <c r="X4362" s="329" t="str">
        <f t="shared" si="354"/>
        <v>AN</v>
      </c>
      <c r="Y4362" s="1128" t="s">
        <v>3380</v>
      </c>
      <c r="Z4362" s="1128" t="s">
        <v>3381</v>
      </c>
      <c r="AA4362" s="1128" t="s">
        <v>3384</v>
      </c>
      <c r="AB4362" s="20"/>
      <c r="AC4362" s="73"/>
    </row>
    <row r="4363" spans="1:29">
      <c r="A4363" s="327" t="str">
        <f>IF(AND($B4363&lt;&gt;"",$C4363&lt;&gt;""),MAX($A$1556:A4338)+1,"")</f>
        <v/>
      </c>
      <c r="B4363" s="361" t="s">
        <v>2045</v>
      </c>
      <c r="C4363" s="360"/>
      <c r="D4363" s="327">
        <f>IF($B4363="","",COUNTIF($B$6:$B4363,$B4363))</f>
        <v>7</v>
      </c>
      <c r="E4363" s="361" t="s">
        <v>1614</v>
      </c>
      <c r="F4363" s="362" t="s">
        <v>88</v>
      </c>
      <c r="G4363" s="327" t="s">
        <v>155</v>
      </c>
      <c r="H4363" s="327"/>
      <c r="I4363" s="327">
        <v>1</v>
      </c>
      <c r="J4363" s="359"/>
      <c r="K4363" s="327"/>
      <c r="L4363" s="389">
        <v>20000</v>
      </c>
      <c r="M4363" s="355"/>
      <c r="N4363" s="355" t="str">
        <f t="shared" si="356"/>
        <v>PK</v>
      </c>
      <c r="O4363" s="342"/>
      <c r="P4363" s="392"/>
      <c r="Q4363" s="327"/>
      <c r="R4363" s="351"/>
      <c r="S4363" s="351"/>
      <c r="T4363" s="351"/>
      <c r="U4363" s="329" t="str">
        <f>IF($N4363=$N$4,IFERROR(INDEX(DanhMuc!$E$154:$E$165,MATCH(MID($B4363,4,2),DanhMuc!$B$154:$B$165,0)),""),"")</f>
        <v/>
      </c>
      <c r="V4363" s="361"/>
      <c r="W4363" s="345"/>
      <c r="X4363" s="329" t="str">
        <f t="shared" si="354"/>
        <v>AN</v>
      </c>
      <c r="Y4363" s="1128" t="s">
        <v>3380</v>
      </c>
      <c r="Z4363" s="1128" t="s">
        <v>3381</v>
      </c>
      <c r="AA4363" s="1128" t="s">
        <v>3384</v>
      </c>
      <c r="AB4363" s="20"/>
      <c r="AC4363" s="73"/>
    </row>
    <row r="4364" spans="1:29">
      <c r="A4364" s="327" t="str">
        <f>IF(AND($B4364&lt;&gt;"",$C4364&lt;&gt;""),MAX($A$1556:A4339)+1,"")</f>
        <v/>
      </c>
      <c r="B4364" s="361" t="s">
        <v>2045</v>
      </c>
      <c r="C4364" s="360"/>
      <c r="D4364" s="327">
        <f>IF($B4364="","",COUNTIF($B$6:$B4364,$B4364))</f>
        <v>8</v>
      </c>
      <c r="E4364" s="361" t="s">
        <v>1615</v>
      </c>
      <c r="F4364" s="362" t="s">
        <v>1616</v>
      </c>
      <c r="G4364" s="327" t="s">
        <v>156</v>
      </c>
      <c r="H4364" s="327"/>
      <c r="I4364" s="327">
        <v>2</v>
      </c>
      <c r="J4364" s="359"/>
      <c r="K4364" s="327"/>
      <c r="L4364" s="389">
        <v>54000</v>
      </c>
      <c r="M4364" s="355"/>
      <c r="N4364" s="355" t="str">
        <f t="shared" si="356"/>
        <v>PK</v>
      </c>
      <c r="O4364" s="404" t="s">
        <v>1623</v>
      </c>
      <c r="P4364" s="392"/>
      <c r="Q4364" s="327"/>
      <c r="R4364" s="351"/>
      <c r="S4364" s="351"/>
      <c r="T4364" s="351"/>
      <c r="U4364" s="329" t="str">
        <f>IF($N4364=$N$4,IFERROR(INDEX(DanhMuc!$E$154:$E$165,MATCH(MID($B4364,4,2),DanhMuc!$B$154:$B$165,0)),""),"")</f>
        <v/>
      </c>
      <c r="V4364" s="361"/>
      <c r="W4364" s="345"/>
      <c r="X4364" s="329" t="str">
        <f t="shared" si="354"/>
        <v>AN</v>
      </c>
      <c r="Y4364" s="1128" t="s">
        <v>3380</v>
      </c>
      <c r="Z4364" s="1128" t="s">
        <v>3381</v>
      </c>
      <c r="AA4364" s="1128" t="s">
        <v>3384</v>
      </c>
      <c r="AB4364" s="20"/>
      <c r="AC4364" s="73"/>
    </row>
    <row r="4365" spans="1:29">
      <c r="A4365" s="327" t="str">
        <f>IF(AND($B4365&lt;&gt;"",$C4365&lt;&gt;""),MAX($A$1556:A4340)+1,"")</f>
        <v/>
      </c>
      <c r="B4365" s="361" t="s">
        <v>2045</v>
      </c>
      <c r="C4365" s="360"/>
      <c r="D4365" s="327">
        <f>IF($B4365="","",COUNTIF($B$6:$B4365,$B4365))</f>
        <v>9</v>
      </c>
      <c r="E4365" s="361" t="s">
        <v>1617</v>
      </c>
      <c r="F4365" s="362" t="s">
        <v>1063</v>
      </c>
      <c r="G4365" s="327" t="s">
        <v>155</v>
      </c>
      <c r="H4365" s="327"/>
      <c r="I4365" s="327">
        <v>4</v>
      </c>
      <c r="J4365" s="359"/>
      <c r="K4365" s="327"/>
      <c r="L4365" s="389">
        <v>5000</v>
      </c>
      <c r="M4365" s="355"/>
      <c r="N4365" s="355" t="str">
        <f t="shared" si="356"/>
        <v>PK</v>
      </c>
      <c r="O4365" s="404" t="s">
        <v>1623</v>
      </c>
      <c r="P4365" s="392"/>
      <c r="Q4365" s="327"/>
      <c r="R4365" s="351"/>
      <c r="S4365" s="351"/>
      <c r="T4365" s="351"/>
      <c r="U4365" s="329" t="str">
        <f>IF($N4365=$N$4,IFERROR(INDEX(DanhMuc!$E$154:$E$165,MATCH(MID($B4365,4,2),DanhMuc!$B$154:$B$165,0)),""),"")</f>
        <v/>
      </c>
      <c r="V4365" s="361"/>
      <c r="W4365" s="345"/>
      <c r="X4365" s="329" t="str">
        <f t="shared" si="354"/>
        <v>AN</v>
      </c>
      <c r="Y4365" s="1128" t="s">
        <v>3380</v>
      </c>
      <c r="Z4365" s="1128" t="s">
        <v>3381</v>
      </c>
      <c r="AA4365" s="1128" t="s">
        <v>3384</v>
      </c>
      <c r="AB4365" s="20"/>
      <c r="AC4365" s="73"/>
    </row>
    <row r="4366" spans="1:29" ht="39">
      <c r="A4366" s="327">
        <f>IF(AND($B4366&lt;&gt;"",$C4366&lt;&gt;""),MAX($A$1556:A4341)+1,"")</f>
        <v>200</v>
      </c>
      <c r="B4366" s="359" t="s">
        <v>2046</v>
      </c>
      <c r="C4366" s="360" t="s">
        <v>1643</v>
      </c>
      <c r="D4366" s="327">
        <f>IF($B4366="","",COUNTIF($B$6:$B4366,$B4366))</f>
        <v>1</v>
      </c>
      <c r="E4366" s="361" t="s">
        <v>1606</v>
      </c>
      <c r="F4366" s="362" t="s">
        <v>1607</v>
      </c>
      <c r="G4366" s="327" t="s">
        <v>155</v>
      </c>
      <c r="H4366" s="327"/>
      <c r="I4366" s="327">
        <v>6</v>
      </c>
      <c r="J4366" s="361"/>
      <c r="K4366" s="327"/>
      <c r="L4366" s="389">
        <v>150000</v>
      </c>
      <c r="M4366" s="355"/>
      <c r="N4366" s="355" t="str">
        <f t="shared" si="356"/>
        <v>PK</v>
      </c>
      <c r="O4366" s="345"/>
      <c r="P4366" s="392"/>
      <c r="Q4366" s="327"/>
      <c r="R4366" s="351"/>
      <c r="S4366" s="351"/>
      <c r="T4366" s="351"/>
      <c r="U4366" s="329" t="str">
        <f>IF($N4366=$N$4,IFERROR(INDEX(DanhMuc!$E$154:$E$165,MATCH(MID($B4366,4,2),DanhMuc!$B$154:$B$165,0)),""),"")</f>
        <v/>
      </c>
      <c r="V4366" s="361"/>
      <c r="W4366" s="345"/>
      <c r="X4366" s="329" t="str">
        <f t="shared" si="354"/>
        <v>AN</v>
      </c>
      <c r="Y4366" s="1128" t="s">
        <v>3380</v>
      </c>
      <c r="Z4366" s="1128" t="s">
        <v>3381</v>
      </c>
      <c r="AA4366" s="1128" t="s">
        <v>3384</v>
      </c>
      <c r="AB4366" s="20"/>
      <c r="AC4366" s="73"/>
    </row>
    <row r="4367" spans="1:29">
      <c r="A4367" s="327" t="str">
        <f>IF(AND($B4367&lt;&gt;"",$C4367&lt;&gt;""),MAX($A$1556:A4342)+1,"")</f>
        <v/>
      </c>
      <c r="B4367" s="361" t="s">
        <v>2046</v>
      </c>
      <c r="C4367" s="360"/>
      <c r="D4367" s="327">
        <f>IF($B4367="","",COUNTIF($B$6:$B4367,$B4367))</f>
        <v>2</v>
      </c>
      <c r="E4367" s="361" t="s">
        <v>1608</v>
      </c>
      <c r="F4367" s="362" t="s">
        <v>1609</v>
      </c>
      <c r="G4367" s="327" t="s">
        <v>155</v>
      </c>
      <c r="H4367" s="327"/>
      <c r="I4367" s="327">
        <v>1</v>
      </c>
      <c r="J4367" s="359"/>
      <c r="K4367" s="327"/>
      <c r="L4367" s="389">
        <v>600000</v>
      </c>
      <c r="M4367" s="355"/>
      <c r="N4367" s="355" t="str">
        <f t="shared" si="356"/>
        <v>PK</v>
      </c>
      <c r="O4367" s="345"/>
      <c r="P4367" s="392"/>
      <c r="Q4367" s="327"/>
      <c r="R4367" s="351"/>
      <c r="S4367" s="351"/>
      <c r="T4367" s="351"/>
      <c r="U4367" s="329" t="str">
        <f>IF($N4367=$N$4,IFERROR(INDEX(DanhMuc!$E$154:$E$165,MATCH(MID($B4367,4,2),DanhMuc!$B$154:$B$165,0)),""),"")</f>
        <v/>
      </c>
      <c r="V4367" s="361"/>
      <c r="W4367" s="345"/>
      <c r="X4367" s="329" t="str">
        <f t="shared" si="354"/>
        <v>AN</v>
      </c>
      <c r="Y4367" s="1128" t="s">
        <v>3380</v>
      </c>
      <c r="Z4367" s="1128" t="s">
        <v>3381</v>
      </c>
      <c r="AA4367" s="1128" t="s">
        <v>3384</v>
      </c>
      <c r="AB4367" s="20"/>
      <c r="AC4367" s="73"/>
    </row>
    <row r="4368" spans="1:29">
      <c r="A4368" s="327" t="str">
        <f>IF(AND($B4368&lt;&gt;"",$C4368&lt;&gt;""),MAX($A$1556:A4343)+1,"")</f>
        <v/>
      </c>
      <c r="B4368" s="361" t="s">
        <v>2046</v>
      </c>
      <c r="C4368" s="360"/>
      <c r="D4368" s="327">
        <f>IF($B4368="","",COUNTIF($B$6:$B4368,$B4368))</f>
        <v>3</v>
      </c>
      <c r="E4368" s="361" t="s">
        <v>1610</v>
      </c>
      <c r="F4368" s="362" t="s">
        <v>1611</v>
      </c>
      <c r="G4368" s="327" t="s">
        <v>155</v>
      </c>
      <c r="H4368" s="327"/>
      <c r="I4368" s="327">
        <v>1</v>
      </c>
      <c r="J4368" s="359"/>
      <c r="K4368" s="327"/>
      <c r="L4368" s="389">
        <v>190000</v>
      </c>
      <c r="M4368" s="355"/>
      <c r="N4368" s="355" t="str">
        <f t="shared" si="356"/>
        <v>PK</v>
      </c>
      <c r="O4368" s="404" t="s">
        <v>1623</v>
      </c>
      <c r="P4368" s="392"/>
      <c r="Q4368" s="327"/>
      <c r="R4368" s="351"/>
      <c r="S4368" s="351"/>
      <c r="T4368" s="351"/>
      <c r="U4368" s="329" t="str">
        <f>IF($N4368=$N$4,IFERROR(INDEX(DanhMuc!$E$154:$E$165,MATCH(MID($B4368,4,2),DanhMuc!$B$154:$B$165,0)),""),"")</f>
        <v/>
      </c>
      <c r="V4368" s="361"/>
      <c r="W4368" s="345"/>
      <c r="X4368" s="329" t="str">
        <f t="shared" si="354"/>
        <v>AN</v>
      </c>
      <c r="Y4368" s="1128" t="s">
        <v>3380</v>
      </c>
      <c r="Z4368" s="1128" t="s">
        <v>3381</v>
      </c>
      <c r="AA4368" s="1128" t="s">
        <v>3384</v>
      </c>
      <c r="AB4368" s="20"/>
      <c r="AC4368" s="73"/>
    </row>
    <row r="4369" spans="1:29">
      <c r="A4369" s="327" t="str">
        <f>IF(AND($B4369&lt;&gt;"",$C4369&lt;&gt;""),MAX($A$1556:A4344)+1,"")</f>
        <v/>
      </c>
      <c r="B4369" s="361" t="s">
        <v>2046</v>
      </c>
      <c r="C4369" s="360"/>
      <c r="D4369" s="327">
        <f>IF($B4369="","",COUNTIF($B$6:$B4369,$B4369))</f>
        <v>4</v>
      </c>
      <c r="E4369" s="361" t="s">
        <v>1618</v>
      </c>
      <c r="F4369" s="362" t="s">
        <v>1619</v>
      </c>
      <c r="G4369" s="327" t="s">
        <v>155</v>
      </c>
      <c r="H4369" s="361"/>
      <c r="I4369" s="327">
        <v>1</v>
      </c>
      <c r="J4369" s="361"/>
      <c r="K4369" s="327"/>
      <c r="L4369" s="389">
        <v>280000</v>
      </c>
      <c r="M4369" s="355"/>
      <c r="N4369" s="355" t="str">
        <f t="shared" si="356"/>
        <v>PK</v>
      </c>
      <c r="O4369" s="404" t="s">
        <v>1626</v>
      </c>
      <c r="P4369" s="361"/>
      <c r="Q4369" s="327"/>
      <c r="R4369" s="351"/>
      <c r="S4369" s="351"/>
      <c r="T4369" s="351"/>
      <c r="U4369" s="329" t="str">
        <f>IF($N4369=$N$4,IFERROR(INDEX(DanhMuc!$E$154:$E$165,MATCH(MID($B4369,4,2),DanhMuc!$B$154:$B$165,0)),""),"")</f>
        <v/>
      </c>
      <c r="V4369" s="361"/>
      <c r="W4369" s="345"/>
      <c r="X4369" s="329" t="str">
        <f t="shared" si="354"/>
        <v>AN</v>
      </c>
      <c r="Y4369" s="1128" t="s">
        <v>3380</v>
      </c>
      <c r="Z4369" s="1128" t="s">
        <v>3381</v>
      </c>
      <c r="AA4369" s="1128" t="s">
        <v>3384</v>
      </c>
      <c r="AB4369" s="20"/>
      <c r="AC4369" s="73"/>
    </row>
    <row r="4370" spans="1:29">
      <c r="A4370" s="327" t="str">
        <f>IF(AND($B4370&lt;&gt;"",$C4370&lt;&gt;""),MAX($A$1556:A4345)+1,"")</f>
        <v/>
      </c>
      <c r="B4370" s="361" t="s">
        <v>2046</v>
      </c>
      <c r="C4370" s="360"/>
      <c r="D4370" s="327">
        <f>IF($B4370="","",COUNTIF($B$6:$B4370,$B4370))</f>
        <v>5</v>
      </c>
      <c r="E4370" s="361" t="s">
        <v>1620</v>
      </c>
      <c r="F4370" s="362" t="s">
        <v>1621</v>
      </c>
      <c r="G4370" s="327" t="s">
        <v>155</v>
      </c>
      <c r="H4370" s="361"/>
      <c r="I4370" s="327">
        <v>1</v>
      </c>
      <c r="J4370" s="361"/>
      <c r="K4370" s="327"/>
      <c r="L4370" s="389">
        <v>260000</v>
      </c>
      <c r="M4370" s="355"/>
      <c r="N4370" s="355" t="str">
        <f t="shared" si="356"/>
        <v>PK</v>
      </c>
      <c r="O4370" s="345" t="s">
        <v>2699</v>
      </c>
      <c r="P4370" s="361"/>
      <c r="Q4370" s="327"/>
      <c r="R4370" s="351"/>
      <c r="S4370" s="351"/>
      <c r="T4370" s="351"/>
      <c r="U4370" s="329" t="str">
        <f>IF($N4370=$N$4,IFERROR(INDEX(DanhMuc!$E$154:$E$165,MATCH(MID($B4370,4,2),DanhMuc!$B$154:$B$165,0)),""),"")</f>
        <v/>
      </c>
      <c r="V4370" s="361"/>
      <c r="W4370" s="345"/>
      <c r="X4370" s="329" t="str">
        <f t="shared" si="354"/>
        <v>AN</v>
      </c>
      <c r="Y4370" s="1128" t="s">
        <v>3380</v>
      </c>
      <c r="Z4370" s="1128" t="s">
        <v>3381</v>
      </c>
      <c r="AA4370" s="1128" t="s">
        <v>3384</v>
      </c>
      <c r="AB4370" s="20"/>
      <c r="AC4370" s="73"/>
    </row>
    <row r="4371" spans="1:29">
      <c r="A4371" s="327" t="str">
        <f>IF(AND($B4371&lt;&gt;"",$C4371&lt;&gt;""),MAX($A$1556:A4346)+1,"")</f>
        <v/>
      </c>
      <c r="B4371" s="361" t="s">
        <v>2046</v>
      </c>
      <c r="C4371" s="360"/>
      <c r="D4371" s="327">
        <f>IF($B4371="","",COUNTIF($B$6:$B4371,$B4371))</f>
        <v>6</v>
      </c>
      <c r="E4371" s="361" t="s">
        <v>1612</v>
      </c>
      <c r="F4371" s="362" t="s">
        <v>1613</v>
      </c>
      <c r="G4371" s="327" t="s">
        <v>155</v>
      </c>
      <c r="H4371" s="327"/>
      <c r="I4371" s="327">
        <v>1</v>
      </c>
      <c r="J4371" s="361"/>
      <c r="K4371" s="327"/>
      <c r="L4371" s="389">
        <v>230000</v>
      </c>
      <c r="M4371" s="355"/>
      <c r="N4371" s="355" t="str">
        <f t="shared" si="356"/>
        <v>PK</v>
      </c>
      <c r="O4371" s="345" t="s">
        <v>1060</v>
      </c>
      <c r="P4371" s="392"/>
      <c r="Q4371" s="327"/>
      <c r="R4371" s="351"/>
      <c r="S4371" s="351"/>
      <c r="T4371" s="351"/>
      <c r="U4371" s="329" t="str">
        <f>IF($N4371=$N$4,IFERROR(INDEX(DanhMuc!$E$154:$E$165,MATCH(MID($B4371,4,2),DanhMuc!$B$154:$B$165,0)),""),"")</f>
        <v/>
      </c>
      <c r="V4371" s="361"/>
      <c r="W4371" s="345"/>
      <c r="X4371" s="329" t="str">
        <f t="shared" si="354"/>
        <v>AN</v>
      </c>
      <c r="Y4371" s="1128" t="s">
        <v>3380</v>
      </c>
      <c r="Z4371" s="1128" t="s">
        <v>3381</v>
      </c>
      <c r="AA4371" s="1128" t="s">
        <v>3384</v>
      </c>
      <c r="AB4371" s="20"/>
      <c r="AC4371" s="73"/>
    </row>
    <row r="4372" spans="1:29">
      <c r="A4372" s="327" t="str">
        <f>IF(AND($B4372&lt;&gt;"",$C4372&lt;&gt;""),MAX($A$1556:A4347)+1,"")</f>
        <v/>
      </c>
      <c r="B4372" s="361" t="s">
        <v>2046</v>
      </c>
      <c r="C4372" s="360"/>
      <c r="D4372" s="327">
        <f>IF($B4372="","",COUNTIF($B$6:$B4372,$B4372))</f>
        <v>7</v>
      </c>
      <c r="E4372" s="361" t="s">
        <v>1651</v>
      </c>
      <c r="F4372" s="362" t="s">
        <v>1652</v>
      </c>
      <c r="G4372" s="327" t="s">
        <v>155</v>
      </c>
      <c r="H4372" s="327"/>
      <c r="I4372" s="327">
        <v>1</v>
      </c>
      <c r="J4372" s="359"/>
      <c r="K4372" s="327"/>
      <c r="L4372" s="389">
        <v>18000</v>
      </c>
      <c r="M4372" s="355"/>
      <c r="N4372" s="355" t="str">
        <f t="shared" si="356"/>
        <v>PK</v>
      </c>
      <c r="O4372" s="342"/>
      <c r="P4372" s="392"/>
      <c r="Q4372" s="327"/>
      <c r="R4372" s="351"/>
      <c r="S4372" s="351"/>
      <c r="T4372" s="351"/>
      <c r="U4372" s="329" t="str">
        <f>IF($N4372=$N$4,IFERROR(INDEX(DanhMuc!$E$154:$E$165,MATCH(MID($B4372,4,2),DanhMuc!$B$154:$B$165,0)),""),"")</f>
        <v/>
      </c>
      <c r="V4372" s="361"/>
      <c r="W4372" s="345"/>
      <c r="X4372" s="329" t="str">
        <f t="shared" si="354"/>
        <v>AN</v>
      </c>
      <c r="Y4372" s="1128" t="s">
        <v>3380</v>
      </c>
      <c r="Z4372" s="1128" t="s">
        <v>3381</v>
      </c>
      <c r="AA4372" s="1128" t="s">
        <v>3384</v>
      </c>
      <c r="AB4372" s="20"/>
      <c r="AC4372" s="73"/>
    </row>
    <row r="4373" spans="1:29">
      <c r="A4373" s="327" t="str">
        <f>IF(AND($B4373&lt;&gt;"",$C4373&lt;&gt;""),MAX($A$1556:A4348)+1,"")</f>
        <v/>
      </c>
      <c r="B4373" s="361" t="s">
        <v>2046</v>
      </c>
      <c r="C4373" s="360"/>
      <c r="D4373" s="327">
        <f>IF($B4373="","",COUNTIF($B$6:$B4373,$B4373))</f>
        <v>8</v>
      </c>
      <c r="E4373" s="361" t="s">
        <v>1615</v>
      </c>
      <c r="F4373" s="362" t="s">
        <v>1616</v>
      </c>
      <c r="G4373" s="327" t="s">
        <v>156</v>
      </c>
      <c r="H4373" s="327"/>
      <c r="I4373" s="327">
        <v>2</v>
      </c>
      <c r="J4373" s="359"/>
      <c r="K4373" s="327"/>
      <c r="L4373" s="389">
        <v>54000</v>
      </c>
      <c r="M4373" s="355"/>
      <c r="N4373" s="355" t="str">
        <f t="shared" si="356"/>
        <v>PK</v>
      </c>
      <c r="O4373" s="404" t="s">
        <v>1623</v>
      </c>
      <c r="P4373" s="392"/>
      <c r="Q4373" s="327"/>
      <c r="R4373" s="351"/>
      <c r="S4373" s="351"/>
      <c r="T4373" s="351"/>
      <c r="U4373" s="329" t="str">
        <f>IF($N4373=$N$4,IFERROR(INDEX(DanhMuc!$E$154:$E$165,MATCH(MID($B4373,4,2),DanhMuc!$B$154:$B$165,0)),""),"")</f>
        <v/>
      </c>
      <c r="V4373" s="408"/>
      <c r="W4373" s="345"/>
      <c r="X4373" s="329" t="str">
        <f t="shared" si="354"/>
        <v>AN</v>
      </c>
      <c r="Y4373" s="1128" t="s">
        <v>3380</v>
      </c>
      <c r="Z4373" s="1128" t="s">
        <v>3381</v>
      </c>
      <c r="AA4373" s="1128" t="s">
        <v>3384</v>
      </c>
      <c r="AB4373" s="20"/>
      <c r="AC4373" s="73"/>
    </row>
    <row r="4374" spans="1:29">
      <c r="A4374" s="327" t="str">
        <f>IF(AND($B4374&lt;&gt;"",$C4374&lt;&gt;""),MAX($A$1556:A4349)+1,"")</f>
        <v/>
      </c>
      <c r="B4374" s="361" t="s">
        <v>2046</v>
      </c>
      <c r="C4374" s="360"/>
      <c r="D4374" s="327">
        <f>IF($B4374="","",COUNTIF($B$6:$B4374,$B4374))</f>
        <v>9</v>
      </c>
      <c r="E4374" s="361" t="s">
        <v>1653</v>
      </c>
      <c r="F4374" s="362" t="s">
        <v>1654</v>
      </c>
      <c r="G4374" s="327" t="s">
        <v>155</v>
      </c>
      <c r="H4374" s="327"/>
      <c r="I4374" s="327">
        <v>4</v>
      </c>
      <c r="J4374" s="359"/>
      <c r="K4374" s="327"/>
      <c r="L4374" s="389">
        <v>5000</v>
      </c>
      <c r="M4374" s="355"/>
      <c r="N4374" s="355" t="str">
        <f t="shared" si="356"/>
        <v>PK</v>
      </c>
      <c r="O4374" s="404" t="s">
        <v>1623</v>
      </c>
      <c r="P4374" s="392"/>
      <c r="Q4374" s="327"/>
      <c r="R4374" s="351"/>
      <c r="S4374" s="351"/>
      <c r="T4374" s="351"/>
      <c r="U4374" s="329" t="str">
        <f>IF($N4374=$N$4,IFERROR(INDEX(DanhMuc!$E$154:$E$165,MATCH(MID($B4374,4,2),DanhMuc!$B$154:$B$165,0)),""),"")</f>
        <v/>
      </c>
      <c r="V4374" s="361"/>
      <c r="W4374" s="345"/>
      <c r="X4374" s="329" t="str">
        <f t="shared" si="354"/>
        <v>AN</v>
      </c>
      <c r="Y4374" s="1128" t="s">
        <v>3380</v>
      </c>
      <c r="Z4374" s="1128" t="s">
        <v>3381</v>
      </c>
      <c r="AA4374" s="1128" t="s">
        <v>3384</v>
      </c>
      <c r="AB4374" s="20"/>
      <c r="AC4374" s="73"/>
    </row>
    <row r="4375" spans="1:29">
      <c r="A4375" s="327" t="str">
        <f>IF(AND($B4375&lt;&gt;"",$C4375&lt;&gt;""),MAX($A$1556:A4350)+1,"")</f>
        <v/>
      </c>
      <c r="B4375" s="361" t="s">
        <v>2046</v>
      </c>
      <c r="C4375" s="360"/>
      <c r="D4375" s="327">
        <f>IF($B4375="","",COUNTIF($B$6:$B4375,$B4375))</f>
        <v>10</v>
      </c>
      <c r="E4375" s="361" t="s">
        <v>1674</v>
      </c>
      <c r="F4375" s="362" t="s">
        <v>1655</v>
      </c>
      <c r="G4375" s="327" t="s">
        <v>155</v>
      </c>
      <c r="H4375" s="327"/>
      <c r="I4375" s="327">
        <v>2</v>
      </c>
      <c r="J4375" s="359"/>
      <c r="K4375" s="327"/>
      <c r="L4375" s="389">
        <v>58000</v>
      </c>
      <c r="M4375" s="355"/>
      <c r="N4375" s="355" t="str">
        <f t="shared" si="356"/>
        <v>PK</v>
      </c>
      <c r="O4375" s="342"/>
      <c r="P4375" s="392"/>
      <c r="Q4375" s="327"/>
      <c r="R4375" s="351"/>
      <c r="S4375" s="351"/>
      <c r="T4375" s="351"/>
      <c r="U4375" s="329" t="str">
        <f>IF($N4375=$N$4,IFERROR(INDEX(DanhMuc!$E$154:$E$165,MATCH(MID($B4375,4,2),DanhMuc!$B$154:$B$165,0)),""),"")</f>
        <v/>
      </c>
      <c r="V4375" s="361"/>
      <c r="W4375" s="345"/>
      <c r="X4375" s="329" t="str">
        <f t="shared" si="354"/>
        <v>AN</v>
      </c>
      <c r="Y4375" s="1128" t="s">
        <v>3380</v>
      </c>
      <c r="Z4375" s="1128" t="s">
        <v>3381</v>
      </c>
      <c r="AA4375" s="1128" t="s">
        <v>3384</v>
      </c>
      <c r="AB4375" s="20"/>
      <c r="AC4375" s="73"/>
    </row>
    <row r="4376" spans="1:29">
      <c r="A4376" s="327" t="str">
        <f>IF(AND($B4376&lt;&gt;"",$C4376&lt;&gt;""),MAX($A$1556:A4351)+1,"")</f>
        <v/>
      </c>
      <c r="B4376" s="361" t="s">
        <v>2046</v>
      </c>
      <c r="C4376" s="360"/>
      <c r="D4376" s="327">
        <f>IF($B4376="","",COUNTIF($B$6:$B4376,$B4376))</f>
        <v>11</v>
      </c>
      <c r="E4376" s="361" t="s">
        <v>1656</v>
      </c>
      <c r="F4376" s="362" t="s">
        <v>1657</v>
      </c>
      <c r="G4376" s="327" t="s">
        <v>155</v>
      </c>
      <c r="H4376" s="327"/>
      <c r="I4376" s="327">
        <v>1</v>
      </c>
      <c r="J4376" s="359"/>
      <c r="K4376" s="327"/>
      <c r="L4376" s="389">
        <v>12000</v>
      </c>
      <c r="M4376" s="355"/>
      <c r="N4376" s="355" t="str">
        <f t="shared" si="356"/>
        <v>PK</v>
      </c>
      <c r="O4376" s="342"/>
      <c r="P4376" s="392"/>
      <c r="Q4376" s="327"/>
      <c r="R4376" s="351"/>
      <c r="S4376" s="351"/>
      <c r="T4376" s="351"/>
      <c r="U4376" s="329" t="str">
        <f>IF($N4376=$N$4,IFERROR(INDEX(DanhMuc!$E$154:$E$165,MATCH(MID($B4376,4,2),DanhMuc!$B$154:$B$165,0)),""),"")</f>
        <v/>
      </c>
      <c r="V4376" s="361"/>
      <c r="W4376" s="345"/>
      <c r="X4376" s="329" t="str">
        <f t="shared" si="354"/>
        <v>AN</v>
      </c>
      <c r="Y4376" s="1128" t="s">
        <v>3380</v>
      </c>
      <c r="Z4376" s="1128" t="s">
        <v>3381</v>
      </c>
      <c r="AA4376" s="1128" t="s">
        <v>3384</v>
      </c>
      <c r="AB4376" s="20"/>
      <c r="AC4376" s="73"/>
    </row>
    <row r="4377" spans="1:29">
      <c r="A4377" s="327" t="str">
        <f>IF(AND($B4377&lt;&gt;"",$C4377&lt;&gt;""),MAX($A$1556:A4352)+1,"")</f>
        <v/>
      </c>
      <c r="B4377" s="361" t="s">
        <v>2046</v>
      </c>
      <c r="C4377" s="360"/>
      <c r="D4377" s="327">
        <f>IF($B4377="","",COUNTIF($B$6:$B4377,$B4377))</f>
        <v>12</v>
      </c>
      <c r="E4377" s="361" t="s">
        <v>1647</v>
      </c>
      <c r="F4377" s="362" t="s">
        <v>1648</v>
      </c>
      <c r="G4377" s="327" t="s">
        <v>155</v>
      </c>
      <c r="H4377" s="327"/>
      <c r="I4377" s="327">
        <v>1</v>
      </c>
      <c r="J4377" s="359"/>
      <c r="K4377" s="327"/>
      <c r="L4377" s="389">
        <v>12000</v>
      </c>
      <c r="M4377" s="355"/>
      <c r="N4377" s="355" t="str">
        <f t="shared" si="356"/>
        <v>PK</v>
      </c>
      <c r="O4377" s="342"/>
      <c r="P4377" s="392"/>
      <c r="Q4377" s="327"/>
      <c r="R4377" s="351"/>
      <c r="S4377" s="351"/>
      <c r="T4377" s="351"/>
      <c r="U4377" s="329" t="str">
        <f>IF($N4377=$N$4,IFERROR(INDEX(DanhMuc!$E$154:$E$165,MATCH(MID($B4377,4,2),DanhMuc!$B$154:$B$165,0)),""),"")</f>
        <v/>
      </c>
      <c r="V4377" s="408"/>
      <c r="W4377" s="345"/>
      <c r="X4377" s="329" t="str">
        <f t="shared" si="354"/>
        <v>AN</v>
      </c>
      <c r="Y4377" s="1128" t="s">
        <v>3380</v>
      </c>
      <c r="Z4377" s="1128" t="s">
        <v>3381</v>
      </c>
      <c r="AA4377" s="1128" t="s">
        <v>3384</v>
      </c>
      <c r="AB4377" s="20"/>
      <c r="AC4377" s="73"/>
    </row>
    <row r="4378" spans="1:29">
      <c r="A4378" s="327" t="str">
        <f>IF(AND($B4378&lt;&gt;"",$C4378&lt;&gt;""),MAX($A$1556:A4353)+1,"")</f>
        <v/>
      </c>
      <c r="B4378" s="361" t="s">
        <v>2046</v>
      </c>
      <c r="C4378" s="360"/>
      <c r="D4378" s="327">
        <f>IF($B4378="","",COUNTIF($B$6:$B4378,$B4378))</f>
        <v>13</v>
      </c>
      <c r="E4378" s="361" t="s">
        <v>1649</v>
      </c>
      <c r="F4378" s="362" t="s">
        <v>1650</v>
      </c>
      <c r="G4378" s="327" t="s">
        <v>155</v>
      </c>
      <c r="H4378" s="327"/>
      <c r="I4378" s="327">
        <v>1</v>
      </c>
      <c r="J4378" s="359"/>
      <c r="K4378" s="327"/>
      <c r="L4378" s="389">
        <v>12000</v>
      </c>
      <c r="M4378" s="355"/>
      <c r="N4378" s="355" t="str">
        <f t="shared" si="356"/>
        <v>PK</v>
      </c>
      <c r="O4378" s="342"/>
      <c r="P4378" s="392"/>
      <c r="Q4378" s="327"/>
      <c r="R4378" s="351"/>
      <c r="S4378" s="351"/>
      <c r="T4378" s="351"/>
      <c r="U4378" s="329" t="str">
        <f>IF($N4378=$N$4,IFERROR(INDEX(DanhMuc!$E$154:$E$165,MATCH(MID($B4378,4,2),DanhMuc!$B$154:$B$165,0)),""),"")</f>
        <v/>
      </c>
      <c r="V4378" s="408"/>
      <c r="W4378" s="345"/>
      <c r="X4378" s="329" t="str">
        <f t="shared" si="354"/>
        <v>AN</v>
      </c>
      <c r="Y4378" s="1128" t="s">
        <v>3380</v>
      </c>
      <c r="Z4378" s="1128" t="s">
        <v>3381</v>
      </c>
      <c r="AA4378" s="1128" t="s">
        <v>3384</v>
      </c>
      <c r="AB4378" s="20"/>
      <c r="AC4378" s="73"/>
    </row>
    <row r="4379" spans="1:29" ht="39">
      <c r="A4379" s="327">
        <f>IF(AND($B4379&lt;&gt;"",$C4379&lt;&gt;""),MAX($A$1556:A4354)+1,"")</f>
        <v>200</v>
      </c>
      <c r="B4379" s="359" t="s">
        <v>2181</v>
      </c>
      <c r="C4379" s="360" t="s">
        <v>2182</v>
      </c>
      <c r="D4379" s="327">
        <f>IF($B4379="","",COUNTIF($B$6:$B4379,$B4379))</f>
        <v>1</v>
      </c>
      <c r="E4379" s="361" t="s">
        <v>1606</v>
      </c>
      <c r="F4379" s="362" t="s">
        <v>1607</v>
      </c>
      <c r="G4379" s="327" t="s">
        <v>155</v>
      </c>
      <c r="H4379" s="327"/>
      <c r="I4379" s="327">
        <v>8</v>
      </c>
      <c r="J4379" s="361"/>
      <c r="K4379" s="327"/>
      <c r="L4379" s="389">
        <v>150000</v>
      </c>
      <c r="M4379" s="355"/>
      <c r="N4379" s="355" t="str">
        <f t="shared" si="356"/>
        <v>PK</v>
      </c>
      <c r="O4379" s="345"/>
      <c r="P4379" s="392"/>
      <c r="Q4379" s="327"/>
      <c r="R4379" s="351"/>
      <c r="S4379" s="351"/>
      <c r="T4379" s="351"/>
      <c r="U4379" s="329" t="str">
        <f>IF($N4379=$N$4,IFERROR(INDEX(DanhMuc!$E$154:$E$165,MATCH(MID($B4379,4,2),DanhMuc!$B$154:$B$165,0)),""),"")</f>
        <v/>
      </c>
      <c r="V4379" s="361"/>
      <c r="W4379" s="345"/>
      <c r="X4379" s="329" t="str">
        <f t="shared" si="354"/>
        <v>AN</v>
      </c>
      <c r="Y4379" s="1128" t="s">
        <v>3380</v>
      </c>
      <c r="Z4379" s="1128" t="s">
        <v>3381</v>
      </c>
      <c r="AA4379" s="1128" t="s">
        <v>3384</v>
      </c>
      <c r="AB4379" s="20"/>
      <c r="AC4379" s="73"/>
    </row>
    <row r="4380" spans="1:29">
      <c r="A4380" s="327" t="str">
        <f>IF(AND($B4380&lt;&gt;"",$C4380&lt;&gt;""),MAX($A$1556:A4355)+1,"")</f>
        <v/>
      </c>
      <c r="B4380" s="361" t="s">
        <v>2181</v>
      </c>
      <c r="C4380" s="360"/>
      <c r="D4380" s="327">
        <f>IF($B4380="","",COUNTIF($B$6:$B4380,$B4380))</f>
        <v>2</v>
      </c>
      <c r="E4380" s="361" t="s">
        <v>1672</v>
      </c>
      <c r="F4380" s="362" t="s">
        <v>1673</v>
      </c>
      <c r="G4380" s="327" t="s">
        <v>155</v>
      </c>
      <c r="H4380" s="327"/>
      <c r="I4380" s="327">
        <v>4</v>
      </c>
      <c r="J4380" s="361"/>
      <c r="K4380" s="327"/>
      <c r="L4380" s="389">
        <v>160000</v>
      </c>
      <c r="M4380" s="355"/>
      <c r="N4380" s="355" t="str">
        <f t="shared" si="356"/>
        <v>PK</v>
      </c>
      <c r="O4380" s="345"/>
      <c r="P4380" s="392"/>
      <c r="Q4380" s="327"/>
      <c r="R4380" s="351"/>
      <c r="S4380" s="351"/>
      <c r="T4380" s="351"/>
      <c r="U4380" s="329" t="str">
        <f>IF($N4380=$N$4,IFERROR(INDEX(DanhMuc!$E$154:$E$165,MATCH(MID($B4380,4,2),DanhMuc!$B$154:$B$165,0)),""),"")</f>
        <v/>
      </c>
      <c r="V4380" s="361"/>
      <c r="W4380" s="345"/>
      <c r="X4380" s="329" t="str">
        <f t="shared" si="354"/>
        <v>AN</v>
      </c>
      <c r="Y4380" s="1128" t="s">
        <v>3380</v>
      </c>
      <c r="Z4380" s="1128" t="s">
        <v>3381</v>
      </c>
      <c r="AA4380" s="1128" t="s">
        <v>3384</v>
      </c>
      <c r="AB4380" s="20"/>
      <c r="AC4380" s="73"/>
    </row>
    <row r="4381" spans="1:29">
      <c r="A4381" s="327" t="str">
        <f>IF(AND($B4381&lt;&gt;"",$C4381&lt;&gt;""),MAX($A$1556:A4356)+1,"")</f>
        <v/>
      </c>
      <c r="B4381" s="361" t="s">
        <v>2181</v>
      </c>
      <c r="C4381" s="360"/>
      <c r="D4381" s="327">
        <f>IF($B4381="","",COUNTIF($B$6:$B4381,$B4381))</f>
        <v>3</v>
      </c>
      <c r="E4381" s="361" t="s">
        <v>1608</v>
      </c>
      <c r="F4381" s="362" t="s">
        <v>1609</v>
      </c>
      <c r="G4381" s="327" t="s">
        <v>155</v>
      </c>
      <c r="H4381" s="327"/>
      <c r="I4381" s="327">
        <v>1</v>
      </c>
      <c r="J4381" s="359"/>
      <c r="K4381" s="327"/>
      <c r="L4381" s="389">
        <v>600000</v>
      </c>
      <c r="M4381" s="355"/>
      <c r="N4381" s="355" t="str">
        <f t="shared" si="356"/>
        <v>PK</v>
      </c>
      <c r="O4381" s="345"/>
      <c r="P4381" s="392"/>
      <c r="Q4381" s="327"/>
      <c r="R4381" s="351"/>
      <c r="S4381" s="351"/>
      <c r="T4381" s="351"/>
      <c r="U4381" s="329" t="str">
        <f>IF($N4381=$N$4,IFERROR(INDEX(DanhMuc!$E$154:$E$165,MATCH(MID($B4381,4,2),DanhMuc!$B$154:$B$165,0)),""),"")</f>
        <v/>
      </c>
      <c r="V4381" s="361"/>
      <c r="W4381" s="345"/>
      <c r="X4381" s="329" t="str">
        <f t="shared" si="354"/>
        <v>AN</v>
      </c>
      <c r="Y4381" s="1128" t="s">
        <v>3380</v>
      </c>
      <c r="Z4381" s="1128" t="s">
        <v>3381</v>
      </c>
      <c r="AA4381" s="1128" t="s">
        <v>3384</v>
      </c>
      <c r="AB4381" s="20"/>
      <c r="AC4381" s="73"/>
    </row>
    <row r="4382" spans="1:29">
      <c r="A4382" s="327" t="str">
        <f>IF(AND($B4382&lt;&gt;"",$C4382&lt;&gt;""),MAX($A$1556:A4357)+1,"")</f>
        <v/>
      </c>
      <c r="B4382" s="361" t="s">
        <v>2181</v>
      </c>
      <c r="C4382" s="360"/>
      <c r="D4382" s="327">
        <f>IF($B4382="","",COUNTIF($B$6:$B4382,$B4382))</f>
        <v>4</v>
      </c>
      <c r="E4382" s="361" t="s">
        <v>1610</v>
      </c>
      <c r="F4382" s="362" t="s">
        <v>1611</v>
      </c>
      <c r="G4382" s="327" t="s">
        <v>155</v>
      </c>
      <c r="H4382" s="327"/>
      <c r="I4382" s="327">
        <v>1</v>
      </c>
      <c r="J4382" s="359"/>
      <c r="K4382" s="327"/>
      <c r="L4382" s="389">
        <v>190000</v>
      </c>
      <c r="M4382" s="355"/>
      <c r="N4382" s="355" t="str">
        <f t="shared" si="356"/>
        <v>PK</v>
      </c>
      <c r="O4382" s="404" t="s">
        <v>1623</v>
      </c>
      <c r="P4382" s="392"/>
      <c r="Q4382" s="327"/>
      <c r="R4382" s="351"/>
      <c r="S4382" s="351"/>
      <c r="T4382" s="351"/>
      <c r="U4382" s="329" t="str">
        <f>IF($N4382=$N$4,IFERROR(INDEX(DanhMuc!$E$154:$E$165,MATCH(MID($B4382,4,2),DanhMuc!$B$154:$B$165,0)),""),"")</f>
        <v/>
      </c>
      <c r="V4382" s="361"/>
      <c r="W4382" s="345"/>
      <c r="X4382" s="329" t="str">
        <f t="shared" si="354"/>
        <v>AN</v>
      </c>
      <c r="Y4382" s="1128" t="s">
        <v>3380</v>
      </c>
      <c r="Z4382" s="1128" t="s">
        <v>3381</v>
      </c>
      <c r="AA4382" s="1128" t="s">
        <v>3384</v>
      </c>
      <c r="AB4382" s="20"/>
      <c r="AC4382" s="73"/>
    </row>
    <row r="4383" spans="1:29">
      <c r="A4383" s="327" t="str">
        <f>IF(AND($B4383&lt;&gt;"",$C4383&lt;&gt;""),MAX($A$1556:A4358)+1,"")</f>
        <v/>
      </c>
      <c r="B4383" s="361" t="s">
        <v>2181</v>
      </c>
      <c r="C4383" s="360"/>
      <c r="D4383" s="327">
        <f>IF($B4383="","",COUNTIF($B$6:$B4383,$B4383))</f>
        <v>5</v>
      </c>
      <c r="E4383" s="361" t="s">
        <v>1618</v>
      </c>
      <c r="F4383" s="362" t="s">
        <v>1619</v>
      </c>
      <c r="G4383" s="327" t="s">
        <v>155</v>
      </c>
      <c r="H4383" s="361"/>
      <c r="I4383" s="327">
        <v>1</v>
      </c>
      <c r="J4383" s="361"/>
      <c r="K4383" s="327"/>
      <c r="L4383" s="389">
        <v>280000</v>
      </c>
      <c r="M4383" s="355"/>
      <c r="N4383" s="355" t="str">
        <f t="shared" si="356"/>
        <v>PK</v>
      </c>
      <c r="O4383" s="404" t="s">
        <v>1626</v>
      </c>
      <c r="P4383" s="361"/>
      <c r="Q4383" s="327"/>
      <c r="R4383" s="351"/>
      <c r="S4383" s="351"/>
      <c r="T4383" s="351"/>
      <c r="U4383" s="329" t="str">
        <f>IF($N4383=$N$4,IFERROR(INDEX(DanhMuc!$E$154:$E$165,MATCH(MID($B4383,4,2),DanhMuc!$B$154:$B$165,0)),""),"")</f>
        <v/>
      </c>
      <c r="V4383" s="361"/>
      <c r="W4383" s="345"/>
      <c r="X4383" s="329" t="str">
        <f t="shared" si="354"/>
        <v>AN</v>
      </c>
      <c r="Y4383" s="1128" t="s">
        <v>3380</v>
      </c>
      <c r="Z4383" s="1128" t="s">
        <v>3381</v>
      </c>
      <c r="AA4383" s="1128" t="s">
        <v>3384</v>
      </c>
      <c r="AB4383" s="20"/>
      <c r="AC4383" s="73"/>
    </row>
    <row r="4384" spans="1:29">
      <c r="A4384" s="327" t="str">
        <f>IF(AND($B4384&lt;&gt;"",$C4384&lt;&gt;""),MAX($A$1556:A4359)+1,"")</f>
        <v/>
      </c>
      <c r="B4384" s="361" t="s">
        <v>2181</v>
      </c>
      <c r="C4384" s="360"/>
      <c r="D4384" s="327">
        <f>IF($B4384="","",COUNTIF($B$6:$B4384,$B4384))</f>
        <v>6</v>
      </c>
      <c r="E4384" s="361" t="s">
        <v>1620</v>
      </c>
      <c r="F4384" s="362" t="s">
        <v>1621</v>
      </c>
      <c r="G4384" s="327" t="s">
        <v>155</v>
      </c>
      <c r="H4384" s="361"/>
      <c r="I4384" s="327">
        <v>1</v>
      </c>
      <c r="J4384" s="361"/>
      <c r="K4384" s="327"/>
      <c r="L4384" s="389">
        <v>260000</v>
      </c>
      <c r="M4384" s="355"/>
      <c r="N4384" s="355" t="str">
        <f t="shared" si="356"/>
        <v>PK</v>
      </c>
      <c r="O4384" s="345" t="s">
        <v>2699</v>
      </c>
      <c r="P4384" s="361"/>
      <c r="Q4384" s="327"/>
      <c r="R4384" s="351"/>
      <c r="S4384" s="351"/>
      <c r="T4384" s="351"/>
      <c r="U4384" s="329" t="str">
        <f>IF($N4384=$N$4,IFERROR(INDEX(DanhMuc!$E$154:$E$165,MATCH(MID($B4384,4,2),DanhMuc!$B$154:$B$165,0)),""),"")</f>
        <v/>
      </c>
      <c r="V4384" s="361"/>
      <c r="W4384" s="345"/>
      <c r="X4384" s="329" t="str">
        <f t="shared" si="354"/>
        <v>AN</v>
      </c>
      <c r="Y4384" s="1128" t="s">
        <v>3380</v>
      </c>
      <c r="Z4384" s="1128" t="s">
        <v>3381</v>
      </c>
      <c r="AA4384" s="1128" t="s">
        <v>3384</v>
      </c>
      <c r="AB4384" s="20"/>
      <c r="AC4384" s="73"/>
    </row>
    <row r="4385" spans="1:29">
      <c r="A4385" s="327" t="str">
        <f>IF(AND($B4385&lt;&gt;"",$C4385&lt;&gt;""),MAX($A$1556:A4360)+1,"")</f>
        <v/>
      </c>
      <c r="B4385" s="361" t="s">
        <v>2181</v>
      </c>
      <c r="C4385" s="360"/>
      <c r="D4385" s="327">
        <f>IF($B4385="","",COUNTIF($B$6:$B4385,$B4385))</f>
        <v>7</v>
      </c>
      <c r="E4385" s="361" t="s">
        <v>1612</v>
      </c>
      <c r="F4385" s="362" t="s">
        <v>1613</v>
      </c>
      <c r="G4385" s="327" t="s">
        <v>155</v>
      </c>
      <c r="H4385" s="327"/>
      <c r="I4385" s="327">
        <v>1</v>
      </c>
      <c r="J4385" s="361"/>
      <c r="K4385" s="327"/>
      <c r="L4385" s="389">
        <v>230000</v>
      </c>
      <c r="M4385" s="355"/>
      <c r="N4385" s="355" t="str">
        <f t="shared" si="356"/>
        <v>PK</v>
      </c>
      <c r="O4385" s="345" t="s">
        <v>1060</v>
      </c>
      <c r="P4385" s="392"/>
      <c r="Q4385" s="327"/>
      <c r="R4385" s="351"/>
      <c r="S4385" s="351"/>
      <c r="T4385" s="351"/>
      <c r="U4385" s="329" t="str">
        <f>IF($N4385=$N$4,IFERROR(INDEX(DanhMuc!$E$154:$E$165,MATCH(MID($B4385,4,2),DanhMuc!$B$154:$B$165,0)),""),"")</f>
        <v/>
      </c>
      <c r="V4385" s="361"/>
      <c r="W4385" s="345"/>
      <c r="X4385" s="329" t="str">
        <f t="shared" si="354"/>
        <v>AN</v>
      </c>
      <c r="Y4385" s="1128" t="s">
        <v>3380</v>
      </c>
      <c r="Z4385" s="1128" t="s">
        <v>3381</v>
      </c>
      <c r="AA4385" s="1128" t="s">
        <v>3384</v>
      </c>
      <c r="AB4385" s="20"/>
      <c r="AC4385" s="73"/>
    </row>
    <row r="4386" spans="1:29">
      <c r="A4386" s="327" t="str">
        <f>IF(AND($B4386&lt;&gt;"",$C4386&lt;&gt;""),MAX($A$1556:A4361)+1,"")</f>
        <v/>
      </c>
      <c r="B4386" s="361" t="s">
        <v>2181</v>
      </c>
      <c r="C4386" s="360"/>
      <c r="D4386" s="327">
        <f>IF($B4386="","",COUNTIF($B$6:$B4386,$B4386))</f>
        <v>8</v>
      </c>
      <c r="E4386" s="361" t="s">
        <v>1651</v>
      </c>
      <c r="F4386" s="362" t="s">
        <v>1652</v>
      </c>
      <c r="G4386" s="327" t="s">
        <v>155</v>
      </c>
      <c r="H4386" s="327"/>
      <c r="I4386" s="327">
        <v>1</v>
      </c>
      <c r="J4386" s="359"/>
      <c r="K4386" s="327"/>
      <c r="L4386" s="389">
        <v>18000</v>
      </c>
      <c r="M4386" s="355"/>
      <c r="N4386" s="355" t="str">
        <f t="shared" si="356"/>
        <v>PK</v>
      </c>
      <c r="O4386" s="342"/>
      <c r="P4386" s="392"/>
      <c r="Q4386" s="327"/>
      <c r="R4386" s="351"/>
      <c r="S4386" s="351"/>
      <c r="T4386" s="351"/>
      <c r="U4386" s="329" t="str">
        <f>IF($N4386=$N$4,IFERROR(INDEX(DanhMuc!$E$154:$E$165,MATCH(MID($B4386,4,2),DanhMuc!$B$154:$B$165,0)),""),"")</f>
        <v/>
      </c>
      <c r="V4386" s="361"/>
      <c r="W4386" s="345"/>
      <c r="X4386" s="329" t="str">
        <f t="shared" si="354"/>
        <v>AN</v>
      </c>
      <c r="Y4386" s="1128" t="s">
        <v>3380</v>
      </c>
      <c r="Z4386" s="1128" t="s">
        <v>3381</v>
      </c>
      <c r="AA4386" s="1128" t="s">
        <v>3384</v>
      </c>
      <c r="AB4386" s="20"/>
      <c r="AC4386" s="73"/>
    </row>
    <row r="4387" spans="1:29">
      <c r="A4387" s="327" t="str">
        <f>IF(AND($B4387&lt;&gt;"",$C4387&lt;&gt;""),MAX($A$1556:A4362)+1,"")</f>
        <v/>
      </c>
      <c r="B4387" s="361" t="s">
        <v>2181</v>
      </c>
      <c r="C4387" s="360"/>
      <c r="D4387" s="327">
        <f>IF($B4387="","",COUNTIF($B$6:$B4387,$B4387))</f>
        <v>9</v>
      </c>
      <c r="E4387" s="361" t="s">
        <v>1615</v>
      </c>
      <c r="F4387" s="362" t="s">
        <v>1616</v>
      </c>
      <c r="G4387" s="327" t="s">
        <v>156</v>
      </c>
      <c r="H4387" s="327"/>
      <c r="I4387" s="327">
        <v>2</v>
      </c>
      <c r="J4387" s="359"/>
      <c r="K4387" s="327"/>
      <c r="L4387" s="389">
        <v>54000</v>
      </c>
      <c r="M4387" s="355"/>
      <c r="N4387" s="355" t="str">
        <f t="shared" si="356"/>
        <v>PK</v>
      </c>
      <c r="O4387" s="404" t="s">
        <v>1623</v>
      </c>
      <c r="P4387" s="392"/>
      <c r="Q4387" s="327"/>
      <c r="R4387" s="351"/>
      <c r="S4387" s="351"/>
      <c r="T4387" s="351"/>
      <c r="U4387" s="329" t="str">
        <f>IF($N4387=$N$4,IFERROR(INDEX(DanhMuc!$E$154:$E$165,MATCH(MID($B4387,4,2),DanhMuc!$B$154:$B$165,0)),""),"")</f>
        <v/>
      </c>
      <c r="V4387" s="408"/>
      <c r="W4387" s="345"/>
      <c r="X4387" s="329" t="str">
        <f t="shared" si="354"/>
        <v>AN</v>
      </c>
      <c r="Y4387" s="1128" t="s">
        <v>3380</v>
      </c>
      <c r="Z4387" s="1128" t="s">
        <v>3381</v>
      </c>
      <c r="AA4387" s="1128" t="s">
        <v>3384</v>
      </c>
      <c r="AB4387" s="20"/>
      <c r="AC4387" s="73"/>
    </row>
    <row r="4388" spans="1:29">
      <c r="A4388" s="327" t="str">
        <f>IF(AND($B4388&lt;&gt;"",$C4388&lt;&gt;""),MAX($A$1556:A4363)+1,"")</f>
        <v/>
      </c>
      <c r="B4388" s="361" t="s">
        <v>2181</v>
      </c>
      <c r="C4388" s="360"/>
      <c r="D4388" s="327">
        <f>IF($B4388="","",COUNTIF($B$6:$B4388,$B4388))</f>
        <v>10</v>
      </c>
      <c r="E4388" s="361" t="s">
        <v>1653</v>
      </c>
      <c r="F4388" s="362" t="s">
        <v>1654</v>
      </c>
      <c r="G4388" s="327" t="s">
        <v>155</v>
      </c>
      <c r="H4388" s="327"/>
      <c r="I4388" s="327">
        <v>4</v>
      </c>
      <c r="J4388" s="359"/>
      <c r="K4388" s="327"/>
      <c r="L4388" s="389">
        <v>5000</v>
      </c>
      <c r="M4388" s="355"/>
      <c r="N4388" s="355" t="str">
        <f t="shared" si="356"/>
        <v>PK</v>
      </c>
      <c r="O4388" s="404" t="s">
        <v>1623</v>
      </c>
      <c r="P4388" s="392"/>
      <c r="Q4388" s="327"/>
      <c r="R4388" s="351"/>
      <c r="S4388" s="351"/>
      <c r="T4388" s="351"/>
      <c r="U4388" s="329" t="str">
        <f>IF($N4388=$N$4,IFERROR(INDEX(DanhMuc!$E$154:$E$165,MATCH(MID($B4388,4,2),DanhMuc!$B$154:$B$165,0)),""),"")</f>
        <v/>
      </c>
      <c r="V4388" s="361"/>
      <c r="W4388" s="345"/>
      <c r="X4388" s="329" t="str">
        <f t="shared" si="354"/>
        <v>AN</v>
      </c>
      <c r="Y4388" s="1128" t="s">
        <v>3380</v>
      </c>
      <c r="Z4388" s="1128" t="s">
        <v>3381</v>
      </c>
      <c r="AA4388" s="1128" t="s">
        <v>3384</v>
      </c>
      <c r="AB4388" s="20"/>
      <c r="AC4388" s="73"/>
    </row>
    <row r="4389" spans="1:29">
      <c r="A4389" s="327" t="str">
        <f>IF(AND($B4389&lt;&gt;"",$C4389&lt;&gt;""),MAX($A$1556:A4364)+1,"")</f>
        <v/>
      </c>
      <c r="B4389" s="361" t="s">
        <v>2181</v>
      </c>
      <c r="C4389" s="360"/>
      <c r="D4389" s="327">
        <f>IF($B4389="","",COUNTIF($B$6:$B4389,$B4389))</f>
        <v>11</v>
      </c>
      <c r="E4389" s="361" t="s">
        <v>1674</v>
      </c>
      <c r="F4389" s="362" t="s">
        <v>1655</v>
      </c>
      <c r="G4389" s="327" t="s">
        <v>155</v>
      </c>
      <c r="H4389" s="327"/>
      <c r="I4389" s="327">
        <v>4</v>
      </c>
      <c r="J4389" s="359"/>
      <c r="K4389" s="327"/>
      <c r="L4389" s="389">
        <v>58000</v>
      </c>
      <c r="M4389" s="355"/>
      <c r="N4389" s="355" t="str">
        <f t="shared" si="356"/>
        <v>PK</v>
      </c>
      <c r="O4389" s="342"/>
      <c r="P4389" s="392"/>
      <c r="Q4389" s="327"/>
      <c r="R4389" s="351"/>
      <c r="S4389" s="351"/>
      <c r="T4389" s="351"/>
      <c r="U4389" s="329" t="str">
        <f>IF($N4389=$N$4,IFERROR(INDEX(DanhMuc!$E$154:$E$165,MATCH(MID($B4389,4,2),DanhMuc!$B$154:$B$165,0)),""),"")</f>
        <v/>
      </c>
      <c r="V4389" s="361"/>
      <c r="W4389" s="345"/>
      <c r="X4389" s="329" t="str">
        <f t="shared" si="354"/>
        <v>AN</v>
      </c>
      <c r="Y4389" s="1128" t="s">
        <v>3380</v>
      </c>
      <c r="Z4389" s="1128" t="s">
        <v>3381</v>
      </c>
      <c r="AA4389" s="1128" t="s">
        <v>3384</v>
      </c>
      <c r="AB4389" s="20"/>
      <c r="AC4389" s="73"/>
    </row>
    <row r="4390" spans="1:29">
      <c r="A4390" s="327" t="str">
        <f>IF(AND($B4390&lt;&gt;"",$C4390&lt;&gt;""),MAX($A$1556:A4365)+1,"")</f>
        <v/>
      </c>
      <c r="B4390" s="361" t="s">
        <v>2181</v>
      </c>
      <c r="C4390" s="360"/>
      <c r="D4390" s="327">
        <f>IF($B4390="","",COUNTIF($B$6:$B4390,$B4390))</f>
        <v>12</v>
      </c>
      <c r="E4390" s="361" t="s">
        <v>1656</v>
      </c>
      <c r="F4390" s="362" t="s">
        <v>1657</v>
      </c>
      <c r="G4390" s="327" t="s">
        <v>155</v>
      </c>
      <c r="H4390" s="327"/>
      <c r="I4390" s="327">
        <v>4</v>
      </c>
      <c r="J4390" s="359"/>
      <c r="K4390" s="327"/>
      <c r="L4390" s="389">
        <v>12000</v>
      </c>
      <c r="M4390" s="355"/>
      <c r="N4390" s="355" t="str">
        <f t="shared" si="356"/>
        <v>PK</v>
      </c>
      <c r="O4390" s="342"/>
      <c r="P4390" s="392"/>
      <c r="Q4390" s="327"/>
      <c r="R4390" s="351"/>
      <c r="S4390" s="351"/>
      <c r="T4390" s="351"/>
      <c r="U4390" s="329" t="str">
        <f>IF($N4390=$N$4,IFERROR(INDEX(DanhMuc!$E$154:$E$165,MATCH(MID($B4390,4,2),DanhMuc!$B$154:$B$165,0)),""),"")</f>
        <v/>
      </c>
      <c r="V4390" s="361"/>
      <c r="W4390" s="345"/>
      <c r="X4390" s="329" t="str">
        <f t="shared" si="354"/>
        <v>AN</v>
      </c>
      <c r="Y4390" s="1128" t="s">
        <v>3380</v>
      </c>
      <c r="Z4390" s="1128" t="s">
        <v>3381</v>
      </c>
      <c r="AA4390" s="1128" t="s">
        <v>3384</v>
      </c>
      <c r="AB4390" s="20"/>
      <c r="AC4390" s="73"/>
    </row>
    <row r="4391" spans="1:29">
      <c r="A4391" s="327" t="str">
        <f>IF(AND($B4391&lt;&gt;"",$C4391&lt;&gt;""),MAX($A$1556:A4366)+1,"")</f>
        <v/>
      </c>
      <c r="B4391" s="361" t="s">
        <v>2181</v>
      </c>
      <c r="C4391" s="360"/>
      <c r="D4391" s="327">
        <f>IF($B4391="","",COUNTIF($B$6:$B4391,$B4391))</f>
        <v>13</v>
      </c>
      <c r="E4391" s="361" t="s">
        <v>1647</v>
      </c>
      <c r="F4391" s="362" t="s">
        <v>1648</v>
      </c>
      <c r="G4391" s="327" t="s">
        <v>155</v>
      </c>
      <c r="H4391" s="327"/>
      <c r="I4391" s="327">
        <v>2</v>
      </c>
      <c r="J4391" s="359"/>
      <c r="K4391" s="327"/>
      <c r="L4391" s="389">
        <v>12000</v>
      </c>
      <c r="M4391" s="355"/>
      <c r="N4391" s="355" t="str">
        <f t="shared" si="356"/>
        <v>PK</v>
      </c>
      <c r="O4391" s="342"/>
      <c r="P4391" s="392"/>
      <c r="Q4391" s="327"/>
      <c r="R4391" s="351"/>
      <c r="S4391" s="351"/>
      <c r="T4391" s="351"/>
      <c r="U4391" s="329" t="str">
        <f>IF($N4391=$N$4,IFERROR(INDEX(DanhMuc!$E$154:$E$165,MATCH(MID($B4391,4,2),DanhMuc!$B$154:$B$165,0)),""),"")</f>
        <v/>
      </c>
      <c r="V4391" s="408"/>
      <c r="W4391" s="345"/>
      <c r="X4391" s="329" t="str">
        <f t="shared" si="354"/>
        <v>AN</v>
      </c>
      <c r="Y4391" s="1128" t="s">
        <v>3380</v>
      </c>
      <c r="Z4391" s="1128" t="s">
        <v>3381</v>
      </c>
      <c r="AA4391" s="1128" t="s">
        <v>3384</v>
      </c>
      <c r="AB4391" s="20"/>
      <c r="AC4391" s="73"/>
    </row>
    <row r="4392" spans="1:29">
      <c r="A4392" s="327" t="str">
        <f>IF(AND($B4392&lt;&gt;"",$C4392&lt;&gt;""),MAX($A$1556:A4367)+1,"")</f>
        <v/>
      </c>
      <c r="B4392" s="361" t="s">
        <v>2181</v>
      </c>
      <c r="C4392" s="360"/>
      <c r="D4392" s="327">
        <f>IF($B4392="","",COUNTIF($B$6:$B4392,$B4392))</f>
        <v>14</v>
      </c>
      <c r="E4392" s="361" t="s">
        <v>1649</v>
      </c>
      <c r="F4392" s="362" t="s">
        <v>1650</v>
      </c>
      <c r="G4392" s="327" t="s">
        <v>155</v>
      </c>
      <c r="H4392" s="327"/>
      <c r="I4392" s="327">
        <v>2</v>
      </c>
      <c r="J4392" s="359"/>
      <c r="K4392" s="327"/>
      <c r="L4392" s="389">
        <v>12000</v>
      </c>
      <c r="M4392" s="355"/>
      <c r="N4392" s="355" t="str">
        <f t="shared" si="356"/>
        <v>PK</v>
      </c>
      <c r="O4392" s="342"/>
      <c r="P4392" s="392"/>
      <c r="Q4392" s="327"/>
      <c r="R4392" s="351"/>
      <c r="S4392" s="351"/>
      <c r="T4392" s="351"/>
      <c r="U4392" s="329" t="str">
        <f>IF($N4392=$N$4,IFERROR(INDEX(DanhMuc!$E$154:$E$165,MATCH(MID($B4392,4,2),DanhMuc!$B$154:$B$165,0)),""),"")</f>
        <v/>
      </c>
      <c r="V4392" s="408"/>
      <c r="W4392" s="345"/>
      <c r="X4392" s="329" t="str">
        <f t="shared" si="354"/>
        <v>AN</v>
      </c>
      <c r="Y4392" s="1128" t="s">
        <v>3380</v>
      </c>
      <c r="Z4392" s="1128" t="s">
        <v>3381</v>
      </c>
      <c r="AA4392" s="1128" t="s">
        <v>3384</v>
      </c>
      <c r="AB4392" s="20"/>
      <c r="AC4392" s="73"/>
    </row>
    <row r="4393" spans="1:29" ht="39">
      <c r="A4393" s="327">
        <f>IF(AND($B4393&lt;&gt;"",$C4393&lt;&gt;""),MAX($A$1556:A4368)+1,"")</f>
        <v>201</v>
      </c>
      <c r="B4393" s="359" t="s">
        <v>2047</v>
      </c>
      <c r="C4393" s="360" t="s">
        <v>1668</v>
      </c>
      <c r="D4393" s="327">
        <f>IF($B4393="","",COUNTIF($B$6:$B4393,$B4393))</f>
        <v>1</v>
      </c>
      <c r="E4393" s="361" t="s">
        <v>1606</v>
      </c>
      <c r="F4393" s="362" t="s">
        <v>1607</v>
      </c>
      <c r="G4393" s="327" t="s">
        <v>155</v>
      </c>
      <c r="H4393" s="361"/>
      <c r="I4393" s="361">
        <v>8</v>
      </c>
      <c r="J4393" s="361"/>
      <c r="K4393" s="327"/>
      <c r="L4393" s="389">
        <v>150000</v>
      </c>
      <c r="M4393" s="355"/>
      <c r="N4393" s="355" t="str">
        <f t="shared" si="356"/>
        <v>PK</v>
      </c>
      <c r="O4393" s="359"/>
      <c r="P4393" s="361"/>
      <c r="Q4393" s="327"/>
      <c r="R4393" s="351"/>
      <c r="S4393" s="351"/>
      <c r="T4393" s="351"/>
      <c r="U4393" s="329" t="str">
        <f>IF($N4393=$N$4,IFERROR(INDEX(DanhMuc!$E$154:$E$165,MATCH(MID($B4393,4,2),DanhMuc!$B$154:$B$165,0)),""),"")</f>
        <v/>
      </c>
      <c r="V4393" s="361"/>
      <c r="W4393" s="345"/>
      <c r="X4393" s="329" t="str">
        <f t="shared" si="354"/>
        <v>AN</v>
      </c>
      <c r="Y4393" s="1128" t="s">
        <v>3380</v>
      </c>
      <c r="Z4393" s="1128" t="s">
        <v>3381</v>
      </c>
      <c r="AA4393" s="1128" t="s">
        <v>3384</v>
      </c>
      <c r="AB4393" s="20"/>
      <c r="AC4393" s="73"/>
    </row>
    <row r="4394" spans="1:29">
      <c r="A4394" s="327" t="str">
        <f>IF(AND($B4394&lt;&gt;"",$C4394&lt;&gt;""),MAX($A$1556:A4369)+1,"")</f>
        <v/>
      </c>
      <c r="B4394" s="361" t="s">
        <v>2047</v>
      </c>
      <c r="C4394" s="360"/>
      <c r="D4394" s="327">
        <f>IF($B4394="","",COUNTIF($B$6:$B4394,$B4394))</f>
        <v>2</v>
      </c>
      <c r="E4394" s="361" t="s">
        <v>1672</v>
      </c>
      <c r="F4394" s="362" t="s">
        <v>1673</v>
      </c>
      <c r="G4394" s="327" t="s">
        <v>155</v>
      </c>
      <c r="H4394" s="361"/>
      <c r="I4394" s="361">
        <v>8</v>
      </c>
      <c r="J4394" s="361"/>
      <c r="K4394" s="327"/>
      <c r="L4394" s="389">
        <v>160000</v>
      </c>
      <c r="M4394" s="355"/>
      <c r="N4394" s="355" t="str">
        <f t="shared" ref="N4394:N4521" si="357">+$N$1555</f>
        <v>PK</v>
      </c>
      <c r="O4394" s="359"/>
      <c r="P4394" s="361"/>
      <c r="Q4394" s="327"/>
      <c r="R4394" s="351"/>
      <c r="S4394" s="351"/>
      <c r="T4394" s="351"/>
      <c r="U4394" s="329" t="str">
        <f>IF($N4394=$N$4,IFERROR(INDEX(DanhMuc!$E$154:$E$165,MATCH(MID($B4394,4,2),DanhMuc!$B$154:$B$165,0)),""),"")</f>
        <v/>
      </c>
      <c r="V4394" s="361"/>
      <c r="W4394" s="345"/>
      <c r="X4394" s="329" t="str">
        <f t="shared" si="354"/>
        <v>AN</v>
      </c>
      <c r="Y4394" s="1128" t="s">
        <v>3380</v>
      </c>
      <c r="Z4394" s="1128" t="s">
        <v>3381</v>
      </c>
      <c r="AA4394" s="1128" t="s">
        <v>3384</v>
      </c>
      <c r="AB4394" s="20"/>
      <c r="AC4394" s="73"/>
    </row>
    <row r="4395" spans="1:29">
      <c r="A4395" s="327" t="str">
        <f>IF(AND($B4395&lt;&gt;"",$C4395&lt;&gt;""),MAX($A$1556:A4370)+1,"")</f>
        <v/>
      </c>
      <c r="B4395" s="361" t="s">
        <v>2047</v>
      </c>
      <c r="C4395" s="360"/>
      <c r="D4395" s="327">
        <f>IF($B4395="","",COUNTIF($B$6:$B4395,$B4395))</f>
        <v>3</v>
      </c>
      <c r="E4395" s="361" t="s">
        <v>1608</v>
      </c>
      <c r="F4395" s="362" t="s">
        <v>1609</v>
      </c>
      <c r="G4395" s="327" t="s">
        <v>155</v>
      </c>
      <c r="H4395" s="361"/>
      <c r="I4395" s="361">
        <v>1</v>
      </c>
      <c r="J4395" s="361"/>
      <c r="K4395" s="327"/>
      <c r="L4395" s="389">
        <v>600000</v>
      </c>
      <c r="M4395" s="355"/>
      <c r="N4395" s="355" t="str">
        <f t="shared" si="357"/>
        <v>PK</v>
      </c>
      <c r="O4395" s="359"/>
      <c r="P4395" s="361"/>
      <c r="Q4395" s="327"/>
      <c r="R4395" s="351"/>
      <c r="S4395" s="351"/>
      <c r="T4395" s="351"/>
      <c r="U4395" s="329" t="str">
        <f>IF($N4395=$N$4,IFERROR(INDEX(DanhMuc!$E$154:$E$165,MATCH(MID($B4395,4,2),DanhMuc!$B$154:$B$165,0)),""),"")</f>
        <v/>
      </c>
      <c r="V4395" s="361"/>
      <c r="W4395" s="345"/>
      <c r="X4395" s="329" t="str">
        <f t="shared" si="354"/>
        <v>AN</v>
      </c>
      <c r="Y4395" s="1128" t="s">
        <v>3380</v>
      </c>
      <c r="Z4395" s="1128" t="s">
        <v>3381</v>
      </c>
      <c r="AA4395" s="1128" t="s">
        <v>3384</v>
      </c>
      <c r="AB4395" s="20"/>
      <c r="AC4395" s="73"/>
    </row>
    <row r="4396" spans="1:29">
      <c r="A4396" s="327" t="str">
        <f>IF(AND($B4396&lt;&gt;"",$C4396&lt;&gt;""),MAX($A$1556:A4371)+1,"")</f>
        <v/>
      </c>
      <c r="B4396" s="361" t="s">
        <v>2047</v>
      </c>
      <c r="C4396" s="360"/>
      <c r="D4396" s="327">
        <f>IF($B4396="","",COUNTIF($B$6:$B4396,$B4396))</f>
        <v>4</v>
      </c>
      <c r="E4396" s="361" t="s">
        <v>1610</v>
      </c>
      <c r="F4396" s="362" t="s">
        <v>1611</v>
      </c>
      <c r="G4396" s="327" t="s">
        <v>155</v>
      </c>
      <c r="H4396" s="361"/>
      <c r="I4396" s="361">
        <v>1</v>
      </c>
      <c r="J4396" s="361"/>
      <c r="K4396" s="327"/>
      <c r="L4396" s="389">
        <v>190000</v>
      </c>
      <c r="M4396" s="355"/>
      <c r="N4396" s="355" t="str">
        <f t="shared" si="357"/>
        <v>PK</v>
      </c>
      <c r="O4396" s="404" t="s">
        <v>1623</v>
      </c>
      <c r="P4396" s="361"/>
      <c r="Q4396" s="327"/>
      <c r="R4396" s="351"/>
      <c r="S4396" s="351"/>
      <c r="T4396" s="351"/>
      <c r="U4396" s="329" t="str">
        <f>IF($N4396=$N$4,IFERROR(INDEX(DanhMuc!$E$154:$E$165,MATCH(MID($B4396,4,2),DanhMuc!$B$154:$B$165,0)),""),"")</f>
        <v/>
      </c>
      <c r="V4396" s="361"/>
      <c r="W4396" s="345"/>
      <c r="X4396" s="329" t="str">
        <f t="shared" si="354"/>
        <v>AN</v>
      </c>
      <c r="Y4396" s="1128" t="s">
        <v>3380</v>
      </c>
      <c r="Z4396" s="1128" t="s">
        <v>3381</v>
      </c>
      <c r="AA4396" s="1128" t="s">
        <v>3384</v>
      </c>
      <c r="AB4396" s="20"/>
      <c r="AC4396" s="73"/>
    </row>
    <row r="4397" spans="1:29">
      <c r="A4397" s="327" t="str">
        <f>IF(AND($B4397&lt;&gt;"",$C4397&lt;&gt;""),MAX($A$1556:A4372)+1,"")</f>
        <v/>
      </c>
      <c r="B4397" s="361" t="s">
        <v>2047</v>
      </c>
      <c r="C4397" s="360"/>
      <c r="D4397" s="327">
        <f>IF($B4397="","",COUNTIF($B$6:$B4397,$B4397))</f>
        <v>5</v>
      </c>
      <c r="E4397" s="361" t="s">
        <v>1618</v>
      </c>
      <c r="F4397" s="362" t="s">
        <v>1619</v>
      </c>
      <c r="G4397" s="327" t="s">
        <v>155</v>
      </c>
      <c r="H4397" s="361"/>
      <c r="I4397" s="327">
        <v>1</v>
      </c>
      <c r="J4397" s="361"/>
      <c r="K4397" s="327"/>
      <c r="L4397" s="389">
        <v>280000</v>
      </c>
      <c r="M4397" s="355"/>
      <c r="N4397" s="355" t="str">
        <f>+$N$1555</f>
        <v>PK</v>
      </c>
      <c r="O4397" s="404" t="s">
        <v>1626</v>
      </c>
      <c r="P4397" s="361"/>
      <c r="Q4397" s="327"/>
      <c r="R4397" s="351"/>
      <c r="S4397" s="351"/>
      <c r="T4397" s="351"/>
      <c r="U4397" s="329" t="str">
        <f>IF($N4397=$N$4,IFERROR(INDEX(DanhMuc!$E$154:$E$165,MATCH(MID($B4397,4,2),DanhMuc!$B$154:$B$165,0)),""),"")</f>
        <v/>
      </c>
      <c r="V4397" s="361"/>
      <c r="W4397" s="345"/>
      <c r="X4397" s="329" t="str">
        <f t="shared" si="354"/>
        <v>AN</v>
      </c>
      <c r="Y4397" s="1128" t="s">
        <v>3380</v>
      </c>
      <c r="Z4397" s="1128" t="s">
        <v>3381</v>
      </c>
      <c r="AA4397" s="1128" t="s">
        <v>3384</v>
      </c>
      <c r="AB4397" s="20"/>
      <c r="AC4397" s="73"/>
    </row>
    <row r="4398" spans="1:29">
      <c r="A4398" s="327" t="str">
        <f>IF(AND($B4398&lt;&gt;"",$C4398&lt;&gt;""),MAX($A$1556:A4373)+1,"")</f>
        <v/>
      </c>
      <c r="B4398" s="361" t="s">
        <v>2047</v>
      </c>
      <c r="C4398" s="360"/>
      <c r="D4398" s="327">
        <f>IF($B4398="","",COUNTIF($B$6:$B4398,$B4398))</f>
        <v>6</v>
      </c>
      <c r="E4398" s="361" t="s">
        <v>1612</v>
      </c>
      <c r="F4398" s="362" t="s">
        <v>1613</v>
      </c>
      <c r="G4398" s="327" t="s">
        <v>155</v>
      </c>
      <c r="H4398" s="361"/>
      <c r="I4398" s="361">
        <v>1</v>
      </c>
      <c r="J4398" s="361"/>
      <c r="K4398" s="327"/>
      <c r="L4398" s="389">
        <v>230000</v>
      </c>
      <c r="M4398" s="355"/>
      <c r="N4398" s="355" t="str">
        <f t="shared" si="357"/>
        <v>PK</v>
      </c>
      <c r="O4398" s="345" t="s">
        <v>1060</v>
      </c>
      <c r="P4398" s="361"/>
      <c r="Q4398" s="327"/>
      <c r="R4398" s="351"/>
      <c r="S4398" s="351"/>
      <c r="T4398" s="351"/>
      <c r="U4398" s="329" t="str">
        <f>IF($N4398=$N$4,IFERROR(INDEX(DanhMuc!$E$154:$E$165,MATCH(MID($B4398,4,2),DanhMuc!$B$154:$B$165,0)),""),"")</f>
        <v/>
      </c>
      <c r="V4398" s="361"/>
      <c r="W4398" s="345"/>
      <c r="X4398" s="329" t="str">
        <f t="shared" si="354"/>
        <v>AN</v>
      </c>
      <c r="Y4398" s="1128" t="s">
        <v>3380</v>
      </c>
      <c r="Z4398" s="1128" t="s">
        <v>3381</v>
      </c>
      <c r="AA4398" s="1128" t="s">
        <v>3384</v>
      </c>
      <c r="AB4398" s="20"/>
      <c r="AC4398" s="73"/>
    </row>
    <row r="4399" spans="1:29">
      <c r="A4399" s="327" t="str">
        <f>IF(AND($B4399&lt;&gt;"",$C4399&lt;&gt;""),MAX($A$1556:A4374)+1,"")</f>
        <v/>
      </c>
      <c r="B4399" s="361" t="s">
        <v>2047</v>
      </c>
      <c r="C4399" s="360"/>
      <c r="D4399" s="327">
        <f>IF($B4399="","",COUNTIF($B$6:$B4399,$B4399))</f>
        <v>7</v>
      </c>
      <c r="E4399" s="361" t="s">
        <v>1620</v>
      </c>
      <c r="F4399" s="362" t="s">
        <v>1621</v>
      </c>
      <c r="G4399" s="327" t="s">
        <v>155</v>
      </c>
      <c r="H4399" s="361"/>
      <c r="I4399" s="327">
        <v>1</v>
      </c>
      <c r="J4399" s="361"/>
      <c r="K4399" s="327"/>
      <c r="L4399" s="389">
        <v>260000</v>
      </c>
      <c r="M4399" s="355"/>
      <c r="N4399" s="355" t="str">
        <f>+$N$1555</f>
        <v>PK</v>
      </c>
      <c r="O4399" s="345" t="s">
        <v>2699</v>
      </c>
      <c r="P4399" s="361"/>
      <c r="Q4399" s="327"/>
      <c r="R4399" s="351"/>
      <c r="S4399" s="351"/>
      <c r="T4399" s="351"/>
      <c r="U4399" s="329" t="str">
        <f>IF($N4399=$N$4,IFERROR(INDEX(DanhMuc!$E$154:$E$165,MATCH(MID($B4399,4,2),DanhMuc!$B$154:$B$165,0)),""),"")</f>
        <v/>
      </c>
      <c r="V4399" s="361"/>
      <c r="W4399" s="345"/>
      <c r="X4399" s="329" t="str">
        <f t="shared" si="354"/>
        <v>AN</v>
      </c>
      <c r="Y4399" s="1128" t="s">
        <v>3380</v>
      </c>
      <c r="Z4399" s="1128" t="s">
        <v>3381</v>
      </c>
      <c r="AA4399" s="1128" t="s">
        <v>3384</v>
      </c>
      <c r="AB4399" s="20"/>
      <c r="AC4399" s="73"/>
    </row>
    <row r="4400" spans="1:29">
      <c r="A4400" s="327" t="str">
        <f>IF(AND($B4400&lt;&gt;"",$C4400&lt;&gt;""),MAX($A$1556:A4375)+1,"")</f>
        <v/>
      </c>
      <c r="B4400" s="361" t="s">
        <v>2047</v>
      </c>
      <c r="C4400" s="360"/>
      <c r="D4400" s="327">
        <f>IF($B4400="","",COUNTIF($B$6:$B4400,$B4400))</f>
        <v>8</v>
      </c>
      <c r="E4400" s="361" t="s">
        <v>1651</v>
      </c>
      <c r="F4400" s="362" t="s">
        <v>1652</v>
      </c>
      <c r="G4400" s="327" t="s">
        <v>155</v>
      </c>
      <c r="H4400" s="361"/>
      <c r="I4400" s="361">
        <v>1</v>
      </c>
      <c r="J4400" s="361"/>
      <c r="K4400" s="327"/>
      <c r="L4400" s="389">
        <v>18000</v>
      </c>
      <c r="M4400" s="355"/>
      <c r="N4400" s="355" t="str">
        <f t="shared" si="357"/>
        <v>PK</v>
      </c>
      <c r="O4400" s="359"/>
      <c r="P4400" s="361"/>
      <c r="Q4400" s="327"/>
      <c r="R4400" s="351"/>
      <c r="S4400" s="351"/>
      <c r="T4400" s="351"/>
      <c r="U4400" s="329" t="str">
        <f>IF($N4400=$N$4,IFERROR(INDEX(DanhMuc!$E$154:$E$165,MATCH(MID($B4400,4,2),DanhMuc!$B$154:$B$165,0)),""),"")</f>
        <v/>
      </c>
      <c r="V4400" s="361"/>
      <c r="W4400" s="345"/>
      <c r="X4400" s="329" t="str">
        <f t="shared" si="354"/>
        <v>AN</v>
      </c>
      <c r="Y4400" s="1128" t="s">
        <v>3380</v>
      </c>
      <c r="Z4400" s="1128" t="s">
        <v>3381</v>
      </c>
      <c r="AA4400" s="1128" t="s">
        <v>3384</v>
      </c>
      <c r="AB4400" s="20"/>
      <c r="AC4400" s="73"/>
    </row>
    <row r="4401" spans="1:29">
      <c r="A4401" s="327" t="str">
        <f>IF(AND($B4401&lt;&gt;"",$C4401&lt;&gt;""),MAX($A$1556:A4376)+1,"")</f>
        <v/>
      </c>
      <c r="B4401" s="361" t="s">
        <v>2047</v>
      </c>
      <c r="C4401" s="360"/>
      <c r="D4401" s="327">
        <f>IF($B4401="","",COUNTIF($B$6:$B4401,$B4401))</f>
        <v>9</v>
      </c>
      <c r="E4401" s="361" t="s">
        <v>1615</v>
      </c>
      <c r="F4401" s="362" t="s">
        <v>1616</v>
      </c>
      <c r="G4401" s="327" t="s">
        <v>156</v>
      </c>
      <c r="H4401" s="361"/>
      <c r="I4401" s="361">
        <v>2</v>
      </c>
      <c r="J4401" s="361"/>
      <c r="K4401" s="327"/>
      <c r="L4401" s="389">
        <v>54000</v>
      </c>
      <c r="M4401" s="355"/>
      <c r="N4401" s="355" t="str">
        <f t="shared" si="357"/>
        <v>PK</v>
      </c>
      <c r="O4401" s="404" t="s">
        <v>1623</v>
      </c>
      <c r="P4401" s="361"/>
      <c r="Q4401" s="327"/>
      <c r="R4401" s="351"/>
      <c r="S4401" s="351"/>
      <c r="T4401" s="351"/>
      <c r="U4401" s="329" t="str">
        <f>IF($N4401=$N$4,IFERROR(INDEX(DanhMuc!$E$154:$E$165,MATCH(MID($B4401,4,2),DanhMuc!$B$154:$B$165,0)),""),"")</f>
        <v/>
      </c>
      <c r="V4401" s="361"/>
      <c r="W4401" s="345"/>
      <c r="X4401" s="329" t="str">
        <f t="shared" si="354"/>
        <v>AN</v>
      </c>
      <c r="Y4401" s="1128" t="s">
        <v>3380</v>
      </c>
      <c r="Z4401" s="1128" t="s">
        <v>3381</v>
      </c>
      <c r="AA4401" s="1128" t="s">
        <v>3384</v>
      </c>
      <c r="AB4401" s="20"/>
      <c r="AC4401" s="73"/>
    </row>
    <row r="4402" spans="1:29">
      <c r="A4402" s="327" t="str">
        <f>IF(AND($B4402&lt;&gt;"",$C4402&lt;&gt;""),MAX($A$1556:A4377)+1,"")</f>
        <v/>
      </c>
      <c r="B4402" s="361" t="s">
        <v>2047</v>
      </c>
      <c r="C4402" s="360"/>
      <c r="D4402" s="327">
        <f>IF($B4402="","",COUNTIF($B$6:$B4402,$B4402))</f>
        <v>10</v>
      </c>
      <c r="E4402" s="361" t="s">
        <v>1653</v>
      </c>
      <c r="F4402" s="362" t="s">
        <v>1654</v>
      </c>
      <c r="G4402" s="327" t="s">
        <v>155</v>
      </c>
      <c r="H4402" s="361"/>
      <c r="I4402" s="361">
        <v>4</v>
      </c>
      <c r="J4402" s="361"/>
      <c r="K4402" s="327"/>
      <c r="L4402" s="389">
        <v>5000</v>
      </c>
      <c r="M4402" s="355"/>
      <c r="N4402" s="355" t="str">
        <f t="shared" si="357"/>
        <v>PK</v>
      </c>
      <c r="O4402" s="404" t="s">
        <v>1623</v>
      </c>
      <c r="P4402" s="361"/>
      <c r="Q4402" s="327"/>
      <c r="R4402" s="351"/>
      <c r="S4402" s="351"/>
      <c r="T4402" s="351"/>
      <c r="U4402" s="329" t="str">
        <f>IF($N4402=$N$4,IFERROR(INDEX(DanhMuc!$E$154:$E$165,MATCH(MID($B4402,4,2),DanhMuc!$B$154:$B$165,0)),""),"")</f>
        <v/>
      </c>
      <c r="V4402" s="361"/>
      <c r="W4402" s="345"/>
      <c r="X4402" s="329" t="str">
        <f t="shared" si="354"/>
        <v>AN</v>
      </c>
      <c r="Y4402" s="1128" t="s">
        <v>3380</v>
      </c>
      <c r="Z4402" s="1128" t="s">
        <v>3381</v>
      </c>
      <c r="AA4402" s="1128" t="s">
        <v>3384</v>
      </c>
      <c r="AB4402" s="20"/>
      <c r="AC4402" s="73"/>
    </row>
    <row r="4403" spans="1:29">
      <c r="A4403" s="327" t="str">
        <f>IF(AND($B4403&lt;&gt;"",$C4403&lt;&gt;""),MAX($A$1556:A4378)+1,"")</f>
        <v/>
      </c>
      <c r="B4403" s="361" t="s">
        <v>2047</v>
      </c>
      <c r="C4403" s="360"/>
      <c r="D4403" s="327">
        <f>IF($B4403="","",COUNTIF($B$6:$B4403,$B4403))</f>
        <v>11</v>
      </c>
      <c r="E4403" s="361" t="s">
        <v>1674</v>
      </c>
      <c r="F4403" s="362" t="s">
        <v>1655</v>
      </c>
      <c r="G4403" s="327" t="s">
        <v>155</v>
      </c>
      <c r="H4403" s="361"/>
      <c r="I4403" s="361">
        <v>6</v>
      </c>
      <c r="J4403" s="361"/>
      <c r="K4403" s="327"/>
      <c r="L4403" s="389">
        <v>58000</v>
      </c>
      <c r="M4403" s="355"/>
      <c r="N4403" s="355" t="str">
        <f t="shared" si="357"/>
        <v>PK</v>
      </c>
      <c r="O4403" s="359"/>
      <c r="P4403" s="361"/>
      <c r="Q4403" s="327"/>
      <c r="R4403" s="351"/>
      <c r="S4403" s="351"/>
      <c r="T4403" s="351"/>
      <c r="U4403" s="329" t="str">
        <f>IF($N4403=$N$4,IFERROR(INDEX(DanhMuc!$E$154:$E$165,MATCH(MID($B4403,4,2),DanhMuc!$B$154:$B$165,0)),""),"")</f>
        <v/>
      </c>
      <c r="V4403" s="361"/>
      <c r="W4403" s="345"/>
      <c r="X4403" s="329" t="str">
        <f t="shared" si="354"/>
        <v>AN</v>
      </c>
      <c r="Y4403" s="1128" t="s">
        <v>3380</v>
      </c>
      <c r="Z4403" s="1128" t="s">
        <v>3381</v>
      </c>
      <c r="AA4403" s="1128" t="s">
        <v>3384</v>
      </c>
      <c r="AB4403" s="20"/>
      <c r="AC4403" s="73"/>
    </row>
    <row r="4404" spans="1:29">
      <c r="A4404" s="327" t="str">
        <f>IF(AND($B4404&lt;&gt;"",$C4404&lt;&gt;""),MAX($A$1556:A4379)+1,"")</f>
        <v/>
      </c>
      <c r="B4404" s="361" t="s">
        <v>2047</v>
      </c>
      <c r="C4404" s="360"/>
      <c r="D4404" s="327">
        <f>IF($B4404="","",COUNTIF($B$6:$B4404,$B4404))</f>
        <v>12</v>
      </c>
      <c r="E4404" s="361" t="s">
        <v>1656</v>
      </c>
      <c r="F4404" s="362" t="s">
        <v>1657</v>
      </c>
      <c r="G4404" s="327" t="s">
        <v>155</v>
      </c>
      <c r="H4404" s="361"/>
      <c r="I4404" s="361">
        <v>3</v>
      </c>
      <c r="J4404" s="361"/>
      <c r="K4404" s="327"/>
      <c r="L4404" s="389">
        <v>12000</v>
      </c>
      <c r="M4404" s="355"/>
      <c r="N4404" s="355" t="str">
        <f t="shared" si="357"/>
        <v>PK</v>
      </c>
      <c r="O4404" s="359"/>
      <c r="P4404" s="361"/>
      <c r="Q4404" s="327"/>
      <c r="R4404" s="351"/>
      <c r="S4404" s="351"/>
      <c r="T4404" s="351"/>
      <c r="U4404" s="329" t="str">
        <f>IF($N4404=$N$4,IFERROR(INDEX(DanhMuc!$E$154:$E$165,MATCH(MID($B4404,4,2),DanhMuc!$B$154:$B$165,0)),""),"")</f>
        <v/>
      </c>
      <c r="V4404" s="361"/>
      <c r="W4404" s="345"/>
      <c r="X4404" s="329" t="str">
        <f t="shared" si="354"/>
        <v>AN</v>
      </c>
      <c r="Y4404" s="1128" t="s">
        <v>3380</v>
      </c>
      <c r="Z4404" s="1128" t="s">
        <v>3381</v>
      </c>
      <c r="AA4404" s="1128" t="s">
        <v>3384</v>
      </c>
      <c r="AB4404" s="20"/>
      <c r="AC4404" s="73"/>
    </row>
    <row r="4405" spans="1:29">
      <c r="A4405" s="327" t="str">
        <f>IF(AND($B4405&lt;&gt;"",$C4405&lt;&gt;""),MAX($A$1556:A4380)+1,"")</f>
        <v/>
      </c>
      <c r="B4405" s="361" t="s">
        <v>2047</v>
      </c>
      <c r="C4405" s="360"/>
      <c r="D4405" s="327">
        <f>IF($B4405="","",COUNTIF($B$6:$B4405,$B4405))</f>
        <v>13</v>
      </c>
      <c r="E4405" s="361" t="s">
        <v>1647</v>
      </c>
      <c r="F4405" s="362" t="s">
        <v>1648</v>
      </c>
      <c r="G4405" s="327" t="s">
        <v>155</v>
      </c>
      <c r="H4405" s="361"/>
      <c r="I4405" s="361">
        <v>3</v>
      </c>
      <c r="J4405" s="361"/>
      <c r="K4405" s="327"/>
      <c r="L4405" s="389">
        <v>12000</v>
      </c>
      <c r="M4405" s="355"/>
      <c r="N4405" s="355" t="str">
        <f t="shared" si="357"/>
        <v>PK</v>
      </c>
      <c r="O4405" s="359"/>
      <c r="P4405" s="361"/>
      <c r="Q4405" s="327"/>
      <c r="R4405" s="351"/>
      <c r="S4405" s="351"/>
      <c r="T4405" s="351"/>
      <c r="U4405" s="329" t="str">
        <f>IF($N4405=$N$4,IFERROR(INDEX(DanhMuc!$E$154:$E$165,MATCH(MID($B4405,4,2),DanhMuc!$B$154:$B$165,0)),""),"")</f>
        <v/>
      </c>
      <c r="V4405" s="361"/>
      <c r="W4405" s="345"/>
      <c r="X4405" s="329" t="str">
        <f t="shared" si="354"/>
        <v>AN</v>
      </c>
      <c r="Y4405" s="1128" t="s">
        <v>3380</v>
      </c>
      <c r="Z4405" s="1128" t="s">
        <v>3381</v>
      </c>
      <c r="AA4405" s="1128" t="s">
        <v>3384</v>
      </c>
      <c r="AB4405" s="20"/>
      <c r="AC4405" s="73"/>
    </row>
    <row r="4406" spans="1:29">
      <c r="A4406" s="327" t="str">
        <f>IF(AND($B4406&lt;&gt;"",$C4406&lt;&gt;""),MAX($A$1556:A4381)+1,"")</f>
        <v/>
      </c>
      <c r="B4406" s="361" t="s">
        <v>2047</v>
      </c>
      <c r="C4406" s="360"/>
      <c r="D4406" s="327">
        <f>IF($B4406="","",COUNTIF($B$6:$B4406,$B4406))</f>
        <v>14</v>
      </c>
      <c r="E4406" s="361" t="s">
        <v>1649</v>
      </c>
      <c r="F4406" s="362" t="s">
        <v>1650</v>
      </c>
      <c r="G4406" s="327" t="s">
        <v>155</v>
      </c>
      <c r="H4406" s="361"/>
      <c r="I4406" s="361">
        <v>3</v>
      </c>
      <c r="J4406" s="361"/>
      <c r="K4406" s="327"/>
      <c r="L4406" s="389">
        <v>12000</v>
      </c>
      <c r="M4406" s="355"/>
      <c r="N4406" s="355" t="str">
        <f t="shared" si="357"/>
        <v>PK</v>
      </c>
      <c r="O4406" s="359"/>
      <c r="P4406" s="361"/>
      <c r="Q4406" s="327"/>
      <c r="R4406" s="351"/>
      <c r="S4406" s="351"/>
      <c r="T4406" s="351"/>
      <c r="U4406" s="329" t="str">
        <f>IF($N4406=$N$4,IFERROR(INDEX(DanhMuc!$E$154:$E$165,MATCH(MID($B4406,4,2),DanhMuc!$B$154:$B$165,0)),""),"")</f>
        <v/>
      </c>
      <c r="V4406" s="361"/>
      <c r="W4406" s="345"/>
      <c r="X4406" s="329" t="str">
        <f t="shared" si="354"/>
        <v>AN</v>
      </c>
      <c r="Y4406" s="1128" t="s">
        <v>3380</v>
      </c>
      <c r="Z4406" s="1128" t="s">
        <v>3381</v>
      </c>
      <c r="AA4406" s="1128" t="s">
        <v>3384</v>
      </c>
      <c r="AB4406" s="20"/>
      <c r="AC4406" s="73"/>
    </row>
    <row r="4407" spans="1:29" ht="39">
      <c r="A4407" s="327">
        <f>IF(AND($B4407&lt;&gt;"",$C4407&lt;&gt;""),MAX($A$1556:A4382)+1,"")</f>
        <v>201</v>
      </c>
      <c r="B4407" s="359" t="s">
        <v>2048</v>
      </c>
      <c r="C4407" s="360" t="s">
        <v>1746</v>
      </c>
      <c r="D4407" s="327">
        <f>IF($B4407="","",COUNTIF($B$6:$B4407,$B4407))</f>
        <v>1</v>
      </c>
      <c r="E4407" s="361" t="s">
        <v>1759</v>
      </c>
      <c r="F4407" s="362" t="s">
        <v>1760</v>
      </c>
      <c r="G4407" s="327" t="s">
        <v>155</v>
      </c>
      <c r="H4407" s="327"/>
      <c r="I4407" s="327">
        <v>4</v>
      </c>
      <c r="J4407" s="361"/>
      <c r="K4407" s="327"/>
      <c r="L4407" s="389">
        <v>190000</v>
      </c>
      <c r="M4407" s="355"/>
      <c r="N4407" s="355" t="str">
        <f t="shared" si="357"/>
        <v>PK</v>
      </c>
      <c r="O4407" s="345"/>
      <c r="P4407" s="392"/>
      <c r="Q4407" s="327"/>
      <c r="R4407" s="351"/>
      <c r="S4407" s="351"/>
      <c r="T4407" s="351"/>
      <c r="U4407" s="329" t="str">
        <f>IF($N4407=$N$4,IFERROR(INDEX(DanhMuc!$E$154:$E$165,MATCH(MID($B4407,4,2),DanhMuc!$B$154:$B$165,0)),""),"")</f>
        <v/>
      </c>
      <c r="V4407" s="361"/>
      <c r="W4407" s="345"/>
      <c r="X4407" s="329" t="str">
        <f t="shared" si="354"/>
        <v>AN</v>
      </c>
      <c r="Y4407" s="1128" t="s">
        <v>3380</v>
      </c>
      <c r="Z4407" s="1128" t="s">
        <v>3381</v>
      </c>
      <c r="AA4407" s="1128" t="s">
        <v>3384</v>
      </c>
      <c r="AB4407" s="20"/>
      <c r="AC4407" s="73"/>
    </row>
    <row r="4408" spans="1:29">
      <c r="A4408" s="327" t="str">
        <f>IF(AND($B4408&lt;&gt;"",$C4408&lt;&gt;""),MAX($A$1556:A4383)+1,"")</f>
        <v/>
      </c>
      <c r="B4408" s="361" t="s">
        <v>2048</v>
      </c>
      <c r="C4408" s="360"/>
      <c r="D4408" s="327">
        <f>IF($B4408="","",COUNTIF($B$6:$B4408,$B4408))</f>
        <v>2</v>
      </c>
      <c r="E4408" s="361" t="s">
        <v>1761</v>
      </c>
      <c r="F4408" s="362" t="s">
        <v>1762</v>
      </c>
      <c r="G4408" s="327" t="s">
        <v>155</v>
      </c>
      <c r="H4408" s="327"/>
      <c r="I4408" s="327">
        <v>2</v>
      </c>
      <c r="J4408" s="359"/>
      <c r="K4408" s="327"/>
      <c r="L4408" s="389">
        <v>410000</v>
      </c>
      <c r="M4408" s="355"/>
      <c r="N4408" s="355" t="str">
        <f t="shared" si="357"/>
        <v>PK</v>
      </c>
      <c r="O4408" s="345"/>
      <c r="P4408" s="392"/>
      <c r="Q4408" s="327"/>
      <c r="R4408" s="351"/>
      <c r="S4408" s="351"/>
      <c r="T4408" s="351"/>
      <c r="U4408" s="329" t="str">
        <f>IF($N4408=$N$4,IFERROR(INDEX(DanhMuc!$E$154:$E$165,MATCH(MID($B4408,4,2),DanhMuc!$B$154:$B$165,0)),""),"")</f>
        <v/>
      </c>
      <c r="V4408" s="361"/>
      <c r="W4408" s="345"/>
      <c r="X4408" s="329" t="str">
        <f t="shared" si="354"/>
        <v>AN</v>
      </c>
      <c r="Y4408" s="1128" t="s">
        <v>3380</v>
      </c>
      <c r="Z4408" s="1128" t="s">
        <v>3381</v>
      </c>
      <c r="AA4408" s="1128" t="s">
        <v>3384</v>
      </c>
      <c r="AB4408" s="20"/>
      <c r="AC4408" s="73"/>
    </row>
    <row r="4409" spans="1:29">
      <c r="A4409" s="327" t="str">
        <f>IF(AND($B4409&lt;&gt;"",$C4409&lt;&gt;""),MAX($A$1556:A4384)+1,"")</f>
        <v/>
      </c>
      <c r="B4409" s="361" t="s">
        <v>2048</v>
      </c>
      <c r="C4409" s="360"/>
      <c r="D4409" s="327">
        <f>IF($B4409="","",COUNTIF($B$6:$B4409,$B4409))</f>
        <v>3</v>
      </c>
      <c r="E4409" s="361" t="s">
        <v>1763</v>
      </c>
      <c r="F4409" s="362" t="s">
        <v>1764</v>
      </c>
      <c r="G4409" s="327" t="s">
        <v>156</v>
      </c>
      <c r="H4409" s="327"/>
      <c r="I4409" s="327">
        <v>2</v>
      </c>
      <c r="J4409" s="359"/>
      <c r="K4409" s="327"/>
      <c r="L4409" s="389">
        <v>64000</v>
      </c>
      <c r="M4409" s="355"/>
      <c r="N4409" s="355" t="str">
        <f t="shared" si="357"/>
        <v>PK</v>
      </c>
      <c r="O4409" s="345"/>
      <c r="P4409" s="392"/>
      <c r="Q4409" s="327"/>
      <c r="R4409" s="351"/>
      <c r="S4409" s="351"/>
      <c r="T4409" s="351"/>
      <c r="U4409" s="329" t="str">
        <f>IF($N4409=$N$4,IFERROR(INDEX(DanhMuc!$E$154:$E$165,MATCH(MID($B4409,4,2),DanhMuc!$B$154:$B$165,0)),""),"")</f>
        <v/>
      </c>
      <c r="V4409" s="361"/>
      <c r="W4409" s="345"/>
      <c r="X4409" s="329" t="str">
        <f t="shared" si="354"/>
        <v>AN</v>
      </c>
      <c r="Y4409" s="1128" t="s">
        <v>3380</v>
      </c>
      <c r="Z4409" s="1128" t="s">
        <v>3381</v>
      </c>
      <c r="AA4409" s="1128" t="s">
        <v>3384</v>
      </c>
      <c r="AB4409" s="20"/>
      <c r="AC4409" s="73"/>
    </row>
    <row r="4410" spans="1:29">
      <c r="A4410" s="327" t="str">
        <f>IF(AND($B4410&lt;&gt;"",$C4410&lt;&gt;""),MAX($A$1556:A4385)+1,"")</f>
        <v/>
      </c>
      <c r="B4410" s="361" t="s">
        <v>2048</v>
      </c>
      <c r="C4410" s="360"/>
      <c r="D4410" s="327">
        <f>IF($B4410="","",COUNTIF($B$6:$B4410,$B4410))</f>
        <v>4</v>
      </c>
      <c r="E4410" s="361" t="s">
        <v>1765</v>
      </c>
      <c r="F4410" s="362" t="s">
        <v>1064</v>
      </c>
      <c r="G4410" s="327" t="s">
        <v>155</v>
      </c>
      <c r="H4410" s="327"/>
      <c r="I4410" s="327">
        <v>6</v>
      </c>
      <c r="J4410" s="361"/>
      <c r="K4410" s="327"/>
      <c r="L4410" s="389">
        <v>12000</v>
      </c>
      <c r="M4410" s="355"/>
      <c r="N4410" s="355" t="str">
        <f t="shared" si="357"/>
        <v>PK</v>
      </c>
      <c r="O4410" s="345"/>
      <c r="P4410" s="361"/>
      <c r="Q4410" s="327"/>
      <c r="R4410" s="351"/>
      <c r="S4410" s="351"/>
      <c r="T4410" s="351"/>
      <c r="U4410" s="329" t="str">
        <f>IF($N4410=$N$4,IFERROR(INDEX(DanhMuc!$E$154:$E$165,MATCH(MID($B4410,4,2),DanhMuc!$B$154:$B$165,0)),""),"")</f>
        <v/>
      </c>
      <c r="V4410" s="361"/>
      <c r="W4410" s="345"/>
      <c r="X4410" s="329" t="str">
        <f t="shared" si="354"/>
        <v>AN</v>
      </c>
      <c r="Y4410" s="1128" t="s">
        <v>3380</v>
      </c>
      <c r="Z4410" s="1128" t="s">
        <v>3381</v>
      </c>
      <c r="AA4410" s="1128" t="s">
        <v>3384</v>
      </c>
      <c r="AB4410" s="20"/>
      <c r="AC4410" s="73"/>
    </row>
    <row r="4411" spans="1:29">
      <c r="A4411" s="327" t="str">
        <f>IF(AND($B4411&lt;&gt;"",$C4411&lt;&gt;""),MAX($A$1556:A4386)+1,"")</f>
        <v/>
      </c>
      <c r="B4411" s="361" t="s">
        <v>2048</v>
      </c>
      <c r="C4411" s="360"/>
      <c r="D4411" s="327">
        <f>IF($B4411="","",COUNTIF($B$6:$B4411,$B4411))</f>
        <v>5</v>
      </c>
      <c r="E4411" s="361" t="s">
        <v>1766</v>
      </c>
      <c r="F4411" s="362" t="s">
        <v>1767</v>
      </c>
      <c r="G4411" s="327" t="s">
        <v>155</v>
      </c>
      <c r="H4411" s="327"/>
      <c r="I4411" s="327">
        <v>4</v>
      </c>
      <c r="J4411" s="361"/>
      <c r="K4411" s="327"/>
      <c r="L4411" s="389">
        <v>6000</v>
      </c>
      <c r="M4411" s="355"/>
      <c r="N4411" s="355" t="str">
        <f t="shared" si="357"/>
        <v>PK</v>
      </c>
      <c r="O4411" s="345"/>
      <c r="P4411" s="361"/>
      <c r="Q4411" s="327"/>
      <c r="R4411" s="351"/>
      <c r="S4411" s="351"/>
      <c r="T4411" s="351"/>
      <c r="U4411" s="329" t="str">
        <f>IF($N4411=$N$4,IFERROR(INDEX(DanhMuc!$E$154:$E$165,MATCH(MID($B4411,4,2),DanhMuc!$B$154:$B$165,0)),""),"")</f>
        <v/>
      </c>
      <c r="V4411" s="361"/>
      <c r="W4411" s="345"/>
      <c r="X4411" s="329" t="str">
        <f t="shared" si="354"/>
        <v>AN</v>
      </c>
      <c r="Y4411" s="1128" t="s">
        <v>3380</v>
      </c>
      <c r="Z4411" s="1128" t="s">
        <v>3381</v>
      </c>
      <c r="AA4411" s="1128" t="s">
        <v>3384</v>
      </c>
      <c r="AB4411" s="20"/>
      <c r="AC4411" s="73"/>
    </row>
    <row r="4412" spans="1:29">
      <c r="A4412" s="327" t="str">
        <f>IF(AND($B4412&lt;&gt;"",$C4412&lt;&gt;""),MAX($A$1556:A4387)+1,"")</f>
        <v/>
      </c>
      <c r="B4412" s="361" t="s">
        <v>2048</v>
      </c>
      <c r="C4412" s="360"/>
      <c r="D4412" s="327">
        <f>IF($B4412="","",COUNTIF($B$6:$B4412,$B4412))</f>
        <v>6</v>
      </c>
      <c r="E4412" s="361" t="s">
        <v>1768</v>
      </c>
      <c r="F4412" s="362" t="s">
        <v>1769</v>
      </c>
      <c r="G4412" s="327" t="s">
        <v>155</v>
      </c>
      <c r="H4412" s="327"/>
      <c r="I4412" s="327">
        <v>8</v>
      </c>
      <c r="J4412" s="361"/>
      <c r="K4412" s="327"/>
      <c r="L4412" s="389">
        <v>6000</v>
      </c>
      <c r="M4412" s="355"/>
      <c r="N4412" s="355" t="str">
        <f t="shared" si="357"/>
        <v>PK</v>
      </c>
      <c r="O4412" s="345"/>
      <c r="P4412" s="392"/>
      <c r="Q4412" s="327"/>
      <c r="R4412" s="351"/>
      <c r="S4412" s="351"/>
      <c r="T4412" s="351"/>
      <c r="U4412" s="329" t="str">
        <f>IF($N4412=$N$4,IFERROR(INDEX(DanhMuc!$E$154:$E$165,MATCH(MID($B4412,4,2),DanhMuc!$B$154:$B$165,0)),""),"")</f>
        <v/>
      </c>
      <c r="V4412" s="361"/>
      <c r="W4412" s="345"/>
      <c r="X4412" s="329" t="str">
        <f t="shared" ref="X4412:X4475" si="358">IF($N4412="PR",$E4412,MID($B4412,10,2))</f>
        <v>AN</v>
      </c>
      <c r="Y4412" s="1128" t="s">
        <v>3380</v>
      </c>
      <c r="Z4412" s="1128" t="s">
        <v>3381</v>
      </c>
      <c r="AA4412" s="1128" t="s">
        <v>3384</v>
      </c>
      <c r="AB4412" s="20"/>
      <c r="AC4412" s="73"/>
    </row>
    <row r="4413" spans="1:29">
      <c r="A4413" s="327" t="str">
        <f>IF(AND($B4413&lt;&gt;"",$C4413&lt;&gt;""),MAX($A$1556:A4388)+1,"")</f>
        <v/>
      </c>
      <c r="B4413" s="361" t="s">
        <v>2048</v>
      </c>
      <c r="C4413" s="360"/>
      <c r="D4413" s="327">
        <f>IF($B4413="","",COUNTIF($B$6:$B4413,$B4413))</f>
        <v>7</v>
      </c>
      <c r="E4413" s="361" t="s">
        <v>1770</v>
      </c>
      <c r="F4413" s="362" t="s">
        <v>1773</v>
      </c>
      <c r="G4413" s="327" t="s">
        <v>155</v>
      </c>
      <c r="H4413" s="327"/>
      <c r="I4413" s="327">
        <v>4</v>
      </c>
      <c r="J4413" s="359"/>
      <c r="K4413" s="327"/>
      <c r="L4413" s="389">
        <v>4000</v>
      </c>
      <c r="M4413" s="355"/>
      <c r="N4413" s="355" t="str">
        <f t="shared" si="357"/>
        <v>PK</v>
      </c>
      <c r="O4413" s="345"/>
      <c r="P4413" s="392"/>
      <c r="Q4413" s="327"/>
      <c r="R4413" s="351"/>
      <c r="S4413" s="351"/>
      <c r="T4413" s="351"/>
      <c r="U4413" s="329" t="str">
        <f>IF($N4413=$N$4,IFERROR(INDEX(DanhMuc!$E$154:$E$165,MATCH(MID($B4413,4,2),DanhMuc!$B$154:$B$165,0)),""),"")</f>
        <v/>
      </c>
      <c r="V4413" s="361"/>
      <c r="W4413" s="345"/>
      <c r="X4413" s="329" t="str">
        <f t="shared" si="358"/>
        <v>AN</v>
      </c>
      <c r="Y4413" s="1128" t="s">
        <v>3380</v>
      </c>
      <c r="Z4413" s="1128" t="s">
        <v>3381</v>
      </c>
      <c r="AA4413" s="1128" t="s">
        <v>3384</v>
      </c>
      <c r="AB4413" s="20"/>
      <c r="AC4413" s="73"/>
    </row>
    <row r="4414" spans="1:29">
      <c r="A4414" s="327" t="str">
        <f>IF(AND($B4414&lt;&gt;"",$C4414&lt;&gt;""),MAX($A$1556:A4389)+1,"")</f>
        <v/>
      </c>
      <c r="B4414" s="361" t="s">
        <v>2048</v>
      </c>
      <c r="C4414" s="360"/>
      <c r="D4414" s="327">
        <f>IF($B4414="","",COUNTIF($B$6:$B4414,$B4414))</f>
        <v>8</v>
      </c>
      <c r="E4414" s="361" t="s">
        <v>1771</v>
      </c>
      <c r="F4414" s="362" t="s">
        <v>1772</v>
      </c>
      <c r="G4414" s="327" t="s">
        <v>155</v>
      </c>
      <c r="H4414" s="327"/>
      <c r="I4414" s="327">
        <v>1</v>
      </c>
      <c r="J4414" s="359"/>
      <c r="K4414" s="327"/>
      <c r="L4414" s="389">
        <v>8000</v>
      </c>
      <c r="M4414" s="355"/>
      <c r="N4414" s="355" t="str">
        <f t="shared" si="357"/>
        <v>PK</v>
      </c>
      <c r="O4414" s="345"/>
      <c r="P4414" s="392"/>
      <c r="Q4414" s="327"/>
      <c r="R4414" s="351"/>
      <c r="S4414" s="351"/>
      <c r="T4414" s="351"/>
      <c r="U4414" s="329" t="str">
        <f>IF($N4414=$N$4,IFERROR(INDEX(DanhMuc!$E$154:$E$165,MATCH(MID($B4414,4,2),DanhMuc!$B$154:$B$165,0)),""),"")</f>
        <v/>
      </c>
      <c r="V4414" s="408"/>
      <c r="W4414" s="345"/>
      <c r="X4414" s="329" t="str">
        <f t="shared" si="358"/>
        <v>AN</v>
      </c>
      <c r="Y4414" s="1128" t="s">
        <v>3380</v>
      </c>
      <c r="Z4414" s="1128" t="s">
        <v>3381</v>
      </c>
      <c r="AA4414" s="1128" t="s">
        <v>3384</v>
      </c>
      <c r="AB4414" s="20"/>
      <c r="AC4414" s="73"/>
    </row>
    <row r="4415" spans="1:29" ht="39">
      <c r="A4415" s="327">
        <f>IF(AND($B4415&lt;&gt;"",$C4415&lt;&gt;""),MAX($A$1556:A4390)+1,"")</f>
        <v>201</v>
      </c>
      <c r="B4415" s="359" t="s">
        <v>2205</v>
      </c>
      <c r="C4415" s="360" t="s">
        <v>2206</v>
      </c>
      <c r="D4415" s="327">
        <f>IF($B4415="","",COUNTIF($B$6:$B4415,$B4415))</f>
        <v>1</v>
      </c>
      <c r="E4415" s="361" t="s">
        <v>1759</v>
      </c>
      <c r="F4415" s="362" t="s">
        <v>1760</v>
      </c>
      <c r="G4415" s="327" t="s">
        <v>155</v>
      </c>
      <c r="H4415" s="327"/>
      <c r="I4415" s="327">
        <v>6</v>
      </c>
      <c r="J4415" s="361"/>
      <c r="K4415" s="327"/>
      <c r="L4415" s="389">
        <v>190000</v>
      </c>
      <c r="M4415" s="355"/>
      <c r="N4415" s="355" t="str">
        <f t="shared" si="357"/>
        <v>PK</v>
      </c>
      <c r="O4415" s="345"/>
      <c r="P4415" s="392"/>
      <c r="Q4415" s="327"/>
      <c r="R4415" s="351"/>
      <c r="S4415" s="351"/>
      <c r="T4415" s="351"/>
      <c r="U4415" s="329" t="str">
        <f>IF($N4415=$N$4,IFERROR(INDEX(DanhMuc!$E$154:$E$165,MATCH(MID($B4415,4,2),DanhMuc!$B$154:$B$165,0)),""),"")</f>
        <v/>
      </c>
      <c r="V4415" s="361"/>
      <c r="W4415" s="345"/>
      <c r="X4415" s="329" t="str">
        <f t="shared" si="358"/>
        <v>AN</v>
      </c>
      <c r="Y4415" s="1128" t="s">
        <v>3380</v>
      </c>
      <c r="Z4415" s="1128" t="s">
        <v>3381</v>
      </c>
      <c r="AA4415" s="1128" t="s">
        <v>3384</v>
      </c>
      <c r="AB4415" s="20"/>
      <c r="AC4415" s="73"/>
    </row>
    <row r="4416" spans="1:29">
      <c r="A4416" s="327" t="str">
        <f>IF(AND($B4416&lt;&gt;"",$C4416&lt;&gt;""),MAX($A$1556:A4391)+1,"")</f>
        <v/>
      </c>
      <c r="B4416" s="361" t="s">
        <v>2205</v>
      </c>
      <c r="C4416" s="360"/>
      <c r="D4416" s="327">
        <f>IF($B4416="","",COUNTIF($B$6:$B4416,$B4416))</f>
        <v>2</v>
      </c>
      <c r="E4416" s="361" t="s">
        <v>1761</v>
      </c>
      <c r="F4416" s="362" t="s">
        <v>1762</v>
      </c>
      <c r="G4416" s="327" t="s">
        <v>155</v>
      </c>
      <c r="H4416" s="327"/>
      <c r="I4416" s="327">
        <v>2</v>
      </c>
      <c r="J4416" s="359"/>
      <c r="K4416" s="327"/>
      <c r="L4416" s="389">
        <v>410000</v>
      </c>
      <c r="M4416" s="355"/>
      <c r="N4416" s="355" t="str">
        <f t="shared" si="357"/>
        <v>PK</v>
      </c>
      <c r="O4416" s="345"/>
      <c r="P4416" s="392"/>
      <c r="Q4416" s="327"/>
      <c r="R4416" s="351"/>
      <c r="S4416" s="351"/>
      <c r="T4416" s="351"/>
      <c r="U4416" s="329" t="str">
        <f>IF($N4416=$N$4,IFERROR(INDEX(DanhMuc!$E$154:$E$165,MATCH(MID($B4416,4,2),DanhMuc!$B$154:$B$165,0)),""),"")</f>
        <v/>
      </c>
      <c r="V4416" s="361"/>
      <c r="W4416" s="345"/>
      <c r="X4416" s="329" t="str">
        <f t="shared" si="358"/>
        <v>AN</v>
      </c>
      <c r="Y4416" s="1128" t="s">
        <v>3380</v>
      </c>
      <c r="Z4416" s="1128" t="s">
        <v>3381</v>
      </c>
      <c r="AA4416" s="1128" t="s">
        <v>3384</v>
      </c>
      <c r="AB4416" s="20"/>
      <c r="AC4416" s="73"/>
    </row>
    <row r="4417" spans="1:29">
      <c r="A4417" s="327" t="str">
        <f>IF(AND($B4417&lt;&gt;"",$C4417&lt;&gt;""),MAX($A$1556:A4392)+1,"")</f>
        <v/>
      </c>
      <c r="B4417" s="361" t="s">
        <v>2205</v>
      </c>
      <c r="C4417" s="360"/>
      <c r="D4417" s="327">
        <f>IF($B4417="","",COUNTIF($B$6:$B4417,$B4417))</f>
        <v>3</v>
      </c>
      <c r="E4417" s="361" t="s">
        <v>1763</v>
      </c>
      <c r="F4417" s="362" t="s">
        <v>1764</v>
      </c>
      <c r="G4417" s="327" t="s">
        <v>156</v>
      </c>
      <c r="H4417" s="327"/>
      <c r="I4417" s="327">
        <v>2</v>
      </c>
      <c r="J4417" s="359"/>
      <c r="K4417" s="327"/>
      <c r="L4417" s="389">
        <v>64000</v>
      </c>
      <c r="M4417" s="355"/>
      <c r="N4417" s="355" t="str">
        <f t="shared" si="357"/>
        <v>PK</v>
      </c>
      <c r="O4417" s="345"/>
      <c r="P4417" s="392"/>
      <c r="Q4417" s="327"/>
      <c r="R4417" s="351"/>
      <c r="S4417" s="351"/>
      <c r="T4417" s="351"/>
      <c r="U4417" s="329" t="str">
        <f>IF($N4417=$N$4,IFERROR(INDEX(DanhMuc!$E$154:$E$165,MATCH(MID($B4417,4,2),DanhMuc!$B$154:$B$165,0)),""),"")</f>
        <v/>
      </c>
      <c r="V4417" s="361"/>
      <c r="W4417" s="345"/>
      <c r="X4417" s="329" t="str">
        <f t="shared" si="358"/>
        <v>AN</v>
      </c>
      <c r="Y4417" s="1128" t="s">
        <v>3380</v>
      </c>
      <c r="Z4417" s="1128" t="s">
        <v>3381</v>
      </c>
      <c r="AA4417" s="1128" t="s">
        <v>3384</v>
      </c>
      <c r="AB4417" s="20"/>
      <c r="AC4417" s="73"/>
    </row>
    <row r="4418" spans="1:29">
      <c r="A4418" s="327" t="str">
        <f>IF(AND($B4418&lt;&gt;"",$C4418&lt;&gt;""),MAX($A$1556:A4393)+1,"")</f>
        <v/>
      </c>
      <c r="B4418" s="361" t="s">
        <v>2205</v>
      </c>
      <c r="C4418" s="360"/>
      <c r="D4418" s="327">
        <f>IF($B4418="","",COUNTIF($B$6:$B4418,$B4418))</f>
        <v>4</v>
      </c>
      <c r="E4418" s="361" t="s">
        <v>1765</v>
      </c>
      <c r="F4418" s="362" t="s">
        <v>1064</v>
      </c>
      <c r="G4418" s="327" t="s">
        <v>155</v>
      </c>
      <c r="H4418" s="327"/>
      <c r="I4418" s="327">
        <v>6</v>
      </c>
      <c r="J4418" s="361"/>
      <c r="K4418" s="327"/>
      <c r="L4418" s="389">
        <v>12000</v>
      </c>
      <c r="M4418" s="355"/>
      <c r="N4418" s="355" t="str">
        <f t="shared" si="357"/>
        <v>PK</v>
      </c>
      <c r="O4418" s="345"/>
      <c r="P4418" s="361"/>
      <c r="Q4418" s="327"/>
      <c r="R4418" s="351"/>
      <c r="S4418" s="351"/>
      <c r="T4418" s="351"/>
      <c r="U4418" s="329" t="str">
        <f>IF($N4418=$N$4,IFERROR(INDEX(DanhMuc!$E$154:$E$165,MATCH(MID($B4418,4,2),DanhMuc!$B$154:$B$165,0)),""),"")</f>
        <v/>
      </c>
      <c r="V4418" s="361"/>
      <c r="W4418" s="345"/>
      <c r="X4418" s="329" t="str">
        <f t="shared" si="358"/>
        <v>AN</v>
      </c>
      <c r="Y4418" s="1128" t="s">
        <v>3380</v>
      </c>
      <c r="Z4418" s="1128" t="s">
        <v>3381</v>
      </c>
      <c r="AA4418" s="1128" t="s">
        <v>3384</v>
      </c>
      <c r="AB4418" s="20"/>
      <c r="AC4418" s="73"/>
    </row>
    <row r="4419" spans="1:29">
      <c r="A4419" s="327" t="str">
        <f>IF(AND($B4419&lt;&gt;"",$C4419&lt;&gt;""),MAX($A$1556:A4394)+1,"")</f>
        <v/>
      </c>
      <c r="B4419" s="361" t="s">
        <v>2205</v>
      </c>
      <c r="C4419" s="360"/>
      <c r="D4419" s="327">
        <f>IF($B4419="","",COUNTIF($B$6:$B4419,$B4419))</f>
        <v>5</v>
      </c>
      <c r="E4419" s="361" t="s">
        <v>1766</v>
      </c>
      <c r="F4419" s="362" t="s">
        <v>1767</v>
      </c>
      <c r="G4419" s="327" t="s">
        <v>155</v>
      </c>
      <c r="H4419" s="327"/>
      <c r="I4419" s="327">
        <v>6</v>
      </c>
      <c r="J4419" s="361"/>
      <c r="K4419" s="327"/>
      <c r="L4419" s="389">
        <v>6000</v>
      </c>
      <c r="M4419" s="355"/>
      <c r="N4419" s="355" t="str">
        <f t="shared" si="357"/>
        <v>PK</v>
      </c>
      <c r="O4419" s="345"/>
      <c r="P4419" s="361"/>
      <c r="Q4419" s="327"/>
      <c r="R4419" s="351"/>
      <c r="S4419" s="351"/>
      <c r="T4419" s="351"/>
      <c r="U4419" s="329" t="str">
        <f>IF($N4419=$N$4,IFERROR(INDEX(DanhMuc!$E$154:$E$165,MATCH(MID($B4419,4,2),DanhMuc!$B$154:$B$165,0)),""),"")</f>
        <v/>
      </c>
      <c r="V4419" s="361"/>
      <c r="W4419" s="345"/>
      <c r="X4419" s="329" t="str">
        <f t="shared" si="358"/>
        <v>AN</v>
      </c>
      <c r="Y4419" s="1128" t="s">
        <v>3380</v>
      </c>
      <c r="Z4419" s="1128" t="s">
        <v>3381</v>
      </c>
      <c r="AA4419" s="1128" t="s">
        <v>3384</v>
      </c>
      <c r="AB4419" s="20"/>
      <c r="AC4419" s="73"/>
    </row>
    <row r="4420" spans="1:29">
      <c r="A4420" s="327" t="str">
        <f>IF(AND($B4420&lt;&gt;"",$C4420&lt;&gt;""),MAX($A$1556:A4395)+1,"")</f>
        <v/>
      </c>
      <c r="B4420" s="361" t="s">
        <v>2205</v>
      </c>
      <c r="C4420" s="360"/>
      <c r="D4420" s="327">
        <f>IF($B4420="","",COUNTIF($B$6:$B4420,$B4420))</f>
        <v>6</v>
      </c>
      <c r="E4420" s="361" t="s">
        <v>1768</v>
      </c>
      <c r="F4420" s="362" t="s">
        <v>1769</v>
      </c>
      <c r="G4420" s="327" t="s">
        <v>155</v>
      </c>
      <c r="H4420" s="327"/>
      <c r="I4420" s="327">
        <v>12</v>
      </c>
      <c r="J4420" s="361"/>
      <c r="K4420" s="327"/>
      <c r="L4420" s="389">
        <v>6000</v>
      </c>
      <c r="M4420" s="355"/>
      <c r="N4420" s="355" t="str">
        <f t="shared" si="357"/>
        <v>PK</v>
      </c>
      <c r="O4420" s="345"/>
      <c r="P4420" s="392"/>
      <c r="Q4420" s="327"/>
      <c r="R4420" s="351"/>
      <c r="S4420" s="351"/>
      <c r="T4420" s="351"/>
      <c r="U4420" s="329" t="str">
        <f>IF($N4420=$N$4,IFERROR(INDEX(DanhMuc!$E$154:$E$165,MATCH(MID($B4420,4,2),DanhMuc!$B$154:$B$165,0)),""),"")</f>
        <v/>
      </c>
      <c r="V4420" s="361"/>
      <c r="W4420" s="345"/>
      <c r="X4420" s="329" t="str">
        <f t="shared" si="358"/>
        <v>AN</v>
      </c>
      <c r="Y4420" s="1128" t="s">
        <v>3380</v>
      </c>
      <c r="Z4420" s="1128" t="s">
        <v>3381</v>
      </c>
      <c r="AA4420" s="1128" t="s">
        <v>3384</v>
      </c>
      <c r="AB4420" s="20"/>
      <c r="AC4420" s="73"/>
    </row>
    <row r="4421" spans="1:29">
      <c r="A4421" s="327" t="str">
        <f>IF(AND($B4421&lt;&gt;"",$C4421&lt;&gt;""),MAX($A$1556:A4396)+1,"")</f>
        <v/>
      </c>
      <c r="B4421" s="361" t="s">
        <v>2205</v>
      </c>
      <c r="C4421" s="360"/>
      <c r="D4421" s="327">
        <f>IF($B4421="","",COUNTIF($B$6:$B4421,$B4421))</f>
        <v>7</v>
      </c>
      <c r="E4421" s="361" t="s">
        <v>1770</v>
      </c>
      <c r="F4421" s="362" t="s">
        <v>1774</v>
      </c>
      <c r="G4421" s="327" t="s">
        <v>155</v>
      </c>
      <c r="H4421" s="327"/>
      <c r="I4421" s="327">
        <v>6</v>
      </c>
      <c r="J4421" s="359"/>
      <c r="K4421" s="327"/>
      <c r="L4421" s="389">
        <v>4000</v>
      </c>
      <c r="M4421" s="355"/>
      <c r="N4421" s="355" t="str">
        <f t="shared" si="357"/>
        <v>PK</v>
      </c>
      <c r="O4421" s="345"/>
      <c r="P4421" s="392"/>
      <c r="Q4421" s="327"/>
      <c r="R4421" s="351"/>
      <c r="S4421" s="351"/>
      <c r="T4421" s="351"/>
      <c r="U4421" s="329" t="str">
        <f>IF($N4421=$N$4,IFERROR(INDEX(DanhMuc!$E$154:$E$165,MATCH(MID($B4421,4,2),DanhMuc!$B$154:$B$165,0)),""),"")</f>
        <v/>
      </c>
      <c r="V4421" s="361"/>
      <c r="W4421" s="345"/>
      <c r="X4421" s="329" t="str">
        <f t="shared" si="358"/>
        <v>AN</v>
      </c>
      <c r="Y4421" s="1128" t="s">
        <v>3380</v>
      </c>
      <c r="Z4421" s="1128" t="s">
        <v>3381</v>
      </c>
      <c r="AA4421" s="1128" t="s">
        <v>3384</v>
      </c>
      <c r="AB4421" s="20"/>
      <c r="AC4421" s="73"/>
    </row>
    <row r="4422" spans="1:29">
      <c r="A4422" s="327" t="str">
        <f>IF(AND($B4422&lt;&gt;"",$C4422&lt;&gt;""),MAX($A$1556:A4397)+1,"")</f>
        <v/>
      </c>
      <c r="B4422" s="361" t="s">
        <v>2205</v>
      </c>
      <c r="C4422" s="360"/>
      <c r="D4422" s="327">
        <f>IF($B4422="","",COUNTIF($B$6:$B4422,$B4422))</f>
        <v>8</v>
      </c>
      <c r="E4422" s="361" t="s">
        <v>1771</v>
      </c>
      <c r="F4422" s="362" t="s">
        <v>1772</v>
      </c>
      <c r="G4422" s="327" t="s">
        <v>155</v>
      </c>
      <c r="H4422" s="327"/>
      <c r="I4422" s="327">
        <v>2</v>
      </c>
      <c r="J4422" s="359"/>
      <c r="K4422" s="327"/>
      <c r="L4422" s="389">
        <v>8000</v>
      </c>
      <c r="M4422" s="355"/>
      <c r="N4422" s="355" t="str">
        <f t="shared" si="357"/>
        <v>PK</v>
      </c>
      <c r="O4422" s="345"/>
      <c r="P4422" s="392"/>
      <c r="Q4422" s="327"/>
      <c r="R4422" s="351"/>
      <c r="S4422" s="351"/>
      <c r="T4422" s="351"/>
      <c r="U4422" s="329" t="str">
        <f>IF($N4422=$N$4,IFERROR(INDEX(DanhMuc!$E$154:$E$165,MATCH(MID($B4422,4,2),DanhMuc!$B$154:$B$165,0)),""),"")</f>
        <v/>
      </c>
      <c r="V4422" s="408"/>
      <c r="W4422" s="345"/>
      <c r="X4422" s="329" t="str">
        <f t="shared" si="358"/>
        <v>AN</v>
      </c>
      <c r="Y4422" s="1128" t="s">
        <v>3380</v>
      </c>
      <c r="Z4422" s="1128" t="s">
        <v>3381</v>
      </c>
      <c r="AA4422" s="1128" t="s">
        <v>3384</v>
      </c>
      <c r="AB4422" s="20"/>
      <c r="AC4422" s="73"/>
    </row>
    <row r="4423" spans="1:29" ht="39">
      <c r="A4423" s="327">
        <f>IF(AND($B4423&lt;&gt;"",$C4423&lt;&gt;""),MAX($A$1556:A4398)+1,"")</f>
        <v>202</v>
      </c>
      <c r="B4423" s="359" t="s">
        <v>2049</v>
      </c>
      <c r="C4423" s="360" t="s">
        <v>1755</v>
      </c>
      <c r="D4423" s="327">
        <f>IF($B4423="","",COUNTIF($B$6:$B4423,$B4423))</f>
        <v>1</v>
      </c>
      <c r="E4423" s="361" t="s">
        <v>1759</v>
      </c>
      <c r="F4423" s="362" t="s">
        <v>1760</v>
      </c>
      <c r="G4423" s="327" t="s">
        <v>155</v>
      </c>
      <c r="H4423" s="327"/>
      <c r="I4423" s="327">
        <v>8</v>
      </c>
      <c r="J4423" s="361"/>
      <c r="K4423" s="327"/>
      <c r="L4423" s="389">
        <v>190000</v>
      </c>
      <c r="M4423" s="355"/>
      <c r="N4423" s="355" t="str">
        <f t="shared" si="357"/>
        <v>PK</v>
      </c>
      <c r="O4423" s="345"/>
      <c r="P4423" s="392"/>
      <c r="Q4423" s="327"/>
      <c r="R4423" s="351"/>
      <c r="S4423" s="351"/>
      <c r="T4423" s="351"/>
      <c r="U4423" s="329" t="str">
        <f>IF($N4423=$N$4,IFERROR(INDEX(DanhMuc!$E$154:$E$165,MATCH(MID($B4423,4,2),DanhMuc!$B$154:$B$165,0)),""),"")</f>
        <v/>
      </c>
      <c r="V4423" s="361"/>
      <c r="W4423" s="345"/>
      <c r="X4423" s="329" t="str">
        <f t="shared" si="358"/>
        <v>AN</v>
      </c>
      <c r="Y4423" s="1128" t="s">
        <v>3380</v>
      </c>
      <c r="Z4423" s="1128" t="s">
        <v>3381</v>
      </c>
      <c r="AA4423" s="1128" t="s">
        <v>3384</v>
      </c>
      <c r="AB4423" s="20"/>
      <c r="AC4423" s="73"/>
    </row>
    <row r="4424" spans="1:29">
      <c r="A4424" s="327" t="str">
        <f>IF(AND($B4424&lt;&gt;"",$C4424&lt;&gt;""),MAX($A$1556:A4399)+1,"")</f>
        <v/>
      </c>
      <c r="B4424" s="361" t="s">
        <v>2049</v>
      </c>
      <c r="C4424" s="360"/>
      <c r="D4424" s="327">
        <f>IF($B4424="","",COUNTIF($B$6:$B4424,$B4424))</f>
        <v>2</v>
      </c>
      <c r="E4424" s="361" t="s">
        <v>1761</v>
      </c>
      <c r="F4424" s="362" t="s">
        <v>1762</v>
      </c>
      <c r="G4424" s="327" t="s">
        <v>155</v>
      </c>
      <c r="H4424" s="327"/>
      <c r="I4424" s="327">
        <v>3</v>
      </c>
      <c r="J4424" s="359"/>
      <c r="K4424" s="327"/>
      <c r="L4424" s="389">
        <v>410000</v>
      </c>
      <c r="M4424" s="355"/>
      <c r="N4424" s="355" t="str">
        <f t="shared" si="357"/>
        <v>PK</v>
      </c>
      <c r="O4424" s="345"/>
      <c r="P4424" s="392"/>
      <c r="Q4424" s="327"/>
      <c r="R4424" s="351"/>
      <c r="S4424" s="351"/>
      <c r="T4424" s="351"/>
      <c r="U4424" s="329" t="str">
        <f>IF($N4424=$N$4,IFERROR(INDEX(DanhMuc!$E$154:$E$165,MATCH(MID($B4424,4,2),DanhMuc!$B$154:$B$165,0)),""),"")</f>
        <v/>
      </c>
      <c r="V4424" s="361"/>
      <c r="W4424" s="345"/>
      <c r="X4424" s="329" t="str">
        <f t="shared" si="358"/>
        <v>AN</v>
      </c>
      <c r="Y4424" s="1128" t="s">
        <v>3380</v>
      </c>
      <c r="Z4424" s="1128" t="s">
        <v>3381</v>
      </c>
      <c r="AA4424" s="1128" t="s">
        <v>3384</v>
      </c>
      <c r="AB4424" s="20"/>
      <c r="AC4424" s="73"/>
    </row>
    <row r="4425" spans="1:29">
      <c r="A4425" s="327" t="str">
        <f>IF(AND($B4425&lt;&gt;"",$C4425&lt;&gt;""),MAX($A$1556:A4400)+1,"")</f>
        <v/>
      </c>
      <c r="B4425" s="361" t="s">
        <v>2049</v>
      </c>
      <c r="C4425" s="360"/>
      <c r="D4425" s="327">
        <f>IF($B4425="","",COUNTIF($B$6:$B4425,$B4425))</f>
        <v>3</v>
      </c>
      <c r="E4425" s="361" t="s">
        <v>1763</v>
      </c>
      <c r="F4425" s="362" t="s">
        <v>1764</v>
      </c>
      <c r="G4425" s="327" t="s">
        <v>156</v>
      </c>
      <c r="H4425" s="327"/>
      <c r="I4425" s="327">
        <v>3</v>
      </c>
      <c r="J4425" s="359"/>
      <c r="K4425" s="327"/>
      <c r="L4425" s="389">
        <v>64000</v>
      </c>
      <c r="M4425" s="355"/>
      <c r="N4425" s="355" t="str">
        <f t="shared" si="357"/>
        <v>PK</v>
      </c>
      <c r="O4425" s="345"/>
      <c r="P4425" s="392"/>
      <c r="Q4425" s="327"/>
      <c r="R4425" s="351"/>
      <c r="S4425" s="351"/>
      <c r="T4425" s="351"/>
      <c r="U4425" s="329" t="str">
        <f>IF($N4425=$N$4,IFERROR(INDEX(DanhMuc!$E$154:$E$165,MATCH(MID($B4425,4,2),DanhMuc!$B$154:$B$165,0)),""),"")</f>
        <v/>
      </c>
      <c r="V4425" s="361"/>
      <c r="W4425" s="345"/>
      <c r="X4425" s="329" t="str">
        <f t="shared" si="358"/>
        <v>AN</v>
      </c>
      <c r="Y4425" s="1128" t="s">
        <v>3380</v>
      </c>
      <c r="Z4425" s="1128" t="s">
        <v>3381</v>
      </c>
      <c r="AA4425" s="1128" t="s">
        <v>3384</v>
      </c>
      <c r="AB4425" s="20"/>
      <c r="AC4425" s="73"/>
    </row>
    <row r="4426" spans="1:29">
      <c r="A4426" s="327" t="str">
        <f>IF(AND($B4426&lt;&gt;"",$C4426&lt;&gt;""),MAX($A$1556:A4401)+1,"")</f>
        <v/>
      </c>
      <c r="B4426" s="361" t="s">
        <v>2049</v>
      </c>
      <c r="C4426" s="360"/>
      <c r="D4426" s="327">
        <f>IF($B4426="","",COUNTIF($B$6:$B4426,$B4426))</f>
        <v>4</v>
      </c>
      <c r="E4426" s="361" t="s">
        <v>1765</v>
      </c>
      <c r="F4426" s="362" t="s">
        <v>1064</v>
      </c>
      <c r="G4426" s="327" t="s">
        <v>155</v>
      </c>
      <c r="H4426" s="327"/>
      <c r="I4426" s="327">
        <v>9</v>
      </c>
      <c r="J4426" s="361"/>
      <c r="K4426" s="327"/>
      <c r="L4426" s="389">
        <v>12000</v>
      </c>
      <c r="M4426" s="355"/>
      <c r="N4426" s="355" t="str">
        <f t="shared" si="357"/>
        <v>PK</v>
      </c>
      <c r="O4426" s="345"/>
      <c r="P4426" s="361"/>
      <c r="Q4426" s="327"/>
      <c r="R4426" s="351"/>
      <c r="S4426" s="351"/>
      <c r="T4426" s="351"/>
      <c r="U4426" s="329" t="str">
        <f>IF($N4426=$N$4,IFERROR(INDEX(DanhMuc!$E$154:$E$165,MATCH(MID($B4426,4,2),DanhMuc!$B$154:$B$165,0)),""),"")</f>
        <v/>
      </c>
      <c r="V4426" s="361"/>
      <c r="W4426" s="345"/>
      <c r="X4426" s="329" t="str">
        <f t="shared" si="358"/>
        <v>AN</v>
      </c>
      <c r="Y4426" s="1128" t="s">
        <v>3380</v>
      </c>
      <c r="Z4426" s="1128" t="s">
        <v>3381</v>
      </c>
      <c r="AA4426" s="1128" t="s">
        <v>3384</v>
      </c>
      <c r="AB4426" s="20"/>
      <c r="AC4426" s="73"/>
    </row>
    <row r="4427" spans="1:29">
      <c r="A4427" s="327" t="str">
        <f>IF(AND($B4427&lt;&gt;"",$C4427&lt;&gt;""),MAX($A$1556:A4402)+1,"")</f>
        <v/>
      </c>
      <c r="B4427" s="361" t="s">
        <v>2049</v>
      </c>
      <c r="C4427" s="360"/>
      <c r="D4427" s="327">
        <f>IF($B4427="","",COUNTIF($B$6:$B4427,$B4427))</f>
        <v>5</v>
      </c>
      <c r="E4427" s="361" t="s">
        <v>1766</v>
      </c>
      <c r="F4427" s="362" t="s">
        <v>1767</v>
      </c>
      <c r="G4427" s="327" t="s">
        <v>155</v>
      </c>
      <c r="H4427" s="327"/>
      <c r="I4427" s="327">
        <v>8</v>
      </c>
      <c r="J4427" s="361"/>
      <c r="K4427" s="327"/>
      <c r="L4427" s="389">
        <v>6000</v>
      </c>
      <c r="M4427" s="355"/>
      <c r="N4427" s="355" t="str">
        <f t="shared" si="357"/>
        <v>PK</v>
      </c>
      <c r="O4427" s="345"/>
      <c r="P4427" s="361"/>
      <c r="Q4427" s="327"/>
      <c r="R4427" s="351"/>
      <c r="S4427" s="351"/>
      <c r="T4427" s="351"/>
      <c r="U4427" s="329" t="str">
        <f>IF($N4427=$N$4,IFERROR(INDEX(DanhMuc!$E$154:$E$165,MATCH(MID($B4427,4,2),DanhMuc!$B$154:$B$165,0)),""),"")</f>
        <v/>
      </c>
      <c r="V4427" s="361"/>
      <c r="W4427" s="345"/>
      <c r="X4427" s="329" t="str">
        <f t="shared" si="358"/>
        <v>AN</v>
      </c>
      <c r="Y4427" s="1128" t="s">
        <v>3380</v>
      </c>
      <c r="Z4427" s="1128" t="s">
        <v>3381</v>
      </c>
      <c r="AA4427" s="1128" t="s">
        <v>3384</v>
      </c>
      <c r="AB4427" s="20"/>
      <c r="AC4427" s="73"/>
    </row>
    <row r="4428" spans="1:29">
      <c r="A4428" s="327" t="str">
        <f>IF(AND($B4428&lt;&gt;"",$C4428&lt;&gt;""),MAX($A$1556:A4403)+1,"")</f>
        <v/>
      </c>
      <c r="B4428" s="361" t="s">
        <v>2049</v>
      </c>
      <c r="C4428" s="360"/>
      <c r="D4428" s="327">
        <f>IF($B4428="","",COUNTIF($B$6:$B4428,$B4428))</f>
        <v>6</v>
      </c>
      <c r="E4428" s="361" t="s">
        <v>1768</v>
      </c>
      <c r="F4428" s="362" t="s">
        <v>1769</v>
      </c>
      <c r="G4428" s="327" t="s">
        <v>155</v>
      </c>
      <c r="H4428" s="327"/>
      <c r="I4428" s="327">
        <v>16</v>
      </c>
      <c r="J4428" s="361"/>
      <c r="K4428" s="327"/>
      <c r="L4428" s="389">
        <v>6000</v>
      </c>
      <c r="M4428" s="355"/>
      <c r="N4428" s="355" t="str">
        <f t="shared" si="357"/>
        <v>PK</v>
      </c>
      <c r="O4428" s="345"/>
      <c r="P4428" s="392"/>
      <c r="Q4428" s="327"/>
      <c r="R4428" s="351"/>
      <c r="S4428" s="351"/>
      <c r="T4428" s="351"/>
      <c r="U4428" s="329" t="str">
        <f>IF($N4428=$N$4,IFERROR(INDEX(DanhMuc!$E$154:$E$165,MATCH(MID($B4428,4,2),DanhMuc!$B$154:$B$165,0)),""),"")</f>
        <v/>
      </c>
      <c r="V4428" s="361"/>
      <c r="W4428" s="345"/>
      <c r="X4428" s="329" t="str">
        <f t="shared" si="358"/>
        <v>AN</v>
      </c>
      <c r="Y4428" s="1128" t="s">
        <v>3380</v>
      </c>
      <c r="Z4428" s="1128" t="s">
        <v>3381</v>
      </c>
      <c r="AA4428" s="1128" t="s">
        <v>3384</v>
      </c>
      <c r="AB4428" s="20"/>
      <c r="AC4428" s="73"/>
    </row>
    <row r="4429" spans="1:29">
      <c r="A4429" s="327" t="str">
        <f>IF(AND($B4429&lt;&gt;"",$C4429&lt;&gt;""),MAX($A$1556:A4404)+1,"")</f>
        <v/>
      </c>
      <c r="B4429" s="361" t="s">
        <v>2049</v>
      </c>
      <c r="C4429" s="360"/>
      <c r="D4429" s="327">
        <f>IF($B4429="","",COUNTIF($B$6:$B4429,$B4429))</f>
        <v>7</v>
      </c>
      <c r="E4429" s="361" t="s">
        <v>1770</v>
      </c>
      <c r="F4429" s="362" t="s">
        <v>1774</v>
      </c>
      <c r="G4429" s="327" t="s">
        <v>155</v>
      </c>
      <c r="H4429" s="327"/>
      <c r="I4429" s="327">
        <v>8</v>
      </c>
      <c r="J4429" s="359"/>
      <c r="K4429" s="327"/>
      <c r="L4429" s="389">
        <v>4000</v>
      </c>
      <c r="M4429" s="355"/>
      <c r="N4429" s="355" t="str">
        <f t="shared" si="357"/>
        <v>PK</v>
      </c>
      <c r="O4429" s="345"/>
      <c r="P4429" s="392"/>
      <c r="Q4429" s="327"/>
      <c r="R4429" s="351"/>
      <c r="S4429" s="351"/>
      <c r="T4429" s="351"/>
      <c r="U4429" s="329" t="str">
        <f>IF($N4429=$N$4,IFERROR(INDEX(DanhMuc!$E$154:$E$165,MATCH(MID($B4429,4,2),DanhMuc!$B$154:$B$165,0)),""),"")</f>
        <v/>
      </c>
      <c r="V4429" s="361"/>
      <c r="W4429" s="345"/>
      <c r="X4429" s="329" t="str">
        <f t="shared" si="358"/>
        <v>AN</v>
      </c>
      <c r="Y4429" s="1128" t="s">
        <v>3380</v>
      </c>
      <c r="Z4429" s="1128" t="s">
        <v>3381</v>
      </c>
      <c r="AA4429" s="1128" t="s">
        <v>3384</v>
      </c>
      <c r="AB4429" s="20"/>
      <c r="AC4429" s="73"/>
    </row>
    <row r="4430" spans="1:29">
      <c r="A4430" s="327" t="str">
        <f>IF(AND($B4430&lt;&gt;"",$C4430&lt;&gt;""),MAX($A$1556:A4405)+1,"")</f>
        <v/>
      </c>
      <c r="B4430" s="361" t="s">
        <v>2049</v>
      </c>
      <c r="C4430" s="360"/>
      <c r="D4430" s="327">
        <f>IF($B4430="","",COUNTIF($B$6:$B4430,$B4430))</f>
        <v>8</v>
      </c>
      <c r="E4430" s="361" t="s">
        <v>1771</v>
      </c>
      <c r="F4430" s="362" t="s">
        <v>1772</v>
      </c>
      <c r="G4430" s="327" t="s">
        <v>155</v>
      </c>
      <c r="H4430" s="327"/>
      <c r="I4430" s="327">
        <v>2</v>
      </c>
      <c r="J4430" s="359"/>
      <c r="K4430" s="327"/>
      <c r="L4430" s="389">
        <v>8000</v>
      </c>
      <c r="M4430" s="355"/>
      <c r="N4430" s="355" t="str">
        <f t="shared" si="357"/>
        <v>PK</v>
      </c>
      <c r="O4430" s="345"/>
      <c r="P4430" s="392"/>
      <c r="Q4430" s="327"/>
      <c r="R4430" s="351"/>
      <c r="S4430" s="351"/>
      <c r="T4430" s="351"/>
      <c r="U4430" s="329" t="str">
        <f>IF($N4430=$N$4,IFERROR(INDEX(DanhMuc!$E$154:$E$165,MATCH(MID($B4430,4,2),DanhMuc!$B$154:$B$165,0)),""),"")</f>
        <v/>
      </c>
      <c r="V4430" s="408"/>
      <c r="W4430" s="345"/>
      <c r="X4430" s="329" t="str">
        <f t="shared" si="358"/>
        <v>AN</v>
      </c>
      <c r="Y4430" s="1128" t="s">
        <v>3380</v>
      </c>
      <c r="Z4430" s="1128" t="s">
        <v>3381</v>
      </c>
      <c r="AA4430" s="1128" t="s">
        <v>3384</v>
      </c>
      <c r="AB4430" s="20"/>
      <c r="AC4430" s="73"/>
    </row>
    <row r="4431" spans="1:29" ht="39">
      <c r="A4431" s="327">
        <f>IF(AND($B4431&lt;&gt;"",$C4431&lt;&gt;""),MAX($A$1556:A4406)+1,"")</f>
        <v>202</v>
      </c>
      <c r="B4431" s="359" t="s">
        <v>2050</v>
      </c>
      <c r="C4431" s="360" t="s">
        <v>1682</v>
      </c>
      <c r="D4431" s="327">
        <f>IF($B4431="","",COUNTIF($B$6:$B4431,$B4431))</f>
        <v>1</v>
      </c>
      <c r="E4431" s="361" t="s">
        <v>1684</v>
      </c>
      <c r="F4431" s="362" t="s">
        <v>1065</v>
      </c>
      <c r="G4431" s="327" t="s">
        <v>155</v>
      </c>
      <c r="H4431" s="361"/>
      <c r="I4431" s="361">
        <v>1</v>
      </c>
      <c r="J4431" s="361"/>
      <c r="K4431" s="327"/>
      <c r="L4431" s="389">
        <v>260000</v>
      </c>
      <c r="M4431" s="355"/>
      <c r="N4431" s="355" t="str">
        <f>+$N$1555</f>
        <v>PK</v>
      </c>
      <c r="O4431" s="345"/>
      <c r="P4431" s="361"/>
      <c r="Q4431" s="327"/>
      <c r="R4431" s="351"/>
      <c r="S4431" s="351"/>
      <c r="T4431" s="351"/>
      <c r="U4431" s="329" t="str">
        <f>IF($N4431=$N$4,IFERROR(INDEX(DanhMuc!$E$154:$E$165,MATCH(MID($B4431,4,2),DanhMuc!$B$154:$B$165,0)),""),"")</f>
        <v/>
      </c>
      <c r="V4431" s="361"/>
      <c r="W4431" s="345"/>
      <c r="X4431" s="329" t="str">
        <f t="shared" si="358"/>
        <v>AN</v>
      </c>
      <c r="Y4431" s="1128" t="s">
        <v>3380</v>
      </c>
      <c r="Z4431" s="1128" t="s">
        <v>3381</v>
      </c>
      <c r="AA4431" s="1128" t="s">
        <v>3384</v>
      </c>
      <c r="AB4431" s="20"/>
      <c r="AC4431" s="73"/>
    </row>
    <row r="4432" spans="1:29" ht="25">
      <c r="A4432" s="327" t="str">
        <f>IF(AND($B4432&lt;&gt;"",$C4432&lt;&gt;""),MAX($A$1556:A4407)+1,"")</f>
        <v/>
      </c>
      <c r="B4432" s="361" t="s">
        <v>2050</v>
      </c>
      <c r="C4432" s="360"/>
      <c r="D4432" s="327">
        <f>IF($B4432="","",COUNTIF($B$6:$B4432,$B4432))</f>
        <v>2</v>
      </c>
      <c r="E4432" s="361" t="s">
        <v>1808</v>
      </c>
      <c r="F4432" s="362" t="s">
        <v>1810</v>
      </c>
      <c r="G4432" s="327" t="s">
        <v>156</v>
      </c>
      <c r="H4432" s="361"/>
      <c r="I4432" s="361" t="s">
        <v>1812</v>
      </c>
      <c r="J4432" s="361"/>
      <c r="K4432" s="327"/>
      <c r="L4432" s="389">
        <v>47000</v>
      </c>
      <c r="M4432" s="355"/>
      <c r="N4432" s="355" t="str">
        <f t="shared" si="357"/>
        <v>PK</v>
      </c>
      <c r="O4432" s="359"/>
      <c r="P4432" s="361"/>
      <c r="Q4432" s="327"/>
      <c r="R4432" s="351"/>
      <c r="S4432" s="351"/>
      <c r="T4432" s="351"/>
      <c r="U4432" s="329" t="str">
        <f>IF($N4432=$N$4,IFERROR(INDEX(DanhMuc!$E$154:$E$165,MATCH(MID($B4432,4,2),DanhMuc!$B$154:$B$165,0)),""),"")</f>
        <v/>
      </c>
      <c r="V4432" s="361"/>
      <c r="W4432" s="345"/>
      <c r="X4432" s="329" t="str">
        <f t="shared" si="358"/>
        <v>AN</v>
      </c>
      <c r="Y4432" s="1128" t="s">
        <v>3380</v>
      </c>
      <c r="Z4432" s="1128" t="s">
        <v>3381</v>
      </c>
      <c r="AA4432" s="1128" t="s">
        <v>3384</v>
      </c>
      <c r="AB4432" s="20"/>
      <c r="AC4432" s="73"/>
    </row>
    <row r="4433" spans="1:29">
      <c r="A4433" s="327" t="str">
        <f>IF(AND($B4433&lt;&gt;"",$C4433&lt;&gt;""),MAX($A$1556:A4408)+1,"")</f>
        <v/>
      </c>
      <c r="B4433" s="361" t="s">
        <v>2050</v>
      </c>
      <c r="C4433" s="360"/>
      <c r="D4433" s="327">
        <f>IF($B4433="","",COUNTIF($B$6:$B4433,$B4433))</f>
        <v>3</v>
      </c>
      <c r="E4433" s="361" t="s">
        <v>1809</v>
      </c>
      <c r="F4433" s="362" t="s">
        <v>1811</v>
      </c>
      <c r="G4433" s="327" t="s">
        <v>156</v>
      </c>
      <c r="H4433" s="361"/>
      <c r="I4433" s="361" t="s">
        <v>1813</v>
      </c>
      <c r="J4433" s="361"/>
      <c r="K4433" s="327"/>
      <c r="L4433" s="389">
        <v>57000</v>
      </c>
      <c r="M4433" s="355"/>
      <c r="N4433" s="355" t="str">
        <f t="shared" si="357"/>
        <v>PK</v>
      </c>
      <c r="O4433" s="359"/>
      <c r="P4433" s="361"/>
      <c r="Q4433" s="327"/>
      <c r="R4433" s="351"/>
      <c r="S4433" s="351"/>
      <c r="T4433" s="351"/>
      <c r="U4433" s="329" t="str">
        <f>IF($N4433=$N$4,IFERROR(INDEX(DanhMuc!$E$154:$E$165,MATCH(MID($B4433,4,2),DanhMuc!$B$154:$B$165,0)),""),"")</f>
        <v/>
      </c>
      <c r="V4433" s="361"/>
      <c r="W4433" s="345"/>
      <c r="X4433" s="329" t="str">
        <f t="shared" si="358"/>
        <v>AN</v>
      </c>
      <c r="Y4433" s="1128" t="s">
        <v>3380</v>
      </c>
      <c r="Z4433" s="1128" t="s">
        <v>3381</v>
      </c>
      <c r="AA4433" s="1128" t="s">
        <v>3384</v>
      </c>
      <c r="AB4433" s="20"/>
      <c r="AC4433" s="73"/>
    </row>
    <row r="4434" spans="1:29">
      <c r="A4434" s="327" t="str">
        <f>IF(AND($B4434&lt;&gt;"",$C4434&lt;&gt;""),MAX($A$1556:A4409)+1,"")</f>
        <v/>
      </c>
      <c r="B4434" s="361" t="s">
        <v>2050</v>
      </c>
      <c r="C4434" s="360"/>
      <c r="D4434" s="327">
        <f>IF($B4434="","",COUNTIF($B$6:$B4434,$B4434))</f>
        <v>4</v>
      </c>
      <c r="E4434" s="361" t="s">
        <v>1685</v>
      </c>
      <c r="F4434" s="362" t="s">
        <v>1686</v>
      </c>
      <c r="G4434" s="327" t="s">
        <v>156</v>
      </c>
      <c r="H4434" s="361"/>
      <c r="I4434" s="361" t="s">
        <v>1814</v>
      </c>
      <c r="J4434" s="361"/>
      <c r="K4434" s="327"/>
      <c r="L4434" s="389">
        <v>75000</v>
      </c>
      <c r="M4434" s="355"/>
      <c r="N4434" s="355" t="str">
        <f t="shared" si="357"/>
        <v>PK</v>
      </c>
      <c r="O4434" s="359"/>
      <c r="P4434" s="361"/>
      <c r="Q4434" s="327"/>
      <c r="R4434" s="351"/>
      <c r="S4434" s="351"/>
      <c r="T4434" s="351"/>
      <c r="U4434" s="329" t="str">
        <f>IF($N4434=$N$4,IFERROR(INDEX(DanhMuc!$E$154:$E$165,MATCH(MID($B4434,4,2),DanhMuc!$B$154:$B$165,0)),""),"")</f>
        <v/>
      </c>
      <c r="V4434" s="361"/>
      <c r="W4434" s="345"/>
      <c r="X4434" s="329" t="str">
        <f t="shared" si="358"/>
        <v>AN</v>
      </c>
      <c r="Y4434" s="1128" t="s">
        <v>3380</v>
      </c>
      <c r="Z4434" s="1128" t="s">
        <v>3381</v>
      </c>
      <c r="AA4434" s="1128" t="s">
        <v>3384</v>
      </c>
      <c r="AB4434" s="20"/>
      <c r="AC4434" s="73"/>
    </row>
    <row r="4435" spans="1:29">
      <c r="A4435" s="327" t="str">
        <f>IF(AND($B4435&lt;&gt;"",$C4435&lt;&gt;""),MAX($A$1556:A4410)+1,"")</f>
        <v/>
      </c>
      <c r="B4435" s="361" t="s">
        <v>2050</v>
      </c>
      <c r="C4435" s="360"/>
      <c r="D4435" s="327">
        <f>IF($B4435="","",COUNTIF($B$6:$B4435,$B4435))</f>
        <v>5</v>
      </c>
      <c r="E4435" s="361" t="s">
        <v>1687</v>
      </c>
      <c r="F4435" s="362" t="s">
        <v>1688</v>
      </c>
      <c r="G4435" s="327" t="s">
        <v>155</v>
      </c>
      <c r="H4435" s="361"/>
      <c r="I4435" s="361">
        <v>2</v>
      </c>
      <c r="J4435" s="361"/>
      <c r="K4435" s="327"/>
      <c r="L4435" s="389">
        <v>70000</v>
      </c>
      <c r="M4435" s="355"/>
      <c r="N4435" s="355" t="str">
        <f t="shared" si="357"/>
        <v>PK</v>
      </c>
      <c r="O4435" s="345" t="s">
        <v>1702</v>
      </c>
      <c r="P4435" s="361"/>
      <c r="Q4435" s="327"/>
      <c r="R4435" s="351"/>
      <c r="S4435" s="351"/>
      <c r="T4435" s="351"/>
      <c r="U4435" s="329" t="str">
        <f>IF($N4435=$N$4,IFERROR(INDEX(DanhMuc!$E$154:$E$165,MATCH(MID($B4435,4,2),DanhMuc!$B$154:$B$165,0)),""),"")</f>
        <v/>
      </c>
      <c r="V4435" s="361"/>
      <c r="W4435" s="345"/>
      <c r="X4435" s="329" t="str">
        <f t="shared" si="358"/>
        <v>AN</v>
      </c>
      <c r="Y4435" s="1128" t="s">
        <v>3380</v>
      </c>
      <c r="Z4435" s="1128" t="s">
        <v>3381</v>
      </c>
      <c r="AA4435" s="1128" t="s">
        <v>3384</v>
      </c>
      <c r="AB4435" s="20"/>
      <c r="AC4435" s="73"/>
    </row>
    <row r="4436" spans="1:29">
      <c r="A4436" s="327" t="str">
        <f>IF(AND($B4436&lt;&gt;"",$C4436&lt;&gt;""),MAX($A$1556:A4411)+1,"")</f>
        <v/>
      </c>
      <c r="B4436" s="361" t="s">
        <v>2050</v>
      </c>
      <c r="C4436" s="360"/>
      <c r="D4436" s="327">
        <f>IF($B4436="","",COUNTIF($B$6:$B4436,$B4436))</f>
        <v>6</v>
      </c>
      <c r="E4436" s="361" t="s">
        <v>1689</v>
      </c>
      <c r="F4436" s="362" t="s">
        <v>1690</v>
      </c>
      <c r="G4436" s="327" t="s">
        <v>155</v>
      </c>
      <c r="H4436" s="361"/>
      <c r="I4436" s="361">
        <v>2</v>
      </c>
      <c r="J4436" s="361"/>
      <c r="K4436" s="327"/>
      <c r="L4436" s="389">
        <v>80000</v>
      </c>
      <c r="M4436" s="355"/>
      <c r="N4436" s="355" t="str">
        <f t="shared" si="357"/>
        <v>PK</v>
      </c>
      <c r="O4436" s="407" t="s">
        <v>1699</v>
      </c>
      <c r="P4436" s="361"/>
      <c r="Q4436" s="327"/>
      <c r="R4436" s="351"/>
      <c r="S4436" s="351"/>
      <c r="T4436" s="351"/>
      <c r="U4436" s="329" t="str">
        <f>IF($N4436=$N$4,IFERROR(INDEX(DanhMuc!$E$154:$E$165,MATCH(MID($B4436,4,2),DanhMuc!$B$154:$B$165,0)),""),"")</f>
        <v/>
      </c>
      <c r="V4436" s="361"/>
      <c r="W4436" s="345"/>
      <c r="X4436" s="329" t="str">
        <f t="shared" si="358"/>
        <v>AN</v>
      </c>
      <c r="Y4436" s="1128" t="s">
        <v>3380</v>
      </c>
      <c r="Z4436" s="1128" t="s">
        <v>3381</v>
      </c>
      <c r="AA4436" s="1128" t="s">
        <v>3384</v>
      </c>
      <c r="AB4436" s="20"/>
      <c r="AC4436" s="73"/>
    </row>
    <row r="4437" spans="1:29">
      <c r="A4437" s="327" t="str">
        <f>IF(AND($B4437&lt;&gt;"",$C4437&lt;&gt;""),MAX($A$1556:A4412)+1,"")</f>
        <v/>
      </c>
      <c r="B4437" s="361" t="s">
        <v>2050</v>
      </c>
      <c r="C4437" s="360"/>
      <c r="D4437" s="327">
        <f>IF($B4437="","",COUNTIF($B$6:$B4437,$B4437))</f>
        <v>7</v>
      </c>
      <c r="E4437" s="361" t="s">
        <v>1691</v>
      </c>
      <c r="F4437" s="362" t="s">
        <v>1692</v>
      </c>
      <c r="G4437" s="327" t="s">
        <v>155</v>
      </c>
      <c r="H4437" s="361"/>
      <c r="I4437" s="361">
        <v>2</v>
      </c>
      <c r="J4437" s="361"/>
      <c r="K4437" s="327"/>
      <c r="L4437" s="389">
        <v>98000</v>
      </c>
      <c r="M4437" s="355"/>
      <c r="N4437" s="355" t="str">
        <f>+$N$1555</f>
        <v>PK</v>
      </c>
      <c r="O4437" s="407" t="s">
        <v>1701</v>
      </c>
      <c r="P4437" s="361"/>
      <c r="Q4437" s="327"/>
      <c r="R4437" s="351"/>
      <c r="S4437" s="351"/>
      <c r="T4437" s="351"/>
      <c r="U4437" s="329" t="str">
        <f>IF($N4437=$N$4,IFERROR(INDEX(DanhMuc!$E$154:$E$165,MATCH(MID($B4437,4,2),DanhMuc!$B$154:$B$165,0)),""),"")</f>
        <v/>
      </c>
      <c r="V4437" s="361"/>
      <c r="W4437" s="345"/>
      <c r="X4437" s="329" t="str">
        <f t="shared" si="358"/>
        <v>AN</v>
      </c>
      <c r="Y4437" s="1128" t="s">
        <v>3380</v>
      </c>
      <c r="Z4437" s="1128" t="s">
        <v>3381</v>
      </c>
      <c r="AA4437" s="1128" t="s">
        <v>3384</v>
      </c>
      <c r="AB4437" s="20"/>
      <c r="AC4437" s="73"/>
    </row>
    <row r="4438" spans="1:29">
      <c r="A4438" s="327" t="str">
        <f>IF(AND($B4438&lt;&gt;"",$C4438&lt;&gt;""),MAX($A$1556:A4413)+1,"")</f>
        <v/>
      </c>
      <c r="B4438" s="361" t="s">
        <v>2050</v>
      </c>
      <c r="C4438" s="360"/>
      <c r="D4438" s="327">
        <f>IF($B4438="","",COUNTIF($B$6:$B4438,$B4438))</f>
        <v>8</v>
      </c>
      <c r="E4438" s="361" t="s">
        <v>1693</v>
      </c>
      <c r="F4438" s="362" t="s">
        <v>1694</v>
      </c>
      <c r="G4438" s="327" t="s">
        <v>155</v>
      </c>
      <c r="H4438" s="361"/>
      <c r="I4438" s="361">
        <v>2</v>
      </c>
      <c r="J4438" s="361"/>
      <c r="K4438" s="327"/>
      <c r="L4438" s="389">
        <v>118000</v>
      </c>
      <c r="M4438" s="355"/>
      <c r="N4438" s="355" t="str">
        <f t="shared" si="357"/>
        <v>PK</v>
      </c>
      <c r="O4438" s="407" t="s">
        <v>1703</v>
      </c>
      <c r="P4438" s="361"/>
      <c r="Q4438" s="327"/>
      <c r="R4438" s="351"/>
      <c r="S4438" s="351"/>
      <c r="T4438" s="351"/>
      <c r="U4438" s="329" t="str">
        <f>IF($N4438=$N$4,IFERROR(INDEX(DanhMuc!$E$154:$E$165,MATCH(MID($B4438,4,2),DanhMuc!$B$154:$B$165,0)),""),"")</f>
        <v/>
      </c>
      <c r="V4438" s="361"/>
      <c r="W4438" s="345"/>
      <c r="X4438" s="329" t="str">
        <f t="shared" si="358"/>
        <v>AN</v>
      </c>
      <c r="Y4438" s="1128" t="s">
        <v>3380</v>
      </c>
      <c r="Z4438" s="1128" t="s">
        <v>3381</v>
      </c>
      <c r="AA4438" s="1128" t="s">
        <v>3384</v>
      </c>
      <c r="AB4438" s="20"/>
      <c r="AC4438" s="73"/>
    </row>
    <row r="4439" spans="1:29">
      <c r="A4439" s="327" t="str">
        <f>IF(AND($B4439&lt;&gt;"",$C4439&lt;&gt;""),MAX($A$1556:A4414)+1,"")</f>
        <v/>
      </c>
      <c r="B4439" s="361" t="s">
        <v>2050</v>
      </c>
      <c r="C4439" s="360"/>
      <c r="D4439" s="327">
        <f>IF($B4439="","",COUNTIF($B$6:$B4439,$B4439))</f>
        <v>9</v>
      </c>
      <c r="E4439" s="361" t="s">
        <v>1695</v>
      </c>
      <c r="F4439" s="362" t="s">
        <v>1696</v>
      </c>
      <c r="G4439" s="327" t="s">
        <v>155</v>
      </c>
      <c r="H4439" s="361"/>
      <c r="I4439" s="361">
        <v>2</v>
      </c>
      <c r="J4439" s="361"/>
      <c r="K4439" s="327"/>
      <c r="L4439" s="389">
        <v>5000</v>
      </c>
      <c r="M4439" s="355"/>
      <c r="N4439" s="355" t="str">
        <f>+$N$1555</f>
        <v>PK</v>
      </c>
      <c r="O4439" s="359"/>
      <c r="P4439" s="361"/>
      <c r="Q4439" s="327"/>
      <c r="R4439" s="351"/>
      <c r="S4439" s="351"/>
      <c r="T4439" s="351"/>
      <c r="U4439" s="329" t="str">
        <f>IF($N4439=$N$4,IFERROR(INDEX(DanhMuc!$E$154:$E$165,MATCH(MID($B4439,4,2),DanhMuc!$B$154:$B$165,0)),""),"")</f>
        <v/>
      </c>
      <c r="V4439" s="361"/>
      <c r="W4439" s="345"/>
      <c r="X4439" s="329" t="str">
        <f t="shared" si="358"/>
        <v>AN</v>
      </c>
      <c r="Y4439" s="1128" t="s">
        <v>3380</v>
      </c>
      <c r="Z4439" s="1128" t="s">
        <v>3381</v>
      </c>
      <c r="AA4439" s="1128" t="s">
        <v>3384</v>
      </c>
      <c r="AB4439" s="20"/>
      <c r="AC4439" s="73"/>
    </row>
    <row r="4440" spans="1:29">
      <c r="A4440" s="327" t="str">
        <f>IF(AND($B4440&lt;&gt;"",$C4440&lt;&gt;""),MAX($A$1556:A4415)+1,"")</f>
        <v/>
      </c>
      <c r="B4440" s="361" t="s">
        <v>2050</v>
      </c>
      <c r="C4440" s="360"/>
      <c r="D4440" s="327">
        <f>IF($B4440="","",COUNTIF($B$6:$B4440,$B4440))</f>
        <v>10</v>
      </c>
      <c r="E4440" s="361" t="s">
        <v>175</v>
      </c>
      <c r="F4440" s="362" t="s">
        <v>176</v>
      </c>
      <c r="G4440" s="327" t="s">
        <v>155</v>
      </c>
      <c r="H4440" s="361"/>
      <c r="I4440" s="361">
        <v>2</v>
      </c>
      <c r="J4440" s="361"/>
      <c r="K4440" s="327"/>
      <c r="L4440" s="389">
        <v>2000</v>
      </c>
      <c r="M4440" s="355"/>
      <c r="N4440" s="355" t="str">
        <f t="shared" si="357"/>
        <v>PK</v>
      </c>
      <c r="O4440" s="359"/>
      <c r="P4440" s="361"/>
      <c r="Q4440" s="327"/>
      <c r="R4440" s="351"/>
      <c r="S4440" s="351"/>
      <c r="T4440" s="351"/>
      <c r="U4440" s="329" t="str">
        <f>IF($N4440=$N$4,IFERROR(INDEX(DanhMuc!$E$154:$E$165,MATCH(MID($B4440,4,2),DanhMuc!$B$154:$B$165,0)),""),"")</f>
        <v/>
      </c>
      <c r="V4440" s="361"/>
      <c r="W4440" s="345"/>
      <c r="X4440" s="329" t="str">
        <f t="shared" si="358"/>
        <v>AN</v>
      </c>
      <c r="Y4440" s="1128" t="s">
        <v>3380</v>
      </c>
      <c r="Z4440" s="1128" t="s">
        <v>3381</v>
      </c>
      <c r="AA4440" s="1128" t="s">
        <v>3384</v>
      </c>
      <c r="AB4440" s="20"/>
      <c r="AC4440" s="73"/>
    </row>
    <row r="4441" spans="1:29" ht="39">
      <c r="A4441" s="327">
        <f>IF(AND($B4441&lt;&gt;"",$C4441&lt;&gt;""),MAX($A$1556:A4416)+1,"")</f>
        <v>202</v>
      </c>
      <c r="B4441" s="359" t="s">
        <v>2051</v>
      </c>
      <c r="C4441" s="360" t="s">
        <v>1708</v>
      </c>
      <c r="D4441" s="327">
        <f>IF($B4441="","",COUNTIF($B$6:$B4441,$B4441))</f>
        <v>1</v>
      </c>
      <c r="E4441" s="361" t="s">
        <v>1684</v>
      </c>
      <c r="F4441" s="362" t="s">
        <v>1065</v>
      </c>
      <c r="G4441" s="327" t="s">
        <v>155</v>
      </c>
      <c r="H4441" s="361"/>
      <c r="I4441" s="361">
        <v>1</v>
      </c>
      <c r="J4441" s="361"/>
      <c r="K4441" s="327"/>
      <c r="L4441" s="389">
        <v>260000</v>
      </c>
      <c r="M4441" s="355"/>
      <c r="N4441" s="355" t="str">
        <f>+$N$1555</f>
        <v>PK</v>
      </c>
      <c r="O4441" s="359"/>
      <c r="P4441" s="361"/>
      <c r="Q4441" s="327"/>
      <c r="R4441" s="351"/>
      <c r="S4441" s="351"/>
      <c r="T4441" s="351"/>
      <c r="U4441" s="329" t="str">
        <f>IF($N4441=$N$4,IFERROR(INDEX(DanhMuc!$E$154:$E$165,MATCH(MID($B4441,4,2),DanhMuc!$B$154:$B$165,0)),""),"")</f>
        <v/>
      </c>
      <c r="V4441" s="361"/>
      <c r="W4441" s="345"/>
      <c r="X4441" s="329" t="str">
        <f t="shared" si="358"/>
        <v>AN</v>
      </c>
      <c r="Y4441" s="1128" t="s">
        <v>3380</v>
      </c>
      <c r="Z4441" s="1128" t="s">
        <v>3381</v>
      </c>
      <c r="AA4441" s="1128" t="s">
        <v>3384</v>
      </c>
      <c r="AB4441" s="20"/>
      <c r="AC4441" s="73"/>
    </row>
    <row r="4442" spans="1:29" ht="25">
      <c r="A4442" s="327" t="str">
        <f>IF(AND($B4442&lt;&gt;"",$C4442&lt;&gt;""),MAX($A$1556:A4417)+1,"")</f>
        <v/>
      </c>
      <c r="B4442" s="361" t="s">
        <v>2051</v>
      </c>
      <c r="C4442" s="360"/>
      <c r="D4442" s="327">
        <f>IF($B4442="","",COUNTIF($B$6:$B4442,$B4442))</f>
        <v>2</v>
      </c>
      <c r="E4442" s="361" t="s">
        <v>1808</v>
      </c>
      <c r="F4442" s="362" t="s">
        <v>1810</v>
      </c>
      <c r="G4442" s="327" t="s">
        <v>156</v>
      </c>
      <c r="H4442" s="361"/>
      <c r="I4442" s="361" t="s">
        <v>1812</v>
      </c>
      <c r="J4442" s="361"/>
      <c r="K4442" s="327"/>
      <c r="L4442" s="389">
        <v>47000</v>
      </c>
      <c r="M4442" s="355"/>
      <c r="N4442" s="355" t="str">
        <f t="shared" si="357"/>
        <v>PK</v>
      </c>
      <c r="O4442" s="359"/>
      <c r="P4442" s="361"/>
      <c r="Q4442" s="327"/>
      <c r="R4442" s="351"/>
      <c r="S4442" s="351"/>
      <c r="T4442" s="351"/>
      <c r="U4442" s="329" t="str">
        <f>IF($N4442=$N$4,IFERROR(INDEX(DanhMuc!$E$154:$E$165,MATCH(MID($B4442,4,2),DanhMuc!$B$154:$B$165,0)),""),"")</f>
        <v/>
      </c>
      <c r="V4442" s="361"/>
      <c r="W4442" s="345"/>
      <c r="X4442" s="329" t="str">
        <f t="shared" si="358"/>
        <v>AN</v>
      </c>
      <c r="Y4442" s="1128" t="s">
        <v>3380</v>
      </c>
      <c r="Z4442" s="1128" t="s">
        <v>3381</v>
      </c>
      <c r="AA4442" s="1128" t="s">
        <v>3384</v>
      </c>
      <c r="AB4442" s="20"/>
      <c r="AC4442" s="73"/>
    </row>
    <row r="4443" spans="1:29">
      <c r="A4443" s="327" t="str">
        <f>IF(AND($B4443&lt;&gt;"",$C4443&lt;&gt;""),MAX($A$1556:A4418)+1,"")</f>
        <v/>
      </c>
      <c r="B4443" s="361" t="s">
        <v>2051</v>
      </c>
      <c r="C4443" s="360"/>
      <c r="D4443" s="327">
        <f>IF($B4443="","",COUNTIF($B$6:$B4443,$B4443))</f>
        <v>3</v>
      </c>
      <c r="E4443" s="361" t="s">
        <v>1809</v>
      </c>
      <c r="F4443" s="362" t="s">
        <v>1811</v>
      </c>
      <c r="G4443" s="327" t="s">
        <v>156</v>
      </c>
      <c r="H4443" s="361"/>
      <c r="I4443" s="361" t="s">
        <v>1813</v>
      </c>
      <c r="J4443" s="361"/>
      <c r="K4443" s="327"/>
      <c r="L4443" s="389">
        <v>57000</v>
      </c>
      <c r="M4443" s="355"/>
      <c r="N4443" s="355" t="str">
        <f t="shared" si="357"/>
        <v>PK</v>
      </c>
      <c r="O4443" s="359"/>
      <c r="P4443" s="361"/>
      <c r="Q4443" s="327"/>
      <c r="R4443" s="351"/>
      <c r="S4443" s="351"/>
      <c r="T4443" s="351"/>
      <c r="U4443" s="329" t="str">
        <f>IF($N4443=$N$4,IFERROR(INDEX(DanhMuc!$E$154:$E$165,MATCH(MID($B4443,4,2),DanhMuc!$B$154:$B$165,0)),""),"")</f>
        <v/>
      </c>
      <c r="V4443" s="361"/>
      <c r="W4443" s="345"/>
      <c r="X4443" s="329" t="str">
        <f t="shared" si="358"/>
        <v>AN</v>
      </c>
      <c r="Y4443" s="1128" t="s">
        <v>3380</v>
      </c>
      <c r="Z4443" s="1128" t="s">
        <v>3381</v>
      </c>
      <c r="AA4443" s="1128" t="s">
        <v>3384</v>
      </c>
      <c r="AB4443" s="20"/>
      <c r="AC4443" s="73"/>
    </row>
    <row r="4444" spans="1:29">
      <c r="A4444" s="327" t="str">
        <f>IF(AND($B4444&lt;&gt;"",$C4444&lt;&gt;""),MAX($A$1556:A4419)+1,"")</f>
        <v/>
      </c>
      <c r="B4444" s="361" t="s">
        <v>2051</v>
      </c>
      <c r="C4444" s="360"/>
      <c r="D4444" s="327">
        <f>IF($B4444="","",COUNTIF($B$6:$B4444,$B4444))</f>
        <v>4</v>
      </c>
      <c r="E4444" s="361" t="s">
        <v>1685</v>
      </c>
      <c r="F4444" s="362" t="s">
        <v>1686</v>
      </c>
      <c r="G4444" s="327" t="s">
        <v>156</v>
      </c>
      <c r="H4444" s="361"/>
      <c r="I4444" s="361" t="s">
        <v>1814</v>
      </c>
      <c r="J4444" s="361"/>
      <c r="K4444" s="327"/>
      <c r="L4444" s="389">
        <v>75000</v>
      </c>
      <c r="M4444" s="355"/>
      <c r="N4444" s="355" t="str">
        <f t="shared" si="357"/>
        <v>PK</v>
      </c>
      <c r="O4444" s="359"/>
      <c r="P4444" s="361"/>
      <c r="Q4444" s="327"/>
      <c r="R4444" s="351"/>
      <c r="S4444" s="351"/>
      <c r="T4444" s="351"/>
      <c r="U4444" s="329" t="str">
        <f>IF($N4444=$N$4,IFERROR(INDEX(DanhMuc!$E$154:$E$165,MATCH(MID($B4444,4,2),DanhMuc!$B$154:$B$165,0)),""),"")</f>
        <v/>
      </c>
      <c r="V4444" s="361"/>
      <c r="W4444" s="345"/>
      <c r="X4444" s="329" t="str">
        <f t="shared" si="358"/>
        <v>AN</v>
      </c>
      <c r="Y4444" s="1128" t="s">
        <v>3380</v>
      </c>
      <c r="Z4444" s="1128" t="s">
        <v>3381</v>
      </c>
      <c r="AA4444" s="1128" t="s">
        <v>3384</v>
      </c>
      <c r="AB4444" s="20"/>
      <c r="AC4444" s="73"/>
    </row>
    <row r="4445" spans="1:29">
      <c r="A4445" s="327" t="str">
        <f>IF(AND($B4445&lt;&gt;"",$C4445&lt;&gt;""),MAX($A$1556:A4420)+1,"")</f>
        <v/>
      </c>
      <c r="B4445" s="361" t="s">
        <v>2051</v>
      </c>
      <c r="C4445" s="360"/>
      <c r="D4445" s="327">
        <f>IF($B4445="","",COUNTIF($B$6:$B4445,$B4445))</f>
        <v>5</v>
      </c>
      <c r="E4445" s="361" t="s">
        <v>1687</v>
      </c>
      <c r="F4445" s="362" t="s">
        <v>1688</v>
      </c>
      <c r="G4445" s="327" t="s">
        <v>155</v>
      </c>
      <c r="H4445" s="361"/>
      <c r="I4445" s="361">
        <v>4</v>
      </c>
      <c r="J4445" s="361"/>
      <c r="K4445" s="327"/>
      <c r="L4445" s="389">
        <v>70000</v>
      </c>
      <c r="M4445" s="355"/>
      <c r="N4445" s="355" t="str">
        <f t="shared" si="357"/>
        <v>PK</v>
      </c>
      <c r="O4445" s="345" t="s">
        <v>1702</v>
      </c>
      <c r="P4445" s="361"/>
      <c r="Q4445" s="327"/>
      <c r="R4445" s="351"/>
      <c r="S4445" s="351"/>
      <c r="T4445" s="351"/>
      <c r="U4445" s="329" t="str">
        <f>IF($N4445=$N$4,IFERROR(INDEX(DanhMuc!$E$154:$E$165,MATCH(MID($B4445,4,2),DanhMuc!$B$154:$B$165,0)),""),"")</f>
        <v/>
      </c>
      <c r="V4445" s="361"/>
      <c r="W4445" s="345"/>
      <c r="X4445" s="329" t="str">
        <f t="shared" si="358"/>
        <v>AN</v>
      </c>
      <c r="Y4445" s="1128" t="s">
        <v>3380</v>
      </c>
      <c r="Z4445" s="1128" t="s">
        <v>3381</v>
      </c>
      <c r="AA4445" s="1128" t="s">
        <v>3384</v>
      </c>
      <c r="AB4445" s="20"/>
      <c r="AC4445" s="73"/>
    </row>
    <row r="4446" spans="1:29">
      <c r="A4446" s="327" t="str">
        <f>IF(AND($B4446&lt;&gt;"",$C4446&lt;&gt;""),MAX($A$1556:A4421)+1,"")</f>
        <v/>
      </c>
      <c r="B4446" s="361" t="s">
        <v>2051</v>
      </c>
      <c r="C4446" s="360"/>
      <c r="D4446" s="327">
        <f>IF($B4446="","",COUNTIF($B$6:$B4446,$B4446))</f>
        <v>6</v>
      </c>
      <c r="E4446" s="361" t="s">
        <v>1689</v>
      </c>
      <c r="F4446" s="362" t="s">
        <v>1690</v>
      </c>
      <c r="G4446" s="327" t="s">
        <v>155</v>
      </c>
      <c r="H4446" s="361"/>
      <c r="I4446" s="361">
        <v>4</v>
      </c>
      <c r="J4446" s="361"/>
      <c r="K4446" s="327"/>
      <c r="L4446" s="389">
        <v>80000</v>
      </c>
      <c r="M4446" s="355"/>
      <c r="N4446" s="355" t="str">
        <f t="shared" si="357"/>
        <v>PK</v>
      </c>
      <c r="O4446" s="407" t="s">
        <v>1699</v>
      </c>
      <c r="P4446" s="361"/>
      <c r="Q4446" s="327"/>
      <c r="R4446" s="351"/>
      <c r="S4446" s="351"/>
      <c r="T4446" s="351"/>
      <c r="U4446" s="329" t="str">
        <f>IF($N4446=$N$4,IFERROR(INDEX(DanhMuc!$E$154:$E$165,MATCH(MID($B4446,4,2),DanhMuc!$B$154:$B$165,0)),""),"")</f>
        <v/>
      </c>
      <c r="V4446" s="361"/>
      <c r="W4446" s="345"/>
      <c r="X4446" s="329" t="str">
        <f t="shared" si="358"/>
        <v>AN</v>
      </c>
      <c r="Y4446" s="1128" t="s">
        <v>3380</v>
      </c>
      <c r="Z4446" s="1128" t="s">
        <v>3381</v>
      </c>
      <c r="AA4446" s="1128" t="s">
        <v>3384</v>
      </c>
      <c r="AB4446" s="20"/>
      <c r="AC4446" s="73"/>
    </row>
    <row r="4447" spans="1:29">
      <c r="A4447" s="327" t="str">
        <f>IF(AND($B4447&lt;&gt;"",$C4447&lt;&gt;""),MAX($A$1556:A4422)+1,"")</f>
        <v/>
      </c>
      <c r="B4447" s="361" t="s">
        <v>2051</v>
      </c>
      <c r="C4447" s="360"/>
      <c r="D4447" s="327">
        <f>IF($B4447="","",COUNTIF($B$6:$B4447,$B4447))</f>
        <v>7</v>
      </c>
      <c r="E4447" s="361" t="s">
        <v>1691</v>
      </c>
      <c r="F4447" s="362" t="s">
        <v>1692</v>
      </c>
      <c r="G4447" s="327" t="s">
        <v>155</v>
      </c>
      <c r="H4447" s="361"/>
      <c r="I4447" s="361">
        <v>4</v>
      </c>
      <c r="J4447" s="361"/>
      <c r="K4447" s="327"/>
      <c r="L4447" s="389">
        <v>98000</v>
      </c>
      <c r="M4447" s="355"/>
      <c r="N4447" s="355" t="str">
        <f>+$N$1555</f>
        <v>PK</v>
      </c>
      <c r="O4447" s="407" t="s">
        <v>1701</v>
      </c>
      <c r="P4447" s="361"/>
      <c r="Q4447" s="327"/>
      <c r="R4447" s="351"/>
      <c r="S4447" s="351"/>
      <c r="T4447" s="351"/>
      <c r="U4447" s="329" t="str">
        <f>IF($N4447=$N$4,IFERROR(INDEX(DanhMuc!$E$154:$E$165,MATCH(MID($B4447,4,2),DanhMuc!$B$154:$B$165,0)),""),"")</f>
        <v/>
      </c>
      <c r="V4447" s="361"/>
      <c r="W4447" s="345"/>
      <c r="X4447" s="329" t="str">
        <f t="shared" si="358"/>
        <v>AN</v>
      </c>
      <c r="Y4447" s="1128" t="s">
        <v>3380</v>
      </c>
      <c r="Z4447" s="1128" t="s">
        <v>3381</v>
      </c>
      <c r="AA4447" s="1128" t="s">
        <v>3384</v>
      </c>
      <c r="AB4447" s="20"/>
      <c r="AC4447" s="73"/>
    </row>
    <row r="4448" spans="1:29">
      <c r="A4448" s="327" t="str">
        <f>IF(AND($B4448&lt;&gt;"",$C4448&lt;&gt;""),MAX($A$1556:A4423)+1,"")</f>
        <v/>
      </c>
      <c r="B4448" s="361" t="s">
        <v>2051</v>
      </c>
      <c r="C4448" s="360"/>
      <c r="D4448" s="327">
        <f>IF($B4448="","",COUNTIF($B$6:$B4448,$B4448))</f>
        <v>8</v>
      </c>
      <c r="E4448" s="361" t="s">
        <v>1693</v>
      </c>
      <c r="F4448" s="362" t="s">
        <v>1694</v>
      </c>
      <c r="G4448" s="327" t="s">
        <v>155</v>
      </c>
      <c r="H4448" s="361"/>
      <c r="I4448" s="361">
        <v>4</v>
      </c>
      <c r="J4448" s="361"/>
      <c r="K4448" s="327"/>
      <c r="L4448" s="389">
        <v>118000</v>
      </c>
      <c r="M4448" s="355"/>
      <c r="N4448" s="355" t="str">
        <f t="shared" si="357"/>
        <v>PK</v>
      </c>
      <c r="O4448" s="407" t="s">
        <v>1703</v>
      </c>
      <c r="P4448" s="361"/>
      <c r="Q4448" s="327"/>
      <c r="R4448" s="351"/>
      <c r="S4448" s="351"/>
      <c r="T4448" s="351"/>
      <c r="U4448" s="329" t="str">
        <f>IF($N4448=$N$4,IFERROR(INDEX(DanhMuc!$E$154:$E$165,MATCH(MID($B4448,4,2),DanhMuc!$B$154:$B$165,0)),""),"")</f>
        <v/>
      </c>
      <c r="V4448" s="361"/>
      <c r="W4448" s="345"/>
      <c r="X4448" s="329" t="str">
        <f t="shared" si="358"/>
        <v>AN</v>
      </c>
      <c r="Y4448" s="1128" t="s">
        <v>3380</v>
      </c>
      <c r="Z4448" s="1128" t="s">
        <v>3381</v>
      </c>
      <c r="AA4448" s="1128" t="s">
        <v>3384</v>
      </c>
      <c r="AB4448" s="20"/>
      <c r="AC4448" s="73"/>
    </row>
    <row r="4449" spans="1:29">
      <c r="A4449" s="327" t="str">
        <f>IF(AND($B4449&lt;&gt;"",$C4449&lt;&gt;""),MAX($A$1556:A4424)+1,"")</f>
        <v/>
      </c>
      <c r="B4449" s="361" t="s">
        <v>2051</v>
      </c>
      <c r="C4449" s="360"/>
      <c r="D4449" s="327">
        <f>IF($B4449="","",COUNTIF($B$6:$B4449,$B4449))</f>
        <v>9</v>
      </c>
      <c r="E4449" s="361" t="s">
        <v>1653</v>
      </c>
      <c r="F4449" s="362" t="s">
        <v>1709</v>
      </c>
      <c r="G4449" s="327" t="s">
        <v>155</v>
      </c>
      <c r="H4449" s="361"/>
      <c r="I4449" s="361">
        <v>2</v>
      </c>
      <c r="J4449" s="361"/>
      <c r="K4449" s="327"/>
      <c r="L4449" s="389">
        <v>5000</v>
      </c>
      <c r="M4449" s="355"/>
      <c r="N4449" s="355" t="str">
        <f>+$N$1555</f>
        <v>PK</v>
      </c>
      <c r="O4449" s="359"/>
      <c r="P4449" s="361"/>
      <c r="Q4449" s="327"/>
      <c r="R4449" s="351"/>
      <c r="S4449" s="351"/>
      <c r="T4449" s="351"/>
      <c r="U4449" s="329" t="str">
        <f>IF($N4449=$N$4,IFERROR(INDEX(DanhMuc!$E$154:$E$165,MATCH(MID($B4449,4,2),DanhMuc!$B$154:$B$165,0)),""),"")</f>
        <v/>
      </c>
      <c r="V4449" s="361"/>
      <c r="W4449" s="345"/>
      <c r="X4449" s="329" t="str">
        <f t="shared" si="358"/>
        <v>AN</v>
      </c>
      <c r="Y4449" s="1128" t="s">
        <v>3380</v>
      </c>
      <c r="Z4449" s="1128" t="s">
        <v>3381</v>
      </c>
      <c r="AA4449" s="1128" t="s">
        <v>3384</v>
      </c>
      <c r="AB4449" s="20"/>
      <c r="AC4449" s="73"/>
    </row>
    <row r="4450" spans="1:29">
      <c r="A4450" s="327" t="str">
        <f>IF(AND($B4450&lt;&gt;"",$C4450&lt;&gt;""),MAX($A$1556:A4425)+1,"")</f>
        <v/>
      </c>
      <c r="B4450" s="361" t="s">
        <v>2051</v>
      </c>
      <c r="C4450" s="360"/>
      <c r="D4450" s="327">
        <f>IF($B4450="","",COUNTIF($B$6:$B4450,$B4450))</f>
        <v>10</v>
      </c>
      <c r="E4450" s="361" t="s">
        <v>1710</v>
      </c>
      <c r="F4450" s="362" t="s">
        <v>1711</v>
      </c>
      <c r="G4450" s="327" t="s">
        <v>155</v>
      </c>
      <c r="H4450" s="361"/>
      <c r="I4450" s="361">
        <v>2</v>
      </c>
      <c r="J4450" s="361"/>
      <c r="K4450" s="327"/>
      <c r="L4450" s="389">
        <v>39000</v>
      </c>
      <c r="M4450" s="355"/>
      <c r="N4450" s="355" t="str">
        <f t="shared" si="357"/>
        <v>PK</v>
      </c>
      <c r="O4450" s="359"/>
      <c r="P4450" s="361"/>
      <c r="Q4450" s="327"/>
      <c r="R4450" s="351"/>
      <c r="S4450" s="351"/>
      <c r="T4450" s="351"/>
      <c r="U4450" s="329" t="str">
        <f>IF($N4450=$N$4,IFERROR(INDEX(DanhMuc!$E$154:$E$165,MATCH(MID($B4450,4,2),DanhMuc!$B$154:$B$165,0)),""),"")</f>
        <v/>
      </c>
      <c r="V4450" s="361"/>
      <c r="W4450" s="345"/>
      <c r="X4450" s="329" t="str">
        <f t="shared" si="358"/>
        <v>AN</v>
      </c>
      <c r="Y4450" s="1128" t="s">
        <v>3380</v>
      </c>
      <c r="Z4450" s="1128" t="s">
        <v>3381</v>
      </c>
      <c r="AA4450" s="1128" t="s">
        <v>3384</v>
      </c>
      <c r="AB4450" s="20"/>
      <c r="AC4450" s="73"/>
    </row>
    <row r="4451" spans="1:29">
      <c r="A4451" s="327" t="str">
        <f>IF(AND($B4451&lt;&gt;"",$C4451&lt;&gt;""),MAX($A$1556:A4426)+1,"")</f>
        <v/>
      </c>
      <c r="B4451" s="361" t="s">
        <v>2051</v>
      </c>
      <c r="C4451" s="360"/>
      <c r="D4451" s="327">
        <f>IF($B4451="","",COUNTIF($B$6:$B4451,$B4451))</f>
        <v>11</v>
      </c>
      <c r="E4451" s="361" t="s">
        <v>1656</v>
      </c>
      <c r="F4451" s="362" t="s">
        <v>1712</v>
      </c>
      <c r="G4451" s="327" t="s">
        <v>155</v>
      </c>
      <c r="H4451" s="361"/>
      <c r="I4451" s="361">
        <v>2</v>
      </c>
      <c r="J4451" s="361"/>
      <c r="K4451" s="327"/>
      <c r="L4451" s="389">
        <v>12000</v>
      </c>
      <c r="M4451" s="355"/>
      <c r="N4451" s="355" t="str">
        <f t="shared" si="357"/>
        <v>PK</v>
      </c>
      <c r="O4451" s="359"/>
      <c r="P4451" s="361"/>
      <c r="Q4451" s="327"/>
      <c r="R4451" s="351"/>
      <c r="S4451" s="351"/>
      <c r="T4451" s="351"/>
      <c r="U4451" s="329" t="str">
        <f>IF($N4451=$N$4,IFERROR(INDEX(DanhMuc!$E$154:$E$165,MATCH(MID($B4451,4,2),DanhMuc!$B$154:$B$165,0)),""),"")</f>
        <v/>
      </c>
      <c r="V4451" s="361"/>
      <c r="W4451" s="345"/>
      <c r="X4451" s="329" t="str">
        <f t="shared" si="358"/>
        <v>AN</v>
      </c>
      <c r="Y4451" s="1128" t="s">
        <v>3380</v>
      </c>
      <c r="Z4451" s="1128" t="s">
        <v>3381</v>
      </c>
      <c r="AA4451" s="1128" t="s">
        <v>3384</v>
      </c>
      <c r="AB4451" s="20"/>
      <c r="AC4451" s="73"/>
    </row>
    <row r="4452" spans="1:29">
      <c r="A4452" s="327" t="str">
        <f>IF(AND($B4452&lt;&gt;"",$C4452&lt;&gt;""),MAX($A$1556:A4427)+1,"")</f>
        <v/>
      </c>
      <c r="B4452" s="361" t="s">
        <v>2051</v>
      </c>
      <c r="C4452" s="360"/>
      <c r="D4452" s="327">
        <f>IF($B4452="","",COUNTIF($B$6:$B4452,$B4452))</f>
        <v>12</v>
      </c>
      <c r="E4452" s="361" t="s">
        <v>1647</v>
      </c>
      <c r="F4452" s="362" t="s">
        <v>1713</v>
      </c>
      <c r="G4452" s="327" t="s">
        <v>155</v>
      </c>
      <c r="H4452" s="361"/>
      <c r="I4452" s="361">
        <v>1</v>
      </c>
      <c r="J4452" s="361"/>
      <c r="K4452" s="327"/>
      <c r="L4452" s="389">
        <v>12000</v>
      </c>
      <c r="M4452" s="355"/>
      <c r="N4452" s="355" t="str">
        <f t="shared" si="357"/>
        <v>PK</v>
      </c>
      <c r="O4452" s="359"/>
      <c r="P4452" s="361"/>
      <c r="Q4452" s="327"/>
      <c r="R4452" s="351"/>
      <c r="S4452" s="351"/>
      <c r="T4452" s="351"/>
      <c r="U4452" s="329" t="str">
        <f>IF($N4452=$N$4,IFERROR(INDEX(DanhMuc!$E$154:$E$165,MATCH(MID($B4452,4,2),DanhMuc!$B$154:$B$165,0)),""),"")</f>
        <v/>
      </c>
      <c r="V4452" s="361"/>
      <c r="W4452" s="345"/>
      <c r="X4452" s="329" t="str">
        <f t="shared" si="358"/>
        <v>AN</v>
      </c>
      <c r="Y4452" s="1128" t="s">
        <v>3380</v>
      </c>
      <c r="Z4452" s="1128" t="s">
        <v>3381</v>
      </c>
      <c r="AA4452" s="1128" t="s">
        <v>3384</v>
      </c>
      <c r="AB4452" s="20"/>
      <c r="AC4452" s="73"/>
    </row>
    <row r="4453" spans="1:29">
      <c r="A4453" s="327" t="str">
        <f>IF(AND($B4453&lt;&gt;"",$C4453&lt;&gt;""),MAX($A$1556:A4428)+1,"")</f>
        <v/>
      </c>
      <c r="B4453" s="361" t="s">
        <v>2051</v>
      </c>
      <c r="C4453" s="360"/>
      <c r="D4453" s="327">
        <f>IF($B4453="","",COUNTIF($B$6:$B4453,$B4453))</f>
        <v>13</v>
      </c>
      <c r="E4453" s="361" t="s">
        <v>1649</v>
      </c>
      <c r="F4453" s="362" t="s">
        <v>1714</v>
      </c>
      <c r="G4453" s="327" t="s">
        <v>155</v>
      </c>
      <c r="H4453" s="361"/>
      <c r="I4453" s="361">
        <v>1</v>
      </c>
      <c r="J4453" s="361"/>
      <c r="K4453" s="327"/>
      <c r="L4453" s="389">
        <v>12000</v>
      </c>
      <c r="M4453" s="355"/>
      <c r="N4453" s="355" t="str">
        <f t="shared" si="357"/>
        <v>PK</v>
      </c>
      <c r="O4453" s="359"/>
      <c r="P4453" s="361"/>
      <c r="Q4453" s="327"/>
      <c r="R4453" s="351"/>
      <c r="S4453" s="351"/>
      <c r="T4453" s="351"/>
      <c r="U4453" s="329" t="str">
        <f>IF($N4453=$N$4,IFERROR(INDEX(DanhMuc!$E$154:$E$165,MATCH(MID($B4453,4,2),DanhMuc!$B$154:$B$165,0)),""),"")</f>
        <v/>
      </c>
      <c r="V4453" s="361"/>
      <c r="W4453" s="345"/>
      <c r="X4453" s="329" t="str">
        <f t="shared" si="358"/>
        <v>AN</v>
      </c>
      <c r="Y4453" s="1128" t="s">
        <v>3380</v>
      </c>
      <c r="Z4453" s="1128" t="s">
        <v>3381</v>
      </c>
      <c r="AA4453" s="1128" t="s">
        <v>3384</v>
      </c>
      <c r="AB4453" s="20"/>
      <c r="AC4453" s="73"/>
    </row>
    <row r="4454" spans="1:29">
      <c r="A4454" s="327" t="str">
        <f>IF(AND($B4454&lt;&gt;"",$C4454&lt;&gt;""),MAX($A$1556:A4429)+1,"")</f>
        <v/>
      </c>
      <c r="B4454" s="361" t="s">
        <v>2051</v>
      </c>
      <c r="C4454" s="360"/>
      <c r="D4454" s="327">
        <f>IF($B4454="","",COUNTIF($B$6:$B4454,$B4454))</f>
        <v>14</v>
      </c>
      <c r="E4454" s="361" t="s">
        <v>175</v>
      </c>
      <c r="F4454" s="362" t="s">
        <v>176</v>
      </c>
      <c r="G4454" s="327" t="s">
        <v>155</v>
      </c>
      <c r="H4454" s="361"/>
      <c r="I4454" s="361">
        <v>4</v>
      </c>
      <c r="J4454" s="361"/>
      <c r="K4454" s="327"/>
      <c r="L4454" s="389">
        <v>2000</v>
      </c>
      <c r="M4454" s="355"/>
      <c r="N4454" s="355" t="str">
        <f t="shared" si="357"/>
        <v>PK</v>
      </c>
      <c r="O4454" s="359"/>
      <c r="P4454" s="361"/>
      <c r="Q4454" s="327"/>
      <c r="R4454" s="351"/>
      <c r="S4454" s="351"/>
      <c r="T4454" s="351"/>
      <c r="U4454" s="329" t="str">
        <f>IF($N4454=$N$4,IFERROR(INDEX(DanhMuc!$E$154:$E$165,MATCH(MID($B4454,4,2),DanhMuc!$B$154:$B$165,0)),""),"")</f>
        <v/>
      </c>
      <c r="V4454" s="361"/>
      <c r="W4454" s="345"/>
      <c r="X4454" s="329" t="str">
        <f t="shared" si="358"/>
        <v>AN</v>
      </c>
      <c r="Y4454" s="1128" t="s">
        <v>3380</v>
      </c>
      <c r="Z4454" s="1128" t="s">
        <v>3381</v>
      </c>
      <c r="AA4454" s="1128" t="s">
        <v>3384</v>
      </c>
      <c r="AB4454" s="20"/>
      <c r="AC4454" s="73"/>
    </row>
    <row r="4455" spans="1:29" ht="39">
      <c r="A4455" s="327">
        <f>IF(AND($B4455&lt;&gt;"",$C4455&lt;&gt;""),MAX($A$1556:A4430)+1,"")</f>
        <v>203</v>
      </c>
      <c r="B4455" s="359" t="s">
        <v>2197</v>
      </c>
      <c r="C4455" s="360" t="s">
        <v>2198</v>
      </c>
      <c r="D4455" s="327">
        <f>IF($B4455="","",COUNTIF($B$6:$B4455,$B4455))</f>
        <v>1</v>
      </c>
      <c r="E4455" s="361" t="s">
        <v>1684</v>
      </c>
      <c r="F4455" s="362" t="s">
        <v>1065</v>
      </c>
      <c r="G4455" s="327" t="s">
        <v>155</v>
      </c>
      <c r="H4455" s="361"/>
      <c r="I4455" s="361">
        <v>2</v>
      </c>
      <c r="J4455" s="361"/>
      <c r="K4455" s="327"/>
      <c r="L4455" s="389">
        <v>260000</v>
      </c>
      <c r="M4455" s="355"/>
      <c r="N4455" s="355" t="str">
        <f>+$N$1555</f>
        <v>PK</v>
      </c>
      <c r="O4455" s="359"/>
      <c r="P4455" s="361"/>
      <c r="Q4455" s="327"/>
      <c r="R4455" s="351"/>
      <c r="S4455" s="351"/>
      <c r="T4455" s="351"/>
      <c r="U4455" s="329" t="str">
        <f>IF($N4455=$N$4,IFERROR(INDEX(DanhMuc!$E$154:$E$165,MATCH(MID($B4455,4,2),DanhMuc!$B$154:$B$165,0)),""),"")</f>
        <v/>
      </c>
      <c r="V4455" s="361"/>
      <c r="W4455" s="345"/>
      <c r="X4455" s="329" t="str">
        <f t="shared" si="358"/>
        <v>AN</v>
      </c>
      <c r="Y4455" s="1128" t="s">
        <v>3380</v>
      </c>
      <c r="Z4455" s="1128" t="s">
        <v>3381</v>
      </c>
      <c r="AA4455" s="1128" t="s">
        <v>3384</v>
      </c>
      <c r="AB4455" s="20"/>
      <c r="AC4455" s="73"/>
    </row>
    <row r="4456" spans="1:29" ht="25">
      <c r="A4456" s="327" t="str">
        <f>IF(AND($B4456&lt;&gt;"",$C4456&lt;&gt;""),MAX($A$1556:A4431)+1,"")</f>
        <v/>
      </c>
      <c r="B4456" s="361" t="s">
        <v>2197</v>
      </c>
      <c r="C4456" s="360"/>
      <c r="D4456" s="327">
        <f>IF($B4456="","",COUNTIF($B$6:$B4456,$B4456))</f>
        <v>2</v>
      </c>
      <c r="E4456" s="361" t="s">
        <v>1808</v>
      </c>
      <c r="F4456" s="362" t="s">
        <v>1810</v>
      </c>
      <c r="G4456" s="327" t="s">
        <v>156</v>
      </c>
      <c r="H4456" s="361"/>
      <c r="I4456" s="361" t="s">
        <v>2199</v>
      </c>
      <c r="J4456" s="361"/>
      <c r="K4456" s="327"/>
      <c r="L4456" s="389">
        <v>47000</v>
      </c>
      <c r="M4456" s="355"/>
      <c r="N4456" s="355" t="str">
        <f t="shared" si="357"/>
        <v>PK</v>
      </c>
      <c r="O4456" s="359"/>
      <c r="P4456" s="361"/>
      <c r="Q4456" s="327"/>
      <c r="R4456" s="351"/>
      <c r="S4456" s="351"/>
      <c r="T4456" s="351"/>
      <c r="U4456" s="329" t="str">
        <f>IF($N4456=$N$4,IFERROR(INDEX(DanhMuc!$E$154:$E$165,MATCH(MID($B4456,4,2),DanhMuc!$B$154:$B$165,0)),""),"")</f>
        <v/>
      </c>
      <c r="V4456" s="361"/>
      <c r="W4456" s="345"/>
      <c r="X4456" s="329" t="str">
        <f t="shared" si="358"/>
        <v>AN</v>
      </c>
      <c r="Y4456" s="1128" t="s">
        <v>3380</v>
      </c>
      <c r="Z4456" s="1128" t="s">
        <v>3381</v>
      </c>
      <c r="AA4456" s="1128" t="s">
        <v>3384</v>
      </c>
      <c r="AB4456" s="20"/>
      <c r="AC4456" s="73"/>
    </row>
    <row r="4457" spans="1:29">
      <c r="A4457" s="327" t="str">
        <f>IF(AND($B4457&lt;&gt;"",$C4457&lt;&gt;""),MAX($A$1556:A4432)+1,"")</f>
        <v/>
      </c>
      <c r="B4457" s="361" t="s">
        <v>2197</v>
      </c>
      <c r="C4457" s="360"/>
      <c r="D4457" s="327">
        <f>IF($B4457="","",COUNTIF($B$6:$B4457,$B4457))</f>
        <v>3</v>
      </c>
      <c r="E4457" s="361" t="s">
        <v>1809</v>
      </c>
      <c r="F4457" s="362" t="s">
        <v>1811</v>
      </c>
      <c r="G4457" s="327" t="s">
        <v>156</v>
      </c>
      <c r="H4457" s="361"/>
      <c r="I4457" s="361" t="s">
        <v>2200</v>
      </c>
      <c r="J4457" s="361"/>
      <c r="K4457" s="327"/>
      <c r="L4457" s="389">
        <v>57000</v>
      </c>
      <c r="M4457" s="355"/>
      <c r="N4457" s="355" t="str">
        <f t="shared" si="357"/>
        <v>PK</v>
      </c>
      <c r="O4457" s="359"/>
      <c r="P4457" s="361"/>
      <c r="Q4457" s="327"/>
      <c r="R4457" s="351"/>
      <c r="S4457" s="351"/>
      <c r="T4457" s="351"/>
      <c r="U4457" s="329" t="str">
        <f>IF($N4457=$N$4,IFERROR(INDEX(DanhMuc!$E$154:$E$165,MATCH(MID($B4457,4,2),DanhMuc!$B$154:$B$165,0)),""),"")</f>
        <v/>
      </c>
      <c r="V4457" s="361"/>
      <c r="W4457" s="345"/>
      <c r="X4457" s="329" t="str">
        <f t="shared" si="358"/>
        <v>AN</v>
      </c>
      <c r="Y4457" s="1128" t="s">
        <v>3380</v>
      </c>
      <c r="Z4457" s="1128" t="s">
        <v>3381</v>
      </c>
      <c r="AA4457" s="1128" t="s">
        <v>3384</v>
      </c>
      <c r="AB4457" s="20"/>
      <c r="AC4457" s="73"/>
    </row>
    <row r="4458" spans="1:29">
      <c r="A4458" s="327" t="str">
        <f>IF(AND($B4458&lt;&gt;"",$C4458&lt;&gt;""),MAX($A$1556:A4433)+1,"")</f>
        <v/>
      </c>
      <c r="B4458" s="361" t="s">
        <v>2197</v>
      </c>
      <c r="C4458" s="360"/>
      <c r="D4458" s="327">
        <f>IF($B4458="","",COUNTIF($B$6:$B4458,$B4458))</f>
        <v>4</v>
      </c>
      <c r="E4458" s="361" t="s">
        <v>1685</v>
      </c>
      <c r="F4458" s="362" t="s">
        <v>1686</v>
      </c>
      <c r="G4458" s="327" t="s">
        <v>156</v>
      </c>
      <c r="H4458" s="361"/>
      <c r="I4458" s="361" t="s">
        <v>2201</v>
      </c>
      <c r="J4458" s="361"/>
      <c r="K4458" s="327"/>
      <c r="L4458" s="389">
        <v>75000</v>
      </c>
      <c r="M4458" s="355"/>
      <c r="N4458" s="355" t="str">
        <f t="shared" si="357"/>
        <v>PK</v>
      </c>
      <c r="O4458" s="359"/>
      <c r="P4458" s="361"/>
      <c r="Q4458" s="327"/>
      <c r="R4458" s="351"/>
      <c r="S4458" s="351"/>
      <c r="T4458" s="351"/>
      <c r="U4458" s="329" t="str">
        <f>IF($N4458=$N$4,IFERROR(INDEX(DanhMuc!$E$154:$E$165,MATCH(MID($B4458,4,2),DanhMuc!$B$154:$B$165,0)),""),"")</f>
        <v/>
      </c>
      <c r="V4458" s="361"/>
      <c r="W4458" s="345"/>
      <c r="X4458" s="329" t="str">
        <f t="shared" si="358"/>
        <v>AN</v>
      </c>
      <c r="Y4458" s="1128" t="s">
        <v>3380</v>
      </c>
      <c r="Z4458" s="1128" t="s">
        <v>3381</v>
      </c>
      <c r="AA4458" s="1128" t="s">
        <v>3384</v>
      </c>
      <c r="AB4458" s="20"/>
      <c r="AC4458" s="73"/>
    </row>
    <row r="4459" spans="1:29">
      <c r="A4459" s="327" t="str">
        <f>IF(AND($B4459&lt;&gt;"",$C4459&lt;&gt;""),MAX($A$1556:A4434)+1,"")</f>
        <v/>
      </c>
      <c r="B4459" s="361" t="s">
        <v>2197</v>
      </c>
      <c r="C4459" s="360"/>
      <c r="D4459" s="327">
        <f>IF($B4459="","",COUNTIF($B$6:$B4459,$B4459))</f>
        <v>5</v>
      </c>
      <c r="E4459" s="361" t="s">
        <v>1687</v>
      </c>
      <c r="F4459" s="362" t="s">
        <v>1688</v>
      </c>
      <c r="G4459" s="327" t="s">
        <v>155</v>
      </c>
      <c r="H4459" s="361"/>
      <c r="I4459" s="361">
        <v>6</v>
      </c>
      <c r="J4459" s="361"/>
      <c r="K4459" s="327"/>
      <c r="L4459" s="389">
        <v>70000</v>
      </c>
      <c r="M4459" s="355"/>
      <c r="N4459" s="355" t="str">
        <f t="shared" si="357"/>
        <v>PK</v>
      </c>
      <c r="O4459" s="345" t="s">
        <v>1702</v>
      </c>
      <c r="P4459" s="361"/>
      <c r="Q4459" s="327"/>
      <c r="R4459" s="351"/>
      <c r="S4459" s="351"/>
      <c r="T4459" s="351"/>
      <c r="U4459" s="329" t="str">
        <f>IF($N4459=$N$4,IFERROR(INDEX(DanhMuc!$E$154:$E$165,MATCH(MID($B4459,4,2),DanhMuc!$B$154:$B$165,0)),""),"")</f>
        <v/>
      </c>
      <c r="V4459" s="361"/>
      <c r="W4459" s="345"/>
      <c r="X4459" s="329" t="str">
        <f t="shared" si="358"/>
        <v>AN</v>
      </c>
      <c r="Y4459" s="1128" t="s">
        <v>3380</v>
      </c>
      <c r="Z4459" s="1128" t="s">
        <v>3381</v>
      </c>
      <c r="AA4459" s="1128" t="s">
        <v>3384</v>
      </c>
      <c r="AB4459" s="20"/>
      <c r="AC4459" s="73"/>
    </row>
    <row r="4460" spans="1:29">
      <c r="A4460" s="327" t="str">
        <f>IF(AND($B4460&lt;&gt;"",$C4460&lt;&gt;""),MAX($A$1556:A4435)+1,"")</f>
        <v/>
      </c>
      <c r="B4460" s="361" t="s">
        <v>2197</v>
      </c>
      <c r="C4460" s="360"/>
      <c r="D4460" s="327">
        <f>IF($B4460="","",COUNTIF($B$6:$B4460,$B4460))</f>
        <v>6</v>
      </c>
      <c r="E4460" s="361" t="s">
        <v>1689</v>
      </c>
      <c r="F4460" s="362" t="s">
        <v>1690</v>
      </c>
      <c r="G4460" s="327" t="s">
        <v>155</v>
      </c>
      <c r="H4460" s="361"/>
      <c r="I4460" s="361">
        <v>6</v>
      </c>
      <c r="J4460" s="361"/>
      <c r="K4460" s="327"/>
      <c r="L4460" s="389">
        <v>80000</v>
      </c>
      <c r="M4460" s="355"/>
      <c r="N4460" s="355" t="str">
        <f t="shared" si="357"/>
        <v>PK</v>
      </c>
      <c r="O4460" s="407" t="s">
        <v>1699</v>
      </c>
      <c r="P4460" s="361"/>
      <c r="Q4460" s="327"/>
      <c r="R4460" s="351"/>
      <c r="S4460" s="351"/>
      <c r="T4460" s="351"/>
      <c r="U4460" s="329" t="str">
        <f>IF($N4460=$N$4,IFERROR(INDEX(DanhMuc!$E$154:$E$165,MATCH(MID($B4460,4,2),DanhMuc!$B$154:$B$165,0)),""),"")</f>
        <v/>
      </c>
      <c r="V4460" s="361"/>
      <c r="W4460" s="345"/>
      <c r="X4460" s="329" t="str">
        <f t="shared" si="358"/>
        <v>AN</v>
      </c>
      <c r="Y4460" s="1128" t="s">
        <v>3380</v>
      </c>
      <c r="Z4460" s="1128" t="s">
        <v>3381</v>
      </c>
      <c r="AA4460" s="1128" t="s">
        <v>3384</v>
      </c>
      <c r="AB4460" s="20"/>
      <c r="AC4460" s="73"/>
    </row>
    <row r="4461" spans="1:29">
      <c r="A4461" s="327" t="str">
        <f>IF(AND($B4461&lt;&gt;"",$C4461&lt;&gt;""),MAX($A$1556:A4436)+1,"")</f>
        <v/>
      </c>
      <c r="B4461" s="361" t="s">
        <v>2197</v>
      </c>
      <c r="C4461" s="360"/>
      <c r="D4461" s="327">
        <f>IF($B4461="","",COUNTIF($B$6:$B4461,$B4461))</f>
        <v>7</v>
      </c>
      <c r="E4461" s="361" t="s">
        <v>1691</v>
      </c>
      <c r="F4461" s="362" t="s">
        <v>1692</v>
      </c>
      <c r="G4461" s="327" t="s">
        <v>155</v>
      </c>
      <c r="H4461" s="361"/>
      <c r="I4461" s="361">
        <v>6</v>
      </c>
      <c r="J4461" s="361"/>
      <c r="K4461" s="327"/>
      <c r="L4461" s="389">
        <v>98000</v>
      </c>
      <c r="M4461" s="355"/>
      <c r="N4461" s="355" t="str">
        <f>+$N$1555</f>
        <v>PK</v>
      </c>
      <c r="O4461" s="407" t="s">
        <v>1701</v>
      </c>
      <c r="P4461" s="361"/>
      <c r="Q4461" s="327"/>
      <c r="R4461" s="351"/>
      <c r="S4461" s="351"/>
      <c r="T4461" s="351"/>
      <c r="U4461" s="329" t="str">
        <f>IF($N4461=$N$4,IFERROR(INDEX(DanhMuc!$E$154:$E$165,MATCH(MID($B4461,4,2),DanhMuc!$B$154:$B$165,0)),""),"")</f>
        <v/>
      </c>
      <c r="V4461" s="361"/>
      <c r="W4461" s="345"/>
      <c r="X4461" s="329" t="str">
        <f t="shared" si="358"/>
        <v>AN</v>
      </c>
      <c r="Y4461" s="1128" t="s">
        <v>3380</v>
      </c>
      <c r="Z4461" s="1128" t="s">
        <v>3381</v>
      </c>
      <c r="AA4461" s="1128" t="s">
        <v>3384</v>
      </c>
      <c r="AB4461" s="20"/>
      <c r="AC4461" s="73"/>
    </row>
    <row r="4462" spans="1:29">
      <c r="A4462" s="327" t="str">
        <f>IF(AND($B4462&lt;&gt;"",$C4462&lt;&gt;""),MAX($A$1556:A4437)+1,"")</f>
        <v/>
      </c>
      <c r="B4462" s="361" t="s">
        <v>2197</v>
      </c>
      <c r="C4462" s="360"/>
      <c r="D4462" s="327">
        <f>IF($B4462="","",COUNTIF($B$6:$B4462,$B4462))</f>
        <v>8</v>
      </c>
      <c r="E4462" s="361" t="s">
        <v>1693</v>
      </c>
      <c r="F4462" s="362" t="s">
        <v>1694</v>
      </c>
      <c r="G4462" s="327" t="s">
        <v>155</v>
      </c>
      <c r="H4462" s="361"/>
      <c r="I4462" s="361">
        <v>6</v>
      </c>
      <c r="J4462" s="361"/>
      <c r="K4462" s="327"/>
      <c r="L4462" s="389">
        <v>118000</v>
      </c>
      <c r="M4462" s="355"/>
      <c r="N4462" s="355" t="str">
        <f t="shared" si="357"/>
        <v>PK</v>
      </c>
      <c r="O4462" s="407" t="s">
        <v>1703</v>
      </c>
      <c r="P4462" s="361"/>
      <c r="Q4462" s="327"/>
      <c r="R4462" s="351"/>
      <c r="S4462" s="351"/>
      <c r="T4462" s="351"/>
      <c r="U4462" s="329" t="str">
        <f>IF($N4462=$N$4,IFERROR(INDEX(DanhMuc!$E$154:$E$165,MATCH(MID($B4462,4,2),DanhMuc!$B$154:$B$165,0)),""),"")</f>
        <v/>
      </c>
      <c r="V4462" s="361"/>
      <c r="W4462" s="345"/>
      <c r="X4462" s="329" t="str">
        <f t="shared" si="358"/>
        <v>AN</v>
      </c>
      <c r="Y4462" s="1128" t="s">
        <v>3380</v>
      </c>
      <c r="Z4462" s="1128" t="s">
        <v>3381</v>
      </c>
      <c r="AA4462" s="1128" t="s">
        <v>3384</v>
      </c>
      <c r="AB4462" s="20"/>
      <c r="AC4462" s="73"/>
    </row>
    <row r="4463" spans="1:29">
      <c r="A4463" s="327" t="str">
        <f>IF(AND($B4463&lt;&gt;"",$C4463&lt;&gt;""),MAX($A$1556:A4438)+1,"")</f>
        <v/>
      </c>
      <c r="B4463" s="361" t="s">
        <v>2197</v>
      </c>
      <c r="C4463" s="360"/>
      <c r="D4463" s="327">
        <f>IF($B4463="","",COUNTIF($B$6:$B4463,$B4463))</f>
        <v>9</v>
      </c>
      <c r="E4463" s="361" t="s">
        <v>1653</v>
      </c>
      <c r="F4463" s="362" t="s">
        <v>1709</v>
      </c>
      <c r="G4463" s="327" t="s">
        <v>155</v>
      </c>
      <c r="H4463" s="361"/>
      <c r="I4463" s="361" t="s">
        <v>2202</v>
      </c>
      <c r="J4463" s="361"/>
      <c r="K4463" s="327"/>
      <c r="L4463" s="389">
        <v>5000</v>
      </c>
      <c r="M4463" s="355"/>
      <c r="N4463" s="355" t="str">
        <f>+$N$1555</f>
        <v>PK</v>
      </c>
      <c r="O4463" s="359"/>
      <c r="P4463" s="361"/>
      <c r="Q4463" s="327"/>
      <c r="R4463" s="351"/>
      <c r="S4463" s="351"/>
      <c r="T4463" s="351"/>
      <c r="U4463" s="329" t="str">
        <f>IF($N4463=$N$4,IFERROR(INDEX(DanhMuc!$E$154:$E$165,MATCH(MID($B4463,4,2),DanhMuc!$B$154:$B$165,0)),""),"")</f>
        <v/>
      </c>
      <c r="V4463" s="361"/>
      <c r="W4463" s="345"/>
      <c r="X4463" s="329" t="str">
        <f t="shared" si="358"/>
        <v>AN</v>
      </c>
      <c r="Y4463" s="1128" t="s">
        <v>3380</v>
      </c>
      <c r="Z4463" s="1128" t="s">
        <v>3381</v>
      </c>
      <c r="AA4463" s="1128" t="s">
        <v>3384</v>
      </c>
      <c r="AB4463" s="20"/>
      <c r="AC4463" s="73"/>
    </row>
    <row r="4464" spans="1:29">
      <c r="A4464" s="327" t="str">
        <f>IF(AND($B4464&lt;&gt;"",$C4464&lt;&gt;""),MAX($A$1556:A4439)+1,"")</f>
        <v/>
      </c>
      <c r="B4464" s="361" t="s">
        <v>2197</v>
      </c>
      <c r="C4464" s="360"/>
      <c r="D4464" s="327">
        <f>IF($B4464="","",COUNTIF($B$6:$B4464,$B4464))</f>
        <v>10</v>
      </c>
      <c r="E4464" s="361" t="s">
        <v>1695</v>
      </c>
      <c r="F4464" s="362" t="s">
        <v>1696</v>
      </c>
      <c r="G4464" s="327" t="s">
        <v>155</v>
      </c>
      <c r="H4464" s="361"/>
      <c r="I4464" s="361">
        <v>2</v>
      </c>
      <c r="J4464" s="361"/>
      <c r="K4464" s="327"/>
      <c r="L4464" s="389">
        <v>5000</v>
      </c>
      <c r="M4464" s="355"/>
      <c r="N4464" s="355" t="str">
        <f t="shared" si="357"/>
        <v>PK</v>
      </c>
      <c r="O4464" s="359"/>
      <c r="P4464" s="361"/>
      <c r="Q4464" s="327"/>
      <c r="R4464" s="351"/>
      <c r="S4464" s="351"/>
      <c r="T4464" s="351"/>
      <c r="U4464" s="329" t="str">
        <f>IF($N4464=$N$4,IFERROR(INDEX(DanhMuc!$E$154:$E$165,MATCH(MID($B4464,4,2),DanhMuc!$B$154:$B$165,0)),""),"")</f>
        <v/>
      </c>
      <c r="V4464" s="361"/>
      <c r="W4464" s="345"/>
      <c r="X4464" s="329" t="str">
        <f t="shared" si="358"/>
        <v>AN</v>
      </c>
      <c r="Y4464" s="1128" t="s">
        <v>3380</v>
      </c>
      <c r="Z4464" s="1128" t="s">
        <v>3381</v>
      </c>
      <c r="AA4464" s="1128" t="s">
        <v>3384</v>
      </c>
      <c r="AB4464" s="20"/>
      <c r="AC4464" s="73"/>
    </row>
    <row r="4465" spans="1:29">
      <c r="A4465" s="327" t="str">
        <f>IF(AND($B4465&lt;&gt;"",$C4465&lt;&gt;""),MAX($A$1556:A4440)+1,"")</f>
        <v/>
      </c>
      <c r="B4465" s="361" t="s">
        <v>2197</v>
      </c>
      <c r="C4465" s="360"/>
      <c r="D4465" s="327">
        <f>IF($B4465="","",COUNTIF($B$6:$B4465,$B4465))</f>
        <v>11</v>
      </c>
      <c r="E4465" s="361" t="s">
        <v>1710</v>
      </c>
      <c r="F4465" s="362" t="s">
        <v>1711</v>
      </c>
      <c r="G4465" s="327" t="s">
        <v>155</v>
      </c>
      <c r="H4465" s="361"/>
      <c r="I4465" s="361">
        <v>2</v>
      </c>
      <c r="J4465" s="361"/>
      <c r="K4465" s="327"/>
      <c r="L4465" s="389">
        <v>39000</v>
      </c>
      <c r="M4465" s="355"/>
      <c r="N4465" s="355" t="str">
        <f t="shared" si="357"/>
        <v>PK</v>
      </c>
      <c r="O4465" s="359"/>
      <c r="P4465" s="361"/>
      <c r="Q4465" s="327"/>
      <c r="R4465" s="351"/>
      <c r="S4465" s="351"/>
      <c r="T4465" s="351"/>
      <c r="U4465" s="329" t="str">
        <f>IF($N4465=$N$4,IFERROR(INDEX(DanhMuc!$E$154:$E$165,MATCH(MID($B4465,4,2),DanhMuc!$B$154:$B$165,0)),""),"")</f>
        <v/>
      </c>
      <c r="V4465" s="361"/>
      <c r="W4465" s="345"/>
      <c r="X4465" s="329" t="str">
        <f t="shared" si="358"/>
        <v>AN</v>
      </c>
      <c r="Y4465" s="1128" t="s">
        <v>3380</v>
      </c>
      <c r="Z4465" s="1128" t="s">
        <v>3381</v>
      </c>
      <c r="AA4465" s="1128" t="s">
        <v>3384</v>
      </c>
      <c r="AB4465" s="20"/>
      <c r="AC4465" s="73"/>
    </row>
    <row r="4466" spans="1:29">
      <c r="A4466" s="327" t="str">
        <f>IF(AND($B4466&lt;&gt;"",$C4466&lt;&gt;""),MAX($A$1556:A4441)+1,"")</f>
        <v/>
      </c>
      <c r="B4466" s="361" t="s">
        <v>2197</v>
      </c>
      <c r="C4466" s="360"/>
      <c r="D4466" s="327">
        <f>IF($B4466="","",COUNTIF($B$6:$B4466,$B4466))</f>
        <v>12</v>
      </c>
      <c r="E4466" s="361" t="s">
        <v>1656</v>
      </c>
      <c r="F4466" s="362" t="s">
        <v>1712</v>
      </c>
      <c r="G4466" s="327" t="s">
        <v>155</v>
      </c>
      <c r="H4466" s="361"/>
      <c r="I4466" s="361">
        <v>2</v>
      </c>
      <c r="J4466" s="361"/>
      <c r="K4466" s="327"/>
      <c r="L4466" s="389">
        <v>12000</v>
      </c>
      <c r="M4466" s="355"/>
      <c r="N4466" s="355" t="str">
        <f t="shared" si="357"/>
        <v>PK</v>
      </c>
      <c r="O4466" s="359"/>
      <c r="P4466" s="361"/>
      <c r="Q4466" s="327"/>
      <c r="R4466" s="351"/>
      <c r="S4466" s="351"/>
      <c r="T4466" s="351"/>
      <c r="U4466" s="329" t="str">
        <f>IF($N4466=$N$4,IFERROR(INDEX(DanhMuc!$E$154:$E$165,MATCH(MID($B4466,4,2),DanhMuc!$B$154:$B$165,0)),""),"")</f>
        <v/>
      </c>
      <c r="V4466" s="361"/>
      <c r="W4466" s="345"/>
      <c r="X4466" s="329" t="str">
        <f t="shared" si="358"/>
        <v>AN</v>
      </c>
      <c r="Y4466" s="1128" t="s">
        <v>3380</v>
      </c>
      <c r="Z4466" s="1128" t="s">
        <v>3381</v>
      </c>
      <c r="AA4466" s="1128" t="s">
        <v>3384</v>
      </c>
      <c r="AB4466" s="20"/>
      <c r="AC4466" s="73"/>
    </row>
    <row r="4467" spans="1:29">
      <c r="A4467" s="327" t="str">
        <f>IF(AND($B4467&lt;&gt;"",$C4467&lt;&gt;""),MAX($A$1556:A4442)+1,"")</f>
        <v/>
      </c>
      <c r="B4467" s="361" t="s">
        <v>2197</v>
      </c>
      <c r="C4467" s="360"/>
      <c r="D4467" s="327">
        <f>IF($B4467="","",COUNTIF($B$6:$B4467,$B4467))</f>
        <v>13</v>
      </c>
      <c r="E4467" s="361" t="s">
        <v>1647</v>
      </c>
      <c r="F4467" s="362" t="s">
        <v>1713</v>
      </c>
      <c r="G4467" s="327" t="s">
        <v>155</v>
      </c>
      <c r="H4467" s="361"/>
      <c r="I4467" s="361">
        <v>1</v>
      </c>
      <c r="J4467" s="361"/>
      <c r="K4467" s="327"/>
      <c r="L4467" s="389">
        <v>12000</v>
      </c>
      <c r="M4467" s="355"/>
      <c r="N4467" s="355" t="str">
        <f t="shared" si="357"/>
        <v>PK</v>
      </c>
      <c r="O4467" s="359"/>
      <c r="P4467" s="361"/>
      <c r="Q4467" s="327"/>
      <c r="R4467" s="351"/>
      <c r="S4467" s="351"/>
      <c r="T4467" s="351"/>
      <c r="U4467" s="329" t="str">
        <f>IF($N4467=$N$4,IFERROR(INDEX(DanhMuc!$E$154:$E$165,MATCH(MID($B4467,4,2),DanhMuc!$B$154:$B$165,0)),""),"")</f>
        <v/>
      </c>
      <c r="V4467" s="361"/>
      <c r="W4467" s="345"/>
      <c r="X4467" s="329" t="str">
        <f t="shared" si="358"/>
        <v>AN</v>
      </c>
      <c r="Y4467" s="1128" t="s">
        <v>3380</v>
      </c>
      <c r="Z4467" s="1128" t="s">
        <v>3381</v>
      </c>
      <c r="AA4467" s="1128" t="s">
        <v>3384</v>
      </c>
      <c r="AB4467" s="20"/>
      <c r="AC4467" s="73"/>
    </row>
    <row r="4468" spans="1:29">
      <c r="A4468" s="327" t="str">
        <f>IF(AND($B4468&lt;&gt;"",$C4468&lt;&gt;""),MAX($A$1556:A4443)+1,"")</f>
        <v/>
      </c>
      <c r="B4468" s="361" t="s">
        <v>2197</v>
      </c>
      <c r="C4468" s="360"/>
      <c r="D4468" s="327">
        <f>IF($B4468="","",COUNTIF($B$6:$B4468,$B4468))</f>
        <v>14</v>
      </c>
      <c r="E4468" s="361" t="s">
        <v>1649</v>
      </c>
      <c r="F4468" s="362" t="s">
        <v>1714</v>
      </c>
      <c r="G4468" s="327" t="s">
        <v>155</v>
      </c>
      <c r="H4468" s="361"/>
      <c r="I4468" s="361">
        <v>1</v>
      </c>
      <c r="J4468" s="361"/>
      <c r="K4468" s="327"/>
      <c r="L4468" s="389">
        <v>12000</v>
      </c>
      <c r="M4468" s="355"/>
      <c r="N4468" s="355" t="str">
        <f t="shared" si="357"/>
        <v>PK</v>
      </c>
      <c r="O4468" s="359"/>
      <c r="P4468" s="361"/>
      <c r="Q4468" s="327"/>
      <c r="R4468" s="351"/>
      <c r="S4468" s="351"/>
      <c r="T4468" s="351"/>
      <c r="U4468" s="329" t="str">
        <f>IF($N4468=$N$4,IFERROR(INDEX(DanhMuc!$E$154:$E$165,MATCH(MID($B4468,4,2),DanhMuc!$B$154:$B$165,0)),""),"")</f>
        <v/>
      </c>
      <c r="V4468" s="361"/>
      <c r="W4468" s="345"/>
      <c r="X4468" s="329" t="str">
        <f t="shared" si="358"/>
        <v>AN</v>
      </c>
      <c r="Y4468" s="1128" t="s">
        <v>3380</v>
      </c>
      <c r="Z4468" s="1128" t="s">
        <v>3381</v>
      </c>
      <c r="AA4468" s="1128" t="s">
        <v>3384</v>
      </c>
      <c r="AB4468" s="20"/>
      <c r="AC4468" s="73"/>
    </row>
    <row r="4469" spans="1:29">
      <c r="A4469" s="327" t="str">
        <f>IF(AND($B4469&lt;&gt;"",$C4469&lt;&gt;""),MAX($A$1556:A4444)+1,"")</f>
        <v/>
      </c>
      <c r="B4469" s="361" t="s">
        <v>2197</v>
      </c>
      <c r="C4469" s="360"/>
      <c r="D4469" s="327">
        <f>IF($B4469="","",COUNTIF($B$6:$B4469,$B4469))</f>
        <v>15</v>
      </c>
      <c r="E4469" s="361" t="s">
        <v>175</v>
      </c>
      <c r="F4469" s="362" t="s">
        <v>176</v>
      </c>
      <c r="G4469" s="327" t="s">
        <v>155</v>
      </c>
      <c r="H4469" s="361"/>
      <c r="I4469" s="361">
        <v>6</v>
      </c>
      <c r="J4469" s="361"/>
      <c r="K4469" s="327"/>
      <c r="L4469" s="389">
        <v>2000</v>
      </c>
      <c r="M4469" s="355"/>
      <c r="N4469" s="355" t="str">
        <f t="shared" si="357"/>
        <v>PK</v>
      </c>
      <c r="O4469" s="359"/>
      <c r="P4469" s="361"/>
      <c r="Q4469" s="327"/>
      <c r="R4469" s="351"/>
      <c r="S4469" s="351"/>
      <c r="T4469" s="351"/>
      <c r="U4469" s="329" t="str">
        <f>IF($N4469=$N$4,IFERROR(INDEX(DanhMuc!$E$154:$E$165,MATCH(MID($B4469,4,2),DanhMuc!$B$154:$B$165,0)),""),"")</f>
        <v/>
      </c>
      <c r="V4469" s="361"/>
      <c r="W4469" s="345"/>
      <c r="X4469" s="329" t="str">
        <f t="shared" si="358"/>
        <v>AN</v>
      </c>
      <c r="Y4469" s="1128" t="s">
        <v>3380</v>
      </c>
      <c r="Z4469" s="1128" t="s">
        <v>3381</v>
      </c>
      <c r="AA4469" s="1128" t="s">
        <v>3384</v>
      </c>
      <c r="AB4469" s="20"/>
      <c r="AC4469" s="73"/>
    </row>
    <row r="4470" spans="1:29" ht="39">
      <c r="A4470" s="327">
        <f>IF(AND($B4470&lt;&gt;"",$C4470&lt;&gt;""),MAX($A$1556:A4445)+1,"")</f>
        <v>203</v>
      </c>
      <c r="B4470" s="359" t="s">
        <v>2052</v>
      </c>
      <c r="C4470" s="360" t="s">
        <v>1725</v>
      </c>
      <c r="D4470" s="327">
        <f>IF($B4470="","",COUNTIF($B$6:$B4470,$B4470))</f>
        <v>1</v>
      </c>
      <c r="E4470" s="361" t="s">
        <v>1684</v>
      </c>
      <c r="F4470" s="362" t="s">
        <v>1065</v>
      </c>
      <c r="G4470" s="327" t="s">
        <v>155</v>
      </c>
      <c r="H4470" s="361"/>
      <c r="I4470" s="361">
        <v>3</v>
      </c>
      <c r="J4470" s="361"/>
      <c r="K4470" s="327"/>
      <c r="L4470" s="389">
        <v>260000</v>
      </c>
      <c r="M4470" s="355"/>
      <c r="N4470" s="355" t="str">
        <f>+$N$1555</f>
        <v>PK</v>
      </c>
      <c r="O4470" s="359"/>
      <c r="P4470" s="361"/>
      <c r="Q4470" s="327"/>
      <c r="R4470" s="351"/>
      <c r="S4470" s="351"/>
      <c r="T4470" s="351"/>
      <c r="U4470" s="329" t="str">
        <f>IF($N4470=$N$4,IFERROR(INDEX(DanhMuc!$E$154:$E$165,MATCH(MID($B4470,4,2),DanhMuc!$B$154:$B$165,0)),""),"")</f>
        <v/>
      </c>
      <c r="V4470" s="361"/>
      <c r="W4470" s="345"/>
      <c r="X4470" s="329" t="str">
        <f t="shared" si="358"/>
        <v>AN</v>
      </c>
      <c r="Y4470" s="1128" t="s">
        <v>3380</v>
      </c>
      <c r="Z4470" s="1128" t="s">
        <v>3381</v>
      </c>
      <c r="AA4470" s="1128" t="s">
        <v>3384</v>
      </c>
      <c r="AB4470" s="20"/>
      <c r="AC4470" s="73"/>
    </row>
    <row r="4471" spans="1:29" ht="25">
      <c r="A4471" s="327" t="str">
        <f>IF(AND($B4471&lt;&gt;"",$C4471&lt;&gt;""),MAX($A$1556:A4446)+1,"")</f>
        <v/>
      </c>
      <c r="B4471" s="361" t="s">
        <v>2052</v>
      </c>
      <c r="C4471" s="360"/>
      <c r="D4471" s="327">
        <f>IF($B4471="","",COUNTIF($B$6:$B4471,$B4471))</f>
        <v>2</v>
      </c>
      <c r="E4471" s="361" t="s">
        <v>1808</v>
      </c>
      <c r="F4471" s="362" t="s">
        <v>1810</v>
      </c>
      <c r="G4471" s="327" t="s">
        <v>156</v>
      </c>
      <c r="H4471" s="361"/>
      <c r="I4471" s="361" t="s">
        <v>1842</v>
      </c>
      <c r="J4471" s="361"/>
      <c r="K4471" s="327"/>
      <c r="L4471" s="389">
        <v>47000</v>
      </c>
      <c r="M4471" s="355"/>
      <c r="N4471" s="355" t="str">
        <f t="shared" si="357"/>
        <v>PK</v>
      </c>
      <c r="O4471" s="359"/>
      <c r="P4471" s="361"/>
      <c r="Q4471" s="327"/>
      <c r="R4471" s="351"/>
      <c r="S4471" s="351"/>
      <c r="T4471" s="351"/>
      <c r="U4471" s="329" t="str">
        <f>IF($N4471=$N$4,IFERROR(INDEX(DanhMuc!$E$154:$E$165,MATCH(MID($B4471,4,2),DanhMuc!$B$154:$B$165,0)),""),"")</f>
        <v/>
      </c>
      <c r="V4471" s="361"/>
      <c r="W4471" s="345"/>
      <c r="X4471" s="329" t="str">
        <f t="shared" si="358"/>
        <v>AN</v>
      </c>
      <c r="Y4471" s="1128" t="s">
        <v>3380</v>
      </c>
      <c r="Z4471" s="1128" t="s">
        <v>3381</v>
      </c>
      <c r="AA4471" s="1128" t="s">
        <v>3384</v>
      </c>
      <c r="AB4471" s="20"/>
      <c r="AC4471" s="73"/>
    </row>
    <row r="4472" spans="1:29">
      <c r="A4472" s="327" t="str">
        <f>IF(AND($B4472&lt;&gt;"",$C4472&lt;&gt;""),MAX($A$1556:A4447)+1,"")</f>
        <v/>
      </c>
      <c r="B4472" s="361" t="s">
        <v>2052</v>
      </c>
      <c r="C4472" s="360"/>
      <c r="D4472" s="327">
        <f>IF($B4472="","",COUNTIF($B$6:$B4472,$B4472))</f>
        <v>3</v>
      </c>
      <c r="E4472" s="361" t="s">
        <v>1809</v>
      </c>
      <c r="F4472" s="362" t="s">
        <v>1811</v>
      </c>
      <c r="G4472" s="327" t="s">
        <v>156</v>
      </c>
      <c r="H4472" s="361"/>
      <c r="I4472" s="361" t="s">
        <v>1843</v>
      </c>
      <c r="J4472" s="361"/>
      <c r="K4472" s="327"/>
      <c r="L4472" s="389">
        <v>57000</v>
      </c>
      <c r="M4472" s="355"/>
      <c r="N4472" s="355" t="str">
        <f t="shared" si="357"/>
        <v>PK</v>
      </c>
      <c r="O4472" s="359"/>
      <c r="P4472" s="361"/>
      <c r="Q4472" s="327"/>
      <c r="R4472" s="351"/>
      <c r="S4472" s="351"/>
      <c r="T4472" s="351"/>
      <c r="U4472" s="329" t="str">
        <f>IF($N4472=$N$4,IFERROR(INDEX(DanhMuc!$E$154:$E$165,MATCH(MID($B4472,4,2),DanhMuc!$B$154:$B$165,0)),""),"")</f>
        <v/>
      </c>
      <c r="V4472" s="361"/>
      <c r="W4472" s="345"/>
      <c r="X4472" s="329" t="str">
        <f t="shared" si="358"/>
        <v>AN</v>
      </c>
      <c r="Y4472" s="1128" t="s">
        <v>3380</v>
      </c>
      <c r="Z4472" s="1128" t="s">
        <v>3381</v>
      </c>
      <c r="AA4472" s="1128" t="s">
        <v>3384</v>
      </c>
      <c r="AB4472" s="20"/>
      <c r="AC4472" s="73"/>
    </row>
    <row r="4473" spans="1:29">
      <c r="A4473" s="327" t="str">
        <f>IF(AND($B4473&lt;&gt;"",$C4473&lt;&gt;""),MAX($A$1556:A4448)+1,"")</f>
        <v/>
      </c>
      <c r="B4473" s="361" t="s">
        <v>2052</v>
      </c>
      <c r="C4473" s="360"/>
      <c r="D4473" s="327">
        <f>IF($B4473="","",COUNTIF($B$6:$B4473,$B4473))</f>
        <v>4</v>
      </c>
      <c r="E4473" s="361" t="s">
        <v>1685</v>
      </c>
      <c r="F4473" s="362" t="s">
        <v>1686</v>
      </c>
      <c r="G4473" s="327" t="s">
        <v>156</v>
      </c>
      <c r="H4473" s="361"/>
      <c r="I4473" s="361" t="s">
        <v>1844</v>
      </c>
      <c r="J4473" s="361"/>
      <c r="K4473" s="327"/>
      <c r="L4473" s="389">
        <v>75000</v>
      </c>
      <c r="M4473" s="355"/>
      <c r="N4473" s="355" t="str">
        <f t="shared" si="357"/>
        <v>PK</v>
      </c>
      <c r="O4473" s="359"/>
      <c r="P4473" s="361"/>
      <c r="Q4473" s="327"/>
      <c r="R4473" s="351"/>
      <c r="S4473" s="351"/>
      <c r="T4473" s="351"/>
      <c r="U4473" s="329" t="str">
        <f>IF($N4473=$N$4,IFERROR(INDEX(DanhMuc!$E$154:$E$165,MATCH(MID($B4473,4,2),DanhMuc!$B$154:$B$165,0)),""),"")</f>
        <v/>
      </c>
      <c r="V4473" s="361"/>
      <c r="W4473" s="345"/>
      <c r="X4473" s="329" t="str">
        <f t="shared" si="358"/>
        <v>AN</v>
      </c>
      <c r="Y4473" s="1128" t="s">
        <v>3380</v>
      </c>
      <c r="Z4473" s="1128" t="s">
        <v>3381</v>
      </c>
      <c r="AA4473" s="1128" t="s">
        <v>3384</v>
      </c>
      <c r="AB4473" s="20"/>
      <c r="AC4473" s="73"/>
    </row>
    <row r="4474" spans="1:29">
      <c r="A4474" s="327" t="str">
        <f>IF(AND($B4474&lt;&gt;"",$C4474&lt;&gt;""),MAX($A$1556:A4449)+1,"")</f>
        <v/>
      </c>
      <c r="B4474" s="361" t="s">
        <v>2052</v>
      </c>
      <c r="C4474" s="360"/>
      <c r="D4474" s="327">
        <f>IF($B4474="","",COUNTIF($B$6:$B4474,$B4474))</f>
        <v>5</v>
      </c>
      <c r="E4474" s="361" t="s">
        <v>1687</v>
      </c>
      <c r="F4474" s="362" t="s">
        <v>1688</v>
      </c>
      <c r="G4474" s="327" t="s">
        <v>155</v>
      </c>
      <c r="H4474" s="361"/>
      <c r="I4474" s="361">
        <v>8</v>
      </c>
      <c r="J4474" s="361"/>
      <c r="K4474" s="327"/>
      <c r="L4474" s="389">
        <v>70000</v>
      </c>
      <c r="M4474" s="355"/>
      <c r="N4474" s="355" t="str">
        <f t="shared" si="357"/>
        <v>PK</v>
      </c>
      <c r="O4474" s="345" t="s">
        <v>1702</v>
      </c>
      <c r="P4474" s="361"/>
      <c r="Q4474" s="327"/>
      <c r="R4474" s="351"/>
      <c r="S4474" s="351"/>
      <c r="T4474" s="351"/>
      <c r="U4474" s="329" t="str">
        <f>IF($N4474=$N$4,IFERROR(INDEX(DanhMuc!$E$154:$E$165,MATCH(MID($B4474,4,2),DanhMuc!$B$154:$B$165,0)),""),"")</f>
        <v/>
      </c>
      <c r="V4474" s="361"/>
      <c r="W4474" s="345"/>
      <c r="X4474" s="329" t="str">
        <f t="shared" si="358"/>
        <v>AN</v>
      </c>
      <c r="Y4474" s="1128" t="s">
        <v>3380</v>
      </c>
      <c r="Z4474" s="1128" t="s">
        <v>3381</v>
      </c>
      <c r="AA4474" s="1128" t="s">
        <v>3384</v>
      </c>
      <c r="AB4474" s="20"/>
      <c r="AC4474" s="73"/>
    </row>
    <row r="4475" spans="1:29">
      <c r="A4475" s="327" t="str">
        <f>IF(AND($B4475&lt;&gt;"",$C4475&lt;&gt;""),MAX($A$1556:A4450)+1,"")</f>
        <v/>
      </c>
      <c r="B4475" s="361" t="s">
        <v>2052</v>
      </c>
      <c r="C4475" s="360"/>
      <c r="D4475" s="327">
        <f>IF($B4475="","",COUNTIF($B$6:$B4475,$B4475))</f>
        <v>6</v>
      </c>
      <c r="E4475" s="361" t="s">
        <v>1689</v>
      </c>
      <c r="F4475" s="362" t="s">
        <v>1690</v>
      </c>
      <c r="G4475" s="327" t="s">
        <v>155</v>
      </c>
      <c r="H4475" s="361"/>
      <c r="I4475" s="361">
        <v>8</v>
      </c>
      <c r="J4475" s="361"/>
      <c r="K4475" s="327"/>
      <c r="L4475" s="389">
        <v>80000</v>
      </c>
      <c r="M4475" s="355"/>
      <c r="N4475" s="355" t="str">
        <f t="shared" si="357"/>
        <v>PK</v>
      </c>
      <c r="O4475" s="407" t="s">
        <v>1699</v>
      </c>
      <c r="P4475" s="361"/>
      <c r="Q4475" s="327"/>
      <c r="R4475" s="351"/>
      <c r="S4475" s="351"/>
      <c r="T4475" s="351"/>
      <c r="U4475" s="329" t="str">
        <f>IF($N4475=$N$4,IFERROR(INDEX(DanhMuc!$E$154:$E$165,MATCH(MID($B4475,4,2),DanhMuc!$B$154:$B$165,0)),""),"")</f>
        <v/>
      </c>
      <c r="V4475" s="361"/>
      <c r="W4475" s="345"/>
      <c r="X4475" s="329" t="str">
        <f t="shared" si="358"/>
        <v>AN</v>
      </c>
      <c r="Y4475" s="1128" t="s">
        <v>3380</v>
      </c>
      <c r="Z4475" s="1128" t="s">
        <v>3381</v>
      </c>
      <c r="AA4475" s="1128" t="s">
        <v>3384</v>
      </c>
      <c r="AB4475" s="20"/>
      <c r="AC4475" s="73"/>
    </row>
    <row r="4476" spans="1:29">
      <c r="A4476" s="327" t="str">
        <f>IF(AND($B4476&lt;&gt;"",$C4476&lt;&gt;""),MAX($A$1556:A4451)+1,"")</f>
        <v/>
      </c>
      <c r="B4476" s="361" t="s">
        <v>2052</v>
      </c>
      <c r="C4476" s="360"/>
      <c r="D4476" s="327">
        <f>IF($B4476="","",COUNTIF($B$6:$B4476,$B4476))</f>
        <v>7</v>
      </c>
      <c r="E4476" s="361" t="s">
        <v>1691</v>
      </c>
      <c r="F4476" s="362" t="s">
        <v>1692</v>
      </c>
      <c r="G4476" s="327" t="s">
        <v>155</v>
      </c>
      <c r="H4476" s="361"/>
      <c r="I4476" s="361">
        <v>8</v>
      </c>
      <c r="J4476" s="361"/>
      <c r="K4476" s="327"/>
      <c r="L4476" s="389">
        <v>98000</v>
      </c>
      <c r="M4476" s="355"/>
      <c r="N4476" s="355" t="str">
        <f>+$N$1555</f>
        <v>PK</v>
      </c>
      <c r="O4476" s="407" t="s">
        <v>1701</v>
      </c>
      <c r="P4476" s="361"/>
      <c r="Q4476" s="327"/>
      <c r="R4476" s="351"/>
      <c r="S4476" s="351"/>
      <c r="T4476" s="351"/>
      <c r="U4476" s="329" t="str">
        <f>IF($N4476=$N$4,IFERROR(INDEX(DanhMuc!$E$154:$E$165,MATCH(MID($B4476,4,2),DanhMuc!$B$154:$B$165,0)),""),"")</f>
        <v/>
      </c>
      <c r="V4476" s="361"/>
      <c r="W4476" s="345"/>
      <c r="X4476" s="329" t="str">
        <f t="shared" ref="X4476:X4539" si="359">IF($N4476="PR",$E4476,MID($B4476,10,2))</f>
        <v>AN</v>
      </c>
      <c r="Y4476" s="1128" t="s">
        <v>3380</v>
      </c>
      <c r="Z4476" s="1128" t="s">
        <v>3381</v>
      </c>
      <c r="AA4476" s="1128" t="s">
        <v>3384</v>
      </c>
      <c r="AB4476" s="20"/>
      <c r="AC4476" s="73"/>
    </row>
    <row r="4477" spans="1:29">
      <c r="A4477" s="327" t="str">
        <f>IF(AND($B4477&lt;&gt;"",$C4477&lt;&gt;""),MAX($A$1556:A4452)+1,"")</f>
        <v/>
      </c>
      <c r="B4477" s="361" t="s">
        <v>2052</v>
      </c>
      <c r="C4477" s="360"/>
      <c r="D4477" s="327">
        <f>IF($B4477="","",COUNTIF($B$6:$B4477,$B4477))</f>
        <v>8</v>
      </c>
      <c r="E4477" s="361" t="s">
        <v>1693</v>
      </c>
      <c r="F4477" s="362" t="s">
        <v>1694</v>
      </c>
      <c r="G4477" s="327" t="s">
        <v>155</v>
      </c>
      <c r="H4477" s="361"/>
      <c r="I4477" s="361">
        <v>8</v>
      </c>
      <c r="J4477" s="361"/>
      <c r="K4477" s="327"/>
      <c r="L4477" s="389">
        <v>118000</v>
      </c>
      <c r="M4477" s="355"/>
      <c r="N4477" s="355" t="str">
        <f t="shared" si="357"/>
        <v>PK</v>
      </c>
      <c r="O4477" s="407" t="s">
        <v>1703</v>
      </c>
      <c r="P4477" s="361"/>
      <c r="Q4477" s="327"/>
      <c r="R4477" s="351"/>
      <c r="S4477" s="351"/>
      <c r="T4477" s="351"/>
      <c r="U4477" s="329" t="str">
        <f>IF($N4477=$N$4,IFERROR(INDEX(DanhMuc!$E$154:$E$165,MATCH(MID($B4477,4,2),DanhMuc!$B$154:$B$165,0)),""),"")</f>
        <v/>
      </c>
      <c r="V4477" s="361"/>
      <c r="W4477" s="345"/>
      <c r="X4477" s="329" t="str">
        <f t="shared" si="359"/>
        <v>AN</v>
      </c>
      <c r="Y4477" s="1128" t="s">
        <v>3380</v>
      </c>
      <c r="Z4477" s="1128" t="s">
        <v>3381</v>
      </c>
      <c r="AA4477" s="1128" t="s">
        <v>3384</v>
      </c>
      <c r="AB4477" s="20"/>
      <c r="AC4477" s="73"/>
    </row>
    <row r="4478" spans="1:29">
      <c r="A4478" s="327" t="str">
        <f>IF(AND($B4478&lt;&gt;"",$C4478&lt;&gt;""),MAX($A$1556:A4453)+1,"")</f>
        <v/>
      </c>
      <c r="B4478" s="361" t="s">
        <v>2052</v>
      </c>
      <c r="C4478" s="360"/>
      <c r="D4478" s="327">
        <f>IF($B4478="","",COUNTIF($B$6:$B4478,$B4478))</f>
        <v>9</v>
      </c>
      <c r="E4478" s="361" t="s">
        <v>1653</v>
      </c>
      <c r="F4478" s="362" t="s">
        <v>1709</v>
      </c>
      <c r="G4478" s="327" t="s">
        <v>155</v>
      </c>
      <c r="H4478" s="361"/>
      <c r="I4478" s="361">
        <v>2</v>
      </c>
      <c r="J4478" s="361"/>
      <c r="K4478" s="327"/>
      <c r="L4478" s="389">
        <v>5000</v>
      </c>
      <c r="M4478" s="355"/>
      <c r="N4478" s="355" t="str">
        <f>+$N$1555</f>
        <v>PK</v>
      </c>
      <c r="O4478" s="359"/>
      <c r="P4478" s="361"/>
      <c r="Q4478" s="327"/>
      <c r="R4478" s="351"/>
      <c r="S4478" s="351"/>
      <c r="T4478" s="351"/>
      <c r="U4478" s="329" t="str">
        <f>IF($N4478=$N$4,IFERROR(INDEX(DanhMuc!$E$154:$E$165,MATCH(MID($B4478,4,2),DanhMuc!$B$154:$B$165,0)),""),"")</f>
        <v/>
      </c>
      <c r="V4478" s="361"/>
      <c r="W4478" s="345"/>
      <c r="X4478" s="329" t="str">
        <f t="shared" si="359"/>
        <v>AN</v>
      </c>
      <c r="Y4478" s="1128" t="s">
        <v>3380</v>
      </c>
      <c r="Z4478" s="1128" t="s">
        <v>3381</v>
      </c>
      <c r="AA4478" s="1128" t="s">
        <v>3384</v>
      </c>
      <c r="AB4478" s="20"/>
      <c r="AC4478" s="73"/>
    </row>
    <row r="4479" spans="1:29">
      <c r="A4479" s="327" t="str">
        <f>IF(AND($B4479&lt;&gt;"",$C4479&lt;&gt;""),MAX($A$1556:A4454)+1,"")</f>
        <v/>
      </c>
      <c r="B4479" s="361" t="s">
        <v>2052</v>
      </c>
      <c r="C4479" s="360"/>
      <c r="D4479" s="327">
        <f>IF($B4479="","",COUNTIF($B$6:$B4479,$B4479))</f>
        <v>10</v>
      </c>
      <c r="E4479" s="361" t="s">
        <v>1695</v>
      </c>
      <c r="F4479" s="362" t="s">
        <v>1696</v>
      </c>
      <c r="G4479" s="327" t="s">
        <v>155</v>
      </c>
      <c r="H4479" s="361"/>
      <c r="I4479" s="361">
        <v>4</v>
      </c>
      <c r="J4479" s="361"/>
      <c r="K4479" s="327"/>
      <c r="L4479" s="389">
        <v>5000</v>
      </c>
      <c r="M4479" s="355"/>
      <c r="N4479" s="355" t="str">
        <f t="shared" si="357"/>
        <v>PK</v>
      </c>
      <c r="O4479" s="359"/>
      <c r="P4479" s="361"/>
      <c r="Q4479" s="327"/>
      <c r="R4479" s="351"/>
      <c r="S4479" s="351"/>
      <c r="T4479" s="351"/>
      <c r="U4479" s="329" t="str">
        <f>IF($N4479=$N$4,IFERROR(INDEX(DanhMuc!$E$154:$E$165,MATCH(MID($B4479,4,2),DanhMuc!$B$154:$B$165,0)),""),"")</f>
        <v/>
      </c>
      <c r="V4479" s="361"/>
      <c r="W4479" s="345"/>
      <c r="X4479" s="329" t="str">
        <f t="shared" si="359"/>
        <v>AN</v>
      </c>
      <c r="Y4479" s="1128" t="s">
        <v>3380</v>
      </c>
      <c r="Z4479" s="1128" t="s">
        <v>3381</v>
      </c>
      <c r="AA4479" s="1128" t="s">
        <v>3384</v>
      </c>
      <c r="AB4479" s="20"/>
      <c r="AC4479" s="73"/>
    </row>
    <row r="4480" spans="1:29">
      <c r="A4480" s="327" t="str">
        <f>IF(AND($B4480&lt;&gt;"",$C4480&lt;&gt;""),MAX($A$1556:A4455)+1,"")</f>
        <v/>
      </c>
      <c r="B4480" s="361" t="s">
        <v>2052</v>
      </c>
      <c r="C4480" s="360"/>
      <c r="D4480" s="327">
        <f>IF($B4480="","",COUNTIF($B$6:$B4480,$B4480))</f>
        <v>11</v>
      </c>
      <c r="E4480" s="361" t="s">
        <v>1710</v>
      </c>
      <c r="F4480" s="362" t="s">
        <v>1711</v>
      </c>
      <c r="G4480" s="327" t="s">
        <v>155</v>
      </c>
      <c r="H4480" s="361"/>
      <c r="I4480" s="361">
        <v>2</v>
      </c>
      <c r="J4480" s="361"/>
      <c r="K4480" s="327"/>
      <c r="L4480" s="389">
        <v>39000</v>
      </c>
      <c r="M4480" s="355"/>
      <c r="N4480" s="355" t="str">
        <f t="shared" si="357"/>
        <v>PK</v>
      </c>
      <c r="O4480" s="359"/>
      <c r="P4480" s="361"/>
      <c r="Q4480" s="327"/>
      <c r="R4480" s="351"/>
      <c r="S4480" s="351"/>
      <c r="T4480" s="351"/>
      <c r="U4480" s="329" t="str">
        <f>IF($N4480=$N$4,IFERROR(INDEX(DanhMuc!$E$154:$E$165,MATCH(MID($B4480,4,2),DanhMuc!$B$154:$B$165,0)),""),"")</f>
        <v/>
      </c>
      <c r="V4480" s="361"/>
      <c r="W4480" s="345"/>
      <c r="X4480" s="329" t="str">
        <f t="shared" si="359"/>
        <v>AN</v>
      </c>
      <c r="Y4480" s="1128" t="s">
        <v>3380</v>
      </c>
      <c r="Z4480" s="1128" t="s">
        <v>3381</v>
      </c>
      <c r="AA4480" s="1128" t="s">
        <v>3384</v>
      </c>
      <c r="AB4480" s="20"/>
      <c r="AC4480" s="73"/>
    </row>
    <row r="4481" spans="1:29">
      <c r="A4481" s="327" t="str">
        <f>IF(AND($B4481&lt;&gt;"",$C4481&lt;&gt;""),MAX($A$1556:A4456)+1,"")</f>
        <v/>
      </c>
      <c r="B4481" s="361" t="s">
        <v>2052</v>
      </c>
      <c r="C4481" s="360"/>
      <c r="D4481" s="327">
        <f>IF($B4481="","",COUNTIF($B$6:$B4481,$B4481))</f>
        <v>12</v>
      </c>
      <c r="E4481" s="361" t="s">
        <v>1656</v>
      </c>
      <c r="F4481" s="362" t="s">
        <v>1712</v>
      </c>
      <c r="G4481" s="327" t="s">
        <v>155</v>
      </c>
      <c r="H4481" s="361"/>
      <c r="I4481" s="361">
        <v>2</v>
      </c>
      <c r="J4481" s="361"/>
      <c r="K4481" s="327"/>
      <c r="L4481" s="389">
        <v>12000</v>
      </c>
      <c r="M4481" s="355"/>
      <c r="N4481" s="355" t="str">
        <f t="shared" si="357"/>
        <v>PK</v>
      </c>
      <c r="O4481" s="359"/>
      <c r="P4481" s="361"/>
      <c r="Q4481" s="327"/>
      <c r="R4481" s="351"/>
      <c r="S4481" s="351"/>
      <c r="T4481" s="351"/>
      <c r="U4481" s="329" t="str">
        <f>IF($N4481=$N$4,IFERROR(INDEX(DanhMuc!$E$154:$E$165,MATCH(MID($B4481,4,2),DanhMuc!$B$154:$B$165,0)),""),"")</f>
        <v/>
      </c>
      <c r="V4481" s="361"/>
      <c r="W4481" s="345"/>
      <c r="X4481" s="329" t="str">
        <f t="shared" si="359"/>
        <v>AN</v>
      </c>
      <c r="Y4481" s="1128" t="s">
        <v>3380</v>
      </c>
      <c r="Z4481" s="1128" t="s">
        <v>3381</v>
      </c>
      <c r="AA4481" s="1128" t="s">
        <v>3384</v>
      </c>
      <c r="AB4481" s="20"/>
      <c r="AC4481" s="73"/>
    </row>
    <row r="4482" spans="1:29">
      <c r="A4482" s="327" t="str">
        <f>IF(AND($B4482&lt;&gt;"",$C4482&lt;&gt;""),MAX($A$1556:A4457)+1,"")</f>
        <v/>
      </c>
      <c r="B4482" s="361" t="s">
        <v>2052</v>
      </c>
      <c r="C4482" s="360"/>
      <c r="D4482" s="327">
        <f>IF($B4482="","",COUNTIF($B$6:$B4482,$B4482))</f>
        <v>13</v>
      </c>
      <c r="E4482" s="361" t="s">
        <v>1647</v>
      </c>
      <c r="F4482" s="362" t="s">
        <v>1713</v>
      </c>
      <c r="G4482" s="327" t="s">
        <v>155</v>
      </c>
      <c r="H4482" s="361"/>
      <c r="I4482" s="361">
        <v>1</v>
      </c>
      <c r="J4482" s="361"/>
      <c r="K4482" s="327"/>
      <c r="L4482" s="389">
        <v>12000</v>
      </c>
      <c r="M4482" s="355"/>
      <c r="N4482" s="355" t="str">
        <f t="shared" si="357"/>
        <v>PK</v>
      </c>
      <c r="O4482" s="359"/>
      <c r="P4482" s="361"/>
      <c r="Q4482" s="327"/>
      <c r="R4482" s="351"/>
      <c r="S4482" s="351"/>
      <c r="T4482" s="351"/>
      <c r="U4482" s="329" t="str">
        <f>IF($N4482=$N$4,IFERROR(INDEX(DanhMuc!$E$154:$E$165,MATCH(MID($B4482,4,2),DanhMuc!$B$154:$B$165,0)),""),"")</f>
        <v/>
      </c>
      <c r="V4482" s="361"/>
      <c r="W4482" s="345"/>
      <c r="X4482" s="329" t="str">
        <f t="shared" si="359"/>
        <v>AN</v>
      </c>
      <c r="Y4482" s="1128" t="s">
        <v>3380</v>
      </c>
      <c r="Z4482" s="1128" t="s">
        <v>3381</v>
      </c>
      <c r="AA4482" s="1128" t="s">
        <v>3384</v>
      </c>
      <c r="AB4482" s="20"/>
      <c r="AC4482" s="73"/>
    </row>
    <row r="4483" spans="1:29">
      <c r="A4483" s="327" t="str">
        <f>IF(AND($B4483&lt;&gt;"",$C4483&lt;&gt;""),MAX($A$1556:A4458)+1,"")</f>
        <v/>
      </c>
      <c r="B4483" s="361" t="s">
        <v>2052</v>
      </c>
      <c r="C4483" s="360"/>
      <c r="D4483" s="327">
        <f>IF($B4483="","",COUNTIF($B$6:$B4483,$B4483))</f>
        <v>14</v>
      </c>
      <c r="E4483" s="361" t="s">
        <v>1649</v>
      </c>
      <c r="F4483" s="362" t="s">
        <v>1714</v>
      </c>
      <c r="G4483" s="327" t="s">
        <v>155</v>
      </c>
      <c r="H4483" s="361"/>
      <c r="I4483" s="361">
        <v>1</v>
      </c>
      <c r="J4483" s="361"/>
      <c r="K4483" s="327"/>
      <c r="L4483" s="389">
        <v>12000</v>
      </c>
      <c r="M4483" s="355"/>
      <c r="N4483" s="355" t="str">
        <f t="shared" si="357"/>
        <v>PK</v>
      </c>
      <c r="O4483" s="359"/>
      <c r="P4483" s="361"/>
      <c r="Q4483" s="327"/>
      <c r="R4483" s="351"/>
      <c r="S4483" s="351"/>
      <c r="T4483" s="351"/>
      <c r="U4483" s="329" t="str">
        <f>IF($N4483=$N$4,IFERROR(INDEX(DanhMuc!$E$154:$E$165,MATCH(MID($B4483,4,2),DanhMuc!$B$154:$B$165,0)),""),"")</f>
        <v/>
      </c>
      <c r="V4483" s="361"/>
      <c r="W4483" s="345"/>
      <c r="X4483" s="329" t="str">
        <f t="shared" si="359"/>
        <v>AN</v>
      </c>
      <c r="Y4483" s="1128" t="s">
        <v>3380</v>
      </c>
      <c r="Z4483" s="1128" t="s">
        <v>3381</v>
      </c>
      <c r="AA4483" s="1128" t="s">
        <v>3384</v>
      </c>
      <c r="AB4483" s="20"/>
      <c r="AC4483" s="73"/>
    </row>
    <row r="4484" spans="1:29">
      <c r="A4484" s="327" t="str">
        <f>IF(AND($B4484&lt;&gt;"",$C4484&lt;&gt;""),MAX($A$1556:A4459)+1,"")</f>
        <v/>
      </c>
      <c r="B4484" s="361" t="s">
        <v>2052</v>
      </c>
      <c r="C4484" s="360"/>
      <c r="D4484" s="327">
        <f>IF($B4484="","",COUNTIF($B$6:$B4484,$B4484))</f>
        <v>15</v>
      </c>
      <c r="E4484" s="361" t="s">
        <v>175</v>
      </c>
      <c r="F4484" s="362" t="s">
        <v>176</v>
      </c>
      <c r="G4484" s="327" t="s">
        <v>155</v>
      </c>
      <c r="H4484" s="361"/>
      <c r="I4484" s="361">
        <v>8</v>
      </c>
      <c r="J4484" s="361"/>
      <c r="K4484" s="327"/>
      <c r="L4484" s="389">
        <v>2000</v>
      </c>
      <c r="M4484" s="355"/>
      <c r="N4484" s="355" t="str">
        <f t="shared" si="357"/>
        <v>PK</v>
      </c>
      <c r="O4484" s="359"/>
      <c r="P4484" s="361"/>
      <c r="Q4484" s="327"/>
      <c r="R4484" s="351"/>
      <c r="S4484" s="351"/>
      <c r="T4484" s="351"/>
      <c r="U4484" s="329" t="str">
        <f>IF($N4484=$N$4,IFERROR(INDEX(DanhMuc!$E$154:$E$165,MATCH(MID($B4484,4,2),DanhMuc!$B$154:$B$165,0)),""),"")</f>
        <v/>
      </c>
      <c r="V4484" s="361"/>
      <c r="W4484" s="345"/>
      <c r="X4484" s="329" t="str">
        <f t="shared" si="359"/>
        <v>AN</v>
      </c>
      <c r="Y4484" s="1128" t="s">
        <v>3380</v>
      </c>
      <c r="Z4484" s="1128" t="s">
        <v>3381</v>
      </c>
      <c r="AA4484" s="1128" t="s">
        <v>3384</v>
      </c>
      <c r="AB4484" s="20"/>
      <c r="AC4484" s="73"/>
    </row>
    <row r="4485" spans="1:29" ht="39">
      <c r="A4485" s="327">
        <f>IF(AND($B4485&lt;&gt;"",$C4485&lt;&gt;""),MAX($A$1556:A4460)+1,"")</f>
        <v>204</v>
      </c>
      <c r="B4485" s="359" t="s">
        <v>2053</v>
      </c>
      <c r="C4485" s="360" t="s">
        <v>1728</v>
      </c>
      <c r="D4485" s="327">
        <f>IF($B4485="","",COUNTIF($B$6:$B4485,$B4485))</f>
        <v>1</v>
      </c>
      <c r="E4485" s="361" t="s">
        <v>1684</v>
      </c>
      <c r="F4485" s="362" t="s">
        <v>1065</v>
      </c>
      <c r="G4485" s="327" t="s">
        <v>155</v>
      </c>
      <c r="H4485" s="361"/>
      <c r="I4485" s="361">
        <v>1</v>
      </c>
      <c r="J4485" s="361"/>
      <c r="K4485" s="327"/>
      <c r="L4485" s="389">
        <v>260000</v>
      </c>
      <c r="M4485" s="355"/>
      <c r="N4485" s="355" t="str">
        <f>+$N$1555</f>
        <v>PK</v>
      </c>
      <c r="O4485" s="359"/>
      <c r="P4485" s="361"/>
      <c r="Q4485" s="327"/>
      <c r="R4485" s="351"/>
      <c r="S4485" s="351"/>
      <c r="T4485" s="351"/>
      <c r="U4485" s="329" t="str">
        <f>IF($N4485=$N$4,IFERROR(INDEX(DanhMuc!$E$154:$E$165,MATCH(MID($B4485,4,2),DanhMuc!$B$154:$B$165,0)),""),"")</f>
        <v/>
      </c>
      <c r="V4485" s="361"/>
      <c r="W4485" s="345"/>
      <c r="X4485" s="329" t="str">
        <f t="shared" si="359"/>
        <v>AN</v>
      </c>
      <c r="Y4485" s="1128" t="s">
        <v>3380</v>
      </c>
      <c r="Z4485" s="1128" t="s">
        <v>3381</v>
      </c>
      <c r="AA4485" s="1128" t="s">
        <v>3384</v>
      </c>
      <c r="AB4485" s="20"/>
      <c r="AC4485" s="73"/>
    </row>
    <row r="4486" spans="1:29" ht="25">
      <c r="A4486" s="327" t="str">
        <f>IF(AND($B4486&lt;&gt;"",$C4486&lt;&gt;""),MAX($A$1556:A4461)+1,"")</f>
        <v/>
      </c>
      <c r="B4486" s="361" t="s">
        <v>2053</v>
      </c>
      <c r="C4486" s="360"/>
      <c r="D4486" s="327">
        <f>IF($B4486="","",COUNTIF($B$6:$B4486,$B4486))</f>
        <v>2</v>
      </c>
      <c r="E4486" s="361" t="s">
        <v>1808</v>
      </c>
      <c r="F4486" s="362" t="s">
        <v>1810</v>
      </c>
      <c r="G4486" s="327" t="s">
        <v>156</v>
      </c>
      <c r="H4486" s="361"/>
      <c r="I4486" s="361" t="s">
        <v>1812</v>
      </c>
      <c r="J4486" s="361"/>
      <c r="K4486" s="327"/>
      <c r="L4486" s="389">
        <v>47000</v>
      </c>
      <c r="M4486" s="355"/>
      <c r="N4486" s="355" t="str">
        <f t="shared" si="357"/>
        <v>PK</v>
      </c>
      <c r="O4486" s="359"/>
      <c r="P4486" s="361"/>
      <c r="Q4486" s="327"/>
      <c r="R4486" s="351"/>
      <c r="S4486" s="351"/>
      <c r="T4486" s="351"/>
      <c r="U4486" s="329" t="str">
        <f>IF($N4486=$N$4,IFERROR(INDEX(DanhMuc!$E$154:$E$165,MATCH(MID($B4486,4,2),DanhMuc!$B$154:$B$165,0)),""),"")</f>
        <v/>
      </c>
      <c r="V4486" s="361"/>
      <c r="W4486" s="345"/>
      <c r="X4486" s="329" t="str">
        <f t="shared" si="359"/>
        <v>AN</v>
      </c>
      <c r="Y4486" s="1128" t="s">
        <v>3380</v>
      </c>
      <c r="Z4486" s="1128" t="s">
        <v>3381</v>
      </c>
      <c r="AA4486" s="1128" t="s">
        <v>3384</v>
      </c>
      <c r="AB4486" s="20"/>
      <c r="AC4486" s="73"/>
    </row>
    <row r="4487" spans="1:29">
      <c r="A4487" s="327" t="str">
        <f>IF(AND($B4487&lt;&gt;"",$C4487&lt;&gt;""),MAX($A$1556:A4462)+1,"")</f>
        <v/>
      </c>
      <c r="B4487" s="361" t="s">
        <v>2053</v>
      </c>
      <c r="C4487" s="360"/>
      <c r="D4487" s="327">
        <f>IF($B4487="","",COUNTIF($B$6:$B4487,$B4487))</f>
        <v>3</v>
      </c>
      <c r="E4487" s="361" t="s">
        <v>1809</v>
      </c>
      <c r="F4487" s="362" t="s">
        <v>1811</v>
      </c>
      <c r="G4487" s="327" t="s">
        <v>156</v>
      </c>
      <c r="H4487" s="361"/>
      <c r="I4487" s="361" t="s">
        <v>1813</v>
      </c>
      <c r="J4487" s="361"/>
      <c r="K4487" s="327"/>
      <c r="L4487" s="389">
        <v>57000</v>
      </c>
      <c r="M4487" s="355"/>
      <c r="N4487" s="355" t="str">
        <f t="shared" si="357"/>
        <v>PK</v>
      </c>
      <c r="O4487" s="359"/>
      <c r="P4487" s="361"/>
      <c r="Q4487" s="327"/>
      <c r="R4487" s="351"/>
      <c r="S4487" s="351"/>
      <c r="T4487" s="351"/>
      <c r="U4487" s="329" t="str">
        <f>IF($N4487=$N$4,IFERROR(INDEX(DanhMuc!$E$154:$E$165,MATCH(MID($B4487,4,2),DanhMuc!$B$154:$B$165,0)),""),"")</f>
        <v/>
      </c>
      <c r="V4487" s="361"/>
      <c r="W4487" s="345"/>
      <c r="X4487" s="329" t="str">
        <f t="shared" si="359"/>
        <v>AN</v>
      </c>
      <c r="Y4487" s="1128" t="s">
        <v>3380</v>
      </c>
      <c r="Z4487" s="1128" t="s">
        <v>3381</v>
      </c>
      <c r="AA4487" s="1128" t="s">
        <v>3384</v>
      </c>
      <c r="AB4487" s="20"/>
      <c r="AC4487" s="73"/>
    </row>
    <row r="4488" spans="1:29">
      <c r="A4488" s="327" t="str">
        <f>IF(AND($B4488&lt;&gt;"",$C4488&lt;&gt;""),MAX($A$1556:A4463)+1,"")</f>
        <v/>
      </c>
      <c r="B4488" s="361" t="s">
        <v>2053</v>
      </c>
      <c r="C4488" s="360"/>
      <c r="D4488" s="327">
        <f>IF($B4488="","",COUNTIF($B$6:$B4488,$B4488))</f>
        <v>4</v>
      </c>
      <c r="E4488" s="361" t="s">
        <v>1685</v>
      </c>
      <c r="F4488" s="362" t="s">
        <v>1686</v>
      </c>
      <c r="G4488" s="327" t="s">
        <v>156</v>
      </c>
      <c r="H4488" s="361"/>
      <c r="I4488" s="361" t="s">
        <v>1814</v>
      </c>
      <c r="J4488" s="361"/>
      <c r="K4488" s="327"/>
      <c r="L4488" s="389">
        <v>75000</v>
      </c>
      <c r="M4488" s="355"/>
      <c r="N4488" s="355" t="str">
        <f t="shared" si="357"/>
        <v>PK</v>
      </c>
      <c r="O4488" s="359"/>
      <c r="P4488" s="361"/>
      <c r="Q4488" s="327"/>
      <c r="R4488" s="351"/>
      <c r="S4488" s="351"/>
      <c r="T4488" s="351"/>
      <c r="U4488" s="329" t="str">
        <f>IF($N4488=$N$4,IFERROR(INDEX(DanhMuc!$E$154:$E$165,MATCH(MID($B4488,4,2),DanhMuc!$B$154:$B$165,0)),""),"")</f>
        <v/>
      </c>
      <c r="V4488" s="361"/>
      <c r="W4488" s="345"/>
      <c r="X4488" s="329" t="str">
        <f t="shared" si="359"/>
        <v>AN</v>
      </c>
      <c r="Y4488" s="1128" t="s">
        <v>3380</v>
      </c>
      <c r="Z4488" s="1128" t="s">
        <v>3381</v>
      </c>
      <c r="AA4488" s="1128" t="s">
        <v>3384</v>
      </c>
      <c r="AB4488" s="20"/>
      <c r="AC4488" s="73"/>
    </row>
    <row r="4489" spans="1:29">
      <c r="A4489" s="327" t="str">
        <f>IF(AND($B4489&lt;&gt;"",$C4489&lt;&gt;""),MAX($A$1556:A4464)+1,"")</f>
        <v/>
      </c>
      <c r="B4489" s="361" t="s">
        <v>2053</v>
      </c>
      <c r="C4489" s="360"/>
      <c r="D4489" s="327">
        <f>IF($B4489="","",COUNTIF($B$6:$B4489,$B4489))</f>
        <v>5</v>
      </c>
      <c r="E4489" s="361" t="s">
        <v>1687</v>
      </c>
      <c r="F4489" s="362" t="s">
        <v>1688</v>
      </c>
      <c r="G4489" s="327" t="s">
        <v>155</v>
      </c>
      <c r="H4489" s="361"/>
      <c r="I4489" s="361">
        <v>2</v>
      </c>
      <c r="J4489" s="361"/>
      <c r="K4489" s="327"/>
      <c r="L4489" s="389">
        <v>70000</v>
      </c>
      <c r="M4489" s="355"/>
      <c r="N4489" s="355" t="str">
        <f t="shared" si="357"/>
        <v>PK</v>
      </c>
      <c r="O4489" s="345" t="s">
        <v>1702</v>
      </c>
      <c r="P4489" s="361"/>
      <c r="Q4489" s="327"/>
      <c r="R4489" s="351"/>
      <c r="S4489" s="351"/>
      <c r="T4489" s="351"/>
      <c r="U4489" s="329" t="str">
        <f>IF($N4489=$N$4,IFERROR(INDEX(DanhMuc!$E$154:$E$165,MATCH(MID($B4489,4,2),DanhMuc!$B$154:$B$165,0)),""),"")</f>
        <v/>
      </c>
      <c r="V4489" s="361"/>
      <c r="W4489" s="345"/>
      <c r="X4489" s="329" t="str">
        <f t="shared" si="359"/>
        <v>AN</v>
      </c>
      <c r="Y4489" s="1128" t="s">
        <v>3380</v>
      </c>
      <c r="Z4489" s="1128" t="s">
        <v>3381</v>
      </c>
      <c r="AA4489" s="1128" t="s">
        <v>3384</v>
      </c>
      <c r="AB4489" s="20"/>
      <c r="AC4489" s="73"/>
    </row>
    <row r="4490" spans="1:29">
      <c r="A4490" s="327" t="str">
        <f>IF(AND($B4490&lt;&gt;"",$C4490&lt;&gt;""),MAX($A$1556:A4465)+1,"")</f>
        <v/>
      </c>
      <c r="B4490" s="361" t="s">
        <v>2053</v>
      </c>
      <c r="C4490" s="360"/>
      <c r="D4490" s="327">
        <f>IF($B4490="","",COUNTIF($B$6:$B4490,$B4490))</f>
        <v>6</v>
      </c>
      <c r="E4490" s="361" t="s">
        <v>1689</v>
      </c>
      <c r="F4490" s="362" t="s">
        <v>1690</v>
      </c>
      <c r="G4490" s="327" t="s">
        <v>155</v>
      </c>
      <c r="H4490" s="361"/>
      <c r="I4490" s="361">
        <v>2</v>
      </c>
      <c r="J4490" s="361"/>
      <c r="K4490" s="327"/>
      <c r="L4490" s="389">
        <v>80000</v>
      </c>
      <c r="M4490" s="355"/>
      <c r="N4490" s="355" t="str">
        <f t="shared" si="357"/>
        <v>PK</v>
      </c>
      <c r="O4490" s="407" t="s">
        <v>1699</v>
      </c>
      <c r="P4490" s="361"/>
      <c r="Q4490" s="327"/>
      <c r="R4490" s="351"/>
      <c r="S4490" s="351"/>
      <c r="T4490" s="351"/>
      <c r="U4490" s="329" t="str">
        <f>IF($N4490=$N$4,IFERROR(INDEX(DanhMuc!$E$154:$E$165,MATCH(MID($B4490,4,2),DanhMuc!$B$154:$B$165,0)),""),"")</f>
        <v/>
      </c>
      <c r="V4490" s="361"/>
      <c r="W4490" s="345"/>
      <c r="X4490" s="329" t="str">
        <f t="shared" si="359"/>
        <v>AN</v>
      </c>
      <c r="Y4490" s="1128" t="s">
        <v>3380</v>
      </c>
      <c r="Z4490" s="1128" t="s">
        <v>3381</v>
      </c>
      <c r="AA4490" s="1128" t="s">
        <v>3384</v>
      </c>
      <c r="AB4490" s="20"/>
      <c r="AC4490" s="73"/>
    </row>
    <row r="4491" spans="1:29">
      <c r="A4491" s="327" t="str">
        <f>IF(AND($B4491&lt;&gt;"",$C4491&lt;&gt;""),MAX($A$1556:A4466)+1,"")</f>
        <v/>
      </c>
      <c r="B4491" s="361" t="s">
        <v>2053</v>
      </c>
      <c r="C4491" s="360"/>
      <c r="D4491" s="327">
        <f>IF($B4491="","",COUNTIF($B$6:$B4491,$B4491))</f>
        <v>7</v>
      </c>
      <c r="E4491" s="361" t="s">
        <v>1691</v>
      </c>
      <c r="F4491" s="362" t="s">
        <v>1692</v>
      </c>
      <c r="G4491" s="327" t="s">
        <v>155</v>
      </c>
      <c r="H4491" s="361"/>
      <c r="I4491" s="361">
        <v>2</v>
      </c>
      <c r="J4491" s="361"/>
      <c r="K4491" s="327"/>
      <c r="L4491" s="389">
        <v>98000</v>
      </c>
      <c r="M4491" s="355"/>
      <c r="N4491" s="355" t="str">
        <f>+$N$1555</f>
        <v>PK</v>
      </c>
      <c r="O4491" s="407" t="s">
        <v>1701</v>
      </c>
      <c r="P4491" s="361"/>
      <c r="Q4491" s="327"/>
      <c r="R4491" s="351"/>
      <c r="S4491" s="351"/>
      <c r="T4491" s="351"/>
      <c r="U4491" s="329" t="str">
        <f>IF($N4491=$N$4,IFERROR(INDEX(DanhMuc!$E$154:$E$165,MATCH(MID($B4491,4,2),DanhMuc!$B$154:$B$165,0)),""),"")</f>
        <v/>
      </c>
      <c r="V4491" s="361"/>
      <c r="W4491" s="345"/>
      <c r="X4491" s="329" t="str">
        <f t="shared" si="359"/>
        <v>AN</v>
      </c>
      <c r="Y4491" s="1128" t="s">
        <v>3380</v>
      </c>
      <c r="Z4491" s="1128" t="s">
        <v>3381</v>
      </c>
      <c r="AA4491" s="1128" t="s">
        <v>3384</v>
      </c>
      <c r="AB4491" s="20"/>
      <c r="AC4491" s="73"/>
    </row>
    <row r="4492" spans="1:29">
      <c r="A4492" s="327" t="str">
        <f>IF(AND($B4492&lt;&gt;"",$C4492&lt;&gt;""),MAX($A$1556:A4467)+1,"")</f>
        <v/>
      </c>
      <c r="B4492" s="361" t="s">
        <v>2053</v>
      </c>
      <c r="C4492" s="360"/>
      <c r="D4492" s="327">
        <f>IF($B4492="","",COUNTIF($B$6:$B4492,$B4492))</f>
        <v>8</v>
      </c>
      <c r="E4492" s="361" t="s">
        <v>1693</v>
      </c>
      <c r="F4492" s="362" t="s">
        <v>1694</v>
      </c>
      <c r="G4492" s="327" t="s">
        <v>155</v>
      </c>
      <c r="H4492" s="361"/>
      <c r="I4492" s="361">
        <v>2</v>
      </c>
      <c r="J4492" s="361"/>
      <c r="K4492" s="327"/>
      <c r="L4492" s="389">
        <v>118000</v>
      </c>
      <c r="M4492" s="355"/>
      <c r="N4492" s="355" t="str">
        <f t="shared" si="357"/>
        <v>PK</v>
      </c>
      <c r="O4492" s="407" t="s">
        <v>1703</v>
      </c>
      <c r="P4492" s="361"/>
      <c r="Q4492" s="327"/>
      <c r="R4492" s="351"/>
      <c r="S4492" s="351"/>
      <c r="T4492" s="351"/>
      <c r="U4492" s="329" t="str">
        <f>IF($N4492=$N$4,IFERROR(INDEX(DanhMuc!$E$154:$E$165,MATCH(MID($B4492,4,2),DanhMuc!$B$154:$B$165,0)),""),"")</f>
        <v/>
      </c>
      <c r="V4492" s="361"/>
      <c r="W4492" s="345"/>
      <c r="X4492" s="329" t="str">
        <f t="shared" si="359"/>
        <v>AN</v>
      </c>
      <c r="Y4492" s="1128" t="s">
        <v>3380</v>
      </c>
      <c r="Z4492" s="1128" t="s">
        <v>3381</v>
      </c>
      <c r="AA4492" s="1128" t="s">
        <v>3384</v>
      </c>
      <c r="AB4492" s="20"/>
      <c r="AC4492" s="73"/>
    </row>
    <row r="4493" spans="1:29">
      <c r="A4493" s="327" t="str">
        <f>IF(AND($B4493&lt;&gt;"",$C4493&lt;&gt;""),MAX($A$1556:A4468)+1,"")</f>
        <v/>
      </c>
      <c r="B4493" s="361" t="s">
        <v>2053</v>
      </c>
      <c r="C4493" s="360"/>
      <c r="D4493" s="327">
        <f>IF($B4493="","",COUNTIF($B$6:$B4493,$B4493))</f>
        <v>9</v>
      </c>
      <c r="E4493" s="361" t="s">
        <v>1695</v>
      </c>
      <c r="F4493" s="362" t="s">
        <v>1696</v>
      </c>
      <c r="G4493" s="327" t="s">
        <v>155</v>
      </c>
      <c r="H4493" s="361"/>
      <c r="I4493" s="361">
        <v>2</v>
      </c>
      <c r="J4493" s="361"/>
      <c r="K4493" s="327"/>
      <c r="L4493" s="389">
        <v>5000</v>
      </c>
      <c r="M4493" s="355"/>
      <c r="N4493" s="355" t="str">
        <f>+$N$1555</f>
        <v>PK</v>
      </c>
      <c r="O4493" s="359"/>
      <c r="P4493" s="361"/>
      <c r="Q4493" s="327"/>
      <c r="R4493" s="351"/>
      <c r="S4493" s="351"/>
      <c r="T4493" s="351"/>
      <c r="U4493" s="329" t="str">
        <f>IF($N4493=$N$4,IFERROR(INDEX(DanhMuc!$E$154:$E$165,MATCH(MID($B4493,4,2),DanhMuc!$B$154:$B$165,0)),""),"")</f>
        <v/>
      </c>
      <c r="V4493" s="361"/>
      <c r="W4493" s="345"/>
      <c r="X4493" s="329" t="str">
        <f t="shared" si="359"/>
        <v>AN</v>
      </c>
      <c r="Y4493" s="1128" t="s">
        <v>3380</v>
      </c>
      <c r="Z4493" s="1128" t="s">
        <v>3381</v>
      </c>
      <c r="AA4493" s="1128" t="s">
        <v>3384</v>
      </c>
      <c r="AB4493" s="20"/>
      <c r="AC4493" s="73"/>
    </row>
    <row r="4494" spans="1:29">
      <c r="A4494" s="327" t="str">
        <f>IF(AND($B4494&lt;&gt;"",$C4494&lt;&gt;""),MAX($A$1556:A4469)+1,"")</f>
        <v/>
      </c>
      <c r="B4494" s="361" t="s">
        <v>2053</v>
      </c>
      <c r="C4494" s="360"/>
      <c r="D4494" s="327">
        <f>IF($B4494="","",COUNTIF($B$6:$B4494,$B4494))</f>
        <v>10</v>
      </c>
      <c r="E4494" s="361" t="s">
        <v>175</v>
      </c>
      <c r="F4494" s="362" t="s">
        <v>176</v>
      </c>
      <c r="G4494" s="327" t="s">
        <v>155</v>
      </c>
      <c r="H4494" s="361"/>
      <c r="I4494" s="361">
        <v>4</v>
      </c>
      <c r="J4494" s="361"/>
      <c r="K4494" s="327"/>
      <c r="L4494" s="389">
        <v>2000</v>
      </c>
      <c r="M4494" s="355"/>
      <c r="N4494" s="355" t="str">
        <f t="shared" si="357"/>
        <v>PK</v>
      </c>
      <c r="O4494" s="359"/>
      <c r="P4494" s="361"/>
      <c r="Q4494" s="327"/>
      <c r="R4494" s="351"/>
      <c r="S4494" s="351"/>
      <c r="T4494" s="351"/>
      <c r="U4494" s="329" t="str">
        <f>IF($N4494=$N$4,IFERROR(INDEX(DanhMuc!$E$154:$E$165,MATCH(MID($B4494,4,2),DanhMuc!$B$154:$B$165,0)),""),"")</f>
        <v/>
      </c>
      <c r="V4494" s="361"/>
      <c r="W4494" s="345"/>
      <c r="X4494" s="329" t="str">
        <f t="shared" si="359"/>
        <v>AN</v>
      </c>
      <c r="Y4494" s="1128" t="s">
        <v>3380</v>
      </c>
      <c r="Z4494" s="1128" t="s">
        <v>3381</v>
      </c>
      <c r="AA4494" s="1128" t="s">
        <v>3384</v>
      </c>
      <c r="AB4494" s="20"/>
      <c r="AC4494" s="73"/>
    </row>
    <row r="4495" spans="1:29">
      <c r="A4495" s="327" t="str">
        <f>IF(AND($B4495&lt;&gt;"",$C4495&lt;&gt;""),MAX($A$1556:A4470)+1,"")</f>
        <v/>
      </c>
      <c r="B4495" s="361" t="s">
        <v>2053</v>
      </c>
      <c r="C4495" s="360"/>
      <c r="D4495" s="327">
        <f>IF($B4495="","",COUNTIF($B$6:$B4495,$B4495))</f>
        <v>11</v>
      </c>
      <c r="E4495" s="361" t="s">
        <v>1730</v>
      </c>
      <c r="F4495" s="362" t="s">
        <v>1731</v>
      </c>
      <c r="G4495" s="327" t="s">
        <v>155</v>
      </c>
      <c r="H4495" s="361"/>
      <c r="I4495" s="361">
        <v>2</v>
      </c>
      <c r="J4495" s="361"/>
      <c r="K4495" s="327"/>
      <c r="L4495" s="389">
        <v>90000</v>
      </c>
      <c r="M4495" s="355"/>
      <c r="N4495" s="355" t="str">
        <f t="shared" si="357"/>
        <v>PK</v>
      </c>
      <c r="O4495" s="359"/>
      <c r="P4495" s="361"/>
      <c r="Q4495" s="327"/>
      <c r="R4495" s="351"/>
      <c r="S4495" s="351"/>
      <c r="T4495" s="351"/>
      <c r="U4495" s="329" t="str">
        <f>IF($N4495=$N$4,IFERROR(INDEX(DanhMuc!$E$154:$E$165,MATCH(MID($B4495,4,2),DanhMuc!$B$154:$B$165,0)),""),"")</f>
        <v/>
      </c>
      <c r="V4495" s="361"/>
      <c r="W4495" s="345"/>
      <c r="X4495" s="329" t="str">
        <f t="shared" si="359"/>
        <v>AN</v>
      </c>
      <c r="Y4495" s="1128" t="s">
        <v>3380</v>
      </c>
      <c r="Z4495" s="1128" t="s">
        <v>3381</v>
      </c>
      <c r="AA4495" s="1128" t="s">
        <v>3384</v>
      </c>
      <c r="AB4495" s="20"/>
      <c r="AC4495" s="73"/>
    </row>
    <row r="4496" spans="1:29" ht="39">
      <c r="A4496" s="327">
        <f>IF(AND($B4496&lt;&gt;"",$C4496&lt;&gt;""),MAX($A$1556:A4471)+1,"")</f>
        <v>204</v>
      </c>
      <c r="B4496" s="359" t="s">
        <v>2054</v>
      </c>
      <c r="C4496" s="360" t="s">
        <v>1754</v>
      </c>
      <c r="D4496" s="327">
        <f>IF($B4496="","",COUNTIF($B$6:$B4496,$B4496))</f>
        <v>1</v>
      </c>
      <c r="E4496" s="361" t="s">
        <v>1792</v>
      </c>
      <c r="F4496" s="362" t="s">
        <v>1793</v>
      </c>
      <c r="G4496" s="327" t="s">
        <v>155</v>
      </c>
      <c r="H4496" s="327"/>
      <c r="I4496" s="327">
        <v>4</v>
      </c>
      <c r="J4496" s="361"/>
      <c r="K4496" s="327"/>
      <c r="L4496" s="389">
        <v>190000</v>
      </c>
      <c r="M4496" s="355"/>
      <c r="N4496" s="355" t="str">
        <f t="shared" si="357"/>
        <v>PK</v>
      </c>
      <c r="O4496" s="345"/>
      <c r="P4496" s="392"/>
      <c r="Q4496" s="327"/>
      <c r="R4496" s="351"/>
      <c r="S4496" s="351"/>
      <c r="T4496" s="351"/>
      <c r="U4496" s="329" t="str">
        <f>IF($N4496=$N$4,IFERROR(INDEX(DanhMuc!$E$154:$E$165,MATCH(MID($B4496,4,2),DanhMuc!$B$154:$B$165,0)),""),"")</f>
        <v/>
      </c>
      <c r="V4496" s="361"/>
      <c r="W4496" s="345"/>
      <c r="X4496" s="329" t="str">
        <f t="shared" si="359"/>
        <v>AN</v>
      </c>
      <c r="Y4496" s="1128" t="s">
        <v>3380</v>
      </c>
      <c r="Z4496" s="1128" t="s">
        <v>3381</v>
      </c>
      <c r="AA4496" s="1128" t="s">
        <v>3384</v>
      </c>
      <c r="AB4496" s="20"/>
      <c r="AC4496" s="73"/>
    </row>
    <row r="4497" spans="1:29">
      <c r="A4497" s="327" t="str">
        <f>IF(AND($B4497&lt;&gt;"",$C4497&lt;&gt;""),MAX($A$1556:A4472)+1,"")</f>
        <v/>
      </c>
      <c r="B4497" s="361" t="s">
        <v>2054</v>
      </c>
      <c r="C4497" s="360"/>
      <c r="D4497" s="327">
        <f>IF($B4497="","",COUNTIF($B$6:$B4497,$B4497))</f>
        <v>2</v>
      </c>
      <c r="E4497" s="361" t="s">
        <v>1761</v>
      </c>
      <c r="F4497" s="362" t="s">
        <v>1762</v>
      </c>
      <c r="G4497" s="327" t="s">
        <v>155</v>
      </c>
      <c r="H4497" s="327"/>
      <c r="I4497" s="327">
        <v>2</v>
      </c>
      <c r="J4497" s="359"/>
      <c r="K4497" s="327"/>
      <c r="L4497" s="389">
        <v>410000</v>
      </c>
      <c r="M4497" s="355"/>
      <c r="N4497" s="355" t="str">
        <f t="shared" si="357"/>
        <v>PK</v>
      </c>
      <c r="O4497" s="345"/>
      <c r="P4497" s="392"/>
      <c r="Q4497" s="327"/>
      <c r="R4497" s="351"/>
      <c r="S4497" s="351"/>
      <c r="T4497" s="351"/>
      <c r="U4497" s="329" t="str">
        <f>IF($N4497=$N$4,IFERROR(INDEX(DanhMuc!$E$154:$E$165,MATCH(MID($B4497,4,2),DanhMuc!$B$154:$B$165,0)),""),"")</f>
        <v/>
      </c>
      <c r="V4497" s="361"/>
      <c r="W4497" s="345"/>
      <c r="X4497" s="329" t="str">
        <f t="shared" si="359"/>
        <v>AN</v>
      </c>
      <c r="Y4497" s="1128" t="s">
        <v>3380</v>
      </c>
      <c r="Z4497" s="1128" t="s">
        <v>3381</v>
      </c>
      <c r="AA4497" s="1128" t="s">
        <v>3384</v>
      </c>
      <c r="AB4497" s="20"/>
      <c r="AC4497" s="73"/>
    </row>
    <row r="4498" spans="1:29">
      <c r="A4498" s="327" t="str">
        <f>IF(AND($B4498&lt;&gt;"",$C4498&lt;&gt;""),MAX($A$1556:A4473)+1,"")</f>
        <v/>
      </c>
      <c r="B4498" s="361" t="s">
        <v>2054</v>
      </c>
      <c r="C4498" s="360"/>
      <c r="D4498" s="327">
        <f>IF($B4498="","",COUNTIF($B$6:$B4498,$B4498))</f>
        <v>3</v>
      </c>
      <c r="E4498" s="361" t="s">
        <v>1763</v>
      </c>
      <c r="F4498" s="362" t="s">
        <v>1764</v>
      </c>
      <c r="G4498" s="327" t="s">
        <v>156</v>
      </c>
      <c r="H4498" s="327"/>
      <c r="I4498" s="327">
        <v>2</v>
      </c>
      <c r="J4498" s="359"/>
      <c r="K4498" s="327"/>
      <c r="L4498" s="389">
        <v>64000</v>
      </c>
      <c r="M4498" s="355"/>
      <c r="N4498" s="355" t="str">
        <f t="shared" si="357"/>
        <v>PK</v>
      </c>
      <c r="O4498" s="345"/>
      <c r="P4498" s="392"/>
      <c r="Q4498" s="327"/>
      <c r="R4498" s="351"/>
      <c r="S4498" s="351"/>
      <c r="T4498" s="351"/>
      <c r="U4498" s="329" t="str">
        <f>IF($N4498=$N$4,IFERROR(INDEX(DanhMuc!$E$154:$E$165,MATCH(MID($B4498,4,2),DanhMuc!$B$154:$B$165,0)),""),"")</f>
        <v/>
      </c>
      <c r="V4498" s="361"/>
      <c r="W4498" s="345"/>
      <c r="X4498" s="329" t="str">
        <f t="shared" si="359"/>
        <v>AN</v>
      </c>
      <c r="Y4498" s="1128" t="s">
        <v>3380</v>
      </c>
      <c r="Z4498" s="1128" t="s">
        <v>3381</v>
      </c>
      <c r="AA4498" s="1128" t="s">
        <v>3384</v>
      </c>
      <c r="AB4498" s="20"/>
      <c r="AC4498" s="73"/>
    </row>
    <row r="4499" spans="1:29">
      <c r="A4499" s="327" t="str">
        <f>IF(AND($B4499&lt;&gt;"",$C4499&lt;&gt;""),MAX($A$1556:A4474)+1,"")</f>
        <v/>
      </c>
      <c r="B4499" s="361" t="s">
        <v>2054</v>
      </c>
      <c r="C4499" s="360"/>
      <c r="D4499" s="327">
        <f>IF($B4499="","",COUNTIF($B$6:$B4499,$B4499))</f>
        <v>4</v>
      </c>
      <c r="E4499" s="361" t="s">
        <v>1765</v>
      </c>
      <c r="F4499" s="362" t="s">
        <v>1064</v>
      </c>
      <c r="G4499" s="327" t="s">
        <v>155</v>
      </c>
      <c r="H4499" s="327"/>
      <c r="I4499" s="327">
        <v>6</v>
      </c>
      <c r="J4499" s="361"/>
      <c r="K4499" s="327"/>
      <c r="L4499" s="389">
        <v>12000</v>
      </c>
      <c r="M4499" s="355"/>
      <c r="N4499" s="355" t="str">
        <f t="shared" si="357"/>
        <v>PK</v>
      </c>
      <c r="O4499" s="345"/>
      <c r="P4499" s="361"/>
      <c r="Q4499" s="327"/>
      <c r="R4499" s="351"/>
      <c r="S4499" s="351"/>
      <c r="T4499" s="351"/>
      <c r="U4499" s="329" t="str">
        <f>IF($N4499=$N$4,IFERROR(INDEX(DanhMuc!$E$154:$E$165,MATCH(MID($B4499,4,2),DanhMuc!$B$154:$B$165,0)),""),"")</f>
        <v/>
      </c>
      <c r="V4499" s="361"/>
      <c r="W4499" s="345"/>
      <c r="X4499" s="329" t="str">
        <f t="shared" si="359"/>
        <v>AN</v>
      </c>
      <c r="Y4499" s="1128" t="s">
        <v>3380</v>
      </c>
      <c r="Z4499" s="1128" t="s">
        <v>3381</v>
      </c>
      <c r="AA4499" s="1128" t="s">
        <v>3384</v>
      </c>
      <c r="AB4499" s="20"/>
      <c r="AC4499" s="73"/>
    </row>
    <row r="4500" spans="1:29">
      <c r="A4500" s="327" t="str">
        <f>IF(AND($B4500&lt;&gt;"",$C4500&lt;&gt;""),MAX($A$1556:A4475)+1,"")</f>
        <v/>
      </c>
      <c r="B4500" s="361" t="s">
        <v>2054</v>
      </c>
      <c r="C4500" s="360"/>
      <c r="D4500" s="327">
        <f>IF($B4500="","",COUNTIF($B$6:$B4500,$B4500))</f>
        <v>5</v>
      </c>
      <c r="E4500" s="361" t="s">
        <v>1766</v>
      </c>
      <c r="F4500" s="362" t="s">
        <v>1767</v>
      </c>
      <c r="G4500" s="327" t="s">
        <v>155</v>
      </c>
      <c r="H4500" s="327"/>
      <c r="I4500" s="327">
        <v>4</v>
      </c>
      <c r="J4500" s="361"/>
      <c r="K4500" s="327"/>
      <c r="L4500" s="389">
        <v>6000</v>
      </c>
      <c r="M4500" s="355"/>
      <c r="N4500" s="355" t="str">
        <f t="shared" si="357"/>
        <v>PK</v>
      </c>
      <c r="O4500" s="345"/>
      <c r="P4500" s="361"/>
      <c r="Q4500" s="327"/>
      <c r="R4500" s="351"/>
      <c r="S4500" s="351"/>
      <c r="T4500" s="351"/>
      <c r="U4500" s="329" t="str">
        <f>IF($N4500=$N$4,IFERROR(INDEX(DanhMuc!$E$154:$E$165,MATCH(MID($B4500,4,2),DanhMuc!$B$154:$B$165,0)),""),"")</f>
        <v/>
      </c>
      <c r="V4500" s="361"/>
      <c r="W4500" s="345"/>
      <c r="X4500" s="329" t="str">
        <f t="shared" si="359"/>
        <v>AN</v>
      </c>
      <c r="Y4500" s="1128" t="s">
        <v>3380</v>
      </c>
      <c r="Z4500" s="1128" t="s">
        <v>3381</v>
      </c>
      <c r="AA4500" s="1128" t="s">
        <v>3384</v>
      </c>
      <c r="AB4500" s="20"/>
      <c r="AC4500" s="73"/>
    </row>
    <row r="4501" spans="1:29">
      <c r="A4501" s="327" t="str">
        <f>IF(AND($B4501&lt;&gt;"",$C4501&lt;&gt;""),MAX($A$1556:A4476)+1,"")</f>
        <v/>
      </c>
      <c r="B4501" s="361" t="s">
        <v>2054</v>
      </c>
      <c r="C4501" s="360"/>
      <c r="D4501" s="327">
        <f>IF($B4501="","",COUNTIF($B$6:$B4501,$B4501))</f>
        <v>6</v>
      </c>
      <c r="E4501" s="361" t="s">
        <v>1768</v>
      </c>
      <c r="F4501" s="362" t="s">
        <v>1769</v>
      </c>
      <c r="G4501" s="327" t="s">
        <v>155</v>
      </c>
      <c r="H4501" s="327"/>
      <c r="I4501" s="327">
        <v>8</v>
      </c>
      <c r="J4501" s="361"/>
      <c r="K4501" s="327"/>
      <c r="L4501" s="389">
        <v>6000</v>
      </c>
      <c r="M4501" s="355"/>
      <c r="N4501" s="355" t="str">
        <f t="shared" si="357"/>
        <v>PK</v>
      </c>
      <c r="O4501" s="345"/>
      <c r="P4501" s="392"/>
      <c r="Q4501" s="327"/>
      <c r="R4501" s="351"/>
      <c r="S4501" s="351"/>
      <c r="T4501" s="351"/>
      <c r="U4501" s="329" t="str">
        <f>IF($N4501=$N$4,IFERROR(INDEX(DanhMuc!$E$154:$E$165,MATCH(MID($B4501,4,2),DanhMuc!$B$154:$B$165,0)),""),"")</f>
        <v/>
      </c>
      <c r="V4501" s="361"/>
      <c r="W4501" s="345"/>
      <c r="X4501" s="329" t="str">
        <f t="shared" si="359"/>
        <v>AN</v>
      </c>
      <c r="Y4501" s="1128" t="s">
        <v>3380</v>
      </c>
      <c r="Z4501" s="1128" t="s">
        <v>3381</v>
      </c>
      <c r="AA4501" s="1128" t="s">
        <v>3384</v>
      </c>
      <c r="AB4501" s="20"/>
      <c r="AC4501" s="73"/>
    </row>
    <row r="4502" spans="1:29">
      <c r="A4502" s="327" t="str">
        <f>IF(AND($B4502&lt;&gt;"",$C4502&lt;&gt;""),MAX($A$1556:A4477)+1,"")</f>
        <v/>
      </c>
      <c r="B4502" s="361" t="s">
        <v>2054</v>
      </c>
      <c r="C4502" s="360"/>
      <c r="D4502" s="327">
        <f>IF($B4502="","",COUNTIF($B$6:$B4502,$B4502))</f>
        <v>7</v>
      </c>
      <c r="E4502" s="361" t="s">
        <v>1770</v>
      </c>
      <c r="F4502" s="362" t="s">
        <v>1773</v>
      </c>
      <c r="G4502" s="327" t="s">
        <v>155</v>
      </c>
      <c r="H4502" s="327"/>
      <c r="I4502" s="327">
        <v>4</v>
      </c>
      <c r="J4502" s="359"/>
      <c r="K4502" s="327"/>
      <c r="L4502" s="389">
        <v>4000</v>
      </c>
      <c r="M4502" s="355"/>
      <c r="N4502" s="355" t="str">
        <f t="shared" si="357"/>
        <v>PK</v>
      </c>
      <c r="O4502" s="345"/>
      <c r="P4502" s="392"/>
      <c r="Q4502" s="327"/>
      <c r="R4502" s="351"/>
      <c r="S4502" s="351"/>
      <c r="T4502" s="351"/>
      <c r="U4502" s="329" t="str">
        <f>IF($N4502=$N$4,IFERROR(INDEX(DanhMuc!$E$154:$E$165,MATCH(MID($B4502,4,2),DanhMuc!$B$154:$B$165,0)),""),"")</f>
        <v/>
      </c>
      <c r="V4502" s="361"/>
      <c r="W4502" s="345"/>
      <c r="X4502" s="329" t="str">
        <f t="shared" si="359"/>
        <v>AN</v>
      </c>
      <c r="Y4502" s="1128" t="s">
        <v>3380</v>
      </c>
      <c r="Z4502" s="1128" t="s">
        <v>3381</v>
      </c>
      <c r="AA4502" s="1128" t="s">
        <v>3384</v>
      </c>
      <c r="AB4502" s="20"/>
      <c r="AC4502" s="73"/>
    </row>
    <row r="4503" spans="1:29" ht="39">
      <c r="A4503" s="327">
        <f>IF(AND($B4503&lt;&gt;"",$C4503&lt;&gt;""),MAX($A$1556:A4478)+1,"")</f>
        <v>204</v>
      </c>
      <c r="B4503" s="359" t="s">
        <v>2208</v>
      </c>
      <c r="C4503" s="360" t="s">
        <v>2207</v>
      </c>
      <c r="D4503" s="327">
        <f>IF($B4503="","",COUNTIF($B$6:$B4503,$B4503))</f>
        <v>1</v>
      </c>
      <c r="E4503" s="361" t="s">
        <v>1792</v>
      </c>
      <c r="F4503" s="362" t="s">
        <v>1793</v>
      </c>
      <c r="G4503" s="327" t="s">
        <v>155</v>
      </c>
      <c r="H4503" s="327"/>
      <c r="I4503" s="327">
        <v>6</v>
      </c>
      <c r="J4503" s="361"/>
      <c r="K4503" s="327"/>
      <c r="L4503" s="389">
        <v>190000</v>
      </c>
      <c r="M4503" s="355"/>
      <c r="N4503" s="355" t="str">
        <f t="shared" si="357"/>
        <v>PK</v>
      </c>
      <c r="O4503" s="345"/>
      <c r="P4503" s="392"/>
      <c r="Q4503" s="327"/>
      <c r="R4503" s="351"/>
      <c r="S4503" s="351"/>
      <c r="T4503" s="351"/>
      <c r="U4503" s="329" t="str">
        <f>IF($N4503=$N$4,IFERROR(INDEX(DanhMuc!$E$154:$E$165,MATCH(MID($B4503,4,2),DanhMuc!$B$154:$B$165,0)),""),"")</f>
        <v/>
      </c>
      <c r="V4503" s="361"/>
      <c r="W4503" s="345"/>
      <c r="X4503" s="329" t="str">
        <f t="shared" si="359"/>
        <v>AN</v>
      </c>
      <c r="Y4503" s="1128" t="s">
        <v>3380</v>
      </c>
      <c r="Z4503" s="1128" t="s">
        <v>3381</v>
      </c>
      <c r="AA4503" s="1128" t="s">
        <v>3384</v>
      </c>
      <c r="AB4503" s="20"/>
      <c r="AC4503" s="73"/>
    </row>
    <row r="4504" spans="1:29">
      <c r="A4504" s="327" t="str">
        <f>IF(AND($B4504&lt;&gt;"",$C4504&lt;&gt;""),MAX($A$1556:A4479)+1,"")</f>
        <v/>
      </c>
      <c r="B4504" s="361" t="s">
        <v>2208</v>
      </c>
      <c r="C4504" s="360"/>
      <c r="D4504" s="327">
        <f>IF($B4504="","",COUNTIF($B$6:$B4504,$B4504))</f>
        <v>2</v>
      </c>
      <c r="E4504" s="361" t="s">
        <v>1761</v>
      </c>
      <c r="F4504" s="362" t="s">
        <v>1762</v>
      </c>
      <c r="G4504" s="327" t="s">
        <v>155</v>
      </c>
      <c r="H4504" s="327"/>
      <c r="I4504" s="327">
        <v>2</v>
      </c>
      <c r="J4504" s="359"/>
      <c r="K4504" s="327"/>
      <c r="L4504" s="389">
        <v>410000</v>
      </c>
      <c r="M4504" s="355"/>
      <c r="N4504" s="355" t="str">
        <f t="shared" si="357"/>
        <v>PK</v>
      </c>
      <c r="O4504" s="345"/>
      <c r="P4504" s="392"/>
      <c r="Q4504" s="327"/>
      <c r="R4504" s="351"/>
      <c r="S4504" s="351"/>
      <c r="T4504" s="351"/>
      <c r="U4504" s="329" t="str">
        <f>IF($N4504=$N$4,IFERROR(INDEX(DanhMuc!$E$154:$E$165,MATCH(MID($B4504,4,2),DanhMuc!$B$154:$B$165,0)),""),"")</f>
        <v/>
      </c>
      <c r="V4504" s="361"/>
      <c r="W4504" s="345"/>
      <c r="X4504" s="329" t="str">
        <f t="shared" si="359"/>
        <v>AN</v>
      </c>
      <c r="Y4504" s="1128" t="s">
        <v>3380</v>
      </c>
      <c r="Z4504" s="1128" t="s">
        <v>3381</v>
      </c>
      <c r="AA4504" s="1128" t="s">
        <v>3384</v>
      </c>
      <c r="AB4504" s="20"/>
      <c r="AC4504" s="73"/>
    </row>
    <row r="4505" spans="1:29">
      <c r="A4505" s="327" t="str">
        <f>IF(AND($B4505&lt;&gt;"",$C4505&lt;&gt;""),MAX($A$1556:A4480)+1,"")</f>
        <v/>
      </c>
      <c r="B4505" s="361" t="s">
        <v>2208</v>
      </c>
      <c r="C4505" s="360"/>
      <c r="D4505" s="327">
        <f>IF($B4505="","",COUNTIF($B$6:$B4505,$B4505))</f>
        <v>3</v>
      </c>
      <c r="E4505" s="361" t="s">
        <v>1763</v>
      </c>
      <c r="F4505" s="362" t="s">
        <v>1764</v>
      </c>
      <c r="G4505" s="327" t="s">
        <v>156</v>
      </c>
      <c r="H4505" s="327"/>
      <c r="I4505" s="327">
        <v>2</v>
      </c>
      <c r="J4505" s="359"/>
      <c r="K4505" s="327"/>
      <c r="L4505" s="389">
        <v>64000</v>
      </c>
      <c r="M4505" s="355"/>
      <c r="N4505" s="355" t="str">
        <f t="shared" si="357"/>
        <v>PK</v>
      </c>
      <c r="O4505" s="345"/>
      <c r="P4505" s="392"/>
      <c r="Q4505" s="327"/>
      <c r="R4505" s="351"/>
      <c r="S4505" s="351"/>
      <c r="T4505" s="351"/>
      <c r="U4505" s="329" t="str">
        <f>IF($N4505=$N$4,IFERROR(INDEX(DanhMuc!$E$154:$E$165,MATCH(MID($B4505,4,2),DanhMuc!$B$154:$B$165,0)),""),"")</f>
        <v/>
      </c>
      <c r="V4505" s="361"/>
      <c r="W4505" s="345"/>
      <c r="X4505" s="329" t="str">
        <f t="shared" si="359"/>
        <v>AN</v>
      </c>
      <c r="Y4505" s="1128" t="s">
        <v>3380</v>
      </c>
      <c r="Z4505" s="1128" t="s">
        <v>3381</v>
      </c>
      <c r="AA4505" s="1128" t="s">
        <v>3384</v>
      </c>
      <c r="AB4505" s="20"/>
      <c r="AC4505" s="73"/>
    </row>
    <row r="4506" spans="1:29">
      <c r="A4506" s="327" t="str">
        <f>IF(AND($B4506&lt;&gt;"",$C4506&lt;&gt;""),MAX($A$1556:A4481)+1,"")</f>
        <v/>
      </c>
      <c r="B4506" s="361" t="s">
        <v>2208</v>
      </c>
      <c r="C4506" s="360"/>
      <c r="D4506" s="327">
        <f>IF($B4506="","",COUNTIF($B$6:$B4506,$B4506))</f>
        <v>4</v>
      </c>
      <c r="E4506" s="361" t="s">
        <v>1765</v>
      </c>
      <c r="F4506" s="362" t="s">
        <v>1064</v>
      </c>
      <c r="G4506" s="327" t="s">
        <v>155</v>
      </c>
      <c r="H4506" s="327"/>
      <c r="I4506" s="327">
        <v>6</v>
      </c>
      <c r="J4506" s="361"/>
      <c r="K4506" s="327"/>
      <c r="L4506" s="389">
        <v>12000</v>
      </c>
      <c r="M4506" s="355"/>
      <c r="N4506" s="355" t="str">
        <f t="shared" si="357"/>
        <v>PK</v>
      </c>
      <c r="O4506" s="345"/>
      <c r="P4506" s="361"/>
      <c r="Q4506" s="327"/>
      <c r="R4506" s="351"/>
      <c r="S4506" s="351"/>
      <c r="T4506" s="351"/>
      <c r="U4506" s="329" t="str">
        <f>IF($N4506=$N$4,IFERROR(INDEX(DanhMuc!$E$154:$E$165,MATCH(MID($B4506,4,2),DanhMuc!$B$154:$B$165,0)),""),"")</f>
        <v/>
      </c>
      <c r="V4506" s="361"/>
      <c r="W4506" s="345"/>
      <c r="X4506" s="329" t="str">
        <f t="shared" si="359"/>
        <v>AN</v>
      </c>
      <c r="Y4506" s="1128" t="s">
        <v>3380</v>
      </c>
      <c r="Z4506" s="1128" t="s">
        <v>3381</v>
      </c>
      <c r="AA4506" s="1128" t="s">
        <v>3384</v>
      </c>
      <c r="AB4506" s="20"/>
      <c r="AC4506" s="73"/>
    </row>
    <row r="4507" spans="1:29">
      <c r="A4507" s="327" t="str">
        <f>IF(AND($B4507&lt;&gt;"",$C4507&lt;&gt;""),MAX($A$1556:A4482)+1,"")</f>
        <v/>
      </c>
      <c r="B4507" s="361" t="s">
        <v>2208</v>
      </c>
      <c r="C4507" s="360"/>
      <c r="D4507" s="327">
        <f>IF($B4507="","",COUNTIF($B$6:$B4507,$B4507))</f>
        <v>5</v>
      </c>
      <c r="E4507" s="361" t="s">
        <v>1766</v>
      </c>
      <c r="F4507" s="362" t="s">
        <v>1767</v>
      </c>
      <c r="G4507" s="327" t="s">
        <v>155</v>
      </c>
      <c r="H4507" s="327"/>
      <c r="I4507" s="327">
        <v>6</v>
      </c>
      <c r="J4507" s="361"/>
      <c r="K4507" s="327"/>
      <c r="L4507" s="389">
        <v>6000</v>
      </c>
      <c r="M4507" s="355"/>
      <c r="N4507" s="355" t="str">
        <f t="shared" si="357"/>
        <v>PK</v>
      </c>
      <c r="O4507" s="345"/>
      <c r="P4507" s="361"/>
      <c r="Q4507" s="327"/>
      <c r="R4507" s="351"/>
      <c r="S4507" s="351"/>
      <c r="T4507" s="351"/>
      <c r="U4507" s="329" t="str">
        <f>IF($N4507=$N$4,IFERROR(INDEX(DanhMuc!$E$154:$E$165,MATCH(MID($B4507,4,2),DanhMuc!$B$154:$B$165,0)),""),"")</f>
        <v/>
      </c>
      <c r="V4507" s="361"/>
      <c r="W4507" s="345"/>
      <c r="X4507" s="329" t="str">
        <f t="shared" si="359"/>
        <v>AN</v>
      </c>
      <c r="Y4507" s="1128" t="s">
        <v>3380</v>
      </c>
      <c r="Z4507" s="1128" t="s">
        <v>3381</v>
      </c>
      <c r="AA4507" s="1128" t="s">
        <v>3384</v>
      </c>
      <c r="AB4507" s="20"/>
      <c r="AC4507" s="73"/>
    </row>
    <row r="4508" spans="1:29">
      <c r="A4508" s="327" t="str">
        <f>IF(AND($B4508&lt;&gt;"",$C4508&lt;&gt;""),MAX($A$1556:A4483)+1,"")</f>
        <v/>
      </c>
      <c r="B4508" s="361" t="s">
        <v>2208</v>
      </c>
      <c r="C4508" s="360"/>
      <c r="D4508" s="327">
        <f>IF($B4508="","",COUNTIF($B$6:$B4508,$B4508))</f>
        <v>6</v>
      </c>
      <c r="E4508" s="361" t="s">
        <v>1768</v>
      </c>
      <c r="F4508" s="362" t="s">
        <v>1769</v>
      </c>
      <c r="G4508" s="327" t="s">
        <v>155</v>
      </c>
      <c r="H4508" s="327"/>
      <c r="I4508" s="327">
        <v>12</v>
      </c>
      <c r="J4508" s="361"/>
      <c r="K4508" s="327"/>
      <c r="L4508" s="389">
        <v>6000</v>
      </c>
      <c r="M4508" s="355"/>
      <c r="N4508" s="355" t="str">
        <f t="shared" si="357"/>
        <v>PK</v>
      </c>
      <c r="O4508" s="345"/>
      <c r="P4508" s="392"/>
      <c r="Q4508" s="327"/>
      <c r="R4508" s="351"/>
      <c r="S4508" s="351"/>
      <c r="T4508" s="351"/>
      <c r="U4508" s="329" t="str">
        <f>IF($N4508=$N$4,IFERROR(INDEX(DanhMuc!$E$154:$E$165,MATCH(MID($B4508,4,2),DanhMuc!$B$154:$B$165,0)),""),"")</f>
        <v/>
      </c>
      <c r="V4508" s="361"/>
      <c r="W4508" s="345"/>
      <c r="X4508" s="329" t="str">
        <f t="shared" si="359"/>
        <v>AN</v>
      </c>
      <c r="Y4508" s="1128" t="s">
        <v>3380</v>
      </c>
      <c r="Z4508" s="1128" t="s">
        <v>3381</v>
      </c>
      <c r="AA4508" s="1128" t="s">
        <v>3384</v>
      </c>
      <c r="AB4508" s="20"/>
      <c r="AC4508" s="73"/>
    </row>
    <row r="4509" spans="1:29">
      <c r="A4509" s="327" t="str">
        <f>IF(AND($B4509&lt;&gt;"",$C4509&lt;&gt;""),MAX($A$1556:A4484)+1,"")</f>
        <v/>
      </c>
      <c r="B4509" s="361" t="s">
        <v>2208</v>
      </c>
      <c r="C4509" s="360"/>
      <c r="D4509" s="327">
        <f>IF($B4509="","",COUNTIF($B$6:$B4509,$B4509))</f>
        <v>7</v>
      </c>
      <c r="E4509" s="361" t="s">
        <v>1770</v>
      </c>
      <c r="F4509" s="362" t="s">
        <v>1774</v>
      </c>
      <c r="G4509" s="327" t="s">
        <v>155</v>
      </c>
      <c r="H4509" s="327"/>
      <c r="I4509" s="327">
        <v>6</v>
      </c>
      <c r="J4509" s="359"/>
      <c r="K4509" s="327"/>
      <c r="L4509" s="389">
        <v>4000</v>
      </c>
      <c r="M4509" s="355"/>
      <c r="N4509" s="355" t="str">
        <f t="shared" si="357"/>
        <v>PK</v>
      </c>
      <c r="O4509" s="345"/>
      <c r="P4509" s="392"/>
      <c r="Q4509" s="327"/>
      <c r="R4509" s="351"/>
      <c r="S4509" s="351"/>
      <c r="T4509" s="351"/>
      <c r="U4509" s="329" t="str">
        <f>IF($N4509=$N$4,IFERROR(INDEX(DanhMuc!$E$154:$E$165,MATCH(MID($B4509,4,2),DanhMuc!$B$154:$B$165,0)),""),"")</f>
        <v/>
      </c>
      <c r="V4509" s="361"/>
      <c r="W4509" s="345"/>
      <c r="X4509" s="329" t="str">
        <f t="shared" si="359"/>
        <v>AN</v>
      </c>
      <c r="Y4509" s="1128" t="s">
        <v>3380</v>
      </c>
      <c r="Z4509" s="1128" t="s">
        <v>3381</v>
      </c>
      <c r="AA4509" s="1128" t="s">
        <v>3384</v>
      </c>
      <c r="AB4509" s="20"/>
      <c r="AC4509" s="73"/>
    </row>
    <row r="4510" spans="1:29" ht="39">
      <c r="A4510" s="327">
        <f>IF(AND($B4510&lt;&gt;"",$C4510&lt;&gt;""),MAX($A$1556:A4485)+1,"")</f>
        <v>205</v>
      </c>
      <c r="B4510" s="359" t="s">
        <v>2055</v>
      </c>
      <c r="C4510" s="360" t="s">
        <v>1756</v>
      </c>
      <c r="D4510" s="327">
        <f>IF($B4510="","",COUNTIF($B$6:$B4510,$B4510))</f>
        <v>1</v>
      </c>
      <c r="E4510" s="361" t="s">
        <v>1792</v>
      </c>
      <c r="F4510" s="362" t="s">
        <v>1793</v>
      </c>
      <c r="G4510" s="327" t="s">
        <v>155</v>
      </c>
      <c r="H4510" s="327"/>
      <c r="I4510" s="327">
        <v>8</v>
      </c>
      <c r="J4510" s="361"/>
      <c r="K4510" s="327"/>
      <c r="L4510" s="389">
        <v>190000</v>
      </c>
      <c r="M4510" s="355"/>
      <c r="N4510" s="355" t="str">
        <f t="shared" si="357"/>
        <v>PK</v>
      </c>
      <c r="O4510" s="345"/>
      <c r="P4510" s="392"/>
      <c r="Q4510" s="327"/>
      <c r="R4510" s="351"/>
      <c r="S4510" s="351"/>
      <c r="T4510" s="351"/>
      <c r="U4510" s="329" t="str">
        <f>IF($N4510=$N$4,IFERROR(INDEX(DanhMuc!$E$154:$E$165,MATCH(MID($B4510,4,2),DanhMuc!$B$154:$B$165,0)),""),"")</f>
        <v/>
      </c>
      <c r="V4510" s="361"/>
      <c r="W4510" s="345"/>
      <c r="X4510" s="329" t="str">
        <f t="shared" si="359"/>
        <v>AN</v>
      </c>
      <c r="Y4510" s="1128" t="s">
        <v>3380</v>
      </c>
      <c r="Z4510" s="1128" t="s">
        <v>3381</v>
      </c>
      <c r="AA4510" s="1128" t="s">
        <v>3384</v>
      </c>
      <c r="AB4510" s="20"/>
      <c r="AC4510" s="73"/>
    </row>
    <row r="4511" spans="1:29">
      <c r="A4511" s="327" t="str">
        <f>IF(AND($B4511&lt;&gt;"",$C4511&lt;&gt;""),MAX($A$1556:A4486)+1,"")</f>
        <v/>
      </c>
      <c r="B4511" s="361" t="s">
        <v>2055</v>
      </c>
      <c r="C4511" s="360"/>
      <c r="D4511" s="327">
        <f>IF($B4511="","",COUNTIF($B$6:$B4511,$B4511))</f>
        <v>2</v>
      </c>
      <c r="E4511" s="361" t="s">
        <v>1761</v>
      </c>
      <c r="F4511" s="362" t="s">
        <v>1762</v>
      </c>
      <c r="G4511" s="327" t="s">
        <v>155</v>
      </c>
      <c r="H4511" s="327"/>
      <c r="I4511" s="327">
        <v>3</v>
      </c>
      <c r="J4511" s="359"/>
      <c r="K4511" s="327"/>
      <c r="L4511" s="389">
        <v>410000</v>
      </c>
      <c r="M4511" s="355"/>
      <c r="N4511" s="355" t="str">
        <f t="shared" si="357"/>
        <v>PK</v>
      </c>
      <c r="O4511" s="345"/>
      <c r="P4511" s="392"/>
      <c r="Q4511" s="327"/>
      <c r="R4511" s="351"/>
      <c r="S4511" s="351"/>
      <c r="T4511" s="351"/>
      <c r="U4511" s="329" t="str">
        <f>IF($N4511=$N$4,IFERROR(INDEX(DanhMuc!$E$154:$E$165,MATCH(MID($B4511,4,2),DanhMuc!$B$154:$B$165,0)),""),"")</f>
        <v/>
      </c>
      <c r="V4511" s="361"/>
      <c r="W4511" s="345"/>
      <c r="X4511" s="329" t="str">
        <f t="shared" si="359"/>
        <v>AN</v>
      </c>
      <c r="Y4511" s="1128" t="s">
        <v>3380</v>
      </c>
      <c r="Z4511" s="1128" t="s">
        <v>3381</v>
      </c>
      <c r="AA4511" s="1128" t="s">
        <v>3384</v>
      </c>
      <c r="AB4511" s="20"/>
      <c r="AC4511" s="73"/>
    </row>
    <row r="4512" spans="1:29">
      <c r="A4512" s="327" t="str">
        <f>IF(AND($B4512&lt;&gt;"",$C4512&lt;&gt;""),MAX($A$1556:A4487)+1,"")</f>
        <v/>
      </c>
      <c r="B4512" s="361" t="s">
        <v>2055</v>
      </c>
      <c r="C4512" s="360"/>
      <c r="D4512" s="327">
        <f>IF($B4512="","",COUNTIF($B$6:$B4512,$B4512))</f>
        <v>3</v>
      </c>
      <c r="E4512" s="361" t="s">
        <v>1763</v>
      </c>
      <c r="F4512" s="362" t="s">
        <v>1764</v>
      </c>
      <c r="G4512" s="327" t="s">
        <v>156</v>
      </c>
      <c r="H4512" s="327"/>
      <c r="I4512" s="327">
        <v>3</v>
      </c>
      <c r="J4512" s="359"/>
      <c r="K4512" s="327"/>
      <c r="L4512" s="389">
        <v>64000</v>
      </c>
      <c r="M4512" s="355"/>
      <c r="N4512" s="355" t="str">
        <f t="shared" si="357"/>
        <v>PK</v>
      </c>
      <c r="O4512" s="345"/>
      <c r="P4512" s="392"/>
      <c r="Q4512" s="327"/>
      <c r="R4512" s="351"/>
      <c r="S4512" s="351"/>
      <c r="T4512" s="351"/>
      <c r="U4512" s="329" t="str">
        <f>IF($N4512=$N$4,IFERROR(INDEX(DanhMuc!$E$154:$E$165,MATCH(MID($B4512,4,2),DanhMuc!$B$154:$B$165,0)),""),"")</f>
        <v/>
      </c>
      <c r="V4512" s="361"/>
      <c r="W4512" s="345"/>
      <c r="X4512" s="329" t="str">
        <f t="shared" si="359"/>
        <v>AN</v>
      </c>
      <c r="Y4512" s="1128" t="s">
        <v>3380</v>
      </c>
      <c r="Z4512" s="1128" t="s">
        <v>3381</v>
      </c>
      <c r="AA4512" s="1128" t="s">
        <v>3384</v>
      </c>
      <c r="AB4512" s="20"/>
      <c r="AC4512" s="73"/>
    </row>
    <row r="4513" spans="1:29">
      <c r="A4513" s="327" t="str">
        <f>IF(AND($B4513&lt;&gt;"",$C4513&lt;&gt;""),MAX($A$1556:A4488)+1,"")</f>
        <v/>
      </c>
      <c r="B4513" s="361" t="s">
        <v>2055</v>
      </c>
      <c r="C4513" s="360"/>
      <c r="D4513" s="327">
        <f>IF($B4513="","",COUNTIF($B$6:$B4513,$B4513))</f>
        <v>4</v>
      </c>
      <c r="E4513" s="361" t="s">
        <v>1765</v>
      </c>
      <c r="F4513" s="362" t="s">
        <v>1064</v>
      </c>
      <c r="G4513" s="327" t="s">
        <v>155</v>
      </c>
      <c r="H4513" s="327"/>
      <c r="I4513" s="327">
        <v>9</v>
      </c>
      <c r="J4513" s="361"/>
      <c r="K4513" s="327"/>
      <c r="L4513" s="389">
        <v>12000</v>
      </c>
      <c r="M4513" s="355"/>
      <c r="N4513" s="355" t="str">
        <f t="shared" si="357"/>
        <v>PK</v>
      </c>
      <c r="O4513" s="345"/>
      <c r="P4513" s="361"/>
      <c r="Q4513" s="327"/>
      <c r="R4513" s="351"/>
      <c r="S4513" s="351"/>
      <c r="T4513" s="351"/>
      <c r="U4513" s="329" t="str">
        <f>IF($N4513=$N$4,IFERROR(INDEX(DanhMuc!$E$154:$E$165,MATCH(MID($B4513,4,2),DanhMuc!$B$154:$B$165,0)),""),"")</f>
        <v/>
      </c>
      <c r="V4513" s="361"/>
      <c r="W4513" s="345"/>
      <c r="X4513" s="329" t="str">
        <f t="shared" si="359"/>
        <v>AN</v>
      </c>
      <c r="Y4513" s="1128" t="s">
        <v>3380</v>
      </c>
      <c r="Z4513" s="1128" t="s">
        <v>3381</v>
      </c>
      <c r="AA4513" s="1128" t="s">
        <v>3384</v>
      </c>
      <c r="AB4513" s="20"/>
      <c r="AC4513" s="73"/>
    </row>
    <row r="4514" spans="1:29">
      <c r="A4514" s="327" t="str">
        <f>IF(AND($B4514&lt;&gt;"",$C4514&lt;&gt;""),MAX($A$1556:A4489)+1,"")</f>
        <v/>
      </c>
      <c r="B4514" s="361" t="s">
        <v>2055</v>
      </c>
      <c r="C4514" s="360"/>
      <c r="D4514" s="327">
        <f>IF($B4514="","",COUNTIF($B$6:$B4514,$B4514))</f>
        <v>5</v>
      </c>
      <c r="E4514" s="361" t="s">
        <v>1766</v>
      </c>
      <c r="F4514" s="362" t="s">
        <v>1767</v>
      </c>
      <c r="G4514" s="327" t="s">
        <v>155</v>
      </c>
      <c r="H4514" s="327"/>
      <c r="I4514" s="327">
        <v>8</v>
      </c>
      <c r="J4514" s="361"/>
      <c r="K4514" s="327"/>
      <c r="L4514" s="389">
        <v>6000</v>
      </c>
      <c r="M4514" s="355"/>
      <c r="N4514" s="355" t="str">
        <f t="shared" si="357"/>
        <v>PK</v>
      </c>
      <c r="O4514" s="345"/>
      <c r="P4514" s="361"/>
      <c r="Q4514" s="327"/>
      <c r="R4514" s="351"/>
      <c r="S4514" s="351"/>
      <c r="T4514" s="351"/>
      <c r="U4514" s="329" t="str">
        <f>IF($N4514=$N$4,IFERROR(INDEX(DanhMuc!$E$154:$E$165,MATCH(MID($B4514,4,2),DanhMuc!$B$154:$B$165,0)),""),"")</f>
        <v/>
      </c>
      <c r="V4514" s="361"/>
      <c r="W4514" s="345"/>
      <c r="X4514" s="329" t="str">
        <f t="shared" si="359"/>
        <v>AN</v>
      </c>
      <c r="Y4514" s="1128" t="s">
        <v>3380</v>
      </c>
      <c r="Z4514" s="1128" t="s">
        <v>3381</v>
      </c>
      <c r="AA4514" s="1128" t="s">
        <v>3384</v>
      </c>
      <c r="AB4514" s="20"/>
      <c r="AC4514" s="73"/>
    </row>
    <row r="4515" spans="1:29">
      <c r="A4515" s="327" t="str">
        <f>IF(AND($B4515&lt;&gt;"",$C4515&lt;&gt;""),MAX($A$1556:A4490)+1,"")</f>
        <v/>
      </c>
      <c r="B4515" s="361" t="s">
        <v>2055</v>
      </c>
      <c r="C4515" s="360"/>
      <c r="D4515" s="327">
        <f>IF($B4515="","",COUNTIF($B$6:$B4515,$B4515))</f>
        <v>6</v>
      </c>
      <c r="E4515" s="361" t="s">
        <v>1768</v>
      </c>
      <c r="F4515" s="362" t="s">
        <v>1769</v>
      </c>
      <c r="G4515" s="327" t="s">
        <v>155</v>
      </c>
      <c r="H4515" s="327"/>
      <c r="I4515" s="327">
        <v>16</v>
      </c>
      <c r="J4515" s="361"/>
      <c r="K4515" s="327"/>
      <c r="L4515" s="389">
        <v>6000</v>
      </c>
      <c r="M4515" s="355"/>
      <c r="N4515" s="355" t="str">
        <f t="shared" si="357"/>
        <v>PK</v>
      </c>
      <c r="O4515" s="345"/>
      <c r="P4515" s="392"/>
      <c r="Q4515" s="327"/>
      <c r="R4515" s="351"/>
      <c r="S4515" s="351"/>
      <c r="T4515" s="351"/>
      <c r="U4515" s="329" t="str">
        <f>IF($N4515=$N$4,IFERROR(INDEX(DanhMuc!$E$154:$E$165,MATCH(MID($B4515,4,2),DanhMuc!$B$154:$B$165,0)),""),"")</f>
        <v/>
      </c>
      <c r="V4515" s="361"/>
      <c r="W4515" s="345"/>
      <c r="X4515" s="329" t="str">
        <f t="shared" si="359"/>
        <v>AN</v>
      </c>
      <c r="Y4515" s="1128" t="s">
        <v>3380</v>
      </c>
      <c r="Z4515" s="1128" t="s">
        <v>3381</v>
      </c>
      <c r="AA4515" s="1128" t="s">
        <v>3384</v>
      </c>
      <c r="AB4515" s="20"/>
      <c r="AC4515" s="73"/>
    </row>
    <row r="4516" spans="1:29">
      <c r="A4516" s="327" t="str">
        <f>IF(AND($B4516&lt;&gt;"",$C4516&lt;&gt;""),MAX($A$1556:A4491)+1,"")</f>
        <v/>
      </c>
      <c r="B4516" s="361" t="s">
        <v>2055</v>
      </c>
      <c r="C4516" s="360"/>
      <c r="D4516" s="327">
        <f>IF($B4516="","",COUNTIF($B$6:$B4516,$B4516))</f>
        <v>7</v>
      </c>
      <c r="E4516" s="361" t="s">
        <v>1770</v>
      </c>
      <c r="F4516" s="362" t="s">
        <v>1774</v>
      </c>
      <c r="G4516" s="327" t="s">
        <v>155</v>
      </c>
      <c r="H4516" s="327"/>
      <c r="I4516" s="327">
        <v>8</v>
      </c>
      <c r="J4516" s="359"/>
      <c r="K4516" s="327"/>
      <c r="L4516" s="389">
        <v>4000</v>
      </c>
      <c r="M4516" s="355"/>
      <c r="N4516" s="355" t="str">
        <f t="shared" si="357"/>
        <v>PK</v>
      </c>
      <c r="O4516" s="345"/>
      <c r="P4516" s="392"/>
      <c r="Q4516" s="327"/>
      <c r="R4516" s="351"/>
      <c r="S4516" s="351"/>
      <c r="T4516" s="351"/>
      <c r="U4516" s="329" t="str">
        <f>IF($N4516=$N$4,IFERROR(INDEX(DanhMuc!$E$154:$E$165,MATCH(MID($B4516,4,2),DanhMuc!$B$154:$B$165,0)),""),"")</f>
        <v/>
      </c>
      <c r="V4516" s="361"/>
      <c r="W4516" s="345"/>
      <c r="X4516" s="329" t="str">
        <f t="shared" si="359"/>
        <v>AN</v>
      </c>
      <c r="Y4516" s="1128" t="s">
        <v>3380</v>
      </c>
      <c r="Z4516" s="1128" t="s">
        <v>3381</v>
      </c>
      <c r="AA4516" s="1128" t="s">
        <v>3384</v>
      </c>
      <c r="AB4516" s="20"/>
      <c r="AC4516" s="73"/>
    </row>
    <row r="4517" spans="1:29">
      <c r="A4517" s="327" t="str">
        <f>IF(AND($B4517&lt;&gt;"",$C4517&lt;&gt;""),MAX($A$1556:A4492)+1,"")</f>
        <v/>
      </c>
      <c r="B4517" s="361"/>
      <c r="C4517" s="360"/>
      <c r="D4517" s="327" t="str">
        <f>IF($B4517="","",COUNTIF($B$6:$B4517,$B4517))</f>
        <v/>
      </c>
      <c r="E4517" s="361"/>
      <c r="F4517" s="362"/>
      <c r="G4517" s="327"/>
      <c r="H4517" s="361"/>
      <c r="I4517" s="327"/>
      <c r="J4517" s="361"/>
      <c r="K4517" s="327"/>
      <c r="L4517" s="389"/>
      <c r="M4517" s="355"/>
      <c r="N4517" s="355" t="str">
        <f t="shared" si="357"/>
        <v>PK</v>
      </c>
      <c r="O4517" s="359"/>
      <c r="P4517" s="361"/>
      <c r="Q4517" s="327"/>
      <c r="R4517" s="351"/>
      <c r="S4517" s="351"/>
      <c r="T4517" s="351"/>
      <c r="U4517" s="329" t="str">
        <f>IF($N4517=$N$4,IFERROR(INDEX(DanhMuc!$E$154:$E$165,MATCH(MID($B4517,4,2),DanhMuc!$B$154:$B$165,0)),""),"")</f>
        <v/>
      </c>
      <c r="V4517" s="361"/>
      <c r="W4517" s="345"/>
      <c r="X4517" s="329" t="str">
        <f t="shared" si="359"/>
        <v/>
      </c>
      <c r="Y4517" s="1128" t="s">
        <v>3380</v>
      </c>
      <c r="Z4517" s="1128" t="s">
        <v>3381</v>
      </c>
      <c r="AA4517" s="1128" t="s">
        <v>3384</v>
      </c>
      <c r="AB4517" s="20"/>
      <c r="AC4517" s="73"/>
    </row>
    <row r="4518" spans="1:29">
      <c r="A4518" s="327" t="str">
        <f>IF(AND($B4518&lt;&gt;"",$C4518&lt;&gt;""),MAX($A$1556:A4493)+1,"")</f>
        <v/>
      </c>
      <c r="B4518" s="361"/>
      <c r="C4518" s="360"/>
      <c r="D4518" s="327" t="str">
        <f>IF($B4518="","",COUNTIF($B$6:$B4518,$B4518))</f>
        <v/>
      </c>
      <c r="E4518" s="361"/>
      <c r="F4518" s="362"/>
      <c r="G4518" s="327"/>
      <c r="H4518" s="361"/>
      <c r="I4518" s="327"/>
      <c r="J4518" s="361"/>
      <c r="K4518" s="327"/>
      <c r="L4518" s="389"/>
      <c r="M4518" s="355"/>
      <c r="N4518" s="355" t="str">
        <f t="shared" si="357"/>
        <v>PK</v>
      </c>
      <c r="O4518" s="359"/>
      <c r="P4518" s="361"/>
      <c r="Q4518" s="327"/>
      <c r="R4518" s="351"/>
      <c r="S4518" s="351"/>
      <c r="T4518" s="351"/>
      <c r="U4518" s="329" t="str">
        <f>IF($N4518=$N$4,IFERROR(INDEX(DanhMuc!$E$154:$E$165,MATCH(MID($B4518,4,2),DanhMuc!$B$154:$B$165,0)),""),"")</f>
        <v/>
      </c>
      <c r="V4518" s="361"/>
      <c r="W4518" s="345"/>
      <c r="X4518" s="329" t="str">
        <f t="shared" si="359"/>
        <v/>
      </c>
      <c r="Y4518" s="1128" t="s">
        <v>3380</v>
      </c>
      <c r="Z4518" s="1128" t="s">
        <v>3381</v>
      </c>
      <c r="AA4518" s="1128" t="s">
        <v>3384</v>
      </c>
      <c r="AB4518" s="20"/>
      <c r="AC4518" s="73"/>
    </row>
    <row r="4519" spans="1:29">
      <c r="A4519" s="327" t="str">
        <f>IF(AND($B4519&lt;&gt;"",$C4519&lt;&gt;""),MAX($A$1556:A4494)+1,"")</f>
        <v/>
      </c>
      <c r="B4519" s="361"/>
      <c r="C4519" s="360"/>
      <c r="D4519" s="327" t="str">
        <f>IF($B4519="","",COUNTIF($B$6:$B4519,$B4519))</f>
        <v/>
      </c>
      <c r="E4519" s="361"/>
      <c r="F4519" s="362"/>
      <c r="G4519" s="327"/>
      <c r="H4519" s="361"/>
      <c r="I4519" s="327"/>
      <c r="J4519" s="361"/>
      <c r="K4519" s="327"/>
      <c r="L4519" s="389"/>
      <c r="M4519" s="355"/>
      <c r="N4519" s="355" t="str">
        <f t="shared" si="357"/>
        <v>PK</v>
      </c>
      <c r="O4519" s="359"/>
      <c r="P4519" s="361"/>
      <c r="Q4519" s="327"/>
      <c r="R4519" s="351"/>
      <c r="S4519" s="351"/>
      <c r="T4519" s="351"/>
      <c r="U4519" s="329" t="str">
        <f>IF($N4519=$N$4,IFERROR(INDEX(DanhMuc!$E$154:$E$165,MATCH(MID($B4519,4,2),DanhMuc!$B$154:$B$165,0)),""),"")</f>
        <v/>
      </c>
      <c r="V4519" s="361"/>
      <c r="W4519" s="345"/>
      <c r="X4519" s="329" t="str">
        <f t="shared" si="359"/>
        <v/>
      </c>
      <c r="Y4519" s="1128" t="s">
        <v>3380</v>
      </c>
      <c r="Z4519" s="1128" t="s">
        <v>3381</v>
      </c>
      <c r="AA4519" s="1128" t="s">
        <v>3384</v>
      </c>
      <c r="AB4519" s="20"/>
      <c r="AC4519" s="73"/>
    </row>
    <row r="4520" spans="1:29">
      <c r="A4520" s="327" t="str">
        <f>IF(AND($B4520&lt;&gt;"",$C4520&lt;&gt;""),MAX($A$1556:A4495)+1,"")</f>
        <v/>
      </c>
      <c r="B4520" s="361"/>
      <c r="C4520" s="360"/>
      <c r="D4520" s="327" t="str">
        <f>IF($B4520="","",COUNTIF($B$6:$B4520,$B4520))</f>
        <v/>
      </c>
      <c r="E4520" s="361"/>
      <c r="F4520" s="362"/>
      <c r="G4520" s="327"/>
      <c r="H4520" s="361"/>
      <c r="I4520" s="327"/>
      <c r="J4520" s="361"/>
      <c r="K4520" s="327"/>
      <c r="L4520" s="389"/>
      <c r="M4520" s="355"/>
      <c r="N4520" s="355" t="str">
        <f t="shared" si="357"/>
        <v>PK</v>
      </c>
      <c r="O4520" s="359"/>
      <c r="P4520" s="361"/>
      <c r="Q4520" s="327"/>
      <c r="R4520" s="351"/>
      <c r="S4520" s="351"/>
      <c r="T4520" s="351"/>
      <c r="U4520" s="329" t="str">
        <f>IF($N4520=$N$4,IFERROR(INDEX(DanhMuc!$E$154:$E$165,MATCH(MID($B4520,4,2),DanhMuc!$B$154:$B$165,0)),""),"")</f>
        <v/>
      </c>
      <c r="V4520" s="361"/>
      <c r="W4520" s="345"/>
      <c r="X4520" s="329" t="str">
        <f t="shared" si="359"/>
        <v/>
      </c>
      <c r="Y4520" s="1128" t="s">
        <v>3380</v>
      </c>
      <c r="Z4520" s="1128" t="s">
        <v>3381</v>
      </c>
      <c r="AA4520" s="1128" t="s">
        <v>3384</v>
      </c>
      <c r="AB4520" s="20"/>
      <c r="AC4520" s="73"/>
    </row>
    <row r="4521" spans="1:29">
      <c r="A4521" s="327" t="str">
        <f>IF(AND($B4521&lt;&gt;"",$C4521&lt;&gt;""),MAX($A$1556:A4496)+1,"")</f>
        <v/>
      </c>
      <c r="B4521" s="361"/>
      <c r="C4521" s="360"/>
      <c r="D4521" s="327" t="str">
        <f>IF($B4521="","",COUNTIF($B$6:$B4521,$B4521))</f>
        <v/>
      </c>
      <c r="E4521" s="361"/>
      <c r="F4521" s="362"/>
      <c r="G4521" s="327"/>
      <c r="H4521" s="361"/>
      <c r="I4521" s="327"/>
      <c r="J4521" s="361"/>
      <c r="K4521" s="327"/>
      <c r="L4521" s="389"/>
      <c r="M4521" s="355"/>
      <c r="N4521" s="355" t="str">
        <f t="shared" si="357"/>
        <v>PK</v>
      </c>
      <c r="O4521" s="359"/>
      <c r="P4521" s="361"/>
      <c r="Q4521" s="327"/>
      <c r="R4521" s="351"/>
      <c r="S4521" s="351"/>
      <c r="T4521" s="351"/>
      <c r="U4521" s="329" t="str">
        <f>IF($N4521=$N$4,IFERROR(INDEX(DanhMuc!$E$154:$E$165,MATCH(MID($B4521,4,2),DanhMuc!$B$154:$B$165,0)),""),"")</f>
        <v/>
      </c>
      <c r="V4521" s="361"/>
      <c r="W4521" s="345"/>
      <c r="X4521" s="329" t="str">
        <f t="shared" si="359"/>
        <v/>
      </c>
      <c r="Y4521" s="1128" t="s">
        <v>3380</v>
      </c>
      <c r="Z4521" s="1128" t="s">
        <v>3381</v>
      </c>
      <c r="AA4521" s="1128" t="s">
        <v>3384</v>
      </c>
      <c r="AB4521" s="20"/>
      <c r="AC4521" s="73"/>
    </row>
    <row r="4522" spans="1:29" s="21" customFormat="1">
      <c r="A4522" s="327">
        <f>IF(AND($B4522&lt;&gt;"",$C4522&lt;&gt;""),MAX($A$1556:A4497)+1,"")</f>
        <v>205</v>
      </c>
      <c r="B4522" s="394" t="s">
        <v>211</v>
      </c>
      <c r="C4522" s="395" t="s">
        <v>212</v>
      </c>
      <c r="D4522" s="396"/>
      <c r="E4522" s="396"/>
      <c r="F4522" s="397"/>
      <c r="G4522" s="396"/>
      <c r="H4522" s="351"/>
      <c r="I4522" s="396"/>
      <c r="J4522" s="396"/>
      <c r="K4522" s="393"/>
      <c r="L4522" s="389"/>
      <c r="M4522" s="398"/>
      <c r="N4522" s="355" t="str">
        <f>+$N$1555</f>
        <v>PK</v>
      </c>
      <c r="O4522" s="394"/>
      <c r="P4522" s="351"/>
      <c r="Q4522" s="327"/>
      <c r="R4522" s="351"/>
      <c r="S4522" s="351"/>
      <c r="T4522" s="351"/>
      <c r="U4522" s="329" t="str">
        <f>IF($N4522=$N$4,IFERROR(INDEX(DanhMuc!$E$154:$E$165,MATCH(MID($B4522,4,2),DanhMuc!$B$154:$B$165,0)),""),"")</f>
        <v/>
      </c>
      <c r="V4522" s="351"/>
      <c r="W4522" s="345"/>
      <c r="X4522" s="329" t="str">
        <f t="shared" si="359"/>
        <v/>
      </c>
      <c r="Y4522" s="1128" t="s">
        <v>3380</v>
      </c>
      <c r="Z4522" s="1128" t="s">
        <v>3381</v>
      </c>
      <c r="AA4522" s="1128" t="s">
        <v>3384</v>
      </c>
      <c r="AB4522" s="20"/>
      <c r="AC4522" s="73"/>
    </row>
    <row r="4523" spans="1:29" ht="26">
      <c r="A4523" s="327">
        <f>IF(AND($B4523&lt;&gt;"",$C4523&lt;&gt;""),MAX($A$1556:A4498)+1,"")</f>
        <v>205</v>
      </c>
      <c r="B4523" s="359" t="s">
        <v>2056</v>
      </c>
      <c r="C4523" s="360" t="s">
        <v>1530</v>
      </c>
      <c r="D4523" s="327">
        <f>IF($B4523="","",COUNTIF($B$6:$B4523,$B4523))</f>
        <v>1</v>
      </c>
      <c r="E4523" s="361" t="s">
        <v>298</v>
      </c>
      <c r="F4523" s="362" t="s">
        <v>299</v>
      </c>
      <c r="G4523" s="351" t="s">
        <v>297</v>
      </c>
      <c r="H4523" s="361"/>
      <c r="I4523" s="327">
        <v>1</v>
      </c>
      <c r="J4523" s="361"/>
      <c r="K4523" s="327"/>
      <c r="L4523" s="389">
        <v>663400</v>
      </c>
      <c r="M4523" s="355"/>
      <c r="N4523" s="355" t="str">
        <f>+$N$1555</f>
        <v>PK</v>
      </c>
      <c r="O4523" s="345"/>
      <c r="P4523" s="392"/>
      <c r="Q4523" s="327"/>
      <c r="R4523" s="351"/>
      <c r="S4523" s="351"/>
      <c r="T4523" s="351"/>
      <c r="U4523" s="329" t="str">
        <f>IF($N4523=$N$4,IFERROR(INDEX(DanhMuc!$E$154:$E$165,MATCH(MID($B4523,4,2),DanhMuc!$B$154:$B$165,0)),""),"")</f>
        <v/>
      </c>
      <c r="V4523" s="361"/>
      <c r="W4523" s="345"/>
      <c r="X4523" s="329" t="str">
        <f t="shared" si="359"/>
        <v>CM</v>
      </c>
      <c r="Y4523" s="1128" t="s">
        <v>3380</v>
      </c>
      <c r="Z4523" s="1128" t="s">
        <v>3381</v>
      </c>
      <c r="AA4523" s="1128" t="s">
        <v>3384</v>
      </c>
      <c r="AB4523" s="20"/>
      <c r="AC4523" s="73"/>
    </row>
    <row r="4524" spans="1:29">
      <c r="A4524" s="327" t="str">
        <f>IF(AND($B4524&lt;&gt;"",$C4524&lt;&gt;""),MAX($A$1556:A4499)+1,"")</f>
        <v/>
      </c>
      <c r="B4524" s="361" t="s">
        <v>2056</v>
      </c>
      <c r="C4524" s="360"/>
      <c r="D4524" s="327">
        <f>IF($B4524="","",COUNTIF($B$6:$B4524,$B4524))</f>
        <v>2</v>
      </c>
      <c r="E4524" s="361" t="s">
        <v>300</v>
      </c>
      <c r="F4524" s="362" t="s">
        <v>301</v>
      </c>
      <c r="G4524" s="327" t="s">
        <v>296</v>
      </c>
      <c r="H4524" s="361"/>
      <c r="I4524" s="327">
        <v>1</v>
      </c>
      <c r="J4524" s="345"/>
      <c r="K4524" s="327"/>
      <c r="L4524" s="389">
        <v>26500</v>
      </c>
      <c r="M4524" s="355"/>
      <c r="N4524" s="355" t="str">
        <f>+$N$1555</f>
        <v>PK</v>
      </c>
      <c r="O4524" s="345"/>
      <c r="P4524" s="392"/>
      <c r="Q4524" s="327"/>
      <c r="R4524" s="351"/>
      <c r="S4524" s="351"/>
      <c r="T4524" s="351"/>
      <c r="U4524" s="329" t="str">
        <f>IF($N4524=$N$4,IFERROR(INDEX(DanhMuc!$E$154:$E$165,MATCH(MID($B4524,4,2),DanhMuc!$B$154:$B$165,0)),""),"")</f>
        <v/>
      </c>
      <c r="V4524" s="361"/>
      <c r="W4524" s="345"/>
      <c r="X4524" s="329" t="str">
        <f t="shared" si="359"/>
        <v>CM</v>
      </c>
      <c r="Y4524" s="1128" t="s">
        <v>3380</v>
      </c>
      <c r="Z4524" s="1128" t="s">
        <v>3381</v>
      </c>
      <c r="AA4524" s="1128" t="s">
        <v>3384</v>
      </c>
      <c r="AB4524" s="20"/>
      <c r="AC4524" s="73"/>
    </row>
    <row r="4525" spans="1:29" ht="25">
      <c r="A4525" s="327" t="str">
        <f>IF(AND($B4525&lt;&gt;"",$C4525&lt;&gt;""),MAX($A$1556:A4500)+1,"")</f>
        <v/>
      </c>
      <c r="B4525" s="361" t="s">
        <v>2056</v>
      </c>
      <c r="C4525" s="360"/>
      <c r="D4525" s="327">
        <f>IF($B4525="","",COUNTIF($B$6:$B4525,$B4525))</f>
        <v>3</v>
      </c>
      <c r="E4525" s="361" t="s">
        <v>302</v>
      </c>
      <c r="F4525" s="362" t="s">
        <v>303</v>
      </c>
      <c r="G4525" s="327" t="s">
        <v>296</v>
      </c>
      <c r="H4525" s="361"/>
      <c r="I4525" s="327">
        <v>1</v>
      </c>
      <c r="J4525" s="345"/>
      <c r="K4525" s="327"/>
      <c r="L4525" s="389">
        <v>17000</v>
      </c>
      <c r="M4525" s="355"/>
      <c r="N4525" s="355" t="str">
        <f>+$N$1555</f>
        <v>PK</v>
      </c>
      <c r="O4525" s="345"/>
      <c r="P4525" s="392"/>
      <c r="Q4525" s="327"/>
      <c r="R4525" s="351"/>
      <c r="S4525" s="351"/>
      <c r="T4525" s="351"/>
      <c r="U4525" s="329" t="str">
        <f>IF($N4525=$N$4,IFERROR(INDEX(DanhMuc!$E$154:$E$165,MATCH(MID($B4525,4,2),DanhMuc!$B$154:$B$165,0)),""),"")</f>
        <v/>
      </c>
      <c r="V4525" s="361"/>
      <c r="W4525" s="345"/>
      <c r="X4525" s="329" t="str">
        <f t="shared" si="359"/>
        <v>CM</v>
      </c>
      <c r="Y4525" s="1128" t="s">
        <v>3380</v>
      </c>
      <c r="Z4525" s="1128" t="s">
        <v>3381</v>
      </c>
      <c r="AA4525" s="1128" t="s">
        <v>3384</v>
      </c>
      <c r="AB4525" s="20"/>
      <c r="AC4525" s="73"/>
    </row>
    <row r="4526" spans="1:29" ht="25">
      <c r="A4526" s="327" t="str">
        <f>IF(AND($B4526&lt;&gt;"",$C4526&lt;&gt;""),MAX($A$1556:A4501)+1,"")</f>
        <v/>
      </c>
      <c r="B4526" s="361" t="s">
        <v>2056</v>
      </c>
      <c r="C4526" s="360"/>
      <c r="D4526" s="327">
        <f>IF($B4526="","",COUNTIF($B$6:$B4526,$B4526))</f>
        <v>4</v>
      </c>
      <c r="E4526" s="361" t="s">
        <v>447</v>
      </c>
      <c r="F4526" s="362" t="s">
        <v>304</v>
      </c>
      <c r="G4526" s="327" t="s">
        <v>296</v>
      </c>
      <c r="H4526" s="361"/>
      <c r="I4526" s="327">
        <v>1</v>
      </c>
      <c r="J4526" s="359"/>
      <c r="K4526" s="327"/>
      <c r="L4526" s="389">
        <v>775900</v>
      </c>
      <c r="M4526" s="355"/>
      <c r="N4526" s="355" t="str">
        <f>+$N$1555</f>
        <v>PK</v>
      </c>
      <c r="O4526" s="345"/>
      <c r="P4526" s="392"/>
      <c r="Q4526" s="327"/>
      <c r="R4526" s="351"/>
      <c r="S4526" s="351"/>
      <c r="T4526" s="351"/>
      <c r="U4526" s="329" t="str">
        <f>IF($N4526=$N$4,IFERROR(INDEX(DanhMuc!$E$154:$E$165,MATCH(MID($B4526,4,2),DanhMuc!$B$154:$B$165,0)),""),"")</f>
        <v/>
      </c>
      <c r="V4526" s="361"/>
      <c r="W4526" s="345"/>
      <c r="X4526" s="329" t="str">
        <f t="shared" si="359"/>
        <v>CM</v>
      </c>
      <c r="Y4526" s="1128" t="s">
        <v>3380</v>
      </c>
      <c r="Z4526" s="1128" t="s">
        <v>3381</v>
      </c>
      <c r="AA4526" s="1128" t="s">
        <v>3384</v>
      </c>
      <c r="AB4526" s="20"/>
      <c r="AC4526" s="73"/>
    </row>
    <row r="4527" spans="1:29">
      <c r="A4527" s="327" t="str">
        <f>IF(AND($B4527&lt;&gt;"",$C4527&lt;&gt;""),MAX($A$1556:A4502)+1,"")</f>
        <v/>
      </c>
      <c r="B4527" s="361" t="s">
        <v>2056</v>
      </c>
      <c r="C4527" s="360"/>
      <c r="D4527" s="327">
        <f>IF($B4527="","",COUNTIF($B$6:$B4527,$B4527))</f>
        <v>5</v>
      </c>
      <c r="E4527" s="365" t="s">
        <v>327</v>
      </c>
      <c r="F4527" s="368" t="s">
        <v>345</v>
      </c>
      <c r="G4527" s="367" t="s">
        <v>690</v>
      </c>
      <c r="H4527" s="361" t="s">
        <v>536</v>
      </c>
      <c r="I4527" s="327">
        <v>1</v>
      </c>
      <c r="J4527" s="345">
        <v>1400</v>
      </c>
      <c r="K4527" s="327"/>
      <c r="L4527" s="348">
        <f>+$S4527*$T4527*$L$37</f>
        <v>84651</v>
      </c>
      <c r="M4527" s="355"/>
      <c r="N4527" s="369" t="s">
        <v>150</v>
      </c>
      <c r="O4527" s="345"/>
      <c r="P4527" s="392"/>
      <c r="Q4527" s="327"/>
      <c r="R4527" s="351">
        <v>2.5</v>
      </c>
      <c r="S4527" s="351">
        <v>5.8</v>
      </c>
      <c r="T4527" s="351">
        <v>0.13900000000000001</v>
      </c>
      <c r="U4527" s="329">
        <f>IF($N4527=$N$4,IFERROR(INDEX(DanhMuc!$E$154:$E$165,MATCH(MID($B4527,4,2),DanhMuc!$B$154:$B$165,0)),""),"")</f>
        <v>5800</v>
      </c>
      <c r="V4527" s="361"/>
      <c r="W4527" s="345"/>
      <c r="X4527" s="329" t="str">
        <f t="shared" si="359"/>
        <v>C459</v>
      </c>
      <c r="Y4527" s="1128" t="s">
        <v>3380</v>
      </c>
      <c r="Z4527" s="1128" t="s">
        <v>3381</v>
      </c>
      <c r="AA4527" s="1128" t="s">
        <v>3384</v>
      </c>
      <c r="AB4527" s="20"/>
      <c r="AC4527" s="73"/>
    </row>
    <row r="4528" spans="1:29" ht="14">
      <c r="A4528" s="327" t="str">
        <f>IF(AND($B4528&lt;&gt;"",$C4528&lt;&gt;""),MAX($A$1556:A4503)+1,"")</f>
        <v/>
      </c>
      <c r="B4528" s="361" t="s">
        <v>2056</v>
      </c>
      <c r="C4528" s="360"/>
      <c r="D4528" s="327">
        <f>IF($B4528="","",COUNTIF($B$6:$B4528,$B4528))</f>
        <v>6</v>
      </c>
      <c r="E4528" s="409" t="s">
        <v>305</v>
      </c>
      <c r="F4528" s="362" t="s">
        <v>306</v>
      </c>
      <c r="G4528" s="327" t="s">
        <v>296</v>
      </c>
      <c r="H4528" s="361"/>
      <c r="I4528" s="327">
        <v>2</v>
      </c>
      <c r="J4528" s="361"/>
      <c r="K4528" s="327"/>
      <c r="L4528" s="389">
        <v>45900</v>
      </c>
      <c r="M4528" s="355"/>
      <c r="N4528" s="355" t="str">
        <f>+$N$1555</f>
        <v>PK</v>
      </c>
      <c r="O4528" s="345"/>
      <c r="P4528" s="392"/>
      <c r="Q4528" s="327"/>
      <c r="R4528" s="351"/>
      <c r="S4528" s="351"/>
      <c r="T4528" s="351"/>
      <c r="U4528" s="329" t="str">
        <f>IF($N4528=$N$4,IFERROR(INDEX(DanhMuc!$E$154:$E$165,MATCH(MID($B4528,4,2),DanhMuc!$B$154:$B$165,0)),""),"")</f>
        <v/>
      </c>
      <c r="V4528" s="361"/>
      <c r="W4528" s="345"/>
      <c r="X4528" s="329" t="str">
        <f t="shared" si="359"/>
        <v>CM</v>
      </c>
      <c r="Y4528" s="1128" t="s">
        <v>3380</v>
      </c>
      <c r="Z4528" s="1128" t="s">
        <v>3381</v>
      </c>
      <c r="AA4528" s="1128" t="s">
        <v>3384</v>
      </c>
      <c r="AB4528" s="20"/>
      <c r="AC4528" s="73"/>
    </row>
    <row r="4529" spans="1:29">
      <c r="A4529" s="327" t="str">
        <f>IF(AND($B4529&lt;&gt;"",$C4529&lt;&gt;""),MAX($A$1556:A4504)+1,"")</f>
        <v/>
      </c>
      <c r="B4529" s="361" t="s">
        <v>2056</v>
      </c>
      <c r="C4529" s="360"/>
      <c r="D4529" s="327">
        <f>IF($B4529="","",COUNTIF($B$6:$B4529,$B4529))</f>
        <v>7</v>
      </c>
      <c r="E4529" s="361" t="s">
        <v>307</v>
      </c>
      <c r="F4529" s="362" t="s">
        <v>308</v>
      </c>
      <c r="G4529" s="327" t="s">
        <v>296</v>
      </c>
      <c r="H4529" s="361"/>
      <c r="I4529" s="327">
        <v>2</v>
      </c>
      <c r="J4529" s="345"/>
      <c r="K4529" s="327"/>
      <c r="L4529" s="389">
        <v>21700</v>
      </c>
      <c r="M4529" s="355"/>
      <c r="N4529" s="355" t="str">
        <f>+$N$1555</f>
        <v>PK</v>
      </c>
      <c r="O4529" s="345"/>
      <c r="P4529" s="392"/>
      <c r="Q4529" s="327"/>
      <c r="R4529" s="351"/>
      <c r="S4529" s="351"/>
      <c r="T4529" s="351"/>
      <c r="U4529" s="329" t="str">
        <f>IF($N4529=$N$4,IFERROR(INDEX(DanhMuc!$E$154:$E$165,MATCH(MID($B4529,4,2),DanhMuc!$B$154:$B$165,0)),""),"")</f>
        <v/>
      </c>
      <c r="V4529" s="361"/>
      <c r="W4529" s="345"/>
      <c r="X4529" s="329" t="str">
        <f t="shared" si="359"/>
        <v>CM</v>
      </c>
      <c r="Y4529" s="1128" t="s">
        <v>3380</v>
      </c>
      <c r="Z4529" s="1128" t="s">
        <v>3381</v>
      </c>
      <c r="AA4529" s="1128" t="s">
        <v>3384</v>
      </c>
      <c r="AB4529" s="20"/>
      <c r="AC4529" s="73"/>
    </row>
    <row r="4530" spans="1:29" ht="25">
      <c r="A4530" s="327" t="str">
        <f>IF(AND($B4530&lt;&gt;"",$C4530&lt;&gt;""),MAX($A$1556:A4505)+1,"")</f>
        <v/>
      </c>
      <c r="B4530" s="361" t="s">
        <v>2056</v>
      </c>
      <c r="C4530" s="360"/>
      <c r="D4530" s="327">
        <f>IF($B4530="","",COUNTIF($B$6:$B4530,$B4530))</f>
        <v>8</v>
      </c>
      <c r="E4530" s="361" t="s">
        <v>309</v>
      </c>
      <c r="F4530" s="362" t="s">
        <v>310</v>
      </c>
      <c r="G4530" s="327" t="s">
        <v>296</v>
      </c>
      <c r="H4530" s="361"/>
      <c r="I4530" s="327">
        <v>6</v>
      </c>
      <c r="J4530" s="361"/>
      <c r="K4530" s="327"/>
      <c r="L4530" s="389">
        <v>63400</v>
      </c>
      <c r="M4530" s="355"/>
      <c r="N4530" s="355" t="str">
        <f>+$N$1555</f>
        <v>PK</v>
      </c>
      <c r="O4530" s="345"/>
      <c r="P4530" s="392"/>
      <c r="Q4530" s="327"/>
      <c r="R4530" s="351"/>
      <c r="S4530" s="351"/>
      <c r="T4530" s="351"/>
      <c r="U4530" s="329" t="str">
        <f>IF($N4530=$N$4,IFERROR(INDEX(DanhMuc!$E$154:$E$165,MATCH(MID($B4530,4,2),DanhMuc!$B$154:$B$165,0)),""),"")</f>
        <v/>
      </c>
      <c r="V4530" s="361"/>
      <c r="W4530" s="345"/>
      <c r="X4530" s="329" t="str">
        <f t="shared" si="359"/>
        <v>CM</v>
      </c>
      <c r="Y4530" s="1128" t="s">
        <v>3380</v>
      </c>
      <c r="Z4530" s="1128" t="s">
        <v>3381</v>
      </c>
      <c r="AA4530" s="1128" t="s">
        <v>3384</v>
      </c>
      <c r="AB4530" s="20"/>
      <c r="AC4530" s="73"/>
    </row>
    <row r="4531" spans="1:29" ht="25">
      <c r="A4531" s="327" t="str">
        <f>IF(AND($B4531&lt;&gt;"",$C4531&lt;&gt;""),MAX($A$1556:A4506)+1,"")</f>
        <v/>
      </c>
      <c r="B4531" s="361" t="s">
        <v>2056</v>
      </c>
      <c r="C4531" s="360"/>
      <c r="D4531" s="327">
        <f>IF($B4531="","",COUNTIF($B$6:$B4531,$B4531))</f>
        <v>9</v>
      </c>
      <c r="E4531" s="361" t="s">
        <v>448</v>
      </c>
      <c r="F4531" s="362" t="s">
        <v>449</v>
      </c>
      <c r="G4531" s="327" t="s">
        <v>296</v>
      </c>
      <c r="H4531" s="361"/>
      <c r="I4531" s="327">
        <v>6</v>
      </c>
      <c r="J4531" s="345"/>
      <c r="K4531" s="327"/>
      <c r="L4531" s="389">
        <v>63900</v>
      </c>
      <c r="M4531" s="355"/>
      <c r="N4531" s="355" t="str">
        <f>+$N$1555</f>
        <v>PK</v>
      </c>
      <c r="O4531" s="345"/>
      <c r="P4531" s="392"/>
      <c r="Q4531" s="327"/>
      <c r="R4531" s="351"/>
      <c r="S4531" s="351"/>
      <c r="T4531" s="351"/>
      <c r="U4531" s="329" t="str">
        <f>IF($N4531=$N$4,IFERROR(INDEX(DanhMuc!$E$154:$E$165,MATCH(MID($B4531,4,2),DanhMuc!$B$154:$B$165,0)),""),"")</f>
        <v/>
      </c>
      <c r="V4531" s="361"/>
      <c r="W4531" s="345"/>
      <c r="X4531" s="329" t="str">
        <f t="shared" si="359"/>
        <v>CM</v>
      </c>
      <c r="Y4531" s="1128" t="s">
        <v>3380</v>
      </c>
      <c r="Z4531" s="1128" t="s">
        <v>3381</v>
      </c>
      <c r="AA4531" s="1128" t="s">
        <v>3384</v>
      </c>
      <c r="AB4531" s="20"/>
      <c r="AC4531" s="73"/>
    </row>
    <row r="4532" spans="1:29" s="25" customFormat="1">
      <c r="A4532" s="327" t="str">
        <f>IF(AND($B4532&lt;&gt;"",$C4532&lt;&gt;""),MAX($A$1556:A4507)+1,"")</f>
        <v/>
      </c>
      <c r="B4532" s="361" t="s">
        <v>2056</v>
      </c>
      <c r="C4532" s="346"/>
      <c r="D4532" s="367">
        <f>IF($B4532="","",COUNTIF($B$6:$B4532,$B4532))</f>
        <v>10</v>
      </c>
      <c r="E4532" s="365" t="s">
        <v>327</v>
      </c>
      <c r="F4532" s="368" t="s">
        <v>345</v>
      </c>
      <c r="G4532" s="367" t="s">
        <v>690</v>
      </c>
      <c r="H4532" s="361" t="s">
        <v>536</v>
      </c>
      <c r="I4532" s="367">
        <v>3</v>
      </c>
      <c r="J4532" s="365" t="s">
        <v>80</v>
      </c>
      <c r="K4532" s="367"/>
      <c r="L4532" s="348">
        <f>+$S4532*$T4532*$L$37</f>
        <v>84651</v>
      </c>
      <c r="M4532" s="372"/>
      <c r="N4532" s="369" t="s">
        <v>150</v>
      </c>
      <c r="O4532" s="345"/>
      <c r="P4532" s="444"/>
      <c r="Q4532" s="327"/>
      <c r="R4532" s="351">
        <v>2.5</v>
      </c>
      <c r="S4532" s="351">
        <v>5.8</v>
      </c>
      <c r="T4532" s="351">
        <v>0.13900000000000001</v>
      </c>
      <c r="U4532" s="329">
        <f>IF($N4532=$N$4,IFERROR(INDEX(DanhMuc!$E$154:$E$165,MATCH(MID($B4532,4,2),DanhMuc!$B$154:$B$165,0)),""),"")</f>
        <v>5800</v>
      </c>
      <c r="V4532" s="365"/>
      <c r="W4532" s="345"/>
      <c r="X4532" s="329" t="str">
        <f t="shared" si="359"/>
        <v>C459</v>
      </c>
      <c r="Y4532" s="1128" t="s">
        <v>3380</v>
      </c>
      <c r="Z4532" s="1128" t="s">
        <v>3381</v>
      </c>
      <c r="AA4532" s="1128" t="s">
        <v>3384</v>
      </c>
      <c r="AB4532" s="20"/>
      <c r="AC4532" s="73"/>
    </row>
    <row r="4533" spans="1:29" ht="25">
      <c r="A4533" s="327" t="str">
        <f>IF(AND($B4533&lt;&gt;"",$C4533&lt;&gt;""),MAX($A$1556:A4508)+1,"")</f>
        <v/>
      </c>
      <c r="B4533" s="361" t="s">
        <v>2056</v>
      </c>
      <c r="C4533" s="360"/>
      <c r="D4533" s="327">
        <f>IF($B4533="","",COUNTIF($B$6:$B4533,$B4533))</f>
        <v>11</v>
      </c>
      <c r="E4533" s="361" t="s">
        <v>311</v>
      </c>
      <c r="F4533" s="362" t="s">
        <v>312</v>
      </c>
      <c r="G4533" s="327" t="s">
        <v>296</v>
      </c>
      <c r="H4533" s="361"/>
      <c r="I4533" s="327">
        <v>3</v>
      </c>
      <c r="J4533" s="345"/>
      <c r="K4533" s="327"/>
      <c r="L4533" s="389">
        <v>56100</v>
      </c>
      <c r="M4533" s="355"/>
      <c r="N4533" s="355" t="str">
        <f t="shared" ref="N4533:N4565" si="360">+$N$1555</f>
        <v>PK</v>
      </c>
      <c r="O4533" s="345"/>
      <c r="P4533" s="392"/>
      <c r="Q4533" s="327"/>
      <c r="R4533" s="351"/>
      <c r="S4533" s="351"/>
      <c r="T4533" s="351"/>
      <c r="U4533" s="329" t="str">
        <f>IF($N4533=$N$4,IFERROR(INDEX(DanhMuc!$E$154:$E$165,MATCH(MID($B4533,4,2),DanhMuc!$B$154:$B$165,0)),""),"")</f>
        <v/>
      </c>
      <c r="V4533" s="361"/>
      <c r="W4533" s="345"/>
      <c r="X4533" s="329" t="str">
        <f t="shared" si="359"/>
        <v>CM</v>
      </c>
      <c r="Y4533" s="1128" t="s">
        <v>3380</v>
      </c>
      <c r="Z4533" s="1128" t="s">
        <v>3381</v>
      </c>
      <c r="AA4533" s="1128" t="s">
        <v>3384</v>
      </c>
      <c r="AB4533" s="20"/>
      <c r="AC4533" s="73"/>
    </row>
    <row r="4534" spans="1:29">
      <c r="A4534" s="327" t="str">
        <f>IF(AND($B4534&lt;&gt;"",$C4534&lt;&gt;""),MAX($A$1556:A4509)+1,"")</f>
        <v/>
      </c>
      <c r="B4534" s="361" t="s">
        <v>2056</v>
      </c>
      <c r="C4534" s="360"/>
      <c r="D4534" s="327">
        <f>IF($B4534="","",COUNTIF($B$6:$B4534,$B4534))</f>
        <v>12</v>
      </c>
      <c r="E4534" s="361" t="s">
        <v>313</v>
      </c>
      <c r="F4534" s="362" t="s">
        <v>314</v>
      </c>
      <c r="G4534" s="327" t="s">
        <v>296</v>
      </c>
      <c r="H4534" s="361"/>
      <c r="I4534" s="327">
        <v>1</v>
      </c>
      <c r="J4534" s="361"/>
      <c r="K4534" s="327"/>
      <c r="L4534" s="389">
        <v>75100</v>
      </c>
      <c r="M4534" s="355"/>
      <c r="N4534" s="355" t="str">
        <f t="shared" si="360"/>
        <v>PK</v>
      </c>
      <c r="O4534" s="345"/>
      <c r="P4534" s="392"/>
      <c r="Q4534" s="327"/>
      <c r="R4534" s="351"/>
      <c r="S4534" s="351"/>
      <c r="T4534" s="351"/>
      <c r="U4534" s="329" t="str">
        <f>IF($N4534=$N$4,IFERROR(INDEX(DanhMuc!$E$154:$E$165,MATCH(MID($B4534,4,2),DanhMuc!$B$154:$B$165,0)),""),"")</f>
        <v/>
      </c>
      <c r="V4534" s="361"/>
      <c r="W4534" s="345"/>
      <c r="X4534" s="329" t="str">
        <f t="shared" si="359"/>
        <v>CM</v>
      </c>
      <c r="Y4534" s="1128" t="s">
        <v>3380</v>
      </c>
      <c r="Z4534" s="1128" t="s">
        <v>3381</v>
      </c>
      <c r="AA4534" s="1128" t="s">
        <v>3384</v>
      </c>
      <c r="AB4534" s="20"/>
      <c r="AC4534" s="73"/>
    </row>
    <row r="4535" spans="1:29" ht="25">
      <c r="A4535" s="327" t="str">
        <f>IF(AND($B4535&lt;&gt;"",$C4535&lt;&gt;""),MAX($A$1556:A4510)+1,"")</f>
        <v/>
      </c>
      <c r="B4535" s="361" t="s">
        <v>2056</v>
      </c>
      <c r="C4535" s="360"/>
      <c r="D4535" s="327">
        <f>IF($B4535="","",COUNTIF($B$6:$B4535,$B4535))</f>
        <v>13</v>
      </c>
      <c r="E4535" s="361" t="s">
        <v>315</v>
      </c>
      <c r="F4535" s="362" t="s">
        <v>316</v>
      </c>
      <c r="G4535" s="327" t="s">
        <v>296</v>
      </c>
      <c r="H4535" s="361"/>
      <c r="I4535" s="327">
        <v>1</v>
      </c>
      <c r="J4535" s="361"/>
      <c r="K4535" s="327"/>
      <c r="L4535" s="389">
        <v>249200</v>
      </c>
      <c r="M4535" s="355"/>
      <c r="N4535" s="355" t="str">
        <f t="shared" si="360"/>
        <v>PK</v>
      </c>
      <c r="O4535" s="345"/>
      <c r="P4535" s="392"/>
      <c r="Q4535" s="327"/>
      <c r="R4535" s="351"/>
      <c r="S4535" s="351"/>
      <c r="T4535" s="351"/>
      <c r="U4535" s="329" t="str">
        <f>IF($N4535=$N$4,IFERROR(INDEX(DanhMuc!$E$154:$E$165,MATCH(MID($B4535,4,2),DanhMuc!$B$154:$B$165,0)),""),"")</f>
        <v/>
      </c>
      <c r="V4535" s="361"/>
      <c r="W4535" s="345"/>
      <c r="X4535" s="329" t="str">
        <f t="shared" si="359"/>
        <v>CM</v>
      </c>
      <c r="Y4535" s="1128" t="s">
        <v>3380</v>
      </c>
      <c r="Z4535" s="1128" t="s">
        <v>3381</v>
      </c>
      <c r="AA4535" s="1128" t="s">
        <v>3384</v>
      </c>
      <c r="AB4535" s="20"/>
      <c r="AC4535" s="73"/>
    </row>
    <row r="4536" spans="1:29" ht="25">
      <c r="A4536" s="327" t="str">
        <f>IF(AND($B4536&lt;&gt;"",$C4536&lt;&gt;""),MAX($A$1556:A4511)+1,"")</f>
        <v/>
      </c>
      <c r="B4536" s="361" t="s">
        <v>2056</v>
      </c>
      <c r="C4536" s="360"/>
      <c r="D4536" s="327">
        <f>IF($B4536="","",COUNTIF($B$6:$B4536,$B4536))</f>
        <v>14</v>
      </c>
      <c r="E4536" s="361" t="s">
        <v>317</v>
      </c>
      <c r="F4536" s="362" t="s">
        <v>318</v>
      </c>
      <c r="G4536" s="327" t="s">
        <v>296</v>
      </c>
      <c r="H4536" s="361"/>
      <c r="I4536" s="327">
        <v>6</v>
      </c>
      <c r="J4536" s="361"/>
      <c r="K4536" s="327"/>
      <c r="L4536" s="389">
        <v>799800</v>
      </c>
      <c r="M4536" s="355"/>
      <c r="N4536" s="355" t="str">
        <f t="shared" si="360"/>
        <v>PK</v>
      </c>
      <c r="O4536" s="345"/>
      <c r="P4536" s="392"/>
      <c r="Q4536" s="327"/>
      <c r="R4536" s="351"/>
      <c r="S4536" s="351"/>
      <c r="T4536" s="351"/>
      <c r="U4536" s="329" t="str">
        <f>IF($N4536=$N$4,IFERROR(INDEX(DanhMuc!$E$154:$E$165,MATCH(MID($B4536,4,2),DanhMuc!$B$154:$B$165,0)),""),"")</f>
        <v/>
      </c>
      <c r="V4536" s="361"/>
      <c r="W4536" s="345"/>
      <c r="X4536" s="329" t="str">
        <f t="shared" si="359"/>
        <v>CM</v>
      </c>
      <c r="Y4536" s="1128" t="s">
        <v>3380</v>
      </c>
      <c r="Z4536" s="1128" t="s">
        <v>3381</v>
      </c>
      <c r="AA4536" s="1128" t="s">
        <v>3384</v>
      </c>
      <c r="AB4536" s="20"/>
      <c r="AC4536" s="73"/>
    </row>
    <row r="4537" spans="1:29" ht="25">
      <c r="A4537" s="327" t="str">
        <f>IF(AND($B4537&lt;&gt;"",$C4537&lt;&gt;""),MAX($A$1556:A4512)+1,"")</f>
        <v/>
      </c>
      <c r="B4537" s="361" t="s">
        <v>2056</v>
      </c>
      <c r="C4537" s="360"/>
      <c r="D4537" s="327">
        <f>IF($B4537="","",COUNTIF($B$6:$B4537,$B4537))</f>
        <v>15</v>
      </c>
      <c r="E4537" s="361" t="s">
        <v>319</v>
      </c>
      <c r="F4537" s="362" t="s">
        <v>320</v>
      </c>
      <c r="G4537" s="327" t="s">
        <v>296</v>
      </c>
      <c r="H4537" s="361"/>
      <c r="I4537" s="327">
        <v>6</v>
      </c>
      <c r="J4537" s="361"/>
      <c r="K4537" s="327"/>
      <c r="L4537" s="389">
        <v>834200</v>
      </c>
      <c r="M4537" s="355"/>
      <c r="N4537" s="355" t="str">
        <f t="shared" si="360"/>
        <v>PK</v>
      </c>
      <c r="O4537" s="345"/>
      <c r="P4537" s="392"/>
      <c r="Q4537" s="327"/>
      <c r="R4537" s="351"/>
      <c r="S4537" s="351"/>
      <c r="T4537" s="351"/>
      <c r="U4537" s="329" t="str">
        <f>IF($N4537=$N$4,IFERROR(INDEX(DanhMuc!$E$154:$E$165,MATCH(MID($B4537,4,2),DanhMuc!$B$154:$B$165,0)),""),"")</f>
        <v/>
      </c>
      <c r="V4537" s="361"/>
      <c r="W4537" s="345"/>
      <c r="X4537" s="329" t="str">
        <f t="shared" si="359"/>
        <v>CM</v>
      </c>
      <c r="Y4537" s="1128" t="s">
        <v>3380</v>
      </c>
      <c r="Z4537" s="1128" t="s">
        <v>3381</v>
      </c>
      <c r="AA4537" s="1128" t="s">
        <v>3384</v>
      </c>
      <c r="AB4537" s="20"/>
      <c r="AC4537" s="73"/>
    </row>
    <row r="4538" spans="1:29">
      <c r="A4538" s="327" t="str">
        <f>IF(AND($B4538&lt;&gt;"",$C4538&lt;&gt;""),MAX($A$1556:A4513)+1,"")</f>
        <v/>
      </c>
      <c r="B4538" s="361" t="s">
        <v>2056</v>
      </c>
      <c r="C4538" s="360"/>
      <c r="D4538" s="327">
        <f>IF($B4538="","",COUNTIF($B$6:$B4538,$B4538))</f>
        <v>16</v>
      </c>
      <c r="E4538" s="361" t="s">
        <v>321</v>
      </c>
      <c r="F4538" s="362" t="s">
        <v>450</v>
      </c>
      <c r="G4538" s="327" t="s">
        <v>297</v>
      </c>
      <c r="H4538" s="361"/>
      <c r="I4538" s="327">
        <v>3</v>
      </c>
      <c r="J4538" s="361"/>
      <c r="K4538" s="327"/>
      <c r="L4538" s="389">
        <v>20000</v>
      </c>
      <c r="M4538" s="355"/>
      <c r="N4538" s="355" t="str">
        <f t="shared" si="360"/>
        <v>PK</v>
      </c>
      <c r="O4538" s="345"/>
      <c r="P4538" s="392"/>
      <c r="Q4538" s="327"/>
      <c r="R4538" s="351"/>
      <c r="S4538" s="351"/>
      <c r="T4538" s="351"/>
      <c r="U4538" s="329" t="str">
        <f>IF($N4538=$N$4,IFERROR(INDEX(DanhMuc!$E$154:$E$165,MATCH(MID($B4538,4,2),DanhMuc!$B$154:$B$165,0)),""),"")</f>
        <v/>
      </c>
      <c r="V4538" s="361"/>
      <c r="W4538" s="345"/>
      <c r="X4538" s="329" t="str">
        <f t="shared" si="359"/>
        <v>CM</v>
      </c>
      <c r="Y4538" s="1128" t="s">
        <v>3380</v>
      </c>
      <c r="Z4538" s="1128" t="s">
        <v>3381</v>
      </c>
      <c r="AA4538" s="1128" t="s">
        <v>3384</v>
      </c>
      <c r="AB4538" s="20"/>
      <c r="AC4538" s="73"/>
    </row>
    <row r="4539" spans="1:29" ht="26">
      <c r="A4539" s="327">
        <f>IF(AND($B4539&lt;&gt;"",$C4539&lt;&gt;""),MAX($A$1556:A4514)+1,"")</f>
        <v>206</v>
      </c>
      <c r="B4539" s="359" t="s">
        <v>2057</v>
      </c>
      <c r="C4539" s="360" t="s">
        <v>1531</v>
      </c>
      <c r="D4539" s="327">
        <f>IF($B4539="","",COUNTIF($B$6:$B4539,$B4539))</f>
        <v>1</v>
      </c>
      <c r="E4539" s="363" t="s">
        <v>274</v>
      </c>
      <c r="F4539" s="382" t="s">
        <v>275</v>
      </c>
      <c r="G4539" s="327" t="s">
        <v>295</v>
      </c>
      <c r="H4539" s="361"/>
      <c r="I4539" s="445">
        <v>2</v>
      </c>
      <c r="J4539" s="446"/>
      <c r="K4539" s="327"/>
      <c r="L4539" s="389">
        <v>370300</v>
      </c>
      <c r="M4539" s="355"/>
      <c r="N4539" s="355" t="str">
        <f t="shared" si="360"/>
        <v>PK</v>
      </c>
      <c r="O4539" s="345"/>
      <c r="P4539" s="361"/>
      <c r="Q4539" s="327"/>
      <c r="R4539" s="351"/>
      <c r="S4539" s="351"/>
      <c r="T4539" s="351"/>
      <c r="U4539" s="329" t="str">
        <f>IF($N4539=$N$4,IFERROR(INDEX(DanhMuc!$E$154:$E$165,MATCH(MID($B4539,4,2),DanhMuc!$B$154:$B$165,0)),""),"")</f>
        <v/>
      </c>
      <c r="V4539" s="361"/>
      <c r="W4539" s="345"/>
      <c r="X4539" s="329" t="str">
        <f t="shared" si="359"/>
        <v>CM</v>
      </c>
      <c r="Y4539" s="1128" t="s">
        <v>3380</v>
      </c>
      <c r="Z4539" s="1128" t="s">
        <v>3381</v>
      </c>
      <c r="AA4539" s="1128" t="s">
        <v>3384</v>
      </c>
      <c r="AB4539" s="20"/>
      <c r="AC4539" s="73"/>
    </row>
    <row r="4540" spans="1:29" ht="25">
      <c r="A4540" s="327" t="str">
        <f>IF(AND($B4540&lt;&gt;"",$C4540&lt;&gt;""),MAX($A$1556:A4515)+1,"")</f>
        <v/>
      </c>
      <c r="B4540" s="361" t="s">
        <v>2057</v>
      </c>
      <c r="C4540" s="360"/>
      <c r="D4540" s="327">
        <f>IF($B4540="","",COUNTIF($B$6:$B4540,$B4540))</f>
        <v>2</v>
      </c>
      <c r="E4540" s="363" t="s">
        <v>276</v>
      </c>
      <c r="F4540" s="382" t="s">
        <v>277</v>
      </c>
      <c r="G4540" s="327" t="s">
        <v>295</v>
      </c>
      <c r="H4540" s="361"/>
      <c r="I4540" s="445">
        <v>0</v>
      </c>
      <c r="J4540" s="446"/>
      <c r="K4540" s="327"/>
      <c r="L4540" s="389">
        <v>311700</v>
      </c>
      <c r="M4540" s="355"/>
      <c r="N4540" s="355" t="str">
        <f t="shared" si="360"/>
        <v>PK</v>
      </c>
      <c r="O4540" s="345"/>
      <c r="P4540" s="361"/>
      <c r="Q4540" s="327"/>
      <c r="R4540" s="351"/>
      <c r="S4540" s="351"/>
      <c r="T4540" s="351"/>
      <c r="U4540" s="329" t="str">
        <f>IF($N4540=$N$4,IFERROR(INDEX(DanhMuc!$E$154:$E$165,MATCH(MID($B4540,4,2),DanhMuc!$B$154:$B$165,0)),""),"")</f>
        <v/>
      </c>
      <c r="V4540" s="361"/>
      <c r="W4540" s="345"/>
      <c r="X4540" s="329" t="str">
        <f t="shared" ref="X4540:X4603" si="361">IF($N4540="PR",$E4540,MID($B4540,10,2))</f>
        <v>CM</v>
      </c>
      <c r="Y4540" s="1128" t="s">
        <v>3380</v>
      </c>
      <c r="Z4540" s="1128" t="s">
        <v>3381</v>
      </c>
      <c r="AA4540" s="1128" t="s">
        <v>3384</v>
      </c>
      <c r="AB4540" s="20"/>
      <c r="AC4540" s="73"/>
    </row>
    <row r="4541" spans="1:29">
      <c r="A4541" s="327" t="str">
        <f>IF(AND($B4541&lt;&gt;"",$C4541&lt;&gt;""),MAX($A$1556:A4516)+1,"")</f>
        <v/>
      </c>
      <c r="B4541" s="361" t="s">
        <v>2057</v>
      </c>
      <c r="C4541" s="360"/>
      <c r="D4541" s="327">
        <f>IF($B4541="","",COUNTIF($B$6:$B4541,$B4541))</f>
        <v>3</v>
      </c>
      <c r="E4541" s="363" t="s">
        <v>278</v>
      </c>
      <c r="F4541" s="382" t="s">
        <v>279</v>
      </c>
      <c r="G4541" s="327" t="s">
        <v>296</v>
      </c>
      <c r="H4541" s="361"/>
      <c r="I4541" s="445">
        <v>2</v>
      </c>
      <c r="J4541" s="446"/>
      <c r="K4541" s="327"/>
      <c r="L4541" s="389">
        <v>458300</v>
      </c>
      <c r="M4541" s="355"/>
      <c r="N4541" s="355" t="str">
        <f t="shared" si="360"/>
        <v>PK</v>
      </c>
      <c r="O4541" s="345"/>
      <c r="P4541" s="361"/>
      <c r="Q4541" s="327"/>
      <c r="R4541" s="351"/>
      <c r="S4541" s="351"/>
      <c r="T4541" s="351"/>
      <c r="U4541" s="329" t="str">
        <f>IF($N4541=$N$4,IFERROR(INDEX(DanhMuc!$E$154:$E$165,MATCH(MID($B4541,4,2),DanhMuc!$B$154:$B$165,0)),""),"")</f>
        <v/>
      </c>
      <c r="V4541" s="361"/>
      <c r="W4541" s="345"/>
      <c r="X4541" s="329" t="str">
        <f t="shared" si="361"/>
        <v>CM</v>
      </c>
      <c r="Y4541" s="1128" t="s">
        <v>3380</v>
      </c>
      <c r="Z4541" s="1128" t="s">
        <v>3381</v>
      </c>
      <c r="AA4541" s="1128" t="s">
        <v>3384</v>
      </c>
      <c r="AB4541" s="20"/>
      <c r="AC4541" s="73"/>
    </row>
    <row r="4542" spans="1:29">
      <c r="A4542" s="327" t="str">
        <f>IF(AND($B4542&lt;&gt;"",$C4542&lt;&gt;""),MAX($A$1556:A4517)+1,"")</f>
        <v/>
      </c>
      <c r="B4542" s="361" t="s">
        <v>2057</v>
      </c>
      <c r="C4542" s="360"/>
      <c r="D4542" s="327">
        <f>IF($B4542="","",COUNTIF($B$6:$B4542,$B4542))</f>
        <v>4</v>
      </c>
      <c r="E4542" s="363" t="s">
        <v>280</v>
      </c>
      <c r="F4542" s="382" t="s">
        <v>281</v>
      </c>
      <c r="G4542" s="327" t="s">
        <v>296</v>
      </c>
      <c r="H4542" s="361"/>
      <c r="I4542" s="445">
        <v>4</v>
      </c>
      <c r="J4542" s="446"/>
      <c r="K4542" s="327"/>
      <c r="L4542" s="389">
        <v>20600</v>
      </c>
      <c r="M4542" s="355"/>
      <c r="N4542" s="355" t="str">
        <f t="shared" si="360"/>
        <v>PK</v>
      </c>
      <c r="O4542" s="345"/>
      <c r="P4542" s="361"/>
      <c r="Q4542" s="327"/>
      <c r="R4542" s="351"/>
      <c r="S4542" s="351"/>
      <c r="T4542" s="351"/>
      <c r="U4542" s="329" t="str">
        <f>IF($N4542=$N$4,IFERROR(INDEX(DanhMuc!$E$154:$E$165,MATCH(MID($B4542,4,2),DanhMuc!$B$154:$B$165,0)),""),"")</f>
        <v/>
      </c>
      <c r="V4542" s="361"/>
      <c r="W4542" s="345"/>
      <c r="X4542" s="329" t="str">
        <f t="shared" si="361"/>
        <v>CM</v>
      </c>
      <c r="Y4542" s="1128" t="s">
        <v>3380</v>
      </c>
      <c r="Z4542" s="1128" t="s">
        <v>3381</v>
      </c>
      <c r="AA4542" s="1128" t="s">
        <v>3384</v>
      </c>
      <c r="AB4542" s="20"/>
      <c r="AC4542" s="73"/>
    </row>
    <row r="4543" spans="1:29">
      <c r="A4543" s="327" t="str">
        <f>IF(AND($B4543&lt;&gt;"",$C4543&lt;&gt;""),MAX($A$1556:A4518)+1,"")</f>
        <v/>
      </c>
      <c r="B4543" s="361" t="s">
        <v>2057</v>
      </c>
      <c r="C4543" s="360"/>
      <c r="D4543" s="327">
        <f>IF($B4543="","",COUNTIF($B$6:$B4543,$B4543))</f>
        <v>5</v>
      </c>
      <c r="E4543" s="363" t="s">
        <v>282</v>
      </c>
      <c r="F4543" s="382" t="s">
        <v>283</v>
      </c>
      <c r="G4543" s="327" t="s">
        <v>296</v>
      </c>
      <c r="H4543" s="361"/>
      <c r="I4543" s="445">
        <v>1</v>
      </c>
      <c r="J4543" s="446"/>
      <c r="K4543" s="327"/>
      <c r="L4543" s="389">
        <v>60000</v>
      </c>
      <c r="M4543" s="355"/>
      <c r="N4543" s="355" t="str">
        <f t="shared" si="360"/>
        <v>PK</v>
      </c>
      <c r="O4543" s="345"/>
      <c r="P4543" s="361"/>
      <c r="Q4543" s="327"/>
      <c r="R4543" s="351"/>
      <c r="S4543" s="351"/>
      <c r="T4543" s="351"/>
      <c r="U4543" s="329" t="str">
        <f>IF($N4543=$N$4,IFERROR(INDEX(DanhMuc!$E$154:$E$165,MATCH(MID($B4543,4,2),DanhMuc!$B$154:$B$165,0)),""),"")</f>
        <v/>
      </c>
      <c r="V4543" s="361"/>
      <c r="W4543" s="345"/>
      <c r="X4543" s="329" t="str">
        <f t="shared" si="361"/>
        <v>CM</v>
      </c>
      <c r="Y4543" s="1128" t="s">
        <v>3380</v>
      </c>
      <c r="Z4543" s="1128" t="s">
        <v>3381</v>
      </c>
      <c r="AA4543" s="1128" t="s">
        <v>3384</v>
      </c>
      <c r="AB4543" s="20"/>
      <c r="AC4543" s="73"/>
    </row>
    <row r="4544" spans="1:29" ht="25">
      <c r="A4544" s="327" t="str">
        <f>IF(AND($B4544&lt;&gt;"",$C4544&lt;&gt;""),MAX($A$1556:A4519)+1,"")</f>
        <v/>
      </c>
      <c r="B4544" s="361" t="s">
        <v>2057</v>
      </c>
      <c r="C4544" s="360"/>
      <c r="D4544" s="327">
        <f>IF($B4544="","",COUNTIF($B$6:$B4544,$B4544))</f>
        <v>6</v>
      </c>
      <c r="E4544" s="363" t="s">
        <v>451</v>
      </c>
      <c r="F4544" s="382" t="s">
        <v>452</v>
      </c>
      <c r="G4544" s="327" t="s">
        <v>296</v>
      </c>
      <c r="H4544" s="361"/>
      <c r="I4544" s="445">
        <v>4</v>
      </c>
      <c r="J4544" s="446"/>
      <c r="K4544" s="327"/>
      <c r="L4544" s="389">
        <v>148100</v>
      </c>
      <c r="M4544" s="355"/>
      <c r="N4544" s="355" t="str">
        <f t="shared" si="360"/>
        <v>PK</v>
      </c>
      <c r="O4544" s="345"/>
      <c r="P4544" s="361"/>
      <c r="Q4544" s="327"/>
      <c r="R4544" s="351"/>
      <c r="S4544" s="351"/>
      <c r="T4544" s="351"/>
      <c r="U4544" s="329" t="str">
        <f>IF($N4544=$N$4,IFERROR(INDEX(DanhMuc!$E$154:$E$165,MATCH(MID($B4544,4,2),DanhMuc!$B$154:$B$165,0)),""),"")</f>
        <v/>
      </c>
      <c r="V4544" s="361"/>
      <c r="W4544" s="345"/>
      <c r="X4544" s="329" t="str">
        <f t="shared" si="361"/>
        <v>CM</v>
      </c>
      <c r="Y4544" s="1128" t="s">
        <v>3380</v>
      </c>
      <c r="Z4544" s="1128" t="s">
        <v>3381</v>
      </c>
      <c r="AA4544" s="1128" t="s">
        <v>3384</v>
      </c>
      <c r="AB4544" s="20"/>
      <c r="AC4544" s="73"/>
    </row>
    <row r="4545" spans="1:29">
      <c r="A4545" s="327" t="str">
        <f>IF(AND($B4545&lt;&gt;"",$C4545&lt;&gt;""),MAX($A$1556:A4520)+1,"")</f>
        <v/>
      </c>
      <c r="B4545" s="361" t="s">
        <v>2057</v>
      </c>
      <c r="C4545" s="360"/>
      <c r="D4545" s="327">
        <f>IF($B4545="","",COUNTIF($B$6:$B4545,$B4545))</f>
        <v>7</v>
      </c>
      <c r="E4545" s="363" t="s">
        <v>272</v>
      </c>
      <c r="F4545" s="382" t="s">
        <v>273</v>
      </c>
      <c r="G4545" s="327" t="s">
        <v>296</v>
      </c>
      <c r="H4545" s="361"/>
      <c r="I4545" s="445">
        <v>4</v>
      </c>
      <c r="J4545" s="446"/>
      <c r="K4545" s="327"/>
      <c r="L4545" s="389">
        <v>23300</v>
      </c>
      <c r="M4545" s="355"/>
      <c r="N4545" s="355" t="str">
        <f t="shared" si="360"/>
        <v>PK</v>
      </c>
      <c r="O4545" s="345"/>
      <c r="P4545" s="361"/>
      <c r="Q4545" s="327"/>
      <c r="R4545" s="351"/>
      <c r="S4545" s="351"/>
      <c r="T4545" s="351"/>
      <c r="U4545" s="329" t="str">
        <f>IF($N4545=$N$4,IFERROR(INDEX(DanhMuc!$E$154:$E$165,MATCH(MID($B4545,4,2),DanhMuc!$B$154:$B$165,0)),""),"")</f>
        <v/>
      </c>
      <c r="V4545" s="361"/>
      <c r="W4545" s="345"/>
      <c r="X4545" s="329" t="str">
        <f t="shared" si="361"/>
        <v>CM</v>
      </c>
      <c r="Y4545" s="1128" t="s">
        <v>3380</v>
      </c>
      <c r="Z4545" s="1128" t="s">
        <v>3381</v>
      </c>
      <c r="AA4545" s="1128" t="s">
        <v>3384</v>
      </c>
      <c r="AB4545" s="20"/>
      <c r="AC4545" s="73"/>
    </row>
    <row r="4546" spans="1:29" ht="25">
      <c r="A4546" s="327" t="str">
        <f>IF(AND($B4546&lt;&gt;"",$C4546&lt;&gt;""),MAX($A$1556:A4521)+1,"")</f>
        <v/>
      </c>
      <c r="B4546" s="361" t="s">
        <v>2057</v>
      </c>
      <c r="C4546" s="360"/>
      <c r="D4546" s="327">
        <f>IF($B4546="","",COUNTIF($B$6:$B4546,$B4546))</f>
        <v>8</v>
      </c>
      <c r="E4546" s="363" t="s">
        <v>284</v>
      </c>
      <c r="F4546" s="382" t="s">
        <v>285</v>
      </c>
      <c r="G4546" s="327" t="s">
        <v>296</v>
      </c>
      <c r="H4546" s="361"/>
      <c r="I4546" s="445">
        <v>0</v>
      </c>
      <c r="J4546" s="446"/>
      <c r="K4546" s="327"/>
      <c r="L4546" s="389">
        <v>214600</v>
      </c>
      <c r="M4546" s="355"/>
      <c r="N4546" s="355" t="str">
        <f t="shared" si="360"/>
        <v>PK</v>
      </c>
      <c r="O4546" s="345"/>
      <c r="P4546" s="361"/>
      <c r="Q4546" s="327"/>
      <c r="R4546" s="351"/>
      <c r="S4546" s="351"/>
      <c r="T4546" s="351"/>
      <c r="U4546" s="329" t="str">
        <f>IF($N4546=$N$4,IFERROR(INDEX(DanhMuc!$E$154:$E$165,MATCH(MID($B4546,4,2),DanhMuc!$B$154:$B$165,0)),""),"")</f>
        <v/>
      </c>
      <c r="V4546" s="361"/>
      <c r="W4546" s="345"/>
      <c r="X4546" s="329" t="str">
        <f t="shared" si="361"/>
        <v>CM</v>
      </c>
      <c r="Y4546" s="1128" t="s">
        <v>3380</v>
      </c>
      <c r="Z4546" s="1128" t="s">
        <v>3381</v>
      </c>
      <c r="AA4546" s="1128" t="s">
        <v>3384</v>
      </c>
      <c r="AB4546" s="20"/>
      <c r="AC4546" s="73"/>
    </row>
    <row r="4547" spans="1:29">
      <c r="A4547" s="327" t="str">
        <f>IF(AND($B4547&lt;&gt;"",$C4547&lt;&gt;""),MAX($A$1556:A4522)+1,"")</f>
        <v/>
      </c>
      <c r="B4547" s="361" t="s">
        <v>2057</v>
      </c>
      <c r="C4547" s="360"/>
      <c r="D4547" s="327">
        <f>IF($B4547="","",COUNTIF($B$6:$B4547,$B4547))</f>
        <v>9</v>
      </c>
      <c r="E4547" s="363" t="s">
        <v>286</v>
      </c>
      <c r="F4547" s="382" t="s">
        <v>287</v>
      </c>
      <c r="G4547" s="327" t="s">
        <v>296</v>
      </c>
      <c r="H4547" s="361"/>
      <c r="I4547" s="445">
        <v>4</v>
      </c>
      <c r="J4547" s="446"/>
      <c r="K4547" s="327"/>
      <c r="L4547" s="389">
        <v>2000</v>
      </c>
      <c r="M4547" s="355"/>
      <c r="N4547" s="355" t="str">
        <f t="shared" si="360"/>
        <v>PK</v>
      </c>
      <c r="O4547" s="345"/>
      <c r="P4547" s="361"/>
      <c r="Q4547" s="327"/>
      <c r="R4547" s="351"/>
      <c r="S4547" s="351"/>
      <c r="T4547" s="351"/>
      <c r="U4547" s="329" t="str">
        <f>IF($N4547=$N$4,IFERROR(INDEX(DanhMuc!$E$154:$E$165,MATCH(MID($B4547,4,2),DanhMuc!$B$154:$B$165,0)),""),"")</f>
        <v/>
      </c>
      <c r="V4547" s="361"/>
      <c r="W4547" s="345"/>
      <c r="X4547" s="329" t="str">
        <f t="shared" si="361"/>
        <v>CM</v>
      </c>
      <c r="Y4547" s="1128" t="s">
        <v>3380</v>
      </c>
      <c r="Z4547" s="1128" t="s">
        <v>3381</v>
      </c>
      <c r="AA4547" s="1128" t="s">
        <v>3384</v>
      </c>
      <c r="AB4547" s="20"/>
      <c r="AC4547" s="73"/>
    </row>
    <row r="4548" spans="1:29">
      <c r="A4548" s="327" t="str">
        <f>IF(AND($B4548&lt;&gt;"",$C4548&lt;&gt;""),MAX($A$1556:A4523)+1,"")</f>
        <v/>
      </c>
      <c r="B4548" s="361" t="s">
        <v>2057</v>
      </c>
      <c r="C4548" s="360"/>
      <c r="D4548" s="327">
        <f>IF($B4548="","",COUNTIF($B$6:$B4548,$B4548))</f>
        <v>10</v>
      </c>
      <c r="E4548" s="363" t="s">
        <v>288</v>
      </c>
      <c r="F4548" s="382" t="s">
        <v>188</v>
      </c>
      <c r="G4548" s="327" t="s">
        <v>296</v>
      </c>
      <c r="H4548" s="361"/>
      <c r="I4548" s="445">
        <v>4</v>
      </c>
      <c r="J4548" s="446"/>
      <c r="K4548" s="327"/>
      <c r="L4548" s="389">
        <v>2000</v>
      </c>
      <c r="M4548" s="355"/>
      <c r="N4548" s="355" t="str">
        <f t="shared" si="360"/>
        <v>PK</v>
      </c>
      <c r="O4548" s="345"/>
      <c r="P4548" s="361"/>
      <c r="Q4548" s="327"/>
      <c r="R4548" s="351"/>
      <c r="S4548" s="351"/>
      <c r="T4548" s="351"/>
      <c r="U4548" s="329" t="str">
        <f>IF($N4548=$N$4,IFERROR(INDEX(DanhMuc!$E$154:$E$165,MATCH(MID($B4548,4,2),DanhMuc!$B$154:$B$165,0)),""),"")</f>
        <v/>
      </c>
      <c r="V4548" s="361"/>
      <c r="W4548" s="345"/>
      <c r="X4548" s="329" t="str">
        <f t="shared" si="361"/>
        <v>CM</v>
      </c>
      <c r="Y4548" s="1128" t="s">
        <v>3380</v>
      </c>
      <c r="Z4548" s="1128" t="s">
        <v>3381</v>
      </c>
      <c r="AA4548" s="1128" t="s">
        <v>3384</v>
      </c>
      <c r="AB4548" s="20"/>
      <c r="AC4548" s="73"/>
    </row>
    <row r="4549" spans="1:29">
      <c r="A4549" s="327" t="str">
        <f>IF(AND($B4549&lt;&gt;"",$C4549&lt;&gt;""),MAX($A$1556:A4524)+1,"")</f>
        <v/>
      </c>
      <c r="B4549" s="361" t="s">
        <v>2057</v>
      </c>
      <c r="C4549" s="360"/>
      <c r="D4549" s="327">
        <f>IF($B4549="","",COUNTIF($B$6:$B4549,$B4549))</f>
        <v>11</v>
      </c>
      <c r="E4549" s="363" t="s">
        <v>289</v>
      </c>
      <c r="F4549" s="382" t="s">
        <v>168</v>
      </c>
      <c r="G4549" s="327" t="s">
        <v>296</v>
      </c>
      <c r="H4549" s="361"/>
      <c r="I4549" s="445">
        <v>2</v>
      </c>
      <c r="J4549" s="446"/>
      <c r="K4549" s="327"/>
      <c r="L4549" s="389">
        <v>4500</v>
      </c>
      <c r="M4549" s="355"/>
      <c r="N4549" s="355" t="str">
        <f t="shared" si="360"/>
        <v>PK</v>
      </c>
      <c r="O4549" s="345"/>
      <c r="P4549" s="361"/>
      <c r="Q4549" s="327"/>
      <c r="R4549" s="351"/>
      <c r="S4549" s="351"/>
      <c r="T4549" s="351"/>
      <c r="U4549" s="329" t="str">
        <f>IF($N4549=$N$4,IFERROR(INDEX(DanhMuc!$E$154:$E$165,MATCH(MID($B4549,4,2),DanhMuc!$B$154:$B$165,0)),""),"")</f>
        <v/>
      </c>
      <c r="V4549" s="361"/>
      <c r="W4549" s="345"/>
      <c r="X4549" s="329" t="str">
        <f t="shared" si="361"/>
        <v>CM</v>
      </c>
      <c r="Y4549" s="1128" t="s">
        <v>3380</v>
      </c>
      <c r="Z4549" s="1128" t="s">
        <v>3381</v>
      </c>
      <c r="AA4549" s="1128" t="s">
        <v>3384</v>
      </c>
      <c r="AB4549" s="20"/>
      <c r="AC4549" s="73"/>
    </row>
    <row r="4550" spans="1:29">
      <c r="A4550" s="327" t="str">
        <f>IF(AND($B4550&lt;&gt;"",$C4550&lt;&gt;""),MAX($A$1556:A4525)+1,"")</f>
        <v/>
      </c>
      <c r="B4550" s="361" t="s">
        <v>2057</v>
      </c>
      <c r="C4550" s="360"/>
      <c r="D4550" s="327">
        <f>IF($B4550="","",COUNTIF($B$6:$B4550,$B4550))</f>
        <v>12</v>
      </c>
      <c r="E4550" s="363" t="s">
        <v>290</v>
      </c>
      <c r="F4550" s="382" t="s">
        <v>291</v>
      </c>
      <c r="G4550" s="327" t="s">
        <v>296</v>
      </c>
      <c r="H4550" s="361"/>
      <c r="I4550" s="445">
        <v>2</v>
      </c>
      <c r="J4550" s="446"/>
      <c r="K4550" s="327"/>
      <c r="L4550" s="389">
        <v>4500</v>
      </c>
      <c r="M4550" s="355"/>
      <c r="N4550" s="355" t="str">
        <f t="shared" si="360"/>
        <v>PK</v>
      </c>
      <c r="O4550" s="345"/>
      <c r="P4550" s="361"/>
      <c r="Q4550" s="327"/>
      <c r="R4550" s="351"/>
      <c r="S4550" s="351"/>
      <c r="T4550" s="351"/>
      <c r="U4550" s="329" t="str">
        <f>IF($N4550=$N$4,IFERROR(INDEX(DanhMuc!$E$154:$E$165,MATCH(MID($B4550,4,2),DanhMuc!$B$154:$B$165,0)),""),"")</f>
        <v/>
      </c>
      <c r="V4550" s="361"/>
      <c r="W4550" s="345"/>
      <c r="X4550" s="329" t="str">
        <f t="shared" si="361"/>
        <v>CM</v>
      </c>
      <c r="Y4550" s="1128" t="s">
        <v>3380</v>
      </c>
      <c r="Z4550" s="1128" t="s">
        <v>3381</v>
      </c>
      <c r="AA4550" s="1128" t="s">
        <v>3384</v>
      </c>
      <c r="AB4550" s="20"/>
      <c r="AC4550" s="73"/>
    </row>
    <row r="4551" spans="1:29">
      <c r="A4551" s="327" t="str">
        <f>IF(AND($B4551&lt;&gt;"",$C4551&lt;&gt;""),MAX($A$1556:A4526)+1,"")</f>
        <v/>
      </c>
      <c r="B4551" s="361" t="s">
        <v>2057</v>
      </c>
      <c r="C4551" s="360"/>
      <c r="D4551" s="327">
        <f>IF($B4551="","",COUNTIF($B$6:$B4551,$B4551))</f>
        <v>13</v>
      </c>
      <c r="E4551" s="363" t="s">
        <v>292</v>
      </c>
      <c r="F4551" s="382" t="s">
        <v>166</v>
      </c>
      <c r="G4551" s="327" t="s">
        <v>296</v>
      </c>
      <c r="H4551" s="361"/>
      <c r="I4551" s="445">
        <v>2</v>
      </c>
      <c r="J4551" s="446"/>
      <c r="K4551" s="327"/>
      <c r="L4551" s="389">
        <v>4500</v>
      </c>
      <c r="M4551" s="355"/>
      <c r="N4551" s="355" t="str">
        <f t="shared" si="360"/>
        <v>PK</v>
      </c>
      <c r="O4551" s="345"/>
      <c r="P4551" s="361"/>
      <c r="Q4551" s="327"/>
      <c r="R4551" s="351"/>
      <c r="S4551" s="351"/>
      <c r="T4551" s="351"/>
      <c r="U4551" s="329" t="str">
        <f>IF($N4551=$N$4,IFERROR(INDEX(DanhMuc!$E$154:$E$165,MATCH(MID($B4551,4,2),DanhMuc!$B$154:$B$165,0)),""),"")</f>
        <v/>
      </c>
      <c r="V4551" s="361"/>
      <c r="W4551" s="345"/>
      <c r="X4551" s="329" t="str">
        <f t="shared" si="361"/>
        <v>CM</v>
      </c>
      <c r="Y4551" s="1128" t="s">
        <v>3380</v>
      </c>
      <c r="Z4551" s="1128" t="s">
        <v>3381</v>
      </c>
      <c r="AA4551" s="1128" t="s">
        <v>3384</v>
      </c>
      <c r="AB4551" s="20"/>
      <c r="AC4551" s="73"/>
    </row>
    <row r="4552" spans="1:29">
      <c r="A4552" s="327" t="str">
        <f>IF(AND($B4552&lt;&gt;"",$C4552&lt;&gt;""),MAX($A$1556:A4527)+1,"")</f>
        <v/>
      </c>
      <c r="B4552" s="361" t="s">
        <v>2057</v>
      </c>
      <c r="C4552" s="360"/>
      <c r="D4552" s="327">
        <f>IF($B4552="","",COUNTIF($B$6:$B4552,$B4552))</f>
        <v>14</v>
      </c>
      <c r="E4552" s="363" t="s">
        <v>293</v>
      </c>
      <c r="F4552" s="382" t="s">
        <v>170</v>
      </c>
      <c r="G4552" s="327" t="s">
        <v>296</v>
      </c>
      <c r="H4552" s="361"/>
      <c r="I4552" s="445">
        <v>2</v>
      </c>
      <c r="J4552" s="446"/>
      <c r="K4552" s="327"/>
      <c r="L4552" s="389">
        <v>4500</v>
      </c>
      <c r="M4552" s="355"/>
      <c r="N4552" s="355" t="str">
        <f t="shared" si="360"/>
        <v>PK</v>
      </c>
      <c r="O4552" s="345"/>
      <c r="P4552" s="361"/>
      <c r="Q4552" s="327"/>
      <c r="R4552" s="351"/>
      <c r="S4552" s="351"/>
      <c r="T4552" s="351"/>
      <c r="U4552" s="329" t="str">
        <f>IF($N4552=$N$4,IFERROR(INDEX(DanhMuc!$E$154:$E$165,MATCH(MID($B4552,4,2),DanhMuc!$B$154:$B$165,0)),""),"")</f>
        <v/>
      </c>
      <c r="V4552" s="361"/>
      <c r="W4552" s="345"/>
      <c r="X4552" s="329" t="str">
        <f t="shared" si="361"/>
        <v>CM</v>
      </c>
      <c r="Y4552" s="1128" t="s">
        <v>3380</v>
      </c>
      <c r="Z4552" s="1128" t="s">
        <v>3381</v>
      </c>
      <c r="AA4552" s="1128" t="s">
        <v>3384</v>
      </c>
      <c r="AB4552" s="20"/>
      <c r="AC4552" s="73"/>
    </row>
    <row r="4553" spans="1:29">
      <c r="A4553" s="327" t="str">
        <f>IF(AND($B4553&lt;&gt;"",$C4553&lt;&gt;""),MAX($A$1556:A4528)+1,"")</f>
        <v/>
      </c>
      <c r="B4553" s="361" t="s">
        <v>2057</v>
      </c>
      <c r="C4553" s="360"/>
      <c r="D4553" s="327">
        <f>IF($B4553="","",COUNTIF($B$6:$B4553,$B4553))</f>
        <v>15</v>
      </c>
      <c r="E4553" s="363" t="s">
        <v>294</v>
      </c>
      <c r="F4553" s="382" t="s">
        <v>164</v>
      </c>
      <c r="G4553" s="327" t="s">
        <v>296</v>
      </c>
      <c r="H4553" s="361"/>
      <c r="I4553" s="445">
        <v>1</v>
      </c>
      <c r="J4553" s="446"/>
      <c r="K4553" s="327"/>
      <c r="L4553" s="389">
        <v>12000</v>
      </c>
      <c r="M4553" s="355"/>
      <c r="N4553" s="355" t="str">
        <f t="shared" si="360"/>
        <v>PK</v>
      </c>
      <c r="O4553" s="345"/>
      <c r="P4553" s="361"/>
      <c r="Q4553" s="327"/>
      <c r="R4553" s="351"/>
      <c r="S4553" s="351"/>
      <c r="T4553" s="351"/>
      <c r="U4553" s="329" t="str">
        <f>IF($N4553=$N$4,IFERROR(INDEX(DanhMuc!$E$154:$E$165,MATCH(MID($B4553,4,2),DanhMuc!$B$154:$B$165,0)),""),"")</f>
        <v/>
      </c>
      <c r="V4553" s="361"/>
      <c r="W4553" s="345"/>
      <c r="X4553" s="329" t="str">
        <f t="shared" si="361"/>
        <v>CM</v>
      </c>
      <c r="Y4553" s="1128" t="s">
        <v>3380</v>
      </c>
      <c r="Z4553" s="1128" t="s">
        <v>3381</v>
      </c>
      <c r="AA4553" s="1128" t="s">
        <v>3384</v>
      </c>
      <c r="AB4553" s="20"/>
      <c r="AC4553" s="73"/>
    </row>
    <row r="4554" spans="1:29" ht="37.5">
      <c r="A4554" s="327">
        <f>IF(AND($B4554&lt;&gt;"",$C4554&lt;&gt;""),MAX($A$1556:A4529)+1,"")</f>
        <v>206</v>
      </c>
      <c r="B4554" s="359" t="s">
        <v>2058</v>
      </c>
      <c r="C4554" s="360" t="s">
        <v>1542</v>
      </c>
      <c r="D4554" s="327">
        <f>IF($B4554="","",COUNTIF($B$6:$B4554,$B4554))</f>
        <v>1</v>
      </c>
      <c r="E4554" s="361" t="s">
        <v>455</v>
      </c>
      <c r="F4554" s="362" t="s">
        <v>456</v>
      </c>
      <c r="G4554" s="327" t="s">
        <v>296</v>
      </c>
      <c r="H4554" s="361"/>
      <c r="I4554" s="327">
        <v>1</v>
      </c>
      <c r="J4554" s="361"/>
      <c r="K4554" s="327"/>
      <c r="L4554" s="389">
        <v>318700</v>
      </c>
      <c r="M4554" s="355"/>
      <c r="N4554" s="355" t="str">
        <f t="shared" si="360"/>
        <v>PK</v>
      </c>
      <c r="O4554" s="345"/>
      <c r="P4554" s="392"/>
      <c r="Q4554" s="327"/>
      <c r="R4554" s="351"/>
      <c r="S4554" s="351"/>
      <c r="T4554" s="351"/>
      <c r="U4554" s="329" t="str">
        <f>IF($N4554=$N$4,IFERROR(INDEX(DanhMuc!$E$154:$E$165,MATCH(MID($B4554,4,2),DanhMuc!$B$154:$B$165,0)),""),"")</f>
        <v/>
      </c>
      <c r="V4554" s="361"/>
      <c r="W4554" s="345"/>
      <c r="X4554" s="329" t="str">
        <f t="shared" si="361"/>
        <v>CM</v>
      </c>
      <c r="Y4554" s="1128" t="s">
        <v>3380</v>
      </c>
      <c r="Z4554" s="1128" t="s">
        <v>3381</v>
      </c>
      <c r="AA4554" s="1128" t="s">
        <v>3384</v>
      </c>
      <c r="AB4554" s="20"/>
      <c r="AC4554" s="73"/>
    </row>
    <row r="4555" spans="1:29" ht="25">
      <c r="A4555" s="327" t="str">
        <f>IF(AND($B4555&lt;&gt;"",$C4555&lt;&gt;""),MAX($A$1556:A4530)+1,"")</f>
        <v/>
      </c>
      <c r="B4555" s="361" t="s">
        <v>2058</v>
      </c>
      <c r="C4555" s="360"/>
      <c r="D4555" s="327">
        <f>IF($B4555="","",COUNTIF($B$6:$B4555,$B4555))</f>
        <v>2</v>
      </c>
      <c r="E4555" s="361" t="s">
        <v>457</v>
      </c>
      <c r="F4555" s="362" t="s">
        <v>458</v>
      </c>
      <c r="G4555" s="327" t="s">
        <v>296</v>
      </c>
      <c r="H4555" s="361"/>
      <c r="I4555" s="327"/>
      <c r="J4555" s="345"/>
      <c r="K4555" s="327"/>
      <c r="L4555" s="389">
        <v>350700</v>
      </c>
      <c r="M4555" s="355"/>
      <c r="N4555" s="355" t="str">
        <f t="shared" si="360"/>
        <v>PK</v>
      </c>
      <c r="O4555" s="345"/>
      <c r="P4555" s="392"/>
      <c r="Q4555" s="327"/>
      <c r="R4555" s="351"/>
      <c r="S4555" s="351"/>
      <c r="T4555" s="351"/>
      <c r="U4555" s="329" t="str">
        <f>IF($N4555=$N$4,IFERROR(INDEX(DanhMuc!$E$154:$E$165,MATCH(MID($B4555,4,2),DanhMuc!$B$154:$B$165,0)),""),"")</f>
        <v/>
      </c>
      <c r="V4555" s="361"/>
      <c r="W4555" s="345"/>
      <c r="X4555" s="329" t="str">
        <f t="shared" si="361"/>
        <v>CM</v>
      </c>
      <c r="Y4555" s="1128" t="s">
        <v>3380</v>
      </c>
      <c r="Z4555" s="1128" t="s">
        <v>3381</v>
      </c>
      <c r="AA4555" s="1128" t="s">
        <v>3384</v>
      </c>
      <c r="AB4555" s="20"/>
      <c r="AC4555" s="73"/>
    </row>
    <row r="4556" spans="1:29" ht="37.5">
      <c r="A4556" s="327" t="str">
        <f>IF(AND($B4556&lt;&gt;"",$C4556&lt;&gt;""),MAX($A$1556:A4531)+1,"")</f>
        <v/>
      </c>
      <c r="B4556" s="361" t="s">
        <v>2058</v>
      </c>
      <c r="C4556" s="360"/>
      <c r="D4556" s="327">
        <f>IF($B4556="","",COUNTIF($B$6:$B4556,$B4556))</f>
        <v>3</v>
      </c>
      <c r="E4556" s="361" t="s">
        <v>459</v>
      </c>
      <c r="F4556" s="362" t="s">
        <v>460</v>
      </c>
      <c r="G4556" s="327" t="s">
        <v>296</v>
      </c>
      <c r="H4556" s="361"/>
      <c r="I4556" s="327"/>
      <c r="J4556" s="361"/>
      <c r="K4556" s="327"/>
      <c r="L4556" s="389">
        <v>232300</v>
      </c>
      <c r="M4556" s="355"/>
      <c r="N4556" s="355" t="str">
        <f t="shared" si="360"/>
        <v>PK</v>
      </c>
      <c r="O4556" s="345"/>
      <c r="P4556" s="392"/>
      <c r="Q4556" s="327"/>
      <c r="R4556" s="351"/>
      <c r="S4556" s="351"/>
      <c r="T4556" s="351"/>
      <c r="U4556" s="329" t="str">
        <f>IF($N4556=$N$4,IFERROR(INDEX(DanhMuc!$E$154:$E$165,MATCH(MID($B4556,4,2),DanhMuc!$B$154:$B$165,0)),""),"")</f>
        <v/>
      </c>
      <c r="V4556" s="361"/>
      <c r="W4556" s="345"/>
      <c r="X4556" s="329" t="str">
        <f t="shared" si="361"/>
        <v>CM</v>
      </c>
      <c r="Y4556" s="1128" t="s">
        <v>3380</v>
      </c>
      <c r="Z4556" s="1128" t="s">
        <v>3381</v>
      </c>
      <c r="AA4556" s="1128" t="s">
        <v>3384</v>
      </c>
      <c r="AB4556" s="20"/>
      <c r="AC4556" s="73"/>
    </row>
    <row r="4557" spans="1:29" ht="25">
      <c r="A4557" s="327" t="str">
        <f>IF(AND($B4557&lt;&gt;"",$C4557&lt;&gt;""),MAX($A$1556:A4532)+1,"")</f>
        <v/>
      </c>
      <c r="B4557" s="361" t="s">
        <v>2058</v>
      </c>
      <c r="C4557" s="360"/>
      <c r="D4557" s="327">
        <f>IF($B4557="","",COUNTIF($B$6:$B4557,$B4557))</f>
        <v>4</v>
      </c>
      <c r="E4557" s="361" t="s">
        <v>461</v>
      </c>
      <c r="F4557" s="362" t="s">
        <v>462</v>
      </c>
      <c r="G4557" s="327" t="s">
        <v>296</v>
      </c>
      <c r="H4557" s="361"/>
      <c r="I4557" s="327">
        <v>1</v>
      </c>
      <c r="J4557" s="361"/>
      <c r="K4557" s="327"/>
      <c r="L4557" s="389">
        <v>25000</v>
      </c>
      <c r="M4557" s="355"/>
      <c r="N4557" s="355" t="str">
        <f t="shared" si="360"/>
        <v>PK</v>
      </c>
      <c r="O4557" s="345"/>
      <c r="P4557" s="392"/>
      <c r="Q4557" s="327"/>
      <c r="R4557" s="351"/>
      <c r="S4557" s="351"/>
      <c r="T4557" s="351"/>
      <c r="U4557" s="329" t="str">
        <f>IF($N4557=$N$4,IFERROR(INDEX(DanhMuc!$E$154:$E$165,MATCH(MID($B4557,4,2),DanhMuc!$B$154:$B$165,0)),""),"")</f>
        <v/>
      </c>
      <c r="V4557" s="361"/>
      <c r="W4557" s="345"/>
      <c r="X4557" s="329" t="str">
        <f t="shared" si="361"/>
        <v>CM</v>
      </c>
      <c r="Y4557" s="1128" t="s">
        <v>3380</v>
      </c>
      <c r="Z4557" s="1128" t="s">
        <v>3381</v>
      </c>
      <c r="AA4557" s="1128" t="s">
        <v>3384</v>
      </c>
      <c r="AB4557" s="20"/>
      <c r="AC4557" s="73"/>
    </row>
    <row r="4558" spans="1:29">
      <c r="A4558" s="327" t="str">
        <f>IF(AND($B4558&lt;&gt;"",$C4558&lt;&gt;""),MAX($A$1556:A4533)+1,"")</f>
        <v/>
      </c>
      <c r="B4558" s="361" t="s">
        <v>2058</v>
      </c>
      <c r="C4558" s="360"/>
      <c r="D4558" s="327">
        <f>IF($B4558="","",COUNTIF($B$6:$B4558,$B4558))</f>
        <v>5</v>
      </c>
      <c r="E4558" s="361" t="s">
        <v>463</v>
      </c>
      <c r="F4558" s="362" t="s">
        <v>464</v>
      </c>
      <c r="G4558" s="327" t="s">
        <v>296</v>
      </c>
      <c r="H4558" s="361"/>
      <c r="I4558" s="327">
        <v>1</v>
      </c>
      <c r="J4558" s="345"/>
      <c r="K4558" s="327"/>
      <c r="L4558" s="389">
        <v>69900</v>
      </c>
      <c r="M4558" s="355"/>
      <c r="N4558" s="355" t="str">
        <f t="shared" si="360"/>
        <v>PK</v>
      </c>
      <c r="O4558" s="345"/>
      <c r="P4558" s="392"/>
      <c r="Q4558" s="327"/>
      <c r="R4558" s="351"/>
      <c r="S4558" s="351"/>
      <c r="T4558" s="351"/>
      <c r="U4558" s="329" t="str">
        <f>IF($N4558=$N$4,IFERROR(INDEX(DanhMuc!$E$154:$E$165,MATCH(MID($B4558,4,2),DanhMuc!$B$154:$B$165,0)),""),"")</f>
        <v/>
      </c>
      <c r="V4558" s="361"/>
      <c r="W4558" s="345"/>
      <c r="X4558" s="329" t="str">
        <f t="shared" si="361"/>
        <v>CM</v>
      </c>
      <c r="Y4558" s="1128" t="s">
        <v>3380</v>
      </c>
      <c r="Z4558" s="1128" t="s">
        <v>3381</v>
      </c>
      <c r="AA4558" s="1128" t="s">
        <v>3384</v>
      </c>
      <c r="AB4558" s="20"/>
      <c r="AC4558" s="73"/>
    </row>
    <row r="4559" spans="1:29">
      <c r="A4559" s="327" t="str">
        <f>IF(AND($B4559&lt;&gt;"",$C4559&lt;&gt;""),MAX($A$1556:A4534)+1,"")</f>
        <v/>
      </c>
      <c r="B4559" s="361" t="s">
        <v>2058</v>
      </c>
      <c r="C4559" s="360"/>
      <c r="D4559" s="327">
        <f>IF($B4559="","",COUNTIF($B$6:$B4559,$B4559))</f>
        <v>6</v>
      </c>
      <c r="E4559" s="361" t="s">
        <v>305</v>
      </c>
      <c r="F4559" s="362" t="s">
        <v>306</v>
      </c>
      <c r="G4559" s="327" t="s">
        <v>296</v>
      </c>
      <c r="H4559" s="361"/>
      <c r="I4559" s="327">
        <v>2</v>
      </c>
      <c r="J4559" s="345"/>
      <c r="K4559" s="327"/>
      <c r="L4559" s="389">
        <v>45900</v>
      </c>
      <c r="M4559" s="355"/>
      <c r="N4559" s="355" t="str">
        <f t="shared" si="360"/>
        <v>PK</v>
      </c>
      <c r="O4559" s="345"/>
      <c r="P4559" s="392"/>
      <c r="Q4559" s="327"/>
      <c r="R4559" s="351"/>
      <c r="S4559" s="351"/>
      <c r="T4559" s="351"/>
      <c r="U4559" s="329" t="str">
        <f>IF($N4559=$N$4,IFERROR(INDEX(DanhMuc!$E$154:$E$165,MATCH(MID($B4559,4,2),DanhMuc!$B$154:$B$165,0)),""),"")</f>
        <v/>
      </c>
      <c r="V4559" s="361"/>
      <c r="W4559" s="345"/>
      <c r="X4559" s="329" t="str">
        <f t="shared" si="361"/>
        <v>CM</v>
      </c>
      <c r="Y4559" s="1128" t="s">
        <v>3380</v>
      </c>
      <c r="Z4559" s="1128" t="s">
        <v>3381</v>
      </c>
      <c r="AA4559" s="1128" t="s">
        <v>3384</v>
      </c>
      <c r="AB4559" s="20"/>
      <c r="AC4559" s="73"/>
    </row>
    <row r="4560" spans="1:29" ht="25">
      <c r="A4560" s="327" t="str">
        <f>IF(AND($B4560&lt;&gt;"",$C4560&lt;&gt;""),MAX($A$1556:A4535)+1,"")</f>
        <v/>
      </c>
      <c r="B4560" s="361" t="s">
        <v>2058</v>
      </c>
      <c r="C4560" s="360"/>
      <c r="D4560" s="327">
        <f>IF($B4560="","",COUNTIF($B$6:$B4560,$B4560))</f>
        <v>7</v>
      </c>
      <c r="E4560" s="361" t="s">
        <v>490</v>
      </c>
      <c r="F4560" s="362" t="s">
        <v>491</v>
      </c>
      <c r="G4560" s="327" t="s">
        <v>296</v>
      </c>
      <c r="H4560" s="361"/>
      <c r="I4560" s="327">
        <v>2</v>
      </c>
      <c r="J4560" s="345"/>
      <c r="K4560" s="327"/>
      <c r="L4560" s="389">
        <v>29200</v>
      </c>
      <c r="M4560" s="355"/>
      <c r="N4560" s="355" t="str">
        <f t="shared" si="360"/>
        <v>PK</v>
      </c>
      <c r="O4560" s="345"/>
      <c r="P4560" s="392"/>
      <c r="Q4560" s="327"/>
      <c r="R4560" s="351"/>
      <c r="S4560" s="351"/>
      <c r="T4560" s="351"/>
      <c r="U4560" s="329" t="str">
        <f>IF($N4560=$N$4,IFERROR(INDEX(DanhMuc!$E$154:$E$165,MATCH(MID($B4560,4,2),DanhMuc!$B$154:$B$165,0)),""),"")</f>
        <v/>
      </c>
      <c r="V4560" s="361"/>
      <c r="W4560" s="345"/>
      <c r="X4560" s="329" t="str">
        <f t="shared" si="361"/>
        <v>CM</v>
      </c>
      <c r="Y4560" s="1128" t="s">
        <v>3380</v>
      </c>
      <c r="Z4560" s="1128" t="s">
        <v>3381</v>
      </c>
      <c r="AA4560" s="1128" t="s">
        <v>3384</v>
      </c>
      <c r="AB4560" s="20"/>
      <c r="AC4560" s="73"/>
    </row>
    <row r="4561" spans="1:29" ht="25">
      <c r="A4561" s="327" t="str">
        <f>IF(AND($B4561&lt;&gt;"",$C4561&lt;&gt;""),MAX($A$1556:A4536)+1,"")</f>
        <v/>
      </c>
      <c r="B4561" s="361" t="s">
        <v>2058</v>
      </c>
      <c r="C4561" s="360"/>
      <c r="D4561" s="327">
        <f>IF($B4561="","",COUNTIF($B$6:$B4561,$B4561))</f>
        <v>8</v>
      </c>
      <c r="E4561" s="361" t="s">
        <v>467</v>
      </c>
      <c r="F4561" s="362" t="s">
        <v>468</v>
      </c>
      <c r="G4561" s="327" t="s">
        <v>297</v>
      </c>
      <c r="H4561" s="361"/>
      <c r="I4561" s="327">
        <v>1</v>
      </c>
      <c r="J4561" s="345"/>
      <c r="K4561" s="327"/>
      <c r="L4561" s="389">
        <v>263000</v>
      </c>
      <c r="M4561" s="355"/>
      <c r="N4561" s="355" t="str">
        <f t="shared" si="360"/>
        <v>PK</v>
      </c>
      <c r="O4561" s="407" t="s">
        <v>1698</v>
      </c>
      <c r="P4561" s="392"/>
      <c r="Q4561" s="327"/>
      <c r="R4561" s="351"/>
      <c r="S4561" s="351"/>
      <c r="T4561" s="351"/>
      <c r="U4561" s="329" t="str">
        <f>IF($N4561=$N$4,IFERROR(INDEX(DanhMuc!$E$154:$E$165,MATCH(MID($B4561,4,2),DanhMuc!$B$154:$B$165,0)),""),"")</f>
        <v/>
      </c>
      <c r="V4561" s="361"/>
      <c r="W4561" s="345"/>
      <c r="X4561" s="329" t="str">
        <f t="shared" si="361"/>
        <v>CM</v>
      </c>
      <c r="Y4561" s="1128" t="s">
        <v>3380</v>
      </c>
      <c r="Z4561" s="1128" t="s">
        <v>3381</v>
      </c>
      <c r="AA4561" s="1128" t="s">
        <v>3384</v>
      </c>
      <c r="AB4561" s="20"/>
      <c r="AC4561" s="73"/>
    </row>
    <row r="4562" spans="1:29" ht="25">
      <c r="A4562" s="327" t="str">
        <f>IF(AND($B4562&lt;&gt;"",$C4562&lt;&gt;""),MAX($A$1556:A4537)+1,"")</f>
        <v/>
      </c>
      <c r="B4562" s="361" t="s">
        <v>2058</v>
      </c>
      <c r="C4562" s="360"/>
      <c r="D4562" s="327">
        <f>IF($B4562="","",COUNTIF($B$6:$B4562,$B4562))</f>
        <v>9</v>
      </c>
      <c r="E4562" s="361" t="s">
        <v>469</v>
      </c>
      <c r="F4562" s="362" t="s">
        <v>470</v>
      </c>
      <c r="G4562" s="327" t="s">
        <v>297</v>
      </c>
      <c r="H4562" s="361"/>
      <c r="I4562" s="327">
        <v>1</v>
      </c>
      <c r="J4562" s="345"/>
      <c r="K4562" s="327"/>
      <c r="L4562" s="389">
        <v>290000</v>
      </c>
      <c r="M4562" s="355"/>
      <c r="N4562" s="355" t="str">
        <f t="shared" si="360"/>
        <v>PK</v>
      </c>
      <c r="O4562" s="407" t="s">
        <v>1699</v>
      </c>
      <c r="P4562" s="392"/>
      <c r="Q4562" s="327"/>
      <c r="R4562" s="351"/>
      <c r="S4562" s="351"/>
      <c r="T4562" s="351"/>
      <c r="U4562" s="329" t="str">
        <f>IF($N4562=$N$4,IFERROR(INDEX(DanhMuc!$E$154:$E$165,MATCH(MID($B4562,4,2),DanhMuc!$B$154:$B$165,0)),""),"")</f>
        <v/>
      </c>
      <c r="V4562" s="361"/>
      <c r="W4562" s="345"/>
      <c r="X4562" s="329" t="str">
        <f t="shared" si="361"/>
        <v>CM</v>
      </c>
      <c r="Y4562" s="1128" t="s">
        <v>3380</v>
      </c>
      <c r="Z4562" s="1128" t="s">
        <v>3381</v>
      </c>
      <c r="AA4562" s="1128" t="s">
        <v>3384</v>
      </c>
      <c r="AB4562" s="20"/>
      <c r="AC4562" s="73"/>
    </row>
    <row r="4563" spans="1:29" ht="25">
      <c r="A4563" s="327" t="str">
        <f>IF(AND($B4563&lt;&gt;"",$C4563&lt;&gt;""),MAX($A$1556:A4538)+1,"")</f>
        <v/>
      </c>
      <c r="B4563" s="361" t="s">
        <v>2058</v>
      </c>
      <c r="C4563" s="360"/>
      <c r="D4563" s="327">
        <f>IF($B4563="","",COUNTIF($B$6:$B4563,$B4563))</f>
        <v>10</v>
      </c>
      <c r="E4563" s="361" t="s">
        <v>471</v>
      </c>
      <c r="F4563" s="362" t="s">
        <v>472</v>
      </c>
      <c r="G4563" s="327" t="s">
        <v>297</v>
      </c>
      <c r="H4563" s="361"/>
      <c r="I4563" s="327">
        <v>1</v>
      </c>
      <c r="J4563" s="361"/>
      <c r="K4563" s="327"/>
      <c r="L4563" s="389">
        <v>324000</v>
      </c>
      <c r="M4563" s="355"/>
      <c r="N4563" s="355" t="str">
        <f t="shared" si="360"/>
        <v>PK</v>
      </c>
      <c r="O4563" s="407" t="s">
        <v>1700</v>
      </c>
      <c r="P4563" s="392"/>
      <c r="Q4563" s="327"/>
      <c r="R4563" s="351"/>
      <c r="S4563" s="351"/>
      <c r="T4563" s="351"/>
      <c r="U4563" s="329" t="str">
        <f>IF($N4563=$N$4,IFERROR(INDEX(DanhMuc!$E$154:$E$165,MATCH(MID($B4563,4,2),DanhMuc!$B$154:$B$165,0)),""),"")</f>
        <v/>
      </c>
      <c r="V4563" s="361"/>
      <c r="W4563" s="345"/>
      <c r="X4563" s="329" t="str">
        <f t="shared" si="361"/>
        <v>CM</v>
      </c>
      <c r="Y4563" s="1128" t="s">
        <v>3380</v>
      </c>
      <c r="Z4563" s="1128" t="s">
        <v>3381</v>
      </c>
      <c r="AA4563" s="1128" t="s">
        <v>3384</v>
      </c>
      <c r="AB4563" s="20"/>
      <c r="AC4563" s="73"/>
    </row>
    <row r="4564" spans="1:29" ht="25">
      <c r="A4564" s="327" t="str">
        <f>IF(AND($B4564&lt;&gt;"",$C4564&lt;&gt;""),MAX($A$1556:A4539)+1,"")</f>
        <v/>
      </c>
      <c r="B4564" s="361" t="s">
        <v>2058</v>
      </c>
      <c r="C4564" s="360"/>
      <c r="D4564" s="327">
        <f>IF($B4564="","",COUNTIF($B$6:$B4564,$B4564))</f>
        <v>11</v>
      </c>
      <c r="E4564" s="361" t="s">
        <v>473</v>
      </c>
      <c r="F4564" s="362" t="s">
        <v>474</v>
      </c>
      <c r="G4564" s="327" t="s">
        <v>297</v>
      </c>
      <c r="H4564" s="361"/>
      <c r="I4564" s="327">
        <v>1</v>
      </c>
      <c r="J4564" s="345"/>
      <c r="K4564" s="327"/>
      <c r="L4564" s="389">
        <v>359200</v>
      </c>
      <c r="M4564" s="355"/>
      <c r="N4564" s="355" t="str">
        <f t="shared" si="360"/>
        <v>PK</v>
      </c>
      <c r="O4564" s="407" t="s">
        <v>1701</v>
      </c>
      <c r="P4564" s="392"/>
      <c r="Q4564" s="327"/>
      <c r="R4564" s="351"/>
      <c r="S4564" s="351"/>
      <c r="T4564" s="351"/>
      <c r="U4564" s="329" t="str">
        <f>IF($N4564=$N$4,IFERROR(INDEX(DanhMuc!$E$154:$E$165,MATCH(MID($B4564,4,2),DanhMuc!$B$154:$B$165,0)),""),"")</f>
        <v/>
      </c>
      <c r="V4564" s="361"/>
      <c r="W4564" s="345"/>
      <c r="X4564" s="329" t="str">
        <f t="shared" si="361"/>
        <v>CM</v>
      </c>
      <c r="Y4564" s="1128" t="s">
        <v>3380</v>
      </c>
      <c r="Z4564" s="1128" t="s">
        <v>3381</v>
      </c>
      <c r="AA4564" s="1128" t="s">
        <v>3384</v>
      </c>
      <c r="AB4564" s="20"/>
      <c r="AC4564" s="73"/>
    </row>
    <row r="4565" spans="1:29" s="25" customFormat="1" ht="25">
      <c r="A4565" s="327" t="str">
        <f>IF(AND($B4565&lt;&gt;"",$C4565&lt;&gt;""),MAX($A$1556:A4540)+1,"")</f>
        <v/>
      </c>
      <c r="B4565" s="361" t="s">
        <v>2058</v>
      </c>
      <c r="C4565" s="346"/>
      <c r="D4565" s="327">
        <f>IF($B4565="","",COUNTIF($B$6:$B4565,$B4565))</f>
        <v>12</v>
      </c>
      <c r="E4565" s="361" t="s">
        <v>475</v>
      </c>
      <c r="F4565" s="362" t="s">
        <v>476</v>
      </c>
      <c r="G4565" s="327" t="s">
        <v>297</v>
      </c>
      <c r="H4565" s="365"/>
      <c r="I4565" s="327">
        <v>1</v>
      </c>
      <c r="J4565" s="365"/>
      <c r="K4565" s="367"/>
      <c r="L4565" s="389">
        <v>431100</v>
      </c>
      <c r="M4565" s="371"/>
      <c r="N4565" s="355" t="str">
        <f t="shared" si="360"/>
        <v>PK</v>
      </c>
      <c r="O4565" s="407" t="s">
        <v>1703</v>
      </c>
      <c r="P4565" s="444"/>
      <c r="Q4565" s="327"/>
      <c r="R4565" s="351"/>
      <c r="S4565" s="351"/>
      <c r="T4565" s="351"/>
      <c r="U4565" s="329" t="str">
        <f>IF($N4565=$N$4,IFERROR(INDEX(DanhMuc!$E$154:$E$165,MATCH(MID($B4565,4,2),DanhMuc!$B$154:$B$165,0)),""),"")</f>
        <v/>
      </c>
      <c r="V4565" s="365"/>
      <c r="W4565" s="345"/>
      <c r="X4565" s="329" t="str">
        <f t="shared" si="361"/>
        <v>CM</v>
      </c>
      <c r="Y4565" s="1128" t="s">
        <v>3380</v>
      </c>
      <c r="Z4565" s="1128" t="s">
        <v>3381</v>
      </c>
      <c r="AA4565" s="1128" t="s">
        <v>3384</v>
      </c>
      <c r="AB4565" s="20"/>
      <c r="AC4565" s="73"/>
    </row>
    <row r="4566" spans="1:29">
      <c r="A4566" s="327" t="str">
        <f>IF(AND($B4566&lt;&gt;"",$C4566&lt;&gt;""),MAX($A$1556:A4541)+1,"")</f>
        <v/>
      </c>
      <c r="B4566" s="361" t="s">
        <v>2058</v>
      </c>
      <c r="C4566" s="360"/>
      <c r="D4566" s="327">
        <f>IF($B4566="","",COUNTIF($B$6:$B4566,$B4566))</f>
        <v>13</v>
      </c>
      <c r="E4566" s="365" t="s">
        <v>327</v>
      </c>
      <c r="F4566" s="368" t="s">
        <v>345</v>
      </c>
      <c r="G4566" s="367" t="s">
        <v>690</v>
      </c>
      <c r="H4566" s="361" t="s">
        <v>536</v>
      </c>
      <c r="I4566" s="327">
        <v>1</v>
      </c>
      <c r="J4566" s="345">
        <v>1400</v>
      </c>
      <c r="K4566" s="327"/>
      <c r="L4566" s="348">
        <f>+$S4566*$T4566*$L$37</f>
        <v>84651</v>
      </c>
      <c r="M4566" s="355"/>
      <c r="N4566" s="369" t="s">
        <v>150</v>
      </c>
      <c r="O4566" s="345"/>
      <c r="P4566" s="392"/>
      <c r="Q4566" s="327"/>
      <c r="R4566" s="351">
        <v>2.5</v>
      </c>
      <c r="S4566" s="351">
        <v>5.8</v>
      </c>
      <c r="T4566" s="351">
        <v>0.13900000000000001</v>
      </c>
      <c r="U4566" s="329">
        <f>IF($N4566=$N$4,IFERROR(INDEX(DanhMuc!$E$154:$E$165,MATCH(MID($B4566,4,2),DanhMuc!$B$154:$B$165,0)),""),"")</f>
        <v>5800</v>
      </c>
      <c r="V4566" s="361"/>
      <c r="W4566" s="345"/>
      <c r="X4566" s="329" t="str">
        <f t="shared" si="361"/>
        <v>C459</v>
      </c>
      <c r="Y4566" s="1128" t="s">
        <v>3380</v>
      </c>
      <c r="Z4566" s="1128" t="s">
        <v>3381</v>
      </c>
      <c r="AA4566" s="1128" t="s">
        <v>3384</v>
      </c>
      <c r="AB4566" s="20"/>
      <c r="AC4566" s="73"/>
    </row>
    <row r="4567" spans="1:29" ht="25">
      <c r="A4567" s="327" t="str">
        <f>IF(AND($B4567&lt;&gt;"",$C4567&lt;&gt;""),MAX($A$1556:A4542)+1,"")</f>
        <v/>
      </c>
      <c r="B4567" s="361" t="s">
        <v>2058</v>
      </c>
      <c r="C4567" s="360"/>
      <c r="D4567" s="327">
        <f>IF($B4567="","",COUNTIF($B$6:$B4567,$B4567))</f>
        <v>14</v>
      </c>
      <c r="E4567" s="361" t="s">
        <v>479</v>
      </c>
      <c r="F4567" s="362" t="s">
        <v>480</v>
      </c>
      <c r="G4567" s="327" t="s">
        <v>296</v>
      </c>
      <c r="H4567" s="361"/>
      <c r="I4567" s="327">
        <v>2</v>
      </c>
      <c r="J4567" s="361"/>
      <c r="K4567" s="327"/>
      <c r="L4567" s="389">
        <v>10700</v>
      </c>
      <c r="M4567" s="355"/>
      <c r="N4567" s="355" t="str">
        <f t="shared" ref="N4567:N4577" si="362">+$N$1555</f>
        <v>PK</v>
      </c>
      <c r="O4567" s="345"/>
      <c r="P4567" s="392"/>
      <c r="Q4567" s="327"/>
      <c r="R4567" s="351"/>
      <c r="S4567" s="351"/>
      <c r="T4567" s="351"/>
      <c r="U4567" s="329" t="str">
        <f>IF($N4567=$N$4,IFERROR(INDEX(DanhMuc!$E$154:$E$165,MATCH(MID($B4567,4,2),DanhMuc!$B$154:$B$165,0)),""),"")</f>
        <v/>
      </c>
      <c r="V4567" s="361"/>
      <c r="W4567" s="345"/>
      <c r="X4567" s="329" t="str">
        <f t="shared" si="361"/>
        <v>CM</v>
      </c>
      <c r="Y4567" s="1128" t="s">
        <v>3380</v>
      </c>
      <c r="Z4567" s="1128" t="s">
        <v>3381</v>
      </c>
      <c r="AA4567" s="1128" t="s">
        <v>3384</v>
      </c>
      <c r="AB4567" s="20"/>
      <c r="AC4567" s="73"/>
    </row>
    <row r="4568" spans="1:29" ht="37.5">
      <c r="A4568" s="327">
        <f>IF(AND($B4568&lt;&gt;"",$C4568&lt;&gt;""),MAX($A$1556:A4543)+1,"")</f>
        <v>207</v>
      </c>
      <c r="B4568" s="359" t="s">
        <v>2059</v>
      </c>
      <c r="C4568" s="360" t="s">
        <v>1543</v>
      </c>
      <c r="D4568" s="327">
        <f>IF($B4568="","",COUNTIF($B$6:$B4568,$B4568))</f>
        <v>1</v>
      </c>
      <c r="E4568" s="361" t="s">
        <v>455</v>
      </c>
      <c r="F4568" s="362" t="s">
        <v>456</v>
      </c>
      <c r="G4568" s="327" t="s">
        <v>296</v>
      </c>
      <c r="H4568" s="361"/>
      <c r="I4568" s="327">
        <v>1</v>
      </c>
      <c r="J4568" s="361"/>
      <c r="K4568" s="327"/>
      <c r="L4568" s="389">
        <v>318700</v>
      </c>
      <c r="M4568" s="355"/>
      <c r="N4568" s="355" t="str">
        <f t="shared" si="362"/>
        <v>PK</v>
      </c>
      <c r="O4568" s="345"/>
      <c r="P4568" s="392"/>
      <c r="Q4568" s="327"/>
      <c r="R4568" s="351"/>
      <c r="S4568" s="351"/>
      <c r="T4568" s="351"/>
      <c r="U4568" s="329" t="str">
        <f>IF($N4568=$N$4,IFERROR(INDEX(DanhMuc!$E$154:$E$165,MATCH(MID($B4568,4,2),DanhMuc!$B$154:$B$165,0)),""),"")</f>
        <v/>
      </c>
      <c r="V4568" s="361"/>
      <c r="W4568" s="345"/>
      <c r="X4568" s="329" t="str">
        <f t="shared" si="361"/>
        <v>CM</v>
      </c>
      <c r="Y4568" s="1128" t="s">
        <v>3380</v>
      </c>
      <c r="Z4568" s="1128" t="s">
        <v>3381</v>
      </c>
      <c r="AA4568" s="1128" t="s">
        <v>3384</v>
      </c>
      <c r="AB4568" s="20"/>
      <c r="AC4568" s="73"/>
    </row>
    <row r="4569" spans="1:29" ht="25">
      <c r="A4569" s="327" t="str">
        <f>IF(AND($B4569&lt;&gt;"",$C4569&lt;&gt;""),MAX($A$1556:A4544)+1,"")</f>
        <v/>
      </c>
      <c r="B4569" s="361" t="s">
        <v>2059</v>
      </c>
      <c r="C4569" s="360"/>
      <c r="D4569" s="327">
        <f>IF($B4569="","",COUNTIF($B$6:$B4569,$B4569))</f>
        <v>2</v>
      </c>
      <c r="E4569" s="361" t="s">
        <v>461</v>
      </c>
      <c r="F4569" s="362" t="s">
        <v>462</v>
      </c>
      <c r="G4569" s="327" t="s">
        <v>296</v>
      </c>
      <c r="H4569" s="361"/>
      <c r="I4569" s="327">
        <v>1</v>
      </c>
      <c r="J4569" s="345"/>
      <c r="K4569" s="327"/>
      <c r="L4569" s="389">
        <v>25000</v>
      </c>
      <c r="M4569" s="355"/>
      <c r="N4569" s="355" t="str">
        <f t="shared" si="362"/>
        <v>PK</v>
      </c>
      <c r="O4569" s="345"/>
      <c r="P4569" s="392"/>
      <c r="Q4569" s="327"/>
      <c r="R4569" s="351"/>
      <c r="S4569" s="351"/>
      <c r="T4569" s="351"/>
      <c r="U4569" s="329" t="str">
        <f>IF($N4569=$N$4,IFERROR(INDEX(DanhMuc!$E$154:$E$165,MATCH(MID($B4569,4,2),DanhMuc!$B$154:$B$165,0)),""),"")</f>
        <v/>
      </c>
      <c r="V4569" s="361"/>
      <c r="W4569" s="345"/>
      <c r="X4569" s="329" t="str">
        <f t="shared" si="361"/>
        <v>CM</v>
      </c>
      <c r="Y4569" s="1128" t="s">
        <v>3380</v>
      </c>
      <c r="Z4569" s="1128" t="s">
        <v>3381</v>
      </c>
      <c r="AA4569" s="1128" t="s">
        <v>3384</v>
      </c>
      <c r="AB4569" s="20"/>
      <c r="AC4569" s="73"/>
    </row>
    <row r="4570" spans="1:29">
      <c r="A4570" s="327" t="str">
        <f>IF(AND($B4570&lt;&gt;"",$C4570&lt;&gt;""),MAX($A$1556:A4545)+1,"")</f>
        <v/>
      </c>
      <c r="B4570" s="361" t="s">
        <v>2059</v>
      </c>
      <c r="C4570" s="360"/>
      <c r="D4570" s="327">
        <f>IF($B4570="","",COUNTIF($B$6:$B4570,$B4570))</f>
        <v>3</v>
      </c>
      <c r="E4570" s="361" t="s">
        <v>463</v>
      </c>
      <c r="F4570" s="362" t="s">
        <v>464</v>
      </c>
      <c r="G4570" s="327" t="s">
        <v>296</v>
      </c>
      <c r="H4570" s="361"/>
      <c r="I4570" s="327">
        <v>1</v>
      </c>
      <c r="J4570" s="361"/>
      <c r="K4570" s="327"/>
      <c r="L4570" s="389">
        <v>69900</v>
      </c>
      <c r="M4570" s="355"/>
      <c r="N4570" s="355" t="str">
        <f t="shared" si="362"/>
        <v>PK</v>
      </c>
      <c r="O4570" s="345"/>
      <c r="P4570" s="392"/>
      <c r="Q4570" s="327"/>
      <c r="R4570" s="351"/>
      <c r="S4570" s="351"/>
      <c r="T4570" s="351"/>
      <c r="U4570" s="329" t="str">
        <f>IF($N4570=$N$4,IFERROR(INDEX(DanhMuc!$E$154:$E$165,MATCH(MID($B4570,4,2),DanhMuc!$B$154:$B$165,0)),""),"")</f>
        <v/>
      </c>
      <c r="V4570" s="361"/>
      <c r="W4570" s="345"/>
      <c r="X4570" s="329" t="str">
        <f t="shared" si="361"/>
        <v>CM</v>
      </c>
      <c r="Y4570" s="1128" t="s">
        <v>3380</v>
      </c>
      <c r="Z4570" s="1128" t="s">
        <v>3381</v>
      </c>
      <c r="AA4570" s="1128" t="s">
        <v>3384</v>
      </c>
      <c r="AB4570" s="20"/>
      <c r="AC4570" s="73"/>
    </row>
    <row r="4571" spans="1:29">
      <c r="A4571" s="327" t="str">
        <f>IF(AND($B4571&lt;&gt;"",$C4571&lt;&gt;""),MAX($A$1556:A4546)+1,"")</f>
        <v/>
      </c>
      <c r="B4571" s="361" t="s">
        <v>2059</v>
      </c>
      <c r="C4571" s="360"/>
      <c r="D4571" s="327">
        <f>IF($B4571="","",COUNTIF($B$6:$B4571,$B4571))</f>
        <v>4</v>
      </c>
      <c r="E4571" s="361" t="s">
        <v>305</v>
      </c>
      <c r="F4571" s="362" t="s">
        <v>306</v>
      </c>
      <c r="G4571" s="327" t="s">
        <v>296</v>
      </c>
      <c r="H4571" s="361"/>
      <c r="I4571" s="327">
        <v>2</v>
      </c>
      <c r="J4571" s="361"/>
      <c r="K4571" s="327"/>
      <c r="L4571" s="389">
        <v>45900</v>
      </c>
      <c r="M4571" s="355"/>
      <c r="N4571" s="355" t="str">
        <f t="shared" si="362"/>
        <v>PK</v>
      </c>
      <c r="O4571" s="345"/>
      <c r="P4571" s="392"/>
      <c r="Q4571" s="327"/>
      <c r="R4571" s="351"/>
      <c r="S4571" s="351"/>
      <c r="T4571" s="351"/>
      <c r="U4571" s="329" t="str">
        <f>IF($N4571=$N$4,IFERROR(INDEX(DanhMuc!$E$154:$E$165,MATCH(MID($B4571,4,2),DanhMuc!$B$154:$B$165,0)),""),"")</f>
        <v/>
      </c>
      <c r="V4571" s="361"/>
      <c r="W4571" s="345"/>
      <c r="X4571" s="329" t="str">
        <f t="shared" si="361"/>
        <v>CM</v>
      </c>
      <c r="Y4571" s="1128" t="s">
        <v>3380</v>
      </c>
      <c r="Z4571" s="1128" t="s">
        <v>3381</v>
      </c>
      <c r="AA4571" s="1128" t="s">
        <v>3384</v>
      </c>
      <c r="AB4571" s="20"/>
      <c r="AC4571" s="73"/>
    </row>
    <row r="4572" spans="1:29">
      <c r="A4572" s="327" t="str">
        <f>IF(AND($B4572&lt;&gt;"",$C4572&lt;&gt;""),MAX($A$1556:A4547)+1,"")</f>
        <v/>
      </c>
      <c r="B4572" s="361" t="s">
        <v>2059</v>
      </c>
      <c r="C4572" s="360"/>
      <c r="D4572" s="327">
        <f>IF($B4572="","",COUNTIF($B$6:$B4572,$B4572))</f>
        <v>5</v>
      </c>
      <c r="E4572" s="361" t="s">
        <v>465</v>
      </c>
      <c r="F4572" s="362" t="s">
        <v>466</v>
      </c>
      <c r="G4572" s="327" t="s">
        <v>296</v>
      </c>
      <c r="H4572" s="361"/>
      <c r="I4572" s="327">
        <v>2</v>
      </c>
      <c r="J4572" s="345"/>
      <c r="K4572" s="327"/>
      <c r="L4572" s="389">
        <v>24900</v>
      </c>
      <c r="M4572" s="355"/>
      <c r="N4572" s="355" t="str">
        <f t="shared" si="362"/>
        <v>PK</v>
      </c>
      <c r="O4572" s="345"/>
      <c r="P4572" s="392"/>
      <c r="Q4572" s="327"/>
      <c r="R4572" s="351"/>
      <c r="S4572" s="351"/>
      <c r="T4572" s="351"/>
      <c r="U4572" s="329" t="str">
        <f>IF($N4572=$N$4,IFERROR(INDEX(DanhMuc!$E$154:$E$165,MATCH(MID($B4572,4,2),DanhMuc!$B$154:$B$165,0)),""),"")</f>
        <v/>
      </c>
      <c r="V4572" s="361"/>
      <c r="W4572" s="345"/>
      <c r="X4572" s="329" t="str">
        <f t="shared" si="361"/>
        <v>CM</v>
      </c>
      <c r="Y4572" s="1128" t="s">
        <v>3380</v>
      </c>
      <c r="Z4572" s="1128" t="s">
        <v>3381</v>
      </c>
      <c r="AA4572" s="1128" t="s">
        <v>3384</v>
      </c>
      <c r="AB4572" s="20"/>
      <c r="AC4572" s="73"/>
    </row>
    <row r="4573" spans="1:29" ht="25">
      <c r="A4573" s="327" t="str">
        <f>IF(AND($B4573&lt;&gt;"",$C4573&lt;&gt;""),MAX($A$1556:A4548)+1,"")</f>
        <v/>
      </c>
      <c r="B4573" s="361" t="s">
        <v>2059</v>
      </c>
      <c r="C4573" s="360"/>
      <c r="D4573" s="327">
        <f>IF($B4573="","",COUNTIF($B$6:$B4573,$B4573))</f>
        <v>6</v>
      </c>
      <c r="E4573" s="361" t="s">
        <v>467</v>
      </c>
      <c r="F4573" s="362" t="s">
        <v>468</v>
      </c>
      <c r="G4573" s="327" t="s">
        <v>297</v>
      </c>
      <c r="H4573" s="361"/>
      <c r="I4573" s="327">
        <v>2</v>
      </c>
      <c r="J4573" s="345"/>
      <c r="K4573" s="327"/>
      <c r="L4573" s="389">
        <v>263000</v>
      </c>
      <c r="M4573" s="355"/>
      <c r="N4573" s="355" t="str">
        <f t="shared" si="362"/>
        <v>PK</v>
      </c>
      <c r="O4573" s="407" t="s">
        <v>1698</v>
      </c>
      <c r="P4573" s="392"/>
      <c r="Q4573" s="327"/>
      <c r="R4573" s="351"/>
      <c r="S4573" s="351"/>
      <c r="T4573" s="351"/>
      <c r="U4573" s="329" t="str">
        <f>IF($N4573=$N$4,IFERROR(INDEX(DanhMuc!$E$154:$E$165,MATCH(MID($B4573,4,2),DanhMuc!$B$154:$B$165,0)),""),"")</f>
        <v/>
      </c>
      <c r="V4573" s="361"/>
      <c r="W4573" s="345"/>
      <c r="X4573" s="329" t="str">
        <f t="shared" si="361"/>
        <v>CM</v>
      </c>
      <c r="Y4573" s="1128" t="s">
        <v>3380</v>
      </c>
      <c r="Z4573" s="1128" t="s">
        <v>3381</v>
      </c>
      <c r="AA4573" s="1128" t="s">
        <v>3384</v>
      </c>
      <c r="AB4573" s="20"/>
      <c r="AC4573" s="73"/>
    </row>
    <row r="4574" spans="1:29" ht="25">
      <c r="A4574" s="327" t="str">
        <f>IF(AND($B4574&lt;&gt;"",$C4574&lt;&gt;""),MAX($A$1556:A4549)+1,"")</f>
        <v/>
      </c>
      <c r="B4574" s="361" t="s">
        <v>2059</v>
      </c>
      <c r="C4574" s="360"/>
      <c r="D4574" s="327">
        <f>IF($B4574="","",COUNTIF($B$6:$B4574,$B4574))</f>
        <v>7</v>
      </c>
      <c r="E4574" s="361" t="s">
        <v>469</v>
      </c>
      <c r="F4574" s="362" t="s">
        <v>470</v>
      </c>
      <c r="G4574" s="327" t="s">
        <v>297</v>
      </c>
      <c r="H4574" s="361"/>
      <c r="I4574" s="327">
        <v>2</v>
      </c>
      <c r="J4574" s="345"/>
      <c r="K4574" s="327"/>
      <c r="L4574" s="389">
        <v>290000</v>
      </c>
      <c r="M4574" s="355"/>
      <c r="N4574" s="355" t="str">
        <f t="shared" si="362"/>
        <v>PK</v>
      </c>
      <c r="O4574" s="407" t="s">
        <v>1699</v>
      </c>
      <c r="P4574" s="392"/>
      <c r="Q4574" s="327"/>
      <c r="R4574" s="351"/>
      <c r="S4574" s="351"/>
      <c r="T4574" s="351"/>
      <c r="U4574" s="329" t="str">
        <f>IF($N4574=$N$4,IFERROR(INDEX(DanhMuc!$E$154:$E$165,MATCH(MID($B4574,4,2),DanhMuc!$B$154:$B$165,0)),""),"")</f>
        <v/>
      </c>
      <c r="V4574" s="361"/>
      <c r="W4574" s="345"/>
      <c r="X4574" s="329" t="str">
        <f t="shared" si="361"/>
        <v>CM</v>
      </c>
      <c r="Y4574" s="1128" t="s">
        <v>3380</v>
      </c>
      <c r="Z4574" s="1128" t="s">
        <v>3381</v>
      </c>
      <c r="AA4574" s="1128" t="s">
        <v>3384</v>
      </c>
      <c r="AB4574" s="20"/>
      <c r="AC4574" s="73"/>
    </row>
    <row r="4575" spans="1:29" ht="25">
      <c r="A4575" s="327" t="str">
        <f>IF(AND($B4575&lt;&gt;"",$C4575&lt;&gt;""),MAX($A$1556:A4550)+1,"")</f>
        <v/>
      </c>
      <c r="B4575" s="361" t="s">
        <v>2059</v>
      </c>
      <c r="C4575" s="360"/>
      <c r="D4575" s="327">
        <f>IF($B4575="","",COUNTIF($B$6:$B4575,$B4575))</f>
        <v>8</v>
      </c>
      <c r="E4575" s="361" t="s">
        <v>471</v>
      </c>
      <c r="F4575" s="362" t="s">
        <v>472</v>
      </c>
      <c r="G4575" s="327" t="s">
        <v>297</v>
      </c>
      <c r="H4575" s="361"/>
      <c r="I4575" s="327">
        <v>2</v>
      </c>
      <c r="J4575" s="345"/>
      <c r="K4575" s="327"/>
      <c r="L4575" s="389">
        <v>324000</v>
      </c>
      <c r="M4575" s="355"/>
      <c r="N4575" s="355" t="str">
        <f t="shared" si="362"/>
        <v>PK</v>
      </c>
      <c r="O4575" s="407" t="s">
        <v>1700</v>
      </c>
      <c r="P4575" s="392"/>
      <c r="Q4575" s="327"/>
      <c r="R4575" s="351"/>
      <c r="S4575" s="351"/>
      <c r="T4575" s="351"/>
      <c r="U4575" s="329" t="str">
        <f>IF($N4575=$N$4,IFERROR(INDEX(DanhMuc!$E$154:$E$165,MATCH(MID($B4575,4,2),DanhMuc!$B$154:$B$165,0)),""),"")</f>
        <v/>
      </c>
      <c r="V4575" s="361"/>
      <c r="W4575" s="345"/>
      <c r="X4575" s="329" t="str">
        <f t="shared" si="361"/>
        <v>CM</v>
      </c>
      <c r="Y4575" s="1128" t="s">
        <v>3380</v>
      </c>
      <c r="Z4575" s="1128" t="s">
        <v>3381</v>
      </c>
      <c r="AA4575" s="1128" t="s">
        <v>3384</v>
      </c>
      <c r="AB4575" s="20"/>
      <c r="AC4575" s="73"/>
    </row>
    <row r="4576" spans="1:29" ht="25">
      <c r="A4576" s="327" t="str">
        <f>IF(AND($B4576&lt;&gt;"",$C4576&lt;&gt;""),MAX($A$1556:A4551)+1,"")</f>
        <v/>
      </c>
      <c r="B4576" s="361" t="s">
        <v>2059</v>
      </c>
      <c r="C4576" s="360"/>
      <c r="D4576" s="327">
        <f>IF($B4576="","",COUNTIF($B$6:$B4576,$B4576))</f>
        <v>9</v>
      </c>
      <c r="E4576" s="361" t="s">
        <v>473</v>
      </c>
      <c r="F4576" s="362" t="s">
        <v>474</v>
      </c>
      <c r="G4576" s="327" t="s">
        <v>297</v>
      </c>
      <c r="H4576" s="361"/>
      <c r="I4576" s="327">
        <v>2</v>
      </c>
      <c r="J4576" s="345"/>
      <c r="K4576" s="327"/>
      <c r="L4576" s="389">
        <v>359200</v>
      </c>
      <c r="M4576" s="355"/>
      <c r="N4576" s="355" t="str">
        <f t="shared" si="362"/>
        <v>PK</v>
      </c>
      <c r="O4576" s="407" t="s">
        <v>1701</v>
      </c>
      <c r="P4576" s="392"/>
      <c r="Q4576" s="327"/>
      <c r="R4576" s="351"/>
      <c r="S4576" s="351"/>
      <c r="T4576" s="351"/>
      <c r="U4576" s="329" t="str">
        <f>IF($N4576=$N$4,IFERROR(INDEX(DanhMuc!$E$154:$E$165,MATCH(MID($B4576,4,2),DanhMuc!$B$154:$B$165,0)),""),"")</f>
        <v/>
      </c>
      <c r="V4576" s="361"/>
      <c r="W4576" s="345"/>
      <c r="X4576" s="329" t="str">
        <f t="shared" si="361"/>
        <v>CM</v>
      </c>
      <c r="Y4576" s="1128" t="s">
        <v>3380</v>
      </c>
      <c r="Z4576" s="1128" t="s">
        <v>3381</v>
      </c>
      <c r="AA4576" s="1128" t="s">
        <v>3384</v>
      </c>
      <c r="AB4576" s="20"/>
      <c r="AC4576" s="73"/>
    </row>
    <row r="4577" spans="1:29" ht="25">
      <c r="A4577" s="327" t="str">
        <f>IF(AND($B4577&lt;&gt;"",$C4577&lt;&gt;""),MAX($A$1556:A4552)+1,"")</f>
        <v/>
      </c>
      <c r="B4577" s="361" t="s">
        <v>2059</v>
      </c>
      <c r="C4577" s="360"/>
      <c r="D4577" s="327">
        <f>IF($B4577="","",COUNTIF($B$6:$B4577,$B4577))</f>
        <v>10</v>
      </c>
      <c r="E4577" s="361" t="s">
        <v>475</v>
      </c>
      <c r="F4577" s="362" t="s">
        <v>476</v>
      </c>
      <c r="G4577" s="327" t="s">
        <v>297</v>
      </c>
      <c r="H4577" s="361"/>
      <c r="I4577" s="327">
        <v>2</v>
      </c>
      <c r="J4577" s="361"/>
      <c r="K4577" s="327"/>
      <c r="L4577" s="389">
        <v>431100</v>
      </c>
      <c r="M4577" s="355"/>
      <c r="N4577" s="355" t="str">
        <f t="shared" si="362"/>
        <v>PK</v>
      </c>
      <c r="O4577" s="407" t="s">
        <v>1703</v>
      </c>
      <c r="P4577" s="392"/>
      <c r="Q4577" s="327"/>
      <c r="R4577" s="351"/>
      <c r="S4577" s="351"/>
      <c r="T4577" s="351"/>
      <c r="U4577" s="329" t="str">
        <f>IF($N4577=$N$4,IFERROR(INDEX(DanhMuc!$E$154:$E$165,MATCH(MID($B4577,4,2),DanhMuc!$B$154:$B$165,0)),""),"")</f>
        <v/>
      </c>
      <c r="V4577" s="361"/>
      <c r="W4577" s="345"/>
      <c r="X4577" s="329" t="str">
        <f t="shared" si="361"/>
        <v>CM</v>
      </c>
      <c r="Y4577" s="1128" t="s">
        <v>3380</v>
      </c>
      <c r="Z4577" s="1128" t="s">
        <v>3381</v>
      </c>
      <c r="AA4577" s="1128" t="s">
        <v>3384</v>
      </c>
      <c r="AB4577" s="20"/>
      <c r="AC4577" s="73"/>
    </row>
    <row r="4578" spans="1:29">
      <c r="A4578" s="327" t="str">
        <f>IF(AND($B4578&lt;&gt;"",$C4578&lt;&gt;""),MAX($A$1556:A4553)+1,"")</f>
        <v/>
      </c>
      <c r="B4578" s="361" t="s">
        <v>2059</v>
      </c>
      <c r="C4578" s="360"/>
      <c r="D4578" s="327">
        <f>IF($B4578="","",COUNTIF($B$6:$B4578,$B4578))</f>
        <v>11</v>
      </c>
      <c r="E4578" s="365" t="s">
        <v>327</v>
      </c>
      <c r="F4578" s="368" t="s">
        <v>345</v>
      </c>
      <c r="G4578" s="367" t="s">
        <v>690</v>
      </c>
      <c r="H4578" s="361" t="s">
        <v>536</v>
      </c>
      <c r="I4578" s="327">
        <v>1</v>
      </c>
      <c r="J4578" s="345">
        <v>1400</v>
      </c>
      <c r="K4578" s="327"/>
      <c r="L4578" s="348">
        <f t="shared" ref="L4578:L4579" si="363">+$S4578*$T4578*$L$37</f>
        <v>84651</v>
      </c>
      <c r="M4578" s="355"/>
      <c r="N4578" s="369" t="s">
        <v>150</v>
      </c>
      <c r="O4578" s="345"/>
      <c r="P4578" s="392"/>
      <c r="Q4578" s="327"/>
      <c r="R4578" s="351">
        <v>2.5</v>
      </c>
      <c r="S4578" s="351">
        <v>5.8</v>
      </c>
      <c r="T4578" s="351">
        <v>0.13900000000000001</v>
      </c>
      <c r="U4578" s="329">
        <f>IF($N4578=$N$4,IFERROR(INDEX(DanhMuc!$E$154:$E$165,MATCH(MID($B4578,4,2),DanhMuc!$B$154:$B$165,0)),""),"")</f>
        <v>5800</v>
      </c>
      <c r="V4578" s="361"/>
      <c r="W4578" s="345"/>
      <c r="X4578" s="329" t="str">
        <f t="shared" si="361"/>
        <v>C459</v>
      </c>
      <c r="Y4578" s="1128" t="s">
        <v>3380</v>
      </c>
      <c r="Z4578" s="1128" t="s">
        <v>3381</v>
      </c>
      <c r="AA4578" s="1128" t="s">
        <v>3384</v>
      </c>
      <c r="AB4578" s="20"/>
      <c r="AC4578" s="73"/>
    </row>
    <row r="4579" spans="1:29" s="25" customFormat="1">
      <c r="A4579" s="327" t="str">
        <f>IF(AND($B4579&lt;&gt;"",$C4579&lt;&gt;""),MAX($A$1556:A4554)+1,"")</f>
        <v/>
      </c>
      <c r="B4579" s="361" t="s">
        <v>2059</v>
      </c>
      <c r="C4579" s="346"/>
      <c r="D4579" s="367">
        <f>IF($B4579="","",COUNTIF($B$6:$B4579,$B4579))</f>
        <v>12</v>
      </c>
      <c r="E4579" s="365" t="s">
        <v>327</v>
      </c>
      <c r="F4579" s="368" t="s">
        <v>345</v>
      </c>
      <c r="G4579" s="367" t="s">
        <v>690</v>
      </c>
      <c r="H4579" s="361" t="s">
        <v>536</v>
      </c>
      <c r="I4579" s="367">
        <v>1</v>
      </c>
      <c r="J4579" s="365" t="s">
        <v>80</v>
      </c>
      <c r="K4579" s="367"/>
      <c r="L4579" s="348">
        <f t="shared" si="363"/>
        <v>84651</v>
      </c>
      <c r="M4579" s="372"/>
      <c r="N4579" s="369" t="s">
        <v>150</v>
      </c>
      <c r="O4579" s="345"/>
      <c r="P4579" s="444"/>
      <c r="Q4579" s="327"/>
      <c r="R4579" s="351">
        <v>2.5</v>
      </c>
      <c r="S4579" s="351">
        <v>5.8</v>
      </c>
      <c r="T4579" s="351">
        <v>0.13900000000000001</v>
      </c>
      <c r="U4579" s="329">
        <f>IF($N4579=$N$4,IFERROR(INDEX(DanhMuc!$E$154:$E$165,MATCH(MID($B4579,4,2),DanhMuc!$B$154:$B$165,0)),""),"")</f>
        <v>5800</v>
      </c>
      <c r="V4579" s="365"/>
      <c r="W4579" s="345"/>
      <c r="X4579" s="329" t="str">
        <f t="shared" si="361"/>
        <v>C459</v>
      </c>
      <c r="Y4579" s="1128" t="s">
        <v>3380</v>
      </c>
      <c r="Z4579" s="1128" t="s">
        <v>3381</v>
      </c>
      <c r="AA4579" s="1128" t="s">
        <v>3384</v>
      </c>
      <c r="AB4579" s="20"/>
      <c r="AC4579" s="73"/>
    </row>
    <row r="4580" spans="1:29" ht="25">
      <c r="A4580" s="327" t="str">
        <f>IF(AND($B4580&lt;&gt;"",$C4580&lt;&gt;""),MAX($A$1556:A4555)+1,"")</f>
        <v/>
      </c>
      <c r="B4580" s="361" t="s">
        <v>2059</v>
      </c>
      <c r="C4580" s="360"/>
      <c r="D4580" s="327">
        <f>IF($B4580="","",COUNTIF($B$6:$B4580,$B4580))</f>
        <v>13</v>
      </c>
      <c r="E4580" s="361" t="s">
        <v>309</v>
      </c>
      <c r="F4580" s="362" t="s">
        <v>310</v>
      </c>
      <c r="G4580" s="327" t="s">
        <v>296</v>
      </c>
      <c r="H4580" s="361"/>
      <c r="I4580" s="327">
        <v>2</v>
      </c>
      <c r="J4580" s="361"/>
      <c r="K4580" s="327"/>
      <c r="L4580" s="389">
        <v>63400</v>
      </c>
      <c r="M4580" s="355"/>
      <c r="N4580" s="355" t="str">
        <f t="shared" ref="N4580:N4591" si="364">+$N$1555</f>
        <v>PK</v>
      </c>
      <c r="O4580" s="345"/>
      <c r="P4580" s="392"/>
      <c r="Q4580" s="327"/>
      <c r="R4580" s="351"/>
      <c r="S4580" s="351"/>
      <c r="T4580" s="351"/>
      <c r="U4580" s="329" t="str">
        <f>IF($N4580=$N$4,IFERROR(INDEX(DanhMuc!$E$154:$E$165,MATCH(MID($B4580,4,2),DanhMuc!$B$154:$B$165,0)),""),"")</f>
        <v/>
      </c>
      <c r="V4580" s="361"/>
      <c r="W4580" s="345"/>
      <c r="X4580" s="329" t="str">
        <f t="shared" si="361"/>
        <v>CM</v>
      </c>
      <c r="Y4580" s="1128" t="s">
        <v>3380</v>
      </c>
      <c r="Z4580" s="1128" t="s">
        <v>3381</v>
      </c>
      <c r="AA4580" s="1128" t="s">
        <v>3384</v>
      </c>
      <c r="AB4580" s="20"/>
      <c r="AC4580" s="73"/>
    </row>
    <row r="4581" spans="1:29" ht="25">
      <c r="A4581" s="327" t="str">
        <f>IF(AND($B4581&lt;&gt;"",$C4581&lt;&gt;""),MAX($A$1556:A4556)+1,"")</f>
        <v/>
      </c>
      <c r="B4581" s="361" t="s">
        <v>2059</v>
      </c>
      <c r="C4581" s="360"/>
      <c r="D4581" s="327">
        <f>IF($B4581="","",COUNTIF($B$6:$B4581,$B4581))</f>
        <v>14</v>
      </c>
      <c r="E4581" s="361" t="s">
        <v>477</v>
      </c>
      <c r="F4581" s="362" t="s">
        <v>478</v>
      </c>
      <c r="G4581" s="327" t="s">
        <v>296</v>
      </c>
      <c r="H4581" s="361"/>
      <c r="I4581" s="327">
        <v>1</v>
      </c>
      <c r="J4581" s="361"/>
      <c r="K4581" s="327"/>
      <c r="L4581" s="389">
        <v>123300</v>
      </c>
      <c r="M4581" s="355"/>
      <c r="N4581" s="355" t="str">
        <f t="shared" si="364"/>
        <v>PK</v>
      </c>
      <c r="O4581" s="345"/>
      <c r="P4581" s="392"/>
      <c r="Q4581" s="327"/>
      <c r="R4581" s="351"/>
      <c r="S4581" s="351"/>
      <c r="T4581" s="351"/>
      <c r="U4581" s="329" t="str">
        <f>IF($N4581=$N$4,IFERROR(INDEX(DanhMuc!$E$154:$E$165,MATCH(MID($B4581,4,2),DanhMuc!$B$154:$B$165,0)),""),"")</f>
        <v/>
      </c>
      <c r="V4581" s="361"/>
      <c r="W4581" s="345"/>
      <c r="X4581" s="329" t="str">
        <f t="shared" si="361"/>
        <v>CM</v>
      </c>
      <c r="Y4581" s="1128" t="s">
        <v>3380</v>
      </c>
      <c r="Z4581" s="1128" t="s">
        <v>3381</v>
      </c>
      <c r="AA4581" s="1128" t="s">
        <v>3384</v>
      </c>
      <c r="AB4581" s="20"/>
      <c r="AC4581" s="73"/>
    </row>
    <row r="4582" spans="1:29" ht="25">
      <c r="A4582" s="327" t="str">
        <f>IF(AND($B4582&lt;&gt;"",$C4582&lt;&gt;""),MAX($A$1556:A4557)+1,"")</f>
        <v/>
      </c>
      <c r="B4582" s="361" t="s">
        <v>2059</v>
      </c>
      <c r="C4582" s="360"/>
      <c r="D4582" s="327">
        <f>IF($B4582="","",COUNTIF($B$6:$B4582,$B4582))</f>
        <v>15</v>
      </c>
      <c r="E4582" s="361" t="s">
        <v>311</v>
      </c>
      <c r="F4582" s="362" t="s">
        <v>312</v>
      </c>
      <c r="G4582" s="327" t="s">
        <v>296</v>
      </c>
      <c r="H4582" s="361"/>
      <c r="I4582" s="327">
        <v>2</v>
      </c>
      <c r="J4582" s="361"/>
      <c r="K4582" s="327"/>
      <c r="L4582" s="389">
        <v>56100</v>
      </c>
      <c r="M4582" s="355"/>
      <c r="N4582" s="355" t="str">
        <f t="shared" si="364"/>
        <v>PK</v>
      </c>
      <c r="O4582" s="345"/>
      <c r="P4582" s="392"/>
      <c r="Q4582" s="327"/>
      <c r="R4582" s="351"/>
      <c r="S4582" s="351"/>
      <c r="T4582" s="351"/>
      <c r="U4582" s="329" t="str">
        <f>IF($N4582=$N$4,IFERROR(INDEX(DanhMuc!$E$154:$E$165,MATCH(MID($B4582,4,2),DanhMuc!$B$154:$B$165,0)),""),"")</f>
        <v/>
      </c>
      <c r="V4582" s="361"/>
      <c r="W4582" s="345"/>
      <c r="X4582" s="329" t="str">
        <f t="shared" si="361"/>
        <v>CM</v>
      </c>
      <c r="Y4582" s="1128" t="s">
        <v>3380</v>
      </c>
      <c r="Z4582" s="1128" t="s">
        <v>3381</v>
      </c>
      <c r="AA4582" s="1128" t="s">
        <v>3384</v>
      </c>
      <c r="AB4582" s="20"/>
      <c r="AC4582" s="73"/>
    </row>
    <row r="4583" spans="1:29" ht="25">
      <c r="A4583" s="327" t="str">
        <f>IF(AND($B4583&lt;&gt;"",$C4583&lt;&gt;""),MAX($A$1556:A4558)+1,"")</f>
        <v/>
      </c>
      <c r="B4583" s="361" t="s">
        <v>2059</v>
      </c>
      <c r="C4583" s="360"/>
      <c r="D4583" s="327">
        <f>IF($B4583="","",COUNTIF($B$6:$B4583,$B4583))</f>
        <v>16</v>
      </c>
      <c r="E4583" s="361" t="s">
        <v>479</v>
      </c>
      <c r="F4583" s="362" t="s">
        <v>480</v>
      </c>
      <c r="G4583" s="327" t="s">
        <v>296</v>
      </c>
      <c r="H4583" s="361"/>
      <c r="I4583" s="327">
        <v>4</v>
      </c>
      <c r="J4583" s="361"/>
      <c r="K4583" s="327"/>
      <c r="L4583" s="389">
        <v>10700</v>
      </c>
      <c r="M4583" s="355"/>
      <c r="N4583" s="355" t="str">
        <f t="shared" si="364"/>
        <v>PK</v>
      </c>
      <c r="O4583" s="345"/>
      <c r="P4583" s="392"/>
      <c r="Q4583" s="327"/>
      <c r="R4583" s="351"/>
      <c r="S4583" s="351"/>
      <c r="T4583" s="351"/>
      <c r="U4583" s="329" t="str">
        <f>IF($N4583=$N$4,IFERROR(INDEX(DanhMuc!$E$154:$E$165,MATCH(MID($B4583,4,2),DanhMuc!$B$154:$B$165,0)),""),"")</f>
        <v/>
      </c>
      <c r="V4583" s="361"/>
      <c r="W4583" s="345"/>
      <c r="X4583" s="329" t="str">
        <f t="shared" si="361"/>
        <v>CM</v>
      </c>
      <c r="Y4583" s="1128" t="s">
        <v>3380</v>
      </c>
      <c r="Z4583" s="1128" t="s">
        <v>3381</v>
      </c>
      <c r="AA4583" s="1128" t="s">
        <v>3384</v>
      </c>
      <c r="AB4583" s="20"/>
      <c r="AC4583" s="73"/>
    </row>
    <row r="4584" spans="1:29" ht="25">
      <c r="A4584" s="327" t="str">
        <f>IF(AND($B4584&lt;&gt;"",$C4584&lt;&gt;""),MAX($A$1556:A4559)+1,"")</f>
        <v/>
      </c>
      <c r="B4584" s="361" t="s">
        <v>2059</v>
      </c>
      <c r="C4584" s="360"/>
      <c r="D4584" s="327">
        <f>IF($B4584="","",COUNTIF($B$6:$B4584,$B4584))</f>
        <v>17</v>
      </c>
      <c r="E4584" s="361" t="s">
        <v>481</v>
      </c>
      <c r="F4584" s="362" t="s">
        <v>482</v>
      </c>
      <c r="G4584" s="327" t="s">
        <v>297</v>
      </c>
      <c r="H4584" s="361"/>
      <c r="I4584" s="327">
        <v>1</v>
      </c>
      <c r="J4584" s="361"/>
      <c r="K4584" s="327"/>
      <c r="L4584" s="389">
        <v>20000</v>
      </c>
      <c r="M4584" s="355"/>
      <c r="N4584" s="355" t="str">
        <f t="shared" si="364"/>
        <v>PK</v>
      </c>
      <c r="O4584" s="345"/>
      <c r="P4584" s="392"/>
      <c r="Q4584" s="327"/>
      <c r="R4584" s="351"/>
      <c r="S4584" s="351"/>
      <c r="T4584" s="351"/>
      <c r="U4584" s="329" t="str">
        <f>IF($N4584=$N$4,IFERROR(INDEX(DanhMuc!$E$154:$E$165,MATCH(MID($B4584,4,2),DanhMuc!$B$154:$B$165,0)),""),"")</f>
        <v/>
      </c>
      <c r="V4584" s="361"/>
      <c r="W4584" s="345"/>
      <c r="X4584" s="329" t="str">
        <f t="shared" si="361"/>
        <v>CM</v>
      </c>
      <c r="Y4584" s="1128" t="s">
        <v>3380</v>
      </c>
      <c r="Z4584" s="1128" t="s">
        <v>3381</v>
      </c>
      <c r="AA4584" s="1128" t="s">
        <v>3384</v>
      </c>
      <c r="AB4584" s="20"/>
      <c r="AC4584" s="73"/>
    </row>
    <row r="4585" spans="1:29" ht="37.5">
      <c r="A4585" s="327">
        <f>IF(AND($B4585&lt;&gt;"",$C4585&lt;&gt;""),MAX($A$1556:A4560)+1,"")</f>
        <v>207</v>
      </c>
      <c r="B4585" s="359" t="s">
        <v>2060</v>
      </c>
      <c r="C4585" s="360" t="s">
        <v>1546</v>
      </c>
      <c r="D4585" s="327">
        <f>IF($B4585="","",COUNTIF($B$6:$B4585,$B4585))</f>
        <v>1</v>
      </c>
      <c r="E4585" s="361" t="s">
        <v>455</v>
      </c>
      <c r="F4585" s="362" t="s">
        <v>456</v>
      </c>
      <c r="G4585" s="327" t="s">
        <v>296</v>
      </c>
      <c r="H4585" s="361"/>
      <c r="I4585" s="327">
        <v>1</v>
      </c>
      <c r="J4585" s="361"/>
      <c r="K4585" s="327"/>
      <c r="L4585" s="389">
        <v>318700</v>
      </c>
      <c r="M4585" s="355"/>
      <c r="N4585" s="355" t="str">
        <f t="shared" si="364"/>
        <v>PK</v>
      </c>
      <c r="O4585" s="345"/>
      <c r="P4585" s="392"/>
      <c r="Q4585" s="327"/>
      <c r="R4585" s="351"/>
      <c r="S4585" s="351"/>
      <c r="T4585" s="351"/>
      <c r="U4585" s="329" t="str">
        <f>IF($N4585=$N$4,IFERROR(INDEX(DanhMuc!$E$154:$E$165,MATCH(MID($B4585,4,2),DanhMuc!$B$154:$B$165,0)),""),"")</f>
        <v/>
      </c>
      <c r="V4585" s="361"/>
      <c r="W4585" s="345"/>
      <c r="X4585" s="329" t="str">
        <f t="shared" si="361"/>
        <v>CM</v>
      </c>
      <c r="Y4585" s="1128" t="s">
        <v>3380</v>
      </c>
      <c r="Z4585" s="1128" t="s">
        <v>3381</v>
      </c>
      <c r="AA4585" s="1128" t="s">
        <v>3384</v>
      </c>
      <c r="AB4585" s="20"/>
      <c r="AC4585" s="73"/>
    </row>
    <row r="4586" spans="1:29" ht="25">
      <c r="A4586" s="327" t="str">
        <f>IF(AND($B4586&lt;&gt;"",$C4586&lt;&gt;""),MAX($A$1556:A4561)+1,"")</f>
        <v/>
      </c>
      <c r="B4586" s="361" t="s">
        <v>2060</v>
      </c>
      <c r="C4586" s="360"/>
      <c r="D4586" s="327">
        <f>IF($B4586="","",COUNTIF($B$6:$B4586,$B4586))</f>
        <v>2</v>
      </c>
      <c r="E4586" s="361" t="s">
        <v>457</v>
      </c>
      <c r="F4586" s="362" t="s">
        <v>458</v>
      </c>
      <c r="G4586" s="327" t="s">
        <v>296</v>
      </c>
      <c r="H4586" s="361"/>
      <c r="I4586" s="327"/>
      <c r="J4586" s="345"/>
      <c r="K4586" s="327"/>
      <c r="L4586" s="389">
        <v>350700</v>
      </c>
      <c r="M4586" s="355"/>
      <c r="N4586" s="355" t="str">
        <f t="shared" si="364"/>
        <v>PK</v>
      </c>
      <c r="O4586" s="345"/>
      <c r="P4586" s="392"/>
      <c r="Q4586" s="327"/>
      <c r="R4586" s="351"/>
      <c r="S4586" s="351"/>
      <c r="T4586" s="351"/>
      <c r="U4586" s="329" t="str">
        <f>IF($N4586=$N$4,IFERROR(INDEX(DanhMuc!$E$154:$E$165,MATCH(MID($B4586,4,2),DanhMuc!$B$154:$B$165,0)),""),"")</f>
        <v/>
      </c>
      <c r="V4586" s="361"/>
      <c r="W4586" s="345"/>
      <c r="X4586" s="329" t="str">
        <f t="shared" si="361"/>
        <v>CM</v>
      </c>
      <c r="Y4586" s="1128" t="s">
        <v>3380</v>
      </c>
      <c r="Z4586" s="1128" t="s">
        <v>3381</v>
      </c>
      <c r="AA4586" s="1128" t="s">
        <v>3384</v>
      </c>
      <c r="AB4586" s="20"/>
      <c r="AC4586" s="73"/>
    </row>
    <row r="4587" spans="1:29" ht="37.5">
      <c r="A4587" s="327" t="str">
        <f>IF(AND($B4587&lt;&gt;"",$C4587&lt;&gt;""),MAX($A$1556:A4562)+1,"")</f>
        <v/>
      </c>
      <c r="B4587" s="361" t="s">
        <v>2060</v>
      </c>
      <c r="C4587" s="360"/>
      <c r="D4587" s="327">
        <f>IF($B4587="","",COUNTIF($B$6:$B4587,$B4587))</f>
        <v>3</v>
      </c>
      <c r="E4587" s="361" t="s">
        <v>459</v>
      </c>
      <c r="F4587" s="362" t="s">
        <v>460</v>
      </c>
      <c r="G4587" s="327" t="s">
        <v>296</v>
      </c>
      <c r="H4587" s="361"/>
      <c r="I4587" s="327"/>
      <c r="J4587" s="361"/>
      <c r="K4587" s="327"/>
      <c r="L4587" s="389">
        <v>232300</v>
      </c>
      <c r="M4587" s="355"/>
      <c r="N4587" s="355" t="str">
        <f t="shared" si="364"/>
        <v>PK</v>
      </c>
      <c r="O4587" s="345"/>
      <c r="P4587" s="392"/>
      <c r="Q4587" s="327"/>
      <c r="R4587" s="351"/>
      <c r="S4587" s="351"/>
      <c r="T4587" s="351"/>
      <c r="U4587" s="329" t="str">
        <f>IF($N4587=$N$4,IFERROR(INDEX(DanhMuc!$E$154:$E$165,MATCH(MID($B4587,4,2),DanhMuc!$B$154:$B$165,0)),""),"")</f>
        <v/>
      </c>
      <c r="V4587" s="361"/>
      <c r="W4587" s="345"/>
      <c r="X4587" s="329" t="str">
        <f t="shared" si="361"/>
        <v>CM</v>
      </c>
      <c r="Y4587" s="1128" t="s">
        <v>3380</v>
      </c>
      <c r="Z4587" s="1128" t="s">
        <v>3381</v>
      </c>
      <c r="AA4587" s="1128" t="s">
        <v>3384</v>
      </c>
      <c r="AB4587" s="20"/>
      <c r="AC4587" s="73"/>
    </row>
    <row r="4588" spans="1:29" ht="25">
      <c r="A4588" s="327" t="str">
        <f>IF(AND($B4588&lt;&gt;"",$C4588&lt;&gt;""),MAX($A$1556:A4563)+1,"")</f>
        <v/>
      </c>
      <c r="B4588" s="361" t="s">
        <v>2060</v>
      </c>
      <c r="C4588" s="360"/>
      <c r="D4588" s="327">
        <f>IF($B4588="","",COUNTIF($B$6:$B4588,$B4588))</f>
        <v>4</v>
      </c>
      <c r="E4588" s="361" t="s">
        <v>461</v>
      </c>
      <c r="F4588" s="362" t="s">
        <v>462</v>
      </c>
      <c r="G4588" s="327" t="s">
        <v>296</v>
      </c>
      <c r="H4588" s="361"/>
      <c r="I4588" s="327">
        <v>1</v>
      </c>
      <c r="J4588" s="361"/>
      <c r="K4588" s="327"/>
      <c r="L4588" s="389">
        <v>25000</v>
      </c>
      <c r="M4588" s="355"/>
      <c r="N4588" s="355" t="str">
        <f t="shared" si="364"/>
        <v>PK</v>
      </c>
      <c r="O4588" s="345"/>
      <c r="P4588" s="392"/>
      <c r="Q4588" s="327"/>
      <c r="R4588" s="351"/>
      <c r="S4588" s="351"/>
      <c r="T4588" s="351"/>
      <c r="U4588" s="329" t="str">
        <f>IF($N4588=$N$4,IFERROR(INDEX(DanhMuc!$E$154:$E$165,MATCH(MID($B4588,4,2),DanhMuc!$B$154:$B$165,0)),""),"")</f>
        <v/>
      </c>
      <c r="V4588" s="361"/>
      <c r="W4588" s="345"/>
      <c r="X4588" s="329" t="str">
        <f t="shared" si="361"/>
        <v>CM</v>
      </c>
      <c r="Y4588" s="1128" t="s">
        <v>3380</v>
      </c>
      <c r="Z4588" s="1128" t="s">
        <v>3381</v>
      </c>
      <c r="AA4588" s="1128" t="s">
        <v>3384</v>
      </c>
      <c r="AB4588" s="20"/>
      <c r="AC4588" s="73"/>
    </row>
    <row r="4589" spans="1:29">
      <c r="A4589" s="327" t="str">
        <f>IF(AND($B4589&lt;&gt;"",$C4589&lt;&gt;""),MAX($A$1556:A4564)+1,"")</f>
        <v/>
      </c>
      <c r="B4589" s="361" t="s">
        <v>2060</v>
      </c>
      <c r="C4589" s="360"/>
      <c r="D4589" s="327">
        <f>IF($B4589="","",COUNTIF($B$6:$B4589,$B4589))</f>
        <v>5</v>
      </c>
      <c r="E4589" s="361" t="s">
        <v>463</v>
      </c>
      <c r="F4589" s="362" t="s">
        <v>464</v>
      </c>
      <c r="G4589" s="327" t="s">
        <v>296</v>
      </c>
      <c r="H4589" s="361"/>
      <c r="I4589" s="327">
        <v>1</v>
      </c>
      <c r="J4589" s="345"/>
      <c r="K4589" s="327"/>
      <c r="L4589" s="389">
        <v>69900</v>
      </c>
      <c r="M4589" s="355"/>
      <c r="N4589" s="355" t="str">
        <f t="shared" si="364"/>
        <v>PK</v>
      </c>
      <c r="O4589" s="345"/>
      <c r="P4589" s="392"/>
      <c r="Q4589" s="327"/>
      <c r="R4589" s="351"/>
      <c r="S4589" s="351"/>
      <c r="T4589" s="351"/>
      <c r="U4589" s="329" t="str">
        <f>IF($N4589=$N$4,IFERROR(INDEX(DanhMuc!$E$154:$E$165,MATCH(MID($B4589,4,2),DanhMuc!$B$154:$B$165,0)),""),"")</f>
        <v/>
      </c>
      <c r="V4589" s="361"/>
      <c r="W4589" s="345"/>
      <c r="X4589" s="329" t="str">
        <f t="shared" si="361"/>
        <v>CM</v>
      </c>
      <c r="Y4589" s="1128" t="s">
        <v>3380</v>
      </c>
      <c r="Z4589" s="1128" t="s">
        <v>3381</v>
      </c>
      <c r="AA4589" s="1128" t="s">
        <v>3384</v>
      </c>
      <c r="AB4589" s="20"/>
      <c r="AC4589" s="73"/>
    </row>
    <row r="4590" spans="1:29">
      <c r="A4590" s="327" t="str">
        <f>IF(AND($B4590&lt;&gt;"",$C4590&lt;&gt;""),MAX($A$1556:A4565)+1,"")</f>
        <v/>
      </c>
      <c r="B4590" s="361" t="s">
        <v>2060</v>
      </c>
      <c r="C4590" s="360"/>
      <c r="D4590" s="327">
        <f>IF($B4590="","",COUNTIF($B$6:$B4590,$B4590))</f>
        <v>6</v>
      </c>
      <c r="E4590" s="361" t="s">
        <v>305</v>
      </c>
      <c r="F4590" s="362" t="s">
        <v>306</v>
      </c>
      <c r="G4590" s="327" t="s">
        <v>296</v>
      </c>
      <c r="H4590" s="361"/>
      <c r="I4590" s="327">
        <v>2</v>
      </c>
      <c r="J4590" s="345"/>
      <c r="K4590" s="327"/>
      <c r="L4590" s="389">
        <v>45900</v>
      </c>
      <c r="M4590" s="355"/>
      <c r="N4590" s="355" t="str">
        <f t="shared" si="364"/>
        <v>PK</v>
      </c>
      <c r="O4590" s="345"/>
      <c r="P4590" s="392"/>
      <c r="Q4590" s="327"/>
      <c r="R4590" s="351"/>
      <c r="S4590" s="351"/>
      <c r="T4590" s="351"/>
      <c r="U4590" s="329" t="str">
        <f>IF($N4590=$N$4,IFERROR(INDEX(DanhMuc!$E$154:$E$165,MATCH(MID($B4590,4,2),DanhMuc!$B$154:$B$165,0)),""),"")</f>
        <v/>
      </c>
      <c r="V4590" s="361"/>
      <c r="W4590" s="345"/>
      <c r="X4590" s="329" t="str">
        <f t="shared" si="361"/>
        <v>CM</v>
      </c>
      <c r="Y4590" s="1128" t="s">
        <v>3380</v>
      </c>
      <c r="Z4590" s="1128" t="s">
        <v>3381</v>
      </c>
      <c r="AA4590" s="1128" t="s">
        <v>3384</v>
      </c>
      <c r="AB4590" s="20"/>
      <c r="AC4590" s="73"/>
    </row>
    <row r="4591" spans="1:29" ht="25">
      <c r="A4591" s="327" t="str">
        <f>IF(AND($B4591&lt;&gt;"",$C4591&lt;&gt;""),MAX($A$1556:A4566)+1,"")</f>
        <v/>
      </c>
      <c r="B4591" s="361" t="s">
        <v>2060</v>
      </c>
      <c r="C4591" s="360"/>
      <c r="D4591" s="327">
        <f>IF($B4591="","",COUNTIF($B$6:$B4591,$B4591))</f>
        <v>7</v>
      </c>
      <c r="E4591" s="361" t="s">
        <v>490</v>
      </c>
      <c r="F4591" s="362" t="s">
        <v>491</v>
      </c>
      <c r="G4591" s="327" t="s">
        <v>296</v>
      </c>
      <c r="H4591" s="361"/>
      <c r="I4591" s="327">
        <v>2</v>
      </c>
      <c r="J4591" s="345"/>
      <c r="K4591" s="327"/>
      <c r="L4591" s="389">
        <v>29200</v>
      </c>
      <c r="M4591" s="355"/>
      <c r="N4591" s="355" t="str">
        <f t="shared" si="364"/>
        <v>PK</v>
      </c>
      <c r="O4591" s="345"/>
      <c r="P4591" s="392"/>
      <c r="Q4591" s="327"/>
      <c r="R4591" s="351"/>
      <c r="S4591" s="351"/>
      <c r="T4591" s="351"/>
      <c r="U4591" s="329" t="str">
        <f>IF($N4591=$N$4,IFERROR(INDEX(DanhMuc!$E$154:$E$165,MATCH(MID($B4591,4,2),DanhMuc!$B$154:$B$165,0)),""),"")</f>
        <v/>
      </c>
      <c r="V4591" s="361"/>
      <c r="W4591" s="345"/>
      <c r="X4591" s="329" t="str">
        <f t="shared" si="361"/>
        <v>CM</v>
      </c>
      <c r="Y4591" s="1128" t="s">
        <v>3380</v>
      </c>
      <c r="Z4591" s="1128" t="s">
        <v>3381</v>
      </c>
      <c r="AA4591" s="1128" t="s">
        <v>3384</v>
      </c>
      <c r="AB4591" s="20"/>
      <c r="AC4591" s="73"/>
    </row>
    <row r="4592" spans="1:29">
      <c r="A4592" s="327" t="str">
        <f>IF(AND($B4592&lt;&gt;"",$C4592&lt;&gt;""),MAX($A$1556:A4567)+1,"")</f>
        <v/>
      </c>
      <c r="B4592" s="361" t="s">
        <v>2060</v>
      </c>
      <c r="C4592" s="360"/>
      <c r="D4592" s="327">
        <f>IF($B4592="","",COUNTIF($B$6:$B4592,$B4592))</f>
        <v>8</v>
      </c>
      <c r="E4592" s="365" t="s">
        <v>327</v>
      </c>
      <c r="F4592" s="368" t="s">
        <v>345</v>
      </c>
      <c r="G4592" s="367" t="s">
        <v>690</v>
      </c>
      <c r="H4592" s="361" t="s">
        <v>536</v>
      </c>
      <c r="I4592" s="327">
        <v>1</v>
      </c>
      <c r="J4592" s="345">
        <v>1400</v>
      </c>
      <c r="K4592" s="327"/>
      <c r="L4592" s="348">
        <f>+$S4592*$T4592*$L$37</f>
        <v>84651</v>
      </c>
      <c r="M4592" s="355"/>
      <c r="N4592" s="369" t="s">
        <v>150</v>
      </c>
      <c r="O4592" s="345"/>
      <c r="P4592" s="392"/>
      <c r="Q4592" s="327"/>
      <c r="R4592" s="351">
        <v>2.5</v>
      </c>
      <c r="S4592" s="351">
        <v>5.8</v>
      </c>
      <c r="T4592" s="351">
        <v>0.13900000000000001</v>
      </c>
      <c r="U4592" s="329">
        <f>IF($N4592=$N$4,IFERROR(INDEX(DanhMuc!$E$154:$E$165,MATCH(MID($B4592,4,2),DanhMuc!$B$154:$B$165,0)),""),"")</f>
        <v>5800</v>
      </c>
      <c r="V4592" s="361"/>
      <c r="W4592" s="345"/>
      <c r="X4592" s="329" t="str">
        <f t="shared" si="361"/>
        <v>C459</v>
      </c>
      <c r="Y4592" s="1128" t="s">
        <v>3380</v>
      </c>
      <c r="Z4592" s="1128" t="s">
        <v>3381</v>
      </c>
      <c r="AA4592" s="1128" t="s">
        <v>3384</v>
      </c>
      <c r="AB4592" s="20"/>
      <c r="AC4592" s="73"/>
    </row>
    <row r="4593" spans="1:29" ht="25">
      <c r="A4593" s="327" t="str">
        <f>IF(AND($B4593&lt;&gt;"",$C4593&lt;&gt;""),MAX($A$1556:A4568)+1,"")</f>
        <v/>
      </c>
      <c r="B4593" s="361" t="s">
        <v>2060</v>
      </c>
      <c r="C4593" s="360"/>
      <c r="D4593" s="327">
        <f>IF($B4593="","",COUNTIF($B$6:$B4593,$B4593))</f>
        <v>9</v>
      </c>
      <c r="E4593" s="361" t="s">
        <v>467</v>
      </c>
      <c r="F4593" s="362" t="s">
        <v>468</v>
      </c>
      <c r="G4593" s="327" t="s">
        <v>297</v>
      </c>
      <c r="H4593" s="361"/>
      <c r="I4593" s="327"/>
      <c r="J4593" s="345"/>
      <c r="K4593" s="327"/>
      <c r="L4593" s="389">
        <v>263000</v>
      </c>
      <c r="M4593" s="355"/>
      <c r="N4593" s="355" t="str">
        <f t="shared" ref="N4593:N4603" si="365">+$N$1555</f>
        <v>PK</v>
      </c>
      <c r="O4593" s="407" t="s">
        <v>1698</v>
      </c>
      <c r="P4593" s="392"/>
      <c r="Q4593" s="327"/>
      <c r="R4593" s="351"/>
      <c r="S4593" s="351"/>
      <c r="T4593" s="351"/>
      <c r="U4593" s="329" t="str">
        <f>IF($N4593=$N$4,IFERROR(INDEX(DanhMuc!$E$154:$E$165,MATCH(MID($B4593,4,2),DanhMuc!$B$154:$B$165,0)),""),"")</f>
        <v/>
      </c>
      <c r="V4593" s="361"/>
      <c r="W4593" s="345"/>
      <c r="X4593" s="329" t="str">
        <f t="shared" si="361"/>
        <v>CM</v>
      </c>
      <c r="Y4593" s="1128" t="s">
        <v>3380</v>
      </c>
      <c r="Z4593" s="1128" t="s">
        <v>3381</v>
      </c>
      <c r="AA4593" s="1128" t="s">
        <v>3384</v>
      </c>
      <c r="AB4593" s="20"/>
      <c r="AC4593" s="73"/>
    </row>
    <row r="4594" spans="1:29" ht="25">
      <c r="A4594" s="327" t="str">
        <f>IF(AND($B4594&lt;&gt;"",$C4594&lt;&gt;""),MAX($A$1556:A4569)+1,"")</f>
        <v/>
      </c>
      <c r="B4594" s="361" t="s">
        <v>2060</v>
      </c>
      <c r="C4594" s="360"/>
      <c r="D4594" s="327">
        <f>IF($B4594="","",COUNTIF($B$6:$B4594,$B4594))</f>
        <v>10</v>
      </c>
      <c r="E4594" s="361" t="s">
        <v>469</v>
      </c>
      <c r="F4594" s="362" t="s">
        <v>470</v>
      </c>
      <c r="G4594" s="327" t="s">
        <v>297</v>
      </c>
      <c r="H4594" s="361"/>
      <c r="I4594" s="327"/>
      <c r="J4594" s="345"/>
      <c r="K4594" s="327"/>
      <c r="L4594" s="389">
        <v>290000</v>
      </c>
      <c r="M4594" s="355"/>
      <c r="N4594" s="355" t="str">
        <f t="shared" si="365"/>
        <v>PK</v>
      </c>
      <c r="O4594" s="407" t="s">
        <v>1699</v>
      </c>
      <c r="P4594" s="392"/>
      <c r="Q4594" s="327"/>
      <c r="R4594" s="351"/>
      <c r="S4594" s="351"/>
      <c r="T4594" s="351"/>
      <c r="U4594" s="329" t="str">
        <f>IF($N4594=$N$4,IFERROR(INDEX(DanhMuc!$E$154:$E$165,MATCH(MID($B4594,4,2),DanhMuc!$B$154:$B$165,0)),""),"")</f>
        <v/>
      </c>
      <c r="V4594" s="361"/>
      <c r="W4594" s="345"/>
      <c r="X4594" s="329" t="str">
        <f t="shared" si="361"/>
        <v>CM</v>
      </c>
      <c r="Y4594" s="1128" t="s">
        <v>3380</v>
      </c>
      <c r="Z4594" s="1128" t="s">
        <v>3381</v>
      </c>
      <c r="AA4594" s="1128" t="s">
        <v>3384</v>
      </c>
      <c r="AB4594" s="20"/>
      <c r="AC4594" s="73"/>
    </row>
    <row r="4595" spans="1:29" ht="25">
      <c r="A4595" s="327" t="str">
        <f>IF(AND($B4595&lt;&gt;"",$C4595&lt;&gt;""),MAX($A$1556:A4570)+1,"")</f>
        <v/>
      </c>
      <c r="B4595" s="361" t="s">
        <v>2060</v>
      </c>
      <c r="C4595" s="360"/>
      <c r="D4595" s="327">
        <f>IF($B4595="","",COUNTIF($B$6:$B4595,$B4595))</f>
        <v>11</v>
      </c>
      <c r="E4595" s="361" t="s">
        <v>471</v>
      </c>
      <c r="F4595" s="362" t="s">
        <v>472</v>
      </c>
      <c r="G4595" s="327" t="s">
        <v>297</v>
      </c>
      <c r="H4595" s="361"/>
      <c r="I4595" s="327">
        <v>1</v>
      </c>
      <c r="J4595" s="361"/>
      <c r="K4595" s="327"/>
      <c r="L4595" s="389">
        <v>324000</v>
      </c>
      <c r="M4595" s="355"/>
      <c r="N4595" s="355" t="str">
        <f t="shared" si="365"/>
        <v>PK</v>
      </c>
      <c r="O4595" s="407" t="s">
        <v>1700</v>
      </c>
      <c r="P4595" s="392"/>
      <c r="Q4595" s="327"/>
      <c r="R4595" s="351"/>
      <c r="S4595" s="351"/>
      <c r="T4595" s="351"/>
      <c r="U4595" s="329" t="str">
        <f>IF($N4595=$N$4,IFERROR(INDEX(DanhMuc!$E$154:$E$165,MATCH(MID($B4595,4,2),DanhMuc!$B$154:$B$165,0)),""),"")</f>
        <v/>
      </c>
      <c r="V4595" s="361"/>
      <c r="W4595" s="345"/>
      <c r="X4595" s="329" t="str">
        <f t="shared" si="361"/>
        <v>CM</v>
      </c>
      <c r="Y4595" s="1128" t="s">
        <v>3380</v>
      </c>
      <c r="Z4595" s="1128" t="s">
        <v>3381</v>
      </c>
      <c r="AA4595" s="1128" t="s">
        <v>3384</v>
      </c>
      <c r="AB4595" s="20"/>
      <c r="AC4595" s="73"/>
    </row>
    <row r="4596" spans="1:29" ht="25">
      <c r="A4596" s="327" t="str">
        <f>IF(AND($B4596&lt;&gt;"",$C4596&lt;&gt;""),MAX($A$1556:A4571)+1,"")</f>
        <v/>
      </c>
      <c r="B4596" s="361" t="s">
        <v>2060</v>
      </c>
      <c r="C4596" s="360"/>
      <c r="D4596" s="327">
        <f>IF($B4596="","",COUNTIF($B$6:$B4596,$B4596))</f>
        <v>12</v>
      </c>
      <c r="E4596" s="361" t="s">
        <v>473</v>
      </c>
      <c r="F4596" s="362" t="s">
        <v>474</v>
      </c>
      <c r="G4596" s="327" t="s">
        <v>297</v>
      </c>
      <c r="H4596" s="361"/>
      <c r="I4596" s="327"/>
      <c r="J4596" s="345"/>
      <c r="K4596" s="327"/>
      <c r="L4596" s="389">
        <v>359200</v>
      </c>
      <c r="M4596" s="355"/>
      <c r="N4596" s="355" t="str">
        <f t="shared" si="365"/>
        <v>PK</v>
      </c>
      <c r="O4596" s="407" t="s">
        <v>1701</v>
      </c>
      <c r="P4596" s="392"/>
      <c r="Q4596" s="327"/>
      <c r="R4596" s="351"/>
      <c r="S4596" s="351"/>
      <c r="T4596" s="351"/>
      <c r="U4596" s="329" t="str">
        <f>IF($N4596=$N$4,IFERROR(INDEX(DanhMuc!$E$154:$E$165,MATCH(MID($B4596,4,2),DanhMuc!$B$154:$B$165,0)),""),"")</f>
        <v/>
      </c>
      <c r="V4596" s="361"/>
      <c r="W4596" s="345"/>
      <c r="X4596" s="329" t="str">
        <f t="shared" si="361"/>
        <v>CM</v>
      </c>
      <c r="Y4596" s="1128" t="s">
        <v>3380</v>
      </c>
      <c r="Z4596" s="1128" t="s">
        <v>3381</v>
      </c>
      <c r="AA4596" s="1128" t="s">
        <v>3384</v>
      </c>
      <c r="AB4596" s="20"/>
      <c r="AC4596" s="73"/>
    </row>
    <row r="4597" spans="1:29" s="25" customFormat="1" ht="25">
      <c r="A4597" s="327" t="str">
        <f>IF(AND($B4597&lt;&gt;"",$C4597&lt;&gt;""),MAX($A$1556:A4572)+1,"")</f>
        <v/>
      </c>
      <c r="B4597" s="361" t="s">
        <v>2060</v>
      </c>
      <c r="C4597" s="346"/>
      <c r="D4597" s="327">
        <f>IF($B4597="","",COUNTIF($B$6:$B4597,$B4597))</f>
        <v>13</v>
      </c>
      <c r="E4597" s="361" t="s">
        <v>475</v>
      </c>
      <c r="F4597" s="362" t="s">
        <v>476</v>
      </c>
      <c r="G4597" s="327" t="s">
        <v>297</v>
      </c>
      <c r="H4597" s="365"/>
      <c r="I4597" s="327"/>
      <c r="J4597" s="365"/>
      <c r="K4597" s="367"/>
      <c r="L4597" s="389">
        <v>431100</v>
      </c>
      <c r="M4597" s="371"/>
      <c r="N4597" s="355" t="str">
        <f t="shared" si="365"/>
        <v>PK</v>
      </c>
      <c r="O4597" s="407" t="s">
        <v>1703</v>
      </c>
      <c r="P4597" s="444"/>
      <c r="Q4597" s="327"/>
      <c r="R4597" s="351"/>
      <c r="S4597" s="351"/>
      <c r="T4597" s="351"/>
      <c r="U4597" s="329" t="str">
        <f>IF($N4597=$N$4,IFERROR(INDEX(DanhMuc!$E$154:$E$165,MATCH(MID($B4597,4,2),DanhMuc!$B$154:$B$165,0)),""),"")</f>
        <v/>
      </c>
      <c r="V4597" s="365"/>
      <c r="W4597" s="345"/>
      <c r="X4597" s="329" t="str">
        <f t="shared" si="361"/>
        <v>CM</v>
      </c>
      <c r="Y4597" s="1128" t="s">
        <v>3380</v>
      </c>
      <c r="Z4597" s="1128" t="s">
        <v>3381</v>
      </c>
      <c r="AA4597" s="1128" t="s">
        <v>3384</v>
      </c>
      <c r="AB4597" s="20"/>
      <c r="AC4597" s="73"/>
    </row>
    <row r="4598" spans="1:29" ht="25">
      <c r="A4598" s="327" t="str">
        <f>IF(AND($B4598&lt;&gt;"",$C4598&lt;&gt;""),MAX($A$1556:A4573)+1,"")</f>
        <v/>
      </c>
      <c r="B4598" s="361" t="s">
        <v>2060</v>
      </c>
      <c r="C4598" s="360"/>
      <c r="D4598" s="327">
        <f>IF($B4598="","",COUNTIF($B$6:$B4598,$B4598))</f>
        <v>14</v>
      </c>
      <c r="E4598" s="361" t="s">
        <v>503</v>
      </c>
      <c r="F4598" s="362" t="s">
        <v>504</v>
      </c>
      <c r="G4598" s="327" t="s">
        <v>297</v>
      </c>
      <c r="H4598" s="361"/>
      <c r="I4598" s="327">
        <v>1</v>
      </c>
      <c r="J4598" s="359"/>
      <c r="K4598" s="327"/>
      <c r="L4598" s="389">
        <v>207700</v>
      </c>
      <c r="M4598" s="355"/>
      <c r="N4598" s="355" t="str">
        <f t="shared" si="365"/>
        <v>PK</v>
      </c>
      <c r="O4598" s="345"/>
      <c r="P4598" s="447"/>
      <c r="Q4598" s="327"/>
      <c r="R4598" s="351"/>
      <c r="S4598" s="351"/>
      <c r="T4598" s="351"/>
      <c r="U4598" s="329" t="str">
        <f>IF($N4598=$N$4,IFERROR(INDEX(DanhMuc!$E$154:$E$165,MATCH(MID($B4598,4,2),DanhMuc!$B$154:$B$165,0)),""),"")</f>
        <v/>
      </c>
      <c r="V4598" s="361"/>
      <c r="W4598" s="345"/>
      <c r="X4598" s="329" t="str">
        <f t="shared" si="361"/>
        <v>CM</v>
      </c>
      <c r="Y4598" s="1128" t="s">
        <v>3380</v>
      </c>
      <c r="Z4598" s="1128" t="s">
        <v>3381</v>
      </c>
      <c r="AA4598" s="1128" t="s">
        <v>3384</v>
      </c>
      <c r="AB4598" s="20"/>
      <c r="AC4598" s="73"/>
    </row>
    <row r="4599" spans="1:29" ht="25">
      <c r="A4599" s="327" t="str">
        <f>IF(AND($B4599&lt;&gt;"",$C4599&lt;&gt;""),MAX($A$1556:A4574)+1,"")</f>
        <v/>
      </c>
      <c r="B4599" s="361" t="s">
        <v>2060</v>
      </c>
      <c r="C4599" s="360"/>
      <c r="D4599" s="327">
        <f>IF($B4599="","",COUNTIF($B$6:$B4599,$B4599))</f>
        <v>15</v>
      </c>
      <c r="E4599" s="361" t="s">
        <v>479</v>
      </c>
      <c r="F4599" s="362" t="s">
        <v>480</v>
      </c>
      <c r="G4599" s="327" t="s">
        <v>296</v>
      </c>
      <c r="H4599" s="361"/>
      <c r="I4599" s="327">
        <v>4</v>
      </c>
      <c r="J4599" s="361"/>
      <c r="K4599" s="327"/>
      <c r="L4599" s="389">
        <v>10700</v>
      </c>
      <c r="M4599" s="355"/>
      <c r="N4599" s="355" t="str">
        <f t="shared" si="365"/>
        <v>PK</v>
      </c>
      <c r="O4599" s="345"/>
      <c r="P4599" s="392"/>
      <c r="Q4599" s="327"/>
      <c r="R4599" s="351"/>
      <c r="S4599" s="351"/>
      <c r="T4599" s="351"/>
      <c r="U4599" s="329" t="str">
        <f>IF($N4599=$N$4,IFERROR(INDEX(DanhMuc!$E$154:$E$165,MATCH(MID($B4599,4,2),DanhMuc!$B$154:$B$165,0)),""),"")</f>
        <v/>
      </c>
      <c r="V4599" s="361"/>
      <c r="W4599" s="345"/>
      <c r="X4599" s="329" t="str">
        <f t="shared" si="361"/>
        <v>CM</v>
      </c>
      <c r="Y4599" s="1128" t="s">
        <v>3380</v>
      </c>
      <c r="Z4599" s="1128" t="s">
        <v>3381</v>
      </c>
      <c r="AA4599" s="1128" t="s">
        <v>3384</v>
      </c>
      <c r="AB4599" s="20"/>
      <c r="AC4599" s="73"/>
    </row>
    <row r="4600" spans="1:29" ht="26">
      <c r="A4600" s="327">
        <f>IF(AND($B4600&lt;&gt;"",$C4600&lt;&gt;""),MAX($A$1556:A4575)+1,"")</f>
        <v>208</v>
      </c>
      <c r="B4600" s="359" t="s">
        <v>2061</v>
      </c>
      <c r="C4600" s="360" t="s">
        <v>1527</v>
      </c>
      <c r="D4600" s="327">
        <f>IF($B4600="","",COUNTIF($B$6:$B4600,$B4600))</f>
        <v>1</v>
      </c>
      <c r="E4600" s="361" t="s">
        <v>298</v>
      </c>
      <c r="F4600" s="362" t="s">
        <v>299</v>
      </c>
      <c r="G4600" s="351" t="s">
        <v>297</v>
      </c>
      <c r="H4600" s="361"/>
      <c r="I4600" s="327">
        <v>1</v>
      </c>
      <c r="J4600" s="361"/>
      <c r="K4600" s="327"/>
      <c r="L4600" s="389">
        <v>663400</v>
      </c>
      <c r="M4600" s="355"/>
      <c r="N4600" s="355" t="str">
        <f t="shared" si="365"/>
        <v>PK</v>
      </c>
      <c r="O4600" s="345"/>
      <c r="P4600" s="392"/>
      <c r="Q4600" s="327"/>
      <c r="R4600" s="351"/>
      <c r="S4600" s="351"/>
      <c r="T4600" s="351"/>
      <c r="U4600" s="329" t="str">
        <f>IF($N4600=$N$4,IFERROR(INDEX(DanhMuc!$E$154:$E$165,MATCH(MID($B4600,4,2),DanhMuc!$B$154:$B$165,0)),""),"")</f>
        <v/>
      </c>
      <c r="V4600" s="361"/>
      <c r="W4600" s="345"/>
      <c r="X4600" s="329" t="str">
        <f t="shared" si="361"/>
        <v>CM</v>
      </c>
      <c r="Y4600" s="1128" t="s">
        <v>3380</v>
      </c>
      <c r="Z4600" s="1128" t="s">
        <v>3381</v>
      </c>
      <c r="AA4600" s="1128" t="s">
        <v>3384</v>
      </c>
      <c r="AB4600" s="20"/>
      <c r="AC4600" s="73"/>
    </row>
    <row r="4601" spans="1:29" ht="25">
      <c r="A4601" s="327" t="str">
        <f>IF(AND($B4601&lt;&gt;"",$C4601&lt;&gt;""),MAX($A$1556:A4576)+1,"")</f>
        <v/>
      </c>
      <c r="B4601" s="361" t="s">
        <v>2061</v>
      </c>
      <c r="C4601" s="360"/>
      <c r="D4601" s="327">
        <f>IF($B4601="","",COUNTIF($B$6:$B4601,$B4601))</f>
        <v>2</v>
      </c>
      <c r="E4601" s="361" t="s">
        <v>483</v>
      </c>
      <c r="F4601" s="362" t="s">
        <v>484</v>
      </c>
      <c r="G4601" s="327" t="s">
        <v>297</v>
      </c>
      <c r="H4601" s="361"/>
      <c r="I4601" s="327"/>
      <c r="J4601" s="345"/>
      <c r="K4601" s="327"/>
      <c r="L4601" s="389">
        <v>773000</v>
      </c>
      <c r="M4601" s="355"/>
      <c r="N4601" s="355" t="str">
        <f t="shared" si="365"/>
        <v>PK</v>
      </c>
      <c r="O4601" s="345"/>
      <c r="P4601" s="392"/>
      <c r="Q4601" s="327"/>
      <c r="R4601" s="351"/>
      <c r="S4601" s="351"/>
      <c r="T4601" s="351"/>
      <c r="U4601" s="329" t="str">
        <f>IF($N4601=$N$4,IFERROR(INDEX(DanhMuc!$E$154:$E$165,MATCH(MID($B4601,4,2),DanhMuc!$B$154:$B$165,0)),""),"")</f>
        <v/>
      </c>
      <c r="V4601" s="361"/>
      <c r="W4601" s="345"/>
      <c r="X4601" s="329" t="str">
        <f t="shared" si="361"/>
        <v>CM</v>
      </c>
      <c r="Y4601" s="1128" t="s">
        <v>3380</v>
      </c>
      <c r="Z4601" s="1128" t="s">
        <v>3381</v>
      </c>
      <c r="AA4601" s="1128" t="s">
        <v>3384</v>
      </c>
      <c r="AB4601" s="20"/>
      <c r="AC4601" s="73"/>
    </row>
    <row r="4602" spans="1:29" ht="25">
      <c r="A4602" s="327" t="str">
        <f>IF(AND($B4602&lt;&gt;"",$C4602&lt;&gt;""),MAX($A$1556:A4577)+1,"")</f>
        <v/>
      </c>
      <c r="B4602" s="361" t="s">
        <v>2061</v>
      </c>
      <c r="C4602" s="360"/>
      <c r="D4602" s="327">
        <f>IF($B4602="","",COUNTIF($B$6:$B4602,$B4602))</f>
        <v>3</v>
      </c>
      <c r="E4602" s="361" t="s">
        <v>485</v>
      </c>
      <c r="F4602" s="362" t="s">
        <v>486</v>
      </c>
      <c r="G4602" s="327" t="s">
        <v>297</v>
      </c>
      <c r="H4602" s="361"/>
      <c r="I4602" s="327"/>
      <c r="J4602" s="345"/>
      <c r="K4602" s="327"/>
      <c r="L4602" s="389">
        <v>518900</v>
      </c>
      <c r="M4602" s="355"/>
      <c r="N4602" s="355" t="str">
        <f t="shared" si="365"/>
        <v>PK</v>
      </c>
      <c r="O4602" s="345"/>
      <c r="P4602" s="392"/>
      <c r="Q4602" s="327"/>
      <c r="R4602" s="351"/>
      <c r="S4602" s="351"/>
      <c r="T4602" s="351"/>
      <c r="U4602" s="329" t="str">
        <f>IF($N4602=$N$4,IFERROR(INDEX(DanhMuc!$E$154:$E$165,MATCH(MID($B4602,4,2),DanhMuc!$B$154:$B$165,0)),""),"")</f>
        <v/>
      </c>
      <c r="V4602" s="361"/>
      <c r="W4602" s="345"/>
      <c r="X4602" s="329" t="str">
        <f t="shared" si="361"/>
        <v>CM</v>
      </c>
      <c r="Y4602" s="1128" t="s">
        <v>3380</v>
      </c>
      <c r="Z4602" s="1128" t="s">
        <v>3381</v>
      </c>
      <c r="AA4602" s="1128" t="s">
        <v>3384</v>
      </c>
      <c r="AB4602" s="20"/>
      <c r="AC4602" s="73"/>
    </row>
    <row r="4603" spans="1:29">
      <c r="A4603" s="327" t="str">
        <f>IF(AND($B4603&lt;&gt;"",$C4603&lt;&gt;""),MAX($A$1556:A4578)+1,"")</f>
        <v/>
      </c>
      <c r="B4603" s="361" t="s">
        <v>2061</v>
      </c>
      <c r="C4603" s="360"/>
      <c r="D4603" s="327">
        <f>IF($B4603="","",COUNTIF($B$6:$B4603,$B4603))</f>
        <v>4</v>
      </c>
      <c r="E4603" s="361" t="s">
        <v>300</v>
      </c>
      <c r="F4603" s="362" t="s">
        <v>301</v>
      </c>
      <c r="G4603" s="327" t="s">
        <v>296</v>
      </c>
      <c r="H4603" s="361"/>
      <c r="I4603" s="327">
        <v>1</v>
      </c>
      <c r="J4603" s="345"/>
      <c r="K4603" s="327"/>
      <c r="L4603" s="389">
        <v>26500</v>
      </c>
      <c r="M4603" s="355"/>
      <c r="N4603" s="355" t="str">
        <f t="shared" si="365"/>
        <v>PK</v>
      </c>
      <c r="O4603" s="345"/>
      <c r="P4603" s="392"/>
      <c r="Q4603" s="327"/>
      <c r="R4603" s="351"/>
      <c r="S4603" s="351"/>
      <c r="T4603" s="351"/>
      <c r="U4603" s="329" t="str">
        <f>IF($N4603=$N$4,IFERROR(INDEX(DanhMuc!$E$154:$E$165,MATCH(MID($B4603,4,2),DanhMuc!$B$154:$B$165,0)),""),"")</f>
        <v/>
      </c>
      <c r="V4603" s="361"/>
      <c r="W4603" s="345"/>
      <c r="X4603" s="329" t="str">
        <f t="shared" si="361"/>
        <v>CM</v>
      </c>
      <c r="Y4603" s="1128" t="s">
        <v>3380</v>
      </c>
      <c r="Z4603" s="1128" t="s">
        <v>3381</v>
      </c>
      <c r="AA4603" s="1128" t="s">
        <v>3384</v>
      </c>
      <c r="AB4603" s="20"/>
      <c r="AC4603" s="73"/>
    </row>
    <row r="4604" spans="1:29" s="25" customFormat="1" ht="25">
      <c r="A4604" s="327" t="str">
        <f>IF(AND($B4604&lt;&gt;"",$C4604&lt;&gt;""),MAX($A$1556:A4579)+1,"")</f>
        <v/>
      </c>
      <c r="B4604" s="361" t="s">
        <v>2061</v>
      </c>
      <c r="C4604" s="346"/>
      <c r="D4604" s="367">
        <f>IF($B4604="","",COUNTIF($B$6:$B4604,$B4604))</f>
        <v>5</v>
      </c>
      <c r="E4604" s="361" t="s">
        <v>302</v>
      </c>
      <c r="F4604" s="362" t="s">
        <v>303</v>
      </c>
      <c r="G4604" s="367" t="s">
        <v>296</v>
      </c>
      <c r="H4604" s="365"/>
      <c r="I4604" s="327">
        <v>1</v>
      </c>
      <c r="J4604" s="345"/>
      <c r="K4604" s="327"/>
      <c r="L4604" s="389">
        <v>17000</v>
      </c>
      <c r="M4604" s="372"/>
      <c r="N4604" s="355" t="s">
        <v>150</v>
      </c>
      <c r="O4604" s="345"/>
      <c r="P4604" s="392"/>
      <c r="Q4604" s="327"/>
      <c r="R4604" s="351"/>
      <c r="S4604" s="351"/>
      <c r="T4604" s="351"/>
      <c r="U4604" s="329">
        <f>IF($N4604=$N$4,IFERROR(INDEX(DanhMuc!$E$154:$E$165,MATCH(MID($B4604,4,2),DanhMuc!$B$154:$B$165,0)),""),"")</f>
        <v>5800</v>
      </c>
      <c r="V4604" s="365"/>
      <c r="W4604" s="345"/>
      <c r="X4604" s="329" t="str">
        <f t="shared" ref="X4604:X4650" si="366">IF($N4604="PR",$E4604,MID($B4604,10,2))</f>
        <v>D000080-01</v>
      </c>
      <c r="Y4604" s="1128" t="s">
        <v>3380</v>
      </c>
      <c r="Z4604" s="1128" t="s">
        <v>3381</v>
      </c>
      <c r="AA4604" s="1128" t="s">
        <v>3384</v>
      </c>
      <c r="AB4604" s="20"/>
      <c r="AC4604" s="73"/>
    </row>
    <row r="4605" spans="1:29" ht="25">
      <c r="A4605" s="327" t="str">
        <f>IF(AND($B4605&lt;&gt;"",$C4605&lt;&gt;""),MAX($A$1556:A4580)+1,"")</f>
        <v/>
      </c>
      <c r="B4605" s="361" t="s">
        <v>2061</v>
      </c>
      <c r="C4605" s="360"/>
      <c r="D4605" s="327">
        <f>IF($B4605="","",COUNTIF($B$6:$B4605,$B4605))</f>
        <v>6</v>
      </c>
      <c r="E4605" s="361" t="s">
        <v>487</v>
      </c>
      <c r="F4605" s="362" t="s">
        <v>488</v>
      </c>
      <c r="G4605" s="327" t="s">
        <v>296</v>
      </c>
      <c r="H4605" s="361"/>
      <c r="I4605" s="327"/>
      <c r="J4605" s="345"/>
      <c r="K4605" s="327"/>
      <c r="L4605" s="389">
        <v>17000</v>
      </c>
      <c r="M4605" s="355"/>
      <c r="N4605" s="355" t="str">
        <f>+$N$1555</f>
        <v>PK</v>
      </c>
      <c r="O4605" s="345"/>
      <c r="P4605" s="392"/>
      <c r="Q4605" s="327"/>
      <c r="R4605" s="351"/>
      <c r="S4605" s="351"/>
      <c r="T4605" s="351"/>
      <c r="U4605" s="329" t="str">
        <f>IF($N4605=$N$4,IFERROR(INDEX(DanhMuc!$E$154:$E$165,MATCH(MID($B4605,4,2),DanhMuc!$B$154:$B$165,0)),""),"")</f>
        <v/>
      </c>
      <c r="V4605" s="361"/>
      <c r="W4605" s="345"/>
      <c r="X4605" s="329" t="str">
        <f t="shared" si="366"/>
        <v>CM</v>
      </c>
      <c r="Y4605" s="1128" t="s">
        <v>3380</v>
      </c>
      <c r="Z4605" s="1128" t="s">
        <v>3381</v>
      </c>
      <c r="AA4605" s="1128" t="s">
        <v>3384</v>
      </c>
      <c r="AB4605" s="20"/>
      <c r="AC4605" s="73"/>
    </row>
    <row r="4606" spans="1:29" ht="25">
      <c r="A4606" s="327" t="str">
        <f>IF(AND($B4606&lt;&gt;"",$C4606&lt;&gt;""),MAX($A$1556:A4581)+1,"")</f>
        <v/>
      </c>
      <c r="B4606" s="361" t="s">
        <v>2061</v>
      </c>
      <c r="C4606" s="360"/>
      <c r="D4606" s="327">
        <f>IF($B4606="","",COUNTIF($B$6:$B4606,$B4606))</f>
        <v>7</v>
      </c>
      <c r="E4606" s="361" t="s">
        <v>489</v>
      </c>
      <c r="F4606" s="362" t="s">
        <v>304</v>
      </c>
      <c r="G4606" s="327" t="s">
        <v>296</v>
      </c>
      <c r="H4606" s="361"/>
      <c r="I4606" s="327">
        <v>1</v>
      </c>
      <c r="J4606" s="345"/>
      <c r="K4606" s="327"/>
      <c r="L4606" s="389">
        <v>922300</v>
      </c>
      <c r="M4606" s="355"/>
      <c r="N4606" s="355" t="str">
        <f>+$N$1555</f>
        <v>PK</v>
      </c>
      <c r="O4606" s="345"/>
      <c r="P4606" s="392"/>
      <c r="Q4606" s="327"/>
      <c r="R4606" s="351"/>
      <c r="S4606" s="351"/>
      <c r="T4606" s="351"/>
      <c r="U4606" s="329" t="str">
        <f>IF($N4606=$N$4,IFERROR(INDEX(DanhMuc!$E$154:$E$165,MATCH(MID($B4606,4,2),DanhMuc!$B$154:$B$165,0)),""),"")</f>
        <v/>
      </c>
      <c r="V4606" s="361"/>
      <c r="W4606" s="345"/>
      <c r="X4606" s="329" t="str">
        <f t="shared" si="366"/>
        <v>CM</v>
      </c>
      <c r="Y4606" s="1128" t="s">
        <v>3380</v>
      </c>
      <c r="Z4606" s="1128" t="s">
        <v>3381</v>
      </c>
      <c r="AA4606" s="1128" t="s">
        <v>3384</v>
      </c>
      <c r="AB4606" s="20"/>
      <c r="AC4606" s="73"/>
    </row>
    <row r="4607" spans="1:29">
      <c r="A4607" s="327" t="str">
        <f>IF(AND($B4607&lt;&gt;"",$C4607&lt;&gt;""),MAX($A$1556:A4582)+1,"")</f>
        <v/>
      </c>
      <c r="B4607" s="361" t="s">
        <v>2061</v>
      </c>
      <c r="C4607" s="360"/>
      <c r="D4607" s="327">
        <f>IF($B4607="","",COUNTIF($B$6:$B4607,$B4607))</f>
        <v>8</v>
      </c>
      <c r="E4607" s="365" t="s">
        <v>327</v>
      </c>
      <c r="F4607" s="368" t="s">
        <v>345</v>
      </c>
      <c r="G4607" s="367" t="s">
        <v>690</v>
      </c>
      <c r="H4607" s="361" t="s">
        <v>536</v>
      </c>
      <c r="I4607" s="327">
        <v>1</v>
      </c>
      <c r="J4607" s="345">
        <v>1400</v>
      </c>
      <c r="K4607" s="327"/>
      <c r="L4607" s="348">
        <f>+$S4607*$T4607*$L$37</f>
        <v>84651</v>
      </c>
      <c r="M4607" s="355"/>
      <c r="N4607" s="369" t="s">
        <v>150</v>
      </c>
      <c r="O4607" s="345"/>
      <c r="P4607" s="392"/>
      <c r="Q4607" s="327"/>
      <c r="R4607" s="351">
        <v>2.5</v>
      </c>
      <c r="S4607" s="351">
        <v>5.8</v>
      </c>
      <c r="T4607" s="351">
        <v>0.13900000000000001</v>
      </c>
      <c r="U4607" s="329">
        <f>IF($N4607=$N$4,IFERROR(INDEX(DanhMuc!$E$154:$E$165,MATCH(MID($B4607,4,2),DanhMuc!$B$154:$B$165,0)),""),"")</f>
        <v>5800</v>
      </c>
      <c r="V4607" s="361"/>
      <c r="W4607" s="345"/>
      <c r="X4607" s="329" t="str">
        <f t="shared" si="366"/>
        <v>C459</v>
      </c>
      <c r="Y4607" s="1128" t="s">
        <v>3380</v>
      </c>
      <c r="Z4607" s="1128" t="s">
        <v>3381</v>
      </c>
      <c r="AA4607" s="1128" t="s">
        <v>3384</v>
      </c>
      <c r="AB4607" s="20"/>
      <c r="AC4607" s="73"/>
    </row>
    <row r="4608" spans="1:29">
      <c r="A4608" s="327" t="str">
        <f>IF(AND($B4608&lt;&gt;"",$C4608&lt;&gt;""),MAX($A$1556:A4583)+1,"")</f>
        <v/>
      </c>
      <c r="B4608" s="361" t="s">
        <v>2061</v>
      </c>
      <c r="C4608" s="360"/>
      <c r="D4608" s="327">
        <f>IF($B4608="","",COUNTIF($B$6:$B4608,$B4608))</f>
        <v>9</v>
      </c>
      <c r="E4608" s="361" t="s">
        <v>305</v>
      </c>
      <c r="F4608" s="362" t="s">
        <v>306</v>
      </c>
      <c r="G4608" s="327" t="s">
        <v>296</v>
      </c>
      <c r="H4608" s="361"/>
      <c r="I4608" s="327">
        <v>2</v>
      </c>
      <c r="J4608" s="345"/>
      <c r="K4608" s="327"/>
      <c r="L4608" s="389">
        <v>45900</v>
      </c>
      <c r="M4608" s="355"/>
      <c r="N4608" s="355" t="str">
        <f t="shared" ref="N4608:N4619" si="367">+$N$1555</f>
        <v>PK</v>
      </c>
      <c r="O4608" s="345"/>
      <c r="P4608" s="392"/>
      <c r="Q4608" s="327"/>
      <c r="R4608" s="351"/>
      <c r="S4608" s="351"/>
      <c r="T4608" s="351"/>
      <c r="U4608" s="329" t="str">
        <f>IF($N4608=$N$4,IFERROR(INDEX(DanhMuc!$E$154:$E$165,MATCH(MID($B4608,4,2),DanhMuc!$B$154:$B$165,0)),""),"")</f>
        <v/>
      </c>
      <c r="V4608" s="361"/>
      <c r="W4608" s="345"/>
      <c r="X4608" s="329" t="str">
        <f t="shared" si="366"/>
        <v>CM</v>
      </c>
      <c r="Y4608" s="1128" t="s">
        <v>3380</v>
      </c>
      <c r="Z4608" s="1128" t="s">
        <v>3381</v>
      </c>
      <c r="AA4608" s="1128" t="s">
        <v>3384</v>
      </c>
      <c r="AB4608" s="20"/>
      <c r="AC4608" s="73"/>
    </row>
    <row r="4609" spans="1:29" ht="25">
      <c r="A4609" s="327" t="str">
        <f>IF(AND($B4609&lt;&gt;"",$C4609&lt;&gt;""),MAX($A$1556:A4584)+1,"")</f>
        <v/>
      </c>
      <c r="B4609" s="361" t="s">
        <v>2061</v>
      </c>
      <c r="C4609" s="360"/>
      <c r="D4609" s="327">
        <f>IF($B4609="","",COUNTIF($B$6:$B4609,$B4609))</f>
        <v>10</v>
      </c>
      <c r="E4609" s="361" t="s">
        <v>490</v>
      </c>
      <c r="F4609" s="362" t="s">
        <v>491</v>
      </c>
      <c r="G4609" s="327" t="s">
        <v>296</v>
      </c>
      <c r="H4609" s="361"/>
      <c r="I4609" s="327">
        <v>2</v>
      </c>
      <c r="J4609" s="345"/>
      <c r="K4609" s="327"/>
      <c r="L4609" s="389">
        <v>29200</v>
      </c>
      <c r="M4609" s="355"/>
      <c r="N4609" s="355" t="str">
        <f t="shared" si="367"/>
        <v>PK</v>
      </c>
      <c r="O4609" s="345"/>
      <c r="P4609" s="392"/>
      <c r="Q4609" s="327"/>
      <c r="R4609" s="351"/>
      <c r="S4609" s="351"/>
      <c r="T4609" s="351"/>
      <c r="U4609" s="329" t="str">
        <f>IF($N4609=$N$4,IFERROR(INDEX(DanhMuc!$E$154:$E$165,MATCH(MID($B4609,4,2),DanhMuc!$B$154:$B$165,0)),""),"")</f>
        <v/>
      </c>
      <c r="V4609" s="361"/>
      <c r="W4609" s="345"/>
      <c r="X4609" s="329" t="str">
        <f t="shared" si="366"/>
        <v>CM</v>
      </c>
      <c r="Y4609" s="1128" t="s">
        <v>3380</v>
      </c>
      <c r="Z4609" s="1128" t="s">
        <v>3381</v>
      </c>
      <c r="AA4609" s="1128" t="s">
        <v>3384</v>
      </c>
      <c r="AB4609" s="20"/>
      <c r="AC4609" s="73"/>
    </row>
    <row r="4610" spans="1:29" ht="25">
      <c r="A4610" s="327" t="str">
        <f>IF(AND($B4610&lt;&gt;"",$C4610&lt;&gt;""),MAX($A$1556:A4585)+1,"")</f>
        <v/>
      </c>
      <c r="B4610" s="361" t="s">
        <v>2061</v>
      </c>
      <c r="C4610" s="360"/>
      <c r="D4610" s="327">
        <f>IF($B4610="","",COUNTIF($B$6:$B4610,$B4610))</f>
        <v>11</v>
      </c>
      <c r="E4610" s="361" t="s">
        <v>492</v>
      </c>
      <c r="F4610" s="362" t="s">
        <v>493</v>
      </c>
      <c r="G4610" s="327" t="s">
        <v>296</v>
      </c>
      <c r="H4610" s="361"/>
      <c r="I4610" s="327">
        <v>1</v>
      </c>
      <c r="J4610" s="345"/>
      <c r="K4610" s="327"/>
      <c r="L4610" s="389">
        <v>46600</v>
      </c>
      <c r="M4610" s="355"/>
      <c r="N4610" s="355" t="str">
        <f t="shared" si="367"/>
        <v>PK</v>
      </c>
      <c r="O4610" s="345"/>
      <c r="P4610" s="392"/>
      <c r="Q4610" s="327"/>
      <c r="R4610" s="351"/>
      <c r="S4610" s="351"/>
      <c r="T4610" s="351"/>
      <c r="U4610" s="329" t="str">
        <f>IF($N4610=$N$4,IFERROR(INDEX(DanhMuc!$E$154:$E$165,MATCH(MID($B4610,4,2),DanhMuc!$B$154:$B$165,0)),""),"")</f>
        <v/>
      </c>
      <c r="V4610" s="361"/>
      <c r="W4610" s="345"/>
      <c r="X4610" s="329" t="str">
        <f t="shared" si="366"/>
        <v>CM</v>
      </c>
      <c r="Y4610" s="1128" t="s">
        <v>3380</v>
      </c>
      <c r="Z4610" s="1128" t="s">
        <v>3381</v>
      </c>
      <c r="AA4610" s="1128" t="s">
        <v>3384</v>
      </c>
      <c r="AB4610" s="20"/>
      <c r="AC4610" s="73"/>
    </row>
    <row r="4611" spans="1:29" ht="25">
      <c r="A4611" s="327" t="str">
        <f>IF(AND($B4611&lt;&gt;"",$C4611&lt;&gt;""),MAX($A$1556:A4586)+1,"")</f>
        <v/>
      </c>
      <c r="B4611" s="361" t="s">
        <v>2061</v>
      </c>
      <c r="C4611" s="360"/>
      <c r="D4611" s="327">
        <f>IF($B4611="","",COUNTIF($B$6:$B4611,$B4611))</f>
        <v>12</v>
      </c>
      <c r="E4611" s="361" t="s">
        <v>315</v>
      </c>
      <c r="F4611" s="362" t="s">
        <v>316</v>
      </c>
      <c r="G4611" s="327" t="s">
        <v>296</v>
      </c>
      <c r="H4611" s="361"/>
      <c r="I4611" s="327">
        <v>1</v>
      </c>
      <c r="J4611" s="361"/>
      <c r="K4611" s="327"/>
      <c r="L4611" s="389">
        <v>249200</v>
      </c>
      <c r="M4611" s="355"/>
      <c r="N4611" s="355" t="str">
        <f t="shared" si="367"/>
        <v>PK</v>
      </c>
      <c r="O4611" s="345"/>
      <c r="P4611" s="392"/>
      <c r="Q4611" s="327"/>
      <c r="R4611" s="351"/>
      <c r="S4611" s="351"/>
      <c r="T4611" s="351"/>
      <c r="U4611" s="329" t="str">
        <f>IF($N4611=$N$4,IFERROR(INDEX(DanhMuc!$E$154:$E$165,MATCH(MID($B4611,4,2),DanhMuc!$B$154:$B$165,0)),""),"")</f>
        <v/>
      </c>
      <c r="V4611" s="361"/>
      <c r="W4611" s="345"/>
      <c r="X4611" s="329" t="str">
        <f t="shared" si="366"/>
        <v>CM</v>
      </c>
      <c r="Y4611" s="1128" t="s">
        <v>3380</v>
      </c>
      <c r="Z4611" s="1128" t="s">
        <v>3381</v>
      </c>
      <c r="AA4611" s="1128" t="s">
        <v>3384</v>
      </c>
      <c r="AB4611" s="20"/>
      <c r="AC4611" s="73"/>
    </row>
    <row r="4612" spans="1:29" ht="25">
      <c r="A4612" s="327" t="str">
        <f>IF(AND($B4612&lt;&gt;"",$C4612&lt;&gt;""),MAX($A$1556:A4587)+1,"")</f>
        <v/>
      </c>
      <c r="B4612" s="361" t="s">
        <v>2061</v>
      </c>
      <c r="C4612" s="360"/>
      <c r="D4612" s="327">
        <f>IF($B4612="","",COUNTIF($B$6:$B4612,$B4612))</f>
        <v>13</v>
      </c>
      <c r="E4612" s="361" t="s">
        <v>494</v>
      </c>
      <c r="F4612" s="362" t="s">
        <v>495</v>
      </c>
      <c r="G4612" s="327" t="s">
        <v>296</v>
      </c>
      <c r="H4612" s="408"/>
      <c r="I4612" s="327"/>
      <c r="J4612" s="345"/>
      <c r="K4612" s="327"/>
      <c r="L4612" s="389">
        <v>262700</v>
      </c>
      <c r="M4612" s="355"/>
      <c r="N4612" s="355" t="str">
        <f t="shared" si="367"/>
        <v>PK</v>
      </c>
      <c r="O4612" s="345"/>
      <c r="P4612" s="392"/>
      <c r="Q4612" s="327"/>
      <c r="R4612" s="351"/>
      <c r="S4612" s="351"/>
      <c r="T4612" s="351"/>
      <c r="U4612" s="329" t="str">
        <f>IF($N4612=$N$4,IFERROR(INDEX(DanhMuc!$E$154:$E$165,MATCH(MID($B4612,4,2),DanhMuc!$B$154:$B$165,0)),""),"")</f>
        <v/>
      </c>
      <c r="V4612" s="408" t="s">
        <v>343</v>
      </c>
      <c r="W4612" s="345"/>
      <c r="X4612" s="329" t="str">
        <f t="shared" si="366"/>
        <v>CM</v>
      </c>
      <c r="Y4612" s="1128" t="s">
        <v>3380</v>
      </c>
      <c r="Z4612" s="1128" t="s">
        <v>3381</v>
      </c>
      <c r="AA4612" s="1128" t="s">
        <v>3384</v>
      </c>
      <c r="AB4612" s="20"/>
      <c r="AC4612" s="73"/>
    </row>
    <row r="4613" spans="1:29" ht="25">
      <c r="A4613" s="327" t="str">
        <f>IF(AND($B4613&lt;&gt;"",$C4613&lt;&gt;""),MAX($A$1556:A4588)+1,"")</f>
        <v/>
      </c>
      <c r="B4613" s="361" t="s">
        <v>2061</v>
      </c>
      <c r="C4613" s="360"/>
      <c r="D4613" s="327">
        <f>IF($B4613="","",COUNTIF($B$6:$B4613,$B4613))</f>
        <v>14</v>
      </c>
      <c r="E4613" s="361" t="s">
        <v>496</v>
      </c>
      <c r="F4613" s="362" t="s">
        <v>497</v>
      </c>
      <c r="G4613" s="327" t="s">
        <v>296</v>
      </c>
      <c r="H4613" s="361"/>
      <c r="I4613" s="327"/>
      <c r="J4613" s="345"/>
      <c r="K4613" s="327"/>
      <c r="L4613" s="389">
        <v>262700</v>
      </c>
      <c r="M4613" s="355"/>
      <c r="N4613" s="355" t="str">
        <f t="shared" si="367"/>
        <v>PK</v>
      </c>
      <c r="O4613" s="345"/>
      <c r="P4613" s="392"/>
      <c r="Q4613" s="327"/>
      <c r="R4613" s="351"/>
      <c r="S4613" s="351"/>
      <c r="T4613" s="351"/>
      <c r="U4613" s="329" t="str">
        <f>IF($N4613=$N$4,IFERROR(INDEX(DanhMuc!$E$154:$E$165,MATCH(MID($B4613,4,2),DanhMuc!$B$154:$B$165,0)),""),"")</f>
        <v/>
      </c>
      <c r="V4613" s="361"/>
      <c r="W4613" s="345"/>
      <c r="X4613" s="329" t="str">
        <f t="shared" si="366"/>
        <v>CM</v>
      </c>
      <c r="Y4613" s="1128" t="s">
        <v>3380</v>
      </c>
      <c r="Z4613" s="1128" t="s">
        <v>3381</v>
      </c>
      <c r="AA4613" s="1128" t="s">
        <v>3384</v>
      </c>
      <c r="AB4613" s="20"/>
      <c r="AC4613" s="73"/>
    </row>
    <row r="4614" spans="1:29" ht="25">
      <c r="A4614" s="327" t="str">
        <f>IF(AND($B4614&lt;&gt;"",$C4614&lt;&gt;""),MAX($A$1556:A4589)+1,"")</f>
        <v/>
      </c>
      <c r="B4614" s="361" t="s">
        <v>2061</v>
      </c>
      <c r="C4614" s="360"/>
      <c r="D4614" s="327">
        <f>IF($B4614="","",COUNTIF($B$6:$B4614,$B4614))</f>
        <v>15</v>
      </c>
      <c r="E4614" s="361" t="s">
        <v>498</v>
      </c>
      <c r="F4614" s="362" t="s">
        <v>499</v>
      </c>
      <c r="G4614" s="327" t="s">
        <v>296</v>
      </c>
      <c r="H4614" s="361"/>
      <c r="I4614" s="327"/>
      <c r="J4614" s="361"/>
      <c r="K4614" s="327"/>
      <c r="L4614" s="389">
        <v>583400</v>
      </c>
      <c r="M4614" s="355"/>
      <c r="N4614" s="355" t="str">
        <f t="shared" si="367"/>
        <v>PK</v>
      </c>
      <c r="O4614" s="345"/>
      <c r="P4614" s="392"/>
      <c r="Q4614" s="327"/>
      <c r="R4614" s="351"/>
      <c r="S4614" s="351"/>
      <c r="T4614" s="351"/>
      <c r="U4614" s="329" t="str">
        <f>IF($N4614=$N$4,IFERROR(INDEX(DanhMuc!$E$154:$E$165,MATCH(MID($B4614,4,2),DanhMuc!$B$154:$B$165,0)),""),"")</f>
        <v/>
      </c>
      <c r="V4614" s="361"/>
      <c r="W4614" s="345"/>
      <c r="X4614" s="329" t="str">
        <f t="shared" si="366"/>
        <v>CM</v>
      </c>
      <c r="Y4614" s="1128" t="s">
        <v>3380</v>
      </c>
      <c r="Z4614" s="1128" t="s">
        <v>3381</v>
      </c>
      <c r="AA4614" s="1128" t="s">
        <v>3384</v>
      </c>
      <c r="AB4614" s="20"/>
      <c r="AC4614" s="73"/>
    </row>
    <row r="4615" spans="1:29" ht="25">
      <c r="A4615" s="327" t="str">
        <f>IF(AND($B4615&lt;&gt;"",$C4615&lt;&gt;""),MAX($A$1556:A4590)+1,"")</f>
        <v/>
      </c>
      <c r="B4615" s="361" t="s">
        <v>2061</v>
      </c>
      <c r="C4615" s="360"/>
      <c r="D4615" s="327">
        <f>IF($B4615="","",COUNTIF($B$6:$B4615,$B4615))</f>
        <v>16</v>
      </c>
      <c r="E4615" s="361" t="s">
        <v>500</v>
      </c>
      <c r="F4615" s="362" t="s">
        <v>501</v>
      </c>
      <c r="G4615" s="327" t="s">
        <v>296</v>
      </c>
      <c r="H4615" s="361"/>
      <c r="I4615" s="327"/>
      <c r="J4615" s="361"/>
      <c r="K4615" s="327"/>
      <c r="L4615" s="389">
        <v>567600</v>
      </c>
      <c r="M4615" s="355"/>
      <c r="N4615" s="355" t="str">
        <f t="shared" si="367"/>
        <v>PK</v>
      </c>
      <c r="O4615" s="345"/>
      <c r="P4615" s="392"/>
      <c r="Q4615" s="327"/>
      <c r="R4615" s="351"/>
      <c r="S4615" s="351"/>
      <c r="T4615" s="351"/>
      <c r="U4615" s="329" t="str">
        <f>IF($N4615=$N$4,IFERROR(INDEX(DanhMuc!$E$154:$E$165,MATCH(MID($B4615,4,2),DanhMuc!$B$154:$B$165,0)),""),"")</f>
        <v/>
      </c>
      <c r="V4615" s="361"/>
      <c r="W4615" s="345"/>
      <c r="X4615" s="329" t="str">
        <f t="shared" si="366"/>
        <v>CM</v>
      </c>
      <c r="Y4615" s="1128" t="s">
        <v>3380</v>
      </c>
      <c r="Z4615" s="1128" t="s">
        <v>3381</v>
      </c>
      <c r="AA4615" s="1128" t="s">
        <v>3384</v>
      </c>
      <c r="AB4615" s="20"/>
      <c r="AC4615" s="73"/>
    </row>
    <row r="4616" spans="1:29" ht="25">
      <c r="A4616" s="327" t="str">
        <f>IF(AND($B4616&lt;&gt;"",$C4616&lt;&gt;""),MAX($A$1556:A4591)+1,"")</f>
        <v/>
      </c>
      <c r="B4616" s="361" t="s">
        <v>2061</v>
      </c>
      <c r="C4616" s="360"/>
      <c r="D4616" s="327">
        <f>IF($B4616="","",COUNTIF($B$6:$B4616,$B4616))</f>
        <v>17</v>
      </c>
      <c r="E4616" s="361" t="s">
        <v>317</v>
      </c>
      <c r="F4616" s="362" t="s">
        <v>318</v>
      </c>
      <c r="G4616" s="327" t="s">
        <v>296</v>
      </c>
      <c r="H4616" s="361"/>
      <c r="I4616" s="327">
        <v>3</v>
      </c>
      <c r="J4616" s="361"/>
      <c r="K4616" s="327"/>
      <c r="L4616" s="389">
        <v>799800</v>
      </c>
      <c r="M4616" s="355"/>
      <c r="N4616" s="355" t="str">
        <f t="shared" si="367"/>
        <v>PK</v>
      </c>
      <c r="O4616" s="345"/>
      <c r="P4616" s="392"/>
      <c r="Q4616" s="327"/>
      <c r="R4616" s="351"/>
      <c r="S4616" s="351"/>
      <c r="T4616" s="351"/>
      <c r="U4616" s="329" t="str">
        <f>IF($N4616=$N$4,IFERROR(INDEX(DanhMuc!$E$154:$E$165,MATCH(MID($B4616,4,2),DanhMuc!$B$154:$B$165,0)),""),"")</f>
        <v/>
      </c>
      <c r="V4616" s="361"/>
      <c r="W4616" s="345"/>
      <c r="X4616" s="329" t="str">
        <f t="shared" si="366"/>
        <v>CM</v>
      </c>
      <c r="Y4616" s="1128" t="s">
        <v>3380</v>
      </c>
      <c r="Z4616" s="1128" t="s">
        <v>3381</v>
      </c>
      <c r="AA4616" s="1128" t="s">
        <v>3384</v>
      </c>
      <c r="AB4616" s="20"/>
      <c r="AC4616" s="73"/>
    </row>
    <row r="4617" spans="1:29" ht="26">
      <c r="A4617" s="327">
        <f>IF(AND($B4617&lt;&gt;"",$C4617&lt;&gt;""),MAX($A$1556:A4592)+1,"")</f>
        <v>208</v>
      </c>
      <c r="B4617" s="359" t="s">
        <v>2062</v>
      </c>
      <c r="C4617" s="360" t="s">
        <v>1528</v>
      </c>
      <c r="D4617" s="327">
        <f>IF($B4617="","",COUNTIF($B$6:$B4617,$B4617))</f>
        <v>1</v>
      </c>
      <c r="E4617" s="361" t="s">
        <v>298</v>
      </c>
      <c r="F4617" s="362" t="s">
        <v>299</v>
      </c>
      <c r="G4617" s="327" t="s">
        <v>297</v>
      </c>
      <c r="H4617" s="361"/>
      <c r="I4617" s="327">
        <v>1</v>
      </c>
      <c r="J4617" s="361"/>
      <c r="K4617" s="327"/>
      <c r="L4617" s="389">
        <v>663400</v>
      </c>
      <c r="M4617" s="355"/>
      <c r="N4617" s="355" t="str">
        <f t="shared" si="367"/>
        <v>PK</v>
      </c>
      <c r="O4617" s="345"/>
      <c r="P4617" s="392"/>
      <c r="Q4617" s="327"/>
      <c r="R4617" s="351"/>
      <c r="S4617" s="351"/>
      <c r="T4617" s="351"/>
      <c r="U4617" s="329" t="str">
        <f>IF($N4617=$N$4,IFERROR(INDEX(DanhMuc!$E$154:$E$165,MATCH(MID($B4617,4,2),DanhMuc!$B$154:$B$165,0)),""),"")</f>
        <v/>
      </c>
      <c r="V4617" s="361"/>
      <c r="W4617" s="345"/>
      <c r="X4617" s="329" t="str">
        <f t="shared" si="366"/>
        <v>CM</v>
      </c>
      <c r="Y4617" s="1128" t="s">
        <v>3380</v>
      </c>
      <c r="Z4617" s="1128" t="s">
        <v>3381</v>
      </c>
      <c r="AA4617" s="1128" t="s">
        <v>3384</v>
      </c>
      <c r="AB4617" s="20"/>
      <c r="AC4617" s="73"/>
    </row>
    <row r="4618" spans="1:29" ht="25">
      <c r="A4618" s="327" t="str">
        <f>IF(AND($B4618&lt;&gt;"",$C4618&lt;&gt;""),MAX($A$1556:A4593)+1,"")</f>
        <v/>
      </c>
      <c r="B4618" s="361" t="s">
        <v>2062</v>
      </c>
      <c r="C4618" s="360"/>
      <c r="D4618" s="327">
        <f>IF($B4618="","",COUNTIF($B$6:$B4618,$B4618))</f>
        <v>2</v>
      </c>
      <c r="E4618" s="361" t="s">
        <v>483</v>
      </c>
      <c r="F4618" s="362" t="s">
        <v>484</v>
      </c>
      <c r="G4618" s="327" t="s">
        <v>297</v>
      </c>
      <c r="H4618" s="361"/>
      <c r="I4618" s="327"/>
      <c r="J4618" s="345"/>
      <c r="K4618" s="327"/>
      <c r="L4618" s="389">
        <v>773000</v>
      </c>
      <c r="M4618" s="355"/>
      <c r="N4618" s="355" t="str">
        <f t="shared" si="367"/>
        <v>PK</v>
      </c>
      <c r="O4618" s="345"/>
      <c r="P4618" s="392"/>
      <c r="Q4618" s="327"/>
      <c r="R4618" s="351"/>
      <c r="S4618" s="351"/>
      <c r="T4618" s="351"/>
      <c r="U4618" s="329" t="str">
        <f>IF($N4618=$N$4,IFERROR(INDEX(DanhMuc!$E$154:$E$165,MATCH(MID($B4618,4,2),DanhMuc!$B$154:$B$165,0)),""),"")</f>
        <v/>
      </c>
      <c r="V4618" s="361"/>
      <c r="W4618" s="345"/>
      <c r="X4618" s="329" t="str">
        <f t="shared" si="366"/>
        <v>CM</v>
      </c>
      <c r="Y4618" s="1128" t="s">
        <v>3380</v>
      </c>
      <c r="Z4618" s="1128" t="s">
        <v>3381</v>
      </c>
      <c r="AA4618" s="1128" t="s">
        <v>3384</v>
      </c>
      <c r="AB4618" s="20"/>
      <c r="AC4618" s="73"/>
    </row>
    <row r="4619" spans="1:29">
      <c r="A4619" s="327" t="str">
        <f>IF(AND($B4619&lt;&gt;"",$C4619&lt;&gt;""),MAX($A$1556:A4594)+1,"")</f>
        <v/>
      </c>
      <c r="B4619" s="361" t="s">
        <v>2062</v>
      </c>
      <c r="C4619" s="360"/>
      <c r="D4619" s="327">
        <f>IF($B4619="","",COUNTIF($B$6:$B4619,$B4619))</f>
        <v>3</v>
      </c>
      <c r="E4619" s="361" t="s">
        <v>300</v>
      </c>
      <c r="F4619" s="362" t="s">
        <v>301</v>
      </c>
      <c r="G4619" s="327" t="s">
        <v>296</v>
      </c>
      <c r="H4619" s="361"/>
      <c r="I4619" s="327">
        <v>1</v>
      </c>
      <c r="J4619" s="345"/>
      <c r="K4619" s="327"/>
      <c r="L4619" s="389">
        <v>26500</v>
      </c>
      <c r="M4619" s="355"/>
      <c r="N4619" s="355" t="str">
        <f t="shared" si="367"/>
        <v>PK</v>
      </c>
      <c r="O4619" s="345"/>
      <c r="P4619" s="392"/>
      <c r="Q4619" s="327"/>
      <c r="R4619" s="351"/>
      <c r="S4619" s="351"/>
      <c r="T4619" s="351"/>
      <c r="U4619" s="329" t="str">
        <f>IF($N4619=$N$4,IFERROR(INDEX(DanhMuc!$E$154:$E$165,MATCH(MID($B4619,4,2),DanhMuc!$B$154:$B$165,0)),""),"")</f>
        <v/>
      </c>
      <c r="V4619" s="361"/>
      <c r="W4619" s="345"/>
      <c r="X4619" s="329" t="str">
        <f t="shared" si="366"/>
        <v>CM</v>
      </c>
      <c r="Y4619" s="1128" t="s">
        <v>3380</v>
      </c>
      <c r="Z4619" s="1128" t="s">
        <v>3381</v>
      </c>
      <c r="AA4619" s="1128" t="s">
        <v>3384</v>
      </c>
      <c r="AB4619" s="20"/>
      <c r="AC4619" s="73"/>
    </row>
    <row r="4620" spans="1:29" s="25" customFormat="1" ht="25">
      <c r="A4620" s="327" t="str">
        <f>IF(AND($B4620&lt;&gt;"",$C4620&lt;&gt;""),MAX($A$1556:A4595)+1,"")</f>
        <v/>
      </c>
      <c r="B4620" s="361" t="s">
        <v>2062</v>
      </c>
      <c r="C4620" s="346"/>
      <c r="D4620" s="327">
        <f>IF($B4620="","",COUNTIF($B$6:$B4620,$B4620))</f>
        <v>4</v>
      </c>
      <c r="E4620" s="361" t="s">
        <v>302</v>
      </c>
      <c r="F4620" s="362" t="s">
        <v>303</v>
      </c>
      <c r="G4620" s="327" t="s">
        <v>296</v>
      </c>
      <c r="H4620" s="365"/>
      <c r="I4620" s="327">
        <v>1</v>
      </c>
      <c r="J4620" s="345"/>
      <c r="K4620" s="327"/>
      <c r="L4620" s="389">
        <v>17000</v>
      </c>
      <c r="M4620" s="372"/>
      <c r="N4620" s="355" t="s">
        <v>150</v>
      </c>
      <c r="O4620" s="345"/>
      <c r="P4620" s="392"/>
      <c r="Q4620" s="327"/>
      <c r="R4620" s="351"/>
      <c r="S4620" s="351"/>
      <c r="T4620" s="351"/>
      <c r="U4620" s="329">
        <f>IF($N4620=$N$4,IFERROR(INDEX(DanhMuc!$E$154:$E$165,MATCH(MID($B4620,4,2),DanhMuc!$B$154:$B$165,0)),""),"")</f>
        <v>5800</v>
      </c>
      <c r="V4620" s="365"/>
      <c r="W4620" s="345"/>
      <c r="X4620" s="329" t="str">
        <f t="shared" si="366"/>
        <v>D000080-01</v>
      </c>
      <c r="Y4620" s="1128" t="s">
        <v>3380</v>
      </c>
      <c r="Z4620" s="1128" t="s">
        <v>3381</v>
      </c>
      <c r="AA4620" s="1128" t="s">
        <v>3384</v>
      </c>
      <c r="AB4620" s="20"/>
      <c r="AC4620" s="73"/>
    </row>
    <row r="4621" spans="1:29" ht="25">
      <c r="A4621" s="327" t="str">
        <f>IF(AND($B4621&lt;&gt;"",$C4621&lt;&gt;""),MAX($A$1556:A4596)+1,"")</f>
        <v/>
      </c>
      <c r="B4621" s="361" t="s">
        <v>2062</v>
      </c>
      <c r="C4621" s="360"/>
      <c r="D4621" s="327">
        <f>IF($B4621="","",COUNTIF($B$6:$B4621,$B4621))</f>
        <v>5</v>
      </c>
      <c r="E4621" s="361" t="s">
        <v>489</v>
      </c>
      <c r="F4621" s="362" t="s">
        <v>304</v>
      </c>
      <c r="G4621" s="327" t="s">
        <v>296</v>
      </c>
      <c r="H4621" s="361"/>
      <c r="I4621" s="327">
        <v>1</v>
      </c>
      <c r="J4621" s="345"/>
      <c r="K4621" s="327"/>
      <c r="L4621" s="389">
        <v>922300</v>
      </c>
      <c r="M4621" s="355"/>
      <c r="N4621" s="355" t="str">
        <f>+$N$1555</f>
        <v>PK</v>
      </c>
      <c r="O4621" s="345"/>
      <c r="P4621" s="392"/>
      <c r="Q4621" s="327"/>
      <c r="R4621" s="351"/>
      <c r="S4621" s="351"/>
      <c r="T4621" s="351"/>
      <c r="U4621" s="329" t="str">
        <f>IF($N4621=$N$4,IFERROR(INDEX(DanhMuc!$E$154:$E$165,MATCH(MID($B4621,4,2),DanhMuc!$B$154:$B$165,0)),""),"")</f>
        <v/>
      </c>
      <c r="V4621" s="361"/>
      <c r="W4621" s="345"/>
      <c r="X4621" s="329" t="str">
        <f t="shared" si="366"/>
        <v>CM</v>
      </c>
      <c r="Y4621" s="1128" t="s">
        <v>3380</v>
      </c>
      <c r="Z4621" s="1128" t="s">
        <v>3381</v>
      </c>
      <c r="AA4621" s="1128" t="s">
        <v>3384</v>
      </c>
      <c r="AB4621" s="20"/>
      <c r="AC4621" s="73"/>
    </row>
    <row r="4622" spans="1:29">
      <c r="A4622" s="327" t="str">
        <f>IF(AND($B4622&lt;&gt;"",$C4622&lt;&gt;""),MAX($A$1556:A4597)+1,"")</f>
        <v/>
      </c>
      <c r="B4622" s="361" t="s">
        <v>2062</v>
      </c>
      <c r="C4622" s="360"/>
      <c r="D4622" s="327">
        <f>IF($B4622="","",COUNTIF($B$6:$B4622,$B4622))</f>
        <v>6</v>
      </c>
      <c r="E4622" s="361" t="s">
        <v>305</v>
      </c>
      <c r="F4622" s="362" t="s">
        <v>306</v>
      </c>
      <c r="G4622" s="327" t="s">
        <v>296</v>
      </c>
      <c r="H4622" s="361"/>
      <c r="I4622" s="327">
        <v>2</v>
      </c>
      <c r="J4622" s="345"/>
      <c r="K4622" s="327"/>
      <c r="L4622" s="389">
        <v>45900</v>
      </c>
      <c r="M4622" s="355"/>
      <c r="N4622" s="355" t="str">
        <f>+$N$1555</f>
        <v>PK</v>
      </c>
      <c r="O4622" s="345"/>
      <c r="P4622" s="392"/>
      <c r="Q4622" s="327"/>
      <c r="R4622" s="351"/>
      <c r="S4622" s="351"/>
      <c r="T4622" s="351"/>
      <c r="U4622" s="329" t="str">
        <f>IF($N4622=$N$4,IFERROR(INDEX(DanhMuc!$E$154:$E$165,MATCH(MID($B4622,4,2),DanhMuc!$B$154:$B$165,0)),""),"")</f>
        <v/>
      </c>
      <c r="V4622" s="361"/>
      <c r="W4622" s="345"/>
      <c r="X4622" s="329" t="str">
        <f t="shared" si="366"/>
        <v>CM</v>
      </c>
      <c r="Y4622" s="1128" t="s">
        <v>3380</v>
      </c>
      <c r="Z4622" s="1128" t="s">
        <v>3381</v>
      </c>
      <c r="AA4622" s="1128" t="s">
        <v>3384</v>
      </c>
      <c r="AB4622" s="20"/>
      <c r="AC4622" s="73"/>
    </row>
    <row r="4623" spans="1:29">
      <c r="A4623" s="327" t="str">
        <f>IF(AND($B4623&lt;&gt;"",$C4623&lt;&gt;""),MAX($A$1556:A4598)+1,"")</f>
        <v/>
      </c>
      <c r="B4623" s="361" t="s">
        <v>2062</v>
      </c>
      <c r="C4623" s="360"/>
      <c r="D4623" s="327">
        <f>IF($B4623="","",COUNTIF($B$6:$B4623,$B4623))</f>
        <v>7</v>
      </c>
      <c r="E4623" s="361" t="s">
        <v>307</v>
      </c>
      <c r="F4623" s="362" t="s">
        <v>308</v>
      </c>
      <c r="G4623" s="327" t="s">
        <v>296</v>
      </c>
      <c r="H4623" s="361"/>
      <c r="I4623" s="327">
        <v>2</v>
      </c>
      <c r="J4623" s="345"/>
      <c r="K4623" s="327"/>
      <c r="L4623" s="389">
        <v>21700</v>
      </c>
      <c r="M4623" s="355"/>
      <c r="N4623" s="355" t="str">
        <f>+$N$1555</f>
        <v>PK</v>
      </c>
      <c r="O4623" s="345"/>
      <c r="P4623" s="392"/>
      <c r="Q4623" s="327"/>
      <c r="R4623" s="351"/>
      <c r="S4623" s="351"/>
      <c r="T4623" s="351"/>
      <c r="U4623" s="329" t="str">
        <f>IF($N4623=$N$4,IFERROR(INDEX(DanhMuc!$E$154:$E$165,MATCH(MID($B4623,4,2),DanhMuc!$B$154:$B$165,0)),""),"")</f>
        <v/>
      </c>
      <c r="V4623" s="361"/>
      <c r="W4623" s="345"/>
      <c r="X4623" s="329" t="str">
        <f t="shared" si="366"/>
        <v>CM</v>
      </c>
      <c r="Y4623" s="1128" t="s">
        <v>3380</v>
      </c>
      <c r="Z4623" s="1128" t="s">
        <v>3381</v>
      </c>
      <c r="AA4623" s="1128" t="s">
        <v>3384</v>
      </c>
      <c r="AB4623" s="20"/>
      <c r="AC4623" s="73"/>
    </row>
    <row r="4624" spans="1:29">
      <c r="A4624" s="327" t="str">
        <f>IF(AND($B4624&lt;&gt;"",$C4624&lt;&gt;""),MAX($A$1556:A4599)+1,"")</f>
        <v/>
      </c>
      <c r="B4624" s="361" t="s">
        <v>2062</v>
      </c>
      <c r="C4624" s="360"/>
      <c r="D4624" s="327">
        <f>IF($B4624="","",COUNTIF($B$6:$B4624,$B4624))</f>
        <v>8</v>
      </c>
      <c r="E4624" s="365" t="s">
        <v>327</v>
      </c>
      <c r="F4624" s="368" t="s">
        <v>345</v>
      </c>
      <c r="G4624" s="367" t="s">
        <v>690</v>
      </c>
      <c r="H4624" s="361" t="s">
        <v>536</v>
      </c>
      <c r="I4624" s="327">
        <v>1</v>
      </c>
      <c r="J4624" s="345">
        <v>1400</v>
      </c>
      <c r="K4624" s="327"/>
      <c r="L4624" s="348">
        <f t="shared" ref="L4624:L4625" si="368">+$S4624*$T4624*$L$37</f>
        <v>84651</v>
      </c>
      <c r="M4624" s="355"/>
      <c r="N4624" s="369" t="s">
        <v>150</v>
      </c>
      <c r="O4624" s="345"/>
      <c r="P4624" s="392"/>
      <c r="Q4624" s="327"/>
      <c r="R4624" s="351">
        <v>2.5</v>
      </c>
      <c r="S4624" s="351">
        <v>5.8</v>
      </c>
      <c r="T4624" s="351">
        <v>0.13900000000000001</v>
      </c>
      <c r="U4624" s="329">
        <f>IF($N4624=$N$4,IFERROR(INDEX(DanhMuc!$E$154:$E$165,MATCH(MID($B4624,4,2),DanhMuc!$B$154:$B$165,0)),""),"")</f>
        <v>5800</v>
      </c>
      <c r="V4624" s="361"/>
      <c r="W4624" s="345"/>
      <c r="X4624" s="329" t="str">
        <f t="shared" si="366"/>
        <v>C459</v>
      </c>
      <c r="Y4624" s="1128" t="s">
        <v>3380</v>
      </c>
      <c r="Z4624" s="1128" t="s">
        <v>3381</v>
      </c>
      <c r="AA4624" s="1128" t="s">
        <v>3384</v>
      </c>
      <c r="AB4624" s="20"/>
      <c r="AC4624" s="73"/>
    </row>
    <row r="4625" spans="1:29" s="25" customFormat="1">
      <c r="A4625" s="327" t="str">
        <f>IF(AND($B4625&lt;&gt;"",$C4625&lt;&gt;""),MAX($A$1556:A4600)+1,"")</f>
        <v/>
      </c>
      <c r="B4625" s="361" t="s">
        <v>2062</v>
      </c>
      <c r="C4625" s="346"/>
      <c r="D4625" s="367">
        <f>IF($B4625="","",COUNTIF($B$6:$B4625,$B4625))</f>
        <v>9</v>
      </c>
      <c r="E4625" s="365" t="s">
        <v>327</v>
      </c>
      <c r="F4625" s="368" t="s">
        <v>345</v>
      </c>
      <c r="G4625" s="367" t="s">
        <v>690</v>
      </c>
      <c r="H4625" s="361" t="s">
        <v>536</v>
      </c>
      <c r="I4625" s="367">
        <v>1</v>
      </c>
      <c r="J4625" s="365" t="s">
        <v>80</v>
      </c>
      <c r="K4625" s="367"/>
      <c r="L4625" s="348">
        <f t="shared" si="368"/>
        <v>84651</v>
      </c>
      <c r="M4625" s="372"/>
      <c r="N4625" s="369" t="s">
        <v>150</v>
      </c>
      <c r="O4625" s="345"/>
      <c r="P4625" s="444"/>
      <c r="Q4625" s="327"/>
      <c r="R4625" s="351">
        <v>2.5</v>
      </c>
      <c r="S4625" s="351">
        <v>5.8</v>
      </c>
      <c r="T4625" s="351">
        <v>0.13900000000000001</v>
      </c>
      <c r="U4625" s="329">
        <f>IF($N4625=$N$4,IFERROR(INDEX(DanhMuc!$E$154:$E$165,MATCH(MID($B4625,4,2),DanhMuc!$B$154:$B$165,0)),""),"")</f>
        <v>5800</v>
      </c>
      <c r="V4625" s="365"/>
      <c r="W4625" s="345"/>
      <c r="X4625" s="329" t="str">
        <f t="shared" si="366"/>
        <v>C459</v>
      </c>
      <c r="Y4625" s="1128" t="s">
        <v>3380</v>
      </c>
      <c r="Z4625" s="1128" t="s">
        <v>3381</v>
      </c>
      <c r="AA4625" s="1128" t="s">
        <v>3384</v>
      </c>
      <c r="AB4625" s="20"/>
      <c r="AC4625" s="73"/>
    </row>
    <row r="4626" spans="1:29" ht="25">
      <c r="A4626" s="327" t="str">
        <f>IF(AND($B4626&lt;&gt;"",$C4626&lt;&gt;""),MAX($A$1556:A4601)+1,"")</f>
        <v/>
      </c>
      <c r="B4626" s="361" t="s">
        <v>2062</v>
      </c>
      <c r="C4626" s="360"/>
      <c r="D4626" s="327">
        <f>IF($B4626="","",COUNTIF($B$6:$B4626,$B4626))</f>
        <v>10</v>
      </c>
      <c r="E4626" s="361" t="s">
        <v>309</v>
      </c>
      <c r="F4626" s="362" t="s">
        <v>310</v>
      </c>
      <c r="G4626" s="327" t="s">
        <v>296</v>
      </c>
      <c r="H4626" s="361"/>
      <c r="I4626" s="327">
        <v>2</v>
      </c>
      <c r="J4626" s="345"/>
      <c r="K4626" s="327"/>
      <c r="L4626" s="389">
        <v>63400</v>
      </c>
      <c r="M4626" s="355"/>
      <c r="N4626" s="355" t="str">
        <f>+$N$1555</f>
        <v>PK</v>
      </c>
      <c r="O4626" s="345"/>
      <c r="P4626" s="392"/>
      <c r="Q4626" s="327"/>
      <c r="R4626" s="351"/>
      <c r="S4626" s="351"/>
      <c r="T4626" s="351"/>
      <c r="U4626" s="329" t="str">
        <f>IF($N4626=$N$4,IFERROR(INDEX(DanhMuc!$E$154:$E$165,MATCH(MID($B4626,4,2),DanhMuc!$B$154:$B$165,0)),""),"")</f>
        <v/>
      </c>
      <c r="V4626" s="361"/>
      <c r="W4626" s="345"/>
      <c r="X4626" s="329" t="str">
        <f t="shared" si="366"/>
        <v>CM</v>
      </c>
      <c r="Y4626" s="1128" t="s">
        <v>3380</v>
      </c>
      <c r="Z4626" s="1128" t="s">
        <v>3381</v>
      </c>
      <c r="AA4626" s="1128" t="s">
        <v>3384</v>
      </c>
      <c r="AB4626" s="20"/>
      <c r="AC4626" s="73"/>
    </row>
    <row r="4627" spans="1:29" ht="25">
      <c r="A4627" s="327" t="str">
        <f>IF(AND($B4627&lt;&gt;"",$C4627&lt;&gt;""),MAX($A$1556:A4602)+1,"")</f>
        <v/>
      </c>
      <c r="B4627" s="361" t="s">
        <v>2062</v>
      </c>
      <c r="C4627" s="360"/>
      <c r="D4627" s="327">
        <f>IF($B4627="","",COUNTIF($B$6:$B4627,$B4627))</f>
        <v>11</v>
      </c>
      <c r="E4627" s="361" t="s">
        <v>477</v>
      </c>
      <c r="F4627" s="362" t="s">
        <v>478</v>
      </c>
      <c r="G4627" s="327" t="s">
        <v>296</v>
      </c>
      <c r="H4627" s="408"/>
      <c r="I4627" s="327">
        <v>2</v>
      </c>
      <c r="J4627" s="345"/>
      <c r="K4627" s="327"/>
      <c r="L4627" s="389">
        <v>123300</v>
      </c>
      <c r="M4627" s="355"/>
      <c r="N4627" s="355" t="str">
        <f>+$N$1555</f>
        <v>PK</v>
      </c>
      <c r="O4627" s="345"/>
      <c r="P4627" s="392"/>
      <c r="Q4627" s="327"/>
      <c r="R4627" s="351"/>
      <c r="S4627" s="351"/>
      <c r="T4627" s="351"/>
      <c r="U4627" s="329" t="str">
        <f>IF($N4627=$N$4,IFERROR(INDEX(DanhMuc!$E$154:$E$165,MATCH(MID($B4627,4,2),DanhMuc!$B$154:$B$165,0)),""),"")</f>
        <v/>
      </c>
      <c r="V4627" s="408" t="s">
        <v>343</v>
      </c>
      <c r="W4627" s="345"/>
      <c r="X4627" s="329" t="str">
        <f t="shared" si="366"/>
        <v>CM</v>
      </c>
      <c r="Y4627" s="1128" t="s">
        <v>3380</v>
      </c>
      <c r="Z4627" s="1128" t="s">
        <v>3381</v>
      </c>
      <c r="AA4627" s="1128" t="s">
        <v>3384</v>
      </c>
      <c r="AB4627" s="20"/>
      <c r="AC4627" s="73"/>
    </row>
    <row r="4628" spans="1:29" ht="25">
      <c r="A4628" s="327" t="str">
        <f>IF(AND($B4628&lt;&gt;"",$C4628&lt;&gt;""),MAX($A$1556:A4603)+1,"")</f>
        <v/>
      </c>
      <c r="B4628" s="361" t="s">
        <v>2062</v>
      </c>
      <c r="C4628" s="360"/>
      <c r="D4628" s="327">
        <f>IF($B4628="","",COUNTIF($B$6:$B4628,$B4628))</f>
        <v>12</v>
      </c>
      <c r="E4628" s="361" t="s">
        <v>311</v>
      </c>
      <c r="F4628" s="362" t="s">
        <v>312</v>
      </c>
      <c r="G4628" s="327" t="s">
        <v>296</v>
      </c>
      <c r="H4628" s="361"/>
      <c r="I4628" s="327">
        <v>1</v>
      </c>
      <c r="J4628" s="345"/>
      <c r="K4628" s="327"/>
      <c r="L4628" s="389">
        <v>56100</v>
      </c>
      <c r="M4628" s="355"/>
      <c r="N4628" s="355" t="str">
        <f>+$N$1555</f>
        <v>PK</v>
      </c>
      <c r="O4628" s="345"/>
      <c r="P4628" s="392"/>
      <c r="Q4628" s="327"/>
      <c r="R4628" s="351"/>
      <c r="S4628" s="351"/>
      <c r="T4628" s="351"/>
      <c r="U4628" s="329" t="str">
        <f>IF($N4628=$N$4,IFERROR(INDEX(DanhMuc!$E$154:$E$165,MATCH(MID($B4628,4,2),DanhMuc!$B$154:$B$165,0)),""),"")</f>
        <v/>
      </c>
      <c r="V4628" s="361"/>
      <c r="W4628" s="345"/>
      <c r="X4628" s="329" t="str">
        <f t="shared" si="366"/>
        <v>CM</v>
      </c>
      <c r="Y4628" s="1128" t="s">
        <v>3380</v>
      </c>
      <c r="Z4628" s="1128" t="s">
        <v>3381</v>
      </c>
      <c r="AA4628" s="1128" t="s">
        <v>3384</v>
      </c>
      <c r="AB4628" s="20"/>
      <c r="AC4628" s="73"/>
    </row>
    <row r="4629" spans="1:29" s="25" customFormat="1">
      <c r="A4629" s="327" t="str">
        <f>IF(AND($B4629&lt;&gt;"",$C4629&lt;&gt;""),MAX($A$1556:A4604)+1,"")</f>
        <v/>
      </c>
      <c r="B4629" s="361" t="s">
        <v>2062</v>
      </c>
      <c r="C4629" s="346"/>
      <c r="D4629" s="327">
        <f>IF($B4629="","",COUNTIF($B$6:$B4629,$B4629))</f>
        <v>13</v>
      </c>
      <c r="E4629" s="361" t="s">
        <v>313</v>
      </c>
      <c r="F4629" s="362" t="s">
        <v>314</v>
      </c>
      <c r="G4629" s="327" t="s">
        <v>296</v>
      </c>
      <c r="H4629" s="365"/>
      <c r="I4629" s="327">
        <v>1</v>
      </c>
      <c r="J4629" s="365"/>
      <c r="K4629" s="327"/>
      <c r="L4629" s="389">
        <v>75100</v>
      </c>
      <c r="M4629" s="369"/>
      <c r="N4629" s="355" t="str">
        <f>+$N$1555</f>
        <v>PK</v>
      </c>
      <c r="O4629" s="345"/>
      <c r="P4629" s="392"/>
      <c r="Q4629" s="327"/>
      <c r="R4629" s="351"/>
      <c r="S4629" s="351"/>
      <c r="T4629" s="351"/>
      <c r="U4629" s="329" t="str">
        <f>IF($N4629=$N$4,IFERROR(INDEX(DanhMuc!$E$154:$E$165,MATCH(MID($B4629,4,2),DanhMuc!$B$154:$B$165,0)),""),"")</f>
        <v/>
      </c>
      <c r="V4629" s="365"/>
      <c r="W4629" s="345"/>
      <c r="X4629" s="329" t="str">
        <f t="shared" si="366"/>
        <v>CM</v>
      </c>
      <c r="Y4629" s="1128" t="s">
        <v>3380</v>
      </c>
      <c r="Z4629" s="1128" t="s">
        <v>3381</v>
      </c>
      <c r="AA4629" s="1128" t="s">
        <v>3384</v>
      </c>
      <c r="AB4629" s="20"/>
      <c r="AC4629" s="73"/>
    </row>
    <row r="4630" spans="1:29" s="25" customFormat="1" ht="25">
      <c r="A4630" s="327" t="str">
        <f>IF(AND($B4630&lt;&gt;"",$C4630&lt;&gt;""),MAX($A$1556:A4605)+1,"")</f>
        <v/>
      </c>
      <c r="B4630" s="361" t="s">
        <v>2062</v>
      </c>
      <c r="C4630" s="346"/>
      <c r="D4630" s="327">
        <f>IF($B4630="","",COUNTIF($B$6:$B4630,$B4630))</f>
        <v>14</v>
      </c>
      <c r="E4630" s="361" t="s">
        <v>315</v>
      </c>
      <c r="F4630" s="362" t="s">
        <v>316</v>
      </c>
      <c r="G4630" s="327" t="s">
        <v>296</v>
      </c>
      <c r="H4630" s="365"/>
      <c r="I4630" s="327">
        <v>1</v>
      </c>
      <c r="J4630" s="345"/>
      <c r="K4630" s="327"/>
      <c r="L4630" s="389">
        <v>249200</v>
      </c>
      <c r="M4630" s="372"/>
      <c r="N4630" s="355" t="s">
        <v>150</v>
      </c>
      <c r="O4630" s="345" t="s">
        <v>1060</v>
      </c>
      <c r="P4630" s="392"/>
      <c r="Q4630" s="327"/>
      <c r="R4630" s="351"/>
      <c r="S4630" s="351"/>
      <c r="T4630" s="351"/>
      <c r="U4630" s="329">
        <f>IF($N4630=$N$4,IFERROR(INDEX(DanhMuc!$E$154:$E$165,MATCH(MID($B4630,4,2),DanhMuc!$B$154:$B$165,0)),""),"")</f>
        <v>5800</v>
      </c>
      <c r="V4630" s="365"/>
      <c r="W4630" s="345"/>
      <c r="X4630" s="329" t="str">
        <f t="shared" si="366"/>
        <v>F130405</v>
      </c>
      <c r="Y4630" s="1128" t="s">
        <v>3380</v>
      </c>
      <c r="Z4630" s="1128" t="s">
        <v>3381</v>
      </c>
      <c r="AA4630" s="1128" t="s">
        <v>3384</v>
      </c>
      <c r="AB4630" s="20"/>
      <c r="AC4630" s="73"/>
    </row>
    <row r="4631" spans="1:29" ht="25">
      <c r="A4631" s="327" t="str">
        <f>IF(AND($B4631&lt;&gt;"",$C4631&lt;&gt;""),MAX($A$1556:A4606)+1,"")</f>
        <v/>
      </c>
      <c r="B4631" s="361" t="s">
        <v>2062</v>
      </c>
      <c r="C4631" s="360"/>
      <c r="D4631" s="327">
        <f>IF($B4631="","",COUNTIF($B$6:$B4631,$B4631))</f>
        <v>15</v>
      </c>
      <c r="E4631" s="361" t="s">
        <v>494</v>
      </c>
      <c r="F4631" s="362" t="s">
        <v>495</v>
      </c>
      <c r="G4631" s="327" t="s">
        <v>296</v>
      </c>
      <c r="H4631" s="361"/>
      <c r="I4631" s="327">
        <v>1</v>
      </c>
      <c r="J4631" s="361"/>
      <c r="K4631" s="327"/>
      <c r="L4631" s="389">
        <v>262700</v>
      </c>
      <c r="M4631" s="355"/>
      <c r="N4631" s="355" t="str">
        <f t="shared" ref="N4631:N4654" si="369">+$N$1555</f>
        <v>PK</v>
      </c>
      <c r="O4631" s="401" t="s">
        <v>2705</v>
      </c>
      <c r="P4631" s="392"/>
      <c r="Q4631" s="327"/>
      <c r="R4631" s="351"/>
      <c r="S4631" s="351"/>
      <c r="T4631" s="351"/>
      <c r="U4631" s="329" t="str">
        <f>IF($N4631=$N$4,IFERROR(INDEX(DanhMuc!$E$154:$E$165,MATCH(MID($B4631,4,2),DanhMuc!$B$154:$B$165,0)),""),"")</f>
        <v/>
      </c>
      <c r="V4631" s="361"/>
      <c r="W4631" s="345"/>
      <c r="X4631" s="329" t="str">
        <f t="shared" si="366"/>
        <v>CM</v>
      </c>
      <c r="Y4631" s="1128" t="s">
        <v>3380</v>
      </c>
      <c r="Z4631" s="1128" t="s">
        <v>3381</v>
      </c>
      <c r="AA4631" s="1128" t="s">
        <v>3384</v>
      </c>
      <c r="AB4631" s="20"/>
      <c r="AC4631" s="73"/>
    </row>
    <row r="4632" spans="1:29" ht="25">
      <c r="A4632" s="327" t="str">
        <f>IF(AND($B4632&lt;&gt;"",$C4632&lt;&gt;""),MAX($A$1556:A4607)+1,"")</f>
        <v/>
      </c>
      <c r="B4632" s="361" t="s">
        <v>2062</v>
      </c>
      <c r="C4632" s="360"/>
      <c r="D4632" s="327">
        <f>IF($B4632="","",COUNTIF($B$6:$B4632,$B4632))</f>
        <v>16</v>
      </c>
      <c r="E4632" s="361" t="s">
        <v>496</v>
      </c>
      <c r="F4632" s="362" t="s">
        <v>497</v>
      </c>
      <c r="G4632" s="327" t="s">
        <v>296</v>
      </c>
      <c r="H4632" s="361"/>
      <c r="I4632" s="327">
        <v>1</v>
      </c>
      <c r="J4632" s="361"/>
      <c r="K4632" s="327"/>
      <c r="L4632" s="389">
        <v>262700</v>
      </c>
      <c r="M4632" s="355"/>
      <c r="N4632" s="355" t="str">
        <f t="shared" si="369"/>
        <v>PK</v>
      </c>
      <c r="O4632" s="401" t="s">
        <v>2706</v>
      </c>
      <c r="P4632" s="392"/>
      <c r="Q4632" s="327"/>
      <c r="R4632" s="351"/>
      <c r="S4632" s="351"/>
      <c r="T4632" s="351"/>
      <c r="U4632" s="329" t="str">
        <f>IF($N4632=$N$4,IFERROR(INDEX(DanhMuc!$E$154:$E$165,MATCH(MID($B4632,4,2),DanhMuc!$B$154:$B$165,0)),""),"")</f>
        <v/>
      </c>
      <c r="V4632" s="361"/>
      <c r="W4632" s="345"/>
      <c r="X4632" s="329" t="str">
        <f t="shared" si="366"/>
        <v>CM</v>
      </c>
      <c r="Y4632" s="1128" t="s">
        <v>3380</v>
      </c>
      <c r="Z4632" s="1128" t="s">
        <v>3381</v>
      </c>
      <c r="AA4632" s="1128" t="s">
        <v>3384</v>
      </c>
      <c r="AB4632" s="20"/>
      <c r="AC4632" s="73"/>
    </row>
    <row r="4633" spans="1:29" ht="25">
      <c r="A4633" s="327" t="str">
        <f>IF(AND($B4633&lt;&gt;"",$C4633&lt;&gt;""),MAX($A$1556:A4608)+1,"")</f>
        <v/>
      </c>
      <c r="B4633" s="361" t="s">
        <v>2062</v>
      </c>
      <c r="C4633" s="360"/>
      <c r="D4633" s="327">
        <f>IF($B4633="","",COUNTIF($B$6:$B4633,$B4633))</f>
        <v>17</v>
      </c>
      <c r="E4633" s="361" t="s">
        <v>317</v>
      </c>
      <c r="F4633" s="362" t="s">
        <v>318</v>
      </c>
      <c r="G4633" s="327" t="s">
        <v>296</v>
      </c>
      <c r="H4633" s="361"/>
      <c r="I4633" s="327">
        <v>6</v>
      </c>
      <c r="J4633" s="361"/>
      <c r="K4633" s="327"/>
      <c r="L4633" s="389">
        <v>799800</v>
      </c>
      <c r="M4633" s="355"/>
      <c r="N4633" s="355" t="str">
        <f t="shared" si="369"/>
        <v>PK</v>
      </c>
      <c r="O4633" s="345"/>
      <c r="P4633" s="392"/>
      <c r="Q4633" s="327"/>
      <c r="R4633" s="351"/>
      <c r="S4633" s="351"/>
      <c r="T4633" s="351"/>
      <c r="U4633" s="329" t="str">
        <f>IF($N4633=$N$4,IFERROR(INDEX(DanhMuc!$E$154:$E$165,MATCH(MID($B4633,4,2),DanhMuc!$B$154:$B$165,0)),""),"")</f>
        <v/>
      </c>
      <c r="V4633" s="361"/>
      <c r="W4633" s="345"/>
      <c r="X4633" s="329" t="str">
        <f t="shared" si="366"/>
        <v>CM</v>
      </c>
      <c r="Y4633" s="1128" t="s">
        <v>3380</v>
      </c>
      <c r="Z4633" s="1128" t="s">
        <v>3381</v>
      </c>
      <c r="AA4633" s="1128" t="s">
        <v>3384</v>
      </c>
      <c r="AB4633" s="20"/>
      <c r="AC4633" s="73"/>
    </row>
    <row r="4634" spans="1:29" ht="25">
      <c r="A4634" s="327" t="str">
        <f>IF(AND($B4634&lt;&gt;"",$C4634&lt;&gt;""),MAX($A$1556:A4609)+1,"")</f>
        <v/>
      </c>
      <c r="B4634" s="361" t="s">
        <v>2062</v>
      </c>
      <c r="C4634" s="360"/>
      <c r="D4634" s="327">
        <f>IF($B4634="","",COUNTIF($B$6:$B4634,$B4634))</f>
        <v>18</v>
      </c>
      <c r="E4634" s="361" t="s">
        <v>321</v>
      </c>
      <c r="F4634" s="362" t="s">
        <v>502</v>
      </c>
      <c r="G4634" s="327" t="s">
        <v>297</v>
      </c>
      <c r="H4634" s="361"/>
      <c r="I4634" s="327">
        <v>1</v>
      </c>
      <c r="J4634" s="361"/>
      <c r="K4634" s="327"/>
      <c r="L4634" s="389">
        <v>20000</v>
      </c>
      <c r="M4634" s="355"/>
      <c r="N4634" s="355" t="str">
        <f t="shared" si="369"/>
        <v>PK</v>
      </c>
      <c r="O4634" s="345"/>
      <c r="P4634" s="392"/>
      <c r="Q4634" s="327"/>
      <c r="R4634" s="351"/>
      <c r="S4634" s="351"/>
      <c r="T4634" s="351"/>
      <c r="U4634" s="329" t="str">
        <f>IF($N4634=$N$4,IFERROR(INDEX(DanhMuc!$E$154:$E$165,MATCH(MID($B4634,4,2),DanhMuc!$B$154:$B$165,0)),""),"")</f>
        <v/>
      </c>
      <c r="V4634" s="361"/>
      <c r="W4634" s="345"/>
      <c r="X4634" s="329" t="str">
        <f t="shared" si="366"/>
        <v>CM</v>
      </c>
      <c r="Y4634" s="1128" t="s">
        <v>3380</v>
      </c>
      <c r="Z4634" s="1128" t="s">
        <v>3381</v>
      </c>
      <c r="AA4634" s="1128" t="s">
        <v>3384</v>
      </c>
      <c r="AB4634" s="20"/>
      <c r="AC4634" s="73"/>
    </row>
    <row r="4635" spans="1:29" s="21" customFormat="1">
      <c r="A4635" s="327">
        <f>IF(AND($B4635&lt;&gt;"",$C4635&lt;&gt;""),MAX($A$1556:A4610)+1,"")</f>
        <v>209</v>
      </c>
      <c r="B4635" s="394" t="s">
        <v>3280</v>
      </c>
      <c r="C4635" s="394" t="s">
        <v>3280</v>
      </c>
      <c r="D4635" s="396"/>
      <c r="E4635" s="396"/>
      <c r="F4635" s="397"/>
      <c r="G4635" s="396"/>
      <c r="H4635" s="351"/>
      <c r="I4635" s="396"/>
      <c r="J4635" s="396"/>
      <c r="K4635" s="393"/>
      <c r="L4635" s="389"/>
      <c r="M4635" s="398"/>
      <c r="N4635" s="355" t="str">
        <f>+$N$1555</f>
        <v>PK</v>
      </c>
      <c r="O4635" s="394"/>
      <c r="P4635" s="351"/>
      <c r="Q4635" s="327"/>
      <c r="R4635" s="351"/>
      <c r="S4635" s="351"/>
      <c r="T4635" s="351"/>
      <c r="U4635" s="329" t="str">
        <f>IF($N4635=$N$4,IFERROR(INDEX(DanhMuc!$E$154:$E$165,MATCH(MID($B4635,4,2),DanhMuc!$B$154:$B$165,0)),""),"")</f>
        <v/>
      </c>
      <c r="V4635" s="351"/>
      <c r="W4635" s="345"/>
      <c r="X4635" s="329" t="str">
        <f t="shared" si="366"/>
        <v/>
      </c>
      <c r="Y4635" s="1128" t="s">
        <v>3380</v>
      </c>
      <c r="Z4635" s="1128" t="s">
        <v>3381</v>
      </c>
      <c r="AA4635" s="1128" t="s">
        <v>3384</v>
      </c>
      <c r="AB4635" s="20"/>
      <c r="AC4635" s="73"/>
    </row>
    <row r="4636" spans="1:29" ht="26">
      <c r="A4636" s="327">
        <f>IF(AND($B4636&lt;&gt;"",$C4636&lt;&gt;""),MAX($A$1556:A4611)+1,"")</f>
        <v>209</v>
      </c>
      <c r="B4636" s="359" t="s">
        <v>3298</v>
      </c>
      <c r="C4636" s="360" t="s">
        <v>3248</v>
      </c>
      <c r="D4636" s="327">
        <f>IF($B4636="","",COUNTIF($B$6:$B4636,$B4636))</f>
        <v>1</v>
      </c>
      <c r="E4636" s="361" t="s">
        <v>3285</v>
      </c>
      <c r="F4636" s="362" t="s">
        <v>3284</v>
      </c>
      <c r="G4636" s="327" t="s">
        <v>344</v>
      </c>
      <c r="H4636" s="361"/>
      <c r="I4636" s="327">
        <v>1</v>
      </c>
      <c r="J4636" s="361"/>
      <c r="K4636" s="327"/>
      <c r="L4636" s="389">
        <v>68000</v>
      </c>
      <c r="M4636" s="355"/>
      <c r="N4636" s="355" t="str">
        <f>+$N$1555</f>
        <v>PK</v>
      </c>
      <c r="O4636" s="345" t="s">
        <v>3312</v>
      </c>
      <c r="P4636" s="392"/>
      <c r="Q4636" s="327"/>
      <c r="R4636" s="351"/>
      <c r="S4636" s="351"/>
      <c r="T4636" s="351"/>
      <c r="U4636" s="329" t="str">
        <f>IF($N4636=$N$4,IFERROR(INDEX(DanhMuc!$E$154:$E$165,MATCH(MID($B4636,4,2),DanhMuc!$B$154:$B$165,0)),""),"")</f>
        <v/>
      </c>
      <c r="V4636" s="361"/>
      <c r="W4636" s="345"/>
      <c r="X4636" s="329" t="str">
        <f t="shared" si="366"/>
        <v>-7</v>
      </c>
      <c r="Y4636" s="1128" t="s">
        <v>3380</v>
      </c>
      <c r="Z4636" s="1128" t="s">
        <v>3381</v>
      </c>
      <c r="AA4636" s="1128" t="s">
        <v>3384</v>
      </c>
      <c r="AB4636" s="20"/>
      <c r="AC4636" s="73"/>
    </row>
    <row r="4637" spans="1:29">
      <c r="A4637" s="327" t="str">
        <f>IF(AND($B4637&lt;&gt;"",$C4637&lt;&gt;""),MAX($A$1556:A4612)+1,"")</f>
        <v/>
      </c>
      <c r="B4637" s="361" t="s">
        <v>3298</v>
      </c>
      <c r="C4637" s="362"/>
      <c r="D4637" s="327">
        <f>IF($B4637="","",COUNTIF($B$6:$B4637,$B4637))</f>
        <v>2</v>
      </c>
      <c r="E4637" s="361" t="s">
        <v>3286</v>
      </c>
      <c r="F4637" s="362" t="s">
        <v>3288</v>
      </c>
      <c r="G4637" s="327" t="s">
        <v>344</v>
      </c>
      <c r="H4637" s="361"/>
      <c r="I4637" s="327">
        <v>1</v>
      </c>
      <c r="J4637" s="361"/>
      <c r="K4637" s="327"/>
      <c r="L4637" s="616">
        <v>95000</v>
      </c>
      <c r="M4637" s="355"/>
      <c r="N4637" s="355" t="str">
        <f t="shared" ref="N4637:N4649" si="370">+$N$1555</f>
        <v>PK</v>
      </c>
      <c r="O4637" s="345" t="s">
        <v>3313</v>
      </c>
      <c r="P4637" s="392"/>
      <c r="Q4637" s="327"/>
      <c r="R4637" s="327"/>
      <c r="S4637" s="327"/>
      <c r="T4637" s="327"/>
      <c r="U4637" s="329" t="str">
        <f>IF($N4637=$N$4,IFERROR(INDEX(DanhMuc!$E$154:$E$165,MATCH(MID($B4637,4,2),DanhMuc!$B$154:$B$165,0)),""),"")</f>
        <v/>
      </c>
      <c r="V4637" s="361"/>
      <c r="W4637" s="365"/>
      <c r="X4637" s="329" t="str">
        <f t="shared" si="366"/>
        <v>-7</v>
      </c>
      <c r="Y4637" s="1128" t="s">
        <v>3380</v>
      </c>
      <c r="Z4637" s="1128" t="s">
        <v>3381</v>
      </c>
      <c r="AA4637" s="1128" t="s">
        <v>3384</v>
      </c>
      <c r="AB4637" s="20"/>
      <c r="AC4637" s="22"/>
    </row>
    <row r="4638" spans="1:29" ht="25">
      <c r="A4638" s="327" t="str">
        <f>IF(AND($B4638&lt;&gt;"",$C4638&lt;&gt;""),MAX($A$1556:A4613)+1,"")</f>
        <v/>
      </c>
      <c r="B4638" s="361" t="s">
        <v>3298</v>
      </c>
      <c r="C4638" s="362"/>
      <c r="D4638" s="327">
        <f>IF($B4638="","",COUNTIF($B$6:$B4638,$B4638))</f>
        <v>3</v>
      </c>
      <c r="E4638" s="361" t="s">
        <v>3287</v>
      </c>
      <c r="F4638" s="362" t="s">
        <v>3310</v>
      </c>
      <c r="G4638" s="327" t="s">
        <v>344</v>
      </c>
      <c r="H4638" s="361"/>
      <c r="I4638" s="327">
        <v>1</v>
      </c>
      <c r="J4638" s="361"/>
      <c r="K4638" s="327"/>
      <c r="L4638" s="616">
        <v>275000</v>
      </c>
      <c r="M4638" s="355"/>
      <c r="N4638" s="355" t="str">
        <f t="shared" si="370"/>
        <v>PK</v>
      </c>
      <c r="O4638" s="345" t="s">
        <v>3314</v>
      </c>
      <c r="P4638" s="392"/>
      <c r="Q4638" s="327"/>
      <c r="R4638" s="327"/>
      <c r="S4638" s="327"/>
      <c r="T4638" s="327"/>
      <c r="U4638" s="329" t="str">
        <f>IF($N4638=$N$4,IFERROR(INDEX(DanhMuc!$E$154:$E$165,MATCH(MID($B4638,4,2),DanhMuc!$B$154:$B$165,0)),""),"")</f>
        <v/>
      </c>
      <c r="V4638" s="361"/>
      <c r="W4638" s="365"/>
      <c r="X4638" s="329" t="str">
        <f t="shared" si="366"/>
        <v>-7</v>
      </c>
      <c r="Y4638" s="1128" t="s">
        <v>3380</v>
      </c>
      <c r="Z4638" s="1128" t="s">
        <v>3381</v>
      </c>
      <c r="AA4638" s="1128" t="s">
        <v>3384</v>
      </c>
      <c r="AB4638" s="20"/>
      <c r="AC4638" s="22"/>
    </row>
    <row r="4639" spans="1:29" ht="25">
      <c r="A4639" s="327" t="str">
        <f>IF(AND($B4639&lt;&gt;"",$C4639&lt;&gt;""),MAX($A$1556:A4614)+1,"")</f>
        <v/>
      </c>
      <c r="B4639" s="361" t="s">
        <v>3298</v>
      </c>
      <c r="C4639" s="362"/>
      <c r="D4639" s="327">
        <f>IF($B4639="","",COUNTIF($B$6:$B4639,$B4639))</f>
        <v>4</v>
      </c>
      <c r="E4639" s="361" t="s">
        <v>3289</v>
      </c>
      <c r="F4639" s="362" t="s">
        <v>3311</v>
      </c>
      <c r="G4639" s="327" t="s">
        <v>344</v>
      </c>
      <c r="H4639" s="361"/>
      <c r="I4639" s="327">
        <v>1</v>
      </c>
      <c r="J4639" s="361"/>
      <c r="K4639" s="327"/>
      <c r="L4639" s="616">
        <v>195000</v>
      </c>
      <c r="M4639" s="355"/>
      <c r="N4639" s="355" t="str">
        <f t="shared" si="370"/>
        <v>PK</v>
      </c>
      <c r="O4639" s="345" t="s">
        <v>3315</v>
      </c>
      <c r="P4639" s="392"/>
      <c r="Q4639" s="327"/>
      <c r="R4639" s="327"/>
      <c r="S4639" s="327"/>
      <c r="T4639" s="327"/>
      <c r="U4639" s="329" t="str">
        <f>IF($N4639=$N$4,IFERROR(INDEX(DanhMuc!$E$154:$E$165,MATCH(MID($B4639,4,2),DanhMuc!$B$154:$B$165,0)),""),"")</f>
        <v/>
      </c>
      <c r="V4639" s="361"/>
      <c r="W4639" s="365"/>
      <c r="X4639" s="329" t="str">
        <f t="shared" si="366"/>
        <v>-7</v>
      </c>
      <c r="Y4639" s="1128" t="s">
        <v>3380</v>
      </c>
      <c r="Z4639" s="1128" t="s">
        <v>3381</v>
      </c>
      <c r="AA4639" s="1128" t="s">
        <v>3384</v>
      </c>
      <c r="AB4639" s="20"/>
      <c r="AC4639" s="22"/>
    </row>
    <row r="4640" spans="1:29" ht="12.5">
      <c r="A4640" s="327" t="str">
        <f>IF(AND($B4640&lt;&gt;"",$C4640&lt;&gt;""),MAX($A$1556:A4615)+1,"")</f>
        <v/>
      </c>
      <c r="B4640" s="361" t="s">
        <v>3298</v>
      </c>
      <c r="C4640" s="362"/>
      <c r="D4640" s="327">
        <f>IF($B4640="","",COUNTIF($B$6:$B4640,$B4640))</f>
        <v>5</v>
      </c>
      <c r="E4640" s="361" t="s">
        <v>3295</v>
      </c>
      <c r="F4640" s="362" t="s">
        <v>3292</v>
      </c>
      <c r="G4640" s="327" t="s">
        <v>155</v>
      </c>
      <c r="H4640" s="361"/>
      <c r="I4640" s="327">
        <v>3</v>
      </c>
      <c r="J4640" s="361"/>
      <c r="K4640" s="327"/>
      <c r="L4640" s="616">
        <v>8000</v>
      </c>
      <c r="M4640" s="355"/>
      <c r="N4640" s="355" t="str">
        <f t="shared" si="370"/>
        <v>PK</v>
      </c>
      <c r="O4640" s="365" t="s">
        <v>3316</v>
      </c>
      <c r="P4640" s="392"/>
      <c r="Q4640" s="327"/>
      <c r="R4640" s="327"/>
      <c r="S4640" s="327"/>
      <c r="T4640" s="327"/>
      <c r="U4640" s="329" t="str">
        <f>IF($N4640=$N$4,IFERROR(INDEX(DanhMuc!$E$154:$E$165,MATCH(MID($B4640,4,2),DanhMuc!$B$154:$B$165,0)),""),"")</f>
        <v/>
      </c>
      <c r="V4640" s="361"/>
      <c r="W4640" s="365"/>
      <c r="X4640" s="329" t="str">
        <f t="shared" si="366"/>
        <v>-7</v>
      </c>
      <c r="Y4640" s="1128" t="s">
        <v>3380</v>
      </c>
      <c r="Z4640" s="1128" t="s">
        <v>3381</v>
      </c>
      <c r="AA4640" s="1128" t="s">
        <v>3384</v>
      </c>
      <c r="AB4640" s="20"/>
      <c r="AC4640" s="22"/>
    </row>
    <row r="4641" spans="1:29" ht="12.5">
      <c r="A4641" s="327" t="str">
        <f>IF(AND($B4641&lt;&gt;"",$C4641&lt;&gt;""),MAX($A$1556:A4616)+1,"")</f>
        <v/>
      </c>
      <c r="B4641" s="361" t="s">
        <v>3298</v>
      </c>
      <c r="C4641" s="362"/>
      <c r="D4641" s="327">
        <f>IF($B4641="","",COUNTIF($B$6:$B4641,$B4641))</f>
        <v>6</v>
      </c>
      <c r="E4641" s="361" t="s">
        <v>3296</v>
      </c>
      <c r="F4641" s="362" t="s">
        <v>3293</v>
      </c>
      <c r="G4641" s="327" t="s">
        <v>155</v>
      </c>
      <c r="H4641" s="361"/>
      <c r="I4641" s="327">
        <v>3</v>
      </c>
      <c r="J4641" s="361"/>
      <c r="K4641" s="327"/>
      <c r="L4641" s="616">
        <v>18000</v>
      </c>
      <c r="M4641" s="355"/>
      <c r="N4641" s="355" t="str">
        <f t="shared" si="370"/>
        <v>PK</v>
      </c>
      <c r="O4641" s="365" t="s">
        <v>3317</v>
      </c>
      <c r="P4641" s="392"/>
      <c r="Q4641" s="327"/>
      <c r="R4641" s="327"/>
      <c r="S4641" s="327"/>
      <c r="T4641" s="327"/>
      <c r="U4641" s="329" t="str">
        <f>IF($N4641=$N$4,IFERROR(INDEX(DanhMuc!$E$154:$E$165,MATCH(MID($B4641,4,2),DanhMuc!$B$154:$B$165,0)),""),"")</f>
        <v/>
      </c>
      <c r="V4641" s="361"/>
      <c r="W4641" s="365"/>
      <c r="X4641" s="329" t="str">
        <f t="shared" si="366"/>
        <v>-7</v>
      </c>
      <c r="Y4641" s="1128" t="s">
        <v>3380</v>
      </c>
      <c r="Z4641" s="1128" t="s">
        <v>3381</v>
      </c>
      <c r="AA4641" s="1128" t="s">
        <v>3384</v>
      </c>
      <c r="AB4641" s="20"/>
      <c r="AC4641" s="22"/>
    </row>
    <row r="4642" spans="1:29" ht="12.5">
      <c r="A4642" s="327" t="str">
        <f>IF(AND($B4642&lt;&gt;"",$C4642&lt;&gt;""),MAX($A$1556:A4617)+1,"")</f>
        <v/>
      </c>
      <c r="B4642" s="361" t="s">
        <v>3298</v>
      </c>
      <c r="C4642" s="362"/>
      <c r="D4642" s="327">
        <f>IF($B4642="","",COUNTIF($B$6:$B4642,$B4642))</f>
        <v>7</v>
      </c>
      <c r="E4642" s="361" t="s">
        <v>3297</v>
      </c>
      <c r="F4642" s="362" t="s">
        <v>3294</v>
      </c>
      <c r="G4642" s="327" t="s">
        <v>155</v>
      </c>
      <c r="H4642" s="361"/>
      <c r="I4642" s="327">
        <v>3</v>
      </c>
      <c r="J4642" s="361"/>
      <c r="K4642" s="327"/>
      <c r="L4642" s="616">
        <v>35000</v>
      </c>
      <c r="M4642" s="355"/>
      <c r="N4642" s="355" t="str">
        <f t="shared" si="370"/>
        <v>PK</v>
      </c>
      <c r="O4642" s="365" t="s">
        <v>3318</v>
      </c>
      <c r="P4642" s="392"/>
      <c r="Q4642" s="327"/>
      <c r="R4642" s="327"/>
      <c r="S4642" s="327"/>
      <c r="T4642" s="327"/>
      <c r="U4642" s="329" t="str">
        <f>IF($N4642=$N$4,IFERROR(INDEX(DanhMuc!$E$154:$E$165,MATCH(MID($B4642,4,2),DanhMuc!$B$154:$B$165,0)),""),"")</f>
        <v/>
      </c>
      <c r="V4642" s="361"/>
      <c r="W4642" s="365"/>
      <c r="X4642" s="329" t="str">
        <f t="shared" si="366"/>
        <v>-7</v>
      </c>
      <c r="Y4642" s="1128" t="s">
        <v>3380</v>
      </c>
      <c r="Z4642" s="1128" t="s">
        <v>3381</v>
      </c>
      <c r="AA4642" s="1128" t="s">
        <v>3384</v>
      </c>
      <c r="AB4642" s="20"/>
      <c r="AC4642" s="22"/>
    </row>
    <row r="4643" spans="1:29" ht="26">
      <c r="A4643" s="327">
        <f>IF(AND($B4643&lt;&gt;"",$C4643&lt;&gt;""),MAX($A$1556:A4618)+1,"")</f>
        <v>209</v>
      </c>
      <c r="B4643" s="359" t="s">
        <v>3307</v>
      </c>
      <c r="C4643" s="360" t="s">
        <v>3249</v>
      </c>
      <c r="D4643" s="327">
        <f>IF($B4643="","",COUNTIF($B$6:$B4643,$B4643))</f>
        <v>1</v>
      </c>
      <c r="E4643" s="361" t="s">
        <v>3285</v>
      </c>
      <c r="F4643" s="362" t="s">
        <v>3284</v>
      </c>
      <c r="G4643" s="327" t="s">
        <v>344</v>
      </c>
      <c r="H4643" s="361"/>
      <c r="I4643" s="327">
        <v>1</v>
      </c>
      <c r="J4643" s="361"/>
      <c r="K4643" s="327"/>
      <c r="L4643" s="389">
        <v>68000</v>
      </c>
      <c r="M4643" s="355"/>
      <c r="N4643" s="355" t="str">
        <f>+$N$1555</f>
        <v>PK</v>
      </c>
      <c r="O4643" s="345" t="s">
        <v>3312</v>
      </c>
      <c r="P4643" s="392"/>
      <c r="Q4643" s="327"/>
      <c r="R4643" s="351"/>
      <c r="S4643" s="351"/>
      <c r="T4643" s="351"/>
      <c r="U4643" s="329" t="str">
        <f>IF($N4643=$N$4,IFERROR(INDEX(DanhMuc!$E$154:$E$165,MATCH(MID($B4643,4,2),DanhMuc!$B$154:$B$165,0)),""),"")</f>
        <v/>
      </c>
      <c r="V4643" s="361"/>
      <c r="W4643" s="345"/>
      <c r="X4643" s="329" t="str">
        <f t="shared" si="366"/>
        <v>-7</v>
      </c>
      <c r="Y4643" s="1128" t="s">
        <v>3380</v>
      </c>
      <c r="Z4643" s="1128" t="s">
        <v>3381</v>
      </c>
      <c r="AA4643" s="1128" t="s">
        <v>3384</v>
      </c>
      <c r="AB4643" s="20"/>
      <c r="AC4643" s="73"/>
    </row>
    <row r="4644" spans="1:29">
      <c r="A4644" s="327" t="str">
        <f>IF(AND($B4644&lt;&gt;"",$C4644&lt;&gt;""),MAX($A$1556:A4619)+1,"")</f>
        <v/>
      </c>
      <c r="B4644" s="361" t="s">
        <v>3307</v>
      </c>
      <c r="C4644" s="362"/>
      <c r="D4644" s="327">
        <f>IF($B4644="","",COUNTIF($B$6:$B4644,$B4644))</f>
        <v>2</v>
      </c>
      <c r="E4644" s="361" t="s">
        <v>3286</v>
      </c>
      <c r="F4644" s="362" t="s">
        <v>3288</v>
      </c>
      <c r="G4644" s="327" t="s">
        <v>344</v>
      </c>
      <c r="H4644" s="361"/>
      <c r="I4644" s="327">
        <v>1</v>
      </c>
      <c r="J4644" s="361"/>
      <c r="K4644" s="327"/>
      <c r="L4644" s="616">
        <v>95000</v>
      </c>
      <c r="M4644" s="355"/>
      <c r="N4644" s="355" t="str">
        <f t="shared" si="370"/>
        <v>PK</v>
      </c>
      <c r="O4644" s="345" t="s">
        <v>3313</v>
      </c>
      <c r="P4644" s="392"/>
      <c r="Q4644" s="327"/>
      <c r="R4644" s="327"/>
      <c r="S4644" s="327"/>
      <c r="T4644" s="327"/>
      <c r="U4644" s="329" t="str">
        <f>IF($N4644=$N$4,IFERROR(INDEX(DanhMuc!$E$154:$E$165,MATCH(MID($B4644,4,2),DanhMuc!$B$154:$B$165,0)),""),"")</f>
        <v/>
      </c>
      <c r="V4644" s="361"/>
      <c r="W4644" s="365"/>
      <c r="X4644" s="329" t="str">
        <f t="shared" si="366"/>
        <v>-7</v>
      </c>
      <c r="Y4644" s="1128" t="s">
        <v>3380</v>
      </c>
      <c r="Z4644" s="1128" t="s">
        <v>3381</v>
      </c>
      <c r="AA4644" s="1128" t="s">
        <v>3384</v>
      </c>
      <c r="AB4644" s="20"/>
      <c r="AC4644" s="22"/>
    </row>
    <row r="4645" spans="1:29" ht="25">
      <c r="A4645" s="327" t="str">
        <f>IF(AND($B4645&lt;&gt;"",$C4645&lt;&gt;""),MAX($A$1556:A4620)+1,"")</f>
        <v/>
      </c>
      <c r="B4645" s="361" t="s">
        <v>3307</v>
      </c>
      <c r="C4645" s="362"/>
      <c r="D4645" s="327">
        <f>IF($B4645="","",COUNTIF($B$6:$B4645,$B4645))</f>
        <v>3</v>
      </c>
      <c r="E4645" s="361" t="s">
        <v>3287</v>
      </c>
      <c r="F4645" s="362" t="s">
        <v>3290</v>
      </c>
      <c r="G4645" s="327" t="s">
        <v>344</v>
      </c>
      <c r="H4645" s="361"/>
      <c r="I4645" s="327">
        <v>1</v>
      </c>
      <c r="J4645" s="361"/>
      <c r="K4645" s="327"/>
      <c r="L4645" s="616">
        <v>275000</v>
      </c>
      <c r="M4645" s="355"/>
      <c r="N4645" s="355" t="str">
        <f t="shared" si="370"/>
        <v>PK</v>
      </c>
      <c r="O4645" s="345" t="s">
        <v>3314</v>
      </c>
      <c r="P4645" s="392"/>
      <c r="Q4645" s="327"/>
      <c r="R4645" s="327"/>
      <c r="S4645" s="327"/>
      <c r="T4645" s="327"/>
      <c r="U4645" s="329" t="str">
        <f>IF($N4645=$N$4,IFERROR(INDEX(DanhMuc!$E$154:$E$165,MATCH(MID($B4645,4,2),DanhMuc!$B$154:$B$165,0)),""),"")</f>
        <v/>
      </c>
      <c r="V4645" s="361"/>
      <c r="W4645" s="365"/>
      <c r="X4645" s="329" t="str">
        <f t="shared" si="366"/>
        <v>-7</v>
      </c>
      <c r="Y4645" s="1128" t="s">
        <v>3380</v>
      </c>
      <c r="Z4645" s="1128" t="s">
        <v>3381</v>
      </c>
      <c r="AA4645" s="1128" t="s">
        <v>3384</v>
      </c>
      <c r="AB4645" s="20"/>
      <c r="AC4645" s="22"/>
    </row>
    <row r="4646" spans="1:29" ht="25">
      <c r="A4646" s="327" t="str">
        <f>IF(AND($B4646&lt;&gt;"",$C4646&lt;&gt;""),MAX($A$1556:A4621)+1,"")</f>
        <v/>
      </c>
      <c r="B4646" s="361" t="s">
        <v>3307</v>
      </c>
      <c r="C4646" s="362"/>
      <c r="D4646" s="327">
        <f>IF($B4646="","",COUNTIF($B$6:$B4646,$B4646))</f>
        <v>4</v>
      </c>
      <c r="E4646" s="361" t="s">
        <v>3289</v>
      </c>
      <c r="F4646" s="362" t="s">
        <v>3291</v>
      </c>
      <c r="G4646" s="327" t="s">
        <v>344</v>
      </c>
      <c r="H4646" s="361"/>
      <c r="I4646" s="327">
        <v>1</v>
      </c>
      <c r="J4646" s="361"/>
      <c r="K4646" s="327"/>
      <c r="L4646" s="616">
        <v>195000</v>
      </c>
      <c r="M4646" s="355"/>
      <c r="N4646" s="355" t="str">
        <f t="shared" si="370"/>
        <v>PK</v>
      </c>
      <c r="O4646" s="345" t="s">
        <v>3315</v>
      </c>
      <c r="P4646" s="392"/>
      <c r="Q4646" s="327"/>
      <c r="R4646" s="327"/>
      <c r="S4646" s="327"/>
      <c r="T4646" s="327"/>
      <c r="U4646" s="329" t="str">
        <f>IF($N4646=$N$4,IFERROR(INDEX(DanhMuc!$E$154:$E$165,MATCH(MID($B4646,4,2),DanhMuc!$B$154:$B$165,0)),""),"")</f>
        <v/>
      </c>
      <c r="V4646" s="361"/>
      <c r="W4646" s="365"/>
      <c r="X4646" s="329" t="str">
        <f t="shared" si="366"/>
        <v>-7</v>
      </c>
      <c r="Y4646" s="1128" t="s">
        <v>3380</v>
      </c>
      <c r="Z4646" s="1128" t="s">
        <v>3381</v>
      </c>
      <c r="AA4646" s="1128" t="s">
        <v>3384</v>
      </c>
      <c r="AB4646" s="20"/>
      <c r="AC4646" s="22"/>
    </row>
    <row r="4647" spans="1:29" ht="12.5">
      <c r="A4647" s="327" t="str">
        <f>IF(AND($B4647&lt;&gt;"",$C4647&lt;&gt;""),MAX($A$1556:A4622)+1,"")</f>
        <v/>
      </c>
      <c r="B4647" s="361" t="s">
        <v>3307</v>
      </c>
      <c r="C4647" s="362"/>
      <c r="D4647" s="327">
        <f>IF($B4647="","",COUNTIF($B$6:$B4647,$B4647))</f>
        <v>5</v>
      </c>
      <c r="E4647" s="361" t="s">
        <v>3295</v>
      </c>
      <c r="F4647" s="362" t="s">
        <v>3292</v>
      </c>
      <c r="G4647" s="327" t="s">
        <v>155</v>
      </c>
      <c r="H4647" s="361"/>
      <c r="I4647" s="327">
        <v>6</v>
      </c>
      <c r="J4647" s="361"/>
      <c r="K4647" s="327"/>
      <c r="L4647" s="616">
        <v>8000</v>
      </c>
      <c r="M4647" s="355"/>
      <c r="N4647" s="355" t="str">
        <f t="shared" si="370"/>
        <v>PK</v>
      </c>
      <c r="O4647" s="365" t="s">
        <v>3316</v>
      </c>
      <c r="P4647" s="392"/>
      <c r="Q4647" s="327"/>
      <c r="R4647" s="327"/>
      <c r="S4647" s="327"/>
      <c r="T4647" s="327"/>
      <c r="U4647" s="329" t="str">
        <f>IF($N4647=$N$4,IFERROR(INDEX(DanhMuc!$E$154:$E$165,MATCH(MID($B4647,4,2),DanhMuc!$B$154:$B$165,0)),""),"")</f>
        <v/>
      </c>
      <c r="V4647" s="361"/>
      <c r="W4647" s="365"/>
      <c r="X4647" s="329" t="str">
        <f t="shared" si="366"/>
        <v>-7</v>
      </c>
      <c r="Y4647" s="1128" t="s">
        <v>3380</v>
      </c>
      <c r="Z4647" s="1128" t="s">
        <v>3381</v>
      </c>
      <c r="AA4647" s="1128" t="s">
        <v>3384</v>
      </c>
      <c r="AB4647" s="20"/>
      <c r="AC4647" s="22"/>
    </row>
    <row r="4648" spans="1:29" ht="12.5">
      <c r="A4648" s="327" t="str">
        <f>IF(AND($B4648&lt;&gt;"",$C4648&lt;&gt;""),MAX($A$1556:A4623)+1,"")</f>
        <v/>
      </c>
      <c r="B4648" s="361" t="s">
        <v>3307</v>
      </c>
      <c r="C4648" s="362"/>
      <c r="D4648" s="327">
        <f>IF($B4648="","",COUNTIF($B$6:$B4648,$B4648))</f>
        <v>6</v>
      </c>
      <c r="E4648" s="361" t="s">
        <v>3296</v>
      </c>
      <c r="F4648" s="362" t="s">
        <v>3293</v>
      </c>
      <c r="G4648" s="327" t="s">
        <v>155</v>
      </c>
      <c r="H4648" s="361"/>
      <c r="I4648" s="327">
        <v>6</v>
      </c>
      <c r="J4648" s="361"/>
      <c r="K4648" s="327"/>
      <c r="L4648" s="616">
        <v>18000</v>
      </c>
      <c r="M4648" s="355"/>
      <c r="N4648" s="355" t="str">
        <f t="shared" si="370"/>
        <v>PK</v>
      </c>
      <c r="O4648" s="365" t="s">
        <v>3317</v>
      </c>
      <c r="P4648" s="392"/>
      <c r="Q4648" s="327"/>
      <c r="R4648" s="327"/>
      <c r="S4648" s="327"/>
      <c r="T4648" s="327"/>
      <c r="U4648" s="329" t="str">
        <f>IF($N4648=$N$4,IFERROR(INDEX(DanhMuc!$E$154:$E$165,MATCH(MID($B4648,4,2),DanhMuc!$B$154:$B$165,0)),""),"")</f>
        <v/>
      </c>
      <c r="V4648" s="361"/>
      <c r="W4648" s="365"/>
      <c r="X4648" s="329" t="str">
        <f t="shared" si="366"/>
        <v>-7</v>
      </c>
      <c r="Y4648" s="1128" t="s">
        <v>3380</v>
      </c>
      <c r="Z4648" s="1128" t="s">
        <v>3381</v>
      </c>
      <c r="AA4648" s="1128" t="s">
        <v>3384</v>
      </c>
      <c r="AB4648" s="20"/>
      <c r="AC4648" s="22"/>
    </row>
    <row r="4649" spans="1:29" ht="12.5">
      <c r="A4649" s="327" t="str">
        <f>IF(AND($B4649&lt;&gt;"",$C4649&lt;&gt;""),MAX($A$1556:A4624)+1,"")</f>
        <v/>
      </c>
      <c r="B4649" s="361" t="s">
        <v>3307</v>
      </c>
      <c r="C4649" s="362"/>
      <c r="D4649" s="327">
        <f>IF($B4649="","",COUNTIF($B$6:$B4649,$B4649))</f>
        <v>7</v>
      </c>
      <c r="E4649" s="361" t="s">
        <v>3297</v>
      </c>
      <c r="F4649" s="362" t="s">
        <v>3294</v>
      </c>
      <c r="G4649" s="327" t="s">
        <v>155</v>
      </c>
      <c r="H4649" s="361"/>
      <c r="I4649" s="327">
        <v>6</v>
      </c>
      <c r="J4649" s="361"/>
      <c r="K4649" s="327"/>
      <c r="L4649" s="616">
        <v>35000</v>
      </c>
      <c r="M4649" s="355"/>
      <c r="N4649" s="355" t="str">
        <f t="shared" si="370"/>
        <v>PK</v>
      </c>
      <c r="O4649" s="365" t="s">
        <v>3318</v>
      </c>
      <c r="P4649" s="392"/>
      <c r="Q4649" s="327"/>
      <c r="R4649" s="327"/>
      <c r="S4649" s="327"/>
      <c r="T4649" s="327"/>
      <c r="U4649" s="329" t="str">
        <f>IF($N4649=$N$4,IFERROR(INDEX(DanhMuc!$E$154:$E$165,MATCH(MID($B4649,4,2),DanhMuc!$B$154:$B$165,0)),""),"")</f>
        <v/>
      </c>
      <c r="V4649" s="361"/>
      <c r="W4649" s="365"/>
      <c r="X4649" s="329" t="str">
        <f t="shared" si="366"/>
        <v>-7</v>
      </c>
      <c r="Y4649" s="1128" t="s">
        <v>3380</v>
      </c>
      <c r="Z4649" s="1128" t="s">
        <v>3381</v>
      </c>
      <c r="AA4649" s="1128" t="s">
        <v>3384</v>
      </c>
      <c r="AB4649" s="20"/>
      <c r="AC4649" s="22"/>
    </row>
    <row r="4650" spans="1:29">
      <c r="A4650" s="327" t="str">
        <f>IF(AND($B4650&lt;&gt;"",$C4650&lt;&gt;""),MAX($A$1556:A4625)+1,"")</f>
        <v/>
      </c>
      <c r="B4650" s="361" t="s">
        <v>3307</v>
      </c>
      <c r="C4650" s="360"/>
      <c r="D4650" s="327">
        <f>IF($B4650="","",COUNTIF($B$6:$B4650,$B4650))</f>
        <v>8</v>
      </c>
      <c r="E4650" s="361" t="s">
        <v>3309</v>
      </c>
      <c r="F4650" s="361" t="s">
        <v>3308</v>
      </c>
      <c r="G4650" s="327" t="s">
        <v>155</v>
      </c>
      <c r="H4650" s="361"/>
      <c r="I4650" s="327">
        <v>2</v>
      </c>
      <c r="J4650" s="361"/>
      <c r="K4650" s="327"/>
      <c r="L4650" s="389">
        <v>28000</v>
      </c>
      <c r="M4650" s="355"/>
      <c r="N4650" s="355" t="str">
        <f t="shared" si="369"/>
        <v>PK</v>
      </c>
      <c r="O4650" s="345"/>
      <c r="P4650" s="392"/>
      <c r="Q4650" s="327"/>
      <c r="R4650" s="351"/>
      <c r="S4650" s="351"/>
      <c r="T4650" s="351"/>
      <c r="U4650" s="329" t="str">
        <f>IF($N4650=$N$4,IFERROR(INDEX(DanhMuc!$E$154:$E$165,MATCH(MID($B4650,4,2),DanhMuc!$B$154:$B$165,0)),""),"")</f>
        <v/>
      </c>
      <c r="V4650" s="361"/>
      <c r="W4650" s="345"/>
      <c r="X4650" s="329" t="str">
        <f t="shared" si="366"/>
        <v>-7</v>
      </c>
      <c r="Y4650" s="1128" t="s">
        <v>3380</v>
      </c>
      <c r="Z4650" s="1128" t="s">
        <v>3381</v>
      </c>
      <c r="AA4650" s="1128" t="s">
        <v>3384</v>
      </c>
      <c r="AB4650" s="20"/>
      <c r="AC4650" s="73"/>
    </row>
    <row r="4651" spans="1:29">
      <c r="A4651" s="327" t="str">
        <f>IF(AND($B4651&lt;&gt;"",$C4651&lt;&gt;""),MAX($A$1556:A4650)+1,"")</f>
        <v/>
      </c>
      <c r="B4651" s="361"/>
      <c r="C4651" s="360"/>
      <c r="D4651" s="327" t="str">
        <f>IF($B4651="","",COUNTIF($B$6:$B4651,$B4651))</f>
        <v/>
      </c>
      <c r="E4651" s="361"/>
      <c r="F4651" s="362"/>
      <c r="G4651" s="327"/>
      <c r="H4651" s="361"/>
      <c r="I4651" s="327"/>
      <c r="J4651" s="361"/>
      <c r="K4651" s="327"/>
      <c r="L4651" s="389"/>
      <c r="M4651" s="355"/>
      <c r="N4651" s="355" t="str">
        <f t="shared" si="369"/>
        <v>PK</v>
      </c>
      <c r="O4651" s="345"/>
      <c r="P4651" s="392"/>
      <c r="Q4651" s="327"/>
      <c r="R4651" s="351"/>
      <c r="S4651" s="351"/>
      <c r="T4651" s="351"/>
      <c r="U4651" s="329" t="str">
        <f>IF($N4651=$N$4,IFERROR(INDEX(DanhMuc!$E$154:$E$165,MATCH(MID($B4651,4,2),DanhMuc!$B$154:$B$165,0)),""),"")</f>
        <v/>
      </c>
      <c r="V4651" s="361"/>
      <c r="W4651" s="345"/>
      <c r="X4651" s="329" t="s">
        <v>2866</v>
      </c>
      <c r="Y4651" s="1128" t="s">
        <v>3380</v>
      </c>
      <c r="Z4651" s="1128" t="s">
        <v>3381</v>
      </c>
      <c r="AA4651" s="1128" t="s">
        <v>3384</v>
      </c>
      <c r="AB4651" s="20"/>
      <c r="AC4651" s="73"/>
    </row>
    <row r="4652" spans="1:29">
      <c r="A4652" s="327" t="str">
        <f>IF(AND($B4652&lt;&gt;"",$C4652&lt;&gt;""),MAX($A$1556:A4650)+1,"")</f>
        <v/>
      </c>
      <c r="B4652" s="361"/>
      <c r="C4652" s="360"/>
      <c r="D4652" s="327" t="str">
        <f>IF($B4652="","",COUNTIF($B$6:$B4652,$B4652))</f>
        <v/>
      </c>
      <c r="E4652" s="361"/>
      <c r="F4652" s="362"/>
      <c r="G4652" s="327"/>
      <c r="H4652" s="361"/>
      <c r="I4652" s="327"/>
      <c r="J4652" s="361"/>
      <c r="K4652" s="327"/>
      <c r="L4652" s="389"/>
      <c r="M4652" s="355"/>
      <c r="N4652" s="355" t="str">
        <f t="shared" si="369"/>
        <v>PK</v>
      </c>
      <c r="O4652" s="345"/>
      <c r="P4652" s="392"/>
      <c r="Q4652" s="327"/>
      <c r="R4652" s="351"/>
      <c r="S4652" s="351"/>
      <c r="T4652" s="351"/>
      <c r="U4652" s="329" t="str">
        <f>IF($N4652=$N$4,IFERROR(INDEX(DanhMuc!$E$154:$E$165,MATCH(MID($B4652,4,2),DanhMuc!$B$154:$B$165,0)),""),"")</f>
        <v/>
      </c>
      <c r="V4652" s="361"/>
      <c r="W4652" s="345"/>
      <c r="X4652" s="329" t="s">
        <v>2866</v>
      </c>
      <c r="Y4652" s="1128" t="s">
        <v>3380</v>
      </c>
      <c r="Z4652" s="1128" t="s">
        <v>3381</v>
      </c>
      <c r="AA4652" s="1128" t="s">
        <v>3384</v>
      </c>
      <c r="AB4652" s="20"/>
      <c r="AC4652" s="73"/>
    </row>
    <row r="4653" spans="1:29">
      <c r="A4653" s="327" t="str">
        <f>IF(AND($B4653&lt;&gt;"",$C4653&lt;&gt;""),MAX($A$1556:A4650)+1,"")</f>
        <v/>
      </c>
      <c r="B4653" s="361"/>
      <c r="C4653" s="360"/>
      <c r="D4653" s="327" t="str">
        <f>IF($B4653="","",COUNTIF($B$6:$B4653,$B4653))</f>
        <v/>
      </c>
      <c r="E4653" s="361"/>
      <c r="F4653" s="362"/>
      <c r="G4653" s="327"/>
      <c r="H4653" s="361"/>
      <c r="I4653" s="327"/>
      <c r="J4653" s="361"/>
      <c r="K4653" s="327"/>
      <c r="L4653" s="389"/>
      <c r="M4653" s="355"/>
      <c r="N4653" s="355" t="str">
        <f t="shared" si="369"/>
        <v>PK</v>
      </c>
      <c r="O4653" s="345"/>
      <c r="P4653" s="392"/>
      <c r="Q4653" s="327"/>
      <c r="R4653" s="351"/>
      <c r="S4653" s="351"/>
      <c r="T4653" s="351"/>
      <c r="U4653" s="329" t="str">
        <f>IF($N4653=$N$4,IFERROR(INDEX(DanhMuc!$E$154:$E$165,MATCH(MID($B4653,4,2),DanhMuc!$B$154:$B$165,0)),""),"")</f>
        <v/>
      </c>
      <c r="V4653" s="361"/>
      <c r="W4653" s="345"/>
      <c r="X4653" s="329" t="s">
        <v>2866</v>
      </c>
      <c r="Y4653" s="1128" t="s">
        <v>3380</v>
      </c>
      <c r="Z4653" s="1128" t="s">
        <v>3381</v>
      </c>
      <c r="AA4653" s="1128" t="s">
        <v>3384</v>
      </c>
      <c r="AB4653" s="20"/>
      <c r="AC4653" s="73"/>
    </row>
    <row r="4654" spans="1:29">
      <c r="A4654" s="327" t="str">
        <f>IF(AND($B4654&lt;&gt;"",$C4654&lt;&gt;""),MAX($A$1556:A4650)+1,"")</f>
        <v/>
      </c>
      <c r="B4654" s="361"/>
      <c r="C4654" s="360"/>
      <c r="D4654" s="327" t="str">
        <f>IF($B4654="","",COUNTIF($B$6:$B4654,$B4654))</f>
        <v/>
      </c>
      <c r="E4654" s="361"/>
      <c r="F4654" s="362"/>
      <c r="G4654" s="327"/>
      <c r="H4654" s="361"/>
      <c r="I4654" s="327"/>
      <c r="J4654" s="361"/>
      <c r="K4654" s="327"/>
      <c r="L4654" s="389"/>
      <c r="M4654" s="355"/>
      <c r="N4654" s="355" t="str">
        <f t="shared" si="369"/>
        <v>PK</v>
      </c>
      <c r="O4654" s="345"/>
      <c r="P4654" s="392"/>
      <c r="Q4654" s="327"/>
      <c r="R4654" s="351"/>
      <c r="S4654" s="351"/>
      <c r="T4654" s="351"/>
      <c r="U4654" s="329" t="str">
        <f>IF($N4654=$N$4,IFERROR(INDEX(DanhMuc!$E$154:$E$165,MATCH(MID($B4654,4,2),DanhMuc!$B$154:$B$165,0)),""),"")</f>
        <v/>
      </c>
      <c r="V4654" s="361"/>
      <c r="W4654" s="345"/>
      <c r="X4654" s="329" t="s">
        <v>2866</v>
      </c>
      <c r="Y4654" s="1128" t="s">
        <v>3380</v>
      </c>
      <c r="Z4654" s="1128" t="s">
        <v>3381</v>
      </c>
      <c r="AA4654" s="1128" t="s">
        <v>3384</v>
      </c>
      <c r="AB4654" s="20"/>
      <c r="AC4654" s="73"/>
    </row>
    <row r="4655" spans="1:29" s="20" customFormat="1" ht="25">
      <c r="A4655" s="448"/>
      <c r="B4655" s="449" t="s">
        <v>142</v>
      </c>
      <c r="C4655" s="450"/>
      <c r="D4655" s="449"/>
      <c r="E4655" s="449"/>
      <c r="F4655" s="450"/>
      <c r="G4655" s="451"/>
      <c r="H4655" s="325"/>
      <c r="I4655" s="451"/>
      <c r="J4655" s="449"/>
      <c r="K4655" s="452"/>
      <c r="L4655" s="441"/>
      <c r="M4655" s="453"/>
      <c r="N4655" s="454" t="s">
        <v>151</v>
      </c>
      <c r="O4655" s="449"/>
      <c r="P4655" s="325"/>
      <c r="Q4655" s="325"/>
      <c r="R4655" s="351"/>
      <c r="S4655" s="351"/>
      <c r="T4655" s="351"/>
      <c r="U4655" s="329" t="str">
        <f>IF($N4655=$N$4,IFERROR(INDEX(DanhMuc!$E$154:$E$165,MATCH(MID($B4655,4,2),DanhMuc!$B$154:$B$165,0)),""),"")</f>
        <v/>
      </c>
      <c r="V4655" s="325"/>
      <c r="W4655" s="345"/>
      <c r="X4655" s="786"/>
      <c r="Y4655" s="1128" t="s">
        <v>3380</v>
      </c>
      <c r="Z4655" s="1128" t="s">
        <v>3381</v>
      </c>
      <c r="AA4655" s="1128" t="s">
        <v>3384</v>
      </c>
      <c r="AC4655" s="73"/>
    </row>
    <row r="4656" spans="1:29" ht="25">
      <c r="A4656" s="327">
        <f>IF(AND($B4656&lt;&gt;"",$C4656&lt;&gt;""),1,"")</f>
        <v>1</v>
      </c>
      <c r="B4656" s="455" t="str">
        <f>DanhMuc!$F$155&amp;"DQ"</f>
        <v>XFDQ</v>
      </c>
      <c r="C4656" s="362" t="s">
        <v>99</v>
      </c>
      <c r="D4656" s="327">
        <f>IF($B4656="","",COUNTIF($B$6:$B4656,$B4656))</f>
        <v>1</v>
      </c>
      <c r="E4656" s="363" t="s">
        <v>569</v>
      </c>
      <c r="F4656" s="362" t="s">
        <v>570</v>
      </c>
      <c r="G4656" s="327" t="s">
        <v>690</v>
      </c>
      <c r="H4656" s="361" t="s">
        <v>536</v>
      </c>
      <c r="I4656" s="361" t="s">
        <v>559</v>
      </c>
      <c r="J4656" s="361"/>
      <c r="K4656" s="327" t="s">
        <v>558</v>
      </c>
      <c r="L4656" s="441">
        <f>23500/(10*22*1000)</f>
        <v>0.10681818181818181</v>
      </c>
      <c r="M4656" s="456">
        <v>0.2</v>
      </c>
      <c r="N4656" s="371" t="str">
        <f t="shared" ref="N4656:N4694" si="371">+$N$4655</f>
        <v>GI</v>
      </c>
      <c r="O4656" s="345"/>
      <c r="P4656" s="363"/>
      <c r="Q4656" s="327"/>
      <c r="R4656" s="351"/>
      <c r="S4656" s="351"/>
      <c r="T4656" s="351"/>
      <c r="U4656" s="329" t="str">
        <f>IF($N4656=$N$4,IFERROR(INDEX(DanhMuc!$E$154:$E$165,MATCH(MID($B4656,4,2),DanhMuc!$B$154:$B$165,0)),""),"")</f>
        <v/>
      </c>
      <c r="V4656" s="361" t="s">
        <v>1441</v>
      </c>
      <c r="W4656" s="345"/>
      <c r="X4656" s="786"/>
      <c r="Y4656" s="1128" t="s">
        <v>3380</v>
      </c>
      <c r="Z4656" s="1128" t="s">
        <v>3381</v>
      </c>
      <c r="AA4656" s="1128" t="s">
        <v>3384</v>
      </c>
      <c r="AB4656" s="20"/>
      <c r="AC4656" s="73"/>
    </row>
    <row r="4657" spans="1:29">
      <c r="A4657" s="327">
        <f>IF(AND($B4657&lt;&gt;"",$C4657&lt;&gt;""),MAX($A$4655:$A4656)+1,"")</f>
        <v>2</v>
      </c>
      <c r="B4657" s="455" t="str">
        <f>DanhMuc!$F$155&amp;"DQ"</f>
        <v>XFDQ</v>
      </c>
      <c r="C4657" s="362" t="s">
        <v>102</v>
      </c>
      <c r="D4657" s="327">
        <f>IF($B4657="","",COUNTIF($B$6:$B4657,$B4657))</f>
        <v>2</v>
      </c>
      <c r="E4657" s="363" t="s">
        <v>571</v>
      </c>
      <c r="F4657" s="362" t="s">
        <v>572</v>
      </c>
      <c r="G4657" s="327" t="s">
        <v>690</v>
      </c>
      <c r="H4657" s="361" t="s">
        <v>536</v>
      </c>
      <c r="I4657" s="361" t="s">
        <v>2797</v>
      </c>
      <c r="J4657" s="361"/>
      <c r="K4657" s="327" t="s">
        <v>103</v>
      </c>
      <c r="L4657" s="441">
        <f>23500/(10*22*1000)</f>
        <v>0.10681818181818181</v>
      </c>
      <c r="M4657" s="456">
        <v>0.2</v>
      </c>
      <c r="N4657" s="371" t="str">
        <f t="shared" si="371"/>
        <v>GI</v>
      </c>
      <c r="O4657" s="345"/>
      <c r="P4657" s="363"/>
      <c r="Q4657" s="327"/>
      <c r="R4657" s="351"/>
      <c r="S4657" s="351"/>
      <c r="T4657" s="351"/>
      <c r="U4657" s="329" t="str">
        <f>IF($N4657=$N$4,IFERROR(INDEX(DanhMuc!$E$154:$E$165,MATCH(MID($B4657,4,2),DanhMuc!$B$154:$B$165,0)),""),"")</f>
        <v/>
      </c>
      <c r="V4657" s="361" t="s">
        <v>1441</v>
      </c>
      <c r="W4657" s="345"/>
      <c r="X4657" s="786"/>
      <c r="Y4657" s="1128" t="s">
        <v>3380</v>
      </c>
      <c r="Z4657" s="1128" t="s">
        <v>3381</v>
      </c>
      <c r="AA4657" s="1128" t="s">
        <v>3384</v>
      </c>
      <c r="AB4657" s="20"/>
      <c r="AC4657" s="73"/>
    </row>
    <row r="4658" spans="1:29">
      <c r="A4658" s="327">
        <f>IF(AND($B4658&lt;&gt;"",$C4658&lt;&gt;""),MAX($A$4655:$A4657)+1,"")</f>
        <v>3</v>
      </c>
      <c r="B4658" s="455" t="str">
        <f>DanhMuc!$F$155&amp;"DQ"</f>
        <v>XFDQ</v>
      </c>
      <c r="C4658" s="362" t="s">
        <v>102</v>
      </c>
      <c r="D4658" s="327">
        <f>IF($B4658="","",COUNTIF($B$6:$B4658,$B4658))</f>
        <v>3</v>
      </c>
      <c r="E4658" s="361" t="s">
        <v>2769</v>
      </c>
      <c r="F4658" s="362" t="s">
        <v>2770</v>
      </c>
      <c r="G4658" s="327" t="s">
        <v>424</v>
      </c>
      <c r="H4658" s="361" t="s">
        <v>391</v>
      </c>
      <c r="I4658" s="361" t="s">
        <v>2798</v>
      </c>
      <c r="J4658" s="361"/>
      <c r="K4658" s="327" t="s">
        <v>103</v>
      </c>
      <c r="L4658" s="389">
        <v>53000</v>
      </c>
      <c r="M4658" s="456"/>
      <c r="N4658" s="371" t="str">
        <f t="shared" si="371"/>
        <v>GI</v>
      </c>
      <c r="O4658" s="345"/>
      <c r="P4658" s="363"/>
      <c r="Q4658" s="327"/>
      <c r="R4658" s="351"/>
      <c r="S4658" s="351"/>
      <c r="T4658" s="351"/>
      <c r="U4658" s="329" t="str">
        <f>IF($N4658=$N$4,IFERROR(INDEX(DanhMuc!$E$154:$E$165,MATCH(MID($B4658,4,2),DanhMuc!$B$154:$B$165,0)),""),"")</f>
        <v/>
      </c>
      <c r="V4658" s="361"/>
      <c r="W4658" s="345"/>
      <c r="X4658" s="786"/>
      <c r="Y4658" s="1128" t="s">
        <v>3380</v>
      </c>
      <c r="Z4658" s="1128" t="s">
        <v>3381</v>
      </c>
      <c r="AA4658" s="1128" t="s">
        <v>3384</v>
      </c>
      <c r="AB4658" s="20"/>
      <c r="AC4658" s="73"/>
    </row>
    <row r="4659" spans="1:29" ht="25">
      <c r="A4659" s="327">
        <f>IF(AND($B4659&lt;&gt;"",$C4659&lt;&gt;""),MAX($A$4655:$A4658)+1,"")</f>
        <v>4</v>
      </c>
      <c r="B4659" s="455" t="str">
        <f>DanhMuc!$F$155&amp;"DQ"</f>
        <v>XFDQ</v>
      </c>
      <c r="C4659" s="362" t="s">
        <v>688</v>
      </c>
      <c r="D4659" s="327">
        <f>IF($B4659="","",COUNTIF($B$6:$B4659,$B4659))</f>
        <v>4</v>
      </c>
      <c r="E4659" s="402" t="s">
        <v>691</v>
      </c>
      <c r="F4659" s="403" t="s">
        <v>692</v>
      </c>
      <c r="G4659" s="327" t="s">
        <v>690</v>
      </c>
      <c r="H4659" s="361" t="s">
        <v>536</v>
      </c>
      <c r="I4659" s="361" t="s">
        <v>541</v>
      </c>
      <c r="J4659" s="361"/>
      <c r="K4659" s="327" t="s">
        <v>689</v>
      </c>
      <c r="L4659" s="457">
        <f>120000/(20*1000)</f>
        <v>6</v>
      </c>
      <c r="M4659" s="456">
        <v>0.1</v>
      </c>
      <c r="N4659" s="371" t="str">
        <f t="shared" si="371"/>
        <v>GI</v>
      </c>
      <c r="O4659" s="347" t="s">
        <v>1475</v>
      </c>
      <c r="P4659" s="363"/>
      <c r="Q4659" s="327"/>
      <c r="R4659" s="351"/>
      <c r="S4659" s="351"/>
      <c r="T4659" s="351"/>
      <c r="U4659" s="329" t="str">
        <f>IF($N4659=$N$4,IFERROR(INDEX(DanhMuc!$E$154:$E$165,MATCH(MID($B4659,4,2),DanhMuc!$B$154:$B$165,0)),""),"")</f>
        <v/>
      </c>
      <c r="V4659" s="361" t="s">
        <v>1443</v>
      </c>
      <c r="W4659" s="345"/>
      <c r="X4659" s="786"/>
      <c r="Y4659" s="1128" t="s">
        <v>3380</v>
      </c>
      <c r="Z4659" s="1128" t="s">
        <v>3381</v>
      </c>
      <c r="AA4659" s="1128" t="s">
        <v>3384</v>
      </c>
      <c r="AB4659" s="20"/>
      <c r="AC4659" s="73"/>
    </row>
    <row r="4660" spans="1:29" ht="25">
      <c r="A4660" s="327">
        <f>IF(AND($B4660&lt;&gt;"",$C4660&lt;&gt;""),MAX($A$4655:$A4659)+1,"")</f>
        <v>5</v>
      </c>
      <c r="B4660" s="455" t="str">
        <f>DanhMuc!$F$155&amp;"SQ"</f>
        <v>XFSQ</v>
      </c>
      <c r="C4660" s="362" t="s">
        <v>99</v>
      </c>
      <c r="D4660" s="327">
        <f>IF($B4660="","",COUNTIF($B$6:$B4660,$B4660))</f>
        <v>1</v>
      </c>
      <c r="E4660" s="363" t="s">
        <v>569</v>
      </c>
      <c r="F4660" s="362" t="s">
        <v>570</v>
      </c>
      <c r="G4660" s="327" t="s">
        <v>690</v>
      </c>
      <c r="H4660" s="361" t="s">
        <v>536</v>
      </c>
      <c r="I4660" s="361" t="s">
        <v>728</v>
      </c>
      <c r="J4660" s="361"/>
      <c r="K4660" s="327" t="s">
        <v>558</v>
      </c>
      <c r="L4660" s="441">
        <f>23500/(10*22*1000)</f>
        <v>0.10681818181818181</v>
      </c>
      <c r="M4660" s="456">
        <v>0.2</v>
      </c>
      <c r="N4660" s="371" t="str">
        <f t="shared" si="371"/>
        <v>GI</v>
      </c>
      <c r="O4660" s="345"/>
      <c r="P4660" s="363"/>
      <c r="Q4660" s="327"/>
      <c r="R4660" s="351"/>
      <c r="S4660" s="351"/>
      <c r="T4660" s="351"/>
      <c r="U4660" s="329" t="str">
        <f>IF($N4660=$N$4,IFERROR(INDEX(DanhMuc!$E$154:$E$165,MATCH(MID($B4660,4,2),DanhMuc!$B$154:$B$165,0)),""),"")</f>
        <v/>
      </c>
      <c r="V4660" s="361"/>
      <c r="W4660" s="345"/>
      <c r="X4660" s="786"/>
      <c r="Y4660" s="1128" t="s">
        <v>3380</v>
      </c>
      <c r="Z4660" s="1128" t="s">
        <v>3381</v>
      </c>
      <c r="AA4660" s="1128" t="s">
        <v>3384</v>
      </c>
      <c r="AB4660" s="20"/>
      <c r="AC4660" s="73"/>
    </row>
    <row r="4661" spans="1:29">
      <c r="A4661" s="327">
        <f>IF(AND($B4661&lt;&gt;"",$C4661&lt;&gt;""),MAX($A$4655:$A4660)+1,"")</f>
        <v>6</v>
      </c>
      <c r="B4661" s="455" t="str">
        <f>DanhMuc!$F$155&amp;"SQ"</f>
        <v>XFSQ</v>
      </c>
      <c r="C4661" s="362" t="s">
        <v>102</v>
      </c>
      <c r="D4661" s="327">
        <f>IF($B4661="","",COUNTIF($B$6:$B4661,$B4661))</f>
        <v>2</v>
      </c>
      <c r="E4661" s="363" t="s">
        <v>571</v>
      </c>
      <c r="F4661" s="362" t="s">
        <v>572</v>
      </c>
      <c r="G4661" s="327" t="s">
        <v>690</v>
      </c>
      <c r="H4661" s="361" t="s">
        <v>536</v>
      </c>
      <c r="I4661" s="361" t="s">
        <v>2799</v>
      </c>
      <c r="J4661" s="361"/>
      <c r="K4661" s="327" t="s">
        <v>103</v>
      </c>
      <c r="L4661" s="441">
        <f>23500/(10*22*1000)</f>
        <v>0.10681818181818181</v>
      </c>
      <c r="M4661" s="456">
        <v>0.2</v>
      </c>
      <c r="N4661" s="371" t="str">
        <f t="shared" si="371"/>
        <v>GI</v>
      </c>
      <c r="O4661" s="345"/>
      <c r="P4661" s="363"/>
      <c r="Q4661" s="327"/>
      <c r="R4661" s="351"/>
      <c r="S4661" s="351"/>
      <c r="T4661" s="351"/>
      <c r="U4661" s="329" t="str">
        <f>IF($N4661=$N$4,IFERROR(INDEX(DanhMuc!$E$154:$E$165,MATCH(MID($B4661,4,2),DanhMuc!$B$154:$B$165,0)),""),"")</f>
        <v/>
      </c>
      <c r="V4661" s="361"/>
      <c r="W4661" s="345"/>
      <c r="X4661" s="786"/>
      <c r="Y4661" s="1128" t="s">
        <v>3380</v>
      </c>
      <c r="Z4661" s="1128" t="s">
        <v>3381</v>
      </c>
      <c r="AA4661" s="1128" t="s">
        <v>3384</v>
      </c>
      <c r="AB4661" s="20"/>
      <c r="AC4661" s="73"/>
    </row>
    <row r="4662" spans="1:29">
      <c r="A4662" s="327">
        <f>IF(AND($B4662&lt;&gt;"",$C4662&lt;&gt;""),MAX($A$4655:$A4661)+1,"")</f>
        <v>7</v>
      </c>
      <c r="B4662" s="455" t="str">
        <f>DanhMuc!$F$155&amp;"SQ"</f>
        <v>XFSQ</v>
      </c>
      <c r="C4662" s="362" t="s">
        <v>102</v>
      </c>
      <c r="D4662" s="327">
        <f>IF($B4662="","",COUNTIF($B$6:$B4662,$B4662))</f>
        <v>3</v>
      </c>
      <c r="E4662" s="361" t="s">
        <v>2769</v>
      </c>
      <c r="F4662" s="362" t="s">
        <v>2770</v>
      </c>
      <c r="G4662" s="327" t="s">
        <v>424</v>
      </c>
      <c r="H4662" s="361" t="s">
        <v>391</v>
      </c>
      <c r="I4662" s="361" t="s">
        <v>2800</v>
      </c>
      <c r="J4662" s="361"/>
      <c r="K4662" s="327" t="s">
        <v>103</v>
      </c>
      <c r="L4662" s="389">
        <v>53000</v>
      </c>
      <c r="M4662" s="456"/>
      <c r="N4662" s="371" t="str">
        <f t="shared" si="371"/>
        <v>GI</v>
      </c>
      <c r="O4662" s="345"/>
      <c r="P4662" s="363"/>
      <c r="Q4662" s="327"/>
      <c r="R4662" s="351"/>
      <c r="S4662" s="351"/>
      <c r="T4662" s="351"/>
      <c r="U4662" s="329" t="str">
        <f>IF($N4662=$N$4,IFERROR(INDEX(DanhMuc!$E$154:$E$165,MATCH(MID($B4662,4,2),DanhMuc!$B$154:$B$165,0)),""),"")</f>
        <v/>
      </c>
      <c r="V4662" s="361"/>
      <c r="W4662" s="345"/>
      <c r="X4662" s="786"/>
      <c r="Y4662" s="1128" t="s">
        <v>3380</v>
      </c>
      <c r="Z4662" s="1128" t="s">
        <v>3381</v>
      </c>
      <c r="AA4662" s="1128" t="s">
        <v>3384</v>
      </c>
      <c r="AB4662" s="20"/>
      <c r="AC4662" s="73"/>
    </row>
    <row r="4663" spans="1:29" ht="25">
      <c r="A4663" s="327">
        <f>IF(AND($B4663&lt;&gt;"",$C4663&lt;&gt;""),MAX($A$4655:$A4662)+1,"")</f>
        <v>8</v>
      </c>
      <c r="B4663" s="455" t="str">
        <f>DanhMuc!$F$155&amp;"SH"</f>
        <v>XFSH</v>
      </c>
      <c r="C4663" s="362" t="s">
        <v>99</v>
      </c>
      <c r="D4663" s="327">
        <f>IF($B4663="","",COUNTIF($B$6:$B4663,$B4663))</f>
        <v>1</v>
      </c>
      <c r="E4663" s="363" t="s">
        <v>569</v>
      </c>
      <c r="F4663" s="362" t="s">
        <v>570</v>
      </c>
      <c r="G4663" s="327" t="s">
        <v>690</v>
      </c>
      <c r="H4663" s="361" t="s">
        <v>536</v>
      </c>
      <c r="I4663" s="361" t="s">
        <v>728</v>
      </c>
      <c r="J4663" s="361"/>
      <c r="K4663" s="327" t="s">
        <v>558</v>
      </c>
      <c r="L4663" s="441">
        <f>23500/(10*22*1000)</f>
        <v>0.10681818181818181</v>
      </c>
      <c r="M4663" s="456">
        <v>0.2</v>
      </c>
      <c r="N4663" s="371" t="str">
        <f t="shared" si="371"/>
        <v>GI</v>
      </c>
      <c r="O4663" s="345"/>
      <c r="P4663" s="363"/>
      <c r="Q4663" s="327"/>
      <c r="R4663" s="351"/>
      <c r="S4663" s="351"/>
      <c r="T4663" s="351"/>
      <c r="U4663" s="329" t="str">
        <f>IF($N4663=$N$4,IFERROR(INDEX(DanhMuc!$E$154:$E$165,MATCH(MID($B4663,4,2),DanhMuc!$B$154:$B$165,0)),""),"")</f>
        <v/>
      </c>
      <c r="V4663" s="361"/>
      <c r="W4663" s="345"/>
      <c r="X4663" s="786"/>
      <c r="Y4663" s="1128" t="s">
        <v>3380</v>
      </c>
      <c r="Z4663" s="1128" t="s">
        <v>3381</v>
      </c>
      <c r="AA4663" s="1128" t="s">
        <v>3384</v>
      </c>
      <c r="AB4663" s="20"/>
      <c r="AC4663" s="73"/>
    </row>
    <row r="4664" spans="1:29">
      <c r="A4664" s="327">
        <f>IF(AND($B4664&lt;&gt;"",$C4664&lt;&gt;""),MAX($A$4655:$A4663)+1,"")</f>
        <v>9</v>
      </c>
      <c r="B4664" s="455" t="str">
        <f>DanhMuc!$F$155&amp;"SH"</f>
        <v>XFSH</v>
      </c>
      <c r="C4664" s="362" t="s">
        <v>102</v>
      </c>
      <c r="D4664" s="327">
        <f>IF($B4664="","",COUNTIF($B$6:$B4664,$B4664))</f>
        <v>2</v>
      </c>
      <c r="E4664" s="363" t="s">
        <v>571</v>
      </c>
      <c r="F4664" s="362" t="s">
        <v>572</v>
      </c>
      <c r="G4664" s="327" t="s">
        <v>690</v>
      </c>
      <c r="H4664" s="361" t="s">
        <v>536</v>
      </c>
      <c r="I4664" s="361" t="s">
        <v>2799</v>
      </c>
      <c r="J4664" s="361"/>
      <c r="K4664" s="327" t="s">
        <v>103</v>
      </c>
      <c r="L4664" s="441">
        <f>23500/(10*22*1000)</f>
        <v>0.10681818181818181</v>
      </c>
      <c r="M4664" s="456">
        <v>0.2</v>
      </c>
      <c r="N4664" s="371" t="str">
        <f t="shared" si="371"/>
        <v>GI</v>
      </c>
      <c r="O4664" s="345"/>
      <c r="P4664" s="363"/>
      <c r="Q4664" s="327"/>
      <c r="R4664" s="351"/>
      <c r="S4664" s="351"/>
      <c r="T4664" s="351"/>
      <c r="U4664" s="329" t="str">
        <f>IF($N4664=$N$4,IFERROR(INDEX(DanhMuc!$E$154:$E$165,MATCH(MID($B4664,4,2),DanhMuc!$B$154:$B$165,0)),""),"")</f>
        <v/>
      </c>
      <c r="V4664" s="361"/>
      <c r="W4664" s="345"/>
      <c r="X4664" s="786"/>
      <c r="Y4664" s="1128" t="s">
        <v>3380</v>
      </c>
      <c r="Z4664" s="1128" t="s">
        <v>3381</v>
      </c>
      <c r="AA4664" s="1128" t="s">
        <v>3384</v>
      </c>
      <c r="AB4664" s="20"/>
      <c r="AC4664" s="73"/>
    </row>
    <row r="4665" spans="1:29">
      <c r="A4665" s="327">
        <f>IF(AND($B4665&lt;&gt;"",$C4665&lt;&gt;""),MAX($A$4655:$A4664)+1,"")</f>
        <v>10</v>
      </c>
      <c r="B4665" s="455" t="str">
        <f>DanhMuc!$F$155&amp;"SH"</f>
        <v>XFSH</v>
      </c>
      <c r="C4665" s="362" t="s">
        <v>102</v>
      </c>
      <c r="D4665" s="327">
        <f>IF($B4665="","",COUNTIF($B$6:$B4665,$B4665))</f>
        <v>3</v>
      </c>
      <c r="E4665" s="361" t="s">
        <v>2769</v>
      </c>
      <c r="F4665" s="362" t="s">
        <v>2770</v>
      </c>
      <c r="G4665" s="327" t="s">
        <v>424</v>
      </c>
      <c r="H4665" s="361" t="s">
        <v>391</v>
      </c>
      <c r="I4665" s="361" t="s">
        <v>2800</v>
      </c>
      <c r="J4665" s="361"/>
      <c r="K4665" s="327" t="s">
        <v>103</v>
      </c>
      <c r="L4665" s="389">
        <v>53000</v>
      </c>
      <c r="M4665" s="456"/>
      <c r="N4665" s="371" t="str">
        <f t="shared" si="371"/>
        <v>GI</v>
      </c>
      <c r="O4665" s="345"/>
      <c r="P4665" s="363"/>
      <c r="Q4665" s="327"/>
      <c r="R4665" s="351"/>
      <c r="S4665" s="351"/>
      <c r="T4665" s="351"/>
      <c r="U4665" s="329" t="str">
        <f>IF($N4665=$N$4,IFERROR(INDEX(DanhMuc!$E$154:$E$165,MATCH(MID($B4665,4,2),DanhMuc!$B$154:$B$165,0)),""),"")</f>
        <v/>
      </c>
      <c r="V4665" s="361"/>
      <c r="W4665" s="345"/>
      <c r="X4665" s="786"/>
      <c r="Y4665" s="1128" t="s">
        <v>3380</v>
      </c>
      <c r="Z4665" s="1128" t="s">
        <v>3381</v>
      </c>
      <c r="AA4665" s="1128" t="s">
        <v>3384</v>
      </c>
      <c r="AB4665" s="20"/>
      <c r="AC4665" s="73"/>
    </row>
    <row r="4666" spans="1:29">
      <c r="A4666" s="327">
        <f>IF(AND($B4666&lt;&gt;"",$C4666&lt;&gt;""),MAX($A$4655:$A4665)+1,"")</f>
        <v>11</v>
      </c>
      <c r="B4666" s="455" t="str">
        <f>DanhMuc!$F$155&amp;"ST55"</f>
        <v>XFST55</v>
      </c>
      <c r="C4666" s="362" t="s">
        <v>546</v>
      </c>
      <c r="D4666" s="327">
        <f>IF($B4666="","",COUNTIF($B$6:$B4666,$B4666))</f>
        <v>1</v>
      </c>
      <c r="E4666" s="402" t="s">
        <v>544</v>
      </c>
      <c r="F4666" s="403" t="s">
        <v>576</v>
      </c>
      <c r="G4666" s="327" t="s">
        <v>690</v>
      </c>
      <c r="H4666" s="361" t="s">
        <v>536</v>
      </c>
      <c r="I4666" s="361" t="s">
        <v>540</v>
      </c>
      <c r="J4666" s="361"/>
      <c r="K4666" s="410" t="s">
        <v>542</v>
      </c>
      <c r="L4666" s="457">
        <f>150000/(200*1000)</f>
        <v>0.75</v>
      </c>
      <c r="M4666" s="456">
        <v>0.1</v>
      </c>
      <c r="N4666" s="371" t="str">
        <f t="shared" si="371"/>
        <v>GI</v>
      </c>
      <c r="O4666" s="345"/>
      <c r="P4666" s="361"/>
      <c r="Q4666" s="327"/>
      <c r="R4666" s="351"/>
      <c r="S4666" s="351"/>
      <c r="T4666" s="351"/>
      <c r="U4666" s="329" t="str">
        <f>IF($N4666=$N$4,IFERROR(INDEX(DanhMuc!$E$154:$E$165,MATCH(MID($B4666,4,2),DanhMuc!$B$154:$B$165,0)),""),"")</f>
        <v/>
      </c>
      <c r="V4666" s="361" t="s">
        <v>2755</v>
      </c>
      <c r="W4666" s="345"/>
      <c r="X4666" s="786"/>
      <c r="Y4666" s="1128" t="s">
        <v>3380</v>
      </c>
      <c r="Z4666" s="1128" t="s">
        <v>3381</v>
      </c>
      <c r="AA4666" s="1128" t="s">
        <v>3384</v>
      </c>
      <c r="AB4666" s="20"/>
      <c r="AC4666" s="73"/>
    </row>
    <row r="4667" spans="1:29">
      <c r="A4667" s="327">
        <f>IF(AND($B4667&lt;&gt;"",$C4667&lt;&gt;""),MAX($A$4655:$A4666)+1,"")</f>
        <v>12</v>
      </c>
      <c r="B4667" s="455" t="str">
        <f>DanhMuc!$F$155&amp;"ST55"</f>
        <v>XFST55</v>
      </c>
      <c r="C4667" s="362" t="s">
        <v>102</v>
      </c>
      <c r="D4667" s="327">
        <f>IF($B4667="","",COUNTIF($B$6:$B4667,$B4667))</f>
        <v>2</v>
      </c>
      <c r="E4667" s="361" t="s">
        <v>2769</v>
      </c>
      <c r="F4667" s="362" t="s">
        <v>2770</v>
      </c>
      <c r="G4667" s="327" t="s">
        <v>424</v>
      </c>
      <c r="H4667" s="361" t="s">
        <v>391</v>
      </c>
      <c r="I4667" s="361" t="s">
        <v>650</v>
      </c>
      <c r="J4667" s="361"/>
      <c r="K4667" s="327" t="s">
        <v>103</v>
      </c>
      <c r="L4667" s="389">
        <v>53000</v>
      </c>
      <c r="M4667" s="456"/>
      <c r="N4667" s="371" t="str">
        <f t="shared" si="371"/>
        <v>GI</v>
      </c>
      <c r="O4667" s="345"/>
      <c r="P4667" s="361"/>
      <c r="Q4667" s="327"/>
      <c r="R4667" s="351"/>
      <c r="S4667" s="351"/>
      <c r="T4667" s="351"/>
      <c r="U4667" s="329" t="str">
        <f>IF($N4667=$N$4,IFERROR(INDEX(DanhMuc!$E$154:$E$165,MATCH(MID($B4667,4,2),DanhMuc!$B$154:$B$165,0)),""),"")</f>
        <v/>
      </c>
      <c r="V4667" s="361"/>
      <c r="W4667" s="345"/>
      <c r="X4667" s="786"/>
      <c r="Y4667" s="1128" t="s">
        <v>3380</v>
      </c>
      <c r="Z4667" s="1128" t="s">
        <v>3381</v>
      </c>
      <c r="AA4667" s="1128" t="s">
        <v>3384</v>
      </c>
      <c r="AB4667" s="20"/>
      <c r="AC4667" s="73"/>
    </row>
    <row r="4668" spans="1:29">
      <c r="A4668" s="327">
        <f>IF(AND($B4668&lt;&gt;"",$C4668&lt;&gt;""),MAX($A$4655:$A4665)+1,"")</f>
        <v>11</v>
      </c>
      <c r="B4668" s="455" t="str">
        <f>DanhMuc!$F$155&amp;"ST93"</f>
        <v>XFST93</v>
      </c>
      <c r="C4668" s="362" t="s">
        <v>332</v>
      </c>
      <c r="D4668" s="327">
        <f>IF($B4668="","",COUNTIF($B$6:$B4668,$B4668))</f>
        <v>1</v>
      </c>
      <c r="E4668" s="402" t="s">
        <v>545</v>
      </c>
      <c r="F4668" s="403" t="s">
        <v>577</v>
      </c>
      <c r="G4668" s="327" t="s">
        <v>690</v>
      </c>
      <c r="H4668" s="361" t="s">
        <v>536</v>
      </c>
      <c r="I4668" s="361" t="s">
        <v>541</v>
      </c>
      <c r="J4668" s="361"/>
      <c r="K4668" s="410" t="s">
        <v>547</v>
      </c>
      <c r="L4668" s="457">
        <f>240000/(150*1000)</f>
        <v>1.6</v>
      </c>
      <c r="M4668" s="456">
        <v>0.1</v>
      </c>
      <c r="N4668" s="371" t="str">
        <f t="shared" si="371"/>
        <v>GI</v>
      </c>
      <c r="O4668" s="345"/>
      <c r="P4668" s="361"/>
      <c r="Q4668" s="327"/>
      <c r="R4668" s="351"/>
      <c r="S4668" s="351"/>
      <c r="T4668" s="351"/>
      <c r="U4668" s="329" t="str">
        <f>IF($N4668=$N$4,IFERROR(INDEX(DanhMuc!$E$154:$E$165,MATCH(MID($B4668,4,2),DanhMuc!$B$154:$B$165,0)),""),"")</f>
        <v/>
      </c>
      <c r="V4668" s="361" t="s">
        <v>2759</v>
      </c>
      <c r="W4668" s="345"/>
      <c r="X4668" s="786"/>
      <c r="Y4668" s="1128" t="s">
        <v>3380</v>
      </c>
      <c r="Z4668" s="1128" t="s">
        <v>3381</v>
      </c>
      <c r="AA4668" s="1128" t="s">
        <v>3384</v>
      </c>
      <c r="AB4668" s="20"/>
      <c r="AC4668" s="73"/>
    </row>
    <row r="4669" spans="1:29">
      <c r="A4669" s="327">
        <f>IF(AND($B4669&lt;&gt;"",$C4669&lt;&gt;""),MAX($A$4655:$A4668)+1,"")</f>
        <v>13</v>
      </c>
      <c r="B4669" s="455" t="str">
        <f>DanhMuc!$F$155&amp;"ST93"</f>
        <v>XFST93</v>
      </c>
      <c r="C4669" s="362" t="s">
        <v>332</v>
      </c>
      <c r="D4669" s="327">
        <f>IF($B4669="","",COUNTIF($B$6:$B4669,$B4669))</f>
        <v>2</v>
      </c>
      <c r="E4669" s="402" t="s">
        <v>581</v>
      </c>
      <c r="F4669" s="403" t="s">
        <v>582</v>
      </c>
      <c r="G4669" s="327" t="s">
        <v>690</v>
      </c>
      <c r="H4669" s="361" t="s">
        <v>536</v>
      </c>
      <c r="I4669" s="361" t="s">
        <v>568</v>
      </c>
      <c r="J4669" s="361"/>
      <c r="K4669" s="410" t="s">
        <v>543</v>
      </c>
      <c r="L4669" s="457">
        <f>145000/(200*1000)</f>
        <v>0.72499999999999998</v>
      </c>
      <c r="M4669" s="456">
        <v>0.1</v>
      </c>
      <c r="N4669" s="371" t="str">
        <f t="shared" si="371"/>
        <v>GI</v>
      </c>
      <c r="O4669" s="345"/>
      <c r="P4669" s="361"/>
      <c r="Q4669" s="327"/>
      <c r="R4669" s="351"/>
      <c r="S4669" s="351"/>
      <c r="T4669" s="351"/>
      <c r="U4669" s="329" t="str">
        <f>IF($N4669=$N$4,IFERROR(INDEX(DanhMuc!$E$154:$E$165,MATCH(MID($B4669,4,2),DanhMuc!$B$154:$B$165,0)),""),"")</f>
        <v/>
      </c>
      <c r="V4669" s="361" t="s">
        <v>2755</v>
      </c>
      <c r="W4669" s="345"/>
      <c r="X4669" s="786"/>
      <c r="Y4669" s="1128" t="s">
        <v>3380</v>
      </c>
      <c r="Z4669" s="1128" t="s">
        <v>3381</v>
      </c>
      <c r="AA4669" s="1128" t="s">
        <v>3384</v>
      </c>
      <c r="AB4669" s="20"/>
      <c r="AC4669" s="73"/>
    </row>
    <row r="4670" spans="1:29">
      <c r="A4670" s="327">
        <f>IF(AND($B4670&lt;&gt;"",$C4670&lt;&gt;""),MAX($A$4655:$A4669)+1,"")</f>
        <v>14</v>
      </c>
      <c r="B4670" s="455" t="str">
        <f>DanhMuc!$F$155&amp;"ST93"</f>
        <v>XFST93</v>
      </c>
      <c r="C4670" s="362" t="s">
        <v>102</v>
      </c>
      <c r="D4670" s="327">
        <f>IF($B4670="","",COUNTIF($B$6:$B4670,$B4670))</f>
        <v>3</v>
      </c>
      <c r="E4670" s="361" t="s">
        <v>2769</v>
      </c>
      <c r="F4670" s="362" t="s">
        <v>2770</v>
      </c>
      <c r="G4670" s="327" t="s">
        <v>424</v>
      </c>
      <c r="H4670" s="361" t="s">
        <v>391</v>
      </c>
      <c r="I4670" s="361" t="s">
        <v>650</v>
      </c>
      <c r="J4670" s="361"/>
      <c r="K4670" s="327" t="s">
        <v>103</v>
      </c>
      <c r="L4670" s="389">
        <v>53000</v>
      </c>
      <c r="M4670" s="456"/>
      <c r="N4670" s="371" t="str">
        <f t="shared" si="371"/>
        <v>GI</v>
      </c>
      <c r="O4670" s="345"/>
      <c r="P4670" s="361"/>
      <c r="Q4670" s="327"/>
      <c r="R4670" s="351"/>
      <c r="S4670" s="351"/>
      <c r="T4670" s="351"/>
      <c r="U4670" s="329" t="str">
        <f>IF($N4670=$N$4,IFERROR(INDEX(DanhMuc!$E$154:$E$165,MATCH(MID($B4670,4,2),DanhMuc!$B$154:$B$165,0)),""),"")</f>
        <v/>
      </c>
      <c r="V4670" s="361"/>
      <c r="W4670" s="345"/>
      <c r="X4670" s="786"/>
      <c r="Y4670" s="1128" t="s">
        <v>3380</v>
      </c>
      <c r="Z4670" s="1128" t="s">
        <v>3381</v>
      </c>
      <c r="AA4670" s="1128" t="s">
        <v>3384</v>
      </c>
      <c r="AB4670" s="20"/>
      <c r="AC4670" s="73"/>
    </row>
    <row r="4671" spans="1:29" ht="25">
      <c r="A4671" s="327">
        <f>IF(AND($B4671&lt;&gt;"",$C4671&lt;&gt;""),MAX($A$4655:$A4665)+1,"")</f>
        <v>11</v>
      </c>
      <c r="B4671" s="455" t="str">
        <f>DanhMuc!$F$155&amp;"DX"</f>
        <v>XFDX</v>
      </c>
      <c r="C4671" s="362" t="s">
        <v>99</v>
      </c>
      <c r="D4671" s="327">
        <f>IF($B4671="","",COUNTIF($B$6:$B4671,$B4671))</f>
        <v>1</v>
      </c>
      <c r="E4671" s="363" t="s">
        <v>569</v>
      </c>
      <c r="F4671" s="362" t="s">
        <v>570</v>
      </c>
      <c r="G4671" s="327" t="s">
        <v>690</v>
      </c>
      <c r="H4671" s="361" t="s">
        <v>536</v>
      </c>
      <c r="I4671" s="361" t="s">
        <v>996</v>
      </c>
      <c r="J4671" s="361"/>
      <c r="K4671" s="327" t="s">
        <v>100</v>
      </c>
      <c r="L4671" s="441">
        <f>23500/(10*22*1000)</f>
        <v>0.10681818181818181</v>
      </c>
      <c r="M4671" s="456">
        <v>0.2</v>
      </c>
      <c r="N4671" s="371" t="str">
        <f t="shared" si="371"/>
        <v>GI</v>
      </c>
      <c r="O4671" s="345"/>
      <c r="P4671" s="363"/>
      <c r="Q4671" s="327"/>
      <c r="R4671" s="351"/>
      <c r="S4671" s="351"/>
      <c r="T4671" s="351"/>
      <c r="U4671" s="329" t="str">
        <f>IF($N4671=$N$4,IFERROR(INDEX(DanhMuc!$E$154:$E$165,MATCH(MID($B4671,4,2),DanhMuc!$B$154:$B$165,0)),""),"")</f>
        <v/>
      </c>
      <c r="V4671" s="361"/>
      <c r="W4671" s="345"/>
      <c r="X4671" s="786"/>
      <c r="Y4671" s="1128" t="s">
        <v>3380</v>
      </c>
      <c r="Z4671" s="1128" t="s">
        <v>3381</v>
      </c>
      <c r="AA4671" s="1128" t="s">
        <v>3384</v>
      </c>
      <c r="AB4671" s="20"/>
      <c r="AC4671" s="73"/>
    </row>
    <row r="4672" spans="1:29" ht="25">
      <c r="A4672" s="327">
        <f>IF(AND($B4672&lt;&gt;"",$C4672&lt;&gt;""),MAX($A$4655:$A4671)+1,"")</f>
        <v>15</v>
      </c>
      <c r="B4672" s="455" t="str">
        <f>DanhMuc!$F$155&amp;"DX"</f>
        <v>XFDX</v>
      </c>
      <c r="C4672" s="362" t="s">
        <v>104</v>
      </c>
      <c r="D4672" s="327">
        <f>IF($B4672="","",COUNTIF($B$6:$B4672,$B4672))</f>
        <v>2</v>
      </c>
      <c r="E4672" s="458" t="s">
        <v>999</v>
      </c>
      <c r="F4672" s="382" t="s">
        <v>57</v>
      </c>
      <c r="G4672" s="327" t="s">
        <v>690</v>
      </c>
      <c r="H4672" s="361" t="s">
        <v>536</v>
      </c>
      <c r="I4672" s="361" t="s">
        <v>997</v>
      </c>
      <c r="J4672" s="361"/>
      <c r="K4672" s="327"/>
      <c r="L4672" s="441">
        <f>85000*0.05/1000</f>
        <v>4.25</v>
      </c>
      <c r="M4672" s="456">
        <v>0.2</v>
      </c>
      <c r="N4672" s="371" t="str">
        <f t="shared" si="371"/>
        <v>GI</v>
      </c>
      <c r="O4672" s="345"/>
      <c r="P4672" s="363"/>
      <c r="Q4672" s="327"/>
      <c r="R4672" s="351"/>
      <c r="S4672" s="351"/>
      <c r="T4672" s="351"/>
      <c r="U4672" s="329" t="str">
        <f>IF($N4672=$N$4,IFERROR(INDEX(DanhMuc!$E$154:$E$165,MATCH(MID($B4672,4,2),DanhMuc!$B$154:$B$165,0)),""),"")</f>
        <v/>
      </c>
      <c r="V4672" s="361"/>
      <c r="W4672" s="345"/>
      <c r="X4672" s="786"/>
      <c r="Y4672" s="1128" t="s">
        <v>3380</v>
      </c>
      <c r="Z4672" s="1128" t="s">
        <v>3381</v>
      </c>
      <c r="AA4672" s="1128" t="s">
        <v>3384</v>
      </c>
      <c r="AB4672" s="20"/>
      <c r="AC4672" s="73"/>
    </row>
    <row r="4673" spans="1:29" ht="25">
      <c r="A4673" s="327">
        <f>IF(AND($B4673&lt;&gt;"",$C4673&lt;&gt;""),MAX($A$4655:$A4671)+1,"")</f>
        <v>15</v>
      </c>
      <c r="B4673" s="455" t="str">
        <f>DanhMuc!$F$155&amp;"DX"</f>
        <v>XFDX</v>
      </c>
      <c r="C4673" s="362" t="s">
        <v>105</v>
      </c>
      <c r="D4673" s="327">
        <f>IF($B4673="","",COUNTIF($B$6:$B4673,$B4673))</f>
        <v>3</v>
      </c>
      <c r="E4673" s="459" t="s">
        <v>1000</v>
      </c>
      <c r="F4673" s="362" t="s">
        <v>331</v>
      </c>
      <c r="G4673" s="327" t="s">
        <v>690</v>
      </c>
      <c r="H4673" s="361" t="s">
        <v>536</v>
      </c>
      <c r="I4673" s="361" t="s">
        <v>998</v>
      </c>
      <c r="J4673" s="361"/>
      <c r="K4673" s="327"/>
      <c r="L4673" s="441">
        <f>85000*0.05/1000</f>
        <v>4.25</v>
      </c>
      <c r="M4673" s="456">
        <v>0.2</v>
      </c>
      <c r="N4673" s="371" t="str">
        <f t="shared" si="371"/>
        <v>GI</v>
      </c>
      <c r="O4673" s="345"/>
      <c r="P4673" s="363"/>
      <c r="Q4673" s="327"/>
      <c r="R4673" s="351"/>
      <c r="S4673" s="351"/>
      <c r="T4673" s="351"/>
      <c r="U4673" s="329" t="str">
        <f>IF($N4673=$N$4,IFERROR(INDEX(DanhMuc!$E$154:$E$165,MATCH(MID($B4673,4,2),DanhMuc!$B$154:$B$165,0)),""),"")</f>
        <v/>
      </c>
      <c r="V4673" s="361"/>
      <c r="W4673" s="345"/>
      <c r="X4673" s="786"/>
      <c r="Y4673" s="1128" t="s">
        <v>3380</v>
      </c>
      <c r="Z4673" s="1128" t="s">
        <v>3381</v>
      </c>
      <c r="AA4673" s="1128" t="s">
        <v>3384</v>
      </c>
      <c r="AB4673" s="20"/>
      <c r="AC4673" s="73"/>
    </row>
    <row r="4674" spans="1:29" ht="25">
      <c r="A4674" s="327">
        <f>IF(AND($B4674&lt;&gt;"",$C4674&lt;&gt;""),MAX($A$4655:$A4672)+1,"")</f>
        <v>16</v>
      </c>
      <c r="B4674" s="455" t="str">
        <f>DanhMuc!$F$155&amp;"DX"</f>
        <v>XFDX</v>
      </c>
      <c r="C4674" s="362" t="s">
        <v>105</v>
      </c>
      <c r="D4674" s="327">
        <f>IF($B4674="","",COUNTIF($B$6:$B4674,$B4674))</f>
        <v>4</v>
      </c>
      <c r="E4674" s="459" t="s">
        <v>1001</v>
      </c>
      <c r="F4674" s="362" t="s">
        <v>2325</v>
      </c>
      <c r="G4674" s="327" t="s">
        <v>690</v>
      </c>
      <c r="H4674" s="361" t="s">
        <v>536</v>
      </c>
      <c r="I4674" s="361" t="s">
        <v>998</v>
      </c>
      <c r="J4674" s="361"/>
      <c r="K4674" s="327"/>
      <c r="L4674" s="441">
        <f>85000*0.05/1000</f>
        <v>4.25</v>
      </c>
      <c r="M4674" s="456">
        <v>0.2</v>
      </c>
      <c r="N4674" s="371" t="str">
        <f t="shared" si="371"/>
        <v>GI</v>
      </c>
      <c r="O4674" s="345"/>
      <c r="P4674" s="363"/>
      <c r="Q4674" s="327"/>
      <c r="R4674" s="351"/>
      <c r="S4674" s="351"/>
      <c r="T4674" s="351"/>
      <c r="U4674" s="329" t="str">
        <f>IF($N4674=$N$4,IFERROR(INDEX(DanhMuc!$E$154:$E$165,MATCH(MID($B4674,4,2),DanhMuc!$B$154:$B$165,0)),""),"")</f>
        <v/>
      </c>
      <c r="V4674" s="361"/>
      <c r="W4674" s="345"/>
      <c r="X4674" s="786"/>
      <c r="Y4674" s="1128" t="s">
        <v>3380</v>
      </c>
      <c r="Z4674" s="1128" t="s">
        <v>3381</v>
      </c>
      <c r="AA4674" s="1128" t="s">
        <v>3384</v>
      </c>
      <c r="AB4674" s="20"/>
      <c r="AC4674" s="73"/>
    </row>
    <row r="4675" spans="1:29" ht="25">
      <c r="A4675" s="327">
        <f>IF(AND($B4675&lt;&gt;"",$C4675&lt;&gt;""),MAX($A$4655:$A4674)+1,"")</f>
        <v>17</v>
      </c>
      <c r="B4675" s="455" t="str">
        <f>DanhMuc!$F$155&amp;"DX"</f>
        <v>XFDX</v>
      </c>
      <c r="C4675" s="362" t="s">
        <v>548</v>
      </c>
      <c r="D4675" s="327">
        <f>IF($B4675="","",COUNTIF($B$6:$B4675,$B4675))</f>
        <v>5</v>
      </c>
      <c r="E4675" s="361" t="s">
        <v>1002</v>
      </c>
      <c r="F4675" s="362" t="s">
        <v>2326</v>
      </c>
      <c r="G4675" s="327" t="s">
        <v>690</v>
      </c>
      <c r="H4675" s="361" t="s">
        <v>536</v>
      </c>
      <c r="I4675" s="361" t="s">
        <v>1003</v>
      </c>
      <c r="J4675" s="361"/>
      <c r="K4675" s="327"/>
      <c r="L4675" s="441">
        <f>85000*0.05/1000</f>
        <v>4.25</v>
      </c>
      <c r="M4675" s="456">
        <v>0.2</v>
      </c>
      <c r="N4675" s="371" t="str">
        <f t="shared" si="371"/>
        <v>GI</v>
      </c>
      <c r="O4675" s="345"/>
      <c r="P4675" s="361"/>
      <c r="Q4675" s="327"/>
      <c r="R4675" s="351"/>
      <c r="S4675" s="351"/>
      <c r="T4675" s="351"/>
      <c r="U4675" s="329" t="str">
        <f>IF($N4675=$N$4,IFERROR(INDEX(DanhMuc!$E$154:$E$165,MATCH(MID($B4675,4,2),DanhMuc!$B$154:$B$165,0)),""),"")</f>
        <v/>
      </c>
      <c r="V4675" s="361"/>
      <c r="W4675" s="345"/>
      <c r="X4675" s="786"/>
      <c r="Y4675" s="1128" t="s">
        <v>3380</v>
      </c>
      <c r="Z4675" s="1128" t="s">
        <v>3381</v>
      </c>
      <c r="AA4675" s="1128" t="s">
        <v>3384</v>
      </c>
      <c r="AB4675" s="20"/>
      <c r="AC4675" s="73"/>
    </row>
    <row r="4676" spans="1:29">
      <c r="A4676" s="327">
        <f>IF(AND($B4676&lt;&gt;"",$C4676&lt;&gt;""),MAX($A$4655:$A4675)+1,"")</f>
        <v>18</v>
      </c>
      <c r="B4676" s="455" t="str">
        <f>DanhMuc!$F$155&amp;"DT55"</f>
        <v>XFDT55</v>
      </c>
      <c r="C4676" s="362" t="s">
        <v>546</v>
      </c>
      <c r="D4676" s="327">
        <f>IF($B4676="","",COUNTIF($B$6:$B4676,$B4676))</f>
        <v>1</v>
      </c>
      <c r="E4676" s="402" t="s">
        <v>544</v>
      </c>
      <c r="F4676" s="403" t="s">
        <v>576</v>
      </c>
      <c r="G4676" s="327" t="s">
        <v>690</v>
      </c>
      <c r="H4676" s="361" t="s">
        <v>536</v>
      </c>
      <c r="I4676" s="361" t="s">
        <v>540</v>
      </c>
      <c r="J4676" s="361"/>
      <c r="K4676" s="410" t="s">
        <v>542</v>
      </c>
      <c r="L4676" s="457">
        <f>150000/(200*1000)</f>
        <v>0.75</v>
      </c>
      <c r="M4676" s="456">
        <v>0.1</v>
      </c>
      <c r="N4676" s="371" t="str">
        <f t="shared" si="371"/>
        <v>GI</v>
      </c>
      <c r="O4676" s="345"/>
      <c r="P4676" s="361"/>
      <c r="Q4676" s="327"/>
      <c r="R4676" s="351"/>
      <c r="S4676" s="351"/>
      <c r="T4676" s="351"/>
      <c r="U4676" s="329" t="str">
        <f>IF($N4676=$N$4,IFERROR(INDEX(DanhMuc!$E$154:$E$165,MATCH(MID($B4676,4,2),DanhMuc!$B$154:$B$165,0)),""),"")</f>
        <v/>
      </c>
      <c r="V4676" s="361"/>
      <c r="W4676" s="345"/>
      <c r="X4676" s="786"/>
      <c r="Y4676" s="1128" t="s">
        <v>3380</v>
      </c>
      <c r="Z4676" s="1128" t="s">
        <v>3381</v>
      </c>
      <c r="AA4676" s="1128" t="s">
        <v>3384</v>
      </c>
      <c r="AB4676" s="20"/>
      <c r="AC4676" s="73"/>
    </row>
    <row r="4677" spans="1:29">
      <c r="A4677" s="327">
        <f>IF(AND($B4677&lt;&gt;"",$C4677&lt;&gt;""),MAX($A$4655:$A4676)+1,"")</f>
        <v>19</v>
      </c>
      <c r="B4677" s="455" t="str">
        <f>DanhMuc!$F$155&amp;"DT55"</f>
        <v>XFDT55</v>
      </c>
      <c r="C4677" s="362" t="s">
        <v>102</v>
      </c>
      <c r="D4677" s="327">
        <f>IF($B4677="","",COUNTIF($B$6:$B4677,$B4677))</f>
        <v>2</v>
      </c>
      <c r="E4677" s="361" t="s">
        <v>2769</v>
      </c>
      <c r="F4677" s="362" t="s">
        <v>2770</v>
      </c>
      <c r="G4677" s="327" t="s">
        <v>424</v>
      </c>
      <c r="H4677" s="361" t="s">
        <v>391</v>
      </c>
      <c r="I4677" s="361" t="s">
        <v>2288</v>
      </c>
      <c r="J4677" s="361"/>
      <c r="K4677" s="327" t="s">
        <v>103</v>
      </c>
      <c r="L4677" s="389">
        <v>53000</v>
      </c>
      <c r="M4677" s="456"/>
      <c r="N4677" s="371" t="str">
        <f t="shared" si="371"/>
        <v>GI</v>
      </c>
      <c r="O4677" s="345"/>
      <c r="P4677" s="361"/>
      <c r="Q4677" s="327"/>
      <c r="R4677" s="351"/>
      <c r="S4677" s="351"/>
      <c r="T4677" s="351"/>
      <c r="U4677" s="329" t="str">
        <f>IF($N4677=$N$4,IFERROR(INDEX(DanhMuc!$E$154:$E$165,MATCH(MID($B4677,4,2),DanhMuc!$B$154:$B$165,0)),""),"")</f>
        <v/>
      </c>
      <c r="V4677" s="361"/>
      <c r="W4677" s="345"/>
      <c r="X4677" s="786"/>
      <c r="Y4677" s="1128" t="s">
        <v>3380</v>
      </c>
      <c r="Z4677" s="1128" t="s">
        <v>3381</v>
      </c>
      <c r="AA4677" s="1128" t="s">
        <v>3384</v>
      </c>
      <c r="AB4677" s="20"/>
      <c r="AC4677" s="73"/>
    </row>
    <row r="4678" spans="1:29">
      <c r="A4678" s="327">
        <f>IF(AND($B4678&lt;&gt;"",$C4678&lt;&gt;""),MAX($A$4655:$A4676)+1,"")</f>
        <v>19</v>
      </c>
      <c r="B4678" s="455" t="str">
        <f>DanhMuc!$F$155&amp;"DT93"</f>
        <v>XFDT93</v>
      </c>
      <c r="C4678" s="362" t="s">
        <v>332</v>
      </c>
      <c r="D4678" s="327">
        <f>IF($B4678="","",COUNTIF($B$6:$B4678,$B4678))</f>
        <v>1</v>
      </c>
      <c r="E4678" s="402" t="s">
        <v>545</v>
      </c>
      <c r="F4678" s="403" t="s">
        <v>577</v>
      </c>
      <c r="G4678" s="327" t="s">
        <v>690</v>
      </c>
      <c r="H4678" s="361" t="s">
        <v>536</v>
      </c>
      <c r="I4678" s="361" t="s">
        <v>541</v>
      </c>
      <c r="J4678" s="361"/>
      <c r="K4678" s="410" t="s">
        <v>547</v>
      </c>
      <c r="L4678" s="457">
        <f>240000/(150*1000)</f>
        <v>1.6</v>
      </c>
      <c r="M4678" s="456">
        <v>0.1</v>
      </c>
      <c r="N4678" s="371" t="str">
        <f t="shared" si="371"/>
        <v>GI</v>
      </c>
      <c r="O4678" s="345"/>
      <c r="P4678" s="361"/>
      <c r="Q4678" s="327"/>
      <c r="R4678" s="351"/>
      <c r="S4678" s="351"/>
      <c r="T4678" s="351"/>
      <c r="U4678" s="329" t="str">
        <f>IF($N4678=$N$4,IFERROR(INDEX(DanhMuc!$E$154:$E$165,MATCH(MID($B4678,4,2),DanhMuc!$B$154:$B$165,0)),""),"")</f>
        <v/>
      </c>
      <c r="V4678" s="361"/>
      <c r="W4678" s="345"/>
      <c r="X4678" s="786"/>
      <c r="Y4678" s="1128" t="s">
        <v>3380</v>
      </c>
      <c r="Z4678" s="1128" t="s">
        <v>3381</v>
      </c>
      <c r="AA4678" s="1128" t="s">
        <v>3384</v>
      </c>
      <c r="AB4678" s="20"/>
      <c r="AC4678" s="73"/>
    </row>
    <row r="4679" spans="1:29">
      <c r="A4679" s="327">
        <f>IF(AND($B4679&lt;&gt;"",$C4679&lt;&gt;""),MAX($A$4655:$A4678)+1,"")</f>
        <v>20</v>
      </c>
      <c r="B4679" s="455" t="str">
        <f>DanhMuc!$F$155&amp;"DT93"</f>
        <v>XFDT93</v>
      </c>
      <c r="C4679" s="362" t="s">
        <v>332</v>
      </c>
      <c r="D4679" s="327">
        <f>IF($B4679="","",COUNTIF($B$6:$B4679,$B4679))</f>
        <v>2</v>
      </c>
      <c r="E4679" s="402" t="s">
        <v>581</v>
      </c>
      <c r="F4679" s="403" t="s">
        <v>582</v>
      </c>
      <c r="G4679" s="327" t="s">
        <v>690</v>
      </c>
      <c r="H4679" s="361" t="s">
        <v>536</v>
      </c>
      <c r="I4679" s="361" t="s">
        <v>1207</v>
      </c>
      <c r="J4679" s="361"/>
      <c r="K4679" s="410" t="s">
        <v>543</v>
      </c>
      <c r="L4679" s="457">
        <f>145000/(200*1000)</f>
        <v>0.72499999999999998</v>
      </c>
      <c r="M4679" s="456">
        <v>0.1</v>
      </c>
      <c r="N4679" s="371" t="str">
        <f t="shared" si="371"/>
        <v>GI</v>
      </c>
      <c r="O4679" s="345"/>
      <c r="P4679" s="361"/>
      <c r="Q4679" s="327"/>
      <c r="R4679" s="351"/>
      <c r="S4679" s="351"/>
      <c r="T4679" s="351"/>
      <c r="U4679" s="329" t="str">
        <f>IF($N4679=$N$4,IFERROR(INDEX(DanhMuc!$E$154:$E$165,MATCH(MID($B4679,4,2),DanhMuc!$B$154:$B$165,0)),""),"")</f>
        <v/>
      </c>
      <c r="V4679" s="361" t="s">
        <v>2755</v>
      </c>
      <c r="W4679" s="345"/>
      <c r="X4679" s="786"/>
      <c r="Y4679" s="1128" t="s">
        <v>3380</v>
      </c>
      <c r="Z4679" s="1128" t="s">
        <v>3381</v>
      </c>
      <c r="AA4679" s="1128" t="s">
        <v>3384</v>
      </c>
      <c r="AB4679" s="20"/>
      <c r="AC4679" s="73"/>
    </row>
    <row r="4680" spans="1:29">
      <c r="A4680" s="327">
        <f>IF(AND($B4680&lt;&gt;"",$C4680&lt;&gt;""),MAX($A$4655:$A4679)+1,"")</f>
        <v>21</v>
      </c>
      <c r="B4680" s="455" t="str">
        <f>DanhMuc!$F$155&amp;"DT93"</f>
        <v>XFDT93</v>
      </c>
      <c r="C4680" s="362" t="s">
        <v>102</v>
      </c>
      <c r="D4680" s="327">
        <f>IF($B4680="","",COUNTIF($B$6:$B4680,$B4680))</f>
        <v>3</v>
      </c>
      <c r="E4680" s="361" t="s">
        <v>2769</v>
      </c>
      <c r="F4680" s="362" t="s">
        <v>2770</v>
      </c>
      <c r="G4680" s="327" t="s">
        <v>424</v>
      </c>
      <c r="H4680" s="361" t="s">
        <v>391</v>
      </c>
      <c r="I4680" s="361" t="s">
        <v>2288</v>
      </c>
      <c r="J4680" s="361"/>
      <c r="K4680" s="327" t="s">
        <v>103</v>
      </c>
      <c r="L4680" s="389">
        <v>53000</v>
      </c>
      <c r="M4680" s="456"/>
      <c r="N4680" s="371" t="str">
        <f t="shared" si="371"/>
        <v>GI</v>
      </c>
      <c r="O4680" s="345"/>
      <c r="P4680" s="361"/>
      <c r="Q4680" s="327"/>
      <c r="R4680" s="351"/>
      <c r="S4680" s="351"/>
      <c r="T4680" s="351"/>
      <c r="U4680" s="329" t="str">
        <f>IF($N4680=$N$4,IFERROR(INDEX(DanhMuc!$E$154:$E$165,MATCH(MID($B4680,4,2),DanhMuc!$B$154:$B$165,0)),""),"")</f>
        <v/>
      </c>
      <c r="V4680" s="361"/>
      <c r="W4680" s="345"/>
      <c r="X4680" s="786"/>
      <c r="Y4680" s="1128" t="s">
        <v>3380</v>
      </c>
      <c r="Z4680" s="1128" t="s">
        <v>3381</v>
      </c>
      <c r="AA4680" s="1128" t="s">
        <v>3384</v>
      </c>
      <c r="AB4680" s="20"/>
      <c r="AC4680" s="73"/>
    </row>
    <row r="4681" spans="1:29">
      <c r="A4681" s="327">
        <f>IF(AND($B4681&lt;&gt;"",$C4681&lt;&gt;""),MAX($A$4655:$A4680)+1,"")</f>
        <v>22</v>
      </c>
      <c r="B4681" s="455" t="str">
        <f>DanhMuc!$F$155&amp;"VK"</f>
        <v>XFVK</v>
      </c>
      <c r="C4681" s="362" t="s">
        <v>102</v>
      </c>
      <c r="D4681" s="327">
        <f>IF($B4681="","",COUNTIF($B$6:$B4681,$B4681))</f>
        <v>1</v>
      </c>
      <c r="E4681" s="363" t="s">
        <v>571</v>
      </c>
      <c r="F4681" s="362" t="s">
        <v>572</v>
      </c>
      <c r="G4681" s="327" t="s">
        <v>690</v>
      </c>
      <c r="H4681" s="361" t="s">
        <v>536</v>
      </c>
      <c r="I4681" s="361" t="s">
        <v>1004</v>
      </c>
      <c r="J4681" s="361"/>
      <c r="K4681" s="327" t="s">
        <v>103</v>
      </c>
      <c r="L4681" s="441">
        <f>23500/(10*22*1000)</f>
        <v>0.10681818181818181</v>
      </c>
      <c r="M4681" s="456">
        <v>0.2</v>
      </c>
      <c r="N4681" s="371" t="str">
        <f t="shared" si="371"/>
        <v>GI</v>
      </c>
      <c r="O4681" s="345"/>
      <c r="P4681" s="363"/>
      <c r="Q4681" s="327"/>
      <c r="R4681" s="351"/>
      <c r="S4681" s="351"/>
      <c r="T4681" s="351"/>
      <c r="U4681" s="329" t="str">
        <f>IF($N4681=$N$4,IFERROR(INDEX(DanhMuc!$E$154:$E$165,MATCH(MID($B4681,4,2),DanhMuc!$B$154:$B$165,0)),""),"")</f>
        <v/>
      </c>
      <c r="V4681" s="361"/>
      <c r="W4681" s="345"/>
      <c r="X4681" s="786"/>
      <c r="Y4681" s="1128" t="s">
        <v>3380</v>
      </c>
      <c r="Z4681" s="1128" t="s">
        <v>3381</v>
      </c>
      <c r="AA4681" s="1128" t="s">
        <v>3384</v>
      </c>
      <c r="AB4681" s="20"/>
      <c r="AC4681" s="73"/>
    </row>
    <row r="4682" spans="1:29">
      <c r="A4682" s="327">
        <f>IF(AND($B4682&lt;&gt;"",$C4682&lt;&gt;""),MAX($A$4655:$A4681)+1,"")</f>
        <v>23</v>
      </c>
      <c r="B4682" s="455" t="str">
        <f>DanhMuc!$F$155&amp;"VK"</f>
        <v>XFVK</v>
      </c>
      <c r="C4682" s="362" t="s">
        <v>102</v>
      </c>
      <c r="D4682" s="327">
        <f>IF($B4682="","",COUNTIF($B$6:$B4682,$B4682))</f>
        <v>2</v>
      </c>
      <c r="E4682" s="361" t="s">
        <v>2769</v>
      </c>
      <c r="F4682" s="362" t="s">
        <v>2770</v>
      </c>
      <c r="G4682" s="327" t="s">
        <v>424</v>
      </c>
      <c r="H4682" s="361" t="s">
        <v>391</v>
      </c>
      <c r="I4682" s="361" t="s">
        <v>1797</v>
      </c>
      <c r="J4682" s="361"/>
      <c r="K4682" s="327" t="s">
        <v>103</v>
      </c>
      <c r="L4682" s="389">
        <v>53000</v>
      </c>
      <c r="M4682" s="456"/>
      <c r="N4682" s="371" t="str">
        <f t="shared" si="371"/>
        <v>GI</v>
      </c>
      <c r="O4682" s="345"/>
      <c r="P4682" s="363"/>
      <c r="Q4682" s="327"/>
      <c r="R4682" s="351"/>
      <c r="S4682" s="351"/>
      <c r="T4682" s="351"/>
      <c r="U4682" s="329" t="str">
        <f>IF($N4682=$N$4,IFERROR(INDEX(DanhMuc!$E$154:$E$165,MATCH(MID($B4682,4,2),DanhMuc!$B$154:$B$165,0)),""),"")</f>
        <v/>
      </c>
      <c r="V4682" s="361"/>
      <c r="W4682" s="345"/>
      <c r="X4682" s="786"/>
      <c r="Y4682" s="1128" t="s">
        <v>3380</v>
      </c>
      <c r="Z4682" s="1128" t="s">
        <v>3381</v>
      </c>
      <c r="AA4682" s="1128" t="s">
        <v>3384</v>
      </c>
      <c r="AB4682" s="20"/>
      <c r="AC4682" s="73"/>
    </row>
    <row r="4683" spans="1:29">
      <c r="A4683" s="327">
        <f>IF(AND($B4683&lt;&gt;"",$C4683&lt;&gt;""),MAX($A$4655:$A4682)+1,"")</f>
        <v>24</v>
      </c>
      <c r="B4683" s="455" t="str">
        <f>DanhMuc!$F$160&amp;"DQ"</f>
        <v>VNDQ</v>
      </c>
      <c r="C4683" s="362" t="s">
        <v>102</v>
      </c>
      <c r="D4683" s="327">
        <f>IF($B4683="","",COUNTIF($B$6:$B4683,$B4683))</f>
        <v>1</v>
      </c>
      <c r="E4683" s="363" t="s">
        <v>3302</v>
      </c>
      <c r="F4683" s="362" t="s">
        <v>3299</v>
      </c>
      <c r="G4683" s="327" t="s">
        <v>690</v>
      </c>
      <c r="H4683" s="361" t="s">
        <v>536</v>
      </c>
      <c r="I4683" s="361" t="s">
        <v>2797</v>
      </c>
      <c r="J4683" s="361"/>
      <c r="K4683" s="327" t="s">
        <v>103</v>
      </c>
      <c r="L4683" s="441">
        <f>55000/(30*1000)</f>
        <v>1.8333333333333333</v>
      </c>
      <c r="M4683" s="456">
        <v>0.2</v>
      </c>
      <c r="N4683" s="371" t="str">
        <f t="shared" si="371"/>
        <v>GI</v>
      </c>
      <c r="O4683" s="345"/>
      <c r="P4683" s="363"/>
      <c r="Q4683" s="327"/>
      <c r="R4683" s="351"/>
      <c r="S4683" s="351"/>
      <c r="T4683" s="351"/>
      <c r="U4683" s="329" t="str">
        <f>IF($N4683=$N$4,IFERROR(INDEX(DanhMuc!$E$154:$E$165,MATCH(MID($B4683,4,2),DanhMuc!$B$154:$B$165,0)),""),"")</f>
        <v/>
      </c>
      <c r="V4683" s="361" t="s">
        <v>3301</v>
      </c>
      <c r="W4683" s="345"/>
      <c r="X4683" s="786"/>
      <c r="Y4683" s="1128" t="s">
        <v>3380</v>
      </c>
      <c r="Z4683" s="1128" t="s">
        <v>3381</v>
      </c>
      <c r="AA4683" s="1128" t="s">
        <v>3384</v>
      </c>
      <c r="AB4683" s="20"/>
      <c r="AC4683" s="73"/>
    </row>
    <row r="4684" spans="1:29">
      <c r="A4684" s="327">
        <f>IF(AND($B4684&lt;&gt;"",$C4684&lt;&gt;""),MAX($A$4655:$A4683)+1,"")</f>
        <v>25</v>
      </c>
      <c r="B4684" s="455" t="str">
        <f>DanhMuc!$F$160&amp;"DQ"</f>
        <v>VNDQ</v>
      </c>
      <c r="C4684" s="362" t="s">
        <v>102</v>
      </c>
      <c r="D4684" s="327">
        <f>IF($B4684="","",COUNTIF($B$6:$B4684,$B4684))</f>
        <v>2</v>
      </c>
      <c r="E4684" s="361" t="s">
        <v>2769</v>
      </c>
      <c r="F4684" s="362" t="s">
        <v>2770</v>
      </c>
      <c r="G4684" s="327" t="s">
        <v>424</v>
      </c>
      <c r="H4684" s="361" t="s">
        <v>391</v>
      </c>
      <c r="I4684" s="361" t="s">
        <v>2798</v>
      </c>
      <c r="J4684" s="361"/>
      <c r="K4684" s="327" t="s">
        <v>103</v>
      </c>
      <c r="L4684" s="389">
        <v>53000</v>
      </c>
      <c r="M4684" s="456"/>
      <c r="N4684" s="371" t="str">
        <f t="shared" si="371"/>
        <v>GI</v>
      </c>
      <c r="O4684" s="345"/>
      <c r="P4684" s="363"/>
      <c r="Q4684" s="327"/>
      <c r="R4684" s="351"/>
      <c r="S4684" s="351"/>
      <c r="T4684" s="351"/>
      <c r="U4684" s="329" t="str">
        <f>IF($N4684=$N$4,IFERROR(INDEX(DanhMuc!$E$154:$E$165,MATCH(MID($B4684,4,2),DanhMuc!$B$154:$B$165,0)),""),"")</f>
        <v/>
      </c>
      <c r="V4684" s="361"/>
      <c r="W4684" s="345"/>
      <c r="X4684" s="786"/>
      <c r="Y4684" s="1128" t="s">
        <v>3380</v>
      </c>
      <c r="Z4684" s="1128" t="s">
        <v>3381</v>
      </c>
      <c r="AA4684" s="1128" t="s">
        <v>3384</v>
      </c>
      <c r="AB4684" s="20"/>
      <c r="AC4684" s="73"/>
    </row>
    <row r="4685" spans="1:29" ht="25">
      <c r="A4685" s="327">
        <f>IF(AND($B4685&lt;&gt;"",$C4685&lt;&gt;""),MAX($A$4655:$A4684)+1,"")</f>
        <v>26</v>
      </c>
      <c r="B4685" s="455" t="str">
        <f>DanhMuc!$F$160&amp;"DQ"</f>
        <v>VNDQ</v>
      </c>
      <c r="C4685" s="362" t="s">
        <v>688</v>
      </c>
      <c r="D4685" s="327">
        <f>IF($B4685="","",COUNTIF($B$6:$B4685,$B4685))</f>
        <v>3</v>
      </c>
      <c r="E4685" s="402" t="s">
        <v>691</v>
      </c>
      <c r="F4685" s="403" t="s">
        <v>692</v>
      </c>
      <c r="G4685" s="327" t="s">
        <v>690</v>
      </c>
      <c r="H4685" s="361" t="s">
        <v>536</v>
      </c>
      <c r="I4685" s="361" t="s">
        <v>3300</v>
      </c>
      <c r="J4685" s="361"/>
      <c r="K4685" s="327" t="s">
        <v>689</v>
      </c>
      <c r="L4685" s="457">
        <f>55000/(30*1000)</f>
        <v>1.8333333333333333</v>
      </c>
      <c r="M4685" s="456">
        <v>0.1</v>
      </c>
      <c r="N4685" s="371" t="str">
        <f t="shared" si="371"/>
        <v>GI</v>
      </c>
      <c r="O4685" s="347" t="s">
        <v>1475</v>
      </c>
      <c r="P4685" s="363"/>
      <c r="Q4685" s="327"/>
      <c r="R4685" s="351"/>
      <c r="S4685" s="351"/>
      <c r="T4685" s="351"/>
      <c r="U4685" s="329" t="str">
        <f>IF($N4685=$N$4,IFERROR(INDEX(DanhMuc!$E$154:$E$165,MATCH(MID($B4685,4,2),DanhMuc!$B$154:$B$165,0)),""),"")</f>
        <v/>
      </c>
      <c r="V4685" s="361" t="s">
        <v>3301</v>
      </c>
      <c r="W4685" s="345"/>
      <c r="X4685" s="786"/>
      <c r="Y4685" s="1128" t="s">
        <v>3380</v>
      </c>
      <c r="Z4685" s="1128" t="s">
        <v>3381</v>
      </c>
      <c r="AA4685" s="1128" t="s">
        <v>3384</v>
      </c>
      <c r="AB4685" s="20"/>
      <c r="AC4685" s="73"/>
    </row>
    <row r="4686" spans="1:29">
      <c r="A4686" s="327">
        <f>IF(AND($B4686&lt;&gt;"",$C4686&lt;&gt;""),MAX($A$4655:$A4685)+1,"")</f>
        <v>27</v>
      </c>
      <c r="B4686" s="455" t="str">
        <f>DanhMuc!$F$160&amp;"VK"</f>
        <v>VNVK</v>
      </c>
      <c r="C4686" s="362" t="s">
        <v>102</v>
      </c>
      <c r="D4686" s="327">
        <f>IF($B4686="","",COUNTIF($B$6:$B4686,$B4686))</f>
        <v>1</v>
      </c>
      <c r="E4686" s="361" t="s">
        <v>2769</v>
      </c>
      <c r="F4686" s="362" t="s">
        <v>2770</v>
      </c>
      <c r="G4686" s="327" t="s">
        <v>424</v>
      </c>
      <c r="H4686" s="361" t="s">
        <v>391</v>
      </c>
      <c r="I4686" s="361" t="s">
        <v>1797</v>
      </c>
      <c r="J4686" s="361"/>
      <c r="K4686" s="327" t="s">
        <v>103</v>
      </c>
      <c r="L4686" s="389">
        <v>53000</v>
      </c>
      <c r="M4686" s="456"/>
      <c r="N4686" s="371" t="str">
        <f t="shared" si="371"/>
        <v>GI</v>
      </c>
      <c r="O4686" s="345"/>
      <c r="P4686" s="363"/>
      <c r="Q4686" s="327"/>
      <c r="R4686" s="351"/>
      <c r="S4686" s="351"/>
      <c r="T4686" s="351"/>
      <c r="U4686" s="329" t="str">
        <f>IF($N4686=$N$4,IFERROR(INDEX(DanhMuc!$E$154:$E$165,MATCH(MID($B4686,4,2),DanhMuc!$B$154:$B$165,0)),""),"")</f>
        <v/>
      </c>
      <c r="V4686" s="361"/>
      <c r="W4686" s="345"/>
      <c r="X4686" s="786"/>
      <c r="Y4686" s="1128" t="s">
        <v>3380</v>
      </c>
      <c r="Z4686" s="1128" t="s">
        <v>3381</v>
      </c>
      <c r="AA4686" s="1128" t="s">
        <v>3384</v>
      </c>
      <c r="AB4686" s="20"/>
      <c r="AC4686" s="73"/>
    </row>
    <row r="4687" spans="1:29" s="79" customFormat="1" ht="26">
      <c r="A4687" s="327">
        <f>IF(AND($B4687&lt;&gt;"",$C4687&lt;&gt;""),MAX($A$4655:$A4680)+1,"")</f>
        <v>22</v>
      </c>
      <c r="B4687" s="460" t="str">
        <f>DanhMuc!$F$159&amp;"DQ"</f>
        <v>SLDQ</v>
      </c>
      <c r="C4687" s="360" t="s">
        <v>578</v>
      </c>
      <c r="D4687" s="342">
        <f>IF($B4687="","",COUNTIF($B$6:$B4687,$B4687))</f>
        <v>1</v>
      </c>
      <c r="E4687" s="359" t="s">
        <v>573</v>
      </c>
      <c r="F4687" s="360" t="s">
        <v>585</v>
      </c>
      <c r="G4687" s="342" t="s">
        <v>690</v>
      </c>
      <c r="H4687" s="359" t="s">
        <v>536</v>
      </c>
      <c r="I4687" s="361" t="s">
        <v>926</v>
      </c>
      <c r="J4687" s="361"/>
      <c r="K4687" s="342" t="s">
        <v>100</v>
      </c>
      <c r="L4687" s="441">
        <f>22000/(19*10*1000)</f>
        <v>0.11578947368421053</v>
      </c>
      <c r="M4687" s="456">
        <v>0.2</v>
      </c>
      <c r="N4687" s="461" t="str">
        <f t="shared" si="371"/>
        <v>GI</v>
      </c>
      <c r="O4687" s="345"/>
      <c r="P4687" s="359"/>
      <c r="Q4687" s="342"/>
      <c r="R4687" s="351"/>
      <c r="S4687" s="351"/>
      <c r="T4687" s="351"/>
      <c r="U4687" s="329" t="str">
        <f>IF($N4687=$N$4,IFERROR(INDEX(DanhMuc!$E$154:$E$165,MATCH(MID($B4687,4,2),DanhMuc!$B$154:$B$165,0)),""),"")</f>
        <v/>
      </c>
      <c r="V4687" s="361" t="s">
        <v>1442</v>
      </c>
      <c r="W4687" s="345"/>
      <c r="X4687" s="786"/>
      <c r="Y4687" s="1128" t="s">
        <v>3380</v>
      </c>
      <c r="Z4687" s="1128" t="s">
        <v>3381</v>
      </c>
      <c r="AA4687" s="1128" t="s">
        <v>3384</v>
      </c>
      <c r="AB4687" s="20"/>
      <c r="AC4687" s="73"/>
    </row>
    <row r="4688" spans="1:29" s="79" customFormat="1">
      <c r="A4688" s="327">
        <f>IF(AND($B4688&lt;&gt;"",$C4688&lt;&gt;""),MAX($A$4655:$A4687)+1,"")</f>
        <v>28</v>
      </c>
      <c r="B4688" s="460" t="str">
        <f>DanhMuc!$F$159&amp;"DQ"</f>
        <v>SLDQ</v>
      </c>
      <c r="C4688" s="360" t="s">
        <v>579</v>
      </c>
      <c r="D4688" s="342">
        <f>IF($B4688="","",COUNTIF($B$6:$B4688,$B4688))</f>
        <v>2</v>
      </c>
      <c r="E4688" s="359" t="s">
        <v>574</v>
      </c>
      <c r="F4688" s="360" t="s">
        <v>575</v>
      </c>
      <c r="G4688" s="342" t="s">
        <v>690</v>
      </c>
      <c r="H4688" s="359" t="s">
        <v>536</v>
      </c>
      <c r="I4688" s="361" t="s">
        <v>903</v>
      </c>
      <c r="J4688" s="361"/>
      <c r="K4688" s="342" t="s">
        <v>103</v>
      </c>
      <c r="L4688" s="441">
        <f>22000/(19*1000)</f>
        <v>1.1578947368421053</v>
      </c>
      <c r="M4688" s="456">
        <v>0.2</v>
      </c>
      <c r="N4688" s="461" t="str">
        <f t="shared" si="371"/>
        <v>GI</v>
      </c>
      <c r="O4688" s="345"/>
      <c r="P4688" s="359"/>
      <c r="Q4688" s="342"/>
      <c r="R4688" s="351"/>
      <c r="S4688" s="351"/>
      <c r="T4688" s="351"/>
      <c r="U4688" s="329" t="str">
        <f>IF($N4688=$N$4,IFERROR(INDEX(DanhMuc!$E$154:$E$165,MATCH(MID($B4688,4,2),DanhMuc!$B$154:$B$165,0)),""),"")</f>
        <v/>
      </c>
      <c r="V4688" s="361" t="s">
        <v>1442</v>
      </c>
      <c r="W4688" s="345"/>
      <c r="X4688" s="786"/>
      <c r="Y4688" s="1128" t="s">
        <v>3380</v>
      </c>
      <c r="Z4688" s="1128" t="s">
        <v>3381</v>
      </c>
      <c r="AA4688" s="1128" t="s">
        <v>3384</v>
      </c>
      <c r="AB4688" s="20"/>
      <c r="AC4688" s="73"/>
    </row>
    <row r="4689" spans="1:29" s="79" customFormat="1" ht="26">
      <c r="A4689" s="327">
        <f>IF(AND($B4689&lt;&gt;"",$C4689&lt;&gt;""),MAX($A$4655:$A4688)+1,"")</f>
        <v>29</v>
      </c>
      <c r="B4689" s="460" t="str">
        <f>DanhMuc!$F$159&amp;"SQ"</f>
        <v>SLSQ</v>
      </c>
      <c r="C4689" s="360" t="s">
        <v>578</v>
      </c>
      <c r="D4689" s="342">
        <f>IF($B4689="","",COUNTIF($B$6:$B4689,$B4689))</f>
        <v>1</v>
      </c>
      <c r="E4689" s="359" t="s">
        <v>573</v>
      </c>
      <c r="F4689" s="360" t="s">
        <v>585</v>
      </c>
      <c r="G4689" s="342" t="s">
        <v>690</v>
      </c>
      <c r="H4689" s="359" t="s">
        <v>536</v>
      </c>
      <c r="I4689" s="361" t="s">
        <v>925</v>
      </c>
      <c r="J4689" s="361"/>
      <c r="K4689" s="342" t="s">
        <v>100</v>
      </c>
      <c r="L4689" s="441">
        <f>22000/(19*10*1000)</f>
        <v>0.11578947368421053</v>
      </c>
      <c r="M4689" s="456">
        <v>0.2</v>
      </c>
      <c r="N4689" s="461" t="str">
        <f t="shared" si="371"/>
        <v>GI</v>
      </c>
      <c r="O4689" s="345"/>
      <c r="P4689" s="359"/>
      <c r="Q4689" s="342"/>
      <c r="R4689" s="351"/>
      <c r="S4689" s="351"/>
      <c r="T4689" s="351"/>
      <c r="U4689" s="329" t="str">
        <f>IF($N4689=$N$4,IFERROR(INDEX(DanhMuc!$E$154:$E$165,MATCH(MID($B4689,4,2),DanhMuc!$B$154:$B$165,0)),""),"")</f>
        <v/>
      </c>
      <c r="V4689" s="359"/>
      <c r="W4689" s="345"/>
      <c r="X4689" s="786"/>
      <c r="Y4689" s="1128" t="s">
        <v>3380</v>
      </c>
      <c r="Z4689" s="1128" t="s">
        <v>3381</v>
      </c>
      <c r="AA4689" s="1128" t="s">
        <v>3384</v>
      </c>
      <c r="AB4689" s="20"/>
      <c r="AC4689" s="73"/>
    </row>
    <row r="4690" spans="1:29" s="79" customFormat="1">
      <c r="A4690" s="327">
        <f>IF(AND($B4690&lt;&gt;"",$C4690&lt;&gt;""),MAX($A$4655:$A4689)+1,"")</f>
        <v>30</v>
      </c>
      <c r="B4690" s="460" t="str">
        <f>DanhMuc!$F$159&amp;"SQ"</f>
        <v>SLSQ</v>
      </c>
      <c r="C4690" s="360" t="s">
        <v>579</v>
      </c>
      <c r="D4690" s="342">
        <f>IF($B4690="","",COUNTIF($B$6:$B4690,$B4690))</f>
        <v>2</v>
      </c>
      <c r="E4690" s="359" t="s">
        <v>574</v>
      </c>
      <c r="F4690" s="360" t="s">
        <v>575</v>
      </c>
      <c r="G4690" s="342" t="s">
        <v>690</v>
      </c>
      <c r="H4690" s="359" t="s">
        <v>536</v>
      </c>
      <c r="I4690" s="361" t="s">
        <v>903</v>
      </c>
      <c r="J4690" s="361"/>
      <c r="K4690" s="342" t="s">
        <v>103</v>
      </c>
      <c r="L4690" s="441">
        <f t="shared" ref="L4690:L4692" si="372">22000/(19*1000)</f>
        <v>1.1578947368421053</v>
      </c>
      <c r="M4690" s="456">
        <v>0.2</v>
      </c>
      <c r="N4690" s="461" t="str">
        <f t="shared" si="371"/>
        <v>GI</v>
      </c>
      <c r="O4690" s="345"/>
      <c r="P4690" s="359"/>
      <c r="Q4690" s="342"/>
      <c r="R4690" s="351"/>
      <c r="S4690" s="351"/>
      <c r="T4690" s="351"/>
      <c r="U4690" s="329" t="str">
        <f>IF($N4690=$N$4,IFERROR(INDEX(DanhMuc!$E$154:$E$165,MATCH(MID($B4690,4,2),DanhMuc!$B$154:$B$165,0)),""),"")</f>
        <v/>
      </c>
      <c r="V4690" s="359"/>
      <c r="W4690" s="345"/>
      <c r="X4690" s="786"/>
      <c r="Y4690" s="1128" t="s">
        <v>3380</v>
      </c>
      <c r="Z4690" s="1128" t="s">
        <v>3381</v>
      </c>
      <c r="AA4690" s="1128" t="s">
        <v>3384</v>
      </c>
      <c r="AB4690" s="20"/>
      <c r="AC4690" s="73"/>
    </row>
    <row r="4691" spans="1:29" s="79" customFormat="1" ht="26">
      <c r="A4691" s="327">
        <f>IF(AND($B4691&lt;&gt;"",$C4691&lt;&gt;""),MAX($A$4655:$A4690)+1,"")</f>
        <v>31</v>
      </c>
      <c r="B4691" s="460" t="str">
        <f>DanhMuc!$F$159&amp;"SH"</f>
        <v>SLSH</v>
      </c>
      <c r="C4691" s="360" t="s">
        <v>578</v>
      </c>
      <c r="D4691" s="342">
        <f>IF($B4691="","",COUNTIF($B$6:$B4691,$B4691))</f>
        <v>1</v>
      </c>
      <c r="E4691" s="359" t="s">
        <v>573</v>
      </c>
      <c r="F4691" s="360" t="s">
        <v>585</v>
      </c>
      <c r="G4691" s="342" t="s">
        <v>690</v>
      </c>
      <c r="H4691" s="359" t="s">
        <v>536</v>
      </c>
      <c r="I4691" s="361" t="s">
        <v>902</v>
      </c>
      <c r="J4691" s="361"/>
      <c r="K4691" s="342" t="s">
        <v>100</v>
      </c>
      <c r="L4691" s="441">
        <f>22000/(19*10*1000)</f>
        <v>0.11578947368421053</v>
      </c>
      <c r="M4691" s="456">
        <v>0.2</v>
      </c>
      <c r="N4691" s="461" t="str">
        <f t="shared" si="371"/>
        <v>GI</v>
      </c>
      <c r="O4691" s="345"/>
      <c r="P4691" s="359"/>
      <c r="Q4691" s="342"/>
      <c r="R4691" s="351"/>
      <c r="S4691" s="351"/>
      <c r="T4691" s="351"/>
      <c r="U4691" s="329" t="str">
        <f>IF($N4691=$N$4,IFERROR(INDEX(DanhMuc!$E$154:$E$165,MATCH(MID($B4691,4,2),DanhMuc!$B$154:$B$165,0)),""),"")</f>
        <v/>
      </c>
      <c r="V4691" s="359"/>
      <c r="W4691" s="345"/>
      <c r="X4691" s="786"/>
      <c r="Y4691" s="1128" t="s">
        <v>3380</v>
      </c>
      <c r="Z4691" s="1128" t="s">
        <v>3381</v>
      </c>
      <c r="AA4691" s="1128" t="s">
        <v>3384</v>
      </c>
      <c r="AB4691" s="20"/>
      <c r="AC4691" s="73"/>
    </row>
    <row r="4692" spans="1:29" s="79" customFormat="1">
      <c r="A4692" s="327">
        <f>IF(AND($B4692&lt;&gt;"",$C4692&lt;&gt;""),MAX($A$4655:$A4691)+1,"")</f>
        <v>32</v>
      </c>
      <c r="B4692" s="460" t="str">
        <f>DanhMuc!$F$159&amp;"SH"</f>
        <v>SLSH</v>
      </c>
      <c r="C4692" s="360" t="s">
        <v>579</v>
      </c>
      <c r="D4692" s="342">
        <f>IF($B4692="","",COUNTIF($B$6:$B4692,$B4692))</f>
        <v>2</v>
      </c>
      <c r="E4692" s="359" t="s">
        <v>574</v>
      </c>
      <c r="F4692" s="360" t="s">
        <v>575</v>
      </c>
      <c r="G4692" s="342" t="s">
        <v>690</v>
      </c>
      <c r="H4692" s="359" t="s">
        <v>536</v>
      </c>
      <c r="I4692" s="361" t="s">
        <v>903</v>
      </c>
      <c r="J4692" s="361"/>
      <c r="K4692" s="342" t="s">
        <v>103</v>
      </c>
      <c r="L4692" s="441">
        <f t="shared" si="372"/>
        <v>1.1578947368421053</v>
      </c>
      <c r="M4692" s="456">
        <v>0.2</v>
      </c>
      <c r="N4692" s="461" t="str">
        <f t="shared" si="371"/>
        <v>GI</v>
      </c>
      <c r="O4692" s="345"/>
      <c r="P4692" s="359"/>
      <c r="Q4692" s="342"/>
      <c r="R4692" s="351"/>
      <c r="S4692" s="351"/>
      <c r="T4692" s="351"/>
      <c r="U4692" s="329" t="str">
        <f>IF($N4692=$N$4,IFERROR(INDEX(DanhMuc!$E$154:$E$165,MATCH(MID($B4692,4,2),DanhMuc!$B$154:$B$165,0)),""),"")</f>
        <v/>
      </c>
      <c r="V4692" s="359"/>
      <c r="W4692" s="345"/>
      <c r="X4692" s="786"/>
      <c r="Y4692" s="1128" t="s">
        <v>3380</v>
      </c>
      <c r="Z4692" s="1128" t="s">
        <v>3381</v>
      </c>
      <c r="AA4692" s="1128" t="s">
        <v>3384</v>
      </c>
      <c r="AB4692" s="20"/>
      <c r="AC4692" s="73"/>
    </row>
    <row r="4693" spans="1:29" s="79" customFormat="1">
      <c r="A4693" s="327">
        <f>IF(AND($B4693&lt;&gt;"",$C4693&lt;&gt;""),MAX($A$4655:$A4692)+1,"")</f>
        <v>33</v>
      </c>
      <c r="B4693" s="460" t="str">
        <f>DanhMuc!$F$159&amp;"DT60"</f>
        <v>SLDT60</v>
      </c>
      <c r="C4693" s="360" t="s">
        <v>579</v>
      </c>
      <c r="D4693" s="342">
        <f>IF($B4693="","",COUNTIF($B$6:$B4693,$B4693))</f>
        <v>1</v>
      </c>
      <c r="E4693" s="359" t="s">
        <v>574</v>
      </c>
      <c r="F4693" s="360" t="s">
        <v>575</v>
      </c>
      <c r="G4693" s="342" t="s">
        <v>690</v>
      </c>
      <c r="H4693" s="359" t="s">
        <v>536</v>
      </c>
      <c r="I4693" s="361" t="s">
        <v>539</v>
      </c>
      <c r="J4693" s="361"/>
      <c r="K4693" s="342" t="s">
        <v>103</v>
      </c>
      <c r="L4693" s="441">
        <f t="shared" ref="L4693:L4698" si="373">22000/(19*1000)</f>
        <v>1.1578947368421053</v>
      </c>
      <c r="M4693" s="456">
        <v>0.2</v>
      </c>
      <c r="N4693" s="461" t="str">
        <f t="shared" si="371"/>
        <v>GI</v>
      </c>
      <c r="O4693" s="345"/>
      <c r="P4693" s="359"/>
      <c r="Q4693" s="342"/>
      <c r="R4693" s="351"/>
      <c r="S4693" s="351"/>
      <c r="T4693" s="351"/>
      <c r="U4693" s="329" t="str">
        <f>IF($N4693=$N$4,IFERROR(INDEX(DanhMuc!$E$154:$E$165,MATCH(MID($B4693,4,2),DanhMuc!$B$154:$B$165,0)),""),"")</f>
        <v/>
      </c>
      <c r="V4693" s="359"/>
      <c r="W4693" s="345"/>
      <c r="X4693" s="786"/>
      <c r="Y4693" s="1128" t="s">
        <v>3380</v>
      </c>
      <c r="Z4693" s="1128" t="s">
        <v>3381</v>
      </c>
      <c r="AA4693" s="1128" t="s">
        <v>3384</v>
      </c>
      <c r="AB4693" s="20"/>
      <c r="AC4693" s="73"/>
    </row>
    <row r="4694" spans="1:29" s="79" customFormat="1">
      <c r="A4694" s="327">
        <f>IF(AND($B4694&lt;&gt;"",$C4694&lt;&gt;""),MAX($A$4655:$A4693)+1,"")</f>
        <v>34</v>
      </c>
      <c r="B4694" s="460" t="str">
        <f>DanhMuc!$F$159&amp;"DT60"</f>
        <v>SLDT60</v>
      </c>
      <c r="C4694" s="360" t="s">
        <v>580</v>
      </c>
      <c r="D4694" s="342">
        <f>IF($B4694="","",COUNTIF($B$6:$B4694,$B4694))</f>
        <v>2</v>
      </c>
      <c r="E4694" s="462" t="s">
        <v>581</v>
      </c>
      <c r="F4694" s="463" t="s">
        <v>582</v>
      </c>
      <c r="G4694" s="342" t="s">
        <v>690</v>
      </c>
      <c r="H4694" s="359" t="s">
        <v>536</v>
      </c>
      <c r="I4694" s="361" t="s">
        <v>583</v>
      </c>
      <c r="J4694" s="361"/>
      <c r="K4694" s="342" t="s">
        <v>101</v>
      </c>
      <c r="L4694" s="457">
        <f>145000/(200*1000)</f>
        <v>0.72499999999999998</v>
      </c>
      <c r="M4694" s="456">
        <v>0.1</v>
      </c>
      <c r="N4694" s="461" t="str">
        <f t="shared" si="371"/>
        <v>GI</v>
      </c>
      <c r="O4694" s="345"/>
      <c r="P4694" s="359"/>
      <c r="Q4694" s="342"/>
      <c r="R4694" s="351"/>
      <c r="S4694" s="351"/>
      <c r="T4694" s="351"/>
      <c r="U4694" s="329" t="str">
        <f>IF($N4694=$N$4,IFERROR(INDEX(DanhMuc!$E$154:$E$165,MATCH(MID($B4694,4,2),DanhMuc!$B$154:$B$165,0)),""),"")</f>
        <v/>
      </c>
      <c r="V4694" s="361" t="s">
        <v>2755</v>
      </c>
      <c r="W4694" s="345"/>
      <c r="X4694" s="786"/>
      <c r="Y4694" s="1128" t="s">
        <v>3380</v>
      </c>
      <c r="Z4694" s="1128" t="s">
        <v>3381</v>
      </c>
      <c r="AA4694" s="1128" t="s">
        <v>3384</v>
      </c>
      <c r="AB4694" s="20"/>
      <c r="AC4694" s="73"/>
    </row>
    <row r="4695" spans="1:29" s="79" customFormat="1">
      <c r="A4695" s="327">
        <f>IF(AND($B4695&lt;&gt;"",$C4695&lt;&gt;""),MAX($A$4655:$A4694)+1,"")</f>
        <v>35</v>
      </c>
      <c r="B4695" s="460" t="str">
        <f>DanhMuc!$F$159&amp;"ST60"</f>
        <v>SLST60</v>
      </c>
      <c r="C4695" s="360" t="s">
        <v>579</v>
      </c>
      <c r="D4695" s="342">
        <f>IF($B4695="","",COUNTIF($B$6:$B4695,$B4695))</f>
        <v>1</v>
      </c>
      <c r="E4695" s="359" t="s">
        <v>574</v>
      </c>
      <c r="F4695" s="360" t="s">
        <v>575</v>
      </c>
      <c r="G4695" s="342" t="s">
        <v>690</v>
      </c>
      <c r="H4695" s="359" t="s">
        <v>536</v>
      </c>
      <c r="I4695" s="361" t="s">
        <v>539</v>
      </c>
      <c r="J4695" s="361"/>
      <c r="K4695" s="342" t="s">
        <v>103</v>
      </c>
      <c r="L4695" s="441">
        <f t="shared" si="373"/>
        <v>1.1578947368421053</v>
      </c>
      <c r="M4695" s="456">
        <v>0.2</v>
      </c>
      <c r="N4695" s="461" t="str">
        <f t="shared" ref="N4695:N4729" si="374">+$N$4655</f>
        <v>GI</v>
      </c>
      <c r="O4695" s="345"/>
      <c r="P4695" s="359"/>
      <c r="Q4695" s="342"/>
      <c r="R4695" s="351"/>
      <c r="S4695" s="351"/>
      <c r="T4695" s="351"/>
      <c r="U4695" s="329" t="str">
        <f>IF($N4695=$N$4,IFERROR(INDEX(DanhMuc!$E$154:$E$165,MATCH(MID($B4695,4,2),DanhMuc!$B$154:$B$165,0)),""),"")</f>
        <v/>
      </c>
      <c r="V4695" s="359"/>
      <c r="W4695" s="345"/>
      <c r="X4695" s="786"/>
      <c r="Y4695" s="1128" t="s">
        <v>3380</v>
      </c>
      <c r="Z4695" s="1128" t="s">
        <v>3381</v>
      </c>
      <c r="AA4695" s="1128" t="s">
        <v>3384</v>
      </c>
      <c r="AB4695" s="20"/>
      <c r="AC4695" s="73"/>
    </row>
    <row r="4696" spans="1:29" s="79" customFormat="1">
      <c r="A4696" s="327">
        <f>IF(AND($B4696&lt;&gt;"",$C4696&lt;&gt;""),MAX($A$4655:$A4695)+1,"")</f>
        <v>36</v>
      </c>
      <c r="B4696" s="460" t="str">
        <f>DanhMuc!$F$159&amp;"ST60"</f>
        <v>SLST60</v>
      </c>
      <c r="C4696" s="360" t="s">
        <v>580</v>
      </c>
      <c r="D4696" s="342">
        <f>IF($B4696="","",COUNTIF($B$6:$B4696,$B4696))</f>
        <v>2</v>
      </c>
      <c r="E4696" s="462" t="s">
        <v>581</v>
      </c>
      <c r="F4696" s="463" t="s">
        <v>582</v>
      </c>
      <c r="G4696" s="342" t="s">
        <v>690</v>
      </c>
      <c r="H4696" s="359" t="s">
        <v>536</v>
      </c>
      <c r="I4696" s="361" t="s">
        <v>583</v>
      </c>
      <c r="J4696" s="361"/>
      <c r="K4696" s="342" t="s">
        <v>101</v>
      </c>
      <c r="L4696" s="457">
        <f>145000/(200*1000)</f>
        <v>0.72499999999999998</v>
      </c>
      <c r="M4696" s="456">
        <v>0.1</v>
      </c>
      <c r="N4696" s="461" t="str">
        <f t="shared" si="374"/>
        <v>GI</v>
      </c>
      <c r="O4696" s="345"/>
      <c r="P4696" s="359"/>
      <c r="Q4696" s="342"/>
      <c r="R4696" s="351"/>
      <c r="S4696" s="351"/>
      <c r="T4696" s="351"/>
      <c r="U4696" s="329" t="str">
        <f>IF($N4696=$N$4,IFERROR(INDEX(DanhMuc!$E$154:$E$165,MATCH(MID($B4696,4,2),DanhMuc!$B$154:$B$165,0)),""),"")</f>
        <v/>
      </c>
      <c r="V4696" s="361" t="s">
        <v>2755</v>
      </c>
      <c r="W4696" s="345"/>
      <c r="X4696" s="786"/>
      <c r="Y4696" s="1128" t="s">
        <v>3380</v>
      </c>
      <c r="Z4696" s="1128" t="s">
        <v>3381</v>
      </c>
      <c r="AA4696" s="1128" t="s">
        <v>3384</v>
      </c>
      <c r="AB4696" s="20"/>
      <c r="AC4696" s="73"/>
    </row>
    <row r="4697" spans="1:29" s="79" customFormat="1" ht="26">
      <c r="A4697" s="327">
        <f>IF(AND($B4697&lt;&gt;"",$C4697&lt;&gt;""),MAX($A$4655:$A4692)+1,"")</f>
        <v>33</v>
      </c>
      <c r="B4697" s="460" t="str">
        <f>DanhMuc!$F$159&amp;"VK"</f>
        <v>SLVK</v>
      </c>
      <c r="C4697" s="360" t="s">
        <v>578</v>
      </c>
      <c r="D4697" s="342">
        <f>IF($B4697="","",COUNTIF($B$6:$B4697,$B4697))</f>
        <v>1</v>
      </c>
      <c r="E4697" s="359" t="s">
        <v>573</v>
      </c>
      <c r="F4697" s="360" t="s">
        <v>585</v>
      </c>
      <c r="G4697" s="342" t="s">
        <v>690</v>
      </c>
      <c r="H4697" s="359" t="s">
        <v>536</v>
      </c>
      <c r="I4697" s="361" t="s">
        <v>926</v>
      </c>
      <c r="J4697" s="361"/>
      <c r="K4697" s="342" t="s">
        <v>100</v>
      </c>
      <c r="L4697" s="441">
        <f>22000/(19*10*1000)</f>
        <v>0.11578947368421053</v>
      </c>
      <c r="M4697" s="456">
        <v>0.2</v>
      </c>
      <c r="N4697" s="461" t="str">
        <f t="shared" si="374"/>
        <v>GI</v>
      </c>
      <c r="O4697" s="345"/>
      <c r="P4697" s="359"/>
      <c r="Q4697" s="342"/>
      <c r="R4697" s="351"/>
      <c r="S4697" s="351"/>
      <c r="T4697" s="351"/>
      <c r="U4697" s="329" t="str">
        <f>IF($N4697=$N$4,IFERROR(INDEX(DanhMuc!$E$154:$E$165,MATCH(MID($B4697,4,2),DanhMuc!$B$154:$B$165,0)),""),"")</f>
        <v/>
      </c>
      <c r="V4697" s="359"/>
      <c r="W4697" s="345"/>
      <c r="X4697" s="786"/>
      <c r="Y4697" s="1128" t="s">
        <v>3380</v>
      </c>
      <c r="Z4697" s="1128" t="s">
        <v>3381</v>
      </c>
      <c r="AA4697" s="1128" t="s">
        <v>3384</v>
      </c>
      <c r="AB4697" s="20"/>
      <c r="AC4697" s="73"/>
    </row>
    <row r="4698" spans="1:29" s="79" customFormat="1">
      <c r="A4698" s="327">
        <f>IF(AND($B4698&lt;&gt;"",$C4698&lt;&gt;""),MAX($A$4655:$A4697)+1,"")</f>
        <v>37</v>
      </c>
      <c r="B4698" s="460" t="str">
        <f>DanhMuc!$F$159&amp;"VK"</f>
        <v>SLVK</v>
      </c>
      <c r="C4698" s="360" t="s">
        <v>579</v>
      </c>
      <c r="D4698" s="342">
        <f>IF($B4698="","",COUNTIF($B$6:$B4698,$B4698))</f>
        <v>2</v>
      </c>
      <c r="E4698" s="359" t="s">
        <v>574</v>
      </c>
      <c r="F4698" s="360" t="s">
        <v>575</v>
      </c>
      <c r="G4698" s="342" t="s">
        <v>690</v>
      </c>
      <c r="H4698" s="359" t="s">
        <v>536</v>
      </c>
      <c r="I4698" s="361" t="s">
        <v>903</v>
      </c>
      <c r="J4698" s="361"/>
      <c r="K4698" s="342" t="s">
        <v>103</v>
      </c>
      <c r="L4698" s="441">
        <f t="shared" si="373"/>
        <v>1.1578947368421053</v>
      </c>
      <c r="M4698" s="456">
        <v>0.2</v>
      </c>
      <c r="N4698" s="461" t="str">
        <f t="shared" si="374"/>
        <v>GI</v>
      </c>
      <c r="O4698" s="345"/>
      <c r="P4698" s="359"/>
      <c r="Q4698" s="342"/>
      <c r="R4698" s="351"/>
      <c r="S4698" s="351"/>
      <c r="T4698" s="351"/>
      <c r="U4698" s="329" t="str">
        <f>IF($N4698=$N$4,IFERROR(INDEX(DanhMuc!$E$154:$E$165,MATCH(MID($B4698,4,2),DanhMuc!$B$154:$B$165,0)),""),"")</f>
        <v/>
      </c>
      <c r="V4698" s="359"/>
      <c r="W4698" s="345"/>
      <c r="X4698" s="786"/>
      <c r="Y4698" s="1128" t="s">
        <v>3380</v>
      </c>
      <c r="Z4698" s="1128" t="s">
        <v>3381</v>
      </c>
      <c r="AA4698" s="1128" t="s">
        <v>3384</v>
      </c>
      <c r="AB4698" s="20"/>
      <c r="AC4698" s="73"/>
    </row>
    <row r="4699" spans="1:29" ht="25">
      <c r="A4699" s="327">
        <f>IF(AND($B4699&lt;&gt;"",$C4699&lt;&gt;""),MAX($A$4655:$A4696)+1,"")</f>
        <v>37</v>
      </c>
      <c r="B4699" s="464" t="str">
        <f>DanhMuc!$F$158&amp;"DQ"</f>
        <v>RHDQ</v>
      </c>
      <c r="C4699" s="362" t="s">
        <v>892</v>
      </c>
      <c r="D4699" s="327">
        <f>IF($B4699="","",COUNTIF($B$6:$B4699,$B4699))</f>
        <v>1</v>
      </c>
      <c r="E4699" s="361">
        <v>221866</v>
      </c>
      <c r="F4699" s="362" t="s">
        <v>892</v>
      </c>
      <c r="G4699" s="327" t="s">
        <v>690</v>
      </c>
      <c r="H4699" s="361" t="s">
        <v>536</v>
      </c>
      <c r="I4699" s="361" t="s">
        <v>559</v>
      </c>
      <c r="J4699" s="361"/>
      <c r="K4699" s="327" t="s">
        <v>100</v>
      </c>
      <c r="L4699" s="465">
        <v>5.2</v>
      </c>
      <c r="M4699" s="456">
        <v>0.2</v>
      </c>
      <c r="N4699" s="371" t="str">
        <f t="shared" si="374"/>
        <v>GI</v>
      </c>
      <c r="O4699" s="365"/>
      <c r="P4699" s="361"/>
      <c r="Q4699" s="327"/>
      <c r="R4699" s="351"/>
      <c r="S4699" s="351"/>
      <c r="T4699" s="351"/>
      <c r="U4699" s="329" t="str">
        <f>IF($N4699=$N$4,IFERROR(INDEX(DanhMuc!$E$154:$E$165,MATCH(MID($B4699,4,2),DanhMuc!$B$154:$B$165,0)),""),"")</f>
        <v/>
      </c>
      <c r="V4699" s="361"/>
      <c r="W4699" s="365"/>
      <c r="X4699" s="786"/>
      <c r="Y4699" s="1128" t="s">
        <v>3380</v>
      </c>
      <c r="Z4699" s="1128" t="s">
        <v>3381</v>
      </c>
      <c r="AA4699" s="1128" t="s">
        <v>3384</v>
      </c>
      <c r="AB4699" s="20"/>
      <c r="AC4699" s="73"/>
    </row>
    <row r="4700" spans="1:29">
      <c r="A4700" s="327">
        <f>IF(AND($B4700&lt;&gt;"",$C4700&lt;&gt;""),MAX($A$4655:$A4699)+1,"")</f>
        <v>38</v>
      </c>
      <c r="B4700" s="464" t="str">
        <f>DanhMuc!$F$158&amp;"DQ"</f>
        <v>RHDQ</v>
      </c>
      <c r="C4700" s="362" t="s">
        <v>893</v>
      </c>
      <c r="D4700" s="327">
        <f>IF($B4700="","",COUNTIF($B$6:$B4700,$B4700))</f>
        <v>2</v>
      </c>
      <c r="E4700" s="361" t="s">
        <v>584</v>
      </c>
      <c r="F4700" s="362" t="s">
        <v>586</v>
      </c>
      <c r="G4700" s="327" t="s">
        <v>690</v>
      </c>
      <c r="H4700" s="361" t="s">
        <v>536</v>
      </c>
      <c r="I4700" s="361" t="s">
        <v>539</v>
      </c>
      <c r="J4700" s="361"/>
      <c r="K4700" s="327" t="s">
        <v>103</v>
      </c>
      <c r="L4700" s="466">
        <v>0</v>
      </c>
      <c r="M4700" s="456">
        <v>0.2</v>
      </c>
      <c r="N4700" s="371" t="str">
        <f t="shared" si="374"/>
        <v>GI</v>
      </c>
      <c r="O4700" s="365"/>
      <c r="P4700" s="361"/>
      <c r="Q4700" s="327"/>
      <c r="R4700" s="351"/>
      <c r="S4700" s="351"/>
      <c r="T4700" s="351"/>
      <c r="U4700" s="329" t="str">
        <f>IF($N4700=$N$4,IFERROR(INDEX(DanhMuc!$E$154:$E$165,MATCH(MID($B4700,4,2),DanhMuc!$B$154:$B$165,0)),""),"")</f>
        <v/>
      </c>
      <c r="V4700" s="361"/>
      <c r="W4700" s="365"/>
      <c r="X4700" s="786"/>
      <c r="Y4700" s="1128" t="s">
        <v>3380</v>
      </c>
      <c r="Z4700" s="1128" t="s">
        <v>3381</v>
      </c>
      <c r="AA4700" s="1128" t="s">
        <v>3384</v>
      </c>
      <c r="AB4700" s="20"/>
      <c r="AC4700" s="73"/>
    </row>
    <row r="4701" spans="1:29" ht="25">
      <c r="A4701" s="327">
        <f>IF(AND($B4701&lt;&gt;"",$C4701&lt;&gt;""),MAX($A$4655:$A4700)+1,"")</f>
        <v>39</v>
      </c>
      <c r="B4701" s="464" t="str">
        <f>DanhMuc!$F$158&amp;"SQ"</f>
        <v>RHSQ</v>
      </c>
      <c r="C4701" s="362" t="s">
        <v>892</v>
      </c>
      <c r="D4701" s="327">
        <f>IF($B4701="","",COUNTIF($B$6:$B4701,$B4701))</f>
        <v>1</v>
      </c>
      <c r="E4701" s="361">
        <v>221866</v>
      </c>
      <c r="F4701" s="362" t="s">
        <v>892</v>
      </c>
      <c r="G4701" s="327" t="s">
        <v>690</v>
      </c>
      <c r="H4701" s="361" t="s">
        <v>536</v>
      </c>
      <c r="I4701" s="361" t="s">
        <v>925</v>
      </c>
      <c r="J4701" s="361"/>
      <c r="K4701" s="327" t="s">
        <v>100</v>
      </c>
      <c r="L4701" s="465">
        <v>5.2</v>
      </c>
      <c r="M4701" s="456">
        <v>0.2</v>
      </c>
      <c r="N4701" s="371" t="str">
        <f t="shared" si="374"/>
        <v>GI</v>
      </c>
      <c r="O4701" s="365"/>
      <c r="P4701" s="361"/>
      <c r="Q4701" s="327"/>
      <c r="R4701" s="351"/>
      <c r="S4701" s="351"/>
      <c r="T4701" s="351"/>
      <c r="U4701" s="329" t="str">
        <f>IF($N4701=$N$4,IFERROR(INDEX(DanhMuc!$E$154:$E$165,MATCH(MID($B4701,4,2),DanhMuc!$B$154:$B$165,0)),""),"")</f>
        <v/>
      </c>
      <c r="V4701" s="361"/>
      <c r="W4701" s="365"/>
      <c r="X4701" s="786"/>
      <c r="Y4701" s="1128" t="s">
        <v>3380</v>
      </c>
      <c r="Z4701" s="1128" t="s">
        <v>3381</v>
      </c>
      <c r="AA4701" s="1128" t="s">
        <v>3384</v>
      </c>
      <c r="AB4701" s="20"/>
      <c r="AC4701" s="73"/>
    </row>
    <row r="4702" spans="1:29">
      <c r="A4702" s="327">
        <f>IF(AND($B4702&lt;&gt;"",$C4702&lt;&gt;""),MAX($A$4655:$A4701)+1,"")</f>
        <v>40</v>
      </c>
      <c r="B4702" s="464" t="str">
        <f>DanhMuc!$F$158&amp;"SQ"</f>
        <v>RHSQ</v>
      </c>
      <c r="C4702" s="362" t="s">
        <v>893</v>
      </c>
      <c r="D4702" s="327">
        <f>IF($B4702="","",COUNTIF($B$6:$B4702,$B4702))</f>
        <v>2</v>
      </c>
      <c r="E4702" s="361" t="s">
        <v>584</v>
      </c>
      <c r="F4702" s="362" t="s">
        <v>586</v>
      </c>
      <c r="G4702" s="327" t="s">
        <v>690</v>
      </c>
      <c r="H4702" s="361" t="s">
        <v>536</v>
      </c>
      <c r="I4702" s="361" t="s">
        <v>903</v>
      </c>
      <c r="J4702" s="361"/>
      <c r="K4702" s="327" t="s">
        <v>103</v>
      </c>
      <c r="L4702" s="466">
        <v>0</v>
      </c>
      <c r="M4702" s="456">
        <v>0.2</v>
      </c>
      <c r="N4702" s="371" t="str">
        <f t="shared" si="374"/>
        <v>GI</v>
      </c>
      <c r="O4702" s="365"/>
      <c r="P4702" s="361"/>
      <c r="Q4702" s="327"/>
      <c r="R4702" s="351"/>
      <c r="S4702" s="351"/>
      <c r="T4702" s="351"/>
      <c r="U4702" s="329" t="str">
        <f>IF($N4702=$N$4,IFERROR(INDEX(DanhMuc!$E$154:$E$165,MATCH(MID($B4702,4,2),DanhMuc!$B$154:$B$165,0)),""),"")</f>
        <v/>
      </c>
      <c r="V4702" s="361"/>
      <c r="W4702" s="365"/>
      <c r="X4702" s="786"/>
      <c r="Y4702" s="1128" t="s">
        <v>3380</v>
      </c>
      <c r="Z4702" s="1128" t="s">
        <v>3381</v>
      </c>
      <c r="AA4702" s="1128" t="s">
        <v>3384</v>
      </c>
      <c r="AB4702" s="20"/>
      <c r="AC4702" s="73"/>
    </row>
    <row r="4703" spans="1:29" ht="25">
      <c r="A4703" s="327">
        <f>IF(AND($B4703&lt;&gt;"",$C4703&lt;&gt;""),MAX($A$4655:$A4702)+1,"")</f>
        <v>41</v>
      </c>
      <c r="B4703" s="464" t="str">
        <f>DanhMuc!$F$158&amp;"SH"</f>
        <v>RHSH</v>
      </c>
      <c r="C4703" s="362" t="s">
        <v>892</v>
      </c>
      <c r="D4703" s="327">
        <f>IF($B4703="","",COUNTIF($B$6:$B4703,$B4703))</f>
        <v>1</v>
      </c>
      <c r="E4703" s="361">
        <v>221866</v>
      </c>
      <c r="F4703" s="362" t="s">
        <v>892</v>
      </c>
      <c r="G4703" s="327" t="s">
        <v>690</v>
      </c>
      <c r="H4703" s="361" t="s">
        <v>536</v>
      </c>
      <c r="I4703" s="361" t="s">
        <v>902</v>
      </c>
      <c r="J4703" s="361"/>
      <c r="K4703" s="327" t="s">
        <v>100</v>
      </c>
      <c r="L4703" s="465">
        <v>5.2</v>
      </c>
      <c r="M4703" s="456">
        <v>0.2</v>
      </c>
      <c r="N4703" s="371" t="str">
        <f t="shared" si="374"/>
        <v>GI</v>
      </c>
      <c r="O4703" s="365"/>
      <c r="P4703" s="361"/>
      <c r="Q4703" s="327"/>
      <c r="R4703" s="351"/>
      <c r="S4703" s="351"/>
      <c r="T4703" s="351"/>
      <c r="U4703" s="329" t="str">
        <f>IF($N4703=$N$4,IFERROR(INDEX(DanhMuc!$E$154:$E$165,MATCH(MID($B4703,4,2),DanhMuc!$B$154:$B$165,0)),""),"")</f>
        <v/>
      </c>
      <c r="V4703" s="361"/>
      <c r="W4703" s="365"/>
      <c r="X4703" s="786"/>
      <c r="Y4703" s="1128" t="s">
        <v>3380</v>
      </c>
      <c r="Z4703" s="1128" t="s">
        <v>3381</v>
      </c>
      <c r="AA4703" s="1128" t="s">
        <v>3384</v>
      </c>
      <c r="AB4703" s="20"/>
      <c r="AC4703" s="73"/>
    </row>
    <row r="4704" spans="1:29">
      <c r="A4704" s="327">
        <f>IF(AND($B4704&lt;&gt;"",$C4704&lt;&gt;""),MAX($A$4655:$A4703)+1,"")</f>
        <v>42</v>
      </c>
      <c r="B4704" s="464" t="str">
        <f>DanhMuc!$F$158&amp;"SH"</f>
        <v>RHSH</v>
      </c>
      <c r="C4704" s="362" t="s">
        <v>893</v>
      </c>
      <c r="D4704" s="327">
        <f>IF($B4704="","",COUNTIF($B$6:$B4704,$B4704))</f>
        <v>2</v>
      </c>
      <c r="E4704" s="361" t="s">
        <v>584</v>
      </c>
      <c r="F4704" s="362" t="s">
        <v>586</v>
      </c>
      <c r="G4704" s="327" t="s">
        <v>690</v>
      </c>
      <c r="H4704" s="361" t="s">
        <v>536</v>
      </c>
      <c r="I4704" s="361" t="s">
        <v>903</v>
      </c>
      <c r="J4704" s="361"/>
      <c r="K4704" s="327" t="s">
        <v>103</v>
      </c>
      <c r="L4704" s="466">
        <v>0</v>
      </c>
      <c r="M4704" s="456">
        <v>0.2</v>
      </c>
      <c r="N4704" s="371" t="str">
        <f t="shared" si="374"/>
        <v>GI</v>
      </c>
      <c r="O4704" s="365"/>
      <c r="P4704" s="361"/>
      <c r="Q4704" s="327"/>
      <c r="R4704" s="351"/>
      <c r="S4704" s="351"/>
      <c r="T4704" s="351"/>
      <c r="U4704" s="329" t="str">
        <f>IF($N4704=$N$4,IFERROR(INDEX(DanhMuc!$E$154:$E$165,MATCH(MID($B4704,4,2),DanhMuc!$B$154:$B$165,0)),""),"")</f>
        <v/>
      </c>
      <c r="V4704" s="361"/>
      <c r="W4704" s="365"/>
      <c r="X4704" s="786"/>
      <c r="Y4704" s="1128" t="s">
        <v>3380</v>
      </c>
      <c r="Z4704" s="1128" t="s">
        <v>3381</v>
      </c>
      <c r="AA4704" s="1128" t="s">
        <v>3384</v>
      </c>
      <c r="AB4704" s="20"/>
      <c r="AC4704" s="73"/>
    </row>
    <row r="4705" spans="1:29" ht="25">
      <c r="A4705" s="327">
        <f>IF(AND($B4705&lt;&gt;"",$C4705&lt;&gt;""),MAX($A$4655:$A4704)+1,"")</f>
        <v>43</v>
      </c>
      <c r="B4705" s="464" t="str">
        <f>DanhMuc!$F$158&amp;"DX"</f>
        <v>RHDX</v>
      </c>
      <c r="C4705" s="362" t="s">
        <v>892</v>
      </c>
      <c r="D4705" s="327">
        <f>IF($B4705="","",COUNTIF($B$6:$B4705,$B4705))</f>
        <v>1</v>
      </c>
      <c r="E4705" s="361">
        <v>221866</v>
      </c>
      <c r="F4705" s="362" t="s">
        <v>892</v>
      </c>
      <c r="G4705" s="327" t="s">
        <v>690</v>
      </c>
      <c r="H4705" s="361" t="s">
        <v>536</v>
      </c>
      <c r="I4705" s="361" t="s">
        <v>559</v>
      </c>
      <c r="J4705" s="361"/>
      <c r="K4705" s="327" t="s">
        <v>100</v>
      </c>
      <c r="L4705" s="465">
        <v>5.2</v>
      </c>
      <c r="M4705" s="456">
        <v>0.2</v>
      </c>
      <c r="N4705" s="371" t="str">
        <f t="shared" si="374"/>
        <v>GI</v>
      </c>
      <c r="O4705" s="365"/>
      <c r="P4705" s="361"/>
      <c r="Q4705" s="327"/>
      <c r="R4705" s="351"/>
      <c r="S4705" s="351"/>
      <c r="T4705" s="351"/>
      <c r="U4705" s="329" t="str">
        <f>IF($N4705=$N$4,IFERROR(INDEX(DanhMuc!$E$154:$E$165,MATCH(MID($B4705,4,2),DanhMuc!$B$154:$B$165,0)),""),"")</f>
        <v/>
      </c>
      <c r="V4705" s="361"/>
      <c r="W4705" s="365"/>
      <c r="X4705" s="786"/>
      <c r="Y4705" s="1128" t="s">
        <v>3380</v>
      </c>
      <c r="Z4705" s="1128" t="s">
        <v>3381</v>
      </c>
      <c r="AA4705" s="1128" t="s">
        <v>3384</v>
      </c>
      <c r="AB4705" s="20"/>
      <c r="AC4705" s="73"/>
    </row>
    <row r="4706" spans="1:29" ht="25">
      <c r="A4706" s="327">
        <f>IF(AND($B4706&lt;&gt;"",$C4706&lt;&gt;""),MAX($A$4655:$A4705)+1,"")</f>
        <v>44</v>
      </c>
      <c r="B4706" s="464" t="str">
        <f>DanhMuc!$F$158&amp;"DX"</f>
        <v>RHDX</v>
      </c>
      <c r="C4706" s="362" t="s">
        <v>1439</v>
      </c>
      <c r="D4706" s="327">
        <f>IF($B4706="","",COUNTIF($B$6:$B4706,$B4706))</f>
        <v>2</v>
      </c>
      <c r="E4706" s="361" t="s">
        <v>584</v>
      </c>
      <c r="F4706" s="362" t="s">
        <v>586</v>
      </c>
      <c r="G4706" s="327" t="s">
        <v>690</v>
      </c>
      <c r="H4706" s="361" t="s">
        <v>536</v>
      </c>
      <c r="I4706" s="361" t="s">
        <v>539</v>
      </c>
      <c r="J4706" s="361"/>
      <c r="K4706" s="327" t="s">
        <v>103</v>
      </c>
      <c r="L4706" s="466">
        <v>0</v>
      </c>
      <c r="M4706" s="456">
        <v>0.2</v>
      </c>
      <c r="N4706" s="371" t="str">
        <f t="shared" si="374"/>
        <v>GI</v>
      </c>
      <c r="O4706" s="365"/>
      <c r="P4706" s="361"/>
      <c r="Q4706" s="327"/>
      <c r="R4706" s="351"/>
      <c r="S4706" s="351"/>
      <c r="T4706" s="351"/>
      <c r="U4706" s="329" t="str">
        <f>IF($N4706=$N$4,IFERROR(INDEX(DanhMuc!$E$154:$E$165,MATCH(MID($B4706,4,2),DanhMuc!$B$154:$B$165,0)),""),"")</f>
        <v/>
      </c>
      <c r="V4706" s="361"/>
      <c r="W4706" s="365"/>
      <c r="X4706" s="786"/>
      <c r="Y4706" s="1128" t="s">
        <v>3380</v>
      </c>
      <c r="Z4706" s="1128" t="s">
        <v>3381</v>
      </c>
      <c r="AA4706" s="1128" t="s">
        <v>3384</v>
      </c>
      <c r="AB4706" s="20"/>
      <c r="AC4706" s="73"/>
    </row>
    <row r="4707" spans="1:29">
      <c r="A4707" s="327" t="str">
        <f>IF(AND($B4707&lt;&gt;"",$C4707&lt;&gt;""),MAX($A$4655:$A4706)+1,"")</f>
        <v/>
      </c>
      <c r="B4707" s="464" t="str">
        <f>DanhMuc!$F$158&amp;"DT54"</f>
        <v>RHDT54</v>
      </c>
      <c r="C4707" s="362"/>
      <c r="D4707" s="327">
        <f>IF($B4707="","",COUNTIF($B$6:$B4707,$B4707))</f>
        <v>1</v>
      </c>
      <c r="E4707" s="361" t="s">
        <v>584</v>
      </c>
      <c r="F4707" s="362" t="s">
        <v>586</v>
      </c>
      <c r="G4707" s="327" t="s">
        <v>690</v>
      </c>
      <c r="H4707" s="361" t="s">
        <v>536</v>
      </c>
      <c r="I4707" s="361" t="s">
        <v>539</v>
      </c>
      <c r="J4707" s="361"/>
      <c r="K4707" s="327" t="s">
        <v>103</v>
      </c>
      <c r="L4707" s="466">
        <v>0</v>
      </c>
      <c r="M4707" s="456">
        <v>0.2</v>
      </c>
      <c r="N4707" s="371" t="str">
        <f t="shared" si="374"/>
        <v>GI</v>
      </c>
      <c r="O4707" s="365"/>
      <c r="P4707" s="361"/>
      <c r="Q4707" s="327"/>
      <c r="R4707" s="351"/>
      <c r="S4707" s="351"/>
      <c r="T4707" s="351"/>
      <c r="U4707" s="329" t="str">
        <f>IF($N4707=$N$4,IFERROR(INDEX(DanhMuc!$E$154:$E$165,MATCH(MID($B4707,4,2),DanhMuc!$B$154:$B$165,0)),""),"")</f>
        <v/>
      </c>
      <c r="V4707" s="361"/>
      <c r="W4707" s="365"/>
      <c r="X4707" s="786"/>
      <c r="Y4707" s="1128" t="s">
        <v>3380</v>
      </c>
      <c r="Z4707" s="1128" t="s">
        <v>3381</v>
      </c>
      <c r="AA4707" s="1128" t="s">
        <v>3384</v>
      </c>
      <c r="AB4707" s="20"/>
      <c r="AC4707" s="73"/>
    </row>
    <row r="4708" spans="1:29">
      <c r="A4708" s="327" t="str">
        <f>IF(AND($B4708&lt;&gt;"",$C4708&lt;&gt;""),MAX($A$4655:$A4707)+1,"")</f>
        <v/>
      </c>
      <c r="B4708" s="464" t="str">
        <f>DanhMuc!$F$158&amp;"DT54"</f>
        <v>RHDT54</v>
      </c>
      <c r="C4708" s="362"/>
      <c r="D4708" s="327">
        <f>IF($B4708="","",COUNTIF($B$6:$B4708,$B4708))</f>
        <v>2</v>
      </c>
      <c r="E4708" s="462">
        <v>221845</v>
      </c>
      <c r="F4708" s="463" t="s">
        <v>1440</v>
      </c>
      <c r="G4708" s="327" t="s">
        <v>690</v>
      </c>
      <c r="H4708" s="361" t="s">
        <v>536</v>
      </c>
      <c r="I4708" s="361" t="s">
        <v>583</v>
      </c>
      <c r="J4708" s="361"/>
      <c r="K4708" s="327" t="s">
        <v>101</v>
      </c>
      <c r="L4708" s="465">
        <v>4</v>
      </c>
      <c r="M4708" s="456">
        <v>0.1</v>
      </c>
      <c r="N4708" s="371" t="str">
        <f t="shared" si="374"/>
        <v>GI</v>
      </c>
      <c r="O4708" s="365"/>
      <c r="P4708" s="361"/>
      <c r="Q4708" s="327"/>
      <c r="R4708" s="351"/>
      <c r="S4708" s="351"/>
      <c r="T4708" s="351"/>
      <c r="U4708" s="329" t="str">
        <f>IF($N4708=$N$4,IFERROR(INDEX(DanhMuc!$E$154:$E$165,MATCH(MID($B4708,4,2),DanhMuc!$B$154:$B$165,0)),""),"")</f>
        <v/>
      </c>
      <c r="V4708" s="361"/>
      <c r="W4708" s="365"/>
      <c r="X4708" s="786"/>
      <c r="Y4708" s="1128" t="s">
        <v>3380</v>
      </c>
      <c r="Z4708" s="1128" t="s">
        <v>3381</v>
      </c>
      <c r="AA4708" s="1128" t="s">
        <v>3384</v>
      </c>
      <c r="AB4708" s="20"/>
      <c r="AC4708" s="73"/>
    </row>
    <row r="4709" spans="1:29">
      <c r="A4709" s="327" t="str">
        <f>IF(AND($B4709&lt;&gt;"",$C4709&lt;&gt;""),MAX($A$4655:$A4708)+1,"")</f>
        <v/>
      </c>
      <c r="B4709" s="464" t="str">
        <f>DanhMuc!$F$158&amp;"ST54"</f>
        <v>RHST54</v>
      </c>
      <c r="C4709" s="362"/>
      <c r="D4709" s="327">
        <f>IF($B4709="","",COUNTIF($B$6:$B4709,$B4709))</f>
        <v>1</v>
      </c>
      <c r="E4709" s="361" t="s">
        <v>584</v>
      </c>
      <c r="F4709" s="362" t="s">
        <v>586</v>
      </c>
      <c r="G4709" s="327" t="s">
        <v>690</v>
      </c>
      <c r="H4709" s="361" t="s">
        <v>536</v>
      </c>
      <c r="I4709" s="361" t="s">
        <v>539</v>
      </c>
      <c r="J4709" s="361"/>
      <c r="K4709" s="327" t="s">
        <v>103</v>
      </c>
      <c r="L4709" s="466">
        <v>0</v>
      </c>
      <c r="M4709" s="456">
        <v>0.2</v>
      </c>
      <c r="N4709" s="371" t="str">
        <f t="shared" si="374"/>
        <v>GI</v>
      </c>
      <c r="O4709" s="365"/>
      <c r="P4709" s="361"/>
      <c r="Q4709" s="327"/>
      <c r="R4709" s="351"/>
      <c r="S4709" s="351"/>
      <c r="T4709" s="351"/>
      <c r="U4709" s="329" t="str">
        <f>IF($N4709=$N$4,IFERROR(INDEX(DanhMuc!$E$154:$E$165,MATCH(MID($B4709,4,2),DanhMuc!$B$154:$B$165,0)),""),"")</f>
        <v/>
      </c>
      <c r="V4709" s="361"/>
      <c r="W4709" s="365"/>
      <c r="X4709" s="786"/>
      <c r="Y4709" s="1128" t="s">
        <v>3380</v>
      </c>
      <c r="Z4709" s="1128" t="s">
        <v>3381</v>
      </c>
      <c r="AA4709" s="1128" t="s">
        <v>3384</v>
      </c>
      <c r="AB4709" s="20"/>
      <c r="AC4709" s="73"/>
    </row>
    <row r="4710" spans="1:29">
      <c r="A4710" s="327" t="str">
        <f>IF(AND($B4710&lt;&gt;"",$C4710&lt;&gt;""),MAX($A$4655:$A4709)+1,"")</f>
        <v/>
      </c>
      <c r="B4710" s="464" t="str">
        <f>DanhMuc!$F$158&amp;"ST54"</f>
        <v>RHST54</v>
      </c>
      <c r="C4710" s="362"/>
      <c r="D4710" s="327">
        <f>IF($B4710="","",COUNTIF($B$6:$B4710,$B4710))</f>
        <v>2</v>
      </c>
      <c r="E4710" s="462">
        <v>221845</v>
      </c>
      <c r="F4710" s="463" t="s">
        <v>1440</v>
      </c>
      <c r="G4710" s="327" t="s">
        <v>690</v>
      </c>
      <c r="H4710" s="361" t="s">
        <v>536</v>
      </c>
      <c r="I4710" s="361" t="s">
        <v>583</v>
      </c>
      <c r="J4710" s="361"/>
      <c r="K4710" s="327" t="s">
        <v>101</v>
      </c>
      <c r="L4710" s="465">
        <v>4</v>
      </c>
      <c r="M4710" s="456">
        <v>0.1</v>
      </c>
      <c r="N4710" s="371" t="str">
        <f t="shared" si="374"/>
        <v>GI</v>
      </c>
      <c r="O4710" s="365"/>
      <c r="P4710" s="361"/>
      <c r="Q4710" s="327"/>
      <c r="R4710" s="351"/>
      <c r="S4710" s="351"/>
      <c r="T4710" s="351"/>
      <c r="U4710" s="329" t="str">
        <f>IF($N4710=$N$4,IFERROR(INDEX(DanhMuc!$E$154:$E$165,MATCH(MID($B4710,4,2),DanhMuc!$B$154:$B$165,0)),""),"")</f>
        <v/>
      </c>
      <c r="V4710" s="361"/>
      <c r="W4710" s="365"/>
      <c r="X4710" s="786"/>
      <c r="Y4710" s="1128" t="s">
        <v>3380</v>
      </c>
      <c r="Z4710" s="1128" t="s">
        <v>3381</v>
      </c>
      <c r="AA4710" s="1128" t="s">
        <v>3384</v>
      </c>
      <c r="AB4710" s="20"/>
      <c r="AC4710" s="73"/>
    </row>
    <row r="4711" spans="1:29">
      <c r="A4711" s="327">
        <f>IF(AND($B4711&lt;&gt;"",$C4711&lt;&gt;""),MAX($A$4655:$A4710)+1,"")</f>
        <v>45</v>
      </c>
      <c r="B4711" s="464" t="str">
        <f>DanhMuc!$F$158&amp;"VK"</f>
        <v>RHVK</v>
      </c>
      <c r="C4711" s="362" t="s">
        <v>893</v>
      </c>
      <c r="D4711" s="327">
        <f>IF($B4711="","",COUNTIF($B$6:$B4711,$B4711))</f>
        <v>1</v>
      </c>
      <c r="E4711" s="361" t="s">
        <v>584</v>
      </c>
      <c r="F4711" s="362" t="s">
        <v>586</v>
      </c>
      <c r="G4711" s="327" t="s">
        <v>690</v>
      </c>
      <c r="H4711" s="361" t="s">
        <v>536</v>
      </c>
      <c r="I4711" s="361" t="s">
        <v>539</v>
      </c>
      <c r="J4711" s="361"/>
      <c r="K4711" s="327" t="s">
        <v>103</v>
      </c>
      <c r="L4711" s="465">
        <v>0</v>
      </c>
      <c r="M4711" s="456">
        <v>0.2</v>
      </c>
      <c r="N4711" s="371" t="str">
        <f t="shared" si="374"/>
        <v>GI</v>
      </c>
      <c r="O4711" s="365"/>
      <c r="P4711" s="361"/>
      <c r="Q4711" s="327"/>
      <c r="R4711" s="351"/>
      <c r="S4711" s="351"/>
      <c r="T4711" s="351"/>
      <c r="U4711" s="329" t="str">
        <f>IF($N4711=$N$4,IFERROR(INDEX(DanhMuc!$E$154:$E$165,MATCH(MID($B4711,4,2),DanhMuc!$B$154:$B$165,0)),""),"")</f>
        <v/>
      </c>
      <c r="V4711" s="361"/>
      <c r="W4711" s="365"/>
      <c r="X4711" s="786"/>
      <c r="Y4711" s="1128" t="s">
        <v>3380</v>
      </c>
      <c r="Z4711" s="1128" t="s">
        <v>3381</v>
      </c>
      <c r="AA4711" s="1128" t="s">
        <v>3384</v>
      </c>
      <c r="AB4711" s="20"/>
      <c r="AC4711" s="73"/>
    </row>
    <row r="4712" spans="1:29" s="261" customFormat="1">
      <c r="A4712" s="327" t="str">
        <f>IF(AND($B4712&lt;&gt;"",$C4712&lt;&gt;""),MAX($A$4655:$A4710)+1,"")</f>
        <v/>
      </c>
      <c r="B4712" s="346"/>
      <c r="C4712" s="346" t="s">
        <v>584</v>
      </c>
      <c r="D4712" s="347" t="str">
        <f>IF($B4712="","",COUNTIF($B$6:$B4712,$B4712))</f>
        <v/>
      </c>
      <c r="E4712" s="345">
        <v>220162</v>
      </c>
      <c r="F4712" s="346" t="s">
        <v>882</v>
      </c>
      <c r="G4712" s="347" t="s">
        <v>690</v>
      </c>
      <c r="H4712" s="345"/>
      <c r="I4712" s="345"/>
      <c r="J4712" s="345"/>
      <c r="K4712" s="347"/>
      <c r="L4712" s="465">
        <v>7.5</v>
      </c>
      <c r="M4712" s="467">
        <v>0.2</v>
      </c>
      <c r="N4712" s="468" t="str">
        <f t="shared" si="374"/>
        <v>GI</v>
      </c>
      <c r="O4712" s="345"/>
      <c r="P4712" s="345"/>
      <c r="Q4712" s="347"/>
      <c r="R4712" s="351"/>
      <c r="S4712" s="351"/>
      <c r="T4712" s="351"/>
      <c r="U4712" s="329" t="str">
        <f>IF($N4712=$N$4,IFERROR(INDEX(DanhMuc!$E$154:$E$165,MATCH(MID($B4712,4,2),DanhMuc!$B$154:$B$165,0)),""),"")</f>
        <v/>
      </c>
      <c r="V4712" s="345"/>
      <c r="W4712" s="345"/>
      <c r="X4712" s="786"/>
      <c r="Y4712" s="1128" t="s">
        <v>3380</v>
      </c>
      <c r="Z4712" s="1128" t="s">
        <v>3381</v>
      </c>
      <c r="AA4712" s="1128" t="s">
        <v>3384</v>
      </c>
      <c r="AB4712" s="20"/>
      <c r="AC4712" s="73"/>
    </row>
    <row r="4713" spans="1:29" s="261" customFormat="1">
      <c r="A4713" s="327" t="str">
        <f>IF(AND($B4713&lt;&gt;"",$C4713&lt;&gt;""),MAX($A$4655:$A4712)+1,"")</f>
        <v/>
      </c>
      <c r="B4713" s="346"/>
      <c r="C4713" s="346" t="s">
        <v>584</v>
      </c>
      <c r="D4713" s="347" t="str">
        <f>IF($B4713="","",COUNTIF($B$6:$B4713,$B4713))</f>
        <v/>
      </c>
      <c r="E4713" s="345">
        <v>229304</v>
      </c>
      <c r="F4713" s="346" t="s">
        <v>881</v>
      </c>
      <c r="G4713" s="347" t="s">
        <v>690</v>
      </c>
      <c r="H4713" s="345"/>
      <c r="I4713" s="345"/>
      <c r="J4713" s="345"/>
      <c r="K4713" s="347"/>
      <c r="L4713" s="465">
        <v>8.6</v>
      </c>
      <c r="M4713" s="467">
        <v>0.2</v>
      </c>
      <c r="N4713" s="468" t="str">
        <f t="shared" si="374"/>
        <v>GI</v>
      </c>
      <c r="O4713" s="345"/>
      <c r="P4713" s="345"/>
      <c r="Q4713" s="347"/>
      <c r="R4713" s="351"/>
      <c r="S4713" s="351"/>
      <c r="T4713" s="351"/>
      <c r="U4713" s="329" t="str">
        <f>IF($N4713=$N$4,IFERROR(INDEX(DanhMuc!$E$154:$E$165,MATCH(MID($B4713,4,2),DanhMuc!$B$154:$B$165,0)),""),"")</f>
        <v/>
      </c>
      <c r="V4713" s="345"/>
      <c r="W4713" s="345"/>
      <c r="X4713" s="786"/>
      <c r="Y4713" s="1128" t="s">
        <v>3380</v>
      </c>
      <c r="Z4713" s="1128" t="s">
        <v>3381</v>
      </c>
      <c r="AA4713" s="1128" t="s">
        <v>3384</v>
      </c>
      <c r="AB4713" s="20"/>
      <c r="AC4713" s="73"/>
    </row>
    <row r="4714" spans="1:29" s="261" customFormat="1">
      <c r="A4714" s="327" t="str">
        <f>IF(AND($B4714&lt;&gt;"",$C4714&lt;&gt;""),MAX($A$4655:$A4713)+1,"")</f>
        <v/>
      </c>
      <c r="B4714" s="346"/>
      <c r="C4714" s="346" t="s">
        <v>584</v>
      </c>
      <c r="D4714" s="347" t="str">
        <f>IF($B4714="","",COUNTIF($B$6:$B4714,$B4714))</f>
        <v/>
      </c>
      <c r="E4714" s="345">
        <v>220182</v>
      </c>
      <c r="F4714" s="346" t="s">
        <v>880</v>
      </c>
      <c r="G4714" s="347" t="s">
        <v>690</v>
      </c>
      <c r="H4714" s="345"/>
      <c r="I4714" s="345"/>
      <c r="J4714" s="345"/>
      <c r="K4714" s="347"/>
      <c r="L4714" s="465">
        <v>9.5</v>
      </c>
      <c r="M4714" s="467">
        <v>0.2</v>
      </c>
      <c r="N4714" s="468" t="str">
        <f t="shared" si="374"/>
        <v>GI</v>
      </c>
      <c r="O4714" s="345"/>
      <c r="P4714" s="345"/>
      <c r="Q4714" s="347"/>
      <c r="R4714" s="351"/>
      <c r="S4714" s="351"/>
      <c r="T4714" s="351"/>
      <c r="U4714" s="329" t="str">
        <f>IF($N4714=$N$4,IFERROR(INDEX(DanhMuc!$E$154:$E$165,MATCH(MID($B4714,4,2),DanhMuc!$B$154:$B$165,0)),""),"")</f>
        <v/>
      </c>
      <c r="V4714" s="345"/>
      <c r="W4714" s="345"/>
      <c r="X4714" s="786"/>
      <c r="Y4714" s="1128" t="s">
        <v>3380</v>
      </c>
      <c r="Z4714" s="1128" t="s">
        <v>3381</v>
      </c>
      <c r="AA4714" s="1128" t="s">
        <v>3384</v>
      </c>
      <c r="AB4714" s="20"/>
      <c r="AC4714" s="73"/>
    </row>
    <row r="4715" spans="1:29" s="261" customFormat="1">
      <c r="A4715" s="327" t="str">
        <f>IF(AND($B4715&lt;&gt;"",$C4715&lt;&gt;""),MAX($A$4655:$A4714)+1,"")</f>
        <v/>
      </c>
      <c r="B4715" s="346"/>
      <c r="C4715" s="346" t="s">
        <v>584</v>
      </c>
      <c r="D4715" s="347" t="str">
        <f>IF($B4715="","",COUNTIF($B$6:$B4715,$B4715))</f>
        <v/>
      </c>
      <c r="E4715" s="345">
        <v>229314</v>
      </c>
      <c r="F4715" s="346" t="s">
        <v>883</v>
      </c>
      <c r="G4715" s="347" t="s">
        <v>690</v>
      </c>
      <c r="H4715" s="345"/>
      <c r="I4715" s="345"/>
      <c r="J4715" s="345"/>
      <c r="K4715" s="347"/>
      <c r="L4715" s="465">
        <v>11.5</v>
      </c>
      <c r="M4715" s="467">
        <v>0.2</v>
      </c>
      <c r="N4715" s="468" t="str">
        <f t="shared" si="374"/>
        <v>GI</v>
      </c>
      <c r="O4715" s="345"/>
      <c r="P4715" s="345"/>
      <c r="Q4715" s="347"/>
      <c r="R4715" s="351"/>
      <c r="S4715" s="351"/>
      <c r="T4715" s="351"/>
      <c r="U4715" s="329" t="str">
        <f>IF($N4715=$N$4,IFERROR(INDEX(DanhMuc!$E$154:$E$165,MATCH(MID($B4715,4,2),DanhMuc!$B$154:$B$165,0)),""),"")</f>
        <v/>
      </c>
      <c r="V4715" s="345"/>
      <c r="W4715" s="345"/>
      <c r="X4715" s="786"/>
      <c r="Y4715" s="1128" t="s">
        <v>3380</v>
      </c>
      <c r="Z4715" s="1128" t="s">
        <v>3381</v>
      </c>
      <c r="AA4715" s="1128" t="s">
        <v>3384</v>
      </c>
      <c r="AB4715" s="20"/>
      <c r="AC4715" s="73"/>
    </row>
    <row r="4716" spans="1:29" ht="26">
      <c r="A4716" s="327">
        <f>IF(AND($B4716&lt;&gt;"",$C4716&lt;&gt;""),MAX($A$4655:$A4715)+1,"")</f>
        <v>46</v>
      </c>
      <c r="B4716" s="455" t="str">
        <f>DanhMuc!$F$157&amp;"DQ"</f>
        <v>LVDQ</v>
      </c>
      <c r="C4716" s="360" t="s">
        <v>578</v>
      </c>
      <c r="D4716" s="342">
        <f>IF($B4716="","",COUNTIF($B$6:$B4716,$B4716))</f>
        <v>1</v>
      </c>
      <c r="E4716" s="359" t="s">
        <v>573</v>
      </c>
      <c r="F4716" s="360" t="s">
        <v>585</v>
      </c>
      <c r="G4716" s="342" t="s">
        <v>690</v>
      </c>
      <c r="H4716" s="359" t="s">
        <v>536</v>
      </c>
      <c r="I4716" s="361" t="s">
        <v>1633</v>
      </c>
      <c r="J4716" s="361"/>
      <c r="K4716" s="327" t="s">
        <v>558</v>
      </c>
      <c r="L4716" s="441">
        <f>22000/(19*10*1000)</f>
        <v>0.11578947368421053</v>
      </c>
      <c r="M4716" s="456">
        <v>0.2</v>
      </c>
      <c r="N4716" s="371" t="str">
        <f t="shared" si="374"/>
        <v>GI</v>
      </c>
      <c r="O4716" s="345"/>
      <c r="P4716" s="363"/>
      <c r="Q4716" s="327"/>
      <c r="R4716" s="351"/>
      <c r="S4716" s="351"/>
      <c r="T4716" s="351"/>
      <c r="U4716" s="329" t="str">
        <f>IF($N4716=$N$4,IFERROR(INDEX(DanhMuc!$E$154:$E$165,MATCH(MID($B4716,4,2),DanhMuc!$B$154:$B$165,0)),""),"")</f>
        <v/>
      </c>
      <c r="V4716" s="361" t="s">
        <v>1442</v>
      </c>
      <c r="W4716" s="345"/>
      <c r="X4716" s="786"/>
      <c r="Y4716" s="1128" t="s">
        <v>3380</v>
      </c>
      <c r="Z4716" s="1128" t="s">
        <v>3381</v>
      </c>
      <c r="AA4716" s="1128" t="s">
        <v>3384</v>
      </c>
      <c r="AB4716" s="20"/>
      <c r="AC4716" s="73"/>
    </row>
    <row r="4717" spans="1:29">
      <c r="A4717" s="327">
        <f>IF(AND($B4717&lt;&gt;"",$C4717&lt;&gt;""),MAX($A$4655:$A4716)+1,"")</f>
        <v>47</v>
      </c>
      <c r="B4717" s="455" t="str">
        <f>DanhMuc!$F$157&amp;"DQ"</f>
        <v>LVDQ</v>
      </c>
      <c r="C4717" s="362" t="s">
        <v>1632</v>
      </c>
      <c r="D4717" s="327">
        <f>IF($B4717="","",COUNTIF($B$6:$B4717,$B4717))</f>
        <v>2</v>
      </c>
      <c r="E4717" s="361" t="s">
        <v>2769</v>
      </c>
      <c r="F4717" s="362" t="s">
        <v>2770</v>
      </c>
      <c r="G4717" s="327" t="s">
        <v>424</v>
      </c>
      <c r="H4717" s="361" t="s">
        <v>391</v>
      </c>
      <c r="I4717" s="361" t="s">
        <v>649</v>
      </c>
      <c r="J4717" s="361"/>
      <c r="K4717" s="327" t="s">
        <v>103</v>
      </c>
      <c r="L4717" s="389">
        <v>53000</v>
      </c>
      <c r="M4717" s="456"/>
      <c r="N4717" s="371" t="str">
        <f t="shared" si="374"/>
        <v>GI</v>
      </c>
      <c r="O4717" s="345"/>
      <c r="P4717" s="363"/>
      <c r="Q4717" s="327"/>
      <c r="R4717" s="351"/>
      <c r="S4717" s="351"/>
      <c r="T4717" s="351"/>
      <c r="U4717" s="329" t="str">
        <f>IF($N4717=$N$4,IFERROR(INDEX(DanhMuc!$E$154:$E$165,MATCH(MID($B4717,4,2),DanhMuc!$B$154:$B$165,0)),""),"")</f>
        <v/>
      </c>
      <c r="V4717" s="361"/>
      <c r="W4717" s="345"/>
      <c r="X4717" s="786"/>
      <c r="Y4717" s="1128" t="s">
        <v>3380</v>
      </c>
      <c r="Z4717" s="1128" t="s">
        <v>3381</v>
      </c>
      <c r="AA4717" s="1128" t="s">
        <v>3384</v>
      </c>
      <c r="AB4717" s="20"/>
      <c r="AC4717" s="73"/>
    </row>
    <row r="4718" spans="1:29" ht="25">
      <c r="A4718" s="327">
        <f>IF(AND($B4718&lt;&gt;"",$C4718&lt;&gt;""),MAX($A$4655:$A4715)+1,"")</f>
        <v>46</v>
      </c>
      <c r="B4718" s="455" t="str">
        <f>DanhMuc!$F$157&amp;"DQ"</f>
        <v>LVDQ</v>
      </c>
      <c r="C4718" s="362" t="s">
        <v>688</v>
      </c>
      <c r="D4718" s="327">
        <f>IF($B4718="","",COUNTIF($B$6:$B4718,$B4718))</f>
        <v>3</v>
      </c>
      <c r="E4718" s="402" t="s">
        <v>1645</v>
      </c>
      <c r="F4718" s="403" t="s">
        <v>1646</v>
      </c>
      <c r="G4718" s="327" t="s">
        <v>690</v>
      </c>
      <c r="H4718" s="361" t="s">
        <v>536</v>
      </c>
      <c r="I4718" s="361" t="s">
        <v>541</v>
      </c>
      <c r="J4718" s="361"/>
      <c r="K4718" s="327" t="s">
        <v>689</v>
      </c>
      <c r="L4718" s="457">
        <f>1300000/(200*1000)</f>
        <v>6.5</v>
      </c>
      <c r="M4718" s="456">
        <v>0.2</v>
      </c>
      <c r="N4718" s="371" t="str">
        <f t="shared" si="374"/>
        <v>GI</v>
      </c>
      <c r="O4718" s="347" t="s">
        <v>1475</v>
      </c>
      <c r="P4718" s="361"/>
      <c r="Q4718" s="327"/>
      <c r="R4718" s="351"/>
      <c r="S4718" s="351"/>
      <c r="T4718" s="351"/>
      <c r="U4718" s="329" t="str">
        <f>IF($N4718=$N$4,IFERROR(INDEX(DanhMuc!$E$154:$E$165,MATCH(MID($B4718,4,2),DanhMuc!$B$154:$B$165,0)),""),"")</f>
        <v/>
      </c>
      <c r="V4718" s="361"/>
      <c r="W4718" s="345"/>
      <c r="X4718" s="786"/>
      <c r="Y4718" s="1128" t="s">
        <v>3380</v>
      </c>
      <c r="Z4718" s="1128" t="s">
        <v>3381</v>
      </c>
      <c r="AA4718" s="1128" t="s">
        <v>3384</v>
      </c>
      <c r="AB4718" s="20"/>
      <c r="AC4718" s="73"/>
    </row>
    <row r="4719" spans="1:29" s="79" customFormat="1" ht="26">
      <c r="A4719" s="327">
        <f>IF(AND($B4719&lt;&gt;"",$C4719&lt;&gt;""),MAX($A$4655:$A4718)+1,"")</f>
        <v>48</v>
      </c>
      <c r="B4719" s="455" t="str">
        <f>DanhMuc!$F$157&amp;"SQ"</f>
        <v>LVSQ</v>
      </c>
      <c r="C4719" s="360" t="s">
        <v>578</v>
      </c>
      <c r="D4719" s="342">
        <f>IF($B4719="","",COUNTIF($B$6:$B4719,$B4719))</f>
        <v>1</v>
      </c>
      <c r="E4719" s="359" t="s">
        <v>573</v>
      </c>
      <c r="F4719" s="360" t="s">
        <v>585</v>
      </c>
      <c r="G4719" s="342" t="s">
        <v>690</v>
      </c>
      <c r="H4719" s="359" t="s">
        <v>536</v>
      </c>
      <c r="I4719" s="361" t="s">
        <v>1707</v>
      </c>
      <c r="J4719" s="361"/>
      <c r="K4719" s="327" t="s">
        <v>558</v>
      </c>
      <c r="L4719" s="441">
        <f>22000/(19*10*1000)</f>
        <v>0.11578947368421053</v>
      </c>
      <c r="M4719" s="456">
        <v>0.2</v>
      </c>
      <c r="N4719" s="461" t="str">
        <f t="shared" si="374"/>
        <v>GI</v>
      </c>
      <c r="O4719" s="345"/>
      <c r="P4719" s="359"/>
      <c r="Q4719" s="342"/>
      <c r="R4719" s="351"/>
      <c r="S4719" s="351"/>
      <c r="T4719" s="351"/>
      <c r="U4719" s="329" t="str">
        <f>IF($N4719=$N$4,IFERROR(INDEX(DanhMuc!$E$154:$E$165,MATCH(MID($B4719,4,2),DanhMuc!$B$154:$B$165,0)),""),"")</f>
        <v/>
      </c>
      <c r="V4719" s="359"/>
      <c r="W4719" s="345"/>
      <c r="X4719" s="786"/>
      <c r="Y4719" s="1128" t="s">
        <v>3380</v>
      </c>
      <c r="Z4719" s="1128" t="s">
        <v>3381</v>
      </c>
      <c r="AA4719" s="1128" t="s">
        <v>3384</v>
      </c>
      <c r="AB4719" s="20"/>
      <c r="AC4719" s="73"/>
    </row>
    <row r="4720" spans="1:29" s="79" customFormat="1">
      <c r="A4720" s="327">
        <f>IF(AND($B4720&lt;&gt;"",$C4720&lt;&gt;""),MAX($A$4655:$A4719)+1,"")</f>
        <v>49</v>
      </c>
      <c r="B4720" s="455" t="str">
        <f>DanhMuc!$F$157&amp;"SQ"</f>
        <v>LVSQ</v>
      </c>
      <c r="C4720" s="362" t="s">
        <v>1632</v>
      </c>
      <c r="D4720" s="342">
        <f>IF($B4720="","",COUNTIF($B$6:$B4720,$B4720))</f>
        <v>2</v>
      </c>
      <c r="E4720" s="361" t="s">
        <v>2769</v>
      </c>
      <c r="F4720" s="362" t="s">
        <v>2770</v>
      </c>
      <c r="G4720" s="327" t="s">
        <v>424</v>
      </c>
      <c r="H4720" s="361" t="s">
        <v>391</v>
      </c>
      <c r="I4720" s="361" t="s">
        <v>649</v>
      </c>
      <c r="J4720" s="361"/>
      <c r="K4720" s="327" t="s">
        <v>103</v>
      </c>
      <c r="L4720" s="389">
        <v>53000</v>
      </c>
      <c r="M4720" s="456"/>
      <c r="N4720" s="461" t="str">
        <f t="shared" si="374"/>
        <v>GI</v>
      </c>
      <c r="O4720" s="345"/>
      <c r="P4720" s="359"/>
      <c r="Q4720" s="342"/>
      <c r="R4720" s="351"/>
      <c r="S4720" s="351"/>
      <c r="T4720" s="351"/>
      <c r="U4720" s="329" t="str">
        <f>IF($N4720=$N$4,IFERROR(INDEX(DanhMuc!$E$154:$E$165,MATCH(MID($B4720,4,2),DanhMuc!$B$154:$B$165,0)),""),"")</f>
        <v/>
      </c>
      <c r="V4720" s="359"/>
      <c r="W4720" s="345"/>
      <c r="X4720" s="786"/>
      <c r="Y4720" s="1128" t="s">
        <v>3380</v>
      </c>
      <c r="Z4720" s="1128" t="s">
        <v>3381</v>
      </c>
      <c r="AA4720" s="1128" t="s">
        <v>3384</v>
      </c>
      <c r="AB4720" s="20"/>
      <c r="AC4720" s="73"/>
    </row>
    <row r="4721" spans="1:29" s="79" customFormat="1" ht="26">
      <c r="A4721" s="327">
        <f>IF(AND($B4721&lt;&gt;"",$C4721&lt;&gt;""),MAX($A$4655:$A4720)+1,"")</f>
        <v>50</v>
      </c>
      <c r="B4721" s="455" t="str">
        <f>DanhMuc!$F$157&amp;"SH"</f>
        <v>LVSH</v>
      </c>
      <c r="C4721" s="360" t="s">
        <v>578</v>
      </c>
      <c r="D4721" s="342">
        <f>IF($B4721="","",COUNTIF($B$6:$B4721,$B4721))</f>
        <v>1</v>
      </c>
      <c r="E4721" s="359" t="s">
        <v>573</v>
      </c>
      <c r="F4721" s="360" t="s">
        <v>585</v>
      </c>
      <c r="G4721" s="342" t="s">
        <v>690</v>
      </c>
      <c r="H4721" s="359" t="s">
        <v>536</v>
      </c>
      <c r="I4721" s="361" t="s">
        <v>1707</v>
      </c>
      <c r="J4721" s="361"/>
      <c r="K4721" s="327" t="s">
        <v>558</v>
      </c>
      <c r="L4721" s="441">
        <f>22000/(19*10*1000)</f>
        <v>0.11578947368421053</v>
      </c>
      <c r="M4721" s="456">
        <v>0.2</v>
      </c>
      <c r="N4721" s="461" t="str">
        <f t="shared" si="374"/>
        <v>GI</v>
      </c>
      <c r="O4721" s="345"/>
      <c r="P4721" s="359"/>
      <c r="Q4721" s="342"/>
      <c r="R4721" s="351"/>
      <c r="S4721" s="351"/>
      <c r="T4721" s="351"/>
      <c r="U4721" s="329" t="str">
        <f>IF($N4721=$N$4,IFERROR(INDEX(DanhMuc!$E$154:$E$165,MATCH(MID($B4721,4,2),DanhMuc!$B$154:$B$165,0)),""),"")</f>
        <v/>
      </c>
      <c r="V4721" s="359"/>
      <c r="W4721" s="345"/>
      <c r="X4721" s="786"/>
      <c r="Y4721" s="1128" t="s">
        <v>3380</v>
      </c>
      <c r="Z4721" s="1128" t="s">
        <v>3381</v>
      </c>
      <c r="AA4721" s="1128" t="s">
        <v>3384</v>
      </c>
      <c r="AB4721" s="20"/>
      <c r="AC4721" s="73"/>
    </row>
    <row r="4722" spans="1:29" s="79" customFormat="1">
      <c r="A4722" s="327">
        <f>IF(AND($B4722&lt;&gt;"",$C4722&lt;&gt;""),MAX($A$4655:$A4721)+1,"")</f>
        <v>51</v>
      </c>
      <c r="B4722" s="455" t="str">
        <f>DanhMuc!$F$157&amp;"SH"</f>
        <v>LVSH</v>
      </c>
      <c r="C4722" s="362" t="s">
        <v>1632</v>
      </c>
      <c r="D4722" s="342">
        <f>IF($B4722="","",COUNTIF($B$6:$B4722,$B4722))</f>
        <v>2</v>
      </c>
      <c r="E4722" s="361" t="s">
        <v>2769</v>
      </c>
      <c r="F4722" s="362" t="s">
        <v>2770</v>
      </c>
      <c r="G4722" s="327" t="s">
        <v>424</v>
      </c>
      <c r="H4722" s="361" t="s">
        <v>391</v>
      </c>
      <c r="I4722" s="361" t="s">
        <v>649</v>
      </c>
      <c r="J4722" s="361"/>
      <c r="K4722" s="327" t="s">
        <v>103</v>
      </c>
      <c r="L4722" s="389">
        <v>53000</v>
      </c>
      <c r="M4722" s="456"/>
      <c r="N4722" s="461" t="str">
        <f t="shared" si="374"/>
        <v>GI</v>
      </c>
      <c r="O4722" s="345"/>
      <c r="P4722" s="359"/>
      <c r="Q4722" s="342"/>
      <c r="R4722" s="351"/>
      <c r="S4722" s="351"/>
      <c r="T4722" s="351"/>
      <c r="U4722" s="329" t="str">
        <f>IF($N4722=$N$4,IFERROR(INDEX(DanhMuc!$E$154:$E$165,MATCH(MID($B4722,4,2),DanhMuc!$B$154:$B$165,0)),""),"")</f>
        <v/>
      </c>
      <c r="V4722" s="359"/>
      <c r="W4722" s="345"/>
      <c r="X4722" s="786"/>
      <c r="Y4722" s="1128" t="s">
        <v>3380</v>
      </c>
      <c r="Z4722" s="1128" t="s">
        <v>3381</v>
      </c>
      <c r="AA4722" s="1128" t="s">
        <v>3384</v>
      </c>
      <c r="AB4722" s="20"/>
      <c r="AC4722" s="73"/>
    </row>
    <row r="4723" spans="1:29" s="79" customFormat="1">
      <c r="A4723" s="327">
        <f>IF(AND($B4723&lt;&gt;"",$C4723&lt;&gt;""),MAX($A$4655:$A4722)+1,"")</f>
        <v>52</v>
      </c>
      <c r="B4723" s="455" t="str">
        <f>DanhMuc!$F$157&amp;"DT60"</f>
        <v>LVDT60</v>
      </c>
      <c r="C4723" s="360" t="s">
        <v>1757</v>
      </c>
      <c r="D4723" s="342">
        <f>IF($B4723="","",COUNTIF($B$6:$B4723,$B4723))</f>
        <v>1</v>
      </c>
      <c r="E4723" s="609" t="s">
        <v>573</v>
      </c>
      <c r="F4723" s="610" t="s">
        <v>585</v>
      </c>
      <c r="G4723" s="342" t="s">
        <v>690</v>
      </c>
      <c r="H4723" s="359" t="s">
        <v>536</v>
      </c>
      <c r="I4723" s="361" t="s">
        <v>1758</v>
      </c>
      <c r="J4723" s="361"/>
      <c r="K4723" s="327" t="s">
        <v>558</v>
      </c>
      <c r="L4723" s="441">
        <f>22000/(19*10*1000)</f>
        <v>0.11578947368421053</v>
      </c>
      <c r="M4723" s="456">
        <v>0.2</v>
      </c>
      <c r="N4723" s="461" t="str">
        <f t="shared" si="374"/>
        <v>GI</v>
      </c>
      <c r="O4723" s="345"/>
      <c r="P4723" s="359"/>
      <c r="Q4723" s="342"/>
      <c r="R4723" s="351"/>
      <c r="S4723" s="351"/>
      <c r="T4723" s="351"/>
      <c r="U4723" s="329" t="str">
        <f>IF($N4723=$N$4,IFERROR(INDEX(DanhMuc!$E$154:$E$165,MATCH(MID($B4723,4,2),DanhMuc!$B$154:$B$165,0)),""),"")</f>
        <v/>
      </c>
      <c r="V4723" s="359"/>
      <c r="W4723" s="345"/>
      <c r="X4723" s="786"/>
      <c r="Y4723" s="1128" t="s">
        <v>3380</v>
      </c>
      <c r="Z4723" s="1128" t="s">
        <v>3381</v>
      </c>
      <c r="AA4723" s="1128" t="s">
        <v>3384</v>
      </c>
      <c r="AB4723" s="20"/>
      <c r="AC4723" s="73"/>
    </row>
    <row r="4724" spans="1:29" s="79" customFormat="1">
      <c r="A4724" s="327">
        <f>IF(AND($B4724&lt;&gt;"",$C4724&lt;&gt;""),MAX($A$4655:$A4723)+1,"")</f>
        <v>53</v>
      </c>
      <c r="B4724" s="455" t="str">
        <f>DanhMuc!$F$157&amp;"DT60"</f>
        <v>LVDT60</v>
      </c>
      <c r="C4724" s="362" t="s">
        <v>1632</v>
      </c>
      <c r="D4724" s="342">
        <f>IF($B4724="","",COUNTIF($B$6:$B4724,$B4724))</f>
        <v>2</v>
      </c>
      <c r="E4724" s="361" t="s">
        <v>2769</v>
      </c>
      <c r="F4724" s="362" t="s">
        <v>2770</v>
      </c>
      <c r="G4724" s="327" t="s">
        <v>424</v>
      </c>
      <c r="H4724" s="361" t="s">
        <v>391</v>
      </c>
      <c r="I4724" s="361" t="s">
        <v>649</v>
      </c>
      <c r="J4724" s="361"/>
      <c r="K4724" s="327" t="s">
        <v>103</v>
      </c>
      <c r="L4724" s="389">
        <v>53000</v>
      </c>
      <c r="M4724" s="456"/>
      <c r="N4724" s="461" t="str">
        <f t="shared" si="374"/>
        <v>GI</v>
      </c>
      <c r="O4724" s="345"/>
      <c r="P4724" s="359"/>
      <c r="Q4724" s="342"/>
      <c r="R4724" s="351"/>
      <c r="S4724" s="351"/>
      <c r="T4724" s="351"/>
      <c r="U4724" s="329" t="str">
        <f>IF($N4724=$N$4,IFERROR(INDEX(DanhMuc!$E$154:$E$165,MATCH(MID($B4724,4,2),DanhMuc!$B$154:$B$165,0)),""),"")</f>
        <v/>
      </c>
      <c r="V4724" s="359"/>
      <c r="W4724" s="345"/>
      <c r="X4724" s="786"/>
      <c r="Y4724" s="1128" t="s">
        <v>3380</v>
      </c>
      <c r="Z4724" s="1128" t="s">
        <v>3381</v>
      </c>
      <c r="AA4724" s="1128" t="s">
        <v>3384</v>
      </c>
      <c r="AB4724" s="20"/>
      <c r="AC4724" s="73"/>
    </row>
    <row r="4725" spans="1:29" s="79" customFormat="1">
      <c r="A4725" s="327">
        <f>IF(AND($B4725&lt;&gt;"",$C4725&lt;&gt;""),MAX($A$4655:$A4724)+1,"")</f>
        <v>54</v>
      </c>
      <c r="B4725" s="455" t="str">
        <f>DanhMuc!$F$157&amp;"ST60"</f>
        <v>LVST60</v>
      </c>
      <c r="C4725" s="360" t="s">
        <v>1757</v>
      </c>
      <c r="D4725" s="342">
        <f>IF($B4725="","",COUNTIF($B$6:$B4725,$B4725))</f>
        <v>1</v>
      </c>
      <c r="E4725" s="609" t="s">
        <v>573</v>
      </c>
      <c r="F4725" s="610" t="s">
        <v>585</v>
      </c>
      <c r="G4725" s="342" t="s">
        <v>690</v>
      </c>
      <c r="H4725" s="359" t="s">
        <v>536</v>
      </c>
      <c r="I4725" s="361" t="s">
        <v>1758</v>
      </c>
      <c r="J4725" s="361"/>
      <c r="K4725" s="327" t="s">
        <v>558</v>
      </c>
      <c r="L4725" s="441">
        <f>22000/(19*10*1000)</f>
        <v>0.11578947368421053</v>
      </c>
      <c r="M4725" s="456">
        <v>0.2</v>
      </c>
      <c r="N4725" s="461" t="str">
        <f t="shared" si="374"/>
        <v>GI</v>
      </c>
      <c r="O4725" s="345"/>
      <c r="P4725" s="359"/>
      <c r="Q4725" s="342"/>
      <c r="R4725" s="351"/>
      <c r="S4725" s="351"/>
      <c r="T4725" s="351"/>
      <c r="U4725" s="329" t="str">
        <f>IF($N4725=$N$4,IFERROR(INDEX(DanhMuc!$E$154:$E$165,MATCH(MID($B4725,4,2),DanhMuc!$B$154:$B$165,0)),""),"")</f>
        <v/>
      </c>
      <c r="V4725" s="359"/>
      <c r="W4725" s="345"/>
      <c r="X4725" s="786"/>
      <c r="Y4725" s="1128" t="s">
        <v>3380</v>
      </c>
      <c r="Z4725" s="1128" t="s">
        <v>3381</v>
      </c>
      <c r="AA4725" s="1128" t="s">
        <v>3384</v>
      </c>
      <c r="AB4725" s="20"/>
      <c r="AC4725" s="73"/>
    </row>
    <row r="4726" spans="1:29" s="79" customFormat="1">
      <c r="A4726" s="327">
        <f>IF(AND($B4726&lt;&gt;"",$C4726&lt;&gt;""),MAX($A$4655:$A4725)+1,"")</f>
        <v>55</v>
      </c>
      <c r="B4726" s="455" t="str">
        <f>DanhMuc!$F$157&amp;"ST60"</f>
        <v>LVST60</v>
      </c>
      <c r="C4726" s="362" t="s">
        <v>1632</v>
      </c>
      <c r="D4726" s="342">
        <f>IF($B4726="","",COUNTIF($B$6:$B4726,$B4726))</f>
        <v>2</v>
      </c>
      <c r="E4726" s="361" t="s">
        <v>2769</v>
      </c>
      <c r="F4726" s="362" t="s">
        <v>2770</v>
      </c>
      <c r="G4726" s="327" t="s">
        <v>424</v>
      </c>
      <c r="H4726" s="361" t="s">
        <v>391</v>
      </c>
      <c r="I4726" s="361" t="s">
        <v>649</v>
      </c>
      <c r="J4726" s="361"/>
      <c r="K4726" s="327" t="s">
        <v>103</v>
      </c>
      <c r="L4726" s="389">
        <v>53000</v>
      </c>
      <c r="M4726" s="456"/>
      <c r="N4726" s="461" t="str">
        <f t="shared" si="374"/>
        <v>GI</v>
      </c>
      <c r="O4726" s="345"/>
      <c r="P4726" s="359"/>
      <c r="Q4726" s="342"/>
      <c r="R4726" s="351"/>
      <c r="S4726" s="351"/>
      <c r="T4726" s="351"/>
      <c r="U4726" s="329" t="str">
        <f>IF($N4726=$N$4,IFERROR(INDEX(DanhMuc!$E$154:$E$165,MATCH(MID($B4726,4,2),DanhMuc!$B$154:$B$165,0)),""),"")</f>
        <v/>
      </c>
      <c r="V4726" s="359"/>
      <c r="W4726" s="345"/>
      <c r="X4726" s="786"/>
      <c r="Y4726" s="1128" t="s">
        <v>3380</v>
      </c>
      <c r="Z4726" s="1128" t="s">
        <v>3381</v>
      </c>
      <c r="AA4726" s="1128" t="s">
        <v>3384</v>
      </c>
      <c r="AB4726" s="20"/>
      <c r="AC4726" s="73"/>
    </row>
    <row r="4727" spans="1:29" s="79" customFormat="1" ht="26">
      <c r="A4727" s="327">
        <f>IF(AND($B4727&lt;&gt;"",$C4727&lt;&gt;""),MAX($A$4655:$A4726)+1,"")</f>
        <v>56</v>
      </c>
      <c r="B4727" s="455" t="str">
        <f>DanhMuc!$F$157&amp;"VK"</f>
        <v>LVVK</v>
      </c>
      <c r="C4727" s="360" t="s">
        <v>578</v>
      </c>
      <c r="D4727" s="342">
        <f>IF($B4727="","",COUNTIF($B$6:$B4727,$B4727))</f>
        <v>1</v>
      </c>
      <c r="E4727" s="359" t="s">
        <v>573</v>
      </c>
      <c r="F4727" s="360" t="s">
        <v>585</v>
      </c>
      <c r="G4727" s="342" t="s">
        <v>690</v>
      </c>
      <c r="H4727" s="359" t="s">
        <v>536</v>
      </c>
      <c r="I4727" s="361" t="s">
        <v>1004</v>
      </c>
      <c r="J4727" s="361"/>
      <c r="K4727" s="327" t="s">
        <v>558</v>
      </c>
      <c r="L4727" s="441">
        <f>22000/(19*10*1000)</f>
        <v>0.11578947368421053</v>
      </c>
      <c r="M4727" s="456">
        <v>0.2</v>
      </c>
      <c r="N4727" s="461" t="str">
        <f t="shared" si="374"/>
        <v>GI</v>
      </c>
      <c r="O4727" s="345"/>
      <c r="P4727" s="359"/>
      <c r="Q4727" s="342"/>
      <c r="R4727" s="351"/>
      <c r="S4727" s="351"/>
      <c r="T4727" s="351"/>
      <c r="U4727" s="329" t="str">
        <f>IF($N4727=$N$4,IFERROR(INDEX(DanhMuc!$E$154:$E$165,MATCH(MID($B4727,4,2),DanhMuc!$B$154:$B$165,0)),""),"")</f>
        <v/>
      </c>
      <c r="V4727" s="359"/>
      <c r="W4727" s="345"/>
      <c r="X4727" s="786"/>
      <c r="Y4727" s="1128" t="s">
        <v>3380</v>
      </c>
      <c r="Z4727" s="1128" t="s">
        <v>3381</v>
      </c>
      <c r="AA4727" s="1128" t="s">
        <v>3384</v>
      </c>
      <c r="AB4727" s="20"/>
      <c r="AC4727" s="73"/>
    </row>
    <row r="4728" spans="1:29">
      <c r="A4728" s="327">
        <f>IF(AND($B4728&lt;&gt;"",$C4728&lt;&gt;""),MAX($A$4655:$A4727)+1,"")</f>
        <v>57</v>
      </c>
      <c r="B4728" s="455" t="str">
        <f>DanhMuc!$F$157&amp;"VK"</f>
        <v>LVVK</v>
      </c>
      <c r="C4728" s="362" t="s">
        <v>102</v>
      </c>
      <c r="D4728" s="327">
        <f>IF($B4728="","",COUNTIF($B$6:$B4728,$B4728))</f>
        <v>2</v>
      </c>
      <c r="E4728" s="361" t="s">
        <v>2769</v>
      </c>
      <c r="F4728" s="362" t="s">
        <v>2770</v>
      </c>
      <c r="G4728" s="327" t="s">
        <v>424</v>
      </c>
      <c r="H4728" s="361" t="s">
        <v>391</v>
      </c>
      <c r="I4728" s="361" t="s">
        <v>1797</v>
      </c>
      <c r="J4728" s="361"/>
      <c r="K4728" s="327" t="s">
        <v>103</v>
      </c>
      <c r="L4728" s="389">
        <v>53000</v>
      </c>
      <c r="M4728" s="456"/>
      <c r="N4728" s="371" t="str">
        <f t="shared" si="374"/>
        <v>GI</v>
      </c>
      <c r="O4728" s="345"/>
      <c r="P4728" s="363"/>
      <c r="Q4728" s="327"/>
      <c r="R4728" s="351"/>
      <c r="S4728" s="351"/>
      <c r="T4728" s="351"/>
      <c r="U4728" s="329" t="str">
        <f>IF($N4728=$N$4,IFERROR(INDEX(DanhMuc!$E$154:$E$165,MATCH(MID($B4728,4,2),DanhMuc!$B$154:$B$165,0)),""),"")</f>
        <v/>
      </c>
      <c r="V4728" s="361"/>
      <c r="W4728" s="345"/>
      <c r="X4728" s="786"/>
      <c r="Y4728" s="1128" t="s">
        <v>3380</v>
      </c>
      <c r="Z4728" s="1128" t="s">
        <v>3381</v>
      </c>
      <c r="AA4728" s="1128" t="s">
        <v>3384</v>
      </c>
      <c r="AB4728" s="20"/>
      <c r="AC4728" s="73"/>
    </row>
    <row r="4729" spans="1:29">
      <c r="A4729" s="327" t="str">
        <f>IF(AND($B4729&lt;&gt;"",$C4729&lt;&gt;""),MAX($A$4655:$A4718)+1,"")</f>
        <v/>
      </c>
      <c r="B4729" s="345"/>
      <c r="C4729" s="360"/>
      <c r="D4729" s="327" t="str">
        <f>IF($B4729="","",COUNTIF($B$6:$B4729,$B4729))</f>
        <v/>
      </c>
      <c r="E4729" s="363"/>
      <c r="F4729" s="382"/>
      <c r="G4729" s="327"/>
      <c r="H4729" s="361"/>
      <c r="I4729" s="351"/>
      <c r="J4729" s="361"/>
      <c r="K4729" s="327"/>
      <c r="L4729" s="441"/>
      <c r="M4729" s="456"/>
      <c r="N4729" s="371" t="str">
        <f t="shared" si="374"/>
        <v>GI</v>
      </c>
      <c r="O4729" s="345"/>
      <c r="P4729" s="361"/>
      <c r="Q4729" s="327"/>
      <c r="R4729" s="351"/>
      <c r="S4729" s="351"/>
      <c r="T4729" s="351"/>
      <c r="U4729" s="329" t="str">
        <f>IF($N4729=$N$4,IFERROR(INDEX(DanhMuc!$E$154:$E$165,MATCH(MID($B4729,4,2),DanhMuc!$B$154:$B$165,0)),""),"")</f>
        <v/>
      </c>
      <c r="V4729" s="361"/>
      <c r="W4729" s="345"/>
      <c r="X4729" s="786"/>
      <c r="Y4729" s="1128" t="s">
        <v>3380</v>
      </c>
      <c r="Z4729" s="1128" t="s">
        <v>3381</v>
      </c>
      <c r="AA4729" s="1128" t="s">
        <v>3384</v>
      </c>
      <c r="AB4729" s="20"/>
      <c r="AC4729" s="73"/>
    </row>
    <row r="4730" spans="1:29" s="20" customFormat="1" ht="25">
      <c r="A4730" s="469"/>
      <c r="B4730" s="470" t="s">
        <v>2300</v>
      </c>
      <c r="C4730" s="471" t="s">
        <v>108</v>
      </c>
      <c r="D4730" s="470"/>
      <c r="E4730" s="470"/>
      <c r="F4730" s="471"/>
      <c r="G4730" s="472"/>
      <c r="H4730" s="325"/>
      <c r="I4730" s="472"/>
      <c r="J4730" s="470"/>
      <c r="K4730" s="473"/>
      <c r="L4730" s="389"/>
      <c r="M4730" s="474"/>
      <c r="N4730" s="475" t="s">
        <v>154</v>
      </c>
      <c r="O4730" s="470"/>
      <c r="P4730" s="325"/>
      <c r="Q4730" s="325"/>
      <c r="R4730" s="351"/>
      <c r="S4730" s="351"/>
      <c r="T4730" s="351"/>
      <c r="U4730" s="329" t="str">
        <f>IF($N4730=$N$4,IFERROR(INDEX(DanhMuc!$E$154:$E$165,MATCH(MID($B4730,4,2),DanhMuc!$B$154:$B$165,0)),""),"")</f>
        <v/>
      </c>
      <c r="V4730" s="325"/>
      <c r="W4730" s="345"/>
      <c r="X4730" s="786"/>
      <c r="Y4730" s="1128" t="s">
        <v>3380</v>
      </c>
      <c r="Z4730" s="1128" t="s">
        <v>3381</v>
      </c>
      <c r="AA4730" s="1128" t="s">
        <v>3384</v>
      </c>
      <c r="AC4730" s="73"/>
    </row>
    <row r="4731" spans="1:29">
      <c r="A4731" s="327" t="str">
        <f>IF(AND($B4731&lt;&gt;"",$C4731&lt;&gt;""),MAX($A$4730:$A4730)+1,"")</f>
        <v/>
      </c>
      <c r="B4731" s="359"/>
      <c r="C4731" s="360"/>
      <c r="D4731" s="327" t="str">
        <f>IF($B4731="","",COUNTIF($B$6:$B4731,$B4731))</f>
        <v/>
      </c>
      <c r="E4731" s="345" t="s">
        <v>348</v>
      </c>
      <c r="F4731" s="346" t="s">
        <v>3330</v>
      </c>
      <c r="G4731" s="347" t="s">
        <v>155</v>
      </c>
      <c r="H4731" s="361" t="s">
        <v>536</v>
      </c>
      <c r="I4731" s="347" t="s">
        <v>3332</v>
      </c>
      <c r="J4731" s="345"/>
      <c r="K4731" s="342"/>
      <c r="L4731" s="476">
        <v>1500</v>
      </c>
      <c r="M4731" s="355"/>
      <c r="N4731" s="355" t="s">
        <v>2408</v>
      </c>
      <c r="O4731" s="345"/>
      <c r="P4731" s="363"/>
      <c r="Q4731" s="327"/>
      <c r="R4731" s="351"/>
      <c r="S4731" s="351"/>
      <c r="T4731" s="351"/>
      <c r="U4731" s="329" t="str">
        <f>IF($N4731=$N$4,IFERROR(INDEX(DanhMuc!$E$154:$E$165,MATCH(MID($B4731,4,2),DanhMuc!$B$154:$B$165,0)),""),"")</f>
        <v/>
      </c>
      <c r="V4731" s="361"/>
      <c r="W4731" s="345"/>
      <c r="X4731" s="786"/>
      <c r="Y4731" s="1128" t="s">
        <v>3380</v>
      </c>
      <c r="Z4731" s="1128" t="s">
        <v>3381</v>
      </c>
      <c r="AA4731" s="1128" t="s">
        <v>3384</v>
      </c>
      <c r="AB4731" s="20"/>
      <c r="AC4731" s="73"/>
    </row>
    <row r="4732" spans="1:29">
      <c r="A4732" s="327" t="str">
        <f>IF(AND($B4732&lt;&gt;"",$C4732&lt;&gt;""),MAX($A$4730:$A4731)+1,"")</f>
        <v/>
      </c>
      <c r="B4732" s="359"/>
      <c r="C4732" s="360"/>
      <c r="D4732" s="327" t="str">
        <f>IF($B4732="","",COUNTIF($B$6:$B4732,$B4732))</f>
        <v/>
      </c>
      <c r="E4732" s="345" t="s">
        <v>3329</v>
      </c>
      <c r="F4732" s="346" t="s">
        <v>3331</v>
      </c>
      <c r="G4732" s="347" t="s">
        <v>155</v>
      </c>
      <c r="H4732" s="361" t="s">
        <v>536</v>
      </c>
      <c r="I4732" s="347" t="s">
        <v>3333</v>
      </c>
      <c r="J4732" s="345"/>
      <c r="K4732" s="342"/>
      <c r="L4732" s="476">
        <v>1000</v>
      </c>
      <c r="M4732" s="355"/>
      <c r="N4732" s="355" t="s">
        <v>2408</v>
      </c>
      <c r="O4732" s="345"/>
      <c r="P4732" s="363"/>
      <c r="Q4732" s="327"/>
      <c r="R4732" s="351"/>
      <c r="S4732" s="351"/>
      <c r="T4732" s="351"/>
      <c r="U4732" s="329" t="str">
        <f>IF($N4732=$N$4,IFERROR(INDEX(DanhMuc!$E$154:$E$165,MATCH(MID($B4732,4,2),DanhMuc!$B$154:$B$165,0)),""),"")</f>
        <v/>
      </c>
      <c r="V4732" s="361"/>
      <c r="W4732" s="345"/>
      <c r="X4732" s="786"/>
      <c r="Y4732" s="1128" t="s">
        <v>3380</v>
      </c>
      <c r="Z4732" s="1128" t="s">
        <v>3381</v>
      </c>
      <c r="AA4732" s="1128" t="s">
        <v>3384</v>
      </c>
      <c r="AB4732" s="20"/>
      <c r="AC4732" s="73"/>
    </row>
    <row r="4733" spans="1:29">
      <c r="A4733" s="327" t="str">
        <f>IF(AND($B4733&lt;&gt;"",$C4733&lt;&gt;""),MAX($A$4730:$A4731)+1,"")</f>
        <v/>
      </c>
      <c r="B4733" s="359"/>
      <c r="C4733" s="360"/>
      <c r="D4733" s="327" t="str">
        <f>IF($B4733="","",COUNTIF($B$6:$B4733,$B4733))</f>
        <v/>
      </c>
      <c r="E4733" s="361" t="s">
        <v>2801</v>
      </c>
      <c r="F4733" s="362" t="s">
        <v>2804</v>
      </c>
      <c r="G4733" s="347" t="s">
        <v>424</v>
      </c>
      <c r="H4733" s="361" t="s">
        <v>536</v>
      </c>
      <c r="I4733" s="347"/>
      <c r="J4733" s="345"/>
      <c r="K4733" s="342"/>
      <c r="L4733" s="476">
        <v>53000</v>
      </c>
      <c r="M4733" s="355"/>
      <c r="N4733" s="355" t="s">
        <v>2408</v>
      </c>
      <c r="O4733" s="345"/>
      <c r="P4733" s="363"/>
      <c r="Q4733" s="327"/>
      <c r="R4733" s="351"/>
      <c r="S4733" s="351"/>
      <c r="T4733" s="351"/>
      <c r="U4733" s="329" t="str">
        <f>IF($N4733=$N$4,IFERROR(INDEX(DanhMuc!$E$154:$E$165,MATCH(MID($B4733,4,2),DanhMuc!$B$154:$B$165,0)),""),"")</f>
        <v/>
      </c>
      <c r="V4733" s="361"/>
      <c r="W4733" s="345"/>
      <c r="X4733" s="786"/>
      <c r="Y4733" s="1128" t="s">
        <v>3380</v>
      </c>
      <c r="Z4733" s="1128" t="s">
        <v>3381</v>
      </c>
      <c r="AA4733" s="1128" t="s">
        <v>3384</v>
      </c>
      <c r="AB4733" s="20"/>
      <c r="AC4733" s="73"/>
    </row>
    <row r="4734" spans="1:29">
      <c r="A4734" s="327" t="str">
        <f>IF(AND($B4734&lt;&gt;"",$C4734&lt;&gt;""),MAX($A$4730:$A4733)+1,"")</f>
        <v/>
      </c>
      <c r="B4734" s="359"/>
      <c r="C4734" s="360"/>
      <c r="D4734" s="327" t="str">
        <f>IF($B4734="","",COUNTIF($B$6:$B4734,$B4734))</f>
        <v/>
      </c>
      <c r="E4734" s="361" t="s">
        <v>2802</v>
      </c>
      <c r="F4734" s="362" t="s">
        <v>2806</v>
      </c>
      <c r="G4734" s="347" t="s">
        <v>424</v>
      </c>
      <c r="H4734" s="361" t="s">
        <v>536</v>
      </c>
      <c r="I4734" s="347"/>
      <c r="J4734" s="345"/>
      <c r="K4734" s="342"/>
      <c r="L4734" s="476">
        <v>53000</v>
      </c>
      <c r="M4734" s="355"/>
      <c r="N4734" s="355" t="s">
        <v>2408</v>
      </c>
      <c r="O4734" s="345"/>
      <c r="P4734" s="363"/>
      <c r="Q4734" s="327"/>
      <c r="R4734" s="351"/>
      <c r="S4734" s="351"/>
      <c r="T4734" s="351"/>
      <c r="U4734" s="329" t="str">
        <f>IF($N4734=$N$4,IFERROR(INDEX(DanhMuc!$E$154:$E$165,MATCH(MID($B4734,4,2),DanhMuc!$B$154:$B$165,0)),""),"")</f>
        <v/>
      </c>
      <c r="V4734" s="361"/>
      <c r="W4734" s="345"/>
      <c r="X4734" s="786"/>
      <c r="Y4734" s="1128" t="s">
        <v>3380</v>
      </c>
      <c r="Z4734" s="1128" t="s">
        <v>3381</v>
      </c>
      <c r="AA4734" s="1128" t="s">
        <v>3384</v>
      </c>
      <c r="AB4734" s="20"/>
      <c r="AC4734" s="73"/>
    </row>
    <row r="4735" spans="1:29">
      <c r="A4735" s="327" t="str">
        <f>IF(AND($B4735&lt;&gt;"",$C4735&lt;&gt;""),MAX($A$4730:$A4734)+1,"")</f>
        <v/>
      </c>
      <c r="B4735" s="359"/>
      <c r="C4735" s="360"/>
      <c r="D4735" s="327" t="str">
        <f>IF($B4735="","",COUNTIF($B$6:$B4735,$B4735))</f>
        <v/>
      </c>
      <c r="E4735" s="361" t="s">
        <v>2803</v>
      </c>
      <c r="F4735" s="362" t="s">
        <v>2807</v>
      </c>
      <c r="G4735" s="347" t="s">
        <v>424</v>
      </c>
      <c r="H4735" s="361" t="s">
        <v>536</v>
      </c>
      <c r="I4735" s="347"/>
      <c r="J4735" s="345"/>
      <c r="K4735" s="342"/>
      <c r="L4735" s="476">
        <v>53000</v>
      </c>
      <c r="M4735" s="355"/>
      <c r="N4735" s="355" t="s">
        <v>2408</v>
      </c>
      <c r="O4735" s="345"/>
      <c r="P4735" s="363"/>
      <c r="Q4735" s="327"/>
      <c r="R4735" s="351"/>
      <c r="S4735" s="351"/>
      <c r="T4735" s="351"/>
      <c r="U4735" s="329" t="str">
        <f>IF($N4735=$N$4,IFERROR(INDEX(DanhMuc!$E$154:$E$165,MATCH(MID($B4735,4,2),DanhMuc!$B$154:$B$165,0)),""),"")</f>
        <v/>
      </c>
      <c r="V4735" s="361"/>
      <c r="W4735" s="345"/>
      <c r="X4735" s="786"/>
      <c r="Y4735" s="1128" t="s">
        <v>3380</v>
      </c>
      <c r="Z4735" s="1128" t="s">
        <v>3381</v>
      </c>
      <c r="AA4735" s="1128" t="s">
        <v>3384</v>
      </c>
      <c r="AB4735" s="20"/>
      <c r="AC4735" s="73"/>
    </row>
    <row r="4736" spans="1:29">
      <c r="A4736" s="327" t="str">
        <f>IF(AND($B4736&lt;&gt;"",$C4736&lt;&gt;""),MAX($A$4730:$A4735)+1,"")</f>
        <v/>
      </c>
      <c r="B4736" s="359"/>
      <c r="C4736" s="360"/>
      <c r="D4736" s="327" t="str">
        <f>IF($B4736="","",COUNTIF($B$6:$B4736,$B4736))</f>
        <v/>
      </c>
      <c r="E4736" s="361" t="s">
        <v>2805</v>
      </c>
      <c r="F4736" s="362" t="s">
        <v>2808</v>
      </c>
      <c r="G4736" s="347" t="s">
        <v>424</v>
      </c>
      <c r="H4736" s="361" t="s">
        <v>536</v>
      </c>
      <c r="I4736" s="347"/>
      <c r="J4736" s="345"/>
      <c r="K4736" s="342"/>
      <c r="L4736" s="476">
        <v>60000</v>
      </c>
      <c r="M4736" s="355"/>
      <c r="N4736" s="355" t="s">
        <v>2408</v>
      </c>
      <c r="O4736" s="345"/>
      <c r="P4736" s="363"/>
      <c r="Q4736" s="327"/>
      <c r="R4736" s="351"/>
      <c r="S4736" s="351"/>
      <c r="T4736" s="351"/>
      <c r="U4736" s="329" t="str">
        <f>IF($N4736=$N$4,IFERROR(INDEX(DanhMuc!$E$154:$E$165,MATCH(MID($B4736,4,2),DanhMuc!$B$154:$B$165,0)),""),"")</f>
        <v/>
      </c>
      <c r="V4736" s="361"/>
      <c r="W4736" s="345"/>
      <c r="X4736" s="786"/>
      <c r="Y4736" s="1128" t="s">
        <v>3380</v>
      </c>
      <c r="Z4736" s="1128" t="s">
        <v>3381</v>
      </c>
      <c r="AA4736" s="1128" t="s">
        <v>3384</v>
      </c>
      <c r="AB4736" s="20"/>
      <c r="AC4736" s="73"/>
    </row>
    <row r="4737" spans="1:29" ht="26">
      <c r="A4737" s="327">
        <f>IF(AND($B4737&lt;&gt;"",$C4737&lt;&gt;""),MAX($A$4730:$A4731)+1,"")</f>
        <v>1</v>
      </c>
      <c r="B4737" s="359" t="s">
        <v>214</v>
      </c>
      <c r="C4737" s="360" t="s">
        <v>1527</v>
      </c>
      <c r="D4737" s="327">
        <f>IF($B4737="","",COUNTIF($B$4731:$B4737,$B4737))</f>
        <v>1</v>
      </c>
      <c r="E4737" s="402" t="s">
        <v>2301</v>
      </c>
      <c r="F4737" s="403" t="s">
        <v>2333</v>
      </c>
      <c r="G4737" s="327" t="s">
        <v>155</v>
      </c>
      <c r="H4737" s="361" t="s">
        <v>536</v>
      </c>
      <c r="I4737" s="327">
        <v>2</v>
      </c>
      <c r="J4737" s="361"/>
      <c r="K4737" s="327" t="s">
        <v>100</v>
      </c>
      <c r="L4737" s="389">
        <v>9400</v>
      </c>
      <c r="M4737" s="355"/>
      <c r="N4737" s="355" t="s">
        <v>2408</v>
      </c>
      <c r="O4737" s="345" t="s">
        <v>2776</v>
      </c>
      <c r="P4737" s="325"/>
      <c r="Q4737" s="327"/>
      <c r="R4737" s="351"/>
      <c r="S4737" s="351"/>
      <c r="T4737" s="351"/>
      <c r="U4737" s="329" t="str">
        <f>IF($N4737=$N$4,IFERROR(INDEX(DanhMuc!$E$154:$E$165,MATCH(MID($B4737,4,2),DanhMuc!$B$154:$B$165,0)),""),"")</f>
        <v/>
      </c>
      <c r="V4737" s="361"/>
      <c r="W4737" s="345"/>
      <c r="X4737" s="786"/>
      <c r="Y4737" s="1128" t="s">
        <v>3380</v>
      </c>
      <c r="Z4737" s="1128" t="s">
        <v>3381</v>
      </c>
      <c r="AA4737" s="1128" t="s">
        <v>3384</v>
      </c>
      <c r="AB4737" s="20"/>
      <c r="AC4737" s="73"/>
    </row>
    <row r="4738" spans="1:29">
      <c r="A4738" s="327" t="str">
        <f>IF(AND($B4738&lt;&gt;"",$C4738&lt;&gt;""),MAX($A$4730:$A4737)+1,"")</f>
        <v/>
      </c>
      <c r="B4738" s="361" t="s">
        <v>214</v>
      </c>
      <c r="C4738" s="360"/>
      <c r="D4738" s="327">
        <f>IF($B4738="","",COUNTIF($B$4731:$B4738,$B4738))</f>
        <v>2</v>
      </c>
      <c r="E4738" s="402" t="s">
        <v>2788</v>
      </c>
      <c r="F4738" s="403" t="s">
        <v>2789</v>
      </c>
      <c r="G4738" s="327" t="s">
        <v>155</v>
      </c>
      <c r="H4738" s="361" t="s">
        <v>536</v>
      </c>
      <c r="I4738" s="327">
        <f>4*I4737</f>
        <v>8</v>
      </c>
      <c r="J4738" s="361"/>
      <c r="K4738" s="327" t="s">
        <v>100</v>
      </c>
      <c r="L4738" s="389">
        <v>600</v>
      </c>
      <c r="M4738" s="355"/>
      <c r="N4738" s="355" t="s">
        <v>2408</v>
      </c>
      <c r="O4738" s="345" t="s">
        <v>2776</v>
      </c>
      <c r="P4738" s="325"/>
      <c r="Q4738" s="327"/>
      <c r="R4738" s="351"/>
      <c r="S4738" s="351"/>
      <c r="T4738" s="351"/>
      <c r="U4738" s="329" t="str">
        <f>IF($N4738=$N$4,IFERROR(INDEX(DanhMuc!$E$154:$E$165,MATCH(MID($B4738,4,2),DanhMuc!$B$154:$B$165,0)),""),"")</f>
        <v/>
      </c>
      <c r="V4738" s="361"/>
      <c r="W4738" s="345"/>
      <c r="X4738" s="786"/>
      <c r="Y4738" s="1128" t="s">
        <v>3380</v>
      </c>
      <c r="Z4738" s="1128" t="s">
        <v>3381</v>
      </c>
      <c r="AA4738" s="1128" t="s">
        <v>3384</v>
      </c>
      <c r="AB4738" s="20"/>
      <c r="AC4738" s="73"/>
    </row>
    <row r="4739" spans="1:29">
      <c r="A4739" s="327" t="str">
        <f>IF(AND($B4739&lt;&gt;"",$C4739&lt;&gt;""),MAX($A$4730:$A4737)+1,"")</f>
        <v/>
      </c>
      <c r="B4739" s="361" t="s">
        <v>214</v>
      </c>
      <c r="C4739" s="360"/>
      <c r="D4739" s="327">
        <f>IF($B4739="","",COUNTIF($B$4731:$B4739,$B4739))</f>
        <v>3</v>
      </c>
      <c r="E4739" s="361" t="s">
        <v>652</v>
      </c>
      <c r="F4739" s="362" t="s">
        <v>2330</v>
      </c>
      <c r="G4739" s="327" t="s">
        <v>155</v>
      </c>
      <c r="H4739" s="361" t="s">
        <v>536</v>
      </c>
      <c r="I4739" s="327">
        <v>2</v>
      </c>
      <c r="J4739" s="361"/>
      <c r="K4739" s="327" t="s">
        <v>100</v>
      </c>
      <c r="L4739" s="389">
        <v>15000</v>
      </c>
      <c r="M4739" s="355"/>
      <c r="N4739" s="355" t="s">
        <v>2408</v>
      </c>
      <c r="O4739" s="345" t="s">
        <v>2777</v>
      </c>
      <c r="P4739" s="325"/>
      <c r="Q4739" s="327"/>
      <c r="R4739" s="351">
        <v>4</v>
      </c>
      <c r="S4739" s="351">
        <v>5.8</v>
      </c>
      <c r="T4739" s="351">
        <v>4.9569999999999999</v>
      </c>
      <c r="U4739" s="329" t="str">
        <f>IF($N4739=$N$4,IFERROR(INDEX(DanhMuc!$E$154:$E$165,MATCH(MID($B4739,4,2),DanhMuc!$B$154:$B$165,0)),""),"")</f>
        <v/>
      </c>
      <c r="V4739" s="361"/>
      <c r="W4739" s="345"/>
      <c r="X4739" s="786"/>
      <c r="Y4739" s="1128" t="s">
        <v>3380</v>
      </c>
      <c r="Z4739" s="1128" t="s">
        <v>3381</v>
      </c>
      <c r="AA4739" s="1128" t="s">
        <v>3384</v>
      </c>
      <c r="AB4739" s="20"/>
      <c r="AC4739" s="73"/>
    </row>
    <row r="4740" spans="1:29">
      <c r="A4740" s="327" t="str">
        <f>IF(AND($B4740&lt;&gt;"",$C4740&lt;&gt;""),MAX($A$4730:$A4737)+1,"")</f>
        <v/>
      </c>
      <c r="B4740" s="361" t="s">
        <v>214</v>
      </c>
      <c r="C4740" s="362"/>
      <c r="D4740" s="327">
        <f>IF($B4740="","",COUNTIF($B$4731:$B4740,$B4740))</f>
        <v>4</v>
      </c>
      <c r="E4740" s="402" t="s">
        <v>2301</v>
      </c>
      <c r="F4740" s="403" t="s">
        <v>2333</v>
      </c>
      <c r="G4740" s="327" t="s">
        <v>155</v>
      </c>
      <c r="H4740" s="361" t="s">
        <v>536</v>
      </c>
      <c r="I4740" s="327">
        <v>4</v>
      </c>
      <c r="J4740" s="361"/>
      <c r="K4740" s="327" t="s">
        <v>101</v>
      </c>
      <c r="L4740" s="389">
        <v>9400</v>
      </c>
      <c r="M4740" s="355"/>
      <c r="N4740" s="355" t="s">
        <v>2408</v>
      </c>
      <c r="O4740" s="345" t="s">
        <v>2778</v>
      </c>
      <c r="P4740" s="325"/>
      <c r="Q4740" s="327"/>
      <c r="R4740" s="351"/>
      <c r="S4740" s="351"/>
      <c r="T4740" s="351"/>
      <c r="U4740" s="329" t="str">
        <f>IF($N4740=$N$4,IFERROR(INDEX(DanhMuc!$E$154:$E$165,MATCH(MID($B4740,4,2),DanhMuc!$B$154:$B$165,0)),""),"")</f>
        <v/>
      </c>
      <c r="V4740" s="361"/>
      <c r="W4740" s="345"/>
      <c r="X4740" s="786"/>
      <c r="Y4740" s="1128" t="s">
        <v>3380</v>
      </c>
      <c r="Z4740" s="1128" t="s">
        <v>3381</v>
      </c>
      <c r="AA4740" s="1128" t="s">
        <v>3384</v>
      </c>
      <c r="AB4740" s="20"/>
      <c r="AC4740" s="73"/>
    </row>
    <row r="4741" spans="1:29">
      <c r="A4741" s="327" t="str">
        <f>IF(AND($B4741&lt;&gt;"",$C4741&lt;&gt;""),MAX($A$4730:$A4740)+1,"")</f>
        <v/>
      </c>
      <c r="B4741" s="361" t="s">
        <v>214</v>
      </c>
      <c r="C4741" s="360"/>
      <c r="D4741" s="327">
        <f>IF($B4741="","",COUNTIF($B$4731:$B4741,$B4741))</f>
        <v>5</v>
      </c>
      <c r="E4741" s="402" t="s">
        <v>2788</v>
      </c>
      <c r="F4741" s="403" t="s">
        <v>2789</v>
      </c>
      <c r="G4741" s="327" t="s">
        <v>155</v>
      </c>
      <c r="H4741" s="361" t="s">
        <v>536</v>
      </c>
      <c r="I4741" s="327">
        <f>4*I4740</f>
        <v>16</v>
      </c>
      <c r="J4741" s="361"/>
      <c r="K4741" s="327" t="s">
        <v>101</v>
      </c>
      <c r="L4741" s="389">
        <v>600</v>
      </c>
      <c r="M4741" s="355"/>
      <c r="N4741" s="355" t="s">
        <v>2408</v>
      </c>
      <c r="O4741" s="345" t="s">
        <v>2778</v>
      </c>
      <c r="P4741" s="325"/>
      <c r="Q4741" s="327"/>
      <c r="R4741" s="351"/>
      <c r="S4741" s="351"/>
      <c r="T4741" s="351"/>
      <c r="U4741" s="329" t="str">
        <f>IF($N4741=$N$4,IFERROR(INDEX(DanhMuc!$E$154:$E$165,MATCH(MID($B4741,4,2),DanhMuc!$B$154:$B$165,0)),""),"")</f>
        <v/>
      </c>
      <c r="V4741" s="361"/>
      <c r="W4741" s="345"/>
      <c r="X4741" s="786"/>
      <c r="Y4741" s="1128" t="s">
        <v>3380</v>
      </c>
      <c r="Z4741" s="1128" t="s">
        <v>3381</v>
      </c>
      <c r="AA4741" s="1128" t="s">
        <v>3384</v>
      </c>
      <c r="AB4741" s="20"/>
      <c r="AC4741" s="73"/>
    </row>
    <row r="4742" spans="1:29">
      <c r="A4742" s="327" t="str">
        <f>IF(AND($B4742&lt;&gt;"",$C4742&lt;&gt;""),MAX($A$4730:$A4739)+1,"")</f>
        <v/>
      </c>
      <c r="B4742" s="361" t="s">
        <v>214</v>
      </c>
      <c r="C4742" s="362"/>
      <c r="D4742" s="327">
        <f>IF($B4742="","",COUNTIF($B$4731:$B4742,$B4742))</f>
        <v>6</v>
      </c>
      <c r="E4742" s="361" t="s">
        <v>652</v>
      </c>
      <c r="F4742" s="362" t="s">
        <v>2330</v>
      </c>
      <c r="G4742" s="327" t="s">
        <v>155</v>
      </c>
      <c r="H4742" s="361" t="s">
        <v>536</v>
      </c>
      <c r="I4742" s="327">
        <v>4</v>
      </c>
      <c r="J4742" s="361"/>
      <c r="K4742" s="327" t="s">
        <v>101</v>
      </c>
      <c r="L4742" s="389">
        <v>15000</v>
      </c>
      <c r="M4742" s="355"/>
      <c r="N4742" s="355" t="s">
        <v>2408</v>
      </c>
      <c r="O4742" s="345" t="s">
        <v>2779</v>
      </c>
      <c r="P4742" s="325"/>
      <c r="Q4742" s="327"/>
      <c r="R4742" s="351">
        <v>4</v>
      </c>
      <c r="S4742" s="351">
        <v>5.8</v>
      </c>
      <c r="T4742" s="351">
        <v>4.9569999999999999</v>
      </c>
      <c r="U4742" s="329" t="str">
        <f>IF($N4742=$N$4,IFERROR(INDEX(DanhMuc!$E$154:$E$165,MATCH(MID($B4742,4,2),DanhMuc!$B$154:$B$165,0)),""),"")</f>
        <v/>
      </c>
      <c r="V4742" s="361"/>
      <c r="W4742" s="345"/>
      <c r="X4742" s="786"/>
      <c r="Y4742" s="1128" t="s">
        <v>3380</v>
      </c>
      <c r="Z4742" s="1128" t="s">
        <v>3381</v>
      </c>
      <c r="AA4742" s="1128" t="s">
        <v>3384</v>
      </c>
      <c r="AB4742" s="20"/>
      <c r="AC4742" s="73"/>
    </row>
    <row r="4743" spans="1:29">
      <c r="A4743" s="327" t="str">
        <f>IF(AND($B4743&lt;&gt;"",$C4743&lt;&gt;""),MAX($A$4730:$A4740)+1,"")</f>
        <v/>
      </c>
      <c r="B4743" s="361" t="s">
        <v>214</v>
      </c>
      <c r="C4743" s="362"/>
      <c r="D4743" s="327">
        <f>IF($B4743="","",COUNTIF($B$4731:$B4743,$B4743))</f>
        <v>7</v>
      </c>
      <c r="E4743" s="361" t="s">
        <v>414</v>
      </c>
      <c r="F4743" s="362" t="s">
        <v>413</v>
      </c>
      <c r="G4743" s="327" t="s">
        <v>155</v>
      </c>
      <c r="H4743" s="361" t="s">
        <v>536</v>
      </c>
      <c r="I4743" s="327">
        <f>+I4737+I4740*2</f>
        <v>10</v>
      </c>
      <c r="J4743" s="361"/>
      <c r="K4743" s="327" t="s">
        <v>558</v>
      </c>
      <c r="L4743" s="389">
        <v>408</v>
      </c>
      <c r="M4743" s="355"/>
      <c r="N4743" s="355" t="s">
        <v>2408</v>
      </c>
      <c r="O4743" s="345"/>
      <c r="P4743" s="325"/>
      <c r="Q4743" s="327"/>
      <c r="R4743" s="351"/>
      <c r="S4743" s="351"/>
      <c r="T4743" s="351"/>
      <c r="U4743" s="329" t="str">
        <f>IF($N4743=$N$4,IFERROR(INDEX(DanhMuc!$E$154:$E$165,MATCH(MID($B4743,4,2),DanhMuc!$B$154:$B$165,0)),""),"")</f>
        <v/>
      </c>
      <c r="V4743" s="361"/>
      <c r="W4743" s="345"/>
      <c r="X4743" s="786"/>
      <c r="Y4743" s="1128" t="s">
        <v>3380</v>
      </c>
      <c r="Z4743" s="1128" t="s">
        <v>3381</v>
      </c>
      <c r="AA4743" s="1128" t="s">
        <v>3384</v>
      </c>
      <c r="AB4743" s="20"/>
      <c r="AC4743" s="73"/>
    </row>
    <row r="4744" spans="1:29">
      <c r="A4744" s="327" t="str">
        <f>IF(AND($B4744&lt;&gt;"",$C4744&lt;&gt;""),MAX($A$4730:$A4742)+1,"")</f>
        <v/>
      </c>
      <c r="B4744" s="361" t="s">
        <v>214</v>
      </c>
      <c r="C4744" s="362"/>
      <c r="D4744" s="327">
        <f>IF($B4744="","",COUNTIF($B$4731:$B4744,$B4744))</f>
        <v>8</v>
      </c>
      <c r="E4744" s="361" t="s">
        <v>654</v>
      </c>
      <c r="F4744" s="362" t="s">
        <v>653</v>
      </c>
      <c r="G4744" s="327" t="s">
        <v>1836</v>
      </c>
      <c r="H4744" s="361" t="s">
        <v>536</v>
      </c>
      <c r="I4744" s="327">
        <f>I4739/45</f>
        <v>4.4444444444444446E-2</v>
      </c>
      <c r="J4744" s="477"/>
      <c r="K4744" s="327" t="s">
        <v>655</v>
      </c>
      <c r="L4744" s="478">
        <v>115000</v>
      </c>
      <c r="M4744" s="355"/>
      <c r="N4744" s="355" t="s">
        <v>2408</v>
      </c>
      <c r="O4744" s="345" t="s">
        <v>2777</v>
      </c>
      <c r="P4744" s="325"/>
      <c r="Q4744" s="327"/>
      <c r="R4744" s="351"/>
      <c r="S4744" s="351"/>
      <c r="T4744" s="351"/>
      <c r="U4744" s="329" t="str">
        <f>IF($N4744=$N$4,IFERROR(INDEX(DanhMuc!$E$154:$E$165,MATCH(MID($B4744,4,2),DanhMuc!$B$154:$B$165,0)),""),"")</f>
        <v/>
      </c>
      <c r="V4744" s="361"/>
      <c r="W4744" s="345"/>
      <c r="X4744" s="786"/>
      <c r="Y4744" s="1128" t="s">
        <v>3380</v>
      </c>
      <c r="Z4744" s="1128" t="s">
        <v>3381</v>
      </c>
      <c r="AA4744" s="1128" t="s">
        <v>3384</v>
      </c>
      <c r="AB4744" s="20"/>
      <c r="AC4744" s="73"/>
    </row>
    <row r="4745" spans="1:29">
      <c r="A4745" s="327" t="str">
        <f>IF(AND($B4745&lt;&gt;"",$C4745&lt;&gt;""),MAX($A$4730:$A4743)+1,"")</f>
        <v/>
      </c>
      <c r="B4745" s="361" t="s">
        <v>214</v>
      </c>
      <c r="C4745" s="362"/>
      <c r="D4745" s="327">
        <f>IF($B4745="","",COUNTIF($B$4731:$B4745,$B4745))</f>
        <v>9</v>
      </c>
      <c r="E4745" s="361" t="s">
        <v>654</v>
      </c>
      <c r="F4745" s="362" t="s">
        <v>653</v>
      </c>
      <c r="G4745" s="327" t="s">
        <v>1836</v>
      </c>
      <c r="H4745" s="361" t="s">
        <v>536</v>
      </c>
      <c r="I4745" s="327">
        <f>I4742/45</f>
        <v>8.8888888888888892E-2</v>
      </c>
      <c r="J4745" s="477"/>
      <c r="K4745" s="327" t="s">
        <v>655</v>
      </c>
      <c r="L4745" s="478">
        <v>115000</v>
      </c>
      <c r="M4745" s="355"/>
      <c r="N4745" s="355" t="s">
        <v>2408</v>
      </c>
      <c r="O4745" s="345" t="s">
        <v>2779</v>
      </c>
      <c r="P4745" s="325"/>
      <c r="Q4745" s="327"/>
      <c r="R4745" s="351"/>
      <c r="S4745" s="351"/>
      <c r="T4745" s="351"/>
      <c r="U4745" s="329" t="str">
        <f>IF($N4745=$N$4,IFERROR(INDEX(DanhMuc!$E$154:$E$165,MATCH(MID($B4745,4,2),DanhMuc!$B$154:$B$165,0)),""),"")</f>
        <v/>
      </c>
      <c r="V4745" s="361"/>
      <c r="W4745" s="345"/>
      <c r="X4745" s="786"/>
      <c r="Y4745" s="1128" t="s">
        <v>3380</v>
      </c>
      <c r="Z4745" s="1128" t="s">
        <v>3381</v>
      </c>
      <c r="AA4745" s="1128" t="s">
        <v>3384</v>
      </c>
      <c r="AB4745" s="20"/>
      <c r="AC4745" s="73"/>
    </row>
    <row r="4746" spans="1:29">
      <c r="A4746" s="327" t="str">
        <f>IF(AND($B4746&lt;&gt;"",$C4746&lt;&gt;""),MAX($A$4730:$A4743)+1,"")</f>
        <v/>
      </c>
      <c r="B4746" s="361" t="s">
        <v>214</v>
      </c>
      <c r="C4746" s="362"/>
      <c r="D4746" s="327">
        <f>IF($B4746="","",COUNTIF($B$4731:$B4746,$B4746))</f>
        <v>10</v>
      </c>
      <c r="E4746" s="361" t="s">
        <v>1826</v>
      </c>
      <c r="F4746" s="362" t="s">
        <v>670</v>
      </c>
      <c r="G4746" s="327" t="s">
        <v>661</v>
      </c>
      <c r="H4746" s="361" t="s">
        <v>536</v>
      </c>
      <c r="I4746" s="361" t="s">
        <v>2354</v>
      </c>
      <c r="J4746" s="361"/>
      <c r="K4746" s="327" t="s">
        <v>103</v>
      </c>
      <c r="L4746" s="478">
        <f>40000/1000</f>
        <v>40</v>
      </c>
      <c r="M4746" s="355"/>
      <c r="N4746" s="355" t="s">
        <v>2408</v>
      </c>
      <c r="O4746" s="345"/>
      <c r="P4746" s="325"/>
      <c r="Q4746" s="327"/>
      <c r="R4746" s="351"/>
      <c r="S4746" s="351"/>
      <c r="T4746" s="351"/>
      <c r="U4746" s="329" t="str">
        <f>IF($N4746=$N$4,IFERROR(INDEX(DanhMuc!$E$154:$E$165,MATCH(MID($B4746,4,2),DanhMuc!$B$154:$B$165,0)),""),"")</f>
        <v/>
      </c>
      <c r="V4746" s="361" t="s">
        <v>1445</v>
      </c>
      <c r="W4746" s="345"/>
      <c r="X4746" s="786"/>
      <c r="Y4746" s="1128" t="s">
        <v>3380</v>
      </c>
      <c r="Z4746" s="1128" t="s">
        <v>3381</v>
      </c>
      <c r="AA4746" s="1128" t="s">
        <v>3384</v>
      </c>
      <c r="AB4746" s="20"/>
      <c r="AC4746" s="73"/>
    </row>
    <row r="4747" spans="1:29" ht="37.5">
      <c r="A4747" s="327" t="str">
        <f>IF(AND($B4747&lt;&gt;"",$C4747&lt;&gt;""),MAX($A$4730:$A4746)+1,"")</f>
        <v/>
      </c>
      <c r="B4747" s="361" t="s">
        <v>214</v>
      </c>
      <c r="C4747" s="362"/>
      <c r="D4747" s="327">
        <f>IF($B4747="","",COUNTIF($B$4731:$B4747,$B4747))</f>
        <v>11</v>
      </c>
      <c r="E4747" s="362" t="s">
        <v>1964</v>
      </c>
      <c r="F4747" s="362" t="s">
        <v>1965</v>
      </c>
      <c r="G4747" s="327" t="s">
        <v>405</v>
      </c>
      <c r="H4747" s="361" t="s">
        <v>536</v>
      </c>
      <c r="I4747" s="361" t="s">
        <v>693</v>
      </c>
      <c r="J4747" s="361"/>
      <c r="K4747" s="327" t="s">
        <v>223</v>
      </c>
      <c r="L4747" s="478">
        <v>140</v>
      </c>
      <c r="M4747" s="371"/>
      <c r="N4747" s="355" t="s">
        <v>2408</v>
      </c>
      <c r="O4747" s="345"/>
      <c r="P4747" s="325"/>
      <c r="Q4747" s="327"/>
      <c r="R4747" s="351"/>
      <c r="S4747" s="351"/>
      <c r="T4747" s="351"/>
      <c r="U4747" s="329" t="str">
        <f>IF($N4747=$N$4,IFERROR(INDEX(DanhMuc!$E$154:$E$165,MATCH(MID($B4747,4,2),DanhMuc!$B$154:$B$165,0)),""),"")</f>
        <v/>
      </c>
      <c r="V4747" s="361"/>
      <c r="W4747" s="345"/>
      <c r="X4747" s="786"/>
      <c r="Y4747" s="1128" t="s">
        <v>3380</v>
      </c>
      <c r="Z4747" s="1128" t="s">
        <v>3381</v>
      </c>
      <c r="AA4747" s="1128" t="s">
        <v>3384</v>
      </c>
      <c r="AB4747" s="20"/>
      <c r="AC4747" s="73"/>
    </row>
    <row r="4748" spans="1:29" ht="37.5">
      <c r="A4748" s="327" t="str">
        <f>IF(AND($B4748&lt;&gt;"",$C4748&lt;&gt;""),MAX($A$4730:$A4747)+1,"")</f>
        <v/>
      </c>
      <c r="B4748" s="361" t="s">
        <v>214</v>
      </c>
      <c r="C4748" s="362"/>
      <c r="D4748" s="327">
        <f>IF($B4748="","",COUNTIF($B$4731:$B4748,$B4748))</f>
        <v>12</v>
      </c>
      <c r="E4748" s="362" t="s">
        <v>2756</v>
      </c>
      <c r="F4748" s="362" t="s">
        <v>2757</v>
      </c>
      <c r="G4748" s="327" t="s">
        <v>405</v>
      </c>
      <c r="H4748" s="361" t="s">
        <v>536</v>
      </c>
      <c r="I4748" s="361" t="s">
        <v>693</v>
      </c>
      <c r="J4748" s="361"/>
      <c r="K4748" s="327" t="s">
        <v>223</v>
      </c>
      <c r="L4748" s="479">
        <v>322</v>
      </c>
      <c r="M4748" s="371"/>
      <c r="N4748" s="355" t="s">
        <v>2408</v>
      </c>
      <c r="O4748" s="345"/>
      <c r="P4748" s="325"/>
      <c r="Q4748" s="327"/>
      <c r="R4748" s="351"/>
      <c r="S4748" s="351"/>
      <c r="T4748" s="351"/>
      <c r="U4748" s="329" t="str">
        <f>IF($N4748=$N$4,IFERROR(INDEX(DanhMuc!$E$154:$E$165,MATCH(MID($B4748,4,2),DanhMuc!$B$154:$B$165,0)),""),"")</f>
        <v/>
      </c>
      <c r="V4748" s="361"/>
      <c r="W4748" s="345"/>
      <c r="X4748" s="786"/>
      <c r="Y4748" s="1128" t="s">
        <v>3380</v>
      </c>
      <c r="Z4748" s="1128" t="s">
        <v>3381</v>
      </c>
      <c r="AA4748" s="1128" t="s">
        <v>3384</v>
      </c>
      <c r="AB4748" s="20"/>
      <c r="AC4748" s="73"/>
    </row>
    <row r="4749" spans="1:29">
      <c r="A4749" s="327" t="str">
        <f>IF(AND($B4749&lt;&gt;"",$C4749&lt;&gt;""),MAX($A$4730:$A4748)+1,"")</f>
        <v/>
      </c>
      <c r="B4749" s="361" t="s">
        <v>214</v>
      </c>
      <c r="C4749" s="362"/>
      <c r="D4749" s="327">
        <f>IF($B4749="","",COUNTIF($B$4731:$B4749,$B4749))</f>
        <v>13</v>
      </c>
      <c r="E4749" s="361" t="s">
        <v>656</v>
      </c>
      <c r="F4749" s="362" t="s">
        <v>2239</v>
      </c>
      <c r="G4749" s="327" t="s">
        <v>405</v>
      </c>
      <c r="H4749" s="361" t="s">
        <v>536</v>
      </c>
      <c r="I4749" s="361" t="s">
        <v>1827</v>
      </c>
      <c r="J4749" s="361"/>
      <c r="K4749" s="327" t="s">
        <v>100</v>
      </c>
      <c r="L4749" s="478">
        <v>970</v>
      </c>
      <c r="M4749" s="371"/>
      <c r="N4749" s="355" t="s">
        <v>2409</v>
      </c>
      <c r="O4749" s="345"/>
      <c r="P4749" s="325"/>
      <c r="Q4749" s="327"/>
      <c r="R4749" s="351"/>
      <c r="S4749" s="351"/>
      <c r="T4749" s="351"/>
      <c r="U4749" s="329" t="str">
        <f>IF($N4749=$N$4,IFERROR(INDEX(DanhMuc!$E$154:$E$165,MATCH(MID($B4749,4,2),DanhMuc!$B$154:$B$165,0)),""),"")</f>
        <v/>
      </c>
      <c r="V4749" s="361"/>
      <c r="W4749" s="345"/>
      <c r="X4749" s="786"/>
      <c r="Y4749" s="1128" t="s">
        <v>3380</v>
      </c>
      <c r="Z4749" s="1128" t="s">
        <v>3381</v>
      </c>
      <c r="AA4749" s="1128" t="s">
        <v>3384</v>
      </c>
      <c r="AB4749" s="20"/>
      <c r="AC4749" s="73"/>
    </row>
    <row r="4750" spans="1:29">
      <c r="A4750" s="327" t="str">
        <f>IF(AND($B4750&lt;&gt;"",$C4750&lt;&gt;""),MAX($A$4730:$A4749)+1,"")</f>
        <v/>
      </c>
      <c r="B4750" s="361" t="s">
        <v>214</v>
      </c>
      <c r="C4750" s="362"/>
      <c r="D4750" s="327">
        <f>IF($B4750="","",COUNTIF($B$4731:$B4750,$B4750))</f>
        <v>14</v>
      </c>
      <c r="E4750" s="361" t="s">
        <v>657</v>
      </c>
      <c r="F4750" s="362" t="s">
        <v>658</v>
      </c>
      <c r="G4750" s="327" t="s">
        <v>424</v>
      </c>
      <c r="H4750" s="361" t="s">
        <v>536</v>
      </c>
      <c r="I4750" s="361" t="s">
        <v>665</v>
      </c>
      <c r="J4750" s="361"/>
      <c r="K4750" s="327" t="s">
        <v>100</v>
      </c>
      <c r="L4750" s="478">
        <v>60000</v>
      </c>
      <c r="M4750" s="355"/>
      <c r="N4750" s="355" t="s">
        <v>2409</v>
      </c>
      <c r="O4750" s="345"/>
      <c r="P4750" s="325"/>
      <c r="Q4750" s="327"/>
      <c r="R4750" s="351"/>
      <c r="S4750" s="351"/>
      <c r="T4750" s="351"/>
      <c r="U4750" s="329" t="str">
        <f>IF($N4750=$N$4,IFERROR(INDEX(DanhMuc!$E$154:$E$165,MATCH(MID($B4750,4,2),DanhMuc!$B$154:$B$165,0)),""),"")</f>
        <v/>
      </c>
      <c r="V4750" s="361"/>
      <c r="W4750" s="345"/>
      <c r="X4750" s="786"/>
      <c r="Y4750" s="1128" t="s">
        <v>3380</v>
      </c>
      <c r="Z4750" s="1128" t="s">
        <v>3381</v>
      </c>
      <c r="AA4750" s="1128" t="s">
        <v>3384</v>
      </c>
      <c r="AB4750" s="20"/>
      <c r="AC4750" s="73"/>
    </row>
    <row r="4751" spans="1:29">
      <c r="A4751" s="327" t="str">
        <f>IF(AND($B4751&lt;&gt;"",$C4751&lt;&gt;""),MAX($A$4730:$A4750)+1,"")</f>
        <v/>
      </c>
      <c r="B4751" s="361" t="s">
        <v>214</v>
      </c>
      <c r="C4751" s="362"/>
      <c r="D4751" s="327">
        <f>IF($B4751="","",COUNTIF($B$4731:$B4751,$B4751))</f>
        <v>15</v>
      </c>
      <c r="E4751" s="361" t="s">
        <v>2771</v>
      </c>
      <c r="F4751" s="362" t="s">
        <v>659</v>
      </c>
      <c r="G4751" s="327" t="s">
        <v>424</v>
      </c>
      <c r="H4751" s="361" t="s">
        <v>536</v>
      </c>
      <c r="I4751" s="361" t="s">
        <v>666</v>
      </c>
      <c r="J4751" s="361"/>
      <c r="K4751" s="327" t="s">
        <v>100</v>
      </c>
      <c r="L4751" s="389">
        <v>53000</v>
      </c>
      <c r="M4751" s="355"/>
      <c r="N4751" s="355" t="s">
        <v>2409</v>
      </c>
      <c r="O4751" s="345"/>
      <c r="P4751" s="325"/>
      <c r="Q4751" s="327"/>
      <c r="R4751" s="351"/>
      <c r="S4751" s="351"/>
      <c r="T4751" s="351"/>
      <c r="U4751" s="329" t="str">
        <f>IF($N4751=$N$4,IFERROR(INDEX(DanhMuc!$E$154:$E$165,MATCH(MID($B4751,4,2),DanhMuc!$B$154:$B$165,0)),""),"")</f>
        <v/>
      </c>
      <c r="V4751" s="361"/>
      <c r="W4751" s="345"/>
      <c r="X4751" s="786"/>
      <c r="Y4751" s="1128" t="s">
        <v>3380</v>
      </c>
      <c r="Z4751" s="1128" t="s">
        <v>3381</v>
      </c>
      <c r="AA4751" s="1128" t="s">
        <v>3384</v>
      </c>
      <c r="AB4751" s="20"/>
      <c r="AC4751" s="73"/>
    </row>
    <row r="4752" spans="1:29">
      <c r="A4752" s="327" t="str">
        <f>IF(AND($B4752&lt;&gt;"",$C4752&lt;&gt;""),MAX($A$4730:$A4751)+1,"")</f>
        <v/>
      </c>
      <c r="B4752" s="361" t="s">
        <v>214</v>
      </c>
      <c r="C4752" s="362"/>
      <c r="D4752" s="327">
        <f>IF($B4752="","",COUNTIF($B$4731:$B4752,$B4752))</f>
        <v>16</v>
      </c>
      <c r="E4752" s="361" t="s">
        <v>1828</v>
      </c>
      <c r="F4752" s="362" t="s">
        <v>671</v>
      </c>
      <c r="G4752" s="327" t="s">
        <v>661</v>
      </c>
      <c r="H4752" s="361" t="s">
        <v>536</v>
      </c>
      <c r="I4752" s="361" t="s">
        <v>2355</v>
      </c>
      <c r="J4752" s="361"/>
      <c r="K4752" s="327" t="s">
        <v>100</v>
      </c>
      <c r="L4752" s="478">
        <f>40000/1000</f>
        <v>40</v>
      </c>
      <c r="M4752" s="355"/>
      <c r="N4752" s="355" t="s">
        <v>2409</v>
      </c>
      <c r="O4752" s="345"/>
      <c r="P4752" s="325"/>
      <c r="Q4752" s="327"/>
      <c r="R4752" s="351"/>
      <c r="S4752" s="351"/>
      <c r="T4752" s="351"/>
      <c r="U4752" s="329" t="str">
        <f>IF($N4752=$N$4,IFERROR(INDEX(DanhMuc!$E$154:$E$165,MATCH(MID($B4752,4,2),DanhMuc!$B$154:$B$165,0)),""),"")</f>
        <v/>
      </c>
      <c r="V4752" s="361" t="s">
        <v>1445</v>
      </c>
      <c r="W4752" s="345"/>
      <c r="X4752" s="786"/>
      <c r="Y4752" s="1128" t="s">
        <v>3380</v>
      </c>
      <c r="Z4752" s="1128" t="s">
        <v>3381</v>
      </c>
      <c r="AA4752" s="1128" t="s">
        <v>3384</v>
      </c>
      <c r="AB4752" s="20"/>
      <c r="AC4752" s="73"/>
    </row>
    <row r="4753" spans="1:29">
      <c r="A4753" s="327" t="str">
        <f>IF(AND($B4753&lt;&gt;"",$C4753&lt;&gt;""),MAX($A$4730:$A4752)+1,"")</f>
        <v/>
      </c>
      <c r="B4753" s="361" t="s">
        <v>214</v>
      </c>
      <c r="C4753" s="362"/>
      <c r="D4753" s="327">
        <f>IF($B4753="","",COUNTIF($B$4731:$B4753,$B4753))</f>
        <v>17</v>
      </c>
      <c r="E4753" s="361" t="s">
        <v>154</v>
      </c>
      <c r="F4753" s="362" t="s">
        <v>660</v>
      </c>
      <c r="G4753" s="327" t="s">
        <v>661</v>
      </c>
      <c r="H4753" s="361" t="s">
        <v>536</v>
      </c>
      <c r="I4753" s="361" t="s">
        <v>667</v>
      </c>
      <c r="J4753" s="361"/>
      <c r="K4753" s="327" t="s">
        <v>662</v>
      </c>
      <c r="L4753" s="478">
        <v>20</v>
      </c>
      <c r="M4753" s="355"/>
      <c r="N4753" s="355" t="s">
        <v>2409</v>
      </c>
      <c r="O4753" s="345"/>
      <c r="P4753" s="325"/>
      <c r="Q4753" s="327"/>
      <c r="R4753" s="351"/>
      <c r="S4753" s="351"/>
      <c r="T4753" s="351"/>
      <c r="U4753" s="329" t="str">
        <f>IF($N4753=$N$4,IFERROR(INDEX(DanhMuc!$E$154:$E$165,MATCH(MID($B4753,4,2),DanhMuc!$B$154:$B$165,0)),""),"")</f>
        <v/>
      </c>
      <c r="V4753" s="361"/>
      <c r="W4753" s="345"/>
      <c r="X4753" s="786"/>
      <c r="Y4753" s="1128" t="s">
        <v>3380</v>
      </c>
      <c r="Z4753" s="1128" t="s">
        <v>3381</v>
      </c>
      <c r="AA4753" s="1128" t="s">
        <v>3384</v>
      </c>
      <c r="AB4753" s="20"/>
      <c r="AC4753" s="73"/>
    </row>
    <row r="4754" spans="1:29">
      <c r="A4754" s="327" t="str">
        <f>IF(AND($B4754&lt;&gt;"",$C4754&lt;&gt;""),MAX($A$4730:$A4753)+1,"")</f>
        <v/>
      </c>
      <c r="B4754" s="361" t="s">
        <v>214</v>
      </c>
      <c r="C4754" s="362"/>
      <c r="D4754" s="327">
        <f>IF($B4754="","",COUNTIF($B$4731:$B4754,$B4754))</f>
        <v>18</v>
      </c>
      <c r="E4754" s="362" t="s">
        <v>2282</v>
      </c>
      <c r="F4754" s="362" t="s">
        <v>2283</v>
      </c>
      <c r="G4754" s="327" t="s">
        <v>424</v>
      </c>
      <c r="H4754" s="361" t="s">
        <v>536</v>
      </c>
      <c r="I4754" s="361" t="s">
        <v>2238</v>
      </c>
      <c r="J4754" s="361"/>
      <c r="K4754" s="327" t="s">
        <v>662</v>
      </c>
      <c r="L4754" s="478">
        <v>28000</v>
      </c>
      <c r="M4754" s="355"/>
      <c r="N4754" s="355" t="s">
        <v>2409</v>
      </c>
      <c r="O4754" s="345"/>
      <c r="P4754" s="325"/>
      <c r="Q4754" s="327"/>
      <c r="R4754" s="351"/>
      <c r="S4754" s="351"/>
      <c r="T4754" s="351"/>
      <c r="U4754" s="329" t="str">
        <f>IF($N4754=$N$4,IFERROR(INDEX(DanhMuc!$E$154:$E$165,MATCH(MID($B4754,4,2),DanhMuc!$B$154:$B$165,0)),""),"")</f>
        <v/>
      </c>
      <c r="V4754" s="361"/>
      <c r="W4754" s="345"/>
      <c r="X4754" s="786"/>
      <c r="Y4754" s="1128" t="s">
        <v>3380</v>
      </c>
      <c r="Z4754" s="1128" t="s">
        <v>3381</v>
      </c>
      <c r="AA4754" s="1128" t="s">
        <v>3384</v>
      </c>
      <c r="AB4754" s="20"/>
      <c r="AC4754" s="73"/>
    </row>
    <row r="4755" spans="1:29">
      <c r="A4755" s="327" t="str">
        <f>IF(AND($B4755&lt;&gt;"",$C4755&lt;&gt;""),MAX($A$4730:$A4754)+1,"")</f>
        <v/>
      </c>
      <c r="B4755" s="361" t="s">
        <v>214</v>
      </c>
      <c r="C4755" s="362"/>
      <c r="D4755" s="327">
        <f>IF($B4755="","",COUNTIF($B$4731:$B4755,$B4755))</f>
        <v>19</v>
      </c>
      <c r="E4755" s="362" t="s">
        <v>663</v>
      </c>
      <c r="F4755" s="362" t="s">
        <v>664</v>
      </c>
      <c r="G4755" s="327" t="s">
        <v>155</v>
      </c>
      <c r="H4755" s="361" t="s">
        <v>536</v>
      </c>
      <c r="I4755" s="361" t="s">
        <v>672</v>
      </c>
      <c r="J4755" s="361"/>
      <c r="K4755" s="327" t="s">
        <v>662</v>
      </c>
      <c r="L4755" s="478">
        <v>1000</v>
      </c>
      <c r="M4755" s="355"/>
      <c r="N4755" s="355" t="s">
        <v>2409</v>
      </c>
      <c r="O4755" s="345"/>
      <c r="P4755" s="325"/>
      <c r="Q4755" s="327"/>
      <c r="R4755" s="351"/>
      <c r="S4755" s="351"/>
      <c r="T4755" s="351"/>
      <c r="U4755" s="329" t="str">
        <f>IF($N4755=$N$4,IFERROR(INDEX(DanhMuc!$E$154:$E$165,MATCH(MID($B4755,4,2),DanhMuc!$B$154:$B$165,0)),""),"")</f>
        <v/>
      </c>
      <c r="V4755" s="361"/>
      <c r="W4755" s="345"/>
      <c r="X4755" s="786"/>
      <c r="Y4755" s="1128" t="s">
        <v>3380</v>
      </c>
      <c r="Z4755" s="1128" t="s">
        <v>3381</v>
      </c>
      <c r="AA4755" s="1128" t="s">
        <v>3384</v>
      </c>
      <c r="AB4755" s="20"/>
      <c r="AC4755" s="73"/>
    </row>
    <row r="4756" spans="1:29" ht="26">
      <c r="A4756" s="327">
        <f>IF(AND($B4756&lt;&gt;"",$C4756&lt;&gt;""),MAX($A$4730:$A4743)+1,"")</f>
        <v>2</v>
      </c>
      <c r="B4756" s="359" t="s">
        <v>215</v>
      </c>
      <c r="C4756" s="360" t="s">
        <v>1528</v>
      </c>
      <c r="D4756" s="327">
        <f>IF($B4756="","",COUNTIF($B$4731:$B4756,$B4756))</f>
        <v>1</v>
      </c>
      <c r="E4756" s="402" t="s">
        <v>2301</v>
      </c>
      <c r="F4756" s="403" t="s">
        <v>2333</v>
      </c>
      <c r="G4756" s="327" t="s">
        <v>155</v>
      </c>
      <c r="H4756" s="361" t="s">
        <v>536</v>
      </c>
      <c r="I4756" s="327">
        <v>2</v>
      </c>
      <c r="J4756" s="361"/>
      <c r="K4756" s="327" t="s">
        <v>100</v>
      </c>
      <c r="L4756" s="389">
        <v>9400</v>
      </c>
      <c r="M4756" s="355"/>
      <c r="N4756" s="355" t="s">
        <v>2408</v>
      </c>
      <c r="O4756" s="345" t="s">
        <v>2776</v>
      </c>
      <c r="P4756" s="325"/>
      <c r="Q4756" s="327"/>
      <c r="R4756" s="351"/>
      <c r="S4756" s="351"/>
      <c r="T4756" s="351"/>
      <c r="U4756" s="329" t="str">
        <f>IF($N4756=$N$4,IFERROR(INDEX(DanhMuc!$E$154:$E$165,MATCH(MID($B4756,4,2),DanhMuc!$B$154:$B$165,0)),""),"")</f>
        <v/>
      </c>
      <c r="V4756" s="361"/>
      <c r="W4756" s="345"/>
      <c r="X4756" s="786"/>
      <c r="Y4756" s="1128" t="s">
        <v>3380</v>
      </c>
      <c r="Z4756" s="1128" t="s">
        <v>3381</v>
      </c>
      <c r="AA4756" s="1128" t="s">
        <v>3384</v>
      </c>
      <c r="AB4756" s="20"/>
      <c r="AC4756" s="73"/>
    </row>
    <row r="4757" spans="1:29">
      <c r="A4757" s="327" t="str">
        <f>IF(AND($B4757&lt;&gt;"",$C4757&lt;&gt;""),MAX($A$4730:$A4756)+1,"")</f>
        <v/>
      </c>
      <c r="B4757" s="361" t="s">
        <v>215</v>
      </c>
      <c r="C4757" s="360"/>
      <c r="D4757" s="327">
        <f>IF($B4757="","",COUNTIF($B$4731:$B4757,$B4757))</f>
        <v>2</v>
      </c>
      <c r="E4757" s="402" t="s">
        <v>2788</v>
      </c>
      <c r="F4757" s="403" t="s">
        <v>2789</v>
      </c>
      <c r="G4757" s="327" t="s">
        <v>155</v>
      </c>
      <c r="H4757" s="361" t="s">
        <v>536</v>
      </c>
      <c r="I4757" s="327">
        <f>4*I4756</f>
        <v>8</v>
      </c>
      <c r="J4757" s="361"/>
      <c r="K4757" s="327" t="s">
        <v>100</v>
      </c>
      <c r="L4757" s="389">
        <v>600</v>
      </c>
      <c r="M4757" s="355"/>
      <c r="N4757" s="355" t="s">
        <v>2408</v>
      </c>
      <c r="O4757" s="345" t="s">
        <v>2776</v>
      </c>
      <c r="P4757" s="325"/>
      <c r="Q4757" s="327"/>
      <c r="R4757" s="351"/>
      <c r="S4757" s="351"/>
      <c r="T4757" s="351"/>
      <c r="U4757" s="329" t="str">
        <f>IF($N4757=$N$4,IFERROR(INDEX(DanhMuc!$E$154:$E$165,MATCH(MID($B4757,4,2),DanhMuc!$B$154:$B$165,0)),""),"")</f>
        <v/>
      </c>
      <c r="V4757" s="361"/>
      <c r="W4757" s="345"/>
      <c r="X4757" s="786"/>
      <c r="Y4757" s="1128" t="s">
        <v>3380</v>
      </c>
      <c r="Z4757" s="1128" t="s">
        <v>3381</v>
      </c>
      <c r="AA4757" s="1128" t="s">
        <v>3384</v>
      </c>
      <c r="AB4757" s="20"/>
      <c r="AC4757" s="73"/>
    </row>
    <row r="4758" spans="1:29">
      <c r="A4758" s="327" t="str">
        <f>IF(AND($B4758&lt;&gt;"",$C4758&lt;&gt;""),MAX($A$4730:$A4744)+1,"")</f>
        <v/>
      </c>
      <c r="B4758" s="361" t="s">
        <v>215</v>
      </c>
      <c r="C4758" s="360"/>
      <c r="D4758" s="327">
        <f>IF($B4758="","",COUNTIF($B$4731:$B4758,$B4758))</f>
        <v>3</v>
      </c>
      <c r="E4758" s="361" t="s">
        <v>652</v>
      </c>
      <c r="F4758" s="362" t="s">
        <v>2330</v>
      </c>
      <c r="G4758" s="327" t="s">
        <v>155</v>
      </c>
      <c r="H4758" s="361" t="s">
        <v>536</v>
      </c>
      <c r="I4758" s="327">
        <v>2</v>
      </c>
      <c r="J4758" s="361"/>
      <c r="K4758" s="327" t="s">
        <v>100</v>
      </c>
      <c r="L4758" s="389">
        <v>15000</v>
      </c>
      <c r="M4758" s="355"/>
      <c r="N4758" s="355" t="s">
        <v>2408</v>
      </c>
      <c r="O4758" s="345" t="s">
        <v>2777</v>
      </c>
      <c r="P4758" s="325"/>
      <c r="Q4758" s="327"/>
      <c r="R4758" s="351">
        <v>4</v>
      </c>
      <c r="S4758" s="351">
        <v>5.8</v>
      </c>
      <c r="T4758" s="351">
        <v>4.9569999999999999</v>
      </c>
      <c r="U4758" s="329" t="str">
        <f>IF($N4758=$N$4,IFERROR(INDEX(DanhMuc!$E$154:$E$165,MATCH(MID($B4758,4,2),DanhMuc!$B$154:$B$165,0)),""),"")</f>
        <v/>
      </c>
      <c r="V4758" s="361"/>
      <c r="W4758" s="345"/>
      <c r="X4758" s="786"/>
      <c r="Y4758" s="1128" t="s">
        <v>3380</v>
      </c>
      <c r="Z4758" s="1128" t="s">
        <v>3381</v>
      </c>
      <c r="AA4758" s="1128" t="s">
        <v>3384</v>
      </c>
      <c r="AB4758" s="20"/>
      <c r="AC4758" s="73"/>
    </row>
    <row r="4759" spans="1:29">
      <c r="A4759" s="327" t="str">
        <f>IF(AND($B4759&lt;&gt;"",$C4759&lt;&gt;""),MAX($A$4730:$A4756)+1,"")</f>
        <v/>
      </c>
      <c r="B4759" s="361" t="s">
        <v>215</v>
      </c>
      <c r="C4759" s="362"/>
      <c r="D4759" s="327">
        <f>IF($B4759="","",COUNTIF($B$4731:$B4759,$B4759))</f>
        <v>4</v>
      </c>
      <c r="E4759" s="402" t="s">
        <v>2301</v>
      </c>
      <c r="F4759" s="403" t="s">
        <v>2333</v>
      </c>
      <c r="G4759" s="327" t="s">
        <v>155</v>
      </c>
      <c r="H4759" s="361" t="s">
        <v>536</v>
      </c>
      <c r="I4759" s="327">
        <v>8</v>
      </c>
      <c r="J4759" s="361"/>
      <c r="K4759" s="327" t="s">
        <v>101</v>
      </c>
      <c r="L4759" s="389">
        <v>9400</v>
      </c>
      <c r="M4759" s="355"/>
      <c r="N4759" s="355" t="s">
        <v>2408</v>
      </c>
      <c r="O4759" s="345" t="s">
        <v>2778</v>
      </c>
      <c r="P4759" s="325"/>
      <c r="Q4759" s="327"/>
      <c r="R4759" s="351"/>
      <c r="S4759" s="351"/>
      <c r="T4759" s="351"/>
      <c r="U4759" s="329" t="str">
        <f>IF($N4759=$N$4,IFERROR(INDEX(DanhMuc!$E$154:$E$165,MATCH(MID($B4759,4,2),DanhMuc!$B$154:$B$165,0)),""),"")</f>
        <v/>
      </c>
      <c r="V4759" s="361"/>
      <c r="W4759" s="345"/>
      <c r="X4759" s="786"/>
      <c r="Y4759" s="1128" t="s">
        <v>3380</v>
      </c>
      <c r="Z4759" s="1128" t="s">
        <v>3381</v>
      </c>
      <c r="AA4759" s="1128" t="s">
        <v>3384</v>
      </c>
      <c r="AB4759" s="20"/>
      <c r="AC4759" s="73"/>
    </row>
    <row r="4760" spans="1:29">
      <c r="A4760" s="327" t="str">
        <f>IF(AND($B4760&lt;&gt;"",$C4760&lt;&gt;""),MAX($A$4730:$A4759)+1,"")</f>
        <v/>
      </c>
      <c r="B4760" s="361" t="s">
        <v>215</v>
      </c>
      <c r="C4760" s="360"/>
      <c r="D4760" s="327">
        <f>IF($B4760="","",COUNTIF($B$4731:$B4760,$B4760))</f>
        <v>5</v>
      </c>
      <c r="E4760" s="402" t="s">
        <v>2788</v>
      </c>
      <c r="F4760" s="403" t="s">
        <v>2789</v>
      </c>
      <c r="G4760" s="327" t="s">
        <v>155</v>
      </c>
      <c r="H4760" s="361" t="s">
        <v>536</v>
      </c>
      <c r="I4760" s="327">
        <f>4*I4759</f>
        <v>32</v>
      </c>
      <c r="J4760" s="361"/>
      <c r="K4760" s="327" t="s">
        <v>100</v>
      </c>
      <c r="L4760" s="389">
        <v>600</v>
      </c>
      <c r="M4760" s="355"/>
      <c r="N4760" s="355" t="s">
        <v>2408</v>
      </c>
      <c r="O4760" s="345" t="s">
        <v>2778</v>
      </c>
      <c r="P4760" s="325"/>
      <c r="Q4760" s="327"/>
      <c r="R4760" s="351"/>
      <c r="S4760" s="351"/>
      <c r="T4760" s="351"/>
      <c r="U4760" s="329" t="str">
        <f>IF($N4760=$N$4,IFERROR(INDEX(DanhMuc!$E$154:$E$165,MATCH(MID($B4760,4,2),DanhMuc!$B$154:$B$165,0)),""),"")</f>
        <v/>
      </c>
      <c r="V4760" s="361"/>
      <c r="W4760" s="345"/>
      <c r="X4760" s="786"/>
      <c r="Y4760" s="1128" t="s">
        <v>3380</v>
      </c>
      <c r="Z4760" s="1128" t="s">
        <v>3381</v>
      </c>
      <c r="AA4760" s="1128" t="s">
        <v>3384</v>
      </c>
      <c r="AB4760" s="20"/>
      <c r="AC4760" s="73"/>
    </row>
    <row r="4761" spans="1:29">
      <c r="A4761" s="327" t="str">
        <f>IF(AND($B4761&lt;&gt;"",$C4761&lt;&gt;""),MAX($A$4730:$A4758)+1,"")</f>
        <v/>
      </c>
      <c r="B4761" s="361" t="s">
        <v>215</v>
      </c>
      <c r="C4761" s="362"/>
      <c r="D4761" s="327">
        <f>IF($B4761="","",COUNTIF($B$4731:$B4761,$B4761))</f>
        <v>6</v>
      </c>
      <c r="E4761" s="361" t="s">
        <v>652</v>
      </c>
      <c r="F4761" s="362" t="s">
        <v>2330</v>
      </c>
      <c r="G4761" s="327" t="s">
        <v>155</v>
      </c>
      <c r="H4761" s="361" t="s">
        <v>536</v>
      </c>
      <c r="I4761" s="327">
        <v>8</v>
      </c>
      <c r="J4761" s="361"/>
      <c r="K4761" s="327" t="s">
        <v>101</v>
      </c>
      <c r="L4761" s="389">
        <v>15000</v>
      </c>
      <c r="M4761" s="355"/>
      <c r="N4761" s="355" t="s">
        <v>2408</v>
      </c>
      <c r="O4761" s="345" t="s">
        <v>2779</v>
      </c>
      <c r="P4761" s="325"/>
      <c r="Q4761" s="327"/>
      <c r="R4761" s="351">
        <v>4</v>
      </c>
      <c r="S4761" s="351">
        <v>5.8</v>
      </c>
      <c r="T4761" s="351">
        <v>4.9569999999999999</v>
      </c>
      <c r="U4761" s="329" t="str">
        <f>IF($N4761=$N$4,IFERROR(INDEX(DanhMuc!$E$154:$E$165,MATCH(MID($B4761,4,2),DanhMuc!$B$154:$B$165,0)),""),"")</f>
        <v/>
      </c>
      <c r="V4761" s="361"/>
      <c r="W4761" s="345"/>
      <c r="X4761" s="786"/>
      <c r="Y4761" s="1128" t="s">
        <v>3380</v>
      </c>
      <c r="Z4761" s="1128" t="s">
        <v>3381</v>
      </c>
      <c r="AA4761" s="1128" t="s">
        <v>3384</v>
      </c>
      <c r="AB4761" s="20"/>
      <c r="AC4761" s="73"/>
    </row>
    <row r="4762" spans="1:29">
      <c r="A4762" s="327" t="str">
        <f>IF(AND($B4762&lt;&gt;"",$C4762&lt;&gt;""),MAX($A$4730:$A4759)+1,"")</f>
        <v/>
      </c>
      <c r="B4762" s="361" t="s">
        <v>215</v>
      </c>
      <c r="C4762" s="362"/>
      <c r="D4762" s="327">
        <f>IF($B4762="","",COUNTIF($B$4731:$B4762,$B4762))</f>
        <v>7</v>
      </c>
      <c r="E4762" s="361" t="s">
        <v>414</v>
      </c>
      <c r="F4762" s="362" t="s">
        <v>413</v>
      </c>
      <c r="G4762" s="327" t="s">
        <v>155</v>
      </c>
      <c r="H4762" s="361" t="s">
        <v>536</v>
      </c>
      <c r="I4762" s="327">
        <f>+I4756+I4759*2</f>
        <v>18</v>
      </c>
      <c r="J4762" s="361"/>
      <c r="K4762" s="327" t="s">
        <v>558</v>
      </c>
      <c r="L4762" s="389">
        <v>408</v>
      </c>
      <c r="M4762" s="355"/>
      <c r="N4762" s="355" t="s">
        <v>2408</v>
      </c>
      <c r="O4762" s="345"/>
      <c r="P4762" s="325"/>
      <c r="Q4762" s="327"/>
      <c r="R4762" s="351"/>
      <c r="S4762" s="351"/>
      <c r="T4762" s="351"/>
      <c r="U4762" s="329" t="str">
        <f>IF($N4762=$N$4,IFERROR(INDEX(DanhMuc!$E$154:$E$165,MATCH(MID($B4762,4,2),DanhMuc!$B$154:$B$165,0)),""),"")</f>
        <v/>
      </c>
      <c r="V4762" s="361"/>
      <c r="W4762" s="345"/>
      <c r="X4762" s="786"/>
      <c r="Y4762" s="1128" t="s">
        <v>3380</v>
      </c>
      <c r="Z4762" s="1128" t="s">
        <v>3381</v>
      </c>
      <c r="AA4762" s="1128" t="s">
        <v>3384</v>
      </c>
      <c r="AB4762" s="20"/>
      <c r="AC4762" s="73"/>
    </row>
    <row r="4763" spans="1:29">
      <c r="A4763" s="327" t="str">
        <f>IF(AND($B4763&lt;&gt;"",$C4763&lt;&gt;""),MAX($A$4730:$A4761)+1,"")</f>
        <v/>
      </c>
      <c r="B4763" s="361" t="s">
        <v>215</v>
      </c>
      <c r="C4763" s="362"/>
      <c r="D4763" s="327">
        <f>IF($B4763="","",COUNTIF($B$4731:$B4763,$B4763))</f>
        <v>8</v>
      </c>
      <c r="E4763" s="361" t="s">
        <v>654</v>
      </c>
      <c r="F4763" s="362" t="s">
        <v>653</v>
      </c>
      <c r="G4763" s="327" t="s">
        <v>1836</v>
      </c>
      <c r="H4763" s="361" t="s">
        <v>536</v>
      </c>
      <c r="I4763" s="327">
        <f>I4758/45</f>
        <v>4.4444444444444446E-2</v>
      </c>
      <c r="J4763" s="477"/>
      <c r="K4763" s="327" t="s">
        <v>655</v>
      </c>
      <c r="L4763" s="478">
        <v>115000</v>
      </c>
      <c r="M4763" s="355"/>
      <c r="N4763" s="355" t="s">
        <v>2408</v>
      </c>
      <c r="O4763" s="345" t="s">
        <v>2777</v>
      </c>
      <c r="P4763" s="325"/>
      <c r="Q4763" s="327"/>
      <c r="R4763" s="351"/>
      <c r="S4763" s="351"/>
      <c r="T4763" s="351"/>
      <c r="U4763" s="329" t="str">
        <f>IF($N4763=$N$4,IFERROR(INDEX(DanhMuc!$E$154:$E$165,MATCH(MID($B4763,4,2),DanhMuc!$B$154:$B$165,0)),""),"")</f>
        <v/>
      </c>
      <c r="V4763" s="361"/>
      <c r="W4763" s="345"/>
      <c r="X4763" s="786"/>
      <c r="Y4763" s="1128" t="s">
        <v>3380</v>
      </c>
      <c r="Z4763" s="1128" t="s">
        <v>3381</v>
      </c>
      <c r="AA4763" s="1128" t="s">
        <v>3384</v>
      </c>
      <c r="AB4763" s="20"/>
      <c r="AC4763" s="73"/>
    </row>
    <row r="4764" spans="1:29">
      <c r="A4764" s="327" t="str">
        <f>IF(AND($B4764&lt;&gt;"",$C4764&lt;&gt;""),MAX($A$4730:$A4762)+1,"")</f>
        <v/>
      </c>
      <c r="B4764" s="361" t="s">
        <v>215</v>
      </c>
      <c r="C4764" s="362"/>
      <c r="D4764" s="327">
        <f>IF($B4764="","",COUNTIF($B$4731:$B4764,$B4764))</f>
        <v>9</v>
      </c>
      <c r="E4764" s="361" t="s">
        <v>654</v>
      </c>
      <c r="F4764" s="362" t="s">
        <v>653</v>
      </c>
      <c r="G4764" s="327" t="s">
        <v>1836</v>
      </c>
      <c r="H4764" s="361" t="s">
        <v>536</v>
      </c>
      <c r="I4764" s="327">
        <f>I4761/45</f>
        <v>0.17777777777777778</v>
      </c>
      <c r="J4764" s="477"/>
      <c r="K4764" s="327" t="s">
        <v>655</v>
      </c>
      <c r="L4764" s="478">
        <v>115000</v>
      </c>
      <c r="M4764" s="355"/>
      <c r="N4764" s="355" t="s">
        <v>2408</v>
      </c>
      <c r="O4764" s="345" t="s">
        <v>2779</v>
      </c>
      <c r="P4764" s="325"/>
      <c r="Q4764" s="327"/>
      <c r="R4764" s="351"/>
      <c r="S4764" s="351"/>
      <c r="T4764" s="351"/>
      <c r="U4764" s="329" t="str">
        <f>IF($N4764=$N$4,IFERROR(INDEX(DanhMuc!$E$154:$E$165,MATCH(MID($B4764,4,2),DanhMuc!$B$154:$B$165,0)),""),"")</f>
        <v/>
      </c>
      <c r="V4764" s="361"/>
      <c r="W4764" s="345"/>
      <c r="X4764" s="786"/>
      <c r="Y4764" s="1128" t="s">
        <v>3380</v>
      </c>
      <c r="Z4764" s="1128" t="s">
        <v>3381</v>
      </c>
      <c r="AA4764" s="1128" t="s">
        <v>3384</v>
      </c>
      <c r="AB4764" s="20"/>
      <c r="AC4764" s="73"/>
    </row>
    <row r="4765" spans="1:29">
      <c r="A4765" s="327" t="str">
        <f>IF(AND($B4765&lt;&gt;"",$C4765&lt;&gt;""),MAX($A$4730:$A4762)+1,"")</f>
        <v/>
      </c>
      <c r="B4765" s="361" t="s">
        <v>215</v>
      </c>
      <c r="C4765" s="362"/>
      <c r="D4765" s="327">
        <f>IF($B4765="","",COUNTIF($B$4731:$B4765,$B4765))</f>
        <v>10</v>
      </c>
      <c r="E4765" s="361" t="s">
        <v>1826</v>
      </c>
      <c r="F4765" s="362" t="s">
        <v>670</v>
      </c>
      <c r="G4765" s="327" t="s">
        <v>661</v>
      </c>
      <c r="H4765" s="361" t="s">
        <v>536</v>
      </c>
      <c r="I4765" s="361" t="s">
        <v>2354</v>
      </c>
      <c r="J4765" s="361"/>
      <c r="K4765" s="327" t="s">
        <v>103</v>
      </c>
      <c r="L4765" s="478">
        <f>40000/1000</f>
        <v>40</v>
      </c>
      <c r="M4765" s="355"/>
      <c r="N4765" s="355" t="s">
        <v>2408</v>
      </c>
      <c r="O4765" s="345"/>
      <c r="P4765" s="325"/>
      <c r="Q4765" s="327"/>
      <c r="R4765" s="351"/>
      <c r="S4765" s="351"/>
      <c r="T4765" s="351"/>
      <c r="U4765" s="329" t="str">
        <f>IF($N4765=$N$4,IFERROR(INDEX(DanhMuc!$E$154:$E$165,MATCH(MID($B4765,4,2),DanhMuc!$B$154:$B$165,0)),""),"")</f>
        <v/>
      </c>
      <c r="V4765" s="361"/>
      <c r="W4765" s="345"/>
      <c r="X4765" s="786"/>
      <c r="Y4765" s="1128" t="s">
        <v>3380</v>
      </c>
      <c r="Z4765" s="1128" t="s">
        <v>3381</v>
      </c>
      <c r="AA4765" s="1128" t="s">
        <v>3384</v>
      </c>
      <c r="AB4765" s="20"/>
      <c r="AC4765" s="73"/>
    </row>
    <row r="4766" spans="1:29" ht="37.5">
      <c r="A4766" s="327" t="str">
        <f>IF(AND($B4766&lt;&gt;"",$C4766&lt;&gt;""),MAX($A$4730:$A4765)+1,"")</f>
        <v/>
      </c>
      <c r="B4766" s="361" t="s">
        <v>215</v>
      </c>
      <c r="C4766" s="362"/>
      <c r="D4766" s="327">
        <f>IF($B4766="","",COUNTIF($B$4731:$B4766,$B4766))</f>
        <v>11</v>
      </c>
      <c r="E4766" s="362" t="s">
        <v>1964</v>
      </c>
      <c r="F4766" s="362" t="s">
        <v>1965</v>
      </c>
      <c r="G4766" s="327" t="s">
        <v>405</v>
      </c>
      <c r="H4766" s="361" t="s">
        <v>536</v>
      </c>
      <c r="I4766" s="361" t="s">
        <v>694</v>
      </c>
      <c r="J4766" s="361"/>
      <c r="K4766" s="327" t="s">
        <v>223</v>
      </c>
      <c r="L4766" s="478">
        <v>140</v>
      </c>
      <c r="M4766" s="371"/>
      <c r="N4766" s="355" t="s">
        <v>2408</v>
      </c>
      <c r="O4766" s="345"/>
      <c r="P4766" s="325"/>
      <c r="Q4766" s="327"/>
      <c r="R4766" s="351"/>
      <c r="S4766" s="351"/>
      <c r="T4766" s="351"/>
      <c r="U4766" s="329" t="str">
        <f>IF($N4766=$N$4,IFERROR(INDEX(DanhMuc!$E$154:$E$165,MATCH(MID($B4766,4,2),DanhMuc!$B$154:$B$165,0)),""),"")</f>
        <v/>
      </c>
      <c r="V4766" s="361"/>
      <c r="W4766" s="345"/>
      <c r="X4766" s="786"/>
      <c r="Y4766" s="1128" t="s">
        <v>3380</v>
      </c>
      <c r="Z4766" s="1128" t="s">
        <v>3381</v>
      </c>
      <c r="AA4766" s="1128" t="s">
        <v>3384</v>
      </c>
      <c r="AB4766" s="20"/>
      <c r="AC4766" s="73"/>
    </row>
    <row r="4767" spans="1:29" ht="37.5">
      <c r="A4767" s="327" t="str">
        <f>IF(AND($B4767&lt;&gt;"",$C4767&lt;&gt;""),MAX($A$4730:$A4766)+1,"")</f>
        <v/>
      </c>
      <c r="B4767" s="361" t="s">
        <v>215</v>
      </c>
      <c r="C4767" s="362"/>
      <c r="D4767" s="327">
        <f>IF($B4767="","",COUNTIF($B$4731:$B4767,$B4767))</f>
        <v>12</v>
      </c>
      <c r="E4767" s="362" t="s">
        <v>2756</v>
      </c>
      <c r="F4767" s="362" t="s">
        <v>2757</v>
      </c>
      <c r="G4767" s="327" t="s">
        <v>405</v>
      </c>
      <c r="H4767" s="361" t="s">
        <v>536</v>
      </c>
      <c r="I4767" s="361" t="s">
        <v>694</v>
      </c>
      <c r="J4767" s="361"/>
      <c r="K4767" s="327" t="s">
        <v>223</v>
      </c>
      <c r="L4767" s="479">
        <v>322</v>
      </c>
      <c r="M4767" s="371"/>
      <c r="N4767" s="355" t="s">
        <v>2408</v>
      </c>
      <c r="O4767" s="345"/>
      <c r="P4767" s="325"/>
      <c r="Q4767" s="327"/>
      <c r="R4767" s="351"/>
      <c r="S4767" s="351"/>
      <c r="T4767" s="351"/>
      <c r="U4767" s="329" t="str">
        <f>IF($N4767=$N$4,IFERROR(INDEX(DanhMuc!$E$154:$E$165,MATCH(MID($B4767,4,2),DanhMuc!$B$154:$B$165,0)),""),"")</f>
        <v/>
      </c>
      <c r="V4767" s="361"/>
      <c r="W4767" s="345"/>
      <c r="X4767" s="786"/>
      <c r="Y4767" s="1128" t="s">
        <v>3380</v>
      </c>
      <c r="Z4767" s="1128" t="s">
        <v>3381</v>
      </c>
      <c r="AA4767" s="1128" t="s">
        <v>3384</v>
      </c>
      <c r="AB4767" s="20"/>
      <c r="AC4767" s="73"/>
    </row>
    <row r="4768" spans="1:29">
      <c r="A4768" s="327" t="str">
        <f>IF(AND($B4768&lt;&gt;"",$C4768&lt;&gt;""),MAX($A$4730:$A4767)+1,"")</f>
        <v/>
      </c>
      <c r="B4768" s="361" t="s">
        <v>215</v>
      </c>
      <c r="C4768" s="362"/>
      <c r="D4768" s="327">
        <f>IF($B4768="","",COUNTIF($B$4731:$B4768,$B4768))</f>
        <v>13</v>
      </c>
      <c r="E4768" s="361" t="s">
        <v>656</v>
      </c>
      <c r="F4768" s="362" t="s">
        <v>2239</v>
      </c>
      <c r="G4768" s="327" t="s">
        <v>405</v>
      </c>
      <c r="H4768" s="361" t="s">
        <v>536</v>
      </c>
      <c r="I4768" s="361" t="s">
        <v>1827</v>
      </c>
      <c r="J4768" s="361"/>
      <c r="K4768" s="327" t="s">
        <v>100</v>
      </c>
      <c r="L4768" s="478">
        <v>970</v>
      </c>
      <c r="M4768" s="371"/>
      <c r="N4768" s="355" t="s">
        <v>2409</v>
      </c>
      <c r="O4768" s="345"/>
      <c r="P4768" s="325"/>
      <c r="Q4768" s="327"/>
      <c r="R4768" s="351"/>
      <c r="S4768" s="351"/>
      <c r="T4768" s="351"/>
      <c r="U4768" s="329" t="str">
        <f>IF($N4768=$N$4,IFERROR(INDEX(DanhMuc!$E$154:$E$165,MATCH(MID($B4768,4,2),DanhMuc!$B$154:$B$165,0)),""),"")</f>
        <v/>
      </c>
      <c r="V4768" s="361"/>
      <c r="W4768" s="345"/>
      <c r="X4768" s="786"/>
      <c r="Y4768" s="1128" t="s">
        <v>3380</v>
      </c>
      <c r="Z4768" s="1128" t="s">
        <v>3381</v>
      </c>
      <c r="AA4768" s="1128" t="s">
        <v>3384</v>
      </c>
      <c r="AB4768" s="20"/>
      <c r="AC4768" s="73"/>
    </row>
    <row r="4769" spans="1:29">
      <c r="A4769" s="327" t="str">
        <f>IF(AND($B4769&lt;&gt;"",$C4769&lt;&gt;""),MAX($A$4730:$A4768)+1,"")</f>
        <v/>
      </c>
      <c r="B4769" s="361" t="s">
        <v>215</v>
      </c>
      <c r="C4769" s="362"/>
      <c r="D4769" s="327">
        <f>IF($B4769="","",COUNTIF($B$4731:$B4769,$B4769))</f>
        <v>14</v>
      </c>
      <c r="E4769" s="361" t="s">
        <v>657</v>
      </c>
      <c r="F4769" s="362" t="s">
        <v>658</v>
      </c>
      <c r="G4769" s="327" t="s">
        <v>424</v>
      </c>
      <c r="H4769" s="361" t="s">
        <v>536</v>
      </c>
      <c r="I4769" s="361" t="s">
        <v>665</v>
      </c>
      <c r="J4769" s="361"/>
      <c r="K4769" s="327" t="s">
        <v>100</v>
      </c>
      <c r="L4769" s="478">
        <v>60000</v>
      </c>
      <c r="M4769" s="355"/>
      <c r="N4769" s="355" t="s">
        <v>2409</v>
      </c>
      <c r="O4769" s="345"/>
      <c r="P4769" s="325"/>
      <c r="Q4769" s="327"/>
      <c r="R4769" s="351"/>
      <c r="S4769" s="351"/>
      <c r="T4769" s="351"/>
      <c r="U4769" s="329" t="str">
        <f>IF($N4769=$N$4,IFERROR(INDEX(DanhMuc!$E$154:$E$165,MATCH(MID($B4769,4,2),DanhMuc!$B$154:$B$165,0)),""),"")</f>
        <v/>
      </c>
      <c r="V4769" s="361"/>
      <c r="W4769" s="345"/>
      <c r="X4769" s="786"/>
      <c r="Y4769" s="1128" t="s">
        <v>3380</v>
      </c>
      <c r="Z4769" s="1128" t="s">
        <v>3381</v>
      </c>
      <c r="AA4769" s="1128" t="s">
        <v>3384</v>
      </c>
      <c r="AB4769" s="20"/>
      <c r="AC4769" s="73"/>
    </row>
    <row r="4770" spans="1:29">
      <c r="A4770" s="327" t="str">
        <f>IF(AND($B4770&lt;&gt;"",$C4770&lt;&gt;""),MAX($A$4730:$A4769)+1,"")</f>
        <v/>
      </c>
      <c r="B4770" s="361" t="s">
        <v>215</v>
      </c>
      <c r="C4770" s="362"/>
      <c r="D4770" s="327">
        <f>IF($B4770="","",COUNTIF($B$4731:$B4770,$B4770))</f>
        <v>15</v>
      </c>
      <c r="E4770" s="361" t="s">
        <v>2771</v>
      </c>
      <c r="F4770" s="362" t="s">
        <v>659</v>
      </c>
      <c r="G4770" s="327" t="s">
        <v>424</v>
      </c>
      <c r="H4770" s="361" t="s">
        <v>536</v>
      </c>
      <c r="I4770" s="361" t="s">
        <v>666</v>
      </c>
      <c r="J4770" s="361"/>
      <c r="K4770" s="327" t="s">
        <v>100</v>
      </c>
      <c r="L4770" s="389">
        <v>53000</v>
      </c>
      <c r="M4770" s="355"/>
      <c r="N4770" s="355" t="s">
        <v>2409</v>
      </c>
      <c r="O4770" s="345"/>
      <c r="P4770" s="325"/>
      <c r="Q4770" s="327"/>
      <c r="R4770" s="351"/>
      <c r="S4770" s="351"/>
      <c r="T4770" s="351"/>
      <c r="U4770" s="329" t="str">
        <f>IF($N4770=$N$4,IFERROR(INDEX(DanhMuc!$E$154:$E$165,MATCH(MID($B4770,4,2),DanhMuc!$B$154:$B$165,0)),""),"")</f>
        <v/>
      </c>
      <c r="V4770" s="361"/>
      <c r="W4770" s="345"/>
      <c r="X4770" s="786"/>
      <c r="Y4770" s="1128" t="s">
        <v>3380</v>
      </c>
      <c r="Z4770" s="1128" t="s">
        <v>3381</v>
      </c>
      <c r="AA4770" s="1128" t="s">
        <v>3384</v>
      </c>
      <c r="AB4770" s="20"/>
      <c r="AC4770" s="73"/>
    </row>
    <row r="4771" spans="1:29">
      <c r="A4771" s="327" t="str">
        <f>IF(AND($B4771&lt;&gt;"",$C4771&lt;&gt;""),MAX($A$4730:$A4770)+1,"")</f>
        <v/>
      </c>
      <c r="B4771" s="361" t="s">
        <v>215</v>
      </c>
      <c r="C4771" s="362"/>
      <c r="D4771" s="327">
        <f>IF($B4771="","",COUNTIF($B$4731:$B4771,$B4771))</f>
        <v>16</v>
      </c>
      <c r="E4771" s="361" t="s">
        <v>1828</v>
      </c>
      <c r="F4771" s="362" t="s">
        <v>671</v>
      </c>
      <c r="G4771" s="327" t="s">
        <v>661</v>
      </c>
      <c r="H4771" s="361" t="s">
        <v>536</v>
      </c>
      <c r="I4771" s="361" t="s">
        <v>2355</v>
      </c>
      <c r="J4771" s="361"/>
      <c r="K4771" s="327" t="s">
        <v>100</v>
      </c>
      <c r="L4771" s="478">
        <f>40000/1000</f>
        <v>40</v>
      </c>
      <c r="M4771" s="355"/>
      <c r="N4771" s="355" t="s">
        <v>2409</v>
      </c>
      <c r="O4771" s="345"/>
      <c r="P4771" s="325"/>
      <c r="Q4771" s="327"/>
      <c r="R4771" s="351"/>
      <c r="S4771" s="351"/>
      <c r="T4771" s="351"/>
      <c r="U4771" s="329" t="str">
        <f>IF($N4771=$N$4,IFERROR(INDEX(DanhMuc!$E$154:$E$165,MATCH(MID($B4771,4,2),DanhMuc!$B$154:$B$165,0)),""),"")</f>
        <v/>
      </c>
      <c r="V4771" s="361"/>
      <c r="W4771" s="345"/>
      <c r="X4771" s="786"/>
      <c r="Y4771" s="1128" t="s">
        <v>3380</v>
      </c>
      <c r="Z4771" s="1128" t="s">
        <v>3381</v>
      </c>
      <c r="AA4771" s="1128" t="s">
        <v>3384</v>
      </c>
      <c r="AB4771" s="20"/>
      <c r="AC4771" s="73"/>
    </row>
    <row r="4772" spans="1:29">
      <c r="A4772" s="327" t="str">
        <f>IF(AND($B4772&lt;&gt;"",$C4772&lt;&gt;""),MAX($A$4730:$A4771)+1,"")</f>
        <v/>
      </c>
      <c r="B4772" s="361" t="s">
        <v>215</v>
      </c>
      <c r="C4772" s="362"/>
      <c r="D4772" s="327">
        <f>IF($B4772="","",COUNTIF($B$4731:$B4772,$B4772))</f>
        <v>17</v>
      </c>
      <c r="E4772" s="361" t="s">
        <v>154</v>
      </c>
      <c r="F4772" s="362" t="s">
        <v>660</v>
      </c>
      <c r="G4772" s="327" t="s">
        <v>661</v>
      </c>
      <c r="H4772" s="361" t="s">
        <v>536</v>
      </c>
      <c r="I4772" s="361" t="s">
        <v>667</v>
      </c>
      <c r="J4772" s="361"/>
      <c r="K4772" s="327" t="s">
        <v>662</v>
      </c>
      <c r="L4772" s="478">
        <v>20</v>
      </c>
      <c r="M4772" s="355"/>
      <c r="N4772" s="355" t="s">
        <v>2409</v>
      </c>
      <c r="O4772" s="345"/>
      <c r="P4772" s="325"/>
      <c r="Q4772" s="327"/>
      <c r="R4772" s="351"/>
      <c r="S4772" s="351"/>
      <c r="T4772" s="351"/>
      <c r="U4772" s="329" t="str">
        <f>IF($N4772=$N$4,IFERROR(INDEX(DanhMuc!$E$154:$E$165,MATCH(MID($B4772,4,2),DanhMuc!$B$154:$B$165,0)),""),"")</f>
        <v/>
      </c>
      <c r="V4772" s="361"/>
      <c r="W4772" s="345"/>
      <c r="X4772" s="786"/>
      <c r="Y4772" s="1128" t="s">
        <v>3380</v>
      </c>
      <c r="Z4772" s="1128" t="s">
        <v>3381</v>
      </c>
      <c r="AA4772" s="1128" t="s">
        <v>3384</v>
      </c>
      <c r="AB4772" s="20"/>
      <c r="AC4772" s="73"/>
    </row>
    <row r="4773" spans="1:29">
      <c r="A4773" s="327" t="str">
        <f>IF(AND($B4773&lt;&gt;"",$C4773&lt;&gt;""),MAX($A$4730:$A4772)+1,"")</f>
        <v/>
      </c>
      <c r="B4773" s="361" t="s">
        <v>215</v>
      </c>
      <c r="C4773" s="362"/>
      <c r="D4773" s="327">
        <f>IF($B4773="","",COUNTIF($B$4731:$B4773,$B4773))</f>
        <v>18</v>
      </c>
      <c r="E4773" s="362" t="s">
        <v>2282</v>
      </c>
      <c r="F4773" s="362" t="s">
        <v>2283</v>
      </c>
      <c r="G4773" s="327" t="s">
        <v>424</v>
      </c>
      <c r="H4773" s="361" t="s">
        <v>536</v>
      </c>
      <c r="I4773" s="361" t="s">
        <v>2238</v>
      </c>
      <c r="J4773" s="361"/>
      <c r="K4773" s="327" t="s">
        <v>662</v>
      </c>
      <c r="L4773" s="478">
        <v>28000</v>
      </c>
      <c r="M4773" s="355"/>
      <c r="N4773" s="355" t="s">
        <v>2409</v>
      </c>
      <c r="O4773" s="345"/>
      <c r="P4773" s="325"/>
      <c r="Q4773" s="327"/>
      <c r="R4773" s="351"/>
      <c r="S4773" s="351"/>
      <c r="T4773" s="351"/>
      <c r="U4773" s="329" t="str">
        <f>IF($N4773=$N$4,IFERROR(INDEX(DanhMuc!$E$154:$E$165,MATCH(MID($B4773,4,2),DanhMuc!$B$154:$B$165,0)),""),"")</f>
        <v/>
      </c>
      <c r="V4773" s="361"/>
      <c r="W4773" s="345"/>
      <c r="X4773" s="786"/>
      <c r="Y4773" s="1128" t="s">
        <v>3380</v>
      </c>
      <c r="Z4773" s="1128" t="s">
        <v>3381</v>
      </c>
      <c r="AA4773" s="1128" t="s">
        <v>3384</v>
      </c>
      <c r="AB4773" s="20"/>
      <c r="AC4773" s="73"/>
    </row>
    <row r="4774" spans="1:29">
      <c r="A4774" s="327" t="str">
        <f>IF(AND($B4774&lt;&gt;"",$C4774&lt;&gt;""),MAX($A$4730:$A4773)+1,"")</f>
        <v/>
      </c>
      <c r="B4774" s="361" t="s">
        <v>215</v>
      </c>
      <c r="C4774" s="362"/>
      <c r="D4774" s="327">
        <f>IF($B4774="","",COUNTIF($B$4731:$B4774,$B4774))</f>
        <v>19</v>
      </c>
      <c r="E4774" s="362" t="s">
        <v>663</v>
      </c>
      <c r="F4774" s="362" t="s">
        <v>664</v>
      </c>
      <c r="G4774" s="327" t="s">
        <v>155</v>
      </c>
      <c r="H4774" s="361" t="s">
        <v>536</v>
      </c>
      <c r="I4774" s="361" t="s">
        <v>672</v>
      </c>
      <c r="J4774" s="361"/>
      <c r="K4774" s="327" t="s">
        <v>662</v>
      </c>
      <c r="L4774" s="478">
        <v>1000</v>
      </c>
      <c r="M4774" s="355"/>
      <c r="N4774" s="355" t="s">
        <v>2409</v>
      </c>
      <c r="O4774" s="345"/>
      <c r="P4774" s="325"/>
      <c r="Q4774" s="327"/>
      <c r="R4774" s="351"/>
      <c r="S4774" s="351"/>
      <c r="T4774" s="351"/>
      <c r="U4774" s="329" t="str">
        <f>IF($N4774=$N$4,IFERROR(INDEX(DanhMuc!$E$154:$E$165,MATCH(MID($B4774,4,2),DanhMuc!$B$154:$B$165,0)),""),"")</f>
        <v/>
      </c>
      <c r="V4774" s="361"/>
      <c r="W4774" s="345"/>
      <c r="X4774" s="786"/>
      <c r="Y4774" s="1128" t="s">
        <v>3380</v>
      </c>
      <c r="Z4774" s="1128" t="s">
        <v>3381</v>
      </c>
      <c r="AA4774" s="1128" t="s">
        <v>3384</v>
      </c>
      <c r="AB4774" s="20"/>
      <c r="AC4774" s="73"/>
    </row>
    <row r="4775" spans="1:29" ht="26">
      <c r="A4775" s="327">
        <f>IF(AND($B4775&lt;&gt;"",$C4775&lt;&gt;""),MAX($A$4730:$A4743)+1,"")</f>
        <v>2</v>
      </c>
      <c r="B4775" s="359" t="s">
        <v>684</v>
      </c>
      <c r="C4775" s="360" t="s">
        <v>1529</v>
      </c>
      <c r="D4775" s="327">
        <f>IF($B4775="","",COUNTIF($B$4731:$B4775,$B4775))</f>
        <v>1</v>
      </c>
      <c r="E4775" s="402" t="s">
        <v>2301</v>
      </c>
      <c r="F4775" s="403" t="s">
        <v>2333</v>
      </c>
      <c r="G4775" s="327" t="s">
        <v>155</v>
      </c>
      <c r="H4775" s="361" t="s">
        <v>536</v>
      </c>
      <c r="I4775" s="327">
        <v>2</v>
      </c>
      <c r="J4775" s="361"/>
      <c r="K4775" s="327" t="s">
        <v>100</v>
      </c>
      <c r="L4775" s="389">
        <v>9400</v>
      </c>
      <c r="M4775" s="355"/>
      <c r="N4775" s="355" t="s">
        <v>2408</v>
      </c>
      <c r="O4775" s="345" t="s">
        <v>2776</v>
      </c>
      <c r="P4775" s="325"/>
      <c r="Q4775" s="327"/>
      <c r="R4775" s="351"/>
      <c r="S4775" s="351"/>
      <c r="T4775" s="351"/>
      <c r="U4775" s="329" t="str">
        <f>IF($N4775=$N$4,IFERROR(INDEX(DanhMuc!$E$154:$E$165,MATCH(MID($B4775,4,2),DanhMuc!$B$154:$B$165,0)),""),"")</f>
        <v/>
      </c>
      <c r="V4775" s="361"/>
      <c r="W4775" s="345"/>
      <c r="X4775" s="786"/>
      <c r="Y4775" s="1128" t="s">
        <v>3380</v>
      </c>
      <c r="Z4775" s="1128" t="s">
        <v>3381</v>
      </c>
      <c r="AA4775" s="1128" t="s">
        <v>3384</v>
      </c>
      <c r="AB4775" s="20"/>
      <c r="AC4775" s="73"/>
    </row>
    <row r="4776" spans="1:29">
      <c r="A4776" s="327" t="str">
        <f>IF(AND($B4776&lt;&gt;"",$C4776&lt;&gt;""),MAX($A$4730:$A4775)+1,"")</f>
        <v/>
      </c>
      <c r="B4776" s="361" t="s">
        <v>684</v>
      </c>
      <c r="C4776" s="360"/>
      <c r="D4776" s="327">
        <f>IF($B4776="","",COUNTIF($B$4731:$B4776,$B4776))</f>
        <v>2</v>
      </c>
      <c r="E4776" s="402" t="s">
        <v>2788</v>
      </c>
      <c r="F4776" s="403" t="s">
        <v>2789</v>
      </c>
      <c r="G4776" s="327" t="s">
        <v>155</v>
      </c>
      <c r="H4776" s="361" t="s">
        <v>536</v>
      </c>
      <c r="I4776" s="327">
        <f>4*I4775</f>
        <v>8</v>
      </c>
      <c r="J4776" s="361"/>
      <c r="K4776" s="327" t="s">
        <v>100</v>
      </c>
      <c r="L4776" s="389">
        <v>600</v>
      </c>
      <c r="M4776" s="355"/>
      <c r="N4776" s="355" t="s">
        <v>2408</v>
      </c>
      <c r="O4776" s="345" t="s">
        <v>2776</v>
      </c>
      <c r="P4776" s="325"/>
      <c r="Q4776" s="327"/>
      <c r="R4776" s="351"/>
      <c r="S4776" s="351"/>
      <c r="T4776" s="351"/>
      <c r="U4776" s="329" t="str">
        <f>IF($N4776=$N$4,IFERROR(INDEX(DanhMuc!$E$154:$E$165,MATCH(MID($B4776,4,2),DanhMuc!$B$154:$B$165,0)),""),"")</f>
        <v/>
      </c>
      <c r="V4776" s="361"/>
      <c r="W4776" s="345"/>
      <c r="X4776" s="786"/>
      <c r="Y4776" s="1128" t="s">
        <v>3380</v>
      </c>
      <c r="Z4776" s="1128" t="s">
        <v>3381</v>
      </c>
      <c r="AA4776" s="1128" t="s">
        <v>3384</v>
      </c>
      <c r="AB4776" s="20"/>
      <c r="AC4776" s="73"/>
    </row>
    <row r="4777" spans="1:29">
      <c r="A4777" s="327" t="str">
        <f>IF(AND($B4777&lt;&gt;"",$C4777&lt;&gt;""),MAX($A$4730:$A4775)+1,"")</f>
        <v/>
      </c>
      <c r="B4777" s="361" t="s">
        <v>684</v>
      </c>
      <c r="C4777" s="362"/>
      <c r="D4777" s="327">
        <f>IF($B4777="","",COUNTIF($B$4731:$B4777,$B4777))</f>
        <v>3</v>
      </c>
      <c r="E4777" s="361" t="s">
        <v>652</v>
      </c>
      <c r="F4777" s="362" t="s">
        <v>2330</v>
      </c>
      <c r="G4777" s="327" t="s">
        <v>155</v>
      </c>
      <c r="H4777" s="361" t="s">
        <v>536</v>
      </c>
      <c r="I4777" s="327">
        <v>2</v>
      </c>
      <c r="J4777" s="361"/>
      <c r="K4777" s="327" t="s">
        <v>100</v>
      </c>
      <c r="L4777" s="389">
        <v>15000</v>
      </c>
      <c r="M4777" s="355"/>
      <c r="N4777" s="355" t="s">
        <v>2408</v>
      </c>
      <c r="O4777" s="345" t="s">
        <v>2777</v>
      </c>
      <c r="P4777" s="325"/>
      <c r="Q4777" s="327"/>
      <c r="R4777" s="351">
        <v>4</v>
      </c>
      <c r="S4777" s="351">
        <v>5.8</v>
      </c>
      <c r="T4777" s="351">
        <v>4.9569999999999999</v>
      </c>
      <c r="U4777" s="329" t="str">
        <f>IF($N4777=$N$4,IFERROR(INDEX(DanhMuc!$E$154:$E$165,MATCH(MID($B4777,4,2),DanhMuc!$B$154:$B$165,0)),""),"")</f>
        <v/>
      </c>
      <c r="V4777" s="361"/>
      <c r="W4777" s="345"/>
      <c r="X4777" s="786"/>
      <c r="Y4777" s="1128" t="s">
        <v>3380</v>
      </c>
      <c r="Z4777" s="1128" t="s">
        <v>3381</v>
      </c>
      <c r="AA4777" s="1128" t="s">
        <v>3384</v>
      </c>
      <c r="AB4777" s="20"/>
      <c r="AC4777" s="73"/>
    </row>
    <row r="4778" spans="1:29">
      <c r="A4778" s="327" t="str">
        <f>IF(AND($B4778&lt;&gt;"",$C4778&lt;&gt;""),MAX($A$4730:$A4777)+1,"")</f>
        <v/>
      </c>
      <c r="B4778" s="361" t="s">
        <v>684</v>
      </c>
      <c r="C4778" s="362"/>
      <c r="D4778" s="327">
        <f>IF($B4778="","",COUNTIF($B$4731:$B4778,$B4778))</f>
        <v>4</v>
      </c>
      <c r="E4778" s="402" t="s">
        <v>2301</v>
      </c>
      <c r="F4778" s="403" t="s">
        <v>2333</v>
      </c>
      <c r="G4778" s="327" t="s">
        <v>155</v>
      </c>
      <c r="H4778" s="361" t="s">
        <v>536</v>
      </c>
      <c r="I4778" s="327">
        <v>12</v>
      </c>
      <c r="J4778" s="361"/>
      <c r="K4778" s="327" t="s">
        <v>101</v>
      </c>
      <c r="L4778" s="389">
        <v>9400</v>
      </c>
      <c r="M4778" s="355"/>
      <c r="N4778" s="355" t="s">
        <v>2408</v>
      </c>
      <c r="O4778" s="345" t="s">
        <v>2778</v>
      </c>
      <c r="P4778" s="325"/>
      <c r="Q4778" s="327"/>
      <c r="R4778" s="351"/>
      <c r="S4778" s="351"/>
      <c r="T4778" s="351"/>
      <c r="U4778" s="329" t="str">
        <f>IF($N4778=$N$4,IFERROR(INDEX(DanhMuc!$E$154:$E$165,MATCH(MID($B4778,4,2),DanhMuc!$B$154:$B$165,0)),""),"")</f>
        <v/>
      </c>
      <c r="V4778" s="361"/>
      <c r="W4778" s="345"/>
      <c r="X4778" s="786"/>
      <c r="Y4778" s="1128" t="s">
        <v>3380</v>
      </c>
      <c r="Z4778" s="1128" t="s">
        <v>3381</v>
      </c>
      <c r="AA4778" s="1128" t="s">
        <v>3384</v>
      </c>
      <c r="AB4778" s="20"/>
      <c r="AC4778" s="73"/>
    </row>
    <row r="4779" spans="1:29">
      <c r="A4779" s="327" t="str">
        <f>IF(AND($B4779&lt;&gt;"",$C4779&lt;&gt;""),MAX($A$4730:$A4778)+1,"")</f>
        <v/>
      </c>
      <c r="B4779" s="361" t="s">
        <v>684</v>
      </c>
      <c r="C4779" s="360"/>
      <c r="D4779" s="327">
        <f>IF($B4779="","",COUNTIF($B$4731:$B4779,$B4779))</f>
        <v>5</v>
      </c>
      <c r="E4779" s="402" t="s">
        <v>2788</v>
      </c>
      <c r="F4779" s="403" t="s">
        <v>2789</v>
      </c>
      <c r="G4779" s="327" t="s">
        <v>155</v>
      </c>
      <c r="H4779" s="361" t="s">
        <v>536</v>
      </c>
      <c r="I4779" s="327">
        <f>4*I4778</f>
        <v>48</v>
      </c>
      <c r="J4779" s="361"/>
      <c r="K4779" s="327" t="s">
        <v>100</v>
      </c>
      <c r="L4779" s="389">
        <v>600</v>
      </c>
      <c r="M4779" s="355"/>
      <c r="N4779" s="355" t="s">
        <v>2408</v>
      </c>
      <c r="O4779" s="345" t="s">
        <v>2778</v>
      </c>
      <c r="P4779" s="325"/>
      <c r="Q4779" s="327"/>
      <c r="R4779" s="351"/>
      <c r="S4779" s="351"/>
      <c r="T4779" s="351"/>
      <c r="U4779" s="329" t="str">
        <f>IF($N4779=$N$4,IFERROR(INDEX(DanhMuc!$E$154:$E$165,MATCH(MID($B4779,4,2),DanhMuc!$B$154:$B$165,0)),""),"")</f>
        <v/>
      </c>
      <c r="V4779" s="361"/>
      <c r="W4779" s="345"/>
      <c r="X4779" s="786"/>
      <c r="Y4779" s="1128" t="s">
        <v>3380</v>
      </c>
      <c r="Z4779" s="1128" t="s">
        <v>3381</v>
      </c>
      <c r="AA4779" s="1128" t="s">
        <v>3384</v>
      </c>
      <c r="AB4779" s="20"/>
      <c r="AC4779" s="73"/>
    </row>
    <row r="4780" spans="1:29">
      <c r="A4780" s="327" t="str">
        <f>IF(AND($B4780&lt;&gt;"",$C4780&lt;&gt;""),MAX($A$4730:$A4778)+1,"")</f>
        <v/>
      </c>
      <c r="B4780" s="361" t="s">
        <v>684</v>
      </c>
      <c r="C4780" s="362"/>
      <c r="D4780" s="327">
        <f>IF($B4780="","",COUNTIF($B$4731:$B4780,$B4780))</f>
        <v>6</v>
      </c>
      <c r="E4780" s="361" t="s">
        <v>652</v>
      </c>
      <c r="F4780" s="362" t="s">
        <v>2330</v>
      </c>
      <c r="G4780" s="327" t="s">
        <v>155</v>
      </c>
      <c r="H4780" s="361" t="s">
        <v>536</v>
      </c>
      <c r="I4780" s="327">
        <v>12</v>
      </c>
      <c r="J4780" s="361"/>
      <c r="K4780" s="327" t="s">
        <v>101</v>
      </c>
      <c r="L4780" s="389">
        <v>15000</v>
      </c>
      <c r="M4780" s="355"/>
      <c r="N4780" s="355" t="s">
        <v>2408</v>
      </c>
      <c r="O4780" s="345" t="s">
        <v>2779</v>
      </c>
      <c r="P4780" s="325"/>
      <c r="Q4780" s="327"/>
      <c r="R4780" s="351">
        <v>4</v>
      </c>
      <c r="S4780" s="351">
        <v>5.8</v>
      </c>
      <c r="T4780" s="351">
        <v>4.9569999999999999</v>
      </c>
      <c r="U4780" s="329" t="str">
        <f>IF($N4780=$N$4,IFERROR(INDEX(DanhMuc!$E$154:$E$165,MATCH(MID($B4780,4,2),DanhMuc!$B$154:$B$165,0)),""),"")</f>
        <v/>
      </c>
      <c r="V4780" s="361"/>
      <c r="W4780" s="345"/>
      <c r="X4780" s="786"/>
      <c r="Y4780" s="1128" t="s">
        <v>3380</v>
      </c>
      <c r="Z4780" s="1128" t="s">
        <v>3381</v>
      </c>
      <c r="AA4780" s="1128" t="s">
        <v>3384</v>
      </c>
      <c r="AB4780" s="20"/>
      <c r="AC4780" s="73"/>
    </row>
    <row r="4781" spans="1:29">
      <c r="A4781" s="327" t="str">
        <f>IF(AND($B4781&lt;&gt;"",$C4781&lt;&gt;""),MAX($A$4730:$A4777)+1,"")</f>
        <v/>
      </c>
      <c r="B4781" s="361" t="s">
        <v>684</v>
      </c>
      <c r="C4781" s="362"/>
      <c r="D4781" s="327">
        <f>IF($B4781="","",COUNTIF($B$4731:$B4781,$B4781))</f>
        <v>7</v>
      </c>
      <c r="E4781" s="361" t="s">
        <v>414</v>
      </c>
      <c r="F4781" s="362" t="s">
        <v>413</v>
      </c>
      <c r="G4781" s="327" t="s">
        <v>155</v>
      </c>
      <c r="H4781" s="361" t="s">
        <v>536</v>
      </c>
      <c r="I4781" s="327">
        <f>+I4775+I4777*2</f>
        <v>6</v>
      </c>
      <c r="J4781" s="361"/>
      <c r="K4781" s="327" t="s">
        <v>415</v>
      </c>
      <c r="L4781" s="389">
        <v>408</v>
      </c>
      <c r="M4781" s="355"/>
      <c r="N4781" s="355" t="s">
        <v>2408</v>
      </c>
      <c r="O4781" s="345"/>
      <c r="P4781" s="325"/>
      <c r="Q4781" s="327"/>
      <c r="R4781" s="351"/>
      <c r="S4781" s="351"/>
      <c r="T4781" s="351"/>
      <c r="U4781" s="329" t="str">
        <f>IF($N4781=$N$4,IFERROR(INDEX(DanhMuc!$E$154:$E$165,MATCH(MID($B4781,4,2),DanhMuc!$B$154:$B$165,0)),""),"")</f>
        <v/>
      </c>
      <c r="V4781" s="361"/>
      <c r="W4781" s="345"/>
      <c r="X4781" s="786"/>
      <c r="Y4781" s="1128" t="s">
        <v>3380</v>
      </c>
      <c r="Z4781" s="1128" t="s">
        <v>3381</v>
      </c>
      <c r="AA4781" s="1128" t="s">
        <v>3384</v>
      </c>
      <c r="AB4781" s="20"/>
      <c r="AC4781" s="73"/>
    </row>
    <row r="4782" spans="1:29">
      <c r="A4782" s="327" t="str">
        <f>IF(AND($B4782&lt;&gt;"",$C4782&lt;&gt;""),MAX($A$4730:$A4781)+1,"")</f>
        <v/>
      </c>
      <c r="B4782" s="361" t="s">
        <v>684</v>
      </c>
      <c r="C4782" s="362"/>
      <c r="D4782" s="327">
        <f>IF($B4782="","",COUNTIF($B$4731:$B4782,$B4782))</f>
        <v>8</v>
      </c>
      <c r="E4782" s="361" t="s">
        <v>654</v>
      </c>
      <c r="F4782" s="362" t="s">
        <v>653</v>
      </c>
      <c r="G4782" s="327" t="s">
        <v>1836</v>
      </c>
      <c r="H4782" s="361" t="s">
        <v>536</v>
      </c>
      <c r="I4782" s="327">
        <f>I4777/45</f>
        <v>4.4444444444444446E-2</v>
      </c>
      <c r="J4782" s="477"/>
      <c r="K4782" s="327" t="s">
        <v>655</v>
      </c>
      <c r="L4782" s="478">
        <v>115000</v>
      </c>
      <c r="M4782" s="355"/>
      <c r="N4782" s="355" t="s">
        <v>2408</v>
      </c>
      <c r="O4782" s="345" t="s">
        <v>2777</v>
      </c>
      <c r="P4782" s="325"/>
      <c r="Q4782" s="327"/>
      <c r="R4782" s="351"/>
      <c r="S4782" s="351"/>
      <c r="T4782" s="351"/>
      <c r="U4782" s="329" t="str">
        <f>IF($N4782=$N$4,IFERROR(INDEX(DanhMuc!$E$154:$E$165,MATCH(MID($B4782,4,2),DanhMuc!$B$154:$B$165,0)),""),"")</f>
        <v/>
      </c>
      <c r="V4782" s="361"/>
      <c r="W4782" s="345"/>
      <c r="X4782" s="786"/>
      <c r="Y4782" s="1128" t="s">
        <v>3380</v>
      </c>
      <c r="Z4782" s="1128" t="s">
        <v>3381</v>
      </c>
      <c r="AA4782" s="1128" t="s">
        <v>3384</v>
      </c>
      <c r="AB4782" s="20"/>
      <c r="AC4782" s="73"/>
    </row>
    <row r="4783" spans="1:29">
      <c r="A4783" s="327" t="str">
        <f>IF(AND($B4783&lt;&gt;"",$C4783&lt;&gt;""),MAX($A$4730:$A4782)+1,"")</f>
        <v/>
      </c>
      <c r="B4783" s="361" t="s">
        <v>684</v>
      </c>
      <c r="C4783" s="362"/>
      <c r="D4783" s="327">
        <f>IF($B4783="","",COUNTIF($B$4731:$B4783,$B4783))</f>
        <v>9</v>
      </c>
      <c r="E4783" s="361" t="s">
        <v>654</v>
      </c>
      <c r="F4783" s="362" t="s">
        <v>653</v>
      </c>
      <c r="G4783" s="327" t="s">
        <v>1836</v>
      </c>
      <c r="H4783" s="361" t="s">
        <v>536</v>
      </c>
      <c r="I4783" s="327">
        <f>I4780/45</f>
        <v>0.26666666666666666</v>
      </c>
      <c r="J4783" s="477"/>
      <c r="K4783" s="327" t="s">
        <v>655</v>
      </c>
      <c r="L4783" s="478">
        <v>115000</v>
      </c>
      <c r="M4783" s="355"/>
      <c r="N4783" s="355" t="s">
        <v>2408</v>
      </c>
      <c r="O4783" s="345" t="s">
        <v>2779</v>
      </c>
      <c r="P4783" s="325"/>
      <c r="Q4783" s="327"/>
      <c r="R4783" s="351"/>
      <c r="S4783" s="351"/>
      <c r="T4783" s="351"/>
      <c r="U4783" s="329" t="str">
        <f>IF($N4783=$N$4,IFERROR(INDEX(DanhMuc!$E$154:$E$165,MATCH(MID($B4783,4,2),DanhMuc!$B$154:$B$165,0)),""),"")</f>
        <v/>
      </c>
      <c r="V4783" s="361"/>
      <c r="W4783" s="345"/>
      <c r="X4783" s="786"/>
      <c r="Y4783" s="1128" t="s">
        <v>3380</v>
      </c>
      <c r="Z4783" s="1128" t="s">
        <v>3381</v>
      </c>
      <c r="AA4783" s="1128" t="s">
        <v>3384</v>
      </c>
      <c r="AB4783" s="20"/>
      <c r="AC4783" s="73"/>
    </row>
    <row r="4784" spans="1:29">
      <c r="A4784" s="327" t="str">
        <f>IF(AND($B4784&lt;&gt;"",$C4784&lt;&gt;""),MAX($A$4730:$A4782)+1,"")</f>
        <v/>
      </c>
      <c r="B4784" s="361" t="s">
        <v>684</v>
      </c>
      <c r="C4784" s="362"/>
      <c r="D4784" s="327">
        <f>IF($B4784="","",COUNTIF($B$4731:$B4784,$B4784))</f>
        <v>10</v>
      </c>
      <c r="E4784" s="361" t="s">
        <v>1826</v>
      </c>
      <c r="F4784" s="362" t="s">
        <v>670</v>
      </c>
      <c r="G4784" s="327" t="s">
        <v>661</v>
      </c>
      <c r="H4784" s="361" t="s">
        <v>536</v>
      </c>
      <c r="I4784" s="327" t="s">
        <v>2354</v>
      </c>
      <c r="J4784" s="361"/>
      <c r="K4784" s="327" t="s">
        <v>103</v>
      </c>
      <c r="L4784" s="478">
        <f>40000/1000</f>
        <v>40</v>
      </c>
      <c r="M4784" s="355"/>
      <c r="N4784" s="355" t="s">
        <v>2408</v>
      </c>
      <c r="O4784" s="345"/>
      <c r="P4784" s="325"/>
      <c r="Q4784" s="327"/>
      <c r="R4784" s="351"/>
      <c r="S4784" s="351"/>
      <c r="T4784" s="351"/>
      <c r="U4784" s="329" t="str">
        <f>IF($N4784=$N$4,IFERROR(INDEX(DanhMuc!$E$154:$E$165,MATCH(MID($B4784,4,2),DanhMuc!$B$154:$B$165,0)),""),"")</f>
        <v/>
      </c>
      <c r="V4784" s="361"/>
      <c r="W4784" s="345"/>
      <c r="X4784" s="786"/>
      <c r="Y4784" s="1128" t="s">
        <v>3380</v>
      </c>
      <c r="Z4784" s="1128" t="s">
        <v>3381</v>
      </c>
      <c r="AA4784" s="1128" t="s">
        <v>3384</v>
      </c>
      <c r="AB4784" s="20"/>
      <c r="AC4784" s="73"/>
    </row>
    <row r="4785" spans="1:29" ht="37.5">
      <c r="A4785" s="327" t="str">
        <f>IF(AND($B4785&lt;&gt;"",$C4785&lt;&gt;""),MAX($A$4730:$A4784)+1,"")</f>
        <v/>
      </c>
      <c r="B4785" s="361" t="s">
        <v>684</v>
      </c>
      <c r="C4785" s="362"/>
      <c r="D4785" s="327">
        <f>IF($B4785="","",COUNTIF($B$4731:$B4785,$B4785))</f>
        <v>11</v>
      </c>
      <c r="E4785" s="362" t="s">
        <v>1964</v>
      </c>
      <c r="F4785" s="362" t="s">
        <v>1965</v>
      </c>
      <c r="G4785" s="327" t="s">
        <v>405</v>
      </c>
      <c r="H4785" s="361" t="s">
        <v>536</v>
      </c>
      <c r="I4785" s="327" t="s">
        <v>694</v>
      </c>
      <c r="J4785" s="361"/>
      <c r="K4785" s="327" t="s">
        <v>223</v>
      </c>
      <c r="L4785" s="478">
        <v>140</v>
      </c>
      <c r="M4785" s="371"/>
      <c r="N4785" s="355" t="s">
        <v>2408</v>
      </c>
      <c r="O4785" s="345"/>
      <c r="P4785" s="325"/>
      <c r="Q4785" s="327"/>
      <c r="R4785" s="351"/>
      <c r="S4785" s="351"/>
      <c r="T4785" s="351"/>
      <c r="U4785" s="329" t="str">
        <f>IF($N4785=$N$4,IFERROR(INDEX(DanhMuc!$E$154:$E$165,MATCH(MID($B4785,4,2),DanhMuc!$B$154:$B$165,0)),""),"")</f>
        <v/>
      </c>
      <c r="V4785" s="361"/>
      <c r="W4785" s="345"/>
      <c r="X4785" s="786"/>
      <c r="Y4785" s="1128" t="s">
        <v>3380</v>
      </c>
      <c r="Z4785" s="1128" t="s">
        <v>3381</v>
      </c>
      <c r="AA4785" s="1128" t="s">
        <v>3384</v>
      </c>
      <c r="AB4785" s="20"/>
      <c r="AC4785" s="73"/>
    </row>
    <row r="4786" spans="1:29" ht="37.5">
      <c r="A4786" s="327" t="str">
        <f>IF(AND($B4786&lt;&gt;"",$C4786&lt;&gt;""),MAX($A$4730:$A4785)+1,"")</f>
        <v/>
      </c>
      <c r="B4786" s="361" t="s">
        <v>684</v>
      </c>
      <c r="C4786" s="362"/>
      <c r="D4786" s="327">
        <f>IF($B4786="","",COUNTIF($B$4731:$B4786,$B4786))</f>
        <v>12</v>
      </c>
      <c r="E4786" s="362" t="s">
        <v>2756</v>
      </c>
      <c r="F4786" s="362" t="s">
        <v>2757</v>
      </c>
      <c r="G4786" s="327" t="s">
        <v>405</v>
      </c>
      <c r="H4786" s="361" t="s">
        <v>536</v>
      </c>
      <c r="I4786" s="327" t="s">
        <v>694</v>
      </c>
      <c r="J4786" s="361"/>
      <c r="K4786" s="327" t="s">
        <v>223</v>
      </c>
      <c r="L4786" s="479">
        <v>322</v>
      </c>
      <c r="M4786" s="371"/>
      <c r="N4786" s="355" t="s">
        <v>2408</v>
      </c>
      <c r="O4786" s="345"/>
      <c r="P4786" s="325"/>
      <c r="Q4786" s="327"/>
      <c r="R4786" s="351"/>
      <c r="S4786" s="351"/>
      <c r="T4786" s="351"/>
      <c r="U4786" s="329" t="str">
        <f>IF($N4786=$N$4,IFERROR(INDEX(DanhMuc!$E$154:$E$165,MATCH(MID($B4786,4,2),DanhMuc!$B$154:$B$165,0)),""),"")</f>
        <v/>
      </c>
      <c r="V4786" s="361"/>
      <c r="W4786" s="345"/>
      <c r="X4786" s="786"/>
      <c r="Y4786" s="1128" t="s">
        <v>3380</v>
      </c>
      <c r="Z4786" s="1128" t="s">
        <v>3381</v>
      </c>
      <c r="AA4786" s="1128" t="s">
        <v>3384</v>
      </c>
      <c r="AB4786" s="20"/>
      <c r="AC4786" s="73"/>
    </row>
    <row r="4787" spans="1:29">
      <c r="A4787" s="327" t="str">
        <f>IF(AND($B4787&lt;&gt;"",$C4787&lt;&gt;""),MAX($A$4730:$A4786)+1,"")</f>
        <v/>
      </c>
      <c r="B4787" s="361" t="s">
        <v>684</v>
      </c>
      <c r="C4787" s="362"/>
      <c r="D4787" s="327">
        <f>IF($B4787="","",COUNTIF($B$4731:$B4787,$B4787))</f>
        <v>13</v>
      </c>
      <c r="E4787" s="361" t="s">
        <v>656</v>
      </c>
      <c r="F4787" s="362" t="s">
        <v>2239</v>
      </c>
      <c r="G4787" s="327" t="s">
        <v>405</v>
      </c>
      <c r="H4787" s="361" t="s">
        <v>536</v>
      </c>
      <c r="I4787" s="327" t="s">
        <v>1827</v>
      </c>
      <c r="J4787" s="361"/>
      <c r="K4787" s="327" t="s">
        <v>100</v>
      </c>
      <c r="L4787" s="478">
        <v>970</v>
      </c>
      <c r="M4787" s="371"/>
      <c r="N4787" s="355" t="s">
        <v>2409</v>
      </c>
      <c r="O4787" s="345"/>
      <c r="P4787" s="325"/>
      <c r="Q4787" s="327"/>
      <c r="R4787" s="351"/>
      <c r="S4787" s="351"/>
      <c r="T4787" s="351"/>
      <c r="U4787" s="329" t="str">
        <f>IF($N4787=$N$4,IFERROR(INDEX(DanhMuc!$E$154:$E$165,MATCH(MID($B4787,4,2),DanhMuc!$B$154:$B$165,0)),""),"")</f>
        <v/>
      </c>
      <c r="V4787" s="361"/>
      <c r="W4787" s="345"/>
      <c r="X4787" s="786"/>
      <c r="Y4787" s="1128" t="s">
        <v>3380</v>
      </c>
      <c r="Z4787" s="1128" t="s">
        <v>3381</v>
      </c>
      <c r="AA4787" s="1128" t="s">
        <v>3384</v>
      </c>
      <c r="AB4787" s="20"/>
      <c r="AC4787" s="73"/>
    </row>
    <row r="4788" spans="1:29">
      <c r="A4788" s="327" t="str">
        <f>IF(AND($B4788&lt;&gt;"",$C4788&lt;&gt;""),MAX($A$4730:$A4787)+1,"")</f>
        <v/>
      </c>
      <c r="B4788" s="361" t="s">
        <v>684</v>
      </c>
      <c r="C4788" s="362"/>
      <c r="D4788" s="327">
        <f>IF($B4788="","",COUNTIF($B$4731:$B4788,$B4788))</f>
        <v>14</v>
      </c>
      <c r="E4788" s="361" t="s">
        <v>657</v>
      </c>
      <c r="F4788" s="362" t="s">
        <v>658</v>
      </c>
      <c r="G4788" s="327" t="s">
        <v>424</v>
      </c>
      <c r="H4788" s="361" t="s">
        <v>536</v>
      </c>
      <c r="I4788" s="327" t="s">
        <v>665</v>
      </c>
      <c r="J4788" s="361"/>
      <c r="K4788" s="327" t="s">
        <v>100</v>
      </c>
      <c r="L4788" s="478">
        <v>60000</v>
      </c>
      <c r="M4788" s="355"/>
      <c r="N4788" s="355" t="s">
        <v>2409</v>
      </c>
      <c r="O4788" s="345"/>
      <c r="P4788" s="325"/>
      <c r="Q4788" s="327"/>
      <c r="R4788" s="351"/>
      <c r="S4788" s="351"/>
      <c r="T4788" s="351"/>
      <c r="U4788" s="329" t="str">
        <f>IF($N4788=$N$4,IFERROR(INDEX(DanhMuc!$E$154:$E$165,MATCH(MID($B4788,4,2),DanhMuc!$B$154:$B$165,0)),""),"")</f>
        <v/>
      </c>
      <c r="V4788" s="361"/>
      <c r="W4788" s="345"/>
      <c r="X4788" s="786"/>
      <c r="Y4788" s="1128" t="s">
        <v>3380</v>
      </c>
      <c r="Z4788" s="1128" t="s">
        <v>3381</v>
      </c>
      <c r="AA4788" s="1128" t="s">
        <v>3384</v>
      </c>
      <c r="AB4788" s="20"/>
      <c r="AC4788" s="73"/>
    </row>
    <row r="4789" spans="1:29">
      <c r="A4789" s="327" t="str">
        <f>IF(AND($B4789&lt;&gt;"",$C4789&lt;&gt;""),MAX($A$4730:$A4788)+1,"")</f>
        <v/>
      </c>
      <c r="B4789" s="361" t="s">
        <v>684</v>
      </c>
      <c r="C4789" s="362"/>
      <c r="D4789" s="327">
        <f>IF($B4789="","",COUNTIF($B$4731:$B4789,$B4789))</f>
        <v>15</v>
      </c>
      <c r="E4789" s="361" t="s">
        <v>2771</v>
      </c>
      <c r="F4789" s="362" t="s">
        <v>659</v>
      </c>
      <c r="G4789" s="327" t="s">
        <v>424</v>
      </c>
      <c r="H4789" s="361" t="s">
        <v>536</v>
      </c>
      <c r="I4789" s="327" t="s">
        <v>666</v>
      </c>
      <c r="J4789" s="361"/>
      <c r="K4789" s="327" t="s">
        <v>100</v>
      </c>
      <c r="L4789" s="389">
        <v>53000</v>
      </c>
      <c r="M4789" s="355"/>
      <c r="N4789" s="355" t="s">
        <v>2409</v>
      </c>
      <c r="O4789" s="345"/>
      <c r="P4789" s="325"/>
      <c r="Q4789" s="327"/>
      <c r="R4789" s="351"/>
      <c r="S4789" s="351"/>
      <c r="T4789" s="351"/>
      <c r="U4789" s="329" t="str">
        <f>IF($N4789=$N$4,IFERROR(INDEX(DanhMuc!$E$154:$E$165,MATCH(MID($B4789,4,2),DanhMuc!$B$154:$B$165,0)),""),"")</f>
        <v/>
      </c>
      <c r="V4789" s="361"/>
      <c r="W4789" s="345"/>
      <c r="X4789" s="786"/>
      <c r="Y4789" s="1128" t="s">
        <v>3380</v>
      </c>
      <c r="Z4789" s="1128" t="s">
        <v>3381</v>
      </c>
      <c r="AA4789" s="1128" t="s">
        <v>3384</v>
      </c>
      <c r="AB4789" s="20"/>
      <c r="AC4789" s="73"/>
    </row>
    <row r="4790" spans="1:29">
      <c r="A4790" s="327" t="str">
        <f>IF(AND($B4790&lt;&gt;"",$C4790&lt;&gt;""),MAX($A$4730:$A4789)+1,"")</f>
        <v/>
      </c>
      <c r="B4790" s="361" t="s">
        <v>684</v>
      </c>
      <c r="C4790" s="362"/>
      <c r="D4790" s="327">
        <f>IF($B4790="","",COUNTIF($B$4731:$B4790,$B4790))</f>
        <v>16</v>
      </c>
      <c r="E4790" s="361" t="s">
        <v>1828</v>
      </c>
      <c r="F4790" s="362" t="s">
        <v>671</v>
      </c>
      <c r="G4790" s="327" t="s">
        <v>661</v>
      </c>
      <c r="H4790" s="361" t="s">
        <v>536</v>
      </c>
      <c r="I4790" s="327" t="s">
        <v>2355</v>
      </c>
      <c r="J4790" s="361"/>
      <c r="K4790" s="327" t="s">
        <v>100</v>
      </c>
      <c r="L4790" s="478">
        <f>40000/1000</f>
        <v>40</v>
      </c>
      <c r="M4790" s="355"/>
      <c r="N4790" s="355" t="s">
        <v>2409</v>
      </c>
      <c r="O4790" s="345"/>
      <c r="P4790" s="325"/>
      <c r="Q4790" s="327"/>
      <c r="R4790" s="351"/>
      <c r="S4790" s="351"/>
      <c r="T4790" s="351"/>
      <c r="U4790" s="329" t="str">
        <f>IF($N4790=$N$4,IFERROR(INDEX(DanhMuc!$E$154:$E$165,MATCH(MID($B4790,4,2),DanhMuc!$B$154:$B$165,0)),""),"")</f>
        <v/>
      </c>
      <c r="V4790" s="361"/>
      <c r="W4790" s="345"/>
      <c r="X4790" s="786"/>
      <c r="Y4790" s="1128" t="s">
        <v>3380</v>
      </c>
      <c r="Z4790" s="1128" t="s">
        <v>3381</v>
      </c>
      <c r="AA4790" s="1128" t="s">
        <v>3384</v>
      </c>
      <c r="AB4790" s="20"/>
      <c r="AC4790" s="73"/>
    </row>
    <row r="4791" spans="1:29">
      <c r="A4791" s="327" t="str">
        <f>IF(AND($B4791&lt;&gt;"",$C4791&lt;&gt;""),MAX($A$4730:$A4790)+1,"")</f>
        <v/>
      </c>
      <c r="B4791" s="361" t="s">
        <v>684</v>
      </c>
      <c r="C4791" s="362"/>
      <c r="D4791" s="327">
        <f>IF($B4791="","",COUNTIF($B$4731:$B4791,$B4791))</f>
        <v>17</v>
      </c>
      <c r="E4791" s="361" t="s">
        <v>154</v>
      </c>
      <c r="F4791" s="362" t="s">
        <v>660</v>
      </c>
      <c r="G4791" s="327" t="s">
        <v>661</v>
      </c>
      <c r="H4791" s="361" t="s">
        <v>536</v>
      </c>
      <c r="I4791" s="327" t="s">
        <v>667</v>
      </c>
      <c r="J4791" s="361"/>
      <c r="K4791" s="327" t="s">
        <v>662</v>
      </c>
      <c r="L4791" s="478">
        <v>20</v>
      </c>
      <c r="M4791" s="355"/>
      <c r="N4791" s="355" t="s">
        <v>2409</v>
      </c>
      <c r="O4791" s="345"/>
      <c r="P4791" s="325"/>
      <c r="Q4791" s="327"/>
      <c r="R4791" s="351"/>
      <c r="S4791" s="351"/>
      <c r="T4791" s="351"/>
      <c r="U4791" s="329" t="str">
        <f>IF($N4791=$N$4,IFERROR(INDEX(DanhMuc!$E$154:$E$165,MATCH(MID($B4791,4,2),DanhMuc!$B$154:$B$165,0)),""),"")</f>
        <v/>
      </c>
      <c r="V4791" s="361"/>
      <c r="W4791" s="345"/>
      <c r="X4791" s="786"/>
      <c r="Y4791" s="1128" t="s">
        <v>3380</v>
      </c>
      <c r="Z4791" s="1128" t="s">
        <v>3381</v>
      </c>
      <c r="AA4791" s="1128" t="s">
        <v>3384</v>
      </c>
      <c r="AB4791" s="20"/>
      <c r="AC4791" s="73"/>
    </row>
    <row r="4792" spans="1:29">
      <c r="A4792" s="327" t="str">
        <f>IF(AND($B4792&lt;&gt;"",$C4792&lt;&gt;""),MAX($A$4730:$A4791)+1,"")</f>
        <v/>
      </c>
      <c r="B4792" s="361" t="s">
        <v>684</v>
      </c>
      <c r="C4792" s="362"/>
      <c r="D4792" s="327">
        <f>IF($B4792="","",COUNTIF($B$4731:$B4792,$B4792))</f>
        <v>18</v>
      </c>
      <c r="E4792" s="362" t="s">
        <v>2282</v>
      </c>
      <c r="F4792" s="362" t="s">
        <v>2283</v>
      </c>
      <c r="G4792" s="327" t="s">
        <v>424</v>
      </c>
      <c r="H4792" s="361" t="s">
        <v>536</v>
      </c>
      <c r="I4792" s="327" t="s">
        <v>2238</v>
      </c>
      <c r="J4792" s="361"/>
      <c r="K4792" s="327" t="s">
        <v>662</v>
      </c>
      <c r="L4792" s="478">
        <v>28000</v>
      </c>
      <c r="M4792" s="355"/>
      <c r="N4792" s="355" t="s">
        <v>2409</v>
      </c>
      <c r="O4792" s="345"/>
      <c r="P4792" s="325"/>
      <c r="Q4792" s="327"/>
      <c r="R4792" s="351"/>
      <c r="S4792" s="351"/>
      <c r="T4792" s="351"/>
      <c r="U4792" s="329" t="str">
        <f>IF($N4792=$N$4,IFERROR(INDEX(DanhMuc!$E$154:$E$165,MATCH(MID($B4792,4,2),DanhMuc!$B$154:$B$165,0)),""),"")</f>
        <v/>
      </c>
      <c r="V4792" s="361"/>
      <c r="W4792" s="345"/>
      <c r="X4792" s="786"/>
      <c r="Y4792" s="1128" t="s">
        <v>3380</v>
      </c>
      <c r="Z4792" s="1128" t="s">
        <v>3381</v>
      </c>
      <c r="AA4792" s="1128" t="s">
        <v>3384</v>
      </c>
      <c r="AB4792" s="20"/>
      <c r="AC4792" s="73"/>
    </row>
    <row r="4793" spans="1:29">
      <c r="A4793" s="327" t="str">
        <f>IF(AND($B4793&lt;&gt;"",$C4793&lt;&gt;""),MAX($A$4730:$A4792)+1,"")</f>
        <v/>
      </c>
      <c r="B4793" s="361" t="s">
        <v>684</v>
      </c>
      <c r="C4793" s="362"/>
      <c r="D4793" s="327">
        <f>IF($B4793="","",COUNTIF($B$4731:$B4793,$B4793))</f>
        <v>19</v>
      </c>
      <c r="E4793" s="362" t="s">
        <v>663</v>
      </c>
      <c r="F4793" s="362" t="s">
        <v>664</v>
      </c>
      <c r="G4793" s="327" t="s">
        <v>155</v>
      </c>
      <c r="H4793" s="361" t="s">
        <v>536</v>
      </c>
      <c r="I4793" s="327" t="s">
        <v>672</v>
      </c>
      <c r="J4793" s="361"/>
      <c r="K4793" s="327" t="s">
        <v>662</v>
      </c>
      <c r="L4793" s="478">
        <v>1000</v>
      </c>
      <c r="M4793" s="355"/>
      <c r="N4793" s="355" t="s">
        <v>2409</v>
      </c>
      <c r="O4793" s="345"/>
      <c r="P4793" s="325"/>
      <c r="Q4793" s="327"/>
      <c r="R4793" s="351"/>
      <c r="S4793" s="351"/>
      <c r="T4793" s="351"/>
      <c r="U4793" s="329" t="str">
        <f>IF($N4793=$N$4,IFERROR(INDEX(DanhMuc!$E$154:$E$165,MATCH(MID($B4793,4,2),DanhMuc!$B$154:$B$165,0)),""),"")</f>
        <v/>
      </c>
      <c r="V4793" s="361"/>
      <c r="W4793" s="345"/>
      <c r="X4793" s="786"/>
      <c r="Y4793" s="1128" t="s">
        <v>3380</v>
      </c>
      <c r="Z4793" s="1128" t="s">
        <v>3381</v>
      </c>
      <c r="AA4793" s="1128" t="s">
        <v>3384</v>
      </c>
      <c r="AB4793" s="20"/>
      <c r="AC4793" s="73"/>
    </row>
    <row r="4794" spans="1:29" ht="26">
      <c r="A4794" s="327">
        <f>IF(AND($B4794&lt;&gt;"",$C4794&lt;&gt;""),MAX($A$4730:$A4762)+1,"")</f>
        <v>3</v>
      </c>
      <c r="B4794" s="359" t="s">
        <v>216</v>
      </c>
      <c r="C4794" s="360" t="s">
        <v>1530</v>
      </c>
      <c r="D4794" s="327">
        <f>IF($B4794="","",COUNTIF($B$4731:$B4794,$B4794))</f>
        <v>1</v>
      </c>
      <c r="E4794" s="402" t="s">
        <v>2301</v>
      </c>
      <c r="F4794" s="403" t="s">
        <v>2333</v>
      </c>
      <c r="G4794" s="327" t="s">
        <v>155</v>
      </c>
      <c r="H4794" s="361" t="s">
        <v>536</v>
      </c>
      <c r="I4794" s="327">
        <v>2</v>
      </c>
      <c r="J4794" s="361"/>
      <c r="K4794" s="327" t="s">
        <v>100</v>
      </c>
      <c r="L4794" s="389">
        <v>9400</v>
      </c>
      <c r="M4794" s="355"/>
      <c r="N4794" s="355" t="s">
        <v>2408</v>
      </c>
      <c r="O4794" s="345" t="s">
        <v>2776</v>
      </c>
      <c r="P4794" s="325"/>
      <c r="Q4794" s="327"/>
      <c r="R4794" s="351"/>
      <c r="S4794" s="351"/>
      <c r="T4794" s="351"/>
      <c r="U4794" s="329" t="str">
        <f>IF($N4794=$N$4,IFERROR(INDEX(DanhMuc!$E$154:$E$165,MATCH(MID($B4794,4,2),DanhMuc!$B$154:$B$165,0)),""),"")</f>
        <v/>
      </c>
      <c r="V4794" s="361"/>
      <c r="W4794" s="345"/>
      <c r="X4794" s="786"/>
      <c r="Y4794" s="1128" t="s">
        <v>3380</v>
      </c>
      <c r="Z4794" s="1128" t="s">
        <v>3381</v>
      </c>
      <c r="AA4794" s="1128" t="s">
        <v>3384</v>
      </c>
      <c r="AB4794" s="20"/>
      <c r="AC4794" s="73"/>
    </row>
    <row r="4795" spans="1:29">
      <c r="A4795" s="327" t="str">
        <f>IF(AND($B4795&lt;&gt;"",$C4795&lt;&gt;""),MAX($A$4730:$A4794)+1,"")</f>
        <v/>
      </c>
      <c r="B4795" s="361" t="s">
        <v>216</v>
      </c>
      <c r="C4795" s="360"/>
      <c r="D4795" s="327">
        <f>IF($B4795="","",COUNTIF($B$4731:$B4795,$B4795))</f>
        <v>2</v>
      </c>
      <c r="E4795" s="402" t="s">
        <v>2788</v>
      </c>
      <c r="F4795" s="403" t="s">
        <v>2789</v>
      </c>
      <c r="G4795" s="327" t="s">
        <v>155</v>
      </c>
      <c r="H4795" s="361" t="s">
        <v>536</v>
      </c>
      <c r="I4795" s="327">
        <f>4*I4794</f>
        <v>8</v>
      </c>
      <c r="J4795" s="361"/>
      <c r="K4795" s="327" t="s">
        <v>100</v>
      </c>
      <c r="L4795" s="389">
        <v>600</v>
      </c>
      <c r="M4795" s="355"/>
      <c r="N4795" s="355" t="s">
        <v>2408</v>
      </c>
      <c r="O4795" s="345" t="s">
        <v>2776</v>
      </c>
      <c r="P4795" s="325"/>
      <c r="Q4795" s="327"/>
      <c r="R4795" s="351"/>
      <c r="S4795" s="351"/>
      <c r="T4795" s="351"/>
      <c r="U4795" s="329" t="str">
        <f>IF($N4795=$N$4,IFERROR(INDEX(DanhMuc!$E$154:$E$165,MATCH(MID($B4795,4,2),DanhMuc!$B$154:$B$165,0)),""),"")</f>
        <v/>
      </c>
      <c r="V4795" s="361"/>
      <c r="W4795" s="345"/>
      <c r="X4795" s="786"/>
      <c r="Y4795" s="1128" t="s">
        <v>3380</v>
      </c>
      <c r="Z4795" s="1128" t="s">
        <v>3381</v>
      </c>
      <c r="AA4795" s="1128" t="s">
        <v>3384</v>
      </c>
      <c r="AB4795" s="20"/>
      <c r="AC4795" s="73"/>
    </row>
    <row r="4796" spans="1:29">
      <c r="A4796" s="327" t="str">
        <f>IF(AND($B4796&lt;&gt;"",$C4796&lt;&gt;""),MAX($A$4730:$A4763)+1,"")</f>
        <v/>
      </c>
      <c r="B4796" s="361" t="s">
        <v>216</v>
      </c>
      <c r="C4796" s="360"/>
      <c r="D4796" s="327">
        <f>IF($B4796="","",COUNTIF($B$4731:$B4796,$B4796))</f>
        <v>3</v>
      </c>
      <c r="E4796" s="361" t="s">
        <v>652</v>
      </c>
      <c r="F4796" s="362" t="s">
        <v>2330</v>
      </c>
      <c r="G4796" s="327" t="s">
        <v>155</v>
      </c>
      <c r="H4796" s="361" t="s">
        <v>536</v>
      </c>
      <c r="I4796" s="327">
        <v>2</v>
      </c>
      <c r="J4796" s="361"/>
      <c r="K4796" s="327" t="s">
        <v>100</v>
      </c>
      <c r="L4796" s="389">
        <v>15000</v>
      </c>
      <c r="M4796" s="355"/>
      <c r="N4796" s="355" t="s">
        <v>2408</v>
      </c>
      <c r="O4796" s="345" t="s">
        <v>2777</v>
      </c>
      <c r="P4796" s="325"/>
      <c r="Q4796" s="327"/>
      <c r="R4796" s="351">
        <v>4</v>
      </c>
      <c r="S4796" s="351">
        <v>5.8</v>
      </c>
      <c r="T4796" s="351">
        <v>4.9569999999999999</v>
      </c>
      <c r="U4796" s="329" t="str">
        <f>IF($N4796=$N$4,IFERROR(INDEX(DanhMuc!$E$154:$E$165,MATCH(MID($B4796,4,2),DanhMuc!$B$154:$B$165,0)),""),"")</f>
        <v/>
      </c>
      <c r="V4796" s="361"/>
      <c r="W4796" s="345"/>
      <c r="X4796" s="786"/>
      <c r="Y4796" s="1128" t="s">
        <v>3380</v>
      </c>
      <c r="Z4796" s="1128" t="s">
        <v>3381</v>
      </c>
      <c r="AA4796" s="1128" t="s">
        <v>3384</v>
      </c>
      <c r="AB4796" s="20"/>
      <c r="AC4796" s="73"/>
    </row>
    <row r="4797" spans="1:29">
      <c r="A4797" s="327" t="str">
        <f>IF(AND($B4797&lt;&gt;"",$C4797&lt;&gt;""),MAX($A$4730:$A4794)+1,"")</f>
        <v/>
      </c>
      <c r="B4797" s="361" t="s">
        <v>216</v>
      </c>
      <c r="C4797" s="362"/>
      <c r="D4797" s="327">
        <f>IF($B4797="","",COUNTIF($B$4731:$B4797,$B4797))</f>
        <v>4</v>
      </c>
      <c r="E4797" s="402" t="s">
        <v>2301</v>
      </c>
      <c r="F4797" s="403" t="s">
        <v>2333</v>
      </c>
      <c r="G4797" s="327" t="s">
        <v>155</v>
      </c>
      <c r="H4797" s="361" t="s">
        <v>536</v>
      </c>
      <c r="I4797" s="327">
        <v>16</v>
      </c>
      <c r="J4797" s="361"/>
      <c r="K4797" s="327" t="s">
        <v>101</v>
      </c>
      <c r="L4797" s="389">
        <v>9400</v>
      </c>
      <c r="M4797" s="355"/>
      <c r="N4797" s="355" t="s">
        <v>2408</v>
      </c>
      <c r="O4797" s="345" t="s">
        <v>2778</v>
      </c>
      <c r="P4797" s="325"/>
      <c r="Q4797" s="327"/>
      <c r="R4797" s="351"/>
      <c r="S4797" s="351"/>
      <c r="T4797" s="351"/>
      <c r="U4797" s="329" t="str">
        <f>IF($N4797=$N$4,IFERROR(INDEX(DanhMuc!$E$154:$E$165,MATCH(MID($B4797,4,2),DanhMuc!$B$154:$B$165,0)),""),"")</f>
        <v/>
      </c>
      <c r="V4797" s="361"/>
      <c r="W4797" s="345"/>
      <c r="X4797" s="786"/>
      <c r="Y4797" s="1128" t="s">
        <v>3380</v>
      </c>
      <c r="Z4797" s="1128" t="s">
        <v>3381</v>
      </c>
      <c r="AA4797" s="1128" t="s">
        <v>3384</v>
      </c>
      <c r="AB4797" s="20"/>
      <c r="AC4797" s="73"/>
    </row>
    <row r="4798" spans="1:29">
      <c r="A4798" s="327" t="str">
        <f>IF(AND($B4798&lt;&gt;"",$C4798&lt;&gt;""),MAX($A$4730:$A4797)+1,"")</f>
        <v/>
      </c>
      <c r="B4798" s="361" t="s">
        <v>216</v>
      </c>
      <c r="C4798" s="360"/>
      <c r="D4798" s="327">
        <f>IF($B4798="","",COUNTIF($B$4731:$B4798,$B4798))</f>
        <v>5</v>
      </c>
      <c r="E4798" s="402" t="s">
        <v>2788</v>
      </c>
      <c r="F4798" s="403" t="s">
        <v>2789</v>
      </c>
      <c r="G4798" s="327" t="s">
        <v>155</v>
      </c>
      <c r="H4798" s="361" t="s">
        <v>536</v>
      </c>
      <c r="I4798" s="327">
        <f>4*I4797</f>
        <v>64</v>
      </c>
      <c r="J4798" s="361"/>
      <c r="K4798" s="327" t="s">
        <v>100</v>
      </c>
      <c r="L4798" s="389">
        <v>600</v>
      </c>
      <c r="M4798" s="355"/>
      <c r="N4798" s="355" t="s">
        <v>2408</v>
      </c>
      <c r="O4798" s="345" t="s">
        <v>2778</v>
      </c>
      <c r="P4798" s="325"/>
      <c r="Q4798" s="327"/>
      <c r="R4798" s="351"/>
      <c r="S4798" s="351"/>
      <c r="T4798" s="351"/>
      <c r="U4798" s="329" t="str">
        <f>IF($N4798=$N$4,IFERROR(INDEX(DanhMuc!$E$154:$E$165,MATCH(MID($B4798,4,2),DanhMuc!$B$154:$B$165,0)),""),"")</f>
        <v/>
      </c>
      <c r="V4798" s="361"/>
      <c r="W4798" s="345"/>
      <c r="X4798" s="786"/>
      <c r="Y4798" s="1128" t="s">
        <v>3380</v>
      </c>
      <c r="Z4798" s="1128" t="s">
        <v>3381</v>
      </c>
      <c r="AA4798" s="1128" t="s">
        <v>3384</v>
      </c>
      <c r="AB4798" s="20"/>
      <c r="AC4798" s="73"/>
    </row>
    <row r="4799" spans="1:29">
      <c r="A4799" s="327" t="str">
        <f>IF(AND($B4799&lt;&gt;"",$C4799&lt;&gt;""),MAX($A$4730:$A4796)+1,"")</f>
        <v/>
      </c>
      <c r="B4799" s="361" t="s">
        <v>216</v>
      </c>
      <c r="C4799" s="362"/>
      <c r="D4799" s="327">
        <f>IF($B4799="","",COUNTIF($B$4731:$B4799,$B4799))</f>
        <v>6</v>
      </c>
      <c r="E4799" s="361" t="s">
        <v>652</v>
      </c>
      <c r="F4799" s="362" t="s">
        <v>2330</v>
      </c>
      <c r="G4799" s="327" t="s">
        <v>155</v>
      </c>
      <c r="H4799" s="361" t="s">
        <v>536</v>
      </c>
      <c r="I4799" s="327">
        <v>16</v>
      </c>
      <c r="J4799" s="361"/>
      <c r="K4799" s="327" t="s">
        <v>101</v>
      </c>
      <c r="L4799" s="389">
        <v>15000</v>
      </c>
      <c r="M4799" s="355"/>
      <c r="N4799" s="355" t="s">
        <v>2408</v>
      </c>
      <c r="O4799" s="345" t="s">
        <v>2779</v>
      </c>
      <c r="P4799" s="325"/>
      <c r="Q4799" s="327"/>
      <c r="R4799" s="351">
        <v>4</v>
      </c>
      <c r="S4799" s="351">
        <v>5.8</v>
      </c>
      <c r="T4799" s="351">
        <v>4.9569999999999999</v>
      </c>
      <c r="U4799" s="329" t="str">
        <f>IF($N4799=$N$4,IFERROR(INDEX(DanhMuc!$E$154:$E$165,MATCH(MID($B4799,4,2),DanhMuc!$B$154:$B$165,0)),""),"")</f>
        <v/>
      </c>
      <c r="V4799" s="361"/>
      <c r="W4799" s="345"/>
      <c r="X4799" s="786"/>
      <c r="Y4799" s="1128" t="s">
        <v>3380</v>
      </c>
      <c r="Z4799" s="1128" t="s">
        <v>3381</v>
      </c>
      <c r="AA4799" s="1128" t="s">
        <v>3384</v>
      </c>
      <c r="AB4799" s="20"/>
      <c r="AC4799" s="73"/>
    </row>
    <row r="4800" spans="1:29">
      <c r="A4800" s="327" t="str">
        <f>IF(AND($B4800&lt;&gt;"",$C4800&lt;&gt;""),MAX($A$4730:$A4797)+1,"")</f>
        <v/>
      </c>
      <c r="B4800" s="361" t="s">
        <v>216</v>
      </c>
      <c r="C4800" s="362"/>
      <c r="D4800" s="327">
        <f>IF($B4800="","",COUNTIF($B$4731:$B4800,$B4800))</f>
        <v>7</v>
      </c>
      <c r="E4800" s="361" t="s">
        <v>414</v>
      </c>
      <c r="F4800" s="362" t="s">
        <v>413</v>
      </c>
      <c r="G4800" s="327" t="s">
        <v>155</v>
      </c>
      <c r="H4800" s="361" t="s">
        <v>536</v>
      </c>
      <c r="I4800" s="327">
        <f>+I4794+I4797*2</f>
        <v>34</v>
      </c>
      <c r="J4800" s="361"/>
      <c r="K4800" s="327" t="s">
        <v>415</v>
      </c>
      <c r="L4800" s="389">
        <v>408</v>
      </c>
      <c r="M4800" s="355"/>
      <c r="N4800" s="355" t="s">
        <v>2408</v>
      </c>
      <c r="O4800" s="345"/>
      <c r="P4800" s="325"/>
      <c r="Q4800" s="327"/>
      <c r="R4800" s="351"/>
      <c r="S4800" s="351"/>
      <c r="T4800" s="351"/>
      <c r="U4800" s="329" t="str">
        <f>IF($N4800=$N$4,IFERROR(INDEX(DanhMuc!$E$154:$E$165,MATCH(MID($B4800,4,2),DanhMuc!$B$154:$B$165,0)),""),"")</f>
        <v/>
      </c>
      <c r="V4800" s="361"/>
      <c r="W4800" s="345"/>
      <c r="X4800" s="786"/>
      <c r="Y4800" s="1128" t="s">
        <v>3380</v>
      </c>
      <c r="Z4800" s="1128" t="s">
        <v>3381</v>
      </c>
      <c r="AA4800" s="1128" t="s">
        <v>3384</v>
      </c>
      <c r="AB4800" s="20"/>
      <c r="AC4800" s="73"/>
    </row>
    <row r="4801" spans="1:29">
      <c r="A4801" s="327" t="str">
        <f>IF(AND($B4801&lt;&gt;"",$C4801&lt;&gt;""),MAX($A$4730:$A4800)+1,"")</f>
        <v/>
      </c>
      <c r="B4801" s="361" t="s">
        <v>216</v>
      </c>
      <c r="C4801" s="362"/>
      <c r="D4801" s="327">
        <f>IF($B4801="","",COUNTIF($B$4731:$B4801,$B4801))</f>
        <v>8</v>
      </c>
      <c r="E4801" s="361" t="s">
        <v>654</v>
      </c>
      <c r="F4801" s="362" t="s">
        <v>653</v>
      </c>
      <c r="G4801" s="327" t="s">
        <v>1836</v>
      </c>
      <c r="H4801" s="361" t="s">
        <v>536</v>
      </c>
      <c r="I4801" s="327">
        <f>I4796/45</f>
        <v>4.4444444444444446E-2</v>
      </c>
      <c r="J4801" s="477"/>
      <c r="K4801" s="327" t="s">
        <v>655</v>
      </c>
      <c r="L4801" s="478">
        <v>115000</v>
      </c>
      <c r="M4801" s="355"/>
      <c r="N4801" s="355" t="s">
        <v>2408</v>
      </c>
      <c r="O4801" s="345" t="s">
        <v>2777</v>
      </c>
      <c r="P4801" s="325"/>
      <c r="Q4801" s="327"/>
      <c r="R4801" s="351"/>
      <c r="S4801" s="351"/>
      <c r="T4801" s="351"/>
      <c r="U4801" s="329" t="str">
        <f>IF($N4801=$N$4,IFERROR(INDEX(DanhMuc!$E$154:$E$165,MATCH(MID($B4801,4,2),DanhMuc!$B$154:$B$165,0)),""),"")</f>
        <v/>
      </c>
      <c r="V4801" s="361"/>
      <c r="W4801" s="345"/>
      <c r="X4801" s="786"/>
      <c r="Y4801" s="1128" t="s">
        <v>3380</v>
      </c>
      <c r="Z4801" s="1128" t="s">
        <v>3381</v>
      </c>
      <c r="AA4801" s="1128" t="s">
        <v>3384</v>
      </c>
      <c r="AB4801" s="20"/>
      <c r="AC4801" s="73"/>
    </row>
    <row r="4802" spans="1:29">
      <c r="A4802" s="327" t="str">
        <f>IF(AND($B4802&lt;&gt;"",$C4802&lt;&gt;""),MAX($A$4730:$A4801)+1,"")</f>
        <v/>
      </c>
      <c r="B4802" s="361" t="s">
        <v>216</v>
      </c>
      <c r="C4802" s="362"/>
      <c r="D4802" s="327">
        <f>IF($B4802="","",COUNTIF($B$4731:$B4802,$B4802))</f>
        <v>9</v>
      </c>
      <c r="E4802" s="361" t="s">
        <v>654</v>
      </c>
      <c r="F4802" s="362" t="s">
        <v>653</v>
      </c>
      <c r="G4802" s="327" t="s">
        <v>1836</v>
      </c>
      <c r="H4802" s="361" t="s">
        <v>536</v>
      </c>
      <c r="I4802" s="327">
        <f>I4799/45</f>
        <v>0.35555555555555557</v>
      </c>
      <c r="J4802" s="477"/>
      <c r="K4802" s="327" t="s">
        <v>655</v>
      </c>
      <c r="L4802" s="478">
        <v>115000</v>
      </c>
      <c r="M4802" s="355"/>
      <c r="N4802" s="355" t="s">
        <v>2408</v>
      </c>
      <c r="O4802" s="345" t="s">
        <v>2779</v>
      </c>
      <c r="P4802" s="325"/>
      <c r="Q4802" s="327"/>
      <c r="R4802" s="351"/>
      <c r="S4802" s="351"/>
      <c r="T4802" s="351"/>
      <c r="U4802" s="329" t="str">
        <f>IF($N4802=$N$4,IFERROR(INDEX(DanhMuc!$E$154:$E$165,MATCH(MID($B4802,4,2),DanhMuc!$B$154:$B$165,0)),""),"")</f>
        <v/>
      </c>
      <c r="V4802" s="361"/>
      <c r="W4802" s="345"/>
      <c r="X4802" s="786"/>
      <c r="Y4802" s="1128" t="s">
        <v>3380</v>
      </c>
      <c r="Z4802" s="1128" t="s">
        <v>3381</v>
      </c>
      <c r="AA4802" s="1128" t="s">
        <v>3384</v>
      </c>
      <c r="AB4802" s="20"/>
      <c r="AC4802" s="73"/>
    </row>
    <row r="4803" spans="1:29">
      <c r="A4803" s="327" t="str">
        <f>IF(AND($B4803&lt;&gt;"",$C4803&lt;&gt;""),MAX($A$4730:$A4801)+1,"")</f>
        <v/>
      </c>
      <c r="B4803" s="361" t="s">
        <v>216</v>
      </c>
      <c r="C4803" s="362"/>
      <c r="D4803" s="327">
        <f>IF($B4803="","",COUNTIF($B$4731:$B4803,$B4803))</f>
        <v>10</v>
      </c>
      <c r="E4803" s="361" t="s">
        <v>1826</v>
      </c>
      <c r="F4803" s="362" t="s">
        <v>670</v>
      </c>
      <c r="G4803" s="327" t="s">
        <v>661</v>
      </c>
      <c r="H4803" s="361" t="s">
        <v>536</v>
      </c>
      <c r="I4803" s="327" t="s">
        <v>2354</v>
      </c>
      <c r="J4803" s="361"/>
      <c r="K4803" s="327" t="s">
        <v>103</v>
      </c>
      <c r="L4803" s="478">
        <f>40000/1000</f>
        <v>40</v>
      </c>
      <c r="M4803" s="355"/>
      <c r="N4803" s="355" t="s">
        <v>2408</v>
      </c>
      <c r="O4803" s="345"/>
      <c r="P4803" s="325"/>
      <c r="Q4803" s="327"/>
      <c r="R4803" s="351"/>
      <c r="S4803" s="351"/>
      <c r="T4803" s="351"/>
      <c r="U4803" s="329" t="str">
        <f>IF($N4803=$N$4,IFERROR(INDEX(DanhMuc!$E$154:$E$165,MATCH(MID($B4803,4,2),DanhMuc!$B$154:$B$165,0)),""),"")</f>
        <v/>
      </c>
      <c r="V4803" s="361"/>
      <c r="W4803" s="345"/>
      <c r="X4803" s="786"/>
      <c r="Y4803" s="1128" t="s">
        <v>3380</v>
      </c>
      <c r="Z4803" s="1128" t="s">
        <v>3381</v>
      </c>
      <c r="AA4803" s="1128" t="s">
        <v>3384</v>
      </c>
      <c r="AB4803" s="20"/>
      <c r="AC4803" s="73"/>
    </row>
    <row r="4804" spans="1:29" ht="37.5">
      <c r="A4804" s="327" t="str">
        <f>IF(AND($B4804&lt;&gt;"",$C4804&lt;&gt;""),MAX($A$4730:$A4803)+1,"")</f>
        <v/>
      </c>
      <c r="B4804" s="361" t="s">
        <v>216</v>
      </c>
      <c r="C4804" s="362"/>
      <c r="D4804" s="327">
        <f>IF($B4804="","",COUNTIF($B$4731:$B4804,$B4804))</f>
        <v>11</v>
      </c>
      <c r="E4804" s="362" t="s">
        <v>1964</v>
      </c>
      <c r="F4804" s="362" t="s">
        <v>1965</v>
      </c>
      <c r="G4804" s="327" t="s">
        <v>405</v>
      </c>
      <c r="H4804" s="361" t="s">
        <v>536</v>
      </c>
      <c r="I4804" s="327" t="s">
        <v>694</v>
      </c>
      <c r="J4804" s="361"/>
      <c r="K4804" s="327" t="s">
        <v>223</v>
      </c>
      <c r="L4804" s="478">
        <v>140</v>
      </c>
      <c r="M4804" s="371"/>
      <c r="N4804" s="355" t="s">
        <v>2408</v>
      </c>
      <c r="O4804" s="345"/>
      <c r="P4804" s="325"/>
      <c r="Q4804" s="327"/>
      <c r="R4804" s="351"/>
      <c r="S4804" s="351"/>
      <c r="T4804" s="351"/>
      <c r="U4804" s="329" t="str">
        <f>IF($N4804=$N$4,IFERROR(INDEX(DanhMuc!$E$154:$E$165,MATCH(MID($B4804,4,2),DanhMuc!$B$154:$B$165,0)),""),"")</f>
        <v/>
      </c>
      <c r="V4804" s="361"/>
      <c r="W4804" s="345"/>
      <c r="X4804" s="786"/>
      <c r="Y4804" s="1128" t="s">
        <v>3380</v>
      </c>
      <c r="Z4804" s="1128" t="s">
        <v>3381</v>
      </c>
      <c r="AA4804" s="1128" t="s">
        <v>3384</v>
      </c>
      <c r="AB4804" s="20"/>
      <c r="AC4804" s="73"/>
    </row>
    <row r="4805" spans="1:29" ht="37.5">
      <c r="A4805" s="327" t="str">
        <f>IF(AND($B4805&lt;&gt;"",$C4805&lt;&gt;""),MAX($A$4730:$A4804)+1,"")</f>
        <v/>
      </c>
      <c r="B4805" s="361" t="s">
        <v>216</v>
      </c>
      <c r="C4805" s="362"/>
      <c r="D4805" s="327">
        <f>IF($B4805="","",COUNTIF($B$4731:$B4805,$B4805))</f>
        <v>12</v>
      </c>
      <c r="E4805" s="362" t="s">
        <v>2756</v>
      </c>
      <c r="F4805" s="362" t="s">
        <v>2757</v>
      </c>
      <c r="G4805" s="327" t="s">
        <v>405</v>
      </c>
      <c r="H4805" s="361" t="s">
        <v>536</v>
      </c>
      <c r="I4805" s="327" t="s">
        <v>694</v>
      </c>
      <c r="J4805" s="361"/>
      <c r="K4805" s="327" t="s">
        <v>223</v>
      </c>
      <c r="L4805" s="479">
        <v>322</v>
      </c>
      <c r="M4805" s="371"/>
      <c r="N4805" s="355" t="s">
        <v>2408</v>
      </c>
      <c r="O4805" s="345"/>
      <c r="P4805" s="325"/>
      <c r="Q4805" s="327"/>
      <c r="R4805" s="351"/>
      <c r="S4805" s="351"/>
      <c r="T4805" s="351"/>
      <c r="U4805" s="329" t="str">
        <f>IF($N4805=$N$4,IFERROR(INDEX(DanhMuc!$E$154:$E$165,MATCH(MID($B4805,4,2),DanhMuc!$B$154:$B$165,0)),""),"")</f>
        <v/>
      </c>
      <c r="V4805" s="361"/>
      <c r="W4805" s="345"/>
      <c r="X4805" s="786"/>
      <c r="Y4805" s="1128" t="s">
        <v>3380</v>
      </c>
      <c r="Z4805" s="1128" t="s">
        <v>3381</v>
      </c>
      <c r="AA4805" s="1128" t="s">
        <v>3384</v>
      </c>
      <c r="AB4805" s="20"/>
      <c r="AC4805" s="73"/>
    </row>
    <row r="4806" spans="1:29">
      <c r="A4806" s="327" t="str">
        <f>IF(AND($B4806&lt;&gt;"",$C4806&lt;&gt;""),MAX($A$4730:$A4805)+1,"")</f>
        <v/>
      </c>
      <c r="B4806" s="361" t="s">
        <v>216</v>
      </c>
      <c r="C4806" s="362"/>
      <c r="D4806" s="327">
        <f>IF($B4806="","",COUNTIF($B$4731:$B4806,$B4806))</f>
        <v>13</v>
      </c>
      <c r="E4806" s="361" t="s">
        <v>656</v>
      </c>
      <c r="F4806" s="362" t="s">
        <v>2239</v>
      </c>
      <c r="G4806" s="327" t="s">
        <v>405</v>
      </c>
      <c r="H4806" s="361" t="s">
        <v>536</v>
      </c>
      <c r="I4806" s="327" t="s">
        <v>1827</v>
      </c>
      <c r="J4806" s="361"/>
      <c r="K4806" s="327" t="s">
        <v>100</v>
      </c>
      <c r="L4806" s="478">
        <v>970</v>
      </c>
      <c r="M4806" s="371"/>
      <c r="N4806" s="355" t="s">
        <v>2409</v>
      </c>
      <c r="O4806" s="345"/>
      <c r="P4806" s="325"/>
      <c r="Q4806" s="327"/>
      <c r="R4806" s="351"/>
      <c r="S4806" s="351"/>
      <c r="T4806" s="351"/>
      <c r="U4806" s="329" t="str">
        <f>IF($N4806=$N$4,IFERROR(INDEX(DanhMuc!$E$154:$E$165,MATCH(MID($B4806,4,2),DanhMuc!$B$154:$B$165,0)),""),"")</f>
        <v/>
      </c>
      <c r="V4806" s="361"/>
      <c r="W4806" s="345"/>
      <c r="X4806" s="786"/>
      <c r="Y4806" s="1128" t="s">
        <v>3380</v>
      </c>
      <c r="Z4806" s="1128" t="s">
        <v>3381</v>
      </c>
      <c r="AA4806" s="1128" t="s">
        <v>3384</v>
      </c>
      <c r="AB4806" s="20"/>
      <c r="AC4806" s="73"/>
    </row>
    <row r="4807" spans="1:29">
      <c r="A4807" s="327" t="str">
        <f>IF(AND($B4807&lt;&gt;"",$C4807&lt;&gt;""),MAX($A$4730:$A4806)+1,"")</f>
        <v/>
      </c>
      <c r="B4807" s="361" t="s">
        <v>216</v>
      </c>
      <c r="C4807" s="362"/>
      <c r="D4807" s="327">
        <f>IF($B4807="","",COUNTIF($B$4731:$B4807,$B4807))</f>
        <v>14</v>
      </c>
      <c r="E4807" s="361" t="s">
        <v>657</v>
      </c>
      <c r="F4807" s="362" t="s">
        <v>658</v>
      </c>
      <c r="G4807" s="327" t="s">
        <v>424</v>
      </c>
      <c r="H4807" s="361" t="s">
        <v>536</v>
      </c>
      <c r="I4807" s="327" t="s">
        <v>665</v>
      </c>
      <c r="J4807" s="361"/>
      <c r="K4807" s="327" t="s">
        <v>100</v>
      </c>
      <c r="L4807" s="478">
        <v>60000</v>
      </c>
      <c r="M4807" s="355"/>
      <c r="N4807" s="355" t="s">
        <v>2409</v>
      </c>
      <c r="O4807" s="345"/>
      <c r="P4807" s="325"/>
      <c r="Q4807" s="327"/>
      <c r="R4807" s="351"/>
      <c r="S4807" s="351"/>
      <c r="T4807" s="351"/>
      <c r="U4807" s="329" t="str">
        <f>IF($N4807=$N$4,IFERROR(INDEX(DanhMuc!$E$154:$E$165,MATCH(MID($B4807,4,2),DanhMuc!$B$154:$B$165,0)),""),"")</f>
        <v/>
      </c>
      <c r="V4807" s="361"/>
      <c r="W4807" s="345"/>
      <c r="X4807" s="786"/>
      <c r="Y4807" s="1128" t="s">
        <v>3380</v>
      </c>
      <c r="Z4807" s="1128" t="s">
        <v>3381</v>
      </c>
      <c r="AA4807" s="1128" t="s">
        <v>3384</v>
      </c>
      <c r="AB4807" s="20"/>
      <c r="AC4807" s="73"/>
    </row>
    <row r="4808" spans="1:29">
      <c r="A4808" s="327" t="str">
        <f>IF(AND($B4808&lt;&gt;"",$C4808&lt;&gt;""),MAX($A$4730:$A4807)+1,"")</f>
        <v/>
      </c>
      <c r="B4808" s="361" t="s">
        <v>216</v>
      </c>
      <c r="C4808" s="362"/>
      <c r="D4808" s="327">
        <f>IF($B4808="","",COUNTIF($B$4731:$B4808,$B4808))</f>
        <v>15</v>
      </c>
      <c r="E4808" s="361" t="s">
        <v>2771</v>
      </c>
      <c r="F4808" s="362" t="s">
        <v>659</v>
      </c>
      <c r="G4808" s="327" t="s">
        <v>424</v>
      </c>
      <c r="H4808" s="361" t="s">
        <v>536</v>
      </c>
      <c r="I4808" s="327" t="s">
        <v>666</v>
      </c>
      <c r="J4808" s="361"/>
      <c r="K4808" s="327" t="s">
        <v>100</v>
      </c>
      <c r="L4808" s="389">
        <v>53000</v>
      </c>
      <c r="M4808" s="355"/>
      <c r="N4808" s="355" t="s">
        <v>2409</v>
      </c>
      <c r="O4808" s="345"/>
      <c r="P4808" s="325"/>
      <c r="Q4808" s="327"/>
      <c r="R4808" s="351"/>
      <c r="S4808" s="351"/>
      <c r="T4808" s="351"/>
      <c r="U4808" s="329" t="str">
        <f>IF($N4808=$N$4,IFERROR(INDEX(DanhMuc!$E$154:$E$165,MATCH(MID($B4808,4,2),DanhMuc!$B$154:$B$165,0)),""),"")</f>
        <v/>
      </c>
      <c r="V4808" s="361"/>
      <c r="W4808" s="345"/>
      <c r="X4808" s="786"/>
      <c r="Y4808" s="1128" t="s">
        <v>3380</v>
      </c>
      <c r="Z4808" s="1128" t="s">
        <v>3381</v>
      </c>
      <c r="AA4808" s="1128" t="s">
        <v>3384</v>
      </c>
      <c r="AB4808" s="20"/>
      <c r="AC4808" s="73"/>
    </row>
    <row r="4809" spans="1:29">
      <c r="A4809" s="327" t="str">
        <f>IF(AND($B4809&lt;&gt;"",$C4809&lt;&gt;""),MAX($A$4730:$A4808)+1,"")</f>
        <v/>
      </c>
      <c r="B4809" s="361" t="s">
        <v>216</v>
      </c>
      <c r="C4809" s="362"/>
      <c r="D4809" s="327">
        <f>IF($B4809="","",COUNTIF($B$4731:$B4809,$B4809))</f>
        <v>16</v>
      </c>
      <c r="E4809" s="361" t="s">
        <v>1828</v>
      </c>
      <c r="F4809" s="362" t="s">
        <v>671</v>
      </c>
      <c r="G4809" s="327" t="s">
        <v>661</v>
      </c>
      <c r="H4809" s="361" t="s">
        <v>536</v>
      </c>
      <c r="I4809" s="327" t="s">
        <v>2355</v>
      </c>
      <c r="J4809" s="361"/>
      <c r="K4809" s="327" t="s">
        <v>100</v>
      </c>
      <c r="L4809" s="478">
        <f>40000/1000</f>
        <v>40</v>
      </c>
      <c r="M4809" s="355"/>
      <c r="N4809" s="355" t="s">
        <v>2409</v>
      </c>
      <c r="O4809" s="345"/>
      <c r="P4809" s="325"/>
      <c r="Q4809" s="327"/>
      <c r="R4809" s="351"/>
      <c r="S4809" s="351"/>
      <c r="T4809" s="351"/>
      <c r="U4809" s="329" t="str">
        <f>IF($N4809=$N$4,IFERROR(INDEX(DanhMuc!$E$154:$E$165,MATCH(MID($B4809,4,2),DanhMuc!$B$154:$B$165,0)),""),"")</f>
        <v/>
      </c>
      <c r="V4809" s="361"/>
      <c r="W4809" s="345"/>
      <c r="X4809" s="786"/>
      <c r="Y4809" s="1128" t="s">
        <v>3380</v>
      </c>
      <c r="Z4809" s="1128" t="s">
        <v>3381</v>
      </c>
      <c r="AA4809" s="1128" t="s">
        <v>3384</v>
      </c>
      <c r="AB4809" s="20"/>
      <c r="AC4809" s="73"/>
    </row>
    <row r="4810" spans="1:29">
      <c r="A4810" s="327" t="str">
        <f>IF(AND($B4810&lt;&gt;"",$C4810&lt;&gt;""),MAX($A$4730:$A4809)+1,"")</f>
        <v/>
      </c>
      <c r="B4810" s="361" t="s">
        <v>216</v>
      </c>
      <c r="C4810" s="362"/>
      <c r="D4810" s="327">
        <f>IF($B4810="","",COUNTIF($B$4731:$B4810,$B4810))</f>
        <v>17</v>
      </c>
      <c r="E4810" s="361" t="s">
        <v>154</v>
      </c>
      <c r="F4810" s="362" t="s">
        <v>660</v>
      </c>
      <c r="G4810" s="327" t="s">
        <v>661</v>
      </c>
      <c r="H4810" s="361" t="s">
        <v>536</v>
      </c>
      <c r="I4810" s="327" t="s">
        <v>667</v>
      </c>
      <c r="J4810" s="361"/>
      <c r="K4810" s="327" t="s">
        <v>662</v>
      </c>
      <c r="L4810" s="478">
        <v>20</v>
      </c>
      <c r="M4810" s="355"/>
      <c r="N4810" s="355" t="s">
        <v>2409</v>
      </c>
      <c r="O4810" s="345"/>
      <c r="P4810" s="325"/>
      <c r="Q4810" s="327"/>
      <c r="R4810" s="351"/>
      <c r="S4810" s="351"/>
      <c r="T4810" s="351"/>
      <c r="U4810" s="329" t="str">
        <f>IF($N4810=$N$4,IFERROR(INDEX(DanhMuc!$E$154:$E$165,MATCH(MID($B4810,4,2),DanhMuc!$B$154:$B$165,0)),""),"")</f>
        <v/>
      </c>
      <c r="V4810" s="361"/>
      <c r="W4810" s="345"/>
      <c r="X4810" s="786"/>
      <c r="Y4810" s="1128" t="s">
        <v>3380</v>
      </c>
      <c r="Z4810" s="1128" t="s">
        <v>3381</v>
      </c>
      <c r="AA4810" s="1128" t="s">
        <v>3384</v>
      </c>
      <c r="AB4810" s="20"/>
      <c r="AC4810" s="73"/>
    </row>
    <row r="4811" spans="1:29">
      <c r="A4811" s="327" t="str">
        <f>IF(AND($B4811&lt;&gt;"",$C4811&lt;&gt;""),MAX($A$4730:$A4810)+1,"")</f>
        <v/>
      </c>
      <c r="B4811" s="361" t="s">
        <v>216</v>
      </c>
      <c r="C4811" s="362"/>
      <c r="D4811" s="327">
        <f>IF($B4811="","",COUNTIF($B$4731:$B4811,$B4811))</f>
        <v>18</v>
      </c>
      <c r="E4811" s="362" t="s">
        <v>2282</v>
      </c>
      <c r="F4811" s="362" t="s">
        <v>2283</v>
      </c>
      <c r="G4811" s="327" t="s">
        <v>424</v>
      </c>
      <c r="H4811" s="361" t="s">
        <v>536</v>
      </c>
      <c r="I4811" s="327" t="s">
        <v>2238</v>
      </c>
      <c r="J4811" s="361"/>
      <c r="K4811" s="327" t="s">
        <v>662</v>
      </c>
      <c r="L4811" s="478">
        <v>28000</v>
      </c>
      <c r="M4811" s="355"/>
      <c r="N4811" s="355" t="s">
        <v>2409</v>
      </c>
      <c r="O4811" s="345"/>
      <c r="P4811" s="325"/>
      <c r="Q4811" s="327"/>
      <c r="R4811" s="351"/>
      <c r="S4811" s="351"/>
      <c r="T4811" s="351"/>
      <c r="U4811" s="329" t="str">
        <f>IF($N4811=$N$4,IFERROR(INDEX(DanhMuc!$E$154:$E$165,MATCH(MID($B4811,4,2),DanhMuc!$B$154:$B$165,0)),""),"")</f>
        <v/>
      </c>
      <c r="V4811" s="361"/>
      <c r="W4811" s="345"/>
      <c r="X4811" s="786"/>
      <c r="Y4811" s="1128" t="s">
        <v>3380</v>
      </c>
      <c r="Z4811" s="1128" t="s">
        <v>3381</v>
      </c>
      <c r="AA4811" s="1128" t="s">
        <v>3384</v>
      </c>
      <c r="AB4811" s="20"/>
      <c r="AC4811" s="73"/>
    </row>
    <row r="4812" spans="1:29">
      <c r="A4812" s="327" t="str">
        <f>IF(AND($B4812&lt;&gt;"",$C4812&lt;&gt;""),MAX($A$4730:$A4811)+1,"")</f>
        <v/>
      </c>
      <c r="B4812" s="361" t="s">
        <v>216</v>
      </c>
      <c r="C4812" s="362"/>
      <c r="D4812" s="327">
        <f>IF($B4812="","",COUNTIF($B$4731:$B4812,$B4812))</f>
        <v>19</v>
      </c>
      <c r="E4812" s="362" t="s">
        <v>663</v>
      </c>
      <c r="F4812" s="362" t="s">
        <v>664</v>
      </c>
      <c r="G4812" s="327" t="s">
        <v>155</v>
      </c>
      <c r="H4812" s="361" t="s">
        <v>536</v>
      </c>
      <c r="I4812" s="327" t="s">
        <v>672</v>
      </c>
      <c r="J4812" s="361"/>
      <c r="K4812" s="327" t="s">
        <v>662</v>
      </c>
      <c r="L4812" s="478">
        <v>1000</v>
      </c>
      <c r="M4812" s="355"/>
      <c r="N4812" s="355" t="s">
        <v>2409</v>
      </c>
      <c r="O4812" s="345"/>
      <c r="P4812" s="325"/>
      <c r="Q4812" s="327"/>
      <c r="R4812" s="351"/>
      <c r="S4812" s="351"/>
      <c r="T4812" s="351"/>
      <c r="U4812" s="329" t="str">
        <f>IF($N4812=$N$4,IFERROR(INDEX(DanhMuc!$E$154:$E$165,MATCH(MID($B4812,4,2),DanhMuc!$B$154:$B$165,0)),""),"")</f>
        <v/>
      </c>
      <c r="V4812" s="361"/>
      <c r="W4812" s="345"/>
      <c r="X4812" s="786"/>
      <c r="Y4812" s="1128" t="s">
        <v>3380</v>
      </c>
      <c r="Z4812" s="1128" t="s">
        <v>3381</v>
      </c>
      <c r="AA4812" s="1128" t="s">
        <v>3384</v>
      </c>
      <c r="AB4812" s="20"/>
      <c r="AC4812" s="73"/>
    </row>
    <row r="4813" spans="1:29" ht="39">
      <c r="A4813" s="327">
        <f>IF(AND($B4813&lt;&gt;"",$C4813&lt;&gt;""),MAX($A$4730:$A4785)+1,"")</f>
        <v>3</v>
      </c>
      <c r="B4813" s="359" t="s">
        <v>416</v>
      </c>
      <c r="C4813" s="360" t="s">
        <v>1538</v>
      </c>
      <c r="D4813" s="327">
        <f>IF($B4813="","",COUNTIF($B$4731:$B4813,$B4813))</f>
        <v>1</v>
      </c>
      <c r="E4813" s="361" t="s">
        <v>2069</v>
      </c>
      <c r="F4813" s="362" t="s">
        <v>2070</v>
      </c>
      <c r="G4813" s="327" t="s">
        <v>155</v>
      </c>
      <c r="H4813" s="361" t="s">
        <v>536</v>
      </c>
      <c r="I4813" s="327">
        <v>4</v>
      </c>
      <c r="J4813" s="361"/>
      <c r="K4813" s="327" t="s">
        <v>100</v>
      </c>
      <c r="L4813" s="389">
        <v>11000</v>
      </c>
      <c r="M4813" s="355"/>
      <c r="N4813" s="355" t="s">
        <v>2408</v>
      </c>
      <c r="O4813" s="345"/>
      <c r="P4813" s="325"/>
      <c r="Q4813" s="327"/>
      <c r="R4813" s="351">
        <v>2.5</v>
      </c>
      <c r="S4813" s="351">
        <v>5.8</v>
      </c>
      <c r="T4813" s="351">
        <v>1.44</v>
      </c>
      <c r="U4813" s="329" t="str">
        <f>IF($N4813=$N$4,IFERROR(INDEX(DanhMuc!$E$154:$E$165,MATCH(MID($B4813,4,2),DanhMuc!$B$154:$B$165,0)),""),"")</f>
        <v/>
      </c>
      <c r="V4813" s="361"/>
      <c r="W4813" s="345"/>
      <c r="X4813" s="786"/>
      <c r="Y4813" s="1128" t="s">
        <v>3380</v>
      </c>
      <c r="Z4813" s="1128" t="s">
        <v>3381</v>
      </c>
      <c r="AA4813" s="1128" t="s">
        <v>3384</v>
      </c>
      <c r="AB4813" s="20"/>
      <c r="AC4813" s="73"/>
    </row>
    <row r="4814" spans="1:29">
      <c r="A4814" s="327" t="str">
        <f>IF(AND($B4814&lt;&gt;"",$C4814&lt;&gt;""),MAX($A$4730:$A4813)+1,"")</f>
        <v/>
      </c>
      <c r="B4814" s="361" t="s">
        <v>416</v>
      </c>
      <c r="C4814" s="362"/>
      <c r="D4814" s="327">
        <f>IF($B4814="","",COUNTIF($B$4731:$B4814,$B4814))</f>
        <v>2</v>
      </c>
      <c r="E4814" s="361" t="s">
        <v>2071</v>
      </c>
      <c r="F4814" s="362" t="s">
        <v>2072</v>
      </c>
      <c r="G4814" s="327" t="s">
        <v>155</v>
      </c>
      <c r="H4814" s="361" t="s">
        <v>536</v>
      </c>
      <c r="I4814" s="327">
        <v>12</v>
      </c>
      <c r="J4814" s="361"/>
      <c r="K4814" s="327" t="s">
        <v>101</v>
      </c>
      <c r="L4814" s="389">
        <v>30000</v>
      </c>
      <c r="M4814" s="355"/>
      <c r="N4814" s="355" t="s">
        <v>2408</v>
      </c>
      <c r="O4814" s="345"/>
      <c r="P4814" s="325"/>
      <c r="Q4814" s="327"/>
      <c r="R4814" s="351"/>
      <c r="S4814" s="351"/>
      <c r="T4814" s="351"/>
      <c r="U4814" s="329" t="str">
        <f>IF($N4814=$N$4,IFERROR(INDEX(DanhMuc!$E$154:$E$165,MATCH(MID($B4814,4,2),DanhMuc!$B$154:$B$165,0)),""),"")</f>
        <v/>
      </c>
      <c r="V4814" s="361"/>
      <c r="W4814" s="345"/>
      <c r="X4814" s="786"/>
      <c r="Y4814" s="1128" t="s">
        <v>3380</v>
      </c>
      <c r="Z4814" s="1128" t="s">
        <v>3381</v>
      </c>
      <c r="AA4814" s="1128" t="s">
        <v>3384</v>
      </c>
      <c r="AB4814" s="20"/>
      <c r="AC4814" s="73"/>
    </row>
    <row r="4815" spans="1:29">
      <c r="A4815" s="327" t="str">
        <f>IF(AND($B4815&lt;&gt;"",$C4815&lt;&gt;""),MAX($A$4730:$A4814)+1,"")</f>
        <v/>
      </c>
      <c r="B4815" s="361" t="s">
        <v>416</v>
      </c>
      <c r="C4815" s="362"/>
      <c r="D4815" s="327">
        <f>IF($B4815="","",COUNTIF($B$4731:$B4815,$B4815))</f>
        <v>3</v>
      </c>
      <c r="E4815" s="361" t="s">
        <v>2336</v>
      </c>
      <c r="F4815" s="362" t="s">
        <v>2337</v>
      </c>
      <c r="G4815" s="327" t="s">
        <v>155</v>
      </c>
      <c r="H4815" s="361" t="s">
        <v>536</v>
      </c>
      <c r="I4815" s="327">
        <v>12</v>
      </c>
      <c r="J4815" s="361"/>
      <c r="K4815" s="327" t="s">
        <v>415</v>
      </c>
      <c r="L4815" s="389">
        <v>1000</v>
      </c>
      <c r="M4815" s="355"/>
      <c r="N4815" s="355" t="s">
        <v>2408</v>
      </c>
      <c r="O4815" s="345"/>
      <c r="P4815" s="325"/>
      <c r="Q4815" s="327"/>
      <c r="R4815" s="351"/>
      <c r="S4815" s="351"/>
      <c r="T4815" s="351"/>
      <c r="U4815" s="329" t="str">
        <f>IF($N4815=$N$4,IFERROR(INDEX(DanhMuc!$E$154:$E$165,MATCH(MID($B4815,4,2),DanhMuc!$B$154:$B$165,0)),""),"")</f>
        <v/>
      </c>
      <c r="V4815" s="361"/>
      <c r="W4815" s="345"/>
      <c r="X4815" s="786"/>
      <c r="Y4815" s="1128" t="s">
        <v>3380</v>
      </c>
      <c r="Z4815" s="1128" t="s">
        <v>3381</v>
      </c>
      <c r="AA4815" s="1128" t="s">
        <v>3384</v>
      </c>
      <c r="AB4815" s="20"/>
      <c r="AC4815" s="73"/>
    </row>
    <row r="4816" spans="1:29">
      <c r="A4816" s="327" t="str">
        <f>IF(AND($B4816&lt;&gt;"",$C4816&lt;&gt;""),MAX($A$4730:$A4815)+1,"")</f>
        <v/>
      </c>
      <c r="B4816" s="361" t="s">
        <v>416</v>
      </c>
      <c r="C4816" s="362"/>
      <c r="D4816" s="327">
        <f>IF($B4816="","",COUNTIF($B$4731:$B4816,$B4816))</f>
        <v>4</v>
      </c>
      <c r="E4816" s="361" t="s">
        <v>1826</v>
      </c>
      <c r="F4816" s="362" t="s">
        <v>670</v>
      </c>
      <c r="G4816" s="327" t="s">
        <v>661</v>
      </c>
      <c r="H4816" s="361" t="s">
        <v>536</v>
      </c>
      <c r="I4816" s="361" t="s">
        <v>2354</v>
      </c>
      <c r="J4816" s="361"/>
      <c r="K4816" s="327" t="s">
        <v>103</v>
      </c>
      <c r="L4816" s="478">
        <f>40000/1000</f>
        <v>40</v>
      </c>
      <c r="M4816" s="355"/>
      <c r="N4816" s="355" t="s">
        <v>2408</v>
      </c>
      <c r="O4816" s="345"/>
      <c r="P4816" s="325"/>
      <c r="Q4816" s="327"/>
      <c r="R4816" s="351"/>
      <c r="S4816" s="351"/>
      <c r="T4816" s="351"/>
      <c r="U4816" s="329" t="str">
        <f>IF($N4816=$N$4,IFERROR(INDEX(DanhMuc!$E$154:$E$165,MATCH(MID($B4816,4,2),DanhMuc!$B$154:$B$165,0)),""),"")</f>
        <v/>
      </c>
      <c r="V4816" s="361"/>
      <c r="W4816" s="345"/>
      <c r="X4816" s="786"/>
      <c r="Y4816" s="1128" t="s">
        <v>3380</v>
      </c>
      <c r="Z4816" s="1128" t="s">
        <v>3381</v>
      </c>
      <c r="AA4816" s="1128" t="s">
        <v>3384</v>
      </c>
      <c r="AB4816" s="20"/>
      <c r="AC4816" s="73"/>
    </row>
    <row r="4817" spans="1:29" ht="37.5">
      <c r="A4817" s="327" t="str">
        <f>IF(AND($B4817&lt;&gt;"",$C4817&lt;&gt;""),MAX($A$4730:$A4816)+1,"")</f>
        <v/>
      </c>
      <c r="B4817" s="361" t="s">
        <v>416</v>
      </c>
      <c r="C4817" s="362"/>
      <c r="D4817" s="327">
        <f>IF($B4817="","",COUNTIF($B$4731:$B4817,$B4817))</f>
        <v>5</v>
      </c>
      <c r="E4817" s="362" t="s">
        <v>1964</v>
      </c>
      <c r="F4817" s="362" t="s">
        <v>1965</v>
      </c>
      <c r="G4817" s="327" t="s">
        <v>405</v>
      </c>
      <c r="H4817" s="361" t="s">
        <v>536</v>
      </c>
      <c r="I4817" s="361" t="s">
        <v>2548</v>
      </c>
      <c r="J4817" s="361"/>
      <c r="K4817" s="327" t="s">
        <v>423</v>
      </c>
      <c r="L4817" s="478">
        <v>140</v>
      </c>
      <c r="M4817" s="371"/>
      <c r="N4817" s="355" t="s">
        <v>2408</v>
      </c>
      <c r="O4817" s="345"/>
      <c r="P4817" s="325"/>
      <c r="Q4817" s="327"/>
      <c r="R4817" s="351"/>
      <c r="S4817" s="351"/>
      <c r="T4817" s="351"/>
      <c r="U4817" s="329" t="str">
        <f>IF($N4817=$N$4,IFERROR(INDEX(DanhMuc!$E$154:$E$165,MATCH(MID($B4817,4,2),DanhMuc!$B$154:$B$165,0)),""),"")</f>
        <v/>
      </c>
      <c r="V4817" s="361"/>
      <c r="W4817" s="345"/>
      <c r="X4817" s="786"/>
      <c r="Y4817" s="1128" t="s">
        <v>3380</v>
      </c>
      <c r="Z4817" s="1128" t="s">
        <v>3381</v>
      </c>
      <c r="AA4817" s="1128" t="s">
        <v>3384</v>
      </c>
      <c r="AB4817" s="20"/>
      <c r="AC4817" s="73"/>
    </row>
    <row r="4818" spans="1:29" ht="37.5">
      <c r="A4818" s="327" t="str">
        <f>IF(AND($B4818&lt;&gt;"",$C4818&lt;&gt;""),MAX($A$4730:$A4817)+1,"")</f>
        <v/>
      </c>
      <c r="B4818" s="361" t="s">
        <v>416</v>
      </c>
      <c r="C4818" s="362"/>
      <c r="D4818" s="327">
        <f>IF($B4818="","",COUNTIF($B$4731:$B4818,$B4818))</f>
        <v>6</v>
      </c>
      <c r="E4818" s="362" t="s">
        <v>2756</v>
      </c>
      <c r="F4818" s="362" t="s">
        <v>2757</v>
      </c>
      <c r="G4818" s="327" t="s">
        <v>405</v>
      </c>
      <c r="H4818" s="361" t="s">
        <v>536</v>
      </c>
      <c r="I4818" s="361" t="s">
        <v>2548</v>
      </c>
      <c r="J4818" s="361"/>
      <c r="K4818" s="327" t="s">
        <v>423</v>
      </c>
      <c r="L4818" s="479">
        <v>322</v>
      </c>
      <c r="M4818" s="371"/>
      <c r="N4818" s="355" t="s">
        <v>2408</v>
      </c>
      <c r="O4818" s="345"/>
      <c r="P4818" s="325"/>
      <c r="Q4818" s="327"/>
      <c r="R4818" s="351"/>
      <c r="S4818" s="351"/>
      <c r="T4818" s="351"/>
      <c r="U4818" s="329" t="str">
        <f>IF($N4818=$N$4,IFERROR(INDEX(DanhMuc!$E$154:$E$165,MATCH(MID($B4818,4,2),DanhMuc!$B$154:$B$165,0)),""),"")</f>
        <v/>
      </c>
      <c r="V4818" s="361"/>
      <c r="W4818" s="345"/>
      <c r="X4818" s="786"/>
      <c r="Y4818" s="1128" t="s">
        <v>3380</v>
      </c>
      <c r="Z4818" s="1128" t="s">
        <v>3381</v>
      </c>
      <c r="AA4818" s="1128" t="s">
        <v>3384</v>
      </c>
      <c r="AB4818" s="20"/>
      <c r="AC4818" s="73"/>
    </row>
    <row r="4819" spans="1:29">
      <c r="A4819" s="327" t="str">
        <f>IF(AND($B4819&lt;&gt;"",$C4819&lt;&gt;""),MAX($A$4730:$A4818)+1,"")</f>
        <v/>
      </c>
      <c r="B4819" s="361" t="s">
        <v>416</v>
      </c>
      <c r="C4819" s="362"/>
      <c r="D4819" s="327">
        <f>IF($B4819="","",COUNTIF($B$4731:$B4819,$B4819))</f>
        <v>7</v>
      </c>
      <c r="E4819" s="361" t="s">
        <v>656</v>
      </c>
      <c r="F4819" s="362" t="s">
        <v>2239</v>
      </c>
      <c r="G4819" s="327" t="s">
        <v>405</v>
      </c>
      <c r="H4819" s="361" t="s">
        <v>536</v>
      </c>
      <c r="I4819" s="361" t="s">
        <v>1827</v>
      </c>
      <c r="J4819" s="361"/>
      <c r="K4819" s="327" t="s">
        <v>100</v>
      </c>
      <c r="L4819" s="478">
        <v>970</v>
      </c>
      <c r="M4819" s="371"/>
      <c r="N4819" s="355" t="s">
        <v>2409</v>
      </c>
      <c r="O4819" s="345"/>
      <c r="P4819" s="325"/>
      <c r="Q4819" s="327"/>
      <c r="R4819" s="351"/>
      <c r="S4819" s="351"/>
      <c r="T4819" s="351"/>
      <c r="U4819" s="329" t="str">
        <f>IF($N4819=$N$4,IFERROR(INDEX(DanhMuc!$E$154:$E$165,MATCH(MID($B4819,4,2),DanhMuc!$B$154:$B$165,0)),""),"")</f>
        <v/>
      </c>
      <c r="V4819" s="361"/>
      <c r="W4819" s="345"/>
      <c r="X4819" s="786"/>
      <c r="Y4819" s="1128" t="s">
        <v>3380</v>
      </c>
      <c r="Z4819" s="1128" t="s">
        <v>3381</v>
      </c>
      <c r="AA4819" s="1128" t="s">
        <v>3384</v>
      </c>
      <c r="AB4819" s="20"/>
      <c r="AC4819" s="73"/>
    </row>
    <row r="4820" spans="1:29">
      <c r="A4820" s="327" t="str">
        <f>IF(AND($B4820&lt;&gt;"",$C4820&lt;&gt;""),MAX($A$4730:$A4819)+1,"")</f>
        <v/>
      </c>
      <c r="B4820" s="361" t="s">
        <v>416</v>
      </c>
      <c r="C4820" s="362"/>
      <c r="D4820" s="327">
        <f>IF($B4820="","",COUNTIF($B$4731:$B4820,$B4820))</f>
        <v>8</v>
      </c>
      <c r="E4820" s="361" t="s">
        <v>657</v>
      </c>
      <c r="F4820" s="362" t="s">
        <v>658</v>
      </c>
      <c r="G4820" s="327" t="s">
        <v>424</v>
      </c>
      <c r="H4820" s="361" t="s">
        <v>536</v>
      </c>
      <c r="I4820" s="361" t="s">
        <v>665</v>
      </c>
      <c r="J4820" s="361"/>
      <c r="K4820" s="327" t="s">
        <v>100</v>
      </c>
      <c r="L4820" s="478">
        <v>60000</v>
      </c>
      <c r="M4820" s="355"/>
      <c r="N4820" s="355" t="s">
        <v>2409</v>
      </c>
      <c r="O4820" s="345"/>
      <c r="P4820" s="325"/>
      <c r="Q4820" s="327"/>
      <c r="R4820" s="351"/>
      <c r="S4820" s="351"/>
      <c r="T4820" s="351"/>
      <c r="U4820" s="329" t="str">
        <f>IF($N4820=$N$4,IFERROR(INDEX(DanhMuc!$E$154:$E$165,MATCH(MID($B4820,4,2),DanhMuc!$B$154:$B$165,0)),""),"")</f>
        <v/>
      </c>
      <c r="V4820" s="361"/>
      <c r="W4820" s="345"/>
      <c r="X4820" s="786"/>
      <c r="Y4820" s="1128" t="s">
        <v>3380</v>
      </c>
      <c r="Z4820" s="1128" t="s">
        <v>3381</v>
      </c>
      <c r="AA4820" s="1128" t="s">
        <v>3384</v>
      </c>
      <c r="AB4820" s="20"/>
      <c r="AC4820" s="73"/>
    </row>
    <row r="4821" spans="1:29">
      <c r="A4821" s="327" t="str">
        <f>IF(AND($B4821&lt;&gt;"",$C4821&lt;&gt;""),MAX($A$4730:$A4820)+1,"")</f>
        <v/>
      </c>
      <c r="B4821" s="361" t="s">
        <v>416</v>
      </c>
      <c r="C4821" s="362"/>
      <c r="D4821" s="327">
        <f>IF($B4821="","",COUNTIF($B$4731:$B4821,$B4821))</f>
        <v>9</v>
      </c>
      <c r="E4821" s="361" t="s">
        <v>2771</v>
      </c>
      <c r="F4821" s="362" t="s">
        <v>659</v>
      </c>
      <c r="G4821" s="327" t="s">
        <v>424</v>
      </c>
      <c r="H4821" s="361" t="s">
        <v>536</v>
      </c>
      <c r="I4821" s="361" t="s">
        <v>666</v>
      </c>
      <c r="J4821" s="361"/>
      <c r="K4821" s="327" t="s">
        <v>100</v>
      </c>
      <c r="L4821" s="389">
        <v>53000</v>
      </c>
      <c r="M4821" s="355"/>
      <c r="N4821" s="355" t="s">
        <v>2409</v>
      </c>
      <c r="O4821" s="345"/>
      <c r="P4821" s="325"/>
      <c r="Q4821" s="327"/>
      <c r="R4821" s="351"/>
      <c r="S4821" s="351"/>
      <c r="T4821" s="351"/>
      <c r="U4821" s="329" t="str">
        <f>IF($N4821=$N$4,IFERROR(INDEX(DanhMuc!$E$154:$E$165,MATCH(MID($B4821,4,2),DanhMuc!$B$154:$B$165,0)),""),"")</f>
        <v/>
      </c>
      <c r="V4821" s="361"/>
      <c r="W4821" s="345"/>
      <c r="X4821" s="786"/>
      <c r="Y4821" s="1128" t="s">
        <v>3380</v>
      </c>
      <c r="Z4821" s="1128" t="s">
        <v>3381</v>
      </c>
      <c r="AA4821" s="1128" t="s">
        <v>3384</v>
      </c>
      <c r="AB4821" s="20"/>
      <c r="AC4821" s="73"/>
    </row>
    <row r="4822" spans="1:29">
      <c r="A4822" s="327" t="str">
        <f>IF(AND($B4822&lt;&gt;"",$C4822&lt;&gt;""),MAX($A$4730:$A4821)+1,"")</f>
        <v/>
      </c>
      <c r="B4822" s="361" t="s">
        <v>416</v>
      </c>
      <c r="C4822" s="362"/>
      <c r="D4822" s="327">
        <f>IF($B4822="","",COUNTIF($B$4731:$B4822,$B4822))</f>
        <v>10</v>
      </c>
      <c r="E4822" s="361" t="s">
        <v>1828</v>
      </c>
      <c r="F4822" s="362" t="s">
        <v>671</v>
      </c>
      <c r="G4822" s="327" t="s">
        <v>661</v>
      </c>
      <c r="H4822" s="361" t="s">
        <v>536</v>
      </c>
      <c r="I4822" s="361" t="s">
        <v>2355</v>
      </c>
      <c r="J4822" s="361"/>
      <c r="K4822" s="327" t="s">
        <v>100</v>
      </c>
      <c r="L4822" s="478">
        <f>40000/1000</f>
        <v>40</v>
      </c>
      <c r="M4822" s="355"/>
      <c r="N4822" s="355" t="s">
        <v>2409</v>
      </c>
      <c r="O4822" s="345"/>
      <c r="P4822" s="325"/>
      <c r="Q4822" s="327"/>
      <c r="R4822" s="351"/>
      <c r="S4822" s="351"/>
      <c r="T4822" s="351"/>
      <c r="U4822" s="329" t="str">
        <f>IF($N4822=$N$4,IFERROR(INDEX(DanhMuc!$E$154:$E$165,MATCH(MID($B4822,4,2),DanhMuc!$B$154:$B$165,0)),""),"")</f>
        <v/>
      </c>
      <c r="V4822" s="361"/>
      <c r="W4822" s="345"/>
      <c r="X4822" s="786"/>
      <c r="Y4822" s="1128" t="s">
        <v>3380</v>
      </c>
      <c r="Z4822" s="1128" t="s">
        <v>3381</v>
      </c>
      <c r="AA4822" s="1128" t="s">
        <v>3384</v>
      </c>
      <c r="AB4822" s="20"/>
      <c r="AC4822" s="73"/>
    </row>
    <row r="4823" spans="1:29">
      <c r="A4823" s="327" t="str">
        <f>IF(AND($B4823&lt;&gt;"",$C4823&lt;&gt;""),MAX($A$4730:$A4822)+1,"")</f>
        <v/>
      </c>
      <c r="B4823" s="361" t="s">
        <v>416</v>
      </c>
      <c r="C4823" s="362"/>
      <c r="D4823" s="327">
        <f>IF($B4823="","",COUNTIF($B$4731:$B4823,$B4823))</f>
        <v>11</v>
      </c>
      <c r="E4823" s="361" t="s">
        <v>154</v>
      </c>
      <c r="F4823" s="362" t="s">
        <v>660</v>
      </c>
      <c r="G4823" s="327" t="s">
        <v>661</v>
      </c>
      <c r="H4823" s="361" t="s">
        <v>536</v>
      </c>
      <c r="I4823" s="361" t="s">
        <v>667</v>
      </c>
      <c r="J4823" s="361"/>
      <c r="K4823" s="327" t="s">
        <v>662</v>
      </c>
      <c r="L4823" s="478">
        <v>20</v>
      </c>
      <c r="M4823" s="355"/>
      <c r="N4823" s="355" t="s">
        <v>2409</v>
      </c>
      <c r="O4823" s="345"/>
      <c r="P4823" s="325"/>
      <c r="Q4823" s="327"/>
      <c r="R4823" s="351"/>
      <c r="S4823" s="351"/>
      <c r="T4823" s="351"/>
      <c r="U4823" s="329" t="str">
        <f>IF($N4823=$N$4,IFERROR(INDEX(DanhMuc!$E$154:$E$165,MATCH(MID($B4823,4,2),DanhMuc!$B$154:$B$165,0)),""),"")</f>
        <v/>
      </c>
      <c r="V4823" s="361"/>
      <c r="W4823" s="345"/>
      <c r="X4823" s="786"/>
      <c r="Y4823" s="1128" t="s">
        <v>3380</v>
      </c>
      <c r="Z4823" s="1128" t="s">
        <v>3381</v>
      </c>
      <c r="AA4823" s="1128" t="s">
        <v>3384</v>
      </c>
      <c r="AB4823" s="20"/>
      <c r="AC4823" s="73"/>
    </row>
    <row r="4824" spans="1:29">
      <c r="A4824" s="327" t="str">
        <f>IF(AND($B4824&lt;&gt;"",$C4824&lt;&gt;""),MAX($A$4730:$A4823)+1,"")</f>
        <v/>
      </c>
      <c r="B4824" s="361" t="s">
        <v>416</v>
      </c>
      <c r="C4824" s="362"/>
      <c r="D4824" s="327">
        <f>IF($B4824="","",COUNTIF($B$4731:$B4824,$B4824))</f>
        <v>12</v>
      </c>
      <c r="E4824" s="362" t="s">
        <v>2282</v>
      </c>
      <c r="F4824" s="362" t="s">
        <v>2283</v>
      </c>
      <c r="G4824" s="327" t="s">
        <v>424</v>
      </c>
      <c r="H4824" s="361" t="s">
        <v>536</v>
      </c>
      <c r="I4824" s="361" t="s">
        <v>2238</v>
      </c>
      <c r="J4824" s="361"/>
      <c r="K4824" s="327" t="s">
        <v>662</v>
      </c>
      <c r="L4824" s="478">
        <v>28000</v>
      </c>
      <c r="M4824" s="355"/>
      <c r="N4824" s="355" t="s">
        <v>2409</v>
      </c>
      <c r="O4824" s="345"/>
      <c r="P4824" s="325"/>
      <c r="Q4824" s="327"/>
      <c r="R4824" s="351"/>
      <c r="S4824" s="351"/>
      <c r="T4824" s="351"/>
      <c r="U4824" s="329" t="str">
        <f>IF($N4824=$N$4,IFERROR(INDEX(DanhMuc!$E$154:$E$165,MATCH(MID($B4824,4,2),DanhMuc!$B$154:$B$165,0)),""),"")</f>
        <v/>
      </c>
      <c r="V4824" s="361"/>
      <c r="W4824" s="345"/>
      <c r="X4824" s="786"/>
      <c r="Y4824" s="1128" t="s">
        <v>3380</v>
      </c>
      <c r="Z4824" s="1128" t="s">
        <v>3381</v>
      </c>
      <c r="AA4824" s="1128" t="s">
        <v>3384</v>
      </c>
      <c r="AB4824" s="20"/>
      <c r="AC4824" s="73"/>
    </row>
    <row r="4825" spans="1:29">
      <c r="A4825" s="327" t="str">
        <f>IF(AND($B4825&lt;&gt;"",$C4825&lt;&gt;""),MAX($A$4730:$A4824)+1,"")</f>
        <v/>
      </c>
      <c r="B4825" s="361" t="s">
        <v>416</v>
      </c>
      <c r="C4825" s="362"/>
      <c r="D4825" s="327">
        <f>IF($B4825="","",COUNTIF($B$4731:$B4825,$B4825))</f>
        <v>13</v>
      </c>
      <c r="E4825" s="362" t="s">
        <v>663</v>
      </c>
      <c r="F4825" s="362" t="s">
        <v>664</v>
      </c>
      <c r="G4825" s="327" t="s">
        <v>155</v>
      </c>
      <c r="H4825" s="361" t="s">
        <v>536</v>
      </c>
      <c r="I4825" s="361" t="s">
        <v>672</v>
      </c>
      <c r="J4825" s="361"/>
      <c r="K4825" s="327" t="s">
        <v>662</v>
      </c>
      <c r="L4825" s="478">
        <v>1000</v>
      </c>
      <c r="M4825" s="355"/>
      <c r="N4825" s="355" t="s">
        <v>2409</v>
      </c>
      <c r="O4825" s="345"/>
      <c r="P4825" s="325"/>
      <c r="Q4825" s="327"/>
      <c r="R4825" s="351"/>
      <c r="S4825" s="351"/>
      <c r="T4825" s="351"/>
      <c r="U4825" s="329" t="str">
        <f>IF($N4825=$N$4,IFERROR(INDEX(DanhMuc!$E$154:$E$165,MATCH(MID($B4825,4,2),DanhMuc!$B$154:$B$165,0)),""),"")</f>
        <v/>
      </c>
      <c r="V4825" s="361"/>
      <c r="W4825" s="345"/>
      <c r="X4825" s="786"/>
      <c r="Y4825" s="1128" t="s">
        <v>3380</v>
      </c>
      <c r="Z4825" s="1128" t="s">
        <v>3381</v>
      </c>
      <c r="AA4825" s="1128" t="s">
        <v>3384</v>
      </c>
      <c r="AB4825" s="20"/>
      <c r="AC4825" s="73"/>
    </row>
    <row r="4826" spans="1:29" ht="39">
      <c r="A4826" s="327">
        <f>IF(AND($B4826&lt;&gt;"",$C4826&lt;&gt;""),MAX($A$4730:$A4806)+1,"")</f>
        <v>4</v>
      </c>
      <c r="B4826" s="359" t="s">
        <v>217</v>
      </c>
      <c r="C4826" s="360" t="s">
        <v>1539</v>
      </c>
      <c r="D4826" s="327">
        <f>IF($B4826="","",COUNTIF($B$4731:$B4826,$B4826))</f>
        <v>1</v>
      </c>
      <c r="E4826" s="361" t="s">
        <v>2069</v>
      </c>
      <c r="F4826" s="362" t="s">
        <v>2070</v>
      </c>
      <c r="G4826" s="327" t="s">
        <v>155</v>
      </c>
      <c r="H4826" s="361" t="s">
        <v>536</v>
      </c>
      <c r="I4826" s="327">
        <v>4</v>
      </c>
      <c r="J4826" s="361"/>
      <c r="K4826" s="327" t="s">
        <v>100</v>
      </c>
      <c r="L4826" s="389">
        <v>11000</v>
      </c>
      <c r="M4826" s="355"/>
      <c r="N4826" s="355" t="s">
        <v>2408</v>
      </c>
      <c r="O4826" s="345"/>
      <c r="P4826" s="325"/>
      <c r="Q4826" s="327"/>
      <c r="R4826" s="351">
        <v>2.5</v>
      </c>
      <c r="S4826" s="351">
        <v>5.8</v>
      </c>
      <c r="T4826" s="351">
        <v>1.44</v>
      </c>
      <c r="U4826" s="329" t="str">
        <f>IF($N4826=$N$4,IFERROR(INDEX(DanhMuc!$E$154:$E$165,MATCH(MID($B4826,4,2),DanhMuc!$B$154:$B$165,0)),""),"")</f>
        <v/>
      </c>
      <c r="V4826" s="361"/>
      <c r="W4826" s="345"/>
      <c r="X4826" s="786"/>
      <c r="Y4826" s="1128" t="s">
        <v>3380</v>
      </c>
      <c r="Z4826" s="1128" t="s">
        <v>3381</v>
      </c>
      <c r="AA4826" s="1128" t="s">
        <v>3384</v>
      </c>
      <c r="AB4826" s="20"/>
      <c r="AC4826" s="73"/>
    </row>
    <row r="4827" spans="1:29">
      <c r="A4827" s="327" t="str">
        <f>IF(AND($B4827&lt;&gt;"",$C4827&lt;&gt;""),MAX($A$4730:$A4826)+1,"")</f>
        <v/>
      </c>
      <c r="B4827" s="361" t="s">
        <v>217</v>
      </c>
      <c r="C4827" s="362"/>
      <c r="D4827" s="327">
        <f>IF($B4827="","",COUNTIF($B$4731:$B4827,$B4827))</f>
        <v>2</v>
      </c>
      <c r="E4827" s="361" t="s">
        <v>2071</v>
      </c>
      <c r="F4827" s="362" t="s">
        <v>2072</v>
      </c>
      <c r="G4827" s="327" t="s">
        <v>155</v>
      </c>
      <c r="H4827" s="361" t="s">
        <v>536</v>
      </c>
      <c r="I4827" s="327">
        <v>16</v>
      </c>
      <c r="J4827" s="361"/>
      <c r="K4827" s="327" t="s">
        <v>101</v>
      </c>
      <c r="L4827" s="389">
        <v>30000</v>
      </c>
      <c r="M4827" s="355"/>
      <c r="N4827" s="355" t="s">
        <v>2408</v>
      </c>
      <c r="O4827" s="345"/>
      <c r="P4827" s="325"/>
      <c r="Q4827" s="327"/>
      <c r="R4827" s="351"/>
      <c r="S4827" s="351"/>
      <c r="T4827" s="351"/>
      <c r="U4827" s="329" t="str">
        <f>IF($N4827=$N$4,IFERROR(INDEX(DanhMuc!$E$154:$E$165,MATCH(MID($B4827,4,2),DanhMuc!$B$154:$B$165,0)),""),"")</f>
        <v/>
      </c>
      <c r="V4827" s="361"/>
      <c r="W4827" s="345"/>
      <c r="X4827" s="786"/>
      <c r="Y4827" s="1128" t="s">
        <v>3380</v>
      </c>
      <c r="Z4827" s="1128" t="s">
        <v>3381</v>
      </c>
      <c r="AA4827" s="1128" t="s">
        <v>3384</v>
      </c>
      <c r="AB4827" s="20"/>
      <c r="AC4827" s="73"/>
    </row>
    <row r="4828" spans="1:29">
      <c r="A4828" s="327" t="str">
        <f>IF(AND($B4828&lt;&gt;"",$C4828&lt;&gt;""),MAX($A$4730:$A4827)+1,"")</f>
        <v/>
      </c>
      <c r="B4828" s="361" t="s">
        <v>217</v>
      </c>
      <c r="C4828" s="362"/>
      <c r="D4828" s="327">
        <f>IF($B4828="","",COUNTIF($B$4731:$B4828,$B4828))</f>
        <v>3</v>
      </c>
      <c r="E4828" s="361" t="s">
        <v>2336</v>
      </c>
      <c r="F4828" s="362" t="s">
        <v>2337</v>
      </c>
      <c r="G4828" s="327" t="s">
        <v>155</v>
      </c>
      <c r="H4828" s="361" t="s">
        <v>536</v>
      </c>
      <c r="I4828" s="327">
        <v>16</v>
      </c>
      <c r="J4828" s="361"/>
      <c r="K4828" s="327" t="s">
        <v>415</v>
      </c>
      <c r="L4828" s="389">
        <v>1000</v>
      </c>
      <c r="M4828" s="355"/>
      <c r="N4828" s="355" t="s">
        <v>2408</v>
      </c>
      <c r="O4828" s="345"/>
      <c r="P4828" s="325"/>
      <c r="Q4828" s="327"/>
      <c r="R4828" s="351"/>
      <c r="S4828" s="351"/>
      <c r="T4828" s="351"/>
      <c r="U4828" s="329" t="str">
        <f>IF($N4828=$N$4,IFERROR(INDEX(DanhMuc!$E$154:$E$165,MATCH(MID($B4828,4,2),DanhMuc!$B$154:$B$165,0)),""),"")</f>
        <v/>
      </c>
      <c r="V4828" s="361"/>
      <c r="W4828" s="345"/>
      <c r="X4828" s="786"/>
      <c r="Y4828" s="1128" t="s">
        <v>3380</v>
      </c>
      <c r="Z4828" s="1128" t="s">
        <v>3381</v>
      </c>
      <c r="AA4828" s="1128" t="s">
        <v>3384</v>
      </c>
      <c r="AB4828" s="20"/>
      <c r="AC4828" s="73"/>
    </row>
    <row r="4829" spans="1:29">
      <c r="A4829" s="327" t="str">
        <f>IF(AND($B4829&lt;&gt;"",$C4829&lt;&gt;""),MAX($A$4730:$A4828)+1,"")</f>
        <v/>
      </c>
      <c r="B4829" s="361" t="s">
        <v>217</v>
      </c>
      <c r="C4829" s="362"/>
      <c r="D4829" s="327">
        <f>IF($B4829="","",COUNTIF($B$4731:$B4829,$B4829))</f>
        <v>4</v>
      </c>
      <c r="E4829" s="361" t="s">
        <v>1826</v>
      </c>
      <c r="F4829" s="362" t="s">
        <v>670</v>
      </c>
      <c r="G4829" s="327" t="s">
        <v>661</v>
      </c>
      <c r="H4829" s="361" t="s">
        <v>536</v>
      </c>
      <c r="I4829" s="361" t="s">
        <v>2354</v>
      </c>
      <c r="J4829" s="361"/>
      <c r="K4829" s="327" t="s">
        <v>103</v>
      </c>
      <c r="L4829" s="478">
        <f>40000/1000</f>
        <v>40</v>
      </c>
      <c r="M4829" s="355"/>
      <c r="N4829" s="355" t="s">
        <v>2408</v>
      </c>
      <c r="O4829" s="345"/>
      <c r="P4829" s="325"/>
      <c r="Q4829" s="327"/>
      <c r="R4829" s="351"/>
      <c r="S4829" s="351"/>
      <c r="T4829" s="351"/>
      <c r="U4829" s="329" t="str">
        <f>IF($N4829=$N$4,IFERROR(INDEX(DanhMuc!$E$154:$E$165,MATCH(MID($B4829,4,2),DanhMuc!$B$154:$B$165,0)),""),"")</f>
        <v/>
      </c>
      <c r="V4829" s="361"/>
      <c r="W4829" s="345"/>
      <c r="X4829" s="786"/>
      <c r="Y4829" s="1128" t="s">
        <v>3380</v>
      </c>
      <c r="Z4829" s="1128" t="s">
        <v>3381</v>
      </c>
      <c r="AA4829" s="1128" t="s">
        <v>3384</v>
      </c>
      <c r="AB4829" s="20"/>
      <c r="AC4829" s="73"/>
    </row>
    <row r="4830" spans="1:29" ht="37.5">
      <c r="A4830" s="327" t="str">
        <f>IF(AND($B4830&lt;&gt;"",$C4830&lt;&gt;""),MAX($A$4730:$A4829)+1,"")</f>
        <v/>
      </c>
      <c r="B4830" s="361" t="s">
        <v>217</v>
      </c>
      <c r="C4830" s="362"/>
      <c r="D4830" s="327">
        <f>IF($B4830="","",COUNTIF($B$4731:$B4830,$B4830))</f>
        <v>5</v>
      </c>
      <c r="E4830" s="362" t="s">
        <v>1964</v>
      </c>
      <c r="F4830" s="362" t="s">
        <v>1965</v>
      </c>
      <c r="G4830" s="327" t="s">
        <v>405</v>
      </c>
      <c r="H4830" s="361" t="s">
        <v>536</v>
      </c>
      <c r="I4830" s="361" t="s">
        <v>2548</v>
      </c>
      <c r="J4830" s="361"/>
      <c r="K4830" s="327" t="s">
        <v>423</v>
      </c>
      <c r="L4830" s="478">
        <v>140</v>
      </c>
      <c r="M4830" s="371"/>
      <c r="N4830" s="355" t="s">
        <v>2408</v>
      </c>
      <c r="O4830" s="345"/>
      <c r="P4830" s="325"/>
      <c r="Q4830" s="327"/>
      <c r="R4830" s="351"/>
      <c r="S4830" s="351"/>
      <c r="T4830" s="351"/>
      <c r="U4830" s="329" t="str">
        <f>IF($N4830=$N$4,IFERROR(INDEX(DanhMuc!$E$154:$E$165,MATCH(MID($B4830,4,2),DanhMuc!$B$154:$B$165,0)),""),"")</f>
        <v/>
      </c>
      <c r="V4830" s="361"/>
      <c r="W4830" s="345"/>
      <c r="X4830" s="786"/>
      <c r="Y4830" s="1128" t="s">
        <v>3380</v>
      </c>
      <c r="Z4830" s="1128" t="s">
        <v>3381</v>
      </c>
      <c r="AA4830" s="1128" t="s">
        <v>3384</v>
      </c>
      <c r="AB4830" s="20"/>
      <c r="AC4830" s="73"/>
    </row>
    <row r="4831" spans="1:29" ht="37.5">
      <c r="A4831" s="327" t="str">
        <f>IF(AND($B4831&lt;&gt;"",$C4831&lt;&gt;""),MAX($A$4730:$A4830)+1,"")</f>
        <v/>
      </c>
      <c r="B4831" s="361" t="s">
        <v>217</v>
      </c>
      <c r="C4831" s="362"/>
      <c r="D4831" s="327">
        <f>IF($B4831="","",COUNTIF($B$4731:$B4831,$B4831))</f>
        <v>6</v>
      </c>
      <c r="E4831" s="362" t="s">
        <v>2756</v>
      </c>
      <c r="F4831" s="362" t="s">
        <v>2757</v>
      </c>
      <c r="G4831" s="327" t="s">
        <v>405</v>
      </c>
      <c r="H4831" s="361" t="s">
        <v>536</v>
      </c>
      <c r="I4831" s="361" t="s">
        <v>2548</v>
      </c>
      <c r="J4831" s="361"/>
      <c r="K4831" s="327" t="s">
        <v>423</v>
      </c>
      <c r="L4831" s="479">
        <v>322</v>
      </c>
      <c r="M4831" s="371"/>
      <c r="N4831" s="355" t="s">
        <v>2408</v>
      </c>
      <c r="O4831" s="345"/>
      <c r="P4831" s="325"/>
      <c r="Q4831" s="327"/>
      <c r="R4831" s="351"/>
      <c r="S4831" s="351"/>
      <c r="T4831" s="351"/>
      <c r="U4831" s="329" t="str">
        <f>IF($N4831=$N$4,IFERROR(INDEX(DanhMuc!$E$154:$E$165,MATCH(MID($B4831,4,2),DanhMuc!$B$154:$B$165,0)),""),"")</f>
        <v/>
      </c>
      <c r="V4831" s="361"/>
      <c r="W4831" s="345"/>
      <c r="X4831" s="786"/>
      <c r="Y4831" s="1128" t="s">
        <v>3380</v>
      </c>
      <c r="Z4831" s="1128" t="s">
        <v>3381</v>
      </c>
      <c r="AA4831" s="1128" t="s">
        <v>3384</v>
      </c>
      <c r="AB4831" s="20"/>
      <c r="AC4831" s="73"/>
    </row>
    <row r="4832" spans="1:29">
      <c r="A4832" s="327" t="str">
        <f>IF(AND($B4832&lt;&gt;"",$C4832&lt;&gt;""),MAX($A$4730:$A4831)+1,"")</f>
        <v/>
      </c>
      <c r="B4832" s="361" t="s">
        <v>217</v>
      </c>
      <c r="C4832" s="362"/>
      <c r="D4832" s="327">
        <f>IF($B4832="","",COUNTIF($B$4731:$B4832,$B4832))</f>
        <v>7</v>
      </c>
      <c r="E4832" s="361" t="s">
        <v>656</v>
      </c>
      <c r="F4832" s="362" t="s">
        <v>2239</v>
      </c>
      <c r="G4832" s="327" t="s">
        <v>405</v>
      </c>
      <c r="H4832" s="361" t="s">
        <v>536</v>
      </c>
      <c r="I4832" s="361" t="s">
        <v>1827</v>
      </c>
      <c r="J4832" s="361"/>
      <c r="K4832" s="327" t="s">
        <v>100</v>
      </c>
      <c r="L4832" s="478">
        <v>970</v>
      </c>
      <c r="M4832" s="371"/>
      <c r="N4832" s="355" t="s">
        <v>2409</v>
      </c>
      <c r="O4832" s="345"/>
      <c r="P4832" s="325"/>
      <c r="Q4832" s="327"/>
      <c r="R4832" s="351"/>
      <c r="S4832" s="351"/>
      <c r="T4832" s="351"/>
      <c r="U4832" s="329" t="str">
        <f>IF($N4832=$N$4,IFERROR(INDEX(DanhMuc!$E$154:$E$165,MATCH(MID($B4832,4,2),DanhMuc!$B$154:$B$165,0)),""),"")</f>
        <v/>
      </c>
      <c r="V4832" s="361"/>
      <c r="W4832" s="345"/>
      <c r="X4832" s="786"/>
      <c r="Y4832" s="1128" t="s">
        <v>3380</v>
      </c>
      <c r="Z4832" s="1128" t="s">
        <v>3381</v>
      </c>
      <c r="AA4832" s="1128" t="s">
        <v>3384</v>
      </c>
      <c r="AB4832" s="20"/>
      <c r="AC4832" s="73"/>
    </row>
    <row r="4833" spans="1:29">
      <c r="A4833" s="327" t="str">
        <f>IF(AND($B4833&lt;&gt;"",$C4833&lt;&gt;""),MAX($A$4730:$A4832)+1,"")</f>
        <v/>
      </c>
      <c r="B4833" s="361" t="s">
        <v>217</v>
      </c>
      <c r="C4833" s="362"/>
      <c r="D4833" s="327">
        <f>IF($B4833="","",COUNTIF($B$4731:$B4833,$B4833))</f>
        <v>8</v>
      </c>
      <c r="E4833" s="361" t="s">
        <v>657</v>
      </c>
      <c r="F4833" s="362" t="s">
        <v>658</v>
      </c>
      <c r="G4833" s="327" t="s">
        <v>424</v>
      </c>
      <c r="H4833" s="361" t="s">
        <v>536</v>
      </c>
      <c r="I4833" s="361" t="s">
        <v>665</v>
      </c>
      <c r="J4833" s="361"/>
      <c r="K4833" s="327" t="s">
        <v>100</v>
      </c>
      <c r="L4833" s="478">
        <v>60000</v>
      </c>
      <c r="M4833" s="355"/>
      <c r="N4833" s="355" t="s">
        <v>2409</v>
      </c>
      <c r="O4833" s="345"/>
      <c r="P4833" s="325"/>
      <c r="Q4833" s="327"/>
      <c r="R4833" s="351"/>
      <c r="S4833" s="351"/>
      <c r="T4833" s="351"/>
      <c r="U4833" s="329" t="str">
        <f>IF($N4833=$N$4,IFERROR(INDEX(DanhMuc!$E$154:$E$165,MATCH(MID($B4833,4,2),DanhMuc!$B$154:$B$165,0)),""),"")</f>
        <v/>
      </c>
      <c r="V4833" s="361"/>
      <c r="W4833" s="345"/>
      <c r="X4833" s="786"/>
      <c r="Y4833" s="1128" t="s">
        <v>3380</v>
      </c>
      <c r="Z4833" s="1128" t="s">
        <v>3381</v>
      </c>
      <c r="AA4833" s="1128" t="s">
        <v>3384</v>
      </c>
      <c r="AB4833" s="20"/>
      <c r="AC4833" s="73"/>
    </row>
    <row r="4834" spans="1:29">
      <c r="A4834" s="327" t="str">
        <f>IF(AND($B4834&lt;&gt;"",$C4834&lt;&gt;""),MAX($A$4730:$A4833)+1,"")</f>
        <v/>
      </c>
      <c r="B4834" s="361" t="s">
        <v>217</v>
      </c>
      <c r="C4834" s="362"/>
      <c r="D4834" s="327">
        <f>IF($B4834="","",COUNTIF($B$4731:$B4834,$B4834))</f>
        <v>9</v>
      </c>
      <c r="E4834" s="361" t="s">
        <v>2771</v>
      </c>
      <c r="F4834" s="362" t="s">
        <v>659</v>
      </c>
      <c r="G4834" s="327" t="s">
        <v>424</v>
      </c>
      <c r="H4834" s="361" t="s">
        <v>536</v>
      </c>
      <c r="I4834" s="361" t="s">
        <v>666</v>
      </c>
      <c r="J4834" s="361"/>
      <c r="K4834" s="327" t="s">
        <v>100</v>
      </c>
      <c r="L4834" s="389">
        <v>53000</v>
      </c>
      <c r="M4834" s="355"/>
      <c r="N4834" s="355" t="s">
        <v>2409</v>
      </c>
      <c r="O4834" s="345"/>
      <c r="P4834" s="325"/>
      <c r="Q4834" s="327"/>
      <c r="R4834" s="351"/>
      <c r="S4834" s="351"/>
      <c r="T4834" s="351"/>
      <c r="U4834" s="329" t="str">
        <f>IF($N4834=$N$4,IFERROR(INDEX(DanhMuc!$E$154:$E$165,MATCH(MID($B4834,4,2),DanhMuc!$B$154:$B$165,0)),""),"")</f>
        <v/>
      </c>
      <c r="V4834" s="361"/>
      <c r="W4834" s="345"/>
      <c r="X4834" s="786"/>
      <c r="Y4834" s="1128" t="s">
        <v>3380</v>
      </c>
      <c r="Z4834" s="1128" t="s">
        <v>3381</v>
      </c>
      <c r="AA4834" s="1128" t="s">
        <v>3384</v>
      </c>
      <c r="AB4834" s="20"/>
      <c r="AC4834" s="73"/>
    </row>
    <row r="4835" spans="1:29">
      <c r="A4835" s="327" t="str">
        <f>IF(AND($B4835&lt;&gt;"",$C4835&lt;&gt;""),MAX($A$4730:$A4834)+1,"")</f>
        <v/>
      </c>
      <c r="B4835" s="361" t="s">
        <v>217</v>
      </c>
      <c r="C4835" s="362"/>
      <c r="D4835" s="327">
        <f>IF($B4835="","",COUNTIF($B$4731:$B4835,$B4835))</f>
        <v>10</v>
      </c>
      <c r="E4835" s="361" t="s">
        <v>1828</v>
      </c>
      <c r="F4835" s="362" t="s">
        <v>671</v>
      </c>
      <c r="G4835" s="327" t="s">
        <v>661</v>
      </c>
      <c r="H4835" s="361" t="s">
        <v>536</v>
      </c>
      <c r="I4835" s="361" t="s">
        <v>2355</v>
      </c>
      <c r="J4835" s="361"/>
      <c r="K4835" s="327" t="s">
        <v>100</v>
      </c>
      <c r="L4835" s="478">
        <f>40000/1000</f>
        <v>40</v>
      </c>
      <c r="M4835" s="355"/>
      <c r="N4835" s="355" t="s">
        <v>2409</v>
      </c>
      <c r="O4835" s="345"/>
      <c r="P4835" s="325"/>
      <c r="Q4835" s="327"/>
      <c r="R4835" s="351"/>
      <c r="S4835" s="351"/>
      <c r="T4835" s="351"/>
      <c r="U4835" s="329" t="str">
        <f>IF($N4835=$N$4,IFERROR(INDEX(DanhMuc!$E$154:$E$165,MATCH(MID($B4835,4,2),DanhMuc!$B$154:$B$165,0)),""),"")</f>
        <v/>
      </c>
      <c r="V4835" s="361"/>
      <c r="W4835" s="345"/>
      <c r="X4835" s="786"/>
      <c r="Y4835" s="1128" t="s">
        <v>3380</v>
      </c>
      <c r="Z4835" s="1128" t="s">
        <v>3381</v>
      </c>
      <c r="AA4835" s="1128" t="s">
        <v>3384</v>
      </c>
      <c r="AB4835" s="20"/>
      <c r="AC4835" s="73"/>
    </row>
    <row r="4836" spans="1:29">
      <c r="A4836" s="327" t="str">
        <f>IF(AND($B4836&lt;&gt;"",$C4836&lt;&gt;""),MAX($A$4730:$A4835)+1,"")</f>
        <v/>
      </c>
      <c r="B4836" s="361" t="s">
        <v>217</v>
      </c>
      <c r="C4836" s="362"/>
      <c r="D4836" s="327">
        <f>IF($B4836="","",COUNTIF($B$4731:$B4836,$B4836))</f>
        <v>11</v>
      </c>
      <c r="E4836" s="361" t="s">
        <v>154</v>
      </c>
      <c r="F4836" s="362" t="s">
        <v>660</v>
      </c>
      <c r="G4836" s="327" t="s">
        <v>661</v>
      </c>
      <c r="H4836" s="361" t="s">
        <v>536</v>
      </c>
      <c r="I4836" s="361" t="s">
        <v>667</v>
      </c>
      <c r="J4836" s="361"/>
      <c r="K4836" s="327" t="s">
        <v>662</v>
      </c>
      <c r="L4836" s="478">
        <v>20</v>
      </c>
      <c r="M4836" s="355"/>
      <c r="N4836" s="355" t="s">
        <v>2409</v>
      </c>
      <c r="O4836" s="345"/>
      <c r="P4836" s="325"/>
      <c r="Q4836" s="327"/>
      <c r="R4836" s="351"/>
      <c r="S4836" s="351"/>
      <c r="T4836" s="351"/>
      <c r="U4836" s="329" t="str">
        <f>IF($N4836=$N$4,IFERROR(INDEX(DanhMuc!$E$154:$E$165,MATCH(MID($B4836,4,2),DanhMuc!$B$154:$B$165,0)),""),"")</f>
        <v/>
      </c>
      <c r="V4836" s="361"/>
      <c r="W4836" s="345"/>
      <c r="X4836" s="786"/>
      <c r="Y4836" s="1128" t="s">
        <v>3380</v>
      </c>
      <c r="Z4836" s="1128" t="s">
        <v>3381</v>
      </c>
      <c r="AA4836" s="1128" t="s">
        <v>3384</v>
      </c>
      <c r="AB4836" s="20"/>
      <c r="AC4836" s="73"/>
    </row>
    <row r="4837" spans="1:29">
      <c r="A4837" s="327" t="str">
        <f>IF(AND($B4837&lt;&gt;"",$C4837&lt;&gt;""),MAX($A$4730:$A4836)+1,"")</f>
        <v/>
      </c>
      <c r="B4837" s="361" t="s">
        <v>217</v>
      </c>
      <c r="C4837" s="362"/>
      <c r="D4837" s="327">
        <f>IF($B4837="","",COUNTIF($B$4731:$B4837,$B4837))</f>
        <v>12</v>
      </c>
      <c r="E4837" s="362" t="s">
        <v>2282</v>
      </c>
      <c r="F4837" s="362" t="s">
        <v>2283</v>
      </c>
      <c r="G4837" s="327" t="s">
        <v>424</v>
      </c>
      <c r="H4837" s="361" t="s">
        <v>536</v>
      </c>
      <c r="I4837" s="361" t="s">
        <v>2238</v>
      </c>
      <c r="J4837" s="361"/>
      <c r="K4837" s="327" t="s">
        <v>662</v>
      </c>
      <c r="L4837" s="478">
        <v>28000</v>
      </c>
      <c r="M4837" s="355"/>
      <c r="N4837" s="355" t="s">
        <v>2409</v>
      </c>
      <c r="O4837" s="345"/>
      <c r="P4837" s="325"/>
      <c r="Q4837" s="327"/>
      <c r="R4837" s="351"/>
      <c r="S4837" s="351"/>
      <c r="T4837" s="351"/>
      <c r="U4837" s="329" t="str">
        <f>IF($N4837=$N$4,IFERROR(INDEX(DanhMuc!$E$154:$E$165,MATCH(MID($B4837,4,2),DanhMuc!$B$154:$B$165,0)),""),"")</f>
        <v/>
      </c>
      <c r="V4837" s="361"/>
      <c r="W4837" s="345"/>
      <c r="X4837" s="786"/>
      <c r="Y4837" s="1128" t="s">
        <v>3380</v>
      </c>
      <c r="Z4837" s="1128" t="s">
        <v>3381</v>
      </c>
      <c r="AA4837" s="1128" t="s">
        <v>3384</v>
      </c>
      <c r="AB4837" s="20"/>
      <c r="AC4837" s="73"/>
    </row>
    <row r="4838" spans="1:29">
      <c r="A4838" s="327" t="str">
        <f>IF(AND($B4838&lt;&gt;"",$C4838&lt;&gt;""),MAX($A$4730:$A4837)+1,"")</f>
        <v/>
      </c>
      <c r="B4838" s="361" t="s">
        <v>217</v>
      </c>
      <c r="C4838" s="362"/>
      <c r="D4838" s="327">
        <f>IF($B4838="","",COUNTIF($B$4731:$B4838,$B4838))</f>
        <v>13</v>
      </c>
      <c r="E4838" s="362" t="s">
        <v>663</v>
      </c>
      <c r="F4838" s="362" t="s">
        <v>664</v>
      </c>
      <c r="G4838" s="327" t="s">
        <v>155</v>
      </c>
      <c r="H4838" s="361" t="s">
        <v>536</v>
      </c>
      <c r="I4838" s="361" t="s">
        <v>672</v>
      </c>
      <c r="J4838" s="361"/>
      <c r="K4838" s="327" t="s">
        <v>662</v>
      </c>
      <c r="L4838" s="478">
        <v>1000</v>
      </c>
      <c r="M4838" s="355"/>
      <c r="N4838" s="355" t="s">
        <v>2409</v>
      </c>
      <c r="O4838" s="345"/>
      <c r="P4838" s="325"/>
      <c r="Q4838" s="327"/>
      <c r="R4838" s="351"/>
      <c r="S4838" s="351"/>
      <c r="T4838" s="351"/>
      <c r="U4838" s="329" t="str">
        <f>IF($N4838=$N$4,IFERROR(INDEX(DanhMuc!$E$154:$E$165,MATCH(MID($B4838,4,2),DanhMuc!$B$154:$B$165,0)),""),"")</f>
        <v/>
      </c>
      <c r="V4838" s="361"/>
      <c r="W4838" s="345"/>
      <c r="X4838" s="786"/>
      <c r="Y4838" s="1128" t="s">
        <v>3380</v>
      </c>
      <c r="Z4838" s="1128" t="s">
        <v>3381</v>
      </c>
      <c r="AA4838" s="1128" t="s">
        <v>3384</v>
      </c>
      <c r="AB4838" s="20"/>
      <c r="AC4838" s="73"/>
    </row>
    <row r="4839" spans="1:29" ht="39">
      <c r="A4839" s="327">
        <f>IF(AND($B4839&lt;&gt;"",$C4839&lt;&gt;""),MAX($A$4730:$A4819)+1,"")</f>
        <v>4</v>
      </c>
      <c r="B4839" s="359" t="s">
        <v>417</v>
      </c>
      <c r="C4839" s="360" t="s">
        <v>1540</v>
      </c>
      <c r="D4839" s="327">
        <f>IF($B4839="","",COUNTIF($B$4731:$B4839,$B4839))</f>
        <v>1</v>
      </c>
      <c r="E4839" s="361" t="s">
        <v>2069</v>
      </c>
      <c r="F4839" s="362" t="s">
        <v>2070</v>
      </c>
      <c r="G4839" s="327" t="s">
        <v>155</v>
      </c>
      <c r="H4839" s="361" t="s">
        <v>536</v>
      </c>
      <c r="I4839" s="327">
        <v>4</v>
      </c>
      <c r="J4839" s="361"/>
      <c r="K4839" s="327" t="s">
        <v>100</v>
      </c>
      <c r="L4839" s="389">
        <v>11000</v>
      </c>
      <c r="M4839" s="355"/>
      <c r="N4839" s="355" t="s">
        <v>2408</v>
      </c>
      <c r="O4839" s="345"/>
      <c r="P4839" s="325"/>
      <c r="Q4839" s="327"/>
      <c r="R4839" s="351">
        <v>2.5</v>
      </c>
      <c r="S4839" s="351">
        <v>5.8</v>
      </c>
      <c r="T4839" s="351">
        <v>1.44</v>
      </c>
      <c r="U4839" s="329" t="str">
        <f>IF($N4839=$N$4,IFERROR(INDEX(DanhMuc!$E$154:$E$165,MATCH(MID($B4839,4,2),DanhMuc!$B$154:$B$165,0)),""),"")</f>
        <v/>
      </c>
      <c r="V4839" s="361"/>
      <c r="W4839" s="345"/>
      <c r="X4839" s="786"/>
      <c r="Y4839" s="1128" t="s">
        <v>3380</v>
      </c>
      <c r="Z4839" s="1128" t="s">
        <v>3381</v>
      </c>
      <c r="AA4839" s="1128" t="s">
        <v>3384</v>
      </c>
      <c r="AB4839" s="20"/>
      <c r="AC4839" s="73"/>
    </row>
    <row r="4840" spans="1:29">
      <c r="A4840" s="327" t="str">
        <f>IF(AND($B4840&lt;&gt;"",$C4840&lt;&gt;""),MAX($A$4730:$A4839)+1,"")</f>
        <v/>
      </c>
      <c r="B4840" s="361" t="s">
        <v>417</v>
      </c>
      <c r="C4840" s="362"/>
      <c r="D4840" s="327">
        <f>IF($B4840="","",COUNTIF($B$4731:$B4840,$B4840))</f>
        <v>2</v>
      </c>
      <c r="E4840" s="361" t="s">
        <v>2071</v>
      </c>
      <c r="F4840" s="362" t="s">
        <v>2072</v>
      </c>
      <c r="G4840" s="327" t="s">
        <v>155</v>
      </c>
      <c r="H4840" s="361" t="s">
        <v>536</v>
      </c>
      <c r="I4840" s="327">
        <v>20</v>
      </c>
      <c r="J4840" s="361"/>
      <c r="K4840" s="327" t="s">
        <v>101</v>
      </c>
      <c r="L4840" s="389">
        <v>30000</v>
      </c>
      <c r="M4840" s="355"/>
      <c r="N4840" s="355" t="s">
        <v>2408</v>
      </c>
      <c r="O4840" s="345"/>
      <c r="P4840" s="325"/>
      <c r="Q4840" s="327"/>
      <c r="R4840" s="351"/>
      <c r="S4840" s="351"/>
      <c r="T4840" s="351"/>
      <c r="U4840" s="329" t="str">
        <f>IF($N4840=$N$4,IFERROR(INDEX(DanhMuc!$E$154:$E$165,MATCH(MID($B4840,4,2),DanhMuc!$B$154:$B$165,0)),""),"")</f>
        <v/>
      </c>
      <c r="V4840" s="361"/>
      <c r="W4840" s="345"/>
      <c r="X4840" s="786"/>
      <c r="Y4840" s="1128" t="s">
        <v>3380</v>
      </c>
      <c r="Z4840" s="1128" t="s">
        <v>3381</v>
      </c>
      <c r="AA4840" s="1128" t="s">
        <v>3384</v>
      </c>
      <c r="AB4840" s="20"/>
      <c r="AC4840" s="73"/>
    </row>
    <row r="4841" spans="1:29">
      <c r="A4841" s="327" t="str">
        <f>IF(AND($B4841&lt;&gt;"",$C4841&lt;&gt;""),MAX($A$4730:$A4840)+1,"")</f>
        <v/>
      </c>
      <c r="B4841" s="361" t="s">
        <v>417</v>
      </c>
      <c r="C4841" s="362"/>
      <c r="D4841" s="327">
        <f>IF($B4841="","",COUNTIF($B$4731:$B4841,$B4841))</f>
        <v>3</v>
      </c>
      <c r="E4841" s="361" t="s">
        <v>2336</v>
      </c>
      <c r="F4841" s="362" t="s">
        <v>2337</v>
      </c>
      <c r="G4841" s="327" t="s">
        <v>155</v>
      </c>
      <c r="H4841" s="361" t="s">
        <v>536</v>
      </c>
      <c r="I4841" s="327">
        <v>20</v>
      </c>
      <c r="J4841" s="361"/>
      <c r="K4841" s="327" t="s">
        <v>415</v>
      </c>
      <c r="L4841" s="389">
        <v>1000</v>
      </c>
      <c r="M4841" s="355"/>
      <c r="N4841" s="355" t="s">
        <v>2408</v>
      </c>
      <c r="O4841" s="345"/>
      <c r="P4841" s="325"/>
      <c r="Q4841" s="327"/>
      <c r="R4841" s="351"/>
      <c r="S4841" s="351"/>
      <c r="T4841" s="351"/>
      <c r="U4841" s="329" t="str">
        <f>IF($N4841=$N$4,IFERROR(INDEX(DanhMuc!$E$154:$E$165,MATCH(MID($B4841,4,2),DanhMuc!$B$154:$B$165,0)),""),"")</f>
        <v/>
      </c>
      <c r="V4841" s="361"/>
      <c r="W4841" s="345"/>
      <c r="X4841" s="786"/>
      <c r="Y4841" s="1128" t="s">
        <v>3380</v>
      </c>
      <c r="Z4841" s="1128" t="s">
        <v>3381</v>
      </c>
      <c r="AA4841" s="1128" t="s">
        <v>3384</v>
      </c>
      <c r="AB4841" s="20"/>
      <c r="AC4841" s="73"/>
    </row>
    <row r="4842" spans="1:29">
      <c r="A4842" s="327" t="str">
        <f>IF(AND($B4842&lt;&gt;"",$C4842&lt;&gt;""),MAX($A$4730:$A4841)+1,"")</f>
        <v/>
      </c>
      <c r="B4842" s="361" t="s">
        <v>417</v>
      </c>
      <c r="C4842" s="362"/>
      <c r="D4842" s="327">
        <f>IF($B4842="","",COUNTIF($B$4731:$B4842,$B4842))</f>
        <v>4</v>
      </c>
      <c r="E4842" s="361" t="s">
        <v>1826</v>
      </c>
      <c r="F4842" s="362" t="s">
        <v>670</v>
      </c>
      <c r="G4842" s="327" t="s">
        <v>661</v>
      </c>
      <c r="H4842" s="361" t="s">
        <v>536</v>
      </c>
      <c r="I4842" s="361" t="s">
        <v>2354</v>
      </c>
      <c r="J4842" s="361"/>
      <c r="K4842" s="327" t="s">
        <v>103</v>
      </c>
      <c r="L4842" s="478">
        <f>40000/1000</f>
        <v>40</v>
      </c>
      <c r="M4842" s="355"/>
      <c r="N4842" s="355" t="s">
        <v>2408</v>
      </c>
      <c r="O4842" s="345"/>
      <c r="P4842" s="325"/>
      <c r="Q4842" s="327"/>
      <c r="R4842" s="351"/>
      <c r="S4842" s="351"/>
      <c r="T4842" s="351"/>
      <c r="U4842" s="329" t="str">
        <f>IF($N4842=$N$4,IFERROR(INDEX(DanhMuc!$E$154:$E$165,MATCH(MID($B4842,4,2),DanhMuc!$B$154:$B$165,0)),""),"")</f>
        <v/>
      </c>
      <c r="V4842" s="361"/>
      <c r="W4842" s="345"/>
      <c r="X4842" s="786"/>
      <c r="Y4842" s="1128" t="s">
        <v>3380</v>
      </c>
      <c r="Z4842" s="1128" t="s">
        <v>3381</v>
      </c>
      <c r="AA4842" s="1128" t="s">
        <v>3384</v>
      </c>
      <c r="AB4842" s="20"/>
      <c r="AC4842" s="73"/>
    </row>
    <row r="4843" spans="1:29" ht="37.5">
      <c r="A4843" s="327" t="str">
        <f>IF(AND($B4843&lt;&gt;"",$C4843&lt;&gt;""),MAX($A$4730:$A4842)+1,"")</f>
        <v/>
      </c>
      <c r="B4843" s="361" t="s">
        <v>417</v>
      </c>
      <c r="C4843" s="362"/>
      <c r="D4843" s="327">
        <f>IF($B4843="","",COUNTIF($B$4731:$B4843,$B4843))</f>
        <v>5</v>
      </c>
      <c r="E4843" s="362" t="s">
        <v>1964</v>
      </c>
      <c r="F4843" s="362" t="s">
        <v>1965</v>
      </c>
      <c r="G4843" s="327" t="s">
        <v>405</v>
      </c>
      <c r="H4843" s="361" t="s">
        <v>536</v>
      </c>
      <c r="I4843" s="361" t="s">
        <v>2548</v>
      </c>
      <c r="J4843" s="361"/>
      <c r="K4843" s="327" t="s">
        <v>423</v>
      </c>
      <c r="L4843" s="478">
        <v>140</v>
      </c>
      <c r="M4843" s="371"/>
      <c r="N4843" s="355" t="s">
        <v>2408</v>
      </c>
      <c r="O4843" s="345"/>
      <c r="P4843" s="325"/>
      <c r="Q4843" s="327"/>
      <c r="R4843" s="351"/>
      <c r="S4843" s="351"/>
      <c r="T4843" s="351"/>
      <c r="U4843" s="329" t="str">
        <f>IF($N4843=$N$4,IFERROR(INDEX(DanhMuc!$E$154:$E$165,MATCH(MID($B4843,4,2),DanhMuc!$B$154:$B$165,0)),""),"")</f>
        <v/>
      </c>
      <c r="V4843" s="361"/>
      <c r="W4843" s="345"/>
      <c r="X4843" s="786"/>
      <c r="Y4843" s="1128" t="s">
        <v>3380</v>
      </c>
      <c r="Z4843" s="1128" t="s">
        <v>3381</v>
      </c>
      <c r="AA4843" s="1128" t="s">
        <v>3384</v>
      </c>
      <c r="AB4843" s="20"/>
      <c r="AC4843" s="73"/>
    </row>
    <row r="4844" spans="1:29" ht="37.5">
      <c r="A4844" s="327" t="str">
        <f>IF(AND($B4844&lt;&gt;"",$C4844&lt;&gt;""),MAX($A$4730:$A4843)+1,"")</f>
        <v/>
      </c>
      <c r="B4844" s="361" t="s">
        <v>417</v>
      </c>
      <c r="C4844" s="362"/>
      <c r="D4844" s="327">
        <f>IF($B4844="","",COUNTIF($B$4731:$B4844,$B4844))</f>
        <v>6</v>
      </c>
      <c r="E4844" s="362" t="s">
        <v>2756</v>
      </c>
      <c r="F4844" s="362" t="s">
        <v>2757</v>
      </c>
      <c r="G4844" s="327" t="s">
        <v>405</v>
      </c>
      <c r="H4844" s="361" t="s">
        <v>536</v>
      </c>
      <c r="I4844" s="361" t="s">
        <v>2548</v>
      </c>
      <c r="J4844" s="361"/>
      <c r="K4844" s="327" t="s">
        <v>423</v>
      </c>
      <c r="L4844" s="479">
        <v>322</v>
      </c>
      <c r="M4844" s="371"/>
      <c r="N4844" s="355" t="s">
        <v>2408</v>
      </c>
      <c r="O4844" s="345"/>
      <c r="P4844" s="325"/>
      <c r="Q4844" s="327"/>
      <c r="R4844" s="351"/>
      <c r="S4844" s="351"/>
      <c r="T4844" s="351"/>
      <c r="U4844" s="329" t="str">
        <f>IF($N4844=$N$4,IFERROR(INDEX(DanhMuc!$E$154:$E$165,MATCH(MID($B4844,4,2),DanhMuc!$B$154:$B$165,0)),""),"")</f>
        <v/>
      </c>
      <c r="V4844" s="361"/>
      <c r="W4844" s="345"/>
      <c r="X4844" s="786"/>
      <c r="Y4844" s="1128" t="s">
        <v>3380</v>
      </c>
      <c r="Z4844" s="1128" t="s">
        <v>3381</v>
      </c>
      <c r="AA4844" s="1128" t="s">
        <v>3384</v>
      </c>
      <c r="AB4844" s="20"/>
      <c r="AC4844" s="73"/>
    </row>
    <row r="4845" spans="1:29">
      <c r="A4845" s="327" t="str">
        <f>IF(AND($B4845&lt;&gt;"",$C4845&lt;&gt;""),MAX($A$4730:$A4844)+1,"")</f>
        <v/>
      </c>
      <c r="B4845" s="361" t="s">
        <v>417</v>
      </c>
      <c r="C4845" s="362"/>
      <c r="D4845" s="327">
        <f>IF($B4845="","",COUNTIF($B$4731:$B4845,$B4845))</f>
        <v>7</v>
      </c>
      <c r="E4845" s="361" t="s">
        <v>656</v>
      </c>
      <c r="F4845" s="362" t="s">
        <v>2239</v>
      </c>
      <c r="G4845" s="327" t="s">
        <v>405</v>
      </c>
      <c r="H4845" s="361" t="s">
        <v>536</v>
      </c>
      <c r="I4845" s="361" t="s">
        <v>1827</v>
      </c>
      <c r="J4845" s="361"/>
      <c r="K4845" s="327" t="s">
        <v>100</v>
      </c>
      <c r="L4845" s="478">
        <v>970</v>
      </c>
      <c r="M4845" s="371"/>
      <c r="N4845" s="355" t="s">
        <v>2409</v>
      </c>
      <c r="O4845" s="345"/>
      <c r="P4845" s="325"/>
      <c r="Q4845" s="327"/>
      <c r="R4845" s="351"/>
      <c r="S4845" s="351"/>
      <c r="T4845" s="351"/>
      <c r="U4845" s="329" t="str">
        <f>IF($N4845=$N$4,IFERROR(INDEX(DanhMuc!$E$154:$E$165,MATCH(MID($B4845,4,2),DanhMuc!$B$154:$B$165,0)),""),"")</f>
        <v/>
      </c>
      <c r="V4845" s="361"/>
      <c r="W4845" s="345"/>
      <c r="X4845" s="786"/>
      <c r="Y4845" s="1128" t="s">
        <v>3380</v>
      </c>
      <c r="Z4845" s="1128" t="s">
        <v>3381</v>
      </c>
      <c r="AA4845" s="1128" t="s">
        <v>3384</v>
      </c>
      <c r="AB4845" s="20"/>
      <c r="AC4845" s="73"/>
    </row>
    <row r="4846" spans="1:29">
      <c r="A4846" s="327" t="str">
        <f>IF(AND($B4846&lt;&gt;"",$C4846&lt;&gt;""),MAX($A$4730:$A4845)+1,"")</f>
        <v/>
      </c>
      <c r="B4846" s="361" t="s">
        <v>417</v>
      </c>
      <c r="C4846" s="362"/>
      <c r="D4846" s="327">
        <f>IF($B4846="","",COUNTIF($B$4731:$B4846,$B4846))</f>
        <v>8</v>
      </c>
      <c r="E4846" s="361" t="s">
        <v>657</v>
      </c>
      <c r="F4846" s="362" t="s">
        <v>658</v>
      </c>
      <c r="G4846" s="327" t="s">
        <v>424</v>
      </c>
      <c r="H4846" s="361" t="s">
        <v>536</v>
      </c>
      <c r="I4846" s="361" t="s">
        <v>665</v>
      </c>
      <c r="J4846" s="361"/>
      <c r="K4846" s="327" t="s">
        <v>100</v>
      </c>
      <c r="L4846" s="478">
        <v>60000</v>
      </c>
      <c r="M4846" s="355"/>
      <c r="N4846" s="355" t="s">
        <v>2409</v>
      </c>
      <c r="O4846" s="345"/>
      <c r="P4846" s="325"/>
      <c r="Q4846" s="327"/>
      <c r="R4846" s="351"/>
      <c r="S4846" s="351"/>
      <c r="T4846" s="351"/>
      <c r="U4846" s="329" t="str">
        <f>IF($N4846=$N$4,IFERROR(INDEX(DanhMuc!$E$154:$E$165,MATCH(MID($B4846,4,2),DanhMuc!$B$154:$B$165,0)),""),"")</f>
        <v/>
      </c>
      <c r="V4846" s="361"/>
      <c r="W4846" s="345"/>
      <c r="X4846" s="786"/>
      <c r="Y4846" s="1128" t="s">
        <v>3380</v>
      </c>
      <c r="Z4846" s="1128" t="s">
        <v>3381</v>
      </c>
      <c r="AA4846" s="1128" t="s">
        <v>3384</v>
      </c>
      <c r="AB4846" s="20"/>
      <c r="AC4846" s="73"/>
    </row>
    <row r="4847" spans="1:29">
      <c r="A4847" s="327" t="str">
        <f>IF(AND($B4847&lt;&gt;"",$C4847&lt;&gt;""),MAX($A$4730:$A4846)+1,"")</f>
        <v/>
      </c>
      <c r="B4847" s="361" t="s">
        <v>417</v>
      </c>
      <c r="C4847" s="362"/>
      <c r="D4847" s="327">
        <f>IF($B4847="","",COUNTIF($B$4731:$B4847,$B4847))</f>
        <v>9</v>
      </c>
      <c r="E4847" s="361" t="s">
        <v>2771</v>
      </c>
      <c r="F4847" s="362" t="s">
        <v>659</v>
      </c>
      <c r="G4847" s="327" t="s">
        <v>424</v>
      </c>
      <c r="H4847" s="361" t="s">
        <v>536</v>
      </c>
      <c r="I4847" s="361" t="s">
        <v>666</v>
      </c>
      <c r="J4847" s="361"/>
      <c r="K4847" s="327" t="s">
        <v>100</v>
      </c>
      <c r="L4847" s="389">
        <v>53000</v>
      </c>
      <c r="M4847" s="355"/>
      <c r="N4847" s="355" t="s">
        <v>2409</v>
      </c>
      <c r="O4847" s="345"/>
      <c r="P4847" s="325"/>
      <c r="Q4847" s="327"/>
      <c r="R4847" s="351"/>
      <c r="S4847" s="351"/>
      <c r="T4847" s="351"/>
      <c r="U4847" s="329" t="str">
        <f>IF($N4847=$N$4,IFERROR(INDEX(DanhMuc!$E$154:$E$165,MATCH(MID($B4847,4,2),DanhMuc!$B$154:$B$165,0)),""),"")</f>
        <v/>
      </c>
      <c r="V4847" s="361"/>
      <c r="W4847" s="345"/>
      <c r="X4847" s="786"/>
      <c r="Y4847" s="1128" t="s">
        <v>3380</v>
      </c>
      <c r="Z4847" s="1128" t="s">
        <v>3381</v>
      </c>
      <c r="AA4847" s="1128" t="s">
        <v>3384</v>
      </c>
      <c r="AB4847" s="20"/>
      <c r="AC4847" s="73"/>
    </row>
    <row r="4848" spans="1:29">
      <c r="A4848" s="327" t="str">
        <f>IF(AND($B4848&lt;&gt;"",$C4848&lt;&gt;""),MAX($A$4730:$A4847)+1,"")</f>
        <v/>
      </c>
      <c r="B4848" s="361" t="s">
        <v>417</v>
      </c>
      <c r="C4848" s="362"/>
      <c r="D4848" s="327">
        <f>IF($B4848="","",COUNTIF($B$4731:$B4848,$B4848))</f>
        <v>10</v>
      </c>
      <c r="E4848" s="361" t="s">
        <v>1828</v>
      </c>
      <c r="F4848" s="362" t="s">
        <v>671</v>
      </c>
      <c r="G4848" s="327" t="s">
        <v>661</v>
      </c>
      <c r="H4848" s="361" t="s">
        <v>536</v>
      </c>
      <c r="I4848" s="361" t="s">
        <v>2355</v>
      </c>
      <c r="J4848" s="361"/>
      <c r="K4848" s="327" t="s">
        <v>100</v>
      </c>
      <c r="L4848" s="478">
        <f>40000/1000</f>
        <v>40</v>
      </c>
      <c r="M4848" s="355"/>
      <c r="N4848" s="355" t="s">
        <v>2409</v>
      </c>
      <c r="O4848" s="345"/>
      <c r="P4848" s="325"/>
      <c r="Q4848" s="327"/>
      <c r="R4848" s="351"/>
      <c r="S4848" s="351"/>
      <c r="T4848" s="351"/>
      <c r="U4848" s="329" t="str">
        <f>IF($N4848=$N$4,IFERROR(INDEX(DanhMuc!$E$154:$E$165,MATCH(MID($B4848,4,2),DanhMuc!$B$154:$B$165,0)),""),"")</f>
        <v/>
      </c>
      <c r="V4848" s="361"/>
      <c r="W4848" s="345"/>
      <c r="X4848" s="786"/>
      <c r="Y4848" s="1128" t="s">
        <v>3380</v>
      </c>
      <c r="Z4848" s="1128" t="s">
        <v>3381</v>
      </c>
      <c r="AA4848" s="1128" t="s">
        <v>3384</v>
      </c>
      <c r="AB4848" s="20"/>
      <c r="AC4848" s="73"/>
    </row>
    <row r="4849" spans="1:29">
      <c r="A4849" s="327" t="str">
        <f>IF(AND($B4849&lt;&gt;"",$C4849&lt;&gt;""),MAX($A$4730:$A4848)+1,"")</f>
        <v/>
      </c>
      <c r="B4849" s="361" t="s">
        <v>417</v>
      </c>
      <c r="C4849" s="362"/>
      <c r="D4849" s="327">
        <f>IF($B4849="","",COUNTIF($B$4731:$B4849,$B4849))</f>
        <v>11</v>
      </c>
      <c r="E4849" s="361" t="s">
        <v>154</v>
      </c>
      <c r="F4849" s="362" t="s">
        <v>660</v>
      </c>
      <c r="G4849" s="327" t="s">
        <v>661</v>
      </c>
      <c r="H4849" s="361" t="s">
        <v>536</v>
      </c>
      <c r="I4849" s="361" t="s">
        <v>667</v>
      </c>
      <c r="J4849" s="361"/>
      <c r="K4849" s="327" t="s">
        <v>662</v>
      </c>
      <c r="L4849" s="478">
        <v>20</v>
      </c>
      <c r="M4849" s="355"/>
      <c r="N4849" s="355" t="s">
        <v>2409</v>
      </c>
      <c r="O4849" s="345"/>
      <c r="P4849" s="325"/>
      <c r="Q4849" s="327"/>
      <c r="R4849" s="351"/>
      <c r="S4849" s="351"/>
      <c r="T4849" s="351"/>
      <c r="U4849" s="329" t="str">
        <f>IF($N4849=$N$4,IFERROR(INDEX(DanhMuc!$E$154:$E$165,MATCH(MID($B4849,4,2),DanhMuc!$B$154:$B$165,0)),""),"")</f>
        <v/>
      </c>
      <c r="V4849" s="361"/>
      <c r="W4849" s="345"/>
      <c r="X4849" s="786"/>
      <c r="Y4849" s="1128" t="s">
        <v>3380</v>
      </c>
      <c r="Z4849" s="1128" t="s">
        <v>3381</v>
      </c>
      <c r="AA4849" s="1128" t="s">
        <v>3384</v>
      </c>
      <c r="AB4849" s="20"/>
      <c r="AC4849" s="73"/>
    </row>
    <row r="4850" spans="1:29">
      <c r="A4850" s="327" t="str">
        <f>IF(AND($B4850&lt;&gt;"",$C4850&lt;&gt;""),MAX($A$4730:$A4849)+1,"")</f>
        <v/>
      </c>
      <c r="B4850" s="361" t="s">
        <v>417</v>
      </c>
      <c r="C4850" s="362"/>
      <c r="D4850" s="327">
        <f>IF($B4850="","",COUNTIF($B$4731:$B4850,$B4850))</f>
        <v>12</v>
      </c>
      <c r="E4850" s="362" t="s">
        <v>2282</v>
      </c>
      <c r="F4850" s="362" t="s">
        <v>2283</v>
      </c>
      <c r="G4850" s="327" t="s">
        <v>424</v>
      </c>
      <c r="H4850" s="361" t="s">
        <v>536</v>
      </c>
      <c r="I4850" s="361" t="s">
        <v>2238</v>
      </c>
      <c r="J4850" s="361"/>
      <c r="K4850" s="327" t="s">
        <v>662</v>
      </c>
      <c r="L4850" s="478">
        <v>28000</v>
      </c>
      <c r="M4850" s="355"/>
      <c r="N4850" s="355" t="s">
        <v>2409</v>
      </c>
      <c r="O4850" s="345"/>
      <c r="P4850" s="325"/>
      <c r="Q4850" s="327"/>
      <c r="R4850" s="351"/>
      <c r="S4850" s="351"/>
      <c r="T4850" s="351"/>
      <c r="U4850" s="329" t="str">
        <f>IF($N4850=$N$4,IFERROR(INDEX(DanhMuc!$E$154:$E$165,MATCH(MID($B4850,4,2),DanhMuc!$B$154:$B$165,0)),""),"")</f>
        <v/>
      </c>
      <c r="V4850" s="361"/>
      <c r="W4850" s="345"/>
      <c r="X4850" s="786"/>
      <c r="Y4850" s="1128" t="s">
        <v>3380</v>
      </c>
      <c r="Z4850" s="1128" t="s">
        <v>3381</v>
      </c>
      <c r="AA4850" s="1128" t="s">
        <v>3384</v>
      </c>
      <c r="AB4850" s="20"/>
      <c r="AC4850" s="73"/>
    </row>
    <row r="4851" spans="1:29">
      <c r="A4851" s="327" t="str">
        <f>IF(AND($B4851&lt;&gt;"",$C4851&lt;&gt;""),MAX($A$4730:$A4850)+1,"")</f>
        <v/>
      </c>
      <c r="B4851" s="361" t="s">
        <v>417</v>
      </c>
      <c r="C4851" s="362"/>
      <c r="D4851" s="327">
        <f>IF($B4851="","",COUNTIF($B$4731:$B4851,$B4851))</f>
        <v>13</v>
      </c>
      <c r="E4851" s="362" t="s">
        <v>663</v>
      </c>
      <c r="F4851" s="362" t="s">
        <v>664</v>
      </c>
      <c r="G4851" s="327" t="s">
        <v>155</v>
      </c>
      <c r="H4851" s="361" t="s">
        <v>536</v>
      </c>
      <c r="I4851" s="361" t="s">
        <v>672</v>
      </c>
      <c r="J4851" s="361"/>
      <c r="K4851" s="327" t="s">
        <v>662</v>
      </c>
      <c r="L4851" s="478">
        <v>1000</v>
      </c>
      <c r="M4851" s="355"/>
      <c r="N4851" s="355" t="s">
        <v>2409</v>
      </c>
      <c r="O4851" s="345"/>
      <c r="P4851" s="325"/>
      <c r="Q4851" s="327"/>
      <c r="R4851" s="351"/>
      <c r="S4851" s="351"/>
      <c r="T4851" s="351"/>
      <c r="U4851" s="329" t="str">
        <f>IF($N4851=$N$4,IFERROR(INDEX(DanhMuc!$E$154:$E$165,MATCH(MID($B4851,4,2),DanhMuc!$B$154:$B$165,0)),""),"")</f>
        <v/>
      </c>
      <c r="V4851" s="361"/>
      <c r="W4851" s="345"/>
      <c r="X4851" s="786"/>
      <c r="Y4851" s="1128" t="s">
        <v>3380</v>
      </c>
      <c r="Z4851" s="1128" t="s">
        <v>3381</v>
      </c>
      <c r="AA4851" s="1128" t="s">
        <v>3384</v>
      </c>
      <c r="AB4851" s="20"/>
      <c r="AC4851" s="73"/>
    </row>
    <row r="4852" spans="1:29" ht="39">
      <c r="A4852" s="327">
        <f>IF(AND($B4852&lt;&gt;"",$C4852&lt;&gt;""),MAX($A$4730:$A4832)+1,"")</f>
        <v>5</v>
      </c>
      <c r="B4852" s="359" t="s">
        <v>418</v>
      </c>
      <c r="C4852" s="360" t="s">
        <v>1541</v>
      </c>
      <c r="D4852" s="327">
        <f>IF($B4852="","",COUNTIF($B$4731:$B4852,$B4852))</f>
        <v>1</v>
      </c>
      <c r="E4852" s="361" t="s">
        <v>2069</v>
      </c>
      <c r="F4852" s="362" t="s">
        <v>2070</v>
      </c>
      <c r="G4852" s="327" t="s">
        <v>155</v>
      </c>
      <c r="H4852" s="361" t="s">
        <v>536</v>
      </c>
      <c r="I4852" s="327">
        <v>4</v>
      </c>
      <c r="J4852" s="361"/>
      <c r="K4852" s="327" t="s">
        <v>100</v>
      </c>
      <c r="L4852" s="389">
        <v>11000</v>
      </c>
      <c r="M4852" s="355"/>
      <c r="N4852" s="355" t="s">
        <v>2408</v>
      </c>
      <c r="O4852" s="345"/>
      <c r="P4852" s="325"/>
      <c r="Q4852" s="327"/>
      <c r="R4852" s="351">
        <v>2.5</v>
      </c>
      <c r="S4852" s="351">
        <v>5.8</v>
      </c>
      <c r="T4852" s="351">
        <v>1.44</v>
      </c>
      <c r="U4852" s="329" t="str">
        <f>IF($N4852=$N$4,IFERROR(INDEX(DanhMuc!$E$154:$E$165,MATCH(MID($B4852,4,2),DanhMuc!$B$154:$B$165,0)),""),"")</f>
        <v/>
      </c>
      <c r="V4852" s="361"/>
      <c r="W4852" s="345"/>
      <c r="X4852" s="786"/>
      <c r="Y4852" s="1128" t="s">
        <v>3380</v>
      </c>
      <c r="Z4852" s="1128" t="s">
        <v>3381</v>
      </c>
      <c r="AA4852" s="1128" t="s">
        <v>3384</v>
      </c>
      <c r="AB4852" s="20"/>
      <c r="AC4852" s="73"/>
    </row>
    <row r="4853" spans="1:29">
      <c r="A4853" s="327" t="str">
        <f>IF(AND($B4853&lt;&gt;"",$C4853&lt;&gt;""),MAX($A$4730:$A4852)+1,"")</f>
        <v/>
      </c>
      <c r="B4853" s="361" t="s">
        <v>418</v>
      </c>
      <c r="C4853" s="362"/>
      <c r="D4853" s="327">
        <f>IF($B4853="","",COUNTIF($B$4731:$B4853,$B4853))</f>
        <v>2</v>
      </c>
      <c r="E4853" s="361" t="s">
        <v>2071</v>
      </c>
      <c r="F4853" s="362" t="s">
        <v>2072</v>
      </c>
      <c r="G4853" s="327" t="s">
        <v>155</v>
      </c>
      <c r="H4853" s="361" t="s">
        <v>536</v>
      </c>
      <c r="I4853" s="327">
        <v>24</v>
      </c>
      <c r="J4853" s="361"/>
      <c r="K4853" s="327" t="s">
        <v>101</v>
      </c>
      <c r="L4853" s="389">
        <v>30000</v>
      </c>
      <c r="M4853" s="355"/>
      <c r="N4853" s="355" t="s">
        <v>2408</v>
      </c>
      <c r="O4853" s="345"/>
      <c r="P4853" s="325"/>
      <c r="Q4853" s="327"/>
      <c r="R4853" s="351"/>
      <c r="S4853" s="351"/>
      <c r="T4853" s="351"/>
      <c r="U4853" s="329" t="str">
        <f>IF($N4853=$N$4,IFERROR(INDEX(DanhMuc!$E$154:$E$165,MATCH(MID($B4853,4,2),DanhMuc!$B$154:$B$165,0)),""),"")</f>
        <v/>
      </c>
      <c r="V4853" s="361"/>
      <c r="W4853" s="345"/>
      <c r="X4853" s="786"/>
      <c r="Y4853" s="1128" t="s">
        <v>3380</v>
      </c>
      <c r="Z4853" s="1128" t="s">
        <v>3381</v>
      </c>
      <c r="AA4853" s="1128" t="s">
        <v>3384</v>
      </c>
      <c r="AB4853" s="20"/>
      <c r="AC4853" s="73"/>
    </row>
    <row r="4854" spans="1:29">
      <c r="A4854" s="327" t="str">
        <f>IF(AND($B4854&lt;&gt;"",$C4854&lt;&gt;""),MAX($A$4730:$A4853)+1,"")</f>
        <v/>
      </c>
      <c r="B4854" s="361" t="s">
        <v>418</v>
      </c>
      <c r="C4854" s="362"/>
      <c r="D4854" s="327">
        <f>IF($B4854="","",COUNTIF($B$4731:$B4854,$B4854))</f>
        <v>3</v>
      </c>
      <c r="E4854" s="361" t="s">
        <v>2336</v>
      </c>
      <c r="F4854" s="362" t="s">
        <v>2337</v>
      </c>
      <c r="G4854" s="327" t="s">
        <v>155</v>
      </c>
      <c r="H4854" s="361" t="s">
        <v>536</v>
      </c>
      <c r="I4854" s="327">
        <v>24</v>
      </c>
      <c r="J4854" s="361"/>
      <c r="K4854" s="327" t="s">
        <v>415</v>
      </c>
      <c r="L4854" s="389">
        <v>1000</v>
      </c>
      <c r="M4854" s="355"/>
      <c r="N4854" s="355" t="s">
        <v>2408</v>
      </c>
      <c r="O4854" s="345"/>
      <c r="P4854" s="325"/>
      <c r="Q4854" s="327"/>
      <c r="R4854" s="351"/>
      <c r="S4854" s="351"/>
      <c r="T4854" s="351"/>
      <c r="U4854" s="329" t="str">
        <f>IF($N4854=$N$4,IFERROR(INDEX(DanhMuc!$E$154:$E$165,MATCH(MID($B4854,4,2),DanhMuc!$B$154:$B$165,0)),""),"")</f>
        <v/>
      </c>
      <c r="V4854" s="361"/>
      <c r="W4854" s="345"/>
      <c r="X4854" s="786"/>
      <c r="Y4854" s="1128" t="s">
        <v>3380</v>
      </c>
      <c r="Z4854" s="1128" t="s">
        <v>3381</v>
      </c>
      <c r="AA4854" s="1128" t="s">
        <v>3384</v>
      </c>
      <c r="AB4854" s="20"/>
      <c r="AC4854" s="73"/>
    </row>
    <row r="4855" spans="1:29">
      <c r="A4855" s="327" t="str">
        <f>IF(AND($B4855&lt;&gt;"",$C4855&lt;&gt;""),MAX($A$4730:$A4854)+1,"")</f>
        <v/>
      </c>
      <c r="B4855" s="361" t="s">
        <v>418</v>
      </c>
      <c r="C4855" s="362"/>
      <c r="D4855" s="327">
        <f>IF($B4855="","",COUNTIF($B$4731:$B4855,$B4855))</f>
        <v>4</v>
      </c>
      <c r="E4855" s="361" t="s">
        <v>1826</v>
      </c>
      <c r="F4855" s="362" t="s">
        <v>670</v>
      </c>
      <c r="G4855" s="327" t="s">
        <v>661</v>
      </c>
      <c r="H4855" s="361" t="s">
        <v>536</v>
      </c>
      <c r="I4855" s="361" t="s">
        <v>2354</v>
      </c>
      <c r="J4855" s="361"/>
      <c r="K4855" s="327" t="s">
        <v>103</v>
      </c>
      <c r="L4855" s="478">
        <f>40000/1000</f>
        <v>40</v>
      </c>
      <c r="M4855" s="355"/>
      <c r="N4855" s="355" t="s">
        <v>2408</v>
      </c>
      <c r="O4855" s="345"/>
      <c r="P4855" s="325"/>
      <c r="Q4855" s="327"/>
      <c r="R4855" s="351"/>
      <c r="S4855" s="351"/>
      <c r="T4855" s="351"/>
      <c r="U4855" s="329" t="str">
        <f>IF($N4855=$N$4,IFERROR(INDEX(DanhMuc!$E$154:$E$165,MATCH(MID($B4855,4,2),DanhMuc!$B$154:$B$165,0)),""),"")</f>
        <v/>
      </c>
      <c r="V4855" s="361"/>
      <c r="W4855" s="345"/>
      <c r="X4855" s="786"/>
      <c r="Y4855" s="1128" t="s">
        <v>3380</v>
      </c>
      <c r="Z4855" s="1128" t="s">
        <v>3381</v>
      </c>
      <c r="AA4855" s="1128" t="s">
        <v>3384</v>
      </c>
      <c r="AB4855" s="20"/>
      <c r="AC4855" s="73"/>
    </row>
    <row r="4856" spans="1:29" ht="37.5">
      <c r="A4856" s="327" t="str">
        <f>IF(AND($B4856&lt;&gt;"",$C4856&lt;&gt;""),MAX($A$4730:$A4855)+1,"")</f>
        <v/>
      </c>
      <c r="B4856" s="361" t="s">
        <v>418</v>
      </c>
      <c r="C4856" s="362"/>
      <c r="D4856" s="327">
        <f>IF($B4856="","",COUNTIF($B$4731:$B4856,$B4856))</f>
        <v>5</v>
      </c>
      <c r="E4856" s="362" t="s">
        <v>1964</v>
      </c>
      <c r="F4856" s="362" t="s">
        <v>1965</v>
      </c>
      <c r="G4856" s="327" t="s">
        <v>405</v>
      </c>
      <c r="H4856" s="361" t="s">
        <v>536</v>
      </c>
      <c r="I4856" s="361" t="s">
        <v>2548</v>
      </c>
      <c r="J4856" s="361"/>
      <c r="K4856" s="327" t="s">
        <v>423</v>
      </c>
      <c r="L4856" s="478">
        <v>140</v>
      </c>
      <c r="M4856" s="371"/>
      <c r="N4856" s="355" t="s">
        <v>2408</v>
      </c>
      <c r="O4856" s="345"/>
      <c r="P4856" s="325"/>
      <c r="Q4856" s="327"/>
      <c r="R4856" s="351"/>
      <c r="S4856" s="351"/>
      <c r="T4856" s="351"/>
      <c r="U4856" s="329" t="str">
        <f>IF($N4856=$N$4,IFERROR(INDEX(DanhMuc!$E$154:$E$165,MATCH(MID($B4856,4,2),DanhMuc!$B$154:$B$165,0)),""),"")</f>
        <v/>
      </c>
      <c r="V4856" s="361"/>
      <c r="W4856" s="345"/>
      <c r="X4856" s="786"/>
      <c r="Y4856" s="1128" t="s">
        <v>3380</v>
      </c>
      <c r="Z4856" s="1128" t="s">
        <v>3381</v>
      </c>
      <c r="AA4856" s="1128" t="s">
        <v>3384</v>
      </c>
      <c r="AB4856" s="20"/>
      <c r="AC4856" s="73"/>
    </row>
    <row r="4857" spans="1:29" ht="37.5">
      <c r="A4857" s="327" t="str">
        <f>IF(AND($B4857&lt;&gt;"",$C4857&lt;&gt;""),MAX($A$4730:$A4856)+1,"")</f>
        <v/>
      </c>
      <c r="B4857" s="361" t="s">
        <v>418</v>
      </c>
      <c r="C4857" s="362"/>
      <c r="D4857" s="327">
        <f>IF($B4857="","",COUNTIF($B$4731:$B4857,$B4857))</f>
        <v>6</v>
      </c>
      <c r="E4857" s="362" t="s">
        <v>2756</v>
      </c>
      <c r="F4857" s="362" t="s">
        <v>2757</v>
      </c>
      <c r="G4857" s="327" t="s">
        <v>405</v>
      </c>
      <c r="H4857" s="361" t="s">
        <v>536</v>
      </c>
      <c r="I4857" s="361" t="s">
        <v>2548</v>
      </c>
      <c r="J4857" s="361"/>
      <c r="K4857" s="327" t="s">
        <v>423</v>
      </c>
      <c r="L4857" s="479">
        <v>322</v>
      </c>
      <c r="M4857" s="371"/>
      <c r="N4857" s="355" t="s">
        <v>2408</v>
      </c>
      <c r="O4857" s="345"/>
      <c r="P4857" s="325"/>
      <c r="Q4857" s="327"/>
      <c r="R4857" s="351"/>
      <c r="S4857" s="351"/>
      <c r="T4857" s="351"/>
      <c r="U4857" s="329" t="str">
        <f>IF($N4857=$N$4,IFERROR(INDEX(DanhMuc!$E$154:$E$165,MATCH(MID($B4857,4,2),DanhMuc!$B$154:$B$165,0)),""),"")</f>
        <v/>
      </c>
      <c r="V4857" s="361"/>
      <c r="W4857" s="345"/>
      <c r="X4857" s="786"/>
      <c r="Y4857" s="1128" t="s">
        <v>3380</v>
      </c>
      <c r="Z4857" s="1128" t="s">
        <v>3381</v>
      </c>
      <c r="AA4857" s="1128" t="s">
        <v>3384</v>
      </c>
      <c r="AB4857" s="20"/>
      <c r="AC4857" s="73"/>
    </row>
    <row r="4858" spans="1:29">
      <c r="A4858" s="327" t="str">
        <f>IF(AND($B4858&lt;&gt;"",$C4858&lt;&gt;""),MAX($A$4730:$A4857)+1,"")</f>
        <v/>
      </c>
      <c r="B4858" s="361" t="s">
        <v>418</v>
      </c>
      <c r="C4858" s="362"/>
      <c r="D4858" s="327">
        <f>IF($B4858="","",COUNTIF($B$4731:$B4858,$B4858))</f>
        <v>7</v>
      </c>
      <c r="E4858" s="361" t="s">
        <v>656</v>
      </c>
      <c r="F4858" s="362" t="s">
        <v>2239</v>
      </c>
      <c r="G4858" s="327" t="s">
        <v>405</v>
      </c>
      <c r="H4858" s="361" t="s">
        <v>536</v>
      </c>
      <c r="I4858" s="361" t="s">
        <v>1827</v>
      </c>
      <c r="J4858" s="361"/>
      <c r="K4858" s="327" t="s">
        <v>100</v>
      </c>
      <c r="L4858" s="478">
        <v>970</v>
      </c>
      <c r="M4858" s="371"/>
      <c r="N4858" s="355" t="s">
        <v>2409</v>
      </c>
      <c r="O4858" s="345"/>
      <c r="P4858" s="325"/>
      <c r="Q4858" s="327"/>
      <c r="R4858" s="351"/>
      <c r="S4858" s="351"/>
      <c r="T4858" s="351"/>
      <c r="U4858" s="329" t="str">
        <f>IF($N4858=$N$4,IFERROR(INDEX(DanhMuc!$E$154:$E$165,MATCH(MID($B4858,4,2),DanhMuc!$B$154:$B$165,0)),""),"")</f>
        <v/>
      </c>
      <c r="V4858" s="361"/>
      <c r="W4858" s="345"/>
      <c r="X4858" s="786"/>
      <c r="Y4858" s="1128" t="s">
        <v>3380</v>
      </c>
      <c r="Z4858" s="1128" t="s">
        <v>3381</v>
      </c>
      <c r="AA4858" s="1128" t="s">
        <v>3384</v>
      </c>
      <c r="AB4858" s="20"/>
      <c r="AC4858" s="73"/>
    </row>
    <row r="4859" spans="1:29">
      <c r="A4859" s="327" t="str">
        <f>IF(AND($B4859&lt;&gt;"",$C4859&lt;&gt;""),MAX($A$4730:$A4858)+1,"")</f>
        <v/>
      </c>
      <c r="B4859" s="361" t="s">
        <v>418</v>
      </c>
      <c r="C4859" s="362"/>
      <c r="D4859" s="327">
        <f>IF($B4859="","",COUNTIF($B$4731:$B4859,$B4859))</f>
        <v>8</v>
      </c>
      <c r="E4859" s="361" t="s">
        <v>657</v>
      </c>
      <c r="F4859" s="362" t="s">
        <v>658</v>
      </c>
      <c r="G4859" s="327" t="s">
        <v>424</v>
      </c>
      <c r="H4859" s="361" t="s">
        <v>536</v>
      </c>
      <c r="I4859" s="361" t="s">
        <v>665</v>
      </c>
      <c r="J4859" s="361"/>
      <c r="K4859" s="327" t="s">
        <v>100</v>
      </c>
      <c r="L4859" s="478">
        <v>60000</v>
      </c>
      <c r="M4859" s="355"/>
      <c r="N4859" s="355" t="s">
        <v>2409</v>
      </c>
      <c r="O4859" s="345"/>
      <c r="P4859" s="325"/>
      <c r="Q4859" s="327"/>
      <c r="R4859" s="351"/>
      <c r="S4859" s="351"/>
      <c r="T4859" s="351"/>
      <c r="U4859" s="329" t="str">
        <f>IF($N4859=$N$4,IFERROR(INDEX(DanhMuc!$E$154:$E$165,MATCH(MID($B4859,4,2),DanhMuc!$B$154:$B$165,0)),""),"")</f>
        <v/>
      </c>
      <c r="V4859" s="361"/>
      <c r="W4859" s="345"/>
      <c r="X4859" s="786"/>
      <c r="Y4859" s="1128" t="s">
        <v>3380</v>
      </c>
      <c r="Z4859" s="1128" t="s">
        <v>3381</v>
      </c>
      <c r="AA4859" s="1128" t="s">
        <v>3384</v>
      </c>
      <c r="AB4859" s="20"/>
      <c r="AC4859" s="73"/>
    </row>
    <row r="4860" spans="1:29">
      <c r="A4860" s="327" t="str">
        <f>IF(AND($B4860&lt;&gt;"",$C4860&lt;&gt;""),MAX($A$4730:$A4859)+1,"")</f>
        <v/>
      </c>
      <c r="B4860" s="361" t="s">
        <v>418</v>
      </c>
      <c r="C4860" s="362"/>
      <c r="D4860" s="327">
        <f>IF($B4860="","",COUNTIF($B$4731:$B4860,$B4860))</f>
        <v>9</v>
      </c>
      <c r="E4860" s="361" t="s">
        <v>2771</v>
      </c>
      <c r="F4860" s="362" t="s">
        <v>659</v>
      </c>
      <c r="G4860" s="327" t="s">
        <v>424</v>
      </c>
      <c r="H4860" s="361" t="s">
        <v>536</v>
      </c>
      <c r="I4860" s="361" t="s">
        <v>666</v>
      </c>
      <c r="J4860" s="361"/>
      <c r="K4860" s="327" t="s">
        <v>100</v>
      </c>
      <c r="L4860" s="389">
        <v>53000</v>
      </c>
      <c r="M4860" s="355"/>
      <c r="N4860" s="355" t="s">
        <v>2409</v>
      </c>
      <c r="O4860" s="345"/>
      <c r="P4860" s="325"/>
      <c r="Q4860" s="327"/>
      <c r="R4860" s="351"/>
      <c r="S4860" s="351"/>
      <c r="T4860" s="351"/>
      <c r="U4860" s="329" t="str">
        <f>IF($N4860=$N$4,IFERROR(INDEX(DanhMuc!$E$154:$E$165,MATCH(MID($B4860,4,2),DanhMuc!$B$154:$B$165,0)),""),"")</f>
        <v/>
      </c>
      <c r="V4860" s="361"/>
      <c r="W4860" s="345"/>
      <c r="X4860" s="786"/>
      <c r="Y4860" s="1128" t="s">
        <v>3380</v>
      </c>
      <c r="Z4860" s="1128" t="s">
        <v>3381</v>
      </c>
      <c r="AA4860" s="1128" t="s">
        <v>3384</v>
      </c>
      <c r="AB4860" s="20"/>
      <c r="AC4860" s="73"/>
    </row>
    <row r="4861" spans="1:29">
      <c r="A4861" s="327" t="str">
        <f>IF(AND($B4861&lt;&gt;"",$C4861&lt;&gt;""),MAX($A$4730:$A4860)+1,"")</f>
        <v/>
      </c>
      <c r="B4861" s="361" t="s">
        <v>418</v>
      </c>
      <c r="C4861" s="362"/>
      <c r="D4861" s="327">
        <f>IF($B4861="","",COUNTIF($B$4731:$B4861,$B4861))</f>
        <v>10</v>
      </c>
      <c r="E4861" s="361" t="s">
        <v>1828</v>
      </c>
      <c r="F4861" s="362" t="s">
        <v>671</v>
      </c>
      <c r="G4861" s="327" t="s">
        <v>661</v>
      </c>
      <c r="H4861" s="361" t="s">
        <v>536</v>
      </c>
      <c r="I4861" s="361" t="s">
        <v>2355</v>
      </c>
      <c r="J4861" s="361"/>
      <c r="K4861" s="327" t="s">
        <v>100</v>
      </c>
      <c r="L4861" s="478">
        <f>40000/1000</f>
        <v>40</v>
      </c>
      <c r="M4861" s="355"/>
      <c r="N4861" s="355" t="s">
        <v>2409</v>
      </c>
      <c r="O4861" s="345"/>
      <c r="P4861" s="325"/>
      <c r="Q4861" s="327"/>
      <c r="R4861" s="351"/>
      <c r="S4861" s="351"/>
      <c r="T4861" s="351"/>
      <c r="U4861" s="329" t="str">
        <f>IF($N4861=$N$4,IFERROR(INDEX(DanhMuc!$E$154:$E$165,MATCH(MID($B4861,4,2),DanhMuc!$B$154:$B$165,0)),""),"")</f>
        <v/>
      </c>
      <c r="V4861" s="361"/>
      <c r="W4861" s="345"/>
      <c r="X4861" s="786"/>
      <c r="Y4861" s="1128" t="s">
        <v>3380</v>
      </c>
      <c r="Z4861" s="1128" t="s">
        <v>3381</v>
      </c>
      <c r="AA4861" s="1128" t="s">
        <v>3384</v>
      </c>
      <c r="AB4861" s="20"/>
      <c r="AC4861" s="73"/>
    </row>
    <row r="4862" spans="1:29">
      <c r="A4862" s="327" t="str">
        <f>IF(AND($B4862&lt;&gt;"",$C4862&lt;&gt;""),MAX($A$4730:$A4861)+1,"")</f>
        <v/>
      </c>
      <c r="B4862" s="361" t="s">
        <v>418</v>
      </c>
      <c r="C4862" s="362"/>
      <c r="D4862" s="327">
        <f>IF($B4862="","",COUNTIF($B$4731:$B4862,$B4862))</f>
        <v>11</v>
      </c>
      <c r="E4862" s="361" t="s">
        <v>154</v>
      </c>
      <c r="F4862" s="362" t="s">
        <v>660</v>
      </c>
      <c r="G4862" s="327" t="s">
        <v>661</v>
      </c>
      <c r="H4862" s="361" t="s">
        <v>536</v>
      </c>
      <c r="I4862" s="361" t="s">
        <v>667</v>
      </c>
      <c r="J4862" s="361"/>
      <c r="K4862" s="327" t="s">
        <v>662</v>
      </c>
      <c r="L4862" s="478">
        <v>20</v>
      </c>
      <c r="M4862" s="355"/>
      <c r="N4862" s="355" t="s">
        <v>2409</v>
      </c>
      <c r="O4862" s="345"/>
      <c r="P4862" s="325"/>
      <c r="Q4862" s="327"/>
      <c r="R4862" s="351"/>
      <c r="S4862" s="351"/>
      <c r="T4862" s="351"/>
      <c r="U4862" s="329" t="str">
        <f>IF($N4862=$N$4,IFERROR(INDEX(DanhMuc!$E$154:$E$165,MATCH(MID($B4862,4,2),DanhMuc!$B$154:$B$165,0)),""),"")</f>
        <v/>
      </c>
      <c r="V4862" s="361"/>
      <c r="W4862" s="345"/>
      <c r="X4862" s="786"/>
      <c r="Y4862" s="1128" t="s">
        <v>3380</v>
      </c>
      <c r="Z4862" s="1128" t="s">
        <v>3381</v>
      </c>
      <c r="AA4862" s="1128" t="s">
        <v>3384</v>
      </c>
      <c r="AB4862" s="20"/>
      <c r="AC4862" s="73"/>
    </row>
    <row r="4863" spans="1:29">
      <c r="A4863" s="327" t="str">
        <f>IF(AND($B4863&lt;&gt;"",$C4863&lt;&gt;""),MAX($A$4730:$A4862)+1,"")</f>
        <v/>
      </c>
      <c r="B4863" s="361" t="s">
        <v>418</v>
      </c>
      <c r="C4863" s="362"/>
      <c r="D4863" s="327">
        <f>IF($B4863="","",COUNTIF($B$4731:$B4863,$B4863))</f>
        <v>12</v>
      </c>
      <c r="E4863" s="362" t="s">
        <v>2282</v>
      </c>
      <c r="F4863" s="362" t="s">
        <v>2283</v>
      </c>
      <c r="G4863" s="327" t="s">
        <v>424</v>
      </c>
      <c r="H4863" s="361" t="s">
        <v>536</v>
      </c>
      <c r="I4863" s="361" t="s">
        <v>2238</v>
      </c>
      <c r="J4863" s="361"/>
      <c r="K4863" s="327" t="s">
        <v>662</v>
      </c>
      <c r="L4863" s="478">
        <v>28000</v>
      </c>
      <c r="M4863" s="355"/>
      <c r="N4863" s="355" t="s">
        <v>2409</v>
      </c>
      <c r="O4863" s="345"/>
      <c r="P4863" s="325"/>
      <c r="Q4863" s="327"/>
      <c r="R4863" s="351"/>
      <c r="S4863" s="351"/>
      <c r="T4863" s="351"/>
      <c r="U4863" s="329" t="str">
        <f>IF($N4863=$N$4,IFERROR(INDEX(DanhMuc!$E$154:$E$165,MATCH(MID($B4863,4,2),DanhMuc!$B$154:$B$165,0)),""),"")</f>
        <v/>
      </c>
      <c r="V4863" s="361"/>
      <c r="W4863" s="345"/>
      <c r="X4863" s="786"/>
      <c r="Y4863" s="1128" t="s">
        <v>3380</v>
      </c>
      <c r="Z4863" s="1128" t="s">
        <v>3381</v>
      </c>
      <c r="AA4863" s="1128" t="s">
        <v>3384</v>
      </c>
      <c r="AB4863" s="20"/>
      <c r="AC4863" s="73"/>
    </row>
    <row r="4864" spans="1:29">
      <c r="A4864" s="327" t="str">
        <f>IF(AND($B4864&lt;&gt;"",$C4864&lt;&gt;""),MAX($A$4730:$A4863)+1,"")</f>
        <v/>
      </c>
      <c r="B4864" s="361" t="s">
        <v>418</v>
      </c>
      <c r="C4864" s="362"/>
      <c r="D4864" s="327">
        <f>IF($B4864="","",COUNTIF($B$4731:$B4864,$B4864))</f>
        <v>13</v>
      </c>
      <c r="E4864" s="362" t="s">
        <v>663</v>
      </c>
      <c r="F4864" s="362" t="s">
        <v>664</v>
      </c>
      <c r="G4864" s="327" t="s">
        <v>155</v>
      </c>
      <c r="H4864" s="361" t="s">
        <v>536</v>
      </c>
      <c r="I4864" s="361" t="s">
        <v>672</v>
      </c>
      <c r="J4864" s="361"/>
      <c r="K4864" s="327" t="s">
        <v>662</v>
      </c>
      <c r="L4864" s="478">
        <v>1000</v>
      </c>
      <c r="M4864" s="355"/>
      <c r="N4864" s="355" t="s">
        <v>2409</v>
      </c>
      <c r="O4864" s="345"/>
      <c r="P4864" s="325"/>
      <c r="Q4864" s="327"/>
      <c r="R4864" s="351"/>
      <c r="S4864" s="351"/>
      <c r="T4864" s="351"/>
      <c r="U4864" s="329" t="str">
        <f>IF($N4864=$N$4,IFERROR(INDEX(DanhMuc!$E$154:$E$165,MATCH(MID($B4864,4,2),DanhMuc!$B$154:$B$165,0)),""),"")</f>
        <v/>
      </c>
      <c r="V4864" s="361"/>
      <c r="W4864" s="345"/>
      <c r="X4864" s="786"/>
      <c r="Y4864" s="1128" t="s">
        <v>3380</v>
      </c>
      <c r="Z4864" s="1128" t="s">
        <v>3381</v>
      </c>
      <c r="AA4864" s="1128" t="s">
        <v>3384</v>
      </c>
      <c r="AB4864" s="20"/>
      <c r="AC4864" s="73"/>
    </row>
    <row r="4865" spans="1:29" ht="26">
      <c r="A4865" s="327">
        <f>IF(AND($B4865&lt;&gt;"",$C4865&lt;&gt;""),MAX($A$4730:$A4851)+1,"")</f>
        <v>5</v>
      </c>
      <c r="B4865" s="359" t="s">
        <v>587</v>
      </c>
      <c r="C4865" s="360" t="s">
        <v>1531</v>
      </c>
      <c r="D4865" s="327">
        <f>IF($B4865="","",COUNTIF($B$4731:$B4865,$B4865))</f>
        <v>1</v>
      </c>
      <c r="E4865" s="361" t="s">
        <v>1826</v>
      </c>
      <c r="F4865" s="362" t="s">
        <v>670</v>
      </c>
      <c r="G4865" s="327" t="s">
        <v>661</v>
      </c>
      <c r="H4865" s="361" t="s">
        <v>536</v>
      </c>
      <c r="I4865" s="361" t="s">
        <v>2354</v>
      </c>
      <c r="J4865" s="361"/>
      <c r="K4865" s="327" t="s">
        <v>103</v>
      </c>
      <c r="L4865" s="478">
        <f>40000/1000</f>
        <v>40</v>
      </c>
      <c r="M4865" s="355"/>
      <c r="N4865" s="355" t="s">
        <v>2408</v>
      </c>
      <c r="O4865" s="345"/>
      <c r="P4865" s="325"/>
      <c r="Q4865" s="327"/>
      <c r="R4865" s="351"/>
      <c r="S4865" s="351"/>
      <c r="T4865" s="351"/>
      <c r="U4865" s="329" t="str">
        <f>IF($N4865=$N$4,IFERROR(INDEX(DanhMuc!$E$154:$E$165,MATCH(MID($B4865,4,2),DanhMuc!$B$154:$B$165,0)),""),"")</f>
        <v/>
      </c>
      <c r="V4865" s="361"/>
      <c r="W4865" s="345"/>
      <c r="X4865" s="786"/>
      <c r="Y4865" s="1128" t="s">
        <v>3380</v>
      </c>
      <c r="Z4865" s="1128" t="s">
        <v>3381</v>
      </c>
      <c r="AA4865" s="1128" t="s">
        <v>3384</v>
      </c>
      <c r="AB4865" s="20"/>
      <c r="AC4865" s="73"/>
    </row>
    <row r="4866" spans="1:29" ht="37.5">
      <c r="A4866" s="327" t="str">
        <f>IF(AND($B4866&lt;&gt;"",$C4866&lt;&gt;""),MAX($A$4730:$A4865)+1,"")</f>
        <v/>
      </c>
      <c r="B4866" s="361" t="s">
        <v>587</v>
      </c>
      <c r="C4866" s="362"/>
      <c r="D4866" s="327">
        <f>IF($B4866="","",COUNTIF($B$4731:$B4866,$B4866))</f>
        <v>2</v>
      </c>
      <c r="E4866" s="362" t="s">
        <v>2756</v>
      </c>
      <c r="F4866" s="362" t="s">
        <v>2757</v>
      </c>
      <c r="G4866" s="327" t="s">
        <v>405</v>
      </c>
      <c r="H4866" s="361" t="s">
        <v>536</v>
      </c>
      <c r="I4866" s="327">
        <v>50</v>
      </c>
      <c r="J4866" s="361"/>
      <c r="K4866" s="327" t="s">
        <v>738</v>
      </c>
      <c r="L4866" s="479">
        <v>322</v>
      </c>
      <c r="M4866" s="371"/>
      <c r="N4866" s="355" t="s">
        <v>2408</v>
      </c>
      <c r="O4866" s="345"/>
      <c r="P4866" s="325"/>
      <c r="Q4866" s="327"/>
      <c r="R4866" s="351"/>
      <c r="S4866" s="351"/>
      <c r="T4866" s="351"/>
      <c r="U4866" s="329" t="str">
        <f>IF($N4866=$N$4,IFERROR(INDEX(DanhMuc!$E$154:$E$165,MATCH(MID($B4866,4,2),DanhMuc!$B$154:$B$165,0)),""),"")</f>
        <v/>
      </c>
      <c r="V4866" s="361"/>
      <c r="W4866" s="345"/>
      <c r="X4866" s="786"/>
      <c r="Y4866" s="1128" t="s">
        <v>3380</v>
      </c>
      <c r="Z4866" s="1128" t="s">
        <v>3381</v>
      </c>
      <c r="AA4866" s="1128" t="s">
        <v>3384</v>
      </c>
      <c r="AB4866" s="20"/>
      <c r="AC4866" s="73"/>
    </row>
    <row r="4867" spans="1:29">
      <c r="A4867" s="327" t="str">
        <f>IF(AND($B4867&lt;&gt;"",$C4867&lt;&gt;""),MAX($A$4730:$A4866)+1,"")</f>
        <v/>
      </c>
      <c r="B4867" s="361" t="s">
        <v>587</v>
      </c>
      <c r="C4867" s="362"/>
      <c r="D4867" s="327">
        <f>IF($B4867="","",COUNTIF($B$4731:$B4867,$B4867))</f>
        <v>3</v>
      </c>
      <c r="E4867" s="361" t="s">
        <v>656</v>
      </c>
      <c r="F4867" s="362" t="s">
        <v>2239</v>
      </c>
      <c r="G4867" s="327" t="s">
        <v>405</v>
      </c>
      <c r="H4867" s="361" t="s">
        <v>536</v>
      </c>
      <c r="I4867" s="361" t="s">
        <v>1827</v>
      </c>
      <c r="J4867" s="361"/>
      <c r="K4867" s="327" t="s">
        <v>100</v>
      </c>
      <c r="L4867" s="478">
        <v>970</v>
      </c>
      <c r="M4867" s="371"/>
      <c r="N4867" s="355" t="s">
        <v>2409</v>
      </c>
      <c r="O4867" s="345"/>
      <c r="P4867" s="325"/>
      <c r="Q4867" s="327"/>
      <c r="R4867" s="351"/>
      <c r="S4867" s="351"/>
      <c r="T4867" s="351"/>
      <c r="U4867" s="329" t="str">
        <f>IF($N4867=$N$4,IFERROR(INDEX(DanhMuc!$E$154:$E$165,MATCH(MID($B4867,4,2),DanhMuc!$B$154:$B$165,0)),""),"")</f>
        <v/>
      </c>
      <c r="V4867" s="361"/>
      <c r="W4867" s="345"/>
      <c r="X4867" s="786"/>
      <c r="Y4867" s="1128" t="s">
        <v>3380</v>
      </c>
      <c r="Z4867" s="1128" t="s">
        <v>3381</v>
      </c>
      <c r="AA4867" s="1128" t="s">
        <v>3384</v>
      </c>
      <c r="AB4867" s="20"/>
      <c r="AC4867" s="73"/>
    </row>
    <row r="4868" spans="1:29">
      <c r="A4868" s="327" t="str">
        <f>IF(AND($B4868&lt;&gt;"",$C4868&lt;&gt;""),MAX($A$4730:$A4867)+1,"")</f>
        <v/>
      </c>
      <c r="B4868" s="361" t="s">
        <v>587</v>
      </c>
      <c r="C4868" s="362"/>
      <c r="D4868" s="327">
        <f>IF($B4868="","",COUNTIF($B$4731:$B4868,$B4868))</f>
        <v>4</v>
      </c>
      <c r="E4868" s="361" t="s">
        <v>657</v>
      </c>
      <c r="F4868" s="362" t="s">
        <v>658</v>
      </c>
      <c r="G4868" s="327" t="s">
        <v>424</v>
      </c>
      <c r="H4868" s="361" t="s">
        <v>536</v>
      </c>
      <c r="I4868" s="361" t="s">
        <v>665</v>
      </c>
      <c r="J4868" s="361"/>
      <c r="K4868" s="327" t="s">
        <v>100</v>
      </c>
      <c r="L4868" s="478">
        <v>60000</v>
      </c>
      <c r="M4868" s="355"/>
      <c r="N4868" s="355" t="s">
        <v>2409</v>
      </c>
      <c r="O4868" s="345"/>
      <c r="P4868" s="325"/>
      <c r="Q4868" s="327"/>
      <c r="R4868" s="351"/>
      <c r="S4868" s="351"/>
      <c r="T4868" s="351"/>
      <c r="U4868" s="329" t="str">
        <f>IF($N4868=$N$4,IFERROR(INDEX(DanhMuc!$E$154:$E$165,MATCH(MID($B4868,4,2),DanhMuc!$B$154:$B$165,0)),""),"")</f>
        <v/>
      </c>
      <c r="V4868" s="361"/>
      <c r="W4868" s="345"/>
      <c r="X4868" s="786"/>
      <c r="Y4868" s="1128" t="s">
        <v>3380</v>
      </c>
      <c r="Z4868" s="1128" t="s">
        <v>3381</v>
      </c>
      <c r="AA4868" s="1128" t="s">
        <v>3384</v>
      </c>
      <c r="AB4868" s="20"/>
      <c r="AC4868" s="73"/>
    </row>
    <row r="4869" spans="1:29">
      <c r="A4869" s="327" t="str">
        <f>IF(AND($B4869&lt;&gt;"",$C4869&lt;&gt;""),MAX($A$4730:$A4868)+1,"")</f>
        <v/>
      </c>
      <c r="B4869" s="361" t="s">
        <v>587</v>
      </c>
      <c r="C4869" s="362"/>
      <c r="D4869" s="327">
        <f>IF($B4869="","",COUNTIF($B$4731:$B4869,$B4869))</f>
        <v>5</v>
      </c>
      <c r="E4869" s="361" t="s">
        <v>2771</v>
      </c>
      <c r="F4869" s="362" t="s">
        <v>659</v>
      </c>
      <c r="G4869" s="327" t="s">
        <v>424</v>
      </c>
      <c r="H4869" s="361" t="s">
        <v>536</v>
      </c>
      <c r="I4869" s="361" t="s">
        <v>666</v>
      </c>
      <c r="J4869" s="361"/>
      <c r="K4869" s="327" t="s">
        <v>100</v>
      </c>
      <c r="L4869" s="389">
        <v>53000</v>
      </c>
      <c r="M4869" s="355"/>
      <c r="N4869" s="355" t="s">
        <v>2409</v>
      </c>
      <c r="O4869" s="345"/>
      <c r="P4869" s="325"/>
      <c r="Q4869" s="327"/>
      <c r="R4869" s="351"/>
      <c r="S4869" s="351"/>
      <c r="T4869" s="351"/>
      <c r="U4869" s="329" t="str">
        <f>IF($N4869=$N$4,IFERROR(INDEX(DanhMuc!$E$154:$E$165,MATCH(MID($B4869,4,2),DanhMuc!$B$154:$B$165,0)),""),"")</f>
        <v/>
      </c>
      <c r="V4869" s="361"/>
      <c r="W4869" s="345"/>
      <c r="X4869" s="786"/>
      <c r="Y4869" s="1128" t="s">
        <v>3380</v>
      </c>
      <c r="Z4869" s="1128" t="s">
        <v>3381</v>
      </c>
      <c r="AA4869" s="1128" t="s">
        <v>3384</v>
      </c>
      <c r="AB4869" s="20"/>
      <c r="AC4869" s="73"/>
    </row>
    <row r="4870" spans="1:29">
      <c r="A4870" s="327" t="str">
        <f>IF(AND($B4870&lt;&gt;"",$C4870&lt;&gt;""),MAX($A$4730:$A4869)+1,"")</f>
        <v/>
      </c>
      <c r="B4870" s="361" t="s">
        <v>587</v>
      </c>
      <c r="C4870" s="362"/>
      <c r="D4870" s="327">
        <f>IF($B4870="","",COUNTIF($B$4731:$B4870,$B4870))</f>
        <v>6</v>
      </c>
      <c r="E4870" s="361" t="s">
        <v>1828</v>
      </c>
      <c r="F4870" s="362" t="s">
        <v>671</v>
      </c>
      <c r="G4870" s="327" t="s">
        <v>661</v>
      </c>
      <c r="H4870" s="361" t="s">
        <v>536</v>
      </c>
      <c r="I4870" s="361" t="s">
        <v>2355</v>
      </c>
      <c r="J4870" s="361"/>
      <c r="K4870" s="327" t="s">
        <v>100</v>
      </c>
      <c r="L4870" s="478">
        <f>40000/1000</f>
        <v>40</v>
      </c>
      <c r="M4870" s="355"/>
      <c r="N4870" s="355" t="s">
        <v>2409</v>
      </c>
      <c r="O4870" s="345"/>
      <c r="P4870" s="325"/>
      <c r="Q4870" s="327"/>
      <c r="R4870" s="351"/>
      <c r="S4870" s="351"/>
      <c r="T4870" s="351"/>
      <c r="U4870" s="329" t="str">
        <f>IF($N4870=$N$4,IFERROR(INDEX(DanhMuc!$E$154:$E$165,MATCH(MID($B4870,4,2),DanhMuc!$B$154:$B$165,0)),""),"")</f>
        <v/>
      </c>
      <c r="V4870" s="361"/>
      <c r="W4870" s="345"/>
      <c r="X4870" s="786"/>
      <c r="Y4870" s="1128" t="s">
        <v>3380</v>
      </c>
      <c r="Z4870" s="1128" t="s">
        <v>3381</v>
      </c>
      <c r="AA4870" s="1128" t="s">
        <v>3384</v>
      </c>
      <c r="AB4870" s="20"/>
      <c r="AC4870" s="73"/>
    </row>
    <row r="4871" spans="1:29">
      <c r="A4871" s="327" t="str">
        <f>IF(AND($B4871&lt;&gt;"",$C4871&lt;&gt;""),MAX($A$4730:$A4870)+1,"")</f>
        <v/>
      </c>
      <c r="B4871" s="361" t="s">
        <v>587</v>
      </c>
      <c r="C4871" s="362"/>
      <c r="D4871" s="327">
        <f>IF($B4871="","",COUNTIF($B$4731:$B4871,$B4871))</f>
        <v>7</v>
      </c>
      <c r="E4871" s="361" t="s">
        <v>154</v>
      </c>
      <c r="F4871" s="362" t="s">
        <v>660</v>
      </c>
      <c r="G4871" s="327" t="s">
        <v>661</v>
      </c>
      <c r="H4871" s="361" t="s">
        <v>536</v>
      </c>
      <c r="I4871" s="361" t="s">
        <v>667</v>
      </c>
      <c r="J4871" s="361"/>
      <c r="K4871" s="327" t="s">
        <v>662</v>
      </c>
      <c r="L4871" s="478">
        <v>20</v>
      </c>
      <c r="M4871" s="355"/>
      <c r="N4871" s="355" t="s">
        <v>2409</v>
      </c>
      <c r="O4871" s="345"/>
      <c r="P4871" s="325"/>
      <c r="Q4871" s="327"/>
      <c r="R4871" s="351"/>
      <c r="S4871" s="351"/>
      <c r="T4871" s="351"/>
      <c r="U4871" s="329" t="str">
        <f>IF($N4871=$N$4,IFERROR(INDEX(DanhMuc!$E$154:$E$165,MATCH(MID($B4871,4,2),DanhMuc!$B$154:$B$165,0)),""),"")</f>
        <v/>
      </c>
      <c r="V4871" s="361"/>
      <c r="W4871" s="345"/>
      <c r="X4871" s="786"/>
      <c r="Y4871" s="1128" t="s">
        <v>3380</v>
      </c>
      <c r="Z4871" s="1128" t="s">
        <v>3381</v>
      </c>
      <c r="AA4871" s="1128" t="s">
        <v>3384</v>
      </c>
      <c r="AB4871" s="20"/>
      <c r="AC4871" s="73"/>
    </row>
    <row r="4872" spans="1:29">
      <c r="A4872" s="327" t="str">
        <f>IF(AND($B4872&lt;&gt;"",$C4872&lt;&gt;""),MAX($A$4730:$A4871)+1,"")</f>
        <v/>
      </c>
      <c r="B4872" s="361" t="s">
        <v>587</v>
      </c>
      <c r="C4872" s="362"/>
      <c r="D4872" s="327">
        <f>IF($B4872="","",COUNTIF($B$4731:$B4872,$B4872))</f>
        <v>8</v>
      </c>
      <c r="E4872" s="362" t="s">
        <v>2282</v>
      </c>
      <c r="F4872" s="362" t="s">
        <v>2283</v>
      </c>
      <c r="G4872" s="327" t="s">
        <v>424</v>
      </c>
      <c r="H4872" s="361" t="s">
        <v>536</v>
      </c>
      <c r="I4872" s="361" t="s">
        <v>2238</v>
      </c>
      <c r="J4872" s="361"/>
      <c r="K4872" s="327" t="s">
        <v>662</v>
      </c>
      <c r="L4872" s="478">
        <v>28000</v>
      </c>
      <c r="M4872" s="355"/>
      <c r="N4872" s="355" t="s">
        <v>2409</v>
      </c>
      <c r="O4872" s="345"/>
      <c r="P4872" s="325"/>
      <c r="Q4872" s="327"/>
      <c r="R4872" s="351"/>
      <c r="S4872" s="351"/>
      <c r="T4872" s="351"/>
      <c r="U4872" s="329" t="str">
        <f>IF($N4872=$N$4,IFERROR(INDEX(DanhMuc!$E$154:$E$165,MATCH(MID($B4872,4,2),DanhMuc!$B$154:$B$165,0)),""),"")</f>
        <v/>
      </c>
      <c r="V4872" s="361"/>
      <c r="W4872" s="345"/>
      <c r="X4872" s="786"/>
      <c r="Y4872" s="1128" t="s">
        <v>3380</v>
      </c>
      <c r="Z4872" s="1128" t="s">
        <v>3381</v>
      </c>
      <c r="AA4872" s="1128" t="s">
        <v>3384</v>
      </c>
      <c r="AB4872" s="20"/>
      <c r="AC4872" s="73"/>
    </row>
    <row r="4873" spans="1:29">
      <c r="A4873" s="327" t="str">
        <f>IF(AND($B4873&lt;&gt;"",$C4873&lt;&gt;""),MAX($A$4730:$A4872)+1,"")</f>
        <v/>
      </c>
      <c r="B4873" s="361" t="s">
        <v>587</v>
      </c>
      <c r="C4873" s="362"/>
      <c r="D4873" s="327">
        <f>IF($B4873="","",COUNTIF($B$4731:$B4873,$B4873))</f>
        <v>9</v>
      </c>
      <c r="E4873" s="362" t="s">
        <v>663</v>
      </c>
      <c r="F4873" s="362" t="s">
        <v>664</v>
      </c>
      <c r="G4873" s="327" t="s">
        <v>155</v>
      </c>
      <c r="H4873" s="361" t="s">
        <v>536</v>
      </c>
      <c r="I4873" s="361" t="s">
        <v>672</v>
      </c>
      <c r="J4873" s="361"/>
      <c r="K4873" s="327" t="s">
        <v>662</v>
      </c>
      <c r="L4873" s="478">
        <v>1000</v>
      </c>
      <c r="M4873" s="355"/>
      <c r="N4873" s="355" t="s">
        <v>2409</v>
      </c>
      <c r="O4873" s="345"/>
      <c r="P4873" s="325"/>
      <c r="Q4873" s="327"/>
      <c r="R4873" s="351"/>
      <c r="S4873" s="351"/>
      <c r="T4873" s="351"/>
      <c r="U4873" s="329" t="str">
        <f>IF($N4873=$N$4,IFERROR(INDEX(DanhMuc!$E$154:$E$165,MATCH(MID($B4873,4,2),DanhMuc!$B$154:$B$165,0)),""),"")</f>
        <v/>
      </c>
      <c r="V4873" s="361"/>
      <c r="W4873" s="345"/>
      <c r="X4873" s="786"/>
      <c r="Y4873" s="1128" t="s">
        <v>3380</v>
      </c>
      <c r="Z4873" s="1128" t="s">
        <v>3381</v>
      </c>
      <c r="AA4873" s="1128" t="s">
        <v>3384</v>
      </c>
      <c r="AB4873" s="20"/>
      <c r="AC4873" s="73"/>
    </row>
    <row r="4874" spans="1:29" ht="39">
      <c r="A4874" s="327">
        <f>IF(AND($B4874&lt;&gt;"",$C4874&lt;&gt;""),MAX($A$4730:$A4873)+1,"")</f>
        <v>6</v>
      </c>
      <c r="B4874" s="359" t="s">
        <v>593</v>
      </c>
      <c r="C4874" s="360" t="s">
        <v>1532</v>
      </c>
      <c r="D4874" s="327">
        <f>IF($B4874="","",COUNTIF($B$4731:$B4874,$B4874))</f>
        <v>1</v>
      </c>
      <c r="E4874" s="361" t="s">
        <v>1826</v>
      </c>
      <c r="F4874" s="362" t="s">
        <v>670</v>
      </c>
      <c r="G4874" s="327" t="s">
        <v>661</v>
      </c>
      <c r="H4874" s="361" t="s">
        <v>536</v>
      </c>
      <c r="I4874" s="361" t="s">
        <v>2354</v>
      </c>
      <c r="J4874" s="361"/>
      <c r="K4874" s="327" t="s">
        <v>103</v>
      </c>
      <c r="L4874" s="478">
        <f>40000/1000</f>
        <v>40</v>
      </c>
      <c r="M4874" s="355"/>
      <c r="N4874" s="355" t="s">
        <v>2408</v>
      </c>
      <c r="O4874" s="345"/>
      <c r="P4874" s="325"/>
      <c r="Q4874" s="327"/>
      <c r="R4874" s="351"/>
      <c r="S4874" s="351"/>
      <c r="T4874" s="351"/>
      <c r="U4874" s="329" t="str">
        <f>IF($N4874=$N$4,IFERROR(INDEX(DanhMuc!$E$154:$E$165,MATCH(MID($B4874,4,2),DanhMuc!$B$154:$B$165,0)),""),"")</f>
        <v/>
      </c>
      <c r="V4874" s="361"/>
      <c r="W4874" s="345"/>
      <c r="X4874" s="786"/>
      <c r="Y4874" s="1128" t="s">
        <v>3380</v>
      </c>
      <c r="Z4874" s="1128" t="s">
        <v>3381</v>
      </c>
      <c r="AA4874" s="1128" t="s">
        <v>3384</v>
      </c>
      <c r="AB4874" s="20"/>
      <c r="AC4874" s="73"/>
    </row>
    <row r="4875" spans="1:29" ht="37.5">
      <c r="A4875" s="327" t="str">
        <f>IF(AND($B4875&lt;&gt;"",$C4875&lt;&gt;""),MAX($A$4730:$A4874)+1,"")</f>
        <v/>
      </c>
      <c r="B4875" s="361" t="s">
        <v>593</v>
      </c>
      <c r="C4875" s="362"/>
      <c r="D4875" s="327">
        <f>IF($B4875="","",COUNTIF($B$4731:$B4875,$B4875))</f>
        <v>2</v>
      </c>
      <c r="E4875" s="362" t="s">
        <v>2756</v>
      </c>
      <c r="F4875" s="362" t="s">
        <v>2757</v>
      </c>
      <c r="G4875" s="327" t="s">
        <v>405</v>
      </c>
      <c r="H4875" s="361" t="s">
        <v>536</v>
      </c>
      <c r="I4875" s="327">
        <v>29</v>
      </c>
      <c r="J4875" s="361"/>
      <c r="K4875" s="327" t="s">
        <v>738</v>
      </c>
      <c r="L4875" s="479">
        <v>322</v>
      </c>
      <c r="M4875" s="371"/>
      <c r="N4875" s="355" t="s">
        <v>2408</v>
      </c>
      <c r="O4875" s="345"/>
      <c r="P4875" s="325"/>
      <c r="Q4875" s="327"/>
      <c r="R4875" s="351"/>
      <c r="S4875" s="351"/>
      <c r="T4875" s="351"/>
      <c r="U4875" s="329" t="str">
        <f>IF($N4875=$N$4,IFERROR(INDEX(DanhMuc!$E$154:$E$165,MATCH(MID($B4875,4,2),DanhMuc!$B$154:$B$165,0)),""),"")</f>
        <v/>
      </c>
      <c r="V4875" s="361"/>
      <c r="W4875" s="345"/>
      <c r="X4875" s="786"/>
      <c r="Y4875" s="1128" t="s">
        <v>3380</v>
      </c>
      <c r="Z4875" s="1128" t="s">
        <v>3381</v>
      </c>
      <c r="AA4875" s="1128" t="s">
        <v>3384</v>
      </c>
      <c r="AB4875" s="20"/>
      <c r="AC4875" s="73"/>
    </row>
    <row r="4876" spans="1:29">
      <c r="A4876" s="327" t="str">
        <f>IF(AND($B4876&lt;&gt;"",$C4876&lt;&gt;""),MAX($A$4730:$A4875)+1,"")</f>
        <v/>
      </c>
      <c r="B4876" s="361" t="s">
        <v>593</v>
      </c>
      <c r="C4876" s="362"/>
      <c r="D4876" s="327">
        <f>IF($B4876="","",COUNTIF($B$4731:$B4876,$B4876))</f>
        <v>3</v>
      </c>
      <c r="E4876" s="361" t="s">
        <v>656</v>
      </c>
      <c r="F4876" s="362" t="s">
        <v>2239</v>
      </c>
      <c r="G4876" s="327" t="s">
        <v>405</v>
      </c>
      <c r="H4876" s="361" t="s">
        <v>536</v>
      </c>
      <c r="I4876" s="361" t="s">
        <v>1827</v>
      </c>
      <c r="J4876" s="361"/>
      <c r="K4876" s="327" t="s">
        <v>100</v>
      </c>
      <c r="L4876" s="478">
        <v>970</v>
      </c>
      <c r="M4876" s="371"/>
      <c r="N4876" s="355" t="s">
        <v>2409</v>
      </c>
      <c r="O4876" s="345"/>
      <c r="P4876" s="325"/>
      <c r="Q4876" s="327"/>
      <c r="R4876" s="351"/>
      <c r="S4876" s="351"/>
      <c r="T4876" s="351"/>
      <c r="U4876" s="329" t="str">
        <f>IF($N4876=$N$4,IFERROR(INDEX(DanhMuc!$E$154:$E$165,MATCH(MID($B4876,4,2),DanhMuc!$B$154:$B$165,0)),""),"")</f>
        <v/>
      </c>
      <c r="V4876" s="361"/>
      <c r="W4876" s="345"/>
      <c r="X4876" s="786"/>
      <c r="Y4876" s="1128" t="s">
        <v>3380</v>
      </c>
      <c r="Z4876" s="1128" t="s">
        <v>3381</v>
      </c>
      <c r="AA4876" s="1128" t="s">
        <v>3384</v>
      </c>
      <c r="AB4876" s="20"/>
      <c r="AC4876" s="73"/>
    </row>
    <row r="4877" spans="1:29">
      <c r="A4877" s="327" t="str">
        <f>IF(AND($B4877&lt;&gt;"",$C4877&lt;&gt;""),MAX($A$4730:$A4876)+1,"")</f>
        <v/>
      </c>
      <c r="B4877" s="361" t="s">
        <v>593</v>
      </c>
      <c r="C4877" s="362"/>
      <c r="D4877" s="327">
        <f>IF($B4877="","",COUNTIF($B$4731:$B4877,$B4877))</f>
        <v>4</v>
      </c>
      <c r="E4877" s="361" t="s">
        <v>657</v>
      </c>
      <c r="F4877" s="362" t="s">
        <v>658</v>
      </c>
      <c r="G4877" s="327" t="s">
        <v>424</v>
      </c>
      <c r="H4877" s="361" t="s">
        <v>536</v>
      </c>
      <c r="I4877" s="361" t="s">
        <v>665</v>
      </c>
      <c r="J4877" s="361"/>
      <c r="K4877" s="327" t="s">
        <v>100</v>
      </c>
      <c r="L4877" s="478">
        <v>60000</v>
      </c>
      <c r="M4877" s="355"/>
      <c r="N4877" s="355" t="s">
        <v>2409</v>
      </c>
      <c r="O4877" s="345"/>
      <c r="P4877" s="325"/>
      <c r="Q4877" s="327"/>
      <c r="R4877" s="351"/>
      <c r="S4877" s="351"/>
      <c r="T4877" s="351"/>
      <c r="U4877" s="329" t="str">
        <f>IF($N4877=$N$4,IFERROR(INDEX(DanhMuc!$E$154:$E$165,MATCH(MID($B4877,4,2),DanhMuc!$B$154:$B$165,0)),""),"")</f>
        <v/>
      </c>
      <c r="V4877" s="361"/>
      <c r="W4877" s="345"/>
      <c r="X4877" s="786"/>
      <c r="Y4877" s="1128" t="s">
        <v>3380</v>
      </c>
      <c r="Z4877" s="1128" t="s">
        <v>3381</v>
      </c>
      <c r="AA4877" s="1128" t="s">
        <v>3384</v>
      </c>
      <c r="AB4877" s="20"/>
      <c r="AC4877" s="73"/>
    </row>
    <row r="4878" spans="1:29">
      <c r="A4878" s="327" t="str">
        <f>IF(AND($B4878&lt;&gt;"",$C4878&lt;&gt;""),MAX($A$4730:$A4877)+1,"")</f>
        <v/>
      </c>
      <c r="B4878" s="361" t="s">
        <v>593</v>
      </c>
      <c r="C4878" s="362"/>
      <c r="D4878" s="327">
        <f>IF($B4878="","",COUNTIF($B$4731:$B4878,$B4878))</f>
        <v>5</v>
      </c>
      <c r="E4878" s="361" t="s">
        <v>2771</v>
      </c>
      <c r="F4878" s="362" t="s">
        <v>659</v>
      </c>
      <c r="G4878" s="327" t="s">
        <v>424</v>
      </c>
      <c r="H4878" s="361" t="s">
        <v>536</v>
      </c>
      <c r="I4878" s="361" t="s">
        <v>666</v>
      </c>
      <c r="J4878" s="361"/>
      <c r="K4878" s="327" t="s">
        <v>100</v>
      </c>
      <c r="L4878" s="389">
        <v>53000</v>
      </c>
      <c r="M4878" s="355"/>
      <c r="N4878" s="355" t="s">
        <v>2409</v>
      </c>
      <c r="O4878" s="345"/>
      <c r="P4878" s="325"/>
      <c r="Q4878" s="327"/>
      <c r="R4878" s="351"/>
      <c r="S4878" s="351"/>
      <c r="T4878" s="351"/>
      <c r="U4878" s="329" t="str">
        <f>IF($N4878=$N$4,IFERROR(INDEX(DanhMuc!$E$154:$E$165,MATCH(MID($B4878,4,2),DanhMuc!$B$154:$B$165,0)),""),"")</f>
        <v/>
      </c>
      <c r="V4878" s="361"/>
      <c r="W4878" s="345"/>
      <c r="X4878" s="786"/>
      <c r="Y4878" s="1128" t="s">
        <v>3380</v>
      </c>
      <c r="Z4878" s="1128" t="s">
        <v>3381</v>
      </c>
      <c r="AA4878" s="1128" t="s">
        <v>3384</v>
      </c>
      <c r="AB4878" s="20"/>
      <c r="AC4878" s="73"/>
    </row>
    <row r="4879" spans="1:29">
      <c r="A4879" s="327" t="str">
        <f>IF(AND($B4879&lt;&gt;"",$C4879&lt;&gt;""),MAX($A$4730:$A4878)+1,"")</f>
        <v/>
      </c>
      <c r="B4879" s="361" t="s">
        <v>593</v>
      </c>
      <c r="C4879" s="362"/>
      <c r="D4879" s="327">
        <f>IF($B4879="","",COUNTIF($B$4731:$B4879,$B4879))</f>
        <v>6</v>
      </c>
      <c r="E4879" s="361" t="s">
        <v>1828</v>
      </c>
      <c r="F4879" s="362" t="s">
        <v>671</v>
      </c>
      <c r="G4879" s="327" t="s">
        <v>661</v>
      </c>
      <c r="H4879" s="361" t="s">
        <v>536</v>
      </c>
      <c r="I4879" s="361" t="s">
        <v>2355</v>
      </c>
      <c r="J4879" s="361"/>
      <c r="K4879" s="327" t="s">
        <v>100</v>
      </c>
      <c r="L4879" s="478">
        <f>40000/1000</f>
        <v>40</v>
      </c>
      <c r="M4879" s="355"/>
      <c r="N4879" s="355" t="s">
        <v>2409</v>
      </c>
      <c r="O4879" s="345"/>
      <c r="P4879" s="325"/>
      <c r="Q4879" s="327"/>
      <c r="R4879" s="351"/>
      <c r="S4879" s="351"/>
      <c r="T4879" s="351"/>
      <c r="U4879" s="329" t="str">
        <f>IF($N4879=$N$4,IFERROR(INDEX(DanhMuc!$E$154:$E$165,MATCH(MID($B4879,4,2),DanhMuc!$B$154:$B$165,0)),""),"")</f>
        <v/>
      </c>
      <c r="V4879" s="361"/>
      <c r="W4879" s="345"/>
      <c r="X4879" s="786"/>
      <c r="Y4879" s="1128" t="s">
        <v>3380</v>
      </c>
      <c r="Z4879" s="1128" t="s">
        <v>3381</v>
      </c>
      <c r="AA4879" s="1128" t="s">
        <v>3384</v>
      </c>
      <c r="AB4879" s="20"/>
      <c r="AC4879" s="73"/>
    </row>
    <row r="4880" spans="1:29">
      <c r="A4880" s="327" t="str">
        <f>IF(AND($B4880&lt;&gt;"",$C4880&lt;&gt;""),MAX($A$4730:$A4879)+1,"")</f>
        <v/>
      </c>
      <c r="B4880" s="361" t="s">
        <v>593</v>
      </c>
      <c r="C4880" s="362"/>
      <c r="D4880" s="327">
        <f>IF($B4880="","",COUNTIF($B$4731:$B4880,$B4880))</f>
        <v>7</v>
      </c>
      <c r="E4880" s="361" t="s">
        <v>154</v>
      </c>
      <c r="F4880" s="362" t="s">
        <v>660</v>
      </c>
      <c r="G4880" s="327" t="s">
        <v>661</v>
      </c>
      <c r="H4880" s="361" t="s">
        <v>536</v>
      </c>
      <c r="I4880" s="361" t="s">
        <v>667</v>
      </c>
      <c r="J4880" s="361"/>
      <c r="K4880" s="327" t="s">
        <v>662</v>
      </c>
      <c r="L4880" s="478">
        <v>20</v>
      </c>
      <c r="M4880" s="355"/>
      <c r="N4880" s="355" t="s">
        <v>2409</v>
      </c>
      <c r="O4880" s="345"/>
      <c r="P4880" s="325"/>
      <c r="Q4880" s="327"/>
      <c r="R4880" s="351"/>
      <c r="S4880" s="351"/>
      <c r="T4880" s="351"/>
      <c r="U4880" s="329" t="str">
        <f>IF($N4880=$N$4,IFERROR(INDEX(DanhMuc!$E$154:$E$165,MATCH(MID($B4880,4,2),DanhMuc!$B$154:$B$165,0)),""),"")</f>
        <v/>
      </c>
      <c r="V4880" s="361"/>
      <c r="W4880" s="345"/>
      <c r="X4880" s="786"/>
      <c r="Y4880" s="1128" t="s">
        <v>3380</v>
      </c>
      <c r="Z4880" s="1128" t="s">
        <v>3381</v>
      </c>
      <c r="AA4880" s="1128" t="s">
        <v>3384</v>
      </c>
      <c r="AB4880" s="20"/>
      <c r="AC4880" s="73"/>
    </row>
    <row r="4881" spans="1:29">
      <c r="A4881" s="327" t="str">
        <f>IF(AND($B4881&lt;&gt;"",$C4881&lt;&gt;""),MAX($A$4730:$A4880)+1,"")</f>
        <v/>
      </c>
      <c r="B4881" s="361" t="s">
        <v>593</v>
      </c>
      <c r="C4881" s="362"/>
      <c r="D4881" s="327">
        <f>IF($B4881="","",COUNTIF($B$4731:$B4881,$B4881))</f>
        <v>8</v>
      </c>
      <c r="E4881" s="362" t="s">
        <v>2282</v>
      </c>
      <c r="F4881" s="362" t="s">
        <v>2283</v>
      </c>
      <c r="G4881" s="327" t="s">
        <v>424</v>
      </c>
      <c r="H4881" s="361" t="s">
        <v>536</v>
      </c>
      <c r="I4881" s="361" t="s">
        <v>2238</v>
      </c>
      <c r="J4881" s="361"/>
      <c r="K4881" s="327" t="s">
        <v>662</v>
      </c>
      <c r="L4881" s="478">
        <v>28000</v>
      </c>
      <c r="M4881" s="355"/>
      <c r="N4881" s="355" t="s">
        <v>2409</v>
      </c>
      <c r="O4881" s="345"/>
      <c r="P4881" s="325"/>
      <c r="Q4881" s="327"/>
      <c r="R4881" s="351"/>
      <c r="S4881" s="351"/>
      <c r="T4881" s="351"/>
      <c r="U4881" s="329" t="str">
        <f>IF($N4881=$N$4,IFERROR(INDEX(DanhMuc!$E$154:$E$165,MATCH(MID($B4881,4,2),DanhMuc!$B$154:$B$165,0)),""),"")</f>
        <v/>
      </c>
      <c r="V4881" s="361"/>
      <c r="W4881" s="345"/>
      <c r="X4881" s="786"/>
      <c r="Y4881" s="1128" t="s">
        <v>3380</v>
      </c>
      <c r="Z4881" s="1128" t="s">
        <v>3381</v>
      </c>
      <c r="AA4881" s="1128" t="s">
        <v>3384</v>
      </c>
      <c r="AB4881" s="20"/>
      <c r="AC4881" s="73"/>
    </row>
    <row r="4882" spans="1:29">
      <c r="A4882" s="327" t="str">
        <f>IF(AND($B4882&lt;&gt;"",$C4882&lt;&gt;""),MAX($A$4730:$A4881)+1,"")</f>
        <v/>
      </c>
      <c r="B4882" s="361" t="s">
        <v>593</v>
      </c>
      <c r="C4882" s="362"/>
      <c r="D4882" s="327">
        <f>IF($B4882="","",COUNTIF($B$4731:$B4882,$B4882))</f>
        <v>9</v>
      </c>
      <c r="E4882" s="362" t="s">
        <v>663</v>
      </c>
      <c r="F4882" s="362" t="s">
        <v>664</v>
      </c>
      <c r="G4882" s="327" t="s">
        <v>155</v>
      </c>
      <c r="H4882" s="361" t="s">
        <v>536</v>
      </c>
      <c r="I4882" s="361" t="s">
        <v>672</v>
      </c>
      <c r="J4882" s="361"/>
      <c r="K4882" s="327" t="s">
        <v>662</v>
      </c>
      <c r="L4882" s="478">
        <v>1000</v>
      </c>
      <c r="M4882" s="355"/>
      <c r="N4882" s="355" t="s">
        <v>2409</v>
      </c>
      <c r="O4882" s="345"/>
      <c r="P4882" s="325"/>
      <c r="Q4882" s="327"/>
      <c r="R4882" s="351"/>
      <c r="S4882" s="351"/>
      <c r="T4882" s="351"/>
      <c r="U4882" s="329" t="str">
        <f>IF($N4882=$N$4,IFERROR(INDEX(DanhMuc!$E$154:$E$165,MATCH(MID($B4882,4,2),DanhMuc!$B$154:$B$165,0)),""),"")</f>
        <v/>
      </c>
      <c r="V4882" s="361"/>
      <c r="W4882" s="345"/>
      <c r="X4882" s="786"/>
      <c r="Y4882" s="1128" t="s">
        <v>3380</v>
      </c>
      <c r="Z4882" s="1128" t="s">
        <v>3381</v>
      </c>
      <c r="AA4882" s="1128" t="s">
        <v>3384</v>
      </c>
      <c r="AB4882" s="20"/>
      <c r="AC4882" s="73"/>
    </row>
    <row r="4883" spans="1:29" ht="26">
      <c r="A4883" s="327">
        <f>IF(AND($B4883&lt;&gt;"",$C4883&lt;&gt;""),MAX($A$4730:$A4873)+1,"")</f>
        <v>6</v>
      </c>
      <c r="B4883" s="359" t="s">
        <v>588</v>
      </c>
      <c r="C4883" s="360" t="s">
        <v>1534</v>
      </c>
      <c r="D4883" s="327">
        <f>IF($B4883="","",COUNTIF($B$4731:$B4883,$B4883))</f>
        <v>1</v>
      </c>
      <c r="E4883" s="361" t="s">
        <v>1826</v>
      </c>
      <c r="F4883" s="362" t="s">
        <v>670</v>
      </c>
      <c r="G4883" s="327" t="s">
        <v>661</v>
      </c>
      <c r="H4883" s="361" t="s">
        <v>536</v>
      </c>
      <c r="I4883" s="361" t="s">
        <v>2354</v>
      </c>
      <c r="J4883" s="361"/>
      <c r="K4883" s="327" t="s">
        <v>103</v>
      </c>
      <c r="L4883" s="478">
        <f>40000/1000</f>
        <v>40</v>
      </c>
      <c r="M4883" s="355"/>
      <c r="N4883" s="355" t="s">
        <v>2408</v>
      </c>
      <c r="O4883" s="345"/>
      <c r="P4883" s="325"/>
      <c r="Q4883" s="327"/>
      <c r="R4883" s="351"/>
      <c r="S4883" s="351"/>
      <c r="T4883" s="351"/>
      <c r="U4883" s="329" t="str">
        <f>IF($N4883=$N$4,IFERROR(INDEX(DanhMuc!$E$154:$E$165,MATCH(MID($B4883,4,2),DanhMuc!$B$154:$B$165,0)),""),"")</f>
        <v/>
      </c>
      <c r="V4883" s="361"/>
      <c r="W4883" s="345"/>
      <c r="X4883" s="786"/>
      <c r="Y4883" s="1128" t="s">
        <v>3380</v>
      </c>
      <c r="Z4883" s="1128" t="s">
        <v>3381</v>
      </c>
      <c r="AA4883" s="1128" t="s">
        <v>3384</v>
      </c>
      <c r="AB4883" s="20"/>
      <c r="AC4883" s="73"/>
    </row>
    <row r="4884" spans="1:29" ht="37.5">
      <c r="A4884" s="327" t="str">
        <f>IF(AND($B4884&lt;&gt;"",$C4884&lt;&gt;""),MAX($A$4730:$A4883)+1,"")</f>
        <v/>
      </c>
      <c r="B4884" s="361" t="s">
        <v>588</v>
      </c>
      <c r="C4884" s="362"/>
      <c r="D4884" s="327">
        <f>IF($B4884="","",COUNTIF($B$4731:$B4884,$B4884))</f>
        <v>2</v>
      </c>
      <c r="E4884" s="362" t="s">
        <v>2756</v>
      </c>
      <c r="F4884" s="362" t="s">
        <v>2757</v>
      </c>
      <c r="G4884" s="327" t="s">
        <v>405</v>
      </c>
      <c r="H4884" s="361" t="s">
        <v>536</v>
      </c>
      <c r="I4884" s="327">
        <v>100</v>
      </c>
      <c r="J4884" s="361"/>
      <c r="K4884" s="327" t="s">
        <v>738</v>
      </c>
      <c r="L4884" s="479">
        <v>322</v>
      </c>
      <c r="M4884" s="371"/>
      <c r="N4884" s="355" t="s">
        <v>2408</v>
      </c>
      <c r="O4884" s="345"/>
      <c r="P4884" s="325"/>
      <c r="Q4884" s="327"/>
      <c r="R4884" s="351"/>
      <c r="S4884" s="351"/>
      <c r="T4884" s="351"/>
      <c r="U4884" s="329" t="str">
        <f>IF($N4884=$N$4,IFERROR(INDEX(DanhMuc!$E$154:$E$165,MATCH(MID($B4884,4,2),DanhMuc!$B$154:$B$165,0)),""),"")</f>
        <v/>
      </c>
      <c r="V4884" s="361"/>
      <c r="W4884" s="345"/>
      <c r="X4884" s="786"/>
      <c r="Y4884" s="1128" t="s">
        <v>3380</v>
      </c>
      <c r="Z4884" s="1128" t="s">
        <v>3381</v>
      </c>
      <c r="AA4884" s="1128" t="s">
        <v>3384</v>
      </c>
      <c r="AB4884" s="20"/>
      <c r="AC4884" s="73"/>
    </row>
    <row r="4885" spans="1:29">
      <c r="A4885" s="327" t="str">
        <f>IF(AND($B4885&lt;&gt;"",$C4885&lt;&gt;""),MAX($A$4730:$A4884)+1,"")</f>
        <v/>
      </c>
      <c r="B4885" s="361" t="s">
        <v>588</v>
      </c>
      <c r="C4885" s="362"/>
      <c r="D4885" s="327">
        <f>IF($B4885="","",COUNTIF($B$4731:$B4885,$B4885))</f>
        <v>3</v>
      </c>
      <c r="E4885" s="361" t="s">
        <v>656</v>
      </c>
      <c r="F4885" s="362" t="s">
        <v>2239</v>
      </c>
      <c r="G4885" s="327" t="s">
        <v>405</v>
      </c>
      <c r="H4885" s="361" t="s">
        <v>536</v>
      </c>
      <c r="I4885" s="361" t="s">
        <v>1827</v>
      </c>
      <c r="J4885" s="361"/>
      <c r="K4885" s="327" t="s">
        <v>100</v>
      </c>
      <c r="L4885" s="478">
        <v>970</v>
      </c>
      <c r="M4885" s="371"/>
      <c r="N4885" s="355" t="s">
        <v>2409</v>
      </c>
      <c r="O4885" s="345"/>
      <c r="P4885" s="325"/>
      <c r="Q4885" s="327"/>
      <c r="R4885" s="351"/>
      <c r="S4885" s="351"/>
      <c r="T4885" s="351"/>
      <c r="U4885" s="329" t="str">
        <f>IF($N4885=$N$4,IFERROR(INDEX(DanhMuc!$E$154:$E$165,MATCH(MID($B4885,4,2),DanhMuc!$B$154:$B$165,0)),""),"")</f>
        <v/>
      </c>
      <c r="V4885" s="361"/>
      <c r="W4885" s="345"/>
      <c r="X4885" s="786"/>
      <c r="Y4885" s="1128" t="s">
        <v>3380</v>
      </c>
      <c r="Z4885" s="1128" t="s">
        <v>3381</v>
      </c>
      <c r="AA4885" s="1128" t="s">
        <v>3384</v>
      </c>
      <c r="AB4885" s="20"/>
      <c r="AC4885" s="73"/>
    </row>
    <row r="4886" spans="1:29">
      <c r="A4886" s="327" t="str">
        <f>IF(AND($B4886&lt;&gt;"",$C4886&lt;&gt;""),MAX($A$4730:$A4885)+1,"")</f>
        <v/>
      </c>
      <c r="B4886" s="361" t="s">
        <v>588</v>
      </c>
      <c r="C4886" s="362"/>
      <c r="D4886" s="327">
        <f>IF($B4886="","",COUNTIF($B$4731:$B4886,$B4886))</f>
        <v>4</v>
      </c>
      <c r="E4886" s="361" t="s">
        <v>657</v>
      </c>
      <c r="F4886" s="362" t="s">
        <v>658</v>
      </c>
      <c r="G4886" s="327" t="s">
        <v>424</v>
      </c>
      <c r="H4886" s="361" t="s">
        <v>536</v>
      </c>
      <c r="I4886" s="361" t="s">
        <v>665</v>
      </c>
      <c r="J4886" s="361"/>
      <c r="K4886" s="327" t="s">
        <v>100</v>
      </c>
      <c r="L4886" s="478">
        <v>60000</v>
      </c>
      <c r="M4886" s="355"/>
      <c r="N4886" s="355" t="s">
        <v>2409</v>
      </c>
      <c r="O4886" s="345"/>
      <c r="P4886" s="325"/>
      <c r="Q4886" s="327"/>
      <c r="R4886" s="351"/>
      <c r="S4886" s="351"/>
      <c r="T4886" s="351"/>
      <c r="U4886" s="329" t="str">
        <f>IF($N4886=$N$4,IFERROR(INDEX(DanhMuc!$E$154:$E$165,MATCH(MID($B4886,4,2),DanhMuc!$B$154:$B$165,0)),""),"")</f>
        <v/>
      </c>
      <c r="V4886" s="361"/>
      <c r="W4886" s="345"/>
      <c r="X4886" s="786"/>
      <c r="Y4886" s="1128" t="s">
        <v>3380</v>
      </c>
      <c r="Z4886" s="1128" t="s">
        <v>3381</v>
      </c>
      <c r="AA4886" s="1128" t="s">
        <v>3384</v>
      </c>
      <c r="AB4886" s="20"/>
      <c r="AC4886" s="73"/>
    </row>
    <row r="4887" spans="1:29">
      <c r="A4887" s="327" t="str">
        <f>IF(AND($B4887&lt;&gt;"",$C4887&lt;&gt;""),MAX($A$4730:$A4886)+1,"")</f>
        <v/>
      </c>
      <c r="B4887" s="361" t="s">
        <v>588</v>
      </c>
      <c r="C4887" s="362"/>
      <c r="D4887" s="327">
        <f>IF($B4887="","",COUNTIF($B$4731:$B4887,$B4887))</f>
        <v>5</v>
      </c>
      <c r="E4887" s="361" t="s">
        <v>2771</v>
      </c>
      <c r="F4887" s="362" t="s">
        <v>659</v>
      </c>
      <c r="G4887" s="327" t="s">
        <v>424</v>
      </c>
      <c r="H4887" s="361" t="s">
        <v>536</v>
      </c>
      <c r="I4887" s="361" t="s">
        <v>666</v>
      </c>
      <c r="J4887" s="361"/>
      <c r="K4887" s="327" t="s">
        <v>100</v>
      </c>
      <c r="L4887" s="389">
        <v>53000</v>
      </c>
      <c r="M4887" s="355"/>
      <c r="N4887" s="355" t="s">
        <v>2409</v>
      </c>
      <c r="O4887" s="345"/>
      <c r="P4887" s="325"/>
      <c r="Q4887" s="327"/>
      <c r="R4887" s="351"/>
      <c r="S4887" s="351"/>
      <c r="T4887" s="351"/>
      <c r="U4887" s="329" t="str">
        <f>IF($N4887=$N$4,IFERROR(INDEX(DanhMuc!$E$154:$E$165,MATCH(MID($B4887,4,2),DanhMuc!$B$154:$B$165,0)),""),"")</f>
        <v/>
      </c>
      <c r="V4887" s="361"/>
      <c r="W4887" s="345"/>
      <c r="X4887" s="786"/>
      <c r="Y4887" s="1128" t="s">
        <v>3380</v>
      </c>
      <c r="Z4887" s="1128" t="s">
        <v>3381</v>
      </c>
      <c r="AA4887" s="1128" t="s">
        <v>3384</v>
      </c>
      <c r="AB4887" s="20"/>
      <c r="AC4887" s="73"/>
    </row>
    <row r="4888" spans="1:29">
      <c r="A4888" s="327" t="str">
        <f>IF(AND($B4888&lt;&gt;"",$C4888&lt;&gt;""),MAX($A$4730:$A4887)+1,"")</f>
        <v/>
      </c>
      <c r="B4888" s="361" t="s">
        <v>588</v>
      </c>
      <c r="C4888" s="362"/>
      <c r="D4888" s="327">
        <f>IF($B4888="","",COUNTIF($B$4731:$B4888,$B4888))</f>
        <v>6</v>
      </c>
      <c r="E4888" s="361" t="s">
        <v>1828</v>
      </c>
      <c r="F4888" s="362" t="s">
        <v>671</v>
      </c>
      <c r="G4888" s="327" t="s">
        <v>661</v>
      </c>
      <c r="H4888" s="361" t="s">
        <v>536</v>
      </c>
      <c r="I4888" s="361" t="s">
        <v>2355</v>
      </c>
      <c r="J4888" s="361"/>
      <c r="K4888" s="327" t="s">
        <v>100</v>
      </c>
      <c r="L4888" s="478">
        <f>40000/1000</f>
        <v>40</v>
      </c>
      <c r="M4888" s="355"/>
      <c r="N4888" s="355" t="s">
        <v>2409</v>
      </c>
      <c r="O4888" s="345"/>
      <c r="P4888" s="325"/>
      <c r="Q4888" s="327"/>
      <c r="R4888" s="351"/>
      <c r="S4888" s="351"/>
      <c r="T4888" s="351"/>
      <c r="U4888" s="329" t="str">
        <f>IF($N4888=$N$4,IFERROR(INDEX(DanhMuc!$E$154:$E$165,MATCH(MID($B4888,4,2),DanhMuc!$B$154:$B$165,0)),""),"")</f>
        <v/>
      </c>
      <c r="V4888" s="361"/>
      <c r="W4888" s="345"/>
      <c r="X4888" s="786"/>
      <c r="Y4888" s="1128" t="s">
        <v>3380</v>
      </c>
      <c r="Z4888" s="1128" t="s">
        <v>3381</v>
      </c>
      <c r="AA4888" s="1128" t="s">
        <v>3384</v>
      </c>
      <c r="AB4888" s="20"/>
      <c r="AC4888" s="73"/>
    </row>
    <row r="4889" spans="1:29">
      <c r="A4889" s="327" t="str">
        <f>IF(AND($B4889&lt;&gt;"",$C4889&lt;&gt;""),MAX($A$4730:$A4888)+1,"")</f>
        <v/>
      </c>
      <c r="B4889" s="361" t="s">
        <v>588</v>
      </c>
      <c r="C4889" s="362"/>
      <c r="D4889" s="327">
        <f>IF($B4889="","",COUNTIF($B$4731:$B4889,$B4889))</f>
        <v>7</v>
      </c>
      <c r="E4889" s="361" t="s">
        <v>154</v>
      </c>
      <c r="F4889" s="362" t="s">
        <v>660</v>
      </c>
      <c r="G4889" s="327" t="s">
        <v>661</v>
      </c>
      <c r="H4889" s="361" t="s">
        <v>536</v>
      </c>
      <c r="I4889" s="361" t="s">
        <v>667</v>
      </c>
      <c r="J4889" s="361"/>
      <c r="K4889" s="327" t="s">
        <v>662</v>
      </c>
      <c r="L4889" s="478">
        <v>20</v>
      </c>
      <c r="M4889" s="355"/>
      <c r="N4889" s="355" t="s">
        <v>2409</v>
      </c>
      <c r="O4889" s="345"/>
      <c r="P4889" s="325"/>
      <c r="Q4889" s="327"/>
      <c r="R4889" s="351"/>
      <c r="S4889" s="351"/>
      <c r="T4889" s="351"/>
      <c r="U4889" s="329" t="str">
        <f>IF($N4889=$N$4,IFERROR(INDEX(DanhMuc!$E$154:$E$165,MATCH(MID($B4889,4,2),DanhMuc!$B$154:$B$165,0)),""),"")</f>
        <v/>
      </c>
      <c r="V4889" s="361"/>
      <c r="W4889" s="345"/>
      <c r="X4889" s="786"/>
      <c r="Y4889" s="1128" t="s">
        <v>3380</v>
      </c>
      <c r="Z4889" s="1128" t="s">
        <v>3381</v>
      </c>
      <c r="AA4889" s="1128" t="s">
        <v>3384</v>
      </c>
      <c r="AB4889" s="20"/>
      <c r="AC4889" s="73"/>
    </row>
    <row r="4890" spans="1:29">
      <c r="A4890" s="327" t="str">
        <f>IF(AND($B4890&lt;&gt;"",$C4890&lt;&gt;""),MAX($A$4730:$A4889)+1,"")</f>
        <v/>
      </c>
      <c r="B4890" s="361" t="s">
        <v>588</v>
      </c>
      <c r="C4890" s="362"/>
      <c r="D4890" s="327">
        <f>IF($B4890="","",COUNTIF($B$4731:$B4890,$B4890))</f>
        <v>8</v>
      </c>
      <c r="E4890" s="362" t="s">
        <v>2282</v>
      </c>
      <c r="F4890" s="362" t="s">
        <v>2283</v>
      </c>
      <c r="G4890" s="327" t="s">
        <v>424</v>
      </c>
      <c r="H4890" s="361" t="s">
        <v>536</v>
      </c>
      <c r="I4890" s="361" t="s">
        <v>2238</v>
      </c>
      <c r="J4890" s="361"/>
      <c r="K4890" s="327" t="s">
        <v>662</v>
      </c>
      <c r="L4890" s="478">
        <v>28000</v>
      </c>
      <c r="M4890" s="355"/>
      <c r="N4890" s="355" t="s">
        <v>2409</v>
      </c>
      <c r="O4890" s="345"/>
      <c r="P4890" s="325"/>
      <c r="Q4890" s="327"/>
      <c r="R4890" s="351"/>
      <c r="S4890" s="351"/>
      <c r="T4890" s="351"/>
      <c r="U4890" s="329" t="str">
        <f>IF($N4890=$N$4,IFERROR(INDEX(DanhMuc!$E$154:$E$165,MATCH(MID($B4890,4,2),DanhMuc!$B$154:$B$165,0)),""),"")</f>
        <v/>
      </c>
      <c r="V4890" s="361"/>
      <c r="W4890" s="345"/>
      <c r="X4890" s="786"/>
      <c r="Y4890" s="1128" t="s">
        <v>3380</v>
      </c>
      <c r="Z4890" s="1128" t="s">
        <v>3381</v>
      </c>
      <c r="AA4890" s="1128" t="s">
        <v>3384</v>
      </c>
      <c r="AB4890" s="20"/>
      <c r="AC4890" s="73"/>
    </row>
    <row r="4891" spans="1:29">
      <c r="A4891" s="327" t="str">
        <f>IF(AND($B4891&lt;&gt;"",$C4891&lt;&gt;""),MAX($A$4730:$A4890)+1,"")</f>
        <v/>
      </c>
      <c r="B4891" s="361" t="s">
        <v>588</v>
      </c>
      <c r="C4891" s="362"/>
      <c r="D4891" s="327">
        <f>IF($B4891="","",COUNTIF($B$4731:$B4891,$B4891))</f>
        <v>9</v>
      </c>
      <c r="E4891" s="362" t="s">
        <v>663</v>
      </c>
      <c r="F4891" s="362" t="s">
        <v>664</v>
      </c>
      <c r="G4891" s="327" t="s">
        <v>155</v>
      </c>
      <c r="H4891" s="361" t="s">
        <v>536</v>
      </c>
      <c r="I4891" s="361" t="s">
        <v>672</v>
      </c>
      <c r="J4891" s="361"/>
      <c r="K4891" s="327" t="s">
        <v>662</v>
      </c>
      <c r="L4891" s="478">
        <v>1000</v>
      </c>
      <c r="M4891" s="355"/>
      <c r="N4891" s="355" t="s">
        <v>2409</v>
      </c>
      <c r="O4891" s="345"/>
      <c r="P4891" s="325"/>
      <c r="Q4891" s="327"/>
      <c r="R4891" s="351"/>
      <c r="S4891" s="351"/>
      <c r="T4891" s="351"/>
      <c r="U4891" s="329" t="str">
        <f>IF($N4891=$N$4,IFERROR(INDEX(DanhMuc!$E$154:$E$165,MATCH(MID($B4891,4,2),DanhMuc!$B$154:$B$165,0)),""),"")</f>
        <v/>
      </c>
      <c r="V4891" s="361"/>
      <c r="W4891" s="345"/>
      <c r="X4891" s="786"/>
      <c r="Y4891" s="1128" t="s">
        <v>3380</v>
      </c>
      <c r="Z4891" s="1128" t="s">
        <v>3381</v>
      </c>
      <c r="AA4891" s="1128" t="s">
        <v>3384</v>
      </c>
      <c r="AB4891" s="20"/>
      <c r="AC4891" s="73"/>
    </row>
    <row r="4892" spans="1:29" ht="39">
      <c r="A4892" s="327">
        <f>IF(AND($B4892&lt;&gt;"",$C4892&lt;&gt;""),MAX($A$4730:$A4891)+1,"")</f>
        <v>7</v>
      </c>
      <c r="B4892" s="359" t="s">
        <v>1200</v>
      </c>
      <c r="C4892" s="360" t="s">
        <v>1535</v>
      </c>
      <c r="D4892" s="327">
        <f>IF($B4892="","",COUNTIF($B$4731:$B4892,$B4892))</f>
        <v>1</v>
      </c>
      <c r="E4892" s="361" t="s">
        <v>1826</v>
      </c>
      <c r="F4892" s="362" t="s">
        <v>670</v>
      </c>
      <c r="G4892" s="327" t="s">
        <v>661</v>
      </c>
      <c r="H4892" s="361" t="s">
        <v>536</v>
      </c>
      <c r="I4892" s="361" t="s">
        <v>2354</v>
      </c>
      <c r="J4892" s="361"/>
      <c r="K4892" s="327" t="s">
        <v>103</v>
      </c>
      <c r="L4892" s="478">
        <f>40000/1000</f>
        <v>40</v>
      </c>
      <c r="M4892" s="355"/>
      <c r="N4892" s="355" t="s">
        <v>2408</v>
      </c>
      <c r="O4892" s="345"/>
      <c r="P4892" s="325"/>
      <c r="Q4892" s="327"/>
      <c r="R4892" s="351"/>
      <c r="S4892" s="351"/>
      <c r="T4892" s="351"/>
      <c r="U4892" s="329" t="str">
        <f>IF($N4892=$N$4,IFERROR(INDEX(DanhMuc!$E$154:$E$165,MATCH(MID($B4892,4,2),DanhMuc!$B$154:$B$165,0)),""),"")</f>
        <v/>
      </c>
      <c r="V4892" s="361"/>
      <c r="W4892" s="345"/>
      <c r="X4892" s="786"/>
      <c r="Y4892" s="1128" t="s">
        <v>3380</v>
      </c>
      <c r="Z4892" s="1128" t="s">
        <v>3381</v>
      </c>
      <c r="AA4892" s="1128" t="s">
        <v>3384</v>
      </c>
      <c r="AB4892" s="20"/>
      <c r="AC4892" s="73"/>
    </row>
    <row r="4893" spans="1:29" ht="37.5">
      <c r="A4893" s="327" t="str">
        <f>IF(AND($B4893&lt;&gt;"",$C4893&lt;&gt;""),MAX($A$4730:$A4892)+1,"")</f>
        <v/>
      </c>
      <c r="B4893" s="361" t="s">
        <v>1200</v>
      </c>
      <c r="C4893" s="362"/>
      <c r="D4893" s="327">
        <f>IF($B4893="","",COUNTIF($B$4731:$B4893,$B4893))</f>
        <v>2</v>
      </c>
      <c r="E4893" s="362" t="s">
        <v>2756</v>
      </c>
      <c r="F4893" s="362" t="s">
        <v>2757</v>
      </c>
      <c r="G4893" s="327" t="s">
        <v>405</v>
      </c>
      <c r="H4893" s="361" t="s">
        <v>536</v>
      </c>
      <c r="I4893" s="327">
        <v>39</v>
      </c>
      <c r="J4893" s="361"/>
      <c r="K4893" s="327" t="s">
        <v>738</v>
      </c>
      <c r="L4893" s="479">
        <v>322</v>
      </c>
      <c r="M4893" s="371"/>
      <c r="N4893" s="355" t="s">
        <v>2408</v>
      </c>
      <c r="O4893" s="345"/>
      <c r="P4893" s="325"/>
      <c r="Q4893" s="327"/>
      <c r="R4893" s="351"/>
      <c r="S4893" s="351"/>
      <c r="T4893" s="351"/>
      <c r="U4893" s="329" t="str">
        <f>IF($N4893=$N$4,IFERROR(INDEX(DanhMuc!$E$154:$E$165,MATCH(MID($B4893,4,2),DanhMuc!$B$154:$B$165,0)),""),"")</f>
        <v/>
      </c>
      <c r="V4893" s="361"/>
      <c r="W4893" s="345"/>
      <c r="X4893" s="786"/>
      <c r="Y4893" s="1128" t="s">
        <v>3380</v>
      </c>
      <c r="Z4893" s="1128" t="s">
        <v>3381</v>
      </c>
      <c r="AA4893" s="1128" t="s">
        <v>3384</v>
      </c>
      <c r="AB4893" s="20"/>
      <c r="AC4893" s="73"/>
    </row>
    <row r="4894" spans="1:29">
      <c r="A4894" s="327" t="str">
        <f>IF(AND($B4894&lt;&gt;"",$C4894&lt;&gt;""),MAX($A$4730:$A4893)+1,"")</f>
        <v/>
      </c>
      <c r="B4894" s="361" t="s">
        <v>1200</v>
      </c>
      <c r="C4894" s="362"/>
      <c r="D4894" s="327">
        <f>IF($B4894="","",COUNTIF($B$4731:$B4894,$B4894))</f>
        <v>3</v>
      </c>
      <c r="E4894" s="361" t="s">
        <v>656</v>
      </c>
      <c r="F4894" s="362" t="s">
        <v>2239</v>
      </c>
      <c r="G4894" s="327" t="s">
        <v>405</v>
      </c>
      <c r="H4894" s="361" t="s">
        <v>536</v>
      </c>
      <c r="I4894" s="361" t="s">
        <v>1827</v>
      </c>
      <c r="J4894" s="361"/>
      <c r="K4894" s="327" t="s">
        <v>100</v>
      </c>
      <c r="L4894" s="478">
        <v>970</v>
      </c>
      <c r="M4894" s="371"/>
      <c r="N4894" s="355" t="s">
        <v>2409</v>
      </c>
      <c r="O4894" s="345"/>
      <c r="P4894" s="325"/>
      <c r="Q4894" s="327"/>
      <c r="R4894" s="351"/>
      <c r="S4894" s="351"/>
      <c r="T4894" s="351"/>
      <c r="U4894" s="329" t="str">
        <f>IF($N4894=$N$4,IFERROR(INDEX(DanhMuc!$E$154:$E$165,MATCH(MID($B4894,4,2),DanhMuc!$B$154:$B$165,0)),""),"")</f>
        <v/>
      </c>
      <c r="V4894" s="361"/>
      <c r="W4894" s="345"/>
      <c r="X4894" s="786"/>
      <c r="Y4894" s="1128" t="s">
        <v>3380</v>
      </c>
      <c r="Z4894" s="1128" t="s">
        <v>3381</v>
      </c>
      <c r="AA4894" s="1128" t="s">
        <v>3384</v>
      </c>
      <c r="AB4894" s="20"/>
      <c r="AC4894" s="73"/>
    </row>
    <row r="4895" spans="1:29">
      <c r="A4895" s="327" t="str">
        <f>IF(AND($B4895&lt;&gt;"",$C4895&lt;&gt;""),MAX($A$4730:$A4894)+1,"")</f>
        <v/>
      </c>
      <c r="B4895" s="361" t="s">
        <v>1200</v>
      </c>
      <c r="C4895" s="362"/>
      <c r="D4895" s="327">
        <f>IF($B4895="","",COUNTIF($B$4731:$B4895,$B4895))</f>
        <v>4</v>
      </c>
      <c r="E4895" s="361" t="s">
        <v>657</v>
      </c>
      <c r="F4895" s="362" t="s">
        <v>658</v>
      </c>
      <c r="G4895" s="327" t="s">
        <v>424</v>
      </c>
      <c r="H4895" s="361" t="s">
        <v>536</v>
      </c>
      <c r="I4895" s="361" t="s">
        <v>665</v>
      </c>
      <c r="J4895" s="361"/>
      <c r="K4895" s="327" t="s">
        <v>100</v>
      </c>
      <c r="L4895" s="478">
        <v>60000</v>
      </c>
      <c r="M4895" s="355"/>
      <c r="N4895" s="355" t="s">
        <v>2409</v>
      </c>
      <c r="O4895" s="345"/>
      <c r="P4895" s="325"/>
      <c r="Q4895" s="327"/>
      <c r="R4895" s="351"/>
      <c r="S4895" s="351"/>
      <c r="T4895" s="351"/>
      <c r="U4895" s="329" t="str">
        <f>IF($N4895=$N$4,IFERROR(INDEX(DanhMuc!$E$154:$E$165,MATCH(MID($B4895,4,2),DanhMuc!$B$154:$B$165,0)),""),"")</f>
        <v/>
      </c>
      <c r="V4895" s="361"/>
      <c r="W4895" s="345"/>
      <c r="X4895" s="786"/>
      <c r="Y4895" s="1128" t="s">
        <v>3380</v>
      </c>
      <c r="Z4895" s="1128" t="s">
        <v>3381</v>
      </c>
      <c r="AA4895" s="1128" t="s">
        <v>3384</v>
      </c>
      <c r="AB4895" s="20"/>
      <c r="AC4895" s="73"/>
    </row>
    <row r="4896" spans="1:29">
      <c r="A4896" s="327" t="str">
        <f>IF(AND($B4896&lt;&gt;"",$C4896&lt;&gt;""),MAX($A$4730:$A4895)+1,"")</f>
        <v/>
      </c>
      <c r="B4896" s="361" t="s">
        <v>1200</v>
      </c>
      <c r="C4896" s="362"/>
      <c r="D4896" s="327">
        <f>IF($B4896="","",COUNTIF($B$4731:$B4896,$B4896))</f>
        <v>5</v>
      </c>
      <c r="E4896" s="361" t="s">
        <v>2771</v>
      </c>
      <c r="F4896" s="362" t="s">
        <v>659</v>
      </c>
      <c r="G4896" s="327" t="s">
        <v>424</v>
      </c>
      <c r="H4896" s="361" t="s">
        <v>536</v>
      </c>
      <c r="I4896" s="361" t="s">
        <v>666</v>
      </c>
      <c r="J4896" s="361"/>
      <c r="K4896" s="327" t="s">
        <v>100</v>
      </c>
      <c r="L4896" s="389">
        <v>53000</v>
      </c>
      <c r="M4896" s="355"/>
      <c r="N4896" s="355" t="s">
        <v>2409</v>
      </c>
      <c r="O4896" s="345"/>
      <c r="P4896" s="325"/>
      <c r="Q4896" s="327"/>
      <c r="R4896" s="351"/>
      <c r="S4896" s="351"/>
      <c r="T4896" s="351"/>
      <c r="U4896" s="329" t="str">
        <f>IF($N4896=$N$4,IFERROR(INDEX(DanhMuc!$E$154:$E$165,MATCH(MID($B4896,4,2),DanhMuc!$B$154:$B$165,0)),""),"")</f>
        <v/>
      </c>
      <c r="V4896" s="361"/>
      <c r="W4896" s="345"/>
      <c r="X4896" s="786"/>
      <c r="Y4896" s="1128" t="s">
        <v>3380</v>
      </c>
      <c r="Z4896" s="1128" t="s">
        <v>3381</v>
      </c>
      <c r="AA4896" s="1128" t="s">
        <v>3384</v>
      </c>
      <c r="AB4896" s="20"/>
      <c r="AC4896" s="73"/>
    </row>
    <row r="4897" spans="1:29">
      <c r="A4897" s="327" t="str">
        <f>IF(AND($B4897&lt;&gt;"",$C4897&lt;&gt;""),MAX($A$4730:$A4896)+1,"")</f>
        <v/>
      </c>
      <c r="B4897" s="361" t="s">
        <v>1200</v>
      </c>
      <c r="C4897" s="362"/>
      <c r="D4897" s="327">
        <f>IF($B4897="","",COUNTIF($B$4731:$B4897,$B4897))</f>
        <v>6</v>
      </c>
      <c r="E4897" s="361" t="s">
        <v>1828</v>
      </c>
      <c r="F4897" s="362" t="s">
        <v>671</v>
      </c>
      <c r="G4897" s="327" t="s">
        <v>661</v>
      </c>
      <c r="H4897" s="361" t="s">
        <v>536</v>
      </c>
      <c r="I4897" s="361" t="s">
        <v>2355</v>
      </c>
      <c r="J4897" s="361"/>
      <c r="K4897" s="327" t="s">
        <v>100</v>
      </c>
      <c r="L4897" s="478">
        <f>40000/1000</f>
        <v>40</v>
      </c>
      <c r="M4897" s="355"/>
      <c r="N4897" s="355" t="s">
        <v>2409</v>
      </c>
      <c r="O4897" s="345"/>
      <c r="P4897" s="325"/>
      <c r="Q4897" s="327"/>
      <c r="R4897" s="351"/>
      <c r="S4897" s="351"/>
      <c r="T4897" s="351"/>
      <c r="U4897" s="329" t="str">
        <f>IF($N4897=$N$4,IFERROR(INDEX(DanhMuc!$E$154:$E$165,MATCH(MID($B4897,4,2),DanhMuc!$B$154:$B$165,0)),""),"")</f>
        <v/>
      </c>
      <c r="V4897" s="361"/>
      <c r="W4897" s="345"/>
      <c r="X4897" s="786"/>
      <c r="Y4897" s="1128" t="s">
        <v>3380</v>
      </c>
      <c r="Z4897" s="1128" t="s">
        <v>3381</v>
      </c>
      <c r="AA4897" s="1128" t="s">
        <v>3384</v>
      </c>
      <c r="AB4897" s="20"/>
      <c r="AC4897" s="73"/>
    </row>
    <row r="4898" spans="1:29">
      <c r="A4898" s="327" t="str">
        <f>IF(AND($B4898&lt;&gt;"",$C4898&lt;&gt;""),MAX($A$4730:$A4897)+1,"")</f>
        <v/>
      </c>
      <c r="B4898" s="361" t="s">
        <v>1200</v>
      </c>
      <c r="C4898" s="362"/>
      <c r="D4898" s="327">
        <f>IF($B4898="","",COUNTIF($B$4731:$B4898,$B4898))</f>
        <v>7</v>
      </c>
      <c r="E4898" s="361" t="s">
        <v>154</v>
      </c>
      <c r="F4898" s="362" t="s">
        <v>660</v>
      </c>
      <c r="G4898" s="327" t="s">
        <v>661</v>
      </c>
      <c r="H4898" s="361" t="s">
        <v>536</v>
      </c>
      <c r="I4898" s="361" t="s">
        <v>667</v>
      </c>
      <c r="J4898" s="361"/>
      <c r="K4898" s="327" t="s">
        <v>662</v>
      </c>
      <c r="L4898" s="478">
        <v>20</v>
      </c>
      <c r="M4898" s="355"/>
      <c r="N4898" s="355" t="s">
        <v>2409</v>
      </c>
      <c r="O4898" s="345"/>
      <c r="P4898" s="325"/>
      <c r="Q4898" s="327"/>
      <c r="R4898" s="351"/>
      <c r="S4898" s="351"/>
      <c r="T4898" s="351"/>
      <c r="U4898" s="329" t="str">
        <f>IF($N4898=$N$4,IFERROR(INDEX(DanhMuc!$E$154:$E$165,MATCH(MID($B4898,4,2),DanhMuc!$B$154:$B$165,0)),""),"")</f>
        <v/>
      </c>
      <c r="V4898" s="361"/>
      <c r="W4898" s="345"/>
      <c r="X4898" s="786"/>
      <c r="Y4898" s="1128" t="s">
        <v>3380</v>
      </c>
      <c r="Z4898" s="1128" t="s">
        <v>3381</v>
      </c>
      <c r="AA4898" s="1128" t="s">
        <v>3384</v>
      </c>
      <c r="AB4898" s="20"/>
      <c r="AC4898" s="73"/>
    </row>
    <row r="4899" spans="1:29">
      <c r="A4899" s="327" t="str">
        <f>IF(AND($B4899&lt;&gt;"",$C4899&lt;&gt;""),MAX($A$4730:$A4898)+1,"")</f>
        <v/>
      </c>
      <c r="B4899" s="361" t="s">
        <v>1200</v>
      </c>
      <c r="C4899" s="362"/>
      <c r="D4899" s="327">
        <f>IF($B4899="","",COUNTIF($B$4731:$B4899,$B4899))</f>
        <v>8</v>
      </c>
      <c r="E4899" s="362" t="s">
        <v>2282</v>
      </c>
      <c r="F4899" s="362" t="s">
        <v>2283</v>
      </c>
      <c r="G4899" s="327" t="s">
        <v>424</v>
      </c>
      <c r="H4899" s="361" t="s">
        <v>536</v>
      </c>
      <c r="I4899" s="361" t="s">
        <v>2238</v>
      </c>
      <c r="J4899" s="361"/>
      <c r="K4899" s="327" t="s">
        <v>662</v>
      </c>
      <c r="L4899" s="478">
        <v>28000</v>
      </c>
      <c r="M4899" s="355"/>
      <c r="N4899" s="355" t="s">
        <v>2409</v>
      </c>
      <c r="O4899" s="345"/>
      <c r="P4899" s="325"/>
      <c r="Q4899" s="327"/>
      <c r="R4899" s="351"/>
      <c r="S4899" s="351"/>
      <c r="T4899" s="351"/>
      <c r="U4899" s="329" t="str">
        <f>IF($N4899=$N$4,IFERROR(INDEX(DanhMuc!$E$154:$E$165,MATCH(MID($B4899,4,2),DanhMuc!$B$154:$B$165,0)),""),"")</f>
        <v/>
      </c>
      <c r="V4899" s="361"/>
      <c r="W4899" s="345"/>
      <c r="X4899" s="786"/>
      <c r="Y4899" s="1128" t="s">
        <v>3380</v>
      </c>
      <c r="Z4899" s="1128" t="s">
        <v>3381</v>
      </c>
      <c r="AA4899" s="1128" t="s">
        <v>3384</v>
      </c>
      <c r="AB4899" s="20"/>
      <c r="AC4899" s="73"/>
    </row>
    <row r="4900" spans="1:29">
      <c r="A4900" s="327" t="str">
        <f>IF(AND($B4900&lt;&gt;"",$C4900&lt;&gt;""),MAX($A$4730:$A4899)+1,"")</f>
        <v/>
      </c>
      <c r="B4900" s="361" t="s">
        <v>1200</v>
      </c>
      <c r="C4900" s="362"/>
      <c r="D4900" s="327">
        <f>IF($B4900="","",COUNTIF($B$4731:$B4900,$B4900))</f>
        <v>9</v>
      </c>
      <c r="E4900" s="362" t="s">
        <v>663</v>
      </c>
      <c r="F4900" s="362" t="s">
        <v>664</v>
      </c>
      <c r="G4900" s="327" t="s">
        <v>155</v>
      </c>
      <c r="H4900" s="361" t="s">
        <v>536</v>
      </c>
      <c r="I4900" s="361" t="s">
        <v>672</v>
      </c>
      <c r="J4900" s="361"/>
      <c r="K4900" s="327" t="s">
        <v>662</v>
      </c>
      <c r="L4900" s="478">
        <v>1000</v>
      </c>
      <c r="M4900" s="355"/>
      <c r="N4900" s="355" t="s">
        <v>2409</v>
      </c>
      <c r="O4900" s="345"/>
      <c r="P4900" s="325"/>
      <c r="Q4900" s="327"/>
      <c r="R4900" s="351"/>
      <c r="S4900" s="351"/>
      <c r="T4900" s="351"/>
      <c r="U4900" s="329" t="str">
        <f>IF($N4900=$N$4,IFERROR(INDEX(DanhMuc!$E$154:$E$165,MATCH(MID($B4900,4,2),DanhMuc!$B$154:$B$165,0)),""),"")</f>
        <v/>
      </c>
      <c r="V4900" s="361"/>
      <c r="W4900" s="345"/>
      <c r="X4900" s="786"/>
      <c r="Y4900" s="1128" t="s">
        <v>3380</v>
      </c>
      <c r="Z4900" s="1128" t="s">
        <v>3381</v>
      </c>
      <c r="AA4900" s="1128" t="s">
        <v>3384</v>
      </c>
      <c r="AB4900" s="20"/>
      <c r="AC4900" s="73"/>
    </row>
    <row r="4901" spans="1:29" ht="39">
      <c r="A4901" s="327">
        <f>IF(AND($B4901&lt;&gt;"",$C4901&lt;&gt;""),MAX($A$4730:$A4882)+1,"")</f>
        <v>7</v>
      </c>
      <c r="B4901" s="359" t="s">
        <v>748</v>
      </c>
      <c r="C4901" s="360" t="s">
        <v>1533</v>
      </c>
      <c r="D4901" s="327">
        <f>IF($B4901="","",COUNTIF($B$4731:$B4901,$B4901))</f>
        <v>1</v>
      </c>
      <c r="E4901" s="361" t="s">
        <v>1826</v>
      </c>
      <c r="F4901" s="362" t="s">
        <v>670</v>
      </c>
      <c r="G4901" s="327" t="s">
        <v>661</v>
      </c>
      <c r="H4901" s="361" t="s">
        <v>536</v>
      </c>
      <c r="I4901" s="361" t="s">
        <v>2354</v>
      </c>
      <c r="J4901" s="361"/>
      <c r="K4901" s="327" t="s">
        <v>103</v>
      </c>
      <c r="L4901" s="478">
        <f>40000/1000</f>
        <v>40</v>
      </c>
      <c r="M4901" s="355"/>
      <c r="N4901" s="355" t="s">
        <v>2408</v>
      </c>
      <c r="O4901" s="345"/>
      <c r="P4901" s="325"/>
      <c r="Q4901" s="327"/>
      <c r="R4901" s="351"/>
      <c r="S4901" s="351"/>
      <c r="T4901" s="351"/>
      <c r="U4901" s="329" t="str">
        <f>IF($N4901=$N$4,IFERROR(INDEX(DanhMuc!$E$154:$E$165,MATCH(MID($B4901,4,2),DanhMuc!$B$154:$B$165,0)),""),"")</f>
        <v/>
      </c>
      <c r="V4901" s="361"/>
      <c r="W4901" s="345"/>
      <c r="X4901" s="786"/>
      <c r="Y4901" s="1128" t="s">
        <v>3380</v>
      </c>
      <c r="Z4901" s="1128" t="s">
        <v>3381</v>
      </c>
      <c r="AA4901" s="1128" t="s">
        <v>3384</v>
      </c>
      <c r="AB4901" s="20"/>
      <c r="AC4901" s="73"/>
    </row>
    <row r="4902" spans="1:29" ht="37.5">
      <c r="A4902" s="327" t="str">
        <f>IF(AND($B4902&lt;&gt;"",$C4902&lt;&gt;""),MAX($A$4730:$A4901)+1,"")</f>
        <v/>
      </c>
      <c r="B4902" s="361" t="s">
        <v>748</v>
      </c>
      <c r="C4902" s="362"/>
      <c r="D4902" s="327">
        <f>IF($B4902="","",COUNTIF($B$4731:$B4902,$B4902))</f>
        <v>2</v>
      </c>
      <c r="E4902" s="362" t="s">
        <v>2756</v>
      </c>
      <c r="F4902" s="362" t="s">
        <v>2757</v>
      </c>
      <c r="G4902" s="327" t="s">
        <v>405</v>
      </c>
      <c r="H4902" s="361" t="s">
        <v>536</v>
      </c>
      <c r="I4902" s="327">
        <v>100</v>
      </c>
      <c r="J4902" s="361"/>
      <c r="K4902" s="327" t="s">
        <v>738</v>
      </c>
      <c r="L4902" s="479">
        <v>322</v>
      </c>
      <c r="M4902" s="371"/>
      <c r="N4902" s="355" t="s">
        <v>2408</v>
      </c>
      <c r="O4902" s="345"/>
      <c r="P4902" s="325"/>
      <c r="Q4902" s="327"/>
      <c r="R4902" s="351"/>
      <c r="S4902" s="351"/>
      <c r="T4902" s="351"/>
      <c r="U4902" s="329" t="str">
        <f>IF($N4902=$N$4,IFERROR(INDEX(DanhMuc!$E$154:$E$165,MATCH(MID($B4902,4,2),DanhMuc!$B$154:$B$165,0)),""),"")</f>
        <v/>
      </c>
      <c r="V4902" s="361"/>
      <c r="W4902" s="345"/>
      <c r="X4902" s="786"/>
      <c r="Y4902" s="1128" t="s">
        <v>3380</v>
      </c>
      <c r="Z4902" s="1128" t="s">
        <v>3381</v>
      </c>
      <c r="AA4902" s="1128" t="s">
        <v>3384</v>
      </c>
      <c r="AB4902" s="20"/>
      <c r="AC4902" s="73"/>
    </row>
    <row r="4903" spans="1:29">
      <c r="A4903" s="327" t="str">
        <f>IF(AND($B4903&lt;&gt;"",$C4903&lt;&gt;""),MAX($A$4730:$A4902)+1,"")</f>
        <v/>
      </c>
      <c r="B4903" s="361" t="s">
        <v>748</v>
      </c>
      <c r="C4903" s="362"/>
      <c r="D4903" s="327">
        <f>IF($B4903="","",COUNTIF($B$4731:$B4903,$B4903))</f>
        <v>3</v>
      </c>
      <c r="E4903" s="361" t="s">
        <v>656</v>
      </c>
      <c r="F4903" s="362" t="s">
        <v>2239</v>
      </c>
      <c r="G4903" s="327" t="s">
        <v>405</v>
      </c>
      <c r="H4903" s="361" t="s">
        <v>536</v>
      </c>
      <c r="I4903" s="361" t="s">
        <v>1827</v>
      </c>
      <c r="J4903" s="361"/>
      <c r="K4903" s="327" t="s">
        <v>100</v>
      </c>
      <c r="L4903" s="478">
        <v>970</v>
      </c>
      <c r="M4903" s="371"/>
      <c r="N4903" s="355" t="s">
        <v>2409</v>
      </c>
      <c r="O4903" s="345"/>
      <c r="P4903" s="325"/>
      <c r="Q4903" s="327"/>
      <c r="R4903" s="351"/>
      <c r="S4903" s="351"/>
      <c r="T4903" s="351"/>
      <c r="U4903" s="329" t="str">
        <f>IF($N4903=$N$4,IFERROR(INDEX(DanhMuc!$E$154:$E$165,MATCH(MID($B4903,4,2),DanhMuc!$B$154:$B$165,0)),""),"")</f>
        <v/>
      </c>
      <c r="V4903" s="361"/>
      <c r="W4903" s="345"/>
      <c r="X4903" s="786"/>
      <c r="Y4903" s="1128" t="s">
        <v>3380</v>
      </c>
      <c r="Z4903" s="1128" t="s">
        <v>3381</v>
      </c>
      <c r="AA4903" s="1128" t="s">
        <v>3384</v>
      </c>
      <c r="AB4903" s="20"/>
      <c r="AC4903" s="73"/>
    </row>
    <row r="4904" spans="1:29">
      <c r="A4904" s="327" t="str">
        <f>IF(AND($B4904&lt;&gt;"",$C4904&lt;&gt;""),MAX($A$4730:$A4903)+1,"")</f>
        <v/>
      </c>
      <c r="B4904" s="361" t="s">
        <v>748</v>
      </c>
      <c r="C4904" s="362"/>
      <c r="D4904" s="327">
        <f>IF($B4904="","",COUNTIF($B$4731:$B4904,$B4904))</f>
        <v>4</v>
      </c>
      <c r="E4904" s="361" t="s">
        <v>657</v>
      </c>
      <c r="F4904" s="362" t="s">
        <v>658</v>
      </c>
      <c r="G4904" s="327" t="s">
        <v>424</v>
      </c>
      <c r="H4904" s="361" t="s">
        <v>536</v>
      </c>
      <c r="I4904" s="361" t="s">
        <v>665</v>
      </c>
      <c r="J4904" s="361"/>
      <c r="K4904" s="327" t="s">
        <v>100</v>
      </c>
      <c r="L4904" s="478">
        <v>60000</v>
      </c>
      <c r="M4904" s="355"/>
      <c r="N4904" s="355" t="s">
        <v>2409</v>
      </c>
      <c r="O4904" s="345"/>
      <c r="P4904" s="325"/>
      <c r="Q4904" s="327"/>
      <c r="R4904" s="351"/>
      <c r="S4904" s="351"/>
      <c r="T4904" s="351"/>
      <c r="U4904" s="329" t="str">
        <f>IF($N4904=$N$4,IFERROR(INDEX(DanhMuc!$E$154:$E$165,MATCH(MID($B4904,4,2),DanhMuc!$B$154:$B$165,0)),""),"")</f>
        <v/>
      </c>
      <c r="V4904" s="361"/>
      <c r="W4904" s="345"/>
      <c r="X4904" s="786"/>
      <c r="Y4904" s="1128" t="s">
        <v>3380</v>
      </c>
      <c r="Z4904" s="1128" t="s">
        <v>3381</v>
      </c>
      <c r="AA4904" s="1128" t="s">
        <v>3384</v>
      </c>
      <c r="AB4904" s="20"/>
      <c r="AC4904" s="73"/>
    </row>
    <row r="4905" spans="1:29">
      <c r="A4905" s="327" t="str">
        <f>IF(AND($B4905&lt;&gt;"",$C4905&lt;&gt;""),MAX($A$4730:$A4904)+1,"")</f>
        <v/>
      </c>
      <c r="B4905" s="361" t="s">
        <v>748</v>
      </c>
      <c r="C4905" s="362"/>
      <c r="D4905" s="327">
        <f>IF($B4905="","",COUNTIF($B$4731:$B4905,$B4905))</f>
        <v>5</v>
      </c>
      <c r="E4905" s="361" t="s">
        <v>2771</v>
      </c>
      <c r="F4905" s="362" t="s">
        <v>659</v>
      </c>
      <c r="G4905" s="327" t="s">
        <v>424</v>
      </c>
      <c r="H4905" s="361" t="s">
        <v>536</v>
      </c>
      <c r="I4905" s="361" t="s">
        <v>666</v>
      </c>
      <c r="J4905" s="361"/>
      <c r="K4905" s="327" t="s">
        <v>100</v>
      </c>
      <c r="L4905" s="389">
        <v>53000</v>
      </c>
      <c r="M4905" s="355"/>
      <c r="N4905" s="355" t="s">
        <v>2409</v>
      </c>
      <c r="O4905" s="345"/>
      <c r="P4905" s="325"/>
      <c r="Q4905" s="327"/>
      <c r="R4905" s="351"/>
      <c r="S4905" s="351"/>
      <c r="T4905" s="351"/>
      <c r="U4905" s="329" t="str">
        <f>IF($N4905=$N$4,IFERROR(INDEX(DanhMuc!$E$154:$E$165,MATCH(MID($B4905,4,2),DanhMuc!$B$154:$B$165,0)),""),"")</f>
        <v/>
      </c>
      <c r="V4905" s="361"/>
      <c r="W4905" s="345"/>
      <c r="X4905" s="786"/>
      <c r="Y4905" s="1128" t="s">
        <v>3380</v>
      </c>
      <c r="Z4905" s="1128" t="s">
        <v>3381</v>
      </c>
      <c r="AA4905" s="1128" t="s">
        <v>3384</v>
      </c>
      <c r="AB4905" s="20"/>
      <c r="AC4905" s="73"/>
    </row>
    <row r="4906" spans="1:29">
      <c r="A4906" s="327" t="str">
        <f>IF(AND($B4906&lt;&gt;"",$C4906&lt;&gt;""),MAX($A$4730:$A4905)+1,"")</f>
        <v/>
      </c>
      <c r="B4906" s="361" t="s">
        <v>748</v>
      </c>
      <c r="C4906" s="362"/>
      <c r="D4906" s="327">
        <f>IF($B4906="","",COUNTIF($B$4731:$B4906,$B4906))</f>
        <v>6</v>
      </c>
      <c r="E4906" s="361" t="s">
        <v>1828</v>
      </c>
      <c r="F4906" s="362" t="s">
        <v>671</v>
      </c>
      <c r="G4906" s="327" t="s">
        <v>661</v>
      </c>
      <c r="H4906" s="361" t="s">
        <v>536</v>
      </c>
      <c r="I4906" s="361" t="s">
        <v>2355</v>
      </c>
      <c r="J4906" s="361"/>
      <c r="K4906" s="327" t="s">
        <v>100</v>
      </c>
      <c r="L4906" s="478">
        <f>40000/1000</f>
        <v>40</v>
      </c>
      <c r="M4906" s="355"/>
      <c r="N4906" s="355" t="s">
        <v>2409</v>
      </c>
      <c r="O4906" s="345"/>
      <c r="P4906" s="325"/>
      <c r="Q4906" s="327"/>
      <c r="R4906" s="351"/>
      <c r="S4906" s="351"/>
      <c r="T4906" s="351"/>
      <c r="U4906" s="329" t="str">
        <f>IF($N4906=$N$4,IFERROR(INDEX(DanhMuc!$E$154:$E$165,MATCH(MID($B4906,4,2),DanhMuc!$B$154:$B$165,0)),""),"")</f>
        <v/>
      </c>
      <c r="V4906" s="361"/>
      <c r="W4906" s="345"/>
      <c r="X4906" s="786"/>
      <c r="Y4906" s="1128" t="s">
        <v>3380</v>
      </c>
      <c r="Z4906" s="1128" t="s">
        <v>3381</v>
      </c>
      <c r="AA4906" s="1128" t="s">
        <v>3384</v>
      </c>
      <c r="AB4906" s="20"/>
      <c r="AC4906" s="73"/>
    </row>
    <row r="4907" spans="1:29">
      <c r="A4907" s="327" t="str">
        <f>IF(AND($B4907&lt;&gt;"",$C4907&lt;&gt;""),MAX($A$4730:$A4906)+1,"")</f>
        <v/>
      </c>
      <c r="B4907" s="361" t="s">
        <v>748</v>
      </c>
      <c r="C4907" s="362"/>
      <c r="D4907" s="327">
        <f>IF($B4907="","",COUNTIF($B$4731:$B4907,$B4907))</f>
        <v>7</v>
      </c>
      <c r="E4907" s="361" t="s">
        <v>154</v>
      </c>
      <c r="F4907" s="362" t="s">
        <v>660</v>
      </c>
      <c r="G4907" s="327" t="s">
        <v>661</v>
      </c>
      <c r="H4907" s="361" t="s">
        <v>536</v>
      </c>
      <c r="I4907" s="361" t="s">
        <v>667</v>
      </c>
      <c r="J4907" s="361"/>
      <c r="K4907" s="327" t="s">
        <v>662</v>
      </c>
      <c r="L4907" s="478">
        <v>20</v>
      </c>
      <c r="M4907" s="355"/>
      <c r="N4907" s="355" t="s">
        <v>2409</v>
      </c>
      <c r="O4907" s="345"/>
      <c r="P4907" s="325"/>
      <c r="Q4907" s="327"/>
      <c r="R4907" s="351"/>
      <c r="S4907" s="351"/>
      <c r="T4907" s="351"/>
      <c r="U4907" s="329" t="str">
        <f>IF($N4907=$N$4,IFERROR(INDEX(DanhMuc!$E$154:$E$165,MATCH(MID($B4907,4,2),DanhMuc!$B$154:$B$165,0)),""),"")</f>
        <v/>
      </c>
      <c r="V4907" s="361"/>
      <c r="W4907" s="345"/>
      <c r="X4907" s="786"/>
      <c r="Y4907" s="1128" t="s">
        <v>3380</v>
      </c>
      <c r="Z4907" s="1128" t="s">
        <v>3381</v>
      </c>
      <c r="AA4907" s="1128" t="s">
        <v>3384</v>
      </c>
      <c r="AB4907" s="20"/>
      <c r="AC4907" s="73"/>
    </row>
    <row r="4908" spans="1:29">
      <c r="A4908" s="327" t="str">
        <f>IF(AND($B4908&lt;&gt;"",$C4908&lt;&gt;""),MAX($A$4730:$A4907)+1,"")</f>
        <v/>
      </c>
      <c r="B4908" s="361" t="s">
        <v>748</v>
      </c>
      <c r="C4908" s="362"/>
      <c r="D4908" s="327">
        <f>IF($B4908="","",COUNTIF($B$4731:$B4908,$B4908))</f>
        <v>8</v>
      </c>
      <c r="E4908" s="362" t="s">
        <v>2282</v>
      </c>
      <c r="F4908" s="362" t="s">
        <v>2283</v>
      </c>
      <c r="G4908" s="327" t="s">
        <v>424</v>
      </c>
      <c r="H4908" s="361" t="s">
        <v>536</v>
      </c>
      <c r="I4908" s="361" t="s">
        <v>2238</v>
      </c>
      <c r="J4908" s="361"/>
      <c r="K4908" s="327" t="s">
        <v>662</v>
      </c>
      <c r="L4908" s="478">
        <v>28000</v>
      </c>
      <c r="M4908" s="355"/>
      <c r="N4908" s="355" t="s">
        <v>2409</v>
      </c>
      <c r="O4908" s="345"/>
      <c r="P4908" s="325"/>
      <c r="Q4908" s="327"/>
      <c r="R4908" s="351"/>
      <c r="S4908" s="351"/>
      <c r="T4908" s="351"/>
      <c r="U4908" s="329" t="str">
        <f>IF($N4908=$N$4,IFERROR(INDEX(DanhMuc!$E$154:$E$165,MATCH(MID($B4908,4,2),DanhMuc!$B$154:$B$165,0)),""),"")</f>
        <v/>
      </c>
      <c r="V4908" s="361"/>
      <c r="W4908" s="345"/>
      <c r="X4908" s="786"/>
      <c r="Y4908" s="1128" t="s">
        <v>3380</v>
      </c>
      <c r="Z4908" s="1128" t="s">
        <v>3381</v>
      </c>
      <c r="AA4908" s="1128" t="s">
        <v>3384</v>
      </c>
      <c r="AB4908" s="20"/>
      <c r="AC4908" s="73"/>
    </row>
    <row r="4909" spans="1:29">
      <c r="A4909" s="327" t="str">
        <f>IF(AND($B4909&lt;&gt;"",$C4909&lt;&gt;""),MAX($A$4730:$A4908)+1,"")</f>
        <v/>
      </c>
      <c r="B4909" s="361" t="s">
        <v>748</v>
      </c>
      <c r="C4909" s="362"/>
      <c r="D4909" s="327">
        <f>IF($B4909="","",COUNTIF($B$4731:$B4909,$B4909))</f>
        <v>9</v>
      </c>
      <c r="E4909" s="362" t="s">
        <v>663</v>
      </c>
      <c r="F4909" s="362" t="s">
        <v>664</v>
      </c>
      <c r="G4909" s="327" t="s">
        <v>155</v>
      </c>
      <c r="H4909" s="361" t="s">
        <v>536</v>
      </c>
      <c r="I4909" s="361" t="s">
        <v>672</v>
      </c>
      <c r="J4909" s="361"/>
      <c r="K4909" s="327" t="s">
        <v>662</v>
      </c>
      <c r="L4909" s="478">
        <v>1000</v>
      </c>
      <c r="M4909" s="355"/>
      <c r="N4909" s="355" t="s">
        <v>2409</v>
      </c>
      <c r="O4909" s="345"/>
      <c r="P4909" s="325"/>
      <c r="Q4909" s="327"/>
      <c r="R4909" s="351"/>
      <c r="S4909" s="351"/>
      <c r="T4909" s="351"/>
      <c r="U4909" s="329" t="str">
        <f>IF($N4909=$N$4,IFERROR(INDEX(DanhMuc!$E$154:$E$165,MATCH(MID($B4909,4,2),DanhMuc!$B$154:$B$165,0)),""),"")</f>
        <v/>
      </c>
      <c r="V4909" s="361"/>
      <c r="W4909" s="345"/>
      <c r="X4909" s="786"/>
      <c r="Y4909" s="1128" t="s">
        <v>3380</v>
      </c>
      <c r="Z4909" s="1128" t="s">
        <v>3381</v>
      </c>
      <c r="AA4909" s="1128" t="s">
        <v>3384</v>
      </c>
      <c r="AB4909" s="20"/>
      <c r="AC4909" s="73"/>
    </row>
    <row r="4910" spans="1:29" ht="39">
      <c r="A4910" s="327">
        <f>IF(AND($B4910&lt;&gt;"",$C4910&lt;&gt;""),MAX($A$4730:$A4891)+1,"")</f>
        <v>7</v>
      </c>
      <c r="B4910" s="359" t="s">
        <v>3155</v>
      </c>
      <c r="C4910" s="360" t="s">
        <v>3154</v>
      </c>
      <c r="D4910" s="327">
        <f>IF($B4910="","",COUNTIF($B$4731:$B4910,$B4910))</f>
        <v>1</v>
      </c>
      <c r="E4910" s="361" t="s">
        <v>1826</v>
      </c>
      <c r="F4910" s="362" t="s">
        <v>670</v>
      </c>
      <c r="G4910" s="327" t="s">
        <v>661</v>
      </c>
      <c r="H4910" s="361" t="s">
        <v>536</v>
      </c>
      <c r="I4910" s="361" t="s">
        <v>2354</v>
      </c>
      <c r="J4910" s="361"/>
      <c r="K4910" s="327" t="s">
        <v>103</v>
      </c>
      <c r="L4910" s="478">
        <f>40000/1000</f>
        <v>40</v>
      </c>
      <c r="M4910" s="355"/>
      <c r="N4910" s="355" t="s">
        <v>2408</v>
      </c>
      <c r="O4910" s="345"/>
      <c r="P4910" s="325"/>
      <c r="Q4910" s="327"/>
      <c r="R4910" s="351"/>
      <c r="S4910" s="351"/>
      <c r="T4910" s="351"/>
      <c r="U4910" s="329" t="str">
        <f>IF($N4910=$N$4,IFERROR(INDEX(DanhMuc!$E$154:$E$165,MATCH(MID($B4910,4,2),DanhMuc!$B$154:$B$165,0)),""),"")</f>
        <v/>
      </c>
      <c r="V4910" s="361"/>
      <c r="W4910" s="345"/>
      <c r="X4910" s="786"/>
      <c r="Y4910" s="1128" t="s">
        <v>3380</v>
      </c>
      <c r="Z4910" s="1128" t="s">
        <v>3381</v>
      </c>
      <c r="AA4910" s="1128" t="s">
        <v>3384</v>
      </c>
      <c r="AB4910" s="20"/>
      <c r="AC4910" s="73"/>
    </row>
    <row r="4911" spans="1:29" ht="37.5">
      <c r="A4911" s="327" t="str">
        <f>IF(AND($B4911&lt;&gt;"",$C4911&lt;&gt;""),MAX($A$4730:$A4910)+1,"")</f>
        <v/>
      </c>
      <c r="B4911" s="361" t="s">
        <v>3155</v>
      </c>
      <c r="C4911" s="362"/>
      <c r="D4911" s="327">
        <f>IF($B4911="","",COUNTIF($B$4731:$B4911,$B4911))</f>
        <v>2</v>
      </c>
      <c r="E4911" s="362" t="s">
        <v>2756</v>
      </c>
      <c r="F4911" s="362" t="s">
        <v>2757</v>
      </c>
      <c r="G4911" s="327" t="s">
        <v>405</v>
      </c>
      <c r="H4911" s="361" t="s">
        <v>536</v>
      </c>
      <c r="I4911" s="327">
        <v>100</v>
      </c>
      <c r="J4911" s="361"/>
      <c r="K4911" s="327" t="s">
        <v>738</v>
      </c>
      <c r="L4911" s="479">
        <v>322</v>
      </c>
      <c r="M4911" s="371"/>
      <c r="N4911" s="355" t="s">
        <v>2408</v>
      </c>
      <c r="O4911" s="345"/>
      <c r="P4911" s="325"/>
      <c r="Q4911" s="327"/>
      <c r="R4911" s="351"/>
      <c r="S4911" s="351"/>
      <c r="T4911" s="351"/>
      <c r="U4911" s="329" t="str">
        <f>IF($N4911=$N$4,IFERROR(INDEX(DanhMuc!$E$154:$E$165,MATCH(MID($B4911,4,2),DanhMuc!$B$154:$B$165,0)),""),"")</f>
        <v/>
      </c>
      <c r="V4911" s="361"/>
      <c r="W4911" s="345"/>
      <c r="X4911" s="786"/>
      <c r="Y4911" s="1128" t="s">
        <v>3380</v>
      </c>
      <c r="Z4911" s="1128" t="s">
        <v>3381</v>
      </c>
      <c r="AA4911" s="1128" t="s">
        <v>3384</v>
      </c>
      <c r="AB4911" s="20"/>
      <c r="AC4911" s="73"/>
    </row>
    <row r="4912" spans="1:29">
      <c r="A4912" s="327" t="str">
        <f>IF(AND($B4912&lt;&gt;"",$C4912&lt;&gt;""),MAX($A$4730:$A4911)+1,"")</f>
        <v/>
      </c>
      <c r="B4912" s="361" t="s">
        <v>3155</v>
      </c>
      <c r="C4912" s="362"/>
      <c r="D4912" s="327">
        <f>IF($B4912="","",COUNTIF($B$4731:$B4912,$B4912))</f>
        <v>3</v>
      </c>
      <c r="E4912" s="361" t="s">
        <v>656</v>
      </c>
      <c r="F4912" s="362" t="s">
        <v>2239</v>
      </c>
      <c r="G4912" s="327" t="s">
        <v>405</v>
      </c>
      <c r="H4912" s="361" t="s">
        <v>536</v>
      </c>
      <c r="I4912" s="361" t="s">
        <v>1827</v>
      </c>
      <c r="J4912" s="361"/>
      <c r="K4912" s="327" t="s">
        <v>100</v>
      </c>
      <c r="L4912" s="478">
        <v>970</v>
      </c>
      <c r="M4912" s="371"/>
      <c r="N4912" s="355" t="s">
        <v>2409</v>
      </c>
      <c r="O4912" s="345"/>
      <c r="P4912" s="325"/>
      <c r="Q4912" s="327"/>
      <c r="R4912" s="351"/>
      <c r="S4912" s="351"/>
      <c r="T4912" s="351"/>
      <c r="U4912" s="329" t="str">
        <f>IF($N4912=$N$4,IFERROR(INDEX(DanhMuc!$E$154:$E$165,MATCH(MID($B4912,4,2),DanhMuc!$B$154:$B$165,0)),""),"")</f>
        <v/>
      </c>
      <c r="V4912" s="361"/>
      <c r="W4912" s="345"/>
      <c r="X4912" s="786"/>
      <c r="Y4912" s="1128" t="s">
        <v>3380</v>
      </c>
      <c r="Z4912" s="1128" t="s">
        <v>3381</v>
      </c>
      <c r="AA4912" s="1128" t="s">
        <v>3384</v>
      </c>
      <c r="AB4912" s="20"/>
      <c r="AC4912" s="73"/>
    </row>
    <row r="4913" spans="1:29">
      <c r="A4913" s="327" t="str">
        <f>IF(AND($B4913&lt;&gt;"",$C4913&lt;&gt;""),MAX($A$4730:$A4912)+1,"")</f>
        <v/>
      </c>
      <c r="B4913" s="361" t="s">
        <v>3155</v>
      </c>
      <c r="C4913" s="362"/>
      <c r="D4913" s="327">
        <f>IF($B4913="","",COUNTIF($B$4731:$B4913,$B4913))</f>
        <v>4</v>
      </c>
      <c r="E4913" s="361" t="s">
        <v>657</v>
      </c>
      <c r="F4913" s="362" t="s">
        <v>658</v>
      </c>
      <c r="G4913" s="327" t="s">
        <v>424</v>
      </c>
      <c r="H4913" s="361" t="s">
        <v>536</v>
      </c>
      <c r="I4913" s="361" t="s">
        <v>665</v>
      </c>
      <c r="J4913" s="361"/>
      <c r="K4913" s="327" t="s">
        <v>100</v>
      </c>
      <c r="L4913" s="478">
        <v>60000</v>
      </c>
      <c r="M4913" s="355"/>
      <c r="N4913" s="355" t="s">
        <v>2409</v>
      </c>
      <c r="O4913" s="345"/>
      <c r="P4913" s="325"/>
      <c r="Q4913" s="327"/>
      <c r="R4913" s="351"/>
      <c r="S4913" s="351"/>
      <c r="T4913" s="351"/>
      <c r="U4913" s="329" t="str">
        <f>IF($N4913=$N$4,IFERROR(INDEX(DanhMuc!$E$154:$E$165,MATCH(MID($B4913,4,2),DanhMuc!$B$154:$B$165,0)),""),"")</f>
        <v/>
      </c>
      <c r="V4913" s="361"/>
      <c r="W4913" s="345"/>
      <c r="X4913" s="786"/>
      <c r="Y4913" s="1128" t="s">
        <v>3380</v>
      </c>
      <c r="Z4913" s="1128" t="s">
        <v>3381</v>
      </c>
      <c r="AA4913" s="1128" t="s">
        <v>3384</v>
      </c>
      <c r="AB4913" s="20"/>
      <c r="AC4913" s="73"/>
    </row>
    <row r="4914" spans="1:29">
      <c r="A4914" s="327" t="str">
        <f>IF(AND($B4914&lt;&gt;"",$C4914&lt;&gt;""),MAX($A$4730:$A4913)+1,"")</f>
        <v/>
      </c>
      <c r="B4914" s="361" t="s">
        <v>3155</v>
      </c>
      <c r="C4914" s="362"/>
      <c r="D4914" s="327">
        <f>IF($B4914="","",COUNTIF($B$4731:$B4914,$B4914))</f>
        <v>5</v>
      </c>
      <c r="E4914" s="361" t="s">
        <v>2771</v>
      </c>
      <c r="F4914" s="362" t="s">
        <v>659</v>
      </c>
      <c r="G4914" s="327" t="s">
        <v>424</v>
      </c>
      <c r="H4914" s="361" t="s">
        <v>536</v>
      </c>
      <c r="I4914" s="361" t="s">
        <v>666</v>
      </c>
      <c r="J4914" s="361"/>
      <c r="K4914" s="327" t="s">
        <v>100</v>
      </c>
      <c r="L4914" s="389">
        <v>53000</v>
      </c>
      <c r="M4914" s="355"/>
      <c r="N4914" s="355" t="s">
        <v>2409</v>
      </c>
      <c r="O4914" s="345"/>
      <c r="P4914" s="325"/>
      <c r="Q4914" s="327"/>
      <c r="R4914" s="351"/>
      <c r="S4914" s="351"/>
      <c r="T4914" s="351"/>
      <c r="U4914" s="329" t="str">
        <f>IF($N4914=$N$4,IFERROR(INDEX(DanhMuc!$E$154:$E$165,MATCH(MID($B4914,4,2),DanhMuc!$B$154:$B$165,0)),""),"")</f>
        <v/>
      </c>
      <c r="V4914" s="361"/>
      <c r="W4914" s="345"/>
      <c r="X4914" s="786"/>
      <c r="Y4914" s="1128" t="s">
        <v>3380</v>
      </c>
      <c r="Z4914" s="1128" t="s">
        <v>3381</v>
      </c>
      <c r="AA4914" s="1128" t="s">
        <v>3384</v>
      </c>
      <c r="AB4914" s="20"/>
      <c r="AC4914" s="73"/>
    </row>
    <row r="4915" spans="1:29">
      <c r="A4915" s="327" t="str">
        <f>IF(AND($B4915&lt;&gt;"",$C4915&lt;&gt;""),MAX($A$4730:$A4914)+1,"")</f>
        <v/>
      </c>
      <c r="B4915" s="361" t="s">
        <v>3155</v>
      </c>
      <c r="C4915" s="362"/>
      <c r="D4915" s="327">
        <f>IF($B4915="","",COUNTIF($B$4731:$B4915,$B4915))</f>
        <v>6</v>
      </c>
      <c r="E4915" s="361" t="s">
        <v>1828</v>
      </c>
      <c r="F4915" s="362" t="s">
        <v>671</v>
      </c>
      <c r="G4915" s="327" t="s">
        <v>661</v>
      </c>
      <c r="H4915" s="361" t="s">
        <v>536</v>
      </c>
      <c r="I4915" s="361" t="s">
        <v>2355</v>
      </c>
      <c r="J4915" s="361"/>
      <c r="K4915" s="327" t="s">
        <v>100</v>
      </c>
      <c r="L4915" s="478">
        <f>40000/1000</f>
        <v>40</v>
      </c>
      <c r="M4915" s="355"/>
      <c r="N4915" s="355" t="s">
        <v>2409</v>
      </c>
      <c r="O4915" s="345"/>
      <c r="P4915" s="325"/>
      <c r="Q4915" s="327"/>
      <c r="R4915" s="351"/>
      <c r="S4915" s="351"/>
      <c r="T4915" s="351"/>
      <c r="U4915" s="329" t="str">
        <f>IF($N4915=$N$4,IFERROR(INDEX(DanhMuc!$E$154:$E$165,MATCH(MID($B4915,4,2),DanhMuc!$B$154:$B$165,0)),""),"")</f>
        <v/>
      </c>
      <c r="V4915" s="361"/>
      <c r="W4915" s="345"/>
      <c r="X4915" s="786"/>
      <c r="Y4915" s="1128" t="s">
        <v>3380</v>
      </c>
      <c r="Z4915" s="1128" t="s">
        <v>3381</v>
      </c>
      <c r="AA4915" s="1128" t="s">
        <v>3384</v>
      </c>
      <c r="AB4915" s="20"/>
      <c r="AC4915" s="73"/>
    </row>
    <row r="4916" spans="1:29">
      <c r="A4916" s="327" t="str">
        <f>IF(AND($B4916&lt;&gt;"",$C4916&lt;&gt;""),MAX($A$4730:$A4915)+1,"")</f>
        <v/>
      </c>
      <c r="B4916" s="361" t="s">
        <v>3155</v>
      </c>
      <c r="C4916" s="362"/>
      <c r="D4916" s="327">
        <f>IF($B4916="","",COUNTIF($B$4731:$B4916,$B4916))</f>
        <v>7</v>
      </c>
      <c r="E4916" s="361" t="s">
        <v>154</v>
      </c>
      <c r="F4916" s="362" t="s">
        <v>660</v>
      </c>
      <c r="G4916" s="327" t="s">
        <v>661</v>
      </c>
      <c r="H4916" s="361" t="s">
        <v>536</v>
      </c>
      <c r="I4916" s="361" t="s">
        <v>667</v>
      </c>
      <c r="J4916" s="361"/>
      <c r="K4916" s="327" t="s">
        <v>662</v>
      </c>
      <c r="L4916" s="478">
        <v>20</v>
      </c>
      <c r="M4916" s="355"/>
      <c r="N4916" s="355" t="s">
        <v>2409</v>
      </c>
      <c r="O4916" s="345"/>
      <c r="P4916" s="325"/>
      <c r="Q4916" s="327"/>
      <c r="R4916" s="351"/>
      <c r="S4916" s="351"/>
      <c r="T4916" s="351"/>
      <c r="U4916" s="329" t="str">
        <f>IF($N4916=$N$4,IFERROR(INDEX(DanhMuc!$E$154:$E$165,MATCH(MID($B4916,4,2),DanhMuc!$B$154:$B$165,0)),""),"")</f>
        <v/>
      </c>
      <c r="V4916" s="361"/>
      <c r="W4916" s="345"/>
      <c r="X4916" s="786"/>
      <c r="Y4916" s="1128" t="s">
        <v>3380</v>
      </c>
      <c r="Z4916" s="1128" t="s">
        <v>3381</v>
      </c>
      <c r="AA4916" s="1128" t="s">
        <v>3384</v>
      </c>
      <c r="AB4916" s="20"/>
      <c r="AC4916" s="73"/>
    </row>
    <row r="4917" spans="1:29">
      <c r="A4917" s="327" t="str">
        <f>IF(AND($B4917&lt;&gt;"",$C4917&lt;&gt;""),MAX($A$4730:$A4916)+1,"")</f>
        <v/>
      </c>
      <c r="B4917" s="361" t="s">
        <v>3155</v>
      </c>
      <c r="C4917" s="362"/>
      <c r="D4917" s="327">
        <f>IF($B4917="","",COUNTIF($B$4731:$B4917,$B4917))</f>
        <v>8</v>
      </c>
      <c r="E4917" s="362" t="s">
        <v>2282</v>
      </c>
      <c r="F4917" s="362" t="s">
        <v>2283</v>
      </c>
      <c r="G4917" s="327" t="s">
        <v>424</v>
      </c>
      <c r="H4917" s="361" t="s">
        <v>536</v>
      </c>
      <c r="I4917" s="361" t="s">
        <v>2238</v>
      </c>
      <c r="J4917" s="361"/>
      <c r="K4917" s="327" t="s">
        <v>662</v>
      </c>
      <c r="L4917" s="478">
        <v>28000</v>
      </c>
      <c r="M4917" s="355"/>
      <c r="N4917" s="355" t="s">
        <v>2409</v>
      </c>
      <c r="O4917" s="345"/>
      <c r="P4917" s="325"/>
      <c r="Q4917" s="327"/>
      <c r="R4917" s="351"/>
      <c r="S4917" s="351"/>
      <c r="T4917" s="351"/>
      <c r="U4917" s="329" t="str">
        <f>IF($N4917=$N$4,IFERROR(INDEX(DanhMuc!$E$154:$E$165,MATCH(MID($B4917,4,2),DanhMuc!$B$154:$B$165,0)),""),"")</f>
        <v/>
      </c>
      <c r="V4917" s="361"/>
      <c r="W4917" s="345"/>
      <c r="X4917" s="786"/>
      <c r="Y4917" s="1128" t="s">
        <v>3380</v>
      </c>
      <c r="Z4917" s="1128" t="s">
        <v>3381</v>
      </c>
      <c r="AA4917" s="1128" t="s">
        <v>3384</v>
      </c>
      <c r="AB4917" s="20"/>
      <c r="AC4917" s="73"/>
    </row>
    <row r="4918" spans="1:29">
      <c r="A4918" s="327" t="str">
        <f>IF(AND($B4918&lt;&gt;"",$C4918&lt;&gt;""),MAX($A$4730:$A4917)+1,"")</f>
        <v/>
      </c>
      <c r="B4918" s="361" t="s">
        <v>3155</v>
      </c>
      <c r="C4918" s="362"/>
      <c r="D4918" s="327">
        <f>IF($B4918="","",COUNTIF($B$4731:$B4918,$B4918))</f>
        <v>9</v>
      </c>
      <c r="E4918" s="362" t="s">
        <v>663</v>
      </c>
      <c r="F4918" s="362" t="s">
        <v>664</v>
      </c>
      <c r="G4918" s="327" t="s">
        <v>155</v>
      </c>
      <c r="H4918" s="361" t="s">
        <v>536</v>
      </c>
      <c r="I4918" s="361" t="s">
        <v>672</v>
      </c>
      <c r="J4918" s="361"/>
      <c r="K4918" s="327" t="s">
        <v>662</v>
      </c>
      <c r="L4918" s="478">
        <v>1000</v>
      </c>
      <c r="M4918" s="355"/>
      <c r="N4918" s="355" t="s">
        <v>2409</v>
      </c>
      <c r="O4918" s="345"/>
      <c r="P4918" s="325"/>
      <c r="Q4918" s="327"/>
      <c r="R4918" s="351"/>
      <c r="S4918" s="351"/>
      <c r="T4918" s="351"/>
      <c r="U4918" s="329" t="str">
        <f>IF($N4918=$N$4,IFERROR(INDEX(DanhMuc!$E$154:$E$165,MATCH(MID($B4918,4,2),DanhMuc!$B$154:$B$165,0)),""),"")</f>
        <v/>
      </c>
      <c r="V4918" s="361"/>
      <c r="W4918" s="345"/>
      <c r="X4918" s="786"/>
      <c r="Y4918" s="1128" t="s">
        <v>3380</v>
      </c>
      <c r="Z4918" s="1128" t="s">
        <v>3381</v>
      </c>
      <c r="AA4918" s="1128" t="s">
        <v>3384</v>
      </c>
      <c r="AB4918" s="20"/>
      <c r="AC4918" s="73"/>
    </row>
    <row r="4919" spans="1:29" ht="26">
      <c r="A4919" s="327">
        <f>IF(AND($B4919&lt;&gt;"",$C4919&lt;&gt;""),MAX($A$4730:$A4900)+1,"")</f>
        <v>8</v>
      </c>
      <c r="B4919" s="359" t="s">
        <v>1178</v>
      </c>
      <c r="C4919" s="360" t="s">
        <v>1536</v>
      </c>
      <c r="D4919" s="327">
        <f>IF($B4919="","",COUNTIF($B$4731:$B4919,$B4919))</f>
        <v>1</v>
      </c>
      <c r="E4919" s="480" t="s">
        <v>2858</v>
      </c>
      <c r="F4919" s="403" t="s">
        <v>2859</v>
      </c>
      <c r="G4919" s="327" t="s">
        <v>155</v>
      </c>
      <c r="H4919" s="361" t="s">
        <v>536</v>
      </c>
      <c r="I4919" s="327">
        <v>4</v>
      </c>
      <c r="J4919" s="361"/>
      <c r="K4919" s="327" t="s">
        <v>100</v>
      </c>
      <c r="L4919" s="389">
        <v>7100</v>
      </c>
      <c r="M4919" s="355"/>
      <c r="N4919" s="355" t="s">
        <v>2408</v>
      </c>
      <c r="O4919" s="345" t="s">
        <v>2777</v>
      </c>
      <c r="P4919" s="325"/>
      <c r="Q4919" s="327"/>
      <c r="R4919" s="351"/>
      <c r="S4919" s="351"/>
      <c r="T4919" s="351"/>
      <c r="U4919" s="329" t="str">
        <f>IF($N4919=$N$4,IFERROR(INDEX(DanhMuc!$E$154:$E$165,MATCH(MID($B4919,4,2),DanhMuc!$B$154:$B$165,0)),""),"")</f>
        <v/>
      </c>
      <c r="V4919" s="361"/>
      <c r="W4919" s="345"/>
      <c r="X4919" s="786"/>
      <c r="Y4919" s="1128" t="s">
        <v>3380</v>
      </c>
      <c r="Z4919" s="1128" t="s">
        <v>3381</v>
      </c>
      <c r="AA4919" s="1128" t="s">
        <v>3384</v>
      </c>
      <c r="AB4919" s="20"/>
      <c r="AC4919" s="73"/>
    </row>
    <row r="4920" spans="1:29" ht="25">
      <c r="A4920" s="327" t="str">
        <f>IF(AND($B4920&lt;&gt;"",$C4920&lt;&gt;""),MAX($A$4730:$A4901)+1,"")</f>
        <v/>
      </c>
      <c r="B4920" s="361" t="s">
        <v>1178</v>
      </c>
      <c r="C4920" s="360"/>
      <c r="D4920" s="327">
        <f>IF($B4920="","",COUNTIF($B$4731:$B4920,$B4920))</f>
        <v>2</v>
      </c>
      <c r="E4920" s="480" t="s">
        <v>2304</v>
      </c>
      <c r="F4920" s="403" t="s">
        <v>2335</v>
      </c>
      <c r="G4920" s="327" t="s">
        <v>155</v>
      </c>
      <c r="H4920" s="361" t="s">
        <v>536</v>
      </c>
      <c r="I4920" s="327">
        <v>4</v>
      </c>
      <c r="J4920" s="361"/>
      <c r="K4920" s="327" t="s">
        <v>100</v>
      </c>
      <c r="L4920" s="389">
        <v>7100</v>
      </c>
      <c r="M4920" s="355"/>
      <c r="N4920" s="355" t="s">
        <v>2408</v>
      </c>
      <c r="O4920" s="345" t="s">
        <v>2776</v>
      </c>
      <c r="P4920" s="325"/>
      <c r="Q4920" s="327"/>
      <c r="R4920" s="351"/>
      <c r="S4920" s="351"/>
      <c r="T4920" s="351"/>
      <c r="U4920" s="329" t="str">
        <f>IF($N4920=$N$4,IFERROR(INDEX(DanhMuc!$E$154:$E$165,MATCH(MID($B4920,4,2),DanhMuc!$B$154:$B$165,0)),""),"")</f>
        <v/>
      </c>
      <c r="V4920" s="361"/>
      <c r="W4920" s="345"/>
      <c r="X4920" s="786"/>
      <c r="Y4920" s="1128" t="s">
        <v>3380</v>
      </c>
      <c r="Z4920" s="1128" t="s">
        <v>3381</v>
      </c>
      <c r="AA4920" s="1128" t="s">
        <v>3384</v>
      </c>
      <c r="AB4920" s="20"/>
      <c r="AC4920" s="73"/>
    </row>
    <row r="4921" spans="1:29">
      <c r="A4921" s="327" t="str">
        <f>IF(AND($B4921&lt;&gt;"",$C4921&lt;&gt;""),MAX($A$4730:$A4920)+1,"")</f>
        <v/>
      </c>
      <c r="B4921" s="361" t="s">
        <v>1178</v>
      </c>
      <c r="C4921" s="360"/>
      <c r="D4921" s="327">
        <f>IF($B4921="","",COUNTIF($B$4731:$B4921,$B4921))</f>
        <v>3</v>
      </c>
      <c r="E4921" s="402" t="s">
        <v>2788</v>
      </c>
      <c r="F4921" s="403" t="s">
        <v>2789</v>
      </c>
      <c r="G4921" s="327" t="s">
        <v>155</v>
      </c>
      <c r="H4921" s="361" t="s">
        <v>536</v>
      </c>
      <c r="I4921" s="327">
        <f>4*I4920</f>
        <v>16</v>
      </c>
      <c r="J4921" s="361"/>
      <c r="K4921" s="327" t="s">
        <v>100</v>
      </c>
      <c r="L4921" s="389">
        <v>600</v>
      </c>
      <c r="M4921" s="355"/>
      <c r="N4921" s="355" t="s">
        <v>2408</v>
      </c>
      <c r="O4921" s="345" t="s">
        <v>2776</v>
      </c>
      <c r="P4921" s="325"/>
      <c r="Q4921" s="327"/>
      <c r="R4921" s="351"/>
      <c r="S4921" s="351"/>
      <c r="T4921" s="351"/>
      <c r="U4921" s="329" t="str">
        <f>IF($N4921=$N$4,IFERROR(INDEX(DanhMuc!$E$154:$E$165,MATCH(MID($B4921,4,2),DanhMuc!$B$154:$B$165,0)),""),"")</f>
        <v/>
      </c>
      <c r="V4921" s="361"/>
      <c r="W4921" s="345"/>
      <c r="X4921" s="786"/>
      <c r="Y4921" s="1128" t="s">
        <v>3380</v>
      </c>
      <c r="Z4921" s="1128" t="s">
        <v>3381</v>
      </c>
      <c r="AA4921" s="1128" t="s">
        <v>3384</v>
      </c>
      <c r="AB4921" s="20"/>
      <c r="AC4921" s="73"/>
    </row>
    <row r="4922" spans="1:29">
      <c r="A4922" s="327" t="str">
        <f>IF(AND($B4922&lt;&gt;"",$C4922&lt;&gt;""),MAX($A$4730:$A4901)+1,"")</f>
        <v/>
      </c>
      <c r="B4922" s="361" t="s">
        <v>1178</v>
      </c>
      <c r="C4922" s="360"/>
      <c r="D4922" s="327">
        <f>IF($B4922="","",COUNTIF($B$4731:$B4922,$B4922))</f>
        <v>4</v>
      </c>
      <c r="E4922" s="480" t="s">
        <v>2860</v>
      </c>
      <c r="F4922" s="403" t="s">
        <v>2861</v>
      </c>
      <c r="G4922" s="327" t="s">
        <v>155</v>
      </c>
      <c r="H4922" s="361" t="s">
        <v>536</v>
      </c>
      <c r="I4922" s="327">
        <v>8</v>
      </c>
      <c r="J4922" s="361"/>
      <c r="K4922" s="327" t="s">
        <v>101</v>
      </c>
      <c r="L4922" s="389">
        <v>5100</v>
      </c>
      <c r="M4922" s="355"/>
      <c r="N4922" s="355" t="s">
        <v>2408</v>
      </c>
      <c r="O4922" s="345" t="s">
        <v>2779</v>
      </c>
      <c r="P4922" s="325"/>
      <c r="Q4922" s="327"/>
      <c r="R4922" s="351"/>
      <c r="S4922" s="351"/>
      <c r="T4922" s="351"/>
      <c r="U4922" s="329" t="str">
        <f>IF($N4922=$N$4,IFERROR(INDEX(DanhMuc!$E$154:$E$165,MATCH(MID($B4922,4,2),DanhMuc!$B$154:$B$165,0)),""),"")</f>
        <v/>
      </c>
      <c r="V4922" s="361"/>
      <c r="W4922" s="345"/>
      <c r="X4922" s="786"/>
      <c r="Y4922" s="1128" t="s">
        <v>3380</v>
      </c>
      <c r="Z4922" s="1128" t="s">
        <v>3381</v>
      </c>
      <c r="AA4922" s="1128" t="s">
        <v>3384</v>
      </c>
      <c r="AB4922" s="20"/>
      <c r="AC4922" s="73"/>
    </row>
    <row r="4923" spans="1:29">
      <c r="A4923" s="327" t="str">
        <f>IF(AND($B4923&lt;&gt;"",$C4923&lt;&gt;""),MAX($A$4730:$A4902)+1,"")</f>
        <v/>
      </c>
      <c r="B4923" s="361" t="s">
        <v>1178</v>
      </c>
      <c r="C4923" s="360"/>
      <c r="D4923" s="327">
        <f>IF($B4923="","",COUNTIF($B$4731:$B4923,$B4923))</f>
        <v>5</v>
      </c>
      <c r="E4923" s="480" t="s">
        <v>2305</v>
      </c>
      <c r="F4923" s="403" t="s">
        <v>2862</v>
      </c>
      <c r="G4923" s="327" t="s">
        <v>155</v>
      </c>
      <c r="H4923" s="361" t="s">
        <v>536</v>
      </c>
      <c r="I4923" s="327">
        <v>8</v>
      </c>
      <c r="J4923" s="361"/>
      <c r="K4923" s="327" t="s">
        <v>101</v>
      </c>
      <c r="L4923" s="389">
        <v>5100</v>
      </c>
      <c r="M4923" s="355"/>
      <c r="N4923" s="355" t="s">
        <v>2408</v>
      </c>
      <c r="O4923" s="345" t="s">
        <v>2778</v>
      </c>
      <c r="P4923" s="325"/>
      <c r="Q4923" s="327"/>
      <c r="R4923" s="351"/>
      <c r="S4923" s="351"/>
      <c r="T4923" s="351"/>
      <c r="U4923" s="329" t="str">
        <f>IF($N4923=$N$4,IFERROR(INDEX(DanhMuc!$E$154:$E$165,MATCH(MID($B4923,4,2),DanhMuc!$B$154:$B$165,0)),""),"")</f>
        <v/>
      </c>
      <c r="V4923" s="361"/>
      <c r="W4923" s="345"/>
      <c r="X4923" s="786"/>
      <c r="Y4923" s="1128" t="s">
        <v>3380</v>
      </c>
      <c r="Z4923" s="1128" t="s">
        <v>3381</v>
      </c>
      <c r="AA4923" s="1128" t="s">
        <v>3384</v>
      </c>
      <c r="AB4923" s="20"/>
      <c r="AC4923" s="73"/>
    </row>
    <row r="4924" spans="1:29">
      <c r="A4924" s="327" t="str">
        <f>IF(AND($B4924&lt;&gt;"",$C4924&lt;&gt;""),MAX($A$4730:$A4922)+1,"")</f>
        <v/>
      </c>
      <c r="B4924" s="361" t="s">
        <v>1178</v>
      </c>
      <c r="C4924" s="360"/>
      <c r="D4924" s="327">
        <f>IF($B4924="","",COUNTIF($B$4731:$B4924,$B4924))</f>
        <v>6</v>
      </c>
      <c r="E4924" s="402" t="s">
        <v>2788</v>
      </c>
      <c r="F4924" s="403" t="s">
        <v>2789</v>
      </c>
      <c r="G4924" s="327" t="s">
        <v>155</v>
      </c>
      <c r="H4924" s="361" t="s">
        <v>536</v>
      </c>
      <c r="I4924" s="327">
        <f>4*I4923</f>
        <v>32</v>
      </c>
      <c r="J4924" s="361"/>
      <c r="K4924" s="327" t="s">
        <v>101</v>
      </c>
      <c r="L4924" s="389">
        <v>600</v>
      </c>
      <c r="M4924" s="355"/>
      <c r="N4924" s="355" t="s">
        <v>2408</v>
      </c>
      <c r="O4924" s="345" t="s">
        <v>2778</v>
      </c>
      <c r="P4924" s="325"/>
      <c r="Q4924" s="327"/>
      <c r="R4924" s="351"/>
      <c r="S4924" s="351"/>
      <c r="T4924" s="351"/>
      <c r="U4924" s="329" t="str">
        <f>IF($N4924=$N$4,IFERROR(INDEX(DanhMuc!$E$154:$E$165,MATCH(MID($B4924,4,2),DanhMuc!$B$154:$B$165,0)),""),"")</f>
        <v/>
      </c>
      <c r="V4924" s="361"/>
      <c r="W4924" s="345"/>
      <c r="X4924" s="786"/>
      <c r="Y4924" s="1128" t="s">
        <v>3380</v>
      </c>
      <c r="Z4924" s="1128" t="s">
        <v>3381</v>
      </c>
      <c r="AA4924" s="1128" t="s">
        <v>3384</v>
      </c>
      <c r="AB4924" s="20"/>
      <c r="AC4924" s="73"/>
    </row>
    <row r="4925" spans="1:29">
      <c r="A4925" s="327" t="str">
        <f>IF(AND($B4925&lt;&gt;"",$C4925&lt;&gt;""),MAX($A$4730:$A4901)+1,"")</f>
        <v/>
      </c>
      <c r="B4925" s="361" t="s">
        <v>1178</v>
      </c>
      <c r="C4925" s="360"/>
      <c r="D4925" s="327">
        <f>IF($B4925="","",COUNTIF($B$4731:$B4925,$B4925))</f>
        <v>7</v>
      </c>
      <c r="E4925" s="361" t="s">
        <v>2338</v>
      </c>
      <c r="F4925" s="362" t="s">
        <v>2331</v>
      </c>
      <c r="G4925" s="327" t="s">
        <v>155</v>
      </c>
      <c r="H4925" s="361" t="s">
        <v>536</v>
      </c>
      <c r="I4925" s="327">
        <v>16</v>
      </c>
      <c r="J4925" s="361"/>
      <c r="K4925" s="327" t="s">
        <v>101</v>
      </c>
      <c r="L4925" s="389">
        <v>750</v>
      </c>
      <c r="M4925" s="355"/>
      <c r="N4925" s="355" t="s">
        <v>2408</v>
      </c>
      <c r="O4925" s="345"/>
      <c r="P4925" s="325"/>
      <c r="Q4925" s="327"/>
      <c r="R4925" s="351"/>
      <c r="S4925" s="351"/>
      <c r="T4925" s="351"/>
      <c r="U4925" s="329" t="str">
        <f>IF($N4925=$N$4,IFERROR(INDEX(DanhMuc!$E$154:$E$165,MATCH(MID($B4925,4,2),DanhMuc!$B$154:$B$165,0)),""),"")</f>
        <v/>
      </c>
      <c r="V4925" s="361"/>
      <c r="W4925" s="345"/>
      <c r="X4925" s="786"/>
      <c r="Y4925" s="1128" t="s">
        <v>3380</v>
      </c>
      <c r="Z4925" s="1128" t="s">
        <v>3381</v>
      </c>
      <c r="AA4925" s="1128" t="s">
        <v>3384</v>
      </c>
      <c r="AB4925" s="20"/>
      <c r="AC4925" s="73"/>
    </row>
    <row r="4926" spans="1:29">
      <c r="A4926" s="327" t="str">
        <f>IF(AND($B4926&lt;&gt;"",$C4926&lt;&gt;""),MAX($A$4730:$A4925)+1,"")</f>
        <v/>
      </c>
      <c r="B4926" s="361" t="s">
        <v>1178</v>
      </c>
      <c r="C4926" s="362"/>
      <c r="D4926" s="327">
        <f>IF($B4926="","",COUNTIF($B$4731:$B4926,$B4926))</f>
        <v>8</v>
      </c>
      <c r="E4926" s="361" t="s">
        <v>654</v>
      </c>
      <c r="F4926" s="362" t="s">
        <v>653</v>
      </c>
      <c r="G4926" s="327" t="s">
        <v>1836</v>
      </c>
      <c r="H4926" s="361" t="s">
        <v>536</v>
      </c>
      <c r="I4926" s="327">
        <f>I4919/45</f>
        <v>8.8888888888888892E-2</v>
      </c>
      <c r="J4926" s="477"/>
      <c r="K4926" s="327" t="s">
        <v>655</v>
      </c>
      <c r="L4926" s="478">
        <v>115000</v>
      </c>
      <c r="M4926" s="355"/>
      <c r="N4926" s="355" t="s">
        <v>2408</v>
      </c>
      <c r="O4926" s="345" t="s">
        <v>2777</v>
      </c>
      <c r="P4926" s="325"/>
      <c r="Q4926" s="327"/>
      <c r="R4926" s="351"/>
      <c r="S4926" s="351"/>
      <c r="T4926" s="351"/>
      <c r="U4926" s="329" t="str">
        <f>IF($N4926=$N$4,IFERROR(INDEX(DanhMuc!$E$154:$E$165,MATCH(MID($B4926,4,2),DanhMuc!$B$154:$B$165,0)),""),"")</f>
        <v/>
      </c>
      <c r="V4926" s="361"/>
      <c r="W4926" s="345"/>
      <c r="X4926" s="786"/>
      <c r="Y4926" s="1128" t="s">
        <v>3380</v>
      </c>
      <c r="Z4926" s="1128" t="s">
        <v>3381</v>
      </c>
      <c r="AA4926" s="1128" t="s">
        <v>3384</v>
      </c>
      <c r="AB4926" s="20"/>
      <c r="AC4926" s="73"/>
    </row>
    <row r="4927" spans="1:29">
      <c r="A4927" s="327" t="str">
        <f>IF(AND($B4927&lt;&gt;"",$C4927&lt;&gt;""),MAX($A$4730:$A4926)+1,"")</f>
        <v/>
      </c>
      <c r="B4927" s="361" t="s">
        <v>1178</v>
      </c>
      <c r="C4927" s="362"/>
      <c r="D4927" s="327">
        <f>IF($B4927="","",COUNTIF($B$4731:$B4927,$B4927))</f>
        <v>9</v>
      </c>
      <c r="E4927" s="361" t="s">
        <v>654</v>
      </c>
      <c r="F4927" s="362" t="s">
        <v>653</v>
      </c>
      <c r="G4927" s="327" t="s">
        <v>1836</v>
      </c>
      <c r="H4927" s="361" t="s">
        <v>536</v>
      </c>
      <c r="I4927" s="327">
        <f>I4922/45</f>
        <v>0.17777777777777778</v>
      </c>
      <c r="J4927" s="477"/>
      <c r="K4927" s="327" t="s">
        <v>655</v>
      </c>
      <c r="L4927" s="478">
        <v>115000</v>
      </c>
      <c r="M4927" s="355"/>
      <c r="N4927" s="355" t="s">
        <v>2408</v>
      </c>
      <c r="O4927" s="345" t="s">
        <v>2779</v>
      </c>
      <c r="P4927" s="325"/>
      <c r="Q4927" s="327"/>
      <c r="R4927" s="351"/>
      <c r="S4927" s="351"/>
      <c r="T4927" s="351"/>
      <c r="U4927" s="329" t="str">
        <f>IF($N4927=$N$4,IFERROR(INDEX(DanhMuc!$E$154:$E$165,MATCH(MID($B4927,4,2),DanhMuc!$B$154:$B$165,0)),""),"")</f>
        <v/>
      </c>
      <c r="V4927" s="361"/>
      <c r="W4927" s="345"/>
      <c r="X4927" s="786"/>
      <c r="Y4927" s="1128" t="s">
        <v>3380</v>
      </c>
      <c r="Z4927" s="1128" t="s">
        <v>3381</v>
      </c>
      <c r="AA4927" s="1128" t="s">
        <v>3384</v>
      </c>
      <c r="AB4927" s="20"/>
      <c r="AC4927" s="73"/>
    </row>
    <row r="4928" spans="1:29">
      <c r="A4928" s="327" t="str">
        <f>IF(AND($B4928&lt;&gt;"",$C4928&lt;&gt;""),MAX($A$4730:$A4902)+1,"")</f>
        <v/>
      </c>
      <c r="B4928" s="361" t="s">
        <v>1178</v>
      </c>
      <c r="C4928" s="360"/>
      <c r="D4928" s="327">
        <f>IF($B4928="","",COUNTIF($B$4731:$B4928,$B4928))</f>
        <v>10</v>
      </c>
      <c r="E4928" s="361" t="s">
        <v>1826</v>
      </c>
      <c r="F4928" s="362" t="s">
        <v>670</v>
      </c>
      <c r="G4928" s="327" t="s">
        <v>661</v>
      </c>
      <c r="H4928" s="361" t="s">
        <v>536</v>
      </c>
      <c r="I4928" s="361" t="s">
        <v>2354</v>
      </c>
      <c r="J4928" s="361"/>
      <c r="K4928" s="327" t="s">
        <v>103</v>
      </c>
      <c r="L4928" s="478">
        <f>40000/1000</f>
        <v>40</v>
      </c>
      <c r="M4928" s="355"/>
      <c r="N4928" s="355" t="s">
        <v>2408</v>
      </c>
      <c r="O4928" s="345"/>
      <c r="P4928" s="325"/>
      <c r="Q4928" s="327"/>
      <c r="R4928" s="351"/>
      <c r="S4928" s="351"/>
      <c r="T4928" s="351"/>
      <c r="U4928" s="329" t="str">
        <f>IF($N4928=$N$4,IFERROR(INDEX(DanhMuc!$E$154:$E$165,MATCH(MID($B4928,4,2),DanhMuc!$B$154:$B$165,0)),""),"")</f>
        <v/>
      </c>
      <c r="V4928" s="361"/>
      <c r="W4928" s="345"/>
      <c r="X4928" s="786"/>
      <c r="Y4928" s="1128" t="s">
        <v>3380</v>
      </c>
      <c r="Z4928" s="1128" t="s">
        <v>3381</v>
      </c>
      <c r="AA4928" s="1128" t="s">
        <v>3384</v>
      </c>
      <c r="AB4928" s="20"/>
      <c r="AC4928" s="73"/>
    </row>
    <row r="4929" spans="1:29" ht="37.5">
      <c r="A4929" s="327" t="str">
        <f>IF(AND($B4929&lt;&gt;"",$C4929&lt;&gt;""),MAX($A$4730:$A4919)+1,"")</f>
        <v/>
      </c>
      <c r="B4929" s="361" t="s">
        <v>1178</v>
      </c>
      <c r="C4929" s="362"/>
      <c r="D4929" s="327">
        <f>IF($B4929="","",COUNTIF($B$4731:$B4929,$B4929))</f>
        <v>11</v>
      </c>
      <c r="E4929" s="362" t="s">
        <v>2756</v>
      </c>
      <c r="F4929" s="362" t="s">
        <v>2757</v>
      </c>
      <c r="G4929" s="327" t="s">
        <v>405</v>
      </c>
      <c r="H4929" s="361" t="s">
        <v>536</v>
      </c>
      <c r="I4929" s="361" t="s">
        <v>694</v>
      </c>
      <c r="J4929" s="361"/>
      <c r="K4929" s="327" t="s">
        <v>738</v>
      </c>
      <c r="L4929" s="479">
        <v>322</v>
      </c>
      <c r="M4929" s="371"/>
      <c r="N4929" s="355" t="s">
        <v>2408</v>
      </c>
      <c r="O4929" s="345"/>
      <c r="P4929" s="325"/>
      <c r="Q4929" s="327"/>
      <c r="R4929" s="351"/>
      <c r="S4929" s="351"/>
      <c r="T4929" s="351"/>
      <c r="U4929" s="329" t="str">
        <f>IF($N4929=$N$4,IFERROR(INDEX(DanhMuc!$E$154:$E$165,MATCH(MID($B4929,4,2),DanhMuc!$B$154:$B$165,0)),""),"")</f>
        <v/>
      </c>
      <c r="V4929" s="361"/>
      <c r="W4929" s="345"/>
      <c r="X4929" s="786"/>
      <c r="Y4929" s="1128" t="s">
        <v>3380</v>
      </c>
      <c r="Z4929" s="1128" t="s">
        <v>3381</v>
      </c>
      <c r="AA4929" s="1128" t="s">
        <v>3384</v>
      </c>
      <c r="AB4929" s="20"/>
      <c r="AC4929" s="73"/>
    </row>
    <row r="4930" spans="1:29">
      <c r="A4930" s="327" t="str">
        <f>IF(AND($B4930&lt;&gt;"",$C4930&lt;&gt;""),MAX($A$4730:$A4929)+1,"")</f>
        <v/>
      </c>
      <c r="B4930" s="361" t="s">
        <v>1178</v>
      </c>
      <c r="C4930" s="362"/>
      <c r="D4930" s="327">
        <f>IF($B4930="","",COUNTIF($B$4731:$B4930,$B4930))</f>
        <v>12</v>
      </c>
      <c r="E4930" s="361" t="s">
        <v>656</v>
      </c>
      <c r="F4930" s="362" t="s">
        <v>2239</v>
      </c>
      <c r="G4930" s="327" t="s">
        <v>405</v>
      </c>
      <c r="H4930" s="361" t="s">
        <v>536</v>
      </c>
      <c r="I4930" s="361" t="s">
        <v>1827</v>
      </c>
      <c r="J4930" s="361"/>
      <c r="K4930" s="327" t="s">
        <v>100</v>
      </c>
      <c r="L4930" s="478">
        <v>970</v>
      </c>
      <c r="M4930" s="371"/>
      <c r="N4930" s="355" t="s">
        <v>2409</v>
      </c>
      <c r="O4930" s="345"/>
      <c r="P4930" s="325"/>
      <c r="Q4930" s="327"/>
      <c r="R4930" s="351"/>
      <c r="S4930" s="351"/>
      <c r="T4930" s="351"/>
      <c r="U4930" s="329" t="str">
        <f>IF($N4930=$N$4,IFERROR(INDEX(DanhMuc!$E$154:$E$165,MATCH(MID($B4930,4,2),DanhMuc!$B$154:$B$165,0)),""),"")</f>
        <v/>
      </c>
      <c r="V4930" s="361"/>
      <c r="W4930" s="345"/>
      <c r="X4930" s="786"/>
      <c r="Y4930" s="1128" t="s">
        <v>3380</v>
      </c>
      <c r="Z4930" s="1128" t="s">
        <v>3381</v>
      </c>
      <c r="AA4930" s="1128" t="s">
        <v>3384</v>
      </c>
      <c r="AB4930" s="20"/>
      <c r="AC4930" s="73"/>
    </row>
    <row r="4931" spans="1:29">
      <c r="A4931" s="327" t="str">
        <f>IF(AND($B4931&lt;&gt;"",$C4931&lt;&gt;""),MAX($A$4730:$A4930)+1,"")</f>
        <v/>
      </c>
      <c r="B4931" s="361" t="s">
        <v>1178</v>
      </c>
      <c r="C4931" s="362"/>
      <c r="D4931" s="327">
        <f>IF($B4931="","",COUNTIF($B$4731:$B4931,$B4931))</f>
        <v>13</v>
      </c>
      <c r="E4931" s="361" t="s">
        <v>657</v>
      </c>
      <c r="F4931" s="362" t="s">
        <v>658</v>
      </c>
      <c r="G4931" s="327" t="s">
        <v>424</v>
      </c>
      <c r="H4931" s="361" t="s">
        <v>536</v>
      </c>
      <c r="I4931" s="361" t="s">
        <v>665</v>
      </c>
      <c r="J4931" s="361"/>
      <c r="K4931" s="327" t="s">
        <v>100</v>
      </c>
      <c r="L4931" s="478">
        <v>60000</v>
      </c>
      <c r="M4931" s="355"/>
      <c r="N4931" s="355" t="s">
        <v>2409</v>
      </c>
      <c r="O4931" s="345"/>
      <c r="P4931" s="325"/>
      <c r="Q4931" s="327"/>
      <c r="R4931" s="351"/>
      <c r="S4931" s="351"/>
      <c r="T4931" s="351"/>
      <c r="U4931" s="329" t="str">
        <f>IF($N4931=$N$4,IFERROR(INDEX(DanhMuc!$E$154:$E$165,MATCH(MID($B4931,4,2),DanhMuc!$B$154:$B$165,0)),""),"")</f>
        <v/>
      </c>
      <c r="V4931" s="361"/>
      <c r="W4931" s="345"/>
      <c r="X4931" s="786"/>
      <c r="Y4931" s="1128" t="s">
        <v>3380</v>
      </c>
      <c r="Z4931" s="1128" t="s">
        <v>3381</v>
      </c>
      <c r="AA4931" s="1128" t="s">
        <v>3384</v>
      </c>
      <c r="AB4931" s="20"/>
      <c r="AC4931" s="73"/>
    </row>
    <row r="4932" spans="1:29">
      <c r="A4932" s="327" t="str">
        <f>IF(AND($B4932&lt;&gt;"",$C4932&lt;&gt;""),MAX($A$4730:$A4931)+1,"")</f>
        <v/>
      </c>
      <c r="B4932" s="361" t="s">
        <v>1178</v>
      </c>
      <c r="C4932" s="362"/>
      <c r="D4932" s="327">
        <f>IF($B4932="","",COUNTIF($B$4731:$B4932,$B4932))</f>
        <v>14</v>
      </c>
      <c r="E4932" s="361" t="s">
        <v>2771</v>
      </c>
      <c r="F4932" s="362" t="s">
        <v>659</v>
      </c>
      <c r="G4932" s="327" t="s">
        <v>424</v>
      </c>
      <c r="H4932" s="361" t="s">
        <v>536</v>
      </c>
      <c r="I4932" s="361" t="s">
        <v>666</v>
      </c>
      <c r="J4932" s="361"/>
      <c r="K4932" s="327" t="s">
        <v>100</v>
      </c>
      <c r="L4932" s="389">
        <v>53000</v>
      </c>
      <c r="M4932" s="355"/>
      <c r="N4932" s="355" t="s">
        <v>2409</v>
      </c>
      <c r="O4932" s="345"/>
      <c r="P4932" s="325"/>
      <c r="Q4932" s="327"/>
      <c r="R4932" s="351"/>
      <c r="S4932" s="351"/>
      <c r="T4932" s="351"/>
      <c r="U4932" s="329" t="str">
        <f>IF($N4932=$N$4,IFERROR(INDEX(DanhMuc!$E$154:$E$165,MATCH(MID($B4932,4,2),DanhMuc!$B$154:$B$165,0)),""),"")</f>
        <v/>
      </c>
      <c r="V4932" s="361"/>
      <c r="W4932" s="345"/>
      <c r="X4932" s="786"/>
      <c r="Y4932" s="1128" t="s">
        <v>3380</v>
      </c>
      <c r="Z4932" s="1128" t="s">
        <v>3381</v>
      </c>
      <c r="AA4932" s="1128" t="s">
        <v>3384</v>
      </c>
      <c r="AB4932" s="20"/>
      <c r="AC4932" s="73"/>
    </row>
    <row r="4933" spans="1:29">
      <c r="A4933" s="327" t="str">
        <f>IF(AND($B4933&lt;&gt;"",$C4933&lt;&gt;""),MAX($A$4730:$A4932)+1,"")</f>
        <v/>
      </c>
      <c r="B4933" s="361" t="s">
        <v>1178</v>
      </c>
      <c r="C4933" s="362"/>
      <c r="D4933" s="327">
        <f>IF($B4933="","",COUNTIF($B$4731:$B4933,$B4933))</f>
        <v>15</v>
      </c>
      <c r="E4933" s="361" t="s">
        <v>1828</v>
      </c>
      <c r="F4933" s="362" t="s">
        <v>671</v>
      </c>
      <c r="G4933" s="327" t="s">
        <v>661</v>
      </c>
      <c r="H4933" s="361" t="s">
        <v>536</v>
      </c>
      <c r="I4933" s="361" t="s">
        <v>2355</v>
      </c>
      <c r="J4933" s="361"/>
      <c r="K4933" s="327" t="s">
        <v>100</v>
      </c>
      <c r="L4933" s="478">
        <f>40000/1000</f>
        <v>40</v>
      </c>
      <c r="M4933" s="355"/>
      <c r="N4933" s="355" t="s">
        <v>2409</v>
      </c>
      <c r="O4933" s="345"/>
      <c r="P4933" s="325"/>
      <c r="Q4933" s="327"/>
      <c r="R4933" s="351"/>
      <c r="S4933" s="351"/>
      <c r="T4933" s="351"/>
      <c r="U4933" s="329" t="str">
        <f>IF($N4933=$N$4,IFERROR(INDEX(DanhMuc!$E$154:$E$165,MATCH(MID($B4933,4,2),DanhMuc!$B$154:$B$165,0)),""),"")</f>
        <v/>
      </c>
      <c r="V4933" s="361"/>
      <c r="W4933" s="345"/>
      <c r="X4933" s="786"/>
      <c r="Y4933" s="1128" t="s">
        <v>3380</v>
      </c>
      <c r="Z4933" s="1128" t="s">
        <v>3381</v>
      </c>
      <c r="AA4933" s="1128" t="s">
        <v>3384</v>
      </c>
      <c r="AB4933" s="20"/>
      <c r="AC4933" s="73"/>
    </row>
    <row r="4934" spans="1:29">
      <c r="A4934" s="327" t="str">
        <f>IF(AND($B4934&lt;&gt;"",$C4934&lt;&gt;""),MAX($A$4730:$A4933)+1,"")</f>
        <v/>
      </c>
      <c r="B4934" s="361" t="s">
        <v>1178</v>
      </c>
      <c r="C4934" s="362"/>
      <c r="D4934" s="327">
        <f>IF($B4934="","",COUNTIF($B$4731:$B4934,$B4934))</f>
        <v>16</v>
      </c>
      <c r="E4934" s="361" t="s">
        <v>154</v>
      </c>
      <c r="F4934" s="362" t="s">
        <v>660</v>
      </c>
      <c r="G4934" s="327" t="s">
        <v>661</v>
      </c>
      <c r="H4934" s="361" t="s">
        <v>536</v>
      </c>
      <c r="I4934" s="361" t="s">
        <v>667</v>
      </c>
      <c r="J4934" s="361"/>
      <c r="K4934" s="327" t="s">
        <v>662</v>
      </c>
      <c r="L4934" s="478">
        <v>20</v>
      </c>
      <c r="M4934" s="355"/>
      <c r="N4934" s="355" t="s">
        <v>2409</v>
      </c>
      <c r="O4934" s="345"/>
      <c r="P4934" s="325"/>
      <c r="Q4934" s="327"/>
      <c r="R4934" s="351"/>
      <c r="S4934" s="351"/>
      <c r="T4934" s="351"/>
      <c r="U4934" s="329" t="str">
        <f>IF($N4934=$N$4,IFERROR(INDEX(DanhMuc!$E$154:$E$165,MATCH(MID($B4934,4,2),DanhMuc!$B$154:$B$165,0)),""),"")</f>
        <v/>
      </c>
      <c r="V4934" s="361"/>
      <c r="W4934" s="345"/>
      <c r="X4934" s="786"/>
      <c r="Y4934" s="1128" t="s">
        <v>3380</v>
      </c>
      <c r="Z4934" s="1128" t="s">
        <v>3381</v>
      </c>
      <c r="AA4934" s="1128" t="s">
        <v>3384</v>
      </c>
      <c r="AB4934" s="20"/>
      <c r="AC4934" s="73"/>
    </row>
    <row r="4935" spans="1:29">
      <c r="A4935" s="327" t="str">
        <f>IF(AND($B4935&lt;&gt;"",$C4935&lt;&gt;""),MAX($A$4730:$A4934)+1,"")</f>
        <v/>
      </c>
      <c r="B4935" s="361" t="s">
        <v>1178</v>
      </c>
      <c r="C4935" s="362"/>
      <c r="D4935" s="327">
        <f>IF($B4935="","",COUNTIF($B$4731:$B4935,$B4935))</f>
        <v>17</v>
      </c>
      <c r="E4935" s="362" t="s">
        <v>2282</v>
      </c>
      <c r="F4935" s="362" t="s">
        <v>2283</v>
      </c>
      <c r="G4935" s="327" t="s">
        <v>424</v>
      </c>
      <c r="H4935" s="361" t="s">
        <v>536</v>
      </c>
      <c r="I4935" s="361" t="s">
        <v>2238</v>
      </c>
      <c r="J4935" s="361"/>
      <c r="K4935" s="327" t="s">
        <v>662</v>
      </c>
      <c r="L4935" s="478">
        <v>28000</v>
      </c>
      <c r="M4935" s="355"/>
      <c r="N4935" s="355" t="s">
        <v>2409</v>
      </c>
      <c r="O4935" s="345"/>
      <c r="P4935" s="325"/>
      <c r="Q4935" s="327"/>
      <c r="R4935" s="351"/>
      <c r="S4935" s="351"/>
      <c r="T4935" s="351"/>
      <c r="U4935" s="329" t="str">
        <f>IF($N4935=$N$4,IFERROR(INDEX(DanhMuc!$E$154:$E$165,MATCH(MID($B4935,4,2),DanhMuc!$B$154:$B$165,0)),""),"")</f>
        <v/>
      </c>
      <c r="V4935" s="361"/>
      <c r="W4935" s="345"/>
      <c r="X4935" s="786"/>
      <c r="Y4935" s="1128" t="s">
        <v>3380</v>
      </c>
      <c r="Z4935" s="1128" t="s">
        <v>3381</v>
      </c>
      <c r="AA4935" s="1128" t="s">
        <v>3384</v>
      </c>
      <c r="AB4935" s="20"/>
      <c r="AC4935" s="73"/>
    </row>
    <row r="4936" spans="1:29">
      <c r="A4936" s="327" t="str">
        <f>IF(AND($B4936&lt;&gt;"",$C4936&lt;&gt;""),MAX($A$4730:$A4935)+1,"")</f>
        <v/>
      </c>
      <c r="B4936" s="361" t="s">
        <v>1178</v>
      </c>
      <c r="C4936" s="362"/>
      <c r="D4936" s="327">
        <f>IF($B4936="","",COUNTIF($B$4731:$B4936,$B4936))</f>
        <v>18</v>
      </c>
      <c r="E4936" s="362" t="s">
        <v>663</v>
      </c>
      <c r="F4936" s="362" t="s">
        <v>664</v>
      </c>
      <c r="G4936" s="327" t="s">
        <v>155</v>
      </c>
      <c r="H4936" s="361" t="s">
        <v>536</v>
      </c>
      <c r="I4936" s="361" t="s">
        <v>672</v>
      </c>
      <c r="J4936" s="361"/>
      <c r="K4936" s="327" t="s">
        <v>662</v>
      </c>
      <c r="L4936" s="478">
        <v>1000</v>
      </c>
      <c r="M4936" s="355"/>
      <c r="N4936" s="355" t="s">
        <v>2409</v>
      </c>
      <c r="O4936" s="345"/>
      <c r="P4936" s="325"/>
      <c r="Q4936" s="327"/>
      <c r="R4936" s="351"/>
      <c r="S4936" s="351"/>
      <c r="T4936" s="351"/>
      <c r="U4936" s="329" t="str">
        <f>IF($N4936=$N$4,IFERROR(INDEX(DanhMuc!$E$154:$E$165,MATCH(MID($B4936,4,2),DanhMuc!$B$154:$B$165,0)),""),"")</f>
        <v/>
      </c>
      <c r="V4936" s="361"/>
      <c r="W4936" s="345"/>
      <c r="X4936" s="786"/>
      <c r="Y4936" s="1128" t="s">
        <v>3380</v>
      </c>
      <c r="Z4936" s="1128" t="s">
        <v>3381</v>
      </c>
      <c r="AA4936" s="1128" t="s">
        <v>3384</v>
      </c>
      <c r="AB4936" s="20"/>
      <c r="AC4936" s="73"/>
    </row>
    <row r="4937" spans="1:29" ht="39">
      <c r="A4937" s="327">
        <f>IF(AND($B4937&lt;&gt;"",$C4937&lt;&gt;""),MAX($A$4730:$A4918)+1,"")</f>
        <v>8</v>
      </c>
      <c r="B4937" s="359" t="s">
        <v>3206</v>
      </c>
      <c r="C4937" s="360" t="s">
        <v>3205</v>
      </c>
      <c r="D4937" s="327">
        <f>IF($B4937="","",COUNTIF($B$4731:$B4937,$B4937))</f>
        <v>1</v>
      </c>
      <c r="E4937" s="480" t="s">
        <v>2860</v>
      </c>
      <c r="F4937" s="403" t="s">
        <v>2861</v>
      </c>
      <c r="G4937" s="327" t="s">
        <v>155</v>
      </c>
      <c r="H4937" s="361" t="s">
        <v>536</v>
      </c>
      <c r="I4937" s="327">
        <v>8</v>
      </c>
      <c r="J4937" s="361"/>
      <c r="K4937" s="327" t="s">
        <v>101</v>
      </c>
      <c r="L4937" s="389">
        <v>5100</v>
      </c>
      <c r="M4937" s="355"/>
      <c r="N4937" s="355" t="s">
        <v>2408</v>
      </c>
      <c r="O4937" s="345" t="s">
        <v>2779</v>
      </c>
      <c r="P4937" s="325"/>
      <c r="Q4937" s="327"/>
      <c r="R4937" s="351"/>
      <c r="S4937" s="351"/>
      <c r="T4937" s="351"/>
      <c r="U4937" s="329" t="str">
        <f>IF($N4937=$N$4,IFERROR(INDEX(DanhMuc!$E$154:$E$165,MATCH(MID($B4937,4,2),DanhMuc!$B$154:$B$165,0)),""),"")</f>
        <v/>
      </c>
      <c r="V4937" s="361"/>
      <c r="W4937" s="345"/>
      <c r="X4937" s="786"/>
      <c r="Y4937" s="1128" t="s">
        <v>3380</v>
      </c>
      <c r="Z4937" s="1128" t="s">
        <v>3381</v>
      </c>
      <c r="AA4937" s="1128" t="s">
        <v>3384</v>
      </c>
      <c r="AB4937" s="20"/>
      <c r="AC4937" s="73"/>
    </row>
    <row r="4938" spans="1:29">
      <c r="A4938" s="327" t="str">
        <f>IF(AND($B4938&lt;&gt;"",$C4938&lt;&gt;""),MAX($A$4730:$A4919)+1,"")</f>
        <v/>
      </c>
      <c r="B4938" s="361" t="s">
        <v>3206</v>
      </c>
      <c r="C4938" s="360"/>
      <c r="D4938" s="327">
        <f>IF($B4938="","",COUNTIF($B$4731:$B4938,$B4938))</f>
        <v>2</v>
      </c>
      <c r="E4938" s="480" t="s">
        <v>2305</v>
      </c>
      <c r="F4938" s="403" t="s">
        <v>2862</v>
      </c>
      <c r="G4938" s="327" t="s">
        <v>155</v>
      </c>
      <c r="H4938" s="361" t="s">
        <v>536</v>
      </c>
      <c r="I4938" s="327">
        <v>8</v>
      </c>
      <c r="J4938" s="361"/>
      <c r="K4938" s="327" t="s">
        <v>101</v>
      </c>
      <c r="L4938" s="389">
        <v>5100</v>
      </c>
      <c r="M4938" s="355"/>
      <c r="N4938" s="355" t="s">
        <v>2408</v>
      </c>
      <c r="O4938" s="345" t="s">
        <v>2778</v>
      </c>
      <c r="P4938" s="325"/>
      <c r="Q4938" s="327"/>
      <c r="R4938" s="351"/>
      <c r="S4938" s="351"/>
      <c r="T4938" s="351"/>
      <c r="U4938" s="329" t="str">
        <f>IF($N4938=$N$4,IFERROR(INDEX(DanhMuc!$E$154:$E$165,MATCH(MID($B4938,4,2),DanhMuc!$B$154:$B$165,0)),""),"")</f>
        <v/>
      </c>
      <c r="V4938" s="361"/>
      <c r="W4938" s="345"/>
      <c r="X4938" s="786"/>
      <c r="Y4938" s="1128" t="s">
        <v>3380</v>
      </c>
      <c r="Z4938" s="1128" t="s">
        <v>3381</v>
      </c>
      <c r="AA4938" s="1128" t="s">
        <v>3384</v>
      </c>
      <c r="AB4938" s="20"/>
      <c r="AC4938" s="73"/>
    </row>
    <row r="4939" spans="1:29">
      <c r="A4939" s="327" t="str">
        <f>IF(AND($B4939&lt;&gt;"",$C4939&lt;&gt;""),MAX($A$4730:$A4938)+1,"")</f>
        <v/>
      </c>
      <c r="B4939" s="361" t="s">
        <v>3206</v>
      </c>
      <c r="C4939" s="360"/>
      <c r="D4939" s="327">
        <f>IF($B4939="","",COUNTIF($B$4731:$B4939,$B4939))</f>
        <v>3</v>
      </c>
      <c r="E4939" s="402" t="s">
        <v>2788</v>
      </c>
      <c r="F4939" s="403" t="s">
        <v>2789</v>
      </c>
      <c r="G4939" s="327" t="s">
        <v>155</v>
      </c>
      <c r="H4939" s="361" t="s">
        <v>536</v>
      </c>
      <c r="I4939" s="327">
        <f>4*I4938</f>
        <v>32</v>
      </c>
      <c r="J4939" s="361"/>
      <c r="K4939" s="327" t="s">
        <v>101</v>
      </c>
      <c r="L4939" s="389">
        <v>600</v>
      </c>
      <c r="M4939" s="355"/>
      <c r="N4939" s="355" t="s">
        <v>2408</v>
      </c>
      <c r="O4939" s="345" t="s">
        <v>2778</v>
      </c>
      <c r="P4939" s="325"/>
      <c r="Q4939" s="327"/>
      <c r="R4939" s="351"/>
      <c r="S4939" s="351"/>
      <c r="T4939" s="351"/>
      <c r="U4939" s="329" t="str">
        <f>IF($N4939=$N$4,IFERROR(INDEX(DanhMuc!$E$154:$E$165,MATCH(MID($B4939,4,2),DanhMuc!$B$154:$B$165,0)),""),"")</f>
        <v/>
      </c>
      <c r="V4939" s="361"/>
      <c r="W4939" s="345"/>
      <c r="X4939" s="786"/>
      <c r="Y4939" s="1128" t="s">
        <v>3380</v>
      </c>
      <c r="Z4939" s="1128" t="s">
        <v>3381</v>
      </c>
      <c r="AA4939" s="1128" t="s">
        <v>3384</v>
      </c>
      <c r="AB4939" s="20"/>
      <c r="AC4939" s="73"/>
    </row>
    <row r="4940" spans="1:29">
      <c r="A4940" s="327" t="str">
        <f>IF(AND($B4940&lt;&gt;"",$C4940&lt;&gt;""),MAX($A$4730:$A4919)+1,"")</f>
        <v/>
      </c>
      <c r="B4940" s="361" t="s">
        <v>3206</v>
      </c>
      <c r="C4940" s="360"/>
      <c r="D4940" s="327">
        <f>IF($B4940="","",COUNTIF($B$4731:$B4940,$B4940))</f>
        <v>4</v>
      </c>
      <c r="E4940" s="361" t="s">
        <v>2338</v>
      </c>
      <c r="F4940" s="362" t="s">
        <v>2331</v>
      </c>
      <c r="G4940" s="327" t="s">
        <v>155</v>
      </c>
      <c r="H4940" s="361" t="s">
        <v>536</v>
      </c>
      <c r="I4940" s="327">
        <v>16</v>
      </c>
      <c r="J4940" s="361"/>
      <c r="K4940" s="327" t="s">
        <v>101</v>
      </c>
      <c r="L4940" s="389">
        <v>750</v>
      </c>
      <c r="M4940" s="355"/>
      <c r="N4940" s="355" t="s">
        <v>2408</v>
      </c>
      <c r="O4940" s="345"/>
      <c r="P4940" s="325"/>
      <c r="Q4940" s="327"/>
      <c r="R4940" s="351"/>
      <c r="S4940" s="351"/>
      <c r="T4940" s="351"/>
      <c r="U4940" s="329" t="str">
        <f>IF($N4940=$N$4,IFERROR(INDEX(DanhMuc!$E$154:$E$165,MATCH(MID($B4940,4,2),DanhMuc!$B$154:$B$165,0)),""),"")</f>
        <v/>
      </c>
      <c r="V4940" s="361"/>
      <c r="W4940" s="345"/>
      <c r="X4940" s="786"/>
      <c r="Y4940" s="1128" t="s">
        <v>3380</v>
      </c>
      <c r="Z4940" s="1128" t="s">
        <v>3381</v>
      </c>
      <c r="AA4940" s="1128" t="s">
        <v>3384</v>
      </c>
      <c r="AB4940" s="20"/>
      <c r="AC4940" s="73"/>
    </row>
    <row r="4941" spans="1:29">
      <c r="A4941" s="327" t="str">
        <f>IF(AND($B4941&lt;&gt;"",$C4941&lt;&gt;""),MAX($A$4730:$A4940)+1,"")</f>
        <v/>
      </c>
      <c r="B4941" s="361" t="s">
        <v>3206</v>
      </c>
      <c r="C4941" s="360"/>
      <c r="D4941" s="327">
        <f>IF($B4941="","",COUNTIF($B$4731:$B4941,$B4941))</f>
        <v>5</v>
      </c>
      <c r="E4941" s="361" t="s">
        <v>654</v>
      </c>
      <c r="F4941" s="362" t="s">
        <v>653</v>
      </c>
      <c r="G4941" s="327" t="s">
        <v>1836</v>
      </c>
      <c r="H4941" s="361" t="s">
        <v>536</v>
      </c>
      <c r="I4941" s="327">
        <f>I4937/45</f>
        <v>0.17777777777777778</v>
      </c>
      <c r="J4941" s="477"/>
      <c r="K4941" s="327" t="s">
        <v>655</v>
      </c>
      <c r="L4941" s="478">
        <v>115000</v>
      </c>
      <c r="M4941" s="355"/>
      <c r="N4941" s="355" t="s">
        <v>2408</v>
      </c>
      <c r="O4941" s="345" t="s">
        <v>2779</v>
      </c>
      <c r="P4941" s="325"/>
      <c r="Q4941" s="327"/>
      <c r="R4941" s="351"/>
      <c r="S4941" s="351"/>
      <c r="T4941" s="351"/>
      <c r="U4941" s="329" t="str">
        <f>IF($N4941=$N$4,IFERROR(INDEX(DanhMuc!$E$154:$E$165,MATCH(MID($B4941,4,2),DanhMuc!$B$154:$B$165,0)),""),"")</f>
        <v/>
      </c>
      <c r="V4941" s="361"/>
      <c r="W4941" s="345"/>
      <c r="X4941" s="786"/>
      <c r="Y4941" s="1128" t="s">
        <v>3380</v>
      </c>
      <c r="Z4941" s="1128" t="s">
        <v>3381</v>
      </c>
      <c r="AA4941" s="1128" t="s">
        <v>3384</v>
      </c>
      <c r="AB4941" s="20"/>
      <c r="AC4941" s="73"/>
    </row>
    <row r="4942" spans="1:29">
      <c r="A4942" s="327" t="str">
        <f>IF(AND($B4942&lt;&gt;"",$C4942&lt;&gt;""),MAX($A$4730:$A4919)+1,"")</f>
        <v/>
      </c>
      <c r="B4942" s="361" t="s">
        <v>3206</v>
      </c>
      <c r="C4942" s="360"/>
      <c r="D4942" s="327">
        <f>IF($B4942="","",COUNTIF($B$4731:$B4942,$B4942))</f>
        <v>6</v>
      </c>
      <c r="E4942" s="361" t="s">
        <v>1826</v>
      </c>
      <c r="F4942" s="362" t="s">
        <v>670</v>
      </c>
      <c r="G4942" s="327" t="s">
        <v>661</v>
      </c>
      <c r="H4942" s="361" t="s">
        <v>536</v>
      </c>
      <c r="I4942" s="361" t="s">
        <v>2354</v>
      </c>
      <c r="J4942" s="361"/>
      <c r="K4942" s="327" t="s">
        <v>103</v>
      </c>
      <c r="L4942" s="478">
        <f>40000/1000</f>
        <v>40</v>
      </c>
      <c r="M4942" s="355"/>
      <c r="N4942" s="355" t="s">
        <v>2408</v>
      </c>
      <c r="O4942" s="345"/>
      <c r="P4942" s="325"/>
      <c r="Q4942" s="327"/>
      <c r="R4942" s="351"/>
      <c r="S4942" s="351"/>
      <c r="T4942" s="351"/>
      <c r="U4942" s="329" t="str">
        <f>IF($N4942=$N$4,IFERROR(INDEX(DanhMuc!$E$154:$E$165,MATCH(MID($B4942,4,2),DanhMuc!$B$154:$B$165,0)),""),"")</f>
        <v/>
      </c>
      <c r="V4942" s="361"/>
      <c r="W4942" s="345"/>
      <c r="X4942" s="786"/>
      <c r="Y4942" s="1128" t="s">
        <v>3380</v>
      </c>
      <c r="Z4942" s="1128" t="s">
        <v>3381</v>
      </c>
      <c r="AA4942" s="1128" t="s">
        <v>3384</v>
      </c>
      <c r="AB4942" s="20"/>
      <c r="AC4942" s="73"/>
    </row>
    <row r="4943" spans="1:29" ht="37.5">
      <c r="A4943" s="327" t="str">
        <f>IF(AND($B4943&lt;&gt;"",$C4943&lt;&gt;""),MAX($A$4730:$A4942)+1,"")</f>
        <v/>
      </c>
      <c r="B4943" s="361" t="s">
        <v>3206</v>
      </c>
      <c r="C4943" s="362"/>
      <c r="D4943" s="327">
        <f>IF($B4943="","",COUNTIF($B$4731:$B4943,$B4943))</f>
        <v>7</v>
      </c>
      <c r="E4943" s="362" t="s">
        <v>2756</v>
      </c>
      <c r="F4943" s="362" t="s">
        <v>2757</v>
      </c>
      <c r="G4943" s="327" t="s">
        <v>405</v>
      </c>
      <c r="H4943" s="361" t="s">
        <v>536</v>
      </c>
      <c r="I4943" s="361" t="s">
        <v>694</v>
      </c>
      <c r="J4943" s="361"/>
      <c r="K4943" s="327" t="s">
        <v>738</v>
      </c>
      <c r="L4943" s="479">
        <v>322</v>
      </c>
      <c r="M4943" s="371"/>
      <c r="N4943" s="355" t="s">
        <v>2408</v>
      </c>
      <c r="O4943" s="345"/>
      <c r="P4943" s="325"/>
      <c r="Q4943" s="327"/>
      <c r="R4943" s="351"/>
      <c r="S4943" s="351"/>
      <c r="T4943" s="351"/>
      <c r="U4943" s="329" t="str">
        <f>IF($N4943=$N$4,IFERROR(INDEX(DanhMuc!$E$154:$E$165,MATCH(MID($B4943,4,2),DanhMuc!$B$154:$B$165,0)),""),"")</f>
        <v/>
      </c>
      <c r="V4943" s="361"/>
      <c r="W4943" s="345"/>
      <c r="X4943" s="786"/>
      <c r="Y4943" s="1128" t="s">
        <v>3380</v>
      </c>
      <c r="Z4943" s="1128" t="s">
        <v>3381</v>
      </c>
      <c r="AA4943" s="1128" t="s">
        <v>3384</v>
      </c>
      <c r="AB4943" s="20"/>
      <c r="AC4943" s="73"/>
    </row>
    <row r="4944" spans="1:29">
      <c r="A4944" s="327" t="str">
        <f>IF(AND($B4944&lt;&gt;"",$C4944&lt;&gt;""),MAX($A$4730:$A4943)+1,"")</f>
        <v/>
      </c>
      <c r="B4944" s="361" t="s">
        <v>3206</v>
      </c>
      <c r="C4944" s="362"/>
      <c r="D4944" s="327">
        <f>IF($B4944="","",COUNTIF($B$4731:$B4944,$B4944))</f>
        <v>8</v>
      </c>
      <c r="E4944" s="361" t="s">
        <v>656</v>
      </c>
      <c r="F4944" s="362" t="s">
        <v>2239</v>
      </c>
      <c r="G4944" s="327" t="s">
        <v>405</v>
      </c>
      <c r="H4944" s="361" t="s">
        <v>536</v>
      </c>
      <c r="I4944" s="361" t="s">
        <v>1827</v>
      </c>
      <c r="J4944" s="361"/>
      <c r="K4944" s="327" t="s">
        <v>100</v>
      </c>
      <c r="L4944" s="478">
        <v>970</v>
      </c>
      <c r="M4944" s="371"/>
      <c r="N4944" s="355" t="s">
        <v>2409</v>
      </c>
      <c r="O4944" s="345"/>
      <c r="P4944" s="325"/>
      <c r="Q4944" s="327"/>
      <c r="R4944" s="351"/>
      <c r="S4944" s="351"/>
      <c r="T4944" s="351"/>
      <c r="U4944" s="329" t="str">
        <f>IF($N4944=$N$4,IFERROR(INDEX(DanhMuc!$E$154:$E$165,MATCH(MID($B4944,4,2),DanhMuc!$B$154:$B$165,0)),""),"")</f>
        <v/>
      </c>
      <c r="V4944" s="361"/>
      <c r="W4944" s="345"/>
      <c r="X4944" s="786"/>
      <c r="Y4944" s="1128" t="s">
        <v>3380</v>
      </c>
      <c r="Z4944" s="1128" t="s">
        <v>3381</v>
      </c>
      <c r="AA4944" s="1128" t="s">
        <v>3384</v>
      </c>
      <c r="AB4944" s="20"/>
      <c r="AC4944" s="73"/>
    </row>
    <row r="4945" spans="1:29">
      <c r="A4945" s="327" t="str">
        <f>IF(AND($B4945&lt;&gt;"",$C4945&lt;&gt;""),MAX($A$4730:$A4920)+1,"")</f>
        <v/>
      </c>
      <c r="B4945" s="361" t="s">
        <v>3206</v>
      </c>
      <c r="C4945" s="360"/>
      <c r="D4945" s="327">
        <f>IF($B4945="","",COUNTIF($B$4731:$B4945,$B4945))</f>
        <v>9</v>
      </c>
      <c r="E4945" s="361" t="s">
        <v>657</v>
      </c>
      <c r="F4945" s="362" t="s">
        <v>658</v>
      </c>
      <c r="G4945" s="327" t="s">
        <v>424</v>
      </c>
      <c r="H4945" s="361" t="s">
        <v>536</v>
      </c>
      <c r="I4945" s="361" t="s">
        <v>665</v>
      </c>
      <c r="J4945" s="361"/>
      <c r="K4945" s="327" t="s">
        <v>100</v>
      </c>
      <c r="L4945" s="478">
        <v>60000</v>
      </c>
      <c r="M4945" s="355"/>
      <c r="N4945" s="355" t="s">
        <v>2409</v>
      </c>
      <c r="O4945" s="345"/>
      <c r="P4945" s="325"/>
      <c r="Q4945" s="327"/>
      <c r="R4945" s="351"/>
      <c r="S4945" s="351"/>
      <c r="T4945" s="351"/>
      <c r="U4945" s="329" t="str">
        <f>IF($N4945=$N$4,IFERROR(INDEX(DanhMuc!$E$154:$E$165,MATCH(MID($B4945,4,2),DanhMuc!$B$154:$B$165,0)),""),"")</f>
        <v/>
      </c>
      <c r="V4945" s="361"/>
      <c r="W4945" s="345"/>
      <c r="X4945" s="786"/>
      <c r="Y4945" s="1128" t="s">
        <v>3380</v>
      </c>
      <c r="Z4945" s="1128" t="s">
        <v>3381</v>
      </c>
      <c r="AA4945" s="1128" t="s">
        <v>3384</v>
      </c>
      <c r="AB4945" s="20"/>
      <c r="AC4945" s="73"/>
    </row>
    <row r="4946" spans="1:29">
      <c r="A4946" s="327" t="str">
        <f>IF(AND($B4946&lt;&gt;"",$C4946&lt;&gt;""),MAX($A$4730:$A4937)+1,"")</f>
        <v/>
      </c>
      <c r="B4946" s="361" t="s">
        <v>3206</v>
      </c>
      <c r="C4946" s="362"/>
      <c r="D4946" s="327">
        <f>IF($B4946="","",COUNTIF($B$4731:$B4946,$B4946))</f>
        <v>10</v>
      </c>
      <c r="E4946" s="361" t="s">
        <v>2771</v>
      </c>
      <c r="F4946" s="362" t="s">
        <v>659</v>
      </c>
      <c r="G4946" s="327" t="s">
        <v>424</v>
      </c>
      <c r="H4946" s="361" t="s">
        <v>536</v>
      </c>
      <c r="I4946" s="361" t="s">
        <v>666</v>
      </c>
      <c r="J4946" s="361"/>
      <c r="K4946" s="327" t="s">
        <v>100</v>
      </c>
      <c r="L4946" s="389">
        <v>53000</v>
      </c>
      <c r="M4946" s="355"/>
      <c r="N4946" s="355" t="s">
        <v>2409</v>
      </c>
      <c r="O4946" s="345"/>
      <c r="P4946" s="325"/>
      <c r="Q4946" s="327"/>
      <c r="R4946" s="351"/>
      <c r="S4946" s="351"/>
      <c r="T4946" s="351"/>
      <c r="U4946" s="329" t="str">
        <f>IF($N4946=$N$4,IFERROR(INDEX(DanhMuc!$E$154:$E$165,MATCH(MID($B4946,4,2),DanhMuc!$B$154:$B$165,0)),""),"")</f>
        <v/>
      </c>
      <c r="V4946" s="361"/>
      <c r="W4946" s="345"/>
      <c r="X4946" s="786"/>
      <c r="Y4946" s="1128" t="s">
        <v>3380</v>
      </c>
      <c r="Z4946" s="1128" t="s">
        <v>3381</v>
      </c>
      <c r="AA4946" s="1128" t="s">
        <v>3384</v>
      </c>
      <c r="AB4946" s="20"/>
      <c r="AC4946" s="73"/>
    </row>
    <row r="4947" spans="1:29">
      <c r="A4947" s="327" t="str">
        <f>IF(AND($B4947&lt;&gt;"",$C4947&lt;&gt;""),MAX($A$4730:$A4946)+1,"")</f>
        <v/>
      </c>
      <c r="B4947" s="361" t="s">
        <v>3206</v>
      </c>
      <c r="C4947" s="362"/>
      <c r="D4947" s="327">
        <f>IF($B4947="","",COUNTIF($B$4731:$B4947,$B4947))</f>
        <v>11</v>
      </c>
      <c r="E4947" s="361" t="s">
        <v>1828</v>
      </c>
      <c r="F4947" s="362" t="s">
        <v>671</v>
      </c>
      <c r="G4947" s="327" t="s">
        <v>661</v>
      </c>
      <c r="H4947" s="361" t="s">
        <v>536</v>
      </c>
      <c r="I4947" s="361" t="s">
        <v>2355</v>
      </c>
      <c r="J4947" s="361"/>
      <c r="K4947" s="327" t="s">
        <v>100</v>
      </c>
      <c r="L4947" s="478">
        <f>40000/1000</f>
        <v>40</v>
      </c>
      <c r="M4947" s="355"/>
      <c r="N4947" s="355" t="s">
        <v>2409</v>
      </c>
      <c r="O4947" s="345"/>
      <c r="P4947" s="325"/>
      <c r="Q4947" s="327"/>
      <c r="R4947" s="351"/>
      <c r="S4947" s="351"/>
      <c r="T4947" s="351"/>
      <c r="U4947" s="329" t="str">
        <f>IF($N4947=$N$4,IFERROR(INDEX(DanhMuc!$E$154:$E$165,MATCH(MID($B4947,4,2),DanhMuc!$B$154:$B$165,0)),""),"")</f>
        <v/>
      </c>
      <c r="V4947" s="361"/>
      <c r="W4947" s="345"/>
      <c r="X4947" s="786"/>
      <c r="Y4947" s="1128" t="s">
        <v>3380</v>
      </c>
      <c r="Z4947" s="1128" t="s">
        <v>3381</v>
      </c>
      <c r="AA4947" s="1128" t="s">
        <v>3384</v>
      </c>
      <c r="AB4947" s="20"/>
      <c r="AC4947" s="73"/>
    </row>
    <row r="4948" spans="1:29">
      <c r="A4948" s="327" t="str">
        <f>IF(AND($B4948&lt;&gt;"",$C4948&lt;&gt;""),MAX($A$4730:$A4947)+1,"")</f>
        <v/>
      </c>
      <c r="B4948" s="361" t="s">
        <v>3206</v>
      </c>
      <c r="C4948" s="362"/>
      <c r="D4948" s="327">
        <f>IF($B4948="","",COUNTIF($B$4731:$B4948,$B4948))</f>
        <v>12</v>
      </c>
      <c r="E4948" s="361" t="s">
        <v>154</v>
      </c>
      <c r="F4948" s="362" t="s">
        <v>660</v>
      </c>
      <c r="G4948" s="327" t="s">
        <v>661</v>
      </c>
      <c r="H4948" s="361" t="s">
        <v>536</v>
      </c>
      <c r="I4948" s="361" t="s">
        <v>667</v>
      </c>
      <c r="J4948" s="361"/>
      <c r="K4948" s="327" t="s">
        <v>662</v>
      </c>
      <c r="L4948" s="478">
        <v>20</v>
      </c>
      <c r="M4948" s="355"/>
      <c r="N4948" s="355" t="s">
        <v>2409</v>
      </c>
      <c r="O4948" s="345"/>
      <c r="P4948" s="325"/>
      <c r="Q4948" s="327"/>
      <c r="R4948" s="351"/>
      <c r="S4948" s="351"/>
      <c r="T4948" s="351"/>
      <c r="U4948" s="329" t="str">
        <f>IF($N4948=$N$4,IFERROR(INDEX(DanhMuc!$E$154:$E$165,MATCH(MID($B4948,4,2),DanhMuc!$B$154:$B$165,0)),""),"")</f>
        <v/>
      </c>
      <c r="V4948" s="361"/>
      <c r="W4948" s="345"/>
      <c r="X4948" s="786"/>
      <c r="Y4948" s="1128" t="s">
        <v>3380</v>
      </c>
      <c r="Z4948" s="1128" t="s">
        <v>3381</v>
      </c>
      <c r="AA4948" s="1128" t="s">
        <v>3384</v>
      </c>
      <c r="AB4948" s="20"/>
      <c r="AC4948" s="73"/>
    </row>
    <row r="4949" spans="1:29">
      <c r="A4949" s="327" t="str">
        <f>IF(AND($B4949&lt;&gt;"",$C4949&lt;&gt;""),MAX($A$4730:$A4948)+1,"")</f>
        <v/>
      </c>
      <c r="B4949" s="361" t="s">
        <v>3206</v>
      </c>
      <c r="C4949" s="362"/>
      <c r="D4949" s="327">
        <f>IF($B4949="","",COUNTIF($B$4731:$B4949,$B4949))</f>
        <v>13</v>
      </c>
      <c r="E4949" s="362" t="s">
        <v>2282</v>
      </c>
      <c r="F4949" s="362" t="s">
        <v>2283</v>
      </c>
      <c r="G4949" s="327" t="s">
        <v>424</v>
      </c>
      <c r="H4949" s="361" t="s">
        <v>536</v>
      </c>
      <c r="I4949" s="361" t="s">
        <v>2238</v>
      </c>
      <c r="J4949" s="361"/>
      <c r="K4949" s="327" t="s">
        <v>662</v>
      </c>
      <c r="L4949" s="478">
        <v>28000</v>
      </c>
      <c r="M4949" s="355"/>
      <c r="N4949" s="355" t="s">
        <v>2409</v>
      </c>
      <c r="O4949" s="345"/>
      <c r="P4949" s="325"/>
      <c r="Q4949" s="327"/>
      <c r="R4949" s="351"/>
      <c r="S4949" s="351"/>
      <c r="T4949" s="351"/>
      <c r="U4949" s="329" t="str">
        <f>IF($N4949=$N$4,IFERROR(INDEX(DanhMuc!$E$154:$E$165,MATCH(MID($B4949,4,2),DanhMuc!$B$154:$B$165,0)),""),"")</f>
        <v/>
      </c>
      <c r="V4949" s="361"/>
      <c r="W4949" s="345"/>
      <c r="X4949" s="786"/>
      <c r="Y4949" s="1128" t="s">
        <v>3380</v>
      </c>
      <c r="Z4949" s="1128" t="s">
        <v>3381</v>
      </c>
      <c r="AA4949" s="1128" t="s">
        <v>3384</v>
      </c>
      <c r="AB4949" s="20"/>
      <c r="AC4949" s="73"/>
    </row>
    <row r="4950" spans="1:29">
      <c r="A4950" s="327" t="str">
        <f>IF(AND($B4950&lt;&gt;"",$C4950&lt;&gt;""),MAX($A$4730:$A4949)+1,"")</f>
        <v/>
      </c>
      <c r="B4950" s="361" t="s">
        <v>3206</v>
      </c>
      <c r="C4950" s="362"/>
      <c r="D4950" s="327">
        <f>IF($B4950="","",COUNTIF($B$4731:$B4950,$B4950))</f>
        <v>14</v>
      </c>
      <c r="E4950" s="362" t="s">
        <v>663</v>
      </c>
      <c r="F4950" s="362" t="s">
        <v>664</v>
      </c>
      <c r="G4950" s="327" t="s">
        <v>155</v>
      </c>
      <c r="H4950" s="361" t="s">
        <v>536</v>
      </c>
      <c r="I4950" s="361" t="s">
        <v>672</v>
      </c>
      <c r="J4950" s="361"/>
      <c r="K4950" s="327" t="s">
        <v>662</v>
      </c>
      <c r="L4950" s="478">
        <v>1000</v>
      </c>
      <c r="M4950" s="355"/>
      <c r="N4950" s="355" t="s">
        <v>2409</v>
      </c>
      <c r="O4950" s="345"/>
      <c r="P4950" s="325"/>
      <c r="Q4950" s="327"/>
      <c r="R4950" s="351"/>
      <c r="S4950" s="351"/>
      <c r="T4950" s="351"/>
      <c r="U4950" s="329" t="str">
        <f>IF($N4950=$N$4,IFERROR(INDEX(DanhMuc!$E$154:$E$165,MATCH(MID($B4950,4,2),DanhMuc!$B$154:$B$165,0)),""),"")</f>
        <v/>
      </c>
      <c r="V4950" s="361"/>
      <c r="W4950" s="345"/>
      <c r="X4950" s="786"/>
      <c r="Y4950" s="1128" t="s">
        <v>3380</v>
      </c>
      <c r="Z4950" s="1128" t="s">
        <v>3381</v>
      </c>
      <c r="AA4950" s="1128" t="s">
        <v>3384</v>
      </c>
      <c r="AB4950" s="20"/>
      <c r="AC4950" s="73"/>
    </row>
    <row r="4951" spans="1:29" ht="39">
      <c r="A4951" s="327">
        <f>IF(AND($B4951&lt;&gt;"",$C4951&lt;&gt;""),MAX($A$4730:$A4932)+1,"")</f>
        <v>9</v>
      </c>
      <c r="B4951" s="359" t="s">
        <v>3222</v>
      </c>
      <c r="C4951" s="360" t="s">
        <v>3223</v>
      </c>
      <c r="D4951" s="327">
        <f>IF($B4951="","",COUNTIF($B$4731:$B4951,$B4951))</f>
        <v>1</v>
      </c>
      <c r="E4951" s="480" t="s">
        <v>2860</v>
      </c>
      <c r="F4951" s="403" t="s">
        <v>2861</v>
      </c>
      <c r="G4951" s="327" t="s">
        <v>155</v>
      </c>
      <c r="H4951" s="361" t="s">
        <v>536</v>
      </c>
      <c r="I4951" s="327">
        <v>4</v>
      </c>
      <c r="J4951" s="361"/>
      <c r="K4951" s="327" t="s">
        <v>101</v>
      </c>
      <c r="L4951" s="389">
        <v>5100</v>
      </c>
      <c r="M4951" s="355"/>
      <c r="N4951" s="355" t="s">
        <v>2408</v>
      </c>
      <c r="O4951" s="345" t="s">
        <v>2779</v>
      </c>
      <c r="P4951" s="325"/>
      <c r="Q4951" s="327"/>
      <c r="R4951" s="351"/>
      <c r="S4951" s="351"/>
      <c r="T4951" s="351"/>
      <c r="U4951" s="329" t="str">
        <f>IF($N4951=$N$4,IFERROR(INDEX(DanhMuc!$E$154:$E$165,MATCH(MID($B4951,4,2),DanhMuc!$B$154:$B$165,0)),""),"")</f>
        <v/>
      </c>
      <c r="V4951" s="361"/>
      <c r="W4951" s="345"/>
      <c r="X4951" s="786"/>
      <c r="Y4951" s="1128" t="s">
        <v>3380</v>
      </c>
      <c r="Z4951" s="1128" t="s">
        <v>3381</v>
      </c>
      <c r="AA4951" s="1128" t="s">
        <v>3384</v>
      </c>
      <c r="AB4951" s="20"/>
      <c r="AC4951" s="73"/>
    </row>
    <row r="4952" spans="1:29">
      <c r="A4952" s="327" t="str">
        <f>IF(AND($B4952&lt;&gt;"",$C4952&lt;&gt;""),MAX($A$4730:$A4933)+1,"")</f>
        <v/>
      </c>
      <c r="B4952" s="361" t="s">
        <v>3222</v>
      </c>
      <c r="C4952" s="360"/>
      <c r="D4952" s="327">
        <f>IF($B4952="","",COUNTIF($B$4731:$B4952,$B4952))</f>
        <v>2</v>
      </c>
      <c r="E4952" s="480" t="s">
        <v>2305</v>
      </c>
      <c r="F4952" s="403" t="s">
        <v>2862</v>
      </c>
      <c r="G4952" s="327" t="s">
        <v>155</v>
      </c>
      <c r="H4952" s="361" t="s">
        <v>536</v>
      </c>
      <c r="I4952" s="327">
        <v>4</v>
      </c>
      <c r="J4952" s="361"/>
      <c r="K4952" s="327" t="s">
        <v>101</v>
      </c>
      <c r="L4952" s="389">
        <v>5100</v>
      </c>
      <c r="M4952" s="355"/>
      <c r="N4952" s="355" t="s">
        <v>2408</v>
      </c>
      <c r="O4952" s="345" t="s">
        <v>2778</v>
      </c>
      <c r="P4952" s="325"/>
      <c r="Q4952" s="327"/>
      <c r="R4952" s="351"/>
      <c r="S4952" s="351"/>
      <c r="T4952" s="351"/>
      <c r="U4952" s="329" t="str">
        <f>IF($N4952=$N$4,IFERROR(INDEX(DanhMuc!$E$154:$E$165,MATCH(MID($B4952,4,2),DanhMuc!$B$154:$B$165,0)),""),"")</f>
        <v/>
      </c>
      <c r="V4952" s="361"/>
      <c r="W4952" s="345"/>
      <c r="X4952" s="786"/>
      <c r="Y4952" s="1128" t="s">
        <v>3380</v>
      </c>
      <c r="Z4952" s="1128" t="s">
        <v>3381</v>
      </c>
      <c r="AA4952" s="1128" t="s">
        <v>3384</v>
      </c>
      <c r="AB4952" s="20"/>
      <c r="AC4952" s="73"/>
    </row>
    <row r="4953" spans="1:29">
      <c r="A4953" s="327" t="str">
        <f>IF(AND($B4953&lt;&gt;"",$C4953&lt;&gt;""),MAX($A$4730:$A4952)+1,"")</f>
        <v/>
      </c>
      <c r="B4953" s="361" t="s">
        <v>3222</v>
      </c>
      <c r="C4953" s="360"/>
      <c r="D4953" s="327">
        <f>IF($B4953="","",COUNTIF($B$4731:$B4953,$B4953))</f>
        <v>3</v>
      </c>
      <c r="E4953" s="402" t="s">
        <v>2788</v>
      </c>
      <c r="F4953" s="403" t="s">
        <v>2789</v>
      </c>
      <c r="G4953" s="327" t="s">
        <v>155</v>
      </c>
      <c r="H4953" s="361" t="s">
        <v>536</v>
      </c>
      <c r="I4953" s="327">
        <f>4*I4952</f>
        <v>16</v>
      </c>
      <c r="J4953" s="361"/>
      <c r="K4953" s="327" t="s">
        <v>101</v>
      </c>
      <c r="L4953" s="389">
        <v>600</v>
      </c>
      <c r="M4953" s="355"/>
      <c r="N4953" s="355" t="s">
        <v>2408</v>
      </c>
      <c r="O4953" s="345" t="s">
        <v>2778</v>
      </c>
      <c r="P4953" s="325"/>
      <c r="Q4953" s="327"/>
      <c r="R4953" s="351"/>
      <c r="S4953" s="351"/>
      <c r="T4953" s="351"/>
      <c r="U4953" s="329" t="str">
        <f>IF($N4953=$N$4,IFERROR(INDEX(DanhMuc!$E$154:$E$165,MATCH(MID($B4953,4,2),DanhMuc!$B$154:$B$165,0)),""),"")</f>
        <v/>
      </c>
      <c r="V4953" s="361"/>
      <c r="W4953" s="345"/>
      <c r="X4953" s="786"/>
      <c r="Y4953" s="1128" t="s">
        <v>3380</v>
      </c>
      <c r="Z4953" s="1128" t="s">
        <v>3381</v>
      </c>
      <c r="AA4953" s="1128" t="s">
        <v>3384</v>
      </c>
      <c r="AB4953" s="20"/>
      <c r="AC4953" s="73"/>
    </row>
    <row r="4954" spans="1:29">
      <c r="A4954" s="327" t="str">
        <f>IF(AND($B4954&lt;&gt;"",$C4954&lt;&gt;""),MAX($A$4730:$A4933)+1,"")</f>
        <v/>
      </c>
      <c r="B4954" s="361" t="s">
        <v>3222</v>
      </c>
      <c r="C4954" s="360"/>
      <c r="D4954" s="327">
        <f>IF($B4954="","",COUNTIF($B$4731:$B4954,$B4954))</f>
        <v>4</v>
      </c>
      <c r="E4954" s="361" t="s">
        <v>2338</v>
      </c>
      <c r="F4954" s="362" t="s">
        <v>2331</v>
      </c>
      <c r="G4954" s="327" t="s">
        <v>155</v>
      </c>
      <c r="H4954" s="361" t="s">
        <v>536</v>
      </c>
      <c r="I4954" s="327">
        <v>8</v>
      </c>
      <c r="J4954" s="361"/>
      <c r="K4954" s="327" t="s">
        <v>101</v>
      </c>
      <c r="L4954" s="389">
        <v>750</v>
      </c>
      <c r="M4954" s="355"/>
      <c r="N4954" s="355" t="s">
        <v>2408</v>
      </c>
      <c r="O4954" s="345"/>
      <c r="P4954" s="325"/>
      <c r="Q4954" s="327"/>
      <c r="R4954" s="351"/>
      <c r="S4954" s="351"/>
      <c r="T4954" s="351"/>
      <c r="U4954" s="329" t="str">
        <f>IF($N4954=$N$4,IFERROR(INDEX(DanhMuc!$E$154:$E$165,MATCH(MID($B4954,4,2),DanhMuc!$B$154:$B$165,0)),""),"")</f>
        <v/>
      </c>
      <c r="V4954" s="361"/>
      <c r="W4954" s="345"/>
      <c r="X4954" s="786"/>
      <c r="Y4954" s="1128" t="s">
        <v>3380</v>
      </c>
      <c r="Z4954" s="1128" t="s">
        <v>3381</v>
      </c>
      <c r="AA4954" s="1128" t="s">
        <v>3384</v>
      </c>
      <c r="AB4954" s="20"/>
      <c r="AC4954" s="73"/>
    </row>
    <row r="4955" spans="1:29">
      <c r="A4955" s="327" t="str">
        <f>IF(AND($B4955&lt;&gt;"",$C4955&lt;&gt;""),MAX($A$4730:$A4954)+1,"")</f>
        <v/>
      </c>
      <c r="B4955" s="361" t="s">
        <v>3222</v>
      </c>
      <c r="C4955" s="360"/>
      <c r="D4955" s="327">
        <f>IF($B4955="","",COUNTIF($B$4731:$B4955,$B4955))</f>
        <v>5</v>
      </c>
      <c r="E4955" s="361" t="s">
        <v>654</v>
      </c>
      <c r="F4955" s="362" t="s">
        <v>653</v>
      </c>
      <c r="G4955" s="327" t="s">
        <v>1836</v>
      </c>
      <c r="H4955" s="361" t="s">
        <v>536</v>
      </c>
      <c r="I4955" s="327">
        <f>I4951/45</f>
        <v>8.8888888888888892E-2</v>
      </c>
      <c r="J4955" s="477"/>
      <c r="K4955" s="327" t="s">
        <v>655</v>
      </c>
      <c r="L4955" s="478">
        <v>115000</v>
      </c>
      <c r="M4955" s="355"/>
      <c r="N4955" s="355" t="s">
        <v>2408</v>
      </c>
      <c r="O4955" s="345" t="s">
        <v>2779</v>
      </c>
      <c r="P4955" s="325"/>
      <c r="Q4955" s="327"/>
      <c r="R4955" s="351"/>
      <c r="S4955" s="351"/>
      <c r="T4955" s="351"/>
      <c r="U4955" s="329" t="str">
        <f>IF($N4955=$N$4,IFERROR(INDEX(DanhMuc!$E$154:$E$165,MATCH(MID($B4955,4,2),DanhMuc!$B$154:$B$165,0)),""),"")</f>
        <v/>
      </c>
      <c r="V4955" s="361"/>
      <c r="W4955" s="345"/>
      <c r="X4955" s="786"/>
      <c r="Y4955" s="1128" t="s">
        <v>3380</v>
      </c>
      <c r="Z4955" s="1128" t="s">
        <v>3381</v>
      </c>
      <c r="AA4955" s="1128" t="s">
        <v>3384</v>
      </c>
      <c r="AB4955" s="20"/>
      <c r="AC4955" s="73"/>
    </row>
    <row r="4956" spans="1:29">
      <c r="A4956" s="327" t="str">
        <f>IF(AND($B4956&lt;&gt;"",$C4956&lt;&gt;""),MAX($A$4730:$A4933)+1,"")</f>
        <v/>
      </c>
      <c r="B4956" s="361" t="s">
        <v>3222</v>
      </c>
      <c r="C4956" s="360"/>
      <c r="D4956" s="327">
        <f>IF($B4956="","",COUNTIF($B$4731:$B4956,$B4956))</f>
        <v>6</v>
      </c>
      <c r="E4956" s="361" t="s">
        <v>1826</v>
      </c>
      <c r="F4956" s="362" t="s">
        <v>670</v>
      </c>
      <c r="G4956" s="327" t="s">
        <v>661</v>
      </c>
      <c r="H4956" s="361" t="s">
        <v>536</v>
      </c>
      <c r="I4956" s="361" t="s">
        <v>2354</v>
      </c>
      <c r="J4956" s="361"/>
      <c r="K4956" s="327" t="s">
        <v>103</v>
      </c>
      <c r="L4956" s="478">
        <f>40000/1000</f>
        <v>40</v>
      </c>
      <c r="M4956" s="355"/>
      <c r="N4956" s="355" t="s">
        <v>2408</v>
      </c>
      <c r="O4956" s="345"/>
      <c r="P4956" s="325"/>
      <c r="Q4956" s="327"/>
      <c r="R4956" s="351"/>
      <c r="S4956" s="351"/>
      <c r="T4956" s="351"/>
      <c r="U4956" s="329" t="str">
        <f>IF($N4956=$N$4,IFERROR(INDEX(DanhMuc!$E$154:$E$165,MATCH(MID($B4956,4,2),DanhMuc!$B$154:$B$165,0)),""),"")</f>
        <v/>
      </c>
      <c r="V4956" s="361"/>
      <c r="W4956" s="345"/>
      <c r="X4956" s="786"/>
      <c r="Y4956" s="1128" t="s">
        <v>3380</v>
      </c>
      <c r="Z4956" s="1128" t="s">
        <v>3381</v>
      </c>
      <c r="AA4956" s="1128" t="s">
        <v>3384</v>
      </c>
      <c r="AB4956" s="20"/>
      <c r="AC4956" s="73"/>
    </row>
    <row r="4957" spans="1:29" ht="37.5">
      <c r="A4957" s="327" t="str">
        <f>IF(AND($B4957&lt;&gt;"",$C4957&lt;&gt;""),MAX($A$4730:$A4956)+1,"")</f>
        <v/>
      </c>
      <c r="B4957" s="361" t="s">
        <v>3222</v>
      </c>
      <c r="C4957" s="362"/>
      <c r="D4957" s="327">
        <f>IF($B4957="","",COUNTIF($B$4731:$B4957,$B4957))</f>
        <v>7</v>
      </c>
      <c r="E4957" s="362" t="s">
        <v>2756</v>
      </c>
      <c r="F4957" s="362" t="s">
        <v>2757</v>
      </c>
      <c r="G4957" s="327" t="s">
        <v>405</v>
      </c>
      <c r="H4957" s="361" t="s">
        <v>536</v>
      </c>
      <c r="I4957" s="361" t="s">
        <v>694</v>
      </c>
      <c r="J4957" s="361"/>
      <c r="K4957" s="327" t="s">
        <v>738</v>
      </c>
      <c r="L4957" s="479">
        <v>322</v>
      </c>
      <c r="M4957" s="371"/>
      <c r="N4957" s="355" t="s">
        <v>2408</v>
      </c>
      <c r="O4957" s="345"/>
      <c r="P4957" s="325"/>
      <c r="Q4957" s="327"/>
      <c r="R4957" s="351"/>
      <c r="S4957" s="351"/>
      <c r="T4957" s="351"/>
      <c r="U4957" s="329" t="str">
        <f>IF($N4957=$N$4,IFERROR(INDEX(DanhMuc!$E$154:$E$165,MATCH(MID($B4957,4,2),DanhMuc!$B$154:$B$165,0)),""),"")</f>
        <v/>
      </c>
      <c r="V4957" s="361"/>
      <c r="W4957" s="345"/>
      <c r="X4957" s="786"/>
      <c r="Y4957" s="1128" t="s">
        <v>3380</v>
      </c>
      <c r="Z4957" s="1128" t="s">
        <v>3381</v>
      </c>
      <c r="AA4957" s="1128" t="s">
        <v>3384</v>
      </c>
      <c r="AB4957" s="20"/>
      <c r="AC4957" s="73"/>
    </row>
    <row r="4958" spans="1:29">
      <c r="A4958" s="327" t="str">
        <f>IF(AND($B4958&lt;&gt;"",$C4958&lt;&gt;""),MAX($A$4730:$A4957)+1,"")</f>
        <v/>
      </c>
      <c r="B4958" s="361" t="s">
        <v>3222</v>
      </c>
      <c r="C4958" s="362"/>
      <c r="D4958" s="327">
        <f>IF($B4958="","",COUNTIF($B$4731:$B4958,$B4958))</f>
        <v>8</v>
      </c>
      <c r="E4958" s="361" t="s">
        <v>656</v>
      </c>
      <c r="F4958" s="362" t="s">
        <v>2239</v>
      </c>
      <c r="G4958" s="327" t="s">
        <v>405</v>
      </c>
      <c r="H4958" s="361" t="s">
        <v>536</v>
      </c>
      <c r="I4958" s="361" t="s">
        <v>1827</v>
      </c>
      <c r="J4958" s="361"/>
      <c r="K4958" s="327" t="s">
        <v>100</v>
      </c>
      <c r="L4958" s="478">
        <v>970</v>
      </c>
      <c r="M4958" s="371"/>
      <c r="N4958" s="355" t="s">
        <v>2409</v>
      </c>
      <c r="O4958" s="345"/>
      <c r="P4958" s="325"/>
      <c r="Q4958" s="327"/>
      <c r="R4958" s="351"/>
      <c r="S4958" s="351"/>
      <c r="T4958" s="351"/>
      <c r="U4958" s="329" t="str">
        <f>IF($N4958=$N$4,IFERROR(INDEX(DanhMuc!$E$154:$E$165,MATCH(MID($B4958,4,2),DanhMuc!$B$154:$B$165,0)),""),"")</f>
        <v/>
      </c>
      <c r="V4958" s="361"/>
      <c r="W4958" s="345"/>
      <c r="X4958" s="786"/>
      <c r="Y4958" s="1128" t="s">
        <v>3380</v>
      </c>
      <c r="Z4958" s="1128" t="s">
        <v>3381</v>
      </c>
      <c r="AA4958" s="1128" t="s">
        <v>3384</v>
      </c>
      <c r="AB4958" s="20"/>
      <c r="AC4958" s="73"/>
    </row>
    <row r="4959" spans="1:29">
      <c r="A4959" s="327" t="str">
        <f>IF(AND($B4959&lt;&gt;"",$C4959&lt;&gt;""),MAX($A$4730:$A4934)+1,"")</f>
        <v/>
      </c>
      <c r="B4959" s="361" t="s">
        <v>3222</v>
      </c>
      <c r="C4959" s="360"/>
      <c r="D4959" s="327">
        <f>IF($B4959="","",COUNTIF($B$4731:$B4959,$B4959))</f>
        <v>9</v>
      </c>
      <c r="E4959" s="361" t="s">
        <v>657</v>
      </c>
      <c r="F4959" s="362" t="s">
        <v>658</v>
      </c>
      <c r="G4959" s="327" t="s">
        <v>424</v>
      </c>
      <c r="H4959" s="361" t="s">
        <v>536</v>
      </c>
      <c r="I4959" s="361" t="s">
        <v>665</v>
      </c>
      <c r="J4959" s="361"/>
      <c r="K4959" s="327" t="s">
        <v>100</v>
      </c>
      <c r="L4959" s="478">
        <v>60000</v>
      </c>
      <c r="M4959" s="355"/>
      <c r="N4959" s="355" t="s">
        <v>2409</v>
      </c>
      <c r="O4959" s="345"/>
      <c r="P4959" s="325"/>
      <c r="Q4959" s="327"/>
      <c r="R4959" s="351"/>
      <c r="S4959" s="351"/>
      <c r="T4959" s="351"/>
      <c r="U4959" s="329" t="str">
        <f>IF($N4959=$N$4,IFERROR(INDEX(DanhMuc!$E$154:$E$165,MATCH(MID($B4959,4,2),DanhMuc!$B$154:$B$165,0)),""),"")</f>
        <v/>
      </c>
      <c r="V4959" s="361"/>
      <c r="W4959" s="345"/>
      <c r="X4959" s="786"/>
      <c r="Y4959" s="1128" t="s">
        <v>3380</v>
      </c>
      <c r="Z4959" s="1128" t="s">
        <v>3381</v>
      </c>
      <c r="AA4959" s="1128" t="s">
        <v>3384</v>
      </c>
      <c r="AB4959" s="20"/>
      <c r="AC4959" s="73"/>
    </row>
    <row r="4960" spans="1:29">
      <c r="A4960" s="327" t="str">
        <f>IF(AND($B4960&lt;&gt;"",$C4960&lt;&gt;""),MAX($A$4730:$A4951)+1,"")</f>
        <v/>
      </c>
      <c r="B4960" s="361" t="s">
        <v>3222</v>
      </c>
      <c r="C4960" s="362"/>
      <c r="D4960" s="327">
        <f>IF($B4960="","",COUNTIF($B$4731:$B4960,$B4960))</f>
        <v>10</v>
      </c>
      <c r="E4960" s="361" t="s">
        <v>2771</v>
      </c>
      <c r="F4960" s="362" t="s">
        <v>659</v>
      </c>
      <c r="G4960" s="327" t="s">
        <v>424</v>
      </c>
      <c r="H4960" s="361" t="s">
        <v>536</v>
      </c>
      <c r="I4960" s="361" t="s">
        <v>666</v>
      </c>
      <c r="J4960" s="361"/>
      <c r="K4960" s="327" t="s">
        <v>100</v>
      </c>
      <c r="L4960" s="389">
        <v>53000</v>
      </c>
      <c r="M4960" s="355"/>
      <c r="N4960" s="355" t="s">
        <v>2409</v>
      </c>
      <c r="O4960" s="345"/>
      <c r="P4960" s="325"/>
      <c r="Q4960" s="327"/>
      <c r="R4960" s="351"/>
      <c r="S4960" s="351"/>
      <c r="T4960" s="351"/>
      <c r="U4960" s="329" t="str">
        <f>IF($N4960=$N$4,IFERROR(INDEX(DanhMuc!$E$154:$E$165,MATCH(MID($B4960,4,2),DanhMuc!$B$154:$B$165,0)),""),"")</f>
        <v/>
      </c>
      <c r="V4960" s="361"/>
      <c r="W4960" s="345"/>
      <c r="X4960" s="786"/>
      <c r="Y4960" s="1128" t="s">
        <v>3380</v>
      </c>
      <c r="Z4960" s="1128" t="s">
        <v>3381</v>
      </c>
      <c r="AA4960" s="1128" t="s">
        <v>3384</v>
      </c>
      <c r="AB4960" s="20"/>
      <c r="AC4960" s="73"/>
    </row>
    <row r="4961" spans="1:29">
      <c r="A4961" s="327" t="str">
        <f>IF(AND($B4961&lt;&gt;"",$C4961&lt;&gt;""),MAX($A$4730:$A4960)+1,"")</f>
        <v/>
      </c>
      <c r="B4961" s="361" t="s">
        <v>3222</v>
      </c>
      <c r="C4961" s="362"/>
      <c r="D4961" s="327">
        <f>IF($B4961="","",COUNTIF($B$4731:$B4961,$B4961))</f>
        <v>11</v>
      </c>
      <c r="E4961" s="361" t="s">
        <v>1828</v>
      </c>
      <c r="F4961" s="362" t="s">
        <v>671</v>
      </c>
      <c r="G4961" s="327" t="s">
        <v>661</v>
      </c>
      <c r="H4961" s="361" t="s">
        <v>536</v>
      </c>
      <c r="I4961" s="361" t="s">
        <v>2355</v>
      </c>
      <c r="J4961" s="361"/>
      <c r="K4961" s="327" t="s">
        <v>100</v>
      </c>
      <c r="L4961" s="478">
        <f>40000/1000</f>
        <v>40</v>
      </c>
      <c r="M4961" s="355"/>
      <c r="N4961" s="355" t="s">
        <v>2409</v>
      </c>
      <c r="O4961" s="345"/>
      <c r="P4961" s="325"/>
      <c r="Q4961" s="327"/>
      <c r="R4961" s="351"/>
      <c r="S4961" s="351"/>
      <c r="T4961" s="351"/>
      <c r="U4961" s="329" t="str">
        <f>IF($N4961=$N$4,IFERROR(INDEX(DanhMuc!$E$154:$E$165,MATCH(MID($B4961,4,2),DanhMuc!$B$154:$B$165,0)),""),"")</f>
        <v/>
      </c>
      <c r="V4961" s="361"/>
      <c r="W4961" s="345"/>
      <c r="X4961" s="786"/>
      <c r="Y4961" s="1128" t="s">
        <v>3380</v>
      </c>
      <c r="Z4961" s="1128" t="s">
        <v>3381</v>
      </c>
      <c r="AA4961" s="1128" t="s">
        <v>3384</v>
      </c>
      <c r="AB4961" s="20"/>
      <c r="AC4961" s="73"/>
    </row>
    <row r="4962" spans="1:29">
      <c r="A4962" s="327" t="str">
        <f>IF(AND($B4962&lt;&gt;"",$C4962&lt;&gt;""),MAX($A$4730:$A4961)+1,"")</f>
        <v/>
      </c>
      <c r="B4962" s="361" t="s">
        <v>3222</v>
      </c>
      <c r="C4962" s="362"/>
      <c r="D4962" s="327">
        <f>IF($B4962="","",COUNTIF($B$4731:$B4962,$B4962))</f>
        <v>12</v>
      </c>
      <c r="E4962" s="361" t="s">
        <v>154</v>
      </c>
      <c r="F4962" s="362" t="s">
        <v>660</v>
      </c>
      <c r="G4962" s="327" t="s">
        <v>661</v>
      </c>
      <c r="H4962" s="361" t="s">
        <v>536</v>
      </c>
      <c r="I4962" s="361" t="s">
        <v>667</v>
      </c>
      <c r="J4962" s="361"/>
      <c r="K4962" s="327" t="s">
        <v>662</v>
      </c>
      <c r="L4962" s="478">
        <v>20</v>
      </c>
      <c r="M4962" s="355"/>
      <c r="N4962" s="355" t="s">
        <v>2409</v>
      </c>
      <c r="O4962" s="345"/>
      <c r="P4962" s="325"/>
      <c r="Q4962" s="327"/>
      <c r="R4962" s="351"/>
      <c r="S4962" s="351"/>
      <c r="T4962" s="351"/>
      <c r="U4962" s="329" t="str">
        <f>IF($N4962=$N$4,IFERROR(INDEX(DanhMuc!$E$154:$E$165,MATCH(MID($B4962,4,2),DanhMuc!$B$154:$B$165,0)),""),"")</f>
        <v/>
      </c>
      <c r="V4962" s="361"/>
      <c r="W4962" s="345"/>
      <c r="X4962" s="786"/>
      <c r="Y4962" s="1128" t="s">
        <v>3380</v>
      </c>
      <c r="Z4962" s="1128" t="s">
        <v>3381</v>
      </c>
      <c r="AA4962" s="1128" t="s">
        <v>3384</v>
      </c>
      <c r="AB4962" s="20"/>
      <c r="AC4962" s="73"/>
    </row>
    <row r="4963" spans="1:29">
      <c r="A4963" s="327" t="str">
        <f>IF(AND($B4963&lt;&gt;"",$C4963&lt;&gt;""),MAX($A$4730:$A4962)+1,"")</f>
        <v/>
      </c>
      <c r="B4963" s="361" t="s">
        <v>3222</v>
      </c>
      <c r="C4963" s="362"/>
      <c r="D4963" s="327">
        <f>IF($B4963="","",COUNTIF($B$4731:$B4963,$B4963))</f>
        <v>13</v>
      </c>
      <c r="E4963" s="362" t="s">
        <v>2282</v>
      </c>
      <c r="F4963" s="362" t="s">
        <v>2283</v>
      </c>
      <c r="G4963" s="327" t="s">
        <v>424</v>
      </c>
      <c r="H4963" s="361" t="s">
        <v>536</v>
      </c>
      <c r="I4963" s="361" t="s">
        <v>2238</v>
      </c>
      <c r="J4963" s="361"/>
      <c r="K4963" s="327" t="s">
        <v>662</v>
      </c>
      <c r="L4963" s="478">
        <v>28000</v>
      </c>
      <c r="M4963" s="355"/>
      <c r="N4963" s="355" t="s">
        <v>2409</v>
      </c>
      <c r="O4963" s="345"/>
      <c r="P4963" s="325"/>
      <c r="Q4963" s="327"/>
      <c r="R4963" s="351"/>
      <c r="S4963" s="351"/>
      <c r="T4963" s="351"/>
      <c r="U4963" s="329" t="str">
        <f>IF($N4963=$N$4,IFERROR(INDEX(DanhMuc!$E$154:$E$165,MATCH(MID($B4963,4,2),DanhMuc!$B$154:$B$165,0)),""),"")</f>
        <v/>
      </c>
      <c r="V4963" s="361"/>
      <c r="W4963" s="345"/>
      <c r="X4963" s="786"/>
      <c r="Y4963" s="1128" t="s">
        <v>3380</v>
      </c>
      <c r="Z4963" s="1128" t="s">
        <v>3381</v>
      </c>
      <c r="AA4963" s="1128" t="s">
        <v>3384</v>
      </c>
      <c r="AB4963" s="20"/>
      <c r="AC4963" s="73"/>
    </row>
    <row r="4964" spans="1:29">
      <c r="A4964" s="327" t="str">
        <f>IF(AND($B4964&lt;&gt;"",$C4964&lt;&gt;""),MAX($A$4730:$A4963)+1,"")</f>
        <v/>
      </c>
      <c r="B4964" s="361" t="s">
        <v>3222</v>
      </c>
      <c r="C4964" s="362"/>
      <c r="D4964" s="327">
        <f>IF($B4964="","",COUNTIF($B$4731:$B4964,$B4964))</f>
        <v>14</v>
      </c>
      <c r="E4964" s="362" t="s">
        <v>663</v>
      </c>
      <c r="F4964" s="362" t="s">
        <v>664</v>
      </c>
      <c r="G4964" s="327" t="s">
        <v>155</v>
      </c>
      <c r="H4964" s="361" t="s">
        <v>536</v>
      </c>
      <c r="I4964" s="361" t="s">
        <v>672</v>
      </c>
      <c r="J4964" s="361"/>
      <c r="K4964" s="327" t="s">
        <v>662</v>
      </c>
      <c r="L4964" s="478">
        <v>1000</v>
      </c>
      <c r="M4964" s="355"/>
      <c r="N4964" s="355" t="s">
        <v>2409</v>
      </c>
      <c r="O4964" s="345"/>
      <c r="P4964" s="325"/>
      <c r="Q4964" s="327"/>
      <c r="R4964" s="351"/>
      <c r="S4964" s="351"/>
      <c r="T4964" s="351"/>
      <c r="U4964" s="329" t="str">
        <f>IF($N4964=$N$4,IFERROR(INDEX(DanhMuc!$E$154:$E$165,MATCH(MID($B4964,4,2),DanhMuc!$B$154:$B$165,0)),""),"")</f>
        <v/>
      </c>
      <c r="V4964" s="361"/>
      <c r="W4964" s="345"/>
      <c r="X4964" s="786"/>
      <c r="Y4964" s="1128" t="s">
        <v>3380</v>
      </c>
      <c r="Z4964" s="1128" t="s">
        <v>3381</v>
      </c>
      <c r="AA4964" s="1128" t="s">
        <v>3384</v>
      </c>
      <c r="AB4964" s="20"/>
      <c r="AC4964" s="73"/>
    </row>
    <row r="4965" spans="1:29" ht="39">
      <c r="A4965" s="327">
        <f>IF(AND($B4965&lt;&gt;"",$C4965&lt;&gt;""),MAX($A$4730:$A4918)+1,"")</f>
        <v>8</v>
      </c>
      <c r="B4965" s="359" t="s">
        <v>3195</v>
      </c>
      <c r="C4965" s="360" t="s">
        <v>3188</v>
      </c>
      <c r="D4965" s="327">
        <f>IF($B4965="","",COUNTIF($B$4731:$B4965,$B4965))</f>
        <v>1</v>
      </c>
      <c r="E4965" s="480" t="s">
        <v>2858</v>
      </c>
      <c r="F4965" s="403" t="s">
        <v>2859</v>
      </c>
      <c r="G4965" s="327" t="s">
        <v>155</v>
      </c>
      <c r="H4965" s="361" t="s">
        <v>536</v>
      </c>
      <c r="I4965" s="327">
        <v>4</v>
      </c>
      <c r="J4965" s="361"/>
      <c r="K4965" s="327" t="s">
        <v>100</v>
      </c>
      <c r="L4965" s="389">
        <v>7100</v>
      </c>
      <c r="M4965" s="355"/>
      <c r="N4965" s="355" t="s">
        <v>2408</v>
      </c>
      <c r="O4965" s="345" t="s">
        <v>2777</v>
      </c>
      <c r="P4965" s="325"/>
      <c r="Q4965" s="327"/>
      <c r="R4965" s="351"/>
      <c r="S4965" s="351"/>
      <c r="T4965" s="351"/>
      <c r="U4965" s="329" t="str">
        <f>IF($N4965=$N$4,IFERROR(INDEX(DanhMuc!$E$154:$E$165,MATCH(MID($B4965,4,2),DanhMuc!$B$154:$B$165,0)),""),"")</f>
        <v/>
      </c>
      <c r="V4965" s="361"/>
      <c r="W4965" s="345"/>
      <c r="X4965" s="786"/>
      <c r="Y4965" s="1128" t="s">
        <v>3380</v>
      </c>
      <c r="Z4965" s="1128" t="s">
        <v>3381</v>
      </c>
      <c r="AA4965" s="1128" t="s">
        <v>3384</v>
      </c>
      <c r="AB4965" s="20"/>
      <c r="AC4965" s="73"/>
    </row>
    <row r="4966" spans="1:29" ht="25">
      <c r="A4966" s="327" t="str">
        <f>IF(AND($B4966&lt;&gt;"",$C4966&lt;&gt;""),MAX($A$4730:$A4919)+1,"")</f>
        <v/>
      </c>
      <c r="B4966" s="361" t="s">
        <v>3195</v>
      </c>
      <c r="C4966" s="360"/>
      <c r="D4966" s="327">
        <f>IF($B4966="","",COUNTIF($B$4731:$B4966,$B4966))</f>
        <v>2</v>
      </c>
      <c r="E4966" s="480" t="s">
        <v>2304</v>
      </c>
      <c r="F4966" s="403" t="s">
        <v>2335</v>
      </c>
      <c r="G4966" s="327" t="s">
        <v>155</v>
      </c>
      <c r="H4966" s="361" t="s">
        <v>536</v>
      </c>
      <c r="I4966" s="327">
        <v>4</v>
      </c>
      <c r="J4966" s="361"/>
      <c r="K4966" s="327" t="s">
        <v>100</v>
      </c>
      <c r="L4966" s="389">
        <v>7100</v>
      </c>
      <c r="M4966" s="355"/>
      <c r="N4966" s="355" t="s">
        <v>2408</v>
      </c>
      <c r="O4966" s="345" t="s">
        <v>2776</v>
      </c>
      <c r="P4966" s="325"/>
      <c r="Q4966" s="327"/>
      <c r="R4966" s="351"/>
      <c r="S4966" s="351"/>
      <c r="T4966" s="351"/>
      <c r="U4966" s="329" t="str">
        <f>IF($N4966=$N$4,IFERROR(INDEX(DanhMuc!$E$154:$E$165,MATCH(MID($B4966,4,2),DanhMuc!$B$154:$B$165,0)),""),"")</f>
        <v/>
      </c>
      <c r="V4966" s="361"/>
      <c r="W4966" s="345"/>
      <c r="X4966" s="786"/>
      <c r="Y4966" s="1128" t="s">
        <v>3380</v>
      </c>
      <c r="Z4966" s="1128" t="s">
        <v>3381</v>
      </c>
      <c r="AA4966" s="1128" t="s">
        <v>3384</v>
      </c>
      <c r="AB4966" s="20"/>
      <c r="AC4966" s="73"/>
    </row>
    <row r="4967" spans="1:29">
      <c r="A4967" s="327" t="str">
        <f>IF(AND($B4967&lt;&gt;"",$C4967&lt;&gt;""),MAX($A$4730:$A4966)+1,"")</f>
        <v/>
      </c>
      <c r="B4967" s="361" t="s">
        <v>3195</v>
      </c>
      <c r="C4967" s="360"/>
      <c r="D4967" s="327">
        <f>IF($B4967="","",COUNTIF($B$4731:$B4967,$B4967))</f>
        <v>3</v>
      </c>
      <c r="E4967" s="402" t="s">
        <v>2788</v>
      </c>
      <c r="F4967" s="403" t="s">
        <v>2789</v>
      </c>
      <c r="G4967" s="327" t="s">
        <v>155</v>
      </c>
      <c r="H4967" s="361" t="s">
        <v>536</v>
      </c>
      <c r="I4967" s="327">
        <f>4*I4966</f>
        <v>16</v>
      </c>
      <c r="J4967" s="361"/>
      <c r="K4967" s="327" t="s">
        <v>100</v>
      </c>
      <c r="L4967" s="389">
        <v>600</v>
      </c>
      <c r="M4967" s="355"/>
      <c r="N4967" s="355" t="s">
        <v>2408</v>
      </c>
      <c r="O4967" s="345" t="s">
        <v>2776</v>
      </c>
      <c r="P4967" s="325"/>
      <c r="Q4967" s="327"/>
      <c r="R4967" s="351"/>
      <c r="S4967" s="351"/>
      <c r="T4967" s="351"/>
      <c r="U4967" s="329" t="str">
        <f>IF($N4967=$N$4,IFERROR(INDEX(DanhMuc!$E$154:$E$165,MATCH(MID($B4967,4,2),DanhMuc!$B$154:$B$165,0)),""),"")</f>
        <v/>
      </c>
      <c r="V4967" s="361"/>
      <c r="W4967" s="345"/>
      <c r="X4967" s="786"/>
      <c r="Y4967" s="1128" t="s">
        <v>3380</v>
      </c>
      <c r="Z4967" s="1128" t="s">
        <v>3381</v>
      </c>
      <c r="AA4967" s="1128" t="s">
        <v>3384</v>
      </c>
      <c r="AB4967" s="20"/>
      <c r="AC4967" s="73"/>
    </row>
    <row r="4968" spans="1:29">
      <c r="A4968" s="327" t="str">
        <f>IF(AND($B4968&lt;&gt;"",$C4968&lt;&gt;""),MAX($A$4730:$A4919)+1,"")</f>
        <v/>
      </c>
      <c r="B4968" s="361" t="s">
        <v>3195</v>
      </c>
      <c r="C4968" s="360"/>
      <c r="D4968" s="327">
        <f>IF($B4968="","",COUNTIF($B$4731:$B4968,$B4968))</f>
        <v>4</v>
      </c>
      <c r="E4968" s="480" t="s">
        <v>2860</v>
      </c>
      <c r="F4968" s="403" t="s">
        <v>2861</v>
      </c>
      <c r="G4968" s="327" t="s">
        <v>155</v>
      </c>
      <c r="H4968" s="361" t="s">
        <v>536</v>
      </c>
      <c r="I4968" s="327">
        <v>12</v>
      </c>
      <c r="J4968" s="361"/>
      <c r="K4968" s="327" t="s">
        <v>101</v>
      </c>
      <c r="L4968" s="389">
        <v>5100</v>
      </c>
      <c r="M4968" s="355"/>
      <c r="N4968" s="355" t="s">
        <v>2408</v>
      </c>
      <c r="O4968" s="345" t="s">
        <v>2779</v>
      </c>
      <c r="P4968" s="325"/>
      <c r="Q4968" s="327"/>
      <c r="R4968" s="351"/>
      <c r="S4968" s="351"/>
      <c r="T4968" s="351"/>
      <c r="U4968" s="329" t="str">
        <f>IF($N4968=$N$4,IFERROR(INDEX(DanhMuc!$E$154:$E$165,MATCH(MID($B4968,4,2),DanhMuc!$B$154:$B$165,0)),""),"")</f>
        <v/>
      </c>
      <c r="V4968" s="361"/>
      <c r="W4968" s="345"/>
      <c r="X4968" s="786"/>
      <c r="Y4968" s="1128" t="s">
        <v>3380</v>
      </c>
      <c r="Z4968" s="1128" t="s">
        <v>3381</v>
      </c>
      <c r="AA4968" s="1128" t="s">
        <v>3384</v>
      </c>
      <c r="AB4968" s="20"/>
      <c r="AC4968" s="73"/>
    </row>
    <row r="4969" spans="1:29">
      <c r="A4969" s="327" t="str">
        <f>IF(AND($B4969&lt;&gt;"",$C4969&lt;&gt;""),MAX($A$4730:$A4920)+1,"")</f>
        <v/>
      </c>
      <c r="B4969" s="361" t="s">
        <v>3195</v>
      </c>
      <c r="C4969" s="360"/>
      <c r="D4969" s="327">
        <f>IF($B4969="","",COUNTIF($B$4731:$B4969,$B4969))</f>
        <v>5</v>
      </c>
      <c r="E4969" s="480" t="s">
        <v>2305</v>
      </c>
      <c r="F4969" s="403" t="s">
        <v>2862</v>
      </c>
      <c r="G4969" s="327" t="s">
        <v>155</v>
      </c>
      <c r="H4969" s="361" t="s">
        <v>536</v>
      </c>
      <c r="I4969" s="327">
        <v>12</v>
      </c>
      <c r="J4969" s="361"/>
      <c r="K4969" s="327" t="s">
        <v>101</v>
      </c>
      <c r="L4969" s="389">
        <v>5100</v>
      </c>
      <c r="M4969" s="355"/>
      <c r="N4969" s="355" t="s">
        <v>2408</v>
      </c>
      <c r="O4969" s="345" t="s">
        <v>2778</v>
      </c>
      <c r="P4969" s="325"/>
      <c r="Q4969" s="327"/>
      <c r="R4969" s="351"/>
      <c r="S4969" s="351"/>
      <c r="T4969" s="351"/>
      <c r="U4969" s="329" t="str">
        <f>IF($N4969=$N$4,IFERROR(INDEX(DanhMuc!$E$154:$E$165,MATCH(MID($B4969,4,2),DanhMuc!$B$154:$B$165,0)),""),"")</f>
        <v/>
      </c>
      <c r="V4969" s="361"/>
      <c r="W4969" s="345"/>
      <c r="X4969" s="786"/>
      <c r="Y4969" s="1128" t="s">
        <v>3380</v>
      </c>
      <c r="Z4969" s="1128" t="s">
        <v>3381</v>
      </c>
      <c r="AA4969" s="1128" t="s">
        <v>3384</v>
      </c>
      <c r="AB4969" s="20"/>
      <c r="AC4969" s="73"/>
    </row>
    <row r="4970" spans="1:29">
      <c r="A4970" s="327" t="str">
        <f>IF(AND($B4970&lt;&gt;"",$C4970&lt;&gt;""),MAX($A$4730:$A4968)+1,"")</f>
        <v/>
      </c>
      <c r="B4970" s="361" t="s">
        <v>3195</v>
      </c>
      <c r="C4970" s="360"/>
      <c r="D4970" s="327">
        <f>IF($B4970="","",COUNTIF($B$4731:$B4970,$B4970))</f>
        <v>6</v>
      </c>
      <c r="E4970" s="402" t="s">
        <v>2788</v>
      </c>
      <c r="F4970" s="403" t="s">
        <v>2789</v>
      </c>
      <c r="G4970" s="327" t="s">
        <v>155</v>
      </c>
      <c r="H4970" s="361" t="s">
        <v>536</v>
      </c>
      <c r="I4970" s="327">
        <f>4*I4969</f>
        <v>48</v>
      </c>
      <c r="J4970" s="361"/>
      <c r="K4970" s="327" t="s">
        <v>101</v>
      </c>
      <c r="L4970" s="389">
        <v>600</v>
      </c>
      <c r="M4970" s="355"/>
      <c r="N4970" s="355" t="s">
        <v>2408</v>
      </c>
      <c r="O4970" s="345" t="s">
        <v>2778</v>
      </c>
      <c r="P4970" s="325"/>
      <c r="Q4970" s="327"/>
      <c r="R4970" s="351"/>
      <c r="S4970" s="351"/>
      <c r="T4970" s="351"/>
      <c r="U4970" s="329" t="str">
        <f>IF($N4970=$N$4,IFERROR(INDEX(DanhMuc!$E$154:$E$165,MATCH(MID($B4970,4,2),DanhMuc!$B$154:$B$165,0)),""),"")</f>
        <v/>
      </c>
      <c r="V4970" s="361"/>
      <c r="W4970" s="345"/>
      <c r="X4970" s="786"/>
      <c r="Y4970" s="1128" t="s">
        <v>3380</v>
      </c>
      <c r="Z4970" s="1128" t="s">
        <v>3381</v>
      </c>
      <c r="AA4970" s="1128" t="s">
        <v>3384</v>
      </c>
      <c r="AB4970" s="20"/>
      <c r="AC4970" s="73"/>
    </row>
    <row r="4971" spans="1:29">
      <c r="A4971" s="327" t="str">
        <f>IF(AND($B4971&lt;&gt;"",$C4971&lt;&gt;""),MAX($A$4730:$A4919)+1,"")</f>
        <v/>
      </c>
      <c r="B4971" s="361" t="s">
        <v>3195</v>
      </c>
      <c r="C4971" s="360"/>
      <c r="D4971" s="327">
        <f>IF($B4971="","",COUNTIF($B$4731:$B4971,$B4971))</f>
        <v>7</v>
      </c>
      <c r="E4971" s="361" t="s">
        <v>2338</v>
      </c>
      <c r="F4971" s="362" t="s">
        <v>2331</v>
      </c>
      <c r="G4971" s="327" t="s">
        <v>155</v>
      </c>
      <c r="H4971" s="361" t="s">
        <v>536</v>
      </c>
      <c r="I4971" s="327">
        <v>24</v>
      </c>
      <c r="J4971" s="361"/>
      <c r="K4971" s="327" t="s">
        <v>101</v>
      </c>
      <c r="L4971" s="389">
        <v>750</v>
      </c>
      <c r="M4971" s="355"/>
      <c r="N4971" s="355" t="s">
        <v>2408</v>
      </c>
      <c r="O4971" s="345"/>
      <c r="P4971" s="325"/>
      <c r="Q4971" s="327"/>
      <c r="R4971" s="351"/>
      <c r="S4971" s="351"/>
      <c r="T4971" s="351"/>
      <c r="U4971" s="329" t="str">
        <f>IF($N4971=$N$4,IFERROR(INDEX(DanhMuc!$E$154:$E$165,MATCH(MID($B4971,4,2),DanhMuc!$B$154:$B$165,0)),""),"")</f>
        <v/>
      </c>
      <c r="V4971" s="361"/>
      <c r="W4971" s="345"/>
      <c r="X4971" s="786"/>
      <c r="Y4971" s="1128" t="s">
        <v>3380</v>
      </c>
      <c r="Z4971" s="1128" t="s">
        <v>3381</v>
      </c>
      <c r="AA4971" s="1128" t="s">
        <v>3384</v>
      </c>
      <c r="AB4971" s="20"/>
      <c r="AC4971" s="73"/>
    </row>
    <row r="4972" spans="1:29">
      <c r="A4972" s="327" t="str">
        <f>IF(AND($B4972&lt;&gt;"",$C4972&lt;&gt;""),MAX($A$4730:$A4971)+1,"")</f>
        <v/>
      </c>
      <c r="B4972" s="361" t="s">
        <v>3195</v>
      </c>
      <c r="C4972" s="362"/>
      <c r="D4972" s="327">
        <f>IF($B4972="","",COUNTIF($B$4731:$B4972,$B4972))</f>
        <v>8</v>
      </c>
      <c r="E4972" s="361" t="s">
        <v>654</v>
      </c>
      <c r="F4972" s="362" t="s">
        <v>653</v>
      </c>
      <c r="G4972" s="327" t="s">
        <v>1836</v>
      </c>
      <c r="H4972" s="361" t="s">
        <v>536</v>
      </c>
      <c r="I4972" s="327">
        <f>I4965/45</f>
        <v>8.8888888888888892E-2</v>
      </c>
      <c r="J4972" s="477"/>
      <c r="K4972" s="327" t="s">
        <v>655</v>
      </c>
      <c r="L4972" s="478">
        <v>115000</v>
      </c>
      <c r="M4972" s="355"/>
      <c r="N4972" s="355" t="s">
        <v>2408</v>
      </c>
      <c r="O4972" s="345" t="s">
        <v>2777</v>
      </c>
      <c r="P4972" s="325"/>
      <c r="Q4972" s="327"/>
      <c r="R4972" s="351"/>
      <c r="S4972" s="351"/>
      <c r="T4972" s="351"/>
      <c r="U4972" s="329" t="str">
        <f>IF($N4972=$N$4,IFERROR(INDEX(DanhMuc!$E$154:$E$165,MATCH(MID($B4972,4,2),DanhMuc!$B$154:$B$165,0)),""),"")</f>
        <v/>
      </c>
      <c r="V4972" s="361"/>
      <c r="W4972" s="345"/>
      <c r="X4972" s="786"/>
      <c r="Y4972" s="1128" t="s">
        <v>3380</v>
      </c>
      <c r="Z4972" s="1128" t="s">
        <v>3381</v>
      </c>
      <c r="AA4972" s="1128" t="s">
        <v>3384</v>
      </c>
      <c r="AB4972" s="20"/>
      <c r="AC4972" s="73"/>
    </row>
    <row r="4973" spans="1:29">
      <c r="A4973" s="327" t="str">
        <f>IF(AND($B4973&lt;&gt;"",$C4973&lt;&gt;""),MAX($A$4730:$A4972)+1,"")</f>
        <v/>
      </c>
      <c r="B4973" s="361" t="s">
        <v>3195</v>
      </c>
      <c r="C4973" s="362"/>
      <c r="D4973" s="327">
        <f>IF($B4973="","",COUNTIF($B$4731:$B4973,$B4973))</f>
        <v>9</v>
      </c>
      <c r="E4973" s="361" t="s">
        <v>654</v>
      </c>
      <c r="F4973" s="362" t="s">
        <v>653</v>
      </c>
      <c r="G4973" s="327" t="s">
        <v>1836</v>
      </c>
      <c r="H4973" s="361" t="s">
        <v>536</v>
      </c>
      <c r="I4973" s="327">
        <f>I4968/45</f>
        <v>0.26666666666666666</v>
      </c>
      <c r="J4973" s="477"/>
      <c r="K4973" s="327" t="s">
        <v>655</v>
      </c>
      <c r="L4973" s="478">
        <v>115000</v>
      </c>
      <c r="M4973" s="355"/>
      <c r="N4973" s="355" t="s">
        <v>2408</v>
      </c>
      <c r="O4973" s="345" t="s">
        <v>2779</v>
      </c>
      <c r="P4973" s="325"/>
      <c r="Q4973" s="327"/>
      <c r="R4973" s="351"/>
      <c r="S4973" s="351"/>
      <c r="T4973" s="351"/>
      <c r="U4973" s="329" t="str">
        <f>IF($N4973=$N$4,IFERROR(INDEX(DanhMuc!$E$154:$E$165,MATCH(MID($B4973,4,2),DanhMuc!$B$154:$B$165,0)),""),"")</f>
        <v/>
      </c>
      <c r="V4973" s="361"/>
      <c r="W4973" s="345"/>
      <c r="X4973" s="786"/>
      <c r="Y4973" s="1128" t="s">
        <v>3380</v>
      </c>
      <c r="Z4973" s="1128" t="s">
        <v>3381</v>
      </c>
      <c r="AA4973" s="1128" t="s">
        <v>3384</v>
      </c>
      <c r="AB4973" s="20"/>
      <c r="AC4973" s="73"/>
    </row>
    <row r="4974" spans="1:29">
      <c r="A4974" s="327" t="str">
        <f>IF(AND($B4974&lt;&gt;"",$C4974&lt;&gt;""),MAX($A$4730:$A4920)+1,"")</f>
        <v/>
      </c>
      <c r="B4974" s="361" t="s">
        <v>3195</v>
      </c>
      <c r="C4974" s="360"/>
      <c r="D4974" s="327">
        <f>IF($B4974="","",COUNTIF($B$4731:$B4974,$B4974))</f>
        <v>10</v>
      </c>
      <c r="E4974" s="361" t="s">
        <v>1826</v>
      </c>
      <c r="F4974" s="362" t="s">
        <v>670</v>
      </c>
      <c r="G4974" s="327" t="s">
        <v>661</v>
      </c>
      <c r="H4974" s="361" t="s">
        <v>536</v>
      </c>
      <c r="I4974" s="361" t="s">
        <v>2354</v>
      </c>
      <c r="J4974" s="361"/>
      <c r="K4974" s="327" t="s">
        <v>103</v>
      </c>
      <c r="L4974" s="478">
        <f>40000/1000</f>
        <v>40</v>
      </c>
      <c r="M4974" s="355"/>
      <c r="N4974" s="355" t="s">
        <v>2408</v>
      </c>
      <c r="O4974" s="345"/>
      <c r="P4974" s="325"/>
      <c r="Q4974" s="327"/>
      <c r="R4974" s="351"/>
      <c r="S4974" s="351"/>
      <c r="T4974" s="351"/>
      <c r="U4974" s="329" t="str">
        <f>IF($N4974=$N$4,IFERROR(INDEX(DanhMuc!$E$154:$E$165,MATCH(MID($B4974,4,2),DanhMuc!$B$154:$B$165,0)),""),"")</f>
        <v/>
      </c>
      <c r="V4974" s="361"/>
      <c r="W4974" s="345"/>
      <c r="X4974" s="786"/>
      <c r="Y4974" s="1128" t="s">
        <v>3380</v>
      </c>
      <c r="Z4974" s="1128" t="s">
        <v>3381</v>
      </c>
      <c r="AA4974" s="1128" t="s">
        <v>3384</v>
      </c>
      <c r="AB4974" s="20"/>
      <c r="AC4974" s="73"/>
    </row>
    <row r="4975" spans="1:29" ht="37.5">
      <c r="A4975" s="327" t="str">
        <f>IF(AND($B4975&lt;&gt;"",$C4975&lt;&gt;""),MAX($A$4730:$A4965)+1,"")</f>
        <v/>
      </c>
      <c r="B4975" s="361" t="s">
        <v>3195</v>
      </c>
      <c r="C4975" s="362"/>
      <c r="D4975" s="327">
        <f>IF($B4975="","",COUNTIF($B$4731:$B4975,$B4975))</f>
        <v>11</v>
      </c>
      <c r="E4975" s="362" t="s">
        <v>2756</v>
      </c>
      <c r="F4975" s="362" t="s">
        <v>2757</v>
      </c>
      <c r="G4975" s="327" t="s">
        <v>405</v>
      </c>
      <c r="H4975" s="361" t="s">
        <v>536</v>
      </c>
      <c r="I4975" s="361" t="s">
        <v>694</v>
      </c>
      <c r="J4975" s="361"/>
      <c r="K4975" s="327" t="s">
        <v>738</v>
      </c>
      <c r="L4975" s="479">
        <v>322</v>
      </c>
      <c r="M4975" s="371"/>
      <c r="N4975" s="355" t="s">
        <v>2408</v>
      </c>
      <c r="O4975" s="345"/>
      <c r="P4975" s="325"/>
      <c r="Q4975" s="327"/>
      <c r="R4975" s="351"/>
      <c r="S4975" s="351"/>
      <c r="T4975" s="351"/>
      <c r="U4975" s="329" t="str">
        <f>IF($N4975=$N$4,IFERROR(INDEX(DanhMuc!$E$154:$E$165,MATCH(MID($B4975,4,2),DanhMuc!$B$154:$B$165,0)),""),"")</f>
        <v/>
      </c>
      <c r="V4975" s="361"/>
      <c r="W4975" s="345"/>
      <c r="X4975" s="786"/>
      <c r="Y4975" s="1128" t="s">
        <v>3380</v>
      </c>
      <c r="Z4975" s="1128" t="s">
        <v>3381</v>
      </c>
      <c r="AA4975" s="1128" t="s">
        <v>3384</v>
      </c>
      <c r="AB4975" s="20"/>
      <c r="AC4975" s="73"/>
    </row>
    <row r="4976" spans="1:29">
      <c r="A4976" s="327" t="str">
        <f>IF(AND($B4976&lt;&gt;"",$C4976&lt;&gt;""),MAX($A$4730:$A4975)+1,"")</f>
        <v/>
      </c>
      <c r="B4976" s="361" t="s">
        <v>3195</v>
      </c>
      <c r="C4976" s="362"/>
      <c r="D4976" s="327">
        <f>IF($B4976="","",COUNTIF($B$4731:$B4976,$B4976))</f>
        <v>12</v>
      </c>
      <c r="E4976" s="361" t="s">
        <v>656</v>
      </c>
      <c r="F4976" s="362" t="s">
        <v>2239</v>
      </c>
      <c r="G4976" s="327" t="s">
        <v>405</v>
      </c>
      <c r="H4976" s="361" t="s">
        <v>536</v>
      </c>
      <c r="I4976" s="361" t="s">
        <v>1827</v>
      </c>
      <c r="J4976" s="361"/>
      <c r="K4976" s="327" t="s">
        <v>100</v>
      </c>
      <c r="L4976" s="478">
        <v>970</v>
      </c>
      <c r="M4976" s="371"/>
      <c r="N4976" s="355" t="s">
        <v>2409</v>
      </c>
      <c r="O4976" s="345"/>
      <c r="P4976" s="325"/>
      <c r="Q4976" s="327"/>
      <c r="R4976" s="351"/>
      <c r="S4976" s="351"/>
      <c r="T4976" s="351"/>
      <c r="U4976" s="329" t="str">
        <f>IF($N4976=$N$4,IFERROR(INDEX(DanhMuc!$E$154:$E$165,MATCH(MID($B4976,4,2),DanhMuc!$B$154:$B$165,0)),""),"")</f>
        <v/>
      </c>
      <c r="V4976" s="361"/>
      <c r="W4976" s="345"/>
      <c r="X4976" s="786"/>
      <c r="Y4976" s="1128" t="s">
        <v>3380</v>
      </c>
      <c r="Z4976" s="1128" t="s">
        <v>3381</v>
      </c>
      <c r="AA4976" s="1128" t="s">
        <v>3384</v>
      </c>
      <c r="AB4976" s="20"/>
      <c r="AC4976" s="73"/>
    </row>
    <row r="4977" spans="1:29">
      <c r="A4977" s="327" t="str">
        <f>IF(AND($B4977&lt;&gt;"",$C4977&lt;&gt;""),MAX($A$4730:$A4976)+1,"")</f>
        <v/>
      </c>
      <c r="B4977" s="361" t="s">
        <v>3195</v>
      </c>
      <c r="C4977" s="362"/>
      <c r="D4977" s="327">
        <f>IF($B4977="","",COUNTIF($B$4731:$B4977,$B4977))</f>
        <v>13</v>
      </c>
      <c r="E4977" s="361" t="s">
        <v>657</v>
      </c>
      <c r="F4977" s="362" t="s">
        <v>658</v>
      </c>
      <c r="G4977" s="327" t="s">
        <v>424</v>
      </c>
      <c r="H4977" s="361" t="s">
        <v>536</v>
      </c>
      <c r="I4977" s="361" t="s">
        <v>665</v>
      </c>
      <c r="J4977" s="361"/>
      <c r="K4977" s="327" t="s">
        <v>100</v>
      </c>
      <c r="L4977" s="478">
        <v>60000</v>
      </c>
      <c r="M4977" s="355"/>
      <c r="N4977" s="355" t="s">
        <v>2409</v>
      </c>
      <c r="O4977" s="345"/>
      <c r="P4977" s="325"/>
      <c r="Q4977" s="327"/>
      <c r="R4977" s="351"/>
      <c r="S4977" s="351"/>
      <c r="T4977" s="351"/>
      <c r="U4977" s="329" t="str">
        <f>IF($N4977=$N$4,IFERROR(INDEX(DanhMuc!$E$154:$E$165,MATCH(MID($B4977,4,2),DanhMuc!$B$154:$B$165,0)),""),"")</f>
        <v/>
      </c>
      <c r="V4977" s="361"/>
      <c r="W4977" s="345"/>
      <c r="X4977" s="786"/>
      <c r="Y4977" s="1128" t="s">
        <v>3380</v>
      </c>
      <c r="Z4977" s="1128" t="s">
        <v>3381</v>
      </c>
      <c r="AA4977" s="1128" t="s">
        <v>3384</v>
      </c>
      <c r="AB4977" s="20"/>
      <c r="AC4977" s="73"/>
    </row>
    <row r="4978" spans="1:29">
      <c r="A4978" s="327" t="str">
        <f>IF(AND($B4978&lt;&gt;"",$C4978&lt;&gt;""),MAX($A$4730:$A4977)+1,"")</f>
        <v/>
      </c>
      <c r="B4978" s="361" t="s">
        <v>3195</v>
      </c>
      <c r="C4978" s="362"/>
      <c r="D4978" s="327">
        <f>IF($B4978="","",COUNTIF($B$4731:$B4978,$B4978))</f>
        <v>14</v>
      </c>
      <c r="E4978" s="361" t="s">
        <v>2771</v>
      </c>
      <c r="F4978" s="362" t="s">
        <v>659</v>
      </c>
      <c r="G4978" s="327" t="s">
        <v>424</v>
      </c>
      <c r="H4978" s="361" t="s">
        <v>536</v>
      </c>
      <c r="I4978" s="361" t="s">
        <v>666</v>
      </c>
      <c r="J4978" s="361"/>
      <c r="K4978" s="327" t="s">
        <v>100</v>
      </c>
      <c r="L4978" s="389">
        <v>53000</v>
      </c>
      <c r="M4978" s="355"/>
      <c r="N4978" s="355" t="s">
        <v>2409</v>
      </c>
      <c r="O4978" s="345"/>
      <c r="P4978" s="325"/>
      <c r="Q4978" s="327"/>
      <c r="R4978" s="351"/>
      <c r="S4978" s="351"/>
      <c r="T4978" s="351"/>
      <c r="U4978" s="329" t="str">
        <f>IF($N4978=$N$4,IFERROR(INDEX(DanhMuc!$E$154:$E$165,MATCH(MID($B4978,4,2),DanhMuc!$B$154:$B$165,0)),""),"")</f>
        <v/>
      </c>
      <c r="V4978" s="361"/>
      <c r="W4978" s="345"/>
      <c r="X4978" s="786"/>
      <c r="Y4978" s="1128" t="s">
        <v>3380</v>
      </c>
      <c r="Z4978" s="1128" t="s">
        <v>3381</v>
      </c>
      <c r="AA4978" s="1128" t="s">
        <v>3384</v>
      </c>
      <c r="AB4978" s="20"/>
      <c r="AC4978" s="73"/>
    </row>
    <row r="4979" spans="1:29">
      <c r="A4979" s="327" t="str">
        <f>IF(AND($B4979&lt;&gt;"",$C4979&lt;&gt;""),MAX($A$4730:$A4978)+1,"")</f>
        <v/>
      </c>
      <c r="B4979" s="361" t="s">
        <v>3195</v>
      </c>
      <c r="C4979" s="362"/>
      <c r="D4979" s="327">
        <f>IF($B4979="","",COUNTIF($B$4731:$B4979,$B4979))</f>
        <v>15</v>
      </c>
      <c r="E4979" s="361" t="s">
        <v>1828</v>
      </c>
      <c r="F4979" s="362" t="s">
        <v>671</v>
      </c>
      <c r="G4979" s="327" t="s">
        <v>661</v>
      </c>
      <c r="H4979" s="361" t="s">
        <v>536</v>
      </c>
      <c r="I4979" s="361" t="s">
        <v>2355</v>
      </c>
      <c r="J4979" s="361"/>
      <c r="K4979" s="327" t="s">
        <v>100</v>
      </c>
      <c r="L4979" s="478">
        <f>40000/1000</f>
        <v>40</v>
      </c>
      <c r="M4979" s="355"/>
      <c r="N4979" s="355" t="s">
        <v>2409</v>
      </c>
      <c r="O4979" s="345"/>
      <c r="P4979" s="325"/>
      <c r="Q4979" s="327"/>
      <c r="R4979" s="351"/>
      <c r="S4979" s="351"/>
      <c r="T4979" s="351"/>
      <c r="U4979" s="329" t="str">
        <f>IF($N4979=$N$4,IFERROR(INDEX(DanhMuc!$E$154:$E$165,MATCH(MID($B4979,4,2),DanhMuc!$B$154:$B$165,0)),""),"")</f>
        <v/>
      </c>
      <c r="V4979" s="361"/>
      <c r="W4979" s="345"/>
      <c r="X4979" s="786"/>
      <c r="Y4979" s="1128" t="s">
        <v>3380</v>
      </c>
      <c r="Z4979" s="1128" t="s">
        <v>3381</v>
      </c>
      <c r="AA4979" s="1128" t="s">
        <v>3384</v>
      </c>
      <c r="AB4979" s="20"/>
      <c r="AC4979" s="73"/>
    </row>
    <row r="4980" spans="1:29">
      <c r="A4980" s="327" t="str">
        <f>IF(AND($B4980&lt;&gt;"",$C4980&lt;&gt;""),MAX($A$4730:$A4979)+1,"")</f>
        <v/>
      </c>
      <c r="B4980" s="361" t="s">
        <v>3195</v>
      </c>
      <c r="C4980" s="362"/>
      <c r="D4980" s="327">
        <f>IF($B4980="","",COUNTIF($B$4731:$B4980,$B4980))</f>
        <v>16</v>
      </c>
      <c r="E4980" s="361" t="s">
        <v>154</v>
      </c>
      <c r="F4980" s="362" t="s">
        <v>660</v>
      </c>
      <c r="G4980" s="327" t="s">
        <v>661</v>
      </c>
      <c r="H4980" s="361" t="s">
        <v>536</v>
      </c>
      <c r="I4980" s="361" t="s">
        <v>667</v>
      </c>
      <c r="J4980" s="361"/>
      <c r="K4980" s="327" t="s">
        <v>662</v>
      </c>
      <c r="L4980" s="478">
        <v>20</v>
      </c>
      <c r="M4980" s="355"/>
      <c r="N4980" s="355" t="s">
        <v>2409</v>
      </c>
      <c r="O4980" s="345"/>
      <c r="P4980" s="325"/>
      <c r="Q4980" s="327"/>
      <c r="R4980" s="351"/>
      <c r="S4980" s="351"/>
      <c r="T4980" s="351"/>
      <c r="U4980" s="329" t="str">
        <f>IF($N4980=$N$4,IFERROR(INDEX(DanhMuc!$E$154:$E$165,MATCH(MID($B4980,4,2),DanhMuc!$B$154:$B$165,0)),""),"")</f>
        <v/>
      </c>
      <c r="V4980" s="361"/>
      <c r="W4980" s="345"/>
      <c r="X4980" s="786"/>
      <c r="Y4980" s="1128" t="s">
        <v>3380</v>
      </c>
      <c r="Z4980" s="1128" t="s">
        <v>3381</v>
      </c>
      <c r="AA4980" s="1128" t="s">
        <v>3384</v>
      </c>
      <c r="AB4980" s="20"/>
      <c r="AC4980" s="73"/>
    </row>
    <row r="4981" spans="1:29">
      <c r="A4981" s="327" t="str">
        <f>IF(AND($B4981&lt;&gt;"",$C4981&lt;&gt;""),MAX($A$4730:$A4980)+1,"")</f>
        <v/>
      </c>
      <c r="B4981" s="361" t="s">
        <v>3195</v>
      </c>
      <c r="C4981" s="362"/>
      <c r="D4981" s="327">
        <f>IF($B4981="","",COUNTIF($B$4731:$B4981,$B4981))</f>
        <v>17</v>
      </c>
      <c r="E4981" s="362" t="s">
        <v>2282</v>
      </c>
      <c r="F4981" s="362" t="s">
        <v>2283</v>
      </c>
      <c r="G4981" s="327" t="s">
        <v>424</v>
      </c>
      <c r="H4981" s="361" t="s">
        <v>536</v>
      </c>
      <c r="I4981" s="361" t="s">
        <v>2238</v>
      </c>
      <c r="J4981" s="361"/>
      <c r="K4981" s="327" t="s">
        <v>662</v>
      </c>
      <c r="L4981" s="478">
        <v>28000</v>
      </c>
      <c r="M4981" s="355"/>
      <c r="N4981" s="355" t="s">
        <v>2409</v>
      </c>
      <c r="O4981" s="345"/>
      <c r="P4981" s="325"/>
      <c r="Q4981" s="327"/>
      <c r="R4981" s="351"/>
      <c r="S4981" s="351"/>
      <c r="T4981" s="351"/>
      <c r="U4981" s="329" t="str">
        <f>IF($N4981=$N$4,IFERROR(INDEX(DanhMuc!$E$154:$E$165,MATCH(MID($B4981,4,2),DanhMuc!$B$154:$B$165,0)),""),"")</f>
        <v/>
      </c>
      <c r="V4981" s="361"/>
      <c r="W4981" s="345"/>
      <c r="X4981" s="786"/>
      <c r="Y4981" s="1128" t="s">
        <v>3380</v>
      </c>
      <c r="Z4981" s="1128" t="s">
        <v>3381</v>
      </c>
      <c r="AA4981" s="1128" t="s">
        <v>3384</v>
      </c>
      <c r="AB4981" s="20"/>
      <c r="AC4981" s="73"/>
    </row>
    <row r="4982" spans="1:29">
      <c r="A4982" s="327" t="str">
        <f>IF(AND($B4982&lt;&gt;"",$C4982&lt;&gt;""),MAX($A$4730:$A4981)+1,"")</f>
        <v/>
      </c>
      <c r="B4982" s="361" t="s">
        <v>3195</v>
      </c>
      <c r="C4982" s="362"/>
      <c r="D4982" s="327">
        <f>IF($B4982="","",COUNTIF($B$4731:$B4982,$B4982))</f>
        <v>18</v>
      </c>
      <c r="E4982" s="362" t="s">
        <v>663</v>
      </c>
      <c r="F4982" s="362" t="s">
        <v>664</v>
      </c>
      <c r="G4982" s="327" t="s">
        <v>155</v>
      </c>
      <c r="H4982" s="361" t="s">
        <v>536</v>
      </c>
      <c r="I4982" s="361" t="s">
        <v>672</v>
      </c>
      <c r="J4982" s="361"/>
      <c r="K4982" s="327" t="s">
        <v>662</v>
      </c>
      <c r="L4982" s="478">
        <v>1000</v>
      </c>
      <c r="M4982" s="355"/>
      <c r="N4982" s="355" t="s">
        <v>2409</v>
      </c>
      <c r="O4982" s="345"/>
      <c r="P4982" s="325"/>
      <c r="Q4982" s="327"/>
      <c r="R4982" s="351"/>
      <c r="S4982" s="351"/>
      <c r="T4982" s="351"/>
      <c r="U4982" s="329" t="str">
        <f>IF($N4982=$N$4,IFERROR(INDEX(DanhMuc!$E$154:$E$165,MATCH(MID($B4982,4,2),DanhMuc!$B$154:$B$165,0)),""),"")</f>
        <v/>
      </c>
      <c r="V4982" s="361"/>
      <c r="W4982" s="345"/>
      <c r="X4982" s="786"/>
      <c r="Y4982" s="1128" t="s">
        <v>3380</v>
      </c>
      <c r="Z4982" s="1128" t="s">
        <v>3381</v>
      </c>
      <c r="AA4982" s="1128" t="s">
        <v>3384</v>
      </c>
      <c r="AB4982" s="20"/>
      <c r="AC4982" s="73"/>
    </row>
    <row r="4983" spans="1:29" ht="39">
      <c r="A4983" s="327">
        <f>IF(AND($B4983&lt;&gt;"",$C4983&lt;&gt;""),MAX($A$4730:$A4936)+1,"")</f>
        <v>9</v>
      </c>
      <c r="B4983" s="359" t="s">
        <v>3173</v>
      </c>
      <c r="C4983" s="360" t="s">
        <v>3196</v>
      </c>
      <c r="D4983" s="327">
        <f>IF($B4983="","",COUNTIF($B$4731:$B4983,$B4983))</f>
        <v>1</v>
      </c>
      <c r="E4983" s="480" t="s">
        <v>2858</v>
      </c>
      <c r="F4983" s="403" t="s">
        <v>2859</v>
      </c>
      <c r="G4983" s="327" t="s">
        <v>155</v>
      </c>
      <c r="H4983" s="361" t="s">
        <v>536</v>
      </c>
      <c r="I4983" s="327">
        <v>4</v>
      </c>
      <c r="J4983" s="361"/>
      <c r="K4983" s="327" t="s">
        <v>100</v>
      </c>
      <c r="L4983" s="389">
        <v>7100</v>
      </c>
      <c r="M4983" s="355"/>
      <c r="N4983" s="355" t="s">
        <v>2408</v>
      </c>
      <c r="O4983" s="345" t="s">
        <v>2777</v>
      </c>
      <c r="P4983" s="325"/>
      <c r="Q4983" s="327"/>
      <c r="R4983" s="351"/>
      <c r="S4983" s="351"/>
      <c r="T4983" s="351"/>
      <c r="U4983" s="329" t="str">
        <f>IF($N4983=$N$4,IFERROR(INDEX(DanhMuc!$E$154:$E$165,MATCH(MID($B4983,4,2),DanhMuc!$B$154:$B$165,0)),""),"")</f>
        <v/>
      </c>
      <c r="V4983" s="361"/>
      <c r="W4983" s="345"/>
      <c r="X4983" s="786"/>
      <c r="Y4983" s="1128" t="s">
        <v>3380</v>
      </c>
      <c r="Z4983" s="1128" t="s">
        <v>3381</v>
      </c>
      <c r="AA4983" s="1128" t="s">
        <v>3384</v>
      </c>
      <c r="AB4983" s="20"/>
      <c r="AC4983" s="73"/>
    </row>
    <row r="4984" spans="1:29" ht="25">
      <c r="A4984" s="327" t="str">
        <f>IF(AND($B4984&lt;&gt;"",$C4984&lt;&gt;""),MAX($A$4730:$A4965)+1,"")</f>
        <v/>
      </c>
      <c r="B4984" s="361" t="s">
        <v>3173</v>
      </c>
      <c r="C4984" s="360"/>
      <c r="D4984" s="327">
        <f>IF($B4984="","",COUNTIF($B$4731:$B4984,$B4984))</f>
        <v>2</v>
      </c>
      <c r="E4984" s="480" t="s">
        <v>2304</v>
      </c>
      <c r="F4984" s="403" t="s">
        <v>2335</v>
      </c>
      <c r="G4984" s="327" t="s">
        <v>155</v>
      </c>
      <c r="H4984" s="361" t="s">
        <v>536</v>
      </c>
      <c r="I4984" s="327">
        <v>4</v>
      </c>
      <c r="J4984" s="361"/>
      <c r="K4984" s="327" t="s">
        <v>100</v>
      </c>
      <c r="L4984" s="389">
        <v>7100</v>
      </c>
      <c r="M4984" s="355"/>
      <c r="N4984" s="355" t="s">
        <v>2408</v>
      </c>
      <c r="O4984" s="345" t="s">
        <v>2776</v>
      </c>
      <c r="P4984" s="325"/>
      <c r="Q4984" s="327"/>
      <c r="R4984" s="351"/>
      <c r="S4984" s="351"/>
      <c r="T4984" s="351"/>
      <c r="U4984" s="329" t="str">
        <f>IF($N4984=$N$4,IFERROR(INDEX(DanhMuc!$E$154:$E$165,MATCH(MID($B4984,4,2),DanhMuc!$B$154:$B$165,0)),""),"")</f>
        <v/>
      </c>
      <c r="V4984" s="361"/>
      <c r="W4984" s="345"/>
      <c r="X4984" s="786"/>
      <c r="Y4984" s="1128" t="s">
        <v>3380</v>
      </c>
      <c r="Z4984" s="1128" t="s">
        <v>3381</v>
      </c>
      <c r="AA4984" s="1128" t="s">
        <v>3384</v>
      </c>
      <c r="AB4984" s="20"/>
      <c r="AC4984" s="73"/>
    </row>
    <row r="4985" spans="1:29">
      <c r="A4985" s="327" t="str">
        <f>IF(AND($B4985&lt;&gt;"",$C4985&lt;&gt;""),MAX($A$4730:$A4984)+1,"")</f>
        <v/>
      </c>
      <c r="B4985" s="361" t="s">
        <v>3173</v>
      </c>
      <c r="C4985" s="360"/>
      <c r="D4985" s="327">
        <f>IF($B4985="","",COUNTIF($B$4731:$B4985,$B4985))</f>
        <v>3</v>
      </c>
      <c r="E4985" s="402" t="s">
        <v>2788</v>
      </c>
      <c r="F4985" s="403" t="s">
        <v>2789</v>
      </c>
      <c r="G4985" s="327" t="s">
        <v>155</v>
      </c>
      <c r="H4985" s="361" t="s">
        <v>536</v>
      </c>
      <c r="I4985" s="327">
        <f>4*I4984</f>
        <v>16</v>
      </c>
      <c r="J4985" s="361"/>
      <c r="K4985" s="327" t="s">
        <v>100</v>
      </c>
      <c r="L4985" s="389">
        <v>600</v>
      </c>
      <c r="M4985" s="355"/>
      <c r="N4985" s="355" t="s">
        <v>2408</v>
      </c>
      <c r="O4985" s="345" t="s">
        <v>2776</v>
      </c>
      <c r="P4985" s="325"/>
      <c r="Q4985" s="327"/>
      <c r="R4985" s="351"/>
      <c r="S4985" s="351"/>
      <c r="T4985" s="351"/>
      <c r="U4985" s="329" t="str">
        <f>IF($N4985=$N$4,IFERROR(INDEX(DanhMuc!$E$154:$E$165,MATCH(MID($B4985,4,2),DanhMuc!$B$154:$B$165,0)),""),"")</f>
        <v/>
      </c>
      <c r="V4985" s="361"/>
      <c r="W4985" s="345"/>
      <c r="X4985" s="786"/>
      <c r="Y4985" s="1128" t="s">
        <v>3380</v>
      </c>
      <c r="Z4985" s="1128" t="s">
        <v>3381</v>
      </c>
      <c r="AA4985" s="1128" t="s">
        <v>3384</v>
      </c>
      <c r="AB4985" s="20"/>
      <c r="AC4985" s="73"/>
    </row>
    <row r="4986" spans="1:29">
      <c r="A4986" s="327" t="str">
        <f>IF(AND($B4986&lt;&gt;"",$C4986&lt;&gt;""),MAX($A$4730:$A4965)+1,"")</f>
        <v/>
      </c>
      <c r="B4986" s="361" t="s">
        <v>3173</v>
      </c>
      <c r="C4986" s="360"/>
      <c r="D4986" s="327">
        <f>IF($B4986="","",COUNTIF($B$4731:$B4986,$B4986))</f>
        <v>4</v>
      </c>
      <c r="E4986" s="480" t="s">
        <v>2860</v>
      </c>
      <c r="F4986" s="403" t="s">
        <v>2861</v>
      </c>
      <c r="G4986" s="327" t="s">
        <v>155</v>
      </c>
      <c r="H4986" s="361" t="s">
        <v>536</v>
      </c>
      <c r="I4986" s="327">
        <v>12</v>
      </c>
      <c r="J4986" s="361"/>
      <c r="K4986" s="327" t="s">
        <v>101</v>
      </c>
      <c r="L4986" s="389">
        <v>5100</v>
      </c>
      <c r="M4986" s="355"/>
      <c r="N4986" s="355" t="s">
        <v>2408</v>
      </c>
      <c r="O4986" s="345" t="s">
        <v>2779</v>
      </c>
      <c r="P4986" s="325"/>
      <c r="Q4986" s="327"/>
      <c r="R4986" s="351"/>
      <c r="S4986" s="351"/>
      <c r="T4986" s="351"/>
      <c r="U4986" s="329" t="str">
        <f>IF($N4986=$N$4,IFERROR(INDEX(DanhMuc!$E$154:$E$165,MATCH(MID($B4986,4,2),DanhMuc!$B$154:$B$165,0)),""),"")</f>
        <v/>
      </c>
      <c r="V4986" s="361"/>
      <c r="W4986" s="345"/>
      <c r="X4986" s="786"/>
      <c r="Y4986" s="1128" t="s">
        <v>3380</v>
      </c>
      <c r="Z4986" s="1128" t="s">
        <v>3381</v>
      </c>
      <c r="AA4986" s="1128" t="s">
        <v>3384</v>
      </c>
      <c r="AB4986" s="20"/>
      <c r="AC4986" s="73"/>
    </row>
    <row r="4987" spans="1:29">
      <c r="A4987" s="327" t="str">
        <f>IF(AND($B4987&lt;&gt;"",$C4987&lt;&gt;""),MAX($A$4730:$A4966)+1,"")</f>
        <v/>
      </c>
      <c r="B4987" s="361" t="s">
        <v>3173</v>
      </c>
      <c r="C4987" s="360"/>
      <c r="D4987" s="327">
        <f>IF($B4987="","",COUNTIF($B$4731:$B4987,$B4987))</f>
        <v>5</v>
      </c>
      <c r="E4987" s="480" t="s">
        <v>2305</v>
      </c>
      <c r="F4987" s="403" t="s">
        <v>2862</v>
      </c>
      <c r="G4987" s="327" t="s">
        <v>155</v>
      </c>
      <c r="H4987" s="361" t="s">
        <v>536</v>
      </c>
      <c r="I4987" s="327">
        <v>12</v>
      </c>
      <c r="J4987" s="361"/>
      <c r="K4987" s="327" t="s">
        <v>101</v>
      </c>
      <c r="L4987" s="389">
        <v>5100</v>
      </c>
      <c r="M4987" s="355"/>
      <c r="N4987" s="355" t="s">
        <v>2408</v>
      </c>
      <c r="O4987" s="345" t="s">
        <v>2778</v>
      </c>
      <c r="P4987" s="325"/>
      <c r="Q4987" s="327"/>
      <c r="R4987" s="351"/>
      <c r="S4987" s="351"/>
      <c r="T4987" s="351"/>
      <c r="U4987" s="329" t="str">
        <f>IF($N4987=$N$4,IFERROR(INDEX(DanhMuc!$E$154:$E$165,MATCH(MID($B4987,4,2),DanhMuc!$B$154:$B$165,0)),""),"")</f>
        <v/>
      </c>
      <c r="V4987" s="361"/>
      <c r="W4987" s="345"/>
      <c r="X4987" s="786"/>
      <c r="Y4987" s="1128" t="s">
        <v>3380</v>
      </c>
      <c r="Z4987" s="1128" t="s">
        <v>3381</v>
      </c>
      <c r="AA4987" s="1128" t="s">
        <v>3384</v>
      </c>
      <c r="AB4987" s="20"/>
      <c r="AC4987" s="73"/>
    </row>
    <row r="4988" spans="1:29">
      <c r="A4988" s="327" t="str">
        <f>IF(AND($B4988&lt;&gt;"",$C4988&lt;&gt;""),MAX($A$4730:$A4986)+1,"")</f>
        <v/>
      </c>
      <c r="B4988" s="361" t="s">
        <v>3173</v>
      </c>
      <c r="C4988" s="360"/>
      <c r="D4988" s="327">
        <f>IF($B4988="","",COUNTIF($B$4731:$B4988,$B4988))</f>
        <v>6</v>
      </c>
      <c r="E4988" s="402" t="s">
        <v>2788</v>
      </c>
      <c r="F4988" s="403" t="s">
        <v>2789</v>
      </c>
      <c r="G4988" s="327" t="s">
        <v>155</v>
      </c>
      <c r="H4988" s="361" t="s">
        <v>536</v>
      </c>
      <c r="I4988" s="327">
        <f>4*I4987</f>
        <v>48</v>
      </c>
      <c r="J4988" s="361"/>
      <c r="K4988" s="327" t="s">
        <v>101</v>
      </c>
      <c r="L4988" s="389">
        <v>600</v>
      </c>
      <c r="M4988" s="355"/>
      <c r="N4988" s="355" t="s">
        <v>2408</v>
      </c>
      <c r="O4988" s="345" t="s">
        <v>2778</v>
      </c>
      <c r="P4988" s="325"/>
      <c r="Q4988" s="327"/>
      <c r="R4988" s="351"/>
      <c r="S4988" s="351"/>
      <c r="T4988" s="351"/>
      <c r="U4988" s="329" t="str">
        <f>IF($N4988=$N$4,IFERROR(INDEX(DanhMuc!$E$154:$E$165,MATCH(MID($B4988,4,2),DanhMuc!$B$154:$B$165,0)),""),"")</f>
        <v/>
      </c>
      <c r="V4988" s="361"/>
      <c r="W4988" s="345"/>
      <c r="X4988" s="786"/>
      <c r="Y4988" s="1128" t="s">
        <v>3380</v>
      </c>
      <c r="Z4988" s="1128" t="s">
        <v>3381</v>
      </c>
      <c r="AA4988" s="1128" t="s">
        <v>3384</v>
      </c>
      <c r="AB4988" s="20"/>
      <c r="AC4988" s="73"/>
    </row>
    <row r="4989" spans="1:29">
      <c r="A4989" s="327" t="str">
        <f>IF(AND($B4989&lt;&gt;"",$C4989&lt;&gt;""),MAX($A$4730:$A4965)+1,"")</f>
        <v/>
      </c>
      <c r="B4989" s="361" t="s">
        <v>3173</v>
      </c>
      <c r="C4989" s="360"/>
      <c r="D4989" s="327">
        <f>IF($B4989="","",COUNTIF($B$4731:$B4989,$B4989))</f>
        <v>7</v>
      </c>
      <c r="E4989" s="361" t="s">
        <v>2338</v>
      </c>
      <c r="F4989" s="362" t="s">
        <v>2331</v>
      </c>
      <c r="G4989" s="327" t="s">
        <v>155</v>
      </c>
      <c r="H4989" s="361" t="s">
        <v>536</v>
      </c>
      <c r="I4989" s="327">
        <v>24</v>
      </c>
      <c r="J4989" s="361"/>
      <c r="K4989" s="327" t="s">
        <v>101</v>
      </c>
      <c r="L4989" s="389">
        <v>750</v>
      </c>
      <c r="M4989" s="355"/>
      <c r="N4989" s="355" t="s">
        <v>2408</v>
      </c>
      <c r="O4989" s="345"/>
      <c r="P4989" s="325"/>
      <c r="Q4989" s="327"/>
      <c r="R4989" s="351"/>
      <c r="S4989" s="351"/>
      <c r="T4989" s="351"/>
      <c r="U4989" s="329" t="str">
        <f>IF($N4989=$N$4,IFERROR(INDEX(DanhMuc!$E$154:$E$165,MATCH(MID($B4989,4,2),DanhMuc!$B$154:$B$165,0)),""),"")</f>
        <v/>
      </c>
      <c r="V4989" s="361"/>
      <c r="W4989" s="345"/>
      <c r="X4989" s="786"/>
      <c r="Y4989" s="1128" t="s">
        <v>3380</v>
      </c>
      <c r="Z4989" s="1128" t="s">
        <v>3381</v>
      </c>
      <c r="AA4989" s="1128" t="s">
        <v>3384</v>
      </c>
      <c r="AB4989" s="20"/>
      <c r="AC4989" s="73"/>
    </row>
    <row r="4990" spans="1:29">
      <c r="A4990" s="327" t="str">
        <f>IF(AND($B4990&lt;&gt;"",$C4990&lt;&gt;""),MAX($A$4730:$A4989)+1,"")</f>
        <v/>
      </c>
      <c r="B4990" s="361" t="s">
        <v>3173</v>
      </c>
      <c r="C4990" s="362"/>
      <c r="D4990" s="327">
        <f>IF($B4990="","",COUNTIF($B$4731:$B4990,$B4990))</f>
        <v>8</v>
      </c>
      <c r="E4990" s="361" t="s">
        <v>654</v>
      </c>
      <c r="F4990" s="362" t="s">
        <v>653</v>
      </c>
      <c r="G4990" s="327" t="s">
        <v>1836</v>
      </c>
      <c r="H4990" s="361" t="s">
        <v>536</v>
      </c>
      <c r="I4990" s="327">
        <f>I4983/45</f>
        <v>8.8888888888888892E-2</v>
      </c>
      <c r="J4990" s="477"/>
      <c r="K4990" s="327" t="s">
        <v>655</v>
      </c>
      <c r="L4990" s="478">
        <v>115000</v>
      </c>
      <c r="M4990" s="355"/>
      <c r="N4990" s="355" t="s">
        <v>2408</v>
      </c>
      <c r="O4990" s="345" t="s">
        <v>2777</v>
      </c>
      <c r="P4990" s="325"/>
      <c r="Q4990" s="327"/>
      <c r="R4990" s="351"/>
      <c r="S4990" s="351"/>
      <c r="T4990" s="351"/>
      <c r="U4990" s="329" t="str">
        <f>IF($N4990=$N$4,IFERROR(INDEX(DanhMuc!$E$154:$E$165,MATCH(MID($B4990,4,2),DanhMuc!$B$154:$B$165,0)),""),"")</f>
        <v/>
      </c>
      <c r="V4990" s="361"/>
      <c r="W4990" s="345"/>
      <c r="X4990" s="786"/>
      <c r="Y4990" s="1128" t="s">
        <v>3380</v>
      </c>
      <c r="Z4990" s="1128" t="s">
        <v>3381</v>
      </c>
      <c r="AA4990" s="1128" t="s">
        <v>3384</v>
      </c>
      <c r="AB4990" s="20"/>
      <c r="AC4990" s="73"/>
    </row>
    <row r="4991" spans="1:29">
      <c r="A4991" s="327" t="str">
        <f>IF(AND($B4991&lt;&gt;"",$C4991&lt;&gt;""),MAX($A$4730:$A4990)+1,"")</f>
        <v/>
      </c>
      <c r="B4991" s="361" t="s">
        <v>3173</v>
      </c>
      <c r="C4991" s="362"/>
      <c r="D4991" s="327">
        <f>IF($B4991="","",COUNTIF($B$4731:$B4991,$B4991))</f>
        <v>9</v>
      </c>
      <c r="E4991" s="361" t="s">
        <v>654</v>
      </c>
      <c r="F4991" s="362" t="s">
        <v>653</v>
      </c>
      <c r="G4991" s="327" t="s">
        <v>1836</v>
      </c>
      <c r="H4991" s="361" t="s">
        <v>536</v>
      </c>
      <c r="I4991" s="327">
        <f>I4986/45</f>
        <v>0.26666666666666666</v>
      </c>
      <c r="J4991" s="477"/>
      <c r="K4991" s="327" t="s">
        <v>655</v>
      </c>
      <c r="L4991" s="478">
        <v>115000</v>
      </c>
      <c r="M4991" s="355"/>
      <c r="N4991" s="355" t="s">
        <v>2408</v>
      </c>
      <c r="O4991" s="345" t="s">
        <v>2779</v>
      </c>
      <c r="P4991" s="325"/>
      <c r="Q4991" s="327"/>
      <c r="R4991" s="351"/>
      <c r="S4991" s="351"/>
      <c r="T4991" s="351"/>
      <c r="U4991" s="329" t="str">
        <f>IF($N4991=$N$4,IFERROR(INDEX(DanhMuc!$E$154:$E$165,MATCH(MID($B4991,4,2),DanhMuc!$B$154:$B$165,0)),""),"")</f>
        <v/>
      </c>
      <c r="V4991" s="361"/>
      <c r="W4991" s="345"/>
      <c r="X4991" s="786"/>
      <c r="Y4991" s="1128" t="s">
        <v>3380</v>
      </c>
      <c r="Z4991" s="1128" t="s">
        <v>3381</v>
      </c>
      <c r="AA4991" s="1128" t="s">
        <v>3384</v>
      </c>
      <c r="AB4991" s="20"/>
      <c r="AC4991" s="73"/>
    </row>
    <row r="4992" spans="1:29">
      <c r="A4992" s="327" t="str">
        <f>IF(AND($B4992&lt;&gt;"",$C4992&lt;&gt;""),MAX($A$4730:$A4966)+1,"")</f>
        <v/>
      </c>
      <c r="B4992" s="361" t="s">
        <v>3173</v>
      </c>
      <c r="C4992" s="360"/>
      <c r="D4992" s="327">
        <f>IF($B4992="","",COUNTIF($B$4731:$B4992,$B4992))</f>
        <v>10</v>
      </c>
      <c r="E4992" s="361" t="s">
        <v>1826</v>
      </c>
      <c r="F4992" s="362" t="s">
        <v>670</v>
      </c>
      <c r="G4992" s="327" t="s">
        <v>661</v>
      </c>
      <c r="H4992" s="361" t="s">
        <v>536</v>
      </c>
      <c r="I4992" s="361" t="s">
        <v>2354</v>
      </c>
      <c r="J4992" s="361"/>
      <c r="K4992" s="327" t="s">
        <v>103</v>
      </c>
      <c r="L4992" s="478">
        <f>40000/1000</f>
        <v>40</v>
      </c>
      <c r="M4992" s="355"/>
      <c r="N4992" s="355" t="s">
        <v>2408</v>
      </c>
      <c r="O4992" s="345"/>
      <c r="P4992" s="325"/>
      <c r="Q4992" s="327"/>
      <c r="R4992" s="351"/>
      <c r="S4992" s="351"/>
      <c r="T4992" s="351"/>
      <c r="U4992" s="329" t="str">
        <f>IF($N4992=$N$4,IFERROR(INDEX(DanhMuc!$E$154:$E$165,MATCH(MID($B4992,4,2),DanhMuc!$B$154:$B$165,0)),""),"")</f>
        <v/>
      </c>
      <c r="V4992" s="361"/>
      <c r="W4992" s="345"/>
      <c r="X4992" s="786"/>
      <c r="Y4992" s="1128" t="s">
        <v>3380</v>
      </c>
      <c r="Z4992" s="1128" t="s">
        <v>3381</v>
      </c>
      <c r="AA4992" s="1128" t="s">
        <v>3384</v>
      </c>
      <c r="AB4992" s="20"/>
      <c r="AC4992" s="73"/>
    </row>
    <row r="4993" spans="1:29" ht="37.5">
      <c r="A4993" s="327" t="str">
        <f>IF(AND($B4993&lt;&gt;"",$C4993&lt;&gt;""),MAX($A$4730:$A4983)+1,"")</f>
        <v/>
      </c>
      <c r="B4993" s="361" t="s">
        <v>3173</v>
      </c>
      <c r="C4993" s="362"/>
      <c r="D4993" s="327">
        <f>IF($B4993="","",COUNTIF($B$4731:$B4993,$B4993))</f>
        <v>11</v>
      </c>
      <c r="E4993" s="362" t="s">
        <v>2756</v>
      </c>
      <c r="F4993" s="362" t="s">
        <v>2757</v>
      </c>
      <c r="G4993" s="327" t="s">
        <v>405</v>
      </c>
      <c r="H4993" s="361" t="s">
        <v>536</v>
      </c>
      <c r="I4993" s="361" t="s">
        <v>694</v>
      </c>
      <c r="J4993" s="361"/>
      <c r="K4993" s="327" t="s">
        <v>738</v>
      </c>
      <c r="L4993" s="479">
        <v>322</v>
      </c>
      <c r="M4993" s="371"/>
      <c r="N4993" s="355" t="s">
        <v>2408</v>
      </c>
      <c r="O4993" s="345"/>
      <c r="P4993" s="325"/>
      <c r="Q4993" s="327"/>
      <c r="R4993" s="351"/>
      <c r="S4993" s="351"/>
      <c r="T4993" s="351"/>
      <c r="U4993" s="329" t="str">
        <f>IF($N4993=$N$4,IFERROR(INDEX(DanhMuc!$E$154:$E$165,MATCH(MID($B4993,4,2),DanhMuc!$B$154:$B$165,0)),""),"")</f>
        <v/>
      </c>
      <c r="V4993" s="361"/>
      <c r="W4993" s="345"/>
      <c r="X4993" s="786"/>
      <c r="Y4993" s="1128" t="s">
        <v>3380</v>
      </c>
      <c r="Z4993" s="1128" t="s">
        <v>3381</v>
      </c>
      <c r="AA4993" s="1128" t="s">
        <v>3384</v>
      </c>
      <c r="AB4993" s="20"/>
      <c r="AC4993" s="73"/>
    </row>
    <row r="4994" spans="1:29">
      <c r="A4994" s="327" t="str">
        <f>IF(AND($B4994&lt;&gt;"",$C4994&lt;&gt;""),MAX($A$4730:$A4993)+1,"")</f>
        <v/>
      </c>
      <c r="B4994" s="361" t="s">
        <v>3173</v>
      </c>
      <c r="C4994" s="362"/>
      <c r="D4994" s="327">
        <f>IF($B4994="","",COUNTIF($B$4731:$B4994,$B4994))</f>
        <v>12</v>
      </c>
      <c r="E4994" s="361" t="s">
        <v>656</v>
      </c>
      <c r="F4994" s="362" t="s">
        <v>2239</v>
      </c>
      <c r="G4994" s="327" t="s">
        <v>405</v>
      </c>
      <c r="H4994" s="361" t="s">
        <v>536</v>
      </c>
      <c r="I4994" s="361" t="s">
        <v>1827</v>
      </c>
      <c r="J4994" s="361"/>
      <c r="K4994" s="327" t="s">
        <v>100</v>
      </c>
      <c r="L4994" s="478">
        <v>970</v>
      </c>
      <c r="M4994" s="371"/>
      <c r="N4994" s="355" t="s">
        <v>2409</v>
      </c>
      <c r="O4994" s="345"/>
      <c r="P4994" s="325"/>
      <c r="Q4994" s="327"/>
      <c r="R4994" s="351"/>
      <c r="S4994" s="351"/>
      <c r="T4994" s="351"/>
      <c r="U4994" s="329" t="str">
        <f>IF($N4994=$N$4,IFERROR(INDEX(DanhMuc!$E$154:$E$165,MATCH(MID($B4994,4,2),DanhMuc!$B$154:$B$165,0)),""),"")</f>
        <v/>
      </c>
      <c r="V4994" s="361"/>
      <c r="W4994" s="345"/>
      <c r="X4994" s="786"/>
      <c r="Y4994" s="1128" t="s">
        <v>3380</v>
      </c>
      <c r="Z4994" s="1128" t="s">
        <v>3381</v>
      </c>
      <c r="AA4994" s="1128" t="s">
        <v>3384</v>
      </c>
      <c r="AB4994" s="20"/>
      <c r="AC4994" s="73"/>
    </row>
    <row r="4995" spans="1:29">
      <c r="A4995" s="327" t="str">
        <f>IF(AND($B4995&lt;&gt;"",$C4995&lt;&gt;""),MAX($A$4730:$A4994)+1,"")</f>
        <v/>
      </c>
      <c r="B4995" s="361" t="s">
        <v>3173</v>
      </c>
      <c r="C4995" s="362"/>
      <c r="D4995" s="327">
        <f>IF($B4995="","",COUNTIF($B$4731:$B4995,$B4995))</f>
        <v>13</v>
      </c>
      <c r="E4995" s="361" t="s">
        <v>657</v>
      </c>
      <c r="F4995" s="362" t="s">
        <v>658</v>
      </c>
      <c r="G4995" s="327" t="s">
        <v>424</v>
      </c>
      <c r="H4995" s="361" t="s">
        <v>536</v>
      </c>
      <c r="I4995" s="361" t="s">
        <v>665</v>
      </c>
      <c r="J4995" s="361"/>
      <c r="K4995" s="327" t="s">
        <v>100</v>
      </c>
      <c r="L4995" s="478">
        <v>60000</v>
      </c>
      <c r="M4995" s="355"/>
      <c r="N4995" s="355" t="s">
        <v>2409</v>
      </c>
      <c r="O4995" s="345"/>
      <c r="P4995" s="325"/>
      <c r="Q4995" s="327"/>
      <c r="R4995" s="351"/>
      <c r="S4995" s="351"/>
      <c r="T4995" s="351"/>
      <c r="U4995" s="329" t="str">
        <f>IF($N4995=$N$4,IFERROR(INDEX(DanhMuc!$E$154:$E$165,MATCH(MID($B4995,4,2),DanhMuc!$B$154:$B$165,0)),""),"")</f>
        <v/>
      </c>
      <c r="V4995" s="361"/>
      <c r="W4995" s="345"/>
      <c r="X4995" s="786"/>
      <c r="Y4995" s="1128" t="s">
        <v>3380</v>
      </c>
      <c r="Z4995" s="1128" t="s">
        <v>3381</v>
      </c>
      <c r="AA4995" s="1128" t="s">
        <v>3384</v>
      </c>
      <c r="AB4995" s="20"/>
      <c r="AC4995" s="73"/>
    </row>
    <row r="4996" spans="1:29">
      <c r="A4996" s="327" t="str">
        <f>IF(AND($B4996&lt;&gt;"",$C4996&lt;&gt;""),MAX($A$4730:$A4995)+1,"")</f>
        <v/>
      </c>
      <c r="B4996" s="361" t="s">
        <v>3173</v>
      </c>
      <c r="C4996" s="362"/>
      <c r="D4996" s="327">
        <f>IF($B4996="","",COUNTIF($B$4731:$B4996,$B4996))</f>
        <v>14</v>
      </c>
      <c r="E4996" s="361" t="s">
        <v>2771</v>
      </c>
      <c r="F4996" s="362" t="s">
        <v>659</v>
      </c>
      <c r="G4996" s="327" t="s">
        <v>424</v>
      </c>
      <c r="H4996" s="361" t="s">
        <v>536</v>
      </c>
      <c r="I4996" s="361" t="s">
        <v>666</v>
      </c>
      <c r="J4996" s="361"/>
      <c r="K4996" s="327" t="s">
        <v>100</v>
      </c>
      <c r="L4996" s="389">
        <v>53000</v>
      </c>
      <c r="M4996" s="355"/>
      <c r="N4996" s="355" t="s">
        <v>2409</v>
      </c>
      <c r="O4996" s="345"/>
      <c r="P4996" s="325"/>
      <c r="Q4996" s="327"/>
      <c r="R4996" s="351"/>
      <c r="S4996" s="351"/>
      <c r="T4996" s="351"/>
      <c r="U4996" s="329" t="str">
        <f>IF($N4996=$N$4,IFERROR(INDEX(DanhMuc!$E$154:$E$165,MATCH(MID($B4996,4,2),DanhMuc!$B$154:$B$165,0)),""),"")</f>
        <v/>
      </c>
      <c r="V4996" s="361"/>
      <c r="W4996" s="345"/>
      <c r="X4996" s="786"/>
      <c r="Y4996" s="1128" t="s">
        <v>3380</v>
      </c>
      <c r="Z4996" s="1128" t="s">
        <v>3381</v>
      </c>
      <c r="AA4996" s="1128" t="s">
        <v>3384</v>
      </c>
      <c r="AB4996" s="20"/>
      <c r="AC4996" s="73"/>
    </row>
    <row r="4997" spans="1:29">
      <c r="A4997" s="327" t="str">
        <f>IF(AND($B4997&lt;&gt;"",$C4997&lt;&gt;""),MAX($A$4730:$A4996)+1,"")</f>
        <v/>
      </c>
      <c r="B4997" s="361" t="s">
        <v>3173</v>
      </c>
      <c r="C4997" s="362"/>
      <c r="D4997" s="327">
        <f>IF($B4997="","",COUNTIF($B$4731:$B4997,$B4997))</f>
        <v>15</v>
      </c>
      <c r="E4997" s="361" t="s">
        <v>1828</v>
      </c>
      <c r="F4997" s="362" t="s">
        <v>671</v>
      </c>
      <c r="G4997" s="327" t="s">
        <v>661</v>
      </c>
      <c r="H4997" s="361" t="s">
        <v>536</v>
      </c>
      <c r="I4997" s="361" t="s">
        <v>2355</v>
      </c>
      <c r="J4997" s="361"/>
      <c r="K4997" s="327" t="s">
        <v>100</v>
      </c>
      <c r="L4997" s="478">
        <f>40000/1000</f>
        <v>40</v>
      </c>
      <c r="M4997" s="355"/>
      <c r="N4997" s="355" t="s">
        <v>2409</v>
      </c>
      <c r="O4997" s="345"/>
      <c r="P4997" s="325"/>
      <c r="Q4997" s="327"/>
      <c r="R4997" s="351"/>
      <c r="S4997" s="351"/>
      <c r="T4997" s="351"/>
      <c r="U4997" s="329" t="str">
        <f>IF($N4997=$N$4,IFERROR(INDEX(DanhMuc!$E$154:$E$165,MATCH(MID($B4997,4,2),DanhMuc!$B$154:$B$165,0)),""),"")</f>
        <v/>
      </c>
      <c r="V4997" s="361"/>
      <c r="W4997" s="345"/>
      <c r="X4997" s="786"/>
      <c r="Y4997" s="1128" t="s">
        <v>3380</v>
      </c>
      <c r="Z4997" s="1128" t="s">
        <v>3381</v>
      </c>
      <c r="AA4997" s="1128" t="s">
        <v>3384</v>
      </c>
      <c r="AB4997" s="20"/>
      <c r="AC4997" s="73"/>
    </row>
    <row r="4998" spans="1:29">
      <c r="A4998" s="327" t="str">
        <f>IF(AND($B4998&lt;&gt;"",$C4998&lt;&gt;""),MAX($A$4730:$A4997)+1,"")</f>
        <v/>
      </c>
      <c r="B4998" s="361" t="s">
        <v>3173</v>
      </c>
      <c r="C4998" s="362"/>
      <c r="D4998" s="327">
        <f>IF($B4998="","",COUNTIF($B$4731:$B4998,$B4998))</f>
        <v>16</v>
      </c>
      <c r="E4998" s="361" t="s">
        <v>154</v>
      </c>
      <c r="F4998" s="362" t="s">
        <v>660</v>
      </c>
      <c r="G4998" s="327" t="s">
        <v>661</v>
      </c>
      <c r="H4998" s="361" t="s">
        <v>536</v>
      </c>
      <c r="I4998" s="361" t="s">
        <v>667</v>
      </c>
      <c r="J4998" s="361"/>
      <c r="K4998" s="327" t="s">
        <v>662</v>
      </c>
      <c r="L4998" s="478">
        <v>20</v>
      </c>
      <c r="M4998" s="355"/>
      <c r="N4998" s="355" t="s">
        <v>2409</v>
      </c>
      <c r="O4998" s="345"/>
      <c r="P4998" s="325"/>
      <c r="Q4998" s="327"/>
      <c r="R4998" s="351"/>
      <c r="S4998" s="351"/>
      <c r="T4998" s="351"/>
      <c r="U4998" s="329" t="str">
        <f>IF($N4998=$N$4,IFERROR(INDEX(DanhMuc!$E$154:$E$165,MATCH(MID($B4998,4,2),DanhMuc!$B$154:$B$165,0)),""),"")</f>
        <v/>
      </c>
      <c r="V4998" s="361"/>
      <c r="W4998" s="345"/>
      <c r="X4998" s="786"/>
      <c r="Y4998" s="1128" t="s">
        <v>3380</v>
      </c>
      <c r="Z4998" s="1128" t="s">
        <v>3381</v>
      </c>
      <c r="AA4998" s="1128" t="s">
        <v>3384</v>
      </c>
      <c r="AB4998" s="20"/>
      <c r="AC4998" s="73"/>
    </row>
    <row r="4999" spans="1:29">
      <c r="A4999" s="327" t="str">
        <f>IF(AND($B4999&lt;&gt;"",$C4999&lt;&gt;""),MAX($A$4730:$A4998)+1,"")</f>
        <v/>
      </c>
      <c r="B4999" s="361" t="s">
        <v>3173</v>
      </c>
      <c r="C4999" s="362"/>
      <c r="D4999" s="327">
        <f>IF($B4999="","",COUNTIF($B$4731:$B4999,$B4999))</f>
        <v>17</v>
      </c>
      <c r="E4999" s="362" t="s">
        <v>2282</v>
      </c>
      <c r="F4999" s="362" t="s">
        <v>2283</v>
      </c>
      <c r="G4999" s="327" t="s">
        <v>424</v>
      </c>
      <c r="H4999" s="361" t="s">
        <v>536</v>
      </c>
      <c r="I4999" s="361" t="s">
        <v>2238</v>
      </c>
      <c r="J4999" s="361"/>
      <c r="K4999" s="327" t="s">
        <v>662</v>
      </c>
      <c r="L4999" s="478">
        <v>28000</v>
      </c>
      <c r="M4999" s="355"/>
      <c r="N4999" s="355" t="s">
        <v>2409</v>
      </c>
      <c r="O4999" s="345"/>
      <c r="P4999" s="325"/>
      <c r="Q4999" s="327"/>
      <c r="R4999" s="351"/>
      <c r="S4999" s="351"/>
      <c r="T4999" s="351"/>
      <c r="U4999" s="329" t="str">
        <f>IF($N4999=$N$4,IFERROR(INDEX(DanhMuc!$E$154:$E$165,MATCH(MID($B4999,4,2),DanhMuc!$B$154:$B$165,0)),""),"")</f>
        <v/>
      </c>
      <c r="V4999" s="361"/>
      <c r="W4999" s="345"/>
      <c r="X4999" s="786"/>
      <c r="Y4999" s="1128" t="s">
        <v>3380</v>
      </c>
      <c r="Z4999" s="1128" t="s">
        <v>3381</v>
      </c>
      <c r="AA4999" s="1128" t="s">
        <v>3384</v>
      </c>
      <c r="AB4999" s="20"/>
      <c r="AC4999" s="73"/>
    </row>
    <row r="5000" spans="1:29">
      <c r="A5000" s="327" t="str">
        <f>IF(AND($B5000&lt;&gt;"",$C5000&lt;&gt;""),MAX($A$4730:$A4999)+1,"")</f>
        <v/>
      </c>
      <c r="B5000" s="361" t="s">
        <v>3173</v>
      </c>
      <c r="C5000" s="362"/>
      <c r="D5000" s="327">
        <f>IF($B5000="","",COUNTIF($B$4731:$B5000,$B5000))</f>
        <v>18</v>
      </c>
      <c r="E5000" s="362" t="s">
        <v>663</v>
      </c>
      <c r="F5000" s="362" t="s">
        <v>664</v>
      </c>
      <c r="G5000" s="327" t="s">
        <v>155</v>
      </c>
      <c r="H5000" s="361" t="s">
        <v>536</v>
      </c>
      <c r="I5000" s="361" t="s">
        <v>672</v>
      </c>
      <c r="J5000" s="361"/>
      <c r="K5000" s="327" t="s">
        <v>662</v>
      </c>
      <c r="L5000" s="478">
        <v>1000</v>
      </c>
      <c r="M5000" s="355"/>
      <c r="N5000" s="355" t="s">
        <v>2409</v>
      </c>
      <c r="O5000" s="345"/>
      <c r="P5000" s="325"/>
      <c r="Q5000" s="327"/>
      <c r="R5000" s="351"/>
      <c r="S5000" s="351"/>
      <c r="T5000" s="351"/>
      <c r="U5000" s="329" t="str">
        <f>IF($N5000=$N$4,IFERROR(INDEX(DanhMuc!$E$154:$E$165,MATCH(MID($B5000,4,2),DanhMuc!$B$154:$B$165,0)),""),"")</f>
        <v/>
      </c>
      <c r="V5000" s="361"/>
      <c r="W5000" s="345"/>
      <c r="X5000" s="786"/>
      <c r="Y5000" s="1128" t="s">
        <v>3380</v>
      </c>
      <c r="Z5000" s="1128" t="s">
        <v>3381</v>
      </c>
      <c r="AA5000" s="1128" t="s">
        <v>3384</v>
      </c>
      <c r="AB5000" s="20"/>
      <c r="AC5000" s="73"/>
    </row>
    <row r="5001" spans="1:29" ht="26">
      <c r="A5001" s="327">
        <f>IF(AND($B5001&lt;&gt;"",$C5001&lt;&gt;""),MAX($A$4730:$A4925)+1,"")</f>
        <v>9</v>
      </c>
      <c r="B5001" s="359" t="s">
        <v>1179</v>
      </c>
      <c r="C5001" s="360" t="s">
        <v>1537</v>
      </c>
      <c r="D5001" s="327">
        <f>IF($B5001="","",COUNTIF($B$4731:$B5001,$B5001))</f>
        <v>1</v>
      </c>
      <c r="E5001" s="480" t="s">
        <v>2858</v>
      </c>
      <c r="F5001" s="403" t="s">
        <v>2859</v>
      </c>
      <c r="G5001" s="327" t="s">
        <v>155</v>
      </c>
      <c r="H5001" s="361" t="s">
        <v>536</v>
      </c>
      <c r="I5001" s="327">
        <v>4</v>
      </c>
      <c r="J5001" s="361"/>
      <c r="K5001" s="327" t="s">
        <v>100</v>
      </c>
      <c r="L5001" s="389">
        <v>7100</v>
      </c>
      <c r="M5001" s="355"/>
      <c r="N5001" s="355" t="s">
        <v>2408</v>
      </c>
      <c r="O5001" s="345" t="s">
        <v>2777</v>
      </c>
      <c r="P5001" s="325"/>
      <c r="Q5001" s="327"/>
      <c r="R5001" s="351"/>
      <c r="S5001" s="351"/>
      <c r="T5001" s="351"/>
      <c r="U5001" s="329" t="str">
        <f>IF($N5001=$N$4,IFERROR(INDEX(DanhMuc!$E$154:$E$165,MATCH(MID($B5001,4,2),DanhMuc!$B$154:$B$165,0)),""),"")</f>
        <v/>
      </c>
      <c r="V5001" s="361"/>
      <c r="W5001" s="345"/>
      <c r="X5001" s="786"/>
      <c r="Y5001" s="1128" t="s">
        <v>3380</v>
      </c>
      <c r="Z5001" s="1128" t="s">
        <v>3381</v>
      </c>
      <c r="AA5001" s="1128" t="s">
        <v>3384</v>
      </c>
      <c r="AB5001" s="20"/>
      <c r="AC5001" s="73"/>
    </row>
    <row r="5002" spans="1:29" ht="25">
      <c r="A5002" s="327" t="str">
        <f>IF(AND($B5002&lt;&gt;"",$C5002&lt;&gt;""),MAX($A$4730:$A4926)+1,"")</f>
        <v/>
      </c>
      <c r="B5002" s="361" t="s">
        <v>1179</v>
      </c>
      <c r="C5002" s="360"/>
      <c r="D5002" s="327">
        <f>IF($B5002="","",COUNTIF($B$4731:$B5002,$B5002))</f>
        <v>2</v>
      </c>
      <c r="E5002" s="480" t="s">
        <v>2304</v>
      </c>
      <c r="F5002" s="403" t="s">
        <v>2335</v>
      </c>
      <c r="G5002" s="327" t="s">
        <v>155</v>
      </c>
      <c r="H5002" s="361" t="s">
        <v>536</v>
      </c>
      <c r="I5002" s="327">
        <v>4</v>
      </c>
      <c r="J5002" s="361"/>
      <c r="K5002" s="327" t="s">
        <v>100</v>
      </c>
      <c r="L5002" s="389">
        <v>7100</v>
      </c>
      <c r="M5002" s="355"/>
      <c r="N5002" s="355" t="s">
        <v>2408</v>
      </c>
      <c r="O5002" s="345" t="s">
        <v>2776</v>
      </c>
      <c r="P5002" s="325"/>
      <c r="Q5002" s="327"/>
      <c r="R5002" s="351"/>
      <c r="S5002" s="351"/>
      <c r="T5002" s="351"/>
      <c r="U5002" s="329" t="str">
        <f>IF($N5002=$N$4,IFERROR(INDEX(DanhMuc!$E$154:$E$165,MATCH(MID($B5002,4,2),DanhMuc!$B$154:$B$165,0)),""),"")</f>
        <v/>
      </c>
      <c r="V5002" s="361"/>
      <c r="W5002" s="345"/>
      <c r="X5002" s="786"/>
      <c r="Y5002" s="1128" t="s">
        <v>3380</v>
      </c>
      <c r="Z5002" s="1128" t="s">
        <v>3381</v>
      </c>
      <c r="AA5002" s="1128" t="s">
        <v>3384</v>
      </c>
      <c r="AB5002" s="20"/>
      <c r="AC5002" s="73"/>
    </row>
    <row r="5003" spans="1:29">
      <c r="A5003" s="327" t="str">
        <f>IF(AND($B5003&lt;&gt;"",$C5003&lt;&gt;""),MAX($A$4730:$A5002)+1,"")</f>
        <v/>
      </c>
      <c r="B5003" s="361" t="s">
        <v>1179</v>
      </c>
      <c r="C5003" s="360"/>
      <c r="D5003" s="327">
        <f>IF($B5003="","",COUNTIF($B$4731:$B5003,$B5003))</f>
        <v>3</v>
      </c>
      <c r="E5003" s="402" t="s">
        <v>2788</v>
      </c>
      <c r="F5003" s="403" t="s">
        <v>2789</v>
      </c>
      <c r="G5003" s="327" t="s">
        <v>155</v>
      </c>
      <c r="H5003" s="361" t="s">
        <v>536</v>
      </c>
      <c r="I5003" s="327">
        <f>4*I5002</f>
        <v>16</v>
      </c>
      <c r="J5003" s="361"/>
      <c r="K5003" s="327" t="s">
        <v>100</v>
      </c>
      <c r="L5003" s="389">
        <v>600</v>
      </c>
      <c r="M5003" s="355"/>
      <c r="N5003" s="355" t="s">
        <v>2408</v>
      </c>
      <c r="O5003" s="345" t="s">
        <v>2776</v>
      </c>
      <c r="P5003" s="325"/>
      <c r="Q5003" s="327"/>
      <c r="R5003" s="351"/>
      <c r="S5003" s="351"/>
      <c r="T5003" s="351"/>
      <c r="U5003" s="329" t="str">
        <f>IF($N5003=$N$4,IFERROR(INDEX(DanhMuc!$E$154:$E$165,MATCH(MID($B5003,4,2),DanhMuc!$B$154:$B$165,0)),""),"")</f>
        <v/>
      </c>
      <c r="V5003" s="361"/>
      <c r="W5003" s="345"/>
      <c r="X5003" s="786"/>
      <c r="Y5003" s="1128" t="s">
        <v>3380</v>
      </c>
      <c r="Z5003" s="1128" t="s">
        <v>3381</v>
      </c>
      <c r="AA5003" s="1128" t="s">
        <v>3384</v>
      </c>
      <c r="AB5003" s="20"/>
      <c r="AC5003" s="73"/>
    </row>
    <row r="5004" spans="1:29">
      <c r="A5004" s="327" t="str">
        <f>IF(AND($B5004&lt;&gt;"",$C5004&lt;&gt;""),MAX($A$4730:$A4928)+1,"")</f>
        <v/>
      </c>
      <c r="B5004" s="361" t="s">
        <v>1179</v>
      </c>
      <c r="C5004" s="360"/>
      <c r="D5004" s="327">
        <f>IF($B5004="","",COUNTIF($B$4731:$B5004,$B5004))</f>
        <v>4</v>
      </c>
      <c r="E5004" s="480" t="s">
        <v>2860</v>
      </c>
      <c r="F5004" s="403" t="s">
        <v>2861</v>
      </c>
      <c r="G5004" s="327" t="s">
        <v>155</v>
      </c>
      <c r="H5004" s="361" t="s">
        <v>536</v>
      </c>
      <c r="I5004" s="327">
        <v>16</v>
      </c>
      <c r="J5004" s="361"/>
      <c r="K5004" s="327" t="s">
        <v>101</v>
      </c>
      <c r="L5004" s="389">
        <v>5100</v>
      </c>
      <c r="M5004" s="355"/>
      <c r="N5004" s="355" t="s">
        <v>2408</v>
      </c>
      <c r="O5004" s="345" t="s">
        <v>2779</v>
      </c>
      <c r="P5004" s="325"/>
      <c r="Q5004" s="327"/>
      <c r="R5004" s="351"/>
      <c r="S5004" s="351"/>
      <c r="T5004" s="351"/>
      <c r="U5004" s="329" t="str">
        <f>IF($N5004=$N$4,IFERROR(INDEX(DanhMuc!$E$154:$E$165,MATCH(MID($B5004,4,2),DanhMuc!$B$154:$B$165,0)),""),"")</f>
        <v/>
      </c>
      <c r="V5004" s="361"/>
      <c r="W5004" s="345"/>
      <c r="X5004" s="786"/>
      <c r="Y5004" s="1128" t="s">
        <v>3380</v>
      </c>
      <c r="Z5004" s="1128" t="s">
        <v>3381</v>
      </c>
      <c r="AA5004" s="1128" t="s">
        <v>3384</v>
      </c>
      <c r="AB5004" s="20"/>
      <c r="AC5004" s="73"/>
    </row>
    <row r="5005" spans="1:29">
      <c r="A5005" s="327" t="str">
        <f>IF(AND($B5005&lt;&gt;"",$C5005&lt;&gt;""),MAX($A$4730:$A4929)+1,"")</f>
        <v/>
      </c>
      <c r="B5005" s="361" t="s">
        <v>1179</v>
      </c>
      <c r="C5005" s="360"/>
      <c r="D5005" s="327">
        <f>IF($B5005="","",COUNTIF($B$4731:$B5005,$B5005))</f>
        <v>5</v>
      </c>
      <c r="E5005" s="480" t="s">
        <v>2305</v>
      </c>
      <c r="F5005" s="403" t="s">
        <v>2334</v>
      </c>
      <c r="G5005" s="327" t="s">
        <v>155</v>
      </c>
      <c r="H5005" s="361" t="s">
        <v>536</v>
      </c>
      <c r="I5005" s="327">
        <v>16</v>
      </c>
      <c r="J5005" s="361"/>
      <c r="K5005" s="327" t="s">
        <v>101</v>
      </c>
      <c r="L5005" s="389">
        <v>5100</v>
      </c>
      <c r="M5005" s="355"/>
      <c r="N5005" s="355" t="s">
        <v>2408</v>
      </c>
      <c r="O5005" s="345" t="s">
        <v>2778</v>
      </c>
      <c r="P5005" s="325"/>
      <c r="Q5005" s="327"/>
      <c r="R5005" s="351"/>
      <c r="S5005" s="351"/>
      <c r="T5005" s="351"/>
      <c r="U5005" s="329" t="str">
        <f>IF($N5005=$N$4,IFERROR(INDEX(DanhMuc!$E$154:$E$165,MATCH(MID($B5005,4,2),DanhMuc!$B$154:$B$165,0)),""),"")</f>
        <v/>
      </c>
      <c r="V5005" s="361"/>
      <c r="W5005" s="345"/>
      <c r="X5005" s="786"/>
      <c r="Y5005" s="1128" t="s">
        <v>3380</v>
      </c>
      <c r="Z5005" s="1128" t="s">
        <v>3381</v>
      </c>
      <c r="AA5005" s="1128" t="s">
        <v>3384</v>
      </c>
      <c r="AB5005" s="20"/>
      <c r="AC5005" s="73"/>
    </row>
    <row r="5006" spans="1:29">
      <c r="A5006" s="327" t="str">
        <f>IF(AND($B5006&lt;&gt;"",$C5006&lt;&gt;""),MAX($A$4730:$A5004)+1,"")</f>
        <v/>
      </c>
      <c r="B5006" s="361" t="s">
        <v>1179</v>
      </c>
      <c r="C5006" s="360"/>
      <c r="D5006" s="327">
        <f>IF($B5006="","",COUNTIF($B$4731:$B5006,$B5006))</f>
        <v>6</v>
      </c>
      <c r="E5006" s="402" t="s">
        <v>2788</v>
      </c>
      <c r="F5006" s="403" t="s">
        <v>2789</v>
      </c>
      <c r="G5006" s="327" t="s">
        <v>155</v>
      </c>
      <c r="H5006" s="361" t="s">
        <v>536</v>
      </c>
      <c r="I5006" s="327">
        <f>4*I5005</f>
        <v>64</v>
      </c>
      <c r="J5006" s="361"/>
      <c r="K5006" s="327" t="s">
        <v>101</v>
      </c>
      <c r="L5006" s="389">
        <v>600</v>
      </c>
      <c r="M5006" s="355"/>
      <c r="N5006" s="355" t="s">
        <v>2408</v>
      </c>
      <c r="O5006" s="345" t="s">
        <v>2778</v>
      </c>
      <c r="P5006" s="325"/>
      <c r="Q5006" s="327"/>
      <c r="R5006" s="351"/>
      <c r="S5006" s="351"/>
      <c r="T5006" s="351"/>
      <c r="U5006" s="329" t="str">
        <f>IF($N5006=$N$4,IFERROR(INDEX(DanhMuc!$E$154:$E$165,MATCH(MID($B5006,4,2),DanhMuc!$B$154:$B$165,0)),""),"")</f>
        <v/>
      </c>
      <c r="V5006" s="361"/>
      <c r="W5006" s="345"/>
      <c r="X5006" s="786"/>
      <c r="Y5006" s="1128" t="s">
        <v>3380</v>
      </c>
      <c r="Z5006" s="1128" t="s">
        <v>3381</v>
      </c>
      <c r="AA5006" s="1128" t="s">
        <v>3384</v>
      </c>
      <c r="AB5006" s="20"/>
      <c r="AC5006" s="73"/>
    </row>
    <row r="5007" spans="1:29">
      <c r="A5007" s="327" t="str">
        <f>IF(AND($B5007&lt;&gt;"",$C5007&lt;&gt;""),MAX($A$4730:$A4928)+1,"")</f>
        <v/>
      </c>
      <c r="B5007" s="361" t="s">
        <v>1179</v>
      </c>
      <c r="C5007" s="360"/>
      <c r="D5007" s="327">
        <f>IF($B5007="","",COUNTIF($B$4731:$B5007,$B5007))</f>
        <v>7</v>
      </c>
      <c r="E5007" s="361" t="s">
        <v>2338</v>
      </c>
      <c r="F5007" s="362" t="s">
        <v>2331</v>
      </c>
      <c r="G5007" s="327" t="s">
        <v>155</v>
      </c>
      <c r="H5007" s="361" t="s">
        <v>536</v>
      </c>
      <c r="I5007" s="327">
        <v>32</v>
      </c>
      <c r="J5007" s="361"/>
      <c r="K5007" s="327" t="s">
        <v>101</v>
      </c>
      <c r="L5007" s="389">
        <v>750</v>
      </c>
      <c r="M5007" s="355"/>
      <c r="N5007" s="355" t="s">
        <v>2408</v>
      </c>
      <c r="O5007" s="345"/>
      <c r="P5007" s="325"/>
      <c r="Q5007" s="327"/>
      <c r="R5007" s="351"/>
      <c r="S5007" s="351"/>
      <c r="T5007" s="351"/>
      <c r="U5007" s="329" t="str">
        <f>IF($N5007=$N$4,IFERROR(INDEX(DanhMuc!$E$154:$E$165,MATCH(MID($B5007,4,2),DanhMuc!$B$154:$B$165,0)),""),"")</f>
        <v/>
      </c>
      <c r="V5007" s="361"/>
      <c r="W5007" s="345"/>
      <c r="X5007" s="786"/>
      <c r="Y5007" s="1128" t="s">
        <v>3380</v>
      </c>
      <c r="Z5007" s="1128" t="s">
        <v>3381</v>
      </c>
      <c r="AA5007" s="1128" t="s">
        <v>3384</v>
      </c>
      <c r="AB5007" s="20"/>
      <c r="AC5007" s="73"/>
    </row>
    <row r="5008" spans="1:29">
      <c r="A5008" s="327" t="str">
        <f>IF(AND($B5008&lt;&gt;"",$C5008&lt;&gt;""),MAX($A$4730:$A5007)+1,"")</f>
        <v/>
      </c>
      <c r="B5008" s="361" t="s">
        <v>1179</v>
      </c>
      <c r="C5008" s="362"/>
      <c r="D5008" s="327">
        <f>IF($B5008="","",COUNTIF($B$4731:$B5008,$B5008))</f>
        <v>8</v>
      </c>
      <c r="E5008" s="361" t="s">
        <v>654</v>
      </c>
      <c r="F5008" s="362" t="s">
        <v>653</v>
      </c>
      <c r="G5008" s="327" t="s">
        <v>1836</v>
      </c>
      <c r="H5008" s="361" t="s">
        <v>536</v>
      </c>
      <c r="I5008" s="327">
        <f>I5001/45</f>
        <v>8.8888888888888892E-2</v>
      </c>
      <c r="J5008" s="477"/>
      <c r="K5008" s="327" t="s">
        <v>655</v>
      </c>
      <c r="L5008" s="478">
        <v>115000</v>
      </c>
      <c r="M5008" s="355"/>
      <c r="N5008" s="355" t="s">
        <v>2408</v>
      </c>
      <c r="O5008" s="345" t="s">
        <v>2777</v>
      </c>
      <c r="P5008" s="325"/>
      <c r="Q5008" s="327"/>
      <c r="R5008" s="351"/>
      <c r="S5008" s="351"/>
      <c r="T5008" s="351"/>
      <c r="U5008" s="329" t="str">
        <f>IF($N5008=$N$4,IFERROR(INDEX(DanhMuc!$E$154:$E$165,MATCH(MID($B5008,4,2),DanhMuc!$B$154:$B$165,0)),""),"")</f>
        <v/>
      </c>
      <c r="V5008" s="361"/>
      <c r="W5008" s="345"/>
      <c r="X5008" s="786"/>
      <c r="Y5008" s="1128" t="s">
        <v>3380</v>
      </c>
      <c r="Z5008" s="1128" t="s">
        <v>3381</v>
      </c>
      <c r="AA5008" s="1128" t="s">
        <v>3384</v>
      </c>
      <c r="AB5008" s="20"/>
      <c r="AC5008" s="73"/>
    </row>
    <row r="5009" spans="1:29">
      <c r="A5009" s="327" t="str">
        <f>IF(AND($B5009&lt;&gt;"",$C5009&lt;&gt;""),MAX($A$4730:$A5008)+1,"")</f>
        <v/>
      </c>
      <c r="B5009" s="361" t="s">
        <v>1179</v>
      </c>
      <c r="C5009" s="362"/>
      <c r="D5009" s="327">
        <f>IF($B5009="","",COUNTIF($B$4731:$B5009,$B5009))</f>
        <v>9</v>
      </c>
      <c r="E5009" s="361" t="s">
        <v>654</v>
      </c>
      <c r="F5009" s="362" t="s">
        <v>653</v>
      </c>
      <c r="G5009" s="327" t="s">
        <v>1836</v>
      </c>
      <c r="H5009" s="361" t="s">
        <v>536</v>
      </c>
      <c r="I5009" s="327">
        <f>I5004/45</f>
        <v>0.35555555555555557</v>
      </c>
      <c r="J5009" s="477"/>
      <c r="K5009" s="327" t="s">
        <v>655</v>
      </c>
      <c r="L5009" s="478">
        <v>115000</v>
      </c>
      <c r="M5009" s="355"/>
      <c r="N5009" s="355" t="s">
        <v>2408</v>
      </c>
      <c r="O5009" s="345" t="s">
        <v>2779</v>
      </c>
      <c r="P5009" s="325"/>
      <c r="Q5009" s="327"/>
      <c r="R5009" s="351"/>
      <c r="S5009" s="351"/>
      <c r="T5009" s="351"/>
      <c r="U5009" s="329" t="str">
        <f>IF($N5009=$N$4,IFERROR(INDEX(DanhMuc!$E$154:$E$165,MATCH(MID($B5009,4,2),DanhMuc!$B$154:$B$165,0)),""),"")</f>
        <v/>
      </c>
      <c r="V5009" s="361"/>
      <c r="W5009" s="345"/>
      <c r="X5009" s="786"/>
      <c r="Y5009" s="1128" t="s">
        <v>3380</v>
      </c>
      <c r="Z5009" s="1128" t="s">
        <v>3381</v>
      </c>
      <c r="AA5009" s="1128" t="s">
        <v>3384</v>
      </c>
      <c r="AB5009" s="20"/>
      <c r="AC5009" s="73"/>
    </row>
    <row r="5010" spans="1:29">
      <c r="A5010" s="327" t="str">
        <f>IF(AND($B5010&lt;&gt;"",$C5010&lt;&gt;""),MAX($A$4730:$A4936)+1,"")</f>
        <v/>
      </c>
      <c r="B5010" s="361" t="s">
        <v>1179</v>
      </c>
      <c r="C5010" s="360"/>
      <c r="D5010" s="327">
        <f>IF($B5010="","",COUNTIF($B$4731:$B5010,$B5010))</f>
        <v>10</v>
      </c>
      <c r="E5010" s="361" t="s">
        <v>1826</v>
      </c>
      <c r="F5010" s="362" t="s">
        <v>670</v>
      </c>
      <c r="G5010" s="327" t="s">
        <v>661</v>
      </c>
      <c r="H5010" s="361" t="s">
        <v>536</v>
      </c>
      <c r="I5010" s="361" t="s">
        <v>2354</v>
      </c>
      <c r="J5010" s="361"/>
      <c r="K5010" s="327" t="s">
        <v>103</v>
      </c>
      <c r="L5010" s="478">
        <f>40000/1000</f>
        <v>40</v>
      </c>
      <c r="M5010" s="355"/>
      <c r="N5010" s="355" t="s">
        <v>2408</v>
      </c>
      <c r="O5010" s="345"/>
      <c r="P5010" s="325"/>
      <c r="Q5010" s="327"/>
      <c r="R5010" s="351"/>
      <c r="S5010" s="351"/>
      <c r="T5010" s="351"/>
      <c r="U5010" s="329" t="str">
        <f>IF($N5010=$N$4,IFERROR(INDEX(DanhMuc!$E$154:$E$165,MATCH(MID($B5010,4,2),DanhMuc!$B$154:$B$165,0)),""),"")</f>
        <v/>
      </c>
      <c r="V5010" s="361"/>
      <c r="W5010" s="345"/>
      <c r="X5010" s="786"/>
      <c r="Y5010" s="1128" t="s">
        <v>3380</v>
      </c>
      <c r="Z5010" s="1128" t="s">
        <v>3381</v>
      </c>
      <c r="AA5010" s="1128" t="s">
        <v>3384</v>
      </c>
      <c r="AB5010" s="20"/>
      <c r="AC5010" s="73"/>
    </row>
    <row r="5011" spans="1:29" ht="37.5">
      <c r="A5011" s="327" t="str">
        <f>IF(AND($B5011&lt;&gt;"",$C5011&lt;&gt;""),MAX($A$4730:$A5010)+1,"")</f>
        <v/>
      </c>
      <c r="B5011" s="361" t="s">
        <v>1179</v>
      </c>
      <c r="C5011" s="362"/>
      <c r="D5011" s="327">
        <f>IF($B5011="","",COUNTIF($B$4731:$B5011,$B5011))</f>
        <v>11</v>
      </c>
      <c r="E5011" s="362" t="s">
        <v>2756</v>
      </c>
      <c r="F5011" s="362" t="s">
        <v>2757</v>
      </c>
      <c r="G5011" s="327" t="s">
        <v>405</v>
      </c>
      <c r="H5011" s="361" t="s">
        <v>536</v>
      </c>
      <c r="I5011" s="361" t="s">
        <v>694</v>
      </c>
      <c r="J5011" s="361"/>
      <c r="K5011" s="327" t="s">
        <v>738</v>
      </c>
      <c r="L5011" s="479">
        <v>322</v>
      </c>
      <c r="M5011" s="371"/>
      <c r="N5011" s="355" t="s">
        <v>2408</v>
      </c>
      <c r="O5011" s="345"/>
      <c r="P5011" s="325"/>
      <c r="Q5011" s="327"/>
      <c r="R5011" s="351"/>
      <c r="S5011" s="351"/>
      <c r="T5011" s="351"/>
      <c r="U5011" s="329" t="str">
        <f>IF($N5011=$N$4,IFERROR(INDEX(DanhMuc!$E$154:$E$165,MATCH(MID($B5011,4,2),DanhMuc!$B$154:$B$165,0)),""),"")</f>
        <v/>
      </c>
      <c r="V5011" s="361"/>
      <c r="W5011" s="345"/>
      <c r="X5011" s="786"/>
      <c r="Y5011" s="1128" t="s">
        <v>3380</v>
      </c>
      <c r="Z5011" s="1128" t="s">
        <v>3381</v>
      </c>
      <c r="AA5011" s="1128" t="s">
        <v>3384</v>
      </c>
      <c r="AB5011" s="20"/>
      <c r="AC5011" s="73"/>
    </row>
    <row r="5012" spans="1:29">
      <c r="A5012" s="327" t="str">
        <f>IF(AND($B5012&lt;&gt;"",$C5012&lt;&gt;""),MAX($A$4730:$A5011)+1,"")</f>
        <v/>
      </c>
      <c r="B5012" s="361" t="s">
        <v>1179</v>
      </c>
      <c r="C5012" s="362"/>
      <c r="D5012" s="327">
        <f>IF($B5012="","",COUNTIF($B$4731:$B5012,$B5012))</f>
        <v>12</v>
      </c>
      <c r="E5012" s="361" t="s">
        <v>656</v>
      </c>
      <c r="F5012" s="362" t="s">
        <v>2239</v>
      </c>
      <c r="G5012" s="327" t="s">
        <v>405</v>
      </c>
      <c r="H5012" s="361" t="s">
        <v>536</v>
      </c>
      <c r="I5012" s="361" t="s">
        <v>1827</v>
      </c>
      <c r="J5012" s="361"/>
      <c r="K5012" s="327" t="s">
        <v>100</v>
      </c>
      <c r="L5012" s="478">
        <v>970</v>
      </c>
      <c r="M5012" s="371"/>
      <c r="N5012" s="355" t="s">
        <v>2409</v>
      </c>
      <c r="O5012" s="345"/>
      <c r="P5012" s="325"/>
      <c r="Q5012" s="327"/>
      <c r="R5012" s="351"/>
      <c r="S5012" s="351"/>
      <c r="T5012" s="351"/>
      <c r="U5012" s="329" t="str">
        <f>IF($N5012=$N$4,IFERROR(INDEX(DanhMuc!$E$154:$E$165,MATCH(MID($B5012,4,2),DanhMuc!$B$154:$B$165,0)),""),"")</f>
        <v/>
      </c>
      <c r="V5012" s="361"/>
      <c r="W5012" s="345"/>
      <c r="X5012" s="786"/>
      <c r="Y5012" s="1128" t="s">
        <v>3380</v>
      </c>
      <c r="Z5012" s="1128" t="s">
        <v>3381</v>
      </c>
      <c r="AA5012" s="1128" t="s">
        <v>3384</v>
      </c>
      <c r="AB5012" s="20"/>
      <c r="AC5012" s="73"/>
    </row>
    <row r="5013" spans="1:29">
      <c r="A5013" s="327" t="str">
        <f>IF(AND($B5013&lt;&gt;"",$C5013&lt;&gt;""),MAX($A$4730:$A5012)+1,"")</f>
        <v/>
      </c>
      <c r="B5013" s="361" t="s">
        <v>1179</v>
      </c>
      <c r="C5013" s="362"/>
      <c r="D5013" s="327">
        <f>IF($B5013="","",COUNTIF($B$4731:$B5013,$B5013))</f>
        <v>13</v>
      </c>
      <c r="E5013" s="361" t="s">
        <v>657</v>
      </c>
      <c r="F5013" s="362" t="s">
        <v>658</v>
      </c>
      <c r="G5013" s="327" t="s">
        <v>424</v>
      </c>
      <c r="H5013" s="361" t="s">
        <v>536</v>
      </c>
      <c r="I5013" s="361" t="s">
        <v>665</v>
      </c>
      <c r="J5013" s="361"/>
      <c r="K5013" s="327" t="s">
        <v>100</v>
      </c>
      <c r="L5013" s="478">
        <v>60000</v>
      </c>
      <c r="M5013" s="355"/>
      <c r="N5013" s="355" t="s">
        <v>2409</v>
      </c>
      <c r="O5013" s="345"/>
      <c r="P5013" s="325"/>
      <c r="Q5013" s="327"/>
      <c r="R5013" s="351"/>
      <c r="S5013" s="351"/>
      <c r="T5013" s="351"/>
      <c r="U5013" s="329" t="str">
        <f>IF($N5013=$N$4,IFERROR(INDEX(DanhMuc!$E$154:$E$165,MATCH(MID($B5013,4,2),DanhMuc!$B$154:$B$165,0)),""),"")</f>
        <v/>
      </c>
      <c r="V5013" s="361"/>
      <c r="W5013" s="345"/>
      <c r="X5013" s="786"/>
      <c r="Y5013" s="1128" t="s">
        <v>3380</v>
      </c>
      <c r="Z5013" s="1128" t="s">
        <v>3381</v>
      </c>
      <c r="AA5013" s="1128" t="s">
        <v>3384</v>
      </c>
      <c r="AB5013" s="20"/>
      <c r="AC5013" s="73"/>
    </row>
    <row r="5014" spans="1:29">
      <c r="A5014" s="327" t="str">
        <f>IF(AND($B5014&lt;&gt;"",$C5014&lt;&gt;""),MAX($A$4730:$A5013)+1,"")</f>
        <v/>
      </c>
      <c r="B5014" s="361" t="s">
        <v>1179</v>
      </c>
      <c r="C5014" s="362"/>
      <c r="D5014" s="327">
        <f>IF($B5014="","",COUNTIF($B$4731:$B5014,$B5014))</f>
        <v>14</v>
      </c>
      <c r="E5014" s="361" t="s">
        <v>2771</v>
      </c>
      <c r="F5014" s="362" t="s">
        <v>659</v>
      </c>
      <c r="G5014" s="327" t="s">
        <v>424</v>
      </c>
      <c r="H5014" s="361" t="s">
        <v>536</v>
      </c>
      <c r="I5014" s="361" t="s">
        <v>666</v>
      </c>
      <c r="J5014" s="361"/>
      <c r="K5014" s="327" t="s">
        <v>100</v>
      </c>
      <c r="L5014" s="389">
        <v>53000</v>
      </c>
      <c r="M5014" s="355"/>
      <c r="N5014" s="355" t="s">
        <v>2409</v>
      </c>
      <c r="O5014" s="345"/>
      <c r="P5014" s="325"/>
      <c r="Q5014" s="327"/>
      <c r="R5014" s="351"/>
      <c r="S5014" s="351"/>
      <c r="T5014" s="351"/>
      <c r="U5014" s="329" t="str">
        <f>IF($N5014=$N$4,IFERROR(INDEX(DanhMuc!$E$154:$E$165,MATCH(MID($B5014,4,2),DanhMuc!$B$154:$B$165,0)),""),"")</f>
        <v/>
      </c>
      <c r="V5014" s="361"/>
      <c r="W5014" s="345"/>
      <c r="X5014" s="786"/>
      <c r="Y5014" s="1128" t="s">
        <v>3380</v>
      </c>
      <c r="Z5014" s="1128" t="s">
        <v>3381</v>
      </c>
      <c r="AA5014" s="1128" t="s">
        <v>3384</v>
      </c>
      <c r="AB5014" s="20"/>
      <c r="AC5014" s="73"/>
    </row>
    <row r="5015" spans="1:29">
      <c r="A5015" s="327" t="str">
        <f>IF(AND($B5015&lt;&gt;"",$C5015&lt;&gt;""),MAX($A$4730:$A5014)+1,"")</f>
        <v/>
      </c>
      <c r="B5015" s="361" t="s">
        <v>1179</v>
      </c>
      <c r="C5015" s="362"/>
      <c r="D5015" s="327">
        <f>IF($B5015="","",COUNTIF($B$4731:$B5015,$B5015))</f>
        <v>15</v>
      </c>
      <c r="E5015" s="361" t="s">
        <v>1828</v>
      </c>
      <c r="F5015" s="362" t="s">
        <v>671</v>
      </c>
      <c r="G5015" s="327" t="s">
        <v>661</v>
      </c>
      <c r="H5015" s="361" t="s">
        <v>536</v>
      </c>
      <c r="I5015" s="361" t="s">
        <v>2355</v>
      </c>
      <c r="J5015" s="361"/>
      <c r="K5015" s="327" t="s">
        <v>100</v>
      </c>
      <c r="L5015" s="478">
        <f>40000/1000</f>
        <v>40</v>
      </c>
      <c r="M5015" s="355"/>
      <c r="N5015" s="355" t="s">
        <v>2409</v>
      </c>
      <c r="O5015" s="345"/>
      <c r="P5015" s="325"/>
      <c r="Q5015" s="327"/>
      <c r="R5015" s="351"/>
      <c r="S5015" s="351"/>
      <c r="T5015" s="351"/>
      <c r="U5015" s="329" t="str">
        <f>IF($N5015=$N$4,IFERROR(INDEX(DanhMuc!$E$154:$E$165,MATCH(MID($B5015,4,2),DanhMuc!$B$154:$B$165,0)),""),"")</f>
        <v/>
      </c>
      <c r="V5015" s="361"/>
      <c r="W5015" s="345"/>
      <c r="X5015" s="786"/>
      <c r="Y5015" s="1128" t="s">
        <v>3380</v>
      </c>
      <c r="Z5015" s="1128" t="s">
        <v>3381</v>
      </c>
      <c r="AA5015" s="1128" t="s">
        <v>3384</v>
      </c>
      <c r="AB5015" s="20"/>
      <c r="AC5015" s="73"/>
    </row>
    <row r="5016" spans="1:29">
      <c r="A5016" s="327" t="str">
        <f>IF(AND($B5016&lt;&gt;"",$C5016&lt;&gt;""),MAX($A$4730:$A5015)+1,"")</f>
        <v/>
      </c>
      <c r="B5016" s="361" t="s">
        <v>1179</v>
      </c>
      <c r="C5016" s="362"/>
      <c r="D5016" s="327">
        <f>IF($B5016="","",COUNTIF($B$4731:$B5016,$B5016))</f>
        <v>16</v>
      </c>
      <c r="E5016" s="361" t="s">
        <v>154</v>
      </c>
      <c r="F5016" s="362" t="s">
        <v>660</v>
      </c>
      <c r="G5016" s="327" t="s">
        <v>661</v>
      </c>
      <c r="H5016" s="361" t="s">
        <v>536</v>
      </c>
      <c r="I5016" s="361" t="s">
        <v>667</v>
      </c>
      <c r="J5016" s="361"/>
      <c r="K5016" s="327" t="s">
        <v>662</v>
      </c>
      <c r="L5016" s="478">
        <v>20</v>
      </c>
      <c r="M5016" s="355"/>
      <c r="N5016" s="355" t="s">
        <v>2409</v>
      </c>
      <c r="O5016" s="345"/>
      <c r="P5016" s="325"/>
      <c r="Q5016" s="327"/>
      <c r="R5016" s="351"/>
      <c r="S5016" s="351"/>
      <c r="T5016" s="351"/>
      <c r="U5016" s="329" t="str">
        <f>IF($N5016=$N$4,IFERROR(INDEX(DanhMuc!$E$154:$E$165,MATCH(MID($B5016,4,2),DanhMuc!$B$154:$B$165,0)),""),"")</f>
        <v/>
      </c>
      <c r="V5016" s="361"/>
      <c r="W5016" s="345"/>
      <c r="X5016" s="786"/>
      <c r="Y5016" s="1128" t="s">
        <v>3380</v>
      </c>
      <c r="Z5016" s="1128" t="s">
        <v>3381</v>
      </c>
      <c r="AA5016" s="1128" t="s">
        <v>3384</v>
      </c>
      <c r="AB5016" s="20"/>
      <c r="AC5016" s="73"/>
    </row>
    <row r="5017" spans="1:29">
      <c r="A5017" s="327" t="str">
        <f>IF(AND($B5017&lt;&gt;"",$C5017&lt;&gt;""),MAX($A$4730:$A5016)+1,"")</f>
        <v/>
      </c>
      <c r="B5017" s="361" t="s">
        <v>1179</v>
      </c>
      <c r="C5017" s="362"/>
      <c r="D5017" s="327">
        <f>IF($B5017="","",COUNTIF($B$4731:$B5017,$B5017))</f>
        <v>17</v>
      </c>
      <c r="E5017" s="362" t="s">
        <v>2282</v>
      </c>
      <c r="F5017" s="362" t="s">
        <v>2283</v>
      </c>
      <c r="G5017" s="327" t="s">
        <v>424</v>
      </c>
      <c r="H5017" s="361" t="s">
        <v>536</v>
      </c>
      <c r="I5017" s="361" t="s">
        <v>2238</v>
      </c>
      <c r="J5017" s="361"/>
      <c r="K5017" s="327" t="s">
        <v>662</v>
      </c>
      <c r="L5017" s="478">
        <v>28000</v>
      </c>
      <c r="M5017" s="355"/>
      <c r="N5017" s="355" t="s">
        <v>2409</v>
      </c>
      <c r="O5017" s="345"/>
      <c r="P5017" s="325"/>
      <c r="Q5017" s="327"/>
      <c r="R5017" s="351"/>
      <c r="S5017" s="351"/>
      <c r="T5017" s="351"/>
      <c r="U5017" s="329" t="str">
        <f>IF($N5017=$N$4,IFERROR(INDEX(DanhMuc!$E$154:$E$165,MATCH(MID($B5017,4,2),DanhMuc!$B$154:$B$165,0)),""),"")</f>
        <v/>
      </c>
      <c r="V5017" s="361"/>
      <c r="W5017" s="345"/>
      <c r="X5017" s="786"/>
      <c r="Y5017" s="1128" t="s">
        <v>3380</v>
      </c>
      <c r="Z5017" s="1128" t="s">
        <v>3381</v>
      </c>
      <c r="AA5017" s="1128" t="s">
        <v>3384</v>
      </c>
      <c r="AB5017" s="20"/>
      <c r="AC5017" s="73"/>
    </row>
    <row r="5018" spans="1:29">
      <c r="A5018" s="327" t="str">
        <f>IF(AND($B5018&lt;&gt;"",$C5018&lt;&gt;""),MAX($A$4730:$A5017)+1,"")</f>
        <v/>
      </c>
      <c r="B5018" s="361" t="s">
        <v>1179</v>
      </c>
      <c r="C5018" s="362"/>
      <c r="D5018" s="327">
        <f>IF($B5018="","",COUNTIF($B$4731:$B5018,$B5018))</f>
        <v>18</v>
      </c>
      <c r="E5018" s="362" t="s">
        <v>663</v>
      </c>
      <c r="F5018" s="362" t="s">
        <v>664</v>
      </c>
      <c r="G5018" s="327" t="s">
        <v>155</v>
      </c>
      <c r="H5018" s="361" t="s">
        <v>536</v>
      </c>
      <c r="I5018" s="361" t="s">
        <v>672</v>
      </c>
      <c r="J5018" s="361"/>
      <c r="K5018" s="327" t="s">
        <v>662</v>
      </c>
      <c r="L5018" s="478">
        <v>1000</v>
      </c>
      <c r="M5018" s="355"/>
      <c r="N5018" s="355" t="s">
        <v>2409</v>
      </c>
      <c r="O5018" s="345"/>
      <c r="P5018" s="325"/>
      <c r="Q5018" s="327"/>
      <c r="R5018" s="351"/>
      <c r="S5018" s="351"/>
      <c r="T5018" s="351"/>
      <c r="U5018" s="329" t="str">
        <f>IF($N5018=$N$4,IFERROR(INDEX(DanhMuc!$E$154:$E$165,MATCH(MID($B5018,4,2),DanhMuc!$B$154:$B$165,0)),""),"")</f>
        <v/>
      </c>
      <c r="V5018" s="361"/>
      <c r="W5018" s="345"/>
      <c r="X5018" s="786"/>
      <c r="Y5018" s="1128" t="s">
        <v>3380</v>
      </c>
      <c r="Z5018" s="1128" t="s">
        <v>3381</v>
      </c>
      <c r="AA5018" s="1128" t="s">
        <v>3384</v>
      </c>
      <c r="AB5018" s="20"/>
      <c r="AC5018" s="73"/>
    </row>
    <row r="5019" spans="1:29" ht="26">
      <c r="A5019" s="327">
        <f>IF(AND($B5019&lt;&gt;"",$C5019&lt;&gt;""),MAX($A$4730:$A4873)+1,"")</f>
        <v>6</v>
      </c>
      <c r="B5019" s="359" t="s">
        <v>219</v>
      </c>
      <c r="C5019" s="360" t="s">
        <v>1542</v>
      </c>
      <c r="D5019" s="327">
        <f>IF($B5019="","",COUNTIF($B$4731:$B5019,$B5019))</f>
        <v>1</v>
      </c>
      <c r="E5019" s="402" t="s">
        <v>2302</v>
      </c>
      <c r="F5019" s="403" t="s">
        <v>2332</v>
      </c>
      <c r="G5019" s="327" t="s">
        <v>155</v>
      </c>
      <c r="H5019" s="361" t="s">
        <v>536</v>
      </c>
      <c r="I5019" s="327">
        <v>4</v>
      </c>
      <c r="J5019" s="361"/>
      <c r="K5019" s="327" t="s">
        <v>100</v>
      </c>
      <c r="L5019" s="389">
        <v>6600</v>
      </c>
      <c r="M5019" s="355"/>
      <c r="N5019" s="355" t="s">
        <v>2408</v>
      </c>
      <c r="O5019" s="345" t="s">
        <v>2776</v>
      </c>
      <c r="P5019" s="325"/>
      <c r="Q5019" s="327"/>
      <c r="R5019" s="351">
        <v>0</v>
      </c>
      <c r="S5019" s="351"/>
      <c r="T5019" s="351"/>
      <c r="U5019" s="329" t="str">
        <f>IF($N5019=$N$4,IFERROR(INDEX(DanhMuc!$E$154:$E$165,MATCH(MID($B5019,4,2),DanhMuc!$B$154:$B$165,0)),""),"")</f>
        <v/>
      </c>
      <c r="V5019" s="361"/>
      <c r="W5019" s="345"/>
      <c r="X5019" s="786"/>
      <c r="Y5019" s="1128" t="s">
        <v>3380</v>
      </c>
      <c r="Z5019" s="1128" t="s">
        <v>3381</v>
      </c>
      <c r="AA5019" s="1128" t="s">
        <v>3384</v>
      </c>
      <c r="AB5019" s="20"/>
      <c r="AC5019" s="73"/>
    </row>
    <row r="5020" spans="1:29">
      <c r="A5020" s="327" t="str">
        <f>IF(AND($B5020&lt;&gt;"",$C5020&lt;&gt;""),MAX($A$4730:$A5019)+1,"")</f>
        <v/>
      </c>
      <c r="B5020" s="361" t="s">
        <v>219</v>
      </c>
      <c r="C5020" s="360"/>
      <c r="D5020" s="327">
        <f>IF($B5020="","",COUNTIF($B$4731:$B5020,$B5020))</f>
        <v>2</v>
      </c>
      <c r="E5020" s="402" t="s">
        <v>2788</v>
      </c>
      <c r="F5020" s="403" t="s">
        <v>2789</v>
      </c>
      <c r="G5020" s="327" t="s">
        <v>155</v>
      </c>
      <c r="H5020" s="361" t="s">
        <v>536</v>
      </c>
      <c r="I5020" s="327">
        <f>4*I5019</f>
        <v>16</v>
      </c>
      <c r="J5020" s="361"/>
      <c r="K5020" s="327" t="s">
        <v>100</v>
      </c>
      <c r="L5020" s="389">
        <v>600</v>
      </c>
      <c r="M5020" s="355"/>
      <c r="N5020" s="355" t="s">
        <v>2408</v>
      </c>
      <c r="O5020" s="345" t="s">
        <v>2776</v>
      </c>
      <c r="P5020" s="325"/>
      <c r="Q5020" s="327"/>
      <c r="R5020" s="351"/>
      <c r="S5020" s="351"/>
      <c r="T5020" s="351"/>
      <c r="U5020" s="329" t="str">
        <f>IF($N5020=$N$4,IFERROR(INDEX(DanhMuc!$E$154:$E$165,MATCH(MID($B5020,4,2),DanhMuc!$B$154:$B$165,0)),""),"")</f>
        <v/>
      </c>
      <c r="V5020" s="361"/>
      <c r="W5020" s="345"/>
      <c r="X5020" s="786"/>
      <c r="Y5020" s="1128" t="s">
        <v>3380</v>
      </c>
      <c r="Z5020" s="1128" t="s">
        <v>3381</v>
      </c>
      <c r="AA5020" s="1128" t="s">
        <v>3384</v>
      </c>
      <c r="AB5020" s="20"/>
      <c r="AC5020" s="73"/>
    </row>
    <row r="5021" spans="1:29">
      <c r="A5021" s="327" t="str">
        <f>IF(AND($B5021&lt;&gt;"",$C5021&lt;&gt;""),MAX($A$4730:$A4874)+1,"")</f>
        <v/>
      </c>
      <c r="B5021" s="361" t="s">
        <v>219</v>
      </c>
      <c r="C5021" s="360"/>
      <c r="D5021" s="327">
        <f>IF($B5021="","",COUNTIF($B$4731:$B5021,$B5021))</f>
        <v>3</v>
      </c>
      <c r="E5021" s="361" t="s">
        <v>2781</v>
      </c>
      <c r="F5021" s="362" t="s">
        <v>2780</v>
      </c>
      <c r="G5021" s="327" t="s">
        <v>155</v>
      </c>
      <c r="H5021" s="361" t="s">
        <v>536</v>
      </c>
      <c r="I5021" s="327">
        <v>4</v>
      </c>
      <c r="J5021" s="361"/>
      <c r="K5021" s="327" t="s">
        <v>100</v>
      </c>
      <c r="L5021" s="389">
        <v>7200</v>
      </c>
      <c r="M5021" s="355"/>
      <c r="N5021" s="355" t="s">
        <v>2408</v>
      </c>
      <c r="O5021" s="345" t="s">
        <v>2777</v>
      </c>
      <c r="P5021" s="325"/>
      <c r="Q5021" s="327"/>
      <c r="R5021" s="351">
        <v>0</v>
      </c>
      <c r="S5021" s="351">
        <v>5.8</v>
      </c>
      <c r="T5021" s="351">
        <v>3.1339999999999999</v>
      </c>
      <c r="U5021" s="329" t="str">
        <f>IF($N5021=$N$4,IFERROR(INDEX(DanhMuc!$E$154:$E$165,MATCH(MID($B5021,4,2),DanhMuc!$B$154:$B$165,0)),""),"")</f>
        <v/>
      </c>
      <c r="V5021" s="361"/>
      <c r="W5021" s="345"/>
      <c r="X5021" s="786"/>
      <c r="Y5021" s="1128" t="s">
        <v>3380</v>
      </c>
      <c r="Z5021" s="1128" t="s">
        <v>3381</v>
      </c>
      <c r="AA5021" s="1128" t="s">
        <v>3384</v>
      </c>
      <c r="AB5021" s="20"/>
      <c r="AC5021" s="73"/>
    </row>
    <row r="5022" spans="1:29">
      <c r="A5022" s="327" t="str">
        <f>IF(AND($B5022&lt;&gt;"",$C5022&lt;&gt;""),MAX($A$4730:$A5019)+1,"")</f>
        <v/>
      </c>
      <c r="B5022" s="361" t="s">
        <v>219</v>
      </c>
      <c r="C5022" s="362"/>
      <c r="D5022" s="327">
        <f>IF($B5022="","",COUNTIF($B$4731:$B5022,$B5022))</f>
        <v>4</v>
      </c>
      <c r="E5022" s="402" t="s">
        <v>2303</v>
      </c>
      <c r="F5022" s="403" t="s">
        <v>2782</v>
      </c>
      <c r="G5022" s="327" t="s">
        <v>155</v>
      </c>
      <c r="H5022" s="361" t="s">
        <v>536</v>
      </c>
      <c r="I5022" s="327">
        <v>4</v>
      </c>
      <c r="J5022" s="361"/>
      <c r="K5022" s="327" t="s">
        <v>101</v>
      </c>
      <c r="L5022" s="389">
        <v>9100</v>
      </c>
      <c r="M5022" s="355"/>
      <c r="N5022" s="355" t="s">
        <v>2408</v>
      </c>
      <c r="O5022" s="345" t="s">
        <v>2778</v>
      </c>
      <c r="P5022" s="325"/>
      <c r="Q5022" s="327"/>
      <c r="R5022" s="351">
        <v>0</v>
      </c>
      <c r="S5022" s="351"/>
      <c r="T5022" s="351"/>
      <c r="U5022" s="329" t="str">
        <f>IF($N5022=$N$4,IFERROR(INDEX(DanhMuc!$E$154:$E$165,MATCH(MID($B5022,4,2),DanhMuc!$B$154:$B$165,0)),""),"")</f>
        <v/>
      </c>
      <c r="V5022" s="361"/>
      <c r="W5022" s="345"/>
      <c r="X5022" s="786"/>
      <c r="Y5022" s="1128" t="s">
        <v>3380</v>
      </c>
      <c r="Z5022" s="1128" t="s">
        <v>3381</v>
      </c>
      <c r="AA5022" s="1128" t="s">
        <v>3384</v>
      </c>
      <c r="AB5022" s="20"/>
      <c r="AC5022" s="73"/>
    </row>
    <row r="5023" spans="1:29">
      <c r="A5023" s="327" t="str">
        <f>IF(AND($B5023&lt;&gt;"",$C5023&lt;&gt;""),MAX($A$4730:$A5022)+1,"")</f>
        <v/>
      </c>
      <c r="B5023" s="361" t="s">
        <v>219</v>
      </c>
      <c r="C5023" s="360"/>
      <c r="D5023" s="327">
        <f>IF($B5023="","",COUNTIF($B$4731:$B5023,$B5023))</f>
        <v>5</v>
      </c>
      <c r="E5023" s="402" t="s">
        <v>2788</v>
      </c>
      <c r="F5023" s="403" t="s">
        <v>2789</v>
      </c>
      <c r="G5023" s="327" t="s">
        <v>155</v>
      </c>
      <c r="H5023" s="361" t="s">
        <v>536</v>
      </c>
      <c r="I5023" s="327">
        <f>4*I5022</f>
        <v>16</v>
      </c>
      <c r="J5023" s="361"/>
      <c r="K5023" s="327" t="s">
        <v>100</v>
      </c>
      <c r="L5023" s="389">
        <v>600</v>
      </c>
      <c r="M5023" s="355"/>
      <c r="N5023" s="355" t="s">
        <v>2408</v>
      </c>
      <c r="O5023" s="345" t="s">
        <v>2778</v>
      </c>
      <c r="P5023" s="325"/>
      <c r="Q5023" s="327"/>
      <c r="R5023" s="351"/>
      <c r="S5023" s="351"/>
      <c r="T5023" s="351"/>
      <c r="U5023" s="329" t="str">
        <f>IF($N5023=$N$4,IFERROR(INDEX(DanhMuc!$E$154:$E$165,MATCH(MID($B5023,4,2),DanhMuc!$B$154:$B$165,0)),""),"")</f>
        <v/>
      </c>
      <c r="V5023" s="361"/>
      <c r="W5023" s="345"/>
      <c r="X5023" s="786"/>
      <c r="Y5023" s="1128" t="s">
        <v>3380</v>
      </c>
      <c r="Z5023" s="1128" t="s">
        <v>3381</v>
      </c>
      <c r="AA5023" s="1128" t="s">
        <v>3384</v>
      </c>
      <c r="AB5023" s="20"/>
      <c r="AC5023" s="73"/>
    </row>
    <row r="5024" spans="1:29">
      <c r="A5024" s="327" t="str">
        <f>IF(AND($B5024&lt;&gt;"",$C5024&lt;&gt;""),MAX($A$4730:$A5021)+1,"")</f>
        <v/>
      </c>
      <c r="B5024" s="361" t="s">
        <v>219</v>
      </c>
      <c r="C5024" s="362"/>
      <c r="D5024" s="327">
        <f>IF($B5024="","",COUNTIF($B$4731:$B5024,$B5024))</f>
        <v>6</v>
      </c>
      <c r="E5024" s="361" t="s">
        <v>699</v>
      </c>
      <c r="F5024" s="362" t="s">
        <v>2783</v>
      </c>
      <c r="G5024" s="327" t="s">
        <v>155</v>
      </c>
      <c r="H5024" s="361" t="s">
        <v>536</v>
      </c>
      <c r="I5024" s="327">
        <v>4</v>
      </c>
      <c r="J5024" s="361"/>
      <c r="K5024" s="327" t="s">
        <v>101</v>
      </c>
      <c r="L5024" s="389">
        <v>11000</v>
      </c>
      <c r="M5024" s="355"/>
      <c r="N5024" s="355" t="s">
        <v>2408</v>
      </c>
      <c r="O5024" s="345" t="s">
        <v>2779</v>
      </c>
      <c r="P5024" s="325"/>
      <c r="Q5024" s="327"/>
      <c r="R5024" s="351">
        <v>0</v>
      </c>
      <c r="S5024" s="351">
        <v>5.8</v>
      </c>
      <c r="T5024" s="351">
        <v>2.4359999999999999</v>
      </c>
      <c r="U5024" s="329" t="str">
        <f>IF($N5024=$N$4,IFERROR(INDEX(DanhMuc!$E$154:$E$165,MATCH(MID($B5024,4,2),DanhMuc!$B$154:$B$165,0)),""),"")</f>
        <v/>
      </c>
      <c r="V5024" s="361"/>
      <c r="W5024" s="345"/>
      <c r="X5024" s="786"/>
      <c r="Y5024" s="1128" t="s">
        <v>3380</v>
      </c>
      <c r="Z5024" s="1128" t="s">
        <v>3381</v>
      </c>
      <c r="AA5024" s="1128" t="s">
        <v>3384</v>
      </c>
      <c r="AB5024" s="20"/>
      <c r="AC5024" s="73"/>
    </row>
    <row r="5025" spans="1:29">
      <c r="A5025" s="327" t="str">
        <f>IF(AND($B5025&lt;&gt;"",$C5025&lt;&gt;""),MAX($A$4730:$A5022)+1,"")</f>
        <v/>
      </c>
      <c r="B5025" s="361" t="s">
        <v>219</v>
      </c>
      <c r="C5025" s="362"/>
      <c r="D5025" s="327">
        <f>IF($B5025="","",COUNTIF($B$4731:$B5025,$B5025))</f>
        <v>7</v>
      </c>
      <c r="E5025" s="361" t="s">
        <v>414</v>
      </c>
      <c r="F5025" s="362" t="s">
        <v>413</v>
      </c>
      <c r="G5025" s="327" t="s">
        <v>155</v>
      </c>
      <c r="H5025" s="361" t="s">
        <v>536</v>
      </c>
      <c r="I5025" s="327">
        <f>+I5019+I5022*2</f>
        <v>12</v>
      </c>
      <c r="J5025" s="361"/>
      <c r="K5025" s="327" t="s">
        <v>415</v>
      </c>
      <c r="L5025" s="389">
        <v>408</v>
      </c>
      <c r="M5025" s="355"/>
      <c r="N5025" s="355" t="s">
        <v>2408</v>
      </c>
      <c r="O5025" s="345"/>
      <c r="P5025" s="325"/>
      <c r="Q5025" s="327"/>
      <c r="R5025" s="351"/>
      <c r="S5025" s="351"/>
      <c r="T5025" s="351"/>
      <c r="U5025" s="329" t="str">
        <f>IF($N5025=$N$4,IFERROR(INDEX(DanhMuc!$E$154:$E$165,MATCH(MID($B5025,4,2),DanhMuc!$B$154:$B$165,0)),""),"")</f>
        <v/>
      </c>
      <c r="V5025" s="361"/>
      <c r="W5025" s="345"/>
      <c r="X5025" s="786"/>
      <c r="Y5025" s="1128" t="s">
        <v>3380</v>
      </c>
      <c r="Z5025" s="1128" t="s">
        <v>3381</v>
      </c>
      <c r="AA5025" s="1128" t="s">
        <v>3384</v>
      </c>
      <c r="AB5025" s="20"/>
      <c r="AC5025" s="73"/>
    </row>
    <row r="5026" spans="1:29">
      <c r="A5026" s="327" t="str">
        <f>IF(AND($B5026&lt;&gt;"",$C5026&lt;&gt;""),MAX($A$4730:$A5025)+1,"")</f>
        <v/>
      </c>
      <c r="B5026" s="361" t="s">
        <v>219</v>
      </c>
      <c r="C5026" s="362"/>
      <c r="D5026" s="327">
        <f>IF($B5026="","",COUNTIF($B$4731:$B5026,$B5026))</f>
        <v>8</v>
      </c>
      <c r="E5026" s="361" t="s">
        <v>654</v>
      </c>
      <c r="F5026" s="362" t="s">
        <v>653</v>
      </c>
      <c r="G5026" s="327" t="s">
        <v>1836</v>
      </c>
      <c r="H5026" s="361" t="s">
        <v>536</v>
      </c>
      <c r="I5026" s="327">
        <f>I5021/45</f>
        <v>8.8888888888888892E-2</v>
      </c>
      <c r="J5026" s="477"/>
      <c r="K5026" s="327" t="s">
        <v>655</v>
      </c>
      <c r="L5026" s="478">
        <v>115000</v>
      </c>
      <c r="M5026" s="355"/>
      <c r="N5026" s="355" t="s">
        <v>2408</v>
      </c>
      <c r="O5026" s="345" t="s">
        <v>2777</v>
      </c>
      <c r="P5026" s="325"/>
      <c r="Q5026" s="327"/>
      <c r="R5026" s="351"/>
      <c r="S5026" s="351"/>
      <c r="T5026" s="351"/>
      <c r="U5026" s="329" t="str">
        <f>IF($N5026=$N$4,IFERROR(INDEX(DanhMuc!$E$154:$E$165,MATCH(MID($B5026,4,2),DanhMuc!$B$154:$B$165,0)),""),"")</f>
        <v/>
      </c>
      <c r="V5026" s="361"/>
      <c r="W5026" s="345"/>
      <c r="X5026" s="786"/>
      <c r="Y5026" s="1128" t="s">
        <v>3380</v>
      </c>
      <c r="Z5026" s="1128" t="s">
        <v>3381</v>
      </c>
      <c r="AA5026" s="1128" t="s">
        <v>3384</v>
      </c>
      <c r="AB5026" s="20"/>
      <c r="AC5026" s="73"/>
    </row>
    <row r="5027" spans="1:29">
      <c r="A5027" s="327" t="str">
        <f>IF(AND($B5027&lt;&gt;"",$C5027&lt;&gt;""),MAX($A$4730:$A5026)+1,"")</f>
        <v/>
      </c>
      <c r="B5027" s="361" t="s">
        <v>219</v>
      </c>
      <c r="C5027" s="362"/>
      <c r="D5027" s="327">
        <f>IF($B5027="","",COUNTIF($B$4731:$B5027,$B5027))</f>
        <v>9</v>
      </c>
      <c r="E5027" s="361" t="s">
        <v>654</v>
      </c>
      <c r="F5027" s="362" t="s">
        <v>653</v>
      </c>
      <c r="G5027" s="327" t="s">
        <v>1836</v>
      </c>
      <c r="H5027" s="361" t="s">
        <v>536</v>
      </c>
      <c r="I5027" s="327">
        <f>I5024/45</f>
        <v>8.8888888888888892E-2</v>
      </c>
      <c r="J5027" s="477"/>
      <c r="K5027" s="327" t="s">
        <v>655</v>
      </c>
      <c r="L5027" s="478">
        <v>115000</v>
      </c>
      <c r="M5027" s="355"/>
      <c r="N5027" s="355" t="s">
        <v>2408</v>
      </c>
      <c r="O5027" s="345" t="s">
        <v>2779</v>
      </c>
      <c r="P5027" s="325"/>
      <c r="Q5027" s="327"/>
      <c r="R5027" s="351"/>
      <c r="S5027" s="351"/>
      <c r="T5027" s="351"/>
      <c r="U5027" s="329" t="str">
        <f>IF($N5027=$N$4,IFERROR(INDEX(DanhMuc!$E$154:$E$165,MATCH(MID($B5027,4,2),DanhMuc!$B$154:$B$165,0)),""),"")</f>
        <v/>
      </c>
      <c r="V5027" s="361"/>
      <c r="W5027" s="345"/>
      <c r="X5027" s="786"/>
      <c r="Y5027" s="1128" t="s">
        <v>3380</v>
      </c>
      <c r="Z5027" s="1128" t="s">
        <v>3381</v>
      </c>
      <c r="AA5027" s="1128" t="s">
        <v>3384</v>
      </c>
      <c r="AB5027" s="20"/>
      <c r="AC5027" s="73"/>
    </row>
    <row r="5028" spans="1:29">
      <c r="A5028" s="327" t="str">
        <f>IF(AND($B5028&lt;&gt;"",$C5028&lt;&gt;""),MAX($A$4730:$A5026)+1,"")</f>
        <v/>
      </c>
      <c r="B5028" s="361" t="s">
        <v>219</v>
      </c>
      <c r="C5028" s="362"/>
      <c r="D5028" s="327">
        <f>IF($B5028="","",COUNTIF($B$4731:$B5028,$B5028))</f>
        <v>10</v>
      </c>
      <c r="E5028" s="361" t="s">
        <v>1826</v>
      </c>
      <c r="F5028" s="362" t="s">
        <v>670</v>
      </c>
      <c r="G5028" s="327" t="s">
        <v>661</v>
      </c>
      <c r="H5028" s="361" t="s">
        <v>536</v>
      </c>
      <c r="I5028" s="327" t="s">
        <v>2354</v>
      </c>
      <c r="J5028" s="361"/>
      <c r="K5028" s="327" t="s">
        <v>103</v>
      </c>
      <c r="L5028" s="478">
        <f>40000/1000</f>
        <v>40</v>
      </c>
      <c r="M5028" s="355"/>
      <c r="N5028" s="355" t="s">
        <v>2408</v>
      </c>
      <c r="O5028" s="345"/>
      <c r="P5028" s="325"/>
      <c r="Q5028" s="327"/>
      <c r="R5028" s="351"/>
      <c r="S5028" s="351"/>
      <c r="T5028" s="351"/>
      <c r="U5028" s="329" t="str">
        <f>IF($N5028=$N$4,IFERROR(INDEX(DanhMuc!$E$154:$E$165,MATCH(MID($B5028,4,2),DanhMuc!$B$154:$B$165,0)),""),"")</f>
        <v/>
      </c>
      <c r="V5028" s="361"/>
      <c r="W5028" s="345"/>
      <c r="X5028" s="786"/>
      <c r="Y5028" s="1128" t="s">
        <v>3380</v>
      </c>
      <c r="Z5028" s="1128" t="s">
        <v>3381</v>
      </c>
      <c r="AA5028" s="1128" t="s">
        <v>3384</v>
      </c>
      <c r="AB5028" s="20"/>
      <c r="AC5028" s="73"/>
    </row>
    <row r="5029" spans="1:29" ht="37.5">
      <c r="A5029" s="327" t="str">
        <f>IF(AND($B5029&lt;&gt;"",$C5029&lt;&gt;""),MAX($A$4730:$A5028)+1,"")</f>
        <v/>
      </c>
      <c r="B5029" s="361" t="s">
        <v>219</v>
      </c>
      <c r="C5029" s="362"/>
      <c r="D5029" s="327">
        <f>IF($B5029="","",COUNTIF($B$4731:$B5029,$B5029))</f>
        <v>11</v>
      </c>
      <c r="E5029" s="362" t="s">
        <v>1964</v>
      </c>
      <c r="F5029" s="362" t="s">
        <v>1965</v>
      </c>
      <c r="G5029" s="327" t="s">
        <v>405</v>
      </c>
      <c r="H5029" s="361" t="s">
        <v>536</v>
      </c>
      <c r="I5029" s="327" t="s">
        <v>693</v>
      </c>
      <c r="J5029" s="361"/>
      <c r="K5029" s="327" t="s">
        <v>223</v>
      </c>
      <c r="L5029" s="478">
        <v>140</v>
      </c>
      <c r="M5029" s="371"/>
      <c r="N5029" s="355" t="s">
        <v>2408</v>
      </c>
      <c r="O5029" s="345"/>
      <c r="P5029" s="325"/>
      <c r="Q5029" s="327"/>
      <c r="R5029" s="351"/>
      <c r="S5029" s="351"/>
      <c r="T5029" s="351"/>
      <c r="U5029" s="329" t="str">
        <f>IF($N5029=$N$4,IFERROR(INDEX(DanhMuc!$E$154:$E$165,MATCH(MID($B5029,4,2),DanhMuc!$B$154:$B$165,0)),""),"")</f>
        <v/>
      </c>
      <c r="V5029" s="361"/>
      <c r="W5029" s="345"/>
      <c r="X5029" s="786"/>
      <c r="Y5029" s="1128" t="s">
        <v>3380</v>
      </c>
      <c r="Z5029" s="1128" t="s">
        <v>3381</v>
      </c>
      <c r="AA5029" s="1128" t="s">
        <v>3384</v>
      </c>
      <c r="AB5029" s="20"/>
      <c r="AC5029" s="73"/>
    </row>
    <row r="5030" spans="1:29" ht="37.5">
      <c r="A5030" s="327" t="str">
        <f>IF(AND($B5030&lt;&gt;"",$C5030&lt;&gt;""),MAX($A$4730:$A5029)+1,"")</f>
        <v/>
      </c>
      <c r="B5030" s="361" t="s">
        <v>219</v>
      </c>
      <c r="C5030" s="362"/>
      <c r="D5030" s="327">
        <f>IF($B5030="","",COUNTIF($B$4731:$B5030,$B5030))</f>
        <v>12</v>
      </c>
      <c r="E5030" s="362" t="s">
        <v>2756</v>
      </c>
      <c r="F5030" s="362" t="s">
        <v>2757</v>
      </c>
      <c r="G5030" s="327" t="s">
        <v>405</v>
      </c>
      <c r="H5030" s="361" t="s">
        <v>536</v>
      </c>
      <c r="I5030" s="327" t="s">
        <v>694</v>
      </c>
      <c r="J5030" s="361"/>
      <c r="K5030" s="327" t="s">
        <v>223</v>
      </c>
      <c r="L5030" s="479">
        <v>322</v>
      </c>
      <c r="M5030" s="371"/>
      <c r="N5030" s="355" t="s">
        <v>2408</v>
      </c>
      <c r="O5030" s="345"/>
      <c r="P5030" s="325"/>
      <c r="Q5030" s="327"/>
      <c r="R5030" s="351"/>
      <c r="S5030" s="351"/>
      <c r="T5030" s="351"/>
      <c r="U5030" s="329" t="str">
        <f>IF($N5030=$N$4,IFERROR(INDEX(DanhMuc!$E$154:$E$165,MATCH(MID($B5030,4,2),DanhMuc!$B$154:$B$165,0)),""),"")</f>
        <v/>
      </c>
      <c r="V5030" s="361"/>
      <c r="W5030" s="345"/>
      <c r="X5030" s="786"/>
      <c r="Y5030" s="1128" t="s">
        <v>3380</v>
      </c>
      <c r="Z5030" s="1128" t="s">
        <v>3381</v>
      </c>
      <c r="AA5030" s="1128" t="s">
        <v>3384</v>
      </c>
      <c r="AB5030" s="20"/>
      <c r="AC5030" s="73"/>
    </row>
    <row r="5031" spans="1:29">
      <c r="A5031" s="327" t="str">
        <f>IF(AND($B5031&lt;&gt;"",$C5031&lt;&gt;""),MAX($A$4730:$A5030)+1,"")</f>
        <v/>
      </c>
      <c r="B5031" s="361" t="s">
        <v>219</v>
      </c>
      <c r="C5031" s="362"/>
      <c r="D5031" s="327">
        <f>IF($B5031="","",COUNTIF($B$4731:$B5031,$B5031))</f>
        <v>13</v>
      </c>
      <c r="E5031" s="361" t="s">
        <v>656</v>
      </c>
      <c r="F5031" s="362" t="s">
        <v>2239</v>
      </c>
      <c r="G5031" s="327" t="s">
        <v>405</v>
      </c>
      <c r="H5031" s="361" t="s">
        <v>536</v>
      </c>
      <c r="I5031" s="327" t="s">
        <v>1827</v>
      </c>
      <c r="J5031" s="361"/>
      <c r="K5031" s="327" t="s">
        <v>100</v>
      </c>
      <c r="L5031" s="478">
        <v>970</v>
      </c>
      <c r="M5031" s="371"/>
      <c r="N5031" s="355" t="s">
        <v>2409</v>
      </c>
      <c r="O5031" s="345"/>
      <c r="P5031" s="325"/>
      <c r="Q5031" s="327"/>
      <c r="R5031" s="351"/>
      <c r="S5031" s="351"/>
      <c r="T5031" s="351"/>
      <c r="U5031" s="329" t="str">
        <f>IF($N5031=$N$4,IFERROR(INDEX(DanhMuc!$E$154:$E$165,MATCH(MID($B5031,4,2),DanhMuc!$B$154:$B$165,0)),""),"")</f>
        <v/>
      </c>
      <c r="V5031" s="361"/>
      <c r="W5031" s="345"/>
      <c r="X5031" s="786"/>
      <c r="Y5031" s="1128" t="s">
        <v>3380</v>
      </c>
      <c r="Z5031" s="1128" t="s">
        <v>3381</v>
      </c>
      <c r="AA5031" s="1128" t="s">
        <v>3384</v>
      </c>
      <c r="AB5031" s="20"/>
      <c r="AC5031" s="73"/>
    </row>
    <row r="5032" spans="1:29">
      <c r="A5032" s="327" t="str">
        <f>IF(AND($B5032&lt;&gt;"",$C5032&lt;&gt;""),MAX($A$4730:$A5031)+1,"")</f>
        <v/>
      </c>
      <c r="B5032" s="361" t="s">
        <v>219</v>
      </c>
      <c r="C5032" s="362"/>
      <c r="D5032" s="327">
        <f>IF($B5032="","",COUNTIF($B$4731:$B5032,$B5032))</f>
        <v>14</v>
      </c>
      <c r="E5032" s="361" t="s">
        <v>657</v>
      </c>
      <c r="F5032" s="362" t="s">
        <v>658</v>
      </c>
      <c r="G5032" s="327" t="s">
        <v>424</v>
      </c>
      <c r="H5032" s="361" t="s">
        <v>536</v>
      </c>
      <c r="I5032" s="327" t="s">
        <v>665</v>
      </c>
      <c r="J5032" s="361"/>
      <c r="K5032" s="327" t="s">
        <v>100</v>
      </c>
      <c r="L5032" s="478">
        <v>60000</v>
      </c>
      <c r="M5032" s="355"/>
      <c r="N5032" s="355" t="s">
        <v>2409</v>
      </c>
      <c r="O5032" s="345"/>
      <c r="P5032" s="325"/>
      <c r="Q5032" s="327"/>
      <c r="R5032" s="351"/>
      <c r="S5032" s="351"/>
      <c r="T5032" s="351"/>
      <c r="U5032" s="329" t="str">
        <f>IF($N5032=$N$4,IFERROR(INDEX(DanhMuc!$E$154:$E$165,MATCH(MID($B5032,4,2),DanhMuc!$B$154:$B$165,0)),""),"")</f>
        <v/>
      </c>
      <c r="V5032" s="361"/>
      <c r="W5032" s="345"/>
      <c r="X5032" s="786"/>
      <c r="Y5032" s="1128" t="s">
        <v>3380</v>
      </c>
      <c r="Z5032" s="1128" t="s">
        <v>3381</v>
      </c>
      <c r="AA5032" s="1128" t="s">
        <v>3384</v>
      </c>
      <c r="AB5032" s="20"/>
      <c r="AC5032" s="73"/>
    </row>
    <row r="5033" spans="1:29">
      <c r="A5033" s="327" t="str">
        <f>IF(AND($B5033&lt;&gt;"",$C5033&lt;&gt;""),MAX($A$4730:$A5032)+1,"")</f>
        <v/>
      </c>
      <c r="B5033" s="361" t="s">
        <v>219</v>
      </c>
      <c r="C5033" s="362"/>
      <c r="D5033" s="327">
        <f>IF($B5033="","",COUNTIF($B$4731:$B5033,$B5033))</f>
        <v>15</v>
      </c>
      <c r="E5033" s="361" t="s">
        <v>2771</v>
      </c>
      <c r="F5033" s="362" t="s">
        <v>659</v>
      </c>
      <c r="G5033" s="327" t="s">
        <v>424</v>
      </c>
      <c r="H5033" s="361" t="s">
        <v>536</v>
      </c>
      <c r="I5033" s="327" t="s">
        <v>666</v>
      </c>
      <c r="J5033" s="361"/>
      <c r="K5033" s="327" t="s">
        <v>100</v>
      </c>
      <c r="L5033" s="389">
        <v>53000</v>
      </c>
      <c r="M5033" s="355"/>
      <c r="N5033" s="355" t="s">
        <v>2409</v>
      </c>
      <c r="O5033" s="345"/>
      <c r="P5033" s="325"/>
      <c r="Q5033" s="327"/>
      <c r="R5033" s="351"/>
      <c r="S5033" s="351"/>
      <c r="T5033" s="351"/>
      <c r="U5033" s="329" t="str">
        <f>IF($N5033=$N$4,IFERROR(INDEX(DanhMuc!$E$154:$E$165,MATCH(MID($B5033,4,2),DanhMuc!$B$154:$B$165,0)),""),"")</f>
        <v/>
      </c>
      <c r="V5033" s="361"/>
      <c r="W5033" s="345"/>
      <c r="X5033" s="786"/>
      <c r="Y5033" s="1128" t="s">
        <v>3380</v>
      </c>
      <c r="Z5033" s="1128" t="s">
        <v>3381</v>
      </c>
      <c r="AA5033" s="1128" t="s">
        <v>3384</v>
      </c>
      <c r="AB5033" s="20"/>
      <c r="AC5033" s="73"/>
    </row>
    <row r="5034" spans="1:29">
      <c r="A5034" s="327" t="str">
        <f>IF(AND($B5034&lt;&gt;"",$C5034&lt;&gt;""),MAX($A$4730:$A5033)+1,"")</f>
        <v/>
      </c>
      <c r="B5034" s="361" t="s">
        <v>219</v>
      </c>
      <c r="C5034" s="362"/>
      <c r="D5034" s="327">
        <f>IF($B5034="","",COUNTIF($B$4731:$B5034,$B5034))</f>
        <v>16</v>
      </c>
      <c r="E5034" s="361" t="s">
        <v>1828</v>
      </c>
      <c r="F5034" s="362" t="s">
        <v>671</v>
      </c>
      <c r="G5034" s="327" t="s">
        <v>661</v>
      </c>
      <c r="H5034" s="361" t="s">
        <v>536</v>
      </c>
      <c r="I5034" s="327" t="s">
        <v>2355</v>
      </c>
      <c r="J5034" s="361"/>
      <c r="K5034" s="327" t="s">
        <v>100</v>
      </c>
      <c r="L5034" s="478">
        <f>40000/1000</f>
        <v>40</v>
      </c>
      <c r="M5034" s="355"/>
      <c r="N5034" s="355" t="s">
        <v>2409</v>
      </c>
      <c r="O5034" s="345"/>
      <c r="P5034" s="325"/>
      <c r="Q5034" s="327"/>
      <c r="R5034" s="351"/>
      <c r="S5034" s="351"/>
      <c r="T5034" s="351"/>
      <c r="U5034" s="329" t="str">
        <f>IF($N5034=$N$4,IFERROR(INDEX(DanhMuc!$E$154:$E$165,MATCH(MID($B5034,4,2),DanhMuc!$B$154:$B$165,0)),""),"")</f>
        <v/>
      </c>
      <c r="V5034" s="361"/>
      <c r="W5034" s="345"/>
      <c r="X5034" s="786"/>
      <c r="Y5034" s="1128" t="s">
        <v>3380</v>
      </c>
      <c r="Z5034" s="1128" t="s">
        <v>3381</v>
      </c>
      <c r="AA5034" s="1128" t="s">
        <v>3384</v>
      </c>
      <c r="AB5034" s="20"/>
      <c r="AC5034" s="73"/>
    </row>
    <row r="5035" spans="1:29">
      <c r="A5035" s="327" t="str">
        <f>IF(AND($B5035&lt;&gt;"",$C5035&lt;&gt;""),MAX($A$4730:$A5034)+1,"")</f>
        <v/>
      </c>
      <c r="B5035" s="361" t="s">
        <v>219</v>
      </c>
      <c r="C5035" s="362"/>
      <c r="D5035" s="327">
        <f>IF($B5035="","",COUNTIF($B$4731:$B5035,$B5035))</f>
        <v>17</v>
      </c>
      <c r="E5035" s="361" t="s">
        <v>154</v>
      </c>
      <c r="F5035" s="362" t="s">
        <v>660</v>
      </c>
      <c r="G5035" s="327" t="s">
        <v>661</v>
      </c>
      <c r="H5035" s="361" t="s">
        <v>536</v>
      </c>
      <c r="I5035" s="327" t="s">
        <v>667</v>
      </c>
      <c r="J5035" s="361"/>
      <c r="K5035" s="327" t="s">
        <v>662</v>
      </c>
      <c r="L5035" s="478">
        <v>20</v>
      </c>
      <c r="M5035" s="355"/>
      <c r="N5035" s="355" t="s">
        <v>2409</v>
      </c>
      <c r="O5035" s="345"/>
      <c r="P5035" s="325"/>
      <c r="Q5035" s="327"/>
      <c r="R5035" s="351"/>
      <c r="S5035" s="351"/>
      <c r="T5035" s="351"/>
      <c r="U5035" s="329" t="str">
        <f>IF($N5035=$N$4,IFERROR(INDEX(DanhMuc!$E$154:$E$165,MATCH(MID($B5035,4,2),DanhMuc!$B$154:$B$165,0)),""),"")</f>
        <v/>
      </c>
      <c r="V5035" s="361"/>
      <c r="W5035" s="345"/>
      <c r="X5035" s="786"/>
      <c r="Y5035" s="1128" t="s">
        <v>3380</v>
      </c>
      <c r="Z5035" s="1128" t="s">
        <v>3381</v>
      </c>
      <c r="AA5035" s="1128" t="s">
        <v>3384</v>
      </c>
      <c r="AB5035" s="20"/>
      <c r="AC5035" s="73"/>
    </row>
    <row r="5036" spans="1:29">
      <c r="A5036" s="327" t="str">
        <f>IF(AND($B5036&lt;&gt;"",$C5036&lt;&gt;""),MAX($A$4730:$A5035)+1,"")</f>
        <v/>
      </c>
      <c r="B5036" s="361" t="s">
        <v>219</v>
      </c>
      <c r="C5036" s="362"/>
      <c r="D5036" s="327">
        <f>IF($B5036="","",COUNTIF($B$4731:$B5036,$B5036))</f>
        <v>18</v>
      </c>
      <c r="E5036" s="362" t="s">
        <v>2282</v>
      </c>
      <c r="F5036" s="362" t="s">
        <v>2283</v>
      </c>
      <c r="G5036" s="327" t="s">
        <v>424</v>
      </c>
      <c r="H5036" s="361" t="s">
        <v>536</v>
      </c>
      <c r="I5036" s="327" t="s">
        <v>2238</v>
      </c>
      <c r="J5036" s="361"/>
      <c r="K5036" s="327" t="s">
        <v>662</v>
      </c>
      <c r="L5036" s="478">
        <v>28000</v>
      </c>
      <c r="M5036" s="355"/>
      <c r="N5036" s="355" t="s">
        <v>2409</v>
      </c>
      <c r="O5036" s="345"/>
      <c r="P5036" s="325"/>
      <c r="Q5036" s="327"/>
      <c r="R5036" s="351"/>
      <c r="S5036" s="351"/>
      <c r="T5036" s="351"/>
      <c r="U5036" s="329" t="str">
        <f>IF($N5036=$N$4,IFERROR(INDEX(DanhMuc!$E$154:$E$165,MATCH(MID($B5036,4,2),DanhMuc!$B$154:$B$165,0)),""),"")</f>
        <v/>
      </c>
      <c r="V5036" s="361"/>
      <c r="W5036" s="345"/>
      <c r="X5036" s="786"/>
      <c r="Y5036" s="1128" t="s">
        <v>3380</v>
      </c>
      <c r="Z5036" s="1128" t="s">
        <v>3381</v>
      </c>
      <c r="AA5036" s="1128" t="s">
        <v>3384</v>
      </c>
      <c r="AB5036" s="20"/>
      <c r="AC5036" s="73"/>
    </row>
    <row r="5037" spans="1:29">
      <c r="A5037" s="327" t="str">
        <f>IF(AND($B5037&lt;&gt;"",$C5037&lt;&gt;""),MAX($A$4730:$A5036)+1,"")</f>
        <v/>
      </c>
      <c r="B5037" s="361" t="s">
        <v>219</v>
      </c>
      <c r="C5037" s="362"/>
      <c r="D5037" s="327">
        <f>IF($B5037="","",COUNTIF($B$4731:$B5037,$B5037))</f>
        <v>19</v>
      </c>
      <c r="E5037" s="362" t="s">
        <v>663</v>
      </c>
      <c r="F5037" s="362" t="s">
        <v>664</v>
      </c>
      <c r="G5037" s="327" t="s">
        <v>155</v>
      </c>
      <c r="H5037" s="361" t="s">
        <v>536</v>
      </c>
      <c r="I5037" s="327" t="s">
        <v>672</v>
      </c>
      <c r="J5037" s="361"/>
      <c r="K5037" s="327" t="s">
        <v>662</v>
      </c>
      <c r="L5037" s="478">
        <v>1000</v>
      </c>
      <c r="M5037" s="355"/>
      <c r="N5037" s="355" t="s">
        <v>2409</v>
      </c>
      <c r="O5037" s="345"/>
      <c r="P5037" s="325"/>
      <c r="Q5037" s="327"/>
      <c r="R5037" s="351"/>
      <c r="S5037" s="351"/>
      <c r="T5037" s="351"/>
      <c r="U5037" s="329" t="str">
        <f>IF($N5037=$N$4,IFERROR(INDEX(DanhMuc!$E$154:$E$165,MATCH(MID($B5037,4,2),DanhMuc!$B$154:$B$165,0)),""),"")</f>
        <v/>
      </c>
      <c r="V5037" s="361"/>
      <c r="W5037" s="345"/>
      <c r="X5037" s="786"/>
      <c r="Y5037" s="1128" t="s">
        <v>3380</v>
      </c>
      <c r="Z5037" s="1128" t="s">
        <v>3381</v>
      </c>
      <c r="AA5037" s="1128" t="s">
        <v>3384</v>
      </c>
      <c r="AB5037" s="20"/>
      <c r="AC5037" s="73"/>
    </row>
    <row r="5038" spans="1:29" ht="26">
      <c r="A5038" s="327">
        <f>IF(AND($B5038&lt;&gt;"",$C5038&lt;&gt;""),MAX($A$4730:$A5025)+1,"")</f>
        <v>10</v>
      </c>
      <c r="B5038" s="359" t="s">
        <v>220</v>
      </c>
      <c r="C5038" s="360" t="s">
        <v>1543</v>
      </c>
      <c r="D5038" s="327">
        <f>IF($B5038="","",COUNTIF($B$4731:$B5038,$B5038))</f>
        <v>1</v>
      </c>
      <c r="E5038" s="402" t="s">
        <v>2302</v>
      </c>
      <c r="F5038" s="403" t="s">
        <v>2332</v>
      </c>
      <c r="G5038" s="327" t="s">
        <v>155</v>
      </c>
      <c r="H5038" s="361" t="s">
        <v>536</v>
      </c>
      <c r="I5038" s="327">
        <v>4</v>
      </c>
      <c r="J5038" s="361"/>
      <c r="K5038" s="327" t="s">
        <v>100</v>
      </c>
      <c r="L5038" s="389">
        <v>6600</v>
      </c>
      <c r="M5038" s="355"/>
      <c r="N5038" s="355" t="s">
        <v>2408</v>
      </c>
      <c r="O5038" s="345" t="s">
        <v>2776</v>
      </c>
      <c r="P5038" s="325"/>
      <c r="Q5038" s="327"/>
      <c r="R5038" s="351"/>
      <c r="S5038" s="351"/>
      <c r="T5038" s="351"/>
      <c r="U5038" s="329" t="str">
        <f>IF($N5038=$N$4,IFERROR(INDEX(DanhMuc!$E$154:$E$165,MATCH(MID($B5038,4,2),DanhMuc!$B$154:$B$165,0)),""),"")</f>
        <v/>
      </c>
      <c r="V5038" s="361"/>
      <c r="W5038" s="345"/>
      <c r="X5038" s="786"/>
      <c r="Y5038" s="1128" t="s">
        <v>3380</v>
      </c>
      <c r="Z5038" s="1128" t="s">
        <v>3381</v>
      </c>
      <c r="AA5038" s="1128" t="s">
        <v>3384</v>
      </c>
      <c r="AB5038" s="20"/>
      <c r="AC5038" s="73"/>
    </row>
    <row r="5039" spans="1:29">
      <c r="A5039" s="327" t="str">
        <f>IF(AND($B5039&lt;&gt;"",$C5039&lt;&gt;""),MAX($A$4730:$A5038)+1,"")</f>
        <v/>
      </c>
      <c r="B5039" s="361" t="s">
        <v>220</v>
      </c>
      <c r="C5039" s="360"/>
      <c r="D5039" s="327">
        <f>IF($B5039="","",COUNTIF($B$4731:$B5039,$B5039))</f>
        <v>2</v>
      </c>
      <c r="E5039" s="402" t="s">
        <v>2788</v>
      </c>
      <c r="F5039" s="403" t="s">
        <v>2789</v>
      </c>
      <c r="G5039" s="327" t="s">
        <v>155</v>
      </c>
      <c r="H5039" s="361" t="s">
        <v>536</v>
      </c>
      <c r="I5039" s="327">
        <f>4*I5038</f>
        <v>16</v>
      </c>
      <c r="J5039" s="361"/>
      <c r="K5039" s="327" t="s">
        <v>100</v>
      </c>
      <c r="L5039" s="389">
        <v>600</v>
      </c>
      <c r="M5039" s="355"/>
      <c r="N5039" s="355" t="s">
        <v>2408</v>
      </c>
      <c r="O5039" s="345" t="s">
        <v>2776</v>
      </c>
      <c r="P5039" s="325"/>
      <c r="Q5039" s="327"/>
      <c r="R5039" s="351"/>
      <c r="S5039" s="351"/>
      <c r="T5039" s="351"/>
      <c r="U5039" s="329" t="str">
        <f>IF($N5039=$N$4,IFERROR(INDEX(DanhMuc!$E$154:$E$165,MATCH(MID($B5039,4,2),DanhMuc!$B$154:$B$165,0)),""),"")</f>
        <v/>
      </c>
      <c r="V5039" s="361"/>
      <c r="W5039" s="345"/>
      <c r="X5039" s="786"/>
      <c r="Y5039" s="1128" t="s">
        <v>3380</v>
      </c>
      <c r="Z5039" s="1128" t="s">
        <v>3381</v>
      </c>
      <c r="AA5039" s="1128" t="s">
        <v>3384</v>
      </c>
      <c r="AB5039" s="20"/>
      <c r="AC5039" s="73"/>
    </row>
    <row r="5040" spans="1:29">
      <c r="A5040" s="327" t="str">
        <f>IF(AND($B5040&lt;&gt;"",$C5040&lt;&gt;""),MAX($A$4730:$A5026)+1,"")</f>
        <v/>
      </c>
      <c r="B5040" s="361" t="s">
        <v>220</v>
      </c>
      <c r="C5040" s="362"/>
      <c r="D5040" s="327">
        <f>IF($B5040="","",COUNTIF($B$4731:$B5040,$B5040))</f>
        <v>3</v>
      </c>
      <c r="E5040" s="361" t="s">
        <v>2781</v>
      </c>
      <c r="F5040" s="362" t="s">
        <v>2780</v>
      </c>
      <c r="G5040" s="327" t="s">
        <v>155</v>
      </c>
      <c r="H5040" s="361" t="s">
        <v>536</v>
      </c>
      <c r="I5040" s="327">
        <v>4</v>
      </c>
      <c r="J5040" s="361"/>
      <c r="K5040" s="327" t="s">
        <v>100</v>
      </c>
      <c r="L5040" s="389">
        <v>7200</v>
      </c>
      <c r="M5040" s="355"/>
      <c r="N5040" s="355" t="s">
        <v>2408</v>
      </c>
      <c r="O5040" s="345" t="s">
        <v>2777</v>
      </c>
      <c r="P5040" s="325"/>
      <c r="Q5040" s="327"/>
      <c r="R5040" s="351">
        <v>0</v>
      </c>
      <c r="S5040" s="351">
        <v>5.8</v>
      </c>
      <c r="T5040" s="351">
        <v>3.1339999999999999</v>
      </c>
      <c r="U5040" s="329" t="str">
        <f>IF($N5040=$N$4,IFERROR(INDEX(DanhMuc!$E$154:$E$165,MATCH(MID($B5040,4,2),DanhMuc!$B$154:$B$165,0)),""),"")</f>
        <v/>
      </c>
      <c r="V5040" s="361"/>
      <c r="W5040" s="345"/>
      <c r="X5040" s="786"/>
      <c r="Y5040" s="1128" t="s">
        <v>3380</v>
      </c>
      <c r="Z5040" s="1128" t="s">
        <v>3381</v>
      </c>
      <c r="AA5040" s="1128" t="s">
        <v>3384</v>
      </c>
      <c r="AB5040" s="20"/>
      <c r="AC5040" s="73"/>
    </row>
    <row r="5041" spans="1:29">
      <c r="A5041" s="327" t="str">
        <f>IF(AND($B5041&lt;&gt;"",$C5041&lt;&gt;""),MAX($A$4730:$A5038)+1,"")</f>
        <v/>
      </c>
      <c r="B5041" s="361" t="s">
        <v>220</v>
      </c>
      <c r="C5041" s="362"/>
      <c r="D5041" s="327">
        <f>IF($B5041="","",COUNTIF($B$4731:$B5041,$B5041))</f>
        <v>4</v>
      </c>
      <c r="E5041" s="402" t="s">
        <v>2303</v>
      </c>
      <c r="F5041" s="403" t="s">
        <v>2782</v>
      </c>
      <c r="G5041" s="327" t="s">
        <v>155</v>
      </c>
      <c r="H5041" s="361" t="s">
        <v>536</v>
      </c>
      <c r="I5041" s="327">
        <v>8</v>
      </c>
      <c r="J5041" s="361"/>
      <c r="K5041" s="327" t="s">
        <v>101</v>
      </c>
      <c r="L5041" s="389">
        <v>9100</v>
      </c>
      <c r="M5041" s="355"/>
      <c r="N5041" s="355" t="s">
        <v>2408</v>
      </c>
      <c r="O5041" s="345" t="s">
        <v>2778</v>
      </c>
      <c r="P5041" s="325"/>
      <c r="Q5041" s="327"/>
      <c r="R5041" s="351"/>
      <c r="S5041" s="351"/>
      <c r="T5041" s="351"/>
      <c r="U5041" s="329" t="str">
        <f>IF($N5041=$N$4,IFERROR(INDEX(DanhMuc!$E$154:$E$165,MATCH(MID($B5041,4,2),DanhMuc!$B$154:$B$165,0)),""),"")</f>
        <v/>
      </c>
      <c r="V5041" s="361"/>
      <c r="W5041" s="345"/>
      <c r="X5041" s="786"/>
      <c r="Y5041" s="1128" t="s">
        <v>3380</v>
      </c>
      <c r="Z5041" s="1128" t="s">
        <v>3381</v>
      </c>
      <c r="AA5041" s="1128" t="s">
        <v>3384</v>
      </c>
      <c r="AB5041" s="20"/>
      <c r="AC5041" s="73"/>
    </row>
    <row r="5042" spans="1:29">
      <c r="A5042" s="327" t="str">
        <f>IF(AND($B5042&lt;&gt;"",$C5042&lt;&gt;""),MAX($A$4730:$A5041)+1,"")</f>
        <v/>
      </c>
      <c r="B5042" s="361" t="s">
        <v>220</v>
      </c>
      <c r="C5042" s="360"/>
      <c r="D5042" s="327">
        <f>IF($B5042="","",COUNTIF($B$4731:$B5042,$B5042))</f>
        <v>5</v>
      </c>
      <c r="E5042" s="402" t="s">
        <v>2788</v>
      </c>
      <c r="F5042" s="403" t="s">
        <v>2789</v>
      </c>
      <c r="G5042" s="327" t="s">
        <v>155</v>
      </c>
      <c r="H5042" s="361" t="s">
        <v>536</v>
      </c>
      <c r="I5042" s="327">
        <f>4*I5041</f>
        <v>32</v>
      </c>
      <c r="J5042" s="361"/>
      <c r="K5042" s="327" t="s">
        <v>100</v>
      </c>
      <c r="L5042" s="389">
        <v>600</v>
      </c>
      <c r="M5042" s="355"/>
      <c r="N5042" s="355" t="s">
        <v>2408</v>
      </c>
      <c r="O5042" s="345" t="s">
        <v>2778</v>
      </c>
      <c r="P5042" s="325"/>
      <c r="Q5042" s="327"/>
      <c r="R5042" s="351"/>
      <c r="S5042" s="351"/>
      <c r="T5042" s="351"/>
      <c r="U5042" s="329" t="str">
        <f>IF($N5042=$N$4,IFERROR(INDEX(DanhMuc!$E$154:$E$165,MATCH(MID($B5042,4,2),DanhMuc!$B$154:$B$165,0)),""),"")</f>
        <v/>
      </c>
      <c r="V5042" s="361"/>
      <c r="W5042" s="345"/>
      <c r="X5042" s="786"/>
      <c r="Y5042" s="1128" t="s">
        <v>3380</v>
      </c>
      <c r="Z5042" s="1128" t="s">
        <v>3381</v>
      </c>
      <c r="AA5042" s="1128" t="s">
        <v>3384</v>
      </c>
      <c r="AB5042" s="20"/>
      <c r="AC5042" s="73"/>
    </row>
    <row r="5043" spans="1:29">
      <c r="A5043" s="327" t="str">
        <f>IF(AND($B5043&lt;&gt;"",$C5043&lt;&gt;""),MAX($A$4730:$A5040)+1,"")</f>
        <v/>
      </c>
      <c r="B5043" s="361" t="s">
        <v>220</v>
      </c>
      <c r="C5043" s="362"/>
      <c r="D5043" s="327">
        <f>IF($B5043="","",COUNTIF($B$4731:$B5043,$B5043))</f>
        <v>6</v>
      </c>
      <c r="E5043" s="361" t="s">
        <v>699</v>
      </c>
      <c r="F5043" s="362" t="s">
        <v>2783</v>
      </c>
      <c r="G5043" s="327" t="s">
        <v>155</v>
      </c>
      <c r="H5043" s="361" t="s">
        <v>536</v>
      </c>
      <c r="I5043" s="327">
        <v>8</v>
      </c>
      <c r="J5043" s="361"/>
      <c r="K5043" s="327" t="s">
        <v>101</v>
      </c>
      <c r="L5043" s="389">
        <v>11000</v>
      </c>
      <c r="M5043" s="355"/>
      <c r="N5043" s="355" t="s">
        <v>2408</v>
      </c>
      <c r="O5043" s="345" t="s">
        <v>2779</v>
      </c>
      <c r="P5043" s="325"/>
      <c r="Q5043" s="327"/>
      <c r="R5043" s="351">
        <v>0</v>
      </c>
      <c r="S5043" s="351">
        <v>5.8</v>
      </c>
      <c r="T5043" s="351">
        <v>2.4359999999999999</v>
      </c>
      <c r="U5043" s="329" t="str">
        <f>IF($N5043=$N$4,IFERROR(INDEX(DanhMuc!$E$154:$E$165,MATCH(MID($B5043,4,2),DanhMuc!$B$154:$B$165,0)),""),"")</f>
        <v/>
      </c>
      <c r="V5043" s="361"/>
      <c r="W5043" s="345"/>
      <c r="X5043" s="786"/>
      <c r="Y5043" s="1128" t="s">
        <v>3380</v>
      </c>
      <c r="Z5043" s="1128" t="s">
        <v>3381</v>
      </c>
      <c r="AA5043" s="1128" t="s">
        <v>3384</v>
      </c>
      <c r="AB5043" s="20"/>
      <c r="AC5043" s="73"/>
    </row>
    <row r="5044" spans="1:29">
      <c r="A5044" s="327" t="str">
        <f>IF(AND($B5044&lt;&gt;"",$C5044&lt;&gt;""),MAX($A$4730:$A5041)+1,"")</f>
        <v/>
      </c>
      <c r="B5044" s="361" t="s">
        <v>220</v>
      </c>
      <c r="C5044" s="362"/>
      <c r="D5044" s="327">
        <f>IF($B5044="","",COUNTIF($B$4731:$B5044,$B5044))</f>
        <v>7</v>
      </c>
      <c r="E5044" s="361" t="s">
        <v>414</v>
      </c>
      <c r="F5044" s="362" t="s">
        <v>413</v>
      </c>
      <c r="G5044" s="327" t="s">
        <v>155</v>
      </c>
      <c r="H5044" s="361" t="s">
        <v>536</v>
      </c>
      <c r="I5044" s="327">
        <f>+I5038+I5041*2</f>
        <v>20</v>
      </c>
      <c r="J5044" s="361"/>
      <c r="K5044" s="327" t="s">
        <v>415</v>
      </c>
      <c r="L5044" s="389">
        <v>408</v>
      </c>
      <c r="M5044" s="355"/>
      <c r="N5044" s="355" t="s">
        <v>2408</v>
      </c>
      <c r="O5044" s="345"/>
      <c r="P5044" s="325"/>
      <c r="Q5044" s="327"/>
      <c r="R5044" s="351"/>
      <c r="S5044" s="351"/>
      <c r="T5044" s="351"/>
      <c r="U5044" s="329" t="str">
        <f>IF($N5044=$N$4,IFERROR(INDEX(DanhMuc!$E$154:$E$165,MATCH(MID($B5044,4,2),DanhMuc!$B$154:$B$165,0)),""),"")</f>
        <v/>
      </c>
      <c r="V5044" s="361"/>
      <c r="W5044" s="345"/>
      <c r="X5044" s="786"/>
      <c r="Y5044" s="1128" t="s">
        <v>3380</v>
      </c>
      <c r="Z5044" s="1128" t="s">
        <v>3381</v>
      </c>
      <c r="AA5044" s="1128" t="s">
        <v>3384</v>
      </c>
      <c r="AB5044" s="20"/>
      <c r="AC5044" s="73"/>
    </row>
    <row r="5045" spans="1:29">
      <c r="A5045" s="327" t="str">
        <f>IF(AND($B5045&lt;&gt;"",$C5045&lt;&gt;""),MAX($A$4730:$A5044)+1,"")</f>
        <v/>
      </c>
      <c r="B5045" s="361" t="s">
        <v>220</v>
      </c>
      <c r="C5045" s="362"/>
      <c r="D5045" s="327">
        <f>IF($B5045="","",COUNTIF($B$4731:$B5045,$B5045))</f>
        <v>8</v>
      </c>
      <c r="E5045" s="361" t="s">
        <v>654</v>
      </c>
      <c r="F5045" s="362" t="s">
        <v>653</v>
      </c>
      <c r="G5045" s="327" t="s">
        <v>1836</v>
      </c>
      <c r="H5045" s="361" t="s">
        <v>536</v>
      </c>
      <c r="I5045" s="327">
        <f>I5040/45</f>
        <v>8.8888888888888892E-2</v>
      </c>
      <c r="J5045" s="477"/>
      <c r="K5045" s="327" t="s">
        <v>655</v>
      </c>
      <c r="L5045" s="478">
        <v>115000</v>
      </c>
      <c r="M5045" s="355"/>
      <c r="N5045" s="355" t="s">
        <v>2408</v>
      </c>
      <c r="O5045" s="345" t="s">
        <v>2777</v>
      </c>
      <c r="P5045" s="325"/>
      <c r="Q5045" s="327"/>
      <c r="R5045" s="351"/>
      <c r="S5045" s="351"/>
      <c r="T5045" s="351"/>
      <c r="U5045" s="329" t="str">
        <f>IF($N5045=$N$4,IFERROR(INDEX(DanhMuc!$E$154:$E$165,MATCH(MID($B5045,4,2),DanhMuc!$B$154:$B$165,0)),""),"")</f>
        <v/>
      </c>
      <c r="V5045" s="361"/>
      <c r="W5045" s="345"/>
      <c r="X5045" s="786"/>
      <c r="Y5045" s="1128" t="s">
        <v>3380</v>
      </c>
      <c r="Z5045" s="1128" t="s">
        <v>3381</v>
      </c>
      <c r="AA5045" s="1128" t="s">
        <v>3384</v>
      </c>
      <c r="AB5045" s="20"/>
      <c r="AC5045" s="73"/>
    </row>
    <row r="5046" spans="1:29">
      <c r="A5046" s="327" t="str">
        <f>IF(AND($B5046&lt;&gt;"",$C5046&lt;&gt;""),MAX($A$4730:$A5045)+1,"")</f>
        <v/>
      </c>
      <c r="B5046" s="361" t="s">
        <v>220</v>
      </c>
      <c r="C5046" s="362"/>
      <c r="D5046" s="327">
        <f>IF($B5046="","",COUNTIF($B$4731:$B5046,$B5046))</f>
        <v>9</v>
      </c>
      <c r="E5046" s="361" t="s">
        <v>654</v>
      </c>
      <c r="F5046" s="362" t="s">
        <v>653</v>
      </c>
      <c r="G5046" s="327" t="s">
        <v>1836</v>
      </c>
      <c r="H5046" s="361" t="s">
        <v>536</v>
      </c>
      <c r="I5046" s="327">
        <f>I5043/45</f>
        <v>0.17777777777777778</v>
      </c>
      <c r="J5046" s="477"/>
      <c r="K5046" s="327" t="s">
        <v>655</v>
      </c>
      <c r="L5046" s="478">
        <v>115000</v>
      </c>
      <c r="M5046" s="355"/>
      <c r="N5046" s="355" t="s">
        <v>2408</v>
      </c>
      <c r="O5046" s="345" t="s">
        <v>2779</v>
      </c>
      <c r="P5046" s="325"/>
      <c r="Q5046" s="327"/>
      <c r="R5046" s="351"/>
      <c r="S5046" s="351"/>
      <c r="T5046" s="351"/>
      <c r="U5046" s="329" t="str">
        <f>IF($N5046=$N$4,IFERROR(INDEX(DanhMuc!$E$154:$E$165,MATCH(MID($B5046,4,2),DanhMuc!$B$154:$B$165,0)),""),"")</f>
        <v/>
      </c>
      <c r="V5046" s="361"/>
      <c r="W5046" s="345"/>
      <c r="X5046" s="786"/>
      <c r="Y5046" s="1128" t="s">
        <v>3380</v>
      </c>
      <c r="Z5046" s="1128" t="s">
        <v>3381</v>
      </c>
      <c r="AA5046" s="1128" t="s">
        <v>3384</v>
      </c>
      <c r="AB5046" s="20"/>
      <c r="AC5046" s="73"/>
    </row>
    <row r="5047" spans="1:29">
      <c r="A5047" s="327" t="str">
        <f>IF(AND($B5047&lt;&gt;"",$C5047&lt;&gt;""),MAX($A$4730:$A5045)+1,"")</f>
        <v/>
      </c>
      <c r="B5047" s="361" t="s">
        <v>220</v>
      </c>
      <c r="C5047" s="362"/>
      <c r="D5047" s="327">
        <f>IF($B5047="","",COUNTIF($B$4731:$B5047,$B5047))</f>
        <v>10</v>
      </c>
      <c r="E5047" s="361" t="s">
        <v>1826</v>
      </c>
      <c r="F5047" s="362" t="s">
        <v>670</v>
      </c>
      <c r="G5047" s="327" t="s">
        <v>661</v>
      </c>
      <c r="H5047" s="361" t="s">
        <v>536</v>
      </c>
      <c r="I5047" s="361" t="s">
        <v>2354</v>
      </c>
      <c r="J5047" s="361"/>
      <c r="K5047" s="327" t="s">
        <v>103</v>
      </c>
      <c r="L5047" s="478">
        <f>40000/1000</f>
        <v>40</v>
      </c>
      <c r="M5047" s="355"/>
      <c r="N5047" s="355" t="s">
        <v>2408</v>
      </c>
      <c r="O5047" s="345"/>
      <c r="P5047" s="325"/>
      <c r="Q5047" s="327"/>
      <c r="R5047" s="351"/>
      <c r="S5047" s="351"/>
      <c r="T5047" s="351"/>
      <c r="U5047" s="329" t="str">
        <f>IF($N5047=$N$4,IFERROR(INDEX(DanhMuc!$E$154:$E$165,MATCH(MID($B5047,4,2),DanhMuc!$B$154:$B$165,0)),""),"")</f>
        <v/>
      </c>
      <c r="V5047" s="361"/>
      <c r="W5047" s="345"/>
      <c r="X5047" s="786"/>
      <c r="Y5047" s="1128" t="s">
        <v>3380</v>
      </c>
      <c r="Z5047" s="1128" t="s">
        <v>3381</v>
      </c>
      <c r="AA5047" s="1128" t="s">
        <v>3384</v>
      </c>
      <c r="AB5047" s="20"/>
      <c r="AC5047" s="73"/>
    </row>
    <row r="5048" spans="1:29" ht="37.5">
      <c r="A5048" s="327" t="str">
        <f>IF(AND($B5048&lt;&gt;"",$C5048&lt;&gt;""),MAX($A$4730:$A5047)+1,"")</f>
        <v/>
      </c>
      <c r="B5048" s="361" t="s">
        <v>220</v>
      </c>
      <c r="C5048" s="362"/>
      <c r="D5048" s="327">
        <f>IF($B5048="","",COUNTIF($B$4731:$B5048,$B5048))</f>
        <v>11</v>
      </c>
      <c r="E5048" s="362" t="s">
        <v>1964</v>
      </c>
      <c r="F5048" s="362" t="s">
        <v>1965</v>
      </c>
      <c r="G5048" s="327" t="s">
        <v>405</v>
      </c>
      <c r="H5048" s="361" t="s">
        <v>536</v>
      </c>
      <c r="I5048" s="361" t="s">
        <v>693</v>
      </c>
      <c r="J5048" s="361"/>
      <c r="K5048" s="327" t="s">
        <v>223</v>
      </c>
      <c r="L5048" s="478">
        <v>140</v>
      </c>
      <c r="M5048" s="371"/>
      <c r="N5048" s="355" t="s">
        <v>2408</v>
      </c>
      <c r="O5048" s="345"/>
      <c r="P5048" s="325"/>
      <c r="Q5048" s="327"/>
      <c r="R5048" s="351"/>
      <c r="S5048" s="351"/>
      <c r="T5048" s="351"/>
      <c r="U5048" s="329" t="str">
        <f>IF($N5048=$N$4,IFERROR(INDEX(DanhMuc!$E$154:$E$165,MATCH(MID($B5048,4,2),DanhMuc!$B$154:$B$165,0)),""),"")</f>
        <v/>
      </c>
      <c r="V5048" s="361"/>
      <c r="W5048" s="345"/>
      <c r="X5048" s="786"/>
      <c r="Y5048" s="1128" t="s">
        <v>3380</v>
      </c>
      <c r="Z5048" s="1128" t="s">
        <v>3381</v>
      </c>
      <c r="AA5048" s="1128" t="s">
        <v>3384</v>
      </c>
      <c r="AB5048" s="20"/>
      <c r="AC5048" s="73"/>
    </row>
    <row r="5049" spans="1:29" ht="37.5">
      <c r="A5049" s="327" t="str">
        <f>IF(AND($B5049&lt;&gt;"",$C5049&lt;&gt;""),MAX($A$4730:$A5048)+1,"")</f>
        <v/>
      </c>
      <c r="B5049" s="361" t="s">
        <v>220</v>
      </c>
      <c r="C5049" s="362"/>
      <c r="D5049" s="327">
        <f>IF($B5049="","",COUNTIF($B$4731:$B5049,$B5049))</f>
        <v>12</v>
      </c>
      <c r="E5049" s="362" t="s">
        <v>2756</v>
      </c>
      <c r="F5049" s="362" t="s">
        <v>2757</v>
      </c>
      <c r="G5049" s="327" t="s">
        <v>405</v>
      </c>
      <c r="H5049" s="361" t="s">
        <v>536</v>
      </c>
      <c r="I5049" s="361" t="s">
        <v>694</v>
      </c>
      <c r="J5049" s="361"/>
      <c r="K5049" s="327" t="s">
        <v>223</v>
      </c>
      <c r="L5049" s="479">
        <v>322</v>
      </c>
      <c r="M5049" s="371"/>
      <c r="N5049" s="355" t="s">
        <v>2408</v>
      </c>
      <c r="O5049" s="345"/>
      <c r="P5049" s="325"/>
      <c r="Q5049" s="327"/>
      <c r="R5049" s="351"/>
      <c r="S5049" s="351"/>
      <c r="T5049" s="351"/>
      <c r="U5049" s="329" t="str">
        <f>IF($N5049=$N$4,IFERROR(INDEX(DanhMuc!$E$154:$E$165,MATCH(MID($B5049,4,2),DanhMuc!$B$154:$B$165,0)),""),"")</f>
        <v/>
      </c>
      <c r="V5049" s="361"/>
      <c r="W5049" s="345"/>
      <c r="X5049" s="786"/>
      <c r="Y5049" s="1128" t="s">
        <v>3380</v>
      </c>
      <c r="Z5049" s="1128" t="s">
        <v>3381</v>
      </c>
      <c r="AA5049" s="1128" t="s">
        <v>3384</v>
      </c>
      <c r="AB5049" s="20"/>
      <c r="AC5049" s="73"/>
    </row>
    <row r="5050" spans="1:29">
      <c r="A5050" s="327" t="str">
        <f>IF(AND($B5050&lt;&gt;"",$C5050&lt;&gt;""),MAX($A$4730:$A5049)+1,"")</f>
        <v/>
      </c>
      <c r="B5050" s="361" t="s">
        <v>220</v>
      </c>
      <c r="C5050" s="362"/>
      <c r="D5050" s="327">
        <f>IF($B5050="","",COUNTIF($B$4731:$B5050,$B5050))</f>
        <v>13</v>
      </c>
      <c r="E5050" s="361" t="s">
        <v>656</v>
      </c>
      <c r="F5050" s="362" t="s">
        <v>2239</v>
      </c>
      <c r="G5050" s="327" t="s">
        <v>405</v>
      </c>
      <c r="H5050" s="361" t="s">
        <v>536</v>
      </c>
      <c r="I5050" s="361" t="s">
        <v>1827</v>
      </c>
      <c r="J5050" s="361"/>
      <c r="K5050" s="327" t="s">
        <v>100</v>
      </c>
      <c r="L5050" s="478">
        <v>970</v>
      </c>
      <c r="M5050" s="371"/>
      <c r="N5050" s="355" t="s">
        <v>2409</v>
      </c>
      <c r="O5050" s="345"/>
      <c r="P5050" s="325"/>
      <c r="Q5050" s="327"/>
      <c r="R5050" s="351"/>
      <c r="S5050" s="351"/>
      <c r="T5050" s="351"/>
      <c r="U5050" s="329" t="str">
        <f>IF($N5050=$N$4,IFERROR(INDEX(DanhMuc!$E$154:$E$165,MATCH(MID($B5050,4,2),DanhMuc!$B$154:$B$165,0)),""),"")</f>
        <v/>
      </c>
      <c r="V5050" s="361"/>
      <c r="W5050" s="345"/>
      <c r="X5050" s="786"/>
      <c r="Y5050" s="1128" t="s">
        <v>3380</v>
      </c>
      <c r="Z5050" s="1128" t="s">
        <v>3381</v>
      </c>
      <c r="AA5050" s="1128" t="s">
        <v>3384</v>
      </c>
      <c r="AB5050" s="20"/>
      <c r="AC5050" s="73"/>
    </row>
    <row r="5051" spans="1:29">
      <c r="A5051" s="327" t="str">
        <f>IF(AND($B5051&lt;&gt;"",$C5051&lt;&gt;""),MAX($A$4730:$A5050)+1,"")</f>
        <v/>
      </c>
      <c r="B5051" s="361" t="s">
        <v>220</v>
      </c>
      <c r="C5051" s="362"/>
      <c r="D5051" s="327">
        <f>IF($B5051="","",COUNTIF($B$4731:$B5051,$B5051))</f>
        <v>14</v>
      </c>
      <c r="E5051" s="361" t="s">
        <v>657</v>
      </c>
      <c r="F5051" s="362" t="s">
        <v>658</v>
      </c>
      <c r="G5051" s="327" t="s">
        <v>424</v>
      </c>
      <c r="H5051" s="361" t="s">
        <v>536</v>
      </c>
      <c r="I5051" s="361" t="s">
        <v>665</v>
      </c>
      <c r="J5051" s="361"/>
      <c r="K5051" s="327" t="s">
        <v>100</v>
      </c>
      <c r="L5051" s="478">
        <v>60000</v>
      </c>
      <c r="M5051" s="355"/>
      <c r="N5051" s="355" t="s">
        <v>2409</v>
      </c>
      <c r="O5051" s="345"/>
      <c r="P5051" s="325"/>
      <c r="Q5051" s="327"/>
      <c r="R5051" s="351"/>
      <c r="S5051" s="351"/>
      <c r="T5051" s="351"/>
      <c r="U5051" s="329" t="str">
        <f>IF($N5051=$N$4,IFERROR(INDEX(DanhMuc!$E$154:$E$165,MATCH(MID($B5051,4,2),DanhMuc!$B$154:$B$165,0)),""),"")</f>
        <v/>
      </c>
      <c r="V5051" s="361"/>
      <c r="W5051" s="345"/>
      <c r="X5051" s="786"/>
      <c r="Y5051" s="1128" t="s">
        <v>3380</v>
      </c>
      <c r="Z5051" s="1128" t="s">
        <v>3381</v>
      </c>
      <c r="AA5051" s="1128" t="s">
        <v>3384</v>
      </c>
      <c r="AB5051" s="20"/>
      <c r="AC5051" s="73"/>
    </row>
    <row r="5052" spans="1:29">
      <c r="A5052" s="327" t="str">
        <f>IF(AND($B5052&lt;&gt;"",$C5052&lt;&gt;""),MAX($A$4730:$A5051)+1,"")</f>
        <v/>
      </c>
      <c r="B5052" s="361" t="s">
        <v>220</v>
      </c>
      <c r="C5052" s="362"/>
      <c r="D5052" s="327">
        <f>IF($B5052="","",COUNTIF($B$4731:$B5052,$B5052))</f>
        <v>15</v>
      </c>
      <c r="E5052" s="361" t="s">
        <v>2771</v>
      </c>
      <c r="F5052" s="362" t="s">
        <v>659</v>
      </c>
      <c r="G5052" s="327" t="s">
        <v>424</v>
      </c>
      <c r="H5052" s="361" t="s">
        <v>536</v>
      </c>
      <c r="I5052" s="361" t="s">
        <v>666</v>
      </c>
      <c r="J5052" s="361"/>
      <c r="K5052" s="327" t="s">
        <v>100</v>
      </c>
      <c r="L5052" s="389">
        <v>53000</v>
      </c>
      <c r="M5052" s="355"/>
      <c r="N5052" s="355" t="s">
        <v>2409</v>
      </c>
      <c r="O5052" s="345"/>
      <c r="P5052" s="325"/>
      <c r="Q5052" s="327"/>
      <c r="R5052" s="351"/>
      <c r="S5052" s="351"/>
      <c r="T5052" s="351"/>
      <c r="U5052" s="329" t="str">
        <f>IF($N5052=$N$4,IFERROR(INDEX(DanhMuc!$E$154:$E$165,MATCH(MID($B5052,4,2),DanhMuc!$B$154:$B$165,0)),""),"")</f>
        <v/>
      </c>
      <c r="V5052" s="361"/>
      <c r="W5052" s="345"/>
      <c r="X5052" s="786"/>
      <c r="Y5052" s="1128" t="s">
        <v>3380</v>
      </c>
      <c r="Z5052" s="1128" t="s">
        <v>3381</v>
      </c>
      <c r="AA5052" s="1128" t="s">
        <v>3384</v>
      </c>
      <c r="AB5052" s="20"/>
      <c r="AC5052" s="73"/>
    </row>
    <row r="5053" spans="1:29">
      <c r="A5053" s="327" t="str">
        <f>IF(AND($B5053&lt;&gt;"",$C5053&lt;&gt;""),MAX($A$4730:$A5052)+1,"")</f>
        <v/>
      </c>
      <c r="B5053" s="361" t="s">
        <v>220</v>
      </c>
      <c r="C5053" s="362"/>
      <c r="D5053" s="327">
        <f>IF($B5053="","",COUNTIF($B$4731:$B5053,$B5053))</f>
        <v>16</v>
      </c>
      <c r="E5053" s="361" t="s">
        <v>1828</v>
      </c>
      <c r="F5053" s="362" t="s">
        <v>671</v>
      </c>
      <c r="G5053" s="327" t="s">
        <v>661</v>
      </c>
      <c r="H5053" s="361" t="s">
        <v>536</v>
      </c>
      <c r="I5053" s="361" t="s">
        <v>2355</v>
      </c>
      <c r="J5053" s="361"/>
      <c r="K5053" s="327" t="s">
        <v>100</v>
      </c>
      <c r="L5053" s="478">
        <f>40000/1000</f>
        <v>40</v>
      </c>
      <c r="M5053" s="355"/>
      <c r="N5053" s="355" t="s">
        <v>2409</v>
      </c>
      <c r="O5053" s="345"/>
      <c r="P5053" s="325"/>
      <c r="Q5053" s="327"/>
      <c r="R5053" s="351"/>
      <c r="S5053" s="351"/>
      <c r="T5053" s="351"/>
      <c r="U5053" s="329" t="str">
        <f>IF($N5053=$N$4,IFERROR(INDEX(DanhMuc!$E$154:$E$165,MATCH(MID($B5053,4,2),DanhMuc!$B$154:$B$165,0)),""),"")</f>
        <v/>
      </c>
      <c r="V5053" s="361"/>
      <c r="W5053" s="345"/>
      <c r="X5053" s="786"/>
      <c r="Y5053" s="1128" t="s">
        <v>3380</v>
      </c>
      <c r="Z5053" s="1128" t="s">
        <v>3381</v>
      </c>
      <c r="AA5053" s="1128" t="s">
        <v>3384</v>
      </c>
      <c r="AB5053" s="20"/>
      <c r="AC5053" s="73"/>
    </row>
    <row r="5054" spans="1:29">
      <c r="A5054" s="327" t="str">
        <f>IF(AND($B5054&lt;&gt;"",$C5054&lt;&gt;""),MAX($A$4730:$A5053)+1,"")</f>
        <v/>
      </c>
      <c r="B5054" s="361" t="s">
        <v>220</v>
      </c>
      <c r="C5054" s="362"/>
      <c r="D5054" s="327">
        <f>IF($B5054="","",COUNTIF($B$4731:$B5054,$B5054))</f>
        <v>17</v>
      </c>
      <c r="E5054" s="361" t="s">
        <v>154</v>
      </c>
      <c r="F5054" s="362" t="s">
        <v>660</v>
      </c>
      <c r="G5054" s="327" t="s">
        <v>661</v>
      </c>
      <c r="H5054" s="361" t="s">
        <v>536</v>
      </c>
      <c r="I5054" s="361" t="s">
        <v>667</v>
      </c>
      <c r="J5054" s="361"/>
      <c r="K5054" s="327" t="s">
        <v>662</v>
      </c>
      <c r="L5054" s="478">
        <v>20</v>
      </c>
      <c r="M5054" s="355"/>
      <c r="N5054" s="355" t="s">
        <v>2409</v>
      </c>
      <c r="O5054" s="345"/>
      <c r="P5054" s="325"/>
      <c r="Q5054" s="327"/>
      <c r="R5054" s="351"/>
      <c r="S5054" s="351"/>
      <c r="T5054" s="351"/>
      <c r="U5054" s="329" t="str">
        <f>IF($N5054=$N$4,IFERROR(INDEX(DanhMuc!$E$154:$E$165,MATCH(MID($B5054,4,2),DanhMuc!$B$154:$B$165,0)),""),"")</f>
        <v/>
      </c>
      <c r="V5054" s="361"/>
      <c r="W5054" s="345"/>
      <c r="X5054" s="786"/>
      <c r="Y5054" s="1128" t="s">
        <v>3380</v>
      </c>
      <c r="Z5054" s="1128" t="s">
        <v>3381</v>
      </c>
      <c r="AA5054" s="1128" t="s">
        <v>3384</v>
      </c>
      <c r="AB5054" s="20"/>
      <c r="AC5054" s="73"/>
    </row>
    <row r="5055" spans="1:29">
      <c r="A5055" s="327" t="str">
        <f>IF(AND($B5055&lt;&gt;"",$C5055&lt;&gt;""),MAX($A$4730:$A5054)+1,"")</f>
        <v/>
      </c>
      <c r="B5055" s="361" t="s">
        <v>220</v>
      </c>
      <c r="C5055" s="362"/>
      <c r="D5055" s="327">
        <f>IF($B5055="","",COUNTIF($B$4731:$B5055,$B5055))</f>
        <v>18</v>
      </c>
      <c r="E5055" s="362" t="s">
        <v>2282</v>
      </c>
      <c r="F5055" s="362" t="s">
        <v>2283</v>
      </c>
      <c r="G5055" s="327" t="s">
        <v>424</v>
      </c>
      <c r="H5055" s="361" t="s">
        <v>536</v>
      </c>
      <c r="I5055" s="361" t="s">
        <v>2238</v>
      </c>
      <c r="J5055" s="361"/>
      <c r="K5055" s="327" t="s">
        <v>662</v>
      </c>
      <c r="L5055" s="478">
        <v>28000</v>
      </c>
      <c r="M5055" s="355"/>
      <c r="N5055" s="355" t="s">
        <v>2409</v>
      </c>
      <c r="O5055" s="345"/>
      <c r="P5055" s="325"/>
      <c r="Q5055" s="327"/>
      <c r="R5055" s="351"/>
      <c r="S5055" s="351"/>
      <c r="T5055" s="351"/>
      <c r="U5055" s="329" t="str">
        <f>IF($N5055=$N$4,IFERROR(INDEX(DanhMuc!$E$154:$E$165,MATCH(MID($B5055,4,2),DanhMuc!$B$154:$B$165,0)),""),"")</f>
        <v/>
      </c>
      <c r="V5055" s="361"/>
      <c r="W5055" s="345"/>
      <c r="X5055" s="786"/>
      <c r="Y5055" s="1128" t="s">
        <v>3380</v>
      </c>
      <c r="Z5055" s="1128" t="s">
        <v>3381</v>
      </c>
      <c r="AA5055" s="1128" t="s">
        <v>3384</v>
      </c>
      <c r="AB5055" s="20"/>
      <c r="AC5055" s="73"/>
    </row>
    <row r="5056" spans="1:29">
      <c r="A5056" s="327" t="str">
        <f>IF(AND($B5056&lt;&gt;"",$C5056&lt;&gt;""),MAX($A$4730:$A5055)+1,"")</f>
        <v/>
      </c>
      <c r="B5056" s="361" t="s">
        <v>220</v>
      </c>
      <c r="C5056" s="362"/>
      <c r="D5056" s="327">
        <f>IF($B5056="","",COUNTIF($B$4731:$B5056,$B5056))</f>
        <v>19</v>
      </c>
      <c r="E5056" s="362" t="s">
        <v>663</v>
      </c>
      <c r="F5056" s="362" t="s">
        <v>664</v>
      </c>
      <c r="G5056" s="327" t="s">
        <v>155</v>
      </c>
      <c r="H5056" s="361" t="s">
        <v>536</v>
      </c>
      <c r="I5056" s="361" t="s">
        <v>672</v>
      </c>
      <c r="J5056" s="361"/>
      <c r="K5056" s="327" t="s">
        <v>662</v>
      </c>
      <c r="L5056" s="478">
        <v>1000</v>
      </c>
      <c r="M5056" s="355"/>
      <c r="N5056" s="355" t="s">
        <v>2409</v>
      </c>
      <c r="O5056" s="345"/>
      <c r="P5056" s="325"/>
      <c r="Q5056" s="327"/>
      <c r="R5056" s="351"/>
      <c r="S5056" s="351"/>
      <c r="T5056" s="351"/>
      <c r="U5056" s="329" t="str">
        <f>IF($N5056=$N$4,IFERROR(INDEX(DanhMuc!$E$154:$E$165,MATCH(MID($B5056,4,2),DanhMuc!$B$154:$B$165,0)),""),"")</f>
        <v/>
      </c>
      <c r="V5056" s="361"/>
      <c r="W5056" s="345"/>
      <c r="X5056" s="786"/>
      <c r="Y5056" s="1128" t="s">
        <v>3380</v>
      </c>
      <c r="Z5056" s="1128" t="s">
        <v>3381</v>
      </c>
      <c r="AA5056" s="1128" t="s">
        <v>3384</v>
      </c>
      <c r="AB5056" s="20"/>
      <c r="AC5056" s="73"/>
    </row>
    <row r="5057" spans="1:29" ht="26">
      <c r="A5057" s="327">
        <f>IF(AND($B5057&lt;&gt;"",$C5057&lt;&gt;""),MAX($A$4730:$A5044)+1,"")</f>
        <v>11</v>
      </c>
      <c r="B5057" s="359" t="s">
        <v>713</v>
      </c>
      <c r="C5057" s="360" t="s">
        <v>1544</v>
      </c>
      <c r="D5057" s="327">
        <f>IF($B5057="","",COUNTIF($B$4731:$B5057,$B5057))</f>
        <v>1</v>
      </c>
      <c r="E5057" s="402" t="s">
        <v>2302</v>
      </c>
      <c r="F5057" s="403" t="s">
        <v>2332</v>
      </c>
      <c r="G5057" s="327" t="s">
        <v>155</v>
      </c>
      <c r="H5057" s="361" t="s">
        <v>536</v>
      </c>
      <c r="I5057" s="327">
        <v>4</v>
      </c>
      <c r="J5057" s="361"/>
      <c r="K5057" s="327" t="s">
        <v>100</v>
      </c>
      <c r="L5057" s="389">
        <v>6600</v>
      </c>
      <c r="M5057" s="355"/>
      <c r="N5057" s="355" t="s">
        <v>2408</v>
      </c>
      <c r="O5057" s="345" t="s">
        <v>2776</v>
      </c>
      <c r="P5057" s="325"/>
      <c r="Q5057" s="327"/>
      <c r="R5057" s="351"/>
      <c r="S5057" s="351"/>
      <c r="T5057" s="351"/>
      <c r="U5057" s="329" t="str">
        <f>IF($N5057=$N$4,IFERROR(INDEX(DanhMuc!$E$154:$E$165,MATCH(MID($B5057,4,2),DanhMuc!$B$154:$B$165,0)),""),"")</f>
        <v/>
      </c>
      <c r="V5057" s="361"/>
      <c r="W5057" s="345"/>
      <c r="X5057" s="786"/>
      <c r="Y5057" s="1128" t="s">
        <v>3380</v>
      </c>
      <c r="Z5057" s="1128" t="s">
        <v>3381</v>
      </c>
      <c r="AA5057" s="1128" t="s">
        <v>3384</v>
      </c>
      <c r="AB5057" s="20"/>
      <c r="AC5057" s="73"/>
    </row>
    <row r="5058" spans="1:29">
      <c r="A5058" s="327" t="str">
        <f>IF(AND($B5058&lt;&gt;"",$C5058&lt;&gt;""),MAX($A$4730:$A5057)+1,"")</f>
        <v/>
      </c>
      <c r="B5058" s="361" t="s">
        <v>713</v>
      </c>
      <c r="C5058" s="360"/>
      <c r="D5058" s="327">
        <f>IF($B5058="","",COUNTIF($B$4731:$B5058,$B5058))</f>
        <v>2</v>
      </c>
      <c r="E5058" s="402" t="s">
        <v>2788</v>
      </c>
      <c r="F5058" s="403" t="s">
        <v>2789</v>
      </c>
      <c r="G5058" s="327" t="s">
        <v>155</v>
      </c>
      <c r="H5058" s="361" t="s">
        <v>536</v>
      </c>
      <c r="I5058" s="327">
        <f>4*I5057</f>
        <v>16</v>
      </c>
      <c r="J5058" s="361"/>
      <c r="K5058" s="327" t="s">
        <v>100</v>
      </c>
      <c r="L5058" s="389">
        <v>600</v>
      </c>
      <c r="M5058" s="355"/>
      <c r="N5058" s="355" t="s">
        <v>2408</v>
      </c>
      <c r="O5058" s="345" t="s">
        <v>2776</v>
      </c>
      <c r="P5058" s="325"/>
      <c r="Q5058" s="327"/>
      <c r="R5058" s="351"/>
      <c r="S5058" s="351"/>
      <c r="T5058" s="351"/>
      <c r="U5058" s="329" t="str">
        <f>IF($N5058=$N$4,IFERROR(INDEX(DanhMuc!$E$154:$E$165,MATCH(MID($B5058,4,2),DanhMuc!$B$154:$B$165,0)),""),"")</f>
        <v/>
      </c>
      <c r="V5058" s="361"/>
      <c r="W5058" s="345"/>
      <c r="X5058" s="786"/>
      <c r="Y5058" s="1128" t="s">
        <v>3380</v>
      </c>
      <c r="Z5058" s="1128" t="s">
        <v>3381</v>
      </c>
      <c r="AA5058" s="1128" t="s">
        <v>3384</v>
      </c>
      <c r="AB5058" s="20"/>
      <c r="AC5058" s="73"/>
    </row>
    <row r="5059" spans="1:29">
      <c r="A5059" s="327" t="str">
        <f>IF(AND($B5059&lt;&gt;"",$C5059&lt;&gt;""),MAX($A$4730:$A5045)+1,"")</f>
        <v/>
      </c>
      <c r="B5059" s="361" t="s">
        <v>713</v>
      </c>
      <c r="C5059" s="360"/>
      <c r="D5059" s="327">
        <f>IF($B5059="","",COUNTIF($B$4731:$B5059,$B5059))</f>
        <v>3</v>
      </c>
      <c r="E5059" s="361" t="s">
        <v>2781</v>
      </c>
      <c r="F5059" s="362" t="s">
        <v>2780</v>
      </c>
      <c r="G5059" s="327" t="s">
        <v>155</v>
      </c>
      <c r="H5059" s="361" t="s">
        <v>536</v>
      </c>
      <c r="I5059" s="327">
        <v>4</v>
      </c>
      <c r="J5059" s="361"/>
      <c r="K5059" s="327" t="s">
        <v>100</v>
      </c>
      <c r="L5059" s="389">
        <v>7200</v>
      </c>
      <c r="M5059" s="355"/>
      <c r="N5059" s="355" t="s">
        <v>2408</v>
      </c>
      <c r="O5059" s="345" t="s">
        <v>2777</v>
      </c>
      <c r="P5059" s="325"/>
      <c r="Q5059" s="327"/>
      <c r="R5059" s="351">
        <v>0</v>
      </c>
      <c r="S5059" s="351">
        <v>5.8</v>
      </c>
      <c r="T5059" s="351">
        <v>3.1339999999999999</v>
      </c>
      <c r="U5059" s="329" t="str">
        <f>IF($N5059=$N$4,IFERROR(INDEX(DanhMuc!$E$154:$E$165,MATCH(MID($B5059,4,2),DanhMuc!$B$154:$B$165,0)),""),"")</f>
        <v/>
      </c>
      <c r="V5059" s="361"/>
      <c r="W5059" s="345"/>
      <c r="X5059" s="786"/>
      <c r="Y5059" s="1128" t="s">
        <v>3380</v>
      </c>
      <c r="Z5059" s="1128" t="s">
        <v>3381</v>
      </c>
      <c r="AA5059" s="1128" t="s">
        <v>3384</v>
      </c>
      <c r="AB5059" s="20"/>
      <c r="AC5059" s="73"/>
    </row>
    <row r="5060" spans="1:29">
      <c r="A5060" s="327" t="str">
        <f>IF(AND($B5060&lt;&gt;"",$C5060&lt;&gt;""),MAX($A$4730:$A5057)+1,"")</f>
        <v/>
      </c>
      <c r="B5060" s="361" t="s">
        <v>713</v>
      </c>
      <c r="C5060" s="362"/>
      <c r="D5060" s="327">
        <f>IF($B5060="","",COUNTIF($B$4731:$B5060,$B5060))</f>
        <v>4</v>
      </c>
      <c r="E5060" s="402" t="s">
        <v>2303</v>
      </c>
      <c r="F5060" s="403" t="s">
        <v>2782</v>
      </c>
      <c r="G5060" s="327" t="s">
        <v>155</v>
      </c>
      <c r="H5060" s="361" t="s">
        <v>536</v>
      </c>
      <c r="I5060" s="327">
        <v>12</v>
      </c>
      <c r="J5060" s="361"/>
      <c r="K5060" s="327" t="s">
        <v>101</v>
      </c>
      <c r="L5060" s="389">
        <v>9100</v>
      </c>
      <c r="M5060" s="355"/>
      <c r="N5060" s="355" t="s">
        <v>2408</v>
      </c>
      <c r="O5060" s="345" t="s">
        <v>2778</v>
      </c>
      <c r="P5060" s="325"/>
      <c r="Q5060" s="327"/>
      <c r="R5060" s="351"/>
      <c r="S5060" s="351"/>
      <c r="T5060" s="351"/>
      <c r="U5060" s="329" t="str">
        <f>IF($N5060=$N$4,IFERROR(INDEX(DanhMuc!$E$154:$E$165,MATCH(MID($B5060,4,2),DanhMuc!$B$154:$B$165,0)),""),"")</f>
        <v/>
      </c>
      <c r="V5060" s="361"/>
      <c r="W5060" s="345"/>
      <c r="X5060" s="786"/>
      <c r="Y5060" s="1128" t="s">
        <v>3380</v>
      </c>
      <c r="Z5060" s="1128" t="s">
        <v>3381</v>
      </c>
      <c r="AA5060" s="1128" t="s">
        <v>3384</v>
      </c>
      <c r="AB5060" s="20"/>
      <c r="AC5060" s="73"/>
    </row>
    <row r="5061" spans="1:29">
      <c r="A5061" s="327" t="str">
        <f>IF(AND($B5061&lt;&gt;"",$C5061&lt;&gt;""),MAX($A$4730:$A5060)+1,"")</f>
        <v/>
      </c>
      <c r="B5061" s="361" t="s">
        <v>713</v>
      </c>
      <c r="C5061" s="360"/>
      <c r="D5061" s="327">
        <f>IF($B5061="","",COUNTIF($B$4731:$B5061,$B5061))</f>
        <v>5</v>
      </c>
      <c r="E5061" s="402" t="s">
        <v>2788</v>
      </c>
      <c r="F5061" s="403" t="s">
        <v>2789</v>
      </c>
      <c r="G5061" s="327" t="s">
        <v>155</v>
      </c>
      <c r="H5061" s="361" t="s">
        <v>536</v>
      </c>
      <c r="I5061" s="327">
        <f>4*I5060</f>
        <v>48</v>
      </c>
      <c r="J5061" s="361"/>
      <c r="K5061" s="327" t="s">
        <v>100</v>
      </c>
      <c r="L5061" s="389">
        <v>600</v>
      </c>
      <c r="M5061" s="355"/>
      <c r="N5061" s="355" t="s">
        <v>2408</v>
      </c>
      <c r="O5061" s="345" t="s">
        <v>2778</v>
      </c>
      <c r="P5061" s="325"/>
      <c r="Q5061" s="327"/>
      <c r="R5061" s="351"/>
      <c r="S5061" s="351"/>
      <c r="T5061" s="351"/>
      <c r="U5061" s="329" t="str">
        <f>IF($N5061=$N$4,IFERROR(INDEX(DanhMuc!$E$154:$E$165,MATCH(MID($B5061,4,2),DanhMuc!$B$154:$B$165,0)),""),"")</f>
        <v/>
      </c>
      <c r="V5061" s="361"/>
      <c r="W5061" s="345"/>
      <c r="X5061" s="786"/>
      <c r="Y5061" s="1128" t="s">
        <v>3380</v>
      </c>
      <c r="Z5061" s="1128" t="s">
        <v>3381</v>
      </c>
      <c r="AA5061" s="1128" t="s">
        <v>3384</v>
      </c>
      <c r="AB5061" s="20"/>
      <c r="AC5061" s="73"/>
    </row>
    <row r="5062" spans="1:29">
      <c r="A5062" s="327" t="str">
        <f>IF(AND($B5062&lt;&gt;"",$C5062&lt;&gt;""),MAX($A$4730:$A5059)+1,"")</f>
        <v/>
      </c>
      <c r="B5062" s="361" t="s">
        <v>713</v>
      </c>
      <c r="C5062" s="362"/>
      <c r="D5062" s="327">
        <f>IF($B5062="","",COUNTIF($B$4731:$B5062,$B5062))</f>
        <v>6</v>
      </c>
      <c r="E5062" s="361" t="s">
        <v>699</v>
      </c>
      <c r="F5062" s="362" t="s">
        <v>2783</v>
      </c>
      <c r="G5062" s="327" t="s">
        <v>155</v>
      </c>
      <c r="H5062" s="361" t="s">
        <v>536</v>
      </c>
      <c r="I5062" s="327">
        <v>12</v>
      </c>
      <c r="J5062" s="361"/>
      <c r="K5062" s="327" t="s">
        <v>101</v>
      </c>
      <c r="L5062" s="389">
        <v>11000</v>
      </c>
      <c r="M5062" s="355"/>
      <c r="N5062" s="355" t="s">
        <v>2408</v>
      </c>
      <c r="O5062" s="345" t="s">
        <v>2779</v>
      </c>
      <c r="P5062" s="325"/>
      <c r="Q5062" s="327"/>
      <c r="R5062" s="351">
        <v>0</v>
      </c>
      <c r="S5062" s="351">
        <v>5.8</v>
      </c>
      <c r="T5062" s="351">
        <v>2.4359999999999999</v>
      </c>
      <c r="U5062" s="329" t="str">
        <f>IF($N5062=$N$4,IFERROR(INDEX(DanhMuc!$E$154:$E$165,MATCH(MID($B5062,4,2),DanhMuc!$B$154:$B$165,0)),""),"")</f>
        <v/>
      </c>
      <c r="V5062" s="361"/>
      <c r="W5062" s="345"/>
      <c r="X5062" s="786"/>
      <c r="Y5062" s="1128" t="s">
        <v>3380</v>
      </c>
      <c r="Z5062" s="1128" t="s">
        <v>3381</v>
      </c>
      <c r="AA5062" s="1128" t="s">
        <v>3384</v>
      </c>
      <c r="AB5062" s="20"/>
      <c r="AC5062" s="73"/>
    </row>
    <row r="5063" spans="1:29">
      <c r="A5063" s="327" t="str">
        <f>IF(AND($B5063&lt;&gt;"",$C5063&lt;&gt;""),MAX($A$4730:$A5060)+1,"")</f>
        <v/>
      </c>
      <c r="B5063" s="361" t="s">
        <v>713</v>
      </c>
      <c r="C5063" s="362"/>
      <c r="D5063" s="327">
        <f>IF($B5063="","",COUNTIF($B$4731:$B5063,$B5063))</f>
        <v>7</v>
      </c>
      <c r="E5063" s="361" t="s">
        <v>414</v>
      </c>
      <c r="F5063" s="362" t="s">
        <v>413</v>
      </c>
      <c r="G5063" s="327" t="s">
        <v>155</v>
      </c>
      <c r="H5063" s="361" t="s">
        <v>536</v>
      </c>
      <c r="I5063" s="327">
        <f>+I5057+I5060*2</f>
        <v>28</v>
      </c>
      <c r="J5063" s="361"/>
      <c r="K5063" s="327" t="s">
        <v>415</v>
      </c>
      <c r="L5063" s="389">
        <v>408</v>
      </c>
      <c r="M5063" s="355"/>
      <c r="N5063" s="355" t="s">
        <v>2408</v>
      </c>
      <c r="O5063" s="345"/>
      <c r="P5063" s="325"/>
      <c r="Q5063" s="327"/>
      <c r="R5063" s="351"/>
      <c r="S5063" s="351"/>
      <c r="T5063" s="351"/>
      <c r="U5063" s="329" t="str">
        <f>IF($N5063=$N$4,IFERROR(INDEX(DanhMuc!$E$154:$E$165,MATCH(MID($B5063,4,2),DanhMuc!$B$154:$B$165,0)),""),"")</f>
        <v/>
      </c>
      <c r="V5063" s="361"/>
      <c r="W5063" s="345"/>
      <c r="X5063" s="786"/>
      <c r="Y5063" s="1128" t="s">
        <v>3380</v>
      </c>
      <c r="Z5063" s="1128" t="s">
        <v>3381</v>
      </c>
      <c r="AA5063" s="1128" t="s">
        <v>3384</v>
      </c>
      <c r="AB5063" s="20"/>
      <c r="AC5063" s="73"/>
    </row>
    <row r="5064" spans="1:29">
      <c r="A5064" s="327" t="str">
        <f>IF(AND($B5064&lt;&gt;"",$C5064&lt;&gt;""),MAX($A$4730:$A5063)+1,"")</f>
        <v/>
      </c>
      <c r="B5064" s="361" t="s">
        <v>713</v>
      </c>
      <c r="C5064" s="362"/>
      <c r="D5064" s="327">
        <f>IF($B5064="","",COUNTIF($B$4731:$B5064,$B5064))</f>
        <v>8</v>
      </c>
      <c r="E5064" s="361" t="s">
        <v>654</v>
      </c>
      <c r="F5064" s="362" t="s">
        <v>653</v>
      </c>
      <c r="G5064" s="327" t="s">
        <v>1836</v>
      </c>
      <c r="H5064" s="361" t="s">
        <v>536</v>
      </c>
      <c r="I5064" s="327">
        <f>I5059/45</f>
        <v>8.8888888888888892E-2</v>
      </c>
      <c r="J5064" s="477"/>
      <c r="K5064" s="327" t="s">
        <v>655</v>
      </c>
      <c r="L5064" s="478">
        <v>115000</v>
      </c>
      <c r="M5064" s="355"/>
      <c r="N5064" s="355" t="s">
        <v>2408</v>
      </c>
      <c r="O5064" s="345" t="s">
        <v>2777</v>
      </c>
      <c r="P5064" s="325"/>
      <c r="Q5064" s="327"/>
      <c r="R5064" s="351"/>
      <c r="S5064" s="351"/>
      <c r="T5064" s="351"/>
      <c r="U5064" s="329" t="str">
        <f>IF($N5064=$N$4,IFERROR(INDEX(DanhMuc!$E$154:$E$165,MATCH(MID($B5064,4,2),DanhMuc!$B$154:$B$165,0)),""),"")</f>
        <v/>
      </c>
      <c r="V5064" s="361"/>
      <c r="W5064" s="345"/>
      <c r="X5064" s="786"/>
      <c r="Y5064" s="1128" t="s">
        <v>3380</v>
      </c>
      <c r="Z5064" s="1128" t="s">
        <v>3381</v>
      </c>
      <c r="AA5064" s="1128" t="s">
        <v>3384</v>
      </c>
      <c r="AB5064" s="20"/>
      <c r="AC5064" s="73"/>
    </row>
    <row r="5065" spans="1:29">
      <c r="A5065" s="327" t="str">
        <f>IF(AND($B5065&lt;&gt;"",$C5065&lt;&gt;""),MAX($A$4730:$A5064)+1,"")</f>
        <v/>
      </c>
      <c r="B5065" s="361" t="s">
        <v>713</v>
      </c>
      <c r="C5065" s="362"/>
      <c r="D5065" s="327">
        <f>IF($B5065="","",COUNTIF($B$4731:$B5065,$B5065))</f>
        <v>9</v>
      </c>
      <c r="E5065" s="361" t="s">
        <v>654</v>
      </c>
      <c r="F5065" s="362" t="s">
        <v>653</v>
      </c>
      <c r="G5065" s="327" t="s">
        <v>1836</v>
      </c>
      <c r="H5065" s="361" t="s">
        <v>536</v>
      </c>
      <c r="I5065" s="327">
        <f>I5062/45</f>
        <v>0.26666666666666666</v>
      </c>
      <c r="J5065" s="477"/>
      <c r="K5065" s="327" t="s">
        <v>655</v>
      </c>
      <c r="L5065" s="478">
        <v>115000</v>
      </c>
      <c r="M5065" s="355"/>
      <c r="N5065" s="355" t="s">
        <v>2408</v>
      </c>
      <c r="O5065" s="345" t="s">
        <v>2779</v>
      </c>
      <c r="P5065" s="325"/>
      <c r="Q5065" s="327"/>
      <c r="R5065" s="351"/>
      <c r="S5065" s="351"/>
      <c r="T5065" s="351"/>
      <c r="U5065" s="329" t="str">
        <f>IF($N5065=$N$4,IFERROR(INDEX(DanhMuc!$E$154:$E$165,MATCH(MID($B5065,4,2),DanhMuc!$B$154:$B$165,0)),""),"")</f>
        <v/>
      </c>
      <c r="V5065" s="361"/>
      <c r="W5065" s="345"/>
      <c r="X5065" s="786"/>
      <c r="Y5065" s="1128" t="s">
        <v>3380</v>
      </c>
      <c r="Z5065" s="1128" t="s">
        <v>3381</v>
      </c>
      <c r="AA5065" s="1128" t="s">
        <v>3384</v>
      </c>
      <c r="AB5065" s="20"/>
      <c r="AC5065" s="73"/>
    </row>
    <row r="5066" spans="1:29">
      <c r="A5066" s="327" t="str">
        <f>IF(AND($B5066&lt;&gt;"",$C5066&lt;&gt;""),MAX($A$4730:$A5064)+1,"")</f>
        <v/>
      </c>
      <c r="B5066" s="361" t="s">
        <v>713</v>
      </c>
      <c r="C5066" s="362"/>
      <c r="D5066" s="327">
        <f>IF($B5066="","",COUNTIF($B$4731:$B5066,$B5066))</f>
        <v>10</v>
      </c>
      <c r="E5066" s="361" t="s">
        <v>1826</v>
      </c>
      <c r="F5066" s="362" t="s">
        <v>670</v>
      </c>
      <c r="G5066" s="327" t="s">
        <v>661</v>
      </c>
      <c r="H5066" s="361" t="s">
        <v>536</v>
      </c>
      <c r="I5066" s="361" t="s">
        <v>2354</v>
      </c>
      <c r="J5066" s="361"/>
      <c r="K5066" s="327" t="s">
        <v>103</v>
      </c>
      <c r="L5066" s="478">
        <f>40000/1000</f>
        <v>40</v>
      </c>
      <c r="M5066" s="355"/>
      <c r="N5066" s="355" t="s">
        <v>2408</v>
      </c>
      <c r="O5066" s="345"/>
      <c r="P5066" s="325"/>
      <c r="Q5066" s="327"/>
      <c r="R5066" s="351"/>
      <c r="S5066" s="351"/>
      <c r="T5066" s="351"/>
      <c r="U5066" s="329" t="str">
        <f>IF($N5066=$N$4,IFERROR(INDEX(DanhMuc!$E$154:$E$165,MATCH(MID($B5066,4,2),DanhMuc!$B$154:$B$165,0)),""),"")</f>
        <v/>
      </c>
      <c r="V5066" s="361"/>
      <c r="W5066" s="345"/>
      <c r="X5066" s="786"/>
      <c r="Y5066" s="1128" t="s">
        <v>3380</v>
      </c>
      <c r="Z5066" s="1128" t="s">
        <v>3381</v>
      </c>
      <c r="AA5066" s="1128" t="s">
        <v>3384</v>
      </c>
      <c r="AB5066" s="20"/>
      <c r="AC5066" s="73"/>
    </row>
    <row r="5067" spans="1:29" ht="37.5">
      <c r="A5067" s="327" t="str">
        <f>IF(AND($B5067&lt;&gt;"",$C5067&lt;&gt;""),MAX($A$4730:$A5066)+1,"")</f>
        <v/>
      </c>
      <c r="B5067" s="361" t="s">
        <v>713</v>
      </c>
      <c r="C5067" s="362"/>
      <c r="D5067" s="327">
        <f>IF($B5067="","",COUNTIF($B$4731:$B5067,$B5067))</f>
        <v>11</v>
      </c>
      <c r="E5067" s="362" t="s">
        <v>1964</v>
      </c>
      <c r="F5067" s="362" t="s">
        <v>1965</v>
      </c>
      <c r="G5067" s="327" t="s">
        <v>405</v>
      </c>
      <c r="H5067" s="361" t="s">
        <v>536</v>
      </c>
      <c r="I5067" s="361" t="s">
        <v>693</v>
      </c>
      <c r="J5067" s="361"/>
      <c r="K5067" s="327" t="s">
        <v>223</v>
      </c>
      <c r="L5067" s="478">
        <v>140</v>
      </c>
      <c r="M5067" s="371"/>
      <c r="N5067" s="355" t="s">
        <v>2408</v>
      </c>
      <c r="O5067" s="345"/>
      <c r="P5067" s="325"/>
      <c r="Q5067" s="327"/>
      <c r="R5067" s="351"/>
      <c r="S5067" s="351"/>
      <c r="T5067" s="351"/>
      <c r="U5067" s="329" t="str">
        <f>IF($N5067=$N$4,IFERROR(INDEX(DanhMuc!$E$154:$E$165,MATCH(MID($B5067,4,2),DanhMuc!$B$154:$B$165,0)),""),"")</f>
        <v/>
      </c>
      <c r="V5067" s="361"/>
      <c r="W5067" s="345"/>
      <c r="X5067" s="786"/>
      <c r="Y5067" s="1128" t="s">
        <v>3380</v>
      </c>
      <c r="Z5067" s="1128" t="s">
        <v>3381</v>
      </c>
      <c r="AA5067" s="1128" t="s">
        <v>3384</v>
      </c>
      <c r="AB5067" s="20"/>
      <c r="AC5067" s="73"/>
    </row>
    <row r="5068" spans="1:29" ht="37.5">
      <c r="A5068" s="327" t="str">
        <f>IF(AND($B5068&lt;&gt;"",$C5068&lt;&gt;""),MAX($A$4730:$A5067)+1,"")</f>
        <v/>
      </c>
      <c r="B5068" s="361" t="s">
        <v>713</v>
      </c>
      <c r="C5068" s="362"/>
      <c r="D5068" s="327">
        <f>IF($B5068="","",COUNTIF($B$4731:$B5068,$B5068))</f>
        <v>12</v>
      </c>
      <c r="E5068" s="362" t="s">
        <v>2756</v>
      </c>
      <c r="F5068" s="362" t="s">
        <v>2757</v>
      </c>
      <c r="G5068" s="327" t="s">
        <v>405</v>
      </c>
      <c r="H5068" s="361" t="s">
        <v>536</v>
      </c>
      <c r="I5068" s="361" t="s">
        <v>694</v>
      </c>
      <c r="J5068" s="361"/>
      <c r="K5068" s="327" t="s">
        <v>223</v>
      </c>
      <c r="L5068" s="479">
        <v>322</v>
      </c>
      <c r="M5068" s="371"/>
      <c r="N5068" s="355" t="s">
        <v>2408</v>
      </c>
      <c r="O5068" s="345"/>
      <c r="P5068" s="325"/>
      <c r="Q5068" s="327"/>
      <c r="R5068" s="351"/>
      <c r="S5068" s="351"/>
      <c r="T5068" s="351"/>
      <c r="U5068" s="329" t="str">
        <f>IF($N5068=$N$4,IFERROR(INDEX(DanhMuc!$E$154:$E$165,MATCH(MID($B5068,4,2),DanhMuc!$B$154:$B$165,0)),""),"")</f>
        <v/>
      </c>
      <c r="V5068" s="361"/>
      <c r="W5068" s="345"/>
      <c r="X5068" s="786"/>
      <c r="Y5068" s="1128" t="s">
        <v>3380</v>
      </c>
      <c r="Z5068" s="1128" t="s">
        <v>3381</v>
      </c>
      <c r="AA5068" s="1128" t="s">
        <v>3384</v>
      </c>
      <c r="AB5068" s="20"/>
      <c r="AC5068" s="73"/>
    </row>
    <row r="5069" spans="1:29">
      <c r="A5069" s="327" t="str">
        <f>IF(AND($B5069&lt;&gt;"",$C5069&lt;&gt;""),MAX($A$4730:$A5068)+1,"")</f>
        <v/>
      </c>
      <c r="B5069" s="361" t="s">
        <v>713</v>
      </c>
      <c r="C5069" s="362"/>
      <c r="D5069" s="327">
        <f>IF($B5069="","",COUNTIF($B$4731:$B5069,$B5069))</f>
        <v>13</v>
      </c>
      <c r="E5069" s="361" t="s">
        <v>656</v>
      </c>
      <c r="F5069" s="362" t="s">
        <v>2239</v>
      </c>
      <c r="G5069" s="327" t="s">
        <v>405</v>
      </c>
      <c r="H5069" s="361" t="s">
        <v>536</v>
      </c>
      <c r="I5069" s="361" t="s">
        <v>1827</v>
      </c>
      <c r="J5069" s="361"/>
      <c r="K5069" s="327" t="s">
        <v>100</v>
      </c>
      <c r="L5069" s="478">
        <v>970</v>
      </c>
      <c r="M5069" s="371"/>
      <c r="N5069" s="355" t="s">
        <v>2409</v>
      </c>
      <c r="O5069" s="345"/>
      <c r="P5069" s="325"/>
      <c r="Q5069" s="327"/>
      <c r="R5069" s="351"/>
      <c r="S5069" s="351"/>
      <c r="T5069" s="351"/>
      <c r="U5069" s="329" t="str">
        <f>IF($N5069=$N$4,IFERROR(INDEX(DanhMuc!$E$154:$E$165,MATCH(MID($B5069,4,2),DanhMuc!$B$154:$B$165,0)),""),"")</f>
        <v/>
      </c>
      <c r="V5069" s="361"/>
      <c r="W5069" s="345"/>
      <c r="X5069" s="786"/>
      <c r="Y5069" s="1128" t="s">
        <v>3380</v>
      </c>
      <c r="Z5069" s="1128" t="s">
        <v>3381</v>
      </c>
      <c r="AA5069" s="1128" t="s">
        <v>3384</v>
      </c>
      <c r="AB5069" s="20"/>
      <c r="AC5069" s="73"/>
    </row>
    <row r="5070" spans="1:29">
      <c r="A5070" s="327" t="str">
        <f>IF(AND($B5070&lt;&gt;"",$C5070&lt;&gt;""),MAX($A$4730:$A5069)+1,"")</f>
        <v/>
      </c>
      <c r="B5070" s="361" t="s">
        <v>713</v>
      </c>
      <c r="C5070" s="362"/>
      <c r="D5070" s="327">
        <f>IF($B5070="","",COUNTIF($B$4731:$B5070,$B5070))</f>
        <v>14</v>
      </c>
      <c r="E5070" s="361" t="s">
        <v>657</v>
      </c>
      <c r="F5070" s="362" t="s">
        <v>658</v>
      </c>
      <c r="G5070" s="327" t="s">
        <v>424</v>
      </c>
      <c r="H5070" s="361" t="s">
        <v>536</v>
      </c>
      <c r="I5070" s="361" t="s">
        <v>665</v>
      </c>
      <c r="J5070" s="361"/>
      <c r="K5070" s="327" t="s">
        <v>100</v>
      </c>
      <c r="L5070" s="478">
        <v>60000</v>
      </c>
      <c r="M5070" s="355"/>
      <c r="N5070" s="355" t="s">
        <v>2409</v>
      </c>
      <c r="O5070" s="345"/>
      <c r="P5070" s="325"/>
      <c r="Q5070" s="327"/>
      <c r="R5070" s="351"/>
      <c r="S5070" s="351"/>
      <c r="T5070" s="351"/>
      <c r="U5070" s="329" t="str">
        <f>IF($N5070=$N$4,IFERROR(INDEX(DanhMuc!$E$154:$E$165,MATCH(MID($B5070,4,2),DanhMuc!$B$154:$B$165,0)),""),"")</f>
        <v/>
      </c>
      <c r="V5070" s="361"/>
      <c r="W5070" s="345"/>
      <c r="X5070" s="786"/>
      <c r="Y5070" s="1128" t="s">
        <v>3380</v>
      </c>
      <c r="Z5070" s="1128" t="s">
        <v>3381</v>
      </c>
      <c r="AA5070" s="1128" t="s">
        <v>3384</v>
      </c>
      <c r="AB5070" s="20"/>
      <c r="AC5070" s="73"/>
    </row>
    <row r="5071" spans="1:29">
      <c r="A5071" s="327" t="str">
        <f>IF(AND($B5071&lt;&gt;"",$C5071&lt;&gt;""),MAX($A$4730:$A5070)+1,"")</f>
        <v/>
      </c>
      <c r="B5071" s="361" t="s">
        <v>713</v>
      </c>
      <c r="C5071" s="362"/>
      <c r="D5071" s="327">
        <f>IF($B5071="","",COUNTIF($B$4731:$B5071,$B5071))</f>
        <v>15</v>
      </c>
      <c r="E5071" s="361" t="s">
        <v>2771</v>
      </c>
      <c r="F5071" s="362" t="s">
        <v>659</v>
      </c>
      <c r="G5071" s="327" t="s">
        <v>424</v>
      </c>
      <c r="H5071" s="361" t="s">
        <v>536</v>
      </c>
      <c r="I5071" s="361" t="s">
        <v>666</v>
      </c>
      <c r="J5071" s="361"/>
      <c r="K5071" s="327" t="s">
        <v>100</v>
      </c>
      <c r="L5071" s="389">
        <v>53000</v>
      </c>
      <c r="M5071" s="355"/>
      <c r="N5071" s="355" t="s">
        <v>2409</v>
      </c>
      <c r="O5071" s="345"/>
      <c r="P5071" s="325"/>
      <c r="Q5071" s="327"/>
      <c r="R5071" s="351"/>
      <c r="S5071" s="351"/>
      <c r="T5071" s="351"/>
      <c r="U5071" s="329" t="str">
        <f>IF($N5071=$N$4,IFERROR(INDEX(DanhMuc!$E$154:$E$165,MATCH(MID($B5071,4,2),DanhMuc!$B$154:$B$165,0)),""),"")</f>
        <v/>
      </c>
      <c r="V5071" s="361"/>
      <c r="W5071" s="345"/>
      <c r="X5071" s="786"/>
      <c r="Y5071" s="1128" t="s">
        <v>3380</v>
      </c>
      <c r="Z5071" s="1128" t="s">
        <v>3381</v>
      </c>
      <c r="AA5071" s="1128" t="s">
        <v>3384</v>
      </c>
      <c r="AB5071" s="20"/>
      <c r="AC5071" s="73"/>
    </row>
    <row r="5072" spans="1:29">
      <c r="A5072" s="327" t="str">
        <f>IF(AND($B5072&lt;&gt;"",$C5072&lt;&gt;""),MAX($A$4730:$A5071)+1,"")</f>
        <v/>
      </c>
      <c r="B5072" s="361" t="s">
        <v>713</v>
      </c>
      <c r="C5072" s="362"/>
      <c r="D5072" s="327">
        <f>IF($B5072="","",COUNTIF($B$4731:$B5072,$B5072))</f>
        <v>16</v>
      </c>
      <c r="E5072" s="361" t="s">
        <v>1828</v>
      </c>
      <c r="F5072" s="362" t="s">
        <v>671</v>
      </c>
      <c r="G5072" s="327" t="s">
        <v>661</v>
      </c>
      <c r="H5072" s="361" t="s">
        <v>536</v>
      </c>
      <c r="I5072" s="361" t="s">
        <v>2355</v>
      </c>
      <c r="J5072" s="361"/>
      <c r="K5072" s="327" t="s">
        <v>100</v>
      </c>
      <c r="L5072" s="478">
        <f>40000/1000</f>
        <v>40</v>
      </c>
      <c r="M5072" s="355"/>
      <c r="N5072" s="355" t="s">
        <v>2409</v>
      </c>
      <c r="O5072" s="345"/>
      <c r="P5072" s="325"/>
      <c r="Q5072" s="327"/>
      <c r="R5072" s="351"/>
      <c r="S5072" s="351"/>
      <c r="T5072" s="351"/>
      <c r="U5072" s="329" t="str">
        <f>IF($N5072=$N$4,IFERROR(INDEX(DanhMuc!$E$154:$E$165,MATCH(MID($B5072,4,2),DanhMuc!$B$154:$B$165,0)),""),"")</f>
        <v/>
      </c>
      <c r="V5072" s="361"/>
      <c r="W5072" s="345"/>
      <c r="X5072" s="786"/>
      <c r="Y5072" s="1128" t="s">
        <v>3380</v>
      </c>
      <c r="Z5072" s="1128" t="s">
        <v>3381</v>
      </c>
      <c r="AA5072" s="1128" t="s">
        <v>3384</v>
      </c>
      <c r="AB5072" s="20"/>
      <c r="AC5072" s="73"/>
    </row>
    <row r="5073" spans="1:29">
      <c r="A5073" s="327" t="str">
        <f>IF(AND($B5073&lt;&gt;"",$C5073&lt;&gt;""),MAX($A$4730:$A5072)+1,"")</f>
        <v/>
      </c>
      <c r="B5073" s="361" t="s">
        <v>713</v>
      </c>
      <c r="C5073" s="362"/>
      <c r="D5073" s="327">
        <f>IF($B5073="","",COUNTIF($B$4731:$B5073,$B5073))</f>
        <v>17</v>
      </c>
      <c r="E5073" s="361" t="s">
        <v>154</v>
      </c>
      <c r="F5073" s="362" t="s">
        <v>660</v>
      </c>
      <c r="G5073" s="327" t="s">
        <v>661</v>
      </c>
      <c r="H5073" s="361" t="s">
        <v>536</v>
      </c>
      <c r="I5073" s="361" t="s">
        <v>667</v>
      </c>
      <c r="J5073" s="361"/>
      <c r="K5073" s="327" t="s">
        <v>662</v>
      </c>
      <c r="L5073" s="478">
        <v>20</v>
      </c>
      <c r="M5073" s="355"/>
      <c r="N5073" s="355" t="s">
        <v>2409</v>
      </c>
      <c r="O5073" s="345"/>
      <c r="P5073" s="325"/>
      <c r="Q5073" s="327"/>
      <c r="R5073" s="351"/>
      <c r="S5073" s="351"/>
      <c r="T5073" s="351"/>
      <c r="U5073" s="329" t="str">
        <f>IF($N5073=$N$4,IFERROR(INDEX(DanhMuc!$E$154:$E$165,MATCH(MID($B5073,4,2),DanhMuc!$B$154:$B$165,0)),""),"")</f>
        <v/>
      </c>
      <c r="V5073" s="361"/>
      <c r="W5073" s="345"/>
      <c r="X5073" s="786"/>
      <c r="Y5073" s="1128" t="s">
        <v>3380</v>
      </c>
      <c r="Z5073" s="1128" t="s">
        <v>3381</v>
      </c>
      <c r="AA5073" s="1128" t="s">
        <v>3384</v>
      </c>
      <c r="AB5073" s="20"/>
      <c r="AC5073" s="73"/>
    </row>
    <row r="5074" spans="1:29">
      <c r="A5074" s="327" t="str">
        <f>IF(AND($B5074&lt;&gt;"",$C5074&lt;&gt;""),MAX($A$4730:$A5073)+1,"")</f>
        <v/>
      </c>
      <c r="B5074" s="361" t="s">
        <v>713</v>
      </c>
      <c r="C5074" s="362"/>
      <c r="D5074" s="327">
        <f>IF($B5074="","",COUNTIF($B$4731:$B5074,$B5074))</f>
        <v>18</v>
      </c>
      <c r="E5074" s="362" t="s">
        <v>2282</v>
      </c>
      <c r="F5074" s="362" t="s">
        <v>2283</v>
      </c>
      <c r="G5074" s="327" t="s">
        <v>424</v>
      </c>
      <c r="H5074" s="361" t="s">
        <v>536</v>
      </c>
      <c r="I5074" s="361" t="s">
        <v>2238</v>
      </c>
      <c r="J5074" s="361"/>
      <c r="K5074" s="327" t="s">
        <v>662</v>
      </c>
      <c r="L5074" s="478">
        <v>28000</v>
      </c>
      <c r="M5074" s="355"/>
      <c r="N5074" s="355" t="s">
        <v>2409</v>
      </c>
      <c r="O5074" s="345"/>
      <c r="P5074" s="325"/>
      <c r="Q5074" s="327"/>
      <c r="R5074" s="351"/>
      <c r="S5074" s="351"/>
      <c r="T5074" s="351"/>
      <c r="U5074" s="329" t="str">
        <f>IF($N5074=$N$4,IFERROR(INDEX(DanhMuc!$E$154:$E$165,MATCH(MID($B5074,4,2),DanhMuc!$B$154:$B$165,0)),""),"")</f>
        <v/>
      </c>
      <c r="V5074" s="361"/>
      <c r="W5074" s="345"/>
      <c r="X5074" s="786"/>
      <c r="Y5074" s="1128" t="s">
        <v>3380</v>
      </c>
      <c r="Z5074" s="1128" t="s">
        <v>3381</v>
      </c>
      <c r="AA5074" s="1128" t="s">
        <v>3384</v>
      </c>
      <c r="AB5074" s="20"/>
      <c r="AC5074" s="73"/>
    </row>
    <row r="5075" spans="1:29">
      <c r="A5075" s="327" t="str">
        <f>IF(AND($B5075&lt;&gt;"",$C5075&lt;&gt;""),MAX($A$4730:$A5074)+1,"")</f>
        <v/>
      </c>
      <c r="B5075" s="361" t="s">
        <v>713</v>
      </c>
      <c r="C5075" s="362"/>
      <c r="D5075" s="327">
        <f>IF($B5075="","",COUNTIF($B$4731:$B5075,$B5075))</f>
        <v>19</v>
      </c>
      <c r="E5075" s="362" t="s">
        <v>663</v>
      </c>
      <c r="F5075" s="362" t="s">
        <v>664</v>
      </c>
      <c r="G5075" s="327" t="s">
        <v>155</v>
      </c>
      <c r="H5075" s="361" t="s">
        <v>536</v>
      </c>
      <c r="I5075" s="361" t="s">
        <v>672</v>
      </c>
      <c r="J5075" s="361"/>
      <c r="K5075" s="327" t="s">
        <v>662</v>
      </c>
      <c r="L5075" s="478">
        <v>1000</v>
      </c>
      <c r="M5075" s="355"/>
      <c r="N5075" s="355" t="s">
        <v>2409</v>
      </c>
      <c r="O5075" s="345"/>
      <c r="P5075" s="325"/>
      <c r="Q5075" s="327"/>
      <c r="R5075" s="351"/>
      <c r="S5075" s="351"/>
      <c r="T5075" s="351"/>
      <c r="U5075" s="329" t="str">
        <f>IF($N5075=$N$4,IFERROR(INDEX(DanhMuc!$E$154:$E$165,MATCH(MID($B5075,4,2),DanhMuc!$B$154:$B$165,0)),""),"")</f>
        <v/>
      </c>
      <c r="V5075" s="361"/>
      <c r="W5075" s="345"/>
      <c r="X5075" s="786"/>
      <c r="Y5075" s="1128" t="s">
        <v>3380</v>
      </c>
      <c r="Z5075" s="1128" t="s">
        <v>3381</v>
      </c>
      <c r="AA5075" s="1128" t="s">
        <v>3384</v>
      </c>
      <c r="AB5075" s="20"/>
      <c r="AC5075" s="73"/>
    </row>
    <row r="5076" spans="1:29" ht="26">
      <c r="A5076" s="327">
        <f>IF(AND($B5076&lt;&gt;"",$C5076&lt;&gt;""),MAX($A$4730:$A5063)+1,"")</f>
        <v>12</v>
      </c>
      <c r="B5076" s="359" t="s">
        <v>221</v>
      </c>
      <c r="C5076" s="360" t="s">
        <v>1545</v>
      </c>
      <c r="D5076" s="327">
        <f>IF($B5076="","",COUNTIF($B$4731:$B5076,$B5076))</f>
        <v>1</v>
      </c>
      <c r="E5076" s="402" t="s">
        <v>2302</v>
      </c>
      <c r="F5076" s="403" t="s">
        <v>2332</v>
      </c>
      <c r="G5076" s="327" t="s">
        <v>155</v>
      </c>
      <c r="H5076" s="361" t="s">
        <v>536</v>
      </c>
      <c r="I5076" s="327">
        <v>4</v>
      </c>
      <c r="J5076" s="361"/>
      <c r="K5076" s="327" t="s">
        <v>100</v>
      </c>
      <c r="L5076" s="389">
        <v>6600</v>
      </c>
      <c r="M5076" s="355"/>
      <c r="N5076" s="355" t="s">
        <v>2408</v>
      </c>
      <c r="O5076" s="345" t="s">
        <v>2776</v>
      </c>
      <c r="P5076" s="325"/>
      <c r="Q5076" s="327"/>
      <c r="R5076" s="351"/>
      <c r="S5076" s="351"/>
      <c r="T5076" s="351"/>
      <c r="U5076" s="329" t="str">
        <f>IF($N5076=$N$4,IFERROR(INDEX(DanhMuc!$E$154:$E$165,MATCH(MID($B5076,4,2),DanhMuc!$B$154:$B$165,0)),""),"")</f>
        <v/>
      </c>
      <c r="V5076" s="361"/>
      <c r="W5076" s="345"/>
      <c r="X5076" s="786"/>
      <c r="Y5076" s="1128" t="s">
        <v>3380</v>
      </c>
      <c r="Z5076" s="1128" t="s">
        <v>3381</v>
      </c>
      <c r="AA5076" s="1128" t="s">
        <v>3384</v>
      </c>
      <c r="AB5076" s="20"/>
      <c r="AC5076" s="73"/>
    </row>
    <row r="5077" spans="1:29">
      <c r="A5077" s="327" t="str">
        <f>IF(AND($B5077&lt;&gt;"",$C5077&lt;&gt;""),MAX($A$4730:$A5076)+1,"")</f>
        <v/>
      </c>
      <c r="B5077" s="361" t="s">
        <v>221</v>
      </c>
      <c r="C5077" s="360"/>
      <c r="D5077" s="327">
        <f>IF($B5077="","",COUNTIF($B$4731:$B5077,$B5077))</f>
        <v>2</v>
      </c>
      <c r="E5077" s="402" t="s">
        <v>2788</v>
      </c>
      <c r="F5077" s="403" t="s">
        <v>2789</v>
      </c>
      <c r="G5077" s="327" t="s">
        <v>155</v>
      </c>
      <c r="H5077" s="361" t="s">
        <v>536</v>
      </c>
      <c r="I5077" s="327">
        <f>4*I5076</f>
        <v>16</v>
      </c>
      <c r="J5077" s="361"/>
      <c r="K5077" s="327" t="s">
        <v>100</v>
      </c>
      <c r="L5077" s="389">
        <v>600</v>
      </c>
      <c r="M5077" s="355"/>
      <c r="N5077" s="355" t="s">
        <v>2408</v>
      </c>
      <c r="O5077" s="345" t="s">
        <v>2776</v>
      </c>
      <c r="P5077" s="325"/>
      <c r="Q5077" s="327"/>
      <c r="R5077" s="351"/>
      <c r="S5077" s="351"/>
      <c r="T5077" s="351"/>
      <c r="U5077" s="329" t="str">
        <f>IF($N5077=$N$4,IFERROR(INDEX(DanhMuc!$E$154:$E$165,MATCH(MID($B5077,4,2),DanhMuc!$B$154:$B$165,0)),""),"")</f>
        <v/>
      </c>
      <c r="V5077" s="361"/>
      <c r="W5077" s="345"/>
      <c r="X5077" s="786"/>
      <c r="Y5077" s="1128" t="s">
        <v>3380</v>
      </c>
      <c r="Z5077" s="1128" t="s">
        <v>3381</v>
      </c>
      <c r="AA5077" s="1128" t="s">
        <v>3384</v>
      </c>
      <c r="AB5077" s="20"/>
      <c r="AC5077" s="73"/>
    </row>
    <row r="5078" spans="1:29">
      <c r="A5078" s="327" t="str">
        <f>IF(AND($B5078&lt;&gt;"",$C5078&lt;&gt;""),MAX($A$4730:$A5064)+1,"")</f>
        <v/>
      </c>
      <c r="B5078" s="361" t="s">
        <v>221</v>
      </c>
      <c r="C5078" s="360"/>
      <c r="D5078" s="327">
        <f>IF($B5078="","",COUNTIF($B$4731:$B5078,$B5078))</f>
        <v>3</v>
      </c>
      <c r="E5078" s="361" t="s">
        <v>2781</v>
      </c>
      <c r="F5078" s="362" t="s">
        <v>2780</v>
      </c>
      <c r="G5078" s="327" t="s">
        <v>155</v>
      </c>
      <c r="H5078" s="361" t="s">
        <v>536</v>
      </c>
      <c r="I5078" s="327">
        <v>4</v>
      </c>
      <c r="J5078" s="361"/>
      <c r="K5078" s="327" t="s">
        <v>100</v>
      </c>
      <c r="L5078" s="389">
        <v>7200</v>
      </c>
      <c r="M5078" s="355"/>
      <c r="N5078" s="355" t="s">
        <v>2408</v>
      </c>
      <c r="O5078" s="345" t="s">
        <v>2777</v>
      </c>
      <c r="P5078" s="325"/>
      <c r="Q5078" s="327"/>
      <c r="R5078" s="351">
        <v>0</v>
      </c>
      <c r="S5078" s="351">
        <v>5.8</v>
      </c>
      <c r="T5078" s="351">
        <v>3.1339999999999999</v>
      </c>
      <c r="U5078" s="329" t="str">
        <f>IF($N5078=$N$4,IFERROR(INDEX(DanhMuc!$E$154:$E$165,MATCH(MID($B5078,4,2),DanhMuc!$B$154:$B$165,0)),""),"")</f>
        <v/>
      </c>
      <c r="V5078" s="361"/>
      <c r="W5078" s="345"/>
      <c r="X5078" s="786"/>
      <c r="Y5078" s="1128" t="s">
        <v>3380</v>
      </c>
      <c r="Z5078" s="1128" t="s">
        <v>3381</v>
      </c>
      <c r="AA5078" s="1128" t="s">
        <v>3384</v>
      </c>
      <c r="AB5078" s="20"/>
      <c r="AC5078" s="73"/>
    </row>
    <row r="5079" spans="1:29">
      <c r="A5079" s="327" t="str">
        <f>IF(AND($B5079&lt;&gt;"",$C5079&lt;&gt;""),MAX($A$4730:$A5076)+1,"")</f>
        <v/>
      </c>
      <c r="B5079" s="361" t="s">
        <v>221</v>
      </c>
      <c r="C5079" s="362"/>
      <c r="D5079" s="327">
        <f>IF($B5079="","",COUNTIF($B$4731:$B5079,$B5079))</f>
        <v>4</v>
      </c>
      <c r="E5079" s="402" t="s">
        <v>2303</v>
      </c>
      <c r="F5079" s="403" t="s">
        <v>2782</v>
      </c>
      <c r="G5079" s="327" t="s">
        <v>155</v>
      </c>
      <c r="H5079" s="361" t="s">
        <v>536</v>
      </c>
      <c r="I5079" s="327">
        <v>16</v>
      </c>
      <c r="J5079" s="361"/>
      <c r="K5079" s="327" t="s">
        <v>101</v>
      </c>
      <c r="L5079" s="389">
        <v>9100</v>
      </c>
      <c r="M5079" s="355"/>
      <c r="N5079" s="355" t="s">
        <v>2408</v>
      </c>
      <c r="O5079" s="345" t="s">
        <v>2778</v>
      </c>
      <c r="P5079" s="325"/>
      <c r="Q5079" s="327"/>
      <c r="R5079" s="351"/>
      <c r="S5079" s="351"/>
      <c r="T5079" s="351"/>
      <c r="U5079" s="329" t="str">
        <f>IF($N5079=$N$4,IFERROR(INDEX(DanhMuc!$E$154:$E$165,MATCH(MID($B5079,4,2),DanhMuc!$B$154:$B$165,0)),""),"")</f>
        <v/>
      </c>
      <c r="V5079" s="361"/>
      <c r="W5079" s="345"/>
      <c r="X5079" s="786"/>
      <c r="Y5079" s="1128" t="s">
        <v>3380</v>
      </c>
      <c r="Z5079" s="1128" t="s">
        <v>3381</v>
      </c>
      <c r="AA5079" s="1128" t="s">
        <v>3384</v>
      </c>
      <c r="AB5079" s="20"/>
      <c r="AC5079" s="73"/>
    </row>
    <row r="5080" spans="1:29">
      <c r="A5080" s="327" t="str">
        <f>IF(AND($B5080&lt;&gt;"",$C5080&lt;&gt;""),MAX($A$4730:$A5079)+1,"")</f>
        <v/>
      </c>
      <c r="B5080" s="361" t="s">
        <v>221</v>
      </c>
      <c r="C5080" s="360"/>
      <c r="D5080" s="327">
        <f>IF($B5080="","",COUNTIF($B$4731:$B5080,$B5080))</f>
        <v>5</v>
      </c>
      <c r="E5080" s="402" t="s">
        <v>2788</v>
      </c>
      <c r="F5080" s="403" t="s">
        <v>2789</v>
      </c>
      <c r="G5080" s="327" t="s">
        <v>155</v>
      </c>
      <c r="H5080" s="361" t="s">
        <v>536</v>
      </c>
      <c r="I5080" s="327">
        <f>4*I5079</f>
        <v>64</v>
      </c>
      <c r="J5080" s="361"/>
      <c r="K5080" s="327" t="s">
        <v>100</v>
      </c>
      <c r="L5080" s="389">
        <v>600</v>
      </c>
      <c r="M5080" s="355"/>
      <c r="N5080" s="355" t="s">
        <v>2408</v>
      </c>
      <c r="O5080" s="345" t="s">
        <v>2778</v>
      </c>
      <c r="P5080" s="325"/>
      <c r="Q5080" s="327"/>
      <c r="R5080" s="351"/>
      <c r="S5080" s="351"/>
      <c r="T5080" s="351"/>
      <c r="U5080" s="329" t="str">
        <f>IF($N5080=$N$4,IFERROR(INDEX(DanhMuc!$E$154:$E$165,MATCH(MID($B5080,4,2),DanhMuc!$B$154:$B$165,0)),""),"")</f>
        <v/>
      </c>
      <c r="V5080" s="361"/>
      <c r="W5080" s="345"/>
      <c r="X5080" s="786"/>
      <c r="Y5080" s="1128" t="s">
        <v>3380</v>
      </c>
      <c r="Z5080" s="1128" t="s">
        <v>3381</v>
      </c>
      <c r="AA5080" s="1128" t="s">
        <v>3384</v>
      </c>
      <c r="AB5080" s="20"/>
      <c r="AC5080" s="73"/>
    </row>
    <row r="5081" spans="1:29">
      <c r="A5081" s="327" t="str">
        <f>IF(AND($B5081&lt;&gt;"",$C5081&lt;&gt;""),MAX($A$4730:$A5078)+1,"")</f>
        <v/>
      </c>
      <c r="B5081" s="361" t="s">
        <v>221</v>
      </c>
      <c r="C5081" s="362"/>
      <c r="D5081" s="327">
        <f>IF($B5081="","",COUNTIF($B$4731:$B5081,$B5081))</f>
        <v>6</v>
      </c>
      <c r="E5081" s="361" t="s">
        <v>699</v>
      </c>
      <c r="F5081" s="362" t="s">
        <v>2783</v>
      </c>
      <c r="G5081" s="327" t="s">
        <v>155</v>
      </c>
      <c r="H5081" s="361" t="s">
        <v>536</v>
      </c>
      <c r="I5081" s="327">
        <v>16</v>
      </c>
      <c r="J5081" s="361"/>
      <c r="K5081" s="327" t="s">
        <v>101</v>
      </c>
      <c r="L5081" s="389">
        <v>11000</v>
      </c>
      <c r="M5081" s="355"/>
      <c r="N5081" s="355" t="s">
        <v>2408</v>
      </c>
      <c r="O5081" s="345" t="s">
        <v>2779</v>
      </c>
      <c r="P5081" s="325"/>
      <c r="Q5081" s="327"/>
      <c r="R5081" s="351">
        <v>0</v>
      </c>
      <c r="S5081" s="351">
        <v>5.8</v>
      </c>
      <c r="T5081" s="351">
        <v>2.4359999999999999</v>
      </c>
      <c r="U5081" s="329" t="str">
        <f>IF($N5081=$N$4,IFERROR(INDEX(DanhMuc!$E$154:$E$165,MATCH(MID($B5081,4,2),DanhMuc!$B$154:$B$165,0)),""),"")</f>
        <v/>
      </c>
      <c r="V5081" s="361"/>
      <c r="W5081" s="345"/>
      <c r="X5081" s="786"/>
      <c r="Y5081" s="1128" t="s">
        <v>3380</v>
      </c>
      <c r="Z5081" s="1128" t="s">
        <v>3381</v>
      </c>
      <c r="AA5081" s="1128" t="s">
        <v>3384</v>
      </c>
      <c r="AB5081" s="20"/>
      <c r="AC5081" s="73"/>
    </row>
    <row r="5082" spans="1:29">
      <c r="A5082" s="327" t="str">
        <f>IF(AND($B5082&lt;&gt;"",$C5082&lt;&gt;""),MAX($A$4730:$A5079)+1,"")</f>
        <v/>
      </c>
      <c r="B5082" s="361" t="s">
        <v>221</v>
      </c>
      <c r="C5082" s="362"/>
      <c r="D5082" s="327">
        <f>IF($B5082="","",COUNTIF($B$4731:$B5082,$B5082))</f>
        <v>7</v>
      </c>
      <c r="E5082" s="361" t="s">
        <v>414</v>
      </c>
      <c r="F5082" s="362" t="s">
        <v>413</v>
      </c>
      <c r="G5082" s="327" t="s">
        <v>155</v>
      </c>
      <c r="H5082" s="361" t="s">
        <v>536</v>
      </c>
      <c r="I5082" s="327">
        <f>+I5076+I5079*2</f>
        <v>36</v>
      </c>
      <c r="J5082" s="361"/>
      <c r="K5082" s="327" t="s">
        <v>415</v>
      </c>
      <c r="L5082" s="389">
        <v>408</v>
      </c>
      <c r="M5082" s="355"/>
      <c r="N5082" s="355" t="s">
        <v>2408</v>
      </c>
      <c r="O5082" s="345"/>
      <c r="P5082" s="325"/>
      <c r="Q5082" s="327"/>
      <c r="R5082" s="351"/>
      <c r="S5082" s="351"/>
      <c r="T5082" s="351"/>
      <c r="U5082" s="329" t="str">
        <f>IF($N5082=$N$4,IFERROR(INDEX(DanhMuc!$E$154:$E$165,MATCH(MID($B5082,4,2),DanhMuc!$B$154:$B$165,0)),""),"")</f>
        <v/>
      </c>
      <c r="V5082" s="361"/>
      <c r="W5082" s="345"/>
      <c r="X5082" s="786"/>
      <c r="Y5082" s="1128" t="s">
        <v>3380</v>
      </c>
      <c r="Z5082" s="1128" t="s">
        <v>3381</v>
      </c>
      <c r="AA5082" s="1128" t="s">
        <v>3384</v>
      </c>
      <c r="AB5082" s="20"/>
      <c r="AC5082" s="73"/>
    </row>
    <row r="5083" spans="1:29">
      <c r="A5083" s="327" t="str">
        <f>IF(AND($B5083&lt;&gt;"",$C5083&lt;&gt;""),MAX($A$4730:$A5082)+1,"")</f>
        <v/>
      </c>
      <c r="B5083" s="361" t="s">
        <v>221</v>
      </c>
      <c r="C5083" s="362"/>
      <c r="D5083" s="327">
        <f>IF($B5083="","",COUNTIF($B$4731:$B5083,$B5083))</f>
        <v>8</v>
      </c>
      <c r="E5083" s="361" t="s">
        <v>654</v>
      </c>
      <c r="F5083" s="362" t="s">
        <v>653</v>
      </c>
      <c r="G5083" s="327" t="s">
        <v>1836</v>
      </c>
      <c r="H5083" s="361" t="s">
        <v>536</v>
      </c>
      <c r="I5083" s="327">
        <f>I5078/45</f>
        <v>8.8888888888888892E-2</v>
      </c>
      <c r="J5083" s="477"/>
      <c r="K5083" s="327" t="s">
        <v>655</v>
      </c>
      <c r="L5083" s="478">
        <v>115000</v>
      </c>
      <c r="M5083" s="355"/>
      <c r="N5083" s="355" t="s">
        <v>2408</v>
      </c>
      <c r="O5083" s="345" t="s">
        <v>2777</v>
      </c>
      <c r="P5083" s="325"/>
      <c r="Q5083" s="327"/>
      <c r="R5083" s="351"/>
      <c r="S5083" s="351"/>
      <c r="T5083" s="351"/>
      <c r="U5083" s="329" t="str">
        <f>IF($N5083=$N$4,IFERROR(INDEX(DanhMuc!$E$154:$E$165,MATCH(MID($B5083,4,2),DanhMuc!$B$154:$B$165,0)),""),"")</f>
        <v/>
      </c>
      <c r="V5083" s="361"/>
      <c r="W5083" s="345"/>
      <c r="X5083" s="786"/>
      <c r="Y5083" s="1128" t="s">
        <v>3380</v>
      </c>
      <c r="Z5083" s="1128" t="s">
        <v>3381</v>
      </c>
      <c r="AA5083" s="1128" t="s">
        <v>3384</v>
      </c>
      <c r="AB5083" s="20"/>
      <c r="AC5083" s="73"/>
    </row>
    <row r="5084" spans="1:29">
      <c r="A5084" s="327" t="str">
        <f>IF(AND($B5084&lt;&gt;"",$C5084&lt;&gt;""),MAX($A$4730:$A5083)+1,"")</f>
        <v/>
      </c>
      <c r="B5084" s="361" t="s">
        <v>221</v>
      </c>
      <c r="C5084" s="362"/>
      <c r="D5084" s="327">
        <f>IF($B5084="","",COUNTIF($B$4731:$B5084,$B5084))</f>
        <v>9</v>
      </c>
      <c r="E5084" s="361" t="s">
        <v>654</v>
      </c>
      <c r="F5084" s="362" t="s">
        <v>653</v>
      </c>
      <c r="G5084" s="327" t="s">
        <v>1836</v>
      </c>
      <c r="H5084" s="361" t="s">
        <v>536</v>
      </c>
      <c r="I5084" s="327">
        <f>I5081/45</f>
        <v>0.35555555555555557</v>
      </c>
      <c r="J5084" s="477"/>
      <c r="K5084" s="327" t="s">
        <v>655</v>
      </c>
      <c r="L5084" s="478">
        <v>115000</v>
      </c>
      <c r="M5084" s="355"/>
      <c r="N5084" s="355" t="s">
        <v>2408</v>
      </c>
      <c r="O5084" s="345" t="s">
        <v>2779</v>
      </c>
      <c r="P5084" s="325"/>
      <c r="Q5084" s="327"/>
      <c r="R5084" s="351"/>
      <c r="S5084" s="351"/>
      <c r="T5084" s="351"/>
      <c r="U5084" s="329" t="str">
        <f>IF($N5084=$N$4,IFERROR(INDEX(DanhMuc!$E$154:$E$165,MATCH(MID($B5084,4,2),DanhMuc!$B$154:$B$165,0)),""),"")</f>
        <v/>
      </c>
      <c r="V5084" s="361"/>
      <c r="W5084" s="345"/>
      <c r="X5084" s="786"/>
      <c r="Y5084" s="1128" t="s">
        <v>3380</v>
      </c>
      <c r="Z5084" s="1128" t="s">
        <v>3381</v>
      </c>
      <c r="AA5084" s="1128" t="s">
        <v>3384</v>
      </c>
      <c r="AB5084" s="20"/>
      <c r="AC5084" s="73"/>
    </row>
    <row r="5085" spans="1:29">
      <c r="A5085" s="327" t="str">
        <f>IF(AND($B5085&lt;&gt;"",$C5085&lt;&gt;""),MAX($A$4730:$A5083)+1,"")</f>
        <v/>
      </c>
      <c r="B5085" s="361" t="s">
        <v>221</v>
      </c>
      <c r="C5085" s="362"/>
      <c r="D5085" s="327">
        <f>IF($B5085="","",COUNTIF($B$4731:$B5085,$B5085))</f>
        <v>10</v>
      </c>
      <c r="E5085" s="361" t="s">
        <v>1826</v>
      </c>
      <c r="F5085" s="362" t="s">
        <v>670</v>
      </c>
      <c r="G5085" s="327" t="s">
        <v>661</v>
      </c>
      <c r="H5085" s="361" t="s">
        <v>536</v>
      </c>
      <c r="I5085" s="361" t="s">
        <v>2354</v>
      </c>
      <c r="J5085" s="361"/>
      <c r="K5085" s="327" t="s">
        <v>103</v>
      </c>
      <c r="L5085" s="478">
        <f>40000/1000</f>
        <v>40</v>
      </c>
      <c r="M5085" s="355"/>
      <c r="N5085" s="355" t="s">
        <v>2408</v>
      </c>
      <c r="O5085" s="345"/>
      <c r="P5085" s="325"/>
      <c r="Q5085" s="327"/>
      <c r="R5085" s="351"/>
      <c r="S5085" s="351"/>
      <c r="T5085" s="351"/>
      <c r="U5085" s="329" t="str">
        <f>IF($N5085=$N$4,IFERROR(INDEX(DanhMuc!$E$154:$E$165,MATCH(MID($B5085,4,2),DanhMuc!$B$154:$B$165,0)),""),"")</f>
        <v/>
      </c>
      <c r="V5085" s="361"/>
      <c r="W5085" s="345"/>
      <c r="X5085" s="786"/>
      <c r="Y5085" s="1128" t="s">
        <v>3380</v>
      </c>
      <c r="Z5085" s="1128" t="s">
        <v>3381</v>
      </c>
      <c r="AA5085" s="1128" t="s">
        <v>3384</v>
      </c>
      <c r="AB5085" s="20"/>
      <c r="AC5085" s="73"/>
    </row>
    <row r="5086" spans="1:29" ht="37.5">
      <c r="A5086" s="327" t="str">
        <f>IF(AND($B5086&lt;&gt;"",$C5086&lt;&gt;""),MAX($A$4730:$A5085)+1,"")</f>
        <v/>
      </c>
      <c r="B5086" s="361" t="s">
        <v>221</v>
      </c>
      <c r="C5086" s="362"/>
      <c r="D5086" s="327">
        <f>IF($B5086="","",COUNTIF($B$4731:$B5086,$B5086))</f>
        <v>11</v>
      </c>
      <c r="E5086" s="362" t="s">
        <v>1964</v>
      </c>
      <c r="F5086" s="362" t="s">
        <v>1965</v>
      </c>
      <c r="G5086" s="327" t="s">
        <v>405</v>
      </c>
      <c r="H5086" s="361" t="s">
        <v>536</v>
      </c>
      <c r="I5086" s="361" t="s">
        <v>693</v>
      </c>
      <c r="J5086" s="361"/>
      <c r="K5086" s="327" t="s">
        <v>223</v>
      </c>
      <c r="L5086" s="478">
        <v>140</v>
      </c>
      <c r="M5086" s="371"/>
      <c r="N5086" s="355" t="s">
        <v>2408</v>
      </c>
      <c r="O5086" s="345"/>
      <c r="P5086" s="325"/>
      <c r="Q5086" s="327"/>
      <c r="R5086" s="351"/>
      <c r="S5086" s="351"/>
      <c r="T5086" s="351"/>
      <c r="U5086" s="329" t="str">
        <f>IF($N5086=$N$4,IFERROR(INDEX(DanhMuc!$E$154:$E$165,MATCH(MID($B5086,4,2),DanhMuc!$B$154:$B$165,0)),""),"")</f>
        <v/>
      </c>
      <c r="V5086" s="361"/>
      <c r="W5086" s="345"/>
      <c r="X5086" s="786"/>
      <c r="Y5086" s="1128" t="s">
        <v>3380</v>
      </c>
      <c r="Z5086" s="1128" t="s">
        <v>3381</v>
      </c>
      <c r="AA5086" s="1128" t="s">
        <v>3384</v>
      </c>
      <c r="AB5086" s="20"/>
      <c r="AC5086" s="73"/>
    </row>
    <row r="5087" spans="1:29" ht="37.5">
      <c r="A5087" s="327" t="str">
        <f>IF(AND($B5087&lt;&gt;"",$C5087&lt;&gt;""),MAX($A$4730:$A5086)+1,"")</f>
        <v/>
      </c>
      <c r="B5087" s="361" t="s">
        <v>221</v>
      </c>
      <c r="C5087" s="362"/>
      <c r="D5087" s="327">
        <f>IF($B5087="","",COUNTIF($B$4731:$B5087,$B5087))</f>
        <v>12</v>
      </c>
      <c r="E5087" s="362" t="s">
        <v>2756</v>
      </c>
      <c r="F5087" s="362" t="s">
        <v>2757</v>
      </c>
      <c r="G5087" s="327" t="s">
        <v>405</v>
      </c>
      <c r="H5087" s="361" t="s">
        <v>536</v>
      </c>
      <c r="I5087" s="361" t="s">
        <v>694</v>
      </c>
      <c r="J5087" s="361"/>
      <c r="K5087" s="327" t="s">
        <v>223</v>
      </c>
      <c r="L5087" s="479">
        <v>322</v>
      </c>
      <c r="M5087" s="371"/>
      <c r="N5087" s="355" t="s">
        <v>2408</v>
      </c>
      <c r="O5087" s="345"/>
      <c r="P5087" s="325"/>
      <c r="Q5087" s="327"/>
      <c r="R5087" s="351"/>
      <c r="S5087" s="351"/>
      <c r="T5087" s="351"/>
      <c r="U5087" s="329" t="str">
        <f>IF($N5087=$N$4,IFERROR(INDEX(DanhMuc!$E$154:$E$165,MATCH(MID($B5087,4,2),DanhMuc!$B$154:$B$165,0)),""),"")</f>
        <v/>
      </c>
      <c r="V5087" s="361"/>
      <c r="W5087" s="345"/>
      <c r="X5087" s="786"/>
      <c r="Y5087" s="1128" t="s">
        <v>3380</v>
      </c>
      <c r="Z5087" s="1128" t="s">
        <v>3381</v>
      </c>
      <c r="AA5087" s="1128" t="s">
        <v>3384</v>
      </c>
      <c r="AB5087" s="20"/>
      <c r="AC5087" s="73"/>
    </row>
    <row r="5088" spans="1:29">
      <c r="A5088" s="327" t="str">
        <f>IF(AND($B5088&lt;&gt;"",$C5088&lt;&gt;""),MAX($A$4730:$A5087)+1,"")</f>
        <v/>
      </c>
      <c r="B5088" s="361" t="s">
        <v>221</v>
      </c>
      <c r="C5088" s="362"/>
      <c r="D5088" s="327">
        <f>IF($B5088="","",COUNTIF($B$4731:$B5088,$B5088))</f>
        <v>13</v>
      </c>
      <c r="E5088" s="361" t="s">
        <v>656</v>
      </c>
      <c r="F5088" s="362" t="s">
        <v>2239</v>
      </c>
      <c r="G5088" s="327" t="s">
        <v>405</v>
      </c>
      <c r="H5088" s="361" t="s">
        <v>536</v>
      </c>
      <c r="I5088" s="361" t="s">
        <v>1827</v>
      </c>
      <c r="J5088" s="361"/>
      <c r="K5088" s="327" t="s">
        <v>100</v>
      </c>
      <c r="L5088" s="478">
        <v>970</v>
      </c>
      <c r="M5088" s="371"/>
      <c r="N5088" s="355" t="s">
        <v>2409</v>
      </c>
      <c r="O5088" s="345"/>
      <c r="P5088" s="325"/>
      <c r="Q5088" s="327"/>
      <c r="R5088" s="351"/>
      <c r="S5088" s="351"/>
      <c r="T5088" s="351"/>
      <c r="U5088" s="329" t="str">
        <f>IF($N5088=$N$4,IFERROR(INDEX(DanhMuc!$E$154:$E$165,MATCH(MID($B5088,4,2),DanhMuc!$B$154:$B$165,0)),""),"")</f>
        <v/>
      </c>
      <c r="V5088" s="361"/>
      <c r="W5088" s="345"/>
      <c r="X5088" s="786"/>
      <c r="Y5088" s="1128" t="s">
        <v>3380</v>
      </c>
      <c r="Z5088" s="1128" t="s">
        <v>3381</v>
      </c>
      <c r="AA5088" s="1128" t="s">
        <v>3384</v>
      </c>
      <c r="AB5088" s="20"/>
      <c r="AC5088" s="73"/>
    </row>
    <row r="5089" spans="1:29">
      <c r="A5089" s="327" t="str">
        <f>IF(AND($B5089&lt;&gt;"",$C5089&lt;&gt;""),MAX($A$4730:$A5088)+1,"")</f>
        <v/>
      </c>
      <c r="B5089" s="361" t="s">
        <v>221</v>
      </c>
      <c r="C5089" s="362"/>
      <c r="D5089" s="327">
        <f>IF($B5089="","",COUNTIF($B$4731:$B5089,$B5089))</f>
        <v>14</v>
      </c>
      <c r="E5089" s="361" t="s">
        <v>657</v>
      </c>
      <c r="F5089" s="362" t="s">
        <v>658</v>
      </c>
      <c r="G5089" s="327" t="s">
        <v>424</v>
      </c>
      <c r="H5089" s="361" t="s">
        <v>536</v>
      </c>
      <c r="I5089" s="361" t="s">
        <v>665</v>
      </c>
      <c r="J5089" s="361"/>
      <c r="K5089" s="327" t="s">
        <v>100</v>
      </c>
      <c r="L5089" s="478">
        <v>60000</v>
      </c>
      <c r="M5089" s="355"/>
      <c r="N5089" s="355" t="s">
        <v>2409</v>
      </c>
      <c r="O5089" s="345"/>
      <c r="P5089" s="325"/>
      <c r="Q5089" s="327"/>
      <c r="R5089" s="351"/>
      <c r="S5089" s="351"/>
      <c r="T5089" s="351"/>
      <c r="U5089" s="329" t="str">
        <f>IF($N5089=$N$4,IFERROR(INDEX(DanhMuc!$E$154:$E$165,MATCH(MID($B5089,4,2),DanhMuc!$B$154:$B$165,0)),""),"")</f>
        <v/>
      </c>
      <c r="V5089" s="361"/>
      <c r="W5089" s="345"/>
      <c r="X5089" s="786"/>
      <c r="Y5089" s="1128" t="s">
        <v>3380</v>
      </c>
      <c r="Z5089" s="1128" t="s">
        <v>3381</v>
      </c>
      <c r="AA5089" s="1128" t="s">
        <v>3384</v>
      </c>
      <c r="AB5089" s="20"/>
      <c r="AC5089" s="73"/>
    </row>
    <row r="5090" spans="1:29">
      <c r="A5090" s="327" t="str">
        <f>IF(AND($B5090&lt;&gt;"",$C5090&lt;&gt;""),MAX($A$4730:$A5089)+1,"")</f>
        <v/>
      </c>
      <c r="B5090" s="361" t="s">
        <v>221</v>
      </c>
      <c r="C5090" s="362"/>
      <c r="D5090" s="327">
        <f>IF($B5090="","",COUNTIF($B$4731:$B5090,$B5090))</f>
        <v>15</v>
      </c>
      <c r="E5090" s="361" t="s">
        <v>2771</v>
      </c>
      <c r="F5090" s="362" t="s">
        <v>659</v>
      </c>
      <c r="G5090" s="327" t="s">
        <v>424</v>
      </c>
      <c r="H5090" s="361" t="s">
        <v>536</v>
      </c>
      <c r="I5090" s="361" t="s">
        <v>666</v>
      </c>
      <c r="J5090" s="361"/>
      <c r="K5090" s="327" t="s">
        <v>100</v>
      </c>
      <c r="L5090" s="389">
        <v>53000</v>
      </c>
      <c r="M5090" s="355"/>
      <c r="N5090" s="355" t="s">
        <v>2409</v>
      </c>
      <c r="O5090" s="345"/>
      <c r="P5090" s="325"/>
      <c r="Q5090" s="327"/>
      <c r="R5090" s="351"/>
      <c r="S5090" s="351"/>
      <c r="T5090" s="351"/>
      <c r="U5090" s="329" t="str">
        <f>IF($N5090=$N$4,IFERROR(INDEX(DanhMuc!$E$154:$E$165,MATCH(MID($B5090,4,2),DanhMuc!$B$154:$B$165,0)),""),"")</f>
        <v/>
      </c>
      <c r="V5090" s="361"/>
      <c r="W5090" s="345"/>
      <c r="X5090" s="786"/>
      <c r="Y5090" s="1128" t="s">
        <v>3380</v>
      </c>
      <c r="Z5090" s="1128" t="s">
        <v>3381</v>
      </c>
      <c r="AA5090" s="1128" t="s">
        <v>3384</v>
      </c>
      <c r="AB5090" s="20"/>
      <c r="AC5090" s="73"/>
    </row>
    <row r="5091" spans="1:29">
      <c r="A5091" s="327" t="str">
        <f>IF(AND($B5091&lt;&gt;"",$C5091&lt;&gt;""),MAX($A$4730:$A5090)+1,"")</f>
        <v/>
      </c>
      <c r="B5091" s="361" t="s">
        <v>221</v>
      </c>
      <c r="C5091" s="362"/>
      <c r="D5091" s="327">
        <f>IF($B5091="","",COUNTIF($B$4731:$B5091,$B5091))</f>
        <v>16</v>
      </c>
      <c r="E5091" s="361" t="s">
        <v>1828</v>
      </c>
      <c r="F5091" s="362" t="s">
        <v>671</v>
      </c>
      <c r="G5091" s="327" t="s">
        <v>661</v>
      </c>
      <c r="H5091" s="361" t="s">
        <v>536</v>
      </c>
      <c r="I5091" s="361" t="s">
        <v>2355</v>
      </c>
      <c r="J5091" s="361"/>
      <c r="K5091" s="327" t="s">
        <v>100</v>
      </c>
      <c r="L5091" s="478">
        <f>40000/1000</f>
        <v>40</v>
      </c>
      <c r="M5091" s="355"/>
      <c r="N5091" s="355" t="s">
        <v>2409</v>
      </c>
      <c r="O5091" s="345"/>
      <c r="P5091" s="325"/>
      <c r="Q5091" s="327"/>
      <c r="R5091" s="351"/>
      <c r="S5091" s="351"/>
      <c r="T5091" s="351"/>
      <c r="U5091" s="329" t="str">
        <f>IF($N5091=$N$4,IFERROR(INDEX(DanhMuc!$E$154:$E$165,MATCH(MID($B5091,4,2),DanhMuc!$B$154:$B$165,0)),""),"")</f>
        <v/>
      </c>
      <c r="V5091" s="361"/>
      <c r="W5091" s="345"/>
      <c r="X5091" s="786"/>
      <c r="Y5091" s="1128" t="s">
        <v>3380</v>
      </c>
      <c r="Z5091" s="1128" t="s">
        <v>3381</v>
      </c>
      <c r="AA5091" s="1128" t="s">
        <v>3384</v>
      </c>
      <c r="AB5091" s="20"/>
      <c r="AC5091" s="73"/>
    </row>
    <row r="5092" spans="1:29">
      <c r="A5092" s="327" t="str">
        <f>IF(AND($B5092&lt;&gt;"",$C5092&lt;&gt;""),MAX($A$4730:$A5091)+1,"")</f>
        <v/>
      </c>
      <c r="B5092" s="361" t="s">
        <v>221</v>
      </c>
      <c r="C5092" s="362"/>
      <c r="D5092" s="327">
        <f>IF($B5092="","",COUNTIF($B$4731:$B5092,$B5092))</f>
        <v>17</v>
      </c>
      <c r="E5092" s="361" t="s">
        <v>154</v>
      </c>
      <c r="F5092" s="362" t="s">
        <v>660</v>
      </c>
      <c r="G5092" s="327" t="s">
        <v>661</v>
      </c>
      <c r="H5092" s="361" t="s">
        <v>536</v>
      </c>
      <c r="I5092" s="361" t="s">
        <v>667</v>
      </c>
      <c r="J5092" s="361"/>
      <c r="K5092" s="327" t="s">
        <v>662</v>
      </c>
      <c r="L5092" s="478">
        <v>20</v>
      </c>
      <c r="M5092" s="355"/>
      <c r="N5092" s="355" t="s">
        <v>2409</v>
      </c>
      <c r="O5092" s="345"/>
      <c r="P5092" s="325"/>
      <c r="Q5092" s="327"/>
      <c r="R5092" s="351"/>
      <c r="S5092" s="351"/>
      <c r="T5092" s="351"/>
      <c r="U5092" s="329" t="str">
        <f>IF($N5092=$N$4,IFERROR(INDEX(DanhMuc!$E$154:$E$165,MATCH(MID($B5092,4,2),DanhMuc!$B$154:$B$165,0)),""),"")</f>
        <v/>
      </c>
      <c r="V5092" s="361"/>
      <c r="W5092" s="345"/>
      <c r="X5092" s="786"/>
      <c r="Y5092" s="1128" t="s">
        <v>3380</v>
      </c>
      <c r="Z5092" s="1128" t="s">
        <v>3381</v>
      </c>
      <c r="AA5092" s="1128" t="s">
        <v>3384</v>
      </c>
      <c r="AB5092" s="20"/>
      <c r="AC5092" s="73"/>
    </row>
    <row r="5093" spans="1:29">
      <c r="A5093" s="327" t="str">
        <f>IF(AND($B5093&lt;&gt;"",$C5093&lt;&gt;""),MAX($A$4730:$A5092)+1,"")</f>
        <v/>
      </c>
      <c r="B5093" s="361" t="s">
        <v>221</v>
      </c>
      <c r="C5093" s="362"/>
      <c r="D5093" s="327">
        <f>IF($B5093="","",COUNTIF($B$4731:$B5093,$B5093))</f>
        <v>18</v>
      </c>
      <c r="E5093" s="362" t="s">
        <v>2282</v>
      </c>
      <c r="F5093" s="362" t="s">
        <v>2283</v>
      </c>
      <c r="G5093" s="327" t="s">
        <v>424</v>
      </c>
      <c r="H5093" s="361" t="s">
        <v>536</v>
      </c>
      <c r="I5093" s="361" t="s">
        <v>2238</v>
      </c>
      <c r="J5093" s="361"/>
      <c r="K5093" s="327" t="s">
        <v>662</v>
      </c>
      <c r="L5093" s="478">
        <v>28000</v>
      </c>
      <c r="M5093" s="355"/>
      <c r="N5093" s="355" t="s">
        <v>2409</v>
      </c>
      <c r="O5093" s="345"/>
      <c r="P5093" s="325"/>
      <c r="Q5093" s="327"/>
      <c r="R5093" s="351"/>
      <c r="S5093" s="351"/>
      <c r="T5093" s="351"/>
      <c r="U5093" s="329" t="str">
        <f>IF($N5093=$N$4,IFERROR(INDEX(DanhMuc!$E$154:$E$165,MATCH(MID($B5093,4,2),DanhMuc!$B$154:$B$165,0)),""),"")</f>
        <v/>
      </c>
      <c r="V5093" s="361"/>
      <c r="W5093" s="345"/>
      <c r="X5093" s="786"/>
      <c r="Y5093" s="1128" t="s">
        <v>3380</v>
      </c>
      <c r="Z5093" s="1128" t="s">
        <v>3381</v>
      </c>
      <c r="AA5093" s="1128" t="s">
        <v>3384</v>
      </c>
      <c r="AB5093" s="20"/>
      <c r="AC5093" s="73"/>
    </row>
    <row r="5094" spans="1:29">
      <c r="A5094" s="327" t="str">
        <f>IF(AND($B5094&lt;&gt;"",$C5094&lt;&gt;""),MAX($A$4730:$A5093)+1,"")</f>
        <v/>
      </c>
      <c r="B5094" s="361" t="s">
        <v>221</v>
      </c>
      <c r="C5094" s="362"/>
      <c r="D5094" s="327">
        <f>IF($B5094="","",COUNTIF($B$4731:$B5094,$B5094))</f>
        <v>19</v>
      </c>
      <c r="E5094" s="362" t="s">
        <v>663</v>
      </c>
      <c r="F5094" s="362" t="s">
        <v>664</v>
      </c>
      <c r="G5094" s="327" t="s">
        <v>155</v>
      </c>
      <c r="H5094" s="361" t="s">
        <v>536</v>
      </c>
      <c r="I5094" s="361" t="s">
        <v>672</v>
      </c>
      <c r="J5094" s="361"/>
      <c r="K5094" s="327" t="s">
        <v>662</v>
      </c>
      <c r="L5094" s="478">
        <v>1000</v>
      </c>
      <c r="M5094" s="355"/>
      <c r="N5094" s="355" t="s">
        <v>2409</v>
      </c>
      <c r="O5094" s="345"/>
      <c r="P5094" s="325"/>
      <c r="Q5094" s="327"/>
      <c r="R5094" s="351"/>
      <c r="S5094" s="351"/>
      <c r="T5094" s="351"/>
      <c r="U5094" s="329" t="str">
        <f>IF($N5094=$N$4,IFERROR(INDEX(DanhMuc!$E$154:$E$165,MATCH(MID($B5094,4,2),DanhMuc!$B$154:$B$165,0)),""),"")</f>
        <v/>
      </c>
      <c r="V5094" s="361"/>
      <c r="W5094" s="345"/>
      <c r="X5094" s="786"/>
      <c r="Y5094" s="1128" t="s">
        <v>3380</v>
      </c>
      <c r="Z5094" s="1128" t="s">
        <v>3381</v>
      </c>
      <c r="AA5094" s="1128" t="s">
        <v>3384</v>
      </c>
      <c r="AB5094" s="20"/>
      <c r="AC5094" s="73"/>
    </row>
    <row r="5095" spans="1:29" ht="26">
      <c r="A5095" s="327">
        <f>IF(AND($B5095&lt;&gt;"",$C5095&lt;&gt;""),MAX($A$4730:$A5094)+1,"")</f>
        <v>13</v>
      </c>
      <c r="B5095" s="359" t="s">
        <v>218</v>
      </c>
      <c r="C5095" s="360" t="s">
        <v>1546</v>
      </c>
      <c r="D5095" s="327">
        <f>IF($B5095="","",COUNTIF($B$4731:$B5095,$B5095))</f>
        <v>1</v>
      </c>
      <c r="E5095" s="402" t="s">
        <v>2302</v>
      </c>
      <c r="F5095" s="403" t="s">
        <v>2332</v>
      </c>
      <c r="G5095" s="327" t="s">
        <v>155</v>
      </c>
      <c r="H5095" s="361" t="s">
        <v>536</v>
      </c>
      <c r="I5095" s="327">
        <v>4</v>
      </c>
      <c r="J5095" s="361"/>
      <c r="K5095" s="327" t="s">
        <v>100</v>
      </c>
      <c r="L5095" s="389">
        <v>6600</v>
      </c>
      <c r="M5095" s="355"/>
      <c r="N5095" s="355" t="s">
        <v>2408</v>
      </c>
      <c r="O5095" s="345" t="s">
        <v>2776</v>
      </c>
      <c r="P5095" s="325"/>
      <c r="Q5095" s="327"/>
      <c r="R5095" s="351"/>
      <c r="S5095" s="351"/>
      <c r="T5095" s="351"/>
      <c r="U5095" s="329" t="str">
        <f>IF($N5095=$N$4,IFERROR(INDEX(DanhMuc!$E$154:$E$165,MATCH(MID($B5095,4,2),DanhMuc!$B$154:$B$165,0)),""),"")</f>
        <v/>
      </c>
      <c r="V5095" s="361"/>
      <c r="W5095" s="345"/>
      <c r="X5095" s="786"/>
      <c r="Y5095" s="1128" t="s">
        <v>3380</v>
      </c>
      <c r="Z5095" s="1128" t="s">
        <v>3381</v>
      </c>
      <c r="AA5095" s="1128" t="s">
        <v>3384</v>
      </c>
      <c r="AB5095" s="20"/>
      <c r="AC5095" s="73"/>
    </row>
    <row r="5096" spans="1:29">
      <c r="A5096" s="327" t="str">
        <f>IF(AND($B5096&lt;&gt;"",$C5096&lt;&gt;""),MAX($A$4730:$A5095)+1,"")</f>
        <v/>
      </c>
      <c r="B5096" s="361" t="s">
        <v>218</v>
      </c>
      <c r="C5096" s="360"/>
      <c r="D5096" s="327">
        <f>IF($B5096="","",COUNTIF($B$4731:$B5096,$B5096))</f>
        <v>2</v>
      </c>
      <c r="E5096" s="402" t="s">
        <v>2788</v>
      </c>
      <c r="F5096" s="403" t="s">
        <v>2789</v>
      </c>
      <c r="G5096" s="327" t="s">
        <v>155</v>
      </c>
      <c r="H5096" s="361" t="s">
        <v>536</v>
      </c>
      <c r="I5096" s="327">
        <f>4*I5095</f>
        <v>16</v>
      </c>
      <c r="J5096" s="361"/>
      <c r="K5096" s="327" t="s">
        <v>100</v>
      </c>
      <c r="L5096" s="389">
        <v>600</v>
      </c>
      <c r="M5096" s="355"/>
      <c r="N5096" s="355" t="s">
        <v>2408</v>
      </c>
      <c r="O5096" s="345" t="s">
        <v>2776</v>
      </c>
      <c r="P5096" s="325"/>
      <c r="Q5096" s="327"/>
      <c r="R5096" s="351"/>
      <c r="S5096" s="351"/>
      <c r="T5096" s="351"/>
      <c r="U5096" s="329" t="str">
        <f>IF($N5096=$N$4,IFERROR(INDEX(DanhMuc!$E$154:$E$165,MATCH(MID($B5096,4,2),DanhMuc!$B$154:$B$165,0)),""),"")</f>
        <v/>
      </c>
      <c r="V5096" s="361"/>
      <c r="W5096" s="345"/>
      <c r="X5096" s="786"/>
      <c r="Y5096" s="1128" t="s">
        <v>3380</v>
      </c>
      <c r="Z5096" s="1128" t="s">
        <v>3381</v>
      </c>
      <c r="AA5096" s="1128" t="s">
        <v>3384</v>
      </c>
      <c r="AB5096" s="20"/>
      <c r="AC5096" s="73"/>
    </row>
    <row r="5097" spans="1:29">
      <c r="A5097" s="327" t="str">
        <f>IF(AND($B5097&lt;&gt;"",$C5097&lt;&gt;""),MAX($A$4730:$A5095)+1,"")</f>
        <v/>
      </c>
      <c r="B5097" s="361" t="s">
        <v>218</v>
      </c>
      <c r="C5097" s="362"/>
      <c r="D5097" s="327">
        <f>IF($B5097="","",COUNTIF($B$4731:$B5097,$B5097))</f>
        <v>3</v>
      </c>
      <c r="E5097" s="361" t="s">
        <v>2781</v>
      </c>
      <c r="F5097" s="362" t="s">
        <v>2780</v>
      </c>
      <c r="G5097" s="327" t="s">
        <v>155</v>
      </c>
      <c r="H5097" s="361" t="s">
        <v>536</v>
      </c>
      <c r="I5097" s="327">
        <v>4</v>
      </c>
      <c r="J5097" s="361"/>
      <c r="K5097" s="327" t="s">
        <v>100</v>
      </c>
      <c r="L5097" s="389">
        <v>7200</v>
      </c>
      <c r="M5097" s="355"/>
      <c r="N5097" s="355" t="s">
        <v>2408</v>
      </c>
      <c r="O5097" s="345" t="s">
        <v>2777</v>
      </c>
      <c r="P5097" s="325"/>
      <c r="Q5097" s="327"/>
      <c r="R5097" s="351">
        <v>0</v>
      </c>
      <c r="S5097" s="351">
        <v>5.8</v>
      </c>
      <c r="T5097" s="351">
        <v>3.1339999999999999</v>
      </c>
      <c r="U5097" s="329" t="str">
        <f>IF($N5097=$N$4,IFERROR(INDEX(DanhMuc!$E$154:$E$165,MATCH(MID($B5097,4,2),DanhMuc!$B$154:$B$165,0)),""),"")</f>
        <v/>
      </c>
      <c r="V5097" s="361"/>
      <c r="W5097" s="345"/>
      <c r="X5097" s="786"/>
      <c r="Y5097" s="1128" t="s">
        <v>3380</v>
      </c>
      <c r="Z5097" s="1128" t="s">
        <v>3381</v>
      </c>
      <c r="AA5097" s="1128" t="s">
        <v>3384</v>
      </c>
      <c r="AB5097" s="20"/>
      <c r="AC5097" s="73"/>
    </row>
    <row r="5098" spans="1:29">
      <c r="A5098" s="327" t="str">
        <f>IF(AND($B5098&lt;&gt;"",$C5098&lt;&gt;""),MAX($A$4730:$A5095)+1,"")</f>
        <v/>
      </c>
      <c r="B5098" s="361" t="s">
        <v>218</v>
      </c>
      <c r="C5098" s="362"/>
      <c r="D5098" s="327">
        <f>IF($B5098="","",COUNTIF($B$4731:$B5098,$B5098))</f>
        <v>4</v>
      </c>
      <c r="E5098" s="402" t="s">
        <v>2303</v>
      </c>
      <c r="F5098" s="403" t="s">
        <v>2782</v>
      </c>
      <c r="G5098" s="327" t="s">
        <v>155</v>
      </c>
      <c r="H5098" s="361" t="s">
        <v>536</v>
      </c>
      <c r="I5098" s="327">
        <v>4</v>
      </c>
      <c r="J5098" s="361"/>
      <c r="K5098" s="327" t="s">
        <v>101</v>
      </c>
      <c r="L5098" s="389">
        <v>9100</v>
      </c>
      <c r="M5098" s="355"/>
      <c r="N5098" s="355" t="s">
        <v>2408</v>
      </c>
      <c r="O5098" s="345" t="s">
        <v>2778</v>
      </c>
      <c r="P5098" s="325"/>
      <c r="Q5098" s="327"/>
      <c r="R5098" s="351"/>
      <c r="S5098" s="351"/>
      <c r="T5098" s="351"/>
      <c r="U5098" s="329" t="str">
        <f>IF($N5098=$N$4,IFERROR(INDEX(DanhMuc!$E$154:$E$165,MATCH(MID($B5098,4,2),DanhMuc!$B$154:$B$165,0)),""),"")</f>
        <v/>
      </c>
      <c r="V5098" s="361"/>
      <c r="W5098" s="345"/>
      <c r="X5098" s="786"/>
      <c r="Y5098" s="1128" t="s">
        <v>3380</v>
      </c>
      <c r="Z5098" s="1128" t="s">
        <v>3381</v>
      </c>
      <c r="AA5098" s="1128" t="s">
        <v>3384</v>
      </c>
      <c r="AB5098" s="20"/>
      <c r="AC5098" s="73"/>
    </row>
    <row r="5099" spans="1:29">
      <c r="A5099" s="327" t="str">
        <f>IF(AND($B5099&lt;&gt;"",$C5099&lt;&gt;""),MAX($A$4730:$A5098)+1,"")</f>
        <v/>
      </c>
      <c r="B5099" s="361" t="s">
        <v>218</v>
      </c>
      <c r="C5099" s="360"/>
      <c r="D5099" s="327">
        <f>IF($B5099="","",COUNTIF($B$4731:$B5099,$B5099))</f>
        <v>5</v>
      </c>
      <c r="E5099" s="402" t="s">
        <v>2788</v>
      </c>
      <c r="F5099" s="403" t="s">
        <v>2789</v>
      </c>
      <c r="G5099" s="327" t="s">
        <v>155</v>
      </c>
      <c r="H5099" s="361" t="s">
        <v>536</v>
      </c>
      <c r="I5099" s="327">
        <f>4*I5098</f>
        <v>16</v>
      </c>
      <c r="J5099" s="361"/>
      <c r="K5099" s="327" t="s">
        <v>100</v>
      </c>
      <c r="L5099" s="389">
        <v>600</v>
      </c>
      <c r="M5099" s="355"/>
      <c r="N5099" s="355" t="s">
        <v>2408</v>
      </c>
      <c r="O5099" s="345" t="s">
        <v>2778</v>
      </c>
      <c r="P5099" s="325"/>
      <c r="Q5099" s="327"/>
      <c r="R5099" s="351"/>
      <c r="S5099" s="351"/>
      <c r="T5099" s="351"/>
      <c r="U5099" s="329" t="str">
        <f>IF($N5099=$N$4,IFERROR(INDEX(DanhMuc!$E$154:$E$165,MATCH(MID($B5099,4,2),DanhMuc!$B$154:$B$165,0)),""),"")</f>
        <v/>
      </c>
      <c r="V5099" s="361"/>
      <c r="W5099" s="345"/>
      <c r="X5099" s="786"/>
      <c r="Y5099" s="1128" t="s">
        <v>3380</v>
      </c>
      <c r="Z5099" s="1128" t="s">
        <v>3381</v>
      </c>
      <c r="AA5099" s="1128" t="s">
        <v>3384</v>
      </c>
      <c r="AB5099" s="20"/>
      <c r="AC5099" s="73"/>
    </row>
    <row r="5100" spans="1:29">
      <c r="A5100" s="327" t="str">
        <f>IF(AND($B5100&lt;&gt;"",$C5100&lt;&gt;""),MAX($A$4730:$A5097)+1,"")</f>
        <v/>
      </c>
      <c r="B5100" s="361" t="s">
        <v>218</v>
      </c>
      <c r="C5100" s="362"/>
      <c r="D5100" s="327">
        <f>IF($B5100="","",COUNTIF($B$4731:$B5100,$B5100))</f>
        <v>6</v>
      </c>
      <c r="E5100" s="361" t="s">
        <v>699</v>
      </c>
      <c r="F5100" s="362" t="s">
        <v>2783</v>
      </c>
      <c r="G5100" s="327" t="s">
        <v>155</v>
      </c>
      <c r="H5100" s="361" t="s">
        <v>536</v>
      </c>
      <c r="I5100" s="327">
        <v>4</v>
      </c>
      <c r="J5100" s="361"/>
      <c r="K5100" s="327" t="s">
        <v>101</v>
      </c>
      <c r="L5100" s="389">
        <v>11000</v>
      </c>
      <c r="M5100" s="355"/>
      <c r="N5100" s="355" t="s">
        <v>2408</v>
      </c>
      <c r="O5100" s="345" t="s">
        <v>2779</v>
      </c>
      <c r="P5100" s="325"/>
      <c r="Q5100" s="327"/>
      <c r="R5100" s="351">
        <v>0</v>
      </c>
      <c r="S5100" s="351">
        <v>5.8</v>
      </c>
      <c r="T5100" s="351">
        <v>2.4359999999999999</v>
      </c>
      <c r="U5100" s="329" t="str">
        <f>IF($N5100=$N$4,IFERROR(INDEX(DanhMuc!$E$154:$E$165,MATCH(MID($B5100,4,2),DanhMuc!$B$154:$B$165,0)),""),"")</f>
        <v/>
      </c>
      <c r="V5100" s="361"/>
      <c r="W5100" s="345"/>
      <c r="X5100" s="786"/>
      <c r="Y5100" s="1128" t="s">
        <v>3380</v>
      </c>
      <c r="Z5100" s="1128" t="s">
        <v>3381</v>
      </c>
      <c r="AA5100" s="1128" t="s">
        <v>3384</v>
      </c>
      <c r="AB5100" s="20"/>
      <c r="AC5100" s="73"/>
    </row>
    <row r="5101" spans="1:29">
      <c r="A5101" s="327" t="str">
        <f>IF(AND($B5101&lt;&gt;"",$C5101&lt;&gt;""),MAX($A$4730:$A5098)+1,"")</f>
        <v/>
      </c>
      <c r="B5101" s="361" t="s">
        <v>218</v>
      </c>
      <c r="C5101" s="362"/>
      <c r="D5101" s="327">
        <f>IF($B5101="","",COUNTIF($B$4731:$B5101,$B5101))</f>
        <v>7</v>
      </c>
      <c r="E5101" s="361" t="s">
        <v>414</v>
      </c>
      <c r="F5101" s="362" t="s">
        <v>413</v>
      </c>
      <c r="G5101" s="327" t="s">
        <v>155</v>
      </c>
      <c r="H5101" s="361" t="s">
        <v>536</v>
      </c>
      <c r="I5101" s="327">
        <f>+I5095+I5098*2</f>
        <v>12</v>
      </c>
      <c r="J5101" s="361"/>
      <c r="K5101" s="327" t="s">
        <v>415</v>
      </c>
      <c r="L5101" s="389">
        <v>408</v>
      </c>
      <c r="M5101" s="355"/>
      <c r="N5101" s="355" t="s">
        <v>2408</v>
      </c>
      <c r="O5101" s="345"/>
      <c r="P5101" s="325"/>
      <c r="Q5101" s="327"/>
      <c r="R5101" s="351"/>
      <c r="S5101" s="351"/>
      <c r="T5101" s="351"/>
      <c r="U5101" s="329" t="str">
        <f>IF($N5101=$N$4,IFERROR(INDEX(DanhMuc!$E$154:$E$165,MATCH(MID($B5101,4,2),DanhMuc!$B$154:$B$165,0)),""),"")</f>
        <v/>
      </c>
      <c r="V5101" s="361"/>
      <c r="W5101" s="345"/>
      <c r="X5101" s="786"/>
      <c r="Y5101" s="1128" t="s">
        <v>3380</v>
      </c>
      <c r="Z5101" s="1128" t="s">
        <v>3381</v>
      </c>
      <c r="AA5101" s="1128" t="s">
        <v>3384</v>
      </c>
      <c r="AB5101" s="20"/>
      <c r="AC5101" s="73"/>
    </row>
    <row r="5102" spans="1:29">
      <c r="A5102" s="327" t="str">
        <f>IF(AND($B5102&lt;&gt;"",$C5102&lt;&gt;""),MAX($A$4730:$A5101)+1,"")</f>
        <v/>
      </c>
      <c r="B5102" s="361" t="s">
        <v>218</v>
      </c>
      <c r="C5102" s="362"/>
      <c r="D5102" s="327">
        <f>IF($B5102="","",COUNTIF($B$4731:$B5102,$B5102))</f>
        <v>8</v>
      </c>
      <c r="E5102" s="361" t="s">
        <v>654</v>
      </c>
      <c r="F5102" s="362" t="s">
        <v>653</v>
      </c>
      <c r="G5102" s="327" t="s">
        <v>1836</v>
      </c>
      <c r="H5102" s="361" t="s">
        <v>536</v>
      </c>
      <c r="I5102" s="327">
        <f>I5097/45</f>
        <v>8.8888888888888892E-2</v>
      </c>
      <c r="J5102" s="477"/>
      <c r="K5102" s="327" t="s">
        <v>655</v>
      </c>
      <c r="L5102" s="478">
        <v>115000</v>
      </c>
      <c r="M5102" s="355"/>
      <c r="N5102" s="355" t="s">
        <v>2408</v>
      </c>
      <c r="O5102" s="345" t="s">
        <v>2777</v>
      </c>
      <c r="P5102" s="325"/>
      <c r="Q5102" s="327"/>
      <c r="R5102" s="351"/>
      <c r="S5102" s="351"/>
      <c r="T5102" s="351"/>
      <c r="U5102" s="329" t="str">
        <f>IF($N5102=$N$4,IFERROR(INDEX(DanhMuc!$E$154:$E$165,MATCH(MID($B5102,4,2),DanhMuc!$B$154:$B$165,0)),""),"")</f>
        <v/>
      </c>
      <c r="V5102" s="361"/>
      <c r="W5102" s="345"/>
      <c r="X5102" s="786"/>
      <c r="Y5102" s="1128" t="s">
        <v>3380</v>
      </c>
      <c r="Z5102" s="1128" t="s">
        <v>3381</v>
      </c>
      <c r="AA5102" s="1128" t="s">
        <v>3384</v>
      </c>
      <c r="AB5102" s="20"/>
      <c r="AC5102" s="73"/>
    </row>
    <row r="5103" spans="1:29">
      <c r="A5103" s="327" t="str">
        <f>IF(AND($B5103&lt;&gt;"",$C5103&lt;&gt;""),MAX($A$4730:$A5102)+1,"")</f>
        <v/>
      </c>
      <c r="B5103" s="361" t="s">
        <v>218</v>
      </c>
      <c r="C5103" s="362"/>
      <c r="D5103" s="327">
        <f>IF($B5103="","",COUNTIF($B$4731:$B5103,$B5103))</f>
        <v>9</v>
      </c>
      <c r="E5103" s="361" t="s">
        <v>654</v>
      </c>
      <c r="F5103" s="362" t="s">
        <v>653</v>
      </c>
      <c r="G5103" s="327" t="s">
        <v>1836</v>
      </c>
      <c r="H5103" s="361" t="s">
        <v>536</v>
      </c>
      <c r="I5103" s="327">
        <f>I5100/45</f>
        <v>8.8888888888888892E-2</v>
      </c>
      <c r="J5103" s="477"/>
      <c r="K5103" s="327" t="s">
        <v>655</v>
      </c>
      <c r="L5103" s="478">
        <v>115000</v>
      </c>
      <c r="M5103" s="355"/>
      <c r="N5103" s="355" t="s">
        <v>2408</v>
      </c>
      <c r="O5103" s="345" t="s">
        <v>2779</v>
      </c>
      <c r="P5103" s="325"/>
      <c r="Q5103" s="327"/>
      <c r="R5103" s="351"/>
      <c r="S5103" s="351"/>
      <c r="T5103" s="351"/>
      <c r="U5103" s="329" t="str">
        <f>IF($N5103=$N$4,IFERROR(INDEX(DanhMuc!$E$154:$E$165,MATCH(MID($B5103,4,2),DanhMuc!$B$154:$B$165,0)),""),"")</f>
        <v/>
      </c>
      <c r="V5103" s="361"/>
      <c r="W5103" s="345"/>
      <c r="X5103" s="786"/>
      <c r="Y5103" s="1128" t="s">
        <v>3380</v>
      </c>
      <c r="Z5103" s="1128" t="s">
        <v>3381</v>
      </c>
      <c r="AA5103" s="1128" t="s">
        <v>3384</v>
      </c>
      <c r="AB5103" s="20"/>
      <c r="AC5103" s="73"/>
    </row>
    <row r="5104" spans="1:29">
      <c r="A5104" s="327" t="str">
        <f>IF(AND($B5104&lt;&gt;"",$C5104&lt;&gt;""),MAX($A$4730:$A5102)+1,"")</f>
        <v/>
      </c>
      <c r="B5104" s="361" t="s">
        <v>218</v>
      </c>
      <c r="C5104" s="362"/>
      <c r="D5104" s="327">
        <f>IF($B5104="","",COUNTIF($B$4731:$B5104,$B5104))</f>
        <v>10</v>
      </c>
      <c r="E5104" s="361" t="s">
        <v>1826</v>
      </c>
      <c r="F5104" s="362" t="s">
        <v>670</v>
      </c>
      <c r="G5104" s="327" t="s">
        <v>661</v>
      </c>
      <c r="H5104" s="361" t="s">
        <v>536</v>
      </c>
      <c r="I5104" s="361" t="s">
        <v>2354</v>
      </c>
      <c r="J5104" s="361"/>
      <c r="K5104" s="327" t="s">
        <v>103</v>
      </c>
      <c r="L5104" s="478">
        <f>40000/1000</f>
        <v>40</v>
      </c>
      <c r="M5104" s="355"/>
      <c r="N5104" s="355" t="s">
        <v>2408</v>
      </c>
      <c r="O5104" s="345"/>
      <c r="P5104" s="325"/>
      <c r="Q5104" s="327"/>
      <c r="R5104" s="351"/>
      <c r="S5104" s="351"/>
      <c r="T5104" s="351"/>
      <c r="U5104" s="329" t="str">
        <f>IF($N5104=$N$4,IFERROR(INDEX(DanhMuc!$E$154:$E$165,MATCH(MID($B5104,4,2),DanhMuc!$B$154:$B$165,0)),""),"")</f>
        <v/>
      </c>
      <c r="V5104" s="361"/>
      <c r="W5104" s="345"/>
      <c r="X5104" s="786"/>
      <c r="Y5104" s="1128" t="s">
        <v>3380</v>
      </c>
      <c r="Z5104" s="1128" t="s">
        <v>3381</v>
      </c>
      <c r="AA5104" s="1128" t="s">
        <v>3384</v>
      </c>
      <c r="AB5104" s="20"/>
      <c r="AC5104" s="73"/>
    </row>
    <row r="5105" spans="1:29" ht="37.5">
      <c r="A5105" s="327" t="str">
        <f>IF(AND($B5105&lt;&gt;"",$C5105&lt;&gt;""),MAX($A$4730:$A5104)+1,"")</f>
        <v/>
      </c>
      <c r="B5105" s="361" t="s">
        <v>218</v>
      </c>
      <c r="C5105" s="362"/>
      <c r="D5105" s="327">
        <f>IF($B5105="","",COUNTIF($B$4731:$B5105,$B5105))</f>
        <v>11</v>
      </c>
      <c r="E5105" s="362" t="s">
        <v>1964</v>
      </c>
      <c r="F5105" s="362" t="s">
        <v>1965</v>
      </c>
      <c r="G5105" s="327" t="s">
        <v>405</v>
      </c>
      <c r="H5105" s="361" t="s">
        <v>536</v>
      </c>
      <c r="I5105" s="361" t="s">
        <v>693</v>
      </c>
      <c r="J5105" s="361"/>
      <c r="K5105" s="327" t="s">
        <v>223</v>
      </c>
      <c r="L5105" s="478">
        <v>140</v>
      </c>
      <c r="M5105" s="371"/>
      <c r="N5105" s="355" t="s">
        <v>2408</v>
      </c>
      <c r="O5105" s="345"/>
      <c r="P5105" s="325"/>
      <c r="Q5105" s="327"/>
      <c r="R5105" s="351"/>
      <c r="S5105" s="351"/>
      <c r="T5105" s="351"/>
      <c r="U5105" s="329" t="str">
        <f>IF($N5105=$N$4,IFERROR(INDEX(DanhMuc!$E$154:$E$165,MATCH(MID($B5105,4,2),DanhMuc!$B$154:$B$165,0)),""),"")</f>
        <v/>
      </c>
      <c r="V5105" s="361"/>
      <c r="W5105" s="345"/>
      <c r="X5105" s="786"/>
      <c r="Y5105" s="1128" t="s">
        <v>3380</v>
      </c>
      <c r="Z5105" s="1128" t="s">
        <v>3381</v>
      </c>
      <c r="AA5105" s="1128" t="s">
        <v>3384</v>
      </c>
      <c r="AB5105" s="20"/>
      <c r="AC5105" s="73"/>
    </row>
    <row r="5106" spans="1:29" ht="37.5">
      <c r="A5106" s="327" t="str">
        <f>IF(AND($B5106&lt;&gt;"",$C5106&lt;&gt;""),MAX($A$4730:$A5105)+1,"")</f>
        <v/>
      </c>
      <c r="B5106" s="361" t="s">
        <v>218</v>
      </c>
      <c r="C5106" s="362"/>
      <c r="D5106" s="327">
        <f>IF($B5106="","",COUNTIF($B$4731:$B5106,$B5106))</f>
        <v>12</v>
      </c>
      <c r="E5106" s="362" t="s">
        <v>2756</v>
      </c>
      <c r="F5106" s="362" t="s">
        <v>2757</v>
      </c>
      <c r="G5106" s="327" t="s">
        <v>405</v>
      </c>
      <c r="H5106" s="361" t="s">
        <v>536</v>
      </c>
      <c r="I5106" s="361" t="s">
        <v>694</v>
      </c>
      <c r="J5106" s="361"/>
      <c r="K5106" s="327" t="s">
        <v>223</v>
      </c>
      <c r="L5106" s="479">
        <v>322</v>
      </c>
      <c r="M5106" s="371"/>
      <c r="N5106" s="355" t="s">
        <v>2408</v>
      </c>
      <c r="O5106" s="345"/>
      <c r="P5106" s="325"/>
      <c r="Q5106" s="327"/>
      <c r="R5106" s="351"/>
      <c r="S5106" s="351"/>
      <c r="T5106" s="351"/>
      <c r="U5106" s="329" t="str">
        <f>IF($N5106=$N$4,IFERROR(INDEX(DanhMuc!$E$154:$E$165,MATCH(MID($B5106,4,2),DanhMuc!$B$154:$B$165,0)),""),"")</f>
        <v/>
      </c>
      <c r="V5106" s="361"/>
      <c r="W5106" s="345"/>
      <c r="X5106" s="786"/>
      <c r="Y5106" s="1128" t="s">
        <v>3380</v>
      </c>
      <c r="Z5106" s="1128" t="s">
        <v>3381</v>
      </c>
      <c r="AA5106" s="1128" t="s">
        <v>3384</v>
      </c>
      <c r="AB5106" s="20"/>
      <c r="AC5106" s="73"/>
    </row>
    <row r="5107" spans="1:29">
      <c r="A5107" s="327" t="str">
        <f>IF(AND($B5107&lt;&gt;"",$C5107&lt;&gt;""),MAX($A$4730:$A5106)+1,"")</f>
        <v/>
      </c>
      <c r="B5107" s="361" t="s">
        <v>218</v>
      </c>
      <c r="C5107" s="362"/>
      <c r="D5107" s="327">
        <f>IF($B5107="","",COUNTIF($B$4731:$B5107,$B5107))</f>
        <v>13</v>
      </c>
      <c r="E5107" s="361" t="s">
        <v>656</v>
      </c>
      <c r="F5107" s="362" t="s">
        <v>2239</v>
      </c>
      <c r="G5107" s="327" t="s">
        <v>405</v>
      </c>
      <c r="H5107" s="361" t="s">
        <v>536</v>
      </c>
      <c r="I5107" s="361" t="s">
        <v>1827</v>
      </c>
      <c r="J5107" s="361"/>
      <c r="K5107" s="327" t="s">
        <v>100</v>
      </c>
      <c r="L5107" s="478">
        <v>970</v>
      </c>
      <c r="M5107" s="371"/>
      <c r="N5107" s="355" t="s">
        <v>2409</v>
      </c>
      <c r="O5107" s="345"/>
      <c r="P5107" s="325"/>
      <c r="Q5107" s="327"/>
      <c r="R5107" s="351"/>
      <c r="S5107" s="351"/>
      <c r="T5107" s="351"/>
      <c r="U5107" s="329" t="str">
        <f>IF($N5107=$N$4,IFERROR(INDEX(DanhMuc!$E$154:$E$165,MATCH(MID($B5107,4,2),DanhMuc!$B$154:$B$165,0)),""),"")</f>
        <v/>
      </c>
      <c r="V5107" s="361"/>
      <c r="W5107" s="345"/>
      <c r="X5107" s="786"/>
      <c r="Y5107" s="1128" t="s">
        <v>3380</v>
      </c>
      <c r="Z5107" s="1128" t="s">
        <v>3381</v>
      </c>
      <c r="AA5107" s="1128" t="s">
        <v>3384</v>
      </c>
      <c r="AB5107" s="20"/>
      <c r="AC5107" s="73"/>
    </row>
    <row r="5108" spans="1:29">
      <c r="A5108" s="327" t="str">
        <f>IF(AND($B5108&lt;&gt;"",$C5108&lt;&gt;""),MAX($A$4730:$A5107)+1,"")</f>
        <v/>
      </c>
      <c r="B5108" s="361" t="s">
        <v>218</v>
      </c>
      <c r="C5108" s="362"/>
      <c r="D5108" s="327">
        <f>IF($B5108="","",COUNTIF($B$4731:$B5108,$B5108))</f>
        <v>14</v>
      </c>
      <c r="E5108" s="361" t="s">
        <v>657</v>
      </c>
      <c r="F5108" s="362" t="s">
        <v>658</v>
      </c>
      <c r="G5108" s="327" t="s">
        <v>424</v>
      </c>
      <c r="H5108" s="361" t="s">
        <v>536</v>
      </c>
      <c r="I5108" s="361" t="s">
        <v>665</v>
      </c>
      <c r="J5108" s="361"/>
      <c r="K5108" s="327" t="s">
        <v>100</v>
      </c>
      <c r="L5108" s="478">
        <v>60000</v>
      </c>
      <c r="M5108" s="355"/>
      <c r="N5108" s="355" t="s">
        <v>2409</v>
      </c>
      <c r="O5108" s="345"/>
      <c r="P5108" s="325"/>
      <c r="Q5108" s="327"/>
      <c r="R5108" s="351"/>
      <c r="S5108" s="351"/>
      <c r="T5108" s="351"/>
      <c r="U5108" s="329" t="str">
        <f>IF($N5108=$N$4,IFERROR(INDEX(DanhMuc!$E$154:$E$165,MATCH(MID($B5108,4,2),DanhMuc!$B$154:$B$165,0)),""),"")</f>
        <v/>
      </c>
      <c r="V5108" s="361"/>
      <c r="W5108" s="345"/>
      <c r="X5108" s="786"/>
      <c r="Y5108" s="1128" t="s">
        <v>3380</v>
      </c>
      <c r="Z5108" s="1128" t="s">
        <v>3381</v>
      </c>
      <c r="AA5108" s="1128" t="s">
        <v>3384</v>
      </c>
      <c r="AB5108" s="20"/>
      <c r="AC5108" s="73"/>
    </row>
    <row r="5109" spans="1:29">
      <c r="A5109" s="327" t="str">
        <f>IF(AND($B5109&lt;&gt;"",$C5109&lt;&gt;""),MAX($A$4730:$A5108)+1,"")</f>
        <v/>
      </c>
      <c r="B5109" s="361" t="s">
        <v>218</v>
      </c>
      <c r="C5109" s="362"/>
      <c r="D5109" s="327">
        <f>IF($B5109="","",COUNTIF($B$4731:$B5109,$B5109))</f>
        <v>15</v>
      </c>
      <c r="E5109" s="361" t="s">
        <v>2771</v>
      </c>
      <c r="F5109" s="362" t="s">
        <v>659</v>
      </c>
      <c r="G5109" s="327" t="s">
        <v>424</v>
      </c>
      <c r="H5109" s="361" t="s">
        <v>536</v>
      </c>
      <c r="I5109" s="361" t="s">
        <v>666</v>
      </c>
      <c r="J5109" s="361"/>
      <c r="K5109" s="327" t="s">
        <v>100</v>
      </c>
      <c r="L5109" s="389">
        <v>53000</v>
      </c>
      <c r="M5109" s="355"/>
      <c r="N5109" s="355" t="s">
        <v>2409</v>
      </c>
      <c r="O5109" s="345"/>
      <c r="P5109" s="325"/>
      <c r="Q5109" s="327"/>
      <c r="R5109" s="351"/>
      <c r="S5109" s="351"/>
      <c r="T5109" s="351"/>
      <c r="U5109" s="329" t="str">
        <f>IF($N5109=$N$4,IFERROR(INDEX(DanhMuc!$E$154:$E$165,MATCH(MID($B5109,4,2),DanhMuc!$B$154:$B$165,0)),""),"")</f>
        <v/>
      </c>
      <c r="V5109" s="361"/>
      <c r="W5109" s="345"/>
      <c r="X5109" s="786"/>
      <c r="Y5109" s="1128" t="s">
        <v>3380</v>
      </c>
      <c r="Z5109" s="1128" t="s">
        <v>3381</v>
      </c>
      <c r="AA5109" s="1128" t="s">
        <v>3384</v>
      </c>
      <c r="AB5109" s="20"/>
      <c r="AC5109" s="73"/>
    </row>
    <row r="5110" spans="1:29">
      <c r="A5110" s="327" t="str">
        <f>IF(AND($B5110&lt;&gt;"",$C5110&lt;&gt;""),MAX($A$4730:$A5109)+1,"")</f>
        <v/>
      </c>
      <c r="B5110" s="361" t="s">
        <v>218</v>
      </c>
      <c r="C5110" s="362"/>
      <c r="D5110" s="327">
        <f>IF($B5110="","",COUNTIF($B$4731:$B5110,$B5110))</f>
        <v>16</v>
      </c>
      <c r="E5110" s="361" t="s">
        <v>1828</v>
      </c>
      <c r="F5110" s="362" t="s">
        <v>671</v>
      </c>
      <c r="G5110" s="327" t="s">
        <v>661</v>
      </c>
      <c r="H5110" s="361" t="s">
        <v>536</v>
      </c>
      <c r="I5110" s="361" t="s">
        <v>2355</v>
      </c>
      <c r="J5110" s="361"/>
      <c r="K5110" s="327" t="s">
        <v>100</v>
      </c>
      <c r="L5110" s="478">
        <f>40000/1000</f>
        <v>40</v>
      </c>
      <c r="M5110" s="355"/>
      <c r="N5110" s="355" t="s">
        <v>2409</v>
      </c>
      <c r="O5110" s="345"/>
      <c r="P5110" s="325"/>
      <c r="Q5110" s="327"/>
      <c r="R5110" s="351"/>
      <c r="S5110" s="351"/>
      <c r="T5110" s="351"/>
      <c r="U5110" s="329" t="str">
        <f>IF($N5110=$N$4,IFERROR(INDEX(DanhMuc!$E$154:$E$165,MATCH(MID($B5110,4,2),DanhMuc!$B$154:$B$165,0)),""),"")</f>
        <v/>
      </c>
      <c r="V5110" s="361"/>
      <c r="W5110" s="345"/>
      <c r="X5110" s="786"/>
      <c r="Y5110" s="1128" t="s">
        <v>3380</v>
      </c>
      <c r="Z5110" s="1128" t="s">
        <v>3381</v>
      </c>
      <c r="AA5110" s="1128" t="s">
        <v>3384</v>
      </c>
      <c r="AB5110" s="20"/>
      <c r="AC5110" s="73"/>
    </row>
    <row r="5111" spans="1:29">
      <c r="A5111" s="327" t="str">
        <f>IF(AND($B5111&lt;&gt;"",$C5111&lt;&gt;""),MAX($A$4730:$A5110)+1,"")</f>
        <v/>
      </c>
      <c r="B5111" s="361" t="s">
        <v>218</v>
      </c>
      <c r="C5111" s="362"/>
      <c r="D5111" s="327">
        <f>IF($B5111="","",COUNTIF($B$4731:$B5111,$B5111))</f>
        <v>17</v>
      </c>
      <c r="E5111" s="361" t="s">
        <v>154</v>
      </c>
      <c r="F5111" s="362" t="s">
        <v>660</v>
      </c>
      <c r="G5111" s="327" t="s">
        <v>661</v>
      </c>
      <c r="H5111" s="361" t="s">
        <v>536</v>
      </c>
      <c r="I5111" s="361" t="s">
        <v>667</v>
      </c>
      <c r="J5111" s="361"/>
      <c r="K5111" s="327" t="s">
        <v>662</v>
      </c>
      <c r="L5111" s="478">
        <v>20</v>
      </c>
      <c r="M5111" s="355"/>
      <c r="N5111" s="355" t="s">
        <v>2409</v>
      </c>
      <c r="O5111" s="345"/>
      <c r="P5111" s="325"/>
      <c r="Q5111" s="327"/>
      <c r="R5111" s="351"/>
      <c r="S5111" s="351"/>
      <c r="T5111" s="351"/>
      <c r="U5111" s="329" t="str">
        <f>IF($N5111=$N$4,IFERROR(INDEX(DanhMuc!$E$154:$E$165,MATCH(MID($B5111,4,2),DanhMuc!$B$154:$B$165,0)),""),"")</f>
        <v/>
      </c>
      <c r="V5111" s="361"/>
      <c r="W5111" s="345"/>
      <c r="X5111" s="786"/>
      <c r="Y5111" s="1128" t="s">
        <v>3380</v>
      </c>
      <c r="Z5111" s="1128" t="s">
        <v>3381</v>
      </c>
      <c r="AA5111" s="1128" t="s">
        <v>3384</v>
      </c>
      <c r="AB5111" s="20"/>
      <c r="AC5111" s="73"/>
    </row>
    <row r="5112" spans="1:29">
      <c r="A5112" s="327" t="str">
        <f>IF(AND($B5112&lt;&gt;"",$C5112&lt;&gt;""),MAX($A$4730:$A5111)+1,"")</f>
        <v/>
      </c>
      <c r="B5112" s="361" t="s">
        <v>218</v>
      </c>
      <c r="C5112" s="362"/>
      <c r="D5112" s="327">
        <f>IF($B5112="","",COUNTIF($B$4731:$B5112,$B5112))</f>
        <v>18</v>
      </c>
      <c r="E5112" s="362" t="s">
        <v>2282</v>
      </c>
      <c r="F5112" s="362" t="s">
        <v>2283</v>
      </c>
      <c r="G5112" s="327" t="s">
        <v>424</v>
      </c>
      <c r="H5112" s="361" t="s">
        <v>536</v>
      </c>
      <c r="I5112" s="361" t="s">
        <v>2238</v>
      </c>
      <c r="J5112" s="361"/>
      <c r="K5112" s="327" t="s">
        <v>662</v>
      </c>
      <c r="L5112" s="478">
        <v>28000</v>
      </c>
      <c r="M5112" s="355"/>
      <c r="N5112" s="355" t="s">
        <v>2409</v>
      </c>
      <c r="O5112" s="345"/>
      <c r="P5112" s="325"/>
      <c r="Q5112" s="327"/>
      <c r="R5112" s="351"/>
      <c r="S5112" s="351"/>
      <c r="T5112" s="351"/>
      <c r="U5112" s="329" t="str">
        <f>IF($N5112=$N$4,IFERROR(INDEX(DanhMuc!$E$154:$E$165,MATCH(MID($B5112,4,2),DanhMuc!$B$154:$B$165,0)),""),"")</f>
        <v/>
      </c>
      <c r="V5112" s="361"/>
      <c r="W5112" s="345"/>
      <c r="X5112" s="786"/>
      <c r="Y5112" s="1128" t="s">
        <v>3380</v>
      </c>
      <c r="Z5112" s="1128" t="s">
        <v>3381</v>
      </c>
      <c r="AA5112" s="1128" t="s">
        <v>3384</v>
      </c>
      <c r="AB5112" s="20"/>
      <c r="AC5112" s="73"/>
    </row>
    <row r="5113" spans="1:29">
      <c r="A5113" s="327" t="str">
        <f>IF(AND($B5113&lt;&gt;"",$C5113&lt;&gt;""),MAX($A$4730:$A5112)+1,"")</f>
        <v/>
      </c>
      <c r="B5113" s="361" t="s">
        <v>218</v>
      </c>
      <c r="C5113" s="362"/>
      <c r="D5113" s="327">
        <f>IF($B5113="","",COUNTIF($B$4731:$B5113,$B5113))</f>
        <v>19</v>
      </c>
      <c r="E5113" s="362" t="s">
        <v>663</v>
      </c>
      <c r="F5113" s="362" t="s">
        <v>664</v>
      </c>
      <c r="G5113" s="327" t="s">
        <v>155</v>
      </c>
      <c r="H5113" s="361" t="s">
        <v>536</v>
      </c>
      <c r="I5113" s="361" t="s">
        <v>672</v>
      </c>
      <c r="J5113" s="361"/>
      <c r="K5113" s="327" t="s">
        <v>662</v>
      </c>
      <c r="L5113" s="478">
        <v>1000</v>
      </c>
      <c r="M5113" s="355"/>
      <c r="N5113" s="355" t="s">
        <v>2409</v>
      </c>
      <c r="O5113" s="345"/>
      <c r="P5113" s="325"/>
      <c r="Q5113" s="327"/>
      <c r="R5113" s="351"/>
      <c r="S5113" s="351"/>
      <c r="T5113" s="351"/>
      <c r="U5113" s="329" t="str">
        <f>IF($N5113=$N$4,IFERROR(INDEX(DanhMuc!$E$154:$E$165,MATCH(MID($B5113,4,2),DanhMuc!$B$154:$B$165,0)),""),"")</f>
        <v/>
      </c>
      <c r="V5113" s="361"/>
      <c r="W5113" s="345"/>
      <c r="X5113" s="786"/>
      <c r="Y5113" s="1128" t="s">
        <v>3380</v>
      </c>
      <c r="Z5113" s="1128" t="s">
        <v>3381</v>
      </c>
      <c r="AA5113" s="1128" t="s">
        <v>3384</v>
      </c>
      <c r="AB5113" s="20"/>
      <c r="AC5113" s="73"/>
    </row>
    <row r="5114" spans="1:29" ht="26">
      <c r="A5114" s="327">
        <f>IF(AND($B5114&lt;&gt;"",$C5114&lt;&gt;""),MAX($A$4730:$A5113)+1,"")</f>
        <v>14</v>
      </c>
      <c r="B5114" s="359" t="s">
        <v>734</v>
      </c>
      <c r="C5114" s="360" t="s">
        <v>1547</v>
      </c>
      <c r="D5114" s="327">
        <f>IF($B5114="","",COUNTIF($B$4731:$B5114,$B5114))</f>
        <v>1</v>
      </c>
      <c r="E5114" s="402" t="s">
        <v>2302</v>
      </c>
      <c r="F5114" s="403" t="s">
        <v>2332</v>
      </c>
      <c r="G5114" s="327" t="s">
        <v>155</v>
      </c>
      <c r="H5114" s="361" t="s">
        <v>536</v>
      </c>
      <c r="I5114" s="327">
        <v>4</v>
      </c>
      <c r="J5114" s="361"/>
      <c r="K5114" s="327" t="s">
        <v>100</v>
      </c>
      <c r="L5114" s="389">
        <v>6600</v>
      </c>
      <c r="M5114" s="355"/>
      <c r="N5114" s="355" t="s">
        <v>2408</v>
      </c>
      <c r="O5114" s="345" t="s">
        <v>2776</v>
      </c>
      <c r="P5114" s="325"/>
      <c r="Q5114" s="327"/>
      <c r="R5114" s="351"/>
      <c r="S5114" s="351"/>
      <c r="T5114" s="351"/>
      <c r="U5114" s="329" t="str">
        <f>IF($N5114=$N$4,IFERROR(INDEX(DanhMuc!$E$154:$E$165,MATCH(MID($B5114,4,2),DanhMuc!$B$154:$B$165,0)),""),"")</f>
        <v/>
      </c>
      <c r="V5114" s="361"/>
      <c r="W5114" s="345"/>
      <c r="X5114" s="786"/>
      <c r="Y5114" s="1128" t="s">
        <v>3380</v>
      </c>
      <c r="Z5114" s="1128" t="s">
        <v>3381</v>
      </c>
      <c r="AA5114" s="1128" t="s">
        <v>3384</v>
      </c>
      <c r="AB5114" s="20"/>
      <c r="AC5114" s="73"/>
    </row>
    <row r="5115" spans="1:29">
      <c r="A5115" s="327" t="str">
        <f>IF(AND($B5115&lt;&gt;"",$C5115&lt;&gt;""),MAX($A$4730:$A5114)+1,"")</f>
        <v/>
      </c>
      <c r="B5115" s="361" t="s">
        <v>734</v>
      </c>
      <c r="C5115" s="360"/>
      <c r="D5115" s="327">
        <f>IF($B5115="","",COUNTIF($B$4731:$B5115,$B5115))</f>
        <v>2</v>
      </c>
      <c r="E5115" s="402" t="s">
        <v>2788</v>
      </c>
      <c r="F5115" s="403" t="s">
        <v>2789</v>
      </c>
      <c r="G5115" s="327" t="s">
        <v>155</v>
      </c>
      <c r="H5115" s="361" t="s">
        <v>536</v>
      </c>
      <c r="I5115" s="327">
        <f>4*I5114</f>
        <v>16</v>
      </c>
      <c r="J5115" s="361"/>
      <c r="K5115" s="327" t="s">
        <v>100</v>
      </c>
      <c r="L5115" s="389">
        <v>600</v>
      </c>
      <c r="M5115" s="355"/>
      <c r="N5115" s="355" t="s">
        <v>2408</v>
      </c>
      <c r="O5115" s="345" t="s">
        <v>2776</v>
      </c>
      <c r="P5115" s="325"/>
      <c r="Q5115" s="327"/>
      <c r="R5115" s="351"/>
      <c r="S5115" s="351"/>
      <c r="T5115" s="351"/>
      <c r="U5115" s="329" t="str">
        <f>IF($N5115=$N$4,IFERROR(INDEX(DanhMuc!$E$154:$E$165,MATCH(MID($B5115,4,2),DanhMuc!$B$154:$B$165,0)),""),"")</f>
        <v/>
      </c>
      <c r="V5115" s="361"/>
      <c r="W5115" s="345"/>
      <c r="X5115" s="786"/>
      <c r="Y5115" s="1128" t="s">
        <v>3380</v>
      </c>
      <c r="Z5115" s="1128" t="s">
        <v>3381</v>
      </c>
      <c r="AA5115" s="1128" t="s">
        <v>3384</v>
      </c>
      <c r="AB5115" s="20"/>
      <c r="AC5115" s="73"/>
    </row>
    <row r="5116" spans="1:29">
      <c r="A5116" s="327" t="str">
        <f>IF(AND($B5116&lt;&gt;"",$C5116&lt;&gt;""),MAX($A$4730:$A5114)+1,"")</f>
        <v/>
      </c>
      <c r="B5116" s="361" t="s">
        <v>734</v>
      </c>
      <c r="C5116" s="360"/>
      <c r="D5116" s="327">
        <f>IF($B5116="","",COUNTIF($B$4731:$B5116,$B5116))</f>
        <v>3</v>
      </c>
      <c r="E5116" s="361" t="s">
        <v>2781</v>
      </c>
      <c r="F5116" s="362" t="s">
        <v>2780</v>
      </c>
      <c r="G5116" s="327" t="s">
        <v>155</v>
      </c>
      <c r="H5116" s="361" t="s">
        <v>536</v>
      </c>
      <c r="I5116" s="327">
        <v>4</v>
      </c>
      <c r="J5116" s="361"/>
      <c r="K5116" s="327" t="s">
        <v>100</v>
      </c>
      <c r="L5116" s="389">
        <v>7200</v>
      </c>
      <c r="M5116" s="355"/>
      <c r="N5116" s="355" t="s">
        <v>2408</v>
      </c>
      <c r="O5116" s="345" t="s">
        <v>2777</v>
      </c>
      <c r="P5116" s="325"/>
      <c r="Q5116" s="327"/>
      <c r="R5116" s="351">
        <v>0</v>
      </c>
      <c r="S5116" s="351">
        <v>5.8</v>
      </c>
      <c r="T5116" s="351">
        <v>3.1339999999999999</v>
      </c>
      <c r="U5116" s="329" t="str">
        <f>IF($N5116=$N$4,IFERROR(INDEX(DanhMuc!$E$154:$E$165,MATCH(MID($B5116,4,2),DanhMuc!$B$154:$B$165,0)),""),"")</f>
        <v/>
      </c>
      <c r="V5116" s="361"/>
      <c r="W5116" s="345"/>
      <c r="X5116" s="786"/>
      <c r="Y5116" s="1128" t="s">
        <v>3380</v>
      </c>
      <c r="Z5116" s="1128" t="s">
        <v>3381</v>
      </c>
      <c r="AA5116" s="1128" t="s">
        <v>3384</v>
      </c>
      <c r="AB5116" s="20"/>
      <c r="AC5116" s="73"/>
    </row>
    <row r="5117" spans="1:29">
      <c r="A5117" s="327" t="str">
        <f>IF(AND($B5117&lt;&gt;"",$C5117&lt;&gt;""),MAX($A$4730:$A5114)+1,"")</f>
        <v/>
      </c>
      <c r="B5117" s="361" t="s">
        <v>734</v>
      </c>
      <c r="C5117" s="362"/>
      <c r="D5117" s="327">
        <f>IF($B5117="","",COUNTIF($B$4731:$B5117,$B5117))</f>
        <v>4</v>
      </c>
      <c r="E5117" s="402" t="s">
        <v>2303</v>
      </c>
      <c r="F5117" s="403" t="s">
        <v>2782</v>
      </c>
      <c r="G5117" s="327" t="s">
        <v>155</v>
      </c>
      <c r="H5117" s="361" t="s">
        <v>536</v>
      </c>
      <c r="I5117" s="327">
        <v>8</v>
      </c>
      <c r="J5117" s="361"/>
      <c r="K5117" s="327" t="s">
        <v>101</v>
      </c>
      <c r="L5117" s="389">
        <v>9100</v>
      </c>
      <c r="M5117" s="355"/>
      <c r="N5117" s="355" t="s">
        <v>2408</v>
      </c>
      <c r="O5117" s="345" t="s">
        <v>2778</v>
      </c>
      <c r="P5117" s="325"/>
      <c r="Q5117" s="327"/>
      <c r="R5117" s="351"/>
      <c r="S5117" s="351"/>
      <c r="T5117" s="351"/>
      <c r="U5117" s="329" t="str">
        <f>IF($N5117=$N$4,IFERROR(INDEX(DanhMuc!$E$154:$E$165,MATCH(MID($B5117,4,2),DanhMuc!$B$154:$B$165,0)),""),"")</f>
        <v/>
      </c>
      <c r="V5117" s="361"/>
      <c r="W5117" s="345"/>
      <c r="X5117" s="786"/>
      <c r="Y5117" s="1128" t="s">
        <v>3380</v>
      </c>
      <c r="Z5117" s="1128" t="s">
        <v>3381</v>
      </c>
      <c r="AA5117" s="1128" t="s">
        <v>3384</v>
      </c>
      <c r="AB5117" s="20"/>
      <c r="AC5117" s="73"/>
    </row>
    <row r="5118" spans="1:29">
      <c r="A5118" s="327" t="str">
        <f>IF(AND($B5118&lt;&gt;"",$C5118&lt;&gt;""),MAX($A$4730:$A5117)+1,"")</f>
        <v/>
      </c>
      <c r="B5118" s="361" t="s">
        <v>734</v>
      </c>
      <c r="C5118" s="360"/>
      <c r="D5118" s="327">
        <f>IF($B5118="","",COUNTIF($B$4731:$B5118,$B5118))</f>
        <v>5</v>
      </c>
      <c r="E5118" s="402" t="s">
        <v>2788</v>
      </c>
      <c r="F5118" s="403" t="s">
        <v>2789</v>
      </c>
      <c r="G5118" s="327" t="s">
        <v>155</v>
      </c>
      <c r="H5118" s="361" t="s">
        <v>536</v>
      </c>
      <c r="I5118" s="327">
        <f>4*I5117</f>
        <v>32</v>
      </c>
      <c r="J5118" s="361"/>
      <c r="K5118" s="327" t="s">
        <v>100</v>
      </c>
      <c r="L5118" s="389">
        <v>600</v>
      </c>
      <c r="M5118" s="355"/>
      <c r="N5118" s="355" t="s">
        <v>2408</v>
      </c>
      <c r="O5118" s="345" t="s">
        <v>2778</v>
      </c>
      <c r="P5118" s="325"/>
      <c r="Q5118" s="327"/>
      <c r="R5118" s="351"/>
      <c r="S5118" s="351"/>
      <c r="T5118" s="351"/>
      <c r="U5118" s="329" t="str">
        <f>IF($N5118=$N$4,IFERROR(INDEX(DanhMuc!$E$154:$E$165,MATCH(MID($B5118,4,2),DanhMuc!$B$154:$B$165,0)),""),"")</f>
        <v/>
      </c>
      <c r="V5118" s="361"/>
      <c r="W5118" s="345"/>
      <c r="X5118" s="786"/>
      <c r="Y5118" s="1128" t="s">
        <v>3380</v>
      </c>
      <c r="Z5118" s="1128" t="s">
        <v>3381</v>
      </c>
      <c r="AA5118" s="1128" t="s">
        <v>3384</v>
      </c>
      <c r="AB5118" s="20"/>
      <c r="AC5118" s="73"/>
    </row>
    <row r="5119" spans="1:29">
      <c r="A5119" s="327" t="str">
        <f>IF(AND($B5119&lt;&gt;"",$C5119&lt;&gt;""),MAX($A$4730:$A5116)+1,"")</f>
        <v/>
      </c>
      <c r="B5119" s="361" t="s">
        <v>734</v>
      </c>
      <c r="C5119" s="362"/>
      <c r="D5119" s="327">
        <f>IF($B5119="","",COUNTIF($B$4731:$B5119,$B5119))</f>
        <v>6</v>
      </c>
      <c r="E5119" s="361" t="s">
        <v>699</v>
      </c>
      <c r="F5119" s="362" t="s">
        <v>2783</v>
      </c>
      <c r="G5119" s="327" t="s">
        <v>155</v>
      </c>
      <c r="H5119" s="361" t="s">
        <v>536</v>
      </c>
      <c r="I5119" s="327">
        <v>8</v>
      </c>
      <c r="J5119" s="361"/>
      <c r="K5119" s="327" t="s">
        <v>101</v>
      </c>
      <c r="L5119" s="389">
        <v>11000</v>
      </c>
      <c r="M5119" s="355"/>
      <c r="N5119" s="355" t="s">
        <v>2408</v>
      </c>
      <c r="O5119" s="345" t="s">
        <v>2779</v>
      </c>
      <c r="P5119" s="325"/>
      <c r="Q5119" s="327"/>
      <c r="R5119" s="351">
        <v>0</v>
      </c>
      <c r="S5119" s="351">
        <v>5.8</v>
      </c>
      <c r="T5119" s="351">
        <v>2.4359999999999999</v>
      </c>
      <c r="U5119" s="329" t="str">
        <f>IF($N5119=$N$4,IFERROR(INDEX(DanhMuc!$E$154:$E$165,MATCH(MID($B5119,4,2),DanhMuc!$B$154:$B$165,0)),""),"")</f>
        <v/>
      </c>
      <c r="V5119" s="361"/>
      <c r="W5119" s="345"/>
      <c r="X5119" s="786"/>
      <c r="Y5119" s="1128" t="s">
        <v>3380</v>
      </c>
      <c r="Z5119" s="1128" t="s">
        <v>3381</v>
      </c>
      <c r="AA5119" s="1128" t="s">
        <v>3384</v>
      </c>
      <c r="AB5119" s="20"/>
      <c r="AC5119" s="73"/>
    </row>
    <row r="5120" spans="1:29">
      <c r="A5120" s="327" t="str">
        <f>IF(AND($B5120&lt;&gt;"",$C5120&lt;&gt;""),MAX($A$4730:$A5117)+1,"")</f>
        <v/>
      </c>
      <c r="B5120" s="361" t="s">
        <v>734</v>
      </c>
      <c r="C5120" s="362"/>
      <c r="D5120" s="327">
        <f>IF($B5120="","",COUNTIF($B$4731:$B5120,$B5120))</f>
        <v>7</v>
      </c>
      <c r="E5120" s="361" t="s">
        <v>414</v>
      </c>
      <c r="F5120" s="362" t="s">
        <v>413</v>
      </c>
      <c r="G5120" s="327" t="s">
        <v>155</v>
      </c>
      <c r="H5120" s="361" t="s">
        <v>536</v>
      </c>
      <c r="I5120" s="327">
        <f>+I5114+I5117*2</f>
        <v>20</v>
      </c>
      <c r="J5120" s="361"/>
      <c r="K5120" s="327" t="s">
        <v>415</v>
      </c>
      <c r="L5120" s="389">
        <v>408</v>
      </c>
      <c r="M5120" s="355"/>
      <c r="N5120" s="355" t="s">
        <v>2408</v>
      </c>
      <c r="O5120" s="345"/>
      <c r="P5120" s="325"/>
      <c r="Q5120" s="327"/>
      <c r="R5120" s="351"/>
      <c r="S5120" s="351"/>
      <c r="T5120" s="351"/>
      <c r="U5120" s="329" t="str">
        <f>IF($N5120=$N$4,IFERROR(INDEX(DanhMuc!$E$154:$E$165,MATCH(MID($B5120,4,2),DanhMuc!$B$154:$B$165,0)),""),"")</f>
        <v/>
      </c>
      <c r="V5120" s="361"/>
      <c r="W5120" s="345"/>
      <c r="X5120" s="786"/>
      <c r="Y5120" s="1128" t="s">
        <v>3380</v>
      </c>
      <c r="Z5120" s="1128" t="s">
        <v>3381</v>
      </c>
      <c r="AA5120" s="1128" t="s">
        <v>3384</v>
      </c>
      <c r="AB5120" s="20"/>
      <c r="AC5120" s="73"/>
    </row>
    <row r="5121" spans="1:29">
      <c r="A5121" s="327" t="str">
        <f>IF(AND($B5121&lt;&gt;"",$C5121&lt;&gt;""),MAX($A$4730:$A5120)+1,"")</f>
        <v/>
      </c>
      <c r="B5121" s="361" t="s">
        <v>734</v>
      </c>
      <c r="C5121" s="362"/>
      <c r="D5121" s="327">
        <f>IF($B5121="","",COUNTIF($B$4731:$B5121,$B5121))</f>
        <v>8</v>
      </c>
      <c r="E5121" s="361" t="s">
        <v>654</v>
      </c>
      <c r="F5121" s="362" t="s">
        <v>653</v>
      </c>
      <c r="G5121" s="327" t="s">
        <v>1836</v>
      </c>
      <c r="H5121" s="361" t="s">
        <v>536</v>
      </c>
      <c r="I5121" s="327">
        <f>I5116/45</f>
        <v>8.8888888888888892E-2</v>
      </c>
      <c r="J5121" s="477"/>
      <c r="K5121" s="327" t="s">
        <v>655</v>
      </c>
      <c r="L5121" s="478">
        <v>115000</v>
      </c>
      <c r="M5121" s="355"/>
      <c r="N5121" s="355" t="s">
        <v>2408</v>
      </c>
      <c r="O5121" s="345" t="s">
        <v>2777</v>
      </c>
      <c r="P5121" s="325"/>
      <c r="Q5121" s="327"/>
      <c r="R5121" s="351"/>
      <c r="S5121" s="351"/>
      <c r="T5121" s="351"/>
      <c r="U5121" s="329" t="str">
        <f>IF($N5121=$N$4,IFERROR(INDEX(DanhMuc!$E$154:$E$165,MATCH(MID($B5121,4,2),DanhMuc!$B$154:$B$165,0)),""),"")</f>
        <v/>
      </c>
      <c r="V5121" s="361"/>
      <c r="W5121" s="345"/>
      <c r="X5121" s="786"/>
      <c r="Y5121" s="1128" t="s">
        <v>3380</v>
      </c>
      <c r="Z5121" s="1128" t="s">
        <v>3381</v>
      </c>
      <c r="AA5121" s="1128" t="s">
        <v>3384</v>
      </c>
      <c r="AB5121" s="20"/>
      <c r="AC5121" s="73"/>
    </row>
    <row r="5122" spans="1:29">
      <c r="A5122" s="327" t="str">
        <f>IF(AND($B5122&lt;&gt;"",$C5122&lt;&gt;""),MAX($A$4730:$A5121)+1,"")</f>
        <v/>
      </c>
      <c r="B5122" s="361" t="s">
        <v>734</v>
      </c>
      <c r="C5122" s="362"/>
      <c r="D5122" s="327">
        <f>IF($B5122="","",COUNTIF($B$4731:$B5122,$B5122))</f>
        <v>9</v>
      </c>
      <c r="E5122" s="361" t="s">
        <v>654</v>
      </c>
      <c r="F5122" s="362" t="s">
        <v>653</v>
      </c>
      <c r="G5122" s="327" t="s">
        <v>1836</v>
      </c>
      <c r="H5122" s="361" t="s">
        <v>536</v>
      </c>
      <c r="I5122" s="327">
        <f>I5119/45</f>
        <v>0.17777777777777778</v>
      </c>
      <c r="J5122" s="477"/>
      <c r="K5122" s="327" t="s">
        <v>655</v>
      </c>
      <c r="L5122" s="478">
        <v>115000</v>
      </c>
      <c r="M5122" s="355"/>
      <c r="N5122" s="355" t="s">
        <v>2408</v>
      </c>
      <c r="O5122" s="345" t="s">
        <v>2779</v>
      </c>
      <c r="P5122" s="325"/>
      <c r="Q5122" s="327"/>
      <c r="R5122" s="351"/>
      <c r="S5122" s="351"/>
      <c r="T5122" s="351"/>
      <c r="U5122" s="329" t="str">
        <f>IF($N5122=$N$4,IFERROR(INDEX(DanhMuc!$E$154:$E$165,MATCH(MID($B5122,4,2),DanhMuc!$B$154:$B$165,0)),""),"")</f>
        <v/>
      </c>
      <c r="V5122" s="361"/>
      <c r="W5122" s="345"/>
      <c r="X5122" s="786"/>
      <c r="Y5122" s="1128" t="s">
        <v>3380</v>
      </c>
      <c r="Z5122" s="1128" t="s">
        <v>3381</v>
      </c>
      <c r="AA5122" s="1128" t="s">
        <v>3384</v>
      </c>
      <c r="AB5122" s="20"/>
      <c r="AC5122" s="73"/>
    </row>
    <row r="5123" spans="1:29">
      <c r="A5123" s="327" t="str">
        <f>IF(AND($B5123&lt;&gt;"",$C5123&lt;&gt;""),MAX($A$4730:$A5121)+1,"")</f>
        <v/>
      </c>
      <c r="B5123" s="361" t="s">
        <v>734</v>
      </c>
      <c r="C5123" s="362"/>
      <c r="D5123" s="327">
        <f>IF($B5123="","",COUNTIF($B$4731:$B5123,$B5123))</f>
        <v>10</v>
      </c>
      <c r="E5123" s="361" t="s">
        <v>1826</v>
      </c>
      <c r="F5123" s="362" t="s">
        <v>670</v>
      </c>
      <c r="G5123" s="327" t="s">
        <v>661</v>
      </c>
      <c r="H5123" s="361" t="s">
        <v>536</v>
      </c>
      <c r="I5123" s="361" t="s">
        <v>2354</v>
      </c>
      <c r="J5123" s="361"/>
      <c r="K5123" s="327" t="s">
        <v>103</v>
      </c>
      <c r="L5123" s="478">
        <f>40000/1000</f>
        <v>40</v>
      </c>
      <c r="M5123" s="355"/>
      <c r="N5123" s="355" t="s">
        <v>2408</v>
      </c>
      <c r="O5123" s="345"/>
      <c r="P5123" s="325"/>
      <c r="Q5123" s="327"/>
      <c r="R5123" s="351"/>
      <c r="S5123" s="351"/>
      <c r="T5123" s="351"/>
      <c r="U5123" s="329" t="str">
        <f>IF($N5123=$N$4,IFERROR(INDEX(DanhMuc!$E$154:$E$165,MATCH(MID($B5123,4,2),DanhMuc!$B$154:$B$165,0)),""),"")</f>
        <v/>
      </c>
      <c r="V5123" s="361"/>
      <c r="W5123" s="345"/>
      <c r="X5123" s="786"/>
      <c r="Y5123" s="1128" t="s">
        <v>3380</v>
      </c>
      <c r="Z5123" s="1128" t="s">
        <v>3381</v>
      </c>
      <c r="AA5123" s="1128" t="s">
        <v>3384</v>
      </c>
      <c r="AB5123" s="20"/>
      <c r="AC5123" s="73"/>
    </row>
    <row r="5124" spans="1:29" ht="37.5">
      <c r="A5124" s="327" t="str">
        <f>IF(AND($B5124&lt;&gt;"",$C5124&lt;&gt;""),MAX($A$4730:$A5123)+1,"")</f>
        <v/>
      </c>
      <c r="B5124" s="361" t="s">
        <v>734</v>
      </c>
      <c r="C5124" s="362"/>
      <c r="D5124" s="327">
        <f>IF($B5124="","",COUNTIF($B$4731:$B5124,$B5124))</f>
        <v>11</v>
      </c>
      <c r="E5124" s="362" t="s">
        <v>1964</v>
      </c>
      <c r="F5124" s="362" t="s">
        <v>1965</v>
      </c>
      <c r="G5124" s="327" t="s">
        <v>405</v>
      </c>
      <c r="H5124" s="361" t="s">
        <v>536</v>
      </c>
      <c r="I5124" s="361" t="s">
        <v>693</v>
      </c>
      <c r="J5124" s="361"/>
      <c r="K5124" s="327" t="s">
        <v>223</v>
      </c>
      <c r="L5124" s="478">
        <v>140</v>
      </c>
      <c r="M5124" s="371"/>
      <c r="N5124" s="355" t="s">
        <v>2408</v>
      </c>
      <c r="O5124" s="345"/>
      <c r="P5124" s="325"/>
      <c r="Q5124" s="327"/>
      <c r="R5124" s="351"/>
      <c r="S5124" s="351"/>
      <c r="T5124" s="351"/>
      <c r="U5124" s="329" t="str">
        <f>IF($N5124=$N$4,IFERROR(INDEX(DanhMuc!$E$154:$E$165,MATCH(MID($B5124,4,2),DanhMuc!$B$154:$B$165,0)),""),"")</f>
        <v/>
      </c>
      <c r="V5124" s="361"/>
      <c r="W5124" s="345"/>
      <c r="X5124" s="786"/>
      <c r="Y5124" s="1128" t="s">
        <v>3380</v>
      </c>
      <c r="Z5124" s="1128" t="s">
        <v>3381</v>
      </c>
      <c r="AA5124" s="1128" t="s">
        <v>3384</v>
      </c>
      <c r="AB5124" s="20"/>
      <c r="AC5124" s="73"/>
    </row>
    <row r="5125" spans="1:29" ht="37.5">
      <c r="A5125" s="327" t="str">
        <f>IF(AND($B5125&lt;&gt;"",$C5125&lt;&gt;""),MAX($A$4730:$A5124)+1,"")</f>
        <v/>
      </c>
      <c r="B5125" s="361" t="s">
        <v>734</v>
      </c>
      <c r="C5125" s="362"/>
      <c r="D5125" s="327">
        <f>IF($B5125="","",COUNTIF($B$4731:$B5125,$B5125))</f>
        <v>12</v>
      </c>
      <c r="E5125" s="362" t="s">
        <v>2756</v>
      </c>
      <c r="F5125" s="362" t="s">
        <v>2757</v>
      </c>
      <c r="G5125" s="327" t="s">
        <v>405</v>
      </c>
      <c r="H5125" s="361" t="s">
        <v>536</v>
      </c>
      <c r="I5125" s="361" t="s">
        <v>694</v>
      </c>
      <c r="J5125" s="361"/>
      <c r="K5125" s="327" t="s">
        <v>223</v>
      </c>
      <c r="L5125" s="479">
        <v>322</v>
      </c>
      <c r="M5125" s="371"/>
      <c r="N5125" s="355" t="s">
        <v>2408</v>
      </c>
      <c r="O5125" s="345"/>
      <c r="P5125" s="325"/>
      <c r="Q5125" s="327"/>
      <c r="R5125" s="351"/>
      <c r="S5125" s="351"/>
      <c r="T5125" s="351"/>
      <c r="U5125" s="329" t="str">
        <f>IF($N5125=$N$4,IFERROR(INDEX(DanhMuc!$E$154:$E$165,MATCH(MID($B5125,4,2),DanhMuc!$B$154:$B$165,0)),""),"")</f>
        <v/>
      </c>
      <c r="V5125" s="361"/>
      <c r="W5125" s="345"/>
      <c r="X5125" s="786"/>
      <c r="Y5125" s="1128" t="s">
        <v>3380</v>
      </c>
      <c r="Z5125" s="1128" t="s">
        <v>3381</v>
      </c>
      <c r="AA5125" s="1128" t="s">
        <v>3384</v>
      </c>
      <c r="AB5125" s="20"/>
      <c r="AC5125" s="73"/>
    </row>
    <row r="5126" spans="1:29">
      <c r="A5126" s="327" t="str">
        <f>IF(AND($B5126&lt;&gt;"",$C5126&lt;&gt;""),MAX($A$4730:$A5125)+1,"")</f>
        <v/>
      </c>
      <c r="B5126" s="361" t="s">
        <v>734</v>
      </c>
      <c r="C5126" s="362"/>
      <c r="D5126" s="327">
        <f>IF($B5126="","",COUNTIF($B$4731:$B5126,$B5126))</f>
        <v>13</v>
      </c>
      <c r="E5126" s="361" t="s">
        <v>656</v>
      </c>
      <c r="F5126" s="362" t="s">
        <v>2239</v>
      </c>
      <c r="G5126" s="327" t="s">
        <v>405</v>
      </c>
      <c r="H5126" s="361" t="s">
        <v>536</v>
      </c>
      <c r="I5126" s="361" t="s">
        <v>1827</v>
      </c>
      <c r="J5126" s="361"/>
      <c r="K5126" s="327" t="s">
        <v>100</v>
      </c>
      <c r="L5126" s="478">
        <v>970</v>
      </c>
      <c r="M5126" s="371"/>
      <c r="N5126" s="355" t="s">
        <v>2409</v>
      </c>
      <c r="O5126" s="345"/>
      <c r="P5126" s="325"/>
      <c r="Q5126" s="327"/>
      <c r="R5126" s="351"/>
      <c r="S5126" s="351"/>
      <c r="T5126" s="351"/>
      <c r="U5126" s="329" t="str">
        <f>IF($N5126=$N$4,IFERROR(INDEX(DanhMuc!$E$154:$E$165,MATCH(MID($B5126,4,2),DanhMuc!$B$154:$B$165,0)),""),"")</f>
        <v/>
      </c>
      <c r="V5126" s="361"/>
      <c r="W5126" s="345"/>
      <c r="X5126" s="786"/>
      <c r="Y5126" s="1128" t="s">
        <v>3380</v>
      </c>
      <c r="Z5126" s="1128" t="s">
        <v>3381</v>
      </c>
      <c r="AA5126" s="1128" t="s">
        <v>3384</v>
      </c>
      <c r="AB5126" s="20"/>
      <c r="AC5126" s="73"/>
    </row>
    <row r="5127" spans="1:29">
      <c r="A5127" s="327" t="str">
        <f>IF(AND($B5127&lt;&gt;"",$C5127&lt;&gt;""),MAX($A$4730:$A5126)+1,"")</f>
        <v/>
      </c>
      <c r="B5127" s="361" t="s">
        <v>734</v>
      </c>
      <c r="C5127" s="362"/>
      <c r="D5127" s="327">
        <f>IF($B5127="","",COUNTIF($B$4731:$B5127,$B5127))</f>
        <v>14</v>
      </c>
      <c r="E5127" s="361" t="s">
        <v>657</v>
      </c>
      <c r="F5127" s="362" t="s">
        <v>658</v>
      </c>
      <c r="G5127" s="327" t="s">
        <v>424</v>
      </c>
      <c r="H5127" s="361" t="s">
        <v>536</v>
      </c>
      <c r="I5127" s="361" t="s">
        <v>665</v>
      </c>
      <c r="J5127" s="361"/>
      <c r="K5127" s="327" t="s">
        <v>100</v>
      </c>
      <c r="L5127" s="478">
        <v>60000</v>
      </c>
      <c r="M5127" s="355"/>
      <c r="N5127" s="355" t="s">
        <v>2409</v>
      </c>
      <c r="O5127" s="345"/>
      <c r="P5127" s="325"/>
      <c r="Q5127" s="327"/>
      <c r="R5127" s="351"/>
      <c r="S5127" s="351"/>
      <c r="T5127" s="351"/>
      <c r="U5127" s="329" t="str">
        <f>IF($N5127=$N$4,IFERROR(INDEX(DanhMuc!$E$154:$E$165,MATCH(MID($B5127,4,2),DanhMuc!$B$154:$B$165,0)),""),"")</f>
        <v/>
      </c>
      <c r="V5127" s="361"/>
      <c r="W5127" s="345"/>
      <c r="X5127" s="786"/>
      <c r="Y5127" s="1128" t="s">
        <v>3380</v>
      </c>
      <c r="Z5127" s="1128" t="s">
        <v>3381</v>
      </c>
      <c r="AA5127" s="1128" t="s">
        <v>3384</v>
      </c>
      <c r="AB5127" s="20"/>
      <c r="AC5127" s="73"/>
    </row>
    <row r="5128" spans="1:29">
      <c r="A5128" s="327" t="str">
        <f>IF(AND($B5128&lt;&gt;"",$C5128&lt;&gt;""),MAX($A$4730:$A5127)+1,"")</f>
        <v/>
      </c>
      <c r="B5128" s="361" t="s">
        <v>734</v>
      </c>
      <c r="C5128" s="362"/>
      <c r="D5128" s="327">
        <f>IF($B5128="","",COUNTIF($B$4731:$B5128,$B5128))</f>
        <v>15</v>
      </c>
      <c r="E5128" s="361" t="s">
        <v>2771</v>
      </c>
      <c r="F5128" s="362" t="s">
        <v>659</v>
      </c>
      <c r="G5128" s="327" t="s">
        <v>424</v>
      </c>
      <c r="H5128" s="361" t="s">
        <v>536</v>
      </c>
      <c r="I5128" s="361" t="s">
        <v>666</v>
      </c>
      <c r="J5128" s="361"/>
      <c r="K5128" s="327" t="s">
        <v>100</v>
      </c>
      <c r="L5128" s="389">
        <v>53000</v>
      </c>
      <c r="M5128" s="355"/>
      <c r="N5128" s="355" t="s">
        <v>2409</v>
      </c>
      <c r="O5128" s="345"/>
      <c r="P5128" s="325"/>
      <c r="Q5128" s="327"/>
      <c r="R5128" s="351"/>
      <c r="S5128" s="351"/>
      <c r="T5128" s="351"/>
      <c r="U5128" s="329" t="str">
        <f>IF($N5128=$N$4,IFERROR(INDEX(DanhMuc!$E$154:$E$165,MATCH(MID($B5128,4,2),DanhMuc!$B$154:$B$165,0)),""),"")</f>
        <v/>
      </c>
      <c r="V5128" s="361"/>
      <c r="W5128" s="345"/>
      <c r="X5128" s="786"/>
      <c r="Y5128" s="1128" t="s">
        <v>3380</v>
      </c>
      <c r="Z5128" s="1128" t="s">
        <v>3381</v>
      </c>
      <c r="AA5128" s="1128" t="s">
        <v>3384</v>
      </c>
      <c r="AB5128" s="20"/>
      <c r="AC5128" s="73"/>
    </row>
    <row r="5129" spans="1:29">
      <c r="A5129" s="327" t="str">
        <f>IF(AND($B5129&lt;&gt;"",$C5129&lt;&gt;""),MAX($A$4730:$A5128)+1,"")</f>
        <v/>
      </c>
      <c r="B5129" s="361" t="s">
        <v>734</v>
      </c>
      <c r="C5129" s="362"/>
      <c r="D5129" s="327">
        <f>IF($B5129="","",COUNTIF($B$4731:$B5129,$B5129))</f>
        <v>16</v>
      </c>
      <c r="E5129" s="361" t="s">
        <v>1828</v>
      </c>
      <c r="F5129" s="362" t="s">
        <v>671</v>
      </c>
      <c r="G5129" s="327" t="s">
        <v>661</v>
      </c>
      <c r="H5129" s="361" t="s">
        <v>536</v>
      </c>
      <c r="I5129" s="361" t="s">
        <v>2355</v>
      </c>
      <c r="J5129" s="361"/>
      <c r="K5129" s="327" t="s">
        <v>100</v>
      </c>
      <c r="L5129" s="478">
        <f>40000/1000</f>
        <v>40</v>
      </c>
      <c r="M5129" s="355"/>
      <c r="N5129" s="355" t="s">
        <v>2409</v>
      </c>
      <c r="O5129" s="345"/>
      <c r="P5129" s="325"/>
      <c r="Q5129" s="327"/>
      <c r="R5129" s="351"/>
      <c r="S5129" s="351"/>
      <c r="T5129" s="351"/>
      <c r="U5129" s="329" t="str">
        <f>IF($N5129=$N$4,IFERROR(INDEX(DanhMuc!$E$154:$E$165,MATCH(MID($B5129,4,2),DanhMuc!$B$154:$B$165,0)),""),"")</f>
        <v/>
      </c>
      <c r="V5129" s="361"/>
      <c r="W5129" s="345"/>
      <c r="X5129" s="786"/>
      <c r="Y5129" s="1128" t="s">
        <v>3380</v>
      </c>
      <c r="Z5129" s="1128" t="s">
        <v>3381</v>
      </c>
      <c r="AA5129" s="1128" t="s">
        <v>3384</v>
      </c>
      <c r="AB5129" s="20"/>
      <c r="AC5129" s="73"/>
    </row>
    <row r="5130" spans="1:29">
      <c r="A5130" s="327" t="str">
        <f>IF(AND($B5130&lt;&gt;"",$C5130&lt;&gt;""),MAX($A$4730:$A5129)+1,"")</f>
        <v/>
      </c>
      <c r="B5130" s="361" t="s">
        <v>734</v>
      </c>
      <c r="C5130" s="362"/>
      <c r="D5130" s="327">
        <f>IF($B5130="","",COUNTIF($B$4731:$B5130,$B5130))</f>
        <v>17</v>
      </c>
      <c r="E5130" s="361" t="s">
        <v>154</v>
      </c>
      <c r="F5130" s="362" t="s">
        <v>660</v>
      </c>
      <c r="G5130" s="327" t="s">
        <v>661</v>
      </c>
      <c r="H5130" s="361" t="s">
        <v>536</v>
      </c>
      <c r="I5130" s="361" t="s">
        <v>667</v>
      </c>
      <c r="J5130" s="361"/>
      <c r="K5130" s="327" t="s">
        <v>662</v>
      </c>
      <c r="L5130" s="478">
        <v>20</v>
      </c>
      <c r="M5130" s="355"/>
      <c r="N5130" s="355" t="s">
        <v>2409</v>
      </c>
      <c r="O5130" s="345"/>
      <c r="P5130" s="325"/>
      <c r="Q5130" s="327"/>
      <c r="R5130" s="351"/>
      <c r="S5130" s="351"/>
      <c r="T5130" s="351"/>
      <c r="U5130" s="329" t="str">
        <f>IF($N5130=$N$4,IFERROR(INDEX(DanhMuc!$E$154:$E$165,MATCH(MID($B5130,4,2),DanhMuc!$B$154:$B$165,0)),""),"")</f>
        <v/>
      </c>
      <c r="V5130" s="361"/>
      <c r="W5130" s="345"/>
      <c r="X5130" s="786"/>
      <c r="Y5130" s="1128" t="s">
        <v>3380</v>
      </c>
      <c r="Z5130" s="1128" t="s">
        <v>3381</v>
      </c>
      <c r="AA5130" s="1128" t="s">
        <v>3384</v>
      </c>
      <c r="AB5130" s="20"/>
      <c r="AC5130" s="73"/>
    </row>
    <row r="5131" spans="1:29">
      <c r="A5131" s="327" t="str">
        <f>IF(AND($B5131&lt;&gt;"",$C5131&lt;&gt;""),MAX($A$4730:$A5130)+1,"")</f>
        <v/>
      </c>
      <c r="B5131" s="361" t="s">
        <v>734</v>
      </c>
      <c r="C5131" s="362"/>
      <c r="D5131" s="327">
        <f>IF($B5131="","",COUNTIF($B$4731:$B5131,$B5131))</f>
        <v>18</v>
      </c>
      <c r="E5131" s="362" t="s">
        <v>2282</v>
      </c>
      <c r="F5131" s="362" t="s">
        <v>2283</v>
      </c>
      <c r="G5131" s="327" t="s">
        <v>424</v>
      </c>
      <c r="H5131" s="361" t="s">
        <v>536</v>
      </c>
      <c r="I5131" s="361" t="s">
        <v>2238</v>
      </c>
      <c r="J5131" s="361"/>
      <c r="K5131" s="327" t="s">
        <v>662</v>
      </c>
      <c r="L5131" s="478">
        <v>28000</v>
      </c>
      <c r="M5131" s="355"/>
      <c r="N5131" s="355" t="s">
        <v>2409</v>
      </c>
      <c r="O5131" s="345"/>
      <c r="P5131" s="325"/>
      <c r="Q5131" s="327"/>
      <c r="R5131" s="351"/>
      <c r="S5131" s="351"/>
      <c r="T5131" s="351"/>
      <c r="U5131" s="329" t="str">
        <f>IF($N5131=$N$4,IFERROR(INDEX(DanhMuc!$E$154:$E$165,MATCH(MID($B5131,4,2),DanhMuc!$B$154:$B$165,0)),""),"")</f>
        <v/>
      </c>
      <c r="V5131" s="361"/>
      <c r="W5131" s="345"/>
      <c r="X5131" s="786"/>
      <c r="Y5131" s="1128" t="s">
        <v>3380</v>
      </c>
      <c r="Z5131" s="1128" t="s">
        <v>3381</v>
      </c>
      <c r="AA5131" s="1128" t="s">
        <v>3384</v>
      </c>
      <c r="AB5131" s="20"/>
      <c r="AC5131" s="73"/>
    </row>
    <row r="5132" spans="1:29">
      <c r="A5132" s="327" t="str">
        <f>IF(AND($B5132&lt;&gt;"",$C5132&lt;&gt;""),MAX($A$4730:$A5131)+1,"")</f>
        <v/>
      </c>
      <c r="B5132" s="361" t="s">
        <v>734</v>
      </c>
      <c r="C5132" s="362"/>
      <c r="D5132" s="327">
        <f>IF($B5132="","",COUNTIF($B$4731:$B5132,$B5132))</f>
        <v>19</v>
      </c>
      <c r="E5132" s="362" t="s">
        <v>663</v>
      </c>
      <c r="F5132" s="362" t="s">
        <v>664</v>
      </c>
      <c r="G5132" s="327" t="s">
        <v>155</v>
      </c>
      <c r="H5132" s="361" t="s">
        <v>536</v>
      </c>
      <c r="I5132" s="361" t="s">
        <v>672</v>
      </c>
      <c r="J5132" s="361"/>
      <c r="K5132" s="327" t="s">
        <v>662</v>
      </c>
      <c r="L5132" s="478">
        <v>1000</v>
      </c>
      <c r="M5132" s="355"/>
      <c r="N5132" s="355" t="s">
        <v>2409</v>
      </c>
      <c r="O5132" s="345"/>
      <c r="P5132" s="325"/>
      <c r="Q5132" s="327"/>
      <c r="R5132" s="351"/>
      <c r="S5132" s="351"/>
      <c r="T5132" s="351"/>
      <c r="U5132" s="329" t="str">
        <f>IF($N5132=$N$4,IFERROR(INDEX(DanhMuc!$E$154:$E$165,MATCH(MID($B5132,4,2),DanhMuc!$B$154:$B$165,0)),""),"")</f>
        <v/>
      </c>
      <c r="V5132" s="361"/>
      <c r="W5132" s="345"/>
      <c r="X5132" s="786"/>
      <c r="Y5132" s="1128" t="s">
        <v>3380</v>
      </c>
      <c r="Z5132" s="1128" t="s">
        <v>3381</v>
      </c>
      <c r="AA5132" s="1128" t="s">
        <v>3384</v>
      </c>
      <c r="AB5132" s="20"/>
      <c r="AC5132" s="73"/>
    </row>
    <row r="5133" spans="1:29" ht="26">
      <c r="A5133" s="327">
        <f>IF(AND($B5133&lt;&gt;"",$C5133&lt;&gt;""),MAX($A$4730:$A5002)+1,"")</f>
        <v>10</v>
      </c>
      <c r="B5133" s="359" t="s">
        <v>591</v>
      </c>
      <c r="C5133" s="360" t="s">
        <v>1555</v>
      </c>
      <c r="D5133" s="327">
        <f>IF($B5133="","",COUNTIF($B$4731:$B5133,$B5133))</f>
        <v>1</v>
      </c>
      <c r="E5133" s="361" t="s">
        <v>1826</v>
      </c>
      <c r="F5133" s="362" t="s">
        <v>670</v>
      </c>
      <c r="G5133" s="327" t="s">
        <v>661</v>
      </c>
      <c r="H5133" s="361" t="s">
        <v>536</v>
      </c>
      <c r="I5133" s="361" t="s">
        <v>2354</v>
      </c>
      <c r="J5133" s="361"/>
      <c r="K5133" s="327" t="s">
        <v>103</v>
      </c>
      <c r="L5133" s="478">
        <f>40000/1000</f>
        <v>40</v>
      </c>
      <c r="M5133" s="355"/>
      <c r="N5133" s="355" t="s">
        <v>2408</v>
      </c>
      <c r="O5133" s="345"/>
      <c r="P5133" s="325"/>
      <c r="Q5133" s="327"/>
      <c r="R5133" s="351"/>
      <c r="S5133" s="351"/>
      <c r="T5133" s="351"/>
      <c r="U5133" s="329" t="str">
        <f>IF($N5133=$N$4,IFERROR(INDEX(DanhMuc!$E$154:$E$165,MATCH(MID($B5133,4,2),DanhMuc!$B$154:$B$165,0)),""),"")</f>
        <v/>
      </c>
      <c r="V5133" s="361"/>
      <c r="W5133" s="345"/>
      <c r="X5133" s="786"/>
      <c r="Y5133" s="1128" t="s">
        <v>3380</v>
      </c>
      <c r="Z5133" s="1128" t="s">
        <v>3381</v>
      </c>
      <c r="AA5133" s="1128" t="s">
        <v>3384</v>
      </c>
      <c r="AB5133" s="20"/>
      <c r="AC5133" s="73"/>
    </row>
    <row r="5134" spans="1:29" ht="37.5">
      <c r="A5134" s="327" t="str">
        <f>IF(AND($B5134&lt;&gt;"",$C5134&lt;&gt;""),MAX($A$4730:$A5123)+1,"")</f>
        <v/>
      </c>
      <c r="B5134" s="361" t="s">
        <v>591</v>
      </c>
      <c r="C5134" s="360"/>
      <c r="D5134" s="327">
        <f>IF($B5134="","",COUNTIF($B$4731:$B5134,$B5134))</f>
        <v>2</v>
      </c>
      <c r="E5134" s="362" t="s">
        <v>1964</v>
      </c>
      <c r="F5134" s="362" t="s">
        <v>1965</v>
      </c>
      <c r="G5134" s="327" t="s">
        <v>405</v>
      </c>
      <c r="H5134" s="361" t="s">
        <v>536</v>
      </c>
      <c r="I5134" s="361" t="s">
        <v>693</v>
      </c>
      <c r="J5134" s="361"/>
      <c r="K5134" s="327" t="s">
        <v>223</v>
      </c>
      <c r="L5134" s="478">
        <v>140</v>
      </c>
      <c r="M5134" s="371"/>
      <c r="N5134" s="355" t="s">
        <v>2408</v>
      </c>
      <c r="O5134" s="345"/>
      <c r="P5134" s="325"/>
      <c r="Q5134" s="327"/>
      <c r="R5134" s="351"/>
      <c r="S5134" s="351"/>
      <c r="T5134" s="351"/>
      <c r="U5134" s="329" t="str">
        <f>IF($N5134=$N$4,IFERROR(INDEX(DanhMuc!$E$154:$E$165,MATCH(MID($B5134,4,2),DanhMuc!$B$154:$B$165,0)),""),"")</f>
        <v/>
      </c>
      <c r="V5134" s="361"/>
      <c r="W5134" s="345"/>
      <c r="X5134" s="786"/>
      <c r="Y5134" s="1128" t="s">
        <v>3380</v>
      </c>
      <c r="Z5134" s="1128" t="s">
        <v>3381</v>
      </c>
      <c r="AA5134" s="1128" t="s">
        <v>3384</v>
      </c>
      <c r="AB5134" s="20"/>
      <c r="AC5134" s="73"/>
    </row>
    <row r="5135" spans="1:29" ht="37.5">
      <c r="A5135" s="327" t="str">
        <f>IF(AND($B5135&lt;&gt;"",$C5135&lt;&gt;""),MAX($A$4730:$A5133)+1,"")</f>
        <v/>
      </c>
      <c r="B5135" s="361" t="s">
        <v>591</v>
      </c>
      <c r="C5135" s="362"/>
      <c r="D5135" s="327">
        <f>IF($B5135="","",COUNTIF($B$4731:$B5135,$B5135))</f>
        <v>3</v>
      </c>
      <c r="E5135" s="362" t="s">
        <v>2756</v>
      </c>
      <c r="F5135" s="362" t="s">
        <v>2757</v>
      </c>
      <c r="G5135" s="327" t="s">
        <v>405</v>
      </c>
      <c r="H5135" s="361" t="s">
        <v>536</v>
      </c>
      <c r="I5135" s="361" t="s">
        <v>694</v>
      </c>
      <c r="J5135" s="361"/>
      <c r="K5135" s="327" t="s">
        <v>738</v>
      </c>
      <c r="L5135" s="479">
        <v>322</v>
      </c>
      <c r="M5135" s="371"/>
      <c r="N5135" s="355" t="s">
        <v>2408</v>
      </c>
      <c r="O5135" s="345"/>
      <c r="P5135" s="325"/>
      <c r="Q5135" s="327"/>
      <c r="R5135" s="351"/>
      <c r="S5135" s="351"/>
      <c r="T5135" s="351"/>
      <c r="U5135" s="329" t="str">
        <f>IF($N5135=$N$4,IFERROR(INDEX(DanhMuc!$E$154:$E$165,MATCH(MID($B5135,4,2),DanhMuc!$B$154:$B$165,0)),""),"")</f>
        <v/>
      </c>
      <c r="V5135" s="361"/>
      <c r="W5135" s="345"/>
      <c r="X5135" s="786"/>
      <c r="Y5135" s="1128" t="s">
        <v>3380</v>
      </c>
      <c r="Z5135" s="1128" t="s">
        <v>3381</v>
      </c>
      <c r="AA5135" s="1128" t="s">
        <v>3384</v>
      </c>
      <c r="AB5135" s="20"/>
      <c r="AC5135" s="73"/>
    </row>
    <row r="5136" spans="1:29">
      <c r="A5136" s="327" t="str">
        <f>IF(AND($B5136&lt;&gt;"",$C5136&lt;&gt;""),MAX($A$4730:$A5135)+1,"")</f>
        <v/>
      </c>
      <c r="B5136" s="361" t="s">
        <v>591</v>
      </c>
      <c r="C5136" s="362"/>
      <c r="D5136" s="327">
        <f>IF($B5136="","",COUNTIF($B$4731:$B5136,$B5136))</f>
        <v>4</v>
      </c>
      <c r="E5136" s="361" t="s">
        <v>656</v>
      </c>
      <c r="F5136" s="362" t="s">
        <v>2239</v>
      </c>
      <c r="G5136" s="327" t="s">
        <v>405</v>
      </c>
      <c r="H5136" s="361" t="s">
        <v>536</v>
      </c>
      <c r="I5136" s="361" t="s">
        <v>1827</v>
      </c>
      <c r="J5136" s="361"/>
      <c r="K5136" s="327" t="s">
        <v>100</v>
      </c>
      <c r="L5136" s="478">
        <v>970</v>
      </c>
      <c r="M5136" s="371"/>
      <c r="N5136" s="355" t="s">
        <v>2409</v>
      </c>
      <c r="O5136" s="345"/>
      <c r="P5136" s="325"/>
      <c r="Q5136" s="327"/>
      <c r="R5136" s="351"/>
      <c r="S5136" s="351"/>
      <c r="T5136" s="351"/>
      <c r="U5136" s="329" t="str">
        <f>IF($N5136=$N$4,IFERROR(INDEX(DanhMuc!$E$154:$E$165,MATCH(MID($B5136,4,2),DanhMuc!$B$154:$B$165,0)),""),"")</f>
        <v/>
      </c>
      <c r="V5136" s="361"/>
      <c r="W5136" s="345"/>
      <c r="X5136" s="786"/>
      <c r="Y5136" s="1128" t="s">
        <v>3380</v>
      </c>
      <c r="Z5136" s="1128" t="s">
        <v>3381</v>
      </c>
      <c r="AA5136" s="1128" t="s">
        <v>3384</v>
      </c>
      <c r="AB5136" s="20"/>
      <c r="AC5136" s="73"/>
    </row>
    <row r="5137" spans="1:29">
      <c r="A5137" s="327" t="str">
        <f>IF(AND($B5137&lt;&gt;"",$C5137&lt;&gt;""),MAX($A$4730:$A5136)+1,"")</f>
        <v/>
      </c>
      <c r="B5137" s="361" t="s">
        <v>591</v>
      </c>
      <c r="C5137" s="362"/>
      <c r="D5137" s="327">
        <f>IF($B5137="","",COUNTIF($B$4731:$B5137,$B5137))</f>
        <v>5</v>
      </c>
      <c r="E5137" s="361" t="s">
        <v>657</v>
      </c>
      <c r="F5137" s="362" t="s">
        <v>658</v>
      </c>
      <c r="G5137" s="327" t="s">
        <v>424</v>
      </c>
      <c r="H5137" s="361" t="s">
        <v>536</v>
      </c>
      <c r="I5137" s="361" t="s">
        <v>665</v>
      </c>
      <c r="J5137" s="361"/>
      <c r="K5137" s="327" t="s">
        <v>100</v>
      </c>
      <c r="L5137" s="478">
        <v>60000</v>
      </c>
      <c r="M5137" s="355"/>
      <c r="N5137" s="355" t="s">
        <v>2409</v>
      </c>
      <c r="O5137" s="345"/>
      <c r="P5137" s="325"/>
      <c r="Q5137" s="327"/>
      <c r="R5137" s="351"/>
      <c r="S5137" s="351"/>
      <c r="T5137" s="351"/>
      <c r="U5137" s="329" t="str">
        <f>IF($N5137=$N$4,IFERROR(INDEX(DanhMuc!$E$154:$E$165,MATCH(MID($B5137,4,2),DanhMuc!$B$154:$B$165,0)),""),"")</f>
        <v/>
      </c>
      <c r="V5137" s="361"/>
      <c r="W5137" s="345"/>
      <c r="X5137" s="786"/>
      <c r="Y5137" s="1128" t="s">
        <v>3380</v>
      </c>
      <c r="Z5137" s="1128" t="s">
        <v>3381</v>
      </c>
      <c r="AA5137" s="1128" t="s">
        <v>3384</v>
      </c>
      <c r="AB5137" s="20"/>
      <c r="AC5137" s="73"/>
    </row>
    <row r="5138" spans="1:29">
      <c r="A5138" s="327" t="str">
        <f>IF(AND($B5138&lt;&gt;"",$C5138&lt;&gt;""),MAX($A$4730:$A5137)+1,"")</f>
        <v/>
      </c>
      <c r="B5138" s="361" t="s">
        <v>591</v>
      </c>
      <c r="C5138" s="362"/>
      <c r="D5138" s="327">
        <f>IF($B5138="","",COUNTIF($B$4731:$B5138,$B5138))</f>
        <v>6</v>
      </c>
      <c r="E5138" s="361" t="s">
        <v>2771</v>
      </c>
      <c r="F5138" s="362" t="s">
        <v>659</v>
      </c>
      <c r="G5138" s="327" t="s">
        <v>424</v>
      </c>
      <c r="H5138" s="361" t="s">
        <v>536</v>
      </c>
      <c r="I5138" s="361" t="s">
        <v>666</v>
      </c>
      <c r="J5138" s="361"/>
      <c r="K5138" s="327" t="s">
        <v>100</v>
      </c>
      <c r="L5138" s="389">
        <v>53000</v>
      </c>
      <c r="M5138" s="355"/>
      <c r="N5138" s="355" t="s">
        <v>2409</v>
      </c>
      <c r="O5138" s="345"/>
      <c r="P5138" s="325"/>
      <c r="Q5138" s="327"/>
      <c r="R5138" s="351"/>
      <c r="S5138" s="351"/>
      <c r="T5138" s="351"/>
      <c r="U5138" s="329" t="str">
        <f>IF($N5138=$N$4,IFERROR(INDEX(DanhMuc!$E$154:$E$165,MATCH(MID($B5138,4,2),DanhMuc!$B$154:$B$165,0)),""),"")</f>
        <v/>
      </c>
      <c r="V5138" s="361"/>
      <c r="W5138" s="345"/>
      <c r="X5138" s="786"/>
      <c r="Y5138" s="1128" t="s">
        <v>3380</v>
      </c>
      <c r="Z5138" s="1128" t="s">
        <v>3381</v>
      </c>
      <c r="AA5138" s="1128" t="s">
        <v>3384</v>
      </c>
      <c r="AB5138" s="20"/>
      <c r="AC5138" s="73"/>
    </row>
    <row r="5139" spans="1:29">
      <c r="A5139" s="327" t="str">
        <f>IF(AND($B5139&lt;&gt;"",$C5139&lt;&gt;""),MAX($A$4730:$A5138)+1,"")</f>
        <v/>
      </c>
      <c r="B5139" s="361" t="s">
        <v>591</v>
      </c>
      <c r="C5139" s="362"/>
      <c r="D5139" s="327">
        <f>IF($B5139="","",COUNTIF($B$4731:$B5139,$B5139))</f>
        <v>7</v>
      </c>
      <c r="E5139" s="361" t="s">
        <v>1828</v>
      </c>
      <c r="F5139" s="362" t="s">
        <v>671</v>
      </c>
      <c r="G5139" s="327" t="s">
        <v>661</v>
      </c>
      <c r="H5139" s="361" t="s">
        <v>536</v>
      </c>
      <c r="I5139" s="361" t="s">
        <v>2355</v>
      </c>
      <c r="J5139" s="361"/>
      <c r="K5139" s="327" t="s">
        <v>100</v>
      </c>
      <c r="L5139" s="478">
        <f>40000/1000</f>
        <v>40</v>
      </c>
      <c r="M5139" s="355"/>
      <c r="N5139" s="355" t="s">
        <v>2409</v>
      </c>
      <c r="O5139" s="345"/>
      <c r="P5139" s="325"/>
      <c r="Q5139" s="327"/>
      <c r="R5139" s="351"/>
      <c r="S5139" s="351"/>
      <c r="T5139" s="351"/>
      <c r="U5139" s="329" t="str">
        <f>IF($N5139=$N$4,IFERROR(INDEX(DanhMuc!$E$154:$E$165,MATCH(MID($B5139,4,2),DanhMuc!$B$154:$B$165,0)),""),"")</f>
        <v/>
      </c>
      <c r="V5139" s="361"/>
      <c r="W5139" s="345"/>
      <c r="X5139" s="786"/>
      <c r="Y5139" s="1128" t="s">
        <v>3380</v>
      </c>
      <c r="Z5139" s="1128" t="s">
        <v>3381</v>
      </c>
      <c r="AA5139" s="1128" t="s">
        <v>3384</v>
      </c>
      <c r="AB5139" s="20"/>
      <c r="AC5139" s="73"/>
    </row>
    <row r="5140" spans="1:29">
      <c r="A5140" s="327" t="str">
        <f>IF(AND($B5140&lt;&gt;"",$C5140&lt;&gt;""),MAX($A$4730:$A5139)+1,"")</f>
        <v/>
      </c>
      <c r="B5140" s="361" t="s">
        <v>591</v>
      </c>
      <c r="C5140" s="362"/>
      <c r="D5140" s="327">
        <f>IF($B5140="","",COUNTIF($B$4731:$B5140,$B5140))</f>
        <v>8</v>
      </c>
      <c r="E5140" s="361" t="s">
        <v>154</v>
      </c>
      <c r="F5140" s="362" t="s">
        <v>660</v>
      </c>
      <c r="G5140" s="327" t="s">
        <v>661</v>
      </c>
      <c r="H5140" s="361" t="s">
        <v>536</v>
      </c>
      <c r="I5140" s="361" t="s">
        <v>667</v>
      </c>
      <c r="J5140" s="361"/>
      <c r="K5140" s="327" t="s">
        <v>662</v>
      </c>
      <c r="L5140" s="478">
        <v>20</v>
      </c>
      <c r="M5140" s="355"/>
      <c r="N5140" s="355" t="s">
        <v>2409</v>
      </c>
      <c r="O5140" s="345"/>
      <c r="P5140" s="325"/>
      <c r="Q5140" s="327"/>
      <c r="R5140" s="351"/>
      <c r="S5140" s="351"/>
      <c r="T5140" s="351"/>
      <c r="U5140" s="329" t="str">
        <f>IF($N5140=$N$4,IFERROR(INDEX(DanhMuc!$E$154:$E$165,MATCH(MID($B5140,4,2),DanhMuc!$B$154:$B$165,0)),""),"")</f>
        <v/>
      </c>
      <c r="V5140" s="361"/>
      <c r="W5140" s="345"/>
      <c r="X5140" s="786"/>
      <c r="Y5140" s="1128" t="s">
        <v>3380</v>
      </c>
      <c r="Z5140" s="1128" t="s">
        <v>3381</v>
      </c>
      <c r="AA5140" s="1128" t="s">
        <v>3384</v>
      </c>
      <c r="AB5140" s="20"/>
      <c r="AC5140" s="73"/>
    </row>
    <row r="5141" spans="1:29">
      <c r="A5141" s="327" t="str">
        <f>IF(AND($B5141&lt;&gt;"",$C5141&lt;&gt;""),MAX($A$4730:$A5140)+1,"")</f>
        <v/>
      </c>
      <c r="B5141" s="361" t="s">
        <v>591</v>
      </c>
      <c r="C5141" s="362"/>
      <c r="D5141" s="327">
        <f>IF($B5141="","",COUNTIF($B$4731:$B5141,$B5141))</f>
        <v>9</v>
      </c>
      <c r="E5141" s="362" t="s">
        <v>2282</v>
      </c>
      <c r="F5141" s="362" t="s">
        <v>2283</v>
      </c>
      <c r="G5141" s="327" t="s">
        <v>424</v>
      </c>
      <c r="H5141" s="361" t="s">
        <v>536</v>
      </c>
      <c r="I5141" s="361" t="s">
        <v>2238</v>
      </c>
      <c r="J5141" s="361"/>
      <c r="K5141" s="327" t="s">
        <v>662</v>
      </c>
      <c r="L5141" s="478">
        <v>28000</v>
      </c>
      <c r="M5141" s="355"/>
      <c r="N5141" s="355" t="s">
        <v>2409</v>
      </c>
      <c r="O5141" s="345"/>
      <c r="P5141" s="325"/>
      <c r="Q5141" s="327"/>
      <c r="R5141" s="351"/>
      <c r="S5141" s="351"/>
      <c r="T5141" s="351"/>
      <c r="U5141" s="329" t="str">
        <f>IF($N5141=$N$4,IFERROR(INDEX(DanhMuc!$E$154:$E$165,MATCH(MID($B5141,4,2),DanhMuc!$B$154:$B$165,0)),""),"")</f>
        <v/>
      </c>
      <c r="V5141" s="361"/>
      <c r="W5141" s="345"/>
      <c r="X5141" s="786"/>
      <c r="Y5141" s="1128" t="s">
        <v>3380</v>
      </c>
      <c r="Z5141" s="1128" t="s">
        <v>3381</v>
      </c>
      <c r="AA5141" s="1128" t="s">
        <v>3384</v>
      </c>
      <c r="AB5141" s="20"/>
      <c r="AC5141" s="73"/>
    </row>
    <row r="5142" spans="1:29">
      <c r="A5142" s="327" t="str">
        <f>IF(AND($B5142&lt;&gt;"",$C5142&lt;&gt;""),MAX($A$4730:$A5141)+1,"")</f>
        <v/>
      </c>
      <c r="B5142" s="361" t="s">
        <v>591</v>
      </c>
      <c r="C5142" s="362"/>
      <c r="D5142" s="327">
        <f>IF($B5142="","",COUNTIF($B$4731:$B5142,$B5142))</f>
        <v>10</v>
      </c>
      <c r="E5142" s="362" t="s">
        <v>663</v>
      </c>
      <c r="F5142" s="362" t="s">
        <v>664</v>
      </c>
      <c r="G5142" s="327" t="s">
        <v>155</v>
      </c>
      <c r="H5142" s="361" t="s">
        <v>536</v>
      </c>
      <c r="I5142" s="361" t="s">
        <v>672</v>
      </c>
      <c r="J5142" s="361"/>
      <c r="K5142" s="327" t="s">
        <v>662</v>
      </c>
      <c r="L5142" s="478">
        <v>1000</v>
      </c>
      <c r="M5142" s="355"/>
      <c r="N5142" s="355" t="s">
        <v>2409</v>
      </c>
      <c r="O5142" s="345"/>
      <c r="P5142" s="325"/>
      <c r="Q5142" s="327"/>
      <c r="R5142" s="351"/>
      <c r="S5142" s="351"/>
      <c r="T5142" s="351"/>
      <c r="U5142" s="329" t="str">
        <f>IF($N5142=$N$4,IFERROR(INDEX(DanhMuc!$E$154:$E$165,MATCH(MID($B5142,4,2),DanhMuc!$B$154:$B$165,0)),""),"")</f>
        <v/>
      </c>
      <c r="V5142" s="361"/>
      <c r="W5142" s="345"/>
      <c r="X5142" s="786"/>
      <c r="Y5142" s="1128" t="s">
        <v>3380</v>
      </c>
      <c r="Z5142" s="1128" t="s">
        <v>3381</v>
      </c>
      <c r="AA5142" s="1128" t="s">
        <v>3384</v>
      </c>
      <c r="AB5142" s="20"/>
      <c r="AC5142" s="73"/>
    </row>
    <row r="5143" spans="1:29" ht="39">
      <c r="A5143" s="327">
        <f>IF(AND($B5143&lt;&gt;"",$C5143&lt;&gt;""),MAX($A$4730:$A5112)+1,"")</f>
        <v>14</v>
      </c>
      <c r="B5143" s="359" t="s">
        <v>760</v>
      </c>
      <c r="C5143" s="360" t="s">
        <v>1548</v>
      </c>
      <c r="D5143" s="327">
        <f>IF($B5143="","",COUNTIF($B$4731:$B5143,$B5143))</f>
        <v>1</v>
      </c>
      <c r="E5143" s="361" t="s">
        <v>1826</v>
      </c>
      <c r="F5143" s="362" t="s">
        <v>670</v>
      </c>
      <c r="G5143" s="327" t="s">
        <v>661</v>
      </c>
      <c r="H5143" s="361" t="s">
        <v>536</v>
      </c>
      <c r="I5143" s="361" t="s">
        <v>2354</v>
      </c>
      <c r="J5143" s="361"/>
      <c r="K5143" s="327" t="s">
        <v>103</v>
      </c>
      <c r="L5143" s="478">
        <f>40000/1000</f>
        <v>40</v>
      </c>
      <c r="M5143" s="355"/>
      <c r="N5143" s="355" t="s">
        <v>2408</v>
      </c>
      <c r="O5143" s="345"/>
      <c r="P5143" s="325"/>
      <c r="Q5143" s="327"/>
      <c r="R5143" s="351"/>
      <c r="S5143" s="351"/>
      <c r="T5143" s="351"/>
      <c r="U5143" s="329" t="str">
        <f>IF($N5143=$N$4,IFERROR(INDEX(DanhMuc!$E$154:$E$165,MATCH(MID($B5143,4,2),DanhMuc!$B$154:$B$165,0)),""),"")</f>
        <v/>
      </c>
      <c r="V5143" s="361"/>
      <c r="W5143" s="345"/>
      <c r="X5143" s="786"/>
      <c r="Y5143" s="1128" t="s">
        <v>3380</v>
      </c>
      <c r="Z5143" s="1128" t="s">
        <v>3381</v>
      </c>
      <c r="AA5143" s="1128" t="s">
        <v>3384</v>
      </c>
      <c r="AB5143" s="20"/>
      <c r="AC5143" s="73"/>
    </row>
    <row r="5144" spans="1:29" ht="37.5">
      <c r="A5144" s="327" t="str">
        <f>IF(AND($B5144&lt;&gt;"",$C5144&lt;&gt;""),MAX($A$4730:$A5133)+1,"")</f>
        <v/>
      </c>
      <c r="B5144" s="361" t="s">
        <v>760</v>
      </c>
      <c r="C5144" s="360"/>
      <c r="D5144" s="327">
        <f>IF($B5144="","",COUNTIF($B$4731:$B5144,$B5144))</f>
        <v>2</v>
      </c>
      <c r="E5144" s="362" t="s">
        <v>1964</v>
      </c>
      <c r="F5144" s="362" t="s">
        <v>1965</v>
      </c>
      <c r="G5144" s="327" t="s">
        <v>405</v>
      </c>
      <c r="H5144" s="361" t="s">
        <v>536</v>
      </c>
      <c r="I5144" s="361" t="s">
        <v>693</v>
      </c>
      <c r="J5144" s="361"/>
      <c r="K5144" s="327" t="s">
        <v>223</v>
      </c>
      <c r="L5144" s="478">
        <v>140</v>
      </c>
      <c r="M5144" s="371"/>
      <c r="N5144" s="355" t="s">
        <v>2408</v>
      </c>
      <c r="O5144" s="345"/>
      <c r="P5144" s="325"/>
      <c r="Q5144" s="327"/>
      <c r="R5144" s="351"/>
      <c r="S5144" s="351"/>
      <c r="T5144" s="351"/>
      <c r="U5144" s="329" t="str">
        <f>IF($N5144=$N$4,IFERROR(INDEX(DanhMuc!$E$154:$E$165,MATCH(MID($B5144,4,2),DanhMuc!$B$154:$B$165,0)),""),"")</f>
        <v/>
      </c>
      <c r="V5144" s="361"/>
      <c r="W5144" s="345"/>
      <c r="X5144" s="786"/>
      <c r="Y5144" s="1128" t="s">
        <v>3380</v>
      </c>
      <c r="Z5144" s="1128" t="s">
        <v>3381</v>
      </c>
      <c r="AA5144" s="1128" t="s">
        <v>3384</v>
      </c>
      <c r="AB5144" s="20"/>
      <c r="AC5144" s="73"/>
    </row>
    <row r="5145" spans="1:29" ht="37.5">
      <c r="A5145" s="327" t="str">
        <f>IF(AND($B5145&lt;&gt;"",$C5145&lt;&gt;""),MAX($A$4730:$A5143)+1,"")</f>
        <v/>
      </c>
      <c r="B5145" s="361" t="s">
        <v>760</v>
      </c>
      <c r="C5145" s="362"/>
      <c r="D5145" s="327">
        <f>IF($B5145="","",COUNTIF($B$4731:$B5145,$B5145))</f>
        <v>3</v>
      </c>
      <c r="E5145" s="362" t="s">
        <v>2756</v>
      </c>
      <c r="F5145" s="362" t="s">
        <v>2757</v>
      </c>
      <c r="G5145" s="327" t="s">
        <v>405</v>
      </c>
      <c r="H5145" s="361" t="s">
        <v>536</v>
      </c>
      <c r="I5145" s="327">
        <v>100</v>
      </c>
      <c r="J5145" s="361"/>
      <c r="K5145" s="327" t="s">
        <v>738</v>
      </c>
      <c r="L5145" s="479">
        <v>322</v>
      </c>
      <c r="M5145" s="371"/>
      <c r="N5145" s="355" t="s">
        <v>2408</v>
      </c>
      <c r="O5145" s="345"/>
      <c r="P5145" s="325"/>
      <c r="Q5145" s="327"/>
      <c r="R5145" s="351"/>
      <c r="S5145" s="351"/>
      <c r="T5145" s="351"/>
      <c r="U5145" s="329" t="str">
        <f>IF($N5145=$N$4,IFERROR(INDEX(DanhMuc!$E$154:$E$165,MATCH(MID($B5145,4,2),DanhMuc!$B$154:$B$165,0)),""),"")</f>
        <v/>
      </c>
      <c r="V5145" s="361"/>
      <c r="W5145" s="345"/>
      <c r="X5145" s="786"/>
      <c r="Y5145" s="1128" t="s">
        <v>3380</v>
      </c>
      <c r="Z5145" s="1128" t="s">
        <v>3381</v>
      </c>
      <c r="AA5145" s="1128" t="s">
        <v>3384</v>
      </c>
      <c r="AB5145" s="20"/>
      <c r="AC5145" s="73"/>
    </row>
    <row r="5146" spans="1:29">
      <c r="A5146" s="327" t="str">
        <f>IF(AND($B5146&lt;&gt;"",$C5146&lt;&gt;""),MAX($A$4730:$A5145)+1,"")</f>
        <v/>
      </c>
      <c r="B5146" s="361" t="s">
        <v>760</v>
      </c>
      <c r="C5146" s="362"/>
      <c r="D5146" s="327">
        <f>IF($B5146="","",COUNTIF($B$4731:$B5146,$B5146))</f>
        <v>4</v>
      </c>
      <c r="E5146" s="361" t="s">
        <v>656</v>
      </c>
      <c r="F5146" s="362" t="s">
        <v>2239</v>
      </c>
      <c r="G5146" s="327" t="s">
        <v>405</v>
      </c>
      <c r="H5146" s="361" t="s">
        <v>536</v>
      </c>
      <c r="I5146" s="361" t="s">
        <v>1827</v>
      </c>
      <c r="J5146" s="361"/>
      <c r="K5146" s="327" t="s">
        <v>100</v>
      </c>
      <c r="L5146" s="478">
        <v>970</v>
      </c>
      <c r="M5146" s="371"/>
      <c r="N5146" s="355" t="s">
        <v>2409</v>
      </c>
      <c r="O5146" s="345"/>
      <c r="P5146" s="325"/>
      <c r="Q5146" s="327"/>
      <c r="R5146" s="351"/>
      <c r="S5146" s="351"/>
      <c r="T5146" s="351"/>
      <c r="U5146" s="329" t="str">
        <f>IF($N5146=$N$4,IFERROR(INDEX(DanhMuc!$E$154:$E$165,MATCH(MID($B5146,4,2),DanhMuc!$B$154:$B$165,0)),""),"")</f>
        <v/>
      </c>
      <c r="V5146" s="361"/>
      <c r="W5146" s="345"/>
      <c r="X5146" s="786"/>
      <c r="Y5146" s="1128" t="s">
        <v>3380</v>
      </c>
      <c r="Z5146" s="1128" t="s">
        <v>3381</v>
      </c>
      <c r="AA5146" s="1128" t="s">
        <v>3384</v>
      </c>
      <c r="AB5146" s="20"/>
      <c r="AC5146" s="73"/>
    </row>
    <row r="5147" spans="1:29">
      <c r="A5147" s="327" t="str">
        <f>IF(AND($B5147&lt;&gt;"",$C5147&lt;&gt;""),MAX($A$4730:$A5146)+1,"")</f>
        <v/>
      </c>
      <c r="B5147" s="361" t="s">
        <v>760</v>
      </c>
      <c r="C5147" s="362"/>
      <c r="D5147" s="327">
        <f>IF($B5147="","",COUNTIF($B$4731:$B5147,$B5147))</f>
        <v>5</v>
      </c>
      <c r="E5147" s="361" t="s">
        <v>657</v>
      </c>
      <c r="F5147" s="362" t="s">
        <v>658</v>
      </c>
      <c r="G5147" s="327" t="s">
        <v>424</v>
      </c>
      <c r="H5147" s="361" t="s">
        <v>536</v>
      </c>
      <c r="I5147" s="361" t="s">
        <v>665</v>
      </c>
      <c r="J5147" s="361"/>
      <c r="K5147" s="327" t="s">
        <v>100</v>
      </c>
      <c r="L5147" s="478">
        <v>60000</v>
      </c>
      <c r="M5147" s="355"/>
      <c r="N5147" s="355" t="s">
        <v>2409</v>
      </c>
      <c r="O5147" s="345"/>
      <c r="P5147" s="325"/>
      <c r="Q5147" s="327"/>
      <c r="R5147" s="351"/>
      <c r="S5147" s="351"/>
      <c r="T5147" s="351"/>
      <c r="U5147" s="329" t="str">
        <f>IF($N5147=$N$4,IFERROR(INDEX(DanhMuc!$E$154:$E$165,MATCH(MID($B5147,4,2),DanhMuc!$B$154:$B$165,0)),""),"")</f>
        <v/>
      </c>
      <c r="V5147" s="361"/>
      <c r="W5147" s="345"/>
      <c r="X5147" s="786"/>
      <c r="Y5147" s="1128" t="s">
        <v>3380</v>
      </c>
      <c r="Z5147" s="1128" t="s">
        <v>3381</v>
      </c>
      <c r="AA5147" s="1128" t="s">
        <v>3384</v>
      </c>
      <c r="AB5147" s="20"/>
      <c r="AC5147" s="73"/>
    </row>
    <row r="5148" spans="1:29">
      <c r="A5148" s="327" t="str">
        <f>IF(AND($B5148&lt;&gt;"",$C5148&lt;&gt;""),MAX($A$4730:$A5147)+1,"")</f>
        <v/>
      </c>
      <c r="B5148" s="361" t="s">
        <v>760</v>
      </c>
      <c r="C5148" s="362"/>
      <c r="D5148" s="327">
        <f>IF($B5148="","",COUNTIF($B$4731:$B5148,$B5148))</f>
        <v>6</v>
      </c>
      <c r="E5148" s="361" t="s">
        <v>2771</v>
      </c>
      <c r="F5148" s="362" t="s">
        <v>659</v>
      </c>
      <c r="G5148" s="327" t="s">
        <v>424</v>
      </c>
      <c r="H5148" s="361" t="s">
        <v>536</v>
      </c>
      <c r="I5148" s="361" t="s">
        <v>666</v>
      </c>
      <c r="J5148" s="361"/>
      <c r="K5148" s="327" t="s">
        <v>100</v>
      </c>
      <c r="L5148" s="389">
        <v>53000</v>
      </c>
      <c r="M5148" s="355"/>
      <c r="N5148" s="355" t="s">
        <v>2409</v>
      </c>
      <c r="O5148" s="345"/>
      <c r="P5148" s="325"/>
      <c r="Q5148" s="327"/>
      <c r="R5148" s="351"/>
      <c r="S5148" s="351"/>
      <c r="T5148" s="351"/>
      <c r="U5148" s="329" t="str">
        <f>IF($N5148=$N$4,IFERROR(INDEX(DanhMuc!$E$154:$E$165,MATCH(MID($B5148,4,2),DanhMuc!$B$154:$B$165,0)),""),"")</f>
        <v/>
      </c>
      <c r="V5148" s="361"/>
      <c r="W5148" s="345"/>
      <c r="X5148" s="786"/>
      <c r="Y5148" s="1128" t="s">
        <v>3380</v>
      </c>
      <c r="Z5148" s="1128" t="s">
        <v>3381</v>
      </c>
      <c r="AA5148" s="1128" t="s">
        <v>3384</v>
      </c>
      <c r="AB5148" s="20"/>
      <c r="AC5148" s="73"/>
    </row>
    <row r="5149" spans="1:29">
      <c r="A5149" s="327" t="str">
        <f>IF(AND($B5149&lt;&gt;"",$C5149&lt;&gt;""),MAX($A$4730:$A5148)+1,"")</f>
        <v/>
      </c>
      <c r="B5149" s="361" t="s">
        <v>760</v>
      </c>
      <c r="C5149" s="362"/>
      <c r="D5149" s="327">
        <f>IF($B5149="","",COUNTIF($B$4731:$B5149,$B5149))</f>
        <v>7</v>
      </c>
      <c r="E5149" s="361" t="s">
        <v>1828</v>
      </c>
      <c r="F5149" s="362" t="s">
        <v>671</v>
      </c>
      <c r="G5149" s="327" t="s">
        <v>661</v>
      </c>
      <c r="H5149" s="361" t="s">
        <v>536</v>
      </c>
      <c r="I5149" s="361" t="s">
        <v>2355</v>
      </c>
      <c r="J5149" s="361"/>
      <c r="K5149" s="327" t="s">
        <v>100</v>
      </c>
      <c r="L5149" s="478">
        <f>40000/1000</f>
        <v>40</v>
      </c>
      <c r="M5149" s="355"/>
      <c r="N5149" s="355" t="s">
        <v>2409</v>
      </c>
      <c r="O5149" s="345"/>
      <c r="P5149" s="325"/>
      <c r="Q5149" s="327"/>
      <c r="R5149" s="351"/>
      <c r="S5149" s="351"/>
      <c r="T5149" s="351"/>
      <c r="U5149" s="329" t="str">
        <f>IF($N5149=$N$4,IFERROR(INDEX(DanhMuc!$E$154:$E$165,MATCH(MID($B5149,4,2),DanhMuc!$B$154:$B$165,0)),""),"")</f>
        <v/>
      </c>
      <c r="V5149" s="361"/>
      <c r="W5149" s="345"/>
      <c r="X5149" s="786"/>
      <c r="Y5149" s="1128" t="s">
        <v>3380</v>
      </c>
      <c r="Z5149" s="1128" t="s">
        <v>3381</v>
      </c>
      <c r="AA5149" s="1128" t="s">
        <v>3384</v>
      </c>
      <c r="AB5149" s="20"/>
      <c r="AC5149" s="73"/>
    </row>
    <row r="5150" spans="1:29">
      <c r="A5150" s="327" t="str">
        <f>IF(AND($B5150&lt;&gt;"",$C5150&lt;&gt;""),MAX($A$4730:$A5149)+1,"")</f>
        <v/>
      </c>
      <c r="B5150" s="361" t="s">
        <v>760</v>
      </c>
      <c r="C5150" s="362"/>
      <c r="D5150" s="327">
        <f>IF($B5150="","",COUNTIF($B$4731:$B5150,$B5150))</f>
        <v>8</v>
      </c>
      <c r="E5150" s="361" t="s">
        <v>154</v>
      </c>
      <c r="F5150" s="362" t="s">
        <v>660</v>
      </c>
      <c r="G5150" s="327" t="s">
        <v>661</v>
      </c>
      <c r="H5150" s="361" t="s">
        <v>536</v>
      </c>
      <c r="I5150" s="361" t="s">
        <v>667</v>
      </c>
      <c r="J5150" s="361"/>
      <c r="K5150" s="327" t="s">
        <v>662</v>
      </c>
      <c r="L5150" s="478">
        <v>20</v>
      </c>
      <c r="M5150" s="355"/>
      <c r="N5150" s="355" t="s">
        <v>2409</v>
      </c>
      <c r="O5150" s="345"/>
      <c r="P5150" s="325"/>
      <c r="Q5150" s="327"/>
      <c r="R5150" s="351"/>
      <c r="S5150" s="351"/>
      <c r="T5150" s="351"/>
      <c r="U5150" s="329" t="str">
        <f>IF($N5150=$N$4,IFERROR(INDEX(DanhMuc!$E$154:$E$165,MATCH(MID($B5150,4,2),DanhMuc!$B$154:$B$165,0)),""),"")</f>
        <v/>
      </c>
      <c r="V5150" s="361"/>
      <c r="W5150" s="345"/>
      <c r="X5150" s="786"/>
      <c r="Y5150" s="1128" t="s">
        <v>3380</v>
      </c>
      <c r="Z5150" s="1128" t="s">
        <v>3381</v>
      </c>
      <c r="AA5150" s="1128" t="s">
        <v>3384</v>
      </c>
      <c r="AB5150" s="20"/>
      <c r="AC5150" s="73"/>
    </row>
    <row r="5151" spans="1:29">
      <c r="A5151" s="327" t="str">
        <f>IF(AND($B5151&lt;&gt;"",$C5151&lt;&gt;""),MAX($A$4730:$A5150)+1,"")</f>
        <v/>
      </c>
      <c r="B5151" s="361" t="s">
        <v>760</v>
      </c>
      <c r="C5151" s="362"/>
      <c r="D5151" s="327">
        <f>IF($B5151="","",COUNTIF($B$4731:$B5151,$B5151))</f>
        <v>9</v>
      </c>
      <c r="E5151" s="362" t="s">
        <v>2282</v>
      </c>
      <c r="F5151" s="362" t="s">
        <v>2283</v>
      </c>
      <c r="G5151" s="327" t="s">
        <v>424</v>
      </c>
      <c r="H5151" s="361" t="s">
        <v>536</v>
      </c>
      <c r="I5151" s="361" t="s">
        <v>2238</v>
      </c>
      <c r="J5151" s="361"/>
      <c r="K5151" s="327" t="s">
        <v>662</v>
      </c>
      <c r="L5151" s="478">
        <v>28000</v>
      </c>
      <c r="M5151" s="355"/>
      <c r="N5151" s="355" t="s">
        <v>2409</v>
      </c>
      <c r="O5151" s="345"/>
      <c r="P5151" s="325"/>
      <c r="Q5151" s="327"/>
      <c r="R5151" s="351"/>
      <c r="S5151" s="351"/>
      <c r="T5151" s="351"/>
      <c r="U5151" s="329" t="str">
        <f>IF($N5151=$N$4,IFERROR(INDEX(DanhMuc!$E$154:$E$165,MATCH(MID($B5151,4,2),DanhMuc!$B$154:$B$165,0)),""),"")</f>
        <v/>
      </c>
      <c r="V5151" s="361"/>
      <c r="W5151" s="345"/>
      <c r="X5151" s="786"/>
      <c r="Y5151" s="1128" t="s">
        <v>3380</v>
      </c>
      <c r="Z5151" s="1128" t="s">
        <v>3381</v>
      </c>
      <c r="AA5151" s="1128" t="s">
        <v>3384</v>
      </c>
      <c r="AB5151" s="20"/>
      <c r="AC5151" s="73"/>
    </row>
    <row r="5152" spans="1:29">
      <c r="A5152" s="327" t="str">
        <f>IF(AND($B5152&lt;&gt;"",$C5152&lt;&gt;""),MAX($A$4730:$A5151)+1,"")</f>
        <v/>
      </c>
      <c r="B5152" s="361" t="s">
        <v>760</v>
      </c>
      <c r="C5152" s="362"/>
      <c r="D5152" s="327">
        <f>IF($B5152="","",COUNTIF($B$4731:$B5152,$B5152))</f>
        <v>10</v>
      </c>
      <c r="E5152" s="362" t="s">
        <v>663</v>
      </c>
      <c r="F5152" s="362" t="s">
        <v>664</v>
      </c>
      <c r="G5152" s="327" t="s">
        <v>155</v>
      </c>
      <c r="H5152" s="361" t="s">
        <v>536</v>
      </c>
      <c r="I5152" s="361" t="s">
        <v>672</v>
      </c>
      <c r="J5152" s="361"/>
      <c r="K5152" s="327" t="s">
        <v>662</v>
      </c>
      <c r="L5152" s="478">
        <v>1000</v>
      </c>
      <c r="M5152" s="355"/>
      <c r="N5152" s="355" t="s">
        <v>2409</v>
      </c>
      <c r="O5152" s="345"/>
      <c r="P5152" s="325"/>
      <c r="Q5152" s="327"/>
      <c r="R5152" s="351"/>
      <c r="S5152" s="351"/>
      <c r="T5152" s="351"/>
      <c r="U5152" s="329" t="str">
        <f>IF($N5152=$N$4,IFERROR(INDEX(DanhMuc!$E$154:$E$165,MATCH(MID($B5152,4,2),DanhMuc!$B$154:$B$165,0)),""),"")</f>
        <v/>
      </c>
      <c r="V5152" s="361"/>
      <c r="W5152" s="345"/>
      <c r="X5152" s="786"/>
      <c r="Y5152" s="1128" t="s">
        <v>3380</v>
      </c>
      <c r="Z5152" s="1128" t="s">
        <v>3381</v>
      </c>
      <c r="AA5152" s="1128" t="s">
        <v>3384</v>
      </c>
      <c r="AB5152" s="20"/>
      <c r="AC5152" s="73"/>
    </row>
    <row r="5153" spans="1:29" ht="39">
      <c r="A5153" s="327">
        <f>IF(AND($B5153&lt;&gt;"",$C5153&lt;&gt;""),MAX($A$4730:$A5052)+1,"")</f>
        <v>11</v>
      </c>
      <c r="B5153" s="359" t="s">
        <v>3214</v>
      </c>
      <c r="C5153" s="360" t="s">
        <v>3215</v>
      </c>
      <c r="D5153" s="327">
        <f>IF($B5153="","",COUNTIF($B$4731:$B5153,$B5153))</f>
        <v>1</v>
      </c>
      <c r="E5153" s="361" t="s">
        <v>1826</v>
      </c>
      <c r="F5153" s="362" t="s">
        <v>670</v>
      </c>
      <c r="G5153" s="327" t="s">
        <v>661</v>
      </c>
      <c r="H5153" s="361" t="s">
        <v>536</v>
      </c>
      <c r="I5153" s="361" t="s">
        <v>2354</v>
      </c>
      <c r="J5153" s="361"/>
      <c r="K5153" s="327" t="s">
        <v>103</v>
      </c>
      <c r="L5153" s="478">
        <f>40000/1000</f>
        <v>40</v>
      </c>
      <c r="M5153" s="355"/>
      <c r="N5153" s="355" t="s">
        <v>2408</v>
      </c>
      <c r="O5153" s="345"/>
      <c r="P5153" s="325"/>
      <c r="Q5153" s="327"/>
      <c r="R5153" s="351"/>
      <c r="S5153" s="351"/>
      <c r="T5153" s="351"/>
      <c r="U5153" s="329" t="str">
        <f>IF($N5153=$N$4,IFERROR(INDEX(DanhMuc!$E$154:$E$165,MATCH(MID($B5153,4,2),DanhMuc!$B$154:$B$165,0)),""),"")</f>
        <v/>
      </c>
      <c r="V5153" s="361"/>
      <c r="W5153" s="345"/>
      <c r="X5153" s="786"/>
      <c r="Y5153" s="1128" t="s">
        <v>3380</v>
      </c>
      <c r="Z5153" s="1128" t="s">
        <v>3381</v>
      </c>
      <c r="AA5153" s="1128" t="s">
        <v>3384</v>
      </c>
      <c r="AB5153" s="20"/>
      <c r="AC5153" s="73"/>
    </row>
    <row r="5154" spans="1:29" ht="37.5">
      <c r="A5154" s="327" t="str">
        <f>IF(AND($B5154&lt;&gt;"",$C5154&lt;&gt;""),MAX($A$4730:$A5133)+1,"")</f>
        <v/>
      </c>
      <c r="B5154" s="361" t="s">
        <v>3214</v>
      </c>
      <c r="C5154" s="360"/>
      <c r="D5154" s="327">
        <f>IF($B5154="","",COUNTIF($B$4731:$B5154,$B5154))</f>
        <v>2</v>
      </c>
      <c r="E5154" s="362" t="s">
        <v>1964</v>
      </c>
      <c r="F5154" s="362" t="s">
        <v>1965</v>
      </c>
      <c r="G5154" s="327" t="s">
        <v>405</v>
      </c>
      <c r="H5154" s="361" t="s">
        <v>536</v>
      </c>
      <c r="I5154" s="361" t="s">
        <v>693</v>
      </c>
      <c r="J5154" s="361"/>
      <c r="K5154" s="327" t="s">
        <v>223</v>
      </c>
      <c r="L5154" s="478">
        <v>140</v>
      </c>
      <c r="M5154" s="371"/>
      <c r="N5154" s="355" t="s">
        <v>2408</v>
      </c>
      <c r="O5154" s="345"/>
      <c r="P5154" s="325"/>
      <c r="Q5154" s="327"/>
      <c r="R5154" s="351"/>
      <c r="S5154" s="351"/>
      <c r="T5154" s="351"/>
      <c r="U5154" s="329" t="str">
        <f>IF($N5154=$N$4,IFERROR(INDEX(DanhMuc!$E$154:$E$165,MATCH(MID($B5154,4,2),DanhMuc!$B$154:$B$165,0)),""),"")</f>
        <v/>
      </c>
      <c r="V5154" s="361"/>
      <c r="W5154" s="345"/>
      <c r="X5154" s="786"/>
      <c r="Y5154" s="1128" t="s">
        <v>3380</v>
      </c>
      <c r="Z5154" s="1128" t="s">
        <v>3381</v>
      </c>
      <c r="AA5154" s="1128" t="s">
        <v>3384</v>
      </c>
      <c r="AB5154" s="20"/>
      <c r="AC5154" s="73"/>
    </row>
    <row r="5155" spans="1:29" ht="37.5">
      <c r="A5155" s="327" t="str">
        <f>IF(AND($B5155&lt;&gt;"",$C5155&lt;&gt;""),MAX($A$4730:$A5153)+1,"")</f>
        <v/>
      </c>
      <c r="B5155" s="361" t="s">
        <v>3214</v>
      </c>
      <c r="C5155" s="362"/>
      <c r="D5155" s="327">
        <f>IF($B5155="","",COUNTIF($B$4731:$B5155,$B5155))</f>
        <v>3</v>
      </c>
      <c r="E5155" s="362" t="s">
        <v>2756</v>
      </c>
      <c r="F5155" s="362" t="s">
        <v>2757</v>
      </c>
      <c r="G5155" s="327" t="s">
        <v>405</v>
      </c>
      <c r="H5155" s="361" t="s">
        <v>536</v>
      </c>
      <c r="I5155" s="361" t="s">
        <v>694</v>
      </c>
      <c r="J5155" s="361"/>
      <c r="K5155" s="327" t="s">
        <v>738</v>
      </c>
      <c r="L5155" s="479">
        <v>322</v>
      </c>
      <c r="M5155" s="371"/>
      <c r="N5155" s="355" t="s">
        <v>2408</v>
      </c>
      <c r="O5155" s="345"/>
      <c r="P5155" s="325"/>
      <c r="Q5155" s="327"/>
      <c r="R5155" s="351"/>
      <c r="S5155" s="351"/>
      <c r="T5155" s="351"/>
      <c r="U5155" s="329" t="str">
        <f>IF($N5155=$N$4,IFERROR(INDEX(DanhMuc!$E$154:$E$165,MATCH(MID($B5155,4,2),DanhMuc!$B$154:$B$165,0)),""),"")</f>
        <v/>
      </c>
      <c r="V5155" s="361"/>
      <c r="W5155" s="345"/>
      <c r="X5155" s="786"/>
      <c r="Y5155" s="1128" t="s">
        <v>3380</v>
      </c>
      <c r="Z5155" s="1128" t="s">
        <v>3381</v>
      </c>
      <c r="AA5155" s="1128" t="s">
        <v>3384</v>
      </c>
      <c r="AB5155" s="20"/>
      <c r="AC5155" s="73"/>
    </row>
    <row r="5156" spans="1:29">
      <c r="A5156" s="327" t="str">
        <f>IF(AND($B5156&lt;&gt;"",$C5156&lt;&gt;""),MAX($A$4730:$A5155)+1,"")</f>
        <v/>
      </c>
      <c r="B5156" s="361" t="s">
        <v>3214</v>
      </c>
      <c r="C5156" s="362"/>
      <c r="D5156" s="327">
        <f>IF($B5156="","",COUNTIF($B$4731:$B5156,$B5156))</f>
        <v>4</v>
      </c>
      <c r="E5156" s="361" t="s">
        <v>656</v>
      </c>
      <c r="F5156" s="362" t="s">
        <v>2239</v>
      </c>
      <c r="G5156" s="327" t="s">
        <v>405</v>
      </c>
      <c r="H5156" s="361" t="s">
        <v>536</v>
      </c>
      <c r="I5156" s="361" t="s">
        <v>1827</v>
      </c>
      <c r="J5156" s="361"/>
      <c r="K5156" s="327" t="s">
        <v>100</v>
      </c>
      <c r="L5156" s="478">
        <v>970</v>
      </c>
      <c r="M5156" s="371"/>
      <c r="N5156" s="355" t="s">
        <v>2409</v>
      </c>
      <c r="O5156" s="345"/>
      <c r="P5156" s="325"/>
      <c r="Q5156" s="327"/>
      <c r="R5156" s="351"/>
      <c r="S5156" s="351"/>
      <c r="T5156" s="351"/>
      <c r="U5156" s="329" t="str">
        <f>IF($N5156=$N$4,IFERROR(INDEX(DanhMuc!$E$154:$E$165,MATCH(MID($B5156,4,2),DanhMuc!$B$154:$B$165,0)),""),"")</f>
        <v/>
      </c>
      <c r="V5156" s="361"/>
      <c r="W5156" s="345"/>
      <c r="X5156" s="786"/>
      <c r="Y5156" s="1128" t="s">
        <v>3380</v>
      </c>
      <c r="Z5156" s="1128" t="s">
        <v>3381</v>
      </c>
      <c r="AA5156" s="1128" t="s">
        <v>3384</v>
      </c>
      <c r="AB5156" s="20"/>
      <c r="AC5156" s="73"/>
    </row>
    <row r="5157" spans="1:29">
      <c r="A5157" s="327" t="str">
        <f>IF(AND($B5157&lt;&gt;"",$C5157&lt;&gt;""),MAX($A$4730:$A5156)+1,"")</f>
        <v/>
      </c>
      <c r="B5157" s="361" t="s">
        <v>3214</v>
      </c>
      <c r="C5157" s="362"/>
      <c r="D5157" s="327">
        <f>IF($B5157="","",COUNTIF($B$4731:$B5157,$B5157))</f>
        <v>5</v>
      </c>
      <c r="E5157" s="361" t="s">
        <v>657</v>
      </c>
      <c r="F5157" s="362" t="s">
        <v>658</v>
      </c>
      <c r="G5157" s="327" t="s">
        <v>424</v>
      </c>
      <c r="H5157" s="361" t="s">
        <v>536</v>
      </c>
      <c r="I5157" s="361" t="s">
        <v>665</v>
      </c>
      <c r="J5157" s="361"/>
      <c r="K5157" s="327" t="s">
        <v>100</v>
      </c>
      <c r="L5157" s="478">
        <v>60000</v>
      </c>
      <c r="M5157" s="355"/>
      <c r="N5157" s="355" t="s">
        <v>2409</v>
      </c>
      <c r="O5157" s="345"/>
      <c r="P5157" s="325"/>
      <c r="Q5157" s="327"/>
      <c r="R5157" s="351"/>
      <c r="S5157" s="351"/>
      <c r="T5157" s="351"/>
      <c r="U5157" s="329" t="str">
        <f>IF($N5157=$N$4,IFERROR(INDEX(DanhMuc!$E$154:$E$165,MATCH(MID($B5157,4,2),DanhMuc!$B$154:$B$165,0)),""),"")</f>
        <v/>
      </c>
      <c r="V5157" s="361"/>
      <c r="W5157" s="345"/>
      <c r="X5157" s="786"/>
      <c r="Y5157" s="1128" t="s">
        <v>3380</v>
      </c>
      <c r="Z5157" s="1128" t="s">
        <v>3381</v>
      </c>
      <c r="AA5157" s="1128" t="s">
        <v>3384</v>
      </c>
      <c r="AB5157" s="20"/>
      <c r="AC5157" s="73"/>
    </row>
    <row r="5158" spans="1:29">
      <c r="A5158" s="327" t="str">
        <f>IF(AND($B5158&lt;&gt;"",$C5158&lt;&gt;""),MAX($A$4730:$A5157)+1,"")</f>
        <v/>
      </c>
      <c r="B5158" s="361" t="s">
        <v>3214</v>
      </c>
      <c r="C5158" s="362"/>
      <c r="D5158" s="327">
        <f>IF($B5158="","",COUNTIF($B$4731:$B5158,$B5158))</f>
        <v>6</v>
      </c>
      <c r="E5158" s="361" t="s">
        <v>2771</v>
      </c>
      <c r="F5158" s="362" t="s">
        <v>659</v>
      </c>
      <c r="G5158" s="327" t="s">
        <v>424</v>
      </c>
      <c r="H5158" s="361" t="s">
        <v>536</v>
      </c>
      <c r="I5158" s="361" t="s">
        <v>666</v>
      </c>
      <c r="J5158" s="361"/>
      <c r="K5158" s="327" t="s">
        <v>100</v>
      </c>
      <c r="L5158" s="389">
        <v>53000</v>
      </c>
      <c r="M5158" s="355"/>
      <c r="N5158" s="355" t="s">
        <v>2409</v>
      </c>
      <c r="O5158" s="345"/>
      <c r="P5158" s="325"/>
      <c r="Q5158" s="327"/>
      <c r="R5158" s="351"/>
      <c r="S5158" s="351"/>
      <c r="T5158" s="351"/>
      <c r="U5158" s="329" t="str">
        <f>IF($N5158=$N$4,IFERROR(INDEX(DanhMuc!$E$154:$E$165,MATCH(MID($B5158,4,2),DanhMuc!$B$154:$B$165,0)),""),"")</f>
        <v/>
      </c>
      <c r="V5158" s="361"/>
      <c r="W5158" s="345"/>
      <c r="X5158" s="786"/>
      <c r="Y5158" s="1128" t="s">
        <v>3380</v>
      </c>
      <c r="Z5158" s="1128" t="s">
        <v>3381</v>
      </c>
      <c r="AA5158" s="1128" t="s">
        <v>3384</v>
      </c>
      <c r="AB5158" s="20"/>
      <c r="AC5158" s="73"/>
    </row>
    <row r="5159" spans="1:29">
      <c r="A5159" s="327" t="str">
        <f>IF(AND($B5159&lt;&gt;"",$C5159&lt;&gt;""),MAX($A$4730:$A5158)+1,"")</f>
        <v/>
      </c>
      <c r="B5159" s="361" t="s">
        <v>3214</v>
      </c>
      <c r="C5159" s="362"/>
      <c r="D5159" s="327">
        <f>IF($B5159="","",COUNTIF($B$4731:$B5159,$B5159))</f>
        <v>7</v>
      </c>
      <c r="E5159" s="361" t="s">
        <v>1828</v>
      </c>
      <c r="F5159" s="362" t="s">
        <v>671</v>
      </c>
      <c r="G5159" s="327" t="s">
        <v>661</v>
      </c>
      <c r="H5159" s="361" t="s">
        <v>536</v>
      </c>
      <c r="I5159" s="361" t="s">
        <v>2355</v>
      </c>
      <c r="J5159" s="361"/>
      <c r="K5159" s="327" t="s">
        <v>100</v>
      </c>
      <c r="L5159" s="478">
        <f>40000/1000</f>
        <v>40</v>
      </c>
      <c r="M5159" s="355"/>
      <c r="N5159" s="355" t="s">
        <v>2409</v>
      </c>
      <c r="O5159" s="345"/>
      <c r="P5159" s="325"/>
      <c r="Q5159" s="327"/>
      <c r="R5159" s="351"/>
      <c r="S5159" s="351"/>
      <c r="T5159" s="351"/>
      <c r="U5159" s="329" t="str">
        <f>IF($N5159=$N$4,IFERROR(INDEX(DanhMuc!$E$154:$E$165,MATCH(MID($B5159,4,2),DanhMuc!$B$154:$B$165,0)),""),"")</f>
        <v/>
      </c>
      <c r="V5159" s="361"/>
      <c r="W5159" s="345"/>
      <c r="X5159" s="786"/>
      <c r="Y5159" s="1128" t="s">
        <v>3380</v>
      </c>
      <c r="Z5159" s="1128" t="s">
        <v>3381</v>
      </c>
      <c r="AA5159" s="1128" t="s">
        <v>3384</v>
      </c>
      <c r="AB5159" s="20"/>
      <c r="AC5159" s="73"/>
    </row>
    <row r="5160" spans="1:29">
      <c r="A5160" s="327" t="str">
        <f>IF(AND($B5160&lt;&gt;"",$C5160&lt;&gt;""),MAX($A$4730:$A5159)+1,"")</f>
        <v/>
      </c>
      <c r="B5160" s="361" t="s">
        <v>3214</v>
      </c>
      <c r="C5160" s="362"/>
      <c r="D5160" s="327">
        <f>IF($B5160="","",COUNTIF($B$4731:$B5160,$B5160))</f>
        <v>8</v>
      </c>
      <c r="E5160" s="361" t="s">
        <v>154</v>
      </c>
      <c r="F5160" s="362" t="s">
        <v>660</v>
      </c>
      <c r="G5160" s="327" t="s">
        <v>661</v>
      </c>
      <c r="H5160" s="361" t="s">
        <v>536</v>
      </c>
      <c r="I5160" s="361" t="s">
        <v>667</v>
      </c>
      <c r="J5160" s="361"/>
      <c r="K5160" s="327" t="s">
        <v>662</v>
      </c>
      <c r="L5160" s="478">
        <v>20</v>
      </c>
      <c r="M5160" s="355"/>
      <c r="N5160" s="355" t="s">
        <v>2409</v>
      </c>
      <c r="O5160" s="345"/>
      <c r="P5160" s="325"/>
      <c r="Q5160" s="327"/>
      <c r="R5160" s="351"/>
      <c r="S5160" s="351"/>
      <c r="T5160" s="351"/>
      <c r="U5160" s="329" t="str">
        <f>IF($N5160=$N$4,IFERROR(INDEX(DanhMuc!$E$154:$E$165,MATCH(MID($B5160,4,2),DanhMuc!$B$154:$B$165,0)),""),"")</f>
        <v/>
      </c>
      <c r="V5160" s="361"/>
      <c r="W5160" s="345"/>
      <c r="X5160" s="786"/>
      <c r="Y5160" s="1128" t="s">
        <v>3380</v>
      </c>
      <c r="Z5160" s="1128" t="s">
        <v>3381</v>
      </c>
      <c r="AA5160" s="1128" t="s">
        <v>3384</v>
      </c>
      <c r="AB5160" s="20"/>
      <c r="AC5160" s="73"/>
    </row>
    <row r="5161" spans="1:29">
      <c r="A5161" s="327" t="str">
        <f>IF(AND($B5161&lt;&gt;"",$C5161&lt;&gt;""),MAX($A$4730:$A5160)+1,"")</f>
        <v/>
      </c>
      <c r="B5161" s="361" t="s">
        <v>3214</v>
      </c>
      <c r="C5161" s="362"/>
      <c r="D5161" s="327">
        <f>IF($B5161="","",COUNTIF($B$4731:$B5161,$B5161))</f>
        <v>9</v>
      </c>
      <c r="E5161" s="362" t="s">
        <v>2282</v>
      </c>
      <c r="F5161" s="362" t="s">
        <v>2283</v>
      </c>
      <c r="G5161" s="327" t="s">
        <v>424</v>
      </c>
      <c r="H5161" s="361" t="s">
        <v>536</v>
      </c>
      <c r="I5161" s="361" t="s">
        <v>2238</v>
      </c>
      <c r="J5161" s="361"/>
      <c r="K5161" s="327" t="s">
        <v>662</v>
      </c>
      <c r="L5161" s="478">
        <v>28000</v>
      </c>
      <c r="M5161" s="355"/>
      <c r="N5161" s="355" t="s">
        <v>2409</v>
      </c>
      <c r="O5161" s="345"/>
      <c r="P5161" s="325"/>
      <c r="Q5161" s="327"/>
      <c r="R5161" s="351"/>
      <c r="S5161" s="351"/>
      <c r="T5161" s="351"/>
      <c r="U5161" s="329" t="str">
        <f>IF($N5161=$N$4,IFERROR(INDEX(DanhMuc!$E$154:$E$165,MATCH(MID($B5161,4,2),DanhMuc!$B$154:$B$165,0)),""),"")</f>
        <v/>
      </c>
      <c r="V5161" s="361"/>
      <c r="W5161" s="345"/>
      <c r="X5161" s="786"/>
      <c r="Y5161" s="1128" t="s">
        <v>3380</v>
      </c>
      <c r="Z5161" s="1128" t="s">
        <v>3381</v>
      </c>
      <c r="AA5161" s="1128" t="s">
        <v>3384</v>
      </c>
      <c r="AB5161" s="20"/>
      <c r="AC5161" s="73"/>
    </row>
    <row r="5162" spans="1:29">
      <c r="A5162" s="327" t="str">
        <f>IF(AND($B5162&lt;&gt;"",$C5162&lt;&gt;""),MAX($A$4730:$A5161)+1,"")</f>
        <v/>
      </c>
      <c r="B5162" s="361" t="s">
        <v>3214</v>
      </c>
      <c r="C5162" s="362"/>
      <c r="D5162" s="327">
        <f>IF($B5162="","",COUNTIF($B$4731:$B5162,$B5162))</f>
        <v>10</v>
      </c>
      <c r="E5162" s="362" t="s">
        <v>663</v>
      </c>
      <c r="F5162" s="362" t="s">
        <v>664</v>
      </c>
      <c r="G5162" s="327" t="s">
        <v>155</v>
      </c>
      <c r="H5162" s="361" t="s">
        <v>536</v>
      </c>
      <c r="I5162" s="361" t="s">
        <v>672</v>
      </c>
      <c r="J5162" s="361"/>
      <c r="K5162" s="327" t="s">
        <v>662</v>
      </c>
      <c r="L5162" s="478">
        <v>1000</v>
      </c>
      <c r="M5162" s="355"/>
      <c r="N5162" s="355" t="s">
        <v>2409</v>
      </c>
      <c r="O5162" s="345"/>
      <c r="P5162" s="325"/>
      <c r="Q5162" s="327"/>
      <c r="R5162" s="351"/>
      <c r="S5162" s="351"/>
      <c r="T5162" s="351"/>
      <c r="U5162" s="329" t="str">
        <f>IF($N5162=$N$4,IFERROR(INDEX(DanhMuc!$E$154:$E$165,MATCH(MID($B5162,4,2),DanhMuc!$B$154:$B$165,0)),""),"")</f>
        <v/>
      </c>
      <c r="V5162" s="361"/>
      <c r="W5162" s="345"/>
      <c r="X5162" s="786"/>
      <c r="Y5162" s="1128" t="s">
        <v>3380</v>
      </c>
      <c r="Z5162" s="1128" t="s">
        <v>3381</v>
      </c>
      <c r="AA5162" s="1128" t="s">
        <v>3384</v>
      </c>
      <c r="AB5162" s="20"/>
      <c r="AC5162" s="73"/>
    </row>
    <row r="5163" spans="1:29" ht="26">
      <c r="A5163" s="327">
        <f>IF(AND($B5163&lt;&gt;"",$C5163&lt;&gt;""),MAX($A$4730:$A5142)+1,"")</f>
        <v>15</v>
      </c>
      <c r="B5163" s="359" t="s">
        <v>592</v>
      </c>
      <c r="C5163" s="360" t="s">
        <v>1549</v>
      </c>
      <c r="D5163" s="327">
        <f>IF($B5163="","",COUNTIF($B$4731:$B5163,$B5163))</f>
        <v>1</v>
      </c>
      <c r="E5163" s="361" t="s">
        <v>1826</v>
      </c>
      <c r="F5163" s="362" t="s">
        <v>670</v>
      </c>
      <c r="G5163" s="327" t="s">
        <v>661</v>
      </c>
      <c r="H5163" s="361" t="s">
        <v>536</v>
      </c>
      <c r="I5163" s="361" t="s">
        <v>2354</v>
      </c>
      <c r="J5163" s="361"/>
      <c r="K5163" s="327" t="s">
        <v>103</v>
      </c>
      <c r="L5163" s="478">
        <f>40000/1000</f>
        <v>40</v>
      </c>
      <c r="M5163" s="355"/>
      <c r="N5163" s="355" t="s">
        <v>2408</v>
      </c>
      <c r="O5163" s="345"/>
      <c r="P5163" s="325"/>
      <c r="Q5163" s="327"/>
      <c r="R5163" s="351"/>
      <c r="S5163" s="351"/>
      <c r="T5163" s="351"/>
      <c r="U5163" s="329" t="str">
        <f>IF($N5163=$N$4,IFERROR(INDEX(DanhMuc!$E$154:$E$165,MATCH(MID($B5163,4,2),DanhMuc!$B$154:$B$165,0)),""),"")</f>
        <v/>
      </c>
      <c r="V5163" s="361"/>
      <c r="W5163" s="345"/>
      <c r="X5163" s="786"/>
      <c r="Y5163" s="1128" t="s">
        <v>3380</v>
      </c>
      <c r="Z5163" s="1128" t="s">
        <v>3381</v>
      </c>
      <c r="AA5163" s="1128" t="s">
        <v>3384</v>
      </c>
      <c r="AB5163" s="20"/>
      <c r="AC5163" s="73"/>
    </row>
    <row r="5164" spans="1:29" ht="37.5">
      <c r="A5164" s="327" t="str">
        <f>IF(AND($B5164&lt;&gt;"",$C5164&lt;&gt;""),MAX($A$4730:$A5133)+1,"")</f>
        <v/>
      </c>
      <c r="B5164" s="361" t="s">
        <v>592</v>
      </c>
      <c r="C5164" s="360"/>
      <c r="D5164" s="327">
        <f>IF($B5164="","",COUNTIF($B$4731:$B5164,$B5164))</f>
        <v>2</v>
      </c>
      <c r="E5164" s="362" t="s">
        <v>1964</v>
      </c>
      <c r="F5164" s="362" t="s">
        <v>1965</v>
      </c>
      <c r="G5164" s="327" t="s">
        <v>405</v>
      </c>
      <c r="H5164" s="361" t="s">
        <v>536</v>
      </c>
      <c r="I5164" s="361" t="s">
        <v>693</v>
      </c>
      <c r="J5164" s="361"/>
      <c r="K5164" s="327" t="s">
        <v>223</v>
      </c>
      <c r="L5164" s="478">
        <v>140</v>
      </c>
      <c r="M5164" s="371"/>
      <c r="N5164" s="355" t="s">
        <v>2408</v>
      </c>
      <c r="O5164" s="345"/>
      <c r="P5164" s="325"/>
      <c r="Q5164" s="327"/>
      <c r="R5164" s="351"/>
      <c r="S5164" s="351"/>
      <c r="T5164" s="351"/>
      <c r="U5164" s="329" t="str">
        <f>IF($N5164=$N$4,IFERROR(INDEX(DanhMuc!$E$154:$E$165,MATCH(MID($B5164,4,2),DanhMuc!$B$154:$B$165,0)),""),"")</f>
        <v/>
      </c>
      <c r="V5164" s="361"/>
      <c r="W5164" s="345"/>
      <c r="X5164" s="786"/>
      <c r="Y5164" s="1128" t="s">
        <v>3380</v>
      </c>
      <c r="Z5164" s="1128" t="s">
        <v>3381</v>
      </c>
      <c r="AA5164" s="1128" t="s">
        <v>3384</v>
      </c>
      <c r="AB5164" s="20"/>
      <c r="AC5164" s="73"/>
    </row>
    <row r="5165" spans="1:29" ht="37.5">
      <c r="A5165" s="327" t="str">
        <f>IF(AND($B5165&lt;&gt;"",$C5165&lt;&gt;""),MAX($A$4730:$A5163)+1,"")</f>
        <v/>
      </c>
      <c r="B5165" s="361" t="s">
        <v>592</v>
      </c>
      <c r="C5165" s="362"/>
      <c r="D5165" s="327">
        <f>IF($B5165="","",COUNTIF($B$4731:$B5165,$B5165))</f>
        <v>3</v>
      </c>
      <c r="E5165" s="362" t="s">
        <v>2756</v>
      </c>
      <c r="F5165" s="362" t="s">
        <v>2757</v>
      </c>
      <c r="G5165" s="327" t="s">
        <v>405</v>
      </c>
      <c r="H5165" s="361" t="s">
        <v>536</v>
      </c>
      <c r="I5165" s="361" t="s">
        <v>694</v>
      </c>
      <c r="J5165" s="361"/>
      <c r="K5165" s="327" t="s">
        <v>738</v>
      </c>
      <c r="L5165" s="479">
        <v>322</v>
      </c>
      <c r="M5165" s="371"/>
      <c r="N5165" s="355" t="s">
        <v>2408</v>
      </c>
      <c r="O5165" s="345"/>
      <c r="P5165" s="325"/>
      <c r="Q5165" s="327"/>
      <c r="R5165" s="351"/>
      <c r="S5165" s="351"/>
      <c r="T5165" s="351"/>
      <c r="U5165" s="329" t="str">
        <f>IF($N5165=$N$4,IFERROR(INDEX(DanhMuc!$E$154:$E$165,MATCH(MID($B5165,4,2),DanhMuc!$B$154:$B$165,0)),""),"")</f>
        <v/>
      </c>
      <c r="V5165" s="361"/>
      <c r="W5165" s="345"/>
      <c r="X5165" s="786"/>
      <c r="Y5165" s="1128" t="s">
        <v>3380</v>
      </c>
      <c r="Z5165" s="1128" t="s">
        <v>3381</v>
      </c>
      <c r="AA5165" s="1128" t="s">
        <v>3384</v>
      </c>
      <c r="AB5165" s="20"/>
      <c r="AC5165" s="73"/>
    </row>
    <row r="5166" spans="1:29">
      <c r="A5166" s="327" t="str">
        <f>IF(AND($B5166&lt;&gt;"",$C5166&lt;&gt;""),MAX($A$4730:$A5165)+1,"")</f>
        <v/>
      </c>
      <c r="B5166" s="361" t="s">
        <v>592</v>
      </c>
      <c r="C5166" s="362"/>
      <c r="D5166" s="327">
        <f>IF($B5166="","",COUNTIF($B$4731:$B5166,$B5166))</f>
        <v>4</v>
      </c>
      <c r="E5166" s="361" t="s">
        <v>656</v>
      </c>
      <c r="F5166" s="362" t="s">
        <v>2239</v>
      </c>
      <c r="G5166" s="327" t="s">
        <v>405</v>
      </c>
      <c r="H5166" s="361" t="s">
        <v>536</v>
      </c>
      <c r="I5166" s="361" t="s">
        <v>1827</v>
      </c>
      <c r="J5166" s="361"/>
      <c r="K5166" s="327" t="s">
        <v>100</v>
      </c>
      <c r="L5166" s="478">
        <v>970</v>
      </c>
      <c r="M5166" s="371"/>
      <c r="N5166" s="355" t="s">
        <v>2409</v>
      </c>
      <c r="O5166" s="345"/>
      <c r="P5166" s="325"/>
      <c r="Q5166" s="327"/>
      <c r="R5166" s="351"/>
      <c r="S5166" s="351"/>
      <c r="T5166" s="351"/>
      <c r="U5166" s="329" t="str">
        <f>IF($N5166=$N$4,IFERROR(INDEX(DanhMuc!$E$154:$E$165,MATCH(MID($B5166,4,2),DanhMuc!$B$154:$B$165,0)),""),"")</f>
        <v/>
      </c>
      <c r="V5166" s="361"/>
      <c r="W5166" s="345"/>
      <c r="X5166" s="786"/>
      <c r="Y5166" s="1128" t="s">
        <v>3380</v>
      </c>
      <c r="Z5166" s="1128" t="s">
        <v>3381</v>
      </c>
      <c r="AA5166" s="1128" t="s">
        <v>3384</v>
      </c>
      <c r="AB5166" s="20"/>
      <c r="AC5166" s="73"/>
    </row>
    <row r="5167" spans="1:29">
      <c r="A5167" s="327" t="str">
        <f>IF(AND($B5167&lt;&gt;"",$C5167&lt;&gt;""),MAX($A$4730:$A5166)+1,"")</f>
        <v/>
      </c>
      <c r="B5167" s="361" t="s">
        <v>592</v>
      </c>
      <c r="C5167" s="362"/>
      <c r="D5167" s="327">
        <f>IF($B5167="","",COUNTIF($B$4731:$B5167,$B5167))</f>
        <v>5</v>
      </c>
      <c r="E5167" s="361" t="s">
        <v>657</v>
      </c>
      <c r="F5167" s="362" t="s">
        <v>658</v>
      </c>
      <c r="G5167" s="327" t="s">
        <v>424</v>
      </c>
      <c r="H5167" s="361" t="s">
        <v>536</v>
      </c>
      <c r="I5167" s="361" t="s">
        <v>665</v>
      </c>
      <c r="J5167" s="361"/>
      <c r="K5167" s="327" t="s">
        <v>100</v>
      </c>
      <c r="L5167" s="478">
        <v>60000</v>
      </c>
      <c r="M5167" s="355"/>
      <c r="N5167" s="355" t="s">
        <v>2409</v>
      </c>
      <c r="O5167" s="345"/>
      <c r="P5167" s="325"/>
      <c r="Q5167" s="327"/>
      <c r="R5167" s="351"/>
      <c r="S5167" s="351"/>
      <c r="T5167" s="351"/>
      <c r="U5167" s="329" t="str">
        <f>IF($N5167=$N$4,IFERROR(INDEX(DanhMuc!$E$154:$E$165,MATCH(MID($B5167,4,2),DanhMuc!$B$154:$B$165,0)),""),"")</f>
        <v/>
      </c>
      <c r="V5167" s="361"/>
      <c r="W5167" s="345"/>
      <c r="X5167" s="786"/>
      <c r="Y5167" s="1128" t="s">
        <v>3380</v>
      </c>
      <c r="Z5167" s="1128" t="s">
        <v>3381</v>
      </c>
      <c r="AA5167" s="1128" t="s">
        <v>3384</v>
      </c>
      <c r="AB5167" s="20"/>
      <c r="AC5167" s="73"/>
    </row>
    <row r="5168" spans="1:29">
      <c r="A5168" s="327" t="str">
        <f>IF(AND($B5168&lt;&gt;"",$C5168&lt;&gt;""),MAX($A$4730:$A5167)+1,"")</f>
        <v/>
      </c>
      <c r="B5168" s="361" t="s">
        <v>592</v>
      </c>
      <c r="C5168" s="362"/>
      <c r="D5168" s="327">
        <f>IF($B5168="","",COUNTIF($B$4731:$B5168,$B5168))</f>
        <v>6</v>
      </c>
      <c r="E5168" s="361" t="s">
        <v>2771</v>
      </c>
      <c r="F5168" s="362" t="s">
        <v>659</v>
      </c>
      <c r="G5168" s="327" t="s">
        <v>424</v>
      </c>
      <c r="H5168" s="361" t="s">
        <v>536</v>
      </c>
      <c r="I5168" s="361" t="s">
        <v>666</v>
      </c>
      <c r="J5168" s="361"/>
      <c r="K5168" s="327" t="s">
        <v>100</v>
      </c>
      <c r="L5168" s="389">
        <v>53000</v>
      </c>
      <c r="M5168" s="355"/>
      <c r="N5168" s="355" t="s">
        <v>2409</v>
      </c>
      <c r="O5168" s="345"/>
      <c r="P5168" s="325"/>
      <c r="Q5168" s="327"/>
      <c r="R5168" s="351"/>
      <c r="S5168" s="351"/>
      <c r="T5168" s="351"/>
      <c r="U5168" s="329" t="str">
        <f>IF($N5168=$N$4,IFERROR(INDEX(DanhMuc!$E$154:$E$165,MATCH(MID($B5168,4,2),DanhMuc!$B$154:$B$165,0)),""),"")</f>
        <v/>
      </c>
      <c r="V5168" s="361"/>
      <c r="W5168" s="345"/>
      <c r="X5168" s="786"/>
      <c r="Y5168" s="1128" t="s">
        <v>3380</v>
      </c>
      <c r="Z5168" s="1128" t="s">
        <v>3381</v>
      </c>
      <c r="AA5168" s="1128" t="s">
        <v>3384</v>
      </c>
      <c r="AB5168" s="20"/>
      <c r="AC5168" s="73"/>
    </row>
    <row r="5169" spans="1:29">
      <c r="A5169" s="327" t="str">
        <f>IF(AND($B5169&lt;&gt;"",$C5169&lt;&gt;""),MAX($A$4730:$A5168)+1,"")</f>
        <v/>
      </c>
      <c r="B5169" s="361" t="s">
        <v>592</v>
      </c>
      <c r="C5169" s="362"/>
      <c r="D5169" s="327">
        <f>IF($B5169="","",COUNTIF($B$4731:$B5169,$B5169))</f>
        <v>7</v>
      </c>
      <c r="E5169" s="361" t="s">
        <v>1828</v>
      </c>
      <c r="F5169" s="362" t="s">
        <v>671</v>
      </c>
      <c r="G5169" s="327" t="s">
        <v>661</v>
      </c>
      <c r="H5169" s="361" t="s">
        <v>536</v>
      </c>
      <c r="I5169" s="361" t="s">
        <v>2355</v>
      </c>
      <c r="J5169" s="361"/>
      <c r="K5169" s="327" t="s">
        <v>100</v>
      </c>
      <c r="L5169" s="478">
        <f>40000/1000</f>
        <v>40</v>
      </c>
      <c r="M5169" s="355"/>
      <c r="N5169" s="355" t="s">
        <v>2409</v>
      </c>
      <c r="O5169" s="345"/>
      <c r="P5169" s="325"/>
      <c r="Q5169" s="327"/>
      <c r="R5169" s="351"/>
      <c r="S5169" s="351"/>
      <c r="T5169" s="351"/>
      <c r="U5169" s="329" t="str">
        <f>IF($N5169=$N$4,IFERROR(INDEX(DanhMuc!$E$154:$E$165,MATCH(MID($B5169,4,2),DanhMuc!$B$154:$B$165,0)),""),"")</f>
        <v/>
      </c>
      <c r="V5169" s="361"/>
      <c r="W5169" s="345"/>
      <c r="X5169" s="786"/>
      <c r="Y5169" s="1128" t="s">
        <v>3380</v>
      </c>
      <c r="Z5169" s="1128" t="s">
        <v>3381</v>
      </c>
      <c r="AA5169" s="1128" t="s">
        <v>3384</v>
      </c>
      <c r="AB5169" s="20"/>
      <c r="AC5169" s="73"/>
    </row>
    <row r="5170" spans="1:29">
      <c r="A5170" s="327" t="str">
        <f>IF(AND($B5170&lt;&gt;"",$C5170&lt;&gt;""),MAX($A$4730:$A5169)+1,"")</f>
        <v/>
      </c>
      <c r="B5170" s="361" t="s">
        <v>592</v>
      </c>
      <c r="C5170" s="362"/>
      <c r="D5170" s="327">
        <f>IF($B5170="","",COUNTIF($B$4731:$B5170,$B5170))</f>
        <v>8</v>
      </c>
      <c r="E5170" s="361" t="s">
        <v>154</v>
      </c>
      <c r="F5170" s="362" t="s">
        <v>660</v>
      </c>
      <c r="G5170" s="327" t="s">
        <v>661</v>
      </c>
      <c r="H5170" s="361" t="s">
        <v>536</v>
      </c>
      <c r="I5170" s="361" t="s">
        <v>667</v>
      </c>
      <c r="J5170" s="361"/>
      <c r="K5170" s="327" t="s">
        <v>662</v>
      </c>
      <c r="L5170" s="478">
        <v>20</v>
      </c>
      <c r="M5170" s="355"/>
      <c r="N5170" s="355" t="s">
        <v>2409</v>
      </c>
      <c r="O5170" s="345"/>
      <c r="P5170" s="325"/>
      <c r="Q5170" s="327"/>
      <c r="R5170" s="351"/>
      <c r="S5170" s="351"/>
      <c r="T5170" s="351"/>
      <c r="U5170" s="329" t="str">
        <f>IF($N5170=$N$4,IFERROR(INDEX(DanhMuc!$E$154:$E$165,MATCH(MID($B5170,4,2),DanhMuc!$B$154:$B$165,0)),""),"")</f>
        <v/>
      </c>
      <c r="V5170" s="361"/>
      <c r="W5170" s="345"/>
      <c r="X5170" s="786"/>
      <c r="Y5170" s="1128" t="s">
        <v>3380</v>
      </c>
      <c r="Z5170" s="1128" t="s">
        <v>3381</v>
      </c>
      <c r="AA5170" s="1128" t="s">
        <v>3384</v>
      </c>
      <c r="AB5170" s="20"/>
      <c r="AC5170" s="73"/>
    </row>
    <row r="5171" spans="1:29">
      <c r="A5171" s="327" t="str">
        <f>IF(AND($B5171&lt;&gt;"",$C5171&lt;&gt;""),MAX($A$4730:$A5170)+1,"")</f>
        <v/>
      </c>
      <c r="B5171" s="361" t="s">
        <v>592</v>
      </c>
      <c r="C5171" s="362"/>
      <c r="D5171" s="327">
        <f>IF($B5171="","",COUNTIF($B$4731:$B5171,$B5171))</f>
        <v>9</v>
      </c>
      <c r="E5171" s="362" t="s">
        <v>2282</v>
      </c>
      <c r="F5171" s="362" t="s">
        <v>2283</v>
      </c>
      <c r="G5171" s="327" t="s">
        <v>424</v>
      </c>
      <c r="H5171" s="361" t="s">
        <v>536</v>
      </c>
      <c r="I5171" s="361" t="s">
        <v>2238</v>
      </c>
      <c r="J5171" s="361"/>
      <c r="K5171" s="327" t="s">
        <v>662</v>
      </c>
      <c r="L5171" s="478">
        <v>28000</v>
      </c>
      <c r="M5171" s="355"/>
      <c r="N5171" s="355" t="s">
        <v>2409</v>
      </c>
      <c r="O5171" s="345"/>
      <c r="P5171" s="325"/>
      <c r="Q5171" s="327"/>
      <c r="R5171" s="351"/>
      <c r="S5171" s="351"/>
      <c r="T5171" s="351"/>
      <c r="U5171" s="329" t="str">
        <f>IF($N5171=$N$4,IFERROR(INDEX(DanhMuc!$E$154:$E$165,MATCH(MID($B5171,4,2),DanhMuc!$B$154:$B$165,0)),""),"")</f>
        <v/>
      </c>
      <c r="V5171" s="361"/>
      <c r="W5171" s="345"/>
      <c r="X5171" s="786"/>
      <c r="Y5171" s="1128" t="s">
        <v>3380</v>
      </c>
      <c r="Z5171" s="1128" t="s">
        <v>3381</v>
      </c>
      <c r="AA5171" s="1128" t="s">
        <v>3384</v>
      </c>
      <c r="AB5171" s="20"/>
      <c r="AC5171" s="73"/>
    </row>
    <row r="5172" spans="1:29">
      <c r="A5172" s="327" t="str">
        <f>IF(AND($B5172&lt;&gt;"",$C5172&lt;&gt;""),MAX($A$4730:$A5171)+1,"")</f>
        <v/>
      </c>
      <c r="B5172" s="361" t="s">
        <v>592</v>
      </c>
      <c r="C5172" s="362"/>
      <c r="D5172" s="327">
        <f>IF($B5172="","",COUNTIF($B$4731:$B5172,$B5172))</f>
        <v>10</v>
      </c>
      <c r="E5172" s="362" t="s">
        <v>663</v>
      </c>
      <c r="F5172" s="362" t="s">
        <v>664</v>
      </c>
      <c r="G5172" s="327" t="s">
        <v>155</v>
      </c>
      <c r="H5172" s="361" t="s">
        <v>536</v>
      </c>
      <c r="I5172" s="361" t="s">
        <v>672</v>
      </c>
      <c r="J5172" s="361"/>
      <c r="K5172" s="327" t="s">
        <v>662</v>
      </c>
      <c r="L5172" s="478">
        <v>1000</v>
      </c>
      <c r="M5172" s="355"/>
      <c r="N5172" s="355" t="s">
        <v>2409</v>
      </c>
      <c r="O5172" s="345"/>
      <c r="P5172" s="325"/>
      <c r="Q5172" s="327"/>
      <c r="R5172" s="351"/>
      <c r="S5172" s="351"/>
      <c r="T5172" s="351"/>
      <c r="U5172" s="329" t="str">
        <f>IF($N5172=$N$4,IFERROR(INDEX(DanhMuc!$E$154:$E$165,MATCH(MID($B5172,4,2),DanhMuc!$B$154:$B$165,0)),""),"")</f>
        <v/>
      </c>
      <c r="V5172" s="361"/>
      <c r="W5172" s="345"/>
      <c r="X5172" s="786"/>
      <c r="Y5172" s="1128" t="s">
        <v>3380</v>
      </c>
      <c r="Z5172" s="1128" t="s">
        <v>3381</v>
      </c>
      <c r="AA5172" s="1128" t="s">
        <v>3384</v>
      </c>
      <c r="AB5172" s="20"/>
      <c r="AC5172" s="73"/>
    </row>
    <row r="5173" spans="1:29" ht="26">
      <c r="A5173" s="327">
        <f>IF(AND($B5173&lt;&gt;"",$C5173&lt;&gt;""),MAX($A$4730:$A5123)+1,"")</f>
        <v>15</v>
      </c>
      <c r="B5173" s="359" t="s">
        <v>589</v>
      </c>
      <c r="C5173" s="360" t="s">
        <v>1554</v>
      </c>
      <c r="D5173" s="327">
        <f>IF($B5173="","",COUNTIF($B$4731:$B5173,$B5173))</f>
        <v>1</v>
      </c>
      <c r="E5173" s="480" t="s">
        <v>2858</v>
      </c>
      <c r="F5173" s="403" t="s">
        <v>2859</v>
      </c>
      <c r="G5173" s="327" t="s">
        <v>155</v>
      </c>
      <c r="H5173" s="361" t="s">
        <v>536</v>
      </c>
      <c r="I5173" s="327">
        <v>4</v>
      </c>
      <c r="J5173" s="361"/>
      <c r="K5173" s="327" t="s">
        <v>100</v>
      </c>
      <c r="L5173" s="389">
        <v>7100</v>
      </c>
      <c r="M5173" s="355"/>
      <c r="N5173" s="355" t="s">
        <v>2408</v>
      </c>
      <c r="O5173" s="345" t="s">
        <v>2777</v>
      </c>
      <c r="P5173" s="325"/>
      <c r="Q5173" s="327"/>
      <c r="R5173" s="351"/>
      <c r="S5173" s="351"/>
      <c r="T5173" s="351"/>
      <c r="U5173" s="329" t="str">
        <f>IF($N5173=$N$4,IFERROR(INDEX(DanhMuc!$E$154:$E$165,MATCH(MID($B5173,4,2),DanhMuc!$B$154:$B$165,0)),""),"")</f>
        <v/>
      </c>
      <c r="V5173" s="361"/>
      <c r="W5173" s="345"/>
      <c r="X5173" s="786"/>
      <c r="Y5173" s="1128" t="s">
        <v>3380</v>
      </c>
      <c r="Z5173" s="1128" t="s">
        <v>3381</v>
      </c>
      <c r="AA5173" s="1128" t="s">
        <v>3384</v>
      </c>
      <c r="AB5173" s="20"/>
      <c r="AC5173" s="73"/>
    </row>
    <row r="5174" spans="1:29" ht="25">
      <c r="A5174" s="327" t="str">
        <f>IF(AND($B5174&lt;&gt;"",$C5174&lt;&gt;""),MAX($A$4730:$A5124)+1,"")</f>
        <v/>
      </c>
      <c r="B5174" s="361" t="s">
        <v>589</v>
      </c>
      <c r="C5174" s="360"/>
      <c r="D5174" s="327">
        <f>IF($B5174="","",COUNTIF($B$4731:$B5174,$B5174))</f>
        <v>2</v>
      </c>
      <c r="E5174" s="480" t="s">
        <v>2304</v>
      </c>
      <c r="F5174" s="403" t="s">
        <v>2335</v>
      </c>
      <c r="G5174" s="327" t="s">
        <v>155</v>
      </c>
      <c r="H5174" s="361" t="s">
        <v>536</v>
      </c>
      <c r="I5174" s="327">
        <v>4</v>
      </c>
      <c r="J5174" s="361"/>
      <c r="K5174" s="327" t="s">
        <v>100</v>
      </c>
      <c r="L5174" s="389">
        <v>7100</v>
      </c>
      <c r="M5174" s="355"/>
      <c r="N5174" s="355" t="s">
        <v>2408</v>
      </c>
      <c r="O5174" s="345" t="s">
        <v>2776</v>
      </c>
      <c r="P5174" s="325"/>
      <c r="Q5174" s="327"/>
      <c r="R5174" s="351"/>
      <c r="S5174" s="351"/>
      <c r="T5174" s="351"/>
      <c r="U5174" s="329" t="str">
        <f>IF($N5174=$N$4,IFERROR(INDEX(DanhMuc!$E$154:$E$165,MATCH(MID($B5174,4,2),DanhMuc!$B$154:$B$165,0)),""),"")</f>
        <v/>
      </c>
      <c r="V5174" s="361"/>
      <c r="W5174" s="345"/>
      <c r="X5174" s="786"/>
      <c r="Y5174" s="1128" t="s">
        <v>3380</v>
      </c>
      <c r="Z5174" s="1128" t="s">
        <v>3381</v>
      </c>
      <c r="AA5174" s="1128" t="s">
        <v>3384</v>
      </c>
      <c r="AB5174" s="20"/>
      <c r="AC5174" s="73"/>
    </row>
    <row r="5175" spans="1:29">
      <c r="A5175" s="327" t="str">
        <f>IF(AND($B5175&lt;&gt;"",$C5175&lt;&gt;""),MAX($A$4730:$A5174)+1,"")</f>
        <v/>
      </c>
      <c r="B5175" s="361" t="s">
        <v>589</v>
      </c>
      <c r="C5175" s="360"/>
      <c r="D5175" s="327">
        <f>IF($B5175="","",COUNTIF($B$4731:$B5175,$B5175))</f>
        <v>3</v>
      </c>
      <c r="E5175" s="402" t="s">
        <v>2788</v>
      </c>
      <c r="F5175" s="403" t="s">
        <v>2789</v>
      </c>
      <c r="G5175" s="327" t="s">
        <v>155</v>
      </c>
      <c r="H5175" s="361" t="s">
        <v>536</v>
      </c>
      <c r="I5175" s="327">
        <f>4*I5174</f>
        <v>16</v>
      </c>
      <c r="J5175" s="361"/>
      <c r="K5175" s="327" t="s">
        <v>100</v>
      </c>
      <c r="L5175" s="389">
        <v>600</v>
      </c>
      <c r="M5175" s="355"/>
      <c r="N5175" s="355" t="s">
        <v>2408</v>
      </c>
      <c r="O5175" s="345" t="s">
        <v>2776</v>
      </c>
      <c r="P5175" s="325"/>
      <c r="Q5175" s="327"/>
      <c r="R5175" s="351"/>
      <c r="S5175" s="351"/>
      <c r="T5175" s="351"/>
      <c r="U5175" s="329" t="str">
        <f>IF($N5175=$N$4,IFERROR(INDEX(DanhMuc!$E$154:$E$165,MATCH(MID($B5175,4,2),DanhMuc!$B$154:$B$165,0)),""),"")</f>
        <v/>
      </c>
      <c r="V5175" s="361"/>
      <c r="W5175" s="345"/>
      <c r="X5175" s="786"/>
      <c r="Y5175" s="1128" t="s">
        <v>3380</v>
      </c>
      <c r="Z5175" s="1128" t="s">
        <v>3381</v>
      </c>
      <c r="AA5175" s="1128" t="s">
        <v>3384</v>
      </c>
      <c r="AB5175" s="20"/>
      <c r="AC5175" s="73"/>
    </row>
    <row r="5176" spans="1:29">
      <c r="A5176" s="327" t="str">
        <f>IF(AND($B5176&lt;&gt;"",$C5176&lt;&gt;""),MAX($A$4730:$A5124)+1,"")</f>
        <v/>
      </c>
      <c r="B5176" s="361" t="s">
        <v>589</v>
      </c>
      <c r="C5176" s="360"/>
      <c r="D5176" s="327">
        <f>IF($B5176="","",COUNTIF($B$4731:$B5176,$B5176))</f>
        <v>4</v>
      </c>
      <c r="E5176" s="480" t="s">
        <v>2860</v>
      </c>
      <c r="F5176" s="403" t="s">
        <v>2861</v>
      </c>
      <c r="G5176" s="327" t="s">
        <v>155</v>
      </c>
      <c r="H5176" s="361" t="s">
        <v>536</v>
      </c>
      <c r="I5176" s="327">
        <v>8</v>
      </c>
      <c r="J5176" s="361"/>
      <c r="K5176" s="327" t="s">
        <v>101</v>
      </c>
      <c r="L5176" s="389">
        <v>5100</v>
      </c>
      <c r="M5176" s="355"/>
      <c r="N5176" s="355" t="s">
        <v>2408</v>
      </c>
      <c r="O5176" s="345" t="s">
        <v>2779</v>
      </c>
      <c r="P5176" s="325"/>
      <c r="Q5176" s="327"/>
      <c r="R5176" s="351"/>
      <c r="S5176" s="351"/>
      <c r="T5176" s="351"/>
      <c r="U5176" s="329" t="str">
        <f>IF($N5176=$N$4,IFERROR(INDEX(DanhMuc!$E$154:$E$165,MATCH(MID($B5176,4,2),DanhMuc!$B$154:$B$165,0)),""),"")</f>
        <v/>
      </c>
      <c r="V5176" s="361"/>
      <c r="W5176" s="345"/>
      <c r="X5176" s="786"/>
      <c r="Y5176" s="1128" t="s">
        <v>3380</v>
      </c>
      <c r="Z5176" s="1128" t="s">
        <v>3381</v>
      </c>
      <c r="AA5176" s="1128" t="s">
        <v>3384</v>
      </c>
      <c r="AB5176" s="20"/>
      <c r="AC5176" s="73"/>
    </row>
    <row r="5177" spans="1:29">
      <c r="A5177" s="327" t="str">
        <f>IF(AND($B5177&lt;&gt;"",$C5177&lt;&gt;""),MAX($A$4730:$A5125)+1,"")</f>
        <v/>
      </c>
      <c r="B5177" s="361" t="s">
        <v>589</v>
      </c>
      <c r="C5177" s="360"/>
      <c r="D5177" s="327">
        <f>IF($B5177="","",COUNTIF($B$4731:$B5177,$B5177))</f>
        <v>5</v>
      </c>
      <c r="E5177" s="480" t="s">
        <v>2305</v>
      </c>
      <c r="F5177" s="403" t="s">
        <v>2862</v>
      </c>
      <c r="G5177" s="327" t="s">
        <v>155</v>
      </c>
      <c r="H5177" s="361" t="s">
        <v>536</v>
      </c>
      <c r="I5177" s="327">
        <v>8</v>
      </c>
      <c r="J5177" s="361"/>
      <c r="K5177" s="327" t="s">
        <v>101</v>
      </c>
      <c r="L5177" s="389">
        <v>5100</v>
      </c>
      <c r="M5177" s="355"/>
      <c r="N5177" s="355" t="s">
        <v>2408</v>
      </c>
      <c r="O5177" s="345" t="s">
        <v>2778</v>
      </c>
      <c r="P5177" s="325"/>
      <c r="Q5177" s="327"/>
      <c r="R5177" s="351"/>
      <c r="S5177" s="351"/>
      <c r="T5177" s="351"/>
      <c r="U5177" s="329" t="str">
        <f>IF($N5177=$N$4,IFERROR(INDEX(DanhMuc!$E$154:$E$165,MATCH(MID($B5177,4,2),DanhMuc!$B$154:$B$165,0)),""),"")</f>
        <v/>
      </c>
      <c r="V5177" s="361"/>
      <c r="W5177" s="345"/>
      <c r="X5177" s="786"/>
      <c r="Y5177" s="1128" t="s">
        <v>3380</v>
      </c>
      <c r="Z5177" s="1128" t="s">
        <v>3381</v>
      </c>
      <c r="AA5177" s="1128" t="s">
        <v>3384</v>
      </c>
      <c r="AB5177" s="20"/>
      <c r="AC5177" s="73"/>
    </row>
    <row r="5178" spans="1:29">
      <c r="A5178" s="327" t="str">
        <f>IF(AND($B5178&lt;&gt;"",$C5178&lt;&gt;""),MAX($A$4730:$A5176)+1,"")</f>
        <v/>
      </c>
      <c r="B5178" s="361" t="s">
        <v>589</v>
      </c>
      <c r="C5178" s="360"/>
      <c r="D5178" s="327">
        <f>IF($B5178="","",COUNTIF($B$4731:$B5178,$B5178))</f>
        <v>6</v>
      </c>
      <c r="E5178" s="402" t="s">
        <v>2788</v>
      </c>
      <c r="F5178" s="403" t="s">
        <v>2789</v>
      </c>
      <c r="G5178" s="327" t="s">
        <v>155</v>
      </c>
      <c r="H5178" s="361" t="s">
        <v>536</v>
      </c>
      <c r="I5178" s="327">
        <f>4*I5177</f>
        <v>32</v>
      </c>
      <c r="J5178" s="361"/>
      <c r="K5178" s="327" t="s">
        <v>101</v>
      </c>
      <c r="L5178" s="389">
        <v>600</v>
      </c>
      <c r="M5178" s="355"/>
      <c r="N5178" s="355" t="s">
        <v>2408</v>
      </c>
      <c r="O5178" s="345" t="s">
        <v>2778</v>
      </c>
      <c r="P5178" s="325"/>
      <c r="Q5178" s="327"/>
      <c r="R5178" s="351"/>
      <c r="S5178" s="351"/>
      <c r="T5178" s="351"/>
      <c r="U5178" s="329" t="str">
        <f>IF($N5178=$N$4,IFERROR(INDEX(DanhMuc!$E$154:$E$165,MATCH(MID($B5178,4,2),DanhMuc!$B$154:$B$165,0)),""),"")</f>
        <v/>
      </c>
      <c r="V5178" s="361"/>
      <c r="W5178" s="345"/>
      <c r="X5178" s="786"/>
      <c r="Y5178" s="1128" t="s">
        <v>3380</v>
      </c>
      <c r="Z5178" s="1128" t="s">
        <v>3381</v>
      </c>
      <c r="AA5178" s="1128" t="s">
        <v>3384</v>
      </c>
      <c r="AB5178" s="20"/>
      <c r="AC5178" s="73"/>
    </row>
    <row r="5179" spans="1:29">
      <c r="A5179" s="327" t="str">
        <f>IF(AND($B5179&lt;&gt;"",$C5179&lt;&gt;""),MAX($A$4730:$A5124)+1,"")</f>
        <v/>
      </c>
      <c r="B5179" s="361" t="s">
        <v>589</v>
      </c>
      <c r="C5179" s="360"/>
      <c r="D5179" s="327">
        <f>IF($B5179="","",COUNTIF($B$4731:$B5179,$B5179))</f>
        <v>7</v>
      </c>
      <c r="E5179" s="361" t="s">
        <v>2338</v>
      </c>
      <c r="F5179" s="362" t="s">
        <v>2331</v>
      </c>
      <c r="G5179" s="327" t="s">
        <v>155</v>
      </c>
      <c r="H5179" s="361" t="s">
        <v>536</v>
      </c>
      <c r="I5179" s="327">
        <v>16</v>
      </c>
      <c r="J5179" s="361"/>
      <c r="K5179" s="327" t="s">
        <v>101</v>
      </c>
      <c r="L5179" s="389">
        <v>750</v>
      </c>
      <c r="M5179" s="355"/>
      <c r="N5179" s="355" t="s">
        <v>2408</v>
      </c>
      <c r="O5179" s="345"/>
      <c r="P5179" s="325"/>
      <c r="Q5179" s="327"/>
      <c r="R5179" s="351"/>
      <c r="S5179" s="351"/>
      <c r="T5179" s="351"/>
      <c r="U5179" s="329" t="str">
        <f>IF($N5179=$N$4,IFERROR(INDEX(DanhMuc!$E$154:$E$165,MATCH(MID($B5179,4,2),DanhMuc!$B$154:$B$165,0)),""),"")</f>
        <v/>
      </c>
      <c r="V5179" s="361"/>
      <c r="W5179" s="345"/>
      <c r="X5179" s="786"/>
      <c r="Y5179" s="1128" t="s">
        <v>3380</v>
      </c>
      <c r="Z5179" s="1128" t="s">
        <v>3381</v>
      </c>
      <c r="AA5179" s="1128" t="s">
        <v>3384</v>
      </c>
      <c r="AB5179" s="20"/>
      <c r="AC5179" s="73"/>
    </row>
    <row r="5180" spans="1:29">
      <c r="A5180" s="327" t="str">
        <f>IF(AND($B5180&lt;&gt;"",$C5180&lt;&gt;""),MAX($A$4730:$A5179)+1,"")</f>
        <v/>
      </c>
      <c r="B5180" s="361" t="s">
        <v>589</v>
      </c>
      <c r="C5180" s="362"/>
      <c r="D5180" s="327">
        <f>IF($B5180="","",COUNTIF($B$4731:$B5180,$B5180))</f>
        <v>8</v>
      </c>
      <c r="E5180" s="361" t="s">
        <v>654</v>
      </c>
      <c r="F5180" s="362" t="s">
        <v>653</v>
      </c>
      <c r="G5180" s="327" t="s">
        <v>1836</v>
      </c>
      <c r="H5180" s="361" t="s">
        <v>536</v>
      </c>
      <c r="I5180" s="327">
        <f>I5173/45</f>
        <v>8.8888888888888892E-2</v>
      </c>
      <c r="J5180" s="477"/>
      <c r="K5180" s="327" t="s">
        <v>655</v>
      </c>
      <c r="L5180" s="478">
        <v>115000</v>
      </c>
      <c r="M5180" s="355"/>
      <c r="N5180" s="355" t="s">
        <v>2408</v>
      </c>
      <c r="O5180" s="345" t="s">
        <v>2777</v>
      </c>
      <c r="P5180" s="325"/>
      <c r="Q5180" s="327"/>
      <c r="R5180" s="351"/>
      <c r="S5180" s="351"/>
      <c r="T5180" s="351"/>
      <c r="U5180" s="329" t="str">
        <f>IF($N5180=$N$4,IFERROR(INDEX(DanhMuc!$E$154:$E$165,MATCH(MID($B5180,4,2),DanhMuc!$B$154:$B$165,0)),""),"")</f>
        <v/>
      </c>
      <c r="V5180" s="361"/>
      <c r="W5180" s="345"/>
      <c r="X5180" s="786"/>
      <c r="Y5180" s="1128" t="s">
        <v>3380</v>
      </c>
      <c r="Z5180" s="1128" t="s">
        <v>3381</v>
      </c>
      <c r="AA5180" s="1128" t="s">
        <v>3384</v>
      </c>
      <c r="AB5180" s="20"/>
      <c r="AC5180" s="73"/>
    </row>
    <row r="5181" spans="1:29">
      <c r="A5181" s="327" t="str">
        <f>IF(AND($B5181&lt;&gt;"",$C5181&lt;&gt;""),MAX($A$4730:$A5180)+1,"")</f>
        <v/>
      </c>
      <c r="B5181" s="361" t="s">
        <v>589</v>
      </c>
      <c r="C5181" s="362"/>
      <c r="D5181" s="327">
        <f>IF($B5181="","",COUNTIF($B$4731:$B5181,$B5181))</f>
        <v>9</v>
      </c>
      <c r="E5181" s="361" t="s">
        <v>654</v>
      </c>
      <c r="F5181" s="362" t="s">
        <v>653</v>
      </c>
      <c r="G5181" s="327" t="s">
        <v>1836</v>
      </c>
      <c r="H5181" s="361" t="s">
        <v>536</v>
      </c>
      <c r="I5181" s="327">
        <f>I5176/45</f>
        <v>0.17777777777777778</v>
      </c>
      <c r="J5181" s="477"/>
      <c r="K5181" s="327" t="s">
        <v>655</v>
      </c>
      <c r="L5181" s="478">
        <v>115000</v>
      </c>
      <c r="M5181" s="355"/>
      <c r="N5181" s="355" t="s">
        <v>2408</v>
      </c>
      <c r="O5181" s="345" t="s">
        <v>2779</v>
      </c>
      <c r="P5181" s="325"/>
      <c r="Q5181" s="327"/>
      <c r="R5181" s="351"/>
      <c r="S5181" s="351"/>
      <c r="T5181" s="351"/>
      <c r="U5181" s="329" t="str">
        <f>IF($N5181=$N$4,IFERROR(INDEX(DanhMuc!$E$154:$E$165,MATCH(MID($B5181,4,2),DanhMuc!$B$154:$B$165,0)),""),"")</f>
        <v/>
      </c>
      <c r="V5181" s="361"/>
      <c r="W5181" s="345"/>
      <c r="X5181" s="786"/>
      <c r="Y5181" s="1128" t="s">
        <v>3380</v>
      </c>
      <c r="Z5181" s="1128" t="s">
        <v>3381</v>
      </c>
      <c r="AA5181" s="1128" t="s">
        <v>3384</v>
      </c>
      <c r="AB5181" s="20"/>
      <c r="AC5181" s="73"/>
    </row>
    <row r="5182" spans="1:29">
      <c r="A5182" s="327" t="str">
        <f>IF(AND($B5182&lt;&gt;"",$C5182&lt;&gt;""),MAX($A$4730:$A5125)+1,"")</f>
        <v/>
      </c>
      <c r="B5182" s="361" t="s">
        <v>589</v>
      </c>
      <c r="C5182" s="360"/>
      <c r="D5182" s="327">
        <f>IF($B5182="","",COUNTIF($B$4731:$B5182,$B5182))</f>
        <v>10</v>
      </c>
      <c r="E5182" s="361" t="s">
        <v>1826</v>
      </c>
      <c r="F5182" s="362" t="s">
        <v>670</v>
      </c>
      <c r="G5182" s="327" t="s">
        <v>661</v>
      </c>
      <c r="H5182" s="361" t="s">
        <v>536</v>
      </c>
      <c r="I5182" s="361" t="s">
        <v>2354</v>
      </c>
      <c r="J5182" s="361"/>
      <c r="K5182" s="327" t="s">
        <v>103</v>
      </c>
      <c r="L5182" s="478">
        <f>40000/1000</f>
        <v>40</v>
      </c>
      <c r="M5182" s="355"/>
      <c r="N5182" s="355" t="s">
        <v>2408</v>
      </c>
      <c r="O5182" s="345"/>
      <c r="P5182" s="325"/>
      <c r="Q5182" s="327"/>
      <c r="R5182" s="351"/>
      <c r="S5182" s="351"/>
      <c r="T5182" s="351"/>
      <c r="U5182" s="329" t="str">
        <f>IF($N5182=$N$4,IFERROR(INDEX(DanhMuc!$E$154:$E$165,MATCH(MID($B5182,4,2),DanhMuc!$B$154:$B$165,0)),""),"")</f>
        <v/>
      </c>
      <c r="V5182" s="361"/>
      <c r="W5182" s="345"/>
      <c r="X5182" s="786"/>
      <c r="Y5182" s="1128" t="s">
        <v>3380</v>
      </c>
      <c r="Z5182" s="1128" t="s">
        <v>3381</v>
      </c>
      <c r="AA5182" s="1128" t="s">
        <v>3384</v>
      </c>
      <c r="AB5182" s="20"/>
      <c r="AC5182" s="73"/>
    </row>
    <row r="5183" spans="1:29" ht="37.5">
      <c r="A5183" s="327" t="str">
        <f>IF(AND($B5183&lt;&gt;"",$C5183&lt;&gt;""),MAX($A$4730:$A5126)+1,"")</f>
        <v/>
      </c>
      <c r="B5183" s="361" t="s">
        <v>589</v>
      </c>
      <c r="C5183" s="360"/>
      <c r="D5183" s="327">
        <f>IF($B5183="","",COUNTIF($B$4731:$B5183,$B5183))</f>
        <v>11</v>
      </c>
      <c r="E5183" s="362" t="s">
        <v>1964</v>
      </c>
      <c r="F5183" s="362" t="s">
        <v>1965</v>
      </c>
      <c r="G5183" s="327" t="s">
        <v>405</v>
      </c>
      <c r="H5183" s="361" t="s">
        <v>536</v>
      </c>
      <c r="I5183" s="361" t="s">
        <v>693</v>
      </c>
      <c r="J5183" s="361"/>
      <c r="K5183" s="327" t="s">
        <v>223</v>
      </c>
      <c r="L5183" s="478">
        <v>140</v>
      </c>
      <c r="M5183" s="371"/>
      <c r="N5183" s="355" t="s">
        <v>2408</v>
      </c>
      <c r="O5183" s="345"/>
      <c r="P5183" s="325"/>
      <c r="Q5183" s="327"/>
      <c r="R5183" s="351"/>
      <c r="S5183" s="351"/>
      <c r="T5183" s="351"/>
      <c r="U5183" s="329" t="str">
        <f>IF($N5183=$N$4,IFERROR(INDEX(DanhMuc!$E$154:$E$165,MATCH(MID($B5183,4,2),DanhMuc!$B$154:$B$165,0)),""),"")</f>
        <v/>
      </c>
      <c r="V5183" s="361"/>
      <c r="W5183" s="345"/>
      <c r="X5183" s="786"/>
      <c r="Y5183" s="1128" t="s">
        <v>3380</v>
      </c>
      <c r="Z5183" s="1128" t="s">
        <v>3381</v>
      </c>
      <c r="AA5183" s="1128" t="s">
        <v>3384</v>
      </c>
      <c r="AB5183" s="20"/>
      <c r="AC5183" s="73"/>
    </row>
    <row r="5184" spans="1:29" ht="37.5">
      <c r="A5184" s="327" t="str">
        <f>IF(AND($B5184&lt;&gt;"",$C5184&lt;&gt;""),MAX($A$4730:$A5127)+1,"")</f>
        <v/>
      </c>
      <c r="B5184" s="361" t="s">
        <v>589</v>
      </c>
      <c r="C5184" s="360"/>
      <c r="D5184" s="327">
        <f>IF($B5184="","",COUNTIF($B$4731:$B5184,$B5184))</f>
        <v>12</v>
      </c>
      <c r="E5184" s="362" t="s">
        <v>2756</v>
      </c>
      <c r="F5184" s="362" t="s">
        <v>2757</v>
      </c>
      <c r="G5184" s="327" t="s">
        <v>405</v>
      </c>
      <c r="H5184" s="361" t="s">
        <v>536</v>
      </c>
      <c r="I5184" s="361" t="s">
        <v>694</v>
      </c>
      <c r="J5184" s="361"/>
      <c r="K5184" s="327" t="s">
        <v>738</v>
      </c>
      <c r="L5184" s="479">
        <v>322</v>
      </c>
      <c r="M5184" s="371"/>
      <c r="N5184" s="355" t="s">
        <v>2408</v>
      </c>
      <c r="O5184" s="345"/>
      <c r="P5184" s="325"/>
      <c r="Q5184" s="327"/>
      <c r="R5184" s="351"/>
      <c r="S5184" s="351"/>
      <c r="T5184" s="351"/>
      <c r="U5184" s="329" t="str">
        <f>IF($N5184=$N$4,IFERROR(INDEX(DanhMuc!$E$154:$E$165,MATCH(MID($B5184,4,2),DanhMuc!$B$154:$B$165,0)),""),"")</f>
        <v/>
      </c>
      <c r="V5184" s="361"/>
      <c r="W5184" s="345"/>
      <c r="X5184" s="786"/>
      <c r="Y5184" s="1128" t="s">
        <v>3380</v>
      </c>
      <c r="Z5184" s="1128" t="s">
        <v>3381</v>
      </c>
      <c r="AA5184" s="1128" t="s">
        <v>3384</v>
      </c>
      <c r="AB5184" s="20"/>
      <c r="AC5184" s="73"/>
    </row>
    <row r="5185" spans="1:29">
      <c r="A5185" s="327" t="str">
        <f>IF(AND($B5185&lt;&gt;"",$C5185&lt;&gt;""),MAX($A$4730:$A5128)+1,"")</f>
        <v/>
      </c>
      <c r="B5185" s="361" t="s">
        <v>589</v>
      </c>
      <c r="C5185" s="360"/>
      <c r="D5185" s="327">
        <f>IF($B5185="","",COUNTIF($B$4731:$B5185,$B5185))</f>
        <v>13</v>
      </c>
      <c r="E5185" s="361" t="s">
        <v>656</v>
      </c>
      <c r="F5185" s="362" t="s">
        <v>2239</v>
      </c>
      <c r="G5185" s="327" t="s">
        <v>405</v>
      </c>
      <c r="H5185" s="361" t="s">
        <v>536</v>
      </c>
      <c r="I5185" s="361" t="s">
        <v>1827</v>
      </c>
      <c r="J5185" s="361"/>
      <c r="K5185" s="327" t="s">
        <v>100</v>
      </c>
      <c r="L5185" s="478">
        <v>970</v>
      </c>
      <c r="M5185" s="371"/>
      <c r="N5185" s="355" t="s">
        <v>2409</v>
      </c>
      <c r="O5185" s="345"/>
      <c r="P5185" s="325"/>
      <c r="Q5185" s="327"/>
      <c r="R5185" s="351"/>
      <c r="S5185" s="351"/>
      <c r="T5185" s="351"/>
      <c r="U5185" s="329" t="str">
        <f>IF($N5185=$N$4,IFERROR(INDEX(DanhMuc!$E$154:$E$165,MATCH(MID($B5185,4,2),DanhMuc!$B$154:$B$165,0)),""),"")</f>
        <v/>
      </c>
      <c r="V5185" s="361"/>
      <c r="W5185" s="345"/>
      <c r="X5185" s="786"/>
      <c r="Y5185" s="1128" t="s">
        <v>3380</v>
      </c>
      <c r="Z5185" s="1128" t="s">
        <v>3381</v>
      </c>
      <c r="AA5185" s="1128" t="s">
        <v>3384</v>
      </c>
      <c r="AB5185" s="20"/>
      <c r="AC5185" s="73"/>
    </row>
    <row r="5186" spans="1:29">
      <c r="A5186" s="327" t="str">
        <f>IF(AND($B5186&lt;&gt;"",$C5186&lt;&gt;""),MAX($A$4730:$A5129)+1,"")</f>
        <v/>
      </c>
      <c r="B5186" s="361" t="s">
        <v>589</v>
      </c>
      <c r="C5186" s="360"/>
      <c r="D5186" s="327">
        <f>IF($B5186="","",COUNTIF($B$4731:$B5186,$B5186))</f>
        <v>14</v>
      </c>
      <c r="E5186" s="361" t="s">
        <v>657</v>
      </c>
      <c r="F5186" s="362" t="s">
        <v>658</v>
      </c>
      <c r="G5186" s="327" t="s">
        <v>424</v>
      </c>
      <c r="H5186" s="361" t="s">
        <v>536</v>
      </c>
      <c r="I5186" s="361" t="s">
        <v>665</v>
      </c>
      <c r="J5186" s="361"/>
      <c r="K5186" s="327" t="s">
        <v>100</v>
      </c>
      <c r="L5186" s="478">
        <v>60000</v>
      </c>
      <c r="M5186" s="355"/>
      <c r="N5186" s="355" t="s">
        <v>2409</v>
      </c>
      <c r="O5186" s="345"/>
      <c r="P5186" s="325"/>
      <c r="Q5186" s="327"/>
      <c r="R5186" s="351"/>
      <c r="S5186" s="351"/>
      <c r="T5186" s="351"/>
      <c r="U5186" s="329" t="str">
        <f>IF($N5186=$N$4,IFERROR(INDEX(DanhMuc!$E$154:$E$165,MATCH(MID($B5186,4,2),DanhMuc!$B$154:$B$165,0)),""),"")</f>
        <v/>
      </c>
      <c r="V5186" s="361"/>
      <c r="W5186" s="345"/>
      <c r="X5186" s="786"/>
      <c r="Y5186" s="1128" t="s">
        <v>3380</v>
      </c>
      <c r="Z5186" s="1128" t="s">
        <v>3381</v>
      </c>
      <c r="AA5186" s="1128" t="s">
        <v>3384</v>
      </c>
      <c r="AB5186" s="20"/>
      <c r="AC5186" s="73"/>
    </row>
    <row r="5187" spans="1:29">
      <c r="A5187" s="327" t="str">
        <f>IF(AND($B5187&lt;&gt;"",$C5187&lt;&gt;""),MAX($A$4730:$A5186)+1,"")</f>
        <v/>
      </c>
      <c r="B5187" s="361" t="s">
        <v>589</v>
      </c>
      <c r="C5187" s="362"/>
      <c r="D5187" s="327">
        <f>IF($B5187="","",COUNTIF($B$4731:$B5187,$B5187))</f>
        <v>15</v>
      </c>
      <c r="E5187" s="361" t="s">
        <v>2771</v>
      </c>
      <c r="F5187" s="362" t="s">
        <v>659</v>
      </c>
      <c r="G5187" s="327" t="s">
        <v>424</v>
      </c>
      <c r="H5187" s="361" t="s">
        <v>536</v>
      </c>
      <c r="I5187" s="361" t="s">
        <v>666</v>
      </c>
      <c r="J5187" s="361"/>
      <c r="K5187" s="327" t="s">
        <v>100</v>
      </c>
      <c r="L5187" s="389">
        <v>53000</v>
      </c>
      <c r="M5187" s="355"/>
      <c r="N5187" s="355" t="s">
        <v>2409</v>
      </c>
      <c r="O5187" s="345"/>
      <c r="P5187" s="325"/>
      <c r="Q5187" s="327"/>
      <c r="R5187" s="351"/>
      <c r="S5187" s="351"/>
      <c r="T5187" s="351"/>
      <c r="U5187" s="329" t="str">
        <f>IF($N5187=$N$4,IFERROR(INDEX(DanhMuc!$E$154:$E$165,MATCH(MID($B5187,4,2),DanhMuc!$B$154:$B$165,0)),""),"")</f>
        <v/>
      </c>
      <c r="V5187" s="361"/>
      <c r="W5187" s="345"/>
      <c r="X5187" s="786"/>
      <c r="Y5187" s="1128" t="s">
        <v>3380</v>
      </c>
      <c r="Z5187" s="1128" t="s">
        <v>3381</v>
      </c>
      <c r="AA5187" s="1128" t="s">
        <v>3384</v>
      </c>
      <c r="AB5187" s="20"/>
      <c r="AC5187" s="73"/>
    </row>
    <row r="5188" spans="1:29">
      <c r="A5188" s="327" t="str">
        <f>IF(AND($B5188&lt;&gt;"",$C5188&lt;&gt;""),MAX($A$4730:$A5187)+1,"")</f>
        <v/>
      </c>
      <c r="B5188" s="361" t="s">
        <v>589</v>
      </c>
      <c r="C5188" s="362"/>
      <c r="D5188" s="327">
        <f>IF($B5188="","",COUNTIF($B$4731:$B5188,$B5188))</f>
        <v>16</v>
      </c>
      <c r="E5188" s="361" t="s">
        <v>1828</v>
      </c>
      <c r="F5188" s="362" t="s">
        <v>671</v>
      </c>
      <c r="G5188" s="327" t="s">
        <v>661</v>
      </c>
      <c r="H5188" s="361" t="s">
        <v>536</v>
      </c>
      <c r="I5188" s="361" t="s">
        <v>2355</v>
      </c>
      <c r="J5188" s="361"/>
      <c r="K5188" s="327" t="s">
        <v>100</v>
      </c>
      <c r="L5188" s="478">
        <f>40000/1000</f>
        <v>40</v>
      </c>
      <c r="M5188" s="355"/>
      <c r="N5188" s="355" t="s">
        <v>2409</v>
      </c>
      <c r="O5188" s="345"/>
      <c r="P5188" s="325"/>
      <c r="Q5188" s="327"/>
      <c r="R5188" s="351"/>
      <c r="S5188" s="351"/>
      <c r="T5188" s="351"/>
      <c r="U5188" s="329" t="str">
        <f>IF($N5188=$N$4,IFERROR(INDEX(DanhMuc!$E$154:$E$165,MATCH(MID($B5188,4,2),DanhMuc!$B$154:$B$165,0)),""),"")</f>
        <v/>
      </c>
      <c r="V5188" s="361"/>
      <c r="W5188" s="345"/>
      <c r="X5188" s="786"/>
      <c r="Y5188" s="1128" t="s">
        <v>3380</v>
      </c>
      <c r="Z5188" s="1128" t="s">
        <v>3381</v>
      </c>
      <c r="AA5188" s="1128" t="s">
        <v>3384</v>
      </c>
      <c r="AB5188" s="20"/>
      <c r="AC5188" s="73"/>
    </row>
    <row r="5189" spans="1:29">
      <c r="A5189" s="327" t="str">
        <f>IF(AND($B5189&lt;&gt;"",$C5189&lt;&gt;""),MAX($A$4730:$A5188)+1,"")</f>
        <v/>
      </c>
      <c r="B5189" s="361" t="s">
        <v>589</v>
      </c>
      <c r="C5189" s="362"/>
      <c r="D5189" s="327">
        <f>IF($B5189="","",COUNTIF($B$4731:$B5189,$B5189))</f>
        <v>17</v>
      </c>
      <c r="E5189" s="361" t="s">
        <v>154</v>
      </c>
      <c r="F5189" s="362" t="s">
        <v>660</v>
      </c>
      <c r="G5189" s="327" t="s">
        <v>661</v>
      </c>
      <c r="H5189" s="361" t="s">
        <v>536</v>
      </c>
      <c r="I5189" s="361" t="s">
        <v>667</v>
      </c>
      <c r="J5189" s="361"/>
      <c r="K5189" s="327" t="s">
        <v>662</v>
      </c>
      <c r="L5189" s="478">
        <v>20</v>
      </c>
      <c r="M5189" s="355"/>
      <c r="N5189" s="355" t="s">
        <v>2409</v>
      </c>
      <c r="O5189" s="345"/>
      <c r="P5189" s="325"/>
      <c r="Q5189" s="327"/>
      <c r="R5189" s="351"/>
      <c r="S5189" s="351"/>
      <c r="T5189" s="351"/>
      <c r="U5189" s="329" t="str">
        <f>IF($N5189=$N$4,IFERROR(INDEX(DanhMuc!$E$154:$E$165,MATCH(MID($B5189,4,2),DanhMuc!$B$154:$B$165,0)),""),"")</f>
        <v/>
      </c>
      <c r="V5189" s="361"/>
      <c r="W5189" s="345"/>
      <c r="X5189" s="786"/>
      <c r="Y5189" s="1128" t="s">
        <v>3380</v>
      </c>
      <c r="Z5189" s="1128" t="s">
        <v>3381</v>
      </c>
      <c r="AA5189" s="1128" t="s">
        <v>3384</v>
      </c>
      <c r="AB5189" s="20"/>
      <c r="AC5189" s="73"/>
    </row>
    <row r="5190" spans="1:29">
      <c r="A5190" s="327" t="str">
        <f>IF(AND($B5190&lt;&gt;"",$C5190&lt;&gt;""),MAX($A$4730:$A5189)+1,"")</f>
        <v/>
      </c>
      <c r="B5190" s="361" t="s">
        <v>589</v>
      </c>
      <c r="C5190" s="362"/>
      <c r="D5190" s="327">
        <f>IF($B5190="","",COUNTIF($B$4731:$B5190,$B5190))</f>
        <v>18</v>
      </c>
      <c r="E5190" s="362" t="s">
        <v>2282</v>
      </c>
      <c r="F5190" s="362" t="s">
        <v>2283</v>
      </c>
      <c r="G5190" s="327" t="s">
        <v>424</v>
      </c>
      <c r="H5190" s="361" t="s">
        <v>536</v>
      </c>
      <c r="I5190" s="361" t="s">
        <v>2238</v>
      </c>
      <c r="J5190" s="361"/>
      <c r="K5190" s="327" t="s">
        <v>662</v>
      </c>
      <c r="L5190" s="478">
        <v>28000</v>
      </c>
      <c r="M5190" s="355"/>
      <c r="N5190" s="355" t="s">
        <v>2409</v>
      </c>
      <c r="O5190" s="345"/>
      <c r="P5190" s="325"/>
      <c r="Q5190" s="327"/>
      <c r="R5190" s="351"/>
      <c r="S5190" s="351"/>
      <c r="T5190" s="351"/>
      <c r="U5190" s="329" t="str">
        <f>IF($N5190=$N$4,IFERROR(INDEX(DanhMuc!$E$154:$E$165,MATCH(MID($B5190,4,2),DanhMuc!$B$154:$B$165,0)),""),"")</f>
        <v/>
      </c>
      <c r="V5190" s="361"/>
      <c r="W5190" s="345"/>
      <c r="X5190" s="786"/>
      <c r="Y5190" s="1128" t="s">
        <v>3380</v>
      </c>
      <c r="Z5190" s="1128" t="s">
        <v>3381</v>
      </c>
      <c r="AA5190" s="1128" t="s">
        <v>3384</v>
      </c>
      <c r="AB5190" s="20"/>
      <c r="AC5190" s="73"/>
    </row>
    <row r="5191" spans="1:29">
      <c r="A5191" s="327" t="str">
        <f>IF(AND($B5191&lt;&gt;"",$C5191&lt;&gt;""),MAX($A$4730:$A5190)+1,"")</f>
        <v/>
      </c>
      <c r="B5191" s="361" t="s">
        <v>589</v>
      </c>
      <c r="C5191" s="362"/>
      <c r="D5191" s="327">
        <f>IF($B5191="","",COUNTIF($B$4731:$B5191,$B5191))</f>
        <v>19</v>
      </c>
      <c r="E5191" s="362" t="s">
        <v>663</v>
      </c>
      <c r="F5191" s="362" t="s">
        <v>664</v>
      </c>
      <c r="G5191" s="327" t="s">
        <v>155</v>
      </c>
      <c r="H5191" s="361" t="s">
        <v>536</v>
      </c>
      <c r="I5191" s="361" t="s">
        <v>672</v>
      </c>
      <c r="J5191" s="361"/>
      <c r="K5191" s="327" t="s">
        <v>662</v>
      </c>
      <c r="L5191" s="478">
        <v>1000</v>
      </c>
      <c r="M5191" s="355"/>
      <c r="N5191" s="355" t="s">
        <v>2409</v>
      </c>
      <c r="O5191" s="345"/>
      <c r="P5191" s="325"/>
      <c r="Q5191" s="327"/>
      <c r="R5191" s="351"/>
      <c r="S5191" s="351"/>
      <c r="T5191" s="351"/>
      <c r="U5191" s="329" t="str">
        <f>IF($N5191=$N$4,IFERROR(INDEX(DanhMuc!$E$154:$E$165,MATCH(MID($B5191,4,2),DanhMuc!$B$154:$B$165,0)),""),"")</f>
        <v/>
      </c>
      <c r="V5191" s="361"/>
      <c r="W5191" s="345"/>
      <c r="X5191" s="786"/>
      <c r="Y5191" s="1128" t="s">
        <v>3380</v>
      </c>
      <c r="Z5191" s="1128" t="s">
        <v>3381</v>
      </c>
      <c r="AA5191" s="1128" t="s">
        <v>3384</v>
      </c>
      <c r="AB5191" s="20"/>
      <c r="AC5191" s="73"/>
    </row>
    <row r="5192" spans="1:29" ht="39">
      <c r="A5192" s="327">
        <f>IF(AND($B5192&lt;&gt;"",$C5192&lt;&gt;""),MAX($A$4730:$A5182)+1,"")</f>
        <v>16</v>
      </c>
      <c r="B5192" s="359" t="s">
        <v>3198</v>
      </c>
      <c r="C5192" s="360" t="s">
        <v>3197</v>
      </c>
      <c r="D5192" s="327">
        <f>IF($B5192="","",COUNTIF($B$4731:$B5192,$B5192))</f>
        <v>1</v>
      </c>
      <c r="E5192" s="480" t="s">
        <v>2858</v>
      </c>
      <c r="F5192" s="403" t="s">
        <v>2859</v>
      </c>
      <c r="G5192" s="327" t="s">
        <v>155</v>
      </c>
      <c r="H5192" s="361" t="s">
        <v>536</v>
      </c>
      <c r="I5192" s="327">
        <v>4</v>
      </c>
      <c r="J5192" s="361"/>
      <c r="K5192" s="327" t="s">
        <v>100</v>
      </c>
      <c r="L5192" s="389">
        <v>7100</v>
      </c>
      <c r="M5192" s="355"/>
      <c r="N5192" s="355" t="s">
        <v>2408</v>
      </c>
      <c r="O5192" s="345" t="s">
        <v>2777</v>
      </c>
      <c r="P5192" s="325"/>
      <c r="Q5192" s="327"/>
      <c r="R5192" s="351"/>
      <c r="S5192" s="351"/>
      <c r="T5192" s="351"/>
      <c r="U5192" s="329" t="str">
        <f>IF($N5192=$N$4,IFERROR(INDEX(DanhMuc!$E$154:$E$165,MATCH(MID($B5192,4,2),DanhMuc!$B$154:$B$165,0)),""),"")</f>
        <v/>
      </c>
      <c r="V5192" s="361"/>
      <c r="W5192" s="345"/>
      <c r="X5192" s="786"/>
      <c r="Y5192" s="1128" t="s">
        <v>3380</v>
      </c>
      <c r="Z5192" s="1128" t="s">
        <v>3381</v>
      </c>
      <c r="AA5192" s="1128" t="s">
        <v>3384</v>
      </c>
      <c r="AB5192" s="20"/>
      <c r="AC5192" s="73"/>
    </row>
    <row r="5193" spans="1:29" ht="25">
      <c r="A5193" s="327" t="str">
        <f>IF(AND($B5193&lt;&gt;"",$C5193&lt;&gt;""),MAX($A$4730:$A5183)+1,"")</f>
        <v/>
      </c>
      <c r="B5193" s="361" t="s">
        <v>3198</v>
      </c>
      <c r="C5193" s="360"/>
      <c r="D5193" s="327">
        <f>IF($B5193="","",COUNTIF($B$4731:$B5193,$B5193))</f>
        <v>2</v>
      </c>
      <c r="E5193" s="480" t="s">
        <v>2304</v>
      </c>
      <c r="F5193" s="403" t="s">
        <v>2335</v>
      </c>
      <c r="G5193" s="327" t="s">
        <v>155</v>
      </c>
      <c r="H5193" s="361" t="s">
        <v>536</v>
      </c>
      <c r="I5193" s="327">
        <v>4</v>
      </c>
      <c r="J5193" s="361"/>
      <c r="K5193" s="327" t="s">
        <v>100</v>
      </c>
      <c r="L5193" s="389">
        <v>7100</v>
      </c>
      <c r="M5193" s="355"/>
      <c r="N5193" s="355" t="s">
        <v>2408</v>
      </c>
      <c r="O5193" s="345" t="s">
        <v>2776</v>
      </c>
      <c r="P5193" s="325"/>
      <c r="Q5193" s="327"/>
      <c r="R5193" s="351"/>
      <c r="S5193" s="351"/>
      <c r="T5193" s="351"/>
      <c r="U5193" s="329" t="str">
        <f>IF($N5193=$N$4,IFERROR(INDEX(DanhMuc!$E$154:$E$165,MATCH(MID($B5193,4,2),DanhMuc!$B$154:$B$165,0)),""),"")</f>
        <v/>
      </c>
      <c r="V5193" s="361"/>
      <c r="W5193" s="345"/>
      <c r="X5193" s="786"/>
      <c r="Y5193" s="1128" t="s">
        <v>3380</v>
      </c>
      <c r="Z5193" s="1128" t="s">
        <v>3381</v>
      </c>
      <c r="AA5193" s="1128" t="s">
        <v>3384</v>
      </c>
      <c r="AB5193" s="20"/>
      <c r="AC5193" s="73"/>
    </row>
    <row r="5194" spans="1:29">
      <c r="A5194" s="327" t="str">
        <f>IF(AND($B5194&lt;&gt;"",$C5194&lt;&gt;""),MAX($A$4730:$A5193)+1,"")</f>
        <v/>
      </c>
      <c r="B5194" s="361" t="s">
        <v>3198</v>
      </c>
      <c r="C5194" s="360"/>
      <c r="D5194" s="327">
        <f>IF($B5194="","",COUNTIF($B$4731:$B5194,$B5194))</f>
        <v>3</v>
      </c>
      <c r="E5194" s="402" t="s">
        <v>2788</v>
      </c>
      <c r="F5194" s="403" t="s">
        <v>2789</v>
      </c>
      <c r="G5194" s="327" t="s">
        <v>155</v>
      </c>
      <c r="H5194" s="361" t="s">
        <v>536</v>
      </c>
      <c r="I5194" s="327">
        <f>4*I5193</f>
        <v>16</v>
      </c>
      <c r="J5194" s="361"/>
      <c r="K5194" s="327" t="s">
        <v>100</v>
      </c>
      <c r="L5194" s="389">
        <v>600</v>
      </c>
      <c r="M5194" s="355"/>
      <c r="N5194" s="355" t="s">
        <v>2408</v>
      </c>
      <c r="O5194" s="345" t="s">
        <v>2776</v>
      </c>
      <c r="P5194" s="325"/>
      <c r="Q5194" s="327"/>
      <c r="R5194" s="351"/>
      <c r="S5194" s="351"/>
      <c r="T5194" s="351"/>
      <c r="U5194" s="329" t="str">
        <f>IF($N5194=$N$4,IFERROR(INDEX(DanhMuc!$E$154:$E$165,MATCH(MID($B5194,4,2),DanhMuc!$B$154:$B$165,0)),""),"")</f>
        <v/>
      </c>
      <c r="V5194" s="361"/>
      <c r="W5194" s="345"/>
      <c r="X5194" s="786"/>
      <c r="Y5194" s="1128" t="s">
        <v>3380</v>
      </c>
      <c r="Z5194" s="1128" t="s">
        <v>3381</v>
      </c>
      <c r="AA5194" s="1128" t="s">
        <v>3384</v>
      </c>
      <c r="AB5194" s="20"/>
      <c r="AC5194" s="73"/>
    </row>
    <row r="5195" spans="1:29">
      <c r="A5195" s="327" t="str">
        <f>IF(AND($B5195&lt;&gt;"",$C5195&lt;&gt;""),MAX($A$4730:$A5183)+1,"")</f>
        <v/>
      </c>
      <c r="B5195" s="361" t="s">
        <v>3198</v>
      </c>
      <c r="C5195" s="360"/>
      <c r="D5195" s="327">
        <f>IF($B5195="","",COUNTIF($B$4731:$B5195,$B5195))</f>
        <v>4</v>
      </c>
      <c r="E5195" s="480" t="s">
        <v>2860</v>
      </c>
      <c r="F5195" s="403" t="s">
        <v>2861</v>
      </c>
      <c r="G5195" s="327" t="s">
        <v>155</v>
      </c>
      <c r="H5195" s="361" t="s">
        <v>536</v>
      </c>
      <c r="I5195" s="327">
        <v>12</v>
      </c>
      <c r="J5195" s="361"/>
      <c r="K5195" s="327" t="s">
        <v>101</v>
      </c>
      <c r="L5195" s="389">
        <v>5100</v>
      </c>
      <c r="M5195" s="355"/>
      <c r="N5195" s="355" t="s">
        <v>2408</v>
      </c>
      <c r="O5195" s="345" t="s">
        <v>2779</v>
      </c>
      <c r="P5195" s="325"/>
      <c r="Q5195" s="327"/>
      <c r="R5195" s="351"/>
      <c r="S5195" s="351"/>
      <c r="T5195" s="351"/>
      <c r="U5195" s="329" t="str">
        <f>IF($N5195=$N$4,IFERROR(INDEX(DanhMuc!$E$154:$E$165,MATCH(MID($B5195,4,2),DanhMuc!$B$154:$B$165,0)),""),"")</f>
        <v/>
      </c>
      <c r="V5195" s="361"/>
      <c r="W5195" s="345"/>
      <c r="X5195" s="786"/>
      <c r="Y5195" s="1128" t="s">
        <v>3380</v>
      </c>
      <c r="Z5195" s="1128" t="s">
        <v>3381</v>
      </c>
      <c r="AA5195" s="1128" t="s">
        <v>3384</v>
      </c>
      <c r="AB5195" s="20"/>
      <c r="AC5195" s="73"/>
    </row>
    <row r="5196" spans="1:29">
      <c r="A5196" s="327" t="str">
        <f>IF(AND($B5196&lt;&gt;"",$C5196&lt;&gt;""),MAX($A$4730:$A5184)+1,"")</f>
        <v/>
      </c>
      <c r="B5196" s="361" t="s">
        <v>3198</v>
      </c>
      <c r="C5196" s="360"/>
      <c r="D5196" s="327">
        <f>IF($B5196="","",COUNTIF($B$4731:$B5196,$B5196))</f>
        <v>5</v>
      </c>
      <c r="E5196" s="480" t="s">
        <v>2305</v>
      </c>
      <c r="F5196" s="403" t="s">
        <v>2862</v>
      </c>
      <c r="G5196" s="327" t="s">
        <v>155</v>
      </c>
      <c r="H5196" s="361" t="s">
        <v>536</v>
      </c>
      <c r="I5196" s="327">
        <v>12</v>
      </c>
      <c r="J5196" s="361"/>
      <c r="K5196" s="327" t="s">
        <v>101</v>
      </c>
      <c r="L5196" s="389">
        <v>5100</v>
      </c>
      <c r="M5196" s="355"/>
      <c r="N5196" s="355" t="s">
        <v>2408</v>
      </c>
      <c r="O5196" s="345" t="s">
        <v>2778</v>
      </c>
      <c r="P5196" s="325"/>
      <c r="Q5196" s="327"/>
      <c r="R5196" s="351"/>
      <c r="S5196" s="351"/>
      <c r="T5196" s="351"/>
      <c r="U5196" s="329" t="str">
        <f>IF($N5196=$N$4,IFERROR(INDEX(DanhMuc!$E$154:$E$165,MATCH(MID($B5196,4,2),DanhMuc!$B$154:$B$165,0)),""),"")</f>
        <v/>
      </c>
      <c r="V5196" s="361"/>
      <c r="W5196" s="345"/>
      <c r="X5196" s="786"/>
      <c r="Y5196" s="1128" t="s">
        <v>3380</v>
      </c>
      <c r="Z5196" s="1128" t="s">
        <v>3381</v>
      </c>
      <c r="AA5196" s="1128" t="s">
        <v>3384</v>
      </c>
      <c r="AB5196" s="20"/>
      <c r="AC5196" s="73"/>
    </row>
    <row r="5197" spans="1:29">
      <c r="A5197" s="327" t="str">
        <f>IF(AND($B5197&lt;&gt;"",$C5197&lt;&gt;""),MAX($A$4730:$A5195)+1,"")</f>
        <v/>
      </c>
      <c r="B5197" s="361" t="s">
        <v>3198</v>
      </c>
      <c r="C5197" s="360"/>
      <c r="D5197" s="327">
        <f>IF($B5197="","",COUNTIF($B$4731:$B5197,$B5197))</f>
        <v>6</v>
      </c>
      <c r="E5197" s="402" t="s">
        <v>2788</v>
      </c>
      <c r="F5197" s="403" t="s">
        <v>2789</v>
      </c>
      <c r="G5197" s="327" t="s">
        <v>155</v>
      </c>
      <c r="H5197" s="361" t="s">
        <v>536</v>
      </c>
      <c r="I5197" s="327">
        <f>4*I5196</f>
        <v>48</v>
      </c>
      <c r="J5197" s="361"/>
      <c r="K5197" s="327" t="s">
        <v>101</v>
      </c>
      <c r="L5197" s="389">
        <v>600</v>
      </c>
      <c r="M5197" s="355"/>
      <c r="N5197" s="355" t="s">
        <v>2408</v>
      </c>
      <c r="O5197" s="345" t="s">
        <v>2778</v>
      </c>
      <c r="P5197" s="325"/>
      <c r="Q5197" s="327"/>
      <c r="R5197" s="351"/>
      <c r="S5197" s="351"/>
      <c r="T5197" s="351"/>
      <c r="U5197" s="329" t="str">
        <f>IF($N5197=$N$4,IFERROR(INDEX(DanhMuc!$E$154:$E$165,MATCH(MID($B5197,4,2),DanhMuc!$B$154:$B$165,0)),""),"")</f>
        <v/>
      </c>
      <c r="V5197" s="361"/>
      <c r="W5197" s="345"/>
      <c r="X5197" s="786"/>
      <c r="Y5197" s="1128" t="s">
        <v>3380</v>
      </c>
      <c r="Z5197" s="1128" t="s">
        <v>3381</v>
      </c>
      <c r="AA5197" s="1128" t="s">
        <v>3384</v>
      </c>
      <c r="AB5197" s="20"/>
      <c r="AC5197" s="73"/>
    </row>
    <row r="5198" spans="1:29">
      <c r="A5198" s="327" t="str">
        <f>IF(AND($B5198&lt;&gt;"",$C5198&lt;&gt;""),MAX($A$4730:$A5183)+1,"")</f>
        <v/>
      </c>
      <c r="B5198" s="361" t="s">
        <v>3198</v>
      </c>
      <c r="C5198" s="360"/>
      <c r="D5198" s="327">
        <f>IF($B5198="","",COUNTIF($B$4731:$B5198,$B5198))</f>
        <v>7</v>
      </c>
      <c r="E5198" s="361" t="s">
        <v>2338</v>
      </c>
      <c r="F5198" s="362" t="s">
        <v>2331</v>
      </c>
      <c r="G5198" s="327" t="s">
        <v>155</v>
      </c>
      <c r="H5198" s="361" t="s">
        <v>536</v>
      </c>
      <c r="I5198" s="327">
        <v>24</v>
      </c>
      <c r="J5198" s="361"/>
      <c r="K5198" s="327" t="s">
        <v>101</v>
      </c>
      <c r="L5198" s="389">
        <v>750</v>
      </c>
      <c r="M5198" s="355"/>
      <c r="N5198" s="355" t="s">
        <v>2408</v>
      </c>
      <c r="O5198" s="345"/>
      <c r="P5198" s="325"/>
      <c r="Q5198" s="327"/>
      <c r="R5198" s="351"/>
      <c r="S5198" s="351"/>
      <c r="T5198" s="351"/>
      <c r="U5198" s="329" t="str">
        <f>IF($N5198=$N$4,IFERROR(INDEX(DanhMuc!$E$154:$E$165,MATCH(MID($B5198,4,2),DanhMuc!$B$154:$B$165,0)),""),"")</f>
        <v/>
      </c>
      <c r="V5198" s="361"/>
      <c r="W5198" s="345"/>
      <c r="X5198" s="786"/>
      <c r="Y5198" s="1128" t="s">
        <v>3380</v>
      </c>
      <c r="Z5198" s="1128" t="s">
        <v>3381</v>
      </c>
      <c r="AA5198" s="1128" t="s">
        <v>3384</v>
      </c>
      <c r="AB5198" s="20"/>
      <c r="AC5198" s="73"/>
    </row>
    <row r="5199" spans="1:29">
      <c r="A5199" s="327" t="str">
        <f>IF(AND($B5199&lt;&gt;"",$C5199&lt;&gt;""),MAX($A$4730:$A5198)+1,"")</f>
        <v/>
      </c>
      <c r="B5199" s="361" t="s">
        <v>3198</v>
      </c>
      <c r="C5199" s="362"/>
      <c r="D5199" s="327">
        <f>IF($B5199="","",COUNTIF($B$4731:$B5199,$B5199))</f>
        <v>8</v>
      </c>
      <c r="E5199" s="361" t="s">
        <v>654</v>
      </c>
      <c r="F5199" s="362" t="s">
        <v>653</v>
      </c>
      <c r="G5199" s="327" t="s">
        <v>1836</v>
      </c>
      <c r="H5199" s="361" t="s">
        <v>536</v>
      </c>
      <c r="I5199" s="327">
        <f>I5192/45</f>
        <v>8.8888888888888892E-2</v>
      </c>
      <c r="J5199" s="477"/>
      <c r="K5199" s="327" t="s">
        <v>655</v>
      </c>
      <c r="L5199" s="478">
        <v>115000</v>
      </c>
      <c r="M5199" s="355"/>
      <c r="N5199" s="355" t="s">
        <v>2408</v>
      </c>
      <c r="O5199" s="345" t="s">
        <v>2777</v>
      </c>
      <c r="P5199" s="325"/>
      <c r="Q5199" s="327"/>
      <c r="R5199" s="351"/>
      <c r="S5199" s="351"/>
      <c r="T5199" s="351"/>
      <c r="U5199" s="329" t="str">
        <f>IF($N5199=$N$4,IFERROR(INDEX(DanhMuc!$E$154:$E$165,MATCH(MID($B5199,4,2),DanhMuc!$B$154:$B$165,0)),""),"")</f>
        <v/>
      </c>
      <c r="V5199" s="361"/>
      <c r="W5199" s="345"/>
      <c r="X5199" s="786"/>
      <c r="Y5199" s="1128" t="s">
        <v>3380</v>
      </c>
      <c r="Z5199" s="1128" t="s">
        <v>3381</v>
      </c>
      <c r="AA5199" s="1128" t="s">
        <v>3384</v>
      </c>
      <c r="AB5199" s="20"/>
      <c r="AC5199" s="73"/>
    </row>
    <row r="5200" spans="1:29">
      <c r="A5200" s="327" t="str">
        <f>IF(AND($B5200&lt;&gt;"",$C5200&lt;&gt;""),MAX($A$4730:$A5199)+1,"")</f>
        <v/>
      </c>
      <c r="B5200" s="361" t="s">
        <v>3198</v>
      </c>
      <c r="C5200" s="362"/>
      <c r="D5200" s="327">
        <f>IF($B5200="","",COUNTIF($B$4731:$B5200,$B5200))</f>
        <v>9</v>
      </c>
      <c r="E5200" s="361" t="s">
        <v>654</v>
      </c>
      <c r="F5200" s="362" t="s">
        <v>653</v>
      </c>
      <c r="G5200" s="327" t="s">
        <v>1836</v>
      </c>
      <c r="H5200" s="361" t="s">
        <v>536</v>
      </c>
      <c r="I5200" s="327">
        <f>I5195/45</f>
        <v>0.26666666666666666</v>
      </c>
      <c r="J5200" s="477"/>
      <c r="K5200" s="327" t="s">
        <v>655</v>
      </c>
      <c r="L5200" s="478">
        <v>115000</v>
      </c>
      <c r="M5200" s="355"/>
      <c r="N5200" s="355" t="s">
        <v>2408</v>
      </c>
      <c r="O5200" s="345" t="s">
        <v>2779</v>
      </c>
      <c r="P5200" s="325"/>
      <c r="Q5200" s="327"/>
      <c r="R5200" s="351"/>
      <c r="S5200" s="351"/>
      <c r="T5200" s="351"/>
      <c r="U5200" s="329" t="str">
        <f>IF($N5200=$N$4,IFERROR(INDEX(DanhMuc!$E$154:$E$165,MATCH(MID($B5200,4,2),DanhMuc!$B$154:$B$165,0)),""),"")</f>
        <v/>
      </c>
      <c r="V5200" s="361"/>
      <c r="W5200" s="345"/>
      <c r="X5200" s="786"/>
      <c r="Y5200" s="1128" t="s">
        <v>3380</v>
      </c>
      <c r="Z5200" s="1128" t="s">
        <v>3381</v>
      </c>
      <c r="AA5200" s="1128" t="s">
        <v>3384</v>
      </c>
      <c r="AB5200" s="20"/>
      <c r="AC5200" s="73"/>
    </row>
    <row r="5201" spans="1:29">
      <c r="A5201" s="327" t="str">
        <f>IF(AND($B5201&lt;&gt;"",$C5201&lt;&gt;""),MAX($A$4730:$A5184)+1,"")</f>
        <v/>
      </c>
      <c r="B5201" s="361" t="s">
        <v>3198</v>
      </c>
      <c r="C5201" s="360"/>
      <c r="D5201" s="327">
        <f>IF($B5201="","",COUNTIF($B$4731:$B5201,$B5201))</f>
        <v>10</v>
      </c>
      <c r="E5201" s="361" t="s">
        <v>1826</v>
      </c>
      <c r="F5201" s="362" t="s">
        <v>670</v>
      </c>
      <c r="G5201" s="327" t="s">
        <v>661</v>
      </c>
      <c r="H5201" s="361" t="s">
        <v>536</v>
      </c>
      <c r="I5201" s="361" t="s">
        <v>2354</v>
      </c>
      <c r="J5201" s="361"/>
      <c r="K5201" s="327" t="s">
        <v>103</v>
      </c>
      <c r="L5201" s="478">
        <f>40000/1000</f>
        <v>40</v>
      </c>
      <c r="M5201" s="355"/>
      <c r="N5201" s="355" t="s">
        <v>2408</v>
      </c>
      <c r="O5201" s="345"/>
      <c r="P5201" s="325"/>
      <c r="Q5201" s="327"/>
      <c r="R5201" s="351"/>
      <c r="S5201" s="351"/>
      <c r="T5201" s="351"/>
      <c r="U5201" s="329" t="str">
        <f>IF($N5201=$N$4,IFERROR(INDEX(DanhMuc!$E$154:$E$165,MATCH(MID($B5201,4,2),DanhMuc!$B$154:$B$165,0)),""),"")</f>
        <v/>
      </c>
      <c r="V5201" s="361"/>
      <c r="W5201" s="345"/>
      <c r="X5201" s="786"/>
      <c r="Y5201" s="1128" t="s">
        <v>3380</v>
      </c>
      <c r="Z5201" s="1128" t="s">
        <v>3381</v>
      </c>
      <c r="AA5201" s="1128" t="s">
        <v>3384</v>
      </c>
      <c r="AB5201" s="20"/>
      <c r="AC5201" s="73"/>
    </row>
    <row r="5202" spans="1:29" ht="37.5">
      <c r="A5202" s="327" t="str">
        <f>IF(AND($B5202&lt;&gt;"",$C5202&lt;&gt;""),MAX($A$4730:$A5185)+1,"")</f>
        <v/>
      </c>
      <c r="B5202" s="361" t="s">
        <v>3198</v>
      </c>
      <c r="C5202" s="360"/>
      <c r="D5202" s="327">
        <f>IF($B5202="","",COUNTIF($B$4731:$B5202,$B5202))</f>
        <v>11</v>
      </c>
      <c r="E5202" s="362" t="s">
        <v>1964</v>
      </c>
      <c r="F5202" s="362" t="s">
        <v>1965</v>
      </c>
      <c r="G5202" s="327" t="s">
        <v>405</v>
      </c>
      <c r="H5202" s="361" t="s">
        <v>536</v>
      </c>
      <c r="I5202" s="361" t="s">
        <v>693</v>
      </c>
      <c r="J5202" s="361"/>
      <c r="K5202" s="327" t="s">
        <v>223</v>
      </c>
      <c r="L5202" s="478">
        <v>140</v>
      </c>
      <c r="M5202" s="371"/>
      <c r="N5202" s="355" t="s">
        <v>2408</v>
      </c>
      <c r="O5202" s="345"/>
      <c r="P5202" s="325"/>
      <c r="Q5202" s="327"/>
      <c r="R5202" s="351"/>
      <c r="S5202" s="351"/>
      <c r="T5202" s="351"/>
      <c r="U5202" s="329" t="str">
        <f>IF($N5202=$N$4,IFERROR(INDEX(DanhMuc!$E$154:$E$165,MATCH(MID($B5202,4,2),DanhMuc!$B$154:$B$165,0)),""),"")</f>
        <v/>
      </c>
      <c r="V5202" s="361"/>
      <c r="W5202" s="345"/>
      <c r="X5202" s="786"/>
      <c r="Y5202" s="1128" t="s">
        <v>3380</v>
      </c>
      <c r="Z5202" s="1128" t="s">
        <v>3381</v>
      </c>
      <c r="AA5202" s="1128" t="s">
        <v>3384</v>
      </c>
      <c r="AB5202" s="20"/>
      <c r="AC5202" s="73"/>
    </row>
    <row r="5203" spans="1:29" ht="37.5">
      <c r="A5203" s="327" t="str">
        <f>IF(AND($B5203&lt;&gt;"",$C5203&lt;&gt;""),MAX($A$4730:$A5186)+1,"")</f>
        <v/>
      </c>
      <c r="B5203" s="361" t="s">
        <v>3198</v>
      </c>
      <c r="C5203" s="360"/>
      <c r="D5203" s="327">
        <f>IF($B5203="","",COUNTIF($B$4731:$B5203,$B5203))</f>
        <v>12</v>
      </c>
      <c r="E5203" s="362" t="s">
        <v>2756</v>
      </c>
      <c r="F5203" s="362" t="s">
        <v>2757</v>
      </c>
      <c r="G5203" s="327" t="s">
        <v>405</v>
      </c>
      <c r="H5203" s="361" t="s">
        <v>536</v>
      </c>
      <c r="I5203" s="361" t="s">
        <v>694</v>
      </c>
      <c r="J5203" s="361"/>
      <c r="K5203" s="327" t="s">
        <v>738</v>
      </c>
      <c r="L5203" s="479">
        <v>322</v>
      </c>
      <c r="M5203" s="371"/>
      <c r="N5203" s="355" t="s">
        <v>2408</v>
      </c>
      <c r="O5203" s="345"/>
      <c r="P5203" s="325"/>
      <c r="Q5203" s="327"/>
      <c r="R5203" s="351"/>
      <c r="S5203" s="351"/>
      <c r="T5203" s="351"/>
      <c r="U5203" s="329" t="str">
        <f>IF($N5203=$N$4,IFERROR(INDEX(DanhMuc!$E$154:$E$165,MATCH(MID($B5203,4,2),DanhMuc!$B$154:$B$165,0)),""),"")</f>
        <v/>
      </c>
      <c r="V5203" s="361"/>
      <c r="W5203" s="345"/>
      <c r="X5203" s="786"/>
      <c r="Y5203" s="1128" t="s">
        <v>3380</v>
      </c>
      <c r="Z5203" s="1128" t="s">
        <v>3381</v>
      </c>
      <c r="AA5203" s="1128" t="s">
        <v>3384</v>
      </c>
      <c r="AB5203" s="20"/>
      <c r="AC5203" s="73"/>
    </row>
    <row r="5204" spans="1:29">
      <c r="A5204" s="327" t="str">
        <f>IF(AND($B5204&lt;&gt;"",$C5204&lt;&gt;""),MAX($A$4730:$A5187)+1,"")</f>
        <v/>
      </c>
      <c r="B5204" s="361" t="s">
        <v>3198</v>
      </c>
      <c r="C5204" s="360"/>
      <c r="D5204" s="327">
        <f>IF($B5204="","",COUNTIF($B$4731:$B5204,$B5204))</f>
        <v>13</v>
      </c>
      <c r="E5204" s="361" t="s">
        <v>656</v>
      </c>
      <c r="F5204" s="362" t="s">
        <v>2239</v>
      </c>
      <c r="G5204" s="327" t="s">
        <v>405</v>
      </c>
      <c r="H5204" s="361" t="s">
        <v>536</v>
      </c>
      <c r="I5204" s="361" t="s">
        <v>1827</v>
      </c>
      <c r="J5204" s="361"/>
      <c r="K5204" s="327" t="s">
        <v>100</v>
      </c>
      <c r="L5204" s="478">
        <v>970</v>
      </c>
      <c r="M5204" s="371"/>
      <c r="N5204" s="355" t="s">
        <v>2409</v>
      </c>
      <c r="O5204" s="345"/>
      <c r="P5204" s="325"/>
      <c r="Q5204" s="327"/>
      <c r="R5204" s="351"/>
      <c r="S5204" s="351"/>
      <c r="T5204" s="351"/>
      <c r="U5204" s="329" t="str">
        <f>IF($N5204=$N$4,IFERROR(INDEX(DanhMuc!$E$154:$E$165,MATCH(MID($B5204,4,2),DanhMuc!$B$154:$B$165,0)),""),"")</f>
        <v/>
      </c>
      <c r="V5204" s="361"/>
      <c r="W5204" s="345"/>
      <c r="X5204" s="786"/>
      <c r="Y5204" s="1128" t="s">
        <v>3380</v>
      </c>
      <c r="Z5204" s="1128" t="s">
        <v>3381</v>
      </c>
      <c r="AA5204" s="1128" t="s">
        <v>3384</v>
      </c>
      <c r="AB5204" s="20"/>
      <c r="AC5204" s="73"/>
    </row>
    <row r="5205" spans="1:29">
      <c r="A5205" s="327" t="str">
        <f>IF(AND($B5205&lt;&gt;"",$C5205&lt;&gt;""),MAX($A$4730:$A5188)+1,"")</f>
        <v/>
      </c>
      <c r="B5205" s="361" t="s">
        <v>3198</v>
      </c>
      <c r="C5205" s="360"/>
      <c r="D5205" s="327">
        <f>IF($B5205="","",COUNTIF($B$4731:$B5205,$B5205))</f>
        <v>14</v>
      </c>
      <c r="E5205" s="361" t="s">
        <v>657</v>
      </c>
      <c r="F5205" s="362" t="s">
        <v>658</v>
      </c>
      <c r="G5205" s="327" t="s">
        <v>424</v>
      </c>
      <c r="H5205" s="361" t="s">
        <v>536</v>
      </c>
      <c r="I5205" s="361" t="s">
        <v>665</v>
      </c>
      <c r="J5205" s="361"/>
      <c r="K5205" s="327" t="s">
        <v>100</v>
      </c>
      <c r="L5205" s="478">
        <v>60000</v>
      </c>
      <c r="M5205" s="355"/>
      <c r="N5205" s="355" t="s">
        <v>2409</v>
      </c>
      <c r="O5205" s="345"/>
      <c r="P5205" s="325"/>
      <c r="Q5205" s="327"/>
      <c r="R5205" s="351"/>
      <c r="S5205" s="351"/>
      <c r="T5205" s="351"/>
      <c r="U5205" s="329" t="str">
        <f>IF($N5205=$N$4,IFERROR(INDEX(DanhMuc!$E$154:$E$165,MATCH(MID($B5205,4,2),DanhMuc!$B$154:$B$165,0)),""),"")</f>
        <v/>
      </c>
      <c r="V5205" s="361"/>
      <c r="W5205" s="345"/>
      <c r="X5205" s="786"/>
      <c r="Y5205" s="1128" t="s">
        <v>3380</v>
      </c>
      <c r="Z5205" s="1128" t="s">
        <v>3381</v>
      </c>
      <c r="AA5205" s="1128" t="s">
        <v>3384</v>
      </c>
      <c r="AB5205" s="20"/>
      <c r="AC5205" s="73"/>
    </row>
    <row r="5206" spans="1:29">
      <c r="A5206" s="327" t="str">
        <f>IF(AND($B5206&lt;&gt;"",$C5206&lt;&gt;""),MAX($A$4730:$A5205)+1,"")</f>
        <v/>
      </c>
      <c r="B5206" s="361" t="s">
        <v>3198</v>
      </c>
      <c r="C5206" s="362"/>
      <c r="D5206" s="327">
        <f>IF($B5206="","",COUNTIF($B$4731:$B5206,$B5206))</f>
        <v>15</v>
      </c>
      <c r="E5206" s="361" t="s">
        <v>2771</v>
      </c>
      <c r="F5206" s="362" t="s">
        <v>659</v>
      </c>
      <c r="G5206" s="327" t="s">
        <v>424</v>
      </c>
      <c r="H5206" s="361" t="s">
        <v>536</v>
      </c>
      <c r="I5206" s="361" t="s">
        <v>666</v>
      </c>
      <c r="J5206" s="361"/>
      <c r="K5206" s="327" t="s">
        <v>100</v>
      </c>
      <c r="L5206" s="389">
        <v>53000</v>
      </c>
      <c r="M5206" s="355"/>
      <c r="N5206" s="355" t="s">
        <v>2409</v>
      </c>
      <c r="O5206" s="345"/>
      <c r="P5206" s="325"/>
      <c r="Q5206" s="327"/>
      <c r="R5206" s="351"/>
      <c r="S5206" s="351"/>
      <c r="T5206" s="351"/>
      <c r="U5206" s="329" t="str">
        <f>IF($N5206=$N$4,IFERROR(INDEX(DanhMuc!$E$154:$E$165,MATCH(MID($B5206,4,2),DanhMuc!$B$154:$B$165,0)),""),"")</f>
        <v/>
      </c>
      <c r="V5206" s="361"/>
      <c r="W5206" s="345"/>
      <c r="X5206" s="786"/>
      <c r="Y5206" s="1128" t="s">
        <v>3380</v>
      </c>
      <c r="Z5206" s="1128" t="s">
        <v>3381</v>
      </c>
      <c r="AA5206" s="1128" t="s">
        <v>3384</v>
      </c>
      <c r="AB5206" s="20"/>
      <c r="AC5206" s="73"/>
    </row>
    <row r="5207" spans="1:29">
      <c r="A5207" s="327" t="str">
        <f>IF(AND($B5207&lt;&gt;"",$C5207&lt;&gt;""),MAX($A$4730:$A5206)+1,"")</f>
        <v/>
      </c>
      <c r="B5207" s="361" t="s">
        <v>3198</v>
      </c>
      <c r="C5207" s="362"/>
      <c r="D5207" s="327">
        <f>IF($B5207="","",COUNTIF($B$4731:$B5207,$B5207))</f>
        <v>16</v>
      </c>
      <c r="E5207" s="361" t="s">
        <v>1828</v>
      </c>
      <c r="F5207" s="362" t="s">
        <v>671</v>
      </c>
      <c r="G5207" s="327" t="s">
        <v>661</v>
      </c>
      <c r="H5207" s="361" t="s">
        <v>536</v>
      </c>
      <c r="I5207" s="361" t="s">
        <v>2355</v>
      </c>
      <c r="J5207" s="361"/>
      <c r="K5207" s="327" t="s">
        <v>100</v>
      </c>
      <c r="L5207" s="478">
        <f>40000/1000</f>
        <v>40</v>
      </c>
      <c r="M5207" s="355"/>
      <c r="N5207" s="355" t="s">
        <v>2409</v>
      </c>
      <c r="O5207" s="345"/>
      <c r="P5207" s="325"/>
      <c r="Q5207" s="327"/>
      <c r="R5207" s="351"/>
      <c r="S5207" s="351"/>
      <c r="T5207" s="351"/>
      <c r="U5207" s="329" t="str">
        <f>IF($N5207=$N$4,IFERROR(INDEX(DanhMuc!$E$154:$E$165,MATCH(MID($B5207,4,2),DanhMuc!$B$154:$B$165,0)),""),"")</f>
        <v/>
      </c>
      <c r="V5207" s="361"/>
      <c r="W5207" s="345"/>
      <c r="X5207" s="786"/>
      <c r="Y5207" s="1128" t="s">
        <v>3380</v>
      </c>
      <c r="Z5207" s="1128" t="s">
        <v>3381</v>
      </c>
      <c r="AA5207" s="1128" t="s">
        <v>3384</v>
      </c>
      <c r="AB5207" s="20"/>
      <c r="AC5207" s="73"/>
    </row>
    <row r="5208" spans="1:29">
      <c r="A5208" s="327" t="str">
        <f>IF(AND($B5208&lt;&gt;"",$C5208&lt;&gt;""),MAX($A$4730:$A5207)+1,"")</f>
        <v/>
      </c>
      <c r="B5208" s="361" t="s">
        <v>3198</v>
      </c>
      <c r="C5208" s="362"/>
      <c r="D5208" s="327">
        <f>IF($B5208="","",COUNTIF($B$4731:$B5208,$B5208))</f>
        <v>17</v>
      </c>
      <c r="E5208" s="361" t="s">
        <v>154</v>
      </c>
      <c r="F5208" s="362" t="s">
        <v>660</v>
      </c>
      <c r="G5208" s="327" t="s">
        <v>661</v>
      </c>
      <c r="H5208" s="361" t="s">
        <v>536</v>
      </c>
      <c r="I5208" s="361" t="s">
        <v>667</v>
      </c>
      <c r="J5208" s="361"/>
      <c r="K5208" s="327" t="s">
        <v>662</v>
      </c>
      <c r="L5208" s="478">
        <v>20</v>
      </c>
      <c r="M5208" s="355"/>
      <c r="N5208" s="355" t="s">
        <v>2409</v>
      </c>
      <c r="O5208" s="345"/>
      <c r="P5208" s="325"/>
      <c r="Q5208" s="327"/>
      <c r="R5208" s="351"/>
      <c r="S5208" s="351"/>
      <c r="T5208" s="351"/>
      <c r="U5208" s="329" t="str">
        <f>IF($N5208=$N$4,IFERROR(INDEX(DanhMuc!$E$154:$E$165,MATCH(MID($B5208,4,2),DanhMuc!$B$154:$B$165,0)),""),"")</f>
        <v/>
      </c>
      <c r="V5208" s="361"/>
      <c r="W5208" s="345"/>
      <c r="X5208" s="786"/>
      <c r="Y5208" s="1128" t="s">
        <v>3380</v>
      </c>
      <c r="Z5208" s="1128" t="s">
        <v>3381</v>
      </c>
      <c r="AA5208" s="1128" t="s">
        <v>3384</v>
      </c>
      <c r="AB5208" s="20"/>
      <c r="AC5208" s="73"/>
    </row>
    <row r="5209" spans="1:29">
      <c r="A5209" s="327" t="str">
        <f>IF(AND($B5209&lt;&gt;"",$C5209&lt;&gt;""),MAX($A$4730:$A5208)+1,"")</f>
        <v/>
      </c>
      <c r="B5209" s="361" t="s">
        <v>3198</v>
      </c>
      <c r="C5209" s="362"/>
      <c r="D5209" s="327">
        <f>IF($B5209="","",COUNTIF($B$4731:$B5209,$B5209))</f>
        <v>18</v>
      </c>
      <c r="E5209" s="362" t="s">
        <v>2282</v>
      </c>
      <c r="F5209" s="362" t="s">
        <v>2283</v>
      </c>
      <c r="G5209" s="327" t="s">
        <v>424</v>
      </c>
      <c r="H5209" s="361" t="s">
        <v>536</v>
      </c>
      <c r="I5209" s="361" t="s">
        <v>2238</v>
      </c>
      <c r="J5209" s="361"/>
      <c r="K5209" s="327" t="s">
        <v>662</v>
      </c>
      <c r="L5209" s="478">
        <v>28000</v>
      </c>
      <c r="M5209" s="355"/>
      <c r="N5209" s="355" t="s">
        <v>2409</v>
      </c>
      <c r="O5209" s="345"/>
      <c r="P5209" s="325"/>
      <c r="Q5209" s="327"/>
      <c r="R5209" s="351"/>
      <c r="S5209" s="351"/>
      <c r="T5209" s="351"/>
      <c r="U5209" s="329" t="str">
        <f>IF($N5209=$N$4,IFERROR(INDEX(DanhMuc!$E$154:$E$165,MATCH(MID($B5209,4,2),DanhMuc!$B$154:$B$165,0)),""),"")</f>
        <v/>
      </c>
      <c r="V5209" s="361"/>
      <c r="W5209" s="345"/>
      <c r="X5209" s="786"/>
      <c r="Y5209" s="1128" t="s">
        <v>3380</v>
      </c>
      <c r="Z5209" s="1128" t="s">
        <v>3381</v>
      </c>
      <c r="AA5209" s="1128" t="s">
        <v>3384</v>
      </c>
      <c r="AB5209" s="20"/>
      <c r="AC5209" s="73"/>
    </row>
    <row r="5210" spans="1:29">
      <c r="A5210" s="327" t="str">
        <f>IF(AND($B5210&lt;&gt;"",$C5210&lt;&gt;""),MAX($A$4730:$A5209)+1,"")</f>
        <v/>
      </c>
      <c r="B5210" s="361" t="s">
        <v>3198</v>
      </c>
      <c r="C5210" s="362"/>
      <c r="D5210" s="327">
        <f>IF($B5210="","",COUNTIF($B$4731:$B5210,$B5210))</f>
        <v>19</v>
      </c>
      <c r="E5210" s="362" t="s">
        <v>663</v>
      </c>
      <c r="F5210" s="362" t="s">
        <v>664</v>
      </c>
      <c r="G5210" s="327" t="s">
        <v>155</v>
      </c>
      <c r="H5210" s="361" t="s">
        <v>536</v>
      </c>
      <c r="I5210" s="361" t="s">
        <v>672</v>
      </c>
      <c r="J5210" s="361"/>
      <c r="K5210" s="327" t="s">
        <v>662</v>
      </c>
      <c r="L5210" s="478">
        <v>1000</v>
      </c>
      <c r="M5210" s="355"/>
      <c r="N5210" s="355" t="s">
        <v>2409</v>
      </c>
      <c r="O5210" s="345"/>
      <c r="P5210" s="325"/>
      <c r="Q5210" s="327"/>
      <c r="R5210" s="351"/>
      <c r="S5210" s="351"/>
      <c r="T5210" s="351"/>
      <c r="U5210" s="329" t="str">
        <f>IF($N5210=$N$4,IFERROR(INDEX(DanhMuc!$E$154:$E$165,MATCH(MID($B5210,4,2),DanhMuc!$B$154:$B$165,0)),""),"")</f>
        <v/>
      </c>
      <c r="V5210" s="361"/>
      <c r="W5210" s="345"/>
      <c r="X5210" s="786"/>
      <c r="Y5210" s="1128" t="s">
        <v>3380</v>
      </c>
      <c r="Z5210" s="1128" t="s">
        <v>3381</v>
      </c>
      <c r="AA5210" s="1128" t="s">
        <v>3384</v>
      </c>
      <c r="AB5210" s="20"/>
      <c r="AC5210" s="73"/>
    </row>
    <row r="5211" spans="1:29" ht="39">
      <c r="A5211" s="327">
        <f>IF(AND($B5211&lt;&gt;"",$C5211&lt;&gt;""),MAX($A$4730:$A5201)+1,"")</f>
        <v>17</v>
      </c>
      <c r="B5211" s="359" t="s">
        <v>3199</v>
      </c>
      <c r="C5211" s="360" t="s">
        <v>3179</v>
      </c>
      <c r="D5211" s="327">
        <f>IF($B5211="","",COUNTIF($B$4731:$B5211,$B5211))</f>
        <v>1</v>
      </c>
      <c r="E5211" s="480" t="s">
        <v>2858</v>
      </c>
      <c r="F5211" s="403" t="s">
        <v>2859</v>
      </c>
      <c r="G5211" s="327" t="s">
        <v>155</v>
      </c>
      <c r="H5211" s="361" t="s">
        <v>536</v>
      </c>
      <c r="I5211" s="327">
        <v>4</v>
      </c>
      <c r="J5211" s="361"/>
      <c r="K5211" s="327" t="s">
        <v>100</v>
      </c>
      <c r="L5211" s="389">
        <v>7100</v>
      </c>
      <c r="M5211" s="355"/>
      <c r="N5211" s="355" t="s">
        <v>2408</v>
      </c>
      <c r="O5211" s="345" t="s">
        <v>2777</v>
      </c>
      <c r="P5211" s="325"/>
      <c r="Q5211" s="327"/>
      <c r="R5211" s="351"/>
      <c r="S5211" s="351"/>
      <c r="T5211" s="351"/>
      <c r="U5211" s="329" t="str">
        <f>IF($N5211=$N$4,IFERROR(INDEX(DanhMuc!$E$154:$E$165,MATCH(MID($B5211,4,2),DanhMuc!$B$154:$B$165,0)),""),"")</f>
        <v/>
      </c>
      <c r="V5211" s="361"/>
      <c r="W5211" s="345"/>
      <c r="X5211" s="786"/>
      <c r="Y5211" s="1128" t="s">
        <v>3380</v>
      </c>
      <c r="Z5211" s="1128" t="s">
        <v>3381</v>
      </c>
      <c r="AA5211" s="1128" t="s">
        <v>3384</v>
      </c>
      <c r="AB5211" s="20"/>
      <c r="AC5211" s="73"/>
    </row>
    <row r="5212" spans="1:29" ht="25">
      <c r="A5212" s="327" t="str">
        <f>IF(AND($B5212&lt;&gt;"",$C5212&lt;&gt;""),MAX($A$4730:$A5202)+1,"")</f>
        <v/>
      </c>
      <c r="B5212" s="361" t="s">
        <v>3199</v>
      </c>
      <c r="C5212" s="360"/>
      <c r="D5212" s="327">
        <f>IF($B5212="","",COUNTIF($B$4731:$B5212,$B5212))</f>
        <v>2</v>
      </c>
      <c r="E5212" s="480" t="s">
        <v>2304</v>
      </c>
      <c r="F5212" s="403" t="s">
        <v>2335</v>
      </c>
      <c r="G5212" s="327" t="s">
        <v>155</v>
      </c>
      <c r="H5212" s="361" t="s">
        <v>536</v>
      </c>
      <c r="I5212" s="327">
        <v>4</v>
      </c>
      <c r="J5212" s="361"/>
      <c r="K5212" s="327" t="s">
        <v>100</v>
      </c>
      <c r="L5212" s="389">
        <v>7100</v>
      </c>
      <c r="M5212" s="355"/>
      <c r="N5212" s="355" t="s">
        <v>2408</v>
      </c>
      <c r="O5212" s="345" t="s">
        <v>2776</v>
      </c>
      <c r="P5212" s="325"/>
      <c r="Q5212" s="327"/>
      <c r="R5212" s="351"/>
      <c r="S5212" s="351"/>
      <c r="T5212" s="351"/>
      <c r="U5212" s="329" t="str">
        <f>IF($N5212=$N$4,IFERROR(INDEX(DanhMuc!$E$154:$E$165,MATCH(MID($B5212,4,2),DanhMuc!$B$154:$B$165,0)),""),"")</f>
        <v/>
      </c>
      <c r="V5212" s="361"/>
      <c r="W5212" s="345"/>
      <c r="X5212" s="786"/>
      <c r="Y5212" s="1128" t="s">
        <v>3380</v>
      </c>
      <c r="Z5212" s="1128" t="s">
        <v>3381</v>
      </c>
      <c r="AA5212" s="1128" t="s">
        <v>3384</v>
      </c>
      <c r="AB5212" s="20"/>
      <c r="AC5212" s="73"/>
    </row>
    <row r="5213" spans="1:29">
      <c r="A5213" s="327" t="str">
        <f>IF(AND($B5213&lt;&gt;"",$C5213&lt;&gt;""),MAX($A$4730:$A5212)+1,"")</f>
        <v/>
      </c>
      <c r="B5213" s="361" t="s">
        <v>3199</v>
      </c>
      <c r="C5213" s="360"/>
      <c r="D5213" s="327">
        <f>IF($B5213="","",COUNTIF($B$4731:$B5213,$B5213))</f>
        <v>3</v>
      </c>
      <c r="E5213" s="402" t="s">
        <v>2788</v>
      </c>
      <c r="F5213" s="403" t="s">
        <v>2789</v>
      </c>
      <c r="G5213" s="327" t="s">
        <v>155</v>
      </c>
      <c r="H5213" s="361" t="s">
        <v>536</v>
      </c>
      <c r="I5213" s="327">
        <f>4*I5212</f>
        <v>16</v>
      </c>
      <c r="J5213" s="361"/>
      <c r="K5213" s="327" t="s">
        <v>100</v>
      </c>
      <c r="L5213" s="389">
        <v>600</v>
      </c>
      <c r="M5213" s="355"/>
      <c r="N5213" s="355" t="s">
        <v>2408</v>
      </c>
      <c r="O5213" s="345" t="s">
        <v>2776</v>
      </c>
      <c r="P5213" s="325"/>
      <c r="Q5213" s="327"/>
      <c r="R5213" s="351"/>
      <c r="S5213" s="351"/>
      <c r="T5213" s="351"/>
      <c r="U5213" s="329" t="str">
        <f>IF($N5213=$N$4,IFERROR(INDEX(DanhMuc!$E$154:$E$165,MATCH(MID($B5213,4,2),DanhMuc!$B$154:$B$165,0)),""),"")</f>
        <v/>
      </c>
      <c r="V5213" s="361"/>
      <c r="W5213" s="345"/>
      <c r="X5213" s="786"/>
      <c r="Y5213" s="1128" t="s">
        <v>3380</v>
      </c>
      <c r="Z5213" s="1128" t="s">
        <v>3381</v>
      </c>
      <c r="AA5213" s="1128" t="s">
        <v>3384</v>
      </c>
      <c r="AB5213" s="20"/>
      <c r="AC5213" s="73"/>
    </row>
    <row r="5214" spans="1:29">
      <c r="A5214" s="327" t="str">
        <f>IF(AND($B5214&lt;&gt;"",$C5214&lt;&gt;""),MAX($A$4730:$A5202)+1,"")</f>
        <v/>
      </c>
      <c r="B5214" s="361" t="s">
        <v>3199</v>
      </c>
      <c r="C5214" s="360"/>
      <c r="D5214" s="327">
        <f>IF($B5214="","",COUNTIF($B$4731:$B5214,$B5214))</f>
        <v>4</v>
      </c>
      <c r="E5214" s="480" t="s">
        <v>2860</v>
      </c>
      <c r="F5214" s="403" t="s">
        <v>2861</v>
      </c>
      <c r="G5214" s="327" t="s">
        <v>155</v>
      </c>
      <c r="H5214" s="361" t="s">
        <v>536</v>
      </c>
      <c r="I5214" s="327">
        <v>12</v>
      </c>
      <c r="J5214" s="361"/>
      <c r="K5214" s="327" t="s">
        <v>101</v>
      </c>
      <c r="L5214" s="389">
        <v>5100</v>
      </c>
      <c r="M5214" s="355"/>
      <c r="N5214" s="355" t="s">
        <v>2408</v>
      </c>
      <c r="O5214" s="345" t="s">
        <v>2779</v>
      </c>
      <c r="P5214" s="325"/>
      <c r="Q5214" s="327"/>
      <c r="R5214" s="351"/>
      <c r="S5214" s="351"/>
      <c r="T5214" s="351"/>
      <c r="U5214" s="329" t="str">
        <f>IF($N5214=$N$4,IFERROR(INDEX(DanhMuc!$E$154:$E$165,MATCH(MID($B5214,4,2),DanhMuc!$B$154:$B$165,0)),""),"")</f>
        <v/>
      </c>
      <c r="V5214" s="361"/>
      <c r="W5214" s="345"/>
      <c r="X5214" s="786"/>
      <c r="Y5214" s="1128" t="s">
        <v>3380</v>
      </c>
      <c r="Z5214" s="1128" t="s">
        <v>3381</v>
      </c>
      <c r="AA5214" s="1128" t="s">
        <v>3384</v>
      </c>
      <c r="AB5214" s="20"/>
      <c r="AC5214" s="73"/>
    </row>
    <row r="5215" spans="1:29">
      <c r="A5215" s="327" t="str">
        <f>IF(AND($B5215&lt;&gt;"",$C5215&lt;&gt;""),MAX($A$4730:$A5203)+1,"")</f>
        <v/>
      </c>
      <c r="B5215" s="361" t="s">
        <v>3199</v>
      </c>
      <c r="C5215" s="360"/>
      <c r="D5215" s="327">
        <f>IF($B5215="","",COUNTIF($B$4731:$B5215,$B5215))</f>
        <v>5</v>
      </c>
      <c r="E5215" s="480" t="s">
        <v>2305</v>
      </c>
      <c r="F5215" s="403" t="s">
        <v>2862</v>
      </c>
      <c r="G5215" s="327" t="s">
        <v>155</v>
      </c>
      <c r="H5215" s="361" t="s">
        <v>536</v>
      </c>
      <c r="I5215" s="327">
        <v>12</v>
      </c>
      <c r="J5215" s="361"/>
      <c r="K5215" s="327" t="s">
        <v>101</v>
      </c>
      <c r="L5215" s="389">
        <v>5100</v>
      </c>
      <c r="M5215" s="355"/>
      <c r="N5215" s="355" t="s">
        <v>2408</v>
      </c>
      <c r="O5215" s="345" t="s">
        <v>2778</v>
      </c>
      <c r="P5215" s="325"/>
      <c r="Q5215" s="327"/>
      <c r="R5215" s="351"/>
      <c r="S5215" s="351"/>
      <c r="T5215" s="351"/>
      <c r="U5215" s="329" t="str">
        <f>IF($N5215=$N$4,IFERROR(INDEX(DanhMuc!$E$154:$E$165,MATCH(MID($B5215,4,2),DanhMuc!$B$154:$B$165,0)),""),"")</f>
        <v/>
      </c>
      <c r="V5215" s="361"/>
      <c r="W5215" s="345"/>
      <c r="X5215" s="786"/>
      <c r="Y5215" s="1128" t="s">
        <v>3380</v>
      </c>
      <c r="Z5215" s="1128" t="s">
        <v>3381</v>
      </c>
      <c r="AA5215" s="1128" t="s">
        <v>3384</v>
      </c>
      <c r="AB5215" s="20"/>
      <c r="AC5215" s="73"/>
    </row>
    <row r="5216" spans="1:29">
      <c r="A5216" s="327" t="str">
        <f>IF(AND($B5216&lt;&gt;"",$C5216&lt;&gt;""),MAX($A$4730:$A5214)+1,"")</f>
        <v/>
      </c>
      <c r="B5216" s="361" t="s">
        <v>3199</v>
      </c>
      <c r="C5216" s="360"/>
      <c r="D5216" s="327">
        <f>IF($B5216="","",COUNTIF($B$4731:$B5216,$B5216))</f>
        <v>6</v>
      </c>
      <c r="E5216" s="402" t="s">
        <v>2788</v>
      </c>
      <c r="F5216" s="403" t="s">
        <v>2789</v>
      </c>
      <c r="G5216" s="327" t="s">
        <v>155</v>
      </c>
      <c r="H5216" s="361" t="s">
        <v>536</v>
      </c>
      <c r="I5216" s="327">
        <f>4*I5215</f>
        <v>48</v>
      </c>
      <c r="J5216" s="361"/>
      <c r="K5216" s="327" t="s">
        <v>101</v>
      </c>
      <c r="L5216" s="389">
        <v>600</v>
      </c>
      <c r="M5216" s="355"/>
      <c r="N5216" s="355" t="s">
        <v>2408</v>
      </c>
      <c r="O5216" s="345" t="s">
        <v>2778</v>
      </c>
      <c r="P5216" s="325"/>
      <c r="Q5216" s="327"/>
      <c r="R5216" s="351"/>
      <c r="S5216" s="351"/>
      <c r="T5216" s="351"/>
      <c r="U5216" s="329" t="str">
        <f>IF($N5216=$N$4,IFERROR(INDEX(DanhMuc!$E$154:$E$165,MATCH(MID($B5216,4,2),DanhMuc!$B$154:$B$165,0)),""),"")</f>
        <v/>
      </c>
      <c r="V5216" s="361"/>
      <c r="W5216" s="345"/>
      <c r="X5216" s="786"/>
      <c r="Y5216" s="1128" t="s">
        <v>3380</v>
      </c>
      <c r="Z5216" s="1128" t="s">
        <v>3381</v>
      </c>
      <c r="AA5216" s="1128" t="s">
        <v>3384</v>
      </c>
      <c r="AB5216" s="20"/>
      <c r="AC5216" s="73"/>
    </row>
    <row r="5217" spans="1:29">
      <c r="A5217" s="327" t="str">
        <f>IF(AND($B5217&lt;&gt;"",$C5217&lt;&gt;""),MAX($A$4730:$A5202)+1,"")</f>
        <v/>
      </c>
      <c r="B5217" s="361" t="s">
        <v>3199</v>
      </c>
      <c r="C5217" s="360"/>
      <c r="D5217" s="327">
        <f>IF($B5217="","",COUNTIF($B$4731:$B5217,$B5217))</f>
        <v>7</v>
      </c>
      <c r="E5217" s="361" t="s">
        <v>2338</v>
      </c>
      <c r="F5217" s="362" t="s">
        <v>2331</v>
      </c>
      <c r="G5217" s="327" t="s">
        <v>155</v>
      </c>
      <c r="H5217" s="361" t="s">
        <v>536</v>
      </c>
      <c r="I5217" s="327">
        <v>24</v>
      </c>
      <c r="J5217" s="361"/>
      <c r="K5217" s="327" t="s">
        <v>101</v>
      </c>
      <c r="L5217" s="389">
        <v>750</v>
      </c>
      <c r="M5217" s="355"/>
      <c r="N5217" s="355" t="s">
        <v>2408</v>
      </c>
      <c r="O5217" s="345"/>
      <c r="P5217" s="325"/>
      <c r="Q5217" s="327"/>
      <c r="R5217" s="351"/>
      <c r="S5217" s="351"/>
      <c r="T5217" s="351"/>
      <c r="U5217" s="329" t="str">
        <f>IF($N5217=$N$4,IFERROR(INDEX(DanhMuc!$E$154:$E$165,MATCH(MID($B5217,4,2),DanhMuc!$B$154:$B$165,0)),""),"")</f>
        <v/>
      </c>
      <c r="V5217" s="361"/>
      <c r="W5217" s="345"/>
      <c r="X5217" s="786"/>
      <c r="Y5217" s="1128" t="s">
        <v>3380</v>
      </c>
      <c r="Z5217" s="1128" t="s">
        <v>3381</v>
      </c>
      <c r="AA5217" s="1128" t="s">
        <v>3384</v>
      </c>
      <c r="AB5217" s="20"/>
      <c r="AC5217" s="73"/>
    </row>
    <row r="5218" spans="1:29">
      <c r="A5218" s="327" t="str">
        <f>IF(AND($B5218&lt;&gt;"",$C5218&lt;&gt;""),MAX($A$4730:$A5217)+1,"")</f>
        <v/>
      </c>
      <c r="B5218" s="361" t="s">
        <v>3199</v>
      </c>
      <c r="C5218" s="362"/>
      <c r="D5218" s="327">
        <f>IF($B5218="","",COUNTIF($B$4731:$B5218,$B5218))</f>
        <v>8</v>
      </c>
      <c r="E5218" s="361" t="s">
        <v>654</v>
      </c>
      <c r="F5218" s="362" t="s">
        <v>653</v>
      </c>
      <c r="G5218" s="327" t="s">
        <v>1836</v>
      </c>
      <c r="H5218" s="361" t="s">
        <v>536</v>
      </c>
      <c r="I5218" s="327">
        <f>I5211/45</f>
        <v>8.8888888888888892E-2</v>
      </c>
      <c r="J5218" s="477"/>
      <c r="K5218" s="327" t="s">
        <v>655</v>
      </c>
      <c r="L5218" s="478">
        <v>115000</v>
      </c>
      <c r="M5218" s="355"/>
      <c r="N5218" s="355" t="s">
        <v>2408</v>
      </c>
      <c r="O5218" s="345" t="s">
        <v>2777</v>
      </c>
      <c r="P5218" s="325"/>
      <c r="Q5218" s="327"/>
      <c r="R5218" s="351"/>
      <c r="S5218" s="351"/>
      <c r="T5218" s="351"/>
      <c r="U5218" s="329" t="str">
        <f>IF($N5218=$N$4,IFERROR(INDEX(DanhMuc!$E$154:$E$165,MATCH(MID($B5218,4,2),DanhMuc!$B$154:$B$165,0)),""),"")</f>
        <v/>
      </c>
      <c r="V5218" s="361"/>
      <c r="W5218" s="345"/>
      <c r="X5218" s="786"/>
      <c r="Y5218" s="1128" t="s">
        <v>3380</v>
      </c>
      <c r="Z5218" s="1128" t="s">
        <v>3381</v>
      </c>
      <c r="AA5218" s="1128" t="s">
        <v>3384</v>
      </c>
      <c r="AB5218" s="20"/>
      <c r="AC5218" s="73"/>
    </row>
    <row r="5219" spans="1:29">
      <c r="A5219" s="327" t="str">
        <f>IF(AND($B5219&lt;&gt;"",$C5219&lt;&gt;""),MAX($A$4730:$A5218)+1,"")</f>
        <v/>
      </c>
      <c r="B5219" s="361" t="s">
        <v>3199</v>
      </c>
      <c r="C5219" s="362"/>
      <c r="D5219" s="327">
        <f>IF($B5219="","",COUNTIF($B$4731:$B5219,$B5219))</f>
        <v>9</v>
      </c>
      <c r="E5219" s="361" t="s">
        <v>654</v>
      </c>
      <c r="F5219" s="362" t="s">
        <v>653</v>
      </c>
      <c r="G5219" s="327" t="s">
        <v>1836</v>
      </c>
      <c r="H5219" s="361" t="s">
        <v>536</v>
      </c>
      <c r="I5219" s="327">
        <f>I5214/45</f>
        <v>0.26666666666666666</v>
      </c>
      <c r="J5219" s="477"/>
      <c r="K5219" s="327" t="s">
        <v>655</v>
      </c>
      <c r="L5219" s="478">
        <v>115000</v>
      </c>
      <c r="M5219" s="355"/>
      <c r="N5219" s="355" t="s">
        <v>2408</v>
      </c>
      <c r="O5219" s="345" t="s">
        <v>2779</v>
      </c>
      <c r="P5219" s="325"/>
      <c r="Q5219" s="327"/>
      <c r="R5219" s="351"/>
      <c r="S5219" s="351"/>
      <c r="T5219" s="351"/>
      <c r="U5219" s="329" t="str">
        <f>IF($N5219=$N$4,IFERROR(INDEX(DanhMuc!$E$154:$E$165,MATCH(MID($B5219,4,2),DanhMuc!$B$154:$B$165,0)),""),"")</f>
        <v/>
      </c>
      <c r="V5219" s="361"/>
      <c r="W5219" s="345"/>
      <c r="X5219" s="786"/>
      <c r="Y5219" s="1128" t="s">
        <v>3380</v>
      </c>
      <c r="Z5219" s="1128" t="s">
        <v>3381</v>
      </c>
      <c r="AA5219" s="1128" t="s">
        <v>3384</v>
      </c>
      <c r="AB5219" s="20"/>
      <c r="AC5219" s="73"/>
    </row>
    <row r="5220" spans="1:29">
      <c r="A5220" s="327" t="str">
        <f>IF(AND($B5220&lt;&gt;"",$C5220&lt;&gt;""),MAX($A$4730:$A5203)+1,"")</f>
        <v/>
      </c>
      <c r="B5220" s="361" t="s">
        <v>3199</v>
      </c>
      <c r="C5220" s="360"/>
      <c r="D5220" s="327">
        <f>IF($B5220="","",COUNTIF($B$4731:$B5220,$B5220))</f>
        <v>10</v>
      </c>
      <c r="E5220" s="361" t="s">
        <v>1826</v>
      </c>
      <c r="F5220" s="362" t="s">
        <v>670</v>
      </c>
      <c r="G5220" s="327" t="s">
        <v>661</v>
      </c>
      <c r="H5220" s="361" t="s">
        <v>536</v>
      </c>
      <c r="I5220" s="361" t="s">
        <v>2354</v>
      </c>
      <c r="J5220" s="361"/>
      <c r="K5220" s="327" t="s">
        <v>103</v>
      </c>
      <c r="L5220" s="478">
        <f>40000/1000</f>
        <v>40</v>
      </c>
      <c r="M5220" s="355"/>
      <c r="N5220" s="355" t="s">
        <v>2408</v>
      </c>
      <c r="O5220" s="345"/>
      <c r="P5220" s="325"/>
      <c r="Q5220" s="327"/>
      <c r="R5220" s="351"/>
      <c r="S5220" s="351"/>
      <c r="T5220" s="351"/>
      <c r="U5220" s="329" t="str">
        <f>IF($N5220=$N$4,IFERROR(INDEX(DanhMuc!$E$154:$E$165,MATCH(MID($B5220,4,2),DanhMuc!$B$154:$B$165,0)),""),"")</f>
        <v/>
      </c>
      <c r="V5220" s="361"/>
      <c r="W5220" s="345"/>
      <c r="X5220" s="786"/>
      <c r="Y5220" s="1128" t="s">
        <v>3380</v>
      </c>
      <c r="Z5220" s="1128" t="s">
        <v>3381</v>
      </c>
      <c r="AA5220" s="1128" t="s">
        <v>3384</v>
      </c>
      <c r="AB5220" s="20"/>
      <c r="AC5220" s="73"/>
    </row>
    <row r="5221" spans="1:29" ht="37.5">
      <c r="A5221" s="327" t="str">
        <f>IF(AND($B5221&lt;&gt;"",$C5221&lt;&gt;""),MAX($A$4730:$A5204)+1,"")</f>
        <v/>
      </c>
      <c r="B5221" s="361" t="s">
        <v>3199</v>
      </c>
      <c r="C5221" s="360"/>
      <c r="D5221" s="327">
        <f>IF($B5221="","",COUNTIF($B$4731:$B5221,$B5221))</f>
        <v>11</v>
      </c>
      <c r="E5221" s="362" t="s">
        <v>1964</v>
      </c>
      <c r="F5221" s="362" t="s">
        <v>1965</v>
      </c>
      <c r="G5221" s="327" t="s">
        <v>405</v>
      </c>
      <c r="H5221" s="361" t="s">
        <v>536</v>
      </c>
      <c r="I5221" s="361" t="s">
        <v>693</v>
      </c>
      <c r="J5221" s="361"/>
      <c r="K5221" s="327" t="s">
        <v>223</v>
      </c>
      <c r="L5221" s="478">
        <v>140</v>
      </c>
      <c r="M5221" s="371"/>
      <c r="N5221" s="355" t="s">
        <v>2408</v>
      </c>
      <c r="O5221" s="345"/>
      <c r="P5221" s="325"/>
      <c r="Q5221" s="327"/>
      <c r="R5221" s="351"/>
      <c r="S5221" s="351"/>
      <c r="T5221" s="351"/>
      <c r="U5221" s="329" t="str">
        <f>IF($N5221=$N$4,IFERROR(INDEX(DanhMuc!$E$154:$E$165,MATCH(MID($B5221,4,2),DanhMuc!$B$154:$B$165,0)),""),"")</f>
        <v/>
      </c>
      <c r="V5221" s="361"/>
      <c r="W5221" s="345"/>
      <c r="X5221" s="786"/>
      <c r="Y5221" s="1128" t="s">
        <v>3380</v>
      </c>
      <c r="Z5221" s="1128" t="s">
        <v>3381</v>
      </c>
      <c r="AA5221" s="1128" t="s">
        <v>3384</v>
      </c>
      <c r="AB5221" s="20"/>
      <c r="AC5221" s="73"/>
    </row>
    <row r="5222" spans="1:29" ht="37.5">
      <c r="A5222" s="327" t="str">
        <f>IF(AND($B5222&lt;&gt;"",$C5222&lt;&gt;""),MAX($A$4730:$A5205)+1,"")</f>
        <v/>
      </c>
      <c r="B5222" s="361" t="s">
        <v>3199</v>
      </c>
      <c r="C5222" s="360"/>
      <c r="D5222" s="327">
        <f>IF($B5222="","",COUNTIF($B$4731:$B5222,$B5222))</f>
        <v>12</v>
      </c>
      <c r="E5222" s="362" t="s">
        <v>2756</v>
      </c>
      <c r="F5222" s="362" t="s">
        <v>2757</v>
      </c>
      <c r="G5222" s="327" t="s">
        <v>405</v>
      </c>
      <c r="H5222" s="361" t="s">
        <v>536</v>
      </c>
      <c r="I5222" s="361" t="s">
        <v>694</v>
      </c>
      <c r="J5222" s="361"/>
      <c r="K5222" s="327" t="s">
        <v>738</v>
      </c>
      <c r="L5222" s="479">
        <v>322</v>
      </c>
      <c r="M5222" s="371"/>
      <c r="N5222" s="355" t="s">
        <v>2408</v>
      </c>
      <c r="O5222" s="345"/>
      <c r="P5222" s="325"/>
      <c r="Q5222" s="327"/>
      <c r="R5222" s="351"/>
      <c r="S5222" s="351"/>
      <c r="T5222" s="351"/>
      <c r="U5222" s="329" t="str">
        <f>IF($N5222=$N$4,IFERROR(INDEX(DanhMuc!$E$154:$E$165,MATCH(MID($B5222,4,2),DanhMuc!$B$154:$B$165,0)),""),"")</f>
        <v/>
      </c>
      <c r="V5222" s="361"/>
      <c r="W5222" s="345"/>
      <c r="X5222" s="786"/>
      <c r="Y5222" s="1128" t="s">
        <v>3380</v>
      </c>
      <c r="Z5222" s="1128" t="s">
        <v>3381</v>
      </c>
      <c r="AA5222" s="1128" t="s">
        <v>3384</v>
      </c>
      <c r="AB5222" s="20"/>
      <c r="AC5222" s="73"/>
    </row>
    <row r="5223" spans="1:29">
      <c r="A5223" s="327" t="str">
        <f>IF(AND($B5223&lt;&gt;"",$C5223&lt;&gt;""),MAX($A$4730:$A5206)+1,"")</f>
        <v/>
      </c>
      <c r="B5223" s="361" t="s">
        <v>3199</v>
      </c>
      <c r="C5223" s="360"/>
      <c r="D5223" s="327">
        <f>IF($B5223="","",COUNTIF($B$4731:$B5223,$B5223))</f>
        <v>13</v>
      </c>
      <c r="E5223" s="361" t="s">
        <v>656</v>
      </c>
      <c r="F5223" s="362" t="s">
        <v>2239</v>
      </c>
      <c r="G5223" s="327" t="s">
        <v>405</v>
      </c>
      <c r="H5223" s="361" t="s">
        <v>536</v>
      </c>
      <c r="I5223" s="361" t="s">
        <v>1827</v>
      </c>
      <c r="J5223" s="361"/>
      <c r="K5223" s="327" t="s">
        <v>100</v>
      </c>
      <c r="L5223" s="478">
        <v>970</v>
      </c>
      <c r="M5223" s="371"/>
      <c r="N5223" s="355" t="s">
        <v>2409</v>
      </c>
      <c r="O5223" s="345"/>
      <c r="P5223" s="325"/>
      <c r="Q5223" s="327"/>
      <c r="R5223" s="351"/>
      <c r="S5223" s="351"/>
      <c r="T5223" s="351"/>
      <c r="U5223" s="329" t="str">
        <f>IF($N5223=$N$4,IFERROR(INDEX(DanhMuc!$E$154:$E$165,MATCH(MID($B5223,4,2),DanhMuc!$B$154:$B$165,0)),""),"")</f>
        <v/>
      </c>
      <c r="V5223" s="361"/>
      <c r="W5223" s="345"/>
      <c r="X5223" s="786"/>
      <c r="Y5223" s="1128" t="s">
        <v>3380</v>
      </c>
      <c r="Z5223" s="1128" t="s">
        <v>3381</v>
      </c>
      <c r="AA5223" s="1128" t="s">
        <v>3384</v>
      </c>
      <c r="AB5223" s="20"/>
      <c r="AC5223" s="73"/>
    </row>
    <row r="5224" spans="1:29">
      <c r="A5224" s="327" t="str">
        <f>IF(AND($B5224&lt;&gt;"",$C5224&lt;&gt;""),MAX($A$4730:$A5207)+1,"")</f>
        <v/>
      </c>
      <c r="B5224" s="361" t="s">
        <v>3199</v>
      </c>
      <c r="C5224" s="360"/>
      <c r="D5224" s="327">
        <f>IF($B5224="","",COUNTIF($B$4731:$B5224,$B5224))</f>
        <v>14</v>
      </c>
      <c r="E5224" s="361" t="s">
        <v>657</v>
      </c>
      <c r="F5224" s="362" t="s">
        <v>658</v>
      </c>
      <c r="G5224" s="327" t="s">
        <v>424</v>
      </c>
      <c r="H5224" s="361" t="s">
        <v>536</v>
      </c>
      <c r="I5224" s="361" t="s">
        <v>665</v>
      </c>
      <c r="J5224" s="361"/>
      <c r="K5224" s="327" t="s">
        <v>100</v>
      </c>
      <c r="L5224" s="478">
        <v>60000</v>
      </c>
      <c r="M5224" s="355"/>
      <c r="N5224" s="355" t="s">
        <v>2409</v>
      </c>
      <c r="O5224" s="345"/>
      <c r="P5224" s="325"/>
      <c r="Q5224" s="327"/>
      <c r="R5224" s="351"/>
      <c r="S5224" s="351"/>
      <c r="T5224" s="351"/>
      <c r="U5224" s="329" t="str">
        <f>IF($N5224=$N$4,IFERROR(INDEX(DanhMuc!$E$154:$E$165,MATCH(MID($B5224,4,2),DanhMuc!$B$154:$B$165,0)),""),"")</f>
        <v/>
      </c>
      <c r="V5224" s="361"/>
      <c r="W5224" s="345"/>
      <c r="X5224" s="786"/>
      <c r="Y5224" s="1128" t="s">
        <v>3380</v>
      </c>
      <c r="Z5224" s="1128" t="s">
        <v>3381</v>
      </c>
      <c r="AA5224" s="1128" t="s">
        <v>3384</v>
      </c>
      <c r="AB5224" s="20"/>
      <c r="AC5224" s="73"/>
    </row>
    <row r="5225" spans="1:29">
      <c r="A5225" s="327" t="str">
        <f>IF(AND($B5225&lt;&gt;"",$C5225&lt;&gt;""),MAX($A$4730:$A5224)+1,"")</f>
        <v/>
      </c>
      <c r="B5225" s="361" t="s">
        <v>3199</v>
      </c>
      <c r="C5225" s="362"/>
      <c r="D5225" s="327">
        <f>IF($B5225="","",COUNTIF($B$4731:$B5225,$B5225))</f>
        <v>15</v>
      </c>
      <c r="E5225" s="361" t="s">
        <v>2771</v>
      </c>
      <c r="F5225" s="362" t="s">
        <v>659</v>
      </c>
      <c r="G5225" s="327" t="s">
        <v>424</v>
      </c>
      <c r="H5225" s="361" t="s">
        <v>536</v>
      </c>
      <c r="I5225" s="361" t="s">
        <v>666</v>
      </c>
      <c r="J5225" s="361"/>
      <c r="K5225" s="327" t="s">
        <v>100</v>
      </c>
      <c r="L5225" s="389">
        <v>53000</v>
      </c>
      <c r="M5225" s="355"/>
      <c r="N5225" s="355" t="s">
        <v>2409</v>
      </c>
      <c r="O5225" s="345"/>
      <c r="P5225" s="325"/>
      <c r="Q5225" s="327"/>
      <c r="R5225" s="351"/>
      <c r="S5225" s="351"/>
      <c r="T5225" s="351"/>
      <c r="U5225" s="329" t="str">
        <f>IF($N5225=$N$4,IFERROR(INDEX(DanhMuc!$E$154:$E$165,MATCH(MID($B5225,4,2),DanhMuc!$B$154:$B$165,0)),""),"")</f>
        <v/>
      </c>
      <c r="V5225" s="361"/>
      <c r="W5225" s="345"/>
      <c r="X5225" s="786"/>
      <c r="Y5225" s="1128" t="s">
        <v>3380</v>
      </c>
      <c r="Z5225" s="1128" t="s">
        <v>3381</v>
      </c>
      <c r="AA5225" s="1128" t="s">
        <v>3384</v>
      </c>
      <c r="AB5225" s="20"/>
      <c r="AC5225" s="73"/>
    </row>
    <row r="5226" spans="1:29">
      <c r="A5226" s="327" t="str">
        <f>IF(AND($B5226&lt;&gt;"",$C5226&lt;&gt;""),MAX($A$4730:$A5225)+1,"")</f>
        <v/>
      </c>
      <c r="B5226" s="361" t="s">
        <v>3199</v>
      </c>
      <c r="C5226" s="362"/>
      <c r="D5226" s="327">
        <f>IF($B5226="","",COUNTIF($B$4731:$B5226,$B5226))</f>
        <v>16</v>
      </c>
      <c r="E5226" s="361" t="s">
        <v>1828</v>
      </c>
      <c r="F5226" s="362" t="s">
        <v>671</v>
      </c>
      <c r="G5226" s="327" t="s">
        <v>661</v>
      </c>
      <c r="H5226" s="361" t="s">
        <v>536</v>
      </c>
      <c r="I5226" s="361" t="s">
        <v>2355</v>
      </c>
      <c r="J5226" s="361"/>
      <c r="K5226" s="327" t="s">
        <v>100</v>
      </c>
      <c r="L5226" s="478">
        <f>40000/1000</f>
        <v>40</v>
      </c>
      <c r="M5226" s="355"/>
      <c r="N5226" s="355" t="s">
        <v>2409</v>
      </c>
      <c r="O5226" s="345"/>
      <c r="P5226" s="325"/>
      <c r="Q5226" s="327"/>
      <c r="R5226" s="351"/>
      <c r="S5226" s="351"/>
      <c r="T5226" s="351"/>
      <c r="U5226" s="329" t="str">
        <f>IF($N5226=$N$4,IFERROR(INDEX(DanhMuc!$E$154:$E$165,MATCH(MID($B5226,4,2),DanhMuc!$B$154:$B$165,0)),""),"")</f>
        <v/>
      </c>
      <c r="V5226" s="361"/>
      <c r="W5226" s="345"/>
      <c r="X5226" s="786"/>
      <c r="Y5226" s="1128" t="s">
        <v>3380</v>
      </c>
      <c r="Z5226" s="1128" t="s">
        <v>3381</v>
      </c>
      <c r="AA5226" s="1128" t="s">
        <v>3384</v>
      </c>
      <c r="AB5226" s="20"/>
      <c r="AC5226" s="73"/>
    </row>
    <row r="5227" spans="1:29">
      <c r="A5227" s="327" t="str">
        <f>IF(AND($B5227&lt;&gt;"",$C5227&lt;&gt;""),MAX($A$4730:$A5226)+1,"")</f>
        <v/>
      </c>
      <c r="B5227" s="361" t="s">
        <v>3199</v>
      </c>
      <c r="C5227" s="362"/>
      <c r="D5227" s="327">
        <f>IF($B5227="","",COUNTIF($B$4731:$B5227,$B5227))</f>
        <v>17</v>
      </c>
      <c r="E5227" s="361" t="s">
        <v>154</v>
      </c>
      <c r="F5227" s="362" t="s">
        <v>660</v>
      </c>
      <c r="G5227" s="327" t="s">
        <v>661</v>
      </c>
      <c r="H5227" s="361" t="s">
        <v>536</v>
      </c>
      <c r="I5227" s="361" t="s">
        <v>667</v>
      </c>
      <c r="J5227" s="361"/>
      <c r="K5227" s="327" t="s">
        <v>662</v>
      </c>
      <c r="L5227" s="478">
        <v>20</v>
      </c>
      <c r="M5227" s="355"/>
      <c r="N5227" s="355" t="s">
        <v>2409</v>
      </c>
      <c r="O5227" s="345"/>
      <c r="P5227" s="325"/>
      <c r="Q5227" s="327"/>
      <c r="R5227" s="351"/>
      <c r="S5227" s="351"/>
      <c r="T5227" s="351"/>
      <c r="U5227" s="329" t="str">
        <f>IF($N5227=$N$4,IFERROR(INDEX(DanhMuc!$E$154:$E$165,MATCH(MID($B5227,4,2),DanhMuc!$B$154:$B$165,0)),""),"")</f>
        <v/>
      </c>
      <c r="V5227" s="361"/>
      <c r="W5227" s="345"/>
      <c r="X5227" s="786"/>
      <c r="Y5227" s="1128" t="s">
        <v>3380</v>
      </c>
      <c r="Z5227" s="1128" t="s">
        <v>3381</v>
      </c>
      <c r="AA5227" s="1128" t="s">
        <v>3384</v>
      </c>
      <c r="AB5227" s="20"/>
      <c r="AC5227" s="73"/>
    </row>
    <row r="5228" spans="1:29">
      <c r="A5228" s="327" t="str">
        <f>IF(AND($B5228&lt;&gt;"",$C5228&lt;&gt;""),MAX($A$4730:$A5227)+1,"")</f>
        <v/>
      </c>
      <c r="B5228" s="361" t="s">
        <v>3199</v>
      </c>
      <c r="C5228" s="362"/>
      <c r="D5228" s="327">
        <f>IF($B5228="","",COUNTIF($B$4731:$B5228,$B5228))</f>
        <v>18</v>
      </c>
      <c r="E5228" s="362" t="s">
        <v>2282</v>
      </c>
      <c r="F5228" s="362" t="s">
        <v>2283</v>
      </c>
      <c r="G5228" s="327" t="s">
        <v>424</v>
      </c>
      <c r="H5228" s="361" t="s">
        <v>536</v>
      </c>
      <c r="I5228" s="361" t="s">
        <v>2238</v>
      </c>
      <c r="J5228" s="361"/>
      <c r="K5228" s="327" t="s">
        <v>662</v>
      </c>
      <c r="L5228" s="478">
        <v>28000</v>
      </c>
      <c r="M5228" s="355"/>
      <c r="N5228" s="355" t="s">
        <v>2409</v>
      </c>
      <c r="O5228" s="345"/>
      <c r="P5228" s="325"/>
      <c r="Q5228" s="327"/>
      <c r="R5228" s="351"/>
      <c r="S5228" s="351"/>
      <c r="T5228" s="351"/>
      <c r="U5228" s="329" t="str">
        <f>IF($N5228=$N$4,IFERROR(INDEX(DanhMuc!$E$154:$E$165,MATCH(MID($B5228,4,2),DanhMuc!$B$154:$B$165,0)),""),"")</f>
        <v/>
      </c>
      <c r="V5228" s="361"/>
      <c r="W5228" s="345"/>
      <c r="X5228" s="786"/>
      <c r="Y5228" s="1128" t="s">
        <v>3380</v>
      </c>
      <c r="Z5228" s="1128" t="s">
        <v>3381</v>
      </c>
      <c r="AA5228" s="1128" t="s">
        <v>3384</v>
      </c>
      <c r="AB5228" s="20"/>
      <c r="AC5228" s="73"/>
    </row>
    <row r="5229" spans="1:29">
      <c r="A5229" s="327" t="str">
        <f>IF(AND($B5229&lt;&gt;"",$C5229&lt;&gt;""),MAX($A$4730:$A5228)+1,"")</f>
        <v/>
      </c>
      <c r="B5229" s="361" t="s">
        <v>3199</v>
      </c>
      <c r="C5229" s="362"/>
      <c r="D5229" s="327">
        <f>IF($B5229="","",COUNTIF($B$4731:$B5229,$B5229))</f>
        <v>19</v>
      </c>
      <c r="E5229" s="362" t="s">
        <v>663</v>
      </c>
      <c r="F5229" s="362" t="s">
        <v>664</v>
      </c>
      <c r="G5229" s="327" t="s">
        <v>155</v>
      </c>
      <c r="H5229" s="361" t="s">
        <v>536</v>
      </c>
      <c r="I5229" s="361" t="s">
        <v>672</v>
      </c>
      <c r="J5229" s="361"/>
      <c r="K5229" s="327" t="s">
        <v>662</v>
      </c>
      <c r="L5229" s="478">
        <v>1000</v>
      </c>
      <c r="M5229" s="355"/>
      <c r="N5229" s="355" t="s">
        <v>2409</v>
      </c>
      <c r="O5229" s="345"/>
      <c r="P5229" s="325"/>
      <c r="Q5229" s="327"/>
      <c r="R5229" s="351"/>
      <c r="S5229" s="351"/>
      <c r="T5229" s="351"/>
      <c r="U5229" s="329" t="str">
        <f>IF($N5229=$N$4,IFERROR(INDEX(DanhMuc!$E$154:$E$165,MATCH(MID($B5229,4,2),DanhMuc!$B$154:$B$165,0)),""),"")</f>
        <v/>
      </c>
      <c r="V5229" s="361"/>
      <c r="W5229" s="345"/>
      <c r="X5229" s="786"/>
      <c r="Y5229" s="1128" t="s">
        <v>3380</v>
      </c>
      <c r="Z5229" s="1128" t="s">
        <v>3381</v>
      </c>
      <c r="AA5229" s="1128" t="s">
        <v>3384</v>
      </c>
      <c r="AB5229" s="20"/>
      <c r="AC5229" s="73"/>
    </row>
    <row r="5230" spans="1:29" ht="26">
      <c r="A5230" s="327">
        <f>IF(AND($B5230&lt;&gt;"",$C5230&lt;&gt;""),MAX($A$4730:$A5180)+1,"")</f>
        <v>16</v>
      </c>
      <c r="B5230" s="359" t="s">
        <v>590</v>
      </c>
      <c r="C5230" s="360" t="s">
        <v>1550</v>
      </c>
      <c r="D5230" s="327">
        <f>IF($B5230="","",COUNTIF($B$4731:$B5230,$B5230))</f>
        <v>1</v>
      </c>
      <c r="E5230" s="480" t="s">
        <v>2858</v>
      </c>
      <c r="F5230" s="403" t="s">
        <v>2859</v>
      </c>
      <c r="G5230" s="327" t="s">
        <v>155</v>
      </c>
      <c r="H5230" s="361" t="s">
        <v>536</v>
      </c>
      <c r="I5230" s="327">
        <v>4</v>
      </c>
      <c r="J5230" s="361"/>
      <c r="K5230" s="327" t="s">
        <v>100</v>
      </c>
      <c r="L5230" s="389">
        <v>7100</v>
      </c>
      <c r="M5230" s="355"/>
      <c r="N5230" s="355" t="s">
        <v>2408</v>
      </c>
      <c r="O5230" s="345" t="s">
        <v>2777</v>
      </c>
      <c r="P5230" s="325"/>
      <c r="Q5230" s="327"/>
      <c r="R5230" s="351"/>
      <c r="S5230" s="351"/>
      <c r="T5230" s="351"/>
      <c r="U5230" s="329" t="str">
        <f>IF($N5230=$N$4,IFERROR(INDEX(DanhMuc!$E$154:$E$165,MATCH(MID($B5230,4,2),DanhMuc!$B$154:$B$165,0)),""),"")</f>
        <v/>
      </c>
      <c r="V5230" s="361"/>
      <c r="W5230" s="345"/>
      <c r="X5230" s="786"/>
      <c r="Y5230" s="1128" t="s">
        <v>3380</v>
      </c>
      <c r="Z5230" s="1128" t="s">
        <v>3381</v>
      </c>
      <c r="AA5230" s="1128" t="s">
        <v>3384</v>
      </c>
      <c r="AB5230" s="20"/>
      <c r="AC5230" s="73"/>
    </row>
    <row r="5231" spans="1:29" ht="25">
      <c r="A5231" s="327" t="str">
        <f>IF(AND($B5231&lt;&gt;"",$C5231&lt;&gt;""),MAX($A$4730:$A5181)+1,"")</f>
        <v/>
      </c>
      <c r="B5231" s="361" t="s">
        <v>590</v>
      </c>
      <c r="C5231" s="360"/>
      <c r="D5231" s="327">
        <f>IF($B5231="","",COUNTIF($B$4731:$B5231,$B5231))</f>
        <v>2</v>
      </c>
      <c r="E5231" s="480" t="s">
        <v>2304</v>
      </c>
      <c r="F5231" s="403" t="s">
        <v>2335</v>
      </c>
      <c r="G5231" s="327" t="s">
        <v>155</v>
      </c>
      <c r="H5231" s="361" t="s">
        <v>536</v>
      </c>
      <c r="I5231" s="327">
        <v>4</v>
      </c>
      <c r="J5231" s="361"/>
      <c r="K5231" s="327" t="s">
        <v>100</v>
      </c>
      <c r="L5231" s="389">
        <v>7100</v>
      </c>
      <c r="M5231" s="355"/>
      <c r="N5231" s="355" t="s">
        <v>2408</v>
      </c>
      <c r="O5231" s="345" t="s">
        <v>2776</v>
      </c>
      <c r="P5231" s="325"/>
      <c r="Q5231" s="327"/>
      <c r="R5231" s="351"/>
      <c r="S5231" s="351"/>
      <c r="T5231" s="351"/>
      <c r="U5231" s="329" t="str">
        <f>IF($N5231=$N$4,IFERROR(INDEX(DanhMuc!$E$154:$E$165,MATCH(MID($B5231,4,2),DanhMuc!$B$154:$B$165,0)),""),"")</f>
        <v/>
      </c>
      <c r="V5231" s="361"/>
      <c r="W5231" s="345"/>
      <c r="X5231" s="786"/>
      <c r="Y5231" s="1128" t="s">
        <v>3380</v>
      </c>
      <c r="Z5231" s="1128" t="s">
        <v>3381</v>
      </c>
      <c r="AA5231" s="1128" t="s">
        <v>3384</v>
      </c>
      <c r="AB5231" s="20"/>
      <c r="AC5231" s="73"/>
    </row>
    <row r="5232" spans="1:29">
      <c r="A5232" s="327" t="str">
        <f>IF(AND($B5232&lt;&gt;"",$C5232&lt;&gt;""),MAX($A$4730:$A5231)+1,"")</f>
        <v/>
      </c>
      <c r="B5232" s="361" t="s">
        <v>590</v>
      </c>
      <c r="C5232" s="360"/>
      <c r="D5232" s="327">
        <f>IF($B5232="","",COUNTIF($B$4731:$B5232,$B5232))</f>
        <v>3</v>
      </c>
      <c r="E5232" s="402" t="s">
        <v>2788</v>
      </c>
      <c r="F5232" s="403" t="s">
        <v>2789</v>
      </c>
      <c r="G5232" s="327" t="s">
        <v>155</v>
      </c>
      <c r="H5232" s="361" t="s">
        <v>536</v>
      </c>
      <c r="I5232" s="327">
        <f>4*I5231</f>
        <v>16</v>
      </c>
      <c r="J5232" s="361"/>
      <c r="K5232" s="327" t="s">
        <v>100</v>
      </c>
      <c r="L5232" s="389">
        <v>600</v>
      </c>
      <c r="M5232" s="355"/>
      <c r="N5232" s="355" t="s">
        <v>2408</v>
      </c>
      <c r="O5232" s="345" t="s">
        <v>2776</v>
      </c>
      <c r="P5232" s="325"/>
      <c r="Q5232" s="327"/>
      <c r="R5232" s="351"/>
      <c r="S5232" s="351"/>
      <c r="T5232" s="351"/>
      <c r="U5232" s="329" t="str">
        <f>IF($N5232=$N$4,IFERROR(INDEX(DanhMuc!$E$154:$E$165,MATCH(MID($B5232,4,2),DanhMuc!$B$154:$B$165,0)),""),"")</f>
        <v/>
      </c>
      <c r="V5232" s="361"/>
      <c r="W5232" s="345"/>
      <c r="X5232" s="786"/>
      <c r="Y5232" s="1128" t="s">
        <v>3380</v>
      </c>
      <c r="Z5232" s="1128" t="s">
        <v>3381</v>
      </c>
      <c r="AA5232" s="1128" t="s">
        <v>3384</v>
      </c>
      <c r="AB5232" s="20"/>
      <c r="AC5232" s="73"/>
    </row>
    <row r="5233" spans="1:29">
      <c r="A5233" s="327" t="str">
        <f>IF(AND($B5233&lt;&gt;"",$C5233&lt;&gt;""),MAX($A$4730:$A5183)+1,"")</f>
        <v/>
      </c>
      <c r="B5233" s="361" t="s">
        <v>590</v>
      </c>
      <c r="C5233" s="360"/>
      <c r="D5233" s="327">
        <f>IF($B5233="","",COUNTIF($B$4731:$B5233,$B5233))</f>
        <v>4</v>
      </c>
      <c r="E5233" s="480" t="s">
        <v>2860</v>
      </c>
      <c r="F5233" s="403" t="s">
        <v>2861</v>
      </c>
      <c r="G5233" s="327" t="s">
        <v>155</v>
      </c>
      <c r="H5233" s="361" t="s">
        <v>536</v>
      </c>
      <c r="I5233" s="327">
        <v>16</v>
      </c>
      <c r="J5233" s="361"/>
      <c r="K5233" s="327" t="s">
        <v>101</v>
      </c>
      <c r="L5233" s="389">
        <v>5100</v>
      </c>
      <c r="M5233" s="355"/>
      <c r="N5233" s="355" t="s">
        <v>2408</v>
      </c>
      <c r="O5233" s="345" t="s">
        <v>2779</v>
      </c>
      <c r="P5233" s="325"/>
      <c r="Q5233" s="327"/>
      <c r="R5233" s="351"/>
      <c r="S5233" s="351"/>
      <c r="T5233" s="351"/>
      <c r="U5233" s="329" t="str">
        <f>IF($N5233=$N$4,IFERROR(INDEX(DanhMuc!$E$154:$E$165,MATCH(MID($B5233,4,2),DanhMuc!$B$154:$B$165,0)),""),"")</f>
        <v/>
      </c>
      <c r="V5233" s="361"/>
      <c r="W5233" s="345"/>
      <c r="X5233" s="786"/>
      <c r="Y5233" s="1128" t="s">
        <v>3380</v>
      </c>
      <c r="Z5233" s="1128" t="s">
        <v>3381</v>
      </c>
      <c r="AA5233" s="1128" t="s">
        <v>3384</v>
      </c>
      <c r="AB5233" s="20"/>
      <c r="AC5233" s="73"/>
    </row>
    <row r="5234" spans="1:29">
      <c r="A5234" s="327" t="str">
        <f>IF(AND($B5234&lt;&gt;"",$C5234&lt;&gt;""),MAX($A$4730:$A5184)+1,"")</f>
        <v/>
      </c>
      <c r="B5234" s="361" t="s">
        <v>590</v>
      </c>
      <c r="C5234" s="360"/>
      <c r="D5234" s="327">
        <f>IF($B5234="","",COUNTIF($B$4731:$B5234,$B5234))</f>
        <v>5</v>
      </c>
      <c r="E5234" s="480" t="s">
        <v>2305</v>
      </c>
      <c r="F5234" s="403" t="s">
        <v>2334</v>
      </c>
      <c r="G5234" s="327" t="s">
        <v>155</v>
      </c>
      <c r="H5234" s="361" t="s">
        <v>536</v>
      </c>
      <c r="I5234" s="327">
        <v>16</v>
      </c>
      <c r="J5234" s="361"/>
      <c r="K5234" s="327" t="s">
        <v>101</v>
      </c>
      <c r="L5234" s="389">
        <v>5100</v>
      </c>
      <c r="M5234" s="355"/>
      <c r="N5234" s="355" t="s">
        <v>2408</v>
      </c>
      <c r="O5234" s="345" t="s">
        <v>2778</v>
      </c>
      <c r="P5234" s="325"/>
      <c r="Q5234" s="327"/>
      <c r="R5234" s="351"/>
      <c r="S5234" s="351"/>
      <c r="T5234" s="351"/>
      <c r="U5234" s="329" t="str">
        <f>IF($N5234=$N$4,IFERROR(INDEX(DanhMuc!$E$154:$E$165,MATCH(MID($B5234,4,2),DanhMuc!$B$154:$B$165,0)),""),"")</f>
        <v/>
      </c>
      <c r="V5234" s="361"/>
      <c r="W5234" s="345"/>
      <c r="X5234" s="786"/>
      <c r="Y5234" s="1128" t="s">
        <v>3380</v>
      </c>
      <c r="Z5234" s="1128" t="s">
        <v>3381</v>
      </c>
      <c r="AA5234" s="1128" t="s">
        <v>3384</v>
      </c>
      <c r="AB5234" s="20"/>
      <c r="AC5234" s="73"/>
    </row>
    <row r="5235" spans="1:29">
      <c r="A5235" s="327" t="str">
        <f>IF(AND($B5235&lt;&gt;"",$C5235&lt;&gt;""),MAX($A$4730:$A5233)+1,"")</f>
        <v/>
      </c>
      <c r="B5235" s="361" t="s">
        <v>590</v>
      </c>
      <c r="C5235" s="360"/>
      <c r="D5235" s="327">
        <f>IF($B5235="","",COUNTIF($B$4731:$B5235,$B5235))</f>
        <v>6</v>
      </c>
      <c r="E5235" s="402" t="s">
        <v>2788</v>
      </c>
      <c r="F5235" s="403" t="s">
        <v>2789</v>
      </c>
      <c r="G5235" s="327" t="s">
        <v>155</v>
      </c>
      <c r="H5235" s="361" t="s">
        <v>536</v>
      </c>
      <c r="I5235" s="327">
        <f>4*I5234</f>
        <v>64</v>
      </c>
      <c r="J5235" s="361"/>
      <c r="K5235" s="327" t="s">
        <v>101</v>
      </c>
      <c r="L5235" s="389">
        <v>600</v>
      </c>
      <c r="M5235" s="355"/>
      <c r="N5235" s="355" t="s">
        <v>2408</v>
      </c>
      <c r="O5235" s="345" t="s">
        <v>2778</v>
      </c>
      <c r="P5235" s="325"/>
      <c r="Q5235" s="327"/>
      <c r="R5235" s="351"/>
      <c r="S5235" s="351"/>
      <c r="T5235" s="351"/>
      <c r="U5235" s="329" t="str">
        <f>IF($N5235=$N$4,IFERROR(INDEX(DanhMuc!$E$154:$E$165,MATCH(MID($B5235,4,2),DanhMuc!$B$154:$B$165,0)),""),"")</f>
        <v/>
      </c>
      <c r="V5235" s="361"/>
      <c r="W5235" s="345"/>
      <c r="X5235" s="786"/>
      <c r="Y5235" s="1128" t="s">
        <v>3380</v>
      </c>
      <c r="Z5235" s="1128" t="s">
        <v>3381</v>
      </c>
      <c r="AA5235" s="1128" t="s">
        <v>3384</v>
      </c>
      <c r="AB5235" s="20"/>
      <c r="AC5235" s="73"/>
    </row>
    <row r="5236" spans="1:29">
      <c r="A5236" s="327" t="str">
        <f>IF(AND($B5236&lt;&gt;"",$C5236&lt;&gt;""),MAX($A$4730:$A5182)+1,"")</f>
        <v/>
      </c>
      <c r="B5236" s="361" t="s">
        <v>590</v>
      </c>
      <c r="C5236" s="360"/>
      <c r="D5236" s="327">
        <f>IF($B5236="","",COUNTIF($B$4731:$B5236,$B5236))</f>
        <v>7</v>
      </c>
      <c r="E5236" s="361" t="s">
        <v>2338</v>
      </c>
      <c r="F5236" s="362" t="s">
        <v>2331</v>
      </c>
      <c r="G5236" s="327" t="s">
        <v>155</v>
      </c>
      <c r="H5236" s="361" t="s">
        <v>536</v>
      </c>
      <c r="I5236" s="327">
        <v>32</v>
      </c>
      <c r="J5236" s="361"/>
      <c r="K5236" s="327" t="s">
        <v>101</v>
      </c>
      <c r="L5236" s="389">
        <v>750</v>
      </c>
      <c r="M5236" s="355"/>
      <c r="N5236" s="355" t="s">
        <v>2408</v>
      </c>
      <c r="O5236" s="345"/>
      <c r="P5236" s="325"/>
      <c r="Q5236" s="327"/>
      <c r="R5236" s="351"/>
      <c r="S5236" s="351"/>
      <c r="T5236" s="351"/>
      <c r="U5236" s="329" t="str">
        <f>IF($N5236=$N$4,IFERROR(INDEX(DanhMuc!$E$154:$E$165,MATCH(MID($B5236,4,2),DanhMuc!$B$154:$B$165,0)),""),"")</f>
        <v/>
      </c>
      <c r="V5236" s="361"/>
      <c r="W5236" s="345"/>
      <c r="X5236" s="786"/>
      <c r="Y5236" s="1128" t="s">
        <v>3380</v>
      </c>
      <c r="Z5236" s="1128" t="s">
        <v>3381</v>
      </c>
      <c r="AA5236" s="1128" t="s">
        <v>3384</v>
      </c>
      <c r="AB5236" s="20"/>
      <c r="AC5236" s="73"/>
    </row>
    <row r="5237" spans="1:29">
      <c r="A5237" s="327" t="str">
        <f>IF(AND($B5237&lt;&gt;"",$C5237&lt;&gt;""),MAX($A$4730:$A5236)+1,"")</f>
        <v/>
      </c>
      <c r="B5237" s="361" t="s">
        <v>590</v>
      </c>
      <c r="C5237" s="362"/>
      <c r="D5237" s="327">
        <f>IF($B5237="","",COUNTIF($B$4731:$B5237,$B5237))</f>
        <v>8</v>
      </c>
      <c r="E5237" s="361" t="s">
        <v>654</v>
      </c>
      <c r="F5237" s="362" t="s">
        <v>653</v>
      </c>
      <c r="G5237" s="327" t="s">
        <v>1836</v>
      </c>
      <c r="H5237" s="361" t="s">
        <v>536</v>
      </c>
      <c r="I5237" s="327">
        <f>I5230/45</f>
        <v>8.8888888888888892E-2</v>
      </c>
      <c r="J5237" s="477"/>
      <c r="K5237" s="327" t="s">
        <v>655</v>
      </c>
      <c r="L5237" s="478">
        <v>115000</v>
      </c>
      <c r="M5237" s="355"/>
      <c r="N5237" s="355" t="s">
        <v>2408</v>
      </c>
      <c r="O5237" s="345" t="s">
        <v>2777</v>
      </c>
      <c r="P5237" s="325"/>
      <c r="Q5237" s="327"/>
      <c r="R5237" s="351"/>
      <c r="S5237" s="351"/>
      <c r="T5237" s="351"/>
      <c r="U5237" s="329" t="str">
        <f>IF($N5237=$N$4,IFERROR(INDEX(DanhMuc!$E$154:$E$165,MATCH(MID($B5237,4,2),DanhMuc!$B$154:$B$165,0)),""),"")</f>
        <v/>
      </c>
      <c r="V5237" s="361"/>
      <c r="W5237" s="345"/>
      <c r="X5237" s="786"/>
      <c r="Y5237" s="1128" t="s">
        <v>3380</v>
      </c>
      <c r="Z5237" s="1128" t="s">
        <v>3381</v>
      </c>
      <c r="AA5237" s="1128" t="s">
        <v>3384</v>
      </c>
      <c r="AB5237" s="20"/>
      <c r="AC5237" s="73"/>
    </row>
    <row r="5238" spans="1:29">
      <c r="A5238" s="327" t="str">
        <f>IF(AND($B5238&lt;&gt;"",$C5238&lt;&gt;""),MAX($A$4730:$A5237)+1,"")</f>
        <v/>
      </c>
      <c r="B5238" s="361" t="s">
        <v>590</v>
      </c>
      <c r="C5238" s="362"/>
      <c r="D5238" s="327">
        <f>IF($B5238="","",COUNTIF($B$4731:$B5238,$B5238))</f>
        <v>9</v>
      </c>
      <c r="E5238" s="361" t="s">
        <v>654</v>
      </c>
      <c r="F5238" s="362" t="s">
        <v>653</v>
      </c>
      <c r="G5238" s="327" t="s">
        <v>1836</v>
      </c>
      <c r="H5238" s="361" t="s">
        <v>536</v>
      </c>
      <c r="I5238" s="327">
        <f>I5233/45</f>
        <v>0.35555555555555557</v>
      </c>
      <c r="J5238" s="477"/>
      <c r="K5238" s="327" t="s">
        <v>655</v>
      </c>
      <c r="L5238" s="478">
        <v>115000</v>
      </c>
      <c r="M5238" s="355"/>
      <c r="N5238" s="355" t="s">
        <v>2408</v>
      </c>
      <c r="O5238" s="345" t="s">
        <v>2779</v>
      </c>
      <c r="P5238" s="325"/>
      <c r="Q5238" s="327"/>
      <c r="R5238" s="351"/>
      <c r="S5238" s="351"/>
      <c r="T5238" s="351"/>
      <c r="U5238" s="329" t="str">
        <f>IF($N5238=$N$4,IFERROR(INDEX(DanhMuc!$E$154:$E$165,MATCH(MID($B5238,4,2),DanhMuc!$B$154:$B$165,0)),""),"")</f>
        <v/>
      </c>
      <c r="V5238" s="361"/>
      <c r="W5238" s="345"/>
      <c r="X5238" s="786"/>
      <c r="Y5238" s="1128" t="s">
        <v>3380</v>
      </c>
      <c r="Z5238" s="1128" t="s">
        <v>3381</v>
      </c>
      <c r="AA5238" s="1128" t="s">
        <v>3384</v>
      </c>
      <c r="AB5238" s="20"/>
      <c r="AC5238" s="73"/>
    </row>
    <row r="5239" spans="1:29">
      <c r="A5239" s="327" t="str">
        <f>IF(AND($B5239&lt;&gt;"",$C5239&lt;&gt;""),MAX($A$4730:$A5191)+1,"")</f>
        <v/>
      </c>
      <c r="B5239" s="361" t="s">
        <v>590</v>
      </c>
      <c r="C5239" s="360"/>
      <c r="D5239" s="327">
        <f>IF($B5239="","",COUNTIF($B$4731:$B5239,$B5239))</f>
        <v>10</v>
      </c>
      <c r="E5239" s="361" t="s">
        <v>1826</v>
      </c>
      <c r="F5239" s="362" t="s">
        <v>670</v>
      </c>
      <c r="G5239" s="327" t="s">
        <v>661</v>
      </c>
      <c r="H5239" s="361" t="s">
        <v>536</v>
      </c>
      <c r="I5239" s="361" t="s">
        <v>2354</v>
      </c>
      <c r="J5239" s="361"/>
      <c r="K5239" s="327" t="s">
        <v>103</v>
      </c>
      <c r="L5239" s="478">
        <f>40000/1000</f>
        <v>40</v>
      </c>
      <c r="M5239" s="355"/>
      <c r="N5239" s="355" t="s">
        <v>2408</v>
      </c>
      <c r="O5239" s="345"/>
      <c r="P5239" s="325"/>
      <c r="Q5239" s="327"/>
      <c r="R5239" s="351"/>
      <c r="S5239" s="351"/>
      <c r="T5239" s="351"/>
      <c r="U5239" s="329" t="str">
        <f>IF($N5239=$N$4,IFERROR(INDEX(DanhMuc!$E$154:$E$165,MATCH(MID($B5239,4,2),DanhMuc!$B$154:$B$165,0)),""),"")</f>
        <v/>
      </c>
      <c r="V5239" s="361"/>
      <c r="W5239" s="345"/>
      <c r="X5239" s="786"/>
      <c r="Y5239" s="1128" t="s">
        <v>3380</v>
      </c>
      <c r="Z5239" s="1128" t="s">
        <v>3381</v>
      </c>
      <c r="AA5239" s="1128" t="s">
        <v>3384</v>
      </c>
      <c r="AB5239" s="20"/>
      <c r="AC5239" s="73"/>
    </row>
    <row r="5240" spans="1:29" ht="37.5">
      <c r="A5240" s="327" t="str">
        <f>IF(AND($B5240&lt;&gt;"",$C5240&lt;&gt;""),MAX($A$4730:$A5185)+1,"")</f>
        <v/>
      </c>
      <c r="B5240" s="361" t="s">
        <v>590</v>
      </c>
      <c r="C5240" s="360"/>
      <c r="D5240" s="327">
        <f>IF($B5240="","",COUNTIF($B$4731:$B5240,$B5240))</f>
        <v>11</v>
      </c>
      <c r="E5240" s="362" t="s">
        <v>1964</v>
      </c>
      <c r="F5240" s="362" t="s">
        <v>1965</v>
      </c>
      <c r="G5240" s="327" t="s">
        <v>405</v>
      </c>
      <c r="H5240" s="361" t="s">
        <v>536</v>
      </c>
      <c r="I5240" s="361" t="s">
        <v>693</v>
      </c>
      <c r="J5240" s="361"/>
      <c r="K5240" s="327" t="s">
        <v>223</v>
      </c>
      <c r="L5240" s="478">
        <v>140</v>
      </c>
      <c r="M5240" s="371"/>
      <c r="N5240" s="355" t="s">
        <v>2408</v>
      </c>
      <c r="O5240" s="345"/>
      <c r="P5240" s="325"/>
      <c r="Q5240" s="327"/>
      <c r="R5240" s="351"/>
      <c r="S5240" s="351"/>
      <c r="T5240" s="351"/>
      <c r="U5240" s="329" t="str">
        <f>IF($N5240=$N$4,IFERROR(INDEX(DanhMuc!$E$154:$E$165,MATCH(MID($B5240,4,2),DanhMuc!$B$154:$B$165,0)),""),"")</f>
        <v/>
      </c>
      <c r="V5240" s="361"/>
      <c r="W5240" s="345"/>
      <c r="X5240" s="786"/>
      <c r="Y5240" s="1128" t="s">
        <v>3380</v>
      </c>
      <c r="Z5240" s="1128" t="s">
        <v>3381</v>
      </c>
      <c r="AA5240" s="1128" t="s">
        <v>3384</v>
      </c>
      <c r="AB5240" s="20"/>
      <c r="AC5240" s="73"/>
    </row>
    <row r="5241" spans="1:29" ht="37.5">
      <c r="A5241" s="327" t="str">
        <f>IF(AND($B5241&lt;&gt;"",$C5241&lt;&gt;""),MAX($A$4730:$A5239)+1,"")</f>
        <v/>
      </c>
      <c r="B5241" s="361" t="s">
        <v>590</v>
      </c>
      <c r="C5241" s="362"/>
      <c r="D5241" s="327">
        <f>IF($B5241="","",COUNTIF($B$4731:$B5241,$B5241))</f>
        <v>12</v>
      </c>
      <c r="E5241" s="362" t="s">
        <v>2756</v>
      </c>
      <c r="F5241" s="362" t="s">
        <v>2757</v>
      </c>
      <c r="G5241" s="327" t="s">
        <v>405</v>
      </c>
      <c r="H5241" s="361" t="s">
        <v>536</v>
      </c>
      <c r="I5241" s="361" t="s">
        <v>694</v>
      </c>
      <c r="J5241" s="361"/>
      <c r="K5241" s="327" t="s">
        <v>738</v>
      </c>
      <c r="L5241" s="479">
        <v>322</v>
      </c>
      <c r="M5241" s="371"/>
      <c r="N5241" s="355" t="s">
        <v>2408</v>
      </c>
      <c r="O5241" s="345"/>
      <c r="P5241" s="325"/>
      <c r="Q5241" s="327"/>
      <c r="R5241" s="351"/>
      <c r="S5241" s="351"/>
      <c r="T5241" s="351"/>
      <c r="U5241" s="329" t="str">
        <f>IF($N5241=$N$4,IFERROR(INDEX(DanhMuc!$E$154:$E$165,MATCH(MID($B5241,4,2),DanhMuc!$B$154:$B$165,0)),""),"")</f>
        <v/>
      </c>
      <c r="V5241" s="361"/>
      <c r="W5241" s="345"/>
      <c r="X5241" s="786"/>
      <c r="Y5241" s="1128" t="s">
        <v>3380</v>
      </c>
      <c r="Z5241" s="1128" t="s">
        <v>3381</v>
      </c>
      <c r="AA5241" s="1128" t="s">
        <v>3384</v>
      </c>
      <c r="AB5241" s="20"/>
      <c r="AC5241" s="73"/>
    </row>
    <row r="5242" spans="1:29">
      <c r="A5242" s="327" t="str">
        <f>IF(AND($B5242&lt;&gt;"",$C5242&lt;&gt;""),MAX($A$4730:$A5241)+1,"")</f>
        <v/>
      </c>
      <c r="B5242" s="361" t="s">
        <v>590</v>
      </c>
      <c r="C5242" s="362"/>
      <c r="D5242" s="327">
        <f>IF($B5242="","",COUNTIF($B$4731:$B5242,$B5242))</f>
        <v>13</v>
      </c>
      <c r="E5242" s="361" t="s">
        <v>656</v>
      </c>
      <c r="F5242" s="362" t="s">
        <v>2239</v>
      </c>
      <c r="G5242" s="327" t="s">
        <v>405</v>
      </c>
      <c r="H5242" s="361" t="s">
        <v>536</v>
      </c>
      <c r="I5242" s="361" t="s">
        <v>1827</v>
      </c>
      <c r="J5242" s="361"/>
      <c r="K5242" s="327" t="s">
        <v>100</v>
      </c>
      <c r="L5242" s="478">
        <v>970</v>
      </c>
      <c r="M5242" s="371"/>
      <c r="N5242" s="355" t="s">
        <v>2409</v>
      </c>
      <c r="O5242" s="345"/>
      <c r="P5242" s="325"/>
      <c r="Q5242" s="327"/>
      <c r="R5242" s="351"/>
      <c r="S5242" s="351"/>
      <c r="T5242" s="351"/>
      <c r="U5242" s="329" t="str">
        <f>IF($N5242=$N$4,IFERROR(INDEX(DanhMuc!$E$154:$E$165,MATCH(MID($B5242,4,2),DanhMuc!$B$154:$B$165,0)),""),"")</f>
        <v/>
      </c>
      <c r="V5242" s="361"/>
      <c r="W5242" s="345"/>
      <c r="X5242" s="786"/>
      <c r="Y5242" s="1128" t="s">
        <v>3380</v>
      </c>
      <c r="Z5242" s="1128" t="s">
        <v>3381</v>
      </c>
      <c r="AA5242" s="1128" t="s">
        <v>3384</v>
      </c>
      <c r="AB5242" s="20"/>
      <c r="AC5242" s="73"/>
    </row>
    <row r="5243" spans="1:29">
      <c r="A5243" s="327" t="str">
        <f>IF(AND($B5243&lt;&gt;"",$C5243&lt;&gt;""),MAX($A$4730:$A5242)+1,"")</f>
        <v/>
      </c>
      <c r="B5243" s="361" t="s">
        <v>590</v>
      </c>
      <c r="C5243" s="362"/>
      <c r="D5243" s="327">
        <f>IF($B5243="","",COUNTIF($B$4731:$B5243,$B5243))</f>
        <v>14</v>
      </c>
      <c r="E5243" s="361" t="s">
        <v>657</v>
      </c>
      <c r="F5243" s="362" t="s">
        <v>658</v>
      </c>
      <c r="G5243" s="327" t="s">
        <v>424</v>
      </c>
      <c r="H5243" s="361" t="s">
        <v>536</v>
      </c>
      <c r="I5243" s="361" t="s">
        <v>665</v>
      </c>
      <c r="J5243" s="361"/>
      <c r="K5243" s="327" t="s">
        <v>100</v>
      </c>
      <c r="L5243" s="478">
        <v>60000</v>
      </c>
      <c r="M5243" s="355"/>
      <c r="N5243" s="355" t="s">
        <v>2409</v>
      </c>
      <c r="O5243" s="345"/>
      <c r="P5243" s="325"/>
      <c r="Q5243" s="327"/>
      <c r="R5243" s="351"/>
      <c r="S5243" s="351"/>
      <c r="T5243" s="351"/>
      <c r="U5243" s="329" t="str">
        <f>IF($N5243=$N$4,IFERROR(INDEX(DanhMuc!$E$154:$E$165,MATCH(MID($B5243,4,2),DanhMuc!$B$154:$B$165,0)),""),"")</f>
        <v/>
      </c>
      <c r="V5243" s="361"/>
      <c r="W5243" s="345"/>
      <c r="X5243" s="786"/>
      <c r="Y5243" s="1128" t="s">
        <v>3380</v>
      </c>
      <c r="Z5243" s="1128" t="s">
        <v>3381</v>
      </c>
      <c r="AA5243" s="1128" t="s">
        <v>3384</v>
      </c>
      <c r="AB5243" s="20"/>
      <c r="AC5243" s="73"/>
    </row>
    <row r="5244" spans="1:29">
      <c r="A5244" s="327" t="str">
        <f>IF(AND($B5244&lt;&gt;"",$C5244&lt;&gt;""),MAX($A$4730:$A5243)+1,"")</f>
        <v/>
      </c>
      <c r="B5244" s="361" t="s">
        <v>590</v>
      </c>
      <c r="C5244" s="362"/>
      <c r="D5244" s="327">
        <f>IF($B5244="","",COUNTIF($B$4731:$B5244,$B5244))</f>
        <v>15</v>
      </c>
      <c r="E5244" s="361" t="s">
        <v>2771</v>
      </c>
      <c r="F5244" s="362" t="s">
        <v>659</v>
      </c>
      <c r="G5244" s="327" t="s">
        <v>424</v>
      </c>
      <c r="H5244" s="361" t="s">
        <v>536</v>
      </c>
      <c r="I5244" s="361" t="s">
        <v>666</v>
      </c>
      <c r="J5244" s="361"/>
      <c r="K5244" s="327" t="s">
        <v>100</v>
      </c>
      <c r="L5244" s="389">
        <v>53000</v>
      </c>
      <c r="M5244" s="355"/>
      <c r="N5244" s="355" t="s">
        <v>2409</v>
      </c>
      <c r="O5244" s="345"/>
      <c r="P5244" s="325"/>
      <c r="Q5244" s="327"/>
      <c r="R5244" s="351"/>
      <c r="S5244" s="351"/>
      <c r="T5244" s="351"/>
      <c r="U5244" s="329" t="str">
        <f>IF($N5244=$N$4,IFERROR(INDEX(DanhMuc!$E$154:$E$165,MATCH(MID($B5244,4,2),DanhMuc!$B$154:$B$165,0)),""),"")</f>
        <v/>
      </c>
      <c r="V5244" s="361"/>
      <c r="W5244" s="345"/>
      <c r="X5244" s="786"/>
      <c r="Y5244" s="1128" t="s">
        <v>3380</v>
      </c>
      <c r="Z5244" s="1128" t="s">
        <v>3381</v>
      </c>
      <c r="AA5244" s="1128" t="s">
        <v>3384</v>
      </c>
      <c r="AB5244" s="20"/>
      <c r="AC5244" s="73"/>
    </row>
    <row r="5245" spans="1:29">
      <c r="A5245" s="327" t="str">
        <f>IF(AND($B5245&lt;&gt;"",$C5245&lt;&gt;""),MAX($A$4730:$A5244)+1,"")</f>
        <v/>
      </c>
      <c r="B5245" s="361" t="s">
        <v>590</v>
      </c>
      <c r="C5245" s="362"/>
      <c r="D5245" s="327">
        <f>IF($B5245="","",COUNTIF($B$4731:$B5245,$B5245))</f>
        <v>16</v>
      </c>
      <c r="E5245" s="361" t="s">
        <v>1828</v>
      </c>
      <c r="F5245" s="362" t="s">
        <v>671</v>
      </c>
      <c r="G5245" s="327" t="s">
        <v>661</v>
      </c>
      <c r="H5245" s="361" t="s">
        <v>536</v>
      </c>
      <c r="I5245" s="361" t="s">
        <v>2355</v>
      </c>
      <c r="J5245" s="361"/>
      <c r="K5245" s="327" t="s">
        <v>100</v>
      </c>
      <c r="L5245" s="478">
        <f>40000/1000</f>
        <v>40</v>
      </c>
      <c r="M5245" s="355"/>
      <c r="N5245" s="355" t="s">
        <v>2409</v>
      </c>
      <c r="O5245" s="345"/>
      <c r="P5245" s="325"/>
      <c r="Q5245" s="327"/>
      <c r="R5245" s="351"/>
      <c r="S5245" s="351"/>
      <c r="T5245" s="351"/>
      <c r="U5245" s="329" t="str">
        <f>IF($N5245=$N$4,IFERROR(INDEX(DanhMuc!$E$154:$E$165,MATCH(MID($B5245,4,2),DanhMuc!$B$154:$B$165,0)),""),"")</f>
        <v/>
      </c>
      <c r="V5245" s="361"/>
      <c r="W5245" s="345"/>
      <c r="X5245" s="786"/>
      <c r="Y5245" s="1128" t="s">
        <v>3380</v>
      </c>
      <c r="Z5245" s="1128" t="s">
        <v>3381</v>
      </c>
      <c r="AA5245" s="1128" t="s">
        <v>3384</v>
      </c>
      <c r="AB5245" s="20"/>
      <c r="AC5245" s="73"/>
    </row>
    <row r="5246" spans="1:29">
      <c r="A5246" s="327" t="str">
        <f>IF(AND($B5246&lt;&gt;"",$C5246&lt;&gt;""),MAX($A$4730:$A5245)+1,"")</f>
        <v/>
      </c>
      <c r="B5246" s="361" t="s">
        <v>590</v>
      </c>
      <c r="C5246" s="362"/>
      <c r="D5246" s="327">
        <f>IF($B5246="","",COUNTIF($B$4731:$B5246,$B5246))</f>
        <v>17</v>
      </c>
      <c r="E5246" s="361" t="s">
        <v>154</v>
      </c>
      <c r="F5246" s="362" t="s">
        <v>660</v>
      </c>
      <c r="G5246" s="327" t="s">
        <v>661</v>
      </c>
      <c r="H5246" s="361" t="s">
        <v>536</v>
      </c>
      <c r="I5246" s="361" t="s">
        <v>667</v>
      </c>
      <c r="J5246" s="361"/>
      <c r="K5246" s="327" t="s">
        <v>662</v>
      </c>
      <c r="L5246" s="478">
        <v>20</v>
      </c>
      <c r="M5246" s="355"/>
      <c r="N5246" s="355" t="s">
        <v>2409</v>
      </c>
      <c r="O5246" s="345"/>
      <c r="P5246" s="325"/>
      <c r="Q5246" s="327"/>
      <c r="R5246" s="351"/>
      <c r="S5246" s="351"/>
      <c r="T5246" s="351"/>
      <c r="U5246" s="329" t="str">
        <f>IF($N5246=$N$4,IFERROR(INDEX(DanhMuc!$E$154:$E$165,MATCH(MID($B5246,4,2),DanhMuc!$B$154:$B$165,0)),""),"")</f>
        <v/>
      </c>
      <c r="V5246" s="361"/>
      <c r="W5246" s="345"/>
      <c r="X5246" s="786"/>
      <c r="Y5246" s="1128" t="s">
        <v>3380</v>
      </c>
      <c r="Z5246" s="1128" t="s">
        <v>3381</v>
      </c>
      <c r="AA5246" s="1128" t="s">
        <v>3384</v>
      </c>
      <c r="AB5246" s="20"/>
      <c r="AC5246" s="73"/>
    </row>
    <row r="5247" spans="1:29">
      <c r="A5247" s="327" t="str">
        <f>IF(AND($B5247&lt;&gt;"",$C5247&lt;&gt;""),MAX($A$4730:$A5246)+1,"")</f>
        <v/>
      </c>
      <c r="B5247" s="361" t="s">
        <v>590</v>
      </c>
      <c r="C5247" s="362"/>
      <c r="D5247" s="327">
        <f>IF($B5247="","",COUNTIF($B$4731:$B5247,$B5247))</f>
        <v>18</v>
      </c>
      <c r="E5247" s="362" t="s">
        <v>2282</v>
      </c>
      <c r="F5247" s="362" t="s">
        <v>2283</v>
      </c>
      <c r="G5247" s="327" t="s">
        <v>424</v>
      </c>
      <c r="H5247" s="361" t="s">
        <v>536</v>
      </c>
      <c r="I5247" s="361" t="s">
        <v>2238</v>
      </c>
      <c r="J5247" s="361"/>
      <c r="K5247" s="327" t="s">
        <v>662</v>
      </c>
      <c r="L5247" s="478">
        <v>28000</v>
      </c>
      <c r="M5247" s="355"/>
      <c r="N5247" s="355" t="s">
        <v>2409</v>
      </c>
      <c r="O5247" s="345"/>
      <c r="P5247" s="325"/>
      <c r="Q5247" s="327"/>
      <c r="R5247" s="351"/>
      <c r="S5247" s="351"/>
      <c r="T5247" s="351"/>
      <c r="U5247" s="329" t="str">
        <f>IF($N5247=$N$4,IFERROR(INDEX(DanhMuc!$E$154:$E$165,MATCH(MID($B5247,4,2),DanhMuc!$B$154:$B$165,0)),""),"")</f>
        <v/>
      </c>
      <c r="V5247" s="361"/>
      <c r="W5247" s="345"/>
      <c r="X5247" s="786"/>
      <c r="Y5247" s="1128" t="s">
        <v>3380</v>
      </c>
      <c r="Z5247" s="1128" t="s">
        <v>3381</v>
      </c>
      <c r="AA5247" s="1128" t="s">
        <v>3384</v>
      </c>
      <c r="AB5247" s="20"/>
      <c r="AC5247" s="73"/>
    </row>
    <row r="5248" spans="1:29">
      <c r="A5248" s="327" t="str">
        <f>IF(AND($B5248&lt;&gt;"",$C5248&lt;&gt;""),MAX($A$4730:$A5247)+1,"")</f>
        <v/>
      </c>
      <c r="B5248" s="361" t="s">
        <v>590</v>
      </c>
      <c r="C5248" s="362"/>
      <c r="D5248" s="327">
        <f>IF($B5248="","",COUNTIF($B$4731:$B5248,$B5248))</f>
        <v>19</v>
      </c>
      <c r="E5248" s="362" t="s">
        <v>663</v>
      </c>
      <c r="F5248" s="362" t="s">
        <v>664</v>
      </c>
      <c r="G5248" s="327" t="s">
        <v>155</v>
      </c>
      <c r="H5248" s="361" t="s">
        <v>536</v>
      </c>
      <c r="I5248" s="361" t="s">
        <v>672</v>
      </c>
      <c r="J5248" s="361"/>
      <c r="K5248" s="327" t="s">
        <v>662</v>
      </c>
      <c r="L5248" s="478">
        <v>1000</v>
      </c>
      <c r="M5248" s="355"/>
      <c r="N5248" s="355" t="s">
        <v>2409</v>
      </c>
      <c r="O5248" s="345"/>
      <c r="P5248" s="325"/>
      <c r="Q5248" s="327"/>
      <c r="R5248" s="351"/>
      <c r="S5248" s="351"/>
      <c r="T5248" s="351"/>
      <c r="U5248" s="329" t="str">
        <f>IF($N5248=$N$4,IFERROR(INDEX(DanhMuc!$E$154:$E$165,MATCH(MID($B5248,4,2),DanhMuc!$B$154:$B$165,0)),""),"")</f>
        <v/>
      </c>
      <c r="V5248" s="361"/>
      <c r="W5248" s="345"/>
      <c r="X5248" s="786"/>
      <c r="Y5248" s="1128" t="s">
        <v>3380</v>
      </c>
      <c r="Z5248" s="1128" t="s">
        <v>3381</v>
      </c>
      <c r="AA5248" s="1128" t="s">
        <v>3384</v>
      </c>
      <c r="AB5248" s="20"/>
      <c r="AC5248" s="73"/>
    </row>
    <row r="5249" spans="1:29" ht="26">
      <c r="A5249" s="327">
        <f>IF(AND($B5249&lt;&gt;"",$C5249&lt;&gt;""),MAX($A$4730:$A5248)+1,"")</f>
        <v>18</v>
      </c>
      <c r="B5249" s="359" t="s">
        <v>222</v>
      </c>
      <c r="C5249" s="360" t="s">
        <v>1551</v>
      </c>
      <c r="D5249" s="327">
        <f>IF($B5249="","",COUNTIF($B$4731:$B5249,$B5249))</f>
        <v>1</v>
      </c>
      <c r="E5249" s="480" t="s">
        <v>2858</v>
      </c>
      <c r="F5249" s="403" t="s">
        <v>2859</v>
      </c>
      <c r="G5249" s="327" t="s">
        <v>155</v>
      </c>
      <c r="H5249" s="361" t="s">
        <v>536</v>
      </c>
      <c r="I5249" s="327">
        <v>4</v>
      </c>
      <c r="J5249" s="361"/>
      <c r="K5249" s="327" t="s">
        <v>100</v>
      </c>
      <c r="L5249" s="389">
        <v>7100</v>
      </c>
      <c r="M5249" s="355"/>
      <c r="N5249" s="355" t="s">
        <v>2408</v>
      </c>
      <c r="O5249" s="345" t="s">
        <v>2777</v>
      </c>
      <c r="P5249" s="325"/>
      <c r="Q5249" s="327"/>
      <c r="R5249" s="351"/>
      <c r="S5249" s="351"/>
      <c r="T5249" s="351"/>
      <c r="U5249" s="329" t="str">
        <f>IF($N5249=$N$4,IFERROR(INDEX(DanhMuc!$E$154:$E$165,MATCH(MID($B5249,4,2),DanhMuc!$B$154:$B$165,0)),""),"")</f>
        <v/>
      </c>
      <c r="V5249" s="361"/>
      <c r="W5249" s="345"/>
      <c r="X5249" s="786"/>
      <c r="Y5249" s="1128" t="s">
        <v>3380</v>
      </c>
      <c r="Z5249" s="1128" t="s">
        <v>3381</v>
      </c>
      <c r="AA5249" s="1128" t="s">
        <v>3384</v>
      </c>
      <c r="AB5249" s="20"/>
      <c r="AC5249" s="73"/>
    </row>
    <row r="5250" spans="1:29" ht="25">
      <c r="A5250" s="327" t="str">
        <f>IF(AND($B5250&lt;&gt;"",$C5250&lt;&gt;""),MAX($A$4730:$A5249)+1,"")</f>
        <v/>
      </c>
      <c r="B5250" s="361" t="s">
        <v>222</v>
      </c>
      <c r="C5250" s="360"/>
      <c r="D5250" s="327">
        <f>IF($B5250="","",COUNTIF($B$4731:$B5250,$B5250))</f>
        <v>2</v>
      </c>
      <c r="E5250" s="480" t="s">
        <v>2304</v>
      </c>
      <c r="F5250" s="403" t="s">
        <v>2335</v>
      </c>
      <c r="G5250" s="327" t="s">
        <v>155</v>
      </c>
      <c r="H5250" s="361" t="s">
        <v>536</v>
      </c>
      <c r="I5250" s="327">
        <v>4</v>
      </c>
      <c r="J5250" s="361"/>
      <c r="K5250" s="327" t="s">
        <v>100</v>
      </c>
      <c r="L5250" s="389">
        <v>7100</v>
      </c>
      <c r="M5250" s="355"/>
      <c r="N5250" s="355" t="s">
        <v>2408</v>
      </c>
      <c r="O5250" s="345" t="s">
        <v>2776</v>
      </c>
      <c r="P5250" s="325"/>
      <c r="Q5250" s="327"/>
      <c r="R5250" s="351"/>
      <c r="S5250" s="351"/>
      <c r="T5250" s="351"/>
      <c r="U5250" s="329" t="str">
        <f>IF($N5250=$N$4,IFERROR(INDEX(DanhMuc!$E$154:$E$165,MATCH(MID($B5250,4,2),DanhMuc!$B$154:$B$165,0)),""),"")</f>
        <v/>
      </c>
      <c r="V5250" s="361"/>
      <c r="W5250" s="345"/>
      <c r="X5250" s="786"/>
      <c r="Y5250" s="1128" t="s">
        <v>3380</v>
      </c>
      <c r="Z5250" s="1128" t="s">
        <v>3381</v>
      </c>
      <c r="AA5250" s="1128" t="s">
        <v>3384</v>
      </c>
      <c r="AB5250" s="20"/>
      <c r="AC5250" s="73"/>
    </row>
    <row r="5251" spans="1:29">
      <c r="A5251" s="327" t="str">
        <f>IF(AND($B5251&lt;&gt;"",$C5251&lt;&gt;""),MAX($A$4730:$A5249)+1,"")</f>
        <v/>
      </c>
      <c r="B5251" s="361" t="s">
        <v>222</v>
      </c>
      <c r="C5251" s="360"/>
      <c r="D5251" s="327">
        <f>IF($B5251="","",COUNTIF($B$4731:$B5251,$B5251))</f>
        <v>3</v>
      </c>
      <c r="E5251" s="402" t="s">
        <v>2788</v>
      </c>
      <c r="F5251" s="403" t="s">
        <v>2789</v>
      </c>
      <c r="G5251" s="327" t="s">
        <v>155</v>
      </c>
      <c r="H5251" s="361" t="s">
        <v>536</v>
      </c>
      <c r="I5251" s="327">
        <f>4*I5249</f>
        <v>16</v>
      </c>
      <c r="J5251" s="361"/>
      <c r="K5251" s="327" t="s">
        <v>100</v>
      </c>
      <c r="L5251" s="389">
        <v>600</v>
      </c>
      <c r="M5251" s="355"/>
      <c r="N5251" s="355" t="s">
        <v>2408</v>
      </c>
      <c r="O5251" s="345" t="s">
        <v>2776</v>
      </c>
      <c r="P5251" s="325"/>
      <c r="Q5251" s="327"/>
      <c r="R5251" s="351"/>
      <c r="S5251" s="351"/>
      <c r="T5251" s="351"/>
      <c r="U5251" s="329" t="str">
        <f>IF($N5251=$N$4,IFERROR(INDEX(DanhMuc!$E$154:$E$165,MATCH(MID($B5251,4,2),DanhMuc!$B$154:$B$165,0)),""),"")</f>
        <v/>
      </c>
      <c r="V5251" s="361"/>
      <c r="W5251" s="345"/>
      <c r="X5251" s="786"/>
      <c r="Y5251" s="1128" t="s">
        <v>3380</v>
      </c>
      <c r="Z5251" s="1128" t="s">
        <v>3381</v>
      </c>
      <c r="AA5251" s="1128" t="s">
        <v>3384</v>
      </c>
      <c r="AB5251" s="20"/>
      <c r="AC5251" s="73"/>
    </row>
    <row r="5252" spans="1:29">
      <c r="A5252" s="327" t="str">
        <f>IF(AND($B5252&lt;&gt;"",$C5252&lt;&gt;""),MAX($A$4730:$A5249)+1,"")</f>
        <v/>
      </c>
      <c r="B5252" s="361" t="s">
        <v>222</v>
      </c>
      <c r="C5252" s="362"/>
      <c r="D5252" s="327">
        <f>IF($B5252="","",COUNTIF($B$4731:$B5252,$B5252))</f>
        <v>4</v>
      </c>
      <c r="E5252" s="361" t="s">
        <v>414</v>
      </c>
      <c r="F5252" s="362" t="s">
        <v>413</v>
      </c>
      <c r="G5252" s="327" t="s">
        <v>155</v>
      </c>
      <c r="H5252" s="361" t="s">
        <v>536</v>
      </c>
      <c r="I5252" s="327">
        <v>4</v>
      </c>
      <c r="J5252" s="361"/>
      <c r="K5252" s="327" t="s">
        <v>100</v>
      </c>
      <c r="L5252" s="389">
        <v>408</v>
      </c>
      <c r="M5252" s="355"/>
      <c r="N5252" s="355" t="s">
        <v>2408</v>
      </c>
      <c r="O5252" s="345"/>
      <c r="P5252" s="325"/>
      <c r="Q5252" s="327"/>
      <c r="R5252" s="351"/>
      <c r="S5252" s="351"/>
      <c r="T5252" s="351"/>
      <c r="U5252" s="329" t="str">
        <f>IF($N5252=$N$4,IFERROR(INDEX(DanhMuc!$E$154:$E$165,MATCH(MID($B5252,4,2),DanhMuc!$B$154:$B$165,0)),""),"")</f>
        <v/>
      </c>
      <c r="V5252" s="361"/>
      <c r="W5252" s="345"/>
      <c r="X5252" s="786"/>
      <c r="Y5252" s="1128" t="s">
        <v>3380</v>
      </c>
      <c r="Z5252" s="1128" t="s">
        <v>3381</v>
      </c>
      <c r="AA5252" s="1128" t="s">
        <v>3384</v>
      </c>
      <c r="AB5252" s="20"/>
      <c r="AC5252" s="73"/>
    </row>
    <row r="5253" spans="1:29">
      <c r="A5253" s="327" t="str">
        <f>IF(AND($B5253&lt;&gt;"",$C5253&lt;&gt;""),MAX($A$4730:$A5252)+1,"")</f>
        <v/>
      </c>
      <c r="B5253" s="361" t="s">
        <v>222</v>
      </c>
      <c r="C5253" s="362"/>
      <c r="D5253" s="327">
        <f>IF($B5253="","",COUNTIF($B$4731:$B5253,$B5253))</f>
        <v>5</v>
      </c>
      <c r="E5253" s="361" t="s">
        <v>654</v>
      </c>
      <c r="F5253" s="362" t="s">
        <v>653</v>
      </c>
      <c r="G5253" s="327" t="s">
        <v>1836</v>
      </c>
      <c r="H5253" s="361" t="s">
        <v>536</v>
      </c>
      <c r="I5253" s="327">
        <f>I5249/45</f>
        <v>8.8888888888888892E-2</v>
      </c>
      <c r="J5253" s="477"/>
      <c r="K5253" s="327" t="s">
        <v>655</v>
      </c>
      <c r="L5253" s="478">
        <v>115000</v>
      </c>
      <c r="M5253" s="355"/>
      <c r="N5253" s="355" t="s">
        <v>2408</v>
      </c>
      <c r="O5253" s="345" t="s">
        <v>2777</v>
      </c>
      <c r="P5253" s="325"/>
      <c r="Q5253" s="327"/>
      <c r="R5253" s="351"/>
      <c r="S5253" s="351"/>
      <c r="T5253" s="351"/>
      <c r="U5253" s="329" t="str">
        <f>IF($N5253=$N$4,IFERROR(INDEX(DanhMuc!$E$154:$E$165,MATCH(MID($B5253,4,2),DanhMuc!$B$154:$B$165,0)),""),"")</f>
        <v/>
      </c>
      <c r="V5253" s="361"/>
      <c r="W5253" s="345"/>
      <c r="X5253" s="786"/>
      <c r="Y5253" s="1128" t="s">
        <v>3380</v>
      </c>
      <c r="Z5253" s="1128" t="s">
        <v>3381</v>
      </c>
      <c r="AA5253" s="1128" t="s">
        <v>3384</v>
      </c>
      <c r="AB5253" s="20"/>
      <c r="AC5253" s="73"/>
    </row>
    <row r="5254" spans="1:29">
      <c r="A5254" s="327" t="str">
        <f>IF(AND($B5254&lt;&gt;"",$C5254&lt;&gt;""),MAX($A$4730:$A5252)+1,"")</f>
        <v/>
      </c>
      <c r="B5254" s="361" t="s">
        <v>222</v>
      </c>
      <c r="C5254" s="362"/>
      <c r="D5254" s="327">
        <f>IF($B5254="","",COUNTIF($B$4731:$B5254,$B5254))</f>
        <v>6</v>
      </c>
      <c r="E5254" s="361" t="s">
        <v>1826</v>
      </c>
      <c r="F5254" s="362" t="s">
        <v>670</v>
      </c>
      <c r="G5254" s="327" t="s">
        <v>661</v>
      </c>
      <c r="H5254" s="361" t="s">
        <v>536</v>
      </c>
      <c r="I5254" s="361" t="s">
        <v>2354</v>
      </c>
      <c r="J5254" s="361"/>
      <c r="K5254" s="327" t="s">
        <v>103</v>
      </c>
      <c r="L5254" s="478">
        <f>40000/1000</f>
        <v>40</v>
      </c>
      <c r="M5254" s="355"/>
      <c r="N5254" s="355" t="s">
        <v>2408</v>
      </c>
      <c r="O5254" s="345"/>
      <c r="P5254" s="325"/>
      <c r="Q5254" s="327"/>
      <c r="R5254" s="351"/>
      <c r="S5254" s="351"/>
      <c r="T5254" s="351"/>
      <c r="U5254" s="329" t="str">
        <f>IF($N5254=$N$4,IFERROR(INDEX(DanhMuc!$E$154:$E$165,MATCH(MID($B5254,4,2),DanhMuc!$B$154:$B$165,0)),""),"")</f>
        <v/>
      </c>
      <c r="V5254" s="361"/>
      <c r="W5254" s="345"/>
      <c r="X5254" s="786"/>
      <c r="Y5254" s="1128" t="s">
        <v>3380</v>
      </c>
      <c r="Z5254" s="1128" t="s">
        <v>3381</v>
      </c>
      <c r="AA5254" s="1128" t="s">
        <v>3384</v>
      </c>
      <c r="AB5254" s="20"/>
      <c r="AC5254" s="73"/>
    </row>
    <row r="5255" spans="1:29">
      <c r="A5255" s="327" t="str">
        <f>IF(AND($B5255&lt;&gt;"",$C5255&lt;&gt;""),MAX($A$4730:$A5254)+1,"")</f>
        <v/>
      </c>
      <c r="B5255" s="361" t="s">
        <v>222</v>
      </c>
      <c r="C5255" s="362"/>
      <c r="D5255" s="327">
        <f>IF($B5255="","",COUNTIF($B$4731:$B5255,$B5255))</f>
        <v>7</v>
      </c>
      <c r="E5255" s="361" t="s">
        <v>656</v>
      </c>
      <c r="F5255" s="362" t="s">
        <v>2239</v>
      </c>
      <c r="G5255" s="327" t="s">
        <v>405</v>
      </c>
      <c r="H5255" s="361" t="s">
        <v>536</v>
      </c>
      <c r="I5255" s="361" t="s">
        <v>1827</v>
      </c>
      <c r="J5255" s="361"/>
      <c r="K5255" s="327" t="s">
        <v>100</v>
      </c>
      <c r="L5255" s="478">
        <v>970</v>
      </c>
      <c r="M5255" s="371"/>
      <c r="N5255" s="355" t="s">
        <v>2409</v>
      </c>
      <c r="O5255" s="345"/>
      <c r="P5255" s="325"/>
      <c r="Q5255" s="327"/>
      <c r="R5255" s="351"/>
      <c r="S5255" s="351"/>
      <c r="T5255" s="351"/>
      <c r="U5255" s="329" t="str">
        <f>IF($N5255=$N$4,IFERROR(INDEX(DanhMuc!$E$154:$E$165,MATCH(MID($B5255,4,2),DanhMuc!$B$154:$B$165,0)),""),"")</f>
        <v/>
      </c>
      <c r="V5255" s="361"/>
      <c r="W5255" s="345"/>
      <c r="X5255" s="786"/>
      <c r="Y5255" s="1128" t="s">
        <v>3380</v>
      </c>
      <c r="Z5255" s="1128" t="s">
        <v>3381</v>
      </c>
      <c r="AA5255" s="1128" t="s">
        <v>3384</v>
      </c>
      <c r="AB5255" s="20"/>
      <c r="AC5255" s="73"/>
    </row>
    <row r="5256" spans="1:29">
      <c r="A5256" s="327" t="str">
        <f>IF(AND($B5256&lt;&gt;"",$C5256&lt;&gt;""),MAX($A$4730:$A5255)+1,"")</f>
        <v/>
      </c>
      <c r="B5256" s="361" t="s">
        <v>222</v>
      </c>
      <c r="C5256" s="362"/>
      <c r="D5256" s="327">
        <f>IF($B5256="","",COUNTIF($B$4731:$B5256,$B5256))</f>
        <v>8</v>
      </c>
      <c r="E5256" s="361" t="s">
        <v>2544</v>
      </c>
      <c r="F5256" s="362" t="s">
        <v>2545</v>
      </c>
      <c r="G5256" s="327" t="s">
        <v>405</v>
      </c>
      <c r="H5256" s="361" t="s">
        <v>536</v>
      </c>
      <c r="I5256" s="361" t="s">
        <v>2555</v>
      </c>
      <c r="J5256" s="361"/>
      <c r="K5256" s="327" t="s">
        <v>100</v>
      </c>
      <c r="L5256" s="478">
        <v>270</v>
      </c>
      <c r="M5256" s="371"/>
      <c r="N5256" s="355" t="s">
        <v>2409</v>
      </c>
      <c r="O5256" s="345"/>
      <c r="P5256" s="325"/>
      <c r="Q5256" s="327"/>
      <c r="R5256" s="351"/>
      <c r="S5256" s="351"/>
      <c r="T5256" s="351"/>
      <c r="U5256" s="329" t="str">
        <f>IF($N5256=$N$4,IFERROR(INDEX(DanhMuc!$E$154:$E$165,MATCH(MID($B5256,4,2),DanhMuc!$B$154:$B$165,0)),""),"")</f>
        <v/>
      </c>
      <c r="V5256" s="361"/>
      <c r="W5256" s="345"/>
      <c r="X5256" s="786"/>
      <c r="Y5256" s="1128" t="s">
        <v>3380</v>
      </c>
      <c r="Z5256" s="1128" t="s">
        <v>3381</v>
      </c>
      <c r="AA5256" s="1128" t="s">
        <v>3384</v>
      </c>
      <c r="AB5256" s="20"/>
      <c r="AC5256" s="73"/>
    </row>
    <row r="5257" spans="1:29">
      <c r="A5257" s="327" t="str">
        <f>IF(AND($B5257&lt;&gt;"",$C5257&lt;&gt;""),MAX($A$4730:$A5256)+1,"")</f>
        <v/>
      </c>
      <c r="B5257" s="361" t="s">
        <v>222</v>
      </c>
      <c r="C5257" s="362"/>
      <c r="D5257" s="327">
        <f>IF($B5257="","",COUNTIF($B$4731:$B5257,$B5257))</f>
        <v>9</v>
      </c>
      <c r="E5257" s="361" t="s">
        <v>2541</v>
      </c>
      <c r="F5257" s="362" t="s">
        <v>2542</v>
      </c>
      <c r="G5257" s="327" t="s">
        <v>405</v>
      </c>
      <c r="H5257" s="361" t="s">
        <v>536</v>
      </c>
      <c r="I5257" s="361" t="s">
        <v>2547</v>
      </c>
      <c r="J5257" s="361"/>
      <c r="K5257" s="327" t="s">
        <v>100</v>
      </c>
      <c r="L5257" s="478">
        <v>430</v>
      </c>
      <c r="M5257" s="371"/>
      <c r="N5257" s="355" t="s">
        <v>2409</v>
      </c>
      <c r="O5257" s="345"/>
      <c r="P5257" s="325"/>
      <c r="Q5257" s="327"/>
      <c r="R5257" s="351"/>
      <c r="S5257" s="351"/>
      <c r="T5257" s="351"/>
      <c r="U5257" s="329" t="str">
        <f>IF($N5257=$N$4,IFERROR(INDEX(DanhMuc!$E$154:$E$165,MATCH(MID($B5257,4,2),DanhMuc!$B$154:$B$165,0)),""),"")</f>
        <v/>
      </c>
      <c r="V5257" s="361"/>
      <c r="W5257" s="345"/>
      <c r="X5257" s="786"/>
      <c r="Y5257" s="1128" t="s">
        <v>3380</v>
      </c>
      <c r="Z5257" s="1128" t="s">
        <v>3381</v>
      </c>
      <c r="AA5257" s="1128" t="s">
        <v>3384</v>
      </c>
      <c r="AB5257" s="20"/>
      <c r="AC5257" s="73"/>
    </row>
    <row r="5258" spans="1:29">
      <c r="A5258" s="327" t="str">
        <f>IF(AND($B5258&lt;&gt;"",$C5258&lt;&gt;""),MAX($A$4730:$A5257)+1,"")</f>
        <v/>
      </c>
      <c r="B5258" s="361" t="s">
        <v>222</v>
      </c>
      <c r="C5258" s="362"/>
      <c r="D5258" s="327">
        <f>IF($B5258="","",COUNTIF($B$4731:$B5258,$B5258))</f>
        <v>10</v>
      </c>
      <c r="E5258" s="361" t="s">
        <v>657</v>
      </c>
      <c r="F5258" s="362" t="s">
        <v>658</v>
      </c>
      <c r="G5258" s="327" t="s">
        <v>424</v>
      </c>
      <c r="H5258" s="361" t="s">
        <v>536</v>
      </c>
      <c r="I5258" s="361" t="s">
        <v>3377</v>
      </c>
      <c r="J5258" s="361"/>
      <c r="K5258" s="327" t="s">
        <v>100</v>
      </c>
      <c r="L5258" s="478">
        <v>60000</v>
      </c>
      <c r="M5258" s="355"/>
      <c r="N5258" s="355" t="s">
        <v>2409</v>
      </c>
      <c r="O5258" s="345"/>
      <c r="P5258" s="325"/>
      <c r="Q5258" s="327"/>
      <c r="R5258" s="351"/>
      <c r="S5258" s="351"/>
      <c r="T5258" s="351"/>
      <c r="U5258" s="329" t="str">
        <f>IF($N5258=$N$4,IFERROR(INDEX(DanhMuc!$E$154:$E$165,MATCH(MID($B5258,4,2),DanhMuc!$B$154:$B$165,0)),""),"")</f>
        <v/>
      </c>
      <c r="V5258" s="361"/>
      <c r="W5258" s="345"/>
      <c r="X5258" s="786"/>
      <c r="Y5258" s="1128" t="s">
        <v>3380</v>
      </c>
      <c r="Z5258" s="1128" t="s">
        <v>3381</v>
      </c>
      <c r="AA5258" s="1128" t="s">
        <v>3384</v>
      </c>
      <c r="AB5258" s="20"/>
      <c r="AC5258" s="73"/>
    </row>
    <row r="5259" spans="1:29">
      <c r="A5259" s="327" t="str">
        <f>IF(AND($B5259&lt;&gt;"",$C5259&lt;&gt;""),MAX($A$4730:$A5258)+1,"")</f>
        <v/>
      </c>
      <c r="B5259" s="361" t="s">
        <v>222</v>
      </c>
      <c r="C5259" s="362"/>
      <c r="D5259" s="327">
        <f>IF($B5259="","",COUNTIF($B$4731:$B5259,$B5259))</f>
        <v>11</v>
      </c>
      <c r="E5259" s="361" t="s">
        <v>2771</v>
      </c>
      <c r="F5259" s="362" t="s">
        <v>659</v>
      </c>
      <c r="G5259" s="327" t="s">
        <v>424</v>
      </c>
      <c r="H5259" s="361" t="s">
        <v>536</v>
      </c>
      <c r="I5259" s="361" t="s">
        <v>2556</v>
      </c>
      <c r="J5259" s="361"/>
      <c r="K5259" s="327" t="s">
        <v>100</v>
      </c>
      <c r="L5259" s="389">
        <v>53000</v>
      </c>
      <c r="M5259" s="355"/>
      <c r="N5259" s="355" t="s">
        <v>2409</v>
      </c>
      <c r="O5259" s="345"/>
      <c r="P5259" s="325"/>
      <c r="Q5259" s="327"/>
      <c r="R5259" s="351"/>
      <c r="S5259" s="351"/>
      <c r="T5259" s="351"/>
      <c r="U5259" s="329" t="str">
        <f>IF($N5259=$N$4,IFERROR(INDEX(DanhMuc!$E$154:$E$165,MATCH(MID($B5259,4,2),DanhMuc!$B$154:$B$165,0)),""),"")</f>
        <v/>
      </c>
      <c r="V5259" s="361"/>
      <c r="W5259" s="345"/>
      <c r="X5259" s="786"/>
      <c r="Y5259" s="1128" t="s">
        <v>3380</v>
      </c>
      <c r="Z5259" s="1128" t="s">
        <v>3381</v>
      </c>
      <c r="AA5259" s="1128" t="s">
        <v>3384</v>
      </c>
      <c r="AB5259" s="20"/>
      <c r="AC5259" s="73"/>
    </row>
    <row r="5260" spans="1:29">
      <c r="A5260" s="327" t="str">
        <f>IF(AND($B5260&lt;&gt;"",$C5260&lt;&gt;""),MAX($A$4730:$A5259)+1,"")</f>
        <v/>
      </c>
      <c r="B5260" s="361" t="s">
        <v>222</v>
      </c>
      <c r="C5260" s="362"/>
      <c r="D5260" s="327">
        <f>IF($B5260="","",COUNTIF($B$4731:$B5260,$B5260))</f>
        <v>12</v>
      </c>
      <c r="E5260" s="361" t="s">
        <v>1828</v>
      </c>
      <c r="F5260" s="362" t="s">
        <v>671</v>
      </c>
      <c r="G5260" s="327" t="s">
        <v>661</v>
      </c>
      <c r="H5260" s="361" t="s">
        <v>536</v>
      </c>
      <c r="I5260" s="361" t="s">
        <v>2355</v>
      </c>
      <c r="J5260" s="361"/>
      <c r="K5260" s="327" t="s">
        <v>100</v>
      </c>
      <c r="L5260" s="478">
        <f>40000/1000</f>
        <v>40</v>
      </c>
      <c r="M5260" s="355"/>
      <c r="N5260" s="355" t="s">
        <v>2409</v>
      </c>
      <c r="O5260" s="345"/>
      <c r="P5260" s="325"/>
      <c r="Q5260" s="327"/>
      <c r="R5260" s="351"/>
      <c r="S5260" s="351"/>
      <c r="T5260" s="351"/>
      <c r="U5260" s="329" t="str">
        <f>IF($N5260=$N$4,IFERROR(INDEX(DanhMuc!$E$154:$E$165,MATCH(MID($B5260,4,2),DanhMuc!$B$154:$B$165,0)),""),"")</f>
        <v/>
      </c>
      <c r="V5260" s="361"/>
      <c r="W5260" s="345"/>
      <c r="X5260" s="786"/>
      <c r="Y5260" s="1128" t="s">
        <v>3380</v>
      </c>
      <c r="Z5260" s="1128" t="s">
        <v>3381</v>
      </c>
      <c r="AA5260" s="1128" t="s">
        <v>3384</v>
      </c>
      <c r="AB5260" s="20"/>
      <c r="AC5260" s="73"/>
    </row>
    <row r="5261" spans="1:29">
      <c r="A5261" s="327" t="str">
        <f>IF(AND($B5261&lt;&gt;"",$C5261&lt;&gt;""),MAX($A$4730:$A5260)+1,"")</f>
        <v/>
      </c>
      <c r="B5261" s="361" t="s">
        <v>222</v>
      </c>
      <c r="C5261" s="362"/>
      <c r="D5261" s="327">
        <f>IF($B5261="","",COUNTIF($B$4731:$B5261,$B5261))</f>
        <v>13</v>
      </c>
      <c r="E5261" s="361" t="s">
        <v>154</v>
      </c>
      <c r="F5261" s="362" t="s">
        <v>660</v>
      </c>
      <c r="G5261" s="327" t="s">
        <v>661</v>
      </c>
      <c r="H5261" s="361" t="s">
        <v>536</v>
      </c>
      <c r="I5261" s="361" t="s">
        <v>667</v>
      </c>
      <c r="J5261" s="361"/>
      <c r="K5261" s="327" t="s">
        <v>662</v>
      </c>
      <c r="L5261" s="478">
        <v>20</v>
      </c>
      <c r="M5261" s="355"/>
      <c r="N5261" s="355" t="s">
        <v>2409</v>
      </c>
      <c r="O5261" s="345"/>
      <c r="P5261" s="325"/>
      <c r="Q5261" s="327"/>
      <c r="R5261" s="351"/>
      <c r="S5261" s="351"/>
      <c r="T5261" s="351"/>
      <c r="U5261" s="329" t="str">
        <f>IF($N5261=$N$4,IFERROR(INDEX(DanhMuc!$E$154:$E$165,MATCH(MID($B5261,4,2),DanhMuc!$B$154:$B$165,0)),""),"")</f>
        <v/>
      </c>
      <c r="V5261" s="361"/>
      <c r="W5261" s="345"/>
      <c r="X5261" s="786"/>
      <c r="Y5261" s="1128" t="s">
        <v>3380</v>
      </c>
      <c r="Z5261" s="1128" t="s">
        <v>3381</v>
      </c>
      <c r="AA5261" s="1128" t="s">
        <v>3384</v>
      </c>
      <c r="AB5261" s="20"/>
      <c r="AC5261" s="73"/>
    </row>
    <row r="5262" spans="1:29">
      <c r="A5262" s="327" t="str">
        <f>IF(AND($B5262&lt;&gt;"",$C5262&lt;&gt;""),MAX($A$4730:$A5261)+1,"")</f>
        <v/>
      </c>
      <c r="B5262" s="361" t="s">
        <v>222</v>
      </c>
      <c r="C5262" s="362"/>
      <c r="D5262" s="327">
        <f>IF($B5262="","",COUNTIF($B$4731:$B5262,$B5262))</f>
        <v>14</v>
      </c>
      <c r="E5262" s="362" t="s">
        <v>2282</v>
      </c>
      <c r="F5262" s="362" t="s">
        <v>2283</v>
      </c>
      <c r="G5262" s="327" t="s">
        <v>424</v>
      </c>
      <c r="H5262" s="361" t="s">
        <v>536</v>
      </c>
      <c r="I5262" s="361" t="s">
        <v>2238</v>
      </c>
      <c r="J5262" s="361"/>
      <c r="K5262" s="327" t="s">
        <v>662</v>
      </c>
      <c r="L5262" s="478">
        <v>28000</v>
      </c>
      <c r="M5262" s="355"/>
      <c r="N5262" s="355" t="s">
        <v>2409</v>
      </c>
      <c r="O5262" s="345"/>
      <c r="P5262" s="325"/>
      <c r="Q5262" s="327"/>
      <c r="R5262" s="351"/>
      <c r="S5262" s="351"/>
      <c r="T5262" s="351"/>
      <c r="U5262" s="329" t="str">
        <f>IF($N5262=$N$4,IFERROR(INDEX(DanhMuc!$E$154:$E$165,MATCH(MID($B5262,4,2),DanhMuc!$B$154:$B$165,0)),""),"")</f>
        <v/>
      </c>
      <c r="V5262" s="361"/>
      <c r="W5262" s="345"/>
      <c r="X5262" s="786"/>
      <c r="Y5262" s="1128" t="s">
        <v>3380</v>
      </c>
      <c r="Z5262" s="1128" t="s">
        <v>3381</v>
      </c>
      <c r="AA5262" s="1128" t="s">
        <v>3384</v>
      </c>
      <c r="AB5262" s="20"/>
      <c r="AC5262" s="73"/>
    </row>
    <row r="5263" spans="1:29">
      <c r="A5263" s="327" t="str">
        <f>IF(AND($B5263&lt;&gt;"",$C5263&lt;&gt;""),MAX($A$4730:$A5262)+1,"")</f>
        <v/>
      </c>
      <c r="B5263" s="361" t="s">
        <v>222</v>
      </c>
      <c r="C5263" s="362"/>
      <c r="D5263" s="327">
        <f>IF($B5263="","",COUNTIF($B$4731:$B5263,$B5263))</f>
        <v>15</v>
      </c>
      <c r="E5263" s="362" t="s">
        <v>663</v>
      </c>
      <c r="F5263" s="362" t="s">
        <v>664</v>
      </c>
      <c r="G5263" s="327" t="s">
        <v>155</v>
      </c>
      <c r="H5263" s="361" t="s">
        <v>536</v>
      </c>
      <c r="I5263" s="361" t="s">
        <v>672</v>
      </c>
      <c r="J5263" s="361"/>
      <c r="K5263" s="327" t="s">
        <v>662</v>
      </c>
      <c r="L5263" s="478">
        <v>1000</v>
      </c>
      <c r="M5263" s="355"/>
      <c r="N5263" s="355" t="s">
        <v>2409</v>
      </c>
      <c r="O5263" s="345"/>
      <c r="P5263" s="325"/>
      <c r="Q5263" s="327"/>
      <c r="R5263" s="351"/>
      <c r="S5263" s="351"/>
      <c r="T5263" s="351"/>
      <c r="U5263" s="329" t="str">
        <f>IF($N5263=$N$4,IFERROR(INDEX(DanhMuc!$E$154:$E$165,MATCH(MID($B5263,4,2),DanhMuc!$B$154:$B$165,0)),""),"")</f>
        <v/>
      </c>
      <c r="V5263" s="361"/>
      <c r="W5263" s="345"/>
      <c r="X5263" s="786"/>
      <c r="Y5263" s="1128" t="s">
        <v>3380</v>
      </c>
      <c r="Z5263" s="1128" t="s">
        <v>3381</v>
      </c>
      <c r="AA5263" s="1128" t="s">
        <v>3384</v>
      </c>
      <c r="AB5263" s="20"/>
      <c r="AC5263" s="73"/>
    </row>
    <row r="5264" spans="1:29" ht="26">
      <c r="A5264" s="327">
        <f>IF(AND($B5264&lt;&gt;"",$C5264&lt;&gt;""),MAX($A$4730:$A5263)+1,"")</f>
        <v>19</v>
      </c>
      <c r="B5264" s="359" t="s">
        <v>2344</v>
      </c>
      <c r="C5264" s="360" t="s">
        <v>2345</v>
      </c>
      <c r="D5264" s="327">
        <f>IF($B5264="","",COUNTIF($B$4731:$B5264,$B5264))</f>
        <v>1</v>
      </c>
      <c r="E5264" s="361" t="s">
        <v>1826</v>
      </c>
      <c r="F5264" s="362" t="s">
        <v>670</v>
      </c>
      <c r="G5264" s="327" t="s">
        <v>661</v>
      </c>
      <c r="H5264" s="361" t="s">
        <v>536</v>
      </c>
      <c r="I5264" s="361" t="s">
        <v>2354</v>
      </c>
      <c r="J5264" s="361"/>
      <c r="K5264" s="327" t="s">
        <v>103</v>
      </c>
      <c r="L5264" s="478">
        <f>40000/1000</f>
        <v>40</v>
      </c>
      <c r="M5264" s="355"/>
      <c r="N5264" s="355" t="s">
        <v>2408</v>
      </c>
      <c r="O5264" s="345"/>
      <c r="P5264" s="325"/>
      <c r="Q5264" s="327"/>
      <c r="R5264" s="351"/>
      <c r="S5264" s="351"/>
      <c r="T5264" s="351"/>
      <c r="U5264" s="329" t="str">
        <f>IF($N5264=$N$4,IFERROR(INDEX(DanhMuc!$E$154:$E$165,MATCH(MID($B5264,4,2),DanhMuc!$B$154:$B$165,0)),""),"")</f>
        <v/>
      </c>
      <c r="V5264" s="361"/>
      <c r="W5264" s="345"/>
      <c r="X5264" s="786"/>
      <c r="Y5264" s="1128" t="s">
        <v>3380</v>
      </c>
      <c r="Z5264" s="1128" t="s">
        <v>3381</v>
      </c>
      <c r="AA5264" s="1128" t="s">
        <v>3384</v>
      </c>
      <c r="AB5264" s="20"/>
      <c r="AC5264" s="73"/>
    </row>
    <row r="5265" spans="1:29">
      <c r="A5265" s="327" t="str">
        <f>IF(AND($B5265&lt;&gt;"",$C5265&lt;&gt;""),MAX($A$4730:$A5264)+1,"")</f>
        <v/>
      </c>
      <c r="B5265" s="361" t="s">
        <v>2344</v>
      </c>
      <c r="C5265" s="362"/>
      <c r="D5265" s="327">
        <f>IF($B5265="","",COUNTIF($B$4731:$B5265,$B5265))</f>
        <v>2</v>
      </c>
      <c r="E5265" s="361" t="s">
        <v>656</v>
      </c>
      <c r="F5265" s="362" t="s">
        <v>2239</v>
      </c>
      <c r="G5265" s="327" t="s">
        <v>405</v>
      </c>
      <c r="H5265" s="361" t="s">
        <v>536</v>
      </c>
      <c r="I5265" s="361" t="s">
        <v>1827</v>
      </c>
      <c r="J5265" s="361"/>
      <c r="K5265" s="327" t="s">
        <v>100</v>
      </c>
      <c r="L5265" s="478">
        <v>970</v>
      </c>
      <c r="M5265" s="371"/>
      <c r="N5265" s="355" t="s">
        <v>2409</v>
      </c>
      <c r="O5265" s="345"/>
      <c r="P5265" s="325"/>
      <c r="Q5265" s="327"/>
      <c r="R5265" s="351"/>
      <c r="S5265" s="351"/>
      <c r="T5265" s="351"/>
      <c r="U5265" s="329" t="str">
        <f>IF($N5265=$N$4,IFERROR(INDEX(DanhMuc!$E$154:$E$165,MATCH(MID($B5265,4,2),DanhMuc!$B$154:$B$165,0)),""),"")</f>
        <v/>
      </c>
      <c r="V5265" s="361"/>
      <c r="W5265" s="345"/>
      <c r="X5265" s="786"/>
      <c r="Y5265" s="1128" t="s">
        <v>3380</v>
      </c>
      <c r="Z5265" s="1128" t="s">
        <v>3381</v>
      </c>
      <c r="AA5265" s="1128" t="s">
        <v>3384</v>
      </c>
      <c r="AB5265" s="20"/>
      <c r="AC5265" s="73"/>
    </row>
    <row r="5266" spans="1:29">
      <c r="A5266" s="327" t="str">
        <f>IF(AND($B5266&lt;&gt;"",$C5266&lt;&gt;""),MAX($A$4730:$A5265)+1,"")</f>
        <v/>
      </c>
      <c r="B5266" s="361" t="s">
        <v>2344</v>
      </c>
      <c r="C5266" s="362"/>
      <c r="D5266" s="327">
        <f>IF($B5266="","",COUNTIF($B$4731:$B5266,$B5266))</f>
        <v>3</v>
      </c>
      <c r="E5266" s="361" t="s">
        <v>657</v>
      </c>
      <c r="F5266" s="362" t="s">
        <v>658</v>
      </c>
      <c r="G5266" s="327" t="s">
        <v>424</v>
      </c>
      <c r="H5266" s="361" t="s">
        <v>536</v>
      </c>
      <c r="I5266" s="361" t="s">
        <v>3377</v>
      </c>
      <c r="J5266" s="361"/>
      <c r="K5266" s="327" t="s">
        <v>100</v>
      </c>
      <c r="L5266" s="478">
        <v>60000</v>
      </c>
      <c r="M5266" s="355"/>
      <c r="N5266" s="355" t="s">
        <v>2409</v>
      </c>
      <c r="O5266" s="345"/>
      <c r="P5266" s="325"/>
      <c r="Q5266" s="327"/>
      <c r="R5266" s="351"/>
      <c r="S5266" s="351"/>
      <c r="T5266" s="351"/>
      <c r="U5266" s="329" t="str">
        <f>IF($N5266=$N$4,IFERROR(INDEX(DanhMuc!$E$154:$E$165,MATCH(MID($B5266,4,2),DanhMuc!$B$154:$B$165,0)),""),"")</f>
        <v/>
      </c>
      <c r="V5266" s="361"/>
      <c r="W5266" s="345"/>
      <c r="X5266" s="786"/>
      <c r="Y5266" s="1128" t="s">
        <v>3380</v>
      </c>
      <c r="Z5266" s="1128" t="s">
        <v>3381</v>
      </c>
      <c r="AA5266" s="1128" t="s">
        <v>3384</v>
      </c>
      <c r="AB5266" s="20"/>
      <c r="AC5266" s="73"/>
    </row>
    <row r="5267" spans="1:29">
      <c r="A5267" s="327" t="str">
        <f>IF(AND($B5267&lt;&gt;"",$C5267&lt;&gt;""),MAX($A$4730:$A5266)+1,"")</f>
        <v/>
      </c>
      <c r="B5267" s="361" t="s">
        <v>2344</v>
      </c>
      <c r="C5267" s="362"/>
      <c r="D5267" s="327">
        <f>IF($B5267="","",COUNTIF($B$4731:$B5267,$B5267))</f>
        <v>4</v>
      </c>
      <c r="E5267" s="361" t="s">
        <v>2771</v>
      </c>
      <c r="F5267" s="362" t="s">
        <v>659</v>
      </c>
      <c r="G5267" s="327" t="s">
        <v>424</v>
      </c>
      <c r="H5267" s="361" t="s">
        <v>536</v>
      </c>
      <c r="I5267" s="361" t="s">
        <v>2556</v>
      </c>
      <c r="J5267" s="361"/>
      <c r="K5267" s="327" t="s">
        <v>100</v>
      </c>
      <c r="L5267" s="389">
        <v>53000</v>
      </c>
      <c r="M5267" s="355"/>
      <c r="N5267" s="355" t="s">
        <v>2409</v>
      </c>
      <c r="O5267" s="345"/>
      <c r="P5267" s="325"/>
      <c r="Q5267" s="327"/>
      <c r="R5267" s="351"/>
      <c r="S5267" s="351"/>
      <c r="T5267" s="351"/>
      <c r="U5267" s="329" t="str">
        <f>IF($N5267=$N$4,IFERROR(INDEX(DanhMuc!$E$154:$E$165,MATCH(MID($B5267,4,2),DanhMuc!$B$154:$B$165,0)),""),"")</f>
        <v/>
      </c>
      <c r="V5267" s="361"/>
      <c r="W5267" s="345"/>
      <c r="X5267" s="786"/>
      <c r="Y5267" s="1128" t="s">
        <v>3380</v>
      </c>
      <c r="Z5267" s="1128" t="s">
        <v>3381</v>
      </c>
      <c r="AA5267" s="1128" t="s">
        <v>3384</v>
      </c>
      <c r="AB5267" s="20"/>
      <c r="AC5267" s="73"/>
    </row>
    <row r="5268" spans="1:29">
      <c r="A5268" s="327" t="str">
        <f>IF(AND($B5268&lt;&gt;"",$C5268&lt;&gt;""),MAX($A$4730:$A5267)+1,"")</f>
        <v/>
      </c>
      <c r="B5268" s="361" t="s">
        <v>2344</v>
      </c>
      <c r="C5268" s="362"/>
      <c r="D5268" s="327">
        <f>IF($B5268="","",COUNTIF($B$4731:$B5268,$B5268))</f>
        <v>5</v>
      </c>
      <c r="E5268" s="361" t="s">
        <v>1828</v>
      </c>
      <c r="F5268" s="362" t="s">
        <v>671</v>
      </c>
      <c r="G5268" s="327" t="s">
        <v>661</v>
      </c>
      <c r="H5268" s="361" t="s">
        <v>536</v>
      </c>
      <c r="I5268" s="361" t="s">
        <v>2355</v>
      </c>
      <c r="J5268" s="361"/>
      <c r="K5268" s="327" t="s">
        <v>100</v>
      </c>
      <c r="L5268" s="478">
        <f>40000/1000</f>
        <v>40</v>
      </c>
      <c r="M5268" s="355"/>
      <c r="N5268" s="355" t="s">
        <v>2409</v>
      </c>
      <c r="O5268" s="345"/>
      <c r="P5268" s="325"/>
      <c r="Q5268" s="327"/>
      <c r="R5268" s="351"/>
      <c r="S5268" s="351"/>
      <c r="T5268" s="351"/>
      <c r="U5268" s="329" t="str">
        <f>IF($N5268=$N$4,IFERROR(INDEX(DanhMuc!$E$154:$E$165,MATCH(MID($B5268,4,2),DanhMuc!$B$154:$B$165,0)),""),"")</f>
        <v/>
      </c>
      <c r="V5268" s="361"/>
      <c r="W5268" s="345"/>
      <c r="X5268" s="786"/>
      <c r="Y5268" s="1128" t="s">
        <v>3380</v>
      </c>
      <c r="Z5268" s="1128" t="s">
        <v>3381</v>
      </c>
      <c r="AA5268" s="1128" t="s">
        <v>3384</v>
      </c>
      <c r="AB5268" s="20"/>
      <c r="AC5268" s="73"/>
    </row>
    <row r="5269" spans="1:29">
      <c r="A5269" s="327" t="str">
        <f>IF(AND($B5269&lt;&gt;"",$C5269&lt;&gt;""),MAX($A$4730:$A5268)+1,"")</f>
        <v/>
      </c>
      <c r="B5269" s="361" t="s">
        <v>2344</v>
      </c>
      <c r="C5269" s="362"/>
      <c r="D5269" s="327">
        <f>IF($B5269="","",COUNTIF($B$4731:$B5269,$B5269))</f>
        <v>6</v>
      </c>
      <c r="E5269" s="361" t="s">
        <v>154</v>
      </c>
      <c r="F5269" s="362" t="s">
        <v>660</v>
      </c>
      <c r="G5269" s="327" t="s">
        <v>661</v>
      </c>
      <c r="H5269" s="361" t="s">
        <v>536</v>
      </c>
      <c r="I5269" s="361" t="s">
        <v>667</v>
      </c>
      <c r="J5269" s="361"/>
      <c r="K5269" s="327" t="s">
        <v>662</v>
      </c>
      <c r="L5269" s="478">
        <v>20</v>
      </c>
      <c r="M5269" s="355"/>
      <c r="N5269" s="355" t="s">
        <v>2409</v>
      </c>
      <c r="O5269" s="345"/>
      <c r="P5269" s="325"/>
      <c r="Q5269" s="327"/>
      <c r="R5269" s="351"/>
      <c r="S5269" s="351"/>
      <c r="T5269" s="351"/>
      <c r="U5269" s="329" t="str">
        <f>IF($N5269=$N$4,IFERROR(INDEX(DanhMuc!$E$154:$E$165,MATCH(MID($B5269,4,2),DanhMuc!$B$154:$B$165,0)),""),"")</f>
        <v/>
      </c>
      <c r="V5269" s="361"/>
      <c r="W5269" s="345"/>
      <c r="X5269" s="786"/>
      <c r="Y5269" s="1128" t="s">
        <v>3380</v>
      </c>
      <c r="Z5269" s="1128" t="s">
        <v>3381</v>
      </c>
      <c r="AA5269" s="1128" t="s">
        <v>3384</v>
      </c>
      <c r="AB5269" s="20"/>
      <c r="AC5269" s="73"/>
    </row>
    <row r="5270" spans="1:29">
      <c r="A5270" s="327" t="str">
        <f>IF(AND($B5270&lt;&gt;"",$C5270&lt;&gt;""),MAX($A$4730:$A5269)+1,"")</f>
        <v/>
      </c>
      <c r="B5270" s="361" t="s">
        <v>2344</v>
      </c>
      <c r="C5270" s="362"/>
      <c r="D5270" s="327">
        <f>IF($B5270="","",COUNTIF($B$4731:$B5270,$B5270))</f>
        <v>7</v>
      </c>
      <c r="E5270" s="362" t="s">
        <v>2282</v>
      </c>
      <c r="F5270" s="362" t="s">
        <v>2283</v>
      </c>
      <c r="G5270" s="327" t="s">
        <v>424</v>
      </c>
      <c r="H5270" s="361" t="s">
        <v>536</v>
      </c>
      <c r="I5270" s="361" t="s">
        <v>2238</v>
      </c>
      <c r="J5270" s="361"/>
      <c r="K5270" s="327" t="s">
        <v>662</v>
      </c>
      <c r="L5270" s="478">
        <v>28000</v>
      </c>
      <c r="M5270" s="355"/>
      <c r="N5270" s="355" t="s">
        <v>2409</v>
      </c>
      <c r="O5270" s="345"/>
      <c r="P5270" s="325"/>
      <c r="Q5270" s="327"/>
      <c r="R5270" s="351"/>
      <c r="S5270" s="351"/>
      <c r="T5270" s="351"/>
      <c r="U5270" s="329" t="str">
        <f>IF($N5270=$N$4,IFERROR(INDEX(DanhMuc!$E$154:$E$165,MATCH(MID($B5270,4,2),DanhMuc!$B$154:$B$165,0)),""),"")</f>
        <v/>
      </c>
      <c r="V5270" s="361"/>
      <c r="W5270" s="345"/>
      <c r="X5270" s="786"/>
      <c r="Y5270" s="1128" t="s">
        <v>3380</v>
      </c>
      <c r="Z5270" s="1128" t="s">
        <v>3381</v>
      </c>
      <c r="AA5270" s="1128" t="s">
        <v>3384</v>
      </c>
      <c r="AB5270" s="20"/>
      <c r="AC5270" s="73"/>
    </row>
    <row r="5271" spans="1:29">
      <c r="A5271" s="327" t="str">
        <f>IF(AND($B5271&lt;&gt;"",$C5271&lt;&gt;""),MAX($A$4730:$A5270)+1,"")</f>
        <v/>
      </c>
      <c r="B5271" s="361" t="s">
        <v>2344</v>
      </c>
      <c r="C5271" s="362"/>
      <c r="D5271" s="327">
        <f>IF($B5271="","",COUNTIF($B$4731:$B5271,$B5271))</f>
        <v>8</v>
      </c>
      <c r="E5271" s="362" t="s">
        <v>663</v>
      </c>
      <c r="F5271" s="362" t="s">
        <v>664</v>
      </c>
      <c r="G5271" s="327" t="s">
        <v>155</v>
      </c>
      <c r="H5271" s="361" t="s">
        <v>536</v>
      </c>
      <c r="I5271" s="361" t="s">
        <v>672</v>
      </c>
      <c r="J5271" s="361"/>
      <c r="K5271" s="327" t="s">
        <v>662</v>
      </c>
      <c r="L5271" s="478">
        <v>1000</v>
      </c>
      <c r="M5271" s="355"/>
      <c r="N5271" s="355" t="s">
        <v>2409</v>
      </c>
      <c r="O5271" s="345"/>
      <c r="P5271" s="325"/>
      <c r="Q5271" s="327"/>
      <c r="R5271" s="351"/>
      <c r="S5271" s="351"/>
      <c r="T5271" s="351"/>
      <c r="U5271" s="329" t="str">
        <f>IF($N5271=$N$4,IFERROR(INDEX(DanhMuc!$E$154:$E$165,MATCH(MID($B5271,4,2),DanhMuc!$B$154:$B$165,0)),""),"")</f>
        <v/>
      </c>
      <c r="V5271" s="361"/>
      <c r="W5271" s="345"/>
      <c r="X5271" s="786"/>
      <c r="Y5271" s="1128" t="s">
        <v>3380</v>
      </c>
      <c r="Z5271" s="1128" t="s">
        <v>3381</v>
      </c>
      <c r="AA5271" s="1128" t="s">
        <v>3384</v>
      </c>
      <c r="AB5271" s="20"/>
      <c r="AC5271" s="73"/>
    </row>
    <row r="5272" spans="1:29" ht="26">
      <c r="A5272" s="327">
        <f>IF(AND($B5272&lt;&gt;"",$C5272&lt;&gt;""),MAX($A$4730:$A5263)+1,"")</f>
        <v>19</v>
      </c>
      <c r="B5272" s="359" t="s">
        <v>1815</v>
      </c>
      <c r="C5272" s="360" t="s">
        <v>1816</v>
      </c>
      <c r="D5272" s="327">
        <f>IF($B5272="","",COUNTIF($B$4731:$B5272,$B5272))</f>
        <v>1</v>
      </c>
      <c r="E5272" s="480" t="s">
        <v>2858</v>
      </c>
      <c r="F5272" s="403" t="s">
        <v>2859</v>
      </c>
      <c r="G5272" s="327" t="s">
        <v>155</v>
      </c>
      <c r="H5272" s="361" t="s">
        <v>536</v>
      </c>
      <c r="I5272" s="327">
        <v>4</v>
      </c>
      <c r="J5272" s="361"/>
      <c r="K5272" s="327" t="s">
        <v>100</v>
      </c>
      <c r="L5272" s="389">
        <v>7100</v>
      </c>
      <c r="M5272" s="355"/>
      <c r="N5272" s="355" t="s">
        <v>2408</v>
      </c>
      <c r="O5272" s="345" t="s">
        <v>2777</v>
      </c>
      <c r="P5272" s="325"/>
      <c r="Q5272" s="327"/>
      <c r="R5272" s="351"/>
      <c r="S5272" s="351"/>
      <c r="T5272" s="351"/>
      <c r="U5272" s="329" t="str">
        <f>IF($N5272=$N$4,IFERROR(INDEX(DanhMuc!$E$154:$E$165,MATCH(MID($B5272,4,2),DanhMuc!$B$154:$B$165,0)),""),"")</f>
        <v/>
      </c>
      <c r="V5272" s="361"/>
      <c r="W5272" s="345"/>
      <c r="X5272" s="786"/>
      <c r="Y5272" s="1128" t="s">
        <v>3380</v>
      </c>
      <c r="Z5272" s="1128" t="s">
        <v>3381</v>
      </c>
      <c r="AA5272" s="1128" t="s">
        <v>3384</v>
      </c>
      <c r="AB5272" s="20"/>
      <c r="AC5272" s="73"/>
    </row>
    <row r="5273" spans="1:29" ht="25">
      <c r="A5273" s="327" t="str">
        <f>IF(AND($B5273&lt;&gt;"",$C5273&lt;&gt;""),MAX($A$4730:$A5264)+1,"")</f>
        <v/>
      </c>
      <c r="B5273" s="361" t="s">
        <v>1815</v>
      </c>
      <c r="C5273" s="360"/>
      <c r="D5273" s="327">
        <f>IF($B5273="","",COUNTIF($B$4731:$B5273,$B5273))</f>
        <v>2</v>
      </c>
      <c r="E5273" s="480" t="s">
        <v>2304</v>
      </c>
      <c r="F5273" s="403" t="s">
        <v>2335</v>
      </c>
      <c r="G5273" s="327" t="s">
        <v>155</v>
      </c>
      <c r="H5273" s="361" t="s">
        <v>536</v>
      </c>
      <c r="I5273" s="327">
        <v>4</v>
      </c>
      <c r="J5273" s="361"/>
      <c r="K5273" s="327" t="s">
        <v>100</v>
      </c>
      <c r="L5273" s="389">
        <v>7100</v>
      </c>
      <c r="M5273" s="355"/>
      <c r="N5273" s="355" t="s">
        <v>2408</v>
      </c>
      <c r="O5273" s="345" t="s">
        <v>2776</v>
      </c>
      <c r="P5273" s="325"/>
      <c r="Q5273" s="327"/>
      <c r="R5273" s="351"/>
      <c r="S5273" s="351"/>
      <c r="T5273" s="351"/>
      <c r="U5273" s="329" t="str">
        <f>IF($N5273=$N$4,IFERROR(INDEX(DanhMuc!$E$154:$E$165,MATCH(MID($B5273,4,2),DanhMuc!$B$154:$B$165,0)),""),"")</f>
        <v/>
      </c>
      <c r="V5273" s="361"/>
      <c r="W5273" s="345"/>
      <c r="X5273" s="786"/>
      <c r="Y5273" s="1128" t="s">
        <v>3380</v>
      </c>
      <c r="Z5273" s="1128" t="s">
        <v>3381</v>
      </c>
      <c r="AA5273" s="1128" t="s">
        <v>3384</v>
      </c>
      <c r="AB5273" s="20"/>
      <c r="AC5273" s="73"/>
    </row>
    <row r="5274" spans="1:29">
      <c r="A5274" s="327" t="str">
        <f>IF(AND($B5274&lt;&gt;"",$C5274&lt;&gt;""),MAX($A$4730:$A5272)+1,"")</f>
        <v/>
      </c>
      <c r="B5274" s="361" t="s">
        <v>1815</v>
      </c>
      <c r="C5274" s="360"/>
      <c r="D5274" s="327">
        <f>IF($B5274="","",COUNTIF($B$4731:$B5274,$B5274))</f>
        <v>3</v>
      </c>
      <c r="E5274" s="402" t="s">
        <v>2788</v>
      </c>
      <c r="F5274" s="403" t="s">
        <v>2789</v>
      </c>
      <c r="G5274" s="327" t="s">
        <v>155</v>
      </c>
      <c r="H5274" s="361" t="s">
        <v>536</v>
      </c>
      <c r="I5274" s="327">
        <f>4*I5272</f>
        <v>16</v>
      </c>
      <c r="J5274" s="361"/>
      <c r="K5274" s="327" t="s">
        <v>100</v>
      </c>
      <c r="L5274" s="389">
        <v>600</v>
      </c>
      <c r="M5274" s="355"/>
      <c r="N5274" s="355" t="s">
        <v>2408</v>
      </c>
      <c r="O5274" s="345" t="s">
        <v>2776</v>
      </c>
      <c r="P5274" s="325"/>
      <c r="Q5274" s="327"/>
      <c r="R5274" s="351"/>
      <c r="S5274" s="351"/>
      <c r="T5274" s="351"/>
      <c r="U5274" s="329" t="str">
        <f>IF($N5274=$N$4,IFERROR(INDEX(DanhMuc!$E$154:$E$165,MATCH(MID($B5274,4,2),DanhMuc!$B$154:$B$165,0)),""),"")</f>
        <v/>
      </c>
      <c r="V5274" s="361"/>
      <c r="W5274" s="345"/>
      <c r="X5274" s="786"/>
      <c r="Y5274" s="1128" t="s">
        <v>3380</v>
      </c>
      <c r="Z5274" s="1128" t="s">
        <v>3381</v>
      </c>
      <c r="AA5274" s="1128" t="s">
        <v>3384</v>
      </c>
      <c r="AB5274" s="20"/>
      <c r="AC5274" s="73"/>
    </row>
    <row r="5275" spans="1:29">
      <c r="A5275" s="327" t="str">
        <f>IF(AND($B5275&lt;&gt;"",$C5275&lt;&gt;""),MAX($A$4730:$A5272)+1,"")</f>
        <v/>
      </c>
      <c r="B5275" s="361" t="s">
        <v>1815</v>
      </c>
      <c r="C5275" s="362"/>
      <c r="D5275" s="327">
        <f>IF($B5275="","",COUNTIF($B$4731:$B5275,$B5275))</f>
        <v>4</v>
      </c>
      <c r="E5275" s="361" t="s">
        <v>414</v>
      </c>
      <c r="F5275" s="362" t="s">
        <v>413</v>
      </c>
      <c r="G5275" s="327" t="s">
        <v>155</v>
      </c>
      <c r="H5275" s="361" t="s">
        <v>536</v>
      </c>
      <c r="I5275" s="327">
        <v>4</v>
      </c>
      <c r="J5275" s="361"/>
      <c r="K5275" s="327" t="s">
        <v>100</v>
      </c>
      <c r="L5275" s="389">
        <v>408</v>
      </c>
      <c r="M5275" s="355"/>
      <c r="N5275" s="355" t="s">
        <v>2408</v>
      </c>
      <c r="O5275" s="345"/>
      <c r="P5275" s="325"/>
      <c r="Q5275" s="327"/>
      <c r="R5275" s="351"/>
      <c r="S5275" s="351"/>
      <c r="T5275" s="351"/>
      <c r="U5275" s="329" t="str">
        <f>IF($N5275=$N$4,IFERROR(INDEX(DanhMuc!$E$154:$E$165,MATCH(MID($B5275,4,2),DanhMuc!$B$154:$B$165,0)),""),"")</f>
        <v/>
      </c>
      <c r="V5275" s="361"/>
      <c r="W5275" s="345"/>
      <c r="X5275" s="786"/>
      <c r="Y5275" s="1128" t="s">
        <v>3380</v>
      </c>
      <c r="Z5275" s="1128" t="s">
        <v>3381</v>
      </c>
      <c r="AA5275" s="1128" t="s">
        <v>3384</v>
      </c>
      <c r="AB5275" s="20"/>
      <c r="AC5275" s="73"/>
    </row>
    <row r="5276" spans="1:29">
      <c r="A5276" s="327" t="str">
        <f>IF(AND($B5276&lt;&gt;"",$C5276&lt;&gt;""),MAX($A$4730:$A5275)+1,"")</f>
        <v/>
      </c>
      <c r="B5276" s="361" t="s">
        <v>1815</v>
      </c>
      <c r="C5276" s="362"/>
      <c r="D5276" s="327">
        <f>IF($B5276="","",COUNTIF($B$4731:$B5276,$B5276))</f>
        <v>5</v>
      </c>
      <c r="E5276" s="361" t="s">
        <v>654</v>
      </c>
      <c r="F5276" s="362" t="s">
        <v>653</v>
      </c>
      <c r="G5276" s="327" t="s">
        <v>1836</v>
      </c>
      <c r="H5276" s="361" t="s">
        <v>536</v>
      </c>
      <c r="I5276" s="327">
        <f>I5272/45</f>
        <v>8.8888888888888892E-2</v>
      </c>
      <c r="J5276" s="477"/>
      <c r="K5276" s="327" t="s">
        <v>655</v>
      </c>
      <c r="L5276" s="478">
        <v>115000</v>
      </c>
      <c r="M5276" s="355"/>
      <c r="N5276" s="355" t="s">
        <v>2408</v>
      </c>
      <c r="O5276" s="345" t="s">
        <v>2777</v>
      </c>
      <c r="P5276" s="325"/>
      <c r="Q5276" s="327"/>
      <c r="R5276" s="351"/>
      <c r="S5276" s="351"/>
      <c r="T5276" s="351"/>
      <c r="U5276" s="329" t="str">
        <f>IF($N5276=$N$4,IFERROR(INDEX(DanhMuc!$E$154:$E$165,MATCH(MID($B5276,4,2),DanhMuc!$B$154:$B$165,0)),""),"")</f>
        <v/>
      </c>
      <c r="V5276" s="361"/>
      <c r="W5276" s="345"/>
      <c r="X5276" s="786"/>
      <c r="Y5276" s="1128" t="s">
        <v>3380</v>
      </c>
      <c r="Z5276" s="1128" t="s">
        <v>3381</v>
      </c>
      <c r="AA5276" s="1128" t="s">
        <v>3384</v>
      </c>
      <c r="AB5276" s="20"/>
      <c r="AC5276" s="73"/>
    </row>
    <row r="5277" spans="1:29">
      <c r="A5277" s="327" t="str">
        <f>IF(AND($B5277&lt;&gt;"",$C5277&lt;&gt;""),MAX($A$4730:$A5275)+1,"")</f>
        <v/>
      </c>
      <c r="B5277" s="361" t="s">
        <v>1815</v>
      </c>
      <c r="C5277" s="362"/>
      <c r="D5277" s="327">
        <f>IF($B5277="","",COUNTIF($B$4731:$B5277,$B5277))</f>
        <v>6</v>
      </c>
      <c r="E5277" s="361" t="s">
        <v>1826</v>
      </c>
      <c r="F5277" s="362" t="s">
        <v>670</v>
      </c>
      <c r="G5277" s="327" t="s">
        <v>661</v>
      </c>
      <c r="H5277" s="361" t="s">
        <v>536</v>
      </c>
      <c r="I5277" s="361" t="s">
        <v>2354</v>
      </c>
      <c r="J5277" s="361"/>
      <c r="K5277" s="327" t="s">
        <v>103</v>
      </c>
      <c r="L5277" s="478">
        <f>40000/1000</f>
        <v>40</v>
      </c>
      <c r="M5277" s="355"/>
      <c r="N5277" s="355" t="s">
        <v>2408</v>
      </c>
      <c r="O5277" s="345"/>
      <c r="P5277" s="325"/>
      <c r="Q5277" s="327"/>
      <c r="R5277" s="351"/>
      <c r="S5277" s="351"/>
      <c r="T5277" s="351"/>
      <c r="U5277" s="329" t="str">
        <f>IF($N5277=$N$4,IFERROR(INDEX(DanhMuc!$E$154:$E$165,MATCH(MID($B5277,4,2),DanhMuc!$B$154:$B$165,0)),""),"")</f>
        <v/>
      </c>
      <c r="V5277" s="361"/>
      <c r="W5277" s="345"/>
      <c r="X5277" s="786"/>
      <c r="Y5277" s="1128" t="s">
        <v>3380</v>
      </c>
      <c r="Z5277" s="1128" t="s">
        <v>3381</v>
      </c>
      <c r="AA5277" s="1128" t="s">
        <v>3384</v>
      </c>
      <c r="AB5277" s="20"/>
      <c r="AC5277" s="73"/>
    </row>
    <row r="5278" spans="1:29">
      <c r="A5278" s="327" t="str">
        <f>IF(AND($B5278&lt;&gt;"",$C5278&lt;&gt;""),MAX($A$4730:$A5277)+1,"")</f>
        <v/>
      </c>
      <c r="B5278" s="361" t="s">
        <v>1815</v>
      </c>
      <c r="C5278" s="362"/>
      <c r="D5278" s="327">
        <f>IF($B5278="","",COUNTIF($B$4731:$B5278,$B5278))</f>
        <v>7</v>
      </c>
      <c r="E5278" s="361" t="s">
        <v>656</v>
      </c>
      <c r="F5278" s="362" t="s">
        <v>2239</v>
      </c>
      <c r="G5278" s="327" t="s">
        <v>405</v>
      </c>
      <c r="H5278" s="361" t="s">
        <v>536</v>
      </c>
      <c r="I5278" s="361" t="s">
        <v>1827</v>
      </c>
      <c r="J5278" s="361"/>
      <c r="K5278" s="327" t="s">
        <v>100</v>
      </c>
      <c r="L5278" s="478">
        <v>970</v>
      </c>
      <c r="M5278" s="371"/>
      <c r="N5278" s="355" t="s">
        <v>2409</v>
      </c>
      <c r="O5278" s="345"/>
      <c r="P5278" s="325"/>
      <c r="Q5278" s="327"/>
      <c r="R5278" s="351"/>
      <c r="S5278" s="351"/>
      <c r="T5278" s="351"/>
      <c r="U5278" s="329" t="str">
        <f>IF($N5278=$N$4,IFERROR(INDEX(DanhMuc!$E$154:$E$165,MATCH(MID($B5278,4,2),DanhMuc!$B$154:$B$165,0)),""),"")</f>
        <v/>
      </c>
      <c r="V5278" s="361"/>
      <c r="W5278" s="345"/>
      <c r="X5278" s="786"/>
      <c r="Y5278" s="1128" t="s">
        <v>3380</v>
      </c>
      <c r="Z5278" s="1128" t="s">
        <v>3381</v>
      </c>
      <c r="AA5278" s="1128" t="s">
        <v>3384</v>
      </c>
      <c r="AB5278" s="20"/>
      <c r="AC5278" s="73"/>
    </row>
    <row r="5279" spans="1:29">
      <c r="A5279" s="327" t="str">
        <f>IF(AND($B5279&lt;&gt;"",$C5279&lt;&gt;""),MAX($A$4730:$A5278)+1,"")</f>
        <v/>
      </c>
      <c r="B5279" s="361" t="s">
        <v>1815</v>
      </c>
      <c r="C5279" s="362"/>
      <c r="D5279" s="327">
        <f>IF($B5279="","",COUNTIF($B$4731:$B5279,$B5279))</f>
        <v>8</v>
      </c>
      <c r="E5279" s="361" t="s">
        <v>657</v>
      </c>
      <c r="F5279" s="362" t="s">
        <v>658</v>
      </c>
      <c r="G5279" s="327" t="s">
        <v>424</v>
      </c>
      <c r="H5279" s="361" t="s">
        <v>536</v>
      </c>
      <c r="I5279" s="361" t="s">
        <v>665</v>
      </c>
      <c r="J5279" s="361"/>
      <c r="K5279" s="327" t="s">
        <v>100</v>
      </c>
      <c r="L5279" s="478">
        <v>60000</v>
      </c>
      <c r="M5279" s="355"/>
      <c r="N5279" s="355" t="s">
        <v>2409</v>
      </c>
      <c r="O5279" s="345"/>
      <c r="P5279" s="325"/>
      <c r="Q5279" s="327"/>
      <c r="R5279" s="351"/>
      <c r="S5279" s="351"/>
      <c r="T5279" s="351"/>
      <c r="U5279" s="329" t="str">
        <f>IF($N5279=$N$4,IFERROR(INDEX(DanhMuc!$E$154:$E$165,MATCH(MID($B5279,4,2),DanhMuc!$B$154:$B$165,0)),""),"")</f>
        <v/>
      </c>
      <c r="V5279" s="361"/>
      <c r="W5279" s="345"/>
      <c r="X5279" s="786"/>
      <c r="Y5279" s="1128" t="s">
        <v>3380</v>
      </c>
      <c r="Z5279" s="1128" t="s">
        <v>3381</v>
      </c>
      <c r="AA5279" s="1128" t="s">
        <v>3384</v>
      </c>
      <c r="AB5279" s="20"/>
      <c r="AC5279" s="73"/>
    </row>
    <row r="5280" spans="1:29">
      <c r="A5280" s="327" t="str">
        <f>IF(AND($B5280&lt;&gt;"",$C5280&lt;&gt;""),MAX($A$4730:$A5279)+1,"")</f>
        <v/>
      </c>
      <c r="B5280" s="361" t="s">
        <v>1815</v>
      </c>
      <c r="C5280" s="362"/>
      <c r="D5280" s="327">
        <f>IF($B5280="","",COUNTIF($B$4731:$B5280,$B5280))</f>
        <v>9</v>
      </c>
      <c r="E5280" s="361" t="s">
        <v>2771</v>
      </c>
      <c r="F5280" s="362" t="s">
        <v>659</v>
      </c>
      <c r="G5280" s="327" t="s">
        <v>424</v>
      </c>
      <c r="H5280" s="361" t="s">
        <v>536</v>
      </c>
      <c r="I5280" s="361" t="s">
        <v>666</v>
      </c>
      <c r="J5280" s="361"/>
      <c r="K5280" s="327" t="s">
        <v>100</v>
      </c>
      <c r="L5280" s="389">
        <v>53000</v>
      </c>
      <c r="M5280" s="355"/>
      <c r="N5280" s="355" t="s">
        <v>2409</v>
      </c>
      <c r="O5280" s="345"/>
      <c r="P5280" s="325"/>
      <c r="Q5280" s="327"/>
      <c r="R5280" s="351"/>
      <c r="S5280" s="351"/>
      <c r="T5280" s="351"/>
      <c r="U5280" s="329" t="str">
        <f>IF($N5280=$N$4,IFERROR(INDEX(DanhMuc!$E$154:$E$165,MATCH(MID($B5280,4,2),DanhMuc!$B$154:$B$165,0)),""),"")</f>
        <v/>
      </c>
      <c r="V5280" s="361"/>
      <c r="W5280" s="345"/>
      <c r="X5280" s="786"/>
      <c r="Y5280" s="1128" t="s">
        <v>3380</v>
      </c>
      <c r="Z5280" s="1128" t="s">
        <v>3381</v>
      </c>
      <c r="AA5280" s="1128" t="s">
        <v>3384</v>
      </c>
      <c r="AB5280" s="20"/>
      <c r="AC5280" s="73"/>
    </row>
    <row r="5281" spans="1:29">
      <c r="A5281" s="327" t="str">
        <f>IF(AND($B5281&lt;&gt;"",$C5281&lt;&gt;""),MAX($A$4730:$A5280)+1,"")</f>
        <v/>
      </c>
      <c r="B5281" s="361" t="s">
        <v>1815</v>
      </c>
      <c r="C5281" s="362"/>
      <c r="D5281" s="327">
        <f>IF($B5281="","",COUNTIF($B$4731:$B5281,$B5281))</f>
        <v>10</v>
      </c>
      <c r="E5281" s="361" t="s">
        <v>1828</v>
      </c>
      <c r="F5281" s="362" t="s">
        <v>671</v>
      </c>
      <c r="G5281" s="327" t="s">
        <v>661</v>
      </c>
      <c r="H5281" s="361" t="s">
        <v>536</v>
      </c>
      <c r="I5281" s="361" t="s">
        <v>2355</v>
      </c>
      <c r="J5281" s="361"/>
      <c r="K5281" s="327" t="s">
        <v>100</v>
      </c>
      <c r="L5281" s="478">
        <f>40000/1000</f>
        <v>40</v>
      </c>
      <c r="M5281" s="355"/>
      <c r="N5281" s="355" t="s">
        <v>2409</v>
      </c>
      <c r="O5281" s="345"/>
      <c r="P5281" s="325"/>
      <c r="Q5281" s="327"/>
      <c r="R5281" s="351"/>
      <c r="S5281" s="351"/>
      <c r="T5281" s="351"/>
      <c r="U5281" s="329" t="str">
        <f>IF($N5281=$N$4,IFERROR(INDEX(DanhMuc!$E$154:$E$165,MATCH(MID($B5281,4,2),DanhMuc!$B$154:$B$165,0)),""),"")</f>
        <v/>
      </c>
      <c r="V5281" s="361"/>
      <c r="W5281" s="345"/>
      <c r="X5281" s="786"/>
      <c r="Y5281" s="1128" t="s">
        <v>3380</v>
      </c>
      <c r="Z5281" s="1128" t="s">
        <v>3381</v>
      </c>
      <c r="AA5281" s="1128" t="s">
        <v>3384</v>
      </c>
      <c r="AB5281" s="20"/>
      <c r="AC5281" s="73"/>
    </row>
    <row r="5282" spans="1:29">
      <c r="A5282" s="327" t="str">
        <f>IF(AND($B5282&lt;&gt;"",$C5282&lt;&gt;""),MAX($A$4730:$A5281)+1,"")</f>
        <v/>
      </c>
      <c r="B5282" s="361" t="s">
        <v>1815</v>
      </c>
      <c r="C5282" s="362"/>
      <c r="D5282" s="327">
        <f>IF($B5282="","",COUNTIF($B$4731:$B5282,$B5282))</f>
        <v>11</v>
      </c>
      <c r="E5282" s="361" t="s">
        <v>154</v>
      </c>
      <c r="F5282" s="362" t="s">
        <v>660</v>
      </c>
      <c r="G5282" s="327" t="s">
        <v>661</v>
      </c>
      <c r="H5282" s="361" t="s">
        <v>536</v>
      </c>
      <c r="I5282" s="361" t="s">
        <v>667</v>
      </c>
      <c r="J5282" s="361"/>
      <c r="K5282" s="327" t="s">
        <v>662</v>
      </c>
      <c r="L5282" s="478">
        <v>20</v>
      </c>
      <c r="M5282" s="355"/>
      <c r="N5282" s="355" t="s">
        <v>2409</v>
      </c>
      <c r="O5282" s="345"/>
      <c r="P5282" s="325"/>
      <c r="Q5282" s="327"/>
      <c r="R5282" s="351"/>
      <c r="S5282" s="351"/>
      <c r="T5282" s="351"/>
      <c r="U5282" s="329" t="str">
        <f>IF($N5282=$N$4,IFERROR(INDEX(DanhMuc!$E$154:$E$165,MATCH(MID($B5282,4,2),DanhMuc!$B$154:$B$165,0)),""),"")</f>
        <v/>
      </c>
      <c r="V5282" s="361"/>
      <c r="W5282" s="345"/>
      <c r="X5282" s="786"/>
      <c r="Y5282" s="1128" t="s">
        <v>3380</v>
      </c>
      <c r="Z5282" s="1128" t="s">
        <v>3381</v>
      </c>
      <c r="AA5282" s="1128" t="s">
        <v>3384</v>
      </c>
      <c r="AB5282" s="20"/>
      <c r="AC5282" s="73"/>
    </row>
    <row r="5283" spans="1:29">
      <c r="A5283" s="327" t="str">
        <f>IF(AND($B5283&lt;&gt;"",$C5283&lt;&gt;""),MAX($A$4730:$A5282)+1,"")</f>
        <v/>
      </c>
      <c r="B5283" s="361" t="s">
        <v>1815</v>
      </c>
      <c r="C5283" s="362"/>
      <c r="D5283" s="327">
        <f>IF($B5283="","",COUNTIF($B$4731:$B5283,$B5283))</f>
        <v>12</v>
      </c>
      <c r="E5283" s="362" t="s">
        <v>2282</v>
      </c>
      <c r="F5283" s="362" t="s">
        <v>2283</v>
      </c>
      <c r="G5283" s="327" t="s">
        <v>424</v>
      </c>
      <c r="H5283" s="361" t="s">
        <v>536</v>
      </c>
      <c r="I5283" s="361" t="s">
        <v>2238</v>
      </c>
      <c r="J5283" s="361"/>
      <c r="K5283" s="327" t="s">
        <v>662</v>
      </c>
      <c r="L5283" s="478">
        <v>28000</v>
      </c>
      <c r="M5283" s="355"/>
      <c r="N5283" s="355" t="s">
        <v>2409</v>
      </c>
      <c r="O5283" s="345"/>
      <c r="P5283" s="325"/>
      <c r="Q5283" s="327"/>
      <c r="R5283" s="351"/>
      <c r="S5283" s="351"/>
      <c r="T5283" s="351"/>
      <c r="U5283" s="329" t="str">
        <f>IF($N5283=$N$4,IFERROR(INDEX(DanhMuc!$E$154:$E$165,MATCH(MID($B5283,4,2),DanhMuc!$B$154:$B$165,0)),""),"")</f>
        <v/>
      </c>
      <c r="V5283" s="361"/>
      <c r="W5283" s="345"/>
      <c r="X5283" s="786"/>
      <c r="Y5283" s="1128" t="s">
        <v>3380</v>
      </c>
      <c r="Z5283" s="1128" t="s">
        <v>3381</v>
      </c>
      <c r="AA5283" s="1128" t="s">
        <v>3384</v>
      </c>
      <c r="AB5283" s="20"/>
      <c r="AC5283" s="73"/>
    </row>
    <row r="5284" spans="1:29">
      <c r="A5284" s="327" t="str">
        <f>IF(AND($B5284&lt;&gt;"",$C5284&lt;&gt;""),MAX($A$4730:$A5283)+1,"")</f>
        <v/>
      </c>
      <c r="B5284" s="361" t="s">
        <v>1815</v>
      </c>
      <c r="C5284" s="362"/>
      <c r="D5284" s="327">
        <f>IF($B5284="","",COUNTIF($B$4731:$B5284,$B5284))</f>
        <v>13</v>
      </c>
      <c r="E5284" s="362" t="s">
        <v>663</v>
      </c>
      <c r="F5284" s="362" t="s">
        <v>664</v>
      </c>
      <c r="G5284" s="327" t="s">
        <v>155</v>
      </c>
      <c r="H5284" s="361" t="s">
        <v>536</v>
      </c>
      <c r="I5284" s="361" t="s">
        <v>672</v>
      </c>
      <c r="J5284" s="361"/>
      <c r="K5284" s="327" t="s">
        <v>662</v>
      </c>
      <c r="L5284" s="478">
        <v>1000</v>
      </c>
      <c r="M5284" s="355"/>
      <c r="N5284" s="355" t="s">
        <v>2409</v>
      </c>
      <c r="O5284" s="345"/>
      <c r="P5284" s="325"/>
      <c r="Q5284" s="327"/>
      <c r="R5284" s="351"/>
      <c r="S5284" s="351"/>
      <c r="T5284" s="351"/>
      <c r="U5284" s="329" t="str">
        <f>IF($N5284=$N$4,IFERROR(INDEX(DanhMuc!$E$154:$E$165,MATCH(MID($B5284,4,2),DanhMuc!$B$154:$B$165,0)),""),"")</f>
        <v/>
      </c>
      <c r="V5284" s="361"/>
      <c r="W5284" s="345"/>
      <c r="X5284" s="786"/>
      <c r="Y5284" s="1128" t="s">
        <v>3380</v>
      </c>
      <c r="Z5284" s="1128" t="s">
        <v>3381</v>
      </c>
      <c r="AA5284" s="1128" t="s">
        <v>3384</v>
      </c>
      <c r="AB5284" s="20"/>
      <c r="AC5284" s="73"/>
    </row>
    <row r="5285" spans="1:29" ht="39">
      <c r="A5285" s="327">
        <f>IF(AND($B5285&lt;&gt;"",$C5285&lt;&gt;""),MAX($A$4730:$A5284)+1,"")</f>
        <v>20</v>
      </c>
      <c r="B5285" s="359" t="s">
        <v>1821</v>
      </c>
      <c r="C5285" s="360" t="s">
        <v>1822</v>
      </c>
      <c r="D5285" s="327">
        <f>IF($B5285="","",COUNTIF($B$4731:$B5285,$B5285))</f>
        <v>1</v>
      </c>
      <c r="E5285" s="402" t="s">
        <v>2301</v>
      </c>
      <c r="F5285" s="403" t="s">
        <v>2333</v>
      </c>
      <c r="G5285" s="327" t="s">
        <v>155</v>
      </c>
      <c r="H5285" s="361" t="s">
        <v>536</v>
      </c>
      <c r="I5285" s="327">
        <v>2</v>
      </c>
      <c r="J5285" s="361"/>
      <c r="K5285" s="327" t="s">
        <v>100</v>
      </c>
      <c r="L5285" s="389">
        <v>9400</v>
      </c>
      <c r="M5285" s="355"/>
      <c r="N5285" s="355" t="s">
        <v>2408</v>
      </c>
      <c r="O5285" s="345" t="s">
        <v>2776</v>
      </c>
      <c r="P5285" s="325"/>
      <c r="Q5285" s="327"/>
      <c r="R5285" s="351">
        <v>4</v>
      </c>
      <c r="S5285" s="351">
        <v>5.8</v>
      </c>
      <c r="T5285" s="351">
        <v>4.9569999999999999</v>
      </c>
      <c r="U5285" s="329" t="str">
        <f>IF($N5285=$N$4,IFERROR(INDEX(DanhMuc!$E$154:$E$165,MATCH(MID($B5285,4,2),DanhMuc!$B$154:$B$165,0)),""),"")</f>
        <v/>
      </c>
      <c r="V5285" s="361"/>
      <c r="W5285" s="345"/>
      <c r="X5285" s="786"/>
      <c r="Y5285" s="1128" t="s">
        <v>3380</v>
      </c>
      <c r="Z5285" s="1128" t="s">
        <v>3381</v>
      </c>
      <c r="AA5285" s="1128" t="s">
        <v>3384</v>
      </c>
      <c r="AB5285" s="20"/>
      <c r="AC5285" s="73"/>
    </row>
    <row r="5286" spans="1:29">
      <c r="A5286" s="327" t="str">
        <f>IF(AND($B5286&lt;&gt;"",$C5286&lt;&gt;""),MAX($A$4730:$A5285)+1,"")</f>
        <v/>
      </c>
      <c r="B5286" s="361" t="s">
        <v>1821</v>
      </c>
      <c r="C5286" s="360"/>
      <c r="D5286" s="327">
        <f>IF($B5286="","",COUNTIF($B$4731:$B5286,$B5286))</f>
        <v>2</v>
      </c>
      <c r="E5286" s="402" t="s">
        <v>2788</v>
      </c>
      <c r="F5286" s="403" t="s">
        <v>2789</v>
      </c>
      <c r="G5286" s="327" t="s">
        <v>155</v>
      </c>
      <c r="H5286" s="361" t="s">
        <v>536</v>
      </c>
      <c r="I5286" s="327">
        <f>4*I5285</f>
        <v>8</v>
      </c>
      <c r="J5286" s="361"/>
      <c r="K5286" s="327" t="s">
        <v>100</v>
      </c>
      <c r="L5286" s="389">
        <v>600</v>
      </c>
      <c r="M5286" s="355"/>
      <c r="N5286" s="355" t="s">
        <v>2408</v>
      </c>
      <c r="O5286" s="345" t="s">
        <v>2776</v>
      </c>
      <c r="P5286" s="325"/>
      <c r="Q5286" s="327"/>
      <c r="R5286" s="351"/>
      <c r="S5286" s="351"/>
      <c r="T5286" s="351"/>
      <c r="U5286" s="329" t="str">
        <f>IF($N5286=$N$4,IFERROR(INDEX(DanhMuc!$E$154:$E$165,MATCH(MID($B5286,4,2),DanhMuc!$B$154:$B$165,0)),""),"")</f>
        <v/>
      </c>
      <c r="V5286" s="361"/>
      <c r="W5286" s="345"/>
      <c r="X5286" s="786"/>
      <c r="Y5286" s="1128" t="s">
        <v>3380</v>
      </c>
      <c r="Z5286" s="1128" t="s">
        <v>3381</v>
      </c>
      <c r="AA5286" s="1128" t="s">
        <v>3384</v>
      </c>
      <c r="AB5286" s="20"/>
      <c r="AC5286" s="73"/>
    </row>
    <row r="5287" spans="1:29">
      <c r="A5287" s="327" t="str">
        <f>IF(AND($B5287&lt;&gt;"",$C5287&lt;&gt;""),MAX($A$4730:$A5285)+1,"")</f>
        <v/>
      </c>
      <c r="B5287" s="361" t="s">
        <v>1821</v>
      </c>
      <c r="C5287" s="360"/>
      <c r="D5287" s="327">
        <f>IF($B5287="","",COUNTIF($B$4731:$B5287,$B5287))</f>
        <v>3</v>
      </c>
      <c r="E5287" s="361" t="s">
        <v>652</v>
      </c>
      <c r="F5287" s="362" t="s">
        <v>2330</v>
      </c>
      <c r="G5287" s="327" t="s">
        <v>155</v>
      </c>
      <c r="H5287" s="361" t="s">
        <v>536</v>
      </c>
      <c r="I5287" s="327">
        <v>2</v>
      </c>
      <c r="J5287" s="361"/>
      <c r="K5287" s="327" t="s">
        <v>100</v>
      </c>
      <c r="L5287" s="389">
        <v>15000</v>
      </c>
      <c r="M5287" s="355"/>
      <c r="N5287" s="355" t="s">
        <v>2408</v>
      </c>
      <c r="O5287" s="345" t="s">
        <v>2777</v>
      </c>
      <c r="P5287" s="325"/>
      <c r="Q5287" s="327"/>
      <c r="R5287" s="351">
        <v>4</v>
      </c>
      <c r="S5287" s="351">
        <v>5.8</v>
      </c>
      <c r="T5287" s="351">
        <v>4.9569999999999999</v>
      </c>
      <c r="U5287" s="329" t="str">
        <f>IF($N5287=$N$4,IFERROR(INDEX(DanhMuc!$E$154:$E$165,MATCH(MID($B5287,4,2),DanhMuc!$B$154:$B$165,0)),""),"")</f>
        <v/>
      </c>
      <c r="V5287" s="361"/>
      <c r="W5287" s="345"/>
      <c r="X5287" s="786"/>
      <c r="Y5287" s="1128" t="s">
        <v>3380</v>
      </c>
      <c r="Z5287" s="1128" t="s">
        <v>3381</v>
      </c>
      <c r="AA5287" s="1128" t="s">
        <v>3384</v>
      </c>
      <c r="AB5287" s="20"/>
      <c r="AC5287" s="73"/>
    </row>
    <row r="5288" spans="1:29">
      <c r="A5288" s="327" t="str">
        <f>IF(AND($B5288&lt;&gt;"",$C5288&lt;&gt;""),MAX($A$4730:$A5285)+1,"")</f>
        <v/>
      </c>
      <c r="B5288" s="361" t="s">
        <v>1821</v>
      </c>
      <c r="C5288" s="362"/>
      <c r="D5288" s="327">
        <f>IF($B5288="","",COUNTIF($B$4731:$B5288,$B5288))</f>
        <v>4</v>
      </c>
      <c r="E5288" s="402" t="s">
        <v>2301</v>
      </c>
      <c r="F5288" s="403" t="s">
        <v>2333</v>
      </c>
      <c r="G5288" s="327" t="s">
        <v>155</v>
      </c>
      <c r="H5288" s="361" t="s">
        <v>536</v>
      </c>
      <c r="I5288" s="327">
        <v>4</v>
      </c>
      <c r="J5288" s="361"/>
      <c r="K5288" s="327" t="s">
        <v>101</v>
      </c>
      <c r="L5288" s="389">
        <v>9400</v>
      </c>
      <c r="M5288" s="355"/>
      <c r="N5288" s="355" t="s">
        <v>2408</v>
      </c>
      <c r="O5288" s="345" t="s">
        <v>2778</v>
      </c>
      <c r="P5288" s="325"/>
      <c r="Q5288" s="327"/>
      <c r="R5288" s="351">
        <v>4</v>
      </c>
      <c r="S5288" s="351">
        <v>5.8</v>
      </c>
      <c r="T5288" s="351">
        <v>4.9569999999999999</v>
      </c>
      <c r="U5288" s="329" t="str">
        <f>IF($N5288=$N$4,IFERROR(INDEX(DanhMuc!$E$154:$E$165,MATCH(MID($B5288,4,2),DanhMuc!$B$154:$B$165,0)),""),"")</f>
        <v/>
      </c>
      <c r="V5288" s="361"/>
      <c r="W5288" s="345"/>
      <c r="X5288" s="786"/>
      <c r="Y5288" s="1128" t="s">
        <v>3380</v>
      </c>
      <c r="Z5288" s="1128" t="s">
        <v>3381</v>
      </c>
      <c r="AA5288" s="1128" t="s">
        <v>3384</v>
      </c>
      <c r="AB5288" s="20"/>
      <c r="AC5288" s="73"/>
    </row>
    <row r="5289" spans="1:29">
      <c r="A5289" s="327" t="str">
        <f>IF(AND($B5289&lt;&gt;"",$C5289&lt;&gt;""),MAX($A$4730:$A5288)+1,"")</f>
        <v/>
      </c>
      <c r="B5289" s="361" t="s">
        <v>1821</v>
      </c>
      <c r="C5289" s="360"/>
      <c r="D5289" s="327">
        <f>IF($B5289="","",COUNTIF($B$4731:$B5289,$B5289))</f>
        <v>5</v>
      </c>
      <c r="E5289" s="402" t="s">
        <v>2788</v>
      </c>
      <c r="F5289" s="403" t="s">
        <v>2789</v>
      </c>
      <c r="G5289" s="327" t="s">
        <v>155</v>
      </c>
      <c r="H5289" s="361" t="s">
        <v>536</v>
      </c>
      <c r="I5289" s="327">
        <f>4*I5288</f>
        <v>16</v>
      </c>
      <c r="J5289" s="361"/>
      <c r="K5289" s="327" t="s">
        <v>100</v>
      </c>
      <c r="L5289" s="389">
        <v>600</v>
      </c>
      <c r="M5289" s="355"/>
      <c r="N5289" s="355" t="s">
        <v>2408</v>
      </c>
      <c r="O5289" s="345" t="s">
        <v>2778</v>
      </c>
      <c r="P5289" s="325"/>
      <c r="Q5289" s="327"/>
      <c r="R5289" s="351"/>
      <c r="S5289" s="351"/>
      <c r="T5289" s="351"/>
      <c r="U5289" s="329" t="str">
        <f>IF($N5289=$N$4,IFERROR(INDEX(DanhMuc!$E$154:$E$165,MATCH(MID($B5289,4,2),DanhMuc!$B$154:$B$165,0)),""),"")</f>
        <v/>
      </c>
      <c r="V5289" s="361"/>
      <c r="W5289" s="345"/>
      <c r="X5289" s="786"/>
      <c r="Y5289" s="1128" t="s">
        <v>3380</v>
      </c>
      <c r="Z5289" s="1128" t="s">
        <v>3381</v>
      </c>
      <c r="AA5289" s="1128" t="s">
        <v>3384</v>
      </c>
      <c r="AB5289" s="20"/>
      <c r="AC5289" s="73"/>
    </row>
    <row r="5290" spans="1:29">
      <c r="A5290" s="327" t="str">
        <f>IF(AND($B5290&lt;&gt;"",$C5290&lt;&gt;""),MAX($A$4730:$A5287)+1,"")</f>
        <v/>
      </c>
      <c r="B5290" s="361" t="s">
        <v>1821</v>
      </c>
      <c r="C5290" s="362"/>
      <c r="D5290" s="327">
        <f>IF($B5290="","",COUNTIF($B$4731:$B5290,$B5290))</f>
        <v>6</v>
      </c>
      <c r="E5290" s="361" t="s">
        <v>652</v>
      </c>
      <c r="F5290" s="362" t="s">
        <v>2330</v>
      </c>
      <c r="G5290" s="327" t="s">
        <v>155</v>
      </c>
      <c r="H5290" s="361" t="s">
        <v>536</v>
      </c>
      <c r="I5290" s="327">
        <v>4</v>
      </c>
      <c r="J5290" s="361"/>
      <c r="K5290" s="327" t="s">
        <v>101</v>
      </c>
      <c r="L5290" s="389">
        <v>15000</v>
      </c>
      <c r="M5290" s="355"/>
      <c r="N5290" s="355" t="s">
        <v>2408</v>
      </c>
      <c r="O5290" s="345" t="s">
        <v>2779</v>
      </c>
      <c r="P5290" s="325"/>
      <c r="Q5290" s="327"/>
      <c r="R5290" s="351">
        <v>4</v>
      </c>
      <c r="S5290" s="351">
        <v>5.8</v>
      </c>
      <c r="T5290" s="351">
        <v>4.9569999999999999</v>
      </c>
      <c r="U5290" s="329" t="str">
        <f>IF($N5290=$N$4,IFERROR(INDEX(DanhMuc!$E$154:$E$165,MATCH(MID($B5290,4,2),DanhMuc!$B$154:$B$165,0)),""),"")</f>
        <v/>
      </c>
      <c r="V5290" s="361"/>
      <c r="W5290" s="345"/>
      <c r="X5290" s="786"/>
      <c r="Y5290" s="1128" t="s">
        <v>3380</v>
      </c>
      <c r="Z5290" s="1128" t="s">
        <v>3381</v>
      </c>
      <c r="AA5290" s="1128" t="s">
        <v>3384</v>
      </c>
      <c r="AB5290" s="20"/>
      <c r="AC5290" s="73"/>
    </row>
    <row r="5291" spans="1:29">
      <c r="A5291" s="327" t="str">
        <f>IF(AND($B5291&lt;&gt;"",$C5291&lt;&gt;""),MAX($A$4730:$A5288)+1,"")</f>
        <v/>
      </c>
      <c r="B5291" s="361" t="s">
        <v>1821</v>
      </c>
      <c r="C5291" s="362"/>
      <c r="D5291" s="327">
        <f>IF($B5291="","",COUNTIF($B$4731:$B5291,$B5291))</f>
        <v>7</v>
      </c>
      <c r="E5291" s="361" t="s">
        <v>414</v>
      </c>
      <c r="F5291" s="362" t="s">
        <v>413</v>
      </c>
      <c r="G5291" s="327" t="s">
        <v>155</v>
      </c>
      <c r="H5291" s="361" t="s">
        <v>536</v>
      </c>
      <c r="I5291" s="327">
        <f>+I5285+I5288*2</f>
        <v>10</v>
      </c>
      <c r="J5291" s="361"/>
      <c r="K5291" s="327" t="s">
        <v>558</v>
      </c>
      <c r="L5291" s="389">
        <v>408</v>
      </c>
      <c r="M5291" s="355"/>
      <c r="N5291" s="355" t="s">
        <v>2408</v>
      </c>
      <c r="O5291" s="345"/>
      <c r="P5291" s="325"/>
      <c r="Q5291" s="327"/>
      <c r="R5291" s="351"/>
      <c r="S5291" s="351"/>
      <c r="T5291" s="351"/>
      <c r="U5291" s="329" t="str">
        <f>IF($N5291=$N$4,IFERROR(INDEX(DanhMuc!$E$154:$E$165,MATCH(MID($B5291,4,2),DanhMuc!$B$154:$B$165,0)),""),"")</f>
        <v/>
      </c>
      <c r="V5291" s="361"/>
      <c r="W5291" s="345"/>
      <c r="X5291" s="786"/>
      <c r="Y5291" s="1128" t="s">
        <v>3380</v>
      </c>
      <c r="Z5291" s="1128" t="s">
        <v>3381</v>
      </c>
      <c r="AA5291" s="1128" t="s">
        <v>3384</v>
      </c>
      <c r="AB5291" s="20"/>
      <c r="AC5291" s="73"/>
    </row>
    <row r="5292" spans="1:29">
      <c r="A5292" s="327" t="str">
        <f>IF(AND($B5292&lt;&gt;"",$C5292&lt;&gt;""),MAX($A$4730:$A5291)+1,"")</f>
        <v/>
      </c>
      <c r="B5292" s="361" t="s">
        <v>1821</v>
      </c>
      <c r="C5292" s="362"/>
      <c r="D5292" s="327">
        <f>IF($B5292="","",COUNTIF($B$4731:$B5292,$B5292))</f>
        <v>8</v>
      </c>
      <c r="E5292" s="361" t="s">
        <v>1826</v>
      </c>
      <c r="F5292" s="362" t="s">
        <v>670</v>
      </c>
      <c r="G5292" s="327" t="s">
        <v>661</v>
      </c>
      <c r="H5292" s="361" t="s">
        <v>536</v>
      </c>
      <c r="I5292" s="361" t="s">
        <v>2354</v>
      </c>
      <c r="J5292" s="361"/>
      <c r="K5292" s="327" t="s">
        <v>103</v>
      </c>
      <c r="L5292" s="478">
        <f>40000/1000</f>
        <v>40</v>
      </c>
      <c r="M5292" s="355"/>
      <c r="N5292" s="355" t="s">
        <v>2408</v>
      </c>
      <c r="O5292" s="345"/>
      <c r="P5292" s="325"/>
      <c r="Q5292" s="327"/>
      <c r="R5292" s="351"/>
      <c r="S5292" s="351"/>
      <c r="T5292" s="351"/>
      <c r="U5292" s="329" t="str">
        <f>IF($N5292=$N$4,IFERROR(INDEX(DanhMuc!$E$154:$E$165,MATCH(MID($B5292,4,2),DanhMuc!$B$154:$B$165,0)),""),"")</f>
        <v/>
      </c>
      <c r="V5292" s="361" t="s">
        <v>1445</v>
      </c>
      <c r="W5292" s="345"/>
      <c r="X5292" s="786"/>
      <c r="Y5292" s="1128" t="s">
        <v>3380</v>
      </c>
      <c r="Z5292" s="1128" t="s">
        <v>3381</v>
      </c>
      <c r="AA5292" s="1128" t="s">
        <v>3384</v>
      </c>
      <c r="AB5292" s="20"/>
      <c r="AC5292" s="73"/>
    </row>
    <row r="5293" spans="1:29" ht="37.5">
      <c r="A5293" s="327" t="str">
        <f>IF(AND($B5293&lt;&gt;"",$C5293&lt;&gt;""),MAX($A$4730:$A5292)+1,"")</f>
        <v/>
      </c>
      <c r="B5293" s="361" t="s">
        <v>1821</v>
      </c>
      <c r="C5293" s="362"/>
      <c r="D5293" s="327">
        <f>IF($B5293="","",COUNTIF($B$4731:$B5293,$B5293))</f>
        <v>9</v>
      </c>
      <c r="E5293" s="362" t="s">
        <v>1964</v>
      </c>
      <c r="F5293" s="362" t="s">
        <v>1965</v>
      </c>
      <c r="G5293" s="327" t="s">
        <v>405</v>
      </c>
      <c r="H5293" s="361" t="s">
        <v>536</v>
      </c>
      <c r="I5293" s="361" t="s">
        <v>693</v>
      </c>
      <c r="J5293" s="361"/>
      <c r="K5293" s="327" t="s">
        <v>223</v>
      </c>
      <c r="L5293" s="478">
        <v>140</v>
      </c>
      <c r="M5293" s="371"/>
      <c r="N5293" s="355" t="s">
        <v>2408</v>
      </c>
      <c r="O5293" s="345"/>
      <c r="P5293" s="325"/>
      <c r="Q5293" s="327"/>
      <c r="R5293" s="351"/>
      <c r="S5293" s="351"/>
      <c r="T5293" s="351"/>
      <c r="U5293" s="329" t="str">
        <f>IF($N5293=$N$4,IFERROR(INDEX(DanhMuc!$E$154:$E$165,MATCH(MID($B5293,4,2),DanhMuc!$B$154:$B$165,0)),""),"")</f>
        <v/>
      </c>
      <c r="V5293" s="361"/>
      <c r="W5293" s="345"/>
      <c r="X5293" s="786"/>
      <c r="Y5293" s="1128" t="s">
        <v>3380</v>
      </c>
      <c r="Z5293" s="1128" t="s">
        <v>3381</v>
      </c>
      <c r="AA5293" s="1128" t="s">
        <v>3384</v>
      </c>
      <c r="AB5293" s="20"/>
      <c r="AC5293" s="73"/>
    </row>
    <row r="5294" spans="1:29" ht="37.5">
      <c r="A5294" s="327" t="str">
        <f>IF(AND($B5294&lt;&gt;"",$C5294&lt;&gt;""),MAX($A$4730:$A5293)+1,"")</f>
        <v/>
      </c>
      <c r="B5294" s="361" t="s">
        <v>1821</v>
      </c>
      <c r="C5294" s="362"/>
      <c r="D5294" s="327">
        <f>IF($B5294="","",COUNTIF($B$4731:$B5294,$B5294))</f>
        <v>10</v>
      </c>
      <c r="E5294" s="362" t="s">
        <v>2756</v>
      </c>
      <c r="F5294" s="362" t="s">
        <v>2757</v>
      </c>
      <c r="G5294" s="327" t="s">
        <v>405</v>
      </c>
      <c r="H5294" s="361" t="s">
        <v>536</v>
      </c>
      <c r="I5294" s="361" t="s">
        <v>693</v>
      </c>
      <c r="J5294" s="361"/>
      <c r="K5294" s="327" t="s">
        <v>223</v>
      </c>
      <c r="L5294" s="479">
        <v>322</v>
      </c>
      <c r="M5294" s="371"/>
      <c r="N5294" s="355" t="s">
        <v>2408</v>
      </c>
      <c r="O5294" s="345"/>
      <c r="P5294" s="325"/>
      <c r="Q5294" s="327"/>
      <c r="R5294" s="351"/>
      <c r="S5294" s="351"/>
      <c r="T5294" s="351"/>
      <c r="U5294" s="329" t="str">
        <f>IF($N5294=$N$4,IFERROR(INDEX(DanhMuc!$E$154:$E$165,MATCH(MID($B5294,4,2),DanhMuc!$B$154:$B$165,0)),""),"")</f>
        <v/>
      </c>
      <c r="V5294" s="361"/>
      <c r="W5294" s="345"/>
      <c r="X5294" s="786"/>
      <c r="Y5294" s="1128" t="s">
        <v>3380</v>
      </c>
      <c r="Z5294" s="1128" t="s">
        <v>3381</v>
      </c>
      <c r="AA5294" s="1128" t="s">
        <v>3384</v>
      </c>
      <c r="AB5294" s="20"/>
      <c r="AC5294" s="73"/>
    </row>
    <row r="5295" spans="1:29">
      <c r="A5295" s="327" t="str">
        <f>IF(AND($B5295&lt;&gt;"",$C5295&lt;&gt;""),MAX($A$4730:$A5294)+1,"")</f>
        <v/>
      </c>
      <c r="B5295" s="361" t="s">
        <v>1821</v>
      </c>
      <c r="C5295" s="362"/>
      <c r="D5295" s="327">
        <f>IF($B5295="","",COUNTIF($B$4731:$B5295,$B5295))</f>
        <v>11</v>
      </c>
      <c r="E5295" s="361" t="s">
        <v>656</v>
      </c>
      <c r="F5295" s="362" t="s">
        <v>2239</v>
      </c>
      <c r="G5295" s="327" t="s">
        <v>405</v>
      </c>
      <c r="H5295" s="361" t="s">
        <v>536</v>
      </c>
      <c r="I5295" s="361" t="s">
        <v>1827</v>
      </c>
      <c r="J5295" s="361"/>
      <c r="K5295" s="327" t="s">
        <v>100</v>
      </c>
      <c r="L5295" s="478">
        <v>970</v>
      </c>
      <c r="M5295" s="371"/>
      <c r="N5295" s="355" t="s">
        <v>2409</v>
      </c>
      <c r="O5295" s="345"/>
      <c r="P5295" s="325"/>
      <c r="Q5295" s="327"/>
      <c r="R5295" s="351"/>
      <c r="S5295" s="351"/>
      <c r="T5295" s="351"/>
      <c r="U5295" s="329" t="str">
        <f>IF($N5295=$N$4,IFERROR(INDEX(DanhMuc!$E$154:$E$165,MATCH(MID($B5295,4,2),DanhMuc!$B$154:$B$165,0)),""),"")</f>
        <v/>
      </c>
      <c r="V5295" s="361"/>
      <c r="W5295" s="345"/>
      <c r="X5295" s="786"/>
      <c r="Y5295" s="1128" t="s">
        <v>3380</v>
      </c>
      <c r="Z5295" s="1128" t="s">
        <v>3381</v>
      </c>
      <c r="AA5295" s="1128" t="s">
        <v>3384</v>
      </c>
      <c r="AB5295" s="20"/>
      <c r="AC5295" s="73"/>
    </row>
    <row r="5296" spans="1:29">
      <c r="A5296" s="327" t="str">
        <f>IF(AND($B5296&lt;&gt;"",$C5296&lt;&gt;""),MAX($A$4730:$A5295)+1,"")</f>
        <v/>
      </c>
      <c r="B5296" s="361" t="s">
        <v>1821</v>
      </c>
      <c r="C5296" s="362"/>
      <c r="D5296" s="327">
        <f>IF($B5296="","",COUNTIF($B$4731:$B5296,$B5296))</f>
        <v>12</v>
      </c>
      <c r="E5296" s="361" t="s">
        <v>657</v>
      </c>
      <c r="F5296" s="362" t="s">
        <v>658</v>
      </c>
      <c r="G5296" s="327" t="s">
        <v>424</v>
      </c>
      <c r="H5296" s="361" t="s">
        <v>536</v>
      </c>
      <c r="I5296" s="361" t="s">
        <v>665</v>
      </c>
      <c r="J5296" s="361"/>
      <c r="K5296" s="327" t="s">
        <v>100</v>
      </c>
      <c r="L5296" s="478">
        <v>60000</v>
      </c>
      <c r="M5296" s="355"/>
      <c r="N5296" s="355" t="s">
        <v>2409</v>
      </c>
      <c r="O5296" s="345"/>
      <c r="P5296" s="325"/>
      <c r="Q5296" s="327"/>
      <c r="R5296" s="351"/>
      <c r="S5296" s="351"/>
      <c r="T5296" s="351"/>
      <c r="U5296" s="329" t="str">
        <f>IF($N5296=$N$4,IFERROR(INDEX(DanhMuc!$E$154:$E$165,MATCH(MID($B5296,4,2),DanhMuc!$B$154:$B$165,0)),""),"")</f>
        <v/>
      </c>
      <c r="V5296" s="361"/>
      <c r="W5296" s="345"/>
      <c r="X5296" s="786"/>
      <c r="Y5296" s="1128" t="s">
        <v>3380</v>
      </c>
      <c r="Z5296" s="1128" t="s">
        <v>3381</v>
      </c>
      <c r="AA5296" s="1128" t="s">
        <v>3384</v>
      </c>
      <c r="AB5296" s="20"/>
      <c r="AC5296" s="73"/>
    </row>
    <row r="5297" spans="1:29">
      <c r="A5297" s="327" t="str">
        <f>IF(AND($B5297&lt;&gt;"",$C5297&lt;&gt;""),MAX($A$4730:$A5296)+1,"")</f>
        <v/>
      </c>
      <c r="B5297" s="361" t="s">
        <v>1821</v>
      </c>
      <c r="C5297" s="362"/>
      <c r="D5297" s="327">
        <f>IF($B5297="","",COUNTIF($B$4731:$B5297,$B5297))</f>
        <v>13</v>
      </c>
      <c r="E5297" s="361" t="s">
        <v>2771</v>
      </c>
      <c r="F5297" s="362" t="s">
        <v>659</v>
      </c>
      <c r="G5297" s="327" t="s">
        <v>424</v>
      </c>
      <c r="H5297" s="361" t="s">
        <v>536</v>
      </c>
      <c r="I5297" s="361" t="s">
        <v>666</v>
      </c>
      <c r="J5297" s="361"/>
      <c r="K5297" s="327" t="s">
        <v>100</v>
      </c>
      <c r="L5297" s="389">
        <v>53000</v>
      </c>
      <c r="M5297" s="355"/>
      <c r="N5297" s="355" t="s">
        <v>2409</v>
      </c>
      <c r="O5297" s="345"/>
      <c r="P5297" s="325"/>
      <c r="Q5297" s="327"/>
      <c r="R5297" s="351"/>
      <c r="S5297" s="351"/>
      <c r="T5297" s="351"/>
      <c r="U5297" s="329" t="str">
        <f>IF($N5297=$N$4,IFERROR(INDEX(DanhMuc!$E$154:$E$165,MATCH(MID($B5297,4,2),DanhMuc!$B$154:$B$165,0)),""),"")</f>
        <v/>
      </c>
      <c r="V5297" s="361"/>
      <c r="W5297" s="345"/>
      <c r="X5297" s="786"/>
      <c r="Y5297" s="1128" t="s">
        <v>3380</v>
      </c>
      <c r="Z5297" s="1128" t="s">
        <v>3381</v>
      </c>
      <c r="AA5297" s="1128" t="s">
        <v>3384</v>
      </c>
      <c r="AB5297" s="20"/>
      <c r="AC5297" s="73"/>
    </row>
    <row r="5298" spans="1:29">
      <c r="A5298" s="327" t="str">
        <f>IF(AND($B5298&lt;&gt;"",$C5298&lt;&gt;""),MAX($A$4730:$A5297)+1,"")</f>
        <v/>
      </c>
      <c r="B5298" s="361" t="s">
        <v>1821</v>
      </c>
      <c r="C5298" s="362"/>
      <c r="D5298" s="327">
        <f>IF($B5298="","",COUNTIF($B$4731:$B5298,$B5298))</f>
        <v>14</v>
      </c>
      <c r="E5298" s="361" t="s">
        <v>1828</v>
      </c>
      <c r="F5298" s="362" t="s">
        <v>671</v>
      </c>
      <c r="G5298" s="327" t="s">
        <v>661</v>
      </c>
      <c r="H5298" s="361" t="s">
        <v>536</v>
      </c>
      <c r="I5298" s="361" t="s">
        <v>2355</v>
      </c>
      <c r="J5298" s="361"/>
      <c r="K5298" s="327" t="s">
        <v>100</v>
      </c>
      <c r="L5298" s="478">
        <f>40000/1000</f>
        <v>40</v>
      </c>
      <c r="M5298" s="355"/>
      <c r="N5298" s="355" t="s">
        <v>2409</v>
      </c>
      <c r="O5298" s="345"/>
      <c r="P5298" s="325"/>
      <c r="Q5298" s="327"/>
      <c r="R5298" s="351"/>
      <c r="S5298" s="351"/>
      <c r="T5298" s="351"/>
      <c r="U5298" s="329" t="str">
        <f>IF($N5298=$N$4,IFERROR(INDEX(DanhMuc!$E$154:$E$165,MATCH(MID($B5298,4,2),DanhMuc!$B$154:$B$165,0)),""),"")</f>
        <v/>
      </c>
      <c r="V5298" s="361" t="s">
        <v>1445</v>
      </c>
      <c r="W5298" s="345"/>
      <c r="X5298" s="786"/>
      <c r="Y5298" s="1128" t="s">
        <v>3380</v>
      </c>
      <c r="Z5298" s="1128" t="s">
        <v>3381</v>
      </c>
      <c r="AA5298" s="1128" t="s">
        <v>3384</v>
      </c>
      <c r="AB5298" s="20"/>
      <c r="AC5298" s="73"/>
    </row>
    <row r="5299" spans="1:29">
      <c r="A5299" s="327" t="str">
        <f>IF(AND($B5299&lt;&gt;"",$C5299&lt;&gt;""),MAX($A$4730:$A5298)+1,"")</f>
        <v/>
      </c>
      <c r="B5299" s="361" t="s">
        <v>1821</v>
      </c>
      <c r="C5299" s="362"/>
      <c r="D5299" s="327">
        <f>IF($B5299="","",COUNTIF($B$4731:$B5299,$B5299))</f>
        <v>15</v>
      </c>
      <c r="E5299" s="361" t="s">
        <v>154</v>
      </c>
      <c r="F5299" s="362" t="s">
        <v>660</v>
      </c>
      <c r="G5299" s="327" t="s">
        <v>661</v>
      </c>
      <c r="H5299" s="361" t="s">
        <v>536</v>
      </c>
      <c r="I5299" s="361" t="s">
        <v>667</v>
      </c>
      <c r="J5299" s="361"/>
      <c r="K5299" s="327" t="s">
        <v>662</v>
      </c>
      <c r="L5299" s="478">
        <v>20</v>
      </c>
      <c r="M5299" s="355"/>
      <c r="N5299" s="355" t="s">
        <v>2409</v>
      </c>
      <c r="O5299" s="345"/>
      <c r="P5299" s="325"/>
      <c r="Q5299" s="327"/>
      <c r="R5299" s="351"/>
      <c r="S5299" s="351"/>
      <c r="T5299" s="351"/>
      <c r="U5299" s="329" t="str">
        <f>IF($N5299=$N$4,IFERROR(INDEX(DanhMuc!$E$154:$E$165,MATCH(MID($B5299,4,2),DanhMuc!$B$154:$B$165,0)),""),"")</f>
        <v/>
      </c>
      <c r="V5299" s="361"/>
      <c r="W5299" s="345"/>
      <c r="X5299" s="786"/>
      <c r="Y5299" s="1128" t="s">
        <v>3380</v>
      </c>
      <c r="Z5299" s="1128" t="s">
        <v>3381</v>
      </c>
      <c r="AA5299" s="1128" t="s">
        <v>3384</v>
      </c>
      <c r="AB5299" s="20"/>
      <c r="AC5299" s="73"/>
    </row>
    <row r="5300" spans="1:29">
      <c r="A5300" s="327" t="str">
        <f>IF(AND($B5300&lt;&gt;"",$C5300&lt;&gt;""),MAX($A$4730:$A5299)+1,"")</f>
        <v/>
      </c>
      <c r="B5300" s="361" t="s">
        <v>1821</v>
      </c>
      <c r="C5300" s="362"/>
      <c r="D5300" s="327">
        <f>IF($B5300="","",COUNTIF($B$4731:$B5300,$B5300))</f>
        <v>16</v>
      </c>
      <c r="E5300" s="362" t="s">
        <v>2282</v>
      </c>
      <c r="F5300" s="362" t="s">
        <v>2283</v>
      </c>
      <c r="G5300" s="327" t="s">
        <v>424</v>
      </c>
      <c r="H5300" s="361" t="s">
        <v>536</v>
      </c>
      <c r="I5300" s="361" t="s">
        <v>2238</v>
      </c>
      <c r="J5300" s="361"/>
      <c r="K5300" s="327" t="s">
        <v>662</v>
      </c>
      <c r="L5300" s="478">
        <v>28000</v>
      </c>
      <c r="M5300" s="355"/>
      <c r="N5300" s="355" t="s">
        <v>2409</v>
      </c>
      <c r="O5300" s="345"/>
      <c r="P5300" s="325"/>
      <c r="Q5300" s="327"/>
      <c r="R5300" s="351"/>
      <c r="S5300" s="351"/>
      <c r="T5300" s="351"/>
      <c r="U5300" s="329" t="str">
        <f>IF($N5300=$N$4,IFERROR(INDEX(DanhMuc!$E$154:$E$165,MATCH(MID($B5300,4,2),DanhMuc!$B$154:$B$165,0)),""),"")</f>
        <v/>
      </c>
      <c r="V5300" s="361"/>
      <c r="W5300" s="345"/>
      <c r="X5300" s="786"/>
      <c r="Y5300" s="1128" t="s">
        <v>3380</v>
      </c>
      <c r="Z5300" s="1128" t="s">
        <v>3381</v>
      </c>
      <c r="AA5300" s="1128" t="s">
        <v>3384</v>
      </c>
      <c r="AB5300" s="20"/>
      <c r="AC5300" s="73"/>
    </row>
    <row r="5301" spans="1:29">
      <c r="A5301" s="327" t="str">
        <f>IF(AND($B5301&lt;&gt;"",$C5301&lt;&gt;""),MAX($A$4730:$A5300)+1,"")</f>
        <v/>
      </c>
      <c r="B5301" s="361" t="s">
        <v>1821</v>
      </c>
      <c r="C5301" s="362"/>
      <c r="D5301" s="327">
        <f>IF($B5301="","",COUNTIF($B$4731:$B5301,$B5301))</f>
        <v>17</v>
      </c>
      <c r="E5301" s="362" t="s">
        <v>663</v>
      </c>
      <c r="F5301" s="362" t="s">
        <v>664</v>
      </c>
      <c r="G5301" s="327" t="s">
        <v>155</v>
      </c>
      <c r="H5301" s="361" t="s">
        <v>536</v>
      </c>
      <c r="I5301" s="361" t="s">
        <v>672</v>
      </c>
      <c r="J5301" s="361"/>
      <c r="K5301" s="327" t="s">
        <v>662</v>
      </c>
      <c r="L5301" s="478">
        <v>1000</v>
      </c>
      <c r="M5301" s="355"/>
      <c r="N5301" s="355" t="s">
        <v>2409</v>
      </c>
      <c r="O5301" s="345"/>
      <c r="P5301" s="325"/>
      <c r="Q5301" s="327"/>
      <c r="R5301" s="351"/>
      <c r="S5301" s="351"/>
      <c r="T5301" s="351"/>
      <c r="U5301" s="329" t="str">
        <f>IF($N5301=$N$4,IFERROR(INDEX(DanhMuc!$E$154:$E$165,MATCH(MID($B5301,4,2),DanhMuc!$B$154:$B$165,0)),""),"")</f>
        <v/>
      </c>
      <c r="V5301" s="361"/>
      <c r="W5301" s="345"/>
      <c r="X5301" s="786"/>
      <c r="Y5301" s="1128" t="s">
        <v>3380</v>
      </c>
      <c r="Z5301" s="1128" t="s">
        <v>3381</v>
      </c>
      <c r="AA5301" s="1128" t="s">
        <v>3384</v>
      </c>
      <c r="AB5301" s="20"/>
      <c r="AC5301" s="73"/>
    </row>
    <row r="5302" spans="1:29" ht="39">
      <c r="A5302" s="327">
        <f>IF(AND($B5302&lt;&gt;"",$C5302&lt;&gt;""),MAX($A$4730:$A5291)+1,"")</f>
        <v>21</v>
      </c>
      <c r="B5302" s="359" t="s">
        <v>1849</v>
      </c>
      <c r="C5302" s="360" t="s">
        <v>1876</v>
      </c>
      <c r="D5302" s="327">
        <f>IF($B5302="","",COUNTIF($B$4731:$B5302,$B5302))</f>
        <v>1</v>
      </c>
      <c r="E5302" s="402" t="s">
        <v>2301</v>
      </c>
      <c r="F5302" s="403" t="s">
        <v>2333</v>
      </c>
      <c r="G5302" s="327" t="s">
        <v>155</v>
      </c>
      <c r="H5302" s="361" t="s">
        <v>536</v>
      </c>
      <c r="I5302" s="327">
        <v>2</v>
      </c>
      <c r="J5302" s="361"/>
      <c r="K5302" s="327" t="s">
        <v>100</v>
      </c>
      <c r="L5302" s="389">
        <v>9400</v>
      </c>
      <c r="M5302" s="355"/>
      <c r="N5302" s="355" t="s">
        <v>2408</v>
      </c>
      <c r="O5302" s="345" t="s">
        <v>2776</v>
      </c>
      <c r="P5302" s="325"/>
      <c r="Q5302" s="327"/>
      <c r="R5302" s="351">
        <v>4</v>
      </c>
      <c r="S5302" s="351">
        <v>5.8</v>
      </c>
      <c r="T5302" s="351">
        <v>4.9569999999999999</v>
      </c>
      <c r="U5302" s="329" t="str">
        <f>IF($N5302=$N$4,IFERROR(INDEX(DanhMuc!$E$154:$E$165,MATCH(MID($B5302,4,2),DanhMuc!$B$154:$B$165,0)),""),"")</f>
        <v/>
      </c>
      <c r="V5302" s="361"/>
      <c r="W5302" s="345"/>
      <c r="X5302" s="786"/>
      <c r="Y5302" s="1128" t="s">
        <v>3380</v>
      </c>
      <c r="Z5302" s="1128" t="s">
        <v>3381</v>
      </c>
      <c r="AA5302" s="1128" t="s">
        <v>3384</v>
      </c>
      <c r="AB5302" s="20"/>
      <c r="AC5302" s="73"/>
    </row>
    <row r="5303" spans="1:29">
      <c r="A5303" s="327" t="str">
        <f>IF(AND($B5303&lt;&gt;"",$C5303&lt;&gt;""),MAX($A$4730:$A5302)+1,"")</f>
        <v/>
      </c>
      <c r="B5303" s="361" t="s">
        <v>1849</v>
      </c>
      <c r="C5303" s="362"/>
      <c r="D5303" s="327">
        <f>IF($B5303="","",COUNTIF($B$4731:$B5303,$B5303))</f>
        <v>2</v>
      </c>
      <c r="E5303" s="402" t="s">
        <v>2788</v>
      </c>
      <c r="F5303" s="403" t="s">
        <v>2789</v>
      </c>
      <c r="G5303" s="327" t="s">
        <v>155</v>
      </c>
      <c r="H5303" s="361" t="s">
        <v>536</v>
      </c>
      <c r="I5303" s="327">
        <f>4*I5302</f>
        <v>8</v>
      </c>
      <c r="J5303" s="361"/>
      <c r="K5303" s="327" t="s">
        <v>100</v>
      </c>
      <c r="L5303" s="389">
        <v>600</v>
      </c>
      <c r="M5303" s="355"/>
      <c r="N5303" s="355" t="s">
        <v>2408</v>
      </c>
      <c r="O5303" s="345" t="s">
        <v>2776</v>
      </c>
      <c r="P5303" s="325"/>
      <c r="Q5303" s="327"/>
      <c r="R5303" s="351">
        <v>4</v>
      </c>
      <c r="S5303" s="351">
        <v>5.8</v>
      </c>
      <c r="T5303" s="351">
        <v>4.9569999999999999</v>
      </c>
      <c r="U5303" s="329" t="str">
        <f>IF($N5303=$N$4,IFERROR(INDEX(DanhMuc!$E$154:$E$165,MATCH(MID($B5303,4,2),DanhMuc!$B$154:$B$165,0)),""),"")</f>
        <v/>
      </c>
      <c r="V5303" s="361"/>
      <c r="W5303" s="345"/>
      <c r="X5303" s="786"/>
      <c r="Y5303" s="1128" t="s">
        <v>3380</v>
      </c>
      <c r="Z5303" s="1128" t="s">
        <v>3381</v>
      </c>
      <c r="AA5303" s="1128" t="s">
        <v>3384</v>
      </c>
      <c r="AB5303" s="20"/>
      <c r="AC5303" s="73"/>
    </row>
    <row r="5304" spans="1:29">
      <c r="A5304" s="327" t="str">
        <f>IF(AND($B5304&lt;&gt;"",$C5304&lt;&gt;""),MAX($A$4730:$A5303)+1,"")</f>
        <v/>
      </c>
      <c r="B5304" s="361" t="s">
        <v>1849</v>
      </c>
      <c r="C5304" s="362"/>
      <c r="D5304" s="327">
        <f>IF($B5304="","",COUNTIF($B$4731:$B5304,$B5304))</f>
        <v>3</v>
      </c>
      <c r="E5304" s="361" t="s">
        <v>652</v>
      </c>
      <c r="F5304" s="362" t="s">
        <v>2330</v>
      </c>
      <c r="G5304" s="327" t="s">
        <v>155</v>
      </c>
      <c r="H5304" s="361" t="s">
        <v>536</v>
      </c>
      <c r="I5304" s="327">
        <v>2</v>
      </c>
      <c r="J5304" s="361"/>
      <c r="K5304" s="327" t="s">
        <v>100</v>
      </c>
      <c r="L5304" s="389">
        <v>15000</v>
      </c>
      <c r="M5304" s="355"/>
      <c r="N5304" s="355" t="s">
        <v>2408</v>
      </c>
      <c r="O5304" s="345" t="s">
        <v>2777</v>
      </c>
      <c r="P5304" s="325"/>
      <c r="Q5304" s="327"/>
      <c r="R5304" s="351">
        <v>4</v>
      </c>
      <c r="S5304" s="351">
        <v>5.8</v>
      </c>
      <c r="T5304" s="351">
        <v>4.9569999999999999</v>
      </c>
      <c r="U5304" s="329" t="str">
        <f>IF($N5304=$N$4,IFERROR(INDEX(DanhMuc!$E$154:$E$165,MATCH(MID($B5304,4,2),DanhMuc!$B$154:$B$165,0)),""),"")</f>
        <v/>
      </c>
      <c r="V5304" s="361"/>
      <c r="W5304" s="345"/>
      <c r="X5304" s="786"/>
      <c r="Y5304" s="1128" t="s">
        <v>3380</v>
      </c>
      <c r="Z5304" s="1128" t="s">
        <v>3381</v>
      </c>
      <c r="AA5304" s="1128" t="s">
        <v>3384</v>
      </c>
      <c r="AB5304" s="20"/>
      <c r="AC5304" s="73"/>
    </row>
    <row r="5305" spans="1:29">
      <c r="A5305" s="327" t="str">
        <f>IF(AND($B5305&lt;&gt;"",$C5305&lt;&gt;""),MAX($A$4730:$A5304)+1,"")</f>
        <v/>
      </c>
      <c r="B5305" s="361" t="s">
        <v>1849</v>
      </c>
      <c r="C5305" s="362"/>
      <c r="D5305" s="327">
        <f>IF($B5305="","",COUNTIF($B$4731:$B5305,$B5305))</f>
        <v>4</v>
      </c>
      <c r="E5305" s="402" t="s">
        <v>2301</v>
      </c>
      <c r="F5305" s="403" t="s">
        <v>2333</v>
      </c>
      <c r="G5305" s="327" t="s">
        <v>155</v>
      </c>
      <c r="H5305" s="361" t="s">
        <v>536</v>
      </c>
      <c r="I5305" s="327">
        <v>8</v>
      </c>
      <c r="J5305" s="361"/>
      <c r="K5305" s="327" t="s">
        <v>101</v>
      </c>
      <c r="L5305" s="389">
        <v>9400</v>
      </c>
      <c r="M5305" s="355"/>
      <c r="N5305" s="355" t="s">
        <v>2408</v>
      </c>
      <c r="O5305" s="345" t="s">
        <v>2778</v>
      </c>
      <c r="P5305" s="325"/>
      <c r="Q5305" s="327"/>
      <c r="R5305" s="351">
        <v>4</v>
      </c>
      <c r="S5305" s="351">
        <v>5.8</v>
      </c>
      <c r="T5305" s="351">
        <v>4.9569999999999999</v>
      </c>
      <c r="U5305" s="329" t="str">
        <f>IF($N5305=$N$4,IFERROR(INDEX(DanhMuc!$E$154:$E$165,MATCH(MID($B5305,4,2),DanhMuc!$B$154:$B$165,0)),""),"")</f>
        <v/>
      </c>
      <c r="V5305" s="361"/>
      <c r="W5305" s="345"/>
      <c r="X5305" s="786"/>
      <c r="Y5305" s="1128" t="s">
        <v>3380</v>
      </c>
      <c r="Z5305" s="1128" t="s">
        <v>3381</v>
      </c>
      <c r="AA5305" s="1128" t="s">
        <v>3384</v>
      </c>
      <c r="AB5305" s="20"/>
      <c r="AC5305" s="73"/>
    </row>
    <row r="5306" spans="1:29">
      <c r="A5306" s="327" t="str">
        <f>IF(AND($B5306&lt;&gt;"",$C5306&lt;&gt;""),MAX($A$4730:$A5305)+1,"")</f>
        <v/>
      </c>
      <c r="B5306" s="361" t="s">
        <v>1849</v>
      </c>
      <c r="C5306" s="362"/>
      <c r="D5306" s="327">
        <f>IF($B5306="","",COUNTIF($B$4731:$B5306,$B5306))</f>
        <v>5</v>
      </c>
      <c r="E5306" s="402" t="s">
        <v>2788</v>
      </c>
      <c r="F5306" s="403" t="s">
        <v>2789</v>
      </c>
      <c r="G5306" s="327" t="s">
        <v>155</v>
      </c>
      <c r="H5306" s="361" t="s">
        <v>536</v>
      </c>
      <c r="I5306" s="327">
        <f>4*I5305</f>
        <v>32</v>
      </c>
      <c r="J5306" s="361"/>
      <c r="K5306" s="327" t="s">
        <v>101</v>
      </c>
      <c r="L5306" s="389">
        <v>600</v>
      </c>
      <c r="M5306" s="355"/>
      <c r="N5306" s="355" t="s">
        <v>2408</v>
      </c>
      <c r="O5306" s="345" t="s">
        <v>2778</v>
      </c>
      <c r="P5306" s="325"/>
      <c r="Q5306" s="327"/>
      <c r="R5306" s="351">
        <v>4</v>
      </c>
      <c r="S5306" s="351">
        <v>5.8</v>
      </c>
      <c r="T5306" s="351">
        <v>4.9569999999999999</v>
      </c>
      <c r="U5306" s="329" t="str">
        <f>IF($N5306=$N$4,IFERROR(INDEX(DanhMuc!$E$154:$E$165,MATCH(MID($B5306,4,2),DanhMuc!$B$154:$B$165,0)),""),"")</f>
        <v/>
      </c>
      <c r="V5306" s="361"/>
      <c r="W5306" s="345"/>
      <c r="X5306" s="786"/>
      <c r="Y5306" s="1128" t="s">
        <v>3380</v>
      </c>
      <c r="Z5306" s="1128" t="s">
        <v>3381</v>
      </c>
      <c r="AA5306" s="1128" t="s">
        <v>3384</v>
      </c>
      <c r="AB5306" s="20"/>
      <c r="AC5306" s="73"/>
    </row>
    <row r="5307" spans="1:29">
      <c r="A5307" s="327" t="str">
        <f>IF(AND($B5307&lt;&gt;"",$C5307&lt;&gt;""),MAX($A$4730:$A5306)+1,"")</f>
        <v/>
      </c>
      <c r="B5307" s="361" t="s">
        <v>1849</v>
      </c>
      <c r="C5307" s="362"/>
      <c r="D5307" s="327">
        <f>IF($B5307="","",COUNTIF($B$4731:$B5307,$B5307))</f>
        <v>6</v>
      </c>
      <c r="E5307" s="361" t="s">
        <v>652</v>
      </c>
      <c r="F5307" s="362" t="s">
        <v>2330</v>
      </c>
      <c r="G5307" s="327" t="s">
        <v>155</v>
      </c>
      <c r="H5307" s="361" t="s">
        <v>536</v>
      </c>
      <c r="I5307" s="327">
        <v>8</v>
      </c>
      <c r="J5307" s="361"/>
      <c r="K5307" s="327" t="s">
        <v>101</v>
      </c>
      <c r="L5307" s="389">
        <v>15000</v>
      </c>
      <c r="M5307" s="355"/>
      <c r="N5307" s="355" t="s">
        <v>2408</v>
      </c>
      <c r="O5307" s="345" t="s">
        <v>2779</v>
      </c>
      <c r="P5307" s="325"/>
      <c r="Q5307" s="327"/>
      <c r="R5307" s="351">
        <v>4</v>
      </c>
      <c r="S5307" s="351">
        <v>5.8</v>
      </c>
      <c r="T5307" s="351">
        <v>4.9569999999999999</v>
      </c>
      <c r="U5307" s="329" t="str">
        <f>IF($N5307=$N$4,IFERROR(INDEX(DanhMuc!$E$154:$E$165,MATCH(MID($B5307,4,2),DanhMuc!$B$154:$B$165,0)),""),"")</f>
        <v/>
      </c>
      <c r="V5307" s="361"/>
      <c r="W5307" s="345"/>
      <c r="X5307" s="786"/>
      <c r="Y5307" s="1128" t="s">
        <v>3380</v>
      </c>
      <c r="Z5307" s="1128" t="s">
        <v>3381</v>
      </c>
      <c r="AA5307" s="1128" t="s">
        <v>3384</v>
      </c>
      <c r="AB5307" s="20"/>
      <c r="AC5307" s="73"/>
    </row>
    <row r="5308" spans="1:29">
      <c r="A5308" s="327" t="str">
        <f>IF(AND($B5308&lt;&gt;"",$C5308&lt;&gt;""),MAX($A$4730:$A5303)+1,"")</f>
        <v/>
      </c>
      <c r="B5308" s="361" t="s">
        <v>1849</v>
      </c>
      <c r="C5308" s="362"/>
      <c r="D5308" s="327">
        <f>IF($B5308="","",COUNTIF($B$4731:$B5308,$B5308))</f>
        <v>7</v>
      </c>
      <c r="E5308" s="361" t="s">
        <v>414</v>
      </c>
      <c r="F5308" s="362" t="s">
        <v>413</v>
      </c>
      <c r="G5308" s="327" t="s">
        <v>155</v>
      </c>
      <c r="H5308" s="361" t="s">
        <v>536</v>
      </c>
      <c r="I5308" s="327">
        <f>+I5302+I5305*2</f>
        <v>18</v>
      </c>
      <c r="J5308" s="361"/>
      <c r="K5308" s="327" t="s">
        <v>558</v>
      </c>
      <c r="L5308" s="389">
        <v>408</v>
      </c>
      <c r="M5308" s="355"/>
      <c r="N5308" s="355" t="s">
        <v>2408</v>
      </c>
      <c r="O5308" s="345"/>
      <c r="P5308" s="325"/>
      <c r="Q5308" s="327"/>
      <c r="R5308" s="351"/>
      <c r="S5308" s="351"/>
      <c r="T5308" s="351"/>
      <c r="U5308" s="329" t="str">
        <f>IF($N5308=$N$4,IFERROR(INDEX(DanhMuc!$E$154:$E$165,MATCH(MID($B5308,4,2),DanhMuc!$B$154:$B$165,0)),""),"")</f>
        <v/>
      </c>
      <c r="V5308" s="361"/>
      <c r="W5308" s="345"/>
      <c r="X5308" s="786"/>
      <c r="Y5308" s="1128" t="s">
        <v>3380</v>
      </c>
      <c r="Z5308" s="1128" t="s">
        <v>3381</v>
      </c>
      <c r="AA5308" s="1128" t="s">
        <v>3384</v>
      </c>
      <c r="AB5308" s="20"/>
      <c r="AC5308" s="73"/>
    </row>
    <row r="5309" spans="1:29">
      <c r="A5309" s="327" t="str">
        <f>IF(AND($B5309&lt;&gt;"",$C5309&lt;&gt;""),MAX($A$4730:$A5308)+1,"")</f>
        <v/>
      </c>
      <c r="B5309" s="361" t="s">
        <v>1849</v>
      </c>
      <c r="C5309" s="362"/>
      <c r="D5309" s="327">
        <f>IF($B5309="","",COUNTIF($B$4731:$B5309,$B5309))</f>
        <v>8</v>
      </c>
      <c r="E5309" s="361" t="s">
        <v>1826</v>
      </c>
      <c r="F5309" s="362" t="s">
        <v>670</v>
      </c>
      <c r="G5309" s="327" t="s">
        <v>661</v>
      </c>
      <c r="H5309" s="361" t="s">
        <v>536</v>
      </c>
      <c r="I5309" s="361" t="s">
        <v>2354</v>
      </c>
      <c r="J5309" s="361"/>
      <c r="K5309" s="327" t="s">
        <v>103</v>
      </c>
      <c r="L5309" s="478">
        <f>40000/1000</f>
        <v>40</v>
      </c>
      <c r="M5309" s="355"/>
      <c r="N5309" s="355" t="s">
        <v>2408</v>
      </c>
      <c r="O5309" s="345"/>
      <c r="P5309" s="325"/>
      <c r="Q5309" s="327"/>
      <c r="R5309" s="351"/>
      <c r="S5309" s="351"/>
      <c r="T5309" s="351"/>
      <c r="U5309" s="329" t="str">
        <f>IF($N5309=$N$4,IFERROR(INDEX(DanhMuc!$E$154:$E$165,MATCH(MID($B5309,4,2),DanhMuc!$B$154:$B$165,0)),""),"")</f>
        <v/>
      </c>
      <c r="V5309" s="361"/>
      <c r="W5309" s="345"/>
      <c r="X5309" s="786"/>
      <c r="Y5309" s="1128" t="s">
        <v>3380</v>
      </c>
      <c r="Z5309" s="1128" t="s">
        <v>3381</v>
      </c>
      <c r="AA5309" s="1128" t="s">
        <v>3384</v>
      </c>
      <c r="AB5309" s="20"/>
      <c r="AC5309" s="73"/>
    </row>
    <row r="5310" spans="1:29" ht="37.5">
      <c r="A5310" s="327" t="str">
        <f>IF(AND($B5310&lt;&gt;"",$C5310&lt;&gt;""),MAX($A$4730:$A5309)+1,"")</f>
        <v/>
      </c>
      <c r="B5310" s="361" t="s">
        <v>1849</v>
      </c>
      <c r="C5310" s="362"/>
      <c r="D5310" s="327">
        <f>IF($B5310="","",COUNTIF($B$4731:$B5310,$B5310))</f>
        <v>9</v>
      </c>
      <c r="E5310" s="362" t="s">
        <v>1964</v>
      </c>
      <c r="F5310" s="362" t="s">
        <v>1965</v>
      </c>
      <c r="G5310" s="327" t="s">
        <v>405</v>
      </c>
      <c r="H5310" s="361" t="s">
        <v>536</v>
      </c>
      <c r="I5310" s="361" t="s">
        <v>694</v>
      </c>
      <c r="J5310" s="361"/>
      <c r="K5310" s="327" t="s">
        <v>223</v>
      </c>
      <c r="L5310" s="478">
        <v>140</v>
      </c>
      <c r="M5310" s="371"/>
      <c r="N5310" s="355" t="s">
        <v>2408</v>
      </c>
      <c r="O5310" s="345"/>
      <c r="P5310" s="325"/>
      <c r="Q5310" s="327"/>
      <c r="R5310" s="351"/>
      <c r="S5310" s="351"/>
      <c r="T5310" s="351"/>
      <c r="U5310" s="329" t="str">
        <f>IF($N5310=$N$4,IFERROR(INDEX(DanhMuc!$E$154:$E$165,MATCH(MID($B5310,4,2),DanhMuc!$B$154:$B$165,0)),""),"")</f>
        <v/>
      </c>
      <c r="V5310" s="361"/>
      <c r="W5310" s="345"/>
      <c r="X5310" s="786"/>
      <c r="Y5310" s="1128" t="s">
        <v>3380</v>
      </c>
      <c r="Z5310" s="1128" t="s">
        <v>3381</v>
      </c>
      <c r="AA5310" s="1128" t="s">
        <v>3384</v>
      </c>
      <c r="AB5310" s="20"/>
      <c r="AC5310" s="73"/>
    </row>
    <row r="5311" spans="1:29" ht="37.5">
      <c r="A5311" s="327" t="str">
        <f>IF(AND($B5311&lt;&gt;"",$C5311&lt;&gt;""),MAX($A$4730:$A5310)+1,"")</f>
        <v/>
      </c>
      <c r="B5311" s="361" t="s">
        <v>1849</v>
      </c>
      <c r="C5311" s="362"/>
      <c r="D5311" s="327">
        <f>IF($B5311="","",COUNTIF($B$4731:$B5311,$B5311))</f>
        <v>10</v>
      </c>
      <c r="E5311" s="362" t="s">
        <v>2756</v>
      </c>
      <c r="F5311" s="362" t="s">
        <v>2757</v>
      </c>
      <c r="G5311" s="327" t="s">
        <v>405</v>
      </c>
      <c r="H5311" s="361" t="s">
        <v>536</v>
      </c>
      <c r="I5311" s="361" t="s">
        <v>694</v>
      </c>
      <c r="J5311" s="361"/>
      <c r="K5311" s="327" t="s">
        <v>223</v>
      </c>
      <c r="L5311" s="479">
        <v>322</v>
      </c>
      <c r="M5311" s="371"/>
      <c r="N5311" s="355" t="s">
        <v>2408</v>
      </c>
      <c r="O5311" s="345"/>
      <c r="P5311" s="325"/>
      <c r="Q5311" s="327"/>
      <c r="R5311" s="351"/>
      <c r="S5311" s="351"/>
      <c r="T5311" s="351"/>
      <c r="U5311" s="329" t="str">
        <f>IF($N5311=$N$4,IFERROR(INDEX(DanhMuc!$E$154:$E$165,MATCH(MID($B5311,4,2),DanhMuc!$B$154:$B$165,0)),""),"")</f>
        <v/>
      </c>
      <c r="V5311" s="361"/>
      <c r="W5311" s="345"/>
      <c r="X5311" s="786"/>
      <c r="Y5311" s="1128" t="s">
        <v>3380</v>
      </c>
      <c r="Z5311" s="1128" t="s">
        <v>3381</v>
      </c>
      <c r="AA5311" s="1128" t="s">
        <v>3384</v>
      </c>
      <c r="AB5311" s="20"/>
      <c r="AC5311" s="73"/>
    </row>
    <row r="5312" spans="1:29">
      <c r="A5312" s="327" t="str">
        <f>IF(AND($B5312&lt;&gt;"",$C5312&lt;&gt;""),MAX($A$4730:$A5311)+1,"")</f>
        <v/>
      </c>
      <c r="B5312" s="361" t="s">
        <v>1849</v>
      </c>
      <c r="C5312" s="362"/>
      <c r="D5312" s="327">
        <f>IF($B5312="","",COUNTIF($B$4731:$B5312,$B5312))</f>
        <v>11</v>
      </c>
      <c r="E5312" s="361" t="s">
        <v>656</v>
      </c>
      <c r="F5312" s="362" t="s">
        <v>2239</v>
      </c>
      <c r="G5312" s="327" t="s">
        <v>405</v>
      </c>
      <c r="H5312" s="361" t="s">
        <v>536</v>
      </c>
      <c r="I5312" s="361" t="s">
        <v>1827</v>
      </c>
      <c r="J5312" s="361"/>
      <c r="K5312" s="327" t="s">
        <v>100</v>
      </c>
      <c r="L5312" s="478">
        <v>970</v>
      </c>
      <c r="M5312" s="371"/>
      <c r="N5312" s="355" t="s">
        <v>2409</v>
      </c>
      <c r="O5312" s="345"/>
      <c r="P5312" s="325"/>
      <c r="Q5312" s="327"/>
      <c r="R5312" s="351"/>
      <c r="S5312" s="351"/>
      <c r="T5312" s="351"/>
      <c r="U5312" s="329" t="str">
        <f>IF($N5312=$N$4,IFERROR(INDEX(DanhMuc!$E$154:$E$165,MATCH(MID($B5312,4,2),DanhMuc!$B$154:$B$165,0)),""),"")</f>
        <v/>
      </c>
      <c r="V5312" s="361"/>
      <c r="W5312" s="345"/>
      <c r="X5312" s="786"/>
      <c r="Y5312" s="1128" t="s">
        <v>3380</v>
      </c>
      <c r="Z5312" s="1128" t="s">
        <v>3381</v>
      </c>
      <c r="AA5312" s="1128" t="s">
        <v>3384</v>
      </c>
      <c r="AB5312" s="20"/>
      <c r="AC5312" s="73"/>
    </row>
    <row r="5313" spans="1:29">
      <c r="A5313" s="327" t="str">
        <f>IF(AND($B5313&lt;&gt;"",$C5313&lt;&gt;""),MAX($A$4730:$A5312)+1,"")</f>
        <v/>
      </c>
      <c r="B5313" s="361" t="s">
        <v>1849</v>
      </c>
      <c r="C5313" s="362"/>
      <c r="D5313" s="327">
        <f>IF($B5313="","",COUNTIF($B$4731:$B5313,$B5313))</f>
        <v>12</v>
      </c>
      <c r="E5313" s="361" t="s">
        <v>657</v>
      </c>
      <c r="F5313" s="362" t="s">
        <v>658</v>
      </c>
      <c r="G5313" s="327" t="s">
        <v>424</v>
      </c>
      <c r="H5313" s="361" t="s">
        <v>536</v>
      </c>
      <c r="I5313" s="361" t="s">
        <v>665</v>
      </c>
      <c r="J5313" s="361"/>
      <c r="K5313" s="327" t="s">
        <v>100</v>
      </c>
      <c r="L5313" s="478">
        <v>60000</v>
      </c>
      <c r="M5313" s="355"/>
      <c r="N5313" s="355" t="s">
        <v>2409</v>
      </c>
      <c r="O5313" s="345"/>
      <c r="P5313" s="325"/>
      <c r="Q5313" s="327"/>
      <c r="R5313" s="351"/>
      <c r="S5313" s="351"/>
      <c r="T5313" s="351"/>
      <c r="U5313" s="329" t="str">
        <f>IF($N5313=$N$4,IFERROR(INDEX(DanhMuc!$E$154:$E$165,MATCH(MID($B5313,4,2),DanhMuc!$B$154:$B$165,0)),""),"")</f>
        <v/>
      </c>
      <c r="V5313" s="361"/>
      <c r="W5313" s="345"/>
      <c r="X5313" s="786"/>
      <c r="Y5313" s="1128" t="s">
        <v>3380</v>
      </c>
      <c r="Z5313" s="1128" t="s">
        <v>3381</v>
      </c>
      <c r="AA5313" s="1128" t="s">
        <v>3384</v>
      </c>
      <c r="AB5313" s="20"/>
      <c r="AC5313" s="73"/>
    </row>
    <row r="5314" spans="1:29">
      <c r="A5314" s="327" t="str">
        <f>IF(AND($B5314&lt;&gt;"",$C5314&lt;&gt;""),MAX($A$4730:$A5313)+1,"")</f>
        <v/>
      </c>
      <c r="B5314" s="361" t="s">
        <v>1849</v>
      </c>
      <c r="C5314" s="362"/>
      <c r="D5314" s="327">
        <f>IF($B5314="","",COUNTIF($B$4731:$B5314,$B5314))</f>
        <v>13</v>
      </c>
      <c r="E5314" s="361" t="s">
        <v>2771</v>
      </c>
      <c r="F5314" s="362" t="s">
        <v>659</v>
      </c>
      <c r="G5314" s="327" t="s">
        <v>424</v>
      </c>
      <c r="H5314" s="361" t="s">
        <v>536</v>
      </c>
      <c r="I5314" s="361" t="s">
        <v>666</v>
      </c>
      <c r="J5314" s="361"/>
      <c r="K5314" s="327" t="s">
        <v>100</v>
      </c>
      <c r="L5314" s="389">
        <v>53000</v>
      </c>
      <c r="M5314" s="355"/>
      <c r="N5314" s="355" t="s">
        <v>2409</v>
      </c>
      <c r="O5314" s="345"/>
      <c r="P5314" s="325"/>
      <c r="Q5314" s="327"/>
      <c r="R5314" s="351"/>
      <c r="S5314" s="351"/>
      <c r="T5314" s="351"/>
      <c r="U5314" s="329" t="str">
        <f>IF($N5314=$N$4,IFERROR(INDEX(DanhMuc!$E$154:$E$165,MATCH(MID($B5314,4,2),DanhMuc!$B$154:$B$165,0)),""),"")</f>
        <v/>
      </c>
      <c r="V5314" s="361"/>
      <c r="W5314" s="345"/>
      <c r="X5314" s="786"/>
      <c r="Y5314" s="1128" t="s">
        <v>3380</v>
      </c>
      <c r="Z5314" s="1128" t="s">
        <v>3381</v>
      </c>
      <c r="AA5314" s="1128" t="s">
        <v>3384</v>
      </c>
      <c r="AB5314" s="20"/>
      <c r="AC5314" s="73"/>
    </row>
    <row r="5315" spans="1:29">
      <c r="A5315" s="327" t="str">
        <f>IF(AND($B5315&lt;&gt;"",$C5315&lt;&gt;""),MAX($A$4730:$A5314)+1,"")</f>
        <v/>
      </c>
      <c r="B5315" s="361" t="s">
        <v>1849</v>
      </c>
      <c r="C5315" s="362"/>
      <c r="D5315" s="327">
        <f>IF($B5315="","",COUNTIF($B$4731:$B5315,$B5315))</f>
        <v>14</v>
      </c>
      <c r="E5315" s="361" t="s">
        <v>1828</v>
      </c>
      <c r="F5315" s="362" t="s">
        <v>671</v>
      </c>
      <c r="G5315" s="327" t="s">
        <v>661</v>
      </c>
      <c r="H5315" s="361" t="s">
        <v>536</v>
      </c>
      <c r="I5315" s="361" t="s">
        <v>2355</v>
      </c>
      <c r="J5315" s="361"/>
      <c r="K5315" s="327" t="s">
        <v>100</v>
      </c>
      <c r="L5315" s="478">
        <f>40000/1000</f>
        <v>40</v>
      </c>
      <c r="M5315" s="355"/>
      <c r="N5315" s="355" t="s">
        <v>2409</v>
      </c>
      <c r="O5315" s="345"/>
      <c r="P5315" s="325"/>
      <c r="Q5315" s="327"/>
      <c r="R5315" s="351"/>
      <c r="S5315" s="351"/>
      <c r="T5315" s="351"/>
      <c r="U5315" s="329" t="str">
        <f>IF($N5315=$N$4,IFERROR(INDEX(DanhMuc!$E$154:$E$165,MATCH(MID($B5315,4,2),DanhMuc!$B$154:$B$165,0)),""),"")</f>
        <v/>
      </c>
      <c r="V5315" s="361"/>
      <c r="W5315" s="345"/>
      <c r="X5315" s="786"/>
      <c r="Y5315" s="1128" t="s">
        <v>3380</v>
      </c>
      <c r="Z5315" s="1128" t="s">
        <v>3381</v>
      </c>
      <c r="AA5315" s="1128" t="s">
        <v>3384</v>
      </c>
      <c r="AB5315" s="20"/>
      <c r="AC5315" s="73"/>
    </row>
    <row r="5316" spans="1:29">
      <c r="A5316" s="327" t="str">
        <f>IF(AND($B5316&lt;&gt;"",$C5316&lt;&gt;""),MAX($A$4730:$A5315)+1,"")</f>
        <v/>
      </c>
      <c r="B5316" s="361" t="s">
        <v>1849</v>
      </c>
      <c r="C5316" s="362"/>
      <c r="D5316" s="327">
        <f>IF($B5316="","",COUNTIF($B$4731:$B5316,$B5316))</f>
        <v>15</v>
      </c>
      <c r="E5316" s="361" t="s">
        <v>154</v>
      </c>
      <c r="F5316" s="362" t="s">
        <v>660</v>
      </c>
      <c r="G5316" s="327" t="s">
        <v>661</v>
      </c>
      <c r="H5316" s="361" t="s">
        <v>536</v>
      </c>
      <c r="I5316" s="361" t="s">
        <v>667</v>
      </c>
      <c r="J5316" s="361"/>
      <c r="K5316" s="327" t="s">
        <v>662</v>
      </c>
      <c r="L5316" s="478">
        <v>20</v>
      </c>
      <c r="M5316" s="355"/>
      <c r="N5316" s="355" t="s">
        <v>2409</v>
      </c>
      <c r="O5316" s="345"/>
      <c r="P5316" s="325"/>
      <c r="Q5316" s="327"/>
      <c r="R5316" s="351"/>
      <c r="S5316" s="351"/>
      <c r="T5316" s="351"/>
      <c r="U5316" s="329" t="str">
        <f>IF($N5316=$N$4,IFERROR(INDEX(DanhMuc!$E$154:$E$165,MATCH(MID($B5316,4,2),DanhMuc!$B$154:$B$165,0)),""),"")</f>
        <v/>
      </c>
      <c r="V5316" s="361"/>
      <c r="W5316" s="345"/>
      <c r="X5316" s="786"/>
      <c r="Y5316" s="1128" t="s">
        <v>3380</v>
      </c>
      <c r="Z5316" s="1128" t="s">
        <v>3381</v>
      </c>
      <c r="AA5316" s="1128" t="s">
        <v>3384</v>
      </c>
      <c r="AB5316" s="20"/>
      <c r="AC5316" s="73"/>
    </row>
    <row r="5317" spans="1:29">
      <c r="A5317" s="327" t="str">
        <f>IF(AND($B5317&lt;&gt;"",$C5317&lt;&gt;""),MAX($A$4730:$A5316)+1,"")</f>
        <v/>
      </c>
      <c r="B5317" s="361" t="s">
        <v>1849</v>
      </c>
      <c r="C5317" s="362"/>
      <c r="D5317" s="327">
        <f>IF($B5317="","",COUNTIF($B$4731:$B5317,$B5317))</f>
        <v>16</v>
      </c>
      <c r="E5317" s="362" t="s">
        <v>2282</v>
      </c>
      <c r="F5317" s="362" t="s">
        <v>2283</v>
      </c>
      <c r="G5317" s="327" t="s">
        <v>424</v>
      </c>
      <c r="H5317" s="361" t="s">
        <v>536</v>
      </c>
      <c r="I5317" s="361" t="s">
        <v>2238</v>
      </c>
      <c r="J5317" s="361"/>
      <c r="K5317" s="327" t="s">
        <v>662</v>
      </c>
      <c r="L5317" s="478">
        <v>28000</v>
      </c>
      <c r="M5317" s="355"/>
      <c r="N5317" s="355" t="s">
        <v>2409</v>
      </c>
      <c r="O5317" s="345"/>
      <c r="P5317" s="325"/>
      <c r="Q5317" s="327"/>
      <c r="R5317" s="351"/>
      <c r="S5317" s="351"/>
      <c r="T5317" s="351"/>
      <c r="U5317" s="329" t="str">
        <f>IF($N5317=$N$4,IFERROR(INDEX(DanhMuc!$E$154:$E$165,MATCH(MID($B5317,4,2),DanhMuc!$B$154:$B$165,0)),""),"")</f>
        <v/>
      </c>
      <c r="V5317" s="361"/>
      <c r="W5317" s="345"/>
      <c r="X5317" s="786"/>
      <c r="Y5317" s="1128" t="s">
        <v>3380</v>
      </c>
      <c r="Z5317" s="1128" t="s">
        <v>3381</v>
      </c>
      <c r="AA5317" s="1128" t="s">
        <v>3384</v>
      </c>
      <c r="AB5317" s="20"/>
      <c r="AC5317" s="73"/>
    </row>
    <row r="5318" spans="1:29">
      <c r="A5318" s="327" t="str">
        <f>IF(AND($B5318&lt;&gt;"",$C5318&lt;&gt;""),MAX($A$4730:$A5317)+1,"")</f>
        <v/>
      </c>
      <c r="B5318" s="361" t="s">
        <v>1849</v>
      </c>
      <c r="C5318" s="362"/>
      <c r="D5318" s="327">
        <f>IF($B5318="","",COUNTIF($B$4731:$B5318,$B5318))</f>
        <v>17</v>
      </c>
      <c r="E5318" s="362" t="s">
        <v>663</v>
      </c>
      <c r="F5318" s="362" t="s">
        <v>664</v>
      </c>
      <c r="G5318" s="327" t="s">
        <v>155</v>
      </c>
      <c r="H5318" s="361" t="s">
        <v>536</v>
      </c>
      <c r="I5318" s="361" t="s">
        <v>672</v>
      </c>
      <c r="J5318" s="361"/>
      <c r="K5318" s="327" t="s">
        <v>662</v>
      </c>
      <c r="L5318" s="478">
        <v>1000</v>
      </c>
      <c r="M5318" s="355"/>
      <c r="N5318" s="355" t="s">
        <v>2409</v>
      </c>
      <c r="O5318" s="345"/>
      <c r="P5318" s="325"/>
      <c r="Q5318" s="327"/>
      <c r="R5318" s="351"/>
      <c r="S5318" s="351"/>
      <c r="T5318" s="351"/>
      <c r="U5318" s="329" t="str">
        <f>IF($N5318=$N$4,IFERROR(INDEX(DanhMuc!$E$154:$E$165,MATCH(MID($B5318,4,2),DanhMuc!$B$154:$B$165,0)),""),"")</f>
        <v/>
      </c>
      <c r="V5318" s="361"/>
      <c r="W5318" s="345"/>
      <c r="X5318" s="786"/>
      <c r="Y5318" s="1128" t="s">
        <v>3380</v>
      </c>
      <c r="Z5318" s="1128" t="s">
        <v>3381</v>
      </c>
      <c r="AA5318" s="1128" t="s">
        <v>3384</v>
      </c>
      <c r="AB5318" s="20"/>
      <c r="AC5318" s="73"/>
    </row>
    <row r="5319" spans="1:29" ht="39">
      <c r="A5319" s="327">
        <f>IF(AND($B5319&lt;&gt;"",$C5319&lt;&gt;""),MAX($A$4730:$A5291)+1,"")</f>
        <v>21</v>
      </c>
      <c r="B5319" s="359" t="s">
        <v>1850</v>
      </c>
      <c r="C5319" s="360" t="s">
        <v>1877</v>
      </c>
      <c r="D5319" s="327">
        <f>IF($B5319="","",COUNTIF($B$4731:$B5319,$B5319))</f>
        <v>1</v>
      </c>
      <c r="E5319" s="402" t="s">
        <v>2301</v>
      </c>
      <c r="F5319" s="403" t="s">
        <v>2333</v>
      </c>
      <c r="G5319" s="327" t="s">
        <v>155</v>
      </c>
      <c r="H5319" s="361" t="s">
        <v>536</v>
      </c>
      <c r="I5319" s="327">
        <v>2</v>
      </c>
      <c r="J5319" s="361"/>
      <c r="K5319" s="327" t="s">
        <v>100</v>
      </c>
      <c r="L5319" s="389">
        <v>9400</v>
      </c>
      <c r="M5319" s="355"/>
      <c r="N5319" s="355" t="s">
        <v>2408</v>
      </c>
      <c r="O5319" s="345" t="s">
        <v>2776</v>
      </c>
      <c r="P5319" s="325"/>
      <c r="Q5319" s="327"/>
      <c r="R5319" s="351">
        <v>4</v>
      </c>
      <c r="S5319" s="351">
        <v>5.8</v>
      </c>
      <c r="T5319" s="351">
        <v>4.9569999999999999</v>
      </c>
      <c r="U5319" s="329" t="str">
        <f>IF($N5319=$N$4,IFERROR(INDEX(DanhMuc!$E$154:$E$165,MATCH(MID($B5319,4,2),DanhMuc!$B$154:$B$165,0)),""),"")</f>
        <v/>
      </c>
      <c r="V5319" s="361"/>
      <c r="W5319" s="345"/>
      <c r="X5319" s="786"/>
      <c r="Y5319" s="1128" t="s">
        <v>3380</v>
      </c>
      <c r="Z5319" s="1128" t="s">
        <v>3381</v>
      </c>
      <c r="AA5319" s="1128" t="s">
        <v>3384</v>
      </c>
      <c r="AB5319" s="20"/>
      <c r="AC5319" s="73"/>
    </row>
    <row r="5320" spans="1:29">
      <c r="A5320" s="327" t="str">
        <f>IF(AND($B5320&lt;&gt;"",$C5320&lt;&gt;""),MAX($A$4730:$A5292)+1,"")</f>
        <v/>
      </c>
      <c r="B5320" s="361" t="s">
        <v>1850</v>
      </c>
      <c r="C5320" s="360"/>
      <c r="D5320" s="327">
        <f>IF($B5320="","",COUNTIF($B$4731:$B5320,$B5320))</f>
        <v>2</v>
      </c>
      <c r="E5320" s="402" t="s">
        <v>2788</v>
      </c>
      <c r="F5320" s="403" t="s">
        <v>2789</v>
      </c>
      <c r="G5320" s="327" t="s">
        <v>155</v>
      </c>
      <c r="H5320" s="361" t="s">
        <v>536</v>
      </c>
      <c r="I5320" s="327">
        <f>4*I5319</f>
        <v>8</v>
      </c>
      <c r="J5320" s="361"/>
      <c r="K5320" s="327" t="s">
        <v>100</v>
      </c>
      <c r="L5320" s="389">
        <v>600</v>
      </c>
      <c r="M5320" s="355"/>
      <c r="N5320" s="355" t="s">
        <v>2408</v>
      </c>
      <c r="O5320" s="345" t="s">
        <v>2776</v>
      </c>
      <c r="P5320" s="325"/>
      <c r="Q5320" s="327"/>
      <c r="R5320" s="351">
        <v>4</v>
      </c>
      <c r="S5320" s="351">
        <v>5.8</v>
      </c>
      <c r="T5320" s="351">
        <v>4.9569999999999999</v>
      </c>
      <c r="U5320" s="329" t="str">
        <f>IF($N5320=$N$4,IFERROR(INDEX(DanhMuc!$E$154:$E$165,MATCH(MID($B5320,4,2),DanhMuc!$B$154:$B$165,0)),""),"")</f>
        <v/>
      </c>
      <c r="V5320" s="361"/>
      <c r="W5320" s="345"/>
      <c r="X5320" s="786"/>
      <c r="Y5320" s="1128" t="s">
        <v>3380</v>
      </c>
      <c r="Z5320" s="1128" t="s">
        <v>3381</v>
      </c>
      <c r="AA5320" s="1128" t="s">
        <v>3384</v>
      </c>
      <c r="AB5320" s="20"/>
      <c r="AC5320" s="73"/>
    </row>
    <row r="5321" spans="1:29">
      <c r="A5321" s="327" t="str">
        <f>IF(AND($B5321&lt;&gt;"",$C5321&lt;&gt;""),MAX($A$4730:$A5293)+1,"")</f>
        <v/>
      </c>
      <c r="B5321" s="361" t="s">
        <v>1850</v>
      </c>
      <c r="C5321" s="360"/>
      <c r="D5321" s="327">
        <f>IF($B5321="","",COUNTIF($B$4731:$B5321,$B5321))</f>
        <v>3</v>
      </c>
      <c r="E5321" s="361" t="s">
        <v>652</v>
      </c>
      <c r="F5321" s="362" t="s">
        <v>2330</v>
      </c>
      <c r="G5321" s="327" t="s">
        <v>155</v>
      </c>
      <c r="H5321" s="361" t="s">
        <v>536</v>
      </c>
      <c r="I5321" s="327">
        <v>2</v>
      </c>
      <c r="J5321" s="361"/>
      <c r="K5321" s="327" t="s">
        <v>100</v>
      </c>
      <c r="L5321" s="389">
        <v>15000</v>
      </c>
      <c r="M5321" s="355"/>
      <c r="N5321" s="355" t="s">
        <v>2408</v>
      </c>
      <c r="O5321" s="345" t="s">
        <v>2777</v>
      </c>
      <c r="P5321" s="325"/>
      <c r="Q5321" s="327"/>
      <c r="R5321" s="351">
        <v>4</v>
      </c>
      <c r="S5321" s="351">
        <v>5.8</v>
      </c>
      <c r="T5321" s="351">
        <v>4.9569999999999999</v>
      </c>
      <c r="U5321" s="329" t="str">
        <f>IF($N5321=$N$4,IFERROR(INDEX(DanhMuc!$E$154:$E$165,MATCH(MID($B5321,4,2),DanhMuc!$B$154:$B$165,0)),""),"")</f>
        <v/>
      </c>
      <c r="V5321" s="361"/>
      <c r="W5321" s="345"/>
      <c r="X5321" s="786"/>
      <c r="Y5321" s="1128" t="s">
        <v>3380</v>
      </c>
      <c r="Z5321" s="1128" t="s">
        <v>3381</v>
      </c>
      <c r="AA5321" s="1128" t="s">
        <v>3384</v>
      </c>
      <c r="AB5321" s="20"/>
      <c r="AC5321" s="73"/>
    </row>
    <row r="5322" spans="1:29">
      <c r="A5322" s="327" t="str">
        <f>IF(AND($B5322&lt;&gt;"",$C5322&lt;&gt;""),MAX($A$4730:$A5317)+1,"")</f>
        <v/>
      </c>
      <c r="B5322" s="361" t="s">
        <v>1850</v>
      </c>
      <c r="C5322" s="362"/>
      <c r="D5322" s="327">
        <f>IF($B5322="","",COUNTIF($B$4731:$B5322,$B5322))</f>
        <v>4</v>
      </c>
      <c r="E5322" s="402" t="s">
        <v>2301</v>
      </c>
      <c r="F5322" s="403" t="s">
        <v>2333</v>
      </c>
      <c r="G5322" s="327" t="s">
        <v>155</v>
      </c>
      <c r="H5322" s="361" t="s">
        <v>536</v>
      </c>
      <c r="I5322" s="327">
        <v>12</v>
      </c>
      <c r="J5322" s="361"/>
      <c r="K5322" s="327" t="s">
        <v>101</v>
      </c>
      <c r="L5322" s="389">
        <v>9400</v>
      </c>
      <c r="M5322" s="355"/>
      <c r="N5322" s="355" t="s">
        <v>2408</v>
      </c>
      <c r="O5322" s="345" t="s">
        <v>2778</v>
      </c>
      <c r="P5322" s="325"/>
      <c r="Q5322" s="327"/>
      <c r="R5322" s="351">
        <v>4</v>
      </c>
      <c r="S5322" s="351">
        <v>5.8</v>
      </c>
      <c r="T5322" s="351">
        <v>4.9569999999999999</v>
      </c>
      <c r="U5322" s="329" t="str">
        <f>IF($N5322=$N$4,IFERROR(INDEX(DanhMuc!$E$154:$E$165,MATCH(MID($B5322,4,2),DanhMuc!$B$154:$B$165,0)),""),"")</f>
        <v/>
      </c>
      <c r="V5322" s="361"/>
      <c r="W5322" s="345"/>
      <c r="X5322" s="786"/>
      <c r="Y5322" s="1128" t="s">
        <v>3380</v>
      </c>
      <c r="Z5322" s="1128" t="s">
        <v>3381</v>
      </c>
      <c r="AA5322" s="1128" t="s">
        <v>3384</v>
      </c>
      <c r="AB5322" s="20"/>
      <c r="AC5322" s="73"/>
    </row>
    <row r="5323" spans="1:29">
      <c r="A5323" s="327" t="str">
        <f>IF(AND($B5323&lt;&gt;"",$C5323&lt;&gt;""),MAX($A$4730:$A5318)+1,"")</f>
        <v/>
      </c>
      <c r="B5323" s="361" t="s">
        <v>1850</v>
      </c>
      <c r="C5323" s="362"/>
      <c r="D5323" s="327">
        <f>IF($B5323="","",COUNTIF($B$4731:$B5323,$B5323))</f>
        <v>5</v>
      </c>
      <c r="E5323" s="402" t="s">
        <v>2788</v>
      </c>
      <c r="F5323" s="403" t="s">
        <v>2789</v>
      </c>
      <c r="G5323" s="327" t="s">
        <v>155</v>
      </c>
      <c r="H5323" s="361" t="s">
        <v>536</v>
      </c>
      <c r="I5323" s="327">
        <f>4*I5322</f>
        <v>48</v>
      </c>
      <c r="J5323" s="361"/>
      <c r="K5323" s="327" t="s">
        <v>101</v>
      </c>
      <c r="L5323" s="389">
        <v>600</v>
      </c>
      <c r="M5323" s="355"/>
      <c r="N5323" s="355" t="s">
        <v>2408</v>
      </c>
      <c r="O5323" s="345" t="s">
        <v>2778</v>
      </c>
      <c r="P5323" s="325"/>
      <c r="Q5323" s="327"/>
      <c r="R5323" s="351">
        <v>4</v>
      </c>
      <c r="S5323" s="351">
        <v>5.8</v>
      </c>
      <c r="T5323" s="351">
        <v>4.9569999999999999</v>
      </c>
      <c r="U5323" s="329" t="str">
        <f>IF($N5323=$N$4,IFERROR(INDEX(DanhMuc!$E$154:$E$165,MATCH(MID($B5323,4,2),DanhMuc!$B$154:$B$165,0)),""),"")</f>
        <v/>
      </c>
      <c r="V5323" s="361"/>
      <c r="W5323" s="345"/>
      <c r="X5323" s="786"/>
      <c r="Y5323" s="1128" t="s">
        <v>3380</v>
      </c>
      <c r="Z5323" s="1128" t="s">
        <v>3381</v>
      </c>
      <c r="AA5323" s="1128" t="s">
        <v>3384</v>
      </c>
      <c r="AB5323" s="20"/>
      <c r="AC5323" s="73"/>
    </row>
    <row r="5324" spans="1:29">
      <c r="A5324" s="327" t="str">
        <f>IF(AND($B5324&lt;&gt;"",$C5324&lt;&gt;""),MAX($A$4730:$A5319)+1,"")</f>
        <v/>
      </c>
      <c r="B5324" s="361" t="s">
        <v>1850</v>
      </c>
      <c r="C5324" s="362"/>
      <c r="D5324" s="327">
        <f>IF($B5324="","",COUNTIF($B$4731:$B5324,$B5324))</f>
        <v>6</v>
      </c>
      <c r="E5324" s="361" t="s">
        <v>652</v>
      </c>
      <c r="F5324" s="362" t="s">
        <v>2330</v>
      </c>
      <c r="G5324" s="327" t="s">
        <v>155</v>
      </c>
      <c r="H5324" s="361" t="s">
        <v>536</v>
      </c>
      <c r="I5324" s="327">
        <v>12</v>
      </c>
      <c r="J5324" s="361"/>
      <c r="K5324" s="327" t="s">
        <v>101</v>
      </c>
      <c r="L5324" s="389">
        <v>15000</v>
      </c>
      <c r="M5324" s="355"/>
      <c r="N5324" s="355" t="s">
        <v>2408</v>
      </c>
      <c r="O5324" s="345" t="s">
        <v>2779</v>
      </c>
      <c r="P5324" s="325"/>
      <c r="Q5324" s="327"/>
      <c r="R5324" s="351">
        <v>4</v>
      </c>
      <c r="S5324" s="351">
        <v>5.8</v>
      </c>
      <c r="T5324" s="351">
        <v>4.9569999999999999</v>
      </c>
      <c r="U5324" s="329" t="str">
        <f>IF($N5324=$N$4,IFERROR(INDEX(DanhMuc!$E$154:$E$165,MATCH(MID($B5324,4,2),DanhMuc!$B$154:$B$165,0)),""),"")</f>
        <v/>
      </c>
      <c r="V5324" s="361"/>
      <c r="W5324" s="345"/>
      <c r="X5324" s="786"/>
      <c r="Y5324" s="1128" t="s">
        <v>3380</v>
      </c>
      <c r="Z5324" s="1128" t="s">
        <v>3381</v>
      </c>
      <c r="AA5324" s="1128" t="s">
        <v>3384</v>
      </c>
      <c r="AB5324" s="20"/>
      <c r="AC5324" s="73"/>
    </row>
    <row r="5325" spans="1:29">
      <c r="A5325" s="327" t="str">
        <f>IF(AND($B5325&lt;&gt;"",$C5325&lt;&gt;""),MAX($A$4730:$A5324)+1,"")</f>
        <v/>
      </c>
      <c r="B5325" s="361" t="s">
        <v>1850</v>
      </c>
      <c r="C5325" s="362"/>
      <c r="D5325" s="327">
        <f>IF($B5325="","",COUNTIF($B$4731:$B5325,$B5325))</f>
        <v>7</v>
      </c>
      <c r="E5325" s="361" t="s">
        <v>414</v>
      </c>
      <c r="F5325" s="362" t="s">
        <v>413</v>
      </c>
      <c r="G5325" s="327" t="s">
        <v>155</v>
      </c>
      <c r="H5325" s="361" t="s">
        <v>536</v>
      </c>
      <c r="I5325" s="327">
        <f>+I5319+I5322*2</f>
        <v>26</v>
      </c>
      <c r="J5325" s="361"/>
      <c r="K5325" s="327" t="s">
        <v>415</v>
      </c>
      <c r="L5325" s="389">
        <v>408</v>
      </c>
      <c r="M5325" s="355"/>
      <c r="N5325" s="355" t="s">
        <v>2408</v>
      </c>
      <c r="O5325" s="345"/>
      <c r="P5325" s="325"/>
      <c r="Q5325" s="327"/>
      <c r="R5325" s="351"/>
      <c r="S5325" s="351"/>
      <c r="T5325" s="351"/>
      <c r="U5325" s="329" t="str">
        <f>IF($N5325=$N$4,IFERROR(INDEX(DanhMuc!$E$154:$E$165,MATCH(MID($B5325,4,2),DanhMuc!$B$154:$B$165,0)),""),"")</f>
        <v/>
      </c>
      <c r="V5325" s="361"/>
      <c r="W5325" s="345"/>
      <c r="X5325" s="786"/>
      <c r="Y5325" s="1128" t="s">
        <v>3380</v>
      </c>
      <c r="Z5325" s="1128" t="s">
        <v>3381</v>
      </c>
      <c r="AA5325" s="1128" t="s">
        <v>3384</v>
      </c>
      <c r="AB5325" s="20"/>
      <c r="AC5325" s="73"/>
    </row>
    <row r="5326" spans="1:29">
      <c r="A5326" s="327" t="str">
        <f>IF(AND($B5326&lt;&gt;"",$C5326&lt;&gt;""),MAX($A$4730:$A5325)+1,"")</f>
        <v/>
      </c>
      <c r="B5326" s="361" t="s">
        <v>1850</v>
      </c>
      <c r="C5326" s="362"/>
      <c r="D5326" s="327">
        <f>IF($B5326="","",COUNTIF($B$4731:$B5326,$B5326))</f>
        <v>8</v>
      </c>
      <c r="E5326" s="361" t="s">
        <v>1826</v>
      </c>
      <c r="F5326" s="362" t="s">
        <v>670</v>
      </c>
      <c r="G5326" s="327" t="s">
        <v>661</v>
      </c>
      <c r="H5326" s="361" t="s">
        <v>536</v>
      </c>
      <c r="I5326" s="361" t="s">
        <v>2354</v>
      </c>
      <c r="J5326" s="361"/>
      <c r="K5326" s="327" t="s">
        <v>103</v>
      </c>
      <c r="L5326" s="478">
        <f>40000/1000</f>
        <v>40</v>
      </c>
      <c r="M5326" s="355"/>
      <c r="N5326" s="355" t="s">
        <v>2408</v>
      </c>
      <c r="O5326" s="345"/>
      <c r="P5326" s="325"/>
      <c r="Q5326" s="327"/>
      <c r="R5326" s="351"/>
      <c r="S5326" s="351"/>
      <c r="T5326" s="351"/>
      <c r="U5326" s="329" t="str">
        <f>IF($N5326=$N$4,IFERROR(INDEX(DanhMuc!$E$154:$E$165,MATCH(MID($B5326,4,2),DanhMuc!$B$154:$B$165,0)),""),"")</f>
        <v/>
      </c>
      <c r="V5326" s="361"/>
      <c r="W5326" s="345"/>
      <c r="X5326" s="786"/>
      <c r="Y5326" s="1128" t="s">
        <v>3380</v>
      </c>
      <c r="Z5326" s="1128" t="s">
        <v>3381</v>
      </c>
      <c r="AA5326" s="1128" t="s">
        <v>3384</v>
      </c>
      <c r="AB5326" s="20"/>
      <c r="AC5326" s="73"/>
    </row>
    <row r="5327" spans="1:29" ht="37.5">
      <c r="A5327" s="327" t="str">
        <f>IF(AND($B5327&lt;&gt;"",$C5327&lt;&gt;""),MAX($A$4730:$A5326)+1,"")</f>
        <v/>
      </c>
      <c r="B5327" s="361" t="s">
        <v>1850</v>
      </c>
      <c r="C5327" s="362"/>
      <c r="D5327" s="327">
        <f>IF($B5327="","",COUNTIF($B$4731:$B5327,$B5327))</f>
        <v>9</v>
      </c>
      <c r="E5327" s="362" t="s">
        <v>1964</v>
      </c>
      <c r="F5327" s="362" t="s">
        <v>1965</v>
      </c>
      <c r="G5327" s="327" t="s">
        <v>405</v>
      </c>
      <c r="H5327" s="361" t="s">
        <v>536</v>
      </c>
      <c r="I5327" s="361" t="s">
        <v>694</v>
      </c>
      <c r="J5327" s="361"/>
      <c r="K5327" s="327" t="s">
        <v>223</v>
      </c>
      <c r="L5327" s="478">
        <v>140</v>
      </c>
      <c r="M5327" s="371"/>
      <c r="N5327" s="355" t="s">
        <v>2408</v>
      </c>
      <c r="O5327" s="345"/>
      <c r="P5327" s="325"/>
      <c r="Q5327" s="327"/>
      <c r="R5327" s="351"/>
      <c r="S5327" s="351"/>
      <c r="T5327" s="351"/>
      <c r="U5327" s="329" t="str">
        <f>IF($N5327=$N$4,IFERROR(INDEX(DanhMuc!$E$154:$E$165,MATCH(MID($B5327,4,2),DanhMuc!$B$154:$B$165,0)),""),"")</f>
        <v/>
      </c>
      <c r="V5327" s="361"/>
      <c r="W5327" s="345"/>
      <c r="X5327" s="786"/>
      <c r="Y5327" s="1128" t="s">
        <v>3380</v>
      </c>
      <c r="Z5327" s="1128" t="s">
        <v>3381</v>
      </c>
      <c r="AA5327" s="1128" t="s">
        <v>3384</v>
      </c>
      <c r="AB5327" s="20"/>
      <c r="AC5327" s="73"/>
    </row>
    <row r="5328" spans="1:29" ht="37.5">
      <c r="A5328" s="327" t="str">
        <f>IF(AND($B5328&lt;&gt;"",$C5328&lt;&gt;""),MAX($A$4730:$A5327)+1,"")</f>
        <v/>
      </c>
      <c r="B5328" s="361" t="s">
        <v>1850</v>
      </c>
      <c r="C5328" s="362"/>
      <c r="D5328" s="327">
        <f>IF($B5328="","",COUNTIF($B$4731:$B5328,$B5328))</f>
        <v>10</v>
      </c>
      <c r="E5328" s="362" t="s">
        <v>2756</v>
      </c>
      <c r="F5328" s="362" t="s">
        <v>2757</v>
      </c>
      <c r="G5328" s="327" t="s">
        <v>405</v>
      </c>
      <c r="H5328" s="361" t="s">
        <v>536</v>
      </c>
      <c r="I5328" s="361" t="s">
        <v>694</v>
      </c>
      <c r="J5328" s="361"/>
      <c r="K5328" s="327" t="s">
        <v>223</v>
      </c>
      <c r="L5328" s="479">
        <v>322</v>
      </c>
      <c r="M5328" s="371"/>
      <c r="N5328" s="355" t="s">
        <v>2408</v>
      </c>
      <c r="O5328" s="345"/>
      <c r="P5328" s="325"/>
      <c r="Q5328" s="327"/>
      <c r="R5328" s="351"/>
      <c r="S5328" s="351"/>
      <c r="T5328" s="351"/>
      <c r="U5328" s="329" t="str">
        <f>IF($N5328=$N$4,IFERROR(INDEX(DanhMuc!$E$154:$E$165,MATCH(MID($B5328,4,2),DanhMuc!$B$154:$B$165,0)),""),"")</f>
        <v/>
      </c>
      <c r="V5328" s="361"/>
      <c r="W5328" s="345"/>
      <c r="X5328" s="786"/>
      <c r="Y5328" s="1128" t="s">
        <v>3380</v>
      </c>
      <c r="Z5328" s="1128" t="s">
        <v>3381</v>
      </c>
      <c r="AA5328" s="1128" t="s">
        <v>3384</v>
      </c>
      <c r="AB5328" s="20"/>
      <c r="AC5328" s="73"/>
    </row>
    <row r="5329" spans="1:29">
      <c r="A5329" s="327" t="str">
        <f>IF(AND($B5329&lt;&gt;"",$C5329&lt;&gt;""),MAX($A$4730:$A5328)+1,"")</f>
        <v/>
      </c>
      <c r="B5329" s="361" t="s">
        <v>1850</v>
      </c>
      <c r="C5329" s="362"/>
      <c r="D5329" s="327">
        <f>IF($B5329="","",COUNTIF($B$4731:$B5329,$B5329))</f>
        <v>11</v>
      </c>
      <c r="E5329" s="361" t="s">
        <v>656</v>
      </c>
      <c r="F5329" s="362" t="s">
        <v>2239</v>
      </c>
      <c r="G5329" s="327" t="s">
        <v>405</v>
      </c>
      <c r="H5329" s="361" t="s">
        <v>536</v>
      </c>
      <c r="I5329" s="361" t="s">
        <v>1827</v>
      </c>
      <c r="J5329" s="361"/>
      <c r="K5329" s="327" t="s">
        <v>100</v>
      </c>
      <c r="L5329" s="478">
        <v>970</v>
      </c>
      <c r="M5329" s="371"/>
      <c r="N5329" s="355" t="s">
        <v>2409</v>
      </c>
      <c r="O5329" s="345"/>
      <c r="P5329" s="325"/>
      <c r="Q5329" s="327"/>
      <c r="R5329" s="351"/>
      <c r="S5329" s="351"/>
      <c r="T5329" s="351"/>
      <c r="U5329" s="329" t="str">
        <f>IF($N5329=$N$4,IFERROR(INDEX(DanhMuc!$E$154:$E$165,MATCH(MID($B5329,4,2),DanhMuc!$B$154:$B$165,0)),""),"")</f>
        <v/>
      </c>
      <c r="V5329" s="361"/>
      <c r="W5329" s="345"/>
      <c r="X5329" s="786"/>
      <c r="Y5329" s="1128" t="s">
        <v>3380</v>
      </c>
      <c r="Z5329" s="1128" t="s">
        <v>3381</v>
      </c>
      <c r="AA5329" s="1128" t="s">
        <v>3384</v>
      </c>
      <c r="AB5329" s="20"/>
      <c r="AC5329" s="73"/>
    </row>
    <row r="5330" spans="1:29">
      <c r="A5330" s="327" t="str">
        <f>IF(AND($B5330&lt;&gt;"",$C5330&lt;&gt;""),MAX($A$4730:$A5329)+1,"")</f>
        <v/>
      </c>
      <c r="B5330" s="361" t="s">
        <v>1850</v>
      </c>
      <c r="C5330" s="362"/>
      <c r="D5330" s="327">
        <f>IF($B5330="","",COUNTIF($B$4731:$B5330,$B5330))</f>
        <v>12</v>
      </c>
      <c r="E5330" s="361" t="s">
        <v>657</v>
      </c>
      <c r="F5330" s="362" t="s">
        <v>658</v>
      </c>
      <c r="G5330" s="327" t="s">
        <v>424</v>
      </c>
      <c r="H5330" s="361" t="s">
        <v>536</v>
      </c>
      <c r="I5330" s="361" t="s">
        <v>665</v>
      </c>
      <c r="J5330" s="361"/>
      <c r="K5330" s="327" t="s">
        <v>100</v>
      </c>
      <c r="L5330" s="478">
        <v>60000</v>
      </c>
      <c r="M5330" s="355"/>
      <c r="N5330" s="355" t="s">
        <v>2409</v>
      </c>
      <c r="O5330" s="345"/>
      <c r="P5330" s="325"/>
      <c r="Q5330" s="327"/>
      <c r="R5330" s="351"/>
      <c r="S5330" s="351"/>
      <c r="T5330" s="351"/>
      <c r="U5330" s="329" t="str">
        <f>IF($N5330=$N$4,IFERROR(INDEX(DanhMuc!$E$154:$E$165,MATCH(MID($B5330,4,2),DanhMuc!$B$154:$B$165,0)),""),"")</f>
        <v/>
      </c>
      <c r="V5330" s="361"/>
      <c r="W5330" s="345"/>
      <c r="X5330" s="786"/>
      <c r="Y5330" s="1128" t="s">
        <v>3380</v>
      </c>
      <c r="Z5330" s="1128" t="s">
        <v>3381</v>
      </c>
      <c r="AA5330" s="1128" t="s">
        <v>3384</v>
      </c>
      <c r="AB5330" s="20"/>
      <c r="AC5330" s="73"/>
    </row>
    <row r="5331" spans="1:29">
      <c r="A5331" s="327" t="str">
        <f>IF(AND($B5331&lt;&gt;"",$C5331&lt;&gt;""),MAX($A$4730:$A5330)+1,"")</f>
        <v/>
      </c>
      <c r="B5331" s="361" t="s">
        <v>1850</v>
      </c>
      <c r="C5331" s="362"/>
      <c r="D5331" s="327">
        <f>IF($B5331="","",COUNTIF($B$4731:$B5331,$B5331))</f>
        <v>13</v>
      </c>
      <c r="E5331" s="361" t="s">
        <v>2771</v>
      </c>
      <c r="F5331" s="362" t="s">
        <v>659</v>
      </c>
      <c r="G5331" s="327" t="s">
        <v>424</v>
      </c>
      <c r="H5331" s="361" t="s">
        <v>536</v>
      </c>
      <c r="I5331" s="361" t="s">
        <v>666</v>
      </c>
      <c r="J5331" s="361"/>
      <c r="K5331" s="327" t="s">
        <v>100</v>
      </c>
      <c r="L5331" s="389">
        <v>53000</v>
      </c>
      <c r="M5331" s="355"/>
      <c r="N5331" s="355" t="s">
        <v>2409</v>
      </c>
      <c r="O5331" s="345"/>
      <c r="P5331" s="325"/>
      <c r="Q5331" s="327"/>
      <c r="R5331" s="351"/>
      <c r="S5331" s="351"/>
      <c r="T5331" s="351"/>
      <c r="U5331" s="329" t="str">
        <f>IF($N5331=$N$4,IFERROR(INDEX(DanhMuc!$E$154:$E$165,MATCH(MID($B5331,4,2),DanhMuc!$B$154:$B$165,0)),""),"")</f>
        <v/>
      </c>
      <c r="V5331" s="361"/>
      <c r="W5331" s="345"/>
      <c r="X5331" s="786"/>
      <c r="Y5331" s="1128" t="s">
        <v>3380</v>
      </c>
      <c r="Z5331" s="1128" t="s">
        <v>3381</v>
      </c>
      <c r="AA5331" s="1128" t="s">
        <v>3384</v>
      </c>
      <c r="AB5331" s="20"/>
      <c r="AC5331" s="73"/>
    </row>
    <row r="5332" spans="1:29">
      <c r="A5332" s="327" t="str">
        <f>IF(AND($B5332&lt;&gt;"",$C5332&lt;&gt;""),MAX($A$4730:$A5331)+1,"")</f>
        <v/>
      </c>
      <c r="B5332" s="361" t="s">
        <v>1850</v>
      </c>
      <c r="C5332" s="362"/>
      <c r="D5332" s="327">
        <f>IF($B5332="","",COUNTIF($B$4731:$B5332,$B5332))</f>
        <v>14</v>
      </c>
      <c r="E5332" s="361" t="s">
        <v>1828</v>
      </c>
      <c r="F5332" s="362" t="s">
        <v>671</v>
      </c>
      <c r="G5332" s="327" t="s">
        <v>661</v>
      </c>
      <c r="H5332" s="361" t="s">
        <v>536</v>
      </c>
      <c r="I5332" s="361" t="s">
        <v>2355</v>
      </c>
      <c r="J5332" s="361"/>
      <c r="K5332" s="327" t="s">
        <v>100</v>
      </c>
      <c r="L5332" s="478">
        <f>40000/1000</f>
        <v>40</v>
      </c>
      <c r="M5332" s="355"/>
      <c r="N5332" s="355" t="s">
        <v>2409</v>
      </c>
      <c r="O5332" s="345"/>
      <c r="P5332" s="325"/>
      <c r="Q5332" s="327"/>
      <c r="R5332" s="351"/>
      <c r="S5332" s="351"/>
      <c r="T5332" s="351"/>
      <c r="U5332" s="329" t="str">
        <f>IF($N5332=$N$4,IFERROR(INDEX(DanhMuc!$E$154:$E$165,MATCH(MID($B5332,4,2),DanhMuc!$B$154:$B$165,0)),""),"")</f>
        <v/>
      </c>
      <c r="V5332" s="361"/>
      <c r="W5332" s="345"/>
      <c r="X5332" s="786"/>
      <c r="Y5332" s="1128" t="s">
        <v>3380</v>
      </c>
      <c r="Z5332" s="1128" t="s">
        <v>3381</v>
      </c>
      <c r="AA5332" s="1128" t="s">
        <v>3384</v>
      </c>
      <c r="AB5332" s="20"/>
      <c r="AC5332" s="73"/>
    </row>
    <row r="5333" spans="1:29">
      <c r="A5333" s="327" t="str">
        <f>IF(AND($B5333&lt;&gt;"",$C5333&lt;&gt;""),MAX($A$4730:$A5332)+1,"")</f>
        <v/>
      </c>
      <c r="B5333" s="361" t="s">
        <v>1850</v>
      </c>
      <c r="C5333" s="362"/>
      <c r="D5333" s="327">
        <f>IF($B5333="","",COUNTIF($B$4731:$B5333,$B5333))</f>
        <v>15</v>
      </c>
      <c r="E5333" s="361" t="s">
        <v>154</v>
      </c>
      <c r="F5333" s="362" t="s">
        <v>660</v>
      </c>
      <c r="G5333" s="327" t="s">
        <v>661</v>
      </c>
      <c r="H5333" s="361" t="s">
        <v>536</v>
      </c>
      <c r="I5333" s="361" t="s">
        <v>667</v>
      </c>
      <c r="J5333" s="361"/>
      <c r="K5333" s="327" t="s">
        <v>662</v>
      </c>
      <c r="L5333" s="478">
        <v>20</v>
      </c>
      <c r="M5333" s="355"/>
      <c r="N5333" s="355" t="s">
        <v>2409</v>
      </c>
      <c r="O5333" s="345"/>
      <c r="P5333" s="325"/>
      <c r="Q5333" s="327"/>
      <c r="R5333" s="351"/>
      <c r="S5333" s="351"/>
      <c r="T5333" s="351"/>
      <c r="U5333" s="329" t="str">
        <f>IF($N5333=$N$4,IFERROR(INDEX(DanhMuc!$E$154:$E$165,MATCH(MID($B5333,4,2),DanhMuc!$B$154:$B$165,0)),""),"")</f>
        <v/>
      </c>
      <c r="V5333" s="361"/>
      <c r="W5333" s="345"/>
      <c r="X5333" s="786"/>
      <c r="Y5333" s="1128" t="s">
        <v>3380</v>
      </c>
      <c r="Z5333" s="1128" t="s">
        <v>3381</v>
      </c>
      <c r="AA5333" s="1128" t="s">
        <v>3384</v>
      </c>
      <c r="AB5333" s="20"/>
      <c r="AC5333" s="73"/>
    </row>
    <row r="5334" spans="1:29">
      <c r="A5334" s="327" t="str">
        <f>IF(AND($B5334&lt;&gt;"",$C5334&lt;&gt;""),MAX($A$4730:$A5333)+1,"")</f>
        <v/>
      </c>
      <c r="B5334" s="361" t="s">
        <v>1850</v>
      </c>
      <c r="C5334" s="362"/>
      <c r="D5334" s="327">
        <f>IF($B5334="","",COUNTIF($B$4731:$B5334,$B5334))</f>
        <v>16</v>
      </c>
      <c r="E5334" s="362" t="s">
        <v>2282</v>
      </c>
      <c r="F5334" s="362" t="s">
        <v>2283</v>
      </c>
      <c r="G5334" s="327" t="s">
        <v>424</v>
      </c>
      <c r="H5334" s="361" t="s">
        <v>536</v>
      </c>
      <c r="I5334" s="361" t="s">
        <v>2238</v>
      </c>
      <c r="J5334" s="361"/>
      <c r="K5334" s="327" t="s">
        <v>662</v>
      </c>
      <c r="L5334" s="478">
        <v>28000</v>
      </c>
      <c r="M5334" s="355"/>
      <c r="N5334" s="355" t="s">
        <v>2409</v>
      </c>
      <c r="O5334" s="345"/>
      <c r="P5334" s="325"/>
      <c r="Q5334" s="327"/>
      <c r="R5334" s="351"/>
      <c r="S5334" s="351"/>
      <c r="T5334" s="351"/>
      <c r="U5334" s="329" t="str">
        <f>IF($N5334=$N$4,IFERROR(INDEX(DanhMuc!$E$154:$E$165,MATCH(MID($B5334,4,2),DanhMuc!$B$154:$B$165,0)),""),"")</f>
        <v/>
      </c>
      <c r="V5334" s="361"/>
      <c r="W5334" s="345"/>
      <c r="X5334" s="786"/>
      <c r="Y5334" s="1128" t="s">
        <v>3380</v>
      </c>
      <c r="Z5334" s="1128" t="s">
        <v>3381</v>
      </c>
      <c r="AA5334" s="1128" t="s">
        <v>3384</v>
      </c>
      <c r="AB5334" s="20"/>
      <c r="AC5334" s="73"/>
    </row>
    <row r="5335" spans="1:29">
      <c r="A5335" s="327" t="str">
        <f>IF(AND($B5335&lt;&gt;"",$C5335&lt;&gt;""),MAX($A$4730:$A5334)+1,"")</f>
        <v/>
      </c>
      <c r="B5335" s="361" t="s">
        <v>1850</v>
      </c>
      <c r="C5335" s="362"/>
      <c r="D5335" s="327">
        <f>IF($B5335="","",COUNTIF($B$4731:$B5335,$B5335))</f>
        <v>17</v>
      </c>
      <c r="E5335" s="362" t="s">
        <v>663</v>
      </c>
      <c r="F5335" s="362" t="s">
        <v>664</v>
      </c>
      <c r="G5335" s="327" t="s">
        <v>155</v>
      </c>
      <c r="H5335" s="361" t="s">
        <v>536</v>
      </c>
      <c r="I5335" s="361" t="s">
        <v>672</v>
      </c>
      <c r="J5335" s="361"/>
      <c r="K5335" s="327" t="s">
        <v>662</v>
      </c>
      <c r="L5335" s="478">
        <v>1000</v>
      </c>
      <c r="M5335" s="355"/>
      <c r="N5335" s="355" t="s">
        <v>2409</v>
      </c>
      <c r="O5335" s="345"/>
      <c r="P5335" s="325"/>
      <c r="Q5335" s="327"/>
      <c r="R5335" s="351"/>
      <c r="S5335" s="351"/>
      <c r="T5335" s="351"/>
      <c r="U5335" s="329" t="str">
        <f>IF($N5335=$N$4,IFERROR(INDEX(DanhMuc!$E$154:$E$165,MATCH(MID($B5335,4,2),DanhMuc!$B$154:$B$165,0)),""),"")</f>
        <v/>
      </c>
      <c r="V5335" s="361"/>
      <c r="W5335" s="345"/>
      <c r="X5335" s="786"/>
      <c r="Y5335" s="1128" t="s">
        <v>3380</v>
      </c>
      <c r="Z5335" s="1128" t="s">
        <v>3381</v>
      </c>
      <c r="AA5335" s="1128" t="s">
        <v>3384</v>
      </c>
      <c r="AB5335" s="20"/>
      <c r="AC5335" s="73"/>
    </row>
    <row r="5336" spans="1:29" ht="39">
      <c r="A5336" s="327">
        <f>IF(AND($B5336&lt;&gt;"",$C5336&lt;&gt;""),MAX($A$4730:$A5308)+1,"")</f>
        <v>22</v>
      </c>
      <c r="B5336" s="359" t="s">
        <v>1851</v>
      </c>
      <c r="C5336" s="360" t="s">
        <v>1878</v>
      </c>
      <c r="D5336" s="327">
        <f>IF($B5336="","",COUNTIF($B$4731:$B5336,$B5336))</f>
        <v>1</v>
      </c>
      <c r="E5336" s="402" t="s">
        <v>2301</v>
      </c>
      <c r="F5336" s="403" t="s">
        <v>2333</v>
      </c>
      <c r="G5336" s="327" t="s">
        <v>155</v>
      </c>
      <c r="H5336" s="361" t="s">
        <v>536</v>
      </c>
      <c r="I5336" s="327">
        <v>2</v>
      </c>
      <c r="J5336" s="361"/>
      <c r="K5336" s="327" t="s">
        <v>100</v>
      </c>
      <c r="L5336" s="389">
        <v>9400</v>
      </c>
      <c r="M5336" s="355"/>
      <c r="N5336" s="355" t="s">
        <v>2408</v>
      </c>
      <c r="O5336" s="345" t="s">
        <v>2776</v>
      </c>
      <c r="P5336" s="325"/>
      <c r="Q5336" s="327"/>
      <c r="R5336" s="351">
        <v>4</v>
      </c>
      <c r="S5336" s="351">
        <v>5.8</v>
      </c>
      <c r="T5336" s="351">
        <v>4.9569999999999999</v>
      </c>
      <c r="U5336" s="329" t="str">
        <f>IF($N5336=$N$4,IFERROR(INDEX(DanhMuc!$E$154:$E$165,MATCH(MID($B5336,4,2),DanhMuc!$B$154:$B$165,0)),""),"")</f>
        <v/>
      </c>
      <c r="V5336" s="361"/>
      <c r="W5336" s="345"/>
      <c r="X5336" s="786"/>
      <c r="Y5336" s="1128" t="s">
        <v>3380</v>
      </c>
      <c r="Z5336" s="1128" t="s">
        <v>3381</v>
      </c>
      <c r="AA5336" s="1128" t="s">
        <v>3384</v>
      </c>
      <c r="AB5336" s="20"/>
      <c r="AC5336" s="73"/>
    </row>
    <row r="5337" spans="1:29">
      <c r="A5337" s="327" t="str">
        <f>IF(AND($B5337&lt;&gt;"",$C5337&lt;&gt;""),MAX($A$4730:$A5309)+1,"")</f>
        <v/>
      </c>
      <c r="B5337" s="361" t="s">
        <v>1851</v>
      </c>
      <c r="C5337" s="360"/>
      <c r="D5337" s="327">
        <f>IF($B5337="","",COUNTIF($B$4731:$B5337,$B5337))</f>
        <v>2</v>
      </c>
      <c r="E5337" s="402" t="s">
        <v>2788</v>
      </c>
      <c r="F5337" s="403" t="s">
        <v>2789</v>
      </c>
      <c r="G5337" s="327" t="s">
        <v>155</v>
      </c>
      <c r="H5337" s="361" t="s">
        <v>536</v>
      </c>
      <c r="I5337" s="327">
        <f>4*I5336</f>
        <v>8</v>
      </c>
      <c r="J5337" s="361"/>
      <c r="K5337" s="327" t="s">
        <v>100</v>
      </c>
      <c r="L5337" s="389">
        <v>600</v>
      </c>
      <c r="M5337" s="355"/>
      <c r="N5337" s="355" t="s">
        <v>2408</v>
      </c>
      <c r="O5337" s="345" t="s">
        <v>2776</v>
      </c>
      <c r="P5337" s="325"/>
      <c r="Q5337" s="327"/>
      <c r="R5337" s="351">
        <v>4</v>
      </c>
      <c r="S5337" s="351">
        <v>5.8</v>
      </c>
      <c r="T5337" s="351">
        <v>4.9569999999999999</v>
      </c>
      <c r="U5337" s="329" t="str">
        <f>IF($N5337=$N$4,IFERROR(INDEX(DanhMuc!$E$154:$E$165,MATCH(MID($B5337,4,2),DanhMuc!$B$154:$B$165,0)),""),"")</f>
        <v/>
      </c>
      <c r="V5337" s="361"/>
      <c r="W5337" s="345"/>
      <c r="X5337" s="786"/>
      <c r="Y5337" s="1128" t="s">
        <v>3380</v>
      </c>
      <c r="Z5337" s="1128" t="s">
        <v>3381</v>
      </c>
      <c r="AA5337" s="1128" t="s">
        <v>3384</v>
      </c>
      <c r="AB5337" s="20"/>
      <c r="AC5337" s="73"/>
    </row>
    <row r="5338" spans="1:29">
      <c r="A5338" s="327" t="str">
        <f>IF(AND($B5338&lt;&gt;"",$C5338&lt;&gt;""),MAX($A$4730:$A5310)+1,"")</f>
        <v/>
      </c>
      <c r="B5338" s="361" t="s">
        <v>1851</v>
      </c>
      <c r="C5338" s="360"/>
      <c r="D5338" s="327">
        <f>IF($B5338="","",COUNTIF($B$4731:$B5338,$B5338))</f>
        <v>3</v>
      </c>
      <c r="E5338" s="361" t="s">
        <v>652</v>
      </c>
      <c r="F5338" s="362" t="s">
        <v>2330</v>
      </c>
      <c r="G5338" s="327" t="s">
        <v>155</v>
      </c>
      <c r="H5338" s="361" t="s">
        <v>536</v>
      </c>
      <c r="I5338" s="327">
        <v>2</v>
      </c>
      <c r="J5338" s="361"/>
      <c r="K5338" s="327" t="s">
        <v>100</v>
      </c>
      <c r="L5338" s="389">
        <v>15000</v>
      </c>
      <c r="M5338" s="355"/>
      <c r="N5338" s="355" t="s">
        <v>2408</v>
      </c>
      <c r="O5338" s="345" t="s">
        <v>2777</v>
      </c>
      <c r="P5338" s="325"/>
      <c r="Q5338" s="327"/>
      <c r="R5338" s="351">
        <v>4</v>
      </c>
      <c r="S5338" s="351">
        <v>5.8</v>
      </c>
      <c r="T5338" s="351">
        <v>4.9569999999999999</v>
      </c>
      <c r="U5338" s="329" t="str">
        <f>IF($N5338=$N$4,IFERROR(INDEX(DanhMuc!$E$154:$E$165,MATCH(MID($B5338,4,2),DanhMuc!$B$154:$B$165,0)),""),"")</f>
        <v/>
      </c>
      <c r="V5338" s="361"/>
      <c r="W5338" s="345"/>
      <c r="X5338" s="786"/>
      <c r="Y5338" s="1128" t="s">
        <v>3380</v>
      </c>
      <c r="Z5338" s="1128" t="s">
        <v>3381</v>
      </c>
      <c r="AA5338" s="1128" t="s">
        <v>3384</v>
      </c>
      <c r="AB5338" s="20"/>
      <c r="AC5338" s="73"/>
    </row>
    <row r="5339" spans="1:29">
      <c r="A5339" s="327" t="str">
        <f>IF(AND($B5339&lt;&gt;"",$C5339&lt;&gt;""),MAX($A$4730:$A5334)+1,"")</f>
        <v/>
      </c>
      <c r="B5339" s="361" t="s">
        <v>1851</v>
      </c>
      <c r="C5339" s="362"/>
      <c r="D5339" s="327">
        <f>IF($B5339="","",COUNTIF($B$4731:$B5339,$B5339))</f>
        <v>4</v>
      </c>
      <c r="E5339" s="402" t="s">
        <v>2301</v>
      </c>
      <c r="F5339" s="403" t="s">
        <v>2333</v>
      </c>
      <c r="G5339" s="327" t="s">
        <v>155</v>
      </c>
      <c r="H5339" s="361" t="s">
        <v>536</v>
      </c>
      <c r="I5339" s="327">
        <v>16</v>
      </c>
      <c r="J5339" s="361"/>
      <c r="K5339" s="327" t="s">
        <v>101</v>
      </c>
      <c r="L5339" s="389">
        <v>9400</v>
      </c>
      <c r="M5339" s="355"/>
      <c r="N5339" s="355" t="s">
        <v>2408</v>
      </c>
      <c r="O5339" s="345" t="s">
        <v>2778</v>
      </c>
      <c r="P5339" s="325"/>
      <c r="Q5339" s="327"/>
      <c r="R5339" s="351">
        <v>4</v>
      </c>
      <c r="S5339" s="351">
        <v>5.8</v>
      </c>
      <c r="T5339" s="351">
        <v>4.9569999999999999</v>
      </c>
      <c r="U5339" s="329" t="str">
        <f>IF($N5339=$N$4,IFERROR(INDEX(DanhMuc!$E$154:$E$165,MATCH(MID($B5339,4,2),DanhMuc!$B$154:$B$165,0)),""),"")</f>
        <v/>
      </c>
      <c r="V5339" s="361"/>
      <c r="W5339" s="345"/>
      <c r="X5339" s="786"/>
      <c r="Y5339" s="1128" t="s">
        <v>3380</v>
      </c>
      <c r="Z5339" s="1128" t="s">
        <v>3381</v>
      </c>
      <c r="AA5339" s="1128" t="s">
        <v>3384</v>
      </c>
      <c r="AB5339" s="20"/>
      <c r="AC5339" s="73"/>
    </row>
    <row r="5340" spans="1:29">
      <c r="A5340" s="327" t="str">
        <f>IF(AND($B5340&lt;&gt;"",$C5340&lt;&gt;""),MAX($A$4730:$A5335)+1,"")</f>
        <v/>
      </c>
      <c r="B5340" s="361" t="s">
        <v>1851</v>
      </c>
      <c r="C5340" s="362"/>
      <c r="D5340" s="327">
        <f>IF($B5340="","",COUNTIF($B$4731:$B5340,$B5340))</f>
        <v>5</v>
      </c>
      <c r="E5340" s="402" t="s">
        <v>2788</v>
      </c>
      <c r="F5340" s="403" t="s">
        <v>2789</v>
      </c>
      <c r="G5340" s="327" t="s">
        <v>155</v>
      </c>
      <c r="H5340" s="361" t="s">
        <v>536</v>
      </c>
      <c r="I5340" s="327">
        <f>4*I5339</f>
        <v>64</v>
      </c>
      <c r="J5340" s="361"/>
      <c r="K5340" s="327" t="s">
        <v>101</v>
      </c>
      <c r="L5340" s="389">
        <v>600</v>
      </c>
      <c r="M5340" s="355"/>
      <c r="N5340" s="355" t="s">
        <v>2408</v>
      </c>
      <c r="O5340" s="345" t="s">
        <v>2778</v>
      </c>
      <c r="P5340" s="325"/>
      <c r="Q5340" s="327"/>
      <c r="R5340" s="351">
        <v>4</v>
      </c>
      <c r="S5340" s="351">
        <v>5.8</v>
      </c>
      <c r="T5340" s="351">
        <v>4.9569999999999999</v>
      </c>
      <c r="U5340" s="329" t="str">
        <f>IF($N5340=$N$4,IFERROR(INDEX(DanhMuc!$E$154:$E$165,MATCH(MID($B5340,4,2),DanhMuc!$B$154:$B$165,0)),""),"")</f>
        <v/>
      </c>
      <c r="V5340" s="361"/>
      <c r="W5340" s="345"/>
      <c r="X5340" s="786"/>
      <c r="Y5340" s="1128" t="s">
        <v>3380</v>
      </c>
      <c r="Z5340" s="1128" t="s">
        <v>3381</v>
      </c>
      <c r="AA5340" s="1128" t="s">
        <v>3384</v>
      </c>
      <c r="AB5340" s="20"/>
      <c r="AC5340" s="73"/>
    </row>
    <row r="5341" spans="1:29">
      <c r="A5341" s="327" t="str">
        <f>IF(AND($B5341&lt;&gt;"",$C5341&lt;&gt;""),MAX($A$4730:$A5336)+1,"")</f>
        <v/>
      </c>
      <c r="B5341" s="361" t="s">
        <v>1851</v>
      </c>
      <c r="C5341" s="362"/>
      <c r="D5341" s="327">
        <f>IF($B5341="","",COUNTIF($B$4731:$B5341,$B5341))</f>
        <v>6</v>
      </c>
      <c r="E5341" s="361" t="s">
        <v>652</v>
      </c>
      <c r="F5341" s="362" t="s">
        <v>2330</v>
      </c>
      <c r="G5341" s="327" t="s">
        <v>155</v>
      </c>
      <c r="H5341" s="361" t="s">
        <v>536</v>
      </c>
      <c r="I5341" s="327">
        <v>16</v>
      </c>
      <c r="J5341" s="361"/>
      <c r="K5341" s="327" t="s">
        <v>101</v>
      </c>
      <c r="L5341" s="389">
        <v>15000</v>
      </c>
      <c r="M5341" s="355"/>
      <c r="N5341" s="355" t="s">
        <v>2408</v>
      </c>
      <c r="O5341" s="345" t="s">
        <v>2779</v>
      </c>
      <c r="P5341" s="325"/>
      <c r="Q5341" s="327"/>
      <c r="R5341" s="351">
        <v>4</v>
      </c>
      <c r="S5341" s="351">
        <v>5.8</v>
      </c>
      <c r="T5341" s="351">
        <v>4.9569999999999999</v>
      </c>
      <c r="U5341" s="329" t="str">
        <f>IF($N5341=$N$4,IFERROR(INDEX(DanhMuc!$E$154:$E$165,MATCH(MID($B5341,4,2),DanhMuc!$B$154:$B$165,0)),""),"")</f>
        <v/>
      </c>
      <c r="V5341" s="361"/>
      <c r="W5341" s="345"/>
      <c r="X5341" s="786"/>
      <c r="Y5341" s="1128" t="s">
        <v>3380</v>
      </c>
      <c r="Z5341" s="1128" t="s">
        <v>3381</v>
      </c>
      <c r="AA5341" s="1128" t="s">
        <v>3384</v>
      </c>
      <c r="AB5341" s="20"/>
      <c r="AC5341" s="73"/>
    </row>
    <row r="5342" spans="1:29">
      <c r="A5342" s="327" t="str">
        <f>IF(AND($B5342&lt;&gt;"",$C5342&lt;&gt;""),MAX($A$4730:$A5341)+1,"")</f>
        <v/>
      </c>
      <c r="B5342" s="361" t="s">
        <v>1851</v>
      </c>
      <c r="C5342" s="362"/>
      <c r="D5342" s="327">
        <f>IF($B5342="","",COUNTIF($B$4731:$B5342,$B5342))</f>
        <v>7</v>
      </c>
      <c r="E5342" s="361" t="s">
        <v>414</v>
      </c>
      <c r="F5342" s="362" t="s">
        <v>413</v>
      </c>
      <c r="G5342" s="327" t="s">
        <v>155</v>
      </c>
      <c r="H5342" s="361" t="s">
        <v>536</v>
      </c>
      <c r="I5342" s="327">
        <f>+I5336+I5339*2</f>
        <v>34</v>
      </c>
      <c r="J5342" s="361"/>
      <c r="K5342" s="327" t="s">
        <v>415</v>
      </c>
      <c r="L5342" s="389">
        <v>408</v>
      </c>
      <c r="M5342" s="355"/>
      <c r="N5342" s="355" t="s">
        <v>2408</v>
      </c>
      <c r="O5342" s="345"/>
      <c r="P5342" s="325"/>
      <c r="Q5342" s="327"/>
      <c r="R5342" s="351"/>
      <c r="S5342" s="351"/>
      <c r="T5342" s="351"/>
      <c r="U5342" s="329" t="str">
        <f>IF($N5342=$N$4,IFERROR(INDEX(DanhMuc!$E$154:$E$165,MATCH(MID($B5342,4,2),DanhMuc!$B$154:$B$165,0)),""),"")</f>
        <v/>
      </c>
      <c r="V5342" s="361"/>
      <c r="W5342" s="345"/>
      <c r="X5342" s="786"/>
      <c r="Y5342" s="1128" t="s">
        <v>3380</v>
      </c>
      <c r="Z5342" s="1128" t="s">
        <v>3381</v>
      </c>
      <c r="AA5342" s="1128" t="s">
        <v>3384</v>
      </c>
      <c r="AB5342" s="20"/>
      <c r="AC5342" s="73"/>
    </row>
    <row r="5343" spans="1:29">
      <c r="A5343" s="327" t="str">
        <f>IF(AND($B5343&lt;&gt;"",$C5343&lt;&gt;""),MAX($A$4730:$A5342)+1,"")</f>
        <v/>
      </c>
      <c r="B5343" s="361" t="s">
        <v>1851</v>
      </c>
      <c r="C5343" s="362"/>
      <c r="D5343" s="327">
        <f>IF($B5343="","",COUNTIF($B$4731:$B5343,$B5343))</f>
        <v>8</v>
      </c>
      <c r="E5343" s="361" t="s">
        <v>1826</v>
      </c>
      <c r="F5343" s="362" t="s">
        <v>670</v>
      </c>
      <c r="G5343" s="327" t="s">
        <v>661</v>
      </c>
      <c r="H5343" s="361" t="s">
        <v>536</v>
      </c>
      <c r="I5343" s="361" t="s">
        <v>2354</v>
      </c>
      <c r="J5343" s="361"/>
      <c r="K5343" s="327" t="s">
        <v>103</v>
      </c>
      <c r="L5343" s="478">
        <f>40000/1000</f>
        <v>40</v>
      </c>
      <c r="M5343" s="355"/>
      <c r="N5343" s="355" t="s">
        <v>2408</v>
      </c>
      <c r="O5343" s="345"/>
      <c r="P5343" s="325"/>
      <c r="Q5343" s="327"/>
      <c r="R5343" s="351"/>
      <c r="S5343" s="351"/>
      <c r="T5343" s="351"/>
      <c r="U5343" s="329" t="str">
        <f>IF($N5343=$N$4,IFERROR(INDEX(DanhMuc!$E$154:$E$165,MATCH(MID($B5343,4,2),DanhMuc!$B$154:$B$165,0)),""),"")</f>
        <v/>
      </c>
      <c r="V5343" s="361"/>
      <c r="W5343" s="345"/>
      <c r="X5343" s="786"/>
      <c r="Y5343" s="1128" t="s">
        <v>3380</v>
      </c>
      <c r="Z5343" s="1128" t="s">
        <v>3381</v>
      </c>
      <c r="AA5343" s="1128" t="s">
        <v>3384</v>
      </c>
      <c r="AB5343" s="20"/>
      <c r="AC5343" s="73"/>
    </row>
    <row r="5344" spans="1:29" ht="37.5">
      <c r="A5344" s="327" t="str">
        <f>IF(AND($B5344&lt;&gt;"",$C5344&lt;&gt;""),MAX($A$4730:$A5343)+1,"")</f>
        <v/>
      </c>
      <c r="B5344" s="361" t="s">
        <v>1851</v>
      </c>
      <c r="C5344" s="362"/>
      <c r="D5344" s="327">
        <f>IF($B5344="","",COUNTIF($B$4731:$B5344,$B5344))</f>
        <v>9</v>
      </c>
      <c r="E5344" s="362" t="s">
        <v>1964</v>
      </c>
      <c r="F5344" s="362" t="s">
        <v>1965</v>
      </c>
      <c r="G5344" s="327" t="s">
        <v>405</v>
      </c>
      <c r="H5344" s="361" t="s">
        <v>536</v>
      </c>
      <c r="I5344" s="361" t="s">
        <v>694</v>
      </c>
      <c r="J5344" s="361"/>
      <c r="K5344" s="327" t="s">
        <v>223</v>
      </c>
      <c r="L5344" s="478">
        <v>140</v>
      </c>
      <c r="M5344" s="371"/>
      <c r="N5344" s="355" t="s">
        <v>2408</v>
      </c>
      <c r="O5344" s="345"/>
      <c r="P5344" s="325"/>
      <c r="Q5344" s="327"/>
      <c r="R5344" s="351"/>
      <c r="S5344" s="351"/>
      <c r="T5344" s="351"/>
      <c r="U5344" s="329" t="str">
        <f>IF($N5344=$N$4,IFERROR(INDEX(DanhMuc!$E$154:$E$165,MATCH(MID($B5344,4,2),DanhMuc!$B$154:$B$165,0)),""),"")</f>
        <v/>
      </c>
      <c r="V5344" s="361"/>
      <c r="W5344" s="345"/>
      <c r="X5344" s="786"/>
      <c r="Y5344" s="1128" t="s">
        <v>3380</v>
      </c>
      <c r="Z5344" s="1128" t="s">
        <v>3381</v>
      </c>
      <c r="AA5344" s="1128" t="s">
        <v>3384</v>
      </c>
      <c r="AB5344" s="20"/>
      <c r="AC5344" s="73"/>
    </row>
    <row r="5345" spans="1:29" ht="37.5">
      <c r="A5345" s="327" t="str">
        <f>IF(AND($B5345&lt;&gt;"",$C5345&lt;&gt;""),MAX($A$4730:$A5344)+1,"")</f>
        <v/>
      </c>
      <c r="B5345" s="361" t="s">
        <v>1851</v>
      </c>
      <c r="C5345" s="362"/>
      <c r="D5345" s="327">
        <f>IF($B5345="","",COUNTIF($B$4731:$B5345,$B5345))</f>
        <v>10</v>
      </c>
      <c r="E5345" s="362" t="s">
        <v>2756</v>
      </c>
      <c r="F5345" s="362" t="s">
        <v>2757</v>
      </c>
      <c r="G5345" s="327" t="s">
        <v>405</v>
      </c>
      <c r="H5345" s="361" t="s">
        <v>536</v>
      </c>
      <c r="I5345" s="361" t="s">
        <v>694</v>
      </c>
      <c r="J5345" s="361"/>
      <c r="K5345" s="327" t="s">
        <v>223</v>
      </c>
      <c r="L5345" s="479">
        <v>322</v>
      </c>
      <c r="M5345" s="371"/>
      <c r="N5345" s="355" t="s">
        <v>2408</v>
      </c>
      <c r="O5345" s="345"/>
      <c r="P5345" s="325"/>
      <c r="Q5345" s="327"/>
      <c r="R5345" s="351"/>
      <c r="S5345" s="351"/>
      <c r="T5345" s="351"/>
      <c r="U5345" s="329" t="str">
        <f>IF($N5345=$N$4,IFERROR(INDEX(DanhMuc!$E$154:$E$165,MATCH(MID($B5345,4,2),DanhMuc!$B$154:$B$165,0)),""),"")</f>
        <v/>
      </c>
      <c r="V5345" s="361"/>
      <c r="W5345" s="345"/>
      <c r="X5345" s="786"/>
      <c r="Y5345" s="1128" t="s">
        <v>3380</v>
      </c>
      <c r="Z5345" s="1128" t="s">
        <v>3381</v>
      </c>
      <c r="AA5345" s="1128" t="s">
        <v>3384</v>
      </c>
      <c r="AB5345" s="20"/>
      <c r="AC5345" s="73"/>
    </row>
    <row r="5346" spans="1:29">
      <c r="A5346" s="327" t="str">
        <f>IF(AND($B5346&lt;&gt;"",$C5346&lt;&gt;""),MAX($A$4730:$A5345)+1,"")</f>
        <v/>
      </c>
      <c r="B5346" s="361" t="s">
        <v>1851</v>
      </c>
      <c r="C5346" s="362"/>
      <c r="D5346" s="327">
        <f>IF($B5346="","",COUNTIF($B$4731:$B5346,$B5346))</f>
        <v>11</v>
      </c>
      <c r="E5346" s="361" t="s">
        <v>656</v>
      </c>
      <c r="F5346" s="362" t="s">
        <v>2239</v>
      </c>
      <c r="G5346" s="327" t="s">
        <v>405</v>
      </c>
      <c r="H5346" s="361" t="s">
        <v>536</v>
      </c>
      <c r="I5346" s="361" t="s">
        <v>1827</v>
      </c>
      <c r="J5346" s="361"/>
      <c r="K5346" s="327" t="s">
        <v>100</v>
      </c>
      <c r="L5346" s="478">
        <v>970</v>
      </c>
      <c r="M5346" s="371"/>
      <c r="N5346" s="355" t="s">
        <v>2409</v>
      </c>
      <c r="O5346" s="345"/>
      <c r="P5346" s="325"/>
      <c r="Q5346" s="327"/>
      <c r="R5346" s="351"/>
      <c r="S5346" s="351"/>
      <c r="T5346" s="351"/>
      <c r="U5346" s="329" t="str">
        <f>IF($N5346=$N$4,IFERROR(INDEX(DanhMuc!$E$154:$E$165,MATCH(MID($B5346,4,2),DanhMuc!$B$154:$B$165,0)),""),"")</f>
        <v/>
      </c>
      <c r="V5346" s="361"/>
      <c r="W5346" s="345"/>
      <c r="X5346" s="786"/>
      <c r="Y5346" s="1128" t="s">
        <v>3380</v>
      </c>
      <c r="Z5346" s="1128" t="s">
        <v>3381</v>
      </c>
      <c r="AA5346" s="1128" t="s">
        <v>3384</v>
      </c>
      <c r="AB5346" s="20"/>
      <c r="AC5346" s="73"/>
    </row>
    <row r="5347" spans="1:29">
      <c r="A5347" s="327" t="str">
        <f>IF(AND($B5347&lt;&gt;"",$C5347&lt;&gt;""),MAX($A$4730:$A5346)+1,"")</f>
        <v/>
      </c>
      <c r="B5347" s="361" t="s">
        <v>1851</v>
      </c>
      <c r="C5347" s="362"/>
      <c r="D5347" s="327">
        <f>IF($B5347="","",COUNTIF($B$4731:$B5347,$B5347))</f>
        <v>12</v>
      </c>
      <c r="E5347" s="361" t="s">
        <v>657</v>
      </c>
      <c r="F5347" s="362" t="s">
        <v>658</v>
      </c>
      <c r="G5347" s="327" t="s">
        <v>424</v>
      </c>
      <c r="H5347" s="361" t="s">
        <v>536</v>
      </c>
      <c r="I5347" s="361" t="s">
        <v>665</v>
      </c>
      <c r="J5347" s="361"/>
      <c r="K5347" s="327" t="s">
        <v>100</v>
      </c>
      <c r="L5347" s="478">
        <v>60000</v>
      </c>
      <c r="M5347" s="355"/>
      <c r="N5347" s="355" t="s">
        <v>2409</v>
      </c>
      <c r="O5347" s="345"/>
      <c r="P5347" s="325"/>
      <c r="Q5347" s="327"/>
      <c r="R5347" s="351"/>
      <c r="S5347" s="351"/>
      <c r="T5347" s="351"/>
      <c r="U5347" s="329" t="str">
        <f>IF($N5347=$N$4,IFERROR(INDEX(DanhMuc!$E$154:$E$165,MATCH(MID($B5347,4,2),DanhMuc!$B$154:$B$165,0)),""),"")</f>
        <v/>
      </c>
      <c r="V5347" s="361"/>
      <c r="W5347" s="345"/>
      <c r="X5347" s="786"/>
      <c r="Y5347" s="1128" t="s">
        <v>3380</v>
      </c>
      <c r="Z5347" s="1128" t="s">
        <v>3381</v>
      </c>
      <c r="AA5347" s="1128" t="s">
        <v>3384</v>
      </c>
      <c r="AB5347" s="20"/>
      <c r="AC5347" s="73"/>
    </row>
    <row r="5348" spans="1:29">
      <c r="A5348" s="327" t="str">
        <f>IF(AND($B5348&lt;&gt;"",$C5348&lt;&gt;""),MAX($A$4730:$A5347)+1,"")</f>
        <v/>
      </c>
      <c r="B5348" s="361" t="s">
        <v>1851</v>
      </c>
      <c r="C5348" s="362"/>
      <c r="D5348" s="327">
        <f>IF($B5348="","",COUNTIF($B$4731:$B5348,$B5348))</f>
        <v>13</v>
      </c>
      <c r="E5348" s="361" t="s">
        <v>2771</v>
      </c>
      <c r="F5348" s="362" t="s">
        <v>659</v>
      </c>
      <c r="G5348" s="327" t="s">
        <v>424</v>
      </c>
      <c r="H5348" s="361" t="s">
        <v>536</v>
      </c>
      <c r="I5348" s="361" t="s">
        <v>666</v>
      </c>
      <c r="J5348" s="361"/>
      <c r="K5348" s="327" t="s">
        <v>100</v>
      </c>
      <c r="L5348" s="389">
        <v>53000</v>
      </c>
      <c r="M5348" s="355"/>
      <c r="N5348" s="355" t="s">
        <v>2409</v>
      </c>
      <c r="O5348" s="345"/>
      <c r="P5348" s="325"/>
      <c r="Q5348" s="327"/>
      <c r="R5348" s="351"/>
      <c r="S5348" s="351"/>
      <c r="T5348" s="351"/>
      <c r="U5348" s="329" t="str">
        <f>IF($N5348=$N$4,IFERROR(INDEX(DanhMuc!$E$154:$E$165,MATCH(MID($B5348,4,2),DanhMuc!$B$154:$B$165,0)),""),"")</f>
        <v/>
      </c>
      <c r="V5348" s="361"/>
      <c r="W5348" s="345"/>
      <c r="X5348" s="786"/>
      <c r="Y5348" s="1128" t="s">
        <v>3380</v>
      </c>
      <c r="Z5348" s="1128" t="s">
        <v>3381</v>
      </c>
      <c r="AA5348" s="1128" t="s">
        <v>3384</v>
      </c>
      <c r="AB5348" s="20"/>
      <c r="AC5348" s="73"/>
    </row>
    <row r="5349" spans="1:29">
      <c r="A5349" s="327" t="str">
        <f>IF(AND($B5349&lt;&gt;"",$C5349&lt;&gt;""),MAX($A$4730:$A5348)+1,"")</f>
        <v/>
      </c>
      <c r="B5349" s="361" t="s">
        <v>1851</v>
      </c>
      <c r="C5349" s="362"/>
      <c r="D5349" s="327">
        <f>IF($B5349="","",COUNTIF($B$4731:$B5349,$B5349))</f>
        <v>14</v>
      </c>
      <c r="E5349" s="361" t="s">
        <v>1828</v>
      </c>
      <c r="F5349" s="362" t="s">
        <v>671</v>
      </c>
      <c r="G5349" s="327" t="s">
        <v>661</v>
      </c>
      <c r="H5349" s="361" t="s">
        <v>536</v>
      </c>
      <c r="I5349" s="361" t="s">
        <v>2355</v>
      </c>
      <c r="J5349" s="361"/>
      <c r="K5349" s="327" t="s">
        <v>100</v>
      </c>
      <c r="L5349" s="478">
        <f>40000/1000</f>
        <v>40</v>
      </c>
      <c r="M5349" s="355"/>
      <c r="N5349" s="355" t="s">
        <v>2409</v>
      </c>
      <c r="O5349" s="345"/>
      <c r="P5349" s="325"/>
      <c r="Q5349" s="327"/>
      <c r="R5349" s="351"/>
      <c r="S5349" s="351"/>
      <c r="T5349" s="351"/>
      <c r="U5349" s="329" t="str">
        <f>IF($N5349=$N$4,IFERROR(INDEX(DanhMuc!$E$154:$E$165,MATCH(MID($B5349,4,2),DanhMuc!$B$154:$B$165,0)),""),"")</f>
        <v/>
      </c>
      <c r="V5349" s="361"/>
      <c r="W5349" s="345"/>
      <c r="X5349" s="786"/>
      <c r="Y5349" s="1128" t="s">
        <v>3380</v>
      </c>
      <c r="Z5349" s="1128" t="s">
        <v>3381</v>
      </c>
      <c r="AA5349" s="1128" t="s">
        <v>3384</v>
      </c>
      <c r="AB5349" s="20"/>
      <c r="AC5349" s="73"/>
    </row>
    <row r="5350" spans="1:29">
      <c r="A5350" s="327" t="str">
        <f>IF(AND($B5350&lt;&gt;"",$C5350&lt;&gt;""),MAX($A$4730:$A5349)+1,"")</f>
        <v/>
      </c>
      <c r="B5350" s="361" t="s">
        <v>1851</v>
      </c>
      <c r="C5350" s="362"/>
      <c r="D5350" s="327">
        <f>IF($B5350="","",COUNTIF($B$4731:$B5350,$B5350))</f>
        <v>15</v>
      </c>
      <c r="E5350" s="361" t="s">
        <v>154</v>
      </c>
      <c r="F5350" s="362" t="s">
        <v>660</v>
      </c>
      <c r="G5350" s="327" t="s">
        <v>661</v>
      </c>
      <c r="H5350" s="361" t="s">
        <v>536</v>
      </c>
      <c r="I5350" s="361" t="s">
        <v>667</v>
      </c>
      <c r="J5350" s="361"/>
      <c r="K5350" s="327" t="s">
        <v>662</v>
      </c>
      <c r="L5350" s="478">
        <v>20</v>
      </c>
      <c r="M5350" s="355"/>
      <c r="N5350" s="355" t="s">
        <v>2409</v>
      </c>
      <c r="O5350" s="345"/>
      <c r="P5350" s="325"/>
      <c r="Q5350" s="327"/>
      <c r="R5350" s="351"/>
      <c r="S5350" s="351"/>
      <c r="T5350" s="351"/>
      <c r="U5350" s="329" t="str">
        <f>IF($N5350=$N$4,IFERROR(INDEX(DanhMuc!$E$154:$E$165,MATCH(MID($B5350,4,2),DanhMuc!$B$154:$B$165,0)),""),"")</f>
        <v/>
      </c>
      <c r="V5350" s="361"/>
      <c r="W5350" s="345"/>
      <c r="X5350" s="786"/>
      <c r="Y5350" s="1128" t="s">
        <v>3380</v>
      </c>
      <c r="Z5350" s="1128" t="s">
        <v>3381</v>
      </c>
      <c r="AA5350" s="1128" t="s">
        <v>3384</v>
      </c>
      <c r="AB5350" s="20"/>
      <c r="AC5350" s="73"/>
    </row>
    <row r="5351" spans="1:29">
      <c r="A5351" s="327" t="str">
        <f>IF(AND($B5351&lt;&gt;"",$C5351&lt;&gt;""),MAX($A$4730:$A5350)+1,"")</f>
        <v/>
      </c>
      <c r="B5351" s="361" t="s">
        <v>1851</v>
      </c>
      <c r="C5351" s="362"/>
      <c r="D5351" s="327">
        <f>IF($B5351="","",COUNTIF($B$4731:$B5351,$B5351))</f>
        <v>16</v>
      </c>
      <c r="E5351" s="362" t="s">
        <v>2282</v>
      </c>
      <c r="F5351" s="362" t="s">
        <v>2283</v>
      </c>
      <c r="G5351" s="327" t="s">
        <v>424</v>
      </c>
      <c r="H5351" s="361" t="s">
        <v>536</v>
      </c>
      <c r="I5351" s="361" t="s">
        <v>2238</v>
      </c>
      <c r="J5351" s="361"/>
      <c r="K5351" s="327" t="s">
        <v>662</v>
      </c>
      <c r="L5351" s="478">
        <v>28000</v>
      </c>
      <c r="M5351" s="355"/>
      <c r="N5351" s="355" t="s">
        <v>2409</v>
      </c>
      <c r="O5351" s="345"/>
      <c r="P5351" s="325"/>
      <c r="Q5351" s="327"/>
      <c r="R5351" s="351"/>
      <c r="S5351" s="351"/>
      <c r="T5351" s="351"/>
      <c r="U5351" s="329" t="str">
        <f>IF($N5351=$N$4,IFERROR(INDEX(DanhMuc!$E$154:$E$165,MATCH(MID($B5351,4,2),DanhMuc!$B$154:$B$165,0)),""),"")</f>
        <v/>
      </c>
      <c r="V5351" s="361"/>
      <c r="W5351" s="345"/>
      <c r="X5351" s="786"/>
      <c r="Y5351" s="1128" t="s">
        <v>3380</v>
      </c>
      <c r="Z5351" s="1128" t="s">
        <v>3381</v>
      </c>
      <c r="AA5351" s="1128" t="s">
        <v>3384</v>
      </c>
      <c r="AB5351" s="20"/>
      <c r="AC5351" s="73"/>
    </row>
    <row r="5352" spans="1:29">
      <c r="A5352" s="327" t="str">
        <f>IF(AND($B5352&lt;&gt;"",$C5352&lt;&gt;""),MAX($A$4730:$A5351)+1,"")</f>
        <v/>
      </c>
      <c r="B5352" s="361" t="s">
        <v>1851</v>
      </c>
      <c r="C5352" s="362"/>
      <c r="D5352" s="327">
        <f>IF($B5352="","",COUNTIF($B$4731:$B5352,$B5352))</f>
        <v>17</v>
      </c>
      <c r="E5352" s="362" t="s">
        <v>663</v>
      </c>
      <c r="F5352" s="362" t="s">
        <v>664</v>
      </c>
      <c r="G5352" s="327" t="s">
        <v>155</v>
      </c>
      <c r="H5352" s="361" t="s">
        <v>536</v>
      </c>
      <c r="I5352" s="361" t="s">
        <v>672</v>
      </c>
      <c r="J5352" s="361"/>
      <c r="K5352" s="327" t="s">
        <v>662</v>
      </c>
      <c r="L5352" s="478">
        <v>1000</v>
      </c>
      <c r="M5352" s="355"/>
      <c r="N5352" s="355" t="s">
        <v>2409</v>
      </c>
      <c r="O5352" s="345"/>
      <c r="P5352" s="325"/>
      <c r="Q5352" s="327"/>
      <c r="R5352" s="351"/>
      <c r="S5352" s="351"/>
      <c r="T5352" s="351"/>
      <c r="U5352" s="329" t="str">
        <f>IF($N5352=$N$4,IFERROR(INDEX(DanhMuc!$E$154:$E$165,MATCH(MID($B5352,4,2),DanhMuc!$B$154:$B$165,0)),""),"")</f>
        <v/>
      </c>
      <c r="V5352" s="361"/>
      <c r="W5352" s="345"/>
      <c r="X5352" s="786"/>
      <c r="Y5352" s="1128" t="s">
        <v>3380</v>
      </c>
      <c r="Z5352" s="1128" t="s">
        <v>3381</v>
      </c>
      <c r="AA5352" s="1128" t="s">
        <v>3384</v>
      </c>
      <c r="AB5352" s="20"/>
      <c r="AC5352" s="73"/>
    </row>
    <row r="5353" spans="1:29" ht="39">
      <c r="A5353" s="327">
        <f>IF(AND($B5353&lt;&gt;"",$C5353&lt;&gt;""),MAX($A$4730:$A5327)+1,"")</f>
        <v>22</v>
      </c>
      <c r="B5353" s="359" t="s">
        <v>1859</v>
      </c>
      <c r="C5353" s="360" t="s">
        <v>1886</v>
      </c>
      <c r="D5353" s="327">
        <f>IF($B5353="","",COUNTIF($B$4731:$B5353,$B5353))</f>
        <v>1</v>
      </c>
      <c r="E5353" s="361" t="s">
        <v>2069</v>
      </c>
      <c r="F5353" s="362" t="s">
        <v>2070</v>
      </c>
      <c r="G5353" s="327" t="s">
        <v>155</v>
      </c>
      <c r="H5353" s="361" t="s">
        <v>536</v>
      </c>
      <c r="I5353" s="327">
        <v>2</v>
      </c>
      <c r="J5353" s="361"/>
      <c r="K5353" s="327" t="s">
        <v>100</v>
      </c>
      <c r="L5353" s="389">
        <v>11000</v>
      </c>
      <c r="M5353" s="355"/>
      <c r="N5353" s="355" t="s">
        <v>2408</v>
      </c>
      <c r="O5353" s="345"/>
      <c r="P5353" s="325"/>
      <c r="Q5353" s="327"/>
      <c r="R5353" s="351">
        <v>2.5</v>
      </c>
      <c r="S5353" s="351">
        <v>5.8</v>
      </c>
      <c r="T5353" s="351">
        <v>1.44</v>
      </c>
      <c r="U5353" s="329" t="str">
        <f>IF($N5353=$N$4,IFERROR(INDEX(DanhMuc!$E$154:$E$165,MATCH(MID($B5353,4,2),DanhMuc!$B$154:$B$165,0)),""),"")</f>
        <v/>
      </c>
      <c r="V5353" s="361"/>
      <c r="W5353" s="345"/>
      <c r="X5353" s="786"/>
      <c r="Y5353" s="1128" t="s">
        <v>3380</v>
      </c>
      <c r="Z5353" s="1128" t="s">
        <v>3381</v>
      </c>
      <c r="AA5353" s="1128" t="s">
        <v>3384</v>
      </c>
      <c r="AB5353" s="20"/>
      <c r="AC5353" s="73"/>
    </row>
    <row r="5354" spans="1:29">
      <c r="A5354" s="327" t="str">
        <f>IF(AND($B5354&lt;&gt;"",$C5354&lt;&gt;""),MAX($A$4730:$A5353)+1,"")</f>
        <v/>
      </c>
      <c r="B5354" s="361" t="s">
        <v>1859</v>
      </c>
      <c r="C5354" s="362"/>
      <c r="D5354" s="327">
        <f>IF($B5354="","",COUNTIF($B$4731:$B5354,$B5354))</f>
        <v>2</v>
      </c>
      <c r="E5354" s="361" t="s">
        <v>2315</v>
      </c>
      <c r="F5354" s="362" t="s">
        <v>2306</v>
      </c>
      <c r="G5354" s="327" t="s">
        <v>155</v>
      </c>
      <c r="H5354" s="361" t="s">
        <v>536</v>
      </c>
      <c r="I5354" s="327">
        <v>12</v>
      </c>
      <c r="J5354" s="361"/>
      <c r="K5354" s="327" t="s">
        <v>101</v>
      </c>
      <c r="L5354" s="389">
        <v>17800</v>
      </c>
      <c r="M5354" s="355"/>
      <c r="N5354" s="355" t="s">
        <v>2408</v>
      </c>
      <c r="O5354" s="345"/>
      <c r="P5354" s="325"/>
      <c r="Q5354" s="327"/>
      <c r="R5354" s="351"/>
      <c r="S5354" s="351"/>
      <c r="T5354" s="351"/>
      <c r="U5354" s="329" t="str">
        <f>IF($N5354=$N$4,IFERROR(INDEX(DanhMuc!$E$154:$E$165,MATCH(MID($B5354,4,2),DanhMuc!$B$154:$B$165,0)),""),"")</f>
        <v/>
      </c>
      <c r="V5354" s="361"/>
      <c r="W5354" s="345"/>
      <c r="X5354" s="786"/>
      <c r="Y5354" s="1128" t="s">
        <v>3380</v>
      </c>
      <c r="Z5354" s="1128" t="s">
        <v>3381</v>
      </c>
      <c r="AA5354" s="1128" t="s">
        <v>3384</v>
      </c>
      <c r="AB5354" s="20"/>
      <c r="AC5354" s="73"/>
    </row>
    <row r="5355" spans="1:29">
      <c r="A5355" s="327" t="str">
        <f>IF(AND($B5355&lt;&gt;"",$C5355&lt;&gt;""),MAX($A$4730:$A5354)+1,"")</f>
        <v/>
      </c>
      <c r="B5355" s="361" t="s">
        <v>1859</v>
      </c>
      <c r="C5355" s="360"/>
      <c r="D5355" s="327">
        <f>IF($B5355="","",COUNTIF($B$4731:$B5355,$B5355))</f>
        <v>3</v>
      </c>
      <c r="E5355" s="402" t="s">
        <v>2788</v>
      </c>
      <c r="F5355" s="403" t="s">
        <v>2789</v>
      </c>
      <c r="G5355" s="327" t="s">
        <v>155</v>
      </c>
      <c r="H5355" s="361" t="s">
        <v>536</v>
      </c>
      <c r="I5355" s="327">
        <f>4*I5354</f>
        <v>48</v>
      </c>
      <c r="J5355" s="361"/>
      <c r="K5355" s="327" t="s">
        <v>101</v>
      </c>
      <c r="L5355" s="389">
        <v>600</v>
      </c>
      <c r="M5355" s="355"/>
      <c r="N5355" s="355" t="s">
        <v>2408</v>
      </c>
      <c r="O5355" s="345"/>
      <c r="P5355" s="325"/>
      <c r="Q5355" s="327"/>
      <c r="R5355" s="351"/>
      <c r="S5355" s="351"/>
      <c r="T5355" s="351"/>
      <c r="U5355" s="329" t="str">
        <f>IF($N5355=$N$4,IFERROR(INDEX(DanhMuc!$E$154:$E$165,MATCH(MID($B5355,4,2),DanhMuc!$B$154:$B$165,0)),""),"")</f>
        <v/>
      </c>
      <c r="V5355" s="361"/>
      <c r="W5355" s="345"/>
      <c r="X5355" s="786"/>
      <c r="Y5355" s="1128" t="s">
        <v>3380</v>
      </c>
      <c r="Z5355" s="1128" t="s">
        <v>3381</v>
      </c>
      <c r="AA5355" s="1128" t="s">
        <v>3384</v>
      </c>
      <c r="AB5355" s="20"/>
      <c r="AC5355" s="73"/>
    </row>
    <row r="5356" spans="1:29">
      <c r="A5356" s="327" t="str">
        <f>IF(AND($B5356&lt;&gt;"",$C5356&lt;&gt;""),MAX($A$4730:$A5354)+1,"")</f>
        <v/>
      </c>
      <c r="B5356" s="361" t="s">
        <v>1859</v>
      </c>
      <c r="C5356" s="362"/>
      <c r="D5356" s="327">
        <f>IF($B5356="","",COUNTIF($B$4731:$B5356,$B5356))</f>
        <v>4</v>
      </c>
      <c r="E5356" s="361" t="s">
        <v>2336</v>
      </c>
      <c r="F5356" s="362" t="s">
        <v>2337</v>
      </c>
      <c r="G5356" s="327" t="s">
        <v>155</v>
      </c>
      <c r="H5356" s="361" t="s">
        <v>536</v>
      </c>
      <c r="I5356" s="327">
        <v>12</v>
      </c>
      <c r="J5356" s="361"/>
      <c r="K5356" s="327" t="s">
        <v>415</v>
      </c>
      <c r="L5356" s="389">
        <v>1000</v>
      </c>
      <c r="M5356" s="355"/>
      <c r="N5356" s="355" t="s">
        <v>2408</v>
      </c>
      <c r="O5356" s="345"/>
      <c r="P5356" s="325"/>
      <c r="Q5356" s="327"/>
      <c r="R5356" s="351"/>
      <c r="S5356" s="351"/>
      <c r="T5356" s="351"/>
      <c r="U5356" s="329" t="str">
        <f>IF($N5356=$N$4,IFERROR(INDEX(DanhMuc!$E$154:$E$165,MATCH(MID($B5356,4,2),DanhMuc!$B$154:$B$165,0)),""),"")</f>
        <v/>
      </c>
      <c r="V5356" s="361"/>
      <c r="W5356" s="345"/>
      <c r="X5356" s="786"/>
      <c r="Y5356" s="1128" t="s">
        <v>3380</v>
      </c>
      <c r="Z5356" s="1128" t="s">
        <v>3381</v>
      </c>
      <c r="AA5356" s="1128" t="s">
        <v>3384</v>
      </c>
      <c r="AB5356" s="20"/>
      <c r="AC5356" s="73"/>
    </row>
    <row r="5357" spans="1:29">
      <c r="A5357" s="327" t="str">
        <f>IF(AND($B5357&lt;&gt;"",$C5357&lt;&gt;""),MAX($A$4730:$A5356)+1,"")</f>
        <v/>
      </c>
      <c r="B5357" s="361" t="s">
        <v>1859</v>
      </c>
      <c r="C5357" s="362"/>
      <c r="D5357" s="327">
        <f>IF($B5357="","",COUNTIF($B$4731:$B5357,$B5357))</f>
        <v>5</v>
      </c>
      <c r="E5357" s="361" t="s">
        <v>1826</v>
      </c>
      <c r="F5357" s="362" t="s">
        <v>670</v>
      </c>
      <c r="G5357" s="327" t="s">
        <v>661</v>
      </c>
      <c r="H5357" s="361" t="s">
        <v>536</v>
      </c>
      <c r="I5357" s="361" t="s">
        <v>2354</v>
      </c>
      <c r="J5357" s="361"/>
      <c r="K5357" s="327" t="s">
        <v>103</v>
      </c>
      <c r="L5357" s="478">
        <f>40000/1000</f>
        <v>40</v>
      </c>
      <c r="M5357" s="355"/>
      <c r="N5357" s="355" t="s">
        <v>2408</v>
      </c>
      <c r="O5357" s="345"/>
      <c r="P5357" s="325"/>
      <c r="Q5357" s="327"/>
      <c r="R5357" s="351"/>
      <c r="S5357" s="351"/>
      <c r="T5357" s="351"/>
      <c r="U5357" s="329" t="str">
        <f>IF($N5357=$N$4,IFERROR(INDEX(DanhMuc!$E$154:$E$165,MATCH(MID($B5357,4,2),DanhMuc!$B$154:$B$165,0)),""),"")</f>
        <v/>
      </c>
      <c r="V5357" s="361"/>
      <c r="W5357" s="345"/>
      <c r="X5357" s="786"/>
      <c r="Y5357" s="1128" t="s">
        <v>3380</v>
      </c>
      <c r="Z5357" s="1128" t="s">
        <v>3381</v>
      </c>
      <c r="AA5357" s="1128" t="s">
        <v>3384</v>
      </c>
      <c r="AB5357" s="20"/>
      <c r="AC5357" s="73"/>
    </row>
    <row r="5358" spans="1:29" ht="37.5">
      <c r="A5358" s="327" t="str">
        <f>IF(AND($B5358&lt;&gt;"",$C5358&lt;&gt;""),MAX($A$4730:$A5357)+1,"")</f>
        <v/>
      </c>
      <c r="B5358" s="361" t="s">
        <v>1859</v>
      </c>
      <c r="C5358" s="362"/>
      <c r="D5358" s="327">
        <f>IF($B5358="","",COUNTIF($B$4731:$B5358,$B5358))</f>
        <v>6</v>
      </c>
      <c r="E5358" s="362" t="s">
        <v>1964</v>
      </c>
      <c r="F5358" s="362" t="s">
        <v>1965</v>
      </c>
      <c r="G5358" s="327" t="s">
        <v>405</v>
      </c>
      <c r="H5358" s="361" t="s">
        <v>536</v>
      </c>
      <c r="I5358" s="361" t="s">
        <v>2552</v>
      </c>
      <c r="J5358" s="361"/>
      <c r="K5358" s="327" t="s">
        <v>423</v>
      </c>
      <c r="L5358" s="478">
        <v>140</v>
      </c>
      <c r="M5358" s="371"/>
      <c r="N5358" s="355" t="s">
        <v>2408</v>
      </c>
      <c r="O5358" s="345"/>
      <c r="P5358" s="325"/>
      <c r="Q5358" s="327"/>
      <c r="R5358" s="351"/>
      <c r="S5358" s="351"/>
      <c r="T5358" s="351"/>
      <c r="U5358" s="329" t="str">
        <f>IF($N5358=$N$4,IFERROR(INDEX(DanhMuc!$E$154:$E$165,MATCH(MID($B5358,4,2),DanhMuc!$B$154:$B$165,0)),""),"")</f>
        <v/>
      </c>
      <c r="V5358" s="361"/>
      <c r="W5358" s="345"/>
      <c r="X5358" s="786"/>
      <c r="Y5358" s="1128" t="s">
        <v>3380</v>
      </c>
      <c r="Z5358" s="1128" t="s">
        <v>3381</v>
      </c>
      <c r="AA5358" s="1128" t="s">
        <v>3384</v>
      </c>
      <c r="AB5358" s="20"/>
      <c r="AC5358" s="73"/>
    </row>
    <row r="5359" spans="1:29" ht="37.5">
      <c r="A5359" s="327" t="str">
        <f>IF(AND($B5359&lt;&gt;"",$C5359&lt;&gt;""),MAX($A$4730:$A5358)+1,"")</f>
        <v/>
      </c>
      <c r="B5359" s="361" t="s">
        <v>1859</v>
      </c>
      <c r="C5359" s="362"/>
      <c r="D5359" s="327">
        <f>IF($B5359="","",COUNTIF($B$4731:$B5359,$B5359))</f>
        <v>7</v>
      </c>
      <c r="E5359" s="362" t="s">
        <v>2756</v>
      </c>
      <c r="F5359" s="362" t="s">
        <v>2757</v>
      </c>
      <c r="G5359" s="327" t="s">
        <v>405</v>
      </c>
      <c r="H5359" s="361" t="s">
        <v>536</v>
      </c>
      <c r="I5359" s="361" t="s">
        <v>2552</v>
      </c>
      <c r="J5359" s="361"/>
      <c r="K5359" s="327" t="s">
        <v>423</v>
      </c>
      <c r="L5359" s="479">
        <v>322</v>
      </c>
      <c r="M5359" s="371"/>
      <c r="N5359" s="355" t="s">
        <v>2408</v>
      </c>
      <c r="O5359" s="345"/>
      <c r="P5359" s="325"/>
      <c r="Q5359" s="327"/>
      <c r="R5359" s="351"/>
      <c r="S5359" s="351"/>
      <c r="T5359" s="351"/>
      <c r="U5359" s="329" t="str">
        <f>IF($N5359=$N$4,IFERROR(INDEX(DanhMuc!$E$154:$E$165,MATCH(MID($B5359,4,2),DanhMuc!$B$154:$B$165,0)),""),"")</f>
        <v/>
      </c>
      <c r="V5359" s="361"/>
      <c r="W5359" s="345"/>
      <c r="X5359" s="786"/>
      <c r="Y5359" s="1128" t="s">
        <v>3380</v>
      </c>
      <c r="Z5359" s="1128" t="s">
        <v>3381</v>
      </c>
      <c r="AA5359" s="1128" t="s">
        <v>3384</v>
      </c>
      <c r="AB5359" s="20"/>
      <c r="AC5359" s="73"/>
    </row>
    <row r="5360" spans="1:29">
      <c r="A5360" s="327" t="str">
        <f>IF(AND($B5360&lt;&gt;"",$C5360&lt;&gt;""),MAX($A$4730:$A5359)+1,"")</f>
        <v/>
      </c>
      <c r="B5360" s="361" t="s">
        <v>1859</v>
      </c>
      <c r="C5360" s="362"/>
      <c r="D5360" s="327">
        <f>IF($B5360="","",COUNTIF($B$4731:$B5360,$B5360))</f>
        <v>8</v>
      </c>
      <c r="E5360" s="361" t="s">
        <v>656</v>
      </c>
      <c r="F5360" s="362" t="s">
        <v>2239</v>
      </c>
      <c r="G5360" s="327" t="s">
        <v>405</v>
      </c>
      <c r="H5360" s="361" t="s">
        <v>536</v>
      </c>
      <c r="I5360" s="361" t="s">
        <v>1827</v>
      </c>
      <c r="J5360" s="361"/>
      <c r="K5360" s="327" t="s">
        <v>100</v>
      </c>
      <c r="L5360" s="478">
        <v>970</v>
      </c>
      <c r="M5360" s="371"/>
      <c r="N5360" s="355" t="s">
        <v>2409</v>
      </c>
      <c r="O5360" s="345"/>
      <c r="P5360" s="325"/>
      <c r="Q5360" s="327"/>
      <c r="R5360" s="351"/>
      <c r="S5360" s="351"/>
      <c r="T5360" s="351"/>
      <c r="U5360" s="329" t="str">
        <f>IF($N5360=$N$4,IFERROR(INDEX(DanhMuc!$E$154:$E$165,MATCH(MID($B5360,4,2),DanhMuc!$B$154:$B$165,0)),""),"")</f>
        <v/>
      </c>
      <c r="V5360" s="361"/>
      <c r="W5360" s="345"/>
      <c r="X5360" s="786"/>
      <c r="Y5360" s="1128" t="s">
        <v>3380</v>
      </c>
      <c r="Z5360" s="1128" t="s">
        <v>3381</v>
      </c>
      <c r="AA5360" s="1128" t="s">
        <v>3384</v>
      </c>
      <c r="AB5360" s="20"/>
      <c r="AC5360" s="73"/>
    </row>
    <row r="5361" spans="1:29">
      <c r="A5361" s="327" t="str">
        <f>IF(AND($B5361&lt;&gt;"",$C5361&lt;&gt;""),MAX($A$4730:$A5360)+1,"")</f>
        <v/>
      </c>
      <c r="B5361" s="361" t="s">
        <v>1859</v>
      </c>
      <c r="C5361" s="362"/>
      <c r="D5361" s="327">
        <f>IF($B5361="","",COUNTIF($B$4731:$B5361,$B5361))</f>
        <v>9</v>
      </c>
      <c r="E5361" s="361" t="s">
        <v>657</v>
      </c>
      <c r="F5361" s="362" t="s">
        <v>658</v>
      </c>
      <c r="G5361" s="327" t="s">
        <v>424</v>
      </c>
      <c r="H5361" s="361" t="s">
        <v>536</v>
      </c>
      <c r="I5361" s="361" t="s">
        <v>665</v>
      </c>
      <c r="J5361" s="361"/>
      <c r="K5361" s="327" t="s">
        <v>100</v>
      </c>
      <c r="L5361" s="478">
        <v>60000</v>
      </c>
      <c r="M5361" s="355"/>
      <c r="N5361" s="355" t="s">
        <v>2409</v>
      </c>
      <c r="O5361" s="345"/>
      <c r="P5361" s="325"/>
      <c r="Q5361" s="327"/>
      <c r="R5361" s="351"/>
      <c r="S5361" s="351"/>
      <c r="T5361" s="351"/>
      <c r="U5361" s="329" t="str">
        <f>IF($N5361=$N$4,IFERROR(INDEX(DanhMuc!$E$154:$E$165,MATCH(MID($B5361,4,2),DanhMuc!$B$154:$B$165,0)),""),"")</f>
        <v/>
      </c>
      <c r="V5361" s="361"/>
      <c r="W5361" s="345"/>
      <c r="X5361" s="786"/>
      <c r="Y5361" s="1128" t="s">
        <v>3380</v>
      </c>
      <c r="Z5361" s="1128" t="s">
        <v>3381</v>
      </c>
      <c r="AA5361" s="1128" t="s">
        <v>3384</v>
      </c>
      <c r="AB5361" s="20"/>
      <c r="AC5361" s="73"/>
    </row>
    <row r="5362" spans="1:29">
      <c r="A5362" s="327" t="str">
        <f>IF(AND($B5362&lt;&gt;"",$C5362&lt;&gt;""),MAX($A$4730:$A5361)+1,"")</f>
        <v/>
      </c>
      <c r="B5362" s="361" t="s">
        <v>1859</v>
      </c>
      <c r="C5362" s="362"/>
      <c r="D5362" s="327">
        <f>IF($B5362="","",COUNTIF($B$4731:$B5362,$B5362))</f>
        <v>10</v>
      </c>
      <c r="E5362" s="361" t="s">
        <v>2771</v>
      </c>
      <c r="F5362" s="362" t="s">
        <v>659</v>
      </c>
      <c r="G5362" s="327" t="s">
        <v>424</v>
      </c>
      <c r="H5362" s="361" t="s">
        <v>536</v>
      </c>
      <c r="I5362" s="361" t="s">
        <v>666</v>
      </c>
      <c r="J5362" s="361"/>
      <c r="K5362" s="327" t="s">
        <v>100</v>
      </c>
      <c r="L5362" s="389">
        <v>53000</v>
      </c>
      <c r="M5362" s="355"/>
      <c r="N5362" s="355" t="s">
        <v>2409</v>
      </c>
      <c r="O5362" s="345"/>
      <c r="P5362" s="325"/>
      <c r="Q5362" s="327"/>
      <c r="R5362" s="351"/>
      <c r="S5362" s="351"/>
      <c r="T5362" s="351"/>
      <c r="U5362" s="329" t="str">
        <f>IF($N5362=$N$4,IFERROR(INDEX(DanhMuc!$E$154:$E$165,MATCH(MID($B5362,4,2),DanhMuc!$B$154:$B$165,0)),""),"")</f>
        <v/>
      </c>
      <c r="V5362" s="361"/>
      <c r="W5362" s="345"/>
      <c r="X5362" s="786"/>
      <c r="Y5362" s="1128" t="s">
        <v>3380</v>
      </c>
      <c r="Z5362" s="1128" t="s">
        <v>3381</v>
      </c>
      <c r="AA5362" s="1128" t="s">
        <v>3384</v>
      </c>
      <c r="AB5362" s="20"/>
      <c r="AC5362" s="73"/>
    </row>
    <row r="5363" spans="1:29">
      <c r="A5363" s="327" t="str">
        <f>IF(AND($B5363&lt;&gt;"",$C5363&lt;&gt;""),MAX($A$4730:$A5362)+1,"")</f>
        <v/>
      </c>
      <c r="B5363" s="361" t="s">
        <v>1859</v>
      </c>
      <c r="C5363" s="362"/>
      <c r="D5363" s="327">
        <f>IF($B5363="","",COUNTIF($B$4731:$B5363,$B5363))</f>
        <v>11</v>
      </c>
      <c r="E5363" s="361" t="s">
        <v>1828</v>
      </c>
      <c r="F5363" s="362" t="s">
        <v>671</v>
      </c>
      <c r="G5363" s="327" t="s">
        <v>661</v>
      </c>
      <c r="H5363" s="361" t="s">
        <v>536</v>
      </c>
      <c r="I5363" s="361" t="s">
        <v>2355</v>
      </c>
      <c r="J5363" s="361"/>
      <c r="K5363" s="327" t="s">
        <v>100</v>
      </c>
      <c r="L5363" s="478">
        <f>40000/1000</f>
        <v>40</v>
      </c>
      <c r="M5363" s="355"/>
      <c r="N5363" s="355" t="s">
        <v>2409</v>
      </c>
      <c r="O5363" s="345"/>
      <c r="P5363" s="325"/>
      <c r="Q5363" s="327"/>
      <c r="R5363" s="351"/>
      <c r="S5363" s="351"/>
      <c r="T5363" s="351"/>
      <c r="U5363" s="329" t="str">
        <f>IF($N5363=$N$4,IFERROR(INDEX(DanhMuc!$E$154:$E$165,MATCH(MID($B5363,4,2),DanhMuc!$B$154:$B$165,0)),""),"")</f>
        <v/>
      </c>
      <c r="V5363" s="361"/>
      <c r="W5363" s="345"/>
      <c r="X5363" s="786"/>
      <c r="Y5363" s="1128" t="s">
        <v>3380</v>
      </c>
      <c r="Z5363" s="1128" t="s">
        <v>3381</v>
      </c>
      <c r="AA5363" s="1128" t="s">
        <v>3384</v>
      </c>
      <c r="AB5363" s="20"/>
      <c r="AC5363" s="73"/>
    </row>
    <row r="5364" spans="1:29">
      <c r="A5364" s="327" t="str">
        <f>IF(AND($B5364&lt;&gt;"",$C5364&lt;&gt;""),MAX($A$4730:$A5363)+1,"")</f>
        <v/>
      </c>
      <c r="B5364" s="361" t="s">
        <v>1859</v>
      </c>
      <c r="C5364" s="362"/>
      <c r="D5364" s="327">
        <f>IF($B5364="","",COUNTIF($B$4731:$B5364,$B5364))</f>
        <v>12</v>
      </c>
      <c r="E5364" s="361" t="s">
        <v>154</v>
      </c>
      <c r="F5364" s="362" t="s">
        <v>660</v>
      </c>
      <c r="G5364" s="327" t="s">
        <v>661</v>
      </c>
      <c r="H5364" s="361" t="s">
        <v>536</v>
      </c>
      <c r="I5364" s="361" t="s">
        <v>667</v>
      </c>
      <c r="J5364" s="361"/>
      <c r="K5364" s="327" t="s">
        <v>662</v>
      </c>
      <c r="L5364" s="478">
        <v>20</v>
      </c>
      <c r="M5364" s="355"/>
      <c r="N5364" s="355" t="s">
        <v>2409</v>
      </c>
      <c r="O5364" s="345"/>
      <c r="P5364" s="325"/>
      <c r="Q5364" s="327"/>
      <c r="R5364" s="351"/>
      <c r="S5364" s="351"/>
      <c r="T5364" s="351"/>
      <c r="U5364" s="329" t="str">
        <f>IF($N5364=$N$4,IFERROR(INDEX(DanhMuc!$E$154:$E$165,MATCH(MID($B5364,4,2),DanhMuc!$B$154:$B$165,0)),""),"")</f>
        <v/>
      </c>
      <c r="V5364" s="361"/>
      <c r="W5364" s="345"/>
      <c r="X5364" s="786"/>
      <c r="Y5364" s="1128" t="s">
        <v>3380</v>
      </c>
      <c r="Z5364" s="1128" t="s">
        <v>3381</v>
      </c>
      <c r="AA5364" s="1128" t="s">
        <v>3384</v>
      </c>
      <c r="AB5364" s="20"/>
      <c r="AC5364" s="73"/>
    </row>
    <row r="5365" spans="1:29">
      <c r="A5365" s="327" t="str">
        <f>IF(AND($B5365&lt;&gt;"",$C5365&lt;&gt;""),MAX($A$4730:$A5364)+1,"")</f>
        <v/>
      </c>
      <c r="B5365" s="361" t="s">
        <v>1859</v>
      </c>
      <c r="C5365" s="362"/>
      <c r="D5365" s="327">
        <f>IF($B5365="","",COUNTIF($B$4731:$B5365,$B5365))</f>
        <v>13</v>
      </c>
      <c r="E5365" s="362" t="s">
        <v>2282</v>
      </c>
      <c r="F5365" s="362" t="s">
        <v>2283</v>
      </c>
      <c r="G5365" s="327" t="s">
        <v>424</v>
      </c>
      <c r="H5365" s="361" t="s">
        <v>536</v>
      </c>
      <c r="I5365" s="361" t="s">
        <v>2238</v>
      </c>
      <c r="J5365" s="361"/>
      <c r="K5365" s="327" t="s">
        <v>662</v>
      </c>
      <c r="L5365" s="478">
        <v>28000</v>
      </c>
      <c r="M5365" s="355"/>
      <c r="N5365" s="355" t="s">
        <v>2409</v>
      </c>
      <c r="O5365" s="345"/>
      <c r="P5365" s="325"/>
      <c r="Q5365" s="327"/>
      <c r="R5365" s="351"/>
      <c r="S5365" s="351"/>
      <c r="T5365" s="351"/>
      <c r="U5365" s="329" t="str">
        <f>IF($N5365=$N$4,IFERROR(INDEX(DanhMuc!$E$154:$E$165,MATCH(MID($B5365,4,2),DanhMuc!$B$154:$B$165,0)),""),"")</f>
        <v/>
      </c>
      <c r="V5365" s="361"/>
      <c r="W5365" s="345"/>
      <c r="X5365" s="786"/>
      <c r="Y5365" s="1128" t="s">
        <v>3380</v>
      </c>
      <c r="Z5365" s="1128" t="s">
        <v>3381</v>
      </c>
      <c r="AA5365" s="1128" t="s">
        <v>3384</v>
      </c>
      <c r="AB5365" s="20"/>
      <c r="AC5365" s="73"/>
    </row>
    <row r="5366" spans="1:29">
      <c r="A5366" s="327" t="str">
        <f>IF(AND($B5366&lt;&gt;"",$C5366&lt;&gt;""),MAX($A$4730:$A5365)+1,"")</f>
        <v/>
      </c>
      <c r="B5366" s="361" t="s">
        <v>1859</v>
      </c>
      <c r="C5366" s="362"/>
      <c r="D5366" s="327">
        <f>IF($B5366="","",COUNTIF($B$4731:$B5366,$B5366))</f>
        <v>14</v>
      </c>
      <c r="E5366" s="362" t="s">
        <v>663</v>
      </c>
      <c r="F5366" s="362" t="s">
        <v>664</v>
      </c>
      <c r="G5366" s="327" t="s">
        <v>155</v>
      </c>
      <c r="H5366" s="361" t="s">
        <v>536</v>
      </c>
      <c r="I5366" s="361" t="s">
        <v>672</v>
      </c>
      <c r="J5366" s="361"/>
      <c r="K5366" s="327" t="s">
        <v>662</v>
      </c>
      <c r="L5366" s="478">
        <v>1000</v>
      </c>
      <c r="M5366" s="355"/>
      <c r="N5366" s="355" t="s">
        <v>2409</v>
      </c>
      <c r="O5366" s="345"/>
      <c r="P5366" s="325"/>
      <c r="Q5366" s="327"/>
      <c r="R5366" s="351"/>
      <c r="S5366" s="351"/>
      <c r="T5366" s="351"/>
      <c r="U5366" s="329" t="str">
        <f>IF($N5366=$N$4,IFERROR(INDEX(DanhMuc!$E$154:$E$165,MATCH(MID($B5366,4,2),DanhMuc!$B$154:$B$165,0)),""),"")</f>
        <v/>
      </c>
      <c r="V5366" s="361"/>
      <c r="W5366" s="345"/>
      <c r="X5366" s="786"/>
      <c r="Y5366" s="1128" t="s">
        <v>3380</v>
      </c>
      <c r="Z5366" s="1128" t="s">
        <v>3381</v>
      </c>
      <c r="AA5366" s="1128" t="s">
        <v>3384</v>
      </c>
      <c r="AB5366" s="20"/>
      <c r="AC5366" s="73"/>
    </row>
    <row r="5367" spans="1:29" ht="39">
      <c r="A5367" s="327">
        <f>IF(AND($B5367&lt;&gt;"",$C5367&lt;&gt;""),MAX($A$4730:$A5346)+1,"")</f>
        <v>23</v>
      </c>
      <c r="B5367" s="359" t="s">
        <v>1860</v>
      </c>
      <c r="C5367" s="360" t="s">
        <v>1887</v>
      </c>
      <c r="D5367" s="327">
        <f>IF($B5367="","",COUNTIF($B$4731:$B5367,$B5367))</f>
        <v>1</v>
      </c>
      <c r="E5367" s="361" t="s">
        <v>2069</v>
      </c>
      <c r="F5367" s="362" t="s">
        <v>2070</v>
      </c>
      <c r="G5367" s="327" t="s">
        <v>155</v>
      </c>
      <c r="H5367" s="361" t="s">
        <v>536</v>
      </c>
      <c r="I5367" s="327">
        <v>2</v>
      </c>
      <c r="J5367" s="361"/>
      <c r="K5367" s="327" t="s">
        <v>100</v>
      </c>
      <c r="L5367" s="389">
        <v>11000</v>
      </c>
      <c r="M5367" s="355"/>
      <c r="N5367" s="355" t="s">
        <v>2408</v>
      </c>
      <c r="O5367" s="345"/>
      <c r="P5367" s="325"/>
      <c r="Q5367" s="327"/>
      <c r="R5367" s="351">
        <v>2.5</v>
      </c>
      <c r="S5367" s="351">
        <v>5.8</v>
      </c>
      <c r="T5367" s="351">
        <v>1.44</v>
      </c>
      <c r="U5367" s="329" t="str">
        <f>IF($N5367=$N$4,IFERROR(INDEX(DanhMuc!$E$154:$E$165,MATCH(MID($B5367,4,2),DanhMuc!$B$154:$B$165,0)),""),"")</f>
        <v/>
      </c>
      <c r="V5367" s="361"/>
      <c r="W5367" s="345"/>
      <c r="X5367" s="786"/>
      <c r="Y5367" s="1128" t="s">
        <v>3380</v>
      </c>
      <c r="Z5367" s="1128" t="s">
        <v>3381</v>
      </c>
      <c r="AA5367" s="1128" t="s">
        <v>3384</v>
      </c>
      <c r="AB5367" s="20"/>
      <c r="AC5367" s="73"/>
    </row>
    <row r="5368" spans="1:29">
      <c r="A5368" s="327" t="str">
        <f>IF(AND($B5368&lt;&gt;"",$C5368&lt;&gt;""),MAX($A$4730:$A5367)+1,"")</f>
        <v/>
      </c>
      <c r="B5368" s="361" t="s">
        <v>1860</v>
      </c>
      <c r="C5368" s="362"/>
      <c r="D5368" s="327">
        <f>IF($B5368="","",COUNTIF($B$4731:$B5368,$B5368))</f>
        <v>2</v>
      </c>
      <c r="E5368" s="361" t="s">
        <v>2315</v>
      </c>
      <c r="F5368" s="362" t="s">
        <v>2306</v>
      </c>
      <c r="G5368" s="327" t="s">
        <v>155</v>
      </c>
      <c r="H5368" s="361" t="s">
        <v>536</v>
      </c>
      <c r="I5368" s="327">
        <v>16</v>
      </c>
      <c r="J5368" s="361"/>
      <c r="K5368" s="327" t="s">
        <v>101</v>
      </c>
      <c r="L5368" s="389">
        <v>17800</v>
      </c>
      <c r="M5368" s="355"/>
      <c r="N5368" s="355" t="s">
        <v>2408</v>
      </c>
      <c r="O5368" s="345"/>
      <c r="P5368" s="325"/>
      <c r="Q5368" s="327"/>
      <c r="R5368" s="351"/>
      <c r="S5368" s="351"/>
      <c r="T5368" s="351"/>
      <c r="U5368" s="329" t="str">
        <f>IF($N5368=$N$4,IFERROR(INDEX(DanhMuc!$E$154:$E$165,MATCH(MID($B5368,4,2),DanhMuc!$B$154:$B$165,0)),""),"")</f>
        <v/>
      </c>
      <c r="V5368" s="361"/>
      <c r="W5368" s="345"/>
      <c r="X5368" s="786"/>
      <c r="Y5368" s="1128" t="s">
        <v>3380</v>
      </c>
      <c r="Z5368" s="1128" t="s">
        <v>3381</v>
      </c>
      <c r="AA5368" s="1128" t="s">
        <v>3384</v>
      </c>
      <c r="AB5368" s="20"/>
      <c r="AC5368" s="73"/>
    </row>
    <row r="5369" spans="1:29">
      <c r="A5369" s="327" t="str">
        <f>IF(AND($B5369&lt;&gt;"",$C5369&lt;&gt;""),MAX($A$4730:$A5368)+1,"")</f>
        <v/>
      </c>
      <c r="B5369" s="361" t="s">
        <v>1860</v>
      </c>
      <c r="C5369" s="360"/>
      <c r="D5369" s="327">
        <f>IF($B5369="","",COUNTIF($B$4731:$B5369,$B5369))</f>
        <v>3</v>
      </c>
      <c r="E5369" s="402" t="s">
        <v>2788</v>
      </c>
      <c r="F5369" s="403" t="s">
        <v>2789</v>
      </c>
      <c r="G5369" s="327" t="s">
        <v>155</v>
      </c>
      <c r="H5369" s="361" t="s">
        <v>536</v>
      </c>
      <c r="I5369" s="327">
        <f>4*I5368</f>
        <v>64</v>
      </c>
      <c r="J5369" s="361"/>
      <c r="K5369" s="327" t="s">
        <v>101</v>
      </c>
      <c r="L5369" s="389">
        <v>600</v>
      </c>
      <c r="M5369" s="355"/>
      <c r="N5369" s="355" t="s">
        <v>2408</v>
      </c>
      <c r="O5369" s="345"/>
      <c r="P5369" s="325"/>
      <c r="Q5369" s="327"/>
      <c r="R5369" s="351"/>
      <c r="S5369" s="351"/>
      <c r="T5369" s="351"/>
      <c r="U5369" s="329" t="str">
        <f>IF($N5369=$N$4,IFERROR(INDEX(DanhMuc!$E$154:$E$165,MATCH(MID($B5369,4,2),DanhMuc!$B$154:$B$165,0)),""),"")</f>
        <v/>
      </c>
      <c r="V5369" s="361"/>
      <c r="W5369" s="345"/>
      <c r="X5369" s="786"/>
      <c r="Y5369" s="1128" t="s">
        <v>3380</v>
      </c>
      <c r="Z5369" s="1128" t="s">
        <v>3381</v>
      </c>
      <c r="AA5369" s="1128" t="s">
        <v>3384</v>
      </c>
      <c r="AB5369" s="20"/>
      <c r="AC5369" s="73"/>
    </row>
    <row r="5370" spans="1:29">
      <c r="A5370" s="327" t="str">
        <f>IF(AND($B5370&lt;&gt;"",$C5370&lt;&gt;""),MAX($A$4730:$A5368)+1,"")</f>
        <v/>
      </c>
      <c r="B5370" s="361" t="s">
        <v>1860</v>
      </c>
      <c r="C5370" s="362"/>
      <c r="D5370" s="327">
        <f>IF($B5370="","",COUNTIF($B$4731:$B5370,$B5370))</f>
        <v>4</v>
      </c>
      <c r="E5370" s="361" t="s">
        <v>2336</v>
      </c>
      <c r="F5370" s="362" t="s">
        <v>2337</v>
      </c>
      <c r="G5370" s="327" t="s">
        <v>155</v>
      </c>
      <c r="H5370" s="361" t="s">
        <v>536</v>
      </c>
      <c r="I5370" s="327">
        <v>16</v>
      </c>
      <c r="J5370" s="361"/>
      <c r="K5370" s="327" t="s">
        <v>415</v>
      </c>
      <c r="L5370" s="389">
        <v>1000</v>
      </c>
      <c r="M5370" s="355"/>
      <c r="N5370" s="355" t="s">
        <v>2408</v>
      </c>
      <c r="O5370" s="345"/>
      <c r="P5370" s="325"/>
      <c r="Q5370" s="327"/>
      <c r="R5370" s="351"/>
      <c r="S5370" s="351"/>
      <c r="T5370" s="351"/>
      <c r="U5370" s="329" t="str">
        <f>IF($N5370=$N$4,IFERROR(INDEX(DanhMuc!$E$154:$E$165,MATCH(MID($B5370,4,2),DanhMuc!$B$154:$B$165,0)),""),"")</f>
        <v/>
      </c>
      <c r="V5370" s="361"/>
      <c r="W5370" s="345"/>
      <c r="X5370" s="786"/>
      <c r="Y5370" s="1128" t="s">
        <v>3380</v>
      </c>
      <c r="Z5370" s="1128" t="s">
        <v>3381</v>
      </c>
      <c r="AA5370" s="1128" t="s">
        <v>3384</v>
      </c>
      <c r="AB5370" s="20"/>
      <c r="AC5370" s="73"/>
    </row>
    <row r="5371" spans="1:29">
      <c r="A5371" s="327" t="str">
        <f>IF(AND($B5371&lt;&gt;"",$C5371&lt;&gt;""),MAX($A$4730:$A5370)+1,"")</f>
        <v/>
      </c>
      <c r="B5371" s="361" t="s">
        <v>1860</v>
      </c>
      <c r="C5371" s="362"/>
      <c r="D5371" s="327">
        <f>IF($B5371="","",COUNTIF($B$4731:$B5371,$B5371))</f>
        <v>5</v>
      </c>
      <c r="E5371" s="361" t="s">
        <v>1826</v>
      </c>
      <c r="F5371" s="362" t="s">
        <v>670</v>
      </c>
      <c r="G5371" s="327" t="s">
        <v>661</v>
      </c>
      <c r="H5371" s="361" t="s">
        <v>536</v>
      </c>
      <c r="I5371" s="361" t="s">
        <v>2354</v>
      </c>
      <c r="J5371" s="361"/>
      <c r="K5371" s="327" t="s">
        <v>103</v>
      </c>
      <c r="L5371" s="478">
        <f>40000/1000</f>
        <v>40</v>
      </c>
      <c r="M5371" s="355"/>
      <c r="N5371" s="355" t="s">
        <v>2408</v>
      </c>
      <c r="O5371" s="345"/>
      <c r="P5371" s="325"/>
      <c r="Q5371" s="327"/>
      <c r="R5371" s="351"/>
      <c r="S5371" s="351"/>
      <c r="T5371" s="351"/>
      <c r="U5371" s="329" t="str">
        <f>IF($N5371=$N$4,IFERROR(INDEX(DanhMuc!$E$154:$E$165,MATCH(MID($B5371,4,2),DanhMuc!$B$154:$B$165,0)),""),"")</f>
        <v/>
      </c>
      <c r="V5371" s="361"/>
      <c r="W5371" s="345"/>
      <c r="X5371" s="786"/>
      <c r="Y5371" s="1128" t="s">
        <v>3380</v>
      </c>
      <c r="Z5371" s="1128" t="s">
        <v>3381</v>
      </c>
      <c r="AA5371" s="1128" t="s">
        <v>3384</v>
      </c>
      <c r="AB5371" s="20"/>
      <c r="AC5371" s="73"/>
    </row>
    <row r="5372" spans="1:29" ht="37.5">
      <c r="A5372" s="327" t="str">
        <f>IF(AND($B5372&lt;&gt;"",$C5372&lt;&gt;""),MAX($A$4730:$A5371)+1,"")</f>
        <v/>
      </c>
      <c r="B5372" s="361" t="s">
        <v>1860</v>
      </c>
      <c r="C5372" s="362"/>
      <c r="D5372" s="327">
        <f>IF($B5372="","",COUNTIF($B$4731:$B5372,$B5372))</f>
        <v>6</v>
      </c>
      <c r="E5372" s="362" t="s">
        <v>1964</v>
      </c>
      <c r="F5372" s="362" t="s">
        <v>1965</v>
      </c>
      <c r="G5372" s="327" t="s">
        <v>405</v>
      </c>
      <c r="H5372" s="361" t="s">
        <v>536</v>
      </c>
      <c r="I5372" s="361" t="s">
        <v>2552</v>
      </c>
      <c r="J5372" s="361"/>
      <c r="K5372" s="327" t="s">
        <v>423</v>
      </c>
      <c r="L5372" s="478">
        <v>140</v>
      </c>
      <c r="M5372" s="371"/>
      <c r="N5372" s="355" t="s">
        <v>2408</v>
      </c>
      <c r="O5372" s="345"/>
      <c r="P5372" s="325"/>
      <c r="Q5372" s="327"/>
      <c r="R5372" s="351"/>
      <c r="S5372" s="351"/>
      <c r="T5372" s="351"/>
      <c r="U5372" s="329" t="str">
        <f>IF($N5372=$N$4,IFERROR(INDEX(DanhMuc!$E$154:$E$165,MATCH(MID($B5372,4,2),DanhMuc!$B$154:$B$165,0)),""),"")</f>
        <v/>
      </c>
      <c r="V5372" s="361"/>
      <c r="W5372" s="345"/>
      <c r="X5372" s="786"/>
      <c r="Y5372" s="1128" t="s">
        <v>3380</v>
      </c>
      <c r="Z5372" s="1128" t="s">
        <v>3381</v>
      </c>
      <c r="AA5372" s="1128" t="s">
        <v>3384</v>
      </c>
      <c r="AB5372" s="20"/>
      <c r="AC5372" s="73"/>
    </row>
    <row r="5373" spans="1:29" ht="37.5">
      <c r="A5373" s="327" t="str">
        <f>IF(AND($B5373&lt;&gt;"",$C5373&lt;&gt;""),MAX($A$4730:$A5372)+1,"")</f>
        <v/>
      </c>
      <c r="B5373" s="361" t="s">
        <v>1860</v>
      </c>
      <c r="C5373" s="362"/>
      <c r="D5373" s="327">
        <f>IF($B5373="","",COUNTIF($B$4731:$B5373,$B5373))</f>
        <v>7</v>
      </c>
      <c r="E5373" s="362" t="s">
        <v>2756</v>
      </c>
      <c r="F5373" s="362" t="s">
        <v>2757</v>
      </c>
      <c r="G5373" s="327" t="s">
        <v>405</v>
      </c>
      <c r="H5373" s="361" t="s">
        <v>536</v>
      </c>
      <c r="I5373" s="361" t="s">
        <v>2552</v>
      </c>
      <c r="J5373" s="361"/>
      <c r="K5373" s="327" t="s">
        <v>423</v>
      </c>
      <c r="L5373" s="479">
        <v>322</v>
      </c>
      <c r="M5373" s="371"/>
      <c r="N5373" s="355" t="s">
        <v>2408</v>
      </c>
      <c r="O5373" s="345"/>
      <c r="P5373" s="325"/>
      <c r="Q5373" s="327"/>
      <c r="R5373" s="351"/>
      <c r="S5373" s="351"/>
      <c r="T5373" s="351"/>
      <c r="U5373" s="329" t="str">
        <f>IF($N5373=$N$4,IFERROR(INDEX(DanhMuc!$E$154:$E$165,MATCH(MID($B5373,4,2),DanhMuc!$B$154:$B$165,0)),""),"")</f>
        <v/>
      </c>
      <c r="V5373" s="361"/>
      <c r="W5373" s="345"/>
      <c r="X5373" s="786"/>
      <c r="Y5373" s="1128" t="s">
        <v>3380</v>
      </c>
      <c r="Z5373" s="1128" t="s">
        <v>3381</v>
      </c>
      <c r="AA5373" s="1128" t="s">
        <v>3384</v>
      </c>
      <c r="AB5373" s="20"/>
      <c r="AC5373" s="73"/>
    </row>
    <row r="5374" spans="1:29">
      <c r="A5374" s="327" t="str">
        <f>IF(AND($B5374&lt;&gt;"",$C5374&lt;&gt;""),MAX($A$4730:$A5373)+1,"")</f>
        <v/>
      </c>
      <c r="B5374" s="361" t="s">
        <v>1860</v>
      </c>
      <c r="C5374" s="362"/>
      <c r="D5374" s="327">
        <f>IF($B5374="","",COUNTIF($B$4731:$B5374,$B5374))</f>
        <v>8</v>
      </c>
      <c r="E5374" s="361" t="s">
        <v>656</v>
      </c>
      <c r="F5374" s="362" t="s">
        <v>2239</v>
      </c>
      <c r="G5374" s="327" t="s">
        <v>405</v>
      </c>
      <c r="H5374" s="361" t="s">
        <v>536</v>
      </c>
      <c r="I5374" s="361" t="s">
        <v>1827</v>
      </c>
      <c r="J5374" s="361"/>
      <c r="K5374" s="327" t="s">
        <v>100</v>
      </c>
      <c r="L5374" s="478">
        <v>970</v>
      </c>
      <c r="M5374" s="371"/>
      <c r="N5374" s="355" t="s">
        <v>2409</v>
      </c>
      <c r="O5374" s="345"/>
      <c r="P5374" s="325"/>
      <c r="Q5374" s="327"/>
      <c r="R5374" s="351"/>
      <c r="S5374" s="351"/>
      <c r="T5374" s="351"/>
      <c r="U5374" s="329" t="str">
        <f>IF($N5374=$N$4,IFERROR(INDEX(DanhMuc!$E$154:$E$165,MATCH(MID($B5374,4,2),DanhMuc!$B$154:$B$165,0)),""),"")</f>
        <v/>
      </c>
      <c r="V5374" s="361"/>
      <c r="W5374" s="345"/>
      <c r="X5374" s="786"/>
      <c r="Y5374" s="1128" t="s">
        <v>3380</v>
      </c>
      <c r="Z5374" s="1128" t="s">
        <v>3381</v>
      </c>
      <c r="AA5374" s="1128" t="s">
        <v>3384</v>
      </c>
      <c r="AB5374" s="20"/>
      <c r="AC5374" s="73"/>
    </row>
    <row r="5375" spans="1:29">
      <c r="A5375" s="327" t="str">
        <f>IF(AND($B5375&lt;&gt;"",$C5375&lt;&gt;""),MAX($A$4730:$A5374)+1,"")</f>
        <v/>
      </c>
      <c r="B5375" s="361" t="s">
        <v>1860</v>
      </c>
      <c r="C5375" s="362"/>
      <c r="D5375" s="327">
        <f>IF($B5375="","",COUNTIF($B$4731:$B5375,$B5375))</f>
        <v>9</v>
      </c>
      <c r="E5375" s="361" t="s">
        <v>657</v>
      </c>
      <c r="F5375" s="362" t="s">
        <v>658</v>
      </c>
      <c r="G5375" s="327" t="s">
        <v>424</v>
      </c>
      <c r="H5375" s="361" t="s">
        <v>536</v>
      </c>
      <c r="I5375" s="361" t="s">
        <v>665</v>
      </c>
      <c r="J5375" s="361"/>
      <c r="K5375" s="327" t="s">
        <v>100</v>
      </c>
      <c r="L5375" s="478">
        <v>60000</v>
      </c>
      <c r="M5375" s="355"/>
      <c r="N5375" s="355" t="s">
        <v>2409</v>
      </c>
      <c r="O5375" s="345"/>
      <c r="P5375" s="325"/>
      <c r="Q5375" s="327"/>
      <c r="R5375" s="351"/>
      <c r="S5375" s="351"/>
      <c r="T5375" s="351"/>
      <c r="U5375" s="329" t="str">
        <f>IF($N5375=$N$4,IFERROR(INDEX(DanhMuc!$E$154:$E$165,MATCH(MID($B5375,4,2),DanhMuc!$B$154:$B$165,0)),""),"")</f>
        <v/>
      </c>
      <c r="V5375" s="361"/>
      <c r="W5375" s="345"/>
      <c r="X5375" s="786"/>
      <c r="Y5375" s="1128" t="s">
        <v>3380</v>
      </c>
      <c r="Z5375" s="1128" t="s">
        <v>3381</v>
      </c>
      <c r="AA5375" s="1128" t="s">
        <v>3384</v>
      </c>
      <c r="AB5375" s="20"/>
      <c r="AC5375" s="73"/>
    </row>
    <row r="5376" spans="1:29">
      <c r="A5376" s="327" t="str">
        <f>IF(AND($B5376&lt;&gt;"",$C5376&lt;&gt;""),MAX($A$4730:$A5375)+1,"")</f>
        <v/>
      </c>
      <c r="B5376" s="361" t="s">
        <v>1860</v>
      </c>
      <c r="C5376" s="362"/>
      <c r="D5376" s="327">
        <f>IF($B5376="","",COUNTIF($B$4731:$B5376,$B5376))</f>
        <v>10</v>
      </c>
      <c r="E5376" s="361" t="s">
        <v>2771</v>
      </c>
      <c r="F5376" s="362" t="s">
        <v>659</v>
      </c>
      <c r="G5376" s="327" t="s">
        <v>424</v>
      </c>
      <c r="H5376" s="361" t="s">
        <v>536</v>
      </c>
      <c r="I5376" s="361" t="s">
        <v>666</v>
      </c>
      <c r="J5376" s="361"/>
      <c r="K5376" s="327" t="s">
        <v>100</v>
      </c>
      <c r="L5376" s="389">
        <v>53000</v>
      </c>
      <c r="M5376" s="355"/>
      <c r="N5376" s="355" t="s">
        <v>2409</v>
      </c>
      <c r="O5376" s="345"/>
      <c r="P5376" s="325"/>
      <c r="Q5376" s="327"/>
      <c r="R5376" s="351"/>
      <c r="S5376" s="351"/>
      <c r="T5376" s="351"/>
      <c r="U5376" s="329" t="str">
        <f>IF($N5376=$N$4,IFERROR(INDEX(DanhMuc!$E$154:$E$165,MATCH(MID($B5376,4,2),DanhMuc!$B$154:$B$165,0)),""),"")</f>
        <v/>
      </c>
      <c r="V5376" s="361"/>
      <c r="W5376" s="345"/>
      <c r="X5376" s="786"/>
      <c r="Y5376" s="1128" t="s">
        <v>3380</v>
      </c>
      <c r="Z5376" s="1128" t="s">
        <v>3381</v>
      </c>
      <c r="AA5376" s="1128" t="s">
        <v>3384</v>
      </c>
      <c r="AB5376" s="20"/>
      <c r="AC5376" s="73"/>
    </row>
    <row r="5377" spans="1:29">
      <c r="A5377" s="327" t="str">
        <f>IF(AND($B5377&lt;&gt;"",$C5377&lt;&gt;""),MAX($A$4730:$A5376)+1,"")</f>
        <v/>
      </c>
      <c r="B5377" s="361" t="s">
        <v>1860</v>
      </c>
      <c r="C5377" s="362"/>
      <c r="D5377" s="327">
        <f>IF($B5377="","",COUNTIF($B$4731:$B5377,$B5377))</f>
        <v>11</v>
      </c>
      <c r="E5377" s="361" t="s">
        <v>1828</v>
      </c>
      <c r="F5377" s="362" t="s">
        <v>671</v>
      </c>
      <c r="G5377" s="327" t="s">
        <v>661</v>
      </c>
      <c r="H5377" s="361" t="s">
        <v>536</v>
      </c>
      <c r="I5377" s="361" t="s">
        <v>2355</v>
      </c>
      <c r="J5377" s="361"/>
      <c r="K5377" s="327" t="s">
        <v>100</v>
      </c>
      <c r="L5377" s="478">
        <f>40000/1000</f>
        <v>40</v>
      </c>
      <c r="M5377" s="355"/>
      <c r="N5377" s="355" t="s">
        <v>2409</v>
      </c>
      <c r="O5377" s="345"/>
      <c r="P5377" s="325"/>
      <c r="Q5377" s="327"/>
      <c r="R5377" s="351"/>
      <c r="S5377" s="351"/>
      <c r="T5377" s="351"/>
      <c r="U5377" s="329" t="str">
        <f>IF($N5377=$N$4,IFERROR(INDEX(DanhMuc!$E$154:$E$165,MATCH(MID($B5377,4,2),DanhMuc!$B$154:$B$165,0)),""),"")</f>
        <v/>
      </c>
      <c r="V5377" s="361"/>
      <c r="W5377" s="345"/>
      <c r="X5377" s="786"/>
      <c r="Y5377" s="1128" t="s">
        <v>3380</v>
      </c>
      <c r="Z5377" s="1128" t="s">
        <v>3381</v>
      </c>
      <c r="AA5377" s="1128" t="s">
        <v>3384</v>
      </c>
      <c r="AB5377" s="20"/>
      <c r="AC5377" s="73"/>
    </row>
    <row r="5378" spans="1:29">
      <c r="A5378" s="327" t="str">
        <f>IF(AND($B5378&lt;&gt;"",$C5378&lt;&gt;""),MAX($A$4730:$A5377)+1,"")</f>
        <v/>
      </c>
      <c r="B5378" s="361" t="s">
        <v>1860</v>
      </c>
      <c r="C5378" s="362"/>
      <c r="D5378" s="327">
        <f>IF($B5378="","",COUNTIF($B$4731:$B5378,$B5378))</f>
        <v>12</v>
      </c>
      <c r="E5378" s="361" t="s">
        <v>154</v>
      </c>
      <c r="F5378" s="362" t="s">
        <v>660</v>
      </c>
      <c r="G5378" s="327" t="s">
        <v>661</v>
      </c>
      <c r="H5378" s="361" t="s">
        <v>536</v>
      </c>
      <c r="I5378" s="361" t="s">
        <v>667</v>
      </c>
      <c r="J5378" s="361"/>
      <c r="K5378" s="327" t="s">
        <v>662</v>
      </c>
      <c r="L5378" s="478">
        <v>20</v>
      </c>
      <c r="M5378" s="355"/>
      <c r="N5378" s="355" t="s">
        <v>2409</v>
      </c>
      <c r="O5378" s="345"/>
      <c r="P5378" s="325"/>
      <c r="Q5378" s="327"/>
      <c r="R5378" s="351"/>
      <c r="S5378" s="351"/>
      <c r="T5378" s="351"/>
      <c r="U5378" s="329" t="str">
        <f>IF($N5378=$N$4,IFERROR(INDEX(DanhMuc!$E$154:$E$165,MATCH(MID($B5378,4,2),DanhMuc!$B$154:$B$165,0)),""),"")</f>
        <v/>
      </c>
      <c r="V5378" s="361"/>
      <c r="W5378" s="345"/>
      <c r="X5378" s="786"/>
      <c r="Y5378" s="1128" t="s">
        <v>3380</v>
      </c>
      <c r="Z5378" s="1128" t="s">
        <v>3381</v>
      </c>
      <c r="AA5378" s="1128" t="s">
        <v>3384</v>
      </c>
      <c r="AB5378" s="20"/>
      <c r="AC5378" s="73"/>
    </row>
    <row r="5379" spans="1:29">
      <c r="A5379" s="327" t="str">
        <f>IF(AND($B5379&lt;&gt;"",$C5379&lt;&gt;""),MAX($A$4730:$A5378)+1,"")</f>
        <v/>
      </c>
      <c r="B5379" s="361" t="s">
        <v>1860</v>
      </c>
      <c r="C5379" s="362"/>
      <c r="D5379" s="327">
        <f>IF($B5379="","",COUNTIF($B$4731:$B5379,$B5379))</f>
        <v>13</v>
      </c>
      <c r="E5379" s="362" t="s">
        <v>2282</v>
      </c>
      <c r="F5379" s="362" t="s">
        <v>2283</v>
      </c>
      <c r="G5379" s="327" t="s">
        <v>424</v>
      </c>
      <c r="H5379" s="361" t="s">
        <v>536</v>
      </c>
      <c r="I5379" s="361" t="s">
        <v>2238</v>
      </c>
      <c r="J5379" s="361"/>
      <c r="K5379" s="327" t="s">
        <v>662</v>
      </c>
      <c r="L5379" s="478">
        <v>28000</v>
      </c>
      <c r="M5379" s="355"/>
      <c r="N5379" s="355" t="s">
        <v>2409</v>
      </c>
      <c r="O5379" s="345"/>
      <c r="P5379" s="325"/>
      <c r="Q5379" s="327"/>
      <c r="R5379" s="351"/>
      <c r="S5379" s="351"/>
      <c r="T5379" s="351"/>
      <c r="U5379" s="329" t="str">
        <f>IF($N5379=$N$4,IFERROR(INDEX(DanhMuc!$E$154:$E$165,MATCH(MID($B5379,4,2),DanhMuc!$B$154:$B$165,0)),""),"")</f>
        <v/>
      </c>
      <c r="V5379" s="361"/>
      <c r="W5379" s="345"/>
      <c r="X5379" s="786"/>
      <c r="Y5379" s="1128" t="s">
        <v>3380</v>
      </c>
      <c r="Z5379" s="1128" t="s">
        <v>3381</v>
      </c>
      <c r="AA5379" s="1128" t="s">
        <v>3384</v>
      </c>
      <c r="AB5379" s="20"/>
      <c r="AC5379" s="73"/>
    </row>
    <row r="5380" spans="1:29">
      <c r="A5380" s="327" t="str">
        <f>IF(AND($B5380&lt;&gt;"",$C5380&lt;&gt;""),MAX($A$4730:$A5379)+1,"")</f>
        <v/>
      </c>
      <c r="B5380" s="361" t="s">
        <v>1860</v>
      </c>
      <c r="C5380" s="362"/>
      <c r="D5380" s="327">
        <f>IF($B5380="","",COUNTIF($B$4731:$B5380,$B5380))</f>
        <v>14</v>
      </c>
      <c r="E5380" s="362" t="s">
        <v>663</v>
      </c>
      <c r="F5380" s="362" t="s">
        <v>664</v>
      </c>
      <c r="G5380" s="327" t="s">
        <v>155</v>
      </c>
      <c r="H5380" s="361" t="s">
        <v>536</v>
      </c>
      <c r="I5380" s="361" t="s">
        <v>672</v>
      </c>
      <c r="J5380" s="361"/>
      <c r="K5380" s="327" t="s">
        <v>662</v>
      </c>
      <c r="L5380" s="478">
        <v>1000</v>
      </c>
      <c r="M5380" s="355"/>
      <c r="N5380" s="355" t="s">
        <v>2409</v>
      </c>
      <c r="O5380" s="345"/>
      <c r="P5380" s="325"/>
      <c r="Q5380" s="327"/>
      <c r="R5380" s="351"/>
      <c r="S5380" s="351"/>
      <c r="T5380" s="351"/>
      <c r="U5380" s="329" t="str">
        <f>IF($N5380=$N$4,IFERROR(INDEX(DanhMuc!$E$154:$E$165,MATCH(MID($B5380,4,2),DanhMuc!$B$154:$B$165,0)),""),"")</f>
        <v/>
      </c>
      <c r="V5380" s="361"/>
      <c r="W5380" s="345"/>
      <c r="X5380" s="786"/>
      <c r="Y5380" s="1128" t="s">
        <v>3380</v>
      </c>
      <c r="Z5380" s="1128" t="s">
        <v>3381</v>
      </c>
      <c r="AA5380" s="1128" t="s">
        <v>3384</v>
      </c>
      <c r="AB5380" s="20"/>
      <c r="AC5380" s="73"/>
    </row>
    <row r="5381" spans="1:29" ht="39">
      <c r="A5381" s="327">
        <f>IF(AND($B5381&lt;&gt;"",$C5381&lt;&gt;""),MAX($A$4730:$A5360)+1,"")</f>
        <v>23</v>
      </c>
      <c r="B5381" s="359" t="s">
        <v>1861</v>
      </c>
      <c r="C5381" s="360" t="s">
        <v>1888</v>
      </c>
      <c r="D5381" s="327">
        <f>IF($B5381="","",COUNTIF($B$4731:$B5381,$B5381))</f>
        <v>1</v>
      </c>
      <c r="E5381" s="361" t="s">
        <v>2069</v>
      </c>
      <c r="F5381" s="362" t="s">
        <v>2070</v>
      </c>
      <c r="G5381" s="327" t="s">
        <v>155</v>
      </c>
      <c r="H5381" s="361" t="s">
        <v>536</v>
      </c>
      <c r="I5381" s="327">
        <v>2</v>
      </c>
      <c r="J5381" s="361"/>
      <c r="K5381" s="327" t="s">
        <v>100</v>
      </c>
      <c r="L5381" s="389">
        <v>11000</v>
      </c>
      <c r="M5381" s="355"/>
      <c r="N5381" s="355" t="s">
        <v>2408</v>
      </c>
      <c r="O5381" s="345"/>
      <c r="P5381" s="325"/>
      <c r="Q5381" s="327"/>
      <c r="R5381" s="351">
        <v>2.5</v>
      </c>
      <c r="S5381" s="351">
        <v>5.8</v>
      </c>
      <c r="T5381" s="351">
        <v>1.44</v>
      </c>
      <c r="U5381" s="329" t="str">
        <f>IF($N5381=$N$4,IFERROR(INDEX(DanhMuc!$E$154:$E$165,MATCH(MID($B5381,4,2),DanhMuc!$B$154:$B$165,0)),""),"")</f>
        <v/>
      </c>
      <c r="V5381" s="361"/>
      <c r="W5381" s="345"/>
      <c r="X5381" s="786"/>
      <c r="Y5381" s="1128" t="s">
        <v>3380</v>
      </c>
      <c r="Z5381" s="1128" t="s">
        <v>3381</v>
      </c>
      <c r="AA5381" s="1128" t="s">
        <v>3384</v>
      </c>
      <c r="AB5381" s="20"/>
      <c r="AC5381" s="73"/>
    </row>
    <row r="5382" spans="1:29">
      <c r="A5382" s="327" t="str">
        <f>IF(AND($B5382&lt;&gt;"",$C5382&lt;&gt;""),MAX($A$4730:$A5381)+1,"")</f>
        <v/>
      </c>
      <c r="B5382" s="361" t="s">
        <v>1861</v>
      </c>
      <c r="C5382" s="362"/>
      <c r="D5382" s="327">
        <f>IF($B5382="","",COUNTIF($B$4731:$B5382,$B5382))</f>
        <v>2</v>
      </c>
      <c r="E5382" s="361" t="s">
        <v>2315</v>
      </c>
      <c r="F5382" s="362" t="s">
        <v>2306</v>
      </c>
      <c r="G5382" s="327" t="s">
        <v>155</v>
      </c>
      <c r="H5382" s="361" t="s">
        <v>536</v>
      </c>
      <c r="I5382" s="327">
        <v>20</v>
      </c>
      <c r="J5382" s="361"/>
      <c r="K5382" s="327" t="s">
        <v>101</v>
      </c>
      <c r="L5382" s="389">
        <v>17800</v>
      </c>
      <c r="M5382" s="355"/>
      <c r="N5382" s="355" t="s">
        <v>2408</v>
      </c>
      <c r="O5382" s="345"/>
      <c r="P5382" s="325"/>
      <c r="Q5382" s="327"/>
      <c r="R5382" s="351"/>
      <c r="S5382" s="351"/>
      <c r="T5382" s="351"/>
      <c r="U5382" s="329" t="str">
        <f>IF($N5382=$N$4,IFERROR(INDEX(DanhMuc!$E$154:$E$165,MATCH(MID($B5382,4,2),DanhMuc!$B$154:$B$165,0)),""),"")</f>
        <v/>
      </c>
      <c r="V5382" s="361"/>
      <c r="W5382" s="345"/>
      <c r="X5382" s="786"/>
      <c r="Y5382" s="1128" t="s">
        <v>3380</v>
      </c>
      <c r="Z5382" s="1128" t="s">
        <v>3381</v>
      </c>
      <c r="AA5382" s="1128" t="s">
        <v>3384</v>
      </c>
      <c r="AB5382" s="20"/>
      <c r="AC5382" s="73"/>
    </row>
    <row r="5383" spans="1:29">
      <c r="A5383" s="327" t="str">
        <f>IF(AND($B5383&lt;&gt;"",$C5383&lt;&gt;""),MAX($A$4730:$A5382)+1,"")</f>
        <v/>
      </c>
      <c r="B5383" s="361" t="s">
        <v>1861</v>
      </c>
      <c r="C5383" s="360"/>
      <c r="D5383" s="327">
        <f>IF($B5383="","",COUNTIF($B$4731:$B5383,$B5383))</f>
        <v>3</v>
      </c>
      <c r="E5383" s="402" t="s">
        <v>2788</v>
      </c>
      <c r="F5383" s="403" t="s">
        <v>2789</v>
      </c>
      <c r="G5383" s="327" t="s">
        <v>155</v>
      </c>
      <c r="H5383" s="361" t="s">
        <v>536</v>
      </c>
      <c r="I5383" s="327">
        <f>4*I5382</f>
        <v>80</v>
      </c>
      <c r="J5383" s="361"/>
      <c r="K5383" s="327" t="s">
        <v>101</v>
      </c>
      <c r="L5383" s="389">
        <v>600</v>
      </c>
      <c r="M5383" s="355"/>
      <c r="N5383" s="355" t="s">
        <v>2408</v>
      </c>
      <c r="O5383" s="345"/>
      <c r="P5383" s="325"/>
      <c r="Q5383" s="327"/>
      <c r="R5383" s="351"/>
      <c r="S5383" s="351"/>
      <c r="T5383" s="351"/>
      <c r="U5383" s="329" t="str">
        <f>IF($N5383=$N$4,IFERROR(INDEX(DanhMuc!$E$154:$E$165,MATCH(MID($B5383,4,2),DanhMuc!$B$154:$B$165,0)),""),"")</f>
        <v/>
      </c>
      <c r="V5383" s="361"/>
      <c r="W5383" s="345"/>
      <c r="X5383" s="786"/>
      <c r="Y5383" s="1128" t="s">
        <v>3380</v>
      </c>
      <c r="Z5383" s="1128" t="s">
        <v>3381</v>
      </c>
      <c r="AA5383" s="1128" t="s">
        <v>3384</v>
      </c>
      <c r="AB5383" s="20"/>
      <c r="AC5383" s="73"/>
    </row>
    <row r="5384" spans="1:29">
      <c r="A5384" s="327" t="str">
        <f>IF(AND($B5384&lt;&gt;"",$C5384&lt;&gt;""),MAX($A$4730:$A5382)+1,"")</f>
        <v/>
      </c>
      <c r="B5384" s="361" t="s">
        <v>1861</v>
      </c>
      <c r="C5384" s="362"/>
      <c r="D5384" s="327">
        <f>IF($B5384="","",COUNTIF($B$4731:$B5384,$B5384))</f>
        <v>4</v>
      </c>
      <c r="E5384" s="361" t="s">
        <v>2336</v>
      </c>
      <c r="F5384" s="362" t="s">
        <v>2337</v>
      </c>
      <c r="G5384" s="327" t="s">
        <v>155</v>
      </c>
      <c r="H5384" s="361" t="s">
        <v>536</v>
      </c>
      <c r="I5384" s="327">
        <v>20</v>
      </c>
      <c r="J5384" s="361"/>
      <c r="K5384" s="327" t="s">
        <v>415</v>
      </c>
      <c r="L5384" s="389">
        <v>1000</v>
      </c>
      <c r="M5384" s="355"/>
      <c r="N5384" s="355" t="s">
        <v>2408</v>
      </c>
      <c r="O5384" s="345"/>
      <c r="P5384" s="325"/>
      <c r="Q5384" s="327"/>
      <c r="R5384" s="351"/>
      <c r="S5384" s="351"/>
      <c r="T5384" s="351"/>
      <c r="U5384" s="329" t="str">
        <f>IF($N5384=$N$4,IFERROR(INDEX(DanhMuc!$E$154:$E$165,MATCH(MID($B5384,4,2),DanhMuc!$B$154:$B$165,0)),""),"")</f>
        <v/>
      </c>
      <c r="V5384" s="361"/>
      <c r="W5384" s="345"/>
      <c r="X5384" s="786"/>
      <c r="Y5384" s="1128" t="s">
        <v>3380</v>
      </c>
      <c r="Z5384" s="1128" t="s">
        <v>3381</v>
      </c>
      <c r="AA5384" s="1128" t="s">
        <v>3384</v>
      </c>
      <c r="AB5384" s="20"/>
      <c r="AC5384" s="73"/>
    </row>
    <row r="5385" spans="1:29">
      <c r="A5385" s="327" t="str">
        <f>IF(AND($B5385&lt;&gt;"",$C5385&lt;&gt;""),MAX($A$4730:$A5384)+1,"")</f>
        <v/>
      </c>
      <c r="B5385" s="361" t="s">
        <v>1861</v>
      </c>
      <c r="C5385" s="362"/>
      <c r="D5385" s="327">
        <f>IF($B5385="","",COUNTIF($B$4731:$B5385,$B5385))</f>
        <v>5</v>
      </c>
      <c r="E5385" s="361" t="s">
        <v>1826</v>
      </c>
      <c r="F5385" s="362" t="s">
        <v>670</v>
      </c>
      <c r="G5385" s="327" t="s">
        <v>661</v>
      </c>
      <c r="H5385" s="361" t="s">
        <v>536</v>
      </c>
      <c r="I5385" s="361" t="s">
        <v>2354</v>
      </c>
      <c r="J5385" s="361"/>
      <c r="K5385" s="327" t="s">
        <v>103</v>
      </c>
      <c r="L5385" s="478">
        <f>40000/1000</f>
        <v>40</v>
      </c>
      <c r="M5385" s="355"/>
      <c r="N5385" s="355" t="s">
        <v>2408</v>
      </c>
      <c r="O5385" s="345"/>
      <c r="P5385" s="325"/>
      <c r="Q5385" s="327"/>
      <c r="R5385" s="351"/>
      <c r="S5385" s="351"/>
      <c r="T5385" s="351"/>
      <c r="U5385" s="329" t="str">
        <f>IF($N5385=$N$4,IFERROR(INDEX(DanhMuc!$E$154:$E$165,MATCH(MID($B5385,4,2),DanhMuc!$B$154:$B$165,0)),""),"")</f>
        <v/>
      </c>
      <c r="V5385" s="361"/>
      <c r="W5385" s="345"/>
      <c r="X5385" s="786"/>
      <c r="Y5385" s="1128" t="s">
        <v>3380</v>
      </c>
      <c r="Z5385" s="1128" t="s">
        <v>3381</v>
      </c>
      <c r="AA5385" s="1128" t="s">
        <v>3384</v>
      </c>
      <c r="AB5385" s="20"/>
      <c r="AC5385" s="73"/>
    </row>
    <row r="5386" spans="1:29" ht="37.5">
      <c r="A5386" s="327" t="str">
        <f>IF(AND($B5386&lt;&gt;"",$C5386&lt;&gt;""),MAX($A$4730:$A5385)+1,"")</f>
        <v/>
      </c>
      <c r="B5386" s="361" t="s">
        <v>1861</v>
      </c>
      <c r="C5386" s="362"/>
      <c r="D5386" s="327">
        <f>IF($B5386="","",COUNTIF($B$4731:$B5386,$B5386))</f>
        <v>6</v>
      </c>
      <c r="E5386" s="362" t="s">
        <v>1964</v>
      </c>
      <c r="F5386" s="362" t="s">
        <v>1965</v>
      </c>
      <c r="G5386" s="327" t="s">
        <v>405</v>
      </c>
      <c r="H5386" s="361" t="s">
        <v>536</v>
      </c>
      <c r="I5386" s="361" t="s">
        <v>2552</v>
      </c>
      <c r="J5386" s="361"/>
      <c r="K5386" s="327" t="s">
        <v>423</v>
      </c>
      <c r="L5386" s="478">
        <v>140</v>
      </c>
      <c r="M5386" s="371"/>
      <c r="N5386" s="355" t="s">
        <v>2408</v>
      </c>
      <c r="O5386" s="345"/>
      <c r="P5386" s="325"/>
      <c r="Q5386" s="327"/>
      <c r="R5386" s="351"/>
      <c r="S5386" s="351"/>
      <c r="T5386" s="351"/>
      <c r="U5386" s="329" t="str">
        <f>IF($N5386=$N$4,IFERROR(INDEX(DanhMuc!$E$154:$E$165,MATCH(MID($B5386,4,2),DanhMuc!$B$154:$B$165,0)),""),"")</f>
        <v/>
      </c>
      <c r="V5386" s="361"/>
      <c r="W5386" s="345"/>
      <c r="X5386" s="786"/>
      <c r="Y5386" s="1128" t="s">
        <v>3380</v>
      </c>
      <c r="Z5386" s="1128" t="s">
        <v>3381</v>
      </c>
      <c r="AA5386" s="1128" t="s">
        <v>3384</v>
      </c>
      <c r="AB5386" s="20"/>
      <c r="AC5386" s="73"/>
    </row>
    <row r="5387" spans="1:29" ht="37.5">
      <c r="A5387" s="327" t="str">
        <f>IF(AND($B5387&lt;&gt;"",$C5387&lt;&gt;""),MAX($A$4730:$A5386)+1,"")</f>
        <v/>
      </c>
      <c r="B5387" s="361" t="s">
        <v>1861</v>
      </c>
      <c r="C5387" s="362"/>
      <c r="D5387" s="327">
        <f>IF($B5387="","",COUNTIF($B$4731:$B5387,$B5387))</f>
        <v>7</v>
      </c>
      <c r="E5387" s="362" t="s">
        <v>2756</v>
      </c>
      <c r="F5387" s="362" t="s">
        <v>2757</v>
      </c>
      <c r="G5387" s="327" t="s">
        <v>405</v>
      </c>
      <c r="H5387" s="361" t="s">
        <v>536</v>
      </c>
      <c r="I5387" s="361" t="s">
        <v>2552</v>
      </c>
      <c r="J5387" s="361"/>
      <c r="K5387" s="327" t="s">
        <v>423</v>
      </c>
      <c r="L5387" s="479">
        <v>322</v>
      </c>
      <c r="M5387" s="371"/>
      <c r="N5387" s="355" t="s">
        <v>2408</v>
      </c>
      <c r="O5387" s="345"/>
      <c r="P5387" s="325"/>
      <c r="Q5387" s="327"/>
      <c r="R5387" s="351"/>
      <c r="S5387" s="351"/>
      <c r="T5387" s="351"/>
      <c r="U5387" s="329" t="str">
        <f>IF($N5387=$N$4,IFERROR(INDEX(DanhMuc!$E$154:$E$165,MATCH(MID($B5387,4,2),DanhMuc!$B$154:$B$165,0)),""),"")</f>
        <v/>
      </c>
      <c r="V5387" s="361"/>
      <c r="W5387" s="345"/>
      <c r="X5387" s="786"/>
      <c r="Y5387" s="1128" t="s">
        <v>3380</v>
      </c>
      <c r="Z5387" s="1128" t="s">
        <v>3381</v>
      </c>
      <c r="AA5387" s="1128" t="s">
        <v>3384</v>
      </c>
      <c r="AB5387" s="20"/>
      <c r="AC5387" s="73"/>
    </row>
    <row r="5388" spans="1:29">
      <c r="A5388" s="327" t="str">
        <f>IF(AND($B5388&lt;&gt;"",$C5388&lt;&gt;""),MAX($A$4730:$A5387)+1,"")</f>
        <v/>
      </c>
      <c r="B5388" s="361" t="s">
        <v>1861</v>
      </c>
      <c r="C5388" s="362"/>
      <c r="D5388" s="327">
        <f>IF($B5388="","",COUNTIF($B$4731:$B5388,$B5388))</f>
        <v>8</v>
      </c>
      <c r="E5388" s="361" t="s">
        <v>656</v>
      </c>
      <c r="F5388" s="362" t="s">
        <v>2239</v>
      </c>
      <c r="G5388" s="327" t="s">
        <v>405</v>
      </c>
      <c r="H5388" s="361" t="s">
        <v>536</v>
      </c>
      <c r="I5388" s="361" t="s">
        <v>1827</v>
      </c>
      <c r="J5388" s="361"/>
      <c r="K5388" s="327" t="s">
        <v>100</v>
      </c>
      <c r="L5388" s="478">
        <v>970</v>
      </c>
      <c r="M5388" s="371"/>
      <c r="N5388" s="355" t="s">
        <v>2409</v>
      </c>
      <c r="O5388" s="345"/>
      <c r="P5388" s="325"/>
      <c r="Q5388" s="327"/>
      <c r="R5388" s="351"/>
      <c r="S5388" s="351"/>
      <c r="T5388" s="351"/>
      <c r="U5388" s="329" t="str">
        <f>IF($N5388=$N$4,IFERROR(INDEX(DanhMuc!$E$154:$E$165,MATCH(MID($B5388,4,2),DanhMuc!$B$154:$B$165,0)),""),"")</f>
        <v/>
      </c>
      <c r="V5388" s="361"/>
      <c r="W5388" s="345"/>
      <c r="X5388" s="786"/>
      <c r="Y5388" s="1128" t="s">
        <v>3380</v>
      </c>
      <c r="Z5388" s="1128" t="s">
        <v>3381</v>
      </c>
      <c r="AA5388" s="1128" t="s">
        <v>3384</v>
      </c>
      <c r="AB5388" s="20"/>
      <c r="AC5388" s="73"/>
    </row>
    <row r="5389" spans="1:29">
      <c r="A5389" s="327" t="str">
        <f>IF(AND($B5389&lt;&gt;"",$C5389&lt;&gt;""),MAX($A$4730:$A5388)+1,"")</f>
        <v/>
      </c>
      <c r="B5389" s="361" t="s">
        <v>1861</v>
      </c>
      <c r="C5389" s="362"/>
      <c r="D5389" s="327">
        <f>IF($B5389="","",COUNTIF($B$4731:$B5389,$B5389))</f>
        <v>9</v>
      </c>
      <c r="E5389" s="361" t="s">
        <v>657</v>
      </c>
      <c r="F5389" s="362" t="s">
        <v>658</v>
      </c>
      <c r="G5389" s="327" t="s">
        <v>424</v>
      </c>
      <c r="H5389" s="361" t="s">
        <v>536</v>
      </c>
      <c r="I5389" s="361" t="s">
        <v>665</v>
      </c>
      <c r="J5389" s="361"/>
      <c r="K5389" s="327" t="s">
        <v>100</v>
      </c>
      <c r="L5389" s="478">
        <v>60000</v>
      </c>
      <c r="M5389" s="355"/>
      <c r="N5389" s="355" t="s">
        <v>2409</v>
      </c>
      <c r="O5389" s="345"/>
      <c r="P5389" s="325"/>
      <c r="Q5389" s="327"/>
      <c r="R5389" s="351"/>
      <c r="S5389" s="351"/>
      <c r="T5389" s="351"/>
      <c r="U5389" s="329" t="str">
        <f>IF($N5389=$N$4,IFERROR(INDEX(DanhMuc!$E$154:$E$165,MATCH(MID($B5389,4,2),DanhMuc!$B$154:$B$165,0)),""),"")</f>
        <v/>
      </c>
      <c r="V5389" s="361"/>
      <c r="W5389" s="345"/>
      <c r="X5389" s="786"/>
      <c r="Y5389" s="1128" t="s">
        <v>3380</v>
      </c>
      <c r="Z5389" s="1128" t="s">
        <v>3381</v>
      </c>
      <c r="AA5389" s="1128" t="s">
        <v>3384</v>
      </c>
      <c r="AB5389" s="20"/>
      <c r="AC5389" s="73"/>
    </row>
    <row r="5390" spans="1:29">
      <c r="A5390" s="327" t="str">
        <f>IF(AND($B5390&lt;&gt;"",$C5390&lt;&gt;""),MAX($A$4730:$A5389)+1,"")</f>
        <v/>
      </c>
      <c r="B5390" s="361" t="s">
        <v>1861</v>
      </c>
      <c r="C5390" s="362"/>
      <c r="D5390" s="327">
        <f>IF($B5390="","",COUNTIF($B$4731:$B5390,$B5390))</f>
        <v>10</v>
      </c>
      <c r="E5390" s="361" t="s">
        <v>2771</v>
      </c>
      <c r="F5390" s="362" t="s">
        <v>659</v>
      </c>
      <c r="G5390" s="327" t="s">
        <v>424</v>
      </c>
      <c r="H5390" s="361" t="s">
        <v>536</v>
      </c>
      <c r="I5390" s="361" t="s">
        <v>666</v>
      </c>
      <c r="J5390" s="361"/>
      <c r="K5390" s="327" t="s">
        <v>100</v>
      </c>
      <c r="L5390" s="389">
        <v>53000</v>
      </c>
      <c r="M5390" s="355"/>
      <c r="N5390" s="355" t="s">
        <v>2409</v>
      </c>
      <c r="O5390" s="345"/>
      <c r="P5390" s="325"/>
      <c r="Q5390" s="327"/>
      <c r="R5390" s="351"/>
      <c r="S5390" s="351"/>
      <c r="T5390" s="351"/>
      <c r="U5390" s="329" t="str">
        <f>IF($N5390=$N$4,IFERROR(INDEX(DanhMuc!$E$154:$E$165,MATCH(MID($B5390,4,2),DanhMuc!$B$154:$B$165,0)),""),"")</f>
        <v/>
      </c>
      <c r="V5390" s="361"/>
      <c r="W5390" s="345"/>
      <c r="X5390" s="786"/>
      <c r="Y5390" s="1128" t="s">
        <v>3380</v>
      </c>
      <c r="Z5390" s="1128" t="s">
        <v>3381</v>
      </c>
      <c r="AA5390" s="1128" t="s">
        <v>3384</v>
      </c>
      <c r="AB5390" s="20"/>
      <c r="AC5390" s="73"/>
    </row>
    <row r="5391" spans="1:29">
      <c r="A5391" s="327" t="str">
        <f>IF(AND($B5391&lt;&gt;"",$C5391&lt;&gt;""),MAX($A$4730:$A5390)+1,"")</f>
        <v/>
      </c>
      <c r="B5391" s="361" t="s">
        <v>1861</v>
      </c>
      <c r="C5391" s="362"/>
      <c r="D5391" s="327">
        <f>IF($B5391="","",COUNTIF($B$4731:$B5391,$B5391))</f>
        <v>11</v>
      </c>
      <c r="E5391" s="361" t="s">
        <v>1828</v>
      </c>
      <c r="F5391" s="362" t="s">
        <v>671</v>
      </c>
      <c r="G5391" s="327" t="s">
        <v>661</v>
      </c>
      <c r="H5391" s="361" t="s">
        <v>536</v>
      </c>
      <c r="I5391" s="361" t="s">
        <v>2355</v>
      </c>
      <c r="J5391" s="361"/>
      <c r="K5391" s="327" t="s">
        <v>100</v>
      </c>
      <c r="L5391" s="478">
        <f>40000/1000</f>
        <v>40</v>
      </c>
      <c r="M5391" s="355"/>
      <c r="N5391" s="355" t="s">
        <v>2409</v>
      </c>
      <c r="O5391" s="345"/>
      <c r="P5391" s="325"/>
      <c r="Q5391" s="327"/>
      <c r="R5391" s="351"/>
      <c r="S5391" s="351"/>
      <c r="T5391" s="351"/>
      <c r="U5391" s="329" t="str">
        <f>IF($N5391=$N$4,IFERROR(INDEX(DanhMuc!$E$154:$E$165,MATCH(MID($B5391,4,2),DanhMuc!$B$154:$B$165,0)),""),"")</f>
        <v/>
      </c>
      <c r="V5391" s="361"/>
      <c r="W5391" s="345"/>
      <c r="X5391" s="786"/>
      <c r="Y5391" s="1128" t="s">
        <v>3380</v>
      </c>
      <c r="Z5391" s="1128" t="s">
        <v>3381</v>
      </c>
      <c r="AA5391" s="1128" t="s">
        <v>3384</v>
      </c>
      <c r="AB5391" s="20"/>
      <c r="AC5391" s="73"/>
    </row>
    <row r="5392" spans="1:29">
      <c r="A5392" s="327" t="str">
        <f>IF(AND($B5392&lt;&gt;"",$C5392&lt;&gt;""),MAX($A$4730:$A5391)+1,"")</f>
        <v/>
      </c>
      <c r="B5392" s="361" t="s">
        <v>1861</v>
      </c>
      <c r="C5392" s="362"/>
      <c r="D5392" s="327">
        <f>IF($B5392="","",COUNTIF($B$4731:$B5392,$B5392))</f>
        <v>12</v>
      </c>
      <c r="E5392" s="361" t="s">
        <v>154</v>
      </c>
      <c r="F5392" s="362" t="s">
        <v>660</v>
      </c>
      <c r="G5392" s="327" t="s">
        <v>661</v>
      </c>
      <c r="H5392" s="361" t="s">
        <v>536</v>
      </c>
      <c r="I5392" s="361" t="s">
        <v>667</v>
      </c>
      <c r="J5392" s="361"/>
      <c r="K5392" s="327" t="s">
        <v>662</v>
      </c>
      <c r="L5392" s="478">
        <v>20</v>
      </c>
      <c r="M5392" s="355"/>
      <c r="N5392" s="355" t="s">
        <v>2409</v>
      </c>
      <c r="O5392" s="345"/>
      <c r="P5392" s="325"/>
      <c r="Q5392" s="327"/>
      <c r="R5392" s="351"/>
      <c r="S5392" s="351"/>
      <c r="T5392" s="351"/>
      <c r="U5392" s="329" t="str">
        <f>IF($N5392=$N$4,IFERROR(INDEX(DanhMuc!$E$154:$E$165,MATCH(MID($B5392,4,2),DanhMuc!$B$154:$B$165,0)),""),"")</f>
        <v/>
      </c>
      <c r="V5392" s="361"/>
      <c r="W5392" s="345"/>
      <c r="X5392" s="786"/>
      <c r="Y5392" s="1128" t="s">
        <v>3380</v>
      </c>
      <c r="Z5392" s="1128" t="s">
        <v>3381</v>
      </c>
      <c r="AA5392" s="1128" t="s">
        <v>3384</v>
      </c>
      <c r="AB5392" s="20"/>
      <c r="AC5392" s="73"/>
    </row>
    <row r="5393" spans="1:29">
      <c r="A5393" s="327" t="str">
        <f>IF(AND($B5393&lt;&gt;"",$C5393&lt;&gt;""),MAX($A$4730:$A5392)+1,"")</f>
        <v/>
      </c>
      <c r="B5393" s="361" t="s">
        <v>1861</v>
      </c>
      <c r="C5393" s="362"/>
      <c r="D5393" s="327">
        <f>IF($B5393="","",COUNTIF($B$4731:$B5393,$B5393))</f>
        <v>13</v>
      </c>
      <c r="E5393" s="362" t="s">
        <v>2282</v>
      </c>
      <c r="F5393" s="362" t="s">
        <v>2283</v>
      </c>
      <c r="G5393" s="327" t="s">
        <v>424</v>
      </c>
      <c r="H5393" s="361" t="s">
        <v>536</v>
      </c>
      <c r="I5393" s="361" t="s">
        <v>2238</v>
      </c>
      <c r="J5393" s="361"/>
      <c r="K5393" s="327" t="s">
        <v>662</v>
      </c>
      <c r="L5393" s="478">
        <v>28000</v>
      </c>
      <c r="M5393" s="355"/>
      <c r="N5393" s="355" t="s">
        <v>2409</v>
      </c>
      <c r="O5393" s="345"/>
      <c r="P5393" s="325"/>
      <c r="Q5393" s="327"/>
      <c r="R5393" s="351"/>
      <c r="S5393" s="351"/>
      <c r="T5393" s="351"/>
      <c r="U5393" s="329" t="str">
        <f>IF($N5393=$N$4,IFERROR(INDEX(DanhMuc!$E$154:$E$165,MATCH(MID($B5393,4,2),DanhMuc!$B$154:$B$165,0)),""),"")</f>
        <v/>
      </c>
      <c r="V5393" s="361"/>
      <c r="W5393" s="345"/>
      <c r="X5393" s="786"/>
      <c r="Y5393" s="1128" t="s">
        <v>3380</v>
      </c>
      <c r="Z5393" s="1128" t="s">
        <v>3381</v>
      </c>
      <c r="AA5393" s="1128" t="s">
        <v>3384</v>
      </c>
      <c r="AB5393" s="20"/>
      <c r="AC5393" s="73"/>
    </row>
    <row r="5394" spans="1:29">
      <c r="A5394" s="327" t="str">
        <f>IF(AND($B5394&lt;&gt;"",$C5394&lt;&gt;""),MAX($A$4730:$A5393)+1,"")</f>
        <v/>
      </c>
      <c r="B5394" s="361" t="s">
        <v>1861</v>
      </c>
      <c r="C5394" s="362"/>
      <c r="D5394" s="327">
        <f>IF($B5394="","",COUNTIF($B$4731:$B5394,$B5394))</f>
        <v>14</v>
      </c>
      <c r="E5394" s="362" t="s">
        <v>663</v>
      </c>
      <c r="F5394" s="362" t="s">
        <v>664</v>
      </c>
      <c r="G5394" s="327" t="s">
        <v>155</v>
      </c>
      <c r="H5394" s="361" t="s">
        <v>536</v>
      </c>
      <c r="I5394" s="361" t="s">
        <v>672</v>
      </c>
      <c r="J5394" s="361"/>
      <c r="K5394" s="327" t="s">
        <v>662</v>
      </c>
      <c r="L5394" s="478">
        <v>1000</v>
      </c>
      <c r="M5394" s="355"/>
      <c r="N5394" s="355" t="s">
        <v>2409</v>
      </c>
      <c r="O5394" s="345"/>
      <c r="P5394" s="325"/>
      <c r="Q5394" s="327"/>
      <c r="R5394" s="351"/>
      <c r="S5394" s="351"/>
      <c r="T5394" s="351"/>
      <c r="U5394" s="329" t="str">
        <f>IF($N5394=$N$4,IFERROR(INDEX(DanhMuc!$E$154:$E$165,MATCH(MID($B5394,4,2),DanhMuc!$B$154:$B$165,0)),""),"")</f>
        <v/>
      </c>
      <c r="V5394" s="361"/>
      <c r="W5394" s="345"/>
      <c r="X5394" s="786"/>
      <c r="Y5394" s="1128" t="s">
        <v>3380</v>
      </c>
      <c r="Z5394" s="1128" t="s">
        <v>3381</v>
      </c>
      <c r="AA5394" s="1128" t="s">
        <v>3384</v>
      </c>
      <c r="AB5394" s="20"/>
      <c r="AC5394" s="73"/>
    </row>
    <row r="5395" spans="1:29" ht="39">
      <c r="A5395" s="327">
        <f>IF(AND($B5395&lt;&gt;"",$C5395&lt;&gt;""),MAX($A$4730:$A5374)+1,"")</f>
        <v>24</v>
      </c>
      <c r="B5395" s="359" t="s">
        <v>1862</v>
      </c>
      <c r="C5395" s="360" t="s">
        <v>1889</v>
      </c>
      <c r="D5395" s="327">
        <f>IF($B5395="","",COUNTIF($B$4731:$B5395,$B5395))</f>
        <v>1</v>
      </c>
      <c r="E5395" s="361" t="s">
        <v>2069</v>
      </c>
      <c r="F5395" s="362" t="s">
        <v>2070</v>
      </c>
      <c r="G5395" s="327" t="s">
        <v>155</v>
      </c>
      <c r="H5395" s="361" t="s">
        <v>536</v>
      </c>
      <c r="I5395" s="327">
        <v>2</v>
      </c>
      <c r="J5395" s="361"/>
      <c r="K5395" s="327" t="s">
        <v>100</v>
      </c>
      <c r="L5395" s="389">
        <v>11000</v>
      </c>
      <c r="M5395" s="355"/>
      <c r="N5395" s="355" t="s">
        <v>2408</v>
      </c>
      <c r="O5395" s="345"/>
      <c r="P5395" s="325"/>
      <c r="Q5395" s="327"/>
      <c r="R5395" s="351">
        <v>2.5</v>
      </c>
      <c r="S5395" s="351">
        <v>5.8</v>
      </c>
      <c r="T5395" s="351">
        <v>1.44</v>
      </c>
      <c r="U5395" s="329" t="str">
        <f>IF($N5395=$N$4,IFERROR(INDEX(DanhMuc!$E$154:$E$165,MATCH(MID($B5395,4,2),DanhMuc!$B$154:$B$165,0)),""),"")</f>
        <v/>
      </c>
      <c r="V5395" s="361"/>
      <c r="W5395" s="345"/>
      <c r="X5395" s="786"/>
      <c r="Y5395" s="1128" t="s">
        <v>3380</v>
      </c>
      <c r="Z5395" s="1128" t="s">
        <v>3381</v>
      </c>
      <c r="AA5395" s="1128" t="s">
        <v>3384</v>
      </c>
      <c r="AB5395" s="20"/>
      <c r="AC5395" s="73"/>
    </row>
    <row r="5396" spans="1:29">
      <c r="A5396" s="327" t="str">
        <f>IF(AND($B5396&lt;&gt;"",$C5396&lt;&gt;""),MAX($A$4730:$A5395)+1,"")</f>
        <v/>
      </c>
      <c r="B5396" s="361" t="s">
        <v>1862</v>
      </c>
      <c r="C5396" s="362"/>
      <c r="D5396" s="327">
        <f>IF($B5396="","",COUNTIF($B$4731:$B5396,$B5396))</f>
        <v>2</v>
      </c>
      <c r="E5396" s="361" t="s">
        <v>2315</v>
      </c>
      <c r="F5396" s="362" t="s">
        <v>2306</v>
      </c>
      <c r="G5396" s="327" t="s">
        <v>155</v>
      </c>
      <c r="H5396" s="361" t="s">
        <v>536</v>
      </c>
      <c r="I5396" s="327">
        <v>24</v>
      </c>
      <c r="J5396" s="361"/>
      <c r="K5396" s="327" t="s">
        <v>101</v>
      </c>
      <c r="L5396" s="389">
        <v>17800</v>
      </c>
      <c r="M5396" s="355"/>
      <c r="N5396" s="355" t="s">
        <v>2408</v>
      </c>
      <c r="O5396" s="345"/>
      <c r="P5396" s="325"/>
      <c r="Q5396" s="327"/>
      <c r="R5396" s="351"/>
      <c r="S5396" s="351"/>
      <c r="T5396" s="351"/>
      <c r="U5396" s="329" t="str">
        <f>IF($N5396=$N$4,IFERROR(INDEX(DanhMuc!$E$154:$E$165,MATCH(MID($B5396,4,2),DanhMuc!$B$154:$B$165,0)),""),"")</f>
        <v/>
      </c>
      <c r="V5396" s="361"/>
      <c r="W5396" s="345"/>
      <c r="X5396" s="786"/>
      <c r="Y5396" s="1128" t="s">
        <v>3380</v>
      </c>
      <c r="Z5396" s="1128" t="s">
        <v>3381</v>
      </c>
      <c r="AA5396" s="1128" t="s">
        <v>3384</v>
      </c>
      <c r="AB5396" s="20"/>
      <c r="AC5396" s="73"/>
    </row>
    <row r="5397" spans="1:29">
      <c r="A5397" s="327" t="str">
        <f>IF(AND($B5397&lt;&gt;"",$C5397&lt;&gt;""),MAX($A$4730:$A5396)+1,"")</f>
        <v/>
      </c>
      <c r="B5397" s="361" t="s">
        <v>1862</v>
      </c>
      <c r="C5397" s="360"/>
      <c r="D5397" s="327">
        <f>IF($B5397="","",COUNTIF($B$4731:$B5397,$B5397))</f>
        <v>3</v>
      </c>
      <c r="E5397" s="402" t="s">
        <v>2788</v>
      </c>
      <c r="F5397" s="403" t="s">
        <v>2789</v>
      </c>
      <c r="G5397" s="327" t="s">
        <v>155</v>
      </c>
      <c r="H5397" s="361" t="s">
        <v>536</v>
      </c>
      <c r="I5397" s="327">
        <f>4*I5396</f>
        <v>96</v>
      </c>
      <c r="J5397" s="361"/>
      <c r="K5397" s="327" t="s">
        <v>101</v>
      </c>
      <c r="L5397" s="389">
        <v>600</v>
      </c>
      <c r="M5397" s="355"/>
      <c r="N5397" s="355" t="s">
        <v>2408</v>
      </c>
      <c r="O5397" s="345"/>
      <c r="P5397" s="325"/>
      <c r="Q5397" s="327"/>
      <c r="R5397" s="351"/>
      <c r="S5397" s="351"/>
      <c r="T5397" s="351"/>
      <c r="U5397" s="329" t="str">
        <f>IF($N5397=$N$4,IFERROR(INDEX(DanhMuc!$E$154:$E$165,MATCH(MID($B5397,4,2),DanhMuc!$B$154:$B$165,0)),""),"")</f>
        <v/>
      </c>
      <c r="V5397" s="361"/>
      <c r="W5397" s="345"/>
      <c r="X5397" s="786"/>
      <c r="Y5397" s="1128" t="s">
        <v>3380</v>
      </c>
      <c r="Z5397" s="1128" t="s">
        <v>3381</v>
      </c>
      <c r="AA5397" s="1128" t="s">
        <v>3384</v>
      </c>
      <c r="AB5397" s="20"/>
      <c r="AC5397" s="73"/>
    </row>
    <row r="5398" spans="1:29">
      <c r="A5398" s="327" t="str">
        <f>IF(AND($B5398&lt;&gt;"",$C5398&lt;&gt;""),MAX($A$4730:$A5396)+1,"")</f>
        <v/>
      </c>
      <c r="B5398" s="361" t="s">
        <v>1862</v>
      </c>
      <c r="C5398" s="362"/>
      <c r="D5398" s="327">
        <f>IF($B5398="","",COUNTIF($B$4731:$B5398,$B5398))</f>
        <v>4</v>
      </c>
      <c r="E5398" s="361" t="s">
        <v>2336</v>
      </c>
      <c r="F5398" s="362" t="s">
        <v>2337</v>
      </c>
      <c r="G5398" s="327" t="s">
        <v>155</v>
      </c>
      <c r="H5398" s="361" t="s">
        <v>536</v>
      </c>
      <c r="I5398" s="327">
        <v>24</v>
      </c>
      <c r="J5398" s="361"/>
      <c r="K5398" s="327" t="s">
        <v>415</v>
      </c>
      <c r="L5398" s="389">
        <v>1000</v>
      </c>
      <c r="M5398" s="355"/>
      <c r="N5398" s="355" t="s">
        <v>2408</v>
      </c>
      <c r="O5398" s="345"/>
      <c r="P5398" s="325"/>
      <c r="Q5398" s="327"/>
      <c r="R5398" s="351"/>
      <c r="S5398" s="351"/>
      <c r="T5398" s="351"/>
      <c r="U5398" s="329" t="str">
        <f>IF($N5398=$N$4,IFERROR(INDEX(DanhMuc!$E$154:$E$165,MATCH(MID($B5398,4,2),DanhMuc!$B$154:$B$165,0)),""),"")</f>
        <v/>
      </c>
      <c r="V5398" s="361"/>
      <c r="W5398" s="345"/>
      <c r="X5398" s="786"/>
      <c r="Y5398" s="1128" t="s">
        <v>3380</v>
      </c>
      <c r="Z5398" s="1128" t="s">
        <v>3381</v>
      </c>
      <c r="AA5398" s="1128" t="s">
        <v>3384</v>
      </c>
      <c r="AB5398" s="20"/>
      <c r="AC5398" s="73"/>
    </row>
    <row r="5399" spans="1:29">
      <c r="A5399" s="327" t="str">
        <f>IF(AND($B5399&lt;&gt;"",$C5399&lt;&gt;""),MAX($A$4730:$A5398)+1,"")</f>
        <v/>
      </c>
      <c r="B5399" s="361" t="s">
        <v>1862</v>
      </c>
      <c r="C5399" s="362"/>
      <c r="D5399" s="327">
        <f>IF($B5399="","",COUNTIF($B$4731:$B5399,$B5399))</f>
        <v>5</v>
      </c>
      <c r="E5399" s="361" t="s">
        <v>1826</v>
      </c>
      <c r="F5399" s="362" t="s">
        <v>670</v>
      </c>
      <c r="G5399" s="327" t="s">
        <v>661</v>
      </c>
      <c r="H5399" s="361" t="s">
        <v>536</v>
      </c>
      <c r="I5399" s="361" t="s">
        <v>2354</v>
      </c>
      <c r="J5399" s="361"/>
      <c r="K5399" s="327" t="s">
        <v>103</v>
      </c>
      <c r="L5399" s="478">
        <f>40000/1000</f>
        <v>40</v>
      </c>
      <c r="M5399" s="355"/>
      <c r="N5399" s="355" t="s">
        <v>2408</v>
      </c>
      <c r="O5399" s="345"/>
      <c r="P5399" s="325"/>
      <c r="Q5399" s="327"/>
      <c r="R5399" s="351"/>
      <c r="S5399" s="351"/>
      <c r="T5399" s="351"/>
      <c r="U5399" s="329" t="str">
        <f>IF($N5399=$N$4,IFERROR(INDEX(DanhMuc!$E$154:$E$165,MATCH(MID($B5399,4,2),DanhMuc!$B$154:$B$165,0)),""),"")</f>
        <v/>
      </c>
      <c r="V5399" s="361"/>
      <c r="W5399" s="345"/>
      <c r="X5399" s="786"/>
      <c r="Y5399" s="1128" t="s">
        <v>3380</v>
      </c>
      <c r="Z5399" s="1128" t="s">
        <v>3381</v>
      </c>
      <c r="AA5399" s="1128" t="s">
        <v>3384</v>
      </c>
      <c r="AB5399" s="20"/>
      <c r="AC5399" s="73"/>
    </row>
    <row r="5400" spans="1:29" ht="37.5">
      <c r="A5400" s="327" t="str">
        <f>IF(AND($B5400&lt;&gt;"",$C5400&lt;&gt;""),MAX($A$4730:$A5399)+1,"")</f>
        <v/>
      </c>
      <c r="B5400" s="361" t="s">
        <v>1862</v>
      </c>
      <c r="C5400" s="362"/>
      <c r="D5400" s="327">
        <f>IF($B5400="","",COUNTIF($B$4731:$B5400,$B5400))</f>
        <v>6</v>
      </c>
      <c r="E5400" s="362" t="s">
        <v>1964</v>
      </c>
      <c r="F5400" s="362" t="s">
        <v>1965</v>
      </c>
      <c r="G5400" s="327" t="s">
        <v>405</v>
      </c>
      <c r="H5400" s="361" t="s">
        <v>536</v>
      </c>
      <c r="I5400" s="361" t="s">
        <v>2552</v>
      </c>
      <c r="J5400" s="361"/>
      <c r="K5400" s="327" t="s">
        <v>423</v>
      </c>
      <c r="L5400" s="478">
        <v>140</v>
      </c>
      <c r="M5400" s="371"/>
      <c r="N5400" s="355" t="s">
        <v>2408</v>
      </c>
      <c r="O5400" s="345"/>
      <c r="P5400" s="325"/>
      <c r="Q5400" s="327"/>
      <c r="R5400" s="351"/>
      <c r="S5400" s="351"/>
      <c r="T5400" s="351"/>
      <c r="U5400" s="329" t="str">
        <f>IF($N5400=$N$4,IFERROR(INDEX(DanhMuc!$E$154:$E$165,MATCH(MID($B5400,4,2),DanhMuc!$B$154:$B$165,0)),""),"")</f>
        <v/>
      </c>
      <c r="V5400" s="361"/>
      <c r="W5400" s="345"/>
      <c r="X5400" s="786"/>
      <c r="Y5400" s="1128" t="s">
        <v>3380</v>
      </c>
      <c r="Z5400" s="1128" t="s">
        <v>3381</v>
      </c>
      <c r="AA5400" s="1128" t="s">
        <v>3384</v>
      </c>
      <c r="AB5400" s="20"/>
      <c r="AC5400" s="73"/>
    </row>
    <row r="5401" spans="1:29" ht="37.5">
      <c r="A5401" s="327" t="str">
        <f>IF(AND($B5401&lt;&gt;"",$C5401&lt;&gt;""),MAX($A$4730:$A5400)+1,"")</f>
        <v/>
      </c>
      <c r="B5401" s="361" t="s">
        <v>1862</v>
      </c>
      <c r="C5401" s="362"/>
      <c r="D5401" s="327">
        <f>IF($B5401="","",COUNTIF($B$4731:$B5401,$B5401))</f>
        <v>7</v>
      </c>
      <c r="E5401" s="362" t="s">
        <v>2756</v>
      </c>
      <c r="F5401" s="362" t="s">
        <v>2757</v>
      </c>
      <c r="G5401" s="327" t="s">
        <v>405</v>
      </c>
      <c r="H5401" s="361" t="s">
        <v>536</v>
      </c>
      <c r="I5401" s="361" t="s">
        <v>2552</v>
      </c>
      <c r="J5401" s="361"/>
      <c r="K5401" s="327" t="s">
        <v>423</v>
      </c>
      <c r="L5401" s="479">
        <v>322</v>
      </c>
      <c r="M5401" s="371"/>
      <c r="N5401" s="355" t="s">
        <v>2408</v>
      </c>
      <c r="O5401" s="345"/>
      <c r="P5401" s="325"/>
      <c r="Q5401" s="327"/>
      <c r="R5401" s="351"/>
      <c r="S5401" s="351"/>
      <c r="T5401" s="351"/>
      <c r="U5401" s="329" t="str">
        <f>IF($N5401=$N$4,IFERROR(INDEX(DanhMuc!$E$154:$E$165,MATCH(MID($B5401,4,2),DanhMuc!$B$154:$B$165,0)),""),"")</f>
        <v/>
      </c>
      <c r="V5401" s="361"/>
      <c r="W5401" s="345"/>
      <c r="X5401" s="786"/>
      <c r="Y5401" s="1128" t="s">
        <v>3380</v>
      </c>
      <c r="Z5401" s="1128" t="s">
        <v>3381</v>
      </c>
      <c r="AA5401" s="1128" t="s">
        <v>3384</v>
      </c>
      <c r="AB5401" s="20"/>
      <c r="AC5401" s="73"/>
    </row>
    <row r="5402" spans="1:29">
      <c r="A5402" s="327" t="str">
        <f>IF(AND($B5402&lt;&gt;"",$C5402&lt;&gt;""),MAX($A$4730:$A5401)+1,"")</f>
        <v/>
      </c>
      <c r="B5402" s="361" t="s">
        <v>1862</v>
      </c>
      <c r="C5402" s="362"/>
      <c r="D5402" s="327">
        <f>IF($B5402="","",COUNTIF($B$4731:$B5402,$B5402))</f>
        <v>8</v>
      </c>
      <c r="E5402" s="361" t="s">
        <v>656</v>
      </c>
      <c r="F5402" s="362" t="s">
        <v>2239</v>
      </c>
      <c r="G5402" s="327" t="s">
        <v>405</v>
      </c>
      <c r="H5402" s="361" t="s">
        <v>536</v>
      </c>
      <c r="I5402" s="361" t="s">
        <v>1827</v>
      </c>
      <c r="J5402" s="361"/>
      <c r="K5402" s="327" t="s">
        <v>100</v>
      </c>
      <c r="L5402" s="478">
        <v>970</v>
      </c>
      <c r="M5402" s="371"/>
      <c r="N5402" s="355" t="s">
        <v>2409</v>
      </c>
      <c r="O5402" s="345"/>
      <c r="P5402" s="325"/>
      <c r="Q5402" s="327"/>
      <c r="R5402" s="351"/>
      <c r="S5402" s="351"/>
      <c r="T5402" s="351"/>
      <c r="U5402" s="329" t="str">
        <f>IF($N5402=$N$4,IFERROR(INDEX(DanhMuc!$E$154:$E$165,MATCH(MID($B5402,4,2),DanhMuc!$B$154:$B$165,0)),""),"")</f>
        <v/>
      </c>
      <c r="V5402" s="361"/>
      <c r="W5402" s="345"/>
      <c r="X5402" s="786"/>
      <c r="Y5402" s="1128" t="s">
        <v>3380</v>
      </c>
      <c r="Z5402" s="1128" t="s">
        <v>3381</v>
      </c>
      <c r="AA5402" s="1128" t="s">
        <v>3384</v>
      </c>
      <c r="AB5402" s="20"/>
      <c r="AC5402" s="73"/>
    </row>
    <row r="5403" spans="1:29">
      <c r="A5403" s="327" t="str">
        <f>IF(AND($B5403&lt;&gt;"",$C5403&lt;&gt;""),MAX($A$4730:$A5402)+1,"")</f>
        <v/>
      </c>
      <c r="B5403" s="361" t="s">
        <v>1862</v>
      </c>
      <c r="C5403" s="362"/>
      <c r="D5403" s="327">
        <f>IF($B5403="","",COUNTIF($B$4731:$B5403,$B5403))</f>
        <v>9</v>
      </c>
      <c r="E5403" s="361" t="s">
        <v>657</v>
      </c>
      <c r="F5403" s="362" t="s">
        <v>658</v>
      </c>
      <c r="G5403" s="327" t="s">
        <v>424</v>
      </c>
      <c r="H5403" s="361" t="s">
        <v>536</v>
      </c>
      <c r="I5403" s="361" t="s">
        <v>665</v>
      </c>
      <c r="J5403" s="361"/>
      <c r="K5403" s="327" t="s">
        <v>100</v>
      </c>
      <c r="L5403" s="478">
        <v>60000</v>
      </c>
      <c r="M5403" s="355"/>
      <c r="N5403" s="355" t="s">
        <v>2409</v>
      </c>
      <c r="O5403" s="345"/>
      <c r="P5403" s="325"/>
      <c r="Q5403" s="327"/>
      <c r="R5403" s="351"/>
      <c r="S5403" s="351"/>
      <c r="T5403" s="351"/>
      <c r="U5403" s="329" t="str">
        <f>IF($N5403=$N$4,IFERROR(INDEX(DanhMuc!$E$154:$E$165,MATCH(MID($B5403,4,2),DanhMuc!$B$154:$B$165,0)),""),"")</f>
        <v/>
      </c>
      <c r="V5403" s="361"/>
      <c r="W5403" s="345"/>
      <c r="X5403" s="786"/>
      <c r="Y5403" s="1128" t="s">
        <v>3380</v>
      </c>
      <c r="Z5403" s="1128" t="s">
        <v>3381</v>
      </c>
      <c r="AA5403" s="1128" t="s">
        <v>3384</v>
      </c>
      <c r="AB5403" s="20"/>
      <c r="AC5403" s="73"/>
    </row>
    <row r="5404" spans="1:29">
      <c r="A5404" s="327" t="str">
        <f>IF(AND($B5404&lt;&gt;"",$C5404&lt;&gt;""),MAX($A$4730:$A5403)+1,"")</f>
        <v/>
      </c>
      <c r="B5404" s="361" t="s">
        <v>1862</v>
      </c>
      <c r="C5404" s="362"/>
      <c r="D5404" s="327">
        <f>IF($B5404="","",COUNTIF($B$4731:$B5404,$B5404))</f>
        <v>10</v>
      </c>
      <c r="E5404" s="361" t="s">
        <v>2771</v>
      </c>
      <c r="F5404" s="362" t="s">
        <v>659</v>
      </c>
      <c r="G5404" s="327" t="s">
        <v>424</v>
      </c>
      <c r="H5404" s="361" t="s">
        <v>536</v>
      </c>
      <c r="I5404" s="361" t="s">
        <v>666</v>
      </c>
      <c r="J5404" s="361"/>
      <c r="K5404" s="327" t="s">
        <v>100</v>
      </c>
      <c r="L5404" s="389">
        <v>53000</v>
      </c>
      <c r="M5404" s="355"/>
      <c r="N5404" s="355" t="s">
        <v>2409</v>
      </c>
      <c r="O5404" s="345"/>
      <c r="P5404" s="325"/>
      <c r="Q5404" s="327"/>
      <c r="R5404" s="351"/>
      <c r="S5404" s="351"/>
      <c r="T5404" s="351"/>
      <c r="U5404" s="329" t="str">
        <f>IF($N5404=$N$4,IFERROR(INDEX(DanhMuc!$E$154:$E$165,MATCH(MID($B5404,4,2),DanhMuc!$B$154:$B$165,0)),""),"")</f>
        <v/>
      </c>
      <c r="V5404" s="361"/>
      <c r="W5404" s="345"/>
      <c r="X5404" s="786"/>
      <c r="Y5404" s="1128" t="s">
        <v>3380</v>
      </c>
      <c r="Z5404" s="1128" t="s">
        <v>3381</v>
      </c>
      <c r="AA5404" s="1128" t="s">
        <v>3384</v>
      </c>
      <c r="AB5404" s="20"/>
      <c r="AC5404" s="73"/>
    </row>
    <row r="5405" spans="1:29">
      <c r="A5405" s="327" t="str">
        <f>IF(AND($B5405&lt;&gt;"",$C5405&lt;&gt;""),MAX($A$4730:$A5404)+1,"")</f>
        <v/>
      </c>
      <c r="B5405" s="361" t="s">
        <v>1862</v>
      </c>
      <c r="C5405" s="362"/>
      <c r="D5405" s="327">
        <f>IF($B5405="","",COUNTIF($B$4731:$B5405,$B5405))</f>
        <v>11</v>
      </c>
      <c r="E5405" s="361" t="s">
        <v>1828</v>
      </c>
      <c r="F5405" s="362" t="s">
        <v>671</v>
      </c>
      <c r="G5405" s="327" t="s">
        <v>661</v>
      </c>
      <c r="H5405" s="361" t="s">
        <v>536</v>
      </c>
      <c r="I5405" s="361" t="s">
        <v>2355</v>
      </c>
      <c r="J5405" s="361"/>
      <c r="K5405" s="327" t="s">
        <v>100</v>
      </c>
      <c r="L5405" s="478">
        <f>40000/1000</f>
        <v>40</v>
      </c>
      <c r="M5405" s="355"/>
      <c r="N5405" s="355" t="s">
        <v>2409</v>
      </c>
      <c r="O5405" s="345"/>
      <c r="P5405" s="325"/>
      <c r="Q5405" s="327"/>
      <c r="R5405" s="351"/>
      <c r="S5405" s="351"/>
      <c r="T5405" s="351"/>
      <c r="U5405" s="329" t="str">
        <f>IF($N5405=$N$4,IFERROR(INDEX(DanhMuc!$E$154:$E$165,MATCH(MID($B5405,4,2),DanhMuc!$B$154:$B$165,0)),""),"")</f>
        <v/>
      </c>
      <c r="V5405" s="361"/>
      <c r="W5405" s="345"/>
      <c r="X5405" s="786"/>
      <c r="Y5405" s="1128" t="s">
        <v>3380</v>
      </c>
      <c r="Z5405" s="1128" t="s">
        <v>3381</v>
      </c>
      <c r="AA5405" s="1128" t="s">
        <v>3384</v>
      </c>
      <c r="AB5405" s="20"/>
      <c r="AC5405" s="73"/>
    </row>
    <row r="5406" spans="1:29">
      <c r="A5406" s="327" t="str">
        <f>IF(AND($B5406&lt;&gt;"",$C5406&lt;&gt;""),MAX($A$4730:$A5405)+1,"")</f>
        <v/>
      </c>
      <c r="B5406" s="361" t="s">
        <v>1862</v>
      </c>
      <c r="C5406" s="362"/>
      <c r="D5406" s="327">
        <f>IF($B5406="","",COUNTIF($B$4731:$B5406,$B5406))</f>
        <v>12</v>
      </c>
      <c r="E5406" s="361" t="s">
        <v>154</v>
      </c>
      <c r="F5406" s="362" t="s">
        <v>660</v>
      </c>
      <c r="G5406" s="327" t="s">
        <v>661</v>
      </c>
      <c r="H5406" s="361" t="s">
        <v>536</v>
      </c>
      <c r="I5406" s="361" t="s">
        <v>667</v>
      </c>
      <c r="J5406" s="361"/>
      <c r="K5406" s="327" t="s">
        <v>662</v>
      </c>
      <c r="L5406" s="478">
        <v>20</v>
      </c>
      <c r="M5406" s="355"/>
      <c r="N5406" s="355" t="s">
        <v>2409</v>
      </c>
      <c r="O5406" s="345"/>
      <c r="P5406" s="325"/>
      <c r="Q5406" s="327"/>
      <c r="R5406" s="351"/>
      <c r="S5406" s="351"/>
      <c r="T5406" s="351"/>
      <c r="U5406" s="329" t="str">
        <f>IF($N5406=$N$4,IFERROR(INDEX(DanhMuc!$E$154:$E$165,MATCH(MID($B5406,4,2),DanhMuc!$B$154:$B$165,0)),""),"")</f>
        <v/>
      </c>
      <c r="V5406" s="361"/>
      <c r="W5406" s="345"/>
      <c r="X5406" s="786"/>
      <c r="Y5406" s="1128" t="s">
        <v>3380</v>
      </c>
      <c r="Z5406" s="1128" t="s">
        <v>3381</v>
      </c>
      <c r="AA5406" s="1128" t="s">
        <v>3384</v>
      </c>
      <c r="AB5406" s="20"/>
      <c r="AC5406" s="73"/>
    </row>
    <row r="5407" spans="1:29">
      <c r="A5407" s="327" t="str">
        <f>IF(AND($B5407&lt;&gt;"",$C5407&lt;&gt;""),MAX($A$4730:$A5406)+1,"")</f>
        <v/>
      </c>
      <c r="B5407" s="361" t="s">
        <v>1862</v>
      </c>
      <c r="C5407" s="362"/>
      <c r="D5407" s="327">
        <f>IF($B5407="","",COUNTIF($B$4731:$B5407,$B5407))</f>
        <v>13</v>
      </c>
      <c r="E5407" s="362" t="s">
        <v>2282</v>
      </c>
      <c r="F5407" s="362" t="s">
        <v>2283</v>
      </c>
      <c r="G5407" s="327" t="s">
        <v>424</v>
      </c>
      <c r="H5407" s="361" t="s">
        <v>536</v>
      </c>
      <c r="I5407" s="361" t="s">
        <v>2238</v>
      </c>
      <c r="J5407" s="361"/>
      <c r="K5407" s="327" t="s">
        <v>662</v>
      </c>
      <c r="L5407" s="478">
        <v>28000</v>
      </c>
      <c r="M5407" s="355"/>
      <c r="N5407" s="355" t="s">
        <v>2409</v>
      </c>
      <c r="O5407" s="345"/>
      <c r="P5407" s="325"/>
      <c r="Q5407" s="327"/>
      <c r="R5407" s="351"/>
      <c r="S5407" s="351"/>
      <c r="T5407" s="351"/>
      <c r="U5407" s="329" t="str">
        <f>IF($N5407=$N$4,IFERROR(INDEX(DanhMuc!$E$154:$E$165,MATCH(MID($B5407,4,2),DanhMuc!$B$154:$B$165,0)),""),"")</f>
        <v/>
      </c>
      <c r="V5407" s="361"/>
      <c r="W5407" s="345"/>
      <c r="X5407" s="786"/>
      <c r="Y5407" s="1128" t="s">
        <v>3380</v>
      </c>
      <c r="Z5407" s="1128" t="s">
        <v>3381</v>
      </c>
      <c r="AA5407" s="1128" t="s">
        <v>3384</v>
      </c>
      <c r="AB5407" s="20"/>
      <c r="AC5407" s="73"/>
    </row>
    <row r="5408" spans="1:29">
      <c r="A5408" s="327" t="str">
        <f>IF(AND($B5408&lt;&gt;"",$C5408&lt;&gt;""),MAX($A$4730:$A5407)+1,"")</f>
        <v/>
      </c>
      <c r="B5408" s="361" t="s">
        <v>1862</v>
      </c>
      <c r="C5408" s="362"/>
      <c r="D5408" s="327">
        <f>IF($B5408="","",COUNTIF($B$4731:$B5408,$B5408))</f>
        <v>14</v>
      </c>
      <c r="E5408" s="362" t="s">
        <v>663</v>
      </c>
      <c r="F5408" s="362" t="s">
        <v>664</v>
      </c>
      <c r="G5408" s="327" t="s">
        <v>155</v>
      </c>
      <c r="H5408" s="361" t="s">
        <v>536</v>
      </c>
      <c r="I5408" s="361" t="s">
        <v>672</v>
      </c>
      <c r="J5408" s="361"/>
      <c r="K5408" s="327" t="s">
        <v>662</v>
      </c>
      <c r="L5408" s="478">
        <v>1000</v>
      </c>
      <c r="M5408" s="355"/>
      <c r="N5408" s="355" t="s">
        <v>2409</v>
      </c>
      <c r="O5408" s="345"/>
      <c r="P5408" s="325"/>
      <c r="Q5408" s="327"/>
      <c r="R5408" s="351"/>
      <c r="S5408" s="351"/>
      <c r="T5408" s="351"/>
      <c r="U5408" s="329" t="str">
        <f>IF($N5408=$N$4,IFERROR(INDEX(DanhMuc!$E$154:$E$165,MATCH(MID($B5408,4,2),DanhMuc!$B$154:$B$165,0)),""),"")</f>
        <v/>
      </c>
      <c r="V5408" s="361"/>
      <c r="W5408" s="345"/>
      <c r="X5408" s="786"/>
      <c r="Y5408" s="1128" t="s">
        <v>3380</v>
      </c>
      <c r="Z5408" s="1128" t="s">
        <v>3381</v>
      </c>
      <c r="AA5408" s="1128" t="s">
        <v>3384</v>
      </c>
      <c r="AB5408" s="20"/>
      <c r="AC5408" s="73"/>
    </row>
    <row r="5409" spans="1:29" ht="39">
      <c r="A5409" s="327">
        <f>IF(AND($B5409&lt;&gt;"",$C5409&lt;&gt;""),MAX($A$4730:$A5394)+1,"")</f>
        <v>24</v>
      </c>
      <c r="B5409" s="359" t="s">
        <v>1852</v>
      </c>
      <c r="C5409" s="360" t="s">
        <v>1879</v>
      </c>
      <c r="D5409" s="327">
        <f>IF($B5409="","",COUNTIF($B$4731:$B5409,$B5409))</f>
        <v>1</v>
      </c>
      <c r="E5409" s="361" t="s">
        <v>1826</v>
      </c>
      <c r="F5409" s="362" t="s">
        <v>670</v>
      </c>
      <c r="G5409" s="327" t="s">
        <v>661</v>
      </c>
      <c r="H5409" s="361" t="s">
        <v>536</v>
      </c>
      <c r="I5409" s="361" t="s">
        <v>2354</v>
      </c>
      <c r="J5409" s="361"/>
      <c r="K5409" s="327" t="s">
        <v>103</v>
      </c>
      <c r="L5409" s="478">
        <f>40000/1000</f>
        <v>40</v>
      </c>
      <c r="M5409" s="355"/>
      <c r="N5409" s="355" t="s">
        <v>2408</v>
      </c>
      <c r="O5409" s="345"/>
      <c r="P5409" s="325"/>
      <c r="Q5409" s="327"/>
      <c r="R5409" s="351"/>
      <c r="S5409" s="351"/>
      <c r="T5409" s="351"/>
      <c r="U5409" s="329" t="str">
        <f>IF($N5409=$N$4,IFERROR(INDEX(DanhMuc!$E$154:$E$165,MATCH(MID($B5409,4,2),DanhMuc!$B$154:$B$165,0)),""),"")</f>
        <v/>
      </c>
      <c r="V5409" s="361"/>
      <c r="W5409" s="345"/>
      <c r="X5409" s="786"/>
      <c r="Y5409" s="1128" t="s">
        <v>3380</v>
      </c>
      <c r="Z5409" s="1128" t="s">
        <v>3381</v>
      </c>
      <c r="AA5409" s="1128" t="s">
        <v>3384</v>
      </c>
      <c r="AB5409" s="20"/>
      <c r="AC5409" s="73"/>
    </row>
    <row r="5410" spans="1:29" ht="37.5">
      <c r="A5410" s="327" t="str">
        <f>IF(AND($B5410&lt;&gt;"",$C5410&lt;&gt;""),MAX($A$4730:$A5409)+1,"")</f>
        <v/>
      </c>
      <c r="B5410" s="361" t="s">
        <v>1852</v>
      </c>
      <c r="C5410" s="362"/>
      <c r="D5410" s="327">
        <f>IF($B5410="","",COUNTIF($B$4731:$B5410,$B5410))</f>
        <v>2</v>
      </c>
      <c r="E5410" s="362" t="s">
        <v>2756</v>
      </c>
      <c r="F5410" s="362" t="s">
        <v>2757</v>
      </c>
      <c r="G5410" s="327" t="s">
        <v>405</v>
      </c>
      <c r="H5410" s="361" t="s">
        <v>536</v>
      </c>
      <c r="I5410" s="327">
        <v>50</v>
      </c>
      <c r="J5410" s="361"/>
      <c r="K5410" s="327" t="s">
        <v>738</v>
      </c>
      <c r="L5410" s="479">
        <v>322</v>
      </c>
      <c r="M5410" s="371"/>
      <c r="N5410" s="355" t="s">
        <v>2408</v>
      </c>
      <c r="O5410" s="345"/>
      <c r="P5410" s="325"/>
      <c r="Q5410" s="327"/>
      <c r="R5410" s="351"/>
      <c r="S5410" s="351"/>
      <c r="T5410" s="351"/>
      <c r="U5410" s="329" t="str">
        <f>IF($N5410=$N$4,IFERROR(INDEX(DanhMuc!$E$154:$E$165,MATCH(MID($B5410,4,2),DanhMuc!$B$154:$B$165,0)),""),"")</f>
        <v/>
      </c>
      <c r="V5410" s="361"/>
      <c r="W5410" s="345"/>
      <c r="X5410" s="786"/>
      <c r="Y5410" s="1128" t="s">
        <v>3380</v>
      </c>
      <c r="Z5410" s="1128" t="s">
        <v>3381</v>
      </c>
      <c r="AA5410" s="1128" t="s">
        <v>3384</v>
      </c>
      <c r="AB5410" s="20"/>
      <c r="AC5410" s="73"/>
    </row>
    <row r="5411" spans="1:29">
      <c r="A5411" s="327" t="str">
        <f>IF(AND($B5411&lt;&gt;"",$C5411&lt;&gt;""),MAX($A$4730:$A5410)+1,"")</f>
        <v/>
      </c>
      <c r="B5411" s="361" t="s">
        <v>1852</v>
      </c>
      <c r="C5411" s="362"/>
      <c r="D5411" s="327">
        <f>IF($B5411="","",COUNTIF($B$4731:$B5411,$B5411))</f>
        <v>3</v>
      </c>
      <c r="E5411" s="361" t="s">
        <v>656</v>
      </c>
      <c r="F5411" s="362" t="s">
        <v>2239</v>
      </c>
      <c r="G5411" s="327" t="s">
        <v>405</v>
      </c>
      <c r="H5411" s="361" t="s">
        <v>536</v>
      </c>
      <c r="I5411" s="361" t="s">
        <v>1827</v>
      </c>
      <c r="J5411" s="361"/>
      <c r="K5411" s="327" t="s">
        <v>100</v>
      </c>
      <c r="L5411" s="478">
        <v>970</v>
      </c>
      <c r="M5411" s="371"/>
      <c r="N5411" s="355" t="s">
        <v>2409</v>
      </c>
      <c r="O5411" s="345"/>
      <c r="P5411" s="325"/>
      <c r="Q5411" s="327"/>
      <c r="R5411" s="351"/>
      <c r="S5411" s="351"/>
      <c r="T5411" s="351"/>
      <c r="U5411" s="329" t="str">
        <f>IF($N5411=$N$4,IFERROR(INDEX(DanhMuc!$E$154:$E$165,MATCH(MID($B5411,4,2),DanhMuc!$B$154:$B$165,0)),""),"")</f>
        <v/>
      </c>
      <c r="V5411" s="361"/>
      <c r="W5411" s="345"/>
      <c r="X5411" s="786"/>
      <c r="Y5411" s="1128" t="s">
        <v>3380</v>
      </c>
      <c r="Z5411" s="1128" t="s">
        <v>3381</v>
      </c>
      <c r="AA5411" s="1128" t="s">
        <v>3384</v>
      </c>
      <c r="AB5411" s="20"/>
      <c r="AC5411" s="73"/>
    </row>
    <row r="5412" spans="1:29">
      <c r="A5412" s="327" t="str">
        <f>IF(AND($B5412&lt;&gt;"",$C5412&lt;&gt;""),MAX($A$4730:$A5411)+1,"")</f>
        <v/>
      </c>
      <c r="B5412" s="361" t="s">
        <v>1852</v>
      </c>
      <c r="C5412" s="362"/>
      <c r="D5412" s="327">
        <f>IF($B5412="","",COUNTIF($B$4731:$B5412,$B5412))</f>
        <v>4</v>
      </c>
      <c r="E5412" s="361" t="s">
        <v>657</v>
      </c>
      <c r="F5412" s="362" t="s">
        <v>658</v>
      </c>
      <c r="G5412" s="327" t="s">
        <v>424</v>
      </c>
      <c r="H5412" s="361" t="s">
        <v>536</v>
      </c>
      <c r="I5412" s="361" t="s">
        <v>665</v>
      </c>
      <c r="J5412" s="361"/>
      <c r="K5412" s="327" t="s">
        <v>100</v>
      </c>
      <c r="L5412" s="478">
        <v>60000</v>
      </c>
      <c r="M5412" s="355"/>
      <c r="N5412" s="355" t="s">
        <v>2409</v>
      </c>
      <c r="O5412" s="345"/>
      <c r="P5412" s="325"/>
      <c r="Q5412" s="327"/>
      <c r="R5412" s="351"/>
      <c r="S5412" s="351"/>
      <c r="T5412" s="351"/>
      <c r="U5412" s="329" t="str">
        <f>IF($N5412=$N$4,IFERROR(INDEX(DanhMuc!$E$154:$E$165,MATCH(MID($B5412,4,2),DanhMuc!$B$154:$B$165,0)),""),"")</f>
        <v/>
      </c>
      <c r="V5412" s="361"/>
      <c r="W5412" s="345"/>
      <c r="X5412" s="786"/>
      <c r="Y5412" s="1128" t="s">
        <v>3380</v>
      </c>
      <c r="Z5412" s="1128" t="s">
        <v>3381</v>
      </c>
      <c r="AA5412" s="1128" t="s">
        <v>3384</v>
      </c>
      <c r="AB5412" s="20"/>
      <c r="AC5412" s="73"/>
    </row>
    <row r="5413" spans="1:29">
      <c r="A5413" s="327" t="str">
        <f>IF(AND($B5413&lt;&gt;"",$C5413&lt;&gt;""),MAX($A$4730:$A5412)+1,"")</f>
        <v/>
      </c>
      <c r="B5413" s="361" t="s">
        <v>1852</v>
      </c>
      <c r="C5413" s="362"/>
      <c r="D5413" s="327">
        <f>IF($B5413="","",COUNTIF($B$4731:$B5413,$B5413))</f>
        <v>5</v>
      </c>
      <c r="E5413" s="361" t="s">
        <v>2771</v>
      </c>
      <c r="F5413" s="362" t="s">
        <v>659</v>
      </c>
      <c r="G5413" s="327" t="s">
        <v>424</v>
      </c>
      <c r="H5413" s="361" t="s">
        <v>536</v>
      </c>
      <c r="I5413" s="361" t="s">
        <v>666</v>
      </c>
      <c r="J5413" s="361"/>
      <c r="K5413" s="327" t="s">
        <v>100</v>
      </c>
      <c r="L5413" s="389">
        <v>53000</v>
      </c>
      <c r="M5413" s="355"/>
      <c r="N5413" s="355" t="s">
        <v>2409</v>
      </c>
      <c r="O5413" s="345"/>
      <c r="P5413" s="325"/>
      <c r="Q5413" s="327"/>
      <c r="R5413" s="351"/>
      <c r="S5413" s="351"/>
      <c r="T5413" s="351"/>
      <c r="U5413" s="329" t="str">
        <f>IF($N5413=$N$4,IFERROR(INDEX(DanhMuc!$E$154:$E$165,MATCH(MID($B5413,4,2),DanhMuc!$B$154:$B$165,0)),""),"")</f>
        <v/>
      </c>
      <c r="V5413" s="361"/>
      <c r="W5413" s="345"/>
      <c r="X5413" s="786"/>
      <c r="Y5413" s="1128" t="s">
        <v>3380</v>
      </c>
      <c r="Z5413" s="1128" t="s">
        <v>3381</v>
      </c>
      <c r="AA5413" s="1128" t="s">
        <v>3384</v>
      </c>
      <c r="AB5413" s="20"/>
      <c r="AC5413" s="73"/>
    </row>
    <row r="5414" spans="1:29">
      <c r="A5414" s="327" t="str">
        <f>IF(AND($B5414&lt;&gt;"",$C5414&lt;&gt;""),MAX($A$4730:$A5413)+1,"")</f>
        <v/>
      </c>
      <c r="B5414" s="361" t="s">
        <v>1852</v>
      </c>
      <c r="C5414" s="362"/>
      <c r="D5414" s="327">
        <f>IF($B5414="","",COUNTIF($B$4731:$B5414,$B5414))</f>
        <v>6</v>
      </c>
      <c r="E5414" s="361" t="s">
        <v>1828</v>
      </c>
      <c r="F5414" s="362" t="s">
        <v>671</v>
      </c>
      <c r="G5414" s="327" t="s">
        <v>661</v>
      </c>
      <c r="H5414" s="361" t="s">
        <v>536</v>
      </c>
      <c r="I5414" s="361" t="s">
        <v>2355</v>
      </c>
      <c r="J5414" s="361"/>
      <c r="K5414" s="327" t="s">
        <v>100</v>
      </c>
      <c r="L5414" s="478">
        <f>40000/1000</f>
        <v>40</v>
      </c>
      <c r="M5414" s="355"/>
      <c r="N5414" s="355" t="s">
        <v>2409</v>
      </c>
      <c r="O5414" s="345"/>
      <c r="P5414" s="325"/>
      <c r="Q5414" s="327"/>
      <c r="R5414" s="351"/>
      <c r="S5414" s="351"/>
      <c r="T5414" s="351"/>
      <c r="U5414" s="329" t="str">
        <f>IF($N5414=$N$4,IFERROR(INDEX(DanhMuc!$E$154:$E$165,MATCH(MID($B5414,4,2),DanhMuc!$B$154:$B$165,0)),""),"")</f>
        <v/>
      </c>
      <c r="V5414" s="361"/>
      <c r="W5414" s="345"/>
      <c r="X5414" s="786"/>
      <c r="Y5414" s="1128" t="s">
        <v>3380</v>
      </c>
      <c r="Z5414" s="1128" t="s">
        <v>3381</v>
      </c>
      <c r="AA5414" s="1128" t="s">
        <v>3384</v>
      </c>
      <c r="AB5414" s="20"/>
      <c r="AC5414" s="73"/>
    </row>
    <row r="5415" spans="1:29">
      <c r="A5415" s="327" t="str">
        <f>IF(AND($B5415&lt;&gt;"",$C5415&lt;&gt;""),MAX($A$4730:$A5414)+1,"")</f>
        <v/>
      </c>
      <c r="B5415" s="361" t="s">
        <v>1852</v>
      </c>
      <c r="C5415" s="362"/>
      <c r="D5415" s="327">
        <f>IF($B5415="","",COUNTIF($B$4731:$B5415,$B5415))</f>
        <v>7</v>
      </c>
      <c r="E5415" s="361" t="s">
        <v>154</v>
      </c>
      <c r="F5415" s="362" t="s">
        <v>660</v>
      </c>
      <c r="G5415" s="327" t="s">
        <v>661</v>
      </c>
      <c r="H5415" s="361" t="s">
        <v>536</v>
      </c>
      <c r="I5415" s="361" t="s">
        <v>667</v>
      </c>
      <c r="J5415" s="361"/>
      <c r="K5415" s="327" t="s">
        <v>662</v>
      </c>
      <c r="L5415" s="478">
        <v>20</v>
      </c>
      <c r="M5415" s="355"/>
      <c r="N5415" s="355" t="s">
        <v>2409</v>
      </c>
      <c r="O5415" s="345"/>
      <c r="P5415" s="325"/>
      <c r="Q5415" s="327"/>
      <c r="R5415" s="351"/>
      <c r="S5415" s="351"/>
      <c r="T5415" s="351"/>
      <c r="U5415" s="329" t="str">
        <f>IF($N5415=$N$4,IFERROR(INDEX(DanhMuc!$E$154:$E$165,MATCH(MID($B5415,4,2),DanhMuc!$B$154:$B$165,0)),""),"")</f>
        <v/>
      </c>
      <c r="V5415" s="361"/>
      <c r="W5415" s="345"/>
      <c r="X5415" s="786"/>
      <c r="Y5415" s="1128" t="s">
        <v>3380</v>
      </c>
      <c r="Z5415" s="1128" t="s">
        <v>3381</v>
      </c>
      <c r="AA5415" s="1128" t="s">
        <v>3384</v>
      </c>
      <c r="AB5415" s="20"/>
      <c r="AC5415" s="73"/>
    </row>
    <row r="5416" spans="1:29">
      <c r="A5416" s="327" t="str">
        <f>IF(AND($B5416&lt;&gt;"",$C5416&lt;&gt;""),MAX($A$4730:$A5415)+1,"")</f>
        <v/>
      </c>
      <c r="B5416" s="361" t="s">
        <v>1852</v>
      </c>
      <c r="C5416" s="362"/>
      <c r="D5416" s="327">
        <f>IF($B5416="","",COUNTIF($B$4731:$B5416,$B5416))</f>
        <v>8</v>
      </c>
      <c r="E5416" s="362" t="s">
        <v>2282</v>
      </c>
      <c r="F5416" s="362" t="s">
        <v>2283</v>
      </c>
      <c r="G5416" s="327" t="s">
        <v>424</v>
      </c>
      <c r="H5416" s="361" t="s">
        <v>536</v>
      </c>
      <c r="I5416" s="361" t="s">
        <v>2238</v>
      </c>
      <c r="J5416" s="361"/>
      <c r="K5416" s="327" t="s">
        <v>662</v>
      </c>
      <c r="L5416" s="478">
        <v>28000</v>
      </c>
      <c r="M5416" s="355"/>
      <c r="N5416" s="355" t="s">
        <v>2409</v>
      </c>
      <c r="O5416" s="345"/>
      <c r="P5416" s="325"/>
      <c r="Q5416" s="327"/>
      <c r="R5416" s="351"/>
      <c r="S5416" s="351"/>
      <c r="T5416" s="351"/>
      <c r="U5416" s="329" t="str">
        <f>IF($N5416=$N$4,IFERROR(INDEX(DanhMuc!$E$154:$E$165,MATCH(MID($B5416,4,2),DanhMuc!$B$154:$B$165,0)),""),"")</f>
        <v/>
      </c>
      <c r="V5416" s="361"/>
      <c r="W5416" s="345"/>
      <c r="X5416" s="786"/>
      <c r="Y5416" s="1128" t="s">
        <v>3380</v>
      </c>
      <c r="Z5416" s="1128" t="s">
        <v>3381</v>
      </c>
      <c r="AA5416" s="1128" t="s">
        <v>3384</v>
      </c>
      <c r="AB5416" s="20"/>
      <c r="AC5416" s="73"/>
    </row>
    <row r="5417" spans="1:29">
      <c r="A5417" s="327" t="str">
        <f>IF(AND($B5417&lt;&gt;"",$C5417&lt;&gt;""),MAX($A$4730:$A5416)+1,"")</f>
        <v/>
      </c>
      <c r="B5417" s="361" t="s">
        <v>1852</v>
      </c>
      <c r="C5417" s="362"/>
      <c r="D5417" s="327">
        <f>IF($B5417="","",COUNTIF($B$4731:$B5417,$B5417))</f>
        <v>9</v>
      </c>
      <c r="E5417" s="362" t="s">
        <v>663</v>
      </c>
      <c r="F5417" s="362" t="s">
        <v>664</v>
      </c>
      <c r="G5417" s="327" t="s">
        <v>155</v>
      </c>
      <c r="H5417" s="361" t="s">
        <v>536</v>
      </c>
      <c r="I5417" s="361" t="s">
        <v>672</v>
      </c>
      <c r="J5417" s="361"/>
      <c r="K5417" s="327" t="s">
        <v>662</v>
      </c>
      <c r="L5417" s="478">
        <v>1000</v>
      </c>
      <c r="M5417" s="355"/>
      <c r="N5417" s="355" t="s">
        <v>2409</v>
      </c>
      <c r="O5417" s="345"/>
      <c r="P5417" s="325"/>
      <c r="Q5417" s="327"/>
      <c r="R5417" s="351"/>
      <c r="S5417" s="351"/>
      <c r="T5417" s="351"/>
      <c r="U5417" s="329" t="str">
        <f>IF($N5417=$N$4,IFERROR(INDEX(DanhMuc!$E$154:$E$165,MATCH(MID($B5417,4,2),DanhMuc!$B$154:$B$165,0)),""),"")</f>
        <v/>
      </c>
      <c r="V5417" s="361"/>
      <c r="W5417" s="345"/>
      <c r="X5417" s="786"/>
      <c r="Y5417" s="1128" t="s">
        <v>3380</v>
      </c>
      <c r="Z5417" s="1128" t="s">
        <v>3381</v>
      </c>
      <c r="AA5417" s="1128" t="s">
        <v>3384</v>
      </c>
      <c r="AB5417" s="20"/>
      <c r="AC5417" s="73"/>
    </row>
    <row r="5418" spans="1:29" ht="52">
      <c r="A5418" s="327">
        <f>IF(AND($B5418&lt;&gt;"",$C5418&lt;&gt;""),MAX($A$4730:$A5417)+1,"")</f>
        <v>25</v>
      </c>
      <c r="B5418" s="359" t="s">
        <v>1853</v>
      </c>
      <c r="C5418" s="360" t="s">
        <v>1880</v>
      </c>
      <c r="D5418" s="327">
        <f>IF($B5418="","",COUNTIF($B$4731:$B5418,$B5418))</f>
        <v>1</v>
      </c>
      <c r="E5418" s="361" t="s">
        <v>1826</v>
      </c>
      <c r="F5418" s="362" t="s">
        <v>670</v>
      </c>
      <c r="G5418" s="327" t="s">
        <v>661</v>
      </c>
      <c r="H5418" s="361" t="s">
        <v>536</v>
      </c>
      <c r="I5418" s="361" t="s">
        <v>2354</v>
      </c>
      <c r="J5418" s="361"/>
      <c r="K5418" s="327" t="s">
        <v>103</v>
      </c>
      <c r="L5418" s="478">
        <f>40000/1000</f>
        <v>40</v>
      </c>
      <c r="M5418" s="355"/>
      <c r="N5418" s="355" t="s">
        <v>2408</v>
      </c>
      <c r="O5418" s="345"/>
      <c r="P5418" s="325"/>
      <c r="Q5418" s="327"/>
      <c r="R5418" s="351"/>
      <c r="S5418" s="351"/>
      <c r="T5418" s="351"/>
      <c r="U5418" s="329" t="str">
        <f>IF($N5418=$N$4,IFERROR(INDEX(DanhMuc!$E$154:$E$165,MATCH(MID($B5418,4,2),DanhMuc!$B$154:$B$165,0)),""),"")</f>
        <v/>
      </c>
      <c r="V5418" s="361"/>
      <c r="W5418" s="345"/>
      <c r="X5418" s="786"/>
      <c r="Y5418" s="1128" t="s">
        <v>3380</v>
      </c>
      <c r="Z5418" s="1128" t="s">
        <v>3381</v>
      </c>
      <c r="AA5418" s="1128" t="s">
        <v>3384</v>
      </c>
      <c r="AB5418" s="20"/>
      <c r="AC5418" s="73"/>
    </row>
    <row r="5419" spans="1:29" ht="37.5">
      <c r="A5419" s="327" t="str">
        <f>IF(AND($B5419&lt;&gt;"",$C5419&lt;&gt;""),MAX($A$4730:$A5418)+1,"")</f>
        <v/>
      </c>
      <c r="B5419" s="361" t="s">
        <v>1853</v>
      </c>
      <c r="C5419" s="362"/>
      <c r="D5419" s="327">
        <f>IF($B5419="","",COUNTIF($B$4731:$B5419,$B5419))</f>
        <v>2</v>
      </c>
      <c r="E5419" s="362" t="s">
        <v>2756</v>
      </c>
      <c r="F5419" s="362" t="s">
        <v>2757</v>
      </c>
      <c r="G5419" s="327" t="s">
        <v>405</v>
      </c>
      <c r="H5419" s="361" t="s">
        <v>536</v>
      </c>
      <c r="I5419" s="327">
        <v>29</v>
      </c>
      <c r="J5419" s="361"/>
      <c r="K5419" s="327" t="s">
        <v>738</v>
      </c>
      <c r="L5419" s="479">
        <v>322</v>
      </c>
      <c r="M5419" s="371"/>
      <c r="N5419" s="355" t="s">
        <v>2408</v>
      </c>
      <c r="O5419" s="345"/>
      <c r="P5419" s="325"/>
      <c r="Q5419" s="327"/>
      <c r="R5419" s="351"/>
      <c r="S5419" s="351"/>
      <c r="T5419" s="351"/>
      <c r="U5419" s="329" t="str">
        <f>IF($N5419=$N$4,IFERROR(INDEX(DanhMuc!$E$154:$E$165,MATCH(MID($B5419,4,2),DanhMuc!$B$154:$B$165,0)),""),"")</f>
        <v/>
      </c>
      <c r="V5419" s="361"/>
      <c r="W5419" s="345"/>
      <c r="X5419" s="786"/>
      <c r="Y5419" s="1128" t="s">
        <v>3380</v>
      </c>
      <c r="Z5419" s="1128" t="s">
        <v>3381</v>
      </c>
      <c r="AA5419" s="1128" t="s">
        <v>3384</v>
      </c>
      <c r="AB5419" s="20"/>
      <c r="AC5419" s="73"/>
    </row>
    <row r="5420" spans="1:29">
      <c r="A5420" s="327" t="str">
        <f>IF(AND($B5420&lt;&gt;"",$C5420&lt;&gt;""),MAX($A$4730:$A5419)+1,"")</f>
        <v/>
      </c>
      <c r="B5420" s="361" t="s">
        <v>1853</v>
      </c>
      <c r="C5420" s="362"/>
      <c r="D5420" s="327">
        <f>IF($B5420="","",COUNTIF($B$4731:$B5420,$B5420))</f>
        <v>3</v>
      </c>
      <c r="E5420" s="361" t="s">
        <v>656</v>
      </c>
      <c r="F5420" s="362" t="s">
        <v>2239</v>
      </c>
      <c r="G5420" s="327" t="s">
        <v>405</v>
      </c>
      <c r="H5420" s="361" t="s">
        <v>536</v>
      </c>
      <c r="I5420" s="361" t="s">
        <v>1827</v>
      </c>
      <c r="J5420" s="361"/>
      <c r="K5420" s="327" t="s">
        <v>100</v>
      </c>
      <c r="L5420" s="478">
        <v>970</v>
      </c>
      <c r="M5420" s="371"/>
      <c r="N5420" s="355" t="s">
        <v>2409</v>
      </c>
      <c r="O5420" s="345"/>
      <c r="P5420" s="325"/>
      <c r="Q5420" s="327"/>
      <c r="R5420" s="351"/>
      <c r="S5420" s="351"/>
      <c r="T5420" s="351"/>
      <c r="U5420" s="329" t="str">
        <f>IF($N5420=$N$4,IFERROR(INDEX(DanhMuc!$E$154:$E$165,MATCH(MID($B5420,4,2),DanhMuc!$B$154:$B$165,0)),""),"")</f>
        <v/>
      </c>
      <c r="V5420" s="361"/>
      <c r="W5420" s="345"/>
      <c r="X5420" s="786"/>
      <c r="Y5420" s="1128" t="s">
        <v>3380</v>
      </c>
      <c r="Z5420" s="1128" t="s">
        <v>3381</v>
      </c>
      <c r="AA5420" s="1128" t="s">
        <v>3384</v>
      </c>
      <c r="AB5420" s="20"/>
      <c r="AC5420" s="73"/>
    </row>
    <row r="5421" spans="1:29">
      <c r="A5421" s="327" t="str">
        <f>IF(AND($B5421&lt;&gt;"",$C5421&lt;&gt;""),MAX($A$4730:$A5420)+1,"")</f>
        <v/>
      </c>
      <c r="B5421" s="361" t="s">
        <v>1853</v>
      </c>
      <c r="C5421" s="362"/>
      <c r="D5421" s="327">
        <f>IF($B5421="","",COUNTIF($B$4731:$B5421,$B5421))</f>
        <v>4</v>
      </c>
      <c r="E5421" s="361" t="s">
        <v>657</v>
      </c>
      <c r="F5421" s="362" t="s">
        <v>658</v>
      </c>
      <c r="G5421" s="327" t="s">
        <v>424</v>
      </c>
      <c r="H5421" s="361" t="s">
        <v>536</v>
      </c>
      <c r="I5421" s="361" t="s">
        <v>665</v>
      </c>
      <c r="J5421" s="361"/>
      <c r="K5421" s="327" t="s">
        <v>100</v>
      </c>
      <c r="L5421" s="478">
        <v>60000</v>
      </c>
      <c r="M5421" s="355"/>
      <c r="N5421" s="355" t="s">
        <v>2409</v>
      </c>
      <c r="O5421" s="345"/>
      <c r="P5421" s="325"/>
      <c r="Q5421" s="327"/>
      <c r="R5421" s="351"/>
      <c r="S5421" s="351"/>
      <c r="T5421" s="351"/>
      <c r="U5421" s="329" t="str">
        <f>IF($N5421=$N$4,IFERROR(INDEX(DanhMuc!$E$154:$E$165,MATCH(MID($B5421,4,2),DanhMuc!$B$154:$B$165,0)),""),"")</f>
        <v/>
      </c>
      <c r="V5421" s="361"/>
      <c r="W5421" s="345"/>
      <c r="X5421" s="786"/>
      <c r="Y5421" s="1128" t="s">
        <v>3380</v>
      </c>
      <c r="Z5421" s="1128" t="s">
        <v>3381</v>
      </c>
      <c r="AA5421" s="1128" t="s">
        <v>3384</v>
      </c>
      <c r="AB5421" s="20"/>
      <c r="AC5421" s="73"/>
    </row>
    <row r="5422" spans="1:29">
      <c r="A5422" s="327" t="str">
        <f>IF(AND($B5422&lt;&gt;"",$C5422&lt;&gt;""),MAX($A$4730:$A5421)+1,"")</f>
        <v/>
      </c>
      <c r="B5422" s="361" t="s">
        <v>1853</v>
      </c>
      <c r="C5422" s="362"/>
      <c r="D5422" s="327">
        <f>IF($B5422="","",COUNTIF($B$4731:$B5422,$B5422))</f>
        <v>5</v>
      </c>
      <c r="E5422" s="361" t="s">
        <v>2771</v>
      </c>
      <c r="F5422" s="362" t="s">
        <v>659</v>
      </c>
      <c r="G5422" s="327" t="s">
        <v>424</v>
      </c>
      <c r="H5422" s="361" t="s">
        <v>536</v>
      </c>
      <c r="I5422" s="361" t="s">
        <v>666</v>
      </c>
      <c r="J5422" s="361"/>
      <c r="K5422" s="327" t="s">
        <v>100</v>
      </c>
      <c r="L5422" s="389">
        <v>53000</v>
      </c>
      <c r="M5422" s="355"/>
      <c r="N5422" s="355" t="s">
        <v>2409</v>
      </c>
      <c r="O5422" s="345"/>
      <c r="P5422" s="325"/>
      <c r="Q5422" s="327"/>
      <c r="R5422" s="351"/>
      <c r="S5422" s="351"/>
      <c r="T5422" s="351"/>
      <c r="U5422" s="329" t="str">
        <f>IF($N5422=$N$4,IFERROR(INDEX(DanhMuc!$E$154:$E$165,MATCH(MID($B5422,4,2),DanhMuc!$B$154:$B$165,0)),""),"")</f>
        <v/>
      </c>
      <c r="V5422" s="361"/>
      <c r="W5422" s="345"/>
      <c r="X5422" s="786"/>
      <c r="Y5422" s="1128" t="s">
        <v>3380</v>
      </c>
      <c r="Z5422" s="1128" t="s">
        <v>3381</v>
      </c>
      <c r="AA5422" s="1128" t="s">
        <v>3384</v>
      </c>
      <c r="AB5422" s="20"/>
      <c r="AC5422" s="73"/>
    </row>
    <row r="5423" spans="1:29">
      <c r="A5423" s="327" t="str">
        <f>IF(AND($B5423&lt;&gt;"",$C5423&lt;&gt;""),MAX($A$4730:$A5422)+1,"")</f>
        <v/>
      </c>
      <c r="B5423" s="361" t="s">
        <v>1853</v>
      </c>
      <c r="C5423" s="362"/>
      <c r="D5423" s="327">
        <f>IF($B5423="","",COUNTIF($B$4731:$B5423,$B5423))</f>
        <v>6</v>
      </c>
      <c r="E5423" s="361" t="s">
        <v>1828</v>
      </c>
      <c r="F5423" s="362" t="s">
        <v>671</v>
      </c>
      <c r="G5423" s="327" t="s">
        <v>661</v>
      </c>
      <c r="H5423" s="361" t="s">
        <v>536</v>
      </c>
      <c r="I5423" s="361" t="s">
        <v>2355</v>
      </c>
      <c r="J5423" s="361"/>
      <c r="K5423" s="327" t="s">
        <v>100</v>
      </c>
      <c r="L5423" s="478">
        <f>40000/1000</f>
        <v>40</v>
      </c>
      <c r="M5423" s="355"/>
      <c r="N5423" s="355" t="s">
        <v>2409</v>
      </c>
      <c r="O5423" s="345"/>
      <c r="P5423" s="325"/>
      <c r="Q5423" s="327"/>
      <c r="R5423" s="351"/>
      <c r="S5423" s="351"/>
      <c r="T5423" s="351"/>
      <c r="U5423" s="329" t="str">
        <f>IF($N5423=$N$4,IFERROR(INDEX(DanhMuc!$E$154:$E$165,MATCH(MID($B5423,4,2),DanhMuc!$B$154:$B$165,0)),""),"")</f>
        <v/>
      </c>
      <c r="V5423" s="361"/>
      <c r="W5423" s="345"/>
      <c r="X5423" s="786"/>
      <c r="Y5423" s="1128" t="s">
        <v>3380</v>
      </c>
      <c r="Z5423" s="1128" t="s">
        <v>3381</v>
      </c>
      <c r="AA5423" s="1128" t="s">
        <v>3384</v>
      </c>
      <c r="AB5423" s="20"/>
      <c r="AC5423" s="73"/>
    </row>
    <row r="5424" spans="1:29">
      <c r="A5424" s="327" t="str">
        <f>IF(AND($B5424&lt;&gt;"",$C5424&lt;&gt;""),MAX($A$4730:$A5423)+1,"")</f>
        <v/>
      </c>
      <c r="B5424" s="361" t="s">
        <v>1853</v>
      </c>
      <c r="C5424" s="362"/>
      <c r="D5424" s="327">
        <f>IF($B5424="","",COUNTIF($B$4731:$B5424,$B5424))</f>
        <v>7</v>
      </c>
      <c r="E5424" s="361" t="s">
        <v>154</v>
      </c>
      <c r="F5424" s="362" t="s">
        <v>660</v>
      </c>
      <c r="G5424" s="327" t="s">
        <v>661</v>
      </c>
      <c r="H5424" s="361" t="s">
        <v>536</v>
      </c>
      <c r="I5424" s="361" t="s">
        <v>667</v>
      </c>
      <c r="J5424" s="361"/>
      <c r="K5424" s="327" t="s">
        <v>662</v>
      </c>
      <c r="L5424" s="478">
        <v>20</v>
      </c>
      <c r="M5424" s="355"/>
      <c r="N5424" s="355" t="s">
        <v>2409</v>
      </c>
      <c r="O5424" s="345"/>
      <c r="P5424" s="325"/>
      <c r="Q5424" s="327"/>
      <c r="R5424" s="351"/>
      <c r="S5424" s="351"/>
      <c r="T5424" s="351"/>
      <c r="U5424" s="329" t="str">
        <f>IF($N5424=$N$4,IFERROR(INDEX(DanhMuc!$E$154:$E$165,MATCH(MID($B5424,4,2),DanhMuc!$B$154:$B$165,0)),""),"")</f>
        <v/>
      </c>
      <c r="V5424" s="361"/>
      <c r="W5424" s="345"/>
      <c r="X5424" s="786"/>
      <c r="Y5424" s="1128" t="s">
        <v>3380</v>
      </c>
      <c r="Z5424" s="1128" t="s">
        <v>3381</v>
      </c>
      <c r="AA5424" s="1128" t="s">
        <v>3384</v>
      </c>
      <c r="AB5424" s="20"/>
      <c r="AC5424" s="73"/>
    </row>
    <row r="5425" spans="1:29">
      <c r="A5425" s="327" t="str">
        <f>IF(AND($B5425&lt;&gt;"",$C5425&lt;&gt;""),MAX($A$4730:$A5424)+1,"")</f>
        <v/>
      </c>
      <c r="B5425" s="361" t="s">
        <v>1853</v>
      </c>
      <c r="C5425" s="362"/>
      <c r="D5425" s="327">
        <f>IF($B5425="","",COUNTIF($B$4731:$B5425,$B5425))</f>
        <v>8</v>
      </c>
      <c r="E5425" s="362" t="s">
        <v>2282</v>
      </c>
      <c r="F5425" s="362" t="s">
        <v>2283</v>
      </c>
      <c r="G5425" s="327" t="s">
        <v>424</v>
      </c>
      <c r="H5425" s="361" t="s">
        <v>536</v>
      </c>
      <c r="I5425" s="361" t="s">
        <v>2238</v>
      </c>
      <c r="J5425" s="361"/>
      <c r="K5425" s="327" t="s">
        <v>662</v>
      </c>
      <c r="L5425" s="478">
        <v>28000</v>
      </c>
      <c r="M5425" s="355"/>
      <c r="N5425" s="355" t="s">
        <v>2409</v>
      </c>
      <c r="O5425" s="345"/>
      <c r="P5425" s="325"/>
      <c r="Q5425" s="327"/>
      <c r="R5425" s="351"/>
      <c r="S5425" s="351"/>
      <c r="T5425" s="351"/>
      <c r="U5425" s="329" t="str">
        <f>IF($N5425=$N$4,IFERROR(INDEX(DanhMuc!$E$154:$E$165,MATCH(MID($B5425,4,2),DanhMuc!$B$154:$B$165,0)),""),"")</f>
        <v/>
      </c>
      <c r="V5425" s="361"/>
      <c r="W5425" s="345"/>
      <c r="X5425" s="786"/>
      <c r="Y5425" s="1128" t="s">
        <v>3380</v>
      </c>
      <c r="Z5425" s="1128" t="s">
        <v>3381</v>
      </c>
      <c r="AA5425" s="1128" t="s">
        <v>3384</v>
      </c>
      <c r="AB5425" s="20"/>
      <c r="AC5425" s="73"/>
    </row>
    <row r="5426" spans="1:29">
      <c r="A5426" s="327" t="str">
        <f>IF(AND($B5426&lt;&gt;"",$C5426&lt;&gt;""),MAX($A$4730:$A5425)+1,"")</f>
        <v/>
      </c>
      <c r="B5426" s="361" t="s">
        <v>1853</v>
      </c>
      <c r="C5426" s="362"/>
      <c r="D5426" s="327">
        <f>IF($B5426="","",COUNTIF($B$4731:$B5426,$B5426))</f>
        <v>9</v>
      </c>
      <c r="E5426" s="362" t="s">
        <v>663</v>
      </c>
      <c r="F5426" s="362" t="s">
        <v>664</v>
      </c>
      <c r="G5426" s="327" t="s">
        <v>155</v>
      </c>
      <c r="H5426" s="361" t="s">
        <v>536</v>
      </c>
      <c r="I5426" s="361" t="s">
        <v>672</v>
      </c>
      <c r="J5426" s="361"/>
      <c r="K5426" s="327" t="s">
        <v>662</v>
      </c>
      <c r="L5426" s="478">
        <v>1000</v>
      </c>
      <c r="M5426" s="355"/>
      <c r="N5426" s="355" t="s">
        <v>2409</v>
      </c>
      <c r="O5426" s="345"/>
      <c r="P5426" s="325"/>
      <c r="Q5426" s="327"/>
      <c r="R5426" s="351"/>
      <c r="S5426" s="351"/>
      <c r="T5426" s="351"/>
      <c r="U5426" s="329" t="str">
        <f>IF($N5426=$N$4,IFERROR(INDEX(DanhMuc!$E$154:$E$165,MATCH(MID($B5426,4,2),DanhMuc!$B$154:$B$165,0)),""),"")</f>
        <v/>
      </c>
      <c r="V5426" s="361"/>
      <c r="W5426" s="345"/>
      <c r="X5426" s="786"/>
      <c r="Y5426" s="1128" t="s">
        <v>3380</v>
      </c>
      <c r="Z5426" s="1128" t="s">
        <v>3381</v>
      </c>
      <c r="AA5426" s="1128" t="s">
        <v>3384</v>
      </c>
      <c r="AB5426" s="20"/>
      <c r="AC5426" s="73"/>
    </row>
    <row r="5427" spans="1:29" ht="52">
      <c r="A5427" s="327">
        <f>IF(AND($B5427&lt;&gt;"",$C5427&lt;&gt;""),MAX($A$4730:$A5412)+1,"")</f>
        <v>25</v>
      </c>
      <c r="B5427" s="359" t="s">
        <v>1854</v>
      </c>
      <c r="C5427" s="360" t="s">
        <v>1881</v>
      </c>
      <c r="D5427" s="327">
        <f>IF($B5427="","",COUNTIF($B$4731:$B5427,$B5427))</f>
        <v>1</v>
      </c>
      <c r="E5427" s="361" t="s">
        <v>1826</v>
      </c>
      <c r="F5427" s="362" t="s">
        <v>670</v>
      </c>
      <c r="G5427" s="327" t="s">
        <v>661</v>
      </c>
      <c r="H5427" s="361" t="s">
        <v>536</v>
      </c>
      <c r="I5427" s="361" t="s">
        <v>2354</v>
      </c>
      <c r="J5427" s="361"/>
      <c r="K5427" s="327" t="s">
        <v>103</v>
      </c>
      <c r="L5427" s="478">
        <f>40000/1000</f>
        <v>40</v>
      </c>
      <c r="M5427" s="355"/>
      <c r="N5427" s="355" t="s">
        <v>2408</v>
      </c>
      <c r="O5427" s="345"/>
      <c r="P5427" s="325"/>
      <c r="Q5427" s="327"/>
      <c r="R5427" s="351"/>
      <c r="S5427" s="351"/>
      <c r="T5427" s="351"/>
      <c r="U5427" s="329" t="str">
        <f>IF($N5427=$N$4,IFERROR(INDEX(DanhMuc!$E$154:$E$165,MATCH(MID($B5427,4,2),DanhMuc!$B$154:$B$165,0)),""),"")</f>
        <v/>
      </c>
      <c r="V5427" s="361"/>
      <c r="W5427" s="345"/>
      <c r="X5427" s="786"/>
      <c r="Y5427" s="1128" t="s">
        <v>3380</v>
      </c>
      <c r="Z5427" s="1128" t="s">
        <v>3381</v>
      </c>
      <c r="AA5427" s="1128" t="s">
        <v>3384</v>
      </c>
      <c r="AB5427" s="20"/>
      <c r="AC5427" s="73"/>
    </row>
    <row r="5428" spans="1:29" ht="37.5">
      <c r="A5428" s="327" t="str">
        <f>IF(AND($B5428&lt;&gt;"",$C5428&lt;&gt;""),MAX($A$4730:$A5427)+1,"")</f>
        <v/>
      </c>
      <c r="B5428" s="361" t="s">
        <v>1854</v>
      </c>
      <c r="C5428" s="362"/>
      <c r="D5428" s="327">
        <f>IF($B5428="","",COUNTIF($B$4731:$B5428,$B5428))</f>
        <v>2</v>
      </c>
      <c r="E5428" s="362" t="s">
        <v>2756</v>
      </c>
      <c r="F5428" s="362" t="s">
        <v>2757</v>
      </c>
      <c r="G5428" s="327" t="s">
        <v>405</v>
      </c>
      <c r="H5428" s="361" t="s">
        <v>536</v>
      </c>
      <c r="I5428" s="327">
        <v>50</v>
      </c>
      <c r="J5428" s="361"/>
      <c r="K5428" s="327" t="s">
        <v>738</v>
      </c>
      <c r="L5428" s="479">
        <v>322</v>
      </c>
      <c r="M5428" s="371"/>
      <c r="N5428" s="355" t="s">
        <v>2408</v>
      </c>
      <c r="O5428" s="345"/>
      <c r="P5428" s="325"/>
      <c r="Q5428" s="327"/>
      <c r="R5428" s="351"/>
      <c r="S5428" s="351"/>
      <c r="T5428" s="351"/>
      <c r="U5428" s="329" t="str">
        <f>IF($N5428=$N$4,IFERROR(INDEX(DanhMuc!$E$154:$E$165,MATCH(MID($B5428,4,2),DanhMuc!$B$154:$B$165,0)),""),"")</f>
        <v/>
      </c>
      <c r="V5428" s="361"/>
      <c r="W5428" s="345"/>
      <c r="X5428" s="786"/>
      <c r="Y5428" s="1128" t="s">
        <v>3380</v>
      </c>
      <c r="Z5428" s="1128" t="s">
        <v>3381</v>
      </c>
      <c r="AA5428" s="1128" t="s">
        <v>3384</v>
      </c>
      <c r="AB5428" s="20"/>
      <c r="AC5428" s="73"/>
    </row>
    <row r="5429" spans="1:29">
      <c r="A5429" s="327" t="str">
        <f>IF(AND($B5429&lt;&gt;"",$C5429&lt;&gt;""),MAX($A$4730:$A5428)+1,"")</f>
        <v/>
      </c>
      <c r="B5429" s="361" t="s">
        <v>1854</v>
      </c>
      <c r="C5429" s="362"/>
      <c r="D5429" s="327">
        <f>IF($B5429="","",COUNTIF($B$4731:$B5429,$B5429))</f>
        <v>3</v>
      </c>
      <c r="E5429" s="361" t="s">
        <v>656</v>
      </c>
      <c r="F5429" s="362" t="s">
        <v>2239</v>
      </c>
      <c r="G5429" s="327" t="s">
        <v>405</v>
      </c>
      <c r="H5429" s="361" t="s">
        <v>536</v>
      </c>
      <c r="I5429" s="361" t="s">
        <v>1827</v>
      </c>
      <c r="J5429" s="361"/>
      <c r="K5429" s="327" t="s">
        <v>100</v>
      </c>
      <c r="L5429" s="478">
        <v>970</v>
      </c>
      <c r="M5429" s="371"/>
      <c r="N5429" s="355" t="s">
        <v>2409</v>
      </c>
      <c r="O5429" s="345"/>
      <c r="P5429" s="325"/>
      <c r="Q5429" s="327"/>
      <c r="R5429" s="351"/>
      <c r="S5429" s="351"/>
      <c r="T5429" s="351"/>
      <c r="U5429" s="329" t="str">
        <f>IF($N5429=$N$4,IFERROR(INDEX(DanhMuc!$E$154:$E$165,MATCH(MID($B5429,4,2),DanhMuc!$B$154:$B$165,0)),""),"")</f>
        <v/>
      </c>
      <c r="V5429" s="361"/>
      <c r="W5429" s="345"/>
      <c r="X5429" s="786"/>
      <c r="Y5429" s="1128" t="s">
        <v>3380</v>
      </c>
      <c r="Z5429" s="1128" t="s">
        <v>3381</v>
      </c>
      <c r="AA5429" s="1128" t="s">
        <v>3384</v>
      </c>
      <c r="AB5429" s="20"/>
      <c r="AC5429" s="73"/>
    </row>
    <row r="5430" spans="1:29">
      <c r="A5430" s="327" t="str">
        <f>IF(AND($B5430&lt;&gt;"",$C5430&lt;&gt;""),MAX($A$4730:$A5429)+1,"")</f>
        <v/>
      </c>
      <c r="B5430" s="361" t="s">
        <v>1854</v>
      </c>
      <c r="C5430" s="362"/>
      <c r="D5430" s="327">
        <f>IF($B5430="","",COUNTIF($B$4731:$B5430,$B5430))</f>
        <v>4</v>
      </c>
      <c r="E5430" s="361" t="s">
        <v>657</v>
      </c>
      <c r="F5430" s="362" t="s">
        <v>658</v>
      </c>
      <c r="G5430" s="327" t="s">
        <v>424</v>
      </c>
      <c r="H5430" s="361" t="s">
        <v>536</v>
      </c>
      <c r="I5430" s="361" t="s">
        <v>665</v>
      </c>
      <c r="J5430" s="361"/>
      <c r="K5430" s="327" t="s">
        <v>100</v>
      </c>
      <c r="L5430" s="478">
        <v>60000</v>
      </c>
      <c r="M5430" s="355"/>
      <c r="N5430" s="355" t="s">
        <v>2409</v>
      </c>
      <c r="O5430" s="345"/>
      <c r="P5430" s="325"/>
      <c r="Q5430" s="327"/>
      <c r="R5430" s="351"/>
      <c r="S5430" s="351"/>
      <c r="T5430" s="351"/>
      <c r="U5430" s="329" t="str">
        <f>IF($N5430=$N$4,IFERROR(INDEX(DanhMuc!$E$154:$E$165,MATCH(MID($B5430,4,2),DanhMuc!$B$154:$B$165,0)),""),"")</f>
        <v/>
      </c>
      <c r="V5430" s="361"/>
      <c r="W5430" s="345"/>
      <c r="X5430" s="786"/>
      <c r="Y5430" s="1128" t="s">
        <v>3380</v>
      </c>
      <c r="Z5430" s="1128" t="s">
        <v>3381</v>
      </c>
      <c r="AA5430" s="1128" t="s">
        <v>3384</v>
      </c>
      <c r="AB5430" s="20"/>
      <c r="AC5430" s="73"/>
    </row>
    <row r="5431" spans="1:29">
      <c r="A5431" s="327" t="str">
        <f>IF(AND($B5431&lt;&gt;"",$C5431&lt;&gt;""),MAX($A$4730:$A5430)+1,"")</f>
        <v/>
      </c>
      <c r="B5431" s="361" t="s">
        <v>1854</v>
      </c>
      <c r="C5431" s="362"/>
      <c r="D5431" s="327">
        <f>IF($B5431="","",COUNTIF($B$4731:$B5431,$B5431))</f>
        <v>5</v>
      </c>
      <c r="E5431" s="361" t="s">
        <v>2771</v>
      </c>
      <c r="F5431" s="362" t="s">
        <v>659</v>
      </c>
      <c r="G5431" s="327" t="s">
        <v>424</v>
      </c>
      <c r="H5431" s="361" t="s">
        <v>536</v>
      </c>
      <c r="I5431" s="361" t="s">
        <v>666</v>
      </c>
      <c r="J5431" s="361"/>
      <c r="K5431" s="327" t="s">
        <v>100</v>
      </c>
      <c r="L5431" s="389">
        <v>53000</v>
      </c>
      <c r="M5431" s="355"/>
      <c r="N5431" s="355" t="s">
        <v>2409</v>
      </c>
      <c r="O5431" s="345"/>
      <c r="P5431" s="325"/>
      <c r="Q5431" s="327"/>
      <c r="R5431" s="351"/>
      <c r="S5431" s="351"/>
      <c r="T5431" s="351"/>
      <c r="U5431" s="329" t="str">
        <f>IF($N5431=$N$4,IFERROR(INDEX(DanhMuc!$E$154:$E$165,MATCH(MID($B5431,4,2),DanhMuc!$B$154:$B$165,0)),""),"")</f>
        <v/>
      </c>
      <c r="V5431" s="361"/>
      <c r="W5431" s="345"/>
      <c r="X5431" s="786"/>
      <c r="Y5431" s="1128" t="s">
        <v>3380</v>
      </c>
      <c r="Z5431" s="1128" t="s">
        <v>3381</v>
      </c>
      <c r="AA5431" s="1128" t="s">
        <v>3384</v>
      </c>
      <c r="AB5431" s="20"/>
      <c r="AC5431" s="73"/>
    </row>
    <row r="5432" spans="1:29">
      <c r="A5432" s="327" t="str">
        <f>IF(AND($B5432&lt;&gt;"",$C5432&lt;&gt;""),MAX($A$4730:$A5431)+1,"")</f>
        <v/>
      </c>
      <c r="B5432" s="361" t="s">
        <v>1854</v>
      </c>
      <c r="C5432" s="362"/>
      <c r="D5432" s="327">
        <f>IF($B5432="","",COUNTIF($B$4731:$B5432,$B5432))</f>
        <v>6</v>
      </c>
      <c r="E5432" s="361" t="s">
        <v>1828</v>
      </c>
      <c r="F5432" s="362" t="s">
        <v>671</v>
      </c>
      <c r="G5432" s="327" t="s">
        <v>661</v>
      </c>
      <c r="H5432" s="361" t="s">
        <v>536</v>
      </c>
      <c r="I5432" s="361" t="s">
        <v>2355</v>
      </c>
      <c r="J5432" s="361"/>
      <c r="K5432" s="327" t="s">
        <v>100</v>
      </c>
      <c r="L5432" s="478">
        <f>40000/1000</f>
        <v>40</v>
      </c>
      <c r="M5432" s="355"/>
      <c r="N5432" s="355" t="s">
        <v>2409</v>
      </c>
      <c r="O5432" s="345"/>
      <c r="P5432" s="325"/>
      <c r="Q5432" s="327"/>
      <c r="R5432" s="351"/>
      <c r="S5432" s="351"/>
      <c r="T5432" s="351"/>
      <c r="U5432" s="329" t="str">
        <f>IF($N5432=$N$4,IFERROR(INDEX(DanhMuc!$E$154:$E$165,MATCH(MID($B5432,4,2),DanhMuc!$B$154:$B$165,0)),""),"")</f>
        <v/>
      </c>
      <c r="V5432" s="361"/>
      <c r="W5432" s="345"/>
      <c r="X5432" s="786"/>
      <c r="Y5432" s="1128" t="s">
        <v>3380</v>
      </c>
      <c r="Z5432" s="1128" t="s">
        <v>3381</v>
      </c>
      <c r="AA5432" s="1128" t="s">
        <v>3384</v>
      </c>
      <c r="AB5432" s="20"/>
      <c r="AC5432" s="73"/>
    </row>
    <row r="5433" spans="1:29">
      <c r="A5433" s="327" t="str">
        <f>IF(AND($B5433&lt;&gt;"",$C5433&lt;&gt;""),MAX($A$4730:$A5432)+1,"")</f>
        <v/>
      </c>
      <c r="B5433" s="361" t="s">
        <v>1854</v>
      </c>
      <c r="C5433" s="362"/>
      <c r="D5433" s="327">
        <f>IF($B5433="","",COUNTIF($B$4731:$B5433,$B5433))</f>
        <v>7</v>
      </c>
      <c r="E5433" s="361" t="s">
        <v>154</v>
      </c>
      <c r="F5433" s="362" t="s">
        <v>660</v>
      </c>
      <c r="G5433" s="327" t="s">
        <v>661</v>
      </c>
      <c r="H5433" s="361" t="s">
        <v>536</v>
      </c>
      <c r="I5433" s="361" t="s">
        <v>667</v>
      </c>
      <c r="J5433" s="361"/>
      <c r="K5433" s="327" t="s">
        <v>662</v>
      </c>
      <c r="L5433" s="478">
        <v>20</v>
      </c>
      <c r="M5433" s="355"/>
      <c r="N5433" s="355" t="s">
        <v>2409</v>
      </c>
      <c r="O5433" s="345"/>
      <c r="P5433" s="325"/>
      <c r="Q5433" s="327"/>
      <c r="R5433" s="351"/>
      <c r="S5433" s="351"/>
      <c r="T5433" s="351"/>
      <c r="U5433" s="329" t="str">
        <f>IF($N5433=$N$4,IFERROR(INDEX(DanhMuc!$E$154:$E$165,MATCH(MID($B5433,4,2),DanhMuc!$B$154:$B$165,0)),""),"")</f>
        <v/>
      </c>
      <c r="V5433" s="361"/>
      <c r="W5433" s="345"/>
      <c r="X5433" s="786"/>
      <c r="Y5433" s="1128" t="s">
        <v>3380</v>
      </c>
      <c r="Z5433" s="1128" t="s">
        <v>3381</v>
      </c>
      <c r="AA5433" s="1128" t="s">
        <v>3384</v>
      </c>
      <c r="AB5433" s="20"/>
      <c r="AC5433" s="73"/>
    </row>
    <row r="5434" spans="1:29">
      <c r="A5434" s="327" t="str">
        <f>IF(AND($B5434&lt;&gt;"",$C5434&lt;&gt;""),MAX($A$4730:$A5433)+1,"")</f>
        <v/>
      </c>
      <c r="B5434" s="361" t="s">
        <v>1854</v>
      </c>
      <c r="C5434" s="362"/>
      <c r="D5434" s="327">
        <f>IF($B5434="","",COUNTIF($B$4731:$B5434,$B5434))</f>
        <v>8</v>
      </c>
      <c r="E5434" s="362" t="s">
        <v>2282</v>
      </c>
      <c r="F5434" s="362" t="s">
        <v>2283</v>
      </c>
      <c r="G5434" s="327" t="s">
        <v>424</v>
      </c>
      <c r="H5434" s="361" t="s">
        <v>536</v>
      </c>
      <c r="I5434" s="361" t="s">
        <v>2238</v>
      </c>
      <c r="J5434" s="361"/>
      <c r="K5434" s="327" t="s">
        <v>662</v>
      </c>
      <c r="L5434" s="478">
        <v>28000</v>
      </c>
      <c r="M5434" s="355"/>
      <c r="N5434" s="355" t="s">
        <v>2409</v>
      </c>
      <c r="O5434" s="345"/>
      <c r="P5434" s="325"/>
      <c r="Q5434" s="327"/>
      <c r="R5434" s="351"/>
      <c r="S5434" s="351"/>
      <c r="T5434" s="351"/>
      <c r="U5434" s="329" t="str">
        <f>IF($N5434=$N$4,IFERROR(INDEX(DanhMuc!$E$154:$E$165,MATCH(MID($B5434,4,2),DanhMuc!$B$154:$B$165,0)),""),"")</f>
        <v/>
      </c>
      <c r="V5434" s="361"/>
      <c r="W5434" s="345"/>
      <c r="X5434" s="786"/>
      <c r="Y5434" s="1128" t="s">
        <v>3380</v>
      </c>
      <c r="Z5434" s="1128" t="s">
        <v>3381</v>
      </c>
      <c r="AA5434" s="1128" t="s">
        <v>3384</v>
      </c>
      <c r="AB5434" s="20"/>
      <c r="AC5434" s="73"/>
    </row>
    <row r="5435" spans="1:29">
      <c r="A5435" s="327" t="str">
        <f>IF(AND($B5435&lt;&gt;"",$C5435&lt;&gt;""),MAX($A$4730:$A5434)+1,"")</f>
        <v/>
      </c>
      <c r="B5435" s="361" t="s">
        <v>1854</v>
      </c>
      <c r="C5435" s="362"/>
      <c r="D5435" s="327">
        <f>IF($B5435="","",COUNTIF($B$4731:$B5435,$B5435))</f>
        <v>9</v>
      </c>
      <c r="E5435" s="362" t="s">
        <v>663</v>
      </c>
      <c r="F5435" s="362" t="s">
        <v>664</v>
      </c>
      <c r="G5435" s="327" t="s">
        <v>155</v>
      </c>
      <c r="H5435" s="361" t="s">
        <v>536</v>
      </c>
      <c r="I5435" s="361" t="s">
        <v>672</v>
      </c>
      <c r="J5435" s="361"/>
      <c r="K5435" s="327" t="s">
        <v>662</v>
      </c>
      <c r="L5435" s="478">
        <v>1000</v>
      </c>
      <c r="M5435" s="355"/>
      <c r="N5435" s="355" t="s">
        <v>2409</v>
      </c>
      <c r="O5435" s="345"/>
      <c r="P5435" s="325"/>
      <c r="Q5435" s="327"/>
      <c r="R5435" s="351"/>
      <c r="S5435" s="351"/>
      <c r="T5435" s="351"/>
      <c r="U5435" s="329" t="str">
        <f>IF($N5435=$N$4,IFERROR(INDEX(DanhMuc!$E$154:$E$165,MATCH(MID($B5435,4,2),DanhMuc!$B$154:$B$165,0)),""),"")</f>
        <v/>
      </c>
      <c r="V5435" s="361"/>
      <c r="W5435" s="345"/>
      <c r="X5435" s="786"/>
      <c r="Y5435" s="1128" t="s">
        <v>3380</v>
      </c>
      <c r="Z5435" s="1128" t="s">
        <v>3381</v>
      </c>
      <c r="AA5435" s="1128" t="s">
        <v>3384</v>
      </c>
      <c r="AB5435" s="20"/>
      <c r="AC5435" s="73"/>
    </row>
    <row r="5436" spans="1:29" ht="52">
      <c r="A5436" s="327">
        <f>IF(AND($B5436&lt;&gt;"",$C5436&lt;&gt;""),MAX($A$4730:$A5421)+1,"")</f>
        <v>26</v>
      </c>
      <c r="B5436" s="359" t="s">
        <v>3200</v>
      </c>
      <c r="C5436" s="360" t="s">
        <v>3186</v>
      </c>
      <c r="D5436" s="327">
        <f>IF($B5436="","",COUNTIF($B$4731:$B5436,$B5436))</f>
        <v>1</v>
      </c>
      <c r="E5436" s="361" t="s">
        <v>1826</v>
      </c>
      <c r="F5436" s="362" t="s">
        <v>670</v>
      </c>
      <c r="G5436" s="327" t="s">
        <v>661</v>
      </c>
      <c r="H5436" s="361" t="s">
        <v>536</v>
      </c>
      <c r="I5436" s="361" t="s">
        <v>2354</v>
      </c>
      <c r="J5436" s="361"/>
      <c r="K5436" s="327" t="s">
        <v>103</v>
      </c>
      <c r="L5436" s="478">
        <f>40000/1000</f>
        <v>40</v>
      </c>
      <c r="M5436" s="355"/>
      <c r="N5436" s="355" t="s">
        <v>2408</v>
      </c>
      <c r="O5436" s="345"/>
      <c r="P5436" s="325"/>
      <c r="Q5436" s="327"/>
      <c r="R5436" s="351"/>
      <c r="S5436" s="351"/>
      <c r="T5436" s="351"/>
      <c r="U5436" s="329" t="str">
        <f>IF($N5436=$N$4,IFERROR(INDEX(DanhMuc!$E$154:$E$165,MATCH(MID($B5436,4,2),DanhMuc!$B$154:$B$165,0)),""),"")</f>
        <v/>
      </c>
      <c r="V5436" s="361"/>
      <c r="W5436" s="345"/>
      <c r="X5436" s="786"/>
      <c r="Y5436" s="1128" t="s">
        <v>3380</v>
      </c>
      <c r="Z5436" s="1128" t="s">
        <v>3381</v>
      </c>
      <c r="AA5436" s="1128" t="s">
        <v>3384</v>
      </c>
      <c r="AB5436" s="20"/>
      <c r="AC5436" s="73"/>
    </row>
    <row r="5437" spans="1:29" ht="37.5">
      <c r="A5437" s="327" t="str">
        <f>IF(AND($B5437&lt;&gt;"",$C5437&lt;&gt;""),MAX($A$4730:$A5436)+1,"")</f>
        <v/>
      </c>
      <c r="B5437" s="361" t="s">
        <v>3200</v>
      </c>
      <c r="C5437" s="362"/>
      <c r="D5437" s="327">
        <f>IF($B5437="","",COUNTIF($B$4731:$B5437,$B5437))</f>
        <v>2</v>
      </c>
      <c r="E5437" s="362" t="s">
        <v>2756</v>
      </c>
      <c r="F5437" s="362" t="s">
        <v>2757</v>
      </c>
      <c r="G5437" s="327" t="s">
        <v>405</v>
      </c>
      <c r="H5437" s="361" t="s">
        <v>536</v>
      </c>
      <c r="I5437" s="327">
        <v>50</v>
      </c>
      <c r="J5437" s="361"/>
      <c r="K5437" s="327" t="s">
        <v>738</v>
      </c>
      <c r="L5437" s="479">
        <v>322</v>
      </c>
      <c r="M5437" s="371"/>
      <c r="N5437" s="355" t="s">
        <v>2408</v>
      </c>
      <c r="O5437" s="345"/>
      <c r="P5437" s="325"/>
      <c r="Q5437" s="327"/>
      <c r="R5437" s="351"/>
      <c r="S5437" s="351"/>
      <c r="T5437" s="351"/>
      <c r="U5437" s="329" t="str">
        <f>IF($N5437=$N$4,IFERROR(INDEX(DanhMuc!$E$154:$E$165,MATCH(MID($B5437,4,2),DanhMuc!$B$154:$B$165,0)),""),"")</f>
        <v/>
      </c>
      <c r="V5437" s="361"/>
      <c r="W5437" s="345"/>
      <c r="X5437" s="786"/>
      <c r="Y5437" s="1128" t="s">
        <v>3380</v>
      </c>
      <c r="Z5437" s="1128" t="s">
        <v>3381</v>
      </c>
      <c r="AA5437" s="1128" t="s">
        <v>3384</v>
      </c>
      <c r="AB5437" s="20"/>
      <c r="AC5437" s="73"/>
    </row>
    <row r="5438" spans="1:29">
      <c r="A5438" s="327" t="str">
        <f>IF(AND($B5438&lt;&gt;"",$C5438&lt;&gt;""),MAX($A$4730:$A5437)+1,"")</f>
        <v/>
      </c>
      <c r="B5438" s="361" t="s">
        <v>3200</v>
      </c>
      <c r="C5438" s="362"/>
      <c r="D5438" s="327">
        <f>IF($B5438="","",COUNTIF($B$4731:$B5438,$B5438))</f>
        <v>3</v>
      </c>
      <c r="E5438" s="361" t="s">
        <v>656</v>
      </c>
      <c r="F5438" s="362" t="s">
        <v>2239</v>
      </c>
      <c r="G5438" s="327" t="s">
        <v>405</v>
      </c>
      <c r="H5438" s="361" t="s">
        <v>536</v>
      </c>
      <c r="I5438" s="361" t="s">
        <v>1827</v>
      </c>
      <c r="J5438" s="361"/>
      <c r="K5438" s="327" t="s">
        <v>100</v>
      </c>
      <c r="L5438" s="478">
        <v>970</v>
      </c>
      <c r="M5438" s="371"/>
      <c r="N5438" s="355" t="s">
        <v>2409</v>
      </c>
      <c r="O5438" s="345"/>
      <c r="P5438" s="325"/>
      <c r="Q5438" s="327"/>
      <c r="R5438" s="351"/>
      <c r="S5438" s="351"/>
      <c r="T5438" s="351"/>
      <c r="U5438" s="329" t="str">
        <f>IF($N5438=$N$4,IFERROR(INDEX(DanhMuc!$E$154:$E$165,MATCH(MID($B5438,4,2),DanhMuc!$B$154:$B$165,0)),""),"")</f>
        <v/>
      </c>
      <c r="V5438" s="361"/>
      <c r="W5438" s="345"/>
      <c r="X5438" s="786"/>
      <c r="Y5438" s="1128" t="s">
        <v>3380</v>
      </c>
      <c r="Z5438" s="1128" t="s">
        <v>3381</v>
      </c>
      <c r="AA5438" s="1128" t="s">
        <v>3384</v>
      </c>
      <c r="AB5438" s="20"/>
      <c r="AC5438" s="73"/>
    </row>
    <row r="5439" spans="1:29">
      <c r="A5439" s="327" t="str">
        <f>IF(AND($B5439&lt;&gt;"",$C5439&lt;&gt;""),MAX($A$4730:$A5438)+1,"")</f>
        <v/>
      </c>
      <c r="B5439" s="361" t="s">
        <v>3200</v>
      </c>
      <c r="C5439" s="362"/>
      <c r="D5439" s="327">
        <f>IF($B5439="","",COUNTIF($B$4731:$B5439,$B5439))</f>
        <v>4</v>
      </c>
      <c r="E5439" s="361" t="s">
        <v>657</v>
      </c>
      <c r="F5439" s="362" t="s">
        <v>658</v>
      </c>
      <c r="G5439" s="327" t="s">
        <v>424</v>
      </c>
      <c r="H5439" s="361" t="s">
        <v>536</v>
      </c>
      <c r="I5439" s="361" t="s">
        <v>665</v>
      </c>
      <c r="J5439" s="361"/>
      <c r="K5439" s="327" t="s">
        <v>100</v>
      </c>
      <c r="L5439" s="478">
        <v>60000</v>
      </c>
      <c r="M5439" s="355"/>
      <c r="N5439" s="355" t="s">
        <v>2409</v>
      </c>
      <c r="O5439" s="345"/>
      <c r="P5439" s="325"/>
      <c r="Q5439" s="327"/>
      <c r="R5439" s="351"/>
      <c r="S5439" s="351"/>
      <c r="T5439" s="351"/>
      <c r="U5439" s="329" t="str">
        <f>IF($N5439=$N$4,IFERROR(INDEX(DanhMuc!$E$154:$E$165,MATCH(MID($B5439,4,2),DanhMuc!$B$154:$B$165,0)),""),"")</f>
        <v/>
      </c>
      <c r="V5439" s="361"/>
      <c r="W5439" s="345"/>
      <c r="X5439" s="786"/>
      <c r="Y5439" s="1128" t="s">
        <v>3380</v>
      </c>
      <c r="Z5439" s="1128" t="s">
        <v>3381</v>
      </c>
      <c r="AA5439" s="1128" t="s">
        <v>3384</v>
      </c>
      <c r="AB5439" s="20"/>
      <c r="AC5439" s="73"/>
    </row>
    <row r="5440" spans="1:29">
      <c r="A5440" s="327" t="str">
        <f>IF(AND($B5440&lt;&gt;"",$C5440&lt;&gt;""),MAX($A$4730:$A5439)+1,"")</f>
        <v/>
      </c>
      <c r="B5440" s="361" t="s">
        <v>3200</v>
      </c>
      <c r="C5440" s="362"/>
      <c r="D5440" s="327">
        <f>IF($B5440="","",COUNTIF($B$4731:$B5440,$B5440))</f>
        <v>5</v>
      </c>
      <c r="E5440" s="361" t="s">
        <v>2771</v>
      </c>
      <c r="F5440" s="362" t="s">
        <v>659</v>
      </c>
      <c r="G5440" s="327" t="s">
        <v>424</v>
      </c>
      <c r="H5440" s="361" t="s">
        <v>536</v>
      </c>
      <c r="I5440" s="361" t="s">
        <v>666</v>
      </c>
      <c r="J5440" s="361"/>
      <c r="K5440" s="327" t="s">
        <v>100</v>
      </c>
      <c r="L5440" s="389">
        <v>53000</v>
      </c>
      <c r="M5440" s="355"/>
      <c r="N5440" s="355" t="s">
        <v>2409</v>
      </c>
      <c r="O5440" s="345"/>
      <c r="P5440" s="325"/>
      <c r="Q5440" s="327"/>
      <c r="R5440" s="351"/>
      <c r="S5440" s="351"/>
      <c r="T5440" s="351"/>
      <c r="U5440" s="329" t="str">
        <f>IF($N5440=$N$4,IFERROR(INDEX(DanhMuc!$E$154:$E$165,MATCH(MID($B5440,4,2),DanhMuc!$B$154:$B$165,0)),""),"")</f>
        <v/>
      </c>
      <c r="V5440" s="361"/>
      <c r="W5440" s="345"/>
      <c r="X5440" s="786"/>
      <c r="Y5440" s="1128" t="s">
        <v>3380</v>
      </c>
      <c r="Z5440" s="1128" t="s">
        <v>3381</v>
      </c>
      <c r="AA5440" s="1128" t="s">
        <v>3384</v>
      </c>
      <c r="AB5440" s="20"/>
      <c r="AC5440" s="73"/>
    </row>
    <row r="5441" spans="1:29">
      <c r="A5441" s="327" t="str">
        <f>IF(AND($B5441&lt;&gt;"",$C5441&lt;&gt;""),MAX($A$4730:$A5440)+1,"")</f>
        <v/>
      </c>
      <c r="B5441" s="361" t="s">
        <v>3200</v>
      </c>
      <c r="C5441" s="362"/>
      <c r="D5441" s="327">
        <f>IF($B5441="","",COUNTIF($B$4731:$B5441,$B5441))</f>
        <v>6</v>
      </c>
      <c r="E5441" s="361" t="s">
        <v>1828</v>
      </c>
      <c r="F5441" s="362" t="s">
        <v>671</v>
      </c>
      <c r="G5441" s="327" t="s">
        <v>661</v>
      </c>
      <c r="H5441" s="361" t="s">
        <v>536</v>
      </c>
      <c r="I5441" s="361" t="s">
        <v>2355</v>
      </c>
      <c r="J5441" s="361"/>
      <c r="K5441" s="327" t="s">
        <v>100</v>
      </c>
      <c r="L5441" s="478">
        <f>40000/1000</f>
        <v>40</v>
      </c>
      <c r="M5441" s="355"/>
      <c r="N5441" s="355" t="s">
        <v>2409</v>
      </c>
      <c r="O5441" s="345"/>
      <c r="P5441" s="325"/>
      <c r="Q5441" s="327"/>
      <c r="R5441" s="351"/>
      <c r="S5441" s="351"/>
      <c r="T5441" s="351"/>
      <c r="U5441" s="329" t="str">
        <f>IF($N5441=$N$4,IFERROR(INDEX(DanhMuc!$E$154:$E$165,MATCH(MID($B5441,4,2),DanhMuc!$B$154:$B$165,0)),""),"")</f>
        <v/>
      </c>
      <c r="V5441" s="361"/>
      <c r="W5441" s="345"/>
      <c r="X5441" s="786"/>
      <c r="Y5441" s="1128" t="s">
        <v>3380</v>
      </c>
      <c r="Z5441" s="1128" t="s">
        <v>3381</v>
      </c>
      <c r="AA5441" s="1128" t="s">
        <v>3384</v>
      </c>
      <c r="AB5441" s="20"/>
      <c r="AC5441" s="73"/>
    </row>
    <row r="5442" spans="1:29">
      <c r="A5442" s="327" t="str">
        <f>IF(AND($B5442&lt;&gt;"",$C5442&lt;&gt;""),MAX($A$4730:$A5441)+1,"")</f>
        <v/>
      </c>
      <c r="B5442" s="361" t="s">
        <v>3200</v>
      </c>
      <c r="C5442" s="362"/>
      <c r="D5442" s="327">
        <f>IF($B5442="","",COUNTIF($B$4731:$B5442,$B5442))</f>
        <v>7</v>
      </c>
      <c r="E5442" s="361" t="s">
        <v>154</v>
      </c>
      <c r="F5442" s="362" t="s">
        <v>660</v>
      </c>
      <c r="G5442" s="327" t="s">
        <v>661</v>
      </c>
      <c r="H5442" s="361" t="s">
        <v>536</v>
      </c>
      <c r="I5442" s="361" t="s">
        <v>667</v>
      </c>
      <c r="J5442" s="361"/>
      <c r="K5442" s="327" t="s">
        <v>662</v>
      </c>
      <c r="L5442" s="478">
        <v>20</v>
      </c>
      <c r="M5442" s="355"/>
      <c r="N5442" s="355" t="s">
        <v>2409</v>
      </c>
      <c r="O5442" s="345"/>
      <c r="P5442" s="325"/>
      <c r="Q5442" s="327"/>
      <c r="R5442" s="351"/>
      <c r="S5442" s="351"/>
      <c r="T5442" s="351"/>
      <c r="U5442" s="329" t="str">
        <f>IF($N5442=$N$4,IFERROR(INDEX(DanhMuc!$E$154:$E$165,MATCH(MID($B5442,4,2),DanhMuc!$B$154:$B$165,0)),""),"")</f>
        <v/>
      </c>
      <c r="V5442" s="361"/>
      <c r="W5442" s="345"/>
      <c r="X5442" s="786"/>
      <c r="Y5442" s="1128" t="s">
        <v>3380</v>
      </c>
      <c r="Z5442" s="1128" t="s">
        <v>3381</v>
      </c>
      <c r="AA5442" s="1128" t="s">
        <v>3384</v>
      </c>
      <c r="AB5442" s="20"/>
      <c r="AC5442" s="73"/>
    </row>
    <row r="5443" spans="1:29">
      <c r="A5443" s="327" t="str">
        <f>IF(AND($B5443&lt;&gt;"",$C5443&lt;&gt;""),MAX($A$4730:$A5442)+1,"")</f>
        <v/>
      </c>
      <c r="B5443" s="361" t="s">
        <v>3200</v>
      </c>
      <c r="C5443" s="362"/>
      <c r="D5443" s="327">
        <f>IF($B5443="","",COUNTIF($B$4731:$B5443,$B5443))</f>
        <v>8</v>
      </c>
      <c r="E5443" s="362" t="s">
        <v>2282</v>
      </c>
      <c r="F5443" s="362" t="s">
        <v>2283</v>
      </c>
      <c r="G5443" s="327" t="s">
        <v>424</v>
      </c>
      <c r="H5443" s="361" t="s">
        <v>536</v>
      </c>
      <c r="I5443" s="361" t="s">
        <v>2238</v>
      </c>
      <c r="J5443" s="361"/>
      <c r="K5443" s="327" t="s">
        <v>662</v>
      </c>
      <c r="L5443" s="478">
        <v>28000</v>
      </c>
      <c r="M5443" s="355"/>
      <c r="N5443" s="355" t="s">
        <v>2409</v>
      </c>
      <c r="O5443" s="345"/>
      <c r="P5443" s="325"/>
      <c r="Q5443" s="327"/>
      <c r="R5443" s="351"/>
      <c r="S5443" s="351"/>
      <c r="T5443" s="351"/>
      <c r="U5443" s="329" t="str">
        <f>IF($N5443=$N$4,IFERROR(INDEX(DanhMuc!$E$154:$E$165,MATCH(MID($B5443,4,2),DanhMuc!$B$154:$B$165,0)),""),"")</f>
        <v/>
      </c>
      <c r="V5443" s="361"/>
      <c r="W5443" s="345"/>
      <c r="X5443" s="786"/>
      <c r="Y5443" s="1128" t="s">
        <v>3380</v>
      </c>
      <c r="Z5443" s="1128" t="s">
        <v>3381</v>
      </c>
      <c r="AA5443" s="1128" t="s">
        <v>3384</v>
      </c>
      <c r="AB5443" s="20"/>
      <c r="AC5443" s="73"/>
    </row>
    <row r="5444" spans="1:29">
      <c r="A5444" s="327" t="str">
        <f>IF(AND($B5444&lt;&gt;"",$C5444&lt;&gt;""),MAX($A$4730:$A5443)+1,"")</f>
        <v/>
      </c>
      <c r="B5444" s="361" t="s">
        <v>3200</v>
      </c>
      <c r="C5444" s="362"/>
      <c r="D5444" s="327">
        <f>IF($B5444="","",COUNTIF($B$4731:$B5444,$B5444))</f>
        <v>9</v>
      </c>
      <c r="E5444" s="362" t="s">
        <v>663</v>
      </c>
      <c r="F5444" s="362" t="s">
        <v>664</v>
      </c>
      <c r="G5444" s="327" t="s">
        <v>155</v>
      </c>
      <c r="H5444" s="361" t="s">
        <v>536</v>
      </c>
      <c r="I5444" s="361" t="s">
        <v>672</v>
      </c>
      <c r="J5444" s="361"/>
      <c r="K5444" s="327" t="s">
        <v>662</v>
      </c>
      <c r="L5444" s="478">
        <v>1000</v>
      </c>
      <c r="M5444" s="355"/>
      <c r="N5444" s="355" t="s">
        <v>2409</v>
      </c>
      <c r="O5444" s="345"/>
      <c r="P5444" s="325"/>
      <c r="Q5444" s="327"/>
      <c r="R5444" s="351"/>
      <c r="S5444" s="351"/>
      <c r="T5444" s="351"/>
      <c r="U5444" s="329" t="str">
        <f>IF($N5444=$N$4,IFERROR(INDEX(DanhMuc!$E$154:$E$165,MATCH(MID($B5444,4,2),DanhMuc!$B$154:$B$165,0)),""),"")</f>
        <v/>
      </c>
      <c r="V5444" s="361"/>
      <c r="W5444" s="345"/>
      <c r="X5444" s="786"/>
      <c r="Y5444" s="1128" t="s">
        <v>3380</v>
      </c>
      <c r="Z5444" s="1128" t="s">
        <v>3381</v>
      </c>
      <c r="AA5444" s="1128" t="s">
        <v>3384</v>
      </c>
      <c r="AB5444" s="20"/>
      <c r="AC5444" s="73"/>
    </row>
    <row r="5445" spans="1:29" ht="39">
      <c r="A5445" s="327">
        <f>IF(AND($B5445&lt;&gt;"",$C5445&lt;&gt;""),MAX($A$4730:$A5417)+1,"")</f>
        <v>25</v>
      </c>
      <c r="B5445" s="359" t="s">
        <v>1855</v>
      </c>
      <c r="C5445" s="360" t="s">
        <v>1882</v>
      </c>
      <c r="D5445" s="327">
        <f>IF($B5445="","",COUNTIF($B$4731:$B5445,$B5445))</f>
        <v>1</v>
      </c>
      <c r="E5445" s="361" t="s">
        <v>1826</v>
      </c>
      <c r="F5445" s="362" t="s">
        <v>670</v>
      </c>
      <c r="G5445" s="327" t="s">
        <v>661</v>
      </c>
      <c r="H5445" s="361" t="s">
        <v>536</v>
      </c>
      <c r="I5445" s="361" t="s">
        <v>2354</v>
      </c>
      <c r="J5445" s="361"/>
      <c r="K5445" s="327" t="s">
        <v>103</v>
      </c>
      <c r="L5445" s="478">
        <f>40000/1000</f>
        <v>40</v>
      </c>
      <c r="M5445" s="355"/>
      <c r="N5445" s="355" t="s">
        <v>2408</v>
      </c>
      <c r="O5445" s="345"/>
      <c r="P5445" s="325"/>
      <c r="Q5445" s="327"/>
      <c r="R5445" s="351"/>
      <c r="S5445" s="351"/>
      <c r="T5445" s="351"/>
      <c r="U5445" s="329" t="str">
        <f>IF($N5445=$N$4,IFERROR(INDEX(DanhMuc!$E$154:$E$165,MATCH(MID($B5445,4,2),DanhMuc!$B$154:$B$165,0)),""),"")</f>
        <v/>
      </c>
      <c r="V5445" s="361"/>
      <c r="W5445" s="345"/>
      <c r="X5445" s="786"/>
      <c r="Y5445" s="1128" t="s">
        <v>3380</v>
      </c>
      <c r="Z5445" s="1128" t="s">
        <v>3381</v>
      </c>
      <c r="AA5445" s="1128" t="s">
        <v>3384</v>
      </c>
      <c r="AB5445" s="20"/>
      <c r="AC5445" s="73"/>
    </row>
    <row r="5446" spans="1:29" ht="37.5">
      <c r="A5446" s="327" t="str">
        <f>IF(AND($B5446&lt;&gt;"",$C5446&lt;&gt;""),MAX($A$4730:$A5445)+1,"")</f>
        <v/>
      </c>
      <c r="B5446" s="361" t="s">
        <v>1855</v>
      </c>
      <c r="C5446" s="362"/>
      <c r="D5446" s="327">
        <f>IF($B5446="","",COUNTIF($B$4731:$B5446,$B5446))</f>
        <v>2</v>
      </c>
      <c r="E5446" s="362" t="s">
        <v>2756</v>
      </c>
      <c r="F5446" s="362" t="s">
        <v>2757</v>
      </c>
      <c r="G5446" s="327" t="s">
        <v>405</v>
      </c>
      <c r="H5446" s="361" t="s">
        <v>536</v>
      </c>
      <c r="I5446" s="327">
        <v>100</v>
      </c>
      <c r="J5446" s="361"/>
      <c r="K5446" s="327" t="s">
        <v>738</v>
      </c>
      <c r="L5446" s="479">
        <v>322</v>
      </c>
      <c r="M5446" s="371"/>
      <c r="N5446" s="355" t="s">
        <v>2408</v>
      </c>
      <c r="O5446" s="345"/>
      <c r="P5446" s="325"/>
      <c r="Q5446" s="327"/>
      <c r="R5446" s="351"/>
      <c r="S5446" s="351"/>
      <c r="T5446" s="351"/>
      <c r="U5446" s="329" t="str">
        <f>IF($N5446=$N$4,IFERROR(INDEX(DanhMuc!$E$154:$E$165,MATCH(MID($B5446,4,2),DanhMuc!$B$154:$B$165,0)),""),"")</f>
        <v/>
      </c>
      <c r="V5446" s="361"/>
      <c r="W5446" s="345"/>
      <c r="X5446" s="786"/>
      <c r="Y5446" s="1128" t="s">
        <v>3380</v>
      </c>
      <c r="Z5446" s="1128" t="s">
        <v>3381</v>
      </c>
      <c r="AA5446" s="1128" t="s">
        <v>3384</v>
      </c>
      <c r="AB5446" s="20"/>
      <c r="AC5446" s="73"/>
    </row>
    <row r="5447" spans="1:29">
      <c r="A5447" s="327" t="str">
        <f>IF(AND($B5447&lt;&gt;"",$C5447&lt;&gt;""),MAX($A$4730:$A5446)+1,"")</f>
        <v/>
      </c>
      <c r="B5447" s="361" t="s">
        <v>1855</v>
      </c>
      <c r="C5447" s="362"/>
      <c r="D5447" s="327">
        <f>IF($B5447="","",COUNTIF($B$4731:$B5447,$B5447))</f>
        <v>3</v>
      </c>
      <c r="E5447" s="361" t="s">
        <v>656</v>
      </c>
      <c r="F5447" s="362" t="s">
        <v>2239</v>
      </c>
      <c r="G5447" s="327" t="s">
        <v>405</v>
      </c>
      <c r="H5447" s="361" t="s">
        <v>536</v>
      </c>
      <c r="I5447" s="361" t="s">
        <v>1827</v>
      </c>
      <c r="J5447" s="361"/>
      <c r="K5447" s="327" t="s">
        <v>100</v>
      </c>
      <c r="L5447" s="478">
        <v>970</v>
      </c>
      <c r="M5447" s="371"/>
      <c r="N5447" s="355" t="s">
        <v>2409</v>
      </c>
      <c r="O5447" s="345"/>
      <c r="P5447" s="325"/>
      <c r="Q5447" s="327"/>
      <c r="R5447" s="351"/>
      <c r="S5447" s="351"/>
      <c r="T5447" s="351"/>
      <c r="U5447" s="329" t="str">
        <f>IF($N5447=$N$4,IFERROR(INDEX(DanhMuc!$E$154:$E$165,MATCH(MID($B5447,4,2),DanhMuc!$B$154:$B$165,0)),""),"")</f>
        <v/>
      </c>
      <c r="V5447" s="361"/>
      <c r="W5447" s="345"/>
      <c r="X5447" s="786"/>
      <c r="Y5447" s="1128" t="s">
        <v>3380</v>
      </c>
      <c r="Z5447" s="1128" t="s">
        <v>3381</v>
      </c>
      <c r="AA5447" s="1128" t="s">
        <v>3384</v>
      </c>
      <c r="AB5447" s="20"/>
      <c r="AC5447" s="73"/>
    </row>
    <row r="5448" spans="1:29">
      <c r="A5448" s="327" t="str">
        <f>IF(AND($B5448&lt;&gt;"",$C5448&lt;&gt;""),MAX($A$4730:$A5447)+1,"")</f>
        <v/>
      </c>
      <c r="B5448" s="361" t="s">
        <v>1855</v>
      </c>
      <c r="C5448" s="362"/>
      <c r="D5448" s="327">
        <f>IF($B5448="","",COUNTIF($B$4731:$B5448,$B5448))</f>
        <v>4</v>
      </c>
      <c r="E5448" s="361" t="s">
        <v>657</v>
      </c>
      <c r="F5448" s="362" t="s">
        <v>658</v>
      </c>
      <c r="G5448" s="327" t="s">
        <v>424</v>
      </c>
      <c r="H5448" s="361" t="s">
        <v>536</v>
      </c>
      <c r="I5448" s="361" t="s">
        <v>665</v>
      </c>
      <c r="J5448" s="361"/>
      <c r="K5448" s="327" t="s">
        <v>100</v>
      </c>
      <c r="L5448" s="478">
        <v>60000</v>
      </c>
      <c r="M5448" s="355"/>
      <c r="N5448" s="355" t="s">
        <v>2409</v>
      </c>
      <c r="O5448" s="345"/>
      <c r="P5448" s="325"/>
      <c r="Q5448" s="327"/>
      <c r="R5448" s="351"/>
      <c r="S5448" s="351"/>
      <c r="T5448" s="351"/>
      <c r="U5448" s="329" t="str">
        <f>IF($N5448=$N$4,IFERROR(INDEX(DanhMuc!$E$154:$E$165,MATCH(MID($B5448,4,2),DanhMuc!$B$154:$B$165,0)),""),"")</f>
        <v/>
      </c>
      <c r="V5448" s="361"/>
      <c r="W5448" s="345"/>
      <c r="X5448" s="786"/>
      <c r="Y5448" s="1128" t="s">
        <v>3380</v>
      </c>
      <c r="Z5448" s="1128" t="s">
        <v>3381</v>
      </c>
      <c r="AA5448" s="1128" t="s">
        <v>3384</v>
      </c>
      <c r="AB5448" s="20"/>
      <c r="AC5448" s="73"/>
    </row>
    <row r="5449" spans="1:29">
      <c r="A5449" s="327" t="str">
        <f>IF(AND($B5449&lt;&gt;"",$C5449&lt;&gt;""),MAX($A$4730:$A5448)+1,"")</f>
        <v/>
      </c>
      <c r="B5449" s="361" t="s">
        <v>1855</v>
      </c>
      <c r="C5449" s="362"/>
      <c r="D5449" s="327">
        <f>IF($B5449="","",COUNTIF($B$4731:$B5449,$B5449))</f>
        <v>5</v>
      </c>
      <c r="E5449" s="361" t="s">
        <v>2771</v>
      </c>
      <c r="F5449" s="362" t="s">
        <v>659</v>
      </c>
      <c r="G5449" s="327" t="s">
        <v>424</v>
      </c>
      <c r="H5449" s="361" t="s">
        <v>536</v>
      </c>
      <c r="I5449" s="361" t="s">
        <v>666</v>
      </c>
      <c r="J5449" s="361"/>
      <c r="K5449" s="327" t="s">
        <v>100</v>
      </c>
      <c r="L5449" s="389">
        <v>53000</v>
      </c>
      <c r="M5449" s="355"/>
      <c r="N5449" s="355" t="s">
        <v>2409</v>
      </c>
      <c r="O5449" s="345"/>
      <c r="P5449" s="325"/>
      <c r="Q5449" s="327"/>
      <c r="R5449" s="351"/>
      <c r="S5449" s="351"/>
      <c r="T5449" s="351"/>
      <c r="U5449" s="329" t="str">
        <f>IF($N5449=$N$4,IFERROR(INDEX(DanhMuc!$E$154:$E$165,MATCH(MID($B5449,4,2),DanhMuc!$B$154:$B$165,0)),""),"")</f>
        <v/>
      </c>
      <c r="V5449" s="361"/>
      <c r="W5449" s="345"/>
      <c r="X5449" s="786"/>
      <c r="Y5449" s="1128" t="s">
        <v>3380</v>
      </c>
      <c r="Z5449" s="1128" t="s">
        <v>3381</v>
      </c>
      <c r="AA5449" s="1128" t="s">
        <v>3384</v>
      </c>
      <c r="AB5449" s="20"/>
      <c r="AC5449" s="73"/>
    </row>
    <row r="5450" spans="1:29">
      <c r="A5450" s="327" t="str">
        <f>IF(AND($B5450&lt;&gt;"",$C5450&lt;&gt;""),MAX($A$4730:$A5449)+1,"")</f>
        <v/>
      </c>
      <c r="B5450" s="361" t="s">
        <v>1855</v>
      </c>
      <c r="C5450" s="362"/>
      <c r="D5450" s="327">
        <f>IF($B5450="","",COUNTIF($B$4731:$B5450,$B5450))</f>
        <v>6</v>
      </c>
      <c r="E5450" s="361" t="s">
        <v>1828</v>
      </c>
      <c r="F5450" s="362" t="s">
        <v>671</v>
      </c>
      <c r="G5450" s="327" t="s">
        <v>661</v>
      </c>
      <c r="H5450" s="361" t="s">
        <v>536</v>
      </c>
      <c r="I5450" s="361" t="s">
        <v>2355</v>
      </c>
      <c r="J5450" s="361"/>
      <c r="K5450" s="327" t="s">
        <v>100</v>
      </c>
      <c r="L5450" s="478">
        <f>40000/1000</f>
        <v>40</v>
      </c>
      <c r="M5450" s="355"/>
      <c r="N5450" s="355" t="s">
        <v>2409</v>
      </c>
      <c r="O5450" s="345"/>
      <c r="P5450" s="325"/>
      <c r="Q5450" s="327"/>
      <c r="R5450" s="351"/>
      <c r="S5450" s="351"/>
      <c r="T5450" s="351"/>
      <c r="U5450" s="329" t="str">
        <f>IF($N5450=$N$4,IFERROR(INDEX(DanhMuc!$E$154:$E$165,MATCH(MID($B5450,4,2),DanhMuc!$B$154:$B$165,0)),""),"")</f>
        <v/>
      </c>
      <c r="V5450" s="361"/>
      <c r="W5450" s="345"/>
      <c r="X5450" s="786"/>
      <c r="Y5450" s="1128" t="s">
        <v>3380</v>
      </c>
      <c r="Z5450" s="1128" t="s">
        <v>3381</v>
      </c>
      <c r="AA5450" s="1128" t="s">
        <v>3384</v>
      </c>
      <c r="AB5450" s="20"/>
      <c r="AC5450" s="73"/>
    </row>
    <row r="5451" spans="1:29">
      <c r="A5451" s="327" t="str">
        <f>IF(AND($B5451&lt;&gt;"",$C5451&lt;&gt;""),MAX($A$4730:$A5450)+1,"")</f>
        <v/>
      </c>
      <c r="B5451" s="361" t="s">
        <v>1855</v>
      </c>
      <c r="C5451" s="362"/>
      <c r="D5451" s="327">
        <f>IF($B5451="","",COUNTIF($B$4731:$B5451,$B5451))</f>
        <v>7</v>
      </c>
      <c r="E5451" s="361" t="s">
        <v>154</v>
      </c>
      <c r="F5451" s="362" t="s">
        <v>660</v>
      </c>
      <c r="G5451" s="327" t="s">
        <v>661</v>
      </c>
      <c r="H5451" s="361" t="s">
        <v>536</v>
      </c>
      <c r="I5451" s="361" t="s">
        <v>667</v>
      </c>
      <c r="J5451" s="361"/>
      <c r="K5451" s="327" t="s">
        <v>662</v>
      </c>
      <c r="L5451" s="478">
        <v>20</v>
      </c>
      <c r="M5451" s="355"/>
      <c r="N5451" s="355" t="s">
        <v>2409</v>
      </c>
      <c r="O5451" s="345"/>
      <c r="P5451" s="325"/>
      <c r="Q5451" s="327"/>
      <c r="R5451" s="351"/>
      <c r="S5451" s="351"/>
      <c r="T5451" s="351"/>
      <c r="U5451" s="329" t="str">
        <f>IF($N5451=$N$4,IFERROR(INDEX(DanhMuc!$E$154:$E$165,MATCH(MID($B5451,4,2),DanhMuc!$B$154:$B$165,0)),""),"")</f>
        <v/>
      </c>
      <c r="V5451" s="361"/>
      <c r="W5451" s="345"/>
      <c r="X5451" s="786"/>
      <c r="Y5451" s="1128" t="s">
        <v>3380</v>
      </c>
      <c r="Z5451" s="1128" t="s">
        <v>3381</v>
      </c>
      <c r="AA5451" s="1128" t="s">
        <v>3384</v>
      </c>
      <c r="AB5451" s="20"/>
      <c r="AC5451" s="73"/>
    </row>
    <row r="5452" spans="1:29">
      <c r="A5452" s="327" t="str">
        <f>IF(AND($B5452&lt;&gt;"",$C5452&lt;&gt;""),MAX($A$4730:$A5451)+1,"")</f>
        <v/>
      </c>
      <c r="B5452" s="361" t="s">
        <v>1855</v>
      </c>
      <c r="C5452" s="362"/>
      <c r="D5452" s="327">
        <f>IF($B5452="","",COUNTIF($B$4731:$B5452,$B5452))</f>
        <v>8</v>
      </c>
      <c r="E5452" s="362" t="s">
        <v>2282</v>
      </c>
      <c r="F5452" s="362" t="s">
        <v>2283</v>
      </c>
      <c r="G5452" s="327" t="s">
        <v>424</v>
      </c>
      <c r="H5452" s="361" t="s">
        <v>536</v>
      </c>
      <c r="I5452" s="361" t="s">
        <v>2238</v>
      </c>
      <c r="J5452" s="361"/>
      <c r="K5452" s="327" t="s">
        <v>662</v>
      </c>
      <c r="L5452" s="478">
        <v>28000</v>
      </c>
      <c r="M5452" s="355"/>
      <c r="N5452" s="355" t="s">
        <v>2409</v>
      </c>
      <c r="O5452" s="345"/>
      <c r="P5452" s="325"/>
      <c r="Q5452" s="327"/>
      <c r="R5452" s="351"/>
      <c r="S5452" s="351"/>
      <c r="T5452" s="351"/>
      <c r="U5452" s="329" t="str">
        <f>IF($N5452=$N$4,IFERROR(INDEX(DanhMuc!$E$154:$E$165,MATCH(MID($B5452,4,2),DanhMuc!$B$154:$B$165,0)),""),"")</f>
        <v/>
      </c>
      <c r="V5452" s="361"/>
      <c r="W5452" s="345"/>
      <c r="X5452" s="786"/>
      <c r="Y5452" s="1128" t="s">
        <v>3380</v>
      </c>
      <c r="Z5452" s="1128" t="s">
        <v>3381</v>
      </c>
      <c r="AA5452" s="1128" t="s">
        <v>3384</v>
      </c>
      <c r="AB5452" s="20"/>
      <c r="AC5452" s="73"/>
    </row>
    <row r="5453" spans="1:29">
      <c r="A5453" s="327" t="str">
        <f>IF(AND($B5453&lt;&gt;"",$C5453&lt;&gt;""),MAX($A$4730:$A5452)+1,"")</f>
        <v/>
      </c>
      <c r="B5453" s="361" t="s">
        <v>1855</v>
      </c>
      <c r="C5453" s="362"/>
      <c r="D5453" s="327">
        <f>IF($B5453="","",COUNTIF($B$4731:$B5453,$B5453))</f>
        <v>9</v>
      </c>
      <c r="E5453" s="362" t="s">
        <v>663</v>
      </c>
      <c r="F5453" s="362" t="s">
        <v>664</v>
      </c>
      <c r="G5453" s="327" t="s">
        <v>155</v>
      </c>
      <c r="H5453" s="361" t="s">
        <v>536</v>
      </c>
      <c r="I5453" s="361" t="s">
        <v>672</v>
      </c>
      <c r="J5453" s="361"/>
      <c r="K5453" s="327" t="s">
        <v>662</v>
      </c>
      <c r="L5453" s="478">
        <v>1000</v>
      </c>
      <c r="M5453" s="355"/>
      <c r="N5453" s="355" t="s">
        <v>2409</v>
      </c>
      <c r="O5453" s="345"/>
      <c r="P5453" s="325"/>
      <c r="Q5453" s="327"/>
      <c r="R5453" s="351"/>
      <c r="S5453" s="351"/>
      <c r="T5453" s="351"/>
      <c r="U5453" s="329" t="str">
        <f>IF($N5453=$N$4,IFERROR(INDEX(DanhMuc!$E$154:$E$165,MATCH(MID($B5453,4,2),DanhMuc!$B$154:$B$165,0)),""),"")</f>
        <v/>
      </c>
      <c r="V5453" s="361"/>
      <c r="W5453" s="345"/>
      <c r="X5453" s="786"/>
      <c r="Y5453" s="1128" t="s">
        <v>3380</v>
      </c>
      <c r="Z5453" s="1128" t="s">
        <v>3381</v>
      </c>
      <c r="AA5453" s="1128" t="s">
        <v>3384</v>
      </c>
      <c r="AB5453" s="20"/>
      <c r="AC5453" s="73"/>
    </row>
    <row r="5454" spans="1:29" ht="52">
      <c r="A5454" s="327">
        <f>IF(AND($B5454&lt;&gt;"",$C5454&lt;&gt;""),MAX($A$4730:$A5453)+1,"")</f>
        <v>27</v>
      </c>
      <c r="B5454" s="359" t="s">
        <v>1856</v>
      </c>
      <c r="C5454" s="360" t="s">
        <v>1883</v>
      </c>
      <c r="D5454" s="327">
        <f>IF($B5454="","",COUNTIF($B$4731:$B5454,$B5454))</f>
        <v>1</v>
      </c>
      <c r="E5454" s="361" t="s">
        <v>1826</v>
      </c>
      <c r="F5454" s="362" t="s">
        <v>670</v>
      </c>
      <c r="G5454" s="327" t="s">
        <v>661</v>
      </c>
      <c r="H5454" s="361" t="s">
        <v>536</v>
      </c>
      <c r="I5454" s="361" t="s">
        <v>2354</v>
      </c>
      <c r="J5454" s="361"/>
      <c r="K5454" s="327" t="s">
        <v>103</v>
      </c>
      <c r="L5454" s="478">
        <f>40000/1000</f>
        <v>40</v>
      </c>
      <c r="M5454" s="355"/>
      <c r="N5454" s="355" t="s">
        <v>2408</v>
      </c>
      <c r="O5454" s="345"/>
      <c r="P5454" s="325"/>
      <c r="Q5454" s="327"/>
      <c r="R5454" s="351"/>
      <c r="S5454" s="351"/>
      <c r="T5454" s="351"/>
      <c r="U5454" s="329" t="str">
        <f>IF($N5454=$N$4,IFERROR(INDEX(DanhMuc!$E$154:$E$165,MATCH(MID($B5454,4,2),DanhMuc!$B$154:$B$165,0)),""),"")</f>
        <v/>
      </c>
      <c r="V5454" s="361"/>
      <c r="W5454" s="345"/>
      <c r="X5454" s="786"/>
      <c r="Y5454" s="1128" t="s">
        <v>3380</v>
      </c>
      <c r="Z5454" s="1128" t="s">
        <v>3381</v>
      </c>
      <c r="AA5454" s="1128" t="s">
        <v>3384</v>
      </c>
      <c r="AB5454" s="20"/>
      <c r="AC5454" s="73"/>
    </row>
    <row r="5455" spans="1:29" ht="37.5">
      <c r="A5455" s="327" t="str">
        <f>IF(AND($B5455&lt;&gt;"",$C5455&lt;&gt;""),MAX($A$4730:$A5454)+1,"")</f>
        <v/>
      </c>
      <c r="B5455" s="361" t="s">
        <v>1856</v>
      </c>
      <c r="C5455" s="362"/>
      <c r="D5455" s="327">
        <f>IF($B5455="","",COUNTIF($B$4731:$B5455,$B5455))</f>
        <v>2</v>
      </c>
      <c r="E5455" s="362" t="s">
        <v>2756</v>
      </c>
      <c r="F5455" s="362" t="s">
        <v>2757</v>
      </c>
      <c r="G5455" s="327" t="s">
        <v>405</v>
      </c>
      <c r="H5455" s="361" t="s">
        <v>536</v>
      </c>
      <c r="I5455" s="327">
        <v>39</v>
      </c>
      <c r="J5455" s="361"/>
      <c r="K5455" s="327" t="s">
        <v>738</v>
      </c>
      <c r="L5455" s="479">
        <v>322</v>
      </c>
      <c r="M5455" s="371"/>
      <c r="N5455" s="355" t="s">
        <v>2408</v>
      </c>
      <c r="O5455" s="345"/>
      <c r="P5455" s="325"/>
      <c r="Q5455" s="327"/>
      <c r="R5455" s="351"/>
      <c r="S5455" s="351"/>
      <c r="T5455" s="351"/>
      <c r="U5455" s="329" t="str">
        <f>IF($N5455=$N$4,IFERROR(INDEX(DanhMuc!$E$154:$E$165,MATCH(MID($B5455,4,2),DanhMuc!$B$154:$B$165,0)),""),"")</f>
        <v/>
      </c>
      <c r="V5455" s="361"/>
      <c r="W5455" s="345"/>
      <c r="X5455" s="786"/>
      <c r="Y5455" s="1128" t="s">
        <v>3380</v>
      </c>
      <c r="Z5455" s="1128" t="s">
        <v>3381</v>
      </c>
      <c r="AA5455" s="1128" t="s">
        <v>3384</v>
      </c>
      <c r="AB5455" s="20"/>
      <c r="AC5455" s="73"/>
    </row>
    <row r="5456" spans="1:29">
      <c r="A5456" s="327" t="str">
        <f>IF(AND($B5456&lt;&gt;"",$C5456&lt;&gt;""),MAX($A$4730:$A5455)+1,"")</f>
        <v/>
      </c>
      <c r="B5456" s="361" t="s">
        <v>1856</v>
      </c>
      <c r="C5456" s="362"/>
      <c r="D5456" s="327">
        <f>IF($B5456="","",COUNTIF($B$4731:$B5456,$B5456))</f>
        <v>3</v>
      </c>
      <c r="E5456" s="361" t="s">
        <v>656</v>
      </c>
      <c r="F5456" s="362" t="s">
        <v>2239</v>
      </c>
      <c r="G5456" s="327" t="s">
        <v>405</v>
      </c>
      <c r="H5456" s="361" t="s">
        <v>536</v>
      </c>
      <c r="I5456" s="361" t="s">
        <v>1827</v>
      </c>
      <c r="J5456" s="361"/>
      <c r="K5456" s="327" t="s">
        <v>100</v>
      </c>
      <c r="L5456" s="478">
        <v>970</v>
      </c>
      <c r="M5456" s="371"/>
      <c r="N5456" s="355" t="s">
        <v>2409</v>
      </c>
      <c r="O5456" s="345"/>
      <c r="P5456" s="325"/>
      <c r="Q5456" s="327"/>
      <c r="R5456" s="351"/>
      <c r="S5456" s="351"/>
      <c r="T5456" s="351"/>
      <c r="U5456" s="329" t="str">
        <f>IF($N5456=$N$4,IFERROR(INDEX(DanhMuc!$E$154:$E$165,MATCH(MID($B5456,4,2),DanhMuc!$B$154:$B$165,0)),""),"")</f>
        <v/>
      </c>
      <c r="V5456" s="361"/>
      <c r="W5456" s="345"/>
      <c r="X5456" s="786"/>
      <c r="Y5456" s="1128" t="s">
        <v>3380</v>
      </c>
      <c r="Z5456" s="1128" t="s">
        <v>3381</v>
      </c>
      <c r="AA5456" s="1128" t="s">
        <v>3384</v>
      </c>
      <c r="AB5456" s="20"/>
      <c r="AC5456" s="73"/>
    </row>
    <row r="5457" spans="1:29">
      <c r="A5457" s="327" t="str">
        <f>IF(AND($B5457&lt;&gt;"",$C5457&lt;&gt;""),MAX($A$4730:$A5456)+1,"")</f>
        <v/>
      </c>
      <c r="B5457" s="361" t="s">
        <v>1856</v>
      </c>
      <c r="C5457" s="362"/>
      <c r="D5457" s="327">
        <f>IF($B5457="","",COUNTIF($B$4731:$B5457,$B5457))</f>
        <v>4</v>
      </c>
      <c r="E5457" s="361" t="s">
        <v>657</v>
      </c>
      <c r="F5457" s="362" t="s">
        <v>658</v>
      </c>
      <c r="G5457" s="327" t="s">
        <v>424</v>
      </c>
      <c r="H5457" s="361" t="s">
        <v>536</v>
      </c>
      <c r="I5457" s="361" t="s">
        <v>665</v>
      </c>
      <c r="J5457" s="361"/>
      <c r="K5457" s="327" t="s">
        <v>100</v>
      </c>
      <c r="L5457" s="478">
        <v>60000</v>
      </c>
      <c r="M5457" s="355"/>
      <c r="N5457" s="355" t="s">
        <v>2409</v>
      </c>
      <c r="O5457" s="345"/>
      <c r="P5457" s="325"/>
      <c r="Q5457" s="327"/>
      <c r="R5457" s="351"/>
      <c r="S5457" s="351"/>
      <c r="T5457" s="351"/>
      <c r="U5457" s="329" t="str">
        <f>IF($N5457=$N$4,IFERROR(INDEX(DanhMuc!$E$154:$E$165,MATCH(MID($B5457,4,2),DanhMuc!$B$154:$B$165,0)),""),"")</f>
        <v/>
      </c>
      <c r="V5457" s="361"/>
      <c r="W5457" s="345"/>
      <c r="X5457" s="786"/>
      <c r="Y5457" s="1128" t="s">
        <v>3380</v>
      </c>
      <c r="Z5457" s="1128" t="s">
        <v>3381</v>
      </c>
      <c r="AA5457" s="1128" t="s">
        <v>3384</v>
      </c>
      <c r="AB5457" s="20"/>
      <c r="AC5457" s="73"/>
    </row>
    <row r="5458" spans="1:29">
      <c r="A5458" s="327" t="str">
        <f>IF(AND($B5458&lt;&gt;"",$C5458&lt;&gt;""),MAX($A$4730:$A5457)+1,"")</f>
        <v/>
      </c>
      <c r="B5458" s="361" t="s">
        <v>1856</v>
      </c>
      <c r="C5458" s="362"/>
      <c r="D5458" s="327">
        <f>IF($B5458="","",COUNTIF($B$4731:$B5458,$B5458))</f>
        <v>5</v>
      </c>
      <c r="E5458" s="361" t="s">
        <v>2771</v>
      </c>
      <c r="F5458" s="362" t="s">
        <v>659</v>
      </c>
      <c r="G5458" s="327" t="s">
        <v>424</v>
      </c>
      <c r="H5458" s="361" t="s">
        <v>536</v>
      </c>
      <c r="I5458" s="361" t="s">
        <v>666</v>
      </c>
      <c r="J5458" s="361"/>
      <c r="K5458" s="327" t="s">
        <v>100</v>
      </c>
      <c r="L5458" s="389">
        <v>53000</v>
      </c>
      <c r="M5458" s="355"/>
      <c r="N5458" s="355" t="s">
        <v>2409</v>
      </c>
      <c r="O5458" s="345"/>
      <c r="P5458" s="325"/>
      <c r="Q5458" s="327"/>
      <c r="R5458" s="351"/>
      <c r="S5458" s="351"/>
      <c r="T5458" s="351"/>
      <c r="U5458" s="329" t="str">
        <f>IF($N5458=$N$4,IFERROR(INDEX(DanhMuc!$E$154:$E$165,MATCH(MID($B5458,4,2),DanhMuc!$B$154:$B$165,0)),""),"")</f>
        <v/>
      </c>
      <c r="V5458" s="361"/>
      <c r="W5458" s="345"/>
      <c r="X5458" s="786"/>
      <c r="Y5458" s="1128" t="s">
        <v>3380</v>
      </c>
      <c r="Z5458" s="1128" t="s">
        <v>3381</v>
      </c>
      <c r="AA5458" s="1128" t="s">
        <v>3384</v>
      </c>
      <c r="AB5458" s="20"/>
      <c r="AC5458" s="73"/>
    </row>
    <row r="5459" spans="1:29">
      <c r="A5459" s="327" t="str">
        <f>IF(AND($B5459&lt;&gt;"",$C5459&lt;&gt;""),MAX($A$4730:$A5458)+1,"")</f>
        <v/>
      </c>
      <c r="B5459" s="361" t="s">
        <v>1856</v>
      </c>
      <c r="C5459" s="362"/>
      <c r="D5459" s="327">
        <f>IF($B5459="","",COUNTIF($B$4731:$B5459,$B5459))</f>
        <v>6</v>
      </c>
      <c r="E5459" s="361" t="s">
        <v>1828</v>
      </c>
      <c r="F5459" s="362" t="s">
        <v>671</v>
      </c>
      <c r="G5459" s="327" t="s">
        <v>661</v>
      </c>
      <c r="H5459" s="361" t="s">
        <v>536</v>
      </c>
      <c r="I5459" s="361" t="s">
        <v>2355</v>
      </c>
      <c r="J5459" s="361"/>
      <c r="K5459" s="327" t="s">
        <v>100</v>
      </c>
      <c r="L5459" s="478">
        <f>40000/1000</f>
        <v>40</v>
      </c>
      <c r="M5459" s="355"/>
      <c r="N5459" s="355" t="s">
        <v>2409</v>
      </c>
      <c r="O5459" s="345"/>
      <c r="P5459" s="325"/>
      <c r="Q5459" s="327"/>
      <c r="R5459" s="351"/>
      <c r="S5459" s="351"/>
      <c r="T5459" s="351"/>
      <c r="U5459" s="329" t="str">
        <f>IF($N5459=$N$4,IFERROR(INDEX(DanhMuc!$E$154:$E$165,MATCH(MID($B5459,4,2),DanhMuc!$B$154:$B$165,0)),""),"")</f>
        <v/>
      </c>
      <c r="V5459" s="361"/>
      <c r="W5459" s="345"/>
      <c r="X5459" s="786"/>
      <c r="Y5459" s="1128" t="s">
        <v>3380</v>
      </c>
      <c r="Z5459" s="1128" t="s">
        <v>3381</v>
      </c>
      <c r="AA5459" s="1128" t="s">
        <v>3384</v>
      </c>
      <c r="AB5459" s="20"/>
      <c r="AC5459" s="73"/>
    </row>
    <row r="5460" spans="1:29">
      <c r="A5460" s="327" t="str">
        <f>IF(AND($B5460&lt;&gt;"",$C5460&lt;&gt;""),MAX($A$4730:$A5459)+1,"")</f>
        <v/>
      </c>
      <c r="B5460" s="361" t="s">
        <v>1856</v>
      </c>
      <c r="C5460" s="362"/>
      <c r="D5460" s="327">
        <f>IF($B5460="","",COUNTIF($B$4731:$B5460,$B5460))</f>
        <v>7</v>
      </c>
      <c r="E5460" s="361" t="s">
        <v>154</v>
      </c>
      <c r="F5460" s="362" t="s">
        <v>660</v>
      </c>
      <c r="G5460" s="327" t="s">
        <v>661</v>
      </c>
      <c r="H5460" s="361" t="s">
        <v>536</v>
      </c>
      <c r="I5460" s="361" t="s">
        <v>667</v>
      </c>
      <c r="J5460" s="361"/>
      <c r="K5460" s="327" t="s">
        <v>662</v>
      </c>
      <c r="L5460" s="478">
        <v>20</v>
      </c>
      <c r="M5460" s="355"/>
      <c r="N5460" s="355" t="s">
        <v>2409</v>
      </c>
      <c r="O5460" s="345"/>
      <c r="P5460" s="325"/>
      <c r="Q5460" s="327"/>
      <c r="R5460" s="351"/>
      <c r="S5460" s="351"/>
      <c r="T5460" s="351"/>
      <c r="U5460" s="329" t="str">
        <f>IF($N5460=$N$4,IFERROR(INDEX(DanhMuc!$E$154:$E$165,MATCH(MID($B5460,4,2),DanhMuc!$B$154:$B$165,0)),""),"")</f>
        <v/>
      </c>
      <c r="V5460" s="361"/>
      <c r="W5460" s="345"/>
      <c r="X5460" s="786"/>
      <c r="Y5460" s="1128" t="s">
        <v>3380</v>
      </c>
      <c r="Z5460" s="1128" t="s">
        <v>3381</v>
      </c>
      <c r="AA5460" s="1128" t="s">
        <v>3384</v>
      </c>
      <c r="AB5460" s="20"/>
      <c r="AC5460" s="73"/>
    </row>
    <row r="5461" spans="1:29">
      <c r="A5461" s="327" t="str">
        <f>IF(AND($B5461&lt;&gt;"",$C5461&lt;&gt;""),MAX($A$4730:$A5460)+1,"")</f>
        <v/>
      </c>
      <c r="B5461" s="361" t="s">
        <v>1856</v>
      </c>
      <c r="C5461" s="362"/>
      <c r="D5461" s="327">
        <f>IF($B5461="","",COUNTIF($B$4731:$B5461,$B5461))</f>
        <v>8</v>
      </c>
      <c r="E5461" s="362" t="s">
        <v>2282</v>
      </c>
      <c r="F5461" s="362" t="s">
        <v>2283</v>
      </c>
      <c r="G5461" s="327" t="s">
        <v>424</v>
      </c>
      <c r="H5461" s="361" t="s">
        <v>536</v>
      </c>
      <c r="I5461" s="361" t="s">
        <v>2238</v>
      </c>
      <c r="J5461" s="361"/>
      <c r="K5461" s="327" t="s">
        <v>662</v>
      </c>
      <c r="L5461" s="478">
        <v>28000</v>
      </c>
      <c r="M5461" s="355"/>
      <c r="N5461" s="355" t="s">
        <v>2409</v>
      </c>
      <c r="O5461" s="345"/>
      <c r="P5461" s="325"/>
      <c r="Q5461" s="327"/>
      <c r="R5461" s="351"/>
      <c r="S5461" s="351"/>
      <c r="T5461" s="351"/>
      <c r="U5461" s="329" t="str">
        <f>IF($N5461=$N$4,IFERROR(INDEX(DanhMuc!$E$154:$E$165,MATCH(MID($B5461,4,2),DanhMuc!$B$154:$B$165,0)),""),"")</f>
        <v/>
      </c>
      <c r="V5461" s="361"/>
      <c r="W5461" s="345"/>
      <c r="X5461" s="786"/>
      <c r="Y5461" s="1128" t="s">
        <v>3380</v>
      </c>
      <c r="Z5461" s="1128" t="s">
        <v>3381</v>
      </c>
      <c r="AA5461" s="1128" t="s">
        <v>3384</v>
      </c>
      <c r="AB5461" s="20"/>
      <c r="AC5461" s="73"/>
    </row>
    <row r="5462" spans="1:29">
      <c r="A5462" s="327" t="str">
        <f>IF(AND($B5462&lt;&gt;"",$C5462&lt;&gt;""),MAX($A$4730:$A5461)+1,"")</f>
        <v/>
      </c>
      <c r="B5462" s="361" t="s">
        <v>1856</v>
      </c>
      <c r="C5462" s="362"/>
      <c r="D5462" s="327">
        <f>IF($B5462="","",COUNTIF($B$4731:$B5462,$B5462))</f>
        <v>9</v>
      </c>
      <c r="E5462" s="362" t="s">
        <v>663</v>
      </c>
      <c r="F5462" s="362" t="s">
        <v>664</v>
      </c>
      <c r="G5462" s="327" t="s">
        <v>155</v>
      </c>
      <c r="H5462" s="361" t="s">
        <v>536</v>
      </c>
      <c r="I5462" s="361" t="s">
        <v>672</v>
      </c>
      <c r="J5462" s="361"/>
      <c r="K5462" s="327" t="s">
        <v>662</v>
      </c>
      <c r="L5462" s="478">
        <v>1000</v>
      </c>
      <c r="M5462" s="355"/>
      <c r="N5462" s="355" t="s">
        <v>2409</v>
      </c>
      <c r="O5462" s="345"/>
      <c r="P5462" s="325"/>
      <c r="Q5462" s="327"/>
      <c r="R5462" s="351"/>
      <c r="S5462" s="351"/>
      <c r="T5462" s="351"/>
      <c r="U5462" s="329" t="str">
        <f>IF($N5462=$N$4,IFERROR(INDEX(DanhMuc!$E$154:$E$165,MATCH(MID($B5462,4,2),DanhMuc!$B$154:$B$165,0)),""),"")</f>
        <v/>
      </c>
      <c r="V5462" s="361"/>
      <c r="W5462" s="345"/>
      <c r="X5462" s="786"/>
      <c r="Y5462" s="1128" t="s">
        <v>3380</v>
      </c>
      <c r="Z5462" s="1128" t="s">
        <v>3381</v>
      </c>
      <c r="AA5462" s="1128" t="s">
        <v>3384</v>
      </c>
      <c r="AB5462" s="20"/>
      <c r="AC5462" s="73"/>
    </row>
    <row r="5463" spans="1:29" ht="39">
      <c r="A5463" s="327">
        <f>IF(AND($B5463&lt;&gt;"",$C5463&lt;&gt;""),MAX($A$4730:$A5453)+1,"")</f>
        <v>27</v>
      </c>
      <c r="B5463" s="359" t="s">
        <v>1857</v>
      </c>
      <c r="C5463" s="360" t="s">
        <v>1884</v>
      </c>
      <c r="D5463" s="327">
        <f>IF($B5463="","",COUNTIF($B$4731:$B5463,$B5463))</f>
        <v>1</v>
      </c>
      <c r="E5463" s="480" t="s">
        <v>2858</v>
      </c>
      <c r="F5463" s="403" t="s">
        <v>2859</v>
      </c>
      <c r="G5463" s="327" t="s">
        <v>155</v>
      </c>
      <c r="H5463" s="361" t="s">
        <v>536</v>
      </c>
      <c r="I5463" s="327">
        <v>4</v>
      </c>
      <c r="J5463" s="361"/>
      <c r="K5463" s="327" t="s">
        <v>100</v>
      </c>
      <c r="L5463" s="389">
        <v>7100</v>
      </c>
      <c r="M5463" s="355"/>
      <c r="N5463" s="355" t="s">
        <v>2408</v>
      </c>
      <c r="O5463" s="345" t="s">
        <v>2777</v>
      </c>
      <c r="P5463" s="325"/>
      <c r="Q5463" s="327"/>
      <c r="R5463" s="351"/>
      <c r="S5463" s="351"/>
      <c r="T5463" s="351"/>
      <c r="U5463" s="329" t="str">
        <f>IF($N5463=$N$4,IFERROR(INDEX(DanhMuc!$E$154:$E$165,MATCH(MID($B5463,4,2),DanhMuc!$B$154:$B$165,0)),""),"")</f>
        <v/>
      </c>
      <c r="V5463" s="361"/>
      <c r="W5463" s="345"/>
      <c r="X5463" s="786"/>
      <c r="Y5463" s="1128" t="s">
        <v>3380</v>
      </c>
      <c r="Z5463" s="1128" t="s">
        <v>3381</v>
      </c>
      <c r="AA5463" s="1128" t="s">
        <v>3384</v>
      </c>
      <c r="AB5463" s="20"/>
      <c r="AC5463" s="73"/>
    </row>
    <row r="5464" spans="1:29" ht="25">
      <c r="A5464" s="327" t="str">
        <f>IF(AND($B5464&lt;&gt;"",$C5464&lt;&gt;""),MAX($A$4730:$A5454)+1,"")</f>
        <v/>
      </c>
      <c r="B5464" s="361" t="s">
        <v>1857</v>
      </c>
      <c r="C5464" s="360"/>
      <c r="D5464" s="327">
        <f>IF($B5464="","",COUNTIF($B$4731:$B5464,$B5464))</f>
        <v>2</v>
      </c>
      <c r="E5464" s="480" t="s">
        <v>2304</v>
      </c>
      <c r="F5464" s="403" t="s">
        <v>2335</v>
      </c>
      <c r="G5464" s="327" t="s">
        <v>155</v>
      </c>
      <c r="H5464" s="361" t="s">
        <v>536</v>
      </c>
      <c r="I5464" s="327">
        <v>4</v>
      </c>
      <c r="J5464" s="361"/>
      <c r="K5464" s="327" t="s">
        <v>100</v>
      </c>
      <c r="L5464" s="389">
        <v>7100</v>
      </c>
      <c r="M5464" s="355"/>
      <c r="N5464" s="355" t="s">
        <v>2408</v>
      </c>
      <c r="O5464" s="345" t="s">
        <v>2776</v>
      </c>
      <c r="P5464" s="325"/>
      <c r="Q5464" s="327"/>
      <c r="R5464" s="351"/>
      <c r="S5464" s="351"/>
      <c r="T5464" s="351"/>
      <c r="U5464" s="329" t="str">
        <f>IF($N5464=$N$4,IFERROR(INDEX(DanhMuc!$E$154:$E$165,MATCH(MID($B5464,4,2),DanhMuc!$B$154:$B$165,0)),""),"")</f>
        <v/>
      </c>
      <c r="V5464" s="361"/>
      <c r="W5464" s="345"/>
      <c r="X5464" s="786"/>
      <c r="Y5464" s="1128" t="s">
        <v>3380</v>
      </c>
      <c r="Z5464" s="1128" t="s">
        <v>3381</v>
      </c>
      <c r="AA5464" s="1128" t="s">
        <v>3384</v>
      </c>
      <c r="AB5464" s="20"/>
      <c r="AC5464" s="73"/>
    </row>
    <row r="5465" spans="1:29">
      <c r="A5465" s="327" t="str">
        <f>IF(AND($B5465&lt;&gt;"",$C5465&lt;&gt;""),MAX($A$4730:$A5464)+1,"")</f>
        <v/>
      </c>
      <c r="B5465" s="361" t="s">
        <v>1857</v>
      </c>
      <c r="C5465" s="360"/>
      <c r="D5465" s="327">
        <f>IF($B5465="","",COUNTIF($B$4731:$B5465,$B5465))</f>
        <v>3</v>
      </c>
      <c r="E5465" s="402" t="s">
        <v>2788</v>
      </c>
      <c r="F5465" s="403" t="s">
        <v>2789</v>
      </c>
      <c r="G5465" s="327" t="s">
        <v>155</v>
      </c>
      <c r="H5465" s="361" t="s">
        <v>536</v>
      </c>
      <c r="I5465" s="327">
        <f>4*I5464</f>
        <v>16</v>
      </c>
      <c r="J5465" s="361"/>
      <c r="K5465" s="327" t="s">
        <v>100</v>
      </c>
      <c r="L5465" s="389">
        <v>600</v>
      </c>
      <c r="M5465" s="355"/>
      <c r="N5465" s="355" t="s">
        <v>2408</v>
      </c>
      <c r="O5465" s="345" t="s">
        <v>2776</v>
      </c>
      <c r="P5465" s="325"/>
      <c r="Q5465" s="327"/>
      <c r="R5465" s="351"/>
      <c r="S5465" s="351"/>
      <c r="T5465" s="351"/>
      <c r="U5465" s="329" t="str">
        <f>IF($N5465=$N$4,IFERROR(INDEX(DanhMuc!$E$154:$E$165,MATCH(MID($B5465,4,2),DanhMuc!$B$154:$B$165,0)),""),"")</f>
        <v/>
      </c>
      <c r="V5465" s="361"/>
      <c r="W5465" s="345"/>
      <c r="X5465" s="786"/>
      <c r="Y5465" s="1128" t="s">
        <v>3380</v>
      </c>
      <c r="Z5465" s="1128" t="s">
        <v>3381</v>
      </c>
      <c r="AA5465" s="1128" t="s">
        <v>3384</v>
      </c>
      <c r="AB5465" s="20"/>
      <c r="AC5465" s="73"/>
    </row>
    <row r="5466" spans="1:29">
      <c r="A5466" s="327" t="str">
        <f>IF(AND($B5466&lt;&gt;"",$C5466&lt;&gt;""),MAX($A$4730:$A5454)+1,"")</f>
        <v/>
      </c>
      <c r="B5466" s="361" t="s">
        <v>1857</v>
      </c>
      <c r="C5466" s="360"/>
      <c r="D5466" s="327">
        <f>IF($B5466="","",COUNTIF($B$4731:$B5466,$B5466))</f>
        <v>4</v>
      </c>
      <c r="E5466" s="480" t="s">
        <v>2860</v>
      </c>
      <c r="F5466" s="403" t="s">
        <v>2861</v>
      </c>
      <c r="G5466" s="327" t="s">
        <v>155</v>
      </c>
      <c r="H5466" s="361" t="s">
        <v>536</v>
      </c>
      <c r="I5466" s="327">
        <v>8</v>
      </c>
      <c r="J5466" s="361"/>
      <c r="K5466" s="327" t="s">
        <v>101</v>
      </c>
      <c r="L5466" s="389">
        <v>5100</v>
      </c>
      <c r="M5466" s="355"/>
      <c r="N5466" s="355" t="s">
        <v>2408</v>
      </c>
      <c r="O5466" s="345" t="s">
        <v>2779</v>
      </c>
      <c r="P5466" s="325"/>
      <c r="Q5466" s="327"/>
      <c r="R5466" s="351"/>
      <c r="S5466" s="351"/>
      <c r="T5466" s="351"/>
      <c r="U5466" s="329" t="str">
        <f>IF($N5466=$N$4,IFERROR(INDEX(DanhMuc!$E$154:$E$165,MATCH(MID($B5466,4,2),DanhMuc!$B$154:$B$165,0)),""),"")</f>
        <v/>
      </c>
      <c r="V5466" s="361"/>
      <c r="W5466" s="345"/>
      <c r="X5466" s="786"/>
      <c r="Y5466" s="1128" t="s">
        <v>3380</v>
      </c>
      <c r="Z5466" s="1128" t="s">
        <v>3381</v>
      </c>
      <c r="AA5466" s="1128" t="s">
        <v>3384</v>
      </c>
      <c r="AB5466" s="20"/>
      <c r="AC5466" s="73"/>
    </row>
    <row r="5467" spans="1:29">
      <c r="A5467" s="327" t="str">
        <f>IF(AND($B5467&lt;&gt;"",$C5467&lt;&gt;""),MAX($A$4730:$A5455)+1,"")</f>
        <v/>
      </c>
      <c r="B5467" s="361" t="s">
        <v>1857</v>
      </c>
      <c r="C5467" s="360"/>
      <c r="D5467" s="327">
        <f>IF($B5467="","",COUNTIF($B$4731:$B5467,$B5467))</f>
        <v>5</v>
      </c>
      <c r="E5467" s="480" t="s">
        <v>2305</v>
      </c>
      <c r="F5467" s="403" t="s">
        <v>2862</v>
      </c>
      <c r="G5467" s="327" t="s">
        <v>155</v>
      </c>
      <c r="H5467" s="361" t="s">
        <v>536</v>
      </c>
      <c r="I5467" s="327">
        <v>8</v>
      </c>
      <c r="J5467" s="361"/>
      <c r="K5467" s="327" t="s">
        <v>101</v>
      </c>
      <c r="L5467" s="389">
        <v>5100</v>
      </c>
      <c r="M5467" s="355"/>
      <c r="N5467" s="355" t="s">
        <v>2408</v>
      </c>
      <c r="O5467" s="345" t="s">
        <v>2778</v>
      </c>
      <c r="P5467" s="325"/>
      <c r="Q5467" s="327"/>
      <c r="R5467" s="351"/>
      <c r="S5467" s="351"/>
      <c r="T5467" s="351"/>
      <c r="U5467" s="329" t="str">
        <f>IF($N5467=$N$4,IFERROR(INDEX(DanhMuc!$E$154:$E$165,MATCH(MID($B5467,4,2),DanhMuc!$B$154:$B$165,0)),""),"")</f>
        <v/>
      </c>
      <c r="V5467" s="361"/>
      <c r="W5467" s="345"/>
      <c r="X5467" s="786"/>
      <c r="Y5467" s="1128" t="s">
        <v>3380</v>
      </c>
      <c r="Z5467" s="1128" t="s">
        <v>3381</v>
      </c>
      <c r="AA5467" s="1128" t="s">
        <v>3384</v>
      </c>
      <c r="AB5467" s="20"/>
      <c r="AC5467" s="73"/>
    </row>
    <row r="5468" spans="1:29">
      <c r="A5468" s="327" t="str">
        <f>IF(AND($B5468&lt;&gt;"",$C5468&lt;&gt;""),MAX($A$4730:$A5466)+1,"")</f>
        <v/>
      </c>
      <c r="B5468" s="361" t="s">
        <v>1857</v>
      </c>
      <c r="C5468" s="360"/>
      <c r="D5468" s="327">
        <f>IF($B5468="","",COUNTIF($B$4731:$B5468,$B5468))</f>
        <v>6</v>
      </c>
      <c r="E5468" s="402" t="s">
        <v>2788</v>
      </c>
      <c r="F5468" s="403" t="s">
        <v>2789</v>
      </c>
      <c r="G5468" s="327" t="s">
        <v>155</v>
      </c>
      <c r="H5468" s="361" t="s">
        <v>536</v>
      </c>
      <c r="I5468" s="327">
        <f>4*I5467</f>
        <v>32</v>
      </c>
      <c r="J5468" s="361"/>
      <c r="K5468" s="327" t="s">
        <v>101</v>
      </c>
      <c r="L5468" s="389">
        <v>600</v>
      </c>
      <c r="M5468" s="355"/>
      <c r="N5468" s="355" t="s">
        <v>2408</v>
      </c>
      <c r="O5468" s="345" t="s">
        <v>2778</v>
      </c>
      <c r="P5468" s="325"/>
      <c r="Q5468" s="327"/>
      <c r="R5468" s="351"/>
      <c r="S5468" s="351"/>
      <c r="T5468" s="351"/>
      <c r="U5468" s="329" t="str">
        <f>IF($N5468=$N$4,IFERROR(INDEX(DanhMuc!$E$154:$E$165,MATCH(MID($B5468,4,2),DanhMuc!$B$154:$B$165,0)),""),"")</f>
        <v/>
      </c>
      <c r="V5468" s="361"/>
      <c r="W5468" s="345"/>
      <c r="X5468" s="786"/>
      <c r="Y5468" s="1128" t="s">
        <v>3380</v>
      </c>
      <c r="Z5468" s="1128" t="s">
        <v>3381</v>
      </c>
      <c r="AA5468" s="1128" t="s">
        <v>3384</v>
      </c>
      <c r="AB5468" s="20"/>
      <c r="AC5468" s="73"/>
    </row>
    <row r="5469" spans="1:29">
      <c r="A5469" s="327" t="str">
        <f>IF(AND($B5469&lt;&gt;"",$C5469&lt;&gt;""),MAX($A$4730:$A5453)+1,"")</f>
        <v/>
      </c>
      <c r="B5469" s="361" t="s">
        <v>1857</v>
      </c>
      <c r="C5469" s="360"/>
      <c r="D5469" s="327">
        <f>IF($B5469="","",COUNTIF($B$4731:$B5469,$B5469))</f>
        <v>7</v>
      </c>
      <c r="E5469" s="361" t="s">
        <v>2338</v>
      </c>
      <c r="F5469" s="362" t="s">
        <v>2331</v>
      </c>
      <c r="G5469" s="327" t="s">
        <v>155</v>
      </c>
      <c r="H5469" s="361" t="s">
        <v>536</v>
      </c>
      <c r="I5469" s="327">
        <v>16</v>
      </c>
      <c r="J5469" s="361"/>
      <c r="K5469" s="327" t="s">
        <v>101</v>
      </c>
      <c r="L5469" s="389">
        <v>750</v>
      </c>
      <c r="M5469" s="355"/>
      <c r="N5469" s="355" t="s">
        <v>2408</v>
      </c>
      <c r="O5469" s="345"/>
      <c r="P5469" s="325"/>
      <c r="Q5469" s="327"/>
      <c r="R5469" s="351"/>
      <c r="S5469" s="351"/>
      <c r="T5469" s="351"/>
      <c r="U5469" s="329" t="str">
        <f>IF($N5469=$N$4,IFERROR(INDEX(DanhMuc!$E$154:$E$165,MATCH(MID($B5469,4,2),DanhMuc!$B$154:$B$165,0)),""),"")</f>
        <v/>
      </c>
      <c r="V5469" s="361"/>
      <c r="W5469" s="345"/>
      <c r="X5469" s="786"/>
      <c r="Y5469" s="1128" t="s">
        <v>3380</v>
      </c>
      <c r="Z5469" s="1128" t="s">
        <v>3381</v>
      </c>
      <c r="AA5469" s="1128" t="s">
        <v>3384</v>
      </c>
      <c r="AB5469" s="20"/>
      <c r="AC5469" s="73"/>
    </row>
    <row r="5470" spans="1:29">
      <c r="A5470" s="327" t="str">
        <f>IF(AND($B5470&lt;&gt;"",$C5470&lt;&gt;""),MAX($A$4730:$A5469)+1,"")</f>
        <v/>
      </c>
      <c r="B5470" s="361" t="s">
        <v>1857</v>
      </c>
      <c r="C5470" s="362"/>
      <c r="D5470" s="327">
        <f>IF($B5470="","",COUNTIF($B$4731:$B5470,$B5470))</f>
        <v>8</v>
      </c>
      <c r="E5470" s="361" t="s">
        <v>654</v>
      </c>
      <c r="F5470" s="362" t="s">
        <v>653</v>
      </c>
      <c r="G5470" s="327" t="s">
        <v>1836</v>
      </c>
      <c r="H5470" s="361" t="s">
        <v>536</v>
      </c>
      <c r="I5470" s="327">
        <f>I5463/45</f>
        <v>8.8888888888888892E-2</v>
      </c>
      <c r="J5470" s="477"/>
      <c r="K5470" s="327" t="s">
        <v>655</v>
      </c>
      <c r="L5470" s="478">
        <v>115000</v>
      </c>
      <c r="M5470" s="355"/>
      <c r="N5470" s="355" t="s">
        <v>2408</v>
      </c>
      <c r="O5470" s="345" t="s">
        <v>2777</v>
      </c>
      <c r="P5470" s="325"/>
      <c r="Q5470" s="327"/>
      <c r="R5470" s="351"/>
      <c r="S5470" s="351"/>
      <c r="T5470" s="351"/>
      <c r="U5470" s="329" t="str">
        <f>IF($N5470=$N$4,IFERROR(INDEX(DanhMuc!$E$154:$E$165,MATCH(MID($B5470,4,2),DanhMuc!$B$154:$B$165,0)),""),"")</f>
        <v/>
      </c>
      <c r="V5470" s="361"/>
      <c r="W5470" s="345"/>
      <c r="X5470" s="786"/>
      <c r="Y5470" s="1128" t="s">
        <v>3380</v>
      </c>
      <c r="Z5470" s="1128" t="s">
        <v>3381</v>
      </c>
      <c r="AA5470" s="1128" t="s">
        <v>3384</v>
      </c>
      <c r="AB5470" s="20"/>
      <c r="AC5470" s="73"/>
    </row>
    <row r="5471" spans="1:29">
      <c r="A5471" s="327" t="str">
        <f>IF(AND($B5471&lt;&gt;"",$C5471&lt;&gt;""),MAX($A$4730:$A5470)+1,"")</f>
        <v/>
      </c>
      <c r="B5471" s="361" t="s">
        <v>1857</v>
      </c>
      <c r="C5471" s="362"/>
      <c r="D5471" s="327">
        <f>IF($B5471="","",COUNTIF($B$4731:$B5471,$B5471))</f>
        <v>9</v>
      </c>
      <c r="E5471" s="361" t="s">
        <v>654</v>
      </c>
      <c r="F5471" s="362" t="s">
        <v>653</v>
      </c>
      <c r="G5471" s="327" t="s">
        <v>1836</v>
      </c>
      <c r="H5471" s="361" t="s">
        <v>536</v>
      </c>
      <c r="I5471" s="327">
        <f>I5466/45</f>
        <v>0.17777777777777778</v>
      </c>
      <c r="J5471" s="477"/>
      <c r="K5471" s="327" t="s">
        <v>655</v>
      </c>
      <c r="L5471" s="478">
        <v>115000</v>
      </c>
      <c r="M5471" s="355"/>
      <c r="N5471" s="355" t="s">
        <v>2408</v>
      </c>
      <c r="O5471" s="345" t="s">
        <v>2779</v>
      </c>
      <c r="P5471" s="325"/>
      <c r="Q5471" s="327"/>
      <c r="R5471" s="351"/>
      <c r="S5471" s="351"/>
      <c r="T5471" s="351"/>
      <c r="U5471" s="329" t="str">
        <f>IF($N5471=$N$4,IFERROR(INDEX(DanhMuc!$E$154:$E$165,MATCH(MID($B5471,4,2),DanhMuc!$B$154:$B$165,0)),""),"")</f>
        <v/>
      </c>
      <c r="V5471" s="361"/>
      <c r="W5471" s="345"/>
      <c r="X5471" s="786"/>
      <c r="Y5471" s="1128" t="s">
        <v>3380</v>
      </c>
      <c r="Z5471" s="1128" t="s">
        <v>3381</v>
      </c>
      <c r="AA5471" s="1128" t="s">
        <v>3384</v>
      </c>
      <c r="AB5471" s="20"/>
      <c r="AC5471" s="73"/>
    </row>
    <row r="5472" spans="1:29">
      <c r="A5472" s="327" t="str">
        <f>IF(AND($B5472&lt;&gt;"",$C5472&lt;&gt;""),MAX($A$4730:$A5453)+1,"")</f>
        <v/>
      </c>
      <c r="B5472" s="361" t="s">
        <v>1857</v>
      </c>
      <c r="C5472" s="360"/>
      <c r="D5472" s="327">
        <f>IF($B5472="","",COUNTIF($B$4731:$B5472,$B5472))</f>
        <v>10</v>
      </c>
      <c r="E5472" s="361" t="s">
        <v>1826</v>
      </c>
      <c r="F5472" s="362" t="s">
        <v>670</v>
      </c>
      <c r="G5472" s="327" t="s">
        <v>661</v>
      </c>
      <c r="H5472" s="361" t="s">
        <v>536</v>
      </c>
      <c r="I5472" s="361" t="s">
        <v>2354</v>
      </c>
      <c r="J5472" s="361"/>
      <c r="K5472" s="327" t="s">
        <v>103</v>
      </c>
      <c r="L5472" s="478">
        <f>40000/1000</f>
        <v>40</v>
      </c>
      <c r="M5472" s="355"/>
      <c r="N5472" s="355" t="s">
        <v>2408</v>
      </c>
      <c r="O5472" s="345"/>
      <c r="P5472" s="325"/>
      <c r="Q5472" s="327"/>
      <c r="R5472" s="351"/>
      <c r="S5472" s="351"/>
      <c r="T5472" s="351"/>
      <c r="U5472" s="329" t="str">
        <f>IF($N5472=$N$4,IFERROR(INDEX(DanhMuc!$E$154:$E$165,MATCH(MID($B5472,4,2),DanhMuc!$B$154:$B$165,0)),""),"")</f>
        <v/>
      </c>
      <c r="V5472" s="361"/>
      <c r="W5472" s="345"/>
      <c r="X5472" s="786"/>
      <c r="Y5472" s="1128" t="s">
        <v>3380</v>
      </c>
      <c r="Z5472" s="1128" t="s">
        <v>3381</v>
      </c>
      <c r="AA5472" s="1128" t="s">
        <v>3384</v>
      </c>
      <c r="AB5472" s="20"/>
      <c r="AC5472" s="73"/>
    </row>
    <row r="5473" spans="1:29" ht="37.5">
      <c r="A5473" s="327" t="str">
        <f>IF(AND($B5473&lt;&gt;"",$C5473&lt;&gt;""),MAX($A$4730:$A5468)+1,"")</f>
        <v/>
      </c>
      <c r="B5473" s="361" t="s">
        <v>1857</v>
      </c>
      <c r="C5473" s="362"/>
      <c r="D5473" s="327">
        <f>IF($B5473="","",COUNTIF($B$4731:$B5473,$B5473))</f>
        <v>11</v>
      </c>
      <c r="E5473" s="362" t="s">
        <v>2756</v>
      </c>
      <c r="F5473" s="362" t="s">
        <v>2757</v>
      </c>
      <c r="G5473" s="327" t="s">
        <v>405</v>
      </c>
      <c r="H5473" s="361" t="s">
        <v>536</v>
      </c>
      <c r="I5473" s="361" t="s">
        <v>694</v>
      </c>
      <c r="J5473" s="361"/>
      <c r="K5473" s="327" t="s">
        <v>738</v>
      </c>
      <c r="L5473" s="479">
        <v>322</v>
      </c>
      <c r="M5473" s="371"/>
      <c r="N5473" s="355" t="s">
        <v>2408</v>
      </c>
      <c r="O5473" s="345"/>
      <c r="P5473" s="325"/>
      <c r="Q5473" s="327"/>
      <c r="R5473" s="351"/>
      <c r="S5473" s="351"/>
      <c r="T5473" s="351"/>
      <c r="U5473" s="329" t="str">
        <f>IF($N5473=$N$4,IFERROR(INDEX(DanhMuc!$E$154:$E$165,MATCH(MID($B5473,4,2),DanhMuc!$B$154:$B$165,0)),""),"")</f>
        <v/>
      </c>
      <c r="V5473" s="361"/>
      <c r="W5473" s="345"/>
      <c r="X5473" s="786"/>
      <c r="Y5473" s="1128" t="s">
        <v>3380</v>
      </c>
      <c r="Z5473" s="1128" t="s">
        <v>3381</v>
      </c>
      <c r="AA5473" s="1128" t="s">
        <v>3384</v>
      </c>
      <c r="AB5473" s="20"/>
      <c r="AC5473" s="73"/>
    </row>
    <row r="5474" spans="1:29">
      <c r="A5474" s="327" t="str">
        <f>IF(AND($B5474&lt;&gt;"",$C5474&lt;&gt;""),MAX($A$4730:$A5473)+1,"")</f>
        <v/>
      </c>
      <c r="B5474" s="361" t="s">
        <v>1857</v>
      </c>
      <c r="C5474" s="362"/>
      <c r="D5474" s="327">
        <f>IF($B5474="","",COUNTIF($B$4731:$B5474,$B5474))</f>
        <v>12</v>
      </c>
      <c r="E5474" s="361" t="s">
        <v>656</v>
      </c>
      <c r="F5474" s="362" t="s">
        <v>2239</v>
      </c>
      <c r="G5474" s="327" t="s">
        <v>405</v>
      </c>
      <c r="H5474" s="361" t="s">
        <v>536</v>
      </c>
      <c r="I5474" s="361" t="s">
        <v>1827</v>
      </c>
      <c r="J5474" s="361"/>
      <c r="K5474" s="327" t="s">
        <v>100</v>
      </c>
      <c r="L5474" s="478">
        <v>970</v>
      </c>
      <c r="M5474" s="371"/>
      <c r="N5474" s="355" t="s">
        <v>2409</v>
      </c>
      <c r="O5474" s="345"/>
      <c r="P5474" s="325"/>
      <c r="Q5474" s="327"/>
      <c r="R5474" s="351"/>
      <c r="S5474" s="351"/>
      <c r="T5474" s="351"/>
      <c r="U5474" s="329" t="str">
        <f>IF($N5474=$N$4,IFERROR(INDEX(DanhMuc!$E$154:$E$165,MATCH(MID($B5474,4,2),DanhMuc!$B$154:$B$165,0)),""),"")</f>
        <v/>
      </c>
      <c r="V5474" s="361"/>
      <c r="W5474" s="345"/>
      <c r="X5474" s="786"/>
      <c r="Y5474" s="1128" t="s">
        <v>3380</v>
      </c>
      <c r="Z5474" s="1128" t="s">
        <v>3381</v>
      </c>
      <c r="AA5474" s="1128" t="s">
        <v>3384</v>
      </c>
      <c r="AB5474" s="20"/>
      <c r="AC5474" s="73"/>
    </row>
    <row r="5475" spans="1:29">
      <c r="A5475" s="327" t="str">
        <f>IF(AND($B5475&lt;&gt;"",$C5475&lt;&gt;""),MAX($A$4730:$A5474)+1,"")</f>
        <v/>
      </c>
      <c r="B5475" s="361" t="s">
        <v>1857</v>
      </c>
      <c r="C5475" s="362"/>
      <c r="D5475" s="327">
        <f>IF($B5475="","",COUNTIF($B$4731:$B5475,$B5475))</f>
        <v>13</v>
      </c>
      <c r="E5475" s="361" t="s">
        <v>657</v>
      </c>
      <c r="F5475" s="362" t="s">
        <v>658</v>
      </c>
      <c r="G5475" s="327" t="s">
        <v>424</v>
      </c>
      <c r="H5475" s="361" t="s">
        <v>536</v>
      </c>
      <c r="I5475" s="361" t="s">
        <v>665</v>
      </c>
      <c r="J5475" s="361"/>
      <c r="K5475" s="327" t="s">
        <v>100</v>
      </c>
      <c r="L5475" s="478">
        <v>60000</v>
      </c>
      <c r="M5475" s="355"/>
      <c r="N5475" s="355" t="s">
        <v>2409</v>
      </c>
      <c r="O5475" s="345"/>
      <c r="P5475" s="325"/>
      <c r="Q5475" s="327"/>
      <c r="R5475" s="351"/>
      <c r="S5475" s="351"/>
      <c r="T5475" s="351"/>
      <c r="U5475" s="329" t="str">
        <f>IF($N5475=$N$4,IFERROR(INDEX(DanhMuc!$E$154:$E$165,MATCH(MID($B5475,4,2),DanhMuc!$B$154:$B$165,0)),""),"")</f>
        <v/>
      </c>
      <c r="V5475" s="361"/>
      <c r="W5475" s="345"/>
      <c r="X5475" s="786"/>
      <c r="Y5475" s="1128" t="s">
        <v>3380</v>
      </c>
      <c r="Z5475" s="1128" t="s">
        <v>3381</v>
      </c>
      <c r="AA5475" s="1128" t="s">
        <v>3384</v>
      </c>
      <c r="AB5475" s="20"/>
      <c r="AC5475" s="73"/>
    </row>
    <row r="5476" spans="1:29">
      <c r="A5476" s="327" t="str">
        <f>IF(AND($B5476&lt;&gt;"",$C5476&lt;&gt;""),MAX($A$4730:$A5475)+1,"")</f>
        <v/>
      </c>
      <c r="B5476" s="361" t="s">
        <v>1857</v>
      </c>
      <c r="C5476" s="362"/>
      <c r="D5476" s="327">
        <f>IF($B5476="","",COUNTIF($B$4731:$B5476,$B5476))</f>
        <v>14</v>
      </c>
      <c r="E5476" s="361" t="s">
        <v>2771</v>
      </c>
      <c r="F5476" s="362" t="s">
        <v>659</v>
      </c>
      <c r="G5476" s="327" t="s">
        <v>424</v>
      </c>
      <c r="H5476" s="361" t="s">
        <v>536</v>
      </c>
      <c r="I5476" s="361" t="s">
        <v>666</v>
      </c>
      <c r="J5476" s="361"/>
      <c r="K5476" s="327" t="s">
        <v>100</v>
      </c>
      <c r="L5476" s="389">
        <v>53000</v>
      </c>
      <c r="M5476" s="355"/>
      <c r="N5476" s="355" t="s">
        <v>2409</v>
      </c>
      <c r="O5476" s="345"/>
      <c r="P5476" s="325"/>
      <c r="Q5476" s="327"/>
      <c r="R5476" s="351"/>
      <c r="S5476" s="351"/>
      <c r="T5476" s="351"/>
      <c r="U5476" s="329" t="str">
        <f>IF($N5476=$N$4,IFERROR(INDEX(DanhMuc!$E$154:$E$165,MATCH(MID($B5476,4,2),DanhMuc!$B$154:$B$165,0)),""),"")</f>
        <v/>
      </c>
      <c r="V5476" s="361"/>
      <c r="W5476" s="345"/>
      <c r="X5476" s="786"/>
      <c r="Y5476" s="1128" t="s">
        <v>3380</v>
      </c>
      <c r="Z5476" s="1128" t="s">
        <v>3381</v>
      </c>
      <c r="AA5476" s="1128" t="s">
        <v>3384</v>
      </c>
      <c r="AB5476" s="20"/>
      <c r="AC5476" s="73"/>
    </row>
    <row r="5477" spans="1:29">
      <c r="A5477" s="327" t="str">
        <f>IF(AND($B5477&lt;&gt;"",$C5477&lt;&gt;""),MAX($A$4730:$A5476)+1,"")</f>
        <v/>
      </c>
      <c r="B5477" s="361" t="s">
        <v>1857</v>
      </c>
      <c r="C5477" s="362"/>
      <c r="D5477" s="327">
        <f>IF($B5477="","",COUNTIF($B$4731:$B5477,$B5477))</f>
        <v>15</v>
      </c>
      <c r="E5477" s="361" t="s">
        <v>1828</v>
      </c>
      <c r="F5477" s="362" t="s">
        <v>671</v>
      </c>
      <c r="G5477" s="327" t="s">
        <v>661</v>
      </c>
      <c r="H5477" s="361" t="s">
        <v>536</v>
      </c>
      <c r="I5477" s="361" t="s">
        <v>2355</v>
      </c>
      <c r="J5477" s="361"/>
      <c r="K5477" s="327" t="s">
        <v>100</v>
      </c>
      <c r="L5477" s="478">
        <f>40000/1000</f>
        <v>40</v>
      </c>
      <c r="M5477" s="355"/>
      <c r="N5477" s="355" t="s">
        <v>2409</v>
      </c>
      <c r="O5477" s="345"/>
      <c r="P5477" s="325"/>
      <c r="Q5477" s="327"/>
      <c r="R5477" s="351"/>
      <c r="S5477" s="351"/>
      <c r="T5477" s="351"/>
      <c r="U5477" s="329" t="str">
        <f>IF($N5477=$N$4,IFERROR(INDEX(DanhMuc!$E$154:$E$165,MATCH(MID($B5477,4,2),DanhMuc!$B$154:$B$165,0)),""),"")</f>
        <v/>
      </c>
      <c r="V5477" s="361"/>
      <c r="W5477" s="345"/>
      <c r="X5477" s="786"/>
      <c r="Y5477" s="1128" t="s">
        <v>3380</v>
      </c>
      <c r="Z5477" s="1128" t="s">
        <v>3381</v>
      </c>
      <c r="AA5477" s="1128" t="s">
        <v>3384</v>
      </c>
      <c r="AB5477" s="20"/>
      <c r="AC5477" s="73"/>
    </row>
    <row r="5478" spans="1:29">
      <c r="A5478" s="327" t="str">
        <f>IF(AND($B5478&lt;&gt;"",$C5478&lt;&gt;""),MAX($A$4730:$A5477)+1,"")</f>
        <v/>
      </c>
      <c r="B5478" s="361" t="s">
        <v>1857</v>
      </c>
      <c r="C5478" s="362"/>
      <c r="D5478" s="327">
        <f>IF($B5478="","",COUNTIF($B$4731:$B5478,$B5478))</f>
        <v>16</v>
      </c>
      <c r="E5478" s="361" t="s">
        <v>154</v>
      </c>
      <c r="F5478" s="362" t="s">
        <v>660</v>
      </c>
      <c r="G5478" s="327" t="s">
        <v>661</v>
      </c>
      <c r="H5478" s="361" t="s">
        <v>536</v>
      </c>
      <c r="I5478" s="361" t="s">
        <v>667</v>
      </c>
      <c r="J5478" s="361"/>
      <c r="K5478" s="327" t="s">
        <v>662</v>
      </c>
      <c r="L5478" s="478">
        <v>20</v>
      </c>
      <c r="M5478" s="355"/>
      <c r="N5478" s="355" t="s">
        <v>2409</v>
      </c>
      <c r="O5478" s="345"/>
      <c r="P5478" s="325"/>
      <c r="Q5478" s="327"/>
      <c r="R5478" s="351"/>
      <c r="S5478" s="351"/>
      <c r="T5478" s="351"/>
      <c r="U5478" s="329" t="str">
        <f>IF($N5478=$N$4,IFERROR(INDEX(DanhMuc!$E$154:$E$165,MATCH(MID($B5478,4,2),DanhMuc!$B$154:$B$165,0)),""),"")</f>
        <v/>
      </c>
      <c r="V5478" s="361"/>
      <c r="W5478" s="345"/>
      <c r="X5478" s="786"/>
      <c r="Y5478" s="1128" t="s">
        <v>3380</v>
      </c>
      <c r="Z5478" s="1128" t="s">
        <v>3381</v>
      </c>
      <c r="AA5478" s="1128" t="s">
        <v>3384</v>
      </c>
      <c r="AB5478" s="20"/>
      <c r="AC5478" s="73"/>
    </row>
    <row r="5479" spans="1:29">
      <c r="A5479" s="327" t="str">
        <f>IF(AND($B5479&lt;&gt;"",$C5479&lt;&gt;""),MAX($A$4730:$A5478)+1,"")</f>
        <v/>
      </c>
      <c r="B5479" s="361" t="s">
        <v>1857</v>
      </c>
      <c r="C5479" s="362"/>
      <c r="D5479" s="327">
        <f>IF($B5479="","",COUNTIF($B$4731:$B5479,$B5479))</f>
        <v>17</v>
      </c>
      <c r="E5479" s="362" t="s">
        <v>2282</v>
      </c>
      <c r="F5479" s="362" t="s">
        <v>2283</v>
      </c>
      <c r="G5479" s="327" t="s">
        <v>424</v>
      </c>
      <c r="H5479" s="361" t="s">
        <v>536</v>
      </c>
      <c r="I5479" s="361" t="s">
        <v>2238</v>
      </c>
      <c r="J5479" s="361"/>
      <c r="K5479" s="327" t="s">
        <v>662</v>
      </c>
      <c r="L5479" s="478">
        <v>28000</v>
      </c>
      <c r="M5479" s="355"/>
      <c r="N5479" s="355" t="s">
        <v>2409</v>
      </c>
      <c r="O5479" s="345"/>
      <c r="P5479" s="325"/>
      <c r="Q5479" s="327"/>
      <c r="R5479" s="351"/>
      <c r="S5479" s="351"/>
      <c r="T5479" s="351"/>
      <c r="U5479" s="329" t="str">
        <f>IF($N5479=$N$4,IFERROR(INDEX(DanhMuc!$E$154:$E$165,MATCH(MID($B5479,4,2),DanhMuc!$B$154:$B$165,0)),""),"")</f>
        <v/>
      </c>
      <c r="V5479" s="361"/>
      <c r="W5479" s="345"/>
      <c r="X5479" s="786"/>
      <c r="Y5479" s="1128" t="s">
        <v>3380</v>
      </c>
      <c r="Z5479" s="1128" t="s">
        <v>3381</v>
      </c>
      <c r="AA5479" s="1128" t="s">
        <v>3384</v>
      </c>
      <c r="AB5479" s="20"/>
      <c r="AC5479" s="73"/>
    </row>
    <row r="5480" spans="1:29">
      <c r="A5480" s="327" t="str">
        <f>IF(AND($B5480&lt;&gt;"",$C5480&lt;&gt;""),MAX($A$4730:$A5479)+1,"")</f>
        <v/>
      </c>
      <c r="B5480" s="361" t="s">
        <v>1857</v>
      </c>
      <c r="C5480" s="362"/>
      <c r="D5480" s="327">
        <f>IF($B5480="","",COUNTIF($B$4731:$B5480,$B5480))</f>
        <v>18</v>
      </c>
      <c r="E5480" s="362" t="s">
        <v>663</v>
      </c>
      <c r="F5480" s="362" t="s">
        <v>664</v>
      </c>
      <c r="G5480" s="327" t="s">
        <v>155</v>
      </c>
      <c r="H5480" s="361" t="s">
        <v>536</v>
      </c>
      <c r="I5480" s="361" t="s">
        <v>672</v>
      </c>
      <c r="J5480" s="361"/>
      <c r="K5480" s="327" t="s">
        <v>662</v>
      </c>
      <c r="L5480" s="478">
        <v>1000</v>
      </c>
      <c r="M5480" s="355"/>
      <c r="N5480" s="355" t="s">
        <v>2409</v>
      </c>
      <c r="O5480" s="345"/>
      <c r="P5480" s="325"/>
      <c r="Q5480" s="327"/>
      <c r="R5480" s="351"/>
      <c r="S5480" s="351"/>
      <c r="T5480" s="351"/>
      <c r="U5480" s="329" t="str">
        <f>IF($N5480=$N$4,IFERROR(INDEX(DanhMuc!$E$154:$E$165,MATCH(MID($B5480,4,2),DanhMuc!$B$154:$B$165,0)),""),"")</f>
        <v/>
      </c>
      <c r="V5480" s="361"/>
      <c r="W5480" s="345"/>
      <c r="X5480" s="786"/>
      <c r="Y5480" s="1128" t="s">
        <v>3380</v>
      </c>
      <c r="Z5480" s="1128" t="s">
        <v>3381</v>
      </c>
      <c r="AA5480" s="1128" t="s">
        <v>3384</v>
      </c>
      <c r="AB5480" s="20"/>
      <c r="AC5480" s="73"/>
    </row>
    <row r="5481" spans="1:29" ht="52">
      <c r="A5481" s="327">
        <f>IF(AND($B5481&lt;&gt;"",$C5481&lt;&gt;""),MAX($A$4730:$A5472)+1,"")</f>
        <v>28</v>
      </c>
      <c r="B5481" s="361" t="s">
        <v>3319</v>
      </c>
      <c r="C5481" s="360" t="s">
        <v>3324</v>
      </c>
      <c r="D5481" s="327">
        <f>IF($B5481="","",COUNTIF($B$4731:$B5481,$B5481))</f>
        <v>1</v>
      </c>
      <c r="E5481" s="480" t="s">
        <v>2860</v>
      </c>
      <c r="F5481" s="403" t="s">
        <v>2861</v>
      </c>
      <c r="G5481" s="327" t="s">
        <v>155</v>
      </c>
      <c r="H5481" s="361" t="s">
        <v>536</v>
      </c>
      <c r="I5481" s="327">
        <v>8</v>
      </c>
      <c r="J5481" s="361"/>
      <c r="K5481" s="327" t="s">
        <v>101</v>
      </c>
      <c r="L5481" s="389">
        <v>5100</v>
      </c>
      <c r="M5481" s="355"/>
      <c r="N5481" s="355" t="s">
        <v>2408</v>
      </c>
      <c r="O5481" s="345" t="s">
        <v>2779</v>
      </c>
      <c r="P5481" s="325"/>
      <c r="Q5481" s="327"/>
      <c r="R5481" s="351"/>
      <c r="S5481" s="351"/>
      <c r="T5481" s="351"/>
      <c r="U5481" s="329" t="str">
        <f>IF($N5481=$N$4,IFERROR(INDEX(DanhMuc!$E$154:$E$165,MATCH(MID($B5481,4,2),DanhMuc!$B$154:$B$165,0)),""),"")</f>
        <v/>
      </c>
      <c r="V5481" s="361"/>
      <c r="W5481" s="345"/>
      <c r="X5481" s="786"/>
      <c r="Y5481" s="1128" t="s">
        <v>3380</v>
      </c>
      <c r="Z5481" s="1128" t="s">
        <v>3381</v>
      </c>
      <c r="AA5481" s="1128" t="s">
        <v>3384</v>
      </c>
      <c r="AB5481" s="20"/>
      <c r="AC5481" s="73"/>
    </row>
    <row r="5482" spans="1:29">
      <c r="A5482" s="327" t="str">
        <f>IF(AND($B5482&lt;&gt;"",$C5482&lt;&gt;""),MAX($A$4730:$A5473)+1,"")</f>
        <v/>
      </c>
      <c r="B5482" s="361" t="s">
        <v>3319</v>
      </c>
      <c r="C5482" s="360"/>
      <c r="D5482" s="327">
        <f>IF($B5482="","",COUNTIF($B$4731:$B5482,$B5482))</f>
        <v>2</v>
      </c>
      <c r="E5482" s="480" t="s">
        <v>2305</v>
      </c>
      <c r="F5482" s="403" t="s">
        <v>2862</v>
      </c>
      <c r="G5482" s="327" t="s">
        <v>155</v>
      </c>
      <c r="H5482" s="361" t="s">
        <v>536</v>
      </c>
      <c r="I5482" s="327">
        <v>8</v>
      </c>
      <c r="J5482" s="361"/>
      <c r="K5482" s="327" t="s">
        <v>101</v>
      </c>
      <c r="L5482" s="389">
        <v>5100</v>
      </c>
      <c r="M5482" s="355"/>
      <c r="N5482" s="355" t="s">
        <v>2408</v>
      </c>
      <c r="O5482" s="345" t="s">
        <v>2778</v>
      </c>
      <c r="P5482" s="325"/>
      <c r="Q5482" s="327"/>
      <c r="R5482" s="351"/>
      <c r="S5482" s="351"/>
      <c r="T5482" s="351"/>
      <c r="U5482" s="329" t="str">
        <f>IF($N5482=$N$4,IFERROR(INDEX(DanhMuc!$E$154:$E$165,MATCH(MID($B5482,4,2),DanhMuc!$B$154:$B$165,0)),""),"")</f>
        <v/>
      </c>
      <c r="V5482" s="361"/>
      <c r="W5482" s="345"/>
      <c r="X5482" s="786"/>
      <c r="Y5482" s="1128" t="s">
        <v>3380</v>
      </c>
      <c r="Z5482" s="1128" t="s">
        <v>3381</v>
      </c>
      <c r="AA5482" s="1128" t="s">
        <v>3384</v>
      </c>
      <c r="AB5482" s="20"/>
      <c r="AC5482" s="73"/>
    </row>
    <row r="5483" spans="1:29">
      <c r="A5483" s="327" t="str">
        <f>IF(AND($B5483&lt;&gt;"",$C5483&lt;&gt;""),MAX($A$4730:$A5481)+1,"")</f>
        <v/>
      </c>
      <c r="B5483" s="361" t="s">
        <v>3319</v>
      </c>
      <c r="C5483" s="360"/>
      <c r="D5483" s="327">
        <f>IF($B5483="","",COUNTIF($B$4731:$B5483,$B5483))</f>
        <v>3</v>
      </c>
      <c r="E5483" s="402" t="s">
        <v>2788</v>
      </c>
      <c r="F5483" s="403" t="s">
        <v>2789</v>
      </c>
      <c r="G5483" s="327" t="s">
        <v>155</v>
      </c>
      <c r="H5483" s="361" t="s">
        <v>536</v>
      </c>
      <c r="I5483" s="327">
        <f>4*I5482</f>
        <v>32</v>
      </c>
      <c r="J5483" s="361"/>
      <c r="K5483" s="327" t="s">
        <v>101</v>
      </c>
      <c r="L5483" s="389">
        <v>600</v>
      </c>
      <c r="M5483" s="355"/>
      <c r="N5483" s="355" t="s">
        <v>2408</v>
      </c>
      <c r="O5483" s="345" t="s">
        <v>2778</v>
      </c>
      <c r="P5483" s="325"/>
      <c r="Q5483" s="327"/>
      <c r="R5483" s="351"/>
      <c r="S5483" s="351"/>
      <c r="T5483" s="351"/>
      <c r="U5483" s="329" t="str">
        <f>IF($N5483=$N$4,IFERROR(INDEX(DanhMuc!$E$154:$E$165,MATCH(MID($B5483,4,2),DanhMuc!$B$154:$B$165,0)),""),"")</f>
        <v/>
      </c>
      <c r="V5483" s="361"/>
      <c r="W5483" s="345"/>
      <c r="X5483" s="786"/>
      <c r="Y5483" s="1128" t="s">
        <v>3380</v>
      </c>
      <c r="Z5483" s="1128" t="s">
        <v>3381</v>
      </c>
      <c r="AA5483" s="1128" t="s">
        <v>3384</v>
      </c>
      <c r="AB5483" s="20"/>
      <c r="AC5483" s="73"/>
    </row>
    <row r="5484" spans="1:29">
      <c r="A5484" s="327" t="str">
        <f>IF(AND($B5484&lt;&gt;"",$C5484&lt;&gt;""),MAX($A$4730:$A5471)+1,"")</f>
        <v/>
      </c>
      <c r="B5484" s="361" t="s">
        <v>3319</v>
      </c>
      <c r="C5484" s="360"/>
      <c r="D5484" s="327">
        <f>IF($B5484="","",COUNTIF($B$4731:$B5484,$B5484))</f>
        <v>4</v>
      </c>
      <c r="E5484" s="361" t="s">
        <v>2338</v>
      </c>
      <c r="F5484" s="362" t="s">
        <v>2331</v>
      </c>
      <c r="G5484" s="327" t="s">
        <v>155</v>
      </c>
      <c r="H5484" s="361" t="s">
        <v>536</v>
      </c>
      <c r="I5484" s="327">
        <v>16</v>
      </c>
      <c r="J5484" s="361"/>
      <c r="K5484" s="327" t="s">
        <v>101</v>
      </c>
      <c r="L5484" s="389">
        <v>750</v>
      </c>
      <c r="M5484" s="355"/>
      <c r="N5484" s="355" t="s">
        <v>2408</v>
      </c>
      <c r="O5484" s="345"/>
      <c r="P5484" s="325"/>
      <c r="Q5484" s="327"/>
      <c r="R5484" s="351"/>
      <c r="S5484" s="351"/>
      <c r="T5484" s="351"/>
      <c r="U5484" s="329" t="str">
        <f>IF($N5484=$N$4,IFERROR(INDEX(DanhMuc!$E$154:$E$165,MATCH(MID($B5484,4,2),DanhMuc!$B$154:$B$165,0)),""),"")</f>
        <v/>
      </c>
      <c r="V5484" s="361"/>
      <c r="W5484" s="345"/>
      <c r="X5484" s="786"/>
      <c r="Y5484" s="1128" t="s">
        <v>3380</v>
      </c>
      <c r="Z5484" s="1128" t="s">
        <v>3381</v>
      </c>
      <c r="AA5484" s="1128" t="s">
        <v>3384</v>
      </c>
      <c r="AB5484" s="20"/>
      <c r="AC5484" s="73"/>
    </row>
    <row r="5485" spans="1:29">
      <c r="A5485" s="327" t="str">
        <f>IF(AND($B5485&lt;&gt;"",$C5485&lt;&gt;""),MAX($A$4730:$A5484)+1,"")</f>
        <v/>
      </c>
      <c r="B5485" s="361" t="s">
        <v>3319</v>
      </c>
      <c r="C5485" s="362"/>
      <c r="D5485" s="327">
        <f>IF($B5485="","",COUNTIF($B$4731:$B5485,$B5485))</f>
        <v>5</v>
      </c>
      <c r="E5485" s="361" t="s">
        <v>654</v>
      </c>
      <c r="F5485" s="362" t="s">
        <v>653</v>
      </c>
      <c r="G5485" s="327" t="s">
        <v>1836</v>
      </c>
      <c r="H5485" s="361" t="s">
        <v>536</v>
      </c>
      <c r="I5485" s="327">
        <f>I5481/45</f>
        <v>0.17777777777777778</v>
      </c>
      <c r="J5485" s="477"/>
      <c r="K5485" s="327" t="s">
        <v>655</v>
      </c>
      <c r="L5485" s="478">
        <v>115000</v>
      </c>
      <c r="M5485" s="355"/>
      <c r="N5485" s="355" t="s">
        <v>2408</v>
      </c>
      <c r="O5485" s="345" t="s">
        <v>2779</v>
      </c>
      <c r="P5485" s="325"/>
      <c r="Q5485" s="327"/>
      <c r="R5485" s="351"/>
      <c r="S5485" s="351"/>
      <c r="T5485" s="351"/>
      <c r="U5485" s="329" t="str">
        <f>IF($N5485=$N$4,IFERROR(INDEX(DanhMuc!$E$154:$E$165,MATCH(MID($B5485,4,2),DanhMuc!$B$154:$B$165,0)),""),"")</f>
        <v/>
      </c>
      <c r="V5485" s="361"/>
      <c r="W5485" s="345"/>
      <c r="X5485" s="786"/>
      <c r="Y5485" s="1128" t="s">
        <v>3380</v>
      </c>
      <c r="Z5485" s="1128" t="s">
        <v>3381</v>
      </c>
      <c r="AA5485" s="1128" t="s">
        <v>3384</v>
      </c>
      <c r="AB5485" s="20"/>
      <c r="AC5485" s="73"/>
    </row>
    <row r="5486" spans="1:29">
      <c r="A5486" s="327" t="str">
        <f>IF(AND($B5486&lt;&gt;"",$C5486&lt;&gt;""),MAX($A$4730:$A5471)+1,"")</f>
        <v/>
      </c>
      <c r="B5486" s="361" t="s">
        <v>3319</v>
      </c>
      <c r="C5486" s="360"/>
      <c r="D5486" s="327">
        <f>IF($B5486="","",COUNTIF($B$4731:$B5486,$B5486))</f>
        <v>6</v>
      </c>
      <c r="E5486" s="361" t="s">
        <v>1826</v>
      </c>
      <c r="F5486" s="362" t="s">
        <v>670</v>
      </c>
      <c r="G5486" s="327" t="s">
        <v>661</v>
      </c>
      <c r="H5486" s="361" t="s">
        <v>536</v>
      </c>
      <c r="I5486" s="361" t="s">
        <v>2354</v>
      </c>
      <c r="J5486" s="361"/>
      <c r="K5486" s="327" t="s">
        <v>103</v>
      </c>
      <c r="L5486" s="478">
        <f>40000/1000</f>
        <v>40</v>
      </c>
      <c r="M5486" s="355"/>
      <c r="N5486" s="355" t="s">
        <v>2408</v>
      </c>
      <c r="O5486" s="345"/>
      <c r="P5486" s="325"/>
      <c r="Q5486" s="327"/>
      <c r="R5486" s="351"/>
      <c r="S5486" s="351"/>
      <c r="T5486" s="351"/>
      <c r="U5486" s="329" t="str">
        <f>IF($N5486=$N$4,IFERROR(INDEX(DanhMuc!$E$154:$E$165,MATCH(MID($B5486,4,2),DanhMuc!$B$154:$B$165,0)),""),"")</f>
        <v/>
      </c>
      <c r="V5486" s="361"/>
      <c r="W5486" s="345"/>
      <c r="X5486" s="786"/>
      <c r="Y5486" s="1128" t="s">
        <v>3380</v>
      </c>
      <c r="Z5486" s="1128" t="s">
        <v>3381</v>
      </c>
      <c r="AA5486" s="1128" t="s">
        <v>3384</v>
      </c>
      <c r="AB5486" s="20"/>
      <c r="AC5486" s="73"/>
    </row>
    <row r="5487" spans="1:29" ht="37.5">
      <c r="A5487" s="327" t="str">
        <f>IF(AND($B5487&lt;&gt;"",$C5487&lt;&gt;""),MAX($A$4730:$A5483)+1,"")</f>
        <v/>
      </c>
      <c r="B5487" s="361" t="s">
        <v>3319</v>
      </c>
      <c r="C5487" s="362"/>
      <c r="D5487" s="327">
        <f>IF($B5487="","",COUNTIF($B$4731:$B5487,$B5487))</f>
        <v>7</v>
      </c>
      <c r="E5487" s="362" t="s">
        <v>2756</v>
      </c>
      <c r="F5487" s="362" t="s">
        <v>2757</v>
      </c>
      <c r="G5487" s="327" t="s">
        <v>405</v>
      </c>
      <c r="H5487" s="361" t="s">
        <v>536</v>
      </c>
      <c r="I5487" s="361" t="s">
        <v>694</v>
      </c>
      <c r="J5487" s="361"/>
      <c r="K5487" s="327" t="s">
        <v>738</v>
      </c>
      <c r="L5487" s="479">
        <v>322</v>
      </c>
      <c r="M5487" s="371"/>
      <c r="N5487" s="355" t="s">
        <v>2408</v>
      </c>
      <c r="O5487" s="345"/>
      <c r="P5487" s="325"/>
      <c r="Q5487" s="327"/>
      <c r="R5487" s="351"/>
      <c r="S5487" s="351"/>
      <c r="T5487" s="351"/>
      <c r="U5487" s="329" t="str">
        <f>IF($N5487=$N$4,IFERROR(INDEX(DanhMuc!$E$154:$E$165,MATCH(MID($B5487,4,2),DanhMuc!$B$154:$B$165,0)),""),"")</f>
        <v/>
      </c>
      <c r="V5487" s="361"/>
      <c r="W5487" s="345"/>
      <c r="X5487" s="786"/>
      <c r="Y5487" s="1128" t="s">
        <v>3380</v>
      </c>
      <c r="Z5487" s="1128" t="s">
        <v>3381</v>
      </c>
      <c r="AA5487" s="1128" t="s">
        <v>3384</v>
      </c>
      <c r="AB5487" s="20"/>
      <c r="AC5487" s="73"/>
    </row>
    <row r="5488" spans="1:29">
      <c r="A5488" s="327" t="str">
        <f>IF(AND($B5488&lt;&gt;"",$C5488&lt;&gt;""),MAX($A$4730:$A5487)+1,"")</f>
        <v/>
      </c>
      <c r="B5488" s="361" t="s">
        <v>3319</v>
      </c>
      <c r="C5488" s="362"/>
      <c r="D5488" s="327">
        <f>IF($B5488="","",COUNTIF($B$4731:$B5488,$B5488))</f>
        <v>8</v>
      </c>
      <c r="E5488" s="361" t="s">
        <v>656</v>
      </c>
      <c r="F5488" s="362" t="s">
        <v>2239</v>
      </c>
      <c r="G5488" s="327" t="s">
        <v>405</v>
      </c>
      <c r="H5488" s="361" t="s">
        <v>536</v>
      </c>
      <c r="I5488" s="361" t="s">
        <v>1827</v>
      </c>
      <c r="J5488" s="361"/>
      <c r="K5488" s="327" t="s">
        <v>100</v>
      </c>
      <c r="L5488" s="478">
        <v>970</v>
      </c>
      <c r="M5488" s="371"/>
      <c r="N5488" s="355" t="s">
        <v>2409</v>
      </c>
      <c r="O5488" s="345"/>
      <c r="P5488" s="325"/>
      <c r="Q5488" s="327"/>
      <c r="R5488" s="351"/>
      <c r="S5488" s="351"/>
      <c r="T5488" s="351"/>
      <c r="U5488" s="329" t="str">
        <f>IF($N5488=$N$4,IFERROR(INDEX(DanhMuc!$E$154:$E$165,MATCH(MID($B5488,4,2),DanhMuc!$B$154:$B$165,0)),""),"")</f>
        <v/>
      </c>
      <c r="V5488" s="361"/>
      <c r="W5488" s="345"/>
      <c r="X5488" s="786"/>
      <c r="Y5488" s="1128" t="s">
        <v>3380</v>
      </c>
      <c r="Z5488" s="1128" t="s">
        <v>3381</v>
      </c>
      <c r="AA5488" s="1128" t="s">
        <v>3384</v>
      </c>
      <c r="AB5488" s="20"/>
      <c r="AC5488" s="73"/>
    </row>
    <row r="5489" spans="1:29">
      <c r="A5489" s="327" t="str">
        <f>IF(AND($B5489&lt;&gt;"",$C5489&lt;&gt;""),MAX($A$4730:$A5488)+1,"")</f>
        <v/>
      </c>
      <c r="B5489" s="361" t="s">
        <v>3319</v>
      </c>
      <c r="C5489" s="362"/>
      <c r="D5489" s="327">
        <f>IF($B5489="","",COUNTIF($B$4731:$B5489,$B5489))</f>
        <v>9</v>
      </c>
      <c r="E5489" s="361" t="s">
        <v>657</v>
      </c>
      <c r="F5489" s="362" t="s">
        <v>658</v>
      </c>
      <c r="G5489" s="327" t="s">
        <v>424</v>
      </c>
      <c r="H5489" s="361" t="s">
        <v>536</v>
      </c>
      <c r="I5489" s="361" t="s">
        <v>665</v>
      </c>
      <c r="J5489" s="361"/>
      <c r="K5489" s="327" t="s">
        <v>100</v>
      </c>
      <c r="L5489" s="478">
        <v>60000</v>
      </c>
      <c r="M5489" s="355"/>
      <c r="N5489" s="355" t="s">
        <v>2409</v>
      </c>
      <c r="O5489" s="345"/>
      <c r="P5489" s="325"/>
      <c r="Q5489" s="327"/>
      <c r="R5489" s="351"/>
      <c r="S5489" s="351"/>
      <c r="T5489" s="351"/>
      <c r="U5489" s="329" t="str">
        <f>IF($N5489=$N$4,IFERROR(INDEX(DanhMuc!$E$154:$E$165,MATCH(MID($B5489,4,2),DanhMuc!$B$154:$B$165,0)),""),"")</f>
        <v/>
      </c>
      <c r="V5489" s="361"/>
      <c r="W5489" s="345"/>
      <c r="X5489" s="786"/>
      <c r="Y5489" s="1128" t="s">
        <v>3380</v>
      </c>
      <c r="Z5489" s="1128" t="s">
        <v>3381</v>
      </c>
      <c r="AA5489" s="1128" t="s">
        <v>3384</v>
      </c>
      <c r="AB5489" s="20"/>
      <c r="AC5489" s="73"/>
    </row>
    <row r="5490" spans="1:29">
      <c r="A5490" s="327" t="str">
        <f>IF(AND($B5490&lt;&gt;"",$C5490&lt;&gt;""),MAX($A$4730:$A5489)+1,"")</f>
        <v/>
      </c>
      <c r="B5490" s="361" t="s">
        <v>3319</v>
      </c>
      <c r="C5490" s="362"/>
      <c r="D5490" s="327">
        <f>IF($B5490="","",COUNTIF($B$4731:$B5490,$B5490))</f>
        <v>10</v>
      </c>
      <c r="E5490" s="361" t="s">
        <v>2771</v>
      </c>
      <c r="F5490" s="362" t="s">
        <v>659</v>
      </c>
      <c r="G5490" s="327" t="s">
        <v>424</v>
      </c>
      <c r="H5490" s="361" t="s">
        <v>536</v>
      </c>
      <c r="I5490" s="361" t="s">
        <v>666</v>
      </c>
      <c r="J5490" s="361"/>
      <c r="K5490" s="327" t="s">
        <v>100</v>
      </c>
      <c r="L5490" s="389">
        <v>53000</v>
      </c>
      <c r="M5490" s="355"/>
      <c r="N5490" s="355" t="s">
        <v>2409</v>
      </c>
      <c r="O5490" s="345"/>
      <c r="P5490" s="325"/>
      <c r="Q5490" s="327"/>
      <c r="R5490" s="351"/>
      <c r="S5490" s="351"/>
      <c r="T5490" s="351"/>
      <c r="U5490" s="329" t="str">
        <f>IF($N5490=$N$4,IFERROR(INDEX(DanhMuc!$E$154:$E$165,MATCH(MID($B5490,4,2),DanhMuc!$B$154:$B$165,0)),""),"")</f>
        <v/>
      </c>
      <c r="V5490" s="361"/>
      <c r="W5490" s="345"/>
      <c r="X5490" s="786"/>
      <c r="Y5490" s="1128" t="s">
        <v>3380</v>
      </c>
      <c r="Z5490" s="1128" t="s">
        <v>3381</v>
      </c>
      <c r="AA5490" s="1128" t="s">
        <v>3384</v>
      </c>
      <c r="AB5490" s="20"/>
      <c r="AC5490" s="73"/>
    </row>
    <row r="5491" spans="1:29">
      <c r="A5491" s="327" t="str">
        <f>IF(AND($B5491&lt;&gt;"",$C5491&lt;&gt;""),MAX($A$4730:$A5490)+1,"")</f>
        <v/>
      </c>
      <c r="B5491" s="361" t="s">
        <v>3319</v>
      </c>
      <c r="C5491" s="362"/>
      <c r="D5491" s="327">
        <f>IF($B5491="","",COUNTIF($B$4731:$B5491,$B5491))</f>
        <v>11</v>
      </c>
      <c r="E5491" s="361" t="s">
        <v>1828</v>
      </c>
      <c r="F5491" s="362" t="s">
        <v>671</v>
      </c>
      <c r="G5491" s="327" t="s">
        <v>661</v>
      </c>
      <c r="H5491" s="361" t="s">
        <v>536</v>
      </c>
      <c r="I5491" s="361" t="s">
        <v>2355</v>
      </c>
      <c r="J5491" s="361"/>
      <c r="K5491" s="327" t="s">
        <v>100</v>
      </c>
      <c r="L5491" s="478">
        <f>40000/1000</f>
        <v>40</v>
      </c>
      <c r="M5491" s="355"/>
      <c r="N5491" s="355" t="s">
        <v>2409</v>
      </c>
      <c r="O5491" s="345"/>
      <c r="P5491" s="325"/>
      <c r="Q5491" s="327"/>
      <c r="R5491" s="351"/>
      <c r="S5491" s="351"/>
      <c r="T5491" s="351"/>
      <c r="U5491" s="329" t="str">
        <f>IF($N5491=$N$4,IFERROR(INDEX(DanhMuc!$E$154:$E$165,MATCH(MID($B5491,4,2),DanhMuc!$B$154:$B$165,0)),""),"")</f>
        <v/>
      </c>
      <c r="V5491" s="361"/>
      <c r="W5491" s="345"/>
      <c r="X5491" s="786"/>
      <c r="Y5491" s="1128" t="s">
        <v>3380</v>
      </c>
      <c r="Z5491" s="1128" t="s">
        <v>3381</v>
      </c>
      <c r="AA5491" s="1128" t="s">
        <v>3384</v>
      </c>
      <c r="AB5491" s="20"/>
      <c r="AC5491" s="73"/>
    </row>
    <row r="5492" spans="1:29">
      <c r="A5492" s="327" t="str">
        <f>IF(AND($B5492&lt;&gt;"",$C5492&lt;&gt;""),MAX($A$4730:$A5491)+1,"")</f>
        <v/>
      </c>
      <c r="B5492" s="361" t="s">
        <v>3319</v>
      </c>
      <c r="C5492" s="362"/>
      <c r="D5492" s="327">
        <f>IF($B5492="","",COUNTIF($B$4731:$B5492,$B5492))</f>
        <v>12</v>
      </c>
      <c r="E5492" s="361" t="s">
        <v>154</v>
      </c>
      <c r="F5492" s="362" t="s">
        <v>660</v>
      </c>
      <c r="G5492" s="327" t="s">
        <v>661</v>
      </c>
      <c r="H5492" s="361" t="s">
        <v>536</v>
      </c>
      <c r="I5492" s="361" t="s">
        <v>667</v>
      </c>
      <c r="J5492" s="361"/>
      <c r="K5492" s="327" t="s">
        <v>662</v>
      </c>
      <c r="L5492" s="478">
        <v>20</v>
      </c>
      <c r="M5492" s="355"/>
      <c r="N5492" s="355" t="s">
        <v>2409</v>
      </c>
      <c r="O5492" s="345"/>
      <c r="P5492" s="325"/>
      <c r="Q5492" s="327"/>
      <c r="R5492" s="351"/>
      <c r="S5492" s="351"/>
      <c r="T5492" s="351"/>
      <c r="U5492" s="329" t="str">
        <f>IF($N5492=$N$4,IFERROR(INDEX(DanhMuc!$E$154:$E$165,MATCH(MID($B5492,4,2),DanhMuc!$B$154:$B$165,0)),""),"")</f>
        <v/>
      </c>
      <c r="V5492" s="361"/>
      <c r="W5492" s="345"/>
      <c r="X5492" s="786"/>
      <c r="Y5492" s="1128" t="s">
        <v>3380</v>
      </c>
      <c r="Z5492" s="1128" t="s">
        <v>3381</v>
      </c>
      <c r="AA5492" s="1128" t="s">
        <v>3384</v>
      </c>
      <c r="AB5492" s="20"/>
      <c r="AC5492" s="73"/>
    </row>
    <row r="5493" spans="1:29">
      <c r="A5493" s="327" t="str">
        <f>IF(AND($B5493&lt;&gt;"",$C5493&lt;&gt;""),MAX($A$4730:$A5492)+1,"")</f>
        <v/>
      </c>
      <c r="B5493" s="361" t="s">
        <v>3319</v>
      </c>
      <c r="C5493" s="362"/>
      <c r="D5493" s="327">
        <f>IF($B5493="","",COUNTIF($B$4731:$B5493,$B5493))</f>
        <v>13</v>
      </c>
      <c r="E5493" s="362" t="s">
        <v>2282</v>
      </c>
      <c r="F5493" s="362" t="s">
        <v>2283</v>
      </c>
      <c r="G5493" s="327" t="s">
        <v>424</v>
      </c>
      <c r="H5493" s="361" t="s">
        <v>536</v>
      </c>
      <c r="I5493" s="361" t="s">
        <v>2238</v>
      </c>
      <c r="J5493" s="361"/>
      <c r="K5493" s="327" t="s">
        <v>662</v>
      </c>
      <c r="L5493" s="478">
        <v>28000</v>
      </c>
      <c r="M5493" s="355"/>
      <c r="N5493" s="355" t="s">
        <v>2409</v>
      </c>
      <c r="O5493" s="345"/>
      <c r="P5493" s="325"/>
      <c r="Q5493" s="327"/>
      <c r="R5493" s="351"/>
      <c r="S5493" s="351"/>
      <c r="T5493" s="351"/>
      <c r="U5493" s="329" t="str">
        <f>IF($N5493=$N$4,IFERROR(INDEX(DanhMuc!$E$154:$E$165,MATCH(MID($B5493,4,2),DanhMuc!$B$154:$B$165,0)),""),"")</f>
        <v/>
      </c>
      <c r="V5493" s="361"/>
      <c r="W5493" s="345"/>
      <c r="X5493" s="786"/>
      <c r="Y5493" s="1128" t="s">
        <v>3380</v>
      </c>
      <c r="Z5493" s="1128" t="s">
        <v>3381</v>
      </c>
      <c r="AA5493" s="1128" t="s">
        <v>3384</v>
      </c>
      <c r="AB5493" s="20"/>
      <c r="AC5493" s="73"/>
    </row>
    <row r="5494" spans="1:29">
      <c r="A5494" s="327" t="str">
        <f>IF(AND($B5494&lt;&gt;"",$C5494&lt;&gt;""),MAX($A$4730:$A5493)+1,"")</f>
        <v/>
      </c>
      <c r="B5494" s="361" t="s">
        <v>3319</v>
      </c>
      <c r="C5494" s="362"/>
      <c r="D5494" s="327">
        <f>IF($B5494="","",COUNTIF($B$4731:$B5494,$B5494))</f>
        <v>14</v>
      </c>
      <c r="E5494" s="362" t="s">
        <v>663</v>
      </c>
      <c r="F5494" s="362" t="s">
        <v>664</v>
      </c>
      <c r="G5494" s="327" t="s">
        <v>155</v>
      </c>
      <c r="H5494" s="361" t="s">
        <v>536</v>
      </c>
      <c r="I5494" s="361" t="s">
        <v>672</v>
      </c>
      <c r="J5494" s="361"/>
      <c r="K5494" s="327" t="s">
        <v>662</v>
      </c>
      <c r="L5494" s="478">
        <v>1000</v>
      </c>
      <c r="M5494" s="355"/>
      <c r="N5494" s="355" t="s">
        <v>2409</v>
      </c>
      <c r="O5494" s="345"/>
      <c r="P5494" s="325"/>
      <c r="Q5494" s="327"/>
      <c r="R5494" s="351"/>
      <c r="S5494" s="351"/>
      <c r="T5494" s="351"/>
      <c r="U5494" s="329" t="str">
        <f>IF($N5494=$N$4,IFERROR(INDEX(DanhMuc!$E$154:$E$165,MATCH(MID($B5494,4,2),DanhMuc!$B$154:$B$165,0)),""),"")</f>
        <v/>
      </c>
      <c r="V5494" s="361"/>
      <c r="W5494" s="345"/>
      <c r="X5494" s="786"/>
      <c r="Y5494" s="1128" t="s">
        <v>3380</v>
      </c>
      <c r="Z5494" s="1128" t="s">
        <v>3381</v>
      </c>
      <c r="AA5494" s="1128" t="s">
        <v>3384</v>
      </c>
      <c r="AB5494" s="20"/>
      <c r="AC5494" s="73"/>
    </row>
    <row r="5495" spans="1:29" ht="52">
      <c r="A5495" s="327">
        <f>IF(AND($B5495&lt;&gt;"",$C5495&lt;&gt;""),MAX($A$4730:$A5486)+1,"")</f>
        <v>29</v>
      </c>
      <c r="B5495" s="361" t="s">
        <v>3320</v>
      </c>
      <c r="C5495" s="360" t="s">
        <v>3326</v>
      </c>
      <c r="D5495" s="327">
        <f>IF($B5495="","",COUNTIF($B$4731:$B5495,$B5495))</f>
        <v>1</v>
      </c>
      <c r="E5495" s="480" t="s">
        <v>2860</v>
      </c>
      <c r="F5495" s="403" t="s">
        <v>2861</v>
      </c>
      <c r="G5495" s="327" t="s">
        <v>155</v>
      </c>
      <c r="H5495" s="361" t="s">
        <v>536</v>
      </c>
      <c r="I5495" s="327">
        <v>4</v>
      </c>
      <c r="J5495" s="361"/>
      <c r="K5495" s="327" t="s">
        <v>101</v>
      </c>
      <c r="L5495" s="389">
        <v>5100</v>
      </c>
      <c r="M5495" s="355"/>
      <c r="N5495" s="355" t="s">
        <v>2408</v>
      </c>
      <c r="O5495" s="345" t="s">
        <v>2779</v>
      </c>
      <c r="P5495" s="325"/>
      <c r="Q5495" s="327"/>
      <c r="R5495" s="351"/>
      <c r="S5495" s="351"/>
      <c r="T5495" s="351"/>
      <c r="U5495" s="329" t="str">
        <f>IF($N5495=$N$4,IFERROR(INDEX(DanhMuc!$E$154:$E$165,MATCH(MID($B5495,4,2),DanhMuc!$B$154:$B$165,0)),""),"")</f>
        <v/>
      </c>
      <c r="V5495" s="361"/>
      <c r="W5495" s="345"/>
      <c r="X5495" s="786"/>
      <c r="Y5495" s="1128" t="s">
        <v>3380</v>
      </c>
      <c r="Z5495" s="1128" t="s">
        <v>3381</v>
      </c>
      <c r="AA5495" s="1128" t="s">
        <v>3384</v>
      </c>
      <c r="AB5495" s="20"/>
      <c r="AC5495" s="73"/>
    </row>
    <row r="5496" spans="1:29">
      <c r="A5496" s="327" t="str">
        <f>IF(AND($B5496&lt;&gt;"",$C5496&lt;&gt;""),MAX($A$4730:$A5487)+1,"")</f>
        <v/>
      </c>
      <c r="B5496" s="361" t="s">
        <v>3320</v>
      </c>
      <c r="C5496" s="360"/>
      <c r="D5496" s="327">
        <f>IF($B5496="","",COUNTIF($B$4731:$B5496,$B5496))</f>
        <v>2</v>
      </c>
      <c r="E5496" s="480" t="s">
        <v>2305</v>
      </c>
      <c r="F5496" s="403" t="s">
        <v>2862</v>
      </c>
      <c r="G5496" s="327" t="s">
        <v>155</v>
      </c>
      <c r="H5496" s="361" t="s">
        <v>536</v>
      </c>
      <c r="I5496" s="327">
        <v>4</v>
      </c>
      <c r="J5496" s="361"/>
      <c r="K5496" s="327" t="s">
        <v>101</v>
      </c>
      <c r="L5496" s="389">
        <v>5100</v>
      </c>
      <c r="M5496" s="355"/>
      <c r="N5496" s="355" t="s">
        <v>2408</v>
      </c>
      <c r="O5496" s="345" t="s">
        <v>2778</v>
      </c>
      <c r="P5496" s="325"/>
      <c r="Q5496" s="327"/>
      <c r="R5496" s="351"/>
      <c r="S5496" s="351"/>
      <c r="T5496" s="351"/>
      <c r="U5496" s="329" t="str">
        <f>IF($N5496=$N$4,IFERROR(INDEX(DanhMuc!$E$154:$E$165,MATCH(MID($B5496,4,2),DanhMuc!$B$154:$B$165,0)),""),"")</f>
        <v/>
      </c>
      <c r="V5496" s="361"/>
      <c r="W5496" s="345"/>
      <c r="X5496" s="786"/>
      <c r="Y5496" s="1128" t="s">
        <v>3380</v>
      </c>
      <c r="Z5496" s="1128" t="s">
        <v>3381</v>
      </c>
      <c r="AA5496" s="1128" t="s">
        <v>3384</v>
      </c>
      <c r="AB5496" s="20"/>
      <c r="AC5496" s="73"/>
    </row>
    <row r="5497" spans="1:29">
      <c r="A5497" s="327" t="str">
        <f>IF(AND($B5497&lt;&gt;"",$C5497&lt;&gt;""),MAX($A$4730:$A5495)+1,"")</f>
        <v/>
      </c>
      <c r="B5497" s="361" t="s">
        <v>3320</v>
      </c>
      <c r="C5497" s="360"/>
      <c r="D5497" s="327">
        <f>IF($B5497="","",COUNTIF($B$4731:$B5497,$B5497))</f>
        <v>3</v>
      </c>
      <c r="E5497" s="402" t="s">
        <v>2788</v>
      </c>
      <c r="F5497" s="403" t="s">
        <v>2789</v>
      </c>
      <c r="G5497" s="327" t="s">
        <v>155</v>
      </c>
      <c r="H5497" s="361" t="s">
        <v>536</v>
      </c>
      <c r="I5497" s="327">
        <f>4*I5496</f>
        <v>16</v>
      </c>
      <c r="J5497" s="361"/>
      <c r="K5497" s="327" t="s">
        <v>101</v>
      </c>
      <c r="L5497" s="389">
        <v>600</v>
      </c>
      <c r="M5497" s="355"/>
      <c r="N5497" s="355" t="s">
        <v>2408</v>
      </c>
      <c r="O5497" s="345" t="s">
        <v>2778</v>
      </c>
      <c r="P5497" s="325"/>
      <c r="Q5497" s="327"/>
      <c r="R5497" s="351"/>
      <c r="S5497" s="351"/>
      <c r="T5497" s="351"/>
      <c r="U5497" s="329" t="str">
        <f>IF($N5497=$N$4,IFERROR(INDEX(DanhMuc!$E$154:$E$165,MATCH(MID($B5497,4,2),DanhMuc!$B$154:$B$165,0)),""),"")</f>
        <v/>
      </c>
      <c r="V5497" s="361"/>
      <c r="W5497" s="345"/>
      <c r="X5497" s="786"/>
      <c r="Y5497" s="1128" t="s">
        <v>3380</v>
      </c>
      <c r="Z5497" s="1128" t="s">
        <v>3381</v>
      </c>
      <c r="AA5497" s="1128" t="s">
        <v>3384</v>
      </c>
      <c r="AB5497" s="20"/>
      <c r="AC5497" s="73"/>
    </row>
    <row r="5498" spans="1:29">
      <c r="A5498" s="327" t="str">
        <f>IF(AND($B5498&lt;&gt;"",$C5498&lt;&gt;""),MAX($A$4730:$A5485)+1,"")</f>
        <v/>
      </c>
      <c r="B5498" s="361" t="s">
        <v>3320</v>
      </c>
      <c r="C5498" s="360"/>
      <c r="D5498" s="327">
        <f>IF($B5498="","",COUNTIF($B$4731:$B5498,$B5498))</f>
        <v>4</v>
      </c>
      <c r="E5498" s="361" t="s">
        <v>2338</v>
      </c>
      <c r="F5498" s="362" t="s">
        <v>2331</v>
      </c>
      <c r="G5498" s="327" t="s">
        <v>155</v>
      </c>
      <c r="H5498" s="361" t="s">
        <v>536</v>
      </c>
      <c r="I5498" s="327">
        <v>8</v>
      </c>
      <c r="J5498" s="361"/>
      <c r="K5498" s="327" t="s">
        <v>101</v>
      </c>
      <c r="L5498" s="389">
        <v>750</v>
      </c>
      <c r="M5498" s="355"/>
      <c r="N5498" s="355" t="s">
        <v>2408</v>
      </c>
      <c r="O5498" s="345"/>
      <c r="P5498" s="325"/>
      <c r="Q5498" s="327"/>
      <c r="R5498" s="351"/>
      <c r="S5498" s="351"/>
      <c r="T5498" s="351"/>
      <c r="U5498" s="329" t="str">
        <f>IF($N5498=$N$4,IFERROR(INDEX(DanhMuc!$E$154:$E$165,MATCH(MID($B5498,4,2),DanhMuc!$B$154:$B$165,0)),""),"")</f>
        <v/>
      </c>
      <c r="V5498" s="361"/>
      <c r="W5498" s="345"/>
      <c r="X5498" s="786"/>
      <c r="Y5498" s="1128" t="s">
        <v>3380</v>
      </c>
      <c r="Z5498" s="1128" t="s">
        <v>3381</v>
      </c>
      <c r="AA5498" s="1128" t="s">
        <v>3384</v>
      </c>
      <c r="AB5498" s="20"/>
      <c r="AC5498" s="73"/>
    </row>
    <row r="5499" spans="1:29">
      <c r="A5499" s="327" t="str">
        <f>IF(AND($B5499&lt;&gt;"",$C5499&lt;&gt;""),MAX($A$4730:$A5498)+1,"")</f>
        <v/>
      </c>
      <c r="B5499" s="361" t="s">
        <v>3320</v>
      </c>
      <c r="C5499" s="362"/>
      <c r="D5499" s="327">
        <f>IF($B5499="","",COUNTIF($B$4731:$B5499,$B5499))</f>
        <v>5</v>
      </c>
      <c r="E5499" s="361" t="s">
        <v>654</v>
      </c>
      <c r="F5499" s="362" t="s">
        <v>653</v>
      </c>
      <c r="G5499" s="327" t="s">
        <v>1836</v>
      </c>
      <c r="H5499" s="361" t="s">
        <v>536</v>
      </c>
      <c r="I5499" s="327">
        <f>I5495/45</f>
        <v>8.8888888888888892E-2</v>
      </c>
      <c r="J5499" s="477"/>
      <c r="K5499" s="327" t="s">
        <v>655</v>
      </c>
      <c r="L5499" s="478">
        <v>115000</v>
      </c>
      <c r="M5499" s="355"/>
      <c r="N5499" s="355" t="s">
        <v>2408</v>
      </c>
      <c r="O5499" s="345" t="s">
        <v>2779</v>
      </c>
      <c r="P5499" s="325"/>
      <c r="Q5499" s="327"/>
      <c r="R5499" s="351"/>
      <c r="S5499" s="351"/>
      <c r="T5499" s="351"/>
      <c r="U5499" s="329" t="str">
        <f>IF($N5499=$N$4,IFERROR(INDEX(DanhMuc!$E$154:$E$165,MATCH(MID($B5499,4,2),DanhMuc!$B$154:$B$165,0)),""),"")</f>
        <v/>
      </c>
      <c r="V5499" s="361"/>
      <c r="W5499" s="345"/>
      <c r="X5499" s="786"/>
      <c r="Y5499" s="1128" t="s">
        <v>3380</v>
      </c>
      <c r="Z5499" s="1128" t="s">
        <v>3381</v>
      </c>
      <c r="AA5499" s="1128" t="s">
        <v>3384</v>
      </c>
      <c r="AB5499" s="20"/>
      <c r="AC5499" s="73"/>
    </row>
    <row r="5500" spans="1:29">
      <c r="A5500" s="327" t="str">
        <f>IF(AND($B5500&lt;&gt;"",$C5500&lt;&gt;""),MAX($A$4730:$A5485)+1,"")</f>
        <v/>
      </c>
      <c r="B5500" s="361" t="s">
        <v>3320</v>
      </c>
      <c r="C5500" s="360"/>
      <c r="D5500" s="327">
        <f>IF($B5500="","",COUNTIF($B$4731:$B5500,$B5500))</f>
        <v>6</v>
      </c>
      <c r="E5500" s="361" t="s">
        <v>1826</v>
      </c>
      <c r="F5500" s="362" t="s">
        <v>670</v>
      </c>
      <c r="G5500" s="327" t="s">
        <v>661</v>
      </c>
      <c r="H5500" s="361" t="s">
        <v>536</v>
      </c>
      <c r="I5500" s="361" t="s">
        <v>2354</v>
      </c>
      <c r="J5500" s="361"/>
      <c r="K5500" s="327" t="s">
        <v>103</v>
      </c>
      <c r="L5500" s="478">
        <f>40000/1000</f>
        <v>40</v>
      </c>
      <c r="M5500" s="355"/>
      <c r="N5500" s="355" t="s">
        <v>2408</v>
      </c>
      <c r="O5500" s="345"/>
      <c r="P5500" s="325"/>
      <c r="Q5500" s="327"/>
      <c r="R5500" s="351"/>
      <c r="S5500" s="351"/>
      <c r="T5500" s="351"/>
      <c r="U5500" s="329" t="str">
        <f>IF($N5500=$N$4,IFERROR(INDEX(DanhMuc!$E$154:$E$165,MATCH(MID($B5500,4,2),DanhMuc!$B$154:$B$165,0)),""),"")</f>
        <v/>
      </c>
      <c r="V5500" s="361"/>
      <c r="W5500" s="345"/>
      <c r="X5500" s="786"/>
      <c r="Y5500" s="1128" t="s">
        <v>3380</v>
      </c>
      <c r="Z5500" s="1128" t="s">
        <v>3381</v>
      </c>
      <c r="AA5500" s="1128" t="s">
        <v>3384</v>
      </c>
      <c r="AB5500" s="20"/>
      <c r="AC5500" s="73"/>
    </row>
    <row r="5501" spans="1:29" ht="37.5">
      <c r="A5501" s="327" t="str">
        <f>IF(AND($B5501&lt;&gt;"",$C5501&lt;&gt;""),MAX($A$4730:$A5497)+1,"")</f>
        <v/>
      </c>
      <c r="B5501" s="361" t="s">
        <v>3320</v>
      </c>
      <c r="C5501" s="362"/>
      <c r="D5501" s="327">
        <f>IF($B5501="","",COUNTIF($B$4731:$B5501,$B5501))</f>
        <v>7</v>
      </c>
      <c r="E5501" s="362" t="s">
        <v>2756</v>
      </c>
      <c r="F5501" s="362" t="s">
        <v>2757</v>
      </c>
      <c r="G5501" s="327" t="s">
        <v>405</v>
      </c>
      <c r="H5501" s="361" t="s">
        <v>536</v>
      </c>
      <c r="I5501" s="361" t="s">
        <v>694</v>
      </c>
      <c r="J5501" s="361"/>
      <c r="K5501" s="327" t="s">
        <v>738</v>
      </c>
      <c r="L5501" s="479">
        <v>322</v>
      </c>
      <c r="M5501" s="371"/>
      <c r="N5501" s="355" t="s">
        <v>2408</v>
      </c>
      <c r="O5501" s="345"/>
      <c r="P5501" s="325"/>
      <c r="Q5501" s="327"/>
      <c r="R5501" s="351"/>
      <c r="S5501" s="351"/>
      <c r="T5501" s="351"/>
      <c r="U5501" s="329" t="str">
        <f>IF($N5501=$N$4,IFERROR(INDEX(DanhMuc!$E$154:$E$165,MATCH(MID($B5501,4,2),DanhMuc!$B$154:$B$165,0)),""),"")</f>
        <v/>
      </c>
      <c r="V5501" s="361"/>
      <c r="W5501" s="345"/>
      <c r="X5501" s="786"/>
      <c r="Y5501" s="1128" t="s">
        <v>3380</v>
      </c>
      <c r="Z5501" s="1128" t="s">
        <v>3381</v>
      </c>
      <c r="AA5501" s="1128" t="s">
        <v>3384</v>
      </c>
      <c r="AB5501" s="20"/>
      <c r="AC5501" s="73"/>
    </row>
    <row r="5502" spans="1:29">
      <c r="A5502" s="327" t="str">
        <f>IF(AND($B5502&lt;&gt;"",$C5502&lt;&gt;""),MAX($A$4730:$A5501)+1,"")</f>
        <v/>
      </c>
      <c r="B5502" s="361" t="s">
        <v>3320</v>
      </c>
      <c r="C5502" s="362"/>
      <c r="D5502" s="327">
        <f>IF($B5502="","",COUNTIF($B$4731:$B5502,$B5502))</f>
        <v>8</v>
      </c>
      <c r="E5502" s="361" t="s">
        <v>656</v>
      </c>
      <c r="F5502" s="362" t="s">
        <v>2239</v>
      </c>
      <c r="G5502" s="327" t="s">
        <v>405</v>
      </c>
      <c r="H5502" s="361" t="s">
        <v>536</v>
      </c>
      <c r="I5502" s="361" t="s">
        <v>1827</v>
      </c>
      <c r="J5502" s="361"/>
      <c r="K5502" s="327" t="s">
        <v>100</v>
      </c>
      <c r="L5502" s="478">
        <v>970</v>
      </c>
      <c r="M5502" s="371"/>
      <c r="N5502" s="355" t="s">
        <v>2409</v>
      </c>
      <c r="O5502" s="345"/>
      <c r="P5502" s="325"/>
      <c r="Q5502" s="327"/>
      <c r="R5502" s="351"/>
      <c r="S5502" s="351"/>
      <c r="T5502" s="351"/>
      <c r="U5502" s="329" t="str">
        <f>IF($N5502=$N$4,IFERROR(INDEX(DanhMuc!$E$154:$E$165,MATCH(MID($B5502,4,2),DanhMuc!$B$154:$B$165,0)),""),"")</f>
        <v/>
      </c>
      <c r="V5502" s="361"/>
      <c r="W5502" s="345"/>
      <c r="X5502" s="786"/>
      <c r="Y5502" s="1128" t="s">
        <v>3380</v>
      </c>
      <c r="Z5502" s="1128" t="s">
        <v>3381</v>
      </c>
      <c r="AA5502" s="1128" t="s">
        <v>3384</v>
      </c>
      <c r="AB5502" s="20"/>
      <c r="AC5502" s="73"/>
    </row>
    <row r="5503" spans="1:29">
      <c r="A5503" s="327" t="str">
        <f>IF(AND($B5503&lt;&gt;"",$C5503&lt;&gt;""),MAX($A$4730:$A5502)+1,"")</f>
        <v/>
      </c>
      <c r="B5503" s="361" t="s">
        <v>3320</v>
      </c>
      <c r="C5503" s="362"/>
      <c r="D5503" s="327">
        <f>IF($B5503="","",COUNTIF($B$4731:$B5503,$B5503))</f>
        <v>9</v>
      </c>
      <c r="E5503" s="361" t="s">
        <v>657</v>
      </c>
      <c r="F5503" s="362" t="s">
        <v>658</v>
      </c>
      <c r="G5503" s="327" t="s">
        <v>424</v>
      </c>
      <c r="H5503" s="361" t="s">
        <v>536</v>
      </c>
      <c r="I5503" s="361" t="s">
        <v>665</v>
      </c>
      <c r="J5503" s="361"/>
      <c r="K5503" s="327" t="s">
        <v>100</v>
      </c>
      <c r="L5503" s="478">
        <v>60000</v>
      </c>
      <c r="M5503" s="355"/>
      <c r="N5503" s="355" t="s">
        <v>2409</v>
      </c>
      <c r="O5503" s="345"/>
      <c r="P5503" s="325"/>
      <c r="Q5503" s="327"/>
      <c r="R5503" s="351"/>
      <c r="S5503" s="351"/>
      <c r="T5503" s="351"/>
      <c r="U5503" s="329" t="str">
        <f>IF($N5503=$N$4,IFERROR(INDEX(DanhMuc!$E$154:$E$165,MATCH(MID($B5503,4,2),DanhMuc!$B$154:$B$165,0)),""),"")</f>
        <v/>
      </c>
      <c r="V5503" s="361"/>
      <c r="W5503" s="345"/>
      <c r="X5503" s="786"/>
      <c r="Y5503" s="1128" t="s">
        <v>3380</v>
      </c>
      <c r="Z5503" s="1128" t="s">
        <v>3381</v>
      </c>
      <c r="AA5503" s="1128" t="s">
        <v>3384</v>
      </c>
      <c r="AB5503" s="20"/>
      <c r="AC5503" s="73"/>
    </row>
    <row r="5504" spans="1:29">
      <c r="A5504" s="327" t="str">
        <f>IF(AND($B5504&lt;&gt;"",$C5504&lt;&gt;""),MAX($A$4730:$A5503)+1,"")</f>
        <v/>
      </c>
      <c r="B5504" s="361" t="s">
        <v>3320</v>
      </c>
      <c r="C5504" s="362"/>
      <c r="D5504" s="327">
        <f>IF($B5504="","",COUNTIF($B$4731:$B5504,$B5504))</f>
        <v>10</v>
      </c>
      <c r="E5504" s="361" t="s">
        <v>2771</v>
      </c>
      <c r="F5504" s="362" t="s">
        <v>659</v>
      </c>
      <c r="G5504" s="327" t="s">
        <v>424</v>
      </c>
      <c r="H5504" s="361" t="s">
        <v>536</v>
      </c>
      <c r="I5504" s="361" t="s">
        <v>666</v>
      </c>
      <c r="J5504" s="361"/>
      <c r="K5504" s="327" t="s">
        <v>100</v>
      </c>
      <c r="L5504" s="389">
        <v>53000</v>
      </c>
      <c r="M5504" s="355"/>
      <c r="N5504" s="355" t="s">
        <v>2409</v>
      </c>
      <c r="O5504" s="345"/>
      <c r="P5504" s="325"/>
      <c r="Q5504" s="327"/>
      <c r="R5504" s="351"/>
      <c r="S5504" s="351"/>
      <c r="T5504" s="351"/>
      <c r="U5504" s="329" t="str">
        <f>IF($N5504=$N$4,IFERROR(INDEX(DanhMuc!$E$154:$E$165,MATCH(MID($B5504,4,2),DanhMuc!$B$154:$B$165,0)),""),"")</f>
        <v/>
      </c>
      <c r="V5504" s="361"/>
      <c r="W5504" s="345"/>
      <c r="X5504" s="786"/>
      <c r="Y5504" s="1128" t="s">
        <v>3380</v>
      </c>
      <c r="Z5504" s="1128" t="s">
        <v>3381</v>
      </c>
      <c r="AA5504" s="1128" t="s">
        <v>3384</v>
      </c>
      <c r="AB5504" s="20"/>
      <c r="AC5504" s="73"/>
    </row>
    <row r="5505" spans="1:29">
      <c r="A5505" s="327" t="str">
        <f>IF(AND($B5505&lt;&gt;"",$C5505&lt;&gt;""),MAX($A$4730:$A5504)+1,"")</f>
        <v/>
      </c>
      <c r="B5505" s="361" t="s">
        <v>3320</v>
      </c>
      <c r="C5505" s="362"/>
      <c r="D5505" s="327">
        <f>IF($B5505="","",COUNTIF($B$4731:$B5505,$B5505))</f>
        <v>11</v>
      </c>
      <c r="E5505" s="361" t="s">
        <v>1828</v>
      </c>
      <c r="F5505" s="362" t="s">
        <v>671</v>
      </c>
      <c r="G5505" s="327" t="s">
        <v>661</v>
      </c>
      <c r="H5505" s="361" t="s">
        <v>536</v>
      </c>
      <c r="I5505" s="361" t="s">
        <v>2355</v>
      </c>
      <c r="J5505" s="361"/>
      <c r="K5505" s="327" t="s">
        <v>100</v>
      </c>
      <c r="L5505" s="478">
        <f>40000/1000</f>
        <v>40</v>
      </c>
      <c r="M5505" s="355"/>
      <c r="N5505" s="355" t="s">
        <v>2409</v>
      </c>
      <c r="O5505" s="345"/>
      <c r="P5505" s="325"/>
      <c r="Q5505" s="327"/>
      <c r="R5505" s="351"/>
      <c r="S5505" s="351"/>
      <c r="T5505" s="351"/>
      <c r="U5505" s="329" t="str">
        <f>IF($N5505=$N$4,IFERROR(INDEX(DanhMuc!$E$154:$E$165,MATCH(MID($B5505,4,2),DanhMuc!$B$154:$B$165,0)),""),"")</f>
        <v/>
      </c>
      <c r="V5505" s="361"/>
      <c r="W5505" s="345"/>
      <c r="X5505" s="786"/>
      <c r="Y5505" s="1128" t="s">
        <v>3380</v>
      </c>
      <c r="Z5505" s="1128" t="s">
        <v>3381</v>
      </c>
      <c r="AA5505" s="1128" t="s">
        <v>3384</v>
      </c>
      <c r="AB5505" s="20"/>
      <c r="AC5505" s="73"/>
    </row>
    <row r="5506" spans="1:29">
      <c r="A5506" s="327" t="str">
        <f>IF(AND($B5506&lt;&gt;"",$C5506&lt;&gt;""),MAX($A$4730:$A5505)+1,"")</f>
        <v/>
      </c>
      <c r="B5506" s="361" t="s">
        <v>3320</v>
      </c>
      <c r="C5506" s="362"/>
      <c r="D5506" s="327">
        <f>IF($B5506="","",COUNTIF($B$4731:$B5506,$B5506))</f>
        <v>12</v>
      </c>
      <c r="E5506" s="361" t="s">
        <v>154</v>
      </c>
      <c r="F5506" s="362" t="s">
        <v>660</v>
      </c>
      <c r="G5506" s="327" t="s">
        <v>661</v>
      </c>
      <c r="H5506" s="361" t="s">
        <v>536</v>
      </c>
      <c r="I5506" s="361" t="s">
        <v>667</v>
      </c>
      <c r="J5506" s="361"/>
      <c r="K5506" s="327" t="s">
        <v>662</v>
      </c>
      <c r="L5506" s="478">
        <v>20</v>
      </c>
      <c r="M5506" s="355"/>
      <c r="N5506" s="355" t="s">
        <v>2409</v>
      </c>
      <c r="O5506" s="345"/>
      <c r="P5506" s="325"/>
      <c r="Q5506" s="327"/>
      <c r="R5506" s="351"/>
      <c r="S5506" s="351"/>
      <c r="T5506" s="351"/>
      <c r="U5506" s="329" t="str">
        <f>IF($N5506=$N$4,IFERROR(INDEX(DanhMuc!$E$154:$E$165,MATCH(MID($B5506,4,2),DanhMuc!$B$154:$B$165,0)),""),"")</f>
        <v/>
      </c>
      <c r="V5506" s="361"/>
      <c r="W5506" s="345"/>
      <c r="X5506" s="786"/>
      <c r="Y5506" s="1128" t="s">
        <v>3380</v>
      </c>
      <c r="Z5506" s="1128" t="s">
        <v>3381</v>
      </c>
      <c r="AA5506" s="1128" t="s">
        <v>3384</v>
      </c>
      <c r="AB5506" s="20"/>
      <c r="AC5506" s="73"/>
    </row>
    <row r="5507" spans="1:29">
      <c r="A5507" s="327" t="str">
        <f>IF(AND($B5507&lt;&gt;"",$C5507&lt;&gt;""),MAX($A$4730:$A5506)+1,"")</f>
        <v/>
      </c>
      <c r="B5507" s="361" t="s">
        <v>3320</v>
      </c>
      <c r="C5507" s="362"/>
      <c r="D5507" s="327">
        <f>IF($B5507="","",COUNTIF($B$4731:$B5507,$B5507))</f>
        <v>13</v>
      </c>
      <c r="E5507" s="362" t="s">
        <v>2282</v>
      </c>
      <c r="F5507" s="362" t="s">
        <v>2283</v>
      </c>
      <c r="G5507" s="327" t="s">
        <v>424</v>
      </c>
      <c r="H5507" s="361" t="s">
        <v>536</v>
      </c>
      <c r="I5507" s="361" t="s">
        <v>2238</v>
      </c>
      <c r="J5507" s="361"/>
      <c r="K5507" s="327" t="s">
        <v>662</v>
      </c>
      <c r="L5507" s="478">
        <v>28000</v>
      </c>
      <c r="M5507" s="355"/>
      <c r="N5507" s="355" t="s">
        <v>2409</v>
      </c>
      <c r="O5507" s="345"/>
      <c r="P5507" s="325"/>
      <c r="Q5507" s="327"/>
      <c r="R5507" s="351"/>
      <c r="S5507" s="351"/>
      <c r="T5507" s="351"/>
      <c r="U5507" s="329" t="str">
        <f>IF($N5507=$N$4,IFERROR(INDEX(DanhMuc!$E$154:$E$165,MATCH(MID($B5507,4,2),DanhMuc!$B$154:$B$165,0)),""),"")</f>
        <v/>
      </c>
      <c r="V5507" s="361"/>
      <c r="W5507" s="345"/>
      <c r="X5507" s="786"/>
      <c r="Y5507" s="1128" t="s">
        <v>3380</v>
      </c>
      <c r="Z5507" s="1128" t="s">
        <v>3381</v>
      </c>
      <c r="AA5507" s="1128" t="s">
        <v>3384</v>
      </c>
      <c r="AB5507" s="20"/>
      <c r="AC5507" s="73"/>
    </row>
    <row r="5508" spans="1:29">
      <c r="A5508" s="327" t="str">
        <f>IF(AND($B5508&lt;&gt;"",$C5508&lt;&gt;""),MAX($A$4730:$A5507)+1,"")</f>
        <v/>
      </c>
      <c r="B5508" s="361" t="s">
        <v>3320</v>
      </c>
      <c r="C5508" s="362"/>
      <c r="D5508" s="327">
        <f>IF($B5508="","",COUNTIF($B$4731:$B5508,$B5508))</f>
        <v>14</v>
      </c>
      <c r="E5508" s="362" t="s">
        <v>663</v>
      </c>
      <c r="F5508" s="362" t="s">
        <v>664</v>
      </c>
      <c r="G5508" s="327" t="s">
        <v>155</v>
      </c>
      <c r="H5508" s="361" t="s">
        <v>536</v>
      </c>
      <c r="I5508" s="361" t="s">
        <v>672</v>
      </c>
      <c r="J5508" s="361"/>
      <c r="K5508" s="327" t="s">
        <v>662</v>
      </c>
      <c r="L5508" s="478">
        <v>1000</v>
      </c>
      <c r="M5508" s="355"/>
      <c r="N5508" s="355" t="s">
        <v>2409</v>
      </c>
      <c r="O5508" s="345"/>
      <c r="P5508" s="325"/>
      <c r="Q5508" s="327"/>
      <c r="R5508" s="351"/>
      <c r="S5508" s="351"/>
      <c r="T5508" s="351"/>
      <c r="U5508" s="329" t="str">
        <f>IF($N5508=$N$4,IFERROR(INDEX(DanhMuc!$E$154:$E$165,MATCH(MID($B5508,4,2),DanhMuc!$B$154:$B$165,0)),""),"")</f>
        <v/>
      </c>
      <c r="V5508" s="361"/>
      <c r="W5508" s="345"/>
      <c r="X5508" s="786"/>
      <c r="Y5508" s="1128" t="s">
        <v>3380</v>
      </c>
      <c r="Z5508" s="1128" t="s">
        <v>3381</v>
      </c>
      <c r="AA5508" s="1128" t="s">
        <v>3384</v>
      </c>
      <c r="AB5508" s="20"/>
      <c r="AC5508" s="73"/>
    </row>
    <row r="5509" spans="1:29" ht="52">
      <c r="A5509" s="327">
        <f>IF(AND($B5509&lt;&gt;"",$C5509&lt;&gt;""),MAX($A$4730:$A5471)+1,"")</f>
        <v>28</v>
      </c>
      <c r="B5509" s="359" t="s">
        <v>3201</v>
      </c>
      <c r="C5509" s="360" t="s">
        <v>3183</v>
      </c>
      <c r="D5509" s="327">
        <f>IF($B5509="","",COUNTIF($B$4731:$B5509,$B5509))</f>
        <v>1</v>
      </c>
      <c r="E5509" s="480" t="s">
        <v>2858</v>
      </c>
      <c r="F5509" s="403" t="s">
        <v>2859</v>
      </c>
      <c r="G5509" s="327" t="s">
        <v>155</v>
      </c>
      <c r="H5509" s="361" t="s">
        <v>536</v>
      </c>
      <c r="I5509" s="327">
        <v>4</v>
      </c>
      <c r="J5509" s="361"/>
      <c r="K5509" s="327" t="s">
        <v>100</v>
      </c>
      <c r="L5509" s="389">
        <v>7100</v>
      </c>
      <c r="M5509" s="355"/>
      <c r="N5509" s="355" t="s">
        <v>2408</v>
      </c>
      <c r="O5509" s="345" t="s">
        <v>2777</v>
      </c>
      <c r="P5509" s="325"/>
      <c r="Q5509" s="327"/>
      <c r="R5509" s="351"/>
      <c r="S5509" s="351"/>
      <c r="T5509" s="351"/>
      <c r="U5509" s="329" t="str">
        <f>IF($N5509=$N$4,IFERROR(INDEX(DanhMuc!$E$154:$E$165,MATCH(MID($B5509,4,2),DanhMuc!$B$154:$B$165,0)),""),"")</f>
        <v/>
      </c>
      <c r="V5509" s="361"/>
      <c r="W5509" s="345"/>
      <c r="X5509" s="786"/>
      <c r="Y5509" s="1128" t="s">
        <v>3380</v>
      </c>
      <c r="Z5509" s="1128" t="s">
        <v>3381</v>
      </c>
      <c r="AA5509" s="1128" t="s">
        <v>3384</v>
      </c>
      <c r="AB5509" s="20"/>
      <c r="AC5509" s="73"/>
    </row>
    <row r="5510" spans="1:29" ht="25">
      <c r="A5510" s="327" t="str">
        <f>IF(AND($B5510&lt;&gt;"",$C5510&lt;&gt;""),MAX($A$4730:$A5472)+1,"")</f>
        <v/>
      </c>
      <c r="B5510" s="361" t="s">
        <v>3201</v>
      </c>
      <c r="C5510" s="360"/>
      <c r="D5510" s="327">
        <f>IF($B5510="","",COUNTIF($B$4731:$B5510,$B5510))</f>
        <v>2</v>
      </c>
      <c r="E5510" s="480" t="s">
        <v>2304</v>
      </c>
      <c r="F5510" s="403" t="s">
        <v>2335</v>
      </c>
      <c r="G5510" s="327" t="s">
        <v>155</v>
      </c>
      <c r="H5510" s="361" t="s">
        <v>536</v>
      </c>
      <c r="I5510" s="327">
        <v>4</v>
      </c>
      <c r="J5510" s="361"/>
      <c r="K5510" s="327" t="s">
        <v>100</v>
      </c>
      <c r="L5510" s="389">
        <v>7100</v>
      </c>
      <c r="M5510" s="355"/>
      <c r="N5510" s="355" t="s">
        <v>2408</v>
      </c>
      <c r="O5510" s="345" t="s">
        <v>2776</v>
      </c>
      <c r="P5510" s="325"/>
      <c r="Q5510" s="327"/>
      <c r="R5510" s="351"/>
      <c r="S5510" s="351"/>
      <c r="T5510" s="351"/>
      <c r="U5510" s="329" t="str">
        <f>IF($N5510=$N$4,IFERROR(INDEX(DanhMuc!$E$154:$E$165,MATCH(MID($B5510,4,2),DanhMuc!$B$154:$B$165,0)),""),"")</f>
        <v/>
      </c>
      <c r="V5510" s="361"/>
      <c r="W5510" s="345"/>
      <c r="X5510" s="786"/>
      <c r="Y5510" s="1128" t="s">
        <v>3380</v>
      </c>
      <c r="Z5510" s="1128" t="s">
        <v>3381</v>
      </c>
      <c r="AA5510" s="1128" t="s">
        <v>3384</v>
      </c>
      <c r="AB5510" s="20"/>
      <c r="AC5510" s="73"/>
    </row>
    <row r="5511" spans="1:29">
      <c r="A5511" s="327" t="str">
        <f>IF(AND($B5511&lt;&gt;"",$C5511&lt;&gt;""),MAX($A$4730:$A5510)+1,"")</f>
        <v/>
      </c>
      <c r="B5511" s="361" t="s">
        <v>3201</v>
      </c>
      <c r="C5511" s="360"/>
      <c r="D5511" s="327">
        <f>IF($B5511="","",COUNTIF($B$4731:$B5511,$B5511))</f>
        <v>3</v>
      </c>
      <c r="E5511" s="402" t="s">
        <v>2788</v>
      </c>
      <c r="F5511" s="403" t="s">
        <v>2789</v>
      </c>
      <c r="G5511" s="327" t="s">
        <v>155</v>
      </c>
      <c r="H5511" s="361" t="s">
        <v>536</v>
      </c>
      <c r="I5511" s="327">
        <f>4*I5510</f>
        <v>16</v>
      </c>
      <c r="J5511" s="361"/>
      <c r="K5511" s="327" t="s">
        <v>100</v>
      </c>
      <c r="L5511" s="389">
        <v>600</v>
      </c>
      <c r="M5511" s="355"/>
      <c r="N5511" s="355" t="s">
        <v>2408</v>
      </c>
      <c r="O5511" s="345" t="s">
        <v>2776</v>
      </c>
      <c r="P5511" s="325"/>
      <c r="Q5511" s="327"/>
      <c r="R5511" s="351"/>
      <c r="S5511" s="351"/>
      <c r="T5511" s="351"/>
      <c r="U5511" s="329" t="str">
        <f>IF($N5511=$N$4,IFERROR(INDEX(DanhMuc!$E$154:$E$165,MATCH(MID($B5511,4,2),DanhMuc!$B$154:$B$165,0)),""),"")</f>
        <v/>
      </c>
      <c r="V5511" s="361"/>
      <c r="W5511" s="345"/>
      <c r="X5511" s="786"/>
      <c r="Y5511" s="1128" t="s">
        <v>3380</v>
      </c>
      <c r="Z5511" s="1128" t="s">
        <v>3381</v>
      </c>
      <c r="AA5511" s="1128" t="s">
        <v>3384</v>
      </c>
      <c r="AB5511" s="20"/>
      <c r="AC5511" s="73"/>
    </row>
    <row r="5512" spans="1:29">
      <c r="A5512" s="327" t="str">
        <f>IF(AND($B5512&lt;&gt;"",$C5512&lt;&gt;""),MAX($A$4730:$A5472)+1,"")</f>
        <v/>
      </c>
      <c r="B5512" s="361" t="s">
        <v>3201</v>
      </c>
      <c r="C5512" s="360"/>
      <c r="D5512" s="327">
        <f>IF($B5512="","",COUNTIF($B$4731:$B5512,$B5512))</f>
        <v>4</v>
      </c>
      <c r="E5512" s="480" t="s">
        <v>2860</v>
      </c>
      <c r="F5512" s="403" t="s">
        <v>2861</v>
      </c>
      <c r="G5512" s="327" t="s">
        <v>155</v>
      </c>
      <c r="H5512" s="361" t="s">
        <v>536</v>
      </c>
      <c r="I5512" s="327">
        <v>12</v>
      </c>
      <c r="J5512" s="361"/>
      <c r="K5512" s="327" t="s">
        <v>101</v>
      </c>
      <c r="L5512" s="389">
        <v>5100</v>
      </c>
      <c r="M5512" s="355"/>
      <c r="N5512" s="355" t="s">
        <v>2408</v>
      </c>
      <c r="O5512" s="345" t="s">
        <v>2779</v>
      </c>
      <c r="P5512" s="325"/>
      <c r="Q5512" s="327"/>
      <c r="R5512" s="351"/>
      <c r="S5512" s="351"/>
      <c r="T5512" s="351"/>
      <c r="U5512" s="329" t="str">
        <f>IF($N5512=$N$4,IFERROR(INDEX(DanhMuc!$E$154:$E$165,MATCH(MID($B5512,4,2),DanhMuc!$B$154:$B$165,0)),""),"")</f>
        <v/>
      </c>
      <c r="V5512" s="361"/>
      <c r="W5512" s="345"/>
      <c r="X5512" s="786"/>
      <c r="Y5512" s="1128" t="s">
        <v>3380</v>
      </c>
      <c r="Z5512" s="1128" t="s">
        <v>3381</v>
      </c>
      <c r="AA5512" s="1128" t="s">
        <v>3384</v>
      </c>
      <c r="AB5512" s="20"/>
      <c r="AC5512" s="73"/>
    </row>
    <row r="5513" spans="1:29">
      <c r="A5513" s="327" t="str">
        <f>IF(AND($B5513&lt;&gt;"",$C5513&lt;&gt;""),MAX($A$4730:$A5473)+1,"")</f>
        <v/>
      </c>
      <c r="B5513" s="361" t="s">
        <v>3201</v>
      </c>
      <c r="C5513" s="360"/>
      <c r="D5513" s="327">
        <f>IF($B5513="","",COUNTIF($B$4731:$B5513,$B5513))</f>
        <v>5</v>
      </c>
      <c r="E5513" s="480" t="s">
        <v>2305</v>
      </c>
      <c r="F5513" s="403" t="s">
        <v>2862</v>
      </c>
      <c r="G5513" s="327" t="s">
        <v>155</v>
      </c>
      <c r="H5513" s="361" t="s">
        <v>536</v>
      </c>
      <c r="I5513" s="327">
        <v>12</v>
      </c>
      <c r="J5513" s="361"/>
      <c r="K5513" s="327" t="s">
        <v>101</v>
      </c>
      <c r="L5513" s="389">
        <v>5100</v>
      </c>
      <c r="M5513" s="355"/>
      <c r="N5513" s="355" t="s">
        <v>2408</v>
      </c>
      <c r="O5513" s="345" t="s">
        <v>2778</v>
      </c>
      <c r="P5513" s="325"/>
      <c r="Q5513" s="327"/>
      <c r="R5513" s="351"/>
      <c r="S5513" s="351"/>
      <c r="T5513" s="351"/>
      <c r="U5513" s="329" t="str">
        <f>IF($N5513=$N$4,IFERROR(INDEX(DanhMuc!$E$154:$E$165,MATCH(MID($B5513,4,2),DanhMuc!$B$154:$B$165,0)),""),"")</f>
        <v/>
      </c>
      <c r="V5513" s="361"/>
      <c r="W5513" s="345"/>
      <c r="X5513" s="786"/>
      <c r="Y5513" s="1128" t="s">
        <v>3380</v>
      </c>
      <c r="Z5513" s="1128" t="s">
        <v>3381</v>
      </c>
      <c r="AA5513" s="1128" t="s">
        <v>3384</v>
      </c>
      <c r="AB5513" s="20"/>
      <c r="AC5513" s="73"/>
    </row>
    <row r="5514" spans="1:29">
      <c r="A5514" s="327" t="str">
        <f>IF(AND($B5514&lt;&gt;"",$C5514&lt;&gt;""),MAX($A$4730:$A5512)+1,"")</f>
        <v/>
      </c>
      <c r="B5514" s="361" t="s">
        <v>3201</v>
      </c>
      <c r="C5514" s="360"/>
      <c r="D5514" s="327">
        <f>IF($B5514="","",COUNTIF($B$4731:$B5514,$B5514))</f>
        <v>6</v>
      </c>
      <c r="E5514" s="402" t="s">
        <v>2788</v>
      </c>
      <c r="F5514" s="403" t="s">
        <v>2789</v>
      </c>
      <c r="G5514" s="327" t="s">
        <v>155</v>
      </c>
      <c r="H5514" s="361" t="s">
        <v>536</v>
      </c>
      <c r="I5514" s="327">
        <f>4*I5513</f>
        <v>48</v>
      </c>
      <c r="J5514" s="361"/>
      <c r="K5514" s="327" t="s">
        <v>101</v>
      </c>
      <c r="L5514" s="389">
        <v>600</v>
      </c>
      <c r="M5514" s="355"/>
      <c r="N5514" s="355" t="s">
        <v>2408</v>
      </c>
      <c r="O5514" s="345" t="s">
        <v>2778</v>
      </c>
      <c r="P5514" s="325"/>
      <c r="Q5514" s="327"/>
      <c r="R5514" s="351"/>
      <c r="S5514" s="351"/>
      <c r="T5514" s="351"/>
      <c r="U5514" s="329" t="str">
        <f>IF($N5514=$N$4,IFERROR(INDEX(DanhMuc!$E$154:$E$165,MATCH(MID($B5514,4,2),DanhMuc!$B$154:$B$165,0)),""),"")</f>
        <v/>
      </c>
      <c r="V5514" s="361"/>
      <c r="W5514" s="345"/>
      <c r="X5514" s="786"/>
      <c r="Y5514" s="1128" t="s">
        <v>3380</v>
      </c>
      <c r="Z5514" s="1128" t="s">
        <v>3381</v>
      </c>
      <c r="AA5514" s="1128" t="s">
        <v>3384</v>
      </c>
      <c r="AB5514" s="20"/>
      <c r="AC5514" s="73"/>
    </row>
    <row r="5515" spans="1:29">
      <c r="A5515" s="327" t="str">
        <f>IF(AND($B5515&lt;&gt;"",$C5515&lt;&gt;""),MAX($A$4730:$A5471)+1,"")</f>
        <v/>
      </c>
      <c r="B5515" s="361" t="s">
        <v>3201</v>
      </c>
      <c r="C5515" s="360"/>
      <c r="D5515" s="327">
        <f>IF($B5515="","",COUNTIF($B$4731:$B5515,$B5515))</f>
        <v>7</v>
      </c>
      <c r="E5515" s="361" t="s">
        <v>2338</v>
      </c>
      <c r="F5515" s="362" t="s">
        <v>2331</v>
      </c>
      <c r="G5515" s="327" t="s">
        <v>155</v>
      </c>
      <c r="H5515" s="361" t="s">
        <v>536</v>
      </c>
      <c r="I5515" s="327">
        <v>24</v>
      </c>
      <c r="J5515" s="361"/>
      <c r="K5515" s="327" t="s">
        <v>101</v>
      </c>
      <c r="L5515" s="389">
        <v>750</v>
      </c>
      <c r="M5515" s="355"/>
      <c r="N5515" s="355" t="s">
        <v>2408</v>
      </c>
      <c r="O5515" s="345"/>
      <c r="P5515" s="325"/>
      <c r="Q5515" s="327"/>
      <c r="R5515" s="351"/>
      <c r="S5515" s="351"/>
      <c r="T5515" s="351"/>
      <c r="U5515" s="329" t="str">
        <f>IF($N5515=$N$4,IFERROR(INDEX(DanhMuc!$E$154:$E$165,MATCH(MID($B5515,4,2),DanhMuc!$B$154:$B$165,0)),""),"")</f>
        <v/>
      </c>
      <c r="V5515" s="361"/>
      <c r="W5515" s="345"/>
      <c r="X5515" s="786"/>
      <c r="Y5515" s="1128" t="s">
        <v>3380</v>
      </c>
      <c r="Z5515" s="1128" t="s">
        <v>3381</v>
      </c>
      <c r="AA5515" s="1128" t="s">
        <v>3384</v>
      </c>
      <c r="AB5515" s="20"/>
      <c r="AC5515" s="73"/>
    </row>
    <row r="5516" spans="1:29">
      <c r="A5516" s="327" t="str">
        <f>IF(AND($B5516&lt;&gt;"",$C5516&lt;&gt;""),MAX($A$4730:$A5515)+1,"")</f>
        <v/>
      </c>
      <c r="B5516" s="361" t="s">
        <v>3201</v>
      </c>
      <c r="C5516" s="362"/>
      <c r="D5516" s="327">
        <f>IF($B5516="","",COUNTIF($B$4731:$B5516,$B5516))</f>
        <v>8</v>
      </c>
      <c r="E5516" s="361" t="s">
        <v>654</v>
      </c>
      <c r="F5516" s="362" t="s">
        <v>653</v>
      </c>
      <c r="G5516" s="327" t="s">
        <v>1836</v>
      </c>
      <c r="H5516" s="361" t="s">
        <v>536</v>
      </c>
      <c r="I5516" s="327">
        <f>I5509/45</f>
        <v>8.8888888888888892E-2</v>
      </c>
      <c r="J5516" s="477"/>
      <c r="K5516" s="327" t="s">
        <v>655</v>
      </c>
      <c r="L5516" s="478">
        <v>115000</v>
      </c>
      <c r="M5516" s="355"/>
      <c r="N5516" s="355" t="s">
        <v>2408</v>
      </c>
      <c r="O5516" s="345" t="s">
        <v>2777</v>
      </c>
      <c r="P5516" s="325"/>
      <c r="Q5516" s="327"/>
      <c r="R5516" s="351"/>
      <c r="S5516" s="351"/>
      <c r="T5516" s="351"/>
      <c r="U5516" s="329" t="str">
        <f>IF($N5516=$N$4,IFERROR(INDEX(DanhMuc!$E$154:$E$165,MATCH(MID($B5516,4,2),DanhMuc!$B$154:$B$165,0)),""),"")</f>
        <v/>
      </c>
      <c r="V5516" s="361"/>
      <c r="W5516" s="345"/>
      <c r="X5516" s="786"/>
      <c r="Y5516" s="1128" t="s">
        <v>3380</v>
      </c>
      <c r="Z5516" s="1128" t="s">
        <v>3381</v>
      </c>
      <c r="AA5516" s="1128" t="s">
        <v>3384</v>
      </c>
      <c r="AB5516" s="20"/>
      <c r="AC5516" s="73"/>
    </row>
    <row r="5517" spans="1:29">
      <c r="A5517" s="327" t="str">
        <f>IF(AND($B5517&lt;&gt;"",$C5517&lt;&gt;""),MAX($A$4730:$A5516)+1,"")</f>
        <v/>
      </c>
      <c r="B5517" s="361" t="s">
        <v>3201</v>
      </c>
      <c r="C5517" s="362"/>
      <c r="D5517" s="327">
        <f>IF($B5517="","",COUNTIF($B$4731:$B5517,$B5517))</f>
        <v>9</v>
      </c>
      <c r="E5517" s="361" t="s">
        <v>654</v>
      </c>
      <c r="F5517" s="362" t="s">
        <v>653</v>
      </c>
      <c r="G5517" s="327" t="s">
        <v>1836</v>
      </c>
      <c r="H5517" s="361" t="s">
        <v>536</v>
      </c>
      <c r="I5517" s="327">
        <f>I5512/45</f>
        <v>0.26666666666666666</v>
      </c>
      <c r="J5517" s="477"/>
      <c r="K5517" s="327" t="s">
        <v>655</v>
      </c>
      <c r="L5517" s="478">
        <v>115000</v>
      </c>
      <c r="M5517" s="355"/>
      <c r="N5517" s="355" t="s">
        <v>2408</v>
      </c>
      <c r="O5517" s="345" t="s">
        <v>2779</v>
      </c>
      <c r="P5517" s="325"/>
      <c r="Q5517" s="327"/>
      <c r="R5517" s="351"/>
      <c r="S5517" s="351"/>
      <c r="T5517" s="351"/>
      <c r="U5517" s="329" t="str">
        <f>IF($N5517=$N$4,IFERROR(INDEX(DanhMuc!$E$154:$E$165,MATCH(MID($B5517,4,2),DanhMuc!$B$154:$B$165,0)),""),"")</f>
        <v/>
      </c>
      <c r="V5517" s="361"/>
      <c r="W5517" s="345"/>
      <c r="X5517" s="786"/>
      <c r="Y5517" s="1128" t="s">
        <v>3380</v>
      </c>
      <c r="Z5517" s="1128" t="s">
        <v>3381</v>
      </c>
      <c r="AA5517" s="1128" t="s">
        <v>3384</v>
      </c>
      <c r="AB5517" s="20"/>
      <c r="AC5517" s="73"/>
    </row>
    <row r="5518" spans="1:29">
      <c r="A5518" s="327" t="str">
        <f>IF(AND($B5518&lt;&gt;"",$C5518&lt;&gt;""),MAX($A$4730:$A5471)+1,"")</f>
        <v/>
      </c>
      <c r="B5518" s="361" t="s">
        <v>3201</v>
      </c>
      <c r="C5518" s="360"/>
      <c r="D5518" s="327">
        <f>IF($B5518="","",COUNTIF($B$4731:$B5518,$B5518))</f>
        <v>10</v>
      </c>
      <c r="E5518" s="361" t="s">
        <v>1826</v>
      </c>
      <c r="F5518" s="362" t="s">
        <v>670</v>
      </c>
      <c r="G5518" s="327" t="s">
        <v>661</v>
      </c>
      <c r="H5518" s="361" t="s">
        <v>536</v>
      </c>
      <c r="I5518" s="361" t="s">
        <v>2354</v>
      </c>
      <c r="J5518" s="361"/>
      <c r="K5518" s="327" t="s">
        <v>103</v>
      </c>
      <c r="L5518" s="478">
        <f>40000/1000</f>
        <v>40</v>
      </c>
      <c r="M5518" s="355"/>
      <c r="N5518" s="355" t="s">
        <v>2408</v>
      </c>
      <c r="O5518" s="345"/>
      <c r="P5518" s="325"/>
      <c r="Q5518" s="327"/>
      <c r="R5518" s="351"/>
      <c r="S5518" s="351"/>
      <c r="T5518" s="351"/>
      <c r="U5518" s="329" t="str">
        <f>IF($N5518=$N$4,IFERROR(INDEX(DanhMuc!$E$154:$E$165,MATCH(MID($B5518,4,2),DanhMuc!$B$154:$B$165,0)),""),"")</f>
        <v/>
      </c>
      <c r="V5518" s="361"/>
      <c r="W5518" s="345"/>
      <c r="X5518" s="786"/>
      <c r="Y5518" s="1128" t="s">
        <v>3380</v>
      </c>
      <c r="Z5518" s="1128" t="s">
        <v>3381</v>
      </c>
      <c r="AA5518" s="1128" t="s">
        <v>3384</v>
      </c>
      <c r="AB5518" s="20"/>
      <c r="AC5518" s="73"/>
    </row>
    <row r="5519" spans="1:29" ht="37.5">
      <c r="A5519" s="327" t="str">
        <f>IF(AND($B5519&lt;&gt;"",$C5519&lt;&gt;""),MAX($A$4730:$A5514)+1,"")</f>
        <v/>
      </c>
      <c r="B5519" s="361" t="s">
        <v>3201</v>
      </c>
      <c r="C5519" s="362"/>
      <c r="D5519" s="327">
        <f>IF($B5519="","",COUNTIF($B$4731:$B5519,$B5519))</f>
        <v>11</v>
      </c>
      <c r="E5519" s="362" t="s">
        <v>2756</v>
      </c>
      <c r="F5519" s="362" t="s">
        <v>2757</v>
      </c>
      <c r="G5519" s="327" t="s">
        <v>405</v>
      </c>
      <c r="H5519" s="361" t="s">
        <v>536</v>
      </c>
      <c r="I5519" s="361" t="s">
        <v>694</v>
      </c>
      <c r="J5519" s="361"/>
      <c r="K5519" s="327" t="s">
        <v>738</v>
      </c>
      <c r="L5519" s="479">
        <v>322</v>
      </c>
      <c r="M5519" s="371"/>
      <c r="N5519" s="355" t="s">
        <v>2408</v>
      </c>
      <c r="O5519" s="345"/>
      <c r="P5519" s="325"/>
      <c r="Q5519" s="327"/>
      <c r="R5519" s="351"/>
      <c r="S5519" s="351"/>
      <c r="T5519" s="351"/>
      <c r="U5519" s="329" t="str">
        <f>IF($N5519=$N$4,IFERROR(INDEX(DanhMuc!$E$154:$E$165,MATCH(MID($B5519,4,2),DanhMuc!$B$154:$B$165,0)),""),"")</f>
        <v/>
      </c>
      <c r="V5519" s="361"/>
      <c r="W5519" s="345"/>
      <c r="X5519" s="786"/>
      <c r="Y5519" s="1128" t="s">
        <v>3380</v>
      </c>
      <c r="Z5519" s="1128" t="s">
        <v>3381</v>
      </c>
      <c r="AA5519" s="1128" t="s">
        <v>3384</v>
      </c>
      <c r="AB5519" s="20"/>
      <c r="AC5519" s="73"/>
    </row>
    <row r="5520" spans="1:29">
      <c r="A5520" s="327" t="str">
        <f>IF(AND($B5520&lt;&gt;"",$C5520&lt;&gt;""),MAX($A$4730:$A5519)+1,"")</f>
        <v/>
      </c>
      <c r="B5520" s="361" t="s">
        <v>3201</v>
      </c>
      <c r="C5520" s="362"/>
      <c r="D5520" s="327">
        <f>IF($B5520="","",COUNTIF($B$4731:$B5520,$B5520))</f>
        <v>12</v>
      </c>
      <c r="E5520" s="361" t="s">
        <v>656</v>
      </c>
      <c r="F5520" s="362" t="s">
        <v>2239</v>
      </c>
      <c r="G5520" s="327" t="s">
        <v>405</v>
      </c>
      <c r="H5520" s="361" t="s">
        <v>536</v>
      </c>
      <c r="I5520" s="361" t="s">
        <v>1827</v>
      </c>
      <c r="J5520" s="361"/>
      <c r="K5520" s="327" t="s">
        <v>100</v>
      </c>
      <c r="L5520" s="478">
        <v>970</v>
      </c>
      <c r="M5520" s="371"/>
      <c r="N5520" s="355" t="s">
        <v>2409</v>
      </c>
      <c r="O5520" s="345"/>
      <c r="P5520" s="325"/>
      <c r="Q5520" s="327"/>
      <c r="R5520" s="351"/>
      <c r="S5520" s="351"/>
      <c r="T5520" s="351"/>
      <c r="U5520" s="329" t="str">
        <f>IF($N5520=$N$4,IFERROR(INDEX(DanhMuc!$E$154:$E$165,MATCH(MID($B5520,4,2),DanhMuc!$B$154:$B$165,0)),""),"")</f>
        <v/>
      </c>
      <c r="V5520" s="361"/>
      <c r="W5520" s="345"/>
      <c r="X5520" s="786"/>
      <c r="Y5520" s="1128" t="s">
        <v>3380</v>
      </c>
      <c r="Z5520" s="1128" t="s">
        <v>3381</v>
      </c>
      <c r="AA5520" s="1128" t="s">
        <v>3384</v>
      </c>
      <c r="AB5520" s="20"/>
      <c r="AC5520" s="73"/>
    </row>
    <row r="5521" spans="1:29">
      <c r="A5521" s="327" t="str">
        <f>IF(AND($B5521&lt;&gt;"",$C5521&lt;&gt;""),MAX($A$4730:$A5520)+1,"")</f>
        <v/>
      </c>
      <c r="B5521" s="361" t="s">
        <v>3201</v>
      </c>
      <c r="C5521" s="362"/>
      <c r="D5521" s="327">
        <f>IF($B5521="","",COUNTIF($B$4731:$B5521,$B5521))</f>
        <v>13</v>
      </c>
      <c r="E5521" s="361" t="s">
        <v>657</v>
      </c>
      <c r="F5521" s="362" t="s">
        <v>658</v>
      </c>
      <c r="G5521" s="327" t="s">
        <v>424</v>
      </c>
      <c r="H5521" s="361" t="s">
        <v>536</v>
      </c>
      <c r="I5521" s="361" t="s">
        <v>665</v>
      </c>
      <c r="J5521" s="361"/>
      <c r="K5521" s="327" t="s">
        <v>100</v>
      </c>
      <c r="L5521" s="478">
        <v>60000</v>
      </c>
      <c r="M5521" s="355"/>
      <c r="N5521" s="355" t="s">
        <v>2409</v>
      </c>
      <c r="O5521" s="345"/>
      <c r="P5521" s="325"/>
      <c r="Q5521" s="327"/>
      <c r="R5521" s="351"/>
      <c r="S5521" s="351"/>
      <c r="T5521" s="351"/>
      <c r="U5521" s="329" t="str">
        <f>IF($N5521=$N$4,IFERROR(INDEX(DanhMuc!$E$154:$E$165,MATCH(MID($B5521,4,2),DanhMuc!$B$154:$B$165,0)),""),"")</f>
        <v/>
      </c>
      <c r="V5521" s="361"/>
      <c r="W5521" s="345"/>
      <c r="X5521" s="786"/>
      <c r="Y5521" s="1128" t="s">
        <v>3380</v>
      </c>
      <c r="Z5521" s="1128" t="s">
        <v>3381</v>
      </c>
      <c r="AA5521" s="1128" t="s">
        <v>3384</v>
      </c>
      <c r="AB5521" s="20"/>
      <c r="AC5521" s="73"/>
    </row>
    <row r="5522" spans="1:29">
      <c r="A5522" s="327" t="str">
        <f>IF(AND($B5522&lt;&gt;"",$C5522&lt;&gt;""),MAX($A$4730:$A5521)+1,"")</f>
        <v/>
      </c>
      <c r="B5522" s="361" t="s">
        <v>3201</v>
      </c>
      <c r="C5522" s="362"/>
      <c r="D5522" s="327">
        <f>IF($B5522="","",COUNTIF($B$4731:$B5522,$B5522))</f>
        <v>14</v>
      </c>
      <c r="E5522" s="361" t="s">
        <v>2771</v>
      </c>
      <c r="F5522" s="362" t="s">
        <v>659</v>
      </c>
      <c r="G5522" s="327" t="s">
        <v>424</v>
      </c>
      <c r="H5522" s="361" t="s">
        <v>536</v>
      </c>
      <c r="I5522" s="361" t="s">
        <v>666</v>
      </c>
      <c r="J5522" s="361"/>
      <c r="K5522" s="327" t="s">
        <v>100</v>
      </c>
      <c r="L5522" s="389">
        <v>53000</v>
      </c>
      <c r="M5522" s="355"/>
      <c r="N5522" s="355" t="s">
        <v>2409</v>
      </c>
      <c r="O5522" s="345"/>
      <c r="P5522" s="325"/>
      <c r="Q5522" s="327"/>
      <c r="R5522" s="351"/>
      <c r="S5522" s="351"/>
      <c r="T5522" s="351"/>
      <c r="U5522" s="329" t="str">
        <f>IF($N5522=$N$4,IFERROR(INDEX(DanhMuc!$E$154:$E$165,MATCH(MID($B5522,4,2),DanhMuc!$B$154:$B$165,0)),""),"")</f>
        <v/>
      </c>
      <c r="V5522" s="361"/>
      <c r="W5522" s="345"/>
      <c r="X5522" s="786"/>
      <c r="Y5522" s="1128" t="s">
        <v>3380</v>
      </c>
      <c r="Z5522" s="1128" t="s">
        <v>3381</v>
      </c>
      <c r="AA5522" s="1128" t="s">
        <v>3384</v>
      </c>
      <c r="AB5522" s="20"/>
      <c r="AC5522" s="73"/>
    </row>
    <row r="5523" spans="1:29">
      <c r="A5523" s="327" t="str">
        <f>IF(AND($B5523&lt;&gt;"",$C5523&lt;&gt;""),MAX($A$4730:$A5522)+1,"")</f>
        <v/>
      </c>
      <c r="B5523" s="361" t="s">
        <v>3201</v>
      </c>
      <c r="C5523" s="362"/>
      <c r="D5523" s="327">
        <f>IF($B5523="","",COUNTIF($B$4731:$B5523,$B5523))</f>
        <v>15</v>
      </c>
      <c r="E5523" s="361" t="s">
        <v>1828</v>
      </c>
      <c r="F5523" s="362" t="s">
        <v>671</v>
      </c>
      <c r="G5523" s="327" t="s">
        <v>661</v>
      </c>
      <c r="H5523" s="361" t="s">
        <v>536</v>
      </c>
      <c r="I5523" s="361" t="s">
        <v>2355</v>
      </c>
      <c r="J5523" s="361"/>
      <c r="K5523" s="327" t="s">
        <v>100</v>
      </c>
      <c r="L5523" s="478">
        <f>40000/1000</f>
        <v>40</v>
      </c>
      <c r="M5523" s="355"/>
      <c r="N5523" s="355" t="s">
        <v>2409</v>
      </c>
      <c r="O5523" s="345"/>
      <c r="P5523" s="325"/>
      <c r="Q5523" s="327"/>
      <c r="R5523" s="351"/>
      <c r="S5523" s="351"/>
      <c r="T5523" s="351"/>
      <c r="U5523" s="329" t="str">
        <f>IF($N5523=$N$4,IFERROR(INDEX(DanhMuc!$E$154:$E$165,MATCH(MID($B5523,4,2),DanhMuc!$B$154:$B$165,0)),""),"")</f>
        <v/>
      </c>
      <c r="V5523" s="361"/>
      <c r="W5523" s="345"/>
      <c r="X5523" s="786"/>
      <c r="Y5523" s="1128" t="s">
        <v>3380</v>
      </c>
      <c r="Z5523" s="1128" t="s">
        <v>3381</v>
      </c>
      <c r="AA5523" s="1128" t="s">
        <v>3384</v>
      </c>
      <c r="AB5523" s="20"/>
      <c r="AC5523" s="73"/>
    </row>
    <row r="5524" spans="1:29">
      <c r="A5524" s="327" t="str">
        <f>IF(AND($B5524&lt;&gt;"",$C5524&lt;&gt;""),MAX($A$4730:$A5523)+1,"")</f>
        <v/>
      </c>
      <c r="B5524" s="361" t="s">
        <v>3201</v>
      </c>
      <c r="C5524" s="362"/>
      <c r="D5524" s="327">
        <f>IF($B5524="","",COUNTIF($B$4731:$B5524,$B5524))</f>
        <v>16</v>
      </c>
      <c r="E5524" s="361" t="s">
        <v>154</v>
      </c>
      <c r="F5524" s="362" t="s">
        <v>660</v>
      </c>
      <c r="G5524" s="327" t="s">
        <v>661</v>
      </c>
      <c r="H5524" s="361" t="s">
        <v>536</v>
      </c>
      <c r="I5524" s="361" t="s">
        <v>667</v>
      </c>
      <c r="J5524" s="361"/>
      <c r="K5524" s="327" t="s">
        <v>662</v>
      </c>
      <c r="L5524" s="478">
        <v>20</v>
      </c>
      <c r="M5524" s="355"/>
      <c r="N5524" s="355" t="s">
        <v>2409</v>
      </c>
      <c r="O5524" s="345"/>
      <c r="P5524" s="325"/>
      <c r="Q5524" s="327"/>
      <c r="R5524" s="351"/>
      <c r="S5524" s="351"/>
      <c r="T5524" s="351"/>
      <c r="U5524" s="329" t="str">
        <f>IF($N5524=$N$4,IFERROR(INDEX(DanhMuc!$E$154:$E$165,MATCH(MID($B5524,4,2),DanhMuc!$B$154:$B$165,0)),""),"")</f>
        <v/>
      </c>
      <c r="V5524" s="361"/>
      <c r="W5524" s="345"/>
      <c r="X5524" s="786"/>
      <c r="Y5524" s="1128" t="s">
        <v>3380</v>
      </c>
      <c r="Z5524" s="1128" t="s">
        <v>3381</v>
      </c>
      <c r="AA5524" s="1128" t="s">
        <v>3384</v>
      </c>
      <c r="AB5524" s="20"/>
      <c r="AC5524" s="73"/>
    </row>
    <row r="5525" spans="1:29">
      <c r="A5525" s="327" t="str">
        <f>IF(AND($B5525&lt;&gt;"",$C5525&lt;&gt;""),MAX($A$4730:$A5524)+1,"")</f>
        <v/>
      </c>
      <c r="B5525" s="361" t="s">
        <v>3201</v>
      </c>
      <c r="C5525" s="362"/>
      <c r="D5525" s="327">
        <f>IF($B5525="","",COUNTIF($B$4731:$B5525,$B5525))</f>
        <v>17</v>
      </c>
      <c r="E5525" s="362" t="s">
        <v>2282</v>
      </c>
      <c r="F5525" s="362" t="s">
        <v>2283</v>
      </c>
      <c r="G5525" s="327" t="s">
        <v>424</v>
      </c>
      <c r="H5525" s="361" t="s">
        <v>536</v>
      </c>
      <c r="I5525" s="361" t="s">
        <v>2238</v>
      </c>
      <c r="J5525" s="361"/>
      <c r="K5525" s="327" t="s">
        <v>662</v>
      </c>
      <c r="L5525" s="478">
        <v>28000</v>
      </c>
      <c r="M5525" s="355"/>
      <c r="N5525" s="355" t="s">
        <v>2409</v>
      </c>
      <c r="O5525" s="345"/>
      <c r="P5525" s="325"/>
      <c r="Q5525" s="327"/>
      <c r="R5525" s="351"/>
      <c r="S5525" s="351"/>
      <c r="T5525" s="351"/>
      <c r="U5525" s="329" t="str">
        <f>IF($N5525=$N$4,IFERROR(INDEX(DanhMuc!$E$154:$E$165,MATCH(MID($B5525,4,2),DanhMuc!$B$154:$B$165,0)),""),"")</f>
        <v/>
      </c>
      <c r="V5525" s="361"/>
      <c r="W5525" s="345"/>
      <c r="X5525" s="786"/>
      <c r="Y5525" s="1128" t="s">
        <v>3380</v>
      </c>
      <c r="Z5525" s="1128" t="s">
        <v>3381</v>
      </c>
      <c r="AA5525" s="1128" t="s">
        <v>3384</v>
      </c>
      <c r="AB5525" s="20"/>
      <c r="AC5525" s="73"/>
    </row>
    <row r="5526" spans="1:29">
      <c r="A5526" s="327" t="str">
        <f>IF(AND($B5526&lt;&gt;"",$C5526&lt;&gt;""),MAX($A$4730:$A5525)+1,"")</f>
        <v/>
      </c>
      <c r="B5526" s="361" t="s">
        <v>3201</v>
      </c>
      <c r="C5526" s="362"/>
      <c r="D5526" s="327">
        <f>IF($B5526="","",COUNTIF($B$4731:$B5526,$B5526))</f>
        <v>18</v>
      </c>
      <c r="E5526" s="362" t="s">
        <v>663</v>
      </c>
      <c r="F5526" s="362" t="s">
        <v>664</v>
      </c>
      <c r="G5526" s="327" t="s">
        <v>155</v>
      </c>
      <c r="H5526" s="361" t="s">
        <v>536</v>
      </c>
      <c r="I5526" s="361" t="s">
        <v>672</v>
      </c>
      <c r="J5526" s="361"/>
      <c r="K5526" s="327" t="s">
        <v>662</v>
      </c>
      <c r="L5526" s="478">
        <v>1000</v>
      </c>
      <c r="M5526" s="355"/>
      <c r="N5526" s="355" t="s">
        <v>2409</v>
      </c>
      <c r="O5526" s="345"/>
      <c r="P5526" s="325"/>
      <c r="Q5526" s="327"/>
      <c r="R5526" s="351"/>
      <c r="S5526" s="351"/>
      <c r="T5526" s="351"/>
      <c r="U5526" s="329" t="str">
        <f>IF($N5526=$N$4,IFERROR(INDEX(DanhMuc!$E$154:$E$165,MATCH(MID($B5526,4,2),DanhMuc!$B$154:$B$165,0)),""),"")</f>
        <v/>
      </c>
      <c r="V5526" s="361"/>
      <c r="W5526" s="345"/>
      <c r="X5526" s="786"/>
      <c r="Y5526" s="1128" t="s">
        <v>3380</v>
      </c>
      <c r="Z5526" s="1128" t="s">
        <v>3381</v>
      </c>
      <c r="AA5526" s="1128" t="s">
        <v>3384</v>
      </c>
      <c r="AB5526" s="20"/>
      <c r="AC5526" s="73"/>
    </row>
    <row r="5527" spans="1:29" ht="52">
      <c r="A5527" s="327">
        <f>IF(AND($B5527&lt;&gt;"",$C5527&lt;&gt;""),MAX($A$4730:$A5517)+1,"")</f>
        <v>30</v>
      </c>
      <c r="B5527" s="359" t="s">
        <v>3202</v>
      </c>
      <c r="C5527" s="360" t="s">
        <v>3182</v>
      </c>
      <c r="D5527" s="327">
        <f>IF($B5527="","",COUNTIF($B$4731:$B5527,$B5527))</f>
        <v>1</v>
      </c>
      <c r="E5527" s="480" t="s">
        <v>2858</v>
      </c>
      <c r="F5527" s="403" t="s">
        <v>2859</v>
      </c>
      <c r="G5527" s="327" t="s">
        <v>155</v>
      </c>
      <c r="H5527" s="361" t="s">
        <v>536</v>
      </c>
      <c r="I5527" s="327">
        <v>4</v>
      </c>
      <c r="J5527" s="361"/>
      <c r="K5527" s="327" t="s">
        <v>100</v>
      </c>
      <c r="L5527" s="389">
        <v>7100</v>
      </c>
      <c r="M5527" s="355"/>
      <c r="N5527" s="355" t="s">
        <v>2408</v>
      </c>
      <c r="O5527" s="345" t="s">
        <v>2777</v>
      </c>
      <c r="P5527" s="325"/>
      <c r="Q5527" s="327"/>
      <c r="R5527" s="351"/>
      <c r="S5527" s="351"/>
      <c r="T5527" s="351"/>
      <c r="U5527" s="329" t="str">
        <f>IF($N5527=$N$4,IFERROR(INDEX(DanhMuc!$E$154:$E$165,MATCH(MID($B5527,4,2),DanhMuc!$B$154:$B$165,0)),""),"")</f>
        <v/>
      </c>
      <c r="V5527" s="361"/>
      <c r="W5527" s="345"/>
      <c r="X5527" s="786"/>
      <c r="Y5527" s="1128" t="s">
        <v>3380</v>
      </c>
      <c r="Z5527" s="1128" t="s">
        <v>3381</v>
      </c>
      <c r="AA5527" s="1128" t="s">
        <v>3384</v>
      </c>
      <c r="AB5527" s="20"/>
      <c r="AC5527" s="73"/>
    </row>
    <row r="5528" spans="1:29" ht="25">
      <c r="A5528" s="327" t="str">
        <f>IF(AND($B5528&lt;&gt;"",$C5528&lt;&gt;""),MAX($A$4730:$A5518)+1,"")</f>
        <v/>
      </c>
      <c r="B5528" s="361" t="s">
        <v>3202</v>
      </c>
      <c r="C5528" s="360"/>
      <c r="D5528" s="327">
        <f>IF($B5528="","",COUNTIF($B$4731:$B5528,$B5528))</f>
        <v>2</v>
      </c>
      <c r="E5528" s="480" t="s">
        <v>2304</v>
      </c>
      <c r="F5528" s="403" t="s">
        <v>2335</v>
      </c>
      <c r="G5528" s="327" t="s">
        <v>155</v>
      </c>
      <c r="H5528" s="361" t="s">
        <v>536</v>
      </c>
      <c r="I5528" s="327">
        <v>4</v>
      </c>
      <c r="J5528" s="361"/>
      <c r="K5528" s="327" t="s">
        <v>100</v>
      </c>
      <c r="L5528" s="389">
        <v>7100</v>
      </c>
      <c r="M5528" s="355"/>
      <c r="N5528" s="355" t="s">
        <v>2408</v>
      </c>
      <c r="O5528" s="345" t="s">
        <v>2776</v>
      </c>
      <c r="P5528" s="325"/>
      <c r="Q5528" s="327"/>
      <c r="R5528" s="351"/>
      <c r="S5528" s="351"/>
      <c r="T5528" s="351"/>
      <c r="U5528" s="329" t="str">
        <f>IF($N5528=$N$4,IFERROR(INDEX(DanhMuc!$E$154:$E$165,MATCH(MID($B5528,4,2),DanhMuc!$B$154:$B$165,0)),""),"")</f>
        <v/>
      </c>
      <c r="V5528" s="361"/>
      <c r="W5528" s="345"/>
      <c r="X5528" s="786"/>
      <c r="Y5528" s="1128" t="s">
        <v>3380</v>
      </c>
      <c r="Z5528" s="1128" t="s">
        <v>3381</v>
      </c>
      <c r="AA5528" s="1128" t="s">
        <v>3384</v>
      </c>
      <c r="AB5528" s="20"/>
      <c r="AC5528" s="73"/>
    </row>
    <row r="5529" spans="1:29">
      <c r="A5529" s="327" t="str">
        <f>IF(AND($B5529&lt;&gt;"",$C5529&lt;&gt;""),MAX($A$4730:$A5528)+1,"")</f>
        <v/>
      </c>
      <c r="B5529" s="361" t="s">
        <v>3202</v>
      </c>
      <c r="C5529" s="360"/>
      <c r="D5529" s="327">
        <f>IF($B5529="","",COUNTIF($B$4731:$B5529,$B5529))</f>
        <v>3</v>
      </c>
      <c r="E5529" s="402" t="s">
        <v>2788</v>
      </c>
      <c r="F5529" s="403" t="s">
        <v>2789</v>
      </c>
      <c r="G5529" s="327" t="s">
        <v>155</v>
      </c>
      <c r="H5529" s="361" t="s">
        <v>536</v>
      </c>
      <c r="I5529" s="327">
        <f>4*I5528</f>
        <v>16</v>
      </c>
      <c r="J5529" s="361"/>
      <c r="K5529" s="327" t="s">
        <v>100</v>
      </c>
      <c r="L5529" s="389">
        <v>600</v>
      </c>
      <c r="M5529" s="355"/>
      <c r="N5529" s="355" t="s">
        <v>2408</v>
      </c>
      <c r="O5529" s="345" t="s">
        <v>2776</v>
      </c>
      <c r="P5529" s="325"/>
      <c r="Q5529" s="327"/>
      <c r="R5529" s="351"/>
      <c r="S5529" s="351"/>
      <c r="T5529" s="351"/>
      <c r="U5529" s="329" t="str">
        <f>IF($N5529=$N$4,IFERROR(INDEX(DanhMuc!$E$154:$E$165,MATCH(MID($B5529,4,2),DanhMuc!$B$154:$B$165,0)),""),"")</f>
        <v/>
      </c>
      <c r="V5529" s="361"/>
      <c r="W5529" s="345"/>
      <c r="X5529" s="786"/>
      <c r="Y5529" s="1128" t="s">
        <v>3380</v>
      </c>
      <c r="Z5529" s="1128" t="s">
        <v>3381</v>
      </c>
      <c r="AA5529" s="1128" t="s">
        <v>3384</v>
      </c>
      <c r="AB5529" s="20"/>
      <c r="AC5529" s="73"/>
    </row>
    <row r="5530" spans="1:29">
      <c r="A5530" s="327" t="str">
        <f>IF(AND($B5530&lt;&gt;"",$C5530&lt;&gt;""),MAX($A$4730:$A5518)+1,"")</f>
        <v/>
      </c>
      <c r="B5530" s="361" t="s">
        <v>3202</v>
      </c>
      <c r="C5530" s="360"/>
      <c r="D5530" s="327">
        <f>IF($B5530="","",COUNTIF($B$4731:$B5530,$B5530))</f>
        <v>4</v>
      </c>
      <c r="E5530" s="480" t="s">
        <v>2860</v>
      </c>
      <c r="F5530" s="403" t="s">
        <v>2861</v>
      </c>
      <c r="G5530" s="327" t="s">
        <v>155</v>
      </c>
      <c r="H5530" s="361" t="s">
        <v>536</v>
      </c>
      <c r="I5530" s="327">
        <v>12</v>
      </c>
      <c r="J5530" s="361"/>
      <c r="K5530" s="327" t="s">
        <v>101</v>
      </c>
      <c r="L5530" s="389">
        <v>5100</v>
      </c>
      <c r="M5530" s="355"/>
      <c r="N5530" s="355" t="s">
        <v>2408</v>
      </c>
      <c r="O5530" s="345" t="s">
        <v>2779</v>
      </c>
      <c r="P5530" s="325"/>
      <c r="Q5530" s="327"/>
      <c r="R5530" s="351"/>
      <c r="S5530" s="351"/>
      <c r="T5530" s="351"/>
      <c r="U5530" s="329" t="str">
        <f>IF($N5530=$N$4,IFERROR(INDEX(DanhMuc!$E$154:$E$165,MATCH(MID($B5530,4,2),DanhMuc!$B$154:$B$165,0)),""),"")</f>
        <v/>
      </c>
      <c r="V5530" s="361"/>
      <c r="W5530" s="345"/>
      <c r="X5530" s="786"/>
      <c r="Y5530" s="1128" t="s">
        <v>3380</v>
      </c>
      <c r="Z5530" s="1128" t="s">
        <v>3381</v>
      </c>
      <c r="AA5530" s="1128" t="s">
        <v>3384</v>
      </c>
      <c r="AB5530" s="20"/>
      <c r="AC5530" s="73"/>
    </row>
    <row r="5531" spans="1:29">
      <c r="A5531" s="327" t="str">
        <f>IF(AND($B5531&lt;&gt;"",$C5531&lt;&gt;""),MAX($A$4730:$A5519)+1,"")</f>
        <v/>
      </c>
      <c r="B5531" s="361" t="s">
        <v>3202</v>
      </c>
      <c r="C5531" s="360"/>
      <c r="D5531" s="327">
        <f>IF($B5531="","",COUNTIF($B$4731:$B5531,$B5531))</f>
        <v>5</v>
      </c>
      <c r="E5531" s="480" t="s">
        <v>2305</v>
      </c>
      <c r="F5531" s="403" t="s">
        <v>2862</v>
      </c>
      <c r="G5531" s="327" t="s">
        <v>155</v>
      </c>
      <c r="H5531" s="361" t="s">
        <v>536</v>
      </c>
      <c r="I5531" s="327">
        <v>12</v>
      </c>
      <c r="J5531" s="361"/>
      <c r="K5531" s="327" t="s">
        <v>101</v>
      </c>
      <c r="L5531" s="389">
        <v>5100</v>
      </c>
      <c r="M5531" s="355"/>
      <c r="N5531" s="355" t="s">
        <v>2408</v>
      </c>
      <c r="O5531" s="345" t="s">
        <v>2778</v>
      </c>
      <c r="P5531" s="325"/>
      <c r="Q5531" s="327"/>
      <c r="R5531" s="351"/>
      <c r="S5531" s="351"/>
      <c r="T5531" s="351"/>
      <c r="U5531" s="329" t="str">
        <f>IF($N5531=$N$4,IFERROR(INDEX(DanhMuc!$E$154:$E$165,MATCH(MID($B5531,4,2),DanhMuc!$B$154:$B$165,0)),""),"")</f>
        <v/>
      </c>
      <c r="V5531" s="361"/>
      <c r="W5531" s="345"/>
      <c r="X5531" s="786"/>
      <c r="Y5531" s="1128" t="s">
        <v>3380</v>
      </c>
      <c r="Z5531" s="1128" t="s">
        <v>3381</v>
      </c>
      <c r="AA5531" s="1128" t="s">
        <v>3384</v>
      </c>
      <c r="AB5531" s="20"/>
      <c r="AC5531" s="73"/>
    </row>
    <row r="5532" spans="1:29">
      <c r="A5532" s="327" t="str">
        <f>IF(AND($B5532&lt;&gt;"",$C5532&lt;&gt;""),MAX($A$4730:$A5530)+1,"")</f>
        <v/>
      </c>
      <c r="B5532" s="361" t="s">
        <v>3202</v>
      </c>
      <c r="C5532" s="360"/>
      <c r="D5532" s="327">
        <f>IF($B5532="","",COUNTIF($B$4731:$B5532,$B5532))</f>
        <v>6</v>
      </c>
      <c r="E5532" s="402" t="s">
        <v>2788</v>
      </c>
      <c r="F5532" s="403" t="s">
        <v>2789</v>
      </c>
      <c r="G5532" s="327" t="s">
        <v>155</v>
      </c>
      <c r="H5532" s="361" t="s">
        <v>536</v>
      </c>
      <c r="I5532" s="327">
        <f>4*I5531</f>
        <v>48</v>
      </c>
      <c r="J5532" s="361"/>
      <c r="K5532" s="327" t="s">
        <v>101</v>
      </c>
      <c r="L5532" s="389">
        <v>600</v>
      </c>
      <c r="M5532" s="355"/>
      <c r="N5532" s="355" t="s">
        <v>2408</v>
      </c>
      <c r="O5532" s="345" t="s">
        <v>2778</v>
      </c>
      <c r="P5532" s="325"/>
      <c r="Q5532" s="327"/>
      <c r="R5532" s="351"/>
      <c r="S5532" s="351"/>
      <c r="T5532" s="351"/>
      <c r="U5532" s="329" t="str">
        <f>IF($N5532=$N$4,IFERROR(INDEX(DanhMuc!$E$154:$E$165,MATCH(MID($B5532,4,2),DanhMuc!$B$154:$B$165,0)),""),"")</f>
        <v/>
      </c>
      <c r="V5532" s="361"/>
      <c r="W5532" s="345"/>
      <c r="X5532" s="786"/>
      <c r="Y5532" s="1128" t="s">
        <v>3380</v>
      </c>
      <c r="Z5532" s="1128" t="s">
        <v>3381</v>
      </c>
      <c r="AA5532" s="1128" t="s">
        <v>3384</v>
      </c>
      <c r="AB5532" s="20"/>
      <c r="AC5532" s="73"/>
    </row>
    <row r="5533" spans="1:29">
      <c r="A5533" s="327" t="str">
        <f>IF(AND($B5533&lt;&gt;"",$C5533&lt;&gt;""),MAX($A$4730:$A5517)+1,"")</f>
        <v/>
      </c>
      <c r="B5533" s="361" t="s">
        <v>3202</v>
      </c>
      <c r="C5533" s="360"/>
      <c r="D5533" s="327">
        <f>IF($B5533="","",COUNTIF($B$4731:$B5533,$B5533))</f>
        <v>7</v>
      </c>
      <c r="E5533" s="361" t="s">
        <v>2338</v>
      </c>
      <c r="F5533" s="362" t="s">
        <v>2331</v>
      </c>
      <c r="G5533" s="327" t="s">
        <v>155</v>
      </c>
      <c r="H5533" s="361" t="s">
        <v>536</v>
      </c>
      <c r="I5533" s="327">
        <v>24</v>
      </c>
      <c r="J5533" s="361"/>
      <c r="K5533" s="327" t="s">
        <v>101</v>
      </c>
      <c r="L5533" s="389">
        <v>750</v>
      </c>
      <c r="M5533" s="355"/>
      <c r="N5533" s="355" t="s">
        <v>2408</v>
      </c>
      <c r="O5533" s="345"/>
      <c r="P5533" s="325"/>
      <c r="Q5533" s="327"/>
      <c r="R5533" s="351"/>
      <c r="S5533" s="351"/>
      <c r="T5533" s="351"/>
      <c r="U5533" s="329" t="str">
        <f>IF($N5533=$N$4,IFERROR(INDEX(DanhMuc!$E$154:$E$165,MATCH(MID($B5533,4,2),DanhMuc!$B$154:$B$165,0)),""),"")</f>
        <v/>
      </c>
      <c r="V5533" s="361"/>
      <c r="W5533" s="345"/>
      <c r="X5533" s="786"/>
      <c r="Y5533" s="1128" t="s">
        <v>3380</v>
      </c>
      <c r="Z5533" s="1128" t="s">
        <v>3381</v>
      </c>
      <c r="AA5533" s="1128" t="s">
        <v>3384</v>
      </c>
      <c r="AB5533" s="20"/>
      <c r="AC5533" s="73"/>
    </row>
    <row r="5534" spans="1:29">
      <c r="A5534" s="327" t="str">
        <f>IF(AND($B5534&lt;&gt;"",$C5534&lt;&gt;""),MAX($A$4730:$A5533)+1,"")</f>
        <v/>
      </c>
      <c r="B5534" s="361" t="s">
        <v>3202</v>
      </c>
      <c r="C5534" s="362"/>
      <c r="D5534" s="327">
        <f>IF($B5534="","",COUNTIF($B$4731:$B5534,$B5534))</f>
        <v>8</v>
      </c>
      <c r="E5534" s="361" t="s">
        <v>654</v>
      </c>
      <c r="F5534" s="362" t="s">
        <v>653</v>
      </c>
      <c r="G5534" s="327" t="s">
        <v>1836</v>
      </c>
      <c r="H5534" s="361" t="s">
        <v>536</v>
      </c>
      <c r="I5534" s="327">
        <f>I5527/45</f>
        <v>8.8888888888888892E-2</v>
      </c>
      <c r="J5534" s="477"/>
      <c r="K5534" s="327" t="s">
        <v>655</v>
      </c>
      <c r="L5534" s="478">
        <v>115000</v>
      </c>
      <c r="M5534" s="355"/>
      <c r="N5534" s="355" t="s">
        <v>2408</v>
      </c>
      <c r="O5534" s="345" t="s">
        <v>2777</v>
      </c>
      <c r="P5534" s="325"/>
      <c r="Q5534" s="327"/>
      <c r="R5534" s="351"/>
      <c r="S5534" s="351"/>
      <c r="T5534" s="351"/>
      <c r="U5534" s="329" t="str">
        <f>IF($N5534=$N$4,IFERROR(INDEX(DanhMuc!$E$154:$E$165,MATCH(MID($B5534,4,2),DanhMuc!$B$154:$B$165,0)),""),"")</f>
        <v/>
      </c>
      <c r="V5534" s="361"/>
      <c r="W5534" s="345"/>
      <c r="X5534" s="786"/>
      <c r="Y5534" s="1128" t="s">
        <v>3380</v>
      </c>
      <c r="Z5534" s="1128" t="s">
        <v>3381</v>
      </c>
      <c r="AA5534" s="1128" t="s">
        <v>3384</v>
      </c>
      <c r="AB5534" s="20"/>
      <c r="AC5534" s="73"/>
    </row>
    <row r="5535" spans="1:29">
      <c r="A5535" s="327" t="str">
        <f>IF(AND($B5535&lt;&gt;"",$C5535&lt;&gt;""),MAX($A$4730:$A5534)+1,"")</f>
        <v/>
      </c>
      <c r="B5535" s="361" t="s">
        <v>3202</v>
      </c>
      <c r="C5535" s="362"/>
      <c r="D5535" s="327">
        <f>IF($B5535="","",COUNTIF($B$4731:$B5535,$B5535))</f>
        <v>9</v>
      </c>
      <c r="E5535" s="361" t="s">
        <v>654</v>
      </c>
      <c r="F5535" s="362" t="s">
        <v>653</v>
      </c>
      <c r="G5535" s="327" t="s">
        <v>1836</v>
      </c>
      <c r="H5535" s="361" t="s">
        <v>536</v>
      </c>
      <c r="I5535" s="327">
        <f>I5530/45</f>
        <v>0.26666666666666666</v>
      </c>
      <c r="J5535" s="477"/>
      <c r="K5535" s="327" t="s">
        <v>655</v>
      </c>
      <c r="L5535" s="478">
        <v>115000</v>
      </c>
      <c r="M5535" s="355"/>
      <c r="N5535" s="355" t="s">
        <v>2408</v>
      </c>
      <c r="O5535" s="345" t="s">
        <v>2779</v>
      </c>
      <c r="P5535" s="325"/>
      <c r="Q5535" s="327"/>
      <c r="R5535" s="351"/>
      <c r="S5535" s="351"/>
      <c r="T5535" s="351"/>
      <c r="U5535" s="329" t="str">
        <f>IF($N5535=$N$4,IFERROR(INDEX(DanhMuc!$E$154:$E$165,MATCH(MID($B5535,4,2),DanhMuc!$B$154:$B$165,0)),""),"")</f>
        <v/>
      </c>
      <c r="V5535" s="361"/>
      <c r="W5535" s="345"/>
      <c r="X5535" s="786"/>
      <c r="Y5535" s="1128" t="s">
        <v>3380</v>
      </c>
      <c r="Z5535" s="1128" t="s">
        <v>3381</v>
      </c>
      <c r="AA5535" s="1128" t="s">
        <v>3384</v>
      </c>
      <c r="AB5535" s="20"/>
      <c r="AC5535" s="73"/>
    </row>
    <row r="5536" spans="1:29">
      <c r="A5536" s="327" t="str">
        <f>IF(AND($B5536&lt;&gt;"",$C5536&lt;&gt;""),MAX($A$4730:$A5517)+1,"")</f>
        <v/>
      </c>
      <c r="B5536" s="361" t="s">
        <v>3202</v>
      </c>
      <c r="C5536" s="360"/>
      <c r="D5536" s="327">
        <f>IF($B5536="","",COUNTIF($B$4731:$B5536,$B5536))</f>
        <v>10</v>
      </c>
      <c r="E5536" s="361" t="s">
        <v>1826</v>
      </c>
      <c r="F5536" s="362" t="s">
        <v>670</v>
      </c>
      <c r="G5536" s="327" t="s">
        <v>661</v>
      </c>
      <c r="H5536" s="361" t="s">
        <v>536</v>
      </c>
      <c r="I5536" s="361" t="s">
        <v>2354</v>
      </c>
      <c r="J5536" s="361"/>
      <c r="K5536" s="327" t="s">
        <v>103</v>
      </c>
      <c r="L5536" s="478">
        <f>40000/1000</f>
        <v>40</v>
      </c>
      <c r="M5536" s="355"/>
      <c r="N5536" s="355" t="s">
        <v>2408</v>
      </c>
      <c r="O5536" s="345"/>
      <c r="P5536" s="325"/>
      <c r="Q5536" s="327"/>
      <c r="R5536" s="351"/>
      <c r="S5536" s="351"/>
      <c r="T5536" s="351"/>
      <c r="U5536" s="329" t="str">
        <f>IF($N5536=$N$4,IFERROR(INDEX(DanhMuc!$E$154:$E$165,MATCH(MID($B5536,4,2),DanhMuc!$B$154:$B$165,0)),""),"")</f>
        <v/>
      </c>
      <c r="V5536" s="361"/>
      <c r="W5536" s="345"/>
      <c r="X5536" s="786"/>
      <c r="Y5536" s="1128" t="s">
        <v>3380</v>
      </c>
      <c r="Z5536" s="1128" t="s">
        <v>3381</v>
      </c>
      <c r="AA5536" s="1128" t="s">
        <v>3384</v>
      </c>
      <c r="AB5536" s="20"/>
      <c r="AC5536" s="73"/>
    </row>
    <row r="5537" spans="1:29" ht="37.5">
      <c r="A5537" s="327" t="str">
        <f>IF(AND($B5537&lt;&gt;"",$C5537&lt;&gt;""),MAX($A$4730:$A5532)+1,"")</f>
        <v/>
      </c>
      <c r="B5537" s="361" t="s">
        <v>3202</v>
      </c>
      <c r="C5537" s="362"/>
      <c r="D5537" s="327">
        <f>IF($B5537="","",COUNTIF($B$4731:$B5537,$B5537))</f>
        <v>11</v>
      </c>
      <c r="E5537" s="362" t="s">
        <v>2756</v>
      </c>
      <c r="F5537" s="362" t="s">
        <v>2757</v>
      </c>
      <c r="G5537" s="327" t="s">
        <v>405</v>
      </c>
      <c r="H5537" s="361" t="s">
        <v>536</v>
      </c>
      <c r="I5537" s="361" t="s">
        <v>694</v>
      </c>
      <c r="J5537" s="361"/>
      <c r="K5537" s="327" t="s">
        <v>738</v>
      </c>
      <c r="L5537" s="479">
        <v>322</v>
      </c>
      <c r="M5537" s="371"/>
      <c r="N5537" s="355" t="s">
        <v>2408</v>
      </c>
      <c r="O5537" s="345"/>
      <c r="P5537" s="325"/>
      <c r="Q5537" s="327"/>
      <c r="R5537" s="351"/>
      <c r="S5537" s="351"/>
      <c r="T5537" s="351"/>
      <c r="U5537" s="329" t="str">
        <f>IF($N5537=$N$4,IFERROR(INDEX(DanhMuc!$E$154:$E$165,MATCH(MID($B5537,4,2),DanhMuc!$B$154:$B$165,0)),""),"")</f>
        <v/>
      </c>
      <c r="V5537" s="361"/>
      <c r="W5537" s="345"/>
      <c r="X5537" s="786"/>
      <c r="Y5537" s="1128" t="s">
        <v>3380</v>
      </c>
      <c r="Z5537" s="1128" t="s">
        <v>3381</v>
      </c>
      <c r="AA5537" s="1128" t="s">
        <v>3384</v>
      </c>
      <c r="AB5537" s="20"/>
      <c r="AC5537" s="73"/>
    </row>
    <row r="5538" spans="1:29">
      <c r="A5538" s="327" t="str">
        <f>IF(AND($B5538&lt;&gt;"",$C5538&lt;&gt;""),MAX($A$4730:$A5537)+1,"")</f>
        <v/>
      </c>
      <c r="B5538" s="361" t="s">
        <v>3202</v>
      </c>
      <c r="C5538" s="362"/>
      <c r="D5538" s="327">
        <f>IF($B5538="","",COUNTIF($B$4731:$B5538,$B5538))</f>
        <v>12</v>
      </c>
      <c r="E5538" s="361" t="s">
        <v>656</v>
      </c>
      <c r="F5538" s="362" t="s">
        <v>2239</v>
      </c>
      <c r="G5538" s="327" t="s">
        <v>405</v>
      </c>
      <c r="H5538" s="361" t="s">
        <v>536</v>
      </c>
      <c r="I5538" s="361" t="s">
        <v>1827</v>
      </c>
      <c r="J5538" s="361"/>
      <c r="K5538" s="327" t="s">
        <v>100</v>
      </c>
      <c r="L5538" s="478">
        <v>970</v>
      </c>
      <c r="M5538" s="371"/>
      <c r="N5538" s="355" t="s">
        <v>2409</v>
      </c>
      <c r="O5538" s="345"/>
      <c r="P5538" s="325"/>
      <c r="Q5538" s="327"/>
      <c r="R5538" s="351"/>
      <c r="S5538" s="351"/>
      <c r="T5538" s="351"/>
      <c r="U5538" s="329" t="str">
        <f>IF($N5538=$N$4,IFERROR(INDEX(DanhMuc!$E$154:$E$165,MATCH(MID($B5538,4,2),DanhMuc!$B$154:$B$165,0)),""),"")</f>
        <v/>
      </c>
      <c r="V5538" s="361"/>
      <c r="W5538" s="345"/>
      <c r="X5538" s="786"/>
      <c r="Y5538" s="1128" t="s">
        <v>3380</v>
      </c>
      <c r="Z5538" s="1128" t="s">
        <v>3381</v>
      </c>
      <c r="AA5538" s="1128" t="s">
        <v>3384</v>
      </c>
      <c r="AB5538" s="20"/>
      <c r="AC5538" s="73"/>
    </row>
    <row r="5539" spans="1:29">
      <c r="A5539" s="327" t="str">
        <f>IF(AND($B5539&lt;&gt;"",$C5539&lt;&gt;""),MAX($A$4730:$A5538)+1,"")</f>
        <v/>
      </c>
      <c r="B5539" s="361" t="s">
        <v>3202</v>
      </c>
      <c r="C5539" s="362"/>
      <c r="D5539" s="327">
        <f>IF($B5539="","",COUNTIF($B$4731:$B5539,$B5539))</f>
        <v>13</v>
      </c>
      <c r="E5539" s="361" t="s">
        <v>657</v>
      </c>
      <c r="F5539" s="362" t="s">
        <v>658</v>
      </c>
      <c r="G5539" s="327" t="s">
        <v>424</v>
      </c>
      <c r="H5539" s="361" t="s">
        <v>536</v>
      </c>
      <c r="I5539" s="361" t="s">
        <v>665</v>
      </c>
      <c r="J5539" s="361"/>
      <c r="K5539" s="327" t="s">
        <v>100</v>
      </c>
      <c r="L5539" s="478">
        <v>60000</v>
      </c>
      <c r="M5539" s="355"/>
      <c r="N5539" s="355" t="s">
        <v>2409</v>
      </c>
      <c r="O5539" s="345"/>
      <c r="P5539" s="325"/>
      <c r="Q5539" s="327"/>
      <c r="R5539" s="351"/>
      <c r="S5539" s="351"/>
      <c r="T5539" s="351"/>
      <c r="U5539" s="329" t="str">
        <f>IF($N5539=$N$4,IFERROR(INDEX(DanhMuc!$E$154:$E$165,MATCH(MID($B5539,4,2),DanhMuc!$B$154:$B$165,0)),""),"")</f>
        <v/>
      </c>
      <c r="V5539" s="361"/>
      <c r="W5539" s="345"/>
      <c r="X5539" s="786"/>
      <c r="Y5539" s="1128" t="s">
        <v>3380</v>
      </c>
      <c r="Z5539" s="1128" t="s">
        <v>3381</v>
      </c>
      <c r="AA5539" s="1128" t="s">
        <v>3384</v>
      </c>
      <c r="AB5539" s="20"/>
      <c r="AC5539" s="73"/>
    </row>
    <row r="5540" spans="1:29">
      <c r="A5540" s="327" t="str">
        <f>IF(AND($B5540&lt;&gt;"",$C5540&lt;&gt;""),MAX($A$4730:$A5539)+1,"")</f>
        <v/>
      </c>
      <c r="B5540" s="361" t="s">
        <v>3202</v>
      </c>
      <c r="C5540" s="362"/>
      <c r="D5540" s="327">
        <f>IF($B5540="","",COUNTIF($B$4731:$B5540,$B5540))</f>
        <v>14</v>
      </c>
      <c r="E5540" s="361" t="s">
        <v>2771</v>
      </c>
      <c r="F5540" s="362" t="s">
        <v>659</v>
      </c>
      <c r="G5540" s="327" t="s">
        <v>424</v>
      </c>
      <c r="H5540" s="361" t="s">
        <v>536</v>
      </c>
      <c r="I5540" s="361" t="s">
        <v>666</v>
      </c>
      <c r="J5540" s="361"/>
      <c r="K5540" s="327" t="s">
        <v>100</v>
      </c>
      <c r="L5540" s="389">
        <v>53000</v>
      </c>
      <c r="M5540" s="355"/>
      <c r="N5540" s="355" t="s">
        <v>2409</v>
      </c>
      <c r="O5540" s="345"/>
      <c r="P5540" s="325"/>
      <c r="Q5540" s="327"/>
      <c r="R5540" s="351"/>
      <c r="S5540" s="351"/>
      <c r="T5540" s="351"/>
      <c r="U5540" s="329" t="str">
        <f>IF($N5540=$N$4,IFERROR(INDEX(DanhMuc!$E$154:$E$165,MATCH(MID($B5540,4,2),DanhMuc!$B$154:$B$165,0)),""),"")</f>
        <v/>
      </c>
      <c r="V5540" s="361"/>
      <c r="W5540" s="345"/>
      <c r="X5540" s="786"/>
      <c r="Y5540" s="1128" t="s">
        <v>3380</v>
      </c>
      <c r="Z5540" s="1128" t="s">
        <v>3381</v>
      </c>
      <c r="AA5540" s="1128" t="s">
        <v>3384</v>
      </c>
      <c r="AB5540" s="20"/>
      <c r="AC5540" s="73"/>
    </row>
    <row r="5541" spans="1:29">
      <c r="A5541" s="327" t="str">
        <f>IF(AND($B5541&lt;&gt;"",$C5541&lt;&gt;""),MAX($A$4730:$A5540)+1,"")</f>
        <v/>
      </c>
      <c r="B5541" s="361" t="s">
        <v>3202</v>
      </c>
      <c r="C5541" s="362"/>
      <c r="D5541" s="327">
        <f>IF($B5541="","",COUNTIF($B$4731:$B5541,$B5541))</f>
        <v>15</v>
      </c>
      <c r="E5541" s="361" t="s">
        <v>1828</v>
      </c>
      <c r="F5541" s="362" t="s">
        <v>671</v>
      </c>
      <c r="G5541" s="327" t="s">
        <v>661</v>
      </c>
      <c r="H5541" s="361" t="s">
        <v>536</v>
      </c>
      <c r="I5541" s="361" t="s">
        <v>2355</v>
      </c>
      <c r="J5541" s="361"/>
      <c r="K5541" s="327" t="s">
        <v>100</v>
      </c>
      <c r="L5541" s="478">
        <f>40000/1000</f>
        <v>40</v>
      </c>
      <c r="M5541" s="355"/>
      <c r="N5541" s="355" t="s">
        <v>2409</v>
      </c>
      <c r="O5541" s="345"/>
      <c r="P5541" s="325"/>
      <c r="Q5541" s="327"/>
      <c r="R5541" s="351"/>
      <c r="S5541" s="351"/>
      <c r="T5541" s="351"/>
      <c r="U5541" s="329" t="str">
        <f>IF($N5541=$N$4,IFERROR(INDEX(DanhMuc!$E$154:$E$165,MATCH(MID($B5541,4,2),DanhMuc!$B$154:$B$165,0)),""),"")</f>
        <v/>
      </c>
      <c r="V5541" s="361"/>
      <c r="W5541" s="345"/>
      <c r="X5541" s="786"/>
      <c r="Y5541" s="1128" t="s">
        <v>3380</v>
      </c>
      <c r="Z5541" s="1128" t="s">
        <v>3381</v>
      </c>
      <c r="AA5541" s="1128" t="s">
        <v>3384</v>
      </c>
      <c r="AB5541" s="20"/>
      <c r="AC5541" s="73"/>
    </row>
    <row r="5542" spans="1:29">
      <c r="A5542" s="327" t="str">
        <f>IF(AND($B5542&lt;&gt;"",$C5542&lt;&gt;""),MAX($A$4730:$A5541)+1,"")</f>
        <v/>
      </c>
      <c r="B5542" s="361" t="s">
        <v>3202</v>
      </c>
      <c r="C5542" s="362"/>
      <c r="D5542" s="327">
        <f>IF($B5542="","",COUNTIF($B$4731:$B5542,$B5542))</f>
        <v>16</v>
      </c>
      <c r="E5542" s="361" t="s">
        <v>154</v>
      </c>
      <c r="F5542" s="362" t="s">
        <v>660</v>
      </c>
      <c r="G5542" s="327" t="s">
        <v>661</v>
      </c>
      <c r="H5542" s="361" t="s">
        <v>536</v>
      </c>
      <c r="I5542" s="361" t="s">
        <v>667</v>
      </c>
      <c r="J5542" s="361"/>
      <c r="K5542" s="327" t="s">
        <v>662</v>
      </c>
      <c r="L5542" s="478">
        <v>20</v>
      </c>
      <c r="M5542" s="355"/>
      <c r="N5542" s="355" t="s">
        <v>2409</v>
      </c>
      <c r="O5542" s="345"/>
      <c r="P5542" s="325"/>
      <c r="Q5542" s="327"/>
      <c r="R5542" s="351"/>
      <c r="S5542" s="351"/>
      <c r="T5542" s="351"/>
      <c r="U5542" s="329" t="str">
        <f>IF($N5542=$N$4,IFERROR(INDEX(DanhMuc!$E$154:$E$165,MATCH(MID($B5542,4,2),DanhMuc!$B$154:$B$165,0)),""),"")</f>
        <v/>
      </c>
      <c r="V5542" s="361"/>
      <c r="W5542" s="345"/>
      <c r="X5542" s="786"/>
      <c r="Y5542" s="1128" t="s">
        <v>3380</v>
      </c>
      <c r="Z5542" s="1128" t="s">
        <v>3381</v>
      </c>
      <c r="AA5542" s="1128" t="s">
        <v>3384</v>
      </c>
      <c r="AB5542" s="20"/>
      <c r="AC5542" s="73"/>
    </row>
    <row r="5543" spans="1:29">
      <c r="A5543" s="327" t="str">
        <f>IF(AND($B5543&lt;&gt;"",$C5543&lt;&gt;""),MAX($A$4730:$A5542)+1,"")</f>
        <v/>
      </c>
      <c r="B5543" s="361" t="s">
        <v>3202</v>
      </c>
      <c r="C5543" s="362"/>
      <c r="D5543" s="327">
        <f>IF($B5543="","",COUNTIF($B$4731:$B5543,$B5543))</f>
        <v>17</v>
      </c>
      <c r="E5543" s="362" t="s">
        <v>2282</v>
      </c>
      <c r="F5543" s="362" t="s">
        <v>2283</v>
      </c>
      <c r="G5543" s="327" t="s">
        <v>424</v>
      </c>
      <c r="H5543" s="361" t="s">
        <v>536</v>
      </c>
      <c r="I5543" s="361" t="s">
        <v>2238</v>
      </c>
      <c r="J5543" s="361"/>
      <c r="K5543" s="327" t="s">
        <v>662</v>
      </c>
      <c r="L5543" s="478">
        <v>28000</v>
      </c>
      <c r="M5543" s="355"/>
      <c r="N5543" s="355" t="s">
        <v>2409</v>
      </c>
      <c r="O5543" s="345"/>
      <c r="P5543" s="325"/>
      <c r="Q5543" s="327"/>
      <c r="R5543" s="351"/>
      <c r="S5543" s="351"/>
      <c r="T5543" s="351"/>
      <c r="U5543" s="329" t="str">
        <f>IF($N5543=$N$4,IFERROR(INDEX(DanhMuc!$E$154:$E$165,MATCH(MID($B5543,4,2),DanhMuc!$B$154:$B$165,0)),""),"")</f>
        <v/>
      </c>
      <c r="V5543" s="361"/>
      <c r="W5543" s="345"/>
      <c r="X5543" s="786"/>
      <c r="Y5543" s="1128" t="s">
        <v>3380</v>
      </c>
      <c r="Z5543" s="1128" t="s">
        <v>3381</v>
      </c>
      <c r="AA5543" s="1128" t="s">
        <v>3384</v>
      </c>
      <c r="AB5543" s="20"/>
      <c r="AC5543" s="73"/>
    </row>
    <row r="5544" spans="1:29">
      <c r="A5544" s="327" t="str">
        <f>IF(AND($B5544&lt;&gt;"",$C5544&lt;&gt;""),MAX($A$4730:$A5543)+1,"")</f>
        <v/>
      </c>
      <c r="B5544" s="361" t="s">
        <v>3202</v>
      </c>
      <c r="C5544" s="362"/>
      <c r="D5544" s="327">
        <f>IF($B5544="","",COUNTIF($B$4731:$B5544,$B5544))</f>
        <v>18</v>
      </c>
      <c r="E5544" s="362" t="s">
        <v>663</v>
      </c>
      <c r="F5544" s="362" t="s">
        <v>664</v>
      </c>
      <c r="G5544" s="327" t="s">
        <v>155</v>
      </c>
      <c r="H5544" s="361" t="s">
        <v>536</v>
      </c>
      <c r="I5544" s="361" t="s">
        <v>672</v>
      </c>
      <c r="J5544" s="361"/>
      <c r="K5544" s="327" t="s">
        <v>662</v>
      </c>
      <c r="L5544" s="478">
        <v>1000</v>
      </c>
      <c r="M5544" s="355"/>
      <c r="N5544" s="355" t="s">
        <v>2409</v>
      </c>
      <c r="O5544" s="345"/>
      <c r="P5544" s="325"/>
      <c r="Q5544" s="327"/>
      <c r="R5544" s="351"/>
      <c r="S5544" s="351"/>
      <c r="T5544" s="351"/>
      <c r="U5544" s="329" t="str">
        <f>IF($N5544=$N$4,IFERROR(INDEX(DanhMuc!$E$154:$E$165,MATCH(MID($B5544,4,2),DanhMuc!$B$154:$B$165,0)),""),"")</f>
        <v/>
      </c>
      <c r="V5544" s="361"/>
      <c r="W5544" s="345"/>
      <c r="X5544" s="786"/>
      <c r="Y5544" s="1128" t="s">
        <v>3380</v>
      </c>
      <c r="Z5544" s="1128" t="s">
        <v>3381</v>
      </c>
      <c r="AA5544" s="1128" t="s">
        <v>3384</v>
      </c>
      <c r="AB5544" s="20"/>
      <c r="AC5544" s="73"/>
    </row>
    <row r="5545" spans="1:29" ht="39">
      <c r="A5545" s="327">
        <f>IF(AND($B5545&lt;&gt;"",$C5545&lt;&gt;""),MAX($A$4730:$A5469)+1,"")</f>
        <v>28</v>
      </c>
      <c r="B5545" s="359" t="s">
        <v>1858</v>
      </c>
      <c r="C5545" s="360" t="s">
        <v>1885</v>
      </c>
      <c r="D5545" s="327">
        <f>IF($B5545="","",COUNTIF($B$4731:$B5545,$B5545))</f>
        <v>1</v>
      </c>
      <c r="E5545" s="480" t="s">
        <v>2858</v>
      </c>
      <c r="F5545" s="403" t="s">
        <v>2859</v>
      </c>
      <c r="G5545" s="327" t="s">
        <v>155</v>
      </c>
      <c r="H5545" s="361" t="s">
        <v>536</v>
      </c>
      <c r="I5545" s="327">
        <v>4</v>
      </c>
      <c r="J5545" s="361"/>
      <c r="K5545" s="327" t="s">
        <v>100</v>
      </c>
      <c r="L5545" s="389">
        <v>7100</v>
      </c>
      <c r="M5545" s="355"/>
      <c r="N5545" s="355" t="s">
        <v>2408</v>
      </c>
      <c r="O5545" s="345" t="s">
        <v>2777</v>
      </c>
      <c r="P5545" s="325"/>
      <c r="Q5545" s="327"/>
      <c r="R5545" s="351"/>
      <c r="S5545" s="351"/>
      <c r="T5545" s="351"/>
      <c r="U5545" s="329" t="str">
        <f>IF($N5545=$N$4,IFERROR(INDEX(DanhMuc!$E$154:$E$165,MATCH(MID($B5545,4,2),DanhMuc!$B$154:$B$165,0)),""),"")</f>
        <v/>
      </c>
      <c r="V5545" s="361"/>
      <c r="W5545" s="345"/>
      <c r="X5545" s="786"/>
      <c r="Y5545" s="1128" t="s">
        <v>3380</v>
      </c>
      <c r="Z5545" s="1128" t="s">
        <v>3381</v>
      </c>
      <c r="AA5545" s="1128" t="s">
        <v>3384</v>
      </c>
      <c r="AB5545" s="20"/>
      <c r="AC5545" s="73"/>
    </row>
    <row r="5546" spans="1:29" ht="25">
      <c r="A5546" s="327" t="str">
        <f>IF(AND($B5546&lt;&gt;"",$C5546&lt;&gt;""),MAX($A$4730:$A5470)+1,"")</f>
        <v/>
      </c>
      <c r="B5546" s="361" t="s">
        <v>1858</v>
      </c>
      <c r="C5546" s="360"/>
      <c r="D5546" s="327">
        <f>IF($B5546="","",COUNTIF($B$4731:$B5546,$B5546))</f>
        <v>2</v>
      </c>
      <c r="E5546" s="480" t="s">
        <v>2304</v>
      </c>
      <c r="F5546" s="403" t="s">
        <v>2335</v>
      </c>
      <c r="G5546" s="327" t="s">
        <v>155</v>
      </c>
      <c r="H5546" s="361" t="s">
        <v>536</v>
      </c>
      <c r="I5546" s="327">
        <v>4</v>
      </c>
      <c r="J5546" s="361"/>
      <c r="K5546" s="327" t="s">
        <v>100</v>
      </c>
      <c r="L5546" s="389">
        <v>7100</v>
      </c>
      <c r="M5546" s="355"/>
      <c r="N5546" s="355" t="s">
        <v>2408</v>
      </c>
      <c r="O5546" s="345" t="s">
        <v>2776</v>
      </c>
      <c r="P5546" s="325"/>
      <c r="Q5546" s="327"/>
      <c r="R5546" s="351"/>
      <c r="S5546" s="351"/>
      <c r="T5546" s="351"/>
      <c r="U5546" s="329" t="str">
        <f>IF($N5546=$N$4,IFERROR(INDEX(DanhMuc!$E$154:$E$165,MATCH(MID($B5546,4,2),DanhMuc!$B$154:$B$165,0)),""),"")</f>
        <v/>
      </c>
      <c r="V5546" s="361"/>
      <c r="W5546" s="345"/>
      <c r="X5546" s="786"/>
      <c r="Y5546" s="1128" t="s">
        <v>3380</v>
      </c>
      <c r="Z5546" s="1128" t="s">
        <v>3381</v>
      </c>
      <c r="AA5546" s="1128" t="s">
        <v>3384</v>
      </c>
      <c r="AB5546" s="20"/>
      <c r="AC5546" s="73"/>
    </row>
    <row r="5547" spans="1:29">
      <c r="A5547" s="327" t="str">
        <f>IF(AND($B5547&lt;&gt;"",$C5547&lt;&gt;""),MAX($A$4730:$A5546)+1,"")</f>
        <v/>
      </c>
      <c r="B5547" s="361" t="s">
        <v>1858</v>
      </c>
      <c r="C5547" s="360"/>
      <c r="D5547" s="327">
        <f>IF($B5547="","",COUNTIF($B$4731:$B5547,$B5547))</f>
        <v>3</v>
      </c>
      <c r="E5547" s="402" t="s">
        <v>2788</v>
      </c>
      <c r="F5547" s="403" t="s">
        <v>2789</v>
      </c>
      <c r="G5547" s="327" t="s">
        <v>155</v>
      </c>
      <c r="H5547" s="361" t="s">
        <v>536</v>
      </c>
      <c r="I5547" s="327">
        <f>4*I5546</f>
        <v>16</v>
      </c>
      <c r="J5547" s="361"/>
      <c r="K5547" s="327" t="s">
        <v>100</v>
      </c>
      <c r="L5547" s="389">
        <v>600</v>
      </c>
      <c r="M5547" s="355"/>
      <c r="N5547" s="355" t="s">
        <v>2408</v>
      </c>
      <c r="O5547" s="345" t="s">
        <v>2776</v>
      </c>
      <c r="P5547" s="325"/>
      <c r="Q5547" s="327"/>
      <c r="R5547" s="351"/>
      <c r="S5547" s="351"/>
      <c r="T5547" s="351"/>
      <c r="U5547" s="329" t="str">
        <f>IF($N5547=$N$4,IFERROR(INDEX(DanhMuc!$E$154:$E$165,MATCH(MID($B5547,4,2),DanhMuc!$B$154:$B$165,0)),""),"")</f>
        <v/>
      </c>
      <c r="V5547" s="361"/>
      <c r="W5547" s="345"/>
      <c r="X5547" s="786"/>
      <c r="Y5547" s="1128" t="s">
        <v>3380</v>
      </c>
      <c r="Z5547" s="1128" t="s">
        <v>3381</v>
      </c>
      <c r="AA5547" s="1128" t="s">
        <v>3384</v>
      </c>
      <c r="AB5547" s="20"/>
      <c r="AC5547" s="73"/>
    </row>
    <row r="5548" spans="1:29">
      <c r="A5548" s="327" t="str">
        <f>IF(AND($B5548&lt;&gt;"",$C5548&lt;&gt;""),MAX($A$4730:$A5472)+1,"")</f>
        <v/>
      </c>
      <c r="B5548" s="361" t="s">
        <v>1858</v>
      </c>
      <c r="C5548" s="360"/>
      <c r="D5548" s="327">
        <f>IF($B5548="","",COUNTIF($B$4731:$B5548,$B5548))</f>
        <v>4</v>
      </c>
      <c r="E5548" s="480" t="s">
        <v>2860</v>
      </c>
      <c r="F5548" s="403" t="s">
        <v>2861</v>
      </c>
      <c r="G5548" s="327" t="s">
        <v>155</v>
      </c>
      <c r="H5548" s="361" t="s">
        <v>536</v>
      </c>
      <c r="I5548" s="327">
        <v>16</v>
      </c>
      <c r="J5548" s="361"/>
      <c r="K5548" s="327" t="s">
        <v>101</v>
      </c>
      <c r="L5548" s="389">
        <v>5100</v>
      </c>
      <c r="M5548" s="355"/>
      <c r="N5548" s="355" t="s">
        <v>2408</v>
      </c>
      <c r="O5548" s="345" t="s">
        <v>2779</v>
      </c>
      <c r="P5548" s="325"/>
      <c r="Q5548" s="327"/>
      <c r="R5548" s="351"/>
      <c r="S5548" s="351"/>
      <c r="T5548" s="351"/>
      <c r="U5548" s="329" t="str">
        <f>IF($N5548=$N$4,IFERROR(INDEX(DanhMuc!$E$154:$E$165,MATCH(MID($B5548,4,2),DanhMuc!$B$154:$B$165,0)),""),"")</f>
        <v/>
      </c>
      <c r="V5548" s="361"/>
      <c r="W5548" s="345"/>
      <c r="X5548" s="786"/>
      <c r="Y5548" s="1128" t="s">
        <v>3380</v>
      </c>
      <c r="Z5548" s="1128" t="s">
        <v>3381</v>
      </c>
      <c r="AA5548" s="1128" t="s">
        <v>3384</v>
      </c>
      <c r="AB5548" s="20"/>
      <c r="AC5548" s="73"/>
    </row>
    <row r="5549" spans="1:29">
      <c r="A5549" s="327" t="str">
        <f>IF(AND($B5549&lt;&gt;"",$C5549&lt;&gt;""),MAX($A$4730:$A5473)+1,"")</f>
        <v/>
      </c>
      <c r="B5549" s="361" t="s">
        <v>1858</v>
      </c>
      <c r="C5549" s="360"/>
      <c r="D5549" s="327">
        <f>IF($B5549="","",COUNTIF($B$4731:$B5549,$B5549))</f>
        <v>5</v>
      </c>
      <c r="E5549" s="480" t="s">
        <v>2305</v>
      </c>
      <c r="F5549" s="403" t="s">
        <v>2334</v>
      </c>
      <c r="G5549" s="327" t="s">
        <v>155</v>
      </c>
      <c r="H5549" s="361" t="s">
        <v>536</v>
      </c>
      <c r="I5549" s="327">
        <v>16</v>
      </c>
      <c r="J5549" s="361"/>
      <c r="K5549" s="327" t="s">
        <v>101</v>
      </c>
      <c r="L5549" s="389">
        <v>5100</v>
      </c>
      <c r="M5549" s="355"/>
      <c r="N5549" s="355" t="s">
        <v>2408</v>
      </c>
      <c r="O5549" s="345" t="s">
        <v>2778</v>
      </c>
      <c r="P5549" s="325"/>
      <c r="Q5549" s="327"/>
      <c r="R5549" s="351"/>
      <c r="S5549" s="351"/>
      <c r="T5549" s="351"/>
      <c r="U5549" s="329" t="str">
        <f>IF($N5549=$N$4,IFERROR(INDEX(DanhMuc!$E$154:$E$165,MATCH(MID($B5549,4,2),DanhMuc!$B$154:$B$165,0)),""),"")</f>
        <v/>
      </c>
      <c r="V5549" s="361"/>
      <c r="W5549" s="345"/>
      <c r="X5549" s="786"/>
      <c r="Y5549" s="1128" t="s">
        <v>3380</v>
      </c>
      <c r="Z5549" s="1128" t="s">
        <v>3381</v>
      </c>
      <c r="AA5549" s="1128" t="s">
        <v>3384</v>
      </c>
      <c r="AB5549" s="20"/>
      <c r="AC5549" s="73"/>
    </row>
    <row r="5550" spans="1:29">
      <c r="A5550" s="327" t="str">
        <f>IF(AND($B5550&lt;&gt;"",$C5550&lt;&gt;""),MAX($A$4730:$A5548)+1,"")</f>
        <v/>
      </c>
      <c r="B5550" s="361" t="s">
        <v>1858</v>
      </c>
      <c r="C5550" s="360"/>
      <c r="D5550" s="327">
        <f>IF($B5550="","",COUNTIF($B$4731:$B5550,$B5550))</f>
        <v>6</v>
      </c>
      <c r="E5550" s="402" t="s">
        <v>2788</v>
      </c>
      <c r="F5550" s="403" t="s">
        <v>2789</v>
      </c>
      <c r="G5550" s="327" t="s">
        <v>155</v>
      </c>
      <c r="H5550" s="361" t="s">
        <v>536</v>
      </c>
      <c r="I5550" s="327">
        <f>4*I5549</f>
        <v>64</v>
      </c>
      <c r="J5550" s="361"/>
      <c r="K5550" s="327" t="s">
        <v>101</v>
      </c>
      <c r="L5550" s="389">
        <v>600</v>
      </c>
      <c r="M5550" s="355"/>
      <c r="N5550" s="355" t="s">
        <v>2408</v>
      </c>
      <c r="O5550" s="345" t="s">
        <v>2778</v>
      </c>
      <c r="P5550" s="325"/>
      <c r="Q5550" s="327"/>
      <c r="R5550" s="351"/>
      <c r="S5550" s="351"/>
      <c r="T5550" s="351"/>
      <c r="U5550" s="329" t="str">
        <f>IF($N5550=$N$4,IFERROR(INDEX(DanhMuc!$E$154:$E$165,MATCH(MID($B5550,4,2),DanhMuc!$B$154:$B$165,0)),""),"")</f>
        <v/>
      </c>
      <c r="V5550" s="361"/>
      <c r="W5550" s="345"/>
      <c r="X5550" s="786"/>
      <c r="Y5550" s="1128" t="s">
        <v>3380</v>
      </c>
      <c r="Z5550" s="1128" t="s">
        <v>3381</v>
      </c>
      <c r="AA5550" s="1128" t="s">
        <v>3384</v>
      </c>
      <c r="AB5550" s="20"/>
      <c r="AC5550" s="73"/>
    </row>
    <row r="5551" spans="1:29">
      <c r="A5551" s="327" t="str">
        <f>IF(AND($B5551&lt;&gt;"",$C5551&lt;&gt;""),MAX($A$4730:$A5472)+1,"")</f>
        <v/>
      </c>
      <c r="B5551" s="361" t="s">
        <v>1858</v>
      </c>
      <c r="C5551" s="360"/>
      <c r="D5551" s="327">
        <f>IF($B5551="","",COUNTIF($B$4731:$B5551,$B5551))</f>
        <v>7</v>
      </c>
      <c r="E5551" s="361" t="s">
        <v>2338</v>
      </c>
      <c r="F5551" s="362" t="s">
        <v>2331</v>
      </c>
      <c r="G5551" s="327" t="s">
        <v>155</v>
      </c>
      <c r="H5551" s="361" t="s">
        <v>536</v>
      </c>
      <c r="I5551" s="327">
        <v>32</v>
      </c>
      <c r="J5551" s="361"/>
      <c r="K5551" s="327" t="s">
        <v>101</v>
      </c>
      <c r="L5551" s="389">
        <v>750</v>
      </c>
      <c r="M5551" s="355"/>
      <c r="N5551" s="355" t="s">
        <v>2408</v>
      </c>
      <c r="O5551" s="345"/>
      <c r="P5551" s="325"/>
      <c r="Q5551" s="327"/>
      <c r="R5551" s="351"/>
      <c r="S5551" s="351"/>
      <c r="T5551" s="351"/>
      <c r="U5551" s="329" t="str">
        <f>IF($N5551=$N$4,IFERROR(INDEX(DanhMuc!$E$154:$E$165,MATCH(MID($B5551,4,2),DanhMuc!$B$154:$B$165,0)),""),"")</f>
        <v/>
      </c>
      <c r="V5551" s="361"/>
      <c r="W5551" s="345"/>
      <c r="X5551" s="786"/>
      <c r="Y5551" s="1128" t="s">
        <v>3380</v>
      </c>
      <c r="Z5551" s="1128" t="s">
        <v>3381</v>
      </c>
      <c r="AA5551" s="1128" t="s">
        <v>3384</v>
      </c>
      <c r="AB5551" s="20"/>
      <c r="AC5551" s="73"/>
    </row>
    <row r="5552" spans="1:29">
      <c r="A5552" s="327" t="str">
        <f>IF(AND($B5552&lt;&gt;"",$C5552&lt;&gt;""),MAX($A$4730:$A5551)+1,"")</f>
        <v/>
      </c>
      <c r="B5552" s="361" t="s">
        <v>1858</v>
      </c>
      <c r="C5552" s="362"/>
      <c r="D5552" s="327">
        <f>IF($B5552="","",COUNTIF($B$4731:$B5552,$B5552))</f>
        <v>8</v>
      </c>
      <c r="E5552" s="361" t="s">
        <v>654</v>
      </c>
      <c r="F5552" s="362" t="s">
        <v>653</v>
      </c>
      <c r="G5552" s="327" t="s">
        <v>1836</v>
      </c>
      <c r="H5552" s="361" t="s">
        <v>536</v>
      </c>
      <c r="I5552" s="327">
        <f>I5545/45</f>
        <v>8.8888888888888892E-2</v>
      </c>
      <c r="J5552" s="477"/>
      <c r="K5552" s="327" t="s">
        <v>655</v>
      </c>
      <c r="L5552" s="478">
        <v>115000</v>
      </c>
      <c r="M5552" s="355"/>
      <c r="N5552" s="355" t="s">
        <v>2408</v>
      </c>
      <c r="O5552" s="345" t="s">
        <v>2777</v>
      </c>
      <c r="P5552" s="325"/>
      <c r="Q5552" s="327"/>
      <c r="R5552" s="351"/>
      <c r="S5552" s="351"/>
      <c r="T5552" s="351"/>
      <c r="U5552" s="329" t="str">
        <f>IF($N5552=$N$4,IFERROR(INDEX(DanhMuc!$E$154:$E$165,MATCH(MID($B5552,4,2),DanhMuc!$B$154:$B$165,0)),""),"")</f>
        <v/>
      </c>
      <c r="V5552" s="361"/>
      <c r="W5552" s="345"/>
      <c r="X5552" s="786"/>
      <c r="Y5552" s="1128" t="s">
        <v>3380</v>
      </c>
      <c r="Z5552" s="1128" t="s">
        <v>3381</v>
      </c>
      <c r="AA5552" s="1128" t="s">
        <v>3384</v>
      </c>
      <c r="AB5552" s="20"/>
      <c r="AC5552" s="73"/>
    </row>
    <row r="5553" spans="1:29">
      <c r="A5553" s="327" t="str">
        <f>IF(AND($B5553&lt;&gt;"",$C5553&lt;&gt;""),MAX($A$4730:$A5552)+1,"")</f>
        <v/>
      </c>
      <c r="B5553" s="361" t="s">
        <v>1858</v>
      </c>
      <c r="C5553" s="362"/>
      <c r="D5553" s="327">
        <f>IF($B5553="","",COUNTIF($B$4731:$B5553,$B5553))</f>
        <v>9</v>
      </c>
      <c r="E5553" s="361" t="s">
        <v>654</v>
      </c>
      <c r="F5553" s="362" t="s">
        <v>653</v>
      </c>
      <c r="G5553" s="327" t="s">
        <v>1836</v>
      </c>
      <c r="H5553" s="361" t="s">
        <v>536</v>
      </c>
      <c r="I5553" s="327">
        <f>I5548/45</f>
        <v>0.35555555555555557</v>
      </c>
      <c r="J5553" s="477"/>
      <c r="K5553" s="327" t="s">
        <v>655</v>
      </c>
      <c r="L5553" s="478">
        <v>115000</v>
      </c>
      <c r="M5553" s="355"/>
      <c r="N5553" s="355" t="s">
        <v>2408</v>
      </c>
      <c r="O5553" s="345" t="s">
        <v>2779</v>
      </c>
      <c r="P5553" s="325"/>
      <c r="Q5553" s="327"/>
      <c r="R5553" s="351"/>
      <c r="S5553" s="351"/>
      <c r="T5553" s="351"/>
      <c r="U5553" s="329" t="str">
        <f>IF($N5553=$N$4,IFERROR(INDEX(DanhMuc!$E$154:$E$165,MATCH(MID($B5553,4,2),DanhMuc!$B$154:$B$165,0)),""),"")</f>
        <v/>
      </c>
      <c r="V5553" s="361"/>
      <c r="W5553" s="345"/>
      <c r="X5553" s="786"/>
      <c r="Y5553" s="1128" t="s">
        <v>3380</v>
      </c>
      <c r="Z5553" s="1128" t="s">
        <v>3381</v>
      </c>
      <c r="AA5553" s="1128" t="s">
        <v>3384</v>
      </c>
      <c r="AB5553" s="20"/>
      <c r="AC5553" s="73"/>
    </row>
    <row r="5554" spans="1:29">
      <c r="A5554" s="327" t="str">
        <f>IF(AND($B5554&lt;&gt;"",$C5554&lt;&gt;""),MAX($A$4730:$A5480)+1,"")</f>
        <v/>
      </c>
      <c r="B5554" s="361" t="s">
        <v>1858</v>
      </c>
      <c r="C5554" s="360"/>
      <c r="D5554" s="327">
        <f>IF($B5554="","",COUNTIF($B$4731:$B5554,$B5554))</f>
        <v>10</v>
      </c>
      <c r="E5554" s="361" t="s">
        <v>1826</v>
      </c>
      <c r="F5554" s="362" t="s">
        <v>670</v>
      </c>
      <c r="G5554" s="327" t="s">
        <v>661</v>
      </c>
      <c r="H5554" s="361" t="s">
        <v>536</v>
      </c>
      <c r="I5554" s="361" t="s">
        <v>2354</v>
      </c>
      <c r="J5554" s="361"/>
      <c r="K5554" s="327" t="s">
        <v>103</v>
      </c>
      <c r="L5554" s="478">
        <f>40000/1000</f>
        <v>40</v>
      </c>
      <c r="M5554" s="355"/>
      <c r="N5554" s="355" t="s">
        <v>2408</v>
      </c>
      <c r="O5554" s="345"/>
      <c r="P5554" s="325"/>
      <c r="Q5554" s="327"/>
      <c r="R5554" s="351"/>
      <c r="S5554" s="351"/>
      <c r="T5554" s="351"/>
      <c r="U5554" s="329" t="str">
        <f>IF($N5554=$N$4,IFERROR(INDEX(DanhMuc!$E$154:$E$165,MATCH(MID($B5554,4,2),DanhMuc!$B$154:$B$165,0)),""),"")</f>
        <v/>
      </c>
      <c r="V5554" s="361"/>
      <c r="W5554" s="345"/>
      <c r="X5554" s="786"/>
      <c r="Y5554" s="1128" t="s">
        <v>3380</v>
      </c>
      <c r="Z5554" s="1128" t="s">
        <v>3381</v>
      </c>
      <c r="AA5554" s="1128" t="s">
        <v>3384</v>
      </c>
      <c r="AB5554" s="20"/>
      <c r="AC5554" s="73"/>
    </row>
    <row r="5555" spans="1:29" ht="37.5">
      <c r="A5555" s="327" t="str">
        <f>IF(AND($B5555&lt;&gt;"",$C5555&lt;&gt;""),MAX($A$4730:$A5554)+1,"")</f>
        <v/>
      </c>
      <c r="B5555" s="361" t="s">
        <v>1858</v>
      </c>
      <c r="C5555" s="362"/>
      <c r="D5555" s="327">
        <f>IF($B5555="","",COUNTIF($B$4731:$B5555,$B5555))</f>
        <v>11</v>
      </c>
      <c r="E5555" s="362" t="s">
        <v>2756</v>
      </c>
      <c r="F5555" s="362" t="s">
        <v>2757</v>
      </c>
      <c r="G5555" s="327" t="s">
        <v>405</v>
      </c>
      <c r="H5555" s="361" t="s">
        <v>536</v>
      </c>
      <c r="I5555" s="361" t="s">
        <v>694</v>
      </c>
      <c r="J5555" s="361"/>
      <c r="K5555" s="327" t="s">
        <v>738</v>
      </c>
      <c r="L5555" s="479">
        <v>322</v>
      </c>
      <c r="M5555" s="371"/>
      <c r="N5555" s="355" t="s">
        <v>2408</v>
      </c>
      <c r="O5555" s="345"/>
      <c r="P5555" s="325"/>
      <c r="Q5555" s="327"/>
      <c r="R5555" s="351"/>
      <c r="S5555" s="351"/>
      <c r="T5555" s="351"/>
      <c r="U5555" s="329" t="str">
        <f>IF($N5555=$N$4,IFERROR(INDEX(DanhMuc!$E$154:$E$165,MATCH(MID($B5555,4,2),DanhMuc!$B$154:$B$165,0)),""),"")</f>
        <v/>
      </c>
      <c r="V5555" s="361"/>
      <c r="W5555" s="345"/>
      <c r="X5555" s="786"/>
      <c r="Y5555" s="1128" t="s">
        <v>3380</v>
      </c>
      <c r="Z5555" s="1128" t="s">
        <v>3381</v>
      </c>
      <c r="AA5555" s="1128" t="s">
        <v>3384</v>
      </c>
      <c r="AB5555" s="20"/>
      <c r="AC5555" s="73"/>
    </row>
    <row r="5556" spans="1:29">
      <c r="A5556" s="327" t="str">
        <f>IF(AND($B5556&lt;&gt;"",$C5556&lt;&gt;""),MAX($A$4730:$A5555)+1,"")</f>
        <v/>
      </c>
      <c r="B5556" s="361" t="s">
        <v>1858</v>
      </c>
      <c r="C5556" s="362"/>
      <c r="D5556" s="327">
        <f>IF($B5556="","",COUNTIF($B$4731:$B5556,$B5556))</f>
        <v>12</v>
      </c>
      <c r="E5556" s="361" t="s">
        <v>656</v>
      </c>
      <c r="F5556" s="362" t="s">
        <v>2239</v>
      </c>
      <c r="G5556" s="327" t="s">
        <v>405</v>
      </c>
      <c r="H5556" s="361" t="s">
        <v>536</v>
      </c>
      <c r="I5556" s="361" t="s">
        <v>1827</v>
      </c>
      <c r="J5556" s="361"/>
      <c r="K5556" s="327" t="s">
        <v>100</v>
      </c>
      <c r="L5556" s="478">
        <v>970</v>
      </c>
      <c r="M5556" s="371"/>
      <c r="N5556" s="355" t="s">
        <v>2409</v>
      </c>
      <c r="O5556" s="345"/>
      <c r="P5556" s="325"/>
      <c r="Q5556" s="327"/>
      <c r="R5556" s="351"/>
      <c r="S5556" s="351"/>
      <c r="T5556" s="351"/>
      <c r="U5556" s="329" t="str">
        <f>IF($N5556=$N$4,IFERROR(INDEX(DanhMuc!$E$154:$E$165,MATCH(MID($B5556,4,2),DanhMuc!$B$154:$B$165,0)),""),"")</f>
        <v/>
      </c>
      <c r="V5556" s="361"/>
      <c r="W5556" s="345"/>
      <c r="X5556" s="786"/>
      <c r="Y5556" s="1128" t="s">
        <v>3380</v>
      </c>
      <c r="Z5556" s="1128" t="s">
        <v>3381</v>
      </c>
      <c r="AA5556" s="1128" t="s">
        <v>3384</v>
      </c>
      <c r="AB5556" s="20"/>
      <c r="AC5556" s="73"/>
    </row>
    <row r="5557" spans="1:29">
      <c r="A5557" s="327" t="str">
        <f>IF(AND($B5557&lt;&gt;"",$C5557&lt;&gt;""),MAX($A$4730:$A5556)+1,"")</f>
        <v/>
      </c>
      <c r="B5557" s="361" t="s">
        <v>1858</v>
      </c>
      <c r="C5557" s="362"/>
      <c r="D5557" s="327">
        <f>IF($B5557="","",COUNTIF($B$4731:$B5557,$B5557))</f>
        <v>13</v>
      </c>
      <c r="E5557" s="361" t="s">
        <v>657</v>
      </c>
      <c r="F5557" s="362" t="s">
        <v>658</v>
      </c>
      <c r="G5557" s="327" t="s">
        <v>424</v>
      </c>
      <c r="H5557" s="361" t="s">
        <v>536</v>
      </c>
      <c r="I5557" s="361" t="s">
        <v>665</v>
      </c>
      <c r="J5557" s="361"/>
      <c r="K5557" s="327" t="s">
        <v>100</v>
      </c>
      <c r="L5557" s="478">
        <v>60000</v>
      </c>
      <c r="M5557" s="355"/>
      <c r="N5557" s="355" t="s">
        <v>2409</v>
      </c>
      <c r="O5557" s="345"/>
      <c r="P5557" s="325"/>
      <c r="Q5557" s="327"/>
      <c r="R5557" s="351"/>
      <c r="S5557" s="351"/>
      <c r="T5557" s="351"/>
      <c r="U5557" s="329" t="str">
        <f>IF($N5557=$N$4,IFERROR(INDEX(DanhMuc!$E$154:$E$165,MATCH(MID($B5557,4,2),DanhMuc!$B$154:$B$165,0)),""),"")</f>
        <v/>
      </c>
      <c r="V5557" s="361"/>
      <c r="W5557" s="345"/>
      <c r="X5557" s="786"/>
      <c r="Y5557" s="1128" t="s">
        <v>3380</v>
      </c>
      <c r="Z5557" s="1128" t="s">
        <v>3381</v>
      </c>
      <c r="AA5557" s="1128" t="s">
        <v>3384</v>
      </c>
      <c r="AB5557" s="20"/>
      <c r="AC5557" s="73"/>
    </row>
    <row r="5558" spans="1:29">
      <c r="A5558" s="327" t="str">
        <f>IF(AND($B5558&lt;&gt;"",$C5558&lt;&gt;""),MAX($A$4730:$A5557)+1,"")</f>
        <v/>
      </c>
      <c r="B5558" s="361" t="s">
        <v>1858</v>
      </c>
      <c r="C5558" s="362"/>
      <c r="D5558" s="327">
        <f>IF($B5558="","",COUNTIF($B$4731:$B5558,$B5558))</f>
        <v>14</v>
      </c>
      <c r="E5558" s="361" t="s">
        <v>2771</v>
      </c>
      <c r="F5558" s="362" t="s">
        <v>659</v>
      </c>
      <c r="G5558" s="327" t="s">
        <v>424</v>
      </c>
      <c r="H5558" s="361" t="s">
        <v>536</v>
      </c>
      <c r="I5558" s="361" t="s">
        <v>666</v>
      </c>
      <c r="J5558" s="361"/>
      <c r="K5558" s="327" t="s">
        <v>100</v>
      </c>
      <c r="L5558" s="389">
        <v>53000</v>
      </c>
      <c r="M5558" s="355"/>
      <c r="N5558" s="355" t="s">
        <v>2409</v>
      </c>
      <c r="O5558" s="345"/>
      <c r="P5558" s="325"/>
      <c r="Q5558" s="327"/>
      <c r="R5558" s="351"/>
      <c r="S5558" s="351"/>
      <c r="T5558" s="351"/>
      <c r="U5558" s="329" t="str">
        <f>IF($N5558=$N$4,IFERROR(INDEX(DanhMuc!$E$154:$E$165,MATCH(MID($B5558,4,2),DanhMuc!$B$154:$B$165,0)),""),"")</f>
        <v/>
      </c>
      <c r="V5558" s="361"/>
      <c r="W5558" s="345"/>
      <c r="X5558" s="786"/>
      <c r="Y5558" s="1128" t="s">
        <v>3380</v>
      </c>
      <c r="Z5558" s="1128" t="s">
        <v>3381</v>
      </c>
      <c r="AA5558" s="1128" t="s">
        <v>3384</v>
      </c>
      <c r="AB5558" s="20"/>
      <c r="AC5558" s="73"/>
    </row>
    <row r="5559" spans="1:29">
      <c r="A5559" s="327" t="str">
        <f>IF(AND($B5559&lt;&gt;"",$C5559&lt;&gt;""),MAX($A$4730:$A5558)+1,"")</f>
        <v/>
      </c>
      <c r="B5559" s="361" t="s">
        <v>1858</v>
      </c>
      <c r="C5559" s="362"/>
      <c r="D5559" s="327">
        <f>IF($B5559="","",COUNTIF($B$4731:$B5559,$B5559))</f>
        <v>15</v>
      </c>
      <c r="E5559" s="361" t="s">
        <v>1828</v>
      </c>
      <c r="F5559" s="362" t="s">
        <v>671</v>
      </c>
      <c r="G5559" s="327" t="s">
        <v>661</v>
      </c>
      <c r="H5559" s="361" t="s">
        <v>536</v>
      </c>
      <c r="I5559" s="361" t="s">
        <v>2355</v>
      </c>
      <c r="J5559" s="361"/>
      <c r="K5559" s="327" t="s">
        <v>100</v>
      </c>
      <c r="L5559" s="478">
        <f>40000/1000</f>
        <v>40</v>
      </c>
      <c r="M5559" s="355"/>
      <c r="N5559" s="355" t="s">
        <v>2409</v>
      </c>
      <c r="O5559" s="345"/>
      <c r="P5559" s="325"/>
      <c r="Q5559" s="327"/>
      <c r="R5559" s="351"/>
      <c r="S5559" s="351"/>
      <c r="T5559" s="351"/>
      <c r="U5559" s="329" t="str">
        <f>IF($N5559=$N$4,IFERROR(INDEX(DanhMuc!$E$154:$E$165,MATCH(MID($B5559,4,2),DanhMuc!$B$154:$B$165,0)),""),"")</f>
        <v/>
      </c>
      <c r="V5559" s="361"/>
      <c r="W5559" s="345"/>
      <c r="X5559" s="786"/>
      <c r="Y5559" s="1128" t="s">
        <v>3380</v>
      </c>
      <c r="Z5559" s="1128" t="s">
        <v>3381</v>
      </c>
      <c r="AA5559" s="1128" t="s">
        <v>3384</v>
      </c>
      <c r="AB5559" s="20"/>
      <c r="AC5559" s="73"/>
    </row>
    <row r="5560" spans="1:29">
      <c r="A5560" s="327" t="str">
        <f>IF(AND($B5560&lt;&gt;"",$C5560&lt;&gt;""),MAX($A$4730:$A5559)+1,"")</f>
        <v/>
      </c>
      <c r="B5560" s="361" t="s">
        <v>1858</v>
      </c>
      <c r="C5560" s="362"/>
      <c r="D5560" s="327">
        <f>IF($B5560="","",COUNTIF($B$4731:$B5560,$B5560))</f>
        <v>16</v>
      </c>
      <c r="E5560" s="361" t="s">
        <v>154</v>
      </c>
      <c r="F5560" s="362" t="s">
        <v>660</v>
      </c>
      <c r="G5560" s="327" t="s">
        <v>661</v>
      </c>
      <c r="H5560" s="361" t="s">
        <v>536</v>
      </c>
      <c r="I5560" s="361" t="s">
        <v>667</v>
      </c>
      <c r="J5560" s="361"/>
      <c r="K5560" s="327" t="s">
        <v>662</v>
      </c>
      <c r="L5560" s="478">
        <v>20</v>
      </c>
      <c r="M5560" s="355"/>
      <c r="N5560" s="355" t="s">
        <v>2409</v>
      </c>
      <c r="O5560" s="345"/>
      <c r="P5560" s="325"/>
      <c r="Q5560" s="327"/>
      <c r="R5560" s="351"/>
      <c r="S5560" s="351"/>
      <c r="T5560" s="351"/>
      <c r="U5560" s="329" t="str">
        <f>IF($N5560=$N$4,IFERROR(INDEX(DanhMuc!$E$154:$E$165,MATCH(MID($B5560,4,2),DanhMuc!$B$154:$B$165,0)),""),"")</f>
        <v/>
      </c>
      <c r="V5560" s="361"/>
      <c r="W5560" s="345"/>
      <c r="X5560" s="786"/>
      <c r="Y5560" s="1128" t="s">
        <v>3380</v>
      </c>
      <c r="Z5560" s="1128" t="s">
        <v>3381</v>
      </c>
      <c r="AA5560" s="1128" t="s">
        <v>3384</v>
      </c>
      <c r="AB5560" s="20"/>
      <c r="AC5560" s="73"/>
    </row>
    <row r="5561" spans="1:29">
      <c r="A5561" s="327" t="str">
        <f>IF(AND($B5561&lt;&gt;"",$C5561&lt;&gt;""),MAX($A$4730:$A5560)+1,"")</f>
        <v/>
      </c>
      <c r="B5561" s="361" t="s">
        <v>1858</v>
      </c>
      <c r="C5561" s="362"/>
      <c r="D5561" s="327">
        <f>IF($B5561="","",COUNTIF($B$4731:$B5561,$B5561))</f>
        <v>17</v>
      </c>
      <c r="E5561" s="362" t="s">
        <v>2282</v>
      </c>
      <c r="F5561" s="362" t="s">
        <v>2283</v>
      </c>
      <c r="G5561" s="327" t="s">
        <v>424</v>
      </c>
      <c r="H5561" s="361" t="s">
        <v>536</v>
      </c>
      <c r="I5561" s="361" t="s">
        <v>2238</v>
      </c>
      <c r="J5561" s="361"/>
      <c r="K5561" s="327" t="s">
        <v>662</v>
      </c>
      <c r="L5561" s="478">
        <v>28000</v>
      </c>
      <c r="M5561" s="355"/>
      <c r="N5561" s="355" t="s">
        <v>2409</v>
      </c>
      <c r="O5561" s="345"/>
      <c r="P5561" s="325"/>
      <c r="Q5561" s="327"/>
      <c r="R5561" s="351"/>
      <c r="S5561" s="351"/>
      <c r="T5561" s="351"/>
      <c r="U5561" s="329" t="str">
        <f>IF($N5561=$N$4,IFERROR(INDEX(DanhMuc!$E$154:$E$165,MATCH(MID($B5561,4,2),DanhMuc!$B$154:$B$165,0)),""),"")</f>
        <v/>
      </c>
      <c r="V5561" s="361"/>
      <c r="W5561" s="345"/>
      <c r="X5561" s="786"/>
      <c r="Y5561" s="1128" t="s">
        <v>3380</v>
      </c>
      <c r="Z5561" s="1128" t="s">
        <v>3381</v>
      </c>
      <c r="AA5561" s="1128" t="s">
        <v>3384</v>
      </c>
      <c r="AB5561" s="20"/>
      <c r="AC5561" s="73"/>
    </row>
    <row r="5562" spans="1:29">
      <c r="A5562" s="327" t="str">
        <f>IF(AND($B5562&lt;&gt;"",$C5562&lt;&gt;""),MAX($A$4730:$A5561)+1,"")</f>
        <v/>
      </c>
      <c r="B5562" s="361" t="s">
        <v>1858</v>
      </c>
      <c r="C5562" s="362"/>
      <c r="D5562" s="327">
        <f>IF($B5562="","",COUNTIF($B$4731:$B5562,$B5562))</f>
        <v>18</v>
      </c>
      <c r="E5562" s="362" t="s">
        <v>663</v>
      </c>
      <c r="F5562" s="362" t="s">
        <v>664</v>
      </c>
      <c r="G5562" s="327" t="s">
        <v>155</v>
      </c>
      <c r="H5562" s="361" t="s">
        <v>536</v>
      </c>
      <c r="I5562" s="361" t="s">
        <v>672</v>
      </c>
      <c r="J5562" s="361"/>
      <c r="K5562" s="327" t="s">
        <v>662</v>
      </c>
      <c r="L5562" s="478">
        <v>1000</v>
      </c>
      <c r="M5562" s="355"/>
      <c r="N5562" s="355" t="s">
        <v>2409</v>
      </c>
      <c r="O5562" s="345"/>
      <c r="P5562" s="325"/>
      <c r="Q5562" s="327"/>
      <c r="R5562" s="351"/>
      <c r="S5562" s="351"/>
      <c r="T5562" s="351"/>
      <c r="U5562" s="329" t="str">
        <f>IF($N5562=$N$4,IFERROR(INDEX(DanhMuc!$E$154:$E$165,MATCH(MID($B5562,4,2),DanhMuc!$B$154:$B$165,0)),""),"")</f>
        <v/>
      </c>
      <c r="V5562" s="361"/>
      <c r="W5562" s="345"/>
      <c r="X5562" s="786"/>
      <c r="Y5562" s="1128" t="s">
        <v>3380</v>
      </c>
      <c r="Z5562" s="1128" t="s">
        <v>3381</v>
      </c>
      <c r="AA5562" s="1128" t="s">
        <v>3384</v>
      </c>
      <c r="AB5562" s="20"/>
      <c r="AC5562" s="73"/>
    </row>
    <row r="5563" spans="1:29" ht="39">
      <c r="A5563" s="327">
        <f>IF(AND($B5563&lt;&gt;"",$C5563&lt;&gt;""),MAX($A$4730:$A5417)+1,"")</f>
        <v>25</v>
      </c>
      <c r="B5563" s="359" t="s">
        <v>1863</v>
      </c>
      <c r="C5563" s="360" t="s">
        <v>1890</v>
      </c>
      <c r="D5563" s="327">
        <f>IF($B5563="","",COUNTIF($B$4731:$B5563,$B5563))</f>
        <v>1</v>
      </c>
      <c r="E5563" s="402" t="s">
        <v>2302</v>
      </c>
      <c r="F5563" s="403" t="s">
        <v>2332</v>
      </c>
      <c r="G5563" s="327" t="s">
        <v>155</v>
      </c>
      <c r="H5563" s="361" t="s">
        <v>536</v>
      </c>
      <c r="I5563" s="327">
        <v>4</v>
      </c>
      <c r="J5563" s="361"/>
      <c r="K5563" s="327" t="s">
        <v>100</v>
      </c>
      <c r="L5563" s="389">
        <v>6600</v>
      </c>
      <c r="M5563" s="355"/>
      <c r="N5563" s="355" t="s">
        <v>2408</v>
      </c>
      <c r="O5563" s="345" t="s">
        <v>2776</v>
      </c>
      <c r="P5563" s="325"/>
      <c r="Q5563" s="327"/>
      <c r="R5563" s="351">
        <v>0</v>
      </c>
      <c r="S5563" s="351">
        <v>5.8</v>
      </c>
      <c r="T5563" s="351">
        <v>3.1339999999999999</v>
      </c>
      <c r="U5563" s="329" t="str">
        <f>IF($N5563=$N$4,IFERROR(INDEX(DanhMuc!$E$154:$E$165,MATCH(MID($B5563,4,2),DanhMuc!$B$154:$B$165,0)),""),"")</f>
        <v/>
      </c>
      <c r="V5563" s="361"/>
      <c r="W5563" s="345"/>
      <c r="X5563" s="786"/>
      <c r="Y5563" s="1128" t="s">
        <v>3380</v>
      </c>
      <c r="Z5563" s="1128" t="s">
        <v>3381</v>
      </c>
      <c r="AA5563" s="1128" t="s">
        <v>3384</v>
      </c>
      <c r="AB5563" s="20"/>
      <c r="AC5563" s="73"/>
    </row>
    <row r="5564" spans="1:29">
      <c r="A5564" s="327" t="str">
        <f>IF(AND($B5564&lt;&gt;"",$C5564&lt;&gt;""),MAX($A$4730:$A5418)+1,"")</f>
        <v/>
      </c>
      <c r="B5564" s="361" t="s">
        <v>1863</v>
      </c>
      <c r="C5564" s="362"/>
      <c r="D5564" s="327">
        <f>IF($B5564="","",COUNTIF($B$4731:$B5564,$B5564))</f>
        <v>2</v>
      </c>
      <c r="E5564" s="402" t="s">
        <v>2788</v>
      </c>
      <c r="F5564" s="403" t="s">
        <v>2789</v>
      </c>
      <c r="G5564" s="327" t="s">
        <v>155</v>
      </c>
      <c r="H5564" s="361" t="s">
        <v>536</v>
      </c>
      <c r="I5564" s="327">
        <f>4*I5563</f>
        <v>16</v>
      </c>
      <c r="J5564" s="361"/>
      <c r="K5564" s="327" t="s">
        <v>100</v>
      </c>
      <c r="L5564" s="389">
        <v>600</v>
      </c>
      <c r="M5564" s="355"/>
      <c r="N5564" s="355" t="s">
        <v>2408</v>
      </c>
      <c r="O5564" s="345" t="s">
        <v>2776</v>
      </c>
      <c r="P5564" s="325"/>
      <c r="Q5564" s="327"/>
      <c r="R5564" s="351">
        <v>0</v>
      </c>
      <c r="S5564" s="351">
        <v>5.8</v>
      </c>
      <c r="T5564" s="351">
        <v>3.1339999999999999</v>
      </c>
      <c r="U5564" s="329" t="str">
        <f>IF($N5564=$N$4,IFERROR(INDEX(DanhMuc!$E$154:$E$165,MATCH(MID($B5564,4,2),DanhMuc!$B$154:$B$165,0)),""),"")</f>
        <v/>
      </c>
      <c r="V5564" s="361"/>
      <c r="W5564" s="345"/>
      <c r="X5564" s="786"/>
      <c r="Y5564" s="1128" t="s">
        <v>3380</v>
      </c>
      <c r="Z5564" s="1128" t="s">
        <v>3381</v>
      </c>
      <c r="AA5564" s="1128" t="s">
        <v>3384</v>
      </c>
      <c r="AB5564" s="20"/>
      <c r="AC5564" s="73"/>
    </row>
    <row r="5565" spans="1:29">
      <c r="A5565" s="327" t="str">
        <f>IF(AND($B5565&lt;&gt;"",$C5565&lt;&gt;""),MAX($A$4730:$A5419)+1,"")</f>
        <v/>
      </c>
      <c r="B5565" s="361" t="s">
        <v>1863</v>
      </c>
      <c r="C5565" s="362"/>
      <c r="D5565" s="327">
        <f>IF($B5565="","",COUNTIF($B$4731:$B5565,$B5565))</f>
        <v>3</v>
      </c>
      <c r="E5565" s="361" t="s">
        <v>2781</v>
      </c>
      <c r="F5565" s="362" t="s">
        <v>2780</v>
      </c>
      <c r="G5565" s="327" t="s">
        <v>155</v>
      </c>
      <c r="H5565" s="361" t="s">
        <v>536</v>
      </c>
      <c r="I5565" s="327">
        <v>4</v>
      </c>
      <c r="J5565" s="361"/>
      <c r="K5565" s="327" t="s">
        <v>100</v>
      </c>
      <c r="L5565" s="389">
        <v>7200</v>
      </c>
      <c r="M5565" s="355"/>
      <c r="N5565" s="355" t="s">
        <v>2408</v>
      </c>
      <c r="O5565" s="345" t="s">
        <v>2777</v>
      </c>
      <c r="P5565" s="325"/>
      <c r="Q5565" s="327"/>
      <c r="R5565" s="351">
        <v>0</v>
      </c>
      <c r="S5565" s="351">
        <v>5.8</v>
      </c>
      <c r="T5565" s="351">
        <v>3.1339999999999999</v>
      </c>
      <c r="U5565" s="329" t="str">
        <f>IF($N5565=$N$4,IFERROR(INDEX(DanhMuc!$E$154:$E$165,MATCH(MID($B5565,4,2),DanhMuc!$B$154:$B$165,0)),""),"")</f>
        <v/>
      </c>
      <c r="V5565" s="361"/>
      <c r="W5565" s="345"/>
      <c r="X5565" s="786"/>
      <c r="Y5565" s="1128" t="s">
        <v>3380</v>
      </c>
      <c r="Z5565" s="1128" t="s">
        <v>3381</v>
      </c>
      <c r="AA5565" s="1128" t="s">
        <v>3384</v>
      </c>
      <c r="AB5565" s="20"/>
      <c r="AC5565" s="73"/>
    </row>
    <row r="5566" spans="1:29">
      <c r="A5566" s="327" t="str">
        <f>IF(AND($B5566&lt;&gt;"",$C5566&lt;&gt;""),MAX($A$4730:$A5561)+1,"")</f>
        <v/>
      </c>
      <c r="B5566" s="361" t="s">
        <v>1863</v>
      </c>
      <c r="C5566" s="362"/>
      <c r="D5566" s="327">
        <f>IF($B5566="","",COUNTIF($B$4731:$B5566,$B5566))</f>
        <v>4</v>
      </c>
      <c r="E5566" s="402" t="s">
        <v>2303</v>
      </c>
      <c r="F5566" s="403" t="s">
        <v>2782</v>
      </c>
      <c r="G5566" s="327" t="s">
        <v>155</v>
      </c>
      <c r="H5566" s="361" t="s">
        <v>536</v>
      </c>
      <c r="I5566" s="327">
        <v>4</v>
      </c>
      <c r="J5566" s="361"/>
      <c r="K5566" s="327" t="s">
        <v>101</v>
      </c>
      <c r="L5566" s="389">
        <v>9100</v>
      </c>
      <c r="M5566" s="355"/>
      <c r="N5566" s="355" t="s">
        <v>2408</v>
      </c>
      <c r="O5566" s="345" t="s">
        <v>2778</v>
      </c>
      <c r="P5566" s="325"/>
      <c r="Q5566" s="327"/>
      <c r="R5566" s="351">
        <v>0</v>
      </c>
      <c r="S5566" s="351">
        <v>5.8</v>
      </c>
      <c r="T5566" s="351">
        <v>2.4359999999999999</v>
      </c>
      <c r="U5566" s="329" t="str">
        <f>IF($N5566=$N$4,IFERROR(INDEX(DanhMuc!$E$154:$E$165,MATCH(MID($B5566,4,2),DanhMuc!$B$154:$B$165,0)),""),"")</f>
        <v/>
      </c>
      <c r="V5566" s="361"/>
      <c r="W5566" s="345"/>
      <c r="X5566" s="786"/>
      <c r="Y5566" s="1128" t="s">
        <v>3380</v>
      </c>
      <c r="Z5566" s="1128" t="s">
        <v>3381</v>
      </c>
      <c r="AA5566" s="1128" t="s">
        <v>3384</v>
      </c>
      <c r="AB5566" s="20"/>
      <c r="AC5566" s="73"/>
    </row>
    <row r="5567" spans="1:29">
      <c r="A5567" s="327" t="str">
        <f>IF(AND($B5567&lt;&gt;"",$C5567&lt;&gt;""),MAX($A$4730:$A5562)+1,"")</f>
        <v/>
      </c>
      <c r="B5567" s="361" t="s">
        <v>1863</v>
      </c>
      <c r="C5567" s="362"/>
      <c r="D5567" s="327">
        <f>IF($B5567="","",COUNTIF($B$4731:$B5567,$B5567))</f>
        <v>5</v>
      </c>
      <c r="E5567" s="402" t="s">
        <v>2788</v>
      </c>
      <c r="F5567" s="403" t="s">
        <v>2789</v>
      </c>
      <c r="G5567" s="327" t="s">
        <v>155</v>
      </c>
      <c r="H5567" s="361" t="s">
        <v>536</v>
      </c>
      <c r="I5567" s="327">
        <f>4*I5566</f>
        <v>16</v>
      </c>
      <c r="J5567" s="361"/>
      <c r="K5567" s="327" t="s">
        <v>101</v>
      </c>
      <c r="L5567" s="389">
        <v>600</v>
      </c>
      <c r="M5567" s="355"/>
      <c r="N5567" s="355" t="s">
        <v>2408</v>
      </c>
      <c r="O5567" s="345" t="s">
        <v>2778</v>
      </c>
      <c r="P5567" s="325"/>
      <c r="Q5567" s="327"/>
      <c r="R5567" s="351">
        <v>0</v>
      </c>
      <c r="S5567" s="351">
        <v>5.8</v>
      </c>
      <c r="T5567" s="351">
        <v>2.4359999999999999</v>
      </c>
      <c r="U5567" s="329" t="str">
        <f>IF($N5567=$N$4,IFERROR(INDEX(DanhMuc!$E$154:$E$165,MATCH(MID($B5567,4,2),DanhMuc!$B$154:$B$165,0)),""),"")</f>
        <v/>
      </c>
      <c r="V5567" s="361"/>
      <c r="W5567" s="345"/>
      <c r="X5567" s="786"/>
      <c r="Y5567" s="1128" t="s">
        <v>3380</v>
      </c>
      <c r="Z5567" s="1128" t="s">
        <v>3381</v>
      </c>
      <c r="AA5567" s="1128" t="s">
        <v>3384</v>
      </c>
      <c r="AB5567" s="20"/>
      <c r="AC5567" s="73"/>
    </row>
    <row r="5568" spans="1:29">
      <c r="A5568" s="327" t="str">
        <f>IF(AND($B5568&lt;&gt;"",$C5568&lt;&gt;""),MAX($A$4730:$A5563)+1,"")</f>
        <v/>
      </c>
      <c r="B5568" s="361" t="s">
        <v>1863</v>
      </c>
      <c r="C5568" s="362"/>
      <c r="D5568" s="327">
        <f>IF($B5568="","",COUNTIF($B$4731:$B5568,$B5568))</f>
        <v>6</v>
      </c>
      <c r="E5568" s="361" t="s">
        <v>699</v>
      </c>
      <c r="F5568" s="362" t="s">
        <v>2783</v>
      </c>
      <c r="G5568" s="327" t="s">
        <v>155</v>
      </c>
      <c r="H5568" s="361" t="s">
        <v>536</v>
      </c>
      <c r="I5568" s="327">
        <v>4</v>
      </c>
      <c r="J5568" s="361"/>
      <c r="K5568" s="327" t="s">
        <v>101</v>
      </c>
      <c r="L5568" s="389">
        <v>11000</v>
      </c>
      <c r="M5568" s="355"/>
      <c r="N5568" s="355" t="s">
        <v>2408</v>
      </c>
      <c r="O5568" s="345" t="s">
        <v>2779</v>
      </c>
      <c r="P5568" s="325"/>
      <c r="Q5568" s="327"/>
      <c r="R5568" s="351">
        <v>0</v>
      </c>
      <c r="S5568" s="351">
        <v>5.8</v>
      </c>
      <c r="T5568" s="351">
        <v>2.4359999999999999</v>
      </c>
      <c r="U5568" s="329" t="str">
        <f>IF($N5568=$N$4,IFERROR(INDEX(DanhMuc!$E$154:$E$165,MATCH(MID($B5568,4,2),DanhMuc!$B$154:$B$165,0)),""),"")</f>
        <v/>
      </c>
      <c r="V5568" s="361"/>
      <c r="W5568" s="345"/>
      <c r="X5568" s="786"/>
      <c r="Y5568" s="1128" t="s">
        <v>3380</v>
      </c>
      <c r="Z5568" s="1128" t="s">
        <v>3381</v>
      </c>
      <c r="AA5568" s="1128" t="s">
        <v>3384</v>
      </c>
      <c r="AB5568" s="20"/>
      <c r="AC5568" s="73"/>
    </row>
    <row r="5569" spans="1:29">
      <c r="A5569" s="327" t="str">
        <f>IF(AND($B5569&lt;&gt;"",$C5569&lt;&gt;""),MAX($A$4730:$A5568)+1,"")</f>
        <v/>
      </c>
      <c r="B5569" s="361" t="s">
        <v>1863</v>
      </c>
      <c r="C5569" s="362"/>
      <c r="D5569" s="327">
        <f>IF($B5569="","",COUNTIF($B$4731:$B5569,$B5569))</f>
        <v>7</v>
      </c>
      <c r="E5569" s="361" t="s">
        <v>414</v>
      </c>
      <c r="F5569" s="362" t="s">
        <v>413</v>
      </c>
      <c r="G5569" s="327" t="s">
        <v>155</v>
      </c>
      <c r="H5569" s="361" t="s">
        <v>536</v>
      </c>
      <c r="I5569" s="327">
        <f>+I5563+I5566*2</f>
        <v>12</v>
      </c>
      <c r="J5569" s="361"/>
      <c r="K5569" s="327" t="s">
        <v>415</v>
      </c>
      <c r="L5569" s="389">
        <v>408</v>
      </c>
      <c r="M5569" s="355"/>
      <c r="N5569" s="355" t="s">
        <v>2408</v>
      </c>
      <c r="O5569" s="345"/>
      <c r="P5569" s="325"/>
      <c r="Q5569" s="327"/>
      <c r="R5569" s="351"/>
      <c r="S5569" s="351"/>
      <c r="T5569" s="351"/>
      <c r="U5569" s="329" t="str">
        <f>IF($N5569=$N$4,IFERROR(INDEX(DanhMuc!$E$154:$E$165,MATCH(MID($B5569,4,2),DanhMuc!$B$154:$B$165,0)),""),"")</f>
        <v/>
      </c>
      <c r="V5569" s="361"/>
      <c r="W5569" s="345"/>
      <c r="X5569" s="786"/>
      <c r="Y5569" s="1128" t="s">
        <v>3380</v>
      </c>
      <c r="Z5569" s="1128" t="s">
        <v>3381</v>
      </c>
      <c r="AA5569" s="1128" t="s">
        <v>3384</v>
      </c>
      <c r="AB5569" s="20"/>
      <c r="AC5569" s="73"/>
    </row>
    <row r="5570" spans="1:29">
      <c r="A5570" s="327" t="str">
        <f>IF(AND($B5570&lt;&gt;"",$C5570&lt;&gt;""),MAX($A$4730:$A5569)+1,"")</f>
        <v/>
      </c>
      <c r="B5570" s="361" t="s">
        <v>1863</v>
      </c>
      <c r="C5570" s="362"/>
      <c r="D5570" s="327">
        <f>IF($B5570="","",COUNTIF($B$4731:$B5570,$B5570))</f>
        <v>8</v>
      </c>
      <c r="E5570" s="361" t="s">
        <v>1826</v>
      </c>
      <c r="F5570" s="362" t="s">
        <v>670</v>
      </c>
      <c r="G5570" s="327" t="s">
        <v>661</v>
      </c>
      <c r="H5570" s="361" t="s">
        <v>536</v>
      </c>
      <c r="I5570" s="361" t="s">
        <v>2354</v>
      </c>
      <c r="J5570" s="361"/>
      <c r="K5570" s="327" t="s">
        <v>103</v>
      </c>
      <c r="L5570" s="478">
        <f>40000/1000</f>
        <v>40</v>
      </c>
      <c r="M5570" s="355"/>
      <c r="N5570" s="355" t="s">
        <v>2408</v>
      </c>
      <c r="O5570" s="345"/>
      <c r="P5570" s="325"/>
      <c r="Q5570" s="327"/>
      <c r="R5570" s="351"/>
      <c r="S5570" s="351"/>
      <c r="T5570" s="351"/>
      <c r="U5570" s="329" t="str">
        <f>IF($N5570=$N$4,IFERROR(INDEX(DanhMuc!$E$154:$E$165,MATCH(MID($B5570,4,2),DanhMuc!$B$154:$B$165,0)),""),"")</f>
        <v/>
      </c>
      <c r="V5570" s="361"/>
      <c r="W5570" s="345"/>
      <c r="X5570" s="786"/>
      <c r="Y5570" s="1128" t="s">
        <v>3380</v>
      </c>
      <c r="Z5570" s="1128" t="s">
        <v>3381</v>
      </c>
      <c r="AA5570" s="1128" t="s">
        <v>3384</v>
      </c>
      <c r="AB5570" s="20"/>
      <c r="AC5570" s="73"/>
    </row>
    <row r="5571" spans="1:29" ht="37.5">
      <c r="A5571" s="327" t="str">
        <f>IF(AND($B5571&lt;&gt;"",$C5571&lt;&gt;""),MAX($A$4730:$A5570)+1,"")</f>
        <v/>
      </c>
      <c r="B5571" s="361" t="s">
        <v>1863</v>
      </c>
      <c r="C5571" s="362"/>
      <c r="D5571" s="327">
        <f>IF($B5571="","",COUNTIF($B$4731:$B5571,$B5571))</f>
        <v>9</v>
      </c>
      <c r="E5571" s="362" t="s">
        <v>1964</v>
      </c>
      <c r="F5571" s="362" t="s">
        <v>1965</v>
      </c>
      <c r="G5571" s="327" t="s">
        <v>405</v>
      </c>
      <c r="H5571" s="361" t="s">
        <v>536</v>
      </c>
      <c r="I5571" s="361" t="s">
        <v>693</v>
      </c>
      <c r="J5571" s="361"/>
      <c r="K5571" s="327" t="s">
        <v>223</v>
      </c>
      <c r="L5571" s="478">
        <v>140</v>
      </c>
      <c r="M5571" s="371"/>
      <c r="N5571" s="355" t="s">
        <v>2408</v>
      </c>
      <c r="O5571" s="345"/>
      <c r="P5571" s="325"/>
      <c r="Q5571" s="327"/>
      <c r="R5571" s="351"/>
      <c r="S5571" s="351"/>
      <c r="T5571" s="351"/>
      <c r="U5571" s="329" t="str">
        <f>IF($N5571=$N$4,IFERROR(INDEX(DanhMuc!$E$154:$E$165,MATCH(MID($B5571,4,2),DanhMuc!$B$154:$B$165,0)),""),"")</f>
        <v/>
      </c>
      <c r="V5571" s="361"/>
      <c r="W5571" s="345"/>
      <c r="X5571" s="786"/>
      <c r="Y5571" s="1128" t="s">
        <v>3380</v>
      </c>
      <c r="Z5571" s="1128" t="s">
        <v>3381</v>
      </c>
      <c r="AA5571" s="1128" t="s">
        <v>3384</v>
      </c>
      <c r="AB5571" s="20"/>
      <c r="AC5571" s="73"/>
    </row>
    <row r="5572" spans="1:29" ht="37.5">
      <c r="A5572" s="327" t="str">
        <f>IF(AND($B5572&lt;&gt;"",$C5572&lt;&gt;""),MAX($A$4730:$A5571)+1,"")</f>
        <v/>
      </c>
      <c r="B5572" s="361" t="s">
        <v>1863</v>
      </c>
      <c r="C5572" s="362"/>
      <c r="D5572" s="327">
        <f>IF($B5572="","",COUNTIF($B$4731:$B5572,$B5572))</f>
        <v>10</v>
      </c>
      <c r="E5572" s="362" t="s">
        <v>2756</v>
      </c>
      <c r="F5572" s="362" t="s">
        <v>2757</v>
      </c>
      <c r="G5572" s="327" t="s">
        <v>405</v>
      </c>
      <c r="H5572" s="361" t="s">
        <v>536</v>
      </c>
      <c r="I5572" s="361" t="s">
        <v>694</v>
      </c>
      <c r="J5572" s="361"/>
      <c r="K5572" s="327" t="s">
        <v>223</v>
      </c>
      <c r="L5572" s="479">
        <v>322</v>
      </c>
      <c r="M5572" s="371"/>
      <c r="N5572" s="355" t="s">
        <v>2408</v>
      </c>
      <c r="O5572" s="345"/>
      <c r="P5572" s="325"/>
      <c r="Q5572" s="327"/>
      <c r="R5572" s="351"/>
      <c r="S5572" s="351"/>
      <c r="T5572" s="351"/>
      <c r="U5572" s="329" t="str">
        <f>IF($N5572=$N$4,IFERROR(INDEX(DanhMuc!$E$154:$E$165,MATCH(MID($B5572,4,2),DanhMuc!$B$154:$B$165,0)),""),"")</f>
        <v/>
      </c>
      <c r="V5572" s="361"/>
      <c r="W5572" s="345"/>
      <c r="X5572" s="786"/>
      <c r="Y5572" s="1128" t="s">
        <v>3380</v>
      </c>
      <c r="Z5572" s="1128" t="s">
        <v>3381</v>
      </c>
      <c r="AA5572" s="1128" t="s">
        <v>3384</v>
      </c>
      <c r="AB5572" s="20"/>
      <c r="AC5572" s="73"/>
    </row>
    <row r="5573" spans="1:29">
      <c r="A5573" s="327" t="str">
        <f>IF(AND($B5573&lt;&gt;"",$C5573&lt;&gt;""),MAX($A$4730:$A5572)+1,"")</f>
        <v/>
      </c>
      <c r="B5573" s="361" t="s">
        <v>1863</v>
      </c>
      <c r="C5573" s="362"/>
      <c r="D5573" s="327">
        <f>IF($B5573="","",COUNTIF($B$4731:$B5573,$B5573))</f>
        <v>11</v>
      </c>
      <c r="E5573" s="361" t="s">
        <v>656</v>
      </c>
      <c r="F5573" s="362" t="s">
        <v>2239</v>
      </c>
      <c r="G5573" s="327" t="s">
        <v>405</v>
      </c>
      <c r="H5573" s="361" t="s">
        <v>536</v>
      </c>
      <c r="I5573" s="361" t="s">
        <v>1827</v>
      </c>
      <c r="J5573" s="361"/>
      <c r="K5573" s="327" t="s">
        <v>100</v>
      </c>
      <c r="L5573" s="478">
        <v>970</v>
      </c>
      <c r="M5573" s="371"/>
      <c r="N5573" s="355" t="s">
        <v>2409</v>
      </c>
      <c r="O5573" s="345"/>
      <c r="P5573" s="325"/>
      <c r="Q5573" s="327"/>
      <c r="R5573" s="351"/>
      <c r="S5573" s="351"/>
      <c r="T5573" s="351"/>
      <c r="U5573" s="329" t="str">
        <f>IF($N5573=$N$4,IFERROR(INDEX(DanhMuc!$E$154:$E$165,MATCH(MID($B5573,4,2),DanhMuc!$B$154:$B$165,0)),""),"")</f>
        <v/>
      </c>
      <c r="V5573" s="361"/>
      <c r="W5573" s="345"/>
      <c r="X5573" s="786"/>
      <c r="Y5573" s="1128" t="s">
        <v>3380</v>
      </c>
      <c r="Z5573" s="1128" t="s">
        <v>3381</v>
      </c>
      <c r="AA5573" s="1128" t="s">
        <v>3384</v>
      </c>
      <c r="AB5573" s="20"/>
      <c r="AC5573" s="73"/>
    </row>
    <row r="5574" spans="1:29">
      <c r="A5574" s="327" t="str">
        <f>IF(AND($B5574&lt;&gt;"",$C5574&lt;&gt;""),MAX($A$4730:$A5573)+1,"")</f>
        <v/>
      </c>
      <c r="B5574" s="361" t="s">
        <v>1863</v>
      </c>
      <c r="C5574" s="362"/>
      <c r="D5574" s="327">
        <f>IF($B5574="","",COUNTIF($B$4731:$B5574,$B5574))</f>
        <v>12</v>
      </c>
      <c r="E5574" s="361" t="s">
        <v>657</v>
      </c>
      <c r="F5574" s="362" t="s">
        <v>658</v>
      </c>
      <c r="G5574" s="327" t="s">
        <v>424</v>
      </c>
      <c r="H5574" s="361" t="s">
        <v>536</v>
      </c>
      <c r="I5574" s="361" t="s">
        <v>665</v>
      </c>
      <c r="J5574" s="361"/>
      <c r="K5574" s="327" t="s">
        <v>100</v>
      </c>
      <c r="L5574" s="478">
        <v>60000</v>
      </c>
      <c r="M5574" s="355"/>
      <c r="N5574" s="355" t="s">
        <v>2409</v>
      </c>
      <c r="O5574" s="345"/>
      <c r="P5574" s="325"/>
      <c r="Q5574" s="327"/>
      <c r="R5574" s="351"/>
      <c r="S5574" s="351"/>
      <c r="T5574" s="351"/>
      <c r="U5574" s="329" t="str">
        <f>IF($N5574=$N$4,IFERROR(INDEX(DanhMuc!$E$154:$E$165,MATCH(MID($B5574,4,2),DanhMuc!$B$154:$B$165,0)),""),"")</f>
        <v/>
      </c>
      <c r="V5574" s="361"/>
      <c r="W5574" s="345"/>
      <c r="X5574" s="786"/>
      <c r="Y5574" s="1128" t="s">
        <v>3380</v>
      </c>
      <c r="Z5574" s="1128" t="s">
        <v>3381</v>
      </c>
      <c r="AA5574" s="1128" t="s">
        <v>3384</v>
      </c>
      <c r="AB5574" s="20"/>
      <c r="AC5574" s="73"/>
    </row>
    <row r="5575" spans="1:29">
      <c r="A5575" s="327" t="str">
        <f>IF(AND($B5575&lt;&gt;"",$C5575&lt;&gt;""),MAX($A$4730:$A5574)+1,"")</f>
        <v/>
      </c>
      <c r="B5575" s="361" t="s">
        <v>1863</v>
      </c>
      <c r="C5575" s="362"/>
      <c r="D5575" s="327">
        <f>IF($B5575="","",COUNTIF($B$4731:$B5575,$B5575))</f>
        <v>13</v>
      </c>
      <c r="E5575" s="361" t="s">
        <v>2771</v>
      </c>
      <c r="F5575" s="362" t="s">
        <v>659</v>
      </c>
      <c r="G5575" s="327" t="s">
        <v>424</v>
      </c>
      <c r="H5575" s="361" t="s">
        <v>536</v>
      </c>
      <c r="I5575" s="361" t="s">
        <v>666</v>
      </c>
      <c r="J5575" s="361"/>
      <c r="K5575" s="327" t="s">
        <v>100</v>
      </c>
      <c r="L5575" s="389">
        <v>53000</v>
      </c>
      <c r="M5575" s="355"/>
      <c r="N5575" s="355" t="s">
        <v>2409</v>
      </c>
      <c r="O5575" s="345"/>
      <c r="P5575" s="325"/>
      <c r="Q5575" s="327"/>
      <c r="R5575" s="351"/>
      <c r="S5575" s="351"/>
      <c r="T5575" s="351"/>
      <c r="U5575" s="329" t="str">
        <f>IF($N5575=$N$4,IFERROR(INDEX(DanhMuc!$E$154:$E$165,MATCH(MID($B5575,4,2),DanhMuc!$B$154:$B$165,0)),""),"")</f>
        <v/>
      </c>
      <c r="V5575" s="361"/>
      <c r="W5575" s="345"/>
      <c r="X5575" s="786"/>
      <c r="Y5575" s="1128" t="s">
        <v>3380</v>
      </c>
      <c r="Z5575" s="1128" t="s">
        <v>3381</v>
      </c>
      <c r="AA5575" s="1128" t="s">
        <v>3384</v>
      </c>
      <c r="AB5575" s="20"/>
      <c r="AC5575" s="73"/>
    </row>
    <row r="5576" spans="1:29">
      <c r="A5576" s="327" t="str">
        <f>IF(AND($B5576&lt;&gt;"",$C5576&lt;&gt;""),MAX($A$4730:$A5575)+1,"")</f>
        <v/>
      </c>
      <c r="B5576" s="361" t="s">
        <v>1863</v>
      </c>
      <c r="C5576" s="362"/>
      <c r="D5576" s="327">
        <f>IF($B5576="","",COUNTIF($B$4731:$B5576,$B5576))</f>
        <v>14</v>
      </c>
      <c r="E5576" s="361" t="s">
        <v>1828</v>
      </c>
      <c r="F5576" s="362" t="s">
        <v>671</v>
      </c>
      <c r="G5576" s="327" t="s">
        <v>661</v>
      </c>
      <c r="H5576" s="361" t="s">
        <v>536</v>
      </c>
      <c r="I5576" s="361" t="s">
        <v>2355</v>
      </c>
      <c r="J5576" s="361"/>
      <c r="K5576" s="327" t="s">
        <v>100</v>
      </c>
      <c r="L5576" s="478">
        <f>40000/1000</f>
        <v>40</v>
      </c>
      <c r="M5576" s="355"/>
      <c r="N5576" s="355" t="s">
        <v>2409</v>
      </c>
      <c r="O5576" s="345"/>
      <c r="P5576" s="325"/>
      <c r="Q5576" s="327"/>
      <c r="R5576" s="351"/>
      <c r="S5576" s="351"/>
      <c r="T5576" s="351"/>
      <c r="U5576" s="329" t="str">
        <f>IF($N5576=$N$4,IFERROR(INDEX(DanhMuc!$E$154:$E$165,MATCH(MID($B5576,4,2),DanhMuc!$B$154:$B$165,0)),""),"")</f>
        <v/>
      </c>
      <c r="V5576" s="361"/>
      <c r="W5576" s="345"/>
      <c r="X5576" s="786"/>
      <c r="Y5576" s="1128" t="s">
        <v>3380</v>
      </c>
      <c r="Z5576" s="1128" t="s">
        <v>3381</v>
      </c>
      <c r="AA5576" s="1128" t="s">
        <v>3384</v>
      </c>
      <c r="AB5576" s="20"/>
      <c r="AC5576" s="73"/>
    </row>
    <row r="5577" spans="1:29">
      <c r="A5577" s="327" t="str">
        <f>IF(AND($B5577&lt;&gt;"",$C5577&lt;&gt;""),MAX($A$4730:$A5576)+1,"")</f>
        <v/>
      </c>
      <c r="B5577" s="361" t="s">
        <v>1863</v>
      </c>
      <c r="C5577" s="362"/>
      <c r="D5577" s="327">
        <f>IF($B5577="","",COUNTIF($B$4731:$B5577,$B5577))</f>
        <v>15</v>
      </c>
      <c r="E5577" s="361" t="s">
        <v>154</v>
      </c>
      <c r="F5577" s="362" t="s">
        <v>660</v>
      </c>
      <c r="G5577" s="327" t="s">
        <v>661</v>
      </c>
      <c r="H5577" s="361" t="s">
        <v>536</v>
      </c>
      <c r="I5577" s="361" t="s">
        <v>667</v>
      </c>
      <c r="J5577" s="361"/>
      <c r="K5577" s="327" t="s">
        <v>662</v>
      </c>
      <c r="L5577" s="478">
        <v>20</v>
      </c>
      <c r="M5577" s="355"/>
      <c r="N5577" s="355" t="s">
        <v>2409</v>
      </c>
      <c r="O5577" s="345"/>
      <c r="P5577" s="325"/>
      <c r="Q5577" s="327"/>
      <c r="R5577" s="351"/>
      <c r="S5577" s="351"/>
      <c r="T5577" s="351"/>
      <c r="U5577" s="329" t="str">
        <f>IF($N5577=$N$4,IFERROR(INDEX(DanhMuc!$E$154:$E$165,MATCH(MID($B5577,4,2),DanhMuc!$B$154:$B$165,0)),""),"")</f>
        <v/>
      </c>
      <c r="V5577" s="361"/>
      <c r="W5577" s="345"/>
      <c r="X5577" s="786"/>
      <c r="Y5577" s="1128" t="s">
        <v>3380</v>
      </c>
      <c r="Z5577" s="1128" t="s">
        <v>3381</v>
      </c>
      <c r="AA5577" s="1128" t="s">
        <v>3384</v>
      </c>
      <c r="AB5577" s="20"/>
      <c r="AC5577" s="73"/>
    </row>
    <row r="5578" spans="1:29">
      <c r="A5578" s="327" t="str">
        <f>IF(AND($B5578&lt;&gt;"",$C5578&lt;&gt;""),MAX($A$4730:$A5577)+1,"")</f>
        <v/>
      </c>
      <c r="B5578" s="361" t="s">
        <v>1863</v>
      </c>
      <c r="C5578" s="362"/>
      <c r="D5578" s="327">
        <f>IF($B5578="","",COUNTIF($B$4731:$B5578,$B5578))</f>
        <v>16</v>
      </c>
      <c r="E5578" s="362" t="s">
        <v>2282</v>
      </c>
      <c r="F5578" s="362" t="s">
        <v>2283</v>
      </c>
      <c r="G5578" s="327" t="s">
        <v>424</v>
      </c>
      <c r="H5578" s="361" t="s">
        <v>536</v>
      </c>
      <c r="I5578" s="361" t="s">
        <v>2238</v>
      </c>
      <c r="J5578" s="361"/>
      <c r="K5578" s="327" t="s">
        <v>662</v>
      </c>
      <c r="L5578" s="478">
        <v>28000</v>
      </c>
      <c r="M5578" s="355"/>
      <c r="N5578" s="355" t="s">
        <v>2409</v>
      </c>
      <c r="O5578" s="345"/>
      <c r="P5578" s="325"/>
      <c r="Q5578" s="327"/>
      <c r="R5578" s="351"/>
      <c r="S5578" s="351"/>
      <c r="T5578" s="351"/>
      <c r="U5578" s="329" t="str">
        <f>IF($N5578=$N$4,IFERROR(INDEX(DanhMuc!$E$154:$E$165,MATCH(MID($B5578,4,2),DanhMuc!$B$154:$B$165,0)),""),"")</f>
        <v/>
      </c>
      <c r="V5578" s="361"/>
      <c r="W5578" s="345"/>
      <c r="X5578" s="786"/>
      <c r="Y5578" s="1128" t="s">
        <v>3380</v>
      </c>
      <c r="Z5578" s="1128" t="s">
        <v>3381</v>
      </c>
      <c r="AA5578" s="1128" t="s">
        <v>3384</v>
      </c>
      <c r="AB5578" s="20"/>
      <c r="AC5578" s="73"/>
    </row>
    <row r="5579" spans="1:29">
      <c r="A5579" s="327" t="str">
        <f>IF(AND($B5579&lt;&gt;"",$C5579&lt;&gt;""),MAX($A$4730:$A5578)+1,"")</f>
        <v/>
      </c>
      <c r="B5579" s="361" t="s">
        <v>1863</v>
      </c>
      <c r="C5579" s="362"/>
      <c r="D5579" s="327">
        <f>IF($B5579="","",COUNTIF($B$4731:$B5579,$B5579))</f>
        <v>17</v>
      </c>
      <c r="E5579" s="362" t="s">
        <v>663</v>
      </c>
      <c r="F5579" s="362" t="s">
        <v>664</v>
      </c>
      <c r="G5579" s="327" t="s">
        <v>155</v>
      </c>
      <c r="H5579" s="361" t="s">
        <v>536</v>
      </c>
      <c r="I5579" s="361" t="s">
        <v>672</v>
      </c>
      <c r="J5579" s="361"/>
      <c r="K5579" s="327" t="s">
        <v>662</v>
      </c>
      <c r="L5579" s="478">
        <v>1000</v>
      </c>
      <c r="M5579" s="355"/>
      <c r="N5579" s="355" t="s">
        <v>2409</v>
      </c>
      <c r="O5579" s="345"/>
      <c r="P5579" s="325"/>
      <c r="Q5579" s="327"/>
      <c r="R5579" s="351"/>
      <c r="S5579" s="351"/>
      <c r="T5579" s="351"/>
      <c r="U5579" s="329" t="str">
        <f>IF($N5579=$N$4,IFERROR(INDEX(DanhMuc!$E$154:$E$165,MATCH(MID($B5579,4,2),DanhMuc!$B$154:$B$165,0)),""),"")</f>
        <v/>
      </c>
      <c r="V5579" s="361"/>
      <c r="W5579" s="345"/>
      <c r="X5579" s="786"/>
      <c r="Y5579" s="1128" t="s">
        <v>3380</v>
      </c>
      <c r="Z5579" s="1128" t="s">
        <v>3381</v>
      </c>
      <c r="AA5579" s="1128" t="s">
        <v>3384</v>
      </c>
      <c r="AB5579" s="20"/>
      <c r="AC5579" s="73"/>
    </row>
    <row r="5580" spans="1:29" ht="39">
      <c r="A5580" s="327">
        <f>IF(AND($B5580&lt;&gt;"",$C5580&lt;&gt;""),MAX($A$4730:$A5569)+1,"")</f>
        <v>31</v>
      </c>
      <c r="B5580" s="359" t="s">
        <v>1864</v>
      </c>
      <c r="C5580" s="360" t="s">
        <v>1891</v>
      </c>
      <c r="D5580" s="327">
        <f>IF($B5580="","",COUNTIF($B$4731:$B5580,$B5580))</f>
        <v>1</v>
      </c>
      <c r="E5580" s="402" t="s">
        <v>2302</v>
      </c>
      <c r="F5580" s="403" t="s">
        <v>2332</v>
      </c>
      <c r="G5580" s="327" t="s">
        <v>155</v>
      </c>
      <c r="H5580" s="361" t="s">
        <v>536</v>
      </c>
      <c r="I5580" s="327">
        <v>4</v>
      </c>
      <c r="J5580" s="361"/>
      <c r="K5580" s="327" t="s">
        <v>100</v>
      </c>
      <c r="L5580" s="389">
        <v>6600</v>
      </c>
      <c r="M5580" s="355"/>
      <c r="N5580" s="355" t="s">
        <v>2408</v>
      </c>
      <c r="O5580" s="345" t="s">
        <v>2776</v>
      </c>
      <c r="P5580" s="325"/>
      <c r="Q5580" s="327"/>
      <c r="R5580" s="351">
        <v>0</v>
      </c>
      <c r="S5580" s="351">
        <v>5.8</v>
      </c>
      <c r="T5580" s="351">
        <v>3.1339999999999999</v>
      </c>
      <c r="U5580" s="329" t="str">
        <f>IF($N5580=$N$4,IFERROR(INDEX(DanhMuc!$E$154:$E$165,MATCH(MID($B5580,4,2),DanhMuc!$B$154:$B$165,0)),""),"")</f>
        <v/>
      </c>
      <c r="V5580" s="361"/>
      <c r="W5580" s="345"/>
      <c r="X5580" s="786"/>
      <c r="Y5580" s="1128" t="s">
        <v>3380</v>
      </c>
      <c r="Z5580" s="1128" t="s">
        <v>3381</v>
      </c>
      <c r="AA5580" s="1128" t="s">
        <v>3384</v>
      </c>
      <c r="AB5580" s="20"/>
      <c r="AC5580" s="73"/>
    </row>
    <row r="5581" spans="1:29">
      <c r="A5581" s="327" t="str">
        <f>IF(AND($B5581&lt;&gt;"",$C5581&lt;&gt;""),MAX($A$4730:$A5570)+1,"")</f>
        <v/>
      </c>
      <c r="B5581" s="361" t="s">
        <v>1864</v>
      </c>
      <c r="C5581" s="362"/>
      <c r="D5581" s="327">
        <f>IF($B5581="","",COUNTIF($B$4731:$B5581,$B5581))</f>
        <v>2</v>
      </c>
      <c r="E5581" s="402" t="s">
        <v>2788</v>
      </c>
      <c r="F5581" s="403" t="s">
        <v>2789</v>
      </c>
      <c r="G5581" s="327" t="s">
        <v>155</v>
      </c>
      <c r="H5581" s="361" t="s">
        <v>536</v>
      </c>
      <c r="I5581" s="327">
        <f>4*I5580</f>
        <v>16</v>
      </c>
      <c r="J5581" s="361"/>
      <c r="K5581" s="327" t="s">
        <v>100</v>
      </c>
      <c r="L5581" s="389">
        <v>600</v>
      </c>
      <c r="M5581" s="355"/>
      <c r="N5581" s="355" t="s">
        <v>2408</v>
      </c>
      <c r="O5581" s="345" t="s">
        <v>2776</v>
      </c>
      <c r="P5581" s="325"/>
      <c r="Q5581" s="327"/>
      <c r="R5581" s="351">
        <v>0</v>
      </c>
      <c r="S5581" s="351">
        <v>5.8</v>
      </c>
      <c r="T5581" s="351">
        <v>3.1339999999999999</v>
      </c>
      <c r="U5581" s="329" t="str">
        <f>IF($N5581=$N$4,IFERROR(INDEX(DanhMuc!$E$154:$E$165,MATCH(MID($B5581,4,2),DanhMuc!$B$154:$B$165,0)),""),"")</f>
        <v/>
      </c>
      <c r="V5581" s="361"/>
      <c r="W5581" s="345"/>
      <c r="X5581" s="786"/>
      <c r="Y5581" s="1128" t="s">
        <v>3380</v>
      </c>
      <c r="Z5581" s="1128" t="s">
        <v>3381</v>
      </c>
      <c r="AA5581" s="1128" t="s">
        <v>3384</v>
      </c>
      <c r="AB5581" s="20"/>
      <c r="AC5581" s="73"/>
    </row>
    <row r="5582" spans="1:29">
      <c r="A5582" s="327" t="str">
        <f>IF(AND($B5582&lt;&gt;"",$C5582&lt;&gt;""),MAX($A$4730:$A5571)+1,"")</f>
        <v/>
      </c>
      <c r="B5582" s="361" t="s">
        <v>1864</v>
      </c>
      <c r="C5582" s="362"/>
      <c r="D5582" s="327">
        <f>IF($B5582="","",COUNTIF($B$4731:$B5582,$B5582))</f>
        <v>3</v>
      </c>
      <c r="E5582" s="361" t="s">
        <v>2781</v>
      </c>
      <c r="F5582" s="362" t="s">
        <v>2780</v>
      </c>
      <c r="G5582" s="327" t="s">
        <v>155</v>
      </c>
      <c r="H5582" s="361" t="s">
        <v>536</v>
      </c>
      <c r="I5582" s="327">
        <v>4</v>
      </c>
      <c r="J5582" s="361"/>
      <c r="K5582" s="327" t="s">
        <v>100</v>
      </c>
      <c r="L5582" s="389">
        <v>7200</v>
      </c>
      <c r="M5582" s="355"/>
      <c r="N5582" s="355" t="s">
        <v>2408</v>
      </c>
      <c r="O5582" s="345" t="s">
        <v>2777</v>
      </c>
      <c r="P5582" s="325"/>
      <c r="Q5582" s="327"/>
      <c r="R5582" s="351">
        <v>0</v>
      </c>
      <c r="S5582" s="351">
        <v>5.8</v>
      </c>
      <c r="T5582" s="351">
        <v>3.1339999999999999</v>
      </c>
      <c r="U5582" s="329" t="str">
        <f>IF($N5582=$N$4,IFERROR(INDEX(DanhMuc!$E$154:$E$165,MATCH(MID($B5582,4,2),DanhMuc!$B$154:$B$165,0)),""),"")</f>
        <v/>
      </c>
      <c r="V5582" s="361"/>
      <c r="W5582" s="345"/>
      <c r="X5582" s="786"/>
      <c r="Y5582" s="1128" t="s">
        <v>3380</v>
      </c>
      <c r="Z5582" s="1128" t="s">
        <v>3381</v>
      </c>
      <c r="AA5582" s="1128" t="s">
        <v>3384</v>
      </c>
      <c r="AB5582" s="20"/>
      <c r="AC5582" s="73"/>
    </row>
    <row r="5583" spans="1:29">
      <c r="A5583" s="327" t="str">
        <f>IF(AND($B5583&lt;&gt;"",$C5583&lt;&gt;""),MAX($A$4730:$A5578)+1,"")</f>
        <v/>
      </c>
      <c r="B5583" s="361" t="s">
        <v>1864</v>
      </c>
      <c r="C5583" s="362"/>
      <c r="D5583" s="327">
        <f>IF($B5583="","",COUNTIF($B$4731:$B5583,$B5583))</f>
        <v>4</v>
      </c>
      <c r="E5583" s="402" t="s">
        <v>2303</v>
      </c>
      <c r="F5583" s="403" t="s">
        <v>2782</v>
      </c>
      <c r="G5583" s="327" t="s">
        <v>155</v>
      </c>
      <c r="H5583" s="361" t="s">
        <v>536</v>
      </c>
      <c r="I5583" s="327">
        <v>8</v>
      </c>
      <c r="J5583" s="361"/>
      <c r="K5583" s="327" t="s">
        <v>101</v>
      </c>
      <c r="L5583" s="389">
        <v>9100</v>
      </c>
      <c r="M5583" s="355"/>
      <c r="N5583" s="355" t="s">
        <v>2408</v>
      </c>
      <c r="O5583" s="345" t="s">
        <v>2778</v>
      </c>
      <c r="P5583" s="325"/>
      <c r="Q5583" s="327"/>
      <c r="R5583" s="351">
        <v>0</v>
      </c>
      <c r="S5583" s="351">
        <v>5.8</v>
      </c>
      <c r="T5583" s="351">
        <v>2.4359999999999999</v>
      </c>
      <c r="U5583" s="329" t="str">
        <f>IF($N5583=$N$4,IFERROR(INDEX(DanhMuc!$E$154:$E$165,MATCH(MID($B5583,4,2),DanhMuc!$B$154:$B$165,0)),""),"")</f>
        <v/>
      </c>
      <c r="V5583" s="361"/>
      <c r="W5583" s="345"/>
      <c r="X5583" s="786"/>
      <c r="Y5583" s="1128" t="s">
        <v>3380</v>
      </c>
      <c r="Z5583" s="1128" t="s">
        <v>3381</v>
      </c>
      <c r="AA5583" s="1128" t="s">
        <v>3384</v>
      </c>
      <c r="AB5583" s="20"/>
      <c r="AC5583" s="73"/>
    </row>
    <row r="5584" spans="1:29">
      <c r="A5584" s="327" t="str">
        <f>IF(AND($B5584&lt;&gt;"",$C5584&lt;&gt;""),MAX($A$4730:$A5579)+1,"")</f>
        <v/>
      </c>
      <c r="B5584" s="361" t="s">
        <v>1864</v>
      </c>
      <c r="C5584" s="362"/>
      <c r="D5584" s="327">
        <f>IF($B5584="","",COUNTIF($B$4731:$B5584,$B5584))</f>
        <v>5</v>
      </c>
      <c r="E5584" s="402" t="s">
        <v>2788</v>
      </c>
      <c r="F5584" s="403" t="s">
        <v>2789</v>
      </c>
      <c r="G5584" s="327" t="s">
        <v>155</v>
      </c>
      <c r="H5584" s="361" t="s">
        <v>536</v>
      </c>
      <c r="I5584" s="327">
        <f>4*I5583</f>
        <v>32</v>
      </c>
      <c r="J5584" s="361"/>
      <c r="K5584" s="327" t="s">
        <v>101</v>
      </c>
      <c r="L5584" s="389">
        <v>600</v>
      </c>
      <c r="M5584" s="355"/>
      <c r="N5584" s="355" t="s">
        <v>2408</v>
      </c>
      <c r="O5584" s="345" t="s">
        <v>2778</v>
      </c>
      <c r="P5584" s="325"/>
      <c r="Q5584" s="327"/>
      <c r="R5584" s="351">
        <v>0</v>
      </c>
      <c r="S5584" s="351">
        <v>5.8</v>
      </c>
      <c r="T5584" s="351">
        <v>2.4359999999999999</v>
      </c>
      <c r="U5584" s="329" t="str">
        <f>IF($N5584=$N$4,IFERROR(INDEX(DanhMuc!$E$154:$E$165,MATCH(MID($B5584,4,2),DanhMuc!$B$154:$B$165,0)),""),"")</f>
        <v/>
      </c>
      <c r="V5584" s="361"/>
      <c r="W5584" s="345"/>
      <c r="X5584" s="786"/>
      <c r="Y5584" s="1128" t="s">
        <v>3380</v>
      </c>
      <c r="Z5584" s="1128" t="s">
        <v>3381</v>
      </c>
      <c r="AA5584" s="1128" t="s">
        <v>3384</v>
      </c>
      <c r="AB5584" s="20"/>
      <c r="AC5584" s="73"/>
    </row>
    <row r="5585" spans="1:29">
      <c r="A5585" s="327" t="str">
        <f>IF(AND($B5585&lt;&gt;"",$C5585&lt;&gt;""),MAX($A$4730:$A5580)+1,"")</f>
        <v/>
      </c>
      <c r="B5585" s="361" t="s">
        <v>1864</v>
      </c>
      <c r="C5585" s="362"/>
      <c r="D5585" s="327">
        <f>IF($B5585="","",COUNTIF($B$4731:$B5585,$B5585))</f>
        <v>6</v>
      </c>
      <c r="E5585" s="361" t="s">
        <v>699</v>
      </c>
      <c r="F5585" s="362" t="s">
        <v>2783</v>
      </c>
      <c r="G5585" s="327" t="s">
        <v>155</v>
      </c>
      <c r="H5585" s="361" t="s">
        <v>536</v>
      </c>
      <c r="I5585" s="327">
        <v>8</v>
      </c>
      <c r="J5585" s="361"/>
      <c r="K5585" s="327" t="s">
        <v>101</v>
      </c>
      <c r="L5585" s="389">
        <v>11000</v>
      </c>
      <c r="M5585" s="355"/>
      <c r="N5585" s="355" t="s">
        <v>2408</v>
      </c>
      <c r="O5585" s="345" t="s">
        <v>2779</v>
      </c>
      <c r="P5585" s="325"/>
      <c r="Q5585" s="327"/>
      <c r="R5585" s="351">
        <v>0</v>
      </c>
      <c r="S5585" s="351">
        <v>5.8</v>
      </c>
      <c r="T5585" s="351">
        <v>2.4359999999999999</v>
      </c>
      <c r="U5585" s="329" t="str">
        <f>IF($N5585=$N$4,IFERROR(INDEX(DanhMuc!$E$154:$E$165,MATCH(MID($B5585,4,2),DanhMuc!$B$154:$B$165,0)),""),"")</f>
        <v/>
      </c>
      <c r="V5585" s="361"/>
      <c r="W5585" s="345"/>
      <c r="X5585" s="786"/>
      <c r="Y5585" s="1128" t="s">
        <v>3380</v>
      </c>
      <c r="Z5585" s="1128" t="s">
        <v>3381</v>
      </c>
      <c r="AA5585" s="1128" t="s">
        <v>3384</v>
      </c>
      <c r="AB5585" s="20"/>
      <c r="AC5585" s="73"/>
    </row>
    <row r="5586" spans="1:29">
      <c r="A5586" s="327" t="str">
        <f>IF(AND($B5586&lt;&gt;"",$C5586&lt;&gt;""),MAX($A$4730:$A5585)+1,"")</f>
        <v/>
      </c>
      <c r="B5586" s="361" t="s">
        <v>1864</v>
      </c>
      <c r="C5586" s="362"/>
      <c r="D5586" s="327">
        <f>IF($B5586="","",COUNTIF($B$4731:$B5586,$B5586))</f>
        <v>7</v>
      </c>
      <c r="E5586" s="361" t="s">
        <v>414</v>
      </c>
      <c r="F5586" s="362" t="s">
        <v>413</v>
      </c>
      <c r="G5586" s="327" t="s">
        <v>155</v>
      </c>
      <c r="H5586" s="361" t="s">
        <v>536</v>
      </c>
      <c r="I5586" s="327">
        <f>+I5580+I5583*2</f>
        <v>20</v>
      </c>
      <c r="J5586" s="361"/>
      <c r="K5586" s="327" t="s">
        <v>415</v>
      </c>
      <c r="L5586" s="389">
        <v>408</v>
      </c>
      <c r="M5586" s="355"/>
      <c r="N5586" s="355" t="s">
        <v>2408</v>
      </c>
      <c r="O5586" s="345"/>
      <c r="P5586" s="325"/>
      <c r="Q5586" s="327"/>
      <c r="R5586" s="351"/>
      <c r="S5586" s="351"/>
      <c r="T5586" s="351"/>
      <c r="U5586" s="329" t="str">
        <f>IF($N5586=$N$4,IFERROR(INDEX(DanhMuc!$E$154:$E$165,MATCH(MID($B5586,4,2),DanhMuc!$B$154:$B$165,0)),""),"")</f>
        <v/>
      </c>
      <c r="V5586" s="361"/>
      <c r="W5586" s="345"/>
      <c r="X5586" s="786"/>
      <c r="Y5586" s="1128" t="s">
        <v>3380</v>
      </c>
      <c r="Z5586" s="1128" t="s">
        <v>3381</v>
      </c>
      <c r="AA5586" s="1128" t="s">
        <v>3384</v>
      </c>
      <c r="AB5586" s="20"/>
      <c r="AC5586" s="73"/>
    </row>
    <row r="5587" spans="1:29">
      <c r="A5587" s="327" t="str">
        <f>IF(AND($B5587&lt;&gt;"",$C5587&lt;&gt;""),MAX($A$4730:$A5586)+1,"")</f>
        <v/>
      </c>
      <c r="B5587" s="361" t="s">
        <v>1864</v>
      </c>
      <c r="C5587" s="362"/>
      <c r="D5587" s="327">
        <f>IF($B5587="","",COUNTIF($B$4731:$B5587,$B5587))</f>
        <v>8</v>
      </c>
      <c r="E5587" s="361" t="s">
        <v>1826</v>
      </c>
      <c r="F5587" s="362" t="s">
        <v>670</v>
      </c>
      <c r="G5587" s="327" t="s">
        <v>661</v>
      </c>
      <c r="H5587" s="361" t="s">
        <v>536</v>
      </c>
      <c r="I5587" s="361" t="s">
        <v>2354</v>
      </c>
      <c r="J5587" s="361"/>
      <c r="K5587" s="327" t="s">
        <v>103</v>
      </c>
      <c r="L5587" s="478">
        <f>40000/1000</f>
        <v>40</v>
      </c>
      <c r="M5587" s="355"/>
      <c r="N5587" s="355" t="s">
        <v>2408</v>
      </c>
      <c r="O5587" s="345"/>
      <c r="P5587" s="325"/>
      <c r="Q5587" s="327"/>
      <c r="R5587" s="351"/>
      <c r="S5587" s="351"/>
      <c r="T5587" s="351"/>
      <c r="U5587" s="329" t="str">
        <f>IF($N5587=$N$4,IFERROR(INDEX(DanhMuc!$E$154:$E$165,MATCH(MID($B5587,4,2),DanhMuc!$B$154:$B$165,0)),""),"")</f>
        <v/>
      </c>
      <c r="V5587" s="361"/>
      <c r="W5587" s="345"/>
      <c r="X5587" s="786"/>
      <c r="Y5587" s="1128" t="s">
        <v>3380</v>
      </c>
      <c r="Z5587" s="1128" t="s">
        <v>3381</v>
      </c>
      <c r="AA5587" s="1128" t="s">
        <v>3384</v>
      </c>
      <c r="AB5587" s="20"/>
      <c r="AC5587" s="73"/>
    </row>
    <row r="5588" spans="1:29" ht="37.5">
      <c r="A5588" s="327" t="str">
        <f>IF(AND($B5588&lt;&gt;"",$C5588&lt;&gt;""),MAX($A$4730:$A5587)+1,"")</f>
        <v/>
      </c>
      <c r="B5588" s="361" t="s">
        <v>1864</v>
      </c>
      <c r="C5588" s="362"/>
      <c r="D5588" s="327">
        <f>IF($B5588="","",COUNTIF($B$4731:$B5588,$B5588))</f>
        <v>9</v>
      </c>
      <c r="E5588" s="362" t="s">
        <v>1964</v>
      </c>
      <c r="F5588" s="362" t="s">
        <v>1965</v>
      </c>
      <c r="G5588" s="327" t="s">
        <v>405</v>
      </c>
      <c r="H5588" s="361" t="s">
        <v>536</v>
      </c>
      <c r="I5588" s="361" t="s">
        <v>693</v>
      </c>
      <c r="J5588" s="361"/>
      <c r="K5588" s="327" t="s">
        <v>223</v>
      </c>
      <c r="L5588" s="478">
        <v>140</v>
      </c>
      <c r="M5588" s="371"/>
      <c r="N5588" s="355" t="s">
        <v>2408</v>
      </c>
      <c r="O5588" s="345"/>
      <c r="P5588" s="325"/>
      <c r="Q5588" s="327"/>
      <c r="R5588" s="351"/>
      <c r="S5588" s="351"/>
      <c r="T5588" s="351"/>
      <c r="U5588" s="329" t="str">
        <f>IF($N5588=$N$4,IFERROR(INDEX(DanhMuc!$E$154:$E$165,MATCH(MID($B5588,4,2),DanhMuc!$B$154:$B$165,0)),""),"")</f>
        <v/>
      </c>
      <c r="V5588" s="361"/>
      <c r="W5588" s="345"/>
      <c r="X5588" s="786"/>
      <c r="Y5588" s="1128" t="s">
        <v>3380</v>
      </c>
      <c r="Z5588" s="1128" t="s">
        <v>3381</v>
      </c>
      <c r="AA5588" s="1128" t="s">
        <v>3384</v>
      </c>
      <c r="AB5588" s="20"/>
      <c r="AC5588" s="73"/>
    </row>
    <row r="5589" spans="1:29" ht="37.5">
      <c r="A5589" s="327" t="str">
        <f>IF(AND($B5589&lt;&gt;"",$C5589&lt;&gt;""),MAX($A$4730:$A5588)+1,"")</f>
        <v/>
      </c>
      <c r="B5589" s="361" t="s">
        <v>1864</v>
      </c>
      <c r="C5589" s="362"/>
      <c r="D5589" s="327">
        <f>IF($B5589="","",COUNTIF($B$4731:$B5589,$B5589))</f>
        <v>10</v>
      </c>
      <c r="E5589" s="362" t="s">
        <v>2756</v>
      </c>
      <c r="F5589" s="362" t="s">
        <v>2757</v>
      </c>
      <c r="G5589" s="327" t="s">
        <v>405</v>
      </c>
      <c r="H5589" s="361" t="s">
        <v>536</v>
      </c>
      <c r="I5589" s="361" t="s">
        <v>694</v>
      </c>
      <c r="J5589" s="361"/>
      <c r="K5589" s="327" t="s">
        <v>223</v>
      </c>
      <c r="L5589" s="479">
        <v>322</v>
      </c>
      <c r="M5589" s="371"/>
      <c r="N5589" s="355" t="s">
        <v>2408</v>
      </c>
      <c r="O5589" s="345"/>
      <c r="P5589" s="325"/>
      <c r="Q5589" s="327"/>
      <c r="R5589" s="351"/>
      <c r="S5589" s="351"/>
      <c r="T5589" s="351"/>
      <c r="U5589" s="329" t="str">
        <f>IF($N5589=$N$4,IFERROR(INDEX(DanhMuc!$E$154:$E$165,MATCH(MID($B5589,4,2),DanhMuc!$B$154:$B$165,0)),""),"")</f>
        <v/>
      </c>
      <c r="V5589" s="361"/>
      <c r="W5589" s="345"/>
      <c r="X5589" s="786"/>
      <c r="Y5589" s="1128" t="s">
        <v>3380</v>
      </c>
      <c r="Z5589" s="1128" t="s">
        <v>3381</v>
      </c>
      <c r="AA5589" s="1128" t="s">
        <v>3384</v>
      </c>
      <c r="AB5589" s="20"/>
      <c r="AC5589" s="73"/>
    </row>
    <row r="5590" spans="1:29">
      <c r="A5590" s="327" t="str">
        <f>IF(AND($B5590&lt;&gt;"",$C5590&lt;&gt;""),MAX($A$4730:$A5589)+1,"")</f>
        <v/>
      </c>
      <c r="B5590" s="361" t="s">
        <v>1864</v>
      </c>
      <c r="C5590" s="362"/>
      <c r="D5590" s="327">
        <f>IF($B5590="","",COUNTIF($B$4731:$B5590,$B5590))</f>
        <v>11</v>
      </c>
      <c r="E5590" s="361" t="s">
        <v>656</v>
      </c>
      <c r="F5590" s="362" t="s">
        <v>2239</v>
      </c>
      <c r="G5590" s="327" t="s">
        <v>405</v>
      </c>
      <c r="H5590" s="361" t="s">
        <v>536</v>
      </c>
      <c r="I5590" s="361" t="s">
        <v>1827</v>
      </c>
      <c r="J5590" s="361"/>
      <c r="K5590" s="327" t="s">
        <v>100</v>
      </c>
      <c r="L5590" s="478">
        <v>970</v>
      </c>
      <c r="M5590" s="371"/>
      <c r="N5590" s="355" t="s">
        <v>2409</v>
      </c>
      <c r="O5590" s="345"/>
      <c r="P5590" s="325"/>
      <c r="Q5590" s="327"/>
      <c r="R5590" s="351"/>
      <c r="S5590" s="351"/>
      <c r="T5590" s="351"/>
      <c r="U5590" s="329" t="str">
        <f>IF($N5590=$N$4,IFERROR(INDEX(DanhMuc!$E$154:$E$165,MATCH(MID($B5590,4,2),DanhMuc!$B$154:$B$165,0)),""),"")</f>
        <v/>
      </c>
      <c r="V5590" s="361"/>
      <c r="W5590" s="345"/>
      <c r="X5590" s="786"/>
      <c r="Y5590" s="1128" t="s">
        <v>3380</v>
      </c>
      <c r="Z5590" s="1128" t="s">
        <v>3381</v>
      </c>
      <c r="AA5590" s="1128" t="s">
        <v>3384</v>
      </c>
      <c r="AB5590" s="20"/>
      <c r="AC5590" s="73"/>
    </row>
    <row r="5591" spans="1:29">
      <c r="A5591" s="327" t="str">
        <f>IF(AND($B5591&lt;&gt;"",$C5591&lt;&gt;""),MAX($A$4730:$A5590)+1,"")</f>
        <v/>
      </c>
      <c r="B5591" s="361" t="s">
        <v>1864</v>
      </c>
      <c r="C5591" s="362"/>
      <c r="D5591" s="327">
        <f>IF($B5591="","",COUNTIF($B$4731:$B5591,$B5591))</f>
        <v>12</v>
      </c>
      <c r="E5591" s="361" t="s">
        <v>657</v>
      </c>
      <c r="F5591" s="362" t="s">
        <v>658</v>
      </c>
      <c r="G5591" s="327" t="s">
        <v>424</v>
      </c>
      <c r="H5591" s="361" t="s">
        <v>536</v>
      </c>
      <c r="I5591" s="361" t="s">
        <v>665</v>
      </c>
      <c r="J5591" s="361"/>
      <c r="K5591" s="327" t="s">
        <v>100</v>
      </c>
      <c r="L5591" s="478">
        <v>60000</v>
      </c>
      <c r="M5591" s="355"/>
      <c r="N5591" s="355" t="s">
        <v>2409</v>
      </c>
      <c r="O5591" s="345"/>
      <c r="P5591" s="325"/>
      <c r="Q5591" s="327"/>
      <c r="R5591" s="351"/>
      <c r="S5591" s="351"/>
      <c r="T5591" s="351"/>
      <c r="U5591" s="329" t="str">
        <f>IF($N5591=$N$4,IFERROR(INDEX(DanhMuc!$E$154:$E$165,MATCH(MID($B5591,4,2),DanhMuc!$B$154:$B$165,0)),""),"")</f>
        <v/>
      </c>
      <c r="V5591" s="361"/>
      <c r="W5591" s="345"/>
      <c r="X5591" s="786"/>
      <c r="Y5591" s="1128" t="s">
        <v>3380</v>
      </c>
      <c r="Z5591" s="1128" t="s">
        <v>3381</v>
      </c>
      <c r="AA5591" s="1128" t="s">
        <v>3384</v>
      </c>
      <c r="AB5591" s="20"/>
      <c r="AC5591" s="73"/>
    </row>
    <row r="5592" spans="1:29">
      <c r="A5592" s="327" t="str">
        <f>IF(AND($B5592&lt;&gt;"",$C5592&lt;&gt;""),MAX($A$4730:$A5591)+1,"")</f>
        <v/>
      </c>
      <c r="B5592" s="361" t="s">
        <v>1864</v>
      </c>
      <c r="C5592" s="362"/>
      <c r="D5592" s="327">
        <f>IF($B5592="","",COUNTIF($B$4731:$B5592,$B5592))</f>
        <v>13</v>
      </c>
      <c r="E5592" s="361" t="s">
        <v>2771</v>
      </c>
      <c r="F5592" s="362" t="s">
        <v>659</v>
      </c>
      <c r="G5592" s="327" t="s">
        <v>424</v>
      </c>
      <c r="H5592" s="361" t="s">
        <v>536</v>
      </c>
      <c r="I5592" s="361" t="s">
        <v>666</v>
      </c>
      <c r="J5592" s="361"/>
      <c r="K5592" s="327" t="s">
        <v>100</v>
      </c>
      <c r="L5592" s="389">
        <v>53000</v>
      </c>
      <c r="M5592" s="355"/>
      <c r="N5592" s="355" t="s">
        <v>2409</v>
      </c>
      <c r="O5592" s="345"/>
      <c r="P5592" s="325"/>
      <c r="Q5592" s="327"/>
      <c r="R5592" s="351"/>
      <c r="S5592" s="351"/>
      <c r="T5592" s="351"/>
      <c r="U5592" s="329" t="str">
        <f>IF($N5592=$N$4,IFERROR(INDEX(DanhMuc!$E$154:$E$165,MATCH(MID($B5592,4,2),DanhMuc!$B$154:$B$165,0)),""),"")</f>
        <v/>
      </c>
      <c r="V5592" s="361"/>
      <c r="W5592" s="345"/>
      <c r="X5592" s="786"/>
      <c r="Y5592" s="1128" t="s">
        <v>3380</v>
      </c>
      <c r="Z5592" s="1128" t="s">
        <v>3381</v>
      </c>
      <c r="AA5592" s="1128" t="s">
        <v>3384</v>
      </c>
      <c r="AB5592" s="20"/>
      <c r="AC5592" s="73"/>
    </row>
    <row r="5593" spans="1:29">
      <c r="A5593" s="327" t="str">
        <f>IF(AND($B5593&lt;&gt;"",$C5593&lt;&gt;""),MAX($A$4730:$A5592)+1,"")</f>
        <v/>
      </c>
      <c r="B5593" s="361" t="s">
        <v>1864</v>
      </c>
      <c r="C5593" s="362"/>
      <c r="D5593" s="327">
        <f>IF($B5593="","",COUNTIF($B$4731:$B5593,$B5593))</f>
        <v>14</v>
      </c>
      <c r="E5593" s="361" t="s">
        <v>1828</v>
      </c>
      <c r="F5593" s="362" t="s">
        <v>671</v>
      </c>
      <c r="G5593" s="327" t="s">
        <v>661</v>
      </c>
      <c r="H5593" s="361" t="s">
        <v>536</v>
      </c>
      <c r="I5593" s="361" t="s">
        <v>2355</v>
      </c>
      <c r="J5593" s="361"/>
      <c r="K5593" s="327" t="s">
        <v>100</v>
      </c>
      <c r="L5593" s="478">
        <f>40000/1000</f>
        <v>40</v>
      </c>
      <c r="M5593" s="355"/>
      <c r="N5593" s="355" t="s">
        <v>2409</v>
      </c>
      <c r="O5593" s="345"/>
      <c r="P5593" s="325"/>
      <c r="Q5593" s="327"/>
      <c r="R5593" s="351"/>
      <c r="S5593" s="351"/>
      <c r="T5593" s="351"/>
      <c r="U5593" s="329" t="str">
        <f>IF($N5593=$N$4,IFERROR(INDEX(DanhMuc!$E$154:$E$165,MATCH(MID($B5593,4,2),DanhMuc!$B$154:$B$165,0)),""),"")</f>
        <v/>
      </c>
      <c r="V5593" s="361"/>
      <c r="W5593" s="345"/>
      <c r="X5593" s="786"/>
      <c r="Y5593" s="1128" t="s">
        <v>3380</v>
      </c>
      <c r="Z5593" s="1128" t="s">
        <v>3381</v>
      </c>
      <c r="AA5593" s="1128" t="s">
        <v>3384</v>
      </c>
      <c r="AB5593" s="20"/>
      <c r="AC5593" s="73"/>
    </row>
    <row r="5594" spans="1:29">
      <c r="A5594" s="327" t="str">
        <f>IF(AND($B5594&lt;&gt;"",$C5594&lt;&gt;""),MAX($A$4730:$A5593)+1,"")</f>
        <v/>
      </c>
      <c r="B5594" s="361" t="s">
        <v>1864</v>
      </c>
      <c r="C5594" s="362"/>
      <c r="D5594" s="327">
        <f>IF($B5594="","",COUNTIF($B$4731:$B5594,$B5594))</f>
        <v>15</v>
      </c>
      <c r="E5594" s="361" t="s">
        <v>154</v>
      </c>
      <c r="F5594" s="362" t="s">
        <v>660</v>
      </c>
      <c r="G5594" s="327" t="s">
        <v>661</v>
      </c>
      <c r="H5594" s="361" t="s">
        <v>536</v>
      </c>
      <c r="I5594" s="361" t="s">
        <v>667</v>
      </c>
      <c r="J5594" s="361"/>
      <c r="K5594" s="327" t="s">
        <v>662</v>
      </c>
      <c r="L5594" s="478">
        <v>20</v>
      </c>
      <c r="M5594" s="355"/>
      <c r="N5594" s="355" t="s">
        <v>2409</v>
      </c>
      <c r="O5594" s="345"/>
      <c r="P5594" s="325"/>
      <c r="Q5594" s="327"/>
      <c r="R5594" s="351"/>
      <c r="S5594" s="351"/>
      <c r="T5594" s="351"/>
      <c r="U5594" s="329" t="str">
        <f>IF($N5594=$N$4,IFERROR(INDEX(DanhMuc!$E$154:$E$165,MATCH(MID($B5594,4,2),DanhMuc!$B$154:$B$165,0)),""),"")</f>
        <v/>
      </c>
      <c r="V5594" s="361"/>
      <c r="W5594" s="345"/>
      <c r="X5594" s="786"/>
      <c r="Y5594" s="1128" t="s">
        <v>3380</v>
      </c>
      <c r="Z5594" s="1128" t="s">
        <v>3381</v>
      </c>
      <c r="AA5594" s="1128" t="s">
        <v>3384</v>
      </c>
      <c r="AB5594" s="20"/>
      <c r="AC5594" s="73"/>
    </row>
    <row r="5595" spans="1:29">
      <c r="A5595" s="327" t="str">
        <f>IF(AND($B5595&lt;&gt;"",$C5595&lt;&gt;""),MAX($A$4730:$A5594)+1,"")</f>
        <v/>
      </c>
      <c r="B5595" s="361" t="s">
        <v>1864</v>
      </c>
      <c r="C5595" s="362"/>
      <c r="D5595" s="327">
        <f>IF($B5595="","",COUNTIF($B$4731:$B5595,$B5595))</f>
        <v>16</v>
      </c>
      <c r="E5595" s="362" t="s">
        <v>2282</v>
      </c>
      <c r="F5595" s="362" t="s">
        <v>2283</v>
      </c>
      <c r="G5595" s="327" t="s">
        <v>424</v>
      </c>
      <c r="H5595" s="361" t="s">
        <v>536</v>
      </c>
      <c r="I5595" s="361" t="s">
        <v>2238</v>
      </c>
      <c r="J5595" s="361"/>
      <c r="K5595" s="327" t="s">
        <v>662</v>
      </c>
      <c r="L5595" s="478">
        <v>28000</v>
      </c>
      <c r="M5595" s="355"/>
      <c r="N5595" s="355" t="s">
        <v>2409</v>
      </c>
      <c r="O5595" s="345"/>
      <c r="P5595" s="325"/>
      <c r="Q5595" s="327"/>
      <c r="R5595" s="351"/>
      <c r="S5595" s="351"/>
      <c r="T5595" s="351"/>
      <c r="U5595" s="329" t="str">
        <f>IF($N5595=$N$4,IFERROR(INDEX(DanhMuc!$E$154:$E$165,MATCH(MID($B5595,4,2),DanhMuc!$B$154:$B$165,0)),""),"")</f>
        <v/>
      </c>
      <c r="V5595" s="361"/>
      <c r="W5595" s="345"/>
      <c r="X5595" s="786"/>
      <c r="Y5595" s="1128" t="s">
        <v>3380</v>
      </c>
      <c r="Z5595" s="1128" t="s">
        <v>3381</v>
      </c>
      <c r="AA5595" s="1128" t="s">
        <v>3384</v>
      </c>
      <c r="AB5595" s="20"/>
      <c r="AC5595" s="73"/>
    </row>
    <row r="5596" spans="1:29">
      <c r="A5596" s="327" t="str">
        <f>IF(AND($B5596&lt;&gt;"",$C5596&lt;&gt;""),MAX($A$4730:$A5595)+1,"")</f>
        <v/>
      </c>
      <c r="B5596" s="361" t="s">
        <v>1864</v>
      </c>
      <c r="C5596" s="362"/>
      <c r="D5596" s="327">
        <f>IF($B5596="","",COUNTIF($B$4731:$B5596,$B5596))</f>
        <v>17</v>
      </c>
      <c r="E5596" s="362" t="s">
        <v>663</v>
      </c>
      <c r="F5596" s="362" t="s">
        <v>664</v>
      </c>
      <c r="G5596" s="327" t="s">
        <v>155</v>
      </c>
      <c r="H5596" s="361" t="s">
        <v>536</v>
      </c>
      <c r="I5596" s="361" t="s">
        <v>672</v>
      </c>
      <c r="J5596" s="361"/>
      <c r="K5596" s="327" t="s">
        <v>662</v>
      </c>
      <c r="L5596" s="478">
        <v>1000</v>
      </c>
      <c r="M5596" s="355"/>
      <c r="N5596" s="355" t="s">
        <v>2409</v>
      </c>
      <c r="O5596" s="345"/>
      <c r="P5596" s="325"/>
      <c r="Q5596" s="327"/>
      <c r="R5596" s="351"/>
      <c r="S5596" s="351"/>
      <c r="T5596" s="351"/>
      <c r="U5596" s="329" t="str">
        <f>IF($N5596=$N$4,IFERROR(INDEX(DanhMuc!$E$154:$E$165,MATCH(MID($B5596,4,2),DanhMuc!$B$154:$B$165,0)),""),"")</f>
        <v/>
      </c>
      <c r="V5596" s="361"/>
      <c r="W5596" s="345"/>
      <c r="X5596" s="786"/>
      <c r="Y5596" s="1128" t="s">
        <v>3380</v>
      </c>
      <c r="Z5596" s="1128" t="s">
        <v>3381</v>
      </c>
      <c r="AA5596" s="1128" t="s">
        <v>3384</v>
      </c>
      <c r="AB5596" s="20"/>
      <c r="AC5596" s="73"/>
    </row>
    <row r="5597" spans="1:29" ht="39">
      <c r="A5597" s="327">
        <f>IF(AND($B5597&lt;&gt;"",$C5597&lt;&gt;""),MAX($A$4730:$A5586)+1,"")</f>
        <v>32</v>
      </c>
      <c r="B5597" s="359" t="s">
        <v>1865</v>
      </c>
      <c r="C5597" s="360" t="s">
        <v>1892</v>
      </c>
      <c r="D5597" s="327">
        <f>IF($B5597="","",COUNTIF($B$4731:$B5597,$B5597))</f>
        <v>1</v>
      </c>
      <c r="E5597" s="402" t="s">
        <v>2302</v>
      </c>
      <c r="F5597" s="403" t="s">
        <v>2332</v>
      </c>
      <c r="G5597" s="327" t="s">
        <v>155</v>
      </c>
      <c r="H5597" s="361" t="s">
        <v>536</v>
      </c>
      <c r="I5597" s="327">
        <v>4</v>
      </c>
      <c r="J5597" s="361"/>
      <c r="K5597" s="327" t="s">
        <v>100</v>
      </c>
      <c r="L5597" s="389">
        <v>6600</v>
      </c>
      <c r="M5597" s="355"/>
      <c r="N5597" s="355" t="s">
        <v>2408</v>
      </c>
      <c r="O5597" s="345" t="s">
        <v>2776</v>
      </c>
      <c r="P5597" s="325"/>
      <c r="Q5597" s="327"/>
      <c r="R5597" s="351">
        <v>0</v>
      </c>
      <c r="S5597" s="351">
        <v>5.8</v>
      </c>
      <c r="T5597" s="351">
        <v>3.1339999999999999</v>
      </c>
      <c r="U5597" s="329" t="str">
        <f>IF($N5597=$N$4,IFERROR(INDEX(DanhMuc!$E$154:$E$165,MATCH(MID($B5597,4,2),DanhMuc!$B$154:$B$165,0)),""),"")</f>
        <v/>
      </c>
      <c r="V5597" s="361"/>
      <c r="W5597" s="345"/>
      <c r="X5597" s="786"/>
      <c r="Y5597" s="1128" t="s">
        <v>3380</v>
      </c>
      <c r="Z5597" s="1128" t="s">
        <v>3381</v>
      </c>
      <c r="AA5597" s="1128" t="s">
        <v>3384</v>
      </c>
      <c r="AB5597" s="20"/>
      <c r="AC5597" s="73"/>
    </row>
    <row r="5598" spans="1:29">
      <c r="A5598" s="327" t="str">
        <f>IF(AND($B5598&lt;&gt;"",$C5598&lt;&gt;""),MAX($A$4730:$A5587)+1,"")</f>
        <v/>
      </c>
      <c r="B5598" s="361" t="s">
        <v>1865</v>
      </c>
      <c r="C5598" s="362"/>
      <c r="D5598" s="327">
        <f>IF($B5598="","",COUNTIF($B$4731:$B5598,$B5598))</f>
        <v>2</v>
      </c>
      <c r="E5598" s="402" t="s">
        <v>2788</v>
      </c>
      <c r="F5598" s="403" t="s">
        <v>2789</v>
      </c>
      <c r="G5598" s="327" t="s">
        <v>155</v>
      </c>
      <c r="H5598" s="361" t="s">
        <v>536</v>
      </c>
      <c r="I5598" s="327">
        <f>4*I5597</f>
        <v>16</v>
      </c>
      <c r="J5598" s="361"/>
      <c r="K5598" s="327" t="s">
        <v>100</v>
      </c>
      <c r="L5598" s="389">
        <v>600</v>
      </c>
      <c r="M5598" s="355"/>
      <c r="N5598" s="355" t="s">
        <v>2408</v>
      </c>
      <c r="O5598" s="345" t="s">
        <v>2776</v>
      </c>
      <c r="P5598" s="325"/>
      <c r="Q5598" s="327"/>
      <c r="R5598" s="351">
        <v>0</v>
      </c>
      <c r="S5598" s="351">
        <v>5.8</v>
      </c>
      <c r="T5598" s="351">
        <v>3.1339999999999999</v>
      </c>
      <c r="U5598" s="329" t="str">
        <f>IF($N5598=$N$4,IFERROR(INDEX(DanhMuc!$E$154:$E$165,MATCH(MID($B5598,4,2),DanhMuc!$B$154:$B$165,0)),""),"")</f>
        <v/>
      </c>
      <c r="V5598" s="361"/>
      <c r="W5598" s="345"/>
      <c r="X5598" s="786"/>
      <c r="Y5598" s="1128" t="s">
        <v>3380</v>
      </c>
      <c r="Z5598" s="1128" t="s">
        <v>3381</v>
      </c>
      <c r="AA5598" s="1128" t="s">
        <v>3384</v>
      </c>
      <c r="AB5598" s="20"/>
      <c r="AC5598" s="73"/>
    </row>
    <row r="5599" spans="1:29">
      <c r="A5599" s="327" t="str">
        <f>IF(AND($B5599&lt;&gt;"",$C5599&lt;&gt;""),MAX($A$4730:$A5588)+1,"")</f>
        <v/>
      </c>
      <c r="B5599" s="361" t="s">
        <v>1865</v>
      </c>
      <c r="C5599" s="362"/>
      <c r="D5599" s="327">
        <f>IF($B5599="","",COUNTIF($B$4731:$B5599,$B5599))</f>
        <v>3</v>
      </c>
      <c r="E5599" s="361" t="s">
        <v>2781</v>
      </c>
      <c r="F5599" s="362" t="s">
        <v>2780</v>
      </c>
      <c r="G5599" s="327" t="s">
        <v>155</v>
      </c>
      <c r="H5599" s="361" t="s">
        <v>536</v>
      </c>
      <c r="I5599" s="327">
        <v>4</v>
      </c>
      <c r="J5599" s="361"/>
      <c r="K5599" s="327" t="s">
        <v>100</v>
      </c>
      <c r="L5599" s="389">
        <v>7200</v>
      </c>
      <c r="M5599" s="355"/>
      <c r="N5599" s="355" t="s">
        <v>2408</v>
      </c>
      <c r="O5599" s="345" t="s">
        <v>2777</v>
      </c>
      <c r="P5599" s="325"/>
      <c r="Q5599" s="327"/>
      <c r="R5599" s="351">
        <v>0</v>
      </c>
      <c r="S5599" s="351">
        <v>5.8</v>
      </c>
      <c r="T5599" s="351">
        <v>3.1339999999999999</v>
      </c>
      <c r="U5599" s="329" t="str">
        <f>IF($N5599=$N$4,IFERROR(INDEX(DanhMuc!$E$154:$E$165,MATCH(MID($B5599,4,2),DanhMuc!$B$154:$B$165,0)),""),"")</f>
        <v/>
      </c>
      <c r="V5599" s="361"/>
      <c r="W5599" s="345"/>
      <c r="X5599" s="786"/>
      <c r="Y5599" s="1128" t="s">
        <v>3380</v>
      </c>
      <c r="Z5599" s="1128" t="s">
        <v>3381</v>
      </c>
      <c r="AA5599" s="1128" t="s">
        <v>3384</v>
      </c>
      <c r="AB5599" s="20"/>
      <c r="AC5599" s="73"/>
    </row>
    <row r="5600" spans="1:29">
      <c r="A5600" s="327" t="str">
        <f>IF(AND($B5600&lt;&gt;"",$C5600&lt;&gt;""),MAX($A$4730:$A5595)+1,"")</f>
        <v/>
      </c>
      <c r="B5600" s="361" t="s">
        <v>1865</v>
      </c>
      <c r="C5600" s="362"/>
      <c r="D5600" s="327">
        <f>IF($B5600="","",COUNTIF($B$4731:$B5600,$B5600))</f>
        <v>4</v>
      </c>
      <c r="E5600" s="402" t="s">
        <v>2303</v>
      </c>
      <c r="F5600" s="403" t="s">
        <v>2782</v>
      </c>
      <c r="G5600" s="327" t="s">
        <v>155</v>
      </c>
      <c r="H5600" s="361" t="s">
        <v>536</v>
      </c>
      <c r="I5600" s="327">
        <v>12</v>
      </c>
      <c r="J5600" s="361"/>
      <c r="K5600" s="327" t="s">
        <v>101</v>
      </c>
      <c r="L5600" s="389">
        <v>9100</v>
      </c>
      <c r="M5600" s="355"/>
      <c r="N5600" s="355" t="s">
        <v>2408</v>
      </c>
      <c r="O5600" s="345" t="s">
        <v>2778</v>
      </c>
      <c r="P5600" s="325"/>
      <c r="Q5600" s="327"/>
      <c r="R5600" s="351">
        <v>0</v>
      </c>
      <c r="S5600" s="351">
        <v>5.8</v>
      </c>
      <c r="T5600" s="351">
        <v>2.4359999999999999</v>
      </c>
      <c r="U5600" s="329" t="str">
        <f>IF($N5600=$N$4,IFERROR(INDEX(DanhMuc!$E$154:$E$165,MATCH(MID($B5600,4,2),DanhMuc!$B$154:$B$165,0)),""),"")</f>
        <v/>
      </c>
      <c r="V5600" s="361"/>
      <c r="W5600" s="345"/>
      <c r="X5600" s="786"/>
      <c r="Y5600" s="1128" t="s">
        <v>3380</v>
      </c>
      <c r="Z5600" s="1128" t="s">
        <v>3381</v>
      </c>
      <c r="AA5600" s="1128" t="s">
        <v>3384</v>
      </c>
      <c r="AB5600" s="20"/>
      <c r="AC5600" s="73"/>
    </row>
    <row r="5601" spans="1:29">
      <c r="A5601" s="327" t="str">
        <f>IF(AND($B5601&lt;&gt;"",$C5601&lt;&gt;""),MAX($A$4730:$A5596)+1,"")</f>
        <v/>
      </c>
      <c r="B5601" s="361" t="s">
        <v>1865</v>
      </c>
      <c r="C5601" s="362"/>
      <c r="D5601" s="327">
        <f>IF($B5601="","",COUNTIF($B$4731:$B5601,$B5601))</f>
        <v>5</v>
      </c>
      <c r="E5601" s="402" t="s">
        <v>2788</v>
      </c>
      <c r="F5601" s="403" t="s">
        <v>2789</v>
      </c>
      <c r="G5601" s="327" t="s">
        <v>155</v>
      </c>
      <c r="H5601" s="361" t="s">
        <v>536</v>
      </c>
      <c r="I5601" s="327">
        <f>4*I5600</f>
        <v>48</v>
      </c>
      <c r="J5601" s="361"/>
      <c r="K5601" s="327" t="s">
        <v>101</v>
      </c>
      <c r="L5601" s="389">
        <v>600</v>
      </c>
      <c r="M5601" s="355"/>
      <c r="N5601" s="355" t="s">
        <v>2408</v>
      </c>
      <c r="O5601" s="345" t="s">
        <v>2778</v>
      </c>
      <c r="P5601" s="325"/>
      <c r="Q5601" s="327"/>
      <c r="R5601" s="351">
        <v>0</v>
      </c>
      <c r="S5601" s="351">
        <v>5.8</v>
      </c>
      <c r="T5601" s="351">
        <v>2.4359999999999999</v>
      </c>
      <c r="U5601" s="329" t="str">
        <f>IF($N5601=$N$4,IFERROR(INDEX(DanhMuc!$E$154:$E$165,MATCH(MID($B5601,4,2),DanhMuc!$B$154:$B$165,0)),""),"")</f>
        <v/>
      </c>
      <c r="V5601" s="361"/>
      <c r="W5601" s="345"/>
      <c r="X5601" s="786"/>
      <c r="Y5601" s="1128" t="s">
        <v>3380</v>
      </c>
      <c r="Z5601" s="1128" t="s">
        <v>3381</v>
      </c>
      <c r="AA5601" s="1128" t="s">
        <v>3384</v>
      </c>
      <c r="AB5601" s="20"/>
      <c r="AC5601" s="73"/>
    </row>
    <row r="5602" spans="1:29">
      <c r="A5602" s="327" t="str">
        <f>IF(AND($B5602&lt;&gt;"",$C5602&lt;&gt;""),MAX($A$4730:$A5597)+1,"")</f>
        <v/>
      </c>
      <c r="B5602" s="361" t="s">
        <v>1865</v>
      </c>
      <c r="C5602" s="362"/>
      <c r="D5602" s="327">
        <f>IF($B5602="","",COUNTIF($B$4731:$B5602,$B5602))</f>
        <v>6</v>
      </c>
      <c r="E5602" s="361" t="s">
        <v>699</v>
      </c>
      <c r="F5602" s="362" t="s">
        <v>2783</v>
      </c>
      <c r="G5602" s="327" t="s">
        <v>155</v>
      </c>
      <c r="H5602" s="361" t="s">
        <v>536</v>
      </c>
      <c r="I5602" s="327">
        <v>12</v>
      </c>
      <c r="J5602" s="361"/>
      <c r="K5602" s="327" t="s">
        <v>101</v>
      </c>
      <c r="L5602" s="389">
        <v>11000</v>
      </c>
      <c r="M5602" s="355"/>
      <c r="N5602" s="355" t="s">
        <v>2408</v>
      </c>
      <c r="O5602" s="345" t="s">
        <v>2779</v>
      </c>
      <c r="P5602" s="325"/>
      <c r="Q5602" s="327"/>
      <c r="R5602" s="351">
        <v>0</v>
      </c>
      <c r="S5602" s="351">
        <v>5.8</v>
      </c>
      <c r="T5602" s="351">
        <v>2.4359999999999999</v>
      </c>
      <c r="U5602" s="329" t="str">
        <f>IF($N5602=$N$4,IFERROR(INDEX(DanhMuc!$E$154:$E$165,MATCH(MID($B5602,4,2),DanhMuc!$B$154:$B$165,0)),""),"")</f>
        <v/>
      </c>
      <c r="V5602" s="361"/>
      <c r="W5602" s="345"/>
      <c r="X5602" s="786"/>
      <c r="Y5602" s="1128" t="s">
        <v>3380</v>
      </c>
      <c r="Z5602" s="1128" t="s">
        <v>3381</v>
      </c>
      <c r="AA5602" s="1128" t="s">
        <v>3384</v>
      </c>
      <c r="AB5602" s="20"/>
      <c r="AC5602" s="73"/>
    </row>
    <row r="5603" spans="1:29">
      <c r="A5603" s="327" t="str">
        <f>IF(AND($B5603&lt;&gt;"",$C5603&lt;&gt;""),MAX($A$4730:$A5602)+1,"")</f>
        <v/>
      </c>
      <c r="B5603" s="361" t="s">
        <v>1865</v>
      </c>
      <c r="C5603" s="362"/>
      <c r="D5603" s="327">
        <f>IF($B5603="","",COUNTIF($B$4731:$B5603,$B5603))</f>
        <v>7</v>
      </c>
      <c r="E5603" s="361" t="s">
        <v>414</v>
      </c>
      <c r="F5603" s="362" t="s">
        <v>413</v>
      </c>
      <c r="G5603" s="327" t="s">
        <v>155</v>
      </c>
      <c r="H5603" s="361" t="s">
        <v>536</v>
      </c>
      <c r="I5603" s="327">
        <f>+I5597+I5600*2</f>
        <v>28</v>
      </c>
      <c r="J5603" s="361"/>
      <c r="K5603" s="327" t="s">
        <v>415</v>
      </c>
      <c r="L5603" s="389">
        <v>408</v>
      </c>
      <c r="M5603" s="355"/>
      <c r="N5603" s="355" t="s">
        <v>2408</v>
      </c>
      <c r="O5603" s="345"/>
      <c r="P5603" s="325"/>
      <c r="Q5603" s="327"/>
      <c r="R5603" s="351"/>
      <c r="S5603" s="351"/>
      <c r="T5603" s="351"/>
      <c r="U5603" s="329" t="str">
        <f>IF($N5603=$N$4,IFERROR(INDEX(DanhMuc!$E$154:$E$165,MATCH(MID($B5603,4,2),DanhMuc!$B$154:$B$165,0)),""),"")</f>
        <v/>
      </c>
      <c r="V5603" s="361"/>
      <c r="W5603" s="345"/>
      <c r="X5603" s="786"/>
      <c r="Y5603" s="1128" t="s">
        <v>3380</v>
      </c>
      <c r="Z5603" s="1128" t="s">
        <v>3381</v>
      </c>
      <c r="AA5603" s="1128" t="s">
        <v>3384</v>
      </c>
      <c r="AB5603" s="20"/>
      <c r="AC5603" s="73"/>
    </row>
    <row r="5604" spans="1:29">
      <c r="A5604" s="327" t="str">
        <f>IF(AND($B5604&lt;&gt;"",$C5604&lt;&gt;""),MAX($A$4730:$A5603)+1,"")</f>
        <v/>
      </c>
      <c r="B5604" s="361" t="s">
        <v>1865</v>
      </c>
      <c r="C5604" s="362"/>
      <c r="D5604" s="327">
        <f>IF($B5604="","",COUNTIF($B$4731:$B5604,$B5604))</f>
        <v>8</v>
      </c>
      <c r="E5604" s="361" t="s">
        <v>1826</v>
      </c>
      <c r="F5604" s="362" t="s">
        <v>670</v>
      </c>
      <c r="G5604" s="327" t="s">
        <v>661</v>
      </c>
      <c r="H5604" s="361" t="s">
        <v>536</v>
      </c>
      <c r="I5604" s="361" t="s">
        <v>2354</v>
      </c>
      <c r="J5604" s="361"/>
      <c r="K5604" s="327" t="s">
        <v>103</v>
      </c>
      <c r="L5604" s="478">
        <f>40000/1000</f>
        <v>40</v>
      </c>
      <c r="M5604" s="355"/>
      <c r="N5604" s="355" t="s">
        <v>2408</v>
      </c>
      <c r="O5604" s="345"/>
      <c r="P5604" s="325"/>
      <c r="Q5604" s="327"/>
      <c r="R5604" s="351"/>
      <c r="S5604" s="351"/>
      <c r="T5604" s="351"/>
      <c r="U5604" s="329" t="str">
        <f>IF($N5604=$N$4,IFERROR(INDEX(DanhMuc!$E$154:$E$165,MATCH(MID($B5604,4,2),DanhMuc!$B$154:$B$165,0)),""),"")</f>
        <v/>
      </c>
      <c r="V5604" s="361"/>
      <c r="W5604" s="345"/>
      <c r="X5604" s="786"/>
      <c r="Y5604" s="1128" t="s">
        <v>3380</v>
      </c>
      <c r="Z5604" s="1128" t="s">
        <v>3381</v>
      </c>
      <c r="AA5604" s="1128" t="s">
        <v>3384</v>
      </c>
      <c r="AB5604" s="20"/>
      <c r="AC5604" s="73"/>
    </row>
    <row r="5605" spans="1:29" ht="37.5">
      <c r="A5605" s="327" t="str">
        <f>IF(AND($B5605&lt;&gt;"",$C5605&lt;&gt;""),MAX($A$4730:$A5604)+1,"")</f>
        <v/>
      </c>
      <c r="B5605" s="361" t="s">
        <v>1865</v>
      </c>
      <c r="C5605" s="362"/>
      <c r="D5605" s="327">
        <f>IF($B5605="","",COUNTIF($B$4731:$B5605,$B5605))</f>
        <v>9</v>
      </c>
      <c r="E5605" s="362" t="s">
        <v>1964</v>
      </c>
      <c r="F5605" s="362" t="s">
        <v>1965</v>
      </c>
      <c r="G5605" s="327" t="s">
        <v>405</v>
      </c>
      <c r="H5605" s="361" t="s">
        <v>536</v>
      </c>
      <c r="I5605" s="361" t="s">
        <v>693</v>
      </c>
      <c r="J5605" s="361"/>
      <c r="K5605" s="327" t="s">
        <v>223</v>
      </c>
      <c r="L5605" s="478">
        <v>140</v>
      </c>
      <c r="M5605" s="371"/>
      <c r="N5605" s="355" t="s">
        <v>2408</v>
      </c>
      <c r="O5605" s="345"/>
      <c r="P5605" s="325"/>
      <c r="Q5605" s="327"/>
      <c r="R5605" s="351"/>
      <c r="S5605" s="351"/>
      <c r="T5605" s="351"/>
      <c r="U5605" s="329" t="str">
        <f>IF($N5605=$N$4,IFERROR(INDEX(DanhMuc!$E$154:$E$165,MATCH(MID($B5605,4,2),DanhMuc!$B$154:$B$165,0)),""),"")</f>
        <v/>
      </c>
      <c r="V5605" s="361"/>
      <c r="W5605" s="345"/>
      <c r="X5605" s="786"/>
      <c r="Y5605" s="1128" t="s">
        <v>3380</v>
      </c>
      <c r="Z5605" s="1128" t="s">
        <v>3381</v>
      </c>
      <c r="AA5605" s="1128" t="s">
        <v>3384</v>
      </c>
      <c r="AB5605" s="20"/>
      <c r="AC5605" s="73"/>
    </row>
    <row r="5606" spans="1:29" ht="37.5">
      <c r="A5606" s="327" t="str">
        <f>IF(AND($B5606&lt;&gt;"",$C5606&lt;&gt;""),MAX($A$4730:$A5605)+1,"")</f>
        <v/>
      </c>
      <c r="B5606" s="361" t="s">
        <v>1865</v>
      </c>
      <c r="C5606" s="362"/>
      <c r="D5606" s="327">
        <f>IF($B5606="","",COUNTIF($B$4731:$B5606,$B5606))</f>
        <v>10</v>
      </c>
      <c r="E5606" s="362" t="s">
        <v>2756</v>
      </c>
      <c r="F5606" s="362" t="s">
        <v>2757</v>
      </c>
      <c r="G5606" s="327" t="s">
        <v>405</v>
      </c>
      <c r="H5606" s="361" t="s">
        <v>536</v>
      </c>
      <c r="I5606" s="361" t="s">
        <v>694</v>
      </c>
      <c r="J5606" s="361"/>
      <c r="K5606" s="327" t="s">
        <v>223</v>
      </c>
      <c r="L5606" s="479">
        <v>322</v>
      </c>
      <c r="M5606" s="371"/>
      <c r="N5606" s="355" t="s">
        <v>2408</v>
      </c>
      <c r="O5606" s="345"/>
      <c r="P5606" s="325"/>
      <c r="Q5606" s="327"/>
      <c r="R5606" s="351"/>
      <c r="S5606" s="351"/>
      <c r="T5606" s="351"/>
      <c r="U5606" s="329" t="str">
        <f>IF($N5606=$N$4,IFERROR(INDEX(DanhMuc!$E$154:$E$165,MATCH(MID($B5606,4,2),DanhMuc!$B$154:$B$165,0)),""),"")</f>
        <v/>
      </c>
      <c r="V5606" s="361"/>
      <c r="W5606" s="345"/>
      <c r="X5606" s="786"/>
      <c r="Y5606" s="1128" t="s">
        <v>3380</v>
      </c>
      <c r="Z5606" s="1128" t="s">
        <v>3381</v>
      </c>
      <c r="AA5606" s="1128" t="s">
        <v>3384</v>
      </c>
      <c r="AB5606" s="20"/>
      <c r="AC5606" s="73"/>
    </row>
    <row r="5607" spans="1:29">
      <c r="A5607" s="327" t="str">
        <f>IF(AND($B5607&lt;&gt;"",$C5607&lt;&gt;""),MAX($A$4730:$A5606)+1,"")</f>
        <v/>
      </c>
      <c r="B5607" s="361" t="s">
        <v>1865</v>
      </c>
      <c r="C5607" s="362"/>
      <c r="D5607" s="327">
        <f>IF($B5607="","",COUNTIF($B$4731:$B5607,$B5607))</f>
        <v>11</v>
      </c>
      <c r="E5607" s="361" t="s">
        <v>656</v>
      </c>
      <c r="F5607" s="362" t="s">
        <v>2239</v>
      </c>
      <c r="G5607" s="327" t="s">
        <v>405</v>
      </c>
      <c r="H5607" s="361" t="s">
        <v>536</v>
      </c>
      <c r="I5607" s="361" t="s">
        <v>1827</v>
      </c>
      <c r="J5607" s="361"/>
      <c r="K5607" s="327" t="s">
        <v>100</v>
      </c>
      <c r="L5607" s="478">
        <v>970</v>
      </c>
      <c r="M5607" s="371"/>
      <c r="N5607" s="355" t="s">
        <v>2409</v>
      </c>
      <c r="O5607" s="345"/>
      <c r="P5607" s="325"/>
      <c r="Q5607" s="327"/>
      <c r="R5607" s="351"/>
      <c r="S5607" s="351"/>
      <c r="T5607" s="351"/>
      <c r="U5607" s="329" t="str">
        <f>IF($N5607=$N$4,IFERROR(INDEX(DanhMuc!$E$154:$E$165,MATCH(MID($B5607,4,2),DanhMuc!$B$154:$B$165,0)),""),"")</f>
        <v/>
      </c>
      <c r="V5607" s="361"/>
      <c r="W5607" s="345"/>
      <c r="X5607" s="786"/>
      <c r="Y5607" s="1128" t="s">
        <v>3380</v>
      </c>
      <c r="Z5607" s="1128" t="s">
        <v>3381</v>
      </c>
      <c r="AA5607" s="1128" t="s">
        <v>3384</v>
      </c>
      <c r="AB5607" s="20"/>
      <c r="AC5607" s="73"/>
    </row>
    <row r="5608" spans="1:29">
      <c r="A5608" s="327" t="str">
        <f>IF(AND($B5608&lt;&gt;"",$C5608&lt;&gt;""),MAX($A$4730:$A5607)+1,"")</f>
        <v/>
      </c>
      <c r="B5608" s="361" t="s">
        <v>1865</v>
      </c>
      <c r="C5608" s="362"/>
      <c r="D5608" s="327">
        <f>IF($B5608="","",COUNTIF($B$4731:$B5608,$B5608))</f>
        <v>12</v>
      </c>
      <c r="E5608" s="361" t="s">
        <v>657</v>
      </c>
      <c r="F5608" s="362" t="s">
        <v>658</v>
      </c>
      <c r="G5608" s="327" t="s">
        <v>424</v>
      </c>
      <c r="H5608" s="361" t="s">
        <v>536</v>
      </c>
      <c r="I5608" s="361" t="s">
        <v>665</v>
      </c>
      <c r="J5608" s="361"/>
      <c r="K5608" s="327" t="s">
        <v>100</v>
      </c>
      <c r="L5608" s="478">
        <v>60000</v>
      </c>
      <c r="M5608" s="355"/>
      <c r="N5608" s="355" t="s">
        <v>2409</v>
      </c>
      <c r="O5608" s="345"/>
      <c r="P5608" s="325"/>
      <c r="Q5608" s="327"/>
      <c r="R5608" s="351"/>
      <c r="S5608" s="351"/>
      <c r="T5608" s="351"/>
      <c r="U5608" s="329" t="str">
        <f>IF($N5608=$N$4,IFERROR(INDEX(DanhMuc!$E$154:$E$165,MATCH(MID($B5608,4,2),DanhMuc!$B$154:$B$165,0)),""),"")</f>
        <v/>
      </c>
      <c r="V5608" s="361"/>
      <c r="W5608" s="345"/>
      <c r="X5608" s="786"/>
      <c r="Y5608" s="1128" t="s">
        <v>3380</v>
      </c>
      <c r="Z5608" s="1128" t="s">
        <v>3381</v>
      </c>
      <c r="AA5608" s="1128" t="s">
        <v>3384</v>
      </c>
      <c r="AB5608" s="20"/>
      <c r="AC5608" s="73"/>
    </row>
    <row r="5609" spans="1:29">
      <c r="A5609" s="327" t="str">
        <f>IF(AND($B5609&lt;&gt;"",$C5609&lt;&gt;""),MAX($A$4730:$A5608)+1,"")</f>
        <v/>
      </c>
      <c r="B5609" s="361" t="s">
        <v>1865</v>
      </c>
      <c r="C5609" s="362"/>
      <c r="D5609" s="327">
        <f>IF($B5609="","",COUNTIF($B$4731:$B5609,$B5609))</f>
        <v>13</v>
      </c>
      <c r="E5609" s="361" t="s">
        <v>2771</v>
      </c>
      <c r="F5609" s="362" t="s">
        <v>659</v>
      </c>
      <c r="G5609" s="327" t="s">
        <v>424</v>
      </c>
      <c r="H5609" s="361" t="s">
        <v>536</v>
      </c>
      <c r="I5609" s="361" t="s">
        <v>666</v>
      </c>
      <c r="J5609" s="361"/>
      <c r="K5609" s="327" t="s">
        <v>100</v>
      </c>
      <c r="L5609" s="389">
        <v>53000</v>
      </c>
      <c r="M5609" s="355"/>
      <c r="N5609" s="355" t="s">
        <v>2409</v>
      </c>
      <c r="O5609" s="345"/>
      <c r="P5609" s="325"/>
      <c r="Q5609" s="327"/>
      <c r="R5609" s="351"/>
      <c r="S5609" s="351"/>
      <c r="T5609" s="351"/>
      <c r="U5609" s="329" t="str">
        <f>IF($N5609=$N$4,IFERROR(INDEX(DanhMuc!$E$154:$E$165,MATCH(MID($B5609,4,2),DanhMuc!$B$154:$B$165,0)),""),"")</f>
        <v/>
      </c>
      <c r="V5609" s="361"/>
      <c r="W5609" s="345"/>
      <c r="X5609" s="786"/>
      <c r="Y5609" s="1128" t="s">
        <v>3380</v>
      </c>
      <c r="Z5609" s="1128" t="s">
        <v>3381</v>
      </c>
      <c r="AA5609" s="1128" t="s">
        <v>3384</v>
      </c>
      <c r="AB5609" s="20"/>
      <c r="AC5609" s="73"/>
    </row>
    <row r="5610" spans="1:29">
      <c r="A5610" s="327" t="str">
        <f>IF(AND($B5610&lt;&gt;"",$C5610&lt;&gt;""),MAX($A$4730:$A5609)+1,"")</f>
        <v/>
      </c>
      <c r="B5610" s="361" t="s">
        <v>1865</v>
      </c>
      <c r="C5610" s="362"/>
      <c r="D5610" s="327">
        <f>IF($B5610="","",COUNTIF($B$4731:$B5610,$B5610))</f>
        <v>14</v>
      </c>
      <c r="E5610" s="361" t="s">
        <v>1828</v>
      </c>
      <c r="F5610" s="362" t="s">
        <v>671</v>
      </c>
      <c r="G5610" s="327" t="s">
        <v>661</v>
      </c>
      <c r="H5610" s="361" t="s">
        <v>536</v>
      </c>
      <c r="I5610" s="361" t="s">
        <v>2355</v>
      </c>
      <c r="J5610" s="361"/>
      <c r="K5610" s="327" t="s">
        <v>100</v>
      </c>
      <c r="L5610" s="478">
        <f>40000/1000</f>
        <v>40</v>
      </c>
      <c r="M5610" s="355"/>
      <c r="N5610" s="355" t="s">
        <v>2409</v>
      </c>
      <c r="O5610" s="345"/>
      <c r="P5610" s="325"/>
      <c r="Q5610" s="327"/>
      <c r="R5610" s="351"/>
      <c r="S5610" s="351"/>
      <c r="T5610" s="351"/>
      <c r="U5610" s="329" t="str">
        <f>IF($N5610=$N$4,IFERROR(INDEX(DanhMuc!$E$154:$E$165,MATCH(MID($B5610,4,2),DanhMuc!$B$154:$B$165,0)),""),"")</f>
        <v/>
      </c>
      <c r="V5610" s="361"/>
      <c r="W5610" s="345"/>
      <c r="X5610" s="786"/>
      <c r="Y5610" s="1128" t="s">
        <v>3380</v>
      </c>
      <c r="Z5610" s="1128" t="s">
        <v>3381</v>
      </c>
      <c r="AA5610" s="1128" t="s">
        <v>3384</v>
      </c>
      <c r="AB5610" s="20"/>
      <c r="AC5610" s="73"/>
    </row>
    <row r="5611" spans="1:29">
      <c r="A5611" s="327" t="str">
        <f>IF(AND($B5611&lt;&gt;"",$C5611&lt;&gt;""),MAX($A$4730:$A5610)+1,"")</f>
        <v/>
      </c>
      <c r="B5611" s="361" t="s">
        <v>1865</v>
      </c>
      <c r="C5611" s="362"/>
      <c r="D5611" s="327">
        <f>IF($B5611="","",COUNTIF($B$4731:$B5611,$B5611))</f>
        <v>15</v>
      </c>
      <c r="E5611" s="361" t="s">
        <v>154</v>
      </c>
      <c r="F5611" s="362" t="s">
        <v>660</v>
      </c>
      <c r="G5611" s="327" t="s">
        <v>661</v>
      </c>
      <c r="H5611" s="361" t="s">
        <v>536</v>
      </c>
      <c r="I5611" s="361" t="s">
        <v>667</v>
      </c>
      <c r="J5611" s="361"/>
      <c r="K5611" s="327" t="s">
        <v>662</v>
      </c>
      <c r="L5611" s="478">
        <v>20</v>
      </c>
      <c r="M5611" s="355"/>
      <c r="N5611" s="355" t="s">
        <v>2409</v>
      </c>
      <c r="O5611" s="345"/>
      <c r="P5611" s="325"/>
      <c r="Q5611" s="327"/>
      <c r="R5611" s="351"/>
      <c r="S5611" s="351"/>
      <c r="T5611" s="351"/>
      <c r="U5611" s="329" t="str">
        <f>IF($N5611=$N$4,IFERROR(INDEX(DanhMuc!$E$154:$E$165,MATCH(MID($B5611,4,2),DanhMuc!$B$154:$B$165,0)),""),"")</f>
        <v/>
      </c>
      <c r="V5611" s="361"/>
      <c r="W5611" s="345"/>
      <c r="X5611" s="786"/>
      <c r="Y5611" s="1128" t="s">
        <v>3380</v>
      </c>
      <c r="Z5611" s="1128" t="s">
        <v>3381</v>
      </c>
      <c r="AA5611" s="1128" t="s">
        <v>3384</v>
      </c>
      <c r="AB5611" s="20"/>
      <c r="AC5611" s="73"/>
    </row>
    <row r="5612" spans="1:29">
      <c r="A5612" s="327" t="str">
        <f>IF(AND($B5612&lt;&gt;"",$C5612&lt;&gt;""),MAX($A$4730:$A5611)+1,"")</f>
        <v/>
      </c>
      <c r="B5612" s="361" t="s">
        <v>1865</v>
      </c>
      <c r="C5612" s="362"/>
      <c r="D5612" s="327">
        <f>IF($B5612="","",COUNTIF($B$4731:$B5612,$B5612))</f>
        <v>16</v>
      </c>
      <c r="E5612" s="362" t="s">
        <v>2282</v>
      </c>
      <c r="F5612" s="362" t="s">
        <v>2283</v>
      </c>
      <c r="G5612" s="327" t="s">
        <v>424</v>
      </c>
      <c r="H5612" s="361" t="s">
        <v>536</v>
      </c>
      <c r="I5612" s="361" t="s">
        <v>2238</v>
      </c>
      <c r="J5612" s="361"/>
      <c r="K5612" s="327" t="s">
        <v>662</v>
      </c>
      <c r="L5612" s="478">
        <v>28000</v>
      </c>
      <c r="M5612" s="355"/>
      <c r="N5612" s="355" t="s">
        <v>2409</v>
      </c>
      <c r="O5612" s="345"/>
      <c r="P5612" s="325"/>
      <c r="Q5612" s="327"/>
      <c r="R5612" s="351"/>
      <c r="S5612" s="351"/>
      <c r="T5612" s="351"/>
      <c r="U5612" s="329" t="str">
        <f>IF($N5612=$N$4,IFERROR(INDEX(DanhMuc!$E$154:$E$165,MATCH(MID($B5612,4,2),DanhMuc!$B$154:$B$165,0)),""),"")</f>
        <v/>
      </c>
      <c r="V5612" s="361"/>
      <c r="W5612" s="345"/>
      <c r="X5612" s="786"/>
      <c r="Y5612" s="1128" t="s">
        <v>3380</v>
      </c>
      <c r="Z5612" s="1128" t="s">
        <v>3381</v>
      </c>
      <c r="AA5612" s="1128" t="s">
        <v>3384</v>
      </c>
      <c r="AB5612" s="20"/>
      <c r="AC5612" s="73"/>
    </row>
    <row r="5613" spans="1:29">
      <c r="A5613" s="327" t="str">
        <f>IF(AND($B5613&lt;&gt;"",$C5613&lt;&gt;""),MAX($A$4730:$A5612)+1,"")</f>
        <v/>
      </c>
      <c r="B5613" s="361" t="s">
        <v>1865</v>
      </c>
      <c r="C5613" s="362"/>
      <c r="D5613" s="327">
        <f>IF($B5613="","",COUNTIF($B$4731:$B5613,$B5613))</f>
        <v>17</v>
      </c>
      <c r="E5613" s="362" t="s">
        <v>663</v>
      </c>
      <c r="F5613" s="362" t="s">
        <v>664</v>
      </c>
      <c r="G5613" s="327" t="s">
        <v>155</v>
      </c>
      <c r="H5613" s="361" t="s">
        <v>536</v>
      </c>
      <c r="I5613" s="361" t="s">
        <v>672</v>
      </c>
      <c r="J5613" s="361"/>
      <c r="K5613" s="327" t="s">
        <v>662</v>
      </c>
      <c r="L5613" s="478">
        <v>1000</v>
      </c>
      <c r="M5613" s="355"/>
      <c r="N5613" s="355" t="s">
        <v>2409</v>
      </c>
      <c r="O5613" s="345"/>
      <c r="P5613" s="325"/>
      <c r="Q5613" s="327"/>
      <c r="R5613" s="351"/>
      <c r="S5613" s="351"/>
      <c r="T5613" s="351"/>
      <c r="U5613" s="329" t="str">
        <f>IF($N5613=$N$4,IFERROR(INDEX(DanhMuc!$E$154:$E$165,MATCH(MID($B5613,4,2),DanhMuc!$B$154:$B$165,0)),""),"")</f>
        <v/>
      </c>
      <c r="V5613" s="361"/>
      <c r="W5613" s="345"/>
      <c r="X5613" s="786"/>
      <c r="Y5613" s="1128" t="s">
        <v>3380</v>
      </c>
      <c r="Z5613" s="1128" t="s">
        <v>3381</v>
      </c>
      <c r="AA5613" s="1128" t="s">
        <v>3384</v>
      </c>
      <c r="AB5613" s="20"/>
      <c r="AC5613" s="73"/>
    </row>
    <row r="5614" spans="1:29" ht="39">
      <c r="A5614" s="327">
        <f>IF(AND($B5614&lt;&gt;"",$C5614&lt;&gt;""),MAX($A$4730:$A5603)+1,"")</f>
        <v>33</v>
      </c>
      <c r="B5614" s="359" t="s">
        <v>1866</v>
      </c>
      <c r="C5614" s="360" t="s">
        <v>1893</v>
      </c>
      <c r="D5614" s="327">
        <f>IF($B5614="","",COUNTIF($B$4731:$B5614,$B5614))</f>
        <v>1</v>
      </c>
      <c r="E5614" s="402" t="s">
        <v>2302</v>
      </c>
      <c r="F5614" s="403" t="s">
        <v>2332</v>
      </c>
      <c r="G5614" s="327" t="s">
        <v>155</v>
      </c>
      <c r="H5614" s="361" t="s">
        <v>536</v>
      </c>
      <c r="I5614" s="327">
        <v>4</v>
      </c>
      <c r="J5614" s="361"/>
      <c r="K5614" s="327" t="s">
        <v>100</v>
      </c>
      <c r="L5614" s="389">
        <v>6600</v>
      </c>
      <c r="M5614" s="355"/>
      <c r="N5614" s="355" t="s">
        <v>2408</v>
      </c>
      <c r="O5614" s="345" t="s">
        <v>2776</v>
      </c>
      <c r="P5614" s="325"/>
      <c r="Q5614" s="327"/>
      <c r="R5614" s="351">
        <v>0</v>
      </c>
      <c r="S5614" s="351">
        <v>5.8</v>
      </c>
      <c r="T5614" s="351">
        <v>3.1339999999999999</v>
      </c>
      <c r="U5614" s="329" t="str">
        <f>IF($N5614=$N$4,IFERROR(INDEX(DanhMuc!$E$154:$E$165,MATCH(MID($B5614,4,2),DanhMuc!$B$154:$B$165,0)),""),"")</f>
        <v/>
      </c>
      <c r="V5614" s="361"/>
      <c r="W5614" s="345"/>
      <c r="X5614" s="786"/>
      <c r="Y5614" s="1128" t="s">
        <v>3380</v>
      </c>
      <c r="Z5614" s="1128" t="s">
        <v>3381</v>
      </c>
      <c r="AA5614" s="1128" t="s">
        <v>3384</v>
      </c>
      <c r="AB5614" s="20"/>
      <c r="AC5614" s="73"/>
    </row>
    <row r="5615" spans="1:29">
      <c r="A5615" s="327" t="str">
        <f>IF(AND($B5615&lt;&gt;"",$C5615&lt;&gt;""),MAX($A$4730:$A5604)+1,"")</f>
        <v/>
      </c>
      <c r="B5615" s="361" t="s">
        <v>1866</v>
      </c>
      <c r="C5615" s="362"/>
      <c r="D5615" s="327">
        <f>IF($B5615="","",COUNTIF($B$4731:$B5615,$B5615))</f>
        <v>2</v>
      </c>
      <c r="E5615" s="402" t="s">
        <v>2788</v>
      </c>
      <c r="F5615" s="403" t="s">
        <v>2789</v>
      </c>
      <c r="G5615" s="327" t="s">
        <v>155</v>
      </c>
      <c r="H5615" s="361" t="s">
        <v>536</v>
      </c>
      <c r="I5615" s="327">
        <f>4*I5614</f>
        <v>16</v>
      </c>
      <c r="J5615" s="361"/>
      <c r="K5615" s="327" t="s">
        <v>100</v>
      </c>
      <c r="L5615" s="389">
        <v>600</v>
      </c>
      <c r="M5615" s="355"/>
      <c r="N5615" s="355" t="s">
        <v>2408</v>
      </c>
      <c r="O5615" s="345" t="s">
        <v>2776</v>
      </c>
      <c r="P5615" s="325"/>
      <c r="Q5615" s="327"/>
      <c r="R5615" s="351">
        <v>0</v>
      </c>
      <c r="S5615" s="351">
        <v>5.8</v>
      </c>
      <c r="T5615" s="351">
        <v>3.1339999999999999</v>
      </c>
      <c r="U5615" s="329" t="str">
        <f>IF($N5615=$N$4,IFERROR(INDEX(DanhMuc!$E$154:$E$165,MATCH(MID($B5615,4,2),DanhMuc!$B$154:$B$165,0)),""),"")</f>
        <v/>
      </c>
      <c r="V5615" s="361"/>
      <c r="W5615" s="345"/>
      <c r="X5615" s="786"/>
      <c r="Y5615" s="1128" t="s">
        <v>3380</v>
      </c>
      <c r="Z5615" s="1128" t="s">
        <v>3381</v>
      </c>
      <c r="AA5615" s="1128" t="s">
        <v>3384</v>
      </c>
      <c r="AB5615" s="20"/>
      <c r="AC5615" s="73"/>
    </row>
    <row r="5616" spans="1:29">
      <c r="A5616" s="327" t="str">
        <f>IF(AND($B5616&lt;&gt;"",$C5616&lt;&gt;""),MAX($A$4730:$A5605)+1,"")</f>
        <v/>
      </c>
      <c r="B5616" s="361" t="s">
        <v>1866</v>
      </c>
      <c r="C5616" s="362"/>
      <c r="D5616" s="327">
        <f>IF($B5616="","",COUNTIF($B$4731:$B5616,$B5616))</f>
        <v>3</v>
      </c>
      <c r="E5616" s="361" t="s">
        <v>2781</v>
      </c>
      <c r="F5616" s="362" t="s">
        <v>2780</v>
      </c>
      <c r="G5616" s="327" t="s">
        <v>155</v>
      </c>
      <c r="H5616" s="361" t="s">
        <v>536</v>
      </c>
      <c r="I5616" s="327">
        <v>4</v>
      </c>
      <c r="J5616" s="361"/>
      <c r="K5616" s="327" t="s">
        <v>100</v>
      </c>
      <c r="L5616" s="389">
        <v>7200</v>
      </c>
      <c r="M5616" s="355"/>
      <c r="N5616" s="355" t="s">
        <v>2408</v>
      </c>
      <c r="O5616" s="345" t="s">
        <v>2777</v>
      </c>
      <c r="P5616" s="325"/>
      <c r="Q5616" s="327"/>
      <c r="R5616" s="351">
        <v>0</v>
      </c>
      <c r="S5616" s="351">
        <v>5.8</v>
      </c>
      <c r="T5616" s="351">
        <v>3.1339999999999999</v>
      </c>
      <c r="U5616" s="329" t="str">
        <f>IF($N5616=$N$4,IFERROR(INDEX(DanhMuc!$E$154:$E$165,MATCH(MID($B5616,4,2),DanhMuc!$B$154:$B$165,0)),""),"")</f>
        <v/>
      </c>
      <c r="V5616" s="361"/>
      <c r="W5616" s="345"/>
      <c r="X5616" s="786"/>
      <c r="Y5616" s="1128" t="s">
        <v>3380</v>
      </c>
      <c r="Z5616" s="1128" t="s">
        <v>3381</v>
      </c>
      <c r="AA5616" s="1128" t="s">
        <v>3384</v>
      </c>
      <c r="AB5616" s="20"/>
      <c r="AC5616" s="73"/>
    </row>
    <row r="5617" spans="1:29">
      <c r="A5617" s="327" t="str">
        <f>IF(AND($B5617&lt;&gt;"",$C5617&lt;&gt;""),MAX($A$4730:$A5612)+1,"")</f>
        <v/>
      </c>
      <c r="B5617" s="361" t="s">
        <v>1866</v>
      </c>
      <c r="C5617" s="362"/>
      <c r="D5617" s="327">
        <f>IF($B5617="","",COUNTIF($B$4731:$B5617,$B5617))</f>
        <v>4</v>
      </c>
      <c r="E5617" s="402" t="s">
        <v>2303</v>
      </c>
      <c r="F5617" s="403" t="s">
        <v>2782</v>
      </c>
      <c r="G5617" s="327" t="s">
        <v>155</v>
      </c>
      <c r="H5617" s="361" t="s">
        <v>536</v>
      </c>
      <c r="I5617" s="327">
        <v>16</v>
      </c>
      <c r="J5617" s="361"/>
      <c r="K5617" s="327" t="s">
        <v>101</v>
      </c>
      <c r="L5617" s="389">
        <v>9100</v>
      </c>
      <c r="M5617" s="355"/>
      <c r="N5617" s="355" t="s">
        <v>2408</v>
      </c>
      <c r="O5617" s="345" t="s">
        <v>2778</v>
      </c>
      <c r="P5617" s="325"/>
      <c r="Q5617" s="327"/>
      <c r="R5617" s="351">
        <v>0</v>
      </c>
      <c r="S5617" s="351">
        <v>5.8</v>
      </c>
      <c r="T5617" s="351">
        <v>2.4359999999999999</v>
      </c>
      <c r="U5617" s="329" t="str">
        <f>IF($N5617=$N$4,IFERROR(INDEX(DanhMuc!$E$154:$E$165,MATCH(MID($B5617,4,2),DanhMuc!$B$154:$B$165,0)),""),"")</f>
        <v/>
      </c>
      <c r="V5617" s="361"/>
      <c r="W5617" s="345"/>
      <c r="X5617" s="786"/>
      <c r="Y5617" s="1128" t="s">
        <v>3380</v>
      </c>
      <c r="Z5617" s="1128" t="s">
        <v>3381</v>
      </c>
      <c r="AA5617" s="1128" t="s">
        <v>3384</v>
      </c>
      <c r="AB5617" s="20"/>
      <c r="AC5617" s="73"/>
    </row>
    <row r="5618" spans="1:29">
      <c r="A5618" s="327" t="str">
        <f>IF(AND($B5618&lt;&gt;"",$C5618&lt;&gt;""),MAX($A$4730:$A5613)+1,"")</f>
        <v/>
      </c>
      <c r="B5618" s="361" t="s">
        <v>1866</v>
      </c>
      <c r="C5618" s="362"/>
      <c r="D5618" s="327">
        <f>IF($B5618="","",COUNTIF($B$4731:$B5618,$B5618))</f>
        <v>5</v>
      </c>
      <c r="E5618" s="402" t="s">
        <v>2788</v>
      </c>
      <c r="F5618" s="403" t="s">
        <v>2789</v>
      </c>
      <c r="G5618" s="327" t="s">
        <v>155</v>
      </c>
      <c r="H5618" s="361" t="s">
        <v>536</v>
      </c>
      <c r="I5618" s="327">
        <f>4*I5617</f>
        <v>64</v>
      </c>
      <c r="J5618" s="361"/>
      <c r="K5618" s="327" t="s">
        <v>101</v>
      </c>
      <c r="L5618" s="389">
        <v>600</v>
      </c>
      <c r="M5618" s="355"/>
      <c r="N5618" s="355" t="s">
        <v>2408</v>
      </c>
      <c r="O5618" s="345" t="s">
        <v>2778</v>
      </c>
      <c r="P5618" s="325"/>
      <c r="Q5618" s="327"/>
      <c r="R5618" s="351">
        <v>0</v>
      </c>
      <c r="S5618" s="351">
        <v>5.8</v>
      </c>
      <c r="T5618" s="351">
        <v>2.4359999999999999</v>
      </c>
      <c r="U5618" s="329" t="str">
        <f>IF($N5618=$N$4,IFERROR(INDEX(DanhMuc!$E$154:$E$165,MATCH(MID($B5618,4,2),DanhMuc!$B$154:$B$165,0)),""),"")</f>
        <v/>
      </c>
      <c r="V5618" s="361"/>
      <c r="W5618" s="345"/>
      <c r="X5618" s="786"/>
      <c r="Y5618" s="1128" t="s">
        <v>3380</v>
      </c>
      <c r="Z5618" s="1128" t="s">
        <v>3381</v>
      </c>
      <c r="AA5618" s="1128" t="s">
        <v>3384</v>
      </c>
      <c r="AB5618" s="20"/>
      <c r="AC5618" s="73"/>
    </row>
    <row r="5619" spans="1:29">
      <c r="A5619" s="327" t="str">
        <f>IF(AND($B5619&lt;&gt;"",$C5619&lt;&gt;""),MAX($A$4730:$A5614)+1,"")</f>
        <v/>
      </c>
      <c r="B5619" s="361" t="s">
        <v>1866</v>
      </c>
      <c r="C5619" s="362"/>
      <c r="D5619" s="327">
        <f>IF($B5619="","",COUNTIF($B$4731:$B5619,$B5619))</f>
        <v>6</v>
      </c>
      <c r="E5619" s="361" t="s">
        <v>699</v>
      </c>
      <c r="F5619" s="362" t="s">
        <v>2783</v>
      </c>
      <c r="G5619" s="327" t="s">
        <v>155</v>
      </c>
      <c r="H5619" s="361" t="s">
        <v>536</v>
      </c>
      <c r="I5619" s="327">
        <v>16</v>
      </c>
      <c r="J5619" s="361"/>
      <c r="K5619" s="327" t="s">
        <v>101</v>
      </c>
      <c r="L5619" s="389">
        <v>11000</v>
      </c>
      <c r="M5619" s="355"/>
      <c r="N5619" s="355" t="s">
        <v>2408</v>
      </c>
      <c r="O5619" s="345" t="s">
        <v>2779</v>
      </c>
      <c r="P5619" s="325"/>
      <c r="Q5619" s="327"/>
      <c r="R5619" s="351">
        <v>0</v>
      </c>
      <c r="S5619" s="351">
        <v>5.8</v>
      </c>
      <c r="T5619" s="351">
        <v>2.4359999999999999</v>
      </c>
      <c r="U5619" s="329" t="str">
        <f>IF($N5619=$N$4,IFERROR(INDEX(DanhMuc!$E$154:$E$165,MATCH(MID($B5619,4,2),DanhMuc!$B$154:$B$165,0)),""),"")</f>
        <v/>
      </c>
      <c r="V5619" s="361"/>
      <c r="W5619" s="345"/>
      <c r="X5619" s="786"/>
      <c r="Y5619" s="1128" t="s">
        <v>3380</v>
      </c>
      <c r="Z5619" s="1128" t="s">
        <v>3381</v>
      </c>
      <c r="AA5619" s="1128" t="s">
        <v>3384</v>
      </c>
      <c r="AB5619" s="20"/>
      <c r="AC5619" s="73"/>
    </row>
    <row r="5620" spans="1:29">
      <c r="A5620" s="327" t="str">
        <f>IF(AND($B5620&lt;&gt;"",$C5620&lt;&gt;""),MAX($A$4730:$A5619)+1,"")</f>
        <v/>
      </c>
      <c r="B5620" s="361" t="s">
        <v>1866</v>
      </c>
      <c r="C5620" s="362"/>
      <c r="D5620" s="327">
        <f>IF($B5620="","",COUNTIF($B$4731:$B5620,$B5620))</f>
        <v>7</v>
      </c>
      <c r="E5620" s="361" t="s">
        <v>414</v>
      </c>
      <c r="F5620" s="362" t="s">
        <v>413</v>
      </c>
      <c r="G5620" s="327" t="s">
        <v>155</v>
      </c>
      <c r="H5620" s="361" t="s">
        <v>536</v>
      </c>
      <c r="I5620" s="327">
        <f>+I5614+I5617*2</f>
        <v>36</v>
      </c>
      <c r="J5620" s="361"/>
      <c r="K5620" s="327" t="s">
        <v>415</v>
      </c>
      <c r="L5620" s="389">
        <v>408</v>
      </c>
      <c r="M5620" s="355"/>
      <c r="N5620" s="355" t="s">
        <v>2408</v>
      </c>
      <c r="O5620" s="345"/>
      <c r="P5620" s="325"/>
      <c r="Q5620" s="327"/>
      <c r="R5620" s="351"/>
      <c r="S5620" s="351"/>
      <c r="T5620" s="351"/>
      <c r="U5620" s="329" t="str">
        <f>IF($N5620=$N$4,IFERROR(INDEX(DanhMuc!$E$154:$E$165,MATCH(MID($B5620,4,2),DanhMuc!$B$154:$B$165,0)),""),"")</f>
        <v/>
      </c>
      <c r="V5620" s="361"/>
      <c r="W5620" s="345"/>
      <c r="X5620" s="786"/>
      <c r="Y5620" s="1128" t="s">
        <v>3380</v>
      </c>
      <c r="Z5620" s="1128" t="s">
        <v>3381</v>
      </c>
      <c r="AA5620" s="1128" t="s">
        <v>3384</v>
      </c>
      <c r="AB5620" s="20"/>
      <c r="AC5620" s="73"/>
    </row>
    <row r="5621" spans="1:29">
      <c r="A5621" s="327" t="str">
        <f>IF(AND($B5621&lt;&gt;"",$C5621&lt;&gt;""),MAX($A$4730:$A5620)+1,"")</f>
        <v/>
      </c>
      <c r="B5621" s="361" t="s">
        <v>1866</v>
      </c>
      <c r="C5621" s="362"/>
      <c r="D5621" s="327">
        <f>IF($B5621="","",COUNTIF($B$4731:$B5621,$B5621))</f>
        <v>8</v>
      </c>
      <c r="E5621" s="361" t="s">
        <v>1826</v>
      </c>
      <c r="F5621" s="362" t="s">
        <v>670</v>
      </c>
      <c r="G5621" s="327" t="s">
        <v>661</v>
      </c>
      <c r="H5621" s="361" t="s">
        <v>536</v>
      </c>
      <c r="I5621" s="361" t="s">
        <v>2354</v>
      </c>
      <c r="J5621" s="361"/>
      <c r="K5621" s="327" t="s">
        <v>103</v>
      </c>
      <c r="L5621" s="478">
        <f>40000/1000</f>
        <v>40</v>
      </c>
      <c r="M5621" s="355"/>
      <c r="N5621" s="355" t="s">
        <v>2408</v>
      </c>
      <c r="O5621" s="345"/>
      <c r="P5621" s="325"/>
      <c r="Q5621" s="327"/>
      <c r="R5621" s="351"/>
      <c r="S5621" s="351"/>
      <c r="T5621" s="351"/>
      <c r="U5621" s="329" t="str">
        <f>IF($N5621=$N$4,IFERROR(INDEX(DanhMuc!$E$154:$E$165,MATCH(MID($B5621,4,2),DanhMuc!$B$154:$B$165,0)),""),"")</f>
        <v/>
      </c>
      <c r="V5621" s="361"/>
      <c r="W5621" s="345"/>
      <c r="X5621" s="786"/>
      <c r="Y5621" s="1128" t="s">
        <v>3380</v>
      </c>
      <c r="Z5621" s="1128" t="s">
        <v>3381</v>
      </c>
      <c r="AA5621" s="1128" t="s">
        <v>3384</v>
      </c>
      <c r="AB5621" s="20"/>
      <c r="AC5621" s="73"/>
    </row>
    <row r="5622" spans="1:29" ht="37.5">
      <c r="A5622" s="327" t="str">
        <f>IF(AND($B5622&lt;&gt;"",$C5622&lt;&gt;""),MAX($A$4730:$A5621)+1,"")</f>
        <v/>
      </c>
      <c r="B5622" s="361" t="s">
        <v>1866</v>
      </c>
      <c r="C5622" s="362"/>
      <c r="D5622" s="327">
        <f>IF($B5622="","",COUNTIF($B$4731:$B5622,$B5622))</f>
        <v>9</v>
      </c>
      <c r="E5622" s="362" t="s">
        <v>1964</v>
      </c>
      <c r="F5622" s="362" t="s">
        <v>1965</v>
      </c>
      <c r="G5622" s="327" t="s">
        <v>405</v>
      </c>
      <c r="H5622" s="361" t="s">
        <v>536</v>
      </c>
      <c r="I5622" s="361" t="s">
        <v>693</v>
      </c>
      <c r="J5622" s="361"/>
      <c r="K5622" s="327" t="s">
        <v>223</v>
      </c>
      <c r="L5622" s="478">
        <v>140</v>
      </c>
      <c r="M5622" s="371"/>
      <c r="N5622" s="355" t="s">
        <v>2408</v>
      </c>
      <c r="O5622" s="345"/>
      <c r="P5622" s="325"/>
      <c r="Q5622" s="327"/>
      <c r="R5622" s="351"/>
      <c r="S5622" s="351"/>
      <c r="T5622" s="351"/>
      <c r="U5622" s="329" t="str">
        <f>IF($N5622=$N$4,IFERROR(INDEX(DanhMuc!$E$154:$E$165,MATCH(MID($B5622,4,2),DanhMuc!$B$154:$B$165,0)),""),"")</f>
        <v/>
      </c>
      <c r="V5622" s="361"/>
      <c r="W5622" s="345"/>
      <c r="X5622" s="786"/>
      <c r="Y5622" s="1128" t="s">
        <v>3380</v>
      </c>
      <c r="Z5622" s="1128" t="s">
        <v>3381</v>
      </c>
      <c r="AA5622" s="1128" t="s">
        <v>3384</v>
      </c>
      <c r="AB5622" s="20"/>
      <c r="AC5622" s="73"/>
    </row>
    <row r="5623" spans="1:29" ht="37.5">
      <c r="A5623" s="327" t="str">
        <f>IF(AND($B5623&lt;&gt;"",$C5623&lt;&gt;""),MAX($A$4730:$A5622)+1,"")</f>
        <v/>
      </c>
      <c r="B5623" s="361" t="s">
        <v>1866</v>
      </c>
      <c r="C5623" s="362"/>
      <c r="D5623" s="327">
        <f>IF($B5623="","",COUNTIF($B$4731:$B5623,$B5623))</f>
        <v>10</v>
      </c>
      <c r="E5623" s="362" t="s">
        <v>2756</v>
      </c>
      <c r="F5623" s="362" t="s">
        <v>2757</v>
      </c>
      <c r="G5623" s="327" t="s">
        <v>405</v>
      </c>
      <c r="H5623" s="361" t="s">
        <v>536</v>
      </c>
      <c r="I5623" s="361" t="s">
        <v>694</v>
      </c>
      <c r="J5623" s="361"/>
      <c r="K5623" s="327" t="s">
        <v>223</v>
      </c>
      <c r="L5623" s="479">
        <v>322</v>
      </c>
      <c r="M5623" s="371"/>
      <c r="N5623" s="355" t="s">
        <v>2408</v>
      </c>
      <c r="O5623" s="345"/>
      <c r="P5623" s="325"/>
      <c r="Q5623" s="327"/>
      <c r="R5623" s="351"/>
      <c r="S5623" s="351"/>
      <c r="T5623" s="351"/>
      <c r="U5623" s="329" t="str">
        <f>IF($N5623=$N$4,IFERROR(INDEX(DanhMuc!$E$154:$E$165,MATCH(MID($B5623,4,2),DanhMuc!$B$154:$B$165,0)),""),"")</f>
        <v/>
      </c>
      <c r="V5623" s="361"/>
      <c r="W5623" s="345"/>
      <c r="X5623" s="786"/>
      <c r="Y5623" s="1128" t="s">
        <v>3380</v>
      </c>
      <c r="Z5623" s="1128" t="s">
        <v>3381</v>
      </c>
      <c r="AA5623" s="1128" t="s">
        <v>3384</v>
      </c>
      <c r="AB5623" s="20"/>
      <c r="AC5623" s="73"/>
    </row>
    <row r="5624" spans="1:29">
      <c r="A5624" s="327" t="str">
        <f>IF(AND($B5624&lt;&gt;"",$C5624&lt;&gt;""),MAX($A$4730:$A5623)+1,"")</f>
        <v/>
      </c>
      <c r="B5624" s="361" t="s">
        <v>1866</v>
      </c>
      <c r="C5624" s="362"/>
      <c r="D5624" s="327">
        <f>IF($B5624="","",COUNTIF($B$4731:$B5624,$B5624))</f>
        <v>11</v>
      </c>
      <c r="E5624" s="361" t="s">
        <v>656</v>
      </c>
      <c r="F5624" s="362" t="s">
        <v>2239</v>
      </c>
      <c r="G5624" s="327" t="s">
        <v>405</v>
      </c>
      <c r="H5624" s="361" t="s">
        <v>536</v>
      </c>
      <c r="I5624" s="361" t="s">
        <v>1827</v>
      </c>
      <c r="J5624" s="361"/>
      <c r="K5624" s="327" t="s">
        <v>100</v>
      </c>
      <c r="L5624" s="478">
        <v>970</v>
      </c>
      <c r="M5624" s="371"/>
      <c r="N5624" s="355" t="s">
        <v>2409</v>
      </c>
      <c r="O5624" s="345"/>
      <c r="P5624" s="325"/>
      <c r="Q5624" s="327"/>
      <c r="R5624" s="351"/>
      <c r="S5624" s="351"/>
      <c r="T5624" s="351"/>
      <c r="U5624" s="329" t="str">
        <f>IF($N5624=$N$4,IFERROR(INDEX(DanhMuc!$E$154:$E$165,MATCH(MID($B5624,4,2),DanhMuc!$B$154:$B$165,0)),""),"")</f>
        <v/>
      </c>
      <c r="V5624" s="361"/>
      <c r="W5624" s="345"/>
      <c r="X5624" s="786"/>
      <c r="Y5624" s="1128" t="s">
        <v>3380</v>
      </c>
      <c r="Z5624" s="1128" t="s">
        <v>3381</v>
      </c>
      <c r="AA5624" s="1128" t="s">
        <v>3384</v>
      </c>
      <c r="AB5624" s="20"/>
      <c r="AC5624" s="73"/>
    </row>
    <row r="5625" spans="1:29">
      <c r="A5625" s="327" t="str">
        <f>IF(AND($B5625&lt;&gt;"",$C5625&lt;&gt;""),MAX($A$4730:$A5624)+1,"")</f>
        <v/>
      </c>
      <c r="B5625" s="361" t="s">
        <v>1866</v>
      </c>
      <c r="C5625" s="362"/>
      <c r="D5625" s="327">
        <f>IF($B5625="","",COUNTIF($B$4731:$B5625,$B5625))</f>
        <v>12</v>
      </c>
      <c r="E5625" s="361" t="s">
        <v>657</v>
      </c>
      <c r="F5625" s="362" t="s">
        <v>658</v>
      </c>
      <c r="G5625" s="327" t="s">
        <v>424</v>
      </c>
      <c r="H5625" s="361" t="s">
        <v>536</v>
      </c>
      <c r="I5625" s="361" t="s">
        <v>665</v>
      </c>
      <c r="J5625" s="361"/>
      <c r="K5625" s="327" t="s">
        <v>100</v>
      </c>
      <c r="L5625" s="478">
        <v>60000</v>
      </c>
      <c r="M5625" s="355"/>
      <c r="N5625" s="355" t="s">
        <v>2409</v>
      </c>
      <c r="O5625" s="345"/>
      <c r="P5625" s="325"/>
      <c r="Q5625" s="327"/>
      <c r="R5625" s="351"/>
      <c r="S5625" s="351"/>
      <c r="T5625" s="351"/>
      <c r="U5625" s="329" t="str">
        <f>IF($N5625=$N$4,IFERROR(INDEX(DanhMuc!$E$154:$E$165,MATCH(MID($B5625,4,2),DanhMuc!$B$154:$B$165,0)),""),"")</f>
        <v/>
      </c>
      <c r="V5625" s="361"/>
      <c r="W5625" s="345"/>
      <c r="X5625" s="786"/>
      <c r="Y5625" s="1128" t="s">
        <v>3380</v>
      </c>
      <c r="Z5625" s="1128" t="s">
        <v>3381</v>
      </c>
      <c r="AA5625" s="1128" t="s">
        <v>3384</v>
      </c>
      <c r="AB5625" s="20"/>
      <c r="AC5625" s="73"/>
    </row>
    <row r="5626" spans="1:29">
      <c r="A5626" s="327" t="str">
        <f>IF(AND($B5626&lt;&gt;"",$C5626&lt;&gt;""),MAX($A$4730:$A5625)+1,"")</f>
        <v/>
      </c>
      <c r="B5626" s="361" t="s">
        <v>1866</v>
      </c>
      <c r="C5626" s="362"/>
      <c r="D5626" s="327">
        <f>IF($B5626="","",COUNTIF($B$4731:$B5626,$B5626))</f>
        <v>13</v>
      </c>
      <c r="E5626" s="361" t="s">
        <v>2771</v>
      </c>
      <c r="F5626" s="362" t="s">
        <v>659</v>
      </c>
      <c r="G5626" s="327" t="s">
        <v>424</v>
      </c>
      <c r="H5626" s="361" t="s">
        <v>536</v>
      </c>
      <c r="I5626" s="361" t="s">
        <v>666</v>
      </c>
      <c r="J5626" s="361"/>
      <c r="K5626" s="327" t="s">
        <v>100</v>
      </c>
      <c r="L5626" s="389">
        <v>53000</v>
      </c>
      <c r="M5626" s="355"/>
      <c r="N5626" s="355" t="s">
        <v>2409</v>
      </c>
      <c r="O5626" s="345"/>
      <c r="P5626" s="325"/>
      <c r="Q5626" s="327"/>
      <c r="R5626" s="351"/>
      <c r="S5626" s="351"/>
      <c r="T5626" s="351"/>
      <c r="U5626" s="329" t="str">
        <f>IF($N5626=$N$4,IFERROR(INDEX(DanhMuc!$E$154:$E$165,MATCH(MID($B5626,4,2),DanhMuc!$B$154:$B$165,0)),""),"")</f>
        <v/>
      </c>
      <c r="V5626" s="361"/>
      <c r="W5626" s="345"/>
      <c r="X5626" s="786"/>
      <c r="Y5626" s="1128" t="s">
        <v>3380</v>
      </c>
      <c r="Z5626" s="1128" t="s">
        <v>3381</v>
      </c>
      <c r="AA5626" s="1128" t="s">
        <v>3384</v>
      </c>
      <c r="AB5626" s="20"/>
      <c r="AC5626" s="73"/>
    </row>
    <row r="5627" spans="1:29">
      <c r="A5627" s="327" t="str">
        <f>IF(AND($B5627&lt;&gt;"",$C5627&lt;&gt;""),MAX($A$4730:$A5626)+1,"")</f>
        <v/>
      </c>
      <c r="B5627" s="361" t="s">
        <v>1866</v>
      </c>
      <c r="C5627" s="362"/>
      <c r="D5627" s="327">
        <f>IF($B5627="","",COUNTIF($B$4731:$B5627,$B5627))</f>
        <v>14</v>
      </c>
      <c r="E5627" s="361" t="s">
        <v>1828</v>
      </c>
      <c r="F5627" s="362" t="s">
        <v>671</v>
      </c>
      <c r="G5627" s="327" t="s">
        <v>661</v>
      </c>
      <c r="H5627" s="361" t="s">
        <v>536</v>
      </c>
      <c r="I5627" s="361" t="s">
        <v>2355</v>
      </c>
      <c r="J5627" s="361"/>
      <c r="K5627" s="327" t="s">
        <v>100</v>
      </c>
      <c r="L5627" s="478">
        <f>40000/1000</f>
        <v>40</v>
      </c>
      <c r="M5627" s="355"/>
      <c r="N5627" s="355" t="s">
        <v>2409</v>
      </c>
      <c r="O5627" s="345"/>
      <c r="P5627" s="325"/>
      <c r="Q5627" s="327"/>
      <c r="R5627" s="351"/>
      <c r="S5627" s="351"/>
      <c r="T5627" s="351"/>
      <c r="U5627" s="329" t="str">
        <f>IF($N5627=$N$4,IFERROR(INDEX(DanhMuc!$E$154:$E$165,MATCH(MID($B5627,4,2),DanhMuc!$B$154:$B$165,0)),""),"")</f>
        <v/>
      </c>
      <c r="V5627" s="361"/>
      <c r="W5627" s="345"/>
      <c r="X5627" s="786"/>
      <c r="Y5627" s="1128" t="s">
        <v>3380</v>
      </c>
      <c r="Z5627" s="1128" t="s">
        <v>3381</v>
      </c>
      <c r="AA5627" s="1128" t="s">
        <v>3384</v>
      </c>
      <c r="AB5627" s="20"/>
      <c r="AC5627" s="73"/>
    </row>
    <row r="5628" spans="1:29">
      <c r="A5628" s="327" t="str">
        <f>IF(AND($B5628&lt;&gt;"",$C5628&lt;&gt;""),MAX($A$4730:$A5627)+1,"")</f>
        <v/>
      </c>
      <c r="B5628" s="361" t="s">
        <v>1866</v>
      </c>
      <c r="C5628" s="362"/>
      <c r="D5628" s="327">
        <f>IF($B5628="","",COUNTIF($B$4731:$B5628,$B5628))</f>
        <v>15</v>
      </c>
      <c r="E5628" s="361" t="s">
        <v>154</v>
      </c>
      <c r="F5628" s="362" t="s">
        <v>660</v>
      </c>
      <c r="G5628" s="327" t="s">
        <v>661</v>
      </c>
      <c r="H5628" s="361" t="s">
        <v>536</v>
      </c>
      <c r="I5628" s="361" t="s">
        <v>667</v>
      </c>
      <c r="J5628" s="361"/>
      <c r="K5628" s="327" t="s">
        <v>662</v>
      </c>
      <c r="L5628" s="478">
        <v>20</v>
      </c>
      <c r="M5628" s="355"/>
      <c r="N5628" s="355" t="s">
        <v>2409</v>
      </c>
      <c r="O5628" s="345"/>
      <c r="P5628" s="325"/>
      <c r="Q5628" s="327"/>
      <c r="R5628" s="351"/>
      <c r="S5628" s="351"/>
      <c r="T5628" s="351"/>
      <c r="U5628" s="329" t="str">
        <f>IF($N5628=$N$4,IFERROR(INDEX(DanhMuc!$E$154:$E$165,MATCH(MID($B5628,4,2),DanhMuc!$B$154:$B$165,0)),""),"")</f>
        <v/>
      </c>
      <c r="V5628" s="361"/>
      <c r="W5628" s="345"/>
      <c r="X5628" s="786"/>
      <c r="Y5628" s="1128" t="s">
        <v>3380</v>
      </c>
      <c r="Z5628" s="1128" t="s">
        <v>3381</v>
      </c>
      <c r="AA5628" s="1128" t="s">
        <v>3384</v>
      </c>
      <c r="AB5628" s="20"/>
      <c r="AC5628" s="73"/>
    </row>
    <row r="5629" spans="1:29">
      <c r="A5629" s="327" t="str">
        <f>IF(AND($B5629&lt;&gt;"",$C5629&lt;&gt;""),MAX($A$4730:$A5628)+1,"")</f>
        <v/>
      </c>
      <c r="B5629" s="361" t="s">
        <v>1866</v>
      </c>
      <c r="C5629" s="362"/>
      <c r="D5629" s="327">
        <f>IF($B5629="","",COUNTIF($B$4731:$B5629,$B5629))</f>
        <v>16</v>
      </c>
      <c r="E5629" s="362" t="s">
        <v>2282</v>
      </c>
      <c r="F5629" s="362" t="s">
        <v>2283</v>
      </c>
      <c r="G5629" s="327" t="s">
        <v>424</v>
      </c>
      <c r="H5629" s="361" t="s">
        <v>536</v>
      </c>
      <c r="I5629" s="361" t="s">
        <v>2238</v>
      </c>
      <c r="J5629" s="361"/>
      <c r="K5629" s="327" t="s">
        <v>662</v>
      </c>
      <c r="L5629" s="478">
        <v>28000</v>
      </c>
      <c r="M5629" s="355"/>
      <c r="N5629" s="355" t="s">
        <v>2409</v>
      </c>
      <c r="O5629" s="345"/>
      <c r="P5629" s="325"/>
      <c r="Q5629" s="327"/>
      <c r="R5629" s="351"/>
      <c r="S5629" s="351"/>
      <c r="T5629" s="351"/>
      <c r="U5629" s="329" t="str">
        <f>IF($N5629=$N$4,IFERROR(INDEX(DanhMuc!$E$154:$E$165,MATCH(MID($B5629,4,2),DanhMuc!$B$154:$B$165,0)),""),"")</f>
        <v/>
      </c>
      <c r="V5629" s="361"/>
      <c r="W5629" s="345"/>
      <c r="X5629" s="786"/>
      <c r="Y5629" s="1128" t="s">
        <v>3380</v>
      </c>
      <c r="Z5629" s="1128" t="s">
        <v>3381</v>
      </c>
      <c r="AA5629" s="1128" t="s">
        <v>3384</v>
      </c>
      <c r="AB5629" s="20"/>
      <c r="AC5629" s="73"/>
    </row>
    <row r="5630" spans="1:29">
      <c r="A5630" s="327" t="str">
        <f>IF(AND($B5630&lt;&gt;"",$C5630&lt;&gt;""),MAX($A$4730:$A5629)+1,"")</f>
        <v/>
      </c>
      <c r="B5630" s="361" t="s">
        <v>1866</v>
      </c>
      <c r="C5630" s="362"/>
      <c r="D5630" s="327">
        <f>IF($B5630="","",COUNTIF($B$4731:$B5630,$B5630))</f>
        <v>17</v>
      </c>
      <c r="E5630" s="362" t="s">
        <v>663</v>
      </c>
      <c r="F5630" s="362" t="s">
        <v>664</v>
      </c>
      <c r="G5630" s="327" t="s">
        <v>155</v>
      </c>
      <c r="H5630" s="361" t="s">
        <v>536</v>
      </c>
      <c r="I5630" s="361" t="s">
        <v>672</v>
      </c>
      <c r="J5630" s="361"/>
      <c r="K5630" s="327" t="s">
        <v>662</v>
      </c>
      <c r="L5630" s="478">
        <v>1000</v>
      </c>
      <c r="M5630" s="355"/>
      <c r="N5630" s="355" t="s">
        <v>2409</v>
      </c>
      <c r="O5630" s="345"/>
      <c r="P5630" s="325"/>
      <c r="Q5630" s="327"/>
      <c r="R5630" s="351"/>
      <c r="S5630" s="351"/>
      <c r="T5630" s="351"/>
      <c r="U5630" s="329" t="str">
        <f>IF($N5630=$N$4,IFERROR(INDEX(DanhMuc!$E$154:$E$165,MATCH(MID($B5630,4,2),DanhMuc!$B$154:$B$165,0)),""),"")</f>
        <v/>
      </c>
      <c r="V5630" s="361"/>
      <c r="W5630" s="345"/>
      <c r="X5630" s="786"/>
      <c r="Y5630" s="1128" t="s">
        <v>3380</v>
      </c>
      <c r="Z5630" s="1128" t="s">
        <v>3381</v>
      </c>
      <c r="AA5630" s="1128" t="s">
        <v>3384</v>
      </c>
      <c r="AB5630" s="20"/>
      <c r="AC5630" s="73"/>
    </row>
    <row r="5631" spans="1:29" ht="39">
      <c r="A5631" s="327">
        <f>IF(AND($B5631&lt;&gt;"",$C5631&lt;&gt;""),MAX($A$4730:$A5630)+1,"")</f>
        <v>34</v>
      </c>
      <c r="B5631" s="359" t="s">
        <v>1867</v>
      </c>
      <c r="C5631" s="360" t="s">
        <v>1894</v>
      </c>
      <c r="D5631" s="327">
        <f>IF($B5631="","",COUNTIF($B$4731:$B5631,$B5631))</f>
        <v>1</v>
      </c>
      <c r="E5631" s="402" t="s">
        <v>2302</v>
      </c>
      <c r="F5631" s="403" t="s">
        <v>2332</v>
      </c>
      <c r="G5631" s="327" t="s">
        <v>155</v>
      </c>
      <c r="H5631" s="361" t="s">
        <v>536</v>
      </c>
      <c r="I5631" s="327">
        <v>4</v>
      </c>
      <c r="J5631" s="361"/>
      <c r="K5631" s="327" t="s">
        <v>100</v>
      </c>
      <c r="L5631" s="389">
        <v>6600</v>
      </c>
      <c r="M5631" s="355"/>
      <c r="N5631" s="355" t="s">
        <v>2408</v>
      </c>
      <c r="O5631" s="345" t="s">
        <v>2776</v>
      </c>
      <c r="P5631" s="325"/>
      <c r="Q5631" s="327"/>
      <c r="R5631" s="351">
        <v>0</v>
      </c>
      <c r="S5631" s="351">
        <v>5.8</v>
      </c>
      <c r="T5631" s="351">
        <v>3.1339999999999999</v>
      </c>
      <c r="U5631" s="329" t="str">
        <f>IF($N5631=$N$4,IFERROR(INDEX(DanhMuc!$E$154:$E$165,MATCH(MID($B5631,4,2),DanhMuc!$B$154:$B$165,0)),""),"")</f>
        <v/>
      </c>
      <c r="V5631" s="361"/>
      <c r="W5631" s="345"/>
      <c r="X5631" s="786"/>
      <c r="Y5631" s="1128" t="s">
        <v>3380</v>
      </c>
      <c r="Z5631" s="1128" t="s">
        <v>3381</v>
      </c>
      <c r="AA5631" s="1128" t="s">
        <v>3384</v>
      </c>
      <c r="AB5631" s="20"/>
      <c r="AC5631" s="73"/>
    </row>
    <row r="5632" spans="1:29">
      <c r="A5632" s="327" t="str">
        <f>IF(AND($B5632&lt;&gt;"",$C5632&lt;&gt;""),MAX($A$4730:$A5631)+1,"")</f>
        <v/>
      </c>
      <c r="B5632" s="361" t="s">
        <v>1867</v>
      </c>
      <c r="C5632" s="362"/>
      <c r="D5632" s="327">
        <f>IF($B5632="","",COUNTIF($B$4731:$B5632,$B5632))</f>
        <v>2</v>
      </c>
      <c r="E5632" s="402" t="s">
        <v>2788</v>
      </c>
      <c r="F5632" s="403" t="s">
        <v>2789</v>
      </c>
      <c r="G5632" s="327" t="s">
        <v>155</v>
      </c>
      <c r="H5632" s="361" t="s">
        <v>536</v>
      </c>
      <c r="I5632" s="327">
        <f>4*I5631</f>
        <v>16</v>
      </c>
      <c r="J5632" s="361"/>
      <c r="K5632" s="327" t="s">
        <v>100</v>
      </c>
      <c r="L5632" s="389">
        <v>600</v>
      </c>
      <c r="M5632" s="355"/>
      <c r="N5632" s="355" t="s">
        <v>2408</v>
      </c>
      <c r="O5632" s="345" t="s">
        <v>2776</v>
      </c>
      <c r="P5632" s="325"/>
      <c r="Q5632" s="327"/>
      <c r="R5632" s="351">
        <v>0</v>
      </c>
      <c r="S5632" s="351">
        <v>5.8</v>
      </c>
      <c r="T5632" s="351">
        <v>3.1339999999999999</v>
      </c>
      <c r="U5632" s="329" t="str">
        <f>IF($N5632=$N$4,IFERROR(INDEX(DanhMuc!$E$154:$E$165,MATCH(MID($B5632,4,2),DanhMuc!$B$154:$B$165,0)),""),"")</f>
        <v/>
      </c>
      <c r="V5632" s="361"/>
      <c r="W5632" s="345"/>
      <c r="X5632" s="786"/>
      <c r="Y5632" s="1128" t="s">
        <v>3380</v>
      </c>
      <c r="Z5632" s="1128" t="s">
        <v>3381</v>
      </c>
      <c r="AA5632" s="1128" t="s">
        <v>3384</v>
      </c>
      <c r="AB5632" s="20"/>
      <c r="AC5632" s="73"/>
    </row>
    <row r="5633" spans="1:29">
      <c r="A5633" s="327" t="str">
        <f>IF(AND($B5633&lt;&gt;"",$C5633&lt;&gt;""),MAX($A$4730:$A5632)+1,"")</f>
        <v/>
      </c>
      <c r="B5633" s="361" t="s">
        <v>1867</v>
      </c>
      <c r="C5633" s="362"/>
      <c r="D5633" s="327">
        <f>IF($B5633="","",COUNTIF($B$4731:$B5633,$B5633))</f>
        <v>3</v>
      </c>
      <c r="E5633" s="361" t="s">
        <v>2781</v>
      </c>
      <c r="F5633" s="362" t="s">
        <v>2780</v>
      </c>
      <c r="G5633" s="327" t="s">
        <v>155</v>
      </c>
      <c r="H5633" s="361" t="s">
        <v>536</v>
      </c>
      <c r="I5633" s="327">
        <v>4</v>
      </c>
      <c r="J5633" s="361"/>
      <c r="K5633" s="327" t="s">
        <v>100</v>
      </c>
      <c r="L5633" s="389">
        <v>7200</v>
      </c>
      <c r="M5633" s="355"/>
      <c r="N5633" s="355" t="s">
        <v>2408</v>
      </c>
      <c r="O5633" s="345" t="s">
        <v>2777</v>
      </c>
      <c r="P5633" s="325"/>
      <c r="Q5633" s="327"/>
      <c r="R5633" s="351">
        <v>0</v>
      </c>
      <c r="S5633" s="351">
        <v>5.8</v>
      </c>
      <c r="T5633" s="351">
        <v>3.1339999999999999</v>
      </c>
      <c r="U5633" s="329" t="str">
        <f>IF($N5633=$N$4,IFERROR(INDEX(DanhMuc!$E$154:$E$165,MATCH(MID($B5633,4,2),DanhMuc!$B$154:$B$165,0)),""),"")</f>
        <v/>
      </c>
      <c r="V5633" s="361"/>
      <c r="W5633" s="345"/>
      <c r="X5633" s="786"/>
      <c r="Y5633" s="1128" t="s">
        <v>3380</v>
      </c>
      <c r="Z5633" s="1128" t="s">
        <v>3381</v>
      </c>
      <c r="AA5633" s="1128" t="s">
        <v>3384</v>
      </c>
      <c r="AB5633" s="20"/>
      <c r="AC5633" s="73"/>
    </row>
    <row r="5634" spans="1:29">
      <c r="A5634" s="327" t="str">
        <f>IF(AND($B5634&lt;&gt;"",$C5634&lt;&gt;""),MAX($A$4730:$A5629)+1,"")</f>
        <v/>
      </c>
      <c r="B5634" s="361" t="s">
        <v>1867</v>
      </c>
      <c r="C5634" s="362"/>
      <c r="D5634" s="327">
        <f>IF($B5634="","",COUNTIF($B$4731:$B5634,$B5634))</f>
        <v>4</v>
      </c>
      <c r="E5634" s="402" t="s">
        <v>2303</v>
      </c>
      <c r="F5634" s="403" t="s">
        <v>2782</v>
      </c>
      <c r="G5634" s="327" t="s">
        <v>155</v>
      </c>
      <c r="H5634" s="361" t="s">
        <v>536</v>
      </c>
      <c r="I5634" s="327">
        <v>4</v>
      </c>
      <c r="J5634" s="361"/>
      <c r="K5634" s="327" t="s">
        <v>101</v>
      </c>
      <c r="L5634" s="389">
        <v>9100</v>
      </c>
      <c r="M5634" s="355"/>
      <c r="N5634" s="355" t="s">
        <v>2408</v>
      </c>
      <c r="O5634" s="345" t="s">
        <v>2778</v>
      </c>
      <c r="P5634" s="325"/>
      <c r="Q5634" s="327"/>
      <c r="R5634" s="351">
        <v>0</v>
      </c>
      <c r="S5634" s="351">
        <v>5.8</v>
      </c>
      <c r="T5634" s="351">
        <v>2.4359999999999999</v>
      </c>
      <c r="U5634" s="329" t="str">
        <f>IF($N5634=$N$4,IFERROR(INDEX(DanhMuc!$E$154:$E$165,MATCH(MID($B5634,4,2),DanhMuc!$B$154:$B$165,0)),""),"")</f>
        <v/>
      </c>
      <c r="V5634" s="361"/>
      <c r="W5634" s="345"/>
      <c r="X5634" s="786"/>
      <c r="Y5634" s="1128" t="s">
        <v>3380</v>
      </c>
      <c r="Z5634" s="1128" t="s">
        <v>3381</v>
      </c>
      <c r="AA5634" s="1128" t="s">
        <v>3384</v>
      </c>
      <c r="AB5634" s="20"/>
      <c r="AC5634" s="73"/>
    </row>
    <row r="5635" spans="1:29">
      <c r="A5635" s="327" t="str">
        <f>IF(AND($B5635&lt;&gt;"",$C5635&lt;&gt;""),MAX($A$4730:$A5630)+1,"")</f>
        <v/>
      </c>
      <c r="B5635" s="361" t="s">
        <v>1867</v>
      </c>
      <c r="C5635" s="362"/>
      <c r="D5635" s="327">
        <f>IF($B5635="","",COUNTIF($B$4731:$B5635,$B5635))</f>
        <v>5</v>
      </c>
      <c r="E5635" s="402" t="s">
        <v>2788</v>
      </c>
      <c r="F5635" s="403" t="s">
        <v>2789</v>
      </c>
      <c r="G5635" s="327" t="s">
        <v>155</v>
      </c>
      <c r="H5635" s="361" t="s">
        <v>536</v>
      </c>
      <c r="I5635" s="327">
        <f>4*I5634</f>
        <v>16</v>
      </c>
      <c r="J5635" s="361"/>
      <c r="K5635" s="327" t="s">
        <v>101</v>
      </c>
      <c r="L5635" s="389">
        <v>600</v>
      </c>
      <c r="M5635" s="355"/>
      <c r="N5635" s="355" t="s">
        <v>2408</v>
      </c>
      <c r="O5635" s="345" t="s">
        <v>2778</v>
      </c>
      <c r="P5635" s="325"/>
      <c r="Q5635" s="327"/>
      <c r="R5635" s="351">
        <v>0</v>
      </c>
      <c r="S5635" s="351">
        <v>5.8</v>
      </c>
      <c r="T5635" s="351">
        <v>2.4359999999999999</v>
      </c>
      <c r="U5635" s="329" t="str">
        <f>IF($N5635=$N$4,IFERROR(INDEX(DanhMuc!$E$154:$E$165,MATCH(MID($B5635,4,2),DanhMuc!$B$154:$B$165,0)),""),"")</f>
        <v/>
      </c>
      <c r="V5635" s="361"/>
      <c r="W5635" s="345"/>
      <c r="X5635" s="786"/>
      <c r="Y5635" s="1128" t="s">
        <v>3380</v>
      </c>
      <c r="Z5635" s="1128" t="s">
        <v>3381</v>
      </c>
      <c r="AA5635" s="1128" t="s">
        <v>3384</v>
      </c>
      <c r="AB5635" s="20"/>
      <c r="AC5635" s="73"/>
    </row>
    <row r="5636" spans="1:29">
      <c r="A5636" s="327" t="str">
        <f>IF(AND($B5636&lt;&gt;"",$C5636&lt;&gt;""),MAX($A$4730:$A5631)+1,"")</f>
        <v/>
      </c>
      <c r="B5636" s="361" t="s">
        <v>1867</v>
      </c>
      <c r="C5636" s="362"/>
      <c r="D5636" s="327">
        <f>IF($B5636="","",COUNTIF($B$4731:$B5636,$B5636))</f>
        <v>6</v>
      </c>
      <c r="E5636" s="361" t="s">
        <v>699</v>
      </c>
      <c r="F5636" s="362" t="s">
        <v>2783</v>
      </c>
      <c r="G5636" s="327" t="s">
        <v>155</v>
      </c>
      <c r="H5636" s="361" t="s">
        <v>536</v>
      </c>
      <c r="I5636" s="327">
        <v>4</v>
      </c>
      <c r="J5636" s="361"/>
      <c r="K5636" s="327" t="s">
        <v>101</v>
      </c>
      <c r="L5636" s="389">
        <v>11000</v>
      </c>
      <c r="M5636" s="355"/>
      <c r="N5636" s="355" t="s">
        <v>2408</v>
      </c>
      <c r="O5636" s="345" t="s">
        <v>2779</v>
      </c>
      <c r="P5636" s="325"/>
      <c r="Q5636" s="327"/>
      <c r="R5636" s="351">
        <v>0</v>
      </c>
      <c r="S5636" s="351">
        <v>5.8</v>
      </c>
      <c r="T5636" s="351">
        <v>2.4359999999999999</v>
      </c>
      <c r="U5636" s="329" t="str">
        <f>IF($N5636=$N$4,IFERROR(INDEX(DanhMuc!$E$154:$E$165,MATCH(MID($B5636,4,2),DanhMuc!$B$154:$B$165,0)),""),"")</f>
        <v/>
      </c>
      <c r="V5636" s="361"/>
      <c r="W5636" s="345"/>
      <c r="X5636" s="786"/>
      <c r="Y5636" s="1128" t="s">
        <v>3380</v>
      </c>
      <c r="Z5636" s="1128" t="s">
        <v>3381</v>
      </c>
      <c r="AA5636" s="1128" t="s">
        <v>3384</v>
      </c>
      <c r="AB5636" s="20"/>
      <c r="AC5636" s="73"/>
    </row>
    <row r="5637" spans="1:29">
      <c r="A5637" s="327" t="str">
        <f>IF(AND($B5637&lt;&gt;"",$C5637&lt;&gt;""),MAX($A$4730:$A5636)+1,"")</f>
        <v/>
      </c>
      <c r="B5637" s="361" t="s">
        <v>1867</v>
      </c>
      <c r="C5637" s="362"/>
      <c r="D5637" s="327">
        <f>IF($B5637="","",COUNTIF($B$4731:$B5637,$B5637))</f>
        <v>7</v>
      </c>
      <c r="E5637" s="361" t="s">
        <v>414</v>
      </c>
      <c r="F5637" s="362" t="s">
        <v>413</v>
      </c>
      <c r="G5637" s="327" t="s">
        <v>155</v>
      </c>
      <c r="H5637" s="361" t="s">
        <v>536</v>
      </c>
      <c r="I5637" s="327">
        <f>+I5631+I5634*2</f>
        <v>12</v>
      </c>
      <c r="J5637" s="361"/>
      <c r="K5637" s="327" t="s">
        <v>415</v>
      </c>
      <c r="L5637" s="389">
        <v>408</v>
      </c>
      <c r="M5637" s="355"/>
      <c r="N5637" s="355" t="s">
        <v>2408</v>
      </c>
      <c r="O5637" s="345"/>
      <c r="P5637" s="325"/>
      <c r="Q5637" s="327"/>
      <c r="R5637" s="351"/>
      <c r="S5637" s="351"/>
      <c r="T5637" s="351"/>
      <c r="U5637" s="329" t="str">
        <f>IF($N5637=$N$4,IFERROR(INDEX(DanhMuc!$E$154:$E$165,MATCH(MID($B5637,4,2),DanhMuc!$B$154:$B$165,0)),""),"")</f>
        <v/>
      </c>
      <c r="V5637" s="361"/>
      <c r="W5637" s="345"/>
      <c r="X5637" s="786"/>
      <c r="Y5637" s="1128" t="s">
        <v>3380</v>
      </c>
      <c r="Z5637" s="1128" t="s">
        <v>3381</v>
      </c>
      <c r="AA5637" s="1128" t="s">
        <v>3384</v>
      </c>
      <c r="AB5637" s="20"/>
      <c r="AC5637" s="73"/>
    </row>
    <row r="5638" spans="1:29">
      <c r="A5638" s="327" t="str">
        <f>IF(AND($B5638&lt;&gt;"",$C5638&lt;&gt;""),MAX($A$4730:$A5637)+1,"")</f>
        <v/>
      </c>
      <c r="B5638" s="361" t="s">
        <v>1867</v>
      </c>
      <c r="C5638" s="362"/>
      <c r="D5638" s="327">
        <f>IF($B5638="","",COUNTIF($B$4731:$B5638,$B5638))</f>
        <v>8</v>
      </c>
      <c r="E5638" s="361" t="s">
        <v>1826</v>
      </c>
      <c r="F5638" s="362" t="s">
        <v>670</v>
      </c>
      <c r="G5638" s="327" t="s">
        <v>661</v>
      </c>
      <c r="H5638" s="361" t="s">
        <v>536</v>
      </c>
      <c r="I5638" s="361" t="s">
        <v>2354</v>
      </c>
      <c r="J5638" s="361"/>
      <c r="K5638" s="327" t="s">
        <v>103</v>
      </c>
      <c r="L5638" s="478">
        <f>40000/1000</f>
        <v>40</v>
      </c>
      <c r="M5638" s="355"/>
      <c r="N5638" s="355" t="s">
        <v>2408</v>
      </c>
      <c r="O5638" s="345"/>
      <c r="P5638" s="325"/>
      <c r="Q5638" s="327"/>
      <c r="R5638" s="351"/>
      <c r="S5638" s="351"/>
      <c r="T5638" s="351"/>
      <c r="U5638" s="329" t="str">
        <f>IF($N5638=$N$4,IFERROR(INDEX(DanhMuc!$E$154:$E$165,MATCH(MID($B5638,4,2),DanhMuc!$B$154:$B$165,0)),""),"")</f>
        <v/>
      </c>
      <c r="V5638" s="361"/>
      <c r="W5638" s="345"/>
      <c r="X5638" s="786"/>
      <c r="Y5638" s="1128" t="s">
        <v>3380</v>
      </c>
      <c r="Z5638" s="1128" t="s">
        <v>3381</v>
      </c>
      <c r="AA5638" s="1128" t="s">
        <v>3384</v>
      </c>
      <c r="AB5638" s="20"/>
      <c r="AC5638" s="73"/>
    </row>
    <row r="5639" spans="1:29" ht="37.5">
      <c r="A5639" s="327" t="str">
        <f>IF(AND($B5639&lt;&gt;"",$C5639&lt;&gt;""),MAX($A$4730:$A5638)+1,"")</f>
        <v/>
      </c>
      <c r="B5639" s="361" t="s">
        <v>1867</v>
      </c>
      <c r="C5639" s="362"/>
      <c r="D5639" s="327">
        <f>IF($B5639="","",COUNTIF($B$4731:$B5639,$B5639))</f>
        <v>9</v>
      </c>
      <c r="E5639" s="362" t="s">
        <v>1964</v>
      </c>
      <c r="F5639" s="362" t="s">
        <v>1965</v>
      </c>
      <c r="G5639" s="327" t="s">
        <v>405</v>
      </c>
      <c r="H5639" s="361" t="s">
        <v>536</v>
      </c>
      <c r="I5639" s="361" t="s">
        <v>693</v>
      </c>
      <c r="J5639" s="361"/>
      <c r="K5639" s="327" t="s">
        <v>223</v>
      </c>
      <c r="L5639" s="478">
        <v>140</v>
      </c>
      <c r="M5639" s="371"/>
      <c r="N5639" s="355" t="s">
        <v>2408</v>
      </c>
      <c r="O5639" s="345"/>
      <c r="P5639" s="325"/>
      <c r="Q5639" s="327"/>
      <c r="R5639" s="351"/>
      <c r="S5639" s="351"/>
      <c r="T5639" s="351"/>
      <c r="U5639" s="329" t="str">
        <f>IF($N5639=$N$4,IFERROR(INDEX(DanhMuc!$E$154:$E$165,MATCH(MID($B5639,4,2),DanhMuc!$B$154:$B$165,0)),""),"")</f>
        <v/>
      </c>
      <c r="V5639" s="361"/>
      <c r="W5639" s="345"/>
      <c r="X5639" s="786"/>
      <c r="Y5639" s="1128" t="s">
        <v>3380</v>
      </c>
      <c r="Z5639" s="1128" t="s">
        <v>3381</v>
      </c>
      <c r="AA5639" s="1128" t="s">
        <v>3384</v>
      </c>
      <c r="AB5639" s="20"/>
      <c r="AC5639" s="73"/>
    </row>
    <row r="5640" spans="1:29" ht="37.5">
      <c r="A5640" s="327" t="str">
        <f>IF(AND($B5640&lt;&gt;"",$C5640&lt;&gt;""),MAX($A$4730:$A5639)+1,"")</f>
        <v/>
      </c>
      <c r="B5640" s="361" t="s">
        <v>1867</v>
      </c>
      <c r="C5640" s="362"/>
      <c r="D5640" s="327">
        <f>IF($B5640="","",COUNTIF($B$4731:$B5640,$B5640))</f>
        <v>10</v>
      </c>
      <c r="E5640" s="362" t="s">
        <v>2756</v>
      </c>
      <c r="F5640" s="362" t="s">
        <v>2757</v>
      </c>
      <c r="G5640" s="327" t="s">
        <v>405</v>
      </c>
      <c r="H5640" s="361" t="s">
        <v>536</v>
      </c>
      <c r="I5640" s="361" t="s">
        <v>694</v>
      </c>
      <c r="J5640" s="361"/>
      <c r="K5640" s="327" t="s">
        <v>223</v>
      </c>
      <c r="L5640" s="479">
        <v>322</v>
      </c>
      <c r="M5640" s="371"/>
      <c r="N5640" s="355" t="s">
        <v>2408</v>
      </c>
      <c r="O5640" s="345"/>
      <c r="P5640" s="325"/>
      <c r="Q5640" s="327"/>
      <c r="R5640" s="351"/>
      <c r="S5640" s="351"/>
      <c r="T5640" s="351"/>
      <c r="U5640" s="329" t="str">
        <f>IF($N5640=$N$4,IFERROR(INDEX(DanhMuc!$E$154:$E$165,MATCH(MID($B5640,4,2),DanhMuc!$B$154:$B$165,0)),""),"")</f>
        <v/>
      </c>
      <c r="V5640" s="361"/>
      <c r="W5640" s="345"/>
      <c r="X5640" s="786"/>
      <c r="Y5640" s="1128" t="s">
        <v>3380</v>
      </c>
      <c r="Z5640" s="1128" t="s">
        <v>3381</v>
      </c>
      <c r="AA5640" s="1128" t="s">
        <v>3384</v>
      </c>
      <c r="AB5640" s="20"/>
      <c r="AC5640" s="73"/>
    </row>
    <row r="5641" spans="1:29">
      <c r="A5641" s="327" t="str">
        <f>IF(AND($B5641&lt;&gt;"",$C5641&lt;&gt;""),MAX($A$4730:$A5640)+1,"")</f>
        <v/>
      </c>
      <c r="B5641" s="361" t="s">
        <v>1867</v>
      </c>
      <c r="C5641" s="362"/>
      <c r="D5641" s="327">
        <f>IF($B5641="","",COUNTIF($B$4731:$B5641,$B5641))</f>
        <v>11</v>
      </c>
      <c r="E5641" s="361" t="s">
        <v>656</v>
      </c>
      <c r="F5641" s="362" t="s">
        <v>2239</v>
      </c>
      <c r="G5641" s="327" t="s">
        <v>405</v>
      </c>
      <c r="H5641" s="361" t="s">
        <v>536</v>
      </c>
      <c r="I5641" s="361" t="s">
        <v>1827</v>
      </c>
      <c r="J5641" s="361"/>
      <c r="K5641" s="327" t="s">
        <v>100</v>
      </c>
      <c r="L5641" s="478">
        <v>970</v>
      </c>
      <c r="M5641" s="371"/>
      <c r="N5641" s="355" t="s">
        <v>2409</v>
      </c>
      <c r="O5641" s="345"/>
      <c r="P5641" s="325"/>
      <c r="Q5641" s="327"/>
      <c r="R5641" s="351"/>
      <c r="S5641" s="351"/>
      <c r="T5641" s="351"/>
      <c r="U5641" s="329" t="str">
        <f>IF($N5641=$N$4,IFERROR(INDEX(DanhMuc!$E$154:$E$165,MATCH(MID($B5641,4,2),DanhMuc!$B$154:$B$165,0)),""),"")</f>
        <v/>
      </c>
      <c r="V5641" s="361"/>
      <c r="W5641" s="345"/>
      <c r="X5641" s="786"/>
      <c r="Y5641" s="1128" t="s">
        <v>3380</v>
      </c>
      <c r="Z5641" s="1128" t="s">
        <v>3381</v>
      </c>
      <c r="AA5641" s="1128" t="s">
        <v>3384</v>
      </c>
      <c r="AB5641" s="20"/>
      <c r="AC5641" s="73"/>
    </row>
    <row r="5642" spans="1:29">
      <c r="A5642" s="327" t="str">
        <f>IF(AND($B5642&lt;&gt;"",$C5642&lt;&gt;""),MAX($A$4730:$A5641)+1,"")</f>
        <v/>
      </c>
      <c r="B5642" s="361" t="s">
        <v>1867</v>
      </c>
      <c r="C5642" s="362"/>
      <c r="D5642" s="327">
        <f>IF($B5642="","",COUNTIF($B$4731:$B5642,$B5642))</f>
        <v>12</v>
      </c>
      <c r="E5642" s="361" t="s">
        <v>657</v>
      </c>
      <c r="F5642" s="362" t="s">
        <v>658</v>
      </c>
      <c r="G5642" s="327" t="s">
        <v>424</v>
      </c>
      <c r="H5642" s="361" t="s">
        <v>536</v>
      </c>
      <c r="I5642" s="361" t="s">
        <v>665</v>
      </c>
      <c r="J5642" s="361"/>
      <c r="K5642" s="327" t="s">
        <v>100</v>
      </c>
      <c r="L5642" s="478">
        <v>60000</v>
      </c>
      <c r="M5642" s="355"/>
      <c r="N5642" s="355" t="s">
        <v>2409</v>
      </c>
      <c r="O5642" s="345"/>
      <c r="P5642" s="325"/>
      <c r="Q5642" s="327"/>
      <c r="R5642" s="351"/>
      <c r="S5642" s="351"/>
      <c r="T5642" s="351"/>
      <c r="U5642" s="329" t="str">
        <f>IF($N5642=$N$4,IFERROR(INDEX(DanhMuc!$E$154:$E$165,MATCH(MID($B5642,4,2),DanhMuc!$B$154:$B$165,0)),""),"")</f>
        <v/>
      </c>
      <c r="V5642" s="361"/>
      <c r="W5642" s="345"/>
      <c r="X5642" s="786"/>
      <c r="Y5642" s="1128" t="s">
        <v>3380</v>
      </c>
      <c r="Z5642" s="1128" t="s">
        <v>3381</v>
      </c>
      <c r="AA5642" s="1128" t="s">
        <v>3384</v>
      </c>
      <c r="AB5642" s="20"/>
      <c r="AC5642" s="73"/>
    </row>
    <row r="5643" spans="1:29">
      <c r="A5643" s="327" t="str">
        <f>IF(AND($B5643&lt;&gt;"",$C5643&lt;&gt;""),MAX($A$4730:$A5642)+1,"")</f>
        <v/>
      </c>
      <c r="B5643" s="361" t="s">
        <v>1867</v>
      </c>
      <c r="C5643" s="362"/>
      <c r="D5643" s="327">
        <f>IF($B5643="","",COUNTIF($B$4731:$B5643,$B5643))</f>
        <v>13</v>
      </c>
      <c r="E5643" s="361" t="s">
        <v>2771</v>
      </c>
      <c r="F5643" s="362" t="s">
        <v>659</v>
      </c>
      <c r="G5643" s="327" t="s">
        <v>424</v>
      </c>
      <c r="H5643" s="361" t="s">
        <v>536</v>
      </c>
      <c r="I5643" s="361" t="s">
        <v>666</v>
      </c>
      <c r="J5643" s="361"/>
      <c r="K5643" s="327" t="s">
        <v>100</v>
      </c>
      <c r="L5643" s="389">
        <v>53000</v>
      </c>
      <c r="M5643" s="355"/>
      <c r="N5643" s="355" t="s">
        <v>2409</v>
      </c>
      <c r="O5643" s="345"/>
      <c r="P5643" s="325"/>
      <c r="Q5643" s="327"/>
      <c r="R5643" s="351"/>
      <c r="S5643" s="351"/>
      <c r="T5643" s="351"/>
      <c r="U5643" s="329" t="str">
        <f>IF($N5643=$N$4,IFERROR(INDEX(DanhMuc!$E$154:$E$165,MATCH(MID($B5643,4,2),DanhMuc!$B$154:$B$165,0)),""),"")</f>
        <v/>
      </c>
      <c r="V5643" s="361"/>
      <c r="W5643" s="345"/>
      <c r="X5643" s="786"/>
      <c r="Y5643" s="1128" t="s">
        <v>3380</v>
      </c>
      <c r="Z5643" s="1128" t="s">
        <v>3381</v>
      </c>
      <c r="AA5643" s="1128" t="s">
        <v>3384</v>
      </c>
      <c r="AB5643" s="20"/>
      <c r="AC5643" s="73"/>
    </row>
    <row r="5644" spans="1:29">
      <c r="A5644" s="327" t="str">
        <f>IF(AND($B5644&lt;&gt;"",$C5644&lt;&gt;""),MAX($A$4730:$A5643)+1,"")</f>
        <v/>
      </c>
      <c r="B5644" s="361" t="s">
        <v>1867</v>
      </c>
      <c r="C5644" s="362"/>
      <c r="D5644" s="327">
        <f>IF($B5644="","",COUNTIF($B$4731:$B5644,$B5644))</f>
        <v>14</v>
      </c>
      <c r="E5644" s="361" t="s">
        <v>1828</v>
      </c>
      <c r="F5644" s="362" t="s">
        <v>671</v>
      </c>
      <c r="G5644" s="327" t="s">
        <v>661</v>
      </c>
      <c r="H5644" s="361" t="s">
        <v>536</v>
      </c>
      <c r="I5644" s="361" t="s">
        <v>2355</v>
      </c>
      <c r="J5644" s="361"/>
      <c r="K5644" s="327" t="s">
        <v>100</v>
      </c>
      <c r="L5644" s="478">
        <f>40000/1000</f>
        <v>40</v>
      </c>
      <c r="M5644" s="355"/>
      <c r="N5644" s="355" t="s">
        <v>2409</v>
      </c>
      <c r="O5644" s="345"/>
      <c r="P5644" s="325"/>
      <c r="Q5644" s="327"/>
      <c r="R5644" s="351"/>
      <c r="S5644" s="351"/>
      <c r="T5644" s="351"/>
      <c r="U5644" s="329" t="str">
        <f>IF($N5644=$N$4,IFERROR(INDEX(DanhMuc!$E$154:$E$165,MATCH(MID($B5644,4,2),DanhMuc!$B$154:$B$165,0)),""),"")</f>
        <v/>
      </c>
      <c r="V5644" s="361"/>
      <c r="W5644" s="345"/>
      <c r="X5644" s="786"/>
      <c r="Y5644" s="1128" t="s">
        <v>3380</v>
      </c>
      <c r="Z5644" s="1128" t="s">
        <v>3381</v>
      </c>
      <c r="AA5644" s="1128" t="s">
        <v>3384</v>
      </c>
      <c r="AB5644" s="20"/>
      <c r="AC5644" s="73"/>
    </row>
    <row r="5645" spans="1:29">
      <c r="A5645" s="327" t="str">
        <f>IF(AND($B5645&lt;&gt;"",$C5645&lt;&gt;""),MAX($A$4730:$A5644)+1,"")</f>
        <v/>
      </c>
      <c r="B5645" s="361" t="s">
        <v>1867</v>
      </c>
      <c r="C5645" s="362"/>
      <c r="D5645" s="327">
        <f>IF($B5645="","",COUNTIF($B$4731:$B5645,$B5645))</f>
        <v>15</v>
      </c>
      <c r="E5645" s="361" t="s">
        <v>154</v>
      </c>
      <c r="F5645" s="362" t="s">
        <v>660</v>
      </c>
      <c r="G5645" s="327" t="s">
        <v>661</v>
      </c>
      <c r="H5645" s="361" t="s">
        <v>536</v>
      </c>
      <c r="I5645" s="361" t="s">
        <v>667</v>
      </c>
      <c r="J5645" s="361"/>
      <c r="K5645" s="327" t="s">
        <v>662</v>
      </c>
      <c r="L5645" s="478">
        <v>20</v>
      </c>
      <c r="M5645" s="355"/>
      <c r="N5645" s="355" t="s">
        <v>2409</v>
      </c>
      <c r="O5645" s="345"/>
      <c r="P5645" s="325"/>
      <c r="Q5645" s="327"/>
      <c r="R5645" s="351"/>
      <c r="S5645" s="351"/>
      <c r="T5645" s="351"/>
      <c r="U5645" s="329" t="str">
        <f>IF($N5645=$N$4,IFERROR(INDEX(DanhMuc!$E$154:$E$165,MATCH(MID($B5645,4,2),DanhMuc!$B$154:$B$165,0)),""),"")</f>
        <v/>
      </c>
      <c r="V5645" s="361"/>
      <c r="W5645" s="345"/>
      <c r="X5645" s="786"/>
      <c r="Y5645" s="1128" t="s">
        <v>3380</v>
      </c>
      <c r="Z5645" s="1128" t="s">
        <v>3381</v>
      </c>
      <c r="AA5645" s="1128" t="s">
        <v>3384</v>
      </c>
      <c r="AB5645" s="20"/>
      <c r="AC5645" s="73"/>
    </row>
    <row r="5646" spans="1:29">
      <c r="A5646" s="327" t="str">
        <f>IF(AND($B5646&lt;&gt;"",$C5646&lt;&gt;""),MAX($A$4730:$A5645)+1,"")</f>
        <v/>
      </c>
      <c r="B5646" s="361" t="s">
        <v>1867</v>
      </c>
      <c r="C5646" s="362"/>
      <c r="D5646" s="327">
        <f>IF($B5646="","",COUNTIF($B$4731:$B5646,$B5646))</f>
        <v>16</v>
      </c>
      <c r="E5646" s="362" t="s">
        <v>2282</v>
      </c>
      <c r="F5646" s="362" t="s">
        <v>2283</v>
      </c>
      <c r="G5646" s="327" t="s">
        <v>424</v>
      </c>
      <c r="H5646" s="361" t="s">
        <v>536</v>
      </c>
      <c r="I5646" s="361" t="s">
        <v>2238</v>
      </c>
      <c r="J5646" s="361"/>
      <c r="K5646" s="327" t="s">
        <v>662</v>
      </c>
      <c r="L5646" s="478">
        <v>28000</v>
      </c>
      <c r="M5646" s="355"/>
      <c r="N5646" s="355" t="s">
        <v>2409</v>
      </c>
      <c r="O5646" s="345"/>
      <c r="P5646" s="325"/>
      <c r="Q5646" s="327"/>
      <c r="R5646" s="351"/>
      <c r="S5646" s="351"/>
      <c r="T5646" s="351"/>
      <c r="U5646" s="329" t="str">
        <f>IF($N5646=$N$4,IFERROR(INDEX(DanhMuc!$E$154:$E$165,MATCH(MID($B5646,4,2),DanhMuc!$B$154:$B$165,0)),""),"")</f>
        <v/>
      </c>
      <c r="V5646" s="361"/>
      <c r="W5646" s="345"/>
      <c r="X5646" s="786"/>
      <c r="Y5646" s="1128" t="s">
        <v>3380</v>
      </c>
      <c r="Z5646" s="1128" t="s">
        <v>3381</v>
      </c>
      <c r="AA5646" s="1128" t="s">
        <v>3384</v>
      </c>
      <c r="AB5646" s="20"/>
      <c r="AC5646" s="73"/>
    </row>
    <row r="5647" spans="1:29">
      <c r="A5647" s="327" t="str">
        <f>IF(AND($B5647&lt;&gt;"",$C5647&lt;&gt;""),MAX($A$4730:$A5646)+1,"")</f>
        <v/>
      </c>
      <c r="B5647" s="361" t="s">
        <v>1867</v>
      </c>
      <c r="C5647" s="362"/>
      <c r="D5647" s="327">
        <f>IF($B5647="","",COUNTIF($B$4731:$B5647,$B5647))</f>
        <v>17</v>
      </c>
      <c r="E5647" s="362" t="s">
        <v>663</v>
      </c>
      <c r="F5647" s="362" t="s">
        <v>664</v>
      </c>
      <c r="G5647" s="327" t="s">
        <v>155</v>
      </c>
      <c r="H5647" s="361" t="s">
        <v>536</v>
      </c>
      <c r="I5647" s="361" t="s">
        <v>672</v>
      </c>
      <c r="J5647" s="361"/>
      <c r="K5647" s="327" t="s">
        <v>662</v>
      </c>
      <c r="L5647" s="478">
        <v>1000</v>
      </c>
      <c r="M5647" s="355"/>
      <c r="N5647" s="355" t="s">
        <v>2409</v>
      </c>
      <c r="O5647" s="345"/>
      <c r="P5647" s="325"/>
      <c r="Q5647" s="327"/>
      <c r="R5647" s="351"/>
      <c r="S5647" s="351"/>
      <c r="T5647" s="351"/>
      <c r="U5647" s="329" t="str">
        <f>IF($N5647=$N$4,IFERROR(INDEX(DanhMuc!$E$154:$E$165,MATCH(MID($B5647,4,2),DanhMuc!$B$154:$B$165,0)),""),"")</f>
        <v/>
      </c>
      <c r="V5647" s="361"/>
      <c r="W5647" s="345"/>
      <c r="X5647" s="786"/>
      <c r="Y5647" s="1128" t="s">
        <v>3380</v>
      </c>
      <c r="Z5647" s="1128" t="s">
        <v>3381</v>
      </c>
      <c r="AA5647" s="1128" t="s">
        <v>3384</v>
      </c>
      <c r="AB5647" s="20"/>
      <c r="AC5647" s="73"/>
    </row>
    <row r="5648" spans="1:29" ht="39">
      <c r="A5648" s="327">
        <f>IF(AND($B5648&lt;&gt;"",$C5648&lt;&gt;""),MAX($A$4730:$A5647)+1,"")</f>
        <v>35</v>
      </c>
      <c r="B5648" s="359" t="s">
        <v>1868</v>
      </c>
      <c r="C5648" s="360" t="s">
        <v>1895</v>
      </c>
      <c r="D5648" s="327">
        <f>IF($B5648="","",COUNTIF($B$4731:$B5648,$B5648))</f>
        <v>1</v>
      </c>
      <c r="E5648" s="402" t="s">
        <v>2302</v>
      </c>
      <c r="F5648" s="403" t="s">
        <v>2332</v>
      </c>
      <c r="G5648" s="327" t="s">
        <v>155</v>
      </c>
      <c r="H5648" s="361" t="s">
        <v>536</v>
      </c>
      <c r="I5648" s="327">
        <v>4</v>
      </c>
      <c r="J5648" s="361"/>
      <c r="K5648" s="327" t="s">
        <v>100</v>
      </c>
      <c r="L5648" s="389">
        <v>6600</v>
      </c>
      <c r="M5648" s="355"/>
      <c r="N5648" s="355" t="s">
        <v>2408</v>
      </c>
      <c r="O5648" s="345" t="s">
        <v>2776</v>
      </c>
      <c r="P5648" s="325"/>
      <c r="Q5648" s="327"/>
      <c r="R5648" s="351">
        <v>0</v>
      </c>
      <c r="S5648" s="351">
        <v>5.8</v>
      </c>
      <c r="T5648" s="351">
        <v>3.1339999999999999</v>
      </c>
      <c r="U5648" s="329" t="str">
        <f>IF($N5648=$N$4,IFERROR(INDEX(DanhMuc!$E$154:$E$165,MATCH(MID($B5648,4,2),DanhMuc!$B$154:$B$165,0)),""),"")</f>
        <v/>
      </c>
      <c r="V5648" s="361"/>
      <c r="W5648" s="345"/>
      <c r="X5648" s="786"/>
      <c r="Y5648" s="1128" t="s">
        <v>3380</v>
      </c>
      <c r="Z5648" s="1128" t="s">
        <v>3381</v>
      </c>
      <c r="AA5648" s="1128" t="s">
        <v>3384</v>
      </c>
      <c r="AB5648" s="20"/>
      <c r="AC5648" s="73"/>
    </row>
    <row r="5649" spans="1:29">
      <c r="A5649" s="327" t="str">
        <f>IF(AND($B5649&lt;&gt;"",$C5649&lt;&gt;""),MAX($A$4730:$A5648)+1,"")</f>
        <v/>
      </c>
      <c r="B5649" s="361" t="s">
        <v>1868</v>
      </c>
      <c r="C5649" s="362"/>
      <c r="D5649" s="327">
        <f>IF($B5649="","",COUNTIF($B$4731:$B5649,$B5649))</f>
        <v>2</v>
      </c>
      <c r="E5649" s="402" t="s">
        <v>2788</v>
      </c>
      <c r="F5649" s="403" t="s">
        <v>2789</v>
      </c>
      <c r="G5649" s="327" t="s">
        <v>155</v>
      </c>
      <c r="H5649" s="361" t="s">
        <v>536</v>
      </c>
      <c r="I5649" s="327">
        <f>4*I5648</f>
        <v>16</v>
      </c>
      <c r="J5649" s="361"/>
      <c r="K5649" s="327" t="s">
        <v>100</v>
      </c>
      <c r="L5649" s="389">
        <v>600</v>
      </c>
      <c r="M5649" s="355"/>
      <c r="N5649" s="355" t="s">
        <v>2408</v>
      </c>
      <c r="O5649" s="345" t="s">
        <v>2776</v>
      </c>
      <c r="P5649" s="325"/>
      <c r="Q5649" s="327"/>
      <c r="R5649" s="351">
        <v>0</v>
      </c>
      <c r="S5649" s="351">
        <v>5.8</v>
      </c>
      <c r="T5649" s="351">
        <v>3.1339999999999999</v>
      </c>
      <c r="U5649" s="329" t="str">
        <f>IF($N5649=$N$4,IFERROR(INDEX(DanhMuc!$E$154:$E$165,MATCH(MID($B5649,4,2),DanhMuc!$B$154:$B$165,0)),""),"")</f>
        <v/>
      </c>
      <c r="V5649" s="361"/>
      <c r="W5649" s="345"/>
      <c r="X5649" s="786"/>
      <c r="Y5649" s="1128" t="s">
        <v>3380</v>
      </c>
      <c r="Z5649" s="1128" t="s">
        <v>3381</v>
      </c>
      <c r="AA5649" s="1128" t="s">
        <v>3384</v>
      </c>
      <c r="AB5649" s="20"/>
      <c r="AC5649" s="73"/>
    </row>
    <row r="5650" spans="1:29">
      <c r="A5650" s="327" t="str">
        <f>IF(AND($B5650&lt;&gt;"",$C5650&lt;&gt;""),MAX($A$4730:$A5649)+1,"")</f>
        <v/>
      </c>
      <c r="B5650" s="361" t="s">
        <v>1868</v>
      </c>
      <c r="C5650" s="362"/>
      <c r="D5650" s="327">
        <f>IF($B5650="","",COUNTIF($B$4731:$B5650,$B5650))</f>
        <v>3</v>
      </c>
      <c r="E5650" s="361" t="s">
        <v>2781</v>
      </c>
      <c r="F5650" s="362" t="s">
        <v>2780</v>
      </c>
      <c r="G5650" s="327" t="s">
        <v>155</v>
      </c>
      <c r="H5650" s="361" t="s">
        <v>536</v>
      </c>
      <c r="I5650" s="327">
        <v>4</v>
      </c>
      <c r="J5650" s="361"/>
      <c r="K5650" s="327" t="s">
        <v>100</v>
      </c>
      <c r="L5650" s="389">
        <v>7200</v>
      </c>
      <c r="M5650" s="355"/>
      <c r="N5650" s="355" t="s">
        <v>2408</v>
      </c>
      <c r="O5650" s="345" t="s">
        <v>2777</v>
      </c>
      <c r="P5650" s="325"/>
      <c r="Q5650" s="327"/>
      <c r="R5650" s="351">
        <v>0</v>
      </c>
      <c r="S5650" s="351">
        <v>5.8</v>
      </c>
      <c r="T5650" s="351">
        <v>3.1339999999999999</v>
      </c>
      <c r="U5650" s="329" t="str">
        <f>IF($N5650=$N$4,IFERROR(INDEX(DanhMuc!$E$154:$E$165,MATCH(MID($B5650,4,2),DanhMuc!$B$154:$B$165,0)),""),"")</f>
        <v/>
      </c>
      <c r="V5650" s="361"/>
      <c r="W5650" s="345"/>
      <c r="X5650" s="786"/>
      <c r="Y5650" s="1128" t="s">
        <v>3380</v>
      </c>
      <c r="Z5650" s="1128" t="s">
        <v>3381</v>
      </c>
      <c r="AA5650" s="1128" t="s">
        <v>3384</v>
      </c>
      <c r="AB5650" s="20"/>
      <c r="AC5650" s="73"/>
    </row>
    <row r="5651" spans="1:29">
      <c r="A5651" s="327" t="str">
        <f>IF(AND($B5651&lt;&gt;"",$C5651&lt;&gt;""),MAX($A$4730:$A5646)+1,"")</f>
        <v/>
      </c>
      <c r="B5651" s="361" t="s">
        <v>1868</v>
      </c>
      <c r="C5651" s="362"/>
      <c r="D5651" s="327">
        <f>IF($B5651="","",COUNTIF($B$4731:$B5651,$B5651))</f>
        <v>4</v>
      </c>
      <c r="E5651" s="402" t="s">
        <v>2303</v>
      </c>
      <c r="F5651" s="403" t="s">
        <v>2782</v>
      </c>
      <c r="G5651" s="327" t="s">
        <v>155</v>
      </c>
      <c r="H5651" s="361" t="s">
        <v>536</v>
      </c>
      <c r="I5651" s="327">
        <v>8</v>
      </c>
      <c r="J5651" s="361"/>
      <c r="K5651" s="327" t="s">
        <v>101</v>
      </c>
      <c r="L5651" s="389">
        <v>9100</v>
      </c>
      <c r="M5651" s="355"/>
      <c r="N5651" s="355" t="s">
        <v>2408</v>
      </c>
      <c r="O5651" s="345" t="s">
        <v>2778</v>
      </c>
      <c r="P5651" s="325"/>
      <c r="Q5651" s="327"/>
      <c r="R5651" s="351">
        <v>0</v>
      </c>
      <c r="S5651" s="351">
        <v>5.8</v>
      </c>
      <c r="T5651" s="351">
        <v>2.4359999999999999</v>
      </c>
      <c r="U5651" s="329" t="str">
        <f>IF($N5651=$N$4,IFERROR(INDEX(DanhMuc!$E$154:$E$165,MATCH(MID($B5651,4,2),DanhMuc!$B$154:$B$165,0)),""),"")</f>
        <v/>
      </c>
      <c r="V5651" s="361"/>
      <c r="W5651" s="345"/>
      <c r="X5651" s="786"/>
      <c r="Y5651" s="1128" t="s">
        <v>3380</v>
      </c>
      <c r="Z5651" s="1128" t="s">
        <v>3381</v>
      </c>
      <c r="AA5651" s="1128" t="s">
        <v>3384</v>
      </c>
      <c r="AB5651" s="20"/>
      <c r="AC5651" s="73"/>
    </row>
    <row r="5652" spans="1:29">
      <c r="A5652" s="327" t="str">
        <f>IF(AND($B5652&lt;&gt;"",$C5652&lt;&gt;""),MAX($A$4730:$A5647)+1,"")</f>
        <v/>
      </c>
      <c r="B5652" s="361" t="s">
        <v>1868</v>
      </c>
      <c r="C5652" s="362"/>
      <c r="D5652" s="327">
        <f>IF($B5652="","",COUNTIF($B$4731:$B5652,$B5652))</f>
        <v>5</v>
      </c>
      <c r="E5652" s="402" t="s">
        <v>2788</v>
      </c>
      <c r="F5652" s="403" t="s">
        <v>2789</v>
      </c>
      <c r="G5652" s="327" t="s">
        <v>155</v>
      </c>
      <c r="H5652" s="361" t="s">
        <v>536</v>
      </c>
      <c r="I5652" s="327">
        <f>4*I5651</f>
        <v>32</v>
      </c>
      <c r="J5652" s="361"/>
      <c r="K5652" s="327" t="s">
        <v>101</v>
      </c>
      <c r="L5652" s="389">
        <v>600</v>
      </c>
      <c r="M5652" s="355"/>
      <c r="N5652" s="355" t="s">
        <v>2408</v>
      </c>
      <c r="O5652" s="345" t="s">
        <v>2778</v>
      </c>
      <c r="P5652" s="325"/>
      <c r="Q5652" s="327"/>
      <c r="R5652" s="351">
        <v>0</v>
      </c>
      <c r="S5652" s="351">
        <v>5.8</v>
      </c>
      <c r="T5652" s="351">
        <v>2.4359999999999999</v>
      </c>
      <c r="U5652" s="329" t="str">
        <f>IF($N5652=$N$4,IFERROR(INDEX(DanhMuc!$E$154:$E$165,MATCH(MID($B5652,4,2),DanhMuc!$B$154:$B$165,0)),""),"")</f>
        <v/>
      </c>
      <c r="V5652" s="361"/>
      <c r="W5652" s="345"/>
      <c r="X5652" s="786"/>
      <c r="Y5652" s="1128" t="s">
        <v>3380</v>
      </c>
      <c r="Z5652" s="1128" t="s">
        <v>3381</v>
      </c>
      <c r="AA5652" s="1128" t="s">
        <v>3384</v>
      </c>
      <c r="AB5652" s="20"/>
      <c r="AC5652" s="73"/>
    </row>
    <row r="5653" spans="1:29">
      <c r="A5653" s="327" t="str">
        <f>IF(AND($B5653&lt;&gt;"",$C5653&lt;&gt;""),MAX($A$4730:$A5648)+1,"")</f>
        <v/>
      </c>
      <c r="B5653" s="361" t="s">
        <v>1868</v>
      </c>
      <c r="C5653" s="362"/>
      <c r="D5653" s="327">
        <f>IF($B5653="","",COUNTIF($B$4731:$B5653,$B5653))</f>
        <v>6</v>
      </c>
      <c r="E5653" s="361" t="s">
        <v>699</v>
      </c>
      <c r="F5653" s="362" t="s">
        <v>2783</v>
      </c>
      <c r="G5653" s="327" t="s">
        <v>155</v>
      </c>
      <c r="H5653" s="361" t="s">
        <v>536</v>
      </c>
      <c r="I5653" s="327">
        <v>8</v>
      </c>
      <c r="J5653" s="361"/>
      <c r="K5653" s="327" t="s">
        <v>101</v>
      </c>
      <c r="L5653" s="389">
        <v>11000</v>
      </c>
      <c r="M5653" s="355"/>
      <c r="N5653" s="355" t="s">
        <v>2408</v>
      </c>
      <c r="O5653" s="345" t="s">
        <v>2779</v>
      </c>
      <c r="P5653" s="325"/>
      <c r="Q5653" s="327"/>
      <c r="R5653" s="351">
        <v>0</v>
      </c>
      <c r="S5653" s="351">
        <v>5.8</v>
      </c>
      <c r="T5653" s="351">
        <v>2.4359999999999999</v>
      </c>
      <c r="U5653" s="329" t="str">
        <f>IF($N5653=$N$4,IFERROR(INDEX(DanhMuc!$E$154:$E$165,MATCH(MID($B5653,4,2),DanhMuc!$B$154:$B$165,0)),""),"")</f>
        <v/>
      </c>
      <c r="V5653" s="361"/>
      <c r="W5653" s="345"/>
      <c r="X5653" s="786"/>
      <c r="Y5653" s="1128" t="s">
        <v>3380</v>
      </c>
      <c r="Z5653" s="1128" t="s">
        <v>3381</v>
      </c>
      <c r="AA5653" s="1128" t="s">
        <v>3384</v>
      </c>
      <c r="AB5653" s="20"/>
      <c r="AC5653" s="73"/>
    </row>
    <row r="5654" spans="1:29">
      <c r="A5654" s="327" t="str">
        <f>IF(AND($B5654&lt;&gt;"",$C5654&lt;&gt;""),MAX($A$4730:$A5653)+1,"")</f>
        <v/>
      </c>
      <c r="B5654" s="361" t="s">
        <v>1868</v>
      </c>
      <c r="C5654" s="362"/>
      <c r="D5654" s="327">
        <f>IF($B5654="","",COUNTIF($B$4731:$B5654,$B5654))</f>
        <v>7</v>
      </c>
      <c r="E5654" s="361" t="s">
        <v>414</v>
      </c>
      <c r="F5654" s="362" t="s">
        <v>413</v>
      </c>
      <c r="G5654" s="327" t="s">
        <v>155</v>
      </c>
      <c r="H5654" s="361" t="s">
        <v>536</v>
      </c>
      <c r="I5654" s="327">
        <f>+I5648+I5651*2</f>
        <v>20</v>
      </c>
      <c r="J5654" s="361"/>
      <c r="K5654" s="327" t="s">
        <v>415</v>
      </c>
      <c r="L5654" s="389">
        <v>408</v>
      </c>
      <c r="M5654" s="355"/>
      <c r="N5654" s="355" t="s">
        <v>2408</v>
      </c>
      <c r="O5654" s="345"/>
      <c r="P5654" s="325"/>
      <c r="Q5654" s="327"/>
      <c r="R5654" s="351"/>
      <c r="S5654" s="351"/>
      <c r="T5654" s="351"/>
      <c r="U5654" s="329" t="str">
        <f>IF($N5654=$N$4,IFERROR(INDEX(DanhMuc!$E$154:$E$165,MATCH(MID($B5654,4,2),DanhMuc!$B$154:$B$165,0)),""),"")</f>
        <v/>
      </c>
      <c r="V5654" s="361"/>
      <c r="W5654" s="345"/>
      <c r="X5654" s="786"/>
      <c r="Y5654" s="1128" t="s">
        <v>3380</v>
      </c>
      <c r="Z5654" s="1128" t="s">
        <v>3381</v>
      </c>
      <c r="AA5654" s="1128" t="s">
        <v>3384</v>
      </c>
      <c r="AB5654" s="20"/>
      <c r="AC5654" s="73"/>
    </row>
    <row r="5655" spans="1:29">
      <c r="A5655" s="327" t="str">
        <f>IF(AND($B5655&lt;&gt;"",$C5655&lt;&gt;""),MAX($A$4730:$A5654)+1,"")</f>
        <v/>
      </c>
      <c r="B5655" s="361" t="s">
        <v>1868</v>
      </c>
      <c r="C5655" s="362"/>
      <c r="D5655" s="327">
        <f>IF($B5655="","",COUNTIF($B$4731:$B5655,$B5655))</f>
        <v>8</v>
      </c>
      <c r="E5655" s="361" t="s">
        <v>1826</v>
      </c>
      <c r="F5655" s="362" t="s">
        <v>670</v>
      </c>
      <c r="G5655" s="327" t="s">
        <v>661</v>
      </c>
      <c r="H5655" s="361" t="s">
        <v>536</v>
      </c>
      <c r="I5655" s="361" t="s">
        <v>2354</v>
      </c>
      <c r="J5655" s="361"/>
      <c r="K5655" s="327" t="s">
        <v>103</v>
      </c>
      <c r="L5655" s="478">
        <f>40000/1000</f>
        <v>40</v>
      </c>
      <c r="M5655" s="355"/>
      <c r="N5655" s="355" t="s">
        <v>2408</v>
      </c>
      <c r="O5655" s="345"/>
      <c r="P5655" s="325"/>
      <c r="Q5655" s="327"/>
      <c r="R5655" s="351"/>
      <c r="S5655" s="351"/>
      <c r="T5655" s="351"/>
      <c r="U5655" s="329" t="str">
        <f>IF($N5655=$N$4,IFERROR(INDEX(DanhMuc!$E$154:$E$165,MATCH(MID($B5655,4,2),DanhMuc!$B$154:$B$165,0)),""),"")</f>
        <v/>
      </c>
      <c r="V5655" s="361"/>
      <c r="W5655" s="345"/>
      <c r="X5655" s="786"/>
      <c r="Y5655" s="1128" t="s">
        <v>3380</v>
      </c>
      <c r="Z5655" s="1128" t="s">
        <v>3381</v>
      </c>
      <c r="AA5655" s="1128" t="s">
        <v>3384</v>
      </c>
      <c r="AB5655" s="20"/>
      <c r="AC5655" s="73"/>
    </row>
    <row r="5656" spans="1:29" ht="37.5">
      <c r="A5656" s="327" t="str">
        <f>IF(AND($B5656&lt;&gt;"",$C5656&lt;&gt;""),MAX($A$4730:$A5655)+1,"")</f>
        <v/>
      </c>
      <c r="B5656" s="361" t="s">
        <v>1868</v>
      </c>
      <c r="C5656" s="362"/>
      <c r="D5656" s="327">
        <f>IF($B5656="","",COUNTIF($B$4731:$B5656,$B5656))</f>
        <v>9</v>
      </c>
      <c r="E5656" s="362" t="s">
        <v>1964</v>
      </c>
      <c r="F5656" s="362" t="s">
        <v>1965</v>
      </c>
      <c r="G5656" s="327" t="s">
        <v>405</v>
      </c>
      <c r="H5656" s="361" t="s">
        <v>536</v>
      </c>
      <c r="I5656" s="361" t="s">
        <v>693</v>
      </c>
      <c r="J5656" s="361"/>
      <c r="K5656" s="327" t="s">
        <v>223</v>
      </c>
      <c r="L5656" s="478">
        <v>140</v>
      </c>
      <c r="M5656" s="371"/>
      <c r="N5656" s="355" t="s">
        <v>2408</v>
      </c>
      <c r="O5656" s="345"/>
      <c r="P5656" s="325"/>
      <c r="Q5656" s="327"/>
      <c r="R5656" s="351"/>
      <c r="S5656" s="351"/>
      <c r="T5656" s="351"/>
      <c r="U5656" s="329" t="str">
        <f>IF($N5656=$N$4,IFERROR(INDEX(DanhMuc!$E$154:$E$165,MATCH(MID($B5656,4,2),DanhMuc!$B$154:$B$165,0)),""),"")</f>
        <v/>
      </c>
      <c r="V5656" s="361"/>
      <c r="W5656" s="345"/>
      <c r="X5656" s="786"/>
      <c r="Y5656" s="1128" t="s">
        <v>3380</v>
      </c>
      <c r="Z5656" s="1128" t="s">
        <v>3381</v>
      </c>
      <c r="AA5656" s="1128" t="s">
        <v>3384</v>
      </c>
      <c r="AB5656" s="20"/>
      <c r="AC5656" s="73"/>
    </row>
    <row r="5657" spans="1:29" ht="37.5">
      <c r="A5657" s="327" t="str">
        <f>IF(AND($B5657&lt;&gt;"",$C5657&lt;&gt;""),MAX($A$4730:$A5656)+1,"")</f>
        <v/>
      </c>
      <c r="B5657" s="361" t="s">
        <v>1868</v>
      </c>
      <c r="C5657" s="362"/>
      <c r="D5657" s="327">
        <f>IF($B5657="","",COUNTIF($B$4731:$B5657,$B5657))</f>
        <v>10</v>
      </c>
      <c r="E5657" s="362" t="s">
        <v>2756</v>
      </c>
      <c r="F5657" s="362" t="s">
        <v>2757</v>
      </c>
      <c r="G5657" s="327" t="s">
        <v>405</v>
      </c>
      <c r="H5657" s="361" t="s">
        <v>536</v>
      </c>
      <c r="I5657" s="361" t="s">
        <v>694</v>
      </c>
      <c r="J5657" s="361"/>
      <c r="K5657" s="327" t="s">
        <v>223</v>
      </c>
      <c r="L5657" s="479">
        <v>322</v>
      </c>
      <c r="M5657" s="371"/>
      <c r="N5657" s="355" t="s">
        <v>2408</v>
      </c>
      <c r="O5657" s="345"/>
      <c r="P5657" s="325"/>
      <c r="Q5657" s="327"/>
      <c r="R5657" s="351"/>
      <c r="S5657" s="351"/>
      <c r="T5657" s="351"/>
      <c r="U5657" s="329" t="str">
        <f>IF($N5657=$N$4,IFERROR(INDEX(DanhMuc!$E$154:$E$165,MATCH(MID($B5657,4,2),DanhMuc!$B$154:$B$165,0)),""),"")</f>
        <v/>
      </c>
      <c r="V5657" s="361"/>
      <c r="W5657" s="345"/>
      <c r="X5657" s="786"/>
      <c r="Y5657" s="1128" t="s">
        <v>3380</v>
      </c>
      <c r="Z5657" s="1128" t="s">
        <v>3381</v>
      </c>
      <c r="AA5657" s="1128" t="s">
        <v>3384</v>
      </c>
      <c r="AB5657" s="20"/>
      <c r="AC5657" s="73"/>
    </row>
    <row r="5658" spans="1:29">
      <c r="A5658" s="327" t="str">
        <f>IF(AND($B5658&lt;&gt;"",$C5658&lt;&gt;""),MAX($A$4730:$A5657)+1,"")</f>
        <v/>
      </c>
      <c r="B5658" s="361" t="s">
        <v>1868</v>
      </c>
      <c r="C5658" s="362"/>
      <c r="D5658" s="327">
        <f>IF($B5658="","",COUNTIF($B$4731:$B5658,$B5658))</f>
        <v>11</v>
      </c>
      <c r="E5658" s="361" t="s">
        <v>656</v>
      </c>
      <c r="F5658" s="362" t="s">
        <v>2239</v>
      </c>
      <c r="G5658" s="327" t="s">
        <v>405</v>
      </c>
      <c r="H5658" s="361" t="s">
        <v>536</v>
      </c>
      <c r="I5658" s="361" t="s">
        <v>1827</v>
      </c>
      <c r="J5658" s="361"/>
      <c r="K5658" s="327" t="s">
        <v>100</v>
      </c>
      <c r="L5658" s="478">
        <v>970</v>
      </c>
      <c r="M5658" s="371"/>
      <c r="N5658" s="355" t="s">
        <v>2409</v>
      </c>
      <c r="O5658" s="345"/>
      <c r="P5658" s="325"/>
      <c r="Q5658" s="327"/>
      <c r="R5658" s="351"/>
      <c r="S5658" s="351"/>
      <c r="T5658" s="351"/>
      <c r="U5658" s="329" t="str">
        <f>IF($N5658=$N$4,IFERROR(INDEX(DanhMuc!$E$154:$E$165,MATCH(MID($B5658,4,2),DanhMuc!$B$154:$B$165,0)),""),"")</f>
        <v/>
      </c>
      <c r="V5658" s="361"/>
      <c r="W5658" s="345"/>
      <c r="X5658" s="786"/>
      <c r="Y5658" s="1128" t="s">
        <v>3380</v>
      </c>
      <c r="Z5658" s="1128" t="s">
        <v>3381</v>
      </c>
      <c r="AA5658" s="1128" t="s">
        <v>3384</v>
      </c>
      <c r="AB5658" s="20"/>
      <c r="AC5658" s="73"/>
    </row>
    <row r="5659" spans="1:29">
      <c r="A5659" s="327" t="str">
        <f>IF(AND($B5659&lt;&gt;"",$C5659&lt;&gt;""),MAX($A$4730:$A5658)+1,"")</f>
        <v/>
      </c>
      <c r="B5659" s="361" t="s">
        <v>1868</v>
      </c>
      <c r="C5659" s="362"/>
      <c r="D5659" s="327">
        <f>IF($B5659="","",COUNTIF($B$4731:$B5659,$B5659))</f>
        <v>12</v>
      </c>
      <c r="E5659" s="361" t="s">
        <v>657</v>
      </c>
      <c r="F5659" s="362" t="s">
        <v>658</v>
      </c>
      <c r="G5659" s="327" t="s">
        <v>424</v>
      </c>
      <c r="H5659" s="361" t="s">
        <v>536</v>
      </c>
      <c r="I5659" s="361" t="s">
        <v>665</v>
      </c>
      <c r="J5659" s="361"/>
      <c r="K5659" s="327" t="s">
        <v>100</v>
      </c>
      <c r="L5659" s="478">
        <v>60000</v>
      </c>
      <c r="M5659" s="355"/>
      <c r="N5659" s="355" t="s">
        <v>2409</v>
      </c>
      <c r="O5659" s="345"/>
      <c r="P5659" s="325"/>
      <c r="Q5659" s="327"/>
      <c r="R5659" s="351"/>
      <c r="S5659" s="351"/>
      <c r="T5659" s="351"/>
      <c r="U5659" s="329" t="str">
        <f>IF($N5659=$N$4,IFERROR(INDEX(DanhMuc!$E$154:$E$165,MATCH(MID($B5659,4,2),DanhMuc!$B$154:$B$165,0)),""),"")</f>
        <v/>
      </c>
      <c r="V5659" s="361"/>
      <c r="W5659" s="345"/>
      <c r="X5659" s="786"/>
      <c r="Y5659" s="1128" t="s">
        <v>3380</v>
      </c>
      <c r="Z5659" s="1128" t="s">
        <v>3381</v>
      </c>
      <c r="AA5659" s="1128" t="s">
        <v>3384</v>
      </c>
      <c r="AB5659" s="20"/>
      <c r="AC5659" s="73"/>
    </row>
    <row r="5660" spans="1:29">
      <c r="A5660" s="327" t="str">
        <f>IF(AND($B5660&lt;&gt;"",$C5660&lt;&gt;""),MAX($A$4730:$A5659)+1,"")</f>
        <v/>
      </c>
      <c r="B5660" s="361" t="s">
        <v>1868</v>
      </c>
      <c r="C5660" s="362"/>
      <c r="D5660" s="327">
        <f>IF($B5660="","",COUNTIF($B$4731:$B5660,$B5660))</f>
        <v>13</v>
      </c>
      <c r="E5660" s="361" t="s">
        <v>2771</v>
      </c>
      <c r="F5660" s="362" t="s">
        <v>659</v>
      </c>
      <c r="G5660" s="327" t="s">
        <v>424</v>
      </c>
      <c r="H5660" s="361" t="s">
        <v>536</v>
      </c>
      <c r="I5660" s="361" t="s">
        <v>666</v>
      </c>
      <c r="J5660" s="361"/>
      <c r="K5660" s="327" t="s">
        <v>100</v>
      </c>
      <c r="L5660" s="389">
        <v>53000</v>
      </c>
      <c r="M5660" s="355"/>
      <c r="N5660" s="355" t="s">
        <v>2409</v>
      </c>
      <c r="O5660" s="345"/>
      <c r="P5660" s="325"/>
      <c r="Q5660" s="327"/>
      <c r="R5660" s="351"/>
      <c r="S5660" s="351"/>
      <c r="T5660" s="351"/>
      <c r="U5660" s="329" t="str">
        <f>IF($N5660=$N$4,IFERROR(INDEX(DanhMuc!$E$154:$E$165,MATCH(MID($B5660,4,2),DanhMuc!$B$154:$B$165,0)),""),"")</f>
        <v/>
      </c>
      <c r="V5660" s="361"/>
      <c r="W5660" s="345"/>
      <c r="X5660" s="786"/>
      <c r="Y5660" s="1128" t="s">
        <v>3380</v>
      </c>
      <c r="Z5660" s="1128" t="s">
        <v>3381</v>
      </c>
      <c r="AA5660" s="1128" t="s">
        <v>3384</v>
      </c>
      <c r="AB5660" s="20"/>
      <c r="AC5660" s="73"/>
    </row>
    <row r="5661" spans="1:29">
      <c r="A5661" s="327" t="str">
        <f>IF(AND($B5661&lt;&gt;"",$C5661&lt;&gt;""),MAX($A$4730:$A5660)+1,"")</f>
        <v/>
      </c>
      <c r="B5661" s="361" t="s">
        <v>1868</v>
      </c>
      <c r="C5661" s="362"/>
      <c r="D5661" s="327">
        <f>IF($B5661="","",COUNTIF($B$4731:$B5661,$B5661))</f>
        <v>14</v>
      </c>
      <c r="E5661" s="361" t="s">
        <v>1828</v>
      </c>
      <c r="F5661" s="362" t="s">
        <v>671</v>
      </c>
      <c r="G5661" s="327" t="s">
        <v>661</v>
      </c>
      <c r="H5661" s="361" t="s">
        <v>536</v>
      </c>
      <c r="I5661" s="361" t="s">
        <v>2355</v>
      </c>
      <c r="J5661" s="361"/>
      <c r="K5661" s="327" t="s">
        <v>100</v>
      </c>
      <c r="L5661" s="478">
        <f>40000/1000</f>
        <v>40</v>
      </c>
      <c r="M5661" s="355"/>
      <c r="N5661" s="355" t="s">
        <v>2409</v>
      </c>
      <c r="O5661" s="345"/>
      <c r="P5661" s="325"/>
      <c r="Q5661" s="327"/>
      <c r="R5661" s="351"/>
      <c r="S5661" s="351"/>
      <c r="T5661" s="351"/>
      <c r="U5661" s="329" t="str">
        <f>IF($N5661=$N$4,IFERROR(INDEX(DanhMuc!$E$154:$E$165,MATCH(MID($B5661,4,2),DanhMuc!$B$154:$B$165,0)),""),"")</f>
        <v/>
      </c>
      <c r="V5661" s="361"/>
      <c r="W5661" s="345"/>
      <c r="X5661" s="786"/>
      <c r="Y5661" s="1128" t="s">
        <v>3380</v>
      </c>
      <c r="Z5661" s="1128" t="s">
        <v>3381</v>
      </c>
      <c r="AA5661" s="1128" t="s">
        <v>3384</v>
      </c>
      <c r="AB5661" s="20"/>
      <c r="AC5661" s="73"/>
    </row>
    <row r="5662" spans="1:29">
      <c r="A5662" s="327" t="str">
        <f>IF(AND($B5662&lt;&gt;"",$C5662&lt;&gt;""),MAX($A$4730:$A5661)+1,"")</f>
        <v/>
      </c>
      <c r="B5662" s="361" t="s">
        <v>1868</v>
      </c>
      <c r="C5662" s="362"/>
      <c r="D5662" s="327">
        <f>IF($B5662="","",COUNTIF($B$4731:$B5662,$B5662))</f>
        <v>15</v>
      </c>
      <c r="E5662" s="361" t="s">
        <v>154</v>
      </c>
      <c r="F5662" s="362" t="s">
        <v>660</v>
      </c>
      <c r="G5662" s="327" t="s">
        <v>661</v>
      </c>
      <c r="H5662" s="361" t="s">
        <v>536</v>
      </c>
      <c r="I5662" s="361" t="s">
        <v>667</v>
      </c>
      <c r="J5662" s="361"/>
      <c r="K5662" s="327" t="s">
        <v>662</v>
      </c>
      <c r="L5662" s="478">
        <v>20</v>
      </c>
      <c r="M5662" s="355"/>
      <c r="N5662" s="355" t="s">
        <v>2409</v>
      </c>
      <c r="O5662" s="345"/>
      <c r="P5662" s="325"/>
      <c r="Q5662" s="327"/>
      <c r="R5662" s="351"/>
      <c r="S5662" s="351"/>
      <c r="T5662" s="351"/>
      <c r="U5662" s="329" t="str">
        <f>IF($N5662=$N$4,IFERROR(INDEX(DanhMuc!$E$154:$E$165,MATCH(MID($B5662,4,2),DanhMuc!$B$154:$B$165,0)),""),"")</f>
        <v/>
      </c>
      <c r="V5662" s="361"/>
      <c r="W5662" s="345"/>
      <c r="X5662" s="786"/>
      <c r="Y5662" s="1128" t="s">
        <v>3380</v>
      </c>
      <c r="Z5662" s="1128" t="s">
        <v>3381</v>
      </c>
      <c r="AA5662" s="1128" t="s">
        <v>3384</v>
      </c>
      <c r="AB5662" s="20"/>
      <c r="AC5662" s="73"/>
    </row>
    <row r="5663" spans="1:29">
      <c r="A5663" s="327" t="str">
        <f>IF(AND($B5663&lt;&gt;"",$C5663&lt;&gt;""),MAX($A$4730:$A5662)+1,"")</f>
        <v/>
      </c>
      <c r="B5663" s="361" t="s">
        <v>1868</v>
      </c>
      <c r="C5663" s="362"/>
      <c r="D5663" s="327">
        <f>IF($B5663="","",COUNTIF($B$4731:$B5663,$B5663))</f>
        <v>16</v>
      </c>
      <c r="E5663" s="362" t="s">
        <v>2282</v>
      </c>
      <c r="F5663" s="362" t="s">
        <v>2283</v>
      </c>
      <c r="G5663" s="327" t="s">
        <v>424</v>
      </c>
      <c r="H5663" s="361" t="s">
        <v>536</v>
      </c>
      <c r="I5663" s="361" t="s">
        <v>2238</v>
      </c>
      <c r="J5663" s="361"/>
      <c r="K5663" s="327" t="s">
        <v>662</v>
      </c>
      <c r="L5663" s="478">
        <v>28000</v>
      </c>
      <c r="M5663" s="355"/>
      <c r="N5663" s="355" t="s">
        <v>2409</v>
      </c>
      <c r="O5663" s="345"/>
      <c r="P5663" s="325"/>
      <c r="Q5663" s="327"/>
      <c r="R5663" s="351"/>
      <c r="S5663" s="351"/>
      <c r="T5663" s="351"/>
      <c r="U5663" s="329" t="str">
        <f>IF($N5663=$N$4,IFERROR(INDEX(DanhMuc!$E$154:$E$165,MATCH(MID($B5663,4,2),DanhMuc!$B$154:$B$165,0)),""),"")</f>
        <v/>
      </c>
      <c r="V5663" s="361"/>
      <c r="W5663" s="345"/>
      <c r="X5663" s="786"/>
      <c r="Y5663" s="1128" t="s">
        <v>3380</v>
      </c>
      <c r="Z5663" s="1128" t="s">
        <v>3381</v>
      </c>
      <c r="AA5663" s="1128" t="s">
        <v>3384</v>
      </c>
      <c r="AB5663" s="20"/>
      <c r="AC5663" s="73"/>
    </row>
    <row r="5664" spans="1:29">
      <c r="A5664" s="327" t="str">
        <f>IF(AND($B5664&lt;&gt;"",$C5664&lt;&gt;""),MAX($A$4730:$A5663)+1,"")</f>
        <v/>
      </c>
      <c r="B5664" s="361" t="s">
        <v>1868</v>
      </c>
      <c r="C5664" s="362"/>
      <c r="D5664" s="327">
        <f>IF($B5664="","",COUNTIF($B$4731:$B5664,$B5664))</f>
        <v>17</v>
      </c>
      <c r="E5664" s="362" t="s">
        <v>663</v>
      </c>
      <c r="F5664" s="362" t="s">
        <v>664</v>
      </c>
      <c r="G5664" s="327" t="s">
        <v>155</v>
      </c>
      <c r="H5664" s="361" t="s">
        <v>536</v>
      </c>
      <c r="I5664" s="361" t="s">
        <v>672</v>
      </c>
      <c r="J5664" s="361"/>
      <c r="K5664" s="327" t="s">
        <v>662</v>
      </c>
      <c r="L5664" s="478">
        <v>1000</v>
      </c>
      <c r="M5664" s="355"/>
      <c r="N5664" s="355" t="s">
        <v>2409</v>
      </c>
      <c r="O5664" s="345"/>
      <c r="P5664" s="325"/>
      <c r="Q5664" s="327"/>
      <c r="R5664" s="351"/>
      <c r="S5664" s="351"/>
      <c r="T5664" s="351"/>
      <c r="U5664" s="329" t="str">
        <f>IF($N5664=$N$4,IFERROR(INDEX(DanhMuc!$E$154:$E$165,MATCH(MID($B5664,4,2),DanhMuc!$B$154:$B$165,0)),""),"")</f>
        <v/>
      </c>
      <c r="V5664" s="361"/>
      <c r="W5664" s="345"/>
      <c r="X5664" s="786"/>
      <c r="Y5664" s="1128" t="s">
        <v>3380</v>
      </c>
      <c r="Z5664" s="1128" t="s">
        <v>3381</v>
      </c>
      <c r="AA5664" s="1128" t="s">
        <v>3384</v>
      </c>
      <c r="AB5664" s="20"/>
      <c r="AC5664" s="73"/>
    </row>
    <row r="5665" spans="1:29" ht="39">
      <c r="A5665" s="327">
        <f>IF(AND($B5665&lt;&gt;"",$C5665&lt;&gt;""),MAX($A$4730:$A5655)+1,"")</f>
        <v>36</v>
      </c>
      <c r="B5665" s="359" t="s">
        <v>1872</v>
      </c>
      <c r="C5665" s="360" t="s">
        <v>1899</v>
      </c>
      <c r="D5665" s="327">
        <f>IF($B5665="","",COUNTIF($B$4731:$B5665,$B5665))</f>
        <v>1</v>
      </c>
      <c r="E5665" s="480" t="s">
        <v>2858</v>
      </c>
      <c r="F5665" s="403" t="s">
        <v>2859</v>
      </c>
      <c r="G5665" s="327" t="s">
        <v>155</v>
      </c>
      <c r="H5665" s="361" t="s">
        <v>536</v>
      </c>
      <c r="I5665" s="327">
        <v>4</v>
      </c>
      <c r="J5665" s="361"/>
      <c r="K5665" s="327" t="s">
        <v>100</v>
      </c>
      <c r="L5665" s="389">
        <v>7100</v>
      </c>
      <c r="M5665" s="355"/>
      <c r="N5665" s="355" t="s">
        <v>2408</v>
      </c>
      <c r="O5665" s="345" t="s">
        <v>2777</v>
      </c>
      <c r="P5665" s="325"/>
      <c r="Q5665" s="327"/>
      <c r="R5665" s="351"/>
      <c r="S5665" s="351"/>
      <c r="T5665" s="351"/>
      <c r="U5665" s="329" t="str">
        <f>IF($N5665=$N$4,IFERROR(INDEX(DanhMuc!$E$154:$E$165,MATCH(MID($B5665,4,2),DanhMuc!$B$154:$B$165,0)),""),"")</f>
        <v/>
      </c>
      <c r="V5665" s="361"/>
      <c r="W5665" s="345"/>
      <c r="X5665" s="786"/>
      <c r="Y5665" s="1128" t="s">
        <v>3380</v>
      </c>
      <c r="Z5665" s="1128" t="s">
        <v>3381</v>
      </c>
      <c r="AA5665" s="1128" t="s">
        <v>3384</v>
      </c>
      <c r="AB5665" s="20"/>
      <c r="AC5665" s="73"/>
    </row>
    <row r="5666" spans="1:29" ht="25">
      <c r="A5666" s="327" t="str">
        <f>IF(AND($B5666&lt;&gt;"",$C5666&lt;&gt;""),MAX($A$4730:$A5656)+1,"")</f>
        <v/>
      </c>
      <c r="B5666" s="361" t="s">
        <v>1872</v>
      </c>
      <c r="C5666" s="360"/>
      <c r="D5666" s="327">
        <f>IF($B5666="","",COUNTIF($B$4731:$B5666,$B5666))</f>
        <v>2</v>
      </c>
      <c r="E5666" s="480" t="s">
        <v>2304</v>
      </c>
      <c r="F5666" s="403" t="s">
        <v>2335</v>
      </c>
      <c r="G5666" s="327" t="s">
        <v>155</v>
      </c>
      <c r="H5666" s="361" t="s">
        <v>536</v>
      </c>
      <c r="I5666" s="327">
        <v>4</v>
      </c>
      <c r="J5666" s="361"/>
      <c r="K5666" s="327" t="s">
        <v>100</v>
      </c>
      <c r="L5666" s="389">
        <v>7100</v>
      </c>
      <c r="M5666" s="355"/>
      <c r="N5666" s="355" t="s">
        <v>2408</v>
      </c>
      <c r="O5666" s="345" t="s">
        <v>2776</v>
      </c>
      <c r="P5666" s="325"/>
      <c r="Q5666" s="327"/>
      <c r="R5666" s="351"/>
      <c r="S5666" s="351"/>
      <c r="T5666" s="351"/>
      <c r="U5666" s="329" t="str">
        <f>IF($N5666=$N$4,IFERROR(INDEX(DanhMuc!$E$154:$E$165,MATCH(MID($B5666,4,2),DanhMuc!$B$154:$B$165,0)),""),"")</f>
        <v/>
      </c>
      <c r="V5666" s="361"/>
      <c r="W5666" s="345"/>
      <c r="X5666" s="786"/>
      <c r="Y5666" s="1128" t="s">
        <v>3380</v>
      </c>
      <c r="Z5666" s="1128" t="s">
        <v>3381</v>
      </c>
      <c r="AA5666" s="1128" t="s">
        <v>3384</v>
      </c>
      <c r="AB5666" s="20"/>
      <c r="AC5666" s="73"/>
    </row>
    <row r="5667" spans="1:29">
      <c r="A5667" s="327" t="str">
        <f>IF(AND($B5667&lt;&gt;"",$C5667&lt;&gt;""),MAX($A$4730:$A5666)+1,"")</f>
        <v/>
      </c>
      <c r="B5667" s="361" t="s">
        <v>1872</v>
      </c>
      <c r="C5667" s="360"/>
      <c r="D5667" s="327">
        <f>IF($B5667="","",COUNTIF($B$4731:$B5667,$B5667))</f>
        <v>3</v>
      </c>
      <c r="E5667" s="402" t="s">
        <v>2788</v>
      </c>
      <c r="F5667" s="403" t="s">
        <v>2789</v>
      </c>
      <c r="G5667" s="327" t="s">
        <v>155</v>
      </c>
      <c r="H5667" s="361" t="s">
        <v>536</v>
      </c>
      <c r="I5667" s="327">
        <f>4*I5666</f>
        <v>16</v>
      </c>
      <c r="J5667" s="361"/>
      <c r="K5667" s="327" t="s">
        <v>100</v>
      </c>
      <c r="L5667" s="389">
        <v>600</v>
      </c>
      <c r="M5667" s="355"/>
      <c r="N5667" s="355" t="s">
        <v>2408</v>
      </c>
      <c r="O5667" s="345" t="s">
        <v>2776</v>
      </c>
      <c r="P5667" s="325"/>
      <c r="Q5667" s="327"/>
      <c r="R5667" s="351"/>
      <c r="S5667" s="351"/>
      <c r="T5667" s="351"/>
      <c r="U5667" s="329" t="str">
        <f>IF($N5667=$N$4,IFERROR(INDEX(DanhMuc!$E$154:$E$165,MATCH(MID($B5667,4,2),DanhMuc!$B$154:$B$165,0)),""),"")</f>
        <v/>
      </c>
      <c r="V5667" s="361"/>
      <c r="W5667" s="345"/>
      <c r="X5667" s="786"/>
      <c r="Y5667" s="1128" t="s">
        <v>3380</v>
      </c>
      <c r="Z5667" s="1128" t="s">
        <v>3381</v>
      </c>
      <c r="AA5667" s="1128" t="s">
        <v>3384</v>
      </c>
      <c r="AB5667" s="20"/>
      <c r="AC5667" s="73"/>
    </row>
    <row r="5668" spans="1:29">
      <c r="A5668" s="327" t="str">
        <f>IF(AND($B5668&lt;&gt;"",$C5668&lt;&gt;""),MAX($A$4730:$A5656)+1,"")</f>
        <v/>
      </c>
      <c r="B5668" s="361" t="s">
        <v>1872</v>
      </c>
      <c r="C5668" s="360"/>
      <c r="D5668" s="327">
        <f>IF($B5668="","",COUNTIF($B$4731:$B5668,$B5668))</f>
        <v>4</v>
      </c>
      <c r="E5668" s="480" t="s">
        <v>2860</v>
      </c>
      <c r="F5668" s="403" t="s">
        <v>2861</v>
      </c>
      <c r="G5668" s="327" t="s">
        <v>155</v>
      </c>
      <c r="H5668" s="361" t="s">
        <v>536</v>
      </c>
      <c r="I5668" s="327">
        <v>8</v>
      </c>
      <c r="J5668" s="361"/>
      <c r="K5668" s="327" t="s">
        <v>101</v>
      </c>
      <c r="L5668" s="389">
        <v>5100</v>
      </c>
      <c r="M5668" s="355"/>
      <c r="N5668" s="355" t="s">
        <v>2408</v>
      </c>
      <c r="O5668" s="345" t="s">
        <v>2779</v>
      </c>
      <c r="P5668" s="325"/>
      <c r="Q5668" s="327"/>
      <c r="R5668" s="351"/>
      <c r="S5668" s="351"/>
      <c r="T5668" s="351"/>
      <c r="U5668" s="329" t="str">
        <f>IF($N5668=$N$4,IFERROR(INDEX(DanhMuc!$E$154:$E$165,MATCH(MID($B5668,4,2),DanhMuc!$B$154:$B$165,0)),""),"")</f>
        <v/>
      </c>
      <c r="V5668" s="361"/>
      <c r="W5668" s="345"/>
      <c r="X5668" s="786"/>
      <c r="Y5668" s="1128" t="s">
        <v>3380</v>
      </c>
      <c r="Z5668" s="1128" t="s">
        <v>3381</v>
      </c>
      <c r="AA5668" s="1128" t="s">
        <v>3384</v>
      </c>
      <c r="AB5668" s="20"/>
      <c r="AC5668" s="73"/>
    </row>
    <row r="5669" spans="1:29">
      <c r="A5669" s="327" t="str">
        <f>IF(AND($B5669&lt;&gt;"",$C5669&lt;&gt;""),MAX($A$4730:$A5657)+1,"")</f>
        <v/>
      </c>
      <c r="B5669" s="361" t="s">
        <v>1872</v>
      </c>
      <c r="C5669" s="360"/>
      <c r="D5669" s="327">
        <f>IF($B5669="","",COUNTIF($B$4731:$B5669,$B5669))</f>
        <v>5</v>
      </c>
      <c r="E5669" s="480" t="s">
        <v>2305</v>
      </c>
      <c r="F5669" s="403" t="s">
        <v>2862</v>
      </c>
      <c r="G5669" s="327" t="s">
        <v>155</v>
      </c>
      <c r="H5669" s="361" t="s">
        <v>536</v>
      </c>
      <c r="I5669" s="327">
        <v>8</v>
      </c>
      <c r="J5669" s="361"/>
      <c r="K5669" s="327" t="s">
        <v>101</v>
      </c>
      <c r="L5669" s="389">
        <v>5100</v>
      </c>
      <c r="M5669" s="355"/>
      <c r="N5669" s="355" t="s">
        <v>2408</v>
      </c>
      <c r="O5669" s="345" t="s">
        <v>2778</v>
      </c>
      <c r="P5669" s="325"/>
      <c r="Q5669" s="327"/>
      <c r="R5669" s="351"/>
      <c r="S5669" s="351"/>
      <c r="T5669" s="351"/>
      <c r="U5669" s="329" t="str">
        <f>IF($N5669=$N$4,IFERROR(INDEX(DanhMuc!$E$154:$E$165,MATCH(MID($B5669,4,2),DanhMuc!$B$154:$B$165,0)),""),"")</f>
        <v/>
      </c>
      <c r="V5669" s="361"/>
      <c r="W5669" s="345"/>
      <c r="X5669" s="786"/>
      <c r="Y5669" s="1128" t="s">
        <v>3380</v>
      </c>
      <c r="Z5669" s="1128" t="s">
        <v>3381</v>
      </c>
      <c r="AA5669" s="1128" t="s">
        <v>3384</v>
      </c>
      <c r="AB5669" s="20"/>
      <c r="AC5669" s="73"/>
    </row>
    <row r="5670" spans="1:29">
      <c r="A5670" s="327" t="str">
        <f>IF(AND($B5670&lt;&gt;"",$C5670&lt;&gt;""),MAX($A$4730:$A5668)+1,"")</f>
        <v/>
      </c>
      <c r="B5670" s="361" t="s">
        <v>1872</v>
      </c>
      <c r="C5670" s="360"/>
      <c r="D5670" s="327">
        <f>IF($B5670="","",COUNTIF($B$4731:$B5670,$B5670))</f>
        <v>6</v>
      </c>
      <c r="E5670" s="402" t="s">
        <v>2788</v>
      </c>
      <c r="F5670" s="403" t="s">
        <v>2789</v>
      </c>
      <c r="G5670" s="327" t="s">
        <v>155</v>
      </c>
      <c r="H5670" s="361" t="s">
        <v>536</v>
      </c>
      <c r="I5670" s="327">
        <f>4*I5669</f>
        <v>32</v>
      </c>
      <c r="J5670" s="361"/>
      <c r="K5670" s="327" t="s">
        <v>101</v>
      </c>
      <c r="L5670" s="389">
        <v>600</v>
      </c>
      <c r="M5670" s="355"/>
      <c r="N5670" s="355" t="s">
        <v>2408</v>
      </c>
      <c r="O5670" s="345" t="s">
        <v>2778</v>
      </c>
      <c r="P5670" s="325"/>
      <c r="Q5670" s="327"/>
      <c r="R5670" s="351"/>
      <c r="S5670" s="351"/>
      <c r="T5670" s="351"/>
      <c r="U5670" s="329" t="str">
        <f>IF($N5670=$N$4,IFERROR(INDEX(DanhMuc!$E$154:$E$165,MATCH(MID($B5670,4,2),DanhMuc!$B$154:$B$165,0)),""),"")</f>
        <v/>
      </c>
      <c r="V5670" s="361"/>
      <c r="W5670" s="345"/>
      <c r="X5670" s="786"/>
      <c r="Y5670" s="1128" t="s">
        <v>3380</v>
      </c>
      <c r="Z5670" s="1128" t="s">
        <v>3381</v>
      </c>
      <c r="AA5670" s="1128" t="s">
        <v>3384</v>
      </c>
      <c r="AB5670" s="20"/>
      <c r="AC5670" s="73"/>
    </row>
    <row r="5671" spans="1:29">
      <c r="A5671" s="327" t="str">
        <f>IF(AND($B5671&lt;&gt;"",$C5671&lt;&gt;""),MAX($A$4730:$A5656)+1,"")</f>
        <v/>
      </c>
      <c r="B5671" s="361" t="s">
        <v>1872</v>
      </c>
      <c r="C5671" s="360"/>
      <c r="D5671" s="327">
        <f>IF($B5671="","",COUNTIF($B$4731:$B5671,$B5671))</f>
        <v>7</v>
      </c>
      <c r="E5671" s="361" t="s">
        <v>2338</v>
      </c>
      <c r="F5671" s="362" t="s">
        <v>2331</v>
      </c>
      <c r="G5671" s="327" t="s">
        <v>155</v>
      </c>
      <c r="H5671" s="361" t="s">
        <v>536</v>
      </c>
      <c r="I5671" s="327">
        <v>16</v>
      </c>
      <c r="J5671" s="361"/>
      <c r="K5671" s="327" t="s">
        <v>101</v>
      </c>
      <c r="L5671" s="389">
        <v>750</v>
      </c>
      <c r="M5671" s="355"/>
      <c r="N5671" s="355" t="s">
        <v>2408</v>
      </c>
      <c r="O5671" s="345"/>
      <c r="P5671" s="325"/>
      <c r="Q5671" s="327"/>
      <c r="R5671" s="351"/>
      <c r="S5671" s="351"/>
      <c r="T5671" s="351"/>
      <c r="U5671" s="329" t="str">
        <f>IF($N5671=$N$4,IFERROR(INDEX(DanhMuc!$E$154:$E$165,MATCH(MID($B5671,4,2),DanhMuc!$B$154:$B$165,0)),""),"")</f>
        <v/>
      </c>
      <c r="V5671" s="361"/>
      <c r="W5671" s="345"/>
      <c r="X5671" s="786"/>
      <c r="Y5671" s="1128" t="s">
        <v>3380</v>
      </c>
      <c r="Z5671" s="1128" t="s">
        <v>3381</v>
      </c>
      <c r="AA5671" s="1128" t="s">
        <v>3384</v>
      </c>
      <c r="AB5671" s="20"/>
      <c r="AC5671" s="73"/>
    </row>
    <row r="5672" spans="1:29">
      <c r="A5672" s="327" t="str">
        <f>IF(AND($B5672&lt;&gt;"",$C5672&lt;&gt;""),MAX($A$4730:$A5671)+1,"")</f>
        <v/>
      </c>
      <c r="B5672" s="361" t="s">
        <v>1872</v>
      </c>
      <c r="C5672" s="362"/>
      <c r="D5672" s="327">
        <f>IF($B5672="","",COUNTIF($B$4731:$B5672,$B5672))</f>
        <v>8</v>
      </c>
      <c r="E5672" s="361" t="s">
        <v>654</v>
      </c>
      <c r="F5672" s="362" t="s">
        <v>653</v>
      </c>
      <c r="G5672" s="327" t="s">
        <v>1836</v>
      </c>
      <c r="H5672" s="361" t="s">
        <v>536</v>
      </c>
      <c r="I5672" s="327">
        <f>I5665/45</f>
        <v>8.8888888888888892E-2</v>
      </c>
      <c r="J5672" s="477"/>
      <c r="K5672" s="327" t="s">
        <v>655</v>
      </c>
      <c r="L5672" s="478">
        <v>115000</v>
      </c>
      <c r="M5672" s="355"/>
      <c r="N5672" s="355" t="s">
        <v>2408</v>
      </c>
      <c r="O5672" s="345" t="s">
        <v>2777</v>
      </c>
      <c r="P5672" s="325"/>
      <c r="Q5672" s="327"/>
      <c r="R5672" s="351"/>
      <c r="S5672" s="351"/>
      <c r="T5672" s="351"/>
      <c r="U5672" s="329" t="str">
        <f>IF($N5672=$N$4,IFERROR(INDEX(DanhMuc!$E$154:$E$165,MATCH(MID($B5672,4,2),DanhMuc!$B$154:$B$165,0)),""),"")</f>
        <v/>
      </c>
      <c r="V5672" s="361"/>
      <c r="W5672" s="345"/>
      <c r="X5672" s="786"/>
      <c r="Y5672" s="1128" t="s">
        <v>3380</v>
      </c>
      <c r="Z5672" s="1128" t="s">
        <v>3381</v>
      </c>
      <c r="AA5672" s="1128" t="s">
        <v>3384</v>
      </c>
      <c r="AB5672" s="20"/>
      <c r="AC5672" s="73"/>
    </row>
    <row r="5673" spans="1:29">
      <c r="A5673" s="327" t="str">
        <f>IF(AND($B5673&lt;&gt;"",$C5673&lt;&gt;""),MAX($A$4730:$A5672)+1,"")</f>
        <v/>
      </c>
      <c r="B5673" s="361" t="s">
        <v>1872</v>
      </c>
      <c r="C5673" s="362"/>
      <c r="D5673" s="327">
        <f>IF($B5673="","",COUNTIF($B$4731:$B5673,$B5673))</f>
        <v>9</v>
      </c>
      <c r="E5673" s="361" t="s">
        <v>654</v>
      </c>
      <c r="F5673" s="362" t="s">
        <v>653</v>
      </c>
      <c r="G5673" s="327" t="s">
        <v>1836</v>
      </c>
      <c r="H5673" s="361" t="s">
        <v>536</v>
      </c>
      <c r="I5673" s="327">
        <f>I5668/45</f>
        <v>0.17777777777777778</v>
      </c>
      <c r="J5673" s="477"/>
      <c r="K5673" s="327" t="s">
        <v>655</v>
      </c>
      <c r="L5673" s="478">
        <v>115000</v>
      </c>
      <c r="M5673" s="355"/>
      <c r="N5673" s="355" t="s">
        <v>2408</v>
      </c>
      <c r="O5673" s="345" t="s">
        <v>2779</v>
      </c>
      <c r="P5673" s="325"/>
      <c r="Q5673" s="327"/>
      <c r="R5673" s="351"/>
      <c r="S5673" s="351"/>
      <c r="T5673" s="351"/>
      <c r="U5673" s="329" t="str">
        <f>IF($N5673=$N$4,IFERROR(INDEX(DanhMuc!$E$154:$E$165,MATCH(MID($B5673,4,2),DanhMuc!$B$154:$B$165,0)),""),"")</f>
        <v/>
      </c>
      <c r="V5673" s="361"/>
      <c r="W5673" s="345"/>
      <c r="X5673" s="786"/>
      <c r="Y5673" s="1128" t="s">
        <v>3380</v>
      </c>
      <c r="Z5673" s="1128" t="s">
        <v>3381</v>
      </c>
      <c r="AA5673" s="1128" t="s">
        <v>3384</v>
      </c>
      <c r="AB5673" s="20"/>
      <c r="AC5673" s="73"/>
    </row>
    <row r="5674" spans="1:29">
      <c r="A5674" s="327" t="str">
        <f>IF(AND($B5674&lt;&gt;"",$C5674&lt;&gt;""),MAX($A$4730:$A5657)+1,"")</f>
        <v/>
      </c>
      <c r="B5674" s="361" t="s">
        <v>1872</v>
      </c>
      <c r="C5674" s="360"/>
      <c r="D5674" s="327">
        <f>IF($B5674="","",COUNTIF($B$4731:$B5674,$B5674))</f>
        <v>10</v>
      </c>
      <c r="E5674" s="361" t="s">
        <v>1826</v>
      </c>
      <c r="F5674" s="362" t="s">
        <v>670</v>
      </c>
      <c r="G5674" s="327" t="s">
        <v>661</v>
      </c>
      <c r="H5674" s="361" t="s">
        <v>536</v>
      </c>
      <c r="I5674" s="361" t="s">
        <v>2354</v>
      </c>
      <c r="J5674" s="361"/>
      <c r="K5674" s="327" t="s">
        <v>103</v>
      </c>
      <c r="L5674" s="478">
        <f>40000/1000</f>
        <v>40</v>
      </c>
      <c r="M5674" s="355"/>
      <c r="N5674" s="355" t="s">
        <v>2408</v>
      </c>
      <c r="O5674" s="345"/>
      <c r="P5674" s="325"/>
      <c r="Q5674" s="327"/>
      <c r="R5674" s="351"/>
      <c r="S5674" s="351"/>
      <c r="T5674" s="351"/>
      <c r="U5674" s="329" t="str">
        <f>IF($N5674=$N$4,IFERROR(INDEX(DanhMuc!$E$154:$E$165,MATCH(MID($B5674,4,2),DanhMuc!$B$154:$B$165,0)),""),"")</f>
        <v/>
      </c>
      <c r="V5674" s="361"/>
      <c r="W5674" s="345"/>
      <c r="X5674" s="786"/>
      <c r="Y5674" s="1128" t="s">
        <v>3380</v>
      </c>
      <c r="Z5674" s="1128" t="s">
        <v>3381</v>
      </c>
      <c r="AA5674" s="1128" t="s">
        <v>3384</v>
      </c>
      <c r="AB5674" s="20"/>
      <c r="AC5674" s="73"/>
    </row>
    <row r="5675" spans="1:29" ht="37.5">
      <c r="A5675" s="327" t="str">
        <f>IF(AND($B5675&lt;&gt;"",$C5675&lt;&gt;""),MAX($A$4730:$A5658)+1,"")</f>
        <v/>
      </c>
      <c r="B5675" s="361" t="s">
        <v>1872</v>
      </c>
      <c r="C5675" s="360"/>
      <c r="D5675" s="327">
        <f>IF($B5675="","",COUNTIF($B$4731:$B5675,$B5675))</f>
        <v>11</v>
      </c>
      <c r="E5675" s="362" t="s">
        <v>1964</v>
      </c>
      <c r="F5675" s="362" t="s">
        <v>1965</v>
      </c>
      <c r="G5675" s="327" t="s">
        <v>405</v>
      </c>
      <c r="H5675" s="361" t="s">
        <v>536</v>
      </c>
      <c r="I5675" s="361" t="s">
        <v>693</v>
      </c>
      <c r="J5675" s="361"/>
      <c r="K5675" s="327" t="s">
        <v>223</v>
      </c>
      <c r="L5675" s="478">
        <v>140</v>
      </c>
      <c r="M5675" s="371"/>
      <c r="N5675" s="355" t="s">
        <v>2408</v>
      </c>
      <c r="O5675" s="345"/>
      <c r="P5675" s="325"/>
      <c r="Q5675" s="327"/>
      <c r="R5675" s="351"/>
      <c r="S5675" s="351"/>
      <c r="T5675" s="351"/>
      <c r="U5675" s="329" t="str">
        <f>IF($N5675=$N$4,IFERROR(INDEX(DanhMuc!$E$154:$E$165,MATCH(MID($B5675,4,2),DanhMuc!$B$154:$B$165,0)),""),"")</f>
        <v/>
      </c>
      <c r="V5675" s="361"/>
      <c r="W5675" s="345"/>
      <c r="X5675" s="786"/>
      <c r="Y5675" s="1128" t="s">
        <v>3380</v>
      </c>
      <c r="Z5675" s="1128" t="s">
        <v>3381</v>
      </c>
      <c r="AA5675" s="1128" t="s">
        <v>3384</v>
      </c>
      <c r="AB5675" s="20"/>
      <c r="AC5675" s="73"/>
    </row>
    <row r="5676" spans="1:29" ht="37.5">
      <c r="A5676" s="327" t="str">
        <f>IF(AND($B5676&lt;&gt;"",$C5676&lt;&gt;""),MAX($A$4730:$A5659)+1,"")</f>
        <v/>
      </c>
      <c r="B5676" s="361" t="s">
        <v>1872</v>
      </c>
      <c r="C5676" s="360"/>
      <c r="D5676" s="327">
        <f>IF($B5676="","",COUNTIF($B$4731:$B5676,$B5676))</f>
        <v>12</v>
      </c>
      <c r="E5676" s="362" t="s">
        <v>2756</v>
      </c>
      <c r="F5676" s="362" t="s">
        <v>2757</v>
      </c>
      <c r="G5676" s="327" t="s">
        <v>405</v>
      </c>
      <c r="H5676" s="361" t="s">
        <v>536</v>
      </c>
      <c r="I5676" s="361" t="s">
        <v>694</v>
      </c>
      <c r="J5676" s="361"/>
      <c r="K5676" s="327" t="s">
        <v>738</v>
      </c>
      <c r="L5676" s="479">
        <v>322</v>
      </c>
      <c r="M5676" s="371"/>
      <c r="N5676" s="355" t="s">
        <v>2408</v>
      </c>
      <c r="O5676" s="345"/>
      <c r="P5676" s="325"/>
      <c r="Q5676" s="327"/>
      <c r="R5676" s="351"/>
      <c r="S5676" s="351"/>
      <c r="T5676" s="351"/>
      <c r="U5676" s="329" t="str">
        <f>IF($N5676=$N$4,IFERROR(INDEX(DanhMuc!$E$154:$E$165,MATCH(MID($B5676,4,2),DanhMuc!$B$154:$B$165,0)),""),"")</f>
        <v/>
      </c>
      <c r="V5676" s="361"/>
      <c r="W5676" s="345"/>
      <c r="X5676" s="786"/>
      <c r="Y5676" s="1128" t="s">
        <v>3380</v>
      </c>
      <c r="Z5676" s="1128" t="s">
        <v>3381</v>
      </c>
      <c r="AA5676" s="1128" t="s">
        <v>3384</v>
      </c>
      <c r="AB5676" s="20"/>
      <c r="AC5676" s="73"/>
    </row>
    <row r="5677" spans="1:29">
      <c r="A5677" s="327" t="str">
        <f>IF(AND($B5677&lt;&gt;"",$C5677&lt;&gt;""),MAX($A$4730:$A5660)+1,"")</f>
        <v/>
      </c>
      <c r="B5677" s="361" t="s">
        <v>1872</v>
      </c>
      <c r="C5677" s="360"/>
      <c r="D5677" s="327">
        <f>IF($B5677="","",COUNTIF($B$4731:$B5677,$B5677))</f>
        <v>13</v>
      </c>
      <c r="E5677" s="361" t="s">
        <v>656</v>
      </c>
      <c r="F5677" s="362" t="s">
        <v>2239</v>
      </c>
      <c r="G5677" s="327" t="s">
        <v>405</v>
      </c>
      <c r="H5677" s="361" t="s">
        <v>536</v>
      </c>
      <c r="I5677" s="361" t="s">
        <v>1827</v>
      </c>
      <c r="J5677" s="361"/>
      <c r="K5677" s="327" t="s">
        <v>100</v>
      </c>
      <c r="L5677" s="478">
        <v>970</v>
      </c>
      <c r="M5677" s="371"/>
      <c r="N5677" s="355" t="s">
        <v>2409</v>
      </c>
      <c r="O5677" s="345"/>
      <c r="P5677" s="325"/>
      <c r="Q5677" s="327"/>
      <c r="R5677" s="351"/>
      <c r="S5677" s="351"/>
      <c r="T5677" s="351"/>
      <c r="U5677" s="329" t="str">
        <f>IF($N5677=$N$4,IFERROR(INDEX(DanhMuc!$E$154:$E$165,MATCH(MID($B5677,4,2),DanhMuc!$B$154:$B$165,0)),""),"")</f>
        <v/>
      </c>
      <c r="V5677" s="361"/>
      <c r="W5677" s="345"/>
      <c r="X5677" s="786"/>
      <c r="Y5677" s="1128" t="s">
        <v>3380</v>
      </c>
      <c r="Z5677" s="1128" t="s">
        <v>3381</v>
      </c>
      <c r="AA5677" s="1128" t="s">
        <v>3384</v>
      </c>
      <c r="AB5677" s="20"/>
      <c r="AC5677" s="73"/>
    </row>
    <row r="5678" spans="1:29">
      <c r="A5678" s="327" t="str">
        <f>IF(AND($B5678&lt;&gt;"",$C5678&lt;&gt;""),MAX($A$4730:$A5661)+1,"")</f>
        <v/>
      </c>
      <c r="B5678" s="361" t="s">
        <v>1872</v>
      </c>
      <c r="C5678" s="360"/>
      <c r="D5678" s="327">
        <f>IF($B5678="","",COUNTIF($B$4731:$B5678,$B5678))</f>
        <v>14</v>
      </c>
      <c r="E5678" s="361" t="s">
        <v>657</v>
      </c>
      <c r="F5678" s="362" t="s">
        <v>658</v>
      </c>
      <c r="G5678" s="327" t="s">
        <v>424</v>
      </c>
      <c r="H5678" s="361" t="s">
        <v>536</v>
      </c>
      <c r="I5678" s="361" t="s">
        <v>665</v>
      </c>
      <c r="J5678" s="361"/>
      <c r="K5678" s="327" t="s">
        <v>100</v>
      </c>
      <c r="L5678" s="478">
        <v>60000</v>
      </c>
      <c r="M5678" s="355"/>
      <c r="N5678" s="355" t="s">
        <v>2409</v>
      </c>
      <c r="O5678" s="345"/>
      <c r="P5678" s="325"/>
      <c r="Q5678" s="327"/>
      <c r="R5678" s="351"/>
      <c r="S5678" s="351"/>
      <c r="T5678" s="351"/>
      <c r="U5678" s="329" t="str">
        <f>IF($N5678=$N$4,IFERROR(INDEX(DanhMuc!$E$154:$E$165,MATCH(MID($B5678,4,2),DanhMuc!$B$154:$B$165,0)),""),"")</f>
        <v/>
      </c>
      <c r="V5678" s="361"/>
      <c r="W5678" s="345"/>
      <c r="X5678" s="786"/>
      <c r="Y5678" s="1128" t="s">
        <v>3380</v>
      </c>
      <c r="Z5678" s="1128" t="s">
        <v>3381</v>
      </c>
      <c r="AA5678" s="1128" t="s">
        <v>3384</v>
      </c>
      <c r="AB5678" s="20"/>
      <c r="AC5678" s="73"/>
    </row>
    <row r="5679" spans="1:29">
      <c r="A5679" s="327" t="str">
        <f>IF(AND($B5679&lt;&gt;"",$C5679&lt;&gt;""),MAX($A$4730:$A5678)+1,"")</f>
        <v/>
      </c>
      <c r="B5679" s="361" t="s">
        <v>1872</v>
      </c>
      <c r="C5679" s="362"/>
      <c r="D5679" s="327">
        <f>IF($B5679="","",COUNTIF($B$4731:$B5679,$B5679))</f>
        <v>15</v>
      </c>
      <c r="E5679" s="361" t="s">
        <v>2771</v>
      </c>
      <c r="F5679" s="362" t="s">
        <v>659</v>
      </c>
      <c r="G5679" s="327" t="s">
        <v>424</v>
      </c>
      <c r="H5679" s="361" t="s">
        <v>536</v>
      </c>
      <c r="I5679" s="361" t="s">
        <v>666</v>
      </c>
      <c r="J5679" s="361"/>
      <c r="K5679" s="327" t="s">
        <v>100</v>
      </c>
      <c r="L5679" s="389">
        <v>53000</v>
      </c>
      <c r="M5679" s="355"/>
      <c r="N5679" s="355" t="s">
        <v>2409</v>
      </c>
      <c r="O5679" s="345"/>
      <c r="P5679" s="325"/>
      <c r="Q5679" s="327"/>
      <c r="R5679" s="351"/>
      <c r="S5679" s="351"/>
      <c r="T5679" s="351"/>
      <c r="U5679" s="329" t="str">
        <f>IF($N5679=$N$4,IFERROR(INDEX(DanhMuc!$E$154:$E$165,MATCH(MID($B5679,4,2),DanhMuc!$B$154:$B$165,0)),""),"")</f>
        <v/>
      </c>
      <c r="V5679" s="361"/>
      <c r="W5679" s="345"/>
      <c r="X5679" s="786"/>
      <c r="Y5679" s="1128" t="s">
        <v>3380</v>
      </c>
      <c r="Z5679" s="1128" t="s">
        <v>3381</v>
      </c>
      <c r="AA5679" s="1128" t="s">
        <v>3384</v>
      </c>
      <c r="AB5679" s="20"/>
      <c r="AC5679" s="73"/>
    </row>
    <row r="5680" spans="1:29">
      <c r="A5680" s="327" t="str">
        <f>IF(AND($B5680&lt;&gt;"",$C5680&lt;&gt;""),MAX($A$4730:$A5679)+1,"")</f>
        <v/>
      </c>
      <c r="B5680" s="361" t="s">
        <v>1872</v>
      </c>
      <c r="C5680" s="362"/>
      <c r="D5680" s="327">
        <f>IF($B5680="","",COUNTIF($B$4731:$B5680,$B5680))</f>
        <v>16</v>
      </c>
      <c r="E5680" s="361" t="s">
        <v>1828</v>
      </c>
      <c r="F5680" s="362" t="s">
        <v>671</v>
      </c>
      <c r="G5680" s="327" t="s">
        <v>661</v>
      </c>
      <c r="H5680" s="361" t="s">
        <v>536</v>
      </c>
      <c r="I5680" s="361" t="s">
        <v>2355</v>
      </c>
      <c r="J5680" s="361"/>
      <c r="K5680" s="327" t="s">
        <v>100</v>
      </c>
      <c r="L5680" s="478">
        <f>40000/1000</f>
        <v>40</v>
      </c>
      <c r="M5680" s="355"/>
      <c r="N5680" s="355" t="s">
        <v>2409</v>
      </c>
      <c r="O5680" s="345"/>
      <c r="P5680" s="325"/>
      <c r="Q5680" s="327"/>
      <c r="R5680" s="351"/>
      <c r="S5680" s="351"/>
      <c r="T5680" s="351"/>
      <c r="U5680" s="329" t="str">
        <f>IF($N5680=$N$4,IFERROR(INDEX(DanhMuc!$E$154:$E$165,MATCH(MID($B5680,4,2),DanhMuc!$B$154:$B$165,0)),""),"")</f>
        <v/>
      </c>
      <c r="V5680" s="361"/>
      <c r="W5680" s="345"/>
      <c r="X5680" s="786"/>
      <c r="Y5680" s="1128" t="s">
        <v>3380</v>
      </c>
      <c r="Z5680" s="1128" t="s">
        <v>3381</v>
      </c>
      <c r="AA5680" s="1128" t="s">
        <v>3384</v>
      </c>
      <c r="AB5680" s="20"/>
      <c r="AC5680" s="73"/>
    </row>
    <row r="5681" spans="1:29">
      <c r="A5681" s="327" t="str">
        <f>IF(AND($B5681&lt;&gt;"",$C5681&lt;&gt;""),MAX($A$4730:$A5680)+1,"")</f>
        <v/>
      </c>
      <c r="B5681" s="361" t="s">
        <v>1872</v>
      </c>
      <c r="C5681" s="362"/>
      <c r="D5681" s="327">
        <f>IF($B5681="","",COUNTIF($B$4731:$B5681,$B5681))</f>
        <v>17</v>
      </c>
      <c r="E5681" s="361" t="s">
        <v>154</v>
      </c>
      <c r="F5681" s="362" t="s">
        <v>660</v>
      </c>
      <c r="G5681" s="327" t="s">
        <v>661</v>
      </c>
      <c r="H5681" s="361" t="s">
        <v>536</v>
      </c>
      <c r="I5681" s="361" t="s">
        <v>667</v>
      </c>
      <c r="J5681" s="361"/>
      <c r="K5681" s="327" t="s">
        <v>662</v>
      </c>
      <c r="L5681" s="478">
        <v>20</v>
      </c>
      <c r="M5681" s="355"/>
      <c r="N5681" s="355" t="s">
        <v>2409</v>
      </c>
      <c r="O5681" s="345"/>
      <c r="P5681" s="325"/>
      <c r="Q5681" s="327"/>
      <c r="R5681" s="351"/>
      <c r="S5681" s="351"/>
      <c r="T5681" s="351"/>
      <c r="U5681" s="329" t="str">
        <f>IF($N5681=$N$4,IFERROR(INDEX(DanhMuc!$E$154:$E$165,MATCH(MID($B5681,4,2),DanhMuc!$B$154:$B$165,0)),""),"")</f>
        <v/>
      </c>
      <c r="V5681" s="361"/>
      <c r="W5681" s="345"/>
      <c r="X5681" s="786"/>
      <c r="Y5681" s="1128" t="s">
        <v>3380</v>
      </c>
      <c r="Z5681" s="1128" t="s">
        <v>3381</v>
      </c>
      <c r="AA5681" s="1128" t="s">
        <v>3384</v>
      </c>
      <c r="AB5681" s="20"/>
      <c r="AC5681" s="73"/>
    </row>
    <row r="5682" spans="1:29">
      <c r="A5682" s="327" t="str">
        <f>IF(AND($B5682&lt;&gt;"",$C5682&lt;&gt;""),MAX($A$4730:$A5681)+1,"")</f>
        <v/>
      </c>
      <c r="B5682" s="361" t="s">
        <v>1872</v>
      </c>
      <c r="C5682" s="362"/>
      <c r="D5682" s="327">
        <f>IF($B5682="","",COUNTIF($B$4731:$B5682,$B5682))</f>
        <v>18</v>
      </c>
      <c r="E5682" s="362" t="s">
        <v>2282</v>
      </c>
      <c r="F5682" s="362" t="s">
        <v>2283</v>
      </c>
      <c r="G5682" s="327" t="s">
        <v>424</v>
      </c>
      <c r="H5682" s="361" t="s">
        <v>536</v>
      </c>
      <c r="I5682" s="361" t="s">
        <v>2238</v>
      </c>
      <c r="J5682" s="361"/>
      <c r="K5682" s="327" t="s">
        <v>662</v>
      </c>
      <c r="L5682" s="478">
        <v>28000</v>
      </c>
      <c r="M5682" s="355"/>
      <c r="N5682" s="355" t="s">
        <v>2409</v>
      </c>
      <c r="O5682" s="345"/>
      <c r="P5682" s="325"/>
      <c r="Q5682" s="327"/>
      <c r="R5682" s="351"/>
      <c r="S5682" s="351"/>
      <c r="T5682" s="351"/>
      <c r="U5682" s="329" t="str">
        <f>IF($N5682=$N$4,IFERROR(INDEX(DanhMuc!$E$154:$E$165,MATCH(MID($B5682,4,2),DanhMuc!$B$154:$B$165,0)),""),"")</f>
        <v/>
      </c>
      <c r="V5682" s="361"/>
      <c r="W5682" s="345"/>
      <c r="X5682" s="786"/>
      <c r="Y5682" s="1128" t="s">
        <v>3380</v>
      </c>
      <c r="Z5682" s="1128" t="s">
        <v>3381</v>
      </c>
      <c r="AA5682" s="1128" t="s">
        <v>3384</v>
      </c>
      <c r="AB5682" s="20"/>
      <c r="AC5682" s="73"/>
    </row>
    <row r="5683" spans="1:29">
      <c r="A5683" s="327" t="str">
        <f>IF(AND($B5683&lt;&gt;"",$C5683&lt;&gt;""),MAX($A$4730:$A5682)+1,"")</f>
        <v/>
      </c>
      <c r="B5683" s="361" t="s">
        <v>1872</v>
      </c>
      <c r="C5683" s="362"/>
      <c r="D5683" s="327">
        <f>IF($B5683="","",COUNTIF($B$4731:$B5683,$B5683))</f>
        <v>19</v>
      </c>
      <c r="E5683" s="362" t="s">
        <v>663</v>
      </c>
      <c r="F5683" s="362" t="s">
        <v>664</v>
      </c>
      <c r="G5683" s="327" t="s">
        <v>155</v>
      </c>
      <c r="H5683" s="361" t="s">
        <v>536</v>
      </c>
      <c r="I5683" s="361" t="s">
        <v>672</v>
      </c>
      <c r="J5683" s="361"/>
      <c r="K5683" s="327" t="s">
        <v>662</v>
      </c>
      <c r="L5683" s="478">
        <v>1000</v>
      </c>
      <c r="M5683" s="355"/>
      <c r="N5683" s="355" t="s">
        <v>2409</v>
      </c>
      <c r="O5683" s="345"/>
      <c r="P5683" s="325"/>
      <c r="Q5683" s="327"/>
      <c r="R5683" s="351"/>
      <c r="S5683" s="351"/>
      <c r="T5683" s="351"/>
      <c r="U5683" s="329" t="str">
        <f>IF($N5683=$N$4,IFERROR(INDEX(DanhMuc!$E$154:$E$165,MATCH(MID($B5683,4,2),DanhMuc!$B$154:$B$165,0)),""),"")</f>
        <v/>
      </c>
      <c r="V5683" s="361"/>
      <c r="W5683" s="345"/>
      <c r="X5683" s="786"/>
      <c r="Y5683" s="1128" t="s">
        <v>3380</v>
      </c>
      <c r="Z5683" s="1128" t="s">
        <v>3381</v>
      </c>
      <c r="AA5683" s="1128" t="s">
        <v>3384</v>
      </c>
      <c r="AB5683" s="20"/>
      <c r="AC5683" s="73"/>
    </row>
    <row r="5684" spans="1:29" ht="39">
      <c r="A5684" s="327">
        <f>IF(AND($B5684&lt;&gt;"",$C5684&lt;&gt;""),MAX($A$4730:$A5672)+1,"")</f>
        <v>37</v>
      </c>
      <c r="B5684" s="359" t="s">
        <v>1873</v>
      </c>
      <c r="C5684" s="360" t="s">
        <v>1900</v>
      </c>
      <c r="D5684" s="327">
        <f>IF($B5684="","",COUNTIF($B$4731:$B5684,$B5684))</f>
        <v>1</v>
      </c>
      <c r="E5684" s="480" t="s">
        <v>2858</v>
      </c>
      <c r="F5684" s="403" t="s">
        <v>2859</v>
      </c>
      <c r="G5684" s="327" t="s">
        <v>155</v>
      </c>
      <c r="H5684" s="361" t="s">
        <v>536</v>
      </c>
      <c r="I5684" s="327">
        <v>4</v>
      </c>
      <c r="J5684" s="361"/>
      <c r="K5684" s="327" t="s">
        <v>100</v>
      </c>
      <c r="L5684" s="389">
        <v>7100</v>
      </c>
      <c r="M5684" s="355"/>
      <c r="N5684" s="355" t="s">
        <v>2408</v>
      </c>
      <c r="O5684" s="345" t="s">
        <v>2777</v>
      </c>
      <c r="P5684" s="325"/>
      <c r="Q5684" s="327"/>
      <c r="R5684" s="351"/>
      <c r="S5684" s="351"/>
      <c r="T5684" s="351"/>
      <c r="U5684" s="329" t="str">
        <f>IF($N5684=$N$4,IFERROR(INDEX(DanhMuc!$E$154:$E$165,MATCH(MID($B5684,4,2),DanhMuc!$B$154:$B$165,0)),""),"")</f>
        <v/>
      </c>
      <c r="V5684" s="361"/>
      <c r="W5684" s="345"/>
      <c r="X5684" s="786"/>
      <c r="Y5684" s="1128" t="s">
        <v>3380</v>
      </c>
      <c r="Z5684" s="1128" t="s">
        <v>3381</v>
      </c>
      <c r="AA5684" s="1128" t="s">
        <v>3384</v>
      </c>
      <c r="AB5684" s="20"/>
      <c r="AC5684" s="73"/>
    </row>
    <row r="5685" spans="1:29" ht="25">
      <c r="A5685" s="327" t="str">
        <f>IF(AND($B5685&lt;&gt;"",$C5685&lt;&gt;""),MAX($A$4730:$A5673)+1,"")</f>
        <v/>
      </c>
      <c r="B5685" s="361" t="s">
        <v>1873</v>
      </c>
      <c r="C5685" s="360"/>
      <c r="D5685" s="327">
        <f>IF($B5685="","",COUNTIF($B$4731:$B5685,$B5685))</f>
        <v>2</v>
      </c>
      <c r="E5685" s="480" t="s">
        <v>2304</v>
      </c>
      <c r="F5685" s="403" t="s">
        <v>2335</v>
      </c>
      <c r="G5685" s="327" t="s">
        <v>155</v>
      </c>
      <c r="H5685" s="361" t="s">
        <v>536</v>
      </c>
      <c r="I5685" s="327">
        <v>4</v>
      </c>
      <c r="J5685" s="361"/>
      <c r="K5685" s="327" t="s">
        <v>100</v>
      </c>
      <c r="L5685" s="389">
        <v>7100</v>
      </c>
      <c r="M5685" s="355"/>
      <c r="N5685" s="355" t="s">
        <v>2408</v>
      </c>
      <c r="O5685" s="345" t="s">
        <v>2776</v>
      </c>
      <c r="P5685" s="325"/>
      <c r="Q5685" s="327"/>
      <c r="R5685" s="351"/>
      <c r="S5685" s="351"/>
      <c r="T5685" s="351"/>
      <c r="U5685" s="329" t="str">
        <f>IF($N5685=$N$4,IFERROR(INDEX(DanhMuc!$E$154:$E$165,MATCH(MID($B5685,4,2),DanhMuc!$B$154:$B$165,0)),""),"")</f>
        <v/>
      </c>
      <c r="V5685" s="361"/>
      <c r="W5685" s="345"/>
      <c r="X5685" s="786"/>
      <c r="Y5685" s="1128" t="s">
        <v>3380</v>
      </c>
      <c r="Z5685" s="1128" t="s">
        <v>3381</v>
      </c>
      <c r="AA5685" s="1128" t="s">
        <v>3384</v>
      </c>
      <c r="AB5685" s="20"/>
      <c r="AC5685" s="73"/>
    </row>
    <row r="5686" spans="1:29">
      <c r="A5686" s="327" t="str">
        <f>IF(AND($B5686&lt;&gt;"",$C5686&lt;&gt;""),MAX($A$4730:$A5685)+1,"")</f>
        <v/>
      </c>
      <c r="B5686" s="361" t="s">
        <v>1873</v>
      </c>
      <c r="C5686" s="360"/>
      <c r="D5686" s="327">
        <f>IF($B5686="","",COUNTIF($B$4731:$B5686,$B5686))</f>
        <v>3</v>
      </c>
      <c r="E5686" s="402" t="s">
        <v>2788</v>
      </c>
      <c r="F5686" s="403" t="s">
        <v>2789</v>
      </c>
      <c r="G5686" s="327" t="s">
        <v>155</v>
      </c>
      <c r="H5686" s="361" t="s">
        <v>536</v>
      </c>
      <c r="I5686" s="327">
        <f>4*I5685</f>
        <v>16</v>
      </c>
      <c r="J5686" s="361"/>
      <c r="K5686" s="327" t="s">
        <v>100</v>
      </c>
      <c r="L5686" s="389">
        <v>600</v>
      </c>
      <c r="M5686" s="355"/>
      <c r="N5686" s="355" t="s">
        <v>2408</v>
      </c>
      <c r="O5686" s="345" t="s">
        <v>2776</v>
      </c>
      <c r="P5686" s="325"/>
      <c r="Q5686" s="327"/>
      <c r="R5686" s="351"/>
      <c r="S5686" s="351"/>
      <c r="T5686" s="351"/>
      <c r="U5686" s="329" t="str">
        <f>IF($N5686=$N$4,IFERROR(INDEX(DanhMuc!$E$154:$E$165,MATCH(MID($B5686,4,2),DanhMuc!$B$154:$B$165,0)),""),"")</f>
        <v/>
      </c>
      <c r="V5686" s="361"/>
      <c r="W5686" s="345"/>
      <c r="X5686" s="786"/>
      <c r="Y5686" s="1128" t="s">
        <v>3380</v>
      </c>
      <c r="Z5686" s="1128" t="s">
        <v>3381</v>
      </c>
      <c r="AA5686" s="1128" t="s">
        <v>3384</v>
      </c>
      <c r="AB5686" s="20"/>
      <c r="AC5686" s="73"/>
    </row>
    <row r="5687" spans="1:29">
      <c r="A5687" s="327" t="str">
        <f>IF(AND($B5687&lt;&gt;"",$C5687&lt;&gt;""),MAX($A$4730:$A5675)+1,"")</f>
        <v/>
      </c>
      <c r="B5687" s="361" t="s">
        <v>1873</v>
      </c>
      <c r="C5687" s="360"/>
      <c r="D5687" s="327">
        <f>IF($B5687="","",COUNTIF($B$4731:$B5687,$B5687))</f>
        <v>4</v>
      </c>
      <c r="E5687" s="480" t="s">
        <v>2860</v>
      </c>
      <c r="F5687" s="403" t="s">
        <v>2861</v>
      </c>
      <c r="G5687" s="327" t="s">
        <v>155</v>
      </c>
      <c r="H5687" s="361" t="s">
        <v>536</v>
      </c>
      <c r="I5687" s="327">
        <v>16</v>
      </c>
      <c r="J5687" s="361"/>
      <c r="K5687" s="327" t="s">
        <v>101</v>
      </c>
      <c r="L5687" s="389">
        <v>5100</v>
      </c>
      <c r="M5687" s="355"/>
      <c r="N5687" s="355" t="s">
        <v>2408</v>
      </c>
      <c r="O5687" s="345" t="s">
        <v>2779</v>
      </c>
      <c r="P5687" s="325"/>
      <c r="Q5687" s="327"/>
      <c r="R5687" s="351"/>
      <c r="S5687" s="351"/>
      <c r="T5687" s="351"/>
      <c r="U5687" s="329" t="str">
        <f>IF($N5687=$N$4,IFERROR(INDEX(DanhMuc!$E$154:$E$165,MATCH(MID($B5687,4,2),DanhMuc!$B$154:$B$165,0)),""),"")</f>
        <v/>
      </c>
      <c r="V5687" s="361"/>
      <c r="W5687" s="345"/>
      <c r="X5687" s="786"/>
      <c r="Y5687" s="1128" t="s">
        <v>3380</v>
      </c>
      <c r="Z5687" s="1128" t="s">
        <v>3381</v>
      </c>
      <c r="AA5687" s="1128" t="s">
        <v>3384</v>
      </c>
      <c r="AB5687" s="20"/>
      <c r="AC5687" s="73"/>
    </row>
    <row r="5688" spans="1:29">
      <c r="A5688" s="327" t="str">
        <f>IF(AND($B5688&lt;&gt;"",$C5688&lt;&gt;""),MAX($A$4730:$A5676)+1,"")</f>
        <v/>
      </c>
      <c r="B5688" s="361" t="s">
        <v>1873</v>
      </c>
      <c r="C5688" s="360"/>
      <c r="D5688" s="327">
        <f>IF($B5688="","",COUNTIF($B$4731:$B5688,$B5688))</f>
        <v>5</v>
      </c>
      <c r="E5688" s="480" t="s">
        <v>2305</v>
      </c>
      <c r="F5688" s="403" t="s">
        <v>2334</v>
      </c>
      <c r="G5688" s="327" t="s">
        <v>155</v>
      </c>
      <c r="H5688" s="361" t="s">
        <v>536</v>
      </c>
      <c r="I5688" s="327">
        <v>16</v>
      </c>
      <c r="J5688" s="361"/>
      <c r="K5688" s="327" t="s">
        <v>101</v>
      </c>
      <c r="L5688" s="389">
        <v>5100</v>
      </c>
      <c r="M5688" s="355"/>
      <c r="N5688" s="355" t="s">
        <v>2408</v>
      </c>
      <c r="O5688" s="345" t="s">
        <v>2778</v>
      </c>
      <c r="P5688" s="325"/>
      <c r="Q5688" s="327"/>
      <c r="R5688" s="351"/>
      <c r="S5688" s="351"/>
      <c r="T5688" s="351"/>
      <c r="U5688" s="329" t="str">
        <f>IF($N5688=$N$4,IFERROR(INDEX(DanhMuc!$E$154:$E$165,MATCH(MID($B5688,4,2),DanhMuc!$B$154:$B$165,0)),""),"")</f>
        <v/>
      </c>
      <c r="V5688" s="361"/>
      <c r="W5688" s="345"/>
      <c r="X5688" s="786"/>
      <c r="Y5688" s="1128" t="s">
        <v>3380</v>
      </c>
      <c r="Z5688" s="1128" t="s">
        <v>3381</v>
      </c>
      <c r="AA5688" s="1128" t="s">
        <v>3384</v>
      </c>
      <c r="AB5688" s="20"/>
      <c r="AC5688" s="73"/>
    </row>
    <row r="5689" spans="1:29">
      <c r="A5689" s="327" t="str">
        <f>IF(AND($B5689&lt;&gt;"",$C5689&lt;&gt;""),MAX($A$4730:$A5687)+1,"")</f>
        <v/>
      </c>
      <c r="B5689" s="361" t="s">
        <v>1873</v>
      </c>
      <c r="C5689" s="360"/>
      <c r="D5689" s="327">
        <f>IF($B5689="","",COUNTIF($B$4731:$B5689,$B5689))</f>
        <v>6</v>
      </c>
      <c r="E5689" s="402" t="s">
        <v>2788</v>
      </c>
      <c r="F5689" s="403" t="s">
        <v>2789</v>
      </c>
      <c r="G5689" s="327" t="s">
        <v>155</v>
      </c>
      <c r="H5689" s="361" t="s">
        <v>536</v>
      </c>
      <c r="I5689" s="327">
        <f>4*I5688</f>
        <v>64</v>
      </c>
      <c r="J5689" s="361"/>
      <c r="K5689" s="327" t="s">
        <v>101</v>
      </c>
      <c r="L5689" s="389">
        <v>600</v>
      </c>
      <c r="M5689" s="355"/>
      <c r="N5689" s="355" t="s">
        <v>2408</v>
      </c>
      <c r="O5689" s="345" t="s">
        <v>2778</v>
      </c>
      <c r="P5689" s="325"/>
      <c r="Q5689" s="327"/>
      <c r="R5689" s="351"/>
      <c r="S5689" s="351"/>
      <c r="T5689" s="351"/>
      <c r="U5689" s="329" t="str">
        <f>IF($N5689=$N$4,IFERROR(INDEX(DanhMuc!$E$154:$E$165,MATCH(MID($B5689,4,2),DanhMuc!$B$154:$B$165,0)),""),"")</f>
        <v/>
      </c>
      <c r="V5689" s="361"/>
      <c r="W5689" s="345"/>
      <c r="X5689" s="786"/>
      <c r="Y5689" s="1128" t="s">
        <v>3380</v>
      </c>
      <c r="Z5689" s="1128" t="s">
        <v>3381</v>
      </c>
      <c r="AA5689" s="1128" t="s">
        <v>3384</v>
      </c>
      <c r="AB5689" s="20"/>
      <c r="AC5689" s="73"/>
    </row>
    <row r="5690" spans="1:29">
      <c r="A5690" s="327" t="str">
        <f>IF(AND($B5690&lt;&gt;"",$C5690&lt;&gt;""),MAX($A$4730:$A5674)+1,"")</f>
        <v/>
      </c>
      <c r="B5690" s="361" t="s">
        <v>1873</v>
      </c>
      <c r="C5690" s="360"/>
      <c r="D5690" s="327">
        <f>IF($B5690="","",COUNTIF($B$4731:$B5690,$B5690))</f>
        <v>7</v>
      </c>
      <c r="E5690" s="361" t="s">
        <v>2338</v>
      </c>
      <c r="F5690" s="362" t="s">
        <v>2331</v>
      </c>
      <c r="G5690" s="327" t="s">
        <v>155</v>
      </c>
      <c r="H5690" s="361" t="s">
        <v>536</v>
      </c>
      <c r="I5690" s="327">
        <v>32</v>
      </c>
      <c r="J5690" s="361"/>
      <c r="K5690" s="327" t="s">
        <v>101</v>
      </c>
      <c r="L5690" s="389">
        <v>750</v>
      </c>
      <c r="M5690" s="355"/>
      <c r="N5690" s="355" t="s">
        <v>2408</v>
      </c>
      <c r="O5690" s="345"/>
      <c r="P5690" s="325"/>
      <c r="Q5690" s="327"/>
      <c r="R5690" s="351"/>
      <c r="S5690" s="351"/>
      <c r="T5690" s="351"/>
      <c r="U5690" s="329" t="str">
        <f>IF($N5690=$N$4,IFERROR(INDEX(DanhMuc!$E$154:$E$165,MATCH(MID($B5690,4,2),DanhMuc!$B$154:$B$165,0)),""),"")</f>
        <v/>
      </c>
      <c r="V5690" s="361"/>
      <c r="W5690" s="345"/>
      <c r="X5690" s="786"/>
      <c r="Y5690" s="1128" t="s">
        <v>3380</v>
      </c>
      <c r="Z5690" s="1128" t="s">
        <v>3381</v>
      </c>
      <c r="AA5690" s="1128" t="s">
        <v>3384</v>
      </c>
      <c r="AB5690" s="20"/>
      <c r="AC5690" s="73"/>
    </row>
    <row r="5691" spans="1:29">
      <c r="A5691" s="327" t="str">
        <f>IF(AND($B5691&lt;&gt;"",$C5691&lt;&gt;""),MAX($A$4730:$A5690)+1,"")</f>
        <v/>
      </c>
      <c r="B5691" s="361" t="s">
        <v>1873</v>
      </c>
      <c r="C5691" s="362"/>
      <c r="D5691" s="327">
        <f>IF($B5691="","",COUNTIF($B$4731:$B5691,$B5691))</f>
        <v>8</v>
      </c>
      <c r="E5691" s="361" t="s">
        <v>654</v>
      </c>
      <c r="F5691" s="362" t="s">
        <v>653</v>
      </c>
      <c r="G5691" s="327" t="s">
        <v>1836</v>
      </c>
      <c r="H5691" s="361" t="s">
        <v>536</v>
      </c>
      <c r="I5691" s="327">
        <f>I5684/45</f>
        <v>8.8888888888888892E-2</v>
      </c>
      <c r="J5691" s="477"/>
      <c r="K5691" s="327" t="s">
        <v>655</v>
      </c>
      <c r="L5691" s="478">
        <v>115000</v>
      </c>
      <c r="M5691" s="355"/>
      <c r="N5691" s="355" t="s">
        <v>2408</v>
      </c>
      <c r="O5691" s="345" t="s">
        <v>2777</v>
      </c>
      <c r="P5691" s="325"/>
      <c r="Q5691" s="327"/>
      <c r="R5691" s="351"/>
      <c r="S5691" s="351"/>
      <c r="T5691" s="351"/>
      <c r="U5691" s="329" t="str">
        <f>IF($N5691=$N$4,IFERROR(INDEX(DanhMuc!$E$154:$E$165,MATCH(MID($B5691,4,2),DanhMuc!$B$154:$B$165,0)),""),"")</f>
        <v/>
      </c>
      <c r="V5691" s="361"/>
      <c r="W5691" s="345"/>
      <c r="X5691" s="786"/>
      <c r="Y5691" s="1128" t="s">
        <v>3380</v>
      </c>
      <c r="Z5691" s="1128" t="s">
        <v>3381</v>
      </c>
      <c r="AA5691" s="1128" t="s">
        <v>3384</v>
      </c>
      <c r="AB5691" s="20"/>
      <c r="AC5691" s="73"/>
    </row>
    <row r="5692" spans="1:29">
      <c r="A5692" s="327" t="str">
        <f>IF(AND($B5692&lt;&gt;"",$C5692&lt;&gt;""),MAX($A$4730:$A5691)+1,"")</f>
        <v/>
      </c>
      <c r="B5692" s="361" t="s">
        <v>1873</v>
      </c>
      <c r="C5692" s="362"/>
      <c r="D5692" s="327">
        <f>IF($B5692="","",COUNTIF($B$4731:$B5692,$B5692))</f>
        <v>9</v>
      </c>
      <c r="E5692" s="361" t="s">
        <v>654</v>
      </c>
      <c r="F5692" s="362" t="s">
        <v>653</v>
      </c>
      <c r="G5692" s="327" t="s">
        <v>1836</v>
      </c>
      <c r="H5692" s="361" t="s">
        <v>536</v>
      </c>
      <c r="I5692" s="327">
        <f>I5687/45</f>
        <v>0.35555555555555557</v>
      </c>
      <c r="J5692" s="477"/>
      <c r="K5692" s="327" t="s">
        <v>655</v>
      </c>
      <c r="L5692" s="478">
        <v>115000</v>
      </c>
      <c r="M5692" s="355"/>
      <c r="N5692" s="355" t="s">
        <v>2408</v>
      </c>
      <c r="O5692" s="345" t="s">
        <v>2779</v>
      </c>
      <c r="P5692" s="325"/>
      <c r="Q5692" s="327"/>
      <c r="R5692" s="351"/>
      <c r="S5692" s="351"/>
      <c r="T5692" s="351"/>
      <c r="U5692" s="329" t="str">
        <f>IF($N5692=$N$4,IFERROR(INDEX(DanhMuc!$E$154:$E$165,MATCH(MID($B5692,4,2),DanhMuc!$B$154:$B$165,0)),""),"")</f>
        <v/>
      </c>
      <c r="V5692" s="361"/>
      <c r="W5692" s="345"/>
      <c r="X5692" s="786"/>
      <c r="Y5692" s="1128" t="s">
        <v>3380</v>
      </c>
      <c r="Z5692" s="1128" t="s">
        <v>3381</v>
      </c>
      <c r="AA5692" s="1128" t="s">
        <v>3384</v>
      </c>
      <c r="AB5692" s="20"/>
      <c r="AC5692" s="73"/>
    </row>
    <row r="5693" spans="1:29">
      <c r="A5693" s="327" t="str">
        <f>IF(AND($B5693&lt;&gt;"",$C5693&lt;&gt;""),MAX($A$4730:$A5683)+1,"")</f>
        <v/>
      </c>
      <c r="B5693" s="361" t="s">
        <v>1873</v>
      </c>
      <c r="C5693" s="360"/>
      <c r="D5693" s="327">
        <f>IF($B5693="","",COUNTIF($B$4731:$B5693,$B5693))</f>
        <v>10</v>
      </c>
      <c r="E5693" s="361" t="s">
        <v>1826</v>
      </c>
      <c r="F5693" s="362" t="s">
        <v>670</v>
      </c>
      <c r="G5693" s="327" t="s">
        <v>661</v>
      </c>
      <c r="H5693" s="361" t="s">
        <v>536</v>
      </c>
      <c r="I5693" s="361" t="s">
        <v>2354</v>
      </c>
      <c r="J5693" s="361"/>
      <c r="K5693" s="327" t="s">
        <v>103</v>
      </c>
      <c r="L5693" s="478">
        <f>40000/1000</f>
        <v>40</v>
      </c>
      <c r="M5693" s="355"/>
      <c r="N5693" s="355" t="s">
        <v>2408</v>
      </c>
      <c r="O5693" s="345"/>
      <c r="P5693" s="325"/>
      <c r="Q5693" s="327"/>
      <c r="R5693" s="351"/>
      <c r="S5693" s="351"/>
      <c r="T5693" s="351"/>
      <c r="U5693" s="329" t="str">
        <f>IF($N5693=$N$4,IFERROR(INDEX(DanhMuc!$E$154:$E$165,MATCH(MID($B5693,4,2),DanhMuc!$B$154:$B$165,0)),""),"")</f>
        <v/>
      </c>
      <c r="V5693" s="361"/>
      <c r="W5693" s="345"/>
      <c r="X5693" s="786"/>
      <c r="Y5693" s="1128" t="s">
        <v>3380</v>
      </c>
      <c r="Z5693" s="1128" t="s">
        <v>3381</v>
      </c>
      <c r="AA5693" s="1128" t="s">
        <v>3384</v>
      </c>
      <c r="AB5693" s="20"/>
      <c r="AC5693" s="73"/>
    </row>
    <row r="5694" spans="1:29" ht="37.5">
      <c r="A5694" s="327" t="str">
        <f>IF(AND($B5694&lt;&gt;"",$C5694&lt;&gt;""),MAX($A$4730:$A5677)+1,"")</f>
        <v/>
      </c>
      <c r="B5694" s="361" t="s">
        <v>1873</v>
      </c>
      <c r="C5694" s="360"/>
      <c r="D5694" s="327">
        <f>IF($B5694="","",COUNTIF($B$4731:$B5694,$B5694))</f>
        <v>11</v>
      </c>
      <c r="E5694" s="362" t="s">
        <v>1964</v>
      </c>
      <c r="F5694" s="362" t="s">
        <v>1965</v>
      </c>
      <c r="G5694" s="327" t="s">
        <v>405</v>
      </c>
      <c r="H5694" s="361" t="s">
        <v>536</v>
      </c>
      <c r="I5694" s="361" t="s">
        <v>693</v>
      </c>
      <c r="J5694" s="361"/>
      <c r="K5694" s="327" t="s">
        <v>223</v>
      </c>
      <c r="L5694" s="478">
        <v>140</v>
      </c>
      <c r="M5694" s="371"/>
      <c r="N5694" s="355" t="s">
        <v>2408</v>
      </c>
      <c r="O5694" s="345"/>
      <c r="P5694" s="325"/>
      <c r="Q5694" s="327"/>
      <c r="R5694" s="351"/>
      <c r="S5694" s="351"/>
      <c r="T5694" s="351"/>
      <c r="U5694" s="329" t="str">
        <f>IF($N5694=$N$4,IFERROR(INDEX(DanhMuc!$E$154:$E$165,MATCH(MID($B5694,4,2),DanhMuc!$B$154:$B$165,0)),""),"")</f>
        <v/>
      </c>
      <c r="V5694" s="361"/>
      <c r="W5694" s="345"/>
      <c r="X5694" s="786"/>
      <c r="Y5694" s="1128" t="s">
        <v>3380</v>
      </c>
      <c r="Z5694" s="1128" t="s">
        <v>3381</v>
      </c>
      <c r="AA5694" s="1128" t="s">
        <v>3384</v>
      </c>
      <c r="AB5694" s="20"/>
      <c r="AC5694" s="73"/>
    </row>
    <row r="5695" spans="1:29" ht="37.5">
      <c r="A5695" s="327" t="str">
        <f>IF(AND($B5695&lt;&gt;"",$C5695&lt;&gt;""),MAX($A$4730:$A5693)+1,"")</f>
        <v/>
      </c>
      <c r="B5695" s="361" t="s">
        <v>1873</v>
      </c>
      <c r="C5695" s="362"/>
      <c r="D5695" s="327">
        <f>IF($B5695="","",COUNTIF($B$4731:$B5695,$B5695))</f>
        <v>12</v>
      </c>
      <c r="E5695" s="362" t="s">
        <v>2756</v>
      </c>
      <c r="F5695" s="362" t="s">
        <v>2757</v>
      </c>
      <c r="G5695" s="327" t="s">
        <v>405</v>
      </c>
      <c r="H5695" s="361" t="s">
        <v>536</v>
      </c>
      <c r="I5695" s="361" t="s">
        <v>694</v>
      </c>
      <c r="J5695" s="361"/>
      <c r="K5695" s="327" t="s">
        <v>738</v>
      </c>
      <c r="L5695" s="479">
        <v>322</v>
      </c>
      <c r="M5695" s="371"/>
      <c r="N5695" s="355" t="s">
        <v>2408</v>
      </c>
      <c r="O5695" s="345"/>
      <c r="P5695" s="325"/>
      <c r="Q5695" s="327"/>
      <c r="R5695" s="351"/>
      <c r="S5695" s="351"/>
      <c r="T5695" s="351"/>
      <c r="U5695" s="329" t="str">
        <f>IF($N5695=$N$4,IFERROR(INDEX(DanhMuc!$E$154:$E$165,MATCH(MID($B5695,4,2),DanhMuc!$B$154:$B$165,0)),""),"")</f>
        <v/>
      </c>
      <c r="V5695" s="361"/>
      <c r="W5695" s="345"/>
      <c r="X5695" s="786"/>
      <c r="Y5695" s="1128" t="s">
        <v>3380</v>
      </c>
      <c r="Z5695" s="1128" t="s">
        <v>3381</v>
      </c>
      <c r="AA5695" s="1128" t="s">
        <v>3384</v>
      </c>
      <c r="AB5695" s="20"/>
      <c r="AC5695" s="73"/>
    </row>
    <row r="5696" spans="1:29">
      <c r="A5696" s="327" t="str">
        <f>IF(AND($B5696&lt;&gt;"",$C5696&lt;&gt;""),MAX($A$4730:$A5695)+1,"")</f>
        <v/>
      </c>
      <c r="B5696" s="361" t="s">
        <v>1873</v>
      </c>
      <c r="C5696" s="362"/>
      <c r="D5696" s="327">
        <f>IF($B5696="","",COUNTIF($B$4731:$B5696,$B5696))</f>
        <v>13</v>
      </c>
      <c r="E5696" s="361" t="s">
        <v>656</v>
      </c>
      <c r="F5696" s="362" t="s">
        <v>2239</v>
      </c>
      <c r="G5696" s="327" t="s">
        <v>405</v>
      </c>
      <c r="H5696" s="361" t="s">
        <v>536</v>
      </c>
      <c r="I5696" s="361" t="s">
        <v>1827</v>
      </c>
      <c r="J5696" s="361"/>
      <c r="K5696" s="327" t="s">
        <v>100</v>
      </c>
      <c r="L5696" s="478">
        <v>970</v>
      </c>
      <c r="M5696" s="371"/>
      <c r="N5696" s="355" t="s">
        <v>2409</v>
      </c>
      <c r="O5696" s="345"/>
      <c r="P5696" s="325"/>
      <c r="Q5696" s="327"/>
      <c r="R5696" s="351"/>
      <c r="S5696" s="351"/>
      <c r="T5696" s="351"/>
      <c r="U5696" s="329" t="str">
        <f>IF($N5696=$N$4,IFERROR(INDEX(DanhMuc!$E$154:$E$165,MATCH(MID($B5696,4,2),DanhMuc!$B$154:$B$165,0)),""),"")</f>
        <v/>
      </c>
      <c r="V5696" s="361"/>
      <c r="W5696" s="345"/>
      <c r="X5696" s="786"/>
      <c r="Y5696" s="1128" t="s">
        <v>3380</v>
      </c>
      <c r="Z5696" s="1128" t="s">
        <v>3381</v>
      </c>
      <c r="AA5696" s="1128" t="s">
        <v>3384</v>
      </c>
      <c r="AB5696" s="20"/>
      <c r="AC5696" s="73"/>
    </row>
    <row r="5697" spans="1:29">
      <c r="A5697" s="327" t="str">
        <f>IF(AND($B5697&lt;&gt;"",$C5697&lt;&gt;""),MAX($A$4730:$A5696)+1,"")</f>
        <v/>
      </c>
      <c r="B5697" s="361" t="s">
        <v>1873</v>
      </c>
      <c r="C5697" s="362"/>
      <c r="D5697" s="327">
        <f>IF($B5697="","",COUNTIF($B$4731:$B5697,$B5697))</f>
        <v>14</v>
      </c>
      <c r="E5697" s="361" t="s">
        <v>657</v>
      </c>
      <c r="F5697" s="362" t="s">
        <v>658</v>
      </c>
      <c r="G5697" s="327" t="s">
        <v>424</v>
      </c>
      <c r="H5697" s="361" t="s">
        <v>536</v>
      </c>
      <c r="I5697" s="361" t="s">
        <v>665</v>
      </c>
      <c r="J5697" s="361"/>
      <c r="K5697" s="327" t="s">
        <v>100</v>
      </c>
      <c r="L5697" s="478">
        <v>60000</v>
      </c>
      <c r="M5697" s="355"/>
      <c r="N5697" s="355" t="s">
        <v>2409</v>
      </c>
      <c r="O5697" s="345"/>
      <c r="P5697" s="325"/>
      <c r="Q5697" s="327"/>
      <c r="R5697" s="351"/>
      <c r="S5697" s="351"/>
      <c r="T5697" s="351"/>
      <c r="U5697" s="329" t="str">
        <f>IF($N5697=$N$4,IFERROR(INDEX(DanhMuc!$E$154:$E$165,MATCH(MID($B5697,4,2),DanhMuc!$B$154:$B$165,0)),""),"")</f>
        <v/>
      </c>
      <c r="V5697" s="361"/>
      <c r="W5697" s="345"/>
      <c r="X5697" s="786"/>
      <c r="Y5697" s="1128" t="s">
        <v>3380</v>
      </c>
      <c r="Z5697" s="1128" t="s">
        <v>3381</v>
      </c>
      <c r="AA5697" s="1128" t="s">
        <v>3384</v>
      </c>
      <c r="AB5697" s="20"/>
      <c r="AC5697" s="73"/>
    </row>
    <row r="5698" spans="1:29">
      <c r="A5698" s="327" t="str">
        <f>IF(AND($B5698&lt;&gt;"",$C5698&lt;&gt;""),MAX($A$4730:$A5697)+1,"")</f>
        <v/>
      </c>
      <c r="B5698" s="361" t="s">
        <v>1873</v>
      </c>
      <c r="C5698" s="362"/>
      <c r="D5698" s="327">
        <f>IF($B5698="","",COUNTIF($B$4731:$B5698,$B5698))</f>
        <v>15</v>
      </c>
      <c r="E5698" s="361" t="s">
        <v>2771</v>
      </c>
      <c r="F5698" s="362" t="s">
        <v>659</v>
      </c>
      <c r="G5698" s="327" t="s">
        <v>424</v>
      </c>
      <c r="H5698" s="361" t="s">
        <v>536</v>
      </c>
      <c r="I5698" s="361" t="s">
        <v>666</v>
      </c>
      <c r="J5698" s="361"/>
      <c r="K5698" s="327" t="s">
        <v>100</v>
      </c>
      <c r="L5698" s="389">
        <v>53000</v>
      </c>
      <c r="M5698" s="355"/>
      <c r="N5698" s="355" t="s">
        <v>2409</v>
      </c>
      <c r="O5698" s="345"/>
      <c r="P5698" s="325"/>
      <c r="Q5698" s="327"/>
      <c r="R5698" s="351"/>
      <c r="S5698" s="351"/>
      <c r="T5698" s="351"/>
      <c r="U5698" s="329" t="str">
        <f>IF($N5698=$N$4,IFERROR(INDEX(DanhMuc!$E$154:$E$165,MATCH(MID($B5698,4,2),DanhMuc!$B$154:$B$165,0)),""),"")</f>
        <v/>
      </c>
      <c r="V5698" s="361"/>
      <c r="W5698" s="345"/>
      <c r="X5698" s="786"/>
      <c r="Y5698" s="1128" t="s">
        <v>3380</v>
      </c>
      <c r="Z5698" s="1128" t="s">
        <v>3381</v>
      </c>
      <c r="AA5698" s="1128" t="s">
        <v>3384</v>
      </c>
      <c r="AB5698" s="20"/>
      <c r="AC5698" s="73"/>
    </row>
    <row r="5699" spans="1:29">
      <c r="A5699" s="327" t="str">
        <f>IF(AND($B5699&lt;&gt;"",$C5699&lt;&gt;""),MAX($A$4730:$A5698)+1,"")</f>
        <v/>
      </c>
      <c r="B5699" s="361" t="s">
        <v>1873</v>
      </c>
      <c r="C5699" s="362"/>
      <c r="D5699" s="327">
        <f>IF($B5699="","",COUNTIF($B$4731:$B5699,$B5699))</f>
        <v>16</v>
      </c>
      <c r="E5699" s="361" t="s">
        <v>1828</v>
      </c>
      <c r="F5699" s="362" t="s">
        <v>671</v>
      </c>
      <c r="G5699" s="327" t="s">
        <v>661</v>
      </c>
      <c r="H5699" s="361" t="s">
        <v>536</v>
      </c>
      <c r="I5699" s="361" t="s">
        <v>2355</v>
      </c>
      <c r="J5699" s="361"/>
      <c r="K5699" s="327" t="s">
        <v>100</v>
      </c>
      <c r="L5699" s="478">
        <f>40000/1000</f>
        <v>40</v>
      </c>
      <c r="M5699" s="355"/>
      <c r="N5699" s="355" t="s">
        <v>2409</v>
      </c>
      <c r="O5699" s="345"/>
      <c r="P5699" s="325"/>
      <c r="Q5699" s="327"/>
      <c r="R5699" s="351"/>
      <c r="S5699" s="351"/>
      <c r="T5699" s="351"/>
      <c r="U5699" s="329" t="str">
        <f>IF($N5699=$N$4,IFERROR(INDEX(DanhMuc!$E$154:$E$165,MATCH(MID($B5699,4,2),DanhMuc!$B$154:$B$165,0)),""),"")</f>
        <v/>
      </c>
      <c r="V5699" s="361"/>
      <c r="W5699" s="345"/>
      <c r="X5699" s="786"/>
      <c r="Y5699" s="1128" t="s">
        <v>3380</v>
      </c>
      <c r="Z5699" s="1128" t="s">
        <v>3381</v>
      </c>
      <c r="AA5699" s="1128" t="s">
        <v>3384</v>
      </c>
      <c r="AB5699" s="20"/>
      <c r="AC5699" s="73"/>
    </row>
    <row r="5700" spans="1:29">
      <c r="A5700" s="327" t="str">
        <f>IF(AND($B5700&lt;&gt;"",$C5700&lt;&gt;""),MAX($A$4730:$A5699)+1,"")</f>
        <v/>
      </c>
      <c r="B5700" s="361" t="s">
        <v>1873</v>
      </c>
      <c r="C5700" s="362"/>
      <c r="D5700" s="327">
        <f>IF($B5700="","",COUNTIF($B$4731:$B5700,$B5700))</f>
        <v>17</v>
      </c>
      <c r="E5700" s="361" t="s">
        <v>154</v>
      </c>
      <c r="F5700" s="362" t="s">
        <v>660</v>
      </c>
      <c r="G5700" s="327" t="s">
        <v>661</v>
      </c>
      <c r="H5700" s="361" t="s">
        <v>536</v>
      </c>
      <c r="I5700" s="361" t="s">
        <v>667</v>
      </c>
      <c r="J5700" s="361"/>
      <c r="K5700" s="327" t="s">
        <v>662</v>
      </c>
      <c r="L5700" s="478">
        <v>20</v>
      </c>
      <c r="M5700" s="355"/>
      <c r="N5700" s="355" t="s">
        <v>2409</v>
      </c>
      <c r="O5700" s="345"/>
      <c r="P5700" s="325"/>
      <c r="Q5700" s="327"/>
      <c r="R5700" s="351"/>
      <c r="S5700" s="351"/>
      <c r="T5700" s="351"/>
      <c r="U5700" s="329" t="str">
        <f>IF($N5700=$N$4,IFERROR(INDEX(DanhMuc!$E$154:$E$165,MATCH(MID($B5700,4,2),DanhMuc!$B$154:$B$165,0)),""),"")</f>
        <v/>
      </c>
      <c r="V5700" s="361"/>
      <c r="W5700" s="345"/>
      <c r="X5700" s="786"/>
      <c r="Y5700" s="1128" t="s">
        <v>3380</v>
      </c>
      <c r="Z5700" s="1128" t="s">
        <v>3381</v>
      </c>
      <c r="AA5700" s="1128" t="s">
        <v>3384</v>
      </c>
      <c r="AB5700" s="20"/>
      <c r="AC5700" s="73"/>
    </row>
    <row r="5701" spans="1:29">
      <c r="A5701" s="327" t="str">
        <f>IF(AND($B5701&lt;&gt;"",$C5701&lt;&gt;""),MAX($A$4730:$A5700)+1,"")</f>
        <v/>
      </c>
      <c r="B5701" s="361" t="s">
        <v>1873</v>
      </c>
      <c r="C5701" s="362"/>
      <c r="D5701" s="327">
        <f>IF($B5701="","",COUNTIF($B$4731:$B5701,$B5701))</f>
        <v>18</v>
      </c>
      <c r="E5701" s="362" t="s">
        <v>2282</v>
      </c>
      <c r="F5701" s="362" t="s">
        <v>2283</v>
      </c>
      <c r="G5701" s="327" t="s">
        <v>424</v>
      </c>
      <c r="H5701" s="361" t="s">
        <v>536</v>
      </c>
      <c r="I5701" s="361" t="s">
        <v>2238</v>
      </c>
      <c r="J5701" s="361"/>
      <c r="K5701" s="327" t="s">
        <v>662</v>
      </c>
      <c r="L5701" s="478">
        <v>28000</v>
      </c>
      <c r="M5701" s="355"/>
      <c r="N5701" s="355" t="s">
        <v>2409</v>
      </c>
      <c r="O5701" s="345"/>
      <c r="P5701" s="325"/>
      <c r="Q5701" s="327"/>
      <c r="R5701" s="351"/>
      <c r="S5701" s="351"/>
      <c r="T5701" s="351"/>
      <c r="U5701" s="329" t="str">
        <f>IF($N5701=$N$4,IFERROR(INDEX(DanhMuc!$E$154:$E$165,MATCH(MID($B5701,4,2),DanhMuc!$B$154:$B$165,0)),""),"")</f>
        <v/>
      </c>
      <c r="V5701" s="361"/>
      <c r="W5701" s="345"/>
      <c r="X5701" s="786"/>
      <c r="Y5701" s="1128" t="s">
        <v>3380</v>
      </c>
      <c r="Z5701" s="1128" t="s">
        <v>3381</v>
      </c>
      <c r="AA5701" s="1128" t="s">
        <v>3384</v>
      </c>
      <c r="AB5701" s="20"/>
      <c r="AC5701" s="73"/>
    </row>
    <row r="5702" spans="1:29">
      <c r="A5702" s="327" t="str">
        <f>IF(AND($B5702&lt;&gt;"",$C5702&lt;&gt;""),MAX($A$4730:$A5701)+1,"")</f>
        <v/>
      </c>
      <c r="B5702" s="361" t="s">
        <v>1873</v>
      </c>
      <c r="C5702" s="362"/>
      <c r="D5702" s="327">
        <f>IF($B5702="","",COUNTIF($B$4731:$B5702,$B5702))</f>
        <v>19</v>
      </c>
      <c r="E5702" s="362" t="s">
        <v>663</v>
      </c>
      <c r="F5702" s="362" t="s">
        <v>664</v>
      </c>
      <c r="G5702" s="327" t="s">
        <v>155</v>
      </c>
      <c r="H5702" s="361" t="s">
        <v>536</v>
      </c>
      <c r="I5702" s="361" t="s">
        <v>672</v>
      </c>
      <c r="J5702" s="361"/>
      <c r="K5702" s="327" t="s">
        <v>662</v>
      </c>
      <c r="L5702" s="478">
        <v>1000</v>
      </c>
      <c r="M5702" s="355"/>
      <c r="N5702" s="355" t="s">
        <v>2409</v>
      </c>
      <c r="O5702" s="345"/>
      <c r="P5702" s="325"/>
      <c r="Q5702" s="327"/>
      <c r="R5702" s="351"/>
      <c r="S5702" s="351"/>
      <c r="T5702" s="351"/>
      <c r="U5702" s="329" t="str">
        <f>IF($N5702=$N$4,IFERROR(INDEX(DanhMuc!$E$154:$E$165,MATCH(MID($B5702,4,2),DanhMuc!$B$154:$B$165,0)),""),"")</f>
        <v/>
      </c>
      <c r="V5702" s="361"/>
      <c r="W5702" s="345"/>
      <c r="X5702" s="786"/>
      <c r="Y5702" s="1128" t="s">
        <v>3380</v>
      </c>
      <c r="Z5702" s="1128" t="s">
        <v>3381</v>
      </c>
      <c r="AA5702" s="1128" t="s">
        <v>3384</v>
      </c>
      <c r="AB5702" s="20"/>
      <c r="AC5702" s="73"/>
    </row>
    <row r="5703" spans="1:29" ht="39">
      <c r="A5703" s="327">
        <f>IF(AND($B5703&lt;&gt;"",$C5703&lt;&gt;""),MAX($A$4730:$A5664)+1,"")</f>
        <v>36</v>
      </c>
      <c r="B5703" s="359" t="s">
        <v>1869</v>
      </c>
      <c r="C5703" s="360" t="s">
        <v>1896</v>
      </c>
      <c r="D5703" s="327">
        <f>IF($B5703="","",COUNTIF($B$4731:$B5703,$B5703))</f>
        <v>1</v>
      </c>
      <c r="E5703" s="361" t="s">
        <v>1826</v>
      </c>
      <c r="F5703" s="362" t="s">
        <v>670</v>
      </c>
      <c r="G5703" s="327" t="s">
        <v>661</v>
      </c>
      <c r="H5703" s="361" t="s">
        <v>536</v>
      </c>
      <c r="I5703" s="361" t="s">
        <v>2354</v>
      </c>
      <c r="J5703" s="361"/>
      <c r="K5703" s="327" t="s">
        <v>103</v>
      </c>
      <c r="L5703" s="478">
        <f>40000/1000</f>
        <v>40</v>
      </c>
      <c r="M5703" s="355"/>
      <c r="N5703" s="355" t="s">
        <v>2408</v>
      </c>
      <c r="O5703" s="345"/>
      <c r="P5703" s="325"/>
      <c r="Q5703" s="327"/>
      <c r="R5703" s="351"/>
      <c r="S5703" s="351"/>
      <c r="T5703" s="351"/>
      <c r="U5703" s="329" t="str">
        <f>IF($N5703=$N$4,IFERROR(INDEX(DanhMuc!$E$154:$E$165,MATCH(MID($B5703,4,2),DanhMuc!$B$154:$B$165,0)),""),"")</f>
        <v/>
      </c>
      <c r="V5703" s="361"/>
      <c r="W5703" s="345"/>
      <c r="X5703" s="786"/>
      <c r="Y5703" s="1128" t="s">
        <v>3380</v>
      </c>
      <c r="Z5703" s="1128" t="s">
        <v>3381</v>
      </c>
      <c r="AA5703" s="1128" t="s">
        <v>3384</v>
      </c>
      <c r="AB5703" s="20"/>
      <c r="AC5703" s="73"/>
    </row>
    <row r="5704" spans="1:29" ht="37.5">
      <c r="A5704" s="327" t="str">
        <f>IF(AND($B5704&lt;&gt;"",$C5704&lt;&gt;""),MAX($A$4730:$A5693)+1,"")</f>
        <v/>
      </c>
      <c r="B5704" s="361" t="s">
        <v>1869</v>
      </c>
      <c r="C5704" s="360"/>
      <c r="D5704" s="327">
        <f>IF($B5704="","",COUNTIF($B$4731:$B5704,$B5704))</f>
        <v>2</v>
      </c>
      <c r="E5704" s="362" t="s">
        <v>1964</v>
      </c>
      <c r="F5704" s="362" t="s">
        <v>1965</v>
      </c>
      <c r="G5704" s="327" t="s">
        <v>405</v>
      </c>
      <c r="H5704" s="361" t="s">
        <v>536</v>
      </c>
      <c r="I5704" s="361" t="s">
        <v>693</v>
      </c>
      <c r="J5704" s="361"/>
      <c r="K5704" s="327" t="s">
        <v>223</v>
      </c>
      <c r="L5704" s="478">
        <v>140</v>
      </c>
      <c r="M5704" s="371"/>
      <c r="N5704" s="355" t="s">
        <v>2408</v>
      </c>
      <c r="O5704" s="345"/>
      <c r="P5704" s="325"/>
      <c r="Q5704" s="327"/>
      <c r="R5704" s="351"/>
      <c r="S5704" s="351"/>
      <c r="T5704" s="351"/>
      <c r="U5704" s="329" t="str">
        <f>IF($N5704=$N$4,IFERROR(INDEX(DanhMuc!$E$154:$E$165,MATCH(MID($B5704,4,2),DanhMuc!$B$154:$B$165,0)),""),"")</f>
        <v/>
      </c>
      <c r="V5704" s="361"/>
      <c r="W5704" s="345"/>
      <c r="X5704" s="786"/>
      <c r="Y5704" s="1128" t="s">
        <v>3380</v>
      </c>
      <c r="Z5704" s="1128" t="s">
        <v>3381</v>
      </c>
      <c r="AA5704" s="1128" t="s">
        <v>3384</v>
      </c>
      <c r="AB5704" s="20"/>
      <c r="AC5704" s="73"/>
    </row>
    <row r="5705" spans="1:29" ht="37.5">
      <c r="A5705" s="327" t="str">
        <f>IF(AND($B5705&lt;&gt;"",$C5705&lt;&gt;""),MAX($A$4730:$A5703)+1,"")</f>
        <v/>
      </c>
      <c r="B5705" s="361" t="s">
        <v>1869</v>
      </c>
      <c r="C5705" s="362"/>
      <c r="D5705" s="327">
        <f>IF($B5705="","",COUNTIF($B$4731:$B5705,$B5705))</f>
        <v>3</v>
      </c>
      <c r="E5705" s="362" t="s">
        <v>2756</v>
      </c>
      <c r="F5705" s="362" t="s">
        <v>2757</v>
      </c>
      <c r="G5705" s="327" t="s">
        <v>405</v>
      </c>
      <c r="H5705" s="361" t="s">
        <v>536</v>
      </c>
      <c r="I5705" s="361" t="s">
        <v>694</v>
      </c>
      <c r="J5705" s="361"/>
      <c r="K5705" s="327" t="s">
        <v>738</v>
      </c>
      <c r="L5705" s="479">
        <v>322</v>
      </c>
      <c r="M5705" s="371"/>
      <c r="N5705" s="355" t="s">
        <v>2408</v>
      </c>
      <c r="O5705" s="345"/>
      <c r="P5705" s="325"/>
      <c r="Q5705" s="327"/>
      <c r="R5705" s="351"/>
      <c r="S5705" s="351"/>
      <c r="T5705" s="351"/>
      <c r="U5705" s="329" t="str">
        <f>IF($N5705=$N$4,IFERROR(INDEX(DanhMuc!$E$154:$E$165,MATCH(MID($B5705,4,2),DanhMuc!$B$154:$B$165,0)),""),"")</f>
        <v/>
      </c>
      <c r="V5705" s="361"/>
      <c r="W5705" s="345"/>
      <c r="X5705" s="786"/>
      <c r="Y5705" s="1128" t="s">
        <v>3380</v>
      </c>
      <c r="Z5705" s="1128" t="s">
        <v>3381</v>
      </c>
      <c r="AA5705" s="1128" t="s">
        <v>3384</v>
      </c>
      <c r="AB5705" s="20"/>
      <c r="AC5705" s="73"/>
    </row>
    <row r="5706" spans="1:29">
      <c r="A5706" s="327" t="str">
        <f>IF(AND($B5706&lt;&gt;"",$C5706&lt;&gt;""),MAX($A$4730:$A5705)+1,"")</f>
        <v/>
      </c>
      <c r="B5706" s="361" t="s">
        <v>1869</v>
      </c>
      <c r="C5706" s="362"/>
      <c r="D5706" s="327">
        <f>IF($B5706="","",COUNTIF($B$4731:$B5706,$B5706))</f>
        <v>4</v>
      </c>
      <c r="E5706" s="361" t="s">
        <v>656</v>
      </c>
      <c r="F5706" s="362" t="s">
        <v>2239</v>
      </c>
      <c r="G5706" s="327" t="s">
        <v>405</v>
      </c>
      <c r="H5706" s="361" t="s">
        <v>536</v>
      </c>
      <c r="I5706" s="361" t="s">
        <v>1827</v>
      </c>
      <c r="J5706" s="361"/>
      <c r="K5706" s="327" t="s">
        <v>100</v>
      </c>
      <c r="L5706" s="478">
        <v>970</v>
      </c>
      <c r="M5706" s="371"/>
      <c r="N5706" s="355" t="s">
        <v>2409</v>
      </c>
      <c r="O5706" s="345"/>
      <c r="P5706" s="325"/>
      <c r="Q5706" s="327"/>
      <c r="R5706" s="351"/>
      <c r="S5706" s="351"/>
      <c r="T5706" s="351"/>
      <c r="U5706" s="329" t="str">
        <f>IF($N5706=$N$4,IFERROR(INDEX(DanhMuc!$E$154:$E$165,MATCH(MID($B5706,4,2),DanhMuc!$B$154:$B$165,0)),""),"")</f>
        <v/>
      </c>
      <c r="V5706" s="361"/>
      <c r="W5706" s="345"/>
      <c r="X5706" s="786"/>
      <c r="Y5706" s="1128" t="s">
        <v>3380</v>
      </c>
      <c r="Z5706" s="1128" t="s">
        <v>3381</v>
      </c>
      <c r="AA5706" s="1128" t="s">
        <v>3384</v>
      </c>
      <c r="AB5706" s="20"/>
      <c r="AC5706" s="73"/>
    </row>
    <row r="5707" spans="1:29">
      <c r="A5707" s="327" t="str">
        <f>IF(AND($B5707&lt;&gt;"",$C5707&lt;&gt;""),MAX($A$4730:$A5706)+1,"")</f>
        <v/>
      </c>
      <c r="B5707" s="361" t="s">
        <v>1869</v>
      </c>
      <c r="C5707" s="362"/>
      <c r="D5707" s="327">
        <f>IF($B5707="","",COUNTIF($B$4731:$B5707,$B5707))</f>
        <v>5</v>
      </c>
      <c r="E5707" s="361" t="s">
        <v>657</v>
      </c>
      <c r="F5707" s="362" t="s">
        <v>658</v>
      </c>
      <c r="G5707" s="327" t="s">
        <v>424</v>
      </c>
      <c r="H5707" s="361" t="s">
        <v>536</v>
      </c>
      <c r="I5707" s="361" t="s">
        <v>665</v>
      </c>
      <c r="J5707" s="361"/>
      <c r="K5707" s="327" t="s">
        <v>100</v>
      </c>
      <c r="L5707" s="478">
        <v>60000</v>
      </c>
      <c r="M5707" s="355"/>
      <c r="N5707" s="355" t="s">
        <v>2409</v>
      </c>
      <c r="O5707" s="345"/>
      <c r="P5707" s="325"/>
      <c r="Q5707" s="327"/>
      <c r="R5707" s="351"/>
      <c r="S5707" s="351"/>
      <c r="T5707" s="351"/>
      <c r="U5707" s="329" t="str">
        <f>IF($N5707=$N$4,IFERROR(INDEX(DanhMuc!$E$154:$E$165,MATCH(MID($B5707,4,2),DanhMuc!$B$154:$B$165,0)),""),"")</f>
        <v/>
      </c>
      <c r="V5707" s="361"/>
      <c r="W5707" s="345"/>
      <c r="X5707" s="786"/>
      <c r="Y5707" s="1128" t="s">
        <v>3380</v>
      </c>
      <c r="Z5707" s="1128" t="s">
        <v>3381</v>
      </c>
      <c r="AA5707" s="1128" t="s">
        <v>3384</v>
      </c>
      <c r="AB5707" s="20"/>
      <c r="AC5707" s="73"/>
    </row>
    <row r="5708" spans="1:29">
      <c r="A5708" s="327" t="str">
        <f>IF(AND($B5708&lt;&gt;"",$C5708&lt;&gt;""),MAX($A$4730:$A5707)+1,"")</f>
        <v/>
      </c>
      <c r="B5708" s="361" t="s">
        <v>1869</v>
      </c>
      <c r="C5708" s="362"/>
      <c r="D5708" s="327">
        <f>IF($B5708="","",COUNTIF($B$4731:$B5708,$B5708))</f>
        <v>6</v>
      </c>
      <c r="E5708" s="361" t="s">
        <v>2771</v>
      </c>
      <c r="F5708" s="362" t="s">
        <v>659</v>
      </c>
      <c r="G5708" s="327" t="s">
        <v>424</v>
      </c>
      <c r="H5708" s="361" t="s">
        <v>536</v>
      </c>
      <c r="I5708" s="361" t="s">
        <v>666</v>
      </c>
      <c r="J5708" s="361"/>
      <c r="K5708" s="327" t="s">
        <v>100</v>
      </c>
      <c r="L5708" s="389">
        <v>53000</v>
      </c>
      <c r="M5708" s="355"/>
      <c r="N5708" s="355" t="s">
        <v>2409</v>
      </c>
      <c r="O5708" s="345"/>
      <c r="P5708" s="325"/>
      <c r="Q5708" s="327"/>
      <c r="R5708" s="351"/>
      <c r="S5708" s="351"/>
      <c r="T5708" s="351"/>
      <c r="U5708" s="329" t="str">
        <f>IF($N5708=$N$4,IFERROR(INDEX(DanhMuc!$E$154:$E$165,MATCH(MID($B5708,4,2),DanhMuc!$B$154:$B$165,0)),""),"")</f>
        <v/>
      </c>
      <c r="V5708" s="361"/>
      <c r="W5708" s="345"/>
      <c r="X5708" s="786"/>
      <c r="Y5708" s="1128" t="s">
        <v>3380</v>
      </c>
      <c r="Z5708" s="1128" t="s">
        <v>3381</v>
      </c>
      <c r="AA5708" s="1128" t="s">
        <v>3384</v>
      </c>
      <c r="AB5708" s="20"/>
      <c r="AC5708" s="73"/>
    </row>
    <row r="5709" spans="1:29">
      <c r="A5709" s="327" t="str">
        <f>IF(AND($B5709&lt;&gt;"",$C5709&lt;&gt;""),MAX($A$4730:$A5708)+1,"")</f>
        <v/>
      </c>
      <c r="B5709" s="361" t="s">
        <v>1869</v>
      </c>
      <c r="C5709" s="362"/>
      <c r="D5709" s="327">
        <f>IF($B5709="","",COUNTIF($B$4731:$B5709,$B5709))</f>
        <v>7</v>
      </c>
      <c r="E5709" s="361" t="s">
        <v>1828</v>
      </c>
      <c r="F5709" s="362" t="s">
        <v>671</v>
      </c>
      <c r="G5709" s="327" t="s">
        <v>661</v>
      </c>
      <c r="H5709" s="361" t="s">
        <v>536</v>
      </c>
      <c r="I5709" s="361" t="s">
        <v>2355</v>
      </c>
      <c r="J5709" s="361"/>
      <c r="K5709" s="327" t="s">
        <v>100</v>
      </c>
      <c r="L5709" s="478">
        <f>40000/1000</f>
        <v>40</v>
      </c>
      <c r="M5709" s="355"/>
      <c r="N5709" s="355" t="s">
        <v>2409</v>
      </c>
      <c r="O5709" s="345"/>
      <c r="P5709" s="325"/>
      <c r="Q5709" s="327"/>
      <c r="R5709" s="351"/>
      <c r="S5709" s="351"/>
      <c r="T5709" s="351"/>
      <c r="U5709" s="329" t="str">
        <f>IF($N5709=$N$4,IFERROR(INDEX(DanhMuc!$E$154:$E$165,MATCH(MID($B5709,4,2),DanhMuc!$B$154:$B$165,0)),""),"")</f>
        <v/>
      </c>
      <c r="V5709" s="361"/>
      <c r="W5709" s="345"/>
      <c r="X5709" s="786"/>
      <c r="Y5709" s="1128" t="s">
        <v>3380</v>
      </c>
      <c r="Z5709" s="1128" t="s">
        <v>3381</v>
      </c>
      <c r="AA5709" s="1128" t="s">
        <v>3384</v>
      </c>
      <c r="AB5709" s="20"/>
      <c r="AC5709" s="73"/>
    </row>
    <row r="5710" spans="1:29">
      <c r="A5710" s="327" t="str">
        <f>IF(AND($B5710&lt;&gt;"",$C5710&lt;&gt;""),MAX($A$4730:$A5709)+1,"")</f>
        <v/>
      </c>
      <c r="B5710" s="361" t="s">
        <v>1869</v>
      </c>
      <c r="C5710" s="362"/>
      <c r="D5710" s="327">
        <f>IF($B5710="","",COUNTIF($B$4731:$B5710,$B5710))</f>
        <v>8</v>
      </c>
      <c r="E5710" s="361" t="s">
        <v>154</v>
      </c>
      <c r="F5710" s="362" t="s">
        <v>660</v>
      </c>
      <c r="G5710" s="327" t="s">
        <v>661</v>
      </c>
      <c r="H5710" s="361" t="s">
        <v>536</v>
      </c>
      <c r="I5710" s="361" t="s">
        <v>667</v>
      </c>
      <c r="J5710" s="361"/>
      <c r="K5710" s="327" t="s">
        <v>662</v>
      </c>
      <c r="L5710" s="478">
        <v>20</v>
      </c>
      <c r="M5710" s="355"/>
      <c r="N5710" s="355" t="s">
        <v>2409</v>
      </c>
      <c r="O5710" s="345"/>
      <c r="P5710" s="325"/>
      <c r="Q5710" s="327"/>
      <c r="R5710" s="351"/>
      <c r="S5710" s="351"/>
      <c r="T5710" s="351"/>
      <c r="U5710" s="329" t="str">
        <f>IF($N5710=$N$4,IFERROR(INDEX(DanhMuc!$E$154:$E$165,MATCH(MID($B5710,4,2),DanhMuc!$B$154:$B$165,0)),""),"")</f>
        <v/>
      </c>
      <c r="V5710" s="361"/>
      <c r="W5710" s="345"/>
      <c r="X5710" s="786"/>
      <c r="Y5710" s="1128" t="s">
        <v>3380</v>
      </c>
      <c r="Z5710" s="1128" t="s">
        <v>3381</v>
      </c>
      <c r="AA5710" s="1128" t="s">
        <v>3384</v>
      </c>
      <c r="AB5710" s="20"/>
      <c r="AC5710" s="73"/>
    </row>
    <row r="5711" spans="1:29">
      <c r="A5711" s="327" t="str">
        <f>IF(AND($B5711&lt;&gt;"",$C5711&lt;&gt;""),MAX($A$4730:$A5710)+1,"")</f>
        <v/>
      </c>
      <c r="B5711" s="361" t="s">
        <v>1869</v>
      </c>
      <c r="C5711" s="362"/>
      <c r="D5711" s="327">
        <f>IF($B5711="","",COUNTIF($B$4731:$B5711,$B5711))</f>
        <v>9</v>
      </c>
      <c r="E5711" s="362" t="s">
        <v>2282</v>
      </c>
      <c r="F5711" s="362" t="s">
        <v>2283</v>
      </c>
      <c r="G5711" s="327" t="s">
        <v>424</v>
      </c>
      <c r="H5711" s="361" t="s">
        <v>536</v>
      </c>
      <c r="I5711" s="361" t="s">
        <v>2238</v>
      </c>
      <c r="J5711" s="361"/>
      <c r="K5711" s="327" t="s">
        <v>662</v>
      </c>
      <c r="L5711" s="478">
        <v>28000</v>
      </c>
      <c r="M5711" s="355"/>
      <c r="N5711" s="355" t="s">
        <v>2409</v>
      </c>
      <c r="O5711" s="345"/>
      <c r="P5711" s="325"/>
      <c r="Q5711" s="327"/>
      <c r="R5711" s="351"/>
      <c r="S5711" s="351"/>
      <c r="T5711" s="351"/>
      <c r="U5711" s="329" t="str">
        <f>IF($N5711=$N$4,IFERROR(INDEX(DanhMuc!$E$154:$E$165,MATCH(MID($B5711,4,2),DanhMuc!$B$154:$B$165,0)),""),"")</f>
        <v/>
      </c>
      <c r="V5711" s="361"/>
      <c r="W5711" s="345"/>
      <c r="X5711" s="786"/>
      <c r="Y5711" s="1128" t="s">
        <v>3380</v>
      </c>
      <c r="Z5711" s="1128" t="s">
        <v>3381</v>
      </c>
      <c r="AA5711" s="1128" t="s">
        <v>3384</v>
      </c>
      <c r="AB5711" s="20"/>
      <c r="AC5711" s="73"/>
    </row>
    <row r="5712" spans="1:29">
      <c r="A5712" s="327" t="str">
        <f>IF(AND($B5712&lt;&gt;"",$C5712&lt;&gt;""),MAX($A$4730:$A5711)+1,"")</f>
        <v/>
      </c>
      <c r="B5712" s="361" t="s">
        <v>1869</v>
      </c>
      <c r="C5712" s="362"/>
      <c r="D5712" s="327">
        <f>IF($B5712="","",COUNTIF($B$4731:$B5712,$B5712))</f>
        <v>10</v>
      </c>
      <c r="E5712" s="362" t="s">
        <v>663</v>
      </c>
      <c r="F5712" s="362" t="s">
        <v>664</v>
      </c>
      <c r="G5712" s="327" t="s">
        <v>155</v>
      </c>
      <c r="H5712" s="361" t="s">
        <v>536</v>
      </c>
      <c r="I5712" s="361" t="s">
        <v>672</v>
      </c>
      <c r="J5712" s="361"/>
      <c r="K5712" s="327" t="s">
        <v>662</v>
      </c>
      <c r="L5712" s="478">
        <v>1000</v>
      </c>
      <c r="M5712" s="355"/>
      <c r="N5712" s="355" t="s">
        <v>2409</v>
      </c>
      <c r="O5712" s="345"/>
      <c r="P5712" s="325"/>
      <c r="Q5712" s="327"/>
      <c r="R5712" s="351"/>
      <c r="S5712" s="351"/>
      <c r="T5712" s="351"/>
      <c r="U5712" s="329" t="str">
        <f>IF($N5712=$N$4,IFERROR(INDEX(DanhMuc!$E$154:$E$165,MATCH(MID($B5712,4,2),DanhMuc!$B$154:$B$165,0)),""),"")</f>
        <v/>
      </c>
      <c r="V5712" s="361"/>
      <c r="W5712" s="345"/>
      <c r="X5712" s="786"/>
      <c r="Y5712" s="1128" t="s">
        <v>3380</v>
      </c>
      <c r="Z5712" s="1128" t="s">
        <v>3381</v>
      </c>
      <c r="AA5712" s="1128" t="s">
        <v>3384</v>
      </c>
      <c r="AB5712" s="20"/>
      <c r="AC5712" s="73"/>
    </row>
    <row r="5713" spans="1:29" ht="39">
      <c r="A5713" s="327">
        <f>IF(AND($B5713&lt;&gt;"",$C5713&lt;&gt;""),MAX($A$4730:$A5712)+1,"")</f>
        <v>38</v>
      </c>
      <c r="B5713" s="359" t="s">
        <v>1871</v>
      </c>
      <c r="C5713" s="360" t="s">
        <v>1898</v>
      </c>
      <c r="D5713" s="327">
        <f>IF($B5713="","",COUNTIF($B$4731:$B5713,$B5713))</f>
        <v>1</v>
      </c>
      <c r="E5713" s="361" t="s">
        <v>1826</v>
      </c>
      <c r="F5713" s="362" t="s">
        <v>670</v>
      </c>
      <c r="G5713" s="327" t="s">
        <v>661</v>
      </c>
      <c r="H5713" s="361" t="s">
        <v>536</v>
      </c>
      <c r="I5713" s="361" t="s">
        <v>2354</v>
      </c>
      <c r="J5713" s="361"/>
      <c r="K5713" s="327" t="s">
        <v>103</v>
      </c>
      <c r="L5713" s="478">
        <f>40000/1000</f>
        <v>40</v>
      </c>
      <c r="M5713" s="355"/>
      <c r="N5713" s="355" t="s">
        <v>2408</v>
      </c>
      <c r="O5713" s="345"/>
      <c r="P5713" s="325"/>
      <c r="Q5713" s="327"/>
      <c r="R5713" s="351"/>
      <c r="S5713" s="351"/>
      <c r="T5713" s="351"/>
      <c r="U5713" s="329" t="str">
        <f>IF($N5713=$N$4,IFERROR(INDEX(DanhMuc!$E$154:$E$165,MATCH(MID($B5713,4,2),DanhMuc!$B$154:$B$165,0)),""),"")</f>
        <v/>
      </c>
      <c r="V5713" s="361"/>
      <c r="W5713" s="345"/>
      <c r="X5713" s="786"/>
      <c r="Y5713" s="1128" t="s">
        <v>3380</v>
      </c>
      <c r="Z5713" s="1128" t="s">
        <v>3381</v>
      </c>
      <c r="AA5713" s="1128" t="s">
        <v>3384</v>
      </c>
      <c r="AB5713" s="20"/>
      <c r="AC5713" s="73"/>
    </row>
    <row r="5714" spans="1:29" ht="37.5">
      <c r="A5714" s="327" t="str">
        <f>IF(AND($B5714&lt;&gt;"",$C5714&lt;&gt;""),MAX($A$4730:$A5703)+1,"")</f>
        <v/>
      </c>
      <c r="B5714" s="361" t="s">
        <v>1871</v>
      </c>
      <c r="C5714" s="360"/>
      <c r="D5714" s="327">
        <f>IF($B5714="","",COUNTIF($B$4731:$B5714,$B5714))</f>
        <v>2</v>
      </c>
      <c r="E5714" s="362" t="s">
        <v>1964</v>
      </c>
      <c r="F5714" s="362" t="s">
        <v>1965</v>
      </c>
      <c r="G5714" s="327" t="s">
        <v>405</v>
      </c>
      <c r="H5714" s="361" t="s">
        <v>536</v>
      </c>
      <c r="I5714" s="361" t="s">
        <v>693</v>
      </c>
      <c r="J5714" s="361"/>
      <c r="K5714" s="327" t="s">
        <v>223</v>
      </c>
      <c r="L5714" s="478">
        <v>140</v>
      </c>
      <c r="M5714" s="371"/>
      <c r="N5714" s="355" t="s">
        <v>2408</v>
      </c>
      <c r="O5714" s="345"/>
      <c r="P5714" s="325"/>
      <c r="Q5714" s="327"/>
      <c r="R5714" s="351"/>
      <c r="S5714" s="351"/>
      <c r="T5714" s="351"/>
      <c r="U5714" s="329" t="str">
        <f>IF($N5714=$N$4,IFERROR(INDEX(DanhMuc!$E$154:$E$165,MATCH(MID($B5714,4,2),DanhMuc!$B$154:$B$165,0)),""),"")</f>
        <v/>
      </c>
      <c r="V5714" s="361"/>
      <c r="W5714" s="345"/>
      <c r="X5714" s="786"/>
      <c r="Y5714" s="1128" t="s">
        <v>3380</v>
      </c>
      <c r="Z5714" s="1128" t="s">
        <v>3381</v>
      </c>
      <c r="AA5714" s="1128" t="s">
        <v>3384</v>
      </c>
      <c r="AB5714" s="20"/>
      <c r="AC5714" s="73"/>
    </row>
    <row r="5715" spans="1:29" ht="37.5">
      <c r="A5715" s="327" t="str">
        <f>IF(AND($B5715&lt;&gt;"",$C5715&lt;&gt;""),MAX($A$4730:$A5713)+1,"")</f>
        <v/>
      </c>
      <c r="B5715" s="361" t="s">
        <v>1871</v>
      </c>
      <c r="C5715" s="362"/>
      <c r="D5715" s="327">
        <f>IF($B5715="","",COUNTIF($B$4731:$B5715,$B5715))</f>
        <v>3</v>
      </c>
      <c r="E5715" s="362" t="s">
        <v>2756</v>
      </c>
      <c r="F5715" s="362" t="s">
        <v>2757</v>
      </c>
      <c r="G5715" s="327" t="s">
        <v>405</v>
      </c>
      <c r="H5715" s="361" t="s">
        <v>536</v>
      </c>
      <c r="I5715" s="361" t="s">
        <v>694</v>
      </c>
      <c r="J5715" s="361"/>
      <c r="K5715" s="327" t="s">
        <v>738</v>
      </c>
      <c r="L5715" s="479">
        <v>322</v>
      </c>
      <c r="M5715" s="371"/>
      <c r="N5715" s="355" t="s">
        <v>2408</v>
      </c>
      <c r="O5715" s="345"/>
      <c r="P5715" s="325"/>
      <c r="Q5715" s="327"/>
      <c r="R5715" s="351"/>
      <c r="S5715" s="351"/>
      <c r="T5715" s="351"/>
      <c r="U5715" s="329" t="str">
        <f>IF($N5715=$N$4,IFERROR(INDEX(DanhMuc!$E$154:$E$165,MATCH(MID($B5715,4,2),DanhMuc!$B$154:$B$165,0)),""),"")</f>
        <v/>
      </c>
      <c r="V5715" s="361"/>
      <c r="W5715" s="345"/>
      <c r="X5715" s="786"/>
      <c r="Y5715" s="1128" t="s">
        <v>3380</v>
      </c>
      <c r="Z5715" s="1128" t="s">
        <v>3381</v>
      </c>
      <c r="AA5715" s="1128" t="s">
        <v>3384</v>
      </c>
      <c r="AB5715" s="20"/>
      <c r="AC5715" s="73"/>
    </row>
    <row r="5716" spans="1:29">
      <c r="A5716" s="327" t="str">
        <f>IF(AND($B5716&lt;&gt;"",$C5716&lt;&gt;""),MAX($A$4730:$A5715)+1,"")</f>
        <v/>
      </c>
      <c r="B5716" s="361" t="s">
        <v>1871</v>
      </c>
      <c r="C5716" s="362"/>
      <c r="D5716" s="327">
        <f>IF($B5716="","",COUNTIF($B$4731:$B5716,$B5716))</f>
        <v>4</v>
      </c>
      <c r="E5716" s="361" t="s">
        <v>656</v>
      </c>
      <c r="F5716" s="362" t="s">
        <v>2239</v>
      </c>
      <c r="G5716" s="327" t="s">
        <v>405</v>
      </c>
      <c r="H5716" s="361" t="s">
        <v>536</v>
      </c>
      <c r="I5716" s="361" t="s">
        <v>1827</v>
      </c>
      <c r="J5716" s="361"/>
      <c r="K5716" s="327" t="s">
        <v>100</v>
      </c>
      <c r="L5716" s="478">
        <v>970</v>
      </c>
      <c r="M5716" s="371"/>
      <c r="N5716" s="355" t="s">
        <v>2409</v>
      </c>
      <c r="O5716" s="345"/>
      <c r="P5716" s="325"/>
      <c r="Q5716" s="327"/>
      <c r="R5716" s="351"/>
      <c r="S5716" s="351"/>
      <c r="T5716" s="351"/>
      <c r="U5716" s="329" t="str">
        <f>IF($N5716=$N$4,IFERROR(INDEX(DanhMuc!$E$154:$E$165,MATCH(MID($B5716,4,2),DanhMuc!$B$154:$B$165,0)),""),"")</f>
        <v/>
      </c>
      <c r="V5716" s="361"/>
      <c r="W5716" s="345"/>
      <c r="X5716" s="786"/>
      <c r="Y5716" s="1128" t="s">
        <v>3380</v>
      </c>
      <c r="Z5716" s="1128" t="s">
        <v>3381</v>
      </c>
      <c r="AA5716" s="1128" t="s">
        <v>3384</v>
      </c>
      <c r="AB5716" s="20"/>
      <c r="AC5716" s="73"/>
    </row>
    <row r="5717" spans="1:29">
      <c r="A5717" s="327" t="str">
        <f>IF(AND($B5717&lt;&gt;"",$C5717&lt;&gt;""),MAX($A$4730:$A5716)+1,"")</f>
        <v/>
      </c>
      <c r="B5717" s="361" t="s">
        <v>1871</v>
      </c>
      <c r="C5717" s="362"/>
      <c r="D5717" s="327">
        <f>IF($B5717="","",COUNTIF($B$4731:$B5717,$B5717))</f>
        <v>5</v>
      </c>
      <c r="E5717" s="361" t="s">
        <v>657</v>
      </c>
      <c r="F5717" s="362" t="s">
        <v>658</v>
      </c>
      <c r="G5717" s="327" t="s">
        <v>424</v>
      </c>
      <c r="H5717" s="361" t="s">
        <v>536</v>
      </c>
      <c r="I5717" s="361" t="s">
        <v>665</v>
      </c>
      <c r="J5717" s="361"/>
      <c r="K5717" s="327" t="s">
        <v>100</v>
      </c>
      <c r="L5717" s="478">
        <v>60000</v>
      </c>
      <c r="M5717" s="355"/>
      <c r="N5717" s="355" t="s">
        <v>2409</v>
      </c>
      <c r="O5717" s="345"/>
      <c r="P5717" s="325"/>
      <c r="Q5717" s="327"/>
      <c r="R5717" s="351"/>
      <c r="S5717" s="351"/>
      <c r="T5717" s="351"/>
      <c r="U5717" s="329" t="str">
        <f>IF($N5717=$N$4,IFERROR(INDEX(DanhMuc!$E$154:$E$165,MATCH(MID($B5717,4,2),DanhMuc!$B$154:$B$165,0)),""),"")</f>
        <v/>
      </c>
      <c r="V5717" s="361"/>
      <c r="W5717" s="345"/>
      <c r="X5717" s="786"/>
      <c r="Y5717" s="1128" t="s">
        <v>3380</v>
      </c>
      <c r="Z5717" s="1128" t="s">
        <v>3381</v>
      </c>
      <c r="AA5717" s="1128" t="s">
        <v>3384</v>
      </c>
      <c r="AB5717" s="20"/>
      <c r="AC5717" s="73"/>
    </row>
    <row r="5718" spans="1:29">
      <c r="A5718" s="327" t="str">
        <f>IF(AND($B5718&lt;&gt;"",$C5718&lt;&gt;""),MAX($A$4730:$A5717)+1,"")</f>
        <v/>
      </c>
      <c r="B5718" s="361" t="s">
        <v>1871</v>
      </c>
      <c r="C5718" s="362"/>
      <c r="D5718" s="327">
        <f>IF($B5718="","",COUNTIF($B$4731:$B5718,$B5718))</f>
        <v>6</v>
      </c>
      <c r="E5718" s="361" t="s">
        <v>2771</v>
      </c>
      <c r="F5718" s="362" t="s">
        <v>659</v>
      </c>
      <c r="G5718" s="327" t="s">
        <v>424</v>
      </c>
      <c r="H5718" s="361" t="s">
        <v>536</v>
      </c>
      <c r="I5718" s="361" t="s">
        <v>666</v>
      </c>
      <c r="J5718" s="361"/>
      <c r="K5718" s="327" t="s">
        <v>100</v>
      </c>
      <c r="L5718" s="389">
        <v>53000</v>
      </c>
      <c r="M5718" s="355"/>
      <c r="N5718" s="355" t="s">
        <v>2409</v>
      </c>
      <c r="O5718" s="345"/>
      <c r="P5718" s="325"/>
      <c r="Q5718" s="327"/>
      <c r="R5718" s="351"/>
      <c r="S5718" s="351"/>
      <c r="T5718" s="351"/>
      <c r="U5718" s="329" t="str">
        <f>IF($N5718=$N$4,IFERROR(INDEX(DanhMuc!$E$154:$E$165,MATCH(MID($B5718,4,2),DanhMuc!$B$154:$B$165,0)),""),"")</f>
        <v/>
      </c>
      <c r="V5718" s="361"/>
      <c r="W5718" s="345"/>
      <c r="X5718" s="786"/>
      <c r="Y5718" s="1128" t="s">
        <v>3380</v>
      </c>
      <c r="Z5718" s="1128" t="s">
        <v>3381</v>
      </c>
      <c r="AA5718" s="1128" t="s">
        <v>3384</v>
      </c>
      <c r="AB5718" s="20"/>
      <c r="AC5718" s="73"/>
    </row>
    <row r="5719" spans="1:29">
      <c r="A5719" s="327" t="str">
        <f>IF(AND($B5719&lt;&gt;"",$C5719&lt;&gt;""),MAX($A$4730:$A5718)+1,"")</f>
        <v/>
      </c>
      <c r="B5719" s="361" t="s">
        <v>1871</v>
      </c>
      <c r="C5719" s="362"/>
      <c r="D5719" s="327">
        <f>IF($B5719="","",COUNTIF($B$4731:$B5719,$B5719))</f>
        <v>7</v>
      </c>
      <c r="E5719" s="361" t="s">
        <v>1828</v>
      </c>
      <c r="F5719" s="362" t="s">
        <v>671</v>
      </c>
      <c r="G5719" s="327" t="s">
        <v>661</v>
      </c>
      <c r="H5719" s="361" t="s">
        <v>536</v>
      </c>
      <c r="I5719" s="361" t="s">
        <v>2355</v>
      </c>
      <c r="J5719" s="361"/>
      <c r="K5719" s="327" t="s">
        <v>100</v>
      </c>
      <c r="L5719" s="478">
        <f>40000/1000</f>
        <v>40</v>
      </c>
      <c r="M5719" s="355"/>
      <c r="N5719" s="355" t="s">
        <v>2409</v>
      </c>
      <c r="O5719" s="345"/>
      <c r="P5719" s="325"/>
      <c r="Q5719" s="327"/>
      <c r="R5719" s="351"/>
      <c r="S5719" s="351"/>
      <c r="T5719" s="351"/>
      <c r="U5719" s="329" t="str">
        <f>IF($N5719=$N$4,IFERROR(INDEX(DanhMuc!$E$154:$E$165,MATCH(MID($B5719,4,2),DanhMuc!$B$154:$B$165,0)),""),"")</f>
        <v/>
      </c>
      <c r="V5719" s="361"/>
      <c r="W5719" s="345"/>
      <c r="X5719" s="786"/>
      <c r="Y5719" s="1128" t="s">
        <v>3380</v>
      </c>
      <c r="Z5719" s="1128" t="s">
        <v>3381</v>
      </c>
      <c r="AA5719" s="1128" t="s">
        <v>3384</v>
      </c>
      <c r="AB5719" s="20"/>
      <c r="AC5719" s="73"/>
    </row>
    <row r="5720" spans="1:29">
      <c r="A5720" s="327" t="str">
        <f>IF(AND($B5720&lt;&gt;"",$C5720&lt;&gt;""),MAX($A$4730:$A5719)+1,"")</f>
        <v/>
      </c>
      <c r="B5720" s="361" t="s">
        <v>1871</v>
      </c>
      <c r="C5720" s="362"/>
      <c r="D5720" s="327">
        <f>IF($B5720="","",COUNTIF($B$4731:$B5720,$B5720))</f>
        <v>8</v>
      </c>
      <c r="E5720" s="361" t="s">
        <v>154</v>
      </c>
      <c r="F5720" s="362" t="s">
        <v>660</v>
      </c>
      <c r="G5720" s="327" t="s">
        <v>661</v>
      </c>
      <c r="H5720" s="361" t="s">
        <v>536</v>
      </c>
      <c r="I5720" s="361" t="s">
        <v>667</v>
      </c>
      <c r="J5720" s="361"/>
      <c r="K5720" s="327" t="s">
        <v>662</v>
      </c>
      <c r="L5720" s="478">
        <v>20</v>
      </c>
      <c r="M5720" s="355"/>
      <c r="N5720" s="355" t="s">
        <v>2409</v>
      </c>
      <c r="O5720" s="345"/>
      <c r="P5720" s="325"/>
      <c r="Q5720" s="327"/>
      <c r="R5720" s="351"/>
      <c r="S5720" s="351"/>
      <c r="T5720" s="351"/>
      <c r="U5720" s="329" t="str">
        <f>IF($N5720=$N$4,IFERROR(INDEX(DanhMuc!$E$154:$E$165,MATCH(MID($B5720,4,2),DanhMuc!$B$154:$B$165,0)),""),"")</f>
        <v/>
      </c>
      <c r="V5720" s="361"/>
      <c r="W5720" s="345"/>
      <c r="X5720" s="786"/>
      <c r="Y5720" s="1128" t="s">
        <v>3380</v>
      </c>
      <c r="Z5720" s="1128" t="s">
        <v>3381</v>
      </c>
      <c r="AA5720" s="1128" t="s">
        <v>3384</v>
      </c>
      <c r="AB5720" s="20"/>
      <c r="AC5720" s="73"/>
    </row>
    <row r="5721" spans="1:29">
      <c r="A5721" s="327" t="str">
        <f>IF(AND($B5721&lt;&gt;"",$C5721&lt;&gt;""),MAX($A$4730:$A5720)+1,"")</f>
        <v/>
      </c>
      <c r="B5721" s="361" t="s">
        <v>1871</v>
      </c>
      <c r="C5721" s="362"/>
      <c r="D5721" s="327">
        <f>IF($B5721="","",COUNTIF($B$4731:$B5721,$B5721))</f>
        <v>9</v>
      </c>
      <c r="E5721" s="362" t="s">
        <v>2282</v>
      </c>
      <c r="F5721" s="362" t="s">
        <v>2283</v>
      </c>
      <c r="G5721" s="327" t="s">
        <v>424</v>
      </c>
      <c r="H5721" s="361" t="s">
        <v>536</v>
      </c>
      <c r="I5721" s="361" t="s">
        <v>2238</v>
      </c>
      <c r="J5721" s="361"/>
      <c r="K5721" s="327" t="s">
        <v>662</v>
      </c>
      <c r="L5721" s="478">
        <v>28000</v>
      </c>
      <c r="M5721" s="355"/>
      <c r="N5721" s="355" t="s">
        <v>2409</v>
      </c>
      <c r="O5721" s="345"/>
      <c r="P5721" s="325"/>
      <c r="Q5721" s="327"/>
      <c r="R5721" s="351"/>
      <c r="S5721" s="351"/>
      <c r="T5721" s="351"/>
      <c r="U5721" s="329" t="str">
        <f>IF($N5721=$N$4,IFERROR(INDEX(DanhMuc!$E$154:$E$165,MATCH(MID($B5721,4,2),DanhMuc!$B$154:$B$165,0)),""),"")</f>
        <v/>
      </c>
      <c r="V5721" s="361"/>
      <c r="W5721" s="345"/>
      <c r="X5721" s="786"/>
      <c r="Y5721" s="1128" t="s">
        <v>3380</v>
      </c>
      <c r="Z5721" s="1128" t="s">
        <v>3381</v>
      </c>
      <c r="AA5721" s="1128" t="s">
        <v>3384</v>
      </c>
      <c r="AB5721" s="20"/>
      <c r="AC5721" s="73"/>
    </row>
    <row r="5722" spans="1:29">
      <c r="A5722" s="327" t="str">
        <f>IF(AND($B5722&lt;&gt;"",$C5722&lt;&gt;""),MAX($A$4730:$A5721)+1,"")</f>
        <v/>
      </c>
      <c r="B5722" s="361" t="s">
        <v>1871</v>
      </c>
      <c r="C5722" s="362"/>
      <c r="D5722" s="327">
        <f>IF($B5722="","",COUNTIF($B$4731:$B5722,$B5722))</f>
        <v>10</v>
      </c>
      <c r="E5722" s="362" t="s">
        <v>663</v>
      </c>
      <c r="F5722" s="362" t="s">
        <v>664</v>
      </c>
      <c r="G5722" s="327" t="s">
        <v>155</v>
      </c>
      <c r="H5722" s="361" t="s">
        <v>536</v>
      </c>
      <c r="I5722" s="361" t="s">
        <v>672</v>
      </c>
      <c r="J5722" s="361"/>
      <c r="K5722" s="327" t="s">
        <v>662</v>
      </c>
      <c r="L5722" s="478">
        <v>1000</v>
      </c>
      <c r="M5722" s="355"/>
      <c r="N5722" s="355" t="s">
        <v>2409</v>
      </c>
      <c r="O5722" s="345"/>
      <c r="P5722" s="325"/>
      <c r="Q5722" s="327"/>
      <c r="R5722" s="351"/>
      <c r="S5722" s="351"/>
      <c r="T5722" s="351"/>
      <c r="U5722" s="329" t="str">
        <f>IF($N5722=$N$4,IFERROR(INDEX(DanhMuc!$E$154:$E$165,MATCH(MID($B5722,4,2),DanhMuc!$B$154:$B$165,0)),""),"")</f>
        <v/>
      </c>
      <c r="V5722" s="361"/>
      <c r="W5722" s="345"/>
      <c r="X5722" s="786"/>
      <c r="Y5722" s="1128" t="s">
        <v>3380</v>
      </c>
      <c r="Z5722" s="1128" t="s">
        <v>3381</v>
      </c>
      <c r="AA5722" s="1128" t="s">
        <v>3384</v>
      </c>
      <c r="AB5722" s="20"/>
      <c r="AC5722" s="73"/>
    </row>
    <row r="5723" spans="1:29" ht="52">
      <c r="A5723" s="327">
        <f>IF(AND($B5723&lt;&gt;"",$C5723&lt;&gt;""),MAX($A$4730:$A5712)+1,"")</f>
        <v>38</v>
      </c>
      <c r="B5723" s="359" t="s">
        <v>1870</v>
      </c>
      <c r="C5723" s="360" t="s">
        <v>1897</v>
      </c>
      <c r="D5723" s="327">
        <f>IF($B5723="","",COUNTIF($B$4731:$B5723,$B5723))</f>
        <v>1</v>
      </c>
      <c r="E5723" s="361" t="s">
        <v>1826</v>
      </c>
      <c r="F5723" s="362" t="s">
        <v>670</v>
      </c>
      <c r="G5723" s="327" t="s">
        <v>661</v>
      </c>
      <c r="H5723" s="361" t="s">
        <v>536</v>
      </c>
      <c r="I5723" s="361" t="s">
        <v>2354</v>
      </c>
      <c r="J5723" s="361"/>
      <c r="K5723" s="327" t="s">
        <v>103</v>
      </c>
      <c r="L5723" s="478">
        <f>40000/1000</f>
        <v>40</v>
      </c>
      <c r="M5723" s="355"/>
      <c r="N5723" s="355" t="s">
        <v>2408</v>
      </c>
      <c r="O5723" s="345"/>
      <c r="P5723" s="325"/>
      <c r="Q5723" s="327"/>
      <c r="R5723" s="351"/>
      <c r="S5723" s="351"/>
      <c r="T5723" s="351"/>
      <c r="U5723" s="329" t="str">
        <f>IF($N5723=$N$4,IFERROR(INDEX(DanhMuc!$E$154:$E$165,MATCH(MID($B5723,4,2),DanhMuc!$B$154:$B$165,0)),""),"")</f>
        <v/>
      </c>
      <c r="V5723" s="361"/>
      <c r="W5723" s="345"/>
      <c r="X5723" s="786"/>
      <c r="Y5723" s="1128" t="s">
        <v>3380</v>
      </c>
      <c r="Z5723" s="1128" t="s">
        <v>3381</v>
      </c>
      <c r="AA5723" s="1128" t="s">
        <v>3384</v>
      </c>
      <c r="AB5723" s="20"/>
      <c r="AC5723" s="73"/>
    </row>
    <row r="5724" spans="1:29" ht="37.5">
      <c r="A5724" s="327" t="str">
        <f>IF(AND($B5724&lt;&gt;"",$C5724&lt;&gt;""),MAX($A$4730:$A5713)+1,"")</f>
        <v/>
      </c>
      <c r="B5724" s="361" t="s">
        <v>1870</v>
      </c>
      <c r="C5724" s="360"/>
      <c r="D5724" s="327">
        <f>IF($B5724="","",COUNTIF($B$4731:$B5724,$B5724))</f>
        <v>2</v>
      </c>
      <c r="E5724" s="362" t="s">
        <v>1964</v>
      </c>
      <c r="F5724" s="362" t="s">
        <v>1965</v>
      </c>
      <c r="G5724" s="327" t="s">
        <v>405</v>
      </c>
      <c r="H5724" s="361" t="s">
        <v>536</v>
      </c>
      <c r="I5724" s="361" t="s">
        <v>693</v>
      </c>
      <c r="J5724" s="361"/>
      <c r="K5724" s="327" t="s">
        <v>223</v>
      </c>
      <c r="L5724" s="478">
        <v>140</v>
      </c>
      <c r="M5724" s="371"/>
      <c r="N5724" s="355" t="s">
        <v>2408</v>
      </c>
      <c r="O5724" s="345"/>
      <c r="P5724" s="325"/>
      <c r="Q5724" s="327"/>
      <c r="R5724" s="351"/>
      <c r="S5724" s="351"/>
      <c r="T5724" s="351"/>
      <c r="U5724" s="329" t="str">
        <f>IF($N5724=$N$4,IFERROR(INDEX(DanhMuc!$E$154:$E$165,MATCH(MID($B5724,4,2),DanhMuc!$B$154:$B$165,0)),""),"")</f>
        <v/>
      </c>
      <c r="V5724" s="361"/>
      <c r="W5724" s="345"/>
      <c r="X5724" s="786"/>
      <c r="Y5724" s="1128" t="s">
        <v>3380</v>
      </c>
      <c r="Z5724" s="1128" t="s">
        <v>3381</v>
      </c>
      <c r="AA5724" s="1128" t="s">
        <v>3384</v>
      </c>
      <c r="AB5724" s="20"/>
      <c r="AC5724" s="73"/>
    </row>
    <row r="5725" spans="1:29" ht="37.5">
      <c r="A5725" s="327" t="str">
        <f>IF(AND($B5725&lt;&gt;"",$C5725&lt;&gt;""),MAX($A$4730:$A5723)+1,"")</f>
        <v/>
      </c>
      <c r="B5725" s="361" t="s">
        <v>1870</v>
      </c>
      <c r="C5725" s="362"/>
      <c r="D5725" s="327">
        <f>IF($B5725="","",COUNTIF($B$4731:$B5725,$B5725))</f>
        <v>3</v>
      </c>
      <c r="E5725" s="362" t="s">
        <v>2756</v>
      </c>
      <c r="F5725" s="362" t="s">
        <v>2757</v>
      </c>
      <c r="G5725" s="327" t="s">
        <v>405</v>
      </c>
      <c r="H5725" s="361" t="s">
        <v>536</v>
      </c>
      <c r="I5725" s="361" t="s">
        <v>693</v>
      </c>
      <c r="J5725" s="361"/>
      <c r="K5725" s="327" t="s">
        <v>738</v>
      </c>
      <c r="L5725" s="479">
        <v>322</v>
      </c>
      <c r="M5725" s="371"/>
      <c r="N5725" s="355" t="s">
        <v>2408</v>
      </c>
      <c r="O5725" s="345"/>
      <c r="P5725" s="325"/>
      <c r="Q5725" s="327"/>
      <c r="R5725" s="351"/>
      <c r="S5725" s="351"/>
      <c r="T5725" s="351"/>
      <c r="U5725" s="329" t="str">
        <f>IF($N5725=$N$4,IFERROR(INDEX(DanhMuc!$E$154:$E$165,MATCH(MID($B5725,4,2),DanhMuc!$B$154:$B$165,0)),""),"")</f>
        <v/>
      </c>
      <c r="V5725" s="361"/>
      <c r="W5725" s="345"/>
      <c r="X5725" s="786"/>
      <c r="Y5725" s="1128" t="s">
        <v>3380</v>
      </c>
      <c r="Z5725" s="1128" t="s">
        <v>3381</v>
      </c>
      <c r="AA5725" s="1128" t="s">
        <v>3384</v>
      </c>
      <c r="AB5725" s="20"/>
      <c r="AC5725" s="73"/>
    </row>
    <row r="5726" spans="1:29">
      <c r="A5726" s="327" t="str">
        <f>IF(AND($B5726&lt;&gt;"",$C5726&lt;&gt;""),MAX($A$4730:$A5725)+1,"")</f>
        <v/>
      </c>
      <c r="B5726" s="361" t="s">
        <v>1870</v>
      </c>
      <c r="C5726" s="362"/>
      <c r="D5726" s="327">
        <f>IF($B5726="","",COUNTIF($B$4731:$B5726,$B5726))</f>
        <v>4</v>
      </c>
      <c r="E5726" s="361" t="s">
        <v>656</v>
      </c>
      <c r="F5726" s="362" t="s">
        <v>2239</v>
      </c>
      <c r="G5726" s="327" t="s">
        <v>405</v>
      </c>
      <c r="H5726" s="361" t="s">
        <v>536</v>
      </c>
      <c r="I5726" s="361" t="s">
        <v>1827</v>
      </c>
      <c r="J5726" s="361"/>
      <c r="K5726" s="327" t="s">
        <v>100</v>
      </c>
      <c r="L5726" s="478">
        <v>970</v>
      </c>
      <c r="M5726" s="371"/>
      <c r="N5726" s="355" t="s">
        <v>2409</v>
      </c>
      <c r="O5726" s="345"/>
      <c r="P5726" s="325"/>
      <c r="Q5726" s="327"/>
      <c r="R5726" s="351"/>
      <c r="S5726" s="351"/>
      <c r="T5726" s="351"/>
      <c r="U5726" s="329" t="str">
        <f>IF($N5726=$N$4,IFERROR(INDEX(DanhMuc!$E$154:$E$165,MATCH(MID($B5726,4,2),DanhMuc!$B$154:$B$165,0)),""),"")</f>
        <v/>
      </c>
      <c r="V5726" s="361"/>
      <c r="W5726" s="345"/>
      <c r="X5726" s="786"/>
      <c r="Y5726" s="1128" t="s">
        <v>3380</v>
      </c>
      <c r="Z5726" s="1128" t="s">
        <v>3381</v>
      </c>
      <c r="AA5726" s="1128" t="s">
        <v>3384</v>
      </c>
      <c r="AB5726" s="20"/>
      <c r="AC5726" s="73"/>
    </row>
    <row r="5727" spans="1:29">
      <c r="A5727" s="327" t="str">
        <f>IF(AND($B5727&lt;&gt;"",$C5727&lt;&gt;""),MAX($A$4730:$A5726)+1,"")</f>
        <v/>
      </c>
      <c r="B5727" s="361" t="s">
        <v>1870</v>
      </c>
      <c r="C5727" s="362"/>
      <c r="D5727" s="327">
        <f>IF($B5727="","",COUNTIF($B$4731:$B5727,$B5727))</f>
        <v>5</v>
      </c>
      <c r="E5727" s="361" t="s">
        <v>657</v>
      </c>
      <c r="F5727" s="362" t="s">
        <v>658</v>
      </c>
      <c r="G5727" s="327" t="s">
        <v>424</v>
      </c>
      <c r="H5727" s="361" t="s">
        <v>536</v>
      </c>
      <c r="I5727" s="361" t="s">
        <v>665</v>
      </c>
      <c r="J5727" s="361"/>
      <c r="K5727" s="327" t="s">
        <v>100</v>
      </c>
      <c r="L5727" s="478">
        <v>60000</v>
      </c>
      <c r="M5727" s="355"/>
      <c r="N5727" s="355" t="s">
        <v>2409</v>
      </c>
      <c r="O5727" s="345"/>
      <c r="P5727" s="325"/>
      <c r="Q5727" s="327"/>
      <c r="R5727" s="351"/>
      <c r="S5727" s="351"/>
      <c r="T5727" s="351"/>
      <c r="U5727" s="329" t="str">
        <f>IF($N5727=$N$4,IFERROR(INDEX(DanhMuc!$E$154:$E$165,MATCH(MID($B5727,4,2),DanhMuc!$B$154:$B$165,0)),""),"")</f>
        <v/>
      </c>
      <c r="V5727" s="361"/>
      <c r="W5727" s="345"/>
      <c r="X5727" s="786"/>
      <c r="Y5727" s="1128" t="s">
        <v>3380</v>
      </c>
      <c r="Z5727" s="1128" t="s">
        <v>3381</v>
      </c>
      <c r="AA5727" s="1128" t="s">
        <v>3384</v>
      </c>
      <c r="AB5727" s="20"/>
      <c r="AC5727" s="73"/>
    </row>
    <row r="5728" spans="1:29">
      <c r="A5728" s="327" t="str">
        <f>IF(AND($B5728&lt;&gt;"",$C5728&lt;&gt;""),MAX($A$4730:$A5727)+1,"")</f>
        <v/>
      </c>
      <c r="B5728" s="361" t="s">
        <v>1870</v>
      </c>
      <c r="C5728" s="362"/>
      <c r="D5728" s="327">
        <f>IF($B5728="","",COUNTIF($B$4731:$B5728,$B5728))</f>
        <v>6</v>
      </c>
      <c r="E5728" s="361" t="s">
        <v>2771</v>
      </c>
      <c r="F5728" s="362" t="s">
        <v>659</v>
      </c>
      <c r="G5728" s="327" t="s">
        <v>424</v>
      </c>
      <c r="H5728" s="361" t="s">
        <v>536</v>
      </c>
      <c r="I5728" s="361" t="s">
        <v>666</v>
      </c>
      <c r="J5728" s="361"/>
      <c r="K5728" s="327" t="s">
        <v>100</v>
      </c>
      <c r="L5728" s="389">
        <v>53000</v>
      </c>
      <c r="M5728" s="355"/>
      <c r="N5728" s="355" t="s">
        <v>2409</v>
      </c>
      <c r="O5728" s="345"/>
      <c r="P5728" s="325"/>
      <c r="Q5728" s="327"/>
      <c r="R5728" s="351"/>
      <c r="S5728" s="351"/>
      <c r="T5728" s="351"/>
      <c r="U5728" s="329" t="str">
        <f>IF($N5728=$N$4,IFERROR(INDEX(DanhMuc!$E$154:$E$165,MATCH(MID($B5728,4,2),DanhMuc!$B$154:$B$165,0)),""),"")</f>
        <v/>
      </c>
      <c r="V5728" s="361"/>
      <c r="W5728" s="345"/>
      <c r="X5728" s="786"/>
      <c r="Y5728" s="1128" t="s">
        <v>3380</v>
      </c>
      <c r="Z5728" s="1128" t="s">
        <v>3381</v>
      </c>
      <c r="AA5728" s="1128" t="s">
        <v>3384</v>
      </c>
      <c r="AB5728" s="20"/>
      <c r="AC5728" s="73"/>
    </row>
    <row r="5729" spans="1:29">
      <c r="A5729" s="327" t="str">
        <f>IF(AND($B5729&lt;&gt;"",$C5729&lt;&gt;""),MAX($A$4730:$A5728)+1,"")</f>
        <v/>
      </c>
      <c r="B5729" s="361" t="s">
        <v>1870</v>
      </c>
      <c r="C5729" s="362"/>
      <c r="D5729" s="327">
        <f>IF($B5729="","",COUNTIF($B$4731:$B5729,$B5729))</f>
        <v>7</v>
      </c>
      <c r="E5729" s="361" t="s">
        <v>1828</v>
      </c>
      <c r="F5729" s="362" t="s">
        <v>671</v>
      </c>
      <c r="G5729" s="327" t="s">
        <v>661</v>
      </c>
      <c r="H5729" s="361" t="s">
        <v>536</v>
      </c>
      <c r="I5729" s="361" t="s">
        <v>2355</v>
      </c>
      <c r="J5729" s="361"/>
      <c r="K5729" s="327" t="s">
        <v>100</v>
      </c>
      <c r="L5729" s="478">
        <f>40000/1000</f>
        <v>40</v>
      </c>
      <c r="M5729" s="355"/>
      <c r="N5729" s="355" t="s">
        <v>2409</v>
      </c>
      <c r="O5729" s="345"/>
      <c r="P5729" s="325"/>
      <c r="Q5729" s="327"/>
      <c r="R5729" s="351"/>
      <c r="S5729" s="351"/>
      <c r="T5729" s="351"/>
      <c r="U5729" s="329" t="str">
        <f>IF($N5729=$N$4,IFERROR(INDEX(DanhMuc!$E$154:$E$165,MATCH(MID($B5729,4,2),DanhMuc!$B$154:$B$165,0)),""),"")</f>
        <v/>
      </c>
      <c r="V5729" s="361"/>
      <c r="W5729" s="345"/>
      <c r="X5729" s="786"/>
      <c r="Y5729" s="1128" t="s">
        <v>3380</v>
      </c>
      <c r="Z5729" s="1128" t="s">
        <v>3381</v>
      </c>
      <c r="AA5729" s="1128" t="s">
        <v>3384</v>
      </c>
      <c r="AB5729" s="20"/>
      <c r="AC5729" s="73"/>
    </row>
    <row r="5730" spans="1:29">
      <c r="A5730" s="327" t="str">
        <f>IF(AND($B5730&lt;&gt;"",$C5730&lt;&gt;""),MAX($A$4730:$A5729)+1,"")</f>
        <v/>
      </c>
      <c r="B5730" s="361" t="s">
        <v>1870</v>
      </c>
      <c r="C5730" s="362"/>
      <c r="D5730" s="327">
        <f>IF($B5730="","",COUNTIF($B$4731:$B5730,$B5730))</f>
        <v>8</v>
      </c>
      <c r="E5730" s="361" t="s">
        <v>154</v>
      </c>
      <c r="F5730" s="362" t="s">
        <v>660</v>
      </c>
      <c r="G5730" s="327" t="s">
        <v>661</v>
      </c>
      <c r="H5730" s="361" t="s">
        <v>536</v>
      </c>
      <c r="I5730" s="361" t="s">
        <v>667</v>
      </c>
      <c r="J5730" s="361"/>
      <c r="K5730" s="327" t="s">
        <v>662</v>
      </c>
      <c r="L5730" s="478">
        <v>20</v>
      </c>
      <c r="M5730" s="355"/>
      <c r="N5730" s="355" t="s">
        <v>2409</v>
      </c>
      <c r="O5730" s="345"/>
      <c r="P5730" s="325"/>
      <c r="Q5730" s="327"/>
      <c r="R5730" s="351"/>
      <c r="S5730" s="351"/>
      <c r="T5730" s="351"/>
      <c r="U5730" s="329" t="str">
        <f>IF($N5730=$N$4,IFERROR(INDEX(DanhMuc!$E$154:$E$165,MATCH(MID($B5730,4,2),DanhMuc!$B$154:$B$165,0)),""),"")</f>
        <v/>
      </c>
      <c r="V5730" s="361"/>
      <c r="W5730" s="345"/>
      <c r="X5730" s="786"/>
      <c r="Y5730" s="1128" t="s">
        <v>3380</v>
      </c>
      <c r="Z5730" s="1128" t="s">
        <v>3381</v>
      </c>
      <c r="AA5730" s="1128" t="s">
        <v>3384</v>
      </c>
      <c r="AB5730" s="20"/>
      <c r="AC5730" s="73"/>
    </row>
    <row r="5731" spans="1:29">
      <c r="A5731" s="327" t="str">
        <f>IF(AND($B5731&lt;&gt;"",$C5731&lt;&gt;""),MAX($A$4730:$A5730)+1,"")</f>
        <v/>
      </c>
      <c r="B5731" s="361" t="s">
        <v>1870</v>
      </c>
      <c r="C5731" s="362"/>
      <c r="D5731" s="327">
        <f>IF($B5731="","",COUNTIF($B$4731:$B5731,$B5731))</f>
        <v>9</v>
      </c>
      <c r="E5731" s="362" t="s">
        <v>2282</v>
      </c>
      <c r="F5731" s="362" t="s">
        <v>2283</v>
      </c>
      <c r="G5731" s="327" t="s">
        <v>424</v>
      </c>
      <c r="H5731" s="361" t="s">
        <v>536</v>
      </c>
      <c r="I5731" s="361" t="s">
        <v>2238</v>
      </c>
      <c r="J5731" s="361"/>
      <c r="K5731" s="327" t="s">
        <v>662</v>
      </c>
      <c r="L5731" s="478">
        <v>28000</v>
      </c>
      <c r="M5731" s="355"/>
      <c r="N5731" s="355" t="s">
        <v>2409</v>
      </c>
      <c r="O5731" s="345"/>
      <c r="P5731" s="325"/>
      <c r="Q5731" s="327"/>
      <c r="R5731" s="351"/>
      <c r="S5731" s="351"/>
      <c r="T5731" s="351"/>
      <c r="U5731" s="329" t="str">
        <f>IF($N5731=$N$4,IFERROR(INDEX(DanhMuc!$E$154:$E$165,MATCH(MID($B5731,4,2),DanhMuc!$B$154:$B$165,0)),""),"")</f>
        <v/>
      </c>
      <c r="V5731" s="361"/>
      <c r="W5731" s="345"/>
      <c r="X5731" s="786"/>
      <c r="Y5731" s="1128" t="s">
        <v>3380</v>
      </c>
      <c r="Z5731" s="1128" t="s">
        <v>3381</v>
      </c>
      <c r="AA5731" s="1128" t="s">
        <v>3384</v>
      </c>
      <c r="AB5731" s="20"/>
      <c r="AC5731" s="73"/>
    </row>
    <row r="5732" spans="1:29">
      <c r="A5732" s="327" t="str">
        <f>IF(AND($B5732&lt;&gt;"",$C5732&lt;&gt;""),MAX($A$4730:$A5731)+1,"")</f>
        <v/>
      </c>
      <c r="B5732" s="361" t="s">
        <v>1870</v>
      </c>
      <c r="C5732" s="362"/>
      <c r="D5732" s="327">
        <f>IF($B5732="","",COUNTIF($B$4731:$B5732,$B5732))</f>
        <v>10</v>
      </c>
      <c r="E5732" s="362" t="s">
        <v>663</v>
      </c>
      <c r="F5732" s="362" t="s">
        <v>664</v>
      </c>
      <c r="G5732" s="327" t="s">
        <v>155</v>
      </c>
      <c r="H5732" s="361" t="s">
        <v>536</v>
      </c>
      <c r="I5732" s="361" t="s">
        <v>672</v>
      </c>
      <c r="J5732" s="361"/>
      <c r="K5732" s="327" t="s">
        <v>662</v>
      </c>
      <c r="L5732" s="478">
        <v>1000</v>
      </c>
      <c r="M5732" s="355"/>
      <c r="N5732" s="355" t="s">
        <v>2409</v>
      </c>
      <c r="O5732" s="345"/>
      <c r="P5732" s="325"/>
      <c r="Q5732" s="327"/>
      <c r="R5732" s="351"/>
      <c r="S5732" s="351"/>
      <c r="T5732" s="351"/>
      <c r="U5732" s="329" t="str">
        <f>IF($N5732=$N$4,IFERROR(INDEX(DanhMuc!$E$154:$E$165,MATCH(MID($B5732,4,2),DanhMuc!$B$154:$B$165,0)),""),"")</f>
        <v/>
      </c>
      <c r="V5732" s="361"/>
      <c r="W5732" s="345"/>
      <c r="X5732" s="786"/>
      <c r="Y5732" s="1128" t="s">
        <v>3380</v>
      </c>
      <c r="Z5732" s="1128" t="s">
        <v>3381</v>
      </c>
      <c r="AA5732" s="1128" t="s">
        <v>3384</v>
      </c>
      <c r="AB5732" s="20"/>
      <c r="AC5732" s="73"/>
    </row>
    <row r="5733" spans="1:29" ht="39">
      <c r="A5733" s="327">
        <f>IF(AND($B5733&lt;&gt;"",$C5733&lt;&gt;""),MAX($A$4730:$A5732)+1,"")</f>
        <v>39</v>
      </c>
      <c r="B5733" s="359" t="s">
        <v>1874</v>
      </c>
      <c r="C5733" s="360" t="s">
        <v>1901</v>
      </c>
      <c r="D5733" s="327">
        <f>IF($B5733="","",COUNTIF($B$4731:$B5733,$B5733))</f>
        <v>1</v>
      </c>
      <c r="E5733" s="480" t="s">
        <v>2858</v>
      </c>
      <c r="F5733" s="403" t="s">
        <v>2859</v>
      </c>
      <c r="G5733" s="327" t="s">
        <v>155</v>
      </c>
      <c r="H5733" s="361" t="s">
        <v>536</v>
      </c>
      <c r="I5733" s="327">
        <v>4</v>
      </c>
      <c r="J5733" s="361"/>
      <c r="K5733" s="327" t="s">
        <v>100</v>
      </c>
      <c r="L5733" s="389">
        <v>7100</v>
      </c>
      <c r="M5733" s="355"/>
      <c r="N5733" s="355" t="s">
        <v>2408</v>
      </c>
      <c r="O5733" s="345" t="s">
        <v>2777</v>
      </c>
      <c r="P5733" s="325"/>
      <c r="Q5733" s="327"/>
      <c r="R5733" s="351"/>
      <c r="S5733" s="351"/>
      <c r="T5733" s="351"/>
      <c r="U5733" s="329" t="str">
        <f>IF($N5733=$N$4,IFERROR(INDEX(DanhMuc!$E$154:$E$165,MATCH(MID($B5733,4,2),DanhMuc!$B$154:$B$165,0)),""),"")</f>
        <v/>
      </c>
      <c r="V5733" s="361"/>
      <c r="W5733" s="345"/>
      <c r="X5733" s="786"/>
      <c r="Y5733" s="1128" t="s">
        <v>3380</v>
      </c>
      <c r="Z5733" s="1128" t="s">
        <v>3381</v>
      </c>
      <c r="AA5733" s="1128" t="s">
        <v>3384</v>
      </c>
      <c r="AB5733" s="20"/>
      <c r="AC5733" s="73"/>
    </row>
    <row r="5734" spans="1:29" ht="25">
      <c r="A5734" s="327" t="str">
        <f>IF(AND($B5734&lt;&gt;"",$C5734&lt;&gt;""),MAX($A$4730:$A5733)+1,"")</f>
        <v/>
      </c>
      <c r="B5734" s="361" t="s">
        <v>1874</v>
      </c>
      <c r="C5734" s="360"/>
      <c r="D5734" s="327">
        <f>IF($B5734="","",COUNTIF($B$4731:$B5734,$B5734))</f>
        <v>2</v>
      </c>
      <c r="E5734" s="480" t="s">
        <v>2304</v>
      </c>
      <c r="F5734" s="403" t="s">
        <v>2335</v>
      </c>
      <c r="G5734" s="327" t="s">
        <v>155</v>
      </c>
      <c r="H5734" s="361" t="s">
        <v>536</v>
      </c>
      <c r="I5734" s="327">
        <v>4</v>
      </c>
      <c r="J5734" s="361"/>
      <c r="K5734" s="327" t="s">
        <v>100</v>
      </c>
      <c r="L5734" s="389">
        <v>7100</v>
      </c>
      <c r="M5734" s="355"/>
      <c r="N5734" s="355" t="s">
        <v>2408</v>
      </c>
      <c r="O5734" s="345" t="s">
        <v>2776</v>
      </c>
      <c r="P5734" s="325"/>
      <c r="Q5734" s="327"/>
      <c r="R5734" s="351"/>
      <c r="S5734" s="351"/>
      <c r="T5734" s="351"/>
      <c r="U5734" s="329" t="str">
        <f>IF($N5734=$N$4,IFERROR(INDEX(DanhMuc!$E$154:$E$165,MATCH(MID($B5734,4,2),DanhMuc!$B$154:$B$165,0)),""),"")</f>
        <v/>
      </c>
      <c r="V5734" s="361"/>
      <c r="W5734" s="345"/>
      <c r="X5734" s="786"/>
      <c r="Y5734" s="1128" t="s">
        <v>3380</v>
      </c>
      <c r="Z5734" s="1128" t="s">
        <v>3381</v>
      </c>
      <c r="AA5734" s="1128" t="s">
        <v>3384</v>
      </c>
      <c r="AB5734" s="20"/>
      <c r="AC5734" s="73"/>
    </row>
    <row r="5735" spans="1:29">
      <c r="A5735" s="327" t="str">
        <f>IF(AND($B5735&lt;&gt;"",$C5735&lt;&gt;""),MAX($A$4730:$A5733)+1,"")</f>
        <v/>
      </c>
      <c r="B5735" s="361" t="s">
        <v>1874</v>
      </c>
      <c r="C5735" s="360"/>
      <c r="D5735" s="327">
        <f>IF($B5735="","",COUNTIF($B$4731:$B5735,$B5735))</f>
        <v>3</v>
      </c>
      <c r="E5735" s="402" t="s">
        <v>2788</v>
      </c>
      <c r="F5735" s="403" t="s">
        <v>2789</v>
      </c>
      <c r="G5735" s="327" t="s">
        <v>155</v>
      </c>
      <c r="H5735" s="361" t="s">
        <v>536</v>
      </c>
      <c r="I5735" s="327">
        <f>4*I5733</f>
        <v>16</v>
      </c>
      <c r="J5735" s="361"/>
      <c r="K5735" s="327" t="s">
        <v>100</v>
      </c>
      <c r="L5735" s="389">
        <v>600</v>
      </c>
      <c r="M5735" s="355"/>
      <c r="N5735" s="355" t="s">
        <v>2408</v>
      </c>
      <c r="O5735" s="345" t="s">
        <v>2776</v>
      </c>
      <c r="P5735" s="325"/>
      <c r="Q5735" s="327"/>
      <c r="R5735" s="351"/>
      <c r="S5735" s="351"/>
      <c r="T5735" s="351"/>
      <c r="U5735" s="329" t="str">
        <f>IF($N5735=$N$4,IFERROR(INDEX(DanhMuc!$E$154:$E$165,MATCH(MID($B5735,4,2),DanhMuc!$B$154:$B$165,0)),""),"")</f>
        <v/>
      </c>
      <c r="V5735" s="361"/>
      <c r="W5735" s="345"/>
      <c r="X5735" s="786"/>
      <c r="Y5735" s="1128" t="s">
        <v>3380</v>
      </c>
      <c r="Z5735" s="1128" t="s">
        <v>3381</v>
      </c>
      <c r="AA5735" s="1128" t="s">
        <v>3384</v>
      </c>
      <c r="AB5735" s="20"/>
      <c r="AC5735" s="73"/>
    </row>
    <row r="5736" spans="1:29">
      <c r="A5736" s="327" t="str">
        <f>IF(AND($B5736&lt;&gt;"",$C5736&lt;&gt;""),MAX($A$4730:$A5733)+1,"")</f>
        <v/>
      </c>
      <c r="B5736" s="361" t="s">
        <v>1874</v>
      </c>
      <c r="C5736" s="362"/>
      <c r="D5736" s="327">
        <f>IF($B5736="","",COUNTIF($B$4731:$B5736,$B5736))</f>
        <v>4</v>
      </c>
      <c r="E5736" s="361" t="s">
        <v>414</v>
      </c>
      <c r="F5736" s="362" t="s">
        <v>413</v>
      </c>
      <c r="G5736" s="327" t="s">
        <v>155</v>
      </c>
      <c r="H5736" s="361" t="s">
        <v>536</v>
      </c>
      <c r="I5736" s="327">
        <v>4</v>
      </c>
      <c r="J5736" s="361"/>
      <c r="K5736" s="327" t="s">
        <v>100</v>
      </c>
      <c r="L5736" s="389">
        <v>408</v>
      </c>
      <c r="M5736" s="355"/>
      <c r="N5736" s="355" t="s">
        <v>2408</v>
      </c>
      <c r="O5736" s="345"/>
      <c r="P5736" s="325"/>
      <c r="Q5736" s="327"/>
      <c r="R5736" s="351"/>
      <c r="S5736" s="351"/>
      <c r="T5736" s="351"/>
      <c r="U5736" s="329" t="str">
        <f>IF($N5736=$N$4,IFERROR(INDEX(DanhMuc!$E$154:$E$165,MATCH(MID($B5736,4,2),DanhMuc!$B$154:$B$165,0)),""),"")</f>
        <v/>
      </c>
      <c r="V5736" s="361"/>
      <c r="W5736" s="345"/>
      <c r="X5736" s="786"/>
      <c r="Y5736" s="1128" t="s">
        <v>3380</v>
      </c>
      <c r="Z5736" s="1128" t="s">
        <v>3381</v>
      </c>
      <c r="AA5736" s="1128" t="s">
        <v>3384</v>
      </c>
      <c r="AB5736" s="20"/>
      <c r="AC5736" s="73"/>
    </row>
    <row r="5737" spans="1:29">
      <c r="A5737" s="327" t="str">
        <f>IF(AND($B5737&lt;&gt;"",$C5737&lt;&gt;""),MAX($A$4730:$A5736)+1,"")</f>
        <v/>
      </c>
      <c r="B5737" s="361" t="s">
        <v>1874</v>
      </c>
      <c r="C5737" s="362"/>
      <c r="D5737" s="327">
        <f>IF($B5737="","",COUNTIF($B$4731:$B5737,$B5737))</f>
        <v>5</v>
      </c>
      <c r="E5737" s="361" t="s">
        <v>654</v>
      </c>
      <c r="F5737" s="362" t="s">
        <v>653</v>
      </c>
      <c r="G5737" s="327" t="s">
        <v>1836</v>
      </c>
      <c r="H5737" s="361" t="s">
        <v>536</v>
      </c>
      <c r="I5737" s="327">
        <f>I5733/45</f>
        <v>8.8888888888888892E-2</v>
      </c>
      <c r="J5737" s="477"/>
      <c r="K5737" s="327" t="s">
        <v>655</v>
      </c>
      <c r="L5737" s="478">
        <v>115000</v>
      </c>
      <c r="M5737" s="355"/>
      <c r="N5737" s="355" t="s">
        <v>2408</v>
      </c>
      <c r="O5737" s="345" t="s">
        <v>2777</v>
      </c>
      <c r="P5737" s="325"/>
      <c r="Q5737" s="327"/>
      <c r="R5737" s="351"/>
      <c r="S5737" s="351"/>
      <c r="T5737" s="351"/>
      <c r="U5737" s="329" t="str">
        <f>IF($N5737=$N$4,IFERROR(INDEX(DanhMuc!$E$154:$E$165,MATCH(MID($B5737,4,2),DanhMuc!$B$154:$B$165,0)),""),"")</f>
        <v/>
      </c>
      <c r="V5737" s="361"/>
      <c r="W5737" s="345"/>
      <c r="X5737" s="786"/>
      <c r="Y5737" s="1128" t="s">
        <v>3380</v>
      </c>
      <c r="Z5737" s="1128" t="s">
        <v>3381</v>
      </c>
      <c r="AA5737" s="1128" t="s">
        <v>3384</v>
      </c>
      <c r="AB5737" s="20"/>
      <c r="AC5737" s="73"/>
    </row>
    <row r="5738" spans="1:29">
      <c r="A5738" s="327" t="str">
        <f>IF(AND($B5738&lt;&gt;"",$C5738&lt;&gt;""),MAX($A$4730:$A5736)+1,"")</f>
        <v/>
      </c>
      <c r="B5738" s="361" t="s">
        <v>1874</v>
      </c>
      <c r="C5738" s="362"/>
      <c r="D5738" s="327">
        <f>IF($B5738="","",COUNTIF($B$4731:$B5738,$B5738))</f>
        <v>6</v>
      </c>
      <c r="E5738" s="361" t="s">
        <v>1826</v>
      </c>
      <c r="F5738" s="362" t="s">
        <v>670</v>
      </c>
      <c r="G5738" s="327" t="s">
        <v>661</v>
      </c>
      <c r="H5738" s="361" t="s">
        <v>536</v>
      </c>
      <c r="I5738" s="361" t="s">
        <v>2354</v>
      </c>
      <c r="J5738" s="361"/>
      <c r="K5738" s="327" t="s">
        <v>103</v>
      </c>
      <c r="L5738" s="478">
        <f>40000/1000</f>
        <v>40</v>
      </c>
      <c r="M5738" s="355"/>
      <c r="N5738" s="355" t="s">
        <v>2408</v>
      </c>
      <c r="O5738" s="345"/>
      <c r="P5738" s="325"/>
      <c r="Q5738" s="327"/>
      <c r="R5738" s="351"/>
      <c r="S5738" s="351"/>
      <c r="T5738" s="351"/>
      <c r="U5738" s="329" t="str">
        <f>IF($N5738=$N$4,IFERROR(INDEX(DanhMuc!$E$154:$E$165,MATCH(MID($B5738,4,2),DanhMuc!$B$154:$B$165,0)),""),"")</f>
        <v/>
      </c>
      <c r="V5738" s="361"/>
      <c r="W5738" s="345"/>
      <c r="X5738" s="786"/>
      <c r="Y5738" s="1128" t="s">
        <v>3380</v>
      </c>
      <c r="Z5738" s="1128" t="s">
        <v>3381</v>
      </c>
      <c r="AA5738" s="1128" t="s">
        <v>3384</v>
      </c>
      <c r="AB5738" s="20"/>
      <c r="AC5738" s="73"/>
    </row>
    <row r="5739" spans="1:29">
      <c r="A5739" s="327" t="str">
        <f>IF(AND($B5739&lt;&gt;"",$C5739&lt;&gt;""),MAX($A$4730:$A5738)+1,"")</f>
        <v/>
      </c>
      <c r="B5739" s="361" t="s">
        <v>1874</v>
      </c>
      <c r="C5739" s="362"/>
      <c r="D5739" s="327">
        <f>IF($B5739="","",COUNTIF($B$4731:$B5739,$B5739))</f>
        <v>7</v>
      </c>
      <c r="E5739" s="361" t="s">
        <v>656</v>
      </c>
      <c r="F5739" s="362" t="s">
        <v>2239</v>
      </c>
      <c r="G5739" s="327" t="s">
        <v>405</v>
      </c>
      <c r="H5739" s="361" t="s">
        <v>536</v>
      </c>
      <c r="I5739" s="361" t="s">
        <v>1827</v>
      </c>
      <c r="J5739" s="361"/>
      <c r="K5739" s="327" t="s">
        <v>100</v>
      </c>
      <c r="L5739" s="478">
        <v>970</v>
      </c>
      <c r="M5739" s="371"/>
      <c r="N5739" s="355" t="s">
        <v>2409</v>
      </c>
      <c r="O5739" s="345"/>
      <c r="P5739" s="325"/>
      <c r="Q5739" s="327"/>
      <c r="R5739" s="351"/>
      <c r="S5739" s="351"/>
      <c r="T5739" s="351"/>
      <c r="U5739" s="329" t="str">
        <f>IF($N5739=$N$4,IFERROR(INDEX(DanhMuc!$E$154:$E$165,MATCH(MID($B5739,4,2),DanhMuc!$B$154:$B$165,0)),""),"")</f>
        <v/>
      </c>
      <c r="V5739" s="361"/>
      <c r="W5739" s="345"/>
      <c r="X5739" s="786"/>
      <c r="Y5739" s="1128" t="s">
        <v>3380</v>
      </c>
      <c r="Z5739" s="1128" t="s">
        <v>3381</v>
      </c>
      <c r="AA5739" s="1128" t="s">
        <v>3384</v>
      </c>
      <c r="AB5739" s="20"/>
      <c r="AC5739" s="73"/>
    </row>
    <row r="5740" spans="1:29">
      <c r="A5740" s="327" t="str">
        <f>IF(AND($B5740&lt;&gt;"",$C5740&lt;&gt;""),MAX($A$4730:$A5739)+1,"")</f>
        <v/>
      </c>
      <c r="B5740" s="361" t="s">
        <v>1874</v>
      </c>
      <c r="C5740" s="362"/>
      <c r="D5740" s="327">
        <f>IF($B5740="","",COUNTIF($B$4731:$B5740,$B5740))</f>
        <v>8</v>
      </c>
      <c r="E5740" s="361" t="s">
        <v>2544</v>
      </c>
      <c r="F5740" s="362" t="s">
        <v>2545</v>
      </c>
      <c r="G5740" s="327" t="s">
        <v>405</v>
      </c>
      <c r="H5740" s="361" t="s">
        <v>536</v>
      </c>
      <c r="I5740" s="361" t="s">
        <v>2555</v>
      </c>
      <c r="J5740" s="361"/>
      <c r="K5740" s="327" t="s">
        <v>100</v>
      </c>
      <c r="L5740" s="478">
        <v>270</v>
      </c>
      <c r="M5740" s="371"/>
      <c r="N5740" s="355" t="s">
        <v>2409</v>
      </c>
      <c r="O5740" s="345"/>
      <c r="P5740" s="325"/>
      <c r="Q5740" s="327"/>
      <c r="R5740" s="351"/>
      <c r="S5740" s="351"/>
      <c r="T5740" s="351"/>
      <c r="U5740" s="329" t="str">
        <f>IF($N5740=$N$4,IFERROR(INDEX(DanhMuc!$E$154:$E$165,MATCH(MID($B5740,4,2),DanhMuc!$B$154:$B$165,0)),""),"")</f>
        <v/>
      </c>
      <c r="V5740" s="361"/>
      <c r="W5740" s="345"/>
      <c r="X5740" s="786"/>
      <c r="Y5740" s="1128" t="s">
        <v>3380</v>
      </c>
      <c r="Z5740" s="1128" t="s">
        <v>3381</v>
      </c>
      <c r="AA5740" s="1128" t="s">
        <v>3384</v>
      </c>
      <c r="AB5740" s="20"/>
      <c r="AC5740" s="73"/>
    </row>
    <row r="5741" spans="1:29">
      <c r="A5741" s="327" t="str">
        <f>IF(AND($B5741&lt;&gt;"",$C5741&lt;&gt;""),MAX($A$4730:$A5740)+1,"")</f>
        <v/>
      </c>
      <c r="B5741" s="361" t="s">
        <v>1874</v>
      </c>
      <c r="C5741" s="362"/>
      <c r="D5741" s="327">
        <f>IF($B5741="","",COUNTIF($B$4731:$B5741,$B5741))</f>
        <v>9</v>
      </c>
      <c r="E5741" s="361" t="s">
        <v>2541</v>
      </c>
      <c r="F5741" s="362" t="s">
        <v>2542</v>
      </c>
      <c r="G5741" s="327" t="s">
        <v>405</v>
      </c>
      <c r="H5741" s="361" t="s">
        <v>536</v>
      </c>
      <c r="I5741" s="361" t="s">
        <v>2547</v>
      </c>
      <c r="J5741" s="361"/>
      <c r="K5741" s="327" t="s">
        <v>100</v>
      </c>
      <c r="L5741" s="478">
        <v>430</v>
      </c>
      <c r="M5741" s="371"/>
      <c r="N5741" s="355" t="s">
        <v>2409</v>
      </c>
      <c r="O5741" s="345"/>
      <c r="P5741" s="325"/>
      <c r="Q5741" s="327"/>
      <c r="R5741" s="351"/>
      <c r="S5741" s="351"/>
      <c r="T5741" s="351"/>
      <c r="U5741" s="329" t="str">
        <f>IF($N5741=$N$4,IFERROR(INDEX(DanhMuc!$E$154:$E$165,MATCH(MID($B5741,4,2),DanhMuc!$B$154:$B$165,0)),""),"")</f>
        <v/>
      </c>
      <c r="V5741" s="361"/>
      <c r="W5741" s="345"/>
      <c r="X5741" s="786"/>
      <c r="Y5741" s="1128" t="s">
        <v>3380</v>
      </c>
      <c r="Z5741" s="1128" t="s">
        <v>3381</v>
      </c>
      <c r="AA5741" s="1128" t="s">
        <v>3384</v>
      </c>
      <c r="AB5741" s="20"/>
      <c r="AC5741" s="73"/>
    </row>
    <row r="5742" spans="1:29">
      <c r="A5742" s="327" t="str">
        <f>IF(AND($B5742&lt;&gt;"",$C5742&lt;&gt;""),MAX($A$4730:$A5739)+1,"")</f>
        <v/>
      </c>
      <c r="B5742" s="361" t="s">
        <v>1874</v>
      </c>
      <c r="C5742" s="362"/>
      <c r="D5742" s="327">
        <f>IF($B5742="","",COUNTIF($B$4731:$B5742,$B5742))</f>
        <v>10</v>
      </c>
      <c r="E5742" s="361" t="s">
        <v>657</v>
      </c>
      <c r="F5742" s="362" t="s">
        <v>658</v>
      </c>
      <c r="G5742" s="327" t="s">
        <v>424</v>
      </c>
      <c r="H5742" s="361" t="s">
        <v>536</v>
      </c>
      <c r="I5742" s="361" t="s">
        <v>3377</v>
      </c>
      <c r="J5742" s="361"/>
      <c r="K5742" s="327" t="s">
        <v>100</v>
      </c>
      <c r="L5742" s="478">
        <v>60000</v>
      </c>
      <c r="M5742" s="355"/>
      <c r="N5742" s="355" t="s">
        <v>2409</v>
      </c>
      <c r="O5742" s="345"/>
      <c r="P5742" s="325"/>
      <c r="Q5742" s="327"/>
      <c r="R5742" s="351"/>
      <c r="S5742" s="351"/>
      <c r="T5742" s="351"/>
      <c r="U5742" s="329" t="str">
        <f>IF($N5742=$N$4,IFERROR(INDEX(DanhMuc!$E$154:$E$165,MATCH(MID($B5742,4,2),DanhMuc!$B$154:$B$165,0)),""),"")</f>
        <v/>
      </c>
      <c r="V5742" s="361"/>
      <c r="W5742" s="345"/>
      <c r="X5742" s="786"/>
      <c r="Y5742" s="1128" t="s">
        <v>3380</v>
      </c>
      <c r="Z5742" s="1128" t="s">
        <v>3381</v>
      </c>
      <c r="AA5742" s="1128" t="s">
        <v>3384</v>
      </c>
      <c r="AB5742" s="20"/>
      <c r="AC5742" s="73"/>
    </row>
    <row r="5743" spans="1:29">
      <c r="A5743" s="327" t="str">
        <f>IF(AND($B5743&lt;&gt;"",$C5743&lt;&gt;""),MAX($A$4730:$A5742)+1,"")</f>
        <v/>
      </c>
      <c r="B5743" s="361" t="s">
        <v>1874</v>
      </c>
      <c r="C5743" s="362"/>
      <c r="D5743" s="327">
        <f>IF($B5743="","",COUNTIF($B$4731:$B5743,$B5743))</f>
        <v>11</v>
      </c>
      <c r="E5743" s="361" t="s">
        <v>2771</v>
      </c>
      <c r="F5743" s="362" t="s">
        <v>659</v>
      </c>
      <c r="G5743" s="327" t="s">
        <v>424</v>
      </c>
      <c r="H5743" s="361" t="s">
        <v>536</v>
      </c>
      <c r="I5743" s="361" t="s">
        <v>2556</v>
      </c>
      <c r="J5743" s="361"/>
      <c r="K5743" s="327" t="s">
        <v>100</v>
      </c>
      <c r="L5743" s="389">
        <v>53000</v>
      </c>
      <c r="M5743" s="355"/>
      <c r="N5743" s="355" t="s">
        <v>2409</v>
      </c>
      <c r="O5743" s="345"/>
      <c r="P5743" s="325"/>
      <c r="Q5743" s="327"/>
      <c r="R5743" s="351"/>
      <c r="S5743" s="351"/>
      <c r="T5743" s="351"/>
      <c r="U5743" s="329" t="str">
        <f>IF($N5743=$N$4,IFERROR(INDEX(DanhMuc!$E$154:$E$165,MATCH(MID($B5743,4,2),DanhMuc!$B$154:$B$165,0)),""),"")</f>
        <v/>
      </c>
      <c r="V5743" s="361"/>
      <c r="W5743" s="345"/>
      <c r="X5743" s="786"/>
      <c r="Y5743" s="1128" t="s">
        <v>3380</v>
      </c>
      <c r="Z5743" s="1128" t="s">
        <v>3381</v>
      </c>
      <c r="AA5743" s="1128" t="s">
        <v>3384</v>
      </c>
      <c r="AB5743" s="20"/>
      <c r="AC5743" s="73"/>
    </row>
    <row r="5744" spans="1:29">
      <c r="A5744" s="327" t="str">
        <f>IF(AND($B5744&lt;&gt;"",$C5744&lt;&gt;""),MAX($A$4730:$A5743)+1,"")</f>
        <v/>
      </c>
      <c r="B5744" s="361" t="s">
        <v>1874</v>
      </c>
      <c r="C5744" s="362"/>
      <c r="D5744" s="327">
        <f>IF($B5744="","",COUNTIF($B$4731:$B5744,$B5744))</f>
        <v>12</v>
      </c>
      <c r="E5744" s="361" t="s">
        <v>1828</v>
      </c>
      <c r="F5744" s="362" t="s">
        <v>671</v>
      </c>
      <c r="G5744" s="327" t="s">
        <v>661</v>
      </c>
      <c r="H5744" s="361" t="s">
        <v>536</v>
      </c>
      <c r="I5744" s="361" t="s">
        <v>2355</v>
      </c>
      <c r="J5744" s="361"/>
      <c r="K5744" s="327" t="s">
        <v>100</v>
      </c>
      <c r="L5744" s="478">
        <f>40000/1000</f>
        <v>40</v>
      </c>
      <c r="M5744" s="355"/>
      <c r="N5744" s="355" t="s">
        <v>2409</v>
      </c>
      <c r="O5744" s="345"/>
      <c r="P5744" s="325"/>
      <c r="Q5744" s="327"/>
      <c r="R5744" s="351"/>
      <c r="S5744" s="351"/>
      <c r="T5744" s="351"/>
      <c r="U5744" s="329" t="str">
        <f>IF($N5744=$N$4,IFERROR(INDEX(DanhMuc!$E$154:$E$165,MATCH(MID($B5744,4,2),DanhMuc!$B$154:$B$165,0)),""),"")</f>
        <v/>
      </c>
      <c r="V5744" s="361"/>
      <c r="W5744" s="345"/>
      <c r="X5744" s="786"/>
      <c r="Y5744" s="1128" t="s">
        <v>3380</v>
      </c>
      <c r="Z5744" s="1128" t="s">
        <v>3381</v>
      </c>
      <c r="AA5744" s="1128" t="s">
        <v>3384</v>
      </c>
      <c r="AB5744" s="20"/>
      <c r="AC5744" s="73"/>
    </row>
    <row r="5745" spans="1:29">
      <c r="A5745" s="327" t="str">
        <f>IF(AND($B5745&lt;&gt;"",$C5745&lt;&gt;""),MAX($A$4730:$A5744)+1,"")</f>
        <v/>
      </c>
      <c r="B5745" s="361" t="s">
        <v>1874</v>
      </c>
      <c r="C5745" s="362"/>
      <c r="D5745" s="327">
        <f>IF($B5745="","",COUNTIF($B$4731:$B5745,$B5745))</f>
        <v>13</v>
      </c>
      <c r="E5745" s="361" t="s">
        <v>154</v>
      </c>
      <c r="F5745" s="362" t="s">
        <v>660</v>
      </c>
      <c r="G5745" s="327" t="s">
        <v>661</v>
      </c>
      <c r="H5745" s="361" t="s">
        <v>536</v>
      </c>
      <c r="I5745" s="361" t="s">
        <v>667</v>
      </c>
      <c r="J5745" s="361"/>
      <c r="K5745" s="327" t="s">
        <v>662</v>
      </c>
      <c r="L5745" s="478">
        <v>20</v>
      </c>
      <c r="M5745" s="355"/>
      <c r="N5745" s="355" t="s">
        <v>2409</v>
      </c>
      <c r="O5745" s="345"/>
      <c r="P5745" s="325"/>
      <c r="Q5745" s="327"/>
      <c r="R5745" s="351"/>
      <c r="S5745" s="351"/>
      <c r="T5745" s="351"/>
      <c r="U5745" s="329" t="str">
        <f>IF($N5745=$N$4,IFERROR(INDEX(DanhMuc!$E$154:$E$165,MATCH(MID($B5745,4,2),DanhMuc!$B$154:$B$165,0)),""),"")</f>
        <v/>
      </c>
      <c r="V5745" s="361"/>
      <c r="W5745" s="345"/>
      <c r="X5745" s="786"/>
      <c r="Y5745" s="1128" t="s">
        <v>3380</v>
      </c>
      <c r="Z5745" s="1128" t="s">
        <v>3381</v>
      </c>
      <c r="AA5745" s="1128" t="s">
        <v>3384</v>
      </c>
      <c r="AB5745" s="20"/>
      <c r="AC5745" s="73"/>
    </row>
    <row r="5746" spans="1:29">
      <c r="A5746" s="327" t="str">
        <f>IF(AND($B5746&lt;&gt;"",$C5746&lt;&gt;""),MAX($A$4730:$A5745)+1,"")</f>
        <v/>
      </c>
      <c r="B5746" s="361" t="s">
        <v>1874</v>
      </c>
      <c r="C5746" s="362"/>
      <c r="D5746" s="327">
        <f>IF($B5746="","",COUNTIF($B$4731:$B5746,$B5746))</f>
        <v>14</v>
      </c>
      <c r="E5746" s="362" t="s">
        <v>2282</v>
      </c>
      <c r="F5746" s="362" t="s">
        <v>2283</v>
      </c>
      <c r="G5746" s="327" t="s">
        <v>424</v>
      </c>
      <c r="H5746" s="361" t="s">
        <v>536</v>
      </c>
      <c r="I5746" s="361" t="s">
        <v>2238</v>
      </c>
      <c r="J5746" s="361"/>
      <c r="K5746" s="327" t="s">
        <v>662</v>
      </c>
      <c r="L5746" s="478">
        <v>28000</v>
      </c>
      <c r="M5746" s="355"/>
      <c r="N5746" s="355" t="s">
        <v>2409</v>
      </c>
      <c r="O5746" s="345"/>
      <c r="P5746" s="325"/>
      <c r="Q5746" s="327"/>
      <c r="R5746" s="351"/>
      <c r="S5746" s="351"/>
      <c r="T5746" s="351"/>
      <c r="U5746" s="329" t="str">
        <f>IF($N5746=$N$4,IFERROR(INDEX(DanhMuc!$E$154:$E$165,MATCH(MID($B5746,4,2),DanhMuc!$B$154:$B$165,0)),""),"")</f>
        <v/>
      </c>
      <c r="V5746" s="361"/>
      <c r="W5746" s="345"/>
      <c r="X5746" s="786"/>
      <c r="Y5746" s="1128" t="s">
        <v>3380</v>
      </c>
      <c r="Z5746" s="1128" t="s">
        <v>3381</v>
      </c>
      <c r="AA5746" s="1128" t="s">
        <v>3384</v>
      </c>
      <c r="AB5746" s="20"/>
      <c r="AC5746" s="73"/>
    </row>
    <row r="5747" spans="1:29">
      <c r="A5747" s="327" t="str">
        <f>IF(AND($B5747&lt;&gt;"",$C5747&lt;&gt;""),MAX($A$4730:$A5746)+1,"")</f>
        <v/>
      </c>
      <c r="B5747" s="361" t="s">
        <v>1874</v>
      </c>
      <c r="C5747" s="362"/>
      <c r="D5747" s="327">
        <f>IF($B5747="","",COUNTIF($B$4731:$B5747,$B5747))</f>
        <v>15</v>
      </c>
      <c r="E5747" s="362" t="s">
        <v>663</v>
      </c>
      <c r="F5747" s="362" t="s">
        <v>664</v>
      </c>
      <c r="G5747" s="327" t="s">
        <v>155</v>
      </c>
      <c r="H5747" s="361" t="s">
        <v>536</v>
      </c>
      <c r="I5747" s="361" t="s">
        <v>672</v>
      </c>
      <c r="J5747" s="361"/>
      <c r="K5747" s="327" t="s">
        <v>662</v>
      </c>
      <c r="L5747" s="478">
        <v>1000</v>
      </c>
      <c r="M5747" s="355"/>
      <c r="N5747" s="355" t="s">
        <v>2409</v>
      </c>
      <c r="O5747" s="345"/>
      <c r="P5747" s="325"/>
      <c r="Q5747" s="327"/>
      <c r="R5747" s="351"/>
      <c r="S5747" s="351"/>
      <c r="T5747" s="351"/>
      <c r="U5747" s="329" t="str">
        <f>IF($N5747=$N$4,IFERROR(INDEX(DanhMuc!$E$154:$E$165,MATCH(MID($B5747,4,2),DanhMuc!$B$154:$B$165,0)),""),"")</f>
        <v/>
      </c>
      <c r="V5747" s="361"/>
      <c r="W5747" s="345"/>
      <c r="X5747" s="786"/>
      <c r="Y5747" s="1128" t="s">
        <v>3380</v>
      </c>
      <c r="Z5747" s="1128" t="s">
        <v>3381</v>
      </c>
      <c r="AA5747" s="1128" t="s">
        <v>3384</v>
      </c>
      <c r="AB5747" s="20"/>
      <c r="AC5747" s="73"/>
    </row>
    <row r="5748" spans="1:29" ht="39">
      <c r="A5748" s="327">
        <f>IF(AND($B5748&lt;&gt;"",$C5748&lt;&gt;""),MAX($A$4730:$A5747)+1,"")</f>
        <v>40</v>
      </c>
      <c r="B5748" s="359" t="s">
        <v>2348</v>
      </c>
      <c r="C5748" s="360" t="s">
        <v>2351</v>
      </c>
      <c r="D5748" s="327">
        <f>IF($B5748="","",COUNTIF($B$4731:$B5748,$B5748))</f>
        <v>1</v>
      </c>
      <c r="E5748" s="361" t="s">
        <v>1826</v>
      </c>
      <c r="F5748" s="362" t="s">
        <v>670</v>
      </c>
      <c r="G5748" s="327" t="s">
        <v>661</v>
      </c>
      <c r="H5748" s="361" t="s">
        <v>536</v>
      </c>
      <c r="I5748" s="361" t="s">
        <v>2354</v>
      </c>
      <c r="J5748" s="361"/>
      <c r="K5748" s="327" t="s">
        <v>103</v>
      </c>
      <c r="L5748" s="478">
        <f>40000/1000</f>
        <v>40</v>
      </c>
      <c r="M5748" s="355"/>
      <c r="N5748" s="355" t="s">
        <v>2408</v>
      </c>
      <c r="O5748" s="345"/>
      <c r="P5748" s="325"/>
      <c r="Q5748" s="327"/>
      <c r="R5748" s="351"/>
      <c r="S5748" s="351"/>
      <c r="T5748" s="351"/>
      <c r="U5748" s="329" t="str">
        <f>IF($N5748=$N$4,IFERROR(INDEX(DanhMuc!$E$154:$E$165,MATCH(MID($B5748,4,2),DanhMuc!$B$154:$B$165,0)),""),"")</f>
        <v/>
      </c>
      <c r="V5748" s="361"/>
      <c r="W5748" s="345"/>
      <c r="X5748" s="786"/>
      <c r="Y5748" s="1128" t="s">
        <v>3380</v>
      </c>
      <c r="Z5748" s="1128" t="s">
        <v>3381</v>
      </c>
      <c r="AA5748" s="1128" t="s">
        <v>3384</v>
      </c>
      <c r="AB5748" s="20"/>
      <c r="AC5748" s="73"/>
    </row>
    <row r="5749" spans="1:29">
      <c r="A5749" s="327" t="str">
        <f>IF(AND($B5749&lt;&gt;"",$C5749&lt;&gt;""),MAX($A$4730:$A5748)+1,"")</f>
        <v/>
      </c>
      <c r="B5749" s="361" t="s">
        <v>2348</v>
      </c>
      <c r="C5749" s="362"/>
      <c r="D5749" s="327">
        <f>IF($B5749="","",COUNTIF($B$4731:$B5749,$B5749))</f>
        <v>2</v>
      </c>
      <c r="E5749" s="361" t="s">
        <v>656</v>
      </c>
      <c r="F5749" s="362" t="s">
        <v>2239</v>
      </c>
      <c r="G5749" s="327" t="s">
        <v>405</v>
      </c>
      <c r="H5749" s="361" t="s">
        <v>536</v>
      </c>
      <c r="I5749" s="361" t="s">
        <v>1827</v>
      </c>
      <c r="J5749" s="361"/>
      <c r="K5749" s="327" t="s">
        <v>100</v>
      </c>
      <c r="L5749" s="478">
        <v>970</v>
      </c>
      <c r="M5749" s="371"/>
      <c r="N5749" s="355" t="s">
        <v>2409</v>
      </c>
      <c r="O5749" s="345"/>
      <c r="P5749" s="325"/>
      <c r="Q5749" s="327"/>
      <c r="R5749" s="351"/>
      <c r="S5749" s="351"/>
      <c r="T5749" s="351"/>
      <c r="U5749" s="329" t="str">
        <f>IF($N5749=$N$4,IFERROR(INDEX(DanhMuc!$E$154:$E$165,MATCH(MID($B5749,4,2),DanhMuc!$B$154:$B$165,0)),""),"")</f>
        <v/>
      </c>
      <c r="V5749" s="361"/>
      <c r="W5749" s="345"/>
      <c r="X5749" s="786"/>
      <c r="Y5749" s="1128" t="s">
        <v>3380</v>
      </c>
      <c r="Z5749" s="1128" t="s">
        <v>3381</v>
      </c>
      <c r="AA5749" s="1128" t="s">
        <v>3384</v>
      </c>
      <c r="AB5749" s="20"/>
      <c r="AC5749" s="73"/>
    </row>
    <row r="5750" spans="1:29">
      <c r="A5750" s="327" t="str">
        <f>IF(AND($B5750&lt;&gt;"",$C5750&lt;&gt;""),MAX($A$4730:$A5749)+1,"")</f>
        <v/>
      </c>
      <c r="B5750" s="361" t="s">
        <v>2348</v>
      </c>
      <c r="C5750" s="362"/>
      <c r="D5750" s="327">
        <f>IF($B5750="","",COUNTIF($B$4731:$B5750,$B5750))</f>
        <v>3</v>
      </c>
      <c r="E5750" s="361" t="s">
        <v>657</v>
      </c>
      <c r="F5750" s="362" t="s">
        <v>658</v>
      </c>
      <c r="G5750" s="327" t="s">
        <v>424</v>
      </c>
      <c r="H5750" s="361" t="s">
        <v>536</v>
      </c>
      <c r="I5750" s="361" t="s">
        <v>3377</v>
      </c>
      <c r="J5750" s="361"/>
      <c r="K5750" s="327" t="s">
        <v>100</v>
      </c>
      <c r="L5750" s="478">
        <v>60000</v>
      </c>
      <c r="M5750" s="355"/>
      <c r="N5750" s="355" t="s">
        <v>2409</v>
      </c>
      <c r="O5750" s="345"/>
      <c r="P5750" s="325"/>
      <c r="Q5750" s="327"/>
      <c r="R5750" s="351"/>
      <c r="S5750" s="351"/>
      <c r="T5750" s="351"/>
      <c r="U5750" s="329" t="str">
        <f>IF($N5750=$N$4,IFERROR(INDEX(DanhMuc!$E$154:$E$165,MATCH(MID($B5750,4,2),DanhMuc!$B$154:$B$165,0)),""),"")</f>
        <v/>
      </c>
      <c r="V5750" s="361"/>
      <c r="W5750" s="345"/>
      <c r="X5750" s="786"/>
      <c r="Y5750" s="1128" t="s">
        <v>3380</v>
      </c>
      <c r="Z5750" s="1128" t="s">
        <v>3381</v>
      </c>
      <c r="AA5750" s="1128" t="s">
        <v>3384</v>
      </c>
      <c r="AB5750" s="20"/>
      <c r="AC5750" s="73"/>
    </row>
    <row r="5751" spans="1:29">
      <c r="A5751" s="327" t="str">
        <f>IF(AND($B5751&lt;&gt;"",$C5751&lt;&gt;""),MAX($A$4730:$A5750)+1,"")</f>
        <v/>
      </c>
      <c r="B5751" s="361" t="s">
        <v>2348</v>
      </c>
      <c r="C5751" s="362"/>
      <c r="D5751" s="327">
        <f>IF($B5751="","",COUNTIF($B$4731:$B5751,$B5751))</f>
        <v>4</v>
      </c>
      <c r="E5751" s="361" t="s">
        <v>2771</v>
      </c>
      <c r="F5751" s="362" t="s">
        <v>659</v>
      </c>
      <c r="G5751" s="327" t="s">
        <v>424</v>
      </c>
      <c r="H5751" s="361" t="s">
        <v>536</v>
      </c>
      <c r="I5751" s="361" t="s">
        <v>2556</v>
      </c>
      <c r="J5751" s="361"/>
      <c r="K5751" s="327" t="s">
        <v>100</v>
      </c>
      <c r="L5751" s="389">
        <v>53000</v>
      </c>
      <c r="M5751" s="355"/>
      <c r="N5751" s="355" t="s">
        <v>2409</v>
      </c>
      <c r="O5751" s="345"/>
      <c r="P5751" s="325"/>
      <c r="Q5751" s="327"/>
      <c r="R5751" s="351"/>
      <c r="S5751" s="351"/>
      <c r="T5751" s="351"/>
      <c r="U5751" s="329" t="str">
        <f>IF($N5751=$N$4,IFERROR(INDEX(DanhMuc!$E$154:$E$165,MATCH(MID($B5751,4,2),DanhMuc!$B$154:$B$165,0)),""),"")</f>
        <v/>
      </c>
      <c r="V5751" s="361"/>
      <c r="W5751" s="345"/>
      <c r="X5751" s="786"/>
      <c r="Y5751" s="1128" t="s">
        <v>3380</v>
      </c>
      <c r="Z5751" s="1128" t="s">
        <v>3381</v>
      </c>
      <c r="AA5751" s="1128" t="s">
        <v>3384</v>
      </c>
      <c r="AB5751" s="20"/>
      <c r="AC5751" s="73"/>
    </row>
    <row r="5752" spans="1:29">
      <c r="A5752" s="327" t="str">
        <f>IF(AND($B5752&lt;&gt;"",$C5752&lt;&gt;""),MAX($A$4730:$A5751)+1,"")</f>
        <v/>
      </c>
      <c r="B5752" s="361" t="s">
        <v>2348</v>
      </c>
      <c r="C5752" s="362"/>
      <c r="D5752" s="327">
        <f>IF($B5752="","",COUNTIF($B$4731:$B5752,$B5752))</f>
        <v>5</v>
      </c>
      <c r="E5752" s="361" t="s">
        <v>1828</v>
      </c>
      <c r="F5752" s="362" t="s">
        <v>671</v>
      </c>
      <c r="G5752" s="327" t="s">
        <v>661</v>
      </c>
      <c r="H5752" s="361" t="s">
        <v>536</v>
      </c>
      <c r="I5752" s="361" t="s">
        <v>2355</v>
      </c>
      <c r="J5752" s="361"/>
      <c r="K5752" s="327" t="s">
        <v>100</v>
      </c>
      <c r="L5752" s="478">
        <f>40000/1000</f>
        <v>40</v>
      </c>
      <c r="M5752" s="355"/>
      <c r="N5752" s="355" t="s">
        <v>2409</v>
      </c>
      <c r="O5752" s="345"/>
      <c r="P5752" s="325"/>
      <c r="Q5752" s="327"/>
      <c r="R5752" s="351"/>
      <c r="S5752" s="351"/>
      <c r="T5752" s="351"/>
      <c r="U5752" s="329" t="str">
        <f>IF($N5752=$N$4,IFERROR(INDEX(DanhMuc!$E$154:$E$165,MATCH(MID($B5752,4,2),DanhMuc!$B$154:$B$165,0)),""),"")</f>
        <v/>
      </c>
      <c r="V5752" s="361"/>
      <c r="W5752" s="345"/>
      <c r="X5752" s="786"/>
      <c r="Y5752" s="1128" t="s">
        <v>3380</v>
      </c>
      <c r="Z5752" s="1128" t="s">
        <v>3381</v>
      </c>
      <c r="AA5752" s="1128" t="s">
        <v>3384</v>
      </c>
      <c r="AB5752" s="20"/>
      <c r="AC5752" s="73"/>
    </row>
    <row r="5753" spans="1:29">
      <c r="A5753" s="327" t="str">
        <f>IF(AND($B5753&lt;&gt;"",$C5753&lt;&gt;""),MAX($A$4730:$A5752)+1,"")</f>
        <v/>
      </c>
      <c r="B5753" s="361" t="s">
        <v>2348</v>
      </c>
      <c r="C5753" s="362"/>
      <c r="D5753" s="327">
        <f>IF($B5753="","",COUNTIF($B$4731:$B5753,$B5753))</f>
        <v>6</v>
      </c>
      <c r="E5753" s="361" t="s">
        <v>154</v>
      </c>
      <c r="F5753" s="362" t="s">
        <v>660</v>
      </c>
      <c r="G5753" s="327" t="s">
        <v>661</v>
      </c>
      <c r="H5753" s="361" t="s">
        <v>536</v>
      </c>
      <c r="I5753" s="361" t="s">
        <v>667</v>
      </c>
      <c r="J5753" s="361"/>
      <c r="K5753" s="327" t="s">
        <v>662</v>
      </c>
      <c r="L5753" s="478">
        <v>20</v>
      </c>
      <c r="M5753" s="355"/>
      <c r="N5753" s="355" t="s">
        <v>2409</v>
      </c>
      <c r="O5753" s="345"/>
      <c r="P5753" s="325"/>
      <c r="Q5753" s="327"/>
      <c r="R5753" s="351"/>
      <c r="S5753" s="351"/>
      <c r="T5753" s="351"/>
      <c r="U5753" s="329" t="str">
        <f>IF($N5753=$N$4,IFERROR(INDEX(DanhMuc!$E$154:$E$165,MATCH(MID($B5753,4,2),DanhMuc!$B$154:$B$165,0)),""),"")</f>
        <v/>
      </c>
      <c r="V5753" s="361"/>
      <c r="W5753" s="345"/>
      <c r="X5753" s="786"/>
      <c r="Y5753" s="1128" t="s">
        <v>3380</v>
      </c>
      <c r="Z5753" s="1128" t="s">
        <v>3381</v>
      </c>
      <c r="AA5753" s="1128" t="s">
        <v>3384</v>
      </c>
      <c r="AB5753" s="20"/>
      <c r="AC5753" s="73"/>
    </row>
    <row r="5754" spans="1:29">
      <c r="A5754" s="327" t="str">
        <f>IF(AND($B5754&lt;&gt;"",$C5754&lt;&gt;""),MAX($A$4730:$A5753)+1,"")</f>
        <v/>
      </c>
      <c r="B5754" s="361" t="s">
        <v>2348</v>
      </c>
      <c r="C5754" s="362"/>
      <c r="D5754" s="327">
        <f>IF($B5754="","",COUNTIF($B$4731:$B5754,$B5754))</f>
        <v>7</v>
      </c>
      <c r="E5754" s="362" t="s">
        <v>2282</v>
      </c>
      <c r="F5754" s="362" t="s">
        <v>2283</v>
      </c>
      <c r="G5754" s="327" t="s">
        <v>424</v>
      </c>
      <c r="H5754" s="361" t="s">
        <v>536</v>
      </c>
      <c r="I5754" s="361" t="s">
        <v>2238</v>
      </c>
      <c r="J5754" s="361"/>
      <c r="K5754" s="327" t="s">
        <v>662</v>
      </c>
      <c r="L5754" s="478">
        <v>28000</v>
      </c>
      <c r="M5754" s="355"/>
      <c r="N5754" s="355" t="s">
        <v>2409</v>
      </c>
      <c r="O5754" s="345"/>
      <c r="P5754" s="325"/>
      <c r="Q5754" s="327"/>
      <c r="R5754" s="351"/>
      <c r="S5754" s="351"/>
      <c r="T5754" s="351"/>
      <c r="U5754" s="329" t="str">
        <f>IF($N5754=$N$4,IFERROR(INDEX(DanhMuc!$E$154:$E$165,MATCH(MID($B5754,4,2),DanhMuc!$B$154:$B$165,0)),""),"")</f>
        <v/>
      </c>
      <c r="V5754" s="361"/>
      <c r="W5754" s="345"/>
      <c r="X5754" s="786"/>
      <c r="Y5754" s="1128" t="s">
        <v>3380</v>
      </c>
      <c r="Z5754" s="1128" t="s">
        <v>3381</v>
      </c>
      <c r="AA5754" s="1128" t="s">
        <v>3384</v>
      </c>
      <c r="AB5754" s="20"/>
      <c r="AC5754" s="73"/>
    </row>
    <row r="5755" spans="1:29">
      <c r="A5755" s="327" t="str">
        <f>IF(AND($B5755&lt;&gt;"",$C5755&lt;&gt;""),MAX($A$4730:$A5754)+1,"")</f>
        <v/>
      </c>
      <c r="B5755" s="361" t="s">
        <v>2348</v>
      </c>
      <c r="C5755" s="362"/>
      <c r="D5755" s="327">
        <f>IF($B5755="","",COUNTIF($B$4731:$B5755,$B5755))</f>
        <v>8</v>
      </c>
      <c r="E5755" s="362" t="s">
        <v>663</v>
      </c>
      <c r="F5755" s="362" t="s">
        <v>664</v>
      </c>
      <c r="G5755" s="327" t="s">
        <v>155</v>
      </c>
      <c r="H5755" s="361" t="s">
        <v>536</v>
      </c>
      <c r="I5755" s="361" t="s">
        <v>672</v>
      </c>
      <c r="J5755" s="361"/>
      <c r="K5755" s="327" t="s">
        <v>662</v>
      </c>
      <c r="L5755" s="478">
        <v>1000</v>
      </c>
      <c r="M5755" s="355"/>
      <c r="N5755" s="355" t="s">
        <v>2409</v>
      </c>
      <c r="O5755" s="345"/>
      <c r="P5755" s="325"/>
      <c r="Q5755" s="327"/>
      <c r="R5755" s="351"/>
      <c r="S5755" s="351"/>
      <c r="T5755" s="351"/>
      <c r="U5755" s="329" t="str">
        <f>IF($N5755=$N$4,IFERROR(INDEX(DanhMuc!$E$154:$E$165,MATCH(MID($B5755,4,2),DanhMuc!$B$154:$B$165,0)),""),"")</f>
        <v/>
      </c>
      <c r="V5755" s="361"/>
      <c r="W5755" s="345"/>
      <c r="X5755" s="786"/>
      <c r="Y5755" s="1128" t="s">
        <v>3380</v>
      </c>
      <c r="Z5755" s="1128" t="s">
        <v>3381</v>
      </c>
      <c r="AA5755" s="1128" t="s">
        <v>3384</v>
      </c>
      <c r="AB5755" s="20"/>
      <c r="AC5755" s="73"/>
    </row>
    <row r="5756" spans="1:29" ht="26">
      <c r="A5756" s="327">
        <f>IF(AND($B5756&lt;&gt;"",$C5756&lt;&gt;""),MAX($A$4730:$A5747)+1,"")</f>
        <v>40</v>
      </c>
      <c r="B5756" s="359" t="s">
        <v>1875</v>
      </c>
      <c r="C5756" s="360" t="s">
        <v>1902</v>
      </c>
      <c r="D5756" s="327">
        <f>IF($B5756="","",COUNTIF($B$4731:$B5756,$B5756))</f>
        <v>1</v>
      </c>
      <c r="E5756" s="480" t="s">
        <v>2858</v>
      </c>
      <c r="F5756" s="403" t="s">
        <v>2859</v>
      </c>
      <c r="G5756" s="327" t="s">
        <v>155</v>
      </c>
      <c r="H5756" s="361" t="s">
        <v>536</v>
      </c>
      <c r="I5756" s="327">
        <v>4</v>
      </c>
      <c r="J5756" s="361"/>
      <c r="K5756" s="327" t="s">
        <v>100</v>
      </c>
      <c r="L5756" s="389">
        <v>7100</v>
      </c>
      <c r="M5756" s="355"/>
      <c r="N5756" s="355" t="s">
        <v>2408</v>
      </c>
      <c r="O5756" s="345" t="s">
        <v>2777</v>
      </c>
      <c r="P5756" s="325"/>
      <c r="Q5756" s="327"/>
      <c r="R5756" s="351"/>
      <c r="S5756" s="351"/>
      <c r="T5756" s="351"/>
      <c r="U5756" s="329" t="str">
        <f>IF($N5756=$N$4,IFERROR(INDEX(DanhMuc!$E$154:$E$165,MATCH(MID($B5756,4,2),DanhMuc!$B$154:$B$165,0)),""),"")</f>
        <v/>
      </c>
      <c r="V5756" s="361"/>
      <c r="W5756" s="345"/>
      <c r="X5756" s="786"/>
      <c r="Y5756" s="1128" t="s">
        <v>3380</v>
      </c>
      <c r="Z5756" s="1128" t="s">
        <v>3381</v>
      </c>
      <c r="AA5756" s="1128" t="s">
        <v>3384</v>
      </c>
      <c r="AB5756" s="20"/>
      <c r="AC5756" s="73"/>
    </row>
    <row r="5757" spans="1:29" ht="25">
      <c r="A5757" s="327" t="str">
        <f>IF(AND($B5757&lt;&gt;"",$C5757&lt;&gt;""),MAX($A$4730:$A5748)+1,"")</f>
        <v/>
      </c>
      <c r="B5757" s="361" t="s">
        <v>1875</v>
      </c>
      <c r="C5757" s="360"/>
      <c r="D5757" s="327">
        <f>IF($B5757="","",COUNTIF($B$4731:$B5757,$B5757))</f>
        <v>2</v>
      </c>
      <c r="E5757" s="480" t="s">
        <v>2304</v>
      </c>
      <c r="F5757" s="403" t="s">
        <v>2335</v>
      </c>
      <c r="G5757" s="327" t="s">
        <v>155</v>
      </c>
      <c r="H5757" s="361" t="s">
        <v>536</v>
      </c>
      <c r="I5757" s="327">
        <v>4</v>
      </c>
      <c r="J5757" s="361"/>
      <c r="K5757" s="327" t="s">
        <v>100</v>
      </c>
      <c r="L5757" s="389">
        <v>7100</v>
      </c>
      <c r="M5757" s="355"/>
      <c r="N5757" s="355" t="s">
        <v>2408</v>
      </c>
      <c r="O5757" s="345" t="s">
        <v>2776</v>
      </c>
      <c r="P5757" s="325"/>
      <c r="Q5757" s="327"/>
      <c r="R5757" s="351"/>
      <c r="S5757" s="351"/>
      <c r="T5757" s="351"/>
      <c r="U5757" s="329" t="str">
        <f>IF($N5757=$N$4,IFERROR(INDEX(DanhMuc!$E$154:$E$165,MATCH(MID($B5757,4,2),DanhMuc!$B$154:$B$165,0)),""),"")</f>
        <v/>
      </c>
      <c r="V5757" s="361"/>
      <c r="W5757" s="345"/>
      <c r="X5757" s="786"/>
      <c r="Y5757" s="1128" t="s">
        <v>3380</v>
      </c>
      <c r="Z5757" s="1128" t="s">
        <v>3381</v>
      </c>
      <c r="AA5757" s="1128" t="s">
        <v>3384</v>
      </c>
      <c r="AB5757" s="20"/>
      <c r="AC5757" s="73"/>
    </row>
    <row r="5758" spans="1:29">
      <c r="A5758" s="327" t="str">
        <f>IF(AND($B5758&lt;&gt;"",$C5758&lt;&gt;""),MAX($A$4730:$A5756)+1,"")</f>
        <v/>
      </c>
      <c r="B5758" s="361" t="s">
        <v>1875</v>
      </c>
      <c r="C5758" s="360"/>
      <c r="D5758" s="327">
        <f>IF($B5758="","",COUNTIF($B$4731:$B5758,$B5758))</f>
        <v>3</v>
      </c>
      <c r="E5758" s="402" t="s">
        <v>2788</v>
      </c>
      <c r="F5758" s="403" t="s">
        <v>2789</v>
      </c>
      <c r="G5758" s="327" t="s">
        <v>155</v>
      </c>
      <c r="H5758" s="361" t="s">
        <v>536</v>
      </c>
      <c r="I5758" s="327">
        <f>4*I5756</f>
        <v>16</v>
      </c>
      <c r="J5758" s="361"/>
      <c r="K5758" s="327" t="s">
        <v>100</v>
      </c>
      <c r="L5758" s="389">
        <v>600</v>
      </c>
      <c r="M5758" s="355"/>
      <c r="N5758" s="355" t="s">
        <v>2408</v>
      </c>
      <c r="O5758" s="345" t="s">
        <v>2776</v>
      </c>
      <c r="P5758" s="325"/>
      <c r="Q5758" s="327"/>
      <c r="R5758" s="351"/>
      <c r="S5758" s="351"/>
      <c r="T5758" s="351"/>
      <c r="U5758" s="329" t="str">
        <f>IF($N5758=$N$4,IFERROR(INDEX(DanhMuc!$E$154:$E$165,MATCH(MID($B5758,4,2),DanhMuc!$B$154:$B$165,0)),""),"")</f>
        <v/>
      </c>
      <c r="V5758" s="361"/>
      <c r="W5758" s="345"/>
      <c r="X5758" s="786"/>
      <c r="Y5758" s="1128" t="s">
        <v>3380</v>
      </c>
      <c r="Z5758" s="1128" t="s">
        <v>3381</v>
      </c>
      <c r="AA5758" s="1128" t="s">
        <v>3384</v>
      </c>
      <c r="AB5758" s="20"/>
      <c r="AC5758" s="73"/>
    </row>
    <row r="5759" spans="1:29">
      <c r="A5759" s="327" t="str">
        <f>IF(AND($B5759&lt;&gt;"",$C5759&lt;&gt;""),MAX($A$4730:$A5756)+1,"")</f>
        <v/>
      </c>
      <c r="B5759" s="361" t="s">
        <v>1875</v>
      </c>
      <c r="C5759" s="362"/>
      <c r="D5759" s="327">
        <f>IF($B5759="","",COUNTIF($B$4731:$B5759,$B5759))</f>
        <v>4</v>
      </c>
      <c r="E5759" s="361" t="s">
        <v>414</v>
      </c>
      <c r="F5759" s="362" t="s">
        <v>413</v>
      </c>
      <c r="G5759" s="327" t="s">
        <v>155</v>
      </c>
      <c r="H5759" s="361" t="s">
        <v>536</v>
      </c>
      <c r="I5759" s="327">
        <v>4</v>
      </c>
      <c r="J5759" s="361"/>
      <c r="K5759" s="327" t="s">
        <v>100</v>
      </c>
      <c r="L5759" s="389">
        <v>408</v>
      </c>
      <c r="M5759" s="355"/>
      <c r="N5759" s="355" t="s">
        <v>2408</v>
      </c>
      <c r="O5759" s="345"/>
      <c r="P5759" s="325"/>
      <c r="Q5759" s="327"/>
      <c r="R5759" s="351"/>
      <c r="S5759" s="351"/>
      <c r="T5759" s="351"/>
      <c r="U5759" s="329" t="str">
        <f>IF($N5759=$N$4,IFERROR(INDEX(DanhMuc!$E$154:$E$165,MATCH(MID($B5759,4,2),DanhMuc!$B$154:$B$165,0)),""),"")</f>
        <v/>
      </c>
      <c r="V5759" s="361"/>
      <c r="W5759" s="345"/>
      <c r="X5759" s="786"/>
      <c r="Y5759" s="1128" t="s">
        <v>3380</v>
      </c>
      <c r="Z5759" s="1128" t="s">
        <v>3381</v>
      </c>
      <c r="AA5759" s="1128" t="s">
        <v>3384</v>
      </c>
      <c r="AB5759" s="20"/>
      <c r="AC5759" s="73"/>
    </row>
    <row r="5760" spans="1:29">
      <c r="A5760" s="327" t="str">
        <f>IF(AND($B5760&lt;&gt;"",$C5760&lt;&gt;""),MAX($A$4730:$A5759)+1,"")</f>
        <v/>
      </c>
      <c r="B5760" s="361" t="s">
        <v>1875</v>
      </c>
      <c r="C5760" s="362"/>
      <c r="D5760" s="327">
        <f>IF($B5760="","",COUNTIF($B$4731:$B5760,$B5760))</f>
        <v>5</v>
      </c>
      <c r="E5760" s="361" t="s">
        <v>654</v>
      </c>
      <c r="F5760" s="362" t="s">
        <v>653</v>
      </c>
      <c r="G5760" s="327" t="s">
        <v>1836</v>
      </c>
      <c r="H5760" s="361" t="s">
        <v>536</v>
      </c>
      <c r="I5760" s="327">
        <f>I5756/45</f>
        <v>8.8888888888888892E-2</v>
      </c>
      <c r="J5760" s="477"/>
      <c r="K5760" s="327" t="s">
        <v>655</v>
      </c>
      <c r="L5760" s="478">
        <v>115000</v>
      </c>
      <c r="M5760" s="355"/>
      <c r="N5760" s="355" t="s">
        <v>2408</v>
      </c>
      <c r="O5760" s="345" t="s">
        <v>2777</v>
      </c>
      <c r="P5760" s="325"/>
      <c r="Q5760" s="327"/>
      <c r="R5760" s="351"/>
      <c r="S5760" s="351"/>
      <c r="T5760" s="351"/>
      <c r="U5760" s="329" t="str">
        <f>IF($N5760=$N$4,IFERROR(INDEX(DanhMuc!$E$154:$E$165,MATCH(MID($B5760,4,2),DanhMuc!$B$154:$B$165,0)),""),"")</f>
        <v/>
      </c>
      <c r="V5760" s="361"/>
      <c r="W5760" s="345"/>
      <c r="X5760" s="786"/>
      <c r="Y5760" s="1128" t="s">
        <v>3380</v>
      </c>
      <c r="Z5760" s="1128" t="s">
        <v>3381</v>
      </c>
      <c r="AA5760" s="1128" t="s">
        <v>3384</v>
      </c>
      <c r="AB5760" s="20"/>
      <c r="AC5760" s="73"/>
    </row>
    <row r="5761" spans="1:29">
      <c r="A5761" s="327" t="str">
        <f>IF(AND($B5761&lt;&gt;"",$C5761&lt;&gt;""),MAX($A$4730:$A5759)+1,"")</f>
        <v/>
      </c>
      <c r="B5761" s="361" t="s">
        <v>1875</v>
      </c>
      <c r="C5761" s="362"/>
      <c r="D5761" s="327">
        <f>IF($B5761="","",COUNTIF($B$4731:$B5761,$B5761))</f>
        <v>6</v>
      </c>
      <c r="E5761" s="361" t="s">
        <v>1826</v>
      </c>
      <c r="F5761" s="362" t="s">
        <v>670</v>
      </c>
      <c r="G5761" s="327" t="s">
        <v>661</v>
      </c>
      <c r="H5761" s="361" t="s">
        <v>536</v>
      </c>
      <c r="I5761" s="361" t="s">
        <v>2354</v>
      </c>
      <c r="J5761" s="361"/>
      <c r="K5761" s="327" t="s">
        <v>103</v>
      </c>
      <c r="L5761" s="478">
        <f>40000/1000</f>
        <v>40</v>
      </c>
      <c r="M5761" s="355"/>
      <c r="N5761" s="355" t="s">
        <v>2408</v>
      </c>
      <c r="O5761" s="345"/>
      <c r="P5761" s="325"/>
      <c r="Q5761" s="327"/>
      <c r="R5761" s="351"/>
      <c r="S5761" s="351"/>
      <c r="T5761" s="351"/>
      <c r="U5761" s="329" t="str">
        <f>IF($N5761=$N$4,IFERROR(INDEX(DanhMuc!$E$154:$E$165,MATCH(MID($B5761,4,2),DanhMuc!$B$154:$B$165,0)),""),"")</f>
        <v/>
      </c>
      <c r="V5761" s="361"/>
      <c r="W5761" s="345"/>
      <c r="X5761" s="786"/>
      <c r="Y5761" s="1128" t="s">
        <v>3380</v>
      </c>
      <c r="Z5761" s="1128" t="s">
        <v>3381</v>
      </c>
      <c r="AA5761" s="1128" t="s">
        <v>3384</v>
      </c>
      <c r="AB5761" s="20"/>
      <c r="AC5761" s="73"/>
    </row>
    <row r="5762" spans="1:29">
      <c r="A5762" s="327" t="str">
        <f>IF(AND($B5762&lt;&gt;"",$C5762&lt;&gt;""),MAX($A$4730:$A5761)+1,"")</f>
        <v/>
      </c>
      <c r="B5762" s="361" t="s">
        <v>1875</v>
      </c>
      <c r="C5762" s="362"/>
      <c r="D5762" s="327">
        <f>IF($B5762="","",COUNTIF($B$4731:$B5762,$B5762))</f>
        <v>7</v>
      </c>
      <c r="E5762" s="361" t="s">
        <v>656</v>
      </c>
      <c r="F5762" s="362" t="s">
        <v>2239</v>
      </c>
      <c r="G5762" s="327" t="s">
        <v>405</v>
      </c>
      <c r="H5762" s="361" t="s">
        <v>536</v>
      </c>
      <c r="I5762" s="361" t="s">
        <v>1827</v>
      </c>
      <c r="J5762" s="361"/>
      <c r="K5762" s="327" t="s">
        <v>100</v>
      </c>
      <c r="L5762" s="478">
        <v>970</v>
      </c>
      <c r="M5762" s="371"/>
      <c r="N5762" s="355" t="s">
        <v>2409</v>
      </c>
      <c r="O5762" s="345"/>
      <c r="P5762" s="325"/>
      <c r="Q5762" s="327"/>
      <c r="R5762" s="351"/>
      <c r="S5762" s="351"/>
      <c r="T5762" s="351"/>
      <c r="U5762" s="329" t="str">
        <f>IF($N5762=$N$4,IFERROR(INDEX(DanhMuc!$E$154:$E$165,MATCH(MID($B5762,4,2),DanhMuc!$B$154:$B$165,0)),""),"")</f>
        <v/>
      </c>
      <c r="V5762" s="361"/>
      <c r="W5762" s="345"/>
      <c r="X5762" s="786"/>
      <c r="Y5762" s="1128" t="s">
        <v>3380</v>
      </c>
      <c r="Z5762" s="1128" t="s">
        <v>3381</v>
      </c>
      <c r="AA5762" s="1128" t="s">
        <v>3384</v>
      </c>
      <c r="AB5762" s="20"/>
      <c r="AC5762" s="73"/>
    </row>
    <row r="5763" spans="1:29">
      <c r="A5763" s="327" t="str">
        <f>IF(AND($B5763&lt;&gt;"",$C5763&lt;&gt;""),MAX($A$4730:$A5762)+1,"")</f>
        <v/>
      </c>
      <c r="B5763" s="361" t="s">
        <v>1875</v>
      </c>
      <c r="C5763" s="362"/>
      <c r="D5763" s="327">
        <f>IF($B5763="","",COUNTIF($B$4731:$B5763,$B5763))</f>
        <v>8</v>
      </c>
      <c r="E5763" s="361" t="s">
        <v>657</v>
      </c>
      <c r="F5763" s="362" t="s">
        <v>658</v>
      </c>
      <c r="G5763" s="327" t="s">
        <v>424</v>
      </c>
      <c r="H5763" s="361" t="s">
        <v>536</v>
      </c>
      <c r="I5763" s="361" t="s">
        <v>665</v>
      </c>
      <c r="J5763" s="361"/>
      <c r="K5763" s="327" t="s">
        <v>100</v>
      </c>
      <c r="L5763" s="478">
        <v>60000</v>
      </c>
      <c r="M5763" s="355"/>
      <c r="N5763" s="355" t="s">
        <v>2409</v>
      </c>
      <c r="O5763" s="345"/>
      <c r="P5763" s="325"/>
      <c r="Q5763" s="327"/>
      <c r="R5763" s="351"/>
      <c r="S5763" s="351"/>
      <c r="T5763" s="351"/>
      <c r="U5763" s="329" t="str">
        <f>IF($N5763=$N$4,IFERROR(INDEX(DanhMuc!$E$154:$E$165,MATCH(MID($B5763,4,2),DanhMuc!$B$154:$B$165,0)),""),"")</f>
        <v/>
      </c>
      <c r="V5763" s="361"/>
      <c r="W5763" s="345"/>
      <c r="X5763" s="786"/>
      <c r="Y5763" s="1128" t="s">
        <v>3380</v>
      </c>
      <c r="Z5763" s="1128" t="s">
        <v>3381</v>
      </c>
      <c r="AA5763" s="1128" t="s">
        <v>3384</v>
      </c>
      <c r="AB5763" s="20"/>
      <c r="AC5763" s="73"/>
    </row>
    <row r="5764" spans="1:29">
      <c r="A5764" s="327" t="str">
        <f>IF(AND($B5764&lt;&gt;"",$C5764&lt;&gt;""),MAX($A$4730:$A5763)+1,"")</f>
        <v/>
      </c>
      <c r="B5764" s="361" t="s">
        <v>1875</v>
      </c>
      <c r="C5764" s="362"/>
      <c r="D5764" s="327">
        <f>IF($B5764="","",COUNTIF($B$4731:$B5764,$B5764))</f>
        <v>9</v>
      </c>
      <c r="E5764" s="361" t="s">
        <v>2771</v>
      </c>
      <c r="F5764" s="362" t="s">
        <v>659</v>
      </c>
      <c r="G5764" s="327" t="s">
        <v>424</v>
      </c>
      <c r="H5764" s="361" t="s">
        <v>536</v>
      </c>
      <c r="I5764" s="361" t="s">
        <v>666</v>
      </c>
      <c r="J5764" s="361"/>
      <c r="K5764" s="327" t="s">
        <v>100</v>
      </c>
      <c r="L5764" s="389">
        <v>53000</v>
      </c>
      <c r="M5764" s="355"/>
      <c r="N5764" s="355" t="s">
        <v>2409</v>
      </c>
      <c r="O5764" s="345"/>
      <c r="P5764" s="325"/>
      <c r="Q5764" s="327"/>
      <c r="R5764" s="351"/>
      <c r="S5764" s="351"/>
      <c r="T5764" s="351"/>
      <c r="U5764" s="329" t="str">
        <f>IF($N5764=$N$4,IFERROR(INDEX(DanhMuc!$E$154:$E$165,MATCH(MID($B5764,4,2),DanhMuc!$B$154:$B$165,0)),""),"")</f>
        <v/>
      </c>
      <c r="V5764" s="361"/>
      <c r="W5764" s="345"/>
      <c r="X5764" s="786"/>
      <c r="Y5764" s="1128" t="s">
        <v>3380</v>
      </c>
      <c r="Z5764" s="1128" t="s">
        <v>3381</v>
      </c>
      <c r="AA5764" s="1128" t="s">
        <v>3384</v>
      </c>
      <c r="AB5764" s="20"/>
      <c r="AC5764" s="73"/>
    </row>
    <row r="5765" spans="1:29">
      <c r="A5765" s="327" t="str">
        <f>IF(AND($B5765&lt;&gt;"",$C5765&lt;&gt;""),MAX($A$4730:$A5764)+1,"")</f>
        <v/>
      </c>
      <c r="B5765" s="361" t="s">
        <v>1875</v>
      </c>
      <c r="C5765" s="362"/>
      <c r="D5765" s="327">
        <f>IF($B5765="","",COUNTIF($B$4731:$B5765,$B5765))</f>
        <v>10</v>
      </c>
      <c r="E5765" s="361" t="s">
        <v>1828</v>
      </c>
      <c r="F5765" s="362" t="s">
        <v>671</v>
      </c>
      <c r="G5765" s="327" t="s">
        <v>661</v>
      </c>
      <c r="H5765" s="361" t="s">
        <v>536</v>
      </c>
      <c r="I5765" s="361" t="s">
        <v>2355</v>
      </c>
      <c r="J5765" s="361"/>
      <c r="K5765" s="327" t="s">
        <v>100</v>
      </c>
      <c r="L5765" s="478">
        <f>40000/1000</f>
        <v>40</v>
      </c>
      <c r="M5765" s="355"/>
      <c r="N5765" s="355" t="s">
        <v>2409</v>
      </c>
      <c r="O5765" s="345"/>
      <c r="P5765" s="325"/>
      <c r="Q5765" s="327"/>
      <c r="R5765" s="351"/>
      <c r="S5765" s="351"/>
      <c r="T5765" s="351"/>
      <c r="U5765" s="329" t="str">
        <f>IF($N5765=$N$4,IFERROR(INDEX(DanhMuc!$E$154:$E$165,MATCH(MID($B5765,4,2),DanhMuc!$B$154:$B$165,0)),""),"")</f>
        <v/>
      </c>
      <c r="V5765" s="361"/>
      <c r="W5765" s="345"/>
      <c r="X5765" s="786"/>
      <c r="Y5765" s="1128" t="s">
        <v>3380</v>
      </c>
      <c r="Z5765" s="1128" t="s">
        <v>3381</v>
      </c>
      <c r="AA5765" s="1128" t="s">
        <v>3384</v>
      </c>
      <c r="AB5765" s="20"/>
      <c r="AC5765" s="73"/>
    </row>
    <row r="5766" spans="1:29">
      <c r="A5766" s="327" t="str">
        <f>IF(AND($B5766&lt;&gt;"",$C5766&lt;&gt;""),MAX($A$4730:$A5765)+1,"")</f>
        <v/>
      </c>
      <c r="B5766" s="361" t="s">
        <v>1875</v>
      </c>
      <c r="C5766" s="362"/>
      <c r="D5766" s="327">
        <f>IF($B5766="","",COUNTIF($B$4731:$B5766,$B5766))</f>
        <v>11</v>
      </c>
      <c r="E5766" s="361" t="s">
        <v>154</v>
      </c>
      <c r="F5766" s="362" t="s">
        <v>660</v>
      </c>
      <c r="G5766" s="327" t="s">
        <v>661</v>
      </c>
      <c r="H5766" s="361" t="s">
        <v>536</v>
      </c>
      <c r="I5766" s="361" t="s">
        <v>667</v>
      </c>
      <c r="J5766" s="361"/>
      <c r="K5766" s="327" t="s">
        <v>662</v>
      </c>
      <c r="L5766" s="478">
        <v>20</v>
      </c>
      <c r="M5766" s="355"/>
      <c r="N5766" s="355" t="s">
        <v>2409</v>
      </c>
      <c r="O5766" s="345"/>
      <c r="P5766" s="325"/>
      <c r="Q5766" s="327"/>
      <c r="R5766" s="351"/>
      <c r="S5766" s="351"/>
      <c r="T5766" s="351"/>
      <c r="U5766" s="329" t="str">
        <f>IF($N5766=$N$4,IFERROR(INDEX(DanhMuc!$E$154:$E$165,MATCH(MID($B5766,4,2),DanhMuc!$B$154:$B$165,0)),""),"")</f>
        <v/>
      </c>
      <c r="V5766" s="361"/>
      <c r="W5766" s="345"/>
      <c r="X5766" s="786"/>
      <c r="Y5766" s="1128" t="s">
        <v>3380</v>
      </c>
      <c r="Z5766" s="1128" t="s">
        <v>3381</v>
      </c>
      <c r="AA5766" s="1128" t="s">
        <v>3384</v>
      </c>
      <c r="AB5766" s="20"/>
      <c r="AC5766" s="73"/>
    </row>
    <row r="5767" spans="1:29">
      <c r="A5767" s="327" t="str">
        <f>IF(AND($B5767&lt;&gt;"",$C5767&lt;&gt;""),MAX($A$4730:$A5766)+1,"")</f>
        <v/>
      </c>
      <c r="B5767" s="361" t="s">
        <v>1875</v>
      </c>
      <c r="C5767" s="362"/>
      <c r="D5767" s="327">
        <f>IF($B5767="","",COUNTIF($B$4731:$B5767,$B5767))</f>
        <v>12</v>
      </c>
      <c r="E5767" s="362" t="s">
        <v>2282</v>
      </c>
      <c r="F5767" s="362" t="s">
        <v>2283</v>
      </c>
      <c r="G5767" s="327" t="s">
        <v>424</v>
      </c>
      <c r="H5767" s="361" t="s">
        <v>536</v>
      </c>
      <c r="I5767" s="361" t="s">
        <v>2238</v>
      </c>
      <c r="J5767" s="361"/>
      <c r="K5767" s="327" t="s">
        <v>662</v>
      </c>
      <c r="L5767" s="478">
        <v>28000</v>
      </c>
      <c r="M5767" s="355"/>
      <c r="N5767" s="355" t="s">
        <v>2409</v>
      </c>
      <c r="O5767" s="345"/>
      <c r="P5767" s="325"/>
      <c r="Q5767" s="327"/>
      <c r="R5767" s="351"/>
      <c r="S5767" s="351"/>
      <c r="T5767" s="351"/>
      <c r="U5767" s="329" t="str">
        <f>IF($N5767=$N$4,IFERROR(INDEX(DanhMuc!$E$154:$E$165,MATCH(MID($B5767,4,2),DanhMuc!$B$154:$B$165,0)),""),"")</f>
        <v/>
      </c>
      <c r="V5767" s="361"/>
      <c r="W5767" s="345"/>
      <c r="X5767" s="786"/>
      <c r="Y5767" s="1128" t="s">
        <v>3380</v>
      </c>
      <c r="Z5767" s="1128" t="s">
        <v>3381</v>
      </c>
      <c r="AA5767" s="1128" t="s">
        <v>3384</v>
      </c>
      <c r="AB5767" s="20"/>
      <c r="AC5767" s="73"/>
    </row>
    <row r="5768" spans="1:29">
      <c r="A5768" s="327" t="str">
        <f>IF(AND($B5768&lt;&gt;"",$C5768&lt;&gt;""),MAX($A$4730:$A5767)+1,"")</f>
        <v/>
      </c>
      <c r="B5768" s="361" t="s">
        <v>1875</v>
      </c>
      <c r="C5768" s="362"/>
      <c r="D5768" s="327">
        <f>IF($B5768="","",COUNTIF($B$4731:$B5768,$B5768))</f>
        <v>13</v>
      </c>
      <c r="E5768" s="362" t="s">
        <v>663</v>
      </c>
      <c r="F5768" s="362" t="s">
        <v>664</v>
      </c>
      <c r="G5768" s="327" t="s">
        <v>155</v>
      </c>
      <c r="H5768" s="361" t="s">
        <v>536</v>
      </c>
      <c r="I5768" s="361" t="s">
        <v>672</v>
      </c>
      <c r="J5768" s="361"/>
      <c r="K5768" s="327" t="s">
        <v>662</v>
      </c>
      <c r="L5768" s="478">
        <v>1000</v>
      </c>
      <c r="M5768" s="355"/>
      <c r="N5768" s="355" t="s">
        <v>2409</v>
      </c>
      <c r="O5768" s="345"/>
      <c r="P5768" s="325"/>
      <c r="Q5768" s="327"/>
      <c r="R5768" s="351"/>
      <c r="S5768" s="351"/>
      <c r="T5768" s="351"/>
      <c r="U5768" s="329" t="str">
        <f>IF($N5768=$N$4,IFERROR(INDEX(DanhMuc!$E$154:$E$165,MATCH(MID($B5768,4,2),DanhMuc!$B$154:$B$165,0)),""),"")</f>
        <v/>
      </c>
      <c r="V5768" s="361"/>
      <c r="W5768" s="345"/>
      <c r="X5768" s="786"/>
      <c r="Y5768" s="1128" t="s">
        <v>3380</v>
      </c>
      <c r="Z5768" s="1128" t="s">
        <v>3381</v>
      </c>
      <c r="AA5768" s="1128" t="s">
        <v>3384</v>
      </c>
      <c r="AB5768" s="20"/>
      <c r="AC5768" s="73"/>
    </row>
    <row r="5769" spans="1:29" ht="26">
      <c r="A5769" s="327">
        <f>IF(AND($B5769&lt;&gt;"",$C5769&lt;&gt;""),MAX($A$4730:$A5768)+1,"")</f>
        <v>41</v>
      </c>
      <c r="B5769" s="359" t="s">
        <v>3266</v>
      </c>
      <c r="C5769" s="360" t="s">
        <v>3265</v>
      </c>
      <c r="D5769" s="327">
        <f>IF($B5769="","",COUNTIF($B$4731:$B5769,$B5769))</f>
        <v>1</v>
      </c>
      <c r="E5769" s="402" t="s">
        <v>2301</v>
      </c>
      <c r="F5769" s="403" t="s">
        <v>2333</v>
      </c>
      <c r="G5769" s="327" t="s">
        <v>155</v>
      </c>
      <c r="H5769" s="361" t="s">
        <v>536</v>
      </c>
      <c r="I5769" s="327">
        <v>2</v>
      </c>
      <c r="J5769" s="361"/>
      <c r="K5769" s="327" t="s">
        <v>100</v>
      </c>
      <c r="L5769" s="389">
        <v>9400</v>
      </c>
      <c r="M5769" s="355"/>
      <c r="N5769" s="355" t="s">
        <v>2408</v>
      </c>
      <c r="O5769" s="345" t="s">
        <v>2776</v>
      </c>
      <c r="P5769" s="325"/>
      <c r="Q5769" s="327"/>
      <c r="R5769" s="351"/>
      <c r="S5769" s="351"/>
      <c r="T5769" s="351"/>
      <c r="U5769" s="329" t="str">
        <f>IF($N5769=$N$4,IFERROR(INDEX(DanhMuc!$E$154:$E$165,MATCH(MID($B5769,4,2),DanhMuc!$B$154:$B$165,0)),""),"")</f>
        <v/>
      </c>
      <c r="V5769" s="361"/>
      <c r="W5769" s="345"/>
      <c r="X5769" s="786"/>
      <c r="Y5769" s="1128" t="s">
        <v>3380</v>
      </c>
      <c r="Z5769" s="1128" t="s">
        <v>3381</v>
      </c>
      <c r="AA5769" s="1128" t="s">
        <v>3384</v>
      </c>
      <c r="AB5769" s="20"/>
      <c r="AC5769" s="73"/>
    </row>
    <row r="5770" spans="1:29">
      <c r="A5770" s="327" t="str">
        <f>IF(AND($B5770&lt;&gt;"",$C5770&lt;&gt;""),MAX($A$4730:$A5769)+1,"")</f>
        <v/>
      </c>
      <c r="B5770" s="361" t="s">
        <v>3266</v>
      </c>
      <c r="C5770" s="360"/>
      <c r="D5770" s="327">
        <f>IF($B5770="","",COUNTIF($B$4731:$B5770,$B5770))</f>
        <v>2</v>
      </c>
      <c r="E5770" s="402" t="s">
        <v>2788</v>
      </c>
      <c r="F5770" s="403" t="s">
        <v>2789</v>
      </c>
      <c r="G5770" s="327" t="s">
        <v>155</v>
      </c>
      <c r="H5770" s="361" t="s">
        <v>536</v>
      </c>
      <c r="I5770" s="327">
        <f>4*I5769</f>
        <v>8</v>
      </c>
      <c r="J5770" s="361"/>
      <c r="K5770" s="327" t="s">
        <v>100</v>
      </c>
      <c r="L5770" s="389">
        <v>600</v>
      </c>
      <c r="M5770" s="355"/>
      <c r="N5770" s="355" t="s">
        <v>2408</v>
      </c>
      <c r="O5770" s="345" t="s">
        <v>2776</v>
      </c>
      <c r="P5770" s="325"/>
      <c r="Q5770" s="327"/>
      <c r="R5770" s="351"/>
      <c r="S5770" s="351"/>
      <c r="T5770" s="351"/>
      <c r="U5770" s="329" t="str">
        <f>IF($N5770=$N$4,IFERROR(INDEX(DanhMuc!$E$154:$E$165,MATCH(MID($B5770,4,2),DanhMuc!$B$154:$B$165,0)),""),"")</f>
        <v/>
      </c>
      <c r="V5770" s="361"/>
      <c r="W5770" s="345"/>
      <c r="X5770" s="786"/>
      <c r="Y5770" s="1128" t="s">
        <v>3380</v>
      </c>
      <c r="Z5770" s="1128" t="s">
        <v>3381</v>
      </c>
      <c r="AA5770" s="1128" t="s">
        <v>3384</v>
      </c>
      <c r="AB5770" s="20"/>
      <c r="AC5770" s="73"/>
    </row>
    <row r="5771" spans="1:29">
      <c r="A5771" s="327" t="str">
        <f>IF(AND($B5771&lt;&gt;"",$C5771&lt;&gt;""),MAX($A$4730:$A5769)+1,"")</f>
        <v/>
      </c>
      <c r="B5771" s="361" t="s">
        <v>3266</v>
      </c>
      <c r="C5771" s="360"/>
      <c r="D5771" s="327">
        <f>IF($B5771="","",COUNTIF($B$4731:$B5771,$B5771))</f>
        <v>3</v>
      </c>
      <c r="E5771" s="361" t="s">
        <v>652</v>
      </c>
      <c r="F5771" s="362" t="s">
        <v>2330</v>
      </c>
      <c r="G5771" s="327" t="s">
        <v>155</v>
      </c>
      <c r="H5771" s="361" t="s">
        <v>536</v>
      </c>
      <c r="I5771" s="327">
        <v>2</v>
      </c>
      <c r="J5771" s="361"/>
      <c r="K5771" s="327" t="s">
        <v>100</v>
      </c>
      <c r="L5771" s="389">
        <v>15000</v>
      </c>
      <c r="M5771" s="355"/>
      <c r="N5771" s="355" t="s">
        <v>2408</v>
      </c>
      <c r="O5771" s="345" t="s">
        <v>2777</v>
      </c>
      <c r="P5771" s="325"/>
      <c r="Q5771" s="327"/>
      <c r="R5771" s="351">
        <v>4</v>
      </c>
      <c r="S5771" s="351">
        <v>5.8</v>
      </c>
      <c r="T5771" s="351">
        <v>4.9569999999999999</v>
      </c>
      <c r="U5771" s="329" t="str">
        <f>IF($N5771=$N$4,IFERROR(INDEX(DanhMuc!$E$154:$E$165,MATCH(MID($B5771,4,2),DanhMuc!$B$154:$B$165,0)),""),"")</f>
        <v/>
      </c>
      <c r="V5771" s="361"/>
      <c r="W5771" s="345"/>
      <c r="X5771" s="786"/>
      <c r="Y5771" s="1128" t="s">
        <v>3380</v>
      </c>
      <c r="Z5771" s="1128" t="s">
        <v>3381</v>
      </c>
      <c r="AA5771" s="1128" t="s">
        <v>3384</v>
      </c>
      <c r="AB5771" s="20"/>
      <c r="AC5771" s="73"/>
    </row>
    <row r="5772" spans="1:29">
      <c r="A5772" s="327" t="str">
        <f>IF(AND($B5772&lt;&gt;"",$C5772&lt;&gt;""),MAX($A$4730:$A5769)+1,"")</f>
        <v/>
      </c>
      <c r="B5772" s="361" t="s">
        <v>3266</v>
      </c>
      <c r="C5772" s="362"/>
      <c r="D5772" s="327">
        <f>IF($B5772="","",COUNTIF($B$4731:$B5772,$B5772))</f>
        <v>4</v>
      </c>
      <c r="E5772" s="402" t="s">
        <v>2301</v>
      </c>
      <c r="F5772" s="403" t="s">
        <v>2333</v>
      </c>
      <c r="G5772" s="327" t="s">
        <v>155</v>
      </c>
      <c r="H5772" s="361" t="s">
        <v>536</v>
      </c>
      <c r="I5772" s="327">
        <v>4</v>
      </c>
      <c r="J5772" s="361"/>
      <c r="K5772" s="327" t="s">
        <v>101</v>
      </c>
      <c r="L5772" s="389">
        <v>9400</v>
      </c>
      <c r="M5772" s="355"/>
      <c r="N5772" s="355" t="s">
        <v>2408</v>
      </c>
      <c r="O5772" s="345" t="s">
        <v>2778</v>
      </c>
      <c r="P5772" s="325"/>
      <c r="Q5772" s="327"/>
      <c r="R5772" s="351"/>
      <c r="S5772" s="351"/>
      <c r="T5772" s="351"/>
      <c r="U5772" s="329" t="str">
        <f>IF($N5772=$N$4,IFERROR(INDEX(DanhMuc!$E$154:$E$165,MATCH(MID($B5772,4,2),DanhMuc!$B$154:$B$165,0)),""),"")</f>
        <v/>
      </c>
      <c r="V5772" s="361"/>
      <c r="W5772" s="345"/>
      <c r="X5772" s="786"/>
      <c r="Y5772" s="1128" t="s">
        <v>3380</v>
      </c>
      <c r="Z5772" s="1128" t="s">
        <v>3381</v>
      </c>
      <c r="AA5772" s="1128" t="s">
        <v>3384</v>
      </c>
      <c r="AB5772" s="20"/>
      <c r="AC5772" s="73"/>
    </row>
    <row r="5773" spans="1:29">
      <c r="A5773" s="327" t="str">
        <f>IF(AND($B5773&lt;&gt;"",$C5773&lt;&gt;""),MAX($A$4730:$A5772)+1,"")</f>
        <v/>
      </c>
      <c r="B5773" s="361" t="s">
        <v>3266</v>
      </c>
      <c r="C5773" s="360"/>
      <c r="D5773" s="327">
        <f>IF($B5773="","",COUNTIF($B$4731:$B5773,$B5773))</f>
        <v>5</v>
      </c>
      <c r="E5773" s="402" t="s">
        <v>2788</v>
      </c>
      <c r="F5773" s="403" t="s">
        <v>2789</v>
      </c>
      <c r="G5773" s="327" t="s">
        <v>155</v>
      </c>
      <c r="H5773" s="361" t="s">
        <v>536</v>
      </c>
      <c r="I5773" s="327">
        <f>4*I5772</f>
        <v>16</v>
      </c>
      <c r="J5773" s="361"/>
      <c r="K5773" s="327" t="s">
        <v>101</v>
      </c>
      <c r="L5773" s="389">
        <v>600</v>
      </c>
      <c r="M5773" s="355"/>
      <c r="N5773" s="355" t="s">
        <v>2408</v>
      </c>
      <c r="O5773" s="345" t="s">
        <v>2778</v>
      </c>
      <c r="P5773" s="325"/>
      <c r="Q5773" s="327"/>
      <c r="R5773" s="351"/>
      <c r="S5773" s="351"/>
      <c r="T5773" s="351"/>
      <c r="U5773" s="329" t="str">
        <f>IF($N5773=$N$4,IFERROR(INDEX(DanhMuc!$E$154:$E$165,MATCH(MID($B5773,4,2),DanhMuc!$B$154:$B$165,0)),""),"")</f>
        <v/>
      </c>
      <c r="V5773" s="361"/>
      <c r="W5773" s="345"/>
      <c r="X5773" s="786"/>
      <c r="Y5773" s="1128" t="s">
        <v>3380</v>
      </c>
      <c r="Z5773" s="1128" t="s">
        <v>3381</v>
      </c>
      <c r="AA5773" s="1128" t="s">
        <v>3384</v>
      </c>
      <c r="AB5773" s="20"/>
      <c r="AC5773" s="73"/>
    </row>
    <row r="5774" spans="1:29">
      <c r="A5774" s="327" t="str">
        <f>IF(AND($B5774&lt;&gt;"",$C5774&lt;&gt;""),MAX($A$4730:$A5771)+1,"")</f>
        <v/>
      </c>
      <c r="B5774" s="361" t="s">
        <v>3266</v>
      </c>
      <c r="C5774" s="362"/>
      <c r="D5774" s="327">
        <f>IF($B5774="","",COUNTIF($B$4731:$B5774,$B5774))</f>
        <v>6</v>
      </c>
      <c r="E5774" s="361" t="s">
        <v>652</v>
      </c>
      <c r="F5774" s="362" t="s">
        <v>2330</v>
      </c>
      <c r="G5774" s="327" t="s">
        <v>155</v>
      </c>
      <c r="H5774" s="361" t="s">
        <v>536</v>
      </c>
      <c r="I5774" s="327">
        <v>4</v>
      </c>
      <c r="J5774" s="361"/>
      <c r="K5774" s="327" t="s">
        <v>101</v>
      </c>
      <c r="L5774" s="389">
        <v>15000</v>
      </c>
      <c r="M5774" s="355"/>
      <c r="N5774" s="355" t="s">
        <v>2408</v>
      </c>
      <c r="O5774" s="345" t="s">
        <v>2779</v>
      </c>
      <c r="P5774" s="325"/>
      <c r="Q5774" s="327"/>
      <c r="R5774" s="351">
        <v>4</v>
      </c>
      <c r="S5774" s="351">
        <v>5.8</v>
      </c>
      <c r="T5774" s="351">
        <v>4.9569999999999999</v>
      </c>
      <c r="U5774" s="329" t="str">
        <f>IF($N5774=$N$4,IFERROR(INDEX(DanhMuc!$E$154:$E$165,MATCH(MID($B5774,4,2),DanhMuc!$B$154:$B$165,0)),""),"")</f>
        <v/>
      </c>
      <c r="V5774" s="361"/>
      <c r="W5774" s="345"/>
      <c r="X5774" s="786"/>
      <c r="Y5774" s="1128" t="s">
        <v>3380</v>
      </c>
      <c r="Z5774" s="1128" t="s">
        <v>3381</v>
      </c>
      <c r="AA5774" s="1128" t="s">
        <v>3384</v>
      </c>
      <c r="AB5774" s="20"/>
      <c r="AC5774" s="73"/>
    </row>
    <row r="5775" spans="1:29">
      <c r="A5775" s="327" t="str">
        <f>IF(AND($B5775&lt;&gt;"",$C5775&lt;&gt;""),MAX($A$4730:$A5772)+1,"")</f>
        <v/>
      </c>
      <c r="B5775" s="361" t="s">
        <v>3266</v>
      </c>
      <c r="C5775" s="362"/>
      <c r="D5775" s="327">
        <f>IF($B5775="","",COUNTIF($B$4731:$B5775,$B5775))</f>
        <v>7</v>
      </c>
      <c r="E5775" s="361" t="s">
        <v>414</v>
      </c>
      <c r="F5775" s="362" t="s">
        <v>413</v>
      </c>
      <c r="G5775" s="327" t="s">
        <v>155</v>
      </c>
      <c r="H5775" s="361" t="s">
        <v>536</v>
      </c>
      <c r="I5775" s="327">
        <f>+I5769+I5772*2</f>
        <v>10</v>
      </c>
      <c r="J5775" s="361"/>
      <c r="K5775" s="327" t="s">
        <v>558</v>
      </c>
      <c r="L5775" s="389">
        <v>408</v>
      </c>
      <c r="M5775" s="355"/>
      <c r="N5775" s="355" t="s">
        <v>2408</v>
      </c>
      <c r="O5775" s="345"/>
      <c r="P5775" s="325"/>
      <c r="Q5775" s="327"/>
      <c r="R5775" s="351"/>
      <c r="S5775" s="351"/>
      <c r="T5775" s="351"/>
      <c r="U5775" s="329" t="str">
        <f>IF($N5775=$N$4,IFERROR(INDEX(DanhMuc!$E$154:$E$165,MATCH(MID($B5775,4,2),DanhMuc!$B$154:$B$165,0)),""),"")</f>
        <v/>
      </c>
      <c r="V5775" s="361"/>
      <c r="W5775" s="345"/>
      <c r="X5775" s="786"/>
      <c r="Y5775" s="1128" t="s">
        <v>3380</v>
      </c>
      <c r="Z5775" s="1128" t="s">
        <v>3381</v>
      </c>
      <c r="AA5775" s="1128" t="s">
        <v>3384</v>
      </c>
      <c r="AB5775" s="20"/>
      <c r="AC5775" s="73"/>
    </row>
    <row r="5776" spans="1:29">
      <c r="A5776" s="327" t="str">
        <f>IF(AND($B5776&lt;&gt;"",$C5776&lt;&gt;""),MAX($A$4730:$A5774)+1,"")</f>
        <v/>
      </c>
      <c r="B5776" s="361" t="s">
        <v>3266</v>
      </c>
      <c r="C5776" s="362"/>
      <c r="D5776" s="327">
        <f>IF($B5776="","",COUNTIF($B$4731:$B5776,$B5776))</f>
        <v>8</v>
      </c>
      <c r="E5776" s="361" t="s">
        <v>654</v>
      </c>
      <c r="F5776" s="362" t="s">
        <v>653</v>
      </c>
      <c r="G5776" s="327" t="s">
        <v>1836</v>
      </c>
      <c r="H5776" s="361" t="s">
        <v>536</v>
      </c>
      <c r="I5776" s="327">
        <f>I5771/45</f>
        <v>4.4444444444444446E-2</v>
      </c>
      <c r="J5776" s="477"/>
      <c r="K5776" s="327" t="s">
        <v>655</v>
      </c>
      <c r="L5776" s="478">
        <v>115000</v>
      </c>
      <c r="M5776" s="355"/>
      <c r="N5776" s="355" t="s">
        <v>2408</v>
      </c>
      <c r="O5776" s="345" t="s">
        <v>2777</v>
      </c>
      <c r="P5776" s="325"/>
      <c r="Q5776" s="327"/>
      <c r="R5776" s="351"/>
      <c r="S5776" s="351"/>
      <c r="T5776" s="351"/>
      <c r="U5776" s="329" t="str">
        <f>IF($N5776=$N$4,IFERROR(INDEX(DanhMuc!$E$154:$E$165,MATCH(MID($B5776,4,2),DanhMuc!$B$154:$B$165,0)),""),"")</f>
        <v/>
      </c>
      <c r="V5776" s="361"/>
      <c r="W5776" s="345"/>
      <c r="X5776" s="786"/>
      <c r="Y5776" s="1128" t="s">
        <v>3380</v>
      </c>
      <c r="Z5776" s="1128" t="s">
        <v>3381</v>
      </c>
      <c r="AA5776" s="1128" t="s">
        <v>3384</v>
      </c>
      <c r="AB5776" s="20"/>
      <c r="AC5776" s="73"/>
    </row>
    <row r="5777" spans="1:29">
      <c r="A5777" s="327" t="str">
        <f>IF(AND($B5777&lt;&gt;"",$C5777&lt;&gt;""),MAX($A$4730:$A5775)+1,"")</f>
        <v/>
      </c>
      <c r="B5777" s="361" t="s">
        <v>3266</v>
      </c>
      <c r="C5777" s="362"/>
      <c r="D5777" s="327">
        <f>IF($B5777="","",COUNTIF($B$4731:$B5777,$B5777))</f>
        <v>9</v>
      </c>
      <c r="E5777" s="361" t="s">
        <v>654</v>
      </c>
      <c r="F5777" s="362" t="s">
        <v>653</v>
      </c>
      <c r="G5777" s="327" t="s">
        <v>1836</v>
      </c>
      <c r="H5777" s="361" t="s">
        <v>536</v>
      </c>
      <c r="I5777" s="327">
        <f>I5774/45</f>
        <v>8.8888888888888892E-2</v>
      </c>
      <c r="J5777" s="477"/>
      <c r="K5777" s="327" t="s">
        <v>655</v>
      </c>
      <c r="L5777" s="478">
        <v>115000</v>
      </c>
      <c r="M5777" s="355"/>
      <c r="N5777" s="355" t="s">
        <v>2408</v>
      </c>
      <c r="O5777" s="345" t="s">
        <v>2779</v>
      </c>
      <c r="P5777" s="325"/>
      <c r="Q5777" s="327"/>
      <c r="R5777" s="351"/>
      <c r="S5777" s="351"/>
      <c r="T5777" s="351"/>
      <c r="U5777" s="329" t="str">
        <f>IF($N5777=$N$4,IFERROR(INDEX(DanhMuc!$E$154:$E$165,MATCH(MID($B5777,4,2),DanhMuc!$B$154:$B$165,0)),""),"")</f>
        <v/>
      </c>
      <c r="V5777" s="361"/>
      <c r="W5777" s="345"/>
      <c r="X5777" s="786"/>
      <c r="Y5777" s="1128" t="s">
        <v>3380</v>
      </c>
      <c r="Z5777" s="1128" t="s">
        <v>3381</v>
      </c>
      <c r="AA5777" s="1128" t="s">
        <v>3384</v>
      </c>
      <c r="AB5777" s="20"/>
      <c r="AC5777" s="73"/>
    </row>
    <row r="5778" spans="1:29">
      <c r="A5778" s="327" t="str">
        <f>IF(AND($B5778&lt;&gt;"",$C5778&lt;&gt;""),MAX($A$4730:$A5775)+1,"")</f>
        <v/>
      </c>
      <c r="B5778" s="361" t="s">
        <v>3266</v>
      </c>
      <c r="C5778" s="362"/>
      <c r="D5778" s="327">
        <f>IF($B5778="","",COUNTIF($B$4731:$B5778,$B5778))</f>
        <v>10</v>
      </c>
      <c r="E5778" s="361" t="s">
        <v>1826</v>
      </c>
      <c r="F5778" s="362" t="s">
        <v>670</v>
      </c>
      <c r="G5778" s="327" t="s">
        <v>661</v>
      </c>
      <c r="H5778" s="361" t="s">
        <v>536</v>
      </c>
      <c r="I5778" s="361" t="s">
        <v>2354</v>
      </c>
      <c r="J5778" s="361"/>
      <c r="K5778" s="327" t="s">
        <v>103</v>
      </c>
      <c r="L5778" s="478">
        <f>40000/1000</f>
        <v>40</v>
      </c>
      <c r="M5778" s="355"/>
      <c r="N5778" s="355" t="s">
        <v>2408</v>
      </c>
      <c r="O5778" s="345"/>
      <c r="P5778" s="325"/>
      <c r="Q5778" s="327"/>
      <c r="R5778" s="351"/>
      <c r="S5778" s="351"/>
      <c r="T5778" s="351"/>
      <c r="U5778" s="329" t="str">
        <f>IF($N5778=$N$4,IFERROR(INDEX(DanhMuc!$E$154:$E$165,MATCH(MID($B5778,4,2),DanhMuc!$B$154:$B$165,0)),""),"")</f>
        <v/>
      </c>
      <c r="V5778" s="361" t="s">
        <v>1445</v>
      </c>
      <c r="W5778" s="345"/>
      <c r="X5778" s="786"/>
      <c r="Y5778" s="1128" t="s">
        <v>3380</v>
      </c>
      <c r="Z5778" s="1128" t="s">
        <v>3381</v>
      </c>
      <c r="AA5778" s="1128" t="s">
        <v>3384</v>
      </c>
      <c r="AB5778" s="20"/>
      <c r="AC5778" s="73"/>
    </row>
    <row r="5779" spans="1:29" ht="37.5">
      <c r="A5779" s="327" t="str">
        <f>IF(AND($B5779&lt;&gt;"",$C5779&lt;&gt;""),MAX($A$4730:$A5778)+1,"")</f>
        <v/>
      </c>
      <c r="B5779" s="361" t="s">
        <v>3266</v>
      </c>
      <c r="C5779" s="362"/>
      <c r="D5779" s="327">
        <f>IF($B5779="","",COUNTIF($B$4731:$B5779,$B5779))</f>
        <v>11</v>
      </c>
      <c r="E5779" s="362" t="s">
        <v>1964</v>
      </c>
      <c r="F5779" s="362" t="s">
        <v>1965</v>
      </c>
      <c r="G5779" s="327" t="s">
        <v>405</v>
      </c>
      <c r="H5779" s="361" t="s">
        <v>536</v>
      </c>
      <c r="I5779" s="361" t="s">
        <v>693</v>
      </c>
      <c r="J5779" s="361"/>
      <c r="K5779" s="327" t="s">
        <v>223</v>
      </c>
      <c r="L5779" s="478">
        <v>140</v>
      </c>
      <c r="M5779" s="371"/>
      <c r="N5779" s="355" t="s">
        <v>2408</v>
      </c>
      <c r="O5779" s="345"/>
      <c r="P5779" s="325"/>
      <c r="Q5779" s="327"/>
      <c r="R5779" s="351"/>
      <c r="S5779" s="351"/>
      <c r="T5779" s="351"/>
      <c r="U5779" s="329" t="str">
        <f>IF($N5779=$N$4,IFERROR(INDEX(DanhMuc!$E$154:$E$165,MATCH(MID($B5779,4,2),DanhMuc!$B$154:$B$165,0)),""),"")</f>
        <v/>
      </c>
      <c r="V5779" s="361"/>
      <c r="W5779" s="345"/>
      <c r="X5779" s="786"/>
      <c r="Y5779" s="1128" t="s">
        <v>3380</v>
      </c>
      <c r="Z5779" s="1128" t="s">
        <v>3381</v>
      </c>
      <c r="AA5779" s="1128" t="s">
        <v>3384</v>
      </c>
      <c r="AB5779" s="20"/>
      <c r="AC5779" s="73"/>
    </row>
    <row r="5780" spans="1:29" ht="37.5">
      <c r="A5780" s="327" t="str">
        <f>IF(AND($B5780&lt;&gt;"",$C5780&lt;&gt;""),MAX($A$4730:$A5779)+1,"")</f>
        <v/>
      </c>
      <c r="B5780" s="361" t="s">
        <v>3266</v>
      </c>
      <c r="C5780" s="362"/>
      <c r="D5780" s="327">
        <f>IF($B5780="","",COUNTIF($B$4731:$B5780,$B5780))</f>
        <v>12</v>
      </c>
      <c r="E5780" s="362" t="s">
        <v>2756</v>
      </c>
      <c r="F5780" s="362" t="s">
        <v>2757</v>
      </c>
      <c r="G5780" s="327" t="s">
        <v>405</v>
      </c>
      <c r="H5780" s="361" t="s">
        <v>536</v>
      </c>
      <c r="I5780" s="361" t="s">
        <v>693</v>
      </c>
      <c r="J5780" s="361"/>
      <c r="K5780" s="327" t="s">
        <v>223</v>
      </c>
      <c r="L5780" s="479">
        <v>322</v>
      </c>
      <c r="M5780" s="371"/>
      <c r="N5780" s="355" t="s">
        <v>2408</v>
      </c>
      <c r="O5780" s="345"/>
      <c r="P5780" s="325"/>
      <c r="Q5780" s="327"/>
      <c r="R5780" s="351"/>
      <c r="S5780" s="351"/>
      <c r="T5780" s="351"/>
      <c r="U5780" s="329" t="str">
        <f>IF($N5780=$N$4,IFERROR(INDEX(DanhMuc!$E$154:$E$165,MATCH(MID($B5780,4,2),DanhMuc!$B$154:$B$165,0)),""),"")</f>
        <v/>
      </c>
      <c r="V5780" s="361"/>
      <c r="W5780" s="345"/>
      <c r="X5780" s="786"/>
      <c r="Y5780" s="1128" t="s">
        <v>3380</v>
      </c>
      <c r="Z5780" s="1128" t="s">
        <v>3381</v>
      </c>
      <c r="AA5780" s="1128" t="s">
        <v>3384</v>
      </c>
      <c r="AB5780" s="20"/>
      <c r="AC5780" s="73"/>
    </row>
    <row r="5781" spans="1:29">
      <c r="A5781" s="327" t="str">
        <f>IF(AND($B5781&lt;&gt;"",$C5781&lt;&gt;""),MAX($A$4730:$A5780)+1,"")</f>
        <v/>
      </c>
      <c r="B5781" s="361" t="s">
        <v>3266</v>
      </c>
      <c r="C5781" s="362"/>
      <c r="D5781" s="327">
        <f>IF($B5781="","",COUNTIF($B$4731:$B5781,$B5781))</f>
        <v>13</v>
      </c>
      <c r="E5781" s="361" t="s">
        <v>656</v>
      </c>
      <c r="F5781" s="362" t="s">
        <v>2239</v>
      </c>
      <c r="G5781" s="327" t="s">
        <v>405</v>
      </c>
      <c r="H5781" s="361" t="s">
        <v>536</v>
      </c>
      <c r="I5781" s="361" t="s">
        <v>1827</v>
      </c>
      <c r="J5781" s="361"/>
      <c r="K5781" s="327" t="s">
        <v>100</v>
      </c>
      <c r="L5781" s="478">
        <v>970</v>
      </c>
      <c r="M5781" s="371"/>
      <c r="N5781" s="355" t="s">
        <v>2409</v>
      </c>
      <c r="O5781" s="345"/>
      <c r="P5781" s="325"/>
      <c r="Q5781" s="327"/>
      <c r="R5781" s="351"/>
      <c r="S5781" s="351"/>
      <c r="T5781" s="351"/>
      <c r="U5781" s="329" t="str">
        <f>IF($N5781=$N$4,IFERROR(INDEX(DanhMuc!$E$154:$E$165,MATCH(MID($B5781,4,2),DanhMuc!$B$154:$B$165,0)),""),"")</f>
        <v/>
      </c>
      <c r="V5781" s="361"/>
      <c r="W5781" s="345"/>
      <c r="X5781" s="786"/>
      <c r="Y5781" s="1128" t="s">
        <v>3380</v>
      </c>
      <c r="Z5781" s="1128" t="s">
        <v>3381</v>
      </c>
      <c r="AA5781" s="1128" t="s">
        <v>3384</v>
      </c>
      <c r="AB5781" s="20"/>
      <c r="AC5781" s="73"/>
    </row>
    <row r="5782" spans="1:29">
      <c r="A5782" s="327" t="str">
        <f>IF(AND($B5782&lt;&gt;"",$C5782&lt;&gt;""),MAX($A$4730:$A5781)+1,"")</f>
        <v/>
      </c>
      <c r="B5782" s="361" t="s">
        <v>3266</v>
      </c>
      <c r="C5782" s="362"/>
      <c r="D5782" s="327">
        <f>IF($B5782="","",COUNTIF($B$4731:$B5782,$B5782))</f>
        <v>14</v>
      </c>
      <c r="E5782" s="361" t="s">
        <v>657</v>
      </c>
      <c r="F5782" s="362" t="s">
        <v>658</v>
      </c>
      <c r="G5782" s="327" t="s">
        <v>424</v>
      </c>
      <c r="H5782" s="361" t="s">
        <v>536</v>
      </c>
      <c r="I5782" s="361" t="s">
        <v>665</v>
      </c>
      <c r="J5782" s="361"/>
      <c r="K5782" s="327" t="s">
        <v>100</v>
      </c>
      <c r="L5782" s="478">
        <v>60000</v>
      </c>
      <c r="M5782" s="355"/>
      <c r="N5782" s="355" t="s">
        <v>2409</v>
      </c>
      <c r="O5782" s="345"/>
      <c r="P5782" s="325"/>
      <c r="Q5782" s="327"/>
      <c r="R5782" s="351"/>
      <c r="S5782" s="351"/>
      <c r="T5782" s="351"/>
      <c r="U5782" s="329" t="str">
        <f>IF($N5782=$N$4,IFERROR(INDEX(DanhMuc!$E$154:$E$165,MATCH(MID($B5782,4,2),DanhMuc!$B$154:$B$165,0)),""),"")</f>
        <v/>
      </c>
      <c r="V5782" s="361"/>
      <c r="W5782" s="345"/>
      <c r="X5782" s="786"/>
      <c r="Y5782" s="1128" t="s">
        <v>3380</v>
      </c>
      <c r="Z5782" s="1128" t="s">
        <v>3381</v>
      </c>
      <c r="AA5782" s="1128" t="s">
        <v>3384</v>
      </c>
      <c r="AB5782" s="20"/>
      <c r="AC5782" s="73"/>
    </row>
    <row r="5783" spans="1:29">
      <c r="A5783" s="327" t="str">
        <f>IF(AND($B5783&lt;&gt;"",$C5783&lt;&gt;""),MAX($A$4730:$A5782)+1,"")</f>
        <v/>
      </c>
      <c r="B5783" s="361" t="s">
        <v>3266</v>
      </c>
      <c r="C5783" s="362"/>
      <c r="D5783" s="327">
        <f>IF($B5783="","",COUNTIF($B$4731:$B5783,$B5783))</f>
        <v>15</v>
      </c>
      <c r="E5783" s="361" t="s">
        <v>2771</v>
      </c>
      <c r="F5783" s="362" t="s">
        <v>659</v>
      </c>
      <c r="G5783" s="327" t="s">
        <v>424</v>
      </c>
      <c r="H5783" s="361" t="s">
        <v>536</v>
      </c>
      <c r="I5783" s="361" t="s">
        <v>666</v>
      </c>
      <c r="J5783" s="361"/>
      <c r="K5783" s="327" t="s">
        <v>100</v>
      </c>
      <c r="L5783" s="389">
        <v>53000</v>
      </c>
      <c r="M5783" s="355"/>
      <c r="N5783" s="355" t="s">
        <v>2409</v>
      </c>
      <c r="O5783" s="345"/>
      <c r="P5783" s="325"/>
      <c r="Q5783" s="327"/>
      <c r="R5783" s="351"/>
      <c r="S5783" s="351"/>
      <c r="T5783" s="351"/>
      <c r="U5783" s="329" t="str">
        <f>IF($N5783=$N$4,IFERROR(INDEX(DanhMuc!$E$154:$E$165,MATCH(MID($B5783,4,2),DanhMuc!$B$154:$B$165,0)),""),"")</f>
        <v/>
      </c>
      <c r="V5783" s="361"/>
      <c r="W5783" s="345"/>
      <c r="X5783" s="786"/>
      <c r="Y5783" s="1128" t="s">
        <v>3380</v>
      </c>
      <c r="Z5783" s="1128" t="s">
        <v>3381</v>
      </c>
      <c r="AA5783" s="1128" t="s">
        <v>3384</v>
      </c>
      <c r="AB5783" s="20"/>
      <c r="AC5783" s="73"/>
    </row>
    <row r="5784" spans="1:29">
      <c r="A5784" s="327" t="str">
        <f>IF(AND($B5784&lt;&gt;"",$C5784&lt;&gt;""),MAX($A$4730:$A5783)+1,"")</f>
        <v/>
      </c>
      <c r="B5784" s="361" t="s">
        <v>3266</v>
      </c>
      <c r="C5784" s="362"/>
      <c r="D5784" s="327">
        <f>IF($B5784="","",COUNTIF($B$4731:$B5784,$B5784))</f>
        <v>16</v>
      </c>
      <c r="E5784" s="361" t="s">
        <v>1828</v>
      </c>
      <c r="F5784" s="362" t="s">
        <v>671</v>
      </c>
      <c r="G5784" s="327" t="s">
        <v>661</v>
      </c>
      <c r="H5784" s="361" t="s">
        <v>536</v>
      </c>
      <c r="I5784" s="361" t="s">
        <v>2355</v>
      </c>
      <c r="J5784" s="361"/>
      <c r="K5784" s="327" t="s">
        <v>100</v>
      </c>
      <c r="L5784" s="478">
        <f>40000/1000</f>
        <v>40</v>
      </c>
      <c r="M5784" s="355"/>
      <c r="N5784" s="355" t="s">
        <v>2409</v>
      </c>
      <c r="O5784" s="345"/>
      <c r="P5784" s="325"/>
      <c r="Q5784" s="327"/>
      <c r="R5784" s="351"/>
      <c r="S5784" s="351"/>
      <c r="T5784" s="351"/>
      <c r="U5784" s="329" t="str">
        <f>IF($N5784=$N$4,IFERROR(INDEX(DanhMuc!$E$154:$E$165,MATCH(MID($B5784,4,2),DanhMuc!$B$154:$B$165,0)),""),"")</f>
        <v/>
      </c>
      <c r="V5784" s="361" t="s">
        <v>1445</v>
      </c>
      <c r="W5784" s="345"/>
      <c r="X5784" s="786"/>
      <c r="Y5784" s="1128" t="s">
        <v>3380</v>
      </c>
      <c r="Z5784" s="1128" t="s">
        <v>3381</v>
      </c>
      <c r="AA5784" s="1128" t="s">
        <v>3384</v>
      </c>
      <c r="AB5784" s="20"/>
      <c r="AC5784" s="73"/>
    </row>
    <row r="5785" spans="1:29">
      <c r="A5785" s="327" t="str">
        <f>IF(AND($B5785&lt;&gt;"",$C5785&lt;&gt;""),MAX($A$4730:$A5784)+1,"")</f>
        <v/>
      </c>
      <c r="B5785" s="361" t="s">
        <v>3266</v>
      </c>
      <c r="C5785" s="362"/>
      <c r="D5785" s="327">
        <f>IF($B5785="","",COUNTIF($B$4731:$B5785,$B5785))</f>
        <v>17</v>
      </c>
      <c r="E5785" s="361" t="s">
        <v>154</v>
      </c>
      <c r="F5785" s="362" t="s">
        <v>660</v>
      </c>
      <c r="G5785" s="327" t="s">
        <v>661</v>
      </c>
      <c r="H5785" s="361" t="s">
        <v>536</v>
      </c>
      <c r="I5785" s="361" t="s">
        <v>667</v>
      </c>
      <c r="J5785" s="361"/>
      <c r="K5785" s="327" t="s">
        <v>662</v>
      </c>
      <c r="L5785" s="478">
        <v>20</v>
      </c>
      <c r="M5785" s="355"/>
      <c r="N5785" s="355" t="s">
        <v>2409</v>
      </c>
      <c r="O5785" s="345"/>
      <c r="P5785" s="325"/>
      <c r="Q5785" s="327"/>
      <c r="R5785" s="351"/>
      <c r="S5785" s="351"/>
      <c r="T5785" s="351"/>
      <c r="U5785" s="329" t="str">
        <f>IF($N5785=$N$4,IFERROR(INDEX(DanhMuc!$E$154:$E$165,MATCH(MID($B5785,4,2),DanhMuc!$B$154:$B$165,0)),""),"")</f>
        <v/>
      </c>
      <c r="V5785" s="361"/>
      <c r="W5785" s="345"/>
      <c r="X5785" s="786"/>
      <c r="Y5785" s="1128" t="s">
        <v>3380</v>
      </c>
      <c r="Z5785" s="1128" t="s">
        <v>3381</v>
      </c>
      <c r="AA5785" s="1128" t="s">
        <v>3384</v>
      </c>
      <c r="AB5785" s="20"/>
      <c r="AC5785" s="73"/>
    </row>
    <row r="5786" spans="1:29">
      <c r="A5786" s="327" t="str">
        <f>IF(AND($B5786&lt;&gt;"",$C5786&lt;&gt;""),MAX($A$4730:$A5785)+1,"")</f>
        <v/>
      </c>
      <c r="B5786" s="361" t="s">
        <v>3266</v>
      </c>
      <c r="C5786" s="362"/>
      <c r="D5786" s="327">
        <f>IF($B5786="","",COUNTIF($B$4731:$B5786,$B5786))</f>
        <v>18</v>
      </c>
      <c r="E5786" s="362" t="s">
        <v>2282</v>
      </c>
      <c r="F5786" s="362" t="s">
        <v>2283</v>
      </c>
      <c r="G5786" s="327" t="s">
        <v>424</v>
      </c>
      <c r="H5786" s="361" t="s">
        <v>536</v>
      </c>
      <c r="I5786" s="361" t="s">
        <v>2238</v>
      </c>
      <c r="J5786" s="361"/>
      <c r="K5786" s="327" t="s">
        <v>662</v>
      </c>
      <c r="L5786" s="478">
        <v>28000</v>
      </c>
      <c r="M5786" s="355"/>
      <c r="N5786" s="355" t="s">
        <v>2409</v>
      </c>
      <c r="O5786" s="345"/>
      <c r="P5786" s="325"/>
      <c r="Q5786" s="327"/>
      <c r="R5786" s="351"/>
      <c r="S5786" s="351"/>
      <c r="T5786" s="351"/>
      <c r="U5786" s="329" t="str">
        <f>IF($N5786=$N$4,IFERROR(INDEX(DanhMuc!$E$154:$E$165,MATCH(MID($B5786,4,2),DanhMuc!$B$154:$B$165,0)),""),"")</f>
        <v/>
      </c>
      <c r="V5786" s="361"/>
      <c r="W5786" s="345"/>
      <c r="X5786" s="786"/>
      <c r="Y5786" s="1128" t="s">
        <v>3380</v>
      </c>
      <c r="Z5786" s="1128" t="s">
        <v>3381</v>
      </c>
      <c r="AA5786" s="1128" t="s">
        <v>3384</v>
      </c>
      <c r="AB5786" s="20"/>
      <c r="AC5786" s="73"/>
    </row>
    <row r="5787" spans="1:29">
      <c r="A5787" s="327" t="str">
        <f>IF(AND($B5787&lt;&gt;"",$C5787&lt;&gt;""),MAX($A$4730:$A5786)+1,"")</f>
        <v/>
      </c>
      <c r="B5787" s="361" t="s">
        <v>3266</v>
      </c>
      <c r="C5787" s="362"/>
      <c r="D5787" s="327">
        <f>IF($B5787="","",COUNTIF($B$4731:$B5787,$B5787))</f>
        <v>19</v>
      </c>
      <c r="E5787" s="362" t="s">
        <v>663</v>
      </c>
      <c r="F5787" s="362" t="s">
        <v>664</v>
      </c>
      <c r="G5787" s="327" t="s">
        <v>155</v>
      </c>
      <c r="H5787" s="361" t="s">
        <v>536</v>
      </c>
      <c r="I5787" s="361" t="s">
        <v>672</v>
      </c>
      <c r="J5787" s="361"/>
      <c r="K5787" s="327" t="s">
        <v>662</v>
      </c>
      <c r="L5787" s="478">
        <v>1000</v>
      </c>
      <c r="M5787" s="355"/>
      <c r="N5787" s="355" t="s">
        <v>2409</v>
      </c>
      <c r="O5787" s="345"/>
      <c r="P5787" s="325"/>
      <c r="Q5787" s="327"/>
      <c r="R5787" s="351"/>
      <c r="S5787" s="351"/>
      <c r="T5787" s="351"/>
      <c r="U5787" s="329" t="str">
        <f>IF($N5787=$N$4,IFERROR(INDEX(DanhMuc!$E$154:$E$165,MATCH(MID($B5787,4,2),DanhMuc!$B$154:$B$165,0)),""),"")</f>
        <v/>
      </c>
      <c r="V5787" s="361"/>
      <c r="W5787" s="345"/>
      <c r="X5787" s="786"/>
      <c r="Y5787" s="1128" t="s">
        <v>3380</v>
      </c>
      <c r="Z5787" s="1128" t="s">
        <v>3381</v>
      </c>
      <c r="AA5787" s="1128" t="s">
        <v>3384</v>
      </c>
      <c r="AB5787" s="20"/>
      <c r="AC5787" s="73"/>
    </row>
    <row r="5788" spans="1:29" ht="26">
      <c r="A5788" s="327">
        <f>IF(AND($B5788&lt;&gt;"",$C5788&lt;&gt;""),MAX($A$4730:$A5775)+1,"")</f>
        <v>42</v>
      </c>
      <c r="B5788" s="359" t="s">
        <v>3346</v>
      </c>
      <c r="C5788" s="360" t="s">
        <v>3347</v>
      </c>
      <c r="D5788" s="327">
        <f>IF($B5788="","",COUNTIF($B$4731:$B5788,$B5788))</f>
        <v>1</v>
      </c>
      <c r="E5788" s="402" t="s">
        <v>2301</v>
      </c>
      <c r="F5788" s="403" t="s">
        <v>2333</v>
      </c>
      <c r="G5788" s="327" t="s">
        <v>155</v>
      </c>
      <c r="H5788" s="361" t="s">
        <v>536</v>
      </c>
      <c r="I5788" s="327">
        <v>2</v>
      </c>
      <c r="J5788" s="361"/>
      <c r="K5788" s="327" t="s">
        <v>100</v>
      </c>
      <c r="L5788" s="389">
        <v>9400</v>
      </c>
      <c r="M5788" s="355"/>
      <c r="N5788" s="355" t="s">
        <v>2408</v>
      </c>
      <c r="O5788" s="345" t="s">
        <v>2776</v>
      </c>
      <c r="P5788" s="325"/>
      <c r="Q5788" s="327"/>
      <c r="R5788" s="351"/>
      <c r="S5788" s="351"/>
      <c r="T5788" s="351"/>
      <c r="U5788" s="329" t="str">
        <f>IF($N5788=$N$4,IFERROR(INDEX(DanhMuc!$E$154:$E$165,MATCH(MID($B5788,4,2),DanhMuc!$B$154:$B$165,0)),""),"")</f>
        <v/>
      </c>
      <c r="V5788" s="361"/>
      <c r="W5788" s="345"/>
      <c r="X5788" s="786"/>
      <c r="Y5788" s="1128" t="s">
        <v>3380</v>
      </c>
      <c r="Z5788" s="1128" t="s">
        <v>3381</v>
      </c>
      <c r="AA5788" s="1128" t="s">
        <v>3384</v>
      </c>
      <c r="AB5788" s="20"/>
      <c r="AC5788" s="73"/>
    </row>
    <row r="5789" spans="1:29">
      <c r="A5789" s="327" t="str">
        <f>IF(AND($B5789&lt;&gt;"",$C5789&lt;&gt;""),MAX($A$4730:$A5788)+1,"")</f>
        <v/>
      </c>
      <c r="B5789" s="361" t="s">
        <v>3346</v>
      </c>
      <c r="C5789" s="360"/>
      <c r="D5789" s="327">
        <f>IF($B5789="","",COUNTIF($B$4731:$B5789,$B5789))</f>
        <v>2</v>
      </c>
      <c r="E5789" s="402" t="s">
        <v>2788</v>
      </c>
      <c r="F5789" s="403" t="s">
        <v>2789</v>
      </c>
      <c r="G5789" s="327" t="s">
        <v>155</v>
      </c>
      <c r="H5789" s="361" t="s">
        <v>536</v>
      </c>
      <c r="I5789" s="327">
        <f>4*I5788</f>
        <v>8</v>
      </c>
      <c r="J5789" s="361"/>
      <c r="K5789" s="327" t="s">
        <v>100</v>
      </c>
      <c r="L5789" s="389">
        <v>600</v>
      </c>
      <c r="M5789" s="355"/>
      <c r="N5789" s="355" t="s">
        <v>2408</v>
      </c>
      <c r="O5789" s="345" t="s">
        <v>2776</v>
      </c>
      <c r="P5789" s="325"/>
      <c r="Q5789" s="327"/>
      <c r="R5789" s="351"/>
      <c r="S5789" s="351"/>
      <c r="T5789" s="351"/>
      <c r="U5789" s="329" t="str">
        <f>IF($N5789=$N$4,IFERROR(INDEX(DanhMuc!$E$154:$E$165,MATCH(MID($B5789,4,2),DanhMuc!$B$154:$B$165,0)),""),"")</f>
        <v/>
      </c>
      <c r="V5789" s="361"/>
      <c r="W5789" s="345"/>
      <c r="X5789" s="786"/>
      <c r="Y5789" s="1128" t="s">
        <v>3380</v>
      </c>
      <c r="Z5789" s="1128" t="s">
        <v>3381</v>
      </c>
      <c r="AA5789" s="1128" t="s">
        <v>3384</v>
      </c>
      <c r="AB5789" s="20"/>
      <c r="AC5789" s="73"/>
    </row>
    <row r="5790" spans="1:29">
      <c r="A5790" s="327" t="str">
        <f>IF(AND($B5790&lt;&gt;"",$C5790&lt;&gt;""),MAX($A$4730:$A5776)+1,"")</f>
        <v/>
      </c>
      <c r="B5790" s="361" t="s">
        <v>3346</v>
      </c>
      <c r="C5790" s="360"/>
      <c r="D5790" s="327">
        <f>IF($B5790="","",COUNTIF($B$4731:$B5790,$B5790))</f>
        <v>3</v>
      </c>
      <c r="E5790" s="361" t="s">
        <v>652</v>
      </c>
      <c r="F5790" s="362" t="s">
        <v>2330</v>
      </c>
      <c r="G5790" s="327" t="s">
        <v>155</v>
      </c>
      <c r="H5790" s="361" t="s">
        <v>536</v>
      </c>
      <c r="I5790" s="327">
        <v>2</v>
      </c>
      <c r="J5790" s="361"/>
      <c r="K5790" s="327" t="s">
        <v>100</v>
      </c>
      <c r="L5790" s="389">
        <v>15000</v>
      </c>
      <c r="M5790" s="355"/>
      <c r="N5790" s="355" t="s">
        <v>2408</v>
      </c>
      <c r="O5790" s="345" t="s">
        <v>2777</v>
      </c>
      <c r="P5790" s="325"/>
      <c r="Q5790" s="327"/>
      <c r="R5790" s="351">
        <v>4</v>
      </c>
      <c r="S5790" s="351">
        <v>5.8</v>
      </c>
      <c r="T5790" s="351">
        <v>4.9569999999999999</v>
      </c>
      <c r="U5790" s="329" t="str">
        <f>IF($N5790=$N$4,IFERROR(INDEX(DanhMuc!$E$154:$E$165,MATCH(MID($B5790,4,2),DanhMuc!$B$154:$B$165,0)),""),"")</f>
        <v/>
      </c>
      <c r="V5790" s="361"/>
      <c r="W5790" s="345"/>
      <c r="X5790" s="786"/>
      <c r="Y5790" s="1128" t="s">
        <v>3380</v>
      </c>
      <c r="Z5790" s="1128" t="s">
        <v>3381</v>
      </c>
      <c r="AA5790" s="1128" t="s">
        <v>3384</v>
      </c>
      <c r="AB5790" s="20"/>
      <c r="AC5790" s="73"/>
    </row>
    <row r="5791" spans="1:29">
      <c r="A5791" s="327" t="str">
        <f>IF(AND($B5791&lt;&gt;"",$C5791&lt;&gt;""),MAX($A$4730:$A5788)+1,"")</f>
        <v/>
      </c>
      <c r="B5791" s="361" t="s">
        <v>3346</v>
      </c>
      <c r="C5791" s="362"/>
      <c r="D5791" s="327">
        <f>IF($B5791="","",COUNTIF($B$4731:$B5791,$B5791))</f>
        <v>4</v>
      </c>
      <c r="E5791" s="402" t="s">
        <v>2301</v>
      </c>
      <c r="F5791" s="403" t="s">
        <v>2333</v>
      </c>
      <c r="G5791" s="327" t="s">
        <v>155</v>
      </c>
      <c r="H5791" s="361" t="s">
        <v>536</v>
      </c>
      <c r="I5791" s="327">
        <v>8</v>
      </c>
      <c r="J5791" s="361"/>
      <c r="K5791" s="327" t="s">
        <v>101</v>
      </c>
      <c r="L5791" s="389">
        <v>9400</v>
      </c>
      <c r="M5791" s="355"/>
      <c r="N5791" s="355" t="s">
        <v>2408</v>
      </c>
      <c r="O5791" s="345" t="s">
        <v>2778</v>
      </c>
      <c r="P5791" s="325"/>
      <c r="Q5791" s="327"/>
      <c r="R5791" s="351"/>
      <c r="S5791" s="351"/>
      <c r="T5791" s="351"/>
      <c r="U5791" s="329" t="str">
        <f>IF($N5791=$N$4,IFERROR(INDEX(DanhMuc!$E$154:$E$165,MATCH(MID($B5791,4,2),DanhMuc!$B$154:$B$165,0)),""),"")</f>
        <v/>
      </c>
      <c r="V5791" s="361"/>
      <c r="W5791" s="345"/>
      <c r="X5791" s="786"/>
      <c r="Y5791" s="1128" t="s">
        <v>3380</v>
      </c>
      <c r="Z5791" s="1128" t="s">
        <v>3381</v>
      </c>
      <c r="AA5791" s="1128" t="s">
        <v>3384</v>
      </c>
      <c r="AB5791" s="20"/>
      <c r="AC5791" s="73"/>
    </row>
    <row r="5792" spans="1:29">
      <c r="A5792" s="327" t="str">
        <f>IF(AND($B5792&lt;&gt;"",$C5792&lt;&gt;""),MAX($A$4730:$A5791)+1,"")</f>
        <v/>
      </c>
      <c r="B5792" s="361" t="s">
        <v>3346</v>
      </c>
      <c r="C5792" s="360"/>
      <c r="D5792" s="327">
        <f>IF($B5792="","",COUNTIF($B$4731:$B5792,$B5792))</f>
        <v>5</v>
      </c>
      <c r="E5792" s="402" t="s">
        <v>2788</v>
      </c>
      <c r="F5792" s="403" t="s">
        <v>2789</v>
      </c>
      <c r="G5792" s="327" t="s">
        <v>155</v>
      </c>
      <c r="H5792" s="361" t="s">
        <v>536</v>
      </c>
      <c r="I5792" s="327">
        <f>4*I5791</f>
        <v>32</v>
      </c>
      <c r="J5792" s="361"/>
      <c r="K5792" s="327" t="s">
        <v>100</v>
      </c>
      <c r="L5792" s="389">
        <v>600</v>
      </c>
      <c r="M5792" s="355"/>
      <c r="N5792" s="355" t="s">
        <v>2408</v>
      </c>
      <c r="O5792" s="345" t="s">
        <v>2778</v>
      </c>
      <c r="P5792" s="325"/>
      <c r="Q5792" s="327"/>
      <c r="R5792" s="351"/>
      <c r="S5792" s="351"/>
      <c r="T5792" s="351"/>
      <c r="U5792" s="329" t="str">
        <f>IF($N5792=$N$4,IFERROR(INDEX(DanhMuc!$E$154:$E$165,MATCH(MID($B5792,4,2),DanhMuc!$B$154:$B$165,0)),""),"")</f>
        <v/>
      </c>
      <c r="V5792" s="361"/>
      <c r="W5792" s="345"/>
      <c r="X5792" s="786"/>
      <c r="Y5792" s="1128" t="s">
        <v>3380</v>
      </c>
      <c r="Z5792" s="1128" t="s">
        <v>3381</v>
      </c>
      <c r="AA5792" s="1128" t="s">
        <v>3384</v>
      </c>
      <c r="AB5792" s="20"/>
      <c r="AC5792" s="73"/>
    </row>
    <row r="5793" spans="1:29">
      <c r="A5793" s="327" t="str">
        <f>IF(AND($B5793&lt;&gt;"",$C5793&lt;&gt;""),MAX($A$4730:$A5790)+1,"")</f>
        <v/>
      </c>
      <c r="B5793" s="361" t="s">
        <v>3346</v>
      </c>
      <c r="C5793" s="362"/>
      <c r="D5793" s="327">
        <f>IF($B5793="","",COUNTIF($B$4731:$B5793,$B5793))</f>
        <v>6</v>
      </c>
      <c r="E5793" s="361" t="s">
        <v>652</v>
      </c>
      <c r="F5793" s="362" t="s">
        <v>2330</v>
      </c>
      <c r="G5793" s="327" t="s">
        <v>155</v>
      </c>
      <c r="H5793" s="361" t="s">
        <v>536</v>
      </c>
      <c r="I5793" s="327">
        <v>8</v>
      </c>
      <c r="J5793" s="361"/>
      <c r="K5793" s="327" t="s">
        <v>101</v>
      </c>
      <c r="L5793" s="389">
        <v>15000</v>
      </c>
      <c r="M5793" s="355"/>
      <c r="N5793" s="355" t="s">
        <v>2408</v>
      </c>
      <c r="O5793" s="345" t="s">
        <v>2779</v>
      </c>
      <c r="P5793" s="325"/>
      <c r="Q5793" s="327"/>
      <c r="R5793" s="351">
        <v>4</v>
      </c>
      <c r="S5793" s="351">
        <v>5.8</v>
      </c>
      <c r="T5793" s="351">
        <v>4.9569999999999999</v>
      </c>
      <c r="U5793" s="329" t="str">
        <f>IF($N5793=$N$4,IFERROR(INDEX(DanhMuc!$E$154:$E$165,MATCH(MID($B5793,4,2),DanhMuc!$B$154:$B$165,0)),""),"")</f>
        <v/>
      </c>
      <c r="V5793" s="361"/>
      <c r="W5793" s="345"/>
      <c r="X5793" s="786"/>
      <c r="Y5793" s="1128" t="s">
        <v>3380</v>
      </c>
      <c r="Z5793" s="1128" t="s">
        <v>3381</v>
      </c>
      <c r="AA5793" s="1128" t="s">
        <v>3384</v>
      </c>
      <c r="AB5793" s="20"/>
      <c r="AC5793" s="73"/>
    </row>
    <row r="5794" spans="1:29">
      <c r="A5794" s="327" t="str">
        <f>IF(AND($B5794&lt;&gt;"",$C5794&lt;&gt;""),MAX($A$4730:$A5791)+1,"")</f>
        <v/>
      </c>
      <c r="B5794" s="361" t="s">
        <v>3346</v>
      </c>
      <c r="C5794" s="362"/>
      <c r="D5794" s="327">
        <f>IF($B5794="","",COUNTIF($B$4731:$B5794,$B5794))</f>
        <v>7</v>
      </c>
      <c r="E5794" s="361" t="s">
        <v>414</v>
      </c>
      <c r="F5794" s="362" t="s">
        <v>413</v>
      </c>
      <c r="G5794" s="327" t="s">
        <v>155</v>
      </c>
      <c r="H5794" s="361" t="s">
        <v>536</v>
      </c>
      <c r="I5794" s="327">
        <f>+I5788+I5791*2</f>
        <v>18</v>
      </c>
      <c r="J5794" s="361"/>
      <c r="K5794" s="327" t="s">
        <v>558</v>
      </c>
      <c r="L5794" s="389">
        <v>408</v>
      </c>
      <c r="M5794" s="355"/>
      <c r="N5794" s="355" t="s">
        <v>2408</v>
      </c>
      <c r="O5794" s="345"/>
      <c r="P5794" s="325"/>
      <c r="Q5794" s="327"/>
      <c r="R5794" s="351"/>
      <c r="S5794" s="351"/>
      <c r="T5794" s="351"/>
      <c r="U5794" s="329" t="str">
        <f>IF($N5794=$N$4,IFERROR(INDEX(DanhMuc!$E$154:$E$165,MATCH(MID($B5794,4,2),DanhMuc!$B$154:$B$165,0)),""),"")</f>
        <v/>
      </c>
      <c r="V5794" s="361"/>
      <c r="W5794" s="345"/>
      <c r="X5794" s="786"/>
      <c r="Y5794" s="1128" t="s">
        <v>3380</v>
      </c>
      <c r="Z5794" s="1128" t="s">
        <v>3381</v>
      </c>
      <c r="AA5794" s="1128" t="s">
        <v>3384</v>
      </c>
      <c r="AB5794" s="20"/>
      <c r="AC5794" s="73"/>
    </row>
    <row r="5795" spans="1:29">
      <c r="A5795" s="327" t="str">
        <f>IF(AND($B5795&lt;&gt;"",$C5795&lt;&gt;""),MAX($A$4730:$A5793)+1,"")</f>
        <v/>
      </c>
      <c r="B5795" s="361" t="s">
        <v>3346</v>
      </c>
      <c r="C5795" s="362"/>
      <c r="D5795" s="327">
        <f>IF($B5795="","",COUNTIF($B$4731:$B5795,$B5795))</f>
        <v>8</v>
      </c>
      <c r="E5795" s="361" t="s">
        <v>654</v>
      </c>
      <c r="F5795" s="362" t="s">
        <v>653</v>
      </c>
      <c r="G5795" s="327" t="s">
        <v>1836</v>
      </c>
      <c r="H5795" s="361" t="s">
        <v>536</v>
      </c>
      <c r="I5795" s="327">
        <f>I5790/45</f>
        <v>4.4444444444444446E-2</v>
      </c>
      <c r="J5795" s="477"/>
      <c r="K5795" s="327" t="s">
        <v>655</v>
      </c>
      <c r="L5795" s="478">
        <v>115000</v>
      </c>
      <c r="M5795" s="355"/>
      <c r="N5795" s="355" t="s">
        <v>2408</v>
      </c>
      <c r="O5795" s="345" t="s">
        <v>2777</v>
      </c>
      <c r="P5795" s="325"/>
      <c r="Q5795" s="327"/>
      <c r="R5795" s="351"/>
      <c r="S5795" s="351"/>
      <c r="T5795" s="351"/>
      <c r="U5795" s="329" t="str">
        <f>IF($N5795=$N$4,IFERROR(INDEX(DanhMuc!$E$154:$E$165,MATCH(MID($B5795,4,2),DanhMuc!$B$154:$B$165,0)),""),"")</f>
        <v/>
      </c>
      <c r="V5795" s="361"/>
      <c r="W5795" s="345"/>
      <c r="X5795" s="786"/>
      <c r="Y5795" s="1128" t="s">
        <v>3380</v>
      </c>
      <c r="Z5795" s="1128" t="s">
        <v>3381</v>
      </c>
      <c r="AA5795" s="1128" t="s">
        <v>3384</v>
      </c>
      <c r="AB5795" s="20"/>
      <c r="AC5795" s="73"/>
    </row>
    <row r="5796" spans="1:29">
      <c r="A5796" s="327" t="str">
        <f>IF(AND($B5796&lt;&gt;"",$C5796&lt;&gt;""),MAX($A$4730:$A5794)+1,"")</f>
        <v/>
      </c>
      <c r="B5796" s="361" t="s">
        <v>3346</v>
      </c>
      <c r="C5796" s="362"/>
      <c r="D5796" s="327">
        <f>IF($B5796="","",COUNTIF($B$4731:$B5796,$B5796))</f>
        <v>9</v>
      </c>
      <c r="E5796" s="361" t="s">
        <v>654</v>
      </c>
      <c r="F5796" s="362" t="s">
        <v>653</v>
      </c>
      <c r="G5796" s="327" t="s">
        <v>1836</v>
      </c>
      <c r="H5796" s="361" t="s">
        <v>536</v>
      </c>
      <c r="I5796" s="327">
        <f>I5793/45</f>
        <v>0.17777777777777778</v>
      </c>
      <c r="J5796" s="477"/>
      <c r="K5796" s="327" t="s">
        <v>655</v>
      </c>
      <c r="L5796" s="478">
        <v>115000</v>
      </c>
      <c r="M5796" s="355"/>
      <c r="N5796" s="355" t="s">
        <v>2408</v>
      </c>
      <c r="O5796" s="345" t="s">
        <v>2779</v>
      </c>
      <c r="P5796" s="325"/>
      <c r="Q5796" s="327"/>
      <c r="R5796" s="351"/>
      <c r="S5796" s="351"/>
      <c r="T5796" s="351"/>
      <c r="U5796" s="329" t="str">
        <f>IF($N5796=$N$4,IFERROR(INDEX(DanhMuc!$E$154:$E$165,MATCH(MID($B5796,4,2),DanhMuc!$B$154:$B$165,0)),""),"")</f>
        <v/>
      </c>
      <c r="V5796" s="361"/>
      <c r="W5796" s="345"/>
      <c r="X5796" s="786"/>
      <c r="Y5796" s="1128" t="s">
        <v>3380</v>
      </c>
      <c r="Z5796" s="1128" t="s">
        <v>3381</v>
      </c>
      <c r="AA5796" s="1128" t="s">
        <v>3384</v>
      </c>
      <c r="AB5796" s="20"/>
      <c r="AC5796" s="73"/>
    </row>
    <row r="5797" spans="1:29">
      <c r="A5797" s="327" t="str">
        <f>IF(AND($B5797&lt;&gt;"",$C5797&lt;&gt;""),MAX($A$4730:$A5794)+1,"")</f>
        <v/>
      </c>
      <c r="B5797" s="361" t="s">
        <v>3346</v>
      </c>
      <c r="C5797" s="362"/>
      <c r="D5797" s="327">
        <f>IF($B5797="","",COUNTIF($B$4731:$B5797,$B5797))</f>
        <v>10</v>
      </c>
      <c r="E5797" s="361" t="s">
        <v>1826</v>
      </c>
      <c r="F5797" s="362" t="s">
        <v>670</v>
      </c>
      <c r="G5797" s="327" t="s">
        <v>661</v>
      </c>
      <c r="H5797" s="361" t="s">
        <v>536</v>
      </c>
      <c r="I5797" s="361" t="s">
        <v>2354</v>
      </c>
      <c r="J5797" s="361"/>
      <c r="K5797" s="327" t="s">
        <v>103</v>
      </c>
      <c r="L5797" s="478">
        <f>40000/1000</f>
        <v>40</v>
      </c>
      <c r="M5797" s="355"/>
      <c r="N5797" s="355" t="s">
        <v>2408</v>
      </c>
      <c r="O5797" s="345"/>
      <c r="P5797" s="325"/>
      <c r="Q5797" s="327"/>
      <c r="R5797" s="351"/>
      <c r="S5797" s="351"/>
      <c r="T5797" s="351"/>
      <c r="U5797" s="329" t="str">
        <f>IF($N5797=$N$4,IFERROR(INDEX(DanhMuc!$E$154:$E$165,MATCH(MID($B5797,4,2),DanhMuc!$B$154:$B$165,0)),""),"")</f>
        <v/>
      </c>
      <c r="V5797" s="361"/>
      <c r="W5797" s="345"/>
      <c r="X5797" s="786"/>
      <c r="Y5797" s="1128" t="s">
        <v>3380</v>
      </c>
      <c r="Z5797" s="1128" t="s">
        <v>3381</v>
      </c>
      <c r="AA5797" s="1128" t="s">
        <v>3384</v>
      </c>
      <c r="AB5797" s="20"/>
      <c r="AC5797" s="73"/>
    </row>
    <row r="5798" spans="1:29" ht="37.5">
      <c r="A5798" s="327" t="str">
        <f>IF(AND($B5798&lt;&gt;"",$C5798&lt;&gt;""),MAX($A$4730:$A5797)+1,"")</f>
        <v/>
      </c>
      <c r="B5798" s="361" t="s">
        <v>3346</v>
      </c>
      <c r="C5798" s="362"/>
      <c r="D5798" s="327">
        <f>IF($B5798="","",COUNTIF($B$4731:$B5798,$B5798))</f>
        <v>11</v>
      </c>
      <c r="E5798" s="362" t="s">
        <v>1964</v>
      </c>
      <c r="F5798" s="362" t="s">
        <v>1965</v>
      </c>
      <c r="G5798" s="327" t="s">
        <v>405</v>
      </c>
      <c r="H5798" s="361" t="s">
        <v>536</v>
      </c>
      <c r="I5798" s="361" t="s">
        <v>694</v>
      </c>
      <c r="J5798" s="361"/>
      <c r="K5798" s="327" t="s">
        <v>223</v>
      </c>
      <c r="L5798" s="478">
        <v>140</v>
      </c>
      <c r="M5798" s="371"/>
      <c r="N5798" s="355" t="s">
        <v>2408</v>
      </c>
      <c r="O5798" s="345"/>
      <c r="P5798" s="325"/>
      <c r="Q5798" s="327"/>
      <c r="R5798" s="351"/>
      <c r="S5798" s="351"/>
      <c r="T5798" s="351"/>
      <c r="U5798" s="329" t="str">
        <f>IF($N5798=$N$4,IFERROR(INDEX(DanhMuc!$E$154:$E$165,MATCH(MID($B5798,4,2),DanhMuc!$B$154:$B$165,0)),""),"")</f>
        <v/>
      </c>
      <c r="V5798" s="361"/>
      <c r="W5798" s="345"/>
      <c r="X5798" s="786"/>
      <c r="Y5798" s="1128" t="s">
        <v>3380</v>
      </c>
      <c r="Z5798" s="1128" t="s">
        <v>3381</v>
      </c>
      <c r="AA5798" s="1128" t="s">
        <v>3384</v>
      </c>
      <c r="AB5798" s="20"/>
      <c r="AC5798" s="73"/>
    </row>
    <row r="5799" spans="1:29" ht="37.5">
      <c r="A5799" s="327" t="str">
        <f>IF(AND($B5799&lt;&gt;"",$C5799&lt;&gt;""),MAX($A$4730:$A5798)+1,"")</f>
        <v/>
      </c>
      <c r="B5799" s="361" t="s">
        <v>3346</v>
      </c>
      <c r="C5799" s="362"/>
      <c r="D5799" s="327">
        <f>IF($B5799="","",COUNTIF($B$4731:$B5799,$B5799))</f>
        <v>12</v>
      </c>
      <c r="E5799" s="362" t="s">
        <v>2756</v>
      </c>
      <c r="F5799" s="362" t="s">
        <v>2757</v>
      </c>
      <c r="G5799" s="327" t="s">
        <v>405</v>
      </c>
      <c r="H5799" s="361" t="s">
        <v>536</v>
      </c>
      <c r="I5799" s="361" t="s">
        <v>694</v>
      </c>
      <c r="J5799" s="361"/>
      <c r="K5799" s="327" t="s">
        <v>223</v>
      </c>
      <c r="L5799" s="479">
        <v>322</v>
      </c>
      <c r="M5799" s="371"/>
      <c r="N5799" s="355" t="s">
        <v>2408</v>
      </c>
      <c r="O5799" s="345"/>
      <c r="P5799" s="325"/>
      <c r="Q5799" s="327"/>
      <c r="R5799" s="351"/>
      <c r="S5799" s="351"/>
      <c r="T5799" s="351"/>
      <c r="U5799" s="329" t="str">
        <f>IF($N5799=$N$4,IFERROR(INDEX(DanhMuc!$E$154:$E$165,MATCH(MID($B5799,4,2),DanhMuc!$B$154:$B$165,0)),""),"")</f>
        <v/>
      </c>
      <c r="V5799" s="361"/>
      <c r="W5799" s="345"/>
      <c r="X5799" s="786"/>
      <c r="Y5799" s="1128" t="s">
        <v>3380</v>
      </c>
      <c r="Z5799" s="1128" t="s">
        <v>3381</v>
      </c>
      <c r="AA5799" s="1128" t="s">
        <v>3384</v>
      </c>
      <c r="AB5799" s="20"/>
      <c r="AC5799" s="73"/>
    </row>
    <row r="5800" spans="1:29">
      <c r="A5800" s="327" t="str">
        <f>IF(AND($B5800&lt;&gt;"",$C5800&lt;&gt;""),MAX($A$4730:$A5799)+1,"")</f>
        <v/>
      </c>
      <c r="B5800" s="361" t="s">
        <v>3346</v>
      </c>
      <c r="C5800" s="362"/>
      <c r="D5800" s="327">
        <f>IF($B5800="","",COUNTIF($B$4731:$B5800,$B5800))</f>
        <v>13</v>
      </c>
      <c r="E5800" s="361" t="s">
        <v>656</v>
      </c>
      <c r="F5800" s="362" t="s">
        <v>2239</v>
      </c>
      <c r="G5800" s="327" t="s">
        <v>405</v>
      </c>
      <c r="H5800" s="361" t="s">
        <v>536</v>
      </c>
      <c r="I5800" s="361" t="s">
        <v>1827</v>
      </c>
      <c r="J5800" s="361"/>
      <c r="K5800" s="327" t="s">
        <v>100</v>
      </c>
      <c r="L5800" s="478">
        <v>970</v>
      </c>
      <c r="M5800" s="371"/>
      <c r="N5800" s="355" t="s">
        <v>2409</v>
      </c>
      <c r="O5800" s="345"/>
      <c r="P5800" s="325"/>
      <c r="Q5800" s="327"/>
      <c r="R5800" s="351"/>
      <c r="S5800" s="351"/>
      <c r="T5800" s="351"/>
      <c r="U5800" s="329" t="str">
        <f>IF($N5800=$N$4,IFERROR(INDEX(DanhMuc!$E$154:$E$165,MATCH(MID($B5800,4,2),DanhMuc!$B$154:$B$165,0)),""),"")</f>
        <v/>
      </c>
      <c r="V5800" s="361"/>
      <c r="W5800" s="345"/>
      <c r="X5800" s="786"/>
      <c r="Y5800" s="1128" t="s">
        <v>3380</v>
      </c>
      <c r="Z5800" s="1128" t="s">
        <v>3381</v>
      </c>
      <c r="AA5800" s="1128" t="s">
        <v>3384</v>
      </c>
      <c r="AB5800" s="20"/>
      <c r="AC5800" s="73"/>
    </row>
    <row r="5801" spans="1:29">
      <c r="A5801" s="327" t="str">
        <f>IF(AND($B5801&lt;&gt;"",$C5801&lt;&gt;""),MAX($A$4730:$A5800)+1,"")</f>
        <v/>
      </c>
      <c r="B5801" s="361" t="s">
        <v>3346</v>
      </c>
      <c r="C5801" s="362"/>
      <c r="D5801" s="327">
        <f>IF($B5801="","",COUNTIF($B$4731:$B5801,$B5801))</f>
        <v>14</v>
      </c>
      <c r="E5801" s="361" t="s">
        <v>657</v>
      </c>
      <c r="F5801" s="362" t="s">
        <v>658</v>
      </c>
      <c r="G5801" s="327" t="s">
        <v>424</v>
      </c>
      <c r="H5801" s="361" t="s">
        <v>536</v>
      </c>
      <c r="I5801" s="361" t="s">
        <v>665</v>
      </c>
      <c r="J5801" s="361"/>
      <c r="K5801" s="327" t="s">
        <v>100</v>
      </c>
      <c r="L5801" s="478">
        <v>60000</v>
      </c>
      <c r="M5801" s="355"/>
      <c r="N5801" s="355" t="s">
        <v>2409</v>
      </c>
      <c r="O5801" s="345"/>
      <c r="P5801" s="325"/>
      <c r="Q5801" s="327"/>
      <c r="R5801" s="351"/>
      <c r="S5801" s="351"/>
      <c r="T5801" s="351"/>
      <c r="U5801" s="329" t="str">
        <f>IF($N5801=$N$4,IFERROR(INDEX(DanhMuc!$E$154:$E$165,MATCH(MID($B5801,4,2),DanhMuc!$B$154:$B$165,0)),""),"")</f>
        <v/>
      </c>
      <c r="V5801" s="361"/>
      <c r="W5801" s="345"/>
      <c r="X5801" s="786"/>
      <c r="Y5801" s="1128" t="s">
        <v>3380</v>
      </c>
      <c r="Z5801" s="1128" t="s">
        <v>3381</v>
      </c>
      <c r="AA5801" s="1128" t="s">
        <v>3384</v>
      </c>
      <c r="AB5801" s="20"/>
      <c r="AC5801" s="73"/>
    </row>
    <row r="5802" spans="1:29">
      <c r="A5802" s="327" t="str">
        <f>IF(AND($B5802&lt;&gt;"",$C5802&lt;&gt;""),MAX($A$4730:$A5801)+1,"")</f>
        <v/>
      </c>
      <c r="B5802" s="361" t="s">
        <v>3346</v>
      </c>
      <c r="C5802" s="362"/>
      <c r="D5802" s="327">
        <f>IF($B5802="","",COUNTIF($B$4731:$B5802,$B5802))</f>
        <v>15</v>
      </c>
      <c r="E5802" s="361" t="s">
        <v>2771</v>
      </c>
      <c r="F5802" s="362" t="s">
        <v>659</v>
      </c>
      <c r="G5802" s="327" t="s">
        <v>424</v>
      </c>
      <c r="H5802" s="361" t="s">
        <v>536</v>
      </c>
      <c r="I5802" s="361" t="s">
        <v>666</v>
      </c>
      <c r="J5802" s="361"/>
      <c r="K5802" s="327" t="s">
        <v>100</v>
      </c>
      <c r="L5802" s="389">
        <v>53000</v>
      </c>
      <c r="M5802" s="355"/>
      <c r="N5802" s="355" t="s">
        <v>2409</v>
      </c>
      <c r="O5802" s="345"/>
      <c r="P5802" s="325"/>
      <c r="Q5802" s="327"/>
      <c r="R5802" s="351"/>
      <c r="S5802" s="351"/>
      <c r="T5802" s="351"/>
      <c r="U5802" s="329" t="str">
        <f>IF($N5802=$N$4,IFERROR(INDEX(DanhMuc!$E$154:$E$165,MATCH(MID($B5802,4,2),DanhMuc!$B$154:$B$165,0)),""),"")</f>
        <v/>
      </c>
      <c r="V5802" s="361"/>
      <c r="W5802" s="345"/>
      <c r="X5802" s="786"/>
      <c r="Y5802" s="1128" t="s">
        <v>3380</v>
      </c>
      <c r="Z5802" s="1128" t="s">
        <v>3381</v>
      </c>
      <c r="AA5802" s="1128" t="s">
        <v>3384</v>
      </c>
      <c r="AB5802" s="20"/>
      <c r="AC5802" s="73"/>
    </row>
    <row r="5803" spans="1:29">
      <c r="A5803" s="327" t="str">
        <f>IF(AND($B5803&lt;&gt;"",$C5803&lt;&gt;""),MAX($A$4730:$A5802)+1,"")</f>
        <v/>
      </c>
      <c r="B5803" s="361" t="s">
        <v>3346</v>
      </c>
      <c r="C5803" s="362"/>
      <c r="D5803" s="327">
        <f>IF($B5803="","",COUNTIF($B$4731:$B5803,$B5803))</f>
        <v>16</v>
      </c>
      <c r="E5803" s="361" t="s">
        <v>1828</v>
      </c>
      <c r="F5803" s="362" t="s">
        <v>671</v>
      </c>
      <c r="G5803" s="327" t="s">
        <v>661</v>
      </c>
      <c r="H5803" s="361" t="s">
        <v>536</v>
      </c>
      <c r="I5803" s="361" t="s">
        <v>2355</v>
      </c>
      <c r="J5803" s="361"/>
      <c r="K5803" s="327" t="s">
        <v>100</v>
      </c>
      <c r="L5803" s="478">
        <f>40000/1000</f>
        <v>40</v>
      </c>
      <c r="M5803" s="355"/>
      <c r="N5803" s="355" t="s">
        <v>2409</v>
      </c>
      <c r="O5803" s="345"/>
      <c r="P5803" s="325"/>
      <c r="Q5803" s="327"/>
      <c r="R5803" s="351"/>
      <c r="S5803" s="351"/>
      <c r="T5803" s="351"/>
      <c r="U5803" s="329" t="str">
        <f>IF($N5803=$N$4,IFERROR(INDEX(DanhMuc!$E$154:$E$165,MATCH(MID($B5803,4,2),DanhMuc!$B$154:$B$165,0)),""),"")</f>
        <v/>
      </c>
      <c r="V5803" s="361"/>
      <c r="W5803" s="345"/>
      <c r="X5803" s="786"/>
      <c r="Y5803" s="1128" t="s">
        <v>3380</v>
      </c>
      <c r="Z5803" s="1128" t="s">
        <v>3381</v>
      </c>
      <c r="AA5803" s="1128" t="s">
        <v>3384</v>
      </c>
      <c r="AB5803" s="20"/>
      <c r="AC5803" s="73"/>
    </row>
    <row r="5804" spans="1:29">
      <c r="A5804" s="327" t="str">
        <f>IF(AND($B5804&lt;&gt;"",$C5804&lt;&gt;""),MAX($A$4730:$A5803)+1,"")</f>
        <v/>
      </c>
      <c r="B5804" s="361" t="s">
        <v>3346</v>
      </c>
      <c r="C5804" s="362"/>
      <c r="D5804" s="327">
        <f>IF($B5804="","",COUNTIF($B$4731:$B5804,$B5804))</f>
        <v>17</v>
      </c>
      <c r="E5804" s="361" t="s">
        <v>154</v>
      </c>
      <c r="F5804" s="362" t="s">
        <v>660</v>
      </c>
      <c r="G5804" s="327" t="s">
        <v>661</v>
      </c>
      <c r="H5804" s="361" t="s">
        <v>536</v>
      </c>
      <c r="I5804" s="361" t="s">
        <v>667</v>
      </c>
      <c r="J5804" s="361"/>
      <c r="K5804" s="327" t="s">
        <v>662</v>
      </c>
      <c r="L5804" s="478">
        <v>20</v>
      </c>
      <c r="M5804" s="355"/>
      <c r="N5804" s="355" t="s">
        <v>2409</v>
      </c>
      <c r="O5804" s="345"/>
      <c r="P5804" s="325"/>
      <c r="Q5804" s="327"/>
      <c r="R5804" s="351"/>
      <c r="S5804" s="351"/>
      <c r="T5804" s="351"/>
      <c r="U5804" s="329" t="str">
        <f>IF($N5804=$N$4,IFERROR(INDEX(DanhMuc!$E$154:$E$165,MATCH(MID($B5804,4,2),DanhMuc!$B$154:$B$165,0)),""),"")</f>
        <v/>
      </c>
      <c r="V5804" s="361"/>
      <c r="W5804" s="345"/>
      <c r="X5804" s="786"/>
      <c r="Y5804" s="1128" t="s">
        <v>3380</v>
      </c>
      <c r="Z5804" s="1128" t="s">
        <v>3381</v>
      </c>
      <c r="AA5804" s="1128" t="s">
        <v>3384</v>
      </c>
      <c r="AB5804" s="20"/>
      <c r="AC5804" s="73"/>
    </row>
    <row r="5805" spans="1:29">
      <c r="A5805" s="327" t="str">
        <f>IF(AND($B5805&lt;&gt;"",$C5805&lt;&gt;""),MAX($A$4730:$A5804)+1,"")</f>
        <v/>
      </c>
      <c r="B5805" s="361" t="s">
        <v>3346</v>
      </c>
      <c r="C5805" s="362"/>
      <c r="D5805" s="327">
        <f>IF($B5805="","",COUNTIF($B$4731:$B5805,$B5805))</f>
        <v>18</v>
      </c>
      <c r="E5805" s="362" t="s">
        <v>2282</v>
      </c>
      <c r="F5805" s="362" t="s">
        <v>2283</v>
      </c>
      <c r="G5805" s="327" t="s">
        <v>424</v>
      </c>
      <c r="H5805" s="361" t="s">
        <v>536</v>
      </c>
      <c r="I5805" s="361" t="s">
        <v>2238</v>
      </c>
      <c r="J5805" s="361"/>
      <c r="K5805" s="327" t="s">
        <v>662</v>
      </c>
      <c r="L5805" s="478">
        <v>28000</v>
      </c>
      <c r="M5805" s="355"/>
      <c r="N5805" s="355" t="s">
        <v>2409</v>
      </c>
      <c r="O5805" s="345"/>
      <c r="P5805" s="325"/>
      <c r="Q5805" s="327"/>
      <c r="R5805" s="351"/>
      <c r="S5805" s="351"/>
      <c r="T5805" s="351"/>
      <c r="U5805" s="329" t="str">
        <f>IF($N5805=$N$4,IFERROR(INDEX(DanhMuc!$E$154:$E$165,MATCH(MID($B5805,4,2),DanhMuc!$B$154:$B$165,0)),""),"")</f>
        <v/>
      </c>
      <c r="V5805" s="361"/>
      <c r="W5805" s="345"/>
      <c r="X5805" s="786"/>
      <c r="Y5805" s="1128" t="s">
        <v>3380</v>
      </c>
      <c r="Z5805" s="1128" t="s">
        <v>3381</v>
      </c>
      <c r="AA5805" s="1128" t="s">
        <v>3384</v>
      </c>
      <c r="AB5805" s="20"/>
      <c r="AC5805" s="73"/>
    </row>
    <row r="5806" spans="1:29">
      <c r="A5806" s="327" t="str">
        <f>IF(AND($B5806&lt;&gt;"",$C5806&lt;&gt;""),MAX($A$4730:$A5805)+1,"")</f>
        <v/>
      </c>
      <c r="B5806" s="361" t="s">
        <v>3346</v>
      </c>
      <c r="C5806" s="362"/>
      <c r="D5806" s="327">
        <f>IF($B5806="","",COUNTIF($B$4731:$B5806,$B5806))</f>
        <v>19</v>
      </c>
      <c r="E5806" s="362" t="s">
        <v>663</v>
      </c>
      <c r="F5806" s="362" t="s">
        <v>664</v>
      </c>
      <c r="G5806" s="327" t="s">
        <v>155</v>
      </c>
      <c r="H5806" s="361" t="s">
        <v>536</v>
      </c>
      <c r="I5806" s="361" t="s">
        <v>672</v>
      </c>
      <c r="J5806" s="361"/>
      <c r="K5806" s="327" t="s">
        <v>662</v>
      </c>
      <c r="L5806" s="478">
        <v>1000</v>
      </c>
      <c r="M5806" s="355"/>
      <c r="N5806" s="355" t="s">
        <v>2409</v>
      </c>
      <c r="O5806" s="345"/>
      <c r="P5806" s="325"/>
      <c r="Q5806" s="327"/>
      <c r="R5806" s="351"/>
      <c r="S5806" s="351"/>
      <c r="T5806" s="351"/>
      <c r="U5806" s="329" t="str">
        <f>IF($N5806=$N$4,IFERROR(INDEX(DanhMuc!$E$154:$E$165,MATCH(MID($B5806,4,2),DanhMuc!$B$154:$B$165,0)),""),"")</f>
        <v/>
      </c>
      <c r="V5806" s="361"/>
      <c r="W5806" s="345"/>
      <c r="X5806" s="786"/>
      <c r="Y5806" s="1128" t="s">
        <v>3380</v>
      </c>
      <c r="Z5806" s="1128" t="s">
        <v>3381</v>
      </c>
      <c r="AA5806" s="1128" t="s">
        <v>3384</v>
      </c>
      <c r="AB5806" s="20"/>
      <c r="AC5806" s="73"/>
    </row>
    <row r="5807" spans="1:29" ht="26">
      <c r="A5807" s="327">
        <f>IF(AND($B5807&lt;&gt;"",$C5807&lt;&gt;""),MAX($A$4730:$A5248)+1,"")</f>
        <v>18</v>
      </c>
      <c r="B5807" s="359" t="s">
        <v>615</v>
      </c>
      <c r="C5807" s="370" t="s">
        <v>1558</v>
      </c>
      <c r="D5807" s="327">
        <f>IF($B5807="","",COUNTIF($B$4731:$B5807,$B5807))</f>
        <v>1</v>
      </c>
      <c r="E5807" s="361" t="s">
        <v>1826</v>
      </c>
      <c r="F5807" s="362" t="s">
        <v>670</v>
      </c>
      <c r="G5807" s="327" t="s">
        <v>661</v>
      </c>
      <c r="H5807" s="361" t="s">
        <v>536</v>
      </c>
      <c r="I5807" s="361" t="s">
        <v>2354</v>
      </c>
      <c r="J5807" s="361"/>
      <c r="K5807" s="327" t="s">
        <v>103</v>
      </c>
      <c r="L5807" s="478">
        <f>40000/1000</f>
        <v>40</v>
      </c>
      <c r="M5807" s="355"/>
      <c r="N5807" s="355" t="s">
        <v>2408</v>
      </c>
      <c r="O5807" s="345"/>
      <c r="P5807" s="325"/>
      <c r="Q5807" s="327"/>
      <c r="R5807" s="351"/>
      <c r="S5807" s="351"/>
      <c r="T5807" s="351"/>
      <c r="U5807" s="329" t="str">
        <f>IF($N5807=$N$4,IFERROR(INDEX(DanhMuc!$E$154:$E$165,MATCH(MID($B5807,4,2),DanhMuc!$B$154:$B$165,0)),""),"")</f>
        <v/>
      </c>
      <c r="V5807" s="361"/>
      <c r="W5807" s="345"/>
      <c r="X5807" s="786"/>
      <c r="Y5807" s="1128" t="s">
        <v>3380</v>
      </c>
      <c r="Z5807" s="1128" t="s">
        <v>3381</v>
      </c>
      <c r="AA5807" s="1128" t="s">
        <v>3384</v>
      </c>
      <c r="AB5807" s="20"/>
      <c r="AC5807" s="73"/>
    </row>
    <row r="5808" spans="1:29" ht="25">
      <c r="A5808" s="327" t="str">
        <f>IF(AND($B5808&lt;&gt;"",$C5808&lt;&gt;""),MAX($A$4730:$A5807)+1,"")</f>
        <v/>
      </c>
      <c r="B5808" s="361" t="s">
        <v>615</v>
      </c>
      <c r="C5808" s="362"/>
      <c r="D5808" s="327">
        <f>IF($B5808="","",COUNTIF($B$4731:$B5808,$B5808))</f>
        <v>2</v>
      </c>
      <c r="E5808" s="362" t="s">
        <v>1966</v>
      </c>
      <c r="F5808" s="362" t="s">
        <v>1967</v>
      </c>
      <c r="G5808" s="327" t="s">
        <v>405</v>
      </c>
      <c r="H5808" s="361" t="s">
        <v>536</v>
      </c>
      <c r="I5808" s="361" t="s">
        <v>1309</v>
      </c>
      <c r="J5808" s="361"/>
      <c r="K5808" s="327" t="s">
        <v>223</v>
      </c>
      <c r="L5808" s="389">
        <v>750</v>
      </c>
      <c r="M5808" s="371"/>
      <c r="N5808" s="355" t="s">
        <v>2408</v>
      </c>
      <c r="O5808" s="345"/>
      <c r="P5808" s="325"/>
      <c r="Q5808" s="327"/>
      <c r="R5808" s="351"/>
      <c r="S5808" s="351"/>
      <c r="T5808" s="351"/>
      <c r="U5808" s="329" t="str">
        <f>IF($N5808=$N$4,IFERROR(INDEX(DanhMuc!$E$154:$E$165,MATCH(MID($B5808,4,2),DanhMuc!$B$154:$B$165,0)),""),"")</f>
        <v/>
      </c>
      <c r="V5808" s="361"/>
      <c r="W5808" s="345"/>
      <c r="X5808" s="786"/>
      <c r="Y5808" s="1128" t="s">
        <v>3380</v>
      </c>
      <c r="Z5808" s="1128" t="s">
        <v>3381</v>
      </c>
      <c r="AA5808" s="1128" t="s">
        <v>3384</v>
      </c>
      <c r="AB5808" s="20"/>
      <c r="AC5808" s="73"/>
    </row>
    <row r="5809" spans="1:29" ht="37.5">
      <c r="A5809" s="327" t="str">
        <f>IF(AND($B5809&lt;&gt;"",$C5809&lt;&gt;""),MAX($A$4730:$A5808)+1,"")</f>
        <v/>
      </c>
      <c r="B5809" s="361" t="s">
        <v>615</v>
      </c>
      <c r="C5809" s="362"/>
      <c r="D5809" s="327">
        <f>IF($B5809="","",COUNTIF($B$4731:$B5809,$B5809))</f>
        <v>3</v>
      </c>
      <c r="E5809" s="362" t="s">
        <v>1964</v>
      </c>
      <c r="F5809" s="362" t="s">
        <v>1965</v>
      </c>
      <c r="G5809" s="410" t="s">
        <v>405</v>
      </c>
      <c r="H5809" s="402" t="s">
        <v>536</v>
      </c>
      <c r="I5809" s="402" t="s">
        <v>1210</v>
      </c>
      <c r="J5809" s="402"/>
      <c r="K5809" s="410" t="s">
        <v>223</v>
      </c>
      <c r="L5809" s="478">
        <v>140</v>
      </c>
      <c r="M5809" s="371"/>
      <c r="N5809" s="355" t="s">
        <v>2408</v>
      </c>
      <c r="O5809" s="345"/>
      <c r="P5809" s="325"/>
      <c r="Q5809" s="327"/>
      <c r="R5809" s="351"/>
      <c r="S5809" s="351"/>
      <c r="T5809" s="351"/>
      <c r="U5809" s="329" t="str">
        <f>IF($N5809=$N$4,IFERROR(INDEX(DanhMuc!$E$154:$E$165,MATCH(MID($B5809,4,2),DanhMuc!$B$154:$B$165,0)),""),"")</f>
        <v/>
      </c>
      <c r="V5809" s="361"/>
      <c r="W5809" s="345"/>
      <c r="X5809" s="786"/>
      <c r="Y5809" s="1128" t="s">
        <v>3380</v>
      </c>
      <c r="Z5809" s="1128" t="s">
        <v>3381</v>
      </c>
      <c r="AA5809" s="1128" t="s">
        <v>3384</v>
      </c>
      <c r="AB5809" s="20"/>
      <c r="AC5809" s="73"/>
    </row>
    <row r="5810" spans="1:29">
      <c r="A5810" s="327" t="str">
        <f>IF(AND($B5810&lt;&gt;"",$C5810&lt;&gt;""),MAX($A$4730:$A5809)+1,"")</f>
        <v/>
      </c>
      <c r="B5810" s="361" t="s">
        <v>615</v>
      </c>
      <c r="C5810" s="362"/>
      <c r="D5810" s="327">
        <f>IF($B5810="","",COUNTIF($B$4731:$B5810,$B5810))</f>
        <v>4</v>
      </c>
      <c r="E5810" s="361" t="s">
        <v>656</v>
      </c>
      <c r="F5810" s="362" t="s">
        <v>2239</v>
      </c>
      <c r="G5810" s="327" t="s">
        <v>405</v>
      </c>
      <c r="H5810" s="361" t="s">
        <v>536</v>
      </c>
      <c r="I5810" s="361" t="s">
        <v>1827</v>
      </c>
      <c r="J5810" s="361"/>
      <c r="K5810" s="327" t="s">
        <v>100</v>
      </c>
      <c r="L5810" s="478">
        <v>970</v>
      </c>
      <c r="M5810" s="371"/>
      <c r="N5810" s="355" t="s">
        <v>2409</v>
      </c>
      <c r="O5810" s="345"/>
      <c r="P5810" s="325"/>
      <c r="Q5810" s="327"/>
      <c r="R5810" s="351"/>
      <c r="S5810" s="351"/>
      <c r="T5810" s="351"/>
      <c r="U5810" s="329" t="str">
        <f>IF($N5810=$N$4,IFERROR(INDEX(DanhMuc!$E$154:$E$165,MATCH(MID($B5810,4,2),DanhMuc!$B$154:$B$165,0)),""),"")</f>
        <v/>
      </c>
      <c r="V5810" s="361"/>
      <c r="W5810" s="345"/>
      <c r="X5810" s="786"/>
      <c r="Y5810" s="1128" t="s">
        <v>3380</v>
      </c>
      <c r="Z5810" s="1128" t="s">
        <v>3381</v>
      </c>
      <c r="AA5810" s="1128" t="s">
        <v>3384</v>
      </c>
      <c r="AB5810" s="20"/>
      <c r="AC5810" s="73"/>
    </row>
    <row r="5811" spans="1:29">
      <c r="A5811" s="327" t="str">
        <f>IF(AND($B5811&lt;&gt;"",$C5811&lt;&gt;""),MAX($A$4730:$A5810)+1,"")</f>
        <v/>
      </c>
      <c r="B5811" s="361" t="s">
        <v>615</v>
      </c>
      <c r="C5811" s="362"/>
      <c r="D5811" s="327">
        <f>IF($B5811="","",COUNTIF($B$4731:$B5811,$B5811))</f>
        <v>5</v>
      </c>
      <c r="E5811" s="361" t="s">
        <v>657</v>
      </c>
      <c r="F5811" s="362" t="s">
        <v>658</v>
      </c>
      <c r="G5811" s="327" t="s">
        <v>424</v>
      </c>
      <c r="H5811" s="361" t="s">
        <v>536</v>
      </c>
      <c r="I5811" s="361" t="s">
        <v>665</v>
      </c>
      <c r="J5811" s="361"/>
      <c r="K5811" s="327" t="s">
        <v>100</v>
      </c>
      <c r="L5811" s="478">
        <v>60000</v>
      </c>
      <c r="M5811" s="355"/>
      <c r="N5811" s="355" t="s">
        <v>2409</v>
      </c>
      <c r="O5811" s="345"/>
      <c r="P5811" s="325"/>
      <c r="Q5811" s="327"/>
      <c r="R5811" s="351"/>
      <c r="S5811" s="351"/>
      <c r="T5811" s="351"/>
      <c r="U5811" s="329" t="str">
        <f>IF($N5811=$N$4,IFERROR(INDEX(DanhMuc!$E$154:$E$165,MATCH(MID($B5811,4,2),DanhMuc!$B$154:$B$165,0)),""),"")</f>
        <v/>
      </c>
      <c r="V5811" s="361"/>
      <c r="W5811" s="345"/>
      <c r="X5811" s="786"/>
      <c r="Y5811" s="1128" t="s">
        <v>3380</v>
      </c>
      <c r="Z5811" s="1128" t="s">
        <v>3381</v>
      </c>
      <c r="AA5811" s="1128" t="s">
        <v>3384</v>
      </c>
      <c r="AB5811" s="20"/>
      <c r="AC5811" s="73"/>
    </row>
    <row r="5812" spans="1:29">
      <c r="A5812" s="327" t="str">
        <f>IF(AND($B5812&lt;&gt;"",$C5812&lt;&gt;""),MAX($A$4730:$A5811)+1,"")</f>
        <v/>
      </c>
      <c r="B5812" s="361" t="s">
        <v>615</v>
      </c>
      <c r="C5812" s="362"/>
      <c r="D5812" s="327">
        <f>IF($B5812="","",COUNTIF($B$4731:$B5812,$B5812))</f>
        <v>6</v>
      </c>
      <c r="E5812" s="361" t="s">
        <v>2771</v>
      </c>
      <c r="F5812" s="362" t="s">
        <v>659</v>
      </c>
      <c r="G5812" s="327" t="s">
        <v>424</v>
      </c>
      <c r="H5812" s="361" t="s">
        <v>536</v>
      </c>
      <c r="I5812" s="361" t="s">
        <v>666</v>
      </c>
      <c r="J5812" s="361"/>
      <c r="K5812" s="327" t="s">
        <v>100</v>
      </c>
      <c r="L5812" s="389">
        <v>53000</v>
      </c>
      <c r="M5812" s="355"/>
      <c r="N5812" s="355" t="s">
        <v>2409</v>
      </c>
      <c r="O5812" s="345"/>
      <c r="P5812" s="325"/>
      <c r="Q5812" s="327"/>
      <c r="R5812" s="351"/>
      <c r="S5812" s="351"/>
      <c r="T5812" s="351"/>
      <c r="U5812" s="329" t="str">
        <f>IF($N5812=$N$4,IFERROR(INDEX(DanhMuc!$E$154:$E$165,MATCH(MID($B5812,4,2),DanhMuc!$B$154:$B$165,0)),""),"")</f>
        <v/>
      </c>
      <c r="V5812" s="361"/>
      <c r="W5812" s="345"/>
      <c r="X5812" s="786"/>
      <c r="Y5812" s="1128" t="s">
        <v>3380</v>
      </c>
      <c r="Z5812" s="1128" t="s">
        <v>3381</v>
      </c>
      <c r="AA5812" s="1128" t="s">
        <v>3384</v>
      </c>
      <c r="AB5812" s="20"/>
      <c r="AC5812" s="73"/>
    </row>
    <row r="5813" spans="1:29">
      <c r="A5813" s="327" t="str">
        <f>IF(AND($B5813&lt;&gt;"",$C5813&lt;&gt;""),MAX($A$4730:$A5812)+1,"")</f>
        <v/>
      </c>
      <c r="B5813" s="361" t="s">
        <v>615</v>
      </c>
      <c r="C5813" s="362"/>
      <c r="D5813" s="327">
        <f>IF($B5813="","",COUNTIF($B$4731:$B5813,$B5813))</f>
        <v>7</v>
      </c>
      <c r="E5813" s="361" t="s">
        <v>1828</v>
      </c>
      <c r="F5813" s="362" t="s">
        <v>671</v>
      </c>
      <c r="G5813" s="327" t="s">
        <v>661</v>
      </c>
      <c r="H5813" s="361" t="s">
        <v>536</v>
      </c>
      <c r="I5813" s="361" t="s">
        <v>2355</v>
      </c>
      <c r="J5813" s="361"/>
      <c r="K5813" s="327" t="s">
        <v>100</v>
      </c>
      <c r="L5813" s="478">
        <f>40000/1000</f>
        <v>40</v>
      </c>
      <c r="M5813" s="355"/>
      <c r="N5813" s="355" t="s">
        <v>2409</v>
      </c>
      <c r="O5813" s="345"/>
      <c r="P5813" s="325"/>
      <c r="Q5813" s="327"/>
      <c r="R5813" s="351"/>
      <c r="S5813" s="351"/>
      <c r="T5813" s="351"/>
      <c r="U5813" s="329" t="str">
        <f>IF($N5813=$N$4,IFERROR(INDEX(DanhMuc!$E$154:$E$165,MATCH(MID($B5813,4,2),DanhMuc!$B$154:$B$165,0)),""),"")</f>
        <v/>
      </c>
      <c r="V5813" s="361"/>
      <c r="W5813" s="345"/>
      <c r="X5813" s="786"/>
      <c r="Y5813" s="1128" t="s">
        <v>3380</v>
      </c>
      <c r="Z5813" s="1128" t="s">
        <v>3381</v>
      </c>
      <c r="AA5813" s="1128" t="s">
        <v>3384</v>
      </c>
      <c r="AB5813" s="20"/>
      <c r="AC5813" s="73"/>
    </row>
    <row r="5814" spans="1:29">
      <c r="A5814" s="327" t="str">
        <f>IF(AND($B5814&lt;&gt;"",$C5814&lt;&gt;""),MAX($A$4730:$A5813)+1,"")</f>
        <v/>
      </c>
      <c r="B5814" s="361" t="s">
        <v>615</v>
      </c>
      <c r="C5814" s="362"/>
      <c r="D5814" s="327">
        <f>IF($B5814="","",COUNTIF($B$4731:$B5814,$B5814))</f>
        <v>8</v>
      </c>
      <c r="E5814" s="361" t="s">
        <v>154</v>
      </c>
      <c r="F5814" s="362" t="s">
        <v>660</v>
      </c>
      <c r="G5814" s="327" t="s">
        <v>661</v>
      </c>
      <c r="H5814" s="361" t="s">
        <v>536</v>
      </c>
      <c r="I5814" s="361" t="s">
        <v>667</v>
      </c>
      <c r="J5814" s="361"/>
      <c r="K5814" s="327" t="s">
        <v>662</v>
      </c>
      <c r="L5814" s="478">
        <v>20</v>
      </c>
      <c r="M5814" s="355"/>
      <c r="N5814" s="355" t="s">
        <v>2409</v>
      </c>
      <c r="O5814" s="345"/>
      <c r="P5814" s="325"/>
      <c r="Q5814" s="327"/>
      <c r="R5814" s="351"/>
      <c r="S5814" s="351"/>
      <c r="T5814" s="351"/>
      <c r="U5814" s="329" t="str">
        <f>IF($N5814=$N$4,IFERROR(INDEX(DanhMuc!$E$154:$E$165,MATCH(MID($B5814,4,2),DanhMuc!$B$154:$B$165,0)),""),"")</f>
        <v/>
      </c>
      <c r="V5814" s="361"/>
      <c r="W5814" s="345"/>
      <c r="X5814" s="786"/>
      <c r="Y5814" s="1128" t="s">
        <v>3380</v>
      </c>
      <c r="Z5814" s="1128" t="s">
        <v>3381</v>
      </c>
      <c r="AA5814" s="1128" t="s">
        <v>3384</v>
      </c>
      <c r="AB5814" s="20"/>
      <c r="AC5814" s="73"/>
    </row>
    <row r="5815" spans="1:29">
      <c r="A5815" s="327" t="str">
        <f>IF(AND($B5815&lt;&gt;"",$C5815&lt;&gt;""),MAX($A$4730:$A5814)+1,"")</f>
        <v/>
      </c>
      <c r="B5815" s="361" t="s">
        <v>615</v>
      </c>
      <c r="C5815" s="362"/>
      <c r="D5815" s="327">
        <f>IF($B5815="","",COUNTIF($B$4731:$B5815,$B5815))</f>
        <v>9</v>
      </c>
      <c r="E5815" s="362" t="s">
        <v>2282</v>
      </c>
      <c r="F5815" s="362" t="s">
        <v>2283</v>
      </c>
      <c r="G5815" s="327" t="s">
        <v>424</v>
      </c>
      <c r="H5815" s="361" t="s">
        <v>536</v>
      </c>
      <c r="I5815" s="361" t="s">
        <v>2238</v>
      </c>
      <c r="J5815" s="361"/>
      <c r="K5815" s="327" t="s">
        <v>662</v>
      </c>
      <c r="L5815" s="478">
        <v>28000</v>
      </c>
      <c r="M5815" s="355"/>
      <c r="N5815" s="355" t="s">
        <v>2409</v>
      </c>
      <c r="O5815" s="345"/>
      <c r="P5815" s="325"/>
      <c r="Q5815" s="327"/>
      <c r="R5815" s="351"/>
      <c r="S5815" s="351"/>
      <c r="T5815" s="351"/>
      <c r="U5815" s="329" t="str">
        <f>IF($N5815=$N$4,IFERROR(INDEX(DanhMuc!$E$154:$E$165,MATCH(MID($B5815,4,2),DanhMuc!$B$154:$B$165,0)),""),"")</f>
        <v/>
      </c>
      <c r="V5815" s="361"/>
      <c r="W5815" s="345"/>
      <c r="X5815" s="786"/>
      <c r="Y5815" s="1128" t="s">
        <v>3380</v>
      </c>
      <c r="Z5815" s="1128" t="s">
        <v>3381</v>
      </c>
      <c r="AA5815" s="1128" t="s">
        <v>3384</v>
      </c>
      <c r="AB5815" s="20"/>
      <c r="AC5815" s="73"/>
    </row>
    <row r="5816" spans="1:29">
      <c r="A5816" s="327" t="str">
        <f>IF(AND($B5816&lt;&gt;"",$C5816&lt;&gt;""),MAX($A$4730:$A5815)+1,"")</f>
        <v/>
      </c>
      <c r="B5816" s="361" t="s">
        <v>615</v>
      </c>
      <c r="C5816" s="362"/>
      <c r="D5816" s="327">
        <f>IF($B5816="","",COUNTIF($B$4731:$B5816,$B5816))</f>
        <v>10</v>
      </c>
      <c r="E5816" s="362" t="s">
        <v>663</v>
      </c>
      <c r="F5816" s="362" t="s">
        <v>664</v>
      </c>
      <c r="G5816" s="327" t="s">
        <v>155</v>
      </c>
      <c r="H5816" s="361" t="s">
        <v>536</v>
      </c>
      <c r="I5816" s="361" t="s">
        <v>672</v>
      </c>
      <c r="J5816" s="361"/>
      <c r="K5816" s="327" t="s">
        <v>662</v>
      </c>
      <c r="L5816" s="478">
        <v>1000</v>
      </c>
      <c r="M5816" s="355"/>
      <c r="N5816" s="355" t="s">
        <v>2409</v>
      </c>
      <c r="O5816" s="345"/>
      <c r="P5816" s="325"/>
      <c r="Q5816" s="327"/>
      <c r="R5816" s="351"/>
      <c r="S5816" s="351"/>
      <c r="T5816" s="351"/>
      <c r="U5816" s="329" t="str">
        <f>IF($N5816=$N$4,IFERROR(INDEX(DanhMuc!$E$154:$E$165,MATCH(MID($B5816,4,2),DanhMuc!$B$154:$B$165,0)),""),"")</f>
        <v/>
      </c>
      <c r="V5816" s="361"/>
      <c r="W5816" s="345"/>
      <c r="X5816" s="786"/>
      <c r="Y5816" s="1128" t="s">
        <v>3380</v>
      </c>
      <c r="Z5816" s="1128" t="s">
        <v>3381</v>
      </c>
      <c r="AA5816" s="1128" t="s">
        <v>3384</v>
      </c>
      <c r="AB5816" s="20"/>
      <c r="AC5816" s="73"/>
    </row>
    <row r="5817" spans="1:29" ht="26">
      <c r="A5817" s="327">
        <f>IF(AND($B5817&lt;&gt;"",$C5817&lt;&gt;""),MAX($A$4730:$A5248)+1,"")</f>
        <v>18</v>
      </c>
      <c r="B5817" s="359" t="s">
        <v>821</v>
      </c>
      <c r="C5817" s="370" t="s">
        <v>1557</v>
      </c>
      <c r="D5817" s="327">
        <f>IF($B5817="","",COUNTIF($B$4731:$B5817,$B5817))</f>
        <v>1</v>
      </c>
      <c r="E5817" s="361" t="s">
        <v>1826</v>
      </c>
      <c r="F5817" s="362" t="s">
        <v>670</v>
      </c>
      <c r="G5817" s="327" t="s">
        <v>661</v>
      </c>
      <c r="H5817" s="361" t="s">
        <v>536</v>
      </c>
      <c r="I5817" s="361" t="s">
        <v>2354</v>
      </c>
      <c r="J5817" s="361"/>
      <c r="K5817" s="327" t="s">
        <v>103</v>
      </c>
      <c r="L5817" s="478">
        <f>40000/1000</f>
        <v>40</v>
      </c>
      <c r="M5817" s="355"/>
      <c r="N5817" s="355" t="s">
        <v>2408</v>
      </c>
      <c r="O5817" s="345"/>
      <c r="P5817" s="325"/>
      <c r="Q5817" s="327"/>
      <c r="R5817" s="351"/>
      <c r="S5817" s="351"/>
      <c r="T5817" s="351"/>
      <c r="U5817" s="329" t="str">
        <f>IF($N5817=$N$4,IFERROR(INDEX(DanhMuc!$E$154:$E$165,MATCH(MID($B5817,4,2),DanhMuc!$B$154:$B$165,0)),""),"")</f>
        <v/>
      </c>
      <c r="V5817" s="361"/>
      <c r="W5817" s="345"/>
      <c r="X5817" s="786"/>
      <c r="Y5817" s="1128" t="s">
        <v>3380</v>
      </c>
      <c r="Z5817" s="1128" t="s">
        <v>3381</v>
      </c>
      <c r="AA5817" s="1128" t="s">
        <v>3384</v>
      </c>
      <c r="AB5817" s="20"/>
      <c r="AC5817" s="73"/>
    </row>
    <row r="5818" spans="1:29" ht="25">
      <c r="A5818" s="327" t="str">
        <f>IF(AND($B5818&lt;&gt;"",$C5818&lt;&gt;""),MAX($A$4730:$A5817)+1,"")</f>
        <v/>
      </c>
      <c r="B5818" s="361" t="s">
        <v>821</v>
      </c>
      <c r="C5818" s="362"/>
      <c r="D5818" s="327">
        <f>IF($B5818="","",COUNTIF($B$4731:$B5818,$B5818))</f>
        <v>2</v>
      </c>
      <c r="E5818" s="362" t="s">
        <v>1966</v>
      </c>
      <c r="F5818" s="362" t="s">
        <v>1967</v>
      </c>
      <c r="G5818" s="327" t="s">
        <v>405</v>
      </c>
      <c r="H5818" s="361" t="s">
        <v>536</v>
      </c>
      <c r="I5818" s="361" t="s">
        <v>1309</v>
      </c>
      <c r="J5818" s="361"/>
      <c r="K5818" s="327" t="s">
        <v>223</v>
      </c>
      <c r="L5818" s="389">
        <v>750</v>
      </c>
      <c r="M5818" s="371"/>
      <c r="N5818" s="355" t="s">
        <v>2408</v>
      </c>
      <c r="O5818" s="345"/>
      <c r="P5818" s="325"/>
      <c r="Q5818" s="327"/>
      <c r="R5818" s="351"/>
      <c r="S5818" s="351"/>
      <c r="T5818" s="351"/>
      <c r="U5818" s="329" t="str">
        <f>IF($N5818=$N$4,IFERROR(INDEX(DanhMuc!$E$154:$E$165,MATCH(MID($B5818,4,2),DanhMuc!$B$154:$B$165,0)),""),"")</f>
        <v/>
      </c>
      <c r="V5818" s="361"/>
      <c r="W5818" s="345"/>
      <c r="X5818" s="786"/>
      <c r="Y5818" s="1128" t="s">
        <v>3380</v>
      </c>
      <c r="Z5818" s="1128" t="s">
        <v>3381</v>
      </c>
      <c r="AA5818" s="1128" t="s">
        <v>3384</v>
      </c>
      <c r="AB5818" s="20"/>
      <c r="AC5818" s="73"/>
    </row>
    <row r="5819" spans="1:29" ht="37.5">
      <c r="A5819" s="327" t="str">
        <f>IF(AND($B5819&lt;&gt;"",$C5819&lt;&gt;""),MAX($A$4730:$A5818)+1,"")</f>
        <v/>
      </c>
      <c r="B5819" s="361" t="s">
        <v>821</v>
      </c>
      <c r="C5819" s="362"/>
      <c r="D5819" s="327">
        <f>IF($B5819="","",COUNTIF($B$4731:$B5819,$B5819))</f>
        <v>3</v>
      </c>
      <c r="E5819" s="362" t="s">
        <v>1964</v>
      </c>
      <c r="F5819" s="362" t="s">
        <v>1965</v>
      </c>
      <c r="G5819" s="410" t="s">
        <v>405</v>
      </c>
      <c r="H5819" s="402" t="s">
        <v>536</v>
      </c>
      <c r="I5819" s="402" t="s">
        <v>1210</v>
      </c>
      <c r="J5819" s="402"/>
      <c r="K5819" s="410" t="s">
        <v>223</v>
      </c>
      <c r="L5819" s="478">
        <v>140</v>
      </c>
      <c r="M5819" s="371"/>
      <c r="N5819" s="355" t="s">
        <v>2408</v>
      </c>
      <c r="O5819" s="345"/>
      <c r="P5819" s="325"/>
      <c r="Q5819" s="327"/>
      <c r="R5819" s="351"/>
      <c r="S5819" s="351"/>
      <c r="T5819" s="351"/>
      <c r="U5819" s="329" t="str">
        <f>IF($N5819=$N$4,IFERROR(INDEX(DanhMuc!$E$154:$E$165,MATCH(MID($B5819,4,2),DanhMuc!$B$154:$B$165,0)),""),"")</f>
        <v/>
      </c>
      <c r="V5819" s="361"/>
      <c r="W5819" s="345"/>
      <c r="X5819" s="786"/>
      <c r="Y5819" s="1128" t="s">
        <v>3380</v>
      </c>
      <c r="Z5819" s="1128" t="s">
        <v>3381</v>
      </c>
      <c r="AA5819" s="1128" t="s">
        <v>3384</v>
      </c>
      <c r="AB5819" s="20"/>
      <c r="AC5819" s="73"/>
    </row>
    <row r="5820" spans="1:29">
      <c r="A5820" s="327" t="str">
        <f>IF(AND($B5820&lt;&gt;"",$C5820&lt;&gt;""),MAX($A$4730:$A5819)+1,"")</f>
        <v/>
      </c>
      <c r="B5820" s="361" t="s">
        <v>821</v>
      </c>
      <c r="C5820" s="362"/>
      <c r="D5820" s="327">
        <f>IF($B5820="","",COUNTIF($B$4731:$B5820,$B5820))</f>
        <v>4</v>
      </c>
      <c r="E5820" s="361" t="s">
        <v>656</v>
      </c>
      <c r="F5820" s="362" t="s">
        <v>2239</v>
      </c>
      <c r="G5820" s="327" t="s">
        <v>405</v>
      </c>
      <c r="H5820" s="361" t="s">
        <v>536</v>
      </c>
      <c r="I5820" s="361" t="s">
        <v>1827</v>
      </c>
      <c r="J5820" s="361"/>
      <c r="K5820" s="327" t="s">
        <v>100</v>
      </c>
      <c r="L5820" s="478">
        <v>970</v>
      </c>
      <c r="M5820" s="371"/>
      <c r="N5820" s="355" t="s">
        <v>2409</v>
      </c>
      <c r="O5820" s="345"/>
      <c r="P5820" s="325"/>
      <c r="Q5820" s="327"/>
      <c r="R5820" s="351"/>
      <c r="S5820" s="351"/>
      <c r="T5820" s="351"/>
      <c r="U5820" s="329" t="str">
        <f>IF($N5820=$N$4,IFERROR(INDEX(DanhMuc!$E$154:$E$165,MATCH(MID($B5820,4,2),DanhMuc!$B$154:$B$165,0)),""),"")</f>
        <v/>
      </c>
      <c r="V5820" s="361"/>
      <c r="W5820" s="345"/>
      <c r="X5820" s="786"/>
      <c r="Y5820" s="1128" t="s">
        <v>3380</v>
      </c>
      <c r="Z5820" s="1128" t="s">
        <v>3381</v>
      </c>
      <c r="AA5820" s="1128" t="s">
        <v>3384</v>
      </c>
      <c r="AB5820" s="20"/>
      <c r="AC5820" s="73"/>
    </row>
    <row r="5821" spans="1:29">
      <c r="A5821" s="327" t="str">
        <f>IF(AND($B5821&lt;&gt;"",$C5821&lt;&gt;""),MAX($A$4730:$A5820)+1,"")</f>
        <v/>
      </c>
      <c r="B5821" s="361" t="s">
        <v>821</v>
      </c>
      <c r="C5821" s="362"/>
      <c r="D5821" s="327">
        <f>IF($B5821="","",COUNTIF($B$4731:$B5821,$B5821))</f>
        <v>5</v>
      </c>
      <c r="E5821" s="361" t="s">
        <v>657</v>
      </c>
      <c r="F5821" s="362" t="s">
        <v>658</v>
      </c>
      <c r="G5821" s="327" t="s">
        <v>424</v>
      </c>
      <c r="H5821" s="361" t="s">
        <v>536</v>
      </c>
      <c r="I5821" s="361" t="s">
        <v>665</v>
      </c>
      <c r="J5821" s="361"/>
      <c r="K5821" s="327" t="s">
        <v>100</v>
      </c>
      <c r="L5821" s="478">
        <v>60000</v>
      </c>
      <c r="M5821" s="355"/>
      <c r="N5821" s="355" t="s">
        <v>2409</v>
      </c>
      <c r="O5821" s="345"/>
      <c r="P5821" s="325"/>
      <c r="Q5821" s="327"/>
      <c r="R5821" s="351"/>
      <c r="S5821" s="351"/>
      <c r="T5821" s="351"/>
      <c r="U5821" s="329" t="str">
        <f>IF($N5821=$N$4,IFERROR(INDEX(DanhMuc!$E$154:$E$165,MATCH(MID($B5821,4,2),DanhMuc!$B$154:$B$165,0)),""),"")</f>
        <v/>
      </c>
      <c r="V5821" s="361"/>
      <c r="W5821" s="345"/>
      <c r="X5821" s="786"/>
      <c r="Y5821" s="1128" t="s">
        <v>3380</v>
      </c>
      <c r="Z5821" s="1128" t="s">
        <v>3381</v>
      </c>
      <c r="AA5821" s="1128" t="s">
        <v>3384</v>
      </c>
      <c r="AB5821" s="20"/>
      <c r="AC5821" s="73"/>
    </row>
    <row r="5822" spans="1:29">
      <c r="A5822" s="327" t="str">
        <f>IF(AND($B5822&lt;&gt;"",$C5822&lt;&gt;""),MAX($A$4730:$A5821)+1,"")</f>
        <v/>
      </c>
      <c r="B5822" s="361" t="s">
        <v>821</v>
      </c>
      <c r="C5822" s="362"/>
      <c r="D5822" s="327">
        <f>IF($B5822="","",COUNTIF($B$4731:$B5822,$B5822))</f>
        <v>6</v>
      </c>
      <c r="E5822" s="361" t="s">
        <v>2771</v>
      </c>
      <c r="F5822" s="362" t="s">
        <v>659</v>
      </c>
      <c r="G5822" s="327" t="s">
        <v>424</v>
      </c>
      <c r="H5822" s="361" t="s">
        <v>536</v>
      </c>
      <c r="I5822" s="361" t="s">
        <v>666</v>
      </c>
      <c r="J5822" s="361"/>
      <c r="K5822" s="327" t="s">
        <v>100</v>
      </c>
      <c r="L5822" s="389">
        <v>53000</v>
      </c>
      <c r="M5822" s="355"/>
      <c r="N5822" s="355" t="s">
        <v>2409</v>
      </c>
      <c r="O5822" s="345"/>
      <c r="P5822" s="325"/>
      <c r="Q5822" s="327"/>
      <c r="R5822" s="351"/>
      <c r="S5822" s="351"/>
      <c r="T5822" s="351"/>
      <c r="U5822" s="329" t="str">
        <f>IF($N5822=$N$4,IFERROR(INDEX(DanhMuc!$E$154:$E$165,MATCH(MID($B5822,4,2),DanhMuc!$B$154:$B$165,0)),""),"")</f>
        <v/>
      </c>
      <c r="V5822" s="361"/>
      <c r="W5822" s="345"/>
      <c r="X5822" s="786"/>
      <c r="Y5822" s="1128" t="s">
        <v>3380</v>
      </c>
      <c r="Z5822" s="1128" t="s">
        <v>3381</v>
      </c>
      <c r="AA5822" s="1128" t="s">
        <v>3384</v>
      </c>
      <c r="AB5822" s="20"/>
      <c r="AC5822" s="73"/>
    </row>
    <row r="5823" spans="1:29">
      <c r="A5823" s="327" t="str">
        <f>IF(AND($B5823&lt;&gt;"",$C5823&lt;&gt;""),MAX($A$4730:$A5822)+1,"")</f>
        <v/>
      </c>
      <c r="B5823" s="361" t="s">
        <v>821</v>
      </c>
      <c r="C5823" s="362"/>
      <c r="D5823" s="327">
        <f>IF($B5823="","",COUNTIF($B$4731:$B5823,$B5823))</f>
        <v>7</v>
      </c>
      <c r="E5823" s="361" t="s">
        <v>1828</v>
      </c>
      <c r="F5823" s="362" t="s">
        <v>671</v>
      </c>
      <c r="G5823" s="327" t="s">
        <v>661</v>
      </c>
      <c r="H5823" s="361" t="s">
        <v>536</v>
      </c>
      <c r="I5823" s="361" t="s">
        <v>2355</v>
      </c>
      <c r="J5823" s="361"/>
      <c r="K5823" s="327" t="s">
        <v>100</v>
      </c>
      <c r="L5823" s="478">
        <f>40000/1000</f>
        <v>40</v>
      </c>
      <c r="M5823" s="355"/>
      <c r="N5823" s="355" t="s">
        <v>2409</v>
      </c>
      <c r="O5823" s="345"/>
      <c r="P5823" s="325"/>
      <c r="Q5823" s="327"/>
      <c r="R5823" s="351"/>
      <c r="S5823" s="351"/>
      <c r="T5823" s="351"/>
      <c r="U5823" s="329" t="str">
        <f>IF($N5823=$N$4,IFERROR(INDEX(DanhMuc!$E$154:$E$165,MATCH(MID($B5823,4,2),DanhMuc!$B$154:$B$165,0)),""),"")</f>
        <v/>
      </c>
      <c r="V5823" s="361"/>
      <c r="W5823" s="345"/>
      <c r="X5823" s="786"/>
      <c r="Y5823" s="1128" t="s">
        <v>3380</v>
      </c>
      <c r="Z5823" s="1128" t="s">
        <v>3381</v>
      </c>
      <c r="AA5823" s="1128" t="s">
        <v>3384</v>
      </c>
      <c r="AB5823" s="20"/>
      <c r="AC5823" s="73"/>
    </row>
    <row r="5824" spans="1:29">
      <c r="A5824" s="327" t="str">
        <f>IF(AND($B5824&lt;&gt;"",$C5824&lt;&gt;""),MAX($A$4730:$A5823)+1,"")</f>
        <v/>
      </c>
      <c r="B5824" s="361" t="s">
        <v>821</v>
      </c>
      <c r="C5824" s="362"/>
      <c r="D5824" s="327">
        <f>IF($B5824="","",COUNTIF($B$4731:$B5824,$B5824))</f>
        <v>8</v>
      </c>
      <c r="E5824" s="361" t="s">
        <v>154</v>
      </c>
      <c r="F5824" s="362" t="s">
        <v>660</v>
      </c>
      <c r="G5824" s="327" t="s">
        <v>661</v>
      </c>
      <c r="H5824" s="361" t="s">
        <v>536</v>
      </c>
      <c r="I5824" s="361" t="s">
        <v>667</v>
      </c>
      <c r="J5824" s="361"/>
      <c r="K5824" s="327" t="s">
        <v>662</v>
      </c>
      <c r="L5824" s="478">
        <v>20</v>
      </c>
      <c r="M5824" s="355"/>
      <c r="N5824" s="355" t="s">
        <v>2409</v>
      </c>
      <c r="O5824" s="345"/>
      <c r="P5824" s="325"/>
      <c r="Q5824" s="327"/>
      <c r="R5824" s="351"/>
      <c r="S5824" s="351"/>
      <c r="T5824" s="351"/>
      <c r="U5824" s="329" t="str">
        <f>IF($N5824=$N$4,IFERROR(INDEX(DanhMuc!$E$154:$E$165,MATCH(MID($B5824,4,2),DanhMuc!$B$154:$B$165,0)),""),"")</f>
        <v/>
      </c>
      <c r="V5824" s="361"/>
      <c r="W5824" s="345"/>
      <c r="X5824" s="786"/>
      <c r="Y5824" s="1128" t="s">
        <v>3380</v>
      </c>
      <c r="Z5824" s="1128" t="s">
        <v>3381</v>
      </c>
      <c r="AA5824" s="1128" t="s">
        <v>3384</v>
      </c>
      <c r="AB5824" s="20"/>
      <c r="AC5824" s="73"/>
    </row>
    <row r="5825" spans="1:29">
      <c r="A5825" s="327" t="str">
        <f>IF(AND($B5825&lt;&gt;"",$C5825&lt;&gt;""),MAX($A$4730:$A5824)+1,"")</f>
        <v/>
      </c>
      <c r="B5825" s="361" t="s">
        <v>821</v>
      </c>
      <c r="C5825" s="362"/>
      <c r="D5825" s="327">
        <f>IF($B5825="","",COUNTIF($B$4731:$B5825,$B5825))</f>
        <v>9</v>
      </c>
      <c r="E5825" s="362" t="s">
        <v>2282</v>
      </c>
      <c r="F5825" s="362" t="s">
        <v>2283</v>
      </c>
      <c r="G5825" s="327" t="s">
        <v>424</v>
      </c>
      <c r="H5825" s="361" t="s">
        <v>536</v>
      </c>
      <c r="I5825" s="361" t="s">
        <v>2238</v>
      </c>
      <c r="J5825" s="361"/>
      <c r="K5825" s="327" t="s">
        <v>662</v>
      </c>
      <c r="L5825" s="478">
        <v>28000</v>
      </c>
      <c r="M5825" s="355"/>
      <c r="N5825" s="355" t="s">
        <v>2409</v>
      </c>
      <c r="O5825" s="345"/>
      <c r="P5825" s="325"/>
      <c r="Q5825" s="327"/>
      <c r="R5825" s="351"/>
      <c r="S5825" s="351"/>
      <c r="T5825" s="351"/>
      <c r="U5825" s="329" t="str">
        <f>IF($N5825=$N$4,IFERROR(INDEX(DanhMuc!$E$154:$E$165,MATCH(MID($B5825,4,2),DanhMuc!$B$154:$B$165,0)),""),"")</f>
        <v/>
      </c>
      <c r="V5825" s="361"/>
      <c r="W5825" s="345"/>
      <c r="X5825" s="786"/>
      <c r="Y5825" s="1128" t="s">
        <v>3380</v>
      </c>
      <c r="Z5825" s="1128" t="s">
        <v>3381</v>
      </c>
      <c r="AA5825" s="1128" t="s">
        <v>3384</v>
      </c>
      <c r="AB5825" s="20"/>
      <c r="AC5825" s="73"/>
    </row>
    <row r="5826" spans="1:29">
      <c r="A5826" s="327" t="str">
        <f>IF(AND($B5826&lt;&gt;"",$C5826&lt;&gt;""),MAX($A$4730:$A5825)+1,"")</f>
        <v/>
      </c>
      <c r="B5826" s="361" t="s">
        <v>821</v>
      </c>
      <c r="C5826" s="362"/>
      <c r="D5826" s="327">
        <f>IF($B5826="","",COUNTIF($B$4731:$B5826,$B5826))</f>
        <v>10</v>
      </c>
      <c r="E5826" s="362" t="s">
        <v>663</v>
      </c>
      <c r="F5826" s="362" t="s">
        <v>664</v>
      </c>
      <c r="G5826" s="327" t="s">
        <v>155</v>
      </c>
      <c r="H5826" s="361" t="s">
        <v>536</v>
      </c>
      <c r="I5826" s="361" t="s">
        <v>672</v>
      </c>
      <c r="J5826" s="361"/>
      <c r="K5826" s="327" t="s">
        <v>662</v>
      </c>
      <c r="L5826" s="478">
        <v>1000</v>
      </c>
      <c r="M5826" s="355"/>
      <c r="N5826" s="355" t="s">
        <v>2409</v>
      </c>
      <c r="O5826" s="345"/>
      <c r="P5826" s="325"/>
      <c r="Q5826" s="327"/>
      <c r="R5826" s="351"/>
      <c r="S5826" s="351"/>
      <c r="T5826" s="351"/>
      <c r="U5826" s="329" t="str">
        <f>IF($N5826=$N$4,IFERROR(INDEX(DanhMuc!$E$154:$E$165,MATCH(MID($B5826,4,2),DanhMuc!$B$154:$B$165,0)),""),"")</f>
        <v/>
      </c>
      <c r="V5826" s="361"/>
      <c r="W5826" s="345"/>
      <c r="X5826" s="786"/>
      <c r="Y5826" s="1128" t="s">
        <v>3380</v>
      </c>
      <c r="Z5826" s="1128" t="s">
        <v>3381</v>
      </c>
      <c r="AA5826" s="1128" t="s">
        <v>3384</v>
      </c>
      <c r="AB5826" s="20"/>
      <c r="AC5826" s="73"/>
    </row>
    <row r="5827" spans="1:29" ht="39">
      <c r="A5827" s="327">
        <f>IF(AND($B5827&lt;&gt;"",$C5827&lt;&gt;""),MAX($A$4730:$A5816)+1,"")</f>
        <v>43</v>
      </c>
      <c r="B5827" s="359" t="s">
        <v>823</v>
      </c>
      <c r="C5827" s="370" t="s">
        <v>1556</v>
      </c>
      <c r="D5827" s="327">
        <f>IF($B5827="","",COUNTIF($B$4731:$B5827,$B5827))</f>
        <v>1</v>
      </c>
      <c r="E5827" s="361" t="s">
        <v>1826</v>
      </c>
      <c r="F5827" s="362" t="s">
        <v>670</v>
      </c>
      <c r="G5827" s="327" t="s">
        <v>661</v>
      </c>
      <c r="H5827" s="361" t="s">
        <v>536</v>
      </c>
      <c r="I5827" s="361" t="s">
        <v>2354</v>
      </c>
      <c r="J5827" s="361"/>
      <c r="K5827" s="327" t="s">
        <v>103</v>
      </c>
      <c r="L5827" s="478">
        <f>40000/1000</f>
        <v>40</v>
      </c>
      <c r="M5827" s="355"/>
      <c r="N5827" s="355" t="s">
        <v>2408</v>
      </c>
      <c r="O5827" s="345"/>
      <c r="P5827" s="325"/>
      <c r="Q5827" s="327"/>
      <c r="R5827" s="351"/>
      <c r="S5827" s="351"/>
      <c r="T5827" s="351"/>
      <c r="U5827" s="329" t="str">
        <f>IF($N5827=$N$4,IFERROR(INDEX(DanhMuc!$E$154:$E$165,MATCH(MID($B5827,4,2),DanhMuc!$B$154:$B$165,0)),""),"")</f>
        <v/>
      </c>
      <c r="V5827" s="361"/>
      <c r="W5827" s="345"/>
      <c r="X5827" s="786"/>
      <c r="Y5827" s="1128" t="s">
        <v>3380</v>
      </c>
      <c r="Z5827" s="1128" t="s">
        <v>3381</v>
      </c>
      <c r="AA5827" s="1128" t="s">
        <v>3384</v>
      </c>
      <c r="AB5827" s="20"/>
      <c r="AC5827" s="73"/>
    </row>
    <row r="5828" spans="1:29" ht="25">
      <c r="A5828" s="327" t="str">
        <f>IF(AND($B5828&lt;&gt;"",$C5828&lt;&gt;""),MAX($A$4730:$A5827)+1,"")</f>
        <v/>
      </c>
      <c r="B5828" s="361" t="s">
        <v>823</v>
      </c>
      <c r="C5828" s="362"/>
      <c r="D5828" s="327">
        <f>IF($B5828="","",COUNTIF($B$4731:$B5828,$B5828))</f>
        <v>2</v>
      </c>
      <c r="E5828" s="362" t="s">
        <v>1966</v>
      </c>
      <c r="F5828" s="362" t="s">
        <v>1967</v>
      </c>
      <c r="G5828" s="327" t="s">
        <v>405</v>
      </c>
      <c r="H5828" s="361" t="s">
        <v>536</v>
      </c>
      <c r="I5828" s="361" t="s">
        <v>1309</v>
      </c>
      <c r="J5828" s="361"/>
      <c r="K5828" s="327" t="s">
        <v>223</v>
      </c>
      <c r="L5828" s="389">
        <v>750</v>
      </c>
      <c r="M5828" s="371"/>
      <c r="N5828" s="355" t="s">
        <v>2408</v>
      </c>
      <c r="O5828" s="345"/>
      <c r="P5828" s="325"/>
      <c r="Q5828" s="327"/>
      <c r="R5828" s="351"/>
      <c r="S5828" s="351"/>
      <c r="T5828" s="351"/>
      <c r="U5828" s="329" t="str">
        <f>IF($N5828=$N$4,IFERROR(INDEX(DanhMuc!$E$154:$E$165,MATCH(MID($B5828,4,2),DanhMuc!$B$154:$B$165,0)),""),"")</f>
        <v/>
      </c>
      <c r="V5828" s="361"/>
      <c r="W5828" s="345"/>
      <c r="X5828" s="786"/>
      <c r="Y5828" s="1128" t="s">
        <v>3380</v>
      </c>
      <c r="Z5828" s="1128" t="s">
        <v>3381</v>
      </c>
      <c r="AA5828" s="1128" t="s">
        <v>3384</v>
      </c>
      <c r="AB5828" s="20"/>
      <c r="AC5828" s="73"/>
    </row>
    <row r="5829" spans="1:29" ht="37.5">
      <c r="A5829" s="327" t="str">
        <f>IF(AND($B5829&lt;&gt;"",$C5829&lt;&gt;""),MAX($A$4730:$A5828)+1,"")</f>
        <v/>
      </c>
      <c r="B5829" s="361" t="s">
        <v>823</v>
      </c>
      <c r="C5829" s="362"/>
      <c r="D5829" s="327">
        <f>IF($B5829="","",COUNTIF($B$4731:$B5829,$B5829))</f>
        <v>3</v>
      </c>
      <c r="E5829" s="362" t="s">
        <v>1964</v>
      </c>
      <c r="F5829" s="362" t="s">
        <v>1965</v>
      </c>
      <c r="G5829" s="410" t="s">
        <v>405</v>
      </c>
      <c r="H5829" s="402" t="s">
        <v>536</v>
      </c>
      <c r="I5829" s="402" t="s">
        <v>1210</v>
      </c>
      <c r="J5829" s="402"/>
      <c r="K5829" s="410" t="s">
        <v>223</v>
      </c>
      <c r="L5829" s="478">
        <v>140</v>
      </c>
      <c r="M5829" s="371"/>
      <c r="N5829" s="355" t="s">
        <v>2408</v>
      </c>
      <c r="O5829" s="345"/>
      <c r="P5829" s="325"/>
      <c r="Q5829" s="327"/>
      <c r="R5829" s="351"/>
      <c r="S5829" s="351"/>
      <c r="T5829" s="351"/>
      <c r="U5829" s="329" t="str">
        <f>IF($N5829=$N$4,IFERROR(INDEX(DanhMuc!$E$154:$E$165,MATCH(MID($B5829,4,2),DanhMuc!$B$154:$B$165,0)),""),"")</f>
        <v/>
      </c>
      <c r="V5829" s="361"/>
      <c r="W5829" s="345"/>
      <c r="X5829" s="786"/>
      <c r="Y5829" s="1128" t="s">
        <v>3380</v>
      </c>
      <c r="Z5829" s="1128" t="s">
        <v>3381</v>
      </c>
      <c r="AA5829" s="1128" t="s">
        <v>3384</v>
      </c>
      <c r="AB5829" s="20"/>
      <c r="AC5829" s="73"/>
    </row>
    <row r="5830" spans="1:29">
      <c r="A5830" s="327" t="str">
        <f>IF(AND($B5830&lt;&gt;"",$C5830&lt;&gt;""),MAX($A$4730:$A5829)+1,"")</f>
        <v/>
      </c>
      <c r="B5830" s="361" t="s">
        <v>823</v>
      </c>
      <c r="C5830" s="362"/>
      <c r="D5830" s="327">
        <f>IF($B5830="","",COUNTIF($B$4731:$B5830,$B5830))</f>
        <v>4</v>
      </c>
      <c r="E5830" s="361" t="s">
        <v>656</v>
      </c>
      <c r="F5830" s="362" t="s">
        <v>2239</v>
      </c>
      <c r="G5830" s="327" t="s">
        <v>405</v>
      </c>
      <c r="H5830" s="361" t="s">
        <v>536</v>
      </c>
      <c r="I5830" s="361" t="s">
        <v>1827</v>
      </c>
      <c r="J5830" s="361"/>
      <c r="K5830" s="327" t="s">
        <v>100</v>
      </c>
      <c r="L5830" s="478">
        <v>970</v>
      </c>
      <c r="M5830" s="371"/>
      <c r="N5830" s="355" t="s">
        <v>2409</v>
      </c>
      <c r="O5830" s="345"/>
      <c r="P5830" s="325"/>
      <c r="Q5830" s="327"/>
      <c r="R5830" s="351"/>
      <c r="S5830" s="351"/>
      <c r="T5830" s="351"/>
      <c r="U5830" s="329" t="str">
        <f>IF($N5830=$N$4,IFERROR(INDEX(DanhMuc!$E$154:$E$165,MATCH(MID($B5830,4,2),DanhMuc!$B$154:$B$165,0)),""),"")</f>
        <v/>
      </c>
      <c r="V5830" s="361"/>
      <c r="W5830" s="345"/>
      <c r="X5830" s="786"/>
      <c r="Y5830" s="1128" t="s">
        <v>3380</v>
      </c>
      <c r="Z5830" s="1128" t="s">
        <v>3381</v>
      </c>
      <c r="AA5830" s="1128" t="s">
        <v>3384</v>
      </c>
      <c r="AB5830" s="20"/>
      <c r="AC5830" s="73"/>
    </row>
    <row r="5831" spans="1:29">
      <c r="A5831" s="327" t="str">
        <f>IF(AND($B5831&lt;&gt;"",$C5831&lt;&gt;""),MAX($A$4730:$A5830)+1,"")</f>
        <v/>
      </c>
      <c r="B5831" s="361" t="s">
        <v>823</v>
      </c>
      <c r="C5831" s="362"/>
      <c r="D5831" s="327">
        <f>IF($B5831="","",COUNTIF($B$4731:$B5831,$B5831))</f>
        <v>5</v>
      </c>
      <c r="E5831" s="361" t="s">
        <v>657</v>
      </c>
      <c r="F5831" s="362" t="s">
        <v>658</v>
      </c>
      <c r="G5831" s="327" t="s">
        <v>424</v>
      </c>
      <c r="H5831" s="361" t="s">
        <v>536</v>
      </c>
      <c r="I5831" s="361" t="s">
        <v>665</v>
      </c>
      <c r="J5831" s="361"/>
      <c r="K5831" s="327" t="s">
        <v>100</v>
      </c>
      <c r="L5831" s="478">
        <v>60000</v>
      </c>
      <c r="M5831" s="355"/>
      <c r="N5831" s="355" t="s">
        <v>2409</v>
      </c>
      <c r="O5831" s="345"/>
      <c r="P5831" s="325"/>
      <c r="Q5831" s="327"/>
      <c r="R5831" s="351"/>
      <c r="S5831" s="351"/>
      <c r="T5831" s="351"/>
      <c r="U5831" s="329" t="str">
        <f>IF($N5831=$N$4,IFERROR(INDEX(DanhMuc!$E$154:$E$165,MATCH(MID($B5831,4,2),DanhMuc!$B$154:$B$165,0)),""),"")</f>
        <v/>
      </c>
      <c r="V5831" s="361"/>
      <c r="W5831" s="345"/>
      <c r="X5831" s="786"/>
      <c r="Y5831" s="1128" t="s">
        <v>3380</v>
      </c>
      <c r="Z5831" s="1128" t="s">
        <v>3381</v>
      </c>
      <c r="AA5831" s="1128" t="s">
        <v>3384</v>
      </c>
      <c r="AB5831" s="20"/>
      <c r="AC5831" s="73"/>
    </row>
    <row r="5832" spans="1:29">
      <c r="A5832" s="327" t="str">
        <f>IF(AND($B5832&lt;&gt;"",$C5832&lt;&gt;""),MAX($A$4730:$A5831)+1,"")</f>
        <v/>
      </c>
      <c r="B5832" s="361" t="s">
        <v>823</v>
      </c>
      <c r="C5832" s="362"/>
      <c r="D5832" s="327">
        <f>IF($B5832="","",COUNTIF($B$4731:$B5832,$B5832))</f>
        <v>6</v>
      </c>
      <c r="E5832" s="361" t="s">
        <v>2771</v>
      </c>
      <c r="F5832" s="362" t="s">
        <v>659</v>
      </c>
      <c r="G5832" s="327" t="s">
        <v>424</v>
      </c>
      <c r="H5832" s="361" t="s">
        <v>536</v>
      </c>
      <c r="I5832" s="361" t="s">
        <v>666</v>
      </c>
      <c r="J5832" s="361"/>
      <c r="K5832" s="327" t="s">
        <v>100</v>
      </c>
      <c r="L5832" s="389">
        <v>53000</v>
      </c>
      <c r="M5832" s="355"/>
      <c r="N5832" s="355" t="s">
        <v>2409</v>
      </c>
      <c r="O5832" s="345"/>
      <c r="P5832" s="325"/>
      <c r="Q5832" s="327"/>
      <c r="R5832" s="351"/>
      <c r="S5832" s="351"/>
      <c r="T5832" s="351"/>
      <c r="U5832" s="329" t="str">
        <f>IF($N5832=$N$4,IFERROR(INDEX(DanhMuc!$E$154:$E$165,MATCH(MID($B5832,4,2),DanhMuc!$B$154:$B$165,0)),""),"")</f>
        <v/>
      </c>
      <c r="V5832" s="361"/>
      <c r="W5832" s="345"/>
      <c r="X5832" s="786"/>
      <c r="Y5832" s="1128" t="s">
        <v>3380</v>
      </c>
      <c r="Z5832" s="1128" t="s">
        <v>3381</v>
      </c>
      <c r="AA5832" s="1128" t="s">
        <v>3384</v>
      </c>
      <c r="AB5832" s="20"/>
      <c r="AC5832" s="73"/>
    </row>
    <row r="5833" spans="1:29">
      <c r="A5833" s="327" t="str">
        <f>IF(AND($B5833&lt;&gt;"",$C5833&lt;&gt;""),MAX($A$4730:$A5832)+1,"")</f>
        <v/>
      </c>
      <c r="B5833" s="361" t="s">
        <v>823</v>
      </c>
      <c r="C5833" s="362"/>
      <c r="D5833" s="327">
        <f>IF($B5833="","",COUNTIF($B$4731:$B5833,$B5833))</f>
        <v>7</v>
      </c>
      <c r="E5833" s="361" t="s">
        <v>1828</v>
      </c>
      <c r="F5833" s="362" t="s">
        <v>671</v>
      </c>
      <c r="G5833" s="327" t="s">
        <v>661</v>
      </c>
      <c r="H5833" s="361" t="s">
        <v>536</v>
      </c>
      <c r="I5833" s="361" t="s">
        <v>2355</v>
      </c>
      <c r="J5833" s="361"/>
      <c r="K5833" s="327" t="s">
        <v>100</v>
      </c>
      <c r="L5833" s="478">
        <f>40000/1000</f>
        <v>40</v>
      </c>
      <c r="M5833" s="355"/>
      <c r="N5833" s="355" t="s">
        <v>2409</v>
      </c>
      <c r="O5833" s="345"/>
      <c r="P5833" s="325"/>
      <c r="Q5833" s="327"/>
      <c r="R5833" s="351"/>
      <c r="S5833" s="351"/>
      <c r="T5833" s="351"/>
      <c r="U5833" s="329" t="str">
        <f>IF($N5833=$N$4,IFERROR(INDEX(DanhMuc!$E$154:$E$165,MATCH(MID($B5833,4,2),DanhMuc!$B$154:$B$165,0)),""),"")</f>
        <v/>
      </c>
      <c r="V5833" s="361"/>
      <c r="W5833" s="345"/>
      <c r="X5833" s="786"/>
      <c r="Y5833" s="1128" t="s">
        <v>3380</v>
      </c>
      <c r="Z5833" s="1128" t="s">
        <v>3381</v>
      </c>
      <c r="AA5833" s="1128" t="s">
        <v>3384</v>
      </c>
      <c r="AB5833" s="20"/>
      <c r="AC5833" s="73"/>
    </row>
    <row r="5834" spans="1:29">
      <c r="A5834" s="327" t="str">
        <f>IF(AND($B5834&lt;&gt;"",$C5834&lt;&gt;""),MAX($A$4730:$A5833)+1,"")</f>
        <v/>
      </c>
      <c r="B5834" s="361" t="s">
        <v>823</v>
      </c>
      <c r="C5834" s="362"/>
      <c r="D5834" s="327">
        <f>IF($B5834="","",COUNTIF($B$4731:$B5834,$B5834))</f>
        <v>8</v>
      </c>
      <c r="E5834" s="361" t="s">
        <v>154</v>
      </c>
      <c r="F5834" s="362" t="s">
        <v>660</v>
      </c>
      <c r="G5834" s="327" t="s">
        <v>661</v>
      </c>
      <c r="H5834" s="361" t="s">
        <v>536</v>
      </c>
      <c r="I5834" s="361" t="s">
        <v>667</v>
      </c>
      <c r="J5834" s="361"/>
      <c r="K5834" s="327" t="s">
        <v>662</v>
      </c>
      <c r="L5834" s="478">
        <v>20</v>
      </c>
      <c r="M5834" s="355"/>
      <c r="N5834" s="355" t="s">
        <v>2409</v>
      </c>
      <c r="O5834" s="345"/>
      <c r="P5834" s="325"/>
      <c r="Q5834" s="327"/>
      <c r="R5834" s="351"/>
      <c r="S5834" s="351"/>
      <c r="T5834" s="351"/>
      <c r="U5834" s="329" t="str">
        <f>IF($N5834=$N$4,IFERROR(INDEX(DanhMuc!$E$154:$E$165,MATCH(MID($B5834,4,2),DanhMuc!$B$154:$B$165,0)),""),"")</f>
        <v/>
      </c>
      <c r="V5834" s="361"/>
      <c r="W5834" s="345"/>
      <c r="X5834" s="786"/>
      <c r="Y5834" s="1128" t="s">
        <v>3380</v>
      </c>
      <c r="Z5834" s="1128" t="s">
        <v>3381</v>
      </c>
      <c r="AA5834" s="1128" t="s">
        <v>3384</v>
      </c>
      <c r="AB5834" s="20"/>
      <c r="AC5834" s="73"/>
    </row>
    <row r="5835" spans="1:29">
      <c r="A5835" s="327" t="str">
        <f>IF(AND($B5835&lt;&gt;"",$C5835&lt;&gt;""),MAX($A$4730:$A5834)+1,"")</f>
        <v/>
      </c>
      <c r="B5835" s="361" t="s">
        <v>823</v>
      </c>
      <c r="C5835" s="362"/>
      <c r="D5835" s="327">
        <f>IF($B5835="","",COUNTIF($B$4731:$B5835,$B5835))</f>
        <v>9</v>
      </c>
      <c r="E5835" s="362" t="s">
        <v>2282</v>
      </c>
      <c r="F5835" s="362" t="s">
        <v>2283</v>
      </c>
      <c r="G5835" s="327" t="s">
        <v>424</v>
      </c>
      <c r="H5835" s="361" t="s">
        <v>536</v>
      </c>
      <c r="I5835" s="361" t="s">
        <v>2238</v>
      </c>
      <c r="J5835" s="361"/>
      <c r="K5835" s="327" t="s">
        <v>662</v>
      </c>
      <c r="L5835" s="478">
        <v>28000</v>
      </c>
      <c r="M5835" s="355"/>
      <c r="N5835" s="355" t="s">
        <v>2409</v>
      </c>
      <c r="O5835" s="345"/>
      <c r="P5835" s="325"/>
      <c r="Q5835" s="327"/>
      <c r="R5835" s="351"/>
      <c r="S5835" s="351"/>
      <c r="T5835" s="351"/>
      <c r="U5835" s="329" t="str">
        <f>IF($N5835=$N$4,IFERROR(INDEX(DanhMuc!$E$154:$E$165,MATCH(MID($B5835,4,2),DanhMuc!$B$154:$B$165,0)),""),"")</f>
        <v/>
      </c>
      <c r="V5835" s="361"/>
      <c r="W5835" s="345"/>
      <c r="X5835" s="786"/>
      <c r="Y5835" s="1128" t="s">
        <v>3380</v>
      </c>
      <c r="Z5835" s="1128" t="s">
        <v>3381</v>
      </c>
      <c r="AA5835" s="1128" t="s">
        <v>3384</v>
      </c>
      <c r="AB5835" s="20"/>
      <c r="AC5835" s="73"/>
    </row>
    <row r="5836" spans="1:29">
      <c r="A5836" s="327" t="str">
        <f>IF(AND($B5836&lt;&gt;"",$C5836&lt;&gt;""),MAX($A$4730:$A5835)+1,"")</f>
        <v/>
      </c>
      <c r="B5836" s="361" t="s">
        <v>823</v>
      </c>
      <c r="C5836" s="362"/>
      <c r="D5836" s="327">
        <f>IF($B5836="","",COUNTIF($B$4731:$B5836,$B5836))</f>
        <v>10</v>
      </c>
      <c r="E5836" s="362" t="s">
        <v>663</v>
      </c>
      <c r="F5836" s="362" t="s">
        <v>664</v>
      </c>
      <c r="G5836" s="327" t="s">
        <v>155</v>
      </c>
      <c r="H5836" s="361" t="s">
        <v>536</v>
      </c>
      <c r="I5836" s="361" t="s">
        <v>672</v>
      </c>
      <c r="J5836" s="361"/>
      <c r="K5836" s="327" t="s">
        <v>662</v>
      </c>
      <c r="L5836" s="478">
        <v>1000</v>
      </c>
      <c r="M5836" s="355"/>
      <c r="N5836" s="355" t="s">
        <v>2409</v>
      </c>
      <c r="O5836" s="345"/>
      <c r="P5836" s="325"/>
      <c r="Q5836" s="327"/>
      <c r="R5836" s="351"/>
      <c r="S5836" s="351"/>
      <c r="T5836" s="351"/>
      <c r="U5836" s="329" t="str">
        <f>IF($N5836=$N$4,IFERROR(INDEX(DanhMuc!$E$154:$E$165,MATCH(MID($B5836,4,2),DanhMuc!$B$154:$B$165,0)),""),"")</f>
        <v/>
      </c>
      <c r="V5836" s="361"/>
      <c r="W5836" s="345"/>
      <c r="X5836" s="786"/>
      <c r="Y5836" s="1128" t="s">
        <v>3380</v>
      </c>
      <c r="Z5836" s="1128" t="s">
        <v>3381</v>
      </c>
      <c r="AA5836" s="1128" t="s">
        <v>3384</v>
      </c>
      <c r="AB5836" s="20"/>
      <c r="AC5836" s="73"/>
    </row>
    <row r="5837" spans="1:29" ht="26">
      <c r="A5837" s="327">
        <f>IF(AND($B5837&lt;&gt;"",$C5837&lt;&gt;""),MAX($A$4730:$A5826)+1,"")</f>
        <v>43</v>
      </c>
      <c r="B5837" s="359" t="s">
        <v>826</v>
      </c>
      <c r="C5837" s="370" t="s">
        <v>1559</v>
      </c>
      <c r="D5837" s="327">
        <f>IF($B5837="","",COUNTIF($B$4731:$B5837,$B5837))</f>
        <v>1</v>
      </c>
      <c r="E5837" s="361" t="s">
        <v>1826</v>
      </c>
      <c r="F5837" s="362" t="s">
        <v>670</v>
      </c>
      <c r="G5837" s="327" t="s">
        <v>661</v>
      </c>
      <c r="H5837" s="361" t="s">
        <v>536</v>
      </c>
      <c r="I5837" s="361" t="s">
        <v>2354</v>
      </c>
      <c r="J5837" s="361"/>
      <c r="K5837" s="327" t="s">
        <v>103</v>
      </c>
      <c r="L5837" s="478">
        <f>40000/1000</f>
        <v>40</v>
      </c>
      <c r="M5837" s="355"/>
      <c r="N5837" s="355" t="s">
        <v>2408</v>
      </c>
      <c r="O5837" s="345"/>
      <c r="P5837" s="325"/>
      <c r="Q5837" s="327"/>
      <c r="R5837" s="351"/>
      <c r="S5837" s="351"/>
      <c r="T5837" s="351"/>
      <c r="U5837" s="329" t="str">
        <f>IF($N5837=$N$4,IFERROR(INDEX(DanhMuc!$E$154:$E$165,MATCH(MID($B5837,4,2),DanhMuc!$B$154:$B$165,0)),""),"")</f>
        <v/>
      </c>
      <c r="V5837" s="361"/>
      <c r="W5837" s="345"/>
      <c r="X5837" s="786"/>
      <c r="Y5837" s="1128" t="s">
        <v>3380</v>
      </c>
      <c r="Z5837" s="1128" t="s">
        <v>3381</v>
      </c>
      <c r="AA5837" s="1128" t="s">
        <v>3384</v>
      </c>
      <c r="AB5837" s="20"/>
      <c r="AC5837" s="73"/>
    </row>
    <row r="5838" spans="1:29" ht="25">
      <c r="A5838" s="327" t="str">
        <f>IF(AND($B5838&lt;&gt;"",$C5838&lt;&gt;""),MAX($A$4730:$A5837)+1,"")</f>
        <v/>
      </c>
      <c r="B5838" s="361" t="s">
        <v>826</v>
      </c>
      <c r="C5838" s="362"/>
      <c r="D5838" s="327">
        <f>IF($B5838="","",COUNTIF($B$4731:$B5838,$B5838))</f>
        <v>2</v>
      </c>
      <c r="E5838" s="362" t="s">
        <v>1966</v>
      </c>
      <c r="F5838" s="362" t="s">
        <v>1967</v>
      </c>
      <c r="G5838" s="327" t="s">
        <v>405</v>
      </c>
      <c r="H5838" s="361" t="s">
        <v>536</v>
      </c>
      <c r="I5838" s="361" t="s">
        <v>1309</v>
      </c>
      <c r="J5838" s="361"/>
      <c r="K5838" s="327" t="s">
        <v>223</v>
      </c>
      <c r="L5838" s="389">
        <v>750</v>
      </c>
      <c r="M5838" s="371"/>
      <c r="N5838" s="355" t="s">
        <v>2408</v>
      </c>
      <c r="O5838" s="345"/>
      <c r="P5838" s="325"/>
      <c r="Q5838" s="327"/>
      <c r="R5838" s="351"/>
      <c r="S5838" s="351"/>
      <c r="T5838" s="351"/>
      <c r="U5838" s="329" t="str">
        <f>IF($N5838=$N$4,IFERROR(INDEX(DanhMuc!$E$154:$E$165,MATCH(MID($B5838,4,2),DanhMuc!$B$154:$B$165,0)),""),"")</f>
        <v/>
      </c>
      <c r="V5838" s="361"/>
      <c r="W5838" s="345"/>
      <c r="X5838" s="786"/>
      <c r="Y5838" s="1128" t="s">
        <v>3380</v>
      </c>
      <c r="Z5838" s="1128" t="s">
        <v>3381</v>
      </c>
      <c r="AA5838" s="1128" t="s">
        <v>3384</v>
      </c>
      <c r="AB5838" s="20"/>
      <c r="AC5838" s="73"/>
    </row>
    <row r="5839" spans="1:29" ht="37.5">
      <c r="A5839" s="327" t="str">
        <f>IF(AND($B5839&lt;&gt;"",$C5839&lt;&gt;""),MAX($A$4730:$A5838)+1,"")</f>
        <v/>
      </c>
      <c r="B5839" s="361" t="s">
        <v>826</v>
      </c>
      <c r="C5839" s="362"/>
      <c r="D5839" s="327">
        <f>IF($B5839="","",COUNTIF($B$4731:$B5839,$B5839))</f>
        <v>3</v>
      </c>
      <c r="E5839" s="362" t="s">
        <v>1964</v>
      </c>
      <c r="F5839" s="362" t="s">
        <v>1965</v>
      </c>
      <c r="G5839" s="410" t="s">
        <v>405</v>
      </c>
      <c r="H5839" s="402" t="s">
        <v>536</v>
      </c>
      <c r="I5839" s="402" t="s">
        <v>1210</v>
      </c>
      <c r="J5839" s="402"/>
      <c r="K5839" s="410" t="s">
        <v>223</v>
      </c>
      <c r="L5839" s="478">
        <v>140</v>
      </c>
      <c r="M5839" s="371"/>
      <c r="N5839" s="355" t="s">
        <v>2408</v>
      </c>
      <c r="O5839" s="345"/>
      <c r="P5839" s="325"/>
      <c r="Q5839" s="327"/>
      <c r="R5839" s="351"/>
      <c r="S5839" s="351"/>
      <c r="T5839" s="351"/>
      <c r="U5839" s="329" t="str">
        <f>IF($N5839=$N$4,IFERROR(INDEX(DanhMuc!$E$154:$E$165,MATCH(MID($B5839,4,2),DanhMuc!$B$154:$B$165,0)),""),"")</f>
        <v/>
      </c>
      <c r="V5839" s="361"/>
      <c r="W5839" s="345"/>
      <c r="X5839" s="786"/>
      <c r="Y5839" s="1128" t="s">
        <v>3380</v>
      </c>
      <c r="Z5839" s="1128" t="s">
        <v>3381</v>
      </c>
      <c r="AA5839" s="1128" t="s">
        <v>3384</v>
      </c>
      <c r="AB5839" s="20"/>
      <c r="AC5839" s="73"/>
    </row>
    <row r="5840" spans="1:29">
      <c r="A5840" s="327" t="str">
        <f>IF(AND($B5840&lt;&gt;"",$C5840&lt;&gt;""),MAX($A$4730:$A5839)+1,"")</f>
        <v/>
      </c>
      <c r="B5840" s="361" t="s">
        <v>826</v>
      </c>
      <c r="C5840" s="362"/>
      <c r="D5840" s="327">
        <f>IF($B5840="","",COUNTIF($B$4731:$B5840,$B5840))</f>
        <v>4</v>
      </c>
      <c r="E5840" s="361" t="s">
        <v>656</v>
      </c>
      <c r="F5840" s="362" t="s">
        <v>2239</v>
      </c>
      <c r="G5840" s="327" t="s">
        <v>405</v>
      </c>
      <c r="H5840" s="361" t="s">
        <v>536</v>
      </c>
      <c r="I5840" s="361" t="s">
        <v>1827</v>
      </c>
      <c r="J5840" s="361"/>
      <c r="K5840" s="327" t="s">
        <v>100</v>
      </c>
      <c r="L5840" s="478">
        <v>970</v>
      </c>
      <c r="M5840" s="371"/>
      <c r="N5840" s="355" t="s">
        <v>2409</v>
      </c>
      <c r="O5840" s="345"/>
      <c r="P5840" s="325"/>
      <c r="Q5840" s="327"/>
      <c r="R5840" s="351"/>
      <c r="S5840" s="351"/>
      <c r="T5840" s="351"/>
      <c r="U5840" s="329" t="str">
        <f>IF($N5840=$N$4,IFERROR(INDEX(DanhMuc!$E$154:$E$165,MATCH(MID($B5840,4,2),DanhMuc!$B$154:$B$165,0)),""),"")</f>
        <v/>
      </c>
      <c r="V5840" s="361"/>
      <c r="W5840" s="345"/>
      <c r="X5840" s="786"/>
      <c r="Y5840" s="1128" t="s">
        <v>3380</v>
      </c>
      <c r="Z5840" s="1128" t="s">
        <v>3381</v>
      </c>
      <c r="AA5840" s="1128" t="s">
        <v>3384</v>
      </c>
      <c r="AB5840" s="20"/>
      <c r="AC5840" s="73"/>
    </row>
    <row r="5841" spans="1:29">
      <c r="A5841" s="327" t="str">
        <f>IF(AND($B5841&lt;&gt;"",$C5841&lt;&gt;""),MAX($A$4730:$A5840)+1,"")</f>
        <v/>
      </c>
      <c r="B5841" s="361" t="s">
        <v>826</v>
      </c>
      <c r="C5841" s="362"/>
      <c r="D5841" s="327">
        <f>IF($B5841="","",COUNTIF($B$4731:$B5841,$B5841))</f>
        <v>5</v>
      </c>
      <c r="E5841" s="361" t="s">
        <v>657</v>
      </c>
      <c r="F5841" s="362" t="s">
        <v>658</v>
      </c>
      <c r="G5841" s="327" t="s">
        <v>424</v>
      </c>
      <c r="H5841" s="361" t="s">
        <v>536</v>
      </c>
      <c r="I5841" s="361" t="s">
        <v>665</v>
      </c>
      <c r="J5841" s="361"/>
      <c r="K5841" s="327" t="s">
        <v>100</v>
      </c>
      <c r="L5841" s="478">
        <v>60000</v>
      </c>
      <c r="M5841" s="355"/>
      <c r="N5841" s="355" t="s">
        <v>2409</v>
      </c>
      <c r="O5841" s="345"/>
      <c r="P5841" s="325"/>
      <c r="Q5841" s="327"/>
      <c r="R5841" s="351"/>
      <c r="S5841" s="351"/>
      <c r="T5841" s="351"/>
      <c r="U5841" s="329" t="str">
        <f>IF($N5841=$N$4,IFERROR(INDEX(DanhMuc!$E$154:$E$165,MATCH(MID($B5841,4,2),DanhMuc!$B$154:$B$165,0)),""),"")</f>
        <v/>
      </c>
      <c r="V5841" s="361"/>
      <c r="W5841" s="345"/>
      <c r="X5841" s="786"/>
      <c r="Y5841" s="1128" t="s">
        <v>3380</v>
      </c>
      <c r="Z5841" s="1128" t="s">
        <v>3381</v>
      </c>
      <c r="AA5841" s="1128" t="s">
        <v>3384</v>
      </c>
      <c r="AB5841" s="20"/>
      <c r="AC5841" s="73"/>
    </row>
    <row r="5842" spans="1:29">
      <c r="A5842" s="327" t="str">
        <f>IF(AND($B5842&lt;&gt;"",$C5842&lt;&gt;""),MAX($A$4730:$A5841)+1,"")</f>
        <v/>
      </c>
      <c r="B5842" s="361" t="s">
        <v>826</v>
      </c>
      <c r="C5842" s="362"/>
      <c r="D5842" s="327">
        <f>IF($B5842="","",COUNTIF($B$4731:$B5842,$B5842))</f>
        <v>6</v>
      </c>
      <c r="E5842" s="361" t="s">
        <v>2771</v>
      </c>
      <c r="F5842" s="362" t="s">
        <v>659</v>
      </c>
      <c r="G5842" s="327" t="s">
        <v>424</v>
      </c>
      <c r="H5842" s="361" t="s">
        <v>536</v>
      </c>
      <c r="I5842" s="361" t="s">
        <v>666</v>
      </c>
      <c r="J5842" s="361"/>
      <c r="K5842" s="327" t="s">
        <v>100</v>
      </c>
      <c r="L5842" s="389">
        <v>53000</v>
      </c>
      <c r="M5842" s="355"/>
      <c r="N5842" s="355" t="s">
        <v>2409</v>
      </c>
      <c r="O5842" s="345"/>
      <c r="P5842" s="325"/>
      <c r="Q5842" s="327"/>
      <c r="R5842" s="351"/>
      <c r="S5842" s="351"/>
      <c r="T5842" s="351"/>
      <c r="U5842" s="329" t="str">
        <f>IF($N5842=$N$4,IFERROR(INDEX(DanhMuc!$E$154:$E$165,MATCH(MID($B5842,4,2),DanhMuc!$B$154:$B$165,0)),""),"")</f>
        <v/>
      </c>
      <c r="V5842" s="361"/>
      <c r="W5842" s="345"/>
      <c r="X5842" s="786"/>
      <c r="Y5842" s="1128" t="s">
        <v>3380</v>
      </c>
      <c r="Z5842" s="1128" t="s">
        <v>3381</v>
      </c>
      <c r="AA5842" s="1128" t="s">
        <v>3384</v>
      </c>
      <c r="AB5842" s="20"/>
      <c r="AC5842" s="73"/>
    </row>
    <row r="5843" spans="1:29">
      <c r="A5843" s="327" t="str">
        <f>IF(AND($B5843&lt;&gt;"",$C5843&lt;&gt;""),MAX($A$4730:$A5842)+1,"")</f>
        <v/>
      </c>
      <c r="B5843" s="361" t="s">
        <v>826</v>
      </c>
      <c r="C5843" s="362"/>
      <c r="D5843" s="327">
        <f>IF($B5843="","",COUNTIF($B$4731:$B5843,$B5843))</f>
        <v>7</v>
      </c>
      <c r="E5843" s="361" t="s">
        <v>1828</v>
      </c>
      <c r="F5843" s="362" t="s">
        <v>671</v>
      </c>
      <c r="G5843" s="327" t="s">
        <v>661</v>
      </c>
      <c r="H5843" s="361" t="s">
        <v>536</v>
      </c>
      <c r="I5843" s="361" t="s">
        <v>2355</v>
      </c>
      <c r="J5843" s="361"/>
      <c r="K5843" s="327" t="s">
        <v>100</v>
      </c>
      <c r="L5843" s="478">
        <f>40000/1000</f>
        <v>40</v>
      </c>
      <c r="M5843" s="355"/>
      <c r="N5843" s="355" t="s">
        <v>2409</v>
      </c>
      <c r="O5843" s="345"/>
      <c r="P5843" s="325"/>
      <c r="Q5843" s="327"/>
      <c r="R5843" s="351"/>
      <c r="S5843" s="351"/>
      <c r="T5843" s="351"/>
      <c r="U5843" s="329" t="str">
        <f>IF($N5843=$N$4,IFERROR(INDEX(DanhMuc!$E$154:$E$165,MATCH(MID($B5843,4,2),DanhMuc!$B$154:$B$165,0)),""),"")</f>
        <v/>
      </c>
      <c r="V5843" s="361"/>
      <c r="W5843" s="345"/>
      <c r="X5843" s="786"/>
      <c r="Y5843" s="1128" t="s">
        <v>3380</v>
      </c>
      <c r="Z5843" s="1128" t="s">
        <v>3381</v>
      </c>
      <c r="AA5843" s="1128" t="s">
        <v>3384</v>
      </c>
      <c r="AB5843" s="20"/>
      <c r="AC5843" s="73"/>
    </row>
    <row r="5844" spans="1:29">
      <c r="A5844" s="327" t="str">
        <f>IF(AND($B5844&lt;&gt;"",$C5844&lt;&gt;""),MAX($A$4730:$A5843)+1,"")</f>
        <v/>
      </c>
      <c r="B5844" s="361" t="s">
        <v>826</v>
      </c>
      <c r="C5844" s="362"/>
      <c r="D5844" s="327">
        <f>IF($B5844="","",COUNTIF($B$4731:$B5844,$B5844))</f>
        <v>8</v>
      </c>
      <c r="E5844" s="361" t="s">
        <v>154</v>
      </c>
      <c r="F5844" s="362" t="s">
        <v>660</v>
      </c>
      <c r="G5844" s="327" t="s">
        <v>661</v>
      </c>
      <c r="H5844" s="361" t="s">
        <v>536</v>
      </c>
      <c r="I5844" s="361" t="s">
        <v>667</v>
      </c>
      <c r="J5844" s="361"/>
      <c r="K5844" s="327" t="s">
        <v>662</v>
      </c>
      <c r="L5844" s="478">
        <v>20</v>
      </c>
      <c r="M5844" s="355"/>
      <c r="N5844" s="355" t="s">
        <v>2409</v>
      </c>
      <c r="O5844" s="345"/>
      <c r="P5844" s="325"/>
      <c r="Q5844" s="327"/>
      <c r="R5844" s="351"/>
      <c r="S5844" s="351"/>
      <c r="T5844" s="351"/>
      <c r="U5844" s="329" t="str">
        <f>IF($N5844=$N$4,IFERROR(INDEX(DanhMuc!$E$154:$E$165,MATCH(MID($B5844,4,2),DanhMuc!$B$154:$B$165,0)),""),"")</f>
        <v/>
      </c>
      <c r="V5844" s="361"/>
      <c r="W5844" s="345"/>
      <c r="X5844" s="786"/>
      <c r="Y5844" s="1128" t="s">
        <v>3380</v>
      </c>
      <c r="Z5844" s="1128" t="s">
        <v>3381</v>
      </c>
      <c r="AA5844" s="1128" t="s">
        <v>3384</v>
      </c>
      <c r="AB5844" s="20"/>
      <c r="AC5844" s="73"/>
    </row>
    <row r="5845" spans="1:29">
      <c r="A5845" s="327" t="str">
        <f>IF(AND($B5845&lt;&gt;"",$C5845&lt;&gt;""),MAX($A$4730:$A5844)+1,"")</f>
        <v/>
      </c>
      <c r="B5845" s="361" t="s">
        <v>826</v>
      </c>
      <c r="C5845" s="362"/>
      <c r="D5845" s="327">
        <f>IF($B5845="","",COUNTIF($B$4731:$B5845,$B5845))</f>
        <v>9</v>
      </c>
      <c r="E5845" s="362" t="s">
        <v>2282</v>
      </c>
      <c r="F5845" s="362" t="s">
        <v>2283</v>
      </c>
      <c r="G5845" s="327" t="s">
        <v>424</v>
      </c>
      <c r="H5845" s="361" t="s">
        <v>536</v>
      </c>
      <c r="I5845" s="361" t="s">
        <v>2238</v>
      </c>
      <c r="J5845" s="361"/>
      <c r="K5845" s="327" t="s">
        <v>662</v>
      </c>
      <c r="L5845" s="478">
        <v>28000</v>
      </c>
      <c r="M5845" s="355"/>
      <c r="N5845" s="355" t="s">
        <v>2409</v>
      </c>
      <c r="O5845" s="345"/>
      <c r="P5845" s="325"/>
      <c r="Q5845" s="327"/>
      <c r="R5845" s="351"/>
      <c r="S5845" s="351"/>
      <c r="T5845" s="351"/>
      <c r="U5845" s="329" t="str">
        <f>IF($N5845=$N$4,IFERROR(INDEX(DanhMuc!$E$154:$E$165,MATCH(MID($B5845,4,2),DanhMuc!$B$154:$B$165,0)),""),"")</f>
        <v/>
      </c>
      <c r="V5845" s="361"/>
      <c r="W5845" s="345"/>
      <c r="X5845" s="786"/>
      <c r="Y5845" s="1128" t="s">
        <v>3380</v>
      </c>
      <c r="Z5845" s="1128" t="s">
        <v>3381</v>
      </c>
      <c r="AA5845" s="1128" t="s">
        <v>3384</v>
      </c>
      <c r="AB5845" s="20"/>
      <c r="AC5845" s="73"/>
    </row>
    <row r="5846" spans="1:29">
      <c r="A5846" s="327" t="str">
        <f>IF(AND($B5846&lt;&gt;"",$C5846&lt;&gt;""),MAX($A$4730:$A5845)+1,"")</f>
        <v/>
      </c>
      <c r="B5846" s="361" t="s">
        <v>826</v>
      </c>
      <c r="C5846" s="362"/>
      <c r="D5846" s="327">
        <f>IF($B5846="","",COUNTIF($B$4731:$B5846,$B5846))</f>
        <v>10</v>
      </c>
      <c r="E5846" s="362" t="s">
        <v>663</v>
      </c>
      <c r="F5846" s="362" t="s">
        <v>664</v>
      </c>
      <c r="G5846" s="327" t="s">
        <v>155</v>
      </c>
      <c r="H5846" s="361" t="s">
        <v>536</v>
      </c>
      <c r="I5846" s="361" t="s">
        <v>672</v>
      </c>
      <c r="J5846" s="361"/>
      <c r="K5846" s="327" t="s">
        <v>662</v>
      </c>
      <c r="L5846" s="478">
        <v>1000</v>
      </c>
      <c r="M5846" s="355"/>
      <c r="N5846" s="355" t="s">
        <v>2409</v>
      </c>
      <c r="O5846" s="345"/>
      <c r="P5846" s="325"/>
      <c r="Q5846" s="327"/>
      <c r="R5846" s="351"/>
      <c r="S5846" s="351"/>
      <c r="T5846" s="351"/>
      <c r="U5846" s="329" t="str">
        <f>IF($N5846=$N$4,IFERROR(INDEX(DanhMuc!$E$154:$E$165,MATCH(MID($B5846,4,2),DanhMuc!$B$154:$B$165,0)),""),"")</f>
        <v/>
      </c>
      <c r="V5846" s="361"/>
      <c r="W5846" s="345"/>
      <c r="X5846" s="786"/>
      <c r="Y5846" s="1128" t="s">
        <v>3380</v>
      </c>
      <c r="Z5846" s="1128" t="s">
        <v>3381</v>
      </c>
      <c r="AA5846" s="1128" t="s">
        <v>3384</v>
      </c>
      <c r="AB5846" s="20"/>
      <c r="AC5846" s="73"/>
    </row>
    <row r="5847" spans="1:29" ht="39">
      <c r="A5847" s="327">
        <f>IF(AND($B5847&lt;&gt;"",$C5847&lt;&gt;""),MAX($A$4730:$A5836)+1,"")</f>
        <v>44</v>
      </c>
      <c r="B5847" s="359" t="s">
        <v>1937</v>
      </c>
      <c r="C5847" s="370" t="s">
        <v>1938</v>
      </c>
      <c r="D5847" s="327">
        <f>IF($B5847="","",COUNTIF($B$4731:$B5847,$B5847))</f>
        <v>1</v>
      </c>
      <c r="E5847" s="361" t="s">
        <v>1826</v>
      </c>
      <c r="F5847" s="362" t="s">
        <v>670</v>
      </c>
      <c r="G5847" s="327" t="s">
        <v>661</v>
      </c>
      <c r="H5847" s="361" t="s">
        <v>536</v>
      </c>
      <c r="I5847" s="361" t="s">
        <v>2354</v>
      </c>
      <c r="J5847" s="361"/>
      <c r="K5847" s="327" t="s">
        <v>103</v>
      </c>
      <c r="L5847" s="478">
        <f>40000/1000</f>
        <v>40</v>
      </c>
      <c r="M5847" s="355"/>
      <c r="N5847" s="355" t="s">
        <v>2408</v>
      </c>
      <c r="O5847" s="345"/>
      <c r="P5847" s="325"/>
      <c r="Q5847" s="327"/>
      <c r="R5847" s="351"/>
      <c r="S5847" s="351"/>
      <c r="T5847" s="351"/>
      <c r="U5847" s="329" t="str">
        <f>IF($N5847=$N$4,IFERROR(INDEX(DanhMuc!$E$154:$E$165,MATCH(MID($B5847,4,2),DanhMuc!$B$154:$B$165,0)),""),"")</f>
        <v/>
      </c>
      <c r="V5847" s="361"/>
      <c r="W5847" s="345"/>
      <c r="X5847" s="786"/>
      <c r="Y5847" s="1128" t="s">
        <v>3380</v>
      </c>
      <c r="Z5847" s="1128" t="s">
        <v>3381</v>
      </c>
      <c r="AA5847" s="1128" t="s">
        <v>3384</v>
      </c>
      <c r="AB5847" s="20"/>
      <c r="AC5847" s="73"/>
    </row>
    <row r="5848" spans="1:29" ht="25">
      <c r="A5848" s="327" t="str">
        <f>IF(AND($B5848&lt;&gt;"",$C5848&lt;&gt;""),MAX($A$4730:$A5847)+1,"")</f>
        <v/>
      </c>
      <c r="B5848" s="361" t="s">
        <v>1937</v>
      </c>
      <c r="C5848" s="362"/>
      <c r="D5848" s="327">
        <f>IF($B5848="","",COUNTIF($B$4731:$B5848,$B5848))</f>
        <v>2</v>
      </c>
      <c r="E5848" s="362" t="s">
        <v>1966</v>
      </c>
      <c r="F5848" s="362" t="s">
        <v>1967</v>
      </c>
      <c r="G5848" s="327" t="s">
        <v>405</v>
      </c>
      <c r="H5848" s="361" t="s">
        <v>536</v>
      </c>
      <c r="I5848" s="361" t="s">
        <v>1309</v>
      </c>
      <c r="J5848" s="361"/>
      <c r="K5848" s="327" t="s">
        <v>223</v>
      </c>
      <c r="L5848" s="389">
        <v>750</v>
      </c>
      <c r="M5848" s="371"/>
      <c r="N5848" s="355" t="s">
        <v>2408</v>
      </c>
      <c r="O5848" s="345"/>
      <c r="P5848" s="325"/>
      <c r="Q5848" s="327"/>
      <c r="R5848" s="351"/>
      <c r="S5848" s="351"/>
      <c r="T5848" s="351"/>
      <c r="U5848" s="329" t="str">
        <f>IF($N5848=$N$4,IFERROR(INDEX(DanhMuc!$E$154:$E$165,MATCH(MID($B5848,4,2),DanhMuc!$B$154:$B$165,0)),""),"")</f>
        <v/>
      </c>
      <c r="V5848" s="361"/>
      <c r="W5848" s="345"/>
      <c r="X5848" s="786"/>
      <c r="Y5848" s="1128" t="s">
        <v>3380</v>
      </c>
      <c r="Z5848" s="1128" t="s">
        <v>3381</v>
      </c>
      <c r="AA5848" s="1128" t="s">
        <v>3384</v>
      </c>
      <c r="AB5848" s="20"/>
      <c r="AC5848" s="73"/>
    </row>
    <row r="5849" spans="1:29" ht="37.5">
      <c r="A5849" s="327" t="str">
        <f>IF(AND($B5849&lt;&gt;"",$C5849&lt;&gt;""),MAX($A$4730:$A5848)+1,"")</f>
        <v/>
      </c>
      <c r="B5849" s="361" t="s">
        <v>1937</v>
      </c>
      <c r="C5849" s="362"/>
      <c r="D5849" s="327">
        <f>IF($B5849="","",COUNTIF($B$4731:$B5849,$B5849))</f>
        <v>3</v>
      </c>
      <c r="E5849" s="362" t="s">
        <v>1964</v>
      </c>
      <c r="F5849" s="362" t="s">
        <v>1965</v>
      </c>
      <c r="G5849" s="410" t="s">
        <v>405</v>
      </c>
      <c r="H5849" s="402" t="s">
        <v>536</v>
      </c>
      <c r="I5849" s="402" t="s">
        <v>1210</v>
      </c>
      <c r="J5849" s="402"/>
      <c r="K5849" s="410" t="s">
        <v>223</v>
      </c>
      <c r="L5849" s="478">
        <v>140</v>
      </c>
      <c r="M5849" s="371"/>
      <c r="N5849" s="355" t="s">
        <v>2408</v>
      </c>
      <c r="O5849" s="345"/>
      <c r="P5849" s="325"/>
      <c r="Q5849" s="327"/>
      <c r="R5849" s="351"/>
      <c r="S5849" s="351"/>
      <c r="T5849" s="351"/>
      <c r="U5849" s="329" t="str">
        <f>IF($N5849=$N$4,IFERROR(INDEX(DanhMuc!$E$154:$E$165,MATCH(MID($B5849,4,2),DanhMuc!$B$154:$B$165,0)),""),"")</f>
        <v/>
      </c>
      <c r="V5849" s="361"/>
      <c r="W5849" s="345"/>
      <c r="X5849" s="786"/>
      <c r="Y5849" s="1128" t="s">
        <v>3380</v>
      </c>
      <c r="Z5849" s="1128" t="s">
        <v>3381</v>
      </c>
      <c r="AA5849" s="1128" t="s">
        <v>3384</v>
      </c>
      <c r="AB5849" s="20"/>
      <c r="AC5849" s="73"/>
    </row>
    <row r="5850" spans="1:29">
      <c r="A5850" s="327" t="str">
        <f>IF(AND($B5850&lt;&gt;"",$C5850&lt;&gt;""),MAX($A$4730:$A5849)+1,"")</f>
        <v/>
      </c>
      <c r="B5850" s="361" t="s">
        <v>1937</v>
      </c>
      <c r="C5850" s="362"/>
      <c r="D5850" s="327">
        <f>IF($B5850="","",COUNTIF($B$4731:$B5850,$B5850))</f>
        <v>4</v>
      </c>
      <c r="E5850" s="361" t="s">
        <v>656</v>
      </c>
      <c r="F5850" s="362" t="s">
        <v>2239</v>
      </c>
      <c r="G5850" s="327" t="s">
        <v>405</v>
      </c>
      <c r="H5850" s="361" t="s">
        <v>536</v>
      </c>
      <c r="I5850" s="361" t="s">
        <v>1827</v>
      </c>
      <c r="J5850" s="361"/>
      <c r="K5850" s="327" t="s">
        <v>100</v>
      </c>
      <c r="L5850" s="478">
        <v>970</v>
      </c>
      <c r="M5850" s="371"/>
      <c r="N5850" s="355" t="s">
        <v>2409</v>
      </c>
      <c r="O5850" s="345"/>
      <c r="P5850" s="325"/>
      <c r="Q5850" s="327"/>
      <c r="R5850" s="351"/>
      <c r="S5850" s="351"/>
      <c r="T5850" s="351"/>
      <c r="U5850" s="329" t="str">
        <f>IF($N5850=$N$4,IFERROR(INDEX(DanhMuc!$E$154:$E$165,MATCH(MID($B5850,4,2),DanhMuc!$B$154:$B$165,0)),""),"")</f>
        <v/>
      </c>
      <c r="V5850" s="361"/>
      <c r="W5850" s="345"/>
      <c r="X5850" s="786"/>
      <c r="Y5850" s="1128" t="s">
        <v>3380</v>
      </c>
      <c r="Z5850" s="1128" t="s">
        <v>3381</v>
      </c>
      <c r="AA5850" s="1128" t="s">
        <v>3384</v>
      </c>
      <c r="AB5850" s="20"/>
      <c r="AC5850" s="73"/>
    </row>
    <row r="5851" spans="1:29">
      <c r="A5851" s="327" t="str">
        <f>IF(AND($B5851&lt;&gt;"",$C5851&lt;&gt;""),MAX($A$4730:$A5850)+1,"")</f>
        <v/>
      </c>
      <c r="B5851" s="361" t="s">
        <v>1937</v>
      </c>
      <c r="C5851" s="362"/>
      <c r="D5851" s="327">
        <f>IF($B5851="","",COUNTIF($B$4731:$B5851,$B5851))</f>
        <v>5</v>
      </c>
      <c r="E5851" s="361" t="s">
        <v>657</v>
      </c>
      <c r="F5851" s="362" t="s">
        <v>658</v>
      </c>
      <c r="G5851" s="327" t="s">
        <v>424</v>
      </c>
      <c r="H5851" s="361" t="s">
        <v>536</v>
      </c>
      <c r="I5851" s="361" t="s">
        <v>665</v>
      </c>
      <c r="J5851" s="361"/>
      <c r="K5851" s="327" t="s">
        <v>100</v>
      </c>
      <c r="L5851" s="478">
        <v>60000</v>
      </c>
      <c r="M5851" s="355"/>
      <c r="N5851" s="355" t="s">
        <v>2409</v>
      </c>
      <c r="O5851" s="345"/>
      <c r="P5851" s="325"/>
      <c r="Q5851" s="327"/>
      <c r="R5851" s="351"/>
      <c r="S5851" s="351"/>
      <c r="T5851" s="351"/>
      <c r="U5851" s="329" t="str">
        <f>IF($N5851=$N$4,IFERROR(INDEX(DanhMuc!$E$154:$E$165,MATCH(MID($B5851,4,2),DanhMuc!$B$154:$B$165,0)),""),"")</f>
        <v/>
      </c>
      <c r="V5851" s="361"/>
      <c r="W5851" s="345"/>
      <c r="X5851" s="786"/>
      <c r="Y5851" s="1128" t="s">
        <v>3380</v>
      </c>
      <c r="Z5851" s="1128" t="s">
        <v>3381</v>
      </c>
      <c r="AA5851" s="1128" t="s">
        <v>3384</v>
      </c>
      <c r="AB5851" s="20"/>
      <c r="AC5851" s="73"/>
    </row>
    <row r="5852" spans="1:29">
      <c r="A5852" s="327" t="str">
        <f>IF(AND($B5852&lt;&gt;"",$C5852&lt;&gt;""),MAX($A$4730:$A5851)+1,"")</f>
        <v/>
      </c>
      <c r="B5852" s="361" t="s">
        <v>1937</v>
      </c>
      <c r="C5852" s="362"/>
      <c r="D5852" s="327">
        <f>IF($B5852="","",COUNTIF($B$4731:$B5852,$B5852))</f>
        <v>6</v>
      </c>
      <c r="E5852" s="361" t="s">
        <v>2771</v>
      </c>
      <c r="F5852" s="362" t="s">
        <v>659</v>
      </c>
      <c r="G5852" s="327" t="s">
        <v>424</v>
      </c>
      <c r="H5852" s="361" t="s">
        <v>536</v>
      </c>
      <c r="I5852" s="361" t="s">
        <v>666</v>
      </c>
      <c r="J5852" s="361"/>
      <c r="K5852" s="327" t="s">
        <v>100</v>
      </c>
      <c r="L5852" s="389">
        <v>53000</v>
      </c>
      <c r="M5852" s="355"/>
      <c r="N5852" s="355" t="s">
        <v>2409</v>
      </c>
      <c r="O5852" s="345"/>
      <c r="P5852" s="325"/>
      <c r="Q5852" s="327"/>
      <c r="R5852" s="351"/>
      <c r="S5852" s="351"/>
      <c r="T5852" s="351"/>
      <c r="U5852" s="329" t="str">
        <f>IF($N5852=$N$4,IFERROR(INDEX(DanhMuc!$E$154:$E$165,MATCH(MID($B5852,4,2),DanhMuc!$B$154:$B$165,0)),""),"")</f>
        <v/>
      </c>
      <c r="V5852" s="361"/>
      <c r="W5852" s="345"/>
      <c r="X5852" s="786"/>
      <c r="Y5852" s="1128" t="s">
        <v>3380</v>
      </c>
      <c r="Z5852" s="1128" t="s">
        <v>3381</v>
      </c>
      <c r="AA5852" s="1128" t="s">
        <v>3384</v>
      </c>
      <c r="AB5852" s="20"/>
      <c r="AC5852" s="73"/>
    </row>
    <row r="5853" spans="1:29">
      <c r="A5853" s="327" t="str">
        <f>IF(AND($B5853&lt;&gt;"",$C5853&lt;&gt;""),MAX($A$4730:$A5852)+1,"")</f>
        <v/>
      </c>
      <c r="B5853" s="361" t="s">
        <v>1937</v>
      </c>
      <c r="C5853" s="362"/>
      <c r="D5853" s="327">
        <f>IF($B5853="","",COUNTIF($B$4731:$B5853,$B5853))</f>
        <v>7</v>
      </c>
      <c r="E5853" s="361" t="s">
        <v>1828</v>
      </c>
      <c r="F5853" s="362" t="s">
        <v>671</v>
      </c>
      <c r="G5853" s="327" t="s">
        <v>661</v>
      </c>
      <c r="H5853" s="361" t="s">
        <v>536</v>
      </c>
      <c r="I5853" s="361" t="s">
        <v>2355</v>
      </c>
      <c r="J5853" s="361"/>
      <c r="K5853" s="327" t="s">
        <v>100</v>
      </c>
      <c r="L5853" s="478">
        <f>40000/1000</f>
        <v>40</v>
      </c>
      <c r="M5853" s="355"/>
      <c r="N5853" s="355" t="s">
        <v>2409</v>
      </c>
      <c r="O5853" s="345"/>
      <c r="P5853" s="325"/>
      <c r="Q5853" s="327"/>
      <c r="R5853" s="351"/>
      <c r="S5853" s="351"/>
      <c r="T5853" s="351"/>
      <c r="U5853" s="329" t="str">
        <f>IF($N5853=$N$4,IFERROR(INDEX(DanhMuc!$E$154:$E$165,MATCH(MID($B5853,4,2),DanhMuc!$B$154:$B$165,0)),""),"")</f>
        <v/>
      </c>
      <c r="V5853" s="361"/>
      <c r="W5853" s="345"/>
      <c r="X5853" s="786"/>
      <c r="Y5853" s="1128" t="s">
        <v>3380</v>
      </c>
      <c r="Z5853" s="1128" t="s">
        <v>3381</v>
      </c>
      <c r="AA5853" s="1128" t="s">
        <v>3384</v>
      </c>
      <c r="AB5853" s="20"/>
      <c r="AC5853" s="73"/>
    </row>
    <row r="5854" spans="1:29">
      <c r="A5854" s="327" t="str">
        <f>IF(AND($B5854&lt;&gt;"",$C5854&lt;&gt;""),MAX($A$4730:$A5853)+1,"")</f>
        <v/>
      </c>
      <c r="B5854" s="361" t="s">
        <v>1937</v>
      </c>
      <c r="C5854" s="362"/>
      <c r="D5854" s="327">
        <f>IF($B5854="","",COUNTIF($B$4731:$B5854,$B5854))</f>
        <v>8</v>
      </c>
      <c r="E5854" s="361" t="s">
        <v>154</v>
      </c>
      <c r="F5854" s="362" t="s">
        <v>660</v>
      </c>
      <c r="G5854" s="327" t="s">
        <v>661</v>
      </c>
      <c r="H5854" s="361" t="s">
        <v>536</v>
      </c>
      <c r="I5854" s="361" t="s">
        <v>667</v>
      </c>
      <c r="J5854" s="361"/>
      <c r="K5854" s="327" t="s">
        <v>662</v>
      </c>
      <c r="L5854" s="478">
        <v>20</v>
      </c>
      <c r="M5854" s="355"/>
      <c r="N5854" s="355" t="s">
        <v>2409</v>
      </c>
      <c r="O5854" s="345"/>
      <c r="P5854" s="325"/>
      <c r="Q5854" s="327"/>
      <c r="R5854" s="351"/>
      <c r="S5854" s="351"/>
      <c r="T5854" s="351"/>
      <c r="U5854" s="329" t="str">
        <f>IF($N5854=$N$4,IFERROR(INDEX(DanhMuc!$E$154:$E$165,MATCH(MID($B5854,4,2),DanhMuc!$B$154:$B$165,0)),""),"")</f>
        <v/>
      </c>
      <c r="V5854" s="361"/>
      <c r="W5854" s="345"/>
      <c r="X5854" s="786"/>
      <c r="Y5854" s="1128" t="s">
        <v>3380</v>
      </c>
      <c r="Z5854" s="1128" t="s">
        <v>3381</v>
      </c>
      <c r="AA5854" s="1128" t="s">
        <v>3384</v>
      </c>
      <c r="AB5854" s="20"/>
      <c r="AC5854" s="73"/>
    </row>
    <row r="5855" spans="1:29">
      <c r="A5855" s="327" t="str">
        <f>IF(AND($B5855&lt;&gt;"",$C5855&lt;&gt;""),MAX($A$4730:$A5854)+1,"")</f>
        <v/>
      </c>
      <c r="B5855" s="361" t="s">
        <v>1937</v>
      </c>
      <c r="C5855" s="362"/>
      <c r="D5855" s="327">
        <f>IF($B5855="","",COUNTIF($B$4731:$B5855,$B5855))</f>
        <v>9</v>
      </c>
      <c r="E5855" s="362" t="s">
        <v>2282</v>
      </c>
      <c r="F5855" s="362" t="s">
        <v>2283</v>
      </c>
      <c r="G5855" s="327" t="s">
        <v>424</v>
      </c>
      <c r="H5855" s="361" t="s">
        <v>536</v>
      </c>
      <c r="I5855" s="361" t="s">
        <v>2238</v>
      </c>
      <c r="J5855" s="361"/>
      <c r="K5855" s="327" t="s">
        <v>662</v>
      </c>
      <c r="L5855" s="478">
        <v>28000</v>
      </c>
      <c r="M5855" s="355"/>
      <c r="N5855" s="355" t="s">
        <v>2409</v>
      </c>
      <c r="O5855" s="345"/>
      <c r="P5855" s="325"/>
      <c r="Q5855" s="327"/>
      <c r="R5855" s="351"/>
      <c r="S5855" s="351"/>
      <c r="T5855" s="351"/>
      <c r="U5855" s="329" t="str">
        <f>IF($N5855=$N$4,IFERROR(INDEX(DanhMuc!$E$154:$E$165,MATCH(MID($B5855,4,2),DanhMuc!$B$154:$B$165,0)),""),"")</f>
        <v/>
      </c>
      <c r="V5855" s="361"/>
      <c r="W5855" s="345"/>
      <c r="X5855" s="786"/>
      <c r="Y5855" s="1128" t="s">
        <v>3380</v>
      </c>
      <c r="Z5855" s="1128" t="s">
        <v>3381</v>
      </c>
      <c r="AA5855" s="1128" t="s">
        <v>3384</v>
      </c>
      <c r="AB5855" s="20"/>
      <c r="AC5855" s="73"/>
    </row>
    <row r="5856" spans="1:29">
      <c r="A5856" s="327" t="str">
        <f>IF(AND($B5856&lt;&gt;"",$C5856&lt;&gt;""),MAX($A$4730:$A5855)+1,"")</f>
        <v/>
      </c>
      <c r="B5856" s="361" t="s">
        <v>1937</v>
      </c>
      <c r="C5856" s="362"/>
      <c r="D5856" s="327">
        <f>IF($B5856="","",COUNTIF($B$4731:$B5856,$B5856))</f>
        <v>10</v>
      </c>
      <c r="E5856" s="362" t="s">
        <v>663</v>
      </c>
      <c r="F5856" s="362" t="s">
        <v>664</v>
      </c>
      <c r="G5856" s="327" t="s">
        <v>155</v>
      </c>
      <c r="H5856" s="361" t="s">
        <v>536</v>
      </c>
      <c r="I5856" s="361" t="s">
        <v>672</v>
      </c>
      <c r="J5856" s="361"/>
      <c r="K5856" s="327" t="s">
        <v>662</v>
      </c>
      <c r="L5856" s="478">
        <v>1000</v>
      </c>
      <c r="M5856" s="355"/>
      <c r="N5856" s="355" t="s">
        <v>2409</v>
      </c>
      <c r="O5856" s="345"/>
      <c r="P5856" s="325"/>
      <c r="Q5856" s="327"/>
      <c r="R5856" s="351"/>
      <c r="S5856" s="351"/>
      <c r="T5856" s="351"/>
      <c r="U5856" s="329" t="str">
        <f>IF($N5856=$N$4,IFERROR(INDEX(DanhMuc!$E$154:$E$165,MATCH(MID($B5856,4,2),DanhMuc!$B$154:$B$165,0)),""),"")</f>
        <v/>
      </c>
      <c r="V5856" s="361"/>
      <c r="W5856" s="345"/>
      <c r="X5856" s="786"/>
      <c r="Y5856" s="1128" t="s">
        <v>3380</v>
      </c>
      <c r="Z5856" s="1128" t="s">
        <v>3381</v>
      </c>
      <c r="AA5856" s="1128" t="s">
        <v>3384</v>
      </c>
      <c r="AB5856" s="20"/>
      <c r="AC5856" s="73"/>
    </row>
    <row r="5857" spans="1:29" ht="39">
      <c r="A5857" s="327">
        <f>IF(AND($B5857&lt;&gt;"",$C5857&lt;&gt;""),MAX($A$4730:$A5846)+1,"")</f>
        <v>44</v>
      </c>
      <c r="B5857" s="359" t="s">
        <v>1951</v>
      </c>
      <c r="C5857" s="370" t="s">
        <v>1950</v>
      </c>
      <c r="D5857" s="327">
        <f>IF($B5857="","",COUNTIF($B$4731:$B5857,$B5857))</f>
        <v>1</v>
      </c>
      <c r="E5857" s="361" t="s">
        <v>1826</v>
      </c>
      <c r="F5857" s="362" t="s">
        <v>670</v>
      </c>
      <c r="G5857" s="327" t="s">
        <v>661</v>
      </c>
      <c r="H5857" s="361" t="s">
        <v>536</v>
      </c>
      <c r="I5857" s="361" t="s">
        <v>2354</v>
      </c>
      <c r="J5857" s="361"/>
      <c r="K5857" s="327" t="s">
        <v>103</v>
      </c>
      <c r="L5857" s="478">
        <f>40000/1000</f>
        <v>40</v>
      </c>
      <c r="M5857" s="355"/>
      <c r="N5857" s="355" t="s">
        <v>2408</v>
      </c>
      <c r="O5857" s="345"/>
      <c r="P5857" s="325"/>
      <c r="Q5857" s="327"/>
      <c r="R5857" s="351"/>
      <c r="S5857" s="351"/>
      <c r="T5857" s="351"/>
      <c r="U5857" s="329" t="str">
        <f>IF($N5857=$N$4,IFERROR(INDEX(DanhMuc!$E$154:$E$165,MATCH(MID($B5857,4,2),DanhMuc!$B$154:$B$165,0)),""),"")</f>
        <v/>
      </c>
      <c r="V5857" s="361"/>
      <c r="W5857" s="345"/>
      <c r="X5857" s="786"/>
      <c r="Y5857" s="1128" t="s">
        <v>3380</v>
      </c>
      <c r="Z5857" s="1128" t="s">
        <v>3381</v>
      </c>
      <c r="AA5857" s="1128" t="s">
        <v>3384</v>
      </c>
      <c r="AB5857" s="20"/>
      <c r="AC5857" s="73"/>
    </row>
    <row r="5858" spans="1:29" ht="25">
      <c r="A5858" s="327" t="str">
        <f>IF(AND($B5858&lt;&gt;"",$C5858&lt;&gt;""),MAX($A$4730:$A5857)+1,"")</f>
        <v/>
      </c>
      <c r="B5858" s="361" t="s">
        <v>1951</v>
      </c>
      <c r="C5858" s="362"/>
      <c r="D5858" s="327">
        <f>IF($B5858="","",COUNTIF($B$4731:$B5858,$B5858))</f>
        <v>2</v>
      </c>
      <c r="E5858" s="362" t="s">
        <v>1966</v>
      </c>
      <c r="F5858" s="362" t="s">
        <v>1967</v>
      </c>
      <c r="G5858" s="327" t="s">
        <v>405</v>
      </c>
      <c r="H5858" s="361" t="s">
        <v>536</v>
      </c>
      <c r="I5858" s="361" t="s">
        <v>1309</v>
      </c>
      <c r="J5858" s="361"/>
      <c r="K5858" s="327" t="s">
        <v>223</v>
      </c>
      <c r="L5858" s="389">
        <v>750</v>
      </c>
      <c r="M5858" s="371"/>
      <c r="N5858" s="355" t="s">
        <v>2408</v>
      </c>
      <c r="O5858" s="345"/>
      <c r="P5858" s="325"/>
      <c r="Q5858" s="327"/>
      <c r="R5858" s="351"/>
      <c r="S5858" s="351"/>
      <c r="T5858" s="351"/>
      <c r="U5858" s="329" t="str">
        <f>IF($N5858=$N$4,IFERROR(INDEX(DanhMuc!$E$154:$E$165,MATCH(MID($B5858,4,2),DanhMuc!$B$154:$B$165,0)),""),"")</f>
        <v/>
      </c>
      <c r="V5858" s="361"/>
      <c r="W5858" s="345"/>
      <c r="X5858" s="786"/>
      <c r="Y5858" s="1128" t="s">
        <v>3380</v>
      </c>
      <c r="Z5858" s="1128" t="s">
        <v>3381</v>
      </c>
      <c r="AA5858" s="1128" t="s">
        <v>3384</v>
      </c>
      <c r="AB5858" s="20"/>
      <c r="AC5858" s="73"/>
    </row>
    <row r="5859" spans="1:29" ht="37.5">
      <c r="A5859" s="327" t="str">
        <f>IF(AND($B5859&lt;&gt;"",$C5859&lt;&gt;""),MAX($A$4730:$A5858)+1,"")</f>
        <v/>
      </c>
      <c r="B5859" s="361" t="s">
        <v>1951</v>
      </c>
      <c r="C5859" s="362"/>
      <c r="D5859" s="327">
        <f>IF($B5859="","",COUNTIF($B$4731:$B5859,$B5859))</f>
        <v>3</v>
      </c>
      <c r="E5859" s="362" t="s">
        <v>1964</v>
      </c>
      <c r="F5859" s="362" t="s">
        <v>1965</v>
      </c>
      <c r="G5859" s="410" t="s">
        <v>405</v>
      </c>
      <c r="H5859" s="402" t="s">
        <v>536</v>
      </c>
      <c r="I5859" s="402" t="s">
        <v>1210</v>
      </c>
      <c r="J5859" s="402"/>
      <c r="K5859" s="410" t="s">
        <v>223</v>
      </c>
      <c r="L5859" s="478">
        <v>140</v>
      </c>
      <c r="M5859" s="371"/>
      <c r="N5859" s="355" t="s">
        <v>2408</v>
      </c>
      <c r="O5859" s="345"/>
      <c r="P5859" s="325"/>
      <c r="Q5859" s="327"/>
      <c r="R5859" s="351"/>
      <c r="S5859" s="351"/>
      <c r="T5859" s="351"/>
      <c r="U5859" s="329" t="str">
        <f>IF($N5859=$N$4,IFERROR(INDEX(DanhMuc!$E$154:$E$165,MATCH(MID($B5859,4,2),DanhMuc!$B$154:$B$165,0)),""),"")</f>
        <v/>
      </c>
      <c r="V5859" s="361"/>
      <c r="W5859" s="345"/>
      <c r="X5859" s="786"/>
      <c r="Y5859" s="1128" t="s">
        <v>3380</v>
      </c>
      <c r="Z5859" s="1128" t="s">
        <v>3381</v>
      </c>
      <c r="AA5859" s="1128" t="s">
        <v>3384</v>
      </c>
      <c r="AB5859" s="20"/>
      <c r="AC5859" s="73"/>
    </row>
    <row r="5860" spans="1:29">
      <c r="A5860" s="327" t="str">
        <f>IF(AND($B5860&lt;&gt;"",$C5860&lt;&gt;""),MAX($A$4730:$A5859)+1,"")</f>
        <v/>
      </c>
      <c r="B5860" s="361" t="s">
        <v>1951</v>
      </c>
      <c r="C5860" s="362"/>
      <c r="D5860" s="327">
        <f>IF($B5860="","",COUNTIF($B$4731:$B5860,$B5860))</f>
        <v>4</v>
      </c>
      <c r="E5860" s="361" t="s">
        <v>656</v>
      </c>
      <c r="F5860" s="362" t="s">
        <v>2239</v>
      </c>
      <c r="G5860" s="327" t="s">
        <v>405</v>
      </c>
      <c r="H5860" s="361" t="s">
        <v>536</v>
      </c>
      <c r="I5860" s="361" t="s">
        <v>1827</v>
      </c>
      <c r="J5860" s="361"/>
      <c r="K5860" s="327" t="s">
        <v>100</v>
      </c>
      <c r="L5860" s="478">
        <v>970</v>
      </c>
      <c r="M5860" s="371"/>
      <c r="N5860" s="355" t="s">
        <v>2409</v>
      </c>
      <c r="O5860" s="345"/>
      <c r="P5860" s="325"/>
      <c r="Q5860" s="327"/>
      <c r="R5860" s="351"/>
      <c r="S5860" s="351"/>
      <c r="T5860" s="351"/>
      <c r="U5860" s="329" t="str">
        <f>IF($N5860=$N$4,IFERROR(INDEX(DanhMuc!$E$154:$E$165,MATCH(MID($B5860,4,2),DanhMuc!$B$154:$B$165,0)),""),"")</f>
        <v/>
      </c>
      <c r="V5860" s="361"/>
      <c r="W5860" s="345"/>
      <c r="X5860" s="786"/>
      <c r="Y5860" s="1128" t="s">
        <v>3380</v>
      </c>
      <c r="Z5860" s="1128" t="s">
        <v>3381</v>
      </c>
      <c r="AA5860" s="1128" t="s">
        <v>3384</v>
      </c>
      <c r="AB5860" s="20"/>
      <c r="AC5860" s="73"/>
    </row>
    <row r="5861" spans="1:29">
      <c r="A5861" s="327" t="str">
        <f>IF(AND($B5861&lt;&gt;"",$C5861&lt;&gt;""),MAX($A$4730:$A5860)+1,"")</f>
        <v/>
      </c>
      <c r="B5861" s="361" t="s">
        <v>1951</v>
      </c>
      <c r="C5861" s="362"/>
      <c r="D5861" s="327">
        <f>IF($B5861="","",COUNTIF($B$4731:$B5861,$B5861))</f>
        <v>5</v>
      </c>
      <c r="E5861" s="361" t="s">
        <v>657</v>
      </c>
      <c r="F5861" s="362" t="s">
        <v>658</v>
      </c>
      <c r="G5861" s="327" t="s">
        <v>424</v>
      </c>
      <c r="H5861" s="361" t="s">
        <v>536</v>
      </c>
      <c r="I5861" s="361" t="s">
        <v>665</v>
      </c>
      <c r="J5861" s="361"/>
      <c r="K5861" s="327" t="s">
        <v>100</v>
      </c>
      <c r="L5861" s="478">
        <v>60000</v>
      </c>
      <c r="M5861" s="355"/>
      <c r="N5861" s="355" t="s">
        <v>2409</v>
      </c>
      <c r="O5861" s="345"/>
      <c r="P5861" s="325"/>
      <c r="Q5861" s="327"/>
      <c r="R5861" s="351"/>
      <c r="S5861" s="351"/>
      <c r="T5861" s="351"/>
      <c r="U5861" s="329" t="str">
        <f>IF($N5861=$N$4,IFERROR(INDEX(DanhMuc!$E$154:$E$165,MATCH(MID($B5861,4,2),DanhMuc!$B$154:$B$165,0)),""),"")</f>
        <v/>
      </c>
      <c r="V5861" s="361"/>
      <c r="W5861" s="345"/>
      <c r="X5861" s="786"/>
      <c r="Y5861" s="1128" t="s">
        <v>3380</v>
      </c>
      <c r="Z5861" s="1128" t="s">
        <v>3381</v>
      </c>
      <c r="AA5861" s="1128" t="s">
        <v>3384</v>
      </c>
      <c r="AB5861" s="20"/>
      <c r="AC5861" s="73"/>
    </row>
    <row r="5862" spans="1:29">
      <c r="A5862" s="327" t="str">
        <f>IF(AND($B5862&lt;&gt;"",$C5862&lt;&gt;""),MAX($A$4730:$A5861)+1,"")</f>
        <v/>
      </c>
      <c r="B5862" s="361" t="s">
        <v>1951</v>
      </c>
      <c r="C5862" s="362"/>
      <c r="D5862" s="327">
        <f>IF($B5862="","",COUNTIF($B$4731:$B5862,$B5862))</f>
        <v>6</v>
      </c>
      <c r="E5862" s="361" t="s">
        <v>2771</v>
      </c>
      <c r="F5862" s="362" t="s">
        <v>659</v>
      </c>
      <c r="G5862" s="327" t="s">
        <v>424</v>
      </c>
      <c r="H5862" s="361" t="s">
        <v>536</v>
      </c>
      <c r="I5862" s="361" t="s">
        <v>666</v>
      </c>
      <c r="J5862" s="361"/>
      <c r="K5862" s="327" t="s">
        <v>100</v>
      </c>
      <c r="L5862" s="389">
        <v>53000</v>
      </c>
      <c r="M5862" s="355"/>
      <c r="N5862" s="355" t="s">
        <v>2409</v>
      </c>
      <c r="O5862" s="345"/>
      <c r="P5862" s="325"/>
      <c r="Q5862" s="327"/>
      <c r="R5862" s="351"/>
      <c r="S5862" s="351"/>
      <c r="T5862" s="351"/>
      <c r="U5862" s="329" t="str">
        <f>IF($N5862=$N$4,IFERROR(INDEX(DanhMuc!$E$154:$E$165,MATCH(MID($B5862,4,2),DanhMuc!$B$154:$B$165,0)),""),"")</f>
        <v/>
      </c>
      <c r="V5862" s="361"/>
      <c r="W5862" s="345"/>
      <c r="X5862" s="786"/>
      <c r="Y5862" s="1128" t="s">
        <v>3380</v>
      </c>
      <c r="Z5862" s="1128" t="s">
        <v>3381</v>
      </c>
      <c r="AA5862" s="1128" t="s">
        <v>3384</v>
      </c>
      <c r="AB5862" s="20"/>
      <c r="AC5862" s="73"/>
    </row>
    <row r="5863" spans="1:29">
      <c r="A5863" s="327" t="str">
        <f>IF(AND($B5863&lt;&gt;"",$C5863&lt;&gt;""),MAX($A$4730:$A5862)+1,"")</f>
        <v/>
      </c>
      <c r="B5863" s="361" t="s">
        <v>1951</v>
      </c>
      <c r="C5863" s="362"/>
      <c r="D5863" s="327">
        <f>IF($B5863="","",COUNTIF($B$4731:$B5863,$B5863))</f>
        <v>7</v>
      </c>
      <c r="E5863" s="361" t="s">
        <v>1828</v>
      </c>
      <c r="F5863" s="362" t="s">
        <v>671</v>
      </c>
      <c r="G5863" s="327" t="s">
        <v>661</v>
      </c>
      <c r="H5863" s="361" t="s">
        <v>536</v>
      </c>
      <c r="I5863" s="361" t="s">
        <v>2355</v>
      </c>
      <c r="J5863" s="361"/>
      <c r="K5863" s="327" t="s">
        <v>100</v>
      </c>
      <c r="L5863" s="478">
        <f>40000/1000</f>
        <v>40</v>
      </c>
      <c r="M5863" s="355"/>
      <c r="N5863" s="355" t="s">
        <v>2409</v>
      </c>
      <c r="O5863" s="345"/>
      <c r="P5863" s="325"/>
      <c r="Q5863" s="327"/>
      <c r="R5863" s="351"/>
      <c r="S5863" s="351"/>
      <c r="T5863" s="351"/>
      <c r="U5863" s="329" t="str">
        <f>IF($N5863=$N$4,IFERROR(INDEX(DanhMuc!$E$154:$E$165,MATCH(MID($B5863,4,2),DanhMuc!$B$154:$B$165,0)),""),"")</f>
        <v/>
      </c>
      <c r="V5863" s="361"/>
      <c r="W5863" s="345"/>
      <c r="X5863" s="786"/>
      <c r="Y5863" s="1128" t="s">
        <v>3380</v>
      </c>
      <c r="Z5863" s="1128" t="s">
        <v>3381</v>
      </c>
      <c r="AA5863" s="1128" t="s">
        <v>3384</v>
      </c>
      <c r="AB5863" s="20"/>
      <c r="AC5863" s="73"/>
    </row>
    <row r="5864" spans="1:29">
      <c r="A5864" s="327" t="str">
        <f>IF(AND($B5864&lt;&gt;"",$C5864&lt;&gt;""),MAX($A$4730:$A5863)+1,"")</f>
        <v/>
      </c>
      <c r="B5864" s="361" t="s">
        <v>1951</v>
      </c>
      <c r="C5864" s="362"/>
      <c r="D5864" s="327">
        <f>IF($B5864="","",COUNTIF($B$4731:$B5864,$B5864))</f>
        <v>8</v>
      </c>
      <c r="E5864" s="361" t="s">
        <v>154</v>
      </c>
      <c r="F5864" s="362" t="s">
        <v>660</v>
      </c>
      <c r="G5864" s="327" t="s">
        <v>661</v>
      </c>
      <c r="H5864" s="361" t="s">
        <v>536</v>
      </c>
      <c r="I5864" s="361" t="s">
        <v>667</v>
      </c>
      <c r="J5864" s="361"/>
      <c r="K5864" s="327" t="s">
        <v>662</v>
      </c>
      <c r="L5864" s="478">
        <v>20</v>
      </c>
      <c r="M5864" s="355"/>
      <c r="N5864" s="355" t="s">
        <v>2409</v>
      </c>
      <c r="O5864" s="345"/>
      <c r="P5864" s="325"/>
      <c r="Q5864" s="327"/>
      <c r="R5864" s="351"/>
      <c r="S5864" s="351"/>
      <c r="T5864" s="351"/>
      <c r="U5864" s="329" t="str">
        <f>IF($N5864=$N$4,IFERROR(INDEX(DanhMuc!$E$154:$E$165,MATCH(MID($B5864,4,2),DanhMuc!$B$154:$B$165,0)),""),"")</f>
        <v/>
      </c>
      <c r="V5864" s="361"/>
      <c r="W5864" s="345"/>
      <c r="X5864" s="786"/>
      <c r="Y5864" s="1128" t="s">
        <v>3380</v>
      </c>
      <c r="Z5864" s="1128" t="s">
        <v>3381</v>
      </c>
      <c r="AA5864" s="1128" t="s">
        <v>3384</v>
      </c>
      <c r="AB5864" s="20"/>
      <c r="AC5864" s="73"/>
    </row>
    <row r="5865" spans="1:29">
      <c r="A5865" s="327" t="str">
        <f>IF(AND($B5865&lt;&gt;"",$C5865&lt;&gt;""),MAX($A$4730:$A5864)+1,"")</f>
        <v/>
      </c>
      <c r="B5865" s="361" t="s">
        <v>1951</v>
      </c>
      <c r="C5865" s="362"/>
      <c r="D5865" s="327">
        <f>IF($B5865="","",COUNTIF($B$4731:$B5865,$B5865))</f>
        <v>9</v>
      </c>
      <c r="E5865" s="362" t="s">
        <v>2282</v>
      </c>
      <c r="F5865" s="362" t="s">
        <v>2283</v>
      </c>
      <c r="G5865" s="327" t="s">
        <v>424</v>
      </c>
      <c r="H5865" s="361" t="s">
        <v>536</v>
      </c>
      <c r="I5865" s="361" t="s">
        <v>2238</v>
      </c>
      <c r="J5865" s="361"/>
      <c r="K5865" s="327" t="s">
        <v>662</v>
      </c>
      <c r="L5865" s="478">
        <v>28000</v>
      </c>
      <c r="M5865" s="355"/>
      <c r="N5865" s="355" t="s">
        <v>2409</v>
      </c>
      <c r="O5865" s="345"/>
      <c r="P5865" s="325"/>
      <c r="Q5865" s="327"/>
      <c r="R5865" s="351"/>
      <c r="S5865" s="351"/>
      <c r="T5865" s="351"/>
      <c r="U5865" s="329" t="str">
        <f>IF($N5865=$N$4,IFERROR(INDEX(DanhMuc!$E$154:$E$165,MATCH(MID($B5865,4,2),DanhMuc!$B$154:$B$165,0)),""),"")</f>
        <v/>
      </c>
      <c r="V5865" s="361"/>
      <c r="W5865" s="345"/>
      <c r="X5865" s="786"/>
      <c r="Y5865" s="1128" t="s">
        <v>3380</v>
      </c>
      <c r="Z5865" s="1128" t="s">
        <v>3381</v>
      </c>
      <c r="AA5865" s="1128" t="s">
        <v>3384</v>
      </c>
      <c r="AB5865" s="20"/>
      <c r="AC5865" s="73"/>
    </row>
    <row r="5866" spans="1:29">
      <c r="A5866" s="327" t="str">
        <f>IF(AND($B5866&lt;&gt;"",$C5866&lt;&gt;""),MAX($A$4730:$A5865)+1,"")</f>
        <v/>
      </c>
      <c r="B5866" s="361" t="s">
        <v>1951</v>
      </c>
      <c r="C5866" s="362"/>
      <c r="D5866" s="327">
        <f>IF($B5866="","",COUNTIF($B$4731:$B5866,$B5866))</f>
        <v>10</v>
      </c>
      <c r="E5866" s="362" t="s">
        <v>663</v>
      </c>
      <c r="F5866" s="362" t="s">
        <v>664</v>
      </c>
      <c r="G5866" s="327" t="s">
        <v>155</v>
      </c>
      <c r="H5866" s="361" t="s">
        <v>536</v>
      </c>
      <c r="I5866" s="361" t="s">
        <v>672</v>
      </c>
      <c r="J5866" s="361"/>
      <c r="K5866" s="327" t="s">
        <v>662</v>
      </c>
      <c r="L5866" s="478">
        <v>1000</v>
      </c>
      <c r="M5866" s="355"/>
      <c r="N5866" s="355" t="s">
        <v>2409</v>
      </c>
      <c r="O5866" s="345"/>
      <c r="P5866" s="325"/>
      <c r="Q5866" s="327"/>
      <c r="R5866" s="351"/>
      <c r="S5866" s="351"/>
      <c r="T5866" s="351"/>
      <c r="U5866" s="329" t="str">
        <f>IF($N5866=$N$4,IFERROR(INDEX(DanhMuc!$E$154:$E$165,MATCH(MID($B5866,4,2),DanhMuc!$B$154:$B$165,0)),""),"")</f>
        <v/>
      </c>
      <c r="V5866" s="361"/>
      <c r="W5866" s="345"/>
      <c r="X5866" s="786"/>
      <c r="Y5866" s="1128" t="s">
        <v>3380</v>
      </c>
      <c r="Z5866" s="1128" t="s">
        <v>3381</v>
      </c>
      <c r="AA5866" s="1128" t="s">
        <v>3384</v>
      </c>
      <c r="AB5866" s="20"/>
      <c r="AC5866" s="73"/>
    </row>
    <row r="5867" spans="1:29" ht="26">
      <c r="A5867" s="327">
        <f>IF(AND($B5867&lt;&gt;"",$C5867&lt;&gt;""),MAX($A$4730:$A5836)+1,"")</f>
        <v>44</v>
      </c>
      <c r="B5867" s="359" t="s">
        <v>838</v>
      </c>
      <c r="C5867" s="370" t="s">
        <v>1562</v>
      </c>
      <c r="D5867" s="327">
        <f>IF($B5867="","",COUNTIF($B$4731:$B5867,$B5867))</f>
        <v>1</v>
      </c>
      <c r="E5867" s="361" t="s">
        <v>1826</v>
      </c>
      <c r="F5867" s="362" t="s">
        <v>670</v>
      </c>
      <c r="G5867" s="327" t="s">
        <v>661</v>
      </c>
      <c r="H5867" s="361" t="s">
        <v>536</v>
      </c>
      <c r="I5867" s="361" t="s">
        <v>2354</v>
      </c>
      <c r="J5867" s="361"/>
      <c r="K5867" s="327" t="s">
        <v>103</v>
      </c>
      <c r="L5867" s="478">
        <f>40000/1000</f>
        <v>40</v>
      </c>
      <c r="M5867" s="355"/>
      <c r="N5867" s="355" t="s">
        <v>2408</v>
      </c>
      <c r="O5867" s="345"/>
      <c r="P5867" s="325"/>
      <c r="Q5867" s="327"/>
      <c r="R5867" s="351"/>
      <c r="S5867" s="351"/>
      <c r="T5867" s="351"/>
      <c r="U5867" s="329" t="str">
        <f>IF($N5867=$N$4,IFERROR(INDEX(DanhMuc!$E$154:$E$165,MATCH(MID($B5867,4,2),DanhMuc!$B$154:$B$165,0)),""),"")</f>
        <v/>
      </c>
      <c r="V5867" s="361"/>
      <c r="W5867" s="345"/>
      <c r="X5867" s="786"/>
      <c r="Y5867" s="1128" t="s">
        <v>3380</v>
      </c>
      <c r="Z5867" s="1128" t="s">
        <v>3381</v>
      </c>
      <c r="AA5867" s="1128" t="s">
        <v>3384</v>
      </c>
      <c r="AB5867" s="20"/>
      <c r="AC5867" s="73"/>
    </row>
    <row r="5868" spans="1:29" ht="25">
      <c r="A5868" s="327" t="str">
        <f>IF(AND($B5868&lt;&gt;"",$C5868&lt;&gt;""),MAX($A$4730:$A5867)+1,"")</f>
        <v/>
      </c>
      <c r="B5868" s="361" t="s">
        <v>838</v>
      </c>
      <c r="C5868" s="362"/>
      <c r="D5868" s="327">
        <f>IF($B5868="","",COUNTIF($B$4731:$B5868,$B5868))</f>
        <v>2</v>
      </c>
      <c r="E5868" s="362" t="s">
        <v>1966</v>
      </c>
      <c r="F5868" s="362" t="s">
        <v>1967</v>
      </c>
      <c r="G5868" s="327" t="s">
        <v>405</v>
      </c>
      <c r="H5868" s="361" t="s">
        <v>536</v>
      </c>
      <c r="I5868" s="361" t="s">
        <v>1309</v>
      </c>
      <c r="J5868" s="361"/>
      <c r="K5868" s="327" t="s">
        <v>223</v>
      </c>
      <c r="L5868" s="389">
        <v>750</v>
      </c>
      <c r="M5868" s="371"/>
      <c r="N5868" s="355" t="s">
        <v>2408</v>
      </c>
      <c r="O5868" s="345"/>
      <c r="P5868" s="325"/>
      <c r="Q5868" s="327"/>
      <c r="R5868" s="351"/>
      <c r="S5868" s="351"/>
      <c r="T5868" s="351"/>
      <c r="U5868" s="329" t="str">
        <f>IF($N5868=$N$4,IFERROR(INDEX(DanhMuc!$E$154:$E$165,MATCH(MID($B5868,4,2),DanhMuc!$B$154:$B$165,0)),""),"")</f>
        <v/>
      </c>
      <c r="V5868" s="361"/>
      <c r="W5868" s="345"/>
      <c r="X5868" s="786"/>
      <c r="Y5868" s="1128" t="s">
        <v>3380</v>
      </c>
      <c r="Z5868" s="1128" t="s">
        <v>3381</v>
      </c>
      <c r="AA5868" s="1128" t="s">
        <v>3384</v>
      </c>
      <c r="AB5868" s="20"/>
      <c r="AC5868" s="73"/>
    </row>
    <row r="5869" spans="1:29" ht="37.5">
      <c r="A5869" s="327" t="str">
        <f>IF(AND($B5869&lt;&gt;"",$C5869&lt;&gt;""),MAX($A$4730:$A5868)+1,"")</f>
        <v/>
      </c>
      <c r="B5869" s="361" t="s">
        <v>838</v>
      </c>
      <c r="C5869" s="362"/>
      <c r="D5869" s="327">
        <f>IF($B5869="","",COUNTIF($B$4731:$B5869,$B5869))</f>
        <v>3</v>
      </c>
      <c r="E5869" s="362" t="s">
        <v>1964</v>
      </c>
      <c r="F5869" s="362" t="s">
        <v>1965</v>
      </c>
      <c r="G5869" s="410" t="s">
        <v>405</v>
      </c>
      <c r="H5869" s="402" t="s">
        <v>536</v>
      </c>
      <c r="I5869" s="402" t="s">
        <v>1210</v>
      </c>
      <c r="J5869" s="402"/>
      <c r="K5869" s="410" t="s">
        <v>223</v>
      </c>
      <c r="L5869" s="478">
        <v>140</v>
      </c>
      <c r="M5869" s="371"/>
      <c r="N5869" s="355" t="s">
        <v>2408</v>
      </c>
      <c r="O5869" s="345"/>
      <c r="P5869" s="325"/>
      <c r="Q5869" s="327"/>
      <c r="R5869" s="351"/>
      <c r="S5869" s="351"/>
      <c r="T5869" s="351"/>
      <c r="U5869" s="329" t="str">
        <f>IF($N5869=$N$4,IFERROR(INDEX(DanhMuc!$E$154:$E$165,MATCH(MID($B5869,4,2),DanhMuc!$B$154:$B$165,0)),""),"")</f>
        <v/>
      </c>
      <c r="V5869" s="361"/>
      <c r="W5869" s="345"/>
      <c r="X5869" s="786"/>
      <c r="Y5869" s="1128" t="s">
        <v>3380</v>
      </c>
      <c r="Z5869" s="1128" t="s">
        <v>3381</v>
      </c>
      <c r="AA5869" s="1128" t="s">
        <v>3384</v>
      </c>
      <c r="AB5869" s="20"/>
      <c r="AC5869" s="73"/>
    </row>
    <row r="5870" spans="1:29">
      <c r="A5870" s="327" t="str">
        <f>IF(AND($B5870&lt;&gt;"",$C5870&lt;&gt;""),MAX($A$4730:$A5869)+1,"")</f>
        <v/>
      </c>
      <c r="B5870" s="361" t="s">
        <v>838</v>
      </c>
      <c r="C5870" s="362"/>
      <c r="D5870" s="327">
        <f>IF($B5870="","",COUNTIF($B$4731:$B5870,$B5870))</f>
        <v>4</v>
      </c>
      <c r="E5870" s="361" t="s">
        <v>656</v>
      </c>
      <c r="F5870" s="362" t="s">
        <v>2239</v>
      </c>
      <c r="G5870" s="327" t="s">
        <v>405</v>
      </c>
      <c r="H5870" s="361" t="s">
        <v>536</v>
      </c>
      <c r="I5870" s="361" t="s">
        <v>1827</v>
      </c>
      <c r="J5870" s="361"/>
      <c r="K5870" s="327" t="s">
        <v>100</v>
      </c>
      <c r="L5870" s="478">
        <v>970</v>
      </c>
      <c r="M5870" s="371"/>
      <c r="N5870" s="355" t="s">
        <v>2409</v>
      </c>
      <c r="O5870" s="345"/>
      <c r="P5870" s="325"/>
      <c r="Q5870" s="327"/>
      <c r="R5870" s="351"/>
      <c r="S5870" s="351"/>
      <c r="T5870" s="351"/>
      <c r="U5870" s="329" t="str">
        <f>IF($N5870=$N$4,IFERROR(INDEX(DanhMuc!$E$154:$E$165,MATCH(MID($B5870,4,2),DanhMuc!$B$154:$B$165,0)),""),"")</f>
        <v/>
      </c>
      <c r="V5870" s="361"/>
      <c r="W5870" s="345"/>
      <c r="X5870" s="786"/>
      <c r="Y5870" s="1128" t="s">
        <v>3380</v>
      </c>
      <c r="Z5870" s="1128" t="s">
        <v>3381</v>
      </c>
      <c r="AA5870" s="1128" t="s">
        <v>3384</v>
      </c>
      <c r="AB5870" s="20"/>
      <c r="AC5870" s="73"/>
    </row>
    <row r="5871" spans="1:29">
      <c r="A5871" s="327" t="str">
        <f>IF(AND($B5871&lt;&gt;"",$C5871&lt;&gt;""),MAX($A$4730:$A5870)+1,"")</f>
        <v/>
      </c>
      <c r="B5871" s="361" t="s">
        <v>838</v>
      </c>
      <c r="C5871" s="362"/>
      <c r="D5871" s="327">
        <f>IF($B5871="","",COUNTIF($B$4731:$B5871,$B5871))</f>
        <v>5</v>
      </c>
      <c r="E5871" s="361" t="s">
        <v>657</v>
      </c>
      <c r="F5871" s="362" t="s">
        <v>658</v>
      </c>
      <c r="G5871" s="327" t="s">
        <v>424</v>
      </c>
      <c r="H5871" s="361" t="s">
        <v>536</v>
      </c>
      <c r="I5871" s="361" t="s">
        <v>665</v>
      </c>
      <c r="J5871" s="361"/>
      <c r="K5871" s="327" t="s">
        <v>100</v>
      </c>
      <c r="L5871" s="478">
        <v>60000</v>
      </c>
      <c r="M5871" s="355"/>
      <c r="N5871" s="355" t="s">
        <v>2409</v>
      </c>
      <c r="O5871" s="345"/>
      <c r="P5871" s="325"/>
      <c r="Q5871" s="327"/>
      <c r="R5871" s="351"/>
      <c r="S5871" s="351"/>
      <c r="T5871" s="351"/>
      <c r="U5871" s="329" t="str">
        <f>IF($N5871=$N$4,IFERROR(INDEX(DanhMuc!$E$154:$E$165,MATCH(MID($B5871,4,2),DanhMuc!$B$154:$B$165,0)),""),"")</f>
        <v/>
      </c>
      <c r="V5871" s="361"/>
      <c r="W5871" s="345"/>
      <c r="X5871" s="786"/>
      <c r="Y5871" s="1128" t="s">
        <v>3380</v>
      </c>
      <c r="Z5871" s="1128" t="s">
        <v>3381</v>
      </c>
      <c r="AA5871" s="1128" t="s">
        <v>3384</v>
      </c>
      <c r="AB5871" s="20"/>
      <c r="AC5871" s="73"/>
    </row>
    <row r="5872" spans="1:29">
      <c r="A5872" s="327" t="str">
        <f>IF(AND($B5872&lt;&gt;"",$C5872&lt;&gt;""),MAX($A$4730:$A5871)+1,"")</f>
        <v/>
      </c>
      <c r="B5872" s="361" t="s">
        <v>838</v>
      </c>
      <c r="C5872" s="362"/>
      <c r="D5872" s="327">
        <f>IF($B5872="","",COUNTIF($B$4731:$B5872,$B5872))</f>
        <v>6</v>
      </c>
      <c r="E5872" s="361" t="s">
        <v>2771</v>
      </c>
      <c r="F5872" s="362" t="s">
        <v>659</v>
      </c>
      <c r="G5872" s="327" t="s">
        <v>424</v>
      </c>
      <c r="H5872" s="361" t="s">
        <v>536</v>
      </c>
      <c r="I5872" s="361" t="s">
        <v>666</v>
      </c>
      <c r="J5872" s="361"/>
      <c r="K5872" s="327" t="s">
        <v>100</v>
      </c>
      <c r="L5872" s="389">
        <v>53000</v>
      </c>
      <c r="M5872" s="355"/>
      <c r="N5872" s="355" t="s">
        <v>2409</v>
      </c>
      <c r="O5872" s="345"/>
      <c r="P5872" s="325"/>
      <c r="Q5872" s="327"/>
      <c r="R5872" s="351"/>
      <c r="S5872" s="351"/>
      <c r="T5872" s="351"/>
      <c r="U5872" s="329" t="str">
        <f>IF($N5872=$N$4,IFERROR(INDEX(DanhMuc!$E$154:$E$165,MATCH(MID($B5872,4,2),DanhMuc!$B$154:$B$165,0)),""),"")</f>
        <v/>
      </c>
      <c r="V5872" s="361"/>
      <c r="W5872" s="345"/>
      <c r="X5872" s="786"/>
      <c r="Y5872" s="1128" t="s">
        <v>3380</v>
      </c>
      <c r="Z5872" s="1128" t="s">
        <v>3381</v>
      </c>
      <c r="AA5872" s="1128" t="s">
        <v>3384</v>
      </c>
      <c r="AB5872" s="20"/>
      <c r="AC5872" s="73"/>
    </row>
    <row r="5873" spans="1:29">
      <c r="A5873" s="327" t="str">
        <f>IF(AND($B5873&lt;&gt;"",$C5873&lt;&gt;""),MAX($A$4730:$A5872)+1,"")</f>
        <v/>
      </c>
      <c r="B5873" s="361" t="s">
        <v>838</v>
      </c>
      <c r="C5873" s="362"/>
      <c r="D5873" s="327">
        <f>IF($B5873="","",COUNTIF($B$4731:$B5873,$B5873))</f>
        <v>7</v>
      </c>
      <c r="E5873" s="361" t="s">
        <v>1828</v>
      </c>
      <c r="F5873" s="362" t="s">
        <v>671</v>
      </c>
      <c r="G5873" s="327" t="s">
        <v>661</v>
      </c>
      <c r="H5873" s="361" t="s">
        <v>536</v>
      </c>
      <c r="I5873" s="361" t="s">
        <v>2355</v>
      </c>
      <c r="J5873" s="361"/>
      <c r="K5873" s="327" t="s">
        <v>100</v>
      </c>
      <c r="L5873" s="478">
        <f>40000/1000</f>
        <v>40</v>
      </c>
      <c r="M5873" s="355"/>
      <c r="N5873" s="355" t="s">
        <v>2409</v>
      </c>
      <c r="O5873" s="345"/>
      <c r="P5873" s="325"/>
      <c r="Q5873" s="327"/>
      <c r="R5873" s="351"/>
      <c r="S5873" s="351"/>
      <c r="T5873" s="351"/>
      <c r="U5873" s="329" t="str">
        <f>IF($N5873=$N$4,IFERROR(INDEX(DanhMuc!$E$154:$E$165,MATCH(MID($B5873,4,2),DanhMuc!$B$154:$B$165,0)),""),"")</f>
        <v/>
      </c>
      <c r="V5873" s="361"/>
      <c r="W5873" s="345"/>
      <c r="X5873" s="786"/>
      <c r="Y5873" s="1128" t="s">
        <v>3380</v>
      </c>
      <c r="Z5873" s="1128" t="s">
        <v>3381</v>
      </c>
      <c r="AA5873" s="1128" t="s">
        <v>3384</v>
      </c>
      <c r="AB5873" s="20"/>
      <c r="AC5873" s="73"/>
    </row>
    <row r="5874" spans="1:29">
      <c r="A5874" s="327" t="str">
        <f>IF(AND($B5874&lt;&gt;"",$C5874&lt;&gt;""),MAX($A$4730:$A5873)+1,"")</f>
        <v/>
      </c>
      <c r="B5874" s="361" t="s">
        <v>838</v>
      </c>
      <c r="C5874" s="362"/>
      <c r="D5874" s="327">
        <f>IF($B5874="","",COUNTIF($B$4731:$B5874,$B5874))</f>
        <v>8</v>
      </c>
      <c r="E5874" s="361" t="s">
        <v>154</v>
      </c>
      <c r="F5874" s="362" t="s">
        <v>660</v>
      </c>
      <c r="G5874" s="327" t="s">
        <v>661</v>
      </c>
      <c r="H5874" s="361" t="s">
        <v>536</v>
      </c>
      <c r="I5874" s="361" t="s">
        <v>667</v>
      </c>
      <c r="J5874" s="361"/>
      <c r="K5874" s="327" t="s">
        <v>662</v>
      </c>
      <c r="L5874" s="478">
        <v>20</v>
      </c>
      <c r="M5874" s="355"/>
      <c r="N5874" s="355" t="s">
        <v>2409</v>
      </c>
      <c r="O5874" s="345"/>
      <c r="P5874" s="325"/>
      <c r="Q5874" s="327"/>
      <c r="R5874" s="351"/>
      <c r="S5874" s="351"/>
      <c r="T5874" s="351"/>
      <c r="U5874" s="329" t="str">
        <f>IF($N5874=$N$4,IFERROR(INDEX(DanhMuc!$E$154:$E$165,MATCH(MID($B5874,4,2),DanhMuc!$B$154:$B$165,0)),""),"")</f>
        <v/>
      </c>
      <c r="V5874" s="361"/>
      <c r="W5874" s="345"/>
      <c r="X5874" s="786"/>
      <c r="Y5874" s="1128" t="s">
        <v>3380</v>
      </c>
      <c r="Z5874" s="1128" t="s">
        <v>3381</v>
      </c>
      <c r="AA5874" s="1128" t="s">
        <v>3384</v>
      </c>
      <c r="AB5874" s="20"/>
      <c r="AC5874" s="73"/>
    </row>
    <row r="5875" spans="1:29">
      <c r="A5875" s="327" t="str">
        <f>IF(AND($B5875&lt;&gt;"",$C5875&lt;&gt;""),MAX($A$4730:$A5874)+1,"")</f>
        <v/>
      </c>
      <c r="B5875" s="361" t="s">
        <v>838</v>
      </c>
      <c r="C5875" s="362"/>
      <c r="D5875" s="327">
        <f>IF($B5875="","",COUNTIF($B$4731:$B5875,$B5875))</f>
        <v>9</v>
      </c>
      <c r="E5875" s="362" t="s">
        <v>2282</v>
      </c>
      <c r="F5875" s="362" t="s">
        <v>2283</v>
      </c>
      <c r="G5875" s="327" t="s">
        <v>424</v>
      </c>
      <c r="H5875" s="361" t="s">
        <v>536</v>
      </c>
      <c r="I5875" s="361" t="s">
        <v>2238</v>
      </c>
      <c r="J5875" s="361"/>
      <c r="K5875" s="327" t="s">
        <v>662</v>
      </c>
      <c r="L5875" s="478">
        <v>28000</v>
      </c>
      <c r="M5875" s="355"/>
      <c r="N5875" s="355" t="s">
        <v>2409</v>
      </c>
      <c r="O5875" s="345"/>
      <c r="P5875" s="325"/>
      <c r="Q5875" s="327"/>
      <c r="R5875" s="351"/>
      <c r="S5875" s="351"/>
      <c r="T5875" s="351"/>
      <c r="U5875" s="329" t="str">
        <f>IF($N5875=$N$4,IFERROR(INDEX(DanhMuc!$E$154:$E$165,MATCH(MID($B5875,4,2),DanhMuc!$B$154:$B$165,0)),""),"")</f>
        <v/>
      </c>
      <c r="V5875" s="361"/>
      <c r="W5875" s="345"/>
      <c r="X5875" s="786"/>
      <c r="Y5875" s="1128" t="s">
        <v>3380</v>
      </c>
      <c r="Z5875" s="1128" t="s">
        <v>3381</v>
      </c>
      <c r="AA5875" s="1128" t="s">
        <v>3384</v>
      </c>
      <c r="AB5875" s="20"/>
      <c r="AC5875" s="73"/>
    </row>
    <row r="5876" spans="1:29">
      <c r="A5876" s="327" t="str">
        <f>IF(AND($B5876&lt;&gt;"",$C5876&lt;&gt;""),MAX($A$4730:$A5875)+1,"")</f>
        <v/>
      </c>
      <c r="B5876" s="361" t="s">
        <v>838</v>
      </c>
      <c r="C5876" s="362"/>
      <c r="D5876" s="327">
        <f>IF($B5876="","",COUNTIF($B$4731:$B5876,$B5876))</f>
        <v>10</v>
      </c>
      <c r="E5876" s="362" t="s">
        <v>663</v>
      </c>
      <c r="F5876" s="362" t="s">
        <v>664</v>
      </c>
      <c r="G5876" s="327" t="s">
        <v>155</v>
      </c>
      <c r="H5876" s="361" t="s">
        <v>536</v>
      </c>
      <c r="I5876" s="361" t="s">
        <v>672</v>
      </c>
      <c r="J5876" s="361"/>
      <c r="K5876" s="327" t="s">
        <v>662</v>
      </c>
      <c r="L5876" s="478">
        <v>1000</v>
      </c>
      <c r="M5876" s="355"/>
      <c r="N5876" s="355" t="s">
        <v>2409</v>
      </c>
      <c r="O5876" s="345"/>
      <c r="P5876" s="325"/>
      <c r="Q5876" s="327"/>
      <c r="R5876" s="351"/>
      <c r="S5876" s="351"/>
      <c r="T5876" s="351"/>
      <c r="U5876" s="329" t="str">
        <f>IF($N5876=$N$4,IFERROR(INDEX(DanhMuc!$E$154:$E$165,MATCH(MID($B5876,4,2),DanhMuc!$B$154:$B$165,0)),""),"")</f>
        <v/>
      </c>
      <c r="V5876" s="361"/>
      <c r="W5876" s="345"/>
      <c r="X5876" s="786"/>
      <c r="Y5876" s="1128" t="s">
        <v>3380</v>
      </c>
      <c r="Z5876" s="1128" t="s">
        <v>3381</v>
      </c>
      <c r="AA5876" s="1128" t="s">
        <v>3384</v>
      </c>
      <c r="AB5876" s="20"/>
      <c r="AC5876" s="73"/>
    </row>
    <row r="5877" spans="1:29" ht="26">
      <c r="A5877" s="327">
        <f>IF(AND($B5877&lt;&gt;"",$C5877&lt;&gt;""),MAX($A$4730:$A5846)+1,"")</f>
        <v>44</v>
      </c>
      <c r="B5877" s="359" t="s">
        <v>848</v>
      </c>
      <c r="C5877" s="370" t="s">
        <v>1563</v>
      </c>
      <c r="D5877" s="327">
        <f>IF($B5877="","",COUNTIF($B$4731:$B5877,$B5877))</f>
        <v>1</v>
      </c>
      <c r="E5877" s="361" t="s">
        <v>1826</v>
      </c>
      <c r="F5877" s="362" t="s">
        <v>670</v>
      </c>
      <c r="G5877" s="327" t="s">
        <v>661</v>
      </c>
      <c r="H5877" s="361" t="s">
        <v>536</v>
      </c>
      <c r="I5877" s="361" t="s">
        <v>2354</v>
      </c>
      <c r="J5877" s="361"/>
      <c r="K5877" s="327" t="s">
        <v>103</v>
      </c>
      <c r="L5877" s="478">
        <f>40000/1000</f>
        <v>40</v>
      </c>
      <c r="M5877" s="355"/>
      <c r="N5877" s="355" t="s">
        <v>2408</v>
      </c>
      <c r="O5877" s="345"/>
      <c r="P5877" s="325"/>
      <c r="Q5877" s="327"/>
      <c r="R5877" s="351"/>
      <c r="S5877" s="351"/>
      <c r="T5877" s="351"/>
      <c r="U5877" s="329" t="str">
        <f>IF($N5877=$N$4,IFERROR(INDEX(DanhMuc!$E$154:$E$165,MATCH(MID($B5877,4,2),DanhMuc!$B$154:$B$165,0)),""),"")</f>
        <v/>
      </c>
      <c r="V5877" s="361"/>
      <c r="W5877" s="345"/>
      <c r="X5877" s="786"/>
      <c r="Y5877" s="1128" t="s">
        <v>3380</v>
      </c>
      <c r="Z5877" s="1128" t="s">
        <v>3381</v>
      </c>
      <c r="AA5877" s="1128" t="s">
        <v>3384</v>
      </c>
      <c r="AB5877" s="20"/>
      <c r="AC5877" s="73"/>
    </row>
    <row r="5878" spans="1:29" ht="25">
      <c r="A5878" s="327" t="str">
        <f>IF(AND($B5878&lt;&gt;"",$C5878&lt;&gt;""),MAX($A$4730:$A5877)+1,"")</f>
        <v/>
      </c>
      <c r="B5878" s="361" t="s">
        <v>848</v>
      </c>
      <c r="C5878" s="362"/>
      <c r="D5878" s="327">
        <f>IF($B5878="","",COUNTIF($B$4731:$B5878,$B5878))</f>
        <v>2</v>
      </c>
      <c r="E5878" s="362" t="s">
        <v>1966</v>
      </c>
      <c r="F5878" s="362" t="s">
        <v>1967</v>
      </c>
      <c r="G5878" s="327" t="s">
        <v>405</v>
      </c>
      <c r="H5878" s="361" t="s">
        <v>536</v>
      </c>
      <c r="I5878" s="361" t="s">
        <v>1309</v>
      </c>
      <c r="J5878" s="361"/>
      <c r="K5878" s="327" t="s">
        <v>223</v>
      </c>
      <c r="L5878" s="389">
        <v>750</v>
      </c>
      <c r="M5878" s="371"/>
      <c r="N5878" s="355" t="s">
        <v>2408</v>
      </c>
      <c r="O5878" s="345"/>
      <c r="P5878" s="325"/>
      <c r="Q5878" s="327"/>
      <c r="R5878" s="351"/>
      <c r="S5878" s="351"/>
      <c r="T5878" s="351"/>
      <c r="U5878" s="329" t="str">
        <f>IF($N5878=$N$4,IFERROR(INDEX(DanhMuc!$E$154:$E$165,MATCH(MID($B5878,4,2),DanhMuc!$B$154:$B$165,0)),""),"")</f>
        <v/>
      </c>
      <c r="V5878" s="361"/>
      <c r="W5878" s="345"/>
      <c r="X5878" s="786"/>
      <c r="Y5878" s="1128" t="s">
        <v>3380</v>
      </c>
      <c r="Z5878" s="1128" t="s">
        <v>3381</v>
      </c>
      <c r="AA5878" s="1128" t="s">
        <v>3384</v>
      </c>
      <c r="AB5878" s="20"/>
      <c r="AC5878" s="73"/>
    </row>
    <row r="5879" spans="1:29" ht="37.5">
      <c r="A5879" s="327" t="str">
        <f>IF(AND($B5879&lt;&gt;"",$C5879&lt;&gt;""),MAX($A$4730:$A5878)+1,"")</f>
        <v/>
      </c>
      <c r="B5879" s="361" t="s">
        <v>848</v>
      </c>
      <c r="C5879" s="362"/>
      <c r="D5879" s="327">
        <f>IF($B5879="","",COUNTIF($B$4731:$B5879,$B5879))</f>
        <v>3</v>
      </c>
      <c r="E5879" s="362" t="s">
        <v>1964</v>
      </c>
      <c r="F5879" s="362" t="s">
        <v>1965</v>
      </c>
      <c r="G5879" s="410" t="s">
        <v>405</v>
      </c>
      <c r="H5879" s="402" t="s">
        <v>536</v>
      </c>
      <c r="I5879" s="402" t="s">
        <v>1210</v>
      </c>
      <c r="J5879" s="402"/>
      <c r="K5879" s="410" t="s">
        <v>223</v>
      </c>
      <c r="L5879" s="478">
        <v>140</v>
      </c>
      <c r="M5879" s="371"/>
      <c r="N5879" s="355" t="s">
        <v>2408</v>
      </c>
      <c r="O5879" s="345"/>
      <c r="P5879" s="325"/>
      <c r="Q5879" s="327"/>
      <c r="R5879" s="351"/>
      <c r="S5879" s="351"/>
      <c r="T5879" s="351"/>
      <c r="U5879" s="329" t="str">
        <f>IF($N5879=$N$4,IFERROR(INDEX(DanhMuc!$E$154:$E$165,MATCH(MID($B5879,4,2),DanhMuc!$B$154:$B$165,0)),""),"")</f>
        <v/>
      </c>
      <c r="V5879" s="361"/>
      <c r="W5879" s="345"/>
      <c r="X5879" s="786"/>
      <c r="Y5879" s="1128" t="s">
        <v>3380</v>
      </c>
      <c r="Z5879" s="1128" t="s">
        <v>3381</v>
      </c>
      <c r="AA5879" s="1128" t="s">
        <v>3384</v>
      </c>
      <c r="AB5879" s="20"/>
      <c r="AC5879" s="73"/>
    </row>
    <row r="5880" spans="1:29">
      <c r="A5880" s="327" t="str">
        <f>IF(AND($B5880&lt;&gt;"",$C5880&lt;&gt;""),MAX($A$4730:$A5879)+1,"")</f>
        <v/>
      </c>
      <c r="B5880" s="361" t="s">
        <v>848</v>
      </c>
      <c r="C5880" s="362"/>
      <c r="D5880" s="327">
        <f>IF($B5880="","",COUNTIF($B$4731:$B5880,$B5880))</f>
        <v>4</v>
      </c>
      <c r="E5880" s="361" t="s">
        <v>656</v>
      </c>
      <c r="F5880" s="362" t="s">
        <v>2239</v>
      </c>
      <c r="G5880" s="327" t="s">
        <v>405</v>
      </c>
      <c r="H5880" s="361" t="s">
        <v>536</v>
      </c>
      <c r="I5880" s="361" t="s">
        <v>1827</v>
      </c>
      <c r="J5880" s="361"/>
      <c r="K5880" s="327" t="s">
        <v>100</v>
      </c>
      <c r="L5880" s="478">
        <v>970</v>
      </c>
      <c r="M5880" s="371"/>
      <c r="N5880" s="355" t="s">
        <v>2409</v>
      </c>
      <c r="O5880" s="345"/>
      <c r="P5880" s="325"/>
      <c r="Q5880" s="327"/>
      <c r="R5880" s="351"/>
      <c r="S5880" s="351"/>
      <c r="T5880" s="351"/>
      <c r="U5880" s="329" t="str">
        <f>IF($N5880=$N$4,IFERROR(INDEX(DanhMuc!$E$154:$E$165,MATCH(MID($B5880,4,2),DanhMuc!$B$154:$B$165,0)),""),"")</f>
        <v/>
      </c>
      <c r="V5880" s="361"/>
      <c r="W5880" s="345"/>
      <c r="X5880" s="786"/>
      <c r="Y5880" s="1128" t="s">
        <v>3380</v>
      </c>
      <c r="Z5880" s="1128" t="s">
        <v>3381</v>
      </c>
      <c r="AA5880" s="1128" t="s">
        <v>3384</v>
      </c>
      <c r="AB5880" s="20"/>
      <c r="AC5880" s="73"/>
    </row>
    <row r="5881" spans="1:29">
      <c r="A5881" s="327" t="str">
        <f>IF(AND($B5881&lt;&gt;"",$C5881&lt;&gt;""),MAX($A$4730:$A5880)+1,"")</f>
        <v/>
      </c>
      <c r="B5881" s="361" t="s">
        <v>848</v>
      </c>
      <c r="C5881" s="362"/>
      <c r="D5881" s="327">
        <f>IF($B5881="","",COUNTIF($B$4731:$B5881,$B5881))</f>
        <v>5</v>
      </c>
      <c r="E5881" s="361" t="s">
        <v>657</v>
      </c>
      <c r="F5881" s="362" t="s">
        <v>658</v>
      </c>
      <c r="G5881" s="327" t="s">
        <v>424</v>
      </c>
      <c r="H5881" s="361" t="s">
        <v>536</v>
      </c>
      <c r="I5881" s="361" t="s">
        <v>665</v>
      </c>
      <c r="J5881" s="361"/>
      <c r="K5881" s="327" t="s">
        <v>100</v>
      </c>
      <c r="L5881" s="478">
        <v>60000</v>
      </c>
      <c r="M5881" s="355"/>
      <c r="N5881" s="355" t="s">
        <v>2409</v>
      </c>
      <c r="O5881" s="345"/>
      <c r="P5881" s="325"/>
      <c r="Q5881" s="327"/>
      <c r="R5881" s="351"/>
      <c r="S5881" s="351"/>
      <c r="T5881" s="351"/>
      <c r="U5881" s="329" t="str">
        <f>IF($N5881=$N$4,IFERROR(INDEX(DanhMuc!$E$154:$E$165,MATCH(MID($B5881,4,2),DanhMuc!$B$154:$B$165,0)),""),"")</f>
        <v/>
      </c>
      <c r="V5881" s="361"/>
      <c r="W5881" s="345"/>
      <c r="X5881" s="786"/>
      <c r="Y5881" s="1128" t="s">
        <v>3380</v>
      </c>
      <c r="Z5881" s="1128" t="s">
        <v>3381</v>
      </c>
      <c r="AA5881" s="1128" t="s">
        <v>3384</v>
      </c>
      <c r="AB5881" s="20"/>
      <c r="AC5881" s="73"/>
    </row>
    <row r="5882" spans="1:29">
      <c r="A5882" s="327" t="str">
        <f>IF(AND($B5882&lt;&gt;"",$C5882&lt;&gt;""),MAX($A$4730:$A5881)+1,"")</f>
        <v/>
      </c>
      <c r="B5882" s="361" t="s">
        <v>848</v>
      </c>
      <c r="C5882" s="362"/>
      <c r="D5882" s="327">
        <f>IF($B5882="","",COUNTIF($B$4731:$B5882,$B5882))</f>
        <v>6</v>
      </c>
      <c r="E5882" s="361" t="s">
        <v>2771</v>
      </c>
      <c r="F5882" s="362" t="s">
        <v>659</v>
      </c>
      <c r="G5882" s="327" t="s">
        <v>424</v>
      </c>
      <c r="H5882" s="361" t="s">
        <v>536</v>
      </c>
      <c r="I5882" s="361" t="s">
        <v>666</v>
      </c>
      <c r="J5882" s="361"/>
      <c r="K5882" s="327" t="s">
        <v>100</v>
      </c>
      <c r="L5882" s="389">
        <v>53000</v>
      </c>
      <c r="M5882" s="355"/>
      <c r="N5882" s="355" t="s">
        <v>2409</v>
      </c>
      <c r="O5882" s="345"/>
      <c r="P5882" s="325"/>
      <c r="Q5882" s="327"/>
      <c r="R5882" s="351"/>
      <c r="S5882" s="351"/>
      <c r="T5882" s="351"/>
      <c r="U5882" s="329" t="str">
        <f>IF($N5882=$N$4,IFERROR(INDEX(DanhMuc!$E$154:$E$165,MATCH(MID($B5882,4,2),DanhMuc!$B$154:$B$165,0)),""),"")</f>
        <v/>
      </c>
      <c r="V5882" s="361"/>
      <c r="W5882" s="345"/>
      <c r="X5882" s="786"/>
      <c r="Y5882" s="1128" t="s">
        <v>3380</v>
      </c>
      <c r="Z5882" s="1128" t="s">
        <v>3381</v>
      </c>
      <c r="AA5882" s="1128" t="s">
        <v>3384</v>
      </c>
      <c r="AB5882" s="20"/>
      <c r="AC5882" s="73"/>
    </row>
    <row r="5883" spans="1:29">
      <c r="A5883" s="327" t="str">
        <f>IF(AND($B5883&lt;&gt;"",$C5883&lt;&gt;""),MAX($A$4730:$A5882)+1,"")</f>
        <v/>
      </c>
      <c r="B5883" s="361" t="s">
        <v>848</v>
      </c>
      <c r="C5883" s="362"/>
      <c r="D5883" s="327">
        <f>IF($B5883="","",COUNTIF($B$4731:$B5883,$B5883))</f>
        <v>7</v>
      </c>
      <c r="E5883" s="361" t="s">
        <v>1828</v>
      </c>
      <c r="F5883" s="362" t="s">
        <v>671</v>
      </c>
      <c r="G5883" s="327" t="s">
        <v>661</v>
      </c>
      <c r="H5883" s="361" t="s">
        <v>536</v>
      </c>
      <c r="I5883" s="361" t="s">
        <v>2355</v>
      </c>
      <c r="J5883" s="361"/>
      <c r="K5883" s="327" t="s">
        <v>100</v>
      </c>
      <c r="L5883" s="478">
        <f>40000/1000</f>
        <v>40</v>
      </c>
      <c r="M5883" s="355"/>
      <c r="N5883" s="355" t="s">
        <v>2409</v>
      </c>
      <c r="O5883" s="345"/>
      <c r="P5883" s="325"/>
      <c r="Q5883" s="327"/>
      <c r="R5883" s="351"/>
      <c r="S5883" s="351"/>
      <c r="T5883" s="351"/>
      <c r="U5883" s="329" t="str">
        <f>IF($N5883=$N$4,IFERROR(INDEX(DanhMuc!$E$154:$E$165,MATCH(MID($B5883,4,2),DanhMuc!$B$154:$B$165,0)),""),"")</f>
        <v/>
      </c>
      <c r="V5883" s="361"/>
      <c r="W5883" s="345"/>
      <c r="X5883" s="786"/>
      <c r="Y5883" s="1128" t="s">
        <v>3380</v>
      </c>
      <c r="Z5883" s="1128" t="s">
        <v>3381</v>
      </c>
      <c r="AA5883" s="1128" t="s">
        <v>3384</v>
      </c>
      <c r="AB5883" s="20"/>
      <c r="AC5883" s="73"/>
    </row>
    <row r="5884" spans="1:29">
      <c r="A5884" s="327" t="str">
        <f>IF(AND($B5884&lt;&gt;"",$C5884&lt;&gt;""),MAX($A$4730:$A5883)+1,"")</f>
        <v/>
      </c>
      <c r="B5884" s="361" t="s">
        <v>848</v>
      </c>
      <c r="C5884" s="362"/>
      <c r="D5884" s="327">
        <f>IF($B5884="","",COUNTIF($B$4731:$B5884,$B5884))</f>
        <v>8</v>
      </c>
      <c r="E5884" s="361" t="s">
        <v>154</v>
      </c>
      <c r="F5884" s="362" t="s">
        <v>660</v>
      </c>
      <c r="G5884" s="327" t="s">
        <v>661</v>
      </c>
      <c r="H5884" s="361" t="s">
        <v>536</v>
      </c>
      <c r="I5884" s="361" t="s">
        <v>667</v>
      </c>
      <c r="J5884" s="361"/>
      <c r="K5884" s="327" t="s">
        <v>662</v>
      </c>
      <c r="L5884" s="478">
        <v>20</v>
      </c>
      <c r="M5884" s="355"/>
      <c r="N5884" s="355" t="s">
        <v>2409</v>
      </c>
      <c r="O5884" s="345"/>
      <c r="P5884" s="325"/>
      <c r="Q5884" s="327"/>
      <c r="R5884" s="351"/>
      <c r="S5884" s="351"/>
      <c r="T5884" s="351"/>
      <c r="U5884" s="329" t="str">
        <f>IF($N5884=$N$4,IFERROR(INDEX(DanhMuc!$E$154:$E$165,MATCH(MID($B5884,4,2),DanhMuc!$B$154:$B$165,0)),""),"")</f>
        <v/>
      </c>
      <c r="V5884" s="361"/>
      <c r="W5884" s="345"/>
      <c r="X5884" s="786"/>
      <c r="Y5884" s="1128" t="s">
        <v>3380</v>
      </c>
      <c r="Z5884" s="1128" t="s">
        <v>3381</v>
      </c>
      <c r="AA5884" s="1128" t="s">
        <v>3384</v>
      </c>
      <c r="AB5884" s="20"/>
      <c r="AC5884" s="73"/>
    </row>
    <row r="5885" spans="1:29">
      <c r="A5885" s="327" t="str">
        <f>IF(AND($B5885&lt;&gt;"",$C5885&lt;&gt;""),MAX($A$4730:$A5884)+1,"")</f>
        <v/>
      </c>
      <c r="B5885" s="361" t="s">
        <v>848</v>
      </c>
      <c r="C5885" s="362"/>
      <c r="D5885" s="327">
        <f>IF($B5885="","",COUNTIF($B$4731:$B5885,$B5885))</f>
        <v>9</v>
      </c>
      <c r="E5885" s="362" t="s">
        <v>2282</v>
      </c>
      <c r="F5885" s="362" t="s">
        <v>2283</v>
      </c>
      <c r="G5885" s="327" t="s">
        <v>424</v>
      </c>
      <c r="H5885" s="361" t="s">
        <v>536</v>
      </c>
      <c r="I5885" s="361" t="s">
        <v>2238</v>
      </c>
      <c r="J5885" s="361"/>
      <c r="K5885" s="327" t="s">
        <v>662</v>
      </c>
      <c r="L5885" s="478">
        <v>28000</v>
      </c>
      <c r="M5885" s="355"/>
      <c r="N5885" s="355" t="s">
        <v>2409</v>
      </c>
      <c r="O5885" s="345"/>
      <c r="P5885" s="325"/>
      <c r="Q5885" s="327"/>
      <c r="R5885" s="351"/>
      <c r="S5885" s="351"/>
      <c r="T5885" s="351"/>
      <c r="U5885" s="329" t="str">
        <f>IF($N5885=$N$4,IFERROR(INDEX(DanhMuc!$E$154:$E$165,MATCH(MID($B5885,4,2),DanhMuc!$B$154:$B$165,0)),""),"")</f>
        <v/>
      </c>
      <c r="V5885" s="361"/>
      <c r="W5885" s="345"/>
      <c r="X5885" s="786"/>
      <c r="Y5885" s="1128" t="s">
        <v>3380</v>
      </c>
      <c r="Z5885" s="1128" t="s">
        <v>3381</v>
      </c>
      <c r="AA5885" s="1128" t="s">
        <v>3384</v>
      </c>
      <c r="AB5885" s="20"/>
      <c r="AC5885" s="73"/>
    </row>
    <row r="5886" spans="1:29">
      <c r="A5886" s="327" t="str">
        <f>IF(AND($B5886&lt;&gt;"",$C5886&lt;&gt;""),MAX($A$4730:$A5885)+1,"")</f>
        <v/>
      </c>
      <c r="B5886" s="361" t="s">
        <v>848</v>
      </c>
      <c r="C5886" s="362"/>
      <c r="D5886" s="327">
        <f>IF($B5886="","",COUNTIF($B$4731:$B5886,$B5886))</f>
        <v>10</v>
      </c>
      <c r="E5886" s="362" t="s">
        <v>663</v>
      </c>
      <c r="F5886" s="362" t="s">
        <v>664</v>
      </c>
      <c r="G5886" s="327" t="s">
        <v>155</v>
      </c>
      <c r="H5886" s="361" t="s">
        <v>536</v>
      </c>
      <c r="I5886" s="361" t="s">
        <v>672</v>
      </c>
      <c r="J5886" s="361"/>
      <c r="K5886" s="327" t="s">
        <v>662</v>
      </c>
      <c r="L5886" s="478">
        <v>1000</v>
      </c>
      <c r="M5886" s="355"/>
      <c r="N5886" s="355" t="s">
        <v>2409</v>
      </c>
      <c r="O5886" s="345"/>
      <c r="P5886" s="325"/>
      <c r="Q5886" s="327"/>
      <c r="R5886" s="351"/>
      <c r="S5886" s="351"/>
      <c r="T5886" s="351"/>
      <c r="U5886" s="329" t="str">
        <f>IF($N5886=$N$4,IFERROR(INDEX(DanhMuc!$E$154:$E$165,MATCH(MID($B5886,4,2),DanhMuc!$B$154:$B$165,0)),""),"")</f>
        <v/>
      </c>
      <c r="V5886" s="361"/>
      <c r="W5886" s="345"/>
      <c r="X5886" s="786"/>
      <c r="Y5886" s="1128" t="s">
        <v>3380</v>
      </c>
      <c r="Z5886" s="1128" t="s">
        <v>3381</v>
      </c>
      <c r="AA5886" s="1128" t="s">
        <v>3384</v>
      </c>
      <c r="AB5886" s="20"/>
      <c r="AC5886" s="73"/>
    </row>
    <row r="5887" spans="1:29" ht="26">
      <c r="A5887" s="327">
        <f>IF(AND($B5887&lt;&gt;"",$C5887&lt;&gt;""),MAX($A$4730:$A5876)+1,"")</f>
        <v>45</v>
      </c>
      <c r="B5887" s="359" t="s">
        <v>855</v>
      </c>
      <c r="C5887" s="370" t="s">
        <v>1564</v>
      </c>
      <c r="D5887" s="327">
        <f>IF($B5887="","",COUNTIF($B$4731:$B5887,$B5887))</f>
        <v>1</v>
      </c>
      <c r="E5887" s="361" t="s">
        <v>1826</v>
      </c>
      <c r="F5887" s="362" t="s">
        <v>670</v>
      </c>
      <c r="G5887" s="327" t="s">
        <v>661</v>
      </c>
      <c r="H5887" s="361" t="s">
        <v>536</v>
      </c>
      <c r="I5887" s="361" t="s">
        <v>2354</v>
      </c>
      <c r="J5887" s="361"/>
      <c r="K5887" s="327" t="s">
        <v>103</v>
      </c>
      <c r="L5887" s="478">
        <f>40000/1000</f>
        <v>40</v>
      </c>
      <c r="M5887" s="355"/>
      <c r="N5887" s="355" t="s">
        <v>2408</v>
      </c>
      <c r="O5887" s="345"/>
      <c r="P5887" s="325"/>
      <c r="Q5887" s="327"/>
      <c r="R5887" s="351"/>
      <c r="S5887" s="351"/>
      <c r="T5887" s="351"/>
      <c r="U5887" s="329" t="str">
        <f>IF($N5887=$N$4,IFERROR(INDEX(DanhMuc!$E$154:$E$165,MATCH(MID($B5887,4,2),DanhMuc!$B$154:$B$165,0)),""),"")</f>
        <v/>
      </c>
      <c r="V5887" s="361"/>
      <c r="W5887" s="345"/>
      <c r="X5887" s="786"/>
      <c r="Y5887" s="1128" t="s">
        <v>3380</v>
      </c>
      <c r="Z5887" s="1128" t="s">
        <v>3381</v>
      </c>
      <c r="AA5887" s="1128" t="s">
        <v>3384</v>
      </c>
      <c r="AB5887" s="20"/>
      <c r="AC5887" s="73"/>
    </row>
    <row r="5888" spans="1:29" ht="25">
      <c r="A5888" s="327" t="str">
        <f>IF(AND($B5888&lt;&gt;"",$C5888&lt;&gt;""),MAX($A$4730:$A5887)+1,"")</f>
        <v/>
      </c>
      <c r="B5888" s="361" t="s">
        <v>855</v>
      </c>
      <c r="C5888" s="362"/>
      <c r="D5888" s="327">
        <f>IF($B5888="","",COUNTIF($B$4731:$B5888,$B5888))</f>
        <v>2</v>
      </c>
      <c r="E5888" s="362" t="s">
        <v>1966</v>
      </c>
      <c r="F5888" s="362" t="s">
        <v>1967</v>
      </c>
      <c r="G5888" s="327" t="s">
        <v>405</v>
      </c>
      <c r="H5888" s="361" t="s">
        <v>536</v>
      </c>
      <c r="I5888" s="361" t="s">
        <v>1309</v>
      </c>
      <c r="J5888" s="361"/>
      <c r="K5888" s="327" t="s">
        <v>223</v>
      </c>
      <c r="L5888" s="389">
        <v>750</v>
      </c>
      <c r="M5888" s="371"/>
      <c r="N5888" s="355" t="s">
        <v>2408</v>
      </c>
      <c r="O5888" s="345"/>
      <c r="P5888" s="325"/>
      <c r="Q5888" s="327"/>
      <c r="R5888" s="351"/>
      <c r="S5888" s="351"/>
      <c r="T5888" s="351"/>
      <c r="U5888" s="329" t="str">
        <f>IF($N5888=$N$4,IFERROR(INDEX(DanhMuc!$E$154:$E$165,MATCH(MID($B5888,4,2),DanhMuc!$B$154:$B$165,0)),""),"")</f>
        <v/>
      </c>
      <c r="V5888" s="361"/>
      <c r="W5888" s="345"/>
      <c r="X5888" s="786"/>
      <c r="Y5888" s="1128" t="s">
        <v>3380</v>
      </c>
      <c r="Z5888" s="1128" t="s">
        <v>3381</v>
      </c>
      <c r="AA5888" s="1128" t="s">
        <v>3384</v>
      </c>
      <c r="AB5888" s="20"/>
      <c r="AC5888" s="73"/>
    </row>
    <row r="5889" spans="1:29" ht="37.5">
      <c r="A5889" s="327" t="str">
        <f>IF(AND($B5889&lt;&gt;"",$C5889&lt;&gt;""),MAX($A$4730:$A5888)+1,"")</f>
        <v/>
      </c>
      <c r="B5889" s="361" t="s">
        <v>855</v>
      </c>
      <c r="C5889" s="362"/>
      <c r="D5889" s="327">
        <f>IF($B5889="","",COUNTIF($B$4731:$B5889,$B5889))</f>
        <v>3</v>
      </c>
      <c r="E5889" s="362" t="s">
        <v>1964</v>
      </c>
      <c r="F5889" s="362" t="s">
        <v>1965</v>
      </c>
      <c r="G5889" s="410" t="s">
        <v>405</v>
      </c>
      <c r="H5889" s="402" t="s">
        <v>536</v>
      </c>
      <c r="I5889" s="402" t="s">
        <v>1210</v>
      </c>
      <c r="J5889" s="402"/>
      <c r="K5889" s="410" t="s">
        <v>223</v>
      </c>
      <c r="L5889" s="478">
        <v>140</v>
      </c>
      <c r="M5889" s="371"/>
      <c r="N5889" s="355" t="s">
        <v>2408</v>
      </c>
      <c r="O5889" s="345"/>
      <c r="P5889" s="325"/>
      <c r="Q5889" s="327"/>
      <c r="R5889" s="351"/>
      <c r="S5889" s="351"/>
      <c r="T5889" s="351"/>
      <c r="U5889" s="329" t="str">
        <f>IF($N5889=$N$4,IFERROR(INDEX(DanhMuc!$E$154:$E$165,MATCH(MID($B5889,4,2),DanhMuc!$B$154:$B$165,0)),""),"")</f>
        <v/>
      </c>
      <c r="V5889" s="361"/>
      <c r="W5889" s="345"/>
      <c r="X5889" s="786"/>
      <c r="Y5889" s="1128" t="s">
        <v>3380</v>
      </c>
      <c r="Z5889" s="1128" t="s">
        <v>3381</v>
      </c>
      <c r="AA5889" s="1128" t="s">
        <v>3384</v>
      </c>
      <c r="AB5889" s="20"/>
      <c r="AC5889" s="73"/>
    </row>
    <row r="5890" spans="1:29">
      <c r="A5890" s="327" t="str">
        <f>IF(AND($B5890&lt;&gt;"",$C5890&lt;&gt;""),MAX($A$4730:$A5889)+1,"")</f>
        <v/>
      </c>
      <c r="B5890" s="361" t="s">
        <v>855</v>
      </c>
      <c r="C5890" s="362"/>
      <c r="D5890" s="327">
        <f>IF($B5890="","",COUNTIF($B$4731:$B5890,$B5890))</f>
        <v>4</v>
      </c>
      <c r="E5890" s="361" t="s">
        <v>656</v>
      </c>
      <c r="F5890" s="362" t="s">
        <v>2239</v>
      </c>
      <c r="G5890" s="327" t="s">
        <v>405</v>
      </c>
      <c r="H5890" s="361" t="s">
        <v>536</v>
      </c>
      <c r="I5890" s="361" t="s">
        <v>1827</v>
      </c>
      <c r="J5890" s="361"/>
      <c r="K5890" s="327" t="s">
        <v>100</v>
      </c>
      <c r="L5890" s="478">
        <v>970</v>
      </c>
      <c r="M5890" s="371"/>
      <c r="N5890" s="355" t="s">
        <v>2409</v>
      </c>
      <c r="O5890" s="345"/>
      <c r="P5890" s="325"/>
      <c r="Q5890" s="327"/>
      <c r="R5890" s="351"/>
      <c r="S5890" s="351"/>
      <c r="T5890" s="351"/>
      <c r="U5890" s="329" t="str">
        <f>IF($N5890=$N$4,IFERROR(INDEX(DanhMuc!$E$154:$E$165,MATCH(MID($B5890,4,2),DanhMuc!$B$154:$B$165,0)),""),"")</f>
        <v/>
      </c>
      <c r="V5890" s="361"/>
      <c r="W5890" s="345"/>
      <c r="X5890" s="786"/>
      <c r="Y5890" s="1128" t="s">
        <v>3380</v>
      </c>
      <c r="Z5890" s="1128" t="s">
        <v>3381</v>
      </c>
      <c r="AA5890" s="1128" t="s">
        <v>3384</v>
      </c>
      <c r="AB5890" s="20"/>
      <c r="AC5890" s="73"/>
    </row>
    <row r="5891" spans="1:29">
      <c r="A5891" s="327" t="str">
        <f>IF(AND($B5891&lt;&gt;"",$C5891&lt;&gt;""),MAX($A$4730:$A5890)+1,"")</f>
        <v/>
      </c>
      <c r="B5891" s="361" t="s">
        <v>855</v>
      </c>
      <c r="C5891" s="362"/>
      <c r="D5891" s="327">
        <f>IF($B5891="","",COUNTIF($B$4731:$B5891,$B5891))</f>
        <v>5</v>
      </c>
      <c r="E5891" s="361" t="s">
        <v>657</v>
      </c>
      <c r="F5891" s="362" t="s">
        <v>658</v>
      </c>
      <c r="G5891" s="327" t="s">
        <v>424</v>
      </c>
      <c r="H5891" s="361" t="s">
        <v>536</v>
      </c>
      <c r="I5891" s="361" t="s">
        <v>665</v>
      </c>
      <c r="J5891" s="361"/>
      <c r="K5891" s="327" t="s">
        <v>100</v>
      </c>
      <c r="L5891" s="478">
        <v>60000</v>
      </c>
      <c r="M5891" s="355"/>
      <c r="N5891" s="355" t="s">
        <v>2409</v>
      </c>
      <c r="O5891" s="345"/>
      <c r="P5891" s="325"/>
      <c r="Q5891" s="327"/>
      <c r="R5891" s="351"/>
      <c r="S5891" s="351"/>
      <c r="T5891" s="351"/>
      <c r="U5891" s="329" t="str">
        <f>IF($N5891=$N$4,IFERROR(INDEX(DanhMuc!$E$154:$E$165,MATCH(MID($B5891,4,2),DanhMuc!$B$154:$B$165,0)),""),"")</f>
        <v/>
      </c>
      <c r="V5891" s="361"/>
      <c r="W5891" s="345"/>
      <c r="X5891" s="786"/>
      <c r="Y5891" s="1128" t="s">
        <v>3380</v>
      </c>
      <c r="Z5891" s="1128" t="s">
        <v>3381</v>
      </c>
      <c r="AA5891" s="1128" t="s">
        <v>3384</v>
      </c>
      <c r="AB5891" s="20"/>
      <c r="AC5891" s="73"/>
    </row>
    <row r="5892" spans="1:29">
      <c r="A5892" s="327" t="str">
        <f>IF(AND($B5892&lt;&gt;"",$C5892&lt;&gt;""),MAX($A$4730:$A5891)+1,"")</f>
        <v/>
      </c>
      <c r="B5892" s="361" t="s">
        <v>855</v>
      </c>
      <c r="C5892" s="362"/>
      <c r="D5892" s="327">
        <f>IF($B5892="","",COUNTIF($B$4731:$B5892,$B5892))</f>
        <v>6</v>
      </c>
      <c r="E5892" s="361" t="s">
        <v>2771</v>
      </c>
      <c r="F5892" s="362" t="s">
        <v>659</v>
      </c>
      <c r="G5892" s="327" t="s">
        <v>424</v>
      </c>
      <c r="H5892" s="361" t="s">
        <v>536</v>
      </c>
      <c r="I5892" s="361" t="s">
        <v>666</v>
      </c>
      <c r="J5892" s="361"/>
      <c r="K5892" s="327" t="s">
        <v>100</v>
      </c>
      <c r="L5892" s="389">
        <v>53000</v>
      </c>
      <c r="M5892" s="355"/>
      <c r="N5892" s="355" t="s">
        <v>2409</v>
      </c>
      <c r="O5892" s="345"/>
      <c r="P5892" s="325"/>
      <c r="Q5892" s="327"/>
      <c r="R5892" s="351"/>
      <c r="S5892" s="351"/>
      <c r="T5892" s="351"/>
      <c r="U5892" s="329" t="str">
        <f>IF($N5892=$N$4,IFERROR(INDEX(DanhMuc!$E$154:$E$165,MATCH(MID($B5892,4,2),DanhMuc!$B$154:$B$165,0)),""),"")</f>
        <v/>
      </c>
      <c r="V5892" s="361"/>
      <c r="W5892" s="345"/>
      <c r="X5892" s="786"/>
      <c r="Y5892" s="1128" t="s">
        <v>3380</v>
      </c>
      <c r="Z5892" s="1128" t="s">
        <v>3381</v>
      </c>
      <c r="AA5892" s="1128" t="s">
        <v>3384</v>
      </c>
      <c r="AB5892" s="20"/>
      <c r="AC5892" s="73"/>
    </row>
    <row r="5893" spans="1:29">
      <c r="A5893" s="327" t="str">
        <f>IF(AND($B5893&lt;&gt;"",$C5893&lt;&gt;""),MAX($A$4730:$A5892)+1,"")</f>
        <v/>
      </c>
      <c r="B5893" s="361" t="s">
        <v>855</v>
      </c>
      <c r="C5893" s="362"/>
      <c r="D5893" s="327">
        <f>IF($B5893="","",COUNTIF($B$4731:$B5893,$B5893))</f>
        <v>7</v>
      </c>
      <c r="E5893" s="361" t="s">
        <v>1828</v>
      </c>
      <c r="F5893" s="362" t="s">
        <v>671</v>
      </c>
      <c r="G5893" s="327" t="s">
        <v>661</v>
      </c>
      <c r="H5893" s="361" t="s">
        <v>536</v>
      </c>
      <c r="I5893" s="361" t="s">
        <v>2355</v>
      </c>
      <c r="J5893" s="361"/>
      <c r="K5893" s="327" t="s">
        <v>100</v>
      </c>
      <c r="L5893" s="478">
        <f>40000/1000</f>
        <v>40</v>
      </c>
      <c r="M5893" s="355"/>
      <c r="N5893" s="355" t="s">
        <v>2409</v>
      </c>
      <c r="O5893" s="345"/>
      <c r="P5893" s="325"/>
      <c r="Q5893" s="327"/>
      <c r="R5893" s="351"/>
      <c r="S5893" s="351"/>
      <c r="T5893" s="351"/>
      <c r="U5893" s="329" t="str">
        <f>IF($N5893=$N$4,IFERROR(INDEX(DanhMuc!$E$154:$E$165,MATCH(MID($B5893,4,2),DanhMuc!$B$154:$B$165,0)),""),"")</f>
        <v/>
      </c>
      <c r="V5893" s="361"/>
      <c r="W5893" s="345"/>
      <c r="X5893" s="786"/>
      <c r="Y5893" s="1128" t="s">
        <v>3380</v>
      </c>
      <c r="Z5893" s="1128" t="s">
        <v>3381</v>
      </c>
      <c r="AA5893" s="1128" t="s">
        <v>3384</v>
      </c>
      <c r="AB5893" s="20"/>
      <c r="AC5893" s="73"/>
    </row>
    <row r="5894" spans="1:29">
      <c r="A5894" s="327" t="str">
        <f>IF(AND($B5894&lt;&gt;"",$C5894&lt;&gt;""),MAX($A$4730:$A5893)+1,"")</f>
        <v/>
      </c>
      <c r="B5894" s="361" t="s">
        <v>855</v>
      </c>
      <c r="C5894" s="362"/>
      <c r="D5894" s="327">
        <f>IF($B5894="","",COUNTIF($B$4731:$B5894,$B5894))</f>
        <v>8</v>
      </c>
      <c r="E5894" s="361" t="s">
        <v>154</v>
      </c>
      <c r="F5894" s="362" t="s">
        <v>660</v>
      </c>
      <c r="G5894" s="327" t="s">
        <v>661</v>
      </c>
      <c r="H5894" s="361" t="s">
        <v>536</v>
      </c>
      <c r="I5894" s="361" t="s">
        <v>667</v>
      </c>
      <c r="J5894" s="361"/>
      <c r="K5894" s="327" t="s">
        <v>662</v>
      </c>
      <c r="L5894" s="478">
        <v>20</v>
      </c>
      <c r="M5894" s="355"/>
      <c r="N5894" s="355" t="s">
        <v>2409</v>
      </c>
      <c r="O5894" s="345"/>
      <c r="P5894" s="325"/>
      <c r="Q5894" s="327"/>
      <c r="R5894" s="351"/>
      <c r="S5894" s="351"/>
      <c r="T5894" s="351"/>
      <c r="U5894" s="329" t="str">
        <f>IF($N5894=$N$4,IFERROR(INDEX(DanhMuc!$E$154:$E$165,MATCH(MID($B5894,4,2),DanhMuc!$B$154:$B$165,0)),""),"")</f>
        <v/>
      </c>
      <c r="V5894" s="361"/>
      <c r="W5894" s="345"/>
      <c r="X5894" s="786"/>
      <c r="Y5894" s="1128" t="s">
        <v>3380</v>
      </c>
      <c r="Z5894" s="1128" t="s">
        <v>3381</v>
      </c>
      <c r="AA5894" s="1128" t="s">
        <v>3384</v>
      </c>
      <c r="AB5894" s="20"/>
      <c r="AC5894" s="73"/>
    </row>
    <row r="5895" spans="1:29">
      <c r="A5895" s="327" t="str">
        <f>IF(AND($B5895&lt;&gt;"",$C5895&lt;&gt;""),MAX($A$4730:$A5894)+1,"")</f>
        <v/>
      </c>
      <c r="B5895" s="361" t="s">
        <v>855</v>
      </c>
      <c r="C5895" s="362"/>
      <c r="D5895" s="327">
        <f>IF($B5895="","",COUNTIF($B$4731:$B5895,$B5895))</f>
        <v>9</v>
      </c>
      <c r="E5895" s="362" t="s">
        <v>2282</v>
      </c>
      <c r="F5895" s="362" t="s">
        <v>2283</v>
      </c>
      <c r="G5895" s="327" t="s">
        <v>424</v>
      </c>
      <c r="H5895" s="361" t="s">
        <v>536</v>
      </c>
      <c r="I5895" s="361" t="s">
        <v>2238</v>
      </c>
      <c r="J5895" s="361"/>
      <c r="K5895" s="327" t="s">
        <v>662</v>
      </c>
      <c r="L5895" s="478">
        <v>28000</v>
      </c>
      <c r="M5895" s="355"/>
      <c r="N5895" s="355" t="s">
        <v>2409</v>
      </c>
      <c r="O5895" s="345"/>
      <c r="P5895" s="325"/>
      <c r="Q5895" s="327"/>
      <c r="R5895" s="351"/>
      <c r="S5895" s="351"/>
      <c r="T5895" s="351"/>
      <c r="U5895" s="329" t="str">
        <f>IF($N5895=$N$4,IFERROR(INDEX(DanhMuc!$E$154:$E$165,MATCH(MID($B5895,4,2),DanhMuc!$B$154:$B$165,0)),""),"")</f>
        <v/>
      </c>
      <c r="V5895" s="361"/>
      <c r="W5895" s="345"/>
      <c r="X5895" s="786"/>
      <c r="Y5895" s="1128" t="s">
        <v>3380</v>
      </c>
      <c r="Z5895" s="1128" t="s">
        <v>3381</v>
      </c>
      <c r="AA5895" s="1128" t="s">
        <v>3384</v>
      </c>
      <c r="AB5895" s="20"/>
      <c r="AC5895" s="73"/>
    </row>
    <row r="5896" spans="1:29">
      <c r="A5896" s="327" t="str">
        <f>IF(AND($B5896&lt;&gt;"",$C5896&lt;&gt;""),MAX($A$4730:$A5895)+1,"")</f>
        <v/>
      </c>
      <c r="B5896" s="361" t="s">
        <v>855</v>
      </c>
      <c r="C5896" s="362"/>
      <c r="D5896" s="327">
        <f>IF($B5896="","",COUNTIF($B$4731:$B5896,$B5896))</f>
        <v>10</v>
      </c>
      <c r="E5896" s="362" t="s">
        <v>663</v>
      </c>
      <c r="F5896" s="362" t="s">
        <v>664</v>
      </c>
      <c r="G5896" s="327" t="s">
        <v>155</v>
      </c>
      <c r="H5896" s="361" t="s">
        <v>536</v>
      </c>
      <c r="I5896" s="361" t="s">
        <v>672</v>
      </c>
      <c r="J5896" s="361"/>
      <c r="K5896" s="327" t="s">
        <v>662</v>
      </c>
      <c r="L5896" s="478">
        <v>1000</v>
      </c>
      <c r="M5896" s="355"/>
      <c r="N5896" s="355" t="s">
        <v>2409</v>
      </c>
      <c r="O5896" s="345"/>
      <c r="P5896" s="325"/>
      <c r="Q5896" s="327"/>
      <c r="R5896" s="351"/>
      <c r="S5896" s="351"/>
      <c r="T5896" s="351"/>
      <c r="U5896" s="329" t="str">
        <f>IF($N5896=$N$4,IFERROR(INDEX(DanhMuc!$E$154:$E$165,MATCH(MID($B5896,4,2),DanhMuc!$B$154:$B$165,0)),""),"")</f>
        <v/>
      </c>
      <c r="V5896" s="361"/>
      <c r="W5896" s="345"/>
      <c r="X5896" s="786"/>
      <c r="Y5896" s="1128" t="s">
        <v>3380</v>
      </c>
      <c r="Z5896" s="1128" t="s">
        <v>3381</v>
      </c>
      <c r="AA5896" s="1128" t="s">
        <v>3384</v>
      </c>
      <c r="AB5896" s="20"/>
      <c r="AC5896" s="73"/>
    </row>
    <row r="5897" spans="1:29" ht="26">
      <c r="A5897" s="327">
        <f>IF(AND($B5897&lt;&gt;"",$C5897&lt;&gt;""),MAX($A$4730:$A5248)+1,"")</f>
        <v>18</v>
      </c>
      <c r="B5897" s="359" t="s">
        <v>616</v>
      </c>
      <c r="C5897" s="370" t="s">
        <v>1565</v>
      </c>
      <c r="D5897" s="327">
        <f>IF($B5897="","",COUNTIF($B$4731:$B5897,$B5897))</f>
        <v>1</v>
      </c>
      <c r="E5897" s="361" t="s">
        <v>1826</v>
      </c>
      <c r="F5897" s="362" t="s">
        <v>670</v>
      </c>
      <c r="G5897" s="327" t="s">
        <v>661</v>
      </c>
      <c r="H5897" s="361" t="s">
        <v>536</v>
      </c>
      <c r="I5897" s="361" t="s">
        <v>2354</v>
      </c>
      <c r="J5897" s="361"/>
      <c r="K5897" s="327" t="s">
        <v>103</v>
      </c>
      <c r="L5897" s="478">
        <f>40000/1000</f>
        <v>40</v>
      </c>
      <c r="M5897" s="355"/>
      <c r="N5897" s="355" t="s">
        <v>2408</v>
      </c>
      <c r="O5897" s="345"/>
      <c r="P5897" s="325"/>
      <c r="Q5897" s="327"/>
      <c r="R5897" s="351"/>
      <c r="S5897" s="351"/>
      <c r="T5897" s="351"/>
      <c r="U5897" s="329" t="str">
        <f>IF($N5897=$N$4,IFERROR(INDEX(DanhMuc!$E$154:$E$165,MATCH(MID($B5897,4,2),DanhMuc!$B$154:$B$165,0)),""),"")</f>
        <v/>
      </c>
      <c r="V5897" s="361"/>
      <c r="W5897" s="345"/>
      <c r="X5897" s="786"/>
      <c r="Y5897" s="1128" t="s">
        <v>3380</v>
      </c>
      <c r="Z5897" s="1128" t="s">
        <v>3381</v>
      </c>
      <c r="AA5897" s="1128" t="s">
        <v>3384</v>
      </c>
      <c r="AB5897" s="20"/>
      <c r="AC5897" s="73"/>
    </row>
    <row r="5898" spans="1:29" ht="25">
      <c r="A5898" s="327" t="str">
        <f>IF(AND($B5898&lt;&gt;"",$C5898&lt;&gt;""),MAX($A$4730:$A5897)+1,"")</f>
        <v/>
      </c>
      <c r="B5898" s="361" t="s">
        <v>616</v>
      </c>
      <c r="C5898" s="362"/>
      <c r="D5898" s="327">
        <f>IF($B5898="","",COUNTIF($B$4731:$B5898,$B5898))</f>
        <v>2</v>
      </c>
      <c r="E5898" s="362" t="s">
        <v>1966</v>
      </c>
      <c r="F5898" s="362" t="s">
        <v>1967</v>
      </c>
      <c r="G5898" s="327" t="s">
        <v>405</v>
      </c>
      <c r="H5898" s="361" t="s">
        <v>536</v>
      </c>
      <c r="I5898" s="361" t="s">
        <v>1309</v>
      </c>
      <c r="J5898" s="361"/>
      <c r="K5898" s="327" t="s">
        <v>223</v>
      </c>
      <c r="L5898" s="389">
        <v>750</v>
      </c>
      <c r="M5898" s="371"/>
      <c r="N5898" s="355" t="s">
        <v>2408</v>
      </c>
      <c r="O5898" s="345"/>
      <c r="P5898" s="325"/>
      <c r="Q5898" s="327"/>
      <c r="R5898" s="351"/>
      <c r="S5898" s="351"/>
      <c r="T5898" s="351"/>
      <c r="U5898" s="329" t="str">
        <f>IF($N5898=$N$4,IFERROR(INDEX(DanhMuc!$E$154:$E$165,MATCH(MID($B5898,4,2),DanhMuc!$B$154:$B$165,0)),""),"")</f>
        <v/>
      </c>
      <c r="V5898" s="361"/>
      <c r="W5898" s="345"/>
      <c r="X5898" s="786"/>
      <c r="Y5898" s="1128" t="s">
        <v>3380</v>
      </c>
      <c r="Z5898" s="1128" t="s">
        <v>3381</v>
      </c>
      <c r="AA5898" s="1128" t="s">
        <v>3384</v>
      </c>
      <c r="AB5898" s="20"/>
      <c r="AC5898" s="73"/>
    </row>
    <row r="5899" spans="1:29" ht="37.5">
      <c r="A5899" s="327" t="str">
        <f>IF(AND($B5899&lt;&gt;"",$C5899&lt;&gt;""),MAX($A$4730:$A5898)+1,"")</f>
        <v/>
      </c>
      <c r="B5899" s="361" t="s">
        <v>616</v>
      </c>
      <c r="C5899" s="362"/>
      <c r="D5899" s="327">
        <f>IF($B5899="","",COUNTIF($B$4731:$B5899,$B5899))</f>
        <v>3</v>
      </c>
      <c r="E5899" s="362" t="s">
        <v>1964</v>
      </c>
      <c r="F5899" s="362" t="s">
        <v>1965</v>
      </c>
      <c r="G5899" s="410" t="s">
        <v>405</v>
      </c>
      <c r="H5899" s="402" t="s">
        <v>536</v>
      </c>
      <c r="I5899" s="402" t="s">
        <v>1210</v>
      </c>
      <c r="J5899" s="402"/>
      <c r="K5899" s="410" t="s">
        <v>223</v>
      </c>
      <c r="L5899" s="478">
        <v>140</v>
      </c>
      <c r="M5899" s="371"/>
      <c r="N5899" s="355" t="s">
        <v>2408</v>
      </c>
      <c r="O5899" s="345"/>
      <c r="P5899" s="325"/>
      <c r="Q5899" s="327"/>
      <c r="R5899" s="351"/>
      <c r="S5899" s="351"/>
      <c r="T5899" s="351"/>
      <c r="U5899" s="329" t="str">
        <f>IF($N5899=$N$4,IFERROR(INDEX(DanhMuc!$E$154:$E$165,MATCH(MID($B5899,4,2),DanhMuc!$B$154:$B$165,0)),""),"")</f>
        <v/>
      </c>
      <c r="V5899" s="361"/>
      <c r="W5899" s="345"/>
      <c r="X5899" s="786"/>
      <c r="Y5899" s="1128" t="s">
        <v>3380</v>
      </c>
      <c r="Z5899" s="1128" t="s">
        <v>3381</v>
      </c>
      <c r="AA5899" s="1128" t="s">
        <v>3384</v>
      </c>
      <c r="AB5899" s="20"/>
      <c r="AC5899" s="73"/>
    </row>
    <row r="5900" spans="1:29">
      <c r="A5900" s="327" t="str">
        <f>IF(AND($B5900&lt;&gt;"",$C5900&lt;&gt;""),MAX($A$4730:$A5899)+1,"")</f>
        <v/>
      </c>
      <c r="B5900" s="361" t="s">
        <v>616</v>
      </c>
      <c r="C5900" s="362"/>
      <c r="D5900" s="327">
        <f>IF($B5900="","",COUNTIF($B$4731:$B5900,$B5900))</f>
        <v>4</v>
      </c>
      <c r="E5900" s="361" t="s">
        <v>656</v>
      </c>
      <c r="F5900" s="362" t="s">
        <v>2239</v>
      </c>
      <c r="G5900" s="327" t="s">
        <v>405</v>
      </c>
      <c r="H5900" s="361" t="s">
        <v>536</v>
      </c>
      <c r="I5900" s="361" t="s">
        <v>1827</v>
      </c>
      <c r="J5900" s="361"/>
      <c r="K5900" s="327" t="s">
        <v>100</v>
      </c>
      <c r="L5900" s="478">
        <v>970</v>
      </c>
      <c r="M5900" s="371"/>
      <c r="N5900" s="355" t="s">
        <v>2409</v>
      </c>
      <c r="O5900" s="345"/>
      <c r="P5900" s="325"/>
      <c r="Q5900" s="327"/>
      <c r="R5900" s="351"/>
      <c r="S5900" s="351"/>
      <c r="T5900" s="351"/>
      <c r="U5900" s="329" t="str">
        <f>IF($N5900=$N$4,IFERROR(INDEX(DanhMuc!$E$154:$E$165,MATCH(MID($B5900,4,2),DanhMuc!$B$154:$B$165,0)),""),"")</f>
        <v/>
      </c>
      <c r="V5900" s="361"/>
      <c r="W5900" s="345"/>
      <c r="X5900" s="786"/>
      <c r="Y5900" s="1128" t="s">
        <v>3380</v>
      </c>
      <c r="Z5900" s="1128" t="s">
        <v>3381</v>
      </c>
      <c r="AA5900" s="1128" t="s">
        <v>3384</v>
      </c>
      <c r="AB5900" s="20"/>
      <c r="AC5900" s="73"/>
    </row>
    <row r="5901" spans="1:29">
      <c r="A5901" s="327" t="str">
        <f>IF(AND($B5901&lt;&gt;"",$C5901&lt;&gt;""),MAX($A$4730:$A5900)+1,"")</f>
        <v/>
      </c>
      <c r="B5901" s="361" t="s">
        <v>616</v>
      </c>
      <c r="C5901" s="362"/>
      <c r="D5901" s="327">
        <f>IF($B5901="","",COUNTIF($B$4731:$B5901,$B5901))</f>
        <v>5</v>
      </c>
      <c r="E5901" s="361" t="s">
        <v>657</v>
      </c>
      <c r="F5901" s="362" t="s">
        <v>658</v>
      </c>
      <c r="G5901" s="327" t="s">
        <v>424</v>
      </c>
      <c r="H5901" s="361" t="s">
        <v>536</v>
      </c>
      <c r="I5901" s="361" t="s">
        <v>665</v>
      </c>
      <c r="J5901" s="361"/>
      <c r="K5901" s="327" t="s">
        <v>100</v>
      </c>
      <c r="L5901" s="478">
        <v>60000</v>
      </c>
      <c r="M5901" s="355"/>
      <c r="N5901" s="355" t="s">
        <v>2409</v>
      </c>
      <c r="O5901" s="345"/>
      <c r="P5901" s="325"/>
      <c r="Q5901" s="327"/>
      <c r="R5901" s="351"/>
      <c r="S5901" s="351"/>
      <c r="T5901" s="351"/>
      <c r="U5901" s="329" t="str">
        <f>IF($N5901=$N$4,IFERROR(INDEX(DanhMuc!$E$154:$E$165,MATCH(MID($B5901,4,2),DanhMuc!$B$154:$B$165,0)),""),"")</f>
        <v/>
      </c>
      <c r="V5901" s="361"/>
      <c r="W5901" s="345"/>
      <c r="X5901" s="786"/>
      <c r="Y5901" s="1128" t="s">
        <v>3380</v>
      </c>
      <c r="Z5901" s="1128" t="s">
        <v>3381</v>
      </c>
      <c r="AA5901" s="1128" t="s">
        <v>3384</v>
      </c>
      <c r="AB5901" s="20"/>
      <c r="AC5901" s="73"/>
    </row>
    <row r="5902" spans="1:29">
      <c r="A5902" s="327" t="str">
        <f>IF(AND($B5902&lt;&gt;"",$C5902&lt;&gt;""),MAX($A$4730:$A5901)+1,"")</f>
        <v/>
      </c>
      <c r="B5902" s="361" t="s">
        <v>616</v>
      </c>
      <c r="C5902" s="362"/>
      <c r="D5902" s="327">
        <f>IF($B5902="","",COUNTIF($B$4731:$B5902,$B5902))</f>
        <v>6</v>
      </c>
      <c r="E5902" s="361" t="s">
        <v>2771</v>
      </c>
      <c r="F5902" s="362" t="s">
        <v>659</v>
      </c>
      <c r="G5902" s="327" t="s">
        <v>424</v>
      </c>
      <c r="H5902" s="361" t="s">
        <v>536</v>
      </c>
      <c r="I5902" s="361" t="s">
        <v>666</v>
      </c>
      <c r="J5902" s="361"/>
      <c r="K5902" s="327" t="s">
        <v>100</v>
      </c>
      <c r="L5902" s="389">
        <v>53000</v>
      </c>
      <c r="M5902" s="355"/>
      <c r="N5902" s="355" t="s">
        <v>2409</v>
      </c>
      <c r="O5902" s="345"/>
      <c r="P5902" s="325"/>
      <c r="Q5902" s="327"/>
      <c r="R5902" s="351"/>
      <c r="S5902" s="351"/>
      <c r="T5902" s="351"/>
      <c r="U5902" s="329" t="str">
        <f>IF($N5902=$N$4,IFERROR(INDEX(DanhMuc!$E$154:$E$165,MATCH(MID($B5902,4,2),DanhMuc!$B$154:$B$165,0)),""),"")</f>
        <v/>
      </c>
      <c r="V5902" s="361"/>
      <c r="W5902" s="345"/>
      <c r="X5902" s="786"/>
      <c r="Y5902" s="1128" t="s">
        <v>3380</v>
      </c>
      <c r="Z5902" s="1128" t="s">
        <v>3381</v>
      </c>
      <c r="AA5902" s="1128" t="s">
        <v>3384</v>
      </c>
      <c r="AB5902" s="20"/>
      <c r="AC5902" s="73"/>
    </row>
    <row r="5903" spans="1:29">
      <c r="A5903" s="327" t="str">
        <f>IF(AND($B5903&lt;&gt;"",$C5903&lt;&gt;""),MAX($A$4730:$A5902)+1,"")</f>
        <v/>
      </c>
      <c r="B5903" s="361" t="s">
        <v>616</v>
      </c>
      <c r="C5903" s="362"/>
      <c r="D5903" s="327">
        <f>IF($B5903="","",COUNTIF($B$4731:$B5903,$B5903))</f>
        <v>7</v>
      </c>
      <c r="E5903" s="361" t="s">
        <v>1828</v>
      </c>
      <c r="F5903" s="362" t="s">
        <v>671</v>
      </c>
      <c r="G5903" s="327" t="s">
        <v>661</v>
      </c>
      <c r="H5903" s="361" t="s">
        <v>536</v>
      </c>
      <c r="I5903" s="361" t="s">
        <v>2355</v>
      </c>
      <c r="J5903" s="361"/>
      <c r="K5903" s="327" t="s">
        <v>100</v>
      </c>
      <c r="L5903" s="478">
        <f>40000/1000</f>
        <v>40</v>
      </c>
      <c r="M5903" s="355"/>
      <c r="N5903" s="355" t="s">
        <v>2409</v>
      </c>
      <c r="O5903" s="345"/>
      <c r="P5903" s="325"/>
      <c r="Q5903" s="327"/>
      <c r="R5903" s="351"/>
      <c r="S5903" s="351"/>
      <c r="T5903" s="351"/>
      <c r="U5903" s="329" t="str">
        <f>IF($N5903=$N$4,IFERROR(INDEX(DanhMuc!$E$154:$E$165,MATCH(MID($B5903,4,2),DanhMuc!$B$154:$B$165,0)),""),"")</f>
        <v/>
      </c>
      <c r="V5903" s="361"/>
      <c r="W5903" s="345"/>
      <c r="X5903" s="786"/>
      <c r="Y5903" s="1128" t="s">
        <v>3380</v>
      </c>
      <c r="Z5903" s="1128" t="s">
        <v>3381</v>
      </c>
      <c r="AA5903" s="1128" t="s">
        <v>3384</v>
      </c>
      <c r="AB5903" s="20"/>
      <c r="AC5903" s="73"/>
    </row>
    <row r="5904" spans="1:29">
      <c r="A5904" s="327" t="str">
        <f>IF(AND($B5904&lt;&gt;"",$C5904&lt;&gt;""),MAX($A$4730:$A5903)+1,"")</f>
        <v/>
      </c>
      <c r="B5904" s="361" t="s">
        <v>616</v>
      </c>
      <c r="C5904" s="362"/>
      <c r="D5904" s="327">
        <f>IF($B5904="","",COUNTIF($B$4731:$B5904,$B5904))</f>
        <v>8</v>
      </c>
      <c r="E5904" s="361" t="s">
        <v>154</v>
      </c>
      <c r="F5904" s="362" t="s">
        <v>660</v>
      </c>
      <c r="G5904" s="327" t="s">
        <v>661</v>
      </c>
      <c r="H5904" s="361" t="s">
        <v>536</v>
      </c>
      <c r="I5904" s="361" t="s">
        <v>667</v>
      </c>
      <c r="J5904" s="361"/>
      <c r="K5904" s="327" t="s">
        <v>662</v>
      </c>
      <c r="L5904" s="478">
        <v>20</v>
      </c>
      <c r="M5904" s="355"/>
      <c r="N5904" s="355" t="s">
        <v>2409</v>
      </c>
      <c r="O5904" s="345"/>
      <c r="P5904" s="325"/>
      <c r="Q5904" s="327"/>
      <c r="R5904" s="351"/>
      <c r="S5904" s="351"/>
      <c r="T5904" s="351"/>
      <c r="U5904" s="329" t="str">
        <f>IF($N5904=$N$4,IFERROR(INDEX(DanhMuc!$E$154:$E$165,MATCH(MID($B5904,4,2),DanhMuc!$B$154:$B$165,0)),""),"")</f>
        <v/>
      </c>
      <c r="V5904" s="361"/>
      <c r="W5904" s="345"/>
      <c r="X5904" s="786"/>
      <c r="Y5904" s="1128" t="s">
        <v>3380</v>
      </c>
      <c r="Z5904" s="1128" t="s">
        <v>3381</v>
      </c>
      <c r="AA5904" s="1128" t="s">
        <v>3384</v>
      </c>
      <c r="AB5904" s="20"/>
      <c r="AC5904" s="73"/>
    </row>
    <row r="5905" spans="1:29">
      <c r="A5905" s="327" t="str">
        <f>IF(AND($B5905&lt;&gt;"",$C5905&lt;&gt;""),MAX($A$4730:$A5904)+1,"")</f>
        <v/>
      </c>
      <c r="B5905" s="361" t="s">
        <v>616</v>
      </c>
      <c r="C5905" s="362"/>
      <c r="D5905" s="327">
        <f>IF($B5905="","",COUNTIF($B$4731:$B5905,$B5905))</f>
        <v>9</v>
      </c>
      <c r="E5905" s="362" t="s">
        <v>2282</v>
      </c>
      <c r="F5905" s="362" t="s">
        <v>2283</v>
      </c>
      <c r="G5905" s="327" t="s">
        <v>424</v>
      </c>
      <c r="H5905" s="361" t="s">
        <v>536</v>
      </c>
      <c r="I5905" s="361" t="s">
        <v>2238</v>
      </c>
      <c r="J5905" s="361"/>
      <c r="K5905" s="327" t="s">
        <v>662</v>
      </c>
      <c r="L5905" s="478">
        <v>28000</v>
      </c>
      <c r="M5905" s="355"/>
      <c r="N5905" s="355" t="s">
        <v>2409</v>
      </c>
      <c r="O5905" s="345"/>
      <c r="P5905" s="325"/>
      <c r="Q5905" s="327"/>
      <c r="R5905" s="351"/>
      <c r="S5905" s="351"/>
      <c r="T5905" s="351"/>
      <c r="U5905" s="329" t="str">
        <f>IF($N5905=$N$4,IFERROR(INDEX(DanhMuc!$E$154:$E$165,MATCH(MID($B5905,4,2),DanhMuc!$B$154:$B$165,0)),""),"")</f>
        <v/>
      </c>
      <c r="V5905" s="361"/>
      <c r="W5905" s="345"/>
      <c r="X5905" s="786"/>
      <c r="Y5905" s="1128" t="s">
        <v>3380</v>
      </c>
      <c r="Z5905" s="1128" t="s">
        <v>3381</v>
      </c>
      <c r="AA5905" s="1128" t="s">
        <v>3384</v>
      </c>
      <c r="AB5905" s="20"/>
      <c r="AC5905" s="73"/>
    </row>
    <row r="5906" spans="1:29">
      <c r="A5906" s="327" t="str">
        <f>IF(AND($B5906&lt;&gt;"",$C5906&lt;&gt;""),MAX($A$4730:$A5905)+1,"")</f>
        <v/>
      </c>
      <c r="B5906" s="361" t="s">
        <v>616</v>
      </c>
      <c r="C5906" s="362"/>
      <c r="D5906" s="327">
        <f>IF($B5906="","",COUNTIF($B$4731:$B5906,$B5906))</f>
        <v>10</v>
      </c>
      <c r="E5906" s="362" t="s">
        <v>663</v>
      </c>
      <c r="F5906" s="362" t="s">
        <v>664</v>
      </c>
      <c r="G5906" s="327" t="s">
        <v>155</v>
      </c>
      <c r="H5906" s="361" t="s">
        <v>536</v>
      </c>
      <c r="I5906" s="361" t="s">
        <v>672</v>
      </c>
      <c r="J5906" s="361"/>
      <c r="K5906" s="327" t="s">
        <v>662</v>
      </c>
      <c r="L5906" s="478">
        <v>1000</v>
      </c>
      <c r="M5906" s="355"/>
      <c r="N5906" s="355" t="s">
        <v>2409</v>
      </c>
      <c r="O5906" s="345"/>
      <c r="P5906" s="325"/>
      <c r="Q5906" s="327"/>
      <c r="R5906" s="351"/>
      <c r="S5906" s="351"/>
      <c r="T5906" s="351"/>
      <c r="U5906" s="329" t="str">
        <f>IF($N5906=$N$4,IFERROR(INDEX(DanhMuc!$E$154:$E$165,MATCH(MID($B5906,4,2),DanhMuc!$B$154:$B$165,0)),""),"")</f>
        <v/>
      </c>
      <c r="V5906" s="361"/>
      <c r="W5906" s="345"/>
      <c r="X5906" s="786"/>
      <c r="Y5906" s="1128" t="s">
        <v>3380</v>
      </c>
      <c r="Z5906" s="1128" t="s">
        <v>3381</v>
      </c>
      <c r="AA5906" s="1128" t="s">
        <v>3384</v>
      </c>
      <c r="AB5906" s="20"/>
      <c r="AC5906" s="73"/>
    </row>
    <row r="5907" spans="1:29" ht="26">
      <c r="A5907" s="327">
        <f>IF(AND($B5907&lt;&gt;"",$C5907&lt;&gt;""),MAX($A$4730:$A5906)+1,"")</f>
        <v>46</v>
      </c>
      <c r="B5907" s="359" t="s">
        <v>773</v>
      </c>
      <c r="C5907" s="370" t="s">
        <v>1566</v>
      </c>
      <c r="D5907" s="327">
        <f>IF($B5907="","",COUNTIF($B$4731:$B5907,$B5907))</f>
        <v>1</v>
      </c>
      <c r="E5907" s="361" t="s">
        <v>1826</v>
      </c>
      <c r="F5907" s="362" t="s">
        <v>670</v>
      </c>
      <c r="G5907" s="327" t="s">
        <v>661</v>
      </c>
      <c r="H5907" s="361" t="s">
        <v>536</v>
      </c>
      <c r="I5907" s="361" t="s">
        <v>2354</v>
      </c>
      <c r="J5907" s="361"/>
      <c r="K5907" s="327" t="s">
        <v>103</v>
      </c>
      <c r="L5907" s="478">
        <f>40000/1000</f>
        <v>40</v>
      </c>
      <c r="M5907" s="355"/>
      <c r="N5907" s="355" t="s">
        <v>2408</v>
      </c>
      <c r="O5907" s="345"/>
      <c r="P5907" s="325"/>
      <c r="Q5907" s="327"/>
      <c r="R5907" s="351"/>
      <c r="S5907" s="351"/>
      <c r="T5907" s="351"/>
      <c r="U5907" s="329" t="str">
        <f>IF($N5907=$N$4,IFERROR(INDEX(DanhMuc!$E$154:$E$165,MATCH(MID($B5907,4,2),DanhMuc!$B$154:$B$165,0)),""),"")</f>
        <v/>
      </c>
      <c r="V5907" s="361"/>
      <c r="W5907" s="345"/>
      <c r="X5907" s="786"/>
      <c r="Y5907" s="1128" t="s">
        <v>3380</v>
      </c>
      <c r="Z5907" s="1128" t="s">
        <v>3381</v>
      </c>
      <c r="AA5907" s="1128" t="s">
        <v>3384</v>
      </c>
      <c r="AB5907" s="20"/>
      <c r="AC5907" s="73"/>
    </row>
    <row r="5908" spans="1:29" ht="25">
      <c r="A5908" s="327" t="str">
        <f>IF(AND($B5908&lt;&gt;"",$C5908&lt;&gt;""),MAX($A$4730:$A5907)+1,"")</f>
        <v/>
      </c>
      <c r="B5908" s="361" t="s">
        <v>773</v>
      </c>
      <c r="C5908" s="362"/>
      <c r="D5908" s="327">
        <f>IF($B5908="","",COUNTIF($B$4731:$B5908,$B5908))</f>
        <v>2</v>
      </c>
      <c r="E5908" s="362" t="s">
        <v>1966</v>
      </c>
      <c r="F5908" s="362" t="s">
        <v>1967</v>
      </c>
      <c r="G5908" s="327" t="s">
        <v>405</v>
      </c>
      <c r="H5908" s="361" t="s">
        <v>536</v>
      </c>
      <c r="I5908" s="361" t="s">
        <v>1309</v>
      </c>
      <c r="J5908" s="361"/>
      <c r="K5908" s="327" t="s">
        <v>223</v>
      </c>
      <c r="L5908" s="389">
        <v>750</v>
      </c>
      <c r="M5908" s="371"/>
      <c r="N5908" s="355" t="s">
        <v>2408</v>
      </c>
      <c r="O5908" s="345"/>
      <c r="P5908" s="325"/>
      <c r="Q5908" s="327"/>
      <c r="R5908" s="351"/>
      <c r="S5908" s="351"/>
      <c r="T5908" s="351"/>
      <c r="U5908" s="329" t="str">
        <f>IF($N5908=$N$4,IFERROR(INDEX(DanhMuc!$E$154:$E$165,MATCH(MID($B5908,4,2),DanhMuc!$B$154:$B$165,0)),""),"")</f>
        <v/>
      </c>
      <c r="V5908" s="361"/>
      <c r="W5908" s="345"/>
      <c r="X5908" s="786"/>
      <c r="Y5908" s="1128" t="s">
        <v>3380</v>
      </c>
      <c r="Z5908" s="1128" t="s">
        <v>3381</v>
      </c>
      <c r="AA5908" s="1128" t="s">
        <v>3384</v>
      </c>
      <c r="AB5908" s="20"/>
      <c r="AC5908" s="73"/>
    </row>
    <row r="5909" spans="1:29" ht="37.5">
      <c r="A5909" s="327" t="str">
        <f>IF(AND($B5909&lt;&gt;"",$C5909&lt;&gt;""),MAX($A$4730:$A5908)+1,"")</f>
        <v/>
      </c>
      <c r="B5909" s="361" t="s">
        <v>773</v>
      </c>
      <c r="C5909" s="362"/>
      <c r="D5909" s="327">
        <f>IF($B5909="","",COUNTIF($B$4731:$B5909,$B5909))</f>
        <v>3</v>
      </c>
      <c r="E5909" s="362" t="s">
        <v>1964</v>
      </c>
      <c r="F5909" s="362" t="s">
        <v>1965</v>
      </c>
      <c r="G5909" s="410" t="s">
        <v>405</v>
      </c>
      <c r="H5909" s="402" t="s">
        <v>536</v>
      </c>
      <c r="I5909" s="402" t="s">
        <v>1210</v>
      </c>
      <c r="J5909" s="402"/>
      <c r="K5909" s="410" t="s">
        <v>223</v>
      </c>
      <c r="L5909" s="478">
        <v>140</v>
      </c>
      <c r="M5909" s="371"/>
      <c r="N5909" s="355" t="s">
        <v>2408</v>
      </c>
      <c r="O5909" s="345"/>
      <c r="P5909" s="325"/>
      <c r="Q5909" s="327"/>
      <c r="R5909" s="351"/>
      <c r="S5909" s="351"/>
      <c r="T5909" s="351"/>
      <c r="U5909" s="329" t="str">
        <f>IF($N5909=$N$4,IFERROR(INDEX(DanhMuc!$E$154:$E$165,MATCH(MID($B5909,4,2),DanhMuc!$B$154:$B$165,0)),""),"")</f>
        <v/>
      </c>
      <c r="V5909" s="361"/>
      <c r="W5909" s="345"/>
      <c r="X5909" s="786"/>
      <c r="Y5909" s="1128" t="s">
        <v>3380</v>
      </c>
      <c r="Z5909" s="1128" t="s">
        <v>3381</v>
      </c>
      <c r="AA5909" s="1128" t="s">
        <v>3384</v>
      </c>
      <c r="AB5909" s="20"/>
      <c r="AC5909" s="73"/>
    </row>
    <row r="5910" spans="1:29">
      <c r="A5910" s="327" t="str">
        <f>IF(AND($B5910&lt;&gt;"",$C5910&lt;&gt;""),MAX($A$4730:$A5909)+1,"")</f>
        <v/>
      </c>
      <c r="B5910" s="361" t="s">
        <v>773</v>
      </c>
      <c r="C5910" s="362"/>
      <c r="D5910" s="327">
        <f>IF($B5910="","",COUNTIF($B$4731:$B5910,$B5910))</f>
        <v>4</v>
      </c>
      <c r="E5910" s="361" t="s">
        <v>656</v>
      </c>
      <c r="F5910" s="362" t="s">
        <v>2239</v>
      </c>
      <c r="G5910" s="327" t="s">
        <v>405</v>
      </c>
      <c r="H5910" s="361" t="s">
        <v>536</v>
      </c>
      <c r="I5910" s="361" t="s">
        <v>1827</v>
      </c>
      <c r="J5910" s="361"/>
      <c r="K5910" s="327" t="s">
        <v>100</v>
      </c>
      <c r="L5910" s="478">
        <v>970</v>
      </c>
      <c r="M5910" s="371"/>
      <c r="N5910" s="355" t="s">
        <v>2409</v>
      </c>
      <c r="O5910" s="345"/>
      <c r="P5910" s="325"/>
      <c r="Q5910" s="327"/>
      <c r="R5910" s="351"/>
      <c r="S5910" s="351"/>
      <c r="T5910" s="351"/>
      <c r="U5910" s="329" t="str">
        <f>IF($N5910=$N$4,IFERROR(INDEX(DanhMuc!$E$154:$E$165,MATCH(MID($B5910,4,2),DanhMuc!$B$154:$B$165,0)),""),"")</f>
        <v/>
      </c>
      <c r="V5910" s="361"/>
      <c r="W5910" s="345"/>
      <c r="X5910" s="786"/>
      <c r="Y5910" s="1128" t="s">
        <v>3380</v>
      </c>
      <c r="Z5910" s="1128" t="s">
        <v>3381</v>
      </c>
      <c r="AA5910" s="1128" t="s">
        <v>3384</v>
      </c>
      <c r="AB5910" s="20"/>
      <c r="AC5910" s="73"/>
    </row>
    <row r="5911" spans="1:29">
      <c r="A5911" s="327" t="str">
        <f>IF(AND($B5911&lt;&gt;"",$C5911&lt;&gt;""),MAX($A$4730:$A5910)+1,"")</f>
        <v/>
      </c>
      <c r="B5911" s="361" t="s">
        <v>773</v>
      </c>
      <c r="C5911" s="362"/>
      <c r="D5911" s="327">
        <f>IF($B5911="","",COUNTIF($B$4731:$B5911,$B5911))</f>
        <v>5</v>
      </c>
      <c r="E5911" s="361" t="s">
        <v>657</v>
      </c>
      <c r="F5911" s="362" t="s">
        <v>658</v>
      </c>
      <c r="G5911" s="327" t="s">
        <v>424</v>
      </c>
      <c r="H5911" s="361" t="s">
        <v>536</v>
      </c>
      <c r="I5911" s="361" t="s">
        <v>665</v>
      </c>
      <c r="J5911" s="361"/>
      <c r="K5911" s="327" t="s">
        <v>100</v>
      </c>
      <c r="L5911" s="478">
        <v>60000</v>
      </c>
      <c r="M5911" s="355"/>
      <c r="N5911" s="355" t="s">
        <v>2409</v>
      </c>
      <c r="O5911" s="345"/>
      <c r="P5911" s="325"/>
      <c r="Q5911" s="327"/>
      <c r="R5911" s="351"/>
      <c r="S5911" s="351"/>
      <c r="T5911" s="351"/>
      <c r="U5911" s="329" t="str">
        <f>IF($N5911=$N$4,IFERROR(INDEX(DanhMuc!$E$154:$E$165,MATCH(MID($B5911,4,2),DanhMuc!$B$154:$B$165,0)),""),"")</f>
        <v/>
      </c>
      <c r="V5911" s="361"/>
      <c r="W5911" s="345"/>
      <c r="X5911" s="786"/>
      <c r="Y5911" s="1128" t="s">
        <v>3380</v>
      </c>
      <c r="Z5911" s="1128" t="s">
        <v>3381</v>
      </c>
      <c r="AA5911" s="1128" t="s">
        <v>3384</v>
      </c>
      <c r="AB5911" s="20"/>
      <c r="AC5911" s="73"/>
    </row>
    <row r="5912" spans="1:29">
      <c r="A5912" s="327" t="str">
        <f>IF(AND($B5912&lt;&gt;"",$C5912&lt;&gt;""),MAX($A$4730:$A5911)+1,"")</f>
        <v/>
      </c>
      <c r="B5912" s="361" t="s">
        <v>773</v>
      </c>
      <c r="C5912" s="362"/>
      <c r="D5912" s="327">
        <f>IF($B5912="","",COUNTIF($B$4731:$B5912,$B5912))</f>
        <v>6</v>
      </c>
      <c r="E5912" s="361" t="s">
        <v>2771</v>
      </c>
      <c r="F5912" s="362" t="s">
        <v>659</v>
      </c>
      <c r="G5912" s="327" t="s">
        <v>424</v>
      </c>
      <c r="H5912" s="361" t="s">
        <v>536</v>
      </c>
      <c r="I5912" s="361" t="s">
        <v>666</v>
      </c>
      <c r="J5912" s="361"/>
      <c r="K5912" s="327" t="s">
        <v>100</v>
      </c>
      <c r="L5912" s="389">
        <v>53000</v>
      </c>
      <c r="M5912" s="355"/>
      <c r="N5912" s="355" t="s">
        <v>2409</v>
      </c>
      <c r="O5912" s="345"/>
      <c r="P5912" s="325"/>
      <c r="Q5912" s="327"/>
      <c r="R5912" s="351"/>
      <c r="S5912" s="351"/>
      <c r="T5912" s="351"/>
      <c r="U5912" s="329" t="str">
        <f>IF($N5912=$N$4,IFERROR(INDEX(DanhMuc!$E$154:$E$165,MATCH(MID($B5912,4,2),DanhMuc!$B$154:$B$165,0)),""),"")</f>
        <v/>
      </c>
      <c r="V5912" s="361"/>
      <c r="W5912" s="345"/>
      <c r="X5912" s="786"/>
      <c r="Y5912" s="1128" t="s">
        <v>3380</v>
      </c>
      <c r="Z5912" s="1128" t="s">
        <v>3381</v>
      </c>
      <c r="AA5912" s="1128" t="s">
        <v>3384</v>
      </c>
      <c r="AB5912" s="20"/>
      <c r="AC5912" s="73"/>
    </row>
    <row r="5913" spans="1:29">
      <c r="A5913" s="327" t="str">
        <f>IF(AND($B5913&lt;&gt;"",$C5913&lt;&gt;""),MAX($A$4730:$A5912)+1,"")</f>
        <v/>
      </c>
      <c r="B5913" s="361" t="s">
        <v>773</v>
      </c>
      <c r="C5913" s="362"/>
      <c r="D5913" s="327">
        <f>IF($B5913="","",COUNTIF($B$4731:$B5913,$B5913))</f>
        <v>7</v>
      </c>
      <c r="E5913" s="361" t="s">
        <v>1828</v>
      </c>
      <c r="F5913" s="362" t="s">
        <v>671</v>
      </c>
      <c r="G5913" s="327" t="s">
        <v>661</v>
      </c>
      <c r="H5913" s="361" t="s">
        <v>536</v>
      </c>
      <c r="I5913" s="361" t="s">
        <v>2355</v>
      </c>
      <c r="J5913" s="361"/>
      <c r="K5913" s="327" t="s">
        <v>100</v>
      </c>
      <c r="L5913" s="478">
        <f>40000/1000</f>
        <v>40</v>
      </c>
      <c r="M5913" s="355"/>
      <c r="N5913" s="355" t="s">
        <v>2409</v>
      </c>
      <c r="O5913" s="345"/>
      <c r="P5913" s="325"/>
      <c r="Q5913" s="327"/>
      <c r="R5913" s="351"/>
      <c r="S5913" s="351"/>
      <c r="T5913" s="351"/>
      <c r="U5913" s="329" t="str">
        <f>IF($N5913=$N$4,IFERROR(INDEX(DanhMuc!$E$154:$E$165,MATCH(MID($B5913,4,2),DanhMuc!$B$154:$B$165,0)),""),"")</f>
        <v/>
      </c>
      <c r="V5913" s="361"/>
      <c r="W5913" s="345"/>
      <c r="X5913" s="786"/>
      <c r="Y5913" s="1128" t="s">
        <v>3380</v>
      </c>
      <c r="Z5913" s="1128" t="s">
        <v>3381</v>
      </c>
      <c r="AA5913" s="1128" t="s">
        <v>3384</v>
      </c>
      <c r="AB5913" s="20"/>
      <c r="AC5913" s="73"/>
    </row>
    <row r="5914" spans="1:29">
      <c r="A5914" s="327" t="str">
        <f>IF(AND($B5914&lt;&gt;"",$C5914&lt;&gt;""),MAX($A$4730:$A5913)+1,"")</f>
        <v/>
      </c>
      <c r="B5914" s="361" t="s">
        <v>773</v>
      </c>
      <c r="C5914" s="362"/>
      <c r="D5914" s="327">
        <f>IF($B5914="","",COUNTIF($B$4731:$B5914,$B5914))</f>
        <v>8</v>
      </c>
      <c r="E5914" s="361" t="s">
        <v>154</v>
      </c>
      <c r="F5914" s="362" t="s">
        <v>660</v>
      </c>
      <c r="G5914" s="327" t="s">
        <v>661</v>
      </c>
      <c r="H5914" s="361" t="s">
        <v>536</v>
      </c>
      <c r="I5914" s="361" t="s">
        <v>667</v>
      </c>
      <c r="J5914" s="361"/>
      <c r="K5914" s="327" t="s">
        <v>662</v>
      </c>
      <c r="L5914" s="478">
        <v>20</v>
      </c>
      <c r="M5914" s="355"/>
      <c r="N5914" s="355" t="s">
        <v>2409</v>
      </c>
      <c r="O5914" s="345"/>
      <c r="P5914" s="325"/>
      <c r="Q5914" s="327"/>
      <c r="R5914" s="351"/>
      <c r="S5914" s="351"/>
      <c r="T5914" s="351"/>
      <c r="U5914" s="329" t="str">
        <f>IF($N5914=$N$4,IFERROR(INDEX(DanhMuc!$E$154:$E$165,MATCH(MID($B5914,4,2),DanhMuc!$B$154:$B$165,0)),""),"")</f>
        <v/>
      </c>
      <c r="V5914" s="361"/>
      <c r="W5914" s="345"/>
      <c r="X5914" s="786"/>
      <c r="Y5914" s="1128" t="s">
        <v>3380</v>
      </c>
      <c r="Z5914" s="1128" t="s">
        <v>3381</v>
      </c>
      <c r="AA5914" s="1128" t="s">
        <v>3384</v>
      </c>
      <c r="AB5914" s="20"/>
      <c r="AC5914" s="73"/>
    </row>
    <row r="5915" spans="1:29">
      <c r="A5915" s="327" t="str">
        <f>IF(AND($B5915&lt;&gt;"",$C5915&lt;&gt;""),MAX($A$4730:$A5914)+1,"")</f>
        <v/>
      </c>
      <c r="B5915" s="361" t="s">
        <v>773</v>
      </c>
      <c r="C5915" s="362"/>
      <c r="D5915" s="327">
        <f>IF($B5915="","",COUNTIF($B$4731:$B5915,$B5915))</f>
        <v>9</v>
      </c>
      <c r="E5915" s="362" t="s">
        <v>2282</v>
      </c>
      <c r="F5915" s="362" t="s">
        <v>2283</v>
      </c>
      <c r="G5915" s="327" t="s">
        <v>424</v>
      </c>
      <c r="H5915" s="361" t="s">
        <v>536</v>
      </c>
      <c r="I5915" s="361" t="s">
        <v>2238</v>
      </c>
      <c r="J5915" s="361"/>
      <c r="K5915" s="327" t="s">
        <v>662</v>
      </c>
      <c r="L5915" s="478">
        <v>28000</v>
      </c>
      <c r="M5915" s="355"/>
      <c r="N5915" s="355" t="s">
        <v>2409</v>
      </c>
      <c r="O5915" s="345"/>
      <c r="P5915" s="325"/>
      <c r="Q5915" s="327"/>
      <c r="R5915" s="351"/>
      <c r="S5915" s="351"/>
      <c r="T5915" s="351"/>
      <c r="U5915" s="329" t="str">
        <f>IF($N5915=$N$4,IFERROR(INDEX(DanhMuc!$E$154:$E$165,MATCH(MID($B5915,4,2),DanhMuc!$B$154:$B$165,0)),""),"")</f>
        <v/>
      </c>
      <c r="V5915" s="361"/>
      <c r="W5915" s="345"/>
      <c r="X5915" s="786"/>
      <c r="Y5915" s="1128" t="s">
        <v>3380</v>
      </c>
      <c r="Z5915" s="1128" t="s">
        <v>3381</v>
      </c>
      <c r="AA5915" s="1128" t="s">
        <v>3384</v>
      </c>
      <c r="AB5915" s="20"/>
      <c r="AC5915" s="73"/>
    </row>
    <row r="5916" spans="1:29">
      <c r="A5916" s="327" t="str">
        <f>IF(AND($B5916&lt;&gt;"",$C5916&lt;&gt;""),MAX($A$4730:$A5915)+1,"")</f>
        <v/>
      </c>
      <c r="B5916" s="361" t="s">
        <v>773</v>
      </c>
      <c r="C5916" s="362"/>
      <c r="D5916" s="327">
        <f>IF($B5916="","",COUNTIF($B$4731:$B5916,$B5916))</f>
        <v>10</v>
      </c>
      <c r="E5916" s="362" t="s">
        <v>663</v>
      </c>
      <c r="F5916" s="362" t="s">
        <v>664</v>
      </c>
      <c r="G5916" s="327" t="s">
        <v>155</v>
      </c>
      <c r="H5916" s="361" t="s">
        <v>536</v>
      </c>
      <c r="I5916" s="361" t="s">
        <v>672</v>
      </c>
      <c r="J5916" s="361"/>
      <c r="K5916" s="327" t="s">
        <v>662</v>
      </c>
      <c r="L5916" s="478">
        <v>1000</v>
      </c>
      <c r="M5916" s="355"/>
      <c r="N5916" s="355" t="s">
        <v>2409</v>
      </c>
      <c r="O5916" s="345"/>
      <c r="P5916" s="325"/>
      <c r="Q5916" s="327"/>
      <c r="R5916" s="351"/>
      <c r="S5916" s="351"/>
      <c r="T5916" s="351"/>
      <c r="U5916" s="329" t="str">
        <f>IF($N5916=$N$4,IFERROR(INDEX(DanhMuc!$E$154:$E$165,MATCH(MID($B5916,4,2),DanhMuc!$B$154:$B$165,0)),""),"")</f>
        <v/>
      </c>
      <c r="V5916" s="361"/>
      <c r="W5916" s="345"/>
      <c r="X5916" s="786"/>
      <c r="Y5916" s="1128" t="s">
        <v>3380</v>
      </c>
      <c r="Z5916" s="1128" t="s">
        <v>3381</v>
      </c>
      <c r="AA5916" s="1128" t="s">
        <v>3384</v>
      </c>
      <c r="AB5916" s="20"/>
      <c r="AC5916" s="73"/>
    </row>
    <row r="5917" spans="1:29" ht="26">
      <c r="A5917" s="327">
        <f>IF(AND($B5917&lt;&gt;"",$C5917&lt;&gt;""),MAX($A$4730:$A5916)+1,"")</f>
        <v>47</v>
      </c>
      <c r="B5917" s="359" t="s">
        <v>780</v>
      </c>
      <c r="C5917" s="370" t="s">
        <v>1567</v>
      </c>
      <c r="D5917" s="327">
        <f>IF($B5917="","",COUNTIF($B$4731:$B5917,$B5917))</f>
        <v>1</v>
      </c>
      <c r="E5917" s="361" t="s">
        <v>1826</v>
      </c>
      <c r="F5917" s="362" t="s">
        <v>670</v>
      </c>
      <c r="G5917" s="327" t="s">
        <v>661</v>
      </c>
      <c r="H5917" s="361" t="s">
        <v>536</v>
      </c>
      <c r="I5917" s="361" t="s">
        <v>2354</v>
      </c>
      <c r="J5917" s="361"/>
      <c r="K5917" s="327" t="s">
        <v>103</v>
      </c>
      <c r="L5917" s="478">
        <f>40000/1000</f>
        <v>40</v>
      </c>
      <c r="M5917" s="355"/>
      <c r="N5917" s="355" t="s">
        <v>2408</v>
      </c>
      <c r="O5917" s="345"/>
      <c r="P5917" s="325"/>
      <c r="Q5917" s="327"/>
      <c r="R5917" s="351"/>
      <c r="S5917" s="351"/>
      <c r="T5917" s="351"/>
      <c r="U5917" s="329" t="str">
        <f>IF($N5917=$N$4,IFERROR(INDEX(DanhMuc!$E$154:$E$165,MATCH(MID($B5917,4,2),DanhMuc!$B$154:$B$165,0)),""),"")</f>
        <v/>
      </c>
      <c r="V5917" s="361"/>
      <c r="W5917" s="345"/>
      <c r="X5917" s="786"/>
      <c r="Y5917" s="1128" t="s">
        <v>3380</v>
      </c>
      <c r="Z5917" s="1128" t="s">
        <v>3381</v>
      </c>
      <c r="AA5917" s="1128" t="s">
        <v>3384</v>
      </c>
      <c r="AB5917" s="20"/>
      <c r="AC5917" s="73"/>
    </row>
    <row r="5918" spans="1:29" ht="25">
      <c r="A5918" s="327" t="str">
        <f>IF(AND($B5918&lt;&gt;"",$C5918&lt;&gt;""),MAX($A$4730:$A5917)+1,"")</f>
        <v/>
      </c>
      <c r="B5918" s="361" t="s">
        <v>780</v>
      </c>
      <c r="C5918" s="362"/>
      <c r="D5918" s="327">
        <f>IF($B5918="","",COUNTIF($B$4731:$B5918,$B5918))</f>
        <v>2</v>
      </c>
      <c r="E5918" s="362" t="s">
        <v>1966</v>
      </c>
      <c r="F5918" s="362" t="s">
        <v>1967</v>
      </c>
      <c r="G5918" s="327" t="s">
        <v>405</v>
      </c>
      <c r="H5918" s="361" t="s">
        <v>536</v>
      </c>
      <c r="I5918" s="361" t="s">
        <v>1309</v>
      </c>
      <c r="J5918" s="361"/>
      <c r="K5918" s="327" t="s">
        <v>223</v>
      </c>
      <c r="L5918" s="389">
        <v>750</v>
      </c>
      <c r="M5918" s="371"/>
      <c r="N5918" s="355" t="s">
        <v>2408</v>
      </c>
      <c r="O5918" s="345"/>
      <c r="P5918" s="325"/>
      <c r="Q5918" s="327"/>
      <c r="R5918" s="351"/>
      <c r="S5918" s="351"/>
      <c r="T5918" s="351"/>
      <c r="U5918" s="329" t="str">
        <f>IF($N5918=$N$4,IFERROR(INDEX(DanhMuc!$E$154:$E$165,MATCH(MID($B5918,4,2),DanhMuc!$B$154:$B$165,0)),""),"")</f>
        <v/>
      </c>
      <c r="V5918" s="361"/>
      <c r="W5918" s="345"/>
      <c r="X5918" s="786"/>
      <c r="Y5918" s="1128" t="s">
        <v>3380</v>
      </c>
      <c r="Z5918" s="1128" t="s">
        <v>3381</v>
      </c>
      <c r="AA5918" s="1128" t="s">
        <v>3384</v>
      </c>
      <c r="AB5918" s="20"/>
      <c r="AC5918" s="73"/>
    </row>
    <row r="5919" spans="1:29" ht="37.5">
      <c r="A5919" s="327" t="str">
        <f>IF(AND($B5919&lt;&gt;"",$C5919&lt;&gt;""),MAX($A$4730:$A5918)+1,"")</f>
        <v/>
      </c>
      <c r="B5919" s="361" t="s">
        <v>780</v>
      </c>
      <c r="C5919" s="362"/>
      <c r="D5919" s="327">
        <f>IF($B5919="","",COUNTIF($B$4731:$B5919,$B5919))</f>
        <v>3</v>
      </c>
      <c r="E5919" s="362" t="s">
        <v>1964</v>
      </c>
      <c r="F5919" s="362" t="s">
        <v>1965</v>
      </c>
      <c r="G5919" s="410" t="s">
        <v>405</v>
      </c>
      <c r="H5919" s="402" t="s">
        <v>536</v>
      </c>
      <c r="I5919" s="402" t="s">
        <v>1210</v>
      </c>
      <c r="J5919" s="402"/>
      <c r="K5919" s="410" t="s">
        <v>223</v>
      </c>
      <c r="L5919" s="478">
        <v>140</v>
      </c>
      <c r="M5919" s="371"/>
      <c r="N5919" s="355" t="s">
        <v>2408</v>
      </c>
      <c r="O5919" s="345"/>
      <c r="P5919" s="325"/>
      <c r="Q5919" s="327"/>
      <c r="R5919" s="351"/>
      <c r="S5919" s="351"/>
      <c r="T5919" s="351"/>
      <c r="U5919" s="329" t="str">
        <f>IF($N5919=$N$4,IFERROR(INDEX(DanhMuc!$E$154:$E$165,MATCH(MID($B5919,4,2),DanhMuc!$B$154:$B$165,0)),""),"")</f>
        <v/>
      </c>
      <c r="V5919" s="361"/>
      <c r="W5919" s="345"/>
      <c r="X5919" s="786"/>
      <c r="Y5919" s="1128" t="s">
        <v>3380</v>
      </c>
      <c r="Z5919" s="1128" t="s">
        <v>3381</v>
      </c>
      <c r="AA5919" s="1128" t="s">
        <v>3384</v>
      </c>
      <c r="AB5919" s="20"/>
      <c r="AC5919" s="73"/>
    </row>
    <row r="5920" spans="1:29">
      <c r="A5920" s="327" t="str">
        <f>IF(AND($B5920&lt;&gt;"",$C5920&lt;&gt;""),MAX($A$4730:$A5919)+1,"")</f>
        <v/>
      </c>
      <c r="B5920" s="361" t="s">
        <v>780</v>
      </c>
      <c r="C5920" s="362"/>
      <c r="D5920" s="327">
        <f>IF($B5920="","",COUNTIF($B$4731:$B5920,$B5920))</f>
        <v>4</v>
      </c>
      <c r="E5920" s="361" t="s">
        <v>656</v>
      </c>
      <c r="F5920" s="362" t="s">
        <v>2239</v>
      </c>
      <c r="G5920" s="327" t="s">
        <v>405</v>
      </c>
      <c r="H5920" s="361" t="s">
        <v>536</v>
      </c>
      <c r="I5920" s="361" t="s">
        <v>1827</v>
      </c>
      <c r="J5920" s="361"/>
      <c r="K5920" s="327" t="s">
        <v>100</v>
      </c>
      <c r="L5920" s="478">
        <v>970</v>
      </c>
      <c r="M5920" s="371"/>
      <c r="N5920" s="355" t="s">
        <v>2409</v>
      </c>
      <c r="O5920" s="345"/>
      <c r="P5920" s="325"/>
      <c r="Q5920" s="327"/>
      <c r="R5920" s="351"/>
      <c r="S5920" s="351"/>
      <c r="T5920" s="351"/>
      <c r="U5920" s="329" t="str">
        <f>IF($N5920=$N$4,IFERROR(INDEX(DanhMuc!$E$154:$E$165,MATCH(MID($B5920,4,2),DanhMuc!$B$154:$B$165,0)),""),"")</f>
        <v/>
      </c>
      <c r="V5920" s="361"/>
      <c r="W5920" s="345"/>
      <c r="X5920" s="786"/>
      <c r="Y5920" s="1128" t="s">
        <v>3380</v>
      </c>
      <c r="Z5920" s="1128" t="s">
        <v>3381</v>
      </c>
      <c r="AA5920" s="1128" t="s">
        <v>3384</v>
      </c>
      <c r="AB5920" s="20"/>
      <c r="AC5920" s="73"/>
    </row>
    <row r="5921" spans="1:29">
      <c r="A5921" s="327" t="str">
        <f>IF(AND($B5921&lt;&gt;"",$C5921&lt;&gt;""),MAX($A$4730:$A5920)+1,"")</f>
        <v/>
      </c>
      <c r="B5921" s="361" t="s">
        <v>780</v>
      </c>
      <c r="C5921" s="362"/>
      <c r="D5921" s="327">
        <f>IF($B5921="","",COUNTIF($B$4731:$B5921,$B5921))</f>
        <v>5</v>
      </c>
      <c r="E5921" s="361" t="s">
        <v>657</v>
      </c>
      <c r="F5921" s="362" t="s">
        <v>658</v>
      </c>
      <c r="G5921" s="327" t="s">
        <v>424</v>
      </c>
      <c r="H5921" s="361" t="s">
        <v>536</v>
      </c>
      <c r="I5921" s="361" t="s">
        <v>665</v>
      </c>
      <c r="J5921" s="361"/>
      <c r="K5921" s="327" t="s">
        <v>100</v>
      </c>
      <c r="L5921" s="478">
        <v>60000</v>
      </c>
      <c r="M5921" s="355"/>
      <c r="N5921" s="355" t="s">
        <v>2409</v>
      </c>
      <c r="O5921" s="345"/>
      <c r="P5921" s="325"/>
      <c r="Q5921" s="327"/>
      <c r="R5921" s="351"/>
      <c r="S5921" s="351"/>
      <c r="T5921" s="351"/>
      <c r="U5921" s="329" t="str">
        <f>IF($N5921=$N$4,IFERROR(INDEX(DanhMuc!$E$154:$E$165,MATCH(MID($B5921,4,2),DanhMuc!$B$154:$B$165,0)),""),"")</f>
        <v/>
      </c>
      <c r="V5921" s="361"/>
      <c r="W5921" s="345"/>
      <c r="X5921" s="786"/>
      <c r="Y5921" s="1128" t="s">
        <v>3380</v>
      </c>
      <c r="Z5921" s="1128" t="s">
        <v>3381</v>
      </c>
      <c r="AA5921" s="1128" t="s">
        <v>3384</v>
      </c>
      <c r="AB5921" s="20"/>
      <c r="AC5921" s="73"/>
    </row>
    <row r="5922" spans="1:29">
      <c r="A5922" s="327" t="str">
        <f>IF(AND($B5922&lt;&gt;"",$C5922&lt;&gt;""),MAX($A$4730:$A5921)+1,"")</f>
        <v/>
      </c>
      <c r="B5922" s="361" t="s">
        <v>780</v>
      </c>
      <c r="C5922" s="362"/>
      <c r="D5922" s="327">
        <f>IF($B5922="","",COUNTIF($B$4731:$B5922,$B5922))</f>
        <v>6</v>
      </c>
      <c r="E5922" s="361" t="s">
        <v>2771</v>
      </c>
      <c r="F5922" s="362" t="s">
        <v>659</v>
      </c>
      <c r="G5922" s="327" t="s">
        <v>424</v>
      </c>
      <c r="H5922" s="361" t="s">
        <v>536</v>
      </c>
      <c r="I5922" s="361" t="s">
        <v>666</v>
      </c>
      <c r="J5922" s="361"/>
      <c r="K5922" s="327" t="s">
        <v>100</v>
      </c>
      <c r="L5922" s="389">
        <v>53000</v>
      </c>
      <c r="M5922" s="355"/>
      <c r="N5922" s="355" t="s">
        <v>2409</v>
      </c>
      <c r="O5922" s="345"/>
      <c r="P5922" s="325"/>
      <c r="Q5922" s="327"/>
      <c r="R5922" s="351"/>
      <c r="S5922" s="351"/>
      <c r="T5922" s="351"/>
      <c r="U5922" s="329" t="str">
        <f>IF($N5922=$N$4,IFERROR(INDEX(DanhMuc!$E$154:$E$165,MATCH(MID($B5922,4,2),DanhMuc!$B$154:$B$165,0)),""),"")</f>
        <v/>
      </c>
      <c r="V5922" s="361"/>
      <c r="W5922" s="345"/>
      <c r="X5922" s="786"/>
      <c r="Y5922" s="1128" t="s">
        <v>3380</v>
      </c>
      <c r="Z5922" s="1128" t="s">
        <v>3381</v>
      </c>
      <c r="AA5922" s="1128" t="s">
        <v>3384</v>
      </c>
      <c r="AB5922" s="20"/>
      <c r="AC5922" s="73"/>
    </row>
    <row r="5923" spans="1:29">
      <c r="A5923" s="327" t="str">
        <f>IF(AND($B5923&lt;&gt;"",$C5923&lt;&gt;""),MAX($A$4730:$A5922)+1,"")</f>
        <v/>
      </c>
      <c r="B5923" s="361" t="s">
        <v>780</v>
      </c>
      <c r="C5923" s="362"/>
      <c r="D5923" s="327">
        <f>IF($B5923="","",COUNTIF($B$4731:$B5923,$B5923))</f>
        <v>7</v>
      </c>
      <c r="E5923" s="361" t="s">
        <v>1828</v>
      </c>
      <c r="F5923" s="362" t="s">
        <v>671</v>
      </c>
      <c r="G5923" s="327" t="s">
        <v>661</v>
      </c>
      <c r="H5923" s="361" t="s">
        <v>536</v>
      </c>
      <c r="I5923" s="361" t="s">
        <v>2355</v>
      </c>
      <c r="J5923" s="361"/>
      <c r="K5923" s="327" t="s">
        <v>100</v>
      </c>
      <c r="L5923" s="478">
        <f>40000/1000</f>
        <v>40</v>
      </c>
      <c r="M5923" s="355"/>
      <c r="N5923" s="355" t="s">
        <v>2409</v>
      </c>
      <c r="O5923" s="345"/>
      <c r="P5923" s="325"/>
      <c r="Q5923" s="327"/>
      <c r="R5923" s="351"/>
      <c r="S5923" s="351"/>
      <c r="T5923" s="351"/>
      <c r="U5923" s="329" t="str">
        <f>IF($N5923=$N$4,IFERROR(INDEX(DanhMuc!$E$154:$E$165,MATCH(MID($B5923,4,2),DanhMuc!$B$154:$B$165,0)),""),"")</f>
        <v/>
      </c>
      <c r="V5923" s="361"/>
      <c r="W5923" s="345"/>
      <c r="X5923" s="786"/>
      <c r="Y5923" s="1128" t="s">
        <v>3380</v>
      </c>
      <c r="Z5923" s="1128" t="s">
        <v>3381</v>
      </c>
      <c r="AA5923" s="1128" t="s">
        <v>3384</v>
      </c>
      <c r="AB5923" s="20"/>
      <c r="AC5923" s="73"/>
    </row>
    <row r="5924" spans="1:29">
      <c r="A5924" s="327" t="str">
        <f>IF(AND($B5924&lt;&gt;"",$C5924&lt;&gt;""),MAX($A$4730:$A5923)+1,"")</f>
        <v/>
      </c>
      <c r="B5924" s="361" t="s">
        <v>780</v>
      </c>
      <c r="C5924" s="362"/>
      <c r="D5924" s="327">
        <f>IF($B5924="","",COUNTIF($B$4731:$B5924,$B5924))</f>
        <v>8</v>
      </c>
      <c r="E5924" s="361" t="s">
        <v>154</v>
      </c>
      <c r="F5924" s="362" t="s">
        <v>660</v>
      </c>
      <c r="G5924" s="327" t="s">
        <v>661</v>
      </c>
      <c r="H5924" s="361" t="s">
        <v>536</v>
      </c>
      <c r="I5924" s="361" t="s">
        <v>667</v>
      </c>
      <c r="J5924" s="361"/>
      <c r="K5924" s="327" t="s">
        <v>662</v>
      </c>
      <c r="L5924" s="478">
        <v>20</v>
      </c>
      <c r="M5924" s="355"/>
      <c r="N5924" s="355" t="s">
        <v>2409</v>
      </c>
      <c r="O5924" s="345"/>
      <c r="P5924" s="325"/>
      <c r="Q5924" s="327"/>
      <c r="R5924" s="351"/>
      <c r="S5924" s="351"/>
      <c r="T5924" s="351"/>
      <c r="U5924" s="329" t="str">
        <f>IF($N5924=$N$4,IFERROR(INDEX(DanhMuc!$E$154:$E$165,MATCH(MID($B5924,4,2),DanhMuc!$B$154:$B$165,0)),""),"")</f>
        <v/>
      </c>
      <c r="V5924" s="361"/>
      <c r="W5924" s="345"/>
      <c r="X5924" s="786"/>
      <c r="Y5924" s="1128" t="s">
        <v>3380</v>
      </c>
      <c r="Z5924" s="1128" t="s">
        <v>3381</v>
      </c>
      <c r="AA5924" s="1128" t="s">
        <v>3384</v>
      </c>
      <c r="AB5924" s="20"/>
      <c r="AC5924" s="73"/>
    </row>
    <row r="5925" spans="1:29">
      <c r="A5925" s="327" t="str">
        <f>IF(AND($B5925&lt;&gt;"",$C5925&lt;&gt;""),MAX($A$4730:$A5924)+1,"")</f>
        <v/>
      </c>
      <c r="B5925" s="361" t="s">
        <v>780</v>
      </c>
      <c r="C5925" s="362"/>
      <c r="D5925" s="327">
        <f>IF($B5925="","",COUNTIF($B$4731:$B5925,$B5925))</f>
        <v>9</v>
      </c>
      <c r="E5925" s="362" t="s">
        <v>2282</v>
      </c>
      <c r="F5925" s="362" t="s">
        <v>2283</v>
      </c>
      <c r="G5925" s="327" t="s">
        <v>424</v>
      </c>
      <c r="H5925" s="361" t="s">
        <v>536</v>
      </c>
      <c r="I5925" s="361" t="s">
        <v>2238</v>
      </c>
      <c r="J5925" s="361"/>
      <c r="K5925" s="327" t="s">
        <v>662</v>
      </c>
      <c r="L5925" s="478">
        <v>28000</v>
      </c>
      <c r="M5925" s="355"/>
      <c r="N5925" s="355" t="s">
        <v>2409</v>
      </c>
      <c r="O5925" s="345"/>
      <c r="P5925" s="325"/>
      <c r="Q5925" s="327"/>
      <c r="R5925" s="351"/>
      <c r="S5925" s="351"/>
      <c r="T5925" s="351"/>
      <c r="U5925" s="329" t="str">
        <f>IF($N5925=$N$4,IFERROR(INDEX(DanhMuc!$E$154:$E$165,MATCH(MID($B5925,4,2),DanhMuc!$B$154:$B$165,0)),""),"")</f>
        <v/>
      </c>
      <c r="V5925" s="361"/>
      <c r="W5925" s="345"/>
      <c r="X5925" s="786"/>
      <c r="Y5925" s="1128" t="s">
        <v>3380</v>
      </c>
      <c r="Z5925" s="1128" t="s">
        <v>3381</v>
      </c>
      <c r="AA5925" s="1128" t="s">
        <v>3384</v>
      </c>
      <c r="AB5925" s="20"/>
      <c r="AC5925" s="73"/>
    </row>
    <row r="5926" spans="1:29">
      <c r="A5926" s="327" t="str">
        <f>IF(AND($B5926&lt;&gt;"",$C5926&lt;&gt;""),MAX($A$4730:$A5925)+1,"")</f>
        <v/>
      </c>
      <c r="B5926" s="361" t="s">
        <v>780</v>
      </c>
      <c r="C5926" s="362"/>
      <c r="D5926" s="327">
        <f>IF($B5926="","",COUNTIF($B$4731:$B5926,$B5926))</f>
        <v>10</v>
      </c>
      <c r="E5926" s="362" t="s">
        <v>663</v>
      </c>
      <c r="F5926" s="362" t="s">
        <v>664</v>
      </c>
      <c r="G5926" s="327" t="s">
        <v>155</v>
      </c>
      <c r="H5926" s="361" t="s">
        <v>536</v>
      </c>
      <c r="I5926" s="361" t="s">
        <v>672</v>
      </c>
      <c r="J5926" s="361"/>
      <c r="K5926" s="327" t="s">
        <v>662</v>
      </c>
      <c r="L5926" s="478">
        <v>1000</v>
      </c>
      <c r="M5926" s="355"/>
      <c r="N5926" s="355" t="s">
        <v>2409</v>
      </c>
      <c r="O5926" s="345"/>
      <c r="P5926" s="325"/>
      <c r="Q5926" s="327"/>
      <c r="R5926" s="351"/>
      <c r="S5926" s="351"/>
      <c r="T5926" s="351"/>
      <c r="U5926" s="329" t="str">
        <f>IF($N5926=$N$4,IFERROR(INDEX(DanhMuc!$E$154:$E$165,MATCH(MID($B5926,4,2),DanhMuc!$B$154:$B$165,0)),""),"")</f>
        <v/>
      </c>
      <c r="V5926" s="361"/>
      <c r="W5926" s="345"/>
      <c r="X5926" s="786"/>
      <c r="Y5926" s="1128" t="s">
        <v>3380</v>
      </c>
      <c r="Z5926" s="1128" t="s">
        <v>3381</v>
      </c>
      <c r="AA5926" s="1128" t="s">
        <v>3384</v>
      </c>
      <c r="AB5926" s="20"/>
      <c r="AC5926" s="73"/>
    </row>
    <row r="5927" spans="1:29" ht="26">
      <c r="A5927" s="327">
        <f>IF(AND($B5927&lt;&gt;"",$C5927&lt;&gt;""),MAX($A$4730:$A5926)+1,"")</f>
        <v>48</v>
      </c>
      <c r="B5927" s="359" t="s">
        <v>781</v>
      </c>
      <c r="C5927" s="370" t="s">
        <v>1568</v>
      </c>
      <c r="D5927" s="327">
        <f>IF($B5927="","",COUNTIF($B$4731:$B5927,$B5927))</f>
        <v>1</v>
      </c>
      <c r="E5927" s="361" t="s">
        <v>1826</v>
      </c>
      <c r="F5927" s="362" t="s">
        <v>670</v>
      </c>
      <c r="G5927" s="327" t="s">
        <v>661</v>
      </c>
      <c r="H5927" s="361" t="s">
        <v>536</v>
      </c>
      <c r="I5927" s="361" t="s">
        <v>2354</v>
      </c>
      <c r="J5927" s="361"/>
      <c r="K5927" s="327" t="s">
        <v>103</v>
      </c>
      <c r="L5927" s="478">
        <f>40000/1000</f>
        <v>40</v>
      </c>
      <c r="M5927" s="355"/>
      <c r="N5927" s="355" t="s">
        <v>2408</v>
      </c>
      <c r="O5927" s="345"/>
      <c r="P5927" s="325"/>
      <c r="Q5927" s="327"/>
      <c r="R5927" s="351"/>
      <c r="S5927" s="351"/>
      <c r="T5927" s="351"/>
      <c r="U5927" s="329" t="str">
        <f>IF($N5927=$N$4,IFERROR(INDEX(DanhMuc!$E$154:$E$165,MATCH(MID($B5927,4,2),DanhMuc!$B$154:$B$165,0)),""),"")</f>
        <v/>
      </c>
      <c r="V5927" s="361"/>
      <c r="W5927" s="345"/>
      <c r="X5927" s="786"/>
      <c r="Y5927" s="1128" t="s">
        <v>3380</v>
      </c>
      <c r="Z5927" s="1128" t="s">
        <v>3381</v>
      </c>
      <c r="AA5927" s="1128" t="s">
        <v>3384</v>
      </c>
      <c r="AB5927" s="20"/>
      <c r="AC5927" s="73"/>
    </row>
    <row r="5928" spans="1:29" ht="25">
      <c r="A5928" s="327" t="str">
        <f>IF(AND($B5928&lt;&gt;"",$C5928&lt;&gt;""),MAX($A$4730:$A5927)+1,"")</f>
        <v/>
      </c>
      <c r="B5928" s="361" t="s">
        <v>781</v>
      </c>
      <c r="C5928" s="362"/>
      <c r="D5928" s="327">
        <f>IF($B5928="","",COUNTIF($B$4731:$B5928,$B5928))</f>
        <v>2</v>
      </c>
      <c r="E5928" s="362" t="s">
        <v>1966</v>
      </c>
      <c r="F5928" s="362" t="s">
        <v>1967</v>
      </c>
      <c r="G5928" s="327" t="s">
        <v>405</v>
      </c>
      <c r="H5928" s="361" t="s">
        <v>536</v>
      </c>
      <c r="I5928" s="361" t="s">
        <v>1309</v>
      </c>
      <c r="J5928" s="361"/>
      <c r="K5928" s="327" t="s">
        <v>223</v>
      </c>
      <c r="L5928" s="389">
        <v>750</v>
      </c>
      <c r="M5928" s="371"/>
      <c r="N5928" s="355" t="s">
        <v>2408</v>
      </c>
      <c r="O5928" s="345"/>
      <c r="P5928" s="325"/>
      <c r="Q5928" s="327"/>
      <c r="R5928" s="351"/>
      <c r="S5928" s="351"/>
      <c r="T5928" s="351"/>
      <c r="U5928" s="329" t="str">
        <f>IF($N5928=$N$4,IFERROR(INDEX(DanhMuc!$E$154:$E$165,MATCH(MID($B5928,4,2),DanhMuc!$B$154:$B$165,0)),""),"")</f>
        <v/>
      </c>
      <c r="V5928" s="361"/>
      <c r="W5928" s="345"/>
      <c r="X5928" s="786"/>
      <c r="Y5928" s="1128" t="s">
        <v>3380</v>
      </c>
      <c r="Z5928" s="1128" t="s">
        <v>3381</v>
      </c>
      <c r="AA5928" s="1128" t="s">
        <v>3384</v>
      </c>
      <c r="AB5928" s="20"/>
      <c r="AC5928" s="73"/>
    </row>
    <row r="5929" spans="1:29" ht="37.5">
      <c r="A5929" s="327" t="str">
        <f>IF(AND($B5929&lt;&gt;"",$C5929&lt;&gt;""),MAX($A$4730:$A5928)+1,"")</f>
        <v/>
      </c>
      <c r="B5929" s="361" t="s">
        <v>781</v>
      </c>
      <c r="C5929" s="362"/>
      <c r="D5929" s="327">
        <f>IF($B5929="","",COUNTIF($B$4731:$B5929,$B5929))</f>
        <v>3</v>
      </c>
      <c r="E5929" s="362" t="s">
        <v>1964</v>
      </c>
      <c r="F5929" s="362" t="s">
        <v>1965</v>
      </c>
      <c r="G5929" s="410" t="s">
        <v>405</v>
      </c>
      <c r="H5929" s="402" t="s">
        <v>536</v>
      </c>
      <c r="I5929" s="402" t="s">
        <v>1210</v>
      </c>
      <c r="J5929" s="402"/>
      <c r="K5929" s="410" t="s">
        <v>223</v>
      </c>
      <c r="L5929" s="478">
        <v>140</v>
      </c>
      <c r="M5929" s="371"/>
      <c r="N5929" s="355" t="s">
        <v>2408</v>
      </c>
      <c r="O5929" s="345"/>
      <c r="P5929" s="325"/>
      <c r="Q5929" s="327"/>
      <c r="R5929" s="351"/>
      <c r="S5929" s="351"/>
      <c r="T5929" s="351"/>
      <c r="U5929" s="329" t="str">
        <f>IF($N5929=$N$4,IFERROR(INDEX(DanhMuc!$E$154:$E$165,MATCH(MID($B5929,4,2),DanhMuc!$B$154:$B$165,0)),""),"")</f>
        <v/>
      </c>
      <c r="V5929" s="361"/>
      <c r="W5929" s="345"/>
      <c r="X5929" s="786"/>
      <c r="Y5929" s="1128" t="s">
        <v>3380</v>
      </c>
      <c r="Z5929" s="1128" t="s">
        <v>3381</v>
      </c>
      <c r="AA5929" s="1128" t="s">
        <v>3384</v>
      </c>
      <c r="AB5929" s="20"/>
      <c r="AC5929" s="73"/>
    </row>
    <row r="5930" spans="1:29">
      <c r="A5930" s="327" t="str">
        <f>IF(AND($B5930&lt;&gt;"",$C5930&lt;&gt;""),MAX($A$4730:$A5929)+1,"")</f>
        <v/>
      </c>
      <c r="B5930" s="361" t="s">
        <v>781</v>
      </c>
      <c r="C5930" s="362"/>
      <c r="D5930" s="327">
        <f>IF($B5930="","",COUNTIF($B$4731:$B5930,$B5930))</f>
        <v>4</v>
      </c>
      <c r="E5930" s="361" t="s">
        <v>656</v>
      </c>
      <c r="F5930" s="362" t="s">
        <v>2239</v>
      </c>
      <c r="G5930" s="327" t="s">
        <v>405</v>
      </c>
      <c r="H5930" s="361" t="s">
        <v>536</v>
      </c>
      <c r="I5930" s="361" t="s">
        <v>1827</v>
      </c>
      <c r="J5930" s="361"/>
      <c r="K5930" s="327" t="s">
        <v>100</v>
      </c>
      <c r="L5930" s="478">
        <v>970</v>
      </c>
      <c r="M5930" s="371"/>
      <c r="N5930" s="355" t="s">
        <v>2409</v>
      </c>
      <c r="O5930" s="345"/>
      <c r="P5930" s="325"/>
      <c r="Q5930" s="327"/>
      <c r="R5930" s="351"/>
      <c r="S5930" s="351"/>
      <c r="T5930" s="351"/>
      <c r="U5930" s="329" t="str">
        <f>IF($N5930=$N$4,IFERROR(INDEX(DanhMuc!$E$154:$E$165,MATCH(MID($B5930,4,2),DanhMuc!$B$154:$B$165,0)),""),"")</f>
        <v/>
      </c>
      <c r="V5930" s="361"/>
      <c r="W5930" s="345"/>
      <c r="X5930" s="786"/>
      <c r="Y5930" s="1128" t="s">
        <v>3380</v>
      </c>
      <c r="Z5930" s="1128" t="s">
        <v>3381</v>
      </c>
      <c r="AA5930" s="1128" t="s">
        <v>3384</v>
      </c>
      <c r="AB5930" s="20"/>
      <c r="AC5930" s="73"/>
    </row>
    <row r="5931" spans="1:29">
      <c r="A5931" s="327" t="str">
        <f>IF(AND($B5931&lt;&gt;"",$C5931&lt;&gt;""),MAX($A$4730:$A5930)+1,"")</f>
        <v/>
      </c>
      <c r="B5931" s="361" t="s">
        <v>781</v>
      </c>
      <c r="C5931" s="362"/>
      <c r="D5931" s="327">
        <f>IF($B5931="","",COUNTIF($B$4731:$B5931,$B5931))</f>
        <v>5</v>
      </c>
      <c r="E5931" s="361" t="s">
        <v>657</v>
      </c>
      <c r="F5931" s="362" t="s">
        <v>658</v>
      </c>
      <c r="G5931" s="327" t="s">
        <v>424</v>
      </c>
      <c r="H5931" s="361" t="s">
        <v>536</v>
      </c>
      <c r="I5931" s="361" t="s">
        <v>665</v>
      </c>
      <c r="J5931" s="361"/>
      <c r="K5931" s="327" t="s">
        <v>100</v>
      </c>
      <c r="L5931" s="478">
        <v>60000</v>
      </c>
      <c r="M5931" s="355"/>
      <c r="N5931" s="355" t="s">
        <v>2409</v>
      </c>
      <c r="O5931" s="345"/>
      <c r="P5931" s="325"/>
      <c r="Q5931" s="327"/>
      <c r="R5931" s="351"/>
      <c r="S5931" s="351"/>
      <c r="T5931" s="351"/>
      <c r="U5931" s="329" t="str">
        <f>IF($N5931=$N$4,IFERROR(INDEX(DanhMuc!$E$154:$E$165,MATCH(MID($B5931,4,2),DanhMuc!$B$154:$B$165,0)),""),"")</f>
        <v/>
      </c>
      <c r="V5931" s="361"/>
      <c r="W5931" s="345"/>
      <c r="X5931" s="786"/>
      <c r="Y5931" s="1128" t="s">
        <v>3380</v>
      </c>
      <c r="Z5931" s="1128" t="s">
        <v>3381</v>
      </c>
      <c r="AA5931" s="1128" t="s">
        <v>3384</v>
      </c>
      <c r="AB5931" s="20"/>
      <c r="AC5931" s="73"/>
    </row>
    <row r="5932" spans="1:29">
      <c r="A5932" s="327" t="str">
        <f>IF(AND($B5932&lt;&gt;"",$C5932&lt;&gt;""),MAX($A$4730:$A5931)+1,"")</f>
        <v/>
      </c>
      <c r="B5932" s="361" t="s">
        <v>781</v>
      </c>
      <c r="C5932" s="362"/>
      <c r="D5932" s="327">
        <f>IF($B5932="","",COUNTIF($B$4731:$B5932,$B5932))</f>
        <v>6</v>
      </c>
      <c r="E5932" s="361" t="s">
        <v>2771</v>
      </c>
      <c r="F5932" s="362" t="s">
        <v>659</v>
      </c>
      <c r="G5932" s="327" t="s">
        <v>424</v>
      </c>
      <c r="H5932" s="361" t="s">
        <v>536</v>
      </c>
      <c r="I5932" s="361" t="s">
        <v>666</v>
      </c>
      <c r="J5932" s="361"/>
      <c r="K5932" s="327" t="s">
        <v>100</v>
      </c>
      <c r="L5932" s="389">
        <v>53000</v>
      </c>
      <c r="M5932" s="355"/>
      <c r="N5932" s="355" t="s">
        <v>2409</v>
      </c>
      <c r="O5932" s="345"/>
      <c r="P5932" s="325"/>
      <c r="Q5932" s="327"/>
      <c r="R5932" s="351"/>
      <c r="S5932" s="351"/>
      <c r="T5932" s="351"/>
      <c r="U5932" s="329" t="str">
        <f>IF($N5932=$N$4,IFERROR(INDEX(DanhMuc!$E$154:$E$165,MATCH(MID($B5932,4,2),DanhMuc!$B$154:$B$165,0)),""),"")</f>
        <v/>
      </c>
      <c r="V5932" s="361"/>
      <c r="W5932" s="345"/>
      <c r="X5932" s="786"/>
      <c r="Y5932" s="1128" t="s">
        <v>3380</v>
      </c>
      <c r="Z5932" s="1128" t="s">
        <v>3381</v>
      </c>
      <c r="AA5932" s="1128" t="s">
        <v>3384</v>
      </c>
      <c r="AB5932" s="20"/>
      <c r="AC5932" s="73"/>
    </row>
    <row r="5933" spans="1:29">
      <c r="A5933" s="327" t="str">
        <f>IF(AND($B5933&lt;&gt;"",$C5933&lt;&gt;""),MAX($A$4730:$A5932)+1,"")</f>
        <v/>
      </c>
      <c r="B5933" s="361" t="s">
        <v>781</v>
      </c>
      <c r="C5933" s="362"/>
      <c r="D5933" s="327">
        <f>IF($B5933="","",COUNTIF($B$4731:$B5933,$B5933))</f>
        <v>7</v>
      </c>
      <c r="E5933" s="361" t="s">
        <v>1828</v>
      </c>
      <c r="F5933" s="362" t="s">
        <v>671</v>
      </c>
      <c r="G5933" s="327" t="s">
        <v>661</v>
      </c>
      <c r="H5933" s="361" t="s">
        <v>536</v>
      </c>
      <c r="I5933" s="361" t="s">
        <v>2355</v>
      </c>
      <c r="J5933" s="361"/>
      <c r="K5933" s="327" t="s">
        <v>100</v>
      </c>
      <c r="L5933" s="478">
        <f>40000/1000</f>
        <v>40</v>
      </c>
      <c r="M5933" s="355"/>
      <c r="N5933" s="355" t="s">
        <v>2409</v>
      </c>
      <c r="O5933" s="345"/>
      <c r="P5933" s="325"/>
      <c r="Q5933" s="327"/>
      <c r="R5933" s="351"/>
      <c r="S5933" s="351"/>
      <c r="T5933" s="351"/>
      <c r="U5933" s="329" t="str">
        <f>IF($N5933=$N$4,IFERROR(INDEX(DanhMuc!$E$154:$E$165,MATCH(MID($B5933,4,2),DanhMuc!$B$154:$B$165,0)),""),"")</f>
        <v/>
      </c>
      <c r="V5933" s="361"/>
      <c r="W5933" s="345"/>
      <c r="X5933" s="786"/>
      <c r="Y5933" s="1128" t="s">
        <v>3380</v>
      </c>
      <c r="Z5933" s="1128" t="s">
        <v>3381</v>
      </c>
      <c r="AA5933" s="1128" t="s">
        <v>3384</v>
      </c>
      <c r="AB5933" s="20"/>
      <c r="AC5933" s="73"/>
    </row>
    <row r="5934" spans="1:29">
      <c r="A5934" s="327" t="str">
        <f>IF(AND($B5934&lt;&gt;"",$C5934&lt;&gt;""),MAX($A$4730:$A5933)+1,"")</f>
        <v/>
      </c>
      <c r="B5934" s="361" t="s">
        <v>781</v>
      </c>
      <c r="C5934" s="362"/>
      <c r="D5934" s="327">
        <f>IF($B5934="","",COUNTIF($B$4731:$B5934,$B5934))</f>
        <v>8</v>
      </c>
      <c r="E5934" s="361" t="s">
        <v>154</v>
      </c>
      <c r="F5934" s="362" t="s">
        <v>660</v>
      </c>
      <c r="G5934" s="327" t="s">
        <v>661</v>
      </c>
      <c r="H5934" s="361" t="s">
        <v>536</v>
      </c>
      <c r="I5934" s="361" t="s">
        <v>667</v>
      </c>
      <c r="J5934" s="361"/>
      <c r="K5934" s="327" t="s">
        <v>662</v>
      </c>
      <c r="L5934" s="478">
        <v>20</v>
      </c>
      <c r="M5934" s="355"/>
      <c r="N5934" s="355" t="s">
        <v>2409</v>
      </c>
      <c r="O5934" s="345"/>
      <c r="P5934" s="325"/>
      <c r="Q5934" s="327"/>
      <c r="R5934" s="351"/>
      <c r="S5934" s="351"/>
      <c r="T5934" s="351"/>
      <c r="U5934" s="329" t="str">
        <f>IF($N5934=$N$4,IFERROR(INDEX(DanhMuc!$E$154:$E$165,MATCH(MID($B5934,4,2),DanhMuc!$B$154:$B$165,0)),""),"")</f>
        <v/>
      </c>
      <c r="V5934" s="361"/>
      <c r="W5934" s="345"/>
      <c r="X5934" s="786"/>
      <c r="Y5934" s="1128" t="s">
        <v>3380</v>
      </c>
      <c r="Z5934" s="1128" t="s">
        <v>3381</v>
      </c>
      <c r="AA5934" s="1128" t="s">
        <v>3384</v>
      </c>
      <c r="AB5934" s="20"/>
      <c r="AC5934" s="73"/>
    </row>
    <row r="5935" spans="1:29">
      <c r="A5935" s="327" t="str">
        <f>IF(AND($B5935&lt;&gt;"",$C5935&lt;&gt;""),MAX($A$4730:$A5934)+1,"")</f>
        <v/>
      </c>
      <c r="B5935" s="361" t="s">
        <v>781</v>
      </c>
      <c r="C5935" s="362"/>
      <c r="D5935" s="327">
        <f>IF($B5935="","",COUNTIF($B$4731:$B5935,$B5935))</f>
        <v>9</v>
      </c>
      <c r="E5935" s="362" t="s">
        <v>2282</v>
      </c>
      <c r="F5935" s="362" t="s">
        <v>2283</v>
      </c>
      <c r="G5935" s="327" t="s">
        <v>424</v>
      </c>
      <c r="H5935" s="361" t="s">
        <v>536</v>
      </c>
      <c r="I5935" s="361" t="s">
        <v>2238</v>
      </c>
      <c r="J5935" s="361"/>
      <c r="K5935" s="327" t="s">
        <v>662</v>
      </c>
      <c r="L5935" s="478">
        <v>28000</v>
      </c>
      <c r="M5935" s="355"/>
      <c r="N5935" s="355" t="s">
        <v>2409</v>
      </c>
      <c r="O5935" s="345"/>
      <c r="P5935" s="325"/>
      <c r="Q5935" s="327"/>
      <c r="R5935" s="351"/>
      <c r="S5935" s="351"/>
      <c r="T5935" s="351"/>
      <c r="U5935" s="329" t="str">
        <f>IF($N5935=$N$4,IFERROR(INDEX(DanhMuc!$E$154:$E$165,MATCH(MID($B5935,4,2),DanhMuc!$B$154:$B$165,0)),""),"")</f>
        <v/>
      </c>
      <c r="V5935" s="361"/>
      <c r="W5935" s="345"/>
      <c r="X5935" s="786"/>
      <c r="Y5935" s="1128" t="s">
        <v>3380</v>
      </c>
      <c r="Z5935" s="1128" t="s">
        <v>3381</v>
      </c>
      <c r="AA5935" s="1128" t="s">
        <v>3384</v>
      </c>
      <c r="AB5935" s="20"/>
      <c r="AC5935" s="73"/>
    </row>
    <row r="5936" spans="1:29">
      <c r="A5936" s="327" t="str">
        <f>IF(AND($B5936&lt;&gt;"",$C5936&lt;&gt;""),MAX($A$4730:$A5935)+1,"")</f>
        <v/>
      </c>
      <c r="B5936" s="361" t="s">
        <v>781</v>
      </c>
      <c r="C5936" s="362"/>
      <c r="D5936" s="327">
        <f>IF($B5936="","",COUNTIF($B$4731:$B5936,$B5936))</f>
        <v>10</v>
      </c>
      <c r="E5936" s="362" t="s">
        <v>663</v>
      </c>
      <c r="F5936" s="362" t="s">
        <v>664</v>
      </c>
      <c r="G5936" s="327" t="s">
        <v>155</v>
      </c>
      <c r="H5936" s="361" t="s">
        <v>536</v>
      </c>
      <c r="I5936" s="361" t="s">
        <v>672</v>
      </c>
      <c r="J5936" s="361"/>
      <c r="K5936" s="327" t="s">
        <v>662</v>
      </c>
      <c r="L5936" s="478">
        <v>1000</v>
      </c>
      <c r="M5936" s="355"/>
      <c r="N5936" s="355" t="s">
        <v>2409</v>
      </c>
      <c r="O5936" s="345"/>
      <c r="P5936" s="325"/>
      <c r="Q5936" s="327"/>
      <c r="R5936" s="351"/>
      <c r="S5936" s="351"/>
      <c r="T5936" s="351"/>
      <c r="U5936" s="329" t="str">
        <f>IF($N5936=$N$4,IFERROR(INDEX(DanhMuc!$E$154:$E$165,MATCH(MID($B5936,4,2),DanhMuc!$B$154:$B$165,0)),""),"")</f>
        <v/>
      </c>
      <c r="V5936" s="361"/>
      <c r="W5936" s="345"/>
      <c r="X5936" s="786"/>
      <c r="Y5936" s="1128" t="s">
        <v>3380</v>
      </c>
      <c r="Z5936" s="1128" t="s">
        <v>3381</v>
      </c>
      <c r="AA5936" s="1128" t="s">
        <v>3384</v>
      </c>
      <c r="AB5936" s="20"/>
      <c r="AC5936" s="73"/>
    </row>
    <row r="5937" spans="1:29" ht="26">
      <c r="A5937" s="327">
        <f>IF(AND($B5937&lt;&gt;"",$C5937&lt;&gt;""),MAX($A$4730:$A5936)+1,"")</f>
        <v>49</v>
      </c>
      <c r="B5937" s="359" t="s">
        <v>862</v>
      </c>
      <c r="C5937" s="370" t="s">
        <v>1595</v>
      </c>
      <c r="D5937" s="327">
        <f>IF($B5937="","",COUNTIF($B$4731:$B5937,$B5937))</f>
        <v>1</v>
      </c>
      <c r="E5937" s="361" t="s">
        <v>1826</v>
      </c>
      <c r="F5937" s="362" t="s">
        <v>670</v>
      </c>
      <c r="G5937" s="327" t="s">
        <v>661</v>
      </c>
      <c r="H5937" s="361" t="s">
        <v>536</v>
      </c>
      <c r="I5937" s="361" t="s">
        <v>2354</v>
      </c>
      <c r="J5937" s="361"/>
      <c r="K5937" s="327" t="s">
        <v>103</v>
      </c>
      <c r="L5937" s="478">
        <f>40000/1000</f>
        <v>40</v>
      </c>
      <c r="M5937" s="355"/>
      <c r="N5937" s="355" t="s">
        <v>2408</v>
      </c>
      <c r="O5937" s="345"/>
      <c r="P5937" s="325"/>
      <c r="Q5937" s="327"/>
      <c r="R5937" s="351"/>
      <c r="S5937" s="351"/>
      <c r="T5937" s="351"/>
      <c r="U5937" s="329" t="str">
        <f>IF($N5937=$N$4,IFERROR(INDEX(DanhMuc!$E$154:$E$165,MATCH(MID($B5937,4,2),DanhMuc!$B$154:$B$165,0)),""),"")</f>
        <v/>
      </c>
      <c r="V5937" s="361"/>
      <c r="W5937" s="345"/>
      <c r="X5937" s="786"/>
      <c r="Y5937" s="1128" t="s">
        <v>3380</v>
      </c>
      <c r="Z5937" s="1128" t="s">
        <v>3381</v>
      </c>
      <c r="AA5937" s="1128" t="s">
        <v>3384</v>
      </c>
      <c r="AB5937" s="20"/>
      <c r="AC5937" s="73"/>
    </row>
    <row r="5938" spans="1:29" ht="25">
      <c r="A5938" s="327" t="str">
        <f>IF(AND($B5938&lt;&gt;"",$C5938&lt;&gt;""),MAX($A$4730:$A5937)+1,"")</f>
        <v/>
      </c>
      <c r="B5938" s="361" t="s">
        <v>862</v>
      </c>
      <c r="C5938" s="362"/>
      <c r="D5938" s="327">
        <f>IF($B5938="","",COUNTIF($B$4731:$B5938,$B5938))</f>
        <v>2</v>
      </c>
      <c r="E5938" s="362" t="s">
        <v>1966</v>
      </c>
      <c r="F5938" s="362" t="s">
        <v>1967</v>
      </c>
      <c r="G5938" s="327" t="s">
        <v>405</v>
      </c>
      <c r="H5938" s="361" t="s">
        <v>536</v>
      </c>
      <c r="I5938" s="361" t="s">
        <v>1309</v>
      </c>
      <c r="J5938" s="361"/>
      <c r="K5938" s="327" t="s">
        <v>223</v>
      </c>
      <c r="L5938" s="389">
        <v>750</v>
      </c>
      <c r="M5938" s="371"/>
      <c r="N5938" s="355" t="s">
        <v>2408</v>
      </c>
      <c r="O5938" s="345"/>
      <c r="P5938" s="325"/>
      <c r="Q5938" s="327"/>
      <c r="R5938" s="351"/>
      <c r="S5938" s="351"/>
      <c r="T5938" s="351"/>
      <c r="U5938" s="329" t="str">
        <f>IF($N5938=$N$4,IFERROR(INDEX(DanhMuc!$E$154:$E$165,MATCH(MID($B5938,4,2),DanhMuc!$B$154:$B$165,0)),""),"")</f>
        <v/>
      </c>
      <c r="V5938" s="361"/>
      <c r="W5938" s="345"/>
      <c r="X5938" s="786"/>
      <c r="Y5938" s="1128" t="s">
        <v>3380</v>
      </c>
      <c r="Z5938" s="1128" t="s">
        <v>3381</v>
      </c>
      <c r="AA5938" s="1128" t="s">
        <v>3384</v>
      </c>
      <c r="AB5938" s="20"/>
      <c r="AC5938" s="73"/>
    </row>
    <row r="5939" spans="1:29" ht="37.5">
      <c r="A5939" s="327" t="str">
        <f>IF(AND($B5939&lt;&gt;"",$C5939&lt;&gt;""),MAX($A$4730:$A5938)+1,"")</f>
        <v/>
      </c>
      <c r="B5939" s="361" t="s">
        <v>862</v>
      </c>
      <c r="C5939" s="362"/>
      <c r="D5939" s="327">
        <f>IF($B5939="","",COUNTIF($B$4731:$B5939,$B5939))</f>
        <v>3</v>
      </c>
      <c r="E5939" s="362" t="s">
        <v>1964</v>
      </c>
      <c r="F5939" s="362" t="s">
        <v>1965</v>
      </c>
      <c r="G5939" s="410" t="s">
        <v>405</v>
      </c>
      <c r="H5939" s="402" t="s">
        <v>536</v>
      </c>
      <c r="I5939" s="402" t="s">
        <v>1210</v>
      </c>
      <c r="J5939" s="402"/>
      <c r="K5939" s="410" t="s">
        <v>223</v>
      </c>
      <c r="L5939" s="478">
        <v>140</v>
      </c>
      <c r="M5939" s="371"/>
      <c r="N5939" s="355" t="s">
        <v>2408</v>
      </c>
      <c r="O5939" s="345"/>
      <c r="P5939" s="325"/>
      <c r="Q5939" s="327"/>
      <c r="R5939" s="351"/>
      <c r="S5939" s="351"/>
      <c r="T5939" s="351"/>
      <c r="U5939" s="329" t="str">
        <f>IF($N5939=$N$4,IFERROR(INDEX(DanhMuc!$E$154:$E$165,MATCH(MID($B5939,4,2),DanhMuc!$B$154:$B$165,0)),""),"")</f>
        <v/>
      </c>
      <c r="V5939" s="361"/>
      <c r="W5939" s="345"/>
      <c r="X5939" s="786"/>
      <c r="Y5939" s="1128" t="s">
        <v>3380</v>
      </c>
      <c r="Z5939" s="1128" t="s">
        <v>3381</v>
      </c>
      <c r="AA5939" s="1128" t="s">
        <v>3384</v>
      </c>
      <c r="AB5939" s="20"/>
      <c r="AC5939" s="73"/>
    </row>
    <row r="5940" spans="1:29">
      <c r="A5940" s="327" t="str">
        <f>IF(AND($B5940&lt;&gt;"",$C5940&lt;&gt;""),MAX($A$4730:$A5939)+1,"")</f>
        <v/>
      </c>
      <c r="B5940" s="361" t="s">
        <v>862</v>
      </c>
      <c r="C5940" s="362"/>
      <c r="D5940" s="327">
        <f>IF($B5940="","",COUNTIF($B$4731:$B5940,$B5940))</f>
        <v>4</v>
      </c>
      <c r="E5940" s="361" t="s">
        <v>656</v>
      </c>
      <c r="F5940" s="362" t="s">
        <v>2239</v>
      </c>
      <c r="G5940" s="327" t="s">
        <v>405</v>
      </c>
      <c r="H5940" s="361" t="s">
        <v>536</v>
      </c>
      <c r="I5940" s="361" t="s">
        <v>1827</v>
      </c>
      <c r="J5940" s="361"/>
      <c r="K5940" s="327" t="s">
        <v>100</v>
      </c>
      <c r="L5940" s="478">
        <v>970</v>
      </c>
      <c r="M5940" s="371"/>
      <c r="N5940" s="355" t="s">
        <v>2409</v>
      </c>
      <c r="O5940" s="345"/>
      <c r="P5940" s="325"/>
      <c r="Q5940" s="327"/>
      <c r="R5940" s="351"/>
      <c r="S5940" s="351"/>
      <c r="T5940" s="351"/>
      <c r="U5940" s="329" t="str">
        <f>IF($N5940=$N$4,IFERROR(INDEX(DanhMuc!$E$154:$E$165,MATCH(MID($B5940,4,2),DanhMuc!$B$154:$B$165,0)),""),"")</f>
        <v/>
      </c>
      <c r="V5940" s="361"/>
      <c r="W5940" s="345"/>
      <c r="X5940" s="786"/>
      <c r="Y5940" s="1128" t="s">
        <v>3380</v>
      </c>
      <c r="Z5940" s="1128" t="s">
        <v>3381</v>
      </c>
      <c r="AA5940" s="1128" t="s">
        <v>3384</v>
      </c>
      <c r="AB5940" s="20"/>
      <c r="AC5940" s="73"/>
    </row>
    <row r="5941" spans="1:29">
      <c r="A5941" s="327" t="str">
        <f>IF(AND($B5941&lt;&gt;"",$C5941&lt;&gt;""),MAX($A$4730:$A5940)+1,"")</f>
        <v/>
      </c>
      <c r="B5941" s="361" t="s">
        <v>862</v>
      </c>
      <c r="C5941" s="362"/>
      <c r="D5941" s="327">
        <f>IF($B5941="","",COUNTIF($B$4731:$B5941,$B5941))</f>
        <v>5</v>
      </c>
      <c r="E5941" s="361" t="s">
        <v>657</v>
      </c>
      <c r="F5941" s="362" t="s">
        <v>658</v>
      </c>
      <c r="G5941" s="327" t="s">
        <v>424</v>
      </c>
      <c r="H5941" s="361" t="s">
        <v>536</v>
      </c>
      <c r="I5941" s="361" t="s">
        <v>665</v>
      </c>
      <c r="J5941" s="361"/>
      <c r="K5941" s="327" t="s">
        <v>100</v>
      </c>
      <c r="L5941" s="478">
        <v>60000</v>
      </c>
      <c r="M5941" s="355"/>
      <c r="N5941" s="355" t="s">
        <v>2409</v>
      </c>
      <c r="O5941" s="345"/>
      <c r="P5941" s="325"/>
      <c r="Q5941" s="327"/>
      <c r="R5941" s="351"/>
      <c r="S5941" s="351"/>
      <c r="T5941" s="351"/>
      <c r="U5941" s="329" t="str">
        <f>IF($N5941=$N$4,IFERROR(INDEX(DanhMuc!$E$154:$E$165,MATCH(MID($B5941,4,2),DanhMuc!$B$154:$B$165,0)),""),"")</f>
        <v/>
      </c>
      <c r="V5941" s="361"/>
      <c r="W5941" s="345"/>
      <c r="X5941" s="786"/>
      <c r="Y5941" s="1128" t="s">
        <v>3380</v>
      </c>
      <c r="Z5941" s="1128" t="s">
        <v>3381</v>
      </c>
      <c r="AA5941" s="1128" t="s">
        <v>3384</v>
      </c>
      <c r="AB5941" s="20"/>
      <c r="AC5941" s="73"/>
    </row>
    <row r="5942" spans="1:29">
      <c r="A5942" s="327" t="str">
        <f>IF(AND($B5942&lt;&gt;"",$C5942&lt;&gt;""),MAX($A$4730:$A5941)+1,"")</f>
        <v/>
      </c>
      <c r="B5942" s="361" t="s">
        <v>862</v>
      </c>
      <c r="C5942" s="362"/>
      <c r="D5942" s="327">
        <f>IF($B5942="","",COUNTIF($B$4731:$B5942,$B5942))</f>
        <v>6</v>
      </c>
      <c r="E5942" s="361" t="s">
        <v>2771</v>
      </c>
      <c r="F5942" s="362" t="s">
        <v>659</v>
      </c>
      <c r="G5942" s="327" t="s">
        <v>424</v>
      </c>
      <c r="H5942" s="361" t="s">
        <v>536</v>
      </c>
      <c r="I5942" s="361" t="s">
        <v>666</v>
      </c>
      <c r="J5942" s="361"/>
      <c r="K5942" s="327" t="s">
        <v>100</v>
      </c>
      <c r="L5942" s="389">
        <v>53000</v>
      </c>
      <c r="M5942" s="355"/>
      <c r="N5942" s="355" t="s">
        <v>2409</v>
      </c>
      <c r="O5942" s="345"/>
      <c r="P5942" s="325"/>
      <c r="Q5942" s="327"/>
      <c r="R5942" s="351"/>
      <c r="S5942" s="351"/>
      <c r="T5942" s="351"/>
      <c r="U5942" s="329" t="str">
        <f>IF($N5942=$N$4,IFERROR(INDEX(DanhMuc!$E$154:$E$165,MATCH(MID($B5942,4,2),DanhMuc!$B$154:$B$165,0)),""),"")</f>
        <v/>
      </c>
      <c r="V5942" s="361"/>
      <c r="W5942" s="345"/>
      <c r="X5942" s="786"/>
      <c r="Y5942" s="1128" t="s">
        <v>3380</v>
      </c>
      <c r="Z5942" s="1128" t="s">
        <v>3381</v>
      </c>
      <c r="AA5942" s="1128" t="s">
        <v>3384</v>
      </c>
      <c r="AB5942" s="20"/>
      <c r="AC5942" s="73"/>
    </row>
    <row r="5943" spans="1:29">
      <c r="A5943" s="327" t="str">
        <f>IF(AND($B5943&lt;&gt;"",$C5943&lt;&gt;""),MAX($A$4730:$A5942)+1,"")</f>
        <v/>
      </c>
      <c r="B5943" s="361" t="s">
        <v>862</v>
      </c>
      <c r="C5943" s="362"/>
      <c r="D5943" s="327">
        <f>IF($B5943="","",COUNTIF($B$4731:$B5943,$B5943))</f>
        <v>7</v>
      </c>
      <c r="E5943" s="361" t="s">
        <v>1828</v>
      </c>
      <c r="F5943" s="362" t="s">
        <v>671</v>
      </c>
      <c r="G5943" s="327" t="s">
        <v>661</v>
      </c>
      <c r="H5943" s="361" t="s">
        <v>536</v>
      </c>
      <c r="I5943" s="361" t="s">
        <v>2355</v>
      </c>
      <c r="J5943" s="361"/>
      <c r="K5943" s="327" t="s">
        <v>100</v>
      </c>
      <c r="L5943" s="478">
        <f>40000/1000</f>
        <v>40</v>
      </c>
      <c r="M5943" s="355"/>
      <c r="N5943" s="355" t="s">
        <v>2409</v>
      </c>
      <c r="O5943" s="345"/>
      <c r="P5943" s="325"/>
      <c r="Q5943" s="327"/>
      <c r="R5943" s="351"/>
      <c r="S5943" s="351"/>
      <c r="T5943" s="351"/>
      <c r="U5943" s="329" t="str">
        <f>IF($N5943=$N$4,IFERROR(INDEX(DanhMuc!$E$154:$E$165,MATCH(MID($B5943,4,2),DanhMuc!$B$154:$B$165,0)),""),"")</f>
        <v/>
      </c>
      <c r="V5943" s="361"/>
      <c r="W5943" s="345"/>
      <c r="X5943" s="786"/>
      <c r="Y5943" s="1128" t="s">
        <v>3380</v>
      </c>
      <c r="Z5943" s="1128" t="s">
        <v>3381</v>
      </c>
      <c r="AA5943" s="1128" t="s">
        <v>3384</v>
      </c>
      <c r="AB5943" s="20"/>
      <c r="AC5943" s="73"/>
    </row>
    <row r="5944" spans="1:29">
      <c r="A5944" s="327" t="str">
        <f>IF(AND($B5944&lt;&gt;"",$C5944&lt;&gt;""),MAX($A$4730:$A5943)+1,"")</f>
        <v/>
      </c>
      <c r="B5944" s="361" t="s">
        <v>862</v>
      </c>
      <c r="C5944" s="362"/>
      <c r="D5944" s="327">
        <f>IF($B5944="","",COUNTIF($B$4731:$B5944,$B5944))</f>
        <v>8</v>
      </c>
      <c r="E5944" s="361" t="s">
        <v>154</v>
      </c>
      <c r="F5944" s="362" t="s">
        <v>660</v>
      </c>
      <c r="G5944" s="327" t="s">
        <v>661</v>
      </c>
      <c r="H5944" s="361" t="s">
        <v>536</v>
      </c>
      <c r="I5944" s="361" t="s">
        <v>667</v>
      </c>
      <c r="J5944" s="361"/>
      <c r="K5944" s="327" t="s">
        <v>662</v>
      </c>
      <c r="L5944" s="478">
        <v>20</v>
      </c>
      <c r="M5944" s="355"/>
      <c r="N5944" s="355" t="s">
        <v>2409</v>
      </c>
      <c r="O5944" s="345"/>
      <c r="P5944" s="325"/>
      <c r="Q5944" s="327"/>
      <c r="R5944" s="351"/>
      <c r="S5944" s="351"/>
      <c r="T5944" s="351"/>
      <c r="U5944" s="329" t="str">
        <f>IF($N5944=$N$4,IFERROR(INDEX(DanhMuc!$E$154:$E$165,MATCH(MID($B5944,4,2),DanhMuc!$B$154:$B$165,0)),""),"")</f>
        <v/>
      </c>
      <c r="V5944" s="361"/>
      <c r="W5944" s="345"/>
      <c r="X5944" s="786"/>
      <c r="Y5944" s="1128" t="s">
        <v>3380</v>
      </c>
      <c r="Z5944" s="1128" t="s">
        <v>3381</v>
      </c>
      <c r="AA5944" s="1128" t="s">
        <v>3384</v>
      </c>
      <c r="AB5944" s="20"/>
      <c r="AC5944" s="73"/>
    </row>
    <row r="5945" spans="1:29">
      <c r="A5945" s="327" t="str">
        <f>IF(AND($B5945&lt;&gt;"",$C5945&lt;&gt;""),MAX($A$4730:$A5944)+1,"")</f>
        <v/>
      </c>
      <c r="B5945" s="361" t="s">
        <v>862</v>
      </c>
      <c r="C5945" s="362"/>
      <c r="D5945" s="327">
        <f>IF($B5945="","",COUNTIF($B$4731:$B5945,$B5945))</f>
        <v>9</v>
      </c>
      <c r="E5945" s="362" t="s">
        <v>2282</v>
      </c>
      <c r="F5945" s="362" t="s">
        <v>2283</v>
      </c>
      <c r="G5945" s="327" t="s">
        <v>424</v>
      </c>
      <c r="H5945" s="361" t="s">
        <v>536</v>
      </c>
      <c r="I5945" s="361" t="s">
        <v>2238</v>
      </c>
      <c r="J5945" s="361"/>
      <c r="K5945" s="327" t="s">
        <v>662</v>
      </c>
      <c r="L5945" s="478">
        <v>28000</v>
      </c>
      <c r="M5945" s="355"/>
      <c r="N5945" s="355" t="s">
        <v>2409</v>
      </c>
      <c r="O5945" s="345"/>
      <c r="P5945" s="325"/>
      <c r="Q5945" s="327"/>
      <c r="R5945" s="351"/>
      <c r="S5945" s="351"/>
      <c r="T5945" s="351"/>
      <c r="U5945" s="329" t="str">
        <f>IF($N5945=$N$4,IFERROR(INDEX(DanhMuc!$E$154:$E$165,MATCH(MID($B5945,4,2),DanhMuc!$B$154:$B$165,0)),""),"")</f>
        <v/>
      </c>
      <c r="V5945" s="361"/>
      <c r="W5945" s="345"/>
      <c r="X5945" s="786"/>
      <c r="Y5945" s="1128" t="s">
        <v>3380</v>
      </c>
      <c r="Z5945" s="1128" t="s">
        <v>3381</v>
      </c>
      <c r="AA5945" s="1128" t="s">
        <v>3384</v>
      </c>
      <c r="AB5945" s="20"/>
      <c r="AC5945" s="73"/>
    </row>
    <row r="5946" spans="1:29">
      <c r="A5946" s="327" t="str">
        <f>IF(AND($B5946&lt;&gt;"",$C5946&lt;&gt;""),MAX($A$4730:$A5945)+1,"")</f>
        <v/>
      </c>
      <c r="B5946" s="361" t="s">
        <v>862</v>
      </c>
      <c r="C5946" s="362"/>
      <c r="D5946" s="327">
        <f>IF($B5946="","",COUNTIF($B$4731:$B5946,$B5946))</f>
        <v>10</v>
      </c>
      <c r="E5946" s="362" t="s">
        <v>663</v>
      </c>
      <c r="F5946" s="362" t="s">
        <v>664</v>
      </c>
      <c r="G5946" s="327" t="s">
        <v>155</v>
      </c>
      <c r="H5946" s="361" t="s">
        <v>536</v>
      </c>
      <c r="I5946" s="361" t="s">
        <v>672</v>
      </c>
      <c r="J5946" s="361"/>
      <c r="K5946" s="327" t="s">
        <v>662</v>
      </c>
      <c r="L5946" s="478">
        <v>1000</v>
      </c>
      <c r="M5946" s="355"/>
      <c r="N5946" s="355" t="s">
        <v>2409</v>
      </c>
      <c r="O5946" s="345"/>
      <c r="P5946" s="325"/>
      <c r="Q5946" s="327"/>
      <c r="R5946" s="351"/>
      <c r="S5946" s="351"/>
      <c r="T5946" s="351"/>
      <c r="U5946" s="329" t="str">
        <f>IF($N5946=$N$4,IFERROR(INDEX(DanhMuc!$E$154:$E$165,MATCH(MID($B5946,4,2),DanhMuc!$B$154:$B$165,0)),""),"")</f>
        <v/>
      </c>
      <c r="V5946" s="361"/>
      <c r="W5946" s="345"/>
      <c r="X5946" s="786"/>
      <c r="Y5946" s="1128" t="s">
        <v>3380</v>
      </c>
      <c r="Z5946" s="1128" t="s">
        <v>3381</v>
      </c>
      <c r="AA5946" s="1128" t="s">
        <v>3384</v>
      </c>
      <c r="AB5946" s="20"/>
      <c r="AC5946" s="73"/>
    </row>
    <row r="5947" spans="1:29" ht="26">
      <c r="A5947" s="327">
        <f>IF(AND($B5947&lt;&gt;"",$C5947&lt;&gt;""),MAX($A$4730:$A5946)+1,"")</f>
        <v>50</v>
      </c>
      <c r="B5947" s="359" t="s">
        <v>786</v>
      </c>
      <c r="C5947" s="370" t="s">
        <v>1569</v>
      </c>
      <c r="D5947" s="327">
        <f>IF($B5947="","",COUNTIF($B$4731:$B5947,$B5947))</f>
        <v>1</v>
      </c>
      <c r="E5947" s="361" t="s">
        <v>1826</v>
      </c>
      <c r="F5947" s="362" t="s">
        <v>670</v>
      </c>
      <c r="G5947" s="327" t="s">
        <v>661</v>
      </c>
      <c r="H5947" s="361" t="s">
        <v>536</v>
      </c>
      <c r="I5947" s="361" t="s">
        <v>2354</v>
      </c>
      <c r="J5947" s="361"/>
      <c r="K5947" s="327" t="s">
        <v>103</v>
      </c>
      <c r="L5947" s="478">
        <f>40000/1000</f>
        <v>40</v>
      </c>
      <c r="M5947" s="355"/>
      <c r="N5947" s="355" t="s">
        <v>2408</v>
      </c>
      <c r="O5947" s="345"/>
      <c r="P5947" s="325"/>
      <c r="Q5947" s="327"/>
      <c r="R5947" s="351"/>
      <c r="S5947" s="351"/>
      <c r="T5947" s="351"/>
      <c r="U5947" s="329" t="str">
        <f>IF($N5947=$N$4,IFERROR(INDEX(DanhMuc!$E$154:$E$165,MATCH(MID($B5947,4,2),DanhMuc!$B$154:$B$165,0)),""),"")</f>
        <v/>
      </c>
      <c r="V5947" s="361"/>
      <c r="W5947" s="345"/>
      <c r="X5947" s="786"/>
      <c r="Y5947" s="1128" t="s">
        <v>3380</v>
      </c>
      <c r="Z5947" s="1128" t="s">
        <v>3381</v>
      </c>
      <c r="AA5947" s="1128" t="s">
        <v>3384</v>
      </c>
      <c r="AB5947" s="20"/>
      <c r="AC5947" s="73"/>
    </row>
    <row r="5948" spans="1:29" ht="25">
      <c r="A5948" s="327" t="str">
        <f>IF(AND($B5948&lt;&gt;"",$C5948&lt;&gt;""),MAX($A$4730:$A5947)+1,"")</f>
        <v/>
      </c>
      <c r="B5948" s="361" t="s">
        <v>786</v>
      </c>
      <c r="C5948" s="362"/>
      <c r="D5948" s="327">
        <f>IF($B5948="","",COUNTIF($B$4731:$B5948,$B5948))</f>
        <v>2</v>
      </c>
      <c r="E5948" s="362" t="s">
        <v>1966</v>
      </c>
      <c r="F5948" s="362" t="s">
        <v>1967</v>
      </c>
      <c r="G5948" s="327" t="s">
        <v>405</v>
      </c>
      <c r="H5948" s="361" t="s">
        <v>536</v>
      </c>
      <c r="I5948" s="361" t="s">
        <v>1309</v>
      </c>
      <c r="J5948" s="361"/>
      <c r="K5948" s="327" t="s">
        <v>223</v>
      </c>
      <c r="L5948" s="389">
        <v>750</v>
      </c>
      <c r="M5948" s="371"/>
      <c r="N5948" s="355" t="s">
        <v>2408</v>
      </c>
      <c r="O5948" s="345"/>
      <c r="P5948" s="325"/>
      <c r="Q5948" s="327"/>
      <c r="R5948" s="351"/>
      <c r="S5948" s="351"/>
      <c r="T5948" s="351"/>
      <c r="U5948" s="329" t="str">
        <f>IF($N5948=$N$4,IFERROR(INDEX(DanhMuc!$E$154:$E$165,MATCH(MID($B5948,4,2),DanhMuc!$B$154:$B$165,0)),""),"")</f>
        <v/>
      </c>
      <c r="V5948" s="361"/>
      <c r="W5948" s="345"/>
      <c r="X5948" s="786"/>
      <c r="Y5948" s="1128" t="s">
        <v>3380</v>
      </c>
      <c r="Z5948" s="1128" t="s">
        <v>3381</v>
      </c>
      <c r="AA5948" s="1128" t="s">
        <v>3384</v>
      </c>
      <c r="AB5948" s="20"/>
      <c r="AC5948" s="73"/>
    </row>
    <row r="5949" spans="1:29" ht="37.5">
      <c r="A5949" s="327" t="str">
        <f>IF(AND($B5949&lt;&gt;"",$C5949&lt;&gt;""),MAX($A$4730:$A5948)+1,"")</f>
        <v/>
      </c>
      <c r="B5949" s="361" t="s">
        <v>786</v>
      </c>
      <c r="C5949" s="362"/>
      <c r="D5949" s="327">
        <f>IF($B5949="","",COUNTIF($B$4731:$B5949,$B5949))</f>
        <v>3</v>
      </c>
      <c r="E5949" s="362" t="s">
        <v>1964</v>
      </c>
      <c r="F5949" s="362" t="s">
        <v>1965</v>
      </c>
      <c r="G5949" s="410" t="s">
        <v>405</v>
      </c>
      <c r="H5949" s="402" t="s">
        <v>536</v>
      </c>
      <c r="I5949" s="402" t="s">
        <v>1210</v>
      </c>
      <c r="J5949" s="402"/>
      <c r="K5949" s="410" t="s">
        <v>223</v>
      </c>
      <c r="L5949" s="478">
        <v>140</v>
      </c>
      <c r="M5949" s="371"/>
      <c r="N5949" s="355" t="s">
        <v>2408</v>
      </c>
      <c r="O5949" s="345"/>
      <c r="P5949" s="325"/>
      <c r="Q5949" s="327"/>
      <c r="R5949" s="351"/>
      <c r="S5949" s="351"/>
      <c r="T5949" s="351"/>
      <c r="U5949" s="329" t="str">
        <f>IF($N5949=$N$4,IFERROR(INDEX(DanhMuc!$E$154:$E$165,MATCH(MID($B5949,4,2),DanhMuc!$B$154:$B$165,0)),""),"")</f>
        <v/>
      </c>
      <c r="V5949" s="361"/>
      <c r="W5949" s="345"/>
      <c r="X5949" s="786"/>
      <c r="Y5949" s="1128" t="s">
        <v>3380</v>
      </c>
      <c r="Z5949" s="1128" t="s">
        <v>3381</v>
      </c>
      <c r="AA5949" s="1128" t="s">
        <v>3384</v>
      </c>
      <c r="AB5949" s="20"/>
      <c r="AC5949" s="73"/>
    </row>
    <row r="5950" spans="1:29">
      <c r="A5950" s="327" t="str">
        <f>IF(AND($B5950&lt;&gt;"",$C5950&lt;&gt;""),MAX($A$4730:$A5949)+1,"")</f>
        <v/>
      </c>
      <c r="B5950" s="361" t="s">
        <v>786</v>
      </c>
      <c r="C5950" s="362"/>
      <c r="D5950" s="327">
        <f>IF($B5950="","",COUNTIF($B$4731:$B5950,$B5950))</f>
        <v>4</v>
      </c>
      <c r="E5950" s="361" t="s">
        <v>656</v>
      </c>
      <c r="F5950" s="362" t="s">
        <v>2239</v>
      </c>
      <c r="G5950" s="327" t="s">
        <v>405</v>
      </c>
      <c r="H5950" s="361" t="s">
        <v>536</v>
      </c>
      <c r="I5950" s="361" t="s">
        <v>1827</v>
      </c>
      <c r="J5950" s="361"/>
      <c r="K5950" s="327" t="s">
        <v>100</v>
      </c>
      <c r="L5950" s="478">
        <v>970</v>
      </c>
      <c r="M5950" s="371"/>
      <c r="N5950" s="355" t="s">
        <v>2409</v>
      </c>
      <c r="O5950" s="345"/>
      <c r="P5950" s="325"/>
      <c r="Q5950" s="327"/>
      <c r="R5950" s="351"/>
      <c r="S5950" s="351"/>
      <c r="T5950" s="351"/>
      <c r="U5950" s="329" t="str">
        <f>IF($N5950=$N$4,IFERROR(INDEX(DanhMuc!$E$154:$E$165,MATCH(MID($B5950,4,2),DanhMuc!$B$154:$B$165,0)),""),"")</f>
        <v/>
      </c>
      <c r="V5950" s="361"/>
      <c r="W5950" s="345"/>
      <c r="X5950" s="786"/>
      <c r="Y5950" s="1128" t="s">
        <v>3380</v>
      </c>
      <c r="Z5950" s="1128" t="s">
        <v>3381</v>
      </c>
      <c r="AA5950" s="1128" t="s">
        <v>3384</v>
      </c>
      <c r="AB5950" s="20"/>
      <c r="AC5950" s="73"/>
    </row>
    <row r="5951" spans="1:29">
      <c r="A5951" s="327" t="str">
        <f>IF(AND($B5951&lt;&gt;"",$C5951&lt;&gt;""),MAX($A$4730:$A5950)+1,"")</f>
        <v/>
      </c>
      <c r="B5951" s="361" t="s">
        <v>786</v>
      </c>
      <c r="C5951" s="362"/>
      <c r="D5951" s="327">
        <f>IF($B5951="","",COUNTIF($B$4731:$B5951,$B5951))</f>
        <v>5</v>
      </c>
      <c r="E5951" s="361" t="s">
        <v>657</v>
      </c>
      <c r="F5951" s="362" t="s">
        <v>658</v>
      </c>
      <c r="G5951" s="327" t="s">
        <v>424</v>
      </c>
      <c r="H5951" s="361" t="s">
        <v>536</v>
      </c>
      <c r="I5951" s="361" t="s">
        <v>665</v>
      </c>
      <c r="J5951" s="361"/>
      <c r="K5951" s="327" t="s">
        <v>100</v>
      </c>
      <c r="L5951" s="478">
        <v>60000</v>
      </c>
      <c r="M5951" s="355"/>
      <c r="N5951" s="355" t="s">
        <v>2409</v>
      </c>
      <c r="O5951" s="345"/>
      <c r="P5951" s="325"/>
      <c r="Q5951" s="327"/>
      <c r="R5951" s="351"/>
      <c r="S5951" s="351"/>
      <c r="T5951" s="351"/>
      <c r="U5951" s="329" t="str">
        <f>IF($N5951=$N$4,IFERROR(INDEX(DanhMuc!$E$154:$E$165,MATCH(MID($B5951,4,2),DanhMuc!$B$154:$B$165,0)),""),"")</f>
        <v/>
      </c>
      <c r="V5951" s="361"/>
      <c r="W5951" s="345"/>
      <c r="X5951" s="786"/>
      <c r="Y5951" s="1128" t="s">
        <v>3380</v>
      </c>
      <c r="Z5951" s="1128" t="s">
        <v>3381</v>
      </c>
      <c r="AA5951" s="1128" t="s">
        <v>3384</v>
      </c>
      <c r="AB5951" s="20"/>
      <c r="AC5951" s="73"/>
    </row>
    <row r="5952" spans="1:29">
      <c r="A5952" s="327" t="str">
        <f>IF(AND($B5952&lt;&gt;"",$C5952&lt;&gt;""),MAX($A$4730:$A5951)+1,"")</f>
        <v/>
      </c>
      <c r="B5952" s="361" t="s">
        <v>786</v>
      </c>
      <c r="C5952" s="362"/>
      <c r="D5952" s="327">
        <f>IF($B5952="","",COUNTIF($B$4731:$B5952,$B5952))</f>
        <v>6</v>
      </c>
      <c r="E5952" s="361" t="s">
        <v>2771</v>
      </c>
      <c r="F5952" s="362" t="s">
        <v>659</v>
      </c>
      <c r="G5952" s="327" t="s">
        <v>424</v>
      </c>
      <c r="H5952" s="361" t="s">
        <v>536</v>
      </c>
      <c r="I5952" s="361" t="s">
        <v>666</v>
      </c>
      <c r="J5952" s="361"/>
      <c r="K5952" s="327" t="s">
        <v>100</v>
      </c>
      <c r="L5952" s="389">
        <v>53000</v>
      </c>
      <c r="M5952" s="355"/>
      <c r="N5952" s="355" t="s">
        <v>2409</v>
      </c>
      <c r="O5952" s="345"/>
      <c r="P5952" s="325"/>
      <c r="Q5952" s="327"/>
      <c r="R5952" s="351"/>
      <c r="S5952" s="351"/>
      <c r="T5952" s="351"/>
      <c r="U5952" s="329" t="str">
        <f>IF($N5952=$N$4,IFERROR(INDEX(DanhMuc!$E$154:$E$165,MATCH(MID($B5952,4,2),DanhMuc!$B$154:$B$165,0)),""),"")</f>
        <v/>
      </c>
      <c r="V5952" s="361"/>
      <c r="W5952" s="345"/>
      <c r="X5952" s="786"/>
      <c r="Y5952" s="1128" t="s">
        <v>3380</v>
      </c>
      <c r="Z5952" s="1128" t="s">
        <v>3381</v>
      </c>
      <c r="AA5952" s="1128" t="s">
        <v>3384</v>
      </c>
      <c r="AB5952" s="20"/>
      <c r="AC5952" s="73"/>
    </row>
    <row r="5953" spans="1:29">
      <c r="A5953" s="327" t="str">
        <f>IF(AND($B5953&lt;&gt;"",$C5953&lt;&gt;""),MAX($A$4730:$A5952)+1,"")</f>
        <v/>
      </c>
      <c r="B5953" s="361" t="s">
        <v>786</v>
      </c>
      <c r="C5953" s="362"/>
      <c r="D5953" s="327">
        <f>IF($B5953="","",COUNTIF($B$4731:$B5953,$B5953))</f>
        <v>7</v>
      </c>
      <c r="E5953" s="361" t="s">
        <v>1828</v>
      </c>
      <c r="F5953" s="362" t="s">
        <v>671</v>
      </c>
      <c r="G5953" s="327" t="s">
        <v>661</v>
      </c>
      <c r="H5953" s="361" t="s">
        <v>536</v>
      </c>
      <c r="I5953" s="361" t="s">
        <v>2355</v>
      </c>
      <c r="J5953" s="361"/>
      <c r="K5953" s="327" t="s">
        <v>100</v>
      </c>
      <c r="L5953" s="478">
        <f>40000/1000</f>
        <v>40</v>
      </c>
      <c r="M5953" s="355"/>
      <c r="N5953" s="355" t="s">
        <v>2409</v>
      </c>
      <c r="O5953" s="345"/>
      <c r="P5953" s="325"/>
      <c r="Q5953" s="327"/>
      <c r="R5953" s="351"/>
      <c r="S5953" s="351"/>
      <c r="T5953" s="351"/>
      <c r="U5953" s="329" t="str">
        <f>IF($N5953=$N$4,IFERROR(INDEX(DanhMuc!$E$154:$E$165,MATCH(MID($B5953,4,2),DanhMuc!$B$154:$B$165,0)),""),"")</f>
        <v/>
      </c>
      <c r="V5953" s="361"/>
      <c r="W5953" s="345"/>
      <c r="X5953" s="786"/>
      <c r="Y5953" s="1128" t="s">
        <v>3380</v>
      </c>
      <c r="Z5953" s="1128" t="s">
        <v>3381</v>
      </c>
      <c r="AA5953" s="1128" t="s">
        <v>3384</v>
      </c>
      <c r="AB5953" s="20"/>
      <c r="AC5953" s="73"/>
    </row>
    <row r="5954" spans="1:29">
      <c r="A5954" s="327" t="str">
        <f>IF(AND($B5954&lt;&gt;"",$C5954&lt;&gt;""),MAX($A$4730:$A5953)+1,"")</f>
        <v/>
      </c>
      <c r="B5954" s="361" t="s">
        <v>786</v>
      </c>
      <c r="C5954" s="362"/>
      <c r="D5954" s="327">
        <f>IF($B5954="","",COUNTIF($B$4731:$B5954,$B5954))</f>
        <v>8</v>
      </c>
      <c r="E5954" s="361" t="s">
        <v>154</v>
      </c>
      <c r="F5954" s="362" t="s">
        <v>660</v>
      </c>
      <c r="G5954" s="327" t="s">
        <v>661</v>
      </c>
      <c r="H5954" s="361" t="s">
        <v>536</v>
      </c>
      <c r="I5954" s="361" t="s">
        <v>667</v>
      </c>
      <c r="J5954" s="361"/>
      <c r="K5954" s="327" t="s">
        <v>662</v>
      </c>
      <c r="L5954" s="478">
        <v>20</v>
      </c>
      <c r="M5954" s="355"/>
      <c r="N5954" s="355" t="s">
        <v>2409</v>
      </c>
      <c r="O5954" s="345"/>
      <c r="P5954" s="325"/>
      <c r="Q5954" s="327"/>
      <c r="R5954" s="351"/>
      <c r="S5954" s="351"/>
      <c r="T5954" s="351"/>
      <c r="U5954" s="329" t="str">
        <f>IF($N5954=$N$4,IFERROR(INDEX(DanhMuc!$E$154:$E$165,MATCH(MID($B5954,4,2),DanhMuc!$B$154:$B$165,0)),""),"")</f>
        <v/>
      </c>
      <c r="V5954" s="361"/>
      <c r="W5954" s="345"/>
      <c r="X5954" s="786"/>
      <c r="Y5954" s="1128" t="s">
        <v>3380</v>
      </c>
      <c r="Z5954" s="1128" t="s">
        <v>3381</v>
      </c>
      <c r="AA5954" s="1128" t="s">
        <v>3384</v>
      </c>
      <c r="AB5954" s="20"/>
      <c r="AC5954" s="73"/>
    </row>
    <row r="5955" spans="1:29">
      <c r="A5955" s="327" t="str">
        <f>IF(AND($B5955&lt;&gt;"",$C5955&lt;&gt;""),MAX($A$4730:$A5954)+1,"")</f>
        <v/>
      </c>
      <c r="B5955" s="361" t="s">
        <v>786</v>
      </c>
      <c r="C5955" s="362"/>
      <c r="D5955" s="327">
        <f>IF($B5955="","",COUNTIF($B$4731:$B5955,$B5955))</f>
        <v>9</v>
      </c>
      <c r="E5955" s="362" t="s">
        <v>2282</v>
      </c>
      <c r="F5955" s="362" t="s">
        <v>2283</v>
      </c>
      <c r="G5955" s="327" t="s">
        <v>424</v>
      </c>
      <c r="H5955" s="361" t="s">
        <v>536</v>
      </c>
      <c r="I5955" s="361" t="s">
        <v>2238</v>
      </c>
      <c r="J5955" s="361"/>
      <c r="K5955" s="327" t="s">
        <v>662</v>
      </c>
      <c r="L5955" s="478">
        <v>28000</v>
      </c>
      <c r="M5955" s="355"/>
      <c r="N5955" s="355" t="s">
        <v>2409</v>
      </c>
      <c r="O5955" s="345"/>
      <c r="P5955" s="325"/>
      <c r="Q5955" s="327"/>
      <c r="R5955" s="351"/>
      <c r="S5955" s="351"/>
      <c r="T5955" s="351"/>
      <c r="U5955" s="329" t="str">
        <f>IF($N5955=$N$4,IFERROR(INDEX(DanhMuc!$E$154:$E$165,MATCH(MID($B5955,4,2),DanhMuc!$B$154:$B$165,0)),""),"")</f>
        <v/>
      </c>
      <c r="V5955" s="361"/>
      <c r="W5955" s="345"/>
      <c r="X5955" s="786"/>
      <c r="Y5955" s="1128" t="s">
        <v>3380</v>
      </c>
      <c r="Z5955" s="1128" t="s">
        <v>3381</v>
      </c>
      <c r="AA5955" s="1128" t="s">
        <v>3384</v>
      </c>
      <c r="AB5955" s="20"/>
      <c r="AC5955" s="73"/>
    </row>
    <row r="5956" spans="1:29">
      <c r="A5956" s="327" t="str">
        <f>IF(AND($B5956&lt;&gt;"",$C5956&lt;&gt;""),MAX($A$4730:$A5955)+1,"")</f>
        <v/>
      </c>
      <c r="B5956" s="361" t="s">
        <v>786</v>
      </c>
      <c r="C5956" s="362"/>
      <c r="D5956" s="327">
        <f>IF($B5956="","",COUNTIF($B$4731:$B5956,$B5956))</f>
        <v>10</v>
      </c>
      <c r="E5956" s="362" t="s">
        <v>663</v>
      </c>
      <c r="F5956" s="362" t="s">
        <v>664</v>
      </c>
      <c r="G5956" s="327" t="s">
        <v>155</v>
      </c>
      <c r="H5956" s="361" t="s">
        <v>536</v>
      </c>
      <c r="I5956" s="361" t="s">
        <v>672</v>
      </c>
      <c r="J5956" s="361"/>
      <c r="K5956" s="327" t="s">
        <v>662</v>
      </c>
      <c r="L5956" s="478">
        <v>1000</v>
      </c>
      <c r="M5956" s="355"/>
      <c r="N5956" s="355" t="s">
        <v>2409</v>
      </c>
      <c r="O5956" s="345"/>
      <c r="P5956" s="325"/>
      <c r="Q5956" s="327"/>
      <c r="R5956" s="351"/>
      <c r="S5956" s="351"/>
      <c r="T5956" s="351"/>
      <c r="U5956" s="329" t="str">
        <f>IF($N5956=$N$4,IFERROR(INDEX(DanhMuc!$E$154:$E$165,MATCH(MID($B5956,4,2),DanhMuc!$B$154:$B$165,0)),""),"")</f>
        <v/>
      </c>
      <c r="V5956" s="361"/>
      <c r="W5956" s="345"/>
      <c r="X5956" s="786"/>
      <c r="Y5956" s="1128" t="s">
        <v>3380</v>
      </c>
      <c r="Z5956" s="1128" t="s">
        <v>3381</v>
      </c>
      <c r="AA5956" s="1128" t="s">
        <v>3384</v>
      </c>
      <c r="AB5956" s="20"/>
      <c r="AC5956" s="73"/>
    </row>
    <row r="5957" spans="1:29" ht="26">
      <c r="A5957" s="327">
        <f>IF(AND($B5957&lt;&gt;"",$C5957&lt;&gt;""),MAX($A$4730:$A5956)+1,"")</f>
        <v>51</v>
      </c>
      <c r="B5957" s="359" t="s">
        <v>799</v>
      </c>
      <c r="C5957" s="370" t="s">
        <v>1570</v>
      </c>
      <c r="D5957" s="327">
        <f>IF($B5957="","",COUNTIF($B$4731:$B5957,$B5957))</f>
        <v>1</v>
      </c>
      <c r="E5957" s="361" t="s">
        <v>1826</v>
      </c>
      <c r="F5957" s="362" t="s">
        <v>670</v>
      </c>
      <c r="G5957" s="327" t="s">
        <v>661</v>
      </c>
      <c r="H5957" s="361" t="s">
        <v>536</v>
      </c>
      <c r="I5957" s="361" t="s">
        <v>2354</v>
      </c>
      <c r="J5957" s="361"/>
      <c r="K5957" s="327" t="s">
        <v>103</v>
      </c>
      <c r="L5957" s="478">
        <f>40000/1000</f>
        <v>40</v>
      </c>
      <c r="M5957" s="355"/>
      <c r="N5957" s="355" t="s">
        <v>2408</v>
      </c>
      <c r="O5957" s="345"/>
      <c r="P5957" s="325"/>
      <c r="Q5957" s="327"/>
      <c r="R5957" s="351"/>
      <c r="S5957" s="351"/>
      <c r="T5957" s="351"/>
      <c r="U5957" s="329" t="str">
        <f>IF($N5957=$N$4,IFERROR(INDEX(DanhMuc!$E$154:$E$165,MATCH(MID($B5957,4,2),DanhMuc!$B$154:$B$165,0)),""),"")</f>
        <v/>
      </c>
      <c r="V5957" s="361"/>
      <c r="W5957" s="345"/>
      <c r="X5957" s="786"/>
      <c r="Y5957" s="1128" t="s">
        <v>3380</v>
      </c>
      <c r="Z5957" s="1128" t="s">
        <v>3381</v>
      </c>
      <c r="AA5957" s="1128" t="s">
        <v>3384</v>
      </c>
      <c r="AB5957" s="20"/>
      <c r="AC5957" s="73"/>
    </row>
    <row r="5958" spans="1:29" ht="25">
      <c r="A5958" s="327" t="str">
        <f>IF(AND($B5958&lt;&gt;"",$C5958&lt;&gt;""),MAX($A$4730:$A5957)+1,"")</f>
        <v/>
      </c>
      <c r="B5958" s="361" t="s">
        <v>799</v>
      </c>
      <c r="C5958" s="362"/>
      <c r="D5958" s="327">
        <f>IF($B5958="","",COUNTIF($B$4731:$B5958,$B5958))</f>
        <v>2</v>
      </c>
      <c r="E5958" s="362" t="s">
        <v>1966</v>
      </c>
      <c r="F5958" s="362" t="s">
        <v>1967</v>
      </c>
      <c r="G5958" s="327" t="s">
        <v>405</v>
      </c>
      <c r="H5958" s="361" t="s">
        <v>536</v>
      </c>
      <c r="I5958" s="361" t="s">
        <v>1309</v>
      </c>
      <c r="J5958" s="361"/>
      <c r="K5958" s="327" t="s">
        <v>223</v>
      </c>
      <c r="L5958" s="389">
        <v>750</v>
      </c>
      <c r="M5958" s="371"/>
      <c r="N5958" s="355" t="s">
        <v>2408</v>
      </c>
      <c r="O5958" s="345"/>
      <c r="P5958" s="325"/>
      <c r="Q5958" s="327"/>
      <c r="R5958" s="351"/>
      <c r="S5958" s="351"/>
      <c r="T5958" s="351"/>
      <c r="U5958" s="329" t="str">
        <f>IF($N5958=$N$4,IFERROR(INDEX(DanhMuc!$E$154:$E$165,MATCH(MID($B5958,4,2),DanhMuc!$B$154:$B$165,0)),""),"")</f>
        <v/>
      </c>
      <c r="V5958" s="361"/>
      <c r="W5958" s="345"/>
      <c r="X5958" s="786"/>
      <c r="Y5958" s="1128" t="s">
        <v>3380</v>
      </c>
      <c r="Z5958" s="1128" t="s">
        <v>3381</v>
      </c>
      <c r="AA5958" s="1128" t="s">
        <v>3384</v>
      </c>
      <c r="AB5958" s="20"/>
      <c r="AC5958" s="73"/>
    </row>
    <row r="5959" spans="1:29" ht="37.5">
      <c r="A5959" s="327" t="str">
        <f>IF(AND($B5959&lt;&gt;"",$C5959&lt;&gt;""),MAX($A$4730:$A5958)+1,"")</f>
        <v/>
      </c>
      <c r="B5959" s="361" t="s">
        <v>799</v>
      </c>
      <c r="C5959" s="362"/>
      <c r="D5959" s="327">
        <f>IF($B5959="","",COUNTIF($B$4731:$B5959,$B5959))</f>
        <v>3</v>
      </c>
      <c r="E5959" s="362" t="s">
        <v>1964</v>
      </c>
      <c r="F5959" s="362" t="s">
        <v>1965</v>
      </c>
      <c r="G5959" s="410" t="s">
        <v>405</v>
      </c>
      <c r="H5959" s="402" t="s">
        <v>536</v>
      </c>
      <c r="I5959" s="402" t="s">
        <v>1210</v>
      </c>
      <c r="J5959" s="402"/>
      <c r="K5959" s="410" t="s">
        <v>223</v>
      </c>
      <c r="L5959" s="478">
        <v>140</v>
      </c>
      <c r="M5959" s="371"/>
      <c r="N5959" s="355" t="s">
        <v>2408</v>
      </c>
      <c r="O5959" s="345"/>
      <c r="P5959" s="325"/>
      <c r="Q5959" s="327"/>
      <c r="R5959" s="351"/>
      <c r="S5959" s="351"/>
      <c r="T5959" s="351"/>
      <c r="U5959" s="329" t="str">
        <f>IF($N5959=$N$4,IFERROR(INDEX(DanhMuc!$E$154:$E$165,MATCH(MID($B5959,4,2),DanhMuc!$B$154:$B$165,0)),""),"")</f>
        <v/>
      </c>
      <c r="V5959" s="361"/>
      <c r="W5959" s="345"/>
      <c r="X5959" s="786"/>
      <c r="Y5959" s="1128" t="s">
        <v>3380</v>
      </c>
      <c r="Z5959" s="1128" t="s">
        <v>3381</v>
      </c>
      <c r="AA5959" s="1128" t="s">
        <v>3384</v>
      </c>
      <c r="AB5959" s="20"/>
      <c r="AC5959" s="73"/>
    </row>
    <row r="5960" spans="1:29">
      <c r="A5960" s="327" t="str">
        <f>IF(AND($B5960&lt;&gt;"",$C5960&lt;&gt;""),MAX($A$4730:$A5959)+1,"")</f>
        <v/>
      </c>
      <c r="B5960" s="361" t="s">
        <v>799</v>
      </c>
      <c r="C5960" s="362"/>
      <c r="D5960" s="327">
        <f>IF($B5960="","",COUNTIF($B$4731:$B5960,$B5960))</f>
        <v>4</v>
      </c>
      <c r="E5960" s="361" t="s">
        <v>656</v>
      </c>
      <c r="F5960" s="362" t="s">
        <v>2239</v>
      </c>
      <c r="G5960" s="327" t="s">
        <v>405</v>
      </c>
      <c r="H5960" s="361" t="s">
        <v>536</v>
      </c>
      <c r="I5960" s="361" t="s">
        <v>1827</v>
      </c>
      <c r="J5960" s="361"/>
      <c r="K5960" s="327" t="s">
        <v>100</v>
      </c>
      <c r="L5960" s="478">
        <v>970</v>
      </c>
      <c r="M5960" s="371"/>
      <c r="N5960" s="355" t="s">
        <v>2409</v>
      </c>
      <c r="O5960" s="345"/>
      <c r="P5960" s="325"/>
      <c r="Q5960" s="327"/>
      <c r="R5960" s="351"/>
      <c r="S5960" s="351"/>
      <c r="T5960" s="351"/>
      <c r="U5960" s="329" t="str">
        <f>IF($N5960=$N$4,IFERROR(INDEX(DanhMuc!$E$154:$E$165,MATCH(MID($B5960,4,2),DanhMuc!$B$154:$B$165,0)),""),"")</f>
        <v/>
      </c>
      <c r="V5960" s="361"/>
      <c r="W5960" s="345"/>
      <c r="X5960" s="786"/>
      <c r="Y5960" s="1128" t="s">
        <v>3380</v>
      </c>
      <c r="Z5960" s="1128" t="s">
        <v>3381</v>
      </c>
      <c r="AA5960" s="1128" t="s">
        <v>3384</v>
      </c>
      <c r="AB5960" s="20"/>
      <c r="AC5960" s="73"/>
    </row>
    <row r="5961" spans="1:29">
      <c r="A5961" s="327" t="str">
        <f>IF(AND($B5961&lt;&gt;"",$C5961&lt;&gt;""),MAX($A$4730:$A5960)+1,"")</f>
        <v/>
      </c>
      <c r="B5961" s="361" t="s">
        <v>799</v>
      </c>
      <c r="C5961" s="362"/>
      <c r="D5961" s="327">
        <f>IF($B5961="","",COUNTIF($B$4731:$B5961,$B5961))</f>
        <v>5</v>
      </c>
      <c r="E5961" s="361" t="s">
        <v>657</v>
      </c>
      <c r="F5961" s="362" t="s">
        <v>658</v>
      </c>
      <c r="G5961" s="327" t="s">
        <v>424</v>
      </c>
      <c r="H5961" s="361" t="s">
        <v>536</v>
      </c>
      <c r="I5961" s="361" t="s">
        <v>665</v>
      </c>
      <c r="J5961" s="361"/>
      <c r="K5961" s="327" t="s">
        <v>100</v>
      </c>
      <c r="L5961" s="478">
        <v>60000</v>
      </c>
      <c r="M5961" s="355"/>
      <c r="N5961" s="355" t="s">
        <v>2409</v>
      </c>
      <c r="O5961" s="345"/>
      <c r="P5961" s="325"/>
      <c r="Q5961" s="327"/>
      <c r="R5961" s="351"/>
      <c r="S5961" s="351"/>
      <c r="T5961" s="351"/>
      <c r="U5961" s="329" t="str">
        <f>IF($N5961=$N$4,IFERROR(INDEX(DanhMuc!$E$154:$E$165,MATCH(MID($B5961,4,2),DanhMuc!$B$154:$B$165,0)),""),"")</f>
        <v/>
      </c>
      <c r="V5961" s="361"/>
      <c r="W5961" s="345"/>
      <c r="X5961" s="786"/>
      <c r="Y5961" s="1128" t="s">
        <v>3380</v>
      </c>
      <c r="Z5961" s="1128" t="s">
        <v>3381</v>
      </c>
      <c r="AA5961" s="1128" t="s">
        <v>3384</v>
      </c>
      <c r="AB5961" s="20"/>
      <c r="AC5961" s="73"/>
    </row>
    <row r="5962" spans="1:29">
      <c r="A5962" s="327" t="str">
        <f>IF(AND($B5962&lt;&gt;"",$C5962&lt;&gt;""),MAX($A$4730:$A5961)+1,"")</f>
        <v/>
      </c>
      <c r="B5962" s="361" t="s">
        <v>799</v>
      </c>
      <c r="C5962" s="362"/>
      <c r="D5962" s="327">
        <f>IF($B5962="","",COUNTIF($B$4731:$B5962,$B5962))</f>
        <v>6</v>
      </c>
      <c r="E5962" s="361" t="s">
        <v>2771</v>
      </c>
      <c r="F5962" s="362" t="s">
        <v>659</v>
      </c>
      <c r="G5962" s="327" t="s">
        <v>424</v>
      </c>
      <c r="H5962" s="361" t="s">
        <v>536</v>
      </c>
      <c r="I5962" s="361" t="s">
        <v>666</v>
      </c>
      <c r="J5962" s="361"/>
      <c r="K5962" s="327" t="s">
        <v>100</v>
      </c>
      <c r="L5962" s="389">
        <v>53000</v>
      </c>
      <c r="M5962" s="355"/>
      <c r="N5962" s="355" t="s">
        <v>2409</v>
      </c>
      <c r="O5962" s="345"/>
      <c r="P5962" s="325"/>
      <c r="Q5962" s="327"/>
      <c r="R5962" s="351"/>
      <c r="S5962" s="351"/>
      <c r="T5962" s="351"/>
      <c r="U5962" s="329" t="str">
        <f>IF($N5962=$N$4,IFERROR(INDEX(DanhMuc!$E$154:$E$165,MATCH(MID($B5962,4,2),DanhMuc!$B$154:$B$165,0)),""),"")</f>
        <v/>
      </c>
      <c r="V5962" s="361"/>
      <c r="W5962" s="345"/>
      <c r="X5962" s="786"/>
      <c r="Y5962" s="1128" t="s">
        <v>3380</v>
      </c>
      <c r="Z5962" s="1128" t="s">
        <v>3381</v>
      </c>
      <c r="AA5962" s="1128" t="s">
        <v>3384</v>
      </c>
      <c r="AB5962" s="20"/>
      <c r="AC5962" s="73"/>
    </row>
    <row r="5963" spans="1:29">
      <c r="A5963" s="327" t="str">
        <f>IF(AND($B5963&lt;&gt;"",$C5963&lt;&gt;""),MAX($A$4730:$A5962)+1,"")</f>
        <v/>
      </c>
      <c r="B5963" s="361" t="s">
        <v>799</v>
      </c>
      <c r="C5963" s="362"/>
      <c r="D5963" s="327">
        <f>IF($B5963="","",COUNTIF($B$4731:$B5963,$B5963))</f>
        <v>7</v>
      </c>
      <c r="E5963" s="361" t="s">
        <v>1828</v>
      </c>
      <c r="F5963" s="362" t="s">
        <v>671</v>
      </c>
      <c r="G5963" s="327" t="s">
        <v>661</v>
      </c>
      <c r="H5963" s="361" t="s">
        <v>536</v>
      </c>
      <c r="I5963" s="361" t="s">
        <v>2355</v>
      </c>
      <c r="J5963" s="361"/>
      <c r="K5963" s="327" t="s">
        <v>100</v>
      </c>
      <c r="L5963" s="478">
        <f>40000/1000</f>
        <v>40</v>
      </c>
      <c r="M5963" s="355"/>
      <c r="N5963" s="355" t="s">
        <v>2409</v>
      </c>
      <c r="O5963" s="345"/>
      <c r="P5963" s="325"/>
      <c r="Q5963" s="327"/>
      <c r="R5963" s="351"/>
      <c r="S5963" s="351"/>
      <c r="T5963" s="351"/>
      <c r="U5963" s="329" t="str">
        <f>IF($N5963=$N$4,IFERROR(INDEX(DanhMuc!$E$154:$E$165,MATCH(MID($B5963,4,2),DanhMuc!$B$154:$B$165,0)),""),"")</f>
        <v/>
      </c>
      <c r="V5963" s="361"/>
      <c r="W5963" s="345"/>
      <c r="X5963" s="786"/>
      <c r="Y5963" s="1128" t="s">
        <v>3380</v>
      </c>
      <c r="Z5963" s="1128" t="s">
        <v>3381</v>
      </c>
      <c r="AA5963" s="1128" t="s">
        <v>3384</v>
      </c>
      <c r="AB5963" s="20"/>
      <c r="AC5963" s="73"/>
    </row>
    <row r="5964" spans="1:29">
      <c r="A5964" s="327" t="str">
        <f>IF(AND($B5964&lt;&gt;"",$C5964&lt;&gt;""),MAX($A$4730:$A5963)+1,"")</f>
        <v/>
      </c>
      <c r="B5964" s="361" t="s">
        <v>799</v>
      </c>
      <c r="C5964" s="362"/>
      <c r="D5964" s="327">
        <f>IF($B5964="","",COUNTIF($B$4731:$B5964,$B5964))</f>
        <v>8</v>
      </c>
      <c r="E5964" s="361" t="s">
        <v>154</v>
      </c>
      <c r="F5964" s="362" t="s">
        <v>660</v>
      </c>
      <c r="G5964" s="327" t="s">
        <v>661</v>
      </c>
      <c r="H5964" s="361" t="s">
        <v>536</v>
      </c>
      <c r="I5964" s="361" t="s">
        <v>667</v>
      </c>
      <c r="J5964" s="361"/>
      <c r="K5964" s="327" t="s">
        <v>662</v>
      </c>
      <c r="L5964" s="478">
        <v>20</v>
      </c>
      <c r="M5964" s="355"/>
      <c r="N5964" s="355" t="s">
        <v>2409</v>
      </c>
      <c r="O5964" s="345"/>
      <c r="P5964" s="325"/>
      <c r="Q5964" s="327"/>
      <c r="R5964" s="351"/>
      <c r="S5964" s="351"/>
      <c r="T5964" s="351"/>
      <c r="U5964" s="329" t="str">
        <f>IF($N5964=$N$4,IFERROR(INDEX(DanhMuc!$E$154:$E$165,MATCH(MID($B5964,4,2),DanhMuc!$B$154:$B$165,0)),""),"")</f>
        <v/>
      </c>
      <c r="V5964" s="361"/>
      <c r="W5964" s="345"/>
      <c r="X5964" s="786"/>
      <c r="Y5964" s="1128" t="s">
        <v>3380</v>
      </c>
      <c r="Z5964" s="1128" t="s">
        <v>3381</v>
      </c>
      <c r="AA5964" s="1128" t="s">
        <v>3384</v>
      </c>
      <c r="AB5964" s="20"/>
      <c r="AC5964" s="73"/>
    </row>
    <row r="5965" spans="1:29">
      <c r="A5965" s="327" t="str">
        <f>IF(AND($B5965&lt;&gt;"",$C5965&lt;&gt;""),MAX($A$4730:$A5964)+1,"")</f>
        <v/>
      </c>
      <c r="B5965" s="361" t="s">
        <v>799</v>
      </c>
      <c r="C5965" s="362"/>
      <c r="D5965" s="327">
        <f>IF($B5965="","",COUNTIF($B$4731:$B5965,$B5965))</f>
        <v>9</v>
      </c>
      <c r="E5965" s="362" t="s">
        <v>2282</v>
      </c>
      <c r="F5965" s="362" t="s">
        <v>2283</v>
      </c>
      <c r="G5965" s="327" t="s">
        <v>424</v>
      </c>
      <c r="H5965" s="361" t="s">
        <v>536</v>
      </c>
      <c r="I5965" s="361" t="s">
        <v>2238</v>
      </c>
      <c r="J5965" s="361"/>
      <c r="K5965" s="327" t="s">
        <v>662</v>
      </c>
      <c r="L5965" s="478">
        <v>28000</v>
      </c>
      <c r="M5965" s="355"/>
      <c r="N5965" s="355" t="s">
        <v>2409</v>
      </c>
      <c r="O5965" s="345"/>
      <c r="P5965" s="325"/>
      <c r="Q5965" s="327"/>
      <c r="R5965" s="351"/>
      <c r="S5965" s="351"/>
      <c r="T5965" s="351"/>
      <c r="U5965" s="329" t="str">
        <f>IF($N5965=$N$4,IFERROR(INDEX(DanhMuc!$E$154:$E$165,MATCH(MID($B5965,4,2),DanhMuc!$B$154:$B$165,0)),""),"")</f>
        <v/>
      </c>
      <c r="V5965" s="361"/>
      <c r="W5965" s="345"/>
      <c r="X5965" s="786"/>
      <c r="Y5965" s="1128" t="s">
        <v>3380</v>
      </c>
      <c r="Z5965" s="1128" t="s">
        <v>3381</v>
      </c>
      <c r="AA5965" s="1128" t="s">
        <v>3384</v>
      </c>
      <c r="AB5965" s="20"/>
      <c r="AC5965" s="73"/>
    </row>
    <row r="5966" spans="1:29">
      <c r="A5966" s="327" t="str">
        <f>IF(AND($B5966&lt;&gt;"",$C5966&lt;&gt;""),MAX($A$4730:$A5965)+1,"")</f>
        <v/>
      </c>
      <c r="B5966" s="361" t="s">
        <v>799</v>
      </c>
      <c r="C5966" s="362"/>
      <c r="D5966" s="327">
        <f>IF($B5966="","",COUNTIF($B$4731:$B5966,$B5966))</f>
        <v>10</v>
      </c>
      <c r="E5966" s="362" t="s">
        <v>663</v>
      </c>
      <c r="F5966" s="362" t="s">
        <v>664</v>
      </c>
      <c r="G5966" s="327" t="s">
        <v>155</v>
      </c>
      <c r="H5966" s="361" t="s">
        <v>536</v>
      </c>
      <c r="I5966" s="361" t="s">
        <v>672</v>
      </c>
      <c r="J5966" s="361"/>
      <c r="K5966" s="327" t="s">
        <v>662</v>
      </c>
      <c r="L5966" s="478">
        <v>1000</v>
      </c>
      <c r="M5966" s="355"/>
      <c r="N5966" s="355" t="s">
        <v>2409</v>
      </c>
      <c r="O5966" s="345"/>
      <c r="P5966" s="325"/>
      <c r="Q5966" s="327"/>
      <c r="R5966" s="351"/>
      <c r="S5966" s="351"/>
      <c r="T5966" s="351"/>
      <c r="U5966" s="329" t="str">
        <f>IF($N5966=$N$4,IFERROR(INDEX(DanhMuc!$E$154:$E$165,MATCH(MID($B5966,4,2),DanhMuc!$B$154:$B$165,0)),""),"")</f>
        <v/>
      </c>
      <c r="V5966" s="361"/>
      <c r="W5966" s="345"/>
      <c r="X5966" s="786"/>
      <c r="Y5966" s="1128" t="s">
        <v>3380</v>
      </c>
      <c r="Z5966" s="1128" t="s">
        <v>3381</v>
      </c>
      <c r="AA5966" s="1128" t="s">
        <v>3384</v>
      </c>
      <c r="AB5966" s="20"/>
      <c r="AC5966" s="73"/>
    </row>
    <row r="5967" spans="1:29" ht="26">
      <c r="A5967" s="327">
        <f>IF(AND($B5967&lt;&gt;"",$C5967&lt;&gt;""),MAX($A$4730:$A5966)+1,"")</f>
        <v>52</v>
      </c>
      <c r="B5967" s="359" t="s">
        <v>811</v>
      </c>
      <c r="C5967" s="370" t="s">
        <v>1571</v>
      </c>
      <c r="D5967" s="327">
        <f>IF($B5967="","",COUNTIF($B$4731:$B5967,$B5967))</f>
        <v>1</v>
      </c>
      <c r="E5967" s="361" t="s">
        <v>1826</v>
      </c>
      <c r="F5967" s="362" t="s">
        <v>670</v>
      </c>
      <c r="G5967" s="327" t="s">
        <v>661</v>
      </c>
      <c r="H5967" s="361" t="s">
        <v>536</v>
      </c>
      <c r="I5967" s="361" t="s">
        <v>2354</v>
      </c>
      <c r="J5967" s="361"/>
      <c r="K5967" s="327" t="s">
        <v>103</v>
      </c>
      <c r="L5967" s="478">
        <f>40000/1000</f>
        <v>40</v>
      </c>
      <c r="M5967" s="355"/>
      <c r="N5967" s="355" t="s">
        <v>2408</v>
      </c>
      <c r="O5967" s="345"/>
      <c r="P5967" s="325"/>
      <c r="Q5967" s="327"/>
      <c r="R5967" s="351"/>
      <c r="S5967" s="351"/>
      <c r="T5967" s="351"/>
      <c r="U5967" s="329" t="str">
        <f>IF($N5967=$N$4,IFERROR(INDEX(DanhMuc!$E$154:$E$165,MATCH(MID($B5967,4,2),DanhMuc!$B$154:$B$165,0)),""),"")</f>
        <v/>
      </c>
      <c r="V5967" s="361"/>
      <c r="W5967" s="345"/>
      <c r="X5967" s="786"/>
      <c r="Y5967" s="1128" t="s">
        <v>3380</v>
      </c>
      <c r="Z5967" s="1128" t="s">
        <v>3381</v>
      </c>
      <c r="AA5967" s="1128" t="s">
        <v>3384</v>
      </c>
      <c r="AB5967" s="20"/>
      <c r="AC5967" s="73"/>
    </row>
    <row r="5968" spans="1:29" ht="25">
      <c r="A5968" s="327" t="str">
        <f>IF(AND($B5968&lt;&gt;"",$C5968&lt;&gt;""),MAX($A$4730:$A5967)+1,"")</f>
        <v/>
      </c>
      <c r="B5968" s="361" t="s">
        <v>811</v>
      </c>
      <c r="C5968" s="362"/>
      <c r="D5968" s="327">
        <f>IF($B5968="","",COUNTIF($B$4731:$B5968,$B5968))</f>
        <v>2</v>
      </c>
      <c r="E5968" s="362" t="s">
        <v>1966</v>
      </c>
      <c r="F5968" s="362" t="s">
        <v>1967</v>
      </c>
      <c r="G5968" s="327" t="s">
        <v>405</v>
      </c>
      <c r="H5968" s="361" t="s">
        <v>536</v>
      </c>
      <c r="I5968" s="361" t="s">
        <v>1309</v>
      </c>
      <c r="J5968" s="361"/>
      <c r="K5968" s="327" t="s">
        <v>223</v>
      </c>
      <c r="L5968" s="389">
        <v>750</v>
      </c>
      <c r="M5968" s="371"/>
      <c r="N5968" s="355" t="s">
        <v>2408</v>
      </c>
      <c r="O5968" s="345"/>
      <c r="P5968" s="325"/>
      <c r="Q5968" s="327"/>
      <c r="R5968" s="351"/>
      <c r="S5968" s="351"/>
      <c r="T5968" s="351"/>
      <c r="U5968" s="329" t="str">
        <f>IF($N5968=$N$4,IFERROR(INDEX(DanhMuc!$E$154:$E$165,MATCH(MID($B5968,4,2),DanhMuc!$B$154:$B$165,0)),""),"")</f>
        <v/>
      </c>
      <c r="V5968" s="361"/>
      <c r="W5968" s="345"/>
      <c r="X5968" s="786"/>
      <c r="Y5968" s="1128" t="s">
        <v>3380</v>
      </c>
      <c r="Z5968" s="1128" t="s">
        <v>3381</v>
      </c>
      <c r="AA5968" s="1128" t="s">
        <v>3384</v>
      </c>
      <c r="AB5968" s="20"/>
      <c r="AC5968" s="73"/>
    </row>
    <row r="5969" spans="1:29" ht="37.5">
      <c r="A5969" s="327" t="str">
        <f>IF(AND($B5969&lt;&gt;"",$C5969&lt;&gt;""),MAX($A$4730:$A5968)+1,"")</f>
        <v/>
      </c>
      <c r="B5969" s="361" t="s">
        <v>811</v>
      </c>
      <c r="C5969" s="362"/>
      <c r="D5969" s="327">
        <f>IF($B5969="","",COUNTIF($B$4731:$B5969,$B5969))</f>
        <v>3</v>
      </c>
      <c r="E5969" s="362" t="s">
        <v>1964</v>
      </c>
      <c r="F5969" s="362" t="s">
        <v>1965</v>
      </c>
      <c r="G5969" s="410" t="s">
        <v>405</v>
      </c>
      <c r="H5969" s="402" t="s">
        <v>536</v>
      </c>
      <c r="I5969" s="402" t="s">
        <v>1210</v>
      </c>
      <c r="J5969" s="402"/>
      <c r="K5969" s="410" t="s">
        <v>223</v>
      </c>
      <c r="L5969" s="478">
        <v>140</v>
      </c>
      <c r="M5969" s="371"/>
      <c r="N5969" s="355" t="s">
        <v>2408</v>
      </c>
      <c r="O5969" s="345"/>
      <c r="P5969" s="325"/>
      <c r="Q5969" s="327"/>
      <c r="R5969" s="351"/>
      <c r="S5969" s="351"/>
      <c r="T5969" s="351"/>
      <c r="U5969" s="329" t="str">
        <f>IF($N5969=$N$4,IFERROR(INDEX(DanhMuc!$E$154:$E$165,MATCH(MID($B5969,4,2),DanhMuc!$B$154:$B$165,0)),""),"")</f>
        <v/>
      </c>
      <c r="V5969" s="361"/>
      <c r="W5969" s="345"/>
      <c r="X5969" s="786"/>
      <c r="Y5969" s="1128" t="s">
        <v>3380</v>
      </c>
      <c r="Z5969" s="1128" t="s">
        <v>3381</v>
      </c>
      <c r="AA5969" s="1128" t="s">
        <v>3384</v>
      </c>
      <c r="AB5969" s="20"/>
      <c r="AC5969" s="73"/>
    </row>
    <row r="5970" spans="1:29">
      <c r="A5970" s="327" t="str">
        <f>IF(AND($B5970&lt;&gt;"",$C5970&lt;&gt;""),MAX($A$4730:$A5969)+1,"")</f>
        <v/>
      </c>
      <c r="B5970" s="361" t="s">
        <v>811</v>
      </c>
      <c r="C5970" s="362"/>
      <c r="D5970" s="327">
        <f>IF($B5970="","",COUNTIF($B$4731:$B5970,$B5970))</f>
        <v>4</v>
      </c>
      <c r="E5970" s="361" t="s">
        <v>656</v>
      </c>
      <c r="F5970" s="362" t="s">
        <v>2239</v>
      </c>
      <c r="G5970" s="327" t="s">
        <v>405</v>
      </c>
      <c r="H5970" s="361" t="s">
        <v>536</v>
      </c>
      <c r="I5970" s="361" t="s">
        <v>1827</v>
      </c>
      <c r="J5970" s="361"/>
      <c r="K5970" s="327" t="s">
        <v>100</v>
      </c>
      <c r="L5970" s="478">
        <v>970</v>
      </c>
      <c r="M5970" s="371"/>
      <c r="N5970" s="355" t="s">
        <v>2409</v>
      </c>
      <c r="O5970" s="345"/>
      <c r="P5970" s="325"/>
      <c r="Q5970" s="327"/>
      <c r="R5970" s="351"/>
      <c r="S5970" s="351"/>
      <c r="T5970" s="351"/>
      <c r="U5970" s="329" t="str">
        <f>IF($N5970=$N$4,IFERROR(INDEX(DanhMuc!$E$154:$E$165,MATCH(MID($B5970,4,2),DanhMuc!$B$154:$B$165,0)),""),"")</f>
        <v/>
      </c>
      <c r="V5970" s="361"/>
      <c r="W5970" s="345"/>
      <c r="X5970" s="786"/>
      <c r="Y5970" s="1128" t="s">
        <v>3380</v>
      </c>
      <c r="Z5970" s="1128" t="s">
        <v>3381</v>
      </c>
      <c r="AA5970" s="1128" t="s">
        <v>3384</v>
      </c>
      <c r="AB5970" s="20"/>
      <c r="AC5970" s="73"/>
    </row>
    <row r="5971" spans="1:29">
      <c r="A5971" s="327" t="str">
        <f>IF(AND($B5971&lt;&gt;"",$C5971&lt;&gt;""),MAX($A$4730:$A5970)+1,"")</f>
        <v/>
      </c>
      <c r="B5971" s="361" t="s">
        <v>811</v>
      </c>
      <c r="C5971" s="362"/>
      <c r="D5971" s="327">
        <f>IF($B5971="","",COUNTIF($B$4731:$B5971,$B5971))</f>
        <v>5</v>
      </c>
      <c r="E5971" s="361" t="s">
        <v>657</v>
      </c>
      <c r="F5971" s="362" t="s">
        <v>658</v>
      </c>
      <c r="G5971" s="327" t="s">
        <v>424</v>
      </c>
      <c r="H5971" s="361" t="s">
        <v>536</v>
      </c>
      <c r="I5971" s="361" t="s">
        <v>665</v>
      </c>
      <c r="J5971" s="361"/>
      <c r="K5971" s="327" t="s">
        <v>100</v>
      </c>
      <c r="L5971" s="478">
        <v>60000</v>
      </c>
      <c r="M5971" s="355"/>
      <c r="N5971" s="355" t="s">
        <v>2409</v>
      </c>
      <c r="O5971" s="345"/>
      <c r="P5971" s="325"/>
      <c r="Q5971" s="327"/>
      <c r="R5971" s="351"/>
      <c r="S5971" s="351"/>
      <c r="T5971" s="351"/>
      <c r="U5971" s="329" t="str">
        <f>IF($N5971=$N$4,IFERROR(INDEX(DanhMuc!$E$154:$E$165,MATCH(MID($B5971,4,2),DanhMuc!$B$154:$B$165,0)),""),"")</f>
        <v/>
      </c>
      <c r="V5971" s="361"/>
      <c r="W5971" s="345"/>
      <c r="X5971" s="786"/>
      <c r="Y5971" s="1128" t="s">
        <v>3380</v>
      </c>
      <c r="Z5971" s="1128" t="s">
        <v>3381</v>
      </c>
      <c r="AA5971" s="1128" t="s">
        <v>3384</v>
      </c>
      <c r="AB5971" s="20"/>
      <c r="AC5971" s="73"/>
    </row>
    <row r="5972" spans="1:29">
      <c r="A5972" s="327" t="str">
        <f>IF(AND($B5972&lt;&gt;"",$C5972&lt;&gt;""),MAX($A$4730:$A5971)+1,"")</f>
        <v/>
      </c>
      <c r="B5972" s="361" t="s">
        <v>811</v>
      </c>
      <c r="C5972" s="362"/>
      <c r="D5972" s="327">
        <f>IF($B5972="","",COUNTIF($B$4731:$B5972,$B5972))</f>
        <v>6</v>
      </c>
      <c r="E5972" s="361" t="s">
        <v>2771</v>
      </c>
      <c r="F5972" s="362" t="s">
        <v>659</v>
      </c>
      <c r="G5972" s="327" t="s">
        <v>424</v>
      </c>
      <c r="H5972" s="361" t="s">
        <v>536</v>
      </c>
      <c r="I5972" s="361" t="s">
        <v>666</v>
      </c>
      <c r="J5972" s="361"/>
      <c r="K5972" s="327" t="s">
        <v>100</v>
      </c>
      <c r="L5972" s="389">
        <v>53000</v>
      </c>
      <c r="M5972" s="355"/>
      <c r="N5972" s="355" t="s">
        <v>2409</v>
      </c>
      <c r="O5972" s="345"/>
      <c r="P5972" s="325"/>
      <c r="Q5972" s="327"/>
      <c r="R5972" s="351"/>
      <c r="S5972" s="351"/>
      <c r="T5972" s="351"/>
      <c r="U5972" s="329" t="str">
        <f>IF($N5972=$N$4,IFERROR(INDEX(DanhMuc!$E$154:$E$165,MATCH(MID($B5972,4,2),DanhMuc!$B$154:$B$165,0)),""),"")</f>
        <v/>
      </c>
      <c r="V5972" s="361"/>
      <c r="W5972" s="345"/>
      <c r="X5972" s="786"/>
      <c r="Y5972" s="1128" t="s">
        <v>3380</v>
      </c>
      <c r="Z5972" s="1128" t="s">
        <v>3381</v>
      </c>
      <c r="AA5972" s="1128" t="s">
        <v>3384</v>
      </c>
      <c r="AB5972" s="20"/>
      <c r="AC5972" s="73"/>
    </row>
    <row r="5973" spans="1:29">
      <c r="A5973" s="327" t="str">
        <f>IF(AND($B5973&lt;&gt;"",$C5973&lt;&gt;""),MAX($A$4730:$A5972)+1,"")</f>
        <v/>
      </c>
      <c r="B5973" s="361" t="s">
        <v>811</v>
      </c>
      <c r="C5973" s="362"/>
      <c r="D5973" s="327">
        <f>IF($B5973="","",COUNTIF($B$4731:$B5973,$B5973))</f>
        <v>7</v>
      </c>
      <c r="E5973" s="361" t="s">
        <v>1828</v>
      </c>
      <c r="F5973" s="362" t="s">
        <v>671</v>
      </c>
      <c r="G5973" s="327" t="s">
        <v>661</v>
      </c>
      <c r="H5973" s="361" t="s">
        <v>536</v>
      </c>
      <c r="I5973" s="361" t="s">
        <v>2355</v>
      </c>
      <c r="J5973" s="361"/>
      <c r="K5973" s="327" t="s">
        <v>100</v>
      </c>
      <c r="L5973" s="478">
        <f>40000/1000</f>
        <v>40</v>
      </c>
      <c r="M5973" s="355"/>
      <c r="N5973" s="355" t="s">
        <v>2409</v>
      </c>
      <c r="O5973" s="345"/>
      <c r="P5973" s="325"/>
      <c r="Q5973" s="327"/>
      <c r="R5973" s="351"/>
      <c r="S5973" s="351"/>
      <c r="T5973" s="351"/>
      <c r="U5973" s="329" t="str">
        <f>IF($N5973=$N$4,IFERROR(INDEX(DanhMuc!$E$154:$E$165,MATCH(MID($B5973,4,2),DanhMuc!$B$154:$B$165,0)),""),"")</f>
        <v/>
      </c>
      <c r="V5973" s="361"/>
      <c r="W5973" s="345"/>
      <c r="X5973" s="786"/>
      <c r="Y5973" s="1128" t="s">
        <v>3380</v>
      </c>
      <c r="Z5973" s="1128" t="s">
        <v>3381</v>
      </c>
      <c r="AA5973" s="1128" t="s">
        <v>3384</v>
      </c>
      <c r="AB5973" s="20"/>
      <c r="AC5973" s="73"/>
    </row>
    <row r="5974" spans="1:29">
      <c r="A5974" s="327" t="str">
        <f>IF(AND($B5974&lt;&gt;"",$C5974&lt;&gt;""),MAX($A$4730:$A5973)+1,"")</f>
        <v/>
      </c>
      <c r="B5974" s="361" t="s">
        <v>811</v>
      </c>
      <c r="C5974" s="362"/>
      <c r="D5974" s="327">
        <f>IF($B5974="","",COUNTIF($B$4731:$B5974,$B5974))</f>
        <v>8</v>
      </c>
      <c r="E5974" s="361" t="s">
        <v>154</v>
      </c>
      <c r="F5974" s="362" t="s">
        <v>660</v>
      </c>
      <c r="G5974" s="327" t="s">
        <v>661</v>
      </c>
      <c r="H5974" s="361" t="s">
        <v>536</v>
      </c>
      <c r="I5974" s="361" t="s">
        <v>667</v>
      </c>
      <c r="J5974" s="361"/>
      <c r="K5974" s="327" t="s">
        <v>662</v>
      </c>
      <c r="L5974" s="478">
        <v>20</v>
      </c>
      <c r="M5974" s="355"/>
      <c r="N5974" s="355" t="s">
        <v>2409</v>
      </c>
      <c r="O5974" s="345"/>
      <c r="P5974" s="325"/>
      <c r="Q5974" s="327"/>
      <c r="R5974" s="351"/>
      <c r="S5974" s="351"/>
      <c r="T5974" s="351"/>
      <c r="U5974" s="329" t="str">
        <f>IF($N5974=$N$4,IFERROR(INDEX(DanhMuc!$E$154:$E$165,MATCH(MID($B5974,4,2),DanhMuc!$B$154:$B$165,0)),""),"")</f>
        <v/>
      </c>
      <c r="V5974" s="361"/>
      <c r="W5974" s="345"/>
      <c r="X5974" s="786"/>
      <c r="Y5974" s="1128" t="s">
        <v>3380</v>
      </c>
      <c r="Z5974" s="1128" t="s">
        <v>3381</v>
      </c>
      <c r="AA5974" s="1128" t="s">
        <v>3384</v>
      </c>
      <c r="AB5974" s="20"/>
      <c r="AC5974" s="73"/>
    </row>
    <row r="5975" spans="1:29">
      <c r="A5975" s="327" t="str">
        <f>IF(AND($B5975&lt;&gt;"",$C5975&lt;&gt;""),MAX($A$4730:$A5974)+1,"")</f>
        <v/>
      </c>
      <c r="B5975" s="361" t="s">
        <v>811</v>
      </c>
      <c r="C5975" s="362"/>
      <c r="D5975" s="327">
        <f>IF($B5975="","",COUNTIF($B$4731:$B5975,$B5975))</f>
        <v>9</v>
      </c>
      <c r="E5975" s="362" t="s">
        <v>2282</v>
      </c>
      <c r="F5975" s="362" t="s">
        <v>2283</v>
      </c>
      <c r="G5975" s="327" t="s">
        <v>424</v>
      </c>
      <c r="H5975" s="361" t="s">
        <v>536</v>
      </c>
      <c r="I5975" s="361" t="s">
        <v>2238</v>
      </c>
      <c r="J5975" s="361"/>
      <c r="K5975" s="327" t="s">
        <v>662</v>
      </c>
      <c r="L5975" s="478">
        <v>28000</v>
      </c>
      <c r="M5975" s="355"/>
      <c r="N5975" s="355" t="s">
        <v>2409</v>
      </c>
      <c r="O5975" s="345"/>
      <c r="P5975" s="325"/>
      <c r="Q5975" s="327"/>
      <c r="R5975" s="351"/>
      <c r="S5975" s="351"/>
      <c r="T5975" s="351"/>
      <c r="U5975" s="329" t="str">
        <f>IF($N5975=$N$4,IFERROR(INDEX(DanhMuc!$E$154:$E$165,MATCH(MID($B5975,4,2),DanhMuc!$B$154:$B$165,0)),""),"")</f>
        <v/>
      </c>
      <c r="V5975" s="361"/>
      <c r="W5975" s="345"/>
      <c r="X5975" s="786"/>
      <c r="Y5975" s="1128" t="s">
        <v>3380</v>
      </c>
      <c r="Z5975" s="1128" t="s">
        <v>3381</v>
      </c>
      <c r="AA5975" s="1128" t="s">
        <v>3384</v>
      </c>
      <c r="AB5975" s="20"/>
      <c r="AC5975" s="73"/>
    </row>
    <row r="5976" spans="1:29">
      <c r="A5976" s="327" t="str">
        <f>IF(AND($B5976&lt;&gt;"",$C5976&lt;&gt;""),MAX($A$4730:$A5975)+1,"")</f>
        <v/>
      </c>
      <c r="B5976" s="361" t="s">
        <v>811</v>
      </c>
      <c r="C5976" s="362"/>
      <c r="D5976" s="327">
        <f>IF($B5976="","",COUNTIF($B$4731:$B5976,$B5976))</f>
        <v>10</v>
      </c>
      <c r="E5976" s="362" t="s">
        <v>663</v>
      </c>
      <c r="F5976" s="362" t="s">
        <v>664</v>
      </c>
      <c r="G5976" s="327" t="s">
        <v>155</v>
      </c>
      <c r="H5976" s="361" t="s">
        <v>536</v>
      </c>
      <c r="I5976" s="361" t="s">
        <v>672</v>
      </c>
      <c r="J5976" s="361"/>
      <c r="K5976" s="327" t="s">
        <v>662</v>
      </c>
      <c r="L5976" s="478">
        <v>1000</v>
      </c>
      <c r="M5976" s="355"/>
      <c r="N5976" s="355" t="s">
        <v>2409</v>
      </c>
      <c r="O5976" s="345"/>
      <c r="P5976" s="325"/>
      <c r="Q5976" s="327"/>
      <c r="R5976" s="351"/>
      <c r="S5976" s="351"/>
      <c r="T5976" s="351"/>
      <c r="U5976" s="329" t="str">
        <f>IF($N5976=$N$4,IFERROR(INDEX(DanhMuc!$E$154:$E$165,MATCH(MID($B5976,4,2),DanhMuc!$B$154:$B$165,0)),""),"")</f>
        <v/>
      </c>
      <c r="V5976" s="361"/>
      <c r="W5976" s="345"/>
      <c r="X5976" s="786"/>
      <c r="Y5976" s="1128" t="s">
        <v>3380</v>
      </c>
      <c r="Z5976" s="1128" t="s">
        <v>3381</v>
      </c>
      <c r="AA5976" s="1128" t="s">
        <v>3384</v>
      </c>
      <c r="AB5976" s="20"/>
      <c r="AC5976" s="73"/>
    </row>
    <row r="5977" spans="1:29" ht="26">
      <c r="A5977" s="327">
        <f>IF(AND($B5977&lt;&gt;"",$C5977&lt;&gt;""),MAX($A$4730:$A5876)+1,"")</f>
        <v>45</v>
      </c>
      <c r="B5977" s="359" t="s">
        <v>929</v>
      </c>
      <c r="C5977" s="370" t="s">
        <v>1572</v>
      </c>
      <c r="D5977" s="327">
        <f>IF($B5977="","",COUNTIF($B$4731:$B5977,$B5977))</f>
        <v>1</v>
      </c>
      <c r="E5977" s="361" t="s">
        <v>1826</v>
      </c>
      <c r="F5977" s="362" t="s">
        <v>670</v>
      </c>
      <c r="G5977" s="327" t="s">
        <v>661</v>
      </c>
      <c r="H5977" s="361" t="s">
        <v>536</v>
      </c>
      <c r="I5977" s="361" t="s">
        <v>2354</v>
      </c>
      <c r="J5977" s="361"/>
      <c r="K5977" s="327" t="s">
        <v>103</v>
      </c>
      <c r="L5977" s="478">
        <f>40000/1000</f>
        <v>40</v>
      </c>
      <c r="M5977" s="355"/>
      <c r="N5977" s="355" t="s">
        <v>2408</v>
      </c>
      <c r="O5977" s="345"/>
      <c r="P5977" s="325"/>
      <c r="Q5977" s="327"/>
      <c r="R5977" s="351"/>
      <c r="S5977" s="351"/>
      <c r="T5977" s="351"/>
      <c r="U5977" s="329" t="str">
        <f>IF($N5977=$N$4,IFERROR(INDEX(DanhMuc!$E$154:$E$165,MATCH(MID($B5977,4,2),DanhMuc!$B$154:$B$165,0)),""),"")</f>
        <v/>
      </c>
      <c r="V5977" s="361"/>
      <c r="W5977" s="345"/>
      <c r="X5977" s="786"/>
      <c r="Y5977" s="1128" t="s">
        <v>3380</v>
      </c>
      <c r="Z5977" s="1128" t="s">
        <v>3381</v>
      </c>
      <c r="AA5977" s="1128" t="s">
        <v>3384</v>
      </c>
      <c r="AB5977" s="20"/>
      <c r="AC5977" s="73"/>
    </row>
    <row r="5978" spans="1:29" ht="25">
      <c r="A5978" s="327" t="str">
        <f>IF(AND($B5978&lt;&gt;"",$C5978&lt;&gt;""),MAX($A$4730:$A5977)+1,"")</f>
        <v/>
      </c>
      <c r="B5978" s="361" t="s">
        <v>929</v>
      </c>
      <c r="C5978" s="362"/>
      <c r="D5978" s="327">
        <f>IF($B5978="","",COUNTIF($B$4731:$B5978,$B5978))</f>
        <v>2</v>
      </c>
      <c r="E5978" s="362" t="s">
        <v>1966</v>
      </c>
      <c r="F5978" s="362" t="s">
        <v>1967</v>
      </c>
      <c r="G5978" s="327" t="s">
        <v>405</v>
      </c>
      <c r="H5978" s="361" t="s">
        <v>536</v>
      </c>
      <c r="I5978" s="361" t="s">
        <v>1309</v>
      </c>
      <c r="J5978" s="361"/>
      <c r="K5978" s="327" t="s">
        <v>223</v>
      </c>
      <c r="L5978" s="389">
        <v>750</v>
      </c>
      <c r="M5978" s="371"/>
      <c r="N5978" s="355" t="s">
        <v>2408</v>
      </c>
      <c r="O5978" s="345"/>
      <c r="P5978" s="325"/>
      <c r="Q5978" s="327"/>
      <c r="R5978" s="351"/>
      <c r="S5978" s="351"/>
      <c r="T5978" s="351"/>
      <c r="U5978" s="329" t="str">
        <f>IF($N5978=$N$4,IFERROR(INDEX(DanhMuc!$E$154:$E$165,MATCH(MID($B5978,4,2),DanhMuc!$B$154:$B$165,0)),""),"")</f>
        <v/>
      </c>
      <c r="V5978" s="361"/>
      <c r="W5978" s="345"/>
      <c r="X5978" s="786"/>
      <c r="Y5978" s="1128" t="s">
        <v>3380</v>
      </c>
      <c r="Z5978" s="1128" t="s">
        <v>3381</v>
      </c>
      <c r="AA5978" s="1128" t="s">
        <v>3384</v>
      </c>
      <c r="AB5978" s="20"/>
      <c r="AC5978" s="73"/>
    </row>
    <row r="5979" spans="1:29" ht="37.5">
      <c r="A5979" s="327" t="str">
        <f>IF(AND($B5979&lt;&gt;"",$C5979&lt;&gt;""),MAX($A$4730:$A5978)+1,"")</f>
        <v/>
      </c>
      <c r="B5979" s="361" t="s">
        <v>929</v>
      </c>
      <c r="C5979" s="362"/>
      <c r="D5979" s="327">
        <f>IF($B5979="","",COUNTIF($B$4731:$B5979,$B5979))</f>
        <v>3</v>
      </c>
      <c r="E5979" s="362" t="s">
        <v>1964</v>
      </c>
      <c r="F5979" s="362" t="s">
        <v>1965</v>
      </c>
      <c r="G5979" s="410" t="s">
        <v>405</v>
      </c>
      <c r="H5979" s="402" t="s">
        <v>536</v>
      </c>
      <c r="I5979" s="402" t="s">
        <v>1210</v>
      </c>
      <c r="J5979" s="402"/>
      <c r="K5979" s="410" t="s">
        <v>223</v>
      </c>
      <c r="L5979" s="478">
        <v>140</v>
      </c>
      <c r="M5979" s="371"/>
      <c r="N5979" s="355" t="s">
        <v>2408</v>
      </c>
      <c r="O5979" s="345"/>
      <c r="P5979" s="325"/>
      <c r="Q5979" s="327"/>
      <c r="R5979" s="351"/>
      <c r="S5979" s="351"/>
      <c r="T5979" s="351"/>
      <c r="U5979" s="329" t="str">
        <f>IF($N5979=$N$4,IFERROR(INDEX(DanhMuc!$E$154:$E$165,MATCH(MID($B5979,4,2),DanhMuc!$B$154:$B$165,0)),""),"")</f>
        <v/>
      </c>
      <c r="V5979" s="361"/>
      <c r="W5979" s="345"/>
      <c r="X5979" s="786"/>
      <c r="Y5979" s="1128" t="s">
        <v>3380</v>
      </c>
      <c r="Z5979" s="1128" t="s">
        <v>3381</v>
      </c>
      <c r="AA5979" s="1128" t="s">
        <v>3384</v>
      </c>
      <c r="AB5979" s="20"/>
      <c r="AC5979" s="73"/>
    </row>
    <row r="5980" spans="1:29">
      <c r="A5980" s="327" t="str">
        <f>IF(AND($B5980&lt;&gt;"",$C5980&lt;&gt;""),MAX($A$4730:$A5979)+1,"")</f>
        <v/>
      </c>
      <c r="B5980" s="361" t="s">
        <v>929</v>
      </c>
      <c r="C5980" s="362"/>
      <c r="D5980" s="327">
        <f>IF($B5980="","",COUNTIF($B$4731:$B5980,$B5980))</f>
        <v>4</v>
      </c>
      <c r="E5980" s="361" t="s">
        <v>656</v>
      </c>
      <c r="F5980" s="362" t="s">
        <v>2239</v>
      </c>
      <c r="G5980" s="327" t="s">
        <v>405</v>
      </c>
      <c r="H5980" s="361" t="s">
        <v>536</v>
      </c>
      <c r="I5980" s="361" t="s">
        <v>1827</v>
      </c>
      <c r="J5980" s="361"/>
      <c r="K5980" s="327" t="s">
        <v>100</v>
      </c>
      <c r="L5980" s="478">
        <v>970</v>
      </c>
      <c r="M5980" s="371"/>
      <c r="N5980" s="355" t="s">
        <v>2409</v>
      </c>
      <c r="O5980" s="345"/>
      <c r="P5980" s="325"/>
      <c r="Q5980" s="327"/>
      <c r="R5980" s="351"/>
      <c r="S5980" s="351"/>
      <c r="T5980" s="351"/>
      <c r="U5980" s="329" t="str">
        <f>IF($N5980=$N$4,IFERROR(INDEX(DanhMuc!$E$154:$E$165,MATCH(MID($B5980,4,2),DanhMuc!$B$154:$B$165,0)),""),"")</f>
        <v/>
      </c>
      <c r="V5980" s="361"/>
      <c r="W5980" s="345"/>
      <c r="X5980" s="786"/>
      <c r="Y5980" s="1128" t="s">
        <v>3380</v>
      </c>
      <c r="Z5980" s="1128" t="s">
        <v>3381</v>
      </c>
      <c r="AA5980" s="1128" t="s">
        <v>3384</v>
      </c>
      <c r="AB5980" s="20"/>
      <c r="AC5980" s="73"/>
    </row>
    <row r="5981" spans="1:29">
      <c r="A5981" s="327" t="str">
        <f>IF(AND($B5981&lt;&gt;"",$C5981&lt;&gt;""),MAX($A$4730:$A5980)+1,"")</f>
        <v/>
      </c>
      <c r="B5981" s="361" t="s">
        <v>929</v>
      </c>
      <c r="C5981" s="362"/>
      <c r="D5981" s="327">
        <f>IF($B5981="","",COUNTIF($B$4731:$B5981,$B5981))</f>
        <v>5</v>
      </c>
      <c r="E5981" s="361" t="s">
        <v>657</v>
      </c>
      <c r="F5981" s="362" t="s">
        <v>658</v>
      </c>
      <c r="G5981" s="327" t="s">
        <v>424</v>
      </c>
      <c r="H5981" s="361" t="s">
        <v>536</v>
      </c>
      <c r="I5981" s="361" t="s">
        <v>3377</v>
      </c>
      <c r="J5981" s="361"/>
      <c r="K5981" s="327" t="s">
        <v>100</v>
      </c>
      <c r="L5981" s="478">
        <v>60000</v>
      </c>
      <c r="M5981" s="355"/>
      <c r="N5981" s="355" t="s">
        <v>2409</v>
      </c>
      <c r="O5981" s="345"/>
      <c r="P5981" s="325"/>
      <c r="Q5981" s="327"/>
      <c r="R5981" s="351"/>
      <c r="S5981" s="351"/>
      <c r="T5981" s="351"/>
      <c r="U5981" s="329" t="str">
        <f>IF($N5981=$N$4,IFERROR(INDEX(DanhMuc!$E$154:$E$165,MATCH(MID($B5981,4,2),DanhMuc!$B$154:$B$165,0)),""),"")</f>
        <v/>
      </c>
      <c r="V5981" s="361"/>
      <c r="W5981" s="345"/>
      <c r="X5981" s="786"/>
      <c r="Y5981" s="1128" t="s">
        <v>3380</v>
      </c>
      <c r="Z5981" s="1128" t="s">
        <v>3381</v>
      </c>
      <c r="AA5981" s="1128" t="s">
        <v>3384</v>
      </c>
      <c r="AB5981" s="20"/>
      <c r="AC5981" s="73"/>
    </row>
    <row r="5982" spans="1:29">
      <c r="A5982" s="327" t="str">
        <f>IF(AND($B5982&lt;&gt;"",$C5982&lt;&gt;""),MAX($A$4730:$A5981)+1,"")</f>
        <v/>
      </c>
      <c r="B5982" s="361" t="s">
        <v>929</v>
      </c>
      <c r="C5982" s="362"/>
      <c r="D5982" s="327">
        <f>IF($B5982="","",COUNTIF($B$4731:$B5982,$B5982))</f>
        <v>6</v>
      </c>
      <c r="E5982" s="361" t="s">
        <v>2771</v>
      </c>
      <c r="F5982" s="362" t="s">
        <v>659</v>
      </c>
      <c r="G5982" s="327" t="s">
        <v>424</v>
      </c>
      <c r="H5982" s="361" t="s">
        <v>536</v>
      </c>
      <c r="I5982" s="361" t="s">
        <v>2556</v>
      </c>
      <c r="J5982" s="361"/>
      <c r="K5982" s="327" t="s">
        <v>100</v>
      </c>
      <c r="L5982" s="389">
        <v>53000</v>
      </c>
      <c r="M5982" s="355"/>
      <c r="N5982" s="355" t="s">
        <v>2409</v>
      </c>
      <c r="O5982" s="345"/>
      <c r="P5982" s="325"/>
      <c r="Q5982" s="327"/>
      <c r="R5982" s="351"/>
      <c r="S5982" s="351"/>
      <c r="T5982" s="351"/>
      <c r="U5982" s="329" t="str">
        <f>IF($N5982=$N$4,IFERROR(INDEX(DanhMuc!$E$154:$E$165,MATCH(MID($B5982,4,2),DanhMuc!$B$154:$B$165,0)),""),"")</f>
        <v/>
      </c>
      <c r="V5982" s="361"/>
      <c r="W5982" s="345"/>
      <c r="X5982" s="786"/>
      <c r="Y5982" s="1128" t="s">
        <v>3380</v>
      </c>
      <c r="Z5982" s="1128" t="s">
        <v>3381</v>
      </c>
      <c r="AA5982" s="1128" t="s">
        <v>3384</v>
      </c>
      <c r="AB5982" s="20"/>
      <c r="AC5982" s="73"/>
    </row>
    <row r="5983" spans="1:29">
      <c r="A5983" s="327" t="str">
        <f>IF(AND($B5983&lt;&gt;"",$C5983&lt;&gt;""),MAX($A$4730:$A5982)+1,"")</f>
        <v/>
      </c>
      <c r="B5983" s="361" t="s">
        <v>929</v>
      </c>
      <c r="C5983" s="362"/>
      <c r="D5983" s="327">
        <f>IF($B5983="","",COUNTIF($B$4731:$B5983,$B5983))</f>
        <v>7</v>
      </c>
      <c r="E5983" s="361" t="s">
        <v>1828</v>
      </c>
      <c r="F5983" s="362" t="s">
        <v>671</v>
      </c>
      <c r="G5983" s="327" t="s">
        <v>661</v>
      </c>
      <c r="H5983" s="361" t="s">
        <v>536</v>
      </c>
      <c r="I5983" s="361" t="s">
        <v>2355</v>
      </c>
      <c r="J5983" s="361"/>
      <c r="K5983" s="327" t="s">
        <v>100</v>
      </c>
      <c r="L5983" s="478">
        <f>40000/1000</f>
        <v>40</v>
      </c>
      <c r="M5983" s="355"/>
      <c r="N5983" s="355" t="s">
        <v>2409</v>
      </c>
      <c r="O5983" s="345"/>
      <c r="P5983" s="325"/>
      <c r="Q5983" s="327"/>
      <c r="R5983" s="351"/>
      <c r="S5983" s="351"/>
      <c r="T5983" s="351"/>
      <c r="U5983" s="329" t="str">
        <f>IF($N5983=$N$4,IFERROR(INDEX(DanhMuc!$E$154:$E$165,MATCH(MID($B5983,4,2),DanhMuc!$B$154:$B$165,0)),""),"")</f>
        <v/>
      </c>
      <c r="V5983" s="361"/>
      <c r="W5983" s="345"/>
      <c r="X5983" s="786"/>
      <c r="Y5983" s="1128" t="s">
        <v>3380</v>
      </c>
      <c r="Z5983" s="1128" t="s">
        <v>3381</v>
      </c>
      <c r="AA5983" s="1128" t="s">
        <v>3384</v>
      </c>
      <c r="AB5983" s="20"/>
      <c r="AC5983" s="73"/>
    </row>
    <row r="5984" spans="1:29">
      <c r="A5984" s="327" t="str">
        <f>IF(AND($B5984&lt;&gt;"",$C5984&lt;&gt;""),MAX($A$4730:$A5983)+1,"")</f>
        <v/>
      </c>
      <c r="B5984" s="361" t="s">
        <v>929</v>
      </c>
      <c r="C5984" s="362"/>
      <c r="D5984" s="327">
        <f>IF($B5984="","",COUNTIF($B$4731:$B5984,$B5984))</f>
        <v>8</v>
      </c>
      <c r="E5984" s="361" t="s">
        <v>154</v>
      </c>
      <c r="F5984" s="362" t="s">
        <v>660</v>
      </c>
      <c r="G5984" s="327" t="s">
        <v>661</v>
      </c>
      <c r="H5984" s="361" t="s">
        <v>536</v>
      </c>
      <c r="I5984" s="361" t="s">
        <v>667</v>
      </c>
      <c r="J5984" s="361"/>
      <c r="K5984" s="327" t="s">
        <v>662</v>
      </c>
      <c r="L5984" s="478">
        <v>20</v>
      </c>
      <c r="M5984" s="355"/>
      <c r="N5984" s="355" t="s">
        <v>2409</v>
      </c>
      <c r="O5984" s="345"/>
      <c r="P5984" s="325"/>
      <c r="Q5984" s="327"/>
      <c r="R5984" s="351"/>
      <c r="S5984" s="351"/>
      <c r="T5984" s="351"/>
      <c r="U5984" s="329" t="str">
        <f>IF($N5984=$N$4,IFERROR(INDEX(DanhMuc!$E$154:$E$165,MATCH(MID($B5984,4,2),DanhMuc!$B$154:$B$165,0)),""),"")</f>
        <v/>
      </c>
      <c r="V5984" s="361"/>
      <c r="W5984" s="345"/>
      <c r="X5984" s="786"/>
      <c r="Y5984" s="1128" t="s">
        <v>3380</v>
      </c>
      <c r="Z5984" s="1128" t="s">
        <v>3381</v>
      </c>
      <c r="AA5984" s="1128" t="s">
        <v>3384</v>
      </c>
      <c r="AB5984" s="20"/>
      <c r="AC5984" s="73"/>
    </row>
    <row r="5985" spans="1:29">
      <c r="A5985" s="327" t="str">
        <f>IF(AND($B5985&lt;&gt;"",$C5985&lt;&gt;""),MAX($A$4730:$A5984)+1,"")</f>
        <v/>
      </c>
      <c r="B5985" s="361" t="s">
        <v>929</v>
      </c>
      <c r="C5985" s="362"/>
      <c r="D5985" s="327">
        <f>IF($B5985="","",COUNTIF($B$4731:$B5985,$B5985))</f>
        <v>9</v>
      </c>
      <c r="E5985" s="362" t="s">
        <v>2282</v>
      </c>
      <c r="F5985" s="362" t="s">
        <v>2283</v>
      </c>
      <c r="G5985" s="327" t="s">
        <v>424</v>
      </c>
      <c r="H5985" s="361" t="s">
        <v>536</v>
      </c>
      <c r="I5985" s="361" t="s">
        <v>2238</v>
      </c>
      <c r="J5985" s="361"/>
      <c r="K5985" s="327" t="s">
        <v>662</v>
      </c>
      <c r="L5985" s="478">
        <v>28000</v>
      </c>
      <c r="M5985" s="355"/>
      <c r="N5985" s="355" t="s">
        <v>2409</v>
      </c>
      <c r="O5985" s="345"/>
      <c r="P5985" s="325"/>
      <c r="Q5985" s="327"/>
      <c r="R5985" s="351"/>
      <c r="S5985" s="351"/>
      <c r="T5985" s="351"/>
      <c r="U5985" s="329" t="str">
        <f>IF($N5985=$N$4,IFERROR(INDEX(DanhMuc!$E$154:$E$165,MATCH(MID($B5985,4,2),DanhMuc!$B$154:$B$165,0)),""),"")</f>
        <v/>
      </c>
      <c r="V5985" s="361"/>
      <c r="W5985" s="345"/>
      <c r="X5985" s="786"/>
      <c r="Y5985" s="1128" t="s">
        <v>3380</v>
      </c>
      <c r="Z5985" s="1128" t="s">
        <v>3381</v>
      </c>
      <c r="AA5985" s="1128" t="s">
        <v>3384</v>
      </c>
      <c r="AB5985" s="20"/>
      <c r="AC5985" s="73"/>
    </row>
    <row r="5986" spans="1:29">
      <c r="A5986" s="327" t="str">
        <f>IF(AND($B5986&lt;&gt;"",$C5986&lt;&gt;""),MAX($A$4730:$A5985)+1,"")</f>
        <v/>
      </c>
      <c r="B5986" s="361" t="s">
        <v>929</v>
      </c>
      <c r="C5986" s="362"/>
      <c r="D5986" s="327">
        <f>IF($B5986="","",COUNTIF($B$4731:$B5986,$B5986))</f>
        <v>10</v>
      </c>
      <c r="E5986" s="362" t="s">
        <v>663</v>
      </c>
      <c r="F5986" s="362" t="s">
        <v>664</v>
      </c>
      <c r="G5986" s="327" t="s">
        <v>155</v>
      </c>
      <c r="H5986" s="361" t="s">
        <v>536</v>
      </c>
      <c r="I5986" s="361" t="s">
        <v>672</v>
      </c>
      <c r="J5986" s="361"/>
      <c r="K5986" s="327" t="s">
        <v>662</v>
      </c>
      <c r="L5986" s="478">
        <v>1000</v>
      </c>
      <c r="M5986" s="355"/>
      <c r="N5986" s="355" t="s">
        <v>2409</v>
      </c>
      <c r="O5986" s="345"/>
      <c r="P5986" s="325"/>
      <c r="Q5986" s="327"/>
      <c r="R5986" s="351"/>
      <c r="S5986" s="351"/>
      <c r="T5986" s="351"/>
      <c r="U5986" s="329" t="str">
        <f>IF($N5986=$N$4,IFERROR(INDEX(DanhMuc!$E$154:$E$165,MATCH(MID($B5986,4,2),DanhMuc!$B$154:$B$165,0)),""),"")</f>
        <v/>
      </c>
      <c r="V5986" s="361"/>
      <c r="W5986" s="345"/>
      <c r="X5986" s="786"/>
      <c r="Y5986" s="1128" t="s">
        <v>3380</v>
      </c>
      <c r="Z5986" s="1128" t="s">
        <v>3381</v>
      </c>
      <c r="AA5986" s="1128" t="s">
        <v>3384</v>
      </c>
      <c r="AB5986" s="20"/>
      <c r="AC5986" s="73"/>
    </row>
    <row r="5987" spans="1:29" ht="26">
      <c r="A5987" s="327">
        <f>IF(AND($B5987&lt;&gt;"",$C5987&lt;&gt;""),MAX($A$4730:$A5886)+1,"")</f>
        <v>45</v>
      </c>
      <c r="B5987" s="359" t="s">
        <v>932</v>
      </c>
      <c r="C5987" s="370" t="s">
        <v>1573</v>
      </c>
      <c r="D5987" s="327">
        <f>IF($B5987="","",COUNTIF($B$4731:$B5987,$B5987))</f>
        <v>1</v>
      </c>
      <c r="E5987" s="361" t="s">
        <v>1826</v>
      </c>
      <c r="F5987" s="362" t="s">
        <v>670</v>
      </c>
      <c r="G5987" s="327" t="s">
        <v>661</v>
      </c>
      <c r="H5987" s="361" t="s">
        <v>536</v>
      </c>
      <c r="I5987" s="361" t="s">
        <v>2354</v>
      </c>
      <c r="J5987" s="361"/>
      <c r="K5987" s="327" t="s">
        <v>103</v>
      </c>
      <c r="L5987" s="478">
        <f>40000/1000</f>
        <v>40</v>
      </c>
      <c r="M5987" s="355"/>
      <c r="N5987" s="355" t="s">
        <v>2408</v>
      </c>
      <c r="O5987" s="345"/>
      <c r="P5987" s="325"/>
      <c r="Q5987" s="327"/>
      <c r="R5987" s="351"/>
      <c r="S5987" s="351"/>
      <c r="T5987" s="351"/>
      <c r="U5987" s="329" t="str">
        <f>IF($N5987=$N$4,IFERROR(INDEX(DanhMuc!$E$154:$E$165,MATCH(MID($B5987,4,2),DanhMuc!$B$154:$B$165,0)),""),"")</f>
        <v/>
      </c>
      <c r="V5987" s="361"/>
      <c r="W5987" s="345"/>
      <c r="X5987" s="786"/>
      <c r="Y5987" s="1128" t="s">
        <v>3380</v>
      </c>
      <c r="Z5987" s="1128" t="s">
        <v>3381</v>
      </c>
      <c r="AA5987" s="1128" t="s">
        <v>3384</v>
      </c>
      <c r="AB5987" s="20"/>
      <c r="AC5987" s="73"/>
    </row>
    <row r="5988" spans="1:29" ht="25">
      <c r="A5988" s="327" t="str">
        <f>IF(AND($B5988&lt;&gt;"",$C5988&lt;&gt;""),MAX($A$4730:$A5987)+1,"")</f>
        <v/>
      </c>
      <c r="B5988" s="361" t="s">
        <v>932</v>
      </c>
      <c r="C5988" s="362"/>
      <c r="D5988" s="327">
        <f>IF($B5988="","",COUNTIF($B$4731:$B5988,$B5988))</f>
        <v>2</v>
      </c>
      <c r="E5988" s="362" t="s">
        <v>1966</v>
      </c>
      <c r="F5988" s="362" t="s">
        <v>1967</v>
      </c>
      <c r="G5988" s="327" t="s">
        <v>405</v>
      </c>
      <c r="H5988" s="361" t="s">
        <v>536</v>
      </c>
      <c r="I5988" s="361" t="s">
        <v>1309</v>
      </c>
      <c r="J5988" s="361"/>
      <c r="K5988" s="327" t="s">
        <v>223</v>
      </c>
      <c r="L5988" s="389">
        <v>750</v>
      </c>
      <c r="M5988" s="371"/>
      <c r="N5988" s="355" t="s">
        <v>2408</v>
      </c>
      <c r="O5988" s="345"/>
      <c r="P5988" s="325"/>
      <c r="Q5988" s="327"/>
      <c r="R5988" s="351"/>
      <c r="S5988" s="351"/>
      <c r="T5988" s="351"/>
      <c r="U5988" s="329" t="str">
        <f>IF($N5988=$N$4,IFERROR(INDEX(DanhMuc!$E$154:$E$165,MATCH(MID($B5988,4,2),DanhMuc!$B$154:$B$165,0)),""),"")</f>
        <v/>
      </c>
      <c r="V5988" s="361"/>
      <c r="W5988" s="345"/>
      <c r="X5988" s="786"/>
      <c r="Y5988" s="1128" t="s">
        <v>3380</v>
      </c>
      <c r="Z5988" s="1128" t="s">
        <v>3381</v>
      </c>
      <c r="AA5988" s="1128" t="s">
        <v>3384</v>
      </c>
      <c r="AB5988" s="20"/>
      <c r="AC5988" s="73"/>
    </row>
    <row r="5989" spans="1:29" ht="37.5">
      <c r="A5989" s="327" t="str">
        <f>IF(AND($B5989&lt;&gt;"",$C5989&lt;&gt;""),MAX($A$4730:$A5988)+1,"")</f>
        <v/>
      </c>
      <c r="B5989" s="361" t="s">
        <v>932</v>
      </c>
      <c r="C5989" s="362"/>
      <c r="D5989" s="327">
        <f>IF($B5989="","",COUNTIF($B$4731:$B5989,$B5989))</f>
        <v>3</v>
      </c>
      <c r="E5989" s="362" t="s">
        <v>1964</v>
      </c>
      <c r="F5989" s="362" t="s">
        <v>1965</v>
      </c>
      <c r="G5989" s="410" t="s">
        <v>405</v>
      </c>
      <c r="H5989" s="402" t="s">
        <v>536</v>
      </c>
      <c r="I5989" s="402" t="s">
        <v>1210</v>
      </c>
      <c r="J5989" s="402"/>
      <c r="K5989" s="410" t="s">
        <v>223</v>
      </c>
      <c r="L5989" s="478">
        <v>140</v>
      </c>
      <c r="M5989" s="371"/>
      <c r="N5989" s="355" t="s">
        <v>2408</v>
      </c>
      <c r="O5989" s="345"/>
      <c r="P5989" s="325"/>
      <c r="Q5989" s="327"/>
      <c r="R5989" s="351"/>
      <c r="S5989" s="351"/>
      <c r="T5989" s="351"/>
      <c r="U5989" s="329" t="str">
        <f>IF($N5989=$N$4,IFERROR(INDEX(DanhMuc!$E$154:$E$165,MATCH(MID($B5989,4,2),DanhMuc!$B$154:$B$165,0)),""),"")</f>
        <v/>
      </c>
      <c r="V5989" s="361"/>
      <c r="W5989" s="345"/>
      <c r="X5989" s="786"/>
      <c r="Y5989" s="1128" t="s">
        <v>3380</v>
      </c>
      <c r="Z5989" s="1128" t="s">
        <v>3381</v>
      </c>
      <c r="AA5989" s="1128" t="s">
        <v>3384</v>
      </c>
      <c r="AB5989" s="20"/>
      <c r="AC5989" s="73"/>
    </row>
    <row r="5990" spans="1:29">
      <c r="A5990" s="327" t="str">
        <f>IF(AND($B5990&lt;&gt;"",$C5990&lt;&gt;""),MAX($A$4730:$A5989)+1,"")</f>
        <v/>
      </c>
      <c r="B5990" s="361" t="s">
        <v>932</v>
      </c>
      <c r="C5990" s="362"/>
      <c r="D5990" s="327">
        <f>IF($B5990="","",COUNTIF($B$4731:$B5990,$B5990))</f>
        <v>4</v>
      </c>
      <c r="E5990" s="361" t="s">
        <v>656</v>
      </c>
      <c r="F5990" s="362" t="s">
        <v>2239</v>
      </c>
      <c r="G5990" s="327" t="s">
        <v>405</v>
      </c>
      <c r="H5990" s="361" t="s">
        <v>536</v>
      </c>
      <c r="I5990" s="361" t="s">
        <v>1827</v>
      </c>
      <c r="J5990" s="361"/>
      <c r="K5990" s="327" t="s">
        <v>100</v>
      </c>
      <c r="L5990" s="478">
        <v>970</v>
      </c>
      <c r="M5990" s="371"/>
      <c r="N5990" s="355" t="s">
        <v>2409</v>
      </c>
      <c r="O5990" s="345"/>
      <c r="P5990" s="325"/>
      <c r="Q5990" s="327"/>
      <c r="R5990" s="351"/>
      <c r="S5990" s="351"/>
      <c r="T5990" s="351"/>
      <c r="U5990" s="329" t="str">
        <f>IF($N5990=$N$4,IFERROR(INDEX(DanhMuc!$E$154:$E$165,MATCH(MID($B5990,4,2),DanhMuc!$B$154:$B$165,0)),""),"")</f>
        <v/>
      </c>
      <c r="V5990" s="361"/>
      <c r="W5990" s="345"/>
      <c r="X5990" s="786"/>
      <c r="Y5990" s="1128" t="s">
        <v>3380</v>
      </c>
      <c r="Z5990" s="1128" t="s">
        <v>3381</v>
      </c>
      <c r="AA5990" s="1128" t="s">
        <v>3384</v>
      </c>
      <c r="AB5990" s="20"/>
      <c r="AC5990" s="73"/>
    </row>
    <row r="5991" spans="1:29">
      <c r="A5991" s="327" t="str">
        <f>IF(AND($B5991&lt;&gt;"",$C5991&lt;&gt;""),MAX($A$4730:$A5990)+1,"")</f>
        <v/>
      </c>
      <c r="B5991" s="361" t="s">
        <v>932</v>
      </c>
      <c r="C5991" s="362"/>
      <c r="D5991" s="327">
        <f>IF($B5991="","",COUNTIF($B$4731:$B5991,$B5991))</f>
        <v>5</v>
      </c>
      <c r="E5991" s="361" t="s">
        <v>657</v>
      </c>
      <c r="F5991" s="362" t="s">
        <v>658</v>
      </c>
      <c r="G5991" s="327" t="s">
        <v>424</v>
      </c>
      <c r="H5991" s="361" t="s">
        <v>536</v>
      </c>
      <c r="I5991" s="361" t="s">
        <v>3377</v>
      </c>
      <c r="J5991" s="361"/>
      <c r="K5991" s="327" t="s">
        <v>100</v>
      </c>
      <c r="L5991" s="478">
        <v>60000</v>
      </c>
      <c r="M5991" s="355"/>
      <c r="N5991" s="355" t="s">
        <v>2409</v>
      </c>
      <c r="O5991" s="345"/>
      <c r="P5991" s="325"/>
      <c r="Q5991" s="327"/>
      <c r="R5991" s="351"/>
      <c r="S5991" s="351"/>
      <c r="T5991" s="351"/>
      <c r="U5991" s="329" t="str">
        <f>IF($N5991=$N$4,IFERROR(INDEX(DanhMuc!$E$154:$E$165,MATCH(MID($B5991,4,2),DanhMuc!$B$154:$B$165,0)),""),"")</f>
        <v/>
      </c>
      <c r="V5991" s="361"/>
      <c r="W5991" s="345"/>
      <c r="X5991" s="786"/>
      <c r="Y5991" s="1128" t="s">
        <v>3380</v>
      </c>
      <c r="Z5991" s="1128" t="s">
        <v>3381</v>
      </c>
      <c r="AA5991" s="1128" t="s">
        <v>3384</v>
      </c>
      <c r="AB5991" s="20"/>
      <c r="AC5991" s="73"/>
    </row>
    <row r="5992" spans="1:29">
      <c r="A5992" s="327" t="str">
        <f>IF(AND($B5992&lt;&gt;"",$C5992&lt;&gt;""),MAX($A$4730:$A5991)+1,"")</f>
        <v/>
      </c>
      <c r="B5992" s="361" t="s">
        <v>932</v>
      </c>
      <c r="C5992" s="362"/>
      <c r="D5992" s="327">
        <f>IF($B5992="","",COUNTIF($B$4731:$B5992,$B5992))</f>
        <v>6</v>
      </c>
      <c r="E5992" s="361" t="s">
        <v>2771</v>
      </c>
      <c r="F5992" s="362" t="s">
        <v>659</v>
      </c>
      <c r="G5992" s="327" t="s">
        <v>424</v>
      </c>
      <c r="H5992" s="361" t="s">
        <v>536</v>
      </c>
      <c r="I5992" s="361" t="s">
        <v>2556</v>
      </c>
      <c r="J5992" s="361"/>
      <c r="K5992" s="327" t="s">
        <v>100</v>
      </c>
      <c r="L5992" s="389">
        <v>53000</v>
      </c>
      <c r="M5992" s="355"/>
      <c r="N5992" s="355" t="s">
        <v>2409</v>
      </c>
      <c r="O5992" s="345"/>
      <c r="P5992" s="325"/>
      <c r="Q5992" s="327"/>
      <c r="R5992" s="351"/>
      <c r="S5992" s="351"/>
      <c r="T5992" s="351"/>
      <c r="U5992" s="329" t="str">
        <f>IF($N5992=$N$4,IFERROR(INDEX(DanhMuc!$E$154:$E$165,MATCH(MID($B5992,4,2),DanhMuc!$B$154:$B$165,0)),""),"")</f>
        <v/>
      </c>
      <c r="V5992" s="361"/>
      <c r="W5992" s="345"/>
      <c r="X5992" s="786"/>
      <c r="Y5992" s="1128" t="s">
        <v>3380</v>
      </c>
      <c r="Z5992" s="1128" t="s">
        <v>3381</v>
      </c>
      <c r="AA5992" s="1128" t="s">
        <v>3384</v>
      </c>
      <c r="AB5992" s="20"/>
      <c r="AC5992" s="73"/>
    </row>
    <row r="5993" spans="1:29">
      <c r="A5993" s="327" t="str">
        <f>IF(AND($B5993&lt;&gt;"",$C5993&lt;&gt;""),MAX($A$4730:$A5992)+1,"")</f>
        <v/>
      </c>
      <c r="B5993" s="361" t="s">
        <v>932</v>
      </c>
      <c r="C5993" s="362"/>
      <c r="D5993" s="327">
        <f>IF($B5993="","",COUNTIF($B$4731:$B5993,$B5993))</f>
        <v>7</v>
      </c>
      <c r="E5993" s="361" t="s">
        <v>1828</v>
      </c>
      <c r="F5993" s="362" t="s">
        <v>671</v>
      </c>
      <c r="G5993" s="327" t="s">
        <v>661</v>
      </c>
      <c r="H5993" s="361" t="s">
        <v>536</v>
      </c>
      <c r="I5993" s="361" t="s">
        <v>2355</v>
      </c>
      <c r="J5993" s="361"/>
      <c r="K5993" s="327" t="s">
        <v>100</v>
      </c>
      <c r="L5993" s="478">
        <f>40000/1000</f>
        <v>40</v>
      </c>
      <c r="M5993" s="355"/>
      <c r="N5993" s="355" t="s">
        <v>2409</v>
      </c>
      <c r="O5993" s="345"/>
      <c r="P5993" s="325"/>
      <c r="Q5993" s="327"/>
      <c r="R5993" s="351"/>
      <c r="S5993" s="351"/>
      <c r="T5993" s="351"/>
      <c r="U5993" s="329" t="str">
        <f>IF($N5993=$N$4,IFERROR(INDEX(DanhMuc!$E$154:$E$165,MATCH(MID($B5993,4,2),DanhMuc!$B$154:$B$165,0)),""),"")</f>
        <v/>
      </c>
      <c r="V5993" s="361"/>
      <c r="W5993" s="345"/>
      <c r="X5993" s="786"/>
      <c r="Y5993" s="1128" t="s">
        <v>3380</v>
      </c>
      <c r="Z5993" s="1128" t="s">
        <v>3381</v>
      </c>
      <c r="AA5993" s="1128" t="s">
        <v>3384</v>
      </c>
      <c r="AB5993" s="20"/>
      <c r="AC5993" s="73"/>
    </row>
    <row r="5994" spans="1:29">
      <c r="A5994" s="327" t="str">
        <f>IF(AND($B5994&lt;&gt;"",$C5994&lt;&gt;""),MAX($A$4730:$A5993)+1,"")</f>
        <v/>
      </c>
      <c r="B5994" s="361" t="s">
        <v>932</v>
      </c>
      <c r="C5994" s="362"/>
      <c r="D5994" s="327">
        <f>IF($B5994="","",COUNTIF($B$4731:$B5994,$B5994))</f>
        <v>8</v>
      </c>
      <c r="E5994" s="361" t="s">
        <v>154</v>
      </c>
      <c r="F5994" s="362" t="s">
        <v>660</v>
      </c>
      <c r="G5994" s="327" t="s">
        <v>661</v>
      </c>
      <c r="H5994" s="361" t="s">
        <v>536</v>
      </c>
      <c r="I5994" s="361" t="s">
        <v>667</v>
      </c>
      <c r="J5994" s="361"/>
      <c r="K5994" s="327" t="s">
        <v>662</v>
      </c>
      <c r="L5994" s="478">
        <v>20</v>
      </c>
      <c r="M5994" s="355"/>
      <c r="N5994" s="355" t="s">
        <v>2409</v>
      </c>
      <c r="O5994" s="345"/>
      <c r="P5994" s="325"/>
      <c r="Q5994" s="327"/>
      <c r="R5994" s="351"/>
      <c r="S5994" s="351"/>
      <c r="T5994" s="351"/>
      <c r="U5994" s="329" t="str">
        <f>IF($N5994=$N$4,IFERROR(INDEX(DanhMuc!$E$154:$E$165,MATCH(MID($B5994,4,2),DanhMuc!$B$154:$B$165,0)),""),"")</f>
        <v/>
      </c>
      <c r="V5994" s="361"/>
      <c r="W5994" s="345"/>
      <c r="X5994" s="786"/>
      <c r="Y5994" s="1128" t="s">
        <v>3380</v>
      </c>
      <c r="Z5994" s="1128" t="s">
        <v>3381</v>
      </c>
      <c r="AA5994" s="1128" t="s">
        <v>3384</v>
      </c>
      <c r="AB5994" s="20"/>
      <c r="AC5994" s="73"/>
    </row>
    <row r="5995" spans="1:29">
      <c r="A5995" s="327" t="str">
        <f>IF(AND($B5995&lt;&gt;"",$C5995&lt;&gt;""),MAX($A$4730:$A5994)+1,"")</f>
        <v/>
      </c>
      <c r="B5995" s="361" t="s">
        <v>932</v>
      </c>
      <c r="C5995" s="362"/>
      <c r="D5995" s="327">
        <f>IF($B5995="","",COUNTIF($B$4731:$B5995,$B5995))</f>
        <v>9</v>
      </c>
      <c r="E5995" s="362" t="s">
        <v>2282</v>
      </c>
      <c r="F5995" s="362" t="s">
        <v>2283</v>
      </c>
      <c r="G5995" s="327" t="s">
        <v>424</v>
      </c>
      <c r="H5995" s="361" t="s">
        <v>536</v>
      </c>
      <c r="I5995" s="361" t="s">
        <v>2238</v>
      </c>
      <c r="J5995" s="361"/>
      <c r="K5995" s="327" t="s">
        <v>662</v>
      </c>
      <c r="L5995" s="478">
        <v>28000</v>
      </c>
      <c r="M5995" s="355"/>
      <c r="N5995" s="355" t="s">
        <v>2409</v>
      </c>
      <c r="O5995" s="345"/>
      <c r="P5995" s="325"/>
      <c r="Q5995" s="327"/>
      <c r="R5995" s="351"/>
      <c r="S5995" s="351"/>
      <c r="T5995" s="351"/>
      <c r="U5995" s="329" t="str">
        <f>IF($N5995=$N$4,IFERROR(INDEX(DanhMuc!$E$154:$E$165,MATCH(MID($B5995,4,2),DanhMuc!$B$154:$B$165,0)),""),"")</f>
        <v/>
      </c>
      <c r="V5995" s="361"/>
      <c r="W5995" s="345"/>
      <c r="X5995" s="786"/>
      <c r="Y5995" s="1128" t="s">
        <v>3380</v>
      </c>
      <c r="Z5995" s="1128" t="s">
        <v>3381</v>
      </c>
      <c r="AA5995" s="1128" t="s">
        <v>3384</v>
      </c>
      <c r="AB5995" s="20"/>
      <c r="AC5995" s="73"/>
    </row>
    <row r="5996" spans="1:29">
      <c r="A5996" s="327" t="str">
        <f>IF(AND($B5996&lt;&gt;"",$C5996&lt;&gt;""),MAX($A$4730:$A5995)+1,"")</f>
        <v/>
      </c>
      <c r="B5996" s="361" t="s">
        <v>932</v>
      </c>
      <c r="C5996" s="362"/>
      <c r="D5996" s="327">
        <f>IF($B5996="","",COUNTIF($B$4731:$B5996,$B5996))</f>
        <v>10</v>
      </c>
      <c r="E5996" s="362" t="s">
        <v>663</v>
      </c>
      <c r="F5996" s="362" t="s">
        <v>664</v>
      </c>
      <c r="G5996" s="327" t="s">
        <v>155</v>
      </c>
      <c r="H5996" s="361" t="s">
        <v>536</v>
      </c>
      <c r="I5996" s="361" t="s">
        <v>672</v>
      </c>
      <c r="J5996" s="361"/>
      <c r="K5996" s="327" t="s">
        <v>662</v>
      </c>
      <c r="L5996" s="478">
        <v>1000</v>
      </c>
      <c r="M5996" s="355"/>
      <c r="N5996" s="355" t="s">
        <v>2409</v>
      </c>
      <c r="O5996" s="345"/>
      <c r="P5996" s="325"/>
      <c r="Q5996" s="327"/>
      <c r="R5996" s="351"/>
      <c r="S5996" s="351"/>
      <c r="T5996" s="351"/>
      <c r="U5996" s="329" t="str">
        <f>IF($N5996=$N$4,IFERROR(INDEX(DanhMuc!$E$154:$E$165,MATCH(MID($B5996,4,2),DanhMuc!$B$154:$B$165,0)),""),"")</f>
        <v/>
      </c>
      <c r="V5996" s="361"/>
      <c r="W5996" s="345"/>
      <c r="X5996" s="786"/>
      <c r="Y5996" s="1128" t="s">
        <v>3380</v>
      </c>
      <c r="Z5996" s="1128" t="s">
        <v>3381</v>
      </c>
      <c r="AA5996" s="1128" t="s">
        <v>3384</v>
      </c>
      <c r="AB5996" s="20"/>
      <c r="AC5996" s="73"/>
    </row>
    <row r="5997" spans="1:29" ht="26">
      <c r="A5997" s="327">
        <f>IF(AND($B5997&lt;&gt;"",$C5997&lt;&gt;""),MAX($A$4730:$A5976)+1,"")</f>
        <v>53</v>
      </c>
      <c r="B5997" s="359" t="s">
        <v>972</v>
      </c>
      <c r="C5997" s="370" t="s">
        <v>1574</v>
      </c>
      <c r="D5997" s="327">
        <f>IF($B5997="","",COUNTIF($B$4731:$B5997,$B5997))</f>
        <v>1</v>
      </c>
      <c r="E5997" s="361" t="s">
        <v>1826</v>
      </c>
      <c r="F5997" s="362" t="s">
        <v>670</v>
      </c>
      <c r="G5997" s="327" t="s">
        <v>661</v>
      </c>
      <c r="H5997" s="361" t="s">
        <v>536</v>
      </c>
      <c r="I5997" s="361" t="s">
        <v>2354</v>
      </c>
      <c r="J5997" s="361"/>
      <c r="K5997" s="327" t="s">
        <v>103</v>
      </c>
      <c r="L5997" s="478">
        <f>40000/1000</f>
        <v>40</v>
      </c>
      <c r="M5997" s="355"/>
      <c r="N5997" s="355" t="s">
        <v>2408</v>
      </c>
      <c r="O5997" s="345"/>
      <c r="P5997" s="325"/>
      <c r="Q5997" s="327"/>
      <c r="R5997" s="351"/>
      <c r="S5997" s="351"/>
      <c r="T5997" s="351"/>
      <c r="U5997" s="329" t="str">
        <f>IF($N5997=$N$4,IFERROR(INDEX(DanhMuc!$E$154:$E$165,MATCH(MID($B5997,4,2),DanhMuc!$B$154:$B$165,0)),""),"")</f>
        <v/>
      </c>
      <c r="V5997" s="361"/>
      <c r="W5997" s="345"/>
      <c r="X5997" s="786"/>
      <c r="Y5997" s="1128" t="s">
        <v>3380</v>
      </c>
      <c r="Z5997" s="1128" t="s">
        <v>3381</v>
      </c>
      <c r="AA5997" s="1128" t="s">
        <v>3384</v>
      </c>
      <c r="AB5997" s="20"/>
      <c r="AC5997" s="73"/>
    </row>
    <row r="5998" spans="1:29" ht="25">
      <c r="A5998" s="327" t="str">
        <f>IF(AND($B5998&lt;&gt;"",$C5998&lt;&gt;""),MAX($A$4730:$A5997)+1,"")</f>
        <v/>
      </c>
      <c r="B5998" s="361" t="s">
        <v>972</v>
      </c>
      <c r="C5998" s="362"/>
      <c r="D5998" s="327">
        <f>IF($B5998="","",COUNTIF($B$4731:$B5998,$B5998))</f>
        <v>2</v>
      </c>
      <c r="E5998" s="362" t="s">
        <v>1966</v>
      </c>
      <c r="F5998" s="362" t="s">
        <v>1967</v>
      </c>
      <c r="G5998" s="327" t="s">
        <v>405</v>
      </c>
      <c r="H5998" s="361" t="s">
        <v>536</v>
      </c>
      <c r="I5998" s="361" t="s">
        <v>1309</v>
      </c>
      <c r="J5998" s="361"/>
      <c r="K5998" s="327" t="s">
        <v>223</v>
      </c>
      <c r="L5998" s="389">
        <v>750</v>
      </c>
      <c r="M5998" s="371"/>
      <c r="N5998" s="355" t="s">
        <v>2408</v>
      </c>
      <c r="O5998" s="345"/>
      <c r="P5998" s="325"/>
      <c r="Q5998" s="327"/>
      <c r="R5998" s="351"/>
      <c r="S5998" s="351"/>
      <c r="T5998" s="351"/>
      <c r="U5998" s="329" t="str">
        <f>IF($N5998=$N$4,IFERROR(INDEX(DanhMuc!$E$154:$E$165,MATCH(MID($B5998,4,2),DanhMuc!$B$154:$B$165,0)),""),"")</f>
        <v/>
      </c>
      <c r="V5998" s="361"/>
      <c r="W5998" s="345"/>
      <c r="X5998" s="786"/>
      <c r="Y5998" s="1128" t="s">
        <v>3380</v>
      </c>
      <c r="Z5998" s="1128" t="s">
        <v>3381</v>
      </c>
      <c r="AA5998" s="1128" t="s">
        <v>3384</v>
      </c>
      <c r="AB5998" s="20"/>
      <c r="AC5998" s="73"/>
    </row>
    <row r="5999" spans="1:29" ht="37.5">
      <c r="A5999" s="327" t="str">
        <f>IF(AND($B5999&lt;&gt;"",$C5999&lt;&gt;""),MAX($A$4730:$A5998)+1,"")</f>
        <v/>
      </c>
      <c r="B5999" s="361" t="s">
        <v>972</v>
      </c>
      <c r="C5999" s="362"/>
      <c r="D5999" s="327">
        <f>IF($B5999="","",COUNTIF($B$4731:$B5999,$B5999))</f>
        <v>3</v>
      </c>
      <c r="E5999" s="362" t="s">
        <v>1964</v>
      </c>
      <c r="F5999" s="362" t="s">
        <v>1965</v>
      </c>
      <c r="G5999" s="410" t="s">
        <v>405</v>
      </c>
      <c r="H5999" s="402" t="s">
        <v>536</v>
      </c>
      <c r="I5999" s="402" t="s">
        <v>1210</v>
      </c>
      <c r="J5999" s="402"/>
      <c r="K5999" s="410" t="s">
        <v>1164</v>
      </c>
      <c r="L5999" s="478">
        <v>140</v>
      </c>
      <c r="M5999" s="371"/>
      <c r="N5999" s="355" t="s">
        <v>2408</v>
      </c>
      <c r="O5999" s="345"/>
      <c r="P5999" s="325"/>
      <c r="Q5999" s="327"/>
      <c r="R5999" s="351"/>
      <c r="S5999" s="351"/>
      <c r="T5999" s="351"/>
      <c r="U5999" s="329" t="str">
        <f>IF($N5999=$N$4,IFERROR(INDEX(DanhMuc!$E$154:$E$165,MATCH(MID($B5999,4,2),DanhMuc!$B$154:$B$165,0)),""),"")</f>
        <v/>
      </c>
      <c r="V5999" s="361"/>
      <c r="W5999" s="345"/>
      <c r="X5999" s="786"/>
      <c r="Y5999" s="1128" t="s">
        <v>3380</v>
      </c>
      <c r="Z5999" s="1128" t="s">
        <v>3381</v>
      </c>
      <c r="AA5999" s="1128" t="s">
        <v>3384</v>
      </c>
      <c r="AB5999" s="20"/>
      <c r="AC5999" s="73"/>
    </row>
    <row r="6000" spans="1:29">
      <c r="A6000" s="327" t="str">
        <f>IF(AND($B6000&lt;&gt;"",$C6000&lt;&gt;""),MAX($A$4730:$A5999)+1,"")</f>
        <v/>
      </c>
      <c r="B6000" s="361" t="s">
        <v>972</v>
      </c>
      <c r="C6000" s="362"/>
      <c r="D6000" s="327">
        <f>IF($B6000="","",COUNTIF($B$4731:$B6000,$B6000))</f>
        <v>4</v>
      </c>
      <c r="E6000" s="361" t="s">
        <v>656</v>
      </c>
      <c r="F6000" s="362" t="s">
        <v>2239</v>
      </c>
      <c r="G6000" s="327" t="s">
        <v>405</v>
      </c>
      <c r="H6000" s="361" t="s">
        <v>536</v>
      </c>
      <c r="I6000" s="361" t="s">
        <v>1827</v>
      </c>
      <c r="J6000" s="361"/>
      <c r="K6000" s="327" t="s">
        <v>100</v>
      </c>
      <c r="L6000" s="478">
        <v>970</v>
      </c>
      <c r="M6000" s="371"/>
      <c r="N6000" s="355" t="s">
        <v>2409</v>
      </c>
      <c r="O6000" s="345"/>
      <c r="P6000" s="325"/>
      <c r="Q6000" s="327"/>
      <c r="R6000" s="351"/>
      <c r="S6000" s="351"/>
      <c r="T6000" s="351"/>
      <c r="U6000" s="329" t="str">
        <f>IF($N6000=$N$4,IFERROR(INDEX(DanhMuc!$E$154:$E$165,MATCH(MID($B6000,4,2),DanhMuc!$B$154:$B$165,0)),""),"")</f>
        <v/>
      </c>
      <c r="V6000" s="361"/>
      <c r="W6000" s="345"/>
      <c r="X6000" s="786"/>
      <c r="Y6000" s="1128" t="s">
        <v>3380</v>
      </c>
      <c r="Z6000" s="1128" t="s">
        <v>3381</v>
      </c>
      <c r="AA6000" s="1128" t="s">
        <v>3384</v>
      </c>
      <c r="AB6000" s="20"/>
      <c r="AC6000" s="73"/>
    </row>
    <row r="6001" spans="1:29">
      <c r="A6001" s="327" t="str">
        <f>IF(AND($B6001&lt;&gt;"",$C6001&lt;&gt;""),MAX($A$4730:$A6000)+1,"")</f>
        <v/>
      </c>
      <c r="B6001" s="361" t="s">
        <v>972</v>
      </c>
      <c r="C6001" s="362"/>
      <c r="D6001" s="327">
        <f>IF($B6001="","",COUNTIF($B$4731:$B6001,$B6001))</f>
        <v>5</v>
      </c>
      <c r="E6001" s="361" t="s">
        <v>657</v>
      </c>
      <c r="F6001" s="362" t="s">
        <v>658</v>
      </c>
      <c r="G6001" s="327" t="s">
        <v>424</v>
      </c>
      <c r="H6001" s="361" t="s">
        <v>536</v>
      </c>
      <c r="I6001" s="361" t="s">
        <v>665</v>
      </c>
      <c r="J6001" s="361"/>
      <c r="K6001" s="327" t="s">
        <v>100</v>
      </c>
      <c r="L6001" s="478">
        <v>60000</v>
      </c>
      <c r="M6001" s="355"/>
      <c r="N6001" s="355" t="s">
        <v>2409</v>
      </c>
      <c r="O6001" s="345"/>
      <c r="P6001" s="325"/>
      <c r="Q6001" s="327"/>
      <c r="R6001" s="351"/>
      <c r="S6001" s="351"/>
      <c r="T6001" s="351"/>
      <c r="U6001" s="329" t="str">
        <f>IF($N6001=$N$4,IFERROR(INDEX(DanhMuc!$E$154:$E$165,MATCH(MID($B6001,4,2),DanhMuc!$B$154:$B$165,0)),""),"")</f>
        <v/>
      </c>
      <c r="V6001" s="361"/>
      <c r="W6001" s="345"/>
      <c r="X6001" s="786"/>
      <c r="Y6001" s="1128" t="s">
        <v>3380</v>
      </c>
      <c r="Z6001" s="1128" t="s">
        <v>3381</v>
      </c>
      <c r="AA6001" s="1128" t="s">
        <v>3384</v>
      </c>
      <c r="AB6001" s="20"/>
      <c r="AC6001" s="73"/>
    </row>
    <row r="6002" spans="1:29">
      <c r="A6002" s="327" t="str">
        <f>IF(AND($B6002&lt;&gt;"",$C6002&lt;&gt;""),MAX($A$4730:$A6001)+1,"")</f>
        <v/>
      </c>
      <c r="B6002" s="361" t="s">
        <v>972</v>
      </c>
      <c r="C6002" s="362"/>
      <c r="D6002" s="327">
        <f>IF($B6002="","",COUNTIF($B$4731:$B6002,$B6002))</f>
        <v>6</v>
      </c>
      <c r="E6002" s="361" t="s">
        <v>2771</v>
      </c>
      <c r="F6002" s="362" t="s">
        <v>659</v>
      </c>
      <c r="G6002" s="327" t="s">
        <v>424</v>
      </c>
      <c r="H6002" s="361" t="s">
        <v>536</v>
      </c>
      <c r="I6002" s="361" t="s">
        <v>666</v>
      </c>
      <c r="J6002" s="361"/>
      <c r="K6002" s="327" t="s">
        <v>100</v>
      </c>
      <c r="L6002" s="389">
        <v>53000</v>
      </c>
      <c r="M6002" s="355"/>
      <c r="N6002" s="355" t="s">
        <v>2409</v>
      </c>
      <c r="O6002" s="345"/>
      <c r="P6002" s="325"/>
      <c r="Q6002" s="327"/>
      <c r="R6002" s="351"/>
      <c r="S6002" s="351"/>
      <c r="T6002" s="351"/>
      <c r="U6002" s="329" t="str">
        <f>IF($N6002=$N$4,IFERROR(INDEX(DanhMuc!$E$154:$E$165,MATCH(MID($B6002,4,2),DanhMuc!$B$154:$B$165,0)),""),"")</f>
        <v/>
      </c>
      <c r="V6002" s="361"/>
      <c r="W6002" s="345"/>
      <c r="X6002" s="786"/>
      <c r="Y6002" s="1128" t="s">
        <v>3380</v>
      </c>
      <c r="Z6002" s="1128" t="s">
        <v>3381</v>
      </c>
      <c r="AA6002" s="1128" t="s">
        <v>3384</v>
      </c>
      <c r="AB6002" s="20"/>
      <c r="AC6002" s="73"/>
    </row>
    <row r="6003" spans="1:29">
      <c r="A6003" s="327" t="str">
        <f>IF(AND($B6003&lt;&gt;"",$C6003&lt;&gt;""),MAX($A$4730:$A6002)+1,"")</f>
        <v/>
      </c>
      <c r="B6003" s="361" t="s">
        <v>972</v>
      </c>
      <c r="C6003" s="362"/>
      <c r="D6003" s="327">
        <f>IF($B6003="","",COUNTIF($B$4731:$B6003,$B6003))</f>
        <v>7</v>
      </c>
      <c r="E6003" s="361" t="s">
        <v>1828</v>
      </c>
      <c r="F6003" s="362" t="s">
        <v>671</v>
      </c>
      <c r="G6003" s="327" t="s">
        <v>661</v>
      </c>
      <c r="H6003" s="361" t="s">
        <v>536</v>
      </c>
      <c r="I6003" s="361" t="s">
        <v>2355</v>
      </c>
      <c r="J6003" s="361"/>
      <c r="K6003" s="327" t="s">
        <v>100</v>
      </c>
      <c r="L6003" s="478">
        <f>40000/1000</f>
        <v>40</v>
      </c>
      <c r="M6003" s="355"/>
      <c r="N6003" s="355" t="s">
        <v>2409</v>
      </c>
      <c r="O6003" s="345"/>
      <c r="P6003" s="325"/>
      <c r="Q6003" s="327"/>
      <c r="R6003" s="351"/>
      <c r="S6003" s="351"/>
      <c r="T6003" s="351"/>
      <c r="U6003" s="329" t="str">
        <f>IF($N6003=$N$4,IFERROR(INDEX(DanhMuc!$E$154:$E$165,MATCH(MID($B6003,4,2),DanhMuc!$B$154:$B$165,0)),""),"")</f>
        <v/>
      </c>
      <c r="V6003" s="361"/>
      <c r="W6003" s="345"/>
      <c r="X6003" s="786"/>
      <c r="Y6003" s="1128" t="s">
        <v>3380</v>
      </c>
      <c r="Z6003" s="1128" t="s">
        <v>3381</v>
      </c>
      <c r="AA6003" s="1128" t="s">
        <v>3384</v>
      </c>
      <c r="AB6003" s="20"/>
      <c r="AC6003" s="73"/>
    </row>
    <row r="6004" spans="1:29">
      <c r="A6004" s="327" t="str">
        <f>IF(AND($B6004&lt;&gt;"",$C6004&lt;&gt;""),MAX($A$4730:$A6003)+1,"")</f>
        <v/>
      </c>
      <c r="B6004" s="361" t="s">
        <v>972</v>
      </c>
      <c r="C6004" s="362"/>
      <c r="D6004" s="327">
        <f>IF($B6004="","",COUNTIF($B$4731:$B6004,$B6004))</f>
        <v>8</v>
      </c>
      <c r="E6004" s="361" t="s">
        <v>154</v>
      </c>
      <c r="F6004" s="362" t="s">
        <v>660</v>
      </c>
      <c r="G6004" s="327" t="s">
        <v>661</v>
      </c>
      <c r="H6004" s="361" t="s">
        <v>536</v>
      </c>
      <c r="I6004" s="361" t="s">
        <v>667</v>
      </c>
      <c r="J6004" s="361"/>
      <c r="K6004" s="327" t="s">
        <v>662</v>
      </c>
      <c r="L6004" s="478">
        <v>20</v>
      </c>
      <c r="M6004" s="355"/>
      <c r="N6004" s="355" t="s">
        <v>2409</v>
      </c>
      <c r="O6004" s="345"/>
      <c r="P6004" s="325"/>
      <c r="Q6004" s="327"/>
      <c r="R6004" s="351"/>
      <c r="S6004" s="351"/>
      <c r="T6004" s="351"/>
      <c r="U6004" s="329" t="str">
        <f>IF($N6004=$N$4,IFERROR(INDEX(DanhMuc!$E$154:$E$165,MATCH(MID($B6004,4,2),DanhMuc!$B$154:$B$165,0)),""),"")</f>
        <v/>
      </c>
      <c r="V6004" s="361"/>
      <c r="W6004" s="345"/>
      <c r="X6004" s="786"/>
      <c r="Y6004" s="1128" t="s">
        <v>3380</v>
      </c>
      <c r="Z6004" s="1128" t="s">
        <v>3381</v>
      </c>
      <c r="AA6004" s="1128" t="s">
        <v>3384</v>
      </c>
      <c r="AB6004" s="20"/>
      <c r="AC6004" s="73"/>
    </row>
    <row r="6005" spans="1:29">
      <c r="A6005" s="327" t="str">
        <f>IF(AND($B6005&lt;&gt;"",$C6005&lt;&gt;""),MAX($A$4730:$A6004)+1,"")</f>
        <v/>
      </c>
      <c r="B6005" s="361" t="s">
        <v>972</v>
      </c>
      <c r="C6005" s="362"/>
      <c r="D6005" s="327">
        <f>IF($B6005="","",COUNTIF($B$4731:$B6005,$B6005))</f>
        <v>9</v>
      </c>
      <c r="E6005" s="362" t="s">
        <v>2282</v>
      </c>
      <c r="F6005" s="362" t="s">
        <v>2283</v>
      </c>
      <c r="G6005" s="327" t="s">
        <v>424</v>
      </c>
      <c r="H6005" s="361" t="s">
        <v>536</v>
      </c>
      <c r="I6005" s="361" t="s">
        <v>2238</v>
      </c>
      <c r="J6005" s="361"/>
      <c r="K6005" s="327" t="s">
        <v>662</v>
      </c>
      <c r="L6005" s="478">
        <v>28000</v>
      </c>
      <c r="M6005" s="355"/>
      <c r="N6005" s="355" t="s">
        <v>2409</v>
      </c>
      <c r="O6005" s="345"/>
      <c r="P6005" s="325"/>
      <c r="Q6005" s="327"/>
      <c r="R6005" s="351"/>
      <c r="S6005" s="351"/>
      <c r="T6005" s="351"/>
      <c r="U6005" s="329" t="str">
        <f>IF($N6005=$N$4,IFERROR(INDEX(DanhMuc!$E$154:$E$165,MATCH(MID($B6005,4,2),DanhMuc!$B$154:$B$165,0)),""),"")</f>
        <v/>
      </c>
      <c r="V6005" s="361"/>
      <c r="W6005" s="345"/>
      <c r="X6005" s="786"/>
      <c r="Y6005" s="1128" t="s">
        <v>3380</v>
      </c>
      <c r="Z6005" s="1128" t="s">
        <v>3381</v>
      </c>
      <c r="AA6005" s="1128" t="s">
        <v>3384</v>
      </c>
      <c r="AB6005" s="20"/>
      <c r="AC6005" s="73"/>
    </row>
    <row r="6006" spans="1:29">
      <c r="A6006" s="327" t="str">
        <f>IF(AND($B6006&lt;&gt;"",$C6006&lt;&gt;""),MAX($A$4730:$A6005)+1,"")</f>
        <v/>
      </c>
      <c r="B6006" s="361" t="s">
        <v>972</v>
      </c>
      <c r="C6006" s="362"/>
      <c r="D6006" s="327">
        <f>IF($B6006="","",COUNTIF($B$4731:$B6006,$B6006))</f>
        <v>10</v>
      </c>
      <c r="E6006" s="362" t="s">
        <v>663</v>
      </c>
      <c r="F6006" s="362" t="s">
        <v>664</v>
      </c>
      <c r="G6006" s="327" t="s">
        <v>155</v>
      </c>
      <c r="H6006" s="361" t="s">
        <v>536</v>
      </c>
      <c r="I6006" s="361" t="s">
        <v>672</v>
      </c>
      <c r="J6006" s="361"/>
      <c r="K6006" s="327" t="s">
        <v>662</v>
      </c>
      <c r="L6006" s="478">
        <v>1000</v>
      </c>
      <c r="M6006" s="355"/>
      <c r="N6006" s="355" t="s">
        <v>2409</v>
      </c>
      <c r="O6006" s="345"/>
      <c r="P6006" s="325"/>
      <c r="Q6006" s="327"/>
      <c r="R6006" s="351"/>
      <c r="S6006" s="351"/>
      <c r="T6006" s="351"/>
      <c r="U6006" s="329" t="str">
        <f>IF($N6006=$N$4,IFERROR(INDEX(DanhMuc!$E$154:$E$165,MATCH(MID($B6006,4,2),DanhMuc!$B$154:$B$165,0)),""),"")</f>
        <v/>
      </c>
      <c r="V6006" s="361"/>
      <c r="W6006" s="345"/>
      <c r="X6006" s="786"/>
      <c r="Y6006" s="1128" t="s">
        <v>3380</v>
      </c>
      <c r="Z6006" s="1128" t="s">
        <v>3381</v>
      </c>
      <c r="AA6006" s="1128" t="s">
        <v>3384</v>
      </c>
      <c r="AB6006" s="20"/>
      <c r="AC6006" s="73"/>
    </row>
    <row r="6007" spans="1:29" ht="26">
      <c r="A6007" s="327">
        <f>IF(AND($B6007&lt;&gt;"",$C6007&lt;&gt;""),MAX($A$4730:$A6006)+1,"")</f>
        <v>54</v>
      </c>
      <c r="B6007" s="359" t="s">
        <v>973</v>
      </c>
      <c r="C6007" s="360" t="s">
        <v>1575</v>
      </c>
      <c r="D6007" s="327">
        <f>IF($B6007="","",COUNTIF($B$4731:$B6007,$B6007))</f>
        <v>1</v>
      </c>
      <c r="E6007" s="361" t="s">
        <v>1826</v>
      </c>
      <c r="F6007" s="362" t="s">
        <v>670</v>
      </c>
      <c r="G6007" s="327" t="s">
        <v>661</v>
      </c>
      <c r="H6007" s="361" t="s">
        <v>536</v>
      </c>
      <c r="I6007" s="361" t="s">
        <v>2354</v>
      </c>
      <c r="J6007" s="361"/>
      <c r="K6007" s="327" t="s">
        <v>103</v>
      </c>
      <c r="L6007" s="478">
        <f>40000/1000</f>
        <v>40</v>
      </c>
      <c r="M6007" s="355"/>
      <c r="N6007" s="355" t="s">
        <v>2408</v>
      </c>
      <c r="O6007" s="345"/>
      <c r="P6007" s="325"/>
      <c r="Q6007" s="327"/>
      <c r="R6007" s="351"/>
      <c r="S6007" s="351"/>
      <c r="T6007" s="351"/>
      <c r="U6007" s="329" t="str">
        <f>IF($N6007=$N$4,IFERROR(INDEX(DanhMuc!$E$154:$E$165,MATCH(MID($B6007,4,2),DanhMuc!$B$154:$B$165,0)),""),"")</f>
        <v/>
      </c>
      <c r="V6007" s="361"/>
      <c r="W6007" s="345"/>
      <c r="X6007" s="786"/>
      <c r="Y6007" s="1128" t="s">
        <v>3380</v>
      </c>
      <c r="Z6007" s="1128" t="s">
        <v>3381</v>
      </c>
      <c r="AA6007" s="1128" t="s">
        <v>3384</v>
      </c>
      <c r="AB6007" s="20"/>
      <c r="AC6007" s="73"/>
    </row>
    <row r="6008" spans="1:29" ht="25">
      <c r="A6008" s="327" t="str">
        <f>IF(AND($B6008&lt;&gt;"",$C6008&lt;&gt;""),MAX($A$4730:$A6007)+1,"")</f>
        <v/>
      </c>
      <c r="B6008" s="361" t="s">
        <v>973</v>
      </c>
      <c r="C6008" s="362"/>
      <c r="D6008" s="327">
        <f>IF($B6008="","",COUNTIF($B$4731:$B6008,$B6008))</f>
        <v>2</v>
      </c>
      <c r="E6008" s="362" t="s">
        <v>1966</v>
      </c>
      <c r="F6008" s="362" t="s">
        <v>1967</v>
      </c>
      <c r="G6008" s="327" t="s">
        <v>405</v>
      </c>
      <c r="H6008" s="361" t="s">
        <v>536</v>
      </c>
      <c r="I6008" s="361" t="s">
        <v>1309</v>
      </c>
      <c r="J6008" s="361"/>
      <c r="K6008" s="327" t="s">
        <v>223</v>
      </c>
      <c r="L6008" s="389">
        <v>750</v>
      </c>
      <c r="M6008" s="371"/>
      <c r="N6008" s="355" t="s">
        <v>2408</v>
      </c>
      <c r="O6008" s="345"/>
      <c r="P6008" s="325"/>
      <c r="Q6008" s="327"/>
      <c r="R6008" s="351"/>
      <c r="S6008" s="351"/>
      <c r="T6008" s="351"/>
      <c r="U6008" s="329" t="str">
        <f>IF($N6008=$N$4,IFERROR(INDEX(DanhMuc!$E$154:$E$165,MATCH(MID($B6008,4,2),DanhMuc!$B$154:$B$165,0)),""),"")</f>
        <v/>
      </c>
      <c r="V6008" s="361"/>
      <c r="W6008" s="345"/>
      <c r="X6008" s="786"/>
      <c r="Y6008" s="1128" t="s">
        <v>3380</v>
      </c>
      <c r="Z6008" s="1128" t="s">
        <v>3381</v>
      </c>
      <c r="AA6008" s="1128" t="s">
        <v>3384</v>
      </c>
      <c r="AB6008" s="20"/>
      <c r="AC6008" s="73"/>
    </row>
    <row r="6009" spans="1:29" ht="37.5">
      <c r="A6009" s="327" t="str">
        <f>IF(AND($B6009&lt;&gt;"",$C6009&lt;&gt;""),MAX($A$4730:$A6008)+1,"")</f>
        <v/>
      </c>
      <c r="B6009" s="361" t="s">
        <v>973</v>
      </c>
      <c r="C6009" s="362"/>
      <c r="D6009" s="327">
        <f>IF($B6009="","",COUNTIF($B$4731:$B6009,$B6009))</f>
        <v>3</v>
      </c>
      <c r="E6009" s="362" t="s">
        <v>1964</v>
      </c>
      <c r="F6009" s="362" t="s">
        <v>1965</v>
      </c>
      <c r="G6009" s="410" t="s">
        <v>405</v>
      </c>
      <c r="H6009" s="402" t="s">
        <v>536</v>
      </c>
      <c r="I6009" s="402" t="s">
        <v>1210</v>
      </c>
      <c r="J6009" s="402"/>
      <c r="K6009" s="410" t="s">
        <v>223</v>
      </c>
      <c r="L6009" s="478">
        <v>140</v>
      </c>
      <c r="M6009" s="371"/>
      <c r="N6009" s="355" t="s">
        <v>2408</v>
      </c>
      <c r="O6009" s="345"/>
      <c r="P6009" s="325"/>
      <c r="Q6009" s="327"/>
      <c r="R6009" s="351"/>
      <c r="S6009" s="351"/>
      <c r="T6009" s="351"/>
      <c r="U6009" s="329" t="str">
        <f>IF($N6009=$N$4,IFERROR(INDEX(DanhMuc!$E$154:$E$165,MATCH(MID($B6009,4,2),DanhMuc!$B$154:$B$165,0)),""),"")</f>
        <v/>
      </c>
      <c r="V6009" s="361"/>
      <c r="W6009" s="345"/>
      <c r="X6009" s="786"/>
      <c r="Y6009" s="1128" t="s">
        <v>3380</v>
      </c>
      <c r="Z6009" s="1128" t="s">
        <v>3381</v>
      </c>
      <c r="AA6009" s="1128" t="s">
        <v>3384</v>
      </c>
      <c r="AB6009" s="20"/>
      <c r="AC6009" s="73"/>
    </row>
    <row r="6010" spans="1:29" ht="25">
      <c r="A6010" s="327" t="str">
        <f>IF(AND($B6010&lt;&gt;"",$C6010&lt;&gt;""),MAX($A$4730:$A6009)+1,"")</f>
        <v/>
      </c>
      <c r="B6010" s="361" t="s">
        <v>973</v>
      </c>
      <c r="C6010" s="362"/>
      <c r="D6010" s="327">
        <f>IF($B6010="","",COUNTIF($B$4731:$B6010,$B6010))</f>
        <v>4</v>
      </c>
      <c r="E6010" s="362" t="s">
        <v>1847</v>
      </c>
      <c r="F6010" s="403" t="s">
        <v>1848</v>
      </c>
      <c r="G6010" s="410" t="s">
        <v>405</v>
      </c>
      <c r="H6010" s="402" t="s">
        <v>536</v>
      </c>
      <c r="I6010" s="361" t="s">
        <v>1458</v>
      </c>
      <c r="J6010" s="361"/>
      <c r="K6010" s="327"/>
      <c r="L6010" s="389">
        <v>140</v>
      </c>
      <c r="M6010" s="371"/>
      <c r="N6010" s="355" t="s">
        <v>2408</v>
      </c>
      <c r="O6010" s="345"/>
      <c r="P6010" s="325"/>
      <c r="Q6010" s="327"/>
      <c r="R6010" s="351"/>
      <c r="S6010" s="351"/>
      <c r="T6010" s="351"/>
      <c r="U6010" s="329" t="str">
        <f>IF($N6010=$N$4,IFERROR(INDEX(DanhMuc!$E$154:$E$165,MATCH(MID($B6010,4,2),DanhMuc!$B$154:$B$165,0)),""),"")</f>
        <v/>
      </c>
      <c r="V6010" s="361"/>
      <c r="W6010" s="345"/>
      <c r="X6010" s="786"/>
      <c r="Y6010" s="1128" t="s">
        <v>3380</v>
      </c>
      <c r="Z6010" s="1128" t="s">
        <v>3381</v>
      </c>
      <c r="AA6010" s="1128" t="s">
        <v>3384</v>
      </c>
      <c r="AB6010" s="20"/>
      <c r="AC6010" s="73"/>
    </row>
    <row r="6011" spans="1:29">
      <c r="A6011" s="327" t="str">
        <f>IF(AND($B6011&lt;&gt;"",$C6011&lt;&gt;""),MAX($A$4730:$A6010)+1,"")</f>
        <v/>
      </c>
      <c r="B6011" s="361" t="s">
        <v>973</v>
      </c>
      <c r="C6011" s="362"/>
      <c r="D6011" s="327">
        <f>IF($B6011="","",COUNTIF($B$4731:$B6011,$B6011))</f>
        <v>5</v>
      </c>
      <c r="E6011" s="361" t="s">
        <v>656</v>
      </c>
      <c r="F6011" s="362" t="s">
        <v>2239</v>
      </c>
      <c r="G6011" s="327" t="s">
        <v>405</v>
      </c>
      <c r="H6011" s="361" t="s">
        <v>536</v>
      </c>
      <c r="I6011" s="361" t="s">
        <v>1827</v>
      </c>
      <c r="J6011" s="361"/>
      <c r="K6011" s="327" t="s">
        <v>100</v>
      </c>
      <c r="L6011" s="478">
        <v>970</v>
      </c>
      <c r="M6011" s="371"/>
      <c r="N6011" s="355" t="s">
        <v>2409</v>
      </c>
      <c r="O6011" s="345"/>
      <c r="P6011" s="325"/>
      <c r="Q6011" s="327"/>
      <c r="R6011" s="351"/>
      <c r="S6011" s="351"/>
      <c r="T6011" s="351"/>
      <c r="U6011" s="329" t="str">
        <f>IF($N6011=$N$4,IFERROR(INDEX(DanhMuc!$E$154:$E$165,MATCH(MID($B6011,4,2),DanhMuc!$B$154:$B$165,0)),""),"")</f>
        <v/>
      </c>
      <c r="V6011" s="361"/>
      <c r="W6011" s="345"/>
      <c r="X6011" s="786"/>
      <c r="Y6011" s="1128" t="s">
        <v>3380</v>
      </c>
      <c r="Z6011" s="1128" t="s">
        <v>3381</v>
      </c>
      <c r="AA6011" s="1128" t="s">
        <v>3384</v>
      </c>
      <c r="AB6011" s="20"/>
      <c r="AC6011" s="73"/>
    </row>
    <row r="6012" spans="1:29">
      <c r="A6012" s="327" t="str">
        <f>IF(AND($B6012&lt;&gt;"",$C6012&lt;&gt;""),MAX($A$4730:$A6011)+1,"")</f>
        <v/>
      </c>
      <c r="B6012" s="361" t="s">
        <v>973</v>
      </c>
      <c r="C6012" s="362"/>
      <c r="D6012" s="327">
        <f>IF($B6012="","",COUNTIF($B$4731:$B6012,$B6012))</f>
        <v>6</v>
      </c>
      <c r="E6012" s="361" t="s">
        <v>657</v>
      </c>
      <c r="F6012" s="362" t="s">
        <v>658</v>
      </c>
      <c r="G6012" s="327" t="s">
        <v>424</v>
      </c>
      <c r="H6012" s="361" t="s">
        <v>536</v>
      </c>
      <c r="I6012" s="361" t="s">
        <v>665</v>
      </c>
      <c r="J6012" s="361"/>
      <c r="K6012" s="327" t="s">
        <v>100</v>
      </c>
      <c r="L6012" s="478">
        <v>60000</v>
      </c>
      <c r="M6012" s="355"/>
      <c r="N6012" s="355" t="s">
        <v>2409</v>
      </c>
      <c r="O6012" s="345"/>
      <c r="P6012" s="325"/>
      <c r="Q6012" s="327"/>
      <c r="R6012" s="351"/>
      <c r="S6012" s="351"/>
      <c r="T6012" s="351"/>
      <c r="U6012" s="329" t="str">
        <f>IF($N6012=$N$4,IFERROR(INDEX(DanhMuc!$E$154:$E$165,MATCH(MID($B6012,4,2),DanhMuc!$B$154:$B$165,0)),""),"")</f>
        <v/>
      </c>
      <c r="V6012" s="361"/>
      <c r="W6012" s="345"/>
      <c r="X6012" s="786"/>
      <c r="Y6012" s="1128" t="s">
        <v>3380</v>
      </c>
      <c r="Z6012" s="1128" t="s">
        <v>3381</v>
      </c>
      <c r="AA6012" s="1128" t="s">
        <v>3384</v>
      </c>
      <c r="AB6012" s="20"/>
      <c r="AC6012" s="73"/>
    </row>
    <row r="6013" spans="1:29">
      <c r="A6013" s="327" t="str">
        <f>IF(AND($B6013&lt;&gt;"",$C6013&lt;&gt;""),MAX($A$4730:$A6012)+1,"")</f>
        <v/>
      </c>
      <c r="B6013" s="361" t="s">
        <v>973</v>
      </c>
      <c r="C6013" s="362"/>
      <c r="D6013" s="327">
        <f>IF($B6013="","",COUNTIF($B$4731:$B6013,$B6013))</f>
        <v>7</v>
      </c>
      <c r="E6013" s="361" t="s">
        <v>2771</v>
      </c>
      <c r="F6013" s="362" t="s">
        <v>659</v>
      </c>
      <c r="G6013" s="327" t="s">
        <v>424</v>
      </c>
      <c r="H6013" s="361" t="s">
        <v>536</v>
      </c>
      <c r="I6013" s="361" t="s">
        <v>666</v>
      </c>
      <c r="J6013" s="361"/>
      <c r="K6013" s="327" t="s">
        <v>100</v>
      </c>
      <c r="L6013" s="389">
        <v>53000</v>
      </c>
      <c r="M6013" s="355"/>
      <c r="N6013" s="355" t="s">
        <v>2409</v>
      </c>
      <c r="O6013" s="345"/>
      <c r="P6013" s="325"/>
      <c r="Q6013" s="327"/>
      <c r="R6013" s="351"/>
      <c r="S6013" s="351"/>
      <c r="T6013" s="351"/>
      <c r="U6013" s="329" t="str">
        <f>IF($N6013=$N$4,IFERROR(INDEX(DanhMuc!$E$154:$E$165,MATCH(MID($B6013,4,2),DanhMuc!$B$154:$B$165,0)),""),"")</f>
        <v/>
      </c>
      <c r="V6013" s="361"/>
      <c r="W6013" s="345"/>
      <c r="X6013" s="786"/>
      <c r="Y6013" s="1128" t="s">
        <v>3380</v>
      </c>
      <c r="Z6013" s="1128" t="s">
        <v>3381</v>
      </c>
      <c r="AA6013" s="1128" t="s">
        <v>3384</v>
      </c>
      <c r="AB6013" s="20"/>
      <c r="AC6013" s="73"/>
    </row>
    <row r="6014" spans="1:29">
      <c r="A6014" s="327" t="str">
        <f>IF(AND($B6014&lt;&gt;"",$C6014&lt;&gt;""),MAX($A$4730:$A6013)+1,"")</f>
        <v/>
      </c>
      <c r="B6014" s="361" t="s">
        <v>973</v>
      </c>
      <c r="C6014" s="362"/>
      <c r="D6014" s="327">
        <f>IF($B6014="","",COUNTIF($B$4731:$B6014,$B6014))</f>
        <v>8</v>
      </c>
      <c r="E6014" s="361" t="s">
        <v>1828</v>
      </c>
      <c r="F6014" s="362" t="s">
        <v>671</v>
      </c>
      <c r="G6014" s="327" t="s">
        <v>661</v>
      </c>
      <c r="H6014" s="361" t="s">
        <v>536</v>
      </c>
      <c r="I6014" s="361" t="s">
        <v>2355</v>
      </c>
      <c r="J6014" s="361"/>
      <c r="K6014" s="327" t="s">
        <v>100</v>
      </c>
      <c r="L6014" s="478">
        <f>40000/1000</f>
        <v>40</v>
      </c>
      <c r="M6014" s="355"/>
      <c r="N6014" s="355" t="s">
        <v>2409</v>
      </c>
      <c r="O6014" s="345"/>
      <c r="P6014" s="325"/>
      <c r="Q6014" s="327"/>
      <c r="R6014" s="351"/>
      <c r="S6014" s="351"/>
      <c r="T6014" s="351"/>
      <c r="U6014" s="329" t="str">
        <f>IF($N6014=$N$4,IFERROR(INDEX(DanhMuc!$E$154:$E$165,MATCH(MID($B6014,4,2),DanhMuc!$B$154:$B$165,0)),""),"")</f>
        <v/>
      </c>
      <c r="V6014" s="361"/>
      <c r="W6014" s="345"/>
      <c r="X6014" s="786"/>
      <c r="Y6014" s="1128" t="s">
        <v>3380</v>
      </c>
      <c r="Z6014" s="1128" t="s">
        <v>3381</v>
      </c>
      <c r="AA6014" s="1128" t="s">
        <v>3384</v>
      </c>
      <c r="AB6014" s="20"/>
      <c r="AC6014" s="73"/>
    </row>
    <row r="6015" spans="1:29">
      <c r="A6015" s="327" t="str">
        <f>IF(AND($B6015&lt;&gt;"",$C6015&lt;&gt;""),MAX($A$4730:$A6014)+1,"")</f>
        <v/>
      </c>
      <c r="B6015" s="361" t="s">
        <v>973</v>
      </c>
      <c r="C6015" s="362"/>
      <c r="D6015" s="327">
        <f>IF($B6015="","",COUNTIF($B$4731:$B6015,$B6015))</f>
        <v>9</v>
      </c>
      <c r="E6015" s="361" t="s">
        <v>154</v>
      </c>
      <c r="F6015" s="362" t="s">
        <v>660</v>
      </c>
      <c r="G6015" s="327" t="s">
        <v>661</v>
      </c>
      <c r="H6015" s="361" t="s">
        <v>536</v>
      </c>
      <c r="I6015" s="361" t="s">
        <v>667</v>
      </c>
      <c r="J6015" s="361"/>
      <c r="K6015" s="327" t="s">
        <v>662</v>
      </c>
      <c r="L6015" s="478">
        <v>20</v>
      </c>
      <c r="M6015" s="355"/>
      <c r="N6015" s="355" t="s">
        <v>2409</v>
      </c>
      <c r="O6015" s="345"/>
      <c r="P6015" s="325"/>
      <c r="Q6015" s="327"/>
      <c r="R6015" s="351"/>
      <c r="S6015" s="351"/>
      <c r="T6015" s="351"/>
      <c r="U6015" s="329" t="str">
        <f>IF($N6015=$N$4,IFERROR(INDEX(DanhMuc!$E$154:$E$165,MATCH(MID($B6015,4,2),DanhMuc!$B$154:$B$165,0)),""),"")</f>
        <v/>
      </c>
      <c r="V6015" s="361"/>
      <c r="W6015" s="345"/>
      <c r="X6015" s="786"/>
      <c r="Y6015" s="1128" t="s">
        <v>3380</v>
      </c>
      <c r="Z6015" s="1128" t="s">
        <v>3381</v>
      </c>
      <c r="AA6015" s="1128" t="s">
        <v>3384</v>
      </c>
      <c r="AB6015" s="20"/>
      <c r="AC6015" s="73"/>
    </row>
    <row r="6016" spans="1:29">
      <c r="A6016" s="327" t="str">
        <f>IF(AND($B6016&lt;&gt;"",$C6016&lt;&gt;""),MAX($A$4730:$A6015)+1,"")</f>
        <v/>
      </c>
      <c r="B6016" s="361" t="s">
        <v>973</v>
      </c>
      <c r="C6016" s="362"/>
      <c r="D6016" s="327">
        <f>IF($B6016="","",COUNTIF($B$4731:$B6016,$B6016))</f>
        <v>10</v>
      </c>
      <c r="E6016" s="362" t="s">
        <v>2282</v>
      </c>
      <c r="F6016" s="362" t="s">
        <v>2283</v>
      </c>
      <c r="G6016" s="327" t="s">
        <v>424</v>
      </c>
      <c r="H6016" s="361" t="s">
        <v>536</v>
      </c>
      <c r="I6016" s="361" t="s">
        <v>2238</v>
      </c>
      <c r="J6016" s="361"/>
      <c r="K6016" s="327" t="s">
        <v>662</v>
      </c>
      <c r="L6016" s="478">
        <v>28000</v>
      </c>
      <c r="M6016" s="355"/>
      <c r="N6016" s="355" t="s">
        <v>2409</v>
      </c>
      <c r="O6016" s="345"/>
      <c r="P6016" s="325"/>
      <c r="Q6016" s="327"/>
      <c r="R6016" s="351"/>
      <c r="S6016" s="351"/>
      <c r="T6016" s="351"/>
      <c r="U6016" s="329" t="str">
        <f>IF($N6016=$N$4,IFERROR(INDEX(DanhMuc!$E$154:$E$165,MATCH(MID($B6016,4,2),DanhMuc!$B$154:$B$165,0)),""),"")</f>
        <v/>
      </c>
      <c r="V6016" s="361"/>
      <c r="W6016" s="345"/>
      <c r="X6016" s="786"/>
      <c r="Y6016" s="1128" t="s">
        <v>3380</v>
      </c>
      <c r="Z6016" s="1128" t="s">
        <v>3381</v>
      </c>
      <c r="AA6016" s="1128" t="s">
        <v>3384</v>
      </c>
      <c r="AB6016" s="20"/>
      <c r="AC6016" s="73"/>
    </row>
    <row r="6017" spans="1:29">
      <c r="A6017" s="327" t="str">
        <f>IF(AND($B6017&lt;&gt;"",$C6017&lt;&gt;""),MAX($A$4730:$A6016)+1,"")</f>
        <v/>
      </c>
      <c r="B6017" s="361" t="s">
        <v>973</v>
      </c>
      <c r="C6017" s="362"/>
      <c r="D6017" s="327">
        <f>IF($B6017="","",COUNTIF($B$4731:$B6017,$B6017))</f>
        <v>11</v>
      </c>
      <c r="E6017" s="362" t="s">
        <v>663</v>
      </c>
      <c r="F6017" s="362" t="s">
        <v>664</v>
      </c>
      <c r="G6017" s="327" t="s">
        <v>155</v>
      </c>
      <c r="H6017" s="361" t="s">
        <v>536</v>
      </c>
      <c r="I6017" s="361" t="s">
        <v>672</v>
      </c>
      <c r="J6017" s="361"/>
      <c r="K6017" s="327" t="s">
        <v>662</v>
      </c>
      <c r="L6017" s="478">
        <v>1000</v>
      </c>
      <c r="M6017" s="355"/>
      <c r="N6017" s="355" t="s">
        <v>2409</v>
      </c>
      <c r="O6017" s="345"/>
      <c r="P6017" s="325"/>
      <c r="Q6017" s="327"/>
      <c r="R6017" s="351"/>
      <c r="S6017" s="351"/>
      <c r="T6017" s="351"/>
      <c r="U6017" s="329" t="str">
        <f>IF($N6017=$N$4,IFERROR(INDEX(DanhMuc!$E$154:$E$165,MATCH(MID($B6017,4,2),DanhMuc!$B$154:$B$165,0)),""),"")</f>
        <v/>
      </c>
      <c r="V6017" s="361"/>
      <c r="W6017" s="345"/>
      <c r="X6017" s="786"/>
      <c r="Y6017" s="1128" t="s">
        <v>3380</v>
      </c>
      <c r="Z6017" s="1128" t="s">
        <v>3381</v>
      </c>
      <c r="AA6017" s="1128" t="s">
        <v>3384</v>
      </c>
      <c r="AB6017" s="20"/>
      <c r="AC6017" s="73"/>
    </row>
    <row r="6018" spans="1:29" ht="26">
      <c r="A6018" s="327">
        <f>IF(AND($B6018&lt;&gt;"",$C6018&lt;&gt;""),MAX($A$4730:$A6006)+1,"")</f>
        <v>54</v>
      </c>
      <c r="B6018" s="359" t="s">
        <v>1958</v>
      </c>
      <c r="C6018" s="370" t="s">
        <v>1957</v>
      </c>
      <c r="D6018" s="327">
        <f>IF($B6018="","",COUNTIF($B$4731:$B6018,$B6018))</f>
        <v>1</v>
      </c>
      <c r="E6018" s="361" t="s">
        <v>1826</v>
      </c>
      <c r="F6018" s="362" t="s">
        <v>670</v>
      </c>
      <c r="G6018" s="327" t="s">
        <v>661</v>
      </c>
      <c r="H6018" s="361" t="s">
        <v>536</v>
      </c>
      <c r="I6018" s="361" t="s">
        <v>2354</v>
      </c>
      <c r="J6018" s="361"/>
      <c r="K6018" s="327" t="s">
        <v>103</v>
      </c>
      <c r="L6018" s="478">
        <f>40000/1000</f>
        <v>40</v>
      </c>
      <c r="M6018" s="355"/>
      <c r="N6018" s="355" t="s">
        <v>2408</v>
      </c>
      <c r="O6018" s="345"/>
      <c r="P6018" s="325"/>
      <c r="Q6018" s="327"/>
      <c r="R6018" s="351"/>
      <c r="S6018" s="351"/>
      <c r="T6018" s="351"/>
      <c r="U6018" s="329" t="str">
        <f>IF($N6018=$N$4,IFERROR(INDEX(DanhMuc!$E$154:$E$165,MATCH(MID($B6018,4,2),DanhMuc!$B$154:$B$165,0)),""),"")</f>
        <v/>
      </c>
      <c r="V6018" s="361"/>
      <c r="W6018" s="345"/>
      <c r="X6018" s="786"/>
      <c r="Y6018" s="1128" t="s">
        <v>3380</v>
      </c>
      <c r="Z6018" s="1128" t="s">
        <v>3381</v>
      </c>
      <c r="AA6018" s="1128" t="s">
        <v>3384</v>
      </c>
      <c r="AB6018" s="20"/>
      <c r="AC6018" s="73"/>
    </row>
    <row r="6019" spans="1:29" ht="25">
      <c r="A6019" s="327" t="str">
        <f>IF(AND($B6019&lt;&gt;"",$C6019&lt;&gt;""),MAX($A$4730:$A6018)+1,"")</f>
        <v/>
      </c>
      <c r="B6019" s="361" t="s">
        <v>1958</v>
      </c>
      <c r="C6019" s="362"/>
      <c r="D6019" s="327">
        <f>IF($B6019="","",COUNTIF($B$4731:$B6019,$B6019))</f>
        <v>2</v>
      </c>
      <c r="E6019" s="362" t="s">
        <v>1966</v>
      </c>
      <c r="F6019" s="362" t="s">
        <v>1967</v>
      </c>
      <c r="G6019" s="327" t="s">
        <v>405</v>
      </c>
      <c r="H6019" s="361" t="s">
        <v>536</v>
      </c>
      <c r="I6019" s="361" t="s">
        <v>1309</v>
      </c>
      <c r="J6019" s="361"/>
      <c r="K6019" s="327" t="s">
        <v>223</v>
      </c>
      <c r="L6019" s="389">
        <v>750</v>
      </c>
      <c r="M6019" s="371"/>
      <c r="N6019" s="355" t="s">
        <v>2408</v>
      </c>
      <c r="O6019" s="345"/>
      <c r="P6019" s="325"/>
      <c r="Q6019" s="327"/>
      <c r="R6019" s="351"/>
      <c r="S6019" s="351"/>
      <c r="T6019" s="351"/>
      <c r="U6019" s="329" t="str">
        <f>IF($N6019=$N$4,IFERROR(INDEX(DanhMuc!$E$154:$E$165,MATCH(MID($B6019,4,2),DanhMuc!$B$154:$B$165,0)),""),"")</f>
        <v/>
      </c>
      <c r="V6019" s="361"/>
      <c r="W6019" s="345"/>
      <c r="X6019" s="786"/>
      <c r="Y6019" s="1128" t="s">
        <v>3380</v>
      </c>
      <c r="Z6019" s="1128" t="s">
        <v>3381</v>
      </c>
      <c r="AA6019" s="1128" t="s">
        <v>3384</v>
      </c>
      <c r="AB6019" s="20"/>
      <c r="AC6019" s="73"/>
    </row>
    <row r="6020" spans="1:29" ht="37.5">
      <c r="A6020" s="327" t="str">
        <f>IF(AND($B6020&lt;&gt;"",$C6020&lt;&gt;""),MAX($A$4730:$A6019)+1,"")</f>
        <v/>
      </c>
      <c r="B6020" s="361" t="s">
        <v>1958</v>
      </c>
      <c r="C6020" s="362"/>
      <c r="D6020" s="327">
        <f>IF($B6020="","",COUNTIF($B$4731:$B6020,$B6020))</f>
        <v>3</v>
      </c>
      <c r="E6020" s="362" t="s">
        <v>1964</v>
      </c>
      <c r="F6020" s="362" t="s">
        <v>1965</v>
      </c>
      <c r="G6020" s="410" t="s">
        <v>405</v>
      </c>
      <c r="H6020" s="402" t="s">
        <v>536</v>
      </c>
      <c r="I6020" s="402" t="s">
        <v>1210</v>
      </c>
      <c r="J6020" s="402"/>
      <c r="K6020" s="410" t="s">
        <v>223</v>
      </c>
      <c r="L6020" s="478">
        <v>140</v>
      </c>
      <c r="M6020" s="371"/>
      <c r="N6020" s="355" t="s">
        <v>2408</v>
      </c>
      <c r="O6020" s="345"/>
      <c r="P6020" s="325"/>
      <c r="Q6020" s="327"/>
      <c r="R6020" s="351"/>
      <c r="S6020" s="351"/>
      <c r="T6020" s="351"/>
      <c r="U6020" s="329" t="str">
        <f>IF($N6020=$N$4,IFERROR(INDEX(DanhMuc!$E$154:$E$165,MATCH(MID($B6020,4,2),DanhMuc!$B$154:$B$165,0)),""),"")</f>
        <v/>
      </c>
      <c r="V6020" s="361"/>
      <c r="W6020" s="345"/>
      <c r="X6020" s="786"/>
      <c r="Y6020" s="1128" t="s">
        <v>3380</v>
      </c>
      <c r="Z6020" s="1128" t="s">
        <v>3381</v>
      </c>
      <c r="AA6020" s="1128" t="s">
        <v>3384</v>
      </c>
      <c r="AB6020" s="20"/>
      <c r="AC6020" s="73"/>
    </row>
    <row r="6021" spans="1:29" ht="25">
      <c r="A6021" s="327" t="str">
        <f>IF(AND($B6021&lt;&gt;"",$C6021&lt;&gt;""),MAX($A$4730:$A6020)+1,"")</f>
        <v/>
      </c>
      <c r="B6021" s="361" t="s">
        <v>1958</v>
      </c>
      <c r="C6021" s="362"/>
      <c r="D6021" s="327">
        <f>IF($B6021="","",COUNTIF($B$4731:$B6021,$B6021))</f>
        <v>4</v>
      </c>
      <c r="E6021" s="362" t="s">
        <v>1847</v>
      </c>
      <c r="F6021" s="403" t="s">
        <v>1848</v>
      </c>
      <c r="G6021" s="410" t="s">
        <v>405</v>
      </c>
      <c r="H6021" s="402" t="s">
        <v>536</v>
      </c>
      <c r="I6021" s="361" t="s">
        <v>1458</v>
      </c>
      <c r="J6021" s="361"/>
      <c r="K6021" s="327"/>
      <c r="L6021" s="389">
        <v>140</v>
      </c>
      <c r="M6021" s="371"/>
      <c r="N6021" s="355" t="s">
        <v>2408</v>
      </c>
      <c r="O6021" s="345"/>
      <c r="P6021" s="325"/>
      <c r="Q6021" s="327"/>
      <c r="R6021" s="351"/>
      <c r="S6021" s="351"/>
      <c r="T6021" s="351"/>
      <c r="U6021" s="329" t="str">
        <f>IF($N6021=$N$4,IFERROR(INDEX(DanhMuc!$E$154:$E$165,MATCH(MID($B6021,4,2),DanhMuc!$B$154:$B$165,0)),""),"")</f>
        <v/>
      </c>
      <c r="V6021" s="361"/>
      <c r="W6021" s="345"/>
      <c r="X6021" s="786"/>
      <c r="Y6021" s="1128" t="s">
        <v>3380</v>
      </c>
      <c r="Z6021" s="1128" t="s">
        <v>3381</v>
      </c>
      <c r="AA6021" s="1128" t="s">
        <v>3384</v>
      </c>
      <c r="AB6021" s="20"/>
      <c r="AC6021" s="73"/>
    </row>
    <row r="6022" spans="1:29">
      <c r="A6022" s="327" t="str">
        <f>IF(AND($B6022&lt;&gt;"",$C6022&lt;&gt;""),MAX($A$4730:$A6021)+1,"")</f>
        <v/>
      </c>
      <c r="B6022" s="361" t="s">
        <v>1958</v>
      </c>
      <c r="C6022" s="362"/>
      <c r="D6022" s="327">
        <f>IF($B6022="","",COUNTIF($B$4731:$B6022,$B6022))</f>
        <v>5</v>
      </c>
      <c r="E6022" s="361" t="s">
        <v>656</v>
      </c>
      <c r="F6022" s="362" t="s">
        <v>2239</v>
      </c>
      <c r="G6022" s="327" t="s">
        <v>405</v>
      </c>
      <c r="H6022" s="361" t="s">
        <v>536</v>
      </c>
      <c r="I6022" s="361" t="s">
        <v>1827</v>
      </c>
      <c r="J6022" s="361"/>
      <c r="K6022" s="327" t="s">
        <v>100</v>
      </c>
      <c r="L6022" s="478">
        <v>970</v>
      </c>
      <c r="M6022" s="371"/>
      <c r="N6022" s="355" t="s">
        <v>2409</v>
      </c>
      <c r="O6022" s="345"/>
      <c r="P6022" s="325"/>
      <c r="Q6022" s="327"/>
      <c r="R6022" s="351"/>
      <c r="S6022" s="351"/>
      <c r="T6022" s="351"/>
      <c r="U6022" s="329" t="str">
        <f>IF($N6022=$N$4,IFERROR(INDEX(DanhMuc!$E$154:$E$165,MATCH(MID($B6022,4,2),DanhMuc!$B$154:$B$165,0)),""),"")</f>
        <v/>
      </c>
      <c r="V6022" s="361"/>
      <c r="W6022" s="345"/>
      <c r="X6022" s="786"/>
      <c r="Y6022" s="1128" t="s">
        <v>3380</v>
      </c>
      <c r="Z6022" s="1128" t="s">
        <v>3381</v>
      </c>
      <c r="AA6022" s="1128" t="s">
        <v>3384</v>
      </c>
      <c r="AB6022" s="20"/>
      <c r="AC6022" s="73"/>
    </row>
    <row r="6023" spans="1:29">
      <c r="A6023" s="327" t="str">
        <f>IF(AND($B6023&lt;&gt;"",$C6023&lt;&gt;""),MAX($A$4730:$A6022)+1,"")</f>
        <v/>
      </c>
      <c r="B6023" s="361" t="s">
        <v>1958</v>
      </c>
      <c r="C6023" s="362"/>
      <c r="D6023" s="327">
        <f>IF($B6023="","",COUNTIF($B$4731:$B6023,$B6023))</f>
        <v>6</v>
      </c>
      <c r="E6023" s="361" t="s">
        <v>657</v>
      </c>
      <c r="F6023" s="362" t="s">
        <v>658</v>
      </c>
      <c r="G6023" s="327" t="s">
        <v>424</v>
      </c>
      <c r="H6023" s="361" t="s">
        <v>536</v>
      </c>
      <c r="I6023" s="361" t="s">
        <v>665</v>
      </c>
      <c r="J6023" s="361"/>
      <c r="K6023" s="327" t="s">
        <v>100</v>
      </c>
      <c r="L6023" s="478">
        <v>60000</v>
      </c>
      <c r="M6023" s="355"/>
      <c r="N6023" s="355" t="s">
        <v>2409</v>
      </c>
      <c r="O6023" s="345"/>
      <c r="P6023" s="325"/>
      <c r="Q6023" s="327"/>
      <c r="R6023" s="351"/>
      <c r="S6023" s="351"/>
      <c r="T6023" s="351"/>
      <c r="U6023" s="329" t="str">
        <f>IF($N6023=$N$4,IFERROR(INDEX(DanhMuc!$E$154:$E$165,MATCH(MID($B6023,4,2),DanhMuc!$B$154:$B$165,0)),""),"")</f>
        <v/>
      </c>
      <c r="V6023" s="361"/>
      <c r="W6023" s="345"/>
      <c r="X6023" s="786"/>
      <c r="Y6023" s="1128" t="s">
        <v>3380</v>
      </c>
      <c r="Z6023" s="1128" t="s">
        <v>3381</v>
      </c>
      <c r="AA6023" s="1128" t="s">
        <v>3384</v>
      </c>
      <c r="AB6023" s="20"/>
      <c r="AC6023" s="73"/>
    </row>
    <row r="6024" spans="1:29">
      <c r="A6024" s="327" t="str">
        <f>IF(AND($B6024&lt;&gt;"",$C6024&lt;&gt;""),MAX($A$4730:$A6023)+1,"")</f>
        <v/>
      </c>
      <c r="B6024" s="361" t="s">
        <v>1958</v>
      </c>
      <c r="C6024" s="362"/>
      <c r="D6024" s="327">
        <f>IF($B6024="","",COUNTIF($B$4731:$B6024,$B6024))</f>
        <v>7</v>
      </c>
      <c r="E6024" s="361" t="s">
        <v>2771</v>
      </c>
      <c r="F6024" s="362" t="s">
        <v>659</v>
      </c>
      <c r="G6024" s="327" t="s">
        <v>424</v>
      </c>
      <c r="H6024" s="361" t="s">
        <v>536</v>
      </c>
      <c r="I6024" s="361" t="s">
        <v>666</v>
      </c>
      <c r="J6024" s="361"/>
      <c r="K6024" s="327" t="s">
        <v>100</v>
      </c>
      <c r="L6024" s="389">
        <v>53000</v>
      </c>
      <c r="M6024" s="355"/>
      <c r="N6024" s="355" t="s">
        <v>2409</v>
      </c>
      <c r="O6024" s="345"/>
      <c r="P6024" s="325"/>
      <c r="Q6024" s="327"/>
      <c r="R6024" s="351"/>
      <c r="S6024" s="351"/>
      <c r="T6024" s="351"/>
      <c r="U6024" s="329" t="str">
        <f>IF($N6024=$N$4,IFERROR(INDEX(DanhMuc!$E$154:$E$165,MATCH(MID($B6024,4,2),DanhMuc!$B$154:$B$165,0)),""),"")</f>
        <v/>
      </c>
      <c r="V6024" s="361"/>
      <c r="W6024" s="345"/>
      <c r="X6024" s="786"/>
      <c r="Y6024" s="1128" t="s">
        <v>3380</v>
      </c>
      <c r="Z6024" s="1128" t="s">
        <v>3381</v>
      </c>
      <c r="AA6024" s="1128" t="s">
        <v>3384</v>
      </c>
      <c r="AB6024" s="20"/>
      <c r="AC6024" s="73"/>
    </row>
    <row r="6025" spans="1:29">
      <c r="A6025" s="327" t="str">
        <f>IF(AND($B6025&lt;&gt;"",$C6025&lt;&gt;""),MAX($A$4730:$A6024)+1,"")</f>
        <v/>
      </c>
      <c r="B6025" s="361" t="s">
        <v>1958</v>
      </c>
      <c r="C6025" s="362"/>
      <c r="D6025" s="327">
        <f>IF($B6025="","",COUNTIF($B$4731:$B6025,$B6025))</f>
        <v>8</v>
      </c>
      <c r="E6025" s="361" t="s">
        <v>1828</v>
      </c>
      <c r="F6025" s="362" t="s">
        <v>671</v>
      </c>
      <c r="G6025" s="327" t="s">
        <v>661</v>
      </c>
      <c r="H6025" s="361" t="s">
        <v>536</v>
      </c>
      <c r="I6025" s="361" t="s">
        <v>2355</v>
      </c>
      <c r="J6025" s="361"/>
      <c r="K6025" s="327" t="s">
        <v>100</v>
      </c>
      <c r="L6025" s="478">
        <f>40000/1000</f>
        <v>40</v>
      </c>
      <c r="M6025" s="355"/>
      <c r="N6025" s="355" t="s">
        <v>2409</v>
      </c>
      <c r="O6025" s="345"/>
      <c r="P6025" s="325"/>
      <c r="Q6025" s="327"/>
      <c r="R6025" s="351"/>
      <c r="S6025" s="351"/>
      <c r="T6025" s="351"/>
      <c r="U6025" s="329" t="str">
        <f>IF($N6025=$N$4,IFERROR(INDEX(DanhMuc!$E$154:$E$165,MATCH(MID($B6025,4,2),DanhMuc!$B$154:$B$165,0)),""),"")</f>
        <v/>
      </c>
      <c r="V6025" s="361"/>
      <c r="W6025" s="345"/>
      <c r="X6025" s="786"/>
      <c r="Y6025" s="1128" t="s">
        <v>3380</v>
      </c>
      <c r="Z6025" s="1128" t="s">
        <v>3381</v>
      </c>
      <c r="AA6025" s="1128" t="s">
        <v>3384</v>
      </c>
      <c r="AB6025" s="20"/>
      <c r="AC6025" s="73"/>
    </row>
    <row r="6026" spans="1:29">
      <c r="A6026" s="327" t="str">
        <f>IF(AND($B6026&lt;&gt;"",$C6026&lt;&gt;""),MAX($A$4730:$A6025)+1,"")</f>
        <v/>
      </c>
      <c r="B6026" s="361" t="s">
        <v>1958</v>
      </c>
      <c r="C6026" s="362"/>
      <c r="D6026" s="327">
        <f>IF($B6026="","",COUNTIF($B$4731:$B6026,$B6026))</f>
        <v>9</v>
      </c>
      <c r="E6026" s="361" t="s">
        <v>154</v>
      </c>
      <c r="F6026" s="362" t="s">
        <v>660</v>
      </c>
      <c r="G6026" s="327" t="s">
        <v>661</v>
      </c>
      <c r="H6026" s="361" t="s">
        <v>536</v>
      </c>
      <c r="I6026" s="361" t="s">
        <v>667</v>
      </c>
      <c r="J6026" s="361"/>
      <c r="K6026" s="327" t="s">
        <v>662</v>
      </c>
      <c r="L6026" s="478">
        <v>20</v>
      </c>
      <c r="M6026" s="355"/>
      <c r="N6026" s="355" t="s">
        <v>2409</v>
      </c>
      <c r="O6026" s="345"/>
      <c r="P6026" s="325"/>
      <c r="Q6026" s="327"/>
      <c r="R6026" s="351"/>
      <c r="S6026" s="351"/>
      <c r="T6026" s="351"/>
      <c r="U6026" s="329" t="str">
        <f>IF($N6026=$N$4,IFERROR(INDEX(DanhMuc!$E$154:$E$165,MATCH(MID($B6026,4,2),DanhMuc!$B$154:$B$165,0)),""),"")</f>
        <v/>
      </c>
      <c r="V6026" s="361"/>
      <c r="W6026" s="345"/>
      <c r="X6026" s="786"/>
      <c r="Y6026" s="1128" t="s">
        <v>3380</v>
      </c>
      <c r="Z6026" s="1128" t="s">
        <v>3381</v>
      </c>
      <c r="AA6026" s="1128" t="s">
        <v>3384</v>
      </c>
      <c r="AB6026" s="20"/>
      <c r="AC6026" s="73"/>
    </row>
    <row r="6027" spans="1:29">
      <c r="A6027" s="327" t="str">
        <f>IF(AND($B6027&lt;&gt;"",$C6027&lt;&gt;""),MAX($A$4730:$A6026)+1,"")</f>
        <v/>
      </c>
      <c r="B6027" s="361" t="s">
        <v>1958</v>
      </c>
      <c r="C6027" s="362"/>
      <c r="D6027" s="327">
        <f>IF($B6027="","",COUNTIF($B$4731:$B6027,$B6027))</f>
        <v>10</v>
      </c>
      <c r="E6027" s="362" t="s">
        <v>2282</v>
      </c>
      <c r="F6027" s="362" t="s">
        <v>2283</v>
      </c>
      <c r="G6027" s="327" t="s">
        <v>424</v>
      </c>
      <c r="H6027" s="361" t="s">
        <v>536</v>
      </c>
      <c r="I6027" s="361" t="s">
        <v>2238</v>
      </c>
      <c r="J6027" s="361"/>
      <c r="K6027" s="327" t="s">
        <v>662</v>
      </c>
      <c r="L6027" s="478">
        <v>28000</v>
      </c>
      <c r="M6027" s="355"/>
      <c r="N6027" s="355" t="s">
        <v>2409</v>
      </c>
      <c r="O6027" s="345"/>
      <c r="P6027" s="325"/>
      <c r="Q6027" s="327"/>
      <c r="R6027" s="351"/>
      <c r="S6027" s="351"/>
      <c r="T6027" s="351"/>
      <c r="U6027" s="329" t="str">
        <f>IF($N6027=$N$4,IFERROR(INDEX(DanhMuc!$E$154:$E$165,MATCH(MID($B6027,4,2),DanhMuc!$B$154:$B$165,0)),""),"")</f>
        <v/>
      </c>
      <c r="V6027" s="361"/>
      <c r="W6027" s="345"/>
      <c r="X6027" s="786"/>
      <c r="Y6027" s="1128" t="s">
        <v>3380</v>
      </c>
      <c r="Z6027" s="1128" t="s">
        <v>3381</v>
      </c>
      <c r="AA6027" s="1128" t="s">
        <v>3384</v>
      </c>
      <c r="AB6027" s="20"/>
      <c r="AC6027" s="73"/>
    </row>
    <row r="6028" spans="1:29">
      <c r="A6028" s="327" t="str">
        <f>IF(AND($B6028&lt;&gt;"",$C6028&lt;&gt;""),MAX($A$4730:$A6027)+1,"")</f>
        <v/>
      </c>
      <c r="B6028" s="361" t="s">
        <v>1958</v>
      </c>
      <c r="C6028" s="362"/>
      <c r="D6028" s="327">
        <f>IF($B6028="","",COUNTIF($B$4731:$B6028,$B6028))</f>
        <v>11</v>
      </c>
      <c r="E6028" s="362" t="s">
        <v>663</v>
      </c>
      <c r="F6028" s="362" t="s">
        <v>664</v>
      </c>
      <c r="G6028" s="327" t="s">
        <v>155</v>
      </c>
      <c r="H6028" s="361" t="s">
        <v>536</v>
      </c>
      <c r="I6028" s="361" t="s">
        <v>672</v>
      </c>
      <c r="J6028" s="361"/>
      <c r="K6028" s="327" t="s">
        <v>662</v>
      </c>
      <c r="L6028" s="478">
        <v>1000</v>
      </c>
      <c r="M6028" s="355"/>
      <c r="N6028" s="355" t="s">
        <v>2409</v>
      </c>
      <c r="O6028" s="345"/>
      <c r="P6028" s="325"/>
      <c r="Q6028" s="327"/>
      <c r="R6028" s="351"/>
      <c r="S6028" s="351"/>
      <c r="T6028" s="351"/>
      <c r="U6028" s="329" t="str">
        <f>IF($N6028=$N$4,IFERROR(INDEX(DanhMuc!$E$154:$E$165,MATCH(MID($B6028,4,2),DanhMuc!$B$154:$B$165,0)),""),"")</f>
        <v/>
      </c>
      <c r="V6028" s="361"/>
      <c r="W6028" s="345"/>
      <c r="X6028" s="786"/>
      <c r="Y6028" s="1128" t="s">
        <v>3380</v>
      </c>
      <c r="Z6028" s="1128" t="s">
        <v>3381</v>
      </c>
      <c r="AA6028" s="1128" t="s">
        <v>3384</v>
      </c>
      <c r="AB6028" s="20"/>
      <c r="AC6028" s="73"/>
    </row>
    <row r="6029" spans="1:29" ht="26">
      <c r="A6029" s="327">
        <f>IF(AND($B6029&lt;&gt;"",$C6029&lt;&gt;""),MAX($A$4730:$A6017)+1,"")</f>
        <v>55</v>
      </c>
      <c r="B6029" s="359" t="s">
        <v>1158</v>
      </c>
      <c r="C6029" s="370" t="s">
        <v>1593</v>
      </c>
      <c r="D6029" s="327">
        <f>IF($B6029="","",COUNTIF($B$4731:$B6029,$B6029))</f>
        <v>1</v>
      </c>
      <c r="E6029" s="361" t="s">
        <v>1826</v>
      </c>
      <c r="F6029" s="362" t="s">
        <v>670</v>
      </c>
      <c r="G6029" s="327" t="s">
        <v>661</v>
      </c>
      <c r="H6029" s="361" t="s">
        <v>536</v>
      </c>
      <c r="I6029" s="361" t="s">
        <v>2354</v>
      </c>
      <c r="J6029" s="361"/>
      <c r="K6029" s="327" t="s">
        <v>103</v>
      </c>
      <c r="L6029" s="478">
        <f>40000/1000</f>
        <v>40</v>
      </c>
      <c r="M6029" s="355"/>
      <c r="N6029" s="355" t="s">
        <v>2408</v>
      </c>
      <c r="O6029" s="345"/>
      <c r="P6029" s="325"/>
      <c r="Q6029" s="327"/>
      <c r="R6029" s="351"/>
      <c r="S6029" s="351"/>
      <c r="T6029" s="351"/>
      <c r="U6029" s="329" t="str">
        <f>IF($N6029=$N$4,IFERROR(INDEX(DanhMuc!$E$154:$E$165,MATCH(MID($B6029,4,2),DanhMuc!$B$154:$B$165,0)),""),"")</f>
        <v/>
      </c>
      <c r="V6029" s="361"/>
      <c r="W6029" s="345"/>
      <c r="X6029" s="786"/>
      <c r="Y6029" s="1128" t="s">
        <v>3380</v>
      </c>
      <c r="Z6029" s="1128" t="s">
        <v>3381</v>
      </c>
      <c r="AA6029" s="1128" t="s">
        <v>3384</v>
      </c>
      <c r="AB6029" s="20"/>
      <c r="AC6029" s="73"/>
    </row>
    <row r="6030" spans="1:29" ht="25">
      <c r="A6030" s="327" t="str">
        <f>IF(AND($B6030&lt;&gt;"",$C6030&lt;&gt;""),MAX($A$4730:$A6029)+1,"")</f>
        <v/>
      </c>
      <c r="B6030" s="361" t="s">
        <v>1158</v>
      </c>
      <c r="C6030" s="362"/>
      <c r="D6030" s="327">
        <f>IF($B6030="","",COUNTIF($B$4731:$B6030,$B6030))</f>
        <v>2</v>
      </c>
      <c r="E6030" s="362" t="s">
        <v>1966</v>
      </c>
      <c r="F6030" s="362" t="s">
        <v>1967</v>
      </c>
      <c r="G6030" s="327" t="s">
        <v>405</v>
      </c>
      <c r="H6030" s="361" t="s">
        <v>536</v>
      </c>
      <c r="I6030" s="361" t="s">
        <v>1309</v>
      </c>
      <c r="J6030" s="361"/>
      <c r="K6030" s="327" t="s">
        <v>223</v>
      </c>
      <c r="L6030" s="389">
        <v>750</v>
      </c>
      <c r="M6030" s="371"/>
      <c r="N6030" s="355" t="s">
        <v>2408</v>
      </c>
      <c r="O6030" s="345"/>
      <c r="P6030" s="325"/>
      <c r="Q6030" s="327"/>
      <c r="R6030" s="351"/>
      <c r="S6030" s="351"/>
      <c r="T6030" s="351"/>
      <c r="U6030" s="329" t="str">
        <f>IF($N6030=$N$4,IFERROR(INDEX(DanhMuc!$E$154:$E$165,MATCH(MID($B6030,4,2),DanhMuc!$B$154:$B$165,0)),""),"")</f>
        <v/>
      </c>
      <c r="V6030" s="361"/>
      <c r="W6030" s="345"/>
      <c r="X6030" s="786"/>
      <c r="Y6030" s="1128" t="s">
        <v>3380</v>
      </c>
      <c r="Z6030" s="1128" t="s">
        <v>3381</v>
      </c>
      <c r="AA6030" s="1128" t="s">
        <v>3384</v>
      </c>
      <c r="AB6030" s="20"/>
      <c r="AC6030" s="73"/>
    </row>
    <row r="6031" spans="1:29" ht="37.5">
      <c r="A6031" s="327" t="str">
        <f>IF(AND($B6031&lt;&gt;"",$C6031&lt;&gt;""),MAX($A$4730:$A6030)+1,"")</f>
        <v/>
      </c>
      <c r="B6031" s="361" t="s">
        <v>1158</v>
      </c>
      <c r="C6031" s="362"/>
      <c r="D6031" s="327">
        <f>IF($B6031="","",COUNTIF($B$4731:$B6031,$B6031))</f>
        <v>3</v>
      </c>
      <c r="E6031" s="362" t="s">
        <v>1964</v>
      </c>
      <c r="F6031" s="362" t="s">
        <v>1965</v>
      </c>
      <c r="G6031" s="410" t="s">
        <v>405</v>
      </c>
      <c r="H6031" s="402" t="s">
        <v>536</v>
      </c>
      <c r="I6031" s="402" t="s">
        <v>1210</v>
      </c>
      <c r="J6031" s="402"/>
      <c r="K6031" s="410" t="s">
        <v>223</v>
      </c>
      <c r="L6031" s="478">
        <v>140</v>
      </c>
      <c r="M6031" s="371"/>
      <c r="N6031" s="355" t="s">
        <v>2408</v>
      </c>
      <c r="O6031" s="345"/>
      <c r="P6031" s="325"/>
      <c r="Q6031" s="327"/>
      <c r="R6031" s="351"/>
      <c r="S6031" s="351"/>
      <c r="T6031" s="351"/>
      <c r="U6031" s="329" t="str">
        <f>IF($N6031=$N$4,IFERROR(INDEX(DanhMuc!$E$154:$E$165,MATCH(MID($B6031,4,2),DanhMuc!$B$154:$B$165,0)),""),"")</f>
        <v/>
      </c>
      <c r="V6031" s="361"/>
      <c r="W6031" s="345"/>
      <c r="X6031" s="786"/>
      <c r="Y6031" s="1128" t="s">
        <v>3380</v>
      </c>
      <c r="Z6031" s="1128" t="s">
        <v>3381</v>
      </c>
      <c r="AA6031" s="1128" t="s">
        <v>3384</v>
      </c>
      <c r="AB6031" s="20"/>
      <c r="AC6031" s="73"/>
    </row>
    <row r="6032" spans="1:29" ht="25">
      <c r="A6032" s="327" t="str">
        <f>IF(AND($B6032&lt;&gt;"",$C6032&lt;&gt;""),MAX($A$4730:$A6031)+1,"")</f>
        <v/>
      </c>
      <c r="B6032" s="361" t="s">
        <v>1158</v>
      </c>
      <c r="C6032" s="362"/>
      <c r="D6032" s="327">
        <f>IF($B6032="","",COUNTIF($B$4731:$B6032,$B6032))</f>
        <v>4</v>
      </c>
      <c r="E6032" s="362" t="s">
        <v>1847</v>
      </c>
      <c r="F6032" s="403" t="s">
        <v>1848</v>
      </c>
      <c r="G6032" s="410" t="s">
        <v>405</v>
      </c>
      <c r="H6032" s="402" t="s">
        <v>536</v>
      </c>
      <c r="I6032" s="361" t="s">
        <v>1458</v>
      </c>
      <c r="J6032" s="361"/>
      <c r="K6032" s="327"/>
      <c r="L6032" s="389">
        <v>140</v>
      </c>
      <c r="M6032" s="371"/>
      <c r="N6032" s="355" t="s">
        <v>2408</v>
      </c>
      <c r="O6032" s="345"/>
      <c r="P6032" s="325"/>
      <c r="Q6032" s="327"/>
      <c r="R6032" s="351"/>
      <c r="S6032" s="351"/>
      <c r="T6032" s="351"/>
      <c r="U6032" s="329" t="str">
        <f>IF($N6032=$N$4,IFERROR(INDEX(DanhMuc!$E$154:$E$165,MATCH(MID($B6032,4,2),DanhMuc!$B$154:$B$165,0)),""),"")</f>
        <v/>
      </c>
      <c r="V6032" s="361"/>
      <c r="W6032" s="345"/>
      <c r="X6032" s="786"/>
      <c r="Y6032" s="1128" t="s">
        <v>3380</v>
      </c>
      <c r="Z6032" s="1128" t="s">
        <v>3381</v>
      </c>
      <c r="AA6032" s="1128" t="s">
        <v>3384</v>
      </c>
      <c r="AB6032" s="20"/>
      <c r="AC6032" s="73"/>
    </row>
    <row r="6033" spans="1:29">
      <c r="A6033" s="327" t="str">
        <f>IF(AND($B6033&lt;&gt;"",$C6033&lt;&gt;""),MAX($A$4730:$A6032)+1,"")</f>
        <v/>
      </c>
      <c r="B6033" s="361" t="s">
        <v>1158</v>
      </c>
      <c r="C6033" s="362"/>
      <c r="D6033" s="327">
        <f>IF($B6033="","",COUNTIF($B$4731:$B6033,$B6033))</f>
        <v>5</v>
      </c>
      <c r="E6033" s="361" t="s">
        <v>656</v>
      </c>
      <c r="F6033" s="362" t="s">
        <v>2239</v>
      </c>
      <c r="G6033" s="327" t="s">
        <v>405</v>
      </c>
      <c r="H6033" s="361" t="s">
        <v>536</v>
      </c>
      <c r="I6033" s="361" t="s">
        <v>1827</v>
      </c>
      <c r="J6033" s="361"/>
      <c r="K6033" s="327" t="s">
        <v>100</v>
      </c>
      <c r="L6033" s="478">
        <v>970</v>
      </c>
      <c r="M6033" s="371"/>
      <c r="N6033" s="355" t="s">
        <v>2409</v>
      </c>
      <c r="O6033" s="345"/>
      <c r="P6033" s="325"/>
      <c r="Q6033" s="327"/>
      <c r="R6033" s="351"/>
      <c r="S6033" s="351"/>
      <c r="T6033" s="351"/>
      <c r="U6033" s="329" t="str">
        <f>IF($N6033=$N$4,IFERROR(INDEX(DanhMuc!$E$154:$E$165,MATCH(MID($B6033,4,2),DanhMuc!$B$154:$B$165,0)),""),"")</f>
        <v/>
      </c>
      <c r="V6033" s="361"/>
      <c r="W6033" s="345"/>
      <c r="X6033" s="786"/>
      <c r="Y6033" s="1128" t="s">
        <v>3380</v>
      </c>
      <c r="Z6033" s="1128" t="s">
        <v>3381</v>
      </c>
      <c r="AA6033" s="1128" t="s">
        <v>3384</v>
      </c>
      <c r="AB6033" s="20"/>
      <c r="AC6033" s="73"/>
    </row>
    <row r="6034" spans="1:29">
      <c r="A6034" s="327" t="str">
        <f>IF(AND($B6034&lt;&gt;"",$C6034&lt;&gt;""),MAX($A$4730:$A6033)+1,"")</f>
        <v/>
      </c>
      <c r="B6034" s="361" t="s">
        <v>1158</v>
      </c>
      <c r="C6034" s="362"/>
      <c r="D6034" s="327">
        <f>IF($B6034="","",COUNTIF($B$4731:$B6034,$B6034))</f>
        <v>6</v>
      </c>
      <c r="E6034" s="361" t="s">
        <v>657</v>
      </c>
      <c r="F6034" s="362" t="s">
        <v>658</v>
      </c>
      <c r="G6034" s="327" t="s">
        <v>424</v>
      </c>
      <c r="H6034" s="361" t="s">
        <v>536</v>
      </c>
      <c r="I6034" s="361" t="s">
        <v>665</v>
      </c>
      <c r="J6034" s="361"/>
      <c r="K6034" s="327" t="s">
        <v>100</v>
      </c>
      <c r="L6034" s="478">
        <v>60000</v>
      </c>
      <c r="M6034" s="355"/>
      <c r="N6034" s="355" t="s">
        <v>2409</v>
      </c>
      <c r="O6034" s="345"/>
      <c r="P6034" s="325"/>
      <c r="Q6034" s="327"/>
      <c r="R6034" s="351"/>
      <c r="S6034" s="351"/>
      <c r="T6034" s="351"/>
      <c r="U6034" s="329" t="str">
        <f>IF($N6034=$N$4,IFERROR(INDEX(DanhMuc!$E$154:$E$165,MATCH(MID($B6034,4,2),DanhMuc!$B$154:$B$165,0)),""),"")</f>
        <v/>
      </c>
      <c r="V6034" s="361"/>
      <c r="W6034" s="345"/>
      <c r="X6034" s="786"/>
      <c r="Y6034" s="1128" t="s">
        <v>3380</v>
      </c>
      <c r="Z6034" s="1128" t="s">
        <v>3381</v>
      </c>
      <c r="AA6034" s="1128" t="s">
        <v>3384</v>
      </c>
      <c r="AB6034" s="20"/>
      <c r="AC6034" s="73"/>
    </row>
    <row r="6035" spans="1:29">
      <c r="A6035" s="327" t="str">
        <f>IF(AND($B6035&lt;&gt;"",$C6035&lt;&gt;""),MAX($A$4730:$A6034)+1,"")</f>
        <v/>
      </c>
      <c r="B6035" s="361" t="s">
        <v>1158</v>
      </c>
      <c r="C6035" s="362"/>
      <c r="D6035" s="327">
        <f>IF($B6035="","",COUNTIF($B$4731:$B6035,$B6035))</f>
        <v>7</v>
      </c>
      <c r="E6035" s="361" t="s">
        <v>2771</v>
      </c>
      <c r="F6035" s="362" t="s">
        <v>659</v>
      </c>
      <c r="G6035" s="327" t="s">
        <v>424</v>
      </c>
      <c r="H6035" s="361" t="s">
        <v>536</v>
      </c>
      <c r="I6035" s="361" t="s">
        <v>666</v>
      </c>
      <c r="J6035" s="361"/>
      <c r="K6035" s="327" t="s">
        <v>100</v>
      </c>
      <c r="L6035" s="389">
        <v>53000</v>
      </c>
      <c r="M6035" s="355"/>
      <c r="N6035" s="355" t="s">
        <v>2409</v>
      </c>
      <c r="O6035" s="345"/>
      <c r="P6035" s="325"/>
      <c r="Q6035" s="327"/>
      <c r="R6035" s="351"/>
      <c r="S6035" s="351"/>
      <c r="T6035" s="351"/>
      <c r="U6035" s="329" t="str">
        <f>IF($N6035=$N$4,IFERROR(INDEX(DanhMuc!$E$154:$E$165,MATCH(MID($B6035,4,2),DanhMuc!$B$154:$B$165,0)),""),"")</f>
        <v/>
      </c>
      <c r="V6035" s="361"/>
      <c r="W6035" s="345"/>
      <c r="X6035" s="786"/>
      <c r="Y6035" s="1128" t="s">
        <v>3380</v>
      </c>
      <c r="Z6035" s="1128" t="s">
        <v>3381</v>
      </c>
      <c r="AA6035" s="1128" t="s">
        <v>3384</v>
      </c>
      <c r="AB6035" s="20"/>
      <c r="AC6035" s="73"/>
    </row>
    <row r="6036" spans="1:29">
      <c r="A6036" s="327" t="str">
        <f>IF(AND($B6036&lt;&gt;"",$C6036&lt;&gt;""),MAX($A$4730:$A6035)+1,"")</f>
        <v/>
      </c>
      <c r="B6036" s="361" t="s">
        <v>1158</v>
      </c>
      <c r="C6036" s="362"/>
      <c r="D6036" s="327">
        <f>IF($B6036="","",COUNTIF($B$4731:$B6036,$B6036))</f>
        <v>8</v>
      </c>
      <c r="E6036" s="361" t="s">
        <v>1828</v>
      </c>
      <c r="F6036" s="362" t="s">
        <v>671</v>
      </c>
      <c r="G6036" s="327" t="s">
        <v>661</v>
      </c>
      <c r="H6036" s="361" t="s">
        <v>536</v>
      </c>
      <c r="I6036" s="361" t="s">
        <v>2355</v>
      </c>
      <c r="J6036" s="361"/>
      <c r="K6036" s="327" t="s">
        <v>100</v>
      </c>
      <c r="L6036" s="478">
        <f>40000/1000</f>
        <v>40</v>
      </c>
      <c r="M6036" s="355"/>
      <c r="N6036" s="355" t="s">
        <v>2409</v>
      </c>
      <c r="O6036" s="345"/>
      <c r="P6036" s="325"/>
      <c r="Q6036" s="327"/>
      <c r="R6036" s="351"/>
      <c r="S6036" s="351"/>
      <c r="T6036" s="351"/>
      <c r="U6036" s="329" t="str">
        <f>IF($N6036=$N$4,IFERROR(INDEX(DanhMuc!$E$154:$E$165,MATCH(MID($B6036,4,2),DanhMuc!$B$154:$B$165,0)),""),"")</f>
        <v/>
      </c>
      <c r="V6036" s="361"/>
      <c r="W6036" s="345"/>
      <c r="X6036" s="786"/>
      <c r="Y6036" s="1128" t="s">
        <v>3380</v>
      </c>
      <c r="Z6036" s="1128" t="s">
        <v>3381</v>
      </c>
      <c r="AA6036" s="1128" t="s">
        <v>3384</v>
      </c>
      <c r="AB6036" s="20"/>
      <c r="AC6036" s="73"/>
    </row>
    <row r="6037" spans="1:29">
      <c r="A6037" s="327" t="str">
        <f>IF(AND($B6037&lt;&gt;"",$C6037&lt;&gt;""),MAX($A$4730:$A6036)+1,"")</f>
        <v/>
      </c>
      <c r="B6037" s="361" t="s">
        <v>1158</v>
      </c>
      <c r="C6037" s="362"/>
      <c r="D6037" s="327">
        <f>IF($B6037="","",COUNTIF($B$4731:$B6037,$B6037))</f>
        <v>9</v>
      </c>
      <c r="E6037" s="361" t="s">
        <v>154</v>
      </c>
      <c r="F6037" s="362" t="s">
        <v>660</v>
      </c>
      <c r="G6037" s="327" t="s">
        <v>661</v>
      </c>
      <c r="H6037" s="361" t="s">
        <v>536</v>
      </c>
      <c r="I6037" s="361" t="s">
        <v>667</v>
      </c>
      <c r="J6037" s="361"/>
      <c r="K6037" s="327" t="s">
        <v>662</v>
      </c>
      <c r="L6037" s="478">
        <v>20</v>
      </c>
      <c r="M6037" s="355"/>
      <c r="N6037" s="355" t="s">
        <v>2409</v>
      </c>
      <c r="O6037" s="345"/>
      <c r="P6037" s="325"/>
      <c r="Q6037" s="327"/>
      <c r="R6037" s="351"/>
      <c r="S6037" s="351"/>
      <c r="T6037" s="351"/>
      <c r="U6037" s="329" t="str">
        <f>IF($N6037=$N$4,IFERROR(INDEX(DanhMuc!$E$154:$E$165,MATCH(MID($B6037,4,2),DanhMuc!$B$154:$B$165,0)),""),"")</f>
        <v/>
      </c>
      <c r="V6037" s="361"/>
      <c r="W6037" s="345"/>
      <c r="X6037" s="786"/>
      <c r="Y6037" s="1128" t="s">
        <v>3380</v>
      </c>
      <c r="Z6037" s="1128" t="s">
        <v>3381</v>
      </c>
      <c r="AA6037" s="1128" t="s">
        <v>3384</v>
      </c>
      <c r="AB6037" s="20"/>
      <c r="AC6037" s="73"/>
    </row>
    <row r="6038" spans="1:29">
      <c r="A6038" s="327" t="str">
        <f>IF(AND($B6038&lt;&gt;"",$C6038&lt;&gt;""),MAX($A$4730:$A6037)+1,"")</f>
        <v/>
      </c>
      <c r="B6038" s="361" t="s">
        <v>1158</v>
      </c>
      <c r="C6038" s="362"/>
      <c r="D6038" s="327">
        <f>IF($B6038="","",COUNTIF($B$4731:$B6038,$B6038))</f>
        <v>10</v>
      </c>
      <c r="E6038" s="362" t="s">
        <v>2282</v>
      </c>
      <c r="F6038" s="362" t="s">
        <v>2283</v>
      </c>
      <c r="G6038" s="327" t="s">
        <v>424</v>
      </c>
      <c r="H6038" s="361" t="s">
        <v>536</v>
      </c>
      <c r="I6038" s="361" t="s">
        <v>2238</v>
      </c>
      <c r="J6038" s="361"/>
      <c r="K6038" s="327" t="s">
        <v>662</v>
      </c>
      <c r="L6038" s="478">
        <v>28000</v>
      </c>
      <c r="M6038" s="355"/>
      <c r="N6038" s="355" t="s">
        <v>2409</v>
      </c>
      <c r="O6038" s="345"/>
      <c r="P6038" s="325"/>
      <c r="Q6038" s="327"/>
      <c r="R6038" s="351"/>
      <c r="S6038" s="351"/>
      <c r="T6038" s="351"/>
      <c r="U6038" s="329" t="str">
        <f>IF($N6038=$N$4,IFERROR(INDEX(DanhMuc!$E$154:$E$165,MATCH(MID($B6038,4,2),DanhMuc!$B$154:$B$165,0)),""),"")</f>
        <v/>
      </c>
      <c r="V6038" s="361"/>
      <c r="W6038" s="345"/>
      <c r="X6038" s="786"/>
      <c r="Y6038" s="1128" t="s">
        <v>3380</v>
      </c>
      <c r="Z6038" s="1128" t="s">
        <v>3381</v>
      </c>
      <c r="AA6038" s="1128" t="s">
        <v>3384</v>
      </c>
      <c r="AB6038" s="20"/>
      <c r="AC6038" s="73"/>
    </row>
    <row r="6039" spans="1:29">
      <c r="A6039" s="327" t="str">
        <f>IF(AND($B6039&lt;&gt;"",$C6039&lt;&gt;""),MAX($A$4730:$A6038)+1,"")</f>
        <v/>
      </c>
      <c r="B6039" s="361" t="s">
        <v>1158</v>
      </c>
      <c r="C6039" s="362"/>
      <c r="D6039" s="327">
        <f>IF($B6039="","",COUNTIF($B$4731:$B6039,$B6039))</f>
        <v>11</v>
      </c>
      <c r="E6039" s="362" t="s">
        <v>663</v>
      </c>
      <c r="F6039" s="362" t="s">
        <v>664</v>
      </c>
      <c r="G6039" s="327" t="s">
        <v>155</v>
      </c>
      <c r="H6039" s="361" t="s">
        <v>536</v>
      </c>
      <c r="I6039" s="361" t="s">
        <v>672</v>
      </c>
      <c r="J6039" s="361"/>
      <c r="K6039" s="327" t="s">
        <v>662</v>
      </c>
      <c r="L6039" s="478">
        <v>1000</v>
      </c>
      <c r="M6039" s="355"/>
      <c r="N6039" s="355" t="s">
        <v>2409</v>
      </c>
      <c r="O6039" s="345"/>
      <c r="P6039" s="325"/>
      <c r="Q6039" s="327"/>
      <c r="R6039" s="351"/>
      <c r="S6039" s="351"/>
      <c r="T6039" s="351"/>
      <c r="U6039" s="329" t="str">
        <f>IF($N6039=$N$4,IFERROR(INDEX(DanhMuc!$E$154:$E$165,MATCH(MID($B6039,4,2),DanhMuc!$B$154:$B$165,0)),""),"")</f>
        <v/>
      </c>
      <c r="V6039" s="361"/>
      <c r="W6039" s="345"/>
      <c r="X6039" s="786"/>
      <c r="Y6039" s="1128" t="s">
        <v>3380</v>
      </c>
      <c r="Z6039" s="1128" t="s">
        <v>3381</v>
      </c>
      <c r="AA6039" s="1128" t="s">
        <v>3384</v>
      </c>
      <c r="AB6039" s="20"/>
      <c r="AC6039" s="73"/>
    </row>
    <row r="6040" spans="1:29" ht="39">
      <c r="A6040" s="327">
        <f>IF(AND($B6040&lt;&gt;"",$C6040&lt;&gt;""),MAX($A$4730:$A6039)+1,"")</f>
        <v>56</v>
      </c>
      <c r="B6040" s="359" t="s">
        <v>1165</v>
      </c>
      <c r="C6040" s="370" t="s">
        <v>1579</v>
      </c>
      <c r="D6040" s="327">
        <f>IF($B6040="","",COUNTIF($B$4731:$B6040,$B6040))</f>
        <v>1</v>
      </c>
      <c r="E6040" s="361" t="s">
        <v>1826</v>
      </c>
      <c r="F6040" s="362" t="s">
        <v>670</v>
      </c>
      <c r="G6040" s="327" t="s">
        <v>661</v>
      </c>
      <c r="H6040" s="361" t="s">
        <v>536</v>
      </c>
      <c r="I6040" s="361" t="s">
        <v>2354</v>
      </c>
      <c r="J6040" s="361"/>
      <c r="K6040" s="327" t="s">
        <v>103</v>
      </c>
      <c r="L6040" s="478">
        <f>40000/1000</f>
        <v>40</v>
      </c>
      <c r="M6040" s="355"/>
      <c r="N6040" s="355" t="s">
        <v>2408</v>
      </c>
      <c r="O6040" s="345"/>
      <c r="P6040" s="325"/>
      <c r="Q6040" s="327"/>
      <c r="R6040" s="351"/>
      <c r="S6040" s="351"/>
      <c r="T6040" s="351"/>
      <c r="U6040" s="329" t="str">
        <f>IF($N6040=$N$4,IFERROR(INDEX(DanhMuc!$E$154:$E$165,MATCH(MID($B6040,4,2),DanhMuc!$B$154:$B$165,0)),""),"")</f>
        <v/>
      </c>
      <c r="V6040" s="361"/>
      <c r="W6040" s="345"/>
      <c r="X6040" s="786"/>
      <c r="Y6040" s="1128" t="s">
        <v>3380</v>
      </c>
      <c r="Z6040" s="1128" t="s">
        <v>3381</v>
      </c>
      <c r="AA6040" s="1128" t="s">
        <v>3384</v>
      </c>
      <c r="AB6040" s="20"/>
      <c r="AC6040" s="73"/>
    </row>
    <row r="6041" spans="1:29" ht="25">
      <c r="A6041" s="327" t="str">
        <f>IF(AND($B6041&lt;&gt;"",$C6041&lt;&gt;""),MAX($A$4730:$A6040)+1,"")</f>
        <v/>
      </c>
      <c r="B6041" s="361" t="s">
        <v>1165</v>
      </c>
      <c r="C6041" s="362"/>
      <c r="D6041" s="327">
        <f>IF($B6041="","",COUNTIF($B$4731:$B6041,$B6041))</f>
        <v>2</v>
      </c>
      <c r="E6041" s="362" t="s">
        <v>1966</v>
      </c>
      <c r="F6041" s="362" t="s">
        <v>1967</v>
      </c>
      <c r="G6041" s="327" t="s">
        <v>405</v>
      </c>
      <c r="H6041" s="361" t="s">
        <v>536</v>
      </c>
      <c r="I6041" s="361" t="s">
        <v>1309</v>
      </c>
      <c r="J6041" s="361"/>
      <c r="K6041" s="327" t="s">
        <v>223</v>
      </c>
      <c r="L6041" s="389">
        <v>750</v>
      </c>
      <c r="M6041" s="371"/>
      <c r="N6041" s="355" t="s">
        <v>2408</v>
      </c>
      <c r="O6041" s="345"/>
      <c r="P6041" s="325"/>
      <c r="Q6041" s="327"/>
      <c r="R6041" s="351"/>
      <c r="S6041" s="351"/>
      <c r="T6041" s="351"/>
      <c r="U6041" s="329" t="str">
        <f>IF($N6041=$N$4,IFERROR(INDEX(DanhMuc!$E$154:$E$165,MATCH(MID($B6041,4,2),DanhMuc!$B$154:$B$165,0)),""),"")</f>
        <v/>
      </c>
      <c r="V6041" s="361"/>
      <c r="W6041" s="345"/>
      <c r="X6041" s="786"/>
      <c r="Y6041" s="1128" t="s">
        <v>3380</v>
      </c>
      <c r="Z6041" s="1128" t="s">
        <v>3381</v>
      </c>
      <c r="AA6041" s="1128" t="s">
        <v>3384</v>
      </c>
      <c r="AB6041" s="20"/>
      <c r="AC6041" s="73"/>
    </row>
    <row r="6042" spans="1:29" ht="37.5">
      <c r="A6042" s="327" t="str">
        <f>IF(AND($B6042&lt;&gt;"",$C6042&lt;&gt;""),MAX($A$4730:$A6041)+1,"")</f>
        <v/>
      </c>
      <c r="B6042" s="361" t="s">
        <v>1165</v>
      </c>
      <c r="C6042" s="362"/>
      <c r="D6042" s="327">
        <f>IF($B6042="","",COUNTIF($B$4731:$B6042,$B6042))</f>
        <v>3</v>
      </c>
      <c r="E6042" s="362" t="s">
        <v>1964</v>
      </c>
      <c r="F6042" s="362" t="s">
        <v>1965</v>
      </c>
      <c r="G6042" s="410" t="s">
        <v>405</v>
      </c>
      <c r="H6042" s="402" t="s">
        <v>536</v>
      </c>
      <c r="I6042" s="402" t="s">
        <v>1210</v>
      </c>
      <c r="J6042" s="402"/>
      <c r="K6042" s="410" t="s">
        <v>223</v>
      </c>
      <c r="L6042" s="478">
        <v>140</v>
      </c>
      <c r="M6042" s="371"/>
      <c r="N6042" s="355" t="s">
        <v>2408</v>
      </c>
      <c r="O6042" s="345"/>
      <c r="P6042" s="325"/>
      <c r="Q6042" s="327"/>
      <c r="R6042" s="351"/>
      <c r="S6042" s="351"/>
      <c r="T6042" s="351"/>
      <c r="U6042" s="329" t="str">
        <f>IF($N6042=$N$4,IFERROR(INDEX(DanhMuc!$E$154:$E$165,MATCH(MID($B6042,4,2),DanhMuc!$B$154:$B$165,0)),""),"")</f>
        <v/>
      </c>
      <c r="V6042" s="361"/>
      <c r="W6042" s="345"/>
      <c r="X6042" s="786"/>
      <c r="Y6042" s="1128" t="s">
        <v>3380</v>
      </c>
      <c r="Z6042" s="1128" t="s">
        <v>3381</v>
      </c>
      <c r="AA6042" s="1128" t="s">
        <v>3384</v>
      </c>
      <c r="AB6042" s="20"/>
      <c r="AC6042" s="73"/>
    </row>
    <row r="6043" spans="1:29">
      <c r="A6043" s="327" t="str">
        <f>IF(AND($B6043&lt;&gt;"",$C6043&lt;&gt;""),MAX($A$4730:$A6042)+1,"")</f>
        <v/>
      </c>
      <c r="B6043" s="361" t="s">
        <v>1165</v>
      </c>
      <c r="C6043" s="362"/>
      <c r="D6043" s="327">
        <f>IF($B6043="","",COUNTIF($B$4731:$B6043,$B6043))</f>
        <v>4</v>
      </c>
      <c r="E6043" s="361" t="s">
        <v>656</v>
      </c>
      <c r="F6043" s="362" t="s">
        <v>2239</v>
      </c>
      <c r="G6043" s="327" t="s">
        <v>405</v>
      </c>
      <c r="H6043" s="361" t="s">
        <v>536</v>
      </c>
      <c r="I6043" s="361" t="s">
        <v>1827</v>
      </c>
      <c r="J6043" s="361"/>
      <c r="K6043" s="327" t="s">
        <v>100</v>
      </c>
      <c r="L6043" s="478">
        <v>970</v>
      </c>
      <c r="M6043" s="371"/>
      <c r="N6043" s="355" t="s">
        <v>2409</v>
      </c>
      <c r="O6043" s="345"/>
      <c r="P6043" s="325"/>
      <c r="Q6043" s="327"/>
      <c r="R6043" s="351"/>
      <c r="S6043" s="351"/>
      <c r="T6043" s="351"/>
      <c r="U6043" s="329" t="str">
        <f>IF($N6043=$N$4,IFERROR(INDEX(DanhMuc!$E$154:$E$165,MATCH(MID($B6043,4,2),DanhMuc!$B$154:$B$165,0)),""),"")</f>
        <v/>
      </c>
      <c r="V6043" s="361"/>
      <c r="W6043" s="345"/>
      <c r="X6043" s="786"/>
      <c r="Y6043" s="1128" t="s">
        <v>3380</v>
      </c>
      <c r="Z6043" s="1128" t="s">
        <v>3381</v>
      </c>
      <c r="AA6043" s="1128" t="s">
        <v>3384</v>
      </c>
      <c r="AB6043" s="20"/>
      <c r="AC6043" s="73"/>
    </row>
    <row r="6044" spans="1:29">
      <c r="A6044" s="327" t="str">
        <f>IF(AND($B6044&lt;&gt;"",$C6044&lt;&gt;""),MAX($A$4730:$A6043)+1,"")</f>
        <v/>
      </c>
      <c r="B6044" s="361" t="s">
        <v>1165</v>
      </c>
      <c r="C6044" s="362"/>
      <c r="D6044" s="327">
        <f>IF($B6044="","",COUNTIF($B$4731:$B6044,$B6044))</f>
        <v>5</v>
      </c>
      <c r="E6044" s="361" t="s">
        <v>657</v>
      </c>
      <c r="F6044" s="362" t="s">
        <v>658</v>
      </c>
      <c r="G6044" s="327" t="s">
        <v>424</v>
      </c>
      <c r="H6044" s="361" t="s">
        <v>536</v>
      </c>
      <c r="I6044" s="361" t="s">
        <v>665</v>
      </c>
      <c r="J6044" s="361"/>
      <c r="K6044" s="327" t="s">
        <v>100</v>
      </c>
      <c r="L6044" s="478">
        <v>60000</v>
      </c>
      <c r="M6044" s="355"/>
      <c r="N6044" s="355" t="s">
        <v>2409</v>
      </c>
      <c r="O6044" s="345"/>
      <c r="P6044" s="325"/>
      <c r="Q6044" s="327"/>
      <c r="R6044" s="351"/>
      <c r="S6044" s="351"/>
      <c r="T6044" s="351"/>
      <c r="U6044" s="329" t="str">
        <f>IF($N6044=$N$4,IFERROR(INDEX(DanhMuc!$E$154:$E$165,MATCH(MID($B6044,4,2),DanhMuc!$B$154:$B$165,0)),""),"")</f>
        <v/>
      </c>
      <c r="V6044" s="361"/>
      <c r="W6044" s="345"/>
      <c r="X6044" s="786"/>
      <c r="Y6044" s="1128" t="s">
        <v>3380</v>
      </c>
      <c r="Z6044" s="1128" t="s">
        <v>3381</v>
      </c>
      <c r="AA6044" s="1128" t="s">
        <v>3384</v>
      </c>
      <c r="AB6044" s="20"/>
      <c r="AC6044" s="73"/>
    </row>
    <row r="6045" spans="1:29">
      <c r="A6045" s="327" t="str">
        <f>IF(AND($B6045&lt;&gt;"",$C6045&lt;&gt;""),MAX($A$4730:$A6044)+1,"")</f>
        <v/>
      </c>
      <c r="B6045" s="361" t="s">
        <v>1165</v>
      </c>
      <c r="C6045" s="362"/>
      <c r="D6045" s="327">
        <f>IF($B6045="","",COUNTIF($B$4731:$B6045,$B6045))</f>
        <v>6</v>
      </c>
      <c r="E6045" s="361" t="s">
        <v>2771</v>
      </c>
      <c r="F6045" s="362" t="s">
        <v>659</v>
      </c>
      <c r="G6045" s="327" t="s">
        <v>424</v>
      </c>
      <c r="H6045" s="361" t="s">
        <v>536</v>
      </c>
      <c r="I6045" s="361" t="s">
        <v>666</v>
      </c>
      <c r="J6045" s="361"/>
      <c r="K6045" s="327" t="s">
        <v>100</v>
      </c>
      <c r="L6045" s="389">
        <v>53000</v>
      </c>
      <c r="M6045" s="355"/>
      <c r="N6045" s="355" t="s">
        <v>2409</v>
      </c>
      <c r="O6045" s="345"/>
      <c r="P6045" s="325"/>
      <c r="Q6045" s="327"/>
      <c r="R6045" s="351"/>
      <c r="S6045" s="351"/>
      <c r="T6045" s="351"/>
      <c r="U6045" s="329" t="str">
        <f>IF($N6045=$N$4,IFERROR(INDEX(DanhMuc!$E$154:$E$165,MATCH(MID($B6045,4,2),DanhMuc!$B$154:$B$165,0)),""),"")</f>
        <v/>
      </c>
      <c r="V6045" s="361"/>
      <c r="W6045" s="345"/>
      <c r="X6045" s="786"/>
      <c r="Y6045" s="1128" t="s">
        <v>3380</v>
      </c>
      <c r="Z6045" s="1128" t="s">
        <v>3381</v>
      </c>
      <c r="AA6045" s="1128" t="s">
        <v>3384</v>
      </c>
      <c r="AB6045" s="20"/>
      <c r="AC6045" s="73"/>
    </row>
    <row r="6046" spans="1:29">
      <c r="A6046" s="327" t="str">
        <f>IF(AND($B6046&lt;&gt;"",$C6046&lt;&gt;""),MAX($A$4730:$A6045)+1,"")</f>
        <v/>
      </c>
      <c r="B6046" s="361" t="s">
        <v>1165</v>
      </c>
      <c r="C6046" s="362"/>
      <c r="D6046" s="327">
        <f>IF($B6046="","",COUNTIF($B$4731:$B6046,$B6046))</f>
        <v>7</v>
      </c>
      <c r="E6046" s="361" t="s">
        <v>1828</v>
      </c>
      <c r="F6046" s="362" t="s">
        <v>671</v>
      </c>
      <c r="G6046" s="327" t="s">
        <v>661</v>
      </c>
      <c r="H6046" s="361" t="s">
        <v>536</v>
      </c>
      <c r="I6046" s="361" t="s">
        <v>2355</v>
      </c>
      <c r="J6046" s="361"/>
      <c r="K6046" s="327" t="s">
        <v>100</v>
      </c>
      <c r="L6046" s="478">
        <f>40000/1000</f>
        <v>40</v>
      </c>
      <c r="M6046" s="355"/>
      <c r="N6046" s="355" t="s">
        <v>2409</v>
      </c>
      <c r="O6046" s="345"/>
      <c r="P6046" s="325"/>
      <c r="Q6046" s="327"/>
      <c r="R6046" s="351"/>
      <c r="S6046" s="351"/>
      <c r="T6046" s="351"/>
      <c r="U6046" s="329" t="str">
        <f>IF($N6046=$N$4,IFERROR(INDEX(DanhMuc!$E$154:$E$165,MATCH(MID($B6046,4,2),DanhMuc!$B$154:$B$165,0)),""),"")</f>
        <v/>
      </c>
      <c r="V6046" s="361"/>
      <c r="W6046" s="345"/>
      <c r="X6046" s="786"/>
      <c r="Y6046" s="1128" t="s">
        <v>3380</v>
      </c>
      <c r="Z6046" s="1128" t="s">
        <v>3381</v>
      </c>
      <c r="AA6046" s="1128" t="s">
        <v>3384</v>
      </c>
      <c r="AB6046" s="20"/>
      <c r="AC6046" s="73"/>
    </row>
    <row r="6047" spans="1:29">
      <c r="A6047" s="327" t="str">
        <f>IF(AND($B6047&lt;&gt;"",$C6047&lt;&gt;""),MAX($A$4730:$A6046)+1,"")</f>
        <v/>
      </c>
      <c r="B6047" s="361" t="s">
        <v>1165</v>
      </c>
      <c r="C6047" s="362"/>
      <c r="D6047" s="327">
        <f>IF($B6047="","",COUNTIF($B$4731:$B6047,$B6047))</f>
        <v>8</v>
      </c>
      <c r="E6047" s="361" t="s">
        <v>154</v>
      </c>
      <c r="F6047" s="362" t="s">
        <v>660</v>
      </c>
      <c r="G6047" s="327" t="s">
        <v>661</v>
      </c>
      <c r="H6047" s="361" t="s">
        <v>536</v>
      </c>
      <c r="I6047" s="361" t="s">
        <v>667</v>
      </c>
      <c r="J6047" s="361"/>
      <c r="K6047" s="327" t="s">
        <v>662</v>
      </c>
      <c r="L6047" s="478">
        <v>20</v>
      </c>
      <c r="M6047" s="355"/>
      <c r="N6047" s="355" t="s">
        <v>2409</v>
      </c>
      <c r="O6047" s="345"/>
      <c r="P6047" s="325"/>
      <c r="Q6047" s="327"/>
      <c r="R6047" s="351"/>
      <c r="S6047" s="351"/>
      <c r="T6047" s="351"/>
      <c r="U6047" s="329" t="str">
        <f>IF($N6047=$N$4,IFERROR(INDEX(DanhMuc!$E$154:$E$165,MATCH(MID($B6047,4,2),DanhMuc!$B$154:$B$165,0)),""),"")</f>
        <v/>
      </c>
      <c r="V6047" s="361"/>
      <c r="W6047" s="345"/>
      <c r="X6047" s="786"/>
      <c r="Y6047" s="1128" t="s">
        <v>3380</v>
      </c>
      <c r="Z6047" s="1128" t="s">
        <v>3381</v>
      </c>
      <c r="AA6047" s="1128" t="s">
        <v>3384</v>
      </c>
      <c r="AB6047" s="20"/>
      <c r="AC6047" s="73"/>
    </row>
    <row r="6048" spans="1:29">
      <c r="A6048" s="327" t="str">
        <f>IF(AND($B6048&lt;&gt;"",$C6048&lt;&gt;""),MAX($A$4730:$A6047)+1,"")</f>
        <v/>
      </c>
      <c r="B6048" s="361" t="s">
        <v>1165</v>
      </c>
      <c r="C6048" s="362"/>
      <c r="D6048" s="327">
        <f>IF($B6048="","",COUNTIF($B$4731:$B6048,$B6048))</f>
        <v>9</v>
      </c>
      <c r="E6048" s="362" t="s">
        <v>2282</v>
      </c>
      <c r="F6048" s="362" t="s">
        <v>2283</v>
      </c>
      <c r="G6048" s="327" t="s">
        <v>424</v>
      </c>
      <c r="H6048" s="361" t="s">
        <v>536</v>
      </c>
      <c r="I6048" s="361" t="s">
        <v>2238</v>
      </c>
      <c r="J6048" s="361"/>
      <c r="K6048" s="327" t="s">
        <v>662</v>
      </c>
      <c r="L6048" s="478">
        <v>28000</v>
      </c>
      <c r="M6048" s="355"/>
      <c r="N6048" s="355" t="s">
        <v>2409</v>
      </c>
      <c r="O6048" s="345"/>
      <c r="P6048" s="325"/>
      <c r="Q6048" s="327"/>
      <c r="R6048" s="351"/>
      <c r="S6048" s="351"/>
      <c r="T6048" s="351"/>
      <c r="U6048" s="329" t="str">
        <f>IF($N6048=$N$4,IFERROR(INDEX(DanhMuc!$E$154:$E$165,MATCH(MID($B6048,4,2),DanhMuc!$B$154:$B$165,0)),""),"")</f>
        <v/>
      </c>
      <c r="V6048" s="361"/>
      <c r="W6048" s="345"/>
      <c r="X6048" s="786"/>
      <c r="Y6048" s="1128" t="s">
        <v>3380</v>
      </c>
      <c r="Z6048" s="1128" t="s">
        <v>3381</v>
      </c>
      <c r="AA6048" s="1128" t="s">
        <v>3384</v>
      </c>
      <c r="AB6048" s="20"/>
      <c r="AC6048" s="73"/>
    </row>
    <row r="6049" spans="1:29">
      <c r="A6049" s="327" t="str">
        <f>IF(AND($B6049&lt;&gt;"",$C6049&lt;&gt;""),MAX($A$4730:$A6048)+1,"")</f>
        <v/>
      </c>
      <c r="B6049" s="361" t="s">
        <v>1165</v>
      </c>
      <c r="C6049" s="362"/>
      <c r="D6049" s="327">
        <f>IF($B6049="","",COUNTIF($B$4731:$B6049,$B6049))</f>
        <v>10</v>
      </c>
      <c r="E6049" s="362" t="s">
        <v>663</v>
      </c>
      <c r="F6049" s="362" t="s">
        <v>664</v>
      </c>
      <c r="G6049" s="327" t="s">
        <v>155</v>
      </c>
      <c r="H6049" s="361" t="s">
        <v>536</v>
      </c>
      <c r="I6049" s="361" t="s">
        <v>672</v>
      </c>
      <c r="J6049" s="361"/>
      <c r="K6049" s="327" t="s">
        <v>662</v>
      </c>
      <c r="L6049" s="478">
        <v>1000</v>
      </c>
      <c r="M6049" s="355"/>
      <c r="N6049" s="355" t="s">
        <v>2409</v>
      </c>
      <c r="O6049" s="345"/>
      <c r="P6049" s="325"/>
      <c r="Q6049" s="327"/>
      <c r="R6049" s="351"/>
      <c r="S6049" s="351"/>
      <c r="T6049" s="351"/>
      <c r="U6049" s="329" t="str">
        <f>IF($N6049=$N$4,IFERROR(INDEX(DanhMuc!$E$154:$E$165,MATCH(MID($B6049,4,2),DanhMuc!$B$154:$B$165,0)),""),"")</f>
        <v/>
      </c>
      <c r="V6049" s="361"/>
      <c r="W6049" s="345"/>
      <c r="X6049" s="786"/>
      <c r="Y6049" s="1128" t="s">
        <v>3380</v>
      </c>
      <c r="Z6049" s="1128" t="s">
        <v>3381</v>
      </c>
      <c r="AA6049" s="1128" t="s">
        <v>3384</v>
      </c>
      <c r="AB6049" s="20"/>
      <c r="AC6049" s="73"/>
    </row>
    <row r="6050" spans="1:29" ht="39">
      <c r="A6050" s="327">
        <f>IF(AND($B6050&lt;&gt;"",$C6050&lt;&gt;""),MAX($A$4730:$A6049)+1,"")</f>
        <v>57</v>
      </c>
      <c r="B6050" s="359" t="s">
        <v>1174</v>
      </c>
      <c r="C6050" s="370" t="s">
        <v>1580</v>
      </c>
      <c r="D6050" s="327">
        <f>IF($B6050="","",COUNTIF($B$4731:$B6050,$B6050))</f>
        <v>1</v>
      </c>
      <c r="E6050" s="361" t="s">
        <v>1826</v>
      </c>
      <c r="F6050" s="362" t="s">
        <v>670</v>
      </c>
      <c r="G6050" s="327" t="s">
        <v>661</v>
      </c>
      <c r="H6050" s="361" t="s">
        <v>536</v>
      </c>
      <c r="I6050" s="361" t="s">
        <v>2354</v>
      </c>
      <c r="J6050" s="361"/>
      <c r="K6050" s="327" t="s">
        <v>103</v>
      </c>
      <c r="L6050" s="478">
        <f>40000/1000</f>
        <v>40</v>
      </c>
      <c r="M6050" s="355"/>
      <c r="N6050" s="355" t="s">
        <v>2408</v>
      </c>
      <c r="O6050" s="345"/>
      <c r="P6050" s="325"/>
      <c r="Q6050" s="327"/>
      <c r="R6050" s="351"/>
      <c r="S6050" s="351"/>
      <c r="T6050" s="351"/>
      <c r="U6050" s="329" t="str">
        <f>IF($N6050=$N$4,IFERROR(INDEX(DanhMuc!$E$154:$E$165,MATCH(MID($B6050,4,2),DanhMuc!$B$154:$B$165,0)),""),"")</f>
        <v/>
      </c>
      <c r="V6050" s="361"/>
      <c r="W6050" s="345"/>
      <c r="X6050" s="786"/>
      <c r="Y6050" s="1128" t="s">
        <v>3380</v>
      </c>
      <c r="Z6050" s="1128" t="s">
        <v>3381</v>
      </c>
      <c r="AA6050" s="1128" t="s">
        <v>3384</v>
      </c>
      <c r="AB6050" s="20"/>
      <c r="AC6050" s="73"/>
    </row>
    <row r="6051" spans="1:29" ht="25">
      <c r="A6051" s="327" t="str">
        <f>IF(AND($B6051&lt;&gt;"",$C6051&lt;&gt;""),MAX($A$4730:$A6050)+1,"")</f>
        <v/>
      </c>
      <c r="B6051" s="361" t="s">
        <v>1174</v>
      </c>
      <c r="C6051" s="362"/>
      <c r="D6051" s="327">
        <f>IF($B6051="","",COUNTIF($B$4731:$B6051,$B6051))</f>
        <v>2</v>
      </c>
      <c r="E6051" s="362" t="s">
        <v>1966</v>
      </c>
      <c r="F6051" s="362" t="s">
        <v>1967</v>
      </c>
      <c r="G6051" s="327" t="s">
        <v>405</v>
      </c>
      <c r="H6051" s="361" t="s">
        <v>536</v>
      </c>
      <c r="I6051" s="361" t="s">
        <v>1309</v>
      </c>
      <c r="J6051" s="361"/>
      <c r="K6051" s="327" t="s">
        <v>223</v>
      </c>
      <c r="L6051" s="389">
        <v>750</v>
      </c>
      <c r="M6051" s="371"/>
      <c r="N6051" s="355" t="s">
        <v>2408</v>
      </c>
      <c r="O6051" s="345"/>
      <c r="P6051" s="325"/>
      <c r="Q6051" s="327"/>
      <c r="R6051" s="351"/>
      <c r="S6051" s="351"/>
      <c r="T6051" s="351"/>
      <c r="U6051" s="329" t="str">
        <f>IF($N6051=$N$4,IFERROR(INDEX(DanhMuc!$E$154:$E$165,MATCH(MID($B6051,4,2),DanhMuc!$B$154:$B$165,0)),""),"")</f>
        <v/>
      </c>
      <c r="V6051" s="361"/>
      <c r="W6051" s="345"/>
      <c r="X6051" s="786"/>
      <c r="Y6051" s="1128" t="s">
        <v>3380</v>
      </c>
      <c r="Z6051" s="1128" t="s">
        <v>3381</v>
      </c>
      <c r="AA6051" s="1128" t="s">
        <v>3384</v>
      </c>
      <c r="AB6051" s="20"/>
      <c r="AC6051" s="73"/>
    </row>
    <row r="6052" spans="1:29" ht="37.5">
      <c r="A6052" s="327" t="str">
        <f>IF(AND($B6052&lt;&gt;"",$C6052&lt;&gt;""),MAX($A$4730:$A6051)+1,"")</f>
        <v/>
      </c>
      <c r="B6052" s="361" t="s">
        <v>1174</v>
      </c>
      <c r="C6052" s="362"/>
      <c r="D6052" s="327">
        <f>IF($B6052="","",COUNTIF($B$4731:$B6052,$B6052))</f>
        <v>3</v>
      </c>
      <c r="E6052" s="362" t="s">
        <v>1964</v>
      </c>
      <c r="F6052" s="362" t="s">
        <v>1965</v>
      </c>
      <c r="G6052" s="410" t="s">
        <v>405</v>
      </c>
      <c r="H6052" s="402" t="s">
        <v>536</v>
      </c>
      <c r="I6052" s="402" t="s">
        <v>1210</v>
      </c>
      <c r="J6052" s="402"/>
      <c r="K6052" s="410" t="s">
        <v>223</v>
      </c>
      <c r="L6052" s="478">
        <v>140</v>
      </c>
      <c r="M6052" s="371"/>
      <c r="N6052" s="355" t="s">
        <v>2408</v>
      </c>
      <c r="O6052" s="345"/>
      <c r="P6052" s="325"/>
      <c r="Q6052" s="327"/>
      <c r="R6052" s="351"/>
      <c r="S6052" s="351"/>
      <c r="T6052" s="351"/>
      <c r="U6052" s="329" t="str">
        <f>IF($N6052=$N$4,IFERROR(INDEX(DanhMuc!$E$154:$E$165,MATCH(MID($B6052,4,2),DanhMuc!$B$154:$B$165,0)),""),"")</f>
        <v/>
      </c>
      <c r="V6052" s="361"/>
      <c r="W6052" s="345"/>
      <c r="X6052" s="786"/>
      <c r="Y6052" s="1128" t="s">
        <v>3380</v>
      </c>
      <c r="Z6052" s="1128" t="s">
        <v>3381</v>
      </c>
      <c r="AA6052" s="1128" t="s">
        <v>3384</v>
      </c>
      <c r="AB6052" s="20"/>
      <c r="AC6052" s="73"/>
    </row>
    <row r="6053" spans="1:29">
      <c r="A6053" s="327" t="str">
        <f>IF(AND($B6053&lt;&gt;"",$C6053&lt;&gt;""),MAX($A$4730:$A6052)+1,"")</f>
        <v/>
      </c>
      <c r="B6053" s="361" t="s">
        <v>1174</v>
      </c>
      <c r="C6053" s="362"/>
      <c r="D6053" s="327">
        <f>IF($B6053="","",COUNTIF($B$4731:$B6053,$B6053))</f>
        <v>4</v>
      </c>
      <c r="E6053" s="361" t="s">
        <v>656</v>
      </c>
      <c r="F6053" s="362" t="s">
        <v>2239</v>
      </c>
      <c r="G6053" s="327" t="s">
        <v>405</v>
      </c>
      <c r="H6053" s="361" t="s">
        <v>536</v>
      </c>
      <c r="I6053" s="361" t="s">
        <v>1827</v>
      </c>
      <c r="J6053" s="361"/>
      <c r="K6053" s="327" t="s">
        <v>100</v>
      </c>
      <c r="L6053" s="478">
        <v>970</v>
      </c>
      <c r="M6053" s="371"/>
      <c r="N6053" s="355" t="s">
        <v>2409</v>
      </c>
      <c r="O6053" s="345"/>
      <c r="P6053" s="325"/>
      <c r="Q6053" s="327"/>
      <c r="R6053" s="351"/>
      <c r="S6053" s="351"/>
      <c r="T6053" s="351"/>
      <c r="U6053" s="329" t="str">
        <f>IF($N6053=$N$4,IFERROR(INDEX(DanhMuc!$E$154:$E$165,MATCH(MID($B6053,4,2),DanhMuc!$B$154:$B$165,0)),""),"")</f>
        <v/>
      </c>
      <c r="V6053" s="361"/>
      <c r="W6053" s="345"/>
      <c r="X6053" s="786"/>
      <c r="Y6053" s="1128" t="s">
        <v>3380</v>
      </c>
      <c r="Z6053" s="1128" t="s">
        <v>3381</v>
      </c>
      <c r="AA6053" s="1128" t="s">
        <v>3384</v>
      </c>
      <c r="AB6053" s="20"/>
      <c r="AC6053" s="73"/>
    </row>
    <row r="6054" spans="1:29">
      <c r="A6054" s="327" t="str">
        <f>IF(AND($B6054&lt;&gt;"",$C6054&lt;&gt;""),MAX($A$4730:$A6053)+1,"")</f>
        <v/>
      </c>
      <c r="B6054" s="361" t="s">
        <v>1174</v>
      </c>
      <c r="C6054" s="362"/>
      <c r="D6054" s="327">
        <f>IF($B6054="","",COUNTIF($B$4731:$B6054,$B6054))</f>
        <v>5</v>
      </c>
      <c r="E6054" s="361" t="s">
        <v>657</v>
      </c>
      <c r="F6054" s="362" t="s">
        <v>658</v>
      </c>
      <c r="G6054" s="327" t="s">
        <v>424</v>
      </c>
      <c r="H6054" s="361" t="s">
        <v>536</v>
      </c>
      <c r="I6054" s="361" t="s">
        <v>665</v>
      </c>
      <c r="J6054" s="361"/>
      <c r="K6054" s="327" t="s">
        <v>100</v>
      </c>
      <c r="L6054" s="478">
        <v>60000</v>
      </c>
      <c r="M6054" s="355"/>
      <c r="N6054" s="355" t="s">
        <v>2409</v>
      </c>
      <c r="O6054" s="345"/>
      <c r="P6054" s="325"/>
      <c r="Q6054" s="327"/>
      <c r="R6054" s="351"/>
      <c r="S6054" s="351"/>
      <c r="T6054" s="351"/>
      <c r="U6054" s="329" t="str">
        <f>IF($N6054=$N$4,IFERROR(INDEX(DanhMuc!$E$154:$E$165,MATCH(MID($B6054,4,2),DanhMuc!$B$154:$B$165,0)),""),"")</f>
        <v/>
      </c>
      <c r="V6054" s="361"/>
      <c r="W6054" s="345"/>
      <c r="X6054" s="786"/>
      <c r="Y6054" s="1128" t="s">
        <v>3380</v>
      </c>
      <c r="Z6054" s="1128" t="s">
        <v>3381</v>
      </c>
      <c r="AA6054" s="1128" t="s">
        <v>3384</v>
      </c>
      <c r="AB6054" s="20"/>
      <c r="AC6054" s="73"/>
    </row>
    <row r="6055" spans="1:29">
      <c r="A6055" s="327" t="str">
        <f>IF(AND($B6055&lt;&gt;"",$C6055&lt;&gt;""),MAX($A$4730:$A6054)+1,"")</f>
        <v/>
      </c>
      <c r="B6055" s="361" t="s">
        <v>1174</v>
      </c>
      <c r="C6055" s="362"/>
      <c r="D6055" s="327">
        <f>IF($B6055="","",COUNTIF($B$4731:$B6055,$B6055))</f>
        <v>6</v>
      </c>
      <c r="E6055" s="361" t="s">
        <v>2771</v>
      </c>
      <c r="F6055" s="362" t="s">
        <v>659</v>
      </c>
      <c r="G6055" s="327" t="s">
        <v>424</v>
      </c>
      <c r="H6055" s="361" t="s">
        <v>536</v>
      </c>
      <c r="I6055" s="361" t="s">
        <v>666</v>
      </c>
      <c r="J6055" s="361"/>
      <c r="K6055" s="327" t="s">
        <v>100</v>
      </c>
      <c r="L6055" s="389">
        <v>53000</v>
      </c>
      <c r="M6055" s="355"/>
      <c r="N6055" s="355" t="s">
        <v>2409</v>
      </c>
      <c r="O6055" s="345"/>
      <c r="P6055" s="325"/>
      <c r="Q6055" s="327"/>
      <c r="R6055" s="351"/>
      <c r="S6055" s="351"/>
      <c r="T6055" s="351"/>
      <c r="U6055" s="329" t="str">
        <f>IF($N6055=$N$4,IFERROR(INDEX(DanhMuc!$E$154:$E$165,MATCH(MID($B6055,4,2),DanhMuc!$B$154:$B$165,0)),""),"")</f>
        <v/>
      </c>
      <c r="V6055" s="361"/>
      <c r="W6055" s="345"/>
      <c r="X6055" s="786"/>
      <c r="Y6055" s="1128" t="s">
        <v>3380</v>
      </c>
      <c r="Z6055" s="1128" t="s">
        <v>3381</v>
      </c>
      <c r="AA6055" s="1128" t="s">
        <v>3384</v>
      </c>
      <c r="AB6055" s="20"/>
      <c r="AC6055" s="73"/>
    </row>
    <row r="6056" spans="1:29">
      <c r="A6056" s="327" t="str">
        <f>IF(AND($B6056&lt;&gt;"",$C6056&lt;&gt;""),MAX($A$4730:$A6055)+1,"")</f>
        <v/>
      </c>
      <c r="B6056" s="361" t="s">
        <v>1174</v>
      </c>
      <c r="C6056" s="362"/>
      <c r="D6056" s="327">
        <f>IF($B6056="","",COUNTIF($B$4731:$B6056,$B6056))</f>
        <v>7</v>
      </c>
      <c r="E6056" s="361" t="s">
        <v>1828</v>
      </c>
      <c r="F6056" s="362" t="s">
        <v>671</v>
      </c>
      <c r="G6056" s="327" t="s">
        <v>661</v>
      </c>
      <c r="H6056" s="361" t="s">
        <v>536</v>
      </c>
      <c r="I6056" s="361" t="s">
        <v>2355</v>
      </c>
      <c r="J6056" s="361"/>
      <c r="K6056" s="327" t="s">
        <v>100</v>
      </c>
      <c r="L6056" s="478">
        <f>40000/1000</f>
        <v>40</v>
      </c>
      <c r="M6056" s="355"/>
      <c r="N6056" s="355" t="s">
        <v>2409</v>
      </c>
      <c r="O6056" s="345"/>
      <c r="P6056" s="325"/>
      <c r="Q6056" s="327"/>
      <c r="R6056" s="351"/>
      <c r="S6056" s="351"/>
      <c r="T6056" s="351"/>
      <c r="U6056" s="329" t="str">
        <f>IF($N6056=$N$4,IFERROR(INDEX(DanhMuc!$E$154:$E$165,MATCH(MID($B6056,4,2),DanhMuc!$B$154:$B$165,0)),""),"")</f>
        <v/>
      </c>
      <c r="V6056" s="361"/>
      <c r="W6056" s="345"/>
      <c r="X6056" s="786"/>
      <c r="Y6056" s="1128" t="s">
        <v>3380</v>
      </c>
      <c r="Z6056" s="1128" t="s">
        <v>3381</v>
      </c>
      <c r="AA6056" s="1128" t="s">
        <v>3384</v>
      </c>
      <c r="AB6056" s="20"/>
      <c r="AC6056" s="73"/>
    </row>
    <row r="6057" spans="1:29">
      <c r="A6057" s="327" t="str">
        <f>IF(AND($B6057&lt;&gt;"",$C6057&lt;&gt;""),MAX($A$4730:$A6056)+1,"")</f>
        <v/>
      </c>
      <c r="B6057" s="361" t="s">
        <v>1174</v>
      </c>
      <c r="C6057" s="362"/>
      <c r="D6057" s="327">
        <f>IF($B6057="","",COUNTIF($B$4731:$B6057,$B6057))</f>
        <v>8</v>
      </c>
      <c r="E6057" s="361" t="s">
        <v>154</v>
      </c>
      <c r="F6057" s="362" t="s">
        <v>660</v>
      </c>
      <c r="G6057" s="327" t="s">
        <v>661</v>
      </c>
      <c r="H6057" s="361" t="s">
        <v>536</v>
      </c>
      <c r="I6057" s="361" t="s">
        <v>667</v>
      </c>
      <c r="J6057" s="361"/>
      <c r="K6057" s="327" t="s">
        <v>662</v>
      </c>
      <c r="L6057" s="478">
        <v>20</v>
      </c>
      <c r="M6057" s="355"/>
      <c r="N6057" s="355" t="s">
        <v>2409</v>
      </c>
      <c r="O6057" s="345"/>
      <c r="P6057" s="325"/>
      <c r="Q6057" s="327"/>
      <c r="R6057" s="351"/>
      <c r="S6057" s="351"/>
      <c r="T6057" s="351"/>
      <c r="U6057" s="329" t="str">
        <f>IF($N6057=$N$4,IFERROR(INDEX(DanhMuc!$E$154:$E$165,MATCH(MID($B6057,4,2),DanhMuc!$B$154:$B$165,0)),""),"")</f>
        <v/>
      </c>
      <c r="V6057" s="361"/>
      <c r="W6057" s="345"/>
      <c r="X6057" s="786"/>
      <c r="Y6057" s="1128" t="s">
        <v>3380</v>
      </c>
      <c r="Z6057" s="1128" t="s">
        <v>3381</v>
      </c>
      <c r="AA6057" s="1128" t="s">
        <v>3384</v>
      </c>
      <c r="AB6057" s="20"/>
      <c r="AC6057" s="73"/>
    </row>
    <row r="6058" spans="1:29">
      <c r="A6058" s="327" t="str">
        <f>IF(AND($B6058&lt;&gt;"",$C6058&lt;&gt;""),MAX($A$4730:$A6057)+1,"")</f>
        <v/>
      </c>
      <c r="B6058" s="361" t="s">
        <v>1174</v>
      </c>
      <c r="C6058" s="362"/>
      <c r="D6058" s="327">
        <f>IF($B6058="","",COUNTIF($B$4731:$B6058,$B6058))</f>
        <v>9</v>
      </c>
      <c r="E6058" s="362" t="s">
        <v>2282</v>
      </c>
      <c r="F6058" s="362" t="s">
        <v>2283</v>
      </c>
      <c r="G6058" s="327" t="s">
        <v>424</v>
      </c>
      <c r="H6058" s="361" t="s">
        <v>536</v>
      </c>
      <c r="I6058" s="361" t="s">
        <v>2238</v>
      </c>
      <c r="J6058" s="361"/>
      <c r="K6058" s="327" t="s">
        <v>662</v>
      </c>
      <c r="L6058" s="478">
        <v>28000</v>
      </c>
      <c r="M6058" s="355"/>
      <c r="N6058" s="355" t="s">
        <v>2409</v>
      </c>
      <c r="O6058" s="345"/>
      <c r="P6058" s="325"/>
      <c r="Q6058" s="327"/>
      <c r="R6058" s="351"/>
      <c r="S6058" s="351"/>
      <c r="T6058" s="351"/>
      <c r="U6058" s="329" t="str">
        <f>IF($N6058=$N$4,IFERROR(INDEX(DanhMuc!$E$154:$E$165,MATCH(MID($B6058,4,2),DanhMuc!$B$154:$B$165,0)),""),"")</f>
        <v/>
      </c>
      <c r="V6058" s="361"/>
      <c r="W6058" s="345"/>
      <c r="X6058" s="786"/>
      <c r="Y6058" s="1128" t="s">
        <v>3380</v>
      </c>
      <c r="Z6058" s="1128" t="s">
        <v>3381</v>
      </c>
      <c r="AA6058" s="1128" t="s">
        <v>3384</v>
      </c>
      <c r="AB6058" s="20"/>
      <c r="AC6058" s="73"/>
    </row>
    <row r="6059" spans="1:29">
      <c r="A6059" s="327" t="str">
        <f>IF(AND($B6059&lt;&gt;"",$C6059&lt;&gt;""),MAX($A$4730:$A6058)+1,"")</f>
        <v/>
      </c>
      <c r="B6059" s="361" t="s">
        <v>1174</v>
      </c>
      <c r="C6059" s="362"/>
      <c r="D6059" s="327">
        <f>IF($B6059="","",COUNTIF($B$4731:$B6059,$B6059))</f>
        <v>10</v>
      </c>
      <c r="E6059" s="362" t="s">
        <v>663</v>
      </c>
      <c r="F6059" s="362" t="s">
        <v>664</v>
      </c>
      <c r="G6059" s="327" t="s">
        <v>155</v>
      </c>
      <c r="H6059" s="361" t="s">
        <v>536</v>
      </c>
      <c r="I6059" s="361" t="s">
        <v>672</v>
      </c>
      <c r="J6059" s="361"/>
      <c r="K6059" s="327" t="s">
        <v>662</v>
      </c>
      <c r="L6059" s="478">
        <v>1000</v>
      </c>
      <c r="M6059" s="355"/>
      <c r="N6059" s="355" t="s">
        <v>2409</v>
      </c>
      <c r="O6059" s="345"/>
      <c r="P6059" s="325"/>
      <c r="Q6059" s="327"/>
      <c r="R6059" s="351"/>
      <c r="S6059" s="351"/>
      <c r="T6059" s="351"/>
      <c r="U6059" s="329" t="str">
        <f>IF($N6059=$N$4,IFERROR(INDEX(DanhMuc!$E$154:$E$165,MATCH(MID($B6059,4,2),DanhMuc!$B$154:$B$165,0)),""),"")</f>
        <v/>
      </c>
      <c r="V6059" s="361"/>
      <c r="W6059" s="345"/>
      <c r="X6059" s="786"/>
      <c r="Y6059" s="1128" t="s">
        <v>3380</v>
      </c>
      <c r="Z6059" s="1128" t="s">
        <v>3381</v>
      </c>
      <c r="AA6059" s="1128" t="s">
        <v>3384</v>
      </c>
      <c r="AB6059" s="20"/>
      <c r="AC6059" s="73"/>
    </row>
    <row r="6060" spans="1:29" ht="39">
      <c r="A6060" s="327">
        <f>IF(AND($B6060&lt;&gt;"",$C6060&lt;&gt;""),MAX($A$4730:$A6059)+1,"")</f>
        <v>58</v>
      </c>
      <c r="B6060" s="359" t="s">
        <v>1175</v>
      </c>
      <c r="C6060" s="370" t="s">
        <v>1581</v>
      </c>
      <c r="D6060" s="327">
        <f>IF($B6060="","",COUNTIF($B$4731:$B6060,$B6060))</f>
        <v>1</v>
      </c>
      <c r="E6060" s="361" t="s">
        <v>1826</v>
      </c>
      <c r="F6060" s="362" t="s">
        <v>670</v>
      </c>
      <c r="G6060" s="327" t="s">
        <v>661</v>
      </c>
      <c r="H6060" s="361" t="s">
        <v>536</v>
      </c>
      <c r="I6060" s="361" t="s">
        <v>2354</v>
      </c>
      <c r="J6060" s="361"/>
      <c r="K6060" s="327" t="s">
        <v>103</v>
      </c>
      <c r="L6060" s="478">
        <f>40000/1000</f>
        <v>40</v>
      </c>
      <c r="M6060" s="355"/>
      <c r="N6060" s="355" t="s">
        <v>2408</v>
      </c>
      <c r="O6060" s="345"/>
      <c r="P6060" s="325"/>
      <c r="Q6060" s="327"/>
      <c r="R6060" s="351"/>
      <c r="S6060" s="351"/>
      <c r="T6060" s="351"/>
      <c r="U6060" s="329" t="str">
        <f>IF($N6060=$N$4,IFERROR(INDEX(DanhMuc!$E$154:$E$165,MATCH(MID($B6060,4,2),DanhMuc!$B$154:$B$165,0)),""),"")</f>
        <v/>
      </c>
      <c r="V6060" s="361"/>
      <c r="W6060" s="345"/>
      <c r="X6060" s="786"/>
      <c r="Y6060" s="1128" t="s">
        <v>3380</v>
      </c>
      <c r="Z6060" s="1128" t="s">
        <v>3381</v>
      </c>
      <c r="AA6060" s="1128" t="s">
        <v>3384</v>
      </c>
      <c r="AB6060" s="20"/>
      <c r="AC6060" s="73"/>
    </row>
    <row r="6061" spans="1:29" ht="25">
      <c r="A6061" s="327" t="str">
        <f>IF(AND($B6061&lt;&gt;"",$C6061&lt;&gt;""),MAX($A$4730:$A6060)+1,"")</f>
        <v/>
      </c>
      <c r="B6061" s="361" t="s">
        <v>1175</v>
      </c>
      <c r="C6061" s="362"/>
      <c r="D6061" s="327">
        <f>IF($B6061="","",COUNTIF($B$4731:$B6061,$B6061))</f>
        <v>2</v>
      </c>
      <c r="E6061" s="362" t="s">
        <v>1966</v>
      </c>
      <c r="F6061" s="362" t="s">
        <v>1967</v>
      </c>
      <c r="G6061" s="327" t="s">
        <v>405</v>
      </c>
      <c r="H6061" s="361" t="s">
        <v>536</v>
      </c>
      <c r="I6061" s="361" t="s">
        <v>1309</v>
      </c>
      <c r="J6061" s="361"/>
      <c r="K6061" s="327" t="s">
        <v>223</v>
      </c>
      <c r="L6061" s="389">
        <v>750</v>
      </c>
      <c r="M6061" s="371"/>
      <c r="N6061" s="355" t="s">
        <v>2408</v>
      </c>
      <c r="O6061" s="345"/>
      <c r="P6061" s="325"/>
      <c r="Q6061" s="327"/>
      <c r="R6061" s="351"/>
      <c r="S6061" s="351"/>
      <c r="T6061" s="351"/>
      <c r="U6061" s="329" t="str">
        <f>IF($N6061=$N$4,IFERROR(INDEX(DanhMuc!$E$154:$E$165,MATCH(MID($B6061,4,2),DanhMuc!$B$154:$B$165,0)),""),"")</f>
        <v/>
      </c>
      <c r="V6061" s="361"/>
      <c r="W6061" s="345"/>
      <c r="X6061" s="786"/>
      <c r="Y6061" s="1128" t="s">
        <v>3380</v>
      </c>
      <c r="Z6061" s="1128" t="s">
        <v>3381</v>
      </c>
      <c r="AA6061" s="1128" t="s">
        <v>3384</v>
      </c>
      <c r="AB6061" s="20"/>
      <c r="AC6061" s="73"/>
    </row>
    <row r="6062" spans="1:29" ht="37.5">
      <c r="A6062" s="327" t="str">
        <f>IF(AND($B6062&lt;&gt;"",$C6062&lt;&gt;""),MAX($A$4730:$A6061)+1,"")</f>
        <v/>
      </c>
      <c r="B6062" s="361" t="s">
        <v>1175</v>
      </c>
      <c r="C6062" s="362"/>
      <c r="D6062" s="327">
        <f>IF($B6062="","",COUNTIF($B$4731:$B6062,$B6062))</f>
        <v>3</v>
      </c>
      <c r="E6062" s="362" t="s">
        <v>1964</v>
      </c>
      <c r="F6062" s="362" t="s">
        <v>1965</v>
      </c>
      <c r="G6062" s="410" t="s">
        <v>405</v>
      </c>
      <c r="H6062" s="402" t="s">
        <v>536</v>
      </c>
      <c r="I6062" s="402" t="s">
        <v>1210</v>
      </c>
      <c r="J6062" s="402"/>
      <c r="K6062" s="410" t="s">
        <v>223</v>
      </c>
      <c r="L6062" s="478">
        <v>140</v>
      </c>
      <c r="M6062" s="371"/>
      <c r="N6062" s="355" t="s">
        <v>2408</v>
      </c>
      <c r="O6062" s="345"/>
      <c r="P6062" s="325"/>
      <c r="Q6062" s="327"/>
      <c r="R6062" s="351"/>
      <c r="S6062" s="351"/>
      <c r="T6062" s="351"/>
      <c r="U6062" s="329" t="str">
        <f>IF($N6062=$N$4,IFERROR(INDEX(DanhMuc!$E$154:$E$165,MATCH(MID($B6062,4,2),DanhMuc!$B$154:$B$165,0)),""),"")</f>
        <v/>
      </c>
      <c r="V6062" s="361"/>
      <c r="W6062" s="345"/>
      <c r="X6062" s="786"/>
      <c r="Y6062" s="1128" t="s">
        <v>3380</v>
      </c>
      <c r="Z6062" s="1128" t="s">
        <v>3381</v>
      </c>
      <c r="AA6062" s="1128" t="s">
        <v>3384</v>
      </c>
      <c r="AB6062" s="20"/>
      <c r="AC6062" s="73"/>
    </row>
    <row r="6063" spans="1:29">
      <c r="A6063" s="327" t="str">
        <f>IF(AND($B6063&lt;&gt;"",$C6063&lt;&gt;""),MAX($A$4730:$A6062)+1,"")</f>
        <v/>
      </c>
      <c r="B6063" s="361" t="s">
        <v>1175</v>
      </c>
      <c r="C6063" s="362"/>
      <c r="D6063" s="327">
        <f>IF($B6063="","",COUNTIF($B$4731:$B6063,$B6063))</f>
        <v>4</v>
      </c>
      <c r="E6063" s="361" t="s">
        <v>656</v>
      </c>
      <c r="F6063" s="362" t="s">
        <v>2239</v>
      </c>
      <c r="G6063" s="327" t="s">
        <v>405</v>
      </c>
      <c r="H6063" s="361" t="s">
        <v>536</v>
      </c>
      <c r="I6063" s="361" t="s">
        <v>1827</v>
      </c>
      <c r="J6063" s="361"/>
      <c r="K6063" s="327" t="s">
        <v>100</v>
      </c>
      <c r="L6063" s="478">
        <v>970</v>
      </c>
      <c r="M6063" s="371"/>
      <c r="N6063" s="355" t="s">
        <v>2409</v>
      </c>
      <c r="O6063" s="345"/>
      <c r="P6063" s="325"/>
      <c r="Q6063" s="327"/>
      <c r="R6063" s="351"/>
      <c r="S6063" s="351"/>
      <c r="T6063" s="351"/>
      <c r="U6063" s="329" t="str">
        <f>IF($N6063=$N$4,IFERROR(INDEX(DanhMuc!$E$154:$E$165,MATCH(MID($B6063,4,2),DanhMuc!$B$154:$B$165,0)),""),"")</f>
        <v/>
      </c>
      <c r="V6063" s="361"/>
      <c r="W6063" s="345"/>
      <c r="X6063" s="786"/>
      <c r="Y6063" s="1128" t="s">
        <v>3380</v>
      </c>
      <c r="Z6063" s="1128" t="s">
        <v>3381</v>
      </c>
      <c r="AA6063" s="1128" t="s">
        <v>3384</v>
      </c>
      <c r="AB6063" s="20"/>
      <c r="AC6063" s="73"/>
    </row>
    <row r="6064" spans="1:29">
      <c r="A6064" s="327" t="str">
        <f>IF(AND($B6064&lt;&gt;"",$C6064&lt;&gt;""),MAX($A$4730:$A6063)+1,"")</f>
        <v/>
      </c>
      <c r="B6064" s="361" t="s">
        <v>1175</v>
      </c>
      <c r="C6064" s="362"/>
      <c r="D6064" s="327">
        <f>IF($B6064="","",COUNTIF($B$4731:$B6064,$B6064))</f>
        <v>5</v>
      </c>
      <c r="E6064" s="361" t="s">
        <v>657</v>
      </c>
      <c r="F6064" s="362" t="s">
        <v>658</v>
      </c>
      <c r="G6064" s="327" t="s">
        <v>424</v>
      </c>
      <c r="H6064" s="361" t="s">
        <v>536</v>
      </c>
      <c r="I6064" s="361" t="s">
        <v>665</v>
      </c>
      <c r="J6064" s="361"/>
      <c r="K6064" s="327" t="s">
        <v>100</v>
      </c>
      <c r="L6064" s="478">
        <v>60000</v>
      </c>
      <c r="M6064" s="355"/>
      <c r="N6064" s="355" t="s">
        <v>2409</v>
      </c>
      <c r="O6064" s="345"/>
      <c r="P6064" s="325"/>
      <c r="Q6064" s="327"/>
      <c r="R6064" s="351"/>
      <c r="S6064" s="351"/>
      <c r="T6064" s="351"/>
      <c r="U6064" s="329" t="str">
        <f>IF($N6064=$N$4,IFERROR(INDEX(DanhMuc!$E$154:$E$165,MATCH(MID($B6064,4,2),DanhMuc!$B$154:$B$165,0)),""),"")</f>
        <v/>
      </c>
      <c r="V6064" s="361"/>
      <c r="W6064" s="345"/>
      <c r="X6064" s="786"/>
      <c r="Y6064" s="1128" t="s">
        <v>3380</v>
      </c>
      <c r="Z6064" s="1128" t="s">
        <v>3381</v>
      </c>
      <c r="AA6064" s="1128" t="s">
        <v>3384</v>
      </c>
      <c r="AB6064" s="20"/>
      <c r="AC6064" s="73"/>
    </row>
    <row r="6065" spans="1:29">
      <c r="A6065" s="327" t="str">
        <f>IF(AND($B6065&lt;&gt;"",$C6065&lt;&gt;""),MAX($A$4730:$A6064)+1,"")</f>
        <v/>
      </c>
      <c r="B6065" s="361" t="s">
        <v>1175</v>
      </c>
      <c r="C6065" s="362"/>
      <c r="D6065" s="327">
        <f>IF($B6065="","",COUNTIF($B$4731:$B6065,$B6065))</f>
        <v>6</v>
      </c>
      <c r="E6065" s="361" t="s">
        <v>2771</v>
      </c>
      <c r="F6065" s="362" t="s">
        <v>659</v>
      </c>
      <c r="G6065" s="327" t="s">
        <v>424</v>
      </c>
      <c r="H6065" s="361" t="s">
        <v>536</v>
      </c>
      <c r="I6065" s="361" t="s">
        <v>666</v>
      </c>
      <c r="J6065" s="361"/>
      <c r="K6065" s="327" t="s">
        <v>100</v>
      </c>
      <c r="L6065" s="389">
        <v>53000</v>
      </c>
      <c r="M6065" s="355"/>
      <c r="N6065" s="355" t="s">
        <v>2409</v>
      </c>
      <c r="O6065" s="345"/>
      <c r="P6065" s="325"/>
      <c r="Q6065" s="327"/>
      <c r="R6065" s="351"/>
      <c r="S6065" s="351"/>
      <c r="T6065" s="351"/>
      <c r="U6065" s="329" t="str">
        <f>IF($N6065=$N$4,IFERROR(INDEX(DanhMuc!$E$154:$E$165,MATCH(MID($B6065,4,2),DanhMuc!$B$154:$B$165,0)),""),"")</f>
        <v/>
      </c>
      <c r="V6065" s="361"/>
      <c r="W6065" s="345"/>
      <c r="X6065" s="786"/>
      <c r="Y6065" s="1128" t="s">
        <v>3380</v>
      </c>
      <c r="Z6065" s="1128" t="s">
        <v>3381</v>
      </c>
      <c r="AA6065" s="1128" t="s">
        <v>3384</v>
      </c>
      <c r="AB6065" s="20"/>
      <c r="AC6065" s="73"/>
    </row>
    <row r="6066" spans="1:29">
      <c r="A6066" s="327" t="str">
        <f>IF(AND($B6066&lt;&gt;"",$C6066&lt;&gt;""),MAX($A$4730:$A6065)+1,"")</f>
        <v/>
      </c>
      <c r="B6066" s="361" t="s">
        <v>1175</v>
      </c>
      <c r="C6066" s="362"/>
      <c r="D6066" s="327">
        <f>IF($B6066="","",COUNTIF($B$4731:$B6066,$B6066))</f>
        <v>7</v>
      </c>
      <c r="E6066" s="361" t="s">
        <v>1828</v>
      </c>
      <c r="F6066" s="362" t="s">
        <v>671</v>
      </c>
      <c r="G6066" s="327" t="s">
        <v>661</v>
      </c>
      <c r="H6066" s="361" t="s">
        <v>536</v>
      </c>
      <c r="I6066" s="361" t="s">
        <v>2355</v>
      </c>
      <c r="J6066" s="361"/>
      <c r="K6066" s="327" t="s">
        <v>100</v>
      </c>
      <c r="L6066" s="478">
        <f>40000/1000</f>
        <v>40</v>
      </c>
      <c r="M6066" s="355"/>
      <c r="N6066" s="355" t="s">
        <v>2409</v>
      </c>
      <c r="O6066" s="345"/>
      <c r="P6066" s="325"/>
      <c r="Q6066" s="327"/>
      <c r="R6066" s="351"/>
      <c r="S6066" s="351"/>
      <c r="T6066" s="351"/>
      <c r="U6066" s="329" t="str">
        <f>IF($N6066=$N$4,IFERROR(INDEX(DanhMuc!$E$154:$E$165,MATCH(MID($B6066,4,2),DanhMuc!$B$154:$B$165,0)),""),"")</f>
        <v/>
      </c>
      <c r="V6066" s="361"/>
      <c r="W6066" s="345"/>
      <c r="X6066" s="786"/>
      <c r="Y6066" s="1128" t="s">
        <v>3380</v>
      </c>
      <c r="Z6066" s="1128" t="s">
        <v>3381</v>
      </c>
      <c r="AA6066" s="1128" t="s">
        <v>3384</v>
      </c>
      <c r="AB6066" s="20"/>
      <c r="AC6066" s="73"/>
    </row>
    <row r="6067" spans="1:29">
      <c r="A6067" s="327" t="str">
        <f>IF(AND($B6067&lt;&gt;"",$C6067&lt;&gt;""),MAX($A$4730:$A6066)+1,"")</f>
        <v/>
      </c>
      <c r="B6067" s="361" t="s">
        <v>1175</v>
      </c>
      <c r="C6067" s="362"/>
      <c r="D6067" s="327">
        <f>IF($B6067="","",COUNTIF($B$4731:$B6067,$B6067))</f>
        <v>8</v>
      </c>
      <c r="E6067" s="361" t="s">
        <v>154</v>
      </c>
      <c r="F6067" s="362" t="s">
        <v>660</v>
      </c>
      <c r="G6067" s="327" t="s">
        <v>661</v>
      </c>
      <c r="H6067" s="361" t="s">
        <v>536</v>
      </c>
      <c r="I6067" s="361" t="s">
        <v>667</v>
      </c>
      <c r="J6067" s="361"/>
      <c r="K6067" s="327" t="s">
        <v>662</v>
      </c>
      <c r="L6067" s="478">
        <v>20</v>
      </c>
      <c r="M6067" s="355"/>
      <c r="N6067" s="355" t="s">
        <v>2409</v>
      </c>
      <c r="O6067" s="345"/>
      <c r="P6067" s="325"/>
      <c r="Q6067" s="327"/>
      <c r="R6067" s="351"/>
      <c r="S6067" s="351"/>
      <c r="T6067" s="351"/>
      <c r="U6067" s="329" t="str">
        <f>IF($N6067=$N$4,IFERROR(INDEX(DanhMuc!$E$154:$E$165,MATCH(MID($B6067,4,2),DanhMuc!$B$154:$B$165,0)),""),"")</f>
        <v/>
      </c>
      <c r="V6067" s="361"/>
      <c r="W6067" s="345"/>
      <c r="X6067" s="786"/>
      <c r="Y6067" s="1128" t="s">
        <v>3380</v>
      </c>
      <c r="Z6067" s="1128" t="s">
        <v>3381</v>
      </c>
      <c r="AA6067" s="1128" t="s">
        <v>3384</v>
      </c>
      <c r="AB6067" s="20"/>
      <c r="AC6067" s="73"/>
    </row>
    <row r="6068" spans="1:29">
      <c r="A6068" s="327" t="str">
        <f>IF(AND($B6068&lt;&gt;"",$C6068&lt;&gt;""),MAX($A$4730:$A6067)+1,"")</f>
        <v/>
      </c>
      <c r="B6068" s="361" t="s">
        <v>1175</v>
      </c>
      <c r="C6068" s="362"/>
      <c r="D6068" s="327">
        <f>IF($B6068="","",COUNTIF($B$4731:$B6068,$B6068))</f>
        <v>9</v>
      </c>
      <c r="E6068" s="362" t="s">
        <v>2282</v>
      </c>
      <c r="F6068" s="362" t="s">
        <v>2283</v>
      </c>
      <c r="G6068" s="327" t="s">
        <v>424</v>
      </c>
      <c r="H6068" s="361" t="s">
        <v>536</v>
      </c>
      <c r="I6068" s="361" t="s">
        <v>2238</v>
      </c>
      <c r="J6068" s="361"/>
      <c r="K6068" s="327" t="s">
        <v>662</v>
      </c>
      <c r="L6068" s="478">
        <v>28000</v>
      </c>
      <c r="M6068" s="355"/>
      <c r="N6068" s="355" t="s">
        <v>2409</v>
      </c>
      <c r="O6068" s="345"/>
      <c r="P6068" s="325"/>
      <c r="Q6068" s="327"/>
      <c r="R6068" s="351"/>
      <c r="S6068" s="351"/>
      <c r="T6068" s="351"/>
      <c r="U6068" s="329" t="str">
        <f>IF($N6068=$N$4,IFERROR(INDEX(DanhMuc!$E$154:$E$165,MATCH(MID($B6068,4,2),DanhMuc!$B$154:$B$165,0)),""),"")</f>
        <v/>
      </c>
      <c r="V6068" s="361"/>
      <c r="W6068" s="345"/>
      <c r="X6068" s="786"/>
      <c r="Y6068" s="1128" t="s">
        <v>3380</v>
      </c>
      <c r="Z6068" s="1128" t="s">
        <v>3381</v>
      </c>
      <c r="AA6068" s="1128" t="s">
        <v>3384</v>
      </c>
      <c r="AB6068" s="20"/>
      <c r="AC6068" s="73"/>
    </row>
    <row r="6069" spans="1:29">
      <c r="A6069" s="327" t="str">
        <f>IF(AND($B6069&lt;&gt;"",$C6069&lt;&gt;""),MAX($A$4730:$A6068)+1,"")</f>
        <v/>
      </c>
      <c r="B6069" s="361" t="s">
        <v>1175</v>
      </c>
      <c r="C6069" s="362"/>
      <c r="D6069" s="327">
        <f>IF($B6069="","",COUNTIF($B$4731:$B6069,$B6069))</f>
        <v>10</v>
      </c>
      <c r="E6069" s="362" t="s">
        <v>663</v>
      </c>
      <c r="F6069" s="362" t="s">
        <v>664</v>
      </c>
      <c r="G6069" s="327" t="s">
        <v>155</v>
      </c>
      <c r="H6069" s="361" t="s">
        <v>536</v>
      </c>
      <c r="I6069" s="361" t="s">
        <v>672</v>
      </c>
      <c r="J6069" s="361"/>
      <c r="K6069" s="327" t="s">
        <v>662</v>
      </c>
      <c r="L6069" s="478">
        <v>1000</v>
      </c>
      <c r="M6069" s="355"/>
      <c r="N6069" s="355" t="s">
        <v>2409</v>
      </c>
      <c r="O6069" s="345"/>
      <c r="P6069" s="325"/>
      <c r="Q6069" s="327"/>
      <c r="R6069" s="351"/>
      <c r="S6069" s="351"/>
      <c r="T6069" s="351"/>
      <c r="U6069" s="329" t="str">
        <f>IF($N6069=$N$4,IFERROR(INDEX(DanhMuc!$E$154:$E$165,MATCH(MID($B6069,4,2),DanhMuc!$B$154:$B$165,0)),""),"")</f>
        <v/>
      </c>
      <c r="V6069" s="361"/>
      <c r="W6069" s="345"/>
      <c r="X6069" s="786"/>
      <c r="Y6069" s="1128" t="s">
        <v>3380</v>
      </c>
      <c r="Z6069" s="1128" t="s">
        <v>3381</v>
      </c>
      <c r="AA6069" s="1128" t="s">
        <v>3384</v>
      </c>
      <c r="AB6069" s="20"/>
      <c r="AC6069" s="73"/>
    </row>
    <row r="6070" spans="1:29" ht="39">
      <c r="A6070" s="327">
        <f>IF(AND($B6070&lt;&gt;"",$C6070&lt;&gt;""),MAX($A$4730:$A6069)+1,"")</f>
        <v>59</v>
      </c>
      <c r="B6070" s="359" t="s">
        <v>1479</v>
      </c>
      <c r="C6070" s="370" t="s">
        <v>1582</v>
      </c>
      <c r="D6070" s="327">
        <f>IF($B6070="","",COUNTIF($B$4731:$B6070,$B6070))</f>
        <v>1</v>
      </c>
      <c r="E6070" s="361" t="s">
        <v>1826</v>
      </c>
      <c r="F6070" s="362" t="s">
        <v>670</v>
      </c>
      <c r="G6070" s="327" t="s">
        <v>661</v>
      </c>
      <c r="H6070" s="361" t="s">
        <v>536</v>
      </c>
      <c r="I6070" s="361" t="s">
        <v>2354</v>
      </c>
      <c r="J6070" s="361"/>
      <c r="K6070" s="327" t="s">
        <v>103</v>
      </c>
      <c r="L6070" s="478">
        <f>40000/1000</f>
        <v>40</v>
      </c>
      <c r="M6070" s="355"/>
      <c r="N6070" s="355" t="s">
        <v>2408</v>
      </c>
      <c r="O6070" s="345"/>
      <c r="P6070" s="325"/>
      <c r="Q6070" s="327"/>
      <c r="R6070" s="351"/>
      <c r="S6070" s="351"/>
      <c r="T6070" s="351"/>
      <c r="U6070" s="329" t="str">
        <f>IF($N6070=$N$4,IFERROR(INDEX(DanhMuc!$E$154:$E$165,MATCH(MID($B6070,4,2),DanhMuc!$B$154:$B$165,0)),""),"")</f>
        <v/>
      </c>
      <c r="V6070" s="361"/>
      <c r="W6070" s="345"/>
      <c r="X6070" s="786"/>
      <c r="Y6070" s="1128" t="s">
        <v>3380</v>
      </c>
      <c r="Z6070" s="1128" t="s">
        <v>3381</v>
      </c>
      <c r="AA6070" s="1128" t="s">
        <v>3384</v>
      </c>
      <c r="AB6070" s="20"/>
      <c r="AC6070" s="73"/>
    </row>
    <row r="6071" spans="1:29" ht="25">
      <c r="A6071" s="327" t="str">
        <f>IF(AND($B6071&lt;&gt;"",$C6071&lt;&gt;""),MAX($A$4730:$A6070)+1,"")</f>
        <v/>
      </c>
      <c r="B6071" s="361" t="s">
        <v>1479</v>
      </c>
      <c r="C6071" s="362"/>
      <c r="D6071" s="327">
        <f>IF($B6071="","",COUNTIF($B$4731:$B6071,$B6071))</f>
        <v>2</v>
      </c>
      <c r="E6071" s="362" t="s">
        <v>1966</v>
      </c>
      <c r="F6071" s="362" t="s">
        <v>1967</v>
      </c>
      <c r="G6071" s="327" t="s">
        <v>405</v>
      </c>
      <c r="H6071" s="361" t="s">
        <v>536</v>
      </c>
      <c r="I6071" s="361" t="s">
        <v>1309</v>
      </c>
      <c r="J6071" s="361"/>
      <c r="K6071" s="327" t="s">
        <v>223</v>
      </c>
      <c r="L6071" s="389">
        <v>750</v>
      </c>
      <c r="M6071" s="371"/>
      <c r="N6071" s="355" t="s">
        <v>2408</v>
      </c>
      <c r="O6071" s="345"/>
      <c r="P6071" s="325"/>
      <c r="Q6071" s="327"/>
      <c r="R6071" s="351"/>
      <c r="S6071" s="351"/>
      <c r="T6071" s="351"/>
      <c r="U6071" s="329" t="str">
        <f>IF($N6071=$N$4,IFERROR(INDEX(DanhMuc!$E$154:$E$165,MATCH(MID($B6071,4,2),DanhMuc!$B$154:$B$165,0)),""),"")</f>
        <v/>
      </c>
      <c r="V6071" s="361"/>
      <c r="W6071" s="345"/>
      <c r="X6071" s="786"/>
      <c r="Y6071" s="1128" t="s">
        <v>3380</v>
      </c>
      <c r="Z6071" s="1128" t="s">
        <v>3381</v>
      </c>
      <c r="AA6071" s="1128" t="s">
        <v>3384</v>
      </c>
      <c r="AB6071" s="20"/>
      <c r="AC6071" s="73"/>
    </row>
    <row r="6072" spans="1:29" ht="37.5">
      <c r="A6072" s="327" t="str">
        <f>IF(AND($B6072&lt;&gt;"",$C6072&lt;&gt;""),MAX($A$4730:$A6071)+1,"")</f>
        <v/>
      </c>
      <c r="B6072" s="361" t="s">
        <v>1479</v>
      </c>
      <c r="C6072" s="362"/>
      <c r="D6072" s="327">
        <f>IF($B6072="","",COUNTIF($B$4731:$B6072,$B6072))</f>
        <v>3</v>
      </c>
      <c r="E6072" s="362" t="s">
        <v>1964</v>
      </c>
      <c r="F6072" s="362" t="s">
        <v>1965</v>
      </c>
      <c r="G6072" s="410" t="s">
        <v>405</v>
      </c>
      <c r="H6072" s="402" t="s">
        <v>536</v>
      </c>
      <c r="I6072" s="402" t="s">
        <v>1210</v>
      </c>
      <c r="J6072" s="402"/>
      <c r="K6072" s="410" t="s">
        <v>223</v>
      </c>
      <c r="L6072" s="478">
        <v>140</v>
      </c>
      <c r="M6072" s="371"/>
      <c r="N6072" s="355" t="s">
        <v>2408</v>
      </c>
      <c r="O6072" s="345"/>
      <c r="P6072" s="325"/>
      <c r="Q6072" s="327"/>
      <c r="R6072" s="351"/>
      <c r="S6072" s="351"/>
      <c r="T6072" s="351"/>
      <c r="U6072" s="329" t="str">
        <f>IF($N6072=$N$4,IFERROR(INDEX(DanhMuc!$E$154:$E$165,MATCH(MID($B6072,4,2),DanhMuc!$B$154:$B$165,0)),""),"")</f>
        <v/>
      </c>
      <c r="V6072" s="361"/>
      <c r="W6072" s="345"/>
      <c r="X6072" s="786"/>
      <c r="Y6072" s="1128" t="s">
        <v>3380</v>
      </c>
      <c r="Z6072" s="1128" t="s">
        <v>3381</v>
      </c>
      <c r="AA6072" s="1128" t="s">
        <v>3384</v>
      </c>
      <c r="AB6072" s="20"/>
      <c r="AC6072" s="73"/>
    </row>
    <row r="6073" spans="1:29">
      <c r="A6073" s="327" t="str">
        <f>IF(AND($B6073&lt;&gt;"",$C6073&lt;&gt;""),MAX($A$4730:$A6072)+1,"")</f>
        <v/>
      </c>
      <c r="B6073" s="361" t="s">
        <v>1479</v>
      </c>
      <c r="C6073" s="362"/>
      <c r="D6073" s="327">
        <f>IF($B6073="","",COUNTIF($B$4731:$B6073,$B6073))</f>
        <v>4</v>
      </c>
      <c r="E6073" s="361" t="s">
        <v>656</v>
      </c>
      <c r="F6073" s="362" t="s">
        <v>2239</v>
      </c>
      <c r="G6073" s="327" t="s">
        <v>405</v>
      </c>
      <c r="H6073" s="361" t="s">
        <v>536</v>
      </c>
      <c r="I6073" s="361" t="s">
        <v>1827</v>
      </c>
      <c r="J6073" s="361"/>
      <c r="K6073" s="327" t="s">
        <v>100</v>
      </c>
      <c r="L6073" s="478">
        <v>970</v>
      </c>
      <c r="M6073" s="371"/>
      <c r="N6073" s="355" t="s">
        <v>2409</v>
      </c>
      <c r="O6073" s="345"/>
      <c r="P6073" s="325"/>
      <c r="Q6073" s="327"/>
      <c r="R6073" s="351"/>
      <c r="S6073" s="351"/>
      <c r="T6073" s="351"/>
      <c r="U6073" s="329" t="str">
        <f>IF($N6073=$N$4,IFERROR(INDEX(DanhMuc!$E$154:$E$165,MATCH(MID($B6073,4,2),DanhMuc!$B$154:$B$165,0)),""),"")</f>
        <v/>
      </c>
      <c r="V6073" s="361"/>
      <c r="W6073" s="345"/>
      <c r="X6073" s="786"/>
      <c r="Y6073" s="1128" t="s">
        <v>3380</v>
      </c>
      <c r="Z6073" s="1128" t="s">
        <v>3381</v>
      </c>
      <c r="AA6073" s="1128" t="s">
        <v>3384</v>
      </c>
      <c r="AB6073" s="20"/>
      <c r="AC6073" s="73"/>
    </row>
    <row r="6074" spans="1:29">
      <c r="A6074" s="327" t="str">
        <f>IF(AND($B6074&lt;&gt;"",$C6074&lt;&gt;""),MAX($A$4730:$A6073)+1,"")</f>
        <v/>
      </c>
      <c r="B6074" s="361" t="s">
        <v>1479</v>
      </c>
      <c r="C6074" s="362"/>
      <c r="D6074" s="327">
        <f>IF($B6074="","",COUNTIF($B$4731:$B6074,$B6074))</f>
        <v>5</v>
      </c>
      <c r="E6074" s="361" t="s">
        <v>657</v>
      </c>
      <c r="F6074" s="362" t="s">
        <v>658</v>
      </c>
      <c r="G6074" s="327" t="s">
        <v>424</v>
      </c>
      <c r="H6074" s="361" t="s">
        <v>536</v>
      </c>
      <c r="I6074" s="361" t="s">
        <v>665</v>
      </c>
      <c r="J6074" s="361"/>
      <c r="K6074" s="327" t="s">
        <v>100</v>
      </c>
      <c r="L6074" s="478">
        <v>60000</v>
      </c>
      <c r="M6074" s="355"/>
      <c r="N6074" s="355" t="s">
        <v>2409</v>
      </c>
      <c r="O6074" s="345"/>
      <c r="P6074" s="325"/>
      <c r="Q6074" s="327"/>
      <c r="R6074" s="351"/>
      <c r="S6074" s="351"/>
      <c r="T6074" s="351"/>
      <c r="U6074" s="329" t="str">
        <f>IF($N6074=$N$4,IFERROR(INDEX(DanhMuc!$E$154:$E$165,MATCH(MID($B6074,4,2),DanhMuc!$B$154:$B$165,0)),""),"")</f>
        <v/>
      </c>
      <c r="V6074" s="361"/>
      <c r="W6074" s="345"/>
      <c r="X6074" s="786"/>
      <c r="Y6074" s="1128" t="s">
        <v>3380</v>
      </c>
      <c r="Z6074" s="1128" t="s">
        <v>3381</v>
      </c>
      <c r="AA6074" s="1128" t="s">
        <v>3384</v>
      </c>
      <c r="AB6074" s="20"/>
      <c r="AC6074" s="73"/>
    </row>
    <row r="6075" spans="1:29">
      <c r="A6075" s="327" t="str">
        <f>IF(AND($B6075&lt;&gt;"",$C6075&lt;&gt;""),MAX($A$4730:$A6074)+1,"")</f>
        <v/>
      </c>
      <c r="B6075" s="361" t="s">
        <v>1479</v>
      </c>
      <c r="C6075" s="362"/>
      <c r="D6075" s="327">
        <f>IF($B6075="","",COUNTIF($B$4731:$B6075,$B6075))</f>
        <v>6</v>
      </c>
      <c r="E6075" s="361" t="s">
        <v>2771</v>
      </c>
      <c r="F6075" s="362" t="s">
        <v>659</v>
      </c>
      <c r="G6075" s="327" t="s">
        <v>424</v>
      </c>
      <c r="H6075" s="361" t="s">
        <v>536</v>
      </c>
      <c r="I6075" s="361" t="s">
        <v>666</v>
      </c>
      <c r="J6075" s="361"/>
      <c r="K6075" s="327" t="s">
        <v>100</v>
      </c>
      <c r="L6075" s="389">
        <v>53000</v>
      </c>
      <c r="M6075" s="355"/>
      <c r="N6075" s="355" t="s">
        <v>2409</v>
      </c>
      <c r="O6075" s="345"/>
      <c r="P6075" s="325"/>
      <c r="Q6075" s="327"/>
      <c r="R6075" s="351"/>
      <c r="S6075" s="351"/>
      <c r="T6075" s="351"/>
      <c r="U6075" s="329" t="str">
        <f>IF($N6075=$N$4,IFERROR(INDEX(DanhMuc!$E$154:$E$165,MATCH(MID($B6075,4,2),DanhMuc!$B$154:$B$165,0)),""),"")</f>
        <v/>
      </c>
      <c r="V6075" s="361"/>
      <c r="W6075" s="345"/>
      <c r="X6075" s="786"/>
      <c r="Y6075" s="1128" t="s">
        <v>3380</v>
      </c>
      <c r="Z6075" s="1128" t="s">
        <v>3381</v>
      </c>
      <c r="AA6075" s="1128" t="s">
        <v>3384</v>
      </c>
      <c r="AB6075" s="20"/>
      <c r="AC6075" s="73"/>
    </row>
    <row r="6076" spans="1:29">
      <c r="A6076" s="327" t="str">
        <f>IF(AND($B6076&lt;&gt;"",$C6076&lt;&gt;""),MAX($A$4730:$A6075)+1,"")</f>
        <v/>
      </c>
      <c r="B6076" s="361" t="s">
        <v>1479</v>
      </c>
      <c r="C6076" s="362"/>
      <c r="D6076" s="327">
        <f>IF($B6076="","",COUNTIF($B$4731:$B6076,$B6076))</f>
        <v>7</v>
      </c>
      <c r="E6076" s="361" t="s">
        <v>1828</v>
      </c>
      <c r="F6076" s="362" t="s">
        <v>671</v>
      </c>
      <c r="G6076" s="327" t="s">
        <v>661</v>
      </c>
      <c r="H6076" s="361" t="s">
        <v>536</v>
      </c>
      <c r="I6076" s="361" t="s">
        <v>2355</v>
      </c>
      <c r="J6076" s="361"/>
      <c r="K6076" s="327" t="s">
        <v>100</v>
      </c>
      <c r="L6076" s="478">
        <f>40000/1000</f>
        <v>40</v>
      </c>
      <c r="M6076" s="355"/>
      <c r="N6076" s="355" t="s">
        <v>2409</v>
      </c>
      <c r="O6076" s="345"/>
      <c r="P6076" s="325"/>
      <c r="Q6076" s="327"/>
      <c r="R6076" s="351"/>
      <c r="S6076" s="351"/>
      <c r="T6076" s="351"/>
      <c r="U6076" s="329" t="str">
        <f>IF($N6076=$N$4,IFERROR(INDEX(DanhMuc!$E$154:$E$165,MATCH(MID($B6076,4,2),DanhMuc!$B$154:$B$165,0)),""),"")</f>
        <v/>
      </c>
      <c r="V6076" s="361"/>
      <c r="W6076" s="345"/>
      <c r="X6076" s="786"/>
      <c r="Y6076" s="1128" t="s">
        <v>3380</v>
      </c>
      <c r="Z6076" s="1128" t="s">
        <v>3381</v>
      </c>
      <c r="AA6076" s="1128" t="s">
        <v>3384</v>
      </c>
      <c r="AB6076" s="20"/>
      <c r="AC6076" s="73"/>
    </row>
    <row r="6077" spans="1:29">
      <c r="A6077" s="327" t="str">
        <f>IF(AND($B6077&lt;&gt;"",$C6077&lt;&gt;""),MAX($A$4730:$A6076)+1,"")</f>
        <v/>
      </c>
      <c r="B6077" s="361" t="s">
        <v>1479</v>
      </c>
      <c r="C6077" s="362"/>
      <c r="D6077" s="327">
        <f>IF($B6077="","",COUNTIF($B$4731:$B6077,$B6077))</f>
        <v>8</v>
      </c>
      <c r="E6077" s="361" t="s">
        <v>154</v>
      </c>
      <c r="F6077" s="362" t="s">
        <v>660</v>
      </c>
      <c r="G6077" s="327" t="s">
        <v>661</v>
      </c>
      <c r="H6077" s="361" t="s">
        <v>536</v>
      </c>
      <c r="I6077" s="361" t="s">
        <v>667</v>
      </c>
      <c r="J6077" s="361"/>
      <c r="K6077" s="327" t="s">
        <v>662</v>
      </c>
      <c r="L6077" s="478">
        <v>20</v>
      </c>
      <c r="M6077" s="355"/>
      <c r="N6077" s="355" t="s">
        <v>2409</v>
      </c>
      <c r="O6077" s="345"/>
      <c r="P6077" s="325"/>
      <c r="Q6077" s="327"/>
      <c r="R6077" s="351"/>
      <c r="S6077" s="351"/>
      <c r="T6077" s="351"/>
      <c r="U6077" s="329" t="str">
        <f>IF($N6077=$N$4,IFERROR(INDEX(DanhMuc!$E$154:$E$165,MATCH(MID($B6077,4,2),DanhMuc!$B$154:$B$165,0)),""),"")</f>
        <v/>
      </c>
      <c r="V6077" s="361"/>
      <c r="W6077" s="345"/>
      <c r="X6077" s="786"/>
      <c r="Y6077" s="1128" t="s">
        <v>3380</v>
      </c>
      <c r="Z6077" s="1128" t="s">
        <v>3381</v>
      </c>
      <c r="AA6077" s="1128" t="s">
        <v>3384</v>
      </c>
      <c r="AB6077" s="20"/>
      <c r="AC6077" s="73"/>
    </row>
    <row r="6078" spans="1:29">
      <c r="A6078" s="327" t="str">
        <f>IF(AND($B6078&lt;&gt;"",$C6078&lt;&gt;""),MAX($A$4730:$A6077)+1,"")</f>
        <v/>
      </c>
      <c r="B6078" s="361" t="s">
        <v>1479</v>
      </c>
      <c r="C6078" s="362"/>
      <c r="D6078" s="327">
        <f>IF($B6078="","",COUNTIF($B$4731:$B6078,$B6078))</f>
        <v>9</v>
      </c>
      <c r="E6078" s="362" t="s">
        <v>2282</v>
      </c>
      <c r="F6078" s="362" t="s">
        <v>2283</v>
      </c>
      <c r="G6078" s="327" t="s">
        <v>424</v>
      </c>
      <c r="H6078" s="361" t="s">
        <v>536</v>
      </c>
      <c r="I6078" s="361" t="s">
        <v>2238</v>
      </c>
      <c r="J6078" s="361"/>
      <c r="K6078" s="327" t="s">
        <v>662</v>
      </c>
      <c r="L6078" s="478">
        <v>28000</v>
      </c>
      <c r="M6078" s="355"/>
      <c r="N6078" s="355" t="s">
        <v>2409</v>
      </c>
      <c r="O6078" s="345"/>
      <c r="P6078" s="325"/>
      <c r="Q6078" s="327"/>
      <c r="R6078" s="351"/>
      <c r="S6078" s="351"/>
      <c r="T6078" s="351"/>
      <c r="U6078" s="329" t="str">
        <f>IF($N6078=$N$4,IFERROR(INDEX(DanhMuc!$E$154:$E$165,MATCH(MID($B6078,4,2),DanhMuc!$B$154:$B$165,0)),""),"")</f>
        <v/>
      </c>
      <c r="V6078" s="361"/>
      <c r="W6078" s="345"/>
      <c r="X6078" s="786"/>
      <c r="Y6078" s="1128" t="s">
        <v>3380</v>
      </c>
      <c r="Z6078" s="1128" t="s">
        <v>3381</v>
      </c>
      <c r="AA6078" s="1128" t="s">
        <v>3384</v>
      </c>
      <c r="AB6078" s="20"/>
      <c r="AC6078" s="73"/>
    </row>
    <row r="6079" spans="1:29">
      <c r="A6079" s="327" t="str">
        <f>IF(AND($B6079&lt;&gt;"",$C6079&lt;&gt;""),MAX($A$4730:$A6078)+1,"")</f>
        <v/>
      </c>
      <c r="B6079" s="361" t="s">
        <v>1479</v>
      </c>
      <c r="C6079" s="362"/>
      <c r="D6079" s="327">
        <f>IF($B6079="","",COUNTIF($B$4731:$B6079,$B6079))</f>
        <v>10</v>
      </c>
      <c r="E6079" s="362" t="s">
        <v>663</v>
      </c>
      <c r="F6079" s="362" t="s">
        <v>664</v>
      </c>
      <c r="G6079" s="327" t="s">
        <v>155</v>
      </c>
      <c r="H6079" s="361" t="s">
        <v>536</v>
      </c>
      <c r="I6079" s="361" t="s">
        <v>672</v>
      </c>
      <c r="J6079" s="361"/>
      <c r="K6079" s="327" t="s">
        <v>662</v>
      </c>
      <c r="L6079" s="478">
        <v>1000</v>
      </c>
      <c r="M6079" s="355"/>
      <c r="N6079" s="355" t="s">
        <v>2409</v>
      </c>
      <c r="O6079" s="345"/>
      <c r="P6079" s="325"/>
      <c r="Q6079" s="327"/>
      <c r="R6079" s="351"/>
      <c r="S6079" s="351"/>
      <c r="T6079" s="351"/>
      <c r="U6079" s="329" t="str">
        <f>IF($N6079=$N$4,IFERROR(INDEX(DanhMuc!$E$154:$E$165,MATCH(MID($B6079,4,2),DanhMuc!$B$154:$B$165,0)),""),"")</f>
        <v/>
      </c>
      <c r="V6079" s="361"/>
      <c r="W6079" s="345"/>
      <c r="X6079" s="786"/>
      <c r="Y6079" s="1128" t="s">
        <v>3380</v>
      </c>
      <c r="Z6079" s="1128" t="s">
        <v>3381</v>
      </c>
      <c r="AA6079" s="1128" t="s">
        <v>3384</v>
      </c>
      <c r="AB6079" s="20"/>
      <c r="AC6079" s="73"/>
    </row>
    <row r="6080" spans="1:29" ht="39">
      <c r="A6080" s="327">
        <f>IF(AND($B6080&lt;&gt;"",$C6080&lt;&gt;""),MAX($A$4730:$A6079)+1,"")</f>
        <v>60</v>
      </c>
      <c r="B6080" s="359" t="s">
        <v>1480</v>
      </c>
      <c r="C6080" s="370" t="s">
        <v>1583</v>
      </c>
      <c r="D6080" s="327">
        <f>IF($B6080="","",COUNTIF($B$4731:$B6080,$B6080))</f>
        <v>1</v>
      </c>
      <c r="E6080" s="361" t="s">
        <v>1826</v>
      </c>
      <c r="F6080" s="362" t="s">
        <v>670</v>
      </c>
      <c r="G6080" s="327" t="s">
        <v>661</v>
      </c>
      <c r="H6080" s="361" t="s">
        <v>536</v>
      </c>
      <c r="I6080" s="361" t="s">
        <v>2354</v>
      </c>
      <c r="J6080" s="361"/>
      <c r="K6080" s="327" t="s">
        <v>103</v>
      </c>
      <c r="L6080" s="478">
        <f>40000/1000</f>
        <v>40</v>
      </c>
      <c r="M6080" s="355"/>
      <c r="N6080" s="355" t="s">
        <v>2408</v>
      </c>
      <c r="O6080" s="345"/>
      <c r="P6080" s="325"/>
      <c r="Q6080" s="327"/>
      <c r="R6080" s="351"/>
      <c r="S6080" s="351"/>
      <c r="T6080" s="351"/>
      <c r="U6080" s="329" t="str">
        <f>IF($N6080=$N$4,IFERROR(INDEX(DanhMuc!$E$154:$E$165,MATCH(MID($B6080,4,2),DanhMuc!$B$154:$B$165,0)),""),"")</f>
        <v/>
      </c>
      <c r="V6080" s="361"/>
      <c r="W6080" s="345"/>
      <c r="X6080" s="786"/>
      <c r="Y6080" s="1128" t="s">
        <v>3380</v>
      </c>
      <c r="Z6080" s="1128" t="s">
        <v>3381</v>
      </c>
      <c r="AA6080" s="1128" t="s">
        <v>3384</v>
      </c>
      <c r="AB6080" s="20"/>
      <c r="AC6080" s="73"/>
    </row>
    <row r="6081" spans="1:29" ht="25">
      <c r="A6081" s="327" t="str">
        <f>IF(AND($B6081&lt;&gt;"",$C6081&lt;&gt;""),MAX($A$4730:$A6080)+1,"")</f>
        <v/>
      </c>
      <c r="B6081" s="361" t="s">
        <v>1480</v>
      </c>
      <c r="C6081" s="362"/>
      <c r="D6081" s="327">
        <f>IF($B6081="","",COUNTIF($B$4731:$B6081,$B6081))</f>
        <v>2</v>
      </c>
      <c r="E6081" s="362" t="s">
        <v>1966</v>
      </c>
      <c r="F6081" s="362" t="s">
        <v>1967</v>
      </c>
      <c r="G6081" s="327" t="s">
        <v>405</v>
      </c>
      <c r="H6081" s="361" t="s">
        <v>536</v>
      </c>
      <c r="I6081" s="361" t="s">
        <v>1309</v>
      </c>
      <c r="J6081" s="361"/>
      <c r="K6081" s="327" t="s">
        <v>223</v>
      </c>
      <c r="L6081" s="389">
        <v>750</v>
      </c>
      <c r="M6081" s="371"/>
      <c r="N6081" s="355" t="s">
        <v>2408</v>
      </c>
      <c r="O6081" s="345"/>
      <c r="P6081" s="325"/>
      <c r="Q6081" s="327"/>
      <c r="R6081" s="351"/>
      <c r="S6081" s="351"/>
      <c r="T6081" s="351"/>
      <c r="U6081" s="329" t="str">
        <f>IF($N6081=$N$4,IFERROR(INDEX(DanhMuc!$E$154:$E$165,MATCH(MID($B6081,4,2),DanhMuc!$B$154:$B$165,0)),""),"")</f>
        <v/>
      </c>
      <c r="V6081" s="361"/>
      <c r="W6081" s="345"/>
      <c r="X6081" s="786"/>
      <c r="Y6081" s="1128" t="s">
        <v>3380</v>
      </c>
      <c r="Z6081" s="1128" t="s">
        <v>3381</v>
      </c>
      <c r="AA6081" s="1128" t="s">
        <v>3384</v>
      </c>
      <c r="AB6081" s="20"/>
      <c r="AC6081" s="73"/>
    </row>
    <row r="6082" spans="1:29" ht="37.5">
      <c r="A6082" s="327" t="str">
        <f>IF(AND($B6082&lt;&gt;"",$C6082&lt;&gt;""),MAX($A$4730:$A6081)+1,"")</f>
        <v/>
      </c>
      <c r="B6082" s="361" t="s">
        <v>1480</v>
      </c>
      <c r="C6082" s="362"/>
      <c r="D6082" s="327">
        <f>IF($B6082="","",COUNTIF($B$4731:$B6082,$B6082))</f>
        <v>3</v>
      </c>
      <c r="E6082" s="362" t="s">
        <v>1964</v>
      </c>
      <c r="F6082" s="362" t="s">
        <v>1965</v>
      </c>
      <c r="G6082" s="410" t="s">
        <v>405</v>
      </c>
      <c r="H6082" s="402" t="s">
        <v>536</v>
      </c>
      <c r="I6082" s="402" t="s">
        <v>1210</v>
      </c>
      <c r="J6082" s="402"/>
      <c r="K6082" s="410" t="s">
        <v>223</v>
      </c>
      <c r="L6082" s="478">
        <v>140</v>
      </c>
      <c r="M6082" s="371"/>
      <c r="N6082" s="355" t="s">
        <v>2408</v>
      </c>
      <c r="O6082" s="345"/>
      <c r="P6082" s="325"/>
      <c r="Q6082" s="327"/>
      <c r="R6082" s="351"/>
      <c r="S6082" s="351"/>
      <c r="T6082" s="351"/>
      <c r="U6082" s="329" t="str">
        <f>IF($N6082=$N$4,IFERROR(INDEX(DanhMuc!$E$154:$E$165,MATCH(MID($B6082,4,2),DanhMuc!$B$154:$B$165,0)),""),"")</f>
        <v/>
      </c>
      <c r="V6082" s="361"/>
      <c r="W6082" s="345"/>
      <c r="X6082" s="786"/>
      <c r="Y6082" s="1128" t="s">
        <v>3380</v>
      </c>
      <c r="Z6082" s="1128" t="s">
        <v>3381</v>
      </c>
      <c r="AA6082" s="1128" t="s">
        <v>3384</v>
      </c>
      <c r="AB6082" s="20"/>
      <c r="AC6082" s="73"/>
    </row>
    <row r="6083" spans="1:29">
      <c r="A6083" s="327" t="str">
        <f>IF(AND($B6083&lt;&gt;"",$C6083&lt;&gt;""),MAX($A$4730:$A6082)+1,"")</f>
        <v/>
      </c>
      <c r="B6083" s="361" t="s">
        <v>1480</v>
      </c>
      <c r="C6083" s="362"/>
      <c r="D6083" s="327">
        <f>IF($B6083="","",COUNTIF($B$4731:$B6083,$B6083))</f>
        <v>4</v>
      </c>
      <c r="E6083" s="361" t="s">
        <v>656</v>
      </c>
      <c r="F6083" s="362" t="s">
        <v>2239</v>
      </c>
      <c r="G6083" s="327" t="s">
        <v>405</v>
      </c>
      <c r="H6083" s="361" t="s">
        <v>536</v>
      </c>
      <c r="I6083" s="361" t="s">
        <v>1827</v>
      </c>
      <c r="J6083" s="361"/>
      <c r="K6083" s="327" t="s">
        <v>100</v>
      </c>
      <c r="L6083" s="478">
        <v>970</v>
      </c>
      <c r="M6083" s="371"/>
      <c r="N6083" s="355" t="s">
        <v>2409</v>
      </c>
      <c r="O6083" s="345"/>
      <c r="P6083" s="325"/>
      <c r="Q6083" s="327"/>
      <c r="R6083" s="351"/>
      <c r="S6083" s="351"/>
      <c r="T6083" s="351"/>
      <c r="U6083" s="329" t="str">
        <f>IF($N6083=$N$4,IFERROR(INDEX(DanhMuc!$E$154:$E$165,MATCH(MID($B6083,4,2),DanhMuc!$B$154:$B$165,0)),""),"")</f>
        <v/>
      </c>
      <c r="V6083" s="361"/>
      <c r="W6083" s="345"/>
      <c r="X6083" s="786"/>
      <c r="Y6083" s="1128" t="s">
        <v>3380</v>
      </c>
      <c r="Z6083" s="1128" t="s">
        <v>3381</v>
      </c>
      <c r="AA6083" s="1128" t="s">
        <v>3384</v>
      </c>
      <c r="AB6083" s="20"/>
      <c r="AC6083" s="73"/>
    </row>
    <row r="6084" spans="1:29">
      <c r="A6084" s="327" t="str">
        <f>IF(AND($B6084&lt;&gt;"",$C6084&lt;&gt;""),MAX($A$4730:$A6083)+1,"")</f>
        <v/>
      </c>
      <c r="B6084" s="361" t="s">
        <v>1480</v>
      </c>
      <c r="C6084" s="362"/>
      <c r="D6084" s="327">
        <f>IF($B6084="","",COUNTIF($B$4731:$B6084,$B6084))</f>
        <v>5</v>
      </c>
      <c r="E6084" s="361" t="s">
        <v>657</v>
      </c>
      <c r="F6084" s="362" t="s">
        <v>658</v>
      </c>
      <c r="G6084" s="327" t="s">
        <v>424</v>
      </c>
      <c r="H6084" s="361" t="s">
        <v>536</v>
      </c>
      <c r="I6084" s="361" t="s">
        <v>665</v>
      </c>
      <c r="J6084" s="361"/>
      <c r="K6084" s="327" t="s">
        <v>100</v>
      </c>
      <c r="L6084" s="478">
        <v>60000</v>
      </c>
      <c r="M6084" s="355"/>
      <c r="N6084" s="355" t="s">
        <v>2409</v>
      </c>
      <c r="O6084" s="345"/>
      <c r="P6084" s="325"/>
      <c r="Q6084" s="327"/>
      <c r="R6084" s="351"/>
      <c r="S6084" s="351"/>
      <c r="T6084" s="351"/>
      <c r="U6084" s="329" t="str">
        <f>IF($N6084=$N$4,IFERROR(INDEX(DanhMuc!$E$154:$E$165,MATCH(MID($B6084,4,2),DanhMuc!$B$154:$B$165,0)),""),"")</f>
        <v/>
      </c>
      <c r="V6084" s="361"/>
      <c r="W6084" s="345"/>
      <c r="X6084" s="786"/>
      <c r="Y6084" s="1128" t="s">
        <v>3380</v>
      </c>
      <c r="Z6084" s="1128" t="s">
        <v>3381</v>
      </c>
      <c r="AA6084" s="1128" t="s">
        <v>3384</v>
      </c>
      <c r="AB6084" s="20"/>
      <c r="AC6084" s="73"/>
    </row>
    <row r="6085" spans="1:29">
      <c r="A6085" s="327" t="str">
        <f>IF(AND($B6085&lt;&gt;"",$C6085&lt;&gt;""),MAX($A$4730:$A6084)+1,"")</f>
        <v/>
      </c>
      <c r="B6085" s="361" t="s">
        <v>1480</v>
      </c>
      <c r="C6085" s="362"/>
      <c r="D6085" s="327">
        <f>IF($B6085="","",COUNTIF($B$4731:$B6085,$B6085))</f>
        <v>6</v>
      </c>
      <c r="E6085" s="361" t="s">
        <v>2771</v>
      </c>
      <c r="F6085" s="362" t="s">
        <v>659</v>
      </c>
      <c r="G6085" s="327" t="s">
        <v>424</v>
      </c>
      <c r="H6085" s="361" t="s">
        <v>536</v>
      </c>
      <c r="I6085" s="361" t="s">
        <v>666</v>
      </c>
      <c r="J6085" s="361"/>
      <c r="K6085" s="327" t="s">
        <v>100</v>
      </c>
      <c r="L6085" s="389">
        <v>53000</v>
      </c>
      <c r="M6085" s="355"/>
      <c r="N6085" s="355" t="s">
        <v>2409</v>
      </c>
      <c r="O6085" s="345"/>
      <c r="P6085" s="325"/>
      <c r="Q6085" s="327"/>
      <c r="R6085" s="351"/>
      <c r="S6085" s="351"/>
      <c r="T6085" s="351"/>
      <c r="U6085" s="329" t="str">
        <f>IF($N6085=$N$4,IFERROR(INDEX(DanhMuc!$E$154:$E$165,MATCH(MID($B6085,4,2),DanhMuc!$B$154:$B$165,0)),""),"")</f>
        <v/>
      </c>
      <c r="V6085" s="361"/>
      <c r="W6085" s="345"/>
      <c r="X6085" s="786"/>
      <c r="Y6085" s="1128" t="s">
        <v>3380</v>
      </c>
      <c r="Z6085" s="1128" t="s">
        <v>3381</v>
      </c>
      <c r="AA6085" s="1128" t="s">
        <v>3384</v>
      </c>
      <c r="AB6085" s="20"/>
      <c r="AC6085" s="73"/>
    </row>
    <row r="6086" spans="1:29">
      <c r="A6086" s="327" t="str">
        <f>IF(AND($B6086&lt;&gt;"",$C6086&lt;&gt;""),MAX($A$4730:$A6085)+1,"")</f>
        <v/>
      </c>
      <c r="B6086" s="361" t="s">
        <v>1480</v>
      </c>
      <c r="C6086" s="362"/>
      <c r="D6086" s="327">
        <f>IF($B6086="","",COUNTIF($B$4731:$B6086,$B6086))</f>
        <v>7</v>
      </c>
      <c r="E6086" s="361" t="s">
        <v>1828</v>
      </c>
      <c r="F6086" s="362" t="s">
        <v>671</v>
      </c>
      <c r="G6086" s="327" t="s">
        <v>661</v>
      </c>
      <c r="H6086" s="361" t="s">
        <v>536</v>
      </c>
      <c r="I6086" s="361" t="s">
        <v>2355</v>
      </c>
      <c r="J6086" s="361"/>
      <c r="K6086" s="327" t="s">
        <v>100</v>
      </c>
      <c r="L6086" s="478">
        <f>40000/1000</f>
        <v>40</v>
      </c>
      <c r="M6086" s="355"/>
      <c r="N6086" s="355" t="s">
        <v>2409</v>
      </c>
      <c r="O6086" s="345"/>
      <c r="P6086" s="325"/>
      <c r="Q6086" s="327"/>
      <c r="R6086" s="351"/>
      <c r="S6086" s="351"/>
      <c r="T6086" s="351"/>
      <c r="U6086" s="329" t="str">
        <f>IF($N6086=$N$4,IFERROR(INDEX(DanhMuc!$E$154:$E$165,MATCH(MID($B6086,4,2),DanhMuc!$B$154:$B$165,0)),""),"")</f>
        <v/>
      </c>
      <c r="V6086" s="361"/>
      <c r="W6086" s="345"/>
      <c r="X6086" s="786"/>
      <c r="Y6086" s="1128" t="s">
        <v>3380</v>
      </c>
      <c r="Z6086" s="1128" t="s">
        <v>3381</v>
      </c>
      <c r="AA6086" s="1128" t="s">
        <v>3384</v>
      </c>
      <c r="AB6086" s="20"/>
      <c r="AC6086" s="73"/>
    </row>
    <row r="6087" spans="1:29">
      <c r="A6087" s="327" t="str">
        <f>IF(AND($B6087&lt;&gt;"",$C6087&lt;&gt;""),MAX($A$4730:$A6086)+1,"")</f>
        <v/>
      </c>
      <c r="B6087" s="361" t="s">
        <v>1480</v>
      </c>
      <c r="C6087" s="362"/>
      <c r="D6087" s="327">
        <f>IF($B6087="","",COUNTIF($B$4731:$B6087,$B6087))</f>
        <v>8</v>
      </c>
      <c r="E6087" s="361" t="s">
        <v>154</v>
      </c>
      <c r="F6087" s="362" t="s">
        <v>660</v>
      </c>
      <c r="G6087" s="327" t="s">
        <v>661</v>
      </c>
      <c r="H6087" s="361" t="s">
        <v>536</v>
      </c>
      <c r="I6087" s="361" t="s">
        <v>667</v>
      </c>
      <c r="J6087" s="361"/>
      <c r="K6087" s="327" t="s">
        <v>662</v>
      </c>
      <c r="L6087" s="478">
        <v>20</v>
      </c>
      <c r="M6087" s="355"/>
      <c r="N6087" s="355" t="s">
        <v>2409</v>
      </c>
      <c r="O6087" s="345"/>
      <c r="P6087" s="325"/>
      <c r="Q6087" s="327"/>
      <c r="R6087" s="351"/>
      <c r="S6087" s="351"/>
      <c r="T6087" s="351"/>
      <c r="U6087" s="329" t="str">
        <f>IF($N6087=$N$4,IFERROR(INDEX(DanhMuc!$E$154:$E$165,MATCH(MID($B6087,4,2),DanhMuc!$B$154:$B$165,0)),""),"")</f>
        <v/>
      </c>
      <c r="V6087" s="361"/>
      <c r="W6087" s="345"/>
      <c r="X6087" s="786"/>
      <c r="Y6087" s="1128" t="s">
        <v>3380</v>
      </c>
      <c r="Z6087" s="1128" t="s">
        <v>3381</v>
      </c>
      <c r="AA6087" s="1128" t="s">
        <v>3384</v>
      </c>
      <c r="AB6087" s="20"/>
      <c r="AC6087" s="73"/>
    </row>
    <row r="6088" spans="1:29">
      <c r="A6088" s="327" t="str">
        <f>IF(AND($B6088&lt;&gt;"",$C6088&lt;&gt;""),MAX($A$4730:$A6087)+1,"")</f>
        <v/>
      </c>
      <c r="B6088" s="361" t="s">
        <v>1480</v>
      </c>
      <c r="C6088" s="362"/>
      <c r="D6088" s="327">
        <f>IF($B6088="","",COUNTIF($B$4731:$B6088,$B6088))</f>
        <v>9</v>
      </c>
      <c r="E6088" s="362" t="s">
        <v>2282</v>
      </c>
      <c r="F6088" s="362" t="s">
        <v>2283</v>
      </c>
      <c r="G6088" s="327" t="s">
        <v>424</v>
      </c>
      <c r="H6088" s="361" t="s">
        <v>536</v>
      </c>
      <c r="I6088" s="361" t="s">
        <v>2238</v>
      </c>
      <c r="J6088" s="361"/>
      <c r="K6088" s="327" t="s">
        <v>662</v>
      </c>
      <c r="L6088" s="478">
        <v>28000</v>
      </c>
      <c r="M6088" s="355"/>
      <c r="N6088" s="355" t="s">
        <v>2409</v>
      </c>
      <c r="O6088" s="345"/>
      <c r="P6088" s="325"/>
      <c r="Q6088" s="327"/>
      <c r="R6088" s="351"/>
      <c r="S6088" s="351"/>
      <c r="T6088" s="351"/>
      <c r="U6088" s="329" t="str">
        <f>IF($N6088=$N$4,IFERROR(INDEX(DanhMuc!$E$154:$E$165,MATCH(MID($B6088,4,2),DanhMuc!$B$154:$B$165,0)),""),"")</f>
        <v/>
      </c>
      <c r="V6088" s="361"/>
      <c r="W6088" s="345"/>
      <c r="X6088" s="786"/>
      <c r="Y6088" s="1128" t="s">
        <v>3380</v>
      </c>
      <c r="Z6088" s="1128" t="s">
        <v>3381</v>
      </c>
      <c r="AA6088" s="1128" t="s">
        <v>3384</v>
      </c>
      <c r="AB6088" s="20"/>
      <c r="AC6088" s="73"/>
    </row>
    <row r="6089" spans="1:29">
      <c r="A6089" s="327" t="str">
        <f>IF(AND($B6089&lt;&gt;"",$C6089&lt;&gt;""),MAX($A$4730:$A6088)+1,"")</f>
        <v/>
      </c>
      <c r="B6089" s="361" t="s">
        <v>1480</v>
      </c>
      <c r="C6089" s="362"/>
      <c r="D6089" s="327">
        <f>IF($B6089="","",COUNTIF($B$4731:$B6089,$B6089))</f>
        <v>10</v>
      </c>
      <c r="E6089" s="362" t="s">
        <v>663</v>
      </c>
      <c r="F6089" s="362" t="s">
        <v>664</v>
      </c>
      <c r="G6089" s="327" t="s">
        <v>155</v>
      </c>
      <c r="H6089" s="361" t="s">
        <v>536</v>
      </c>
      <c r="I6089" s="361" t="s">
        <v>672</v>
      </c>
      <c r="J6089" s="361"/>
      <c r="K6089" s="327" t="s">
        <v>662</v>
      </c>
      <c r="L6089" s="478">
        <v>1000</v>
      </c>
      <c r="M6089" s="355"/>
      <c r="N6089" s="355" t="s">
        <v>2409</v>
      </c>
      <c r="O6089" s="345"/>
      <c r="P6089" s="325"/>
      <c r="Q6089" s="327"/>
      <c r="R6089" s="351"/>
      <c r="S6089" s="351"/>
      <c r="T6089" s="351"/>
      <c r="U6089" s="329" t="str">
        <f>IF($N6089=$N$4,IFERROR(INDEX(DanhMuc!$E$154:$E$165,MATCH(MID($B6089,4,2),DanhMuc!$B$154:$B$165,0)),""),"")</f>
        <v/>
      </c>
      <c r="V6089" s="361"/>
      <c r="W6089" s="345"/>
      <c r="X6089" s="786"/>
      <c r="Y6089" s="1128" t="s">
        <v>3380</v>
      </c>
      <c r="Z6089" s="1128" t="s">
        <v>3381</v>
      </c>
      <c r="AA6089" s="1128" t="s">
        <v>3384</v>
      </c>
      <c r="AB6089" s="20"/>
      <c r="AC6089" s="73"/>
    </row>
    <row r="6090" spans="1:29" ht="26">
      <c r="A6090" s="327">
        <f>IF(AND($B6090&lt;&gt;"",$C6090&lt;&gt;""),MAX($A$4730:$A6079)+1,"")</f>
        <v>60</v>
      </c>
      <c r="B6090" s="359" t="s">
        <v>1066</v>
      </c>
      <c r="C6090" s="370" t="s">
        <v>1576</v>
      </c>
      <c r="D6090" s="327">
        <f>IF($B6090="","",COUNTIF($B$4731:$B6090,$B6090))</f>
        <v>1</v>
      </c>
      <c r="E6090" s="361" t="s">
        <v>1826</v>
      </c>
      <c r="F6090" s="362" t="s">
        <v>670</v>
      </c>
      <c r="G6090" s="327" t="s">
        <v>661</v>
      </c>
      <c r="H6090" s="361" t="s">
        <v>536</v>
      </c>
      <c r="I6090" s="361" t="s">
        <v>2354</v>
      </c>
      <c r="J6090" s="361"/>
      <c r="K6090" s="327" t="s">
        <v>103</v>
      </c>
      <c r="L6090" s="478">
        <f>40000/1000</f>
        <v>40</v>
      </c>
      <c r="M6090" s="355"/>
      <c r="N6090" s="355" t="s">
        <v>2408</v>
      </c>
      <c r="O6090" s="345"/>
      <c r="P6090" s="325"/>
      <c r="Q6090" s="327"/>
      <c r="R6090" s="351"/>
      <c r="S6090" s="351"/>
      <c r="T6090" s="351"/>
      <c r="U6090" s="329" t="str">
        <f>IF($N6090=$N$4,IFERROR(INDEX(DanhMuc!$E$154:$E$165,MATCH(MID($B6090,4,2),DanhMuc!$B$154:$B$165,0)),""),"")</f>
        <v/>
      </c>
      <c r="V6090" s="361"/>
      <c r="W6090" s="345"/>
      <c r="X6090" s="786"/>
      <c r="Y6090" s="1128" t="s">
        <v>3380</v>
      </c>
      <c r="Z6090" s="1128" t="s">
        <v>3381</v>
      </c>
      <c r="AA6090" s="1128" t="s">
        <v>3384</v>
      </c>
      <c r="AB6090" s="20"/>
      <c r="AC6090" s="73"/>
    </row>
    <row r="6091" spans="1:29" ht="25">
      <c r="A6091" s="327" t="str">
        <f>IF(AND($B6091&lt;&gt;"",$C6091&lt;&gt;""),MAX($A$4730:$A6090)+1,"")</f>
        <v/>
      </c>
      <c r="B6091" s="361" t="s">
        <v>1066</v>
      </c>
      <c r="C6091" s="362"/>
      <c r="D6091" s="327">
        <f>IF($B6091="","",COUNTIF($B$4731:$B6091,$B6091))</f>
        <v>2</v>
      </c>
      <c r="E6091" s="362" t="s">
        <v>1966</v>
      </c>
      <c r="F6091" s="362" t="s">
        <v>1967</v>
      </c>
      <c r="G6091" s="327" t="s">
        <v>405</v>
      </c>
      <c r="H6091" s="361" t="s">
        <v>536</v>
      </c>
      <c r="I6091" s="361" t="s">
        <v>1309</v>
      </c>
      <c r="J6091" s="361"/>
      <c r="K6091" s="327" t="s">
        <v>223</v>
      </c>
      <c r="L6091" s="389">
        <v>750</v>
      </c>
      <c r="M6091" s="371"/>
      <c r="N6091" s="355" t="s">
        <v>2408</v>
      </c>
      <c r="O6091" s="345"/>
      <c r="P6091" s="325"/>
      <c r="Q6091" s="327"/>
      <c r="R6091" s="351"/>
      <c r="S6091" s="351"/>
      <c r="T6091" s="351"/>
      <c r="U6091" s="329" t="str">
        <f>IF($N6091=$N$4,IFERROR(INDEX(DanhMuc!$E$154:$E$165,MATCH(MID($B6091,4,2),DanhMuc!$B$154:$B$165,0)),""),"")</f>
        <v/>
      </c>
      <c r="V6091" s="361"/>
      <c r="W6091" s="345"/>
      <c r="X6091" s="786"/>
      <c r="Y6091" s="1128" t="s">
        <v>3380</v>
      </c>
      <c r="Z6091" s="1128" t="s">
        <v>3381</v>
      </c>
      <c r="AA6091" s="1128" t="s">
        <v>3384</v>
      </c>
      <c r="AB6091" s="20"/>
      <c r="AC6091" s="73"/>
    </row>
    <row r="6092" spans="1:29" ht="37.5">
      <c r="A6092" s="327" t="str">
        <f>IF(AND($B6092&lt;&gt;"",$C6092&lt;&gt;""),MAX($A$4730:$A6091)+1,"")</f>
        <v/>
      </c>
      <c r="B6092" s="361" t="s">
        <v>1066</v>
      </c>
      <c r="C6092" s="362"/>
      <c r="D6092" s="327">
        <f>IF($B6092="","",COUNTIF($B$4731:$B6092,$B6092))</f>
        <v>3</v>
      </c>
      <c r="E6092" s="362" t="s">
        <v>1964</v>
      </c>
      <c r="F6092" s="362" t="s">
        <v>1965</v>
      </c>
      <c r="G6092" s="410" t="s">
        <v>405</v>
      </c>
      <c r="H6092" s="402" t="s">
        <v>536</v>
      </c>
      <c r="I6092" s="402" t="s">
        <v>1210</v>
      </c>
      <c r="J6092" s="402"/>
      <c r="K6092" s="410" t="s">
        <v>223</v>
      </c>
      <c r="L6092" s="478">
        <v>140</v>
      </c>
      <c r="M6092" s="371"/>
      <c r="N6092" s="355" t="s">
        <v>2408</v>
      </c>
      <c r="O6092" s="345"/>
      <c r="P6092" s="325"/>
      <c r="Q6092" s="327"/>
      <c r="R6092" s="351"/>
      <c r="S6092" s="351"/>
      <c r="T6092" s="351"/>
      <c r="U6092" s="329" t="str">
        <f>IF($N6092=$N$4,IFERROR(INDEX(DanhMuc!$E$154:$E$165,MATCH(MID($B6092,4,2),DanhMuc!$B$154:$B$165,0)),""),"")</f>
        <v/>
      </c>
      <c r="V6092" s="361"/>
      <c r="W6092" s="345"/>
      <c r="X6092" s="786"/>
      <c r="Y6092" s="1128" t="s">
        <v>3380</v>
      </c>
      <c r="Z6092" s="1128" t="s">
        <v>3381</v>
      </c>
      <c r="AA6092" s="1128" t="s">
        <v>3384</v>
      </c>
      <c r="AB6092" s="20"/>
      <c r="AC6092" s="73"/>
    </row>
    <row r="6093" spans="1:29">
      <c r="A6093" s="327" t="str">
        <f>IF(AND($B6093&lt;&gt;"",$C6093&lt;&gt;""),MAX($A$4730:$A6092)+1,"")</f>
        <v/>
      </c>
      <c r="B6093" s="361" t="s">
        <v>1066</v>
      </c>
      <c r="C6093" s="362"/>
      <c r="D6093" s="327">
        <f>IF($B6093="","",COUNTIF($B$4731:$B6093,$B6093))</f>
        <v>4</v>
      </c>
      <c r="E6093" s="361" t="s">
        <v>656</v>
      </c>
      <c r="F6093" s="362" t="s">
        <v>2239</v>
      </c>
      <c r="G6093" s="327" t="s">
        <v>405</v>
      </c>
      <c r="H6093" s="361" t="s">
        <v>536</v>
      </c>
      <c r="I6093" s="361" t="s">
        <v>1827</v>
      </c>
      <c r="J6093" s="361"/>
      <c r="K6093" s="327" t="s">
        <v>100</v>
      </c>
      <c r="L6093" s="478">
        <v>970</v>
      </c>
      <c r="M6093" s="371"/>
      <c r="N6093" s="355" t="s">
        <v>2409</v>
      </c>
      <c r="O6093" s="345"/>
      <c r="P6093" s="325"/>
      <c r="Q6093" s="327"/>
      <c r="R6093" s="351"/>
      <c r="S6093" s="351"/>
      <c r="T6093" s="351"/>
      <c r="U6093" s="329" t="str">
        <f>IF($N6093=$N$4,IFERROR(INDEX(DanhMuc!$E$154:$E$165,MATCH(MID($B6093,4,2),DanhMuc!$B$154:$B$165,0)),""),"")</f>
        <v/>
      </c>
      <c r="V6093" s="361"/>
      <c r="W6093" s="345"/>
      <c r="X6093" s="786"/>
      <c r="Y6093" s="1128" t="s">
        <v>3380</v>
      </c>
      <c r="Z6093" s="1128" t="s">
        <v>3381</v>
      </c>
      <c r="AA6093" s="1128" t="s">
        <v>3384</v>
      </c>
      <c r="AB6093" s="20"/>
      <c r="AC6093" s="73"/>
    </row>
    <row r="6094" spans="1:29">
      <c r="A6094" s="327" t="str">
        <f>IF(AND($B6094&lt;&gt;"",$C6094&lt;&gt;""),MAX($A$4730:$A6093)+1,"")</f>
        <v/>
      </c>
      <c r="B6094" s="361" t="s">
        <v>1066</v>
      </c>
      <c r="C6094" s="362"/>
      <c r="D6094" s="327">
        <f>IF($B6094="","",COUNTIF($B$4731:$B6094,$B6094))</f>
        <v>5</v>
      </c>
      <c r="E6094" s="361" t="s">
        <v>657</v>
      </c>
      <c r="F6094" s="362" t="s">
        <v>658</v>
      </c>
      <c r="G6094" s="327" t="s">
        <v>424</v>
      </c>
      <c r="H6094" s="361" t="s">
        <v>536</v>
      </c>
      <c r="I6094" s="361" t="s">
        <v>665</v>
      </c>
      <c r="J6094" s="361"/>
      <c r="K6094" s="327" t="s">
        <v>100</v>
      </c>
      <c r="L6094" s="478">
        <v>60000</v>
      </c>
      <c r="M6094" s="355"/>
      <c r="N6094" s="355" t="s">
        <v>2409</v>
      </c>
      <c r="O6094" s="345"/>
      <c r="P6094" s="325"/>
      <c r="Q6094" s="327"/>
      <c r="R6094" s="351"/>
      <c r="S6094" s="351"/>
      <c r="T6094" s="351"/>
      <c r="U6094" s="329" t="str">
        <f>IF($N6094=$N$4,IFERROR(INDEX(DanhMuc!$E$154:$E$165,MATCH(MID($B6094,4,2),DanhMuc!$B$154:$B$165,0)),""),"")</f>
        <v/>
      </c>
      <c r="V6094" s="361"/>
      <c r="W6094" s="345"/>
      <c r="X6094" s="786"/>
      <c r="Y6094" s="1128" t="s">
        <v>3380</v>
      </c>
      <c r="Z6094" s="1128" t="s">
        <v>3381</v>
      </c>
      <c r="AA6094" s="1128" t="s">
        <v>3384</v>
      </c>
      <c r="AB6094" s="20"/>
      <c r="AC6094" s="73"/>
    </row>
    <row r="6095" spans="1:29">
      <c r="A6095" s="327" t="str">
        <f>IF(AND($B6095&lt;&gt;"",$C6095&lt;&gt;""),MAX($A$4730:$A6094)+1,"")</f>
        <v/>
      </c>
      <c r="B6095" s="361" t="s">
        <v>1066</v>
      </c>
      <c r="C6095" s="362"/>
      <c r="D6095" s="327">
        <f>IF($B6095="","",COUNTIF($B$4731:$B6095,$B6095))</f>
        <v>6</v>
      </c>
      <c r="E6095" s="361" t="s">
        <v>2771</v>
      </c>
      <c r="F6095" s="362" t="s">
        <v>659</v>
      </c>
      <c r="G6095" s="327" t="s">
        <v>424</v>
      </c>
      <c r="H6095" s="361" t="s">
        <v>536</v>
      </c>
      <c r="I6095" s="361" t="s">
        <v>666</v>
      </c>
      <c r="J6095" s="361"/>
      <c r="K6095" s="327" t="s">
        <v>100</v>
      </c>
      <c r="L6095" s="389">
        <v>53000</v>
      </c>
      <c r="M6095" s="355"/>
      <c r="N6095" s="355" t="s">
        <v>2409</v>
      </c>
      <c r="O6095" s="345"/>
      <c r="P6095" s="325"/>
      <c r="Q6095" s="327"/>
      <c r="R6095" s="351"/>
      <c r="S6095" s="351"/>
      <c r="T6095" s="351"/>
      <c r="U6095" s="329" t="str">
        <f>IF($N6095=$N$4,IFERROR(INDEX(DanhMuc!$E$154:$E$165,MATCH(MID($B6095,4,2),DanhMuc!$B$154:$B$165,0)),""),"")</f>
        <v/>
      </c>
      <c r="V6095" s="361"/>
      <c r="W6095" s="345"/>
      <c r="X6095" s="786"/>
      <c r="Y6095" s="1128" t="s">
        <v>3380</v>
      </c>
      <c r="Z6095" s="1128" t="s">
        <v>3381</v>
      </c>
      <c r="AA6095" s="1128" t="s">
        <v>3384</v>
      </c>
      <c r="AB6095" s="20"/>
      <c r="AC6095" s="73"/>
    </row>
    <row r="6096" spans="1:29">
      <c r="A6096" s="327" t="str">
        <f>IF(AND($B6096&lt;&gt;"",$C6096&lt;&gt;""),MAX($A$4730:$A6095)+1,"")</f>
        <v/>
      </c>
      <c r="B6096" s="361" t="s">
        <v>1066</v>
      </c>
      <c r="C6096" s="362"/>
      <c r="D6096" s="327">
        <f>IF($B6096="","",COUNTIF($B$4731:$B6096,$B6096))</f>
        <v>7</v>
      </c>
      <c r="E6096" s="361" t="s">
        <v>1828</v>
      </c>
      <c r="F6096" s="362" t="s">
        <v>671</v>
      </c>
      <c r="G6096" s="327" t="s">
        <v>661</v>
      </c>
      <c r="H6096" s="361" t="s">
        <v>536</v>
      </c>
      <c r="I6096" s="361" t="s">
        <v>2355</v>
      </c>
      <c r="J6096" s="361"/>
      <c r="K6096" s="327" t="s">
        <v>100</v>
      </c>
      <c r="L6096" s="478">
        <f>40000/1000</f>
        <v>40</v>
      </c>
      <c r="M6096" s="355"/>
      <c r="N6096" s="355" t="s">
        <v>2409</v>
      </c>
      <c r="O6096" s="345"/>
      <c r="P6096" s="325"/>
      <c r="Q6096" s="327"/>
      <c r="R6096" s="351"/>
      <c r="S6096" s="351"/>
      <c r="T6096" s="351"/>
      <c r="U6096" s="329" t="str">
        <f>IF($N6096=$N$4,IFERROR(INDEX(DanhMuc!$E$154:$E$165,MATCH(MID($B6096,4,2),DanhMuc!$B$154:$B$165,0)),""),"")</f>
        <v/>
      </c>
      <c r="V6096" s="361"/>
      <c r="W6096" s="345"/>
      <c r="X6096" s="786"/>
      <c r="Y6096" s="1128" t="s">
        <v>3380</v>
      </c>
      <c r="Z6096" s="1128" t="s">
        <v>3381</v>
      </c>
      <c r="AA6096" s="1128" t="s">
        <v>3384</v>
      </c>
      <c r="AB6096" s="20"/>
      <c r="AC6096" s="73"/>
    </row>
    <row r="6097" spans="1:29">
      <c r="A6097" s="327" t="str">
        <f>IF(AND($B6097&lt;&gt;"",$C6097&lt;&gt;""),MAX($A$4730:$A6096)+1,"")</f>
        <v/>
      </c>
      <c r="B6097" s="361" t="s">
        <v>1066</v>
      </c>
      <c r="C6097" s="362"/>
      <c r="D6097" s="327">
        <f>IF($B6097="","",COUNTIF($B$4731:$B6097,$B6097))</f>
        <v>8</v>
      </c>
      <c r="E6097" s="361" t="s">
        <v>154</v>
      </c>
      <c r="F6097" s="362" t="s">
        <v>660</v>
      </c>
      <c r="G6097" s="327" t="s">
        <v>661</v>
      </c>
      <c r="H6097" s="361" t="s">
        <v>536</v>
      </c>
      <c r="I6097" s="361" t="s">
        <v>667</v>
      </c>
      <c r="J6097" s="361"/>
      <c r="K6097" s="327" t="s">
        <v>662</v>
      </c>
      <c r="L6097" s="478">
        <v>20</v>
      </c>
      <c r="M6097" s="355"/>
      <c r="N6097" s="355" t="s">
        <v>2409</v>
      </c>
      <c r="O6097" s="345"/>
      <c r="P6097" s="325"/>
      <c r="Q6097" s="327"/>
      <c r="R6097" s="351"/>
      <c r="S6097" s="351"/>
      <c r="T6097" s="351"/>
      <c r="U6097" s="329" t="str">
        <f>IF($N6097=$N$4,IFERROR(INDEX(DanhMuc!$E$154:$E$165,MATCH(MID($B6097,4,2),DanhMuc!$B$154:$B$165,0)),""),"")</f>
        <v/>
      </c>
      <c r="V6097" s="361"/>
      <c r="W6097" s="345"/>
      <c r="X6097" s="786"/>
      <c r="Y6097" s="1128" t="s">
        <v>3380</v>
      </c>
      <c r="Z6097" s="1128" t="s">
        <v>3381</v>
      </c>
      <c r="AA6097" s="1128" t="s">
        <v>3384</v>
      </c>
      <c r="AB6097" s="20"/>
      <c r="AC6097" s="73"/>
    </row>
    <row r="6098" spans="1:29">
      <c r="A6098" s="327" t="str">
        <f>IF(AND($B6098&lt;&gt;"",$C6098&lt;&gt;""),MAX($A$4730:$A6097)+1,"")</f>
        <v/>
      </c>
      <c r="B6098" s="361" t="s">
        <v>1066</v>
      </c>
      <c r="C6098" s="362"/>
      <c r="D6098" s="327">
        <f>IF($B6098="","",COUNTIF($B$4731:$B6098,$B6098))</f>
        <v>9</v>
      </c>
      <c r="E6098" s="362" t="s">
        <v>2282</v>
      </c>
      <c r="F6098" s="362" t="s">
        <v>2283</v>
      </c>
      <c r="G6098" s="327" t="s">
        <v>424</v>
      </c>
      <c r="H6098" s="361" t="s">
        <v>536</v>
      </c>
      <c r="I6098" s="361" t="s">
        <v>2238</v>
      </c>
      <c r="J6098" s="361"/>
      <c r="K6098" s="327" t="s">
        <v>662</v>
      </c>
      <c r="L6098" s="478">
        <v>28000</v>
      </c>
      <c r="M6098" s="355"/>
      <c r="N6098" s="355" t="s">
        <v>2409</v>
      </c>
      <c r="O6098" s="345"/>
      <c r="P6098" s="325"/>
      <c r="Q6098" s="327"/>
      <c r="R6098" s="351"/>
      <c r="S6098" s="351"/>
      <c r="T6098" s="351"/>
      <c r="U6098" s="329" t="str">
        <f>IF($N6098=$N$4,IFERROR(INDEX(DanhMuc!$E$154:$E$165,MATCH(MID($B6098,4,2),DanhMuc!$B$154:$B$165,0)),""),"")</f>
        <v/>
      </c>
      <c r="V6098" s="361"/>
      <c r="W6098" s="345"/>
      <c r="X6098" s="786"/>
      <c r="Y6098" s="1128" t="s">
        <v>3380</v>
      </c>
      <c r="Z6098" s="1128" t="s">
        <v>3381</v>
      </c>
      <c r="AA6098" s="1128" t="s">
        <v>3384</v>
      </c>
      <c r="AB6098" s="20"/>
      <c r="AC6098" s="73"/>
    </row>
    <row r="6099" spans="1:29">
      <c r="A6099" s="327" t="str">
        <f>IF(AND($B6099&lt;&gt;"",$C6099&lt;&gt;""),MAX($A$4730:$A6098)+1,"")</f>
        <v/>
      </c>
      <c r="B6099" s="361" t="s">
        <v>1066</v>
      </c>
      <c r="C6099" s="362"/>
      <c r="D6099" s="327">
        <f>IF($B6099="","",COUNTIF($B$4731:$B6099,$B6099))</f>
        <v>10</v>
      </c>
      <c r="E6099" s="362" t="s">
        <v>663</v>
      </c>
      <c r="F6099" s="362" t="s">
        <v>664</v>
      </c>
      <c r="G6099" s="327" t="s">
        <v>155</v>
      </c>
      <c r="H6099" s="361" t="s">
        <v>536</v>
      </c>
      <c r="I6099" s="361" t="s">
        <v>672</v>
      </c>
      <c r="J6099" s="361"/>
      <c r="K6099" s="327" t="s">
        <v>662</v>
      </c>
      <c r="L6099" s="478">
        <v>1000</v>
      </c>
      <c r="M6099" s="355"/>
      <c r="N6099" s="355" t="s">
        <v>2409</v>
      </c>
      <c r="O6099" s="345"/>
      <c r="P6099" s="325"/>
      <c r="Q6099" s="327"/>
      <c r="R6099" s="351"/>
      <c r="S6099" s="351"/>
      <c r="T6099" s="351"/>
      <c r="U6099" s="329" t="str">
        <f>IF($N6099=$N$4,IFERROR(INDEX(DanhMuc!$E$154:$E$165,MATCH(MID($B6099,4,2),DanhMuc!$B$154:$B$165,0)),""),"")</f>
        <v/>
      </c>
      <c r="V6099" s="361"/>
      <c r="W6099" s="345"/>
      <c r="X6099" s="786"/>
      <c r="Y6099" s="1128" t="s">
        <v>3380</v>
      </c>
      <c r="Z6099" s="1128" t="s">
        <v>3381</v>
      </c>
      <c r="AA6099" s="1128" t="s">
        <v>3384</v>
      </c>
      <c r="AB6099" s="20"/>
      <c r="AC6099" s="73"/>
    </row>
    <row r="6100" spans="1:29" ht="26">
      <c r="A6100" s="327">
        <f>IF(AND($B6100&lt;&gt;"",$C6100&lt;&gt;""),MAX($A$4730:$A6099)+1,"")</f>
        <v>61</v>
      </c>
      <c r="B6100" s="359" t="s">
        <v>1067</v>
      </c>
      <c r="C6100" s="360" t="s">
        <v>1577</v>
      </c>
      <c r="D6100" s="327">
        <f>IF($B6100="","",COUNTIF($B$4731:$B6100,$B6100))</f>
        <v>1</v>
      </c>
      <c r="E6100" s="361" t="s">
        <v>1826</v>
      </c>
      <c r="F6100" s="362" t="s">
        <v>670</v>
      </c>
      <c r="G6100" s="327" t="s">
        <v>661</v>
      </c>
      <c r="H6100" s="361" t="s">
        <v>536</v>
      </c>
      <c r="I6100" s="361" t="s">
        <v>2354</v>
      </c>
      <c r="J6100" s="361"/>
      <c r="K6100" s="327" t="s">
        <v>103</v>
      </c>
      <c r="L6100" s="478">
        <f>40000/1000</f>
        <v>40</v>
      </c>
      <c r="M6100" s="355"/>
      <c r="N6100" s="355" t="s">
        <v>2408</v>
      </c>
      <c r="O6100" s="345"/>
      <c r="P6100" s="325"/>
      <c r="Q6100" s="327"/>
      <c r="R6100" s="351"/>
      <c r="S6100" s="351"/>
      <c r="T6100" s="351"/>
      <c r="U6100" s="329" t="str">
        <f>IF($N6100=$N$4,IFERROR(INDEX(DanhMuc!$E$154:$E$165,MATCH(MID($B6100,4,2),DanhMuc!$B$154:$B$165,0)),""),"")</f>
        <v/>
      </c>
      <c r="V6100" s="361"/>
      <c r="W6100" s="345"/>
      <c r="X6100" s="786"/>
      <c r="Y6100" s="1128" t="s">
        <v>3380</v>
      </c>
      <c r="Z6100" s="1128" t="s">
        <v>3381</v>
      </c>
      <c r="AA6100" s="1128" t="s">
        <v>3384</v>
      </c>
      <c r="AB6100" s="20"/>
      <c r="AC6100" s="73"/>
    </row>
    <row r="6101" spans="1:29" ht="25">
      <c r="A6101" s="327" t="str">
        <f>IF(AND($B6101&lt;&gt;"",$C6101&lt;&gt;""),MAX($A$4730:$A6100)+1,"")</f>
        <v/>
      </c>
      <c r="B6101" s="361" t="s">
        <v>1067</v>
      </c>
      <c r="C6101" s="362"/>
      <c r="D6101" s="327">
        <f>IF($B6101="","",COUNTIF($B$4731:$B6101,$B6101))</f>
        <v>2</v>
      </c>
      <c r="E6101" s="362" t="s">
        <v>1966</v>
      </c>
      <c r="F6101" s="362" t="s">
        <v>1967</v>
      </c>
      <c r="G6101" s="327" t="s">
        <v>405</v>
      </c>
      <c r="H6101" s="361" t="s">
        <v>536</v>
      </c>
      <c r="I6101" s="361" t="s">
        <v>1309</v>
      </c>
      <c r="J6101" s="361"/>
      <c r="K6101" s="327" t="s">
        <v>223</v>
      </c>
      <c r="L6101" s="389">
        <v>750</v>
      </c>
      <c r="M6101" s="371"/>
      <c r="N6101" s="355" t="s">
        <v>2408</v>
      </c>
      <c r="O6101" s="345"/>
      <c r="P6101" s="325"/>
      <c r="Q6101" s="327"/>
      <c r="R6101" s="351"/>
      <c r="S6101" s="351"/>
      <c r="T6101" s="351"/>
      <c r="U6101" s="329" t="str">
        <f>IF($N6101=$N$4,IFERROR(INDEX(DanhMuc!$E$154:$E$165,MATCH(MID($B6101,4,2),DanhMuc!$B$154:$B$165,0)),""),"")</f>
        <v/>
      </c>
      <c r="V6101" s="361"/>
      <c r="W6101" s="345"/>
      <c r="X6101" s="786"/>
      <c r="Y6101" s="1128" t="s">
        <v>3380</v>
      </c>
      <c r="Z6101" s="1128" t="s">
        <v>3381</v>
      </c>
      <c r="AA6101" s="1128" t="s">
        <v>3384</v>
      </c>
      <c r="AB6101" s="20"/>
      <c r="AC6101" s="73"/>
    </row>
    <row r="6102" spans="1:29" ht="37.5">
      <c r="A6102" s="327" t="str">
        <f>IF(AND($B6102&lt;&gt;"",$C6102&lt;&gt;""),MAX($A$4730:$A6101)+1,"")</f>
        <v/>
      </c>
      <c r="B6102" s="361" t="s">
        <v>1067</v>
      </c>
      <c r="C6102" s="362"/>
      <c r="D6102" s="327">
        <f>IF($B6102="","",COUNTIF($B$4731:$B6102,$B6102))</f>
        <v>3</v>
      </c>
      <c r="E6102" s="362" t="s">
        <v>1964</v>
      </c>
      <c r="F6102" s="362" t="s">
        <v>1965</v>
      </c>
      <c r="G6102" s="410" t="s">
        <v>405</v>
      </c>
      <c r="H6102" s="402" t="s">
        <v>536</v>
      </c>
      <c r="I6102" s="402" t="s">
        <v>1210</v>
      </c>
      <c r="J6102" s="402"/>
      <c r="K6102" s="410" t="s">
        <v>223</v>
      </c>
      <c r="L6102" s="478">
        <v>140</v>
      </c>
      <c r="M6102" s="371"/>
      <c r="N6102" s="355" t="s">
        <v>2408</v>
      </c>
      <c r="O6102" s="345"/>
      <c r="P6102" s="325"/>
      <c r="Q6102" s="327"/>
      <c r="R6102" s="351"/>
      <c r="S6102" s="351"/>
      <c r="T6102" s="351"/>
      <c r="U6102" s="329" t="str">
        <f>IF($N6102=$N$4,IFERROR(INDEX(DanhMuc!$E$154:$E$165,MATCH(MID($B6102,4,2),DanhMuc!$B$154:$B$165,0)),""),"")</f>
        <v/>
      </c>
      <c r="V6102" s="361"/>
      <c r="W6102" s="345"/>
      <c r="X6102" s="786"/>
      <c r="Y6102" s="1128" t="s">
        <v>3380</v>
      </c>
      <c r="Z6102" s="1128" t="s">
        <v>3381</v>
      </c>
      <c r="AA6102" s="1128" t="s">
        <v>3384</v>
      </c>
      <c r="AB6102" s="20"/>
      <c r="AC6102" s="73"/>
    </row>
    <row r="6103" spans="1:29">
      <c r="A6103" s="327" t="str">
        <f>IF(AND($B6103&lt;&gt;"",$C6103&lt;&gt;""),MAX($A$4730:$A6102)+1,"")</f>
        <v/>
      </c>
      <c r="B6103" s="361" t="s">
        <v>1067</v>
      </c>
      <c r="C6103" s="362"/>
      <c r="D6103" s="327">
        <f>IF($B6103="","",COUNTIF($B$4731:$B6103,$B6103))</f>
        <v>4</v>
      </c>
      <c r="E6103" s="361" t="s">
        <v>656</v>
      </c>
      <c r="F6103" s="362" t="s">
        <v>2239</v>
      </c>
      <c r="G6103" s="327" t="s">
        <v>405</v>
      </c>
      <c r="H6103" s="361" t="s">
        <v>536</v>
      </c>
      <c r="I6103" s="361" t="s">
        <v>1827</v>
      </c>
      <c r="J6103" s="361"/>
      <c r="K6103" s="327" t="s">
        <v>100</v>
      </c>
      <c r="L6103" s="478">
        <v>970</v>
      </c>
      <c r="M6103" s="371"/>
      <c r="N6103" s="355" t="s">
        <v>2409</v>
      </c>
      <c r="O6103" s="345"/>
      <c r="P6103" s="325"/>
      <c r="Q6103" s="327"/>
      <c r="R6103" s="351"/>
      <c r="S6103" s="351"/>
      <c r="T6103" s="351"/>
      <c r="U6103" s="329" t="str">
        <f>IF($N6103=$N$4,IFERROR(INDEX(DanhMuc!$E$154:$E$165,MATCH(MID($B6103,4,2),DanhMuc!$B$154:$B$165,0)),""),"")</f>
        <v/>
      </c>
      <c r="V6103" s="361"/>
      <c r="W6103" s="345"/>
      <c r="X6103" s="786"/>
      <c r="Y6103" s="1128" t="s">
        <v>3380</v>
      </c>
      <c r="Z6103" s="1128" t="s">
        <v>3381</v>
      </c>
      <c r="AA6103" s="1128" t="s">
        <v>3384</v>
      </c>
      <c r="AB6103" s="20"/>
      <c r="AC6103" s="73"/>
    </row>
    <row r="6104" spans="1:29">
      <c r="A6104" s="327" t="str">
        <f>IF(AND($B6104&lt;&gt;"",$C6104&lt;&gt;""),MAX($A$4730:$A6103)+1,"")</f>
        <v/>
      </c>
      <c r="B6104" s="361" t="s">
        <v>1067</v>
      </c>
      <c r="C6104" s="362"/>
      <c r="D6104" s="327">
        <f>IF($B6104="","",COUNTIF($B$4731:$B6104,$B6104))</f>
        <v>5</v>
      </c>
      <c r="E6104" s="361" t="s">
        <v>657</v>
      </c>
      <c r="F6104" s="362" t="s">
        <v>658</v>
      </c>
      <c r="G6104" s="327" t="s">
        <v>424</v>
      </c>
      <c r="H6104" s="361" t="s">
        <v>536</v>
      </c>
      <c r="I6104" s="361" t="s">
        <v>665</v>
      </c>
      <c r="J6104" s="361"/>
      <c r="K6104" s="327" t="s">
        <v>100</v>
      </c>
      <c r="L6104" s="478">
        <v>60000</v>
      </c>
      <c r="M6104" s="355"/>
      <c r="N6104" s="355" t="s">
        <v>2409</v>
      </c>
      <c r="O6104" s="345"/>
      <c r="P6104" s="325"/>
      <c r="Q6104" s="327"/>
      <c r="R6104" s="351"/>
      <c r="S6104" s="351"/>
      <c r="T6104" s="351"/>
      <c r="U6104" s="329" t="str">
        <f>IF($N6104=$N$4,IFERROR(INDEX(DanhMuc!$E$154:$E$165,MATCH(MID($B6104,4,2),DanhMuc!$B$154:$B$165,0)),""),"")</f>
        <v/>
      </c>
      <c r="V6104" s="361"/>
      <c r="W6104" s="345"/>
      <c r="X6104" s="786"/>
      <c r="Y6104" s="1128" t="s">
        <v>3380</v>
      </c>
      <c r="Z6104" s="1128" t="s">
        <v>3381</v>
      </c>
      <c r="AA6104" s="1128" t="s">
        <v>3384</v>
      </c>
      <c r="AB6104" s="20"/>
      <c r="AC6104" s="73"/>
    </row>
    <row r="6105" spans="1:29">
      <c r="A6105" s="327" t="str">
        <f>IF(AND($B6105&lt;&gt;"",$C6105&lt;&gt;""),MAX($A$4730:$A6104)+1,"")</f>
        <v/>
      </c>
      <c r="B6105" s="361" t="s">
        <v>1067</v>
      </c>
      <c r="C6105" s="362"/>
      <c r="D6105" s="327">
        <f>IF($B6105="","",COUNTIF($B$4731:$B6105,$B6105))</f>
        <v>6</v>
      </c>
      <c r="E6105" s="361" t="s">
        <v>2771</v>
      </c>
      <c r="F6105" s="362" t="s">
        <v>659</v>
      </c>
      <c r="G6105" s="327" t="s">
        <v>424</v>
      </c>
      <c r="H6105" s="361" t="s">
        <v>536</v>
      </c>
      <c r="I6105" s="361" t="s">
        <v>666</v>
      </c>
      <c r="J6105" s="361"/>
      <c r="K6105" s="327" t="s">
        <v>100</v>
      </c>
      <c r="L6105" s="389">
        <v>53000</v>
      </c>
      <c r="M6105" s="355"/>
      <c r="N6105" s="355" t="s">
        <v>2409</v>
      </c>
      <c r="O6105" s="345"/>
      <c r="P6105" s="325"/>
      <c r="Q6105" s="327"/>
      <c r="R6105" s="351"/>
      <c r="S6105" s="351"/>
      <c r="T6105" s="351"/>
      <c r="U6105" s="329" t="str">
        <f>IF($N6105=$N$4,IFERROR(INDEX(DanhMuc!$E$154:$E$165,MATCH(MID($B6105,4,2),DanhMuc!$B$154:$B$165,0)),""),"")</f>
        <v/>
      </c>
      <c r="V6105" s="361"/>
      <c r="W6105" s="345"/>
      <c r="X6105" s="786"/>
      <c r="Y6105" s="1128" t="s">
        <v>3380</v>
      </c>
      <c r="Z6105" s="1128" t="s">
        <v>3381</v>
      </c>
      <c r="AA6105" s="1128" t="s">
        <v>3384</v>
      </c>
      <c r="AB6105" s="20"/>
      <c r="AC6105" s="73"/>
    </row>
    <row r="6106" spans="1:29">
      <c r="A6106" s="327" t="str">
        <f>IF(AND($B6106&lt;&gt;"",$C6106&lt;&gt;""),MAX($A$4730:$A6105)+1,"")</f>
        <v/>
      </c>
      <c r="B6106" s="361" t="s">
        <v>1067</v>
      </c>
      <c r="C6106" s="362"/>
      <c r="D6106" s="327">
        <f>IF($B6106="","",COUNTIF($B$4731:$B6106,$B6106))</f>
        <v>7</v>
      </c>
      <c r="E6106" s="361" t="s">
        <v>1828</v>
      </c>
      <c r="F6106" s="362" t="s">
        <v>671</v>
      </c>
      <c r="G6106" s="327" t="s">
        <v>661</v>
      </c>
      <c r="H6106" s="361" t="s">
        <v>536</v>
      </c>
      <c r="I6106" s="361" t="s">
        <v>2355</v>
      </c>
      <c r="J6106" s="361"/>
      <c r="K6106" s="327" t="s">
        <v>100</v>
      </c>
      <c r="L6106" s="478">
        <f>40000/1000</f>
        <v>40</v>
      </c>
      <c r="M6106" s="355"/>
      <c r="N6106" s="355" t="s">
        <v>2409</v>
      </c>
      <c r="O6106" s="345"/>
      <c r="P6106" s="325"/>
      <c r="Q6106" s="327"/>
      <c r="R6106" s="351"/>
      <c r="S6106" s="351"/>
      <c r="T6106" s="351"/>
      <c r="U6106" s="329" t="str">
        <f>IF($N6106=$N$4,IFERROR(INDEX(DanhMuc!$E$154:$E$165,MATCH(MID($B6106,4,2),DanhMuc!$B$154:$B$165,0)),""),"")</f>
        <v/>
      </c>
      <c r="V6106" s="361"/>
      <c r="W6106" s="345"/>
      <c r="X6106" s="786"/>
      <c r="Y6106" s="1128" t="s">
        <v>3380</v>
      </c>
      <c r="Z6106" s="1128" t="s">
        <v>3381</v>
      </c>
      <c r="AA6106" s="1128" t="s">
        <v>3384</v>
      </c>
      <c r="AB6106" s="20"/>
      <c r="AC6106" s="73"/>
    </row>
    <row r="6107" spans="1:29">
      <c r="A6107" s="327" t="str">
        <f>IF(AND($B6107&lt;&gt;"",$C6107&lt;&gt;""),MAX($A$4730:$A6106)+1,"")</f>
        <v/>
      </c>
      <c r="B6107" s="361" t="s">
        <v>1067</v>
      </c>
      <c r="C6107" s="362"/>
      <c r="D6107" s="327">
        <f>IF($B6107="","",COUNTIF($B$4731:$B6107,$B6107))</f>
        <v>8</v>
      </c>
      <c r="E6107" s="361" t="s">
        <v>154</v>
      </c>
      <c r="F6107" s="362" t="s">
        <v>660</v>
      </c>
      <c r="G6107" s="327" t="s">
        <v>661</v>
      </c>
      <c r="H6107" s="361" t="s">
        <v>536</v>
      </c>
      <c r="I6107" s="361" t="s">
        <v>667</v>
      </c>
      <c r="J6107" s="361"/>
      <c r="K6107" s="327" t="s">
        <v>662</v>
      </c>
      <c r="L6107" s="478">
        <v>20</v>
      </c>
      <c r="M6107" s="355"/>
      <c r="N6107" s="355" t="s">
        <v>2409</v>
      </c>
      <c r="O6107" s="345"/>
      <c r="P6107" s="325"/>
      <c r="Q6107" s="327"/>
      <c r="R6107" s="351"/>
      <c r="S6107" s="351"/>
      <c r="T6107" s="351"/>
      <c r="U6107" s="329" t="str">
        <f>IF($N6107=$N$4,IFERROR(INDEX(DanhMuc!$E$154:$E$165,MATCH(MID($B6107,4,2),DanhMuc!$B$154:$B$165,0)),""),"")</f>
        <v/>
      </c>
      <c r="V6107" s="361"/>
      <c r="W6107" s="345"/>
      <c r="X6107" s="786"/>
      <c r="Y6107" s="1128" t="s">
        <v>3380</v>
      </c>
      <c r="Z6107" s="1128" t="s">
        <v>3381</v>
      </c>
      <c r="AA6107" s="1128" t="s">
        <v>3384</v>
      </c>
      <c r="AB6107" s="20"/>
      <c r="AC6107" s="73"/>
    </row>
    <row r="6108" spans="1:29">
      <c r="A6108" s="327" t="str">
        <f>IF(AND($B6108&lt;&gt;"",$C6108&lt;&gt;""),MAX($A$4730:$A6107)+1,"")</f>
        <v/>
      </c>
      <c r="B6108" s="361" t="s">
        <v>1067</v>
      </c>
      <c r="C6108" s="362"/>
      <c r="D6108" s="327">
        <f>IF($B6108="","",COUNTIF($B$4731:$B6108,$B6108))</f>
        <v>9</v>
      </c>
      <c r="E6108" s="362" t="s">
        <v>2282</v>
      </c>
      <c r="F6108" s="362" t="s">
        <v>2283</v>
      </c>
      <c r="G6108" s="327" t="s">
        <v>424</v>
      </c>
      <c r="H6108" s="361" t="s">
        <v>536</v>
      </c>
      <c r="I6108" s="361" t="s">
        <v>2238</v>
      </c>
      <c r="J6108" s="361"/>
      <c r="K6108" s="327" t="s">
        <v>662</v>
      </c>
      <c r="L6108" s="478">
        <v>28000</v>
      </c>
      <c r="M6108" s="355"/>
      <c r="N6108" s="355" t="s">
        <v>2409</v>
      </c>
      <c r="O6108" s="345"/>
      <c r="P6108" s="325"/>
      <c r="Q6108" s="327"/>
      <c r="R6108" s="351"/>
      <c r="S6108" s="351"/>
      <c r="T6108" s="351"/>
      <c r="U6108" s="329" t="str">
        <f>IF($N6108=$N$4,IFERROR(INDEX(DanhMuc!$E$154:$E$165,MATCH(MID($B6108,4,2),DanhMuc!$B$154:$B$165,0)),""),"")</f>
        <v/>
      </c>
      <c r="V6108" s="361"/>
      <c r="W6108" s="345"/>
      <c r="X6108" s="786"/>
      <c r="Y6108" s="1128" t="s">
        <v>3380</v>
      </c>
      <c r="Z6108" s="1128" t="s">
        <v>3381</v>
      </c>
      <c r="AA6108" s="1128" t="s">
        <v>3384</v>
      </c>
      <c r="AB6108" s="20"/>
      <c r="AC6108" s="73"/>
    </row>
    <row r="6109" spans="1:29">
      <c r="A6109" s="327" t="str">
        <f>IF(AND($B6109&lt;&gt;"",$C6109&lt;&gt;""),MAX($A$4730:$A6108)+1,"")</f>
        <v/>
      </c>
      <c r="B6109" s="361" t="s">
        <v>1067</v>
      </c>
      <c r="C6109" s="362"/>
      <c r="D6109" s="327">
        <f>IF($B6109="","",COUNTIF($B$4731:$B6109,$B6109))</f>
        <v>10</v>
      </c>
      <c r="E6109" s="362" t="s">
        <v>663</v>
      </c>
      <c r="F6109" s="362" t="s">
        <v>664</v>
      </c>
      <c r="G6109" s="327" t="s">
        <v>155</v>
      </c>
      <c r="H6109" s="361" t="s">
        <v>536</v>
      </c>
      <c r="I6109" s="361" t="s">
        <v>672</v>
      </c>
      <c r="J6109" s="361"/>
      <c r="K6109" s="327" t="s">
        <v>662</v>
      </c>
      <c r="L6109" s="478">
        <v>1000</v>
      </c>
      <c r="M6109" s="355"/>
      <c r="N6109" s="355" t="s">
        <v>2409</v>
      </c>
      <c r="O6109" s="345"/>
      <c r="P6109" s="325"/>
      <c r="Q6109" s="327"/>
      <c r="R6109" s="351"/>
      <c r="S6109" s="351"/>
      <c r="T6109" s="351"/>
      <c r="U6109" s="329" t="str">
        <f>IF($N6109=$N$4,IFERROR(INDEX(DanhMuc!$E$154:$E$165,MATCH(MID($B6109,4,2),DanhMuc!$B$154:$B$165,0)),""),"")</f>
        <v/>
      </c>
      <c r="V6109" s="361"/>
      <c r="W6109" s="345"/>
      <c r="X6109" s="786"/>
      <c r="Y6109" s="1128" t="s">
        <v>3380</v>
      </c>
      <c r="Z6109" s="1128" t="s">
        <v>3381</v>
      </c>
      <c r="AA6109" s="1128" t="s">
        <v>3384</v>
      </c>
      <c r="AB6109" s="20"/>
      <c r="AC6109" s="73"/>
    </row>
    <row r="6110" spans="1:29" ht="26">
      <c r="A6110" s="327">
        <f>IF(AND($B6110&lt;&gt;"",$C6110&lt;&gt;""),MAX($A$4730:$A6109)+1,"")</f>
        <v>62</v>
      </c>
      <c r="B6110" s="359" t="s">
        <v>1068</v>
      </c>
      <c r="C6110" s="370" t="s">
        <v>1578</v>
      </c>
      <c r="D6110" s="327">
        <f>IF($B6110="","",COUNTIF($B$4731:$B6110,$B6110))</f>
        <v>1</v>
      </c>
      <c r="E6110" s="361" t="s">
        <v>1826</v>
      </c>
      <c r="F6110" s="362" t="s">
        <v>670</v>
      </c>
      <c r="G6110" s="327" t="s">
        <v>661</v>
      </c>
      <c r="H6110" s="361" t="s">
        <v>536</v>
      </c>
      <c r="I6110" s="361" t="s">
        <v>2354</v>
      </c>
      <c r="J6110" s="361"/>
      <c r="K6110" s="327" t="s">
        <v>103</v>
      </c>
      <c r="L6110" s="478">
        <f>40000/1000</f>
        <v>40</v>
      </c>
      <c r="M6110" s="355"/>
      <c r="N6110" s="355" t="s">
        <v>2408</v>
      </c>
      <c r="O6110" s="345"/>
      <c r="P6110" s="325"/>
      <c r="Q6110" s="327"/>
      <c r="R6110" s="351"/>
      <c r="S6110" s="351"/>
      <c r="T6110" s="351"/>
      <c r="U6110" s="329" t="str">
        <f>IF($N6110=$N$4,IFERROR(INDEX(DanhMuc!$E$154:$E$165,MATCH(MID($B6110,4,2),DanhMuc!$B$154:$B$165,0)),""),"")</f>
        <v/>
      </c>
      <c r="V6110" s="361"/>
      <c r="W6110" s="345"/>
      <c r="X6110" s="786"/>
      <c r="Y6110" s="1128" t="s">
        <v>3380</v>
      </c>
      <c r="Z6110" s="1128" t="s">
        <v>3381</v>
      </c>
      <c r="AA6110" s="1128" t="s">
        <v>3384</v>
      </c>
      <c r="AB6110" s="20"/>
      <c r="AC6110" s="73"/>
    </row>
    <row r="6111" spans="1:29" ht="25">
      <c r="A6111" s="327" t="str">
        <f>IF(AND($B6111&lt;&gt;"",$C6111&lt;&gt;""),MAX($A$4730:$A6110)+1,"")</f>
        <v/>
      </c>
      <c r="B6111" s="361" t="s">
        <v>1068</v>
      </c>
      <c r="C6111" s="362"/>
      <c r="D6111" s="327">
        <f>IF($B6111="","",COUNTIF($B$4731:$B6111,$B6111))</f>
        <v>2</v>
      </c>
      <c r="E6111" s="362" t="s">
        <v>1966</v>
      </c>
      <c r="F6111" s="362" t="s">
        <v>1967</v>
      </c>
      <c r="G6111" s="327" t="s">
        <v>405</v>
      </c>
      <c r="H6111" s="361" t="s">
        <v>536</v>
      </c>
      <c r="I6111" s="361" t="s">
        <v>1309</v>
      </c>
      <c r="J6111" s="361"/>
      <c r="K6111" s="327" t="s">
        <v>223</v>
      </c>
      <c r="L6111" s="389">
        <v>750</v>
      </c>
      <c r="M6111" s="371"/>
      <c r="N6111" s="355" t="s">
        <v>2408</v>
      </c>
      <c r="O6111" s="345"/>
      <c r="P6111" s="325"/>
      <c r="Q6111" s="327"/>
      <c r="R6111" s="351"/>
      <c r="S6111" s="351"/>
      <c r="T6111" s="351"/>
      <c r="U6111" s="329" t="str">
        <f>IF($N6111=$N$4,IFERROR(INDEX(DanhMuc!$E$154:$E$165,MATCH(MID($B6111,4,2),DanhMuc!$B$154:$B$165,0)),""),"")</f>
        <v/>
      </c>
      <c r="V6111" s="361"/>
      <c r="W6111" s="345"/>
      <c r="X6111" s="786"/>
      <c r="Y6111" s="1128" t="s">
        <v>3380</v>
      </c>
      <c r="Z6111" s="1128" t="s">
        <v>3381</v>
      </c>
      <c r="AA6111" s="1128" t="s">
        <v>3384</v>
      </c>
      <c r="AB6111" s="20"/>
      <c r="AC6111" s="73"/>
    </row>
    <row r="6112" spans="1:29" ht="37.5">
      <c r="A6112" s="327" t="str">
        <f>IF(AND($B6112&lt;&gt;"",$C6112&lt;&gt;""),MAX($A$4730:$A6111)+1,"")</f>
        <v/>
      </c>
      <c r="B6112" s="361" t="s">
        <v>1068</v>
      </c>
      <c r="C6112" s="362"/>
      <c r="D6112" s="327">
        <f>IF($B6112="","",COUNTIF($B$4731:$B6112,$B6112))</f>
        <v>3</v>
      </c>
      <c r="E6112" s="362" t="s">
        <v>1964</v>
      </c>
      <c r="F6112" s="362" t="s">
        <v>1965</v>
      </c>
      <c r="G6112" s="410" t="s">
        <v>405</v>
      </c>
      <c r="H6112" s="402" t="s">
        <v>536</v>
      </c>
      <c r="I6112" s="402" t="s">
        <v>1210</v>
      </c>
      <c r="J6112" s="402"/>
      <c r="K6112" s="410" t="s">
        <v>223</v>
      </c>
      <c r="L6112" s="478">
        <v>140</v>
      </c>
      <c r="M6112" s="371"/>
      <c r="N6112" s="355" t="s">
        <v>2408</v>
      </c>
      <c r="O6112" s="345"/>
      <c r="P6112" s="325"/>
      <c r="Q6112" s="327"/>
      <c r="R6112" s="351"/>
      <c r="S6112" s="351"/>
      <c r="T6112" s="351"/>
      <c r="U6112" s="329" t="str">
        <f>IF($N6112=$N$4,IFERROR(INDEX(DanhMuc!$E$154:$E$165,MATCH(MID($B6112,4,2),DanhMuc!$B$154:$B$165,0)),""),"")</f>
        <v/>
      </c>
      <c r="V6112" s="361"/>
      <c r="W6112" s="345"/>
      <c r="X6112" s="786"/>
      <c r="Y6112" s="1128" t="s">
        <v>3380</v>
      </c>
      <c r="Z6112" s="1128" t="s">
        <v>3381</v>
      </c>
      <c r="AA6112" s="1128" t="s">
        <v>3384</v>
      </c>
      <c r="AB6112" s="20"/>
      <c r="AC6112" s="73"/>
    </row>
    <row r="6113" spans="1:29">
      <c r="A6113" s="327" t="str">
        <f>IF(AND($B6113&lt;&gt;"",$C6113&lt;&gt;""),MAX($A$4730:$A6112)+1,"")</f>
        <v/>
      </c>
      <c r="B6113" s="361" t="s">
        <v>1068</v>
      </c>
      <c r="C6113" s="362"/>
      <c r="D6113" s="327">
        <f>IF($B6113="","",COUNTIF($B$4731:$B6113,$B6113))</f>
        <v>4</v>
      </c>
      <c r="E6113" s="361" t="s">
        <v>656</v>
      </c>
      <c r="F6113" s="362" t="s">
        <v>2239</v>
      </c>
      <c r="G6113" s="327" t="s">
        <v>405</v>
      </c>
      <c r="H6113" s="361" t="s">
        <v>536</v>
      </c>
      <c r="I6113" s="361" t="s">
        <v>1827</v>
      </c>
      <c r="J6113" s="361"/>
      <c r="K6113" s="327" t="s">
        <v>100</v>
      </c>
      <c r="L6113" s="478">
        <v>970</v>
      </c>
      <c r="M6113" s="371"/>
      <c r="N6113" s="355" t="s">
        <v>2409</v>
      </c>
      <c r="O6113" s="345"/>
      <c r="P6113" s="325"/>
      <c r="Q6113" s="327"/>
      <c r="R6113" s="351"/>
      <c r="S6113" s="351"/>
      <c r="T6113" s="351"/>
      <c r="U6113" s="329" t="str">
        <f>IF($N6113=$N$4,IFERROR(INDEX(DanhMuc!$E$154:$E$165,MATCH(MID($B6113,4,2),DanhMuc!$B$154:$B$165,0)),""),"")</f>
        <v/>
      </c>
      <c r="V6113" s="361"/>
      <c r="W6113" s="345"/>
      <c r="X6113" s="786"/>
      <c r="Y6113" s="1128" t="s">
        <v>3380</v>
      </c>
      <c r="Z6113" s="1128" t="s">
        <v>3381</v>
      </c>
      <c r="AA6113" s="1128" t="s">
        <v>3384</v>
      </c>
      <c r="AB6113" s="20"/>
      <c r="AC6113" s="73"/>
    </row>
    <row r="6114" spans="1:29">
      <c r="A6114" s="327" t="str">
        <f>IF(AND($B6114&lt;&gt;"",$C6114&lt;&gt;""),MAX($A$4730:$A6113)+1,"")</f>
        <v/>
      </c>
      <c r="B6114" s="361" t="s">
        <v>1068</v>
      </c>
      <c r="C6114" s="362"/>
      <c r="D6114" s="327">
        <f>IF($B6114="","",COUNTIF($B$4731:$B6114,$B6114))</f>
        <v>5</v>
      </c>
      <c r="E6114" s="361" t="s">
        <v>657</v>
      </c>
      <c r="F6114" s="362" t="s">
        <v>658</v>
      </c>
      <c r="G6114" s="327" t="s">
        <v>424</v>
      </c>
      <c r="H6114" s="361" t="s">
        <v>536</v>
      </c>
      <c r="I6114" s="361" t="s">
        <v>665</v>
      </c>
      <c r="J6114" s="361"/>
      <c r="K6114" s="327" t="s">
        <v>100</v>
      </c>
      <c r="L6114" s="478">
        <v>60000</v>
      </c>
      <c r="M6114" s="355"/>
      <c r="N6114" s="355" t="s">
        <v>2409</v>
      </c>
      <c r="O6114" s="345"/>
      <c r="P6114" s="325"/>
      <c r="Q6114" s="327"/>
      <c r="R6114" s="351"/>
      <c r="S6114" s="351"/>
      <c r="T6114" s="351"/>
      <c r="U6114" s="329" t="str">
        <f>IF($N6114=$N$4,IFERROR(INDEX(DanhMuc!$E$154:$E$165,MATCH(MID($B6114,4,2),DanhMuc!$B$154:$B$165,0)),""),"")</f>
        <v/>
      </c>
      <c r="V6114" s="361"/>
      <c r="W6114" s="345"/>
      <c r="X6114" s="786"/>
      <c r="Y6114" s="1128" t="s">
        <v>3380</v>
      </c>
      <c r="Z6114" s="1128" t="s">
        <v>3381</v>
      </c>
      <c r="AA6114" s="1128" t="s">
        <v>3384</v>
      </c>
      <c r="AB6114" s="20"/>
      <c r="AC6114" s="73"/>
    </row>
    <row r="6115" spans="1:29">
      <c r="A6115" s="327" t="str">
        <f>IF(AND($B6115&lt;&gt;"",$C6115&lt;&gt;""),MAX($A$4730:$A6114)+1,"")</f>
        <v/>
      </c>
      <c r="B6115" s="361" t="s">
        <v>1068</v>
      </c>
      <c r="C6115" s="362"/>
      <c r="D6115" s="327">
        <f>IF($B6115="","",COUNTIF($B$4731:$B6115,$B6115))</f>
        <v>6</v>
      </c>
      <c r="E6115" s="361" t="s">
        <v>2771</v>
      </c>
      <c r="F6115" s="362" t="s">
        <v>659</v>
      </c>
      <c r="G6115" s="327" t="s">
        <v>424</v>
      </c>
      <c r="H6115" s="361" t="s">
        <v>536</v>
      </c>
      <c r="I6115" s="361" t="s">
        <v>666</v>
      </c>
      <c r="J6115" s="361"/>
      <c r="K6115" s="327" t="s">
        <v>100</v>
      </c>
      <c r="L6115" s="389">
        <v>53000</v>
      </c>
      <c r="M6115" s="355"/>
      <c r="N6115" s="355" t="s">
        <v>2409</v>
      </c>
      <c r="O6115" s="345"/>
      <c r="P6115" s="325"/>
      <c r="Q6115" s="327"/>
      <c r="R6115" s="351"/>
      <c r="S6115" s="351"/>
      <c r="T6115" s="351"/>
      <c r="U6115" s="329" t="str">
        <f>IF($N6115=$N$4,IFERROR(INDEX(DanhMuc!$E$154:$E$165,MATCH(MID($B6115,4,2),DanhMuc!$B$154:$B$165,0)),""),"")</f>
        <v/>
      </c>
      <c r="V6115" s="361"/>
      <c r="W6115" s="345"/>
      <c r="X6115" s="786"/>
      <c r="Y6115" s="1128" t="s">
        <v>3380</v>
      </c>
      <c r="Z6115" s="1128" t="s">
        <v>3381</v>
      </c>
      <c r="AA6115" s="1128" t="s">
        <v>3384</v>
      </c>
      <c r="AB6115" s="20"/>
      <c r="AC6115" s="73"/>
    </row>
    <row r="6116" spans="1:29">
      <c r="A6116" s="327" t="str">
        <f>IF(AND($B6116&lt;&gt;"",$C6116&lt;&gt;""),MAX($A$4730:$A6115)+1,"")</f>
        <v/>
      </c>
      <c r="B6116" s="361" t="s">
        <v>1068</v>
      </c>
      <c r="C6116" s="362"/>
      <c r="D6116" s="327">
        <f>IF($B6116="","",COUNTIF($B$4731:$B6116,$B6116))</f>
        <v>7</v>
      </c>
      <c r="E6116" s="361" t="s">
        <v>1828</v>
      </c>
      <c r="F6116" s="362" t="s">
        <v>671</v>
      </c>
      <c r="G6116" s="327" t="s">
        <v>661</v>
      </c>
      <c r="H6116" s="361" t="s">
        <v>536</v>
      </c>
      <c r="I6116" s="361" t="s">
        <v>2355</v>
      </c>
      <c r="J6116" s="361"/>
      <c r="K6116" s="327" t="s">
        <v>100</v>
      </c>
      <c r="L6116" s="478">
        <f>40000/1000</f>
        <v>40</v>
      </c>
      <c r="M6116" s="355"/>
      <c r="N6116" s="355" t="s">
        <v>2409</v>
      </c>
      <c r="O6116" s="345"/>
      <c r="P6116" s="325"/>
      <c r="Q6116" s="327"/>
      <c r="R6116" s="351"/>
      <c r="S6116" s="351"/>
      <c r="T6116" s="351"/>
      <c r="U6116" s="329" t="str">
        <f>IF($N6116=$N$4,IFERROR(INDEX(DanhMuc!$E$154:$E$165,MATCH(MID($B6116,4,2),DanhMuc!$B$154:$B$165,0)),""),"")</f>
        <v/>
      </c>
      <c r="V6116" s="361"/>
      <c r="W6116" s="345"/>
      <c r="X6116" s="786"/>
      <c r="Y6116" s="1128" t="s">
        <v>3380</v>
      </c>
      <c r="Z6116" s="1128" t="s">
        <v>3381</v>
      </c>
      <c r="AA6116" s="1128" t="s">
        <v>3384</v>
      </c>
      <c r="AB6116" s="20"/>
      <c r="AC6116" s="73"/>
    </row>
    <row r="6117" spans="1:29">
      <c r="A6117" s="327" t="str">
        <f>IF(AND($B6117&lt;&gt;"",$C6117&lt;&gt;""),MAX($A$4730:$A6116)+1,"")</f>
        <v/>
      </c>
      <c r="B6117" s="361" t="s">
        <v>1068</v>
      </c>
      <c r="C6117" s="362"/>
      <c r="D6117" s="327">
        <f>IF($B6117="","",COUNTIF($B$4731:$B6117,$B6117))</f>
        <v>8</v>
      </c>
      <c r="E6117" s="361" t="s">
        <v>154</v>
      </c>
      <c r="F6117" s="362" t="s">
        <v>660</v>
      </c>
      <c r="G6117" s="327" t="s">
        <v>661</v>
      </c>
      <c r="H6117" s="361" t="s">
        <v>536</v>
      </c>
      <c r="I6117" s="361" t="s">
        <v>667</v>
      </c>
      <c r="J6117" s="361"/>
      <c r="K6117" s="327" t="s">
        <v>662</v>
      </c>
      <c r="L6117" s="478">
        <v>20</v>
      </c>
      <c r="M6117" s="355"/>
      <c r="N6117" s="355" t="s">
        <v>2409</v>
      </c>
      <c r="O6117" s="345"/>
      <c r="P6117" s="325"/>
      <c r="Q6117" s="327"/>
      <c r="R6117" s="351"/>
      <c r="S6117" s="351"/>
      <c r="T6117" s="351"/>
      <c r="U6117" s="329" t="str">
        <f>IF($N6117=$N$4,IFERROR(INDEX(DanhMuc!$E$154:$E$165,MATCH(MID($B6117,4,2),DanhMuc!$B$154:$B$165,0)),""),"")</f>
        <v/>
      </c>
      <c r="V6117" s="361"/>
      <c r="W6117" s="345"/>
      <c r="X6117" s="786"/>
      <c r="Y6117" s="1128" t="s">
        <v>3380</v>
      </c>
      <c r="Z6117" s="1128" t="s">
        <v>3381</v>
      </c>
      <c r="AA6117" s="1128" t="s">
        <v>3384</v>
      </c>
      <c r="AB6117" s="20"/>
      <c r="AC6117" s="73"/>
    </row>
    <row r="6118" spans="1:29">
      <c r="A6118" s="327" t="str">
        <f>IF(AND($B6118&lt;&gt;"",$C6118&lt;&gt;""),MAX($A$4730:$A6117)+1,"")</f>
        <v/>
      </c>
      <c r="B6118" s="361" t="s">
        <v>1068</v>
      </c>
      <c r="C6118" s="362"/>
      <c r="D6118" s="327">
        <f>IF($B6118="","",COUNTIF($B$4731:$B6118,$B6118))</f>
        <v>9</v>
      </c>
      <c r="E6118" s="362" t="s">
        <v>2282</v>
      </c>
      <c r="F6118" s="362" t="s">
        <v>2283</v>
      </c>
      <c r="G6118" s="327" t="s">
        <v>424</v>
      </c>
      <c r="H6118" s="361" t="s">
        <v>536</v>
      </c>
      <c r="I6118" s="361" t="s">
        <v>2238</v>
      </c>
      <c r="J6118" s="361"/>
      <c r="K6118" s="327" t="s">
        <v>662</v>
      </c>
      <c r="L6118" s="478">
        <v>28000</v>
      </c>
      <c r="M6118" s="355"/>
      <c r="N6118" s="355" t="s">
        <v>2409</v>
      </c>
      <c r="O6118" s="345"/>
      <c r="P6118" s="325"/>
      <c r="Q6118" s="327"/>
      <c r="R6118" s="351"/>
      <c r="S6118" s="351"/>
      <c r="T6118" s="351"/>
      <c r="U6118" s="329" t="str">
        <f>IF($N6118=$N$4,IFERROR(INDEX(DanhMuc!$E$154:$E$165,MATCH(MID($B6118,4,2),DanhMuc!$B$154:$B$165,0)),""),"")</f>
        <v/>
      </c>
      <c r="V6118" s="361"/>
      <c r="W6118" s="345"/>
      <c r="X6118" s="786"/>
      <c r="Y6118" s="1128" t="s">
        <v>3380</v>
      </c>
      <c r="Z6118" s="1128" t="s">
        <v>3381</v>
      </c>
      <c r="AA6118" s="1128" t="s">
        <v>3384</v>
      </c>
      <c r="AB6118" s="20"/>
      <c r="AC6118" s="73"/>
    </row>
    <row r="6119" spans="1:29">
      <c r="A6119" s="327" t="str">
        <f>IF(AND($B6119&lt;&gt;"",$C6119&lt;&gt;""),MAX($A$4730:$A6118)+1,"")</f>
        <v/>
      </c>
      <c r="B6119" s="361" t="s">
        <v>1068</v>
      </c>
      <c r="C6119" s="362"/>
      <c r="D6119" s="327">
        <f>IF($B6119="","",COUNTIF($B$4731:$B6119,$B6119))</f>
        <v>10</v>
      </c>
      <c r="E6119" s="362" t="s">
        <v>663</v>
      </c>
      <c r="F6119" s="362" t="s">
        <v>664</v>
      </c>
      <c r="G6119" s="327" t="s">
        <v>155</v>
      </c>
      <c r="H6119" s="361" t="s">
        <v>536</v>
      </c>
      <c r="I6119" s="361" t="s">
        <v>672</v>
      </c>
      <c r="J6119" s="361"/>
      <c r="K6119" s="327" t="s">
        <v>662</v>
      </c>
      <c r="L6119" s="478">
        <v>1000</v>
      </c>
      <c r="M6119" s="355"/>
      <c r="N6119" s="355" t="s">
        <v>2409</v>
      </c>
      <c r="O6119" s="345"/>
      <c r="P6119" s="325"/>
      <c r="Q6119" s="327"/>
      <c r="R6119" s="351"/>
      <c r="S6119" s="351"/>
      <c r="T6119" s="351"/>
      <c r="U6119" s="329" t="str">
        <f>IF($N6119=$N$4,IFERROR(INDEX(DanhMuc!$E$154:$E$165,MATCH(MID($B6119,4,2),DanhMuc!$B$154:$B$165,0)),""),"")</f>
        <v/>
      </c>
      <c r="V6119" s="361"/>
      <c r="W6119" s="345"/>
      <c r="X6119" s="786"/>
      <c r="Y6119" s="1128" t="s">
        <v>3380</v>
      </c>
      <c r="Z6119" s="1128" t="s">
        <v>3381</v>
      </c>
      <c r="AA6119" s="1128" t="s">
        <v>3384</v>
      </c>
      <c r="AB6119" s="20"/>
      <c r="AC6119" s="73"/>
    </row>
    <row r="6120" spans="1:29" ht="26">
      <c r="A6120" s="327">
        <f>IF(AND($B6120&lt;&gt;"",$C6120&lt;&gt;""),MAX($A$4730:$A6119)+1,"")</f>
        <v>63</v>
      </c>
      <c r="B6120" s="359" t="s">
        <v>863</v>
      </c>
      <c r="C6120" s="370" t="s">
        <v>1584</v>
      </c>
      <c r="D6120" s="327">
        <f>IF($B6120="","",COUNTIF($B$4731:$B6120,$B6120))</f>
        <v>1</v>
      </c>
      <c r="E6120" s="361" t="s">
        <v>1826</v>
      </c>
      <c r="F6120" s="362" t="s">
        <v>670</v>
      </c>
      <c r="G6120" s="327" t="s">
        <v>661</v>
      </c>
      <c r="H6120" s="361" t="s">
        <v>536</v>
      </c>
      <c r="I6120" s="361" t="s">
        <v>2354</v>
      </c>
      <c r="J6120" s="361"/>
      <c r="K6120" s="327" t="s">
        <v>103</v>
      </c>
      <c r="L6120" s="478">
        <f>40000/1000</f>
        <v>40</v>
      </c>
      <c r="M6120" s="355"/>
      <c r="N6120" s="355" t="s">
        <v>2408</v>
      </c>
      <c r="O6120" s="345"/>
      <c r="P6120" s="325"/>
      <c r="Q6120" s="327"/>
      <c r="R6120" s="351"/>
      <c r="S6120" s="351"/>
      <c r="T6120" s="351"/>
      <c r="U6120" s="329" t="str">
        <f>IF($N6120=$N$4,IFERROR(INDEX(DanhMuc!$E$154:$E$165,MATCH(MID($B6120,4,2),DanhMuc!$B$154:$B$165,0)),""),"")</f>
        <v/>
      </c>
      <c r="V6120" s="361"/>
      <c r="W6120" s="345"/>
      <c r="X6120" s="786"/>
      <c r="Y6120" s="1128" t="s">
        <v>3380</v>
      </c>
      <c r="Z6120" s="1128" t="s">
        <v>3381</v>
      </c>
      <c r="AA6120" s="1128" t="s">
        <v>3384</v>
      </c>
      <c r="AB6120" s="20"/>
      <c r="AC6120" s="73"/>
    </row>
    <row r="6121" spans="1:29" ht="25">
      <c r="A6121" s="327" t="str">
        <f>IF(AND($B6121&lt;&gt;"",$C6121&lt;&gt;""),MAX($A$4730:$A6120)+1,"")</f>
        <v/>
      </c>
      <c r="B6121" s="361" t="s">
        <v>863</v>
      </c>
      <c r="C6121" s="362"/>
      <c r="D6121" s="327">
        <f>IF($B6121="","",COUNTIF($B$4731:$B6121,$B6121))</f>
        <v>2</v>
      </c>
      <c r="E6121" s="362" t="s">
        <v>1966</v>
      </c>
      <c r="F6121" s="362" t="s">
        <v>1967</v>
      </c>
      <c r="G6121" s="327" t="s">
        <v>405</v>
      </c>
      <c r="H6121" s="361" t="s">
        <v>536</v>
      </c>
      <c r="I6121" s="361" t="s">
        <v>1309</v>
      </c>
      <c r="J6121" s="361"/>
      <c r="K6121" s="327" t="s">
        <v>223</v>
      </c>
      <c r="L6121" s="389">
        <v>750</v>
      </c>
      <c r="M6121" s="371"/>
      <c r="N6121" s="355" t="s">
        <v>2408</v>
      </c>
      <c r="O6121" s="345"/>
      <c r="P6121" s="325"/>
      <c r="Q6121" s="327"/>
      <c r="R6121" s="351"/>
      <c r="S6121" s="351"/>
      <c r="T6121" s="351"/>
      <c r="U6121" s="329" t="str">
        <f>IF($N6121=$N$4,IFERROR(INDEX(DanhMuc!$E$154:$E$165,MATCH(MID($B6121,4,2),DanhMuc!$B$154:$B$165,0)),""),"")</f>
        <v/>
      </c>
      <c r="V6121" s="361"/>
      <c r="W6121" s="345"/>
      <c r="X6121" s="786"/>
      <c r="Y6121" s="1128" t="s">
        <v>3380</v>
      </c>
      <c r="Z6121" s="1128" t="s">
        <v>3381</v>
      </c>
      <c r="AA6121" s="1128" t="s">
        <v>3384</v>
      </c>
      <c r="AB6121" s="20"/>
      <c r="AC6121" s="73"/>
    </row>
    <row r="6122" spans="1:29" ht="37.5">
      <c r="A6122" s="327" t="str">
        <f>IF(AND($B6122&lt;&gt;"",$C6122&lt;&gt;""),MAX($A$4730:$A6121)+1,"")</f>
        <v/>
      </c>
      <c r="B6122" s="361" t="s">
        <v>863</v>
      </c>
      <c r="C6122" s="362"/>
      <c r="D6122" s="327">
        <f>IF($B6122="","",COUNTIF($B$4731:$B6122,$B6122))</f>
        <v>3</v>
      </c>
      <c r="E6122" s="362" t="s">
        <v>1964</v>
      </c>
      <c r="F6122" s="362" t="s">
        <v>1965</v>
      </c>
      <c r="G6122" s="410" t="s">
        <v>405</v>
      </c>
      <c r="H6122" s="402" t="s">
        <v>536</v>
      </c>
      <c r="I6122" s="402" t="s">
        <v>1210</v>
      </c>
      <c r="J6122" s="402"/>
      <c r="K6122" s="410" t="s">
        <v>223</v>
      </c>
      <c r="L6122" s="478">
        <v>140</v>
      </c>
      <c r="M6122" s="371"/>
      <c r="N6122" s="355" t="s">
        <v>2408</v>
      </c>
      <c r="O6122" s="345"/>
      <c r="P6122" s="325"/>
      <c r="Q6122" s="327"/>
      <c r="R6122" s="351"/>
      <c r="S6122" s="351"/>
      <c r="T6122" s="351"/>
      <c r="U6122" s="329" t="str">
        <f>IF($N6122=$N$4,IFERROR(INDEX(DanhMuc!$E$154:$E$165,MATCH(MID($B6122,4,2),DanhMuc!$B$154:$B$165,0)),""),"")</f>
        <v/>
      </c>
      <c r="V6122" s="361"/>
      <c r="W6122" s="345"/>
      <c r="X6122" s="786"/>
      <c r="Y6122" s="1128" t="s">
        <v>3380</v>
      </c>
      <c r="Z6122" s="1128" t="s">
        <v>3381</v>
      </c>
      <c r="AA6122" s="1128" t="s">
        <v>3384</v>
      </c>
      <c r="AB6122" s="20"/>
      <c r="AC6122" s="73"/>
    </row>
    <row r="6123" spans="1:29">
      <c r="A6123" s="327" t="str">
        <f>IF(AND($B6123&lt;&gt;"",$C6123&lt;&gt;""),MAX($A$4730:$A6122)+1,"")</f>
        <v/>
      </c>
      <c r="B6123" s="361" t="s">
        <v>863</v>
      </c>
      <c r="C6123" s="362"/>
      <c r="D6123" s="327">
        <f>IF($B6123="","",COUNTIF($B$4731:$B6123,$B6123))</f>
        <v>4</v>
      </c>
      <c r="E6123" s="361" t="s">
        <v>656</v>
      </c>
      <c r="F6123" s="362" t="s">
        <v>2239</v>
      </c>
      <c r="G6123" s="327" t="s">
        <v>405</v>
      </c>
      <c r="H6123" s="361" t="s">
        <v>536</v>
      </c>
      <c r="I6123" s="361" t="s">
        <v>1827</v>
      </c>
      <c r="J6123" s="361"/>
      <c r="K6123" s="327" t="s">
        <v>100</v>
      </c>
      <c r="L6123" s="478">
        <v>970</v>
      </c>
      <c r="M6123" s="371"/>
      <c r="N6123" s="355" t="s">
        <v>2409</v>
      </c>
      <c r="O6123" s="345"/>
      <c r="P6123" s="325"/>
      <c r="Q6123" s="327"/>
      <c r="R6123" s="351"/>
      <c r="S6123" s="351"/>
      <c r="T6123" s="351"/>
      <c r="U6123" s="329" t="str">
        <f>IF($N6123=$N$4,IFERROR(INDEX(DanhMuc!$E$154:$E$165,MATCH(MID($B6123,4,2),DanhMuc!$B$154:$B$165,0)),""),"")</f>
        <v/>
      </c>
      <c r="V6123" s="361"/>
      <c r="W6123" s="345"/>
      <c r="X6123" s="786"/>
      <c r="Y6123" s="1128" t="s">
        <v>3380</v>
      </c>
      <c r="Z6123" s="1128" t="s">
        <v>3381</v>
      </c>
      <c r="AA6123" s="1128" t="s">
        <v>3384</v>
      </c>
      <c r="AB6123" s="20"/>
      <c r="AC6123" s="73"/>
    </row>
    <row r="6124" spans="1:29">
      <c r="A6124" s="327" t="str">
        <f>IF(AND($B6124&lt;&gt;"",$C6124&lt;&gt;""),MAX($A$4730:$A6123)+1,"")</f>
        <v/>
      </c>
      <c r="B6124" s="361" t="s">
        <v>863</v>
      </c>
      <c r="C6124" s="362"/>
      <c r="D6124" s="327">
        <f>IF($B6124="","",COUNTIF($B$4731:$B6124,$B6124))</f>
        <v>5</v>
      </c>
      <c r="E6124" s="361" t="s">
        <v>657</v>
      </c>
      <c r="F6124" s="362" t="s">
        <v>658</v>
      </c>
      <c r="G6124" s="327" t="s">
        <v>424</v>
      </c>
      <c r="H6124" s="361" t="s">
        <v>536</v>
      </c>
      <c r="I6124" s="361" t="s">
        <v>665</v>
      </c>
      <c r="J6124" s="361"/>
      <c r="K6124" s="327" t="s">
        <v>100</v>
      </c>
      <c r="L6124" s="478">
        <v>60000</v>
      </c>
      <c r="M6124" s="355"/>
      <c r="N6124" s="355" t="s">
        <v>2409</v>
      </c>
      <c r="O6124" s="345"/>
      <c r="P6124" s="325"/>
      <c r="Q6124" s="327"/>
      <c r="R6124" s="351"/>
      <c r="S6124" s="351"/>
      <c r="T6124" s="351"/>
      <c r="U6124" s="329" t="str">
        <f>IF($N6124=$N$4,IFERROR(INDEX(DanhMuc!$E$154:$E$165,MATCH(MID($B6124,4,2),DanhMuc!$B$154:$B$165,0)),""),"")</f>
        <v/>
      </c>
      <c r="V6124" s="361"/>
      <c r="W6124" s="345"/>
      <c r="X6124" s="786"/>
      <c r="Y6124" s="1128" t="s">
        <v>3380</v>
      </c>
      <c r="Z6124" s="1128" t="s">
        <v>3381</v>
      </c>
      <c r="AA6124" s="1128" t="s">
        <v>3384</v>
      </c>
      <c r="AB6124" s="20"/>
      <c r="AC6124" s="73"/>
    </row>
    <row r="6125" spans="1:29">
      <c r="A6125" s="327" t="str">
        <f>IF(AND($B6125&lt;&gt;"",$C6125&lt;&gt;""),MAX($A$4730:$A6124)+1,"")</f>
        <v/>
      </c>
      <c r="B6125" s="361" t="s">
        <v>863</v>
      </c>
      <c r="C6125" s="362"/>
      <c r="D6125" s="327">
        <f>IF($B6125="","",COUNTIF($B$4731:$B6125,$B6125))</f>
        <v>6</v>
      </c>
      <c r="E6125" s="361" t="s">
        <v>2771</v>
      </c>
      <c r="F6125" s="362" t="s">
        <v>659</v>
      </c>
      <c r="G6125" s="327" t="s">
        <v>424</v>
      </c>
      <c r="H6125" s="361" t="s">
        <v>536</v>
      </c>
      <c r="I6125" s="361" t="s">
        <v>666</v>
      </c>
      <c r="J6125" s="361"/>
      <c r="K6125" s="327" t="s">
        <v>100</v>
      </c>
      <c r="L6125" s="389">
        <v>53000</v>
      </c>
      <c r="M6125" s="355"/>
      <c r="N6125" s="355" t="s">
        <v>2409</v>
      </c>
      <c r="O6125" s="345"/>
      <c r="P6125" s="325"/>
      <c r="Q6125" s="327"/>
      <c r="R6125" s="351"/>
      <c r="S6125" s="351"/>
      <c r="T6125" s="351"/>
      <c r="U6125" s="329" t="str">
        <f>IF($N6125=$N$4,IFERROR(INDEX(DanhMuc!$E$154:$E$165,MATCH(MID($B6125,4,2),DanhMuc!$B$154:$B$165,0)),""),"")</f>
        <v/>
      </c>
      <c r="V6125" s="361"/>
      <c r="W6125" s="345"/>
      <c r="X6125" s="786"/>
      <c r="Y6125" s="1128" t="s">
        <v>3380</v>
      </c>
      <c r="Z6125" s="1128" t="s">
        <v>3381</v>
      </c>
      <c r="AA6125" s="1128" t="s">
        <v>3384</v>
      </c>
      <c r="AB6125" s="20"/>
      <c r="AC6125" s="73"/>
    </row>
    <row r="6126" spans="1:29">
      <c r="A6126" s="327" t="str">
        <f>IF(AND($B6126&lt;&gt;"",$C6126&lt;&gt;""),MAX($A$4730:$A6125)+1,"")</f>
        <v/>
      </c>
      <c r="B6126" s="361" t="s">
        <v>863</v>
      </c>
      <c r="C6126" s="362"/>
      <c r="D6126" s="327">
        <f>IF($B6126="","",COUNTIF($B$4731:$B6126,$B6126))</f>
        <v>7</v>
      </c>
      <c r="E6126" s="361" t="s">
        <v>1828</v>
      </c>
      <c r="F6126" s="362" t="s">
        <v>671</v>
      </c>
      <c r="G6126" s="327" t="s">
        <v>661</v>
      </c>
      <c r="H6126" s="361" t="s">
        <v>536</v>
      </c>
      <c r="I6126" s="361" t="s">
        <v>2355</v>
      </c>
      <c r="J6126" s="361"/>
      <c r="K6126" s="327" t="s">
        <v>100</v>
      </c>
      <c r="L6126" s="478">
        <f>40000/1000</f>
        <v>40</v>
      </c>
      <c r="M6126" s="355"/>
      <c r="N6126" s="355" t="s">
        <v>2409</v>
      </c>
      <c r="O6126" s="345"/>
      <c r="P6126" s="325"/>
      <c r="Q6126" s="327"/>
      <c r="R6126" s="351"/>
      <c r="S6126" s="351"/>
      <c r="T6126" s="351"/>
      <c r="U6126" s="329" t="str">
        <f>IF($N6126=$N$4,IFERROR(INDEX(DanhMuc!$E$154:$E$165,MATCH(MID($B6126,4,2),DanhMuc!$B$154:$B$165,0)),""),"")</f>
        <v/>
      </c>
      <c r="V6126" s="361"/>
      <c r="W6126" s="345"/>
      <c r="X6126" s="786"/>
      <c r="Y6126" s="1128" t="s">
        <v>3380</v>
      </c>
      <c r="Z6126" s="1128" t="s">
        <v>3381</v>
      </c>
      <c r="AA6126" s="1128" t="s">
        <v>3384</v>
      </c>
      <c r="AB6126" s="20"/>
      <c r="AC6126" s="73"/>
    </row>
    <row r="6127" spans="1:29">
      <c r="A6127" s="327" t="str">
        <f>IF(AND($B6127&lt;&gt;"",$C6127&lt;&gt;""),MAX($A$4730:$A6126)+1,"")</f>
        <v/>
      </c>
      <c r="B6127" s="361" t="s">
        <v>863</v>
      </c>
      <c r="C6127" s="362"/>
      <c r="D6127" s="327">
        <f>IF($B6127="","",COUNTIF($B$4731:$B6127,$B6127))</f>
        <v>8</v>
      </c>
      <c r="E6127" s="361" t="s">
        <v>154</v>
      </c>
      <c r="F6127" s="362" t="s">
        <v>660</v>
      </c>
      <c r="G6127" s="327" t="s">
        <v>661</v>
      </c>
      <c r="H6127" s="361" t="s">
        <v>536</v>
      </c>
      <c r="I6127" s="361" t="s">
        <v>667</v>
      </c>
      <c r="J6127" s="361"/>
      <c r="K6127" s="327" t="s">
        <v>662</v>
      </c>
      <c r="L6127" s="478">
        <v>20</v>
      </c>
      <c r="M6127" s="355"/>
      <c r="N6127" s="355" t="s">
        <v>2409</v>
      </c>
      <c r="O6127" s="345"/>
      <c r="P6127" s="325"/>
      <c r="Q6127" s="327"/>
      <c r="R6127" s="351"/>
      <c r="S6127" s="351"/>
      <c r="T6127" s="351"/>
      <c r="U6127" s="329" t="str">
        <f>IF($N6127=$N$4,IFERROR(INDEX(DanhMuc!$E$154:$E$165,MATCH(MID($B6127,4,2),DanhMuc!$B$154:$B$165,0)),""),"")</f>
        <v/>
      </c>
      <c r="V6127" s="361"/>
      <c r="W6127" s="345"/>
      <c r="X6127" s="786"/>
      <c r="Y6127" s="1128" t="s">
        <v>3380</v>
      </c>
      <c r="Z6127" s="1128" t="s">
        <v>3381</v>
      </c>
      <c r="AA6127" s="1128" t="s">
        <v>3384</v>
      </c>
      <c r="AB6127" s="20"/>
      <c r="AC6127" s="73"/>
    </row>
    <row r="6128" spans="1:29">
      <c r="A6128" s="327" t="str">
        <f>IF(AND($B6128&lt;&gt;"",$C6128&lt;&gt;""),MAX($A$4730:$A6127)+1,"")</f>
        <v/>
      </c>
      <c r="B6128" s="361" t="s">
        <v>863</v>
      </c>
      <c r="C6128" s="362"/>
      <c r="D6128" s="327">
        <f>IF($B6128="","",COUNTIF($B$4731:$B6128,$B6128))</f>
        <v>9</v>
      </c>
      <c r="E6128" s="362" t="s">
        <v>2282</v>
      </c>
      <c r="F6128" s="362" t="s">
        <v>2283</v>
      </c>
      <c r="G6128" s="327" t="s">
        <v>424</v>
      </c>
      <c r="H6128" s="361" t="s">
        <v>536</v>
      </c>
      <c r="I6128" s="361" t="s">
        <v>2238</v>
      </c>
      <c r="J6128" s="361"/>
      <c r="K6128" s="327" t="s">
        <v>662</v>
      </c>
      <c r="L6128" s="478">
        <v>28000</v>
      </c>
      <c r="M6128" s="355"/>
      <c r="N6128" s="355" t="s">
        <v>2409</v>
      </c>
      <c r="O6128" s="345"/>
      <c r="P6128" s="325"/>
      <c r="Q6128" s="327"/>
      <c r="R6128" s="351"/>
      <c r="S6128" s="351"/>
      <c r="T6128" s="351"/>
      <c r="U6128" s="329" t="str">
        <f>IF($N6128=$N$4,IFERROR(INDEX(DanhMuc!$E$154:$E$165,MATCH(MID($B6128,4,2),DanhMuc!$B$154:$B$165,0)),""),"")</f>
        <v/>
      </c>
      <c r="V6128" s="361"/>
      <c r="W6128" s="345"/>
      <c r="X6128" s="786"/>
      <c r="Y6128" s="1128" t="s">
        <v>3380</v>
      </c>
      <c r="Z6128" s="1128" t="s">
        <v>3381</v>
      </c>
      <c r="AA6128" s="1128" t="s">
        <v>3384</v>
      </c>
      <c r="AB6128" s="20"/>
      <c r="AC6128" s="73"/>
    </row>
    <row r="6129" spans="1:29">
      <c r="A6129" s="327" t="str">
        <f>IF(AND($B6129&lt;&gt;"",$C6129&lt;&gt;""),MAX($A$4730:$A6128)+1,"")</f>
        <v/>
      </c>
      <c r="B6129" s="361" t="s">
        <v>863</v>
      </c>
      <c r="C6129" s="362"/>
      <c r="D6129" s="327">
        <f>IF($B6129="","",COUNTIF($B$4731:$B6129,$B6129))</f>
        <v>10</v>
      </c>
      <c r="E6129" s="362" t="s">
        <v>663</v>
      </c>
      <c r="F6129" s="362" t="s">
        <v>664</v>
      </c>
      <c r="G6129" s="327" t="s">
        <v>155</v>
      </c>
      <c r="H6129" s="361" t="s">
        <v>536</v>
      </c>
      <c r="I6129" s="361" t="s">
        <v>672</v>
      </c>
      <c r="J6129" s="361"/>
      <c r="K6129" s="327" t="s">
        <v>662</v>
      </c>
      <c r="L6129" s="478">
        <v>1000</v>
      </c>
      <c r="M6129" s="355"/>
      <c r="N6129" s="355" t="s">
        <v>2409</v>
      </c>
      <c r="O6129" s="345"/>
      <c r="P6129" s="325"/>
      <c r="Q6129" s="327"/>
      <c r="R6129" s="351"/>
      <c r="S6129" s="351"/>
      <c r="T6129" s="351"/>
      <c r="U6129" s="329" t="str">
        <f>IF($N6129=$N$4,IFERROR(INDEX(DanhMuc!$E$154:$E$165,MATCH(MID($B6129,4,2),DanhMuc!$B$154:$B$165,0)),""),"")</f>
        <v/>
      </c>
      <c r="V6129" s="361"/>
      <c r="W6129" s="345"/>
      <c r="X6129" s="786"/>
      <c r="Y6129" s="1128" t="s">
        <v>3380</v>
      </c>
      <c r="Z6129" s="1128" t="s">
        <v>3381</v>
      </c>
      <c r="AA6129" s="1128" t="s">
        <v>3384</v>
      </c>
      <c r="AB6129" s="20"/>
      <c r="AC6129" s="73"/>
    </row>
    <row r="6130" spans="1:29" ht="26">
      <c r="A6130" s="327">
        <f>IF(AND($B6130&lt;&gt;"",$C6130&lt;&gt;""),MAX($A$4730:$A6129)+1,"")</f>
        <v>64</v>
      </c>
      <c r="B6130" s="359" t="s">
        <v>906</v>
      </c>
      <c r="C6130" s="370" t="s">
        <v>1585</v>
      </c>
      <c r="D6130" s="327">
        <f>IF($B6130="","",COUNTIF($B$4731:$B6130,$B6130))</f>
        <v>1</v>
      </c>
      <c r="E6130" s="361" t="s">
        <v>1826</v>
      </c>
      <c r="F6130" s="362" t="s">
        <v>670</v>
      </c>
      <c r="G6130" s="327" t="s">
        <v>661</v>
      </c>
      <c r="H6130" s="361" t="s">
        <v>536</v>
      </c>
      <c r="I6130" s="361" t="s">
        <v>2354</v>
      </c>
      <c r="J6130" s="361"/>
      <c r="K6130" s="327" t="s">
        <v>103</v>
      </c>
      <c r="L6130" s="478">
        <f>40000/1000</f>
        <v>40</v>
      </c>
      <c r="M6130" s="355"/>
      <c r="N6130" s="355" t="s">
        <v>2408</v>
      </c>
      <c r="O6130" s="345"/>
      <c r="P6130" s="325"/>
      <c r="Q6130" s="327"/>
      <c r="R6130" s="351"/>
      <c r="S6130" s="351"/>
      <c r="T6130" s="351"/>
      <c r="U6130" s="329" t="str">
        <f>IF($N6130=$N$4,IFERROR(INDEX(DanhMuc!$E$154:$E$165,MATCH(MID($B6130,4,2),DanhMuc!$B$154:$B$165,0)),""),"")</f>
        <v/>
      </c>
      <c r="V6130" s="361"/>
      <c r="W6130" s="345"/>
      <c r="X6130" s="786"/>
      <c r="Y6130" s="1128" t="s">
        <v>3380</v>
      </c>
      <c r="Z6130" s="1128" t="s">
        <v>3381</v>
      </c>
      <c r="AA6130" s="1128" t="s">
        <v>3384</v>
      </c>
      <c r="AB6130" s="20"/>
      <c r="AC6130" s="73"/>
    </row>
    <row r="6131" spans="1:29" ht="25">
      <c r="A6131" s="327" t="str">
        <f>IF(AND($B6131&lt;&gt;"",$C6131&lt;&gt;""),MAX($A$4730:$A6130)+1,"")</f>
        <v/>
      </c>
      <c r="B6131" s="361" t="s">
        <v>906</v>
      </c>
      <c r="C6131" s="362"/>
      <c r="D6131" s="327">
        <f>IF($B6131="","",COUNTIF($B$4731:$B6131,$B6131))</f>
        <v>2</v>
      </c>
      <c r="E6131" s="362" t="s">
        <v>1966</v>
      </c>
      <c r="F6131" s="362" t="s">
        <v>1967</v>
      </c>
      <c r="G6131" s="327" t="s">
        <v>405</v>
      </c>
      <c r="H6131" s="361" t="s">
        <v>536</v>
      </c>
      <c r="I6131" s="361" t="s">
        <v>1309</v>
      </c>
      <c r="J6131" s="361"/>
      <c r="K6131" s="327" t="s">
        <v>223</v>
      </c>
      <c r="L6131" s="389">
        <v>750</v>
      </c>
      <c r="M6131" s="371"/>
      <c r="N6131" s="355" t="s">
        <v>2408</v>
      </c>
      <c r="O6131" s="345"/>
      <c r="P6131" s="325"/>
      <c r="Q6131" s="327"/>
      <c r="R6131" s="351"/>
      <c r="S6131" s="351"/>
      <c r="T6131" s="351"/>
      <c r="U6131" s="329" t="str">
        <f>IF($N6131=$N$4,IFERROR(INDEX(DanhMuc!$E$154:$E$165,MATCH(MID($B6131,4,2),DanhMuc!$B$154:$B$165,0)),""),"")</f>
        <v/>
      </c>
      <c r="V6131" s="361"/>
      <c r="W6131" s="345"/>
      <c r="X6131" s="786"/>
      <c r="Y6131" s="1128" t="s">
        <v>3380</v>
      </c>
      <c r="Z6131" s="1128" t="s">
        <v>3381</v>
      </c>
      <c r="AA6131" s="1128" t="s">
        <v>3384</v>
      </c>
      <c r="AB6131" s="20"/>
      <c r="AC6131" s="73"/>
    </row>
    <row r="6132" spans="1:29" ht="37.5">
      <c r="A6132" s="327" t="str">
        <f>IF(AND($B6132&lt;&gt;"",$C6132&lt;&gt;""),MAX($A$4730:$A6131)+1,"")</f>
        <v/>
      </c>
      <c r="B6132" s="361" t="s">
        <v>906</v>
      </c>
      <c r="C6132" s="362"/>
      <c r="D6132" s="327">
        <f>IF($B6132="","",COUNTIF($B$4731:$B6132,$B6132))</f>
        <v>3</v>
      </c>
      <c r="E6132" s="362" t="s">
        <v>1964</v>
      </c>
      <c r="F6132" s="362" t="s">
        <v>1965</v>
      </c>
      <c r="G6132" s="410" t="s">
        <v>405</v>
      </c>
      <c r="H6132" s="402" t="s">
        <v>536</v>
      </c>
      <c r="I6132" s="402" t="s">
        <v>1210</v>
      </c>
      <c r="J6132" s="402"/>
      <c r="K6132" s="410" t="s">
        <v>223</v>
      </c>
      <c r="L6132" s="478">
        <v>140</v>
      </c>
      <c r="M6132" s="371"/>
      <c r="N6132" s="355" t="s">
        <v>2408</v>
      </c>
      <c r="O6132" s="345"/>
      <c r="P6132" s="325"/>
      <c r="Q6132" s="327"/>
      <c r="R6132" s="351"/>
      <c r="S6132" s="351"/>
      <c r="T6132" s="351"/>
      <c r="U6132" s="329" t="str">
        <f>IF($N6132=$N$4,IFERROR(INDEX(DanhMuc!$E$154:$E$165,MATCH(MID($B6132,4,2),DanhMuc!$B$154:$B$165,0)),""),"")</f>
        <v/>
      </c>
      <c r="V6132" s="361"/>
      <c r="W6132" s="345"/>
      <c r="X6132" s="786"/>
      <c r="Y6132" s="1128" t="s">
        <v>3380</v>
      </c>
      <c r="Z6132" s="1128" t="s">
        <v>3381</v>
      </c>
      <c r="AA6132" s="1128" t="s">
        <v>3384</v>
      </c>
      <c r="AB6132" s="20"/>
      <c r="AC6132" s="73"/>
    </row>
    <row r="6133" spans="1:29" ht="25">
      <c r="A6133" s="327" t="str">
        <f>IF(AND($B6133&lt;&gt;"",$C6133&lt;&gt;""),MAX($A$4730:$A6132)+1,"")</f>
        <v/>
      </c>
      <c r="B6133" s="361" t="s">
        <v>906</v>
      </c>
      <c r="C6133" s="362"/>
      <c r="D6133" s="327">
        <f>IF($B6133="","",COUNTIF($B$4731:$B6133,$B6133))</f>
        <v>4</v>
      </c>
      <c r="E6133" s="362" t="s">
        <v>1847</v>
      </c>
      <c r="F6133" s="403" t="s">
        <v>1848</v>
      </c>
      <c r="G6133" s="410" t="s">
        <v>405</v>
      </c>
      <c r="H6133" s="402" t="s">
        <v>536</v>
      </c>
      <c r="I6133" s="361" t="s">
        <v>1458</v>
      </c>
      <c r="J6133" s="361"/>
      <c r="K6133" s="327"/>
      <c r="L6133" s="389">
        <v>140</v>
      </c>
      <c r="M6133" s="371"/>
      <c r="N6133" s="355" t="s">
        <v>2408</v>
      </c>
      <c r="O6133" s="345"/>
      <c r="P6133" s="325"/>
      <c r="Q6133" s="327"/>
      <c r="R6133" s="351"/>
      <c r="S6133" s="351"/>
      <c r="T6133" s="351"/>
      <c r="U6133" s="329" t="str">
        <f>IF($N6133=$N$4,IFERROR(INDEX(DanhMuc!$E$154:$E$165,MATCH(MID($B6133,4,2),DanhMuc!$B$154:$B$165,0)),""),"")</f>
        <v/>
      </c>
      <c r="V6133" s="361"/>
      <c r="W6133" s="345"/>
      <c r="X6133" s="786"/>
      <c r="Y6133" s="1128" t="s">
        <v>3380</v>
      </c>
      <c r="Z6133" s="1128" t="s">
        <v>3381</v>
      </c>
      <c r="AA6133" s="1128" t="s">
        <v>3384</v>
      </c>
      <c r="AB6133" s="20"/>
      <c r="AC6133" s="73"/>
    </row>
    <row r="6134" spans="1:29">
      <c r="A6134" s="327" t="str">
        <f>IF(AND($B6134&lt;&gt;"",$C6134&lt;&gt;""),MAX($A$4730:$A6133)+1,"")</f>
        <v/>
      </c>
      <c r="B6134" s="361" t="s">
        <v>906</v>
      </c>
      <c r="C6134" s="362"/>
      <c r="D6134" s="327">
        <f>IF($B6134="","",COUNTIF($B$4731:$B6134,$B6134))</f>
        <v>5</v>
      </c>
      <c r="E6134" s="361" t="s">
        <v>656</v>
      </c>
      <c r="F6134" s="362" t="s">
        <v>2239</v>
      </c>
      <c r="G6134" s="327" t="s">
        <v>405</v>
      </c>
      <c r="H6134" s="361" t="s">
        <v>536</v>
      </c>
      <c r="I6134" s="361" t="s">
        <v>1827</v>
      </c>
      <c r="J6134" s="361"/>
      <c r="K6134" s="327" t="s">
        <v>100</v>
      </c>
      <c r="L6134" s="478">
        <v>970</v>
      </c>
      <c r="M6134" s="371"/>
      <c r="N6134" s="355" t="s">
        <v>2409</v>
      </c>
      <c r="O6134" s="345"/>
      <c r="P6134" s="325"/>
      <c r="Q6134" s="327"/>
      <c r="R6134" s="351"/>
      <c r="S6134" s="351"/>
      <c r="T6134" s="351"/>
      <c r="U6134" s="329" t="str">
        <f>IF($N6134=$N$4,IFERROR(INDEX(DanhMuc!$E$154:$E$165,MATCH(MID($B6134,4,2),DanhMuc!$B$154:$B$165,0)),""),"")</f>
        <v/>
      </c>
      <c r="V6134" s="361"/>
      <c r="W6134" s="345"/>
      <c r="X6134" s="786"/>
      <c r="Y6134" s="1128" t="s">
        <v>3380</v>
      </c>
      <c r="Z6134" s="1128" t="s">
        <v>3381</v>
      </c>
      <c r="AA6134" s="1128" t="s">
        <v>3384</v>
      </c>
      <c r="AB6134" s="20"/>
      <c r="AC6134" s="73"/>
    </row>
    <row r="6135" spans="1:29">
      <c r="A6135" s="327" t="str">
        <f>IF(AND($B6135&lt;&gt;"",$C6135&lt;&gt;""),MAX($A$4730:$A6134)+1,"")</f>
        <v/>
      </c>
      <c r="B6135" s="361" t="s">
        <v>906</v>
      </c>
      <c r="C6135" s="362"/>
      <c r="D6135" s="327">
        <f>IF($B6135="","",COUNTIF($B$4731:$B6135,$B6135))</f>
        <v>6</v>
      </c>
      <c r="E6135" s="361" t="s">
        <v>657</v>
      </c>
      <c r="F6135" s="362" t="s">
        <v>658</v>
      </c>
      <c r="G6135" s="327" t="s">
        <v>424</v>
      </c>
      <c r="H6135" s="361" t="s">
        <v>536</v>
      </c>
      <c r="I6135" s="361" t="s">
        <v>665</v>
      </c>
      <c r="J6135" s="361"/>
      <c r="K6135" s="327" t="s">
        <v>100</v>
      </c>
      <c r="L6135" s="478">
        <v>60000</v>
      </c>
      <c r="M6135" s="355"/>
      <c r="N6135" s="355" t="s">
        <v>2409</v>
      </c>
      <c r="O6135" s="345"/>
      <c r="P6135" s="325"/>
      <c r="Q6135" s="327"/>
      <c r="R6135" s="351"/>
      <c r="S6135" s="351"/>
      <c r="T6135" s="351"/>
      <c r="U6135" s="329" t="str">
        <f>IF($N6135=$N$4,IFERROR(INDEX(DanhMuc!$E$154:$E$165,MATCH(MID($B6135,4,2),DanhMuc!$B$154:$B$165,0)),""),"")</f>
        <v/>
      </c>
      <c r="V6135" s="361"/>
      <c r="W6135" s="345"/>
      <c r="X6135" s="786"/>
      <c r="Y6135" s="1128" t="s">
        <v>3380</v>
      </c>
      <c r="Z6135" s="1128" t="s">
        <v>3381</v>
      </c>
      <c r="AA6135" s="1128" t="s">
        <v>3384</v>
      </c>
      <c r="AB6135" s="20"/>
      <c r="AC6135" s="73"/>
    </row>
    <row r="6136" spans="1:29">
      <c r="A6136" s="327" t="str">
        <f>IF(AND($B6136&lt;&gt;"",$C6136&lt;&gt;""),MAX($A$4730:$A6135)+1,"")</f>
        <v/>
      </c>
      <c r="B6136" s="361" t="s">
        <v>906</v>
      </c>
      <c r="C6136" s="362"/>
      <c r="D6136" s="327">
        <f>IF($B6136="","",COUNTIF($B$4731:$B6136,$B6136))</f>
        <v>7</v>
      </c>
      <c r="E6136" s="361" t="s">
        <v>2771</v>
      </c>
      <c r="F6136" s="362" t="s">
        <v>659</v>
      </c>
      <c r="G6136" s="327" t="s">
        <v>424</v>
      </c>
      <c r="H6136" s="361" t="s">
        <v>536</v>
      </c>
      <c r="I6136" s="361" t="s">
        <v>666</v>
      </c>
      <c r="J6136" s="361"/>
      <c r="K6136" s="327" t="s">
        <v>100</v>
      </c>
      <c r="L6136" s="389">
        <v>53000</v>
      </c>
      <c r="M6136" s="355"/>
      <c r="N6136" s="355" t="s">
        <v>2409</v>
      </c>
      <c r="O6136" s="345"/>
      <c r="P6136" s="325"/>
      <c r="Q6136" s="327"/>
      <c r="R6136" s="351"/>
      <c r="S6136" s="351"/>
      <c r="T6136" s="351"/>
      <c r="U6136" s="329" t="str">
        <f>IF($N6136=$N$4,IFERROR(INDEX(DanhMuc!$E$154:$E$165,MATCH(MID($B6136,4,2),DanhMuc!$B$154:$B$165,0)),""),"")</f>
        <v/>
      </c>
      <c r="V6136" s="361"/>
      <c r="W6136" s="345"/>
      <c r="X6136" s="786"/>
      <c r="Y6136" s="1128" t="s">
        <v>3380</v>
      </c>
      <c r="Z6136" s="1128" t="s">
        <v>3381</v>
      </c>
      <c r="AA6136" s="1128" t="s">
        <v>3384</v>
      </c>
      <c r="AB6136" s="20"/>
      <c r="AC6136" s="73"/>
    </row>
    <row r="6137" spans="1:29">
      <c r="A6137" s="327" t="str">
        <f>IF(AND($B6137&lt;&gt;"",$C6137&lt;&gt;""),MAX($A$4730:$A6136)+1,"")</f>
        <v/>
      </c>
      <c r="B6137" s="361" t="s">
        <v>906</v>
      </c>
      <c r="C6137" s="362"/>
      <c r="D6137" s="327">
        <f>IF($B6137="","",COUNTIF($B$4731:$B6137,$B6137))</f>
        <v>8</v>
      </c>
      <c r="E6137" s="361" t="s">
        <v>1828</v>
      </c>
      <c r="F6137" s="362" t="s">
        <v>671</v>
      </c>
      <c r="G6137" s="327" t="s">
        <v>661</v>
      </c>
      <c r="H6137" s="361" t="s">
        <v>536</v>
      </c>
      <c r="I6137" s="361" t="s">
        <v>2355</v>
      </c>
      <c r="J6137" s="361"/>
      <c r="K6137" s="327" t="s">
        <v>100</v>
      </c>
      <c r="L6137" s="478">
        <f>40000/1000</f>
        <v>40</v>
      </c>
      <c r="M6137" s="355"/>
      <c r="N6137" s="355" t="s">
        <v>2409</v>
      </c>
      <c r="O6137" s="345"/>
      <c r="P6137" s="325"/>
      <c r="Q6137" s="327"/>
      <c r="R6137" s="351"/>
      <c r="S6137" s="351"/>
      <c r="T6137" s="351"/>
      <c r="U6137" s="329" t="str">
        <f>IF($N6137=$N$4,IFERROR(INDEX(DanhMuc!$E$154:$E$165,MATCH(MID($B6137,4,2),DanhMuc!$B$154:$B$165,0)),""),"")</f>
        <v/>
      </c>
      <c r="V6137" s="361"/>
      <c r="W6137" s="345"/>
      <c r="X6137" s="786"/>
      <c r="Y6137" s="1128" t="s">
        <v>3380</v>
      </c>
      <c r="Z6137" s="1128" t="s">
        <v>3381</v>
      </c>
      <c r="AA6137" s="1128" t="s">
        <v>3384</v>
      </c>
      <c r="AB6137" s="20"/>
      <c r="AC6137" s="73"/>
    </row>
    <row r="6138" spans="1:29">
      <c r="A6138" s="327" t="str">
        <f>IF(AND($B6138&lt;&gt;"",$C6138&lt;&gt;""),MAX($A$4730:$A6137)+1,"")</f>
        <v/>
      </c>
      <c r="B6138" s="361" t="s">
        <v>906</v>
      </c>
      <c r="C6138" s="362"/>
      <c r="D6138" s="327">
        <f>IF($B6138="","",COUNTIF($B$4731:$B6138,$B6138))</f>
        <v>9</v>
      </c>
      <c r="E6138" s="361" t="s">
        <v>154</v>
      </c>
      <c r="F6138" s="362" t="s">
        <v>660</v>
      </c>
      <c r="G6138" s="327" t="s">
        <v>661</v>
      </c>
      <c r="H6138" s="361" t="s">
        <v>536</v>
      </c>
      <c r="I6138" s="361" t="s">
        <v>667</v>
      </c>
      <c r="J6138" s="361"/>
      <c r="K6138" s="327" t="s">
        <v>662</v>
      </c>
      <c r="L6138" s="478">
        <v>20</v>
      </c>
      <c r="M6138" s="355"/>
      <c r="N6138" s="355" t="s">
        <v>2409</v>
      </c>
      <c r="O6138" s="345"/>
      <c r="P6138" s="325"/>
      <c r="Q6138" s="327"/>
      <c r="R6138" s="351"/>
      <c r="S6138" s="351"/>
      <c r="T6138" s="351"/>
      <c r="U6138" s="329" t="str">
        <f>IF($N6138=$N$4,IFERROR(INDEX(DanhMuc!$E$154:$E$165,MATCH(MID($B6138,4,2),DanhMuc!$B$154:$B$165,0)),""),"")</f>
        <v/>
      </c>
      <c r="V6138" s="361"/>
      <c r="W6138" s="345"/>
      <c r="X6138" s="786"/>
      <c r="Y6138" s="1128" t="s">
        <v>3380</v>
      </c>
      <c r="Z6138" s="1128" t="s">
        <v>3381</v>
      </c>
      <c r="AA6138" s="1128" t="s">
        <v>3384</v>
      </c>
      <c r="AB6138" s="20"/>
      <c r="AC6138" s="73"/>
    </row>
    <row r="6139" spans="1:29">
      <c r="A6139" s="327" t="str">
        <f>IF(AND($B6139&lt;&gt;"",$C6139&lt;&gt;""),MAX($A$4730:$A6138)+1,"")</f>
        <v/>
      </c>
      <c r="B6139" s="361" t="s">
        <v>906</v>
      </c>
      <c r="C6139" s="362"/>
      <c r="D6139" s="327">
        <f>IF($B6139="","",COUNTIF($B$4731:$B6139,$B6139))</f>
        <v>10</v>
      </c>
      <c r="E6139" s="362" t="s">
        <v>2282</v>
      </c>
      <c r="F6139" s="362" t="s">
        <v>2283</v>
      </c>
      <c r="G6139" s="327" t="s">
        <v>424</v>
      </c>
      <c r="H6139" s="361" t="s">
        <v>536</v>
      </c>
      <c r="I6139" s="361" t="s">
        <v>2238</v>
      </c>
      <c r="J6139" s="361"/>
      <c r="K6139" s="327" t="s">
        <v>662</v>
      </c>
      <c r="L6139" s="478">
        <v>28000</v>
      </c>
      <c r="M6139" s="355"/>
      <c r="N6139" s="355" t="s">
        <v>2409</v>
      </c>
      <c r="O6139" s="345"/>
      <c r="P6139" s="325"/>
      <c r="Q6139" s="327"/>
      <c r="R6139" s="351"/>
      <c r="S6139" s="351"/>
      <c r="T6139" s="351"/>
      <c r="U6139" s="329" t="str">
        <f>IF($N6139=$N$4,IFERROR(INDEX(DanhMuc!$E$154:$E$165,MATCH(MID($B6139,4,2),DanhMuc!$B$154:$B$165,0)),""),"")</f>
        <v/>
      </c>
      <c r="V6139" s="361"/>
      <c r="W6139" s="345"/>
      <c r="X6139" s="786"/>
      <c r="Y6139" s="1128" t="s">
        <v>3380</v>
      </c>
      <c r="Z6139" s="1128" t="s">
        <v>3381</v>
      </c>
      <c r="AA6139" s="1128" t="s">
        <v>3384</v>
      </c>
      <c r="AB6139" s="20"/>
      <c r="AC6139" s="73"/>
    </row>
    <row r="6140" spans="1:29">
      <c r="A6140" s="327" t="str">
        <f>IF(AND($B6140&lt;&gt;"",$C6140&lt;&gt;""),MAX($A$4730:$A6139)+1,"")</f>
        <v/>
      </c>
      <c r="B6140" s="361" t="s">
        <v>906</v>
      </c>
      <c r="C6140" s="362"/>
      <c r="D6140" s="327">
        <f>IF($B6140="","",COUNTIF($B$4731:$B6140,$B6140))</f>
        <v>11</v>
      </c>
      <c r="E6140" s="362" t="s">
        <v>663</v>
      </c>
      <c r="F6140" s="362" t="s">
        <v>664</v>
      </c>
      <c r="G6140" s="327" t="s">
        <v>155</v>
      </c>
      <c r="H6140" s="361" t="s">
        <v>536</v>
      </c>
      <c r="I6140" s="361" t="s">
        <v>672</v>
      </c>
      <c r="J6140" s="361"/>
      <c r="K6140" s="327" t="s">
        <v>662</v>
      </c>
      <c r="L6140" s="478">
        <v>1000</v>
      </c>
      <c r="M6140" s="355"/>
      <c r="N6140" s="355" t="s">
        <v>2409</v>
      </c>
      <c r="O6140" s="345"/>
      <c r="P6140" s="325"/>
      <c r="Q6140" s="327"/>
      <c r="R6140" s="351"/>
      <c r="S6140" s="351"/>
      <c r="T6140" s="351"/>
      <c r="U6140" s="329" t="str">
        <f>IF($N6140=$N$4,IFERROR(INDEX(DanhMuc!$E$154:$E$165,MATCH(MID($B6140,4,2),DanhMuc!$B$154:$B$165,0)),""),"")</f>
        <v/>
      </c>
      <c r="V6140" s="361"/>
      <c r="W6140" s="345"/>
      <c r="X6140" s="786"/>
      <c r="Y6140" s="1128" t="s">
        <v>3380</v>
      </c>
      <c r="Z6140" s="1128" t="s">
        <v>3381</v>
      </c>
      <c r="AA6140" s="1128" t="s">
        <v>3384</v>
      </c>
      <c r="AB6140" s="20"/>
      <c r="AC6140" s="73"/>
    </row>
    <row r="6141" spans="1:29" ht="26">
      <c r="A6141" s="327">
        <f>IF(AND($B6141&lt;&gt;"",$C6141&lt;&gt;""),MAX($A$4730:$A6140)+1,"")</f>
        <v>65</v>
      </c>
      <c r="B6141" s="359" t="s">
        <v>907</v>
      </c>
      <c r="C6141" s="370" t="s">
        <v>1586</v>
      </c>
      <c r="D6141" s="327">
        <f>IF($B6141="","",COUNTIF($B$4731:$B6141,$B6141))</f>
        <v>1</v>
      </c>
      <c r="E6141" s="361" t="s">
        <v>1826</v>
      </c>
      <c r="F6141" s="362" t="s">
        <v>670</v>
      </c>
      <c r="G6141" s="327" t="s">
        <v>661</v>
      </c>
      <c r="H6141" s="361" t="s">
        <v>536</v>
      </c>
      <c r="I6141" s="361" t="s">
        <v>2354</v>
      </c>
      <c r="J6141" s="361"/>
      <c r="K6141" s="327" t="s">
        <v>103</v>
      </c>
      <c r="L6141" s="478">
        <f>40000/1000</f>
        <v>40</v>
      </c>
      <c r="M6141" s="355"/>
      <c r="N6141" s="355" t="s">
        <v>2408</v>
      </c>
      <c r="O6141" s="345"/>
      <c r="P6141" s="325"/>
      <c r="Q6141" s="327"/>
      <c r="R6141" s="351"/>
      <c r="S6141" s="351"/>
      <c r="T6141" s="351"/>
      <c r="U6141" s="329" t="str">
        <f>IF($N6141=$N$4,IFERROR(INDEX(DanhMuc!$E$154:$E$165,MATCH(MID($B6141,4,2),DanhMuc!$B$154:$B$165,0)),""),"")</f>
        <v/>
      </c>
      <c r="V6141" s="361"/>
      <c r="W6141" s="345"/>
      <c r="X6141" s="786"/>
      <c r="Y6141" s="1128" t="s">
        <v>3380</v>
      </c>
      <c r="Z6141" s="1128" t="s">
        <v>3381</v>
      </c>
      <c r="AA6141" s="1128" t="s">
        <v>3384</v>
      </c>
      <c r="AB6141" s="20"/>
      <c r="AC6141" s="73"/>
    </row>
    <row r="6142" spans="1:29" ht="25">
      <c r="A6142" s="327" t="str">
        <f>IF(AND($B6142&lt;&gt;"",$C6142&lt;&gt;""),MAX($A$4730:$A6141)+1,"")</f>
        <v/>
      </c>
      <c r="B6142" s="361" t="s">
        <v>907</v>
      </c>
      <c r="C6142" s="362"/>
      <c r="D6142" s="327">
        <f>IF($B6142="","",COUNTIF($B$4731:$B6142,$B6142))</f>
        <v>2</v>
      </c>
      <c r="E6142" s="362" t="s">
        <v>1966</v>
      </c>
      <c r="F6142" s="362" t="s">
        <v>1967</v>
      </c>
      <c r="G6142" s="327" t="s">
        <v>405</v>
      </c>
      <c r="H6142" s="361" t="s">
        <v>536</v>
      </c>
      <c r="I6142" s="361" t="s">
        <v>1309</v>
      </c>
      <c r="J6142" s="361"/>
      <c r="K6142" s="327" t="s">
        <v>223</v>
      </c>
      <c r="L6142" s="389">
        <v>750</v>
      </c>
      <c r="M6142" s="371"/>
      <c r="N6142" s="355" t="s">
        <v>2408</v>
      </c>
      <c r="O6142" s="345"/>
      <c r="P6142" s="325"/>
      <c r="Q6142" s="327"/>
      <c r="R6142" s="351"/>
      <c r="S6142" s="351"/>
      <c r="T6142" s="351"/>
      <c r="U6142" s="329" t="str">
        <f>IF($N6142=$N$4,IFERROR(INDEX(DanhMuc!$E$154:$E$165,MATCH(MID($B6142,4,2),DanhMuc!$B$154:$B$165,0)),""),"")</f>
        <v/>
      </c>
      <c r="V6142" s="361"/>
      <c r="W6142" s="345"/>
      <c r="X6142" s="786"/>
      <c r="Y6142" s="1128" t="s">
        <v>3380</v>
      </c>
      <c r="Z6142" s="1128" t="s">
        <v>3381</v>
      </c>
      <c r="AA6142" s="1128" t="s">
        <v>3384</v>
      </c>
      <c r="AB6142" s="20"/>
      <c r="AC6142" s="73"/>
    </row>
    <row r="6143" spans="1:29" ht="37.5">
      <c r="A6143" s="327" t="str">
        <f>IF(AND($B6143&lt;&gt;"",$C6143&lt;&gt;""),MAX($A$4730:$A6142)+1,"")</f>
        <v/>
      </c>
      <c r="B6143" s="361" t="s">
        <v>907</v>
      </c>
      <c r="C6143" s="362"/>
      <c r="D6143" s="327">
        <f>IF($B6143="","",COUNTIF($B$4731:$B6143,$B6143))</f>
        <v>3</v>
      </c>
      <c r="E6143" s="362" t="s">
        <v>1964</v>
      </c>
      <c r="F6143" s="362" t="s">
        <v>1965</v>
      </c>
      <c r="G6143" s="410" t="s">
        <v>405</v>
      </c>
      <c r="H6143" s="402" t="s">
        <v>536</v>
      </c>
      <c r="I6143" s="402" t="s">
        <v>1210</v>
      </c>
      <c r="J6143" s="402"/>
      <c r="K6143" s="410" t="s">
        <v>223</v>
      </c>
      <c r="L6143" s="478">
        <v>140</v>
      </c>
      <c r="M6143" s="371"/>
      <c r="N6143" s="355" t="s">
        <v>2408</v>
      </c>
      <c r="O6143" s="345"/>
      <c r="P6143" s="325"/>
      <c r="Q6143" s="327"/>
      <c r="R6143" s="351"/>
      <c r="S6143" s="351"/>
      <c r="T6143" s="351"/>
      <c r="U6143" s="329" t="str">
        <f>IF($N6143=$N$4,IFERROR(INDEX(DanhMuc!$E$154:$E$165,MATCH(MID($B6143,4,2),DanhMuc!$B$154:$B$165,0)),""),"")</f>
        <v/>
      </c>
      <c r="V6143" s="361"/>
      <c r="W6143" s="345"/>
      <c r="X6143" s="786"/>
      <c r="Y6143" s="1128" t="s">
        <v>3380</v>
      </c>
      <c r="Z6143" s="1128" t="s">
        <v>3381</v>
      </c>
      <c r="AA6143" s="1128" t="s">
        <v>3384</v>
      </c>
      <c r="AB6143" s="20"/>
      <c r="AC6143" s="73"/>
    </row>
    <row r="6144" spans="1:29" ht="25">
      <c r="A6144" s="327" t="str">
        <f>IF(AND($B6144&lt;&gt;"",$C6144&lt;&gt;""),MAX($A$4730:$A6143)+1,"")</f>
        <v/>
      </c>
      <c r="B6144" s="361" t="s">
        <v>907</v>
      </c>
      <c r="C6144" s="362"/>
      <c r="D6144" s="327">
        <f>IF($B6144="","",COUNTIF($B$4731:$B6144,$B6144))</f>
        <v>4</v>
      </c>
      <c r="E6144" s="362" t="s">
        <v>1847</v>
      </c>
      <c r="F6144" s="403" t="s">
        <v>1848</v>
      </c>
      <c r="G6144" s="410" t="s">
        <v>405</v>
      </c>
      <c r="H6144" s="402" t="s">
        <v>536</v>
      </c>
      <c r="I6144" s="361" t="s">
        <v>1458</v>
      </c>
      <c r="J6144" s="361"/>
      <c r="K6144" s="327"/>
      <c r="L6144" s="389">
        <v>140</v>
      </c>
      <c r="M6144" s="371"/>
      <c r="N6144" s="355" t="s">
        <v>2408</v>
      </c>
      <c r="O6144" s="345"/>
      <c r="P6144" s="325"/>
      <c r="Q6144" s="327"/>
      <c r="R6144" s="351"/>
      <c r="S6144" s="351"/>
      <c r="T6144" s="351"/>
      <c r="U6144" s="329" t="str">
        <f>IF($N6144=$N$4,IFERROR(INDEX(DanhMuc!$E$154:$E$165,MATCH(MID($B6144,4,2),DanhMuc!$B$154:$B$165,0)),""),"")</f>
        <v/>
      </c>
      <c r="V6144" s="361"/>
      <c r="W6144" s="345"/>
      <c r="X6144" s="786"/>
      <c r="Y6144" s="1128" t="s">
        <v>3380</v>
      </c>
      <c r="Z6144" s="1128" t="s">
        <v>3381</v>
      </c>
      <c r="AA6144" s="1128" t="s">
        <v>3384</v>
      </c>
      <c r="AB6144" s="20"/>
      <c r="AC6144" s="73"/>
    </row>
    <row r="6145" spans="1:29">
      <c r="A6145" s="327" t="str">
        <f>IF(AND($B6145&lt;&gt;"",$C6145&lt;&gt;""),MAX($A$4730:$A6144)+1,"")</f>
        <v/>
      </c>
      <c r="B6145" s="361" t="s">
        <v>907</v>
      </c>
      <c r="C6145" s="362"/>
      <c r="D6145" s="327">
        <f>IF($B6145="","",COUNTIF($B$4731:$B6145,$B6145))</f>
        <v>5</v>
      </c>
      <c r="E6145" s="361" t="s">
        <v>656</v>
      </c>
      <c r="F6145" s="362" t="s">
        <v>2239</v>
      </c>
      <c r="G6145" s="327" t="s">
        <v>405</v>
      </c>
      <c r="H6145" s="361" t="s">
        <v>536</v>
      </c>
      <c r="I6145" s="361" t="s">
        <v>1827</v>
      </c>
      <c r="J6145" s="361"/>
      <c r="K6145" s="327" t="s">
        <v>100</v>
      </c>
      <c r="L6145" s="478">
        <v>970</v>
      </c>
      <c r="M6145" s="371"/>
      <c r="N6145" s="355" t="s">
        <v>2409</v>
      </c>
      <c r="O6145" s="345"/>
      <c r="P6145" s="325"/>
      <c r="Q6145" s="327"/>
      <c r="R6145" s="351"/>
      <c r="S6145" s="351"/>
      <c r="T6145" s="351"/>
      <c r="U6145" s="329" t="str">
        <f>IF($N6145=$N$4,IFERROR(INDEX(DanhMuc!$E$154:$E$165,MATCH(MID($B6145,4,2),DanhMuc!$B$154:$B$165,0)),""),"")</f>
        <v/>
      </c>
      <c r="V6145" s="361"/>
      <c r="W6145" s="345"/>
      <c r="X6145" s="786"/>
      <c r="Y6145" s="1128" t="s">
        <v>3380</v>
      </c>
      <c r="Z6145" s="1128" t="s">
        <v>3381</v>
      </c>
      <c r="AA6145" s="1128" t="s">
        <v>3384</v>
      </c>
      <c r="AB6145" s="20"/>
      <c r="AC6145" s="73"/>
    </row>
    <row r="6146" spans="1:29">
      <c r="A6146" s="327" t="str">
        <f>IF(AND($B6146&lt;&gt;"",$C6146&lt;&gt;""),MAX($A$4730:$A6145)+1,"")</f>
        <v/>
      </c>
      <c r="B6146" s="361" t="s">
        <v>907</v>
      </c>
      <c r="C6146" s="362"/>
      <c r="D6146" s="327">
        <f>IF($B6146="","",COUNTIF($B$4731:$B6146,$B6146))</f>
        <v>6</v>
      </c>
      <c r="E6146" s="361" t="s">
        <v>657</v>
      </c>
      <c r="F6146" s="362" t="s">
        <v>658</v>
      </c>
      <c r="G6146" s="327" t="s">
        <v>424</v>
      </c>
      <c r="H6146" s="361" t="s">
        <v>536</v>
      </c>
      <c r="I6146" s="361" t="s">
        <v>665</v>
      </c>
      <c r="J6146" s="361"/>
      <c r="K6146" s="327" t="s">
        <v>100</v>
      </c>
      <c r="L6146" s="478">
        <v>60000</v>
      </c>
      <c r="M6146" s="355"/>
      <c r="N6146" s="355" t="s">
        <v>2409</v>
      </c>
      <c r="O6146" s="345"/>
      <c r="P6146" s="325"/>
      <c r="Q6146" s="327"/>
      <c r="R6146" s="351"/>
      <c r="S6146" s="351"/>
      <c r="T6146" s="351"/>
      <c r="U6146" s="329" t="str">
        <f>IF($N6146=$N$4,IFERROR(INDEX(DanhMuc!$E$154:$E$165,MATCH(MID($B6146,4,2),DanhMuc!$B$154:$B$165,0)),""),"")</f>
        <v/>
      </c>
      <c r="V6146" s="361"/>
      <c r="W6146" s="345"/>
      <c r="X6146" s="786"/>
      <c r="Y6146" s="1128" t="s">
        <v>3380</v>
      </c>
      <c r="Z6146" s="1128" t="s">
        <v>3381</v>
      </c>
      <c r="AA6146" s="1128" t="s">
        <v>3384</v>
      </c>
      <c r="AB6146" s="20"/>
      <c r="AC6146" s="73"/>
    </row>
    <row r="6147" spans="1:29">
      <c r="A6147" s="327" t="str">
        <f>IF(AND($B6147&lt;&gt;"",$C6147&lt;&gt;""),MAX($A$4730:$A6146)+1,"")</f>
        <v/>
      </c>
      <c r="B6147" s="361" t="s">
        <v>907</v>
      </c>
      <c r="C6147" s="362"/>
      <c r="D6147" s="327">
        <f>IF($B6147="","",COUNTIF($B$4731:$B6147,$B6147))</f>
        <v>7</v>
      </c>
      <c r="E6147" s="361" t="s">
        <v>2771</v>
      </c>
      <c r="F6147" s="362" t="s">
        <v>659</v>
      </c>
      <c r="G6147" s="327" t="s">
        <v>424</v>
      </c>
      <c r="H6147" s="361" t="s">
        <v>536</v>
      </c>
      <c r="I6147" s="361" t="s">
        <v>666</v>
      </c>
      <c r="J6147" s="361"/>
      <c r="K6147" s="327" t="s">
        <v>100</v>
      </c>
      <c r="L6147" s="389">
        <v>53000</v>
      </c>
      <c r="M6147" s="355"/>
      <c r="N6147" s="355" t="s">
        <v>2409</v>
      </c>
      <c r="O6147" s="345"/>
      <c r="P6147" s="325"/>
      <c r="Q6147" s="327"/>
      <c r="R6147" s="351"/>
      <c r="S6147" s="351"/>
      <c r="T6147" s="351"/>
      <c r="U6147" s="329" t="str">
        <f>IF($N6147=$N$4,IFERROR(INDEX(DanhMuc!$E$154:$E$165,MATCH(MID($B6147,4,2),DanhMuc!$B$154:$B$165,0)),""),"")</f>
        <v/>
      </c>
      <c r="V6147" s="361"/>
      <c r="W6147" s="345"/>
      <c r="X6147" s="786"/>
      <c r="Y6147" s="1128" t="s">
        <v>3380</v>
      </c>
      <c r="Z6147" s="1128" t="s">
        <v>3381</v>
      </c>
      <c r="AA6147" s="1128" t="s">
        <v>3384</v>
      </c>
      <c r="AB6147" s="20"/>
      <c r="AC6147" s="73"/>
    </row>
    <row r="6148" spans="1:29">
      <c r="A6148" s="327" t="str">
        <f>IF(AND($B6148&lt;&gt;"",$C6148&lt;&gt;""),MAX($A$4730:$A6147)+1,"")</f>
        <v/>
      </c>
      <c r="B6148" s="361" t="s">
        <v>907</v>
      </c>
      <c r="C6148" s="362"/>
      <c r="D6148" s="327">
        <f>IF($B6148="","",COUNTIF($B$4731:$B6148,$B6148))</f>
        <v>8</v>
      </c>
      <c r="E6148" s="361" t="s">
        <v>1828</v>
      </c>
      <c r="F6148" s="362" t="s">
        <v>671</v>
      </c>
      <c r="G6148" s="327" t="s">
        <v>661</v>
      </c>
      <c r="H6148" s="361" t="s">
        <v>536</v>
      </c>
      <c r="I6148" s="361" t="s">
        <v>2355</v>
      </c>
      <c r="J6148" s="361"/>
      <c r="K6148" s="327" t="s">
        <v>100</v>
      </c>
      <c r="L6148" s="478">
        <f>40000/1000</f>
        <v>40</v>
      </c>
      <c r="M6148" s="355"/>
      <c r="N6148" s="355" t="s">
        <v>2409</v>
      </c>
      <c r="O6148" s="345"/>
      <c r="P6148" s="325"/>
      <c r="Q6148" s="327"/>
      <c r="R6148" s="351"/>
      <c r="S6148" s="351"/>
      <c r="T6148" s="351"/>
      <c r="U6148" s="329" t="str">
        <f>IF($N6148=$N$4,IFERROR(INDEX(DanhMuc!$E$154:$E$165,MATCH(MID($B6148,4,2),DanhMuc!$B$154:$B$165,0)),""),"")</f>
        <v/>
      </c>
      <c r="V6148" s="361"/>
      <c r="W6148" s="345"/>
      <c r="X6148" s="786"/>
      <c r="Y6148" s="1128" t="s">
        <v>3380</v>
      </c>
      <c r="Z6148" s="1128" t="s">
        <v>3381</v>
      </c>
      <c r="AA6148" s="1128" t="s">
        <v>3384</v>
      </c>
      <c r="AB6148" s="20"/>
      <c r="AC6148" s="73"/>
    </row>
    <row r="6149" spans="1:29">
      <c r="A6149" s="327" t="str">
        <f>IF(AND($B6149&lt;&gt;"",$C6149&lt;&gt;""),MAX($A$4730:$A6148)+1,"")</f>
        <v/>
      </c>
      <c r="B6149" s="361" t="s">
        <v>907</v>
      </c>
      <c r="C6149" s="362"/>
      <c r="D6149" s="327">
        <f>IF($B6149="","",COUNTIF($B$4731:$B6149,$B6149))</f>
        <v>9</v>
      </c>
      <c r="E6149" s="361" t="s">
        <v>154</v>
      </c>
      <c r="F6149" s="362" t="s">
        <v>660</v>
      </c>
      <c r="G6149" s="327" t="s">
        <v>661</v>
      </c>
      <c r="H6149" s="361" t="s">
        <v>536</v>
      </c>
      <c r="I6149" s="361" t="s">
        <v>667</v>
      </c>
      <c r="J6149" s="361"/>
      <c r="K6149" s="327" t="s">
        <v>662</v>
      </c>
      <c r="L6149" s="478">
        <v>20</v>
      </c>
      <c r="M6149" s="355"/>
      <c r="N6149" s="355" t="s">
        <v>2409</v>
      </c>
      <c r="O6149" s="345"/>
      <c r="P6149" s="325"/>
      <c r="Q6149" s="327"/>
      <c r="R6149" s="351"/>
      <c r="S6149" s="351"/>
      <c r="T6149" s="351"/>
      <c r="U6149" s="329" t="str">
        <f>IF($N6149=$N$4,IFERROR(INDEX(DanhMuc!$E$154:$E$165,MATCH(MID($B6149,4,2),DanhMuc!$B$154:$B$165,0)),""),"")</f>
        <v/>
      </c>
      <c r="V6149" s="361"/>
      <c r="W6149" s="345"/>
      <c r="X6149" s="786"/>
      <c r="Y6149" s="1128" t="s">
        <v>3380</v>
      </c>
      <c r="Z6149" s="1128" t="s">
        <v>3381</v>
      </c>
      <c r="AA6149" s="1128" t="s">
        <v>3384</v>
      </c>
      <c r="AB6149" s="20"/>
      <c r="AC6149" s="73"/>
    </row>
    <row r="6150" spans="1:29">
      <c r="A6150" s="327" t="str">
        <f>IF(AND($B6150&lt;&gt;"",$C6150&lt;&gt;""),MAX($A$4730:$A6149)+1,"")</f>
        <v/>
      </c>
      <c r="B6150" s="361" t="s">
        <v>907</v>
      </c>
      <c r="C6150" s="362"/>
      <c r="D6150" s="327">
        <f>IF($B6150="","",COUNTIF($B$4731:$B6150,$B6150))</f>
        <v>10</v>
      </c>
      <c r="E6150" s="362" t="s">
        <v>2282</v>
      </c>
      <c r="F6150" s="362" t="s">
        <v>2283</v>
      </c>
      <c r="G6150" s="327" t="s">
        <v>424</v>
      </c>
      <c r="H6150" s="361" t="s">
        <v>536</v>
      </c>
      <c r="I6150" s="361" t="s">
        <v>2238</v>
      </c>
      <c r="J6150" s="361"/>
      <c r="K6150" s="327" t="s">
        <v>662</v>
      </c>
      <c r="L6150" s="478">
        <v>28000</v>
      </c>
      <c r="M6150" s="355"/>
      <c r="N6150" s="355" t="s">
        <v>2409</v>
      </c>
      <c r="O6150" s="345"/>
      <c r="P6150" s="325"/>
      <c r="Q6150" s="327"/>
      <c r="R6150" s="351"/>
      <c r="S6150" s="351"/>
      <c r="T6150" s="351"/>
      <c r="U6150" s="329" t="str">
        <f>IF($N6150=$N$4,IFERROR(INDEX(DanhMuc!$E$154:$E$165,MATCH(MID($B6150,4,2),DanhMuc!$B$154:$B$165,0)),""),"")</f>
        <v/>
      </c>
      <c r="V6150" s="361"/>
      <c r="W6150" s="345"/>
      <c r="X6150" s="786"/>
      <c r="Y6150" s="1128" t="s">
        <v>3380</v>
      </c>
      <c r="Z6150" s="1128" t="s">
        <v>3381</v>
      </c>
      <c r="AA6150" s="1128" t="s">
        <v>3384</v>
      </c>
      <c r="AB6150" s="20"/>
      <c r="AC6150" s="73"/>
    </row>
    <row r="6151" spans="1:29">
      <c r="A6151" s="327" t="str">
        <f>IF(AND($B6151&lt;&gt;"",$C6151&lt;&gt;""),MAX($A$4730:$A6150)+1,"")</f>
        <v/>
      </c>
      <c r="B6151" s="361" t="s">
        <v>907</v>
      </c>
      <c r="C6151" s="362"/>
      <c r="D6151" s="327">
        <f>IF($B6151="","",COUNTIF($B$4731:$B6151,$B6151))</f>
        <v>11</v>
      </c>
      <c r="E6151" s="362" t="s">
        <v>663</v>
      </c>
      <c r="F6151" s="362" t="s">
        <v>664</v>
      </c>
      <c r="G6151" s="327" t="s">
        <v>155</v>
      </c>
      <c r="H6151" s="361" t="s">
        <v>536</v>
      </c>
      <c r="I6151" s="361" t="s">
        <v>672</v>
      </c>
      <c r="J6151" s="361"/>
      <c r="K6151" s="327" t="s">
        <v>662</v>
      </c>
      <c r="L6151" s="478">
        <v>1000</v>
      </c>
      <c r="M6151" s="355"/>
      <c r="N6151" s="355" t="s">
        <v>2409</v>
      </c>
      <c r="O6151" s="345"/>
      <c r="P6151" s="325"/>
      <c r="Q6151" s="327"/>
      <c r="R6151" s="351"/>
      <c r="S6151" s="351"/>
      <c r="T6151" s="351"/>
      <c r="U6151" s="329" t="str">
        <f>IF($N6151=$N$4,IFERROR(INDEX(DanhMuc!$E$154:$E$165,MATCH(MID($B6151,4,2),DanhMuc!$B$154:$B$165,0)),""),"")</f>
        <v/>
      </c>
      <c r="V6151" s="361"/>
      <c r="W6151" s="345"/>
      <c r="X6151" s="786"/>
      <c r="Y6151" s="1128" t="s">
        <v>3380</v>
      </c>
      <c r="Z6151" s="1128" t="s">
        <v>3381</v>
      </c>
      <c r="AA6151" s="1128" t="s">
        <v>3384</v>
      </c>
      <c r="AB6151" s="20"/>
      <c r="AC6151" s="73"/>
    </row>
    <row r="6152" spans="1:29" ht="26">
      <c r="A6152" s="327">
        <f>IF(AND($B6152&lt;&gt;"",$C6152&lt;&gt;""),MAX($A$4730:$A6151)+1,"")</f>
        <v>66</v>
      </c>
      <c r="B6152" s="359" t="s">
        <v>910</v>
      </c>
      <c r="C6152" s="370" t="s">
        <v>1587</v>
      </c>
      <c r="D6152" s="327">
        <f>IF($B6152="","",COUNTIF($B$4731:$B6152,$B6152))</f>
        <v>1</v>
      </c>
      <c r="E6152" s="361" t="s">
        <v>1826</v>
      </c>
      <c r="F6152" s="362" t="s">
        <v>670</v>
      </c>
      <c r="G6152" s="327" t="s">
        <v>661</v>
      </c>
      <c r="H6152" s="361" t="s">
        <v>536</v>
      </c>
      <c r="I6152" s="361" t="s">
        <v>2354</v>
      </c>
      <c r="J6152" s="361"/>
      <c r="K6152" s="327" t="s">
        <v>103</v>
      </c>
      <c r="L6152" s="478">
        <f>40000/1000</f>
        <v>40</v>
      </c>
      <c r="M6152" s="355"/>
      <c r="N6152" s="355" t="s">
        <v>2408</v>
      </c>
      <c r="O6152" s="345"/>
      <c r="P6152" s="325"/>
      <c r="Q6152" s="327"/>
      <c r="R6152" s="351"/>
      <c r="S6152" s="351"/>
      <c r="T6152" s="351"/>
      <c r="U6152" s="329" t="str">
        <f>IF($N6152=$N$4,IFERROR(INDEX(DanhMuc!$E$154:$E$165,MATCH(MID($B6152,4,2),DanhMuc!$B$154:$B$165,0)),""),"")</f>
        <v/>
      </c>
      <c r="V6152" s="361"/>
      <c r="W6152" s="345"/>
      <c r="X6152" s="786"/>
      <c r="Y6152" s="1128" t="s">
        <v>3380</v>
      </c>
      <c r="Z6152" s="1128" t="s">
        <v>3381</v>
      </c>
      <c r="AA6152" s="1128" t="s">
        <v>3384</v>
      </c>
      <c r="AB6152" s="20"/>
      <c r="AC6152" s="73"/>
    </row>
    <row r="6153" spans="1:29" ht="25">
      <c r="A6153" s="327" t="str">
        <f>IF(AND($B6153&lt;&gt;"",$C6153&lt;&gt;""),MAX($A$4730:$A6152)+1,"")</f>
        <v/>
      </c>
      <c r="B6153" s="361" t="s">
        <v>910</v>
      </c>
      <c r="C6153" s="362"/>
      <c r="D6153" s="327">
        <f>IF($B6153="","",COUNTIF($B$4731:$B6153,$B6153))</f>
        <v>2</v>
      </c>
      <c r="E6153" s="362" t="s">
        <v>1966</v>
      </c>
      <c r="F6153" s="362" t="s">
        <v>1967</v>
      </c>
      <c r="G6153" s="327" t="s">
        <v>405</v>
      </c>
      <c r="H6153" s="361" t="s">
        <v>536</v>
      </c>
      <c r="I6153" s="361" t="s">
        <v>1309</v>
      </c>
      <c r="J6153" s="361"/>
      <c r="K6153" s="327" t="s">
        <v>223</v>
      </c>
      <c r="L6153" s="389">
        <v>750</v>
      </c>
      <c r="M6153" s="371"/>
      <c r="N6153" s="355" t="s">
        <v>2408</v>
      </c>
      <c r="O6153" s="345"/>
      <c r="P6153" s="325"/>
      <c r="Q6153" s="327"/>
      <c r="R6153" s="351"/>
      <c r="S6153" s="351"/>
      <c r="T6153" s="351"/>
      <c r="U6153" s="329" t="str">
        <f>IF($N6153=$N$4,IFERROR(INDEX(DanhMuc!$E$154:$E$165,MATCH(MID($B6153,4,2),DanhMuc!$B$154:$B$165,0)),""),"")</f>
        <v/>
      </c>
      <c r="V6153" s="361"/>
      <c r="W6153" s="345"/>
      <c r="X6153" s="786"/>
      <c r="Y6153" s="1128" t="s">
        <v>3380</v>
      </c>
      <c r="Z6153" s="1128" t="s">
        <v>3381</v>
      </c>
      <c r="AA6153" s="1128" t="s">
        <v>3384</v>
      </c>
      <c r="AB6153" s="20"/>
      <c r="AC6153" s="73"/>
    </row>
    <row r="6154" spans="1:29" ht="37.5">
      <c r="A6154" s="327" t="str">
        <f>IF(AND($B6154&lt;&gt;"",$C6154&lt;&gt;""),MAX($A$4730:$A6153)+1,"")</f>
        <v/>
      </c>
      <c r="B6154" s="361" t="s">
        <v>910</v>
      </c>
      <c r="C6154" s="362"/>
      <c r="D6154" s="327">
        <f>IF($B6154="","",COUNTIF($B$4731:$B6154,$B6154))</f>
        <v>3</v>
      </c>
      <c r="E6154" s="362" t="s">
        <v>1964</v>
      </c>
      <c r="F6154" s="362" t="s">
        <v>1965</v>
      </c>
      <c r="G6154" s="410" t="s">
        <v>405</v>
      </c>
      <c r="H6154" s="402" t="s">
        <v>536</v>
      </c>
      <c r="I6154" s="402" t="s">
        <v>1210</v>
      </c>
      <c r="J6154" s="402"/>
      <c r="K6154" s="410" t="s">
        <v>223</v>
      </c>
      <c r="L6154" s="478">
        <v>140</v>
      </c>
      <c r="M6154" s="371"/>
      <c r="N6154" s="355" t="s">
        <v>2408</v>
      </c>
      <c r="O6154" s="345"/>
      <c r="P6154" s="325"/>
      <c r="Q6154" s="327"/>
      <c r="R6154" s="351"/>
      <c r="S6154" s="351"/>
      <c r="T6154" s="351"/>
      <c r="U6154" s="329" t="str">
        <f>IF($N6154=$N$4,IFERROR(INDEX(DanhMuc!$E$154:$E$165,MATCH(MID($B6154,4,2),DanhMuc!$B$154:$B$165,0)),""),"")</f>
        <v/>
      </c>
      <c r="V6154" s="361"/>
      <c r="W6154" s="345"/>
      <c r="X6154" s="786"/>
      <c r="Y6154" s="1128" t="s">
        <v>3380</v>
      </c>
      <c r="Z6154" s="1128" t="s">
        <v>3381</v>
      </c>
      <c r="AA6154" s="1128" t="s">
        <v>3384</v>
      </c>
      <c r="AB6154" s="20"/>
      <c r="AC6154" s="73"/>
    </row>
    <row r="6155" spans="1:29" ht="25">
      <c r="A6155" s="327" t="str">
        <f>IF(AND($B6155&lt;&gt;"",$C6155&lt;&gt;""),MAX($A$4730:$A6154)+1,"")</f>
        <v/>
      </c>
      <c r="B6155" s="361" t="s">
        <v>910</v>
      </c>
      <c r="C6155" s="362"/>
      <c r="D6155" s="327">
        <f>IF($B6155="","",COUNTIF($B$4731:$B6155,$B6155))</f>
        <v>4</v>
      </c>
      <c r="E6155" s="362" t="s">
        <v>1847</v>
      </c>
      <c r="F6155" s="403" t="s">
        <v>1848</v>
      </c>
      <c r="G6155" s="410" t="s">
        <v>405</v>
      </c>
      <c r="H6155" s="402" t="s">
        <v>536</v>
      </c>
      <c r="I6155" s="361" t="s">
        <v>1458</v>
      </c>
      <c r="J6155" s="361"/>
      <c r="K6155" s="327"/>
      <c r="L6155" s="389">
        <v>140</v>
      </c>
      <c r="M6155" s="371"/>
      <c r="N6155" s="355" t="s">
        <v>2408</v>
      </c>
      <c r="O6155" s="345"/>
      <c r="P6155" s="325"/>
      <c r="Q6155" s="327"/>
      <c r="R6155" s="351"/>
      <c r="S6155" s="351"/>
      <c r="T6155" s="351"/>
      <c r="U6155" s="329" t="str">
        <f>IF($N6155=$N$4,IFERROR(INDEX(DanhMuc!$E$154:$E$165,MATCH(MID($B6155,4,2),DanhMuc!$B$154:$B$165,0)),""),"")</f>
        <v/>
      </c>
      <c r="V6155" s="361"/>
      <c r="W6155" s="345"/>
      <c r="X6155" s="786"/>
      <c r="Y6155" s="1128" t="s">
        <v>3380</v>
      </c>
      <c r="Z6155" s="1128" t="s">
        <v>3381</v>
      </c>
      <c r="AA6155" s="1128" t="s">
        <v>3384</v>
      </c>
      <c r="AB6155" s="20"/>
      <c r="AC6155" s="73"/>
    </row>
    <row r="6156" spans="1:29">
      <c r="A6156" s="327" t="str">
        <f>IF(AND($B6156&lt;&gt;"",$C6156&lt;&gt;""),MAX($A$4730:$A6155)+1,"")</f>
        <v/>
      </c>
      <c r="B6156" s="361" t="s">
        <v>910</v>
      </c>
      <c r="C6156" s="362"/>
      <c r="D6156" s="327">
        <f>IF($B6156="","",COUNTIF($B$4731:$B6156,$B6156))</f>
        <v>5</v>
      </c>
      <c r="E6156" s="361" t="s">
        <v>656</v>
      </c>
      <c r="F6156" s="362" t="s">
        <v>2239</v>
      </c>
      <c r="G6156" s="327" t="s">
        <v>405</v>
      </c>
      <c r="H6156" s="361" t="s">
        <v>536</v>
      </c>
      <c r="I6156" s="361" t="s">
        <v>1827</v>
      </c>
      <c r="J6156" s="361"/>
      <c r="K6156" s="327" t="s">
        <v>100</v>
      </c>
      <c r="L6156" s="478">
        <v>970</v>
      </c>
      <c r="M6156" s="371"/>
      <c r="N6156" s="355" t="s">
        <v>2409</v>
      </c>
      <c r="O6156" s="345"/>
      <c r="P6156" s="325"/>
      <c r="Q6156" s="327"/>
      <c r="R6156" s="351"/>
      <c r="S6156" s="351"/>
      <c r="T6156" s="351"/>
      <c r="U6156" s="329" t="str">
        <f>IF($N6156=$N$4,IFERROR(INDEX(DanhMuc!$E$154:$E$165,MATCH(MID($B6156,4,2),DanhMuc!$B$154:$B$165,0)),""),"")</f>
        <v/>
      </c>
      <c r="V6156" s="361"/>
      <c r="W6156" s="345"/>
      <c r="X6156" s="786"/>
      <c r="Y6156" s="1128" t="s">
        <v>3380</v>
      </c>
      <c r="Z6156" s="1128" t="s">
        <v>3381</v>
      </c>
      <c r="AA6156" s="1128" t="s">
        <v>3384</v>
      </c>
      <c r="AB6156" s="20"/>
      <c r="AC6156" s="73"/>
    </row>
    <row r="6157" spans="1:29">
      <c r="A6157" s="327" t="str">
        <f>IF(AND($B6157&lt;&gt;"",$C6157&lt;&gt;""),MAX($A$4730:$A6156)+1,"")</f>
        <v/>
      </c>
      <c r="B6157" s="361" t="s">
        <v>910</v>
      </c>
      <c r="C6157" s="362"/>
      <c r="D6157" s="327">
        <f>IF($B6157="","",COUNTIF($B$4731:$B6157,$B6157))</f>
        <v>6</v>
      </c>
      <c r="E6157" s="361" t="s">
        <v>657</v>
      </c>
      <c r="F6157" s="362" t="s">
        <v>658</v>
      </c>
      <c r="G6157" s="327" t="s">
        <v>424</v>
      </c>
      <c r="H6157" s="361" t="s">
        <v>536</v>
      </c>
      <c r="I6157" s="361" t="s">
        <v>665</v>
      </c>
      <c r="J6157" s="361"/>
      <c r="K6157" s="327" t="s">
        <v>100</v>
      </c>
      <c r="L6157" s="478">
        <v>60000</v>
      </c>
      <c r="M6157" s="355"/>
      <c r="N6157" s="355" t="s">
        <v>2409</v>
      </c>
      <c r="O6157" s="345"/>
      <c r="P6157" s="325"/>
      <c r="Q6157" s="327"/>
      <c r="R6157" s="351"/>
      <c r="S6157" s="351"/>
      <c r="T6157" s="351"/>
      <c r="U6157" s="329" t="str">
        <f>IF($N6157=$N$4,IFERROR(INDEX(DanhMuc!$E$154:$E$165,MATCH(MID($B6157,4,2),DanhMuc!$B$154:$B$165,0)),""),"")</f>
        <v/>
      </c>
      <c r="V6157" s="361"/>
      <c r="W6157" s="345"/>
      <c r="X6157" s="786"/>
      <c r="Y6157" s="1128" t="s">
        <v>3380</v>
      </c>
      <c r="Z6157" s="1128" t="s">
        <v>3381</v>
      </c>
      <c r="AA6157" s="1128" t="s">
        <v>3384</v>
      </c>
      <c r="AB6157" s="20"/>
      <c r="AC6157" s="73"/>
    </row>
    <row r="6158" spans="1:29">
      <c r="A6158" s="327" t="str">
        <f>IF(AND($B6158&lt;&gt;"",$C6158&lt;&gt;""),MAX($A$4730:$A6157)+1,"")</f>
        <v/>
      </c>
      <c r="B6158" s="361" t="s">
        <v>910</v>
      </c>
      <c r="C6158" s="362"/>
      <c r="D6158" s="327">
        <f>IF($B6158="","",COUNTIF($B$4731:$B6158,$B6158))</f>
        <v>7</v>
      </c>
      <c r="E6158" s="361" t="s">
        <v>2771</v>
      </c>
      <c r="F6158" s="362" t="s">
        <v>659</v>
      </c>
      <c r="G6158" s="327" t="s">
        <v>424</v>
      </c>
      <c r="H6158" s="361" t="s">
        <v>536</v>
      </c>
      <c r="I6158" s="361" t="s">
        <v>666</v>
      </c>
      <c r="J6158" s="361"/>
      <c r="K6158" s="327" t="s">
        <v>100</v>
      </c>
      <c r="L6158" s="389">
        <v>53000</v>
      </c>
      <c r="M6158" s="355"/>
      <c r="N6158" s="355" t="s">
        <v>2409</v>
      </c>
      <c r="O6158" s="345"/>
      <c r="P6158" s="325"/>
      <c r="Q6158" s="327"/>
      <c r="R6158" s="351"/>
      <c r="S6158" s="351"/>
      <c r="T6158" s="351"/>
      <c r="U6158" s="329" t="str">
        <f>IF($N6158=$N$4,IFERROR(INDEX(DanhMuc!$E$154:$E$165,MATCH(MID($B6158,4,2),DanhMuc!$B$154:$B$165,0)),""),"")</f>
        <v/>
      </c>
      <c r="V6158" s="361"/>
      <c r="W6158" s="345"/>
      <c r="X6158" s="786"/>
      <c r="Y6158" s="1128" t="s">
        <v>3380</v>
      </c>
      <c r="Z6158" s="1128" t="s">
        <v>3381</v>
      </c>
      <c r="AA6158" s="1128" t="s">
        <v>3384</v>
      </c>
      <c r="AB6158" s="20"/>
      <c r="AC6158" s="73"/>
    </row>
    <row r="6159" spans="1:29">
      <c r="A6159" s="327" t="str">
        <f>IF(AND($B6159&lt;&gt;"",$C6159&lt;&gt;""),MAX($A$4730:$A6158)+1,"")</f>
        <v/>
      </c>
      <c r="B6159" s="361" t="s">
        <v>910</v>
      </c>
      <c r="C6159" s="362"/>
      <c r="D6159" s="327">
        <f>IF($B6159="","",COUNTIF($B$4731:$B6159,$B6159))</f>
        <v>8</v>
      </c>
      <c r="E6159" s="361" t="s">
        <v>1828</v>
      </c>
      <c r="F6159" s="362" t="s">
        <v>671</v>
      </c>
      <c r="G6159" s="327" t="s">
        <v>661</v>
      </c>
      <c r="H6159" s="361" t="s">
        <v>536</v>
      </c>
      <c r="I6159" s="361" t="s">
        <v>2355</v>
      </c>
      <c r="J6159" s="361"/>
      <c r="K6159" s="327" t="s">
        <v>100</v>
      </c>
      <c r="L6159" s="478">
        <f>40000/1000</f>
        <v>40</v>
      </c>
      <c r="M6159" s="355"/>
      <c r="N6159" s="355" t="s">
        <v>2409</v>
      </c>
      <c r="O6159" s="345"/>
      <c r="P6159" s="325"/>
      <c r="Q6159" s="327"/>
      <c r="R6159" s="351"/>
      <c r="S6159" s="351"/>
      <c r="T6159" s="351"/>
      <c r="U6159" s="329" t="str">
        <f>IF($N6159=$N$4,IFERROR(INDEX(DanhMuc!$E$154:$E$165,MATCH(MID($B6159,4,2),DanhMuc!$B$154:$B$165,0)),""),"")</f>
        <v/>
      </c>
      <c r="V6159" s="361"/>
      <c r="W6159" s="345"/>
      <c r="X6159" s="786"/>
      <c r="Y6159" s="1128" t="s">
        <v>3380</v>
      </c>
      <c r="Z6159" s="1128" t="s">
        <v>3381</v>
      </c>
      <c r="AA6159" s="1128" t="s">
        <v>3384</v>
      </c>
      <c r="AB6159" s="20"/>
      <c r="AC6159" s="73"/>
    </row>
    <row r="6160" spans="1:29">
      <c r="A6160" s="327" t="str">
        <f>IF(AND($B6160&lt;&gt;"",$C6160&lt;&gt;""),MAX($A$4730:$A6159)+1,"")</f>
        <v/>
      </c>
      <c r="B6160" s="361" t="s">
        <v>910</v>
      </c>
      <c r="C6160" s="362"/>
      <c r="D6160" s="327">
        <f>IF($B6160="","",COUNTIF($B$4731:$B6160,$B6160))</f>
        <v>9</v>
      </c>
      <c r="E6160" s="361" t="s">
        <v>154</v>
      </c>
      <c r="F6160" s="362" t="s">
        <v>660</v>
      </c>
      <c r="G6160" s="327" t="s">
        <v>661</v>
      </c>
      <c r="H6160" s="361" t="s">
        <v>536</v>
      </c>
      <c r="I6160" s="361" t="s">
        <v>667</v>
      </c>
      <c r="J6160" s="361"/>
      <c r="K6160" s="327" t="s">
        <v>662</v>
      </c>
      <c r="L6160" s="478">
        <v>20</v>
      </c>
      <c r="M6160" s="355"/>
      <c r="N6160" s="355" t="s">
        <v>2409</v>
      </c>
      <c r="O6160" s="345"/>
      <c r="P6160" s="325"/>
      <c r="Q6160" s="327"/>
      <c r="R6160" s="351"/>
      <c r="S6160" s="351"/>
      <c r="T6160" s="351"/>
      <c r="U6160" s="329" t="str">
        <f>IF($N6160=$N$4,IFERROR(INDEX(DanhMuc!$E$154:$E$165,MATCH(MID($B6160,4,2),DanhMuc!$B$154:$B$165,0)),""),"")</f>
        <v/>
      </c>
      <c r="V6160" s="361"/>
      <c r="W6160" s="345"/>
      <c r="X6160" s="786"/>
      <c r="Y6160" s="1128" t="s">
        <v>3380</v>
      </c>
      <c r="Z6160" s="1128" t="s">
        <v>3381</v>
      </c>
      <c r="AA6160" s="1128" t="s">
        <v>3384</v>
      </c>
      <c r="AB6160" s="20"/>
      <c r="AC6160" s="73"/>
    </row>
    <row r="6161" spans="1:29">
      <c r="A6161" s="327" t="str">
        <f>IF(AND($B6161&lt;&gt;"",$C6161&lt;&gt;""),MAX($A$4730:$A6160)+1,"")</f>
        <v/>
      </c>
      <c r="B6161" s="361" t="s">
        <v>910</v>
      </c>
      <c r="C6161" s="362"/>
      <c r="D6161" s="327">
        <f>IF($B6161="","",COUNTIF($B$4731:$B6161,$B6161))</f>
        <v>10</v>
      </c>
      <c r="E6161" s="362" t="s">
        <v>2282</v>
      </c>
      <c r="F6161" s="362" t="s">
        <v>2283</v>
      </c>
      <c r="G6161" s="327" t="s">
        <v>424</v>
      </c>
      <c r="H6161" s="361" t="s">
        <v>536</v>
      </c>
      <c r="I6161" s="361" t="s">
        <v>2238</v>
      </c>
      <c r="J6161" s="361"/>
      <c r="K6161" s="327" t="s">
        <v>662</v>
      </c>
      <c r="L6161" s="478">
        <v>28000</v>
      </c>
      <c r="M6161" s="355"/>
      <c r="N6161" s="355" t="s">
        <v>2409</v>
      </c>
      <c r="O6161" s="345"/>
      <c r="P6161" s="325"/>
      <c r="Q6161" s="327"/>
      <c r="R6161" s="351"/>
      <c r="S6161" s="351"/>
      <c r="T6161" s="351"/>
      <c r="U6161" s="329" t="str">
        <f>IF($N6161=$N$4,IFERROR(INDEX(DanhMuc!$E$154:$E$165,MATCH(MID($B6161,4,2),DanhMuc!$B$154:$B$165,0)),""),"")</f>
        <v/>
      </c>
      <c r="V6161" s="361"/>
      <c r="W6161" s="345"/>
      <c r="X6161" s="786"/>
      <c r="Y6161" s="1128" t="s">
        <v>3380</v>
      </c>
      <c r="Z6161" s="1128" t="s">
        <v>3381</v>
      </c>
      <c r="AA6161" s="1128" t="s">
        <v>3384</v>
      </c>
      <c r="AB6161" s="20"/>
      <c r="AC6161" s="73"/>
    </row>
    <row r="6162" spans="1:29">
      <c r="A6162" s="327" t="str">
        <f>IF(AND($B6162&lt;&gt;"",$C6162&lt;&gt;""),MAX($A$4730:$A6161)+1,"")</f>
        <v/>
      </c>
      <c r="B6162" s="361" t="s">
        <v>910</v>
      </c>
      <c r="C6162" s="362"/>
      <c r="D6162" s="327">
        <f>IF($B6162="","",COUNTIF($B$4731:$B6162,$B6162))</f>
        <v>11</v>
      </c>
      <c r="E6162" s="362" t="s">
        <v>663</v>
      </c>
      <c r="F6162" s="362" t="s">
        <v>664</v>
      </c>
      <c r="G6162" s="327" t="s">
        <v>155</v>
      </c>
      <c r="H6162" s="361" t="s">
        <v>536</v>
      </c>
      <c r="I6162" s="361" t="s">
        <v>672</v>
      </c>
      <c r="J6162" s="361"/>
      <c r="K6162" s="327" t="s">
        <v>662</v>
      </c>
      <c r="L6162" s="478">
        <v>1000</v>
      </c>
      <c r="M6162" s="355"/>
      <c r="N6162" s="355" t="s">
        <v>2409</v>
      </c>
      <c r="O6162" s="345"/>
      <c r="P6162" s="325"/>
      <c r="Q6162" s="327"/>
      <c r="R6162" s="351"/>
      <c r="S6162" s="351"/>
      <c r="T6162" s="351"/>
      <c r="U6162" s="329" t="str">
        <f>IF($N6162=$N$4,IFERROR(INDEX(DanhMuc!$E$154:$E$165,MATCH(MID($B6162,4,2),DanhMuc!$B$154:$B$165,0)),""),"")</f>
        <v/>
      </c>
      <c r="V6162" s="361"/>
      <c r="W6162" s="345"/>
      <c r="X6162" s="786"/>
      <c r="Y6162" s="1128" t="s">
        <v>3380</v>
      </c>
      <c r="Z6162" s="1128" t="s">
        <v>3381</v>
      </c>
      <c r="AA6162" s="1128" t="s">
        <v>3384</v>
      </c>
      <c r="AB6162" s="20"/>
      <c r="AC6162" s="73"/>
    </row>
    <row r="6163" spans="1:29" ht="26">
      <c r="A6163" s="327">
        <f>IF(AND($B6163&lt;&gt;"",$C6163&lt;&gt;""),MAX($A$4730:$A6162)+1,"")</f>
        <v>67</v>
      </c>
      <c r="B6163" s="359" t="s">
        <v>905</v>
      </c>
      <c r="C6163" s="370" t="s">
        <v>1594</v>
      </c>
      <c r="D6163" s="327">
        <f>IF($B6163="","",COUNTIF($B$4731:$B6163,$B6163))</f>
        <v>1</v>
      </c>
      <c r="E6163" s="361" t="s">
        <v>1826</v>
      </c>
      <c r="F6163" s="362" t="s">
        <v>670</v>
      </c>
      <c r="G6163" s="327" t="s">
        <v>661</v>
      </c>
      <c r="H6163" s="361" t="s">
        <v>536</v>
      </c>
      <c r="I6163" s="361" t="s">
        <v>2354</v>
      </c>
      <c r="J6163" s="361"/>
      <c r="K6163" s="327" t="s">
        <v>103</v>
      </c>
      <c r="L6163" s="478">
        <f>40000/1000</f>
        <v>40</v>
      </c>
      <c r="M6163" s="355"/>
      <c r="N6163" s="355" t="s">
        <v>2408</v>
      </c>
      <c r="O6163" s="345"/>
      <c r="P6163" s="325"/>
      <c r="Q6163" s="327"/>
      <c r="R6163" s="351"/>
      <c r="S6163" s="351"/>
      <c r="T6163" s="351"/>
      <c r="U6163" s="329" t="str">
        <f>IF($N6163=$N$4,IFERROR(INDEX(DanhMuc!$E$154:$E$165,MATCH(MID($B6163,4,2),DanhMuc!$B$154:$B$165,0)),""),"")</f>
        <v/>
      </c>
      <c r="V6163" s="361"/>
      <c r="W6163" s="345"/>
      <c r="X6163" s="786"/>
      <c r="Y6163" s="1128" t="s">
        <v>3380</v>
      </c>
      <c r="Z6163" s="1128" t="s">
        <v>3381</v>
      </c>
      <c r="AA6163" s="1128" t="s">
        <v>3384</v>
      </c>
      <c r="AB6163" s="20"/>
      <c r="AC6163" s="73"/>
    </row>
    <row r="6164" spans="1:29" ht="25">
      <c r="A6164" s="327" t="str">
        <f>IF(AND($B6164&lt;&gt;"",$C6164&lt;&gt;""),MAX($A$4730:$A6163)+1,"")</f>
        <v/>
      </c>
      <c r="B6164" s="361" t="s">
        <v>905</v>
      </c>
      <c r="C6164" s="362"/>
      <c r="D6164" s="327">
        <f>IF($B6164="","",COUNTIF($B$4731:$B6164,$B6164))</f>
        <v>2</v>
      </c>
      <c r="E6164" s="362" t="s">
        <v>1966</v>
      </c>
      <c r="F6164" s="362" t="s">
        <v>1967</v>
      </c>
      <c r="G6164" s="327" t="s">
        <v>405</v>
      </c>
      <c r="H6164" s="361" t="s">
        <v>536</v>
      </c>
      <c r="I6164" s="361" t="s">
        <v>1309</v>
      </c>
      <c r="J6164" s="361"/>
      <c r="K6164" s="327" t="s">
        <v>223</v>
      </c>
      <c r="L6164" s="389">
        <v>750</v>
      </c>
      <c r="M6164" s="371"/>
      <c r="N6164" s="355" t="s">
        <v>2408</v>
      </c>
      <c r="O6164" s="345"/>
      <c r="P6164" s="325"/>
      <c r="Q6164" s="327"/>
      <c r="R6164" s="351"/>
      <c r="S6164" s="351"/>
      <c r="T6164" s="351"/>
      <c r="U6164" s="329" t="str">
        <f>IF($N6164=$N$4,IFERROR(INDEX(DanhMuc!$E$154:$E$165,MATCH(MID($B6164,4,2),DanhMuc!$B$154:$B$165,0)),""),"")</f>
        <v/>
      </c>
      <c r="V6164" s="361"/>
      <c r="W6164" s="345"/>
      <c r="X6164" s="786"/>
      <c r="Y6164" s="1128" t="s">
        <v>3380</v>
      </c>
      <c r="Z6164" s="1128" t="s">
        <v>3381</v>
      </c>
      <c r="AA6164" s="1128" t="s">
        <v>3384</v>
      </c>
      <c r="AB6164" s="20"/>
      <c r="AC6164" s="73"/>
    </row>
    <row r="6165" spans="1:29" ht="37.5">
      <c r="A6165" s="327" t="str">
        <f>IF(AND($B6165&lt;&gt;"",$C6165&lt;&gt;""),MAX($A$4730:$A6164)+1,"")</f>
        <v/>
      </c>
      <c r="B6165" s="361" t="s">
        <v>905</v>
      </c>
      <c r="C6165" s="362"/>
      <c r="D6165" s="327">
        <f>IF($B6165="","",COUNTIF($B$4731:$B6165,$B6165))</f>
        <v>3</v>
      </c>
      <c r="E6165" s="362" t="s">
        <v>1964</v>
      </c>
      <c r="F6165" s="362" t="s">
        <v>1965</v>
      </c>
      <c r="G6165" s="410" t="s">
        <v>405</v>
      </c>
      <c r="H6165" s="402" t="s">
        <v>536</v>
      </c>
      <c r="I6165" s="402" t="s">
        <v>1210</v>
      </c>
      <c r="J6165" s="402"/>
      <c r="K6165" s="410" t="s">
        <v>223</v>
      </c>
      <c r="L6165" s="478">
        <v>140</v>
      </c>
      <c r="M6165" s="371"/>
      <c r="N6165" s="355" t="s">
        <v>2408</v>
      </c>
      <c r="O6165" s="345"/>
      <c r="P6165" s="325"/>
      <c r="Q6165" s="327"/>
      <c r="R6165" s="351"/>
      <c r="S6165" s="351"/>
      <c r="T6165" s="351"/>
      <c r="U6165" s="329" t="str">
        <f>IF($N6165=$N$4,IFERROR(INDEX(DanhMuc!$E$154:$E$165,MATCH(MID($B6165,4,2),DanhMuc!$B$154:$B$165,0)),""),"")</f>
        <v/>
      </c>
      <c r="V6165" s="361"/>
      <c r="W6165" s="345"/>
      <c r="X6165" s="786"/>
      <c r="Y6165" s="1128" t="s">
        <v>3380</v>
      </c>
      <c r="Z6165" s="1128" t="s">
        <v>3381</v>
      </c>
      <c r="AA6165" s="1128" t="s">
        <v>3384</v>
      </c>
      <c r="AB6165" s="20"/>
      <c r="AC6165" s="73"/>
    </row>
    <row r="6166" spans="1:29">
      <c r="A6166" s="327" t="str">
        <f>IF(AND($B6166&lt;&gt;"",$C6166&lt;&gt;""),MAX($A$4730:$A6165)+1,"")</f>
        <v/>
      </c>
      <c r="B6166" s="361" t="s">
        <v>905</v>
      </c>
      <c r="C6166" s="362"/>
      <c r="D6166" s="327">
        <f>IF($B6166="","",COUNTIF($B$4731:$B6166,$B6166))</f>
        <v>4</v>
      </c>
      <c r="E6166" s="361" t="s">
        <v>656</v>
      </c>
      <c r="F6166" s="362" t="s">
        <v>2239</v>
      </c>
      <c r="G6166" s="327" t="s">
        <v>405</v>
      </c>
      <c r="H6166" s="361" t="s">
        <v>536</v>
      </c>
      <c r="I6166" s="361" t="s">
        <v>1827</v>
      </c>
      <c r="J6166" s="361"/>
      <c r="K6166" s="327" t="s">
        <v>100</v>
      </c>
      <c r="L6166" s="478">
        <v>970</v>
      </c>
      <c r="M6166" s="371"/>
      <c r="N6166" s="355" t="s">
        <v>2409</v>
      </c>
      <c r="O6166" s="345"/>
      <c r="P6166" s="325"/>
      <c r="Q6166" s="327"/>
      <c r="R6166" s="351"/>
      <c r="S6166" s="351"/>
      <c r="T6166" s="351"/>
      <c r="U6166" s="329" t="str">
        <f>IF($N6166=$N$4,IFERROR(INDEX(DanhMuc!$E$154:$E$165,MATCH(MID($B6166,4,2),DanhMuc!$B$154:$B$165,0)),""),"")</f>
        <v/>
      </c>
      <c r="V6166" s="361"/>
      <c r="W6166" s="345"/>
      <c r="X6166" s="786"/>
      <c r="Y6166" s="1128" t="s">
        <v>3380</v>
      </c>
      <c r="Z6166" s="1128" t="s">
        <v>3381</v>
      </c>
      <c r="AA6166" s="1128" t="s">
        <v>3384</v>
      </c>
      <c r="AB6166" s="20"/>
      <c r="AC6166" s="73"/>
    </row>
    <row r="6167" spans="1:29">
      <c r="A6167" s="327" t="str">
        <f>IF(AND($B6167&lt;&gt;"",$C6167&lt;&gt;""),MAX($A$4730:$A6166)+1,"")</f>
        <v/>
      </c>
      <c r="B6167" s="361" t="s">
        <v>905</v>
      </c>
      <c r="C6167" s="362"/>
      <c r="D6167" s="327">
        <f>IF($B6167="","",COUNTIF($B$4731:$B6167,$B6167))</f>
        <v>5</v>
      </c>
      <c r="E6167" s="361" t="s">
        <v>657</v>
      </c>
      <c r="F6167" s="362" t="s">
        <v>658</v>
      </c>
      <c r="G6167" s="327" t="s">
        <v>424</v>
      </c>
      <c r="H6167" s="361" t="s">
        <v>536</v>
      </c>
      <c r="I6167" s="361" t="s">
        <v>665</v>
      </c>
      <c r="J6167" s="361"/>
      <c r="K6167" s="327" t="s">
        <v>100</v>
      </c>
      <c r="L6167" s="478">
        <v>60000</v>
      </c>
      <c r="M6167" s="355"/>
      <c r="N6167" s="355" t="s">
        <v>2409</v>
      </c>
      <c r="O6167" s="345"/>
      <c r="P6167" s="325"/>
      <c r="Q6167" s="327"/>
      <c r="R6167" s="351"/>
      <c r="S6167" s="351"/>
      <c r="T6167" s="351"/>
      <c r="U6167" s="329" t="str">
        <f>IF($N6167=$N$4,IFERROR(INDEX(DanhMuc!$E$154:$E$165,MATCH(MID($B6167,4,2),DanhMuc!$B$154:$B$165,0)),""),"")</f>
        <v/>
      </c>
      <c r="V6167" s="361"/>
      <c r="W6167" s="345"/>
      <c r="X6167" s="786"/>
      <c r="Y6167" s="1128" t="s">
        <v>3380</v>
      </c>
      <c r="Z6167" s="1128" t="s">
        <v>3381</v>
      </c>
      <c r="AA6167" s="1128" t="s">
        <v>3384</v>
      </c>
      <c r="AB6167" s="20"/>
      <c r="AC6167" s="73"/>
    </row>
    <row r="6168" spans="1:29">
      <c r="A6168" s="327" t="str">
        <f>IF(AND($B6168&lt;&gt;"",$C6168&lt;&gt;""),MAX($A$4730:$A6167)+1,"")</f>
        <v/>
      </c>
      <c r="B6168" s="361" t="s">
        <v>905</v>
      </c>
      <c r="C6168" s="362"/>
      <c r="D6168" s="327">
        <f>IF($B6168="","",COUNTIF($B$4731:$B6168,$B6168))</f>
        <v>6</v>
      </c>
      <c r="E6168" s="361" t="s">
        <v>2771</v>
      </c>
      <c r="F6168" s="362" t="s">
        <v>659</v>
      </c>
      <c r="G6168" s="327" t="s">
        <v>424</v>
      </c>
      <c r="H6168" s="361" t="s">
        <v>536</v>
      </c>
      <c r="I6168" s="361" t="s">
        <v>666</v>
      </c>
      <c r="J6168" s="361"/>
      <c r="K6168" s="327" t="s">
        <v>100</v>
      </c>
      <c r="L6168" s="389">
        <v>53000</v>
      </c>
      <c r="M6168" s="355"/>
      <c r="N6168" s="355" t="s">
        <v>2409</v>
      </c>
      <c r="O6168" s="345"/>
      <c r="P6168" s="325"/>
      <c r="Q6168" s="327"/>
      <c r="R6168" s="351"/>
      <c r="S6168" s="351"/>
      <c r="T6168" s="351"/>
      <c r="U6168" s="329" t="str">
        <f>IF($N6168=$N$4,IFERROR(INDEX(DanhMuc!$E$154:$E$165,MATCH(MID($B6168,4,2),DanhMuc!$B$154:$B$165,0)),""),"")</f>
        <v/>
      </c>
      <c r="V6168" s="361"/>
      <c r="W6168" s="345"/>
      <c r="X6168" s="786"/>
      <c r="Y6168" s="1128" t="s">
        <v>3380</v>
      </c>
      <c r="Z6168" s="1128" t="s">
        <v>3381</v>
      </c>
      <c r="AA6168" s="1128" t="s">
        <v>3384</v>
      </c>
      <c r="AB6168" s="20"/>
      <c r="AC6168" s="73"/>
    </row>
    <row r="6169" spans="1:29">
      <c r="A6169" s="327" t="str">
        <f>IF(AND($B6169&lt;&gt;"",$C6169&lt;&gt;""),MAX($A$4730:$A6168)+1,"")</f>
        <v/>
      </c>
      <c r="B6169" s="361" t="s">
        <v>905</v>
      </c>
      <c r="C6169" s="362"/>
      <c r="D6169" s="327">
        <f>IF($B6169="","",COUNTIF($B$4731:$B6169,$B6169))</f>
        <v>7</v>
      </c>
      <c r="E6169" s="361" t="s">
        <v>1828</v>
      </c>
      <c r="F6169" s="362" t="s">
        <v>671</v>
      </c>
      <c r="G6169" s="327" t="s">
        <v>661</v>
      </c>
      <c r="H6169" s="361" t="s">
        <v>536</v>
      </c>
      <c r="I6169" s="361" t="s">
        <v>2355</v>
      </c>
      <c r="J6169" s="361"/>
      <c r="K6169" s="327" t="s">
        <v>100</v>
      </c>
      <c r="L6169" s="478">
        <f>40000/1000</f>
        <v>40</v>
      </c>
      <c r="M6169" s="355"/>
      <c r="N6169" s="355" t="s">
        <v>2409</v>
      </c>
      <c r="O6169" s="345"/>
      <c r="P6169" s="325"/>
      <c r="Q6169" s="327"/>
      <c r="R6169" s="351"/>
      <c r="S6169" s="351"/>
      <c r="T6169" s="351"/>
      <c r="U6169" s="329" t="str">
        <f>IF($N6169=$N$4,IFERROR(INDEX(DanhMuc!$E$154:$E$165,MATCH(MID($B6169,4,2),DanhMuc!$B$154:$B$165,0)),""),"")</f>
        <v/>
      </c>
      <c r="V6169" s="361"/>
      <c r="W6169" s="345"/>
      <c r="X6169" s="786"/>
      <c r="Y6169" s="1128" t="s">
        <v>3380</v>
      </c>
      <c r="Z6169" s="1128" t="s">
        <v>3381</v>
      </c>
      <c r="AA6169" s="1128" t="s">
        <v>3384</v>
      </c>
      <c r="AB6169" s="20"/>
      <c r="AC6169" s="73"/>
    </row>
    <row r="6170" spans="1:29">
      <c r="A6170" s="327" t="str">
        <f>IF(AND($B6170&lt;&gt;"",$C6170&lt;&gt;""),MAX($A$4730:$A6169)+1,"")</f>
        <v/>
      </c>
      <c r="B6170" s="361" t="s">
        <v>905</v>
      </c>
      <c r="C6170" s="362"/>
      <c r="D6170" s="327">
        <f>IF($B6170="","",COUNTIF($B$4731:$B6170,$B6170))</f>
        <v>8</v>
      </c>
      <c r="E6170" s="361" t="s">
        <v>154</v>
      </c>
      <c r="F6170" s="362" t="s">
        <v>660</v>
      </c>
      <c r="G6170" s="327" t="s">
        <v>661</v>
      </c>
      <c r="H6170" s="361" t="s">
        <v>536</v>
      </c>
      <c r="I6170" s="361" t="s">
        <v>667</v>
      </c>
      <c r="J6170" s="361"/>
      <c r="K6170" s="327" t="s">
        <v>662</v>
      </c>
      <c r="L6170" s="478">
        <v>20</v>
      </c>
      <c r="M6170" s="355"/>
      <c r="N6170" s="355" t="s">
        <v>2409</v>
      </c>
      <c r="O6170" s="345"/>
      <c r="P6170" s="325"/>
      <c r="Q6170" s="327"/>
      <c r="R6170" s="351"/>
      <c r="S6170" s="351"/>
      <c r="T6170" s="351"/>
      <c r="U6170" s="329" t="str">
        <f>IF($N6170=$N$4,IFERROR(INDEX(DanhMuc!$E$154:$E$165,MATCH(MID($B6170,4,2),DanhMuc!$B$154:$B$165,0)),""),"")</f>
        <v/>
      </c>
      <c r="V6170" s="361"/>
      <c r="W6170" s="345"/>
      <c r="X6170" s="786"/>
      <c r="Y6170" s="1128" t="s">
        <v>3380</v>
      </c>
      <c r="Z6170" s="1128" t="s">
        <v>3381</v>
      </c>
      <c r="AA6170" s="1128" t="s">
        <v>3384</v>
      </c>
      <c r="AB6170" s="20"/>
      <c r="AC6170" s="73"/>
    </row>
    <row r="6171" spans="1:29">
      <c r="A6171" s="327" t="str">
        <f>IF(AND($B6171&lt;&gt;"",$C6171&lt;&gt;""),MAX($A$4730:$A6170)+1,"")</f>
        <v/>
      </c>
      <c r="B6171" s="361" t="s">
        <v>905</v>
      </c>
      <c r="C6171" s="362"/>
      <c r="D6171" s="327">
        <f>IF($B6171="","",COUNTIF($B$4731:$B6171,$B6171))</f>
        <v>9</v>
      </c>
      <c r="E6171" s="362" t="s">
        <v>2282</v>
      </c>
      <c r="F6171" s="362" t="s">
        <v>2283</v>
      </c>
      <c r="G6171" s="327" t="s">
        <v>424</v>
      </c>
      <c r="H6171" s="361" t="s">
        <v>536</v>
      </c>
      <c r="I6171" s="361" t="s">
        <v>2238</v>
      </c>
      <c r="J6171" s="361"/>
      <c r="K6171" s="327" t="s">
        <v>662</v>
      </c>
      <c r="L6171" s="478">
        <v>28000</v>
      </c>
      <c r="M6171" s="355"/>
      <c r="N6171" s="355" t="s">
        <v>2409</v>
      </c>
      <c r="O6171" s="345"/>
      <c r="P6171" s="325"/>
      <c r="Q6171" s="327"/>
      <c r="R6171" s="351"/>
      <c r="S6171" s="351"/>
      <c r="T6171" s="351"/>
      <c r="U6171" s="329" t="str">
        <f>IF($N6171=$N$4,IFERROR(INDEX(DanhMuc!$E$154:$E$165,MATCH(MID($B6171,4,2),DanhMuc!$B$154:$B$165,0)),""),"")</f>
        <v/>
      </c>
      <c r="V6171" s="361"/>
      <c r="W6171" s="345"/>
      <c r="X6171" s="786"/>
      <c r="Y6171" s="1128" t="s">
        <v>3380</v>
      </c>
      <c r="Z6171" s="1128" t="s">
        <v>3381</v>
      </c>
      <c r="AA6171" s="1128" t="s">
        <v>3384</v>
      </c>
      <c r="AB6171" s="20"/>
      <c r="AC6171" s="73"/>
    </row>
    <row r="6172" spans="1:29">
      <c r="A6172" s="327" t="str">
        <f>IF(AND($B6172&lt;&gt;"",$C6172&lt;&gt;""),MAX($A$4730:$A6171)+1,"")</f>
        <v/>
      </c>
      <c r="B6172" s="361" t="s">
        <v>905</v>
      </c>
      <c r="C6172" s="362"/>
      <c r="D6172" s="327">
        <f>IF($B6172="","",COUNTIF($B$4731:$B6172,$B6172))</f>
        <v>10</v>
      </c>
      <c r="E6172" s="362" t="s">
        <v>663</v>
      </c>
      <c r="F6172" s="362" t="s">
        <v>664</v>
      </c>
      <c r="G6172" s="327" t="s">
        <v>155</v>
      </c>
      <c r="H6172" s="361" t="s">
        <v>536</v>
      </c>
      <c r="I6172" s="361" t="s">
        <v>672</v>
      </c>
      <c r="J6172" s="361"/>
      <c r="K6172" s="327" t="s">
        <v>662</v>
      </c>
      <c r="L6172" s="478">
        <v>1000</v>
      </c>
      <c r="M6172" s="355"/>
      <c r="N6172" s="355" t="s">
        <v>2409</v>
      </c>
      <c r="O6172" s="345"/>
      <c r="P6172" s="325"/>
      <c r="Q6172" s="327"/>
      <c r="R6172" s="351"/>
      <c r="S6172" s="351"/>
      <c r="T6172" s="351"/>
      <c r="U6172" s="329" t="str">
        <f>IF($N6172=$N$4,IFERROR(INDEX(DanhMuc!$E$154:$E$165,MATCH(MID($B6172,4,2),DanhMuc!$B$154:$B$165,0)),""),"")</f>
        <v/>
      </c>
      <c r="V6172" s="361"/>
      <c r="W6172" s="345"/>
      <c r="X6172" s="786"/>
      <c r="Y6172" s="1128" t="s">
        <v>3380</v>
      </c>
      <c r="Z6172" s="1128" t="s">
        <v>3381</v>
      </c>
      <c r="AA6172" s="1128" t="s">
        <v>3384</v>
      </c>
      <c r="AB6172" s="20"/>
      <c r="AC6172" s="73"/>
    </row>
    <row r="6173" spans="1:29" ht="26">
      <c r="A6173" s="327">
        <f>IF(AND($B6173&lt;&gt;"",$C6173&lt;&gt;""),MAX($A$4730:$A6172)+1,"")</f>
        <v>68</v>
      </c>
      <c r="B6173" s="359" t="s">
        <v>1069</v>
      </c>
      <c r="C6173" s="370" t="s">
        <v>1588</v>
      </c>
      <c r="D6173" s="327">
        <f>IF($B6173="","",COUNTIF($B$4731:$B6173,$B6173))</f>
        <v>1</v>
      </c>
      <c r="E6173" s="361" t="s">
        <v>1826</v>
      </c>
      <c r="F6173" s="362" t="s">
        <v>670</v>
      </c>
      <c r="G6173" s="327" t="s">
        <v>661</v>
      </c>
      <c r="H6173" s="361" t="s">
        <v>536</v>
      </c>
      <c r="I6173" s="361" t="s">
        <v>2354</v>
      </c>
      <c r="J6173" s="361"/>
      <c r="K6173" s="327" t="s">
        <v>103</v>
      </c>
      <c r="L6173" s="478">
        <f>40000/1000</f>
        <v>40</v>
      </c>
      <c r="M6173" s="355"/>
      <c r="N6173" s="355" t="s">
        <v>2408</v>
      </c>
      <c r="O6173" s="345"/>
      <c r="P6173" s="325"/>
      <c r="Q6173" s="327"/>
      <c r="R6173" s="351"/>
      <c r="S6173" s="351"/>
      <c r="T6173" s="351"/>
      <c r="U6173" s="329" t="str">
        <f>IF($N6173=$N$4,IFERROR(INDEX(DanhMuc!$E$154:$E$165,MATCH(MID($B6173,4,2),DanhMuc!$B$154:$B$165,0)),""),"")</f>
        <v/>
      </c>
      <c r="V6173" s="361"/>
      <c r="W6173" s="345"/>
      <c r="X6173" s="786"/>
      <c r="Y6173" s="1128" t="s">
        <v>3380</v>
      </c>
      <c r="Z6173" s="1128" t="s">
        <v>3381</v>
      </c>
      <c r="AA6173" s="1128" t="s">
        <v>3384</v>
      </c>
      <c r="AB6173" s="20"/>
      <c r="AC6173" s="73"/>
    </row>
    <row r="6174" spans="1:29" ht="25">
      <c r="A6174" s="327" t="str">
        <f>IF(AND($B6174&lt;&gt;"",$C6174&lt;&gt;""),MAX($A$4730:$A6173)+1,"")</f>
        <v/>
      </c>
      <c r="B6174" s="361" t="s">
        <v>1069</v>
      </c>
      <c r="C6174" s="362"/>
      <c r="D6174" s="327">
        <f>IF($B6174="","",COUNTIF($B$4731:$B6174,$B6174))</f>
        <v>2</v>
      </c>
      <c r="E6174" s="362" t="s">
        <v>1966</v>
      </c>
      <c r="F6174" s="362" t="s">
        <v>1967</v>
      </c>
      <c r="G6174" s="327" t="s">
        <v>405</v>
      </c>
      <c r="H6174" s="361" t="s">
        <v>536</v>
      </c>
      <c r="I6174" s="361" t="s">
        <v>1309</v>
      </c>
      <c r="J6174" s="361"/>
      <c r="K6174" s="327" t="s">
        <v>223</v>
      </c>
      <c r="L6174" s="389">
        <v>750</v>
      </c>
      <c r="M6174" s="371"/>
      <c r="N6174" s="355" t="s">
        <v>2408</v>
      </c>
      <c r="O6174" s="345"/>
      <c r="P6174" s="325"/>
      <c r="Q6174" s="327"/>
      <c r="R6174" s="351"/>
      <c r="S6174" s="351"/>
      <c r="T6174" s="351"/>
      <c r="U6174" s="329" t="str">
        <f>IF($N6174=$N$4,IFERROR(INDEX(DanhMuc!$E$154:$E$165,MATCH(MID($B6174,4,2),DanhMuc!$B$154:$B$165,0)),""),"")</f>
        <v/>
      </c>
      <c r="V6174" s="361"/>
      <c r="W6174" s="345"/>
      <c r="X6174" s="786"/>
      <c r="Y6174" s="1128" t="s">
        <v>3380</v>
      </c>
      <c r="Z6174" s="1128" t="s">
        <v>3381</v>
      </c>
      <c r="AA6174" s="1128" t="s">
        <v>3384</v>
      </c>
      <c r="AB6174" s="20"/>
      <c r="AC6174" s="73"/>
    </row>
    <row r="6175" spans="1:29" ht="37.5">
      <c r="A6175" s="327" t="str">
        <f>IF(AND($B6175&lt;&gt;"",$C6175&lt;&gt;""),MAX($A$4730:$A6174)+1,"")</f>
        <v/>
      </c>
      <c r="B6175" s="361" t="s">
        <v>1069</v>
      </c>
      <c r="C6175" s="362"/>
      <c r="D6175" s="327">
        <f>IF($B6175="","",COUNTIF($B$4731:$B6175,$B6175))</f>
        <v>3</v>
      </c>
      <c r="E6175" s="362" t="s">
        <v>1964</v>
      </c>
      <c r="F6175" s="362" t="s">
        <v>1965</v>
      </c>
      <c r="G6175" s="410" t="s">
        <v>405</v>
      </c>
      <c r="H6175" s="402" t="s">
        <v>536</v>
      </c>
      <c r="I6175" s="402" t="s">
        <v>1210</v>
      </c>
      <c r="J6175" s="402"/>
      <c r="K6175" s="410" t="s">
        <v>223</v>
      </c>
      <c r="L6175" s="478">
        <v>140</v>
      </c>
      <c r="M6175" s="371"/>
      <c r="N6175" s="355" t="s">
        <v>2408</v>
      </c>
      <c r="O6175" s="345"/>
      <c r="P6175" s="325"/>
      <c r="Q6175" s="327"/>
      <c r="R6175" s="351"/>
      <c r="S6175" s="351"/>
      <c r="T6175" s="351"/>
      <c r="U6175" s="329" t="str">
        <f>IF($N6175=$N$4,IFERROR(INDEX(DanhMuc!$E$154:$E$165,MATCH(MID($B6175,4,2),DanhMuc!$B$154:$B$165,0)),""),"")</f>
        <v/>
      </c>
      <c r="V6175" s="361"/>
      <c r="W6175" s="345"/>
      <c r="X6175" s="786"/>
      <c r="Y6175" s="1128" t="s">
        <v>3380</v>
      </c>
      <c r="Z6175" s="1128" t="s">
        <v>3381</v>
      </c>
      <c r="AA6175" s="1128" t="s">
        <v>3384</v>
      </c>
      <c r="AB6175" s="20"/>
      <c r="AC6175" s="73"/>
    </row>
    <row r="6176" spans="1:29">
      <c r="A6176" s="327" t="str">
        <f>IF(AND($B6176&lt;&gt;"",$C6176&lt;&gt;""),MAX($A$4730:$A6175)+1,"")</f>
        <v/>
      </c>
      <c r="B6176" s="361" t="s">
        <v>1069</v>
      </c>
      <c r="C6176" s="362"/>
      <c r="D6176" s="327">
        <f>IF($B6176="","",COUNTIF($B$4731:$B6176,$B6176))</f>
        <v>4</v>
      </c>
      <c r="E6176" s="361" t="s">
        <v>656</v>
      </c>
      <c r="F6176" s="362" t="s">
        <v>2239</v>
      </c>
      <c r="G6176" s="327" t="s">
        <v>405</v>
      </c>
      <c r="H6176" s="361" t="s">
        <v>536</v>
      </c>
      <c r="I6176" s="361" t="s">
        <v>1827</v>
      </c>
      <c r="J6176" s="361"/>
      <c r="K6176" s="327" t="s">
        <v>100</v>
      </c>
      <c r="L6176" s="478">
        <v>970</v>
      </c>
      <c r="M6176" s="371"/>
      <c r="N6176" s="355" t="s">
        <v>2409</v>
      </c>
      <c r="O6176" s="345"/>
      <c r="P6176" s="325"/>
      <c r="Q6176" s="327"/>
      <c r="R6176" s="351"/>
      <c r="S6176" s="351"/>
      <c r="T6176" s="351"/>
      <c r="U6176" s="329" t="str">
        <f>IF($N6176=$N$4,IFERROR(INDEX(DanhMuc!$E$154:$E$165,MATCH(MID($B6176,4,2),DanhMuc!$B$154:$B$165,0)),""),"")</f>
        <v/>
      </c>
      <c r="V6176" s="361"/>
      <c r="W6176" s="345"/>
      <c r="X6176" s="786"/>
      <c r="Y6176" s="1128" t="s">
        <v>3380</v>
      </c>
      <c r="Z6176" s="1128" t="s">
        <v>3381</v>
      </c>
      <c r="AA6176" s="1128" t="s">
        <v>3384</v>
      </c>
      <c r="AB6176" s="20"/>
      <c r="AC6176" s="73"/>
    </row>
    <row r="6177" spans="1:29">
      <c r="A6177" s="327" t="str">
        <f>IF(AND($B6177&lt;&gt;"",$C6177&lt;&gt;""),MAX($A$4730:$A6176)+1,"")</f>
        <v/>
      </c>
      <c r="B6177" s="361" t="s">
        <v>1069</v>
      </c>
      <c r="C6177" s="362"/>
      <c r="D6177" s="327">
        <f>IF($B6177="","",COUNTIF($B$4731:$B6177,$B6177))</f>
        <v>5</v>
      </c>
      <c r="E6177" s="361" t="s">
        <v>657</v>
      </c>
      <c r="F6177" s="362" t="s">
        <v>658</v>
      </c>
      <c r="G6177" s="327" t="s">
        <v>424</v>
      </c>
      <c r="H6177" s="361" t="s">
        <v>536</v>
      </c>
      <c r="I6177" s="361" t="s">
        <v>665</v>
      </c>
      <c r="J6177" s="361"/>
      <c r="K6177" s="327" t="s">
        <v>100</v>
      </c>
      <c r="L6177" s="478">
        <v>60000</v>
      </c>
      <c r="M6177" s="355"/>
      <c r="N6177" s="355" t="s">
        <v>2409</v>
      </c>
      <c r="O6177" s="345"/>
      <c r="P6177" s="325"/>
      <c r="Q6177" s="327"/>
      <c r="R6177" s="351"/>
      <c r="S6177" s="351"/>
      <c r="T6177" s="351"/>
      <c r="U6177" s="329" t="str">
        <f>IF($N6177=$N$4,IFERROR(INDEX(DanhMuc!$E$154:$E$165,MATCH(MID($B6177,4,2),DanhMuc!$B$154:$B$165,0)),""),"")</f>
        <v/>
      </c>
      <c r="V6177" s="361"/>
      <c r="W6177" s="345"/>
      <c r="X6177" s="786"/>
      <c r="Y6177" s="1128" t="s">
        <v>3380</v>
      </c>
      <c r="Z6177" s="1128" t="s">
        <v>3381</v>
      </c>
      <c r="AA6177" s="1128" t="s">
        <v>3384</v>
      </c>
      <c r="AB6177" s="20"/>
      <c r="AC6177" s="73"/>
    </row>
    <row r="6178" spans="1:29">
      <c r="A6178" s="327" t="str">
        <f>IF(AND($B6178&lt;&gt;"",$C6178&lt;&gt;""),MAX($A$4730:$A6177)+1,"")</f>
        <v/>
      </c>
      <c r="B6178" s="361" t="s">
        <v>1069</v>
      </c>
      <c r="C6178" s="362"/>
      <c r="D6178" s="327">
        <f>IF($B6178="","",COUNTIF($B$4731:$B6178,$B6178))</f>
        <v>6</v>
      </c>
      <c r="E6178" s="361" t="s">
        <v>2771</v>
      </c>
      <c r="F6178" s="362" t="s">
        <v>659</v>
      </c>
      <c r="G6178" s="327" t="s">
        <v>424</v>
      </c>
      <c r="H6178" s="361" t="s">
        <v>536</v>
      </c>
      <c r="I6178" s="361" t="s">
        <v>666</v>
      </c>
      <c r="J6178" s="361"/>
      <c r="K6178" s="327" t="s">
        <v>100</v>
      </c>
      <c r="L6178" s="389">
        <v>53000</v>
      </c>
      <c r="M6178" s="355"/>
      <c r="N6178" s="355" t="s">
        <v>2409</v>
      </c>
      <c r="O6178" s="345"/>
      <c r="P6178" s="325"/>
      <c r="Q6178" s="327"/>
      <c r="R6178" s="351"/>
      <c r="S6178" s="351"/>
      <c r="T6178" s="351"/>
      <c r="U6178" s="329" t="str">
        <f>IF($N6178=$N$4,IFERROR(INDEX(DanhMuc!$E$154:$E$165,MATCH(MID($B6178,4,2),DanhMuc!$B$154:$B$165,0)),""),"")</f>
        <v/>
      </c>
      <c r="V6178" s="361"/>
      <c r="W6178" s="345"/>
      <c r="X6178" s="786"/>
      <c r="Y6178" s="1128" t="s">
        <v>3380</v>
      </c>
      <c r="Z6178" s="1128" t="s">
        <v>3381</v>
      </c>
      <c r="AA6178" s="1128" t="s">
        <v>3384</v>
      </c>
      <c r="AB6178" s="20"/>
      <c r="AC6178" s="73"/>
    </row>
    <row r="6179" spans="1:29">
      <c r="A6179" s="327" t="str">
        <f>IF(AND($B6179&lt;&gt;"",$C6179&lt;&gt;""),MAX($A$4730:$A6178)+1,"")</f>
        <v/>
      </c>
      <c r="B6179" s="361" t="s">
        <v>1069</v>
      </c>
      <c r="C6179" s="362"/>
      <c r="D6179" s="327">
        <f>IF($B6179="","",COUNTIF($B$4731:$B6179,$B6179))</f>
        <v>7</v>
      </c>
      <c r="E6179" s="361" t="s">
        <v>1828</v>
      </c>
      <c r="F6179" s="362" t="s">
        <v>671</v>
      </c>
      <c r="G6179" s="327" t="s">
        <v>661</v>
      </c>
      <c r="H6179" s="361" t="s">
        <v>536</v>
      </c>
      <c r="I6179" s="361" t="s">
        <v>2355</v>
      </c>
      <c r="J6179" s="361"/>
      <c r="K6179" s="327" t="s">
        <v>100</v>
      </c>
      <c r="L6179" s="478">
        <f>40000/1000</f>
        <v>40</v>
      </c>
      <c r="M6179" s="355"/>
      <c r="N6179" s="355" t="s">
        <v>2409</v>
      </c>
      <c r="O6179" s="345"/>
      <c r="P6179" s="325"/>
      <c r="Q6179" s="327"/>
      <c r="R6179" s="351"/>
      <c r="S6179" s="351"/>
      <c r="T6179" s="351"/>
      <c r="U6179" s="329" t="str">
        <f>IF($N6179=$N$4,IFERROR(INDEX(DanhMuc!$E$154:$E$165,MATCH(MID($B6179,4,2),DanhMuc!$B$154:$B$165,0)),""),"")</f>
        <v/>
      </c>
      <c r="V6179" s="361"/>
      <c r="W6179" s="345"/>
      <c r="X6179" s="786"/>
      <c r="Y6179" s="1128" t="s">
        <v>3380</v>
      </c>
      <c r="Z6179" s="1128" t="s">
        <v>3381</v>
      </c>
      <c r="AA6179" s="1128" t="s">
        <v>3384</v>
      </c>
      <c r="AB6179" s="20"/>
      <c r="AC6179" s="73"/>
    </row>
    <row r="6180" spans="1:29">
      <c r="A6180" s="327" t="str">
        <f>IF(AND($B6180&lt;&gt;"",$C6180&lt;&gt;""),MAX($A$4730:$A6179)+1,"")</f>
        <v/>
      </c>
      <c r="B6180" s="361" t="s">
        <v>1069</v>
      </c>
      <c r="C6180" s="362"/>
      <c r="D6180" s="327">
        <f>IF($B6180="","",COUNTIF($B$4731:$B6180,$B6180))</f>
        <v>8</v>
      </c>
      <c r="E6180" s="361" t="s">
        <v>154</v>
      </c>
      <c r="F6180" s="362" t="s">
        <v>660</v>
      </c>
      <c r="G6180" s="327" t="s">
        <v>661</v>
      </c>
      <c r="H6180" s="361" t="s">
        <v>536</v>
      </c>
      <c r="I6180" s="361" t="s">
        <v>667</v>
      </c>
      <c r="J6180" s="361"/>
      <c r="K6180" s="327" t="s">
        <v>662</v>
      </c>
      <c r="L6180" s="478">
        <v>20</v>
      </c>
      <c r="M6180" s="355"/>
      <c r="N6180" s="355" t="s">
        <v>2409</v>
      </c>
      <c r="O6180" s="345"/>
      <c r="P6180" s="325"/>
      <c r="Q6180" s="327"/>
      <c r="R6180" s="351"/>
      <c r="S6180" s="351"/>
      <c r="T6180" s="351"/>
      <c r="U6180" s="329" t="str">
        <f>IF($N6180=$N$4,IFERROR(INDEX(DanhMuc!$E$154:$E$165,MATCH(MID($B6180,4,2),DanhMuc!$B$154:$B$165,0)),""),"")</f>
        <v/>
      </c>
      <c r="V6180" s="361"/>
      <c r="W6180" s="345"/>
      <c r="X6180" s="786"/>
      <c r="Y6180" s="1128" t="s">
        <v>3380</v>
      </c>
      <c r="Z6180" s="1128" t="s">
        <v>3381</v>
      </c>
      <c r="AA6180" s="1128" t="s">
        <v>3384</v>
      </c>
      <c r="AB6180" s="20"/>
      <c r="AC6180" s="73"/>
    </row>
    <row r="6181" spans="1:29">
      <c r="A6181" s="327" t="str">
        <f>IF(AND($B6181&lt;&gt;"",$C6181&lt;&gt;""),MAX($A$4730:$A6180)+1,"")</f>
        <v/>
      </c>
      <c r="B6181" s="361" t="s">
        <v>1069</v>
      </c>
      <c r="C6181" s="362"/>
      <c r="D6181" s="327">
        <f>IF($B6181="","",COUNTIF($B$4731:$B6181,$B6181))</f>
        <v>9</v>
      </c>
      <c r="E6181" s="362" t="s">
        <v>2282</v>
      </c>
      <c r="F6181" s="362" t="s">
        <v>2283</v>
      </c>
      <c r="G6181" s="327" t="s">
        <v>424</v>
      </c>
      <c r="H6181" s="361" t="s">
        <v>536</v>
      </c>
      <c r="I6181" s="361" t="s">
        <v>2238</v>
      </c>
      <c r="J6181" s="361"/>
      <c r="K6181" s="327" t="s">
        <v>662</v>
      </c>
      <c r="L6181" s="478">
        <v>28000</v>
      </c>
      <c r="M6181" s="355"/>
      <c r="N6181" s="355" t="s">
        <v>2409</v>
      </c>
      <c r="O6181" s="345"/>
      <c r="P6181" s="325"/>
      <c r="Q6181" s="327"/>
      <c r="R6181" s="351"/>
      <c r="S6181" s="351"/>
      <c r="T6181" s="351"/>
      <c r="U6181" s="329" t="str">
        <f>IF($N6181=$N$4,IFERROR(INDEX(DanhMuc!$E$154:$E$165,MATCH(MID($B6181,4,2),DanhMuc!$B$154:$B$165,0)),""),"")</f>
        <v/>
      </c>
      <c r="V6181" s="361"/>
      <c r="W6181" s="345"/>
      <c r="X6181" s="786"/>
      <c r="Y6181" s="1128" t="s">
        <v>3380</v>
      </c>
      <c r="Z6181" s="1128" t="s">
        <v>3381</v>
      </c>
      <c r="AA6181" s="1128" t="s">
        <v>3384</v>
      </c>
      <c r="AB6181" s="20"/>
      <c r="AC6181" s="73"/>
    </row>
    <row r="6182" spans="1:29">
      <c r="A6182" s="327" t="str">
        <f>IF(AND($B6182&lt;&gt;"",$C6182&lt;&gt;""),MAX($A$4730:$A6181)+1,"")</f>
        <v/>
      </c>
      <c r="B6182" s="361" t="s">
        <v>1069</v>
      </c>
      <c r="C6182" s="362"/>
      <c r="D6182" s="327">
        <f>IF($B6182="","",COUNTIF($B$4731:$B6182,$B6182))</f>
        <v>10</v>
      </c>
      <c r="E6182" s="362" t="s">
        <v>663</v>
      </c>
      <c r="F6182" s="362" t="s">
        <v>664</v>
      </c>
      <c r="G6182" s="327" t="s">
        <v>155</v>
      </c>
      <c r="H6182" s="361" t="s">
        <v>536</v>
      </c>
      <c r="I6182" s="361" t="s">
        <v>672</v>
      </c>
      <c r="J6182" s="361"/>
      <c r="K6182" s="327" t="s">
        <v>662</v>
      </c>
      <c r="L6182" s="478">
        <v>1000</v>
      </c>
      <c r="M6182" s="355"/>
      <c r="N6182" s="355" t="s">
        <v>2409</v>
      </c>
      <c r="O6182" s="345"/>
      <c r="P6182" s="325"/>
      <c r="Q6182" s="327"/>
      <c r="R6182" s="351"/>
      <c r="S6182" s="351"/>
      <c r="T6182" s="351"/>
      <c r="U6182" s="329" t="str">
        <f>IF($N6182=$N$4,IFERROR(INDEX(DanhMuc!$E$154:$E$165,MATCH(MID($B6182,4,2),DanhMuc!$B$154:$B$165,0)),""),"")</f>
        <v/>
      </c>
      <c r="V6182" s="361"/>
      <c r="W6182" s="345"/>
      <c r="X6182" s="786"/>
      <c r="Y6182" s="1128" t="s">
        <v>3380</v>
      </c>
      <c r="Z6182" s="1128" t="s">
        <v>3381</v>
      </c>
      <c r="AA6182" s="1128" t="s">
        <v>3384</v>
      </c>
      <c r="AB6182" s="20"/>
      <c r="AC6182" s="73"/>
    </row>
    <row r="6183" spans="1:29" ht="26">
      <c r="A6183" s="327">
        <f>IF(AND($B6183&lt;&gt;"",$C6183&lt;&gt;""),MAX($A$4730:$A6182)+1,"")</f>
        <v>69</v>
      </c>
      <c r="B6183" s="359" t="s">
        <v>1310</v>
      </c>
      <c r="C6183" s="360" t="s">
        <v>1589</v>
      </c>
      <c r="D6183" s="327">
        <f>IF($B6183="","",COUNTIF($B$4731:$B6183,$B6183))</f>
        <v>1</v>
      </c>
      <c r="E6183" s="361" t="s">
        <v>1826</v>
      </c>
      <c r="F6183" s="362" t="s">
        <v>670</v>
      </c>
      <c r="G6183" s="327" t="s">
        <v>661</v>
      </c>
      <c r="H6183" s="361" t="s">
        <v>536</v>
      </c>
      <c r="I6183" s="361" t="s">
        <v>2354</v>
      </c>
      <c r="J6183" s="361"/>
      <c r="K6183" s="327" t="s">
        <v>103</v>
      </c>
      <c r="L6183" s="478">
        <f>40000/1000</f>
        <v>40</v>
      </c>
      <c r="M6183" s="355"/>
      <c r="N6183" s="355" t="s">
        <v>2408</v>
      </c>
      <c r="O6183" s="345"/>
      <c r="P6183" s="325"/>
      <c r="Q6183" s="327"/>
      <c r="R6183" s="351"/>
      <c r="S6183" s="351"/>
      <c r="T6183" s="351"/>
      <c r="U6183" s="329" t="str">
        <f>IF($N6183=$N$4,IFERROR(INDEX(DanhMuc!$E$154:$E$165,MATCH(MID($B6183,4,2),DanhMuc!$B$154:$B$165,0)),""),"")</f>
        <v/>
      </c>
      <c r="V6183" s="361"/>
      <c r="W6183" s="345"/>
      <c r="X6183" s="786"/>
      <c r="Y6183" s="1128" t="s">
        <v>3380</v>
      </c>
      <c r="Z6183" s="1128" t="s">
        <v>3381</v>
      </c>
      <c r="AA6183" s="1128" t="s">
        <v>3384</v>
      </c>
      <c r="AB6183" s="20"/>
      <c r="AC6183" s="73"/>
    </row>
    <row r="6184" spans="1:29" ht="25">
      <c r="A6184" s="327" t="str">
        <f>IF(AND($B6184&lt;&gt;"",$C6184&lt;&gt;""),MAX($A$4730:$A6183)+1,"")</f>
        <v/>
      </c>
      <c r="B6184" s="361" t="s">
        <v>1310</v>
      </c>
      <c r="C6184" s="362"/>
      <c r="D6184" s="327">
        <f>IF($B6184="","",COUNTIF($B$4731:$B6184,$B6184))</f>
        <v>2</v>
      </c>
      <c r="E6184" s="362" t="s">
        <v>1966</v>
      </c>
      <c r="F6184" s="362" t="s">
        <v>1967</v>
      </c>
      <c r="G6184" s="327" t="s">
        <v>405</v>
      </c>
      <c r="H6184" s="361" t="s">
        <v>536</v>
      </c>
      <c r="I6184" s="361" t="s">
        <v>1309</v>
      </c>
      <c r="J6184" s="361"/>
      <c r="K6184" s="327" t="s">
        <v>223</v>
      </c>
      <c r="L6184" s="389">
        <v>750</v>
      </c>
      <c r="M6184" s="371"/>
      <c r="N6184" s="355" t="s">
        <v>2408</v>
      </c>
      <c r="O6184" s="345"/>
      <c r="P6184" s="325"/>
      <c r="Q6184" s="327"/>
      <c r="R6184" s="351"/>
      <c r="S6184" s="351"/>
      <c r="T6184" s="351"/>
      <c r="U6184" s="329" t="str">
        <f>IF($N6184=$N$4,IFERROR(INDEX(DanhMuc!$E$154:$E$165,MATCH(MID($B6184,4,2),DanhMuc!$B$154:$B$165,0)),""),"")</f>
        <v/>
      </c>
      <c r="V6184" s="361"/>
      <c r="W6184" s="345"/>
      <c r="X6184" s="786"/>
      <c r="Y6184" s="1128" t="s">
        <v>3380</v>
      </c>
      <c r="Z6184" s="1128" t="s">
        <v>3381</v>
      </c>
      <c r="AA6184" s="1128" t="s">
        <v>3384</v>
      </c>
      <c r="AB6184" s="20"/>
      <c r="AC6184" s="73"/>
    </row>
    <row r="6185" spans="1:29" ht="37.5">
      <c r="A6185" s="327" t="str">
        <f>IF(AND($B6185&lt;&gt;"",$C6185&lt;&gt;""),MAX($A$4730:$A6184)+1,"")</f>
        <v/>
      </c>
      <c r="B6185" s="361" t="s">
        <v>1310</v>
      </c>
      <c r="C6185" s="362"/>
      <c r="D6185" s="327">
        <f>IF($B6185="","",COUNTIF($B$4731:$B6185,$B6185))</f>
        <v>3</v>
      </c>
      <c r="E6185" s="362" t="s">
        <v>1964</v>
      </c>
      <c r="F6185" s="362" t="s">
        <v>1965</v>
      </c>
      <c r="G6185" s="410" t="s">
        <v>405</v>
      </c>
      <c r="H6185" s="402" t="s">
        <v>536</v>
      </c>
      <c r="I6185" s="402" t="s">
        <v>1210</v>
      </c>
      <c r="J6185" s="402"/>
      <c r="K6185" s="410" t="s">
        <v>223</v>
      </c>
      <c r="L6185" s="478">
        <v>140</v>
      </c>
      <c r="M6185" s="371"/>
      <c r="N6185" s="355" t="s">
        <v>2408</v>
      </c>
      <c r="O6185" s="345"/>
      <c r="P6185" s="325"/>
      <c r="Q6185" s="327"/>
      <c r="R6185" s="351"/>
      <c r="S6185" s="351"/>
      <c r="T6185" s="351"/>
      <c r="U6185" s="329" t="str">
        <f>IF($N6185=$N$4,IFERROR(INDEX(DanhMuc!$E$154:$E$165,MATCH(MID($B6185,4,2),DanhMuc!$B$154:$B$165,0)),""),"")</f>
        <v/>
      </c>
      <c r="V6185" s="361"/>
      <c r="W6185" s="345"/>
      <c r="X6185" s="786"/>
      <c r="Y6185" s="1128" t="s">
        <v>3380</v>
      </c>
      <c r="Z6185" s="1128" t="s">
        <v>3381</v>
      </c>
      <c r="AA6185" s="1128" t="s">
        <v>3384</v>
      </c>
      <c r="AB6185" s="20"/>
      <c r="AC6185" s="73"/>
    </row>
    <row r="6186" spans="1:29">
      <c r="A6186" s="327" t="str">
        <f>IF(AND($B6186&lt;&gt;"",$C6186&lt;&gt;""),MAX($A$4730:$A6185)+1,"")</f>
        <v/>
      </c>
      <c r="B6186" s="361" t="s">
        <v>1310</v>
      </c>
      <c r="C6186" s="362"/>
      <c r="D6186" s="327">
        <f>IF($B6186="","",COUNTIF($B$4731:$B6186,$B6186))</f>
        <v>4</v>
      </c>
      <c r="E6186" s="361" t="s">
        <v>656</v>
      </c>
      <c r="F6186" s="362" t="s">
        <v>2239</v>
      </c>
      <c r="G6186" s="327" t="s">
        <v>405</v>
      </c>
      <c r="H6186" s="361" t="s">
        <v>536</v>
      </c>
      <c r="I6186" s="361" t="s">
        <v>1827</v>
      </c>
      <c r="J6186" s="361"/>
      <c r="K6186" s="327" t="s">
        <v>100</v>
      </c>
      <c r="L6186" s="478">
        <v>970</v>
      </c>
      <c r="M6186" s="371"/>
      <c r="N6186" s="355" t="s">
        <v>2409</v>
      </c>
      <c r="O6186" s="345"/>
      <c r="P6186" s="325"/>
      <c r="Q6186" s="327"/>
      <c r="R6186" s="351"/>
      <c r="S6186" s="351"/>
      <c r="T6186" s="351"/>
      <c r="U6186" s="329" t="str">
        <f>IF($N6186=$N$4,IFERROR(INDEX(DanhMuc!$E$154:$E$165,MATCH(MID($B6186,4,2),DanhMuc!$B$154:$B$165,0)),""),"")</f>
        <v/>
      </c>
      <c r="V6186" s="361"/>
      <c r="W6186" s="345"/>
      <c r="X6186" s="786"/>
      <c r="Y6186" s="1128" t="s">
        <v>3380</v>
      </c>
      <c r="Z6186" s="1128" t="s">
        <v>3381</v>
      </c>
      <c r="AA6186" s="1128" t="s">
        <v>3384</v>
      </c>
      <c r="AB6186" s="20"/>
      <c r="AC6186" s="73"/>
    </row>
    <row r="6187" spans="1:29">
      <c r="A6187" s="327" t="str">
        <f>IF(AND($B6187&lt;&gt;"",$C6187&lt;&gt;""),MAX($A$4730:$A6186)+1,"")</f>
        <v/>
      </c>
      <c r="B6187" s="361" t="s">
        <v>1310</v>
      </c>
      <c r="C6187" s="362"/>
      <c r="D6187" s="327">
        <f>IF($B6187="","",COUNTIF($B$4731:$B6187,$B6187))</f>
        <v>5</v>
      </c>
      <c r="E6187" s="361" t="s">
        <v>657</v>
      </c>
      <c r="F6187" s="362" t="s">
        <v>658</v>
      </c>
      <c r="G6187" s="327" t="s">
        <v>424</v>
      </c>
      <c r="H6187" s="361" t="s">
        <v>536</v>
      </c>
      <c r="I6187" s="361" t="s">
        <v>665</v>
      </c>
      <c r="J6187" s="361"/>
      <c r="K6187" s="327" t="s">
        <v>100</v>
      </c>
      <c r="L6187" s="478">
        <v>60000</v>
      </c>
      <c r="M6187" s="355"/>
      <c r="N6187" s="355" t="s">
        <v>2409</v>
      </c>
      <c r="O6187" s="345"/>
      <c r="P6187" s="325"/>
      <c r="Q6187" s="327"/>
      <c r="R6187" s="351"/>
      <c r="S6187" s="351"/>
      <c r="T6187" s="351"/>
      <c r="U6187" s="329" t="str">
        <f>IF($N6187=$N$4,IFERROR(INDEX(DanhMuc!$E$154:$E$165,MATCH(MID($B6187,4,2),DanhMuc!$B$154:$B$165,0)),""),"")</f>
        <v/>
      </c>
      <c r="V6187" s="361"/>
      <c r="W6187" s="345"/>
      <c r="X6187" s="786"/>
      <c r="Y6187" s="1128" t="s">
        <v>3380</v>
      </c>
      <c r="Z6187" s="1128" t="s">
        <v>3381</v>
      </c>
      <c r="AA6187" s="1128" t="s">
        <v>3384</v>
      </c>
      <c r="AB6187" s="20"/>
      <c r="AC6187" s="73"/>
    </row>
    <row r="6188" spans="1:29">
      <c r="A6188" s="327" t="str">
        <f>IF(AND($B6188&lt;&gt;"",$C6188&lt;&gt;""),MAX($A$4730:$A6187)+1,"")</f>
        <v/>
      </c>
      <c r="B6188" s="361" t="s">
        <v>1310</v>
      </c>
      <c r="C6188" s="362"/>
      <c r="D6188" s="327">
        <f>IF($B6188="","",COUNTIF($B$4731:$B6188,$B6188))</f>
        <v>6</v>
      </c>
      <c r="E6188" s="361" t="s">
        <v>2771</v>
      </c>
      <c r="F6188" s="362" t="s">
        <v>659</v>
      </c>
      <c r="G6188" s="327" t="s">
        <v>424</v>
      </c>
      <c r="H6188" s="361" t="s">
        <v>536</v>
      </c>
      <c r="I6188" s="361" t="s">
        <v>666</v>
      </c>
      <c r="J6188" s="361"/>
      <c r="K6188" s="327" t="s">
        <v>100</v>
      </c>
      <c r="L6188" s="389">
        <v>53000</v>
      </c>
      <c r="M6188" s="355"/>
      <c r="N6188" s="355" t="s">
        <v>2409</v>
      </c>
      <c r="O6188" s="345"/>
      <c r="P6188" s="325"/>
      <c r="Q6188" s="327"/>
      <c r="R6188" s="351"/>
      <c r="S6188" s="351"/>
      <c r="T6188" s="351"/>
      <c r="U6188" s="329" t="str">
        <f>IF($N6188=$N$4,IFERROR(INDEX(DanhMuc!$E$154:$E$165,MATCH(MID($B6188,4,2),DanhMuc!$B$154:$B$165,0)),""),"")</f>
        <v/>
      </c>
      <c r="V6188" s="361"/>
      <c r="W6188" s="345"/>
      <c r="X6188" s="786"/>
      <c r="Y6188" s="1128" t="s">
        <v>3380</v>
      </c>
      <c r="Z6188" s="1128" t="s">
        <v>3381</v>
      </c>
      <c r="AA6188" s="1128" t="s">
        <v>3384</v>
      </c>
      <c r="AB6188" s="20"/>
      <c r="AC6188" s="73"/>
    </row>
    <row r="6189" spans="1:29">
      <c r="A6189" s="327" t="str">
        <f>IF(AND($B6189&lt;&gt;"",$C6189&lt;&gt;""),MAX($A$4730:$A6188)+1,"")</f>
        <v/>
      </c>
      <c r="B6189" s="361" t="s">
        <v>1310</v>
      </c>
      <c r="C6189" s="362"/>
      <c r="D6189" s="327">
        <f>IF($B6189="","",COUNTIF($B$4731:$B6189,$B6189))</f>
        <v>7</v>
      </c>
      <c r="E6189" s="361" t="s">
        <v>1828</v>
      </c>
      <c r="F6189" s="362" t="s">
        <v>671</v>
      </c>
      <c r="G6189" s="327" t="s">
        <v>661</v>
      </c>
      <c r="H6189" s="361" t="s">
        <v>536</v>
      </c>
      <c r="I6189" s="361" t="s">
        <v>2355</v>
      </c>
      <c r="J6189" s="361"/>
      <c r="K6189" s="327" t="s">
        <v>100</v>
      </c>
      <c r="L6189" s="478">
        <f>40000/1000</f>
        <v>40</v>
      </c>
      <c r="M6189" s="355"/>
      <c r="N6189" s="355" t="s">
        <v>2409</v>
      </c>
      <c r="O6189" s="345"/>
      <c r="P6189" s="325"/>
      <c r="Q6189" s="327"/>
      <c r="R6189" s="351"/>
      <c r="S6189" s="351"/>
      <c r="T6189" s="351"/>
      <c r="U6189" s="329" t="str">
        <f>IF($N6189=$N$4,IFERROR(INDEX(DanhMuc!$E$154:$E$165,MATCH(MID($B6189,4,2),DanhMuc!$B$154:$B$165,0)),""),"")</f>
        <v/>
      </c>
      <c r="V6189" s="361"/>
      <c r="W6189" s="345"/>
      <c r="X6189" s="786"/>
      <c r="Y6189" s="1128" t="s">
        <v>3380</v>
      </c>
      <c r="Z6189" s="1128" t="s">
        <v>3381</v>
      </c>
      <c r="AA6189" s="1128" t="s">
        <v>3384</v>
      </c>
      <c r="AB6189" s="20"/>
      <c r="AC6189" s="73"/>
    </row>
    <row r="6190" spans="1:29">
      <c r="A6190" s="327" t="str">
        <f>IF(AND($B6190&lt;&gt;"",$C6190&lt;&gt;""),MAX($A$4730:$A6189)+1,"")</f>
        <v/>
      </c>
      <c r="B6190" s="361" t="s">
        <v>1310</v>
      </c>
      <c r="C6190" s="362"/>
      <c r="D6190" s="327">
        <f>IF($B6190="","",COUNTIF($B$4731:$B6190,$B6190))</f>
        <v>8</v>
      </c>
      <c r="E6190" s="361" t="s">
        <v>154</v>
      </c>
      <c r="F6190" s="362" t="s">
        <v>660</v>
      </c>
      <c r="G6190" s="327" t="s">
        <v>661</v>
      </c>
      <c r="H6190" s="361" t="s">
        <v>536</v>
      </c>
      <c r="I6190" s="361" t="s">
        <v>667</v>
      </c>
      <c r="J6190" s="361"/>
      <c r="K6190" s="327" t="s">
        <v>662</v>
      </c>
      <c r="L6190" s="478">
        <v>20</v>
      </c>
      <c r="M6190" s="355"/>
      <c r="N6190" s="355" t="s">
        <v>2409</v>
      </c>
      <c r="O6190" s="345"/>
      <c r="P6190" s="325"/>
      <c r="Q6190" s="327"/>
      <c r="R6190" s="351"/>
      <c r="S6190" s="351"/>
      <c r="T6190" s="351"/>
      <c r="U6190" s="329" t="str">
        <f>IF($N6190=$N$4,IFERROR(INDEX(DanhMuc!$E$154:$E$165,MATCH(MID($B6190,4,2),DanhMuc!$B$154:$B$165,0)),""),"")</f>
        <v/>
      </c>
      <c r="V6190" s="361"/>
      <c r="W6190" s="345"/>
      <c r="X6190" s="786"/>
      <c r="Y6190" s="1128" t="s">
        <v>3380</v>
      </c>
      <c r="Z6190" s="1128" t="s">
        <v>3381</v>
      </c>
      <c r="AA6190" s="1128" t="s">
        <v>3384</v>
      </c>
      <c r="AB6190" s="20"/>
      <c r="AC6190" s="73"/>
    </row>
    <row r="6191" spans="1:29">
      <c r="A6191" s="327" t="str">
        <f>IF(AND($B6191&lt;&gt;"",$C6191&lt;&gt;""),MAX($A$4730:$A6190)+1,"")</f>
        <v/>
      </c>
      <c r="B6191" s="361" t="s">
        <v>1310</v>
      </c>
      <c r="C6191" s="362"/>
      <c r="D6191" s="327">
        <f>IF($B6191="","",COUNTIF($B$4731:$B6191,$B6191))</f>
        <v>9</v>
      </c>
      <c r="E6191" s="362" t="s">
        <v>2282</v>
      </c>
      <c r="F6191" s="362" t="s">
        <v>2283</v>
      </c>
      <c r="G6191" s="327" t="s">
        <v>424</v>
      </c>
      <c r="H6191" s="361" t="s">
        <v>536</v>
      </c>
      <c r="I6191" s="361" t="s">
        <v>2238</v>
      </c>
      <c r="J6191" s="361"/>
      <c r="K6191" s="327" t="s">
        <v>662</v>
      </c>
      <c r="L6191" s="478">
        <v>28000</v>
      </c>
      <c r="M6191" s="355"/>
      <c r="N6191" s="355" t="s">
        <v>2409</v>
      </c>
      <c r="O6191" s="345"/>
      <c r="P6191" s="325"/>
      <c r="Q6191" s="327"/>
      <c r="R6191" s="351"/>
      <c r="S6191" s="351"/>
      <c r="T6191" s="351"/>
      <c r="U6191" s="329" t="str">
        <f>IF($N6191=$N$4,IFERROR(INDEX(DanhMuc!$E$154:$E$165,MATCH(MID($B6191,4,2),DanhMuc!$B$154:$B$165,0)),""),"")</f>
        <v/>
      </c>
      <c r="V6191" s="361"/>
      <c r="W6191" s="345"/>
      <c r="X6191" s="786"/>
      <c r="Y6191" s="1128" t="s">
        <v>3380</v>
      </c>
      <c r="Z6191" s="1128" t="s">
        <v>3381</v>
      </c>
      <c r="AA6191" s="1128" t="s">
        <v>3384</v>
      </c>
      <c r="AB6191" s="20"/>
      <c r="AC6191" s="73"/>
    </row>
    <row r="6192" spans="1:29">
      <c r="A6192" s="327" t="str">
        <f>IF(AND($B6192&lt;&gt;"",$C6192&lt;&gt;""),MAX($A$4730:$A6191)+1,"")</f>
        <v/>
      </c>
      <c r="B6192" s="361" t="s">
        <v>1310</v>
      </c>
      <c r="C6192" s="362"/>
      <c r="D6192" s="327">
        <f>IF($B6192="","",COUNTIF($B$4731:$B6192,$B6192))</f>
        <v>10</v>
      </c>
      <c r="E6192" s="362" t="s">
        <v>663</v>
      </c>
      <c r="F6192" s="362" t="s">
        <v>664</v>
      </c>
      <c r="G6192" s="327" t="s">
        <v>155</v>
      </c>
      <c r="H6192" s="361" t="s">
        <v>536</v>
      </c>
      <c r="I6192" s="361" t="s">
        <v>672</v>
      </c>
      <c r="J6192" s="361"/>
      <c r="K6192" s="327" t="s">
        <v>662</v>
      </c>
      <c r="L6192" s="478">
        <v>1000</v>
      </c>
      <c r="M6192" s="355"/>
      <c r="N6192" s="355" t="s">
        <v>2409</v>
      </c>
      <c r="O6192" s="345"/>
      <c r="P6192" s="325"/>
      <c r="Q6192" s="327"/>
      <c r="R6192" s="351"/>
      <c r="S6192" s="351"/>
      <c r="T6192" s="351"/>
      <c r="U6192" s="329" t="str">
        <f>IF($N6192=$N$4,IFERROR(INDEX(DanhMuc!$E$154:$E$165,MATCH(MID($B6192,4,2),DanhMuc!$B$154:$B$165,0)),""),"")</f>
        <v/>
      </c>
      <c r="V6192" s="361"/>
      <c r="W6192" s="345"/>
      <c r="X6192" s="786"/>
      <c r="Y6192" s="1128" t="s">
        <v>3380</v>
      </c>
      <c r="Z6192" s="1128" t="s">
        <v>3381</v>
      </c>
      <c r="AA6192" s="1128" t="s">
        <v>3384</v>
      </c>
      <c r="AB6192" s="20"/>
      <c r="AC6192" s="73"/>
    </row>
    <row r="6193" spans="1:29" ht="26">
      <c r="A6193" s="327">
        <f>IF(AND($B6193&lt;&gt;"",$C6193&lt;&gt;""),MAX($A$4730:$A6192)+1,"")</f>
        <v>70</v>
      </c>
      <c r="B6193" s="359" t="s">
        <v>1180</v>
      </c>
      <c r="C6193" s="370" t="s">
        <v>1590</v>
      </c>
      <c r="D6193" s="327">
        <f>IF($B6193="","",COUNTIF($B$4731:$B6193,$B6193))</f>
        <v>1</v>
      </c>
      <c r="E6193" s="361" t="s">
        <v>1826</v>
      </c>
      <c r="F6193" s="362" t="s">
        <v>670</v>
      </c>
      <c r="G6193" s="327" t="s">
        <v>661</v>
      </c>
      <c r="H6193" s="361" t="s">
        <v>536</v>
      </c>
      <c r="I6193" s="361" t="s">
        <v>2354</v>
      </c>
      <c r="J6193" s="361"/>
      <c r="K6193" s="327" t="s">
        <v>103</v>
      </c>
      <c r="L6193" s="478">
        <f>40000/1000</f>
        <v>40</v>
      </c>
      <c r="M6193" s="355"/>
      <c r="N6193" s="355" t="s">
        <v>2408</v>
      </c>
      <c r="O6193" s="345"/>
      <c r="P6193" s="325"/>
      <c r="Q6193" s="327"/>
      <c r="R6193" s="351"/>
      <c r="S6193" s="351"/>
      <c r="T6193" s="351"/>
      <c r="U6193" s="329" t="str">
        <f>IF($N6193=$N$4,IFERROR(INDEX(DanhMuc!$E$154:$E$165,MATCH(MID($B6193,4,2),DanhMuc!$B$154:$B$165,0)),""),"")</f>
        <v/>
      </c>
      <c r="V6193" s="361"/>
      <c r="W6193" s="345"/>
      <c r="X6193" s="786"/>
      <c r="Y6193" s="1128" t="s">
        <v>3380</v>
      </c>
      <c r="Z6193" s="1128" t="s">
        <v>3381</v>
      </c>
      <c r="AA6193" s="1128" t="s">
        <v>3384</v>
      </c>
      <c r="AB6193" s="20"/>
      <c r="AC6193" s="73"/>
    </row>
    <row r="6194" spans="1:29" ht="25">
      <c r="A6194" s="327" t="str">
        <f>IF(AND($B6194&lt;&gt;"",$C6194&lt;&gt;""),MAX($A$4730:$A6193)+1,"")</f>
        <v/>
      </c>
      <c r="B6194" s="361" t="s">
        <v>1180</v>
      </c>
      <c r="C6194" s="362"/>
      <c r="D6194" s="327">
        <f>IF($B6194="","",COUNTIF($B$4731:$B6194,$B6194))</f>
        <v>2</v>
      </c>
      <c r="E6194" s="362" t="s">
        <v>1966</v>
      </c>
      <c r="F6194" s="362" t="s">
        <v>1967</v>
      </c>
      <c r="G6194" s="327" t="s">
        <v>405</v>
      </c>
      <c r="H6194" s="361" t="s">
        <v>536</v>
      </c>
      <c r="I6194" s="361" t="s">
        <v>1309</v>
      </c>
      <c r="J6194" s="361"/>
      <c r="K6194" s="327" t="s">
        <v>223</v>
      </c>
      <c r="L6194" s="389">
        <v>750</v>
      </c>
      <c r="M6194" s="371"/>
      <c r="N6194" s="355" t="s">
        <v>2408</v>
      </c>
      <c r="O6194" s="345"/>
      <c r="P6194" s="325"/>
      <c r="Q6194" s="327"/>
      <c r="R6194" s="351"/>
      <c r="S6194" s="351"/>
      <c r="T6194" s="351"/>
      <c r="U6194" s="329" t="str">
        <f>IF($N6194=$N$4,IFERROR(INDEX(DanhMuc!$E$154:$E$165,MATCH(MID($B6194,4,2),DanhMuc!$B$154:$B$165,0)),""),"")</f>
        <v/>
      </c>
      <c r="V6194" s="361"/>
      <c r="W6194" s="345"/>
      <c r="X6194" s="786"/>
      <c r="Y6194" s="1128" t="s">
        <v>3380</v>
      </c>
      <c r="Z6194" s="1128" t="s">
        <v>3381</v>
      </c>
      <c r="AA6194" s="1128" t="s">
        <v>3384</v>
      </c>
      <c r="AB6194" s="20"/>
      <c r="AC6194" s="73"/>
    </row>
    <row r="6195" spans="1:29" ht="37.5">
      <c r="A6195" s="327" t="str">
        <f>IF(AND($B6195&lt;&gt;"",$C6195&lt;&gt;""),MAX($A$4730:$A6194)+1,"")</f>
        <v/>
      </c>
      <c r="B6195" s="361" t="s">
        <v>1180</v>
      </c>
      <c r="C6195" s="362"/>
      <c r="D6195" s="327">
        <f>IF($B6195="","",COUNTIF($B$4731:$B6195,$B6195))</f>
        <v>3</v>
      </c>
      <c r="E6195" s="362" t="s">
        <v>1964</v>
      </c>
      <c r="F6195" s="362" t="s">
        <v>1965</v>
      </c>
      <c r="G6195" s="410" t="s">
        <v>405</v>
      </c>
      <c r="H6195" s="402" t="s">
        <v>536</v>
      </c>
      <c r="I6195" s="402" t="s">
        <v>1210</v>
      </c>
      <c r="J6195" s="402"/>
      <c r="K6195" s="410" t="s">
        <v>223</v>
      </c>
      <c r="L6195" s="478">
        <v>140</v>
      </c>
      <c r="M6195" s="371"/>
      <c r="N6195" s="355" t="s">
        <v>2408</v>
      </c>
      <c r="O6195" s="345"/>
      <c r="P6195" s="325"/>
      <c r="Q6195" s="327"/>
      <c r="R6195" s="351"/>
      <c r="S6195" s="351"/>
      <c r="T6195" s="351"/>
      <c r="U6195" s="329" t="str">
        <f>IF($N6195=$N$4,IFERROR(INDEX(DanhMuc!$E$154:$E$165,MATCH(MID($B6195,4,2),DanhMuc!$B$154:$B$165,0)),""),"")</f>
        <v/>
      </c>
      <c r="V6195" s="361"/>
      <c r="W6195" s="345"/>
      <c r="X6195" s="786"/>
      <c r="Y6195" s="1128" t="s">
        <v>3380</v>
      </c>
      <c r="Z6195" s="1128" t="s">
        <v>3381</v>
      </c>
      <c r="AA6195" s="1128" t="s">
        <v>3384</v>
      </c>
      <c r="AB6195" s="20"/>
      <c r="AC6195" s="73"/>
    </row>
    <row r="6196" spans="1:29">
      <c r="A6196" s="327" t="str">
        <f>IF(AND($B6196&lt;&gt;"",$C6196&lt;&gt;""),MAX($A$4730:$A6195)+1,"")</f>
        <v/>
      </c>
      <c r="B6196" s="361" t="s">
        <v>1180</v>
      </c>
      <c r="C6196" s="362"/>
      <c r="D6196" s="327">
        <f>IF($B6196="","",COUNTIF($B$4731:$B6196,$B6196))</f>
        <v>4</v>
      </c>
      <c r="E6196" s="361" t="s">
        <v>656</v>
      </c>
      <c r="F6196" s="362" t="s">
        <v>2239</v>
      </c>
      <c r="G6196" s="327" t="s">
        <v>405</v>
      </c>
      <c r="H6196" s="361" t="s">
        <v>536</v>
      </c>
      <c r="I6196" s="361" t="s">
        <v>1827</v>
      </c>
      <c r="J6196" s="361"/>
      <c r="K6196" s="327" t="s">
        <v>100</v>
      </c>
      <c r="L6196" s="478">
        <v>970</v>
      </c>
      <c r="M6196" s="371"/>
      <c r="N6196" s="355" t="s">
        <v>2409</v>
      </c>
      <c r="O6196" s="345"/>
      <c r="P6196" s="325"/>
      <c r="Q6196" s="327"/>
      <c r="R6196" s="351"/>
      <c r="S6196" s="351"/>
      <c r="T6196" s="351"/>
      <c r="U6196" s="329" t="str">
        <f>IF($N6196=$N$4,IFERROR(INDEX(DanhMuc!$E$154:$E$165,MATCH(MID($B6196,4,2),DanhMuc!$B$154:$B$165,0)),""),"")</f>
        <v/>
      </c>
      <c r="V6196" s="361"/>
      <c r="W6196" s="345"/>
      <c r="X6196" s="786"/>
      <c r="Y6196" s="1128" t="s">
        <v>3380</v>
      </c>
      <c r="Z6196" s="1128" t="s">
        <v>3381</v>
      </c>
      <c r="AA6196" s="1128" t="s">
        <v>3384</v>
      </c>
      <c r="AB6196" s="20"/>
      <c r="AC6196" s="73"/>
    </row>
    <row r="6197" spans="1:29">
      <c r="A6197" s="327" t="str">
        <f>IF(AND($B6197&lt;&gt;"",$C6197&lt;&gt;""),MAX($A$4730:$A6196)+1,"")</f>
        <v/>
      </c>
      <c r="B6197" s="361" t="s">
        <v>1180</v>
      </c>
      <c r="C6197" s="362"/>
      <c r="D6197" s="327">
        <f>IF($B6197="","",COUNTIF($B$4731:$B6197,$B6197))</f>
        <v>5</v>
      </c>
      <c r="E6197" s="361" t="s">
        <v>657</v>
      </c>
      <c r="F6197" s="362" t="s">
        <v>658</v>
      </c>
      <c r="G6197" s="327" t="s">
        <v>424</v>
      </c>
      <c r="H6197" s="361" t="s">
        <v>536</v>
      </c>
      <c r="I6197" s="361" t="s">
        <v>665</v>
      </c>
      <c r="J6197" s="361"/>
      <c r="K6197" s="327" t="s">
        <v>100</v>
      </c>
      <c r="L6197" s="478">
        <v>60000</v>
      </c>
      <c r="M6197" s="355"/>
      <c r="N6197" s="355" t="s">
        <v>2409</v>
      </c>
      <c r="O6197" s="345"/>
      <c r="P6197" s="325"/>
      <c r="Q6197" s="327"/>
      <c r="R6197" s="351"/>
      <c r="S6197" s="351"/>
      <c r="T6197" s="351"/>
      <c r="U6197" s="329" t="str">
        <f>IF($N6197=$N$4,IFERROR(INDEX(DanhMuc!$E$154:$E$165,MATCH(MID($B6197,4,2),DanhMuc!$B$154:$B$165,0)),""),"")</f>
        <v/>
      </c>
      <c r="V6197" s="361"/>
      <c r="W6197" s="345"/>
      <c r="X6197" s="786"/>
      <c r="Y6197" s="1128" t="s">
        <v>3380</v>
      </c>
      <c r="Z6197" s="1128" t="s">
        <v>3381</v>
      </c>
      <c r="AA6197" s="1128" t="s">
        <v>3384</v>
      </c>
      <c r="AB6197" s="20"/>
      <c r="AC6197" s="73"/>
    </row>
    <row r="6198" spans="1:29">
      <c r="A6198" s="327" t="str">
        <f>IF(AND($B6198&lt;&gt;"",$C6198&lt;&gt;""),MAX($A$4730:$A6197)+1,"")</f>
        <v/>
      </c>
      <c r="B6198" s="361" t="s">
        <v>1180</v>
      </c>
      <c r="C6198" s="362"/>
      <c r="D6198" s="327">
        <f>IF($B6198="","",COUNTIF($B$4731:$B6198,$B6198))</f>
        <v>6</v>
      </c>
      <c r="E6198" s="361" t="s">
        <v>2771</v>
      </c>
      <c r="F6198" s="362" t="s">
        <v>659</v>
      </c>
      <c r="G6198" s="327" t="s">
        <v>424</v>
      </c>
      <c r="H6198" s="361" t="s">
        <v>536</v>
      </c>
      <c r="I6198" s="361" t="s">
        <v>666</v>
      </c>
      <c r="J6198" s="361"/>
      <c r="K6198" s="327" t="s">
        <v>100</v>
      </c>
      <c r="L6198" s="389">
        <v>53000</v>
      </c>
      <c r="M6198" s="355"/>
      <c r="N6198" s="355" t="s">
        <v>2409</v>
      </c>
      <c r="O6198" s="345"/>
      <c r="P6198" s="325"/>
      <c r="Q6198" s="327"/>
      <c r="R6198" s="351"/>
      <c r="S6198" s="351"/>
      <c r="T6198" s="351"/>
      <c r="U6198" s="329" t="str">
        <f>IF($N6198=$N$4,IFERROR(INDEX(DanhMuc!$E$154:$E$165,MATCH(MID($B6198,4,2),DanhMuc!$B$154:$B$165,0)),""),"")</f>
        <v/>
      </c>
      <c r="V6198" s="361"/>
      <c r="W6198" s="345"/>
      <c r="X6198" s="786"/>
      <c r="Y6198" s="1128" t="s">
        <v>3380</v>
      </c>
      <c r="Z6198" s="1128" t="s">
        <v>3381</v>
      </c>
      <c r="AA6198" s="1128" t="s">
        <v>3384</v>
      </c>
      <c r="AB6198" s="20"/>
      <c r="AC6198" s="73"/>
    </row>
    <row r="6199" spans="1:29">
      <c r="A6199" s="327" t="str">
        <f>IF(AND($B6199&lt;&gt;"",$C6199&lt;&gt;""),MAX($A$4730:$A6198)+1,"")</f>
        <v/>
      </c>
      <c r="B6199" s="361" t="s">
        <v>1180</v>
      </c>
      <c r="C6199" s="362"/>
      <c r="D6199" s="327">
        <f>IF($B6199="","",COUNTIF($B$4731:$B6199,$B6199))</f>
        <v>7</v>
      </c>
      <c r="E6199" s="361" t="s">
        <v>1828</v>
      </c>
      <c r="F6199" s="362" t="s">
        <v>671</v>
      </c>
      <c r="G6199" s="327" t="s">
        <v>661</v>
      </c>
      <c r="H6199" s="361" t="s">
        <v>536</v>
      </c>
      <c r="I6199" s="361" t="s">
        <v>2355</v>
      </c>
      <c r="J6199" s="361"/>
      <c r="K6199" s="327" t="s">
        <v>100</v>
      </c>
      <c r="L6199" s="478">
        <f>40000/1000</f>
        <v>40</v>
      </c>
      <c r="M6199" s="355"/>
      <c r="N6199" s="355" t="s">
        <v>2409</v>
      </c>
      <c r="O6199" s="345"/>
      <c r="P6199" s="325"/>
      <c r="Q6199" s="327"/>
      <c r="R6199" s="351"/>
      <c r="S6199" s="351"/>
      <c r="T6199" s="351"/>
      <c r="U6199" s="329" t="str">
        <f>IF($N6199=$N$4,IFERROR(INDEX(DanhMuc!$E$154:$E$165,MATCH(MID($B6199,4,2),DanhMuc!$B$154:$B$165,0)),""),"")</f>
        <v/>
      </c>
      <c r="V6199" s="361"/>
      <c r="W6199" s="345"/>
      <c r="X6199" s="786"/>
      <c r="Y6199" s="1128" t="s">
        <v>3380</v>
      </c>
      <c r="Z6199" s="1128" t="s">
        <v>3381</v>
      </c>
      <c r="AA6199" s="1128" t="s">
        <v>3384</v>
      </c>
      <c r="AB6199" s="20"/>
      <c r="AC6199" s="73"/>
    </row>
    <row r="6200" spans="1:29">
      <c r="A6200" s="327" t="str">
        <f>IF(AND($B6200&lt;&gt;"",$C6200&lt;&gt;""),MAX($A$4730:$A6199)+1,"")</f>
        <v/>
      </c>
      <c r="B6200" s="361" t="s">
        <v>1180</v>
      </c>
      <c r="C6200" s="362"/>
      <c r="D6200" s="327">
        <f>IF($B6200="","",COUNTIF($B$4731:$B6200,$B6200))</f>
        <v>8</v>
      </c>
      <c r="E6200" s="361" t="s">
        <v>154</v>
      </c>
      <c r="F6200" s="362" t="s">
        <v>660</v>
      </c>
      <c r="G6200" s="327" t="s">
        <v>661</v>
      </c>
      <c r="H6200" s="361" t="s">
        <v>536</v>
      </c>
      <c r="I6200" s="361" t="s">
        <v>667</v>
      </c>
      <c r="J6200" s="361"/>
      <c r="K6200" s="327" t="s">
        <v>662</v>
      </c>
      <c r="L6200" s="478">
        <v>20</v>
      </c>
      <c r="M6200" s="355"/>
      <c r="N6200" s="355" t="s">
        <v>2409</v>
      </c>
      <c r="O6200" s="345"/>
      <c r="P6200" s="325"/>
      <c r="Q6200" s="327"/>
      <c r="R6200" s="351"/>
      <c r="S6200" s="351"/>
      <c r="T6200" s="351"/>
      <c r="U6200" s="329" t="str">
        <f>IF($N6200=$N$4,IFERROR(INDEX(DanhMuc!$E$154:$E$165,MATCH(MID($B6200,4,2),DanhMuc!$B$154:$B$165,0)),""),"")</f>
        <v/>
      </c>
      <c r="V6200" s="361"/>
      <c r="W6200" s="345"/>
      <c r="X6200" s="786"/>
      <c r="Y6200" s="1128" t="s">
        <v>3380</v>
      </c>
      <c r="Z6200" s="1128" t="s">
        <v>3381</v>
      </c>
      <c r="AA6200" s="1128" t="s">
        <v>3384</v>
      </c>
      <c r="AB6200" s="20"/>
      <c r="AC6200" s="73"/>
    </row>
    <row r="6201" spans="1:29">
      <c r="A6201" s="327" t="str">
        <f>IF(AND($B6201&lt;&gt;"",$C6201&lt;&gt;""),MAX($A$4730:$A6200)+1,"")</f>
        <v/>
      </c>
      <c r="B6201" s="361" t="s">
        <v>1180</v>
      </c>
      <c r="C6201" s="362"/>
      <c r="D6201" s="327">
        <f>IF($B6201="","",COUNTIF($B$4731:$B6201,$B6201))</f>
        <v>9</v>
      </c>
      <c r="E6201" s="362" t="s">
        <v>2282</v>
      </c>
      <c r="F6201" s="362" t="s">
        <v>2283</v>
      </c>
      <c r="G6201" s="327" t="s">
        <v>424</v>
      </c>
      <c r="H6201" s="361" t="s">
        <v>536</v>
      </c>
      <c r="I6201" s="361" t="s">
        <v>2238</v>
      </c>
      <c r="J6201" s="361"/>
      <c r="K6201" s="327" t="s">
        <v>662</v>
      </c>
      <c r="L6201" s="478">
        <v>28000</v>
      </c>
      <c r="M6201" s="355"/>
      <c r="N6201" s="355" t="s">
        <v>2409</v>
      </c>
      <c r="O6201" s="345"/>
      <c r="P6201" s="325"/>
      <c r="Q6201" s="327"/>
      <c r="R6201" s="351"/>
      <c r="S6201" s="351"/>
      <c r="T6201" s="351"/>
      <c r="U6201" s="329" t="str">
        <f>IF($N6201=$N$4,IFERROR(INDEX(DanhMuc!$E$154:$E$165,MATCH(MID($B6201,4,2),DanhMuc!$B$154:$B$165,0)),""),"")</f>
        <v/>
      </c>
      <c r="V6201" s="361"/>
      <c r="W6201" s="345"/>
      <c r="X6201" s="786"/>
      <c r="Y6201" s="1128" t="s">
        <v>3380</v>
      </c>
      <c r="Z6201" s="1128" t="s">
        <v>3381</v>
      </c>
      <c r="AA6201" s="1128" t="s">
        <v>3384</v>
      </c>
      <c r="AB6201" s="20"/>
      <c r="AC6201" s="73"/>
    </row>
    <row r="6202" spans="1:29">
      <c r="A6202" s="327" t="str">
        <f>IF(AND($B6202&lt;&gt;"",$C6202&lt;&gt;""),MAX($A$4730:$A6201)+1,"")</f>
        <v/>
      </c>
      <c r="B6202" s="361" t="s">
        <v>1180</v>
      </c>
      <c r="C6202" s="362"/>
      <c r="D6202" s="327">
        <f>IF($B6202="","",COUNTIF($B$4731:$B6202,$B6202))</f>
        <v>10</v>
      </c>
      <c r="E6202" s="362" t="s">
        <v>663</v>
      </c>
      <c r="F6202" s="362" t="s">
        <v>664</v>
      </c>
      <c r="G6202" s="327" t="s">
        <v>155</v>
      </c>
      <c r="H6202" s="361" t="s">
        <v>536</v>
      </c>
      <c r="I6202" s="361" t="s">
        <v>672</v>
      </c>
      <c r="J6202" s="361"/>
      <c r="K6202" s="327" t="s">
        <v>662</v>
      </c>
      <c r="L6202" s="478">
        <v>1000</v>
      </c>
      <c r="M6202" s="355"/>
      <c r="N6202" s="355" t="s">
        <v>2409</v>
      </c>
      <c r="O6202" s="345"/>
      <c r="P6202" s="325"/>
      <c r="Q6202" s="327"/>
      <c r="R6202" s="351"/>
      <c r="S6202" s="351"/>
      <c r="T6202" s="351"/>
      <c r="U6202" s="329" t="str">
        <f>IF($N6202=$N$4,IFERROR(INDEX(DanhMuc!$E$154:$E$165,MATCH(MID($B6202,4,2),DanhMuc!$B$154:$B$165,0)),""),"")</f>
        <v/>
      </c>
      <c r="V6202" s="361"/>
      <c r="W6202" s="345"/>
      <c r="X6202" s="786"/>
      <c r="Y6202" s="1128" t="s">
        <v>3380</v>
      </c>
      <c r="Z6202" s="1128" t="s">
        <v>3381</v>
      </c>
      <c r="AA6202" s="1128" t="s">
        <v>3384</v>
      </c>
      <c r="AB6202" s="20"/>
      <c r="AC6202" s="73"/>
    </row>
    <row r="6203" spans="1:29" ht="26">
      <c r="A6203" s="327">
        <f>IF(AND($B6203&lt;&gt;"",$C6203&lt;&gt;""),MAX($A$4730:$A6202)+1,"")</f>
        <v>71</v>
      </c>
      <c r="B6203" s="359" t="s">
        <v>934</v>
      </c>
      <c r="C6203" s="370" t="s">
        <v>1591</v>
      </c>
      <c r="D6203" s="327">
        <f>IF($B6203="","",COUNTIF($B$4731:$B6203,$B6203))</f>
        <v>1</v>
      </c>
      <c r="E6203" s="361" t="s">
        <v>1826</v>
      </c>
      <c r="F6203" s="362" t="s">
        <v>670</v>
      </c>
      <c r="G6203" s="327" t="s">
        <v>661</v>
      </c>
      <c r="H6203" s="361" t="s">
        <v>536</v>
      </c>
      <c r="I6203" s="361" t="s">
        <v>2354</v>
      </c>
      <c r="J6203" s="361"/>
      <c r="K6203" s="327" t="s">
        <v>103</v>
      </c>
      <c r="L6203" s="478">
        <f>40000/1000</f>
        <v>40</v>
      </c>
      <c r="M6203" s="355"/>
      <c r="N6203" s="355" t="s">
        <v>2408</v>
      </c>
      <c r="O6203" s="345"/>
      <c r="P6203" s="325"/>
      <c r="Q6203" s="327"/>
      <c r="R6203" s="351"/>
      <c r="S6203" s="351"/>
      <c r="T6203" s="351"/>
      <c r="U6203" s="329" t="str">
        <f>IF($N6203=$N$4,IFERROR(INDEX(DanhMuc!$E$154:$E$165,MATCH(MID($B6203,4,2),DanhMuc!$B$154:$B$165,0)),""),"")</f>
        <v/>
      </c>
      <c r="V6203" s="361"/>
      <c r="W6203" s="345"/>
      <c r="X6203" s="786"/>
      <c r="Y6203" s="1128" t="s">
        <v>3380</v>
      </c>
      <c r="Z6203" s="1128" t="s">
        <v>3381</v>
      </c>
      <c r="AA6203" s="1128" t="s">
        <v>3384</v>
      </c>
      <c r="AB6203" s="20"/>
      <c r="AC6203" s="73"/>
    </row>
    <row r="6204" spans="1:29" ht="37.5">
      <c r="A6204" s="327" t="str">
        <f>IF(AND($B6204&lt;&gt;"",$C6204&lt;&gt;""),MAX($A$4730:$A6203)+1,"")</f>
        <v/>
      </c>
      <c r="B6204" s="361" t="s">
        <v>934</v>
      </c>
      <c r="C6204" s="362"/>
      <c r="D6204" s="327">
        <f>IF($B6204="","",COUNTIF($B$4731:$B6204,$B6204))</f>
        <v>2</v>
      </c>
      <c r="E6204" s="362" t="s">
        <v>1964</v>
      </c>
      <c r="F6204" s="362" t="s">
        <v>1965</v>
      </c>
      <c r="G6204" s="410" t="s">
        <v>405</v>
      </c>
      <c r="H6204" s="402" t="s">
        <v>536</v>
      </c>
      <c r="I6204" s="402" t="s">
        <v>1210</v>
      </c>
      <c r="J6204" s="402"/>
      <c r="K6204" s="410"/>
      <c r="L6204" s="478">
        <v>140</v>
      </c>
      <c r="M6204" s="371"/>
      <c r="N6204" s="355" t="s">
        <v>2408</v>
      </c>
      <c r="O6204" s="345"/>
      <c r="P6204" s="325"/>
      <c r="Q6204" s="327"/>
      <c r="R6204" s="351"/>
      <c r="S6204" s="351"/>
      <c r="T6204" s="351"/>
      <c r="U6204" s="329" t="str">
        <f>IF($N6204=$N$4,IFERROR(INDEX(DanhMuc!$E$154:$E$165,MATCH(MID($B6204,4,2),DanhMuc!$B$154:$B$165,0)),""),"")</f>
        <v/>
      </c>
      <c r="V6204" s="361"/>
      <c r="W6204" s="345"/>
      <c r="X6204" s="786"/>
      <c r="Y6204" s="1128" t="s">
        <v>3380</v>
      </c>
      <c r="Z6204" s="1128" t="s">
        <v>3381</v>
      </c>
      <c r="AA6204" s="1128" t="s">
        <v>3384</v>
      </c>
      <c r="AB6204" s="20"/>
      <c r="AC6204" s="73"/>
    </row>
    <row r="6205" spans="1:29">
      <c r="A6205" s="327" t="str">
        <f>IF(AND($B6205&lt;&gt;"",$C6205&lt;&gt;""),MAX($A$4730:$A6204)+1,"")</f>
        <v/>
      </c>
      <c r="B6205" s="361" t="s">
        <v>934</v>
      </c>
      <c r="C6205" s="362"/>
      <c r="D6205" s="327">
        <f>IF($B6205="","",COUNTIF($B$4731:$B6205,$B6205))</f>
        <v>3</v>
      </c>
      <c r="E6205" s="361" t="s">
        <v>656</v>
      </c>
      <c r="F6205" s="362" t="s">
        <v>2239</v>
      </c>
      <c r="G6205" s="327" t="s">
        <v>405</v>
      </c>
      <c r="H6205" s="361" t="s">
        <v>536</v>
      </c>
      <c r="I6205" s="361" t="s">
        <v>1827</v>
      </c>
      <c r="J6205" s="361"/>
      <c r="K6205" s="327" t="s">
        <v>100</v>
      </c>
      <c r="L6205" s="478">
        <v>970</v>
      </c>
      <c r="M6205" s="371"/>
      <c r="N6205" s="355" t="s">
        <v>2409</v>
      </c>
      <c r="O6205" s="345"/>
      <c r="P6205" s="325"/>
      <c r="Q6205" s="327"/>
      <c r="R6205" s="351"/>
      <c r="S6205" s="351"/>
      <c r="T6205" s="351"/>
      <c r="U6205" s="329" t="str">
        <f>IF($N6205=$N$4,IFERROR(INDEX(DanhMuc!$E$154:$E$165,MATCH(MID($B6205,4,2),DanhMuc!$B$154:$B$165,0)),""),"")</f>
        <v/>
      </c>
      <c r="V6205" s="361"/>
      <c r="W6205" s="345"/>
      <c r="X6205" s="786"/>
      <c r="Y6205" s="1128" t="s">
        <v>3380</v>
      </c>
      <c r="Z6205" s="1128" t="s">
        <v>3381</v>
      </c>
      <c r="AA6205" s="1128" t="s">
        <v>3384</v>
      </c>
      <c r="AB6205" s="20"/>
      <c r="AC6205" s="73"/>
    </row>
    <row r="6206" spans="1:29">
      <c r="A6206" s="327" t="str">
        <f>IF(AND($B6206&lt;&gt;"",$C6206&lt;&gt;""),MAX($A$4730:$A6205)+1,"")</f>
        <v/>
      </c>
      <c r="B6206" s="361" t="s">
        <v>934</v>
      </c>
      <c r="C6206" s="362"/>
      <c r="D6206" s="327">
        <f>IF($B6206="","",COUNTIF($B$4731:$B6206,$B6206))</f>
        <v>4</v>
      </c>
      <c r="E6206" s="361" t="s">
        <v>657</v>
      </c>
      <c r="F6206" s="362" t="s">
        <v>658</v>
      </c>
      <c r="G6206" s="327" t="s">
        <v>424</v>
      </c>
      <c r="H6206" s="361" t="s">
        <v>536</v>
      </c>
      <c r="I6206" s="361" t="s">
        <v>3377</v>
      </c>
      <c r="J6206" s="361"/>
      <c r="K6206" s="327" t="s">
        <v>100</v>
      </c>
      <c r="L6206" s="478">
        <v>60000</v>
      </c>
      <c r="M6206" s="355"/>
      <c r="N6206" s="355" t="s">
        <v>2409</v>
      </c>
      <c r="O6206" s="345"/>
      <c r="P6206" s="325"/>
      <c r="Q6206" s="327"/>
      <c r="R6206" s="351"/>
      <c r="S6206" s="351"/>
      <c r="T6206" s="351"/>
      <c r="U6206" s="329" t="str">
        <f>IF($N6206=$N$4,IFERROR(INDEX(DanhMuc!$E$154:$E$165,MATCH(MID($B6206,4,2),DanhMuc!$B$154:$B$165,0)),""),"")</f>
        <v/>
      </c>
      <c r="V6206" s="361"/>
      <c r="W6206" s="345"/>
      <c r="X6206" s="786"/>
      <c r="Y6206" s="1128" t="s">
        <v>3380</v>
      </c>
      <c r="Z6206" s="1128" t="s">
        <v>3381</v>
      </c>
      <c r="AA6206" s="1128" t="s">
        <v>3384</v>
      </c>
      <c r="AB6206" s="20"/>
      <c r="AC6206" s="73"/>
    </row>
    <row r="6207" spans="1:29">
      <c r="A6207" s="327" t="str">
        <f>IF(AND($B6207&lt;&gt;"",$C6207&lt;&gt;""),MAX($A$4730:$A6206)+1,"")</f>
        <v/>
      </c>
      <c r="B6207" s="361" t="s">
        <v>934</v>
      </c>
      <c r="C6207" s="362"/>
      <c r="D6207" s="327">
        <f>IF($B6207="","",COUNTIF($B$4731:$B6207,$B6207))</f>
        <v>5</v>
      </c>
      <c r="E6207" s="361" t="s">
        <v>2771</v>
      </c>
      <c r="F6207" s="362" t="s">
        <v>659</v>
      </c>
      <c r="G6207" s="327" t="s">
        <v>424</v>
      </c>
      <c r="H6207" s="361" t="s">
        <v>536</v>
      </c>
      <c r="I6207" s="361" t="s">
        <v>2556</v>
      </c>
      <c r="J6207" s="361"/>
      <c r="K6207" s="327" t="s">
        <v>100</v>
      </c>
      <c r="L6207" s="389">
        <v>53000</v>
      </c>
      <c r="M6207" s="355"/>
      <c r="N6207" s="355" t="s">
        <v>2409</v>
      </c>
      <c r="O6207" s="345"/>
      <c r="P6207" s="325"/>
      <c r="Q6207" s="327"/>
      <c r="R6207" s="351"/>
      <c r="S6207" s="351"/>
      <c r="T6207" s="351"/>
      <c r="U6207" s="329" t="str">
        <f>IF($N6207=$N$4,IFERROR(INDEX(DanhMuc!$E$154:$E$165,MATCH(MID($B6207,4,2),DanhMuc!$B$154:$B$165,0)),""),"")</f>
        <v/>
      </c>
      <c r="V6207" s="361"/>
      <c r="W6207" s="345"/>
      <c r="X6207" s="786"/>
      <c r="Y6207" s="1128" t="s">
        <v>3380</v>
      </c>
      <c r="Z6207" s="1128" t="s">
        <v>3381</v>
      </c>
      <c r="AA6207" s="1128" t="s">
        <v>3384</v>
      </c>
      <c r="AB6207" s="20"/>
      <c r="AC6207" s="73"/>
    </row>
    <row r="6208" spans="1:29">
      <c r="A6208" s="327" t="str">
        <f>IF(AND($B6208&lt;&gt;"",$C6208&lt;&gt;""),MAX($A$4730:$A6207)+1,"")</f>
        <v/>
      </c>
      <c r="B6208" s="361" t="s">
        <v>934</v>
      </c>
      <c r="C6208" s="362"/>
      <c r="D6208" s="327">
        <f>IF($B6208="","",COUNTIF($B$4731:$B6208,$B6208))</f>
        <v>6</v>
      </c>
      <c r="E6208" s="361" t="s">
        <v>1828</v>
      </c>
      <c r="F6208" s="362" t="s">
        <v>671</v>
      </c>
      <c r="G6208" s="327" t="s">
        <v>661</v>
      </c>
      <c r="H6208" s="361" t="s">
        <v>536</v>
      </c>
      <c r="I6208" s="361" t="s">
        <v>2355</v>
      </c>
      <c r="J6208" s="361"/>
      <c r="K6208" s="327" t="s">
        <v>100</v>
      </c>
      <c r="L6208" s="478">
        <f>40000/1000</f>
        <v>40</v>
      </c>
      <c r="M6208" s="355"/>
      <c r="N6208" s="355" t="s">
        <v>2409</v>
      </c>
      <c r="O6208" s="345"/>
      <c r="P6208" s="325"/>
      <c r="Q6208" s="327"/>
      <c r="R6208" s="351"/>
      <c r="S6208" s="351"/>
      <c r="T6208" s="351"/>
      <c r="U6208" s="329" t="str">
        <f>IF($N6208=$N$4,IFERROR(INDEX(DanhMuc!$E$154:$E$165,MATCH(MID($B6208,4,2),DanhMuc!$B$154:$B$165,0)),""),"")</f>
        <v/>
      </c>
      <c r="V6208" s="361"/>
      <c r="W6208" s="345"/>
      <c r="X6208" s="786"/>
      <c r="Y6208" s="1128" t="s">
        <v>3380</v>
      </c>
      <c r="Z6208" s="1128" t="s">
        <v>3381</v>
      </c>
      <c r="AA6208" s="1128" t="s">
        <v>3384</v>
      </c>
      <c r="AB6208" s="20"/>
      <c r="AC6208" s="73"/>
    </row>
    <row r="6209" spans="1:29">
      <c r="A6209" s="327" t="str">
        <f>IF(AND($B6209&lt;&gt;"",$C6209&lt;&gt;""),MAX($A$4730:$A6208)+1,"")</f>
        <v/>
      </c>
      <c r="B6209" s="361" t="s">
        <v>934</v>
      </c>
      <c r="C6209" s="362"/>
      <c r="D6209" s="327">
        <f>IF($B6209="","",COUNTIF($B$4731:$B6209,$B6209))</f>
        <v>7</v>
      </c>
      <c r="E6209" s="361" t="s">
        <v>154</v>
      </c>
      <c r="F6209" s="362" t="s">
        <v>660</v>
      </c>
      <c r="G6209" s="327" t="s">
        <v>661</v>
      </c>
      <c r="H6209" s="361" t="s">
        <v>536</v>
      </c>
      <c r="I6209" s="361" t="s">
        <v>667</v>
      </c>
      <c r="J6209" s="361"/>
      <c r="K6209" s="327" t="s">
        <v>662</v>
      </c>
      <c r="L6209" s="478">
        <v>20</v>
      </c>
      <c r="M6209" s="355"/>
      <c r="N6209" s="355" t="s">
        <v>2409</v>
      </c>
      <c r="O6209" s="345"/>
      <c r="P6209" s="325"/>
      <c r="Q6209" s="327"/>
      <c r="R6209" s="351"/>
      <c r="S6209" s="351"/>
      <c r="T6209" s="351"/>
      <c r="U6209" s="329" t="str">
        <f>IF($N6209=$N$4,IFERROR(INDEX(DanhMuc!$E$154:$E$165,MATCH(MID($B6209,4,2),DanhMuc!$B$154:$B$165,0)),""),"")</f>
        <v/>
      </c>
      <c r="V6209" s="361"/>
      <c r="W6209" s="345"/>
      <c r="X6209" s="786"/>
      <c r="Y6209" s="1128" t="s">
        <v>3380</v>
      </c>
      <c r="Z6209" s="1128" t="s">
        <v>3381</v>
      </c>
      <c r="AA6209" s="1128" t="s">
        <v>3384</v>
      </c>
      <c r="AB6209" s="20"/>
      <c r="AC6209" s="73"/>
    </row>
    <row r="6210" spans="1:29">
      <c r="A6210" s="327" t="str">
        <f>IF(AND($B6210&lt;&gt;"",$C6210&lt;&gt;""),MAX($A$4730:$A6209)+1,"")</f>
        <v/>
      </c>
      <c r="B6210" s="361" t="s">
        <v>934</v>
      </c>
      <c r="C6210" s="362"/>
      <c r="D6210" s="327">
        <f>IF($B6210="","",COUNTIF($B$4731:$B6210,$B6210))</f>
        <v>8</v>
      </c>
      <c r="E6210" s="362" t="s">
        <v>2282</v>
      </c>
      <c r="F6210" s="362" t="s">
        <v>2283</v>
      </c>
      <c r="G6210" s="327" t="s">
        <v>424</v>
      </c>
      <c r="H6210" s="361" t="s">
        <v>536</v>
      </c>
      <c r="I6210" s="361" t="s">
        <v>2238</v>
      </c>
      <c r="J6210" s="361"/>
      <c r="K6210" s="327" t="s">
        <v>662</v>
      </c>
      <c r="L6210" s="478">
        <v>28000</v>
      </c>
      <c r="M6210" s="355"/>
      <c r="N6210" s="355" t="s">
        <v>2409</v>
      </c>
      <c r="O6210" s="345"/>
      <c r="P6210" s="325"/>
      <c r="Q6210" s="327"/>
      <c r="R6210" s="351"/>
      <c r="S6210" s="351"/>
      <c r="T6210" s="351"/>
      <c r="U6210" s="329" t="str">
        <f>IF($N6210=$N$4,IFERROR(INDEX(DanhMuc!$E$154:$E$165,MATCH(MID($B6210,4,2),DanhMuc!$B$154:$B$165,0)),""),"")</f>
        <v/>
      </c>
      <c r="V6210" s="361"/>
      <c r="W6210" s="345"/>
      <c r="X6210" s="786"/>
      <c r="Y6210" s="1128" t="s">
        <v>3380</v>
      </c>
      <c r="Z6210" s="1128" t="s">
        <v>3381</v>
      </c>
      <c r="AA6210" s="1128" t="s">
        <v>3384</v>
      </c>
      <c r="AB6210" s="20"/>
      <c r="AC6210" s="73"/>
    </row>
    <row r="6211" spans="1:29">
      <c r="A6211" s="327" t="str">
        <f>IF(AND($B6211&lt;&gt;"",$C6211&lt;&gt;""),MAX($A$4730:$A6210)+1,"")</f>
        <v/>
      </c>
      <c r="B6211" s="361" t="s">
        <v>934</v>
      </c>
      <c r="C6211" s="362"/>
      <c r="D6211" s="327">
        <f>IF($B6211="","",COUNTIF($B$4731:$B6211,$B6211))</f>
        <v>9</v>
      </c>
      <c r="E6211" s="362" t="s">
        <v>663</v>
      </c>
      <c r="F6211" s="362" t="s">
        <v>664</v>
      </c>
      <c r="G6211" s="327" t="s">
        <v>155</v>
      </c>
      <c r="H6211" s="361" t="s">
        <v>536</v>
      </c>
      <c r="I6211" s="361" t="s">
        <v>672</v>
      </c>
      <c r="J6211" s="361"/>
      <c r="K6211" s="327" t="s">
        <v>662</v>
      </c>
      <c r="L6211" s="478">
        <v>1000</v>
      </c>
      <c r="M6211" s="355"/>
      <c r="N6211" s="355" t="s">
        <v>2409</v>
      </c>
      <c r="O6211" s="345"/>
      <c r="P6211" s="325"/>
      <c r="Q6211" s="327"/>
      <c r="R6211" s="351"/>
      <c r="S6211" s="351"/>
      <c r="T6211" s="351"/>
      <c r="U6211" s="329" t="str">
        <f>IF($N6211=$N$4,IFERROR(INDEX(DanhMuc!$E$154:$E$165,MATCH(MID($B6211,4,2),DanhMuc!$B$154:$B$165,0)),""),"")</f>
        <v/>
      </c>
      <c r="V6211" s="361"/>
      <c r="W6211" s="345"/>
      <c r="X6211" s="786"/>
      <c r="Y6211" s="1128" t="s">
        <v>3380</v>
      </c>
      <c r="Z6211" s="1128" t="s">
        <v>3381</v>
      </c>
      <c r="AA6211" s="1128" t="s">
        <v>3384</v>
      </c>
      <c r="AB6211" s="20"/>
      <c r="AC6211" s="73"/>
    </row>
    <row r="6212" spans="1:29" ht="26">
      <c r="A6212" s="327">
        <f>IF(AND($B6212&lt;&gt;"",$C6212&lt;&gt;""),MAX($A$4730:$A6211)+1,"")</f>
        <v>72</v>
      </c>
      <c r="B6212" s="359" t="s">
        <v>935</v>
      </c>
      <c r="C6212" s="370" t="s">
        <v>1592</v>
      </c>
      <c r="D6212" s="327">
        <f>IF($B6212="","",COUNTIF($B$4731:$B6212,$B6212))</f>
        <v>1</v>
      </c>
      <c r="E6212" s="361" t="s">
        <v>1826</v>
      </c>
      <c r="F6212" s="362" t="s">
        <v>670</v>
      </c>
      <c r="G6212" s="327" t="s">
        <v>661</v>
      </c>
      <c r="H6212" s="361" t="s">
        <v>536</v>
      </c>
      <c r="I6212" s="361" t="s">
        <v>2354</v>
      </c>
      <c r="J6212" s="361"/>
      <c r="K6212" s="327" t="s">
        <v>103</v>
      </c>
      <c r="L6212" s="478">
        <f>40000/1000</f>
        <v>40</v>
      </c>
      <c r="M6212" s="355"/>
      <c r="N6212" s="355" t="s">
        <v>2408</v>
      </c>
      <c r="O6212" s="345"/>
      <c r="P6212" s="325"/>
      <c r="Q6212" s="327"/>
      <c r="R6212" s="351"/>
      <c r="S6212" s="351"/>
      <c r="T6212" s="351"/>
      <c r="U6212" s="329" t="str">
        <f>IF($N6212=$N$4,IFERROR(INDEX(DanhMuc!$E$154:$E$165,MATCH(MID($B6212,4,2),DanhMuc!$B$154:$B$165,0)),""),"")</f>
        <v/>
      </c>
      <c r="V6212" s="361"/>
      <c r="W6212" s="345"/>
      <c r="X6212" s="786"/>
      <c r="Y6212" s="1128" t="s">
        <v>3380</v>
      </c>
      <c r="Z6212" s="1128" t="s">
        <v>3381</v>
      </c>
      <c r="AA6212" s="1128" t="s">
        <v>3384</v>
      </c>
      <c r="AB6212" s="20"/>
      <c r="AC6212" s="73"/>
    </row>
    <row r="6213" spans="1:29" ht="37.5">
      <c r="A6213" s="327" t="str">
        <f>IF(AND($B6213&lt;&gt;"",$C6213&lt;&gt;""),MAX($A$4730:$A6212)+1,"")</f>
        <v/>
      </c>
      <c r="B6213" s="361" t="s">
        <v>935</v>
      </c>
      <c r="C6213" s="362"/>
      <c r="D6213" s="327">
        <f>IF($B6213="","",COUNTIF($B$4731:$B6213,$B6213))</f>
        <v>2</v>
      </c>
      <c r="E6213" s="362" t="s">
        <v>1964</v>
      </c>
      <c r="F6213" s="362" t="s">
        <v>1965</v>
      </c>
      <c r="G6213" s="410" t="s">
        <v>405</v>
      </c>
      <c r="H6213" s="402" t="s">
        <v>536</v>
      </c>
      <c r="I6213" s="402" t="s">
        <v>1210</v>
      </c>
      <c r="J6213" s="402"/>
      <c r="K6213" s="410"/>
      <c r="L6213" s="478">
        <v>140</v>
      </c>
      <c r="M6213" s="371"/>
      <c r="N6213" s="355" t="s">
        <v>2408</v>
      </c>
      <c r="O6213" s="345"/>
      <c r="P6213" s="325"/>
      <c r="Q6213" s="327"/>
      <c r="R6213" s="351"/>
      <c r="S6213" s="351"/>
      <c r="T6213" s="351"/>
      <c r="U6213" s="329" t="str">
        <f>IF($N6213=$N$4,IFERROR(INDEX(DanhMuc!$E$154:$E$165,MATCH(MID($B6213,4,2),DanhMuc!$B$154:$B$165,0)),""),"")</f>
        <v/>
      </c>
      <c r="V6213" s="361"/>
      <c r="W6213" s="345"/>
      <c r="X6213" s="786"/>
      <c r="Y6213" s="1128" t="s">
        <v>3380</v>
      </c>
      <c r="Z6213" s="1128" t="s">
        <v>3381</v>
      </c>
      <c r="AA6213" s="1128" t="s">
        <v>3384</v>
      </c>
      <c r="AB6213" s="20"/>
      <c r="AC6213" s="73"/>
    </row>
    <row r="6214" spans="1:29">
      <c r="A6214" s="327" t="str">
        <f>IF(AND($B6214&lt;&gt;"",$C6214&lt;&gt;""),MAX($A$4730:$A6213)+1,"")</f>
        <v/>
      </c>
      <c r="B6214" s="361" t="s">
        <v>935</v>
      </c>
      <c r="C6214" s="362"/>
      <c r="D6214" s="327">
        <f>IF($B6214="","",COUNTIF($B$4731:$B6214,$B6214))</f>
        <v>3</v>
      </c>
      <c r="E6214" s="361" t="s">
        <v>656</v>
      </c>
      <c r="F6214" s="362" t="s">
        <v>2239</v>
      </c>
      <c r="G6214" s="327" t="s">
        <v>405</v>
      </c>
      <c r="H6214" s="361" t="s">
        <v>536</v>
      </c>
      <c r="I6214" s="361" t="s">
        <v>1827</v>
      </c>
      <c r="J6214" s="361"/>
      <c r="K6214" s="327" t="s">
        <v>100</v>
      </c>
      <c r="L6214" s="478">
        <v>970</v>
      </c>
      <c r="M6214" s="371"/>
      <c r="N6214" s="355" t="s">
        <v>2409</v>
      </c>
      <c r="O6214" s="345"/>
      <c r="P6214" s="325"/>
      <c r="Q6214" s="327"/>
      <c r="R6214" s="351"/>
      <c r="S6214" s="351"/>
      <c r="T6214" s="351"/>
      <c r="U6214" s="329" t="str">
        <f>IF($N6214=$N$4,IFERROR(INDEX(DanhMuc!$E$154:$E$165,MATCH(MID($B6214,4,2),DanhMuc!$B$154:$B$165,0)),""),"")</f>
        <v/>
      </c>
      <c r="V6214" s="361"/>
      <c r="W6214" s="345"/>
      <c r="X6214" s="786"/>
      <c r="Y6214" s="1128" t="s">
        <v>3380</v>
      </c>
      <c r="Z6214" s="1128" t="s">
        <v>3381</v>
      </c>
      <c r="AA6214" s="1128" t="s">
        <v>3384</v>
      </c>
      <c r="AB6214" s="20"/>
      <c r="AC6214" s="73"/>
    </row>
    <row r="6215" spans="1:29">
      <c r="A6215" s="327" t="str">
        <f>IF(AND($B6215&lt;&gt;"",$C6215&lt;&gt;""),MAX($A$4730:$A6214)+1,"")</f>
        <v/>
      </c>
      <c r="B6215" s="361" t="s">
        <v>935</v>
      </c>
      <c r="C6215" s="362"/>
      <c r="D6215" s="327">
        <f>IF($B6215="","",COUNTIF($B$4731:$B6215,$B6215))</f>
        <v>4</v>
      </c>
      <c r="E6215" s="361" t="s">
        <v>657</v>
      </c>
      <c r="F6215" s="362" t="s">
        <v>658</v>
      </c>
      <c r="G6215" s="327" t="s">
        <v>424</v>
      </c>
      <c r="H6215" s="361" t="s">
        <v>536</v>
      </c>
      <c r="I6215" s="361" t="s">
        <v>3377</v>
      </c>
      <c r="J6215" s="361"/>
      <c r="K6215" s="327" t="s">
        <v>100</v>
      </c>
      <c r="L6215" s="478">
        <v>60000</v>
      </c>
      <c r="M6215" s="355"/>
      <c r="N6215" s="355" t="s">
        <v>2409</v>
      </c>
      <c r="O6215" s="345"/>
      <c r="P6215" s="325"/>
      <c r="Q6215" s="327"/>
      <c r="R6215" s="351"/>
      <c r="S6215" s="351"/>
      <c r="T6215" s="351"/>
      <c r="U6215" s="329" t="str">
        <f>IF($N6215=$N$4,IFERROR(INDEX(DanhMuc!$E$154:$E$165,MATCH(MID($B6215,4,2),DanhMuc!$B$154:$B$165,0)),""),"")</f>
        <v/>
      </c>
      <c r="V6215" s="361"/>
      <c r="W6215" s="345"/>
      <c r="X6215" s="786"/>
      <c r="Y6215" s="1128" t="s">
        <v>3380</v>
      </c>
      <c r="Z6215" s="1128" t="s">
        <v>3381</v>
      </c>
      <c r="AA6215" s="1128" t="s">
        <v>3384</v>
      </c>
      <c r="AB6215" s="20"/>
      <c r="AC6215" s="73"/>
    </row>
    <row r="6216" spans="1:29">
      <c r="A6216" s="327" t="str">
        <f>IF(AND($B6216&lt;&gt;"",$C6216&lt;&gt;""),MAX($A$4730:$A6215)+1,"")</f>
        <v/>
      </c>
      <c r="B6216" s="361" t="s">
        <v>935</v>
      </c>
      <c r="C6216" s="362"/>
      <c r="D6216" s="327">
        <f>IF($B6216="","",COUNTIF($B$4731:$B6216,$B6216))</f>
        <v>5</v>
      </c>
      <c r="E6216" s="361" t="s">
        <v>2771</v>
      </c>
      <c r="F6216" s="362" t="s">
        <v>659</v>
      </c>
      <c r="G6216" s="327" t="s">
        <v>424</v>
      </c>
      <c r="H6216" s="361" t="s">
        <v>536</v>
      </c>
      <c r="I6216" s="361" t="s">
        <v>2556</v>
      </c>
      <c r="J6216" s="361"/>
      <c r="K6216" s="327" t="s">
        <v>100</v>
      </c>
      <c r="L6216" s="389">
        <v>53000</v>
      </c>
      <c r="M6216" s="355"/>
      <c r="N6216" s="355" t="s">
        <v>2409</v>
      </c>
      <c r="O6216" s="345"/>
      <c r="P6216" s="325"/>
      <c r="Q6216" s="327"/>
      <c r="R6216" s="351"/>
      <c r="S6216" s="351"/>
      <c r="T6216" s="351"/>
      <c r="U6216" s="329" t="str">
        <f>IF($N6216=$N$4,IFERROR(INDEX(DanhMuc!$E$154:$E$165,MATCH(MID($B6216,4,2),DanhMuc!$B$154:$B$165,0)),""),"")</f>
        <v/>
      </c>
      <c r="V6216" s="361"/>
      <c r="W6216" s="345"/>
      <c r="X6216" s="786"/>
      <c r="Y6216" s="1128" t="s">
        <v>3380</v>
      </c>
      <c r="Z6216" s="1128" t="s">
        <v>3381</v>
      </c>
      <c r="AA6216" s="1128" t="s">
        <v>3384</v>
      </c>
      <c r="AB6216" s="20"/>
      <c r="AC6216" s="73"/>
    </row>
    <row r="6217" spans="1:29">
      <c r="A6217" s="327" t="str">
        <f>IF(AND($B6217&lt;&gt;"",$C6217&lt;&gt;""),MAX($A$4730:$A6216)+1,"")</f>
        <v/>
      </c>
      <c r="B6217" s="361" t="s">
        <v>935</v>
      </c>
      <c r="C6217" s="362"/>
      <c r="D6217" s="327">
        <f>IF($B6217="","",COUNTIF($B$4731:$B6217,$B6217))</f>
        <v>6</v>
      </c>
      <c r="E6217" s="361" t="s">
        <v>1828</v>
      </c>
      <c r="F6217" s="362" t="s">
        <v>671</v>
      </c>
      <c r="G6217" s="327" t="s">
        <v>661</v>
      </c>
      <c r="H6217" s="361" t="s">
        <v>536</v>
      </c>
      <c r="I6217" s="361" t="s">
        <v>2355</v>
      </c>
      <c r="J6217" s="361"/>
      <c r="K6217" s="327" t="s">
        <v>100</v>
      </c>
      <c r="L6217" s="478">
        <f>40000/1000</f>
        <v>40</v>
      </c>
      <c r="M6217" s="355"/>
      <c r="N6217" s="355" t="s">
        <v>2409</v>
      </c>
      <c r="O6217" s="345"/>
      <c r="P6217" s="325"/>
      <c r="Q6217" s="327"/>
      <c r="R6217" s="351"/>
      <c r="S6217" s="351"/>
      <c r="T6217" s="351"/>
      <c r="U6217" s="329" t="str">
        <f>IF($N6217=$N$4,IFERROR(INDEX(DanhMuc!$E$154:$E$165,MATCH(MID($B6217,4,2),DanhMuc!$B$154:$B$165,0)),""),"")</f>
        <v/>
      </c>
      <c r="V6217" s="361"/>
      <c r="W6217" s="345"/>
      <c r="X6217" s="786"/>
      <c r="Y6217" s="1128" t="s">
        <v>3380</v>
      </c>
      <c r="Z6217" s="1128" t="s">
        <v>3381</v>
      </c>
      <c r="AA6217" s="1128" t="s">
        <v>3384</v>
      </c>
      <c r="AB6217" s="20"/>
      <c r="AC6217" s="73"/>
    </row>
    <row r="6218" spans="1:29">
      <c r="A6218" s="327" t="str">
        <f>IF(AND($B6218&lt;&gt;"",$C6218&lt;&gt;""),MAX($A$4730:$A6217)+1,"")</f>
        <v/>
      </c>
      <c r="B6218" s="361" t="s">
        <v>935</v>
      </c>
      <c r="C6218" s="362"/>
      <c r="D6218" s="327">
        <f>IF($B6218="","",COUNTIF($B$4731:$B6218,$B6218))</f>
        <v>7</v>
      </c>
      <c r="E6218" s="361" t="s">
        <v>154</v>
      </c>
      <c r="F6218" s="362" t="s">
        <v>660</v>
      </c>
      <c r="G6218" s="327" t="s">
        <v>661</v>
      </c>
      <c r="H6218" s="361" t="s">
        <v>536</v>
      </c>
      <c r="I6218" s="361" t="s">
        <v>667</v>
      </c>
      <c r="J6218" s="361"/>
      <c r="K6218" s="327" t="s">
        <v>662</v>
      </c>
      <c r="L6218" s="478">
        <v>20</v>
      </c>
      <c r="M6218" s="355"/>
      <c r="N6218" s="355" t="s">
        <v>2409</v>
      </c>
      <c r="O6218" s="345"/>
      <c r="P6218" s="325"/>
      <c r="Q6218" s="327"/>
      <c r="R6218" s="351"/>
      <c r="S6218" s="351"/>
      <c r="T6218" s="351"/>
      <c r="U6218" s="329" t="str">
        <f>IF($N6218=$N$4,IFERROR(INDEX(DanhMuc!$E$154:$E$165,MATCH(MID($B6218,4,2),DanhMuc!$B$154:$B$165,0)),""),"")</f>
        <v/>
      </c>
      <c r="V6218" s="361"/>
      <c r="W6218" s="345"/>
      <c r="X6218" s="786"/>
      <c r="Y6218" s="1128" t="s">
        <v>3380</v>
      </c>
      <c r="Z6218" s="1128" t="s">
        <v>3381</v>
      </c>
      <c r="AA6218" s="1128" t="s">
        <v>3384</v>
      </c>
      <c r="AB6218" s="20"/>
      <c r="AC6218" s="73"/>
    </row>
    <row r="6219" spans="1:29">
      <c r="A6219" s="327" t="str">
        <f>IF(AND($B6219&lt;&gt;"",$C6219&lt;&gt;""),MAX($A$4730:$A6218)+1,"")</f>
        <v/>
      </c>
      <c r="B6219" s="361" t="s">
        <v>935</v>
      </c>
      <c r="C6219" s="362"/>
      <c r="D6219" s="327">
        <f>IF($B6219="","",COUNTIF($B$4731:$B6219,$B6219))</f>
        <v>8</v>
      </c>
      <c r="E6219" s="362" t="s">
        <v>2282</v>
      </c>
      <c r="F6219" s="362" t="s">
        <v>2283</v>
      </c>
      <c r="G6219" s="327" t="s">
        <v>424</v>
      </c>
      <c r="H6219" s="361" t="s">
        <v>536</v>
      </c>
      <c r="I6219" s="361" t="s">
        <v>2238</v>
      </c>
      <c r="J6219" s="361"/>
      <c r="K6219" s="327" t="s">
        <v>662</v>
      </c>
      <c r="L6219" s="478">
        <v>28000</v>
      </c>
      <c r="M6219" s="355"/>
      <c r="N6219" s="355" t="s">
        <v>2409</v>
      </c>
      <c r="O6219" s="345"/>
      <c r="P6219" s="325"/>
      <c r="Q6219" s="327"/>
      <c r="R6219" s="351"/>
      <c r="S6219" s="351"/>
      <c r="T6219" s="351"/>
      <c r="U6219" s="329" t="str">
        <f>IF($N6219=$N$4,IFERROR(INDEX(DanhMuc!$E$154:$E$165,MATCH(MID($B6219,4,2),DanhMuc!$B$154:$B$165,0)),""),"")</f>
        <v/>
      </c>
      <c r="V6219" s="361"/>
      <c r="W6219" s="345"/>
      <c r="X6219" s="786"/>
      <c r="Y6219" s="1128" t="s">
        <v>3380</v>
      </c>
      <c r="Z6219" s="1128" t="s">
        <v>3381</v>
      </c>
      <c r="AA6219" s="1128" t="s">
        <v>3384</v>
      </c>
      <c r="AB6219" s="20"/>
      <c r="AC6219" s="73"/>
    </row>
    <row r="6220" spans="1:29">
      <c r="A6220" s="327" t="str">
        <f>IF(AND($B6220&lt;&gt;"",$C6220&lt;&gt;""),MAX($A$4730:$A6219)+1,"")</f>
        <v/>
      </c>
      <c r="B6220" s="361" t="s">
        <v>935</v>
      </c>
      <c r="C6220" s="362"/>
      <c r="D6220" s="327">
        <f>IF($B6220="","",COUNTIF($B$4731:$B6220,$B6220))</f>
        <v>9</v>
      </c>
      <c r="E6220" s="362" t="s">
        <v>663</v>
      </c>
      <c r="F6220" s="362" t="s">
        <v>664</v>
      </c>
      <c r="G6220" s="327" t="s">
        <v>155</v>
      </c>
      <c r="H6220" s="361" t="s">
        <v>536</v>
      </c>
      <c r="I6220" s="361" t="s">
        <v>672</v>
      </c>
      <c r="J6220" s="361"/>
      <c r="K6220" s="327" t="s">
        <v>662</v>
      </c>
      <c r="L6220" s="478">
        <v>1000</v>
      </c>
      <c r="M6220" s="355"/>
      <c r="N6220" s="355" t="s">
        <v>2409</v>
      </c>
      <c r="O6220" s="345"/>
      <c r="P6220" s="325"/>
      <c r="Q6220" s="327"/>
      <c r="R6220" s="351"/>
      <c r="S6220" s="351"/>
      <c r="T6220" s="351"/>
      <c r="U6220" s="329" t="str">
        <f>IF($N6220=$N$4,IFERROR(INDEX(DanhMuc!$E$154:$E$165,MATCH(MID($B6220,4,2),DanhMuc!$B$154:$B$165,0)),""),"")</f>
        <v/>
      </c>
      <c r="V6220" s="361"/>
      <c r="W6220" s="345"/>
      <c r="X6220" s="786"/>
      <c r="Y6220" s="1128" t="s">
        <v>3380</v>
      </c>
      <c r="Z6220" s="1128" t="s">
        <v>3381</v>
      </c>
      <c r="AA6220" s="1128" t="s">
        <v>3384</v>
      </c>
      <c r="AB6220" s="20"/>
      <c r="AC6220" s="73"/>
    </row>
    <row r="6221" spans="1:29" ht="39">
      <c r="A6221" s="327">
        <f>IF(AND($B6221&lt;&gt;"",$C6221&lt;&gt;""),MAX($A$4730:$A6220)+1,"")</f>
        <v>73</v>
      </c>
      <c r="B6221" s="359" t="s">
        <v>1518</v>
      </c>
      <c r="C6221" s="370" t="s">
        <v>1596</v>
      </c>
      <c r="D6221" s="327">
        <f>IF($B6221="","",COUNTIF($B$4731:$B6221,$B6221))</f>
        <v>1</v>
      </c>
      <c r="E6221" s="361">
        <v>1124</v>
      </c>
      <c r="F6221" s="362" t="s">
        <v>2327</v>
      </c>
      <c r="G6221" s="327" t="s">
        <v>155</v>
      </c>
      <c r="H6221" s="361" t="s">
        <v>536</v>
      </c>
      <c r="I6221" s="327">
        <v>2</v>
      </c>
      <c r="J6221" s="361"/>
      <c r="K6221" s="327" t="s">
        <v>100</v>
      </c>
      <c r="L6221" s="710" t="s">
        <v>2286</v>
      </c>
      <c r="M6221" s="355"/>
      <c r="N6221" s="355" t="s">
        <v>2408</v>
      </c>
      <c r="O6221" s="345"/>
      <c r="P6221" s="325"/>
      <c r="Q6221" s="327"/>
      <c r="R6221" s="351">
        <v>3</v>
      </c>
      <c r="S6221" s="351">
        <v>6</v>
      </c>
      <c r="T6221" s="351"/>
      <c r="U6221" s="329" t="str">
        <f>IF($N6221=$N$4,IFERROR(INDEX(DanhMuc!$E$154:$E$165,MATCH(MID($B6221,4,2),DanhMuc!$B$154:$B$165,0)),""),"")</f>
        <v/>
      </c>
      <c r="V6221" s="361"/>
      <c r="W6221" s="345"/>
      <c r="X6221" s="786"/>
      <c r="Y6221" s="1128" t="s">
        <v>3380</v>
      </c>
      <c r="Z6221" s="1128" t="s">
        <v>3381</v>
      </c>
      <c r="AA6221" s="1128" t="s">
        <v>3384</v>
      </c>
      <c r="AB6221" s="20"/>
      <c r="AC6221" s="73"/>
    </row>
    <row r="6222" spans="1:29">
      <c r="A6222" s="327" t="str">
        <f>IF(AND($B6222&lt;&gt;"",$C6222&lt;&gt;""),MAX($A$4730:$A6221)+1,"")</f>
        <v/>
      </c>
      <c r="B6222" s="361" t="s">
        <v>1518</v>
      </c>
      <c r="C6222" s="362"/>
      <c r="D6222" s="327">
        <f>IF($B6222="","",COUNTIF($B$4731:$B6222,$B6222))</f>
        <v>2</v>
      </c>
      <c r="E6222" s="605">
        <v>1125</v>
      </c>
      <c r="F6222" s="362" t="s">
        <v>2328</v>
      </c>
      <c r="G6222" s="327" t="s">
        <v>155</v>
      </c>
      <c r="H6222" s="361" t="s">
        <v>536</v>
      </c>
      <c r="I6222" s="327">
        <v>4</v>
      </c>
      <c r="J6222" s="361"/>
      <c r="K6222" s="327" t="s">
        <v>101</v>
      </c>
      <c r="L6222" s="710" t="s">
        <v>2286</v>
      </c>
      <c r="M6222" s="355"/>
      <c r="N6222" s="355" t="s">
        <v>2408</v>
      </c>
      <c r="O6222" s="345"/>
      <c r="P6222" s="325"/>
      <c r="Q6222" s="327"/>
      <c r="R6222" s="351">
        <v>3</v>
      </c>
      <c r="S6222" s="351">
        <v>6</v>
      </c>
      <c r="T6222" s="351"/>
      <c r="U6222" s="329" t="str">
        <f>IF($N6222=$N$4,IFERROR(INDEX(DanhMuc!$E$154:$E$165,MATCH(MID($B6222,4,2),DanhMuc!$B$154:$B$165,0)),""),"")</f>
        <v/>
      </c>
      <c r="V6222" s="361"/>
      <c r="W6222" s="345"/>
      <c r="X6222" s="786"/>
      <c r="Y6222" s="1128" t="s">
        <v>3380</v>
      </c>
      <c r="Z6222" s="1128" t="s">
        <v>3381</v>
      </c>
      <c r="AA6222" s="1128" t="s">
        <v>3384</v>
      </c>
      <c r="AB6222" s="20"/>
      <c r="AC6222" s="73"/>
    </row>
    <row r="6223" spans="1:29">
      <c r="A6223" s="327" t="str">
        <f>IF(AND($B6223&lt;&gt;"",$C6223&lt;&gt;""),MAX($A$4730:$A6222)+1,"")</f>
        <v/>
      </c>
      <c r="B6223" s="361" t="s">
        <v>1518</v>
      </c>
      <c r="C6223" s="362"/>
      <c r="D6223" s="327">
        <f>IF($B6223="","",COUNTIF($B$4731:$B6223,$B6223))</f>
        <v>3</v>
      </c>
      <c r="E6223" s="361" t="s">
        <v>1671</v>
      </c>
      <c r="F6223" s="362" t="s">
        <v>2329</v>
      </c>
      <c r="G6223" s="327" t="s">
        <v>155</v>
      </c>
      <c r="H6223" s="361" t="s">
        <v>536</v>
      </c>
      <c r="I6223" s="327">
        <f>+I6221+I6222*2</f>
        <v>10</v>
      </c>
      <c r="J6223" s="361"/>
      <c r="K6223" s="327" t="s">
        <v>415</v>
      </c>
      <c r="L6223" s="389">
        <v>2000</v>
      </c>
      <c r="M6223" s="355"/>
      <c r="N6223" s="355" t="s">
        <v>2408</v>
      </c>
      <c r="O6223" s="345"/>
      <c r="P6223" s="325"/>
      <c r="Q6223" s="327"/>
      <c r="R6223" s="351"/>
      <c r="S6223" s="351"/>
      <c r="T6223" s="351"/>
      <c r="U6223" s="329" t="str">
        <f>IF($N6223=$N$4,IFERROR(INDEX(DanhMuc!$E$154:$E$165,MATCH(MID($B6223,4,2),DanhMuc!$B$154:$B$165,0)),""),"")</f>
        <v/>
      </c>
      <c r="V6223" s="361"/>
      <c r="W6223" s="345"/>
      <c r="X6223" s="786"/>
      <c r="Y6223" s="1128" t="s">
        <v>3380</v>
      </c>
      <c r="Z6223" s="1128" t="s">
        <v>3381</v>
      </c>
      <c r="AA6223" s="1128" t="s">
        <v>3384</v>
      </c>
      <c r="AB6223" s="20"/>
      <c r="AC6223" s="73"/>
    </row>
    <row r="6224" spans="1:29">
      <c r="A6224" s="327" t="str">
        <f>IF(AND($B6224&lt;&gt;"",$C6224&lt;&gt;""),MAX($A$4730:$A6223)+1,"")</f>
        <v/>
      </c>
      <c r="B6224" s="361" t="s">
        <v>1518</v>
      </c>
      <c r="C6224" s="362"/>
      <c r="D6224" s="327">
        <f>IF($B6224="","",COUNTIF($B$4731:$B6224,$B6224))</f>
        <v>4</v>
      </c>
      <c r="E6224" s="361" t="s">
        <v>654</v>
      </c>
      <c r="F6224" s="362" t="s">
        <v>653</v>
      </c>
      <c r="G6224" s="327" t="s">
        <v>1836</v>
      </c>
      <c r="H6224" s="361" t="s">
        <v>536</v>
      </c>
      <c r="I6224" s="327">
        <f>ROUND(SUM(I6221:I6222)/45,2)</f>
        <v>0.13</v>
      </c>
      <c r="J6224" s="477"/>
      <c r="K6224" s="327" t="s">
        <v>655</v>
      </c>
      <c r="L6224" s="478">
        <v>115000</v>
      </c>
      <c r="M6224" s="355"/>
      <c r="N6224" s="355" t="s">
        <v>2408</v>
      </c>
      <c r="O6224" s="345"/>
      <c r="P6224" s="325"/>
      <c r="Q6224" s="327"/>
      <c r="R6224" s="351"/>
      <c r="S6224" s="351"/>
      <c r="T6224" s="351"/>
      <c r="U6224" s="329" t="str">
        <f>IF($N6224=$N$4,IFERROR(INDEX(DanhMuc!$E$154:$E$165,MATCH(MID($B6224,4,2),DanhMuc!$B$154:$B$165,0)),""),"")</f>
        <v/>
      </c>
      <c r="V6224" s="361"/>
      <c r="W6224" s="345"/>
      <c r="X6224" s="786"/>
      <c r="Y6224" s="1128" t="s">
        <v>3380</v>
      </c>
      <c r="Z6224" s="1128" t="s">
        <v>3381</v>
      </c>
      <c r="AA6224" s="1128" t="s">
        <v>3384</v>
      </c>
      <c r="AB6224" s="20"/>
      <c r="AC6224" s="73"/>
    </row>
    <row r="6225" spans="1:29">
      <c r="A6225" s="327" t="str">
        <f>IF(AND($B6225&lt;&gt;"",$C6225&lt;&gt;""),MAX($A$4730:$A6224)+1,"")</f>
        <v/>
      </c>
      <c r="B6225" s="361" t="s">
        <v>1518</v>
      </c>
      <c r="C6225" s="360"/>
      <c r="D6225" s="327">
        <f>IF($B6225="","",COUNTIF($B$4731:$B6225,$B6225))</f>
        <v>5</v>
      </c>
      <c r="E6225" s="361" t="s">
        <v>1826</v>
      </c>
      <c r="F6225" s="362" t="s">
        <v>670</v>
      </c>
      <c r="G6225" s="327" t="s">
        <v>661</v>
      </c>
      <c r="H6225" s="361" t="s">
        <v>536</v>
      </c>
      <c r="I6225" s="361" t="s">
        <v>2354</v>
      </c>
      <c r="J6225" s="361"/>
      <c r="K6225" s="327" t="s">
        <v>103</v>
      </c>
      <c r="L6225" s="478">
        <f>40000/1000</f>
        <v>40</v>
      </c>
      <c r="M6225" s="355"/>
      <c r="N6225" s="355" t="s">
        <v>2408</v>
      </c>
      <c r="O6225" s="345"/>
      <c r="P6225" s="325"/>
      <c r="Q6225" s="327"/>
      <c r="R6225" s="351"/>
      <c r="S6225" s="351"/>
      <c r="T6225" s="351"/>
      <c r="U6225" s="329" t="str">
        <f>IF($N6225=$N$4,IFERROR(INDEX(DanhMuc!$E$154:$E$165,MATCH(MID($B6225,4,2),DanhMuc!$B$154:$B$165,0)),""),"")</f>
        <v/>
      </c>
      <c r="V6225" s="361"/>
      <c r="W6225" s="345"/>
      <c r="X6225" s="786"/>
      <c r="Y6225" s="1128" t="s">
        <v>3380</v>
      </c>
      <c r="Z6225" s="1128" t="s">
        <v>3381</v>
      </c>
      <c r="AA6225" s="1128" t="s">
        <v>3384</v>
      </c>
      <c r="AB6225" s="20"/>
      <c r="AC6225" s="73"/>
    </row>
    <row r="6226" spans="1:29" ht="37.5">
      <c r="A6226" s="327" t="str">
        <f>IF(AND($B6226&lt;&gt;"",$C6226&lt;&gt;""),MAX($A$4730:$A6225)+1,"")</f>
        <v/>
      </c>
      <c r="B6226" s="361" t="s">
        <v>1518</v>
      </c>
      <c r="C6226" s="362"/>
      <c r="D6226" s="327">
        <f>IF($B6226="","",COUNTIF($B$4731:$B6226,$B6226))</f>
        <v>6</v>
      </c>
      <c r="E6226" s="362" t="s">
        <v>1964</v>
      </c>
      <c r="F6226" s="362" t="s">
        <v>1965</v>
      </c>
      <c r="G6226" s="327" t="s">
        <v>405</v>
      </c>
      <c r="H6226" s="361" t="s">
        <v>536</v>
      </c>
      <c r="I6226" s="361" t="s">
        <v>693</v>
      </c>
      <c r="J6226" s="361"/>
      <c r="K6226" s="327" t="s">
        <v>223</v>
      </c>
      <c r="L6226" s="478">
        <v>140</v>
      </c>
      <c r="M6226" s="371"/>
      <c r="N6226" s="355" t="s">
        <v>2408</v>
      </c>
      <c r="O6226" s="345"/>
      <c r="P6226" s="325"/>
      <c r="Q6226" s="327"/>
      <c r="R6226" s="351"/>
      <c r="S6226" s="351"/>
      <c r="T6226" s="351"/>
      <c r="U6226" s="329" t="str">
        <f>IF($N6226=$N$4,IFERROR(INDEX(DanhMuc!$E$154:$E$165,MATCH(MID($B6226,4,2),DanhMuc!$B$154:$B$165,0)),""),"")</f>
        <v/>
      </c>
      <c r="V6226" s="361"/>
      <c r="W6226" s="345"/>
      <c r="X6226" s="786"/>
      <c r="Y6226" s="1128" t="s">
        <v>3380</v>
      </c>
      <c r="Z6226" s="1128" t="s">
        <v>3381</v>
      </c>
      <c r="AA6226" s="1128" t="s">
        <v>3384</v>
      </c>
      <c r="AB6226" s="20"/>
      <c r="AC6226" s="73"/>
    </row>
    <row r="6227" spans="1:29" ht="37.5">
      <c r="A6227" s="327" t="str">
        <f>IF(AND($B6227&lt;&gt;"",$C6227&lt;&gt;""),MAX($A$4730:$A6226)+1,"")</f>
        <v/>
      </c>
      <c r="B6227" s="361" t="s">
        <v>1518</v>
      </c>
      <c r="C6227" s="362"/>
      <c r="D6227" s="327">
        <f>IF($B6227="","",COUNTIF($B$4731:$B6227,$B6227))</f>
        <v>7</v>
      </c>
      <c r="E6227" s="362" t="s">
        <v>2756</v>
      </c>
      <c r="F6227" s="362" t="s">
        <v>2757</v>
      </c>
      <c r="G6227" s="327" t="s">
        <v>405</v>
      </c>
      <c r="H6227" s="361" t="s">
        <v>536</v>
      </c>
      <c r="I6227" s="361" t="s">
        <v>693</v>
      </c>
      <c r="J6227" s="361"/>
      <c r="K6227" s="327" t="s">
        <v>223</v>
      </c>
      <c r="L6227" s="479">
        <v>322</v>
      </c>
      <c r="M6227" s="371"/>
      <c r="N6227" s="355" t="s">
        <v>2408</v>
      </c>
      <c r="O6227" s="345"/>
      <c r="P6227" s="325"/>
      <c r="Q6227" s="327"/>
      <c r="R6227" s="351"/>
      <c r="S6227" s="351"/>
      <c r="T6227" s="351"/>
      <c r="U6227" s="329" t="str">
        <f>IF($N6227=$N$4,IFERROR(INDEX(DanhMuc!$E$154:$E$165,MATCH(MID($B6227,4,2),DanhMuc!$B$154:$B$165,0)),""),"")</f>
        <v/>
      </c>
      <c r="V6227" s="361"/>
      <c r="W6227" s="345"/>
      <c r="X6227" s="786"/>
      <c r="Y6227" s="1128" t="s">
        <v>3380</v>
      </c>
      <c r="Z6227" s="1128" t="s">
        <v>3381</v>
      </c>
      <c r="AA6227" s="1128" t="s">
        <v>3384</v>
      </c>
      <c r="AB6227" s="20"/>
      <c r="AC6227" s="73"/>
    </row>
    <row r="6228" spans="1:29">
      <c r="A6228" s="327" t="str">
        <f>IF(AND($B6228&lt;&gt;"",$C6228&lt;&gt;""),MAX($A$4730:$A6227)+1,"")</f>
        <v/>
      </c>
      <c r="B6228" s="361" t="s">
        <v>1518</v>
      </c>
      <c r="C6228" s="362"/>
      <c r="D6228" s="327">
        <f>IF($B6228="","",COUNTIF($B$4731:$B6228,$B6228))</f>
        <v>8</v>
      </c>
      <c r="E6228" s="361" t="s">
        <v>656</v>
      </c>
      <c r="F6228" s="362" t="s">
        <v>2239</v>
      </c>
      <c r="G6228" s="327" t="s">
        <v>405</v>
      </c>
      <c r="H6228" s="361" t="s">
        <v>536</v>
      </c>
      <c r="I6228" s="361" t="s">
        <v>1827</v>
      </c>
      <c r="J6228" s="361"/>
      <c r="K6228" s="327" t="s">
        <v>100</v>
      </c>
      <c r="L6228" s="478">
        <v>970</v>
      </c>
      <c r="M6228" s="371"/>
      <c r="N6228" s="355" t="s">
        <v>2409</v>
      </c>
      <c r="O6228" s="345"/>
      <c r="P6228" s="325"/>
      <c r="Q6228" s="327"/>
      <c r="R6228" s="351"/>
      <c r="S6228" s="351"/>
      <c r="T6228" s="351"/>
      <c r="U6228" s="329" t="str">
        <f>IF($N6228=$N$4,IFERROR(INDEX(DanhMuc!$E$154:$E$165,MATCH(MID($B6228,4,2),DanhMuc!$B$154:$B$165,0)),""),"")</f>
        <v/>
      </c>
      <c r="V6228" s="361"/>
      <c r="W6228" s="345"/>
      <c r="X6228" s="786"/>
      <c r="Y6228" s="1128" t="s">
        <v>3380</v>
      </c>
      <c r="Z6228" s="1128" t="s">
        <v>3381</v>
      </c>
      <c r="AA6228" s="1128" t="s">
        <v>3384</v>
      </c>
      <c r="AB6228" s="20"/>
      <c r="AC6228" s="73"/>
    </row>
    <row r="6229" spans="1:29">
      <c r="A6229" s="327" t="str">
        <f>IF(AND($B6229&lt;&gt;"",$C6229&lt;&gt;""),MAX($A$4730:$A6228)+1,"")</f>
        <v/>
      </c>
      <c r="B6229" s="361" t="s">
        <v>1518</v>
      </c>
      <c r="C6229" s="362"/>
      <c r="D6229" s="327">
        <f>IF($B6229="","",COUNTIF($B$4731:$B6229,$B6229))</f>
        <v>9</v>
      </c>
      <c r="E6229" s="361" t="s">
        <v>657</v>
      </c>
      <c r="F6229" s="362" t="s">
        <v>658</v>
      </c>
      <c r="G6229" s="327" t="s">
        <v>424</v>
      </c>
      <c r="H6229" s="361" t="s">
        <v>536</v>
      </c>
      <c r="I6229" s="361" t="s">
        <v>665</v>
      </c>
      <c r="J6229" s="361"/>
      <c r="K6229" s="327" t="s">
        <v>100</v>
      </c>
      <c r="L6229" s="478">
        <v>60000</v>
      </c>
      <c r="M6229" s="355"/>
      <c r="N6229" s="355" t="s">
        <v>2409</v>
      </c>
      <c r="O6229" s="345"/>
      <c r="P6229" s="325"/>
      <c r="Q6229" s="327"/>
      <c r="R6229" s="351"/>
      <c r="S6229" s="351"/>
      <c r="T6229" s="351"/>
      <c r="U6229" s="329" t="str">
        <f>IF($N6229=$N$4,IFERROR(INDEX(DanhMuc!$E$154:$E$165,MATCH(MID($B6229,4,2),DanhMuc!$B$154:$B$165,0)),""),"")</f>
        <v/>
      </c>
      <c r="V6229" s="361"/>
      <c r="W6229" s="345"/>
      <c r="X6229" s="786"/>
      <c r="Y6229" s="1128" t="s">
        <v>3380</v>
      </c>
      <c r="Z6229" s="1128" t="s">
        <v>3381</v>
      </c>
      <c r="AA6229" s="1128" t="s">
        <v>3384</v>
      </c>
      <c r="AB6229" s="20"/>
      <c r="AC6229" s="73"/>
    </row>
    <row r="6230" spans="1:29">
      <c r="A6230" s="327" t="str">
        <f>IF(AND($B6230&lt;&gt;"",$C6230&lt;&gt;""),MAX($A$4730:$A6229)+1,"")</f>
        <v/>
      </c>
      <c r="B6230" s="361" t="s">
        <v>1518</v>
      </c>
      <c r="C6230" s="362"/>
      <c r="D6230" s="327">
        <f>IF($B6230="","",COUNTIF($B$4731:$B6230,$B6230))</f>
        <v>10</v>
      </c>
      <c r="E6230" s="361" t="s">
        <v>2771</v>
      </c>
      <c r="F6230" s="362" t="s">
        <v>659</v>
      </c>
      <c r="G6230" s="327" t="s">
        <v>424</v>
      </c>
      <c r="H6230" s="361" t="s">
        <v>536</v>
      </c>
      <c r="I6230" s="361" t="s">
        <v>666</v>
      </c>
      <c r="J6230" s="361"/>
      <c r="K6230" s="327" t="s">
        <v>100</v>
      </c>
      <c r="L6230" s="389">
        <v>53000</v>
      </c>
      <c r="M6230" s="355"/>
      <c r="N6230" s="355" t="s">
        <v>2409</v>
      </c>
      <c r="O6230" s="345"/>
      <c r="P6230" s="325"/>
      <c r="Q6230" s="327"/>
      <c r="R6230" s="351"/>
      <c r="S6230" s="351"/>
      <c r="T6230" s="351"/>
      <c r="U6230" s="329" t="str">
        <f>IF($N6230=$N$4,IFERROR(INDEX(DanhMuc!$E$154:$E$165,MATCH(MID($B6230,4,2),DanhMuc!$B$154:$B$165,0)),""),"")</f>
        <v/>
      </c>
      <c r="V6230" s="361"/>
      <c r="W6230" s="345"/>
      <c r="X6230" s="786"/>
      <c r="Y6230" s="1128" t="s">
        <v>3380</v>
      </c>
      <c r="Z6230" s="1128" t="s">
        <v>3381</v>
      </c>
      <c r="AA6230" s="1128" t="s">
        <v>3384</v>
      </c>
      <c r="AB6230" s="20"/>
      <c r="AC6230" s="73"/>
    </row>
    <row r="6231" spans="1:29">
      <c r="A6231" s="327" t="str">
        <f>IF(AND($B6231&lt;&gt;"",$C6231&lt;&gt;""),MAX($A$4730:$A6230)+1,"")</f>
        <v/>
      </c>
      <c r="B6231" s="361" t="s">
        <v>1518</v>
      </c>
      <c r="C6231" s="362"/>
      <c r="D6231" s="327">
        <f>IF($B6231="","",COUNTIF($B$4731:$B6231,$B6231))</f>
        <v>11</v>
      </c>
      <c r="E6231" s="361" t="s">
        <v>1828</v>
      </c>
      <c r="F6231" s="362" t="s">
        <v>671</v>
      </c>
      <c r="G6231" s="327" t="s">
        <v>661</v>
      </c>
      <c r="H6231" s="361" t="s">
        <v>536</v>
      </c>
      <c r="I6231" s="361" t="s">
        <v>2355</v>
      </c>
      <c r="J6231" s="361"/>
      <c r="K6231" s="327" t="s">
        <v>100</v>
      </c>
      <c r="L6231" s="478">
        <f>40000/1000</f>
        <v>40</v>
      </c>
      <c r="M6231" s="355"/>
      <c r="N6231" s="355" t="s">
        <v>2409</v>
      </c>
      <c r="O6231" s="345"/>
      <c r="P6231" s="325"/>
      <c r="Q6231" s="327"/>
      <c r="R6231" s="351"/>
      <c r="S6231" s="351"/>
      <c r="T6231" s="351"/>
      <c r="U6231" s="329" t="str">
        <f>IF($N6231=$N$4,IFERROR(INDEX(DanhMuc!$E$154:$E$165,MATCH(MID($B6231,4,2),DanhMuc!$B$154:$B$165,0)),""),"")</f>
        <v/>
      </c>
      <c r="V6231" s="361"/>
      <c r="W6231" s="345"/>
      <c r="X6231" s="786"/>
      <c r="Y6231" s="1128" t="s">
        <v>3380</v>
      </c>
      <c r="Z6231" s="1128" t="s">
        <v>3381</v>
      </c>
      <c r="AA6231" s="1128" t="s">
        <v>3384</v>
      </c>
      <c r="AB6231" s="20"/>
      <c r="AC6231" s="73"/>
    </row>
    <row r="6232" spans="1:29">
      <c r="A6232" s="327" t="str">
        <f>IF(AND($B6232&lt;&gt;"",$C6232&lt;&gt;""),MAX($A$4730:$A6231)+1,"")</f>
        <v/>
      </c>
      <c r="B6232" s="361" t="s">
        <v>1518</v>
      </c>
      <c r="C6232" s="362"/>
      <c r="D6232" s="327">
        <f>IF($B6232="","",COUNTIF($B$4731:$B6232,$B6232))</f>
        <v>12</v>
      </c>
      <c r="E6232" s="361" t="s">
        <v>154</v>
      </c>
      <c r="F6232" s="362" t="s">
        <v>660</v>
      </c>
      <c r="G6232" s="327" t="s">
        <v>661</v>
      </c>
      <c r="H6232" s="361" t="s">
        <v>536</v>
      </c>
      <c r="I6232" s="361" t="s">
        <v>667</v>
      </c>
      <c r="J6232" s="361"/>
      <c r="K6232" s="327" t="s">
        <v>662</v>
      </c>
      <c r="L6232" s="478">
        <v>20</v>
      </c>
      <c r="M6232" s="355"/>
      <c r="N6232" s="355" t="s">
        <v>2409</v>
      </c>
      <c r="O6232" s="345"/>
      <c r="P6232" s="325"/>
      <c r="Q6232" s="327"/>
      <c r="R6232" s="351"/>
      <c r="S6232" s="351"/>
      <c r="T6232" s="351"/>
      <c r="U6232" s="329" t="str">
        <f>IF($N6232=$N$4,IFERROR(INDEX(DanhMuc!$E$154:$E$165,MATCH(MID($B6232,4,2),DanhMuc!$B$154:$B$165,0)),""),"")</f>
        <v/>
      </c>
      <c r="V6232" s="361"/>
      <c r="W6232" s="345"/>
      <c r="X6232" s="786"/>
      <c r="Y6232" s="1128" t="s">
        <v>3380</v>
      </c>
      <c r="Z6232" s="1128" t="s">
        <v>3381</v>
      </c>
      <c r="AA6232" s="1128" t="s">
        <v>3384</v>
      </c>
      <c r="AB6232" s="20"/>
      <c r="AC6232" s="73"/>
    </row>
    <row r="6233" spans="1:29">
      <c r="A6233" s="327" t="str">
        <f>IF(AND($B6233&lt;&gt;"",$C6233&lt;&gt;""),MAX($A$4730:$A6232)+1,"")</f>
        <v/>
      </c>
      <c r="B6233" s="361" t="s">
        <v>1518</v>
      </c>
      <c r="C6233" s="362"/>
      <c r="D6233" s="327">
        <f>IF($B6233="","",COUNTIF($B$4731:$B6233,$B6233))</f>
        <v>13</v>
      </c>
      <c r="E6233" s="362" t="s">
        <v>2282</v>
      </c>
      <c r="F6233" s="362" t="s">
        <v>2283</v>
      </c>
      <c r="G6233" s="327" t="s">
        <v>424</v>
      </c>
      <c r="H6233" s="361" t="s">
        <v>536</v>
      </c>
      <c r="I6233" s="361" t="s">
        <v>2238</v>
      </c>
      <c r="J6233" s="361"/>
      <c r="K6233" s="327" t="s">
        <v>662</v>
      </c>
      <c r="L6233" s="478">
        <v>28000</v>
      </c>
      <c r="M6233" s="355"/>
      <c r="N6233" s="355" t="s">
        <v>2409</v>
      </c>
      <c r="O6233" s="345"/>
      <c r="P6233" s="325"/>
      <c r="Q6233" s="327"/>
      <c r="R6233" s="351"/>
      <c r="S6233" s="351"/>
      <c r="T6233" s="351"/>
      <c r="U6233" s="329" t="str">
        <f>IF($N6233=$N$4,IFERROR(INDEX(DanhMuc!$E$154:$E$165,MATCH(MID($B6233,4,2),DanhMuc!$B$154:$B$165,0)),""),"")</f>
        <v/>
      </c>
      <c r="V6233" s="361"/>
      <c r="W6233" s="345"/>
      <c r="X6233" s="786"/>
      <c r="Y6233" s="1128" t="s">
        <v>3380</v>
      </c>
      <c r="Z6233" s="1128" t="s">
        <v>3381</v>
      </c>
      <c r="AA6233" s="1128" t="s">
        <v>3384</v>
      </c>
      <c r="AB6233" s="20"/>
      <c r="AC6233" s="73"/>
    </row>
    <row r="6234" spans="1:29">
      <c r="A6234" s="327" t="str">
        <f>IF(AND($B6234&lt;&gt;"",$C6234&lt;&gt;""),MAX($A$4730:$A6233)+1,"")</f>
        <v/>
      </c>
      <c r="B6234" s="361" t="s">
        <v>1518</v>
      </c>
      <c r="C6234" s="362"/>
      <c r="D6234" s="327">
        <f>IF($B6234="","",COUNTIF($B$4731:$B6234,$B6234))</f>
        <v>14</v>
      </c>
      <c r="E6234" s="362" t="s">
        <v>663</v>
      </c>
      <c r="F6234" s="362" t="s">
        <v>664</v>
      </c>
      <c r="G6234" s="327" t="s">
        <v>155</v>
      </c>
      <c r="H6234" s="361" t="s">
        <v>536</v>
      </c>
      <c r="I6234" s="361" t="s">
        <v>672</v>
      </c>
      <c r="J6234" s="361"/>
      <c r="K6234" s="327" t="s">
        <v>662</v>
      </c>
      <c r="L6234" s="478">
        <v>1000</v>
      </c>
      <c r="M6234" s="355"/>
      <c r="N6234" s="355" t="s">
        <v>2409</v>
      </c>
      <c r="O6234" s="345"/>
      <c r="P6234" s="325"/>
      <c r="Q6234" s="327"/>
      <c r="R6234" s="351"/>
      <c r="S6234" s="351"/>
      <c r="T6234" s="351"/>
      <c r="U6234" s="329" t="str">
        <f>IF($N6234=$N$4,IFERROR(INDEX(DanhMuc!$E$154:$E$165,MATCH(MID($B6234,4,2),DanhMuc!$B$154:$B$165,0)),""),"")</f>
        <v/>
      </c>
      <c r="V6234" s="361"/>
      <c r="W6234" s="345"/>
      <c r="X6234" s="786"/>
      <c r="Y6234" s="1128" t="s">
        <v>3380</v>
      </c>
      <c r="Z6234" s="1128" t="s">
        <v>3381</v>
      </c>
      <c r="AA6234" s="1128" t="s">
        <v>3384</v>
      </c>
      <c r="AB6234" s="20"/>
      <c r="AC6234" s="73"/>
    </row>
    <row r="6235" spans="1:29" ht="39">
      <c r="A6235" s="327">
        <f>IF(AND($B6235&lt;&gt;"",$C6235&lt;&gt;""),MAX($A$4730:$A6234)+1,"")</f>
        <v>74</v>
      </c>
      <c r="B6235" s="359" t="s">
        <v>1636</v>
      </c>
      <c r="C6235" s="370" t="s">
        <v>1635</v>
      </c>
      <c r="D6235" s="327">
        <f>IF($B6235="","",COUNTIF($B$4731:$B6235,$B6235))</f>
        <v>1</v>
      </c>
      <c r="E6235" s="361">
        <v>1124</v>
      </c>
      <c r="F6235" s="362" t="s">
        <v>2327</v>
      </c>
      <c r="G6235" s="327" t="s">
        <v>155</v>
      </c>
      <c r="H6235" s="361" t="s">
        <v>536</v>
      </c>
      <c r="I6235" s="327">
        <v>2</v>
      </c>
      <c r="J6235" s="361"/>
      <c r="K6235" s="327" t="s">
        <v>100</v>
      </c>
      <c r="L6235" s="710" t="s">
        <v>2286</v>
      </c>
      <c r="M6235" s="355"/>
      <c r="N6235" s="355" t="s">
        <v>2408</v>
      </c>
      <c r="O6235" s="345"/>
      <c r="P6235" s="325"/>
      <c r="Q6235" s="327"/>
      <c r="R6235" s="351">
        <v>3</v>
      </c>
      <c r="S6235" s="351">
        <v>6</v>
      </c>
      <c r="T6235" s="351"/>
      <c r="U6235" s="329" t="str">
        <f>IF($N6235=$N$4,IFERROR(INDEX(DanhMuc!$E$154:$E$165,MATCH(MID($B6235,4,2),DanhMuc!$B$154:$B$165,0)),""),"")</f>
        <v/>
      </c>
      <c r="V6235" s="361"/>
      <c r="W6235" s="345"/>
      <c r="X6235" s="786"/>
      <c r="Y6235" s="1128" t="s">
        <v>3380</v>
      </c>
      <c r="Z6235" s="1128" t="s">
        <v>3381</v>
      </c>
      <c r="AA6235" s="1128" t="s">
        <v>3384</v>
      </c>
      <c r="AB6235" s="20"/>
      <c r="AC6235" s="73"/>
    </row>
    <row r="6236" spans="1:29">
      <c r="A6236" s="327" t="str">
        <f>IF(AND($B6236&lt;&gt;"",$C6236&lt;&gt;""),MAX($A$4730:$A6235)+1,"")</f>
        <v/>
      </c>
      <c r="B6236" s="361" t="s">
        <v>1636</v>
      </c>
      <c r="C6236" s="362"/>
      <c r="D6236" s="327">
        <f>IF($B6236="","",COUNTIF($B$4731:$B6236,$B6236))</f>
        <v>2</v>
      </c>
      <c r="E6236" s="605">
        <v>1125</v>
      </c>
      <c r="F6236" s="362" t="s">
        <v>2328</v>
      </c>
      <c r="G6236" s="327" t="s">
        <v>155</v>
      </c>
      <c r="H6236" s="361" t="s">
        <v>536</v>
      </c>
      <c r="I6236" s="327">
        <v>8</v>
      </c>
      <c r="J6236" s="361"/>
      <c r="K6236" s="327" t="s">
        <v>101</v>
      </c>
      <c r="L6236" s="710" t="s">
        <v>2286</v>
      </c>
      <c r="M6236" s="355"/>
      <c r="N6236" s="355" t="s">
        <v>2408</v>
      </c>
      <c r="O6236" s="345"/>
      <c r="P6236" s="325"/>
      <c r="Q6236" s="327"/>
      <c r="R6236" s="351">
        <v>3</v>
      </c>
      <c r="S6236" s="351">
        <v>6</v>
      </c>
      <c r="T6236" s="351"/>
      <c r="U6236" s="329" t="str">
        <f>IF($N6236=$N$4,IFERROR(INDEX(DanhMuc!$E$154:$E$165,MATCH(MID($B6236,4,2),DanhMuc!$B$154:$B$165,0)),""),"")</f>
        <v/>
      </c>
      <c r="V6236" s="361"/>
      <c r="W6236" s="345"/>
      <c r="X6236" s="786"/>
      <c r="Y6236" s="1128" t="s">
        <v>3380</v>
      </c>
      <c r="Z6236" s="1128" t="s">
        <v>3381</v>
      </c>
      <c r="AA6236" s="1128" t="s">
        <v>3384</v>
      </c>
      <c r="AB6236" s="20"/>
      <c r="AC6236" s="73"/>
    </row>
    <row r="6237" spans="1:29">
      <c r="A6237" s="327" t="str">
        <f>IF(AND($B6237&lt;&gt;"",$C6237&lt;&gt;""),MAX($A$4730:$A6236)+1,"")</f>
        <v/>
      </c>
      <c r="B6237" s="361" t="s">
        <v>1636</v>
      </c>
      <c r="C6237" s="362"/>
      <c r="D6237" s="327">
        <f>IF($B6237="","",COUNTIF($B$4731:$B6237,$B6237))</f>
        <v>3</v>
      </c>
      <c r="E6237" s="361" t="s">
        <v>1671</v>
      </c>
      <c r="F6237" s="362" t="s">
        <v>2329</v>
      </c>
      <c r="G6237" s="327" t="s">
        <v>155</v>
      </c>
      <c r="H6237" s="361" t="s">
        <v>536</v>
      </c>
      <c r="I6237" s="327">
        <f>+I6235+I6236*2</f>
        <v>18</v>
      </c>
      <c r="J6237" s="361"/>
      <c r="K6237" s="327" t="s">
        <v>415</v>
      </c>
      <c r="L6237" s="389">
        <v>2000</v>
      </c>
      <c r="M6237" s="355"/>
      <c r="N6237" s="355" t="s">
        <v>2408</v>
      </c>
      <c r="O6237" s="345"/>
      <c r="P6237" s="325"/>
      <c r="Q6237" s="327"/>
      <c r="R6237" s="351"/>
      <c r="S6237" s="351"/>
      <c r="T6237" s="351"/>
      <c r="U6237" s="329" t="str">
        <f>IF($N6237=$N$4,IFERROR(INDEX(DanhMuc!$E$154:$E$165,MATCH(MID($B6237,4,2),DanhMuc!$B$154:$B$165,0)),""),"")</f>
        <v/>
      </c>
      <c r="V6237" s="361"/>
      <c r="W6237" s="345"/>
      <c r="X6237" s="786"/>
      <c r="Y6237" s="1128" t="s">
        <v>3380</v>
      </c>
      <c r="Z6237" s="1128" t="s">
        <v>3381</v>
      </c>
      <c r="AA6237" s="1128" t="s">
        <v>3384</v>
      </c>
      <c r="AB6237" s="20"/>
      <c r="AC6237" s="73"/>
    </row>
    <row r="6238" spans="1:29">
      <c r="A6238" s="327" t="str">
        <f>IF(AND($B6238&lt;&gt;"",$C6238&lt;&gt;""),MAX($A$4730:$A6237)+1,"")</f>
        <v/>
      </c>
      <c r="B6238" s="361" t="s">
        <v>1636</v>
      </c>
      <c r="C6238" s="362"/>
      <c r="D6238" s="327">
        <f>IF($B6238="","",COUNTIF($B$4731:$B6238,$B6238))</f>
        <v>4</v>
      </c>
      <c r="E6238" s="361" t="s">
        <v>654</v>
      </c>
      <c r="F6238" s="362" t="s">
        <v>653</v>
      </c>
      <c r="G6238" s="327" t="s">
        <v>1836</v>
      </c>
      <c r="H6238" s="361" t="s">
        <v>536</v>
      </c>
      <c r="I6238" s="327">
        <f>ROUND(SUM(I6235:I6236)/45,2)</f>
        <v>0.22</v>
      </c>
      <c r="J6238" s="477"/>
      <c r="K6238" s="327" t="s">
        <v>655</v>
      </c>
      <c r="L6238" s="478">
        <v>115000</v>
      </c>
      <c r="M6238" s="355"/>
      <c r="N6238" s="355" t="s">
        <v>2408</v>
      </c>
      <c r="O6238" s="345"/>
      <c r="P6238" s="325"/>
      <c r="Q6238" s="327"/>
      <c r="R6238" s="351"/>
      <c r="S6238" s="351"/>
      <c r="T6238" s="351"/>
      <c r="U6238" s="329" t="str">
        <f>IF($N6238=$N$4,IFERROR(INDEX(DanhMuc!$E$154:$E$165,MATCH(MID($B6238,4,2),DanhMuc!$B$154:$B$165,0)),""),"")</f>
        <v/>
      </c>
      <c r="V6238" s="361"/>
      <c r="W6238" s="345"/>
      <c r="X6238" s="786"/>
      <c r="Y6238" s="1128" t="s">
        <v>3380</v>
      </c>
      <c r="Z6238" s="1128" t="s">
        <v>3381</v>
      </c>
      <c r="AA6238" s="1128" t="s">
        <v>3384</v>
      </c>
      <c r="AB6238" s="20"/>
      <c r="AC6238" s="73"/>
    </row>
    <row r="6239" spans="1:29">
      <c r="A6239" s="327" t="str">
        <f>IF(AND($B6239&lt;&gt;"",$C6239&lt;&gt;""),MAX($A$4730:$A6238)+1,"")</f>
        <v/>
      </c>
      <c r="B6239" s="361" t="s">
        <v>1636</v>
      </c>
      <c r="C6239" s="360"/>
      <c r="D6239" s="327">
        <f>IF($B6239="","",COUNTIF($B$4731:$B6239,$B6239))</f>
        <v>5</v>
      </c>
      <c r="E6239" s="361" t="s">
        <v>1826</v>
      </c>
      <c r="F6239" s="362" t="s">
        <v>670</v>
      </c>
      <c r="G6239" s="327" t="s">
        <v>661</v>
      </c>
      <c r="H6239" s="361" t="s">
        <v>536</v>
      </c>
      <c r="I6239" s="361" t="s">
        <v>2354</v>
      </c>
      <c r="J6239" s="361"/>
      <c r="K6239" s="327" t="s">
        <v>103</v>
      </c>
      <c r="L6239" s="478">
        <f>40000/1000</f>
        <v>40</v>
      </c>
      <c r="M6239" s="355"/>
      <c r="N6239" s="355" t="s">
        <v>2408</v>
      </c>
      <c r="O6239" s="345"/>
      <c r="P6239" s="325"/>
      <c r="Q6239" s="327"/>
      <c r="R6239" s="351"/>
      <c r="S6239" s="351"/>
      <c r="T6239" s="351"/>
      <c r="U6239" s="329" t="str">
        <f>IF($N6239=$N$4,IFERROR(INDEX(DanhMuc!$E$154:$E$165,MATCH(MID($B6239,4,2),DanhMuc!$B$154:$B$165,0)),""),"")</f>
        <v/>
      </c>
      <c r="V6239" s="361"/>
      <c r="W6239" s="345"/>
      <c r="X6239" s="786"/>
      <c r="Y6239" s="1128" t="s">
        <v>3380</v>
      </c>
      <c r="Z6239" s="1128" t="s">
        <v>3381</v>
      </c>
      <c r="AA6239" s="1128" t="s">
        <v>3384</v>
      </c>
      <c r="AB6239" s="20"/>
      <c r="AC6239" s="73"/>
    </row>
    <row r="6240" spans="1:29" ht="37.5">
      <c r="A6240" s="327" t="str">
        <f>IF(AND($B6240&lt;&gt;"",$C6240&lt;&gt;""),MAX($A$4730:$A6239)+1,"")</f>
        <v/>
      </c>
      <c r="B6240" s="361" t="s">
        <v>1636</v>
      </c>
      <c r="C6240" s="362"/>
      <c r="D6240" s="327">
        <f>IF($B6240="","",COUNTIF($B$4731:$B6240,$B6240))</f>
        <v>6</v>
      </c>
      <c r="E6240" s="362" t="s">
        <v>1964</v>
      </c>
      <c r="F6240" s="362" t="s">
        <v>1965</v>
      </c>
      <c r="G6240" s="327" t="s">
        <v>405</v>
      </c>
      <c r="H6240" s="361" t="s">
        <v>536</v>
      </c>
      <c r="I6240" s="361" t="s">
        <v>693</v>
      </c>
      <c r="J6240" s="361"/>
      <c r="K6240" s="327" t="s">
        <v>223</v>
      </c>
      <c r="L6240" s="478">
        <v>140</v>
      </c>
      <c r="M6240" s="371"/>
      <c r="N6240" s="355" t="s">
        <v>2408</v>
      </c>
      <c r="O6240" s="345"/>
      <c r="P6240" s="325"/>
      <c r="Q6240" s="327"/>
      <c r="R6240" s="351"/>
      <c r="S6240" s="351"/>
      <c r="T6240" s="351"/>
      <c r="U6240" s="329" t="str">
        <f>IF($N6240=$N$4,IFERROR(INDEX(DanhMuc!$E$154:$E$165,MATCH(MID($B6240,4,2),DanhMuc!$B$154:$B$165,0)),""),"")</f>
        <v/>
      </c>
      <c r="V6240" s="361"/>
      <c r="W6240" s="345"/>
      <c r="X6240" s="786"/>
      <c r="Y6240" s="1128" t="s">
        <v>3380</v>
      </c>
      <c r="Z6240" s="1128" t="s">
        <v>3381</v>
      </c>
      <c r="AA6240" s="1128" t="s">
        <v>3384</v>
      </c>
      <c r="AB6240" s="20"/>
      <c r="AC6240" s="73"/>
    </row>
    <row r="6241" spans="1:29" ht="37.5">
      <c r="A6241" s="327" t="str">
        <f>IF(AND($B6241&lt;&gt;"",$C6241&lt;&gt;""),MAX($A$4730:$A6240)+1,"")</f>
        <v/>
      </c>
      <c r="B6241" s="361" t="s">
        <v>1636</v>
      </c>
      <c r="C6241" s="362"/>
      <c r="D6241" s="327">
        <f>IF($B6241="","",COUNTIF($B$4731:$B6241,$B6241))</f>
        <v>7</v>
      </c>
      <c r="E6241" s="362" t="s">
        <v>2756</v>
      </c>
      <c r="F6241" s="362" t="s">
        <v>2757</v>
      </c>
      <c r="G6241" s="327" t="s">
        <v>405</v>
      </c>
      <c r="H6241" s="361" t="s">
        <v>536</v>
      </c>
      <c r="I6241" s="361" t="s">
        <v>693</v>
      </c>
      <c r="J6241" s="361"/>
      <c r="K6241" s="327" t="s">
        <v>223</v>
      </c>
      <c r="L6241" s="479">
        <v>322</v>
      </c>
      <c r="M6241" s="371"/>
      <c r="N6241" s="355" t="s">
        <v>2408</v>
      </c>
      <c r="O6241" s="345"/>
      <c r="P6241" s="325"/>
      <c r="Q6241" s="327"/>
      <c r="R6241" s="351"/>
      <c r="S6241" s="351"/>
      <c r="T6241" s="351"/>
      <c r="U6241" s="329" t="str">
        <f>IF($N6241=$N$4,IFERROR(INDEX(DanhMuc!$E$154:$E$165,MATCH(MID($B6241,4,2),DanhMuc!$B$154:$B$165,0)),""),"")</f>
        <v/>
      </c>
      <c r="V6241" s="361"/>
      <c r="W6241" s="345"/>
      <c r="X6241" s="786"/>
      <c r="Y6241" s="1128" t="s">
        <v>3380</v>
      </c>
      <c r="Z6241" s="1128" t="s">
        <v>3381</v>
      </c>
      <c r="AA6241" s="1128" t="s">
        <v>3384</v>
      </c>
      <c r="AB6241" s="20"/>
      <c r="AC6241" s="73"/>
    </row>
    <row r="6242" spans="1:29">
      <c r="A6242" s="327" t="str">
        <f>IF(AND($B6242&lt;&gt;"",$C6242&lt;&gt;""),MAX($A$4730:$A6241)+1,"")</f>
        <v/>
      </c>
      <c r="B6242" s="361" t="s">
        <v>1636</v>
      </c>
      <c r="C6242" s="362"/>
      <c r="D6242" s="327">
        <f>IF($B6242="","",COUNTIF($B$4731:$B6242,$B6242))</f>
        <v>8</v>
      </c>
      <c r="E6242" s="361" t="s">
        <v>656</v>
      </c>
      <c r="F6242" s="362" t="s">
        <v>2239</v>
      </c>
      <c r="G6242" s="327" t="s">
        <v>405</v>
      </c>
      <c r="H6242" s="361" t="s">
        <v>536</v>
      </c>
      <c r="I6242" s="361" t="s">
        <v>1827</v>
      </c>
      <c r="J6242" s="361"/>
      <c r="K6242" s="327" t="s">
        <v>100</v>
      </c>
      <c r="L6242" s="478">
        <v>970</v>
      </c>
      <c r="M6242" s="371"/>
      <c r="N6242" s="355" t="s">
        <v>2409</v>
      </c>
      <c r="O6242" s="345"/>
      <c r="P6242" s="325"/>
      <c r="Q6242" s="327"/>
      <c r="R6242" s="351"/>
      <c r="S6242" s="351"/>
      <c r="T6242" s="351"/>
      <c r="U6242" s="329" t="str">
        <f>IF($N6242=$N$4,IFERROR(INDEX(DanhMuc!$E$154:$E$165,MATCH(MID($B6242,4,2),DanhMuc!$B$154:$B$165,0)),""),"")</f>
        <v/>
      </c>
      <c r="V6242" s="361"/>
      <c r="W6242" s="345"/>
      <c r="X6242" s="786"/>
      <c r="Y6242" s="1128" t="s">
        <v>3380</v>
      </c>
      <c r="Z6242" s="1128" t="s">
        <v>3381</v>
      </c>
      <c r="AA6242" s="1128" t="s">
        <v>3384</v>
      </c>
      <c r="AB6242" s="20"/>
      <c r="AC6242" s="73"/>
    </row>
    <row r="6243" spans="1:29">
      <c r="A6243" s="327" t="str">
        <f>IF(AND($B6243&lt;&gt;"",$C6243&lt;&gt;""),MAX($A$4730:$A6242)+1,"")</f>
        <v/>
      </c>
      <c r="B6243" s="361" t="s">
        <v>1636</v>
      </c>
      <c r="C6243" s="362"/>
      <c r="D6243" s="327">
        <f>IF($B6243="","",COUNTIF($B$4731:$B6243,$B6243))</f>
        <v>9</v>
      </c>
      <c r="E6243" s="361" t="s">
        <v>657</v>
      </c>
      <c r="F6243" s="362" t="s">
        <v>658</v>
      </c>
      <c r="G6243" s="327" t="s">
        <v>424</v>
      </c>
      <c r="H6243" s="361" t="s">
        <v>536</v>
      </c>
      <c r="I6243" s="361" t="s">
        <v>665</v>
      </c>
      <c r="J6243" s="361"/>
      <c r="K6243" s="327" t="s">
        <v>100</v>
      </c>
      <c r="L6243" s="478">
        <v>60000</v>
      </c>
      <c r="M6243" s="355"/>
      <c r="N6243" s="355" t="s">
        <v>2409</v>
      </c>
      <c r="O6243" s="345"/>
      <c r="P6243" s="325"/>
      <c r="Q6243" s="327"/>
      <c r="R6243" s="351"/>
      <c r="S6243" s="351"/>
      <c r="T6243" s="351"/>
      <c r="U6243" s="329" t="str">
        <f>IF($N6243=$N$4,IFERROR(INDEX(DanhMuc!$E$154:$E$165,MATCH(MID($B6243,4,2),DanhMuc!$B$154:$B$165,0)),""),"")</f>
        <v/>
      </c>
      <c r="V6243" s="361"/>
      <c r="W6243" s="345"/>
      <c r="X6243" s="786"/>
      <c r="Y6243" s="1128" t="s">
        <v>3380</v>
      </c>
      <c r="Z6243" s="1128" t="s">
        <v>3381</v>
      </c>
      <c r="AA6243" s="1128" t="s">
        <v>3384</v>
      </c>
      <c r="AB6243" s="20"/>
      <c r="AC6243" s="73"/>
    </row>
    <row r="6244" spans="1:29">
      <c r="A6244" s="327" t="str">
        <f>IF(AND($B6244&lt;&gt;"",$C6244&lt;&gt;""),MAX($A$4730:$A6243)+1,"")</f>
        <v/>
      </c>
      <c r="B6244" s="361" t="s">
        <v>1636</v>
      </c>
      <c r="C6244" s="362"/>
      <c r="D6244" s="327">
        <f>IF($B6244="","",COUNTIF($B$4731:$B6244,$B6244))</f>
        <v>10</v>
      </c>
      <c r="E6244" s="361" t="s">
        <v>2771</v>
      </c>
      <c r="F6244" s="362" t="s">
        <v>659</v>
      </c>
      <c r="G6244" s="327" t="s">
        <v>424</v>
      </c>
      <c r="H6244" s="361" t="s">
        <v>536</v>
      </c>
      <c r="I6244" s="361" t="s">
        <v>666</v>
      </c>
      <c r="J6244" s="361"/>
      <c r="K6244" s="327" t="s">
        <v>100</v>
      </c>
      <c r="L6244" s="389">
        <v>53000</v>
      </c>
      <c r="M6244" s="355"/>
      <c r="N6244" s="355" t="s">
        <v>2409</v>
      </c>
      <c r="O6244" s="345"/>
      <c r="P6244" s="325"/>
      <c r="Q6244" s="327"/>
      <c r="R6244" s="351"/>
      <c r="S6244" s="351"/>
      <c r="T6244" s="351"/>
      <c r="U6244" s="329" t="str">
        <f>IF($N6244=$N$4,IFERROR(INDEX(DanhMuc!$E$154:$E$165,MATCH(MID($B6244,4,2),DanhMuc!$B$154:$B$165,0)),""),"")</f>
        <v/>
      </c>
      <c r="V6244" s="361"/>
      <c r="W6244" s="345"/>
      <c r="X6244" s="786"/>
      <c r="Y6244" s="1128" t="s">
        <v>3380</v>
      </c>
      <c r="Z6244" s="1128" t="s">
        <v>3381</v>
      </c>
      <c r="AA6244" s="1128" t="s">
        <v>3384</v>
      </c>
      <c r="AB6244" s="20"/>
      <c r="AC6244" s="73"/>
    </row>
    <row r="6245" spans="1:29">
      <c r="A6245" s="327" t="str">
        <f>IF(AND($B6245&lt;&gt;"",$C6245&lt;&gt;""),MAX($A$4730:$A6244)+1,"")</f>
        <v/>
      </c>
      <c r="B6245" s="361" t="s">
        <v>1636</v>
      </c>
      <c r="C6245" s="362"/>
      <c r="D6245" s="327">
        <f>IF($B6245="","",COUNTIF($B$4731:$B6245,$B6245))</f>
        <v>11</v>
      </c>
      <c r="E6245" s="361" t="s">
        <v>1828</v>
      </c>
      <c r="F6245" s="362" t="s">
        <v>671</v>
      </c>
      <c r="G6245" s="327" t="s">
        <v>661</v>
      </c>
      <c r="H6245" s="361" t="s">
        <v>536</v>
      </c>
      <c r="I6245" s="361" t="s">
        <v>2355</v>
      </c>
      <c r="J6245" s="361"/>
      <c r="K6245" s="327" t="s">
        <v>100</v>
      </c>
      <c r="L6245" s="478">
        <f>40000/1000</f>
        <v>40</v>
      </c>
      <c r="M6245" s="355"/>
      <c r="N6245" s="355" t="s">
        <v>2409</v>
      </c>
      <c r="O6245" s="345"/>
      <c r="P6245" s="325"/>
      <c r="Q6245" s="327"/>
      <c r="R6245" s="351"/>
      <c r="S6245" s="351"/>
      <c r="T6245" s="351"/>
      <c r="U6245" s="329" t="str">
        <f>IF($N6245=$N$4,IFERROR(INDEX(DanhMuc!$E$154:$E$165,MATCH(MID($B6245,4,2),DanhMuc!$B$154:$B$165,0)),""),"")</f>
        <v/>
      </c>
      <c r="V6245" s="361"/>
      <c r="W6245" s="345"/>
      <c r="X6245" s="786"/>
      <c r="Y6245" s="1128" t="s">
        <v>3380</v>
      </c>
      <c r="Z6245" s="1128" t="s">
        <v>3381</v>
      </c>
      <c r="AA6245" s="1128" t="s">
        <v>3384</v>
      </c>
      <c r="AB6245" s="20"/>
      <c r="AC6245" s="73"/>
    </row>
    <row r="6246" spans="1:29">
      <c r="A6246" s="327" t="str">
        <f>IF(AND($B6246&lt;&gt;"",$C6246&lt;&gt;""),MAX($A$4730:$A6245)+1,"")</f>
        <v/>
      </c>
      <c r="B6246" s="361" t="s">
        <v>1636</v>
      </c>
      <c r="C6246" s="362"/>
      <c r="D6246" s="327">
        <f>IF($B6246="","",COUNTIF($B$4731:$B6246,$B6246))</f>
        <v>12</v>
      </c>
      <c r="E6246" s="361" t="s">
        <v>154</v>
      </c>
      <c r="F6246" s="362" t="s">
        <v>660</v>
      </c>
      <c r="G6246" s="327" t="s">
        <v>661</v>
      </c>
      <c r="H6246" s="361" t="s">
        <v>536</v>
      </c>
      <c r="I6246" s="361" t="s">
        <v>667</v>
      </c>
      <c r="J6246" s="361"/>
      <c r="K6246" s="327" t="s">
        <v>662</v>
      </c>
      <c r="L6246" s="478">
        <v>20</v>
      </c>
      <c r="M6246" s="355"/>
      <c r="N6246" s="355" t="s">
        <v>2409</v>
      </c>
      <c r="O6246" s="345"/>
      <c r="P6246" s="325"/>
      <c r="Q6246" s="327"/>
      <c r="R6246" s="351"/>
      <c r="S6246" s="351"/>
      <c r="T6246" s="351"/>
      <c r="U6246" s="329" t="str">
        <f>IF($N6246=$N$4,IFERROR(INDEX(DanhMuc!$E$154:$E$165,MATCH(MID($B6246,4,2),DanhMuc!$B$154:$B$165,0)),""),"")</f>
        <v/>
      </c>
      <c r="V6246" s="361"/>
      <c r="W6246" s="345"/>
      <c r="X6246" s="786"/>
      <c r="Y6246" s="1128" t="s">
        <v>3380</v>
      </c>
      <c r="Z6246" s="1128" t="s">
        <v>3381</v>
      </c>
      <c r="AA6246" s="1128" t="s">
        <v>3384</v>
      </c>
      <c r="AB6246" s="20"/>
      <c r="AC6246" s="73"/>
    </row>
    <row r="6247" spans="1:29">
      <c r="A6247" s="327" t="str">
        <f>IF(AND($B6247&lt;&gt;"",$C6247&lt;&gt;""),MAX($A$4730:$A6246)+1,"")</f>
        <v/>
      </c>
      <c r="B6247" s="361" t="s">
        <v>1636</v>
      </c>
      <c r="C6247" s="362"/>
      <c r="D6247" s="327">
        <f>IF($B6247="","",COUNTIF($B$4731:$B6247,$B6247))</f>
        <v>13</v>
      </c>
      <c r="E6247" s="362" t="s">
        <v>2282</v>
      </c>
      <c r="F6247" s="362" t="s">
        <v>2283</v>
      </c>
      <c r="G6247" s="327" t="s">
        <v>424</v>
      </c>
      <c r="H6247" s="361" t="s">
        <v>536</v>
      </c>
      <c r="I6247" s="361" t="s">
        <v>2238</v>
      </c>
      <c r="J6247" s="361"/>
      <c r="K6247" s="327" t="s">
        <v>662</v>
      </c>
      <c r="L6247" s="478">
        <v>28000</v>
      </c>
      <c r="M6247" s="355"/>
      <c r="N6247" s="355" t="s">
        <v>2409</v>
      </c>
      <c r="O6247" s="345"/>
      <c r="P6247" s="325"/>
      <c r="Q6247" s="327"/>
      <c r="R6247" s="351"/>
      <c r="S6247" s="351"/>
      <c r="T6247" s="351"/>
      <c r="U6247" s="329" t="str">
        <f>IF($N6247=$N$4,IFERROR(INDEX(DanhMuc!$E$154:$E$165,MATCH(MID($B6247,4,2),DanhMuc!$B$154:$B$165,0)),""),"")</f>
        <v/>
      </c>
      <c r="V6247" s="361"/>
      <c r="W6247" s="345"/>
      <c r="X6247" s="786"/>
      <c r="Y6247" s="1128" t="s">
        <v>3380</v>
      </c>
      <c r="Z6247" s="1128" t="s">
        <v>3381</v>
      </c>
      <c r="AA6247" s="1128" t="s">
        <v>3384</v>
      </c>
      <c r="AB6247" s="20"/>
      <c r="AC6247" s="73"/>
    </row>
    <row r="6248" spans="1:29">
      <c r="A6248" s="327" t="str">
        <f>IF(AND($B6248&lt;&gt;"",$C6248&lt;&gt;""),MAX($A$4730:$A6247)+1,"")</f>
        <v/>
      </c>
      <c r="B6248" s="361" t="s">
        <v>1636</v>
      </c>
      <c r="C6248" s="362"/>
      <c r="D6248" s="327">
        <f>IF($B6248="","",COUNTIF($B$4731:$B6248,$B6248))</f>
        <v>14</v>
      </c>
      <c r="E6248" s="362" t="s">
        <v>663</v>
      </c>
      <c r="F6248" s="362" t="s">
        <v>664</v>
      </c>
      <c r="G6248" s="327" t="s">
        <v>155</v>
      </c>
      <c r="H6248" s="361" t="s">
        <v>536</v>
      </c>
      <c r="I6248" s="361" t="s">
        <v>672</v>
      </c>
      <c r="J6248" s="361"/>
      <c r="K6248" s="327" t="s">
        <v>662</v>
      </c>
      <c r="L6248" s="478">
        <v>1000</v>
      </c>
      <c r="M6248" s="355"/>
      <c r="N6248" s="355" t="s">
        <v>2409</v>
      </c>
      <c r="O6248" s="345"/>
      <c r="P6248" s="325"/>
      <c r="Q6248" s="327"/>
      <c r="R6248" s="351"/>
      <c r="S6248" s="351"/>
      <c r="T6248" s="351"/>
      <c r="U6248" s="329" t="str">
        <f>IF($N6248=$N$4,IFERROR(INDEX(DanhMuc!$E$154:$E$165,MATCH(MID($B6248,4,2),DanhMuc!$B$154:$B$165,0)),""),"")</f>
        <v/>
      </c>
      <c r="V6248" s="361"/>
      <c r="W6248" s="345"/>
      <c r="X6248" s="786"/>
      <c r="Y6248" s="1128" t="s">
        <v>3380</v>
      </c>
      <c r="Z6248" s="1128" t="s">
        <v>3381</v>
      </c>
      <c r="AA6248" s="1128" t="s">
        <v>3384</v>
      </c>
      <c r="AB6248" s="20"/>
      <c r="AC6248" s="73"/>
    </row>
    <row r="6249" spans="1:29" ht="39">
      <c r="A6249" s="327">
        <f>IF(AND($B6249&lt;&gt;"",$C6249&lt;&gt;""),MAX($A$4730:$A6234)+1,"")</f>
        <v>74</v>
      </c>
      <c r="B6249" s="359" t="s">
        <v>2183</v>
      </c>
      <c r="C6249" s="370" t="s">
        <v>2184</v>
      </c>
      <c r="D6249" s="327">
        <f>IF($B6249="","",COUNTIF($B$4731:$B6249,$B6249))</f>
        <v>1</v>
      </c>
      <c r="E6249" s="361">
        <v>1124</v>
      </c>
      <c r="F6249" s="362" t="s">
        <v>2327</v>
      </c>
      <c r="G6249" s="327" t="s">
        <v>155</v>
      </c>
      <c r="H6249" s="361" t="s">
        <v>536</v>
      </c>
      <c r="I6249" s="327">
        <v>2</v>
      </c>
      <c r="J6249" s="361"/>
      <c r="K6249" s="327" t="s">
        <v>100</v>
      </c>
      <c r="L6249" s="710" t="s">
        <v>2286</v>
      </c>
      <c r="M6249" s="355"/>
      <c r="N6249" s="355" t="s">
        <v>2408</v>
      </c>
      <c r="O6249" s="345"/>
      <c r="P6249" s="325"/>
      <c r="Q6249" s="327"/>
      <c r="R6249" s="351">
        <v>3</v>
      </c>
      <c r="S6249" s="351">
        <v>6</v>
      </c>
      <c r="T6249" s="351"/>
      <c r="U6249" s="329" t="str">
        <f>IF($N6249=$N$4,IFERROR(INDEX(DanhMuc!$E$154:$E$165,MATCH(MID($B6249,4,2),DanhMuc!$B$154:$B$165,0)),""),"")</f>
        <v/>
      </c>
      <c r="V6249" s="361"/>
      <c r="W6249" s="345"/>
      <c r="X6249" s="786"/>
      <c r="Y6249" s="1128" t="s">
        <v>3380</v>
      </c>
      <c r="Z6249" s="1128" t="s">
        <v>3381</v>
      </c>
      <c r="AA6249" s="1128" t="s">
        <v>3384</v>
      </c>
      <c r="AB6249" s="20"/>
      <c r="AC6249" s="73"/>
    </row>
    <row r="6250" spans="1:29">
      <c r="A6250" s="327" t="str">
        <f>IF(AND($B6250&lt;&gt;"",$C6250&lt;&gt;""),MAX($A$4730:$A6249)+1,"")</f>
        <v/>
      </c>
      <c r="B6250" s="361" t="s">
        <v>2183</v>
      </c>
      <c r="C6250" s="362"/>
      <c r="D6250" s="327">
        <f>IF($B6250="","",COUNTIF($B$4731:$B6250,$B6250))</f>
        <v>2</v>
      </c>
      <c r="E6250" s="605">
        <v>1125</v>
      </c>
      <c r="F6250" s="362" t="s">
        <v>2328</v>
      </c>
      <c r="G6250" s="327" t="s">
        <v>155</v>
      </c>
      <c r="H6250" s="361" t="s">
        <v>536</v>
      </c>
      <c r="I6250" s="327">
        <v>12</v>
      </c>
      <c r="J6250" s="361"/>
      <c r="K6250" s="327" t="s">
        <v>101</v>
      </c>
      <c r="L6250" s="710" t="s">
        <v>2286</v>
      </c>
      <c r="M6250" s="355"/>
      <c r="N6250" s="355" t="s">
        <v>2408</v>
      </c>
      <c r="O6250" s="345"/>
      <c r="P6250" s="325"/>
      <c r="Q6250" s="327"/>
      <c r="R6250" s="351">
        <v>3</v>
      </c>
      <c r="S6250" s="351">
        <v>6</v>
      </c>
      <c r="T6250" s="351"/>
      <c r="U6250" s="329" t="str">
        <f>IF($N6250=$N$4,IFERROR(INDEX(DanhMuc!$E$154:$E$165,MATCH(MID($B6250,4,2),DanhMuc!$B$154:$B$165,0)),""),"")</f>
        <v/>
      </c>
      <c r="V6250" s="361"/>
      <c r="W6250" s="345"/>
      <c r="X6250" s="786"/>
      <c r="Y6250" s="1128" t="s">
        <v>3380</v>
      </c>
      <c r="Z6250" s="1128" t="s">
        <v>3381</v>
      </c>
      <c r="AA6250" s="1128" t="s">
        <v>3384</v>
      </c>
      <c r="AB6250" s="20"/>
      <c r="AC6250" s="73"/>
    </row>
    <row r="6251" spans="1:29">
      <c r="A6251" s="327" t="str">
        <f>IF(AND($B6251&lt;&gt;"",$C6251&lt;&gt;""),MAX($A$4730:$A6250)+1,"")</f>
        <v/>
      </c>
      <c r="B6251" s="361" t="s">
        <v>2183</v>
      </c>
      <c r="C6251" s="362"/>
      <c r="D6251" s="327">
        <f>IF($B6251="","",COUNTIF($B$4731:$B6251,$B6251))</f>
        <v>3</v>
      </c>
      <c r="E6251" s="361" t="s">
        <v>1671</v>
      </c>
      <c r="F6251" s="362" t="s">
        <v>2329</v>
      </c>
      <c r="G6251" s="327" t="s">
        <v>155</v>
      </c>
      <c r="H6251" s="361" t="s">
        <v>536</v>
      </c>
      <c r="I6251" s="327">
        <f>+I6249+I6250*2</f>
        <v>26</v>
      </c>
      <c r="J6251" s="361"/>
      <c r="K6251" s="327" t="s">
        <v>415</v>
      </c>
      <c r="L6251" s="389">
        <v>2000</v>
      </c>
      <c r="M6251" s="355"/>
      <c r="N6251" s="355" t="s">
        <v>2408</v>
      </c>
      <c r="O6251" s="345"/>
      <c r="P6251" s="325"/>
      <c r="Q6251" s="327"/>
      <c r="R6251" s="351"/>
      <c r="S6251" s="351"/>
      <c r="T6251" s="351"/>
      <c r="U6251" s="329" t="str">
        <f>IF($N6251=$N$4,IFERROR(INDEX(DanhMuc!$E$154:$E$165,MATCH(MID($B6251,4,2),DanhMuc!$B$154:$B$165,0)),""),"")</f>
        <v/>
      </c>
      <c r="V6251" s="361"/>
      <c r="W6251" s="345"/>
      <c r="X6251" s="786"/>
      <c r="Y6251" s="1128" t="s">
        <v>3380</v>
      </c>
      <c r="Z6251" s="1128" t="s">
        <v>3381</v>
      </c>
      <c r="AA6251" s="1128" t="s">
        <v>3384</v>
      </c>
      <c r="AB6251" s="20"/>
      <c r="AC6251" s="73"/>
    </row>
    <row r="6252" spans="1:29">
      <c r="A6252" s="327" t="str">
        <f>IF(AND($B6252&lt;&gt;"",$C6252&lt;&gt;""),MAX($A$4730:$A6251)+1,"")</f>
        <v/>
      </c>
      <c r="B6252" s="361" t="s">
        <v>2183</v>
      </c>
      <c r="C6252" s="362"/>
      <c r="D6252" s="327">
        <f>IF($B6252="","",COUNTIF($B$4731:$B6252,$B6252))</f>
        <v>4</v>
      </c>
      <c r="E6252" s="361" t="s">
        <v>654</v>
      </c>
      <c r="F6252" s="362" t="s">
        <v>653</v>
      </c>
      <c r="G6252" s="327" t="s">
        <v>1836</v>
      </c>
      <c r="H6252" s="361" t="s">
        <v>536</v>
      </c>
      <c r="I6252" s="327">
        <f>ROUND(SUM(I6249:I6250)/45,2)</f>
        <v>0.31</v>
      </c>
      <c r="J6252" s="477"/>
      <c r="K6252" s="327" t="s">
        <v>655</v>
      </c>
      <c r="L6252" s="478">
        <v>115000</v>
      </c>
      <c r="M6252" s="355"/>
      <c r="N6252" s="355" t="s">
        <v>2408</v>
      </c>
      <c r="O6252" s="345"/>
      <c r="P6252" s="325"/>
      <c r="Q6252" s="327"/>
      <c r="R6252" s="351"/>
      <c r="S6252" s="351"/>
      <c r="T6252" s="351"/>
      <c r="U6252" s="329" t="str">
        <f>IF($N6252=$N$4,IFERROR(INDEX(DanhMuc!$E$154:$E$165,MATCH(MID($B6252,4,2),DanhMuc!$B$154:$B$165,0)),""),"")</f>
        <v/>
      </c>
      <c r="V6252" s="361"/>
      <c r="W6252" s="345"/>
      <c r="X6252" s="786"/>
      <c r="Y6252" s="1128" t="s">
        <v>3380</v>
      </c>
      <c r="Z6252" s="1128" t="s">
        <v>3381</v>
      </c>
      <c r="AA6252" s="1128" t="s">
        <v>3384</v>
      </c>
      <c r="AB6252" s="20"/>
      <c r="AC6252" s="73"/>
    </row>
    <row r="6253" spans="1:29">
      <c r="A6253" s="327" t="str">
        <f>IF(AND($B6253&lt;&gt;"",$C6253&lt;&gt;""),MAX($A$4730:$A6252)+1,"")</f>
        <v/>
      </c>
      <c r="B6253" s="361" t="s">
        <v>2183</v>
      </c>
      <c r="C6253" s="360"/>
      <c r="D6253" s="327">
        <f>IF($B6253="","",COUNTIF($B$4731:$B6253,$B6253))</f>
        <v>5</v>
      </c>
      <c r="E6253" s="361" t="s">
        <v>1826</v>
      </c>
      <c r="F6253" s="362" t="s">
        <v>670</v>
      </c>
      <c r="G6253" s="327" t="s">
        <v>661</v>
      </c>
      <c r="H6253" s="361" t="s">
        <v>536</v>
      </c>
      <c r="I6253" s="361" t="s">
        <v>2354</v>
      </c>
      <c r="J6253" s="361"/>
      <c r="K6253" s="327" t="s">
        <v>103</v>
      </c>
      <c r="L6253" s="478">
        <f>40000/1000</f>
        <v>40</v>
      </c>
      <c r="M6253" s="355"/>
      <c r="N6253" s="355" t="s">
        <v>2408</v>
      </c>
      <c r="O6253" s="345"/>
      <c r="P6253" s="325"/>
      <c r="Q6253" s="327"/>
      <c r="R6253" s="351"/>
      <c r="S6253" s="351"/>
      <c r="T6253" s="351"/>
      <c r="U6253" s="329" t="str">
        <f>IF($N6253=$N$4,IFERROR(INDEX(DanhMuc!$E$154:$E$165,MATCH(MID($B6253,4,2),DanhMuc!$B$154:$B$165,0)),""),"")</f>
        <v/>
      </c>
      <c r="V6253" s="361"/>
      <c r="W6253" s="345"/>
      <c r="X6253" s="786"/>
      <c r="Y6253" s="1128" t="s">
        <v>3380</v>
      </c>
      <c r="Z6253" s="1128" t="s">
        <v>3381</v>
      </c>
      <c r="AA6253" s="1128" t="s">
        <v>3384</v>
      </c>
      <c r="AB6253" s="20"/>
      <c r="AC6253" s="73"/>
    </row>
    <row r="6254" spans="1:29" ht="37.5">
      <c r="A6254" s="327" t="str">
        <f>IF(AND($B6254&lt;&gt;"",$C6254&lt;&gt;""),MAX($A$4730:$A6253)+1,"")</f>
        <v/>
      </c>
      <c r="B6254" s="361" t="s">
        <v>2183</v>
      </c>
      <c r="C6254" s="362"/>
      <c r="D6254" s="327">
        <f>IF($B6254="","",COUNTIF($B$4731:$B6254,$B6254))</f>
        <v>6</v>
      </c>
      <c r="E6254" s="362" t="s">
        <v>1964</v>
      </c>
      <c r="F6254" s="362" t="s">
        <v>1965</v>
      </c>
      <c r="G6254" s="327" t="s">
        <v>405</v>
      </c>
      <c r="H6254" s="361" t="s">
        <v>536</v>
      </c>
      <c r="I6254" s="361" t="s">
        <v>693</v>
      </c>
      <c r="J6254" s="361"/>
      <c r="K6254" s="327" t="s">
        <v>223</v>
      </c>
      <c r="L6254" s="478">
        <v>140</v>
      </c>
      <c r="M6254" s="371"/>
      <c r="N6254" s="355" t="s">
        <v>2408</v>
      </c>
      <c r="O6254" s="345"/>
      <c r="P6254" s="325"/>
      <c r="Q6254" s="327"/>
      <c r="R6254" s="351"/>
      <c r="S6254" s="351"/>
      <c r="T6254" s="351"/>
      <c r="U6254" s="329" t="str">
        <f>IF($N6254=$N$4,IFERROR(INDEX(DanhMuc!$E$154:$E$165,MATCH(MID($B6254,4,2),DanhMuc!$B$154:$B$165,0)),""),"")</f>
        <v/>
      </c>
      <c r="V6254" s="361"/>
      <c r="W6254" s="345"/>
      <c r="X6254" s="786"/>
      <c r="Y6254" s="1128" t="s">
        <v>3380</v>
      </c>
      <c r="Z6254" s="1128" t="s">
        <v>3381</v>
      </c>
      <c r="AA6254" s="1128" t="s">
        <v>3384</v>
      </c>
      <c r="AB6254" s="20"/>
      <c r="AC6254" s="73"/>
    </row>
    <row r="6255" spans="1:29" ht="37.5">
      <c r="A6255" s="327" t="str">
        <f>IF(AND($B6255&lt;&gt;"",$C6255&lt;&gt;""),MAX($A$4730:$A6254)+1,"")</f>
        <v/>
      </c>
      <c r="B6255" s="361" t="s">
        <v>2183</v>
      </c>
      <c r="C6255" s="362"/>
      <c r="D6255" s="327">
        <f>IF($B6255="","",COUNTIF($B$4731:$B6255,$B6255))</f>
        <v>7</v>
      </c>
      <c r="E6255" s="362" t="s">
        <v>2756</v>
      </c>
      <c r="F6255" s="362" t="s">
        <v>2757</v>
      </c>
      <c r="G6255" s="327" t="s">
        <v>405</v>
      </c>
      <c r="H6255" s="361" t="s">
        <v>536</v>
      </c>
      <c r="I6255" s="361" t="s">
        <v>693</v>
      </c>
      <c r="J6255" s="361"/>
      <c r="K6255" s="327" t="s">
        <v>223</v>
      </c>
      <c r="L6255" s="479">
        <v>322</v>
      </c>
      <c r="M6255" s="371"/>
      <c r="N6255" s="355" t="s">
        <v>2408</v>
      </c>
      <c r="O6255" s="345"/>
      <c r="P6255" s="325"/>
      <c r="Q6255" s="327"/>
      <c r="R6255" s="351"/>
      <c r="S6255" s="351"/>
      <c r="T6255" s="351"/>
      <c r="U6255" s="329" t="str">
        <f>IF($N6255=$N$4,IFERROR(INDEX(DanhMuc!$E$154:$E$165,MATCH(MID($B6255,4,2),DanhMuc!$B$154:$B$165,0)),""),"")</f>
        <v/>
      </c>
      <c r="V6255" s="361"/>
      <c r="W6255" s="345"/>
      <c r="X6255" s="786"/>
      <c r="Y6255" s="1128" t="s">
        <v>3380</v>
      </c>
      <c r="Z6255" s="1128" t="s">
        <v>3381</v>
      </c>
      <c r="AA6255" s="1128" t="s">
        <v>3384</v>
      </c>
      <c r="AB6255" s="20"/>
      <c r="AC6255" s="73"/>
    </row>
    <row r="6256" spans="1:29">
      <c r="A6256" s="327" t="str">
        <f>IF(AND($B6256&lt;&gt;"",$C6256&lt;&gt;""),MAX($A$4730:$A6255)+1,"")</f>
        <v/>
      </c>
      <c r="B6256" s="361" t="s">
        <v>2183</v>
      </c>
      <c r="C6256" s="362"/>
      <c r="D6256" s="327">
        <f>IF($B6256="","",COUNTIF($B$4731:$B6256,$B6256))</f>
        <v>8</v>
      </c>
      <c r="E6256" s="361" t="s">
        <v>656</v>
      </c>
      <c r="F6256" s="362" t="s">
        <v>2239</v>
      </c>
      <c r="G6256" s="327" t="s">
        <v>405</v>
      </c>
      <c r="H6256" s="361" t="s">
        <v>536</v>
      </c>
      <c r="I6256" s="361" t="s">
        <v>1827</v>
      </c>
      <c r="J6256" s="361"/>
      <c r="K6256" s="327" t="s">
        <v>100</v>
      </c>
      <c r="L6256" s="478">
        <v>970</v>
      </c>
      <c r="M6256" s="371"/>
      <c r="N6256" s="355" t="s">
        <v>2409</v>
      </c>
      <c r="O6256" s="345"/>
      <c r="P6256" s="325"/>
      <c r="Q6256" s="327"/>
      <c r="R6256" s="351"/>
      <c r="S6256" s="351"/>
      <c r="T6256" s="351"/>
      <c r="U6256" s="329" t="str">
        <f>IF($N6256=$N$4,IFERROR(INDEX(DanhMuc!$E$154:$E$165,MATCH(MID($B6256,4,2),DanhMuc!$B$154:$B$165,0)),""),"")</f>
        <v/>
      </c>
      <c r="V6256" s="361"/>
      <c r="W6256" s="345"/>
      <c r="X6256" s="786"/>
      <c r="Y6256" s="1128" t="s">
        <v>3380</v>
      </c>
      <c r="Z6256" s="1128" t="s">
        <v>3381</v>
      </c>
      <c r="AA6256" s="1128" t="s">
        <v>3384</v>
      </c>
      <c r="AB6256" s="20"/>
      <c r="AC6256" s="73"/>
    </row>
    <row r="6257" spans="1:29">
      <c r="A6257" s="327" t="str">
        <f>IF(AND($B6257&lt;&gt;"",$C6257&lt;&gt;""),MAX($A$4730:$A6256)+1,"")</f>
        <v/>
      </c>
      <c r="B6257" s="361" t="s">
        <v>2183</v>
      </c>
      <c r="C6257" s="362"/>
      <c r="D6257" s="327">
        <f>IF($B6257="","",COUNTIF($B$4731:$B6257,$B6257))</f>
        <v>9</v>
      </c>
      <c r="E6257" s="361" t="s">
        <v>657</v>
      </c>
      <c r="F6257" s="362" t="s">
        <v>658</v>
      </c>
      <c r="G6257" s="327" t="s">
        <v>424</v>
      </c>
      <c r="H6257" s="361" t="s">
        <v>536</v>
      </c>
      <c r="I6257" s="361" t="s">
        <v>665</v>
      </c>
      <c r="J6257" s="361"/>
      <c r="K6257" s="327" t="s">
        <v>100</v>
      </c>
      <c r="L6257" s="478">
        <v>60000</v>
      </c>
      <c r="M6257" s="355"/>
      <c r="N6257" s="355" t="s">
        <v>2409</v>
      </c>
      <c r="O6257" s="345"/>
      <c r="P6257" s="325"/>
      <c r="Q6257" s="327"/>
      <c r="R6257" s="351"/>
      <c r="S6257" s="351"/>
      <c r="T6257" s="351"/>
      <c r="U6257" s="329" t="str">
        <f>IF($N6257=$N$4,IFERROR(INDEX(DanhMuc!$E$154:$E$165,MATCH(MID($B6257,4,2),DanhMuc!$B$154:$B$165,0)),""),"")</f>
        <v/>
      </c>
      <c r="V6257" s="361"/>
      <c r="W6257" s="345"/>
      <c r="X6257" s="786"/>
      <c r="Y6257" s="1128" t="s">
        <v>3380</v>
      </c>
      <c r="Z6257" s="1128" t="s">
        <v>3381</v>
      </c>
      <c r="AA6257" s="1128" t="s">
        <v>3384</v>
      </c>
      <c r="AB6257" s="20"/>
      <c r="AC6257" s="73"/>
    </row>
    <row r="6258" spans="1:29">
      <c r="A6258" s="327" t="str">
        <f>IF(AND($B6258&lt;&gt;"",$C6258&lt;&gt;""),MAX($A$4730:$A6257)+1,"")</f>
        <v/>
      </c>
      <c r="B6258" s="361" t="s">
        <v>2183</v>
      </c>
      <c r="C6258" s="362"/>
      <c r="D6258" s="327">
        <f>IF($B6258="","",COUNTIF($B$4731:$B6258,$B6258))</f>
        <v>10</v>
      </c>
      <c r="E6258" s="361" t="s">
        <v>2771</v>
      </c>
      <c r="F6258" s="362" t="s">
        <v>659</v>
      </c>
      <c r="G6258" s="327" t="s">
        <v>424</v>
      </c>
      <c r="H6258" s="361" t="s">
        <v>536</v>
      </c>
      <c r="I6258" s="361" t="s">
        <v>666</v>
      </c>
      <c r="J6258" s="361"/>
      <c r="K6258" s="327" t="s">
        <v>100</v>
      </c>
      <c r="L6258" s="389">
        <v>53000</v>
      </c>
      <c r="M6258" s="355"/>
      <c r="N6258" s="355" t="s">
        <v>2409</v>
      </c>
      <c r="O6258" s="345"/>
      <c r="P6258" s="325"/>
      <c r="Q6258" s="327"/>
      <c r="R6258" s="351"/>
      <c r="S6258" s="351"/>
      <c r="T6258" s="351"/>
      <c r="U6258" s="329" t="str">
        <f>IF($N6258=$N$4,IFERROR(INDEX(DanhMuc!$E$154:$E$165,MATCH(MID($B6258,4,2),DanhMuc!$B$154:$B$165,0)),""),"")</f>
        <v/>
      </c>
      <c r="V6258" s="361"/>
      <c r="W6258" s="345"/>
      <c r="X6258" s="786"/>
      <c r="Y6258" s="1128" t="s">
        <v>3380</v>
      </c>
      <c r="Z6258" s="1128" t="s">
        <v>3381</v>
      </c>
      <c r="AA6258" s="1128" t="s">
        <v>3384</v>
      </c>
      <c r="AB6258" s="20"/>
      <c r="AC6258" s="73"/>
    </row>
    <row r="6259" spans="1:29">
      <c r="A6259" s="327" t="str">
        <f>IF(AND($B6259&lt;&gt;"",$C6259&lt;&gt;""),MAX($A$4730:$A6258)+1,"")</f>
        <v/>
      </c>
      <c r="B6259" s="361" t="s">
        <v>2183</v>
      </c>
      <c r="C6259" s="362"/>
      <c r="D6259" s="327">
        <f>IF($B6259="","",COUNTIF($B$4731:$B6259,$B6259))</f>
        <v>11</v>
      </c>
      <c r="E6259" s="361" t="s">
        <v>1828</v>
      </c>
      <c r="F6259" s="362" t="s">
        <v>671</v>
      </c>
      <c r="G6259" s="327" t="s">
        <v>661</v>
      </c>
      <c r="H6259" s="361" t="s">
        <v>536</v>
      </c>
      <c r="I6259" s="361" t="s">
        <v>2355</v>
      </c>
      <c r="J6259" s="361"/>
      <c r="K6259" s="327" t="s">
        <v>100</v>
      </c>
      <c r="L6259" s="478">
        <f>40000/1000</f>
        <v>40</v>
      </c>
      <c r="M6259" s="355"/>
      <c r="N6259" s="355" t="s">
        <v>2409</v>
      </c>
      <c r="O6259" s="345"/>
      <c r="P6259" s="325"/>
      <c r="Q6259" s="327"/>
      <c r="R6259" s="351"/>
      <c r="S6259" s="351"/>
      <c r="T6259" s="351"/>
      <c r="U6259" s="329" t="str">
        <f>IF($N6259=$N$4,IFERROR(INDEX(DanhMuc!$E$154:$E$165,MATCH(MID($B6259,4,2),DanhMuc!$B$154:$B$165,0)),""),"")</f>
        <v/>
      </c>
      <c r="V6259" s="361"/>
      <c r="W6259" s="345"/>
      <c r="X6259" s="786"/>
      <c r="Y6259" s="1128" t="s">
        <v>3380</v>
      </c>
      <c r="Z6259" s="1128" t="s">
        <v>3381</v>
      </c>
      <c r="AA6259" s="1128" t="s">
        <v>3384</v>
      </c>
      <c r="AB6259" s="20"/>
      <c r="AC6259" s="73"/>
    </row>
    <row r="6260" spans="1:29">
      <c r="A6260" s="327" t="str">
        <f>IF(AND($B6260&lt;&gt;"",$C6260&lt;&gt;""),MAX($A$4730:$A6259)+1,"")</f>
        <v/>
      </c>
      <c r="B6260" s="361" t="s">
        <v>2183</v>
      </c>
      <c r="C6260" s="362"/>
      <c r="D6260" s="327">
        <f>IF($B6260="","",COUNTIF($B$4731:$B6260,$B6260))</f>
        <v>12</v>
      </c>
      <c r="E6260" s="361" t="s">
        <v>154</v>
      </c>
      <c r="F6260" s="362" t="s">
        <v>660</v>
      </c>
      <c r="G6260" s="327" t="s">
        <v>661</v>
      </c>
      <c r="H6260" s="361" t="s">
        <v>536</v>
      </c>
      <c r="I6260" s="361" t="s">
        <v>667</v>
      </c>
      <c r="J6260" s="361"/>
      <c r="K6260" s="327" t="s">
        <v>662</v>
      </c>
      <c r="L6260" s="478">
        <v>20</v>
      </c>
      <c r="M6260" s="355"/>
      <c r="N6260" s="355" t="s">
        <v>2409</v>
      </c>
      <c r="O6260" s="345"/>
      <c r="P6260" s="325"/>
      <c r="Q6260" s="327"/>
      <c r="R6260" s="351"/>
      <c r="S6260" s="351"/>
      <c r="T6260" s="351"/>
      <c r="U6260" s="329" t="str">
        <f>IF($N6260=$N$4,IFERROR(INDEX(DanhMuc!$E$154:$E$165,MATCH(MID($B6260,4,2),DanhMuc!$B$154:$B$165,0)),""),"")</f>
        <v/>
      </c>
      <c r="V6260" s="361"/>
      <c r="W6260" s="345"/>
      <c r="X6260" s="786"/>
      <c r="Y6260" s="1128" t="s">
        <v>3380</v>
      </c>
      <c r="Z6260" s="1128" t="s">
        <v>3381</v>
      </c>
      <c r="AA6260" s="1128" t="s">
        <v>3384</v>
      </c>
      <c r="AB6260" s="20"/>
      <c r="AC6260" s="73"/>
    </row>
    <row r="6261" spans="1:29">
      <c r="A6261" s="327" t="str">
        <f>IF(AND($B6261&lt;&gt;"",$C6261&lt;&gt;""),MAX($A$4730:$A6260)+1,"")</f>
        <v/>
      </c>
      <c r="B6261" s="361" t="s">
        <v>2183</v>
      </c>
      <c r="C6261" s="362"/>
      <c r="D6261" s="327">
        <f>IF($B6261="","",COUNTIF($B$4731:$B6261,$B6261))</f>
        <v>13</v>
      </c>
      <c r="E6261" s="362" t="s">
        <v>2282</v>
      </c>
      <c r="F6261" s="362" t="s">
        <v>2283</v>
      </c>
      <c r="G6261" s="327" t="s">
        <v>424</v>
      </c>
      <c r="H6261" s="361" t="s">
        <v>536</v>
      </c>
      <c r="I6261" s="361" t="s">
        <v>2238</v>
      </c>
      <c r="J6261" s="361"/>
      <c r="K6261" s="327" t="s">
        <v>662</v>
      </c>
      <c r="L6261" s="478">
        <v>28000</v>
      </c>
      <c r="M6261" s="355"/>
      <c r="N6261" s="355" t="s">
        <v>2409</v>
      </c>
      <c r="O6261" s="345"/>
      <c r="P6261" s="325"/>
      <c r="Q6261" s="327"/>
      <c r="R6261" s="351"/>
      <c r="S6261" s="351"/>
      <c r="T6261" s="351"/>
      <c r="U6261" s="329" t="str">
        <f>IF($N6261=$N$4,IFERROR(INDEX(DanhMuc!$E$154:$E$165,MATCH(MID($B6261,4,2),DanhMuc!$B$154:$B$165,0)),""),"")</f>
        <v/>
      </c>
      <c r="V6261" s="361"/>
      <c r="W6261" s="345"/>
      <c r="X6261" s="786"/>
      <c r="Y6261" s="1128" t="s">
        <v>3380</v>
      </c>
      <c r="Z6261" s="1128" t="s">
        <v>3381</v>
      </c>
      <c r="AA6261" s="1128" t="s">
        <v>3384</v>
      </c>
      <c r="AB6261" s="20"/>
      <c r="AC6261" s="73"/>
    </row>
    <row r="6262" spans="1:29">
      <c r="A6262" s="327" t="str">
        <f>IF(AND($B6262&lt;&gt;"",$C6262&lt;&gt;""),MAX($A$4730:$A6261)+1,"")</f>
        <v/>
      </c>
      <c r="B6262" s="361" t="s">
        <v>2183</v>
      </c>
      <c r="C6262" s="362"/>
      <c r="D6262" s="327">
        <f>IF($B6262="","",COUNTIF($B$4731:$B6262,$B6262))</f>
        <v>14</v>
      </c>
      <c r="E6262" s="362" t="s">
        <v>663</v>
      </c>
      <c r="F6262" s="362" t="s">
        <v>664</v>
      </c>
      <c r="G6262" s="327" t="s">
        <v>155</v>
      </c>
      <c r="H6262" s="361" t="s">
        <v>536</v>
      </c>
      <c r="I6262" s="361" t="s">
        <v>672</v>
      </c>
      <c r="J6262" s="361"/>
      <c r="K6262" s="327" t="s">
        <v>662</v>
      </c>
      <c r="L6262" s="478">
        <v>1000</v>
      </c>
      <c r="M6262" s="355"/>
      <c r="N6262" s="355" t="s">
        <v>2409</v>
      </c>
      <c r="O6262" s="345"/>
      <c r="P6262" s="325"/>
      <c r="Q6262" s="327"/>
      <c r="R6262" s="351"/>
      <c r="S6262" s="351"/>
      <c r="T6262" s="351"/>
      <c r="U6262" s="329" t="str">
        <f>IF($N6262=$N$4,IFERROR(INDEX(DanhMuc!$E$154:$E$165,MATCH(MID($B6262,4,2),DanhMuc!$B$154:$B$165,0)),""),"")</f>
        <v/>
      </c>
      <c r="V6262" s="361"/>
      <c r="W6262" s="345"/>
      <c r="X6262" s="786"/>
      <c r="Y6262" s="1128" t="s">
        <v>3380</v>
      </c>
      <c r="Z6262" s="1128" t="s">
        <v>3381</v>
      </c>
      <c r="AA6262" s="1128" t="s">
        <v>3384</v>
      </c>
      <c r="AB6262" s="20"/>
      <c r="AC6262" s="73"/>
    </row>
    <row r="6263" spans="1:29" ht="39">
      <c r="A6263" s="327">
        <f>IF(AND($B6263&lt;&gt;"",$C6263&lt;&gt;""),MAX($A$4730:$A6248)+1,"")</f>
        <v>75</v>
      </c>
      <c r="B6263" s="359" t="s">
        <v>1661</v>
      </c>
      <c r="C6263" s="370" t="s">
        <v>1660</v>
      </c>
      <c r="D6263" s="327">
        <f>IF($B6263="","",COUNTIF($B$4731:$B6263,$B6263))</f>
        <v>1</v>
      </c>
      <c r="E6263" s="361">
        <v>1124</v>
      </c>
      <c r="F6263" s="362" t="s">
        <v>2327</v>
      </c>
      <c r="G6263" s="327" t="s">
        <v>155</v>
      </c>
      <c r="H6263" s="361" t="s">
        <v>536</v>
      </c>
      <c r="I6263" s="327">
        <v>2</v>
      </c>
      <c r="J6263" s="361"/>
      <c r="K6263" s="327" t="s">
        <v>100</v>
      </c>
      <c r="L6263" s="710" t="s">
        <v>2286</v>
      </c>
      <c r="M6263" s="355"/>
      <c r="N6263" s="355" t="s">
        <v>2408</v>
      </c>
      <c r="O6263" s="345"/>
      <c r="P6263" s="325"/>
      <c r="Q6263" s="327"/>
      <c r="R6263" s="351">
        <v>3</v>
      </c>
      <c r="S6263" s="351">
        <v>6</v>
      </c>
      <c r="T6263" s="351"/>
      <c r="U6263" s="329" t="str">
        <f>IF($N6263=$N$4,IFERROR(INDEX(DanhMuc!$E$154:$E$165,MATCH(MID($B6263,4,2),DanhMuc!$B$154:$B$165,0)),""),"")</f>
        <v/>
      </c>
      <c r="V6263" s="361"/>
      <c r="W6263" s="345"/>
      <c r="X6263" s="786"/>
      <c r="Y6263" s="1128" t="s">
        <v>3380</v>
      </c>
      <c r="Z6263" s="1128" t="s">
        <v>3381</v>
      </c>
      <c r="AA6263" s="1128" t="s">
        <v>3384</v>
      </c>
      <c r="AB6263" s="20"/>
      <c r="AC6263" s="73"/>
    </row>
    <row r="6264" spans="1:29">
      <c r="A6264" s="327" t="str">
        <f>IF(AND($B6264&lt;&gt;"",$C6264&lt;&gt;""),MAX($A$4730:$A6263)+1,"")</f>
        <v/>
      </c>
      <c r="B6264" s="361" t="s">
        <v>1661</v>
      </c>
      <c r="C6264" s="362"/>
      <c r="D6264" s="327">
        <f>IF($B6264="","",COUNTIF($B$4731:$B6264,$B6264))</f>
        <v>2</v>
      </c>
      <c r="E6264" s="605">
        <v>1125</v>
      </c>
      <c r="F6264" s="362" t="s">
        <v>2328</v>
      </c>
      <c r="G6264" s="327" t="s">
        <v>155</v>
      </c>
      <c r="H6264" s="361" t="s">
        <v>536</v>
      </c>
      <c r="I6264" s="327">
        <v>16</v>
      </c>
      <c r="J6264" s="361"/>
      <c r="K6264" s="327" t="s">
        <v>101</v>
      </c>
      <c r="L6264" s="710" t="s">
        <v>2286</v>
      </c>
      <c r="M6264" s="355"/>
      <c r="N6264" s="355" t="s">
        <v>2408</v>
      </c>
      <c r="O6264" s="345"/>
      <c r="P6264" s="325"/>
      <c r="Q6264" s="327"/>
      <c r="R6264" s="351">
        <v>3</v>
      </c>
      <c r="S6264" s="351">
        <v>6</v>
      </c>
      <c r="T6264" s="351"/>
      <c r="U6264" s="329" t="str">
        <f>IF($N6264=$N$4,IFERROR(INDEX(DanhMuc!$E$154:$E$165,MATCH(MID($B6264,4,2),DanhMuc!$B$154:$B$165,0)),""),"")</f>
        <v/>
      </c>
      <c r="V6264" s="361"/>
      <c r="W6264" s="345"/>
      <c r="X6264" s="786"/>
      <c r="Y6264" s="1128" t="s">
        <v>3380</v>
      </c>
      <c r="Z6264" s="1128" t="s">
        <v>3381</v>
      </c>
      <c r="AA6264" s="1128" t="s">
        <v>3384</v>
      </c>
      <c r="AB6264" s="20"/>
      <c r="AC6264" s="73"/>
    </row>
    <row r="6265" spans="1:29">
      <c r="A6265" s="327" t="str">
        <f>IF(AND($B6265&lt;&gt;"",$C6265&lt;&gt;""),MAX($A$4730:$A6264)+1,"")</f>
        <v/>
      </c>
      <c r="B6265" s="361" t="s">
        <v>1661</v>
      </c>
      <c r="C6265" s="362"/>
      <c r="D6265" s="327">
        <f>IF($B6265="","",COUNTIF($B$4731:$B6265,$B6265))</f>
        <v>3</v>
      </c>
      <c r="E6265" s="361" t="s">
        <v>1671</v>
      </c>
      <c r="F6265" s="362" t="s">
        <v>2329</v>
      </c>
      <c r="G6265" s="327" t="s">
        <v>155</v>
      </c>
      <c r="H6265" s="361" t="s">
        <v>536</v>
      </c>
      <c r="I6265" s="327">
        <f>+I6263+I6264*2</f>
        <v>34</v>
      </c>
      <c r="J6265" s="361"/>
      <c r="K6265" s="327" t="s">
        <v>415</v>
      </c>
      <c r="L6265" s="389">
        <v>2000</v>
      </c>
      <c r="M6265" s="355"/>
      <c r="N6265" s="355" t="s">
        <v>2408</v>
      </c>
      <c r="O6265" s="345"/>
      <c r="P6265" s="325"/>
      <c r="Q6265" s="327"/>
      <c r="R6265" s="351"/>
      <c r="S6265" s="351"/>
      <c r="T6265" s="351"/>
      <c r="U6265" s="329" t="str">
        <f>IF($N6265=$N$4,IFERROR(INDEX(DanhMuc!$E$154:$E$165,MATCH(MID($B6265,4,2),DanhMuc!$B$154:$B$165,0)),""),"")</f>
        <v/>
      </c>
      <c r="V6265" s="361"/>
      <c r="W6265" s="345"/>
      <c r="X6265" s="786"/>
      <c r="Y6265" s="1128" t="s">
        <v>3380</v>
      </c>
      <c r="Z6265" s="1128" t="s">
        <v>3381</v>
      </c>
      <c r="AA6265" s="1128" t="s">
        <v>3384</v>
      </c>
      <c r="AB6265" s="20"/>
      <c r="AC6265" s="73"/>
    </row>
    <row r="6266" spans="1:29">
      <c r="A6266" s="327" t="str">
        <f>IF(AND($B6266&lt;&gt;"",$C6266&lt;&gt;""),MAX($A$4730:$A6265)+1,"")</f>
        <v/>
      </c>
      <c r="B6266" s="361" t="s">
        <v>1661</v>
      </c>
      <c r="C6266" s="362"/>
      <c r="D6266" s="327">
        <f>IF($B6266="","",COUNTIF($B$4731:$B6266,$B6266))</f>
        <v>4</v>
      </c>
      <c r="E6266" s="361" t="s">
        <v>654</v>
      </c>
      <c r="F6266" s="362" t="s">
        <v>653</v>
      </c>
      <c r="G6266" s="327" t="s">
        <v>1836</v>
      </c>
      <c r="H6266" s="361" t="s">
        <v>536</v>
      </c>
      <c r="I6266" s="327">
        <f>ROUND(SUM(I6263:I6264)/45,2)</f>
        <v>0.4</v>
      </c>
      <c r="J6266" s="477"/>
      <c r="K6266" s="327" t="s">
        <v>655</v>
      </c>
      <c r="L6266" s="478">
        <v>115000</v>
      </c>
      <c r="M6266" s="355"/>
      <c r="N6266" s="355" t="s">
        <v>2408</v>
      </c>
      <c r="O6266" s="345"/>
      <c r="P6266" s="325"/>
      <c r="Q6266" s="327"/>
      <c r="R6266" s="351"/>
      <c r="S6266" s="351"/>
      <c r="T6266" s="351"/>
      <c r="U6266" s="329" t="str">
        <f>IF($N6266=$N$4,IFERROR(INDEX(DanhMuc!$E$154:$E$165,MATCH(MID($B6266,4,2),DanhMuc!$B$154:$B$165,0)),""),"")</f>
        <v/>
      </c>
      <c r="V6266" s="361"/>
      <c r="W6266" s="345"/>
      <c r="X6266" s="786"/>
      <c r="Y6266" s="1128" t="s">
        <v>3380</v>
      </c>
      <c r="Z6266" s="1128" t="s">
        <v>3381</v>
      </c>
      <c r="AA6266" s="1128" t="s">
        <v>3384</v>
      </c>
      <c r="AB6266" s="20"/>
      <c r="AC6266" s="73"/>
    </row>
    <row r="6267" spans="1:29">
      <c r="A6267" s="327" t="str">
        <f>IF(AND($B6267&lt;&gt;"",$C6267&lt;&gt;""),MAX($A$4730:$A6266)+1,"")</f>
        <v/>
      </c>
      <c r="B6267" s="361" t="s">
        <v>1661</v>
      </c>
      <c r="C6267" s="360"/>
      <c r="D6267" s="327">
        <f>IF($B6267="","",COUNTIF($B$4731:$B6267,$B6267))</f>
        <v>5</v>
      </c>
      <c r="E6267" s="361" t="s">
        <v>1826</v>
      </c>
      <c r="F6267" s="362" t="s">
        <v>670</v>
      </c>
      <c r="G6267" s="327" t="s">
        <v>661</v>
      </c>
      <c r="H6267" s="361" t="s">
        <v>536</v>
      </c>
      <c r="I6267" s="361" t="s">
        <v>2354</v>
      </c>
      <c r="J6267" s="361"/>
      <c r="K6267" s="327" t="s">
        <v>103</v>
      </c>
      <c r="L6267" s="478">
        <f>40000/1000</f>
        <v>40</v>
      </c>
      <c r="M6267" s="355"/>
      <c r="N6267" s="355" t="s">
        <v>2408</v>
      </c>
      <c r="O6267" s="345"/>
      <c r="P6267" s="325"/>
      <c r="Q6267" s="327"/>
      <c r="R6267" s="351"/>
      <c r="S6267" s="351"/>
      <c r="T6267" s="351"/>
      <c r="U6267" s="329" t="str">
        <f>IF($N6267=$N$4,IFERROR(INDEX(DanhMuc!$E$154:$E$165,MATCH(MID($B6267,4,2),DanhMuc!$B$154:$B$165,0)),""),"")</f>
        <v/>
      </c>
      <c r="V6267" s="361"/>
      <c r="W6267" s="345"/>
      <c r="X6267" s="786"/>
      <c r="Y6267" s="1128" t="s">
        <v>3380</v>
      </c>
      <c r="Z6267" s="1128" t="s">
        <v>3381</v>
      </c>
      <c r="AA6267" s="1128" t="s">
        <v>3384</v>
      </c>
      <c r="AB6267" s="20"/>
      <c r="AC6267" s="73"/>
    </row>
    <row r="6268" spans="1:29" ht="37.5">
      <c r="A6268" s="327" t="str">
        <f>IF(AND($B6268&lt;&gt;"",$C6268&lt;&gt;""),MAX($A$4730:$A6267)+1,"")</f>
        <v/>
      </c>
      <c r="B6268" s="361" t="s">
        <v>1661</v>
      </c>
      <c r="C6268" s="362"/>
      <c r="D6268" s="327">
        <f>IF($B6268="","",COUNTIF($B$4731:$B6268,$B6268))</f>
        <v>6</v>
      </c>
      <c r="E6268" s="362" t="s">
        <v>1964</v>
      </c>
      <c r="F6268" s="362" t="s">
        <v>1965</v>
      </c>
      <c r="G6268" s="327" t="s">
        <v>405</v>
      </c>
      <c r="H6268" s="361" t="s">
        <v>536</v>
      </c>
      <c r="I6268" s="361" t="s">
        <v>693</v>
      </c>
      <c r="J6268" s="361"/>
      <c r="K6268" s="327" t="s">
        <v>223</v>
      </c>
      <c r="L6268" s="478">
        <v>140</v>
      </c>
      <c r="M6268" s="371"/>
      <c r="N6268" s="355" t="s">
        <v>2408</v>
      </c>
      <c r="O6268" s="345"/>
      <c r="P6268" s="325"/>
      <c r="Q6268" s="327"/>
      <c r="R6268" s="351"/>
      <c r="S6268" s="351"/>
      <c r="T6268" s="351"/>
      <c r="U6268" s="329" t="str">
        <f>IF($N6268=$N$4,IFERROR(INDEX(DanhMuc!$E$154:$E$165,MATCH(MID($B6268,4,2),DanhMuc!$B$154:$B$165,0)),""),"")</f>
        <v/>
      </c>
      <c r="V6268" s="361"/>
      <c r="W6268" s="345"/>
      <c r="X6268" s="786"/>
      <c r="Y6268" s="1128" t="s">
        <v>3380</v>
      </c>
      <c r="Z6268" s="1128" t="s">
        <v>3381</v>
      </c>
      <c r="AA6268" s="1128" t="s">
        <v>3384</v>
      </c>
      <c r="AB6268" s="20"/>
      <c r="AC6268" s="73"/>
    </row>
    <row r="6269" spans="1:29" ht="37.5">
      <c r="A6269" s="327" t="str">
        <f>IF(AND($B6269&lt;&gt;"",$C6269&lt;&gt;""),MAX($A$4730:$A6268)+1,"")</f>
        <v/>
      </c>
      <c r="B6269" s="361" t="s">
        <v>1661</v>
      </c>
      <c r="C6269" s="362"/>
      <c r="D6269" s="327">
        <f>IF($B6269="","",COUNTIF($B$4731:$B6269,$B6269))</f>
        <v>7</v>
      </c>
      <c r="E6269" s="362" t="s">
        <v>2756</v>
      </c>
      <c r="F6269" s="362" t="s">
        <v>2757</v>
      </c>
      <c r="G6269" s="327" t="s">
        <v>405</v>
      </c>
      <c r="H6269" s="361" t="s">
        <v>536</v>
      </c>
      <c r="I6269" s="361" t="s">
        <v>693</v>
      </c>
      <c r="J6269" s="361"/>
      <c r="K6269" s="327" t="s">
        <v>223</v>
      </c>
      <c r="L6269" s="479">
        <v>322</v>
      </c>
      <c r="M6269" s="371"/>
      <c r="N6269" s="355" t="s">
        <v>2408</v>
      </c>
      <c r="O6269" s="345"/>
      <c r="P6269" s="325"/>
      <c r="Q6269" s="327"/>
      <c r="R6269" s="351"/>
      <c r="S6269" s="351"/>
      <c r="T6269" s="351"/>
      <c r="U6269" s="329" t="str">
        <f>IF($N6269=$N$4,IFERROR(INDEX(DanhMuc!$E$154:$E$165,MATCH(MID($B6269,4,2),DanhMuc!$B$154:$B$165,0)),""),"")</f>
        <v/>
      </c>
      <c r="V6269" s="361"/>
      <c r="W6269" s="345"/>
      <c r="X6269" s="786"/>
      <c r="Y6269" s="1128" t="s">
        <v>3380</v>
      </c>
      <c r="Z6269" s="1128" t="s">
        <v>3381</v>
      </c>
      <c r="AA6269" s="1128" t="s">
        <v>3384</v>
      </c>
      <c r="AB6269" s="20"/>
      <c r="AC6269" s="73"/>
    </row>
    <row r="6270" spans="1:29">
      <c r="A6270" s="327" t="str">
        <f>IF(AND($B6270&lt;&gt;"",$C6270&lt;&gt;""),MAX($A$4730:$A6269)+1,"")</f>
        <v/>
      </c>
      <c r="B6270" s="361" t="s">
        <v>1661</v>
      </c>
      <c r="C6270" s="362"/>
      <c r="D6270" s="327">
        <f>IF($B6270="","",COUNTIF($B$4731:$B6270,$B6270))</f>
        <v>8</v>
      </c>
      <c r="E6270" s="361" t="s">
        <v>656</v>
      </c>
      <c r="F6270" s="362" t="s">
        <v>2239</v>
      </c>
      <c r="G6270" s="327" t="s">
        <v>405</v>
      </c>
      <c r="H6270" s="361" t="s">
        <v>536</v>
      </c>
      <c r="I6270" s="361" t="s">
        <v>1827</v>
      </c>
      <c r="J6270" s="361"/>
      <c r="K6270" s="327" t="s">
        <v>100</v>
      </c>
      <c r="L6270" s="478">
        <v>970</v>
      </c>
      <c r="M6270" s="371"/>
      <c r="N6270" s="355" t="s">
        <v>2409</v>
      </c>
      <c r="O6270" s="345"/>
      <c r="P6270" s="325"/>
      <c r="Q6270" s="327"/>
      <c r="R6270" s="351"/>
      <c r="S6270" s="351"/>
      <c r="T6270" s="351"/>
      <c r="U6270" s="329" t="str">
        <f>IF($N6270=$N$4,IFERROR(INDEX(DanhMuc!$E$154:$E$165,MATCH(MID($B6270,4,2),DanhMuc!$B$154:$B$165,0)),""),"")</f>
        <v/>
      </c>
      <c r="V6270" s="361"/>
      <c r="W6270" s="345"/>
      <c r="X6270" s="786"/>
      <c r="Y6270" s="1128" t="s">
        <v>3380</v>
      </c>
      <c r="Z6270" s="1128" t="s">
        <v>3381</v>
      </c>
      <c r="AA6270" s="1128" t="s">
        <v>3384</v>
      </c>
      <c r="AB6270" s="20"/>
      <c r="AC6270" s="73"/>
    </row>
    <row r="6271" spans="1:29">
      <c r="A6271" s="327" t="str">
        <f>IF(AND($B6271&lt;&gt;"",$C6271&lt;&gt;""),MAX($A$4730:$A6270)+1,"")</f>
        <v/>
      </c>
      <c r="B6271" s="361" t="s">
        <v>1661</v>
      </c>
      <c r="C6271" s="362"/>
      <c r="D6271" s="327">
        <f>IF($B6271="","",COUNTIF($B$4731:$B6271,$B6271))</f>
        <v>9</v>
      </c>
      <c r="E6271" s="361" t="s">
        <v>657</v>
      </c>
      <c r="F6271" s="362" t="s">
        <v>658</v>
      </c>
      <c r="G6271" s="327" t="s">
        <v>424</v>
      </c>
      <c r="H6271" s="361" t="s">
        <v>536</v>
      </c>
      <c r="I6271" s="361" t="s">
        <v>665</v>
      </c>
      <c r="J6271" s="361"/>
      <c r="K6271" s="327" t="s">
        <v>100</v>
      </c>
      <c r="L6271" s="478">
        <v>60000</v>
      </c>
      <c r="M6271" s="355"/>
      <c r="N6271" s="355" t="s">
        <v>2409</v>
      </c>
      <c r="O6271" s="345"/>
      <c r="P6271" s="325"/>
      <c r="Q6271" s="327"/>
      <c r="R6271" s="351"/>
      <c r="S6271" s="351"/>
      <c r="T6271" s="351"/>
      <c r="U6271" s="329" t="str">
        <f>IF($N6271=$N$4,IFERROR(INDEX(DanhMuc!$E$154:$E$165,MATCH(MID($B6271,4,2),DanhMuc!$B$154:$B$165,0)),""),"")</f>
        <v/>
      </c>
      <c r="V6271" s="361"/>
      <c r="W6271" s="345"/>
      <c r="X6271" s="786"/>
      <c r="Y6271" s="1128" t="s">
        <v>3380</v>
      </c>
      <c r="Z6271" s="1128" t="s">
        <v>3381</v>
      </c>
      <c r="AA6271" s="1128" t="s">
        <v>3384</v>
      </c>
      <c r="AB6271" s="20"/>
      <c r="AC6271" s="73"/>
    </row>
    <row r="6272" spans="1:29">
      <c r="A6272" s="327" t="str">
        <f>IF(AND($B6272&lt;&gt;"",$C6272&lt;&gt;""),MAX($A$4730:$A6271)+1,"")</f>
        <v/>
      </c>
      <c r="B6272" s="361" t="s">
        <v>1661</v>
      </c>
      <c r="C6272" s="362"/>
      <c r="D6272" s="327">
        <f>IF($B6272="","",COUNTIF($B$4731:$B6272,$B6272))</f>
        <v>10</v>
      </c>
      <c r="E6272" s="361" t="s">
        <v>2771</v>
      </c>
      <c r="F6272" s="362" t="s">
        <v>659</v>
      </c>
      <c r="G6272" s="327" t="s">
        <v>424</v>
      </c>
      <c r="H6272" s="361" t="s">
        <v>536</v>
      </c>
      <c r="I6272" s="361" t="s">
        <v>666</v>
      </c>
      <c r="J6272" s="361"/>
      <c r="K6272" s="327" t="s">
        <v>100</v>
      </c>
      <c r="L6272" s="389">
        <v>53000</v>
      </c>
      <c r="M6272" s="355"/>
      <c r="N6272" s="355" t="s">
        <v>2409</v>
      </c>
      <c r="O6272" s="345"/>
      <c r="P6272" s="325"/>
      <c r="Q6272" s="327"/>
      <c r="R6272" s="351"/>
      <c r="S6272" s="351"/>
      <c r="T6272" s="351"/>
      <c r="U6272" s="329" t="str">
        <f>IF($N6272=$N$4,IFERROR(INDEX(DanhMuc!$E$154:$E$165,MATCH(MID($B6272,4,2),DanhMuc!$B$154:$B$165,0)),""),"")</f>
        <v/>
      </c>
      <c r="V6272" s="361"/>
      <c r="W6272" s="345"/>
      <c r="X6272" s="786"/>
      <c r="Y6272" s="1128" t="s">
        <v>3380</v>
      </c>
      <c r="Z6272" s="1128" t="s">
        <v>3381</v>
      </c>
      <c r="AA6272" s="1128" t="s">
        <v>3384</v>
      </c>
      <c r="AB6272" s="20"/>
      <c r="AC6272" s="73"/>
    </row>
    <row r="6273" spans="1:29">
      <c r="A6273" s="327" t="str">
        <f>IF(AND($B6273&lt;&gt;"",$C6273&lt;&gt;""),MAX($A$4730:$A6272)+1,"")</f>
        <v/>
      </c>
      <c r="B6273" s="361" t="s">
        <v>1661</v>
      </c>
      <c r="C6273" s="362"/>
      <c r="D6273" s="327">
        <f>IF($B6273="","",COUNTIF($B$4731:$B6273,$B6273))</f>
        <v>11</v>
      </c>
      <c r="E6273" s="361" t="s">
        <v>1828</v>
      </c>
      <c r="F6273" s="362" t="s">
        <v>671</v>
      </c>
      <c r="G6273" s="327" t="s">
        <v>661</v>
      </c>
      <c r="H6273" s="361" t="s">
        <v>536</v>
      </c>
      <c r="I6273" s="361" t="s">
        <v>2355</v>
      </c>
      <c r="J6273" s="361"/>
      <c r="K6273" s="327" t="s">
        <v>100</v>
      </c>
      <c r="L6273" s="478">
        <f>40000/1000</f>
        <v>40</v>
      </c>
      <c r="M6273" s="355"/>
      <c r="N6273" s="355" t="s">
        <v>2409</v>
      </c>
      <c r="O6273" s="345"/>
      <c r="P6273" s="325"/>
      <c r="Q6273" s="327"/>
      <c r="R6273" s="351"/>
      <c r="S6273" s="351"/>
      <c r="T6273" s="351"/>
      <c r="U6273" s="329" t="str">
        <f>IF($N6273=$N$4,IFERROR(INDEX(DanhMuc!$E$154:$E$165,MATCH(MID($B6273,4,2),DanhMuc!$B$154:$B$165,0)),""),"")</f>
        <v/>
      </c>
      <c r="V6273" s="361"/>
      <c r="W6273" s="345"/>
      <c r="X6273" s="786"/>
      <c r="Y6273" s="1128" t="s">
        <v>3380</v>
      </c>
      <c r="Z6273" s="1128" t="s">
        <v>3381</v>
      </c>
      <c r="AA6273" s="1128" t="s">
        <v>3384</v>
      </c>
      <c r="AB6273" s="20"/>
      <c r="AC6273" s="73"/>
    </row>
    <row r="6274" spans="1:29">
      <c r="A6274" s="327" t="str">
        <f>IF(AND($B6274&lt;&gt;"",$C6274&lt;&gt;""),MAX($A$4730:$A6273)+1,"")</f>
        <v/>
      </c>
      <c r="B6274" s="361" t="s">
        <v>1661</v>
      </c>
      <c r="C6274" s="362"/>
      <c r="D6274" s="327">
        <f>IF($B6274="","",COUNTIF($B$4731:$B6274,$B6274))</f>
        <v>12</v>
      </c>
      <c r="E6274" s="361" t="s">
        <v>154</v>
      </c>
      <c r="F6274" s="362" t="s">
        <v>660</v>
      </c>
      <c r="G6274" s="327" t="s">
        <v>661</v>
      </c>
      <c r="H6274" s="361" t="s">
        <v>536</v>
      </c>
      <c r="I6274" s="361" t="s">
        <v>667</v>
      </c>
      <c r="J6274" s="361"/>
      <c r="K6274" s="327" t="s">
        <v>662</v>
      </c>
      <c r="L6274" s="478">
        <v>20</v>
      </c>
      <c r="M6274" s="355"/>
      <c r="N6274" s="355" t="s">
        <v>2409</v>
      </c>
      <c r="O6274" s="345"/>
      <c r="P6274" s="325"/>
      <c r="Q6274" s="327"/>
      <c r="R6274" s="351"/>
      <c r="S6274" s="351"/>
      <c r="T6274" s="351"/>
      <c r="U6274" s="329" t="str">
        <f>IF($N6274=$N$4,IFERROR(INDEX(DanhMuc!$E$154:$E$165,MATCH(MID($B6274,4,2),DanhMuc!$B$154:$B$165,0)),""),"")</f>
        <v/>
      </c>
      <c r="V6274" s="361"/>
      <c r="W6274" s="345"/>
      <c r="X6274" s="786"/>
      <c r="Y6274" s="1128" t="s">
        <v>3380</v>
      </c>
      <c r="Z6274" s="1128" t="s">
        <v>3381</v>
      </c>
      <c r="AA6274" s="1128" t="s">
        <v>3384</v>
      </c>
      <c r="AB6274" s="20"/>
      <c r="AC6274" s="73"/>
    </row>
    <row r="6275" spans="1:29">
      <c r="A6275" s="327" t="str">
        <f>IF(AND($B6275&lt;&gt;"",$C6275&lt;&gt;""),MAX($A$4730:$A6274)+1,"")</f>
        <v/>
      </c>
      <c r="B6275" s="361" t="s">
        <v>1661</v>
      </c>
      <c r="C6275" s="362"/>
      <c r="D6275" s="327">
        <f>IF($B6275="","",COUNTIF($B$4731:$B6275,$B6275))</f>
        <v>13</v>
      </c>
      <c r="E6275" s="362" t="s">
        <v>2282</v>
      </c>
      <c r="F6275" s="362" t="s">
        <v>2283</v>
      </c>
      <c r="G6275" s="327" t="s">
        <v>424</v>
      </c>
      <c r="H6275" s="361" t="s">
        <v>536</v>
      </c>
      <c r="I6275" s="361" t="s">
        <v>2238</v>
      </c>
      <c r="J6275" s="361"/>
      <c r="K6275" s="327" t="s">
        <v>662</v>
      </c>
      <c r="L6275" s="478">
        <v>28000</v>
      </c>
      <c r="M6275" s="355"/>
      <c r="N6275" s="355" t="s">
        <v>2409</v>
      </c>
      <c r="O6275" s="345"/>
      <c r="P6275" s="325"/>
      <c r="Q6275" s="327"/>
      <c r="R6275" s="351"/>
      <c r="S6275" s="351"/>
      <c r="T6275" s="351"/>
      <c r="U6275" s="329" t="str">
        <f>IF($N6275=$N$4,IFERROR(INDEX(DanhMuc!$E$154:$E$165,MATCH(MID($B6275,4,2),DanhMuc!$B$154:$B$165,0)),""),"")</f>
        <v/>
      </c>
      <c r="V6275" s="361"/>
      <c r="W6275" s="345"/>
      <c r="X6275" s="786"/>
      <c r="Y6275" s="1128" t="s">
        <v>3380</v>
      </c>
      <c r="Z6275" s="1128" t="s">
        <v>3381</v>
      </c>
      <c r="AA6275" s="1128" t="s">
        <v>3384</v>
      </c>
      <c r="AB6275" s="20"/>
      <c r="AC6275" s="73"/>
    </row>
    <row r="6276" spans="1:29">
      <c r="A6276" s="327" t="str">
        <f>IF(AND($B6276&lt;&gt;"",$C6276&lt;&gt;""),MAX($A$4730:$A6275)+1,"")</f>
        <v/>
      </c>
      <c r="B6276" s="361" t="s">
        <v>1661</v>
      </c>
      <c r="C6276" s="362"/>
      <c r="D6276" s="327">
        <f>IF($B6276="","",COUNTIF($B$4731:$B6276,$B6276))</f>
        <v>14</v>
      </c>
      <c r="E6276" s="362" t="s">
        <v>663</v>
      </c>
      <c r="F6276" s="362" t="s">
        <v>664</v>
      </c>
      <c r="G6276" s="327" t="s">
        <v>155</v>
      </c>
      <c r="H6276" s="361" t="s">
        <v>536</v>
      </c>
      <c r="I6276" s="361" t="s">
        <v>672</v>
      </c>
      <c r="J6276" s="361"/>
      <c r="K6276" s="327" t="s">
        <v>662</v>
      </c>
      <c r="L6276" s="478">
        <v>1000</v>
      </c>
      <c r="M6276" s="355"/>
      <c r="N6276" s="355" t="s">
        <v>2409</v>
      </c>
      <c r="O6276" s="345"/>
      <c r="P6276" s="325"/>
      <c r="Q6276" s="327"/>
      <c r="R6276" s="351"/>
      <c r="S6276" s="351"/>
      <c r="T6276" s="351"/>
      <c r="U6276" s="329" t="str">
        <f>IF($N6276=$N$4,IFERROR(INDEX(DanhMuc!$E$154:$E$165,MATCH(MID($B6276,4,2),DanhMuc!$B$154:$B$165,0)),""),"")</f>
        <v/>
      </c>
      <c r="V6276" s="361"/>
      <c r="W6276" s="345"/>
      <c r="X6276" s="786"/>
      <c r="Y6276" s="1128" t="s">
        <v>3380</v>
      </c>
      <c r="Z6276" s="1128" t="s">
        <v>3381</v>
      </c>
      <c r="AA6276" s="1128" t="s">
        <v>3384</v>
      </c>
      <c r="AB6276" s="20"/>
      <c r="AC6276" s="73"/>
    </row>
    <row r="6277" spans="1:29" ht="39">
      <c r="A6277" s="327">
        <f>IF(AND($B6277&lt;&gt;"",$C6277&lt;&gt;""),MAX($A$4730:$A6276)+1,"")</f>
        <v>76</v>
      </c>
      <c r="B6277" s="359" t="s">
        <v>1733</v>
      </c>
      <c r="C6277" s="370" t="s">
        <v>1732</v>
      </c>
      <c r="D6277" s="327">
        <f>IF($B6277="","",COUNTIF($B$4731:$B6277,$B6277))</f>
        <v>1</v>
      </c>
      <c r="E6277" s="361">
        <v>1124</v>
      </c>
      <c r="F6277" s="362" t="s">
        <v>2327</v>
      </c>
      <c r="G6277" s="327" t="s">
        <v>155</v>
      </c>
      <c r="H6277" s="361" t="s">
        <v>536</v>
      </c>
      <c r="I6277" s="327">
        <v>4</v>
      </c>
      <c r="J6277" s="361"/>
      <c r="K6277" s="327" t="s">
        <v>100</v>
      </c>
      <c r="L6277" s="710" t="s">
        <v>2286</v>
      </c>
      <c r="M6277" s="355"/>
      <c r="N6277" s="355" t="s">
        <v>2408</v>
      </c>
      <c r="O6277" s="345"/>
      <c r="P6277" s="325"/>
      <c r="Q6277" s="327"/>
      <c r="R6277" s="351">
        <v>3</v>
      </c>
      <c r="S6277" s="351">
        <v>6</v>
      </c>
      <c r="T6277" s="351"/>
      <c r="U6277" s="329" t="str">
        <f>IF($N6277=$N$4,IFERROR(INDEX(DanhMuc!$E$154:$E$165,MATCH(MID($B6277,4,2),DanhMuc!$B$154:$B$165,0)),""),"")</f>
        <v/>
      </c>
      <c r="V6277" s="361"/>
      <c r="W6277" s="345"/>
      <c r="X6277" s="786"/>
      <c r="Y6277" s="1128" t="s">
        <v>3380</v>
      </c>
      <c r="Z6277" s="1128" t="s">
        <v>3381</v>
      </c>
      <c r="AA6277" s="1128" t="s">
        <v>3384</v>
      </c>
      <c r="AB6277" s="20"/>
      <c r="AC6277" s="73"/>
    </row>
    <row r="6278" spans="1:29">
      <c r="A6278" s="327" t="str">
        <f>IF(AND($B6278&lt;&gt;"",$C6278&lt;&gt;""),MAX($A$4730:$A6277)+1,"")</f>
        <v/>
      </c>
      <c r="B6278" s="361" t="s">
        <v>1733</v>
      </c>
      <c r="C6278" s="362"/>
      <c r="D6278" s="327">
        <f>IF($B6278="","",COUNTIF($B$4731:$B6278,$B6278))</f>
        <v>2</v>
      </c>
      <c r="E6278" s="361">
        <v>1124</v>
      </c>
      <c r="F6278" s="362" t="s">
        <v>2327</v>
      </c>
      <c r="G6278" s="327" t="s">
        <v>155</v>
      </c>
      <c r="H6278" s="361" t="s">
        <v>536</v>
      </c>
      <c r="I6278" s="327">
        <v>8</v>
      </c>
      <c r="J6278" s="361"/>
      <c r="K6278" s="327" t="s">
        <v>101</v>
      </c>
      <c r="L6278" s="710" t="s">
        <v>2286</v>
      </c>
      <c r="M6278" s="355"/>
      <c r="N6278" s="355" t="s">
        <v>2408</v>
      </c>
      <c r="O6278" s="345"/>
      <c r="P6278" s="325"/>
      <c r="Q6278" s="327"/>
      <c r="R6278" s="351">
        <v>3</v>
      </c>
      <c r="S6278" s="351">
        <v>6</v>
      </c>
      <c r="T6278" s="351"/>
      <c r="U6278" s="329" t="str">
        <f>IF($N6278=$N$4,IFERROR(INDEX(DanhMuc!$E$154:$E$165,MATCH(MID($B6278,4,2),DanhMuc!$B$154:$B$165,0)),""),"")</f>
        <v/>
      </c>
      <c r="V6278" s="361"/>
      <c r="W6278" s="345"/>
      <c r="X6278" s="786"/>
      <c r="Y6278" s="1128" t="s">
        <v>3380</v>
      </c>
      <c r="Z6278" s="1128" t="s">
        <v>3381</v>
      </c>
      <c r="AA6278" s="1128" t="s">
        <v>3384</v>
      </c>
      <c r="AB6278" s="20"/>
      <c r="AC6278" s="73"/>
    </row>
    <row r="6279" spans="1:29">
      <c r="A6279" s="327" t="str">
        <f>IF(AND($B6279&lt;&gt;"",$C6279&lt;&gt;""),MAX($A$4730:$A6278)+1,"")</f>
        <v/>
      </c>
      <c r="B6279" s="361" t="s">
        <v>1733</v>
      </c>
      <c r="C6279" s="362"/>
      <c r="D6279" s="327">
        <f>IF($B6279="","",COUNTIF($B$4731:$B6279,$B6279))</f>
        <v>3</v>
      </c>
      <c r="E6279" s="361" t="s">
        <v>1671</v>
      </c>
      <c r="F6279" s="362" t="s">
        <v>2329</v>
      </c>
      <c r="G6279" s="327" t="s">
        <v>155</v>
      </c>
      <c r="H6279" s="361" t="s">
        <v>536</v>
      </c>
      <c r="I6279" s="327">
        <f>I6278*2</f>
        <v>16</v>
      </c>
      <c r="J6279" s="361"/>
      <c r="K6279" s="327" t="s">
        <v>415</v>
      </c>
      <c r="L6279" s="389">
        <v>2000</v>
      </c>
      <c r="M6279" s="355"/>
      <c r="N6279" s="355" t="s">
        <v>2408</v>
      </c>
      <c r="O6279" s="345"/>
      <c r="P6279" s="325"/>
      <c r="Q6279" s="327"/>
      <c r="R6279" s="351"/>
      <c r="S6279" s="351"/>
      <c r="T6279" s="351"/>
      <c r="U6279" s="329" t="str">
        <f>IF($N6279=$N$4,IFERROR(INDEX(DanhMuc!$E$154:$E$165,MATCH(MID($B6279,4,2),DanhMuc!$B$154:$B$165,0)),""),"")</f>
        <v/>
      </c>
      <c r="V6279" s="361"/>
      <c r="W6279" s="345"/>
      <c r="X6279" s="786"/>
      <c r="Y6279" s="1128" t="s">
        <v>3380</v>
      </c>
      <c r="Z6279" s="1128" t="s">
        <v>3381</v>
      </c>
      <c r="AA6279" s="1128" t="s">
        <v>3384</v>
      </c>
      <c r="AB6279" s="20"/>
      <c r="AC6279" s="73"/>
    </row>
    <row r="6280" spans="1:29">
      <c r="A6280" s="327" t="str">
        <f>IF(AND($B6280&lt;&gt;"",$C6280&lt;&gt;""),MAX($A$4730:$A6279)+1,"")</f>
        <v/>
      </c>
      <c r="B6280" s="361" t="s">
        <v>1733</v>
      </c>
      <c r="C6280" s="362"/>
      <c r="D6280" s="327">
        <f>IF($B6280="","",COUNTIF($B$4731:$B6280,$B6280))</f>
        <v>4</v>
      </c>
      <c r="E6280" s="361" t="s">
        <v>654</v>
      </c>
      <c r="F6280" s="362" t="s">
        <v>653</v>
      </c>
      <c r="G6280" s="327" t="s">
        <v>1836</v>
      </c>
      <c r="H6280" s="361" t="s">
        <v>536</v>
      </c>
      <c r="I6280" s="327">
        <f>ROUND(SUM(I6277:I6278)/45,2)</f>
        <v>0.27</v>
      </c>
      <c r="J6280" s="477"/>
      <c r="K6280" s="327" t="s">
        <v>655</v>
      </c>
      <c r="L6280" s="478">
        <v>115000</v>
      </c>
      <c r="M6280" s="355"/>
      <c r="N6280" s="355" t="s">
        <v>2408</v>
      </c>
      <c r="O6280" s="345"/>
      <c r="P6280" s="325"/>
      <c r="Q6280" s="327"/>
      <c r="R6280" s="351"/>
      <c r="S6280" s="351"/>
      <c r="T6280" s="351"/>
      <c r="U6280" s="329" t="str">
        <f>IF($N6280=$N$4,IFERROR(INDEX(DanhMuc!$E$154:$E$165,MATCH(MID($B6280,4,2),DanhMuc!$B$154:$B$165,0)),""),"")</f>
        <v/>
      </c>
      <c r="V6280" s="361"/>
      <c r="W6280" s="345"/>
      <c r="X6280" s="786"/>
      <c r="Y6280" s="1128" t="s">
        <v>3380</v>
      </c>
      <c r="Z6280" s="1128" t="s">
        <v>3381</v>
      </c>
      <c r="AA6280" s="1128" t="s">
        <v>3384</v>
      </c>
      <c r="AB6280" s="20"/>
      <c r="AC6280" s="73"/>
    </row>
    <row r="6281" spans="1:29">
      <c r="A6281" s="327" t="str">
        <f>IF(AND($B6281&lt;&gt;"",$C6281&lt;&gt;""),MAX($A$4730:$A6280)+1,"")</f>
        <v/>
      </c>
      <c r="B6281" s="361" t="s">
        <v>1733</v>
      </c>
      <c r="C6281" s="360"/>
      <c r="D6281" s="327">
        <f>IF($B6281="","",COUNTIF($B$4731:$B6281,$B6281))</f>
        <v>5</v>
      </c>
      <c r="E6281" s="361" t="s">
        <v>1826</v>
      </c>
      <c r="F6281" s="362" t="s">
        <v>670</v>
      </c>
      <c r="G6281" s="327" t="s">
        <v>661</v>
      </c>
      <c r="H6281" s="361" t="s">
        <v>536</v>
      </c>
      <c r="I6281" s="361" t="s">
        <v>2354</v>
      </c>
      <c r="J6281" s="361"/>
      <c r="K6281" s="327" t="s">
        <v>103</v>
      </c>
      <c r="L6281" s="478">
        <f>40000/1000</f>
        <v>40</v>
      </c>
      <c r="M6281" s="355"/>
      <c r="N6281" s="355" t="s">
        <v>2408</v>
      </c>
      <c r="O6281" s="345"/>
      <c r="P6281" s="325"/>
      <c r="Q6281" s="327"/>
      <c r="R6281" s="351"/>
      <c r="S6281" s="351"/>
      <c r="T6281" s="351"/>
      <c r="U6281" s="329" t="str">
        <f>IF($N6281=$N$4,IFERROR(INDEX(DanhMuc!$E$154:$E$165,MATCH(MID($B6281,4,2),DanhMuc!$B$154:$B$165,0)),""),"")</f>
        <v/>
      </c>
      <c r="V6281" s="361"/>
      <c r="W6281" s="345"/>
      <c r="X6281" s="786"/>
      <c r="Y6281" s="1128" t="s">
        <v>3380</v>
      </c>
      <c r="Z6281" s="1128" t="s">
        <v>3381</v>
      </c>
      <c r="AA6281" s="1128" t="s">
        <v>3384</v>
      </c>
      <c r="AB6281" s="20"/>
      <c r="AC6281" s="73"/>
    </row>
    <row r="6282" spans="1:29" ht="37.5">
      <c r="A6282" s="327" t="str">
        <f>IF(AND($B6282&lt;&gt;"",$C6282&lt;&gt;""),MAX($A$4730:$A6281)+1,"")</f>
        <v/>
      </c>
      <c r="B6282" s="361" t="s">
        <v>1733</v>
      </c>
      <c r="C6282" s="362"/>
      <c r="D6282" s="327">
        <f>IF($B6282="","",COUNTIF($B$4731:$B6282,$B6282))</f>
        <v>6</v>
      </c>
      <c r="E6282" s="362" t="s">
        <v>1964</v>
      </c>
      <c r="F6282" s="362" t="s">
        <v>1965</v>
      </c>
      <c r="G6282" s="327" t="s">
        <v>405</v>
      </c>
      <c r="H6282" s="361" t="s">
        <v>536</v>
      </c>
      <c r="I6282" s="361" t="s">
        <v>693</v>
      </c>
      <c r="J6282" s="361"/>
      <c r="K6282" s="327" t="s">
        <v>223</v>
      </c>
      <c r="L6282" s="478">
        <v>140</v>
      </c>
      <c r="M6282" s="371"/>
      <c r="N6282" s="355" t="s">
        <v>2408</v>
      </c>
      <c r="O6282" s="345"/>
      <c r="P6282" s="325"/>
      <c r="Q6282" s="327"/>
      <c r="R6282" s="351"/>
      <c r="S6282" s="351"/>
      <c r="T6282" s="351"/>
      <c r="U6282" s="329" t="str">
        <f>IF($N6282=$N$4,IFERROR(INDEX(DanhMuc!$E$154:$E$165,MATCH(MID($B6282,4,2),DanhMuc!$B$154:$B$165,0)),""),"")</f>
        <v/>
      </c>
      <c r="V6282" s="361"/>
      <c r="W6282" s="345"/>
      <c r="X6282" s="786"/>
      <c r="Y6282" s="1128" t="s">
        <v>3380</v>
      </c>
      <c r="Z6282" s="1128" t="s">
        <v>3381</v>
      </c>
      <c r="AA6282" s="1128" t="s">
        <v>3384</v>
      </c>
      <c r="AB6282" s="20"/>
      <c r="AC6282" s="73"/>
    </row>
    <row r="6283" spans="1:29" ht="37.5">
      <c r="A6283" s="327" t="str">
        <f>IF(AND($B6283&lt;&gt;"",$C6283&lt;&gt;""),MAX($A$4730:$A6282)+1,"")</f>
        <v/>
      </c>
      <c r="B6283" s="361" t="s">
        <v>1733</v>
      </c>
      <c r="C6283" s="362"/>
      <c r="D6283" s="327">
        <f>IF($B6283="","",COUNTIF($B$4731:$B6283,$B6283))</f>
        <v>7</v>
      </c>
      <c r="E6283" s="362" t="s">
        <v>2756</v>
      </c>
      <c r="F6283" s="362" t="s">
        <v>2757</v>
      </c>
      <c r="G6283" s="327" t="s">
        <v>405</v>
      </c>
      <c r="H6283" s="361" t="s">
        <v>536</v>
      </c>
      <c r="I6283" s="361" t="s">
        <v>693</v>
      </c>
      <c r="J6283" s="361"/>
      <c r="K6283" s="327" t="s">
        <v>223</v>
      </c>
      <c r="L6283" s="479">
        <v>322</v>
      </c>
      <c r="M6283" s="371"/>
      <c r="N6283" s="355" t="s">
        <v>2408</v>
      </c>
      <c r="O6283" s="345"/>
      <c r="P6283" s="325"/>
      <c r="Q6283" s="327"/>
      <c r="R6283" s="351"/>
      <c r="S6283" s="351"/>
      <c r="T6283" s="351"/>
      <c r="U6283" s="329" t="str">
        <f>IF($N6283=$N$4,IFERROR(INDEX(DanhMuc!$E$154:$E$165,MATCH(MID($B6283,4,2),DanhMuc!$B$154:$B$165,0)),""),"")</f>
        <v/>
      </c>
      <c r="V6283" s="361"/>
      <c r="W6283" s="345"/>
      <c r="X6283" s="786"/>
      <c r="Y6283" s="1128" t="s">
        <v>3380</v>
      </c>
      <c r="Z6283" s="1128" t="s">
        <v>3381</v>
      </c>
      <c r="AA6283" s="1128" t="s">
        <v>3384</v>
      </c>
      <c r="AB6283" s="20"/>
      <c r="AC6283" s="73"/>
    </row>
    <row r="6284" spans="1:29">
      <c r="A6284" s="327" t="str">
        <f>IF(AND($B6284&lt;&gt;"",$C6284&lt;&gt;""),MAX($A$4730:$A6283)+1,"")</f>
        <v/>
      </c>
      <c r="B6284" s="361" t="s">
        <v>1733</v>
      </c>
      <c r="C6284" s="362"/>
      <c r="D6284" s="327">
        <f>IF($B6284="","",COUNTIF($B$4731:$B6284,$B6284))</f>
        <v>8</v>
      </c>
      <c r="E6284" s="361" t="s">
        <v>656</v>
      </c>
      <c r="F6284" s="362" t="s">
        <v>2239</v>
      </c>
      <c r="G6284" s="327" t="s">
        <v>405</v>
      </c>
      <c r="H6284" s="361" t="s">
        <v>536</v>
      </c>
      <c r="I6284" s="361" t="s">
        <v>1827</v>
      </c>
      <c r="J6284" s="361"/>
      <c r="K6284" s="327" t="s">
        <v>100</v>
      </c>
      <c r="L6284" s="478">
        <v>970</v>
      </c>
      <c r="M6284" s="371"/>
      <c r="N6284" s="355" t="s">
        <v>2409</v>
      </c>
      <c r="O6284" s="345"/>
      <c r="P6284" s="325"/>
      <c r="Q6284" s="327"/>
      <c r="R6284" s="351"/>
      <c r="S6284" s="351"/>
      <c r="T6284" s="351"/>
      <c r="U6284" s="329" t="str">
        <f>IF($N6284=$N$4,IFERROR(INDEX(DanhMuc!$E$154:$E$165,MATCH(MID($B6284,4,2),DanhMuc!$B$154:$B$165,0)),""),"")</f>
        <v/>
      </c>
      <c r="V6284" s="361"/>
      <c r="W6284" s="345"/>
      <c r="X6284" s="786"/>
      <c r="Y6284" s="1128" t="s">
        <v>3380</v>
      </c>
      <c r="Z6284" s="1128" t="s">
        <v>3381</v>
      </c>
      <c r="AA6284" s="1128" t="s">
        <v>3384</v>
      </c>
      <c r="AB6284" s="20"/>
      <c r="AC6284" s="73"/>
    </row>
    <row r="6285" spans="1:29">
      <c r="A6285" s="327" t="str">
        <f>IF(AND($B6285&lt;&gt;"",$C6285&lt;&gt;""),MAX($A$4730:$A6284)+1,"")</f>
        <v/>
      </c>
      <c r="B6285" s="361" t="s">
        <v>1733</v>
      </c>
      <c r="C6285" s="362"/>
      <c r="D6285" s="327">
        <f>IF($B6285="","",COUNTIF($B$4731:$B6285,$B6285))</f>
        <v>9</v>
      </c>
      <c r="E6285" s="361" t="s">
        <v>657</v>
      </c>
      <c r="F6285" s="362" t="s">
        <v>658</v>
      </c>
      <c r="G6285" s="327" t="s">
        <v>424</v>
      </c>
      <c r="H6285" s="361" t="s">
        <v>536</v>
      </c>
      <c r="I6285" s="361" t="s">
        <v>665</v>
      </c>
      <c r="J6285" s="361"/>
      <c r="K6285" s="327" t="s">
        <v>100</v>
      </c>
      <c r="L6285" s="478">
        <v>60000</v>
      </c>
      <c r="M6285" s="355"/>
      <c r="N6285" s="355" t="s">
        <v>2409</v>
      </c>
      <c r="O6285" s="345"/>
      <c r="P6285" s="325"/>
      <c r="Q6285" s="327"/>
      <c r="R6285" s="351"/>
      <c r="S6285" s="351"/>
      <c r="T6285" s="351"/>
      <c r="U6285" s="329" t="str">
        <f>IF($N6285=$N$4,IFERROR(INDEX(DanhMuc!$E$154:$E$165,MATCH(MID($B6285,4,2),DanhMuc!$B$154:$B$165,0)),""),"")</f>
        <v/>
      </c>
      <c r="V6285" s="361"/>
      <c r="W6285" s="345"/>
      <c r="X6285" s="786"/>
      <c r="Y6285" s="1128" t="s">
        <v>3380</v>
      </c>
      <c r="Z6285" s="1128" t="s">
        <v>3381</v>
      </c>
      <c r="AA6285" s="1128" t="s">
        <v>3384</v>
      </c>
      <c r="AB6285" s="20"/>
      <c r="AC6285" s="73"/>
    </row>
    <row r="6286" spans="1:29">
      <c r="A6286" s="327" t="str">
        <f>IF(AND($B6286&lt;&gt;"",$C6286&lt;&gt;""),MAX($A$4730:$A6285)+1,"")</f>
        <v/>
      </c>
      <c r="B6286" s="361" t="s">
        <v>1733</v>
      </c>
      <c r="C6286" s="362"/>
      <c r="D6286" s="327">
        <f>IF($B6286="","",COUNTIF($B$4731:$B6286,$B6286))</f>
        <v>10</v>
      </c>
      <c r="E6286" s="361" t="s">
        <v>2771</v>
      </c>
      <c r="F6286" s="362" t="s">
        <v>659</v>
      </c>
      <c r="G6286" s="327" t="s">
        <v>424</v>
      </c>
      <c r="H6286" s="361" t="s">
        <v>536</v>
      </c>
      <c r="I6286" s="361" t="s">
        <v>666</v>
      </c>
      <c r="J6286" s="361"/>
      <c r="K6286" s="327" t="s">
        <v>100</v>
      </c>
      <c r="L6286" s="389">
        <v>53000</v>
      </c>
      <c r="M6286" s="355"/>
      <c r="N6286" s="355" t="s">
        <v>2409</v>
      </c>
      <c r="O6286" s="345"/>
      <c r="P6286" s="325"/>
      <c r="Q6286" s="327"/>
      <c r="R6286" s="351"/>
      <c r="S6286" s="351"/>
      <c r="T6286" s="351"/>
      <c r="U6286" s="329" t="str">
        <f>IF($N6286=$N$4,IFERROR(INDEX(DanhMuc!$E$154:$E$165,MATCH(MID($B6286,4,2),DanhMuc!$B$154:$B$165,0)),""),"")</f>
        <v/>
      </c>
      <c r="V6286" s="361"/>
      <c r="W6286" s="345"/>
      <c r="X6286" s="786"/>
      <c r="Y6286" s="1128" t="s">
        <v>3380</v>
      </c>
      <c r="Z6286" s="1128" t="s">
        <v>3381</v>
      </c>
      <c r="AA6286" s="1128" t="s">
        <v>3384</v>
      </c>
      <c r="AB6286" s="20"/>
      <c r="AC6286" s="73"/>
    </row>
    <row r="6287" spans="1:29">
      <c r="A6287" s="327" t="str">
        <f>IF(AND($B6287&lt;&gt;"",$C6287&lt;&gt;""),MAX($A$4730:$A6286)+1,"")</f>
        <v/>
      </c>
      <c r="B6287" s="361" t="s">
        <v>1733</v>
      </c>
      <c r="C6287" s="362"/>
      <c r="D6287" s="327">
        <f>IF($B6287="","",COUNTIF($B$4731:$B6287,$B6287))</f>
        <v>11</v>
      </c>
      <c r="E6287" s="361" t="s">
        <v>1828</v>
      </c>
      <c r="F6287" s="362" t="s">
        <v>671</v>
      </c>
      <c r="G6287" s="327" t="s">
        <v>661</v>
      </c>
      <c r="H6287" s="361" t="s">
        <v>536</v>
      </c>
      <c r="I6287" s="361" t="s">
        <v>2355</v>
      </c>
      <c r="J6287" s="361"/>
      <c r="K6287" s="327" t="s">
        <v>100</v>
      </c>
      <c r="L6287" s="478">
        <f>40000/1000</f>
        <v>40</v>
      </c>
      <c r="M6287" s="355"/>
      <c r="N6287" s="355" t="s">
        <v>2409</v>
      </c>
      <c r="O6287" s="345"/>
      <c r="P6287" s="325"/>
      <c r="Q6287" s="327"/>
      <c r="R6287" s="351"/>
      <c r="S6287" s="351"/>
      <c r="T6287" s="351"/>
      <c r="U6287" s="329" t="str">
        <f>IF($N6287=$N$4,IFERROR(INDEX(DanhMuc!$E$154:$E$165,MATCH(MID($B6287,4,2),DanhMuc!$B$154:$B$165,0)),""),"")</f>
        <v/>
      </c>
      <c r="V6287" s="361"/>
      <c r="W6287" s="345"/>
      <c r="X6287" s="786"/>
      <c r="Y6287" s="1128" t="s">
        <v>3380</v>
      </c>
      <c r="Z6287" s="1128" t="s">
        <v>3381</v>
      </c>
      <c r="AA6287" s="1128" t="s">
        <v>3384</v>
      </c>
      <c r="AB6287" s="20"/>
      <c r="AC6287" s="73"/>
    </row>
    <row r="6288" spans="1:29">
      <c r="A6288" s="327" t="str">
        <f>IF(AND($B6288&lt;&gt;"",$C6288&lt;&gt;""),MAX($A$4730:$A6287)+1,"")</f>
        <v/>
      </c>
      <c r="B6288" s="361" t="s">
        <v>1733</v>
      </c>
      <c r="C6288" s="362"/>
      <c r="D6288" s="327">
        <f>IF($B6288="","",COUNTIF($B$4731:$B6288,$B6288))</f>
        <v>12</v>
      </c>
      <c r="E6288" s="361" t="s">
        <v>154</v>
      </c>
      <c r="F6288" s="362" t="s">
        <v>660</v>
      </c>
      <c r="G6288" s="327" t="s">
        <v>661</v>
      </c>
      <c r="H6288" s="361" t="s">
        <v>536</v>
      </c>
      <c r="I6288" s="361" t="s">
        <v>667</v>
      </c>
      <c r="J6288" s="361"/>
      <c r="K6288" s="327" t="s">
        <v>662</v>
      </c>
      <c r="L6288" s="478">
        <v>20</v>
      </c>
      <c r="M6288" s="355"/>
      <c r="N6288" s="355" t="s">
        <v>2409</v>
      </c>
      <c r="O6288" s="345"/>
      <c r="P6288" s="325"/>
      <c r="Q6288" s="327"/>
      <c r="R6288" s="351"/>
      <c r="S6288" s="351"/>
      <c r="T6288" s="351"/>
      <c r="U6288" s="329" t="str">
        <f>IF($N6288=$N$4,IFERROR(INDEX(DanhMuc!$E$154:$E$165,MATCH(MID($B6288,4,2),DanhMuc!$B$154:$B$165,0)),""),"")</f>
        <v/>
      </c>
      <c r="V6288" s="361"/>
      <c r="W6288" s="345"/>
      <c r="X6288" s="786"/>
      <c r="Y6288" s="1128" t="s">
        <v>3380</v>
      </c>
      <c r="Z6288" s="1128" t="s">
        <v>3381</v>
      </c>
      <c r="AA6288" s="1128" t="s">
        <v>3384</v>
      </c>
      <c r="AB6288" s="20"/>
      <c r="AC6288" s="73"/>
    </row>
    <row r="6289" spans="1:29">
      <c r="A6289" s="327" t="str">
        <f>IF(AND($B6289&lt;&gt;"",$C6289&lt;&gt;""),MAX($A$4730:$A6288)+1,"")</f>
        <v/>
      </c>
      <c r="B6289" s="361" t="s">
        <v>1733</v>
      </c>
      <c r="C6289" s="362"/>
      <c r="D6289" s="327">
        <f>IF($B6289="","",COUNTIF($B$4731:$B6289,$B6289))</f>
        <v>13</v>
      </c>
      <c r="E6289" s="362" t="s">
        <v>2282</v>
      </c>
      <c r="F6289" s="362" t="s">
        <v>2283</v>
      </c>
      <c r="G6289" s="327" t="s">
        <v>424</v>
      </c>
      <c r="H6289" s="361" t="s">
        <v>536</v>
      </c>
      <c r="I6289" s="361" t="s">
        <v>2238</v>
      </c>
      <c r="J6289" s="361"/>
      <c r="K6289" s="327" t="s">
        <v>662</v>
      </c>
      <c r="L6289" s="478">
        <v>28000</v>
      </c>
      <c r="M6289" s="355"/>
      <c r="N6289" s="355" t="s">
        <v>2409</v>
      </c>
      <c r="O6289" s="345"/>
      <c r="P6289" s="325"/>
      <c r="Q6289" s="327"/>
      <c r="R6289" s="351"/>
      <c r="S6289" s="351"/>
      <c r="T6289" s="351"/>
      <c r="U6289" s="329" t="str">
        <f>IF($N6289=$N$4,IFERROR(INDEX(DanhMuc!$E$154:$E$165,MATCH(MID($B6289,4,2),DanhMuc!$B$154:$B$165,0)),""),"")</f>
        <v/>
      </c>
      <c r="V6289" s="361"/>
      <c r="W6289" s="345"/>
      <c r="X6289" s="786"/>
      <c r="Y6289" s="1128" t="s">
        <v>3380</v>
      </c>
      <c r="Z6289" s="1128" t="s">
        <v>3381</v>
      </c>
      <c r="AA6289" s="1128" t="s">
        <v>3384</v>
      </c>
      <c r="AB6289" s="20"/>
      <c r="AC6289" s="73"/>
    </row>
    <row r="6290" spans="1:29">
      <c r="A6290" s="327" t="str">
        <f>IF(AND($B6290&lt;&gt;"",$C6290&lt;&gt;""),MAX($A$4730:$A6289)+1,"")</f>
        <v/>
      </c>
      <c r="B6290" s="361" t="s">
        <v>1733</v>
      </c>
      <c r="C6290" s="362"/>
      <c r="D6290" s="327">
        <f>IF($B6290="","",COUNTIF($B$4731:$B6290,$B6290))</f>
        <v>14</v>
      </c>
      <c r="E6290" s="362" t="s">
        <v>663</v>
      </c>
      <c r="F6290" s="362" t="s">
        <v>664</v>
      </c>
      <c r="G6290" s="327" t="s">
        <v>155</v>
      </c>
      <c r="H6290" s="361" t="s">
        <v>536</v>
      </c>
      <c r="I6290" s="361" t="s">
        <v>672</v>
      </c>
      <c r="J6290" s="361"/>
      <c r="K6290" s="327" t="s">
        <v>662</v>
      </c>
      <c r="L6290" s="478">
        <v>1000</v>
      </c>
      <c r="M6290" s="355"/>
      <c r="N6290" s="355" t="s">
        <v>2409</v>
      </c>
      <c r="O6290" s="345"/>
      <c r="P6290" s="325"/>
      <c r="Q6290" s="327"/>
      <c r="R6290" s="351"/>
      <c r="S6290" s="351"/>
      <c r="T6290" s="351"/>
      <c r="U6290" s="329" t="str">
        <f>IF($N6290=$N$4,IFERROR(INDEX(DanhMuc!$E$154:$E$165,MATCH(MID($B6290,4,2),DanhMuc!$B$154:$B$165,0)),""),"")</f>
        <v/>
      </c>
      <c r="V6290" s="361"/>
      <c r="W6290" s="345"/>
      <c r="X6290" s="786"/>
      <c r="Y6290" s="1128" t="s">
        <v>3380</v>
      </c>
      <c r="Z6290" s="1128" t="s">
        <v>3381</v>
      </c>
      <c r="AA6290" s="1128" t="s">
        <v>3384</v>
      </c>
      <c r="AB6290" s="20"/>
      <c r="AC6290" s="73"/>
    </row>
    <row r="6291" spans="1:29" ht="39">
      <c r="A6291" s="327">
        <f>IF(AND($B6291&lt;&gt;"",$C6291&lt;&gt;""),MAX($A$4730:$A6276)+1,"")</f>
        <v>76</v>
      </c>
      <c r="B6291" s="359" t="s">
        <v>2209</v>
      </c>
      <c r="C6291" s="370" t="s">
        <v>2210</v>
      </c>
      <c r="D6291" s="327">
        <f>IF($B6291="","",COUNTIF($B$4731:$B6291,$B6291))</f>
        <v>1</v>
      </c>
      <c r="E6291" s="361">
        <v>1124</v>
      </c>
      <c r="F6291" s="362" t="s">
        <v>2327</v>
      </c>
      <c r="G6291" s="327" t="s">
        <v>155</v>
      </c>
      <c r="H6291" s="361" t="s">
        <v>536</v>
      </c>
      <c r="I6291" s="327">
        <v>2</v>
      </c>
      <c r="J6291" s="361"/>
      <c r="K6291" s="327" t="s">
        <v>100</v>
      </c>
      <c r="L6291" s="710" t="s">
        <v>2286</v>
      </c>
      <c r="M6291" s="355"/>
      <c r="N6291" s="355" t="s">
        <v>2408</v>
      </c>
      <c r="O6291" s="345"/>
      <c r="P6291" s="325"/>
      <c r="Q6291" s="327"/>
      <c r="R6291" s="351">
        <v>3</v>
      </c>
      <c r="S6291" s="351">
        <v>6</v>
      </c>
      <c r="T6291" s="351"/>
      <c r="U6291" s="329" t="str">
        <f>IF($N6291=$N$4,IFERROR(INDEX(DanhMuc!$E$154:$E$165,MATCH(MID($B6291,4,2),DanhMuc!$B$154:$B$165,0)),""),"")</f>
        <v/>
      </c>
      <c r="V6291" s="361"/>
      <c r="W6291" s="345"/>
      <c r="X6291" s="786"/>
      <c r="Y6291" s="1128" t="s">
        <v>3380</v>
      </c>
      <c r="Z6291" s="1128" t="s">
        <v>3381</v>
      </c>
      <c r="AA6291" s="1128" t="s">
        <v>3384</v>
      </c>
      <c r="AB6291" s="20"/>
      <c r="AC6291" s="73"/>
    </row>
    <row r="6292" spans="1:29">
      <c r="A6292" s="327" t="str">
        <f>IF(AND($B6292&lt;&gt;"",$C6292&lt;&gt;""),MAX($A$4730:$A6291)+1,"")</f>
        <v/>
      </c>
      <c r="B6292" s="361" t="s">
        <v>2209</v>
      </c>
      <c r="C6292" s="362"/>
      <c r="D6292" s="327">
        <f>IF($B6292="","",COUNTIF($B$4731:$B6292,$B6292))</f>
        <v>2</v>
      </c>
      <c r="E6292" s="361">
        <v>1124</v>
      </c>
      <c r="F6292" s="362" t="s">
        <v>2327</v>
      </c>
      <c r="G6292" s="327" t="s">
        <v>155</v>
      </c>
      <c r="H6292" s="361" t="s">
        <v>536</v>
      </c>
      <c r="I6292" s="327">
        <v>12</v>
      </c>
      <c r="J6292" s="361"/>
      <c r="K6292" s="327" t="s">
        <v>101</v>
      </c>
      <c r="L6292" s="710" t="s">
        <v>2286</v>
      </c>
      <c r="M6292" s="355"/>
      <c r="N6292" s="355" t="s">
        <v>2408</v>
      </c>
      <c r="O6292" s="345"/>
      <c r="P6292" s="325"/>
      <c r="Q6292" s="327"/>
      <c r="R6292" s="351">
        <v>3</v>
      </c>
      <c r="S6292" s="351">
        <v>6</v>
      </c>
      <c r="T6292" s="351"/>
      <c r="U6292" s="329" t="str">
        <f>IF($N6292=$N$4,IFERROR(INDEX(DanhMuc!$E$154:$E$165,MATCH(MID($B6292,4,2),DanhMuc!$B$154:$B$165,0)),""),"")</f>
        <v/>
      </c>
      <c r="V6292" s="361"/>
      <c r="W6292" s="345"/>
      <c r="X6292" s="786"/>
      <c r="Y6292" s="1128" t="s">
        <v>3380</v>
      </c>
      <c r="Z6292" s="1128" t="s">
        <v>3381</v>
      </c>
      <c r="AA6292" s="1128" t="s">
        <v>3384</v>
      </c>
      <c r="AB6292" s="20"/>
      <c r="AC6292" s="73"/>
    </row>
    <row r="6293" spans="1:29">
      <c r="A6293" s="327" t="str">
        <f>IF(AND($B6293&lt;&gt;"",$C6293&lt;&gt;""),MAX($A$4730:$A6292)+1,"")</f>
        <v/>
      </c>
      <c r="B6293" s="361" t="s">
        <v>2209</v>
      </c>
      <c r="C6293" s="362"/>
      <c r="D6293" s="327">
        <f>IF($B6293="","",COUNTIF($B$4731:$B6293,$B6293))</f>
        <v>3</v>
      </c>
      <c r="E6293" s="361" t="s">
        <v>1671</v>
      </c>
      <c r="F6293" s="362" t="s">
        <v>2329</v>
      </c>
      <c r="G6293" s="327" t="s">
        <v>155</v>
      </c>
      <c r="H6293" s="361" t="s">
        <v>536</v>
      </c>
      <c r="I6293" s="327">
        <f>I6292*2</f>
        <v>24</v>
      </c>
      <c r="J6293" s="361"/>
      <c r="K6293" s="327" t="s">
        <v>415</v>
      </c>
      <c r="L6293" s="389">
        <v>2000</v>
      </c>
      <c r="M6293" s="355"/>
      <c r="N6293" s="355" t="s">
        <v>2408</v>
      </c>
      <c r="O6293" s="345"/>
      <c r="P6293" s="325"/>
      <c r="Q6293" s="327"/>
      <c r="R6293" s="351"/>
      <c r="S6293" s="351"/>
      <c r="T6293" s="351"/>
      <c r="U6293" s="329" t="str">
        <f>IF($N6293=$N$4,IFERROR(INDEX(DanhMuc!$E$154:$E$165,MATCH(MID($B6293,4,2),DanhMuc!$B$154:$B$165,0)),""),"")</f>
        <v/>
      </c>
      <c r="V6293" s="361"/>
      <c r="W6293" s="345"/>
      <c r="X6293" s="786"/>
      <c r="Y6293" s="1128" t="s">
        <v>3380</v>
      </c>
      <c r="Z6293" s="1128" t="s">
        <v>3381</v>
      </c>
      <c r="AA6293" s="1128" t="s">
        <v>3384</v>
      </c>
      <c r="AB6293" s="20"/>
      <c r="AC6293" s="73"/>
    </row>
    <row r="6294" spans="1:29">
      <c r="A6294" s="327" t="str">
        <f>IF(AND($B6294&lt;&gt;"",$C6294&lt;&gt;""),MAX($A$4730:$A6293)+1,"")</f>
        <v/>
      </c>
      <c r="B6294" s="361" t="s">
        <v>2209</v>
      </c>
      <c r="C6294" s="362"/>
      <c r="D6294" s="327">
        <f>IF($B6294="","",COUNTIF($B$4731:$B6294,$B6294))</f>
        <v>4</v>
      </c>
      <c r="E6294" s="361" t="s">
        <v>654</v>
      </c>
      <c r="F6294" s="362" t="s">
        <v>653</v>
      </c>
      <c r="G6294" s="327" t="s">
        <v>1836</v>
      </c>
      <c r="H6294" s="361" t="s">
        <v>536</v>
      </c>
      <c r="I6294" s="327">
        <f>ROUND(SUM(I6291:I6292)/45,2)</f>
        <v>0.31</v>
      </c>
      <c r="J6294" s="477"/>
      <c r="K6294" s="327" t="s">
        <v>655</v>
      </c>
      <c r="L6294" s="478">
        <v>115000</v>
      </c>
      <c r="M6294" s="355"/>
      <c r="N6294" s="355" t="s">
        <v>2408</v>
      </c>
      <c r="O6294" s="345"/>
      <c r="P6294" s="325"/>
      <c r="Q6294" s="327"/>
      <c r="R6294" s="351"/>
      <c r="S6294" s="351"/>
      <c r="T6294" s="351"/>
      <c r="U6294" s="329" t="str">
        <f>IF($N6294=$N$4,IFERROR(INDEX(DanhMuc!$E$154:$E$165,MATCH(MID($B6294,4,2),DanhMuc!$B$154:$B$165,0)),""),"")</f>
        <v/>
      </c>
      <c r="V6294" s="361"/>
      <c r="W6294" s="345"/>
      <c r="X6294" s="786"/>
      <c r="Y6294" s="1128" t="s">
        <v>3380</v>
      </c>
      <c r="Z6294" s="1128" t="s">
        <v>3381</v>
      </c>
      <c r="AA6294" s="1128" t="s">
        <v>3384</v>
      </c>
      <c r="AB6294" s="20"/>
      <c r="AC6294" s="73"/>
    </row>
    <row r="6295" spans="1:29">
      <c r="A6295" s="327" t="str">
        <f>IF(AND($B6295&lt;&gt;"",$C6295&lt;&gt;""),MAX($A$4730:$A6294)+1,"")</f>
        <v/>
      </c>
      <c r="B6295" s="361" t="s">
        <v>2209</v>
      </c>
      <c r="C6295" s="360"/>
      <c r="D6295" s="327">
        <f>IF($B6295="","",COUNTIF($B$4731:$B6295,$B6295))</f>
        <v>5</v>
      </c>
      <c r="E6295" s="361" t="s">
        <v>1826</v>
      </c>
      <c r="F6295" s="362" t="s">
        <v>670</v>
      </c>
      <c r="G6295" s="327" t="s">
        <v>661</v>
      </c>
      <c r="H6295" s="361" t="s">
        <v>536</v>
      </c>
      <c r="I6295" s="361" t="s">
        <v>2354</v>
      </c>
      <c r="J6295" s="361"/>
      <c r="K6295" s="327" t="s">
        <v>103</v>
      </c>
      <c r="L6295" s="478">
        <f>40000/1000</f>
        <v>40</v>
      </c>
      <c r="M6295" s="355"/>
      <c r="N6295" s="355" t="s">
        <v>2408</v>
      </c>
      <c r="O6295" s="345"/>
      <c r="P6295" s="325"/>
      <c r="Q6295" s="327"/>
      <c r="R6295" s="351"/>
      <c r="S6295" s="351"/>
      <c r="T6295" s="351"/>
      <c r="U6295" s="329" t="str">
        <f>IF($N6295=$N$4,IFERROR(INDEX(DanhMuc!$E$154:$E$165,MATCH(MID($B6295,4,2),DanhMuc!$B$154:$B$165,0)),""),"")</f>
        <v/>
      </c>
      <c r="V6295" s="361"/>
      <c r="W6295" s="345"/>
      <c r="X6295" s="786"/>
      <c r="Y6295" s="1128" t="s">
        <v>3380</v>
      </c>
      <c r="Z6295" s="1128" t="s">
        <v>3381</v>
      </c>
      <c r="AA6295" s="1128" t="s">
        <v>3384</v>
      </c>
      <c r="AB6295" s="20"/>
      <c r="AC6295" s="73"/>
    </row>
    <row r="6296" spans="1:29" ht="37.5">
      <c r="A6296" s="327" t="str">
        <f>IF(AND($B6296&lt;&gt;"",$C6296&lt;&gt;""),MAX($A$4730:$A6295)+1,"")</f>
        <v/>
      </c>
      <c r="B6296" s="361" t="s">
        <v>2209</v>
      </c>
      <c r="C6296" s="362"/>
      <c r="D6296" s="327">
        <f>IF($B6296="","",COUNTIF($B$4731:$B6296,$B6296))</f>
        <v>6</v>
      </c>
      <c r="E6296" s="362" t="s">
        <v>1964</v>
      </c>
      <c r="F6296" s="362" t="s">
        <v>1965</v>
      </c>
      <c r="G6296" s="327" t="s">
        <v>405</v>
      </c>
      <c r="H6296" s="361" t="s">
        <v>536</v>
      </c>
      <c r="I6296" s="361" t="s">
        <v>693</v>
      </c>
      <c r="J6296" s="361"/>
      <c r="K6296" s="327" t="s">
        <v>223</v>
      </c>
      <c r="L6296" s="478">
        <v>140</v>
      </c>
      <c r="M6296" s="371"/>
      <c r="N6296" s="355" t="s">
        <v>2408</v>
      </c>
      <c r="O6296" s="345"/>
      <c r="P6296" s="325"/>
      <c r="Q6296" s="327"/>
      <c r="R6296" s="351"/>
      <c r="S6296" s="351"/>
      <c r="T6296" s="351"/>
      <c r="U6296" s="329" t="str">
        <f>IF($N6296=$N$4,IFERROR(INDEX(DanhMuc!$E$154:$E$165,MATCH(MID($B6296,4,2),DanhMuc!$B$154:$B$165,0)),""),"")</f>
        <v/>
      </c>
      <c r="V6296" s="361"/>
      <c r="W6296" s="345"/>
      <c r="X6296" s="786"/>
      <c r="Y6296" s="1128" t="s">
        <v>3380</v>
      </c>
      <c r="Z6296" s="1128" t="s">
        <v>3381</v>
      </c>
      <c r="AA6296" s="1128" t="s">
        <v>3384</v>
      </c>
      <c r="AB6296" s="20"/>
      <c r="AC6296" s="73"/>
    </row>
    <row r="6297" spans="1:29" ht="37.5">
      <c r="A6297" s="327" t="str">
        <f>IF(AND($B6297&lt;&gt;"",$C6297&lt;&gt;""),MAX($A$4730:$A6296)+1,"")</f>
        <v/>
      </c>
      <c r="B6297" s="361" t="s">
        <v>2209</v>
      </c>
      <c r="C6297" s="362"/>
      <c r="D6297" s="327">
        <f>IF($B6297="","",COUNTIF($B$4731:$B6297,$B6297))</f>
        <v>7</v>
      </c>
      <c r="E6297" s="362" t="s">
        <v>2756</v>
      </c>
      <c r="F6297" s="362" t="s">
        <v>2757</v>
      </c>
      <c r="G6297" s="327" t="s">
        <v>405</v>
      </c>
      <c r="H6297" s="361" t="s">
        <v>536</v>
      </c>
      <c r="I6297" s="361" t="s">
        <v>693</v>
      </c>
      <c r="J6297" s="361"/>
      <c r="K6297" s="327" t="s">
        <v>223</v>
      </c>
      <c r="L6297" s="479">
        <v>322</v>
      </c>
      <c r="M6297" s="371"/>
      <c r="N6297" s="355" t="s">
        <v>2408</v>
      </c>
      <c r="O6297" s="345"/>
      <c r="P6297" s="325"/>
      <c r="Q6297" s="327"/>
      <c r="R6297" s="351"/>
      <c r="S6297" s="351"/>
      <c r="T6297" s="351"/>
      <c r="U6297" s="329" t="str">
        <f>IF($N6297=$N$4,IFERROR(INDEX(DanhMuc!$E$154:$E$165,MATCH(MID($B6297,4,2),DanhMuc!$B$154:$B$165,0)),""),"")</f>
        <v/>
      </c>
      <c r="V6297" s="361"/>
      <c r="W6297" s="345"/>
      <c r="X6297" s="786"/>
      <c r="Y6297" s="1128" t="s">
        <v>3380</v>
      </c>
      <c r="Z6297" s="1128" t="s">
        <v>3381</v>
      </c>
      <c r="AA6297" s="1128" t="s">
        <v>3384</v>
      </c>
      <c r="AB6297" s="20"/>
      <c r="AC6297" s="73"/>
    </row>
    <row r="6298" spans="1:29">
      <c r="A6298" s="327" t="str">
        <f>IF(AND($B6298&lt;&gt;"",$C6298&lt;&gt;""),MAX($A$4730:$A6297)+1,"")</f>
        <v/>
      </c>
      <c r="B6298" s="361" t="s">
        <v>2209</v>
      </c>
      <c r="C6298" s="362"/>
      <c r="D6298" s="327">
        <f>IF($B6298="","",COUNTIF($B$4731:$B6298,$B6298))</f>
        <v>8</v>
      </c>
      <c r="E6298" s="361" t="s">
        <v>656</v>
      </c>
      <c r="F6298" s="362" t="s">
        <v>2239</v>
      </c>
      <c r="G6298" s="327" t="s">
        <v>405</v>
      </c>
      <c r="H6298" s="361" t="s">
        <v>536</v>
      </c>
      <c r="I6298" s="361" t="s">
        <v>1827</v>
      </c>
      <c r="J6298" s="361"/>
      <c r="K6298" s="327" t="s">
        <v>100</v>
      </c>
      <c r="L6298" s="478">
        <v>970</v>
      </c>
      <c r="M6298" s="371"/>
      <c r="N6298" s="355" t="s">
        <v>2409</v>
      </c>
      <c r="O6298" s="345"/>
      <c r="P6298" s="325"/>
      <c r="Q6298" s="327"/>
      <c r="R6298" s="351"/>
      <c r="S6298" s="351"/>
      <c r="T6298" s="351"/>
      <c r="U6298" s="329" t="str">
        <f>IF($N6298=$N$4,IFERROR(INDEX(DanhMuc!$E$154:$E$165,MATCH(MID($B6298,4,2),DanhMuc!$B$154:$B$165,0)),""),"")</f>
        <v/>
      </c>
      <c r="V6298" s="361"/>
      <c r="W6298" s="345"/>
      <c r="X6298" s="786"/>
      <c r="Y6298" s="1128" t="s">
        <v>3380</v>
      </c>
      <c r="Z6298" s="1128" t="s">
        <v>3381</v>
      </c>
      <c r="AA6298" s="1128" t="s">
        <v>3384</v>
      </c>
      <c r="AB6298" s="20"/>
      <c r="AC6298" s="73"/>
    </row>
    <row r="6299" spans="1:29">
      <c r="A6299" s="327" t="str">
        <f>IF(AND($B6299&lt;&gt;"",$C6299&lt;&gt;""),MAX($A$4730:$A6298)+1,"")</f>
        <v/>
      </c>
      <c r="B6299" s="361" t="s">
        <v>2209</v>
      </c>
      <c r="C6299" s="362"/>
      <c r="D6299" s="327">
        <f>IF($B6299="","",COUNTIF($B$4731:$B6299,$B6299))</f>
        <v>9</v>
      </c>
      <c r="E6299" s="361" t="s">
        <v>657</v>
      </c>
      <c r="F6299" s="362" t="s">
        <v>658</v>
      </c>
      <c r="G6299" s="327" t="s">
        <v>424</v>
      </c>
      <c r="H6299" s="361" t="s">
        <v>536</v>
      </c>
      <c r="I6299" s="361" t="s">
        <v>665</v>
      </c>
      <c r="J6299" s="361"/>
      <c r="K6299" s="327" t="s">
        <v>100</v>
      </c>
      <c r="L6299" s="478">
        <v>60000</v>
      </c>
      <c r="M6299" s="355"/>
      <c r="N6299" s="355" t="s">
        <v>2409</v>
      </c>
      <c r="O6299" s="345"/>
      <c r="P6299" s="325"/>
      <c r="Q6299" s="327"/>
      <c r="R6299" s="351"/>
      <c r="S6299" s="351"/>
      <c r="T6299" s="351"/>
      <c r="U6299" s="329" t="str">
        <f>IF($N6299=$N$4,IFERROR(INDEX(DanhMuc!$E$154:$E$165,MATCH(MID($B6299,4,2),DanhMuc!$B$154:$B$165,0)),""),"")</f>
        <v/>
      </c>
      <c r="V6299" s="361"/>
      <c r="W6299" s="345"/>
      <c r="X6299" s="786"/>
      <c r="Y6299" s="1128" t="s">
        <v>3380</v>
      </c>
      <c r="Z6299" s="1128" t="s">
        <v>3381</v>
      </c>
      <c r="AA6299" s="1128" t="s">
        <v>3384</v>
      </c>
      <c r="AB6299" s="20"/>
      <c r="AC6299" s="73"/>
    </row>
    <row r="6300" spans="1:29">
      <c r="A6300" s="327" t="str">
        <f>IF(AND($B6300&lt;&gt;"",$C6300&lt;&gt;""),MAX($A$4730:$A6299)+1,"")</f>
        <v/>
      </c>
      <c r="B6300" s="361" t="s">
        <v>2209</v>
      </c>
      <c r="C6300" s="362"/>
      <c r="D6300" s="327">
        <f>IF($B6300="","",COUNTIF($B$4731:$B6300,$B6300))</f>
        <v>10</v>
      </c>
      <c r="E6300" s="361" t="s">
        <v>2771</v>
      </c>
      <c r="F6300" s="362" t="s">
        <v>659</v>
      </c>
      <c r="G6300" s="327" t="s">
        <v>424</v>
      </c>
      <c r="H6300" s="361" t="s">
        <v>536</v>
      </c>
      <c r="I6300" s="361" t="s">
        <v>666</v>
      </c>
      <c r="J6300" s="361"/>
      <c r="K6300" s="327" t="s">
        <v>100</v>
      </c>
      <c r="L6300" s="389">
        <v>53000</v>
      </c>
      <c r="M6300" s="355"/>
      <c r="N6300" s="355" t="s">
        <v>2409</v>
      </c>
      <c r="O6300" s="345"/>
      <c r="P6300" s="325"/>
      <c r="Q6300" s="327"/>
      <c r="R6300" s="351"/>
      <c r="S6300" s="351"/>
      <c r="T6300" s="351"/>
      <c r="U6300" s="329" t="str">
        <f>IF($N6300=$N$4,IFERROR(INDEX(DanhMuc!$E$154:$E$165,MATCH(MID($B6300,4,2),DanhMuc!$B$154:$B$165,0)),""),"")</f>
        <v/>
      </c>
      <c r="V6300" s="361"/>
      <c r="W6300" s="345"/>
      <c r="X6300" s="786"/>
      <c r="Y6300" s="1128" t="s">
        <v>3380</v>
      </c>
      <c r="Z6300" s="1128" t="s">
        <v>3381</v>
      </c>
      <c r="AA6300" s="1128" t="s">
        <v>3384</v>
      </c>
      <c r="AB6300" s="20"/>
      <c r="AC6300" s="73"/>
    </row>
    <row r="6301" spans="1:29">
      <c r="A6301" s="327" t="str">
        <f>IF(AND($B6301&lt;&gt;"",$C6301&lt;&gt;""),MAX($A$4730:$A6300)+1,"")</f>
        <v/>
      </c>
      <c r="B6301" s="361" t="s">
        <v>2209</v>
      </c>
      <c r="C6301" s="362"/>
      <c r="D6301" s="327">
        <f>IF($B6301="","",COUNTIF($B$4731:$B6301,$B6301))</f>
        <v>11</v>
      </c>
      <c r="E6301" s="361" t="s">
        <v>1828</v>
      </c>
      <c r="F6301" s="362" t="s">
        <v>671</v>
      </c>
      <c r="G6301" s="327" t="s">
        <v>661</v>
      </c>
      <c r="H6301" s="361" t="s">
        <v>536</v>
      </c>
      <c r="I6301" s="361" t="s">
        <v>2355</v>
      </c>
      <c r="J6301" s="361"/>
      <c r="K6301" s="327" t="s">
        <v>100</v>
      </c>
      <c r="L6301" s="478">
        <f>40000/1000</f>
        <v>40</v>
      </c>
      <c r="M6301" s="355"/>
      <c r="N6301" s="355" t="s">
        <v>2409</v>
      </c>
      <c r="O6301" s="345"/>
      <c r="P6301" s="325"/>
      <c r="Q6301" s="327"/>
      <c r="R6301" s="351"/>
      <c r="S6301" s="351"/>
      <c r="T6301" s="351"/>
      <c r="U6301" s="329" t="str">
        <f>IF($N6301=$N$4,IFERROR(INDEX(DanhMuc!$E$154:$E$165,MATCH(MID($B6301,4,2),DanhMuc!$B$154:$B$165,0)),""),"")</f>
        <v/>
      </c>
      <c r="V6301" s="361"/>
      <c r="W6301" s="345"/>
      <c r="X6301" s="786"/>
      <c r="Y6301" s="1128" t="s">
        <v>3380</v>
      </c>
      <c r="Z6301" s="1128" t="s">
        <v>3381</v>
      </c>
      <c r="AA6301" s="1128" t="s">
        <v>3384</v>
      </c>
      <c r="AB6301" s="20"/>
      <c r="AC6301" s="73"/>
    </row>
    <row r="6302" spans="1:29">
      <c r="A6302" s="327" t="str">
        <f>IF(AND($B6302&lt;&gt;"",$C6302&lt;&gt;""),MAX($A$4730:$A6301)+1,"")</f>
        <v/>
      </c>
      <c r="B6302" s="361" t="s">
        <v>2209</v>
      </c>
      <c r="C6302" s="362"/>
      <c r="D6302" s="327">
        <f>IF($B6302="","",COUNTIF($B$4731:$B6302,$B6302))</f>
        <v>12</v>
      </c>
      <c r="E6302" s="361" t="s">
        <v>154</v>
      </c>
      <c r="F6302" s="362" t="s">
        <v>660</v>
      </c>
      <c r="G6302" s="327" t="s">
        <v>661</v>
      </c>
      <c r="H6302" s="361" t="s">
        <v>536</v>
      </c>
      <c r="I6302" s="361" t="s">
        <v>667</v>
      </c>
      <c r="J6302" s="361"/>
      <c r="K6302" s="327" t="s">
        <v>662</v>
      </c>
      <c r="L6302" s="478">
        <v>20</v>
      </c>
      <c r="M6302" s="355"/>
      <c r="N6302" s="355" t="s">
        <v>2409</v>
      </c>
      <c r="O6302" s="345"/>
      <c r="P6302" s="325"/>
      <c r="Q6302" s="327"/>
      <c r="R6302" s="351"/>
      <c r="S6302" s="351"/>
      <c r="T6302" s="351"/>
      <c r="U6302" s="329" t="str">
        <f>IF($N6302=$N$4,IFERROR(INDEX(DanhMuc!$E$154:$E$165,MATCH(MID($B6302,4,2),DanhMuc!$B$154:$B$165,0)),""),"")</f>
        <v/>
      </c>
      <c r="V6302" s="361"/>
      <c r="W6302" s="345"/>
      <c r="X6302" s="786"/>
      <c r="Y6302" s="1128" t="s">
        <v>3380</v>
      </c>
      <c r="Z6302" s="1128" t="s">
        <v>3381</v>
      </c>
      <c r="AA6302" s="1128" t="s">
        <v>3384</v>
      </c>
      <c r="AB6302" s="20"/>
      <c r="AC6302" s="73"/>
    </row>
    <row r="6303" spans="1:29">
      <c r="A6303" s="327" t="str">
        <f>IF(AND($B6303&lt;&gt;"",$C6303&lt;&gt;""),MAX($A$4730:$A6302)+1,"")</f>
        <v/>
      </c>
      <c r="B6303" s="361" t="s">
        <v>2209</v>
      </c>
      <c r="C6303" s="362"/>
      <c r="D6303" s="327">
        <f>IF($B6303="","",COUNTIF($B$4731:$B6303,$B6303))</f>
        <v>13</v>
      </c>
      <c r="E6303" s="362" t="s">
        <v>2282</v>
      </c>
      <c r="F6303" s="362" t="s">
        <v>2283</v>
      </c>
      <c r="G6303" s="327" t="s">
        <v>424</v>
      </c>
      <c r="H6303" s="361" t="s">
        <v>536</v>
      </c>
      <c r="I6303" s="361" t="s">
        <v>2238</v>
      </c>
      <c r="J6303" s="361"/>
      <c r="K6303" s="327" t="s">
        <v>662</v>
      </c>
      <c r="L6303" s="478">
        <v>28000</v>
      </c>
      <c r="M6303" s="355"/>
      <c r="N6303" s="355" t="s">
        <v>2409</v>
      </c>
      <c r="O6303" s="345"/>
      <c r="P6303" s="325"/>
      <c r="Q6303" s="327"/>
      <c r="R6303" s="351"/>
      <c r="S6303" s="351"/>
      <c r="T6303" s="351"/>
      <c r="U6303" s="329" t="str">
        <f>IF($N6303=$N$4,IFERROR(INDEX(DanhMuc!$E$154:$E$165,MATCH(MID($B6303,4,2),DanhMuc!$B$154:$B$165,0)),""),"")</f>
        <v/>
      </c>
      <c r="V6303" s="361"/>
      <c r="W6303" s="345"/>
      <c r="X6303" s="786"/>
      <c r="Y6303" s="1128" t="s">
        <v>3380</v>
      </c>
      <c r="Z6303" s="1128" t="s">
        <v>3381</v>
      </c>
      <c r="AA6303" s="1128" t="s">
        <v>3384</v>
      </c>
      <c r="AB6303" s="20"/>
      <c r="AC6303" s="73"/>
    </row>
    <row r="6304" spans="1:29">
      <c r="A6304" s="327" t="str">
        <f>IF(AND($B6304&lt;&gt;"",$C6304&lt;&gt;""),MAX($A$4730:$A6303)+1,"")</f>
        <v/>
      </c>
      <c r="B6304" s="361" t="s">
        <v>2209</v>
      </c>
      <c r="C6304" s="362"/>
      <c r="D6304" s="327">
        <f>IF($B6304="","",COUNTIF($B$4731:$B6304,$B6304))</f>
        <v>14</v>
      </c>
      <c r="E6304" s="362" t="s">
        <v>663</v>
      </c>
      <c r="F6304" s="362" t="s">
        <v>664</v>
      </c>
      <c r="G6304" s="327" t="s">
        <v>155</v>
      </c>
      <c r="H6304" s="361" t="s">
        <v>536</v>
      </c>
      <c r="I6304" s="361" t="s">
        <v>672</v>
      </c>
      <c r="J6304" s="361"/>
      <c r="K6304" s="327" t="s">
        <v>662</v>
      </c>
      <c r="L6304" s="478">
        <v>1000</v>
      </c>
      <c r="M6304" s="355"/>
      <c r="N6304" s="355" t="s">
        <v>2409</v>
      </c>
      <c r="O6304" s="345"/>
      <c r="P6304" s="325"/>
      <c r="Q6304" s="327"/>
      <c r="R6304" s="351"/>
      <c r="S6304" s="351"/>
      <c r="T6304" s="351"/>
      <c r="U6304" s="329" t="str">
        <f>IF($N6304=$N$4,IFERROR(INDEX(DanhMuc!$E$154:$E$165,MATCH(MID($B6304,4,2),DanhMuc!$B$154:$B$165,0)),""),"")</f>
        <v/>
      </c>
      <c r="V6304" s="361"/>
      <c r="W6304" s="345"/>
      <c r="X6304" s="786"/>
      <c r="Y6304" s="1128" t="s">
        <v>3380</v>
      </c>
      <c r="Z6304" s="1128" t="s">
        <v>3381</v>
      </c>
      <c r="AA6304" s="1128" t="s">
        <v>3384</v>
      </c>
      <c r="AB6304" s="20"/>
      <c r="AC6304" s="73"/>
    </row>
    <row r="6305" spans="1:29" ht="39">
      <c r="A6305" s="327">
        <f>IF(AND($B6305&lt;&gt;"",$C6305&lt;&gt;""),MAX($A$4730:$A6290)+1,"")</f>
        <v>77</v>
      </c>
      <c r="B6305" s="359" t="s">
        <v>1749</v>
      </c>
      <c r="C6305" s="370" t="s">
        <v>1748</v>
      </c>
      <c r="D6305" s="327">
        <f>IF($B6305="","",COUNTIF($B$4731:$B6305,$B6305))</f>
        <v>1</v>
      </c>
      <c r="E6305" s="361">
        <v>1124</v>
      </c>
      <c r="F6305" s="362" t="s">
        <v>2327</v>
      </c>
      <c r="G6305" s="327" t="s">
        <v>155</v>
      </c>
      <c r="H6305" s="361" t="s">
        <v>536</v>
      </c>
      <c r="I6305" s="327">
        <v>4</v>
      </c>
      <c r="J6305" s="361"/>
      <c r="K6305" s="327" t="s">
        <v>100</v>
      </c>
      <c r="L6305" s="710" t="s">
        <v>2286</v>
      </c>
      <c r="M6305" s="355"/>
      <c r="N6305" s="355" t="s">
        <v>2408</v>
      </c>
      <c r="O6305" s="345"/>
      <c r="P6305" s="325"/>
      <c r="Q6305" s="327"/>
      <c r="R6305" s="351">
        <v>3</v>
      </c>
      <c r="S6305" s="351">
        <v>6</v>
      </c>
      <c r="T6305" s="351"/>
      <c r="U6305" s="329" t="str">
        <f>IF($N6305=$N$4,IFERROR(INDEX(DanhMuc!$E$154:$E$165,MATCH(MID($B6305,4,2),DanhMuc!$B$154:$B$165,0)),""),"")</f>
        <v/>
      </c>
      <c r="V6305" s="361"/>
      <c r="W6305" s="345"/>
      <c r="X6305" s="786"/>
      <c r="Y6305" s="1128" t="s">
        <v>3380</v>
      </c>
      <c r="Z6305" s="1128" t="s">
        <v>3381</v>
      </c>
      <c r="AA6305" s="1128" t="s">
        <v>3384</v>
      </c>
      <c r="AB6305" s="20"/>
      <c r="AC6305" s="73"/>
    </row>
    <row r="6306" spans="1:29">
      <c r="A6306" s="327" t="str">
        <f>IF(AND($B6306&lt;&gt;"",$C6306&lt;&gt;""),MAX($A$4730:$A6305)+1,"")</f>
        <v/>
      </c>
      <c r="B6306" s="361" t="s">
        <v>1749</v>
      </c>
      <c r="C6306" s="362"/>
      <c r="D6306" s="327">
        <f>IF($B6306="","",COUNTIF($B$4731:$B6306,$B6306))</f>
        <v>2</v>
      </c>
      <c r="E6306" s="361">
        <v>1124</v>
      </c>
      <c r="F6306" s="362" t="s">
        <v>2327</v>
      </c>
      <c r="G6306" s="327" t="s">
        <v>155</v>
      </c>
      <c r="H6306" s="361" t="s">
        <v>536</v>
      </c>
      <c r="I6306" s="327">
        <f>4*4</f>
        <v>16</v>
      </c>
      <c r="J6306" s="361"/>
      <c r="K6306" s="327" t="s">
        <v>101</v>
      </c>
      <c r="L6306" s="710" t="s">
        <v>2286</v>
      </c>
      <c r="M6306" s="355"/>
      <c r="N6306" s="355" t="s">
        <v>2408</v>
      </c>
      <c r="O6306" s="345"/>
      <c r="P6306" s="325"/>
      <c r="Q6306" s="327"/>
      <c r="R6306" s="351">
        <v>3</v>
      </c>
      <c r="S6306" s="351">
        <v>6</v>
      </c>
      <c r="T6306" s="351"/>
      <c r="U6306" s="329" t="str">
        <f>IF($N6306=$N$4,IFERROR(INDEX(DanhMuc!$E$154:$E$165,MATCH(MID($B6306,4,2),DanhMuc!$B$154:$B$165,0)),""),"")</f>
        <v/>
      </c>
      <c r="V6306" s="361"/>
      <c r="W6306" s="345"/>
      <c r="X6306" s="786"/>
      <c r="Y6306" s="1128" t="s">
        <v>3380</v>
      </c>
      <c r="Z6306" s="1128" t="s">
        <v>3381</v>
      </c>
      <c r="AA6306" s="1128" t="s">
        <v>3384</v>
      </c>
      <c r="AB6306" s="20"/>
      <c r="AC6306" s="73"/>
    </row>
    <row r="6307" spans="1:29">
      <c r="A6307" s="327" t="str">
        <f>IF(AND($B6307&lt;&gt;"",$C6307&lt;&gt;""),MAX($A$4730:$A6306)+1,"")</f>
        <v/>
      </c>
      <c r="B6307" s="361" t="s">
        <v>1749</v>
      </c>
      <c r="C6307" s="362"/>
      <c r="D6307" s="327">
        <f>IF($B6307="","",COUNTIF($B$4731:$B6307,$B6307))</f>
        <v>3</v>
      </c>
      <c r="E6307" s="361" t="s">
        <v>1671</v>
      </c>
      <c r="F6307" s="362" t="s">
        <v>2329</v>
      </c>
      <c r="G6307" s="327" t="s">
        <v>155</v>
      </c>
      <c r="H6307" s="361" t="s">
        <v>536</v>
      </c>
      <c r="I6307" s="327">
        <f>I6306*2</f>
        <v>32</v>
      </c>
      <c r="J6307" s="361"/>
      <c r="K6307" s="327" t="s">
        <v>415</v>
      </c>
      <c r="L6307" s="389">
        <v>2000</v>
      </c>
      <c r="M6307" s="355"/>
      <c r="N6307" s="355" t="s">
        <v>2408</v>
      </c>
      <c r="O6307" s="345"/>
      <c r="P6307" s="325"/>
      <c r="Q6307" s="327"/>
      <c r="R6307" s="351"/>
      <c r="S6307" s="351"/>
      <c r="T6307" s="351"/>
      <c r="U6307" s="329" t="str">
        <f>IF($N6307=$N$4,IFERROR(INDEX(DanhMuc!$E$154:$E$165,MATCH(MID($B6307,4,2),DanhMuc!$B$154:$B$165,0)),""),"")</f>
        <v/>
      </c>
      <c r="V6307" s="361"/>
      <c r="W6307" s="345"/>
      <c r="X6307" s="786"/>
      <c r="Y6307" s="1128" t="s">
        <v>3380</v>
      </c>
      <c r="Z6307" s="1128" t="s">
        <v>3381</v>
      </c>
      <c r="AA6307" s="1128" t="s">
        <v>3384</v>
      </c>
      <c r="AB6307" s="20"/>
      <c r="AC6307" s="73"/>
    </row>
    <row r="6308" spans="1:29">
      <c r="A6308" s="327" t="str">
        <f>IF(AND($B6308&lt;&gt;"",$C6308&lt;&gt;""),MAX($A$4730:$A6307)+1,"")</f>
        <v/>
      </c>
      <c r="B6308" s="361" t="s">
        <v>1749</v>
      </c>
      <c r="C6308" s="362"/>
      <c r="D6308" s="327">
        <f>IF($B6308="","",COUNTIF($B$4731:$B6308,$B6308))</f>
        <v>4</v>
      </c>
      <c r="E6308" s="361" t="s">
        <v>654</v>
      </c>
      <c r="F6308" s="362" t="s">
        <v>653</v>
      </c>
      <c r="G6308" s="327" t="s">
        <v>1836</v>
      </c>
      <c r="H6308" s="361" t="s">
        <v>536</v>
      </c>
      <c r="I6308" s="327">
        <f>ROUND(SUM(I6305:I6306)/45,2)</f>
        <v>0.44</v>
      </c>
      <c r="J6308" s="477"/>
      <c r="K6308" s="327" t="s">
        <v>655</v>
      </c>
      <c r="L6308" s="478">
        <v>115000</v>
      </c>
      <c r="M6308" s="355"/>
      <c r="N6308" s="355" t="s">
        <v>2408</v>
      </c>
      <c r="O6308" s="345"/>
      <c r="P6308" s="325"/>
      <c r="Q6308" s="327"/>
      <c r="R6308" s="351"/>
      <c r="S6308" s="351"/>
      <c r="T6308" s="351"/>
      <c r="U6308" s="329" t="str">
        <f>IF($N6308=$N$4,IFERROR(INDEX(DanhMuc!$E$154:$E$165,MATCH(MID($B6308,4,2),DanhMuc!$B$154:$B$165,0)),""),"")</f>
        <v/>
      </c>
      <c r="V6308" s="361"/>
      <c r="W6308" s="345"/>
      <c r="X6308" s="786"/>
      <c r="Y6308" s="1128" t="s">
        <v>3380</v>
      </c>
      <c r="Z6308" s="1128" t="s">
        <v>3381</v>
      </c>
      <c r="AA6308" s="1128" t="s">
        <v>3384</v>
      </c>
      <c r="AB6308" s="20"/>
      <c r="AC6308" s="73"/>
    </row>
    <row r="6309" spans="1:29">
      <c r="A6309" s="327" t="str">
        <f>IF(AND($B6309&lt;&gt;"",$C6309&lt;&gt;""),MAX($A$4730:$A6308)+1,"")</f>
        <v/>
      </c>
      <c r="B6309" s="361" t="s">
        <v>1749</v>
      </c>
      <c r="C6309" s="360"/>
      <c r="D6309" s="327">
        <f>IF($B6309="","",COUNTIF($B$4731:$B6309,$B6309))</f>
        <v>5</v>
      </c>
      <c r="E6309" s="361" t="s">
        <v>1826</v>
      </c>
      <c r="F6309" s="362" t="s">
        <v>670</v>
      </c>
      <c r="G6309" s="327" t="s">
        <v>661</v>
      </c>
      <c r="H6309" s="361" t="s">
        <v>536</v>
      </c>
      <c r="I6309" s="361" t="s">
        <v>2354</v>
      </c>
      <c r="J6309" s="361"/>
      <c r="K6309" s="327" t="s">
        <v>103</v>
      </c>
      <c r="L6309" s="478">
        <f>40000/1000</f>
        <v>40</v>
      </c>
      <c r="M6309" s="355"/>
      <c r="N6309" s="355" t="s">
        <v>2408</v>
      </c>
      <c r="O6309" s="345"/>
      <c r="P6309" s="325"/>
      <c r="Q6309" s="327"/>
      <c r="R6309" s="351"/>
      <c r="S6309" s="351"/>
      <c r="T6309" s="351"/>
      <c r="U6309" s="329" t="str">
        <f>IF($N6309=$N$4,IFERROR(INDEX(DanhMuc!$E$154:$E$165,MATCH(MID($B6309,4,2),DanhMuc!$B$154:$B$165,0)),""),"")</f>
        <v/>
      </c>
      <c r="V6309" s="361"/>
      <c r="W6309" s="345"/>
      <c r="X6309" s="786"/>
      <c r="Y6309" s="1128" t="s">
        <v>3380</v>
      </c>
      <c r="Z6309" s="1128" t="s">
        <v>3381</v>
      </c>
      <c r="AA6309" s="1128" t="s">
        <v>3384</v>
      </c>
      <c r="AB6309" s="20"/>
      <c r="AC6309" s="73"/>
    </row>
    <row r="6310" spans="1:29" ht="37.5">
      <c r="A6310" s="327" t="str">
        <f>IF(AND($B6310&lt;&gt;"",$C6310&lt;&gt;""),MAX($A$4730:$A6309)+1,"")</f>
        <v/>
      </c>
      <c r="B6310" s="361" t="s">
        <v>1749</v>
      </c>
      <c r="C6310" s="362"/>
      <c r="D6310" s="327">
        <f>IF($B6310="","",COUNTIF($B$4731:$B6310,$B6310))</f>
        <v>6</v>
      </c>
      <c r="E6310" s="362" t="s">
        <v>1964</v>
      </c>
      <c r="F6310" s="362" t="s">
        <v>1965</v>
      </c>
      <c r="G6310" s="327" t="s">
        <v>405</v>
      </c>
      <c r="H6310" s="361" t="s">
        <v>536</v>
      </c>
      <c r="I6310" s="361" t="s">
        <v>693</v>
      </c>
      <c r="J6310" s="361"/>
      <c r="K6310" s="327" t="s">
        <v>223</v>
      </c>
      <c r="L6310" s="478">
        <v>140</v>
      </c>
      <c r="M6310" s="371"/>
      <c r="N6310" s="355" t="s">
        <v>2408</v>
      </c>
      <c r="O6310" s="345"/>
      <c r="P6310" s="325"/>
      <c r="Q6310" s="327"/>
      <c r="R6310" s="351"/>
      <c r="S6310" s="351"/>
      <c r="T6310" s="351"/>
      <c r="U6310" s="329" t="str">
        <f>IF($N6310=$N$4,IFERROR(INDEX(DanhMuc!$E$154:$E$165,MATCH(MID($B6310,4,2),DanhMuc!$B$154:$B$165,0)),""),"")</f>
        <v/>
      </c>
      <c r="V6310" s="361"/>
      <c r="W6310" s="345"/>
      <c r="X6310" s="786"/>
      <c r="Y6310" s="1128" t="s">
        <v>3380</v>
      </c>
      <c r="Z6310" s="1128" t="s">
        <v>3381</v>
      </c>
      <c r="AA6310" s="1128" t="s">
        <v>3384</v>
      </c>
      <c r="AB6310" s="20"/>
      <c r="AC6310" s="73"/>
    </row>
    <row r="6311" spans="1:29" ht="37.5">
      <c r="A6311" s="327" t="str">
        <f>IF(AND($B6311&lt;&gt;"",$C6311&lt;&gt;""),MAX($A$4730:$A6310)+1,"")</f>
        <v/>
      </c>
      <c r="B6311" s="361" t="s">
        <v>1749</v>
      </c>
      <c r="C6311" s="362"/>
      <c r="D6311" s="327">
        <f>IF($B6311="","",COUNTIF($B$4731:$B6311,$B6311))</f>
        <v>7</v>
      </c>
      <c r="E6311" s="362" t="s">
        <v>2756</v>
      </c>
      <c r="F6311" s="362" t="s">
        <v>2757</v>
      </c>
      <c r="G6311" s="327" t="s">
        <v>405</v>
      </c>
      <c r="H6311" s="361" t="s">
        <v>536</v>
      </c>
      <c r="I6311" s="361" t="s">
        <v>693</v>
      </c>
      <c r="J6311" s="361"/>
      <c r="K6311" s="327" t="s">
        <v>223</v>
      </c>
      <c r="L6311" s="479">
        <v>322</v>
      </c>
      <c r="M6311" s="371"/>
      <c r="N6311" s="355" t="s">
        <v>2408</v>
      </c>
      <c r="O6311" s="345"/>
      <c r="P6311" s="325"/>
      <c r="Q6311" s="327"/>
      <c r="R6311" s="351"/>
      <c r="S6311" s="351"/>
      <c r="T6311" s="351"/>
      <c r="U6311" s="329" t="str">
        <f>IF($N6311=$N$4,IFERROR(INDEX(DanhMuc!$E$154:$E$165,MATCH(MID($B6311,4,2),DanhMuc!$B$154:$B$165,0)),""),"")</f>
        <v/>
      </c>
      <c r="V6311" s="361"/>
      <c r="W6311" s="345"/>
      <c r="X6311" s="786"/>
      <c r="Y6311" s="1128" t="s">
        <v>3380</v>
      </c>
      <c r="Z6311" s="1128" t="s">
        <v>3381</v>
      </c>
      <c r="AA6311" s="1128" t="s">
        <v>3384</v>
      </c>
      <c r="AB6311" s="20"/>
      <c r="AC6311" s="73"/>
    </row>
    <row r="6312" spans="1:29">
      <c r="A6312" s="327" t="str">
        <f>IF(AND($B6312&lt;&gt;"",$C6312&lt;&gt;""),MAX($A$4730:$A6311)+1,"")</f>
        <v/>
      </c>
      <c r="B6312" s="361" t="s">
        <v>1749</v>
      </c>
      <c r="C6312" s="362"/>
      <c r="D6312" s="327">
        <f>IF($B6312="","",COUNTIF($B$4731:$B6312,$B6312))</f>
        <v>8</v>
      </c>
      <c r="E6312" s="361" t="s">
        <v>656</v>
      </c>
      <c r="F6312" s="362" t="s">
        <v>2239</v>
      </c>
      <c r="G6312" s="327" t="s">
        <v>405</v>
      </c>
      <c r="H6312" s="361" t="s">
        <v>536</v>
      </c>
      <c r="I6312" s="361" t="s">
        <v>1827</v>
      </c>
      <c r="J6312" s="361"/>
      <c r="K6312" s="327" t="s">
        <v>100</v>
      </c>
      <c r="L6312" s="478">
        <v>970</v>
      </c>
      <c r="M6312" s="371"/>
      <c r="N6312" s="355" t="s">
        <v>2409</v>
      </c>
      <c r="O6312" s="345"/>
      <c r="P6312" s="325"/>
      <c r="Q6312" s="327"/>
      <c r="R6312" s="351"/>
      <c r="S6312" s="351"/>
      <c r="T6312" s="351"/>
      <c r="U6312" s="329" t="str">
        <f>IF($N6312=$N$4,IFERROR(INDEX(DanhMuc!$E$154:$E$165,MATCH(MID($B6312,4,2),DanhMuc!$B$154:$B$165,0)),""),"")</f>
        <v/>
      </c>
      <c r="V6312" s="361"/>
      <c r="W6312" s="345"/>
      <c r="X6312" s="786"/>
      <c r="Y6312" s="1128" t="s">
        <v>3380</v>
      </c>
      <c r="Z6312" s="1128" t="s">
        <v>3381</v>
      </c>
      <c r="AA6312" s="1128" t="s">
        <v>3384</v>
      </c>
      <c r="AB6312" s="20"/>
      <c r="AC6312" s="73"/>
    </row>
    <row r="6313" spans="1:29">
      <c r="A6313" s="327" t="str">
        <f>IF(AND($B6313&lt;&gt;"",$C6313&lt;&gt;""),MAX($A$4730:$A6312)+1,"")</f>
        <v/>
      </c>
      <c r="B6313" s="361" t="s">
        <v>1749</v>
      </c>
      <c r="C6313" s="362"/>
      <c r="D6313" s="327">
        <f>IF($B6313="","",COUNTIF($B$4731:$B6313,$B6313))</f>
        <v>9</v>
      </c>
      <c r="E6313" s="361" t="s">
        <v>657</v>
      </c>
      <c r="F6313" s="362" t="s">
        <v>658</v>
      </c>
      <c r="G6313" s="327" t="s">
        <v>424</v>
      </c>
      <c r="H6313" s="361" t="s">
        <v>536</v>
      </c>
      <c r="I6313" s="361" t="s">
        <v>665</v>
      </c>
      <c r="J6313" s="361"/>
      <c r="K6313" s="327" t="s">
        <v>100</v>
      </c>
      <c r="L6313" s="478">
        <v>60000</v>
      </c>
      <c r="M6313" s="355"/>
      <c r="N6313" s="355" t="s">
        <v>2409</v>
      </c>
      <c r="O6313" s="345"/>
      <c r="P6313" s="325"/>
      <c r="Q6313" s="327"/>
      <c r="R6313" s="351"/>
      <c r="S6313" s="351"/>
      <c r="T6313" s="351"/>
      <c r="U6313" s="329" t="str">
        <f>IF($N6313=$N$4,IFERROR(INDEX(DanhMuc!$E$154:$E$165,MATCH(MID($B6313,4,2),DanhMuc!$B$154:$B$165,0)),""),"")</f>
        <v/>
      </c>
      <c r="V6313" s="361"/>
      <c r="W6313" s="345"/>
      <c r="X6313" s="786"/>
      <c r="Y6313" s="1128" t="s">
        <v>3380</v>
      </c>
      <c r="Z6313" s="1128" t="s">
        <v>3381</v>
      </c>
      <c r="AA6313" s="1128" t="s">
        <v>3384</v>
      </c>
      <c r="AB6313" s="20"/>
      <c r="AC6313" s="73"/>
    </row>
    <row r="6314" spans="1:29">
      <c r="A6314" s="327" t="str">
        <f>IF(AND($B6314&lt;&gt;"",$C6314&lt;&gt;""),MAX($A$4730:$A6313)+1,"")</f>
        <v/>
      </c>
      <c r="B6314" s="361" t="s">
        <v>1749</v>
      </c>
      <c r="C6314" s="362"/>
      <c r="D6314" s="327">
        <f>IF($B6314="","",COUNTIF($B$4731:$B6314,$B6314))</f>
        <v>10</v>
      </c>
      <c r="E6314" s="361" t="s">
        <v>2771</v>
      </c>
      <c r="F6314" s="362" t="s">
        <v>659</v>
      </c>
      <c r="G6314" s="327" t="s">
        <v>424</v>
      </c>
      <c r="H6314" s="361" t="s">
        <v>536</v>
      </c>
      <c r="I6314" s="361" t="s">
        <v>666</v>
      </c>
      <c r="J6314" s="361"/>
      <c r="K6314" s="327" t="s">
        <v>100</v>
      </c>
      <c r="L6314" s="389">
        <v>53000</v>
      </c>
      <c r="M6314" s="355"/>
      <c r="N6314" s="355" t="s">
        <v>2409</v>
      </c>
      <c r="O6314" s="345"/>
      <c r="P6314" s="325"/>
      <c r="Q6314" s="327"/>
      <c r="R6314" s="351"/>
      <c r="S6314" s="351"/>
      <c r="T6314" s="351"/>
      <c r="U6314" s="329" t="str">
        <f>IF($N6314=$N$4,IFERROR(INDEX(DanhMuc!$E$154:$E$165,MATCH(MID($B6314,4,2),DanhMuc!$B$154:$B$165,0)),""),"")</f>
        <v/>
      </c>
      <c r="V6314" s="361"/>
      <c r="W6314" s="345"/>
      <c r="X6314" s="786"/>
      <c r="Y6314" s="1128" t="s">
        <v>3380</v>
      </c>
      <c r="Z6314" s="1128" t="s">
        <v>3381</v>
      </c>
      <c r="AA6314" s="1128" t="s">
        <v>3384</v>
      </c>
      <c r="AB6314" s="20"/>
      <c r="AC6314" s="73"/>
    </row>
    <row r="6315" spans="1:29">
      <c r="A6315" s="327" t="str">
        <f>IF(AND($B6315&lt;&gt;"",$C6315&lt;&gt;""),MAX($A$4730:$A6314)+1,"")</f>
        <v/>
      </c>
      <c r="B6315" s="361" t="s">
        <v>1749</v>
      </c>
      <c r="C6315" s="362"/>
      <c r="D6315" s="327">
        <f>IF($B6315="","",COUNTIF($B$4731:$B6315,$B6315))</f>
        <v>11</v>
      </c>
      <c r="E6315" s="361" t="s">
        <v>1828</v>
      </c>
      <c r="F6315" s="362" t="s">
        <v>671</v>
      </c>
      <c r="G6315" s="327" t="s">
        <v>661</v>
      </c>
      <c r="H6315" s="361" t="s">
        <v>536</v>
      </c>
      <c r="I6315" s="361" t="s">
        <v>2355</v>
      </c>
      <c r="J6315" s="361"/>
      <c r="K6315" s="327" t="s">
        <v>100</v>
      </c>
      <c r="L6315" s="478">
        <f>40000/1000</f>
        <v>40</v>
      </c>
      <c r="M6315" s="355"/>
      <c r="N6315" s="355" t="s">
        <v>2409</v>
      </c>
      <c r="O6315" s="345"/>
      <c r="P6315" s="325"/>
      <c r="Q6315" s="327"/>
      <c r="R6315" s="351"/>
      <c r="S6315" s="351"/>
      <c r="T6315" s="351"/>
      <c r="U6315" s="329" t="str">
        <f>IF($N6315=$N$4,IFERROR(INDEX(DanhMuc!$E$154:$E$165,MATCH(MID($B6315,4,2),DanhMuc!$B$154:$B$165,0)),""),"")</f>
        <v/>
      </c>
      <c r="V6315" s="361"/>
      <c r="W6315" s="345"/>
      <c r="X6315" s="786"/>
      <c r="Y6315" s="1128" t="s">
        <v>3380</v>
      </c>
      <c r="Z6315" s="1128" t="s">
        <v>3381</v>
      </c>
      <c r="AA6315" s="1128" t="s">
        <v>3384</v>
      </c>
      <c r="AB6315" s="20"/>
      <c r="AC6315" s="73"/>
    </row>
    <row r="6316" spans="1:29">
      <c r="A6316" s="327" t="str">
        <f>IF(AND($B6316&lt;&gt;"",$C6316&lt;&gt;""),MAX($A$4730:$A6315)+1,"")</f>
        <v/>
      </c>
      <c r="B6316" s="361" t="s">
        <v>1749</v>
      </c>
      <c r="C6316" s="362"/>
      <c r="D6316" s="327">
        <f>IF($B6316="","",COUNTIF($B$4731:$B6316,$B6316))</f>
        <v>12</v>
      </c>
      <c r="E6316" s="361" t="s">
        <v>154</v>
      </c>
      <c r="F6316" s="362" t="s">
        <v>660</v>
      </c>
      <c r="G6316" s="327" t="s">
        <v>661</v>
      </c>
      <c r="H6316" s="361" t="s">
        <v>536</v>
      </c>
      <c r="I6316" s="361" t="s">
        <v>667</v>
      </c>
      <c r="J6316" s="361"/>
      <c r="K6316" s="327" t="s">
        <v>662</v>
      </c>
      <c r="L6316" s="478">
        <v>20</v>
      </c>
      <c r="M6316" s="355"/>
      <c r="N6316" s="355" t="s">
        <v>2409</v>
      </c>
      <c r="O6316" s="345"/>
      <c r="P6316" s="325"/>
      <c r="Q6316" s="327"/>
      <c r="R6316" s="351"/>
      <c r="S6316" s="351"/>
      <c r="T6316" s="351"/>
      <c r="U6316" s="329" t="str">
        <f>IF($N6316=$N$4,IFERROR(INDEX(DanhMuc!$E$154:$E$165,MATCH(MID($B6316,4,2),DanhMuc!$B$154:$B$165,0)),""),"")</f>
        <v/>
      </c>
      <c r="V6316" s="361"/>
      <c r="W6316" s="345"/>
      <c r="X6316" s="786"/>
      <c r="Y6316" s="1128" t="s">
        <v>3380</v>
      </c>
      <c r="Z6316" s="1128" t="s">
        <v>3381</v>
      </c>
      <c r="AA6316" s="1128" t="s">
        <v>3384</v>
      </c>
      <c r="AB6316" s="20"/>
      <c r="AC6316" s="73"/>
    </row>
    <row r="6317" spans="1:29">
      <c r="A6317" s="327" t="str">
        <f>IF(AND($B6317&lt;&gt;"",$C6317&lt;&gt;""),MAX($A$4730:$A6316)+1,"")</f>
        <v/>
      </c>
      <c r="B6317" s="361" t="s">
        <v>1749</v>
      </c>
      <c r="C6317" s="362"/>
      <c r="D6317" s="327">
        <f>IF($B6317="","",COUNTIF($B$4731:$B6317,$B6317))</f>
        <v>13</v>
      </c>
      <c r="E6317" s="362" t="s">
        <v>2282</v>
      </c>
      <c r="F6317" s="362" t="s">
        <v>2283</v>
      </c>
      <c r="G6317" s="327" t="s">
        <v>424</v>
      </c>
      <c r="H6317" s="361" t="s">
        <v>536</v>
      </c>
      <c r="I6317" s="361" t="s">
        <v>2238</v>
      </c>
      <c r="J6317" s="361"/>
      <c r="K6317" s="327" t="s">
        <v>662</v>
      </c>
      <c r="L6317" s="478">
        <v>28000</v>
      </c>
      <c r="M6317" s="355"/>
      <c r="N6317" s="355" t="s">
        <v>2409</v>
      </c>
      <c r="O6317" s="345"/>
      <c r="P6317" s="325"/>
      <c r="Q6317" s="327"/>
      <c r="R6317" s="351"/>
      <c r="S6317" s="351"/>
      <c r="T6317" s="351"/>
      <c r="U6317" s="329" t="str">
        <f>IF($N6317=$N$4,IFERROR(INDEX(DanhMuc!$E$154:$E$165,MATCH(MID($B6317,4,2),DanhMuc!$B$154:$B$165,0)),""),"")</f>
        <v/>
      </c>
      <c r="V6317" s="361"/>
      <c r="W6317" s="345"/>
      <c r="X6317" s="786"/>
      <c r="Y6317" s="1128" t="s">
        <v>3380</v>
      </c>
      <c r="Z6317" s="1128" t="s">
        <v>3381</v>
      </c>
      <c r="AA6317" s="1128" t="s">
        <v>3384</v>
      </c>
      <c r="AB6317" s="20"/>
      <c r="AC6317" s="73"/>
    </row>
    <row r="6318" spans="1:29">
      <c r="A6318" s="327" t="str">
        <f>IF(AND($B6318&lt;&gt;"",$C6318&lt;&gt;""),MAX($A$4730:$A6317)+1,"")</f>
        <v/>
      </c>
      <c r="B6318" s="361" t="s">
        <v>1749</v>
      </c>
      <c r="C6318" s="362"/>
      <c r="D6318" s="327">
        <f>IF($B6318="","",COUNTIF($B$4731:$B6318,$B6318))</f>
        <v>14</v>
      </c>
      <c r="E6318" s="362" t="s">
        <v>663</v>
      </c>
      <c r="F6318" s="362" t="s">
        <v>664</v>
      </c>
      <c r="G6318" s="327" t="s">
        <v>155</v>
      </c>
      <c r="H6318" s="361" t="s">
        <v>536</v>
      </c>
      <c r="I6318" s="361" t="s">
        <v>672</v>
      </c>
      <c r="J6318" s="361"/>
      <c r="K6318" s="327" t="s">
        <v>662</v>
      </c>
      <c r="L6318" s="478">
        <v>1000</v>
      </c>
      <c r="M6318" s="355"/>
      <c r="N6318" s="355" t="s">
        <v>2409</v>
      </c>
      <c r="O6318" s="345"/>
      <c r="P6318" s="325"/>
      <c r="Q6318" s="327"/>
      <c r="R6318" s="351"/>
      <c r="S6318" s="351"/>
      <c r="T6318" s="351"/>
      <c r="U6318" s="329" t="str">
        <f>IF($N6318=$N$4,IFERROR(INDEX(DanhMuc!$E$154:$E$165,MATCH(MID($B6318,4,2),DanhMuc!$B$154:$B$165,0)),""),"")</f>
        <v/>
      </c>
      <c r="V6318" s="361"/>
      <c r="W6318" s="345"/>
      <c r="X6318" s="786"/>
      <c r="Y6318" s="1128" t="s">
        <v>3380</v>
      </c>
      <c r="Z6318" s="1128" t="s">
        <v>3381</v>
      </c>
      <c r="AA6318" s="1128" t="s">
        <v>3384</v>
      </c>
      <c r="AB6318" s="20"/>
      <c r="AC6318" s="73"/>
    </row>
    <row r="6319" spans="1:29" ht="39">
      <c r="A6319" s="327">
        <f>IF(AND($B6319&lt;&gt;"",$C6319&lt;&gt;""),MAX($A$4730:$A6276)+1,"")</f>
        <v>76</v>
      </c>
      <c r="B6319" s="359" t="s">
        <v>1676</v>
      </c>
      <c r="C6319" s="370" t="s">
        <v>1675</v>
      </c>
      <c r="D6319" s="327">
        <f>IF($B6319="","",COUNTIF($B$4731:$B6319,$B6319))</f>
        <v>1</v>
      </c>
      <c r="E6319" s="361">
        <v>1124</v>
      </c>
      <c r="F6319" s="362" t="s">
        <v>2327</v>
      </c>
      <c r="G6319" s="327" t="s">
        <v>155</v>
      </c>
      <c r="H6319" s="361" t="s">
        <v>536</v>
      </c>
      <c r="I6319" s="327">
        <v>4</v>
      </c>
      <c r="J6319" s="361"/>
      <c r="K6319" s="327" t="s">
        <v>100</v>
      </c>
      <c r="L6319" s="710" t="s">
        <v>2286</v>
      </c>
      <c r="M6319" s="355"/>
      <c r="N6319" s="355" t="s">
        <v>2408</v>
      </c>
      <c r="O6319" s="345"/>
      <c r="P6319" s="325"/>
      <c r="Q6319" s="327"/>
      <c r="R6319" s="351">
        <v>3</v>
      </c>
      <c r="S6319" s="351">
        <v>6</v>
      </c>
      <c r="T6319" s="351"/>
      <c r="U6319" s="329" t="str">
        <f>IF($N6319=$N$4,IFERROR(INDEX(DanhMuc!$E$154:$E$165,MATCH(MID($B6319,4,2),DanhMuc!$B$154:$B$165,0)),""),"")</f>
        <v/>
      </c>
      <c r="V6319" s="361"/>
      <c r="W6319" s="345"/>
      <c r="X6319" s="786"/>
      <c r="Y6319" s="1128" t="s">
        <v>3380</v>
      </c>
      <c r="Z6319" s="1128" t="s">
        <v>3381</v>
      </c>
      <c r="AA6319" s="1128" t="s">
        <v>3384</v>
      </c>
      <c r="AB6319" s="20"/>
      <c r="AC6319" s="73"/>
    </row>
    <row r="6320" spans="1:29">
      <c r="A6320" s="327" t="str">
        <f>IF(AND($B6320&lt;&gt;"",$C6320&lt;&gt;""),MAX($A$4730:$A6319)+1,"")</f>
        <v/>
      </c>
      <c r="B6320" s="361" t="s">
        <v>1676</v>
      </c>
      <c r="C6320" s="362"/>
      <c r="D6320" s="327">
        <f>IF($B6320="","",COUNTIF($B$4731:$B6320,$B6320))</f>
        <v>2</v>
      </c>
      <c r="E6320" s="361">
        <v>1124</v>
      </c>
      <c r="F6320" s="362" t="s">
        <v>2327</v>
      </c>
      <c r="G6320" s="327" t="s">
        <v>155</v>
      </c>
      <c r="H6320" s="361" t="s">
        <v>536</v>
      </c>
      <c r="I6320" s="327">
        <v>4</v>
      </c>
      <c r="J6320" s="361"/>
      <c r="K6320" s="327" t="s">
        <v>101</v>
      </c>
      <c r="L6320" s="710" t="s">
        <v>2286</v>
      </c>
      <c r="M6320" s="355"/>
      <c r="N6320" s="355" t="s">
        <v>2408</v>
      </c>
      <c r="O6320" s="345"/>
      <c r="P6320" s="325"/>
      <c r="Q6320" s="327"/>
      <c r="R6320" s="351">
        <v>3</v>
      </c>
      <c r="S6320" s="351">
        <v>6</v>
      </c>
      <c r="T6320" s="351"/>
      <c r="U6320" s="329" t="str">
        <f>IF($N6320=$N$4,IFERROR(INDEX(DanhMuc!$E$154:$E$165,MATCH(MID($B6320,4,2),DanhMuc!$B$154:$B$165,0)),""),"")</f>
        <v/>
      </c>
      <c r="V6320" s="361"/>
      <c r="W6320" s="345"/>
      <c r="X6320" s="786"/>
      <c r="Y6320" s="1128" t="s">
        <v>3380</v>
      </c>
      <c r="Z6320" s="1128" t="s">
        <v>3381</v>
      </c>
      <c r="AA6320" s="1128" t="s">
        <v>3384</v>
      </c>
      <c r="AB6320" s="20"/>
      <c r="AC6320" s="73"/>
    </row>
    <row r="6321" spans="1:29">
      <c r="A6321" s="327" t="str">
        <f>IF(AND($B6321&lt;&gt;"",$C6321&lt;&gt;""),MAX($A$4730:$A6320)+1,"")</f>
        <v/>
      </c>
      <c r="B6321" s="361" t="s">
        <v>1676</v>
      </c>
      <c r="C6321" s="362"/>
      <c r="D6321" s="327">
        <f>IF($B6321="","",COUNTIF($B$4731:$B6321,$B6321))</f>
        <v>3</v>
      </c>
      <c r="E6321" s="361" t="s">
        <v>1671</v>
      </c>
      <c r="F6321" s="362" t="s">
        <v>2329</v>
      </c>
      <c r="G6321" s="327" t="s">
        <v>155</v>
      </c>
      <c r="H6321" s="361" t="s">
        <v>536</v>
      </c>
      <c r="I6321" s="327">
        <f>+I6319+I6320*2</f>
        <v>12</v>
      </c>
      <c r="J6321" s="361"/>
      <c r="K6321" s="327" t="s">
        <v>415</v>
      </c>
      <c r="L6321" s="389">
        <v>2000</v>
      </c>
      <c r="M6321" s="355"/>
      <c r="N6321" s="355" t="s">
        <v>2408</v>
      </c>
      <c r="O6321" s="345"/>
      <c r="P6321" s="325"/>
      <c r="Q6321" s="327"/>
      <c r="R6321" s="351"/>
      <c r="S6321" s="351"/>
      <c r="T6321" s="351"/>
      <c r="U6321" s="329" t="str">
        <f>IF($N6321=$N$4,IFERROR(INDEX(DanhMuc!$E$154:$E$165,MATCH(MID($B6321,4,2),DanhMuc!$B$154:$B$165,0)),""),"")</f>
        <v/>
      </c>
      <c r="V6321" s="361"/>
      <c r="W6321" s="345"/>
      <c r="X6321" s="786"/>
      <c r="Y6321" s="1128" t="s">
        <v>3380</v>
      </c>
      <c r="Z6321" s="1128" t="s">
        <v>3381</v>
      </c>
      <c r="AA6321" s="1128" t="s">
        <v>3384</v>
      </c>
      <c r="AB6321" s="20"/>
      <c r="AC6321" s="73"/>
    </row>
    <row r="6322" spans="1:29">
      <c r="A6322" s="327" t="str">
        <f>IF(AND($B6322&lt;&gt;"",$C6322&lt;&gt;""),MAX($A$4730:$A6321)+1,"")</f>
        <v/>
      </c>
      <c r="B6322" s="361" t="s">
        <v>1676</v>
      </c>
      <c r="C6322" s="362"/>
      <c r="D6322" s="327">
        <f>IF($B6322="","",COUNTIF($B$4731:$B6322,$B6322))</f>
        <v>4</v>
      </c>
      <c r="E6322" s="361" t="s">
        <v>654</v>
      </c>
      <c r="F6322" s="362" t="s">
        <v>653</v>
      </c>
      <c r="G6322" s="327" t="s">
        <v>1836</v>
      </c>
      <c r="H6322" s="361" t="s">
        <v>536</v>
      </c>
      <c r="I6322" s="327">
        <f>ROUND(SUM(I6319:I6320)/45,2)</f>
        <v>0.18</v>
      </c>
      <c r="J6322" s="477"/>
      <c r="K6322" s="327" t="s">
        <v>655</v>
      </c>
      <c r="L6322" s="478">
        <v>115000</v>
      </c>
      <c r="M6322" s="355"/>
      <c r="N6322" s="355" t="s">
        <v>2408</v>
      </c>
      <c r="O6322" s="345"/>
      <c r="P6322" s="325"/>
      <c r="Q6322" s="327"/>
      <c r="R6322" s="351"/>
      <c r="S6322" s="351"/>
      <c r="T6322" s="351"/>
      <c r="U6322" s="329" t="str">
        <f>IF($N6322=$N$4,IFERROR(INDEX(DanhMuc!$E$154:$E$165,MATCH(MID($B6322,4,2),DanhMuc!$B$154:$B$165,0)),""),"")</f>
        <v/>
      </c>
      <c r="V6322" s="361"/>
      <c r="W6322" s="345"/>
      <c r="X6322" s="786"/>
      <c r="Y6322" s="1128" t="s">
        <v>3380</v>
      </c>
      <c r="Z6322" s="1128" t="s">
        <v>3381</v>
      </c>
      <c r="AA6322" s="1128" t="s">
        <v>3384</v>
      </c>
      <c r="AB6322" s="20"/>
      <c r="AC6322" s="73"/>
    </row>
    <row r="6323" spans="1:29">
      <c r="A6323" s="327" t="str">
        <f>IF(AND($B6323&lt;&gt;"",$C6323&lt;&gt;""),MAX($A$4730:$A6322)+1,"")</f>
        <v/>
      </c>
      <c r="B6323" s="361" t="s">
        <v>1676</v>
      </c>
      <c r="C6323" s="360"/>
      <c r="D6323" s="327">
        <f>IF($B6323="","",COUNTIF($B$4731:$B6323,$B6323))</f>
        <v>5</v>
      </c>
      <c r="E6323" s="361" t="s">
        <v>1826</v>
      </c>
      <c r="F6323" s="362" t="s">
        <v>670</v>
      </c>
      <c r="G6323" s="327" t="s">
        <v>661</v>
      </c>
      <c r="H6323" s="361" t="s">
        <v>536</v>
      </c>
      <c r="I6323" s="361" t="s">
        <v>2354</v>
      </c>
      <c r="J6323" s="361"/>
      <c r="K6323" s="327" t="s">
        <v>103</v>
      </c>
      <c r="L6323" s="478">
        <f>40000/1000</f>
        <v>40</v>
      </c>
      <c r="M6323" s="355"/>
      <c r="N6323" s="355" t="s">
        <v>2408</v>
      </c>
      <c r="O6323" s="345"/>
      <c r="P6323" s="325"/>
      <c r="Q6323" s="327"/>
      <c r="R6323" s="351"/>
      <c r="S6323" s="351"/>
      <c r="T6323" s="351"/>
      <c r="U6323" s="329" t="str">
        <f>IF($N6323=$N$4,IFERROR(INDEX(DanhMuc!$E$154:$E$165,MATCH(MID($B6323,4,2),DanhMuc!$B$154:$B$165,0)),""),"")</f>
        <v/>
      </c>
      <c r="V6323" s="361"/>
      <c r="W6323" s="345"/>
      <c r="X6323" s="786"/>
      <c r="Y6323" s="1128" t="s">
        <v>3380</v>
      </c>
      <c r="Z6323" s="1128" t="s">
        <v>3381</v>
      </c>
      <c r="AA6323" s="1128" t="s">
        <v>3384</v>
      </c>
      <c r="AB6323" s="20"/>
      <c r="AC6323" s="73"/>
    </row>
    <row r="6324" spans="1:29" ht="37.5">
      <c r="A6324" s="327" t="str">
        <f>IF(AND($B6324&lt;&gt;"",$C6324&lt;&gt;""),MAX($A$4730:$A6323)+1,"")</f>
        <v/>
      </c>
      <c r="B6324" s="361" t="s">
        <v>1676</v>
      </c>
      <c r="C6324" s="362"/>
      <c r="D6324" s="327">
        <f>IF($B6324="","",COUNTIF($B$4731:$B6324,$B6324))</f>
        <v>6</v>
      </c>
      <c r="E6324" s="362" t="s">
        <v>1964</v>
      </c>
      <c r="F6324" s="362" t="s">
        <v>1965</v>
      </c>
      <c r="G6324" s="327" t="s">
        <v>405</v>
      </c>
      <c r="H6324" s="361" t="s">
        <v>536</v>
      </c>
      <c r="I6324" s="361" t="s">
        <v>693</v>
      </c>
      <c r="J6324" s="361"/>
      <c r="K6324" s="327" t="s">
        <v>223</v>
      </c>
      <c r="L6324" s="478">
        <v>140</v>
      </c>
      <c r="M6324" s="371"/>
      <c r="N6324" s="355" t="s">
        <v>2408</v>
      </c>
      <c r="O6324" s="345"/>
      <c r="P6324" s="325"/>
      <c r="Q6324" s="327"/>
      <c r="R6324" s="351"/>
      <c r="S6324" s="351"/>
      <c r="T6324" s="351"/>
      <c r="U6324" s="329" t="str">
        <f>IF($N6324=$N$4,IFERROR(INDEX(DanhMuc!$E$154:$E$165,MATCH(MID($B6324,4,2),DanhMuc!$B$154:$B$165,0)),""),"")</f>
        <v/>
      </c>
      <c r="V6324" s="361"/>
      <c r="W6324" s="345"/>
      <c r="X6324" s="786"/>
      <c r="Y6324" s="1128" t="s">
        <v>3380</v>
      </c>
      <c r="Z6324" s="1128" t="s">
        <v>3381</v>
      </c>
      <c r="AA6324" s="1128" t="s">
        <v>3384</v>
      </c>
      <c r="AB6324" s="20"/>
      <c r="AC6324" s="73"/>
    </row>
    <row r="6325" spans="1:29" ht="37.5">
      <c r="A6325" s="327" t="str">
        <f>IF(AND($B6325&lt;&gt;"",$C6325&lt;&gt;""),MAX($A$4730:$A6324)+1,"")</f>
        <v/>
      </c>
      <c r="B6325" s="361" t="s">
        <v>1676</v>
      </c>
      <c r="C6325" s="362"/>
      <c r="D6325" s="327">
        <f>IF($B6325="","",COUNTIF($B$4731:$B6325,$B6325))</f>
        <v>7</v>
      </c>
      <c r="E6325" s="362" t="s">
        <v>2756</v>
      </c>
      <c r="F6325" s="362" t="s">
        <v>2757</v>
      </c>
      <c r="G6325" s="327" t="s">
        <v>405</v>
      </c>
      <c r="H6325" s="361" t="s">
        <v>536</v>
      </c>
      <c r="I6325" s="361" t="s">
        <v>693</v>
      </c>
      <c r="J6325" s="361"/>
      <c r="K6325" s="327" t="s">
        <v>223</v>
      </c>
      <c r="L6325" s="479">
        <v>322</v>
      </c>
      <c r="M6325" s="371"/>
      <c r="N6325" s="355" t="s">
        <v>2408</v>
      </c>
      <c r="O6325" s="345"/>
      <c r="P6325" s="325"/>
      <c r="Q6325" s="327"/>
      <c r="R6325" s="351"/>
      <c r="S6325" s="351"/>
      <c r="T6325" s="351"/>
      <c r="U6325" s="329" t="str">
        <f>IF($N6325=$N$4,IFERROR(INDEX(DanhMuc!$E$154:$E$165,MATCH(MID($B6325,4,2),DanhMuc!$B$154:$B$165,0)),""),"")</f>
        <v/>
      </c>
      <c r="V6325" s="361"/>
      <c r="W6325" s="345"/>
      <c r="X6325" s="786"/>
      <c r="Y6325" s="1128" t="s">
        <v>3380</v>
      </c>
      <c r="Z6325" s="1128" t="s">
        <v>3381</v>
      </c>
      <c r="AA6325" s="1128" t="s">
        <v>3384</v>
      </c>
      <c r="AB6325" s="20"/>
      <c r="AC6325" s="73"/>
    </row>
    <row r="6326" spans="1:29">
      <c r="A6326" s="327" t="str">
        <f>IF(AND($B6326&lt;&gt;"",$C6326&lt;&gt;""),MAX($A$4730:$A6325)+1,"")</f>
        <v/>
      </c>
      <c r="B6326" s="361" t="s">
        <v>1676</v>
      </c>
      <c r="C6326" s="362"/>
      <c r="D6326" s="327">
        <f>IF($B6326="","",COUNTIF($B$4731:$B6326,$B6326))</f>
        <v>8</v>
      </c>
      <c r="E6326" s="361" t="s">
        <v>656</v>
      </c>
      <c r="F6326" s="362" t="s">
        <v>2239</v>
      </c>
      <c r="G6326" s="327" t="s">
        <v>405</v>
      </c>
      <c r="H6326" s="361" t="s">
        <v>536</v>
      </c>
      <c r="I6326" s="361" t="s">
        <v>1827</v>
      </c>
      <c r="J6326" s="361"/>
      <c r="K6326" s="327" t="s">
        <v>100</v>
      </c>
      <c r="L6326" s="478">
        <v>970</v>
      </c>
      <c r="M6326" s="371"/>
      <c r="N6326" s="355" t="s">
        <v>2409</v>
      </c>
      <c r="O6326" s="345"/>
      <c r="P6326" s="325"/>
      <c r="Q6326" s="327"/>
      <c r="R6326" s="351"/>
      <c r="S6326" s="351"/>
      <c r="T6326" s="351"/>
      <c r="U6326" s="329" t="str">
        <f>IF($N6326=$N$4,IFERROR(INDEX(DanhMuc!$E$154:$E$165,MATCH(MID($B6326,4,2),DanhMuc!$B$154:$B$165,0)),""),"")</f>
        <v/>
      </c>
      <c r="V6326" s="361"/>
      <c r="W6326" s="345"/>
      <c r="X6326" s="786"/>
      <c r="Y6326" s="1128" t="s">
        <v>3380</v>
      </c>
      <c r="Z6326" s="1128" t="s">
        <v>3381</v>
      </c>
      <c r="AA6326" s="1128" t="s">
        <v>3384</v>
      </c>
      <c r="AB6326" s="20"/>
      <c r="AC6326" s="73"/>
    </row>
    <row r="6327" spans="1:29">
      <c r="A6327" s="327" t="str">
        <f>IF(AND($B6327&lt;&gt;"",$C6327&lt;&gt;""),MAX($A$4730:$A6326)+1,"")</f>
        <v/>
      </c>
      <c r="B6327" s="361" t="s">
        <v>1676</v>
      </c>
      <c r="C6327" s="362"/>
      <c r="D6327" s="327">
        <f>IF($B6327="","",COUNTIF($B$4731:$B6327,$B6327))</f>
        <v>9</v>
      </c>
      <c r="E6327" s="361" t="s">
        <v>657</v>
      </c>
      <c r="F6327" s="362" t="s">
        <v>658</v>
      </c>
      <c r="G6327" s="327" t="s">
        <v>424</v>
      </c>
      <c r="H6327" s="361" t="s">
        <v>536</v>
      </c>
      <c r="I6327" s="361" t="s">
        <v>665</v>
      </c>
      <c r="J6327" s="361"/>
      <c r="K6327" s="327" t="s">
        <v>100</v>
      </c>
      <c r="L6327" s="478">
        <v>60000</v>
      </c>
      <c r="M6327" s="355"/>
      <c r="N6327" s="355" t="s">
        <v>2409</v>
      </c>
      <c r="O6327" s="345"/>
      <c r="P6327" s="325"/>
      <c r="Q6327" s="327"/>
      <c r="R6327" s="351"/>
      <c r="S6327" s="351"/>
      <c r="T6327" s="351"/>
      <c r="U6327" s="329" t="str">
        <f>IF($N6327=$N$4,IFERROR(INDEX(DanhMuc!$E$154:$E$165,MATCH(MID($B6327,4,2),DanhMuc!$B$154:$B$165,0)),""),"")</f>
        <v/>
      </c>
      <c r="V6327" s="361"/>
      <c r="W6327" s="345"/>
      <c r="X6327" s="786"/>
      <c r="Y6327" s="1128" t="s">
        <v>3380</v>
      </c>
      <c r="Z6327" s="1128" t="s">
        <v>3381</v>
      </c>
      <c r="AA6327" s="1128" t="s">
        <v>3384</v>
      </c>
      <c r="AB6327" s="20"/>
      <c r="AC6327" s="73"/>
    </row>
    <row r="6328" spans="1:29">
      <c r="A6328" s="327" t="str">
        <f>IF(AND($B6328&lt;&gt;"",$C6328&lt;&gt;""),MAX($A$4730:$A6327)+1,"")</f>
        <v/>
      </c>
      <c r="B6328" s="361" t="s">
        <v>1676</v>
      </c>
      <c r="C6328" s="362"/>
      <c r="D6328" s="327">
        <f>IF($B6328="","",COUNTIF($B$4731:$B6328,$B6328))</f>
        <v>10</v>
      </c>
      <c r="E6328" s="361" t="s">
        <v>2771</v>
      </c>
      <c r="F6328" s="362" t="s">
        <v>659</v>
      </c>
      <c r="G6328" s="327" t="s">
        <v>424</v>
      </c>
      <c r="H6328" s="361" t="s">
        <v>536</v>
      </c>
      <c r="I6328" s="361" t="s">
        <v>666</v>
      </c>
      <c r="J6328" s="361"/>
      <c r="K6328" s="327" t="s">
        <v>100</v>
      </c>
      <c r="L6328" s="389">
        <v>53000</v>
      </c>
      <c r="M6328" s="355"/>
      <c r="N6328" s="355" t="s">
        <v>2409</v>
      </c>
      <c r="O6328" s="345"/>
      <c r="P6328" s="325"/>
      <c r="Q6328" s="327"/>
      <c r="R6328" s="351"/>
      <c r="S6328" s="351"/>
      <c r="T6328" s="351"/>
      <c r="U6328" s="329" t="str">
        <f>IF($N6328=$N$4,IFERROR(INDEX(DanhMuc!$E$154:$E$165,MATCH(MID($B6328,4,2),DanhMuc!$B$154:$B$165,0)),""),"")</f>
        <v/>
      </c>
      <c r="V6328" s="361"/>
      <c r="W6328" s="345"/>
      <c r="X6328" s="786"/>
      <c r="Y6328" s="1128" t="s">
        <v>3380</v>
      </c>
      <c r="Z6328" s="1128" t="s">
        <v>3381</v>
      </c>
      <c r="AA6328" s="1128" t="s">
        <v>3384</v>
      </c>
      <c r="AB6328" s="20"/>
      <c r="AC6328" s="73"/>
    </row>
    <row r="6329" spans="1:29">
      <c r="A6329" s="327" t="str">
        <f>IF(AND($B6329&lt;&gt;"",$C6329&lt;&gt;""),MAX($A$4730:$A6328)+1,"")</f>
        <v/>
      </c>
      <c r="B6329" s="361" t="s">
        <v>1676</v>
      </c>
      <c r="C6329" s="362"/>
      <c r="D6329" s="327">
        <f>IF($B6329="","",COUNTIF($B$4731:$B6329,$B6329))</f>
        <v>11</v>
      </c>
      <c r="E6329" s="361" t="s">
        <v>1828</v>
      </c>
      <c r="F6329" s="362" t="s">
        <v>671</v>
      </c>
      <c r="G6329" s="327" t="s">
        <v>661</v>
      </c>
      <c r="H6329" s="361" t="s">
        <v>536</v>
      </c>
      <c r="I6329" s="361" t="s">
        <v>2355</v>
      </c>
      <c r="J6329" s="361"/>
      <c r="K6329" s="327" t="s">
        <v>100</v>
      </c>
      <c r="L6329" s="478">
        <f>40000/1000</f>
        <v>40</v>
      </c>
      <c r="M6329" s="355"/>
      <c r="N6329" s="355" t="s">
        <v>2409</v>
      </c>
      <c r="O6329" s="345"/>
      <c r="P6329" s="325"/>
      <c r="Q6329" s="327"/>
      <c r="R6329" s="351"/>
      <c r="S6329" s="351"/>
      <c r="T6329" s="351"/>
      <c r="U6329" s="329" t="str">
        <f>IF($N6329=$N$4,IFERROR(INDEX(DanhMuc!$E$154:$E$165,MATCH(MID($B6329,4,2),DanhMuc!$B$154:$B$165,0)),""),"")</f>
        <v/>
      </c>
      <c r="V6329" s="361"/>
      <c r="W6329" s="345"/>
      <c r="X6329" s="786"/>
      <c r="Y6329" s="1128" t="s">
        <v>3380</v>
      </c>
      <c r="Z6329" s="1128" t="s">
        <v>3381</v>
      </c>
      <c r="AA6329" s="1128" t="s">
        <v>3384</v>
      </c>
      <c r="AB6329" s="20"/>
      <c r="AC6329" s="73"/>
    </row>
    <row r="6330" spans="1:29">
      <c r="A6330" s="327" t="str">
        <f>IF(AND($B6330&lt;&gt;"",$C6330&lt;&gt;""),MAX($A$4730:$A6329)+1,"")</f>
        <v/>
      </c>
      <c r="B6330" s="361" t="s">
        <v>1676</v>
      </c>
      <c r="C6330" s="362"/>
      <c r="D6330" s="327">
        <f>IF($B6330="","",COUNTIF($B$4731:$B6330,$B6330))</f>
        <v>12</v>
      </c>
      <c r="E6330" s="361" t="s">
        <v>154</v>
      </c>
      <c r="F6330" s="362" t="s">
        <v>660</v>
      </c>
      <c r="G6330" s="327" t="s">
        <v>661</v>
      </c>
      <c r="H6330" s="361" t="s">
        <v>536</v>
      </c>
      <c r="I6330" s="361" t="s">
        <v>667</v>
      </c>
      <c r="J6330" s="361"/>
      <c r="K6330" s="327" t="s">
        <v>662</v>
      </c>
      <c r="L6330" s="478">
        <v>20</v>
      </c>
      <c r="M6330" s="355"/>
      <c r="N6330" s="355" t="s">
        <v>2409</v>
      </c>
      <c r="O6330" s="345"/>
      <c r="P6330" s="325"/>
      <c r="Q6330" s="327"/>
      <c r="R6330" s="351"/>
      <c r="S6330" s="351"/>
      <c r="T6330" s="351"/>
      <c r="U6330" s="329" t="str">
        <f>IF($N6330=$N$4,IFERROR(INDEX(DanhMuc!$E$154:$E$165,MATCH(MID($B6330,4,2),DanhMuc!$B$154:$B$165,0)),""),"")</f>
        <v/>
      </c>
      <c r="V6330" s="361"/>
      <c r="W6330" s="345"/>
      <c r="X6330" s="786"/>
      <c r="Y6330" s="1128" t="s">
        <v>3380</v>
      </c>
      <c r="Z6330" s="1128" t="s">
        <v>3381</v>
      </c>
      <c r="AA6330" s="1128" t="s">
        <v>3384</v>
      </c>
      <c r="AB6330" s="20"/>
      <c r="AC6330" s="73"/>
    </row>
    <row r="6331" spans="1:29">
      <c r="A6331" s="327" t="str">
        <f>IF(AND($B6331&lt;&gt;"",$C6331&lt;&gt;""),MAX($A$4730:$A6330)+1,"")</f>
        <v/>
      </c>
      <c r="B6331" s="361" t="s">
        <v>1676</v>
      </c>
      <c r="C6331" s="362"/>
      <c r="D6331" s="327">
        <f>IF($B6331="","",COUNTIF($B$4731:$B6331,$B6331))</f>
        <v>13</v>
      </c>
      <c r="E6331" s="362" t="s">
        <v>2282</v>
      </c>
      <c r="F6331" s="362" t="s">
        <v>2283</v>
      </c>
      <c r="G6331" s="327" t="s">
        <v>424</v>
      </c>
      <c r="H6331" s="361" t="s">
        <v>536</v>
      </c>
      <c r="I6331" s="361" t="s">
        <v>2238</v>
      </c>
      <c r="J6331" s="361"/>
      <c r="K6331" s="327" t="s">
        <v>662</v>
      </c>
      <c r="L6331" s="478">
        <v>28000</v>
      </c>
      <c r="M6331" s="355"/>
      <c r="N6331" s="355" t="s">
        <v>2409</v>
      </c>
      <c r="O6331" s="345"/>
      <c r="P6331" s="325"/>
      <c r="Q6331" s="327"/>
      <c r="R6331" s="351"/>
      <c r="S6331" s="351"/>
      <c r="T6331" s="351"/>
      <c r="U6331" s="329" t="str">
        <f>IF($N6331=$N$4,IFERROR(INDEX(DanhMuc!$E$154:$E$165,MATCH(MID($B6331,4,2),DanhMuc!$B$154:$B$165,0)),""),"")</f>
        <v/>
      </c>
      <c r="V6331" s="361"/>
      <c r="W6331" s="345"/>
      <c r="X6331" s="786"/>
      <c r="Y6331" s="1128" t="s">
        <v>3380</v>
      </c>
      <c r="Z6331" s="1128" t="s">
        <v>3381</v>
      </c>
      <c r="AA6331" s="1128" t="s">
        <v>3384</v>
      </c>
      <c r="AB6331" s="20"/>
      <c r="AC6331" s="73"/>
    </row>
    <row r="6332" spans="1:29">
      <c r="A6332" s="327" t="str">
        <f>IF(AND($B6332&lt;&gt;"",$C6332&lt;&gt;""),MAX($A$4730:$A6331)+1,"")</f>
        <v/>
      </c>
      <c r="B6332" s="361" t="s">
        <v>1676</v>
      </c>
      <c r="C6332" s="362"/>
      <c r="D6332" s="327">
        <f>IF($B6332="","",COUNTIF($B$4731:$B6332,$B6332))</f>
        <v>14</v>
      </c>
      <c r="E6332" s="362" t="s">
        <v>663</v>
      </c>
      <c r="F6332" s="362" t="s">
        <v>664</v>
      </c>
      <c r="G6332" s="327" t="s">
        <v>155</v>
      </c>
      <c r="H6332" s="361" t="s">
        <v>536</v>
      </c>
      <c r="I6332" s="361" t="s">
        <v>672</v>
      </c>
      <c r="J6332" s="361"/>
      <c r="K6332" s="327" t="s">
        <v>662</v>
      </c>
      <c r="L6332" s="478">
        <v>1000</v>
      </c>
      <c r="M6332" s="355"/>
      <c r="N6332" s="355" t="s">
        <v>2409</v>
      </c>
      <c r="O6332" s="345"/>
      <c r="P6332" s="325"/>
      <c r="Q6332" s="327"/>
      <c r="R6332" s="351"/>
      <c r="S6332" s="351"/>
      <c r="T6332" s="351"/>
      <c r="U6332" s="329" t="str">
        <f>IF($N6332=$N$4,IFERROR(INDEX(DanhMuc!$E$154:$E$165,MATCH(MID($B6332,4,2),DanhMuc!$B$154:$B$165,0)),""),"")</f>
        <v/>
      </c>
      <c r="V6332" s="361"/>
      <c r="W6332" s="345"/>
      <c r="X6332" s="786"/>
      <c r="Y6332" s="1128" t="s">
        <v>3380</v>
      </c>
      <c r="Z6332" s="1128" t="s">
        <v>3381</v>
      </c>
      <c r="AA6332" s="1128" t="s">
        <v>3384</v>
      </c>
      <c r="AB6332" s="20"/>
      <c r="AC6332" s="73"/>
    </row>
    <row r="6333" spans="1:29" ht="39">
      <c r="A6333" s="327">
        <f>IF(AND($B6333&lt;&gt;"",$C6333&lt;&gt;""),MAX($A$4730:$A6332)+1,"")</f>
        <v>78</v>
      </c>
      <c r="B6333" s="359" t="s">
        <v>1716</v>
      </c>
      <c r="C6333" s="370" t="s">
        <v>1715</v>
      </c>
      <c r="D6333" s="327">
        <f>IF($B6333="","",COUNTIF($B$4731:$B6333,$B6333))</f>
        <v>1</v>
      </c>
      <c r="E6333" s="361">
        <v>1124</v>
      </c>
      <c r="F6333" s="362" t="s">
        <v>2327</v>
      </c>
      <c r="G6333" s="327" t="s">
        <v>155</v>
      </c>
      <c r="H6333" s="361" t="s">
        <v>536</v>
      </c>
      <c r="I6333" s="327">
        <v>4</v>
      </c>
      <c r="J6333" s="361"/>
      <c r="K6333" s="327" t="s">
        <v>100</v>
      </c>
      <c r="L6333" s="710" t="s">
        <v>2286</v>
      </c>
      <c r="M6333" s="355"/>
      <c r="N6333" s="355" t="s">
        <v>2408</v>
      </c>
      <c r="O6333" s="345"/>
      <c r="P6333" s="325"/>
      <c r="Q6333" s="327"/>
      <c r="R6333" s="351">
        <v>3</v>
      </c>
      <c r="S6333" s="351">
        <v>6</v>
      </c>
      <c r="T6333" s="351"/>
      <c r="U6333" s="329" t="str">
        <f>IF($N6333=$N$4,IFERROR(INDEX(DanhMuc!$E$154:$E$165,MATCH(MID($B6333,4,2),DanhMuc!$B$154:$B$165,0)),""),"")</f>
        <v/>
      </c>
      <c r="V6333" s="361"/>
      <c r="W6333" s="345"/>
      <c r="X6333" s="786"/>
      <c r="Y6333" s="1128" t="s">
        <v>3380</v>
      </c>
      <c r="Z6333" s="1128" t="s">
        <v>3381</v>
      </c>
      <c r="AA6333" s="1128" t="s">
        <v>3384</v>
      </c>
      <c r="AB6333" s="20"/>
      <c r="AC6333" s="73"/>
    </row>
    <row r="6334" spans="1:29">
      <c r="A6334" s="327" t="str">
        <f>IF(AND($B6334&lt;&gt;"",$C6334&lt;&gt;""),MAX($A$4730:$A6333)+1,"")</f>
        <v/>
      </c>
      <c r="B6334" s="361" t="s">
        <v>1716</v>
      </c>
      <c r="C6334" s="362"/>
      <c r="D6334" s="327">
        <f>IF($B6334="","",COUNTIF($B$4731:$B6334,$B6334))</f>
        <v>2</v>
      </c>
      <c r="E6334" s="361">
        <v>1124</v>
      </c>
      <c r="F6334" s="362" t="s">
        <v>2327</v>
      </c>
      <c r="G6334" s="327" t="s">
        <v>155</v>
      </c>
      <c r="H6334" s="361" t="s">
        <v>536</v>
      </c>
      <c r="I6334" s="327">
        <v>8</v>
      </c>
      <c r="J6334" s="361"/>
      <c r="K6334" s="327" t="s">
        <v>101</v>
      </c>
      <c r="L6334" s="710" t="s">
        <v>2286</v>
      </c>
      <c r="M6334" s="355"/>
      <c r="N6334" s="355" t="s">
        <v>2408</v>
      </c>
      <c r="O6334" s="345"/>
      <c r="P6334" s="325"/>
      <c r="Q6334" s="327"/>
      <c r="R6334" s="351">
        <v>3</v>
      </c>
      <c r="S6334" s="351">
        <v>6</v>
      </c>
      <c r="T6334" s="351"/>
      <c r="U6334" s="329" t="str">
        <f>IF($N6334=$N$4,IFERROR(INDEX(DanhMuc!$E$154:$E$165,MATCH(MID($B6334,4,2),DanhMuc!$B$154:$B$165,0)),""),"")</f>
        <v/>
      </c>
      <c r="V6334" s="361"/>
      <c r="W6334" s="345"/>
      <c r="X6334" s="786"/>
      <c r="Y6334" s="1128" t="s">
        <v>3380</v>
      </c>
      <c r="Z6334" s="1128" t="s">
        <v>3381</v>
      </c>
      <c r="AA6334" s="1128" t="s">
        <v>3384</v>
      </c>
      <c r="AB6334" s="20"/>
      <c r="AC6334" s="73"/>
    </row>
    <row r="6335" spans="1:29">
      <c r="A6335" s="327" t="str">
        <f>IF(AND($B6335&lt;&gt;"",$C6335&lt;&gt;""),MAX($A$4730:$A6334)+1,"")</f>
        <v/>
      </c>
      <c r="B6335" s="361" t="s">
        <v>1716</v>
      </c>
      <c r="C6335" s="362"/>
      <c r="D6335" s="327">
        <f>IF($B6335="","",COUNTIF($B$4731:$B6335,$B6335))</f>
        <v>3</v>
      </c>
      <c r="E6335" s="361" t="s">
        <v>1671</v>
      </c>
      <c r="F6335" s="362" t="s">
        <v>2329</v>
      </c>
      <c r="G6335" s="327" t="s">
        <v>155</v>
      </c>
      <c r="H6335" s="361" t="s">
        <v>536</v>
      </c>
      <c r="I6335" s="327">
        <f>+I6333+I6334*2</f>
        <v>20</v>
      </c>
      <c r="J6335" s="361"/>
      <c r="K6335" s="327" t="s">
        <v>415</v>
      </c>
      <c r="L6335" s="389">
        <v>2000</v>
      </c>
      <c r="M6335" s="355"/>
      <c r="N6335" s="355" t="s">
        <v>2408</v>
      </c>
      <c r="O6335" s="345"/>
      <c r="P6335" s="325"/>
      <c r="Q6335" s="327"/>
      <c r="R6335" s="351"/>
      <c r="S6335" s="351"/>
      <c r="T6335" s="351"/>
      <c r="U6335" s="329" t="str">
        <f>IF($N6335=$N$4,IFERROR(INDEX(DanhMuc!$E$154:$E$165,MATCH(MID($B6335,4,2),DanhMuc!$B$154:$B$165,0)),""),"")</f>
        <v/>
      </c>
      <c r="V6335" s="361"/>
      <c r="W6335" s="345"/>
      <c r="X6335" s="786"/>
      <c r="Y6335" s="1128" t="s">
        <v>3380</v>
      </c>
      <c r="Z6335" s="1128" t="s">
        <v>3381</v>
      </c>
      <c r="AA6335" s="1128" t="s">
        <v>3384</v>
      </c>
      <c r="AB6335" s="20"/>
      <c r="AC6335" s="73"/>
    </row>
    <row r="6336" spans="1:29">
      <c r="A6336" s="327" t="str">
        <f>IF(AND($B6336&lt;&gt;"",$C6336&lt;&gt;""),MAX($A$4730:$A6335)+1,"")</f>
        <v/>
      </c>
      <c r="B6336" s="361" t="s">
        <v>1716</v>
      </c>
      <c r="C6336" s="362"/>
      <c r="D6336" s="327">
        <f>IF($B6336="","",COUNTIF($B$4731:$B6336,$B6336))</f>
        <v>4</v>
      </c>
      <c r="E6336" s="361" t="s">
        <v>654</v>
      </c>
      <c r="F6336" s="362" t="s">
        <v>653</v>
      </c>
      <c r="G6336" s="327" t="s">
        <v>1836</v>
      </c>
      <c r="H6336" s="361" t="s">
        <v>536</v>
      </c>
      <c r="I6336" s="327">
        <f>ROUND(SUM(I6333:I6334)/45,2)</f>
        <v>0.27</v>
      </c>
      <c r="J6336" s="477"/>
      <c r="K6336" s="327" t="s">
        <v>655</v>
      </c>
      <c r="L6336" s="478">
        <v>115000</v>
      </c>
      <c r="M6336" s="355"/>
      <c r="N6336" s="355" t="s">
        <v>2408</v>
      </c>
      <c r="O6336" s="345"/>
      <c r="P6336" s="325"/>
      <c r="Q6336" s="327"/>
      <c r="R6336" s="351"/>
      <c r="S6336" s="351"/>
      <c r="T6336" s="351"/>
      <c r="U6336" s="329" t="str">
        <f>IF($N6336=$N$4,IFERROR(INDEX(DanhMuc!$E$154:$E$165,MATCH(MID($B6336,4,2),DanhMuc!$B$154:$B$165,0)),""),"")</f>
        <v/>
      </c>
      <c r="V6336" s="361"/>
      <c r="W6336" s="345"/>
      <c r="X6336" s="786"/>
      <c r="Y6336" s="1128" t="s">
        <v>3380</v>
      </c>
      <c r="Z6336" s="1128" t="s">
        <v>3381</v>
      </c>
      <c r="AA6336" s="1128" t="s">
        <v>3384</v>
      </c>
      <c r="AB6336" s="20"/>
      <c r="AC6336" s="73"/>
    </row>
    <row r="6337" spans="1:29">
      <c r="A6337" s="327" t="str">
        <f>IF(AND($B6337&lt;&gt;"",$C6337&lt;&gt;""),MAX($A$4730:$A6336)+1,"")</f>
        <v/>
      </c>
      <c r="B6337" s="361" t="s">
        <v>1716</v>
      </c>
      <c r="C6337" s="360"/>
      <c r="D6337" s="327">
        <f>IF($B6337="","",COUNTIF($B$4731:$B6337,$B6337))</f>
        <v>5</v>
      </c>
      <c r="E6337" s="361" t="s">
        <v>1826</v>
      </c>
      <c r="F6337" s="362" t="s">
        <v>670</v>
      </c>
      <c r="G6337" s="327" t="s">
        <v>661</v>
      </c>
      <c r="H6337" s="361" t="s">
        <v>536</v>
      </c>
      <c r="I6337" s="361" t="s">
        <v>2354</v>
      </c>
      <c r="J6337" s="361"/>
      <c r="K6337" s="327" t="s">
        <v>103</v>
      </c>
      <c r="L6337" s="478">
        <f>40000/1000</f>
        <v>40</v>
      </c>
      <c r="M6337" s="355"/>
      <c r="N6337" s="355" t="s">
        <v>2408</v>
      </c>
      <c r="O6337" s="345"/>
      <c r="P6337" s="325"/>
      <c r="Q6337" s="327"/>
      <c r="R6337" s="351"/>
      <c r="S6337" s="351"/>
      <c r="T6337" s="351"/>
      <c r="U6337" s="329" t="str">
        <f>IF($N6337=$N$4,IFERROR(INDEX(DanhMuc!$E$154:$E$165,MATCH(MID($B6337,4,2),DanhMuc!$B$154:$B$165,0)),""),"")</f>
        <v/>
      </c>
      <c r="V6337" s="361"/>
      <c r="W6337" s="345"/>
      <c r="X6337" s="786"/>
      <c r="Y6337" s="1128" t="s">
        <v>3380</v>
      </c>
      <c r="Z6337" s="1128" t="s">
        <v>3381</v>
      </c>
      <c r="AA6337" s="1128" t="s">
        <v>3384</v>
      </c>
      <c r="AB6337" s="20"/>
      <c r="AC6337" s="73"/>
    </row>
    <row r="6338" spans="1:29" ht="37.5">
      <c r="A6338" s="327" t="str">
        <f>IF(AND($B6338&lt;&gt;"",$C6338&lt;&gt;""),MAX($A$4730:$A6337)+1,"")</f>
        <v/>
      </c>
      <c r="B6338" s="361" t="s">
        <v>1716</v>
      </c>
      <c r="C6338" s="362"/>
      <c r="D6338" s="327">
        <f>IF($B6338="","",COUNTIF($B$4731:$B6338,$B6338))</f>
        <v>6</v>
      </c>
      <c r="E6338" s="362" t="s">
        <v>1964</v>
      </c>
      <c r="F6338" s="362" t="s">
        <v>1965</v>
      </c>
      <c r="G6338" s="327" t="s">
        <v>405</v>
      </c>
      <c r="H6338" s="361" t="s">
        <v>536</v>
      </c>
      <c r="I6338" s="361" t="s">
        <v>693</v>
      </c>
      <c r="J6338" s="361"/>
      <c r="K6338" s="327" t="s">
        <v>223</v>
      </c>
      <c r="L6338" s="478">
        <v>140</v>
      </c>
      <c r="M6338" s="371"/>
      <c r="N6338" s="355" t="s">
        <v>2408</v>
      </c>
      <c r="O6338" s="345"/>
      <c r="P6338" s="325"/>
      <c r="Q6338" s="327"/>
      <c r="R6338" s="351"/>
      <c r="S6338" s="351"/>
      <c r="T6338" s="351"/>
      <c r="U6338" s="329" t="str">
        <f>IF($N6338=$N$4,IFERROR(INDEX(DanhMuc!$E$154:$E$165,MATCH(MID($B6338,4,2),DanhMuc!$B$154:$B$165,0)),""),"")</f>
        <v/>
      </c>
      <c r="V6338" s="361"/>
      <c r="W6338" s="345"/>
      <c r="X6338" s="786"/>
      <c r="Y6338" s="1128" t="s">
        <v>3380</v>
      </c>
      <c r="Z6338" s="1128" t="s">
        <v>3381</v>
      </c>
      <c r="AA6338" s="1128" t="s">
        <v>3384</v>
      </c>
      <c r="AB6338" s="20"/>
      <c r="AC6338" s="73"/>
    </row>
    <row r="6339" spans="1:29" ht="37.5">
      <c r="A6339" s="327" t="str">
        <f>IF(AND($B6339&lt;&gt;"",$C6339&lt;&gt;""),MAX($A$4730:$A6338)+1,"")</f>
        <v/>
      </c>
      <c r="B6339" s="361" t="s">
        <v>1716</v>
      </c>
      <c r="C6339" s="362"/>
      <c r="D6339" s="327">
        <f>IF($B6339="","",COUNTIF($B$4731:$B6339,$B6339))</f>
        <v>7</v>
      </c>
      <c r="E6339" s="362" t="s">
        <v>2756</v>
      </c>
      <c r="F6339" s="362" t="s">
        <v>2757</v>
      </c>
      <c r="G6339" s="327" t="s">
        <v>405</v>
      </c>
      <c r="H6339" s="361" t="s">
        <v>536</v>
      </c>
      <c r="I6339" s="361" t="s">
        <v>693</v>
      </c>
      <c r="J6339" s="361"/>
      <c r="K6339" s="327" t="s">
        <v>223</v>
      </c>
      <c r="L6339" s="479">
        <v>322</v>
      </c>
      <c r="M6339" s="371"/>
      <c r="N6339" s="355" t="s">
        <v>2408</v>
      </c>
      <c r="O6339" s="345"/>
      <c r="P6339" s="325"/>
      <c r="Q6339" s="327"/>
      <c r="R6339" s="351"/>
      <c r="S6339" s="351"/>
      <c r="T6339" s="351"/>
      <c r="U6339" s="329" t="str">
        <f>IF($N6339=$N$4,IFERROR(INDEX(DanhMuc!$E$154:$E$165,MATCH(MID($B6339,4,2),DanhMuc!$B$154:$B$165,0)),""),"")</f>
        <v/>
      </c>
      <c r="V6339" s="361"/>
      <c r="W6339" s="345"/>
      <c r="X6339" s="786"/>
      <c r="Y6339" s="1128" t="s">
        <v>3380</v>
      </c>
      <c r="Z6339" s="1128" t="s">
        <v>3381</v>
      </c>
      <c r="AA6339" s="1128" t="s">
        <v>3384</v>
      </c>
      <c r="AB6339" s="20"/>
      <c r="AC6339" s="73"/>
    </row>
    <row r="6340" spans="1:29">
      <c r="A6340" s="327" t="str">
        <f>IF(AND($B6340&lt;&gt;"",$C6340&lt;&gt;""),MAX($A$4730:$A6339)+1,"")</f>
        <v/>
      </c>
      <c r="B6340" s="361" t="s">
        <v>1716</v>
      </c>
      <c r="C6340" s="362"/>
      <c r="D6340" s="327">
        <f>IF($B6340="","",COUNTIF($B$4731:$B6340,$B6340))</f>
        <v>8</v>
      </c>
      <c r="E6340" s="361" t="s">
        <v>656</v>
      </c>
      <c r="F6340" s="362" t="s">
        <v>2239</v>
      </c>
      <c r="G6340" s="327" t="s">
        <v>405</v>
      </c>
      <c r="H6340" s="361" t="s">
        <v>536</v>
      </c>
      <c r="I6340" s="361" t="s">
        <v>1827</v>
      </c>
      <c r="J6340" s="361"/>
      <c r="K6340" s="327" t="s">
        <v>100</v>
      </c>
      <c r="L6340" s="478">
        <v>970</v>
      </c>
      <c r="M6340" s="371"/>
      <c r="N6340" s="355" t="s">
        <v>2409</v>
      </c>
      <c r="O6340" s="345"/>
      <c r="P6340" s="325"/>
      <c r="Q6340" s="327"/>
      <c r="R6340" s="351"/>
      <c r="S6340" s="351"/>
      <c r="T6340" s="351"/>
      <c r="U6340" s="329" t="str">
        <f>IF($N6340=$N$4,IFERROR(INDEX(DanhMuc!$E$154:$E$165,MATCH(MID($B6340,4,2),DanhMuc!$B$154:$B$165,0)),""),"")</f>
        <v/>
      </c>
      <c r="V6340" s="361"/>
      <c r="W6340" s="345"/>
      <c r="X6340" s="786"/>
      <c r="Y6340" s="1128" t="s">
        <v>3380</v>
      </c>
      <c r="Z6340" s="1128" t="s">
        <v>3381</v>
      </c>
      <c r="AA6340" s="1128" t="s">
        <v>3384</v>
      </c>
      <c r="AB6340" s="20"/>
      <c r="AC6340" s="73"/>
    </row>
    <row r="6341" spans="1:29">
      <c r="A6341" s="327" t="str">
        <f>IF(AND($B6341&lt;&gt;"",$C6341&lt;&gt;""),MAX($A$4730:$A6340)+1,"")</f>
        <v/>
      </c>
      <c r="B6341" s="361" t="s">
        <v>1716</v>
      </c>
      <c r="C6341" s="362"/>
      <c r="D6341" s="327">
        <f>IF($B6341="","",COUNTIF($B$4731:$B6341,$B6341))</f>
        <v>9</v>
      </c>
      <c r="E6341" s="361" t="s">
        <v>657</v>
      </c>
      <c r="F6341" s="362" t="s">
        <v>658</v>
      </c>
      <c r="G6341" s="327" t="s">
        <v>424</v>
      </c>
      <c r="H6341" s="361" t="s">
        <v>536</v>
      </c>
      <c r="I6341" s="361" t="s">
        <v>665</v>
      </c>
      <c r="J6341" s="361"/>
      <c r="K6341" s="327" t="s">
        <v>100</v>
      </c>
      <c r="L6341" s="478">
        <v>60000</v>
      </c>
      <c r="M6341" s="355"/>
      <c r="N6341" s="355" t="s">
        <v>2409</v>
      </c>
      <c r="O6341" s="345"/>
      <c r="P6341" s="325"/>
      <c r="Q6341" s="327"/>
      <c r="R6341" s="351"/>
      <c r="S6341" s="351"/>
      <c r="T6341" s="351"/>
      <c r="U6341" s="329" t="str">
        <f>IF($N6341=$N$4,IFERROR(INDEX(DanhMuc!$E$154:$E$165,MATCH(MID($B6341,4,2),DanhMuc!$B$154:$B$165,0)),""),"")</f>
        <v/>
      </c>
      <c r="V6341" s="361"/>
      <c r="W6341" s="345"/>
      <c r="X6341" s="786"/>
      <c r="Y6341" s="1128" t="s">
        <v>3380</v>
      </c>
      <c r="Z6341" s="1128" t="s">
        <v>3381</v>
      </c>
      <c r="AA6341" s="1128" t="s">
        <v>3384</v>
      </c>
      <c r="AB6341" s="20"/>
      <c r="AC6341" s="73"/>
    </row>
    <row r="6342" spans="1:29">
      <c r="A6342" s="327" t="str">
        <f>IF(AND($B6342&lt;&gt;"",$C6342&lt;&gt;""),MAX($A$4730:$A6341)+1,"")</f>
        <v/>
      </c>
      <c r="B6342" s="361" t="s">
        <v>1716</v>
      </c>
      <c r="C6342" s="362"/>
      <c r="D6342" s="327">
        <f>IF($B6342="","",COUNTIF($B$4731:$B6342,$B6342))</f>
        <v>10</v>
      </c>
      <c r="E6342" s="361" t="s">
        <v>2771</v>
      </c>
      <c r="F6342" s="362" t="s">
        <v>659</v>
      </c>
      <c r="G6342" s="327" t="s">
        <v>424</v>
      </c>
      <c r="H6342" s="361" t="s">
        <v>536</v>
      </c>
      <c r="I6342" s="361" t="s">
        <v>666</v>
      </c>
      <c r="J6342" s="361"/>
      <c r="K6342" s="327" t="s">
        <v>100</v>
      </c>
      <c r="L6342" s="389">
        <v>53000</v>
      </c>
      <c r="M6342" s="355"/>
      <c r="N6342" s="355" t="s">
        <v>2409</v>
      </c>
      <c r="O6342" s="345"/>
      <c r="P6342" s="325"/>
      <c r="Q6342" s="327"/>
      <c r="R6342" s="351"/>
      <c r="S6342" s="351"/>
      <c r="T6342" s="351"/>
      <c r="U6342" s="329" t="str">
        <f>IF($N6342=$N$4,IFERROR(INDEX(DanhMuc!$E$154:$E$165,MATCH(MID($B6342,4,2),DanhMuc!$B$154:$B$165,0)),""),"")</f>
        <v/>
      </c>
      <c r="V6342" s="361"/>
      <c r="W6342" s="345"/>
      <c r="X6342" s="786"/>
      <c r="Y6342" s="1128" t="s">
        <v>3380</v>
      </c>
      <c r="Z6342" s="1128" t="s">
        <v>3381</v>
      </c>
      <c r="AA6342" s="1128" t="s">
        <v>3384</v>
      </c>
      <c r="AB6342" s="20"/>
      <c r="AC6342" s="73"/>
    </row>
    <row r="6343" spans="1:29">
      <c r="A6343" s="327" t="str">
        <f>IF(AND($B6343&lt;&gt;"",$C6343&lt;&gt;""),MAX($A$4730:$A6342)+1,"")</f>
        <v/>
      </c>
      <c r="B6343" s="361" t="s">
        <v>1716</v>
      </c>
      <c r="C6343" s="362"/>
      <c r="D6343" s="327">
        <f>IF($B6343="","",COUNTIF($B$4731:$B6343,$B6343))</f>
        <v>11</v>
      </c>
      <c r="E6343" s="361" t="s">
        <v>1828</v>
      </c>
      <c r="F6343" s="362" t="s">
        <v>671</v>
      </c>
      <c r="G6343" s="327" t="s">
        <v>661</v>
      </c>
      <c r="H6343" s="361" t="s">
        <v>536</v>
      </c>
      <c r="I6343" s="361" t="s">
        <v>2355</v>
      </c>
      <c r="J6343" s="361"/>
      <c r="K6343" s="327" t="s">
        <v>100</v>
      </c>
      <c r="L6343" s="478">
        <f>40000/1000</f>
        <v>40</v>
      </c>
      <c r="M6343" s="355"/>
      <c r="N6343" s="355" t="s">
        <v>2409</v>
      </c>
      <c r="O6343" s="345"/>
      <c r="P6343" s="325"/>
      <c r="Q6343" s="327"/>
      <c r="R6343" s="351"/>
      <c r="S6343" s="351"/>
      <c r="T6343" s="351"/>
      <c r="U6343" s="329" t="str">
        <f>IF($N6343=$N$4,IFERROR(INDEX(DanhMuc!$E$154:$E$165,MATCH(MID($B6343,4,2),DanhMuc!$B$154:$B$165,0)),""),"")</f>
        <v/>
      </c>
      <c r="V6343" s="361"/>
      <c r="W6343" s="345"/>
      <c r="X6343" s="786"/>
      <c r="Y6343" s="1128" t="s">
        <v>3380</v>
      </c>
      <c r="Z6343" s="1128" t="s">
        <v>3381</v>
      </c>
      <c r="AA6343" s="1128" t="s">
        <v>3384</v>
      </c>
      <c r="AB6343" s="20"/>
      <c r="AC6343" s="73"/>
    </row>
    <row r="6344" spans="1:29">
      <c r="A6344" s="327" t="str">
        <f>IF(AND($B6344&lt;&gt;"",$C6344&lt;&gt;""),MAX($A$4730:$A6343)+1,"")</f>
        <v/>
      </c>
      <c r="B6344" s="361" t="s">
        <v>1716</v>
      </c>
      <c r="C6344" s="362"/>
      <c r="D6344" s="327">
        <f>IF($B6344="","",COUNTIF($B$4731:$B6344,$B6344))</f>
        <v>12</v>
      </c>
      <c r="E6344" s="361" t="s">
        <v>154</v>
      </c>
      <c r="F6344" s="362" t="s">
        <v>660</v>
      </c>
      <c r="G6344" s="327" t="s">
        <v>661</v>
      </c>
      <c r="H6344" s="361" t="s">
        <v>536</v>
      </c>
      <c r="I6344" s="361" t="s">
        <v>667</v>
      </c>
      <c r="J6344" s="361"/>
      <c r="K6344" s="327" t="s">
        <v>662</v>
      </c>
      <c r="L6344" s="478">
        <v>20</v>
      </c>
      <c r="M6344" s="355"/>
      <c r="N6344" s="355" t="s">
        <v>2409</v>
      </c>
      <c r="O6344" s="345"/>
      <c r="P6344" s="325"/>
      <c r="Q6344" s="327"/>
      <c r="R6344" s="351"/>
      <c r="S6344" s="351"/>
      <c r="T6344" s="351"/>
      <c r="U6344" s="329" t="str">
        <f>IF($N6344=$N$4,IFERROR(INDEX(DanhMuc!$E$154:$E$165,MATCH(MID($B6344,4,2),DanhMuc!$B$154:$B$165,0)),""),"")</f>
        <v/>
      </c>
      <c r="V6344" s="361"/>
      <c r="W6344" s="345"/>
      <c r="X6344" s="786"/>
      <c r="Y6344" s="1128" t="s">
        <v>3380</v>
      </c>
      <c r="Z6344" s="1128" t="s">
        <v>3381</v>
      </c>
      <c r="AA6344" s="1128" t="s">
        <v>3384</v>
      </c>
      <c r="AB6344" s="20"/>
      <c r="AC6344" s="73"/>
    </row>
    <row r="6345" spans="1:29">
      <c r="A6345" s="327" t="str">
        <f>IF(AND($B6345&lt;&gt;"",$C6345&lt;&gt;""),MAX($A$4730:$A6344)+1,"")</f>
        <v/>
      </c>
      <c r="B6345" s="361" t="s">
        <v>1716</v>
      </c>
      <c r="C6345" s="362"/>
      <c r="D6345" s="327">
        <f>IF($B6345="","",COUNTIF($B$4731:$B6345,$B6345))</f>
        <v>13</v>
      </c>
      <c r="E6345" s="362" t="s">
        <v>2282</v>
      </c>
      <c r="F6345" s="362" t="s">
        <v>2283</v>
      </c>
      <c r="G6345" s="327" t="s">
        <v>424</v>
      </c>
      <c r="H6345" s="361" t="s">
        <v>536</v>
      </c>
      <c r="I6345" s="361" t="s">
        <v>2238</v>
      </c>
      <c r="J6345" s="361"/>
      <c r="K6345" s="327" t="s">
        <v>662</v>
      </c>
      <c r="L6345" s="478">
        <v>28000</v>
      </c>
      <c r="M6345" s="355"/>
      <c r="N6345" s="355" t="s">
        <v>2409</v>
      </c>
      <c r="O6345" s="345"/>
      <c r="P6345" s="325"/>
      <c r="Q6345" s="327"/>
      <c r="R6345" s="351"/>
      <c r="S6345" s="351"/>
      <c r="T6345" s="351"/>
      <c r="U6345" s="329" t="str">
        <f>IF($N6345=$N$4,IFERROR(INDEX(DanhMuc!$E$154:$E$165,MATCH(MID($B6345,4,2),DanhMuc!$B$154:$B$165,0)),""),"")</f>
        <v/>
      </c>
      <c r="V6345" s="361"/>
      <c r="W6345" s="345"/>
      <c r="X6345" s="786"/>
      <c r="Y6345" s="1128" t="s">
        <v>3380</v>
      </c>
      <c r="Z6345" s="1128" t="s">
        <v>3381</v>
      </c>
      <c r="AA6345" s="1128" t="s">
        <v>3384</v>
      </c>
      <c r="AB6345" s="20"/>
      <c r="AC6345" s="73"/>
    </row>
    <row r="6346" spans="1:29">
      <c r="A6346" s="327" t="str">
        <f>IF(AND($B6346&lt;&gt;"",$C6346&lt;&gt;""),MAX($A$4730:$A6345)+1,"")</f>
        <v/>
      </c>
      <c r="B6346" s="361" t="s">
        <v>1716</v>
      </c>
      <c r="C6346" s="362"/>
      <c r="D6346" s="327">
        <f>IF($B6346="","",COUNTIF($B$4731:$B6346,$B6346))</f>
        <v>14</v>
      </c>
      <c r="E6346" s="362" t="s">
        <v>663</v>
      </c>
      <c r="F6346" s="362" t="s">
        <v>664</v>
      </c>
      <c r="G6346" s="327" t="s">
        <v>155</v>
      </c>
      <c r="H6346" s="361" t="s">
        <v>536</v>
      </c>
      <c r="I6346" s="361" t="s">
        <v>672</v>
      </c>
      <c r="J6346" s="361"/>
      <c r="K6346" s="327" t="s">
        <v>662</v>
      </c>
      <c r="L6346" s="478">
        <v>1000</v>
      </c>
      <c r="M6346" s="355"/>
      <c r="N6346" s="355" t="s">
        <v>2409</v>
      </c>
      <c r="O6346" s="345"/>
      <c r="P6346" s="325"/>
      <c r="Q6346" s="327"/>
      <c r="R6346" s="351"/>
      <c r="S6346" s="351"/>
      <c r="T6346" s="351"/>
      <c r="U6346" s="329" t="str">
        <f>IF($N6346=$N$4,IFERROR(INDEX(DanhMuc!$E$154:$E$165,MATCH(MID($B6346,4,2),DanhMuc!$B$154:$B$165,0)),""),"")</f>
        <v/>
      </c>
      <c r="V6346" s="361"/>
      <c r="W6346" s="345"/>
      <c r="X6346" s="786"/>
      <c r="Y6346" s="1128" t="s">
        <v>3380</v>
      </c>
      <c r="Z6346" s="1128" t="s">
        <v>3381</v>
      </c>
      <c r="AA6346" s="1128" t="s">
        <v>3384</v>
      </c>
      <c r="AB6346" s="20"/>
      <c r="AC6346" s="73"/>
    </row>
    <row r="6347" spans="1:29" ht="39">
      <c r="A6347" s="327">
        <f>IF(AND($B6347&lt;&gt;"",$C6347&lt;&gt;""),MAX($A$4730:$A6332)+1,"")</f>
        <v>78</v>
      </c>
      <c r="B6347" s="359" t="s">
        <v>2193</v>
      </c>
      <c r="C6347" s="370" t="s">
        <v>1720</v>
      </c>
      <c r="D6347" s="327">
        <f>IF($B6347="","",COUNTIF($B$4731:$B6347,$B6347))</f>
        <v>1</v>
      </c>
      <c r="E6347" s="361">
        <v>1124</v>
      </c>
      <c r="F6347" s="362" t="s">
        <v>2327</v>
      </c>
      <c r="G6347" s="327" t="s">
        <v>155</v>
      </c>
      <c r="H6347" s="361" t="s">
        <v>536</v>
      </c>
      <c r="I6347" s="327">
        <v>4</v>
      </c>
      <c r="J6347" s="361"/>
      <c r="K6347" s="327" t="s">
        <v>100</v>
      </c>
      <c r="L6347" s="710" t="s">
        <v>2286</v>
      </c>
      <c r="M6347" s="355"/>
      <c r="N6347" s="355" t="s">
        <v>2408</v>
      </c>
      <c r="O6347" s="345"/>
      <c r="P6347" s="325"/>
      <c r="Q6347" s="327"/>
      <c r="R6347" s="351">
        <v>3</v>
      </c>
      <c r="S6347" s="351">
        <v>6</v>
      </c>
      <c r="T6347" s="351"/>
      <c r="U6347" s="329" t="str">
        <f>IF($N6347=$N$4,IFERROR(INDEX(DanhMuc!$E$154:$E$165,MATCH(MID($B6347,4,2),DanhMuc!$B$154:$B$165,0)),""),"")</f>
        <v/>
      </c>
      <c r="V6347" s="361"/>
      <c r="W6347" s="345"/>
      <c r="X6347" s="786"/>
      <c r="Y6347" s="1128" t="s">
        <v>3380</v>
      </c>
      <c r="Z6347" s="1128" t="s">
        <v>3381</v>
      </c>
      <c r="AA6347" s="1128" t="s">
        <v>3384</v>
      </c>
      <c r="AB6347" s="20"/>
      <c r="AC6347" s="73"/>
    </row>
    <row r="6348" spans="1:29">
      <c r="A6348" s="327" t="str">
        <f>IF(AND($B6348&lt;&gt;"",$C6348&lt;&gt;""),MAX($A$4730:$A6347)+1,"")</f>
        <v/>
      </c>
      <c r="B6348" s="361" t="s">
        <v>2193</v>
      </c>
      <c r="C6348" s="362"/>
      <c r="D6348" s="327">
        <f>IF($B6348="","",COUNTIF($B$4731:$B6348,$B6348))</f>
        <v>2</v>
      </c>
      <c r="E6348" s="361">
        <v>1124</v>
      </c>
      <c r="F6348" s="362" t="s">
        <v>2327</v>
      </c>
      <c r="G6348" s="327" t="s">
        <v>155</v>
      </c>
      <c r="H6348" s="361" t="s">
        <v>536</v>
      </c>
      <c r="I6348" s="327">
        <v>12</v>
      </c>
      <c r="J6348" s="361"/>
      <c r="K6348" s="327" t="s">
        <v>101</v>
      </c>
      <c r="L6348" s="710" t="s">
        <v>2286</v>
      </c>
      <c r="M6348" s="355"/>
      <c r="N6348" s="355" t="s">
        <v>2408</v>
      </c>
      <c r="O6348" s="345"/>
      <c r="P6348" s="325"/>
      <c r="Q6348" s="327"/>
      <c r="R6348" s="351">
        <v>3</v>
      </c>
      <c r="S6348" s="351">
        <v>6</v>
      </c>
      <c r="T6348" s="351"/>
      <c r="U6348" s="329" t="str">
        <f>IF($N6348=$N$4,IFERROR(INDEX(DanhMuc!$E$154:$E$165,MATCH(MID($B6348,4,2),DanhMuc!$B$154:$B$165,0)),""),"")</f>
        <v/>
      </c>
      <c r="V6348" s="361"/>
      <c r="W6348" s="345"/>
      <c r="X6348" s="786"/>
      <c r="Y6348" s="1128" t="s">
        <v>3380</v>
      </c>
      <c r="Z6348" s="1128" t="s">
        <v>3381</v>
      </c>
      <c r="AA6348" s="1128" t="s">
        <v>3384</v>
      </c>
      <c r="AB6348" s="20"/>
      <c r="AC6348" s="73"/>
    </row>
    <row r="6349" spans="1:29">
      <c r="A6349" s="327" t="str">
        <f>IF(AND($B6349&lt;&gt;"",$C6349&lt;&gt;""),MAX($A$4730:$A6348)+1,"")</f>
        <v/>
      </c>
      <c r="B6349" s="361" t="s">
        <v>2193</v>
      </c>
      <c r="C6349" s="362"/>
      <c r="D6349" s="327">
        <f>IF($B6349="","",COUNTIF($B$4731:$B6349,$B6349))</f>
        <v>3</v>
      </c>
      <c r="E6349" s="361" t="s">
        <v>1671</v>
      </c>
      <c r="F6349" s="362" t="s">
        <v>2329</v>
      </c>
      <c r="G6349" s="327" t="s">
        <v>155</v>
      </c>
      <c r="H6349" s="361" t="s">
        <v>536</v>
      </c>
      <c r="I6349" s="327">
        <f>+I6347+I6348*2</f>
        <v>28</v>
      </c>
      <c r="J6349" s="361"/>
      <c r="K6349" s="327" t="s">
        <v>415</v>
      </c>
      <c r="L6349" s="389">
        <v>2000</v>
      </c>
      <c r="M6349" s="355"/>
      <c r="N6349" s="355" t="s">
        <v>2408</v>
      </c>
      <c r="O6349" s="345"/>
      <c r="P6349" s="325"/>
      <c r="Q6349" s="327"/>
      <c r="R6349" s="351"/>
      <c r="S6349" s="351"/>
      <c r="T6349" s="351"/>
      <c r="U6349" s="329" t="str">
        <f>IF($N6349=$N$4,IFERROR(INDEX(DanhMuc!$E$154:$E$165,MATCH(MID($B6349,4,2),DanhMuc!$B$154:$B$165,0)),""),"")</f>
        <v/>
      </c>
      <c r="V6349" s="361"/>
      <c r="W6349" s="345"/>
      <c r="X6349" s="786"/>
      <c r="Y6349" s="1128" t="s">
        <v>3380</v>
      </c>
      <c r="Z6349" s="1128" t="s">
        <v>3381</v>
      </c>
      <c r="AA6349" s="1128" t="s">
        <v>3384</v>
      </c>
      <c r="AB6349" s="20"/>
      <c r="AC6349" s="73"/>
    </row>
    <row r="6350" spans="1:29">
      <c r="A6350" s="327" t="str">
        <f>IF(AND($B6350&lt;&gt;"",$C6350&lt;&gt;""),MAX($A$4730:$A6349)+1,"")</f>
        <v/>
      </c>
      <c r="B6350" s="361" t="s">
        <v>2193</v>
      </c>
      <c r="C6350" s="362"/>
      <c r="D6350" s="327">
        <f>IF($B6350="","",COUNTIF($B$4731:$B6350,$B6350))</f>
        <v>4</v>
      </c>
      <c r="E6350" s="361" t="s">
        <v>654</v>
      </c>
      <c r="F6350" s="362" t="s">
        <v>653</v>
      </c>
      <c r="G6350" s="327" t="s">
        <v>1836</v>
      </c>
      <c r="H6350" s="361" t="s">
        <v>536</v>
      </c>
      <c r="I6350" s="327">
        <f>ROUND(SUM(I6347:I6348)/45,2)</f>
        <v>0.36</v>
      </c>
      <c r="J6350" s="477"/>
      <c r="K6350" s="327" t="s">
        <v>655</v>
      </c>
      <c r="L6350" s="478">
        <v>115000</v>
      </c>
      <c r="M6350" s="355"/>
      <c r="N6350" s="355" t="s">
        <v>2408</v>
      </c>
      <c r="O6350" s="345"/>
      <c r="P6350" s="325"/>
      <c r="Q6350" s="327"/>
      <c r="R6350" s="351"/>
      <c r="S6350" s="351"/>
      <c r="T6350" s="351"/>
      <c r="U6350" s="329" t="str">
        <f>IF($N6350=$N$4,IFERROR(INDEX(DanhMuc!$E$154:$E$165,MATCH(MID($B6350,4,2),DanhMuc!$B$154:$B$165,0)),""),"")</f>
        <v/>
      </c>
      <c r="V6350" s="361"/>
      <c r="W6350" s="345"/>
      <c r="X6350" s="786"/>
      <c r="Y6350" s="1128" t="s">
        <v>3380</v>
      </c>
      <c r="Z6350" s="1128" t="s">
        <v>3381</v>
      </c>
      <c r="AA6350" s="1128" t="s">
        <v>3384</v>
      </c>
      <c r="AB6350" s="20"/>
      <c r="AC6350" s="73"/>
    </row>
    <row r="6351" spans="1:29">
      <c r="A6351" s="327" t="str">
        <f>IF(AND($B6351&lt;&gt;"",$C6351&lt;&gt;""),MAX($A$4730:$A6350)+1,"")</f>
        <v/>
      </c>
      <c r="B6351" s="361" t="s">
        <v>2193</v>
      </c>
      <c r="C6351" s="360"/>
      <c r="D6351" s="327">
        <f>IF($B6351="","",COUNTIF($B$4731:$B6351,$B6351))</f>
        <v>5</v>
      </c>
      <c r="E6351" s="361" t="s">
        <v>1826</v>
      </c>
      <c r="F6351" s="362" t="s">
        <v>670</v>
      </c>
      <c r="G6351" s="327" t="s">
        <v>661</v>
      </c>
      <c r="H6351" s="361" t="s">
        <v>536</v>
      </c>
      <c r="I6351" s="361" t="s">
        <v>2354</v>
      </c>
      <c r="J6351" s="361"/>
      <c r="K6351" s="327" t="s">
        <v>103</v>
      </c>
      <c r="L6351" s="478">
        <f>40000/1000</f>
        <v>40</v>
      </c>
      <c r="M6351" s="355"/>
      <c r="N6351" s="355" t="s">
        <v>2408</v>
      </c>
      <c r="O6351" s="345"/>
      <c r="P6351" s="325"/>
      <c r="Q6351" s="327"/>
      <c r="R6351" s="351"/>
      <c r="S6351" s="351"/>
      <c r="T6351" s="351"/>
      <c r="U6351" s="329" t="str">
        <f>IF($N6351=$N$4,IFERROR(INDEX(DanhMuc!$E$154:$E$165,MATCH(MID($B6351,4,2),DanhMuc!$B$154:$B$165,0)),""),"")</f>
        <v/>
      </c>
      <c r="V6351" s="361"/>
      <c r="W6351" s="345"/>
      <c r="X6351" s="786"/>
      <c r="Y6351" s="1128" t="s">
        <v>3380</v>
      </c>
      <c r="Z6351" s="1128" t="s">
        <v>3381</v>
      </c>
      <c r="AA6351" s="1128" t="s">
        <v>3384</v>
      </c>
      <c r="AB6351" s="20"/>
      <c r="AC6351" s="73"/>
    </row>
    <row r="6352" spans="1:29" ht="37.5">
      <c r="A6352" s="327" t="str">
        <f>IF(AND($B6352&lt;&gt;"",$C6352&lt;&gt;""),MAX($A$4730:$A6351)+1,"")</f>
        <v/>
      </c>
      <c r="B6352" s="361" t="s">
        <v>2193</v>
      </c>
      <c r="C6352" s="362"/>
      <c r="D6352" s="327">
        <f>IF($B6352="","",COUNTIF($B$4731:$B6352,$B6352))</f>
        <v>6</v>
      </c>
      <c r="E6352" s="362" t="s">
        <v>1964</v>
      </c>
      <c r="F6352" s="362" t="s">
        <v>1965</v>
      </c>
      <c r="G6352" s="327" t="s">
        <v>405</v>
      </c>
      <c r="H6352" s="361" t="s">
        <v>536</v>
      </c>
      <c r="I6352" s="361" t="s">
        <v>693</v>
      </c>
      <c r="J6352" s="361"/>
      <c r="K6352" s="327" t="s">
        <v>223</v>
      </c>
      <c r="L6352" s="478">
        <v>140</v>
      </c>
      <c r="M6352" s="371"/>
      <c r="N6352" s="355" t="s">
        <v>2408</v>
      </c>
      <c r="O6352" s="345"/>
      <c r="P6352" s="325"/>
      <c r="Q6352" s="327"/>
      <c r="R6352" s="351"/>
      <c r="S6352" s="351"/>
      <c r="T6352" s="351"/>
      <c r="U6352" s="329" t="str">
        <f>IF($N6352=$N$4,IFERROR(INDEX(DanhMuc!$E$154:$E$165,MATCH(MID($B6352,4,2),DanhMuc!$B$154:$B$165,0)),""),"")</f>
        <v/>
      </c>
      <c r="V6352" s="361"/>
      <c r="W6352" s="345"/>
      <c r="X6352" s="786"/>
      <c r="Y6352" s="1128" t="s">
        <v>3380</v>
      </c>
      <c r="Z6352" s="1128" t="s">
        <v>3381</v>
      </c>
      <c r="AA6352" s="1128" t="s">
        <v>3384</v>
      </c>
      <c r="AB6352" s="20"/>
      <c r="AC6352" s="73"/>
    </row>
    <row r="6353" spans="1:29" ht="37.5">
      <c r="A6353" s="327" t="str">
        <f>IF(AND($B6353&lt;&gt;"",$C6353&lt;&gt;""),MAX($A$4730:$A6352)+1,"")</f>
        <v/>
      </c>
      <c r="B6353" s="361" t="s">
        <v>2193</v>
      </c>
      <c r="C6353" s="362"/>
      <c r="D6353" s="327">
        <f>IF($B6353="","",COUNTIF($B$4731:$B6353,$B6353))</f>
        <v>7</v>
      </c>
      <c r="E6353" s="362" t="s">
        <v>2756</v>
      </c>
      <c r="F6353" s="362" t="s">
        <v>2757</v>
      </c>
      <c r="G6353" s="327" t="s">
        <v>405</v>
      </c>
      <c r="H6353" s="361" t="s">
        <v>536</v>
      </c>
      <c r="I6353" s="361" t="s">
        <v>693</v>
      </c>
      <c r="J6353" s="361"/>
      <c r="K6353" s="327" t="s">
        <v>223</v>
      </c>
      <c r="L6353" s="479">
        <v>322</v>
      </c>
      <c r="M6353" s="371"/>
      <c r="N6353" s="355" t="s">
        <v>2408</v>
      </c>
      <c r="O6353" s="345"/>
      <c r="P6353" s="325"/>
      <c r="Q6353" s="327"/>
      <c r="R6353" s="351"/>
      <c r="S6353" s="351"/>
      <c r="T6353" s="351"/>
      <c r="U6353" s="329" t="str">
        <f>IF($N6353=$N$4,IFERROR(INDEX(DanhMuc!$E$154:$E$165,MATCH(MID($B6353,4,2),DanhMuc!$B$154:$B$165,0)),""),"")</f>
        <v/>
      </c>
      <c r="V6353" s="361"/>
      <c r="W6353" s="345"/>
      <c r="X6353" s="786"/>
      <c r="Y6353" s="1128" t="s">
        <v>3380</v>
      </c>
      <c r="Z6353" s="1128" t="s">
        <v>3381</v>
      </c>
      <c r="AA6353" s="1128" t="s">
        <v>3384</v>
      </c>
      <c r="AB6353" s="20"/>
      <c r="AC6353" s="73"/>
    </row>
    <row r="6354" spans="1:29">
      <c r="A6354" s="327" t="str">
        <f>IF(AND($B6354&lt;&gt;"",$C6354&lt;&gt;""),MAX($A$4730:$A6353)+1,"")</f>
        <v/>
      </c>
      <c r="B6354" s="361" t="s">
        <v>2193</v>
      </c>
      <c r="C6354" s="362"/>
      <c r="D6354" s="327">
        <f>IF($B6354="","",COUNTIF($B$4731:$B6354,$B6354))</f>
        <v>8</v>
      </c>
      <c r="E6354" s="361" t="s">
        <v>656</v>
      </c>
      <c r="F6354" s="362" t="s">
        <v>2239</v>
      </c>
      <c r="G6354" s="327" t="s">
        <v>405</v>
      </c>
      <c r="H6354" s="361" t="s">
        <v>536</v>
      </c>
      <c r="I6354" s="361" t="s">
        <v>1827</v>
      </c>
      <c r="J6354" s="361"/>
      <c r="K6354" s="327" t="s">
        <v>100</v>
      </c>
      <c r="L6354" s="478">
        <v>970</v>
      </c>
      <c r="M6354" s="371"/>
      <c r="N6354" s="355" t="s">
        <v>2409</v>
      </c>
      <c r="O6354" s="345"/>
      <c r="P6354" s="325"/>
      <c r="Q6354" s="327"/>
      <c r="R6354" s="351"/>
      <c r="S6354" s="351"/>
      <c r="T6354" s="351"/>
      <c r="U6354" s="329" t="str">
        <f>IF($N6354=$N$4,IFERROR(INDEX(DanhMuc!$E$154:$E$165,MATCH(MID($B6354,4,2),DanhMuc!$B$154:$B$165,0)),""),"")</f>
        <v/>
      </c>
      <c r="V6354" s="361"/>
      <c r="W6354" s="345"/>
      <c r="X6354" s="786"/>
      <c r="Y6354" s="1128" t="s">
        <v>3380</v>
      </c>
      <c r="Z6354" s="1128" t="s">
        <v>3381</v>
      </c>
      <c r="AA6354" s="1128" t="s">
        <v>3384</v>
      </c>
      <c r="AB6354" s="20"/>
      <c r="AC6354" s="73"/>
    </row>
    <row r="6355" spans="1:29">
      <c r="A6355" s="327" t="str">
        <f>IF(AND($B6355&lt;&gt;"",$C6355&lt;&gt;""),MAX($A$4730:$A6354)+1,"")</f>
        <v/>
      </c>
      <c r="B6355" s="361" t="s">
        <v>2193</v>
      </c>
      <c r="C6355" s="362"/>
      <c r="D6355" s="327">
        <f>IF($B6355="","",COUNTIF($B$4731:$B6355,$B6355))</f>
        <v>9</v>
      </c>
      <c r="E6355" s="361" t="s">
        <v>657</v>
      </c>
      <c r="F6355" s="362" t="s">
        <v>658</v>
      </c>
      <c r="G6355" s="327" t="s">
        <v>424</v>
      </c>
      <c r="H6355" s="361" t="s">
        <v>536</v>
      </c>
      <c r="I6355" s="361" t="s">
        <v>665</v>
      </c>
      <c r="J6355" s="361"/>
      <c r="K6355" s="327" t="s">
        <v>100</v>
      </c>
      <c r="L6355" s="478">
        <v>60000</v>
      </c>
      <c r="M6355" s="355"/>
      <c r="N6355" s="355" t="s">
        <v>2409</v>
      </c>
      <c r="O6355" s="345"/>
      <c r="P6355" s="325"/>
      <c r="Q6355" s="327"/>
      <c r="R6355" s="351"/>
      <c r="S6355" s="351"/>
      <c r="T6355" s="351"/>
      <c r="U6355" s="329" t="str">
        <f>IF($N6355=$N$4,IFERROR(INDEX(DanhMuc!$E$154:$E$165,MATCH(MID($B6355,4,2),DanhMuc!$B$154:$B$165,0)),""),"")</f>
        <v/>
      </c>
      <c r="V6355" s="361"/>
      <c r="W6355" s="345"/>
      <c r="X6355" s="786"/>
      <c r="Y6355" s="1128" t="s">
        <v>3380</v>
      </c>
      <c r="Z6355" s="1128" t="s">
        <v>3381</v>
      </c>
      <c r="AA6355" s="1128" t="s">
        <v>3384</v>
      </c>
      <c r="AB6355" s="20"/>
      <c r="AC6355" s="73"/>
    </row>
    <row r="6356" spans="1:29">
      <c r="A6356" s="327" t="str">
        <f>IF(AND($B6356&lt;&gt;"",$C6356&lt;&gt;""),MAX($A$4730:$A6355)+1,"")</f>
        <v/>
      </c>
      <c r="B6356" s="361" t="s">
        <v>2193</v>
      </c>
      <c r="C6356" s="362"/>
      <c r="D6356" s="327">
        <f>IF($B6356="","",COUNTIF($B$4731:$B6356,$B6356))</f>
        <v>10</v>
      </c>
      <c r="E6356" s="361" t="s">
        <v>2771</v>
      </c>
      <c r="F6356" s="362" t="s">
        <v>659</v>
      </c>
      <c r="G6356" s="327" t="s">
        <v>424</v>
      </c>
      <c r="H6356" s="361" t="s">
        <v>536</v>
      </c>
      <c r="I6356" s="361" t="s">
        <v>666</v>
      </c>
      <c r="J6356" s="361"/>
      <c r="K6356" s="327" t="s">
        <v>100</v>
      </c>
      <c r="L6356" s="389">
        <v>53000</v>
      </c>
      <c r="M6356" s="355"/>
      <c r="N6356" s="355" t="s">
        <v>2409</v>
      </c>
      <c r="O6356" s="345"/>
      <c r="P6356" s="325"/>
      <c r="Q6356" s="327"/>
      <c r="R6356" s="351"/>
      <c r="S6356" s="351"/>
      <c r="T6356" s="351"/>
      <c r="U6356" s="329" t="str">
        <f>IF($N6356=$N$4,IFERROR(INDEX(DanhMuc!$E$154:$E$165,MATCH(MID($B6356,4,2),DanhMuc!$B$154:$B$165,0)),""),"")</f>
        <v/>
      </c>
      <c r="V6356" s="361"/>
      <c r="W6356" s="345"/>
      <c r="X6356" s="786"/>
      <c r="Y6356" s="1128" t="s">
        <v>3380</v>
      </c>
      <c r="Z6356" s="1128" t="s">
        <v>3381</v>
      </c>
      <c r="AA6356" s="1128" t="s">
        <v>3384</v>
      </c>
      <c r="AB6356" s="20"/>
      <c r="AC6356" s="73"/>
    </row>
    <row r="6357" spans="1:29">
      <c r="A6357" s="327" t="str">
        <f>IF(AND($B6357&lt;&gt;"",$C6357&lt;&gt;""),MAX($A$4730:$A6356)+1,"")</f>
        <v/>
      </c>
      <c r="B6357" s="361" t="s">
        <v>2193</v>
      </c>
      <c r="C6357" s="362"/>
      <c r="D6357" s="327">
        <f>IF($B6357="","",COUNTIF($B$4731:$B6357,$B6357))</f>
        <v>11</v>
      </c>
      <c r="E6357" s="361" t="s">
        <v>1828</v>
      </c>
      <c r="F6357" s="362" t="s">
        <v>671</v>
      </c>
      <c r="G6357" s="327" t="s">
        <v>661</v>
      </c>
      <c r="H6357" s="361" t="s">
        <v>536</v>
      </c>
      <c r="I6357" s="361" t="s">
        <v>2355</v>
      </c>
      <c r="J6357" s="361"/>
      <c r="K6357" s="327" t="s">
        <v>100</v>
      </c>
      <c r="L6357" s="478">
        <f>40000/1000</f>
        <v>40</v>
      </c>
      <c r="M6357" s="355"/>
      <c r="N6357" s="355" t="s">
        <v>2409</v>
      </c>
      <c r="O6357" s="345"/>
      <c r="P6357" s="325"/>
      <c r="Q6357" s="327"/>
      <c r="R6357" s="351"/>
      <c r="S6357" s="351"/>
      <c r="T6357" s="351"/>
      <c r="U6357" s="329" t="str">
        <f>IF($N6357=$N$4,IFERROR(INDEX(DanhMuc!$E$154:$E$165,MATCH(MID($B6357,4,2),DanhMuc!$B$154:$B$165,0)),""),"")</f>
        <v/>
      </c>
      <c r="V6357" s="361"/>
      <c r="W6357" s="345"/>
      <c r="X6357" s="786"/>
      <c r="Y6357" s="1128" t="s">
        <v>3380</v>
      </c>
      <c r="Z6357" s="1128" t="s">
        <v>3381</v>
      </c>
      <c r="AA6357" s="1128" t="s">
        <v>3384</v>
      </c>
      <c r="AB6357" s="20"/>
      <c r="AC6357" s="73"/>
    </row>
    <row r="6358" spans="1:29">
      <c r="A6358" s="327" t="str">
        <f>IF(AND($B6358&lt;&gt;"",$C6358&lt;&gt;""),MAX($A$4730:$A6357)+1,"")</f>
        <v/>
      </c>
      <c r="B6358" s="361" t="s">
        <v>2193</v>
      </c>
      <c r="C6358" s="362"/>
      <c r="D6358" s="327">
        <f>IF($B6358="","",COUNTIF($B$4731:$B6358,$B6358))</f>
        <v>12</v>
      </c>
      <c r="E6358" s="361" t="s">
        <v>154</v>
      </c>
      <c r="F6358" s="362" t="s">
        <v>660</v>
      </c>
      <c r="G6358" s="327" t="s">
        <v>661</v>
      </c>
      <c r="H6358" s="361" t="s">
        <v>536</v>
      </c>
      <c r="I6358" s="361" t="s">
        <v>667</v>
      </c>
      <c r="J6358" s="361"/>
      <c r="K6358" s="327" t="s">
        <v>662</v>
      </c>
      <c r="L6358" s="478">
        <v>20</v>
      </c>
      <c r="M6358" s="355"/>
      <c r="N6358" s="355" t="s">
        <v>2409</v>
      </c>
      <c r="O6358" s="345"/>
      <c r="P6358" s="325"/>
      <c r="Q6358" s="327"/>
      <c r="R6358" s="351"/>
      <c r="S6358" s="351"/>
      <c r="T6358" s="351"/>
      <c r="U6358" s="329" t="str">
        <f>IF($N6358=$N$4,IFERROR(INDEX(DanhMuc!$E$154:$E$165,MATCH(MID($B6358,4,2),DanhMuc!$B$154:$B$165,0)),""),"")</f>
        <v/>
      </c>
      <c r="V6358" s="361"/>
      <c r="W6358" s="345"/>
      <c r="X6358" s="786"/>
      <c r="Y6358" s="1128" t="s">
        <v>3380</v>
      </c>
      <c r="Z6358" s="1128" t="s">
        <v>3381</v>
      </c>
      <c r="AA6358" s="1128" t="s">
        <v>3384</v>
      </c>
      <c r="AB6358" s="20"/>
      <c r="AC6358" s="73"/>
    </row>
    <row r="6359" spans="1:29">
      <c r="A6359" s="327" t="str">
        <f>IF(AND($B6359&lt;&gt;"",$C6359&lt;&gt;""),MAX($A$4730:$A6358)+1,"")</f>
        <v/>
      </c>
      <c r="B6359" s="361" t="s">
        <v>2193</v>
      </c>
      <c r="C6359" s="362"/>
      <c r="D6359" s="327">
        <f>IF($B6359="","",COUNTIF($B$4731:$B6359,$B6359))</f>
        <v>13</v>
      </c>
      <c r="E6359" s="362" t="s">
        <v>2282</v>
      </c>
      <c r="F6359" s="362" t="s">
        <v>2283</v>
      </c>
      <c r="G6359" s="327" t="s">
        <v>424</v>
      </c>
      <c r="H6359" s="361" t="s">
        <v>536</v>
      </c>
      <c r="I6359" s="361" t="s">
        <v>2238</v>
      </c>
      <c r="J6359" s="361"/>
      <c r="K6359" s="327" t="s">
        <v>662</v>
      </c>
      <c r="L6359" s="478">
        <v>28000</v>
      </c>
      <c r="M6359" s="355"/>
      <c r="N6359" s="355" t="s">
        <v>2409</v>
      </c>
      <c r="O6359" s="345"/>
      <c r="P6359" s="325"/>
      <c r="Q6359" s="327"/>
      <c r="R6359" s="351"/>
      <c r="S6359" s="351"/>
      <c r="T6359" s="351"/>
      <c r="U6359" s="329" t="str">
        <f>IF($N6359=$N$4,IFERROR(INDEX(DanhMuc!$E$154:$E$165,MATCH(MID($B6359,4,2),DanhMuc!$B$154:$B$165,0)),""),"")</f>
        <v/>
      </c>
      <c r="V6359" s="361"/>
      <c r="W6359" s="345"/>
      <c r="X6359" s="786"/>
      <c r="Y6359" s="1128" t="s">
        <v>3380</v>
      </c>
      <c r="Z6359" s="1128" t="s">
        <v>3381</v>
      </c>
      <c r="AA6359" s="1128" t="s">
        <v>3384</v>
      </c>
      <c r="AB6359" s="20"/>
      <c r="AC6359" s="73"/>
    </row>
    <row r="6360" spans="1:29">
      <c r="A6360" s="327" t="str">
        <f>IF(AND($B6360&lt;&gt;"",$C6360&lt;&gt;""),MAX($A$4730:$A6359)+1,"")</f>
        <v/>
      </c>
      <c r="B6360" s="361" t="s">
        <v>2193</v>
      </c>
      <c r="C6360" s="362"/>
      <c r="D6360" s="327">
        <f>IF($B6360="","",COUNTIF($B$4731:$B6360,$B6360))</f>
        <v>14</v>
      </c>
      <c r="E6360" s="362" t="s">
        <v>663</v>
      </c>
      <c r="F6360" s="362" t="s">
        <v>664</v>
      </c>
      <c r="G6360" s="327" t="s">
        <v>155</v>
      </c>
      <c r="H6360" s="361" t="s">
        <v>536</v>
      </c>
      <c r="I6360" s="361" t="s">
        <v>672</v>
      </c>
      <c r="J6360" s="361"/>
      <c r="K6360" s="327" t="s">
        <v>662</v>
      </c>
      <c r="L6360" s="478">
        <v>1000</v>
      </c>
      <c r="M6360" s="355"/>
      <c r="N6360" s="355" t="s">
        <v>2409</v>
      </c>
      <c r="O6360" s="345"/>
      <c r="P6360" s="325"/>
      <c r="Q6360" s="327"/>
      <c r="R6360" s="351"/>
      <c r="S6360" s="351"/>
      <c r="T6360" s="351"/>
      <c r="U6360" s="329" t="str">
        <f>IF($N6360=$N$4,IFERROR(INDEX(DanhMuc!$E$154:$E$165,MATCH(MID($B6360,4,2),DanhMuc!$B$154:$B$165,0)),""),"")</f>
        <v/>
      </c>
      <c r="V6360" s="361"/>
      <c r="W6360" s="345"/>
      <c r="X6360" s="786"/>
      <c r="Y6360" s="1128" t="s">
        <v>3380</v>
      </c>
      <c r="Z6360" s="1128" t="s">
        <v>3381</v>
      </c>
      <c r="AA6360" s="1128" t="s">
        <v>3384</v>
      </c>
      <c r="AB6360" s="20"/>
      <c r="AC6360" s="73"/>
    </row>
    <row r="6361" spans="1:29" ht="39">
      <c r="A6361" s="327">
        <f>IF(AND($B6361&lt;&gt;"",$C6361&lt;&gt;""),MAX($A$4730:$A6346)+1,"")</f>
        <v>79</v>
      </c>
      <c r="B6361" s="359" t="s">
        <v>1721</v>
      </c>
      <c r="C6361" s="370" t="s">
        <v>1720</v>
      </c>
      <c r="D6361" s="327">
        <f>IF($B6361="","",COUNTIF($B$4731:$B6361,$B6361))</f>
        <v>1</v>
      </c>
      <c r="E6361" s="361">
        <v>1124</v>
      </c>
      <c r="F6361" s="362" t="s">
        <v>2327</v>
      </c>
      <c r="G6361" s="327" t="s">
        <v>155</v>
      </c>
      <c r="H6361" s="361" t="s">
        <v>536</v>
      </c>
      <c r="I6361" s="327">
        <v>4</v>
      </c>
      <c r="J6361" s="361"/>
      <c r="K6361" s="327" t="s">
        <v>100</v>
      </c>
      <c r="L6361" s="710" t="s">
        <v>2286</v>
      </c>
      <c r="M6361" s="355"/>
      <c r="N6361" s="355" t="s">
        <v>2408</v>
      </c>
      <c r="O6361" s="345"/>
      <c r="P6361" s="325"/>
      <c r="Q6361" s="327"/>
      <c r="R6361" s="351">
        <v>3</v>
      </c>
      <c r="S6361" s="351">
        <v>6</v>
      </c>
      <c r="T6361" s="351"/>
      <c r="U6361" s="329" t="str">
        <f>IF($N6361=$N$4,IFERROR(INDEX(DanhMuc!$E$154:$E$165,MATCH(MID($B6361,4,2),DanhMuc!$B$154:$B$165,0)),""),"")</f>
        <v/>
      </c>
      <c r="V6361" s="361"/>
      <c r="W6361" s="345"/>
      <c r="X6361" s="786"/>
      <c r="Y6361" s="1128" t="s">
        <v>3380</v>
      </c>
      <c r="Z6361" s="1128" t="s">
        <v>3381</v>
      </c>
      <c r="AA6361" s="1128" t="s">
        <v>3384</v>
      </c>
      <c r="AB6361" s="20"/>
      <c r="AC6361" s="73"/>
    </row>
    <row r="6362" spans="1:29">
      <c r="A6362" s="327" t="str">
        <f>IF(AND($B6362&lt;&gt;"",$C6362&lt;&gt;""),MAX($A$4730:$A6361)+1,"")</f>
        <v/>
      </c>
      <c r="B6362" s="361" t="s">
        <v>1721</v>
      </c>
      <c r="C6362" s="362"/>
      <c r="D6362" s="327">
        <f>IF($B6362="","",COUNTIF($B$4731:$B6362,$B6362))</f>
        <v>2</v>
      </c>
      <c r="E6362" s="361">
        <v>1124</v>
      </c>
      <c r="F6362" s="362" t="s">
        <v>2327</v>
      </c>
      <c r="G6362" s="327" t="s">
        <v>155</v>
      </c>
      <c r="H6362" s="361" t="s">
        <v>536</v>
      </c>
      <c r="I6362" s="327">
        <v>16</v>
      </c>
      <c r="J6362" s="361"/>
      <c r="K6362" s="327" t="s">
        <v>101</v>
      </c>
      <c r="L6362" s="710" t="s">
        <v>2286</v>
      </c>
      <c r="M6362" s="355"/>
      <c r="N6362" s="355" t="s">
        <v>2408</v>
      </c>
      <c r="O6362" s="345"/>
      <c r="P6362" s="325"/>
      <c r="Q6362" s="327"/>
      <c r="R6362" s="351">
        <v>3</v>
      </c>
      <c r="S6362" s="351">
        <v>6</v>
      </c>
      <c r="T6362" s="351"/>
      <c r="U6362" s="329" t="str">
        <f>IF($N6362=$N$4,IFERROR(INDEX(DanhMuc!$E$154:$E$165,MATCH(MID($B6362,4,2),DanhMuc!$B$154:$B$165,0)),""),"")</f>
        <v/>
      </c>
      <c r="V6362" s="361"/>
      <c r="W6362" s="345"/>
      <c r="X6362" s="786"/>
      <c r="Y6362" s="1128" t="s">
        <v>3380</v>
      </c>
      <c r="Z6362" s="1128" t="s">
        <v>3381</v>
      </c>
      <c r="AA6362" s="1128" t="s">
        <v>3384</v>
      </c>
      <c r="AB6362" s="20"/>
      <c r="AC6362" s="73"/>
    </row>
    <row r="6363" spans="1:29">
      <c r="A6363" s="327" t="str">
        <f>IF(AND($B6363&lt;&gt;"",$C6363&lt;&gt;""),MAX($A$4730:$A6362)+1,"")</f>
        <v/>
      </c>
      <c r="B6363" s="361" t="s">
        <v>1721</v>
      </c>
      <c r="C6363" s="362"/>
      <c r="D6363" s="327">
        <f>IF($B6363="","",COUNTIF($B$4731:$B6363,$B6363))</f>
        <v>3</v>
      </c>
      <c r="E6363" s="361" t="s">
        <v>1671</v>
      </c>
      <c r="F6363" s="362" t="s">
        <v>2329</v>
      </c>
      <c r="G6363" s="327" t="s">
        <v>155</v>
      </c>
      <c r="H6363" s="361" t="s">
        <v>536</v>
      </c>
      <c r="I6363" s="327">
        <f>+I6361+I6362*2</f>
        <v>36</v>
      </c>
      <c r="J6363" s="361"/>
      <c r="K6363" s="327" t="s">
        <v>415</v>
      </c>
      <c r="L6363" s="389">
        <v>2000</v>
      </c>
      <c r="M6363" s="355"/>
      <c r="N6363" s="355" t="s">
        <v>2408</v>
      </c>
      <c r="O6363" s="345"/>
      <c r="P6363" s="325"/>
      <c r="Q6363" s="327"/>
      <c r="R6363" s="351"/>
      <c r="S6363" s="351"/>
      <c r="T6363" s="351"/>
      <c r="U6363" s="329" t="str">
        <f>IF($N6363=$N$4,IFERROR(INDEX(DanhMuc!$E$154:$E$165,MATCH(MID($B6363,4,2),DanhMuc!$B$154:$B$165,0)),""),"")</f>
        <v/>
      </c>
      <c r="V6363" s="361"/>
      <c r="W6363" s="345"/>
      <c r="X6363" s="786"/>
      <c r="Y6363" s="1128" t="s">
        <v>3380</v>
      </c>
      <c r="Z6363" s="1128" t="s">
        <v>3381</v>
      </c>
      <c r="AA6363" s="1128" t="s">
        <v>3384</v>
      </c>
      <c r="AB6363" s="20"/>
      <c r="AC6363" s="73"/>
    </row>
    <row r="6364" spans="1:29">
      <c r="A6364" s="327" t="str">
        <f>IF(AND($B6364&lt;&gt;"",$C6364&lt;&gt;""),MAX($A$4730:$A6363)+1,"")</f>
        <v/>
      </c>
      <c r="B6364" s="361" t="s">
        <v>1721</v>
      </c>
      <c r="C6364" s="362"/>
      <c r="D6364" s="327">
        <f>IF($B6364="","",COUNTIF($B$4731:$B6364,$B6364))</f>
        <v>4</v>
      </c>
      <c r="E6364" s="361" t="s">
        <v>654</v>
      </c>
      <c r="F6364" s="362" t="s">
        <v>653</v>
      </c>
      <c r="G6364" s="327" t="s">
        <v>1836</v>
      </c>
      <c r="H6364" s="361" t="s">
        <v>536</v>
      </c>
      <c r="I6364" s="327">
        <f>ROUND(SUM(I6361:I6362)/45,2)</f>
        <v>0.44</v>
      </c>
      <c r="J6364" s="477"/>
      <c r="K6364" s="327" t="s">
        <v>655</v>
      </c>
      <c r="L6364" s="478">
        <v>115000</v>
      </c>
      <c r="M6364" s="355"/>
      <c r="N6364" s="355" t="s">
        <v>2408</v>
      </c>
      <c r="O6364" s="345"/>
      <c r="P6364" s="325"/>
      <c r="Q6364" s="327"/>
      <c r="R6364" s="351"/>
      <c r="S6364" s="351"/>
      <c r="T6364" s="351"/>
      <c r="U6364" s="329" t="str">
        <f>IF($N6364=$N$4,IFERROR(INDEX(DanhMuc!$E$154:$E$165,MATCH(MID($B6364,4,2),DanhMuc!$B$154:$B$165,0)),""),"")</f>
        <v/>
      </c>
      <c r="V6364" s="361"/>
      <c r="W6364" s="345"/>
      <c r="X6364" s="786"/>
      <c r="Y6364" s="1128" t="s">
        <v>3380</v>
      </c>
      <c r="Z6364" s="1128" t="s">
        <v>3381</v>
      </c>
      <c r="AA6364" s="1128" t="s">
        <v>3384</v>
      </c>
      <c r="AB6364" s="20"/>
      <c r="AC6364" s="73"/>
    </row>
    <row r="6365" spans="1:29">
      <c r="A6365" s="327" t="str">
        <f>IF(AND($B6365&lt;&gt;"",$C6365&lt;&gt;""),MAX($A$4730:$A6364)+1,"")</f>
        <v/>
      </c>
      <c r="B6365" s="361" t="s">
        <v>1721</v>
      </c>
      <c r="C6365" s="360"/>
      <c r="D6365" s="327">
        <f>IF($B6365="","",COUNTIF($B$4731:$B6365,$B6365))</f>
        <v>5</v>
      </c>
      <c r="E6365" s="361" t="s">
        <v>1826</v>
      </c>
      <c r="F6365" s="362" t="s">
        <v>670</v>
      </c>
      <c r="G6365" s="327" t="s">
        <v>661</v>
      </c>
      <c r="H6365" s="361" t="s">
        <v>536</v>
      </c>
      <c r="I6365" s="361" t="s">
        <v>2354</v>
      </c>
      <c r="J6365" s="361"/>
      <c r="K6365" s="327" t="s">
        <v>103</v>
      </c>
      <c r="L6365" s="478">
        <f>40000/1000</f>
        <v>40</v>
      </c>
      <c r="M6365" s="355"/>
      <c r="N6365" s="355" t="s">
        <v>2408</v>
      </c>
      <c r="O6365" s="345"/>
      <c r="P6365" s="325"/>
      <c r="Q6365" s="327"/>
      <c r="R6365" s="351"/>
      <c r="S6365" s="351"/>
      <c r="T6365" s="351"/>
      <c r="U6365" s="329" t="str">
        <f>IF($N6365=$N$4,IFERROR(INDEX(DanhMuc!$E$154:$E$165,MATCH(MID($B6365,4,2),DanhMuc!$B$154:$B$165,0)),""),"")</f>
        <v/>
      </c>
      <c r="V6365" s="361"/>
      <c r="W6365" s="345"/>
      <c r="X6365" s="786"/>
      <c r="Y6365" s="1128" t="s">
        <v>3380</v>
      </c>
      <c r="Z6365" s="1128" t="s">
        <v>3381</v>
      </c>
      <c r="AA6365" s="1128" t="s">
        <v>3384</v>
      </c>
      <c r="AB6365" s="20"/>
      <c r="AC6365" s="73"/>
    </row>
    <row r="6366" spans="1:29" ht="37.5">
      <c r="A6366" s="327" t="str">
        <f>IF(AND($B6366&lt;&gt;"",$C6366&lt;&gt;""),MAX($A$4730:$A6365)+1,"")</f>
        <v/>
      </c>
      <c r="B6366" s="361" t="s">
        <v>1721</v>
      </c>
      <c r="C6366" s="362"/>
      <c r="D6366" s="327">
        <f>IF($B6366="","",COUNTIF($B$4731:$B6366,$B6366))</f>
        <v>6</v>
      </c>
      <c r="E6366" s="362" t="s">
        <v>1964</v>
      </c>
      <c r="F6366" s="362" t="s">
        <v>1965</v>
      </c>
      <c r="G6366" s="327" t="s">
        <v>405</v>
      </c>
      <c r="H6366" s="361" t="s">
        <v>536</v>
      </c>
      <c r="I6366" s="361" t="s">
        <v>693</v>
      </c>
      <c r="J6366" s="361"/>
      <c r="K6366" s="327" t="s">
        <v>223</v>
      </c>
      <c r="L6366" s="478">
        <v>140</v>
      </c>
      <c r="M6366" s="371"/>
      <c r="N6366" s="355" t="s">
        <v>2408</v>
      </c>
      <c r="O6366" s="345"/>
      <c r="P6366" s="325"/>
      <c r="Q6366" s="327"/>
      <c r="R6366" s="351"/>
      <c r="S6366" s="351"/>
      <c r="T6366" s="351"/>
      <c r="U6366" s="329" t="str">
        <f>IF($N6366=$N$4,IFERROR(INDEX(DanhMuc!$E$154:$E$165,MATCH(MID($B6366,4,2),DanhMuc!$B$154:$B$165,0)),""),"")</f>
        <v/>
      </c>
      <c r="V6366" s="361"/>
      <c r="W6366" s="345"/>
      <c r="X6366" s="786"/>
      <c r="Y6366" s="1128" t="s">
        <v>3380</v>
      </c>
      <c r="Z6366" s="1128" t="s">
        <v>3381</v>
      </c>
      <c r="AA6366" s="1128" t="s">
        <v>3384</v>
      </c>
      <c r="AB6366" s="20"/>
      <c r="AC6366" s="73"/>
    </row>
    <row r="6367" spans="1:29" ht="37.5">
      <c r="A6367" s="327" t="str">
        <f>IF(AND($B6367&lt;&gt;"",$C6367&lt;&gt;""),MAX($A$4730:$A6366)+1,"")</f>
        <v/>
      </c>
      <c r="B6367" s="361" t="s">
        <v>1721</v>
      </c>
      <c r="C6367" s="362"/>
      <c r="D6367" s="327">
        <f>IF($B6367="","",COUNTIF($B$4731:$B6367,$B6367))</f>
        <v>7</v>
      </c>
      <c r="E6367" s="362" t="s">
        <v>2756</v>
      </c>
      <c r="F6367" s="362" t="s">
        <v>2757</v>
      </c>
      <c r="G6367" s="327" t="s">
        <v>405</v>
      </c>
      <c r="H6367" s="361" t="s">
        <v>536</v>
      </c>
      <c r="I6367" s="361" t="s">
        <v>693</v>
      </c>
      <c r="J6367" s="361"/>
      <c r="K6367" s="327" t="s">
        <v>223</v>
      </c>
      <c r="L6367" s="479">
        <v>322</v>
      </c>
      <c r="M6367" s="371"/>
      <c r="N6367" s="355" t="s">
        <v>2408</v>
      </c>
      <c r="O6367" s="345"/>
      <c r="P6367" s="325"/>
      <c r="Q6367" s="327"/>
      <c r="R6367" s="351"/>
      <c r="S6367" s="351"/>
      <c r="T6367" s="351"/>
      <c r="U6367" s="329" t="str">
        <f>IF($N6367=$N$4,IFERROR(INDEX(DanhMuc!$E$154:$E$165,MATCH(MID($B6367,4,2),DanhMuc!$B$154:$B$165,0)),""),"")</f>
        <v/>
      </c>
      <c r="V6367" s="361"/>
      <c r="W6367" s="345"/>
      <c r="X6367" s="786"/>
      <c r="Y6367" s="1128" t="s">
        <v>3380</v>
      </c>
      <c r="Z6367" s="1128" t="s">
        <v>3381</v>
      </c>
      <c r="AA6367" s="1128" t="s">
        <v>3384</v>
      </c>
      <c r="AB6367" s="20"/>
      <c r="AC6367" s="73"/>
    </row>
    <row r="6368" spans="1:29">
      <c r="A6368" s="327" t="str">
        <f>IF(AND($B6368&lt;&gt;"",$C6368&lt;&gt;""),MAX($A$4730:$A6367)+1,"")</f>
        <v/>
      </c>
      <c r="B6368" s="361" t="s">
        <v>1721</v>
      </c>
      <c r="C6368" s="362"/>
      <c r="D6368" s="327">
        <f>IF($B6368="","",COUNTIF($B$4731:$B6368,$B6368))</f>
        <v>8</v>
      </c>
      <c r="E6368" s="361" t="s">
        <v>656</v>
      </c>
      <c r="F6368" s="362" t="s">
        <v>2239</v>
      </c>
      <c r="G6368" s="327" t="s">
        <v>405</v>
      </c>
      <c r="H6368" s="361" t="s">
        <v>536</v>
      </c>
      <c r="I6368" s="361" t="s">
        <v>1827</v>
      </c>
      <c r="J6368" s="361"/>
      <c r="K6368" s="327" t="s">
        <v>100</v>
      </c>
      <c r="L6368" s="478">
        <v>970</v>
      </c>
      <c r="M6368" s="371"/>
      <c r="N6368" s="355" t="s">
        <v>2409</v>
      </c>
      <c r="O6368" s="345"/>
      <c r="P6368" s="325"/>
      <c r="Q6368" s="327"/>
      <c r="R6368" s="351"/>
      <c r="S6368" s="351"/>
      <c r="T6368" s="351"/>
      <c r="U6368" s="329" t="str">
        <f>IF($N6368=$N$4,IFERROR(INDEX(DanhMuc!$E$154:$E$165,MATCH(MID($B6368,4,2),DanhMuc!$B$154:$B$165,0)),""),"")</f>
        <v/>
      </c>
      <c r="V6368" s="361"/>
      <c r="W6368" s="345"/>
      <c r="X6368" s="786"/>
      <c r="Y6368" s="1128" t="s">
        <v>3380</v>
      </c>
      <c r="Z6368" s="1128" t="s">
        <v>3381</v>
      </c>
      <c r="AA6368" s="1128" t="s">
        <v>3384</v>
      </c>
      <c r="AB6368" s="20"/>
      <c r="AC6368" s="73"/>
    </row>
    <row r="6369" spans="1:29">
      <c r="A6369" s="327" t="str">
        <f>IF(AND($B6369&lt;&gt;"",$C6369&lt;&gt;""),MAX($A$4730:$A6368)+1,"")</f>
        <v/>
      </c>
      <c r="B6369" s="361" t="s">
        <v>1721</v>
      </c>
      <c r="C6369" s="362"/>
      <c r="D6369" s="327">
        <f>IF($B6369="","",COUNTIF($B$4731:$B6369,$B6369))</f>
        <v>9</v>
      </c>
      <c r="E6369" s="361" t="s">
        <v>657</v>
      </c>
      <c r="F6369" s="362" t="s">
        <v>658</v>
      </c>
      <c r="G6369" s="327" t="s">
        <v>424</v>
      </c>
      <c r="H6369" s="361" t="s">
        <v>536</v>
      </c>
      <c r="I6369" s="361" t="s">
        <v>665</v>
      </c>
      <c r="J6369" s="361"/>
      <c r="K6369" s="327" t="s">
        <v>100</v>
      </c>
      <c r="L6369" s="478">
        <v>60000</v>
      </c>
      <c r="M6369" s="355"/>
      <c r="N6369" s="355" t="s">
        <v>2409</v>
      </c>
      <c r="O6369" s="345"/>
      <c r="P6369" s="325"/>
      <c r="Q6369" s="327"/>
      <c r="R6369" s="351"/>
      <c r="S6369" s="351"/>
      <c r="T6369" s="351"/>
      <c r="U6369" s="329" t="str">
        <f>IF($N6369=$N$4,IFERROR(INDEX(DanhMuc!$E$154:$E$165,MATCH(MID($B6369,4,2),DanhMuc!$B$154:$B$165,0)),""),"")</f>
        <v/>
      </c>
      <c r="V6369" s="361"/>
      <c r="W6369" s="345"/>
      <c r="X6369" s="786"/>
      <c r="Y6369" s="1128" t="s">
        <v>3380</v>
      </c>
      <c r="Z6369" s="1128" t="s">
        <v>3381</v>
      </c>
      <c r="AA6369" s="1128" t="s">
        <v>3384</v>
      </c>
      <c r="AB6369" s="20"/>
      <c r="AC6369" s="73"/>
    </row>
    <row r="6370" spans="1:29">
      <c r="A6370" s="327" t="str">
        <f>IF(AND($B6370&lt;&gt;"",$C6370&lt;&gt;""),MAX($A$4730:$A6369)+1,"")</f>
        <v/>
      </c>
      <c r="B6370" s="361" t="s">
        <v>1721</v>
      </c>
      <c r="C6370" s="362"/>
      <c r="D6370" s="327">
        <f>IF($B6370="","",COUNTIF($B$4731:$B6370,$B6370))</f>
        <v>10</v>
      </c>
      <c r="E6370" s="361" t="s">
        <v>2771</v>
      </c>
      <c r="F6370" s="362" t="s">
        <v>659</v>
      </c>
      <c r="G6370" s="327" t="s">
        <v>424</v>
      </c>
      <c r="H6370" s="361" t="s">
        <v>536</v>
      </c>
      <c r="I6370" s="361" t="s">
        <v>666</v>
      </c>
      <c r="J6370" s="361"/>
      <c r="K6370" s="327" t="s">
        <v>100</v>
      </c>
      <c r="L6370" s="389">
        <v>53000</v>
      </c>
      <c r="M6370" s="355"/>
      <c r="N6370" s="355" t="s">
        <v>2409</v>
      </c>
      <c r="O6370" s="345"/>
      <c r="P6370" s="325"/>
      <c r="Q6370" s="327"/>
      <c r="R6370" s="351"/>
      <c r="S6370" s="351"/>
      <c r="T6370" s="351"/>
      <c r="U6370" s="329" t="str">
        <f>IF($N6370=$N$4,IFERROR(INDEX(DanhMuc!$E$154:$E$165,MATCH(MID($B6370,4,2),DanhMuc!$B$154:$B$165,0)),""),"")</f>
        <v/>
      </c>
      <c r="V6370" s="361"/>
      <c r="W6370" s="345"/>
      <c r="X6370" s="786"/>
      <c r="Y6370" s="1128" t="s">
        <v>3380</v>
      </c>
      <c r="Z6370" s="1128" t="s">
        <v>3381</v>
      </c>
      <c r="AA6370" s="1128" t="s">
        <v>3384</v>
      </c>
      <c r="AB6370" s="20"/>
      <c r="AC6370" s="73"/>
    </row>
    <row r="6371" spans="1:29">
      <c r="A6371" s="327" t="str">
        <f>IF(AND($B6371&lt;&gt;"",$C6371&lt;&gt;""),MAX($A$4730:$A6370)+1,"")</f>
        <v/>
      </c>
      <c r="B6371" s="361" t="s">
        <v>1721</v>
      </c>
      <c r="C6371" s="362"/>
      <c r="D6371" s="327">
        <f>IF($B6371="","",COUNTIF($B$4731:$B6371,$B6371))</f>
        <v>11</v>
      </c>
      <c r="E6371" s="361" t="s">
        <v>1828</v>
      </c>
      <c r="F6371" s="362" t="s">
        <v>671</v>
      </c>
      <c r="G6371" s="327" t="s">
        <v>661</v>
      </c>
      <c r="H6371" s="361" t="s">
        <v>536</v>
      </c>
      <c r="I6371" s="361" t="s">
        <v>2355</v>
      </c>
      <c r="J6371" s="361"/>
      <c r="K6371" s="327" t="s">
        <v>100</v>
      </c>
      <c r="L6371" s="478">
        <f>40000/1000</f>
        <v>40</v>
      </c>
      <c r="M6371" s="355"/>
      <c r="N6371" s="355" t="s">
        <v>2409</v>
      </c>
      <c r="O6371" s="345"/>
      <c r="P6371" s="325"/>
      <c r="Q6371" s="327"/>
      <c r="R6371" s="351"/>
      <c r="S6371" s="351"/>
      <c r="T6371" s="351"/>
      <c r="U6371" s="329" t="str">
        <f>IF($N6371=$N$4,IFERROR(INDEX(DanhMuc!$E$154:$E$165,MATCH(MID($B6371,4,2),DanhMuc!$B$154:$B$165,0)),""),"")</f>
        <v/>
      </c>
      <c r="V6371" s="361"/>
      <c r="W6371" s="345"/>
      <c r="X6371" s="786"/>
      <c r="Y6371" s="1128" t="s">
        <v>3380</v>
      </c>
      <c r="Z6371" s="1128" t="s">
        <v>3381</v>
      </c>
      <c r="AA6371" s="1128" t="s">
        <v>3384</v>
      </c>
      <c r="AB6371" s="20"/>
      <c r="AC6371" s="73"/>
    </row>
    <row r="6372" spans="1:29">
      <c r="A6372" s="327" t="str">
        <f>IF(AND($B6372&lt;&gt;"",$C6372&lt;&gt;""),MAX($A$4730:$A6371)+1,"")</f>
        <v/>
      </c>
      <c r="B6372" s="361" t="s">
        <v>1721</v>
      </c>
      <c r="C6372" s="362"/>
      <c r="D6372" s="327">
        <f>IF($B6372="","",COUNTIF($B$4731:$B6372,$B6372))</f>
        <v>12</v>
      </c>
      <c r="E6372" s="361" t="s">
        <v>154</v>
      </c>
      <c r="F6372" s="362" t="s">
        <v>660</v>
      </c>
      <c r="G6372" s="327" t="s">
        <v>661</v>
      </c>
      <c r="H6372" s="361" t="s">
        <v>536</v>
      </c>
      <c r="I6372" s="361" t="s">
        <v>667</v>
      </c>
      <c r="J6372" s="361"/>
      <c r="K6372" s="327" t="s">
        <v>662</v>
      </c>
      <c r="L6372" s="478">
        <v>20</v>
      </c>
      <c r="M6372" s="355"/>
      <c r="N6372" s="355" t="s">
        <v>2409</v>
      </c>
      <c r="O6372" s="345"/>
      <c r="P6372" s="325"/>
      <c r="Q6372" s="327"/>
      <c r="R6372" s="351"/>
      <c r="S6372" s="351"/>
      <c r="T6372" s="351"/>
      <c r="U6372" s="329" t="str">
        <f>IF($N6372=$N$4,IFERROR(INDEX(DanhMuc!$E$154:$E$165,MATCH(MID($B6372,4,2),DanhMuc!$B$154:$B$165,0)),""),"")</f>
        <v/>
      </c>
      <c r="V6372" s="361"/>
      <c r="W6372" s="345"/>
      <c r="X6372" s="786"/>
      <c r="Y6372" s="1128" t="s">
        <v>3380</v>
      </c>
      <c r="Z6372" s="1128" t="s">
        <v>3381</v>
      </c>
      <c r="AA6372" s="1128" t="s">
        <v>3384</v>
      </c>
      <c r="AB6372" s="20"/>
      <c r="AC6372" s="73"/>
    </row>
    <row r="6373" spans="1:29">
      <c r="A6373" s="327" t="str">
        <f>IF(AND($B6373&lt;&gt;"",$C6373&lt;&gt;""),MAX($A$4730:$A6372)+1,"")</f>
        <v/>
      </c>
      <c r="B6373" s="361" t="s">
        <v>1721</v>
      </c>
      <c r="C6373" s="362"/>
      <c r="D6373" s="327">
        <f>IF($B6373="","",COUNTIF($B$4731:$B6373,$B6373))</f>
        <v>13</v>
      </c>
      <c r="E6373" s="362" t="s">
        <v>2282</v>
      </c>
      <c r="F6373" s="362" t="s">
        <v>2283</v>
      </c>
      <c r="G6373" s="327" t="s">
        <v>424</v>
      </c>
      <c r="H6373" s="361" t="s">
        <v>536</v>
      </c>
      <c r="I6373" s="361" t="s">
        <v>2238</v>
      </c>
      <c r="J6373" s="361"/>
      <c r="K6373" s="327" t="s">
        <v>662</v>
      </c>
      <c r="L6373" s="478">
        <v>28000</v>
      </c>
      <c r="M6373" s="355"/>
      <c r="N6373" s="355" t="s">
        <v>2409</v>
      </c>
      <c r="O6373" s="345"/>
      <c r="P6373" s="325"/>
      <c r="Q6373" s="327"/>
      <c r="R6373" s="351"/>
      <c r="S6373" s="351"/>
      <c r="T6373" s="351"/>
      <c r="U6373" s="329" t="str">
        <f>IF($N6373=$N$4,IFERROR(INDEX(DanhMuc!$E$154:$E$165,MATCH(MID($B6373,4,2),DanhMuc!$B$154:$B$165,0)),""),"")</f>
        <v/>
      </c>
      <c r="V6373" s="361"/>
      <c r="W6373" s="345"/>
      <c r="X6373" s="786"/>
      <c r="Y6373" s="1128" t="s">
        <v>3380</v>
      </c>
      <c r="Z6373" s="1128" t="s">
        <v>3381</v>
      </c>
      <c r="AA6373" s="1128" t="s">
        <v>3384</v>
      </c>
      <c r="AB6373" s="20"/>
      <c r="AC6373" s="73"/>
    </row>
    <row r="6374" spans="1:29">
      <c r="A6374" s="327" t="str">
        <f>IF(AND($B6374&lt;&gt;"",$C6374&lt;&gt;""),MAX($A$4730:$A6373)+1,"")</f>
        <v/>
      </c>
      <c r="B6374" s="361" t="s">
        <v>1721</v>
      </c>
      <c r="C6374" s="362"/>
      <c r="D6374" s="327">
        <f>IF($B6374="","",COUNTIF($B$4731:$B6374,$B6374))</f>
        <v>14</v>
      </c>
      <c r="E6374" s="362" t="s">
        <v>663</v>
      </c>
      <c r="F6374" s="362" t="s">
        <v>664</v>
      </c>
      <c r="G6374" s="327" t="s">
        <v>155</v>
      </c>
      <c r="H6374" s="361" t="s">
        <v>536</v>
      </c>
      <c r="I6374" s="361" t="s">
        <v>672</v>
      </c>
      <c r="J6374" s="361"/>
      <c r="K6374" s="327" t="s">
        <v>662</v>
      </c>
      <c r="L6374" s="478">
        <v>1000</v>
      </c>
      <c r="M6374" s="355"/>
      <c r="N6374" s="355" t="s">
        <v>2409</v>
      </c>
      <c r="O6374" s="345"/>
      <c r="P6374" s="325"/>
      <c r="Q6374" s="327"/>
      <c r="R6374" s="351"/>
      <c r="S6374" s="351"/>
      <c r="T6374" s="351"/>
      <c r="U6374" s="329" t="str">
        <f>IF($N6374=$N$4,IFERROR(INDEX(DanhMuc!$E$154:$E$165,MATCH(MID($B6374,4,2),DanhMuc!$B$154:$B$165,0)),""),"")</f>
        <v/>
      </c>
      <c r="V6374" s="361"/>
      <c r="W6374" s="345"/>
      <c r="X6374" s="786"/>
      <c r="Y6374" s="1128" t="s">
        <v>3380</v>
      </c>
      <c r="Z6374" s="1128" t="s">
        <v>3381</v>
      </c>
      <c r="AA6374" s="1128" t="s">
        <v>3384</v>
      </c>
      <c r="AB6374" s="20"/>
      <c r="AC6374" s="73"/>
    </row>
    <row r="6375" spans="1:29" ht="39">
      <c r="A6375" s="327">
        <f>IF(AND($B6375&lt;&gt;"",$C6375&lt;&gt;""),MAX($A$4730:$A6374)+1,"")</f>
        <v>80</v>
      </c>
      <c r="B6375" s="359" t="s">
        <v>1727</v>
      </c>
      <c r="C6375" s="370" t="s">
        <v>1729</v>
      </c>
      <c r="D6375" s="327">
        <f>IF($B6375="","",COUNTIF($B$4731:$B6375,$B6375))</f>
        <v>1</v>
      </c>
      <c r="E6375" s="361">
        <v>1124</v>
      </c>
      <c r="F6375" s="362" t="s">
        <v>2327</v>
      </c>
      <c r="G6375" s="327" t="s">
        <v>155</v>
      </c>
      <c r="H6375" s="361" t="s">
        <v>536</v>
      </c>
      <c r="I6375" s="327">
        <v>4</v>
      </c>
      <c r="J6375" s="361"/>
      <c r="K6375" s="327" t="s">
        <v>100</v>
      </c>
      <c r="L6375" s="710" t="s">
        <v>2286</v>
      </c>
      <c r="M6375" s="355"/>
      <c r="N6375" s="355" t="s">
        <v>2408</v>
      </c>
      <c r="O6375" s="345"/>
      <c r="P6375" s="325"/>
      <c r="Q6375" s="327"/>
      <c r="R6375" s="351">
        <v>3</v>
      </c>
      <c r="S6375" s="351">
        <v>6</v>
      </c>
      <c r="T6375" s="351"/>
      <c r="U6375" s="329" t="str">
        <f>IF($N6375=$N$4,IFERROR(INDEX(DanhMuc!$E$154:$E$165,MATCH(MID($B6375,4,2),DanhMuc!$B$154:$B$165,0)),""),"")</f>
        <v/>
      </c>
      <c r="V6375" s="361"/>
      <c r="W6375" s="345"/>
      <c r="X6375" s="786"/>
      <c r="Y6375" s="1128" t="s">
        <v>3380</v>
      </c>
      <c r="Z6375" s="1128" t="s">
        <v>3381</v>
      </c>
      <c r="AA6375" s="1128" t="s">
        <v>3384</v>
      </c>
      <c r="AB6375" s="20"/>
      <c r="AC6375" s="73"/>
    </row>
    <row r="6376" spans="1:29">
      <c r="A6376" s="327" t="str">
        <f>IF(AND($B6376&lt;&gt;"",$C6376&lt;&gt;""),MAX($A$4730:$A6375)+1,"")</f>
        <v/>
      </c>
      <c r="B6376" s="361" t="s">
        <v>1727</v>
      </c>
      <c r="C6376" s="362"/>
      <c r="D6376" s="327">
        <f>IF($B6376="","",COUNTIF($B$4731:$B6376,$B6376))</f>
        <v>2</v>
      </c>
      <c r="E6376" s="361">
        <v>1124</v>
      </c>
      <c r="F6376" s="362" t="s">
        <v>2327</v>
      </c>
      <c r="G6376" s="327" t="s">
        <v>155</v>
      </c>
      <c r="H6376" s="361" t="s">
        <v>536</v>
      </c>
      <c r="I6376" s="327">
        <v>4</v>
      </c>
      <c r="J6376" s="361"/>
      <c r="K6376" s="327" t="s">
        <v>101</v>
      </c>
      <c r="L6376" s="710" t="s">
        <v>2286</v>
      </c>
      <c r="M6376" s="355"/>
      <c r="N6376" s="355" t="s">
        <v>2408</v>
      </c>
      <c r="O6376" s="345"/>
      <c r="P6376" s="325"/>
      <c r="Q6376" s="327"/>
      <c r="R6376" s="351">
        <v>3</v>
      </c>
      <c r="S6376" s="351">
        <v>6</v>
      </c>
      <c r="T6376" s="351"/>
      <c r="U6376" s="329" t="str">
        <f>IF($N6376=$N$4,IFERROR(INDEX(DanhMuc!$E$154:$E$165,MATCH(MID($B6376,4,2),DanhMuc!$B$154:$B$165,0)),""),"")</f>
        <v/>
      </c>
      <c r="V6376" s="361"/>
      <c r="W6376" s="345"/>
      <c r="X6376" s="786"/>
      <c r="Y6376" s="1128" t="s">
        <v>3380</v>
      </c>
      <c r="Z6376" s="1128" t="s">
        <v>3381</v>
      </c>
      <c r="AA6376" s="1128" t="s">
        <v>3384</v>
      </c>
      <c r="AB6376" s="20"/>
      <c r="AC6376" s="73"/>
    </row>
    <row r="6377" spans="1:29">
      <c r="A6377" s="327" t="str">
        <f>IF(AND($B6377&lt;&gt;"",$C6377&lt;&gt;""),MAX($A$4730:$A6376)+1,"")</f>
        <v/>
      </c>
      <c r="B6377" s="361" t="s">
        <v>1727</v>
      </c>
      <c r="C6377" s="362"/>
      <c r="D6377" s="327">
        <f>IF($B6377="","",COUNTIF($B$4731:$B6377,$B6377))</f>
        <v>3</v>
      </c>
      <c r="E6377" s="361" t="s">
        <v>1671</v>
      </c>
      <c r="F6377" s="362" t="s">
        <v>2329</v>
      </c>
      <c r="G6377" s="327" t="s">
        <v>155</v>
      </c>
      <c r="H6377" s="361" t="s">
        <v>536</v>
      </c>
      <c r="I6377" s="327">
        <f>+I6375+I6376*2</f>
        <v>12</v>
      </c>
      <c r="J6377" s="361"/>
      <c r="K6377" s="327" t="s">
        <v>415</v>
      </c>
      <c r="L6377" s="389">
        <v>2000</v>
      </c>
      <c r="M6377" s="355"/>
      <c r="N6377" s="355" t="s">
        <v>2408</v>
      </c>
      <c r="O6377" s="345"/>
      <c r="P6377" s="325"/>
      <c r="Q6377" s="327"/>
      <c r="R6377" s="351"/>
      <c r="S6377" s="351"/>
      <c r="T6377" s="351"/>
      <c r="U6377" s="329" t="str">
        <f>IF($N6377=$N$4,IFERROR(INDEX(DanhMuc!$E$154:$E$165,MATCH(MID($B6377,4,2),DanhMuc!$B$154:$B$165,0)),""),"")</f>
        <v/>
      </c>
      <c r="V6377" s="361"/>
      <c r="W6377" s="345"/>
      <c r="X6377" s="786"/>
      <c r="Y6377" s="1128" t="s">
        <v>3380</v>
      </c>
      <c r="Z6377" s="1128" t="s">
        <v>3381</v>
      </c>
      <c r="AA6377" s="1128" t="s">
        <v>3384</v>
      </c>
      <c r="AB6377" s="20"/>
      <c r="AC6377" s="73"/>
    </row>
    <row r="6378" spans="1:29">
      <c r="A6378" s="327" t="str">
        <f>IF(AND($B6378&lt;&gt;"",$C6378&lt;&gt;""),MAX($A$4730:$A6377)+1,"")</f>
        <v/>
      </c>
      <c r="B6378" s="361" t="s">
        <v>1727</v>
      </c>
      <c r="C6378" s="362"/>
      <c r="D6378" s="327">
        <f>IF($B6378="","",COUNTIF($B$4731:$B6378,$B6378))</f>
        <v>4</v>
      </c>
      <c r="E6378" s="361" t="s">
        <v>654</v>
      </c>
      <c r="F6378" s="362" t="s">
        <v>653</v>
      </c>
      <c r="G6378" s="327" t="s">
        <v>1836</v>
      </c>
      <c r="H6378" s="361" t="s">
        <v>536</v>
      </c>
      <c r="I6378" s="327">
        <f>ROUND(SUM(I6375:I6376)/45,2)</f>
        <v>0.18</v>
      </c>
      <c r="J6378" s="477"/>
      <c r="K6378" s="327" t="s">
        <v>655</v>
      </c>
      <c r="L6378" s="478">
        <v>115000</v>
      </c>
      <c r="M6378" s="355"/>
      <c r="N6378" s="355" t="s">
        <v>2408</v>
      </c>
      <c r="O6378" s="345"/>
      <c r="P6378" s="325"/>
      <c r="Q6378" s="327"/>
      <c r="R6378" s="351"/>
      <c r="S6378" s="351"/>
      <c r="T6378" s="351"/>
      <c r="U6378" s="329" t="str">
        <f>IF($N6378=$N$4,IFERROR(INDEX(DanhMuc!$E$154:$E$165,MATCH(MID($B6378,4,2),DanhMuc!$B$154:$B$165,0)),""),"")</f>
        <v/>
      </c>
      <c r="V6378" s="361"/>
      <c r="W6378" s="345"/>
      <c r="X6378" s="786"/>
      <c r="Y6378" s="1128" t="s">
        <v>3380</v>
      </c>
      <c r="Z6378" s="1128" t="s">
        <v>3381</v>
      </c>
      <c r="AA6378" s="1128" t="s">
        <v>3384</v>
      </c>
      <c r="AB6378" s="20"/>
      <c r="AC6378" s="73"/>
    </row>
    <row r="6379" spans="1:29">
      <c r="A6379" s="327" t="str">
        <f>IF(AND($B6379&lt;&gt;"",$C6379&lt;&gt;""),MAX($A$4730:$A6378)+1,"")</f>
        <v/>
      </c>
      <c r="B6379" s="361" t="s">
        <v>1727</v>
      </c>
      <c r="C6379" s="360"/>
      <c r="D6379" s="327">
        <f>IF($B6379="","",COUNTIF($B$4731:$B6379,$B6379))</f>
        <v>5</v>
      </c>
      <c r="E6379" s="361" t="s">
        <v>1826</v>
      </c>
      <c r="F6379" s="362" t="s">
        <v>670</v>
      </c>
      <c r="G6379" s="327" t="s">
        <v>661</v>
      </c>
      <c r="H6379" s="361" t="s">
        <v>536</v>
      </c>
      <c r="I6379" s="361" t="s">
        <v>2354</v>
      </c>
      <c r="J6379" s="361"/>
      <c r="K6379" s="327" t="s">
        <v>103</v>
      </c>
      <c r="L6379" s="478">
        <f>40000/1000</f>
        <v>40</v>
      </c>
      <c r="M6379" s="355"/>
      <c r="N6379" s="355" t="s">
        <v>2408</v>
      </c>
      <c r="O6379" s="345"/>
      <c r="P6379" s="325"/>
      <c r="Q6379" s="327"/>
      <c r="R6379" s="351"/>
      <c r="S6379" s="351"/>
      <c r="T6379" s="351"/>
      <c r="U6379" s="329" t="str">
        <f>IF($N6379=$N$4,IFERROR(INDEX(DanhMuc!$E$154:$E$165,MATCH(MID($B6379,4,2),DanhMuc!$B$154:$B$165,0)),""),"")</f>
        <v/>
      </c>
      <c r="V6379" s="361"/>
      <c r="W6379" s="345"/>
      <c r="X6379" s="786"/>
      <c r="Y6379" s="1128" t="s">
        <v>3380</v>
      </c>
      <c r="Z6379" s="1128" t="s">
        <v>3381</v>
      </c>
      <c r="AA6379" s="1128" t="s">
        <v>3384</v>
      </c>
      <c r="AB6379" s="20"/>
      <c r="AC6379" s="73"/>
    </row>
    <row r="6380" spans="1:29" ht="37.5">
      <c r="A6380" s="327" t="str">
        <f>IF(AND($B6380&lt;&gt;"",$C6380&lt;&gt;""),MAX($A$4730:$A6379)+1,"")</f>
        <v/>
      </c>
      <c r="B6380" s="361" t="s">
        <v>1727</v>
      </c>
      <c r="C6380" s="362"/>
      <c r="D6380" s="327">
        <f>IF($B6380="","",COUNTIF($B$4731:$B6380,$B6380))</f>
        <v>6</v>
      </c>
      <c r="E6380" s="362" t="s">
        <v>1964</v>
      </c>
      <c r="F6380" s="362" t="s">
        <v>1965</v>
      </c>
      <c r="G6380" s="327" t="s">
        <v>405</v>
      </c>
      <c r="H6380" s="361" t="s">
        <v>536</v>
      </c>
      <c r="I6380" s="361" t="s">
        <v>693</v>
      </c>
      <c r="J6380" s="361"/>
      <c r="K6380" s="327" t="s">
        <v>223</v>
      </c>
      <c r="L6380" s="478">
        <v>140</v>
      </c>
      <c r="M6380" s="371"/>
      <c r="N6380" s="355" t="s">
        <v>2408</v>
      </c>
      <c r="O6380" s="345"/>
      <c r="P6380" s="325"/>
      <c r="Q6380" s="327"/>
      <c r="R6380" s="351"/>
      <c r="S6380" s="351"/>
      <c r="T6380" s="351"/>
      <c r="U6380" s="329" t="str">
        <f>IF($N6380=$N$4,IFERROR(INDEX(DanhMuc!$E$154:$E$165,MATCH(MID($B6380,4,2),DanhMuc!$B$154:$B$165,0)),""),"")</f>
        <v/>
      </c>
      <c r="V6380" s="361"/>
      <c r="W6380" s="345"/>
      <c r="X6380" s="786"/>
      <c r="Y6380" s="1128" t="s">
        <v>3380</v>
      </c>
      <c r="Z6380" s="1128" t="s">
        <v>3381</v>
      </c>
      <c r="AA6380" s="1128" t="s">
        <v>3384</v>
      </c>
      <c r="AB6380" s="20"/>
      <c r="AC6380" s="73"/>
    </row>
    <row r="6381" spans="1:29" ht="37.5">
      <c r="A6381" s="327" t="str">
        <f>IF(AND($B6381&lt;&gt;"",$C6381&lt;&gt;""),MAX($A$4730:$A6380)+1,"")</f>
        <v/>
      </c>
      <c r="B6381" s="361" t="s">
        <v>1727</v>
      </c>
      <c r="C6381" s="362"/>
      <c r="D6381" s="327">
        <f>IF($B6381="","",COUNTIF($B$4731:$B6381,$B6381))</f>
        <v>7</v>
      </c>
      <c r="E6381" s="362" t="s">
        <v>2756</v>
      </c>
      <c r="F6381" s="362" t="s">
        <v>2757</v>
      </c>
      <c r="G6381" s="327" t="s">
        <v>405</v>
      </c>
      <c r="H6381" s="361" t="s">
        <v>536</v>
      </c>
      <c r="I6381" s="361" t="s">
        <v>693</v>
      </c>
      <c r="J6381" s="361"/>
      <c r="K6381" s="327" t="s">
        <v>223</v>
      </c>
      <c r="L6381" s="479">
        <v>322</v>
      </c>
      <c r="M6381" s="371"/>
      <c r="N6381" s="355" t="s">
        <v>2408</v>
      </c>
      <c r="O6381" s="345"/>
      <c r="P6381" s="325"/>
      <c r="Q6381" s="327"/>
      <c r="R6381" s="351"/>
      <c r="S6381" s="351"/>
      <c r="T6381" s="351"/>
      <c r="U6381" s="329" t="str">
        <f>IF($N6381=$N$4,IFERROR(INDEX(DanhMuc!$E$154:$E$165,MATCH(MID($B6381,4,2),DanhMuc!$B$154:$B$165,0)),""),"")</f>
        <v/>
      </c>
      <c r="V6381" s="361"/>
      <c r="W6381" s="345"/>
      <c r="X6381" s="786"/>
      <c r="Y6381" s="1128" t="s">
        <v>3380</v>
      </c>
      <c r="Z6381" s="1128" t="s">
        <v>3381</v>
      </c>
      <c r="AA6381" s="1128" t="s">
        <v>3384</v>
      </c>
      <c r="AB6381" s="20"/>
      <c r="AC6381" s="73"/>
    </row>
    <row r="6382" spans="1:29">
      <c r="A6382" s="327" t="str">
        <f>IF(AND($B6382&lt;&gt;"",$C6382&lt;&gt;""),MAX($A$4730:$A6381)+1,"")</f>
        <v/>
      </c>
      <c r="B6382" s="361" t="s">
        <v>1727</v>
      </c>
      <c r="C6382" s="362"/>
      <c r="D6382" s="327">
        <f>IF($B6382="","",COUNTIF($B$4731:$B6382,$B6382))</f>
        <v>8</v>
      </c>
      <c r="E6382" s="361" t="s">
        <v>656</v>
      </c>
      <c r="F6382" s="362" t="s">
        <v>2239</v>
      </c>
      <c r="G6382" s="327" t="s">
        <v>405</v>
      </c>
      <c r="H6382" s="361" t="s">
        <v>536</v>
      </c>
      <c r="I6382" s="361" t="s">
        <v>1827</v>
      </c>
      <c r="J6382" s="361"/>
      <c r="K6382" s="327" t="s">
        <v>100</v>
      </c>
      <c r="L6382" s="478">
        <v>970</v>
      </c>
      <c r="M6382" s="371"/>
      <c r="N6382" s="355" t="s">
        <v>2409</v>
      </c>
      <c r="O6382" s="345"/>
      <c r="P6382" s="325"/>
      <c r="Q6382" s="327"/>
      <c r="R6382" s="351"/>
      <c r="S6382" s="351"/>
      <c r="T6382" s="351"/>
      <c r="U6382" s="329" t="str">
        <f>IF($N6382=$N$4,IFERROR(INDEX(DanhMuc!$E$154:$E$165,MATCH(MID($B6382,4,2),DanhMuc!$B$154:$B$165,0)),""),"")</f>
        <v/>
      </c>
      <c r="V6382" s="361"/>
      <c r="W6382" s="345"/>
      <c r="X6382" s="786"/>
      <c r="Y6382" s="1128" t="s">
        <v>3380</v>
      </c>
      <c r="Z6382" s="1128" t="s">
        <v>3381</v>
      </c>
      <c r="AA6382" s="1128" t="s">
        <v>3384</v>
      </c>
      <c r="AB6382" s="20"/>
      <c r="AC6382" s="73"/>
    </row>
    <row r="6383" spans="1:29">
      <c r="A6383" s="327" t="str">
        <f>IF(AND($B6383&lt;&gt;"",$C6383&lt;&gt;""),MAX($A$4730:$A6382)+1,"")</f>
        <v/>
      </c>
      <c r="B6383" s="361" t="s">
        <v>1727</v>
      </c>
      <c r="C6383" s="362"/>
      <c r="D6383" s="327">
        <f>IF($B6383="","",COUNTIF($B$4731:$B6383,$B6383))</f>
        <v>9</v>
      </c>
      <c r="E6383" s="361" t="s">
        <v>657</v>
      </c>
      <c r="F6383" s="362" t="s">
        <v>658</v>
      </c>
      <c r="G6383" s="327" t="s">
        <v>424</v>
      </c>
      <c r="H6383" s="361" t="s">
        <v>536</v>
      </c>
      <c r="I6383" s="361" t="s">
        <v>665</v>
      </c>
      <c r="J6383" s="361"/>
      <c r="K6383" s="327" t="s">
        <v>100</v>
      </c>
      <c r="L6383" s="478">
        <v>60000</v>
      </c>
      <c r="M6383" s="355"/>
      <c r="N6383" s="355" t="s">
        <v>2409</v>
      </c>
      <c r="O6383" s="345"/>
      <c r="P6383" s="325"/>
      <c r="Q6383" s="327"/>
      <c r="R6383" s="351"/>
      <c r="S6383" s="351"/>
      <c r="T6383" s="351"/>
      <c r="U6383" s="329" t="str">
        <f>IF($N6383=$N$4,IFERROR(INDEX(DanhMuc!$E$154:$E$165,MATCH(MID($B6383,4,2),DanhMuc!$B$154:$B$165,0)),""),"")</f>
        <v/>
      </c>
      <c r="V6383" s="361"/>
      <c r="W6383" s="345"/>
      <c r="X6383" s="786"/>
      <c r="Y6383" s="1128" t="s">
        <v>3380</v>
      </c>
      <c r="Z6383" s="1128" t="s">
        <v>3381</v>
      </c>
      <c r="AA6383" s="1128" t="s">
        <v>3384</v>
      </c>
      <c r="AB6383" s="20"/>
      <c r="AC6383" s="73"/>
    </row>
    <row r="6384" spans="1:29">
      <c r="A6384" s="327" t="str">
        <f>IF(AND($B6384&lt;&gt;"",$C6384&lt;&gt;""),MAX($A$4730:$A6383)+1,"")</f>
        <v/>
      </c>
      <c r="B6384" s="361" t="s">
        <v>1727</v>
      </c>
      <c r="C6384" s="362"/>
      <c r="D6384" s="327">
        <f>IF($B6384="","",COUNTIF($B$4731:$B6384,$B6384))</f>
        <v>10</v>
      </c>
      <c r="E6384" s="361" t="s">
        <v>2771</v>
      </c>
      <c r="F6384" s="362" t="s">
        <v>659</v>
      </c>
      <c r="G6384" s="327" t="s">
        <v>424</v>
      </c>
      <c r="H6384" s="361" t="s">
        <v>536</v>
      </c>
      <c r="I6384" s="361" t="s">
        <v>666</v>
      </c>
      <c r="J6384" s="361"/>
      <c r="K6384" s="327" t="s">
        <v>100</v>
      </c>
      <c r="L6384" s="389">
        <v>53000</v>
      </c>
      <c r="M6384" s="355"/>
      <c r="N6384" s="355" t="s">
        <v>2409</v>
      </c>
      <c r="O6384" s="345"/>
      <c r="P6384" s="325"/>
      <c r="Q6384" s="327"/>
      <c r="R6384" s="351"/>
      <c r="S6384" s="351"/>
      <c r="T6384" s="351"/>
      <c r="U6384" s="329" t="str">
        <f>IF($N6384=$N$4,IFERROR(INDEX(DanhMuc!$E$154:$E$165,MATCH(MID($B6384,4,2),DanhMuc!$B$154:$B$165,0)),""),"")</f>
        <v/>
      </c>
      <c r="V6384" s="361"/>
      <c r="W6384" s="345"/>
      <c r="X6384" s="786"/>
      <c r="Y6384" s="1128" t="s">
        <v>3380</v>
      </c>
      <c r="Z6384" s="1128" t="s">
        <v>3381</v>
      </c>
      <c r="AA6384" s="1128" t="s">
        <v>3384</v>
      </c>
      <c r="AB6384" s="20"/>
      <c r="AC6384" s="73"/>
    </row>
    <row r="6385" spans="1:29">
      <c r="A6385" s="327" t="str">
        <f>IF(AND($B6385&lt;&gt;"",$C6385&lt;&gt;""),MAX($A$4730:$A6384)+1,"")</f>
        <v/>
      </c>
      <c r="B6385" s="361" t="s">
        <v>1727</v>
      </c>
      <c r="C6385" s="362"/>
      <c r="D6385" s="327">
        <f>IF($B6385="","",COUNTIF($B$4731:$B6385,$B6385))</f>
        <v>11</v>
      </c>
      <c r="E6385" s="361" t="s">
        <v>1828</v>
      </c>
      <c r="F6385" s="362" t="s">
        <v>671</v>
      </c>
      <c r="G6385" s="327" t="s">
        <v>661</v>
      </c>
      <c r="H6385" s="361" t="s">
        <v>536</v>
      </c>
      <c r="I6385" s="361" t="s">
        <v>2355</v>
      </c>
      <c r="J6385" s="361"/>
      <c r="K6385" s="327" t="s">
        <v>100</v>
      </c>
      <c r="L6385" s="478">
        <f>40000/1000</f>
        <v>40</v>
      </c>
      <c r="M6385" s="355"/>
      <c r="N6385" s="355" t="s">
        <v>2409</v>
      </c>
      <c r="O6385" s="345"/>
      <c r="P6385" s="325"/>
      <c r="Q6385" s="327"/>
      <c r="R6385" s="351"/>
      <c r="S6385" s="351"/>
      <c r="T6385" s="351"/>
      <c r="U6385" s="329" t="str">
        <f>IF($N6385=$N$4,IFERROR(INDEX(DanhMuc!$E$154:$E$165,MATCH(MID($B6385,4,2),DanhMuc!$B$154:$B$165,0)),""),"")</f>
        <v/>
      </c>
      <c r="V6385" s="361"/>
      <c r="W6385" s="345"/>
      <c r="X6385" s="786"/>
      <c r="Y6385" s="1128" t="s">
        <v>3380</v>
      </c>
      <c r="Z6385" s="1128" t="s">
        <v>3381</v>
      </c>
      <c r="AA6385" s="1128" t="s">
        <v>3384</v>
      </c>
      <c r="AB6385" s="20"/>
      <c r="AC6385" s="73"/>
    </row>
    <row r="6386" spans="1:29">
      <c r="A6386" s="327" t="str">
        <f>IF(AND($B6386&lt;&gt;"",$C6386&lt;&gt;""),MAX($A$4730:$A6385)+1,"")</f>
        <v/>
      </c>
      <c r="B6386" s="361" t="s">
        <v>1727</v>
      </c>
      <c r="C6386" s="362"/>
      <c r="D6386" s="327">
        <f>IF($B6386="","",COUNTIF($B$4731:$B6386,$B6386))</f>
        <v>12</v>
      </c>
      <c r="E6386" s="361" t="s">
        <v>154</v>
      </c>
      <c r="F6386" s="362" t="s">
        <v>660</v>
      </c>
      <c r="G6386" s="327" t="s">
        <v>661</v>
      </c>
      <c r="H6386" s="361" t="s">
        <v>536</v>
      </c>
      <c r="I6386" s="361" t="s">
        <v>667</v>
      </c>
      <c r="J6386" s="361"/>
      <c r="K6386" s="327" t="s">
        <v>662</v>
      </c>
      <c r="L6386" s="478">
        <v>20</v>
      </c>
      <c r="M6386" s="355"/>
      <c r="N6386" s="355" t="s">
        <v>2409</v>
      </c>
      <c r="O6386" s="345"/>
      <c r="P6386" s="325"/>
      <c r="Q6386" s="327"/>
      <c r="R6386" s="351"/>
      <c r="S6386" s="351"/>
      <c r="T6386" s="351"/>
      <c r="U6386" s="329" t="str">
        <f>IF($N6386=$N$4,IFERROR(INDEX(DanhMuc!$E$154:$E$165,MATCH(MID($B6386,4,2),DanhMuc!$B$154:$B$165,0)),""),"")</f>
        <v/>
      </c>
      <c r="V6386" s="361"/>
      <c r="W6386" s="345"/>
      <c r="X6386" s="786"/>
      <c r="Y6386" s="1128" t="s">
        <v>3380</v>
      </c>
      <c r="Z6386" s="1128" t="s">
        <v>3381</v>
      </c>
      <c r="AA6386" s="1128" t="s">
        <v>3384</v>
      </c>
      <c r="AB6386" s="20"/>
      <c r="AC6386" s="73"/>
    </row>
    <row r="6387" spans="1:29">
      <c r="A6387" s="327" t="str">
        <f>IF(AND($B6387&lt;&gt;"",$C6387&lt;&gt;""),MAX($A$4730:$A6386)+1,"")</f>
        <v/>
      </c>
      <c r="B6387" s="361" t="s">
        <v>1727</v>
      </c>
      <c r="C6387" s="362"/>
      <c r="D6387" s="327">
        <f>IF($B6387="","",COUNTIF($B$4731:$B6387,$B6387))</f>
        <v>13</v>
      </c>
      <c r="E6387" s="362" t="s">
        <v>2282</v>
      </c>
      <c r="F6387" s="362" t="s">
        <v>2283</v>
      </c>
      <c r="G6387" s="327" t="s">
        <v>424</v>
      </c>
      <c r="H6387" s="361" t="s">
        <v>536</v>
      </c>
      <c r="I6387" s="361" t="s">
        <v>2238</v>
      </c>
      <c r="J6387" s="361"/>
      <c r="K6387" s="327" t="s">
        <v>662</v>
      </c>
      <c r="L6387" s="478">
        <v>28000</v>
      </c>
      <c r="M6387" s="355"/>
      <c r="N6387" s="355" t="s">
        <v>2409</v>
      </c>
      <c r="O6387" s="345"/>
      <c r="P6387" s="325"/>
      <c r="Q6387" s="327"/>
      <c r="R6387" s="351"/>
      <c r="S6387" s="351"/>
      <c r="T6387" s="351"/>
      <c r="U6387" s="329" t="str">
        <f>IF($N6387=$N$4,IFERROR(INDEX(DanhMuc!$E$154:$E$165,MATCH(MID($B6387,4,2),DanhMuc!$B$154:$B$165,0)),""),"")</f>
        <v/>
      </c>
      <c r="V6387" s="361"/>
      <c r="W6387" s="345"/>
      <c r="X6387" s="786"/>
      <c r="Y6387" s="1128" t="s">
        <v>3380</v>
      </c>
      <c r="Z6387" s="1128" t="s">
        <v>3381</v>
      </c>
      <c r="AA6387" s="1128" t="s">
        <v>3384</v>
      </c>
      <c r="AB6387" s="20"/>
      <c r="AC6387" s="73"/>
    </row>
    <row r="6388" spans="1:29">
      <c r="A6388" s="327" t="str">
        <f>IF(AND($B6388&lt;&gt;"",$C6388&lt;&gt;""),MAX($A$4730:$A6387)+1,"")</f>
        <v/>
      </c>
      <c r="B6388" s="361" t="s">
        <v>1727</v>
      </c>
      <c r="C6388" s="362"/>
      <c r="D6388" s="327">
        <f>IF($B6388="","",COUNTIF($B$4731:$B6388,$B6388))</f>
        <v>14</v>
      </c>
      <c r="E6388" s="362" t="s">
        <v>663</v>
      </c>
      <c r="F6388" s="362" t="s">
        <v>664</v>
      </c>
      <c r="G6388" s="327" t="s">
        <v>155</v>
      </c>
      <c r="H6388" s="361" t="s">
        <v>536</v>
      </c>
      <c r="I6388" s="361" t="s">
        <v>672</v>
      </c>
      <c r="J6388" s="361"/>
      <c r="K6388" s="327" t="s">
        <v>662</v>
      </c>
      <c r="L6388" s="478">
        <v>1000</v>
      </c>
      <c r="M6388" s="355"/>
      <c r="N6388" s="355" t="s">
        <v>2409</v>
      </c>
      <c r="O6388" s="345"/>
      <c r="P6388" s="325"/>
      <c r="Q6388" s="327"/>
      <c r="R6388" s="351"/>
      <c r="S6388" s="351"/>
      <c r="T6388" s="351"/>
      <c r="U6388" s="329" t="str">
        <f>IF($N6388=$N$4,IFERROR(INDEX(DanhMuc!$E$154:$E$165,MATCH(MID($B6388,4,2),DanhMuc!$B$154:$B$165,0)),""),"")</f>
        <v/>
      </c>
      <c r="V6388" s="361"/>
      <c r="W6388" s="345"/>
      <c r="X6388" s="786"/>
      <c r="Y6388" s="1128" t="s">
        <v>3380</v>
      </c>
      <c r="Z6388" s="1128" t="s">
        <v>3381</v>
      </c>
      <c r="AA6388" s="1128" t="s">
        <v>3384</v>
      </c>
      <c r="AB6388" s="20"/>
      <c r="AC6388" s="73"/>
    </row>
    <row r="6389" spans="1:29" ht="39">
      <c r="A6389" s="327">
        <f>IF(AND($B6389&lt;&gt;"",$C6389&lt;&gt;""),MAX($A$4730:$A6388)+1,"")</f>
        <v>81</v>
      </c>
      <c r="B6389" s="359" t="s">
        <v>1750</v>
      </c>
      <c r="C6389" s="370" t="s">
        <v>1751</v>
      </c>
      <c r="D6389" s="327">
        <f>IF($B6389="","",COUNTIF($B$4731:$B6389,$B6389))</f>
        <v>1</v>
      </c>
      <c r="E6389" s="361">
        <v>1124</v>
      </c>
      <c r="F6389" s="362" t="s">
        <v>2327</v>
      </c>
      <c r="G6389" s="327" t="s">
        <v>155</v>
      </c>
      <c r="H6389" s="361" t="s">
        <v>536</v>
      </c>
      <c r="I6389" s="327">
        <v>4</v>
      </c>
      <c r="J6389" s="361"/>
      <c r="K6389" s="327" t="s">
        <v>100</v>
      </c>
      <c r="L6389" s="710" t="s">
        <v>2286</v>
      </c>
      <c r="M6389" s="355"/>
      <c r="N6389" s="355" t="s">
        <v>2408</v>
      </c>
      <c r="O6389" s="345"/>
      <c r="P6389" s="325"/>
      <c r="Q6389" s="327"/>
      <c r="R6389" s="351">
        <v>3</v>
      </c>
      <c r="S6389" s="351">
        <v>6</v>
      </c>
      <c r="T6389" s="351"/>
      <c r="U6389" s="329" t="str">
        <f>IF($N6389=$N$4,IFERROR(INDEX(DanhMuc!$E$154:$E$165,MATCH(MID($B6389,4,2),DanhMuc!$B$154:$B$165,0)),""),"")</f>
        <v/>
      </c>
      <c r="V6389" s="361"/>
      <c r="W6389" s="345"/>
      <c r="X6389" s="786"/>
      <c r="Y6389" s="1128" t="s">
        <v>3380</v>
      </c>
      <c r="Z6389" s="1128" t="s">
        <v>3381</v>
      </c>
      <c r="AA6389" s="1128" t="s">
        <v>3384</v>
      </c>
      <c r="AB6389" s="20"/>
      <c r="AC6389" s="73"/>
    </row>
    <row r="6390" spans="1:29">
      <c r="A6390" s="327" t="str">
        <f>IF(AND($B6390&lt;&gt;"",$C6390&lt;&gt;""),MAX($A$4730:$A6389)+1,"")</f>
        <v/>
      </c>
      <c r="B6390" s="361" t="s">
        <v>1750</v>
      </c>
      <c r="C6390" s="362"/>
      <c r="D6390" s="327">
        <f>IF($B6390="","",COUNTIF($B$4731:$B6390,$B6390))</f>
        <v>2</v>
      </c>
      <c r="E6390" s="361">
        <v>1124</v>
      </c>
      <c r="F6390" s="362" t="s">
        <v>2327</v>
      </c>
      <c r="G6390" s="327" t="s">
        <v>155</v>
      </c>
      <c r="H6390" s="361" t="s">
        <v>536</v>
      </c>
      <c r="I6390" s="327">
        <v>8</v>
      </c>
      <c r="J6390" s="361"/>
      <c r="K6390" s="327" t="s">
        <v>101</v>
      </c>
      <c r="L6390" s="710" t="s">
        <v>2286</v>
      </c>
      <c r="M6390" s="355"/>
      <c r="N6390" s="355" t="s">
        <v>2408</v>
      </c>
      <c r="O6390" s="345"/>
      <c r="P6390" s="325"/>
      <c r="Q6390" s="327"/>
      <c r="R6390" s="351">
        <v>3</v>
      </c>
      <c r="S6390" s="351">
        <v>6</v>
      </c>
      <c r="T6390" s="351"/>
      <c r="U6390" s="329" t="str">
        <f>IF($N6390=$N$4,IFERROR(INDEX(DanhMuc!$E$154:$E$165,MATCH(MID($B6390,4,2),DanhMuc!$B$154:$B$165,0)),""),"")</f>
        <v/>
      </c>
      <c r="V6390" s="361"/>
      <c r="W6390" s="345"/>
      <c r="X6390" s="786"/>
      <c r="Y6390" s="1128" t="s">
        <v>3380</v>
      </c>
      <c r="Z6390" s="1128" t="s">
        <v>3381</v>
      </c>
      <c r="AA6390" s="1128" t="s">
        <v>3384</v>
      </c>
      <c r="AB6390" s="20"/>
      <c r="AC6390" s="73"/>
    </row>
    <row r="6391" spans="1:29">
      <c r="A6391" s="327" t="str">
        <f>IF(AND($B6391&lt;&gt;"",$C6391&lt;&gt;""),MAX($A$4730:$A6390)+1,"")</f>
        <v/>
      </c>
      <c r="B6391" s="361" t="s">
        <v>1750</v>
      </c>
      <c r="C6391" s="362"/>
      <c r="D6391" s="327">
        <f>IF($B6391="","",COUNTIF($B$4731:$B6391,$B6391))</f>
        <v>3</v>
      </c>
      <c r="E6391" s="361" t="s">
        <v>1671</v>
      </c>
      <c r="F6391" s="362" t="s">
        <v>2329</v>
      </c>
      <c r="G6391" s="327" t="s">
        <v>155</v>
      </c>
      <c r="H6391" s="361" t="s">
        <v>536</v>
      </c>
      <c r="I6391" s="327">
        <f>I6390*2</f>
        <v>16</v>
      </c>
      <c r="J6391" s="361"/>
      <c r="K6391" s="327" t="s">
        <v>415</v>
      </c>
      <c r="L6391" s="389">
        <v>2000</v>
      </c>
      <c r="M6391" s="355"/>
      <c r="N6391" s="355" t="s">
        <v>2408</v>
      </c>
      <c r="O6391" s="345"/>
      <c r="P6391" s="325"/>
      <c r="Q6391" s="327"/>
      <c r="R6391" s="351"/>
      <c r="S6391" s="351"/>
      <c r="T6391" s="351"/>
      <c r="U6391" s="329" t="str">
        <f>IF($N6391=$N$4,IFERROR(INDEX(DanhMuc!$E$154:$E$165,MATCH(MID($B6391,4,2),DanhMuc!$B$154:$B$165,0)),""),"")</f>
        <v/>
      </c>
      <c r="V6391" s="361"/>
      <c r="W6391" s="345"/>
      <c r="X6391" s="786"/>
      <c r="Y6391" s="1128" t="s">
        <v>3380</v>
      </c>
      <c r="Z6391" s="1128" t="s">
        <v>3381</v>
      </c>
      <c r="AA6391" s="1128" t="s">
        <v>3384</v>
      </c>
      <c r="AB6391" s="20"/>
      <c r="AC6391" s="73"/>
    </row>
    <row r="6392" spans="1:29">
      <c r="A6392" s="327" t="str">
        <f>IF(AND($B6392&lt;&gt;"",$C6392&lt;&gt;""),MAX($A$4730:$A6391)+1,"")</f>
        <v/>
      </c>
      <c r="B6392" s="361" t="s">
        <v>1750</v>
      </c>
      <c r="C6392" s="362"/>
      <c r="D6392" s="327">
        <f>IF($B6392="","",COUNTIF($B$4731:$B6392,$B6392))</f>
        <v>4</v>
      </c>
      <c r="E6392" s="361" t="s">
        <v>654</v>
      </c>
      <c r="F6392" s="362" t="s">
        <v>653</v>
      </c>
      <c r="G6392" s="327" t="s">
        <v>1836</v>
      </c>
      <c r="H6392" s="361" t="s">
        <v>536</v>
      </c>
      <c r="I6392" s="327">
        <f>ROUND(SUM(I6389:I6390)/45,2)</f>
        <v>0.27</v>
      </c>
      <c r="J6392" s="477"/>
      <c r="K6392" s="327" t="s">
        <v>655</v>
      </c>
      <c r="L6392" s="478">
        <v>115000</v>
      </c>
      <c r="M6392" s="355"/>
      <c r="N6392" s="355" t="s">
        <v>2408</v>
      </c>
      <c r="O6392" s="345"/>
      <c r="P6392" s="325"/>
      <c r="Q6392" s="327"/>
      <c r="R6392" s="351"/>
      <c r="S6392" s="351"/>
      <c r="T6392" s="351"/>
      <c r="U6392" s="329" t="str">
        <f>IF($N6392=$N$4,IFERROR(INDEX(DanhMuc!$E$154:$E$165,MATCH(MID($B6392,4,2),DanhMuc!$B$154:$B$165,0)),""),"")</f>
        <v/>
      </c>
      <c r="V6392" s="361"/>
      <c r="W6392" s="345"/>
      <c r="X6392" s="786"/>
      <c r="Y6392" s="1128" t="s">
        <v>3380</v>
      </c>
      <c r="Z6392" s="1128" t="s">
        <v>3381</v>
      </c>
      <c r="AA6392" s="1128" t="s">
        <v>3384</v>
      </c>
      <c r="AB6392" s="20"/>
      <c r="AC6392" s="73"/>
    </row>
    <row r="6393" spans="1:29">
      <c r="A6393" s="327" t="str">
        <f>IF(AND($B6393&lt;&gt;"",$C6393&lt;&gt;""),MAX($A$4730:$A6392)+1,"")</f>
        <v/>
      </c>
      <c r="B6393" s="361" t="s">
        <v>1750</v>
      </c>
      <c r="C6393" s="360"/>
      <c r="D6393" s="327">
        <f>IF($B6393="","",COUNTIF($B$4731:$B6393,$B6393))</f>
        <v>5</v>
      </c>
      <c r="E6393" s="361" t="s">
        <v>1826</v>
      </c>
      <c r="F6393" s="362" t="s">
        <v>670</v>
      </c>
      <c r="G6393" s="327" t="s">
        <v>661</v>
      </c>
      <c r="H6393" s="361" t="s">
        <v>536</v>
      </c>
      <c r="I6393" s="361" t="s">
        <v>2354</v>
      </c>
      <c r="J6393" s="361"/>
      <c r="K6393" s="327" t="s">
        <v>103</v>
      </c>
      <c r="L6393" s="478">
        <f>40000/1000</f>
        <v>40</v>
      </c>
      <c r="M6393" s="355"/>
      <c r="N6393" s="355" t="s">
        <v>2408</v>
      </c>
      <c r="O6393" s="345"/>
      <c r="P6393" s="325"/>
      <c r="Q6393" s="327"/>
      <c r="R6393" s="351"/>
      <c r="S6393" s="351"/>
      <c r="T6393" s="351"/>
      <c r="U6393" s="329" t="str">
        <f>IF($N6393=$N$4,IFERROR(INDEX(DanhMuc!$E$154:$E$165,MATCH(MID($B6393,4,2),DanhMuc!$B$154:$B$165,0)),""),"")</f>
        <v/>
      </c>
      <c r="V6393" s="361"/>
      <c r="W6393" s="345"/>
      <c r="X6393" s="786"/>
      <c r="Y6393" s="1128" t="s">
        <v>3380</v>
      </c>
      <c r="Z6393" s="1128" t="s">
        <v>3381</v>
      </c>
      <c r="AA6393" s="1128" t="s">
        <v>3384</v>
      </c>
      <c r="AB6393" s="20"/>
      <c r="AC6393" s="73"/>
    </row>
    <row r="6394" spans="1:29" ht="37.5">
      <c r="A6394" s="327" t="str">
        <f>IF(AND($B6394&lt;&gt;"",$C6394&lt;&gt;""),MAX($A$4730:$A6393)+1,"")</f>
        <v/>
      </c>
      <c r="B6394" s="361" t="s">
        <v>1750</v>
      </c>
      <c r="C6394" s="362"/>
      <c r="D6394" s="327">
        <f>IF($B6394="","",COUNTIF($B$4731:$B6394,$B6394))</f>
        <v>6</v>
      </c>
      <c r="E6394" s="362" t="s">
        <v>1964</v>
      </c>
      <c r="F6394" s="362" t="s">
        <v>1965</v>
      </c>
      <c r="G6394" s="327" t="s">
        <v>405</v>
      </c>
      <c r="H6394" s="361" t="s">
        <v>536</v>
      </c>
      <c r="I6394" s="361" t="s">
        <v>693</v>
      </c>
      <c r="J6394" s="361"/>
      <c r="K6394" s="327" t="s">
        <v>223</v>
      </c>
      <c r="L6394" s="478">
        <v>140</v>
      </c>
      <c r="M6394" s="371"/>
      <c r="N6394" s="355" t="s">
        <v>2408</v>
      </c>
      <c r="O6394" s="345"/>
      <c r="P6394" s="325"/>
      <c r="Q6394" s="327"/>
      <c r="R6394" s="351"/>
      <c r="S6394" s="351"/>
      <c r="T6394" s="351"/>
      <c r="U6394" s="329" t="str">
        <f>IF($N6394=$N$4,IFERROR(INDEX(DanhMuc!$E$154:$E$165,MATCH(MID($B6394,4,2),DanhMuc!$B$154:$B$165,0)),""),"")</f>
        <v/>
      </c>
      <c r="V6394" s="361"/>
      <c r="W6394" s="345"/>
      <c r="X6394" s="786"/>
      <c r="Y6394" s="1128" t="s">
        <v>3380</v>
      </c>
      <c r="Z6394" s="1128" t="s">
        <v>3381</v>
      </c>
      <c r="AA6394" s="1128" t="s">
        <v>3384</v>
      </c>
      <c r="AB6394" s="20"/>
      <c r="AC6394" s="73"/>
    </row>
    <row r="6395" spans="1:29" ht="37.5">
      <c r="A6395" s="327" t="str">
        <f>IF(AND($B6395&lt;&gt;"",$C6395&lt;&gt;""),MAX($A$4730:$A6394)+1,"")</f>
        <v/>
      </c>
      <c r="B6395" s="361" t="s">
        <v>1750</v>
      </c>
      <c r="C6395" s="362"/>
      <c r="D6395" s="327">
        <f>IF($B6395="","",COUNTIF($B$4731:$B6395,$B6395))</f>
        <v>7</v>
      </c>
      <c r="E6395" s="362" t="s">
        <v>2756</v>
      </c>
      <c r="F6395" s="362" t="s">
        <v>2757</v>
      </c>
      <c r="G6395" s="327" t="s">
        <v>405</v>
      </c>
      <c r="H6395" s="361" t="s">
        <v>536</v>
      </c>
      <c r="I6395" s="361" t="s">
        <v>693</v>
      </c>
      <c r="J6395" s="361"/>
      <c r="K6395" s="327" t="s">
        <v>223</v>
      </c>
      <c r="L6395" s="479">
        <v>322</v>
      </c>
      <c r="M6395" s="371"/>
      <c r="N6395" s="355" t="s">
        <v>2408</v>
      </c>
      <c r="O6395" s="345"/>
      <c r="P6395" s="325"/>
      <c r="Q6395" s="327"/>
      <c r="R6395" s="351"/>
      <c r="S6395" s="351"/>
      <c r="T6395" s="351"/>
      <c r="U6395" s="329" t="str">
        <f>IF($N6395=$N$4,IFERROR(INDEX(DanhMuc!$E$154:$E$165,MATCH(MID($B6395,4,2),DanhMuc!$B$154:$B$165,0)),""),"")</f>
        <v/>
      </c>
      <c r="V6395" s="361"/>
      <c r="W6395" s="345"/>
      <c r="X6395" s="786"/>
      <c r="Y6395" s="1128" t="s">
        <v>3380</v>
      </c>
      <c r="Z6395" s="1128" t="s">
        <v>3381</v>
      </c>
      <c r="AA6395" s="1128" t="s">
        <v>3384</v>
      </c>
      <c r="AB6395" s="20"/>
      <c r="AC6395" s="73"/>
    </row>
    <row r="6396" spans="1:29">
      <c r="A6396" s="327" t="str">
        <f>IF(AND($B6396&lt;&gt;"",$C6396&lt;&gt;""),MAX($A$4730:$A6395)+1,"")</f>
        <v/>
      </c>
      <c r="B6396" s="361" t="s">
        <v>1750</v>
      </c>
      <c r="C6396" s="362"/>
      <c r="D6396" s="327">
        <f>IF($B6396="","",COUNTIF($B$4731:$B6396,$B6396))</f>
        <v>8</v>
      </c>
      <c r="E6396" s="361" t="s">
        <v>656</v>
      </c>
      <c r="F6396" s="362" t="s">
        <v>2239</v>
      </c>
      <c r="G6396" s="327" t="s">
        <v>405</v>
      </c>
      <c r="H6396" s="361" t="s">
        <v>536</v>
      </c>
      <c r="I6396" s="361" t="s">
        <v>1827</v>
      </c>
      <c r="J6396" s="361"/>
      <c r="K6396" s="327" t="s">
        <v>100</v>
      </c>
      <c r="L6396" s="478">
        <v>970</v>
      </c>
      <c r="M6396" s="371"/>
      <c r="N6396" s="355" t="s">
        <v>2409</v>
      </c>
      <c r="O6396" s="345"/>
      <c r="P6396" s="325"/>
      <c r="Q6396" s="327"/>
      <c r="R6396" s="351"/>
      <c r="S6396" s="351"/>
      <c r="T6396" s="351"/>
      <c r="U6396" s="329" t="str">
        <f>IF($N6396=$N$4,IFERROR(INDEX(DanhMuc!$E$154:$E$165,MATCH(MID($B6396,4,2),DanhMuc!$B$154:$B$165,0)),""),"")</f>
        <v/>
      </c>
      <c r="V6396" s="361"/>
      <c r="W6396" s="345"/>
      <c r="X6396" s="786"/>
      <c r="Y6396" s="1128" t="s">
        <v>3380</v>
      </c>
      <c r="Z6396" s="1128" t="s">
        <v>3381</v>
      </c>
      <c r="AA6396" s="1128" t="s">
        <v>3384</v>
      </c>
      <c r="AB6396" s="20"/>
      <c r="AC6396" s="73"/>
    </row>
    <row r="6397" spans="1:29">
      <c r="A6397" s="327" t="str">
        <f>IF(AND($B6397&lt;&gt;"",$C6397&lt;&gt;""),MAX($A$4730:$A6396)+1,"")</f>
        <v/>
      </c>
      <c r="B6397" s="361" t="s">
        <v>1750</v>
      </c>
      <c r="C6397" s="362"/>
      <c r="D6397" s="327">
        <f>IF($B6397="","",COUNTIF($B$4731:$B6397,$B6397))</f>
        <v>9</v>
      </c>
      <c r="E6397" s="361" t="s">
        <v>657</v>
      </c>
      <c r="F6397" s="362" t="s">
        <v>658</v>
      </c>
      <c r="G6397" s="327" t="s">
        <v>424</v>
      </c>
      <c r="H6397" s="361" t="s">
        <v>536</v>
      </c>
      <c r="I6397" s="361" t="s">
        <v>665</v>
      </c>
      <c r="J6397" s="361"/>
      <c r="K6397" s="327" t="s">
        <v>100</v>
      </c>
      <c r="L6397" s="478">
        <v>60000</v>
      </c>
      <c r="M6397" s="355"/>
      <c r="N6397" s="355" t="s">
        <v>2409</v>
      </c>
      <c r="O6397" s="345"/>
      <c r="P6397" s="325"/>
      <c r="Q6397" s="327"/>
      <c r="R6397" s="351"/>
      <c r="S6397" s="351"/>
      <c r="T6397" s="351"/>
      <c r="U6397" s="329" t="str">
        <f>IF($N6397=$N$4,IFERROR(INDEX(DanhMuc!$E$154:$E$165,MATCH(MID($B6397,4,2),DanhMuc!$B$154:$B$165,0)),""),"")</f>
        <v/>
      </c>
      <c r="V6397" s="361"/>
      <c r="W6397" s="345"/>
      <c r="X6397" s="786"/>
      <c r="Y6397" s="1128" t="s">
        <v>3380</v>
      </c>
      <c r="Z6397" s="1128" t="s">
        <v>3381</v>
      </c>
      <c r="AA6397" s="1128" t="s">
        <v>3384</v>
      </c>
      <c r="AB6397" s="20"/>
      <c r="AC6397" s="73"/>
    </row>
    <row r="6398" spans="1:29">
      <c r="A6398" s="327" t="str">
        <f>IF(AND($B6398&lt;&gt;"",$C6398&lt;&gt;""),MAX($A$4730:$A6397)+1,"")</f>
        <v/>
      </c>
      <c r="B6398" s="361" t="s">
        <v>1750</v>
      </c>
      <c r="C6398" s="362"/>
      <c r="D6398" s="327">
        <f>IF($B6398="","",COUNTIF($B$4731:$B6398,$B6398))</f>
        <v>10</v>
      </c>
      <c r="E6398" s="361" t="s">
        <v>2771</v>
      </c>
      <c r="F6398" s="362" t="s">
        <v>659</v>
      </c>
      <c r="G6398" s="327" t="s">
        <v>424</v>
      </c>
      <c r="H6398" s="361" t="s">
        <v>536</v>
      </c>
      <c r="I6398" s="361" t="s">
        <v>666</v>
      </c>
      <c r="J6398" s="361"/>
      <c r="K6398" s="327" t="s">
        <v>100</v>
      </c>
      <c r="L6398" s="389">
        <v>53000</v>
      </c>
      <c r="M6398" s="355"/>
      <c r="N6398" s="355" t="s">
        <v>2409</v>
      </c>
      <c r="O6398" s="345"/>
      <c r="P6398" s="325"/>
      <c r="Q6398" s="327"/>
      <c r="R6398" s="351"/>
      <c r="S6398" s="351"/>
      <c r="T6398" s="351"/>
      <c r="U6398" s="329" t="str">
        <f>IF($N6398=$N$4,IFERROR(INDEX(DanhMuc!$E$154:$E$165,MATCH(MID($B6398,4,2),DanhMuc!$B$154:$B$165,0)),""),"")</f>
        <v/>
      </c>
      <c r="V6398" s="361"/>
      <c r="W6398" s="345"/>
      <c r="X6398" s="786"/>
      <c r="Y6398" s="1128" t="s">
        <v>3380</v>
      </c>
      <c r="Z6398" s="1128" t="s">
        <v>3381</v>
      </c>
      <c r="AA6398" s="1128" t="s">
        <v>3384</v>
      </c>
      <c r="AB6398" s="20"/>
      <c r="AC6398" s="73"/>
    </row>
    <row r="6399" spans="1:29">
      <c r="A6399" s="327" t="str">
        <f>IF(AND($B6399&lt;&gt;"",$C6399&lt;&gt;""),MAX($A$4730:$A6398)+1,"")</f>
        <v/>
      </c>
      <c r="B6399" s="361" t="s">
        <v>1750</v>
      </c>
      <c r="C6399" s="362"/>
      <c r="D6399" s="327">
        <f>IF($B6399="","",COUNTIF($B$4731:$B6399,$B6399))</f>
        <v>11</v>
      </c>
      <c r="E6399" s="361" t="s">
        <v>1828</v>
      </c>
      <c r="F6399" s="362" t="s">
        <v>671</v>
      </c>
      <c r="G6399" s="327" t="s">
        <v>661</v>
      </c>
      <c r="H6399" s="361" t="s">
        <v>536</v>
      </c>
      <c r="I6399" s="361" t="s">
        <v>2355</v>
      </c>
      <c r="J6399" s="361"/>
      <c r="K6399" s="327" t="s">
        <v>100</v>
      </c>
      <c r="L6399" s="478">
        <f>40000/1000</f>
        <v>40</v>
      </c>
      <c r="M6399" s="355"/>
      <c r="N6399" s="355" t="s">
        <v>2409</v>
      </c>
      <c r="O6399" s="345"/>
      <c r="P6399" s="325"/>
      <c r="Q6399" s="327"/>
      <c r="R6399" s="351"/>
      <c r="S6399" s="351"/>
      <c r="T6399" s="351"/>
      <c r="U6399" s="329" t="str">
        <f>IF($N6399=$N$4,IFERROR(INDEX(DanhMuc!$E$154:$E$165,MATCH(MID($B6399,4,2),DanhMuc!$B$154:$B$165,0)),""),"")</f>
        <v/>
      </c>
      <c r="V6399" s="361"/>
      <c r="W6399" s="345"/>
      <c r="X6399" s="786"/>
      <c r="Y6399" s="1128" t="s">
        <v>3380</v>
      </c>
      <c r="Z6399" s="1128" t="s">
        <v>3381</v>
      </c>
      <c r="AA6399" s="1128" t="s">
        <v>3384</v>
      </c>
      <c r="AB6399" s="20"/>
      <c r="AC6399" s="73"/>
    </row>
    <row r="6400" spans="1:29">
      <c r="A6400" s="327" t="str">
        <f>IF(AND($B6400&lt;&gt;"",$C6400&lt;&gt;""),MAX($A$4730:$A6399)+1,"")</f>
        <v/>
      </c>
      <c r="B6400" s="361" t="s">
        <v>1750</v>
      </c>
      <c r="C6400" s="362"/>
      <c r="D6400" s="327">
        <f>IF($B6400="","",COUNTIF($B$4731:$B6400,$B6400))</f>
        <v>12</v>
      </c>
      <c r="E6400" s="361" t="s">
        <v>154</v>
      </c>
      <c r="F6400" s="362" t="s">
        <v>660</v>
      </c>
      <c r="G6400" s="327" t="s">
        <v>661</v>
      </c>
      <c r="H6400" s="361" t="s">
        <v>536</v>
      </c>
      <c r="I6400" s="361" t="s">
        <v>667</v>
      </c>
      <c r="J6400" s="361"/>
      <c r="K6400" s="327" t="s">
        <v>662</v>
      </c>
      <c r="L6400" s="478">
        <v>20</v>
      </c>
      <c r="M6400" s="355"/>
      <c r="N6400" s="355" t="s">
        <v>2409</v>
      </c>
      <c r="O6400" s="345"/>
      <c r="P6400" s="325"/>
      <c r="Q6400" s="327"/>
      <c r="R6400" s="351"/>
      <c r="S6400" s="351"/>
      <c r="T6400" s="351"/>
      <c r="U6400" s="329" t="str">
        <f>IF($N6400=$N$4,IFERROR(INDEX(DanhMuc!$E$154:$E$165,MATCH(MID($B6400,4,2),DanhMuc!$B$154:$B$165,0)),""),"")</f>
        <v/>
      </c>
      <c r="V6400" s="361"/>
      <c r="W6400" s="345"/>
      <c r="X6400" s="786"/>
      <c r="Y6400" s="1128" t="s">
        <v>3380</v>
      </c>
      <c r="Z6400" s="1128" t="s">
        <v>3381</v>
      </c>
      <c r="AA6400" s="1128" t="s">
        <v>3384</v>
      </c>
      <c r="AB6400" s="20"/>
      <c r="AC6400" s="73"/>
    </row>
    <row r="6401" spans="1:29">
      <c r="A6401" s="327" t="str">
        <f>IF(AND($B6401&lt;&gt;"",$C6401&lt;&gt;""),MAX($A$4730:$A6400)+1,"")</f>
        <v/>
      </c>
      <c r="B6401" s="361" t="s">
        <v>1750</v>
      </c>
      <c r="C6401" s="362"/>
      <c r="D6401" s="327">
        <f>IF($B6401="","",COUNTIF($B$4731:$B6401,$B6401))</f>
        <v>13</v>
      </c>
      <c r="E6401" s="362" t="s">
        <v>2282</v>
      </c>
      <c r="F6401" s="362" t="s">
        <v>2283</v>
      </c>
      <c r="G6401" s="327" t="s">
        <v>424</v>
      </c>
      <c r="H6401" s="361" t="s">
        <v>536</v>
      </c>
      <c r="I6401" s="361" t="s">
        <v>2238</v>
      </c>
      <c r="J6401" s="361"/>
      <c r="K6401" s="327" t="s">
        <v>662</v>
      </c>
      <c r="L6401" s="478">
        <v>28000</v>
      </c>
      <c r="M6401" s="355"/>
      <c r="N6401" s="355" t="s">
        <v>2409</v>
      </c>
      <c r="O6401" s="345"/>
      <c r="P6401" s="325"/>
      <c r="Q6401" s="327"/>
      <c r="R6401" s="351"/>
      <c r="S6401" s="351"/>
      <c r="T6401" s="351"/>
      <c r="U6401" s="329" t="str">
        <f>IF($N6401=$N$4,IFERROR(INDEX(DanhMuc!$E$154:$E$165,MATCH(MID($B6401,4,2),DanhMuc!$B$154:$B$165,0)),""),"")</f>
        <v/>
      </c>
      <c r="V6401" s="361"/>
      <c r="W6401" s="345"/>
      <c r="X6401" s="786"/>
      <c r="Y6401" s="1128" t="s">
        <v>3380</v>
      </c>
      <c r="Z6401" s="1128" t="s">
        <v>3381</v>
      </c>
      <c r="AA6401" s="1128" t="s">
        <v>3384</v>
      </c>
      <c r="AB6401" s="20"/>
      <c r="AC6401" s="73"/>
    </row>
    <row r="6402" spans="1:29">
      <c r="A6402" s="327" t="str">
        <f>IF(AND($B6402&lt;&gt;"",$C6402&lt;&gt;""),MAX($A$4730:$A6401)+1,"")</f>
        <v/>
      </c>
      <c r="B6402" s="361" t="s">
        <v>1750</v>
      </c>
      <c r="C6402" s="362"/>
      <c r="D6402" s="327">
        <f>IF($B6402="","",COUNTIF($B$4731:$B6402,$B6402))</f>
        <v>14</v>
      </c>
      <c r="E6402" s="362" t="s">
        <v>663</v>
      </c>
      <c r="F6402" s="362" t="s">
        <v>664</v>
      </c>
      <c r="G6402" s="327" t="s">
        <v>155</v>
      </c>
      <c r="H6402" s="361" t="s">
        <v>536</v>
      </c>
      <c r="I6402" s="361" t="s">
        <v>672</v>
      </c>
      <c r="J6402" s="361"/>
      <c r="K6402" s="327" t="s">
        <v>662</v>
      </c>
      <c r="L6402" s="478">
        <v>1000</v>
      </c>
      <c r="M6402" s="355"/>
      <c r="N6402" s="355" t="s">
        <v>2409</v>
      </c>
      <c r="O6402" s="345"/>
      <c r="P6402" s="325"/>
      <c r="Q6402" s="327"/>
      <c r="R6402" s="351"/>
      <c r="S6402" s="351"/>
      <c r="T6402" s="351"/>
      <c r="U6402" s="329" t="str">
        <f>IF($N6402=$N$4,IFERROR(INDEX(DanhMuc!$E$154:$E$165,MATCH(MID($B6402,4,2),DanhMuc!$B$154:$B$165,0)),""),"")</f>
        <v/>
      </c>
      <c r="V6402" s="361"/>
      <c r="W6402" s="345"/>
      <c r="X6402" s="786"/>
      <c r="Y6402" s="1128" t="s">
        <v>3380</v>
      </c>
      <c r="Z6402" s="1128" t="s">
        <v>3381</v>
      </c>
      <c r="AA6402" s="1128" t="s">
        <v>3384</v>
      </c>
      <c r="AB6402" s="20"/>
      <c r="AC6402" s="73"/>
    </row>
    <row r="6403" spans="1:29" ht="39">
      <c r="A6403" s="327">
        <f>IF(AND($B6403&lt;&gt;"",$C6403&lt;&gt;""),MAX($A$4730:$A6388)+1,"")</f>
        <v>81</v>
      </c>
      <c r="B6403" s="359" t="s">
        <v>2216</v>
      </c>
      <c r="C6403" s="370" t="s">
        <v>2215</v>
      </c>
      <c r="D6403" s="327">
        <f>IF($B6403="","",COUNTIF($B$4731:$B6403,$B6403))</f>
        <v>1</v>
      </c>
      <c r="E6403" s="361">
        <v>1124</v>
      </c>
      <c r="F6403" s="362" t="s">
        <v>2327</v>
      </c>
      <c r="G6403" s="327" t="s">
        <v>155</v>
      </c>
      <c r="H6403" s="361" t="s">
        <v>536</v>
      </c>
      <c r="I6403" s="327">
        <v>2</v>
      </c>
      <c r="J6403" s="361"/>
      <c r="K6403" s="327" t="s">
        <v>100</v>
      </c>
      <c r="L6403" s="710" t="s">
        <v>2286</v>
      </c>
      <c r="M6403" s="355"/>
      <c r="N6403" s="355" t="s">
        <v>2408</v>
      </c>
      <c r="O6403" s="345"/>
      <c r="P6403" s="325"/>
      <c r="Q6403" s="327"/>
      <c r="R6403" s="351">
        <v>3</v>
      </c>
      <c r="S6403" s="351">
        <v>6</v>
      </c>
      <c r="T6403" s="351"/>
      <c r="U6403" s="329" t="str">
        <f>IF($N6403=$N$4,IFERROR(INDEX(DanhMuc!$E$154:$E$165,MATCH(MID($B6403,4,2),DanhMuc!$B$154:$B$165,0)),""),"")</f>
        <v/>
      </c>
      <c r="V6403" s="361"/>
      <c r="W6403" s="345"/>
      <c r="X6403" s="786"/>
      <c r="Y6403" s="1128" t="s">
        <v>3380</v>
      </c>
      <c r="Z6403" s="1128" t="s">
        <v>3381</v>
      </c>
      <c r="AA6403" s="1128" t="s">
        <v>3384</v>
      </c>
      <c r="AB6403" s="20"/>
      <c r="AC6403" s="73"/>
    </row>
    <row r="6404" spans="1:29">
      <c r="A6404" s="327" t="str">
        <f>IF(AND($B6404&lt;&gt;"",$C6404&lt;&gt;""),MAX($A$4730:$A6403)+1,"")</f>
        <v/>
      </c>
      <c r="B6404" s="361" t="s">
        <v>2216</v>
      </c>
      <c r="C6404" s="362"/>
      <c r="D6404" s="327">
        <f>IF($B6404="","",COUNTIF($B$4731:$B6404,$B6404))</f>
        <v>2</v>
      </c>
      <c r="E6404" s="361">
        <v>1124</v>
      </c>
      <c r="F6404" s="362" t="s">
        <v>2327</v>
      </c>
      <c r="G6404" s="327" t="s">
        <v>155</v>
      </c>
      <c r="H6404" s="361" t="s">
        <v>536</v>
      </c>
      <c r="I6404" s="327">
        <v>12</v>
      </c>
      <c r="J6404" s="361"/>
      <c r="K6404" s="327" t="s">
        <v>101</v>
      </c>
      <c r="L6404" s="710" t="s">
        <v>2286</v>
      </c>
      <c r="M6404" s="355"/>
      <c r="N6404" s="355" t="s">
        <v>2408</v>
      </c>
      <c r="O6404" s="345"/>
      <c r="P6404" s="325"/>
      <c r="Q6404" s="327"/>
      <c r="R6404" s="351">
        <v>3</v>
      </c>
      <c r="S6404" s="351">
        <v>6</v>
      </c>
      <c r="T6404" s="351"/>
      <c r="U6404" s="329" t="str">
        <f>IF($N6404=$N$4,IFERROR(INDEX(DanhMuc!$E$154:$E$165,MATCH(MID($B6404,4,2),DanhMuc!$B$154:$B$165,0)),""),"")</f>
        <v/>
      </c>
      <c r="V6404" s="361"/>
      <c r="W6404" s="345"/>
      <c r="X6404" s="786"/>
      <c r="Y6404" s="1128" t="s">
        <v>3380</v>
      </c>
      <c r="Z6404" s="1128" t="s">
        <v>3381</v>
      </c>
      <c r="AA6404" s="1128" t="s">
        <v>3384</v>
      </c>
      <c r="AB6404" s="20"/>
      <c r="AC6404" s="73"/>
    </row>
    <row r="6405" spans="1:29">
      <c r="A6405" s="327" t="str">
        <f>IF(AND($B6405&lt;&gt;"",$C6405&lt;&gt;""),MAX($A$4730:$A6404)+1,"")</f>
        <v/>
      </c>
      <c r="B6405" s="361" t="s">
        <v>2216</v>
      </c>
      <c r="C6405" s="362"/>
      <c r="D6405" s="327">
        <f>IF($B6405="","",COUNTIF($B$4731:$B6405,$B6405))</f>
        <v>3</v>
      </c>
      <c r="E6405" s="361" t="s">
        <v>1671</v>
      </c>
      <c r="F6405" s="362" t="s">
        <v>2329</v>
      </c>
      <c r="G6405" s="327" t="s">
        <v>155</v>
      </c>
      <c r="H6405" s="361" t="s">
        <v>536</v>
      </c>
      <c r="I6405" s="327">
        <f>I6404*2</f>
        <v>24</v>
      </c>
      <c r="J6405" s="361"/>
      <c r="K6405" s="327" t="s">
        <v>415</v>
      </c>
      <c r="L6405" s="389">
        <v>2000</v>
      </c>
      <c r="M6405" s="355"/>
      <c r="N6405" s="355" t="s">
        <v>2408</v>
      </c>
      <c r="O6405" s="345"/>
      <c r="P6405" s="325"/>
      <c r="Q6405" s="327"/>
      <c r="R6405" s="351"/>
      <c r="S6405" s="351"/>
      <c r="T6405" s="351"/>
      <c r="U6405" s="329" t="str">
        <f>IF($N6405=$N$4,IFERROR(INDEX(DanhMuc!$E$154:$E$165,MATCH(MID($B6405,4,2),DanhMuc!$B$154:$B$165,0)),""),"")</f>
        <v/>
      </c>
      <c r="V6405" s="361"/>
      <c r="W6405" s="345"/>
      <c r="X6405" s="786"/>
      <c r="Y6405" s="1128" t="s">
        <v>3380</v>
      </c>
      <c r="Z6405" s="1128" t="s">
        <v>3381</v>
      </c>
      <c r="AA6405" s="1128" t="s">
        <v>3384</v>
      </c>
      <c r="AB6405" s="20"/>
      <c r="AC6405" s="73"/>
    </row>
    <row r="6406" spans="1:29">
      <c r="A6406" s="327" t="str">
        <f>IF(AND($B6406&lt;&gt;"",$C6406&lt;&gt;""),MAX($A$4730:$A6405)+1,"")</f>
        <v/>
      </c>
      <c r="B6406" s="361" t="s">
        <v>2216</v>
      </c>
      <c r="C6406" s="362"/>
      <c r="D6406" s="327">
        <f>IF($B6406="","",COUNTIF($B$4731:$B6406,$B6406))</f>
        <v>4</v>
      </c>
      <c r="E6406" s="361" t="s">
        <v>654</v>
      </c>
      <c r="F6406" s="362" t="s">
        <v>653</v>
      </c>
      <c r="G6406" s="327" t="s">
        <v>1836</v>
      </c>
      <c r="H6406" s="361" t="s">
        <v>536</v>
      </c>
      <c r="I6406" s="327">
        <f>ROUND(SUM(I6403:I6404)/45,2)</f>
        <v>0.31</v>
      </c>
      <c r="J6406" s="477"/>
      <c r="K6406" s="327" t="s">
        <v>655</v>
      </c>
      <c r="L6406" s="478">
        <v>115000</v>
      </c>
      <c r="M6406" s="355"/>
      <c r="N6406" s="355" t="s">
        <v>2408</v>
      </c>
      <c r="O6406" s="345"/>
      <c r="P6406" s="325"/>
      <c r="Q6406" s="327"/>
      <c r="R6406" s="351"/>
      <c r="S6406" s="351"/>
      <c r="T6406" s="351"/>
      <c r="U6406" s="329" t="str">
        <f>IF($N6406=$N$4,IFERROR(INDEX(DanhMuc!$E$154:$E$165,MATCH(MID($B6406,4,2),DanhMuc!$B$154:$B$165,0)),""),"")</f>
        <v/>
      </c>
      <c r="V6406" s="361"/>
      <c r="W6406" s="345"/>
      <c r="X6406" s="786"/>
      <c r="Y6406" s="1128" t="s">
        <v>3380</v>
      </c>
      <c r="Z6406" s="1128" t="s">
        <v>3381</v>
      </c>
      <c r="AA6406" s="1128" t="s">
        <v>3384</v>
      </c>
      <c r="AB6406" s="20"/>
      <c r="AC6406" s="73"/>
    </row>
    <row r="6407" spans="1:29">
      <c r="A6407" s="327" t="str">
        <f>IF(AND($B6407&lt;&gt;"",$C6407&lt;&gt;""),MAX($A$4730:$A6406)+1,"")</f>
        <v/>
      </c>
      <c r="B6407" s="361" t="s">
        <v>2216</v>
      </c>
      <c r="C6407" s="360"/>
      <c r="D6407" s="327">
        <f>IF($B6407="","",COUNTIF($B$4731:$B6407,$B6407))</f>
        <v>5</v>
      </c>
      <c r="E6407" s="361" t="s">
        <v>1826</v>
      </c>
      <c r="F6407" s="362" t="s">
        <v>670</v>
      </c>
      <c r="G6407" s="327" t="s">
        <v>661</v>
      </c>
      <c r="H6407" s="361" t="s">
        <v>536</v>
      </c>
      <c r="I6407" s="361" t="s">
        <v>2354</v>
      </c>
      <c r="J6407" s="361"/>
      <c r="K6407" s="327" t="s">
        <v>103</v>
      </c>
      <c r="L6407" s="478">
        <f>40000/1000</f>
        <v>40</v>
      </c>
      <c r="M6407" s="355"/>
      <c r="N6407" s="355" t="s">
        <v>2408</v>
      </c>
      <c r="O6407" s="345"/>
      <c r="P6407" s="325"/>
      <c r="Q6407" s="327"/>
      <c r="R6407" s="351"/>
      <c r="S6407" s="351"/>
      <c r="T6407" s="351"/>
      <c r="U6407" s="329" t="str">
        <f>IF($N6407=$N$4,IFERROR(INDEX(DanhMuc!$E$154:$E$165,MATCH(MID($B6407,4,2),DanhMuc!$B$154:$B$165,0)),""),"")</f>
        <v/>
      </c>
      <c r="V6407" s="361"/>
      <c r="W6407" s="345"/>
      <c r="X6407" s="786"/>
      <c r="Y6407" s="1128" t="s">
        <v>3380</v>
      </c>
      <c r="Z6407" s="1128" t="s">
        <v>3381</v>
      </c>
      <c r="AA6407" s="1128" t="s">
        <v>3384</v>
      </c>
      <c r="AB6407" s="20"/>
      <c r="AC6407" s="73"/>
    </row>
    <row r="6408" spans="1:29" ht="37.5">
      <c r="A6408" s="327" t="str">
        <f>IF(AND($B6408&lt;&gt;"",$C6408&lt;&gt;""),MAX($A$4730:$A6407)+1,"")</f>
        <v/>
      </c>
      <c r="B6408" s="361" t="s">
        <v>2216</v>
      </c>
      <c r="C6408" s="362"/>
      <c r="D6408" s="327">
        <f>IF($B6408="","",COUNTIF($B$4731:$B6408,$B6408))</f>
        <v>6</v>
      </c>
      <c r="E6408" s="362" t="s">
        <v>1964</v>
      </c>
      <c r="F6408" s="362" t="s">
        <v>1965</v>
      </c>
      <c r="G6408" s="327" t="s">
        <v>405</v>
      </c>
      <c r="H6408" s="361" t="s">
        <v>536</v>
      </c>
      <c r="I6408" s="361" t="s">
        <v>693</v>
      </c>
      <c r="J6408" s="361"/>
      <c r="K6408" s="327" t="s">
        <v>223</v>
      </c>
      <c r="L6408" s="478">
        <v>140</v>
      </c>
      <c r="M6408" s="371"/>
      <c r="N6408" s="355" t="s">
        <v>2408</v>
      </c>
      <c r="O6408" s="345"/>
      <c r="P6408" s="325"/>
      <c r="Q6408" s="327"/>
      <c r="R6408" s="351"/>
      <c r="S6408" s="351"/>
      <c r="T6408" s="351"/>
      <c r="U6408" s="329" t="str">
        <f>IF($N6408=$N$4,IFERROR(INDEX(DanhMuc!$E$154:$E$165,MATCH(MID($B6408,4,2),DanhMuc!$B$154:$B$165,0)),""),"")</f>
        <v/>
      </c>
      <c r="V6408" s="361"/>
      <c r="W6408" s="345"/>
      <c r="X6408" s="786"/>
      <c r="Y6408" s="1128" t="s">
        <v>3380</v>
      </c>
      <c r="Z6408" s="1128" t="s">
        <v>3381</v>
      </c>
      <c r="AA6408" s="1128" t="s">
        <v>3384</v>
      </c>
      <c r="AB6408" s="20"/>
      <c r="AC6408" s="73"/>
    </row>
    <row r="6409" spans="1:29" ht="37.5">
      <c r="A6409" s="327" t="str">
        <f>IF(AND($B6409&lt;&gt;"",$C6409&lt;&gt;""),MAX($A$4730:$A6408)+1,"")</f>
        <v/>
      </c>
      <c r="B6409" s="361" t="s">
        <v>2216</v>
      </c>
      <c r="C6409" s="362"/>
      <c r="D6409" s="327">
        <f>IF($B6409="","",COUNTIF($B$4731:$B6409,$B6409))</f>
        <v>7</v>
      </c>
      <c r="E6409" s="362" t="s">
        <v>2756</v>
      </c>
      <c r="F6409" s="362" t="s">
        <v>2757</v>
      </c>
      <c r="G6409" s="327" t="s">
        <v>405</v>
      </c>
      <c r="H6409" s="361" t="s">
        <v>536</v>
      </c>
      <c r="I6409" s="361" t="s">
        <v>693</v>
      </c>
      <c r="J6409" s="361"/>
      <c r="K6409" s="327" t="s">
        <v>223</v>
      </c>
      <c r="L6409" s="479">
        <v>322</v>
      </c>
      <c r="M6409" s="371"/>
      <c r="N6409" s="355" t="s">
        <v>2408</v>
      </c>
      <c r="O6409" s="345"/>
      <c r="P6409" s="325"/>
      <c r="Q6409" s="327"/>
      <c r="R6409" s="351"/>
      <c r="S6409" s="351"/>
      <c r="T6409" s="351"/>
      <c r="U6409" s="329" t="str">
        <f>IF($N6409=$N$4,IFERROR(INDEX(DanhMuc!$E$154:$E$165,MATCH(MID($B6409,4,2),DanhMuc!$B$154:$B$165,0)),""),"")</f>
        <v/>
      </c>
      <c r="V6409" s="361"/>
      <c r="W6409" s="345"/>
      <c r="X6409" s="786"/>
      <c r="Y6409" s="1128" t="s">
        <v>3380</v>
      </c>
      <c r="Z6409" s="1128" t="s">
        <v>3381</v>
      </c>
      <c r="AA6409" s="1128" t="s">
        <v>3384</v>
      </c>
      <c r="AB6409" s="20"/>
      <c r="AC6409" s="73"/>
    </row>
    <row r="6410" spans="1:29">
      <c r="A6410" s="327" t="str">
        <f>IF(AND($B6410&lt;&gt;"",$C6410&lt;&gt;""),MAX($A$4730:$A6409)+1,"")</f>
        <v/>
      </c>
      <c r="B6410" s="361" t="s">
        <v>2216</v>
      </c>
      <c r="C6410" s="362"/>
      <c r="D6410" s="327">
        <f>IF($B6410="","",COUNTIF($B$4731:$B6410,$B6410))</f>
        <v>8</v>
      </c>
      <c r="E6410" s="361" t="s">
        <v>656</v>
      </c>
      <c r="F6410" s="362" t="s">
        <v>2239</v>
      </c>
      <c r="G6410" s="327" t="s">
        <v>405</v>
      </c>
      <c r="H6410" s="361" t="s">
        <v>536</v>
      </c>
      <c r="I6410" s="361" t="s">
        <v>1827</v>
      </c>
      <c r="J6410" s="361"/>
      <c r="K6410" s="327" t="s">
        <v>100</v>
      </c>
      <c r="L6410" s="478">
        <v>970</v>
      </c>
      <c r="M6410" s="371"/>
      <c r="N6410" s="355" t="s">
        <v>2409</v>
      </c>
      <c r="O6410" s="345"/>
      <c r="P6410" s="325"/>
      <c r="Q6410" s="327"/>
      <c r="R6410" s="351"/>
      <c r="S6410" s="351"/>
      <c r="T6410" s="351"/>
      <c r="U6410" s="329" t="str">
        <f>IF($N6410=$N$4,IFERROR(INDEX(DanhMuc!$E$154:$E$165,MATCH(MID($B6410,4,2),DanhMuc!$B$154:$B$165,0)),""),"")</f>
        <v/>
      </c>
      <c r="V6410" s="361"/>
      <c r="W6410" s="345"/>
      <c r="X6410" s="786"/>
      <c r="Y6410" s="1128" t="s">
        <v>3380</v>
      </c>
      <c r="Z6410" s="1128" t="s">
        <v>3381</v>
      </c>
      <c r="AA6410" s="1128" t="s">
        <v>3384</v>
      </c>
      <c r="AB6410" s="20"/>
      <c r="AC6410" s="73"/>
    </row>
    <row r="6411" spans="1:29">
      <c r="A6411" s="327" t="str">
        <f>IF(AND($B6411&lt;&gt;"",$C6411&lt;&gt;""),MAX($A$4730:$A6410)+1,"")</f>
        <v/>
      </c>
      <c r="B6411" s="361" t="s">
        <v>2216</v>
      </c>
      <c r="C6411" s="362"/>
      <c r="D6411" s="327">
        <f>IF($B6411="","",COUNTIF($B$4731:$B6411,$B6411))</f>
        <v>9</v>
      </c>
      <c r="E6411" s="361" t="s">
        <v>657</v>
      </c>
      <c r="F6411" s="362" t="s">
        <v>658</v>
      </c>
      <c r="G6411" s="327" t="s">
        <v>424</v>
      </c>
      <c r="H6411" s="361" t="s">
        <v>536</v>
      </c>
      <c r="I6411" s="361" t="s">
        <v>665</v>
      </c>
      <c r="J6411" s="361"/>
      <c r="K6411" s="327" t="s">
        <v>100</v>
      </c>
      <c r="L6411" s="478">
        <v>60000</v>
      </c>
      <c r="M6411" s="355"/>
      <c r="N6411" s="355" t="s">
        <v>2409</v>
      </c>
      <c r="O6411" s="345"/>
      <c r="P6411" s="325"/>
      <c r="Q6411" s="327"/>
      <c r="R6411" s="351"/>
      <c r="S6411" s="351"/>
      <c r="T6411" s="351"/>
      <c r="U6411" s="329" t="str">
        <f>IF($N6411=$N$4,IFERROR(INDEX(DanhMuc!$E$154:$E$165,MATCH(MID($B6411,4,2),DanhMuc!$B$154:$B$165,0)),""),"")</f>
        <v/>
      </c>
      <c r="V6411" s="361"/>
      <c r="W6411" s="345"/>
      <c r="X6411" s="786"/>
      <c r="Y6411" s="1128" t="s">
        <v>3380</v>
      </c>
      <c r="Z6411" s="1128" t="s">
        <v>3381</v>
      </c>
      <c r="AA6411" s="1128" t="s">
        <v>3384</v>
      </c>
      <c r="AB6411" s="20"/>
      <c r="AC6411" s="73"/>
    </row>
    <row r="6412" spans="1:29">
      <c r="A6412" s="327" t="str">
        <f>IF(AND($B6412&lt;&gt;"",$C6412&lt;&gt;""),MAX($A$4730:$A6411)+1,"")</f>
        <v/>
      </c>
      <c r="B6412" s="361" t="s">
        <v>2216</v>
      </c>
      <c r="C6412" s="362"/>
      <c r="D6412" s="327">
        <f>IF($B6412="","",COUNTIF($B$4731:$B6412,$B6412))</f>
        <v>10</v>
      </c>
      <c r="E6412" s="361" t="s">
        <v>2771</v>
      </c>
      <c r="F6412" s="362" t="s">
        <v>659</v>
      </c>
      <c r="G6412" s="327" t="s">
        <v>424</v>
      </c>
      <c r="H6412" s="361" t="s">
        <v>536</v>
      </c>
      <c r="I6412" s="361" t="s">
        <v>666</v>
      </c>
      <c r="J6412" s="361"/>
      <c r="K6412" s="327" t="s">
        <v>100</v>
      </c>
      <c r="L6412" s="389">
        <v>53000</v>
      </c>
      <c r="M6412" s="355"/>
      <c r="N6412" s="355" t="s">
        <v>2409</v>
      </c>
      <c r="O6412" s="345"/>
      <c r="P6412" s="325"/>
      <c r="Q6412" s="327"/>
      <c r="R6412" s="351"/>
      <c r="S6412" s="351"/>
      <c r="T6412" s="351"/>
      <c r="U6412" s="329" t="str">
        <f>IF($N6412=$N$4,IFERROR(INDEX(DanhMuc!$E$154:$E$165,MATCH(MID($B6412,4,2),DanhMuc!$B$154:$B$165,0)),""),"")</f>
        <v/>
      </c>
      <c r="V6412" s="361"/>
      <c r="W6412" s="345"/>
      <c r="X6412" s="786"/>
      <c r="Y6412" s="1128" t="s">
        <v>3380</v>
      </c>
      <c r="Z6412" s="1128" t="s">
        <v>3381</v>
      </c>
      <c r="AA6412" s="1128" t="s">
        <v>3384</v>
      </c>
      <c r="AB6412" s="20"/>
      <c r="AC6412" s="73"/>
    </row>
    <row r="6413" spans="1:29">
      <c r="A6413" s="327" t="str">
        <f>IF(AND($B6413&lt;&gt;"",$C6413&lt;&gt;""),MAX($A$4730:$A6412)+1,"")</f>
        <v/>
      </c>
      <c r="B6413" s="361" t="s">
        <v>2216</v>
      </c>
      <c r="C6413" s="362"/>
      <c r="D6413" s="327">
        <f>IF($B6413="","",COUNTIF($B$4731:$B6413,$B6413))</f>
        <v>11</v>
      </c>
      <c r="E6413" s="361" t="s">
        <v>1828</v>
      </c>
      <c r="F6413" s="362" t="s">
        <v>671</v>
      </c>
      <c r="G6413" s="327" t="s">
        <v>661</v>
      </c>
      <c r="H6413" s="361" t="s">
        <v>536</v>
      </c>
      <c r="I6413" s="361" t="s">
        <v>2355</v>
      </c>
      <c r="J6413" s="361"/>
      <c r="K6413" s="327" t="s">
        <v>100</v>
      </c>
      <c r="L6413" s="478">
        <f>40000/1000</f>
        <v>40</v>
      </c>
      <c r="M6413" s="355"/>
      <c r="N6413" s="355" t="s">
        <v>2409</v>
      </c>
      <c r="O6413" s="345"/>
      <c r="P6413" s="325"/>
      <c r="Q6413" s="327"/>
      <c r="R6413" s="351"/>
      <c r="S6413" s="351"/>
      <c r="T6413" s="351"/>
      <c r="U6413" s="329" t="str">
        <f>IF($N6413=$N$4,IFERROR(INDEX(DanhMuc!$E$154:$E$165,MATCH(MID($B6413,4,2),DanhMuc!$B$154:$B$165,0)),""),"")</f>
        <v/>
      </c>
      <c r="V6413" s="361"/>
      <c r="W6413" s="345"/>
      <c r="X6413" s="786"/>
      <c r="Y6413" s="1128" t="s">
        <v>3380</v>
      </c>
      <c r="Z6413" s="1128" t="s">
        <v>3381</v>
      </c>
      <c r="AA6413" s="1128" t="s">
        <v>3384</v>
      </c>
      <c r="AB6413" s="20"/>
      <c r="AC6413" s="73"/>
    </row>
    <row r="6414" spans="1:29">
      <c r="A6414" s="327" t="str">
        <f>IF(AND($B6414&lt;&gt;"",$C6414&lt;&gt;""),MAX($A$4730:$A6413)+1,"")</f>
        <v/>
      </c>
      <c r="B6414" s="361" t="s">
        <v>2216</v>
      </c>
      <c r="C6414" s="362"/>
      <c r="D6414" s="327">
        <f>IF($B6414="","",COUNTIF($B$4731:$B6414,$B6414))</f>
        <v>12</v>
      </c>
      <c r="E6414" s="361" t="s">
        <v>154</v>
      </c>
      <c r="F6414" s="362" t="s">
        <v>660</v>
      </c>
      <c r="G6414" s="327" t="s">
        <v>661</v>
      </c>
      <c r="H6414" s="361" t="s">
        <v>536</v>
      </c>
      <c r="I6414" s="361" t="s">
        <v>667</v>
      </c>
      <c r="J6414" s="361"/>
      <c r="K6414" s="327" t="s">
        <v>662</v>
      </c>
      <c r="L6414" s="478">
        <v>20</v>
      </c>
      <c r="M6414" s="355"/>
      <c r="N6414" s="355" t="s">
        <v>2409</v>
      </c>
      <c r="O6414" s="345"/>
      <c r="P6414" s="325"/>
      <c r="Q6414" s="327"/>
      <c r="R6414" s="351"/>
      <c r="S6414" s="351"/>
      <c r="T6414" s="351"/>
      <c r="U6414" s="329" t="str">
        <f>IF($N6414=$N$4,IFERROR(INDEX(DanhMuc!$E$154:$E$165,MATCH(MID($B6414,4,2),DanhMuc!$B$154:$B$165,0)),""),"")</f>
        <v/>
      </c>
      <c r="V6414" s="361"/>
      <c r="W6414" s="345"/>
      <c r="X6414" s="786"/>
      <c r="Y6414" s="1128" t="s">
        <v>3380</v>
      </c>
      <c r="Z6414" s="1128" t="s">
        <v>3381</v>
      </c>
      <c r="AA6414" s="1128" t="s">
        <v>3384</v>
      </c>
      <c r="AB6414" s="20"/>
      <c r="AC6414" s="73"/>
    </row>
    <row r="6415" spans="1:29">
      <c r="A6415" s="327" t="str">
        <f>IF(AND($B6415&lt;&gt;"",$C6415&lt;&gt;""),MAX($A$4730:$A6414)+1,"")</f>
        <v/>
      </c>
      <c r="B6415" s="361" t="s">
        <v>2216</v>
      </c>
      <c r="C6415" s="362"/>
      <c r="D6415" s="327">
        <f>IF($B6415="","",COUNTIF($B$4731:$B6415,$B6415))</f>
        <v>13</v>
      </c>
      <c r="E6415" s="362" t="s">
        <v>2282</v>
      </c>
      <c r="F6415" s="362" t="s">
        <v>2283</v>
      </c>
      <c r="G6415" s="327" t="s">
        <v>424</v>
      </c>
      <c r="H6415" s="361" t="s">
        <v>536</v>
      </c>
      <c r="I6415" s="361" t="s">
        <v>2238</v>
      </c>
      <c r="J6415" s="361"/>
      <c r="K6415" s="327" t="s">
        <v>662</v>
      </c>
      <c r="L6415" s="478">
        <v>28000</v>
      </c>
      <c r="M6415" s="355"/>
      <c r="N6415" s="355" t="s">
        <v>2409</v>
      </c>
      <c r="O6415" s="345"/>
      <c r="P6415" s="325"/>
      <c r="Q6415" s="327"/>
      <c r="R6415" s="351"/>
      <c r="S6415" s="351"/>
      <c r="T6415" s="351"/>
      <c r="U6415" s="329" t="str">
        <f>IF($N6415=$N$4,IFERROR(INDEX(DanhMuc!$E$154:$E$165,MATCH(MID($B6415,4,2),DanhMuc!$B$154:$B$165,0)),""),"")</f>
        <v/>
      </c>
      <c r="V6415" s="361"/>
      <c r="W6415" s="345"/>
      <c r="X6415" s="786"/>
      <c r="Y6415" s="1128" t="s">
        <v>3380</v>
      </c>
      <c r="Z6415" s="1128" t="s">
        <v>3381</v>
      </c>
      <c r="AA6415" s="1128" t="s">
        <v>3384</v>
      </c>
      <c r="AB6415" s="20"/>
      <c r="AC6415" s="73"/>
    </row>
    <row r="6416" spans="1:29">
      <c r="A6416" s="327" t="str">
        <f>IF(AND($B6416&lt;&gt;"",$C6416&lt;&gt;""),MAX($A$4730:$A6415)+1,"")</f>
        <v/>
      </c>
      <c r="B6416" s="361" t="s">
        <v>2216</v>
      </c>
      <c r="C6416" s="362"/>
      <c r="D6416" s="327">
        <f>IF($B6416="","",COUNTIF($B$4731:$B6416,$B6416))</f>
        <v>14</v>
      </c>
      <c r="E6416" s="362" t="s">
        <v>663</v>
      </c>
      <c r="F6416" s="362" t="s">
        <v>664</v>
      </c>
      <c r="G6416" s="327" t="s">
        <v>155</v>
      </c>
      <c r="H6416" s="361" t="s">
        <v>536</v>
      </c>
      <c r="I6416" s="361" t="s">
        <v>672</v>
      </c>
      <c r="J6416" s="361"/>
      <c r="K6416" s="327" t="s">
        <v>662</v>
      </c>
      <c r="L6416" s="478">
        <v>1000</v>
      </c>
      <c r="M6416" s="355"/>
      <c r="N6416" s="355" t="s">
        <v>2409</v>
      </c>
      <c r="O6416" s="345"/>
      <c r="P6416" s="325"/>
      <c r="Q6416" s="327"/>
      <c r="R6416" s="351"/>
      <c r="S6416" s="351"/>
      <c r="T6416" s="351"/>
      <c r="U6416" s="329" t="str">
        <f>IF($N6416=$N$4,IFERROR(INDEX(DanhMuc!$E$154:$E$165,MATCH(MID($B6416,4,2),DanhMuc!$B$154:$B$165,0)),""),"")</f>
        <v/>
      </c>
      <c r="V6416" s="361"/>
      <c r="W6416" s="345"/>
      <c r="X6416" s="786"/>
      <c r="Y6416" s="1128" t="s">
        <v>3380</v>
      </c>
      <c r="Z6416" s="1128" t="s">
        <v>3381</v>
      </c>
      <c r="AA6416" s="1128" t="s">
        <v>3384</v>
      </c>
      <c r="AB6416" s="20"/>
      <c r="AC6416" s="73"/>
    </row>
    <row r="6417" spans="1:29" ht="39">
      <c r="A6417" s="327">
        <f>IF(AND($B6417&lt;&gt;"",$C6417&lt;&gt;""),MAX($A$4730:$A6402)+1,"")</f>
        <v>82</v>
      </c>
      <c r="B6417" s="359" t="s">
        <v>1752</v>
      </c>
      <c r="C6417" s="370" t="s">
        <v>1753</v>
      </c>
      <c r="D6417" s="327">
        <f>IF($B6417="","",COUNTIF($B$4731:$B6417,$B6417))</f>
        <v>1</v>
      </c>
      <c r="E6417" s="361">
        <v>1124</v>
      </c>
      <c r="F6417" s="362" t="s">
        <v>2327</v>
      </c>
      <c r="G6417" s="327" t="s">
        <v>155</v>
      </c>
      <c r="H6417" s="361" t="s">
        <v>536</v>
      </c>
      <c r="I6417" s="327">
        <v>4</v>
      </c>
      <c r="J6417" s="361"/>
      <c r="K6417" s="327" t="s">
        <v>100</v>
      </c>
      <c r="L6417" s="710" t="s">
        <v>2286</v>
      </c>
      <c r="M6417" s="355"/>
      <c r="N6417" s="355" t="s">
        <v>2408</v>
      </c>
      <c r="O6417" s="345"/>
      <c r="P6417" s="325"/>
      <c r="Q6417" s="327"/>
      <c r="R6417" s="351">
        <v>3</v>
      </c>
      <c r="S6417" s="351">
        <v>6</v>
      </c>
      <c r="T6417" s="351"/>
      <c r="U6417" s="329" t="str">
        <f>IF($N6417=$N$4,IFERROR(INDEX(DanhMuc!$E$154:$E$165,MATCH(MID($B6417,4,2),DanhMuc!$B$154:$B$165,0)),""),"")</f>
        <v/>
      </c>
      <c r="V6417" s="361"/>
      <c r="W6417" s="345"/>
      <c r="X6417" s="786"/>
      <c r="Y6417" s="1128" t="s">
        <v>3380</v>
      </c>
      <c r="Z6417" s="1128" t="s">
        <v>3381</v>
      </c>
      <c r="AA6417" s="1128" t="s">
        <v>3384</v>
      </c>
      <c r="AB6417" s="20"/>
      <c r="AC6417" s="73"/>
    </row>
    <row r="6418" spans="1:29">
      <c r="A6418" s="327" t="str">
        <f>IF(AND($B6418&lt;&gt;"",$C6418&lt;&gt;""),MAX($A$4730:$A6417)+1,"")</f>
        <v/>
      </c>
      <c r="B6418" s="361" t="s">
        <v>1752</v>
      </c>
      <c r="C6418" s="362"/>
      <c r="D6418" s="327">
        <f>IF($B6418="","",COUNTIF($B$4731:$B6418,$B6418))</f>
        <v>2</v>
      </c>
      <c r="E6418" s="361">
        <v>1124</v>
      </c>
      <c r="F6418" s="362" t="s">
        <v>2327</v>
      </c>
      <c r="G6418" s="327" t="s">
        <v>155</v>
      </c>
      <c r="H6418" s="361" t="s">
        <v>536</v>
      </c>
      <c r="I6418" s="327">
        <f>4*4</f>
        <v>16</v>
      </c>
      <c r="J6418" s="361"/>
      <c r="K6418" s="327" t="s">
        <v>101</v>
      </c>
      <c r="L6418" s="710" t="s">
        <v>2286</v>
      </c>
      <c r="M6418" s="355"/>
      <c r="N6418" s="355" t="s">
        <v>2408</v>
      </c>
      <c r="O6418" s="345"/>
      <c r="P6418" s="325"/>
      <c r="Q6418" s="327"/>
      <c r="R6418" s="351">
        <v>3</v>
      </c>
      <c r="S6418" s="351">
        <v>6</v>
      </c>
      <c r="T6418" s="351"/>
      <c r="U6418" s="329" t="str">
        <f>IF($N6418=$N$4,IFERROR(INDEX(DanhMuc!$E$154:$E$165,MATCH(MID($B6418,4,2),DanhMuc!$B$154:$B$165,0)),""),"")</f>
        <v/>
      </c>
      <c r="V6418" s="361"/>
      <c r="W6418" s="345"/>
      <c r="X6418" s="786"/>
      <c r="Y6418" s="1128" t="s">
        <v>3380</v>
      </c>
      <c r="Z6418" s="1128" t="s">
        <v>3381</v>
      </c>
      <c r="AA6418" s="1128" t="s">
        <v>3384</v>
      </c>
      <c r="AB6418" s="20"/>
      <c r="AC6418" s="73"/>
    </row>
    <row r="6419" spans="1:29">
      <c r="A6419" s="327" t="str">
        <f>IF(AND($B6419&lt;&gt;"",$C6419&lt;&gt;""),MAX($A$4730:$A6418)+1,"")</f>
        <v/>
      </c>
      <c r="B6419" s="361" t="s">
        <v>1752</v>
      </c>
      <c r="C6419" s="362"/>
      <c r="D6419" s="327">
        <f>IF($B6419="","",COUNTIF($B$4731:$B6419,$B6419))</f>
        <v>3</v>
      </c>
      <c r="E6419" s="361" t="s">
        <v>1671</v>
      </c>
      <c r="F6419" s="362" t="s">
        <v>2329</v>
      </c>
      <c r="G6419" s="327" t="s">
        <v>155</v>
      </c>
      <c r="H6419" s="361" t="s">
        <v>536</v>
      </c>
      <c r="I6419" s="327">
        <f>I6418*2</f>
        <v>32</v>
      </c>
      <c r="J6419" s="361"/>
      <c r="K6419" s="327" t="s">
        <v>415</v>
      </c>
      <c r="L6419" s="389">
        <v>2000</v>
      </c>
      <c r="M6419" s="355"/>
      <c r="N6419" s="355" t="s">
        <v>2408</v>
      </c>
      <c r="O6419" s="345"/>
      <c r="P6419" s="325"/>
      <c r="Q6419" s="327"/>
      <c r="R6419" s="351"/>
      <c r="S6419" s="351"/>
      <c r="T6419" s="351"/>
      <c r="U6419" s="329" t="str">
        <f>IF($N6419=$N$4,IFERROR(INDEX(DanhMuc!$E$154:$E$165,MATCH(MID($B6419,4,2),DanhMuc!$B$154:$B$165,0)),""),"")</f>
        <v/>
      </c>
      <c r="V6419" s="361"/>
      <c r="W6419" s="345"/>
      <c r="X6419" s="786"/>
      <c r="Y6419" s="1128" t="s">
        <v>3380</v>
      </c>
      <c r="Z6419" s="1128" t="s">
        <v>3381</v>
      </c>
      <c r="AA6419" s="1128" t="s">
        <v>3384</v>
      </c>
      <c r="AB6419" s="20"/>
      <c r="AC6419" s="73"/>
    </row>
    <row r="6420" spans="1:29">
      <c r="A6420" s="327" t="str">
        <f>IF(AND($B6420&lt;&gt;"",$C6420&lt;&gt;""),MAX($A$4730:$A6419)+1,"")</f>
        <v/>
      </c>
      <c r="B6420" s="361" t="s">
        <v>1752</v>
      </c>
      <c r="C6420" s="362"/>
      <c r="D6420" s="327">
        <f>IF($B6420="","",COUNTIF($B$4731:$B6420,$B6420))</f>
        <v>4</v>
      </c>
      <c r="E6420" s="361" t="s">
        <v>654</v>
      </c>
      <c r="F6420" s="362" t="s">
        <v>653</v>
      </c>
      <c r="G6420" s="327" t="s">
        <v>1836</v>
      </c>
      <c r="H6420" s="361" t="s">
        <v>536</v>
      </c>
      <c r="I6420" s="327">
        <f>ROUND(SUM(I6417:I6418)/45,2)</f>
        <v>0.44</v>
      </c>
      <c r="J6420" s="477"/>
      <c r="K6420" s="327" t="s">
        <v>655</v>
      </c>
      <c r="L6420" s="478">
        <v>115000</v>
      </c>
      <c r="M6420" s="355"/>
      <c r="N6420" s="355" t="s">
        <v>2408</v>
      </c>
      <c r="O6420" s="345"/>
      <c r="P6420" s="325"/>
      <c r="Q6420" s="327"/>
      <c r="R6420" s="351"/>
      <c r="S6420" s="351"/>
      <c r="T6420" s="351"/>
      <c r="U6420" s="329" t="str">
        <f>IF($N6420=$N$4,IFERROR(INDEX(DanhMuc!$E$154:$E$165,MATCH(MID($B6420,4,2),DanhMuc!$B$154:$B$165,0)),""),"")</f>
        <v/>
      </c>
      <c r="V6420" s="361"/>
      <c r="W6420" s="345"/>
      <c r="X6420" s="786"/>
      <c r="Y6420" s="1128" t="s">
        <v>3380</v>
      </c>
      <c r="Z6420" s="1128" t="s">
        <v>3381</v>
      </c>
      <c r="AA6420" s="1128" t="s">
        <v>3384</v>
      </c>
      <c r="AB6420" s="20"/>
      <c r="AC6420" s="73"/>
    </row>
    <row r="6421" spans="1:29">
      <c r="A6421" s="327" t="str">
        <f>IF(AND($B6421&lt;&gt;"",$C6421&lt;&gt;""),MAX($A$4730:$A6420)+1,"")</f>
        <v/>
      </c>
      <c r="B6421" s="361" t="s">
        <v>1752</v>
      </c>
      <c r="C6421" s="360"/>
      <c r="D6421" s="327">
        <f>IF($B6421="","",COUNTIF($B$4731:$B6421,$B6421))</f>
        <v>5</v>
      </c>
      <c r="E6421" s="361" t="s">
        <v>1826</v>
      </c>
      <c r="F6421" s="362" t="s">
        <v>670</v>
      </c>
      <c r="G6421" s="327" t="s">
        <v>661</v>
      </c>
      <c r="H6421" s="361" t="s">
        <v>536</v>
      </c>
      <c r="I6421" s="361" t="s">
        <v>2354</v>
      </c>
      <c r="J6421" s="361"/>
      <c r="K6421" s="327" t="s">
        <v>103</v>
      </c>
      <c r="L6421" s="478">
        <f>40000/1000</f>
        <v>40</v>
      </c>
      <c r="M6421" s="355"/>
      <c r="N6421" s="355" t="s">
        <v>2408</v>
      </c>
      <c r="O6421" s="345"/>
      <c r="P6421" s="325"/>
      <c r="Q6421" s="327"/>
      <c r="R6421" s="351"/>
      <c r="S6421" s="351"/>
      <c r="T6421" s="351"/>
      <c r="U6421" s="329" t="str">
        <f>IF($N6421=$N$4,IFERROR(INDEX(DanhMuc!$E$154:$E$165,MATCH(MID($B6421,4,2),DanhMuc!$B$154:$B$165,0)),""),"")</f>
        <v/>
      </c>
      <c r="V6421" s="361"/>
      <c r="W6421" s="345"/>
      <c r="X6421" s="786"/>
      <c r="Y6421" s="1128" t="s">
        <v>3380</v>
      </c>
      <c r="Z6421" s="1128" t="s">
        <v>3381</v>
      </c>
      <c r="AA6421" s="1128" t="s">
        <v>3384</v>
      </c>
      <c r="AB6421" s="20"/>
      <c r="AC6421" s="73"/>
    </row>
    <row r="6422" spans="1:29" ht="37.5">
      <c r="A6422" s="327" t="str">
        <f>IF(AND($B6422&lt;&gt;"",$C6422&lt;&gt;""),MAX($A$4730:$A6421)+1,"")</f>
        <v/>
      </c>
      <c r="B6422" s="361" t="s">
        <v>1752</v>
      </c>
      <c r="C6422" s="362"/>
      <c r="D6422" s="327">
        <f>IF($B6422="","",COUNTIF($B$4731:$B6422,$B6422))</f>
        <v>6</v>
      </c>
      <c r="E6422" s="362" t="s">
        <v>1964</v>
      </c>
      <c r="F6422" s="362" t="s">
        <v>1965</v>
      </c>
      <c r="G6422" s="327" t="s">
        <v>405</v>
      </c>
      <c r="H6422" s="361" t="s">
        <v>536</v>
      </c>
      <c r="I6422" s="361" t="s">
        <v>693</v>
      </c>
      <c r="J6422" s="361"/>
      <c r="K6422" s="327" t="s">
        <v>223</v>
      </c>
      <c r="L6422" s="478">
        <v>140</v>
      </c>
      <c r="M6422" s="371"/>
      <c r="N6422" s="355" t="s">
        <v>2408</v>
      </c>
      <c r="O6422" s="345"/>
      <c r="P6422" s="325"/>
      <c r="Q6422" s="327"/>
      <c r="R6422" s="351"/>
      <c r="S6422" s="351"/>
      <c r="T6422" s="351"/>
      <c r="U6422" s="329" t="str">
        <f>IF($N6422=$N$4,IFERROR(INDEX(DanhMuc!$E$154:$E$165,MATCH(MID($B6422,4,2),DanhMuc!$B$154:$B$165,0)),""),"")</f>
        <v/>
      </c>
      <c r="V6422" s="361"/>
      <c r="W6422" s="345"/>
      <c r="X6422" s="786"/>
      <c r="Y6422" s="1128" t="s">
        <v>3380</v>
      </c>
      <c r="Z6422" s="1128" t="s">
        <v>3381</v>
      </c>
      <c r="AA6422" s="1128" t="s">
        <v>3384</v>
      </c>
      <c r="AB6422" s="20"/>
      <c r="AC6422" s="73"/>
    </row>
    <row r="6423" spans="1:29" ht="37.5">
      <c r="A6423" s="327" t="str">
        <f>IF(AND($B6423&lt;&gt;"",$C6423&lt;&gt;""),MAX($A$4730:$A6422)+1,"")</f>
        <v/>
      </c>
      <c r="B6423" s="361" t="s">
        <v>1752</v>
      </c>
      <c r="C6423" s="362"/>
      <c r="D6423" s="327">
        <f>IF($B6423="","",COUNTIF($B$4731:$B6423,$B6423))</f>
        <v>7</v>
      </c>
      <c r="E6423" s="362" t="s">
        <v>2756</v>
      </c>
      <c r="F6423" s="362" t="s">
        <v>2757</v>
      </c>
      <c r="G6423" s="327" t="s">
        <v>405</v>
      </c>
      <c r="H6423" s="361" t="s">
        <v>536</v>
      </c>
      <c r="I6423" s="361" t="s">
        <v>693</v>
      </c>
      <c r="J6423" s="361"/>
      <c r="K6423" s="327" t="s">
        <v>223</v>
      </c>
      <c r="L6423" s="479">
        <v>322</v>
      </c>
      <c r="M6423" s="371"/>
      <c r="N6423" s="355" t="s">
        <v>2408</v>
      </c>
      <c r="O6423" s="345"/>
      <c r="P6423" s="325"/>
      <c r="Q6423" s="327"/>
      <c r="R6423" s="351"/>
      <c r="S6423" s="351"/>
      <c r="T6423" s="351"/>
      <c r="U6423" s="329" t="str">
        <f>IF($N6423=$N$4,IFERROR(INDEX(DanhMuc!$E$154:$E$165,MATCH(MID($B6423,4,2),DanhMuc!$B$154:$B$165,0)),""),"")</f>
        <v/>
      </c>
      <c r="V6423" s="361"/>
      <c r="W6423" s="345"/>
      <c r="X6423" s="786"/>
      <c r="Y6423" s="1128" t="s">
        <v>3380</v>
      </c>
      <c r="Z6423" s="1128" t="s">
        <v>3381</v>
      </c>
      <c r="AA6423" s="1128" t="s">
        <v>3384</v>
      </c>
      <c r="AB6423" s="20"/>
      <c r="AC6423" s="73"/>
    </row>
    <row r="6424" spans="1:29">
      <c r="A6424" s="327" t="str">
        <f>IF(AND($B6424&lt;&gt;"",$C6424&lt;&gt;""),MAX($A$4730:$A6423)+1,"")</f>
        <v/>
      </c>
      <c r="B6424" s="361" t="s">
        <v>1752</v>
      </c>
      <c r="C6424" s="362"/>
      <c r="D6424" s="327">
        <f>IF($B6424="","",COUNTIF($B$4731:$B6424,$B6424))</f>
        <v>8</v>
      </c>
      <c r="E6424" s="361" t="s">
        <v>656</v>
      </c>
      <c r="F6424" s="362" t="s">
        <v>2239</v>
      </c>
      <c r="G6424" s="327" t="s">
        <v>405</v>
      </c>
      <c r="H6424" s="361" t="s">
        <v>536</v>
      </c>
      <c r="I6424" s="361" t="s">
        <v>1827</v>
      </c>
      <c r="J6424" s="361"/>
      <c r="K6424" s="327" t="s">
        <v>100</v>
      </c>
      <c r="L6424" s="478">
        <v>970</v>
      </c>
      <c r="M6424" s="371"/>
      <c r="N6424" s="355" t="s">
        <v>2409</v>
      </c>
      <c r="O6424" s="345"/>
      <c r="P6424" s="325"/>
      <c r="Q6424" s="327"/>
      <c r="R6424" s="351"/>
      <c r="S6424" s="351"/>
      <c r="T6424" s="351"/>
      <c r="U6424" s="329" t="str">
        <f>IF($N6424=$N$4,IFERROR(INDEX(DanhMuc!$E$154:$E$165,MATCH(MID($B6424,4,2),DanhMuc!$B$154:$B$165,0)),""),"")</f>
        <v/>
      </c>
      <c r="V6424" s="361"/>
      <c r="W6424" s="345"/>
      <c r="X6424" s="786"/>
      <c r="Y6424" s="1128" t="s">
        <v>3380</v>
      </c>
      <c r="Z6424" s="1128" t="s">
        <v>3381</v>
      </c>
      <c r="AA6424" s="1128" t="s">
        <v>3384</v>
      </c>
      <c r="AB6424" s="20"/>
      <c r="AC6424" s="73"/>
    </row>
    <row r="6425" spans="1:29">
      <c r="A6425" s="327" t="str">
        <f>IF(AND($B6425&lt;&gt;"",$C6425&lt;&gt;""),MAX($A$4730:$A6424)+1,"")</f>
        <v/>
      </c>
      <c r="B6425" s="361" t="s">
        <v>1752</v>
      </c>
      <c r="C6425" s="362"/>
      <c r="D6425" s="327">
        <f>IF($B6425="","",COUNTIF($B$4731:$B6425,$B6425))</f>
        <v>9</v>
      </c>
      <c r="E6425" s="361" t="s">
        <v>657</v>
      </c>
      <c r="F6425" s="362" t="s">
        <v>658</v>
      </c>
      <c r="G6425" s="327" t="s">
        <v>424</v>
      </c>
      <c r="H6425" s="361" t="s">
        <v>536</v>
      </c>
      <c r="I6425" s="361" t="s">
        <v>665</v>
      </c>
      <c r="J6425" s="361"/>
      <c r="K6425" s="327" t="s">
        <v>100</v>
      </c>
      <c r="L6425" s="478">
        <v>60000</v>
      </c>
      <c r="M6425" s="355"/>
      <c r="N6425" s="355" t="s">
        <v>2409</v>
      </c>
      <c r="O6425" s="345"/>
      <c r="P6425" s="325"/>
      <c r="Q6425" s="327"/>
      <c r="R6425" s="351"/>
      <c r="S6425" s="351"/>
      <c r="T6425" s="351"/>
      <c r="U6425" s="329" t="str">
        <f>IF($N6425=$N$4,IFERROR(INDEX(DanhMuc!$E$154:$E$165,MATCH(MID($B6425,4,2),DanhMuc!$B$154:$B$165,0)),""),"")</f>
        <v/>
      </c>
      <c r="V6425" s="361"/>
      <c r="W6425" s="345"/>
      <c r="X6425" s="786"/>
      <c r="Y6425" s="1128" t="s">
        <v>3380</v>
      </c>
      <c r="Z6425" s="1128" t="s">
        <v>3381</v>
      </c>
      <c r="AA6425" s="1128" t="s">
        <v>3384</v>
      </c>
      <c r="AB6425" s="20"/>
      <c r="AC6425" s="73"/>
    </row>
    <row r="6426" spans="1:29">
      <c r="A6426" s="327" t="str">
        <f>IF(AND($B6426&lt;&gt;"",$C6426&lt;&gt;""),MAX($A$4730:$A6425)+1,"")</f>
        <v/>
      </c>
      <c r="B6426" s="361" t="s">
        <v>1752</v>
      </c>
      <c r="C6426" s="362"/>
      <c r="D6426" s="327">
        <f>IF($B6426="","",COUNTIF($B$4731:$B6426,$B6426))</f>
        <v>10</v>
      </c>
      <c r="E6426" s="361" t="s">
        <v>2771</v>
      </c>
      <c r="F6426" s="362" t="s">
        <v>659</v>
      </c>
      <c r="G6426" s="327" t="s">
        <v>424</v>
      </c>
      <c r="H6426" s="361" t="s">
        <v>536</v>
      </c>
      <c r="I6426" s="361" t="s">
        <v>666</v>
      </c>
      <c r="J6426" s="361"/>
      <c r="K6426" s="327" t="s">
        <v>100</v>
      </c>
      <c r="L6426" s="389">
        <v>53000</v>
      </c>
      <c r="M6426" s="355"/>
      <c r="N6426" s="355" t="s">
        <v>2409</v>
      </c>
      <c r="O6426" s="345"/>
      <c r="P6426" s="325"/>
      <c r="Q6426" s="327"/>
      <c r="R6426" s="351"/>
      <c r="S6426" s="351"/>
      <c r="T6426" s="351"/>
      <c r="U6426" s="329" t="str">
        <f>IF($N6426=$N$4,IFERROR(INDEX(DanhMuc!$E$154:$E$165,MATCH(MID($B6426,4,2),DanhMuc!$B$154:$B$165,0)),""),"")</f>
        <v/>
      </c>
      <c r="V6426" s="361"/>
      <c r="W6426" s="345"/>
      <c r="X6426" s="786"/>
      <c r="Y6426" s="1128" t="s">
        <v>3380</v>
      </c>
      <c r="Z6426" s="1128" t="s">
        <v>3381</v>
      </c>
      <c r="AA6426" s="1128" t="s">
        <v>3384</v>
      </c>
      <c r="AB6426" s="20"/>
      <c r="AC6426" s="73"/>
    </row>
    <row r="6427" spans="1:29">
      <c r="A6427" s="327" t="str">
        <f>IF(AND($B6427&lt;&gt;"",$C6427&lt;&gt;""),MAX($A$4730:$A6426)+1,"")</f>
        <v/>
      </c>
      <c r="B6427" s="361" t="s">
        <v>1752</v>
      </c>
      <c r="C6427" s="362"/>
      <c r="D6427" s="327">
        <f>IF($B6427="","",COUNTIF($B$4731:$B6427,$B6427))</f>
        <v>11</v>
      </c>
      <c r="E6427" s="361" t="s">
        <v>1828</v>
      </c>
      <c r="F6427" s="362" t="s">
        <v>671</v>
      </c>
      <c r="G6427" s="327" t="s">
        <v>661</v>
      </c>
      <c r="H6427" s="361" t="s">
        <v>536</v>
      </c>
      <c r="I6427" s="361" t="s">
        <v>2355</v>
      </c>
      <c r="J6427" s="361"/>
      <c r="K6427" s="327" t="s">
        <v>100</v>
      </c>
      <c r="L6427" s="478">
        <f>40000/1000</f>
        <v>40</v>
      </c>
      <c r="M6427" s="355"/>
      <c r="N6427" s="355" t="s">
        <v>2409</v>
      </c>
      <c r="O6427" s="345"/>
      <c r="P6427" s="325"/>
      <c r="Q6427" s="327"/>
      <c r="R6427" s="351"/>
      <c r="S6427" s="351"/>
      <c r="T6427" s="351"/>
      <c r="U6427" s="329" t="str">
        <f>IF($N6427=$N$4,IFERROR(INDEX(DanhMuc!$E$154:$E$165,MATCH(MID($B6427,4,2),DanhMuc!$B$154:$B$165,0)),""),"")</f>
        <v/>
      </c>
      <c r="V6427" s="361"/>
      <c r="W6427" s="345"/>
      <c r="X6427" s="786"/>
      <c r="Y6427" s="1128" t="s">
        <v>3380</v>
      </c>
      <c r="Z6427" s="1128" t="s">
        <v>3381</v>
      </c>
      <c r="AA6427" s="1128" t="s">
        <v>3384</v>
      </c>
      <c r="AB6427" s="20"/>
      <c r="AC6427" s="73"/>
    </row>
    <row r="6428" spans="1:29">
      <c r="A6428" s="327" t="str">
        <f>IF(AND($B6428&lt;&gt;"",$C6428&lt;&gt;""),MAX($A$4730:$A6427)+1,"")</f>
        <v/>
      </c>
      <c r="B6428" s="361" t="s">
        <v>1752</v>
      </c>
      <c r="C6428" s="362"/>
      <c r="D6428" s="327">
        <f>IF($B6428="","",COUNTIF($B$4731:$B6428,$B6428))</f>
        <v>12</v>
      </c>
      <c r="E6428" s="361" t="s">
        <v>154</v>
      </c>
      <c r="F6428" s="362" t="s">
        <v>660</v>
      </c>
      <c r="G6428" s="327" t="s">
        <v>661</v>
      </c>
      <c r="H6428" s="361" t="s">
        <v>536</v>
      </c>
      <c r="I6428" s="361" t="s">
        <v>667</v>
      </c>
      <c r="J6428" s="361"/>
      <c r="K6428" s="327" t="s">
        <v>662</v>
      </c>
      <c r="L6428" s="478">
        <v>20</v>
      </c>
      <c r="M6428" s="355"/>
      <c r="N6428" s="355" t="s">
        <v>2409</v>
      </c>
      <c r="O6428" s="345"/>
      <c r="P6428" s="325"/>
      <c r="Q6428" s="327"/>
      <c r="R6428" s="351"/>
      <c r="S6428" s="351"/>
      <c r="T6428" s="351"/>
      <c r="U6428" s="329" t="str">
        <f>IF($N6428=$N$4,IFERROR(INDEX(DanhMuc!$E$154:$E$165,MATCH(MID($B6428,4,2),DanhMuc!$B$154:$B$165,0)),""),"")</f>
        <v/>
      </c>
      <c r="V6428" s="361"/>
      <c r="W6428" s="345"/>
      <c r="X6428" s="786"/>
      <c r="Y6428" s="1128" t="s">
        <v>3380</v>
      </c>
      <c r="Z6428" s="1128" t="s">
        <v>3381</v>
      </c>
      <c r="AA6428" s="1128" t="s">
        <v>3384</v>
      </c>
      <c r="AB6428" s="20"/>
      <c r="AC6428" s="73"/>
    </row>
    <row r="6429" spans="1:29">
      <c r="A6429" s="327" t="str">
        <f>IF(AND($B6429&lt;&gt;"",$C6429&lt;&gt;""),MAX($A$4730:$A6428)+1,"")</f>
        <v/>
      </c>
      <c r="B6429" s="361" t="s">
        <v>1752</v>
      </c>
      <c r="C6429" s="362"/>
      <c r="D6429" s="327">
        <f>IF($B6429="","",COUNTIF($B$4731:$B6429,$B6429))</f>
        <v>13</v>
      </c>
      <c r="E6429" s="362" t="s">
        <v>2282</v>
      </c>
      <c r="F6429" s="362" t="s">
        <v>2283</v>
      </c>
      <c r="G6429" s="327" t="s">
        <v>424</v>
      </c>
      <c r="H6429" s="361" t="s">
        <v>536</v>
      </c>
      <c r="I6429" s="361" t="s">
        <v>2238</v>
      </c>
      <c r="J6429" s="361"/>
      <c r="K6429" s="327" t="s">
        <v>662</v>
      </c>
      <c r="L6429" s="478">
        <v>28000</v>
      </c>
      <c r="M6429" s="355"/>
      <c r="N6429" s="355" t="s">
        <v>2409</v>
      </c>
      <c r="O6429" s="345"/>
      <c r="P6429" s="325"/>
      <c r="Q6429" s="327"/>
      <c r="R6429" s="351"/>
      <c r="S6429" s="351"/>
      <c r="T6429" s="351"/>
      <c r="U6429" s="329" t="str">
        <f>IF($N6429=$N$4,IFERROR(INDEX(DanhMuc!$E$154:$E$165,MATCH(MID($B6429,4,2),DanhMuc!$B$154:$B$165,0)),""),"")</f>
        <v/>
      </c>
      <c r="V6429" s="361"/>
      <c r="W6429" s="345"/>
      <c r="X6429" s="786"/>
      <c r="Y6429" s="1128" t="s">
        <v>3380</v>
      </c>
      <c r="Z6429" s="1128" t="s">
        <v>3381</v>
      </c>
      <c r="AA6429" s="1128" t="s">
        <v>3384</v>
      </c>
      <c r="AB6429" s="20"/>
      <c r="AC6429" s="73"/>
    </row>
    <row r="6430" spans="1:29">
      <c r="A6430" s="327" t="str">
        <f>IF(AND($B6430&lt;&gt;"",$C6430&lt;&gt;""),MAX($A$4730:$A6429)+1,"")</f>
        <v/>
      </c>
      <c r="B6430" s="361" t="s">
        <v>1752</v>
      </c>
      <c r="C6430" s="362"/>
      <c r="D6430" s="327">
        <f>IF($B6430="","",COUNTIF($B$4731:$B6430,$B6430))</f>
        <v>14</v>
      </c>
      <c r="E6430" s="362" t="s">
        <v>663</v>
      </c>
      <c r="F6430" s="362" t="s">
        <v>664</v>
      </c>
      <c r="G6430" s="327" t="s">
        <v>155</v>
      </c>
      <c r="H6430" s="361" t="s">
        <v>536</v>
      </c>
      <c r="I6430" s="361" t="s">
        <v>672</v>
      </c>
      <c r="J6430" s="361"/>
      <c r="K6430" s="327" t="s">
        <v>662</v>
      </c>
      <c r="L6430" s="478">
        <v>1000</v>
      </c>
      <c r="M6430" s="355"/>
      <c r="N6430" s="355" t="s">
        <v>2409</v>
      </c>
      <c r="O6430" s="345"/>
      <c r="P6430" s="325"/>
      <c r="Q6430" s="327"/>
      <c r="R6430" s="351"/>
      <c r="S6430" s="351"/>
      <c r="T6430" s="351"/>
      <c r="U6430" s="329" t="str">
        <f>IF($N6430=$N$4,IFERROR(INDEX(DanhMuc!$E$154:$E$165,MATCH(MID($B6430,4,2),DanhMuc!$B$154:$B$165,0)),""),"")</f>
        <v/>
      </c>
      <c r="V6430" s="361"/>
      <c r="W6430" s="345"/>
      <c r="X6430" s="786"/>
      <c r="Y6430" s="1128" t="s">
        <v>3380</v>
      </c>
      <c r="Z6430" s="1128" t="s">
        <v>3381</v>
      </c>
      <c r="AA6430" s="1128" t="s">
        <v>3384</v>
      </c>
      <c r="AB6430" s="20"/>
      <c r="AC6430" s="73"/>
    </row>
    <row r="6431" spans="1:29" ht="26">
      <c r="A6431" s="327">
        <f>IF(AND($B6431&lt;&gt;"",$C6431&lt;&gt;""),MAX($A$4730:$A6430)+1,"")</f>
        <v>83</v>
      </c>
      <c r="B6431" s="359" t="s">
        <v>1794</v>
      </c>
      <c r="C6431" s="370" t="s">
        <v>1795</v>
      </c>
      <c r="D6431" s="327">
        <f>IF($B6431="","",COUNTIF($B$4731:$B6431,$B6431))</f>
        <v>1</v>
      </c>
      <c r="E6431" s="361">
        <v>1124</v>
      </c>
      <c r="F6431" s="362" t="s">
        <v>2327</v>
      </c>
      <c r="G6431" s="327" t="s">
        <v>155</v>
      </c>
      <c r="H6431" s="361" t="s">
        <v>536</v>
      </c>
      <c r="I6431" s="327">
        <v>4</v>
      </c>
      <c r="J6431" s="361"/>
      <c r="K6431" s="327" t="s">
        <v>100</v>
      </c>
      <c r="L6431" s="710" t="s">
        <v>2286</v>
      </c>
      <c r="M6431" s="355"/>
      <c r="N6431" s="355" t="s">
        <v>2408</v>
      </c>
      <c r="O6431" s="345"/>
      <c r="P6431" s="325"/>
      <c r="Q6431" s="327"/>
      <c r="R6431" s="351">
        <v>3</v>
      </c>
      <c r="S6431" s="351">
        <v>6</v>
      </c>
      <c r="T6431" s="351"/>
      <c r="U6431" s="329" t="str">
        <f>IF($N6431=$N$4,IFERROR(INDEX(DanhMuc!$E$154:$E$165,MATCH(MID($B6431,4,2),DanhMuc!$B$154:$B$165,0)),""),"")</f>
        <v/>
      </c>
      <c r="V6431" s="361"/>
      <c r="W6431" s="345"/>
      <c r="X6431" s="786"/>
      <c r="Y6431" s="1128" t="s">
        <v>3380</v>
      </c>
      <c r="Z6431" s="1128" t="s">
        <v>3381</v>
      </c>
      <c r="AA6431" s="1128" t="s">
        <v>3384</v>
      </c>
      <c r="AB6431" s="20"/>
      <c r="AC6431" s="73"/>
    </row>
    <row r="6432" spans="1:29">
      <c r="A6432" s="327" t="str">
        <f>IF(AND($B6432&lt;&gt;"",$C6432&lt;&gt;""),MAX($A$4730:$A6431)+1,"")</f>
        <v/>
      </c>
      <c r="B6432" s="361" t="s">
        <v>1794</v>
      </c>
      <c r="C6432" s="362"/>
      <c r="D6432" s="327">
        <f>IF($B6432="","",COUNTIF($B$4731:$B6432,$B6432))</f>
        <v>2</v>
      </c>
      <c r="E6432" s="361" t="s">
        <v>1671</v>
      </c>
      <c r="F6432" s="362" t="s">
        <v>2329</v>
      </c>
      <c r="G6432" s="327" t="s">
        <v>155</v>
      </c>
      <c r="H6432" s="361" t="s">
        <v>536</v>
      </c>
      <c r="I6432" s="327">
        <f>+I6431</f>
        <v>4</v>
      </c>
      <c r="J6432" s="361"/>
      <c r="K6432" s="327" t="s">
        <v>415</v>
      </c>
      <c r="L6432" s="389">
        <v>2000</v>
      </c>
      <c r="M6432" s="355"/>
      <c r="N6432" s="355" t="s">
        <v>2408</v>
      </c>
      <c r="O6432" s="345"/>
      <c r="P6432" s="325"/>
      <c r="Q6432" s="327"/>
      <c r="R6432" s="351"/>
      <c r="S6432" s="351"/>
      <c r="T6432" s="351"/>
      <c r="U6432" s="329" t="str">
        <f>IF($N6432=$N$4,IFERROR(INDEX(DanhMuc!$E$154:$E$165,MATCH(MID($B6432,4,2),DanhMuc!$B$154:$B$165,0)),""),"")</f>
        <v/>
      </c>
      <c r="V6432" s="361"/>
      <c r="W6432" s="345"/>
      <c r="X6432" s="786"/>
      <c r="Y6432" s="1128" t="s">
        <v>3380</v>
      </c>
      <c r="Z6432" s="1128" t="s">
        <v>3381</v>
      </c>
      <c r="AA6432" s="1128" t="s">
        <v>3384</v>
      </c>
      <c r="AB6432" s="20"/>
      <c r="AC6432" s="73"/>
    </row>
    <row r="6433" spans="1:29">
      <c r="A6433" s="327" t="str">
        <f>IF(AND($B6433&lt;&gt;"",$C6433&lt;&gt;""),MAX($A$4730:$A6432)+1,"")</f>
        <v/>
      </c>
      <c r="B6433" s="361" t="s">
        <v>1794</v>
      </c>
      <c r="C6433" s="362"/>
      <c r="D6433" s="327">
        <f>IF($B6433="","",COUNTIF($B$4731:$B6433,$B6433))</f>
        <v>3</v>
      </c>
      <c r="E6433" s="361" t="s">
        <v>654</v>
      </c>
      <c r="F6433" s="362" t="s">
        <v>653</v>
      </c>
      <c r="G6433" s="327" t="s">
        <v>1836</v>
      </c>
      <c r="H6433" s="361" t="s">
        <v>536</v>
      </c>
      <c r="I6433" s="327">
        <f>ROUND(SUM(I6431:I6431)/45,2)</f>
        <v>0.09</v>
      </c>
      <c r="J6433" s="477"/>
      <c r="K6433" s="327" t="s">
        <v>655</v>
      </c>
      <c r="L6433" s="478">
        <v>115000</v>
      </c>
      <c r="M6433" s="355"/>
      <c r="N6433" s="355" t="s">
        <v>2408</v>
      </c>
      <c r="O6433" s="345"/>
      <c r="P6433" s="325"/>
      <c r="Q6433" s="327"/>
      <c r="R6433" s="351"/>
      <c r="S6433" s="351"/>
      <c r="T6433" s="351"/>
      <c r="U6433" s="329" t="str">
        <f>IF($N6433=$N$4,IFERROR(INDEX(DanhMuc!$E$154:$E$165,MATCH(MID($B6433,4,2),DanhMuc!$B$154:$B$165,0)),""),"")</f>
        <v/>
      </c>
      <c r="V6433" s="361"/>
      <c r="W6433" s="345"/>
      <c r="X6433" s="786"/>
      <c r="Y6433" s="1128" t="s">
        <v>3380</v>
      </c>
      <c r="Z6433" s="1128" t="s">
        <v>3381</v>
      </c>
      <c r="AA6433" s="1128" t="s">
        <v>3384</v>
      </c>
      <c r="AB6433" s="20"/>
      <c r="AC6433" s="73"/>
    </row>
    <row r="6434" spans="1:29">
      <c r="A6434" s="327" t="str">
        <f>IF(AND($B6434&lt;&gt;"",$C6434&lt;&gt;""),MAX($A$4730:$A6433)+1,"")</f>
        <v/>
      </c>
      <c r="B6434" s="361" t="s">
        <v>1794</v>
      </c>
      <c r="C6434" s="360"/>
      <c r="D6434" s="327">
        <f>IF($B6434="","",COUNTIF($B$4731:$B6434,$B6434))</f>
        <v>4</v>
      </c>
      <c r="E6434" s="361" t="s">
        <v>1826</v>
      </c>
      <c r="F6434" s="362" t="s">
        <v>670</v>
      </c>
      <c r="G6434" s="327" t="s">
        <v>661</v>
      </c>
      <c r="H6434" s="361" t="s">
        <v>536</v>
      </c>
      <c r="I6434" s="361" t="s">
        <v>2354</v>
      </c>
      <c r="J6434" s="361"/>
      <c r="K6434" s="327" t="s">
        <v>103</v>
      </c>
      <c r="L6434" s="478">
        <f>40000/1000</f>
        <v>40</v>
      </c>
      <c r="M6434" s="355"/>
      <c r="N6434" s="355" t="s">
        <v>2408</v>
      </c>
      <c r="O6434" s="345"/>
      <c r="P6434" s="325"/>
      <c r="Q6434" s="327"/>
      <c r="R6434" s="351"/>
      <c r="S6434" s="351"/>
      <c r="T6434" s="351"/>
      <c r="U6434" s="329" t="str">
        <f>IF($N6434=$N$4,IFERROR(INDEX(DanhMuc!$E$154:$E$165,MATCH(MID($B6434,4,2),DanhMuc!$B$154:$B$165,0)),""),"")</f>
        <v/>
      </c>
      <c r="V6434" s="361"/>
      <c r="W6434" s="345"/>
      <c r="X6434" s="786"/>
      <c r="Y6434" s="1128" t="s">
        <v>3380</v>
      </c>
      <c r="Z6434" s="1128" t="s">
        <v>3381</v>
      </c>
      <c r="AA6434" s="1128" t="s">
        <v>3384</v>
      </c>
      <c r="AB6434" s="20"/>
      <c r="AC6434" s="73"/>
    </row>
    <row r="6435" spans="1:29" ht="37.5">
      <c r="A6435" s="327" t="str">
        <f>IF(AND($B6435&lt;&gt;"",$C6435&lt;&gt;""),MAX($A$4730:$A6434)+1,"")</f>
        <v/>
      </c>
      <c r="B6435" s="361" t="s">
        <v>1794</v>
      </c>
      <c r="C6435" s="362"/>
      <c r="D6435" s="327">
        <f>IF($B6435="","",COUNTIF($B$4731:$B6435,$B6435))</f>
        <v>5</v>
      </c>
      <c r="E6435" s="362" t="s">
        <v>1964</v>
      </c>
      <c r="F6435" s="362" t="s">
        <v>1965</v>
      </c>
      <c r="G6435" s="327" t="s">
        <v>405</v>
      </c>
      <c r="H6435" s="361" t="s">
        <v>536</v>
      </c>
      <c r="I6435" s="361" t="s">
        <v>693</v>
      </c>
      <c r="J6435" s="361"/>
      <c r="K6435" s="327" t="s">
        <v>223</v>
      </c>
      <c r="L6435" s="478">
        <v>140</v>
      </c>
      <c r="M6435" s="371"/>
      <c r="N6435" s="355" t="s">
        <v>2408</v>
      </c>
      <c r="O6435" s="345"/>
      <c r="P6435" s="325"/>
      <c r="Q6435" s="327"/>
      <c r="R6435" s="351"/>
      <c r="S6435" s="351"/>
      <c r="T6435" s="351"/>
      <c r="U6435" s="329" t="str">
        <f>IF($N6435=$N$4,IFERROR(INDEX(DanhMuc!$E$154:$E$165,MATCH(MID($B6435,4,2),DanhMuc!$B$154:$B$165,0)),""),"")</f>
        <v/>
      </c>
      <c r="V6435" s="361"/>
      <c r="W6435" s="345"/>
      <c r="X6435" s="786"/>
      <c r="Y6435" s="1128" t="s">
        <v>3380</v>
      </c>
      <c r="Z6435" s="1128" t="s">
        <v>3381</v>
      </c>
      <c r="AA6435" s="1128" t="s">
        <v>3384</v>
      </c>
      <c r="AB6435" s="20"/>
      <c r="AC6435" s="73"/>
    </row>
    <row r="6436" spans="1:29" ht="37.5">
      <c r="A6436" s="327" t="str">
        <f>IF(AND($B6436&lt;&gt;"",$C6436&lt;&gt;""),MAX($A$4730:$A6435)+1,"")</f>
        <v/>
      </c>
      <c r="B6436" s="361" t="s">
        <v>1794</v>
      </c>
      <c r="C6436" s="362"/>
      <c r="D6436" s="327">
        <f>IF($B6436="","",COUNTIF($B$4731:$B6436,$B6436))</f>
        <v>6</v>
      </c>
      <c r="E6436" s="362" t="s">
        <v>2756</v>
      </c>
      <c r="F6436" s="362" t="s">
        <v>2757</v>
      </c>
      <c r="G6436" s="327" t="s">
        <v>405</v>
      </c>
      <c r="H6436" s="361" t="s">
        <v>536</v>
      </c>
      <c r="I6436" s="361" t="s">
        <v>693</v>
      </c>
      <c r="J6436" s="361"/>
      <c r="K6436" s="327" t="s">
        <v>223</v>
      </c>
      <c r="L6436" s="479">
        <v>322</v>
      </c>
      <c r="M6436" s="371"/>
      <c r="N6436" s="355" t="s">
        <v>2408</v>
      </c>
      <c r="O6436" s="345"/>
      <c r="P6436" s="325"/>
      <c r="Q6436" s="327"/>
      <c r="R6436" s="351"/>
      <c r="S6436" s="351"/>
      <c r="T6436" s="351"/>
      <c r="U6436" s="329" t="str">
        <f>IF($N6436=$N$4,IFERROR(INDEX(DanhMuc!$E$154:$E$165,MATCH(MID($B6436,4,2),DanhMuc!$B$154:$B$165,0)),""),"")</f>
        <v/>
      </c>
      <c r="V6436" s="361"/>
      <c r="W6436" s="345"/>
      <c r="X6436" s="786"/>
      <c r="Y6436" s="1128" t="s">
        <v>3380</v>
      </c>
      <c r="Z6436" s="1128" t="s">
        <v>3381</v>
      </c>
      <c r="AA6436" s="1128" t="s">
        <v>3384</v>
      </c>
      <c r="AB6436" s="20"/>
      <c r="AC6436" s="73"/>
    </row>
    <row r="6437" spans="1:29">
      <c r="A6437" s="327" t="str">
        <f>IF(AND($B6437&lt;&gt;"",$C6437&lt;&gt;""),MAX($A$4730:$A6436)+1,"")</f>
        <v/>
      </c>
      <c r="B6437" s="361" t="s">
        <v>1794</v>
      </c>
      <c r="C6437" s="362"/>
      <c r="D6437" s="327">
        <f>IF($B6437="","",COUNTIF($B$4731:$B6437,$B6437))</f>
        <v>7</v>
      </c>
      <c r="E6437" s="361" t="s">
        <v>656</v>
      </c>
      <c r="F6437" s="362" t="s">
        <v>2239</v>
      </c>
      <c r="G6437" s="327" t="s">
        <v>405</v>
      </c>
      <c r="H6437" s="361" t="s">
        <v>536</v>
      </c>
      <c r="I6437" s="361" t="s">
        <v>1827</v>
      </c>
      <c r="J6437" s="361"/>
      <c r="K6437" s="327" t="s">
        <v>100</v>
      </c>
      <c r="L6437" s="478">
        <v>970</v>
      </c>
      <c r="M6437" s="371"/>
      <c r="N6437" s="355" t="s">
        <v>2408</v>
      </c>
      <c r="O6437" s="345"/>
      <c r="P6437" s="325"/>
      <c r="Q6437" s="327"/>
      <c r="R6437" s="351"/>
      <c r="S6437" s="351"/>
      <c r="T6437" s="351"/>
      <c r="U6437" s="329" t="str">
        <f>IF($N6437=$N$4,IFERROR(INDEX(DanhMuc!$E$154:$E$165,MATCH(MID($B6437,4,2),DanhMuc!$B$154:$B$165,0)),""),"")</f>
        <v/>
      </c>
      <c r="V6437" s="361"/>
      <c r="W6437" s="345"/>
      <c r="X6437" s="786"/>
      <c r="Y6437" s="1128" t="s">
        <v>3380</v>
      </c>
      <c r="Z6437" s="1128" t="s">
        <v>3381</v>
      </c>
      <c r="AA6437" s="1128" t="s">
        <v>3384</v>
      </c>
      <c r="AB6437" s="20"/>
      <c r="AC6437" s="73"/>
    </row>
    <row r="6438" spans="1:29">
      <c r="A6438" s="327" t="str">
        <f>IF(AND($B6438&lt;&gt;"",$C6438&lt;&gt;""),MAX($A$4730:$A6437)+1,"")</f>
        <v/>
      </c>
      <c r="B6438" s="361" t="s">
        <v>1794</v>
      </c>
      <c r="C6438" s="362"/>
      <c r="D6438" s="327">
        <f>IF($B6438="","",COUNTIF($B$4731:$B6438,$B6438))</f>
        <v>8</v>
      </c>
      <c r="E6438" s="361" t="s">
        <v>657</v>
      </c>
      <c r="F6438" s="362" t="s">
        <v>658</v>
      </c>
      <c r="G6438" s="327" t="s">
        <v>424</v>
      </c>
      <c r="H6438" s="361" t="s">
        <v>536</v>
      </c>
      <c r="I6438" s="361" t="s">
        <v>3377</v>
      </c>
      <c r="J6438" s="361"/>
      <c r="K6438" s="327" t="s">
        <v>100</v>
      </c>
      <c r="L6438" s="478">
        <v>60000</v>
      </c>
      <c r="M6438" s="355"/>
      <c r="N6438" s="355" t="s">
        <v>2409</v>
      </c>
      <c r="O6438" s="345"/>
      <c r="P6438" s="325"/>
      <c r="Q6438" s="327"/>
      <c r="R6438" s="351"/>
      <c r="S6438" s="351"/>
      <c r="T6438" s="351"/>
      <c r="U6438" s="329" t="str">
        <f>IF($N6438=$N$4,IFERROR(INDEX(DanhMuc!$E$154:$E$165,MATCH(MID($B6438,4,2),DanhMuc!$B$154:$B$165,0)),""),"")</f>
        <v/>
      </c>
      <c r="V6438" s="361"/>
      <c r="W6438" s="345"/>
      <c r="X6438" s="786"/>
      <c r="Y6438" s="1128" t="s">
        <v>3380</v>
      </c>
      <c r="Z6438" s="1128" t="s">
        <v>3381</v>
      </c>
      <c r="AA6438" s="1128" t="s">
        <v>3384</v>
      </c>
      <c r="AB6438" s="20"/>
      <c r="AC6438" s="73"/>
    </row>
    <row r="6439" spans="1:29">
      <c r="A6439" s="327" t="str">
        <f>IF(AND($B6439&lt;&gt;"",$C6439&lt;&gt;""),MAX($A$4730:$A6438)+1,"")</f>
        <v/>
      </c>
      <c r="B6439" s="361" t="s">
        <v>1794</v>
      </c>
      <c r="C6439" s="362"/>
      <c r="D6439" s="327">
        <f>IF($B6439="","",COUNTIF($B$4731:$B6439,$B6439))</f>
        <v>9</v>
      </c>
      <c r="E6439" s="361" t="s">
        <v>2771</v>
      </c>
      <c r="F6439" s="362" t="s">
        <v>659</v>
      </c>
      <c r="G6439" s="327" t="s">
        <v>424</v>
      </c>
      <c r="H6439" s="361" t="s">
        <v>536</v>
      </c>
      <c r="I6439" s="361" t="s">
        <v>2556</v>
      </c>
      <c r="J6439" s="361"/>
      <c r="K6439" s="327" t="s">
        <v>100</v>
      </c>
      <c r="L6439" s="389">
        <v>53000</v>
      </c>
      <c r="M6439" s="355"/>
      <c r="N6439" s="355" t="s">
        <v>2409</v>
      </c>
      <c r="O6439" s="345"/>
      <c r="P6439" s="325"/>
      <c r="Q6439" s="327"/>
      <c r="R6439" s="351"/>
      <c r="S6439" s="351"/>
      <c r="T6439" s="351"/>
      <c r="U6439" s="329" t="str">
        <f>IF($N6439=$N$4,IFERROR(INDEX(DanhMuc!$E$154:$E$165,MATCH(MID($B6439,4,2),DanhMuc!$B$154:$B$165,0)),""),"")</f>
        <v/>
      </c>
      <c r="V6439" s="361"/>
      <c r="W6439" s="345"/>
      <c r="X6439" s="786"/>
      <c r="Y6439" s="1128" t="s">
        <v>3380</v>
      </c>
      <c r="Z6439" s="1128" t="s">
        <v>3381</v>
      </c>
      <c r="AA6439" s="1128" t="s">
        <v>3384</v>
      </c>
      <c r="AB6439" s="20"/>
      <c r="AC6439" s="73"/>
    </row>
    <row r="6440" spans="1:29">
      <c r="A6440" s="327" t="str">
        <f>IF(AND($B6440&lt;&gt;"",$C6440&lt;&gt;""),MAX($A$4730:$A6439)+1,"")</f>
        <v/>
      </c>
      <c r="B6440" s="361" t="s">
        <v>1794</v>
      </c>
      <c r="C6440" s="362"/>
      <c r="D6440" s="327">
        <f>IF($B6440="","",COUNTIF($B$4731:$B6440,$B6440))</f>
        <v>10</v>
      </c>
      <c r="E6440" s="361" t="s">
        <v>1828</v>
      </c>
      <c r="F6440" s="362" t="s">
        <v>671</v>
      </c>
      <c r="G6440" s="327" t="s">
        <v>661</v>
      </c>
      <c r="H6440" s="361" t="s">
        <v>536</v>
      </c>
      <c r="I6440" s="361" t="s">
        <v>2355</v>
      </c>
      <c r="J6440" s="361"/>
      <c r="K6440" s="327" t="s">
        <v>100</v>
      </c>
      <c r="L6440" s="478">
        <f>40000/1000</f>
        <v>40</v>
      </c>
      <c r="M6440" s="355"/>
      <c r="N6440" s="355" t="s">
        <v>2409</v>
      </c>
      <c r="O6440" s="345"/>
      <c r="P6440" s="325"/>
      <c r="Q6440" s="327"/>
      <c r="R6440" s="351"/>
      <c r="S6440" s="351"/>
      <c r="T6440" s="351"/>
      <c r="U6440" s="329" t="str">
        <f>IF($N6440=$N$4,IFERROR(INDEX(DanhMuc!$E$154:$E$165,MATCH(MID($B6440,4,2),DanhMuc!$B$154:$B$165,0)),""),"")</f>
        <v/>
      </c>
      <c r="V6440" s="361"/>
      <c r="W6440" s="345"/>
      <c r="X6440" s="786"/>
      <c r="Y6440" s="1128" t="s">
        <v>3380</v>
      </c>
      <c r="Z6440" s="1128" t="s">
        <v>3381</v>
      </c>
      <c r="AA6440" s="1128" t="s">
        <v>3384</v>
      </c>
      <c r="AB6440" s="20"/>
      <c r="AC6440" s="73"/>
    </row>
    <row r="6441" spans="1:29">
      <c r="A6441" s="327" t="str">
        <f>IF(AND($B6441&lt;&gt;"",$C6441&lt;&gt;""),MAX($A$4730:$A6440)+1,"")</f>
        <v/>
      </c>
      <c r="B6441" s="361" t="s">
        <v>1794</v>
      </c>
      <c r="C6441" s="362"/>
      <c r="D6441" s="327">
        <f>IF($B6441="","",COUNTIF($B$4731:$B6441,$B6441))</f>
        <v>11</v>
      </c>
      <c r="E6441" s="361" t="s">
        <v>154</v>
      </c>
      <c r="F6441" s="362" t="s">
        <v>660</v>
      </c>
      <c r="G6441" s="327" t="s">
        <v>661</v>
      </c>
      <c r="H6441" s="361" t="s">
        <v>536</v>
      </c>
      <c r="I6441" s="361" t="s">
        <v>667</v>
      </c>
      <c r="J6441" s="361"/>
      <c r="K6441" s="327" t="s">
        <v>662</v>
      </c>
      <c r="L6441" s="478">
        <v>20</v>
      </c>
      <c r="M6441" s="355"/>
      <c r="N6441" s="355" t="s">
        <v>2409</v>
      </c>
      <c r="O6441" s="345"/>
      <c r="P6441" s="325"/>
      <c r="Q6441" s="327"/>
      <c r="R6441" s="351"/>
      <c r="S6441" s="351"/>
      <c r="T6441" s="351"/>
      <c r="U6441" s="329" t="str">
        <f>IF($N6441=$N$4,IFERROR(INDEX(DanhMuc!$E$154:$E$165,MATCH(MID($B6441,4,2),DanhMuc!$B$154:$B$165,0)),""),"")</f>
        <v/>
      </c>
      <c r="V6441" s="361"/>
      <c r="W6441" s="345"/>
      <c r="X6441" s="786"/>
      <c r="Y6441" s="1128" t="s">
        <v>3380</v>
      </c>
      <c r="Z6441" s="1128" t="s">
        <v>3381</v>
      </c>
      <c r="AA6441" s="1128" t="s">
        <v>3384</v>
      </c>
      <c r="AB6441" s="20"/>
      <c r="AC6441" s="73"/>
    </row>
    <row r="6442" spans="1:29">
      <c r="A6442" s="327" t="str">
        <f>IF(AND($B6442&lt;&gt;"",$C6442&lt;&gt;""),MAX($A$4730:$A6441)+1,"")</f>
        <v/>
      </c>
      <c r="B6442" s="361" t="s">
        <v>1794</v>
      </c>
      <c r="C6442" s="362"/>
      <c r="D6442" s="327">
        <f>IF($B6442="","",COUNTIF($B$4731:$B6442,$B6442))</f>
        <v>12</v>
      </c>
      <c r="E6442" s="362" t="s">
        <v>2282</v>
      </c>
      <c r="F6442" s="362" t="s">
        <v>2283</v>
      </c>
      <c r="G6442" s="327" t="s">
        <v>424</v>
      </c>
      <c r="H6442" s="361" t="s">
        <v>536</v>
      </c>
      <c r="I6442" s="361" t="s">
        <v>2238</v>
      </c>
      <c r="J6442" s="361"/>
      <c r="K6442" s="327" t="s">
        <v>662</v>
      </c>
      <c r="L6442" s="478">
        <v>28000</v>
      </c>
      <c r="M6442" s="355"/>
      <c r="N6442" s="355" t="s">
        <v>2409</v>
      </c>
      <c r="O6442" s="345"/>
      <c r="P6442" s="325"/>
      <c r="Q6442" s="327"/>
      <c r="R6442" s="351"/>
      <c r="S6442" s="351"/>
      <c r="T6442" s="351"/>
      <c r="U6442" s="329" t="str">
        <f>IF($N6442=$N$4,IFERROR(INDEX(DanhMuc!$E$154:$E$165,MATCH(MID($B6442,4,2),DanhMuc!$B$154:$B$165,0)),""),"")</f>
        <v/>
      </c>
      <c r="V6442" s="361"/>
      <c r="W6442" s="345"/>
      <c r="X6442" s="786"/>
      <c r="Y6442" s="1128" t="s">
        <v>3380</v>
      </c>
      <c r="Z6442" s="1128" t="s">
        <v>3381</v>
      </c>
      <c r="AA6442" s="1128" t="s">
        <v>3384</v>
      </c>
      <c r="AB6442" s="20"/>
      <c r="AC6442" s="73"/>
    </row>
    <row r="6443" spans="1:29">
      <c r="A6443" s="327" t="str">
        <f>IF(AND($B6443&lt;&gt;"",$C6443&lt;&gt;""),MAX($A$4730:$A6442)+1,"")</f>
        <v/>
      </c>
      <c r="B6443" s="361" t="s">
        <v>1794</v>
      </c>
      <c r="C6443" s="362"/>
      <c r="D6443" s="327">
        <f>IF($B6443="","",COUNTIF($B$4731:$B6443,$B6443))</f>
        <v>13</v>
      </c>
      <c r="E6443" s="362" t="s">
        <v>663</v>
      </c>
      <c r="F6443" s="362" t="s">
        <v>664</v>
      </c>
      <c r="G6443" s="327" t="s">
        <v>155</v>
      </c>
      <c r="H6443" s="361" t="s">
        <v>536</v>
      </c>
      <c r="I6443" s="361" t="s">
        <v>672</v>
      </c>
      <c r="J6443" s="361"/>
      <c r="K6443" s="327" t="s">
        <v>662</v>
      </c>
      <c r="L6443" s="478">
        <v>1000</v>
      </c>
      <c r="M6443" s="355"/>
      <c r="N6443" s="355" t="s">
        <v>2409</v>
      </c>
      <c r="O6443" s="345"/>
      <c r="P6443" s="325"/>
      <c r="Q6443" s="327"/>
      <c r="R6443" s="351"/>
      <c r="S6443" s="351"/>
      <c r="T6443" s="351"/>
      <c r="U6443" s="329" t="str">
        <f>IF($N6443=$N$4,IFERROR(INDEX(DanhMuc!$E$154:$E$165,MATCH(MID($B6443,4,2),DanhMuc!$B$154:$B$165,0)),""),"")</f>
        <v/>
      </c>
      <c r="V6443" s="361"/>
      <c r="W6443" s="345"/>
      <c r="X6443" s="786"/>
      <c r="Y6443" s="1128" t="s">
        <v>3380</v>
      </c>
      <c r="Z6443" s="1128" t="s">
        <v>3381</v>
      </c>
      <c r="AA6443" s="1128" t="s">
        <v>3384</v>
      </c>
      <c r="AB6443" s="20"/>
      <c r="AC6443" s="73"/>
    </row>
    <row r="6444" spans="1:29" ht="26">
      <c r="A6444" s="327">
        <f>IF(AND($B6444&lt;&gt;"",$C6444&lt;&gt;""),MAX($A$4730:$A6443)+1,"")</f>
        <v>84</v>
      </c>
      <c r="B6444" s="359" t="s">
        <v>3241</v>
      </c>
      <c r="C6444" s="360" t="s">
        <v>3248</v>
      </c>
      <c r="D6444" s="327">
        <f>IF($B6444="","",COUNTIF($B$4731:$B6444,$B6444))</f>
        <v>1</v>
      </c>
      <c r="E6444" s="402" t="s">
        <v>3343</v>
      </c>
      <c r="F6444" s="403" t="s">
        <v>3344</v>
      </c>
      <c r="G6444" s="327" t="s">
        <v>155</v>
      </c>
      <c r="H6444" s="361" t="s">
        <v>536</v>
      </c>
      <c r="I6444" s="327">
        <v>4</v>
      </c>
      <c r="J6444" s="361"/>
      <c r="K6444" s="327" t="s">
        <v>101</v>
      </c>
      <c r="L6444" s="389">
        <v>8300</v>
      </c>
      <c r="M6444" s="355"/>
      <c r="N6444" s="355" t="s">
        <v>2408</v>
      </c>
      <c r="O6444" s="345"/>
      <c r="P6444" s="325"/>
      <c r="Q6444" s="327"/>
      <c r="R6444" s="351"/>
      <c r="S6444" s="351"/>
      <c r="T6444" s="351"/>
      <c r="U6444" s="329" t="str">
        <f>IF($N6444=$N$4,IFERROR(INDEX(DanhMuc!$E$154:$E$165,MATCH(MID($B6444,4,2),DanhMuc!$B$154:$B$165,0)),""),"")</f>
        <v/>
      </c>
      <c r="V6444" s="361"/>
      <c r="W6444" s="345"/>
      <c r="X6444" s="786"/>
      <c r="Y6444" s="1128" t="s">
        <v>3380</v>
      </c>
      <c r="Z6444" s="1128" t="s">
        <v>3381</v>
      </c>
      <c r="AA6444" s="1128" t="s">
        <v>3384</v>
      </c>
      <c r="AB6444" s="20"/>
      <c r="AC6444" s="73"/>
    </row>
    <row r="6445" spans="1:29">
      <c r="A6445" s="327" t="str">
        <f>IF(AND($B6445&lt;&gt;"",$C6445&lt;&gt;""),MAX($A$4730:$A6444)+1,"")</f>
        <v/>
      </c>
      <c r="B6445" s="361" t="s">
        <v>3241</v>
      </c>
      <c r="C6445" s="360"/>
      <c r="D6445" s="327">
        <f>IF($B6445="","",COUNTIF($B$4731:$B6445,$B6445))</f>
        <v>2</v>
      </c>
      <c r="E6445" s="402" t="s">
        <v>2788</v>
      </c>
      <c r="F6445" s="403" t="s">
        <v>2789</v>
      </c>
      <c r="G6445" s="327" t="s">
        <v>155</v>
      </c>
      <c r="H6445" s="361" t="s">
        <v>536</v>
      </c>
      <c r="I6445" s="327">
        <f>2*I6444</f>
        <v>8</v>
      </c>
      <c r="J6445" s="361"/>
      <c r="K6445" s="327" t="s">
        <v>101</v>
      </c>
      <c r="L6445" s="389">
        <v>600</v>
      </c>
      <c r="M6445" s="355"/>
      <c r="N6445" s="355" t="s">
        <v>2408</v>
      </c>
      <c r="O6445" s="345"/>
      <c r="P6445" s="325"/>
      <c r="Q6445" s="327"/>
      <c r="R6445" s="351"/>
      <c r="S6445" s="351"/>
      <c r="T6445" s="351"/>
      <c r="U6445" s="329" t="str">
        <f>IF($N6445=$N$4,IFERROR(INDEX(DanhMuc!$E$154:$E$165,MATCH(MID($B6445,4,2),DanhMuc!$B$154:$B$165,0)),""),"")</f>
        <v/>
      </c>
      <c r="V6445" s="361"/>
      <c r="W6445" s="345"/>
      <c r="X6445" s="786"/>
      <c r="Y6445" s="1128" t="s">
        <v>3380</v>
      </c>
      <c r="Z6445" s="1128" t="s">
        <v>3381</v>
      </c>
      <c r="AA6445" s="1128" t="s">
        <v>3384</v>
      </c>
      <c r="AB6445" s="20"/>
      <c r="AC6445" s="73"/>
    </row>
    <row r="6446" spans="1:29">
      <c r="A6446" s="327" t="str">
        <f>IF(AND($B6446&lt;&gt;"",$C6446&lt;&gt;""),MAX($A$4730:$A6445)+1,"")</f>
        <v/>
      </c>
      <c r="B6446" s="361" t="s">
        <v>3241</v>
      </c>
      <c r="C6446" s="362"/>
      <c r="D6446" s="327">
        <f>IF($B6446="","",COUNTIF($B$4731:$B6446,$B6446))</f>
        <v>3</v>
      </c>
      <c r="E6446" s="361" t="s">
        <v>1826</v>
      </c>
      <c r="F6446" s="362" t="s">
        <v>670</v>
      </c>
      <c r="G6446" s="327" t="s">
        <v>661</v>
      </c>
      <c r="H6446" s="361" t="s">
        <v>536</v>
      </c>
      <c r="I6446" s="361" t="s">
        <v>2354</v>
      </c>
      <c r="J6446" s="361"/>
      <c r="K6446" s="327" t="s">
        <v>103</v>
      </c>
      <c r="L6446" s="478">
        <f>40000/1000</f>
        <v>40</v>
      </c>
      <c r="M6446" s="355"/>
      <c r="N6446" s="355" t="s">
        <v>2408</v>
      </c>
      <c r="O6446" s="345"/>
      <c r="P6446" s="325"/>
      <c r="Q6446" s="327"/>
      <c r="R6446" s="351"/>
      <c r="S6446" s="351"/>
      <c r="T6446" s="351"/>
      <c r="U6446" s="329" t="str">
        <f>IF($N6446=$N$4,IFERROR(INDEX(DanhMuc!$E$154:$E$165,MATCH(MID($B6446,4,2),DanhMuc!$B$154:$B$165,0)),""),"")</f>
        <v/>
      </c>
      <c r="V6446" s="361" t="s">
        <v>1445</v>
      </c>
      <c r="W6446" s="345"/>
      <c r="X6446" s="786"/>
      <c r="Y6446" s="1128" t="s">
        <v>3380</v>
      </c>
      <c r="Z6446" s="1128" t="s">
        <v>3381</v>
      </c>
      <c r="AA6446" s="1128" t="s">
        <v>3384</v>
      </c>
      <c r="AB6446" s="20"/>
      <c r="AC6446" s="73"/>
    </row>
    <row r="6447" spans="1:29">
      <c r="A6447" s="327" t="str">
        <f>IF(AND($B6447&lt;&gt;"",$C6447&lt;&gt;""),MAX($A$4730:$A6446)+1,"")</f>
        <v/>
      </c>
      <c r="B6447" s="361" t="s">
        <v>3241</v>
      </c>
      <c r="C6447" s="362"/>
      <c r="D6447" s="327">
        <f>IF($B6447="","",COUNTIF($B$4731:$B6447,$B6447))</f>
        <v>4</v>
      </c>
      <c r="E6447" s="361" t="s">
        <v>3303</v>
      </c>
      <c r="F6447" s="362" t="s">
        <v>3304</v>
      </c>
      <c r="G6447" s="327" t="s">
        <v>405</v>
      </c>
      <c r="H6447" s="361" t="s">
        <v>536</v>
      </c>
      <c r="I6447" s="361" t="s">
        <v>3305</v>
      </c>
      <c r="J6447" s="361"/>
      <c r="K6447" s="327" t="s">
        <v>103</v>
      </c>
      <c r="L6447" s="478">
        <f>40000/1000</f>
        <v>40</v>
      </c>
      <c r="M6447" s="355"/>
      <c r="N6447" s="355" t="s">
        <v>2408</v>
      </c>
      <c r="O6447" s="345"/>
      <c r="P6447" s="325"/>
      <c r="Q6447" s="327"/>
      <c r="R6447" s="351"/>
      <c r="S6447" s="351"/>
      <c r="T6447" s="351"/>
      <c r="U6447" s="329" t="str">
        <f>IF($N6447=$N$4,IFERROR(INDEX(DanhMuc!$E$154:$E$165,MATCH(MID($B6447,4,2),DanhMuc!$B$154:$B$165,0)),""),"")</f>
        <v/>
      </c>
      <c r="V6447" s="361" t="s">
        <v>1445</v>
      </c>
      <c r="W6447" s="345"/>
      <c r="X6447" s="786"/>
      <c r="Y6447" s="1128" t="s">
        <v>3380</v>
      </c>
      <c r="Z6447" s="1128" t="s">
        <v>3381</v>
      </c>
      <c r="AA6447" s="1128" t="s">
        <v>3384</v>
      </c>
      <c r="AB6447" s="20"/>
      <c r="AC6447" s="73"/>
    </row>
    <row r="6448" spans="1:29">
      <c r="A6448" s="327" t="str">
        <f>IF(AND($B6448&lt;&gt;"",$C6448&lt;&gt;""),MAX($A$4730:$A6447)+1,"")</f>
        <v/>
      </c>
      <c r="B6448" s="361" t="s">
        <v>3241</v>
      </c>
      <c r="C6448" s="362"/>
      <c r="D6448" s="327">
        <f>IF($B6448="","",COUNTIF($B$4731:$B6448,$B6448))</f>
        <v>5</v>
      </c>
      <c r="E6448" s="361" t="s">
        <v>3337</v>
      </c>
      <c r="F6448" s="362" t="s">
        <v>3338</v>
      </c>
      <c r="G6448" s="327" t="s">
        <v>405</v>
      </c>
      <c r="H6448" s="361" t="s">
        <v>536</v>
      </c>
      <c r="I6448" s="361" t="s">
        <v>1827</v>
      </c>
      <c r="J6448" s="361"/>
      <c r="K6448" s="327" t="s">
        <v>100</v>
      </c>
      <c r="L6448" s="478">
        <v>295</v>
      </c>
      <c r="M6448" s="371"/>
      <c r="N6448" s="355" t="s">
        <v>2409</v>
      </c>
      <c r="O6448" s="345"/>
      <c r="P6448" s="325"/>
      <c r="Q6448" s="327"/>
      <c r="R6448" s="351"/>
      <c r="S6448" s="351"/>
      <c r="T6448" s="351"/>
      <c r="U6448" s="329" t="str">
        <f>IF($N6448=$N$4,IFERROR(INDEX(DanhMuc!$E$154:$E$165,MATCH(MID($B6448,4,2),DanhMuc!$B$154:$B$165,0)),""),"")</f>
        <v/>
      </c>
      <c r="V6448" s="361"/>
      <c r="W6448" s="345"/>
      <c r="X6448" s="786"/>
      <c r="Y6448" s="1128" t="s">
        <v>3380</v>
      </c>
      <c r="Z6448" s="1128" t="s">
        <v>3381</v>
      </c>
      <c r="AA6448" s="1128" t="s">
        <v>3384</v>
      </c>
      <c r="AB6448" s="20"/>
      <c r="AC6448" s="73"/>
    </row>
    <row r="6449" spans="1:29">
      <c r="A6449" s="327" t="str">
        <f>IF(AND($B6449&lt;&gt;"",$C6449&lt;&gt;""),MAX($A$4730:$A6448)+1,"")</f>
        <v/>
      </c>
      <c r="B6449" s="361" t="s">
        <v>3241</v>
      </c>
      <c r="C6449" s="362"/>
      <c r="D6449" s="327">
        <f>IF($B6449="","",COUNTIF($B$4731:$B6449,$B6449))</f>
        <v>6</v>
      </c>
      <c r="E6449" s="361" t="s">
        <v>2771</v>
      </c>
      <c r="F6449" s="362" t="s">
        <v>659</v>
      </c>
      <c r="G6449" s="327" t="s">
        <v>424</v>
      </c>
      <c r="H6449" s="361" t="s">
        <v>536</v>
      </c>
      <c r="I6449" s="361" t="s">
        <v>666</v>
      </c>
      <c r="J6449" s="361"/>
      <c r="K6449" s="327" t="s">
        <v>100</v>
      </c>
      <c r="L6449" s="389">
        <v>53000</v>
      </c>
      <c r="M6449" s="355"/>
      <c r="N6449" s="355" t="s">
        <v>2409</v>
      </c>
      <c r="O6449" s="345"/>
      <c r="P6449" s="325"/>
      <c r="Q6449" s="327"/>
      <c r="R6449" s="351"/>
      <c r="S6449" s="351"/>
      <c r="T6449" s="351"/>
      <c r="U6449" s="329" t="str">
        <f>IF($N6449=$N$4,IFERROR(INDEX(DanhMuc!$E$154:$E$165,MATCH(MID($B6449,4,2),DanhMuc!$B$154:$B$165,0)),""),"")</f>
        <v/>
      </c>
      <c r="V6449" s="361"/>
      <c r="W6449" s="345"/>
      <c r="X6449" s="786"/>
      <c r="Y6449" s="1128" t="s">
        <v>3380</v>
      </c>
      <c r="Z6449" s="1128" t="s">
        <v>3381</v>
      </c>
      <c r="AA6449" s="1128" t="s">
        <v>3384</v>
      </c>
      <c r="AB6449" s="20"/>
      <c r="AC6449" s="73"/>
    </row>
    <row r="6450" spans="1:29">
      <c r="A6450" s="327" t="str">
        <f>IF(AND($B6450&lt;&gt;"",$C6450&lt;&gt;""),MAX($A$4730:$A6449)+1,"")</f>
        <v/>
      </c>
      <c r="B6450" s="361" t="s">
        <v>3241</v>
      </c>
      <c r="C6450" s="362"/>
      <c r="D6450" s="327">
        <f>IF($B6450="","",COUNTIF($B$4731:$B6450,$B6450))</f>
        <v>7</v>
      </c>
      <c r="E6450" s="361" t="s">
        <v>1828</v>
      </c>
      <c r="F6450" s="362" t="s">
        <v>671</v>
      </c>
      <c r="G6450" s="327" t="s">
        <v>661</v>
      </c>
      <c r="H6450" s="361" t="s">
        <v>536</v>
      </c>
      <c r="I6450" s="361" t="s">
        <v>2355</v>
      </c>
      <c r="J6450" s="361"/>
      <c r="K6450" s="327" t="s">
        <v>100</v>
      </c>
      <c r="L6450" s="478">
        <f>40000/1000</f>
        <v>40</v>
      </c>
      <c r="M6450" s="355"/>
      <c r="N6450" s="355" t="s">
        <v>2409</v>
      </c>
      <c r="O6450" s="345"/>
      <c r="P6450" s="325"/>
      <c r="Q6450" s="327"/>
      <c r="R6450" s="351"/>
      <c r="S6450" s="351"/>
      <c r="T6450" s="351"/>
      <c r="U6450" s="329" t="str">
        <f>IF($N6450=$N$4,IFERROR(INDEX(DanhMuc!$E$154:$E$165,MATCH(MID($B6450,4,2),DanhMuc!$B$154:$B$165,0)),""),"")</f>
        <v/>
      </c>
      <c r="V6450" s="361" t="s">
        <v>1445</v>
      </c>
      <c r="W6450" s="345"/>
      <c r="X6450" s="786"/>
      <c r="Y6450" s="1128" t="s">
        <v>3380</v>
      </c>
      <c r="Z6450" s="1128" t="s">
        <v>3381</v>
      </c>
      <c r="AA6450" s="1128" t="s">
        <v>3384</v>
      </c>
      <c r="AB6450" s="20"/>
      <c r="AC6450" s="73"/>
    </row>
    <row r="6451" spans="1:29">
      <c r="A6451" s="327" t="str">
        <f>IF(AND($B6451&lt;&gt;"",$C6451&lt;&gt;""),MAX($A$4730:$A6450)+1,"")</f>
        <v/>
      </c>
      <c r="B6451" s="361" t="s">
        <v>3241</v>
      </c>
      <c r="C6451" s="362"/>
      <c r="D6451" s="327">
        <f>IF($B6451="","",COUNTIF($B$4731:$B6451,$B6451))</f>
        <v>8</v>
      </c>
      <c r="E6451" s="361" t="s">
        <v>154</v>
      </c>
      <c r="F6451" s="362" t="s">
        <v>660</v>
      </c>
      <c r="G6451" s="327" t="s">
        <v>661</v>
      </c>
      <c r="H6451" s="361" t="s">
        <v>536</v>
      </c>
      <c r="I6451" s="361" t="s">
        <v>667</v>
      </c>
      <c r="J6451" s="361"/>
      <c r="K6451" s="327" t="s">
        <v>662</v>
      </c>
      <c r="L6451" s="478">
        <v>20</v>
      </c>
      <c r="M6451" s="355"/>
      <c r="N6451" s="355" t="s">
        <v>2409</v>
      </c>
      <c r="O6451" s="345"/>
      <c r="P6451" s="325"/>
      <c r="Q6451" s="327"/>
      <c r="R6451" s="351"/>
      <c r="S6451" s="351"/>
      <c r="T6451" s="351"/>
      <c r="U6451" s="329" t="str">
        <f>IF($N6451=$N$4,IFERROR(INDEX(DanhMuc!$E$154:$E$165,MATCH(MID($B6451,4,2),DanhMuc!$B$154:$B$165,0)),""),"")</f>
        <v/>
      </c>
      <c r="V6451" s="361"/>
      <c r="W6451" s="345"/>
      <c r="X6451" s="786"/>
      <c r="Y6451" s="1128" t="s">
        <v>3380</v>
      </c>
      <c r="Z6451" s="1128" t="s">
        <v>3381</v>
      </c>
      <c r="AA6451" s="1128" t="s">
        <v>3384</v>
      </c>
      <c r="AB6451" s="20"/>
      <c r="AC6451" s="73"/>
    </row>
    <row r="6452" spans="1:29">
      <c r="A6452" s="327" t="str">
        <f>IF(AND($B6452&lt;&gt;"",$C6452&lt;&gt;""),MAX($A$4730:$A6451)+1,"")</f>
        <v/>
      </c>
      <c r="B6452" s="361" t="s">
        <v>3241</v>
      </c>
      <c r="C6452" s="362"/>
      <c r="D6452" s="327">
        <f>IF($B6452="","",COUNTIF($B$4731:$B6452,$B6452))</f>
        <v>9</v>
      </c>
      <c r="E6452" s="362" t="s">
        <v>2282</v>
      </c>
      <c r="F6452" s="362" t="s">
        <v>2283</v>
      </c>
      <c r="G6452" s="327" t="s">
        <v>424</v>
      </c>
      <c r="H6452" s="361" t="s">
        <v>536</v>
      </c>
      <c r="I6452" s="361" t="s">
        <v>2238</v>
      </c>
      <c r="J6452" s="361"/>
      <c r="K6452" s="327" t="s">
        <v>662</v>
      </c>
      <c r="L6452" s="478">
        <v>28000</v>
      </c>
      <c r="M6452" s="355"/>
      <c r="N6452" s="355" t="s">
        <v>2409</v>
      </c>
      <c r="O6452" s="345"/>
      <c r="P6452" s="325"/>
      <c r="Q6452" s="327"/>
      <c r="R6452" s="351"/>
      <c r="S6452" s="351"/>
      <c r="T6452" s="351"/>
      <c r="U6452" s="329" t="str">
        <f>IF($N6452=$N$4,IFERROR(INDEX(DanhMuc!$E$154:$E$165,MATCH(MID($B6452,4,2),DanhMuc!$B$154:$B$165,0)),""),"")</f>
        <v/>
      </c>
      <c r="V6452" s="361"/>
      <c r="W6452" s="345"/>
      <c r="X6452" s="786"/>
      <c r="Y6452" s="1128" t="s">
        <v>3380</v>
      </c>
      <c r="Z6452" s="1128" t="s">
        <v>3381</v>
      </c>
      <c r="AA6452" s="1128" t="s">
        <v>3384</v>
      </c>
      <c r="AB6452" s="20"/>
      <c r="AC6452" s="73"/>
    </row>
    <row r="6453" spans="1:29">
      <c r="A6453" s="327" t="str">
        <f>IF(AND($B6453&lt;&gt;"",$C6453&lt;&gt;""),MAX($A$4730:$A6452)+1,"")</f>
        <v/>
      </c>
      <c r="B6453" s="361" t="s">
        <v>3241</v>
      </c>
      <c r="C6453" s="362"/>
      <c r="D6453" s="327">
        <f>IF($B6453="","",COUNTIF($B$4731:$B6453,$B6453))</f>
        <v>10</v>
      </c>
      <c r="E6453" s="362" t="s">
        <v>663</v>
      </c>
      <c r="F6453" s="362" t="s">
        <v>664</v>
      </c>
      <c r="G6453" s="327" t="s">
        <v>155</v>
      </c>
      <c r="H6453" s="361" t="s">
        <v>536</v>
      </c>
      <c r="I6453" s="361" t="s">
        <v>672</v>
      </c>
      <c r="J6453" s="361"/>
      <c r="K6453" s="327" t="s">
        <v>662</v>
      </c>
      <c r="L6453" s="478">
        <v>1000</v>
      </c>
      <c r="M6453" s="355"/>
      <c r="N6453" s="355" t="s">
        <v>2409</v>
      </c>
      <c r="O6453" s="345"/>
      <c r="P6453" s="325"/>
      <c r="Q6453" s="327"/>
      <c r="R6453" s="351"/>
      <c r="S6453" s="351"/>
      <c r="T6453" s="351"/>
      <c r="U6453" s="329" t="str">
        <f>IF($N6453=$N$4,IFERROR(INDEX(DanhMuc!$E$154:$E$165,MATCH(MID($B6453,4,2),DanhMuc!$B$154:$B$165,0)),""),"")</f>
        <v/>
      </c>
      <c r="V6453" s="361"/>
      <c r="W6453" s="345"/>
      <c r="X6453" s="786"/>
      <c r="Y6453" s="1128" t="s">
        <v>3380</v>
      </c>
      <c r="Z6453" s="1128" t="s">
        <v>3381</v>
      </c>
      <c r="AA6453" s="1128" t="s">
        <v>3384</v>
      </c>
      <c r="AB6453" s="20"/>
      <c r="AC6453" s="73"/>
    </row>
    <row r="6454" spans="1:29" ht="26">
      <c r="A6454" s="327">
        <f>IF(AND($B6454&lt;&gt;"",$C6454&lt;&gt;""),MAX($A$4730:$A6453)+1,"")</f>
        <v>85</v>
      </c>
      <c r="B6454" s="359" t="s">
        <v>3242</v>
      </c>
      <c r="C6454" s="360" t="s">
        <v>3249</v>
      </c>
      <c r="D6454" s="327">
        <f>IF($B6454="","",COUNTIF($B$4731:$B6454,$B6454))</f>
        <v>1</v>
      </c>
      <c r="E6454" s="402" t="s">
        <v>3343</v>
      </c>
      <c r="F6454" s="403" t="s">
        <v>3344</v>
      </c>
      <c r="G6454" s="327" t="s">
        <v>155</v>
      </c>
      <c r="H6454" s="361" t="s">
        <v>536</v>
      </c>
      <c r="I6454" s="327">
        <f>4*2</f>
        <v>8</v>
      </c>
      <c r="J6454" s="361"/>
      <c r="K6454" s="327" t="s">
        <v>101</v>
      </c>
      <c r="L6454" s="389">
        <v>8300</v>
      </c>
      <c r="M6454" s="355"/>
      <c r="N6454" s="355" t="s">
        <v>2408</v>
      </c>
      <c r="O6454" s="345"/>
      <c r="P6454" s="325"/>
      <c r="Q6454" s="327"/>
      <c r="R6454" s="351"/>
      <c r="S6454" s="351"/>
      <c r="T6454" s="351"/>
      <c r="U6454" s="329" t="str">
        <f>IF($N6454=$N$4,IFERROR(INDEX(DanhMuc!$E$154:$E$165,MATCH(MID($B6454,4,2),DanhMuc!$B$154:$B$165,0)),""),"")</f>
        <v/>
      </c>
      <c r="V6454" s="361"/>
      <c r="W6454" s="345"/>
      <c r="X6454" s="786"/>
      <c r="Y6454" s="1128" t="s">
        <v>3380</v>
      </c>
      <c r="Z6454" s="1128" t="s">
        <v>3381</v>
      </c>
      <c r="AA6454" s="1128" t="s">
        <v>3384</v>
      </c>
      <c r="AB6454" s="20"/>
      <c r="AC6454" s="73"/>
    </row>
    <row r="6455" spans="1:29">
      <c r="A6455" s="327" t="str">
        <f>IF(AND($B6455&lt;&gt;"",$C6455&lt;&gt;""),MAX($A$4730:$A6454)+1,"")</f>
        <v/>
      </c>
      <c r="B6455" s="361" t="s">
        <v>3242</v>
      </c>
      <c r="C6455" s="360"/>
      <c r="D6455" s="327">
        <f>IF($B6455="","",COUNTIF($B$4731:$B6455,$B6455))</f>
        <v>2</v>
      </c>
      <c r="E6455" s="402" t="s">
        <v>2788</v>
      </c>
      <c r="F6455" s="403" t="s">
        <v>2789</v>
      </c>
      <c r="G6455" s="327" t="s">
        <v>155</v>
      </c>
      <c r="H6455" s="361" t="s">
        <v>536</v>
      </c>
      <c r="I6455" s="327">
        <f>2*I6454</f>
        <v>16</v>
      </c>
      <c r="J6455" s="361"/>
      <c r="K6455" s="327" t="s">
        <v>101</v>
      </c>
      <c r="L6455" s="389">
        <v>600</v>
      </c>
      <c r="M6455" s="355"/>
      <c r="N6455" s="355" t="s">
        <v>2408</v>
      </c>
      <c r="O6455" s="345"/>
      <c r="P6455" s="325"/>
      <c r="Q6455" s="327"/>
      <c r="R6455" s="351"/>
      <c r="S6455" s="351"/>
      <c r="T6455" s="351"/>
      <c r="U6455" s="329" t="str">
        <f>IF($N6455=$N$4,IFERROR(INDEX(DanhMuc!$E$154:$E$165,MATCH(MID($B6455,4,2),DanhMuc!$B$154:$B$165,0)),""),"")</f>
        <v/>
      </c>
      <c r="V6455" s="361"/>
      <c r="W6455" s="345"/>
      <c r="X6455" s="786"/>
      <c r="Y6455" s="1128" t="s">
        <v>3380</v>
      </c>
      <c r="Z6455" s="1128" t="s">
        <v>3381</v>
      </c>
      <c r="AA6455" s="1128" t="s">
        <v>3384</v>
      </c>
      <c r="AB6455" s="20"/>
      <c r="AC6455" s="73"/>
    </row>
    <row r="6456" spans="1:29">
      <c r="A6456" s="327" t="str">
        <f>IF(AND($B6456&lt;&gt;"",$C6456&lt;&gt;""),MAX($A$4730:$A6455)+1,"")</f>
        <v/>
      </c>
      <c r="B6456" s="361" t="s">
        <v>3242</v>
      </c>
      <c r="C6456" s="362"/>
      <c r="D6456" s="327">
        <f>IF($B6456="","",COUNTIF($B$4731:$B6456,$B6456))</f>
        <v>3</v>
      </c>
      <c r="E6456" s="361" t="s">
        <v>1826</v>
      </c>
      <c r="F6456" s="362" t="s">
        <v>670</v>
      </c>
      <c r="G6456" s="327" t="s">
        <v>661</v>
      </c>
      <c r="H6456" s="361" t="s">
        <v>536</v>
      </c>
      <c r="I6456" s="361" t="s">
        <v>2354</v>
      </c>
      <c r="J6456" s="361"/>
      <c r="K6456" s="327" t="s">
        <v>103</v>
      </c>
      <c r="L6456" s="478">
        <f>40000/1000</f>
        <v>40</v>
      </c>
      <c r="M6456" s="355"/>
      <c r="N6456" s="355" t="s">
        <v>2408</v>
      </c>
      <c r="O6456" s="345"/>
      <c r="P6456" s="325"/>
      <c r="Q6456" s="327"/>
      <c r="R6456" s="351"/>
      <c r="S6456" s="351"/>
      <c r="T6456" s="351"/>
      <c r="U6456" s="329" t="str">
        <f>IF($N6456=$N$4,IFERROR(INDEX(DanhMuc!$E$154:$E$165,MATCH(MID($B6456,4,2),DanhMuc!$B$154:$B$165,0)),""),"")</f>
        <v/>
      </c>
      <c r="V6456" s="361" t="s">
        <v>1445</v>
      </c>
      <c r="W6456" s="345"/>
      <c r="X6456" s="786"/>
      <c r="Y6456" s="1128" t="s">
        <v>3380</v>
      </c>
      <c r="Z6456" s="1128" t="s">
        <v>3381</v>
      </c>
      <c r="AA6456" s="1128" t="s">
        <v>3384</v>
      </c>
      <c r="AB6456" s="20"/>
      <c r="AC6456" s="73"/>
    </row>
    <row r="6457" spans="1:29">
      <c r="A6457" s="327" t="str">
        <f>IF(AND($B6457&lt;&gt;"",$C6457&lt;&gt;""),MAX($A$4730:$A6456)+1,"")</f>
        <v/>
      </c>
      <c r="B6457" s="361" t="s">
        <v>3242</v>
      </c>
      <c r="C6457" s="362"/>
      <c r="D6457" s="327">
        <f>IF($B6457="","",COUNTIF($B$4731:$B6457,$B6457))</f>
        <v>4</v>
      </c>
      <c r="E6457" s="361" t="s">
        <v>3303</v>
      </c>
      <c r="F6457" s="362" t="s">
        <v>3304</v>
      </c>
      <c r="G6457" s="327" t="s">
        <v>405</v>
      </c>
      <c r="H6457" s="361" t="s">
        <v>536</v>
      </c>
      <c r="I6457" s="361" t="s">
        <v>3306</v>
      </c>
      <c r="J6457" s="361"/>
      <c r="K6457" s="327" t="s">
        <v>103</v>
      </c>
      <c r="L6457" s="478">
        <f>40000/1000</f>
        <v>40</v>
      </c>
      <c r="M6457" s="355"/>
      <c r="N6457" s="355" t="s">
        <v>2408</v>
      </c>
      <c r="O6457" s="345"/>
      <c r="P6457" s="325"/>
      <c r="Q6457" s="327"/>
      <c r="R6457" s="351"/>
      <c r="S6457" s="351"/>
      <c r="T6457" s="351"/>
      <c r="U6457" s="329" t="str">
        <f>IF($N6457=$N$4,IFERROR(INDEX(DanhMuc!$E$154:$E$165,MATCH(MID($B6457,4,2),DanhMuc!$B$154:$B$165,0)),""),"")</f>
        <v/>
      </c>
      <c r="V6457" s="361" t="s">
        <v>1445</v>
      </c>
      <c r="W6457" s="345"/>
      <c r="X6457" s="786"/>
      <c r="Y6457" s="1128" t="s">
        <v>3380</v>
      </c>
      <c r="Z6457" s="1128" t="s">
        <v>3381</v>
      </c>
      <c r="AA6457" s="1128" t="s">
        <v>3384</v>
      </c>
      <c r="AB6457" s="20"/>
      <c r="AC6457" s="73"/>
    </row>
    <row r="6458" spans="1:29">
      <c r="A6458" s="327" t="str">
        <f>IF(AND($B6458&lt;&gt;"",$C6458&lt;&gt;""),MAX($A$4730:$A6457)+1,"")</f>
        <v/>
      </c>
      <c r="B6458" s="361" t="s">
        <v>3242</v>
      </c>
      <c r="C6458" s="362"/>
      <c r="D6458" s="327">
        <f>IF($B6458="","",COUNTIF($B$4731:$B6458,$B6458))</f>
        <v>5</v>
      </c>
      <c r="E6458" s="361" t="s">
        <v>3341</v>
      </c>
      <c r="F6458" s="362" t="s">
        <v>3342</v>
      </c>
      <c r="G6458" s="327" t="s">
        <v>405</v>
      </c>
      <c r="H6458" s="361" t="s">
        <v>536</v>
      </c>
      <c r="I6458" s="361" t="s">
        <v>1827</v>
      </c>
      <c r="J6458" s="361"/>
      <c r="K6458" s="327" t="s">
        <v>100</v>
      </c>
      <c r="L6458" s="478">
        <v>295</v>
      </c>
      <c r="M6458" s="371"/>
      <c r="N6458" s="355" t="s">
        <v>2409</v>
      </c>
      <c r="O6458" s="345"/>
      <c r="P6458" s="325"/>
      <c r="Q6458" s="327"/>
      <c r="R6458" s="351"/>
      <c r="S6458" s="351"/>
      <c r="T6458" s="351"/>
      <c r="U6458" s="329" t="str">
        <f>IF($N6458=$N$4,IFERROR(INDEX(DanhMuc!$E$154:$E$165,MATCH(MID($B6458,4,2),DanhMuc!$B$154:$B$165,0)),""),"")</f>
        <v/>
      </c>
      <c r="V6458" s="361"/>
      <c r="W6458" s="345"/>
      <c r="X6458" s="786"/>
      <c r="Y6458" s="1128" t="s">
        <v>3380</v>
      </c>
      <c r="Z6458" s="1128" t="s">
        <v>3381</v>
      </c>
      <c r="AA6458" s="1128" t="s">
        <v>3384</v>
      </c>
      <c r="AB6458" s="20"/>
      <c r="AC6458" s="73"/>
    </row>
    <row r="6459" spans="1:29">
      <c r="A6459" s="327" t="str">
        <f>IF(AND($B6459&lt;&gt;"",$C6459&lt;&gt;""),MAX($A$4730:$A6458)+1,"")</f>
        <v/>
      </c>
      <c r="B6459" s="361" t="s">
        <v>3242</v>
      </c>
      <c r="C6459" s="362"/>
      <c r="D6459" s="327">
        <f>IF($B6459="","",COUNTIF($B$4731:$B6459,$B6459))</f>
        <v>6</v>
      </c>
      <c r="E6459" s="361" t="s">
        <v>2771</v>
      </c>
      <c r="F6459" s="362" t="s">
        <v>659</v>
      </c>
      <c r="G6459" s="327" t="s">
        <v>424</v>
      </c>
      <c r="H6459" s="361" t="s">
        <v>536</v>
      </c>
      <c r="I6459" s="361" t="s">
        <v>666</v>
      </c>
      <c r="J6459" s="361"/>
      <c r="K6459" s="327" t="s">
        <v>100</v>
      </c>
      <c r="L6459" s="389">
        <v>53000</v>
      </c>
      <c r="M6459" s="355"/>
      <c r="N6459" s="355" t="s">
        <v>2409</v>
      </c>
      <c r="O6459" s="345"/>
      <c r="P6459" s="325"/>
      <c r="Q6459" s="327"/>
      <c r="R6459" s="351"/>
      <c r="S6459" s="351"/>
      <c r="T6459" s="351"/>
      <c r="U6459" s="329" t="str">
        <f>IF($N6459=$N$4,IFERROR(INDEX(DanhMuc!$E$154:$E$165,MATCH(MID($B6459,4,2),DanhMuc!$B$154:$B$165,0)),""),"")</f>
        <v/>
      </c>
      <c r="V6459" s="361"/>
      <c r="W6459" s="345"/>
      <c r="X6459" s="786"/>
      <c r="Y6459" s="1128" t="s">
        <v>3380</v>
      </c>
      <c r="Z6459" s="1128" t="s">
        <v>3381</v>
      </c>
      <c r="AA6459" s="1128" t="s">
        <v>3384</v>
      </c>
      <c r="AB6459" s="20"/>
      <c r="AC6459" s="73"/>
    </row>
    <row r="6460" spans="1:29">
      <c r="A6460" s="327" t="str">
        <f>IF(AND($B6460&lt;&gt;"",$C6460&lt;&gt;""),MAX($A$4730:$A6459)+1,"")</f>
        <v/>
      </c>
      <c r="B6460" s="361" t="s">
        <v>3242</v>
      </c>
      <c r="C6460" s="362"/>
      <c r="D6460" s="327">
        <f>IF($B6460="","",COUNTIF($B$4731:$B6460,$B6460))</f>
        <v>7</v>
      </c>
      <c r="E6460" s="361" t="s">
        <v>1828</v>
      </c>
      <c r="F6460" s="362" t="s">
        <v>671</v>
      </c>
      <c r="G6460" s="327" t="s">
        <v>661</v>
      </c>
      <c r="H6460" s="361" t="s">
        <v>536</v>
      </c>
      <c r="I6460" s="361" t="s">
        <v>2355</v>
      </c>
      <c r="J6460" s="361"/>
      <c r="K6460" s="327" t="s">
        <v>100</v>
      </c>
      <c r="L6460" s="478">
        <f>40000/1000</f>
        <v>40</v>
      </c>
      <c r="M6460" s="355"/>
      <c r="N6460" s="355" t="s">
        <v>2409</v>
      </c>
      <c r="O6460" s="345"/>
      <c r="P6460" s="325"/>
      <c r="Q6460" s="327"/>
      <c r="R6460" s="351"/>
      <c r="S6460" s="351"/>
      <c r="T6460" s="351"/>
      <c r="U6460" s="329" t="str">
        <f>IF($N6460=$N$4,IFERROR(INDEX(DanhMuc!$E$154:$E$165,MATCH(MID($B6460,4,2),DanhMuc!$B$154:$B$165,0)),""),"")</f>
        <v/>
      </c>
      <c r="V6460" s="361" t="s">
        <v>1445</v>
      </c>
      <c r="W6460" s="345"/>
      <c r="X6460" s="786"/>
      <c r="Y6460" s="1128" t="s">
        <v>3380</v>
      </c>
      <c r="Z6460" s="1128" t="s">
        <v>3381</v>
      </c>
      <c r="AA6460" s="1128" t="s">
        <v>3384</v>
      </c>
      <c r="AB6460" s="20"/>
      <c r="AC6460" s="73"/>
    </row>
    <row r="6461" spans="1:29">
      <c r="A6461" s="327" t="str">
        <f>IF(AND($B6461&lt;&gt;"",$C6461&lt;&gt;""),MAX($A$4730:$A6460)+1,"")</f>
        <v/>
      </c>
      <c r="B6461" s="361" t="s">
        <v>3242</v>
      </c>
      <c r="C6461" s="362"/>
      <c r="D6461" s="327">
        <f>IF($B6461="","",COUNTIF($B$4731:$B6461,$B6461))</f>
        <v>8</v>
      </c>
      <c r="E6461" s="361" t="s">
        <v>154</v>
      </c>
      <c r="F6461" s="362" t="s">
        <v>660</v>
      </c>
      <c r="G6461" s="327" t="s">
        <v>661</v>
      </c>
      <c r="H6461" s="361" t="s">
        <v>536</v>
      </c>
      <c r="I6461" s="361" t="s">
        <v>667</v>
      </c>
      <c r="J6461" s="361"/>
      <c r="K6461" s="327" t="s">
        <v>662</v>
      </c>
      <c r="L6461" s="478">
        <v>20</v>
      </c>
      <c r="M6461" s="355"/>
      <c r="N6461" s="355" t="s">
        <v>2409</v>
      </c>
      <c r="O6461" s="345"/>
      <c r="P6461" s="325"/>
      <c r="Q6461" s="327"/>
      <c r="R6461" s="351"/>
      <c r="S6461" s="351"/>
      <c r="T6461" s="351"/>
      <c r="U6461" s="329" t="str">
        <f>IF($N6461=$N$4,IFERROR(INDEX(DanhMuc!$E$154:$E$165,MATCH(MID($B6461,4,2),DanhMuc!$B$154:$B$165,0)),""),"")</f>
        <v/>
      </c>
      <c r="V6461" s="361"/>
      <c r="W6461" s="345"/>
      <c r="X6461" s="786"/>
      <c r="Y6461" s="1128" t="s">
        <v>3380</v>
      </c>
      <c r="Z6461" s="1128" t="s">
        <v>3381</v>
      </c>
      <c r="AA6461" s="1128" t="s">
        <v>3384</v>
      </c>
      <c r="AB6461" s="20"/>
      <c r="AC6461" s="73"/>
    </row>
    <row r="6462" spans="1:29">
      <c r="A6462" s="327" t="str">
        <f>IF(AND($B6462&lt;&gt;"",$C6462&lt;&gt;""),MAX($A$4730:$A6461)+1,"")</f>
        <v/>
      </c>
      <c r="B6462" s="361" t="s">
        <v>3242</v>
      </c>
      <c r="C6462" s="362"/>
      <c r="D6462" s="327">
        <f>IF($B6462="","",COUNTIF($B$4731:$B6462,$B6462))</f>
        <v>9</v>
      </c>
      <c r="E6462" s="362" t="s">
        <v>2282</v>
      </c>
      <c r="F6462" s="362" t="s">
        <v>2283</v>
      </c>
      <c r="G6462" s="327" t="s">
        <v>424</v>
      </c>
      <c r="H6462" s="361" t="s">
        <v>536</v>
      </c>
      <c r="I6462" s="361" t="s">
        <v>2238</v>
      </c>
      <c r="J6462" s="361"/>
      <c r="K6462" s="327" t="s">
        <v>662</v>
      </c>
      <c r="L6462" s="478">
        <v>28000</v>
      </c>
      <c r="M6462" s="355"/>
      <c r="N6462" s="355" t="s">
        <v>2409</v>
      </c>
      <c r="O6462" s="345"/>
      <c r="P6462" s="325"/>
      <c r="Q6462" s="327"/>
      <c r="R6462" s="351"/>
      <c r="S6462" s="351"/>
      <c r="T6462" s="351"/>
      <c r="U6462" s="329" t="str">
        <f>IF($N6462=$N$4,IFERROR(INDEX(DanhMuc!$E$154:$E$165,MATCH(MID($B6462,4,2),DanhMuc!$B$154:$B$165,0)),""),"")</f>
        <v/>
      </c>
      <c r="V6462" s="361"/>
      <c r="W6462" s="345"/>
      <c r="X6462" s="786"/>
      <c r="Y6462" s="1128" t="s">
        <v>3380</v>
      </c>
      <c r="Z6462" s="1128" t="s">
        <v>3381</v>
      </c>
      <c r="AA6462" s="1128" t="s">
        <v>3384</v>
      </c>
      <c r="AB6462" s="20"/>
      <c r="AC6462" s="73"/>
    </row>
    <row r="6463" spans="1:29">
      <c r="A6463" s="327" t="str">
        <f>IF(AND($B6463&lt;&gt;"",$C6463&lt;&gt;""),MAX($A$4730:$A6462)+1,"")</f>
        <v/>
      </c>
      <c r="B6463" s="361" t="s">
        <v>3242</v>
      </c>
      <c r="C6463" s="362"/>
      <c r="D6463" s="327">
        <f>IF($B6463="","",COUNTIF($B$4731:$B6463,$B6463))</f>
        <v>10</v>
      </c>
      <c r="E6463" s="362" t="s">
        <v>663</v>
      </c>
      <c r="F6463" s="362" t="s">
        <v>664</v>
      </c>
      <c r="G6463" s="327" t="s">
        <v>155</v>
      </c>
      <c r="H6463" s="361" t="s">
        <v>536</v>
      </c>
      <c r="I6463" s="361" t="s">
        <v>672</v>
      </c>
      <c r="J6463" s="361"/>
      <c r="K6463" s="327" t="s">
        <v>662</v>
      </c>
      <c r="L6463" s="478">
        <v>1000</v>
      </c>
      <c r="M6463" s="355"/>
      <c r="N6463" s="355" t="s">
        <v>2409</v>
      </c>
      <c r="O6463" s="345"/>
      <c r="P6463" s="325"/>
      <c r="Q6463" s="327"/>
      <c r="R6463" s="351"/>
      <c r="S6463" s="351"/>
      <c r="T6463" s="351"/>
      <c r="U6463" s="329" t="str">
        <f>IF($N6463=$N$4,IFERROR(INDEX(DanhMuc!$E$154:$E$165,MATCH(MID($B6463,4,2),DanhMuc!$B$154:$B$165,0)),""),"")</f>
        <v/>
      </c>
      <c r="V6463" s="361"/>
      <c r="W6463" s="345"/>
      <c r="X6463" s="786"/>
      <c r="Y6463" s="1128" t="s">
        <v>3380</v>
      </c>
      <c r="Z6463" s="1128" t="s">
        <v>3381</v>
      </c>
      <c r="AA6463" s="1128" t="s">
        <v>3384</v>
      </c>
      <c r="AB6463" s="20"/>
      <c r="AC6463" s="73"/>
    </row>
    <row r="6464" spans="1:29">
      <c r="A6464" s="327">
        <f>IF(AND($B6464&lt;&gt;"",$C6464&lt;&gt;""),MAX($A$4730:$A6433)+1,"")</f>
        <v>84</v>
      </c>
      <c r="B6464" s="359" t="s">
        <v>2568</v>
      </c>
      <c r="C6464" s="360" t="s">
        <v>3237</v>
      </c>
      <c r="D6464" s="327">
        <f>IF($B6464="","",COUNTIF($B$4731:$B6464,$B6464))</f>
        <v>1</v>
      </c>
      <c r="E6464" s="361" t="s">
        <v>1826</v>
      </c>
      <c r="F6464" s="362" t="s">
        <v>670</v>
      </c>
      <c r="G6464" s="327" t="s">
        <v>661</v>
      </c>
      <c r="H6464" s="361" t="s">
        <v>536</v>
      </c>
      <c r="I6464" s="361" t="s">
        <v>2354</v>
      </c>
      <c r="J6464" s="361"/>
      <c r="K6464" s="327" t="s">
        <v>103</v>
      </c>
      <c r="L6464" s="478">
        <f>40000/1000</f>
        <v>40</v>
      </c>
      <c r="M6464" s="355"/>
      <c r="N6464" s="355" t="s">
        <v>2408</v>
      </c>
      <c r="O6464" s="345"/>
      <c r="P6464" s="325"/>
      <c r="Q6464" s="327"/>
      <c r="R6464" s="351"/>
      <c r="S6464" s="351"/>
      <c r="T6464" s="351"/>
      <c r="U6464" s="329" t="str">
        <f>IF($N6464=$N$4,IFERROR(INDEX(DanhMuc!$E$154:$E$165,MATCH(MID($B6464,4,2),DanhMuc!$B$154:$B$165,0)),""),"")</f>
        <v/>
      </c>
      <c r="V6464" s="361"/>
      <c r="W6464" s="345"/>
      <c r="X6464" s="786"/>
      <c r="Y6464" s="1128" t="s">
        <v>3380</v>
      </c>
      <c r="Z6464" s="1128" t="s">
        <v>3381</v>
      </c>
      <c r="AA6464" s="1128" t="s">
        <v>3384</v>
      </c>
      <c r="AB6464" s="20"/>
      <c r="AC6464" s="73"/>
    </row>
    <row r="6465" spans="1:29">
      <c r="A6465" s="327" t="str">
        <f>IF(AND($B6465&lt;&gt;"",$C6465&lt;&gt;""),MAX($A$4730:$A6464)+1,"")</f>
        <v/>
      </c>
      <c r="B6465" s="361" t="s">
        <v>2568</v>
      </c>
      <c r="C6465" s="362"/>
      <c r="D6465" s="327">
        <f>IF($B6465="","",COUNTIF($B$4731:$B6465,$B6465))</f>
        <v>2</v>
      </c>
      <c r="E6465" s="361" t="s">
        <v>3341</v>
      </c>
      <c r="F6465" s="362" t="s">
        <v>3342</v>
      </c>
      <c r="G6465" s="327" t="s">
        <v>405</v>
      </c>
      <c r="H6465" s="361" t="s">
        <v>536</v>
      </c>
      <c r="I6465" s="361" t="s">
        <v>1827</v>
      </c>
      <c r="J6465" s="361"/>
      <c r="K6465" s="327" t="s">
        <v>100</v>
      </c>
      <c r="L6465" s="478">
        <v>295</v>
      </c>
      <c r="M6465" s="371"/>
      <c r="N6465" s="355" t="s">
        <v>2409</v>
      </c>
      <c r="O6465" s="345"/>
      <c r="P6465" s="325"/>
      <c r="Q6465" s="327"/>
      <c r="R6465" s="351"/>
      <c r="S6465" s="351"/>
      <c r="T6465" s="351"/>
      <c r="U6465" s="329" t="str">
        <f>IF($N6465=$N$4,IFERROR(INDEX(DanhMuc!$E$154:$E$165,MATCH(MID($B6465,4,2),DanhMuc!$B$154:$B$165,0)),""),"")</f>
        <v/>
      </c>
      <c r="V6465" s="361"/>
      <c r="W6465" s="345"/>
      <c r="X6465" s="786"/>
      <c r="Y6465" s="1128" t="s">
        <v>3380</v>
      </c>
      <c r="Z6465" s="1128" t="s">
        <v>3381</v>
      </c>
      <c r="AA6465" s="1128" t="s">
        <v>3384</v>
      </c>
      <c r="AB6465" s="20"/>
      <c r="AC6465" s="73"/>
    </row>
    <row r="6466" spans="1:29">
      <c r="A6466" s="327" t="str">
        <f>IF(AND($B6466&lt;&gt;"",$C6466&lt;&gt;""),MAX($A$4730:$A6465)+1,"")</f>
        <v/>
      </c>
      <c r="B6466" s="361" t="s">
        <v>2568</v>
      </c>
      <c r="C6466" s="362"/>
      <c r="D6466" s="327">
        <f>IF($B6466="","",COUNTIF($B$4731:$B6466,$B6466))</f>
        <v>3</v>
      </c>
      <c r="E6466" s="361" t="s">
        <v>2771</v>
      </c>
      <c r="F6466" s="362" t="s">
        <v>659</v>
      </c>
      <c r="G6466" s="327" t="s">
        <v>424</v>
      </c>
      <c r="H6466" s="361" t="s">
        <v>536</v>
      </c>
      <c r="I6466" s="361" t="s">
        <v>2556</v>
      </c>
      <c r="J6466" s="361"/>
      <c r="K6466" s="327" t="s">
        <v>100</v>
      </c>
      <c r="L6466" s="389">
        <v>53000</v>
      </c>
      <c r="M6466" s="355"/>
      <c r="N6466" s="355" t="s">
        <v>2409</v>
      </c>
      <c r="O6466" s="345"/>
      <c r="P6466" s="325"/>
      <c r="Q6466" s="327"/>
      <c r="R6466" s="351"/>
      <c r="S6466" s="351"/>
      <c r="T6466" s="351"/>
      <c r="U6466" s="329" t="str">
        <f>IF($N6466=$N$4,IFERROR(INDEX(DanhMuc!$E$154:$E$165,MATCH(MID($B6466,4,2),DanhMuc!$B$154:$B$165,0)),""),"")</f>
        <v/>
      </c>
      <c r="V6466" s="361"/>
      <c r="W6466" s="345"/>
      <c r="X6466" s="786"/>
      <c r="Y6466" s="1128" t="s">
        <v>3380</v>
      </c>
      <c r="Z6466" s="1128" t="s">
        <v>3381</v>
      </c>
      <c r="AA6466" s="1128" t="s">
        <v>3384</v>
      </c>
      <c r="AB6466" s="20"/>
      <c r="AC6466" s="73"/>
    </row>
    <row r="6467" spans="1:29">
      <c r="A6467" s="327" t="str">
        <f>IF(AND($B6467&lt;&gt;"",$C6467&lt;&gt;""),MAX($A$4730:$A6466)+1,"")</f>
        <v/>
      </c>
      <c r="B6467" s="361" t="s">
        <v>2568</v>
      </c>
      <c r="C6467" s="362"/>
      <c r="D6467" s="327">
        <f>IF($B6467="","",COUNTIF($B$4731:$B6467,$B6467))</f>
        <v>4</v>
      </c>
      <c r="E6467" s="361" t="s">
        <v>1828</v>
      </c>
      <c r="F6467" s="362" t="s">
        <v>671</v>
      </c>
      <c r="G6467" s="327" t="s">
        <v>661</v>
      </c>
      <c r="H6467" s="361" t="s">
        <v>536</v>
      </c>
      <c r="I6467" s="361" t="s">
        <v>2355</v>
      </c>
      <c r="J6467" s="361"/>
      <c r="K6467" s="327" t="s">
        <v>100</v>
      </c>
      <c r="L6467" s="478">
        <f>40000/1000</f>
        <v>40</v>
      </c>
      <c r="M6467" s="355"/>
      <c r="N6467" s="355" t="s">
        <v>2409</v>
      </c>
      <c r="O6467" s="345"/>
      <c r="P6467" s="325"/>
      <c r="Q6467" s="327"/>
      <c r="R6467" s="351"/>
      <c r="S6467" s="351"/>
      <c r="T6467" s="351"/>
      <c r="U6467" s="329" t="str">
        <f>IF($N6467=$N$4,IFERROR(INDEX(DanhMuc!$E$154:$E$165,MATCH(MID($B6467,4,2),DanhMuc!$B$154:$B$165,0)),""),"")</f>
        <v/>
      </c>
      <c r="V6467" s="361"/>
      <c r="W6467" s="345"/>
      <c r="X6467" s="786"/>
      <c r="Y6467" s="1128" t="s">
        <v>3380</v>
      </c>
      <c r="Z6467" s="1128" t="s">
        <v>3381</v>
      </c>
      <c r="AA6467" s="1128" t="s">
        <v>3384</v>
      </c>
      <c r="AB6467" s="20"/>
      <c r="AC6467" s="73"/>
    </row>
    <row r="6468" spans="1:29">
      <c r="A6468" s="327" t="str">
        <f>IF(AND($B6468&lt;&gt;"",$C6468&lt;&gt;""),MAX($A$4730:$A6467)+1,"")</f>
        <v/>
      </c>
      <c r="B6468" s="361" t="s">
        <v>2568</v>
      </c>
      <c r="C6468" s="362"/>
      <c r="D6468" s="327">
        <f>IF($B6468="","",COUNTIF($B$4731:$B6468,$B6468))</f>
        <v>5</v>
      </c>
      <c r="E6468" s="361" t="s">
        <v>154</v>
      </c>
      <c r="F6468" s="362" t="s">
        <v>660</v>
      </c>
      <c r="G6468" s="327" t="s">
        <v>661</v>
      </c>
      <c r="H6468" s="361" t="s">
        <v>536</v>
      </c>
      <c r="I6468" s="361" t="s">
        <v>667</v>
      </c>
      <c r="J6468" s="361"/>
      <c r="K6468" s="327" t="s">
        <v>662</v>
      </c>
      <c r="L6468" s="478">
        <v>20</v>
      </c>
      <c r="M6468" s="355"/>
      <c r="N6468" s="355" t="s">
        <v>2409</v>
      </c>
      <c r="O6468" s="345"/>
      <c r="P6468" s="325"/>
      <c r="Q6468" s="327"/>
      <c r="R6468" s="351"/>
      <c r="S6468" s="351"/>
      <c r="T6468" s="351"/>
      <c r="U6468" s="329" t="str">
        <f>IF($N6468=$N$4,IFERROR(INDEX(DanhMuc!$E$154:$E$165,MATCH(MID($B6468,4,2),DanhMuc!$B$154:$B$165,0)),""),"")</f>
        <v/>
      </c>
      <c r="V6468" s="361"/>
      <c r="W6468" s="345"/>
      <c r="X6468" s="786"/>
      <c r="Y6468" s="1128" t="s">
        <v>3380</v>
      </c>
      <c r="Z6468" s="1128" t="s">
        <v>3381</v>
      </c>
      <c r="AA6468" s="1128" t="s">
        <v>3384</v>
      </c>
      <c r="AB6468" s="20"/>
      <c r="AC6468" s="73"/>
    </row>
    <row r="6469" spans="1:29">
      <c r="A6469" s="327" t="str">
        <f>IF(AND($B6469&lt;&gt;"",$C6469&lt;&gt;""),MAX($A$4730:$A6468)+1,"")</f>
        <v/>
      </c>
      <c r="B6469" s="361" t="s">
        <v>2568</v>
      </c>
      <c r="C6469" s="362"/>
      <c r="D6469" s="327">
        <f>IF($B6469="","",COUNTIF($B$4731:$B6469,$B6469))</f>
        <v>6</v>
      </c>
      <c r="E6469" s="362" t="s">
        <v>2282</v>
      </c>
      <c r="F6469" s="362" t="s">
        <v>2283</v>
      </c>
      <c r="G6469" s="327" t="s">
        <v>424</v>
      </c>
      <c r="H6469" s="361" t="s">
        <v>536</v>
      </c>
      <c r="I6469" s="361" t="s">
        <v>2238</v>
      </c>
      <c r="J6469" s="361"/>
      <c r="K6469" s="327" t="s">
        <v>662</v>
      </c>
      <c r="L6469" s="478">
        <v>28000</v>
      </c>
      <c r="M6469" s="355"/>
      <c r="N6469" s="355" t="s">
        <v>2409</v>
      </c>
      <c r="O6469" s="345"/>
      <c r="P6469" s="325"/>
      <c r="Q6469" s="327"/>
      <c r="R6469" s="351"/>
      <c r="S6469" s="351"/>
      <c r="T6469" s="351"/>
      <c r="U6469" s="329" t="str">
        <f>IF($N6469=$N$4,IFERROR(INDEX(DanhMuc!$E$154:$E$165,MATCH(MID($B6469,4,2),DanhMuc!$B$154:$B$165,0)),""),"")</f>
        <v/>
      </c>
      <c r="V6469" s="361"/>
      <c r="W6469" s="345"/>
      <c r="X6469" s="786"/>
      <c r="Y6469" s="1128" t="s">
        <v>3380</v>
      </c>
      <c r="Z6469" s="1128" t="s">
        <v>3381</v>
      </c>
      <c r="AA6469" s="1128" t="s">
        <v>3384</v>
      </c>
      <c r="AB6469" s="20"/>
      <c r="AC6469" s="73"/>
    </row>
    <row r="6470" spans="1:29">
      <c r="A6470" s="327" t="str">
        <f>IF(AND($B6470&lt;&gt;"",$C6470&lt;&gt;""),MAX($A$4730:$A6469)+1,"")</f>
        <v/>
      </c>
      <c r="B6470" s="361" t="s">
        <v>2568</v>
      </c>
      <c r="C6470" s="362"/>
      <c r="D6470" s="327">
        <f>IF($B6470="","",COUNTIF($B$4731:$B6470,$B6470))</f>
        <v>7</v>
      </c>
      <c r="E6470" s="362" t="s">
        <v>663</v>
      </c>
      <c r="F6470" s="362" t="s">
        <v>664</v>
      </c>
      <c r="G6470" s="327" t="s">
        <v>155</v>
      </c>
      <c r="H6470" s="361" t="s">
        <v>536</v>
      </c>
      <c r="I6470" s="361" t="s">
        <v>672</v>
      </c>
      <c r="J6470" s="361"/>
      <c r="K6470" s="327" t="s">
        <v>662</v>
      </c>
      <c r="L6470" s="478">
        <v>1000</v>
      </c>
      <c r="M6470" s="355"/>
      <c r="N6470" s="355" t="s">
        <v>2409</v>
      </c>
      <c r="O6470" s="345"/>
      <c r="P6470" s="325"/>
      <c r="Q6470" s="327"/>
      <c r="R6470" s="351"/>
      <c r="S6470" s="351"/>
      <c r="T6470" s="351"/>
      <c r="U6470" s="329" t="str">
        <f>IF($N6470=$N$4,IFERROR(INDEX(DanhMuc!$E$154:$E$165,MATCH(MID($B6470,4,2),DanhMuc!$B$154:$B$165,0)),""),"")</f>
        <v/>
      </c>
      <c r="V6470" s="361"/>
      <c r="W6470" s="345"/>
      <c r="X6470" s="786"/>
      <c r="Y6470" s="1128" t="s">
        <v>3380</v>
      </c>
      <c r="Z6470" s="1128" t="s">
        <v>3381</v>
      </c>
      <c r="AA6470" s="1128" t="s">
        <v>3384</v>
      </c>
      <c r="AB6470" s="20"/>
      <c r="AC6470" s="73"/>
    </row>
    <row r="6471" spans="1:29" ht="26">
      <c r="A6471" s="327">
        <f>IF(AND($B6471&lt;&gt;"",$C6471&lt;&gt;""),MAX($A$4730:$A6470)+1,"")</f>
        <v>86</v>
      </c>
      <c r="B6471" s="359" t="s">
        <v>3375</v>
      </c>
      <c r="C6471" s="360" t="s">
        <v>2574</v>
      </c>
      <c r="D6471" s="327">
        <f>IF($B6471="","",COUNTIF($B$4731:$B6471,$B6471))</f>
        <v>1</v>
      </c>
      <c r="E6471" s="361" t="s">
        <v>1826</v>
      </c>
      <c r="F6471" s="362" t="s">
        <v>670</v>
      </c>
      <c r="G6471" s="327" t="s">
        <v>661</v>
      </c>
      <c r="H6471" s="361" t="s">
        <v>536</v>
      </c>
      <c r="I6471" s="361" t="s">
        <v>2354</v>
      </c>
      <c r="J6471" s="361"/>
      <c r="K6471" s="327" t="s">
        <v>103</v>
      </c>
      <c r="L6471" s="478">
        <f>40000/1000</f>
        <v>40</v>
      </c>
      <c r="M6471" s="355"/>
      <c r="N6471" s="355" t="s">
        <v>2408</v>
      </c>
      <c r="O6471" s="345"/>
      <c r="P6471" s="325"/>
      <c r="Q6471" s="327"/>
      <c r="R6471" s="351"/>
      <c r="S6471" s="351"/>
      <c r="T6471" s="351"/>
      <c r="U6471" s="329" t="str">
        <f>IF($N6471=$N$4,IFERROR(INDEX(DanhMuc!$E$154:$E$165,MATCH(MID($B6471,4,2),DanhMuc!$B$154:$B$165,0)),""),"")</f>
        <v/>
      </c>
      <c r="V6471" s="361"/>
      <c r="W6471" s="345"/>
      <c r="X6471" s="786"/>
      <c r="Y6471" s="1128" t="s">
        <v>3380</v>
      </c>
      <c r="Z6471" s="1128" t="s">
        <v>3381</v>
      </c>
      <c r="AA6471" s="1128" t="s">
        <v>3384</v>
      </c>
      <c r="AB6471" s="20"/>
      <c r="AC6471" s="73"/>
    </row>
    <row r="6472" spans="1:29">
      <c r="A6472" s="327" t="str">
        <f>IF(AND($B6472&lt;&gt;"",$C6472&lt;&gt;""),MAX($A$4730:$A6471)+1,"")</f>
        <v/>
      </c>
      <c r="B6472" s="361" t="s">
        <v>3375</v>
      </c>
      <c r="C6472" s="362"/>
      <c r="D6472" s="327">
        <f>IF($B6472="","",COUNTIF($B$4731:$B6472,$B6472))</f>
        <v>2</v>
      </c>
      <c r="E6472" s="361" t="s">
        <v>3340</v>
      </c>
      <c r="F6472" s="362" t="s">
        <v>3339</v>
      </c>
      <c r="G6472" s="327" t="s">
        <v>405</v>
      </c>
      <c r="H6472" s="361" t="s">
        <v>536</v>
      </c>
      <c r="I6472" s="361" t="s">
        <v>1827</v>
      </c>
      <c r="J6472" s="361"/>
      <c r="K6472" s="327" t="s">
        <v>100</v>
      </c>
      <c r="L6472" s="478">
        <v>295</v>
      </c>
      <c r="M6472" s="371"/>
      <c r="N6472" s="355" t="s">
        <v>2409</v>
      </c>
      <c r="O6472" s="345"/>
      <c r="P6472" s="325"/>
      <c r="Q6472" s="327"/>
      <c r="R6472" s="351"/>
      <c r="S6472" s="351"/>
      <c r="T6472" s="351"/>
      <c r="U6472" s="329" t="str">
        <f>IF($N6472=$N$4,IFERROR(INDEX(DanhMuc!$E$154:$E$165,MATCH(MID($B6472,4,2),DanhMuc!$B$154:$B$165,0)),""),"")</f>
        <v/>
      </c>
      <c r="V6472" s="361"/>
      <c r="W6472" s="345"/>
      <c r="X6472" s="786"/>
      <c r="Y6472" s="1128" t="s">
        <v>3380</v>
      </c>
      <c r="Z6472" s="1128" t="s">
        <v>3381</v>
      </c>
      <c r="AA6472" s="1128" t="s">
        <v>3384</v>
      </c>
      <c r="AB6472" s="20"/>
      <c r="AC6472" s="73"/>
    </row>
    <row r="6473" spans="1:29">
      <c r="A6473" s="327" t="str">
        <f>IF(AND($B6473&lt;&gt;"",$C6473&lt;&gt;""),MAX($A$4730:$A6472)+1,"")</f>
        <v/>
      </c>
      <c r="B6473" s="361" t="s">
        <v>3375</v>
      </c>
      <c r="C6473" s="362"/>
      <c r="D6473" s="327">
        <f>IF($B6473="","",COUNTIF($B$4731:$B6473,$B6473))</f>
        <v>3</v>
      </c>
      <c r="E6473" s="361" t="s">
        <v>2771</v>
      </c>
      <c r="F6473" s="362" t="s">
        <v>659</v>
      </c>
      <c r="G6473" s="327" t="s">
        <v>424</v>
      </c>
      <c r="H6473" s="361" t="s">
        <v>536</v>
      </c>
      <c r="I6473" s="361" t="s">
        <v>2556</v>
      </c>
      <c r="J6473" s="361"/>
      <c r="K6473" s="327" t="s">
        <v>100</v>
      </c>
      <c r="L6473" s="389">
        <v>53000</v>
      </c>
      <c r="M6473" s="355"/>
      <c r="N6473" s="355" t="s">
        <v>2409</v>
      </c>
      <c r="O6473" s="345"/>
      <c r="P6473" s="325"/>
      <c r="Q6473" s="327"/>
      <c r="R6473" s="351"/>
      <c r="S6473" s="351"/>
      <c r="T6473" s="351"/>
      <c r="U6473" s="329" t="str">
        <f>IF($N6473=$N$4,IFERROR(INDEX(DanhMuc!$E$154:$E$165,MATCH(MID($B6473,4,2),DanhMuc!$B$154:$B$165,0)),""),"")</f>
        <v/>
      </c>
      <c r="V6473" s="361"/>
      <c r="W6473" s="345"/>
      <c r="X6473" s="786"/>
      <c r="Y6473" s="1128" t="s">
        <v>3380</v>
      </c>
      <c r="Z6473" s="1128" t="s">
        <v>3381</v>
      </c>
      <c r="AA6473" s="1128" t="s">
        <v>3384</v>
      </c>
      <c r="AB6473" s="20"/>
      <c r="AC6473" s="73"/>
    </row>
    <row r="6474" spans="1:29">
      <c r="A6474" s="327" t="str">
        <f>IF(AND($B6474&lt;&gt;"",$C6474&lt;&gt;""),MAX($A$4730:$A6473)+1,"")</f>
        <v/>
      </c>
      <c r="B6474" s="361" t="s">
        <v>3375</v>
      </c>
      <c r="C6474" s="362"/>
      <c r="D6474" s="327">
        <f>IF($B6474="","",COUNTIF($B$4731:$B6474,$B6474))</f>
        <v>4</v>
      </c>
      <c r="E6474" s="361" t="s">
        <v>1828</v>
      </c>
      <c r="F6474" s="362" t="s">
        <v>671</v>
      </c>
      <c r="G6474" s="327" t="s">
        <v>661</v>
      </c>
      <c r="H6474" s="361" t="s">
        <v>536</v>
      </c>
      <c r="I6474" s="361" t="s">
        <v>2355</v>
      </c>
      <c r="J6474" s="361"/>
      <c r="K6474" s="327" t="s">
        <v>100</v>
      </c>
      <c r="L6474" s="478">
        <f>40000/1000</f>
        <v>40</v>
      </c>
      <c r="M6474" s="355"/>
      <c r="N6474" s="355" t="s">
        <v>2409</v>
      </c>
      <c r="O6474" s="345"/>
      <c r="P6474" s="325"/>
      <c r="Q6474" s="327"/>
      <c r="R6474" s="351"/>
      <c r="S6474" s="351"/>
      <c r="T6474" s="351"/>
      <c r="U6474" s="329" t="str">
        <f>IF($N6474=$N$4,IFERROR(INDEX(DanhMuc!$E$154:$E$165,MATCH(MID($B6474,4,2),DanhMuc!$B$154:$B$165,0)),""),"")</f>
        <v/>
      </c>
      <c r="V6474" s="361"/>
      <c r="W6474" s="345"/>
      <c r="X6474" s="786"/>
      <c r="Y6474" s="1128" t="s">
        <v>3380</v>
      </c>
      <c r="Z6474" s="1128" t="s">
        <v>3381</v>
      </c>
      <c r="AA6474" s="1128" t="s">
        <v>3384</v>
      </c>
      <c r="AB6474" s="20"/>
      <c r="AC6474" s="73"/>
    </row>
    <row r="6475" spans="1:29">
      <c r="A6475" s="327" t="str">
        <f>IF(AND($B6475&lt;&gt;"",$C6475&lt;&gt;""),MAX($A$4730:$A6474)+1,"")</f>
        <v/>
      </c>
      <c r="B6475" s="361" t="s">
        <v>3375</v>
      </c>
      <c r="C6475" s="362"/>
      <c r="D6475" s="327">
        <f>IF($B6475="","",COUNTIF($B$4731:$B6475,$B6475))</f>
        <v>5</v>
      </c>
      <c r="E6475" s="361" t="s">
        <v>154</v>
      </c>
      <c r="F6475" s="362" t="s">
        <v>660</v>
      </c>
      <c r="G6475" s="327" t="s">
        <v>661</v>
      </c>
      <c r="H6475" s="361" t="s">
        <v>536</v>
      </c>
      <c r="I6475" s="361" t="s">
        <v>667</v>
      </c>
      <c r="J6475" s="361"/>
      <c r="K6475" s="327" t="s">
        <v>662</v>
      </c>
      <c r="L6475" s="478">
        <v>20</v>
      </c>
      <c r="M6475" s="355"/>
      <c r="N6475" s="355" t="s">
        <v>2409</v>
      </c>
      <c r="O6475" s="345"/>
      <c r="P6475" s="325"/>
      <c r="Q6475" s="327"/>
      <c r="R6475" s="351"/>
      <c r="S6475" s="351"/>
      <c r="T6475" s="351"/>
      <c r="U6475" s="329" t="str">
        <f>IF($N6475=$N$4,IFERROR(INDEX(DanhMuc!$E$154:$E$165,MATCH(MID($B6475,4,2),DanhMuc!$B$154:$B$165,0)),""),"")</f>
        <v/>
      </c>
      <c r="V6475" s="361"/>
      <c r="W6475" s="345"/>
      <c r="X6475" s="786"/>
      <c r="Y6475" s="1128" t="s">
        <v>3380</v>
      </c>
      <c r="Z6475" s="1128" t="s">
        <v>3381</v>
      </c>
      <c r="AA6475" s="1128" t="s">
        <v>3384</v>
      </c>
      <c r="AB6475" s="20"/>
      <c r="AC6475" s="73"/>
    </row>
    <row r="6476" spans="1:29">
      <c r="A6476" s="327" t="str">
        <f>IF(AND($B6476&lt;&gt;"",$C6476&lt;&gt;""),MAX($A$4730:$A6475)+1,"")</f>
        <v/>
      </c>
      <c r="B6476" s="361" t="s">
        <v>3375</v>
      </c>
      <c r="C6476" s="362"/>
      <c r="D6476" s="327">
        <f>IF($B6476="","",COUNTIF($B$4731:$B6476,$B6476))</f>
        <v>6</v>
      </c>
      <c r="E6476" s="362" t="s">
        <v>2282</v>
      </c>
      <c r="F6476" s="362" t="s">
        <v>2283</v>
      </c>
      <c r="G6476" s="327" t="s">
        <v>424</v>
      </c>
      <c r="H6476" s="361" t="s">
        <v>536</v>
      </c>
      <c r="I6476" s="361" t="s">
        <v>2238</v>
      </c>
      <c r="J6476" s="361"/>
      <c r="K6476" s="327" t="s">
        <v>662</v>
      </c>
      <c r="L6476" s="478">
        <v>28000</v>
      </c>
      <c r="M6476" s="355"/>
      <c r="N6476" s="355" t="s">
        <v>2409</v>
      </c>
      <c r="O6476" s="345"/>
      <c r="P6476" s="325"/>
      <c r="Q6476" s="327"/>
      <c r="R6476" s="351"/>
      <c r="S6476" s="351"/>
      <c r="T6476" s="351"/>
      <c r="U6476" s="329" t="str">
        <f>IF($N6476=$N$4,IFERROR(INDEX(DanhMuc!$E$154:$E$165,MATCH(MID($B6476,4,2),DanhMuc!$B$154:$B$165,0)),""),"")</f>
        <v/>
      </c>
      <c r="V6476" s="361"/>
      <c r="W6476" s="345"/>
      <c r="X6476" s="786"/>
      <c r="Y6476" s="1128" t="s">
        <v>3380</v>
      </c>
      <c r="Z6476" s="1128" t="s">
        <v>3381</v>
      </c>
      <c r="AA6476" s="1128" t="s">
        <v>3384</v>
      </c>
      <c r="AB6476" s="20"/>
      <c r="AC6476" s="73"/>
    </row>
    <row r="6477" spans="1:29">
      <c r="A6477" s="327" t="str">
        <f>IF(AND($B6477&lt;&gt;"",$C6477&lt;&gt;""),MAX($A$4730:$A6476)+1,"")</f>
        <v/>
      </c>
      <c r="B6477" s="361" t="s">
        <v>3375</v>
      </c>
      <c r="C6477" s="362"/>
      <c r="D6477" s="327">
        <f>IF($B6477="","",COUNTIF($B$4731:$B6477,$B6477))</f>
        <v>7</v>
      </c>
      <c r="E6477" s="362" t="s">
        <v>663</v>
      </c>
      <c r="F6477" s="362" t="s">
        <v>664</v>
      </c>
      <c r="G6477" s="327" t="s">
        <v>155</v>
      </c>
      <c r="H6477" s="361" t="s">
        <v>536</v>
      </c>
      <c r="I6477" s="361" t="s">
        <v>672</v>
      </c>
      <c r="J6477" s="361"/>
      <c r="K6477" s="327" t="s">
        <v>662</v>
      </c>
      <c r="L6477" s="478">
        <v>1000</v>
      </c>
      <c r="M6477" s="355"/>
      <c r="N6477" s="355" t="s">
        <v>2409</v>
      </c>
      <c r="O6477" s="345"/>
      <c r="P6477" s="325"/>
      <c r="Q6477" s="327"/>
      <c r="R6477" s="351"/>
      <c r="S6477" s="351"/>
      <c r="T6477" s="351"/>
      <c r="U6477" s="329" t="str">
        <f>IF($N6477=$N$4,IFERROR(INDEX(DanhMuc!$E$154:$E$165,MATCH(MID($B6477,4,2),DanhMuc!$B$154:$B$165,0)),""),"")</f>
        <v/>
      </c>
      <c r="V6477" s="361"/>
      <c r="W6477" s="345"/>
      <c r="X6477" s="786"/>
      <c r="Y6477" s="1128" t="s">
        <v>3380</v>
      </c>
      <c r="Z6477" s="1128" t="s">
        <v>3381</v>
      </c>
      <c r="AA6477" s="1128" t="s">
        <v>3384</v>
      </c>
      <c r="AB6477" s="20"/>
      <c r="AC6477" s="73"/>
    </row>
    <row r="6478" spans="1:29">
      <c r="A6478" s="327">
        <f>IF(AND($B6478&lt;&gt;"",$C6478&lt;&gt;""),MAX($A$4730:$A6477)+1,"")</f>
        <v>87</v>
      </c>
      <c r="B6478" s="359" t="s">
        <v>2605</v>
      </c>
      <c r="C6478" s="360" t="s">
        <v>2604</v>
      </c>
      <c r="D6478" s="327">
        <f>IF($B6478="","",COUNTIF($B$4731:$B6478,$B6478))</f>
        <v>1</v>
      </c>
      <c r="E6478" s="361" t="s">
        <v>2771</v>
      </c>
      <c r="F6478" s="362" t="s">
        <v>659</v>
      </c>
      <c r="G6478" s="327" t="s">
        <v>424</v>
      </c>
      <c r="H6478" s="361" t="s">
        <v>536</v>
      </c>
      <c r="I6478" s="361" t="s">
        <v>2556</v>
      </c>
      <c r="J6478" s="361"/>
      <c r="K6478" s="327" t="s">
        <v>100</v>
      </c>
      <c r="L6478" s="389">
        <v>53000</v>
      </c>
      <c r="M6478" s="355"/>
      <c r="N6478" s="355" t="s">
        <v>2409</v>
      </c>
      <c r="O6478" s="345"/>
      <c r="P6478" s="325"/>
      <c r="Q6478" s="327"/>
      <c r="R6478" s="351"/>
      <c r="S6478" s="351"/>
      <c r="T6478" s="351"/>
      <c r="U6478" s="329" t="str">
        <f>IF($N6478=$N$4,IFERROR(INDEX(DanhMuc!$E$154:$E$165,MATCH(MID($B6478,4,2),DanhMuc!$B$154:$B$165,0)),""),"")</f>
        <v/>
      </c>
      <c r="V6478" s="361"/>
      <c r="W6478" s="345"/>
      <c r="X6478" s="786"/>
      <c r="Y6478" s="1128" t="s">
        <v>3380</v>
      </c>
      <c r="Z6478" s="1128" t="s">
        <v>3381</v>
      </c>
      <c r="AA6478" s="1128" t="s">
        <v>3384</v>
      </c>
      <c r="AB6478" s="20"/>
      <c r="AC6478" s="73"/>
    </row>
    <row r="6479" spans="1:29" ht="39">
      <c r="A6479" s="327">
        <f>IF(AND($B6479&lt;&gt;"",$C6479&lt;&gt;""),MAX($A$4730:$A6478)+1,"")</f>
        <v>88</v>
      </c>
      <c r="B6479" s="361" t="s">
        <v>3851</v>
      </c>
      <c r="C6479" s="360" t="s">
        <v>3770</v>
      </c>
      <c r="D6479" s="327">
        <f>IF($B6479="","",COUNTIF($B$4731:$B6479,$B6479))</f>
        <v>1</v>
      </c>
      <c r="E6479" s="361" t="s">
        <v>2771</v>
      </c>
      <c r="F6479" s="362" t="s">
        <v>659</v>
      </c>
      <c r="G6479" s="327" t="s">
        <v>424</v>
      </c>
      <c r="H6479" s="361" t="s">
        <v>536</v>
      </c>
      <c r="I6479" s="361" t="s">
        <v>2556</v>
      </c>
      <c r="J6479" s="361"/>
      <c r="K6479" s="327" t="s">
        <v>100</v>
      </c>
      <c r="L6479" s="389">
        <v>53000</v>
      </c>
      <c r="M6479" s="355"/>
      <c r="N6479" s="355" t="s">
        <v>2409</v>
      </c>
      <c r="O6479" s="345"/>
      <c r="P6479" s="361"/>
      <c r="Q6479" s="327"/>
      <c r="R6479" s="351"/>
      <c r="S6479" s="351"/>
      <c r="T6479" s="351"/>
      <c r="U6479" s="329" t="str">
        <f>IF($N6479=$N$4,IFERROR(INDEX(DanhMuc!$E$154:$E$165,MATCH(MID($B6479,4,2),DanhMuc!$B$154:$B$165,0)),""),"")</f>
        <v/>
      </c>
      <c r="V6479" s="361"/>
      <c r="W6479" s="345"/>
      <c r="X6479" s="786"/>
      <c r="Y6479" s="1128" t="s">
        <v>3380</v>
      </c>
      <c r="Z6479" s="1128" t="s">
        <v>3381</v>
      </c>
      <c r="AA6479" s="1128" t="s">
        <v>3384</v>
      </c>
      <c r="AB6479" s="20"/>
      <c r="AC6479" s="73"/>
    </row>
    <row r="6480" spans="1:29" ht="39">
      <c r="A6480" s="327">
        <f>IF(AND($B6480&lt;&gt;"",$C6480&lt;&gt;""),MAX($A$4730:$A6479)+1,"")</f>
        <v>89</v>
      </c>
      <c r="B6480" s="361" t="s">
        <v>3852</v>
      </c>
      <c r="C6480" s="360" t="s">
        <v>3796</v>
      </c>
      <c r="D6480" s="327">
        <f>IF($B6480="","",COUNTIF($B$4731:$B6480,$B6480))</f>
        <v>1</v>
      </c>
      <c r="E6480" s="361" t="s">
        <v>2771</v>
      </c>
      <c r="F6480" s="362" t="s">
        <v>659</v>
      </c>
      <c r="G6480" s="327" t="s">
        <v>424</v>
      </c>
      <c r="H6480" s="361" t="s">
        <v>536</v>
      </c>
      <c r="I6480" s="361" t="s">
        <v>2556</v>
      </c>
      <c r="J6480" s="361"/>
      <c r="K6480" s="327" t="s">
        <v>100</v>
      </c>
      <c r="L6480" s="389">
        <v>53000</v>
      </c>
      <c r="M6480" s="355"/>
      <c r="N6480" s="355" t="s">
        <v>2409</v>
      </c>
      <c r="O6480" s="345"/>
      <c r="P6480" s="361"/>
      <c r="Q6480" s="327"/>
      <c r="R6480" s="351"/>
      <c r="S6480" s="351"/>
      <c r="T6480" s="351"/>
      <c r="U6480" s="329" t="str">
        <f>IF($N6480=$N$4,IFERROR(INDEX(DanhMuc!$E$154:$E$165,MATCH(MID($B6480,4,2),DanhMuc!$B$154:$B$165,0)),""),"")</f>
        <v/>
      </c>
      <c r="V6480" s="361"/>
      <c r="W6480" s="345"/>
      <c r="X6480" s="786"/>
      <c r="Y6480" s="1128" t="s">
        <v>3380</v>
      </c>
      <c r="Z6480" s="1128" t="s">
        <v>3381</v>
      </c>
      <c r="AA6480" s="1128" t="s">
        <v>3384</v>
      </c>
      <c r="AB6480" s="20"/>
      <c r="AC6480" s="73"/>
    </row>
    <row r="6481" spans="1:29" ht="52">
      <c r="A6481" s="327">
        <f>IF(AND($B6481&lt;&gt;"",$C6481&lt;&gt;""),MAX($A$4730:$A6480)+1,"")</f>
        <v>90</v>
      </c>
      <c r="B6481" s="361" t="s">
        <v>3853</v>
      </c>
      <c r="C6481" s="360" t="s">
        <v>3800</v>
      </c>
      <c r="D6481" s="327">
        <f>IF($B6481="","",COUNTIF($B$4731:$B6481,$B6481))</f>
        <v>1</v>
      </c>
      <c r="E6481" s="361" t="s">
        <v>2771</v>
      </c>
      <c r="F6481" s="362" t="s">
        <v>659</v>
      </c>
      <c r="G6481" s="327" t="s">
        <v>424</v>
      </c>
      <c r="H6481" s="361" t="s">
        <v>536</v>
      </c>
      <c r="I6481" s="361" t="s">
        <v>2556</v>
      </c>
      <c r="J6481" s="361"/>
      <c r="K6481" s="327" t="s">
        <v>100</v>
      </c>
      <c r="L6481" s="389">
        <v>53000</v>
      </c>
      <c r="M6481" s="355"/>
      <c r="N6481" s="355" t="s">
        <v>2409</v>
      </c>
      <c r="O6481" s="345"/>
      <c r="P6481" s="361"/>
      <c r="Q6481" s="327"/>
      <c r="R6481" s="351"/>
      <c r="S6481" s="351"/>
      <c r="T6481" s="351"/>
      <c r="U6481" s="329" t="str">
        <f>IF($N6481=$N$4,IFERROR(INDEX(DanhMuc!$E$154:$E$165,MATCH(MID($B6481,4,2),DanhMuc!$B$154:$B$165,0)),""),"")</f>
        <v/>
      </c>
      <c r="V6481" s="361"/>
      <c r="W6481" s="345"/>
      <c r="X6481" s="786"/>
      <c r="Y6481" s="1128" t="s">
        <v>3380</v>
      </c>
      <c r="Z6481" s="1128" t="s">
        <v>3381</v>
      </c>
      <c r="AA6481" s="1128" t="s">
        <v>3384</v>
      </c>
      <c r="AB6481" s="20"/>
      <c r="AC6481" s="73"/>
    </row>
    <row r="6482" spans="1:29" ht="52">
      <c r="A6482" s="327">
        <f>IF(AND($B6482&lt;&gt;"",$C6482&lt;&gt;""),MAX($A$4730:$A6481)+1,"")</f>
        <v>91</v>
      </c>
      <c r="B6482" s="361" t="s">
        <v>3854</v>
      </c>
      <c r="C6482" s="360" t="s">
        <v>3803</v>
      </c>
      <c r="D6482" s="327">
        <f>IF($B6482="","",COUNTIF($B$4731:$B6482,$B6482))</f>
        <v>1</v>
      </c>
      <c r="E6482" s="361" t="s">
        <v>2771</v>
      </c>
      <c r="F6482" s="362" t="s">
        <v>659</v>
      </c>
      <c r="G6482" s="327" t="s">
        <v>424</v>
      </c>
      <c r="H6482" s="361" t="s">
        <v>536</v>
      </c>
      <c r="I6482" s="361" t="s">
        <v>2556</v>
      </c>
      <c r="J6482" s="361"/>
      <c r="K6482" s="327" t="s">
        <v>100</v>
      </c>
      <c r="L6482" s="389">
        <v>53000</v>
      </c>
      <c r="M6482" s="355"/>
      <c r="N6482" s="355" t="s">
        <v>2409</v>
      </c>
      <c r="O6482" s="345"/>
      <c r="P6482" s="361"/>
      <c r="Q6482" s="327"/>
      <c r="R6482" s="351"/>
      <c r="S6482" s="351"/>
      <c r="T6482" s="351"/>
      <c r="U6482" s="329" t="str">
        <f>IF($N6482=$N$4,IFERROR(INDEX(DanhMuc!$E$154:$E$165,MATCH(MID($B6482,4,2),DanhMuc!$B$154:$B$165,0)),""),"")</f>
        <v/>
      </c>
      <c r="V6482" s="361"/>
      <c r="W6482" s="345"/>
      <c r="X6482" s="786"/>
      <c r="Y6482" s="1128" t="s">
        <v>3380</v>
      </c>
      <c r="Z6482" s="1128" t="s">
        <v>3381</v>
      </c>
      <c r="AA6482" s="1128" t="s">
        <v>3384</v>
      </c>
      <c r="AB6482" s="20"/>
      <c r="AC6482" s="73"/>
    </row>
    <row r="6483" spans="1:29" ht="52">
      <c r="A6483" s="327">
        <f>IF(AND($B6483&lt;&gt;"",$C6483&lt;&gt;""),MAX($A$4730:$A6482)+1,"")</f>
        <v>92</v>
      </c>
      <c r="B6483" s="361" t="s">
        <v>3855</v>
      </c>
      <c r="C6483" s="360" t="s">
        <v>3805</v>
      </c>
      <c r="D6483" s="327">
        <f>IF($B6483="","",COUNTIF($B$4731:$B6483,$B6483))</f>
        <v>1</v>
      </c>
      <c r="E6483" s="361" t="s">
        <v>2771</v>
      </c>
      <c r="F6483" s="362" t="s">
        <v>659</v>
      </c>
      <c r="G6483" s="327" t="s">
        <v>424</v>
      </c>
      <c r="H6483" s="361" t="s">
        <v>536</v>
      </c>
      <c r="I6483" s="361" t="s">
        <v>2556</v>
      </c>
      <c r="J6483" s="361"/>
      <c r="K6483" s="327" t="s">
        <v>100</v>
      </c>
      <c r="L6483" s="389">
        <v>53000</v>
      </c>
      <c r="M6483" s="355"/>
      <c r="N6483" s="355" t="s">
        <v>2409</v>
      </c>
      <c r="O6483" s="345"/>
      <c r="P6483" s="361"/>
      <c r="Q6483" s="327"/>
      <c r="R6483" s="351"/>
      <c r="S6483" s="351"/>
      <c r="T6483" s="351"/>
      <c r="U6483" s="329" t="str">
        <f>IF($N6483=$N$4,IFERROR(INDEX(DanhMuc!$E$154:$E$165,MATCH(MID($B6483,4,2),DanhMuc!$B$154:$B$165,0)),""),"")</f>
        <v/>
      </c>
      <c r="V6483" s="361"/>
      <c r="W6483" s="345"/>
      <c r="X6483" s="786"/>
      <c r="Y6483" s="1128" t="s">
        <v>3380</v>
      </c>
      <c r="Z6483" s="1128" t="s">
        <v>3381</v>
      </c>
      <c r="AA6483" s="1128" t="s">
        <v>3384</v>
      </c>
      <c r="AB6483" s="20"/>
      <c r="AC6483" s="73"/>
    </row>
    <row r="6484" spans="1:29" ht="52">
      <c r="A6484" s="327">
        <f>IF(AND($B6484&lt;&gt;"",$C6484&lt;&gt;""),MAX($A$4730:$A6483)+1,"")</f>
        <v>93</v>
      </c>
      <c r="B6484" s="361" t="s">
        <v>3856</v>
      </c>
      <c r="C6484" s="360" t="s">
        <v>3806</v>
      </c>
      <c r="D6484" s="327">
        <f>IF($B6484="","",COUNTIF($B$4731:$B6484,$B6484))</f>
        <v>1</v>
      </c>
      <c r="E6484" s="361" t="s">
        <v>2771</v>
      </c>
      <c r="F6484" s="362" t="s">
        <v>659</v>
      </c>
      <c r="G6484" s="327" t="s">
        <v>424</v>
      </c>
      <c r="H6484" s="361" t="s">
        <v>536</v>
      </c>
      <c r="I6484" s="361" t="s">
        <v>2556</v>
      </c>
      <c r="J6484" s="361"/>
      <c r="K6484" s="327" t="s">
        <v>100</v>
      </c>
      <c r="L6484" s="389">
        <v>53000</v>
      </c>
      <c r="M6484" s="355"/>
      <c r="N6484" s="355" t="s">
        <v>2409</v>
      </c>
      <c r="O6484" s="345"/>
      <c r="P6484" s="361"/>
      <c r="Q6484" s="327"/>
      <c r="R6484" s="351"/>
      <c r="S6484" s="351"/>
      <c r="T6484" s="351"/>
      <c r="U6484" s="329" t="str">
        <f>IF($N6484=$N$4,IFERROR(INDEX(DanhMuc!$E$154:$E$165,MATCH(MID($B6484,4,2),DanhMuc!$B$154:$B$165,0)),""),"")</f>
        <v/>
      </c>
      <c r="V6484" s="361"/>
      <c r="W6484" s="345"/>
      <c r="X6484" s="786"/>
      <c r="Y6484" s="1128" t="s">
        <v>3380</v>
      </c>
      <c r="Z6484" s="1128" t="s">
        <v>3381</v>
      </c>
      <c r="AA6484" s="1128" t="s">
        <v>3384</v>
      </c>
      <c r="AB6484" s="20"/>
      <c r="AC6484" s="73"/>
    </row>
    <row r="6485" spans="1:29" ht="39">
      <c r="A6485" s="327">
        <f>IF(AND($B6485&lt;&gt;"",$C6485&lt;&gt;""),MAX($A$4730:$A6484)+1,"")</f>
        <v>94</v>
      </c>
      <c r="B6485" s="361" t="s">
        <v>3857</v>
      </c>
      <c r="C6485" s="360" t="s">
        <v>3809</v>
      </c>
      <c r="D6485" s="327">
        <f>IF($B6485="","",COUNTIF($B$4731:$B6485,$B6485))</f>
        <v>1</v>
      </c>
      <c r="E6485" s="361" t="s">
        <v>2771</v>
      </c>
      <c r="F6485" s="362" t="s">
        <v>659</v>
      </c>
      <c r="G6485" s="327" t="s">
        <v>424</v>
      </c>
      <c r="H6485" s="361" t="s">
        <v>536</v>
      </c>
      <c r="I6485" s="361" t="s">
        <v>2556</v>
      </c>
      <c r="J6485" s="361"/>
      <c r="K6485" s="327" t="s">
        <v>100</v>
      </c>
      <c r="L6485" s="389">
        <v>53000</v>
      </c>
      <c r="M6485" s="355"/>
      <c r="N6485" s="355" t="s">
        <v>2409</v>
      </c>
      <c r="O6485" s="345"/>
      <c r="P6485" s="361"/>
      <c r="Q6485" s="327"/>
      <c r="R6485" s="351"/>
      <c r="S6485" s="351"/>
      <c r="T6485" s="351"/>
      <c r="U6485" s="329" t="str">
        <f>IF($N6485=$N$4,IFERROR(INDEX(DanhMuc!$E$154:$E$165,MATCH(MID($B6485,4,2),DanhMuc!$B$154:$B$165,0)),""),"")</f>
        <v/>
      </c>
      <c r="V6485" s="361"/>
      <c r="W6485" s="345"/>
      <c r="X6485" s="786"/>
      <c r="Y6485" s="1128" t="s">
        <v>3380</v>
      </c>
      <c r="Z6485" s="1128" t="s">
        <v>3381</v>
      </c>
      <c r="AA6485" s="1128" t="s">
        <v>3384</v>
      </c>
      <c r="AB6485" s="20"/>
      <c r="AC6485" s="73"/>
    </row>
    <row r="6486" spans="1:29" ht="52">
      <c r="A6486" s="327">
        <f>IF(AND($B6486&lt;&gt;"",$C6486&lt;&gt;""),MAX($A$4730:$A6485)+1,"")</f>
        <v>95</v>
      </c>
      <c r="B6486" s="359" t="s">
        <v>3861</v>
      </c>
      <c r="C6486" s="360" t="s">
        <v>3813</v>
      </c>
      <c r="D6486" s="327">
        <f>IF($B6486="","",COUNTIF($B$4731:$B6486,$B6486))</f>
        <v>1</v>
      </c>
      <c r="E6486" s="361" t="s">
        <v>2771</v>
      </c>
      <c r="F6486" s="362" t="s">
        <v>659</v>
      </c>
      <c r="G6486" s="327" t="s">
        <v>424</v>
      </c>
      <c r="H6486" s="361" t="s">
        <v>536</v>
      </c>
      <c r="I6486" s="361" t="s">
        <v>2556</v>
      </c>
      <c r="J6486" s="361"/>
      <c r="K6486" s="327" t="s">
        <v>100</v>
      </c>
      <c r="L6486" s="389">
        <v>53000</v>
      </c>
      <c r="M6486" s="355"/>
      <c r="N6486" s="355" t="s">
        <v>2409</v>
      </c>
      <c r="O6486" s="345"/>
      <c r="P6486" s="361"/>
      <c r="Q6486" s="327"/>
      <c r="R6486" s="351"/>
      <c r="S6486" s="351"/>
      <c r="T6486" s="351"/>
      <c r="U6486" s="329" t="str">
        <f>IF($N6486=$N$4,IFERROR(INDEX(DanhMuc!$E$154:$E$165,MATCH(MID($B6486,4,2),DanhMuc!$B$154:$B$165,0)),""),"")</f>
        <v/>
      </c>
      <c r="V6486" s="361"/>
      <c r="W6486" s="345"/>
      <c r="X6486" s="786"/>
      <c r="Y6486" s="1128" t="s">
        <v>3380</v>
      </c>
      <c r="Z6486" s="1128" t="s">
        <v>3381</v>
      </c>
      <c r="AA6486" s="1128" t="s">
        <v>3384</v>
      </c>
      <c r="AB6486" s="20"/>
      <c r="AC6486" s="73"/>
    </row>
    <row r="6487" spans="1:29" ht="78">
      <c r="A6487" s="327">
        <f>IF(AND($B6487&lt;&gt;"",$C6487&lt;&gt;""),MAX($A$4730:$A6486)+1,"")</f>
        <v>96</v>
      </c>
      <c r="B6487" s="361" t="s">
        <v>3858</v>
      </c>
      <c r="C6487" s="360" t="s">
        <v>3818</v>
      </c>
      <c r="D6487" s="327">
        <f>IF($B6487="","",COUNTIF($B$4731:$B6487,$B6487))</f>
        <v>1</v>
      </c>
      <c r="E6487" s="361" t="s">
        <v>2771</v>
      </c>
      <c r="F6487" s="362" t="s">
        <v>659</v>
      </c>
      <c r="G6487" s="327" t="s">
        <v>424</v>
      </c>
      <c r="H6487" s="361" t="s">
        <v>536</v>
      </c>
      <c r="I6487" s="361" t="s">
        <v>2556</v>
      </c>
      <c r="J6487" s="361"/>
      <c r="K6487" s="327" t="s">
        <v>100</v>
      </c>
      <c r="L6487" s="389">
        <v>53000</v>
      </c>
      <c r="M6487" s="355"/>
      <c r="N6487" s="355" t="s">
        <v>2409</v>
      </c>
      <c r="O6487" s="345"/>
      <c r="P6487" s="361"/>
      <c r="Q6487" s="327"/>
      <c r="R6487" s="351"/>
      <c r="S6487" s="351"/>
      <c r="T6487" s="351"/>
      <c r="U6487" s="329" t="str">
        <f>IF($N6487=$N$4,IFERROR(INDEX(DanhMuc!$E$154:$E$165,MATCH(MID($B6487,4,2),DanhMuc!$B$154:$B$165,0)),""),"")</f>
        <v/>
      </c>
      <c r="V6487" s="361"/>
      <c r="W6487" s="345"/>
      <c r="X6487" s="786"/>
      <c r="Y6487" s="1128" t="s">
        <v>3380</v>
      </c>
      <c r="Z6487" s="1128" t="s">
        <v>3381</v>
      </c>
      <c r="AA6487" s="1128" t="s">
        <v>3384</v>
      </c>
      <c r="AB6487" s="20"/>
      <c r="AC6487" s="73"/>
    </row>
    <row r="6488" spans="1:29" ht="52">
      <c r="A6488" s="327">
        <f>IF(AND($B6488&lt;&gt;"",$C6488&lt;&gt;""),MAX($A$4730:$A6487)+1,"")</f>
        <v>97</v>
      </c>
      <c r="B6488" s="361" t="s">
        <v>3859</v>
      </c>
      <c r="C6488" s="360" t="s">
        <v>3821</v>
      </c>
      <c r="D6488" s="327">
        <f>IF($B6488="","",COUNTIF($B$4731:$B6488,$B6488))</f>
        <v>1</v>
      </c>
      <c r="E6488" s="361" t="s">
        <v>2771</v>
      </c>
      <c r="F6488" s="362" t="s">
        <v>659</v>
      </c>
      <c r="G6488" s="327" t="s">
        <v>424</v>
      </c>
      <c r="H6488" s="361" t="s">
        <v>536</v>
      </c>
      <c r="I6488" s="361" t="s">
        <v>2556</v>
      </c>
      <c r="J6488" s="361"/>
      <c r="K6488" s="327" t="s">
        <v>100</v>
      </c>
      <c r="L6488" s="389">
        <v>53000</v>
      </c>
      <c r="M6488" s="355"/>
      <c r="N6488" s="355" t="s">
        <v>2409</v>
      </c>
      <c r="O6488" s="345"/>
      <c r="P6488" s="361"/>
      <c r="Q6488" s="327"/>
      <c r="R6488" s="351"/>
      <c r="S6488" s="351"/>
      <c r="T6488" s="351"/>
      <c r="U6488" s="329" t="str">
        <f>IF($N6488=$N$4,IFERROR(INDEX(DanhMuc!$E$154:$E$165,MATCH(MID($B6488,4,2),DanhMuc!$B$154:$B$165,0)),""),"")</f>
        <v/>
      </c>
      <c r="V6488" s="361"/>
      <c r="W6488" s="345"/>
      <c r="X6488" s="786"/>
      <c r="Y6488" s="1128" t="s">
        <v>3380</v>
      </c>
      <c r="Z6488" s="1128" t="s">
        <v>3381</v>
      </c>
      <c r="AA6488" s="1128" t="s">
        <v>3384</v>
      </c>
      <c r="AB6488" s="20"/>
      <c r="AC6488" s="73"/>
    </row>
    <row r="6489" spans="1:29" ht="52">
      <c r="A6489" s="327">
        <f>IF(AND($B6489&lt;&gt;"",$C6489&lt;&gt;""),MAX($A$4730:$A6488)+1,"")</f>
        <v>98</v>
      </c>
      <c r="B6489" s="361" t="s">
        <v>3860</v>
      </c>
      <c r="C6489" s="360" t="s">
        <v>3847</v>
      </c>
      <c r="D6489" s="327">
        <f>IF($B6489="","",COUNTIF($B$4731:$B6489,$B6489))</f>
        <v>1</v>
      </c>
      <c r="E6489" s="361" t="s">
        <v>2771</v>
      </c>
      <c r="F6489" s="362" t="s">
        <v>659</v>
      </c>
      <c r="G6489" s="327" t="s">
        <v>424</v>
      </c>
      <c r="H6489" s="361" t="s">
        <v>536</v>
      </c>
      <c r="I6489" s="361" t="s">
        <v>2556</v>
      </c>
      <c r="J6489" s="361"/>
      <c r="K6489" s="327" t="s">
        <v>100</v>
      </c>
      <c r="L6489" s="389">
        <v>53000</v>
      </c>
      <c r="M6489" s="355"/>
      <c r="N6489" s="355" t="s">
        <v>2409</v>
      </c>
      <c r="O6489" s="345"/>
      <c r="P6489" s="361"/>
      <c r="Q6489" s="327"/>
      <c r="R6489" s="351"/>
      <c r="S6489" s="351"/>
      <c r="T6489" s="351"/>
      <c r="U6489" s="329" t="str">
        <f>IF($N6489=$N$4,IFERROR(INDEX(DanhMuc!$E$154:$E$165,MATCH(MID($B6489,4,2),DanhMuc!$B$154:$B$165,0)),""),"")</f>
        <v/>
      </c>
      <c r="V6489" s="361"/>
      <c r="W6489" s="345"/>
      <c r="X6489" s="786"/>
      <c r="Y6489" s="1128" t="s">
        <v>3380</v>
      </c>
      <c r="Z6489" s="1128" t="s">
        <v>3381</v>
      </c>
      <c r="AA6489" s="1128" t="s">
        <v>3384</v>
      </c>
      <c r="AB6489" s="20"/>
      <c r="AC6489" s="73"/>
    </row>
    <row r="6490" spans="1:29">
      <c r="A6490" s="327" t="str">
        <f>IF(AND($B6490&lt;&gt;"",$C6490&lt;&gt;""),MAX($A$4730:$A6489)+1,"")</f>
        <v/>
      </c>
      <c r="B6490" s="361"/>
      <c r="C6490" s="360"/>
      <c r="D6490" s="327" t="str">
        <f>IF($B6490="","",COUNTIF($B$4731:$B6490,$B6490))</f>
        <v/>
      </c>
      <c r="E6490" s="361"/>
      <c r="F6490" s="362"/>
      <c r="G6490" s="327"/>
      <c r="H6490" s="361"/>
      <c r="I6490" s="327"/>
      <c r="J6490" s="361"/>
      <c r="K6490" s="327"/>
      <c r="L6490" s="389"/>
      <c r="M6490" s="355"/>
      <c r="N6490" s="355" t="s">
        <v>2409</v>
      </c>
      <c r="O6490" s="345"/>
      <c r="P6490" s="361"/>
      <c r="Q6490" s="327"/>
      <c r="R6490" s="351"/>
      <c r="S6490" s="351"/>
      <c r="T6490" s="351"/>
      <c r="U6490" s="329" t="str">
        <f>IF($N6490=$N$4,IFERROR(INDEX(DanhMuc!$E$154:$E$165,MATCH(MID($B6490,4,2),DanhMuc!$B$154:$B$165,0)),""),"")</f>
        <v/>
      </c>
      <c r="V6490" s="361"/>
      <c r="W6490" s="345"/>
      <c r="X6490" s="786"/>
      <c r="Y6490" s="1128" t="s">
        <v>3380</v>
      </c>
      <c r="Z6490" s="1128" t="s">
        <v>3381</v>
      </c>
      <c r="AA6490" s="1128" t="s">
        <v>3384</v>
      </c>
      <c r="AB6490" s="20"/>
      <c r="AC6490" s="73"/>
    </row>
    <row r="6491" spans="1:29">
      <c r="A6491" s="327" t="str">
        <f>IF(AND($B6491&lt;&gt;"",$C6491&lt;&gt;""),MAX($A$4730:$A6490)+1,"")</f>
        <v/>
      </c>
      <c r="B6491" s="361"/>
      <c r="C6491" s="360"/>
      <c r="D6491" s="327" t="str">
        <f>IF($B6491="","",COUNTIF($B$4731:$B6491,$B6491))</f>
        <v/>
      </c>
      <c r="E6491" s="361"/>
      <c r="F6491" s="362"/>
      <c r="G6491" s="327"/>
      <c r="H6491" s="361"/>
      <c r="I6491" s="327"/>
      <c r="J6491" s="361"/>
      <c r="K6491" s="327"/>
      <c r="L6491" s="389"/>
      <c r="M6491" s="355"/>
      <c r="N6491" s="355" t="s">
        <v>2409</v>
      </c>
      <c r="O6491" s="345"/>
      <c r="P6491" s="361"/>
      <c r="Q6491" s="327"/>
      <c r="R6491" s="351"/>
      <c r="S6491" s="351"/>
      <c r="T6491" s="351"/>
      <c r="U6491" s="329" t="str">
        <f>IF($N6491=$N$4,IFERROR(INDEX(DanhMuc!$E$154:$E$165,MATCH(MID($B6491,4,2),DanhMuc!$B$154:$B$165,0)),""),"")</f>
        <v/>
      </c>
      <c r="V6491" s="361"/>
      <c r="W6491" s="345"/>
      <c r="X6491" s="786"/>
      <c r="Y6491" s="1128" t="s">
        <v>3380</v>
      </c>
      <c r="Z6491" s="1128" t="s">
        <v>3381</v>
      </c>
      <c r="AA6491" s="1128" t="s">
        <v>3384</v>
      </c>
      <c r="AB6491" s="20"/>
      <c r="AC6491" s="73"/>
    </row>
    <row r="6492" spans="1:29" s="287" customFormat="1" ht="25">
      <c r="A6492" s="481"/>
      <c r="B6492" s="482" t="s">
        <v>103</v>
      </c>
      <c r="C6492" s="483"/>
      <c r="D6492" s="482"/>
      <c r="E6492" s="482">
        <v>2440</v>
      </c>
      <c r="F6492" s="483">
        <v>3660</v>
      </c>
      <c r="G6492" s="484">
        <v>0.1</v>
      </c>
      <c r="H6492" s="376"/>
      <c r="I6492" s="482"/>
      <c r="J6492" s="482" t="s">
        <v>3418</v>
      </c>
      <c r="K6492" s="482" t="s">
        <v>1517</v>
      </c>
      <c r="L6492" s="485"/>
      <c r="M6492" s="611"/>
      <c r="N6492" s="486" t="s">
        <v>152</v>
      </c>
      <c r="O6492" s="482" t="s">
        <v>74</v>
      </c>
      <c r="P6492" s="482" t="s">
        <v>141</v>
      </c>
      <c r="Q6492" s="319" t="s">
        <v>878</v>
      </c>
      <c r="R6492" s="322" t="s">
        <v>879</v>
      </c>
      <c r="S6492" s="322" t="s">
        <v>877</v>
      </c>
      <c r="T6492" s="322" t="s">
        <v>876</v>
      </c>
      <c r="U6492" s="329" t="str">
        <f>IF($N6492=$N$4,IFERROR(INDEX(DanhMuc!$E$154:$E$165,MATCH(MID($B6492,4,2),DanhMuc!$B$154:$B$165,0)),""),"")</f>
        <v/>
      </c>
      <c r="V6492" s="322" t="s">
        <v>877</v>
      </c>
      <c r="W6492" s="322" t="s">
        <v>876</v>
      </c>
      <c r="X6492" s="786"/>
      <c r="Y6492" s="1128" t="s">
        <v>3443</v>
      </c>
      <c r="Z6492" s="1128" t="s">
        <v>3381</v>
      </c>
      <c r="AA6492" s="1128" t="s">
        <v>3384</v>
      </c>
      <c r="AB6492" s="20"/>
      <c r="AC6492" s="73"/>
    </row>
    <row r="6493" spans="1:29" ht="18">
      <c r="A6493" s="327" t="str">
        <f>IF(AND($B6493&lt;&gt;"",$C6493&lt;&gt;""),MAX($A6492:$A$6492)+1,"")</f>
        <v/>
      </c>
      <c r="B6493" s="482" t="s">
        <v>2403</v>
      </c>
      <c r="C6493" s="362"/>
      <c r="D6493" s="362">
        <v>1</v>
      </c>
      <c r="E6493" s="361" t="s">
        <v>453</v>
      </c>
      <c r="F6493" s="362" t="s">
        <v>2988</v>
      </c>
      <c r="G6493" s="327" t="s">
        <v>240</v>
      </c>
      <c r="H6493" s="361" t="s">
        <v>537</v>
      </c>
      <c r="I6493" s="327">
        <v>1</v>
      </c>
      <c r="J6493" s="709"/>
      <c r="K6493" s="345">
        <f>IF($E6493="","",IF(VALUE(MID($E6493,3,2))&lt;12,11,12))</f>
        <v>11</v>
      </c>
      <c r="L6493" s="710">
        <v>140000</v>
      </c>
      <c r="M6493" s="371"/>
      <c r="N6493" s="355" t="str">
        <f>+$N$6492</f>
        <v>KI</v>
      </c>
      <c r="O6493" s="345">
        <f>IF($E6493="","",IF(VALUE(MID($E6493,3,2))&gt;=20,20,IF(AND(10&lt;VALUE(MID($E6493,3,2)),VALUE(MID($E6493,3,2))&lt;20),19,10)))</f>
        <v>10</v>
      </c>
      <c r="P6493" s="345" t="str">
        <f>IF($E6493="","",IF(VALUE(MID($E6493,3,2))=21,21,IF(VALUE(MID($E6493,3,2))=19,19,IF( AND(8&lt;=VALUE(MID($E6493,3,2)),VALUE(MID($E6493,3,2))&lt;=11),11,IF( AND(5&lt;=VALUE(MID($E6493,3,2)),VALUE(MID($E6493,3,2))&lt;=7), 7, "" )))))</f>
        <v/>
      </c>
      <c r="Q6493" s="367">
        <f t="shared" ref="Q6493:Q6524" si="375">VLOOKUP(VALUE(MID($E6493,3,2)),$P$6943:$W$6975,2)</f>
        <v>220182</v>
      </c>
      <c r="R6493" s="442" t="str">
        <f t="shared" ref="R6493:R6524" si="376">VLOOKUP(VALUE(MID($E6493,3,2)),$P$6943:$W$6975,3)</f>
        <v>Gioăng kính Nr.67</v>
      </c>
      <c r="S6493" s="367">
        <f t="shared" ref="S6493:S6524" si="377">VLOOKUP(VALUE(MID($E6493,3,2)),$P$6943:$W$6975,4)</f>
        <v>561530</v>
      </c>
      <c r="T6493" s="367" t="str">
        <f t="shared" ref="T6493:T6524" si="378">VLOOKUP(VALUE(MID($E6493,3,2)),$P$6943:$W$6975,5)</f>
        <v>Nẹp kính 34.5</v>
      </c>
      <c r="U6493" s="367"/>
      <c r="V6493" s="367">
        <f t="shared" ref="V6493:V6524" si="379">VLOOKUP(VALUE(MID($E6493,3,2)),$P$6943:$W$6975,7)</f>
        <v>560510</v>
      </c>
      <c r="W6493" s="442" t="str">
        <f t="shared" ref="W6493:W6524" si="380">VLOOKUP(VALUE(MID($E6493,3,2)),$P$6943:$W$6975,8)</f>
        <v>Nẹp kính 22.5</v>
      </c>
      <c r="X6493" s="786"/>
      <c r="Y6493" s="1128" t="s">
        <v>3443</v>
      </c>
      <c r="Z6493" s="1128" t="s">
        <v>3381</v>
      </c>
      <c r="AA6493" s="1128" t="s">
        <v>3384</v>
      </c>
      <c r="AB6493" s="20"/>
      <c r="AC6493" s="73"/>
    </row>
    <row r="6494" spans="1:29">
      <c r="A6494" s="327" t="str">
        <f>IF(AND($B6494&lt;&gt;"",$C6494&lt;&gt;""),MAX($A$6492:$A6493)+1,"")</f>
        <v/>
      </c>
      <c r="B6494" s="361"/>
      <c r="C6494" s="362"/>
      <c r="D6494" s="362">
        <v>2</v>
      </c>
      <c r="E6494" s="361" t="s">
        <v>454</v>
      </c>
      <c r="F6494" s="362" t="s">
        <v>2989</v>
      </c>
      <c r="G6494" s="327" t="s">
        <v>240</v>
      </c>
      <c r="H6494" s="361" t="s">
        <v>537</v>
      </c>
      <c r="I6494" s="327">
        <v>1</v>
      </c>
      <c r="J6494" s="363"/>
      <c r="K6494" s="345">
        <f t="shared" ref="K6494:K6507" si="381">IF($E6494="","",IF(VALUE(MID($E6494,3,2))&lt;12,11,12))</f>
        <v>11</v>
      </c>
      <c r="L6494" s="710">
        <v>165000</v>
      </c>
      <c r="M6494" s="371"/>
      <c r="N6494" s="355" t="str">
        <f t="shared" ref="N6494:N6495" si="382">+$N$6492</f>
        <v>KI</v>
      </c>
      <c r="O6494" s="345">
        <f t="shared" ref="O6494:O6495" si="383">IF($E6494="","",IF(VALUE(MID($E6494,3,2))&gt;=20,20,IF(AND(10&lt;VALUE(MID($E6494,3,2)),VALUE(MID($E6494,3,2))&lt;20),19,10)))</f>
        <v>10</v>
      </c>
      <c r="P6494" s="345" t="str">
        <f t="shared" ref="P6494:P6507" si="384">IF($E6494="","",IF(VALUE(MID($E6494,3,2))=21,21,IF(VALUE(MID($E6494,3,2))=19,19,IF( AND(8&lt;=VALUE(MID($E6494,3,2)),VALUE(MID($E6494,3,2))&lt;=11),11,IF( AND(5&lt;=VALUE(MID($E6494,3,2)),VALUE(MID($E6494,3,2))&lt;=7), 7, "" )))))</f>
        <v/>
      </c>
      <c r="Q6494" s="367">
        <f t="shared" si="375"/>
        <v>229304</v>
      </c>
      <c r="R6494" s="442" t="str">
        <f t="shared" si="376"/>
        <v>Gioăng kính Nr.66</v>
      </c>
      <c r="S6494" s="367">
        <f t="shared" si="377"/>
        <v>561530</v>
      </c>
      <c r="T6494" s="367" t="str">
        <f t="shared" si="378"/>
        <v>Nẹp kính 34.5</v>
      </c>
      <c r="U6494" s="367"/>
      <c r="V6494" s="367">
        <f t="shared" si="379"/>
        <v>560510</v>
      </c>
      <c r="W6494" s="442" t="str">
        <f t="shared" si="380"/>
        <v>Nẹp kính 22.5</v>
      </c>
      <c r="X6494" s="786"/>
      <c r="Y6494" s="1128" t="s">
        <v>3443</v>
      </c>
      <c r="Z6494" s="1128" t="s">
        <v>3381</v>
      </c>
      <c r="AA6494" s="1128" t="s">
        <v>3384</v>
      </c>
      <c r="AB6494" s="20"/>
      <c r="AC6494" s="73"/>
    </row>
    <row r="6495" spans="1:29">
      <c r="A6495" s="327" t="str">
        <f>IF(AND($B6495&lt;&gt;"",$C6495&lt;&gt;""),MAX($A$6492:$A6494)+1,"")</f>
        <v/>
      </c>
      <c r="B6495" s="361"/>
      <c r="C6495" s="362"/>
      <c r="D6495" s="362">
        <v>3</v>
      </c>
      <c r="E6495" s="361" t="s">
        <v>58</v>
      </c>
      <c r="F6495" s="362" t="s">
        <v>2990</v>
      </c>
      <c r="G6495" s="327" t="s">
        <v>240</v>
      </c>
      <c r="H6495" s="361" t="s">
        <v>537</v>
      </c>
      <c r="I6495" s="327">
        <v>1</v>
      </c>
      <c r="J6495" s="363"/>
      <c r="K6495" s="345">
        <f t="shared" si="381"/>
        <v>11</v>
      </c>
      <c r="L6495" s="485">
        <v>155000</v>
      </c>
      <c r="M6495" s="371"/>
      <c r="N6495" s="355" t="str">
        <f t="shared" si="382"/>
        <v>KI</v>
      </c>
      <c r="O6495" s="345">
        <f t="shared" si="383"/>
        <v>10</v>
      </c>
      <c r="P6495" s="345">
        <f t="shared" si="384"/>
        <v>7</v>
      </c>
      <c r="Q6495" s="367">
        <f t="shared" si="375"/>
        <v>220162</v>
      </c>
      <c r="R6495" s="442" t="str">
        <f t="shared" si="376"/>
        <v>Gioăng kính Nr.65</v>
      </c>
      <c r="S6495" s="367">
        <f t="shared" si="377"/>
        <v>561530</v>
      </c>
      <c r="T6495" s="367" t="str">
        <f t="shared" si="378"/>
        <v>Nẹp kính 34.5</v>
      </c>
      <c r="U6495" s="367"/>
      <c r="V6495" s="367">
        <f t="shared" si="379"/>
        <v>560510</v>
      </c>
      <c r="W6495" s="442" t="str">
        <f t="shared" si="380"/>
        <v>Nẹp kính 22.5</v>
      </c>
      <c r="X6495" s="786"/>
      <c r="Y6495" s="1128" t="s">
        <v>3443</v>
      </c>
      <c r="Z6495" s="1128" t="s">
        <v>3381</v>
      </c>
      <c r="AA6495" s="1128" t="s">
        <v>3384</v>
      </c>
      <c r="AB6495" s="20"/>
      <c r="AC6495" s="73"/>
    </row>
    <row r="6496" spans="1:29">
      <c r="A6496" s="327" t="str">
        <f>IF(AND($B6496&lt;&gt;"",$C6496&lt;&gt;""),MAX($A$6492:$A6495)+1,"")</f>
        <v/>
      </c>
      <c r="B6496" s="361"/>
      <c r="C6496" s="362"/>
      <c r="D6496" s="362">
        <v>4</v>
      </c>
      <c r="E6496" s="361" t="s">
        <v>59</v>
      </c>
      <c r="F6496" s="362" t="s">
        <v>2991</v>
      </c>
      <c r="G6496" s="327" t="s">
        <v>240</v>
      </c>
      <c r="H6496" s="361" t="s">
        <v>537</v>
      </c>
      <c r="I6496" s="327">
        <v>1</v>
      </c>
      <c r="J6496" s="363"/>
      <c r="K6496" s="345">
        <f t="shared" si="381"/>
        <v>11</v>
      </c>
      <c r="L6496" s="710">
        <v>230000</v>
      </c>
      <c r="M6496" s="371"/>
      <c r="N6496" s="355" t="str">
        <f t="shared" ref="N6496:N6658" si="385">+$N$6492</f>
        <v>KI</v>
      </c>
      <c r="O6496" s="345">
        <f t="shared" ref="O6496:O6921" si="386">IF($E6496="","",IF(VALUE(MID($E6496,3,2))&gt;=20,20,IF(AND(10&lt;VALUE(MID($E6496,3,2)),VALUE(MID($E6496,3,2))&lt;20),19,10)))</f>
        <v>10</v>
      </c>
      <c r="P6496" s="345">
        <f t="shared" si="384"/>
        <v>7</v>
      </c>
      <c r="Q6496" s="367">
        <f t="shared" si="375"/>
        <v>229314</v>
      </c>
      <c r="R6496" s="442" t="str">
        <f t="shared" si="376"/>
        <v>Gioăng kính Nr.68</v>
      </c>
      <c r="S6496" s="367">
        <f t="shared" si="377"/>
        <v>561520</v>
      </c>
      <c r="T6496" s="367" t="str">
        <f t="shared" si="378"/>
        <v>Nẹp kính 30.5</v>
      </c>
      <c r="U6496" s="367"/>
      <c r="V6496" s="367">
        <f t="shared" si="379"/>
        <v>560610</v>
      </c>
      <c r="W6496" s="442" t="str">
        <f t="shared" si="380"/>
        <v>Nẹp kính 18.5</v>
      </c>
      <c r="X6496" s="786"/>
      <c r="Y6496" s="1128" t="s">
        <v>3443</v>
      </c>
      <c r="Z6496" s="1128" t="s">
        <v>3381</v>
      </c>
      <c r="AA6496" s="1128" t="s">
        <v>3384</v>
      </c>
      <c r="AB6496" s="20"/>
      <c r="AC6496" s="73"/>
    </row>
    <row r="6497" spans="1:29">
      <c r="A6497" s="327" t="str">
        <f>IF(AND($B6497&lt;&gt;"",$C6497&lt;&gt;""),MAX($A$6492:$A6496)+1,"")</f>
        <v/>
      </c>
      <c r="B6497" s="361"/>
      <c r="C6497" s="362"/>
      <c r="D6497" s="362">
        <v>5</v>
      </c>
      <c r="E6497" s="361" t="s">
        <v>60</v>
      </c>
      <c r="F6497" s="362" t="s">
        <v>2992</v>
      </c>
      <c r="G6497" s="327" t="s">
        <v>240</v>
      </c>
      <c r="H6497" s="361" t="s">
        <v>537</v>
      </c>
      <c r="I6497" s="327">
        <v>1</v>
      </c>
      <c r="J6497" s="363"/>
      <c r="K6497" s="345">
        <f t="shared" si="381"/>
        <v>11</v>
      </c>
      <c r="L6497" s="485">
        <v>220000</v>
      </c>
      <c r="M6497" s="371"/>
      <c r="N6497" s="355" t="str">
        <f t="shared" si="385"/>
        <v>KI</v>
      </c>
      <c r="O6497" s="345">
        <f t="shared" si="386"/>
        <v>10</v>
      </c>
      <c r="P6497" s="345">
        <f t="shared" si="384"/>
        <v>11</v>
      </c>
      <c r="Q6497" s="367">
        <f t="shared" si="375"/>
        <v>229304</v>
      </c>
      <c r="R6497" s="442" t="str">
        <f t="shared" si="376"/>
        <v>Gioăng kính Nr.66</v>
      </c>
      <c r="S6497" s="367">
        <f t="shared" si="377"/>
        <v>561520</v>
      </c>
      <c r="T6497" s="367" t="str">
        <f t="shared" si="378"/>
        <v>Nẹp kính 30.5</v>
      </c>
      <c r="U6497" s="367"/>
      <c r="V6497" s="367">
        <f t="shared" si="379"/>
        <v>560610</v>
      </c>
      <c r="W6497" s="442" t="str">
        <f t="shared" si="380"/>
        <v>Nẹp kính 18.5</v>
      </c>
      <c r="X6497" s="786"/>
      <c r="Y6497" s="1128" t="s">
        <v>3443</v>
      </c>
      <c r="Z6497" s="1128" t="s">
        <v>3381</v>
      </c>
      <c r="AA6497" s="1128" t="s">
        <v>3384</v>
      </c>
      <c r="AB6497" s="20"/>
      <c r="AC6497" s="73"/>
    </row>
    <row r="6498" spans="1:29">
      <c r="A6498" s="327" t="str">
        <f>IF(AND($B6498&lt;&gt;"",$C6498&lt;&gt;""),MAX($A$6492:$A6497)+1,"")</f>
        <v/>
      </c>
      <c r="B6498" s="361"/>
      <c r="C6498" s="362"/>
      <c r="D6498" s="362">
        <v>6</v>
      </c>
      <c r="E6498" s="361" t="s">
        <v>61</v>
      </c>
      <c r="F6498" s="362" t="s">
        <v>2993</v>
      </c>
      <c r="G6498" s="327" t="s">
        <v>240</v>
      </c>
      <c r="H6498" s="361" t="s">
        <v>537</v>
      </c>
      <c r="I6498" s="327">
        <v>1</v>
      </c>
      <c r="J6498" s="363"/>
      <c r="K6498" s="345">
        <f t="shared" si="381"/>
        <v>11</v>
      </c>
      <c r="L6498" s="485">
        <v>300000</v>
      </c>
      <c r="M6498" s="371"/>
      <c r="N6498" s="355" t="str">
        <f t="shared" si="385"/>
        <v>KI</v>
      </c>
      <c r="O6498" s="345">
        <f t="shared" si="386"/>
        <v>10</v>
      </c>
      <c r="P6498" s="345">
        <f t="shared" si="384"/>
        <v>11</v>
      </c>
      <c r="Q6498" s="367">
        <f t="shared" si="375"/>
        <v>229314</v>
      </c>
      <c r="R6498" s="442" t="str">
        <f t="shared" si="376"/>
        <v>Gioăng kính Nr.68</v>
      </c>
      <c r="S6498" s="367">
        <f t="shared" si="377"/>
        <v>560620</v>
      </c>
      <c r="T6498" s="367" t="str">
        <f t="shared" si="378"/>
        <v>Nẹp kính 26.5</v>
      </c>
      <c r="U6498" s="367"/>
      <c r="V6498" s="367">
        <f t="shared" si="379"/>
        <v>560600</v>
      </c>
      <c r="W6498" s="442" t="str">
        <f t="shared" si="380"/>
        <v>Nẹp kính 14.5</v>
      </c>
      <c r="X6498" s="786"/>
      <c r="Y6498" s="1128" t="s">
        <v>3443</v>
      </c>
      <c r="Z6498" s="1128" t="s">
        <v>3381</v>
      </c>
      <c r="AA6498" s="1128" t="s">
        <v>3384</v>
      </c>
      <c r="AB6498" s="20"/>
      <c r="AC6498" s="73"/>
    </row>
    <row r="6499" spans="1:29">
      <c r="A6499" s="327" t="str">
        <f>IF(AND($B6499&lt;&gt;"",$C6499&lt;&gt;""),MAX($A$6492:$A6498)+1,"")</f>
        <v/>
      </c>
      <c r="B6499" s="361"/>
      <c r="C6499" s="362"/>
      <c r="D6499" s="362">
        <v>7</v>
      </c>
      <c r="E6499" s="361" t="s">
        <v>62</v>
      </c>
      <c r="F6499" s="362" t="s">
        <v>2994</v>
      </c>
      <c r="G6499" s="327" t="s">
        <v>240</v>
      </c>
      <c r="H6499" s="361" t="s">
        <v>537</v>
      </c>
      <c r="I6499" s="327">
        <v>1</v>
      </c>
      <c r="J6499" s="363"/>
      <c r="K6499" s="345">
        <f t="shared" si="381"/>
        <v>12</v>
      </c>
      <c r="L6499" s="485">
        <v>415000</v>
      </c>
      <c r="M6499" s="371"/>
      <c r="N6499" s="355" t="str">
        <f t="shared" si="385"/>
        <v>KI</v>
      </c>
      <c r="O6499" s="345">
        <f t="shared" si="386"/>
        <v>19</v>
      </c>
      <c r="P6499" s="345" t="str">
        <f t="shared" si="384"/>
        <v/>
      </c>
      <c r="Q6499" s="367">
        <f t="shared" si="375"/>
        <v>229304</v>
      </c>
      <c r="R6499" s="442" t="str">
        <f t="shared" si="376"/>
        <v>Gioăng kính Nr.66</v>
      </c>
      <c r="S6499" s="367">
        <f t="shared" si="377"/>
        <v>560620</v>
      </c>
      <c r="T6499" s="367" t="str">
        <f t="shared" si="378"/>
        <v>Nẹp kính 26.5</v>
      </c>
      <c r="U6499" s="367"/>
      <c r="V6499" s="367">
        <f t="shared" si="379"/>
        <v>560600</v>
      </c>
      <c r="W6499" s="442" t="str">
        <f t="shared" si="380"/>
        <v>Nẹp kính 14.5</v>
      </c>
      <c r="X6499" s="786"/>
      <c r="Y6499" s="1128" t="s">
        <v>3443</v>
      </c>
      <c r="Z6499" s="1128" t="s">
        <v>3381</v>
      </c>
      <c r="AA6499" s="1128" t="s">
        <v>3384</v>
      </c>
      <c r="AB6499" s="20"/>
      <c r="AC6499" s="73"/>
    </row>
    <row r="6500" spans="1:29">
      <c r="A6500" s="327" t="str">
        <f>IF(AND($B6500&lt;&gt;"",$C6500&lt;&gt;""),MAX($A$6492:$A6499)+1,"")</f>
        <v/>
      </c>
      <c r="B6500" s="361"/>
      <c r="C6500" s="362"/>
      <c r="D6500" s="362">
        <v>8</v>
      </c>
      <c r="E6500" s="361" t="s">
        <v>868</v>
      </c>
      <c r="F6500" s="362" t="s">
        <v>2995</v>
      </c>
      <c r="G6500" s="327" t="s">
        <v>240</v>
      </c>
      <c r="H6500" s="361" t="s">
        <v>537</v>
      </c>
      <c r="I6500" s="327">
        <v>1</v>
      </c>
      <c r="J6500" s="363"/>
      <c r="K6500" s="345">
        <f t="shared" si="381"/>
        <v>12</v>
      </c>
      <c r="L6500" s="710">
        <v>485000</v>
      </c>
      <c r="M6500" s="371"/>
      <c r="N6500" s="355" t="str">
        <f t="shared" si="385"/>
        <v>KI</v>
      </c>
      <c r="O6500" s="345">
        <f t="shared" si="386"/>
        <v>19</v>
      </c>
      <c r="P6500" s="345" t="str">
        <f t="shared" si="384"/>
        <v/>
      </c>
      <c r="Q6500" s="367">
        <f t="shared" si="375"/>
        <v>220182</v>
      </c>
      <c r="R6500" s="442" t="str">
        <f t="shared" si="376"/>
        <v>Gioăng kính Nr.67</v>
      </c>
      <c r="S6500" s="367">
        <f t="shared" si="377"/>
        <v>560510</v>
      </c>
      <c r="T6500" s="367" t="str">
        <f t="shared" si="378"/>
        <v>Nẹp kính 22.5</v>
      </c>
      <c r="U6500" s="367"/>
      <c r="V6500" s="367">
        <f t="shared" si="379"/>
        <v>560590</v>
      </c>
      <c r="W6500" s="442" t="str">
        <f t="shared" si="380"/>
        <v>Nẹp kính 10.5</v>
      </c>
      <c r="X6500" s="786"/>
      <c r="Y6500" s="1128" t="s">
        <v>3443</v>
      </c>
      <c r="Z6500" s="1128" t="s">
        <v>3381</v>
      </c>
      <c r="AA6500" s="1128" t="s">
        <v>3384</v>
      </c>
      <c r="AB6500" s="20"/>
      <c r="AC6500" s="73"/>
    </row>
    <row r="6501" spans="1:29">
      <c r="A6501" s="327" t="str">
        <f>IF(AND($B6501&lt;&gt;"",$C6501&lt;&gt;""),MAX($A$6492:$A6500)+1,"")</f>
        <v/>
      </c>
      <c r="B6501" s="361"/>
      <c r="C6501" s="362"/>
      <c r="D6501" s="362">
        <v>9</v>
      </c>
      <c r="E6501" s="361" t="s">
        <v>3469</v>
      </c>
      <c r="F6501" s="362" t="s">
        <v>3468</v>
      </c>
      <c r="G6501" s="327" t="s">
        <v>240</v>
      </c>
      <c r="H6501" s="361" t="s">
        <v>537</v>
      </c>
      <c r="I6501" s="327">
        <v>1</v>
      </c>
      <c r="J6501" s="363"/>
      <c r="K6501" s="345">
        <f t="shared" si="381"/>
        <v>11</v>
      </c>
      <c r="L6501" s="710">
        <v>205000</v>
      </c>
      <c r="M6501" s="371"/>
      <c r="N6501" s="355" t="str">
        <f t="shared" si="385"/>
        <v>KI</v>
      </c>
      <c r="O6501" s="345">
        <f t="shared" ref="O6501" si="387">IF($E6501="","",IF(VALUE(MID($E6501,3,2))&gt;=20,20,IF(AND(10&lt;VALUE(MID($E6501,3,2)),VALUE(MID($E6501,3,2))&lt;20),19,10)))</f>
        <v>10</v>
      </c>
      <c r="P6501" s="345" t="str">
        <f t="shared" si="384"/>
        <v/>
      </c>
      <c r="Q6501" s="367">
        <f t="shared" si="375"/>
        <v>229304</v>
      </c>
      <c r="R6501" s="442" t="str">
        <f t="shared" si="376"/>
        <v>Gioăng kính Nr.66</v>
      </c>
      <c r="S6501" s="367">
        <f t="shared" si="377"/>
        <v>561530</v>
      </c>
      <c r="T6501" s="367" t="str">
        <f t="shared" si="378"/>
        <v>Nẹp kính 34.5</v>
      </c>
      <c r="U6501" s="367"/>
      <c r="V6501" s="367">
        <f t="shared" si="379"/>
        <v>560510</v>
      </c>
      <c r="W6501" s="442" t="str">
        <f t="shared" si="380"/>
        <v>Nẹp kính 22.5</v>
      </c>
      <c r="X6501" s="786"/>
      <c r="Y6501" s="1128" t="s">
        <v>3443</v>
      </c>
      <c r="Z6501" s="1128" t="s">
        <v>3381</v>
      </c>
      <c r="AA6501" s="1128" t="s">
        <v>3384</v>
      </c>
      <c r="AB6501" s="20"/>
      <c r="AC6501" s="73"/>
    </row>
    <row r="6502" spans="1:29">
      <c r="A6502" s="327" t="str">
        <f>IF(AND($B6502&lt;&gt;"",$C6502&lt;&gt;""),MAX($A$6492:$A6500)+1,"")</f>
        <v/>
      </c>
      <c r="B6502" s="361"/>
      <c r="C6502" s="362"/>
      <c r="D6502" s="362">
        <v>10</v>
      </c>
      <c r="E6502" s="361" t="s">
        <v>63</v>
      </c>
      <c r="F6502" s="362" t="s">
        <v>3010</v>
      </c>
      <c r="G6502" s="327" t="s">
        <v>240</v>
      </c>
      <c r="H6502" s="361" t="s">
        <v>537</v>
      </c>
      <c r="I6502" s="327">
        <v>1</v>
      </c>
      <c r="J6502" s="363"/>
      <c r="K6502" s="345">
        <f t="shared" si="381"/>
        <v>11</v>
      </c>
      <c r="L6502" s="487">
        <v>245000</v>
      </c>
      <c r="M6502" s="371"/>
      <c r="N6502" s="355" t="str">
        <f t="shared" si="385"/>
        <v>KI</v>
      </c>
      <c r="O6502" s="345">
        <f t="shared" si="386"/>
        <v>10</v>
      </c>
      <c r="P6502" s="345">
        <f t="shared" si="384"/>
        <v>7</v>
      </c>
      <c r="Q6502" s="367">
        <f t="shared" si="375"/>
        <v>220162</v>
      </c>
      <c r="R6502" s="442" t="str">
        <f t="shared" si="376"/>
        <v>Gioăng kính Nr.65</v>
      </c>
      <c r="S6502" s="367">
        <f t="shared" si="377"/>
        <v>561530</v>
      </c>
      <c r="T6502" s="367" t="str">
        <f t="shared" si="378"/>
        <v>Nẹp kính 34.5</v>
      </c>
      <c r="U6502" s="367"/>
      <c r="V6502" s="367">
        <f t="shared" si="379"/>
        <v>560510</v>
      </c>
      <c r="W6502" s="442" t="str">
        <f t="shared" si="380"/>
        <v>Nẹp kính 22.5</v>
      </c>
      <c r="X6502" s="786"/>
      <c r="Y6502" s="1128" t="s">
        <v>3455</v>
      </c>
      <c r="Z6502" s="1128" t="s">
        <v>3381</v>
      </c>
      <c r="AA6502" s="1128" t="s">
        <v>3384</v>
      </c>
      <c r="AB6502" s="20"/>
      <c r="AC6502" s="73"/>
    </row>
    <row r="6503" spans="1:29">
      <c r="A6503" s="327" t="str">
        <f>IF(AND($B6503&lt;&gt;"",$C6503&lt;&gt;""),MAX($A$6492:$A6502)+1,"")</f>
        <v/>
      </c>
      <c r="B6503" s="361"/>
      <c r="C6503" s="362"/>
      <c r="D6503" s="362">
        <v>11</v>
      </c>
      <c r="E6503" s="361" t="s">
        <v>64</v>
      </c>
      <c r="F6503" s="362" t="s">
        <v>3011</v>
      </c>
      <c r="G6503" s="327" t="s">
        <v>240</v>
      </c>
      <c r="H6503" s="361" t="s">
        <v>537</v>
      </c>
      <c r="I6503" s="327">
        <v>1</v>
      </c>
      <c r="J6503" s="363"/>
      <c r="K6503" s="345">
        <f t="shared" si="381"/>
        <v>11</v>
      </c>
      <c r="L6503" s="710">
        <v>285000</v>
      </c>
      <c r="M6503" s="371"/>
      <c r="N6503" s="355" t="str">
        <f t="shared" si="385"/>
        <v>KI</v>
      </c>
      <c r="O6503" s="345">
        <f t="shared" si="386"/>
        <v>10</v>
      </c>
      <c r="P6503" s="345">
        <f t="shared" si="384"/>
        <v>7</v>
      </c>
      <c r="Q6503" s="367">
        <f t="shared" si="375"/>
        <v>229314</v>
      </c>
      <c r="R6503" s="442" t="str">
        <f t="shared" si="376"/>
        <v>Gioăng kính Nr.68</v>
      </c>
      <c r="S6503" s="367">
        <f t="shared" si="377"/>
        <v>561520</v>
      </c>
      <c r="T6503" s="367" t="str">
        <f t="shared" si="378"/>
        <v>Nẹp kính 30.5</v>
      </c>
      <c r="U6503" s="367"/>
      <c r="V6503" s="367">
        <f t="shared" si="379"/>
        <v>560610</v>
      </c>
      <c r="W6503" s="442" t="str">
        <f t="shared" si="380"/>
        <v>Nẹp kính 18.5</v>
      </c>
      <c r="X6503" s="786"/>
      <c r="Y6503" s="1128" t="s">
        <v>3443</v>
      </c>
      <c r="Z6503" s="1128" t="s">
        <v>3381</v>
      </c>
      <c r="AA6503" s="1128" t="s">
        <v>3384</v>
      </c>
      <c r="AB6503" s="20"/>
      <c r="AC6503" s="73"/>
    </row>
    <row r="6504" spans="1:29">
      <c r="A6504" s="327" t="str">
        <f>IF(AND($B6504&lt;&gt;"",$C6504&lt;&gt;""),MAX($A$6492:$A6503)+1,"")</f>
        <v/>
      </c>
      <c r="B6504" s="361"/>
      <c r="C6504" s="362"/>
      <c r="D6504" s="362">
        <v>12</v>
      </c>
      <c r="E6504" s="361" t="s">
        <v>65</v>
      </c>
      <c r="F6504" s="362" t="s">
        <v>3012</v>
      </c>
      <c r="G6504" s="327" t="s">
        <v>240</v>
      </c>
      <c r="H6504" s="361" t="s">
        <v>537</v>
      </c>
      <c r="I6504" s="327">
        <v>1</v>
      </c>
      <c r="J6504" s="363"/>
      <c r="K6504" s="345">
        <f t="shared" si="381"/>
        <v>11</v>
      </c>
      <c r="L6504" s="616">
        <v>365000</v>
      </c>
      <c r="M6504" s="371"/>
      <c r="N6504" s="355" t="str">
        <f t="shared" si="385"/>
        <v>KI</v>
      </c>
      <c r="O6504" s="345">
        <f t="shared" si="386"/>
        <v>10</v>
      </c>
      <c r="P6504" s="345">
        <f t="shared" si="384"/>
        <v>11</v>
      </c>
      <c r="Q6504" s="367">
        <f t="shared" si="375"/>
        <v>229304</v>
      </c>
      <c r="R6504" s="442" t="str">
        <f t="shared" si="376"/>
        <v>Gioăng kính Nr.66</v>
      </c>
      <c r="S6504" s="367">
        <f t="shared" si="377"/>
        <v>561520</v>
      </c>
      <c r="T6504" s="367" t="str">
        <f t="shared" si="378"/>
        <v>Nẹp kính 30.5</v>
      </c>
      <c r="U6504" s="367"/>
      <c r="V6504" s="367">
        <f t="shared" si="379"/>
        <v>560610</v>
      </c>
      <c r="W6504" s="442" t="str">
        <f t="shared" si="380"/>
        <v>Nẹp kính 18.5</v>
      </c>
      <c r="X6504" s="786"/>
      <c r="Y6504" s="1128" t="s">
        <v>3443</v>
      </c>
      <c r="Z6504" s="1128" t="s">
        <v>3381</v>
      </c>
      <c r="AA6504" s="1128" t="s">
        <v>3384</v>
      </c>
      <c r="AB6504" s="20"/>
      <c r="AC6504" s="73"/>
    </row>
    <row r="6505" spans="1:29" ht="14.25" customHeight="1">
      <c r="A6505" s="327" t="str">
        <f>IF(AND($B6505&lt;&gt;"",$C6505&lt;&gt;""),MAX($A$6492:$A6504)+1,"")</f>
        <v/>
      </c>
      <c r="B6505" s="361"/>
      <c r="C6505" s="362"/>
      <c r="D6505" s="362">
        <v>13</v>
      </c>
      <c r="E6505" s="361" t="s">
        <v>66</v>
      </c>
      <c r="F6505" s="362" t="s">
        <v>3013</v>
      </c>
      <c r="G6505" s="327" t="s">
        <v>240</v>
      </c>
      <c r="H6505" s="361" t="s">
        <v>537</v>
      </c>
      <c r="I6505" s="327">
        <v>1</v>
      </c>
      <c r="J6505" s="363"/>
      <c r="K6505" s="345">
        <f t="shared" si="381"/>
        <v>11</v>
      </c>
      <c r="L6505" s="487">
        <v>460000</v>
      </c>
      <c r="M6505" s="371"/>
      <c r="N6505" s="355" t="str">
        <f t="shared" si="385"/>
        <v>KI</v>
      </c>
      <c r="O6505" s="345">
        <f t="shared" si="386"/>
        <v>10</v>
      </c>
      <c r="P6505" s="345">
        <f t="shared" si="384"/>
        <v>11</v>
      </c>
      <c r="Q6505" s="367">
        <f t="shared" si="375"/>
        <v>229314</v>
      </c>
      <c r="R6505" s="442" t="str">
        <f t="shared" si="376"/>
        <v>Gioăng kính Nr.68</v>
      </c>
      <c r="S6505" s="367">
        <f t="shared" si="377"/>
        <v>560620</v>
      </c>
      <c r="T6505" s="367" t="str">
        <f t="shared" si="378"/>
        <v>Nẹp kính 26.5</v>
      </c>
      <c r="U6505" s="367"/>
      <c r="V6505" s="367">
        <f t="shared" si="379"/>
        <v>560600</v>
      </c>
      <c r="W6505" s="442" t="str">
        <f t="shared" si="380"/>
        <v>Nẹp kính 14.5</v>
      </c>
      <c r="X6505" s="786"/>
      <c r="Y6505" s="1128" t="s">
        <v>3443</v>
      </c>
      <c r="Z6505" s="1128" t="s">
        <v>3381</v>
      </c>
      <c r="AA6505" s="1128" t="s">
        <v>3384</v>
      </c>
      <c r="AB6505" s="20"/>
      <c r="AC6505" s="73"/>
    </row>
    <row r="6506" spans="1:29" ht="14.25" customHeight="1">
      <c r="A6506" s="327" t="str">
        <f>IF(AND($B6506&lt;&gt;"",$C6506&lt;&gt;""),MAX($A$6492:$A6505)+1,"")</f>
        <v/>
      </c>
      <c r="B6506" s="361"/>
      <c r="C6506" s="362"/>
      <c r="D6506" s="362">
        <v>14</v>
      </c>
      <c r="E6506" s="361" t="s">
        <v>67</v>
      </c>
      <c r="F6506" s="362" t="s">
        <v>3014</v>
      </c>
      <c r="G6506" s="327" t="s">
        <v>240</v>
      </c>
      <c r="H6506" s="361" t="s">
        <v>537</v>
      </c>
      <c r="I6506" s="327">
        <v>1</v>
      </c>
      <c r="J6506" s="363"/>
      <c r="K6506" s="345">
        <f t="shared" si="381"/>
        <v>12</v>
      </c>
      <c r="L6506" s="487">
        <v>545000</v>
      </c>
      <c r="M6506" s="371"/>
      <c r="N6506" s="355" t="str">
        <f t="shared" si="385"/>
        <v>KI</v>
      </c>
      <c r="O6506" s="345">
        <f t="shared" si="386"/>
        <v>19</v>
      </c>
      <c r="P6506" s="345" t="str">
        <f t="shared" si="384"/>
        <v/>
      </c>
      <c r="Q6506" s="367">
        <f t="shared" si="375"/>
        <v>229304</v>
      </c>
      <c r="R6506" s="442" t="str">
        <f t="shared" si="376"/>
        <v>Gioăng kính Nr.66</v>
      </c>
      <c r="S6506" s="367">
        <f t="shared" si="377"/>
        <v>560620</v>
      </c>
      <c r="T6506" s="367" t="str">
        <f t="shared" si="378"/>
        <v>Nẹp kính 26.5</v>
      </c>
      <c r="U6506" s="367"/>
      <c r="V6506" s="367">
        <f t="shared" si="379"/>
        <v>560600</v>
      </c>
      <c r="W6506" s="442" t="str">
        <f t="shared" si="380"/>
        <v>Nẹp kính 14.5</v>
      </c>
      <c r="X6506" s="786"/>
      <c r="Y6506" s="1128" t="s">
        <v>3443</v>
      </c>
      <c r="Z6506" s="1128" t="s">
        <v>3381</v>
      </c>
      <c r="AA6506" s="1128" t="s">
        <v>3384</v>
      </c>
      <c r="AB6506" s="20"/>
      <c r="AC6506" s="73"/>
    </row>
    <row r="6507" spans="1:29">
      <c r="A6507" s="327" t="str">
        <f>IF(AND($B6507&lt;&gt;"",$C6507&lt;&gt;""),MAX($A$6492:$A6506)+1,"")</f>
        <v/>
      </c>
      <c r="B6507" s="361"/>
      <c r="C6507" s="362"/>
      <c r="D6507" s="362">
        <v>15</v>
      </c>
      <c r="E6507" s="361" t="s">
        <v>869</v>
      </c>
      <c r="F6507" s="362" t="s">
        <v>3015</v>
      </c>
      <c r="G6507" s="327" t="s">
        <v>240</v>
      </c>
      <c r="H6507" s="361" t="s">
        <v>537</v>
      </c>
      <c r="I6507" s="327">
        <v>1</v>
      </c>
      <c r="J6507" s="363"/>
      <c r="K6507" s="345">
        <f t="shared" si="381"/>
        <v>12</v>
      </c>
      <c r="L6507" s="710" t="s">
        <v>2286</v>
      </c>
      <c r="M6507" s="371"/>
      <c r="N6507" s="355" t="str">
        <f t="shared" si="385"/>
        <v>KI</v>
      </c>
      <c r="O6507" s="345">
        <f t="shared" si="386"/>
        <v>19</v>
      </c>
      <c r="P6507" s="345" t="str">
        <f t="shared" si="384"/>
        <v/>
      </c>
      <c r="Q6507" s="367">
        <f t="shared" si="375"/>
        <v>220182</v>
      </c>
      <c r="R6507" s="442" t="str">
        <f t="shared" si="376"/>
        <v>Gioăng kính Nr.67</v>
      </c>
      <c r="S6507" s="367">
        <f t="shared" si="377"/>
        <v>560510</v>
      </c>
      <c r="T6507" s="367" t="str">
        <f t="shared" si="378"/>
        <v>Nẹp kính 22.5</v>
      </c>
      <c r="U6507" s="367"/>
      <c r="V6507" s="367">
        <f t="shared" si="379"/>
        <v>560590</v>
      </c>
      <c r="W6507" s="442" t="str">
        <f t="shared" si="380"/>
        <v>Nẹp kính 10.5</v>
      </c>
      <c r="X6507" s="786"/>
      <c r="Y6507" s="1128"/>
      <c r="Z6507" s="1128" t="s">
        <v>3381</v>
      </c>
      <c r="AA6507" s="1128" t="s">
        <v>3384</v>
      </c>
      <c r="AB6507" s="20"/>
      <c r="AC6507" s="73"/>
    </row>
    <row r="6508" spans="1:29">
      <c r="A6508" s="327" t="str">
        <f>IF(AND($B6508&lt;&gt;"",$C6508&lt;&gt;""),MAX($A$6492:$A6507)+1,"")</f>
        <v/>
      </c>
      <c r="B6508" s="361"/>
      <c r="C6508" s="362"/>
      <c r="D6508" s="362">
        <v>16</v>
      </c>
      <c r="E6508" s="361" t="s">
        <v>2996</v>
      </c>
      <c r="F6508" s="362" t="s">
        <v>3002</v>
      </c>
      <c r="G6508" s="327" t="s">
        <v>240</v>
      </c>
      <c r="H6508" s="361" t="s">
        <v>537</v>
      </c>
      <c r="I6508" s="327">
        <v>1</v>
      </c>
      <c r="J6508" s="363"/>
      <c r="K6508" s="345">
        <f t="shared" ref="K6508:K6737" si="388">IF($E6508="","",IF(VALUE(MID($E6508,3,2))&lt;12,11,12))</f>
        <v>11</v>
      </c>
      <c r="L6508" s="710">
        <f>L6493+120000</f>
        <v>260000</v>
      </c>
      <c r="M6508" s="371"/>
      <c r="N6508" s="355" t="str">
        <f t="shared" si="385"/>
        <v>KI</v>
      </c>
      <c r="O6508" s="345">
        <f t="shared" si="386"/>
        <v>10</v>
      </c>
      <c r="P6508" s="345" t="str">
        <f t="shared" ref="P6508:P6685" si="389">IF($E6508="","",IF(VALUE(MID($E6508,3,2))=21,21,IF(VALUE(MID($E6508,3,2))=19,19,IF( AND(8&lt;=VALUE(MID($E6508,3,2)),VALUE(MID($E6508,3,2))&lt;=11),11,IF( AND(5&lt;=VALUE(MID($E6508,3,2)),VALUE(MID($E6508,3,2))&lt;=7), 7, "" )))))</f>
        <v/>
      </c>
      <c r="Q6508" s="367">
        <f t="shared" si="375"/>
        <v>220182</v>
      </c>
      <c r="R6508" s="442" t="str">
        <f t="shared" si="376"/>
        <v>Gioăng kính Nr.67</v>
      </c>
      <c r="S6508" s="367">
        <f t="shared" si="377"/>
        <v>561530</v>
      </c>
      <c r="T6508" s="367" t="str">
        <f t="shared" si="378"/>
        <v>Nẹp kính 34.5</v>
      </c>
      <c r="U6508" s="367"/>
      <c r="V6508" s="367">
        <f t="shared" si="379"/>
        <v>560510</v>
      </c>
      <c r="W6508" s="442" t="str">
        <f t="shared" si="380"/>
        <v>Nẹp kính 22.5</v>
      </c>
      <c r="X6508" s="786"/>
      <c r="Y6508" s="1128" t="s">
        <v>3455</v>
      </c>
      <c r="Z6508" s="1128" t="s">
        <v>3381</v>
      </c>
      <c r="AA6508" s="1128" t="s">
        <v>3384</v>
      </c>
      <c r="AB6508" s="20"/>
      <c r="AC6508" s="73"/>
    </row>
    <row r="6509" spans="1:29">
      <c r="A6509" s="327" t="str">
        <f>IF(AND($B6509&lt;&gt;"",$C6509&lt;&gt;""),MAX($A$6492:$A6508)+1,"")</f>
        <v/>
      </c>
      <c r="B6509" s="361"/>
      <c r="C6509" s="362"/>
      <c r="D6509" s="362">
        <v>17</v>
      </c>
      <c r="E6509" s="361" t="s">
        <v>2997</v>
      </c>
      <c r="F6509" s="362" t="s">
        <v>3003</v>
      </c>
      <c r="G6509" s="327" t="s">
        <v>240</v>
      </c>
      <c r="H6509" s="361" t="s">
        <v>537</v>
      </c>
      <c r="I6509" s="327">
        <v>1</v>
      </c>
      <c r="J6509" s="363"/>
      <c r="K6509" s="345">
        <f t="shared" si="388"/>
        <v>11</v>
      </c>
      <c r="L6509" s="710">
        <f t="shared" ref="L6509:L6514" si="390">L6494+120000</f>
        <v>285000</v>
      </c>
      <c r="M6509" s="371"/>
      <c r="N6509" s="355" t="str">
        <f t="shared" si="385"/>
        <v>KI</v>
      </c>
      <c r="O6509" s="345">
        <f t="shared" si="386"/>
        <v>10</v>
      </c>
      <c r="P6509" s="345" t="str">
        <f t="shared" si="389"/>
        <v/>
      </c>
      <c r="Q6509" s="367">
        <f t="shared" si="375"/>
        <v>229304</v>
      </c>
      <c r="R6509" s="442" t="str">
        <f t="shared" si="376"/>
        <v>Gioăng kính Nr.66</v>
      </c>
      <c r="S6509" s="367">
        <f t="shared" si="377"/>
        <v>561530</v>
      </c>
      <c r="T6509" s="367" t="str">
        <f t="shared" si="378"/>
        <v>Nẹp kính 34.5</v>
      </c>
      <c r="U6509" s="367"/>
      <c r="V6509" s="367">
        <f t="shared" si="379"/>
        <v>560510</v>
      </c>
      <c r="W6509" s="442" t="str">
        <f t="shared" si="380"/>
        <v>Nẹp kính 22.5</v>
      </c>
      <c r="X6509" s="786"/>
      <c r="Y6509" s="1128" t="s">
        <v>3455</v>
      </c>
      <c r="Z6509" s="1128" t="s">
        <v>3381</v>
      </c>
      <c r="AA6509" s="1128" t="s">
        <v>3384</v>
      </c>
      <c r="AB6509" s="20"/>
      <c r="AC6509" s="73"/>
    </row>
    <row r="6510" spans="1:29">
      <c r="A6510" s="327" t="str">
        <f>IF(AND($B6510&lt;&gt;"",$C6510&lt;&gt;""),MAX($A$6492:$A6507)+1,"")</f>
        <v/>
      </c>
      <c r="B6510" s="361"/>
      <c r="C6510" s="362"/>
      <c r="D6510" s="362">
        <v>18</v>
      </c>
      <c r="E6510" s="361" t="s">
        <v>870</v>
      </c>
      <c r="F6510" s="362" t="s">
        <v>3004</v>
      </c>
      <c r="G6510" s="327" t="s">
        <v>240</v>
      </c>
      <c r="H6510" s="361" t="s">
        <v>537</v>
      </c>
      <c r="I6510" s="327">
        <v>1</v>
      </c>
      <c r="J6510" s="363"/>
      <c r="K6510" s="345">
        <f t="shared" si="388"/>
        <v>11</v>
      </c>
      <c r="L6510" s="710">
        <f t="shared" si="390"/>
        <v>275000</v>
      </c>
      <c r="M6510" s="371"/>
      <c r="N6510" s="355" t="str">
        <f t="shared" si="385"/>
        <v>KI</v>
      </c>
      <c r="O6510" s="345">
        <f t="shared" si="386"/>
        <v>10</v>
      </c>
      <c r="P6510" s="345">
        <f t="shared" si="389"/>
        <v>7</v>
      </c>
      <c r="Q6510" s="367">
        <f t="shared" si="375"/>
        <v>220162</v>
      </c>
      <c r="R6510" s="442" t="str">
        <f t="shared" si="376"/>
        <v>Gioăng kính Nr.65</v>
      </c>
      <c r="S6510" s="367">
        <f t="shared" si="377"/>
        <v>561530</v>
      </c>
      <c r="T6510" s="367" t="str">
        <f t="shared" si="378"/>
        <v>Nẹp kính 34.5</v>
      </c>
      <c r="U6510" s="367"/>
      <c r="V6510" s="367">
        <f t="shared" si="379"/>
        <v>560510</v>
      </c>
      <c r="W6510" s="442" t="str">
        <f t="shared" si="380"/>
        <v>Nẹp kính 22.5</v>
      </c>
      <c r="X6510" s="786"/>
      <c r="Y6510" s="1128" t="s">
        <v>3455</v>
      </c>
      <c r="Z6510" s="1128" t="s">
        <v>3381</v>
      </c>
      <c r="AA6510" s="1128" t="s">
        <v>3384</v>
      </c>
      <c r="AB6510" s="20"/>
      <c r="AC6510" s="73"/>
    </row>
    <row r="6511" spans="1:29">
      <c r="A6511" s="327" t="str">
        <f>IF(AND($B6511&lt;&gt;"",$C6511&lt;&gt;""),MAX($A$6492:$A6507)+1,"")</f>
        <v/>
      </c>
      <c r="B6511" s="361"/>
      <c r="C6511" s="362"/>
      <c r="D6511" s="362">
        <v>19</v>
      </c>
      <c r="E6511" s="361" t="s">
        <v>2998</v>
      </c>
      <c r="F6511" s="362" t="s">
        <v>3005</v>
      </c>
      <c r="G6511" s="327" t="s">
        <v>240</v>
      </c>
      <c r="H6511" s="361" t="s">
        <v>537</v>
      </c>
      <c r="I6511" s="327">
        <v>1</v>
      </c>
      <c r="J6511" s="363"/>
      <c r="K6511" s="345">
        <f t="shared" si="388"/>
        <v>11</v>
      </c>
      <c r="L6511" s="710">
        <f t="shared" si="390"/>
        <v>350000</v>
      </c>
      <c r="M6511" s="371"/>
      <c r="N6511" s="355" t="str">
        <f t="shared" si="385"/>
        <v>KI</v>
      </c>
      <c r="O6511" s="345">
        <f t="shared" ref="O6511" si="391">IF($E6511="","",IF(VALUE(MID($E6511,3,2))&gt;=20,20,IF(AND(10&lt;VALUE(MID($E6511,3,2)),VALUE(MID($E6511,3,2))&lt;20),19,10)))</f>
        <v>10</v>
      </c>
      <c r="P6511" s="345">
        <f t="shared" si="389"/>
        <v>7</v>
      </c>
      <c r="Q6511" s="367">
        <f t="shared" si="375"/>
        <v>229314</v>
      </c>
      <c r="R6511" s="442" t="str">
        <f t="shared" si="376"/>
        <v>Gioăng kính Nr.68</v>
      </c>
      <c r="S6511" s="367">
        <f t="shared" si="377"/>
        <v>561520</v>
      </c>
      <c r="T6511" s="367" t="str">
        <f t="shared" si="378"/>
        <v>Nẹp kính 30.5</v>
      </c>
      <c r="U6511" s="367"/>
      <c r="V6511" s="367">
        <f t="shared" si="379"/>
        <v>560610</v>
      </c>
      <c r="W6511" s="442" t="str">
        <f t="shared" si="380"/>
        <v>Nẹp kính 18.5</v>
      </c>
      <c r="X6511" s="786"/>
      <c r="Y6511" s="1128" t="s">
        <v>3455</v>
      </c>
      <c r="Z6511" s="1128" t="s">
        <v>3381</v>
      </c>
      <c r="AA6511" s="1128" t="s">
        <v>3384</v>
      </c>
      <c r="AB6511" s="20"/>
      <c r="AC6511" s="73"/>
    </row>
    <row r="6512" spans="1:29">
      <c r="A6512" s="327" t="str">
        <f>IF(AND($B6512&lt;&gt;"",$C6512&lt;&gt;""),MAX($A$6492:$A6510)+1,"")</f>
        <v/>
      </c>
      <c r="B6512" s="361"/>
      <c r="C6512" s="362"/>
      <c r="D6512" s="362">
        <v>20</v>
      </c>
      <c r="E6512" s="361" t="s">
        <v>871</v>
      </c>
      <c r="F6512" s="362" t="s">
        <v>3006</v>
      </c>
      <c r="G6512" s="327" t="s">
        <v>240</v>
      </c>
      <c r="H6512" s="361" t="s">
        <v>537</v>
      </c>
      <c r="I6512" s="327">
        <v>1</v>
      </c>
      <c r="J6512" s="363"/>
      <c r="K6512" s="345">
        <f t="shared" si="388"/>
        <v>11</v>
      </c>
      <c r="L6512" s="710">
        <f t="shared" si="390"/>
        <v>340000</v>
      </c>
      <c r="M6512" s="371"/>
      <c r="N6512" s="355" t="str">
        <f t="shared" si="385"/>
        <v>KI</v>
      </c>
      <c r="O6512" s="345">
        <f t="shared" si="386"/>
        <v>10</v>
      </c>
      <c r="P6512" s="345">
        <f t="shared" si="389"/>
        <v>11</v>
      </c>
      <c r="Q6512" s="367">
        <f t="shared" si="375"/>
        <v>229304</v>
      </c>
      <c r="R6512" s="442" t="str">
        <f t="shared" si="376"/>
        <v>Gioăng kính Nr.66</v>
      </c>
      <c r="S6512" s="367">
        <f t="shared" si="377"/>
        <v>561520</v>
      </c>
      <c r="T6512" s="367" t="str">
        <f t="shared" si="378"/>
        <v>Nẹp kính 30.5</v>
      </c>
      <c r="U6512" s="367"/>
      <c r="V6512" s="367">
        <f t="shared" si="379"/>
        <v>560610</v>
      </c>
      <c r="W6512" s="442" t="str">
        <f t="shared" si="380"/>
        <v>Nẹp kính 18.5</v>
      </c>
      <c r="X6512" s="786"/>
      <c r="Y6512" s="1128" t="s">
        <v>3455</v>
      </c>
      <c r="Z6512" s="1128" t="s">
        <v>3381</v>
      </c>
      <c r="AA6512" s="1128" t="s">
        <v>3384</v>
      </c>
      <c r="AB6512" s="20"/>
      <c r="AC6512" s="73"/>
    </row>
    <row r="6513" spans="1:29">
      <c r="A6513" s="327" t="str">
        <f>IF(AND($B6513&lt;&gt;"",$C6513&lt;&gt;""),MAX($A$6492:$A6511)+1,"")</f>
        <v/>
      </c>
      <c r="B6513" s="361"/>
      <c r="C6513" s="362"/>
      <c r="D6513" s="362">
        <v>21</v>
      </c>
      <c r="E6513" s="361" t="s">
        <v>2999</v>
      </c>
      <c r="F6513" s="362" t="s">
        <v>3007</v>
      </c>
      <c r="G6513" s="327" t="s">
        <v>240</v>
      </c>
      <c r="H6513" s="361" t="s">
        <v>537</v>
      </c>
      <c r="I6513" s="327">
        <v>1</v>
      </c>
      <c r="J6513" s="363"/>
      <c r="K6513" s="345">
        <f t="shared" si="388"/>
        <v>11</v>
      </c>
      <c r="L6513" s="710">
        <f t="shared" si="390"/>
        <v>420000</v>
      </c>
      <c r="M6513" s="371"/>
      <c r="N6513" s="355" t="str">
        <f t="shared" si="385"/>
        <v>KI</v>
      </c>
      <c r="O6513" s="345">
        <f t="shared" ref="O6513:O6515" si="392">IF($E6513="","",IF(VALUE(MID($E6513,3,2))&gt;=20,20,IF(AND(10&lt;VALUE(MID($E6513,3,2)),VALUE(MID($E6513,3,2))&lt;20),19,10)))</f>
        <v>10</v>
      </c>
      <c r="P6513" s="345">
        <f t="shared" si="389"/>
        <v>11</v>
      </c>
      <c r="Q6513" s="367">
        <f t="shared" si="375"/>
        <v>229314</v>
      </c>
      <c r="R6513" s="442" t="str">
        <f t="shared" si="376"/>
        <v>Gioăng kính Nr.68</v>
      </c>
      <c r="S6513" s="367">
        <f t="shared" si="377"/>
        <v>560620</v>
      </c>
      <c r="T6513" s="367" t="str">
        <f t="shared" si="378"/>
        <v>Nẹp kính 26.5</v>
      </c>
      <c r="U6513" s="367"/>
      <c r="V6513" s="367">
        <f t="shared" si="379"/>
        <v>560600</v>
      </c>
      <c r="W6513" s="442" t="str">
        <f t="shared" si="380"/>
        <v>Nẹp kính 14.5</v>
      </c>
      <c r="X6513" s="786"/>
      <c r="Y6513" s="1128" t="s">
        <v>3455</v>
      </c>
      <c r="Z6513" s="1128" t="s">
        <v>3381</v>
      </c>
      <c r="AA6513" s="1128" t="s">
        <v>3384</v>
      </c>
      <c r="AB6513" s="20"/>
      <c r="AC6513" s="73"/>
    </row>
    <row r="6514" spans="1:29">
      <c r="A6514" s="327" t="str">
        <f>IF(AND($B6514&lt;&gt;"",$C6514&lt;&gt;""),MAX($A$6492:$A6512)+1,"")</f>
        <v/>
      </c>
      <c r="B6514" s="361"/>
      <c r="C6514" s="362"/>
      <c r="D6514" s="362">
        <v>22</v>
      </c>
      <c r="E6514" s="361" t="s">
        <v>3000</v>
      </c>
      <c r="F6514" s="362" t="s">
        <v>3008</v>
      </c>
      <c r="G6514" s="327" t="s">
        <v>240</v>
      </c>
      <c r="H6514" s="361" t="s">
        <v>537</v>
      </c>
      <c r="I6514" s="327">
        <v>1</v>
      </c>
      <c r="J6514" s="363"/>
      <c r="K6514" s="345">
        <f t="shared" si="388"/>
        <v>12</v>
      </c>
      <c r="L6514" s="710">
        <f t="shared" si="390"/>
        <v>535000</v>
      </c>
      <c r="M6514" s="371"/>
      <c r="N6514" s="355" t="str">
        <f t="shared" si="385"/>
        <v>KI</v>
      </c>
      <c r="O6514" s="345">
        <f t="shared" si="392"/>
        <v>19</v>
      </c>
      <c r="P6514" s="345" t="str">
        <f t="shared" si="389"/>
        <v/>
      </c>
      <c r="Q6514" s="367">
        <f t="shared" si="375"/>
        <v>229304</v>
      </c>
      <c r="R6514" s="442" t="str">
        <f t="shared" si="376"/>
        <v>Gioăng kính Nr.66</v>
      </c>
      <c r="S6514" s="367">
        <f t="shared" si="377"/>
        <v>560620</v>
      </c>
      <c r="T6514" s="367" t="str">
        <f t="shared" si="378"/>
        <v>Nẹp kính 26.5</v>
      </c>
      <c r="U6514" s="367"/>
      <c r="V6514" s="367">
        <f t="shared" si="379"/>
        <v>560600</v>
      </c>
      <c r="W6514" s="442" t="str">
        <f t="shared" si="380"/>
        <v>Nẹp kính 14.5</v>
      </c>
      <c r="X6514" s="786"/>
      <c r="Y6514" s="1128" t="s">
        <v>3455</v>
      </c>
      <c r="Z6514" s="1128" t="s">
        <v>3381</v>
      </c>
      <c r="AA6514" s="1128" t="s">
        <v>3384</v>
      </c>
      <c r="AB6514" s="20"/>
      <c r="AC6514" s="73"/>
    </row>
    <row r="6515" spans="1:29">
      <c r="A6515" s="327" t="str">
        <f>IF(AND($B6515&lt;&gt;"",$C6515&lt;&gt;""),MAX($A$6492:$A6513)+1,"")</f>
        <v/>
      </c>
      <c r="B6515" s="361"/>
      <c r="C6515" s="362"/>
      <c r="D6515" s="362">
        <v>23</v>
      </c>
      <c r="E6515" s="361" t="s">
        <v>3001</v>
      </c>
      <c r="F6515" s="362" t="s">
        <v>3009</v>
      </c>
      <c r="G6515" s="327" t="s">
        <v>240</v>
      </c>
      <c r="H6515" s="361" t="s">
        <v>537</v>
      </c>
      <c r="I6515" s="327">
        <v>1</v>
      </c>
      <c r="J6515" s="363"/>
      <c r="K6515" s="345">
        <f t="shared" si="388"/>
        <v>12</v>
      </c>
      <c r="L6515" s="710" t="s">
        <v>2286</v>
      </c>
      <c r="M6515" s="371"/>
      <c r="N6515" s="355" t="str">
        <f t="shared" si="385"/>
        <v>KI</v>
      </c>
      <c r="O6515" s="345">
        <f t="shared" si="392"/>
        <v>19</v>
      </c>
      <c r="P6515" s="345" t="str">
        <f t="shared" si="389"/>
        <v/>
      </c>
      <c r="Q6515" s="367">
        <f t="shared" si="375"/>
        <v>220182</v>
      </c>
      <c r="R6515" s="442" t="str">
        <f t="shared" si="376"/>
        <v>Gioăng kính Nr.67</v>
      </c>
      <c r="S6515" s="367">
        <f t="shared" si="377"/>
        <v>560510</v>
      </c>
      <c r="T6515" s="367" t="str">
        <f t="shared" si="378"/>
        <v>Nẹp kính 22.5</v>
      </c>
      <c r="U6515" s="367"/>
      <c r="V6515" s="367">
        <f t="shared" si="379"/>
        <v>560590</v>
      </c>
      <c r="W6515" s="442" t="str">
        <f t="shared" si="380"/>
        <v>Nẹp kính 10.5</v>
      </c>
      <c r="X6515" s="786"/>
      <c r="Y6515" s="1128"/>
      <c r="Z6515" s="1128" t="s">
        <v>3381</v>
      </c>
      <c r="AA6515" s="1128" t="s">
        <v>3384</v>
      </c>
      <c r="AB6515" s="20"/>
      <c r="AC6515" s="73"/>
    </row>
    <row r="6516" spans="1:29">
      <c r="A6516" s="327" t="str">
        <f>IF(AND($B6516&lt;&gt;"",$C6516&lt;&gt;""),MAX($A$6492:$A6512)+1,"")</f>
        <v/>
      </c>
      <c r="B6516" s="361"/>
      <c r="C6516" s="362"/>
      <c r="D6516" s="362">
        <v>24</v>
      </c>
      <c r="E6516" s="361" t="s">
        <v>872</v>
      </c>
      <c r="F6516" s="362" t="s">
        <v>3017</v>
      </c>
      <c r="G6516" s="327" t="s">
        <v>240</v>
      </c>
      <c r="H6516" s="361" t="s">
        <v>537</v>
      </c>
      <c r="I6516" s="327">
        <v>1</v>
      </c>
      <c r="J6516" s="363"/>
      <c r="K6516" s="345">
        <f t="shared" si="388"/>
        <v>11</v>
      </c>
      <c r="L6516" s="487">
        <f>L6502+120000</f>
        <v>365000</v>
      </c>
      <c r="M6516" s="371"/>
      <c r="N6516" s="355" t="str">
        <f t="shared" si="385"/>
        <v>KI</v>
      </c>
      <c r="O6516" s="345">
        <f t="shared" si="386"/>
        <v>10</v>
      </c>
      <c r="P6516" s="345">
        <f t="shared" si="389"/>
        <v>7</v>
      </c>
      <c r="Q6516" s="367">
        <f t="shared" si="375"/>
        <v>220162</v>
      </c>
      <c r="R6516" s="442" t="str">
        <f t="shared" si="376"/>
        <v>Gioăng kính Nr.65</v>
      </c>
      <c r="S6516" s="367">
        <f t="shared" si="377"/>
        <v>561530</v>
      </c>
      <c r="T6516" s="367" t="str">
        <f t="shared" si="378"/>
        <v>Nẹp kính 34.5</v>
      </c>
      <c r="U6516" s="367"/>
      <c r="V6516" s="367">
        <f t="shared" si="379"/>
        <v>560510</v>
      </c>
      <c r="W6516" s="442" t="str">
        <f t="shared" si="380"/>
        <v>Nẹp kính 22.5</v>
      </c>
      <c r="X6516" s="786"/>
      <c r="Y6516" s="1128" t="s">
        <v>3455</v>
      </c>
      <c r="Z6516" s="1128" t="s">
        <v>3381</v>
      </c>
      <c r="AA6516" s="1128" t="s">
        <v>3384</v>
      </c>
      <c r="AB6516" s="20"/>
      <c r="AC6516" s="73"/>
    </row>
    <row r="6517" spans="1:29">
      <c r="A6517" s="327" t="str">
        <f>IF(AND($B6517&lt;&gt;"",$C6517&lt;&gt;""),MAX($A$6492:$A6513)+1,"")</f>
        <v/>
      </c>
      <c r="B6517" s="361"/>
      <c r="C6517" s="362"/>
      <c r="D6517" s="362">
        <v>25</v>
      </c>
      <c r="E6517" s="361" t="s">
        <v>3016</v>
      </c>
      <c r="F6517" s="362" t="s">
        <v>3408</v>
      </c>
      <c r="G6517" s="327" t="s">
        <v>240</v>
      </c>
      <c r="H6517" s="361" t="s">
        <v>537</v>
      </c>
      <c r="I6517" s="327">
        <v>1</v>
      </c>
      <c r="J6517" s="363"/>
      <c r="K6517" s="345">
        <f t="shared" si="388"/>
        <v>11</v>
      </c>
      <c r="L6517" s="487">
        <f t="shared" ref="L6517:L6520" si="393">L6503+120000</f>
        <v>405000</v>
      </c>
      <c r="M6517" s="371"/>
      <c r="N6517" s="355" t="str">
        <f t="shared" si="385"/>
        <v>KI</v>
      </c>
      <c r="O6517" s="345">
        <f t="shared" ref="O6517" si="394">IF($E6517="","",IF(VALUE(MID($E6517,3,2))&gt;=20,20,IF(AND(10&lt;VALUE(MID($E6517,3,2)),VALUE(MID($E6517,3,2))&lt;20),19,10)))</f>
        <v>10</v>
      </c>
      <c r="P6517" s="345">
        <f t="shared" si="389"/>
        <v>7</v>
      </c>
      <c r="Q6517" s="367">
        <f t="shared" si="375"/>
        <v>229314</v>
      </c>
      <c r="R6517" s="442" t="str">
        <f t="shared" si="376"/>
        <v>Gioăng kính Nr.68</v>
      </c>
      <c r="S6517" s="367">
        <f t="shared" si="377"/>
        <v>561520</v>
      </c>
      <c r="T6517" s="367" t="str">
        <f t="shared" si="378"/>
        <v>Nẹp kính 30.5</v>
      </c>
      <c r="U6517" s="367"/>
      <c r="V6517" s="367">
        <f t="shared" si="379"/>
        <v>560610</v>
      </c>
      <c r="W6517" s="442" t="str">
        <f t="shared" si="380"/>
        <v>Nẹp kính 18.5</v>
      </c>
      <c r="X6517" s="786"/>
      <c r="Y6517" s="1128" t="s">
        <v>3455</v>
      </c>
      <c r="Z6517" s="1128" t="s">
        <v>3381</v>
      </c>
      <c r="AA6517" s="1128" t="s">
        <v>3384</v>
      </c>
      <c r="AB6517" s="20"/>
      <c r="AC6517" s="73"/>
    </row>
    <row r="6518" spans="1:29">
      <c r="A6518" s="327" t="str">
        <f>IF(AND($B6518&lt;&gt;"",$C6518&lt;&gt;""),MAX($A$6492:$A6516)+1,"")</f>
        <v/>
      </c>
      <c r="B6518" s="361"/>
      <c r="C6518" s="362"/>
      <c r="D6518" s="362">
        <v>26</v>
      </c>
      <c r="E6518" s="361" t="s">
        <v>873</v>
      </c>
      <c r="F6518" s="362" t="s">
        <v>3470</v>
      </c>
      <c r="G6518" s="327" t="s">
        <v>240</v>
      </c>
      <c r="H6518" s="361" t="s">
        <v>537</v>
      </c>
      <c r="I6518" s="327">
        <v>1</v>
      </c>
      <c r="J6518" s="363"/>
      <c r="K6518" s="345">
        <f t="shared" si="388"/>
        <v>11</v>
      </c>
      <c r="L6518" s="487">
        <f t="shared" si="393"/>
        <v>485000</v>
      </c>
      <c r="M6518" s="371"/>
      <c r="N6518" s="355" t="str">
        <f t="shared" si="385"/>
        <v>KI</v>
      </c>
      <c r="O6518" s="345">
        <f t="shared" si="386"/>
        <v>10</v>
      </c>
      <c r="P6518" s="345">
        <f t="shared" si="389"/>
        <v>11</v>
      </c>
      <c r="Q6518" s="367">
        <f t="shared" si="375"/>
        <v>229304</v>
      </c>
      <c r="R6518" s="442" t="str">
        <f t="shared" si="376"/>
        <v>Gioăng kính Nr.66</v>
      </c>
      <c r="S6518" s="367">
        <f t="shared" si="377"/>
        <v>561520</v>
      </c>
      <c r="T6518" s="367" t="str">
        <f t="shared" si="378"/>
        <v>Nẹp kính 30.5</v>
      </c>
      <c r="U6518" s="367"/>
      <c r="V6518" s="367">
        <f t="shared" si="379"/>
        <v>560610</v>
      </c>
      <c r="W6518" s="442" t="str">
        <f t="shared" si="380"/>
        <v>Nẹp kính 18.5</v>
      </c>
      <c r="X6518" s="786"/>
      <c r="Y6518" s="1128" t="s">
        <v>3455</v>
      </c>
      <c r="Z6518" s="1128" t="s">
        <v>3381</v>
      </c>
      <c r="AA6518" s="1128" t="s">
        <v>3384</v>
      </c>
      <c r="AB6518" s="20"/>
      <c r="AC6518" s="73"/>
    </row>
    <row r="6519" spans="1:29">
      <c r="A6519" s="327" t="str">
        <f>IF(AND($B6519&lt;&gt;"",$C6519&lt;&gt;""),MAX($A$6492:$A6517)+1,"")</f>
        <v/>
      </c>
      <c r="B6519" s="361"/>
      <c r="C6519" s="362"/>
      <c r="D6519" s="362">
        <v>27</v>
      </c>
      <c r="E6519" s="361" t="s">
        <v>3018</v>
      </c>
      <c r="F6519" s="362" t="s">
        <v>3409</v>
      </c>
      <c r="G6519" s="327" t="s">
        <v>240</v>
      </c>
      <c r="H6519" s="361" t="s">
        <v>537</v>
      </c>
      <c r="I6519" s="327">
        <v>1</v>
      </c>
      <c r="J6519" s="363"/>
      <c r="K6519" s="345">
        <f t="shared" si="388"/>
        <v>11</v>
      </c>
      <c r="L6519" s="487">
        <f t="shared" si="393"/>
        <v>580000</v>
      </c>
      <c r="M6519" s="371"/>
      <c r="N6519" s="355" t="str">
        <f t="shared" si="385"/>
        <v>KI</v>
      </c>
      <c r="O6519" s="345">
        <f t="shared" ref="O6519:O6599" si="395">IF($E6519="","",IF(VALUE(MID($E6519,3,2))&gt;=20,20,IF(AND(10&lt;VALUE(MID($E6519,3,2)),VALUE(MID($E6519,3,2))&lt;20),19,10)))</f>
        <v>10</v>
      </c>
      <c r="P6519" s="345">
        <f t="shared" si="389"/>
        <v>11</v>
      </c>
      <c r="Q6519" s="367">
        <f t="shared" si="375"/>
        <v>229314</v>
      </c>
      <c r="R6519" s="442" t="str">
        <f t="shared" si="376"/>
        <v>Gioăng kính Nr.68</v>
      </c>
      <c r="S6519" s="367">
        <f t="shared" si="377"/>
        <v>560620</v>
      </c>
      <c r="T6519" s="367" t="str">
        <f t="shared" si="378"/>
        <v>Nẹp kính 26.5</v>
      </c>
      <c r="U6519" s="367"/>
      <c r="V6519" s="367">
        <f t="shared" si="379"/>
        <v>560600</v>
      </c>
      <c r="W6519" s="442" t="str">
        <f t="shared" si="380"/>
        <v>Nẹp kính 14.5</v>
      </c>
      <c r="X6519" s="786"/>
      <c r="Y6519" s="1128" t="s">
        <v>3455</v>
      </c>
      <c r="Z6519" s="1128" t="s">
        <v>3381</v>
      </c>
      <c r="AA6519" s="1128" t="s">
        <v>3384</v>
      </c>
      <c r="AB6519" s="20"/>
      <c r="AC6519" s="73"/>
    </row>
    <row r="6520" spans="1:29">
      <c r="A6520" s="327" t="str">
        <f>IF(AND($B6520&lt;&gt;"",$C6520&lt;&gt;""),MAX($A$6492:$A6518)+1,"")</f>
        <v/>
      </c>
      <c r="B6520" s="361"/>
      <c r="C6520" s="362"/>
      <c r="D6520" s="362">
        <v>28</v>
      </c>
      <c r="E6520" s="361" t="s">
        <v>3019</v>
      </c>
      <c r="F6520" s="362" t="s">
        <v>3410</v>
      </c>
      <c r="G6520" s="327" t="s">
        <v>240</v>
      </c>
      <c r="H6520" s="361" t="s">
        <v>537</v>
      </c>
      <c r="I6520" s="327">
        <v>1</v>
      </c>
      <c r="J6520" s="363"/>
      <c r="K6520" s="345">
        <f t="shared" si="388"/>
        <v>12</v>
      </c>
      <c r="L6520" s="487">
        <f t="shared" si="393"/>
        <v>665000</v>
      </c>
      <c r="M6520" s="371"/>
      <c r="N6520" s="355" t="str">
        <f t="shared" si="385"/>
        <v>KI</v>
      </c>
      <c r="O6520" s="345">
        <f t="shared" si="395"/>
        <v>19</v>
      </c>
      <c r="P6520" s="345" t="str">
        <f t="shared" si="389"/>
        <v/>
      </c>
      <c r="Q6520" s="367">
        <f t="shared" si="375"/>
        <v>229304</v>
      </c>
      <c r="R6520" s="442" t="str">
        <f t="shared" si="376"/>
        <v>Gioăng kính Nr.66</v>
      </c>
      <c r="S6520" s="367">
        <f t="shared" si="377"/>
        <v>560620</v>
      </c>
      <c r="T6520" s="367" t="str">
        <f t="shared" si="378"/>
        <v>Nẹp kính 26.5</v>
      </c>
      <c r="U6520" s="367"/>
      <c r="V6520" s="367">
        <f t="shared" si="379"/>
        <v>560600</v>
      </c>
      <c r="W6520" s="442" t="str">
        <f t="shared" si="380"/>
        <v>Nẹp kính 14.5</v>
      </c>
      <c r="X6520" s="786"/>
      <c r="Y6520" s="1128" t="s">
        <v>3455</v>
      </c>
      <c r="Z6520" s="1128" t="s">
        <v>3381</v>
      </c>
      <c r="AA6520" s="1128" t="s">
        <v>3384</v>
      </c>
      <c r="AB6520" s="20"/>
      <c r="AC6520" s="73"/>
    </row>
    <row r="6521" spans="1:29">
      <c r="A6521" s="327" t="str">
        <f>IF(AND($B6521&lt;&gt;"",$C6521&lt;&gt;""),MAX($A$6492:$A6519)+1,"")</f>
        <v/>
      </c>
      <c r="B6521" s="361"/>
      <c r="C6521" s="362"/>
      <c r="D6521" s="362">
        <v>29</v>
      </c>
      <c r="E6521" s="361" t="s">
        <v>3020</v>
      </c>
      <c r="F6521" s="362" t="s">
        <v>3411</v>
      </c>
      <c r="G6521" s="327" t="s">
        <v>240</v>
      </c>
      <c r="H6521" s="361" t="s">
        <v>537</v>
      </c>
      <c r="I6521" s="327">
        <v>1</v>
      </c>
      <c r="J6521" s="363"/>
      <c r="K6521" s="345">
        <f t="shared" si="388"/>
        <v>12</v>
      </c>
      <c r="L6521" s="710" t="s">
        <v>2286</v>
      </c>
      <c r="M6521" s="371"/>
      <c r="N6521" s="355" t="str">
        <f t="shared" si="385"/>
        <v>KI</v>
      </c>
      <c r="O6521" s="345">
        <f t="shared" si="395"/>
        <v>19</v>
      </c>
      <c r="P6521" s="345" t="str">
        <f t="shared" si="389"/>
        <v/>
      </c>
      <c r="Q6521" s="367">
        <f t="shared" si="375"/>
        <v>220182</v>
      </c>
      <c r="R6521" s="442" t="str">
        <f t="shared" si="376"/>
        <v>Gioăng kính Nr.67</v>
      </c>
      <c r="S6521" s="367">
        <f t="shared" si="377"/>
        <v>560510</v>
      </c>
      <c r="T6521" s="367" t="str">
        <f t="shared" si="378"/>
        <v>Nẹp kính 22.5</v>
      </c>
      <c r="U6521" s="367"/>
      <c r="V6521" s="367">
        <f t="shared" si="379"/>
        <v>560590</v>
      </c>
      <c r="W6521" s="442" t="str">
        <f t="shared" si="380"/>
        <v>Nẹp kính 10.5</v>
      </c>
      <c r="X6521" s="786"/>
      <c r="Y6521" s="1128"/>
      <c r="Z6521" s="1128" t="s">
        <v>3381</v>
      </c>
      <c r="AA6521" s="1128" t="s">
        <v>3384</v>
      </c>
      <c r="AB6521" s="20"/>
      <c r="AC6521" s="73"/>
    </row>
    <row r="6522" spans="1:29" ht="14.25" customHeight="1">
      <c r="A6522" s="327" t="str">
        <f>IF(AND($B6522&lt;&gt;"",$C6522&lt;&gt;""),MAX($A$6492:$A6520)+1,"")</f>
        <v/>
      </c>
      <c r="B6522" s="361"/>
      <c r="C6522" s="362"/>
      <c r="D6522" s="362">
        <v>30</v>
      </c>
      <c r="E6522" s="361" t="s">
        <v>3471</v>
      </c>
      <c r="F6522" s="362" t="s">
        <v>3475</v>
      </c>
      <c r="G6522" s="327" t="s">
        <v>240</v>
      </c>
      <c r="H6522" s="361" t="s">
        <v>2629</v>
      </c>
      <c r="I6522" s="327">
        <v>1</v>
      </c>
      <c r="J6522" s="363"/>
      <c r="K6522" s="345">
        <f t="shared" si="388"/>
        <v>11</v>
      </c>
      <c r="L6522" s="348">
        <v>380000</v>
      </c>
      <c r="M6522" s="371"/>
      <c r="N6522" s="355" t="str">
        <f t="shared" si="385"/>
        <v>KI</v>
      </c>
      <c r="O6522" s="345">
        <f t="shared" si="395"/>
        <v>10</v>
      </c>
      <c r="P6522" s="345">
        <f t="shared" si="389"/>
        <v>7</v>
      </c>
      <c r="Q6522" s="367">
        <f t="shared" si="375"/>
        <v>220162</v>
      </c>
      <c r="R6522" s="442" t="str">
        <f t="shared" si="376"/>
        <v>Gioăng kính Nr.65</v>
      </c>
      <c r="S6522" s="367">
        <f t="shared" si="377"/>
        <v>561530</v>
      </c>
      <c r="T6522" s="367" t="str">
        <f t="shared" si="378"/>
        <v>Nẹp kính 34.5</v>
      </c>
      <c r="U6522" s="367"/>
      <c r="V6522" s="367">
        <f t="shared" si="379"/>
        <v>560510</v>
      </c>
      <c r="W6522" s="442" t="str">
        <f t="shared" si="380"/>
        <v>Nẹp kính 22.5</v>
      </c>
      <c r="X6522" s="786"/>
      <c r="Y6522" s="1128" t="s">
        <v>3455</v>
      </c>
      <c r="Z6522" s="1128" t="s">
        <v>3381</v>
      </c>
      <c r="AA6522" s="1128" t="s">
        <v>3384</v>
      </c>
      <c r="AB6522" s="20"/>
      <c r="AC6522" s="73"/>
    </row>
    <row r="6523" spans="1:29" ht="14.25" customHeight="1">
      <c r="A6523" s="327" t="str">
        <f>IF(AND($B6523&lt;&gt;"",$C6523&lt;&gt;""),MAX($A$6492:$A6521)+1,"")</f>
        <v/>
      </c>
      <c r="B6523" s="361"/>
      <c r="C6523" s="362"/>
      <c r="D6523" s="362">
        <v>31</v>
      </c>
      <c r="E6523" s="361" t="s">
        <v>3472</v>
      </c>
      <c r="F6523" s="362" t="s">
        <v>3476</v>
      </c>
      <c r="G6523" s="327" t="s">
        <v>240</v>
      </c>
      <c r="H6523" s="361" t="s">
        <v>2629</v>
      </c>
      <c r="I6523" s="327">
        <v>1</v>
      </c>
      <c r="J6523" s="363"/>
      <c r="K6523" s="345">
        <f t="shared" si="388"/>
        <v>11</v>
      </c>
      <c r="L6523" s="348">
        <v>640000</v>
      </c>
      <c r="M6523" s="371"/>
      <c r="N6523" s="355" t="str">
        <f t="shared" si="385"/>
        <v>KI</v>
      </c>
      <c r="O6523" s="345">
        <f t="shared" si="395"/>
        <v>10</v>
      </c>
      <c r="P6523" s="345">
        <f t="shared" si="389"/>
        <v>11</v>
      </c>
      <c r="Q6523" s="367">
        <f t="shared" si="375"/>
        <v>229304</v>
      </c>
      <c r="R6523" s="442" t="str">
        <f t="shared" si="376"/>
        <v>Gioăng kính Nr.66</v>
      </c>
      <c r="S6523" s="367">
        <f t="shared" si="377"/>
        <v>561520</v>
      </c>
      <c r="T6523" s="367" t="str">
        <f t="shared" si="378"/>
        <v>Nẹp kính 30.5</v>
      </c>
      <c r="U6523" s="367"/>
      <c r="V6523" s="367">
        <f t="shared" si="379"/>
        <v>560610</v>
      </c>
      <c r="W6523" s="442" t="str">
        <f t="shared" si="380"/>
        <v>Nẹp kính 18.5</v>
      </c>
      <c r="X6523" s="786"/>
      <c r="Y6523" s="1128" t="s">
        <v>3455</v>
      </c>
      <c r="Z6523" s="1128" t="s">
        <v>3381</v>
      </c>
      <c r="AA6523" s="1128" t="s">
        <v>3384</v>
      </c>
      <c r="AB6523" s="20"/>
      <c r="AC6523" s="73"/>
    </row>
    <row r="6524" spans="1:29" ht="14.25" customHeight="1">
      <c r="A6524" s="327" t="str">
        <f>IF(AND($B6524&lt;&gt;"",$C6524&lt;&gt;""),MAX($A$6492:$A6522)+1,"")</f>
        <v/>
      </c>
      <c r="B6524" s="361"/>
      <c r="C6524" s="362"/>
      <c r="D6524" s="362">
        <v>32</v>
      </c>
      <c r="E6524" s="361" t="s">
        <v>3473</v>
      </c>
      <c r="F6524" s="362" t="s">
        <v>3477</v>
      </c>
      <c r="G6524" s="327" t="s">
        <v>240</v>
      </c>
      <c r="H6524" s="361" t="s">
        <v>2629</v>
      </c>
      <c r="I6524" s="327">
        <v>1</v>
      </c>
      <c r="J6524" s="363"/>
      <c r="K6524" s="345">
        <f t="shared" si="388"/>
        <v>11</v>
      </c>
      <c r="L6524" s="348">
        <v>740000</v>
      </c>
      <c r="M6524" s="371"/>
      <c r="N6524" s="355" t="str">
        <f t="shared" si="385"/>
        <v>KI</v>
      </c>
      <c r="O6524" s="345">
        <f t="shared" si="395"/>
        <v>10</v>
      </c>
      <c r="P6524" s="345">
        <f t="shared" si="389"/>
        <v>11</v>
      </c>
      <c r="Q6524" s="367">
        <f t="shared" si="375"/>
        <v>229314</v>
      </c>
      <c r="R6524" s="442" t="str">
        <f t="shared" si="376"/>
        <v>Gioăng kính Nr.68</v>
      </c>
      <c r="S6524" s="367">
        <f t="shared" si="377"/>
        <v>560620</v>
      </c>
      <c r="T6524" s="367" t="str">
        <f t="shared" si="378"/>
        <v>Nẹp kính 26.5</v>
      </c>
      <c r="U6524" s="367"/>
      <c r="V6524" s="367">
        <f t="shared" si="379"/>
        <v>560600</v>
      </c>
      <c r="W6524" s="442" t="str">
        <f t="shared" si="380"/>
        <v>Nẹp kính 14.5</v>
      </c>
      <c r="X6524" s="786"/>
      <c r="Y6524" s="1128" t="s">
        <v>3455</v>
      </c>
      <c r="Z6524" s="1128" t="s">
        <v>3381</v>
      </c>
      <c r="AA6524" s="1128" t="s">
        <v>3384</v>
      </c>
      <c r="AB6524" s="20"/>
      <c r="AC6524" s="73"/>
    </row>
    <row r="6525" spans="1:29" ht="14.25" customHeight="1">
      <c r="A6525" s="327" t="str">
        <f>IF(AND($B6525&lt;&gt;"",$C6525&lt;&gt;""),MAX($A$6492:$A6523)+1,"")</f>
        <v/>
      </c>
      <c r="B6525" s="361"/>
      <c r="C6525" s="362"/>
      <c r="D6525" s="362">
        <v>33</v>
      </c>
      <c r="E6525" s="361" t="s">
        <v>3474</v>
      </c>
      <c r="F6525" s="362" t="s">
        <v>3478</v>
      </c>
      <c r="G6525" s="327" t="s">
        <v>240</v>
      </c>
      <c r="H6525" s="361" t="s">
        <v>2629</v>
      </c>
      <c r="I6525" s="327">
        <v>1</v>
      </c>
      <c r="J6525" s="363"/>
      <c r="K6525" s="345">
        <f t="shared" si="388"/>
        <v>12</v>
      </c>
      <c r="L6525" s="348">
        <v>880000</v>
      </c>
      <c r="M6525" s="371"/>
      <c r="N6525" s="355" t="str">
        <f t="shared" si="385"/>
        <v>KI</v>
      </c>
      <c r="O6525" s="345">
        <f t="shared" si="395"/>
        <v>19</v>
      </c>
      <c r="P6525" s="345" t="str">
        <f t="shared" si="389"/>
        <v/>
      </c>
      <c r="Q6525" s="367">
        <f t="shared" ref="Q6525:Q6556" si="396">VLOOKUP(VALUE(MID($E6525,3,2)),$P$6943:$W$6975,2)</f>
        <v>229304</v>
      </c>
      <c r="R6525" s="442" t="str">
        <f t="shared" ref="R6525:R6556" si="397">VLOOKUP(VALUE(MID($E6525,3,2)),$P$6943:$W$6975,3)</f>
        <v>Gioăng kính Nr.66</v>
      </c>
      <c r="S6525" s="367">
        <f t="shared" ref="S6525:S6556" si="398">VLOOKUP(VALUE(MID($E6525,3,2)),$P$6943:$W$6975,4)</f>
        <v>560620</v>
      </c>
      <c r="T6525" s="367" t="str">
        <f t="shared" ref="T6525:T6556" si="399">VLOOKUP(VALUE(MID($E6525,3,2)),$P$6943:$W$6975,5)</f>
        <v>Nẹp kính 26.5</v>
      </c>
      <c r="U6525" s="367"/>
      <c r="V6525" s="367">
        <f t="shared" ref="V6525:V6556" si="400">VLOOKUP(VALUE(MID($E6525,3,2)),$P$6943:$W$6975,7)</f>
        <v>560600</v>
      </c>
      <c r="W6525" s="442" t="str">
        <f t="shared" ref="W6525:W6556" si="401">VLOOKUP(VALUE(MID($E6525,3,2)),$P$6943:$W$6975,8)</f>
        <v>Nẹp kính 14.5</v>
      </c>
      <c r="X6525" s="786"/>
      <c r="Y6525" s="1128" t="s">
        <v>3455</v>
      </c>
      <c r="Z6525" s="1128" t="s">
        <v>3381</v>
      </c>
      <c r="AA6525" s="1128" t="s">
        <v>3384</v>
      </c>
      <c r="AB6525" s="20"/>
      <c r="AC6525" s="73"/>
    </row>
    <row r="6526" spans="1:29" ht="14.25" customHeight="1">
      <c r="A6526" s="327" t="str">
        <f>IF(AND($B6526&lt;&gt;"",$C6526&lt;&gt;""),MAX($A$6492:$A6524)+1,"")</f>
        <v/>
      </c>
      <c r="B6526" s="361"/>
      <c r="C6526" s="362"/>
      <c r="D6526" s="362">
        <v>34</v>
      </c>
      <c r="E6526" s="361" t="s">
        <v>3480</v>
      </c>
      <c r="F6526" s="362" t="s">
        <v>3479</v>
      </c>
      <c r="G6526" s="327" t="s">
        <v>240</v>
      </c>
      <c r="H6526" s="361" t="s">
        <v>2627</v>
      </c>
      <c r="I6526" s="327">
        <v>1</v>
      </c>
      <c r="J6526" s="363"/>
      <c r="K6526" s="345">
        <f t="shared" si="388"/>
        <v>11</v>
      </c>
      <c r="L6526" s="348">
        <v>380000</v>
      </c>
      <c r="M6526" s="371"/>
      <c r="N6526" s="355" t="str">
        <f t="shared" si="385"/>
        <v>KI</v>
      </c>
      <c r="O6526" s="345">
        <f t="shared" si="395"/>
        <v>10</v>
      </c>
      <c r="P6526" s="345">
        <f t="shared" si="389"/>
        <v>7</v>
      </c>
      <c r="Q6526" s="367">
        <f t="shared" si="396"/>
        <v>220162</v>
      </c>
      <c r="R6526" s="442" t="str">
        <f t="shared" si="397"/>
        <v>Gioăng kính Nr.65</v>
      </c>
      <c r="S6526" s="367">
        <f t="shared" si="398"/>
        <v>561530</v>
      </c>
      <c r="T6526" s="367" t="str">
        <f t="shared" si="399"/>
        <v>Nẹp kính 34.5</v>
      </c>
      <c r="U6526" s="367"/>
      <c r="V6526" s="367">
        <f t="shared" si="400"/>
        <v>560510</v>
      </c>
      <c r="W6526" s="442" t="str">
        <f t="shared" si="401"/>
        <v>Nẹp kính 22.5</v>
      </c>
      <c r="X6526" s="786"/>
      <c r="Y6526" s="1128" t="s">
        <v>3455</v>
      </c>
      <c r="Z6526" s="1128" t="s">
        <v>3381</v>
      </c>
      <c r="AA6526" s="1128" t="s">
        <v>3384</v>
      </c>
      <c r="AB6526" s="20"/>
      <c r="AC6526" s="73"/>
    </row>
    <row r="6527" spans="1:29" ht="14.25" customHeight="1">
      <c r="A6527" s="327" t="str">
        <f>IF(AND($B6527&lt;&gt;"",$C6527&lt;&gt;""),MAX($A$6492:$A6525)+1,"")</f>
        <v/>
      </c>
      <c r="B6527" s="361"/>
      <c r="C6527" s="362"/>
      <c r="D6527" s="362">
        <v>35</v>
      </c>
      <c r="E6527" s="361" t="s">
        <v>3481</v>
      </c>
      <c r="F6527" s="362" t="s">
        <v>3484</v>
      </c>
      <c r="G6527" s="327" t="s">
        <v>240</v>
      </c>
      <c r="H6527" s="361" t="s">
        <v>2627</v>
      </c>
      <c r="I6527" s="327">
        <v>1</v>
      </c>
      <c r="J6527" s="363"/>
      <c r="K6527" s="345">
        <f t="shared" si="388"/>
        <v>11</v>
      </c>
      <c r="L6527" s="348">
        <v>640000</v>
      </c>
      <c r="M6527" s="371"/>
      <c r="N6527" s="355" t="str">
        <f t="shared" si="385"/>
        <v>KI</v>
      </c>
      <c r="O6527" s="345">
        <f t="shared" si="395"/>
        <v>10</v>
      </c>
      <c r="P6527" s="345">
        <f t="shared" si="389"/>
        <v>11</v>
      </c>
      <c r="Q6527" s="367">
        <f t="shared" si="396"/>
        <v>229304</v>
      </c>
      <c r="R6527" s="442" t="str">
        <f t="shared" si="397"/>
        <v>Gioăng kính Nr.66</v>
      </c>
      <c r="S6527" s="367">
        <f t="shared" si="398"/>
        <v>561520</v>
      </c>
      <c r="T6527" s="367" t="str">
        <f t="shared" si="399"/>
        <v>Nẹp kính 30.5</v>
      </c>
      <c r="U6527" s="367"/>
      <c r="V6527" s="367">
        <f t="shared" si="400"/>
        <v>560610</v>
      </c>
      <c r="W6527" s="442" t="str">
        <f t="shared" si="401"/>
        <v>Nẹp kính 18.5</v>
      </c>
      <c r="X6527" s="786"/>
      <c r="Y6527" s="1128" t="s">
        <v>3455</v>
      </c>
      <c r="Z6527" s="1128" t="s">
        <v>3381</v>
      </c>
      <c r="AA6527" s="1128" t="s">
        <v>3384</v>
      </c>
      <c r="AB6527" s="20"/>
      <c r="AC6527" s="73"/>
    </row>
    <row r="6528" spans="1:29" ht="14.25" customHeight="1">
      <c r="A6528" s="327" t="str">
        <f>IF(AND($B6528&lt;&gt;"",$C6528&lt;&gt;""),MAX($A$6492:$A6526)+1,"")</f>
        <v/>
      </c>
      <c r="B6528" s="361"/>
      <c r="C6528" s="362"/>
      <c r="D6528" s="362">
        <v>36</v>
      </c>
      <c r="E6528" s="361" t="s">
        <v>3482</v>
      </c>
      <c r="F6528" s="362" t="s">
        <v>3485</v>
      </c>
      <c r="G6528" s="327" t="s">
        <v>240</v>
      </c>
      <c r="H6528" s="361" t="s">
        <v>2627</v>
      </c>
      <c r="I6528" s="327">
        <v>1</v>
      </c>
      <c r="J6528" s="363"/>
      <c r="K6528" s="345">
        <f t="shared" si="388"/>
        <v>11</v>
      </c>
      <c r="L6528" s="348">
        <v>740000</v>
      </c>
      <c r="M6528" s="371"/>
      <c r="N6528" s="355" t="str">
        <f t="shared" si="385"/>
        <v>KI</v>
      </c>
      <c r="O6528" s="345">
        <f t="shared" si="395"/>
        <v>10</v>
      </c>
      <c r="P6528" s="345">
        <f t="shared" si="389"/>
        <v>11</v>
      </c>
      <c r="Q6528" s="367">
        <f t="shared" si="396"/>
        <v>229314</v>
      </c>
      <c r="R6528" s="442" t="str">
        <f t="shared" si="397"/>
        <v>Gioăng kính Nr.68</v>
      </c>
      <c r="S6528" s="367">
        <f t="shared" si="398"/>
        <v>560620</v>
      </c>
      <c r="T6528" s="367" t="str">
        <f t="shared" si="399"/>
        <v>Nẹp kính 26.5</v>
      </c>
      <c r="U6528" s="367"/>
      <c r="V6528" s="367">
        <f t="shared" si="400"/>
        <v>560600</v>
      </c>
      <c r="W6528" s="442" t="str">
        <f t="shared" si="401"/>
        <v>Nẹp kính 14.5</v>
      </c>
      <c r="X6528" s="786"/>
      <c r="Y6528" s="1128" t="s">
        <v>3455</v>
      </c>
      <c r="Z6528" s="1128" t="s">
        <v>3381</v>
      </c>
      <c r="AA6528" s="1128" t="s">
        <v>3384</v>
      </c>
      <c r="AB6528" s="20"/>
      <c r="AC6528" s="73"/>
    </row>
    <row r="6529" spans="1:29" ht="14.25" customHeight="1">
      <c r="A6529" s="327" t="str">
        <f>IF(AND($B6529&lt;&gt;"",$C6529&lt;&gt;""),MAX($A$6492:$A6527)+1,"")</f>
        <v/>
      </c>
      <c r="B6529" s="361"/>
      <c r="C6529" s="362"/>
      <c r="D6529" s="362">
        <v>37</v>
      </c>
      <c r="E6529" s="361" t="s">
        <v>3483</v>
      </c>
      <c r="F6529" s="362" t="s">
        <v>3486</v>
      </c>
      <c r="G6529" s="327" t="s">
        <v>240</v>
      </c>
      <c r="H6529" s="361" t="s">
        <v>2627</v>
      </c>
      <c r="I6529" s="327">
        <v>1</v>
      </c>
      <c r="J6529" s="363"/>
      <c r="K6529" s="345">
        <f t="shared" si="388"/>
        <v>12</v>
      </c>
      <c r="L6529" s="348">
        <v>880000</v>
      </c>
      <c r="M6529" s="371"/>
      <c r="N6529" s="355" t="str">
        <f t="shared" si="385"/>
        <v>KI</v>
      </c>
      <c r="O6529" s="345">
        <f t="shared" si="395"/>
        <v>19</v>
      </c>
      <c r="P6529" s="345" t="str">
        <f t="shared" si="389"/>
        <v/>
      </c>
      <c r="Q6529" s="367">
        <f t="shared" si="396"/>
        <v>229304</v>
      </c>
      <c r="R6529" s="442" t="str">
        <f t="shared" si="397"/>
        <v>Gioăng kính Nr.66</v>
      </c>
      <c r="S6529" s="367">
        <f t="shared" si="398"/>
        <v>560620</v>
      </c>
      <c r="T6529" s="367" t="str">
        <f t="shared" si="399"/>
        <v>Nẹp kính 26.5</v>
      </c>
      <c r="U6529" s="367"/>
      <c r="V6529" s="367">
        <f t="shared" si="400"/>
        <v>560600</v>
      </c>
      <c r="W6529" s="442" t="str">
        <f t="shared" si="401"/>
        <v>Nẹp kính 14.5</v>
      </c>
      <c r="X6529" s="786"/>
      <c r="Y6529" s="1128" t="s">
        <v>3455</v>
      </c>
      <c r="Z6529" s="1128" t="s">
        <v>3381</v>
      </c>
      <c r="AA6529" s="1128" t="s">
        <v>3384</v>
      </c>
      <c r="AB6529" s="20"/>
      <c r="AC6529" s="73"/>
    </row>
    <row r="6530" spans="1:29" ht="14.25" customHeight="1">
      <c r="A6530" s="327" t="str">
        <f>IF(AND($B6530&lt;&gt;"",$C6530&lt;&gt;""),MAX($A$6492:$A6528)+1,"")</f>
        <v/>
      </c>
      <c r="B6530" s="361"/>
      <c r="C6530" s="362"/>
      <c r="D6530" s="362">
        <v>38</v>
      </c>
      <c r="E6530" s="361" t="s">
        <v>3487</v>
      </c>
      <c r="F6530" s="362" t="s">
        <v>3491</v>
      </c>
      <c r="G6530" s="327" t="s">
        <v>240</v>
      </c>
      <c r="H6530" s="361" t="s">
        <v>2628</v>
      </c>
      <c r="I6530" s="327">
        <v>1</v>
      </c>
      <c r="J6530" s="363"/>
      <c r="K6530" s="345">
        <f t="shared" si="388"/>
        <v>11</v>
      </c>
      <c r="L6530" s="348">
        <v>380000</v>
      </c>
      <c r="M6530" s="371"/>
      <c r="N6530" s="355" t="str">
        <f t="shared" si="385"/>
        <v>KI</v>
      </c>
      <c r="O6530" s="345">
        <f t="shared" si="395"/>
        <v>10</v>
      </c>
      <c r="P6530" s="345">
        <f t="shared" si="389"/>
        <v>7</v>
      </c>
      <c r="Q6530" s="367">
        <f t="shared" si="396"/>
        <v>220162</v>
      </c>
      <c r="R6530" s="442" t="str">
        <f t="shared" si="397"/>
        <v>Gioăng kính Nr.65</v>
      </c>
      <c r="S6530" s="367">
        <f t="shared" si="398"/>
        <v>561530</v>
      </c>
      <c r="T6530" s="367" t="str">
        <f t="shared" si="399"/>
        <v>Nẹp kính 34.5</v>
      </c>
      <c r="U6530" s="367"/>
      <c r="V6530" s="367">
        <f t="shared" si="400"/>
        <v>560510</v>
      </c>
      <c r="W6530" s="442" t="str">
        <f t="shared" si="401"/>
        <v>Nẹp kính 22.5</v>
      </c>
      <c r="X6530" s="786"/>
      <c r="Y6530" s="1128" t="s">
        <v>3455</v>
      </c>
      <c r="Z6530" s="1128" t="s">
        <v>3381</v>
      </c>
      <c r="AA6530" s="1128" t="s">
        <v>3384</v>
      </c>
      <c r="AB6530" s="20"/>
      <c r="AC6530" s="73"/>
    </row>
    <row r="6531" spans="1:29" ht="14.25" customHeight="1">
      <c r="A6531" s="327" t="str">
        <f>IF(AND($B6531&lt;&gt;"",$C6531&lt;&gt;""),MAX($A$6492:$A6529)+1,"")</f>
        <v/>
      </c>
      <c r="B6531" s="361"/>
      <c r="C6531" s="362"/>
      <c r="D6531" s="362">
        <v>39</v>
      </c>
      <c r="E6531" s="361" t="s">
        <v>3488</v>
      </c>
      <c r="F6531" s="362" t="s">
        <v>3492</v>
      </c>
      <c r="G6531" s="327" t="s">
        <v>240</v>
      </c>
      <c r="H6531" s="361" t="s">
        <v>2628</v>
      </c>
      <c r="I6531" s="327">
        <v>1</v>
      </c>
      <c r="J6531" s="363"/>
      <c r="K6531" s="345">
        <f t="shared" si="388"/>
        <v>11</v>
      </c>
      <c r="L6531" s="348">
        <v>640000</v>
      </c>
      <c r="M6531" s="371"/>
      <c r="N6531" s="355" t="str">
        <f t="shared" si="385"/>
        <v>KI</v>
      </c>
      <c r="O6531" s="345">
        <f t="shared" si="395"/>
        <v>10</v>
      </c>
      <c r="P6531" s="345">
        <f t="shared" si="389"/>
        <v>11</v>
      </c>
      <c r="Q6531" s="367">
        <f t="shared" si="396"/>
        <v>229304</v>
      </c>
      <c r="R6531" s="442" t="str">
        <f t="shared" si="397"/>
        <v>Gioăng kính Nr.66</v>
      </c>
      <c r="S6531" s="367">
        <f t="shared" si="398"/>
        <v>561520</v>
      </c>
      <c r="T6531" s="367" t="str">
        <f t="shared" si="399"/>
        <v>Nẹp kính 30.5</v>
      </c>
      <c r="U6531" s="367"/>
      <c r="V6531" s="367">
        <f t="shared" si="400"/>
        <v>560610</v>
      </c>
      <c r="W6531" s="442" t="str">
        <f t="shared" si="401"/>
        <v>Nẹp kính 18.5</v>
      </c>
      <c r="X6531" s="786"/>
      <c r="Y6531" s="1128" t="s">
        <v>3455</v>
      </c>
      <c r="Z6531" s="1128" t="s">
        <v>3381</v>
      </c>
      <c r="AA6531" s="1128" t="s">
        <v>3384</v>
      </c>
      <c r="AB6531" s="20"/>
      <c r="AC6531" s="73"/>
    </row>
    <row r="6532" spans="1:29" ht="14.25" customHeight="1">
      <c r="A6532" s="327" t="str">
        <f>IF(AND($B6532&lt;&gt;"",$C6532&lt;&gt;""),MAX($A$6492:$A6530)+1,"")</f>
        <v/>
      </c>
      <c r="B6532" s="361"/>
      <c r="C6532" s="362"/>
      <c r="D6532" s="362">
        <v>40</v>
      </c>
      <c r="E6532" s="361" t="s">
        <v>3489</v>
      </c>
      <c r="F6532" s="362" t="s">
        <v>3493</v>
      </c>
      <c r="G6532" s="327" t="s">
        <v>240</v>
      </c>
      <c r="H6532" s="361" t="s">
        <v>2628</v>
      </c>
      <c r="I6532" s="327">
        <v>1</v>
      </c>
      <c r="J6532" s="363"/>
      <c r="K6532" s="345">
        <f t="shared" si="388"/>
        <v>11</v>
      </c>
      <c r="L6532" s="348">
        <v>740000</v>
      </c>
      <c r="M6532" s="371"/>
      <c r="N6532" s="355" t="str">
        <f t="shared" si="385"/>
        <v>KI</v>
      </c>
      <c r="O6532" s="345">
        <f t="shared" si="395"/>
        <v>10</v>
      </c>
      <c r="P6532" s="345">
        <f t="shared" si="389"/>
        <v>11</v>
      </c>
      <c r="Q6532" s="367">
        <f t="shared" si="396"/>
        <v>229314</v>
      </c>
      <c r="R6532" s="442" t="str">
        <f t="shared" si="397"/>
        <v>Gioăng kính Nr.68</v>
      </c>
      <c r="S6532" s="367">
        <f t="shared" si="398"/>
        <v>560620</v>
      </c>
      <c r="T6532" s="367" t="str">
        <f t="shared" si="399"/>
        <v>Nẹp kính 26.5</v>
      </c>
      <c r="U6532" s="367"/>
      <c r="V6532" s="367">
        <f t="shared" si="400"/>
        <v>560600</v>
      </c>
      <c r="W6532" s="442" t="str">
        <f t="shared" si="401"/>
        <v>Nẹp kính 14.5</v>
      </c>
      <c r="X6532" s="786"/>
      <c r="Y6532" s="1128" t="s">
        <v>3455</v>
      </c>
      <c r="Z6532" s="1128" t="s">
        <v>3381</v>
      </c>
      <c r="AA6532" s="1128" t="s">
        <v>3384</v>
      </c>
      <c r="AB6532" s="20"/>
      <c r="AC6532" s="73"/>
    </row>
    <row r="6533" spans="1:29" ht="14.25" customHeight="1">
      <c r="A6533" s="327" t="str">
        <f>IF(AND($B6533&lt;&gt;"",$C6533&lt;&gt;""),MAX($A$6492:$A6531)+1,"")</f>
        <v/>
      </c>
      <c r="B6533" s="361"/>
      <c r="C6533" s="362"/>
      <c r="D6533" s="362">
        <v>41</v>
      </c>
      <c r="E6533" s="361" t="s">
        <v>3490</v>
      </c>
      <c r="F6533" s="362" t="s">
        <v>3494</v>
      </c>
      <c r="G6533" s="327" t="s">
        <v>240</v>
      </c>
      <c r="H6533" s="361" t="s">
        <v>2628</v>
      </c>
      <c r="I6533" s="327">
        <v>1</v>
      </c>
      <c r="J6533" s="363"/>
      <c r="K6533" s="345">
        <f t="shared" si="388"/>
        <v>12</v>
      </c>
      <c r="L6533" s="348">
        <v>880000</v>
      </c>
      <c r="M6533" s="371"/>
      <c r="N6533" s="355" t="str">
        <f t="shared" si="385"/>
        <v>KI</v>
      </c>
      <c r="O6533" s="345">
        <f t="shared" si="395"/>
        <v>19</v>
      </c>
      <c r="P6533" s="345" t="str">
        <f t="shared" si="389"/>
        <v/>
      </c>
      <c r="Q6533" s="367">
        <f t="shared" si="396"/>
        <v>229304</v>
      </c>
      <c r="R6533" s="442" t="str">
        <f t="shared" si="397"/>
        <v>Gioăng kính Nr.66</v>
      </c>
      <c r="S6533" s="367">
        <f t="shared" si="398"/>
        <v>560620</v>
      </c>
      <c r="T6533" s="367" t="str">
        <f t="shared" si="399"/>
        <v>Nẹp kính 26.5</v>
      </c>
      <c r="U6533" s="367"/>
      <c r="V6533" s="367">
        <f t="shared" si="400"/>
        <v>560600</v>
      </c>
      <c r="W6533" s="442" t="str">
        <f t="shared" si="401"/>
        <v>Nẹp kính 14.5</v>
      </c>
      <c r="X6533" s="786"/>
      <c r="Y6533" s="1128" t="s">
        <v>3455</v>
      </c>
      <c r="Z6533" s="1128" t="s">
        <v>3381</v>
      </c>
      <c r="AA6533" s="1128" t="s">
        <v>3384</v>
      </c>
      <c r="AB6533" s="20"/>
      <c r="AC6533" s="73"/>
    </row>
    <row r="6534" spans="1:29" ht="14.25" customHeight="1">
      <c r="A6534" s="327" t="str">
        <f>IF(AND($B6534&lt;&gt;"",$C6534&lt;&gt;""),MAX($A$6492:$A6532)+1,"")</f>
        <v/>
      </c>
      <c r="B6534" s="361"/>
      <c r="C6534" s="362"/>
      <c r="D6534" s="362">
        <v>42</v>
      </c>
      <c r="E6534" s="361" t="s">
        <v>3495</v>
      </c>
      <c r="F6534" s="362" t="s">
        <v>3499</v>
      </c>
      <c r="G6534" s="327" t="s">
        <v>240</v>
      </c>
      <c r="H6534" s="361" t="s">
        <v>3417</v>
      </c>
      <c r="I6534" s="327">
        <v>1</v>
      </c>
      <c r="J6534" s="363"/>
      <c r="K6534" s="345">
        <f t="shared" si="388"/>
        <v>11</v>
      </c>
      <c r="L6534" s="348">
        <v>380000</v>
      </c>
      <c r="M6534" s="371"/>
      <c r="N6534" s="355" t="str">
        <f t="shared" si="385"/>
        <v>KI</v>
      </c>
      <c r="O6534" s="345">
        <f t="shared" si="395"/>
        <v>10</v>
      </c>
      <c r="P6534" s="345">
        <f t="shared" si="389"/>
        <v>7</v>
      </c>
      <c r="Q6534" s="367">
        <f t="shared" si="396"/>
        <v>220162</v>
      </c>
      <c r="R6534" s="442" t="str">
        <f t="shared" si="397"/>
        <v>Gioăng kính Nr.65</v>
      </c>
      <c r="S6534" s="367">
        <f t="shared" si="398"/>
        <v>561530</v>
      </c>
      <c r="T6534" s="367" t="str">
        <f t="shared" si="399"/>
        <v>Nẹp kính 34.5</v>
      </c>
      <c r="U6534" s="367"/>
      <c r="V6534" s="367">
        <f t="shared" si="400"/>
        <v>560510</v>
      </c>
      <c r="W6534" s="442" t="str">
        <f t="shared" si="401"/>
        <v>Nẹp kính 22.5</v>
      </c>
      <c r="X6534" s="786"/>
      <c r="Y6534" s="1128" t="s">
        <v>3455</v>
      </c>
      <c r="Z6534" s="1128" t="s">
        <v>3381</v>
      </c>
      <c r="AA6534" s="1128" t="s">
        <v>3384</v>
      </c>
      <c r="AB6534" s="20"/>
      <c r="AC6534" s="73"/>
    </row>
    <row r="6535" spans="1:29" ht="14.25" customHeight="1">
      <c r="A6535" s="327" t="str">
        <f>IF(AND($B6535&lt;&gt;"",$C6535&lt;&gt;""),MAX($A$6492:$A6533)+1,"")</f>
        <v/>
      </c>
      <c r="B6535" s="361"/>
      <c r="C6535" s="362"/>
      <c r="D6535" s="362">
        <v>43</v>
      </c>
      <c r="E6535" s="361" t="s">
        <v>3496</v>
      </c>
      <c r="F6535" s="362" t="s">
        <v>3500</v>
      </c>
      <c r="G6535" s="327" t="s">
        <v>240</v>
      </c>
      <c r="H6535" s="361" t="s">
        <v>3417</v>
      </c>
      <c r="I6535" s="327">
        <v>1</v>
      </c>
      <c r="J6535" s="363"/>
      <c r="K6535" s="345">
        <f t="shared" si="388"/>
        <v>11</v>
      </c>
      <c r="L6535" s="348">
        <v>640000</v>
      </c>
      <c r="M6535" s="371"/>
      <c r="N6535" s="355" t="str">
        <f t="shared" si="385"/>
        <v>KI</v>
      </c>
      <c r="O6535" s="345">
        <f t="shared" si="395"/>
        <v>10</v>
      </c>
      <c r="P6535" s="345">
        <f t="shared" si="389"/>
        <v>11</v>
      </c>
      <c r="Q6535" s="367">
        <f t="shared" si="396"/>
        <v>229304</v>
      </c>
      <c r="R6535" s="442" t="str">
        <f t="shared" si="397"/>
        <v>Gioăng kính Nr.66</v>
      </c>
      <c r="S6535" s="367">
        <f t="shared" si="398"/>
        <v>561520</v>
      </c>
      <c r="T6535" s="367" t="str">
        <f t="shared" si="399"/>
        <v>Nẹp kính 30.5</v>
      </c>
      <c r="U6535" s="367"/>
      <c r="V6535" s="367">
        <f t="shared" si="400"/>
        <v>560610</v>
      </c>
      <c r="W6535" s="442" t="str">
        <f t="shared" si="401"/>
        <v>Nẹp kính 18.5</v>
      </c>
      <c r="X6535" s="786"/>
      <c r="Y6535" s="1128" t="s">
        <v>3455</v>
      </c>
      <c r="Z6535" s="1128" t="s">
        <v>3381</v>
      </c>
      <c r="AA6535" s="1128" t="s">
        <v>3384</v>
      </c>
      <c r="AB6535" s="20"/>
      <c r="AC6535" s="73"/>
    </row>
    <row r="6536" spans="1:29" ht="14.25" customHeight="1">
      <c r="A6536" s="327" t="str">
        <f>IF(AND($B6536&lt;&gt;"",$C6536&lt;&gt;""),MAX($A$6492:$A6534)+1,"")</f>
        <v/>
      </c>
      <c r="B6536" s="361"/>
      <c r="C6536" s="362"/>
      <c r="D6536" s="362">
        <v>44</v>
      </c>
      <c r="E6536" s="361" t="s">
        <v>3497</v>
      </c>
      <c r="F6536" s="362" t="s">
        <v>3501</v>
      </c>
      <c r="G6536" s="327" t="s">
        <v>240</v>
      </c>
      <c r="H6536" s="361" t="s">
        <v>3417</v>
      </c>
      <c r="I6536" s="327">
        <v>1</v>
      </c>
      <c r="J6536" s="363"/>
      <c r="K6536" s="345">
        <f t="shared" si="388"/>
        <v>11</v>
      </c>
      <c r="L6536" s="348">
        <v>740000</v>
      </c>
      <c r="M6536" s="371"/>
      <c r="N6536" s="355" t="str">
        <f t="shared" si="385"/>
        <v>KI</v>
      </c>
      <c r="O6536" s="345">
        <f t="shared" si="395"/>
        <v>10</v>
      </c>
      <c r="P6536" s="345">
        <f t="shared" si="389"/>
        <v>11</v>
      </c>
      <c r="Q6536" s="367">
        <f t="shared" si="396"/>
        <v>229314</v>
      </c>
      <c r="R6536" s="442" t="str">
        <f t="shared" si="397"/>
        <v>Gioăng kính Nr.68</v>
      </c>
      <c r="S6536" s="367">
        <f t="shared" si="398"/>
        <v>560620</v>
      </c>
      <c r="T6536" s="367" t="str">
        <f t="shared" si="399"/>
        <v>Nẹp kính 26.5</v>
      </c>
      <c r="U6536" s="367"/>
      <c r="V6536" s="367">
        <f t="shared" si="400"/>
        <v>560600</v>
      </c>
      <c r="W6536" s="442" t="str">
        <f t="shared" si="401"/>
        <v>Nẹp kính 14.5</v>
      </c>
      <c r="X6536" s="786"/>
      <c r="Y6536" s="1128" t="s">
        <v>3455</v>
      </c>
      <c r="Z6536" s="1128" t="s">
        <v>3381</v>
      </c>
      <c r="AA6536" s="1128" t="s">
        <v>3384</v>
      </c>
      <c r="AB6536" s="20"/>
      <c r="AC6536" s="73"/>
    </row>
    <row r="6537" spans="1:29" ht="14.25" customHeight="1">
      <c r="A6537" s="327" t="str">
        <f>IF(AND($B6537&lt;&gt;"",$C6537&lt;&gt;""),MAX($A$6492:$A6535)+1,"")</f>
        <v/>
      </c>
      <c r="B6537" s="361"/>
      <c r="C6537" s="362"/>
      <c r="D6537" s="362">
        <v>45</v>
      </c>
      <c r="E6537" s="361" t="s">
        <v>3498</v>
      </c>
      <c r="F6537" s="362" t="s">
        <v>3502</v>
      </c>
      <c r="G6537" s="327" t="s">
        <v>240</v>
      </c>
      <c r="H6537" s="361" t="s">
        <v>3417</v>
      </c>
      <c r="I6537" s="327">
        <v>1</v>
      </c>
      <c r="J6537" s="363"/>
      <c r="K6537" s="345">
        <f t="shared" si="388"/>
        <v>12</v>
      </c>
      <c r="L6537" s="348">
        <v>880000</v>
      </c>
      <c r="M6537" s="371"/>
      <c r="N6537" s="355" t="str">
        <f t="shared" si="385"/>
        <v>KI</v>
      </c>
      <c r="O6537" s="345">
        <f t="shared" si="395"/>
        <v>19</v>
      </c>
      <c r="P6537" s="345" t="str">
        <f t="shared" si="389"/>
        <v/>
      </c>
      <c r="Q6537" s="367">
        <f t="shared" si="396"/>
        <v>229304</v>
      </c>
      <c r="R6537" s="442" t="str">
        <f t="shared" si="397"/>
        <v>Gioăng kính Nr.66</v>
      </c>
      <c r="S6537" s="367">
        <f t="shared" si="398"/>
        <v>560620</v>
      </c>
      <c r="T6537" s="367" t="str">
        <f t="shared" si="399"/>
        <v>Nẹp kính 26.5</v>
      </c>
      <c r="U6537" s="367"/>
      <c r="V6537" s="367">
        <f t="shared" si="400"/>
        <v>560600</v>
      </c>
      <c r="W6537" s="442" t="str">
        <f t="shared" si="401"/>
        <v>Nẹp kính 14.5</v>
      </c>
      <c r="X6537" s="786"/>
      <c r="Y6537" s="1128" t="s">
        <v>3455</v>
      </c>
      <c r="Z6537" s="1128" t="s">
        <v>3381</v>
      </c>
      <c r="AA6537" s="1128" t="s">
        <v>3384</v>
      </c>
      <c r="AB6537" s="20"/>
      <c r="AC6537" s="73"/>
    </row>
    <row r="6538" spans="1:29" ht="14.25" customHeight="1">
      <c r="A6538" s="327" t="str">
        <f>IF(AND($B6538&lt;&gt;"",$C6538&lt;&gt;""),MAX($A$6492:$A6536)+1,"")</f>
        <v/>
      </c>
      <c r="B6538" s="361"/>
      <c r="C6538" s="362"/>
      <c r="D6538" s="362">
        <v>46</v>
      </c>
      <c r="E6538" s="361" t="s">
        <v>3507</v>
      </c>
      <c r="F6538" s="362" t="s">
        <v>3503</v>
      </c>
      <c r="G6538" s="327" t="s">
        <v>240</v>
      </c>
      <c r="H6538" s="361" t="s">
        <v>391</v>
      </c>
      <c r="I6538" s="327">
        <v>1</v>
      </c>
      <c r="J6538" s="363"/>
      <c r="K6538" s="345">
        <f t="shared" si="388"/>
        <v>11</v>
      </c>
      <c r="L6538" s="348">
        <v>380000</v>
      </c>
      <c r="M6538" s="371"/>
      <c r="N6538" s="355" t="str">
        <f t="shared" si="385"/>
        <v>KI</v>
      </c>
      <c r="O6538" s="345">
        <f t="shared" si="395"/>
        <v>10</v>
      </c>
      <c r="P6538" s="345">
        <f t="shared" si="389"/>
        <v>7</v>
      </c>
      <c r="Q6538" s="367">
        <f t="shared" si="396"/>
        <v>220162</v>
      </c>
      <c r="R6538" s="442" t="str">
        <f t="shared" si="397"/>
        <v>Gioăng kính Nr.65</v>
      </c>
      <c r="S6538" s="367">
        <f t="shared" si="398"/>
        <v>561530</v>
      </c>
      <c r="T6538" s="367" t="str">
        <f t="shared" si="399"/>
        <v>Nẹp kính 34.5</v>
      </c>
      <c r="U6538" s="367"/>
      <c r="V6538" s="367">
        <f t="shared" si="400"/>
        <v>560510</v>
      </c>
      <c r="W6538" s="442" t="str">
        <f t="shared" si="401"/>
        <v>Nẹp kính 22.5</v>
      </c>
      <c r="X6538" s="786"/>
      <c r="Y6538" s="1128" t="s">
        <v>3455</v>
      </c>
      <c r="Z6538" s="1128" t="s">
        <v>3381</v>
      </c>
      <c r="AA6538" s="1128" t="s">
        <v>3384</v>
      </c>
      <c r="AB6538" s="20"/>
      <c r="AC6538" s="73"/>
    </row>
    <row r="6539" spans="1:29" ht="14.25" customHeight="1">
      <c r="A6539" s="327" t="str">
        <f>IF(AND($B6539&lt;&gt;"",$C6539&lt;&gt;""),MAX($A$6492:$A6537)+1,"")</f>
        <v/>
      </c>
      <c r="B6539" s="361"/>
      <c r="C6539" s="362"/>
      <c r="D6539" s="362">
        <v>47</v>
      </c>
      <c r="E6539" s="361" t="s">
        <v>3508</v>
      </c>
      <c r="F6539" s="362" t="s">
        <v>3504</v>
      </c>
      <c r="G6539" s="327" t="s">
        <v>240</v>
      </c>
      <c r="H6539" s="361" t="s">
        <v>391</v>
      </c>
      <c r="I6539" s="327">
        <v>1</v>
      </c>
      <c r="J6539" s="363"/>
      <c r="K6539" s="345">
        <f t="shared" si="388"/>
        <v>11</v>
      </c>
      <c r="L6539" s="348">
        <v>640000</v>
      </c>
      <c r="M6539" s="371"/>
      <c r="N6539" s="355" t="str">
        <f t="shared" si="385"/>
        <v>KI</v>
      </c>
      <c r="O6539" s="345">
        <f t="shared" si="395"/>
        <v>10</v>
      </c>
      <c r="P6539" s="345">
        <f t="shared" si="389"/>
        <v>11</v>
      </c>
      <c r="Q6539" s="367">
        <f t="shared" si="396"/>
        <v>229304</v>
      </c>
      <c r="R6539" s="442" t="str">
        <f t="shared" si="397"/>
        <v>Gioăng kính Nr.66</v>
      </c>
      <c r="S6539" s="367">
        <f t="shared" si="398"/>
        <v>561520</v>
      </c>
      <c r="T6539" s="367" t="str">
        <f t="shared" si="399"/>
        <v>Nẹp kính 30.5</v>
      </c>
      <c r="U6539" s="367"/>
      <c r="V6539" s="367">
        <f t="shared" si="400"/>
        <v>560610</v>
      </c>
      <c r="W6539" s="442" t="str">
        <f t="shared" si="401"/>
        <v>Nẹp kính 18.5</v>
      </c>
      <c r="X6539" s="786"/>
      <c r="Y6539" s="1128" t="s">
        <v>3455</v>
      </c>
      <c r="Z6539" s="1128" t="s">
        <v>3381</v>
      </c>
      <c r="AA6539" s="1128" t="s">
        <v>3384</v>
      </c>
      <c r="AB6539" s="20"/>
      <c r="AC6539" s="73"/>
    </row>
    <row r="6540" spans="1:29" ht="14.25" customHeight="1">
      <c r="A6540" s="327" t="str">
        <f>IF(AND($B6540&lt;&gt;"",$C6540&lt;&gt;""),MAX($A$6492:$A6538)+1,"")</f>
        <v/>
      </c>
      <c r="B6540" s="361"/>
      <c r="C6540" s="362"/>
      <c r="D6540" s="362">
        <v>48</v>
      </c>
      <c r="E6540" s="361" t="s">
        <v>3509</v>
      </c>
      <c r="F6540" s="362" t="s">
        <v>3505</v>
      </c>
      <c r="G6540" s="327" t="s">
        <v>240</v>
      </c>
      <c r="H6540" s="361" t="s">
        <v>391</v>
      </c>
      <c r="I6540" s="327">
        <v>1</v>
      </c>
      <c r="J6540" s="363"/>
      <c r="K6540" s="345">
        <f t="shared" si="388"/>
        <v>11</v>
      </c>
      <c r="L6540" s="348">
        <v>740000</v>
      </c>
      <c r="M6540" s="371"/>
      <c r="N6540" s="355" t="str">
        <f t="shared" si="385"/>
        <v>KI</v>
      </c>
      <c r="O6540" s="345">
        <f t="shared" si="395"/>
        <v>10</v>
      </c>
      <c r="P6540" s="345">
        <f t="shared" si="389"/>
        <v>11</v>
      </c>
      <c r="Q6540" s="367">
        <f t="shared" si="396"/>
        <v>229314</v>
      </c>
      <c r="R6540" s="442" t="str">
        <f t="shared" si="397"/>
        <v>Gioăng kính Nr.68</v>
      </c>
      <c r="S6540" s="367">
        <f t="shared" si="398"/>
        <v>560620</v>
      </c>
      <c r="T6540" s="367" t="str">
        <f t="shared" si="399"/>
        <v>Nẹp kính 26.5</v>
      </c>
      <c r="U6540" s="367"/>
      <c r="V6540" s="367">
        <f t="shared" si="400"/>
        <v>560600</v>
      </c>
      <c r="W6540" s="442" t="str">
        <f t="shared" si="401"/>
        <v>Nẹp kính 14.5</v>
      </c>
      <c r="X6540" s="786"/>
      <c r="Y6540" s="1128" t="s">
        <v>3455</v>
      </c>
      <c r="Z6540" s="1128" t="s">
        <v>3381</v>
      </c>
      <c r="AA6540" s="1128" t="s">
        <v>3384</v>
      </c>
      <c r="AB6540" s="20"/>
      <c r="AC6540" s="73"/>
    </row>
    <row r="6541" spans="1:29" ht="14.25" customHeight="1">
      <c r="A6541" s="327" t="str">
        <f>IF(AND($B6541&lt;&gt;"",$C6541&lt;&gt;""),MAX($A$6492:$A6539)+1,"")</f>
        <v/>
      </c>
      <c r="B6541" s="361"/>
      <c r="C6541" s="362"/>
      <c r="D6541" s="362">
        <v>49</v>
      </c>
      <c r="E6541" s="361" t="s">
        <v>3510</v>
      </c>
      <c r="F6541" s="362" t="s">
        <v>3506</v>
      </c>
      <c r="G6541" s="327" t="s">
        <v>240</v>
      </c>
      <c r="H6541" s="361" t="s">
        <v>391</v>
      </c>
      <c r="I6541" s="327">
        <v>1</v>
      </c>
      <c r="J6541" s="363"/>
      <c r="K6541" s="345">
        <f t="shared" si="388"/>
        <v>12</v>
      </c>
      <c r="L6541" s="348">
        <v>880000</v>
      </c>
      <c r="M6541" s="371"/>
      <c r="N6541" s="355" t="str">
        <f t="shared" si="385"/>
        <v>KI</v>
      </c>
      <c r="O6541" s="345">
        <f t="shared" si="395"/>
        <v>19</v>
      </c>
      <c r="P6541" s="345" t="str">
        <f t="shared" si="389"/>
        <v/>
      </c>
      <c r="Q6541" s="367">
        <f t="shared" si="396"/>
        <v>229304</v>
      </c>
      <c r="R6541" s="442" t="str">
        <f t="shared" si="397"/>
        <v>Gioăng kính Nr.66</v>
      </c>
      <c r="S6541" s="367">
        <f t="shared" si="398"/>
        <v>560620</v>
      </c>
      <c r="T6541" s="367" t="str">
        <f t="shared" si="399"/>
        <v>Nẹp kính 26.5</v>
      </c>
      <c r="U6541" s="367"/>
      <c r="V6541" s="367">
        <f t="shared" si="400"/>
        <v>560600</v>
      </c>
      <c r="W6541" s="442" t="str">
        <f t="shared" si="401"/>
        <v>Nẹp kính 14.5</v>
      </c>
      <c r="X6541" s="786"/>
      <c r="Y6541" s="1128" t="s">
        <v>3455</v>
      </c>
      <c r="Z6541" s="1128" t="s">
        <v>3381</v>
      </c>
      <c r="AA6541" s="1128" t="s">
        <v>3384</v>
      </c>
      <c r="AB6541" s="20"/>
      <c r="AC6541" s="73"/>
    </row>
    <row r="6542" spans="1:29" ht="14.25" customHeight="1">
      <c r="A6542" s="327" t="str">
        <f>IF(AND($B6542&lt;&gt;"",$C6542&lt;&gt;""),MAX($A$6492:$A6540)+1,"")</f>
        <v/>
      </c>
      <c r="B6542" s="361"/>
      <c r="C6542" s="362"/>
      <c r="D6542" s="362">
        <v>50</v>
      </c>
      <c r="E6542" s="361" t="s">
        <v>2626</v>
      </c>
      <c r="F6542" s="362" t="s">
        <v>3475</v>
      </c>
      <c r="G6542" s="327" t="s">
        <v>240</v>
      </c>
      <c r="H6542" s="361" t="s">
        <v>2629</v>
      </c>
      <c r="I6542" s="327">
        <v>1</v>
      </c>
      <c r="J6542" s="363"/>
      <c r="K6542" s="345">
        <f t="shared" si="388"/>
        <v>11</v>
      </c>
      <c r="L6542" s="348">
        <v>440000</v>
      </c>
      <c r="M6542" s="371"/>
      <c r="N6542" s="355" t="str">
        <f t="shared" si="385"/>
        <v>KI</v>
      </c>
      <c r="O6542" s="345">
        <f t="shared" si="395"/>
        <v>10</v>
      </c>
      <c r="P6542" s="345">
        <f t="shared" si="389"/>
        <v>7</v>
      </c>
      <c r="Q6542" s="367">
        <f t="shared" si="396"/>
        <v>220162</v>
      </c>
      <c r="R6542" s="442" t="str">
        <f t="shared" si="397"/>
        <v>Gioăng kính Nr.65</v>
      </c>
      <c r="S6542" s="367">
        <f t="shared" si="398"/>
        <v>561530</v>
      </c>
      <c r="T6542" s="367" t="str">
        <f t="shared" si="399"/>
        <v>Nẹp kính 34.5</v>
      </c>
      <c r="U6542" s="367"/>
      <c r="V6542" s="367">
        <f t="shared" si="400"/>
        <v>560510</v>
      </c>
      <c r="W6542" s="442" t="str">
        <f t="shared" si="401"/>
        <v>Nẹp kính 22.5</v>
      </c>
      <c r="X6542" s="786"/>
      <c r="Y6542" s="1128" t="s">
        <v>3455</v>
      </c>
      <c r="Z6542" s="1128" t="s">
        <v>3381</v>
      </c>
      <c r="AA6542" s="1128" t="s">
        <v>3384</v>
      </c>
      <c r="AB6542" s="20"/>
      <c r="AC6542" s="73"/>
    </row>
    <row r="6543" spans="1:29" ht="14.25" customHeight="1">
      <c r="A6543" s="327" t="str">
        <f>IF(AND($B6543&lt;&gt;"",$C6543&lt;&gt;""),MAX($A$6492:$A6541)+1,"")</f>
        <v/>
      </c>
      <c r="B6543" s="361"/>
      <c r="C6543" s="362"/>
      <c r="D6543" s="362">
        <v>51</v>
      </c>
      <c r="E6543" s="361" t="s">
        <v>2632</v>
      </c>
      <c r="F6543" s="362" t="s">
        <v>3476</v>
      </c>
      <c r="G6543" s="327" t="s">
        <v>240</v>
      </c>
      <c r="H6543" s="361" t="s">
        <v>2629</v>
      </c>
      <c r="I6543" s="327">
        <v>1</v>
      </c>
      <c r="J6543" s="363"/>
      <c r="K6543" s="345">
        <f t="shared" si="388"/>
        <v>11</v>
      </c>
      <c r="L6543" s="348">
        <v>680000</v>
      </c>
      <c r="M6543" s="371"/>
      <c r="N6543" s="355" t="str">
        <f t="shared" si="385"/>
        <v>KI</v>
      </c>
      <c r="O6543" s="345">
        <f t="shared" si="395"/>
        <v>10</v>
      </c>
      <c r="P6543" s="345">
        <f t="shared" si="389"/>
        <v>11</v>
      </c>
      <c r="Q6543" s="367">
        <f t="shared" si="396"/>
        <v>229304</v>
      </c>
      <c r="R6543" s="442" t="str">
        <f t="shared" si="397"/>
        <v>Gioăng kính Nr.66</v>
      </c>
      <c r="S6543" s="367">
        <f t="shared" si="398"/>
        <v>561520</v>
      </c>
      <c r="T6543" s="367" t="str">
        <f t="shared" si="399"/>
        <v>Nẹp kính 30.5</v>
      </c>
      <c r="U6543" s="367"/>
      <c r="V6543" s="367">
        <f t="shared" si="400"/>
        <v>560610</v>
      </c>
      <c r="W6543" s="442" t="str">
        <f t="shared" si="401"/>
        <v>Nẹp kính 18.5</v>
      </c>
      <c r="X6543" s="786"/>
      <c r="Y6543" s="1128" t="s">
        <v>3455</v>
      </c>
      <c r="Z6543" s="1128" t="s">
        <v>3381</v>
      </c>
      <c r="AA6543" s="1128" t="s">
        <v>3384</v>
      </c>
      <c r="AB6543" s="20"/>
      <c r="AC6543" s="73"/>
    </row>
    <row r="6544" spans="1:29" ht="14.25" customHeight="1">
      <c r="A6544" s="327" t="str">
        <f>IF(AND($B6544&lt;&gt;"",$C6544&lt;&gt;""),MAX($A$6492:$A6542)+1,"")</f>
        <v/>
      </c>
      <c r="B6544" s="361"/>
      <c r="C6544" s="362"/>
      <c r="D6544" s="362">
        <v>52</v>
      </c>
      <c r="E6544" s="361" t="s">
        <v>2635</v>
      </c>
      <c r="F6544" s="362" t="s">
        <v>3477</v>
      </c>
      <c r="G6544" s="327" t="s">
        <v>240</v>
      </c>
      <c r="H6544" s="361" t="s">
        <v>2629</v>
      </c>
      <c r="I6544" s="327">
        <v>1</v>
      </c>
      <c r="J6544" s="363"/>
      <c r="K6544" s="345">
        <f t="shared" si="388"/>
        <v>11</v>
      </c>
      <c r="L6544" s="348">
        <v>790000</v>
      </c>
      <c r="M6544" s="371"/>
      <c r="N6544" s="355" t="str">
        <f t="shared" si="385"/>
        <v>KI</v>
      </c>
      <c r="O6544" s="345">
        <f t="shared" si="395"/>
        <v>10</v>
      </c>
      <c r="P6544" s="345">
        <f t="shared" si="389"/>
        <v>11</v>
      </c>
      <c r="Q6544" s="367">
        <f t="shared" si="396"/>
        <v>229314</v>
      </c>
      <c r="R6544" s="442" t="str">
        <f t="shared" si="397"/>
        <v>Gioăng kính Nr.68</v>
      </c>
      <c r="S6544" s="367">
        <f t="shared" si="398"/>
        <v>560620</v>
      </c>
      <c r="T6544" s="367" t="str">
        <f t="shared" si="399"/>
        <v>Nẹp kính 26.5</v>
      </c>
      <c r="U6544" s="367"/>
      <c r="V6544" s="367">
        <f t="shared" si="400"/>
        <v>560600</v>
      </c>
      <c r="W6544" s="442" t="str">
        <f t="shared" si="401"/>
        <v>Nẹp kính 14.5</v>
      </c>
      <c r="X6544" s="786"/>
      <c r="Y6544" s="1128" t="s">
        <v>3455</v>
      </c>
      <c r="Z6544" s="1128" t="s">
        <v>3381</v>
      </c>
      <c r="AA6544" s="1128" t="s">
        <v>3384</v>
      </c>
      <c r="AB6544" s="20"/>
      <c r="AC6544" s="73"/>
    </row>
    <row r="6545" spans="1:29" ht="14.25" customHeight="1">
      <c r="A6545" s="327" t="str">
        <f>IF(AND($B6545&lt;&gt;"",$C6545&lt;&gt;""),MAX($A$6492:$A6543)+1,"")</f>
        <v/>
      </c>
      <c r="B6545" s="361"/>
      <c r="C6545" s="362"/>
      <c r="D6545" s="362">
        <v>53</v>
      </c>
      <c r="E6545" s="361" t="s">
        <v>2638</v>
      </c>
      <c r="F6545" s="362" t="s">
        <v>3478</v>
      </c>
      <c r="G6545" s="327" t="s">
        <v>240</v>
      </c>
      <c r="H6545" s="361" t="s">
        <v>2629</v>
      </c>
      <c r="I6545" s="327">
        <v>1</v>
      </c>
      <c r="J6545" s="363"/>
      <c r="K6545" s="345">
        <f t="shared" si="388"/>
        <v>12</v>
      </c>
      <c r="L6545" s="348">
        <v>950000</v>
      </c>
      <c r="M6545" s="371"/>
      <c r="N6545" s="355" t="str">
        <f t="shared" si="385"/>
        <v>KI</v>
      </c>
      <c r="O6545" s="345">
        <f t="shared" si="395"/>
        <v>19</v>
      </c>
      <c r="P6545" s="345" t="str">
        <f t="shared" si="389"/>
        <v/>
      </c>
      <c r="Q6545" s="367">
        <f t="shared" si="396"/>
        <v>229304</v>
      </c>
      <c r="R6545" s="442" t="str">
        <f t="shared" si="397"/>
        <v>Gioăng kính Nr.66</v>
      </c>
      <c r="S6545" s="367">
        <f t="shared" si="398"/>
        <v>560620</v>
      </c>
      <c r="T6545" s="367" t="str">
        <f t="shared" si="399"/>
        <v>Nẹp kính 26.5</v>
      </c>
      <c r="U6545" s="367"/>
      <c r="V6545" s="367">
        <f t="shared" si="400"/>
        <v>560600</v>
      </c>
      <c r="W6545" s="442" t="str">
        <f t="shared" si="401"/>
        <v>Nẹp kính 14.5</v>
      </c>
      <c r="X6545" s="786"/>
      <c r="Y6545" s="1128" t="s">
        <v>3455</v>
      </c>
      <c r="Z6545" s="1128" t="s">
        <v>3381</v>
      </c>
      <c r="AA6545" s="1128" t="s">
        <v>3384</v>
      </c>
      <c r="AB6545" s="20"/>
      <c r="AC6545" s="73"/>
    </row>
    <row r="6546" spans="1:29" ht="14.25" customHeight="1">
      <c r="A6546" s="327" t="str">
        <f>IF(AND($B6546&lt;&gt;"",$C6546&lt;&gt;""),MAX($A$6492:$A6544)+1,"")</f>
        <v/>
      </c>
      <c r="B6546" s="361"/>
      <c r="C6546" s="362"/>
      <c r="D6546" s="362">
        <v>54</v>
      </c>
      <c r="E6546" s="361" t="s">
        <v>2624</v>
      </c>
      <c r="F6546" s="362" t="s">
        <v>3518</v>
      </c>
      <c r="G6546" s="327" t="s">
        <v>240</v>
      </c>
      <c r="H6546" s="361" t="s">
        <v>2627</v>
      </c>
      <c r="I6546" s="327">
        <v>1</v>
      </c>
      <c r="J6546" s="363"/>
      <c r="K6546" s="345">
        <f t="shared" si="388"/>
        <v>11</v>
      </c>
      <c r="L6546" s="348">
        <v>440000</v>
      </c>
      <c r="M6546" s="371"/>
      <c r="N6546" s="355" t="str">
        <f t="shared" si="385"/>
        <v>KI</v>
      </c>
      <c r="O6546" s="345">
        <f t="shared" si="395"/>
        <v>10</v>
      </c>
      <c r="P6546" s="345">
        <f t="shared" si="389"/>
        <v>7</v>
      </c>
      <c r="Q6546" s="367">
        <f t="shared" si="396"/>
        <v>220162</v>
      </c>
      <c r="R6546" s="442" t="str">
        <f t="shared" si="397"/>
        <v>Gioăng kính Nr.65</v>
      </c>
      <c r="S6546" s="367">
        <f t="shared" si="398"/>
        <v>561530</v>
      </c>
      <c r="T6546" s="367" t="str">
        <f t="shared" si="399"/>
        <v>Nẹp kính 34.5</v>
      </c>
      <c r="U6546" s="367"/>
      <c r="V6546" s="367">
        <f t="shared" si="400"/>
        <v>560510</v>
      </c>
      <c r="W6546" s="442" t="str">
        <f t="shared" si="401"/>
        <v>Nẹp kính 22.5</v>
      </c>
      <c r="X6546" s="786"/>
      <c r="Y6546" s="1128" t="s">
        <v>3423</v>
      </c>
      <c r="Z6546" s="1128" t="s">
        <v>3381</v>
      </c>
      <c r="AA6546" s="1128" t="s">
        <v>3384</v>
      </c>
      <c r="AB6546" s="20"/>
      <c r="AC6546" s="73"/>
    </row>
    <row r="6547" spans="1:29" ht="14.25" customHeight="1">
      <c r="A6547" s="327" t="str">
        <f>IF(AND($B6547&lt;&gt;"",$C6547&lt;&gt;""),MAX($A$6492:$A6545)+1,"")</f>
        <v/>
      </c>
      <c r="B6547" s="361"/>
      <c r="C6547" s="362"/>
      <c r="D6547" s="362">
        <v>55</v>
      </c>
      <c r="E6547" s="361" t="s">
        <v>2630</v>
      </c>
      <c r="F6547" s="362" t="s">
        <v>3519</v>
      </c>
      <c r="G6547" s="327" t="s">
        <v>240</v>
      </c>
      <c r="H6547" s="361" t="s">
        <v>2627</v>
      </c>
      <c r="I6547" s="327">
        <v>1</v>
      </c>
      <c r="J6547" s="363"/>
      <c r="K6547" s="345">
        <f t="shared" si="388"/>
        <v>11</v>
      </c>
      <c r="L6547" s="348">
        <v>680000</v>
      </c>
      <c r="M6547" s="371"/>
      <c r="N6547" s="355" t="str">
        <f t="shared" si="385"/>
        <v>KI</v>
      </c>
      <c r="O6547" s="345">
        <f t="shared" si="395"/>
        <v>10</v>
      </c>
      <c r="P6547" s="345">
        <f t="shared" si="389"/>
        <v>11</v>
      </c>
      <c r="Q6547" s="367">
        <f t="shared" si="396"/>
        <v>229304</v>
      </c>
      <c r="R6547" s="442" t="str">
        <f t="shared" si="397"/>
        <v>Gioăng kính Nr.66</v>
      </c>
      <c r="S6547" s="367">
        <f t="shared" si="398"/>
        <v>561520</v>
      </c>
      <c r="T6547" s="367" t="str">
        <f t="shared" si="399"/>
        <v>Nẹp kính 30.5</v>
      </c>
      <c r="U6547" s="367"/>
      <c r="V6547" s="367">
        <f t="shared" si="400"/>
        <v>560610</v>
      </c>
      <c r="W6547" s="442" t="str">
        <f t="shared" si="401"/>
        <v>Nẹp kính 18.5</v>
      </c>
      <c r="X6547" s="786"/>
      <c r="Y6547" s="1128" t="s">
        <v>3423</v>
      </c>
      <c r="Z6547" s="1128" t="s">
        <v>3381</v>
      </c>
      <c r="AA6547" s="1128" t="s">
        <v>3384</v>
      </c>
      <c r="AB6547" s="20"/>
      <c r="AC6547" s="73"/>
    </row>
    <row r="6548" spans="1:29" ht="14.25" customHeight="1">
      <c r="A6548" s="327" t="str">
        <f>IF(AND($B6548&lt;&gt;"",$C6548&lt;&gt;""),MAX($A$6492:$A6546)+1,"")</f>
        <v/>
      </c>
      <c r="B6548" s="361"/>
      <c r="C6548" s="362"/>
      <c r="D6548" s="362">
        <v>56</v>
      </c>
      <c r="E6548" s="361" t="s">
        <v>2633</v>
      </c>
      <c r="F6548" s="362" t="s">
        <v>3520</v>
      </c>
      <c r="G6548" s="327" t="s">
        <v>240</v>
      </c>
      <c r="H6548" s="361" t="s">
        <v>2627</v>
      </c>
      <c r="I6548" s="327">
        <v>1</v>
      </c>
      <c r="J6548" s="363"/>
      <c r="K6548" s="345">
        <f t="shared" si="388"/>
        <v>11</v>
      </c>
      <c r="L6548" s="348">
        <v>790000</v>
      </c>
      <c r="M6548" s="371"/>
      <c r="N6548" s="355" t="str">
        <f t="shared" si="385"/>
        <v>KI</v>
      </c>
      <c r="O6548" s="345">
        <f t="shared" si="395"/>
        <v>10</v>
      </c>
      <c r="P6548" s="345">
        <f t="shared" si="389"/>
        <v>11</v>
      </c>
      <c r="Q6548" s="367">
        <f t="shared" si="396"/>
        <v>229314</v>
      </c>
      <c r="R6548" s="442" t="str">
        <f t="shared" si="397"/>
        <v>Gioăng kính Nr.68</v>
      </c>
      <c r="S6548" s="367">
        <f t="shared" si="398"/>
        <v>560620</v>
      </c>
      <c r="T6548" s="367" t="str">
        <f t="shared" si="399"/>
        <v>Nẹp kính 26.5</v>
      </c>
      <c r="U6548" s="367"/>
      <c r="V6548" s="367">
        <f t="shared" si="400"/>
        <v>560600</v>
      </c>
      <c r="W6548" s="442" t="str">
        <f t="shared" si="401"/>
        <v>Nẹp kính 14.5</v>
      </c>
      <c r="X6548" s="786"/>
      <c r="Y6548" s="1128" t="s">
        <v>3423</v>
      </c>
      <c r="Z6548" s="1128" t="s">
        <v>3381</v>
      </c>
      <c r="AA6548" s="1128" t="s">
        <v>3384</v>
      </c>
      <c r="AB6548" s="20"/>
      <c r="AC6548" s="73"/>
    </row>
    <row r="6549" spans="1:29" ht="14.25" customHeight="1">
      <c r="A6549" s="327" t="str">
        <f>IF(AND($B6549&lt;&gt;"",$C6549&lt;&gt;""),MAX($A$6492:$A6547)+1,"")</f>
        <v/>
      </c>
      <c r="B6549" s="361"/>
      <c r="C6549" s="362"/>
      <c r="D6549" s="362">
        <v>57</v>
      </c>
      <c r="E6549" s="361" t="s">
        <v>2636</v>
      </c>
      <c r="F6549" s="362" t="s">
        <v>3521</v>
      </c>
      <c r="G6549" s="327" t="s">
        <v>240</v>
      </c>
      <c r="H6549" s="361" t="s">
        <v>2627</v>
      </c>
      <c r="I6549" s="327">
        <v>1</v>
      </c>
      <c r="J6549" s="363"/>
      <c r="K6549" s="345">
        <f t="shared" si="388"/>
        <v>12</v>
      </c>
      <c r="L6549" s="348">
        <v>950000</v>
      </c>
      <c r="M6549" s="371"/>
      <c r="N6549" s="355" t="str">
        <f t="shared" si="385"/>
        <v>KI</v>
      </c>
      <c r="O6549" s="345">
        <f t="shared" si="395"/>
        <v>19</v>
      </c>
      <c r="P6549" s="345" t="str">
        <f t="shared" si="389"/>
        <v/>
      </c>
      <c r="Q6549" s="367">
        <f t="shared" si="396"/>
        <v>229304</v>
      </c>
      <c r="R6549" s="442" t="str">
        <f t="shared" si="397"/>
        <v>Gioăng kính Nr.66</v>
      </c>
      <c r="S6549" s="367">
        <f t="shared" si="398"/>
        <v>560620</v>
      </c>
      <c r="T6549" s="367" t="str">
        <f t="shared" si="399"/>
        <v>Nẹp kính 26.5</v>
      </c>
      <c r="U6549" s="367"/>
      <c r="V6549" s="367">
        <f t="shared" si="400"/>
        <v>560600</v>
      </c>
      <c r="W6549" s="442" t="str">
        <f t="shared" si="401"/>
        <v>Nẹp kính 14.5</v>
      </c>
      <c r="X6549" s="786"/>
      <c r="Y6549" s="1128" t="s">
        <v>3423</v>
      </c>
      <c r="Z6549" s="1128" t="s">
        <v>3381</v>
      </c>
      <c r="AA6549" s="1128" t="s">
        <v>3384</v>
      </c>
      <c r="AB6549" s="20"/>
      <c r="AC6549" s="73"/>
    </row>
    <row r="6550" spans="1:29" ht="14.25" customHeight="1">
      <c r="A6550" s="327" t="str">
        <f>IF(AND($B6550&lt;&gt;"",$C6550&lt;&gt;""),MAX($A$6492:$A6548)+1,"")</f>
        <v/>
      </c>
      <c r="B6550" s="361"/>
      <c r="C6550" s="362"/>
      <c r="D6550" s="362">
        <v>58</v>
      </c>
      <c r="E6550" s="361" t="s">
        <v>2625</v>
      </c>
      <c r="F6550" s="362" t="s">
        <v>3522</v>
      </c>
      <c r="G6550" s="327" t="s">
        <v>240</v>
      </c>
      <c r="H6550" s="361" t="s">
        <v>2628</v>
      </c>
      <c r="I6550" s="327">
        <v>1</v>
      </c>
      <c r="J6550" s="363"/>
      <c r="K6550" s="345">
        <f t="shared" si="388"/>
        <v>11</v>
      </c>
      <c r="L6550" s="348">
        <v>440000</v>
      </c>
      <c r="M6550" s="371"/>
      <c r="N6550" s="355" t="str">
        <f t="shared" si="385"/>
        <v>KI</v>
      </c>
      <c r="O6550" s="345">
        <f t="shared" si="395"/>
        <v>10</v>
      </c>
      <c r="P6550" s="345">
        <f t="shared" si="389"/>
        <v>7</v>
      </c>
      <c r="Q6550" s="367">
        <f t="shared" si="396"/>
        <v>220162</v>
      </c>
      <c r="R6550" s="442" t="str">
        <f t="shared" si="397"/>
        <v>Gioăng kính Nr.65</v>
      </c>
      <c r="S6550" s="367">
        <f t="shared" si="398"/>
        <v>561530</v>
      </c>
      <c r="T6550" s="367" t="str">
        <f t="shared" si="399"/>
        <v>Nẹp kính 34.5</v>
      </c>
      <c r="U6550" s="367"/>
      <c r="V6550" s="367">
        <f t="shared" si="400"/>
        <v>560510</v>
      </c>
      <c r="W6550" s="442" t="str">
        <f t="shared" si="401"/>
        <v>Nẹp kính 22.5</v>
      </c>
      <c r="X6550" s="786"/>
      <c r="Y6550" s="1128" t="s">
        <v>3423</v>
      </c>
      <c r="Z6550" s="1128" t="s">
        <v>3381</v>
      </c>
      <c r="AA6550" s="1128" t="s">
        <v>3384</v>
      </c>
      <c r="AB6550" s="20"/>
      <c r="AC6550" s="73"/>
    </row>
    <row r="6551" spans="1:29" ht="14.25" customHeight="1">
      <c r="A6551" s="327" t="str">
        <f>IF(AND($B6551&lt;&gt;"",$C6551&lt;&gt;""),MAX($A$6492:$A6549)+1,"")</f>
        <v/>
      </c>
      <c r="B6551" s="361"/>
      <c r="C6551" s="362"/>
      <c r="D6551" s="362">
        <v>59</v>
      </c>
      <c r="E6551" s="361" t="s">
        <v>2631</v>
      </c>
      <c r="F6551" s="362" t="s">
        <v>3523</v>
      </c>
      <c r="G6551" s="327" t="s">
        <v>240</v>
      </c>
      <c r="H6551" s="361" t="s">
        <v>2628</v>
      </c>
      <c r="I6551" s="327">
        <v>1</v>
      </c>
      <c r="J6551" s="363"/>
      <c r="K6551" s="345">
        <f t="shared" si="388"/>
        <v>11</v>
      </c>
      <c r="L6551" s="348">
        <v>680000</v>
      </c>
      <c r="M6551" s="371"/>
      <c r="N6551" s="355" t="str">
        <f t="shared" si="385"/>
        <v>KI</v>
      </c>
      <c r="O6551" s="345">
        <f t="shared" si="395"/>
        <v>10</v>
      </c>
      <c r="P6551" s="345">
        <f t="shared" si="389"/>
        <v>11</v>
      </c>
      <c r="Q6551" s="367">
        <f t="shared" si="396"/>
        <v>229304</v>
      </c>
      <c r="R6551" s="442" t="str">
        <f t="shared" si="397"/>
        <v>Gioăng kính Nr.66</v>
      </c>
      <c r="S6551" s="367">
        <f t="shared" si="398"/>
        <v>561520</v>
      </c>
      <c r="T6551" s="367" t="str">
        <f t="shared" si="399"/>
        <v>Nẹp kính 30.5</v>
      </c>
      <c r="U6551" s="367"/>
      <c r="V6551" s="367">
        <f t="shared" si="400"/>
        <v>560610</v>
      </c>
      <c r="W6551" s="442" t="str">
        <f t="shared" si="401"/>
        <v>Nẹp kính 18.5</v>
      </c>
      <c r="X6551" s="786"/>
      <c r="Y6551" s="1128" t="s">
        <v>3423</v>
      </c>
      <c r="Z6551" s="1128" t="s">
        <v>3381</v>
      </c>
      <c r="AA6551" s="1128" t="s">
        <v>3384</v>
      </c>
      <c r="AB6551" s="20"/>
      <c r="AC6551" s="73"/>
    </row>
    <row r="6552" spans="1:29" ht="14.25" customHeight="1">
      <c r="A6552" s="327" t="str">
        <f>IF(AND($B6552&lt;&gt;"",$C6552&lt;&gt;""),MAX($A$6492:$A6550)+1,"")</f>
        <v/>
      </c>
      <c r="B6552" s="361"/>
      <c r="C6552" s="362"/>
      <c r="D6552" s="362">
        <v>60</v>
      </c>
      <c r="E6552" s="361" t="s">
        <v>2634</v>
      </c>
      <c r="F6552" s="362" t="s">
        <v>3524</v>
      </c>
      <c r="G6552" s="327" t="s">
        <v>240</v>
      </c>
      <c r="H6552" s="361" t="s">
        <v>2628</v>
      </c>
      <c r="I6552" s="327">
        <v>1</v>
      </c>
      <c r="J6552" s="363"/>
      <c r="K6552" s="345">
        <f t="shared" si="388"/>
        <v>11</v>
      </c>
      <c r="L6552" s="348">
        <v>790000</v>
      </c>
      <c r="M6552" s="371"/>
      <c r="N6552" s="355" t="str">
        <f t="shared" si="385"/>
        <v>KI</v>
      </c>
      <c r="O6552" s="345">
        <f t="shared" si="395"/>
        <v>10</v>
      </c>
      <c r="P6552" s="345">
        <f t="shared" si="389"/>
        <v>11</v>
      </c>
      <c r="Q6552" s="367">
        <f t="shared" si="396"/>
        <v>229314</v>
      </c>
      <c r="R6552" s="442" t="str">
        <f t="shared" si="397"/>
        <v>Gioăng kính Nr.68</v>
      </c>
      <c r="S6552" s="367">
        <f t="shared" si="398"/>
        <v>560620</v>
      </c>
      <c r="T6552" s="367" t="str">
        <f t="shared" si="399"/>
        <v>Nẹp kính 26.5</v>
      </c>
      <c r="U6552" s="367"/>
      <c r="V6552" s="367">
        <f t="shared" si="400"/>
        <v>560600</v>
      </c>
      <c r="W6552" s="442" t="str">
        <f t="shared" si="401"/>
        <v>Nẹp kính 14.5</v>
      </c>
      <c r="X6552" s="786"/>
      <c r="Y6552" s="1128" t="s">
        <v>3423</v>
      </c>
      <c r="Z6552" s="1128" t="s">
        <v>3381</v>
      </c>
      <c r="AA6552" s="1128" t="s">
        <v>3384</v>
      </c>
      <c r="AB6552" s="20"/>
      <c r="AC6552" s="73"/>
    </row>
    <row r="6553" spans="1:29" ht="14.25" customHeight="1">
      <c r="A6553" s="327" t="str">
        <f>IF(AND($B6553&lt;&gt;"",$C6553&lt;&gt;""),MAX($A$6492:$A6551)+1,"")</f>
        <v/>
      </c>
      <c r="B6553" s="361"/>
      <c r="C6553" s="362"/>
      <c r="D6553" s="362">
        <v>61</v>
      </c>
      <c r="E6553" s="361" t="s">
        <v>2637</v>
      </c>
      <c r="F6553" s="362" t="s">
        <v>3525</v>
      </c>
      <c r="G6553" s="327" t="s">
        <v>240</v>
      </c>
      <c r="H6553" s="361" t="s">
        <v>2628</v>
      </c>
      <c r="I6553" s="327">
        <v>1</v>
      </c>
      <c r="J6553" s="363"/>
      <c r="K6553" s="345">
        <f t="shared" si="388"/>
        <v>12</v>
      </c>
      <c r="L6553" s="348">
        <v>950000</v>
      </c>
      <c r="M6553" s="371"/>
      <c r="N6553" s="355" t="str">
        <f t="shared" si="385"/>
        <v>KI</v>
      </c>
      <c r="O6553" s="345">
        <f t="shared" si="395"/>
        <v>19</v>
      </c>
      <c r="P6553" s="345" t="str">
        <f t="shared" si="389"/>
        <v/>
      </c>
      <c r="Q6553" s="367">
        <f t="shared" si="396"/>
        <v>229304</v>
      </c>
      <c r="R6553" s="442" t="str">
        <f t="shared" si="397"/>
        <v>Gioăng kính Nr.66</v>
      </c>
      <c r="S6553" s="367">
        <f t="shared" si="398"/>
        <v>560620</v>
      </c>
      <c r="T6553" s="367" t="str">
        <f t="shared" si="399"/>
        <v>Nẹp kính 26.5</v>
      </c>
      <c r="U6553" s="367"/>
      <c r="V6553" s="367">
        <f t="shared" si="400"/>
        <v>560600</v>
      </c>
      <c r="W6553" s="442" t="str">
        <f t="shared" si="401"/>
        <v>Nẹp kính 14.5</v>
      </c>
      <c r="X6553" s="786"/>
      <c r="Y6553" s="1128" t="s">
        <v>3423</v>
      </c>
      <c r="Z6553" s="1128" t="s">
        <v>3381</v>
      </c>
      <c r="AA6553" s="1128" t="s">
        <v>3384</v>
      </c>
      <c r="AB6553" s="20"/>
      <c r="AC6553" s="73"/>
    </row>
    <row r="6554" spans="1:29" ht="14.25" customHeight="1">
      <c r="A6554" s="327" t="str">
        <f>IF(AND($B6554&lt;&gt;"",$C6554&lt;&gt;""),MAX($A$6492:$A6552)+1,"")</f>
        <v/>
      </c>
      <c r="B6554" s="361"/>
      <c r="C6554" s="362"/>
      <c r="D6554" s="362">
        <v>62</v>
      </c>
      <c r="E6554" s="361" t="s">
        <v>3511</v>
      </c>
      <c r="F6554" s="362" t="s">
        <v>3526</v>
      </c>
      <c r="G6554" s="327" t="s">
        <v>240</v>
      </c>
      <c r="H6554" s="361" t="s">
        <v>3417</v>
      </c>
      <c r="I6554" s="327">
        <v>1</v>
      </c>
      <c r="J6554" s="363"/>
      <c r="K6554" s="345">
        <f t="shared" si="388"/>
        <v>11</v>
      </c>
      <c r="L6554" s="348">
        <v>440000</v>
      </c>
      <c r="M6554" s="371"/>
      <c r="N6554" s="355" t="str">
        <f t="shared" si="385"/>
        <v>KI</v>
      </c>
      <c r="O6554" s="345">
        <f t="shared" si="395"/>
        <v>10</v>
      </c>
      <c r="P6554" s="345">
        <f t="shared" si="389"/>
        <v>7</v>
      </c>
      <c r="Q6554" s="367">
        <f t="shared" si="396"/>
        <v>220162</v>
      </c>
      <c r="R6554" s="442" t="str">
        <f t="shared" si="397"/>
        <v>Gioăng kính Nr.65</v>
      </c>
      <c r="S6554" s="367">
        <f t="shared" si="398"/>
        <v>561530</v>
      </c>
      <c r="T6554" s="367" t="str">
        <f t="shared" si="399"/>
        <v>Nẹp kính 34.5</v>
      </c>
      <c r="U6554" s="367"/>
      <c r="V6554" s="367">
        <f t="shared" si="400"/>
        <v>560510</v>
      </c>
      <c r="W6554" s="442" t="str">
        <f t="shared" si="401"/>
        <v>Nẹp kính 22.5</v>
      </c>
      <c r="X6554" s="786"/>
      <c r="Y6554" s="1128" t="s">
        <v>3423</v>
      </c>
      <c r="Z6554" s="1128" t="s">
        <v>3381</v>
      </c>
      <c r="AA6554" s="1128" t="s">
        <v>3384</v>
      </c>
      <c r="AB6554" s="20"/>
      <c r="AC6554" s="73"/>
    </row>
    <row r="6555" spans="1:29" ht="14.25" customHeight="1">
      <c r="A6555" s="327" t="str">
        <f>IF(AND($B6555&lt;&gt;"",$C6555&lt;&gt;""),MAX($A$6492:$A6553)+1,"")</f>
        <v/>
      </c>
      <c r="B6555" s="361"/>
      <c r="C6555" s="362"/>
      <c r="D6555" s="362">
        <v>63</v>
      </c>
      <c r="E6555" s="361" t="s">
        <v>3512</v>
      </c>
      <c r="F6555" s="362" t="s">
        <v>3527</v>
      </c>
      <c r="G6555" s="327" t="s">
        <v>240</v>
      </c>
      <c r="H6555" s="361" t="s">
        <v>3417</v>
      </c>
      <c r="I6555" s="327">
        <v>1</v>
      </c>
      <c r="J6555" s="363"/>
      <c r="K6555" s="345">
        <f t="shared" si="388"/>
        <v>11</v>
      </c>
      <c r="L6555" s="348">
        <v>680000</v>
      </c>
      <c r="M6555" s="371"/>
      <c r="N6555" s="355" t="str">
        <f t="shared" si="385"/>
        <v>KI</v>
      </c>
      <c r="O6555" s="345">
        <f t="shared" si="395"/>
        <v>10</v>
      </c>
      <c r="P6555" s="345">
        <f t="shared" si="389"/>
        <v>11</v>
      </c>
      <c r="Q6555" s="367">
        <f t="shared" si="396"/>
        <v>229304</v>
      </c>
      <c r="R6555" s="442" t="str">
        <f t="shared" si="397"/>
        <v>Gioăng kính Nr.66</v>
      </c>
      <c r="S6555" s="367">
        <f t="shared" si="398"/>
        <v>561520</v>
      </c>
      <c r="T6555" s="367" t="str">
        <f t="shared" si="399"/>
        <v>Nẹp kính 30.5</v>
      </c>
      <c r="U6555" s="367"/>
      <c r="V6555" s="367">
        <f t="shared" si="400"/>
        <v>560610</v>
      </c>
      <c r="W6555" s="442" t="str">
        <f t="shared" si="401"/>
        <v>Nẹp kính 18.5</v>
      </c>
      <c r="X6555" s="786"/>
      <c r="Y6555" s="1128" t="s">
        <v>3423</v>
      </c>
      <c r="Z6555" s="1128" t="s">
        <v>3381</v>
      </c>
      <c r="AA6555" s="1128" t="s">
        <v>3384</v>
      </c>
      <c r="AB6555" s="20"/>
      <c r="AC6555" s="73"/>
    </row>
    <row r="6556" spans="1:29" ht="14.25" customHeight="1">
      <c r="A6556" s="327" t="str">
        <f>IF(AND($B6556&lt;&gt;"",$C6556&lt;&gt;""),MAX($A$6492:$A6554)+1,"")</f>
        <v/>
      </c>
      <c r="B6556" s="361"/>
      <c r="C6556" s="362"/>
      <c r="D6556" s="362">
        <v>64</v>
      </c>
      <c r="E6556" s="361" t="s">
        <v>3513</v>
      </c>
      <c r="F6556" s="362" t="s">
        <v>3528</v>
      </c>
      <c r="G6556" s="327" t="s">
        <v>240</v>
      </c>
      <c r="H6556" s="361" t="s">
        <v>3417</v>
      </c>
      <c r="I6556" s="327">
        <v>1</v>
      </c>
      <c r="J6556" s="363"/>
      <c r="K6556" s="345">
        <f t="shared" si="388"/>
        <v>11</v>
      </c>
      <c r="L6556" s="348">
        <v>790000</v>
      </c>
      <c r="M6556" s="371"/>
      <c r="N6556" s="355" t="str">
        <f t="shared" si="385"/>
        <v>KI</v>
      </c>
      <c r="O6556" s="345">
        <f t="shared" si="395"/>
        <v>10</v>
      </c>
      <c r="P6556" s="345">
        <f t="shared" si="389"/>
        <v>11</v>
      </c>
      <c r="Q6556" s="367">
        <f t="shared" si="396"/>
        <v>229314</v>
      </c>
      <c r="R6556" s="442" t="str">
        <f t="shared" si="397"/>
        <v>Gioăng kính Nr.68</v>
      </c>
      <c r="S6556" s="367">
        <f t="shared" si="398"/>
        <v>560620</v>
      </c>
      <c r="T6556" s="367" t="str">
        <f t="shared" si="399"/>
        <v>Nẹp kính 26.5</v>
      </c>
      <c r="U6556" s="367"/>
      <c r="V6556" s="367">
        <f t="shared" si="400"/>
        <v>560600</v>
      </c>
      <c r="W6556" s="442" t="str">
        <f t="shared" si="401"/>
        <v>Nẹp kính 14.5</v>
      </c>
      <c r="X6556" s="786"/>
      <c r="Y6556" s="1128" t="s">
        <v>3423</v>
      </c>
      <c r="Z6556" s="1128" t="s">
        <v>3381</v>
      </c>
      <c r="AA6556" s="1128" t="s">
        <v>3384</v>
      </c>
      <c r="AB6556" s="20"/>
      <c r="AC6556" s="73"/>
    </row>
    <row r="6557" spans="1:29" ht="14.25" customHeight="1">
      <c r="A6557" s="327" t="str">
        <f>IF(AND($B6557&lt;&gt;"",$C6557&lt;&gt;""),MAX($A$6492:$A6555)+1,"")</f>
        <v/>
      </c>
      <c r="B6557" s="361"/>
      <c r="C6557" s="362"/>
      <c r="D6557" s="362">
        <v>65</v>
      </c>
      <c r="E6557" s="361" t="s">
        <v>3514</v>
      </c>
      <c r="F6557" s="362" t="s">
        <v>3529</v>
      </c>
      <c r="G6557" s="327" t="s">
        <v>240</v>
      </c>
      <c r="H6557" s="361" t="s">
        <v>3417</v>
      </c>
      <c r="I6557" s="327">
        <v>1</v>
      </c>
      <c r="J6557" s="363"/>
      <c r="K6557" s="345">
        <f t="shared" si="388"/>
        <v>12</v>
      </c>
      <c r="L6557" s="348">
        <v>950000</v>
      </c>
      <c r="M6557" s="371"/>
      <c r="N6557" s="355" t="str">
        <f t="shared" si="385"/>
        <v>KI</v>
      </c>
      <c r="O6557" s="345">
        <f t="shared" si="395"/>
        <v>19</v>
      </c>
      <c r="P6557" s="345" t="str">
        <f t="shared" si="389"/>
        <v/>
      </c>
      <c r="Q6557" s="367">
        <f t="shared" ref="Q6557:Q6588" si="402">VLOOKUP(VALUE(MID($E6557,3,2)),$P$6943:$W$6975,2)</f>
        <v>229304</v>
      </c>
      <c r="R6557" s="442" t="str">
        <f t="shared" ref="R6557:R6588" si="403">VLOOKUP(VALUE(MID($E6557,3,2)),$P$6943:$W$6975,3)</f>
        <v>Gioăng kính Nr.66</v>
      </c>
      <c r="S6557" s="367">
        <f t="shared" ref="S6557:S6588" si="404">VLOOKUP(VALUE(MID($E6557,3,2)),$P$6943:$W$6975,4)</f>
        <v>560620</v>
      </c>
      <c r="T6557" s="367" t="str">
        <f t="shared" ref="T6557:T6588" si="405">VLOOKUP(VALUE(MID($E6557,3,2)),$P$6943:$W$6975,5)</f>
        <v>Nẹp kính 26.5</v>
      </c>
      <c r="U6557" s="367"/>
      <c r="V6557" s="367">
        <f t="shared" ref="V6557:V6588" si="406">VLOOKUP(VALUE(MID($E6557,3,2)),$P$6943:$W$6975,7)</f>
        <v>560600</v>
      </c>
      <c r="W6557" s="442" t="str">
        <f t="shared" ref="W6557:W6588" si="407">VLOOKUP(VALUE(MID($E6557,3,2)),$P$6943:$W$6975,8)</f>
        <v>Nẹp kính 14.5</v>
      </c>
      <c r="X6557" s="786"/>
      <c r="Y6557" s="1128" t="s">
        <v>3423</v>
      </c>
      <c r="Z6557" s="1128" t="s">
        <v>3381</v>
      </c>
      <c r="AA6557" s="1128" t="s">
        <v>3384</v>
      </c>
      <c r="AB6557" s="20"/>
      <c r="AC6557" s="73"/>
    </row>
    <row r="6558" spans="1:29" ht="14.25" customHeight="1">
      <c r="A6558" s="327" t="str">
        <f>IF(AND($B6558&lt;&gt;"",$C6558&lt;&gt;""),MAX($A$6492:$A6556)+1,"")</f>
        <v/>
      </c>
      <c r="B6558" s="361"/>
      <c r="C6558" s="362"/>
      <c r="D6558" s="362">
        <v>66</v>
      </c>
      <c r="E6558" s="361" t="s">
        <v>3515</v>
      </c>
      <c r="F6558" s="362" t="s">
        <v>3530</v>
      </c>
      <c r="G6558" s="327" t="s">
        <v>240</v>
      </c>
      <c r="H6558" s="361" t="s">
        <v>391</v>
      </c>
      <c r="I6558" s="327">
        <v>1</v>
      </c>
      <c r="J6558" s="363"/>
      <c r="K6558" s="345">
        <f t="shared" si="388"/>
        <v>11</v>
      </c>
      <c r="L6558" s="348">
        <v>440000</v>
      </c>
      <c r="M6558" s="371"/>
      <c r="N6558" s="355" t="str">
        <f t="shared" si="385"/>
        <v>KI</v>
      </c>
      <c r="O6558" s="345">
        <f t="shared" si="395"/>
        <v>10</v>
      </c>
      <c r="P6558" s="345">
        <f t="shared" si="389"/>
        <v>7</v>
      </c>
      <c r="Q6558" s="367">
        <f t="shared" si="402"/>
        <v>220162</v>
      </c>
      <c r="R6558" s="442" t="str">
        <f t="shared" si="403"/>
        <v>Gioăng kính Nr.65</v>
      </c>
      <c r="S6558" s="367">
        <f t="shared" si="404"/>
        <v>561530</v>
      </c>
      <c r="T6558" s="367" t="str">
        <f t="shared" si="405"/>
        <v>Nẹp kính 34.5</v>
      </c>
      <c r="U6558" s="367"/>
      <c r="V6558" s="367">
        <f t="shared" si="406"/>
        <v>560510</v>
      </c>
      <c r="W6558" s="442" t="str">
        <f t="shared" si="407"/>
        <v>Nẹp kính 22.5</v>
      </c>
      <c r="X6558" s="786"/>
      <c r="Y6558" s="1128" t="s">
        <v>3423</v>
      </c>
      <c r="Z6558" s="1128" t="s">
        <v>3381</v>
      </c>
      <c r="AA6558" s="1128" t="s">
        <v>3384</v>
      </c>
      <c r="AB6558" s="20"/>
      <c r="AC6558" s="73"/>
    </row>
    <row r="6559" spans="1:29" ht="14.25" customHeight="1">
      <c r="A6559" s="327" t="str">
        <f>IF(AND($B6559&lt;&gt;"",$C6559&lt;&gt;""),MAX($A$6492:$A6557)+1,"")</f>
        <v/>
      </c>
      <c r="B6559" s="361"/>
      <c r="C6559" s="362"/>
      <c r="D6559" s="362">
        <v>67</v>
      </c>
      <c r="E6559" s="361" t="s">
        <v>3516</v>
      </c>
      <c r="F6559" s="362" t="s">
        <v>3531</v>
      </c>
      <c r="G6559" s="327" t="s">
        <v>240</v>
      </c>
      <c r="H6559" s="361" t="s">
        <v>391</v>
      </c>
      <c r="I6559" s="327">
        <v>1</v>
      </c>
      <c r="J6559" s="363"/>
      <c r="K6559" s="345">
        <f t="shared" si="388"/>
        <v>11</v>
      </c>
      <c r="L6559" s="348">
        <v>680000</v>
      </c>
      <c r="M6559" s="371"/>
      <c r="N6559" s="355" t="str">
        <f t="shared" si="385"/>
        <v>KI</v>
      </c>
      <c r="O6559" s="345">
        <f t="shared" si="395"/>
        <v>10</v>
      </c>
      <c r="P6559" s="345">
        <f t="shared" si="389"/>
        <v>11</v>
      </c>
      <c r="Q6559" s="367">
        <f t="shared" si="402"/>
        <v>229304</v>
      </c>
      <c r="R6559" s="442" t="str">
        <f t="shared" si="403"/>
        <v>Gioăng kính Nr.66</v>
      </c>
      <c r="S6559" s="367">
        <f t="shared" si="404"/>
        <v>561520</v>
      </c>
      <c r="T6559" s="367" t="str">
        <f t="shared" si="405"/>
        <v>Nẹp kính 30.5</v>
      </c>
      <c r="U6559" s="367"/>
      <c r="V6559" s="367">
        <f t="shared" si="406"/>
        <v>560610</v>
      </c>
      <c r="W6559" s="442" t="str">
        <f t="shared" si="407"/>
        <v>Nẹp kính 18.5</v>
      </c>
      <c r="X6559" s="786"/>
      <c r="Y6559" s="1128" t="s">
        <v>3423</v>
      </c>
      <c r="Z6559" s="1128" t="s">
        <v>3381</v>
      </c>
      <c r="AA6559" s="1128" t="s">
        <v>3384</v>
      </c>
      <c r="AB6559" s="20"/>
      <c r="AC6559" s="73"/>
    </row>
    <row r="6560" spans="1:29" ht="14.25" customHeight="1">
      <c r="A6560" s="327" t="str">
        <f>IF(AND($B6560&lt;&gt;"",$C6560&lt;&gt;""),MAX($A$6492:$A6558)+1,"")</f>
        <v/>
      </c>
      <c r="B6560" s="361"/>
      <c r="C6560" s="362"/>
      <c r="D6560" s="362">
        <v>68</v>
      </c>
      <c r="E6560" s="361" t="s">
        <v>3517</v>
      </c>
      <c r="F6560" s="362" t="s">
        <v>3532</v>
      </c>
      <c r="G6560" s="327" t="s">
        <v>240</v>
      </c>
      <c r="H6560" s="361" t="s">
        <v>391</v>
      </c>
      <c r="I6560" s="327">
        <v>1</v>
      </c>
      <c r="J6560" s="363"/>
      <c r="K6560" s="345">
        <f t="shared" si="388"/>
        <v>11</v>
      </c>
      <c r="L6560" s="348">
        <v>790000</v>
      </c>
      <c r="M6560" s="371"/>
      <c r="N6560" s="355" t="str">
        <f t="shared" si="385"/>
        <v>KI</v>
      </c>
      <c r="O6560" s="345">
        <f t="shared" si="395"/>
        <v>10</v>
      </c>
      <c r="P6560" s="345">
        <f t="shared" si="389"/>
        <v>11</v>
      </c>
      <c r="Q6560" s="367">
        <f t="shared" si="402"/>
        <v>229314</v>
      </c>
      <c r="R6560" s="442" t="str">
        <f t="shared" si="403"/>
        <v>Gioăng kính Nr.68</v>
      </c>
      <c r="S6560" s="367">
        <f t="shared" si="404"/>
        <v>560620</v>
      </c>
      <c r="T6560" s="367" t="str">
        <f t="shared" si="405"/>
        <v>Nẹp kính 26.5</v>
      </c>
      <c r="U6560" s="367"/>
      <c r="V6560" s="367">
        <f t="shared" si="406"/>
        <v>560600</v>
      </c>
      <c r="W6560" s="442" t="str">
        <f t="shared" si="407"/>
        <v>Nẹp kính 14.5</v>
      </c>
      <c r="X6560" s="786"/>
      <c r="Y6560" s="1128" t="s">
        <v>3423</v>
      </c>
      <c r="Z6560" s="1128" t="s">
        <v>3381</v>
      </c>
      <c r="AA6560" s="1128" t="s">
        <v>3384</v>
      </c>
      <c r="AB6560" s="20"/>
      <c r="AC6560" s="73"/>
    </row>
    <row r="6561" spans="1:29" ht="14.25" customHeight="1">
      <c r="A6561" s="327" t="str">
        <f>IF(AND($B6561&lt;&gt;"",$C6561&lt;&gt;""),MAX($A$6492:$A6559)+1,"")</f>
        <v/>
      </c>
      <c r="B6561" s="361"/>
      <c r="C6561" s="362"/>
      <c r="D6561" s="362">
        <v>69</v>
      </c>
      <c r="E6561" s="361" t="s">
        <v>3564</v>
      </c>
      <c r="F6561" s="362" t="s">
        <v>3573</v>
      </c>
      <c r="G6561" s="327" t="s">
        <v>240</v>
      </c>
      <c r="H6561" s="361" t="s">
        <v>3536</v>
      </c>
      <c r="I6561" s="327">
        <v>1</v>
      </c>
      <c r="J6561" s="363"/>
      <c r="K6561" s="345">
        <f t="shared" si="388"/>
        <v>11</v>
      </c>
      <c r="L6561" s="348">
        <v>600000</v>
      </c>
      <c r="M6561" s="371"/>
      <c r="N6561" s="355" t="str">
        <f t="shared" si="385"/>
        <v>KI</v>
      </c>
      <c r="O6561" s="345">
        <f t="shared" si="395"/>
        <v>10</v>
      </c>
      <c r="P6561" s="345">
        <f t="shared" si="389"/>
        <v>7</v>
      </c>
      <c r="Q6561" s="367">
        <f t="shared" si="402"/>
        <v>220162</v>
      </c>
      <c r="R6561" s="442" t="str">
        <f t="shared" si="403"/>
        <v>Gioăng kính Nr.65</v>
      </c>
      <c r="S6561" s="367">
        <f t="shared" si="404"/>
        <v>561530</v>
      </c>
      <c r="T6561" s="367" t="str">
        <f t="shared" si="405"/>
        <v>Nẹp kính 34.5</v>
      </c>
      <c r="U6561" s="367"/>
      <c r="V6561" s="367">
        <f t="shared" si="406"/>
        <v>560510</v>
      </c>
      <c r="W6561" s="442" t="str">
        <f t="shared" si="407"/>
        <v>Nẹp kính 22.5</v>
      </c>
      <c r="X6561" s="786"/>
      <c r="Y6561" s="1128" t="s">
        <v>3455</v>
      </c>
      <c r="Z6561" s="1128" t="s">
        <v>3381</v>
      </c>
      <c r="AA6561" s="1128" t="s">
        <v>3384</v>
      </c>
      <c r="AB6561" s="20"/>
      <c r="AC6561" s="73"/>
    </row>
    <row r="6562" spans="1:29" ht="14.25" customHeight="1">
      <c r="A6562" s="327" t="str">
        <f>IF(AND($B6562&lt;&gt;"",$C6562&lt;&gt;""),MAX($A$6492:$A6560)+1,"")</f>
        <v/>
      </c>
      <c r="B6562" s="361"/>
      <c r="C6562" s="362"/>
      <c r="D6562" s="362">
        <v>70</v>
      </c>
      <c r="E6562" s="361" t="s">
        <v>3565</v>
      </c>
      <c r="F6562" s="362" t="s">
        <v>3574</v>
      </c>
      <c r="G6562" s="327" t="s">
        <v>240</v>
      </c>
      <c r="H6562" s="361" t="s">
        <v>3536</v>
      </c>
      <c r="I6562" s="327">
        <v>1</v>
      </c>
      <c r="J6562" s="363"/>
      <c r="K6562" s="345">
        <f t="shared" si="388"/>
        <v>11</v>
      </c>
      <c r="L6562" s="348">
        <v>1000000</v>
      </c>
      <c r="M6562" s="371"/>
      <c r="N6562" s="355" t="str">
        <f t="shared" si="385"/>
        <v>KI</v>
      </c>
      <c r="O6562" s="345">
        <f t="shared" si="395"/>
        <v>10</v>
      </c>
      <c r="P6562" s="345">
        <f t="shared" si="389"/>
        <v>11</v>
      </c>
      <c r="Q6562" s="367">
        <f t="shared" si="402"/>
        <v>229304</v>
      </c>
      <c r="R6562" s="442" t="str">
        <f t="shared" si="403"/>
        <v>Gioăng kính Nr.66</v>
      </c>
      <c r="S6562" s="367">
        <f t="shared" si="404"/>
        <v>561520</v>
      </c>
      <c r="T6562" s="367" t="str">
        <f t="shared" si="405"/>
        <v>Nẹp kính 30.5</v>
      </c>
      <c r="U6562" s="367"/>
      <c r="V6562" s="367">
        <f t="shared" si="406"/>
        <v>560610</v>
      </c>
      <c r="W6562" s="442" t="str">
        <f t="shared" si="407"/>
        <v>Nẹp kính 18.5</v>
      </c>
      <c r="X6562" s="786"/>
      <c r="Y6562" s="1128" t="s">
        <v>3455</v>
      </c>
      <c r="Z6562" s="1128" t="s">
        <v>3381</v>
      </c>
      <c r="AA6562" s="1128" t="s">
        <v>3384</v>
      </c>
      <c r="AB6562" s="20"/>
      <c r="AC6562" s="73"/>
    </row>
    <row r="6563" spans="1:29" ht="14.25" customHeight="1">
      <c r="A6563" s="327" t="str">
        <f>IF(AND($B6563&lt;&gt;"",$C6563&lt;&gt;""),MAX($A$6492:$A6561)+1,"")</f>
        <v/>
      </c>
      <c r="B6563" s="361"/>
      <c r="C6563" s="362"/>
      <c r="D6563" s="362">
        <v>71</v>
      </c>
      <c r="E6563" s="361" t="s">
        <v>3566</v>
      </c>
      <c r="F6563" s="362" t="s">
        <v>3575</v>
      </c>
      <c r="G6563" s="327" t="s">
        <v>240</v>
      </c>
      <c r="H6563" s="361" t="s">
        <v>3536</v>
      </c>
      <c r="I6563" s="327">
        <v>1</v>
      </c>
      <c r="J6563" s="363"/>
      <c r="K6563" s="345">
        <f t="shared" si="388"/>
        <v>11</v>
      </c>
      <c r="L6563" s="348">
        <v>1200000</v>
      </c>
      <c r="M6563" s="371"/>
      <c r="N6563" s="355" t="str">
        <f t="shared" si="385"/>
        <v>KI</v>
      </c>
      <c r="O6563" s="345">
        <f t="shared" si="395"/>
        <v>10</v>
      </c>
      <c r="P6563" s="345">
        <f t="shared" si="389"/>
        <v>11</v>
      </c>
      <c r="Q6563" s="367">
        <f t="shared" si="402"/>
        <v>229314</v>
      </c>
      <c r="R6563" s="442" t="str">
        <f t="shared" si="403"/>
        <v>Gioăng kính Nr.68</v>
      </c>
      <c r="S6563" s="367">
        <f t="shared" si="404"/>
        <v>560620</v>
      </c>
      <c r="T6563" s="367" t="str">
        <f t="shared" si="405"/>
        <v>Nẹp kính 26.5</v>
      </c>
      <c r="U6563" s="367"/>
      <c r="V6563" s="367">
        <f t="shared" si="406"/>
        <v>560600</v>
      </c>
      <c r="W6563" s="442" t="str">
        <f t="shared" si="407"/>
        <v>Nẹp kính 14.5</v>
      </c>
      <c r="X6563" s="786"/>
      <c r="Y6563" s="1128" t="s">
        <v>3455</v>
      </c>
      <c r="Z6563" s="1128" t="s">
        <v>3381</v>
      </c>
      <c r="AA6563" s="1128" t="s">
        <v>3384</v>
      </c>
      <c r="AB6563" s="20"/>
      <c r="AC6563" s="73"/>
    </row>
    <row r="6564" spans="1:29" ht="14.25" customHeight="1">
      <c r="A6564" s="327" t="str">
        <f>IF(AND($B6564&lt;&gt;"",$C6564&lt;&gt;""),MAX($A$6492:$A6562)+1,"")</f>
        <v/>
      </c>
      <c r="B6564" s="361"/>
      <c r="C6564" s="362"/>
      <c r="D6564" s="362">
        <v>72</v>
      </c>
      <c r="E6564" s="361" t="s">
        <v>3567</v>
      </c>
      <c r="F6564" s="362" t="s">
        <v>3576</v>
      </c>
      <c r="G6564" s="327" t="s">
        <v>240</v>
      </c>
      <c r="H6564" s="361" t="s">
        <v>3538</v>
      </c>
      <c r="I6564" s="327">
        <v>1</v>
      </c>
      <c r="J6564" s="363"/>
      <c r="K6564" s="345">
        <f t="shared" si="388"/>
        <v>11</v>
      </c>
      <c r="L6564" s="348">
        <v>600000</v>
      </c>
      <c r="M6564" s="371"/>
      <c r="N6564" s="355" t="str">
        <f t="shared" si="385"/>
        <v>KI</v>
      </c>
      <c r="O6564" s="345">
        <f t="shared" si="395"/>
        <v>10</v>
      </c>
      <c r="P6564" s="345">
        <f t="shared" si="389"/>
        <v>7</v>
      </c>
      <c r="Q6564" s="367">
        <f t="shared" si="402"/>
        <v>220162</v>
      </c>
      <c r="R6564" s="442" t="str">
        <f t="shared" si="403"/>
        <v>Gioăng kính Nr.65</v>
      </c>
      <c r="S6564" s="367">
        <f t="shared" si="404"/>
        <v>561530</v>
      </c>
      <c r="T6564" s="367" t="str">
        <f t="shared" si="405"/>
        <v>Nẹp kính 34.5</v>
      </c>
      <c r="U6564" s="367"/>
      <c r="V6564" s="367">
        <f t="shared" si="406"/>
        <v>560510</v>
      </c>
      <c r="W6564" s="442" t="str">
        <f t="shared" si="407"/>
        <v>Nẹp kính 22.5</v>
      </c>
      <c r="X6564" s="786"/>
      <c r="Y6564" s="1128" t="s">
        <v>3455</v>
      </c>
      <c r="Z6564" s="1128" t="s">
        <v>3381</v>
      </c>
      <c r="AA6564" s="1128" t="s">
        <v>3384</v>
      </c>
      <c r="AB6564" s="20"/>
      <c r="AC6564" s="73"/>
    </row>
    <row r="6565" spans="1:29" ht="14.25" customHeight="1">
      <c r="A6565" s="327" t="str">
        <f>IF(AND($B6565&lt;&gt;"",$C6565&lt;&gt;""),MAX($A$6492:$A6563)+1,"")</f>
        <v/>
      </c>
      <c r="B6565" s="361"/>
      <c r="C6565" s="362"/>
      <c r="D6565" s="362">
        <v>73</v>
      </c>
      <c r="E6565" s="361" t="s">
        <v>3568</v>
      </c>
      <c r="F6565" s="362" t="s">
        <v>3577</v>
      </c>
      <c r="G6565" s="327" t="s">
        <v>240</v>
      </c>
      <c r="H6565" s="361" t="s">
        <v>3538</v>
      </c>
      <c r="I6565" s="327">
        <v>1</v>
      </c>
      <c r="J6565" s="363"/>
      <c r="K6565" s="345">
        <f t="shared" si="388"/>
        <v>11</v>
      </c>
      <c r="L6565" s="348">
        <v>1000000</v>
      </c>
      <c r="M6565" s="371"/>
      <c r="N6565" s="355" t="str">
        <f t="shared" si="385"/>
        <v>KI</v>
      </c>
      <c r="O6565" s="345">
        <f t="shared" si="395"/>
        <v>10</v>
      </c>
      <c r="P6565" s="345">
        <f t="shared" si="389"/>
        <v>11</v>
      </c>
      <c r="Q6565" s="367">
        <f t="shared" si="402"/>
        <v>229304</v>
      </c>
      <c r="R6565" s="442" t="str">
        <f t="shared" si="403"/>
        <v>Gioăng kính Nr.66</v>
      </c>
      <c r="S6565" s="367">
        <f t="shared" si="404"/>
        <v>561520</v>
      </c>
      <c r="T6565" s="367" t="str">
        <f t="shared" si="405"/>
        <v>Nẹp kính 30.5</v>
      </c>
      <c r="U6565" s="367"/>
      <c r="V6565" s="367">
        <f t="shared" si="406"/>
        <v>560610</v>
      </c>
      <c r="W6565" s="442" t="str">
        <f t="shared" si="407"/>
        <v>Nẹp kính 18.5</v>
      </c>
      <c r="X6565" s="786"/>
      <c r="Y6565" s="1128" t="s">
        <v>3455</v>
      </c>
      <c r="Z6565" s="1128" t="s">
        <v>3381</v>
      </c>
      <c r="AA6565" s="1128" t="s">
        <v>3384</v>
      </c>
      <c r="AB6565" s="20"/>
      <c r="AC6565" s="73"/>
    </row>
    <row r="6566" spans="1:29" ht="14.25" customHeight="1">
      <c r="A6566" s="327" t="str">
        <f>IF(AND($B6566&lt;&gt;"",$C6566&lt;&gt;""),MAX($A$6492:$A6564)+1,"")</f>
        <v/>
      </c>
      <c r="B6566" s="361"/>
      <c r="C6566" s="362"/>
      <c r="D6566" s="362">
        <v>74</v>
      </c>
      <c r="E6566" s="361" t="s">
        <v>3569</v>
      </c>
      <c r="F6566" s="362" t="s">
        <v>3578</v>
      </c>
      <c r="G6566" s="327" t="s">
        <v>240</v>
      </c>
      <c r="H6566" s="361" t="s">
        <v>3538</v>
      </c>
      <c r="I6566" s="327">
        <v>1</v>
      </c>
      <c r="J6566" s="363"/>
      <c r="K6566" s="345">
        <f t="shared" si="388"/>
        <v>11</v>
      </c>
      <c r="L6566" s="348">
        <v>1200000</v>
      </c>
      <c r="M6566" s="371"/>
      <c r="N6566" s="355" t="str">
        <f t="shared" si="385"/>
        <v>KI</v>
      </c>
      <c r="O6566" s="345">
        <f t="shared" si="395"/>
        <v>10</v>
      </c>
      <c r="P6566" s="345">
        <f t="shared" si="389"/>
        <v>11</v>
      </c>
      <c r="Q6566" s="367">
        <f t="shared" si="402"/>
        <v>229314</v>
      </c>
      <c r="R6566" s="442" t="str">
        <f t="shared" si="403"/>
        <v>Gioăng kính Nr.68</v>
      </c>
      <c r="S6566" s="367">
        <f t="shared" si="404"/>
        <v>560620</v>
      </c>
      <c r="T6566" s="367" t="str">
        <f t="shared" si="405"/>
        <v>Nẹp kính 26.5</v>
      </c>
      <c r="U6566" s="367"/>
      <c r="V6566" s="367">
        <f t="shared" si="406"/>
        <v>560600</v>
      </c>
      <c r="W6566" s="442" t="str">
        <f t="shared" si="407"/>
        <v>Nẹp kính 14.5</v>
      </c>
      <c r="X6566" s="786"/>
      <c r="Y6566" s="1128" t="s">
        <v>3455</v>
      </c>
      <c r="Z6566" s="1128" t="s">
        <v>3381</v>
      </c>
      <c r="AA6566" s="1128" t="s">
        <v>3384</v>
      </c>
      <c r="AB6566" s="20"/>
      <c r="AC6566" s="73"/>
    </row>
    <row r="6567" spans="1:29" ht="14.25" customHeight="1">
      <c r="A6567" s="327" t="str">
        <f>IF(AND($B6567&lt;&gt;"",$C6567&lt;&gt;""),MAX($A$6492:$A6565)+1,"")</f>
        <v/>
      </c>
      <c r="B6567" s="361"/>
      <c r="C6567" s="362"/>
      <c r="D6567" s="362">
        <v>75</v>
      </c>
      <c r="E6567" s="361" t="s">
        <v>3570</v>
      </c>
      <c r="F6567" s="362" t="s">
        <v>3579</v>
      </c>
      <c r="G6567" s="327" t="s">
        <v>240</v>
      </c>
      <c r="H6567" s="361" t="s">
        <v>3539</v>
      </c>
      <c r="I6567" s="327">
        <v>1</v>
      </c>
      <c r="J6567" s="363"/>
      <c r="K6567" s="345">
        <f t="shared" si="388"/>
        <v>11</v>
      </c>
      <c r="L6567" s="348">
        <v>600000</v>
      </c>
      <c r="M6567" s="371"/>
      <c r="N6567" s="355" t="str">
        <f t="shared" si="385"/>
        <v>KI</v>
      </c>
      <c r="O6567" s="345">
        <f t="shared" si="395"/>
        <v>10</v>
      </c>
      <c r="P6567" s="345">
        <f t="shared" si="389"/>
        <v>7</v>
      </c>
      <c r="Q6567" s="367">
        <f t="shared" si="402"/>
        <v>220162</v>
      </c>
      <c r="R6567" s="442" t="str">
        <f t="shared" si="403"/>
        <v>Gioăng kính Nr.65</v>
      </c>
      <c r="S6567" s="367">
        <f t="shared" si="404"/>
        <v>561530</v>
      </c>
      <c r="T6567" s="367" t="str">
        <f t="shared" si="405"/>
        <v>Nẹp kính 34.5</v>
      </c>
      <c r="U6567" s="367"/>
      <c r="V6567" s="367">
        <f t="shared" si="406"/>
        <v>560510</v>
      </c>
      <c r="W6567" s="442" t="str">
        <f t="shared" si="407"/>
        <v>Nẹp kính 22.5</v>
      </c>
      <c r="X6567" s="786"/>
      <c r="Y6567" s="1128" t="s">
        <v>3455</v>
      </c>
      <c r="Z6567" s="1128" t="s">
        <v>3381</v>
      </c>
      <c r="AA6567" s="1128" t="s">
        <v>3384</v>
      </c>
      <c r="AB6567" s="20"/>
      <c r="AC6567" s="73"/>
    </row>
    <row r="6568" spans="1:29" ht="14.25" customHeight="1">
      <c r="A6568" s="327" t="str">
        <f>IF(AND($B6568&lt;&gt;"",$C6568&lt;&gt;""),MAX($A$6492:$A6566)+1,"")</f>
        <v/>
      </c>
      <c r="B6568" s="361"/>
      <c r="C6568" s="362"/>
      <c r="D6568" s="362">
        <v>76</v>
      </c>
      <c r="E6568" s="361" t="s">
        <v>3571</v>
      </c>
      <c r="F6568" s="362" t="s">
        <v>3580</v>
      </c>
      <c r="G6568" s="327" t="s">
        <v>240</v>
      </c>
      <c r="H6568" s="361" t="s">
        <v>3539</v>
      </c>
      <c r="I6568" s="327">
        <v>1</v>
      </c>
      <c r="J6568" s="363"/>
      <c r="K6568" s="345">
        <f t="shared" si="388"/>
        <v>11</v>
      </c>
      <c r="L6568" s="348">
        <v>1000000</v>
      </c>
      <c r="M6568" s="371"/>
      <c r="N6568" s="355" t="str">
        <f t="shared" si="385"/>
        <v>KI</v>
      </c>
      <c r="O6568" s="345">
        <f t="shared" si="395"/>
        <v>10</v>
      </c>
      <c r="P6568" s="345">
        <f t="shared" si="389"/>
        <v>11</v>
      </c>
      <c r="Q6568" s="367">
        <f t="shared" si="402"/>
        <v>229304</v>
      </c>
      <c r="R6568" s="442" t="str">
        <f t="shared" si="403"/>
        <v>Gioăng kính Nr.66</v>
      </c>
      <c r="S6568" s="367">
        <f t="shared" si="404"/>
        <v>561520</v>
      </c>
      <c r="T6568" s="367" t="str">
        <f t="shared" si="405"/>
        <v>Nẹp kính 30.5</v>
      </c>
      <c r="U6568" s="367"/>
      <c r="V6568" s="367">
        <f t="shared" si="406"/>
        <v>560610</v>
      </c>
      <c r="W6568" s="442" t="str">
        <f t="shared" si="407"/>
        <v>Nẹp kính 18.5</v>
      </c>
      <c r="X6568" s="786"/>
      <c r="Y6568" s="1128" t="s">
        <v>3455</v>
      </c>
      <c r="Z6568" s="1128" t="s">
        <v>3381</v>
      </c>
      <c r="AA6568" s="1128" t="s">
        <v>3384</v>
      </c>
      <c r="AB6568" s="20"/>
      <c r="AC6568" s="73"/>
    </row>
    <row r="6569" spans="1:29" ht="14.25" customHeight="1">
      <c r="A6569" s="327" t="str">
        <f>IF(AND($B6569&lt;&gt;"",$C6569&lt;&gt;""),MAX($A$6492:$A6567)+1,"")</f>
        <v/>
      </c>
      <c r="B6569" s="361"/>
      <c r="C6569" s="362"/>
      <c r="D6569" s="362">
        <v>77</v>
      </c>
      <c r="E6569" s="361" t="s">
        <v>3572</v>
      </c>
      <c r="F6569" s="362" t="s">
        <v>3581</v>
      </c>
      <c r="G6569" s="327" t="s">
        <v>240</v>
      </c>
      <c r="H6569" s="361" t="s">
        <v>3539</v>
      </c>
      <c r="I6569" s="327">
        <v>1</v>
      </c>
      <c r="J6569" s="363"/>
      <c r="K6569" s="345">
        <f t="shared" si="388"/>
        <v>11</v>
      </c>
      <c r="L6569" s="348">
        <v>1200000</v>
      </c>
      <c r="M6569" s="371"/>
      <c r="N6569" s="355" t="str">
        <f t="shared" si="385"/>
        <v>KI</v>
      </c>
      <c r="O6569" s="345">
        <f t="shared" si="395"/>
        <v>10</v>
      </c>
      <c r="P6569" s="345">
        <f t="shared" si="389"/>
        <v>11</v>
      </c>
      <c r="Q6569" s="367">
        <f t="shared" si="402"/>
        <v>229314</v>
      </c>
      <c r="R6569" s="442" t="str">
        <f t="shared" si="403"/>
        <v>Gioăng kính Nr.68</v>
      </c>
      <c r="S6569" s="367">
        <f t="shared" si="404"/>
        <v>560620</v>
      </c>
      <c r="T6569" s="367" t="str">
        <f t="shared" si="405"/>
        <v>Nẹp kính 26.5</v>
      </c>
      <c r="U6569" s="367"/>
      <c r="V6569" s="367">
        <f t="shared" si="406"/>
        <v>560600</v>
      </c>
      <c r="W6569" s="442" t="str">
        <f t="shared" si="407"/>
        <v>Nẹp kính 14.5</v>
      </c>
      <c r="X6569" s="786"/>
      <c r="Y6569" s="1128" t="s">
        <v>3455</v>
      </c>
      <c r="Z6569" s="1128" t="s">
        <v>3381</v>
      </c>
      <c r="AA6569" s="1128" t="s">
        <v>3384</v>
      </c>
      <c r="AB6569" s="20"/>
      <c r="AC6569" s="73"/>
    </row>
    <row r="6570" spans="1:29" ht="14.25" customHeight="1">
      <c r="A6570" s="327" t="str">
        <f>IF(AND($B6570&lt;&gt;"",$C6570&lt;&gt;""),MAX($A$6492:$A6559)+1,"")</f>
        <v/>
      </c>
      <c r="B6570" s="361"/>
      <c r="C6570" s="362"/>
      <c r="D6570" s="362">
        <v>78</v>
      </c>
      <c r="E6570" s="361" t="s">
        <v>3044</v>
      </c>
      <c r="F6570" s="362" t="s">
        <v>3534</v>
      </c>
      <c r="G6570" s="327" t="s">
        <v>240</v>
      </c>
      <c r="H6570" s="361" t="s">
        <v>3536</v>
      </c>
      <c r="I6570" s="327">
        <v>1</v>
      </c>
      <c r="J6570" s="363"/>
      <c r="K6570" s="345">
        <f t="shared" si="388"/>
        <v>11</v>
      </c>
      <c r="L6570" s="348">
        <f>L6561+80000</f>
        <v>680000</v>
      </c>
      <c r="M6570" s="371"/>
      <c r="N6570" s="355" t="str">
        <f t="shared" si="385"/>
        <v>KI</v>
      </c>
      <c r="O6570" s="345">
        <f t="shared" si="395"/>
        <v>10</v>
      </c>
      <c r="P6570" s="345">
        <f t="shared" si="389"/>
        <v>7</v>
      </c>
      <c r="Q6570" s="367">
        <f t="shared" si="402"/>
        <v>220162</v>
      </c>
      <c r="R6570" s="442" t="str">
        <f t="shared" si="403"/>
        <v>Gioăng kính Nr.65</v>
      </c>
      <c r="S6570" s="367">
        <f t="shared" si="404"/>
        <v>561530</v>
      </c>
      <c r="T6570" s="367" t="str">
        <f t="shared" si="405"/>
        <v>Nẹp kính 34.5</v>
      </c>
      <c r="U6570" s="367"/>
      <c r="V6570" s="367">
        <f t="shared" si="406"/>
        <v>560510</v>
      </c>
      <c r="W6570" s="442" t="str">
        <f t="shared" si="407"/>
        <v>Nẹp kính 22.5</v>
      </c>
      <c r="X6570" s="786"/>
      <c r="Y6570" s="1128" t="s">
        <v>3455</v>
      </c>
      <c r="Z6570" s="1128" t="s">
        <v>3381</v>
      </c>
      <c r="AA6570" s="1128" t="s">
        <v>3384</v>
      </c>
      <c r="AB6570" s="20"/>
      <c r="AC6570" s="73"/>
    </row>
    <row r="6571" spans="1:29" ht="14.25" customHeight="1">
      <c r="A6571" s="327" t="str">
        <f>IF(AND($B6571&lt;&gt;"",$C6571&lt;&gt;""),MAX($A$6492:$A6560)+1,"")</f>
        <v/>
      </c>
      <c r="B6571" s="361"/>
      <c r="C6571" s="362"/>
      <c r="D6571" s="362">
        <v>79</v>
      </c>
      <c r="E6571" s="361" t="s">
        <v>3041</v>
      </c>
      <c r="F6571" s="362" t="s">
        <v>3414</v>
      </c>
      <c r="G6571" s="327" t="s">
        <v>240</v>
      </c>
      <c r="H6571" s="361" t="s">
        <v>3536</v>
      </c>
      <c r="I6571" s="327">
        <v>1</v>
      </c>
      <c r="J6571" s="363"/>
      <c r="K6571" s="345">
        <f t="shared" si="388"/>
        <v>11</v>
      </c>
      <c r="L6571" s="348">
        <f t="shared" ref="L6571:L6578" si="408">L6562+80000</f>
        <v>1080000</v>
      </c>
      <c r="M6571" s="371"/>
      <c r="N6571" s="355" t="str">
        <f t="shared" si="385"/>
        <v>KI</v>
      </c>
      <c r="O6571" s="345">
        <f t="shared" si="395"/>
        <v>10</v>
      </c>
      <c r="P6571" s="345">
        <f t="shared" si="389"/>
        <v>11</v>
      </c>
      <c r="Q6571" s="367">
        <f t="shared" si="402"/>
        <v>229304</v>
      </c>
      <c r="R6571" s="442" t="str">
        <f t="shared" si="403"/>
        <v>Gioăng kính Nr.66</v>
      </c>
      <c r="S6571" s="367">
        <f t="shared" si="404"/>
        <v>561520</v>
      </c>
      <c r="T6571" s="367" t="str">
        <f t="shared" si="405"/>
        <v>Nẹp kính 30.5</v>
      </c>
      <c r="U6571" s="367"/>
      <c r="V6571" s="367">
        <f t="shared" si="406"/>
        <v>560610</v>
      </c>
      <c r="W6571" s="442" t="str">
        <f t="shared" si="407"/>
        <v>Nẹp kính 18.5</v>
      </c>
      <c r="X6571" s="786"/>
      <c r="Y6571" s="1128" t="s">
        <v>3455</v>
      </c>
      <c r="Z6571" s="1128" t="s">
        <v>3381</v>
      </c>
      <c r="AA6571" s="1128" t="s">
        <v>3384</v>
      </c>
      <c r="AB6571" s="20"/>
      <c r="AC6571" s="73"/>
    </row>
    <row r="6572" spans="1:29" ht="14.25" customHeight="1">
      <c r="A6572" s="327" t="str">
        <f>IF(AND($B6572&lt;&gt;"",$C6572&lt;&gt;""),MAX($A$6492:$A6570)+1,"")</f>
        <v/>
      </c>
      <c r="B6572" s="361"/>
      <c r="C6572" s="362"/>
      <c r="D6572" s="362">
        <v>80</v>
      </c>
      <c r="E6572" s="361" t="s">
        <v>3533</v>
      </c>
      <c r="F6572" s="362" t="s">
        <v>3535</v>
      </c>
      <c r="G6572" s="327" t="s">
        <v>240</v>
      </c>
      <c r="H6572" s="361" t="s">
        <v>3536</v>
      </c>
      <c r="I6572" s="327">
        <v>1</v>
      </c>
      <c r="J6572" s="363"/>
      <c r="K6572" s="345">
        <f t="shared" si="388"/>
        <v>11</v>
      </c>
      <c r="L6572" s="348">
        <f t="shared" si="408"/>
        <v>1280000</v>
      </c>
      <c r="M6572" s="371"/>
      <c r="N6572" s="355" t="str">
        <f t="shared" si="385"/>
        <v>KI</v>
      </c>
      <c r="O6572" s="345">
        <f t="shared" si="395"/>
        <v>10</v>
      </c>
      <c r="P6572" s="345">
        <f t="shared" si="389"/>
        <v>11</v>
      </c>
      <c r="Q6572" s="367">
        <f t="shared" si="402"/>
        <v>229314</v>
      </c>
      <c r="R6572" s="442" t="str">
        <f t="shared" si="403"/>
        <v>Gioăng kính Nr.68</v>
      </c>
      <c r="S6572" s="367">
        <f t="shared" si="404"/>
        <v>560620</v>
      </c>
      <c r="T6572" s="367" t="str">
        <f t="shared" si="405"/>
        <v>Nẹp kính 26.5</v>
      </c>
      <c r="U6572" s="367"/>
      <c r="V6572" s="367">
        <f t="shared" si="406"/>
        <v>560600</v>
      </c>
      <c r="W6572" s="442" t="str">
        <f t="shared" si="407"/>
        <v>Nẹp kính 14.5</v>
      </c>
      <c r="X6572" s="786"/>
      <c r="Y6572" s="1128" t="s">
        <v>3455</v>
      </c>
      <c r="Z6572" s="1128" t="s">
        <v>3381</v>
      </c>
      <c r="AA6572" s="1128" t="s">
        <v>3384</v>
      </c>
      <c r="AB6572" s="20"/>
      <c r="AC6572" s="73"/>
    </row>
    <row r="6573" spans="1:29" ht="14.25" customHeight="1">
      <c r="A6573" s="327" t="str">
        <f>IF(AND($B6573&lt;&gt;"",$C6573&lt;&gt;""),MAX($A$6492:$A6571)+1,"")</f>
        <v/>
      </c>
      <c r="B6573" s="361"/>
      <c r="C6573" s="362"/>
      <c r="D6573" s="362">
        <v>81</v>
      </c>
      <c r="E6573" s="361" t="s">
        <v>3046</v>
      </c>
      <c r="F6573" s="362" t="s">
        <v>3413</v>
      </c>
      <c r="G6573" s="327" t="s">
        <v>240</v>
      </c>
      <c r="H6573" s="361" t="s">
        <v>3538</v>
      </c>
      <c r="I6573" s="327">
        <v>1</v>
      </c>
      <c r="J6573" s="363"/>
      <c r="K6573" s="345">
        <f t="shared" si="388"/>
        <v>11</v>
      </c>
      <c r="L6573" s="348">
        <f t="shared" si="408"/>
        <v>680000</v>
      </c>
      <c r="M6573" s="371"/>
      <c r="N6573" s="355" t="str">
        <f t="shared" si="385"/>
        <v>KI</v>
      </c>
      <c r="O6573" s="345">
        <f t="shared" si="395"/>
        <v>10</v>
      </c>
      <c r="P6573" s="345">
        <f t="shared" si="389"/>
        <v>7</v>
      </c>
      <c r="Q6573" s="367">
        <f t="shared" si="402"/>
        <v>220162</v>
      </c>
      <c r="R6573" s="442" t="str">
        <f t="shared" si="403"/>
        <v>Gioăng kính Nr.65</v>
      </c>
      <c r="S6573" s="367">
        <f t="shared" si="404"/>
        <v>561530</v>
      </c>
      <c r="T6573" s="367" t="str">
        <f t="shared" si="405"/>
        <v>Nẹp kính 34.5</v>
      </c>
      <c r="U6573" s="367"/>
      <c r="V6573" s="367">
        <f t="shared" si="406"/>
        <v>560510</v>
      </c>
      <c r="W6573" s="442" t="str">
        <f t="shared" si="407"/>
        <v>Nẹp kính 22.5</v>
      </c>
      <c r="X6573" s="786"/>
      <c r="Y6573" s="1128" t="s">
        <v>3455</v>
      </c>
      <c r="Z6573" s="1128" t="s">
        <v>3381</v>
      </c>
      <c r="AA6573" s="1128" t="s">
        <v>3384</v>
      </c>
      <c r="AB6573" s="20"/>
      <c r="AC6573" s="73"/>
    </row>
    <row r="6574" spans="1:29" ht="14.25" customHeight="1">
      <c r="A6574" s="327" t="str">
        <f>IF(AND($B6574&lt;&gt;"",$C6574&lt;&gt;""),MAX($A$6492:$A6572)+1,"")</f>
        <v/>
      </c>
      <c r="B6574" s="361"/>
      <c r="C6574" s="362"/>
      <c r="D6574" s="362">
        <v>82</v>
      </c>
      <c r="E6574" s="361" t="s">
        <v>3043</v>
      </c>
      <c r="F6574" s="362" t="s">
        <v>3416</v>
      </c>
      <c r="G6574" s="327" t="s">
        <v>240</v>
      </c>
      <c r="H6574" s="361" t="s">
        <v>3538</v>
      </c>
      <c r="I6574" s="327">
        <v>1</v>
      </c>
      <c r="J6574" s="363"/>
      <c r="K6574" s="345">
        <f t="shared" si="388"/>
        <v>11</v>
      </c>
      <c r="L6574" s="348">
        <f t="shared" si="408"/>
        <v>1080000</v>
      </c>
      <c r="M6574" s="371"/>
      <c r="N6574" s="355" t="str">
        <f t="shared" si="385"/>
        <v>KI</v>
      </c>
      <c r="O6574" s="345">
        <f t="shared" si="395"/>
        <v>10</v>
      </c>
      <c r="P6574" s="345">
        <f t="shared" si="389"/>
        <v>11</v>
      </c>
      <c r="Q6574" s="367">
        <f t="shared" si="402"/>
        <v>229304</v>
      </c>
      <c r="R6574" s="442" t="str">
        <f t="shared" si="403"/>
        <v>Gioăng kính Nr.66</v>
      </c>
      <c r="S6574" s="367">
        <f t="shared" si="404"/>
        <v>561520</v>
      </c>
      <c r="T6574" s="367" t="str">
        <f t="shared" si="405"/>
        <v>Nẹp kính 30.5</v>
      </c>
      <c r="U6574" s="367"/>
      <c r="V6574" s="367">
        <f t="shared" si="406"/>
        <v>560610</v>
      </c>
      <c r="W6574" s="442" t="str">
        <f t="shared" si="407"/>
        <v>Nẹp kính 18.5</v>
      </c>
      <c r="X6574" s="786"/>
      <c r="Y6574" s="1128" t="s">
        <v>3455</v>
      </c>
      <c r="Z6574" s="1128" t="s">
        <v>3381</v>
      </c>
      <c r="AA6574" s="1128" t="s">
        <v>3384</v>
      </c>
      <c r="AB6574" s="20"/>
      <c r="AC6574" s="73"/>
    </row>
    <row r="6575" spans="1:29" ht="14.25" customHeight="1">
      <c r="A6575" s="327" t="str">
        <f>IF(AND($B6575&lt;&gt;"",$C6575&lt;&gt;""),MAX($A$6492:$A6573)+1,"")</f>
        <v/>
      </c>
      <c r="B6575" s="361"/>
      <c r="C6575" s="362"/>
      <c r="D6575" s="362">
        <v>83</v>
      </c>
      <c r="E6575" s="361" t="s">
        <v>3541</v>
      </c>
      <c r="F6575" s="362" t="s">
        <v>3537</v>
      </c>
      <c r="G6575" s="327" t="s">
        <v>240</v>
      </c>
      <c r="H6575" s="361" t="s">
        <v>3538</v>
      </c>
      <c r="I6575" s="327">
        <v>1</v>
      </c>
      <c r="J6575" s="363"/>
      <c r="K6575" s="345">
        <f t="shared" si="388"/>
        <v>11</v>
      </c>
      <c r="L6575" s="348">
        <f t="shared" si="408"/>
        <v>1280000</v>
      </c>
      <c r="M6575" s="371"/>
      <c r="N6575" s="355" t="str">
        <f t="shared" si="385"/>
        <v>KI</v>
      </c>
      <c r="O6575" s="345">
        <f t="shared" si="395"/>
        <v>10</v>
      </c>
      <c r="P6575" s="345">
        <f t="shared" si="389"/>
        <v>11</v>
      </c>
      <c r="Q6575" s="367">
        <f t="shared" si="402"/>
        <v>229314</v>
      </c>
      <c r="R6575" s="442" t="str">
        <f t="shared" si="403"/>
        <v>Gioăng kính Nr.68</v>
      </c>
      <c r="S6575" s="367">
        <f t="shared" si="404"/>
        <v>560620</v>
      </c>
      <c r="T6575" s="367" t="str">
        <f t="shared" si="405"/>
        <v>Nẹp kính 26.5</v>
      </c>
      <c r="U6575" s="367"/>
      <c r="V6575" s="367">
        <f t="shared" si="406"/>
        <v>560600</v>
      </c>
      <c r="W6575" s="442" t="str">
        <f t="shared" si="407"/>
        <v>Nẹp kính 14.5</v>
      </c>
      <c r="X6575" s="786"/>
      <c r="Y6575" s="1128" t="s">
        <v>3455</v>
      </c>
      <c r="Z6575" s="1128" t="s">
        <v>3381</v>
      </c>
      <c r="AA6575" s="1128" t="s">
        <v>3384</v>
      </c>
      <c r="AB6575" s="20"/>
      <c r="AC6575" s="73"/>
    </row>
    <row r="6576" spans="1:29" ht="14.25" customHeight="1">
      <c r="A6576" s="327" t="str">
        <f>IF(AND($B6576&lt;&gt;"",$C6576&lt;&gt;""),MAX($A$6492:$A6574)+1,"")</f>
        <v/>
      </c>
      <c r="B6576" s="361"/>
      <c r="C6576" s="362"/>
      <c r="D6576" s="362">
        <v>84</v>
      </c>
      <c r="E6576" s="361" t="s">
        <v>3045</v>
      </c>
      <c r="F6576" s="362" t="s">
        <v>3412</v>
      </c>
      <c r="G6576" s="327" t="s">
        <v>240</v>
      </c>
      <c r="H6576" s="361" t="s">
        <v>3539</v>
      </c>
      <c r="I6576" s="327">
        <v>1</v>
      </c>
      <c r="J6576" s="363"/>
      <c r="K6576" s="345">
        <f t="shared" si="388"/>
        <v>11</v>
      </c>
      <c r="L6576" s="348">
        <f t="shared" si="408"/>
        <v>680000</v>
      </c>
      <c r="M6576" s="371"/>
      <c r="N6576" s="355" t="str">
        <f t="shared" si="385"/>
        <v>KI</v>
      </c>
      <c r="O6576" s="345">
        <f t="shared" si="395"/>
        <v>10</v>
      </c>
      <c r="P6576" s="345">
        <f t="shared" si="389"/>
        <v>7</v>
      </c>
      <c r="Q6576" s="367">
        <f t="shared" si="402"/>
        <v>220162</v>
      </c>
      <c r="R6576" s="442" t="str">
        <f t="shared" si="403"/>
        <v>Gioăng kính Nr.65</v>
      </c>
      <c r="S6576" s="367">
        <f t="shared" si="404"/>
        <v>561530</v>
      </c>
      <c r="T6576" s="367" t="str">
        <f t="shared" si="405"/>
        <v>Nẹp kính 34.5</v>
      </c>
      <c r="U6576" s="367"/>
      <c r="V6576" s="367">
        <f t="shared" si="406"/>
        <v>560510</v>
      </c>
      <c r="W6576" s="442" t="str">
        <f t="shared" si="407"/>
        <v>Nẹp kính 22.5</v>
      </c>
      <c r="X6576" s="786"/>
      <c r="Y6576" s="1128" t="s">
        <v>3455</v>
      </c>
      <c r="Z6576" s="1128" t="s">
        <v>3381</v>
      </c>
      <c r="AA6576" s="1128" t="s">
        <v>3384</v>
      </c>
      <c r="AB6576" s="20"/>
      <c r="AC6576" s="73"/>
    </row>
    <row r="6577" spans="1:29" ht="14.25" customHeight="1">
      <c r="A6577" s="327" t="str">
        <f>IF(AND($B6577&lt;&gt;"",$C6577&lt;&gt;""),MAX($A$6492:$A6575)+1,"")</f>
        <v/>
      </c>
      <c r="B6577" s="361"/>
      <c r="C6577" s="362"/>
      <c r="D6577" s="362">
        <v>85</v>
      </c>
      <c r="E6577" s="361" t="s">
        <v>3042</v>
      </c>
      <c r="F6577" s="362" t="s">
        <v>3415</v>
      </c>
      <c r="G6577" s="327" t="s">
        <v>240</v>
      </c>
      <c r="H6577" s="361" t="s">
        <v>3539</v>
      </c>
      <c r="I6577" s="327">
        <v>1</v>
      </c>
      <c r="J6577" s="363"/>
      <c r="K6577" s="345">
        <f t="shared" si="388"/>
        <v>11</v>
      </c>
      <c r="L6577" s="348">
        <f t="shared" si="408"/>
        <v>1080000</v>
      </c>
      <c r="M6577" s="371"/>
      <c r="N6577" s="355" t="str">
        <f t="shared" si="385"/>
        <v>KI</v>
      </c>
      <c r="O6577" s="345">
        <f t="shared" si="395"/>
        <v>10</v>
      </c>
      <c r="P6577" s="345">
        <f t="shared" si="389"/>
        <v>11</v>
      </c>
      <c r="Q6577" s="367">
        <f t="shared" si="402"/>
        <v>229304</v>
      </c>
      <c r="R6577" s="442" t="str">
        <f t="shared" si="403"/>
        <v>Gioăng kính Nr.66</v>
      </c>
      <c r="S6577" s="367">
        <f t="shared" si="404"/>
        <v>561520</v>
      </c>
      <c r="T6577" s="367" t="str">
        <f t="shared" si="405"/>
        <v>Nẹp kính 30.5</v>
      </c>
      <c r="U6577" s="367"/>
      <c r="V6577" s="367">
        <f t="shared" si="406"/>
        <v>560610</v>
      </c>
      <c r="W6577" s="442" t="str">
        <f t="shared" si="407"/>
        <v>Nẹp kính 18.5</v>
      </c>
      <c r="X6577" s="786"/>
      <c r="Y6577" s="1128" t="s">
        <v>3455</v>
      </c>
      <c r="Z6577" s="1128" t="s">
        <v>3381</v>
      </c>
      <c r="AA6577" s="1128" t="s">
        <v>3384</v>
      </c>
      <c r="AB6577" s="20"/>
      <c r="AC6577" s="73"/>
    </row>
    <row r="6578" spans="1:29" ht="14.25" customHeight="1">
      <c r="A6578" s="327" t="str">
        <f>IF(AND($B6578&lt;&gt;"",$C6578&lt;&gt;""),MAX($A$6492:$A6576)+1,"")</f>
        <v/>
      </c>
      <c r="B6578" s="361"/>
      <c r="C6578" s="362"/>
      <c r="D6578" s="362">
        <v>86</v>
      </c>
      <c r="E6578" s="361" t="s">
        <v>3542</v>
      </c>
      <c r="F6578" s="362" t="s">
        <v>3540</v>
      </c>
      <c r="G6578" s="327" t="s">
        <v>240</v>
      </c>
      <c r="H6578" s="361" t="s">
        <v>3539</v>
      </c>
      <c r="I6578" s="327">
        <v>1</v>
      </c>
      <c r="J6578" s="363"/>
      <c r="K6578" s="345">
        <f t="shared" si="388"/>
        <v>11</v>
      </c>
      <c r="L6578" s="348">
        <f t="shared" si="408"/>
        <v>1280000</v>
      </c>
      <c r="M6578" s="371"/>
      <c r="N6578" s="355" t="str">
        <f t="shared" si="385"/>
        <v>KI</v>
      </c>
      <c r="O6578" s="345">
        <f t="shared" si="395"/>
        <v>10</v>
      </c>
      <c r="P6578" s="345">
        <f t="shared" si="389"/>
        <v>11</v>
      </c>
      <c r="Q6578" s="367">
        <f t="shared" si="402"/>
        <v>229314</v>
      </c>
      <c r="R6578" s="442" t="str">
        <f t="shared" si="403"/>
        <v>Gioăng kính Nr.68</v>
      </c>
      <c r="S6578" s="367">
        <f t="shared" si="404"/>
        <v>560620</v>
      </c>
      <c r="T6578" s="367" t="str">
        <f t="shared" si="405"/>
        <v>Nẹp kính 26.5</v>
      </c>
      <c r="U6578" s="367"/>
      <c r="V6578" s="367">
        <f t="shared" si="406"/>
        <v>560600</v>
      </c>
      <c r="W6578" s="442" t="str">
        <f t="shared" si="407"/>
        <v>Nẹp kính 14.5</v>
      </c>
      <c r="X6578" s="786"/>
      <c r="Y6578" s="1128" t="s">
        <v>3455</v>
      </c>
      <c r="Z6578" s="1128" t="s">
        <v>3381</v>
      </c>
      <c r="AA6578" s="1128" t="s">
        <v>3384</v>
      </c>
      <c r="AB6578" s="20"/>
      <c r="AC6578" s="73"/>
    </row>
    <row r="6579" spans="1:29" ht="14.25" customHeight="1">
      <c r="A6579" s="327" t="str">
        <f>IF(AND($B6579&lt;&gt;"",$C6579&lt;&gt;""),MAX($A$6492:$A6577)+1,"")</f>
        <v/>
      </c>
      <c r="B6579" s="361"/>
      <c r="C6579" s="362"/>
      <c r="D6579" s="362">
        <v>87</v>
      </c>
      <c r="E6579" s="361" t="s">
        <v>3582</v>
      </c>
      <c r="F6579" s="362" t="s">
        <v>3590</v>
      </c>
      <c r="G6579" s="327" t="s">
        <v>240</v>
      </c>
      <c r="H6579" s="361" t="s">
        <v>3562</v>
      </c>
      <c r="I6579" s="327">
        <v>1</v>
      </c>
      <c r="J6579" s="363"/>
      <c r="K6579" s="345">
        <f t="shared" si="388"/>
        <v>11</v>
      </c>
      <c r="L6579" s="1223" t="s">
        <v>2286</v>
      </c>
      <c r="M6579" s="371"/>
      <c r="N6579" s="355" t="str">
        <f t="shared" si="385"/>
        <v>KI</v>
      </c>
      <c r="O6579" s="345">
        <f t="shared" si="395"/>
        <v>10</v>
      </c>
      <c r="P6579" s="345">
        <f t="shared" si="389"/>
        <v>7</v>
      </c>
      <c r="Q6579" s="367">
        <f t="shared" si="402"/>
        <v>220162</v>
      </c>
      <c r="R6579" s="442" t="str">
        <f t="shared" si="403"/>
        <v>Gioăng kính Nr.65</v>
      </c>
      <c r="S6579" s="367">
        <f t="shared" si="404"/>
        <v>561530</v>
      </c>
      <c r="T6579" s="367" t="str">
        <f t="shared" si="405"/>
        <v>Nẹp kính 34.5</v>
      </c>
      <c r="U6579" s="367"/>
      <c r="V6579" s="367">
        <f t="shared" si="406"/>
        <v>560510</v>
      </c>
      <c r="W6579" s="442" t="str">
        <f t="shared" si="407"/>
        <v>Nẹp kính 22.5</v>
      </c>
      <c r="X6579" s="786"/>
      <c r="Y6579" s="1128" t="s">
        <v>3380</v>
      </c>
      <c r="Z6579" s="1128" t="s">
        <v>3381</v>
      </c>
      <c r="AA6579" s="1128" t="s">
        <v>3384</v>
      </c>
      <c r="AB6579" s="20"/>
      <c r="AC6579" s="73"/>
    </row>
    <row r="6580" spans="1:29" ht="14.25" customHeight="1">
      <c r="A6580" s="327" t="str">
        <f>IF(AND($B6580&lt;&gt;"",$C6580&lt;&gt;""),MAX($A$6492:$A6578)+1,"")</f>
        <v/>
      </c>
      <c r="B6580" s="361"/>
      <c r="C6580" s="362"/>
      <c r="D6580" s="362">
        <v>88</v>
      </c>
      <c r="E6580" s="361" t="s">
        <v>3761</v>
      </c>
      <c r="F6580" s="362" t="s">
        <v>3590</v>
      </c>
      <c r="G6580" s="327" t="s">
        <v>240</v>
      </c>
      <c r="H6580" s="361" t="s">
        <v>3562</v>
      </c>
      <c r="I6580" s="327">
        <v>1</v>
      </c>
      <c r="J6580" s="363"/>
      <c r="K6580" s="345">
        <f t="shared" si="388"/>
        <v>11</v>
      </c>
      <c r="L6580" s="1223" t="s">
        <v>2286</v>
      </c>
      <c r="M6580" s="371"/>
      <c r="N6580" s="355" t="str">
        <f t="shared" si="385"/>
        <v>KI</v>
      </c>
      <c r="O6580" s="345">
        <f t="shared" si="395"/>
        <v>10</v>
      </c>
      <c r="P6580" s="345">
        <f t="shared" si="389"/>
        <v>7</v>
      </c>
      <c r="Q6580" s="367">
        <f t="shared" si="402"/>
        <v>229314</v>
      </c>
      <c r="R6580" s="442" t="str">
        <f t="shared" si="403"/>
        <v>Gioăng kính Nr.68</v>
      </c>
      <c r="S6580" s="367">
        <f t="shared" si="404"/>
        <v>561520</v>
      </c>
      <c r="T6580" s="367" t="str">
        <f t="shared" si="405"/>
        <v>Nẹp kính 30.5</v>
      </c>
      <c r="U6580" s="367"/>
      <c r="V6580" s="367">
        <f t="shared" si="406"/>
        <v>560610</v>
      </c>
      <c r="W6580" s="442" t="str">
        <f t="shared" si="407"/>
        <v>Nẹp kính 18.5</v>
      </c>
      <c r="X6580" s="786"/>
      <c r="Y6580" s="1128" t="s">
        <v>3380</v>
      </c>
      <c r="Z6580" s="1128" t="s">
        <v>3381</v>
      </c>
      <c r="AA6580" s="1128" t="s">
        <v>3384</v>
      </c>
      <c r="AB6580" s="20"/>
      <c r="AC6580" s="73"/>
    </row>
    <row r="6581" spans="1:29" ht="14.25" customHeight="1">
      <c r="A6581" s="327" t="str">
        <f>IF(AND($B6581&lt;&gt;"",$C6581&lt;&gt;""),MAX($A$6492:$A6578)+1,"")</f>
        <v/>
      </c>
      <c r="B6581" s="361"/>
      <c r="C6581" s="362"/>
      <c r="D6581" s="362">
        <v>89</v>
      </c>
      <c r="E6581" s="361" t="s">
        <v>3583</v>
      </c>
      <c r="F6581" s="362" t="s">
        <v>3591</v>
      </c>
      <c r="G6581" s="327" t="s">
        <v>240</v>
      </c>
      <c r="H6581" s="361" t="s">
        <v>3562</v>
      </c>
      <c r="I6581" s="327">
        <v>1</v>
      </c>
      <c r="J6581" s="363"/>
      <c r="K6581" s="345">
        <f t="shared" si="388"/>
        <v>11</v>
      </c>
      <c r="L6581" s="1223" t="s">
        <v>2286</v>
      </c>
      <c r="M6581" s="371"/>
      <c r="N6581" s="355" t="str">
        <f t="shared" si="385"/>
        <v>KI</v>
      </c>
      <c r="O6581" s="345">
        <f t="shared" si="395"/>
        <v>10</v>
      </c>
      <c r="P6581" s="345">
        <f t="shared" si="389"/>
        <v>11</v>
      </c>
      <c r="Q6581" s="367">
        <f t="shared" si="402"/>
        <v>229304</v>
      </c>
      <c r="R6581" s="442" t="str">
        <f t="shared" si="403"/>
        <v>Gioăng kính Nr.66</v>
      </c>
      <c r="S6581" s="367">
        <f t="shared" si="404"/>
        <v>561520</v>
      </c>
      <c r="T6581" s="367" t="str">
        <f t="shared" si="405"/>
        <v>Nẹp kính 30.5</v>
      </c>
      <c r="U6581" s="367"/>
      <c r="V6581" s="367">
        <f t="shared" si="406"/>
        <v>560610</v>
      </c>
      <c r="W6581" s="442" t="str">
        <f t="shared" si="407"/>
        <v>Nẹp kính 18.5</v>
      </c>
      <c r="X6581" s="786"/>
      <c r="Y6581" s="1128" t="s">
        <v>3380</v>
      </c>
      <c r="Z6581" s="1128" t="s">
        <v>3381</v>
      </c>
      <c r="AA6581" s="1128" t="s">
        <v>3384</v>
      </c>
      <c r="AB6581" s="20"/>
      <c r="AC6581" s="73"/>
    </row>
    <row r="6582" spans="1:29" ht="14.25" customHeight="1">
      <c r="A6582" s="327" t="str">
        <f>IF(AND($B6582&lt;&gt;"",$C6582&lt;&gt;""),MAX($A$6492:$A6579)+1,"")</f>
        <v/>
      </c>
      <c r="B6582" s="361"/>
      <c r="C6582" s="362"/>
      <c r="D6582" s="362">
        <v>90</v>
      </c>
      <c r="E6582" s="361" t="s">
        <v>3584</v>
      </c>
      <c r="F6582" s="362" t="s">
        <v>3592</v>
      </c>
      <c r="G6582" s="327" t="s">
        <v>240</v>
      </c>
      <c r="H6582" s="361" t="s">
        <v>3562</v>
      </c>
      <c r="I6582" s="327">
        <v>1</v>
      </c>
      <c r="J6582" s="363"/>
      <c r="K6582" s="345">
        <f t="shared" si="388"/>
        <v>11</v>
      </c>
      <c r="L6582" s="1223" t="s">
        <v>2286</v>
      </c>
      <c r="M6582" s="371"/>
      <c r="N6582" s="355" t="str">
        <f t="shared" si="385"/>
        <v>KI</v>
      </c>
      <c r="O6582" s="345">
        <f t="shared" si="395"/>
        <v>10</v>
      </c>
      <c r="P6582" s="345">
        <f t="shared" si="389"/>
        <v>11</v>
      </c>
      <c r="Q6582" s="367">
        <f t="shared" si="402"/>
        <v>229314</v>
      </c>
      <c r="R6582" s="442" t="str">
        <f t="shared" si="403"/>
        <v>Gioăng kính Nr.68</v>
      </c>
      <c r="S6582" s="367">
        <f t="shared" si="404"/>
        <v>560620</v>
      </c>
      <c r="T6582" s="367" t="str">
        <f t="shared" si="405"/>
        <v>Nẹp kính 26.5</v>
      </c>
      <c r="U6582" s="367"/>
      <c r="V6582" s="367">
        <f t="shared" si="406"/>
        <v>560600</v>
      </c>
      <c r="W6582" s="442" t="str">
        <f t="shared" si="407"/>
        <v>Nẹp kính 14.5</v>
      </c>
      <c r="X6582" s="786"/>
      <c r="Y6582" s="1128" t="s">
        <v>3380</v>
      </c>
      <c r="Z6582" s="1128" t="s">
        <v>3381</v>
      </c>
      <c r="AA6582" s="1128" t="s">
        <v>3384</v>
      </c>
      <c r="AB6582" s="20"/>
      <c r="AC6582" s="73"/>
    </row>
    <row r="6583" spans="1:29" ht="14.25" customHeight="1">
      <c r="A6583" s="327" t="str">
        <f>IF(AND($B6583&lt;&gt;"",$C6583&lt;&gt;""),MAX($A$6492:$A6581)+1,"")</f>
        <v/>
      </c>
      <c r="B6583" s="361"/>
      <c r="C6583" s="362"/>
      <c r="D6583" s="362">
        <v>91</v>
      </c>
      <c r="E6583" s="361" t="s">
        <v>3585</v>
      </c>
      <c r="F6583" s="362" t="s">
        <v>3593</v>
      </c>
      <c r="G6583" s="327" t="s">
        <v>240</v>
      </c>
      <c r="H6583" s="361" t="s">
        <v>3563</v>
      </c>
      <c r="I6583" s="327">
        <v>1</v>
      </c>
      <c r="J6583" s="363"/>
      <c r="K6583" s="345">
        <f t="shared" si="388"/>
        <v>11</v>
      </c>
      <c r="L6583" s="1223" t="s">
        <v>2286</v>
      </c>
      <c r="M6583" s="371"/>
      <c r="N6583" s="355" t="str">
        <f t="shared" si="385"/>
        <v>KI</v>
      </c>
      <c r="O6583" s="345">
        <f t="shared" si="395"/>
        <v>10</v>
      </c>
      <c r="P6583" s="345">
        <f t="shared" si="389"/>
        <v>7</v>
      </c>
      <c r="Q6583" s="367">
        <f t="shared" si="402"/>
        <v>220162</v>
      </c>
      <c r="R6583" s="442" t="str">
        <f t="shared" si="403"/>
        <v>Gioăng kính Nr.65</v>
      </c>
      <c r="S6583" s="367">
        <f t="shared" si="404"/>
        <v>561530</v>
      </c>
      <c r="T6583" s="367" t="str">
        <f t="shared" si="405"/>
        <v>Nẹp kính 34.5</v>
      </c>
      <c r="U6583" s="367"/>
      <c r="V6583" s="367">
        <f t="shared" si="406"/>
        <v>560510</v>
      </c>
      <c r="W6583" s="442" t="str">
        <f t="shared" si="407"/>
        <v>Nẹp kính 22.5</v>
      </c>
      <c r="X6583" s="786"/>
      <c r="Y6583" s="1128" t="s">
        <v>3380</v>
      </c>
      <c r="Z6583" s="1128" t="s">
        <v>3381</v>
      </c>
      <c r="AA6583" s="1128" t="s">
        <v>3384</v>
      </c>
      <c r="AB6583" s="20"/>
      <c r="AC6583" s="73"/>
    </row>
    <row r="6584" spans="1:29" ht="14.25" customHeight="1">
      <c r="A6584" s="327" t="str">
        <f>IF(AND($B6584&lt;&gt;"",$C6584&lt;&gt;""),MAX($A$6492:$A6582)+1,"")</f>
        <v/>
      </c>
      <c r="B6584" s="361"/>
      <c r="C6584" s="362"/>
      <c r="D6584" s="362">
        <v>92</v>
      </c>
      <c r="E6584" s="361" t="s">
        <v>3762</v>
      </c>
      <c r="F6584" s="362" t="s">
        <v>3593</v>
      </c>
      <c r="G6584" s="327" t="s">
        <v>240</v>
      </c>
      <c r="H6584" s="361" t="s">
        <v>3563</v>
      </c>
      <c r="I6584" s="327">
        <v>1</v>
      </c>
      <c r="J6584" s="363"/>
      <c r="K6584" s="345">
        <f t="shared" si="388"/>
        <v>11</v>
      </c>
      <c r="L6584" s="1223" t="s">
        <v>2286</v>
      </c>
      <c r="M6584" s="371"/>
      <c r="N6584" s="355" t="str">
        <f t="shared" si="385"/>
        <v>KI</v>
      </c>
      <c r="O6584" s="345">
        <f t="shared" si="395"/>
        <v>10</v>
      </c>
      <c r="P6584" s="345">
        <f t="shared" si="389"/>
        <v>7</v>
      </c>
      <c r="Q6584" s="367">
        <f t="shared" si="402"/>
        <v>229314</v>
      </c>
      <c r="R6584" s="442" t="str">
        <f t="shared" si="403"/>
        <v>Gioăng kính Nr.68</v>
      </c>
      <c r="S6584" s="367">
        <f t="shared" si="404"/>
        <v>561520</v>
      </c>
      <c r="T6584" s="367" t="str">
        <f t="shared" si="405"/>
        <v>Nẹp kính 30.5</v>
      </c>
      <c r="U6584" s="367"/>
      <c r="V6584" s="367">
        <f t="shared" si="406"/>
        <v>560610</v>
      </c>
      <c r="W6584" s="442" t="str">
        <f t="shared" si="407"/>
        <v>Nẹp kính 18.5</v>
      </c>
      <c r="X6584" s="786"/>
      <c r="Y6584" s="1128" t="s">
        <v>3380</v>
      </c>
      <c r="Z6584" s="1128" t="s">
        <v>3381</v>
      </c>
      <c r="AA6584" s="1128" t="s">
        <v>3384</v>
      </c>
      <c r="AB6584" s="20"/>
      <c r="AC6584" s="73"/>
    </row>
    <row r="6585" spans="1:29" ht="14.25" customHeight="1">
      <c r="A6585" s="327" t="str">
        <f>IF(AND($B6585&lt;&gt;"",$C6585&lt;&gt;""),MAX($A$6492:$A6582)+1,"")</f>
        <v/>
      </c>
      <c r="B6585" s="361"/>
      <c r="C6585" s="362"/>
      <c r="D6585" s="362">
        <v>93</v>
      </c>
      <c r="E6585" s="361" t="s">
        <v>3586</v>
      </c>
      <c r="F6585" s="362" t="s">
        <v>3594</v>
      </c>
      <c r="G6585" s="327" t="s">
        <v>240</v>
      </c>
      <c r="H6585" s="361" t="s">
        <v>3563</v>
      </c>
      <c r="I6585" s="327">
        <v>1</v>
      </c>
      <c r="J6585" s="363"/>
      <c r="K6585" s="345">
        <f t="shared" si="388"/>
        <v>11</v>
      </c>
      <c r="L6585" s="1223" t="s">
        <v>2286</v>
      </c>
      <c r="M6585" s="371"/>
      <c r="N6585" s="355" t="str">
        <f t="shared" si="385"/>
        <v>KI</v>
      </c>
      <c r="O6585" s="345">
        <f t="shared" si="395"/>
        <v>10</v>
      </c>
      <c r="P6585" s="345">
        <f t="shared" si="389"/>
        <v>11</v>
      </c>
      <c r="Q6585" s="367">
        <f t="shared" si="402"/>
        <v>229304</v>
      </c>
      <c r="R6585" s="442" t="str">
        <f t="shared" si="403"/>
        <v>Gioăng kính Nr.66</v>
      </c>
      <c r="S6585" s="367">
        <f t="shared" si="404"/>
        <v>561520</v>
      </c>
      <c r="T6585" s="367" t="str">
        <f t="shared" si="405"/>
        <v>Nẹp kính 30.5</v>
      </c>
      <c r="U6585" s="367"/>
      <c r="V6585" s="367">
        <f t="shared" si="406"/>
        <v>560610</v>
      </c>
      <c r="W6585" s="442" t="str">
        <f t="shared" si="407"/>
        <v>Nẹp kính 18.5</v>
      </c>
      <c r="X6585" s="786"/>
      <c r="Y6585" s="1128" t="s">
        <v>3380</v>
      </c>
      <c r="Z6585" s="1128" t="s">
        <v>3381</v>
      </c>
      <c r="AA6585" s="1128" t="s">
        <v>3384</v>
      </c>
      <c r="AB6585" s="20"/>
      <c r="AC6585" s="73"/>
    </row>
    <row r="6586" spans="1:29" ht="14.25" customHeight="1">
      <c r="A6586" s="327" t="str">
        <f>IF(AND($B6586&lt;&gt;"",$C6586&lt;&gt;""),MAX($A$6492:$A6583)+1,"")</f>
        <v/>
      </c>
      <c r="B6586" s="361"/>
      <c r="C6586" s="362"/>
      <c r="D6586" s="362">
        <v>94</v>
      </c>
      <c r="E6586" s="361" t="s">
        <v>3587</v>
      </c>
      <c r="F6586" s="362" t="s">
        <v>3595</v>
      </c>
      <c r="G6586" s="327" t="s">
        <v>240</v>
      </c>
      <c r="H6586" s="361" t="s">
        <v>3563</v>
      </c>
      <c r="I6586" s="327">
        <v>1</v>
      </c>
      <c r="J6586" s="363"/>
      <c r="K6586" s="345">
        <f t="shared" si="388"/>
        <v>11</v>
      </c>
      <c r="L6586" s="1223" t="s">
        <v>2286</v>
      </c>
      <c r="M6586" s="371"/>
      <c r="N6586" s="355" t="str">
        <f t="shared" si="385"/>
        <v>KI</v>
      </c>
      <c r="O6586" s="345">
        <f t="shared" si="395"/>
        <v>10</v>
      </c>
      <c r="P6586" s="345">
        <f t="shared" si="389"/>
        <v>11</v>
      </c>
      <c r="Q6586" s="367">
        <f t="shared" si="402"/>
        <v>229314</v>
      </c>
      <c r="R6586" s="442" t="str">
        <f t="shared" si="403"/>
        <v>Gioăng kính Nr.68</v>
      </c>
      <c r="S6586" s="367">
        <f t="shared" si="404"/>
        <v>560620</v>
      </c>
      <c r="T6586" s="367" t="str">
        <f t="shared" si="405"/>
        <v>Nẹp kính 26.5</v>
      </c>
      <c r="U6586" s="367"/>
      <c r="V6586" s="367">
        <f t="shared" si="406"/>
        <v>560600</v>
      </c>
      <c r="W6586" s="442" t="str">
        <f t="shared" si="407"/>
        <v>Nẹp kính 14.5</v>
      </c>
      <c r="X6586" s="786"/>
      <c r="Y6586" s="1128" t="s">
        <v>3380</v>
      </c>
      <c r="Z6586" s="1128" t="s">
        <v>3381</v>
      </c>
      <c r="AA6586" s="1128" t="s">
        <v>3384</v>
      </c>
      <c r="AB6586" s="20"/>
      <c r="AC6586" s="73"/>
    </row>
    <row r="6587" spans="1:29" ht="14.25" customHeight="1">
      <c r="A6587" s="327" t="str">
        <f>IF(AND($B6587&lt;&gt;"",$C6587&lt;&gt;""),MAX($A$6492:$A6585)+1,"")</f>
        <v/>
      </c>
      <c r="B6587" s="361"/>
      <c r="C6587" s="362"/>
      <c r="D6587" s="362">
        <v>95</v>
      </c>
      <c r="E6587" s="361" t="s">
        <v>3588</v>
      </c>
      <c r="F6587" s="362" t="s">
        <v>3596</v>
      </c>
      <c r="G6587" s="327" t="s">
        <v>240</v>
      </c>
      <c r="H6587" s="361" t="s">
        <v>3544</v>
      </c>
      <c r="I6587" s="327">
        <v>1</v>
      </c>
      <c r="J6587" s="363"/>
      <c r="K6587" s="345">
        <f t="shared" si="388"/>
        <v>11</v>
      </c>
      <c r="L6587" s="1223" t="s">
        <v>2286</v>
      </c>
      <c r="M6587" s="371"/>
      <c r="N6587" s="355" t="str">
        <f t="shared" si="385"/>
        <v>KI</v>
      </c>
      <c r="O6587" s="345">
        <f t="shared" si="395"/>
        <v>10</v>
      </c>
      <c r="P6587" s="345">
        <f t="shared" si="389"/>
        <v>7</v>
      </c>
      <c r="Q6587" s="367">
        <f t="shared" si="402"/>
        <v>220162</v>
      </c>
      <c r="R6587" s="442" t="str">
        <f t="shared" si="403"/>
        <v>Gioăng kính Nr.65</v>
      </c>
      <c r="S6587" s="367">
        <f t="shared" si="404"/>
        <v>561530</v>
      </c>
      <c r="T6587" s="367" t="str">
        <f t="shared" si="405"/>
        <v>Nẹp kính 34.5</v>
      </c>
      <c r="U6587" s="367"/>
      <c r="V6587" s="367">
        <f t="shared" si="406"/>
        <v>560510</v>
      </c>
      <c r="W6587" s="442" t="str">
        <f t="shared" si="407"/>
        <v>Nẹp kính 22.5</v>
      </c>
      <c r="X6587" s="786"/>
      <c r="Y6587" s="1128" t="s">
        <v>3380</v>
      </c>
      <c r="Z6587" s="1128" t="s">
        <v>3381</v>
      </c>
      <c r="AA6587" s="1128" t="s">
        <v>3384</v>
      </c>
      <c r="AB6587" s="20"/>
      <c r="AC6587" s="73"/>
    </row>
    <row r="6588" spans="1:29" ht="14.25" customHeight="1">
      <c r="A6588" s="327" t="str">
        <f>IF(AND($B6588&lt;&gt;"",$C6588&lt;&gt;""),MAX($A$6492:$A6586)+1,"")</f>
        <v/>
      </c>
      <c r="B6588" s="361"/>
      <c r="C6588" s="362"/>
      <c r="D6588" s="362">
        <v>96</v>
      </c>
      <c r="E6588" s="361" t="s">
        <v>3763</v>
      </c>
      <c r="F6588" s="362" t="s">
        <v>3596</v>
      </c>
      <c r="G6588" s="327" t="s">
        <v>240</v>
      </c>
      <c r="H6588" s="361" t="s">
        <v>3544</v>
      </c>
      <c r="I6588" s="327">
        <v>1</v>
      </c>
      <c r="J6588" s="363"/>
      <c r="K6588" s="345">
        <f t="shared" si="388"/>
        <v>11</v>
      </c>
      <c r="L6588" s="1223" t="s">
        <v>2286</v>
      </c>
      <c r="M6588" s="371"/>
      <c r="N6588" s="355" t="str">
        <f t="shared" si="385"/>
        <v>KI</v>
      </c>
      <c r="O6588" s="345">
        <f t="shared" si="395"/>
        <v>10</v>
      </c>
      <c r="P6588" s="345">
        <f t="shared" si="389"/>
        <v>7</v>
      </c>
      <c r="Q6588" s="367">
        <f t="shared" si="402"/>
        <v>229314</v>
      </c>
      <c r="R6588" s="442" t="str">
        <f t="shared" si="403"/>
        <v>Gioăng kính Nr.68</v>
      </c>
      <c r="S6588" s="367">
        <f t="shared" si="404"/>
        <v>561520</v>
      </c>
      <c r="T6588" s="367" t="str">
        <f t="shared" si="405"/>
        <v>Nẹp kính 30.5</v>
      </c>
      <c r="U6588" s="367"/>
      <c r="V6588" s="367">
        <f t="shared" si="406"/>
        <v>560610</v>
      </c>
      <c r="W6588" s="442" t="str">
        <f t="shared" si="407"/>
        <v>Nẹp kính 18.5</v>
      </c>
      <c r="X6588" s="786"/>
      <c r="Y6588" s="1128" t="s">
        <v>3380</v>
      </c>
      <c r="Z6588" s="1128" t="s">
        <v>3381</v>
      </c>
      <c r="AA6588" s="1128" t="s">
        <v>3384</v>
      </c>
      <c r="AB6588" s="20"/>
      <c r="AC6588" s="73"/>
    </row>
    <row r="6589" spans="1:29" ht="14.25" customHeight="1">
      <c r="A6589" s="327" t="str">
        <f>IF(AND($B6589&lt;&gt;"",$C6589&lt;&gt;""),MAX($A$6492:$A6586)+1,"")</f>
        <v/>
      </c>
      <c r="B6589" s="361"/>
      <c r="C6589" s="362"/>
      <c r="D6589" s="362">
        <v>97</v>
      </c>
      <c r="E6589" s="361" t="s">
        <v>3763</v>
      </c>
      <c r="F6589" s="362" t="s">
        <v>3597</v>
      </c>
      <c r="G6589" s="327" t="s">
        <v>240</v>
      </c>
      <c r="H6589" s="361" t="s">
        <v>3544</v>
      </c>
      <c r="I6589" s="327">
        <v>1</v>
      </c>
      <c r="J6589" s="363"/>
      <c r="K6589" s="345">
        <f t="shared" si="388"/>
        <v>11</v>
      </c>
      <c r="L6589" s="1223" t="s">
        <v>2286</v>
      </c>
      <c r="M6589" s="371"/>
      <c r="N6589" s="355" t="str">
        <f t="shared" si="385"/>
        <v>KI</v>
      </c>
      <c r="O6589" s="345">
        <f t="shared" si="395"/>
        <v>10</v>
      </c>
      <c r="P6589" s="345">
        <f t="shared" si="389"/>
        <v>7</v>
      </c>
      <c r="Q6589" s="367">
        <f t="shared" ref="Q6589:Q6599" si="409">VLOOKUP(VALUE(MID($E6589,3,2)),$P$6943:$W$6975,2)</f>
        <v>229314</v>
      </c>
      <c r="R6589" s="442" t="str">
        <f t="shared" ref="R6589:R6599" si="410">VLOOKUP(VALUE(MID($E6589,3,2)),$P$6943:$W$6975,3)</f>
        <v>Gioăng kính Nr.68</v>
      </c>
      <c r="S6589" s="367">
        <f t="shared" ref="S6589:S6599" si="411">VLOOKUP(VALUE(MID($E6589,3,2)),$P$6943:$W$6975,4)</f>
        <v>561520</v>
      </c>
      <c r="T6589" s="367" t="str">
        <f t="shared" ref="T6589:T6599" si="412">VLOOKUP(VALUE(MID($E6589,3,2)),$P$6943:$W$6975,5)</f>
        <v>Nẹp kính 30.5</v>
      </c>
      <c r="U6589" s="367"/>
      <c r="V6589" s="367">
        <f t="shared" ref="V6589:V6599" si="413">VLOOKUP(VALUE(MID($E6589,3,2)),$P$6943:$W$6975,7)</f>
        <v>560610</v>
      </c>
      <c r="W6589" s="442" t="str">
        <f t="shared" ref="W6589:W6599" si="414">VLOOKUP(VALUE(MID($E6589,3,2)),$P$6943:$W$6975,8)</f>
        <v>Nẹp kính 18.5</v>
      </c>
      <c r="X6589" s="786"/>
      <c r="Y6589" s="1128" t="s">
        <v>3380</v>
      </c>
      <c r="Z6589" s="1128" t="s">
        <v>3381</v>
      </c>
      <c r="AA6589" s="1128" t="s">
        <v>3384</v>
      </c>
      <c r="AB6589" s="20"/>
      <c r="AC6589" s="73"/>
    </row>
    <row r="6590" spans="1:29" ht="14.25" customHeight="1">
      <c r="A6590" s="327" t="str">
        <f>IF(AND($B6590&lt;&gt;"",$C6590&lt;&gt;""),MAX($A$6492:$A6587)+1,"")</f>
        <v/>
      </c>
      <c r="B6590" s="361"/>
      <c r="C6590" s="362"/>
      <c r="D6590" s="362">
        <v>98</v>
      </c>
      <c r="E6590" s="361" t="s">
        <v>3589</v>
      </c>
      <c r="F6590" s="362" t="s">
        <v>3598</v>
      </c>
      <c r="G6590" s="327" t="s">
        <v>240</v>
      </c>
      <c r="H6590" s="361" t="s">
        <v>3544</v>
      </c>
      <c r="I6590" s="327">
        <v>1</v>
      </c>
      <c r="J6590" s="363"/>
      <c r="K6590" s="345">
        <f t="shared" si="388"/>
        <v>11</v>
      </c>
      <c r="L6590" s="1223" t="s">
        <v>2286</v>
      </c>
      <c r="M6590" s="371"/>
      <c r="N6590" s="355" t="str">
        <f t="shared" si="385"/>
        <v>KI</v>
      </c>
      <c r="O6590" s="345">
        <f t="shared" si="395"/>
        <v>10</v>
      </c>
      <c r="P6590" s="345">
        <f t="shared" si="389"/>
        <v>11</v>
      </c>
      <c r="Q6590" s="367">
        <f t="shared" si="409"/>
        <v>229314</v>
      </c>
      <c r="R6590" s="442" t="str">
        <f t="shared" si="410"/>
        <v>Gioăng kính Nr.68</v>
      </c>
      <c r="S6590" s="367">
        <f t="shared" si="411"/>
        <v>560620</v>
      </c>
      <c r="T6590" s="367" t="str">
        <f t="shared" si="412"/>
        <v>Nẹp kính 26.5</v>
      </c>
      <c r="U6590" s="367"/>
      <c r="V6590" s="367">
        <f t="shared" si="413"/>
        <v>560600</v>
      </c>
      <c r="W6590" s="442" t="str">
        <f t="shared" si="414"/>
        <v>Nẹp kính 14.5</v>
      </c>
      <c r="X6590" s="786"/>
      <c r="Y6590" s="1128" t="s">
        <v>3380</v>
      </c>
      <c r="Z6590" s="1128" t="s">
        <v>3381</v>
      </c>
      <c r="AA6590" s="1128" t="s">
        <v>3384</v>
      </c>
      <c r="AB6590" s="20"/>
      <c r="AC6590" s="73"/>
    </row>
    <row r="6591" spans="1:29" ht="14.25" customHeight="1">
      <c r="A6591" s="327" t="str">
        <f>IF(AND($B6591&lt;&gt;"",$C6591&lt;&gt;""),MAX($A$6492:$A6577)+1,"")</f>
        <v/>
      </c>
      <c r="B6591" s="361"/>
      <c r="C6591" s="362"/>
      <c r="D6591" s="362">
        <v>99</v>
      </c>
      <c r="E6591" s="361" t="s">
        <v>3545</v>
      </c>
      <c r="F6591" s="362" t="s">
        <v>3554</v>
      </c>
      <c r="G6591" s="327" t="s">
        <v>240</v>
      </c>
      <c r="H6591" s="361" t="s">
        <v>3562</v>
      </c>
      <c r="I6591" s="327">
        <v>1</v>
      </c>
      <c r="J6591" s="363"/>
      <c r="K6591" s="345">
        <f t="shared" si="388"/>
        <v>11</v>
      </c>
      <c r="L6591" s="1223" t="s">
        <v>2286</v>
      </c>
      <c r="M6591" s="371"/>
      <c r="N6591" s="355" t="str">
        <f t="shared" si="385"/>
        <v>KI</v>
      </c>
      <c r="O6591" s="345">
        <f t="shared" si="395"/>
        <v>10</v>
      </c>
      <c r="P6591" s="345">
        <f t="shared" si="389"/>
        <v>7</v>
      </c>
      <c r="Q6591" s="367">
        <f t="shared" si="409"/>
        <v>220162</v>
      </c>
      <c r="R6591" s="442" t="str">
        <f t="shared" si="410"/>
        <v>Gioăng kính Nr.65</v>
      </c>
      <c r="S6591" s="367">
        <f t="shared" si="411"/>
        <v>561530</v>
      </c>
      <c r="T6591" s="367" t="str">
        <f t="shared" si="412"/>
        <v>Nẹp kính 34.5</v>
      </c>
      <c r="U6591" s="367"/>
      <c r="V6591" s="367">
        <f t="shared" si="413"/>
        <v>560510</v>
      </c>
      <c r="W6591" s="442" t="str">
        <f t="shared" si="414"/>
        <v>Nẹp kính 22.5</v>
      </c>
      <c r="X6591" s="786"/>
      <c r="Y6591" s="1128" t="s">
        <v>3380</v>
      </c>
      <c r="Z6591" s="1128" t="s">
        <v>3381</v>
      </c>
      <c r="AA6591" s="1128" t="s">
        <v>3384</v>
      </c>
      <c r="AB6591" s="20"/>
      <c r="AC6591" s="73"/>
    </row>
    <row r="6592" spans="1:29" ht="14.25" customHeight="1">
      <c r="A6592" s="327" t="str">
        <f>IF(AND($B6592&lt;&gt;"",$C6592&lt;&gt;""),MAX($A$6492:$A6578)+1,"")</f>
        <v/>
      </c>
      <c r="B6592" s="361"/>
      <c r="C6592" s="362"/>
      <c r="D6592" s="362">
        <v>100</v>
      </c>
      <c r="E6592" s="361" t="s">
        <v>3546</v>
      </c>
      <c r="F6592" s="362" t="s">
        <v>3555</v>
      </c>
      <c r="G6592" s="327" t="s">
        <v>240</v>
      </c>
      <c r="H6592" s="361" t="s">
        <v>3562</v>
      </c>
      <c r="I6592" s="327">
        <v>1</v>
      </c>
      <c r="J6592" s="363"/>
      <c r="K6592" s="345">
        <f t="shared" si="388"/>
        <v>11</v>
      </c>
      <c r="L6592" s="348">
        <v>660000</v>
      </c>
      <c r="M6592" s="371"/>
      <c r="N6592" s="355" t="str">
        <f t="shared" si="385"/>
        <v>KI</v>
      </c>
      <c r="O6592" s="345">
        <f t="shared" si="395"/>
        <v>10</v>
      </c>
      <c r="P6592" s="345">
        <f t="shared" si="389"/>
        <v>11</v>
      </c>
      <c r="Q6592" s="367">
        <f t="shared" si="409"/>
        <v>229304</v>
      </c>
      <c r="R6592" s="442" t="str">
        <f t="shared" si="410"/>
        <v>Gioăng kính Nr.66</v>
      </c>
      <c r="S6592" s="367">
        <f t="shared" si="411"/>
        <v>561520</v>
      </c>
      <c r="T6592" s="367" t="str">
        <f t="shared" si="412"/>
        <v>Nẹp kính 30.5</v>
      </c>
      <c r="U6592" s="367"/>
      <c r="V6592" s="367">
        <f t="shared" si="413"/>
        <v>560610</v>
      </c>
      <c r="W6592" s="442" t="str">
        <f t="shared" si="414"/>
        <v>Nẹp kính 18.5</v>
      </c>
      <c r="X6592" s="786"/>
      <c r="Y6592" s="1128" t="s">
        <v>3443</v>
      </c>
      <c r="Z6592" s="1128" t="s">
        <v>3381</v>
      </c>
      <c r="AA6592" s="1128" t="s">
        <v>3384</v>
      </c>
      <c r="AB6592" s="20"/>
      <c r="AC6592" s="73"/>
    </row>
    <row r="6593" spans="1:29" ht="14.25" customHeight="1">
      <c r="A6593" s="327" t="str">
        <f>IF(AND($B6593&lt;&gt;"",$C6593&lt;&gt;""),MAX($A$6492:$A6591)+1,"")</f>
        <v/>
      </c>
      <c r="B6593" s="361"/>
      <c r="C6593" s="362"/>
      <c r="D6593" s="362">
        <v>101</v>
      </c>
      <c r="E6593" s="361" t="s">
        <v>3547</v>
      </c>
      <c r="F6593" s="362" t="s">
        <v>3556</v>
      </c>
      <c r="G6593" s="327" t="s">
        <v>240</v>
      </c>
      <c r="H6593" s="361" t="s">
        <v>3562</v>
      </c>
      <c r="I6593" s="327">
        <v>1</v>
      </c>
      <c r="J6593" s="363"/>
      <c r="K6593" s="345">
        <f t="shared" si="388"/>
        <v>11</v>
      </c>
      <c r="L6593" s="1223" t="s">
        <v>2286</v>
      </c>
      <c r="M6593" s="371"/>
      <c r="N6593" s="355" t="str">
        <f t="shared" si="385"/>
        <v>KI</v>
      </c>
      <c r="O6593" s="345">
        <f t="shared" si="395"/>
        <v>10</v>
      </c>
      <c r="P6593" s="345">
        <f t="shared" si="389"/>
        <v>11</v>
      </c>
      <c r="Q6593" s="367">
        <f t="shared" si="409"/>
        <v>229314</v>
      </c>
      <c r="R6593" s="442" t="str">
        <f t="shared" si="410"/>
        <v>Gioăng kính Nr.68</v>
      </c>
      <c r="S6593" s="367">
        <f t="shared" si="411"/>
        <v>560620</v>
      </c>
      <c r="T6593" s="367" t="str">
        <f t="shared" si="412"/>
        <v>Nẹp kính 26.5</v>
      </c>
      <c r="U6593" s="367"/>
      <c r="V6593" s="367">
        <f t="shared" si="413"/>
        <v>560600</v>
      </c>
      <c r="W6593" s="442" t="str">
        <f t="shared" si="414"/>
        <v>Nẹp kính 14.5</v>
      </c>
      <c r="X6593" s="786"/>
      <c r="Y6593" s="1128" t="s">
        <v>3380</v>
      </c>
      <c r="Z6593" s="1128" t="s">
        <v>3381</v>
      </c>
      <c r="AA6593" s="1128" t="s">
        <v>3384</v>
      </c>
      <c r="AB6593" s="20"/>
      <c r="AC6593" s="73"/>
    </row>
    <row r="6594" spans="1:29" ht="14.25" customHeight="1">
      <c r="A6594" s="327" t="str">
        <f>IF(AND($B6594&lt;&gt;"",$C6594&lt;&gt;""),MAX($A$6492:$A6592)+1,"")</f>
        <v/>
      </c>
      <c r="B6594" s="361"/>
      <c r="C6594" s="362"/>
      <c r="D6594" s="362">
        <v>102</v>
      </c>
      <c r="E6594" s="361" t="s">
        <v>3548</v>
      </c>
      <c r="F6594" s="362" t="s">
        <v>3557</v>
      </c>
      <c r="G6594" s="327" t="s">
        <v>240</v>
      </c>
      <c r="H6594" s="361" t="s">
        <v>3563</v>
      </c>
      <c r="I6594" s="327">
        <v>1</v>
      </c>
      <c r="J6594" s="363"/>
      <c r="K6594" s="345">
        <f t="shared" si="388"/>
        <v>11</v>
      </c>
      <c r="L6594" s="1223" t="s">
        <v>2286</v>
      </c>
      <c r="M6594" s="371"/>
      <c r="N6594" s="355" t="str">
        <f t="shared" si="385"/>
        <v>KI</v>
      </c>
      <c r="O6594" s="345">
        <f t="shared" si="395"/>
        <v>10</v>
      </c>
      <c r="P6594" s="345">
        <f t="shared" si="389"/>
        <v>7</v>
      </c>
      <c r="Q6594" s="367">
        <f t="shared" si="409"/>
        <v>220162</v>
      </c>
      <c r="R6594" s="442" t="str">
        <f t="shared" si="410"/>
        <v>Gioăng kính Nr.65</v>
      </c>
      <c r="S6594" s="367">
        <f t="shared" si="411"/>
        <v>561530</v>
      </c>
      <c r="T6594" s="367" t="str">
        <f t="shared" si="412"/>
        <v>Nẹp kính 34.5</v>
      </c>
      <c r="U6594" s="367"/>
      <c r="V6594" s="367">
        <f t="shared" si="413"/>
        <v>560510</v>
      </c>
      <c r="W6594" s="442" t="str">
        <f t="shared" si="414"/>
        <v>Nẹp kính 22.5</v>
      </c>
      <c r="X6594" s="786"/>
      <c r="Y6594" s="1128" t="s">
        <v>3380</v>
      </c>
      <c r="Z6594" s="1128" t="s">
        <v>3381</v>
      </c>
      <c r="AA6594" s="1128" t="s">
        <v>3384</v>
      </c>
      <c r="AB6594" s="20"/>
      <c r="AC6594" s="73"/>
    </row>
    <row r="6595" spans="1:29" ht="14.25" customHeight="1">
      <c r="A6595" s="327" t="str">
        <f>IF(AND($B6595&lt;&gt;"",$C6595&lt;&gt;""),MAX($A$6492:$A6593)+1,"")</f>
        <v/>
      </c>
      <c r="B6595" s="361"/>
      <c r="C6595" s="362"/>
      <c r="D6595" s="362">
        <v>103</v>
      </c>
      <c r="E6595" s="361" t="s">
        <v>3549</v>
      </c>
      <c r="F6595" s="362" t="s">
        <v>3558</v>
      </c>
      <c r="G6595" s="327" t="s">
        <v>240</v>
      </c>
      <c r="H6595" s="361" t="s">
        <v>3563</v>
      </c>
      <c r="I6595" s="327">
        <v>1</v>
      </c>
      <c r="J6595" s="363"/>
      <c r="K6595" s="345">
        <f t="shared" si="388"/>
        <v>11</v>
      </c>
      <c r="L6595" s="348">
        <v>660000</v>
      </c>
      <c r="M6595" s="371"/>
      <c r="N6595" s="355" t="str">
        <f t="shared" si="385"/>
        <v>KI</v>
      </c>
      <c r="O6595" s="345">
        <f t="shared" si="395"/>
        <v>10</v>
      </c>
      <c r="P6595" s="345">
        <f t="shared" si="389"/>
        <v>11</v>
      </c>
      <c r="Q6595" s="367">
        <f t="shared" si="409"/>
        <v>229304</v>
      </c>
      <c r="R6595" s="442" t="str">
        <f t="shared" si="410"/>
        <v>Gioăng kính Nr.66</v>
      </c>
      <c r="S6595" s="367">
        <f t="shared" si="411"/>
        <v>561520</v>
      </c>
      <c r="T6595" s="367" t="str">
        <f t="shared" si="412"/>
        <v>Nẹp kính 30.5</v>
      </c>
      <c r="U6595" s="367"/>
      <c r="V6595" s="367">
        <f t="shared" si="413"/>
        <v>560610</v>
      </c>
      <c r="W6595" s="442" t="str">
        <f t="shared" si="414"/>
        <v>Nẹp kính 18.5</v>
      </c>
      <c r="X6595" s="786"/>
      <c r="Y6595" s="1128" t="s">
        <v>3443</v>
      </c>
      <c r="Z6595" s="1128" t="s">
        <v>3381</v>
      </c>
      <c r="AA6595" s="1128" t="s">
        <v>3384</v>
      </c>
      <c r="AB6595" s="20"/>
      <c r="AC6595" s="73"/>
    </row>
    <row r="6596" spans="1:29" ht="14.25" customHeight="1">
      <c r="A6596" s="327" t="str">
        <f>IF(AND($B6596&lt;&gt;"",$C6596&lt;&gt;""),MAX($A$6492:$A6594)+1,"")</f>
        <v/>
      </c>
      <c r="B6596" s="361"/>
      <c r="C6596" s="362"/>
      <c r="D6596" s="362">
        <v>104</v>
      </c>
      <c r="E6596" s="361" t="s">
        <v>3550</v>
      </c>
      <c r="F6596" s="362" t="s">
        <v>3559</v>
      </c>
      <c r="G6596" s="327" t="s">
        <v>240</v>
      </c>
      <c r="H6596" s="361" t="s">
        <v>3563</v>
      </c>
      <c r="I6596" s="327">
        <v>1</v>
      </c>
      <c r="J6596" s="363"/>
      <c r="K6596" s="345">
        <f t="shared" si="388"/>
        <v>11</v>
      </c>
      <c r="L6596" s="1223" t="s">
        <v>2286</v>
      </c>
      <c r="M6596" s="371"/>
      <c r="N6596" s="355" t="str">
        <f t="shared" si="385"/>
        <v>KI</v>
      </c>
      <c r="O6596" s="345">
        <f t="shared" si="395"/>
        <v>10</v>
      </c>
      <c r="P6596" s="345">
        <f t="shared" si="389"/>
        <v>11</v>
      </c>
      <c r="Q6596" s="367">
        <f t="shared" si="409"/>
        <v>229314</v>
      </c>
      <c r="R6596" s="442" t="str">
        <f t="shared" si="410"/>
        <v>Gioăng kính Nr.68</v>
      </c>
      <c r="S6596" s="367">
        <f t="shared" si="411"/>
        <v>560620</v>
      </c>
      <c r="T6596" s="367" t="str">
        <f t="shared" si="412"/>
        <v>Nẹp kính 26.5</v>
      </c>
      <c r="U6596" s="367"/>
      <c r="V6596" s="367">
        <f t="shared" si="413"/>
        <v>560600</v>
      </c>
      <c r="W6596" s="442" t="str">
        <f t="shared" si="414"/>
        <v>Nẹp kính 14.5</v>
      </c>
      <c r="X6596" s="786"/>
      <c r="Y6596" s="1128" t="s">
        <v>3380</v>
      </c>
      <c r="Z6596" s="1128" t="s">
        <v>3381</v>
      </c>
      <c r="AA6596" s="1128" t="s">
        <v>3384</v>
      </c>
      <c r="AB6596" s="20"/>
      <c r="AC6596" s="73"/>
    </row>
    <row r="6597" spans="1:29" ht="14.25" customHeight="1">
      <c r="A6597" s="327" t="str">
        <f>IF(AND($B6597&lt;&gt;"",$C6597&lt;&gt;""),MAX($A$6492:$A6595)+1,"")</f>
        <v/>
      </c>
      <c r="B6597" s="361"/>
      <c r="C6597" s="362"/>
      <c r="D6597" s="362">
        <v>105</v>
      </c>
      <c r="E6597" s="361" t="s">
        <v>3551</v>
      </c>
      <c r="F6597" s="362" t="s">
        <v>3560</v>
      </c>
      <c r="G6597" s="327" t="s">
        <v>240</v>
      </c>
      <c r="H6597" s="361" t="s">
        <v>3544</v>
      </c>
      <c r="I6597" s="327">
        <v>1</v>
      </c>
      <c r="J6597" s="363"/>
      <c r="K6597" s="345">
        <f t="shared" si="388"/>
        <v>11</v>
      </c>
      <c r="L6597" s="1223" t="s">
        <v>2286</v>
      </c>
      <c r="M6597" s="371"/>
      <c r="N6597" s="355" t="str">
        <f t="shared" si="385"/>
        <v>KI</v>
      </c>
      <c r="O6597" s="345">
        <f t="shared" si="395"/>
        <v>10</v>
      </c>
      <c r="P6597" s="345">
        <f t="shared" si="389"/>
        <v>7</v>
      </c>
      <c r="Q6597" s="367">
        <f t="shared" si="409"/>
        <v>220162</v>
      </c>
      <c r="R6597" s="442" t="str">
        <f t="shared" si="410"/>
        <v>Gioăng kính Nr.65</v>
      </c>
      <c r="S6597" s="367">
        <f t="shared" si="411"/>
        <v>561530</v>
      </c>
      <c r="T6597" s="367" t="str">
        <f t="shared" si="412"/>
        <v>Nẹp kính 34.5</v>
      </c>
      <c r="U6597" s="367"/>
      <c r="V6597" s="367">
        <f t="shared" si="413"/>
        <v>560510</v>
      </c>
      <c r="W6597" s="442" t="str">
        <f t="shared" si="414"/>
        <v>Nẹp kính 22.5</v>
      </c>
      <c r="X6597" s="786"/>
      <c r="Y6597" s="1128" t="s">
        <v>3380</v>
      </c>
      <c r="Z6597" s="1128" t="s">
        <v>3381</v>
      </c>
      <c r="AA6597" s="1128" t="s">
        <v>3384</v>
      </c>
      <c r="AB6597" s="20"/>
      <c r="AC6597" s="73"/>
    </row>
    <row r="6598" spans="1:29" ht="14.25" customHeight="1">
      <c r="A6598" s="327" t="str">
        <f>IF(AND($B6598&lt;&gt;"",$C6598&lt;&gt;""),MAX($A$6492:$A6596)+1,"")</f>
        <v/>
      </c>
      <c r="B6598" s="361"/>
      <c r="C6598" s="362"/>
      <c r="D6598" s="362">
        <v>106</v>
      </c>
      <c r="E6598" s="361" t="s">
        <v>3552</v>
      </c>
      <c r="F6598" s="362" t="s">
        <v>3561</v>
      </c>
      <c r="G6598" s="327" t="s">
        <v>240</v>
      </c>
      <c r="H6598" s="361" t="s">
        <v>3544</v>
      </c>
      <c r="I6598" s="327">
        <v>1</v>
      </c>
      <c r="J6598" s="363"/>
      <c r="K6598" s="345">
        <f t="shared" si="388"/>
        <v>11</v>
      </c>
      <c r="L6598" s="348">
        <v>660000</v>
      </c>
      <c r="M6598" s="371"/>
      <c r="N6598" s="355" t="str">
        <f t="shared" si="385"/>
        <v>KI</v>
      </c>
      <c r="O6598" s="345">
        <f t="shared" si="395"/>
        <v>10</v>
      </c>
      <c r="P6598" s="345">
        <f t="shared" si="389"/>
        <v>11</v>
      </c>
      <c r="Q6598" s="367">
        <f t="shared" si="409"/>
        <v>229304</v>
      </c>
      <c r="R6598" s="442" t="str">
        <f t="shared" si="410"/>
        <v>Gioăng kính Nr.66</v>
      </c>
      <c r="S6598" s="367">
        <f t="shared" si="411"/>
        <v>561520</v>
      </c>
      <c r="T6598" s="367" t="str">
        <f t="shared" si="412"/>
        <v>Nẹp kính 30.5</v>
      </c>
      <c r="U6598" s="367"/>
      <c r="V6598" s="367">
        <f t="shared" si="413"/>
        <v>560610</v>
      </c>
      <c r="W6598" s="442" t="str">
        <f t="shared" si="414"/>
        <v>Nẹp kính 18.5</v>
      </c>
      <c r="X6598" s="786"/>
      <c r="Y6598" s="1128" t="s">
        <v>3443</v>
      </c>
      <c r="Z6598" s="1128" t="s">
        <v>3381</v>
      </c>
      <c r="AA6598" s="1128" t="s">
        <v>3384</v>
      </c>
      <c r="AB6598" s="20"/>
      <c r="AC6598" s="73"/>
    </row>
    <row r="6599" spans="1:29" ht="14.25" customHeight="1">
      <c r="A6599" s="327" t="str">
        <f>IF(AND($B6599&lt;&gt;"",$C6599&lt;&gt;""),MAX($A$6492:$A6597)+1,"")</f>
        <v/>
      </c>
      <c r="B6599" s="361"/>
      <c r="C6599" s="362"/>
      <c r="D6599" s="362">
        <v>107</v>
      </c>
      <c r="E6599" s="361" t="s">
        <v>3553</v>
      </c>
      <c r="F6599" s="362" t="s">
        <v>3543</v>
      </c>
      <c r="G6599" s="327" t="s">
        <v>240</v>
      </c>
      <c r="H6599" s="361" t="s">
        <v>3544</v>
      </c>
      <c r="I6599" s="327">
        <v>1</v>
      </c>
      <c r="J6599" s="363"/>
      <c r="K6599" s="345">
        <f t="shared" si="388"/>
        <v>11</v>
      </c>
      <c r="L6599" s="1223" t="s">
        <v>2286</v>
      </c>
      <c r="M6599" s="371"/>
      <c r="N6599" s="355" t="str">
        <f t="shared" si="385"/>
        <v>KI</v>
      </c>
      <c r="O6599" s="345">
        <f t="shared" si="395"/>
        <v>10</v>
      </c>
      <c r="P6599" s="345">
        <f t="shared" si="389"/>
        <v>11</v>
      </c>
      <c r="Q6599" s="367">
        <f t="shared" si="409"/>
        <v>229314</v>
      </c>
      <c r="R6599" s="442" t="str">
        <f t="shared" si="410"/>
        <v>Gioăng kính Nr.68</v>
      </c>
      <c r="S6599" s="367">
        <f t="shared" si="411"/>
        <v>560620</v>
      </c>
      <c r="T6599" s="367" t="str">
        <f t="shared" si="412"/>
        <v>Nẹp kính 26.5</v>
      </c>
      <c r="U6599" s="367"/>
      <c r="V6599" s="367">
        <f t="shared" si="413"/>
        <v>560600</v>
      </c>
      <c r="W6599" s="442" t="str">
        <f t="shared" si="414"/>
        <v>Nẹp kính 14.5</v>
      </c>
      <c r="X6599" s="786"/>
      <c r="Y6599" s="1128" t="s">
        <v>3380</v>
      </c>
      <c r="Z6599" s="1128" t="s">
        <v>3381</v>
      </c>
      <c r="AA6599" s="1128" t="s">
        <v>3384</v>
      </c>
      <c r="AB6599" s="20"/>
      <c r="AC6599" s="73"/>
    </row>
    <row r="6600" spans="1:29" s="1222" customFormat="1" ht="14.25" customHeight="1">
      <c r="A6600" s="1208"/>
      <c r="B6600" s="1209"/>
      <c r="C6600" s="1210"/>
      <c r="D6600" s="362">
        <v>108</v>
      </c>
      <c r="E6600" s="1209"/>
      <c r="F6600" s="1210"/>
      <c r="G6600" s="1208"/>
      <c r="H6600" s="1209"/>
      <c r="I6600" s="1208"/>
      <c r="J6600" s="1211"/>
      <c r="K6600" s="1212"/>
      <c r="L6600" s="1213"/>
      <c r="M6600" s="1214"/>
      <c r="N6600" s="1215"/>
      <c r="O6600" s="1212"/>
      <c r="P6600" s="1212"/>
      <c r="Q6600" s="1216"/>
      <c r="R6600" s="1217"/>
      <c r="S6600" s="1216"/>
      <c r="T6600" s="1216"/>
      <c r="U6600" s="1216"/>
      <c r="V6600" s="1216"/>
      <c r="W6600" s="1217"/>
      <c r="X6600" s="1218"/>
      <c r="Y6600" s="1219"/>
      <c r="Z6600" s="1219"/>
      <c r="AA6600" s="1219"/>
      <c r="AB6600" s="1220"/>
      <c r="AC6600" s="1221"/>
    </row>
    <row r="6601" spans="1:29" ht="14.25" customHeight="1">
      <c r="A6601" s="327" t="str">
        <f>IF(AND($B6601&lt;&gt;"",$C6601&lt;&gt;""),MAX($A$6492:$A6570)+1,"")</f>
        <v/>
      </c>
      <c r="B6601" s="361"/>
      <c r="C6601" s="362"/>
      <c r="D6601" s="362">
        <v>109</v>
      </c>
      <c r="E6601" s="361" t="s">
        <v>3021</v>
      </c>
      <c r="F6601" s="362" t="s">
        <v>3022</v>
      </c>
      <c r="G6601" s="327" t="s">
        <v>240</v>
      </c>
      <c r="H6601" s="361"/>
      <c r="I6601" s="327">
        <v>1</v>
      </c>
      <c r="J6601" s="363"/>
      <c r="K6601" s="345">
        <f t="shared" si="388"/>
        <v>11</v>
      </c>
      <c r="L6601" s="616">
        <v>280000</v>
      </c>
      <c r="M6601" s="371"/>
      <c r="N6601" s="355" t="str">
        <f t="shared" si="385"/>
        <v>KI</v>
      </c>
      <c r="O6601" s="345">
        <f t="shared" si="386"/>
        <v>10</v>
      </c>
      <c r="P6601" s="345" t="str">
        <f t="shared" si="389"/>
        <v/>
      </c>
      <c r="Q6601" s="367">
        <f t="shared" ref="Q6601:Q6632" si="415">VLOOKUP(VALUE(MID($E6601,3,2)),$P$6943:$W$6975,2)</f>
        <v>229304</v>
      </c>
      <c r="R6601" s="442" t="str">
        <f t="shared" ref="R6601:R6632" si="416">VLOOKUP(VALUE(MID($E6601,3,2)),$P$6943:$W$6975,3)</f>
        <v>Gioăng kính Nr.66</v>
      </c>
      <c r="S6601" s="367">
        <f t="shared" ref="S6601:S6632" si="417">VLOOKUP(VALUE(MID($E6601,3,2)),$P$6943:$W$6975,4)</f>
        <v>561530</v>
      </c>
      <c r="T6601" s="367" t="str">
        <f t="shared" ref="T6601:T6632" si="418">VLOOKUP(VALUE(MID($E6601,3,2)),$P$6943:$W$6975,5)</f>
        <v>Nẹp kính 34.5</v>
      </c>
      <c r="U6601" s="367"/>
      <c r="V6601" s="367">
        <f t="shared" ref="V6601:V6632" si="419">VLOOKUP(VALUE(MID($E6601,3,2)),$P$6943:$W$6975,7)</f>
        <v>560510</v>
      </c>
      <c r="W6601" s="442" t="str">
        <f t="shared" ref="W6601:W6632" si="420">VLOOKUP(VALUE(MID($E6601,3,2)),$P$6943:$W$6975,8)</f>
        <v>Nẹp kính 22.5</v>
      </c>
      <c r="X6601" s="786"/>
      <c r="Y6601" s="1128" t="s">
        <v>3380</v>
      </c>
      <c r="Z6601" s="1128" t="s">
        <v>3381</v>
      </c>
      <c r="AA6601" s="1128" t="s">
        <v>3384</v>
      </c>
      <c r="AB6601" s="20"/>
      <c r="AC6601" s="73"/>
    </row>
    <row r="6602" spans="1:29" ht="14.25" customHeight="1">
      <c r="A6602" s="327" t="str">
        <f>IF(AND($B6602&lt;&gt;"",$C6602&lt;&gt;""),MAX($A$6492:$A6570)+1,"")</f>
        <v/>
      </c>
      <c r="B6602" s="361"/>
      <c r="C6602" s="362"/>
      <c r="D6602" s="362">
        <v>110</v>
      </c>
      <c r="E6602" s="361" t="s">
        <v>2643</v>
      </c>
      <c r="F6602" s="362" t="s">
        <v>3023</v>
      </c>
      <c r="G6602" s="327" t="s">
        <v>240</v>
      </c>
      <c r="H6602" s="361"/>
      <c r="I6602" s="327">
        <v>1</v>
      </c>
      <c r="J6602" s="363"/>
      <c r="K6602" s="345">
        <f t="shared" si="388"/>
        <v>11</v>
      </c>
      <c r="L6602" s="616">
        <v>280000</v>
      </c>
      <c r="M6602" s="371"/>
      <c r="N6602" s="355" t="str">
        <f t="shared" si="385"/>
        <v>KI</v>
      </c>
      <c r="O6602" s="345">
        <f t="shared" si="386"/>
        <v>10</v>
      </c>
      <c r="P6602" s="345">
        <f t="shared" si="389"/>
        <v>7</v>
      </c>
      <c r="Q6602" s="367">
        <f t="shared" si="415"/>
        <v>220162</v>
      </c>
      <c r="R6602" s="442" t="str">
        <f t="shared" si="416"/>
        <v>Gioăng kính Nr.65</v>
      </c>
      <c r="S6602" s="367">
        <f t="shared" si="417"/>
        <v>561530</v>
      </c>
      <c r="T6602" s="367" t="str">
        <f t="shared" si="418"/>
        <v>Nẹp kính 34.5</v>
      </c>
      <c r="U6602" s="367"/>
      <c r="V6602" s="367">
        <f t="shared" si="419"/>
        <v>560510</v>
      </c>
      <c r="W6602" s="442" t="str">
        <f t="shared" si="420"/>
        <v>Nẹp kính 22.5</v>
      </c>
      <c r="X6602" s="786"/>
      <c r="Y6602" s="1128" t="s">
        <v>3380</v>
      </c>
      <c r="Z6602" s="1128" t="s">
        <v>3381</v>
      </c>
      <c r="AA6602" s="1128" t="s">
        <v>3384</v>
      </c>
      <c r="AB6602" s="20"/>
      <c r="AC6602" s="73"/>
    </row>
    <row r="6603" spans="1:29" ht="14.25" customHeight="1">
      <c r="A6603" s="327" t="str">
        <f>IF(AND($B6603&lt;&gt;"",$C6603&lt;&gt;""),MAX($A$6492:$A6509)+1,"")</f>
        <v/>
      </c>
      <c r="B6603" s="361"/>
      <c r="C6603" s="362"/>
      <c r="D6603" s="362">
        <v>111</v>
      </c>
      <c r="E6603" s="361" t="s">
        <v>2644</v>
      </c>
      <c r="F6603" s="362" t="s">
        <v>3024</v>
      </c>
      <c r="G6603" s="327" t="s">
        <v>240</v>
      </c>
      <c r="H6603" s="361"/>
      <c r="I6603" s="327">
        <v>1</v>
      </c>
      <c r="J6603" s="363"/>
      <c r="K6603" s="345">
        <f t="shared" si="388"/>
        <v>11</v>
      </c>
      <c r="L6603" s="616">
        <v>330000</v>
      </c>
      <c r="M6603" s="371"/>
      <c r="N6603" s="355" t="str">
        <f t="shared" si="385"/>
        <v>KI</v>
      </c>
      <c r="O6603" s="345">
        <f t="shared" si="386"/>
        <v>10</v>
      </c>
      <c r="P6603" s="345">
        <f t="shared" si="389"/>
        <v>7</v>
      </c>
      <c r="Q6603" s="367">
        <f t="shared" si="415"/>
        <v>220162</v>
      </c>
      <c r="R6603" s="442" t="str">
        <f t="shared" si="416"/>
        <v>Gioăng kính Nr.65</v>
      </c>
      <c r="S6603" s="367">
        <f t="shared" si="417"/>
        <v>561530</v>
      </c>
      <c r="T6603" s="367" t="str">
        <f t="shared" si="418"/>
        <v>Nẹp kính 34.5</v>
      </c>
      <c r="U6603" s="367"/>
      <c r="V6603" s="367">
        <f t="shared" si="419"/>
        <v>560510</v>
      </c>
      <c r="W6603" s="442" t="str">
        <f t="shared" si="420"/>
        <v>Nẹp kính 22.5</v>
      </c>
      <c r="X6603" s="786"/>
      <c r="Y6603" s="1128" t="s">
        <v>3380</v>
      </c>
      <c r="Z6603" s="1128" t="s">
        <v>3381</v>
      </c>
      <c r="AA6603" s="1128" t="s">
        <v>3384</v>
      </c>
      <c r="AB6603" s="20"/>
      <c r="AC6603" s="73"/>
    </row>
    <row r="6604" spans="1:29" ht="14.25" customHeight="1">
      <c r="A6604" s="327" t="str">
        <f>IF(AND($B6604&lt;&gt;"",$C6604&lt;&gt;""),MAX($A$6492:$A6602)+1,"")</f>
        <v/>
      </c>
      <c r="B6604" s="361"/>
      <c r="C6604" s="362"/>
      <c r="D6604" s="362">
        <v>112</v>
      </c>
      <c r="E6604" s="361" t="s">
        <v>2646</v>
      </c>
      <c r="F6604" s="362" t="s">
        <v>3025</v>
      </c>
      <c r="G6604" s="327" t="s">
        <v>240</v>
      </c>
      <c r="H6604" s="361"/>
      <c r="I6604" s="327">
        <v>1</v>
      </c>
      <c r="J6604" s="363"/>
      <c r="K6604" s="345">
        <f t="shared" si="388"/>
        <v>11</v>
      </c>
      <c r="L6604" s="616">
        <v>480000</v>
      </c>
      <c r="M6604" s="371"/>
      <c r="N6604" s="355" t="str">
        <f t="shared" si="385"/>
        <v>KI</v>
      </c>
      <c r="O6604" s="345">
        <f t="shared" si="386"/>
        <v>10</v>
      </c>
      <c r="P6604" s="345">
        <f t="shared" si="389"/>
        <v>7</v>
      </c>
      <c r="Q6604" s="367">
        <f t="shared" si="415"/>
        <v>220162</v>
      </c>
      <c r="R6604" s="442" t="str">
        <f t="shared" si="416"/>
        <v>Gioăng kính Nr.65</v>
      </c>
      <c r="S6604" s="367">
        <f t="shared" si="417"/>
        <v>561530</v>
      </c>
      <c r="T6604" s="367" t="str">
        <f t="shared" si="418"/>
        <v>Nẹp kính 34.5</v>
      </c>
      <c r="U6604" s="367"/>
      <c r="V6604" s="367">
        <f t="shared" si="419"/>
        <v>560510</v>
      </c>
      <c r="W6604" s="442" t="str">
        <f t="shared" si="420"/>
        <v>Nẹp kính 22.5</v>
      </c>
      <c r="X6604" s="786"/>
      <c r="Y6604" s="1128" t="s">
        <v>3380</v>
      </c>
      <c r="Z6604" s="1128" t="s">
        <v>3381</v>
      </c>
      <c r="AA6604" s="1128" t="s">
        <v>3384</v>
      </c>
      <c r="AB6604" s="20"/>
      <c r="AC6604" s="73"/>
    </row>
    <row r="6605" spans="1:29" ht="14.25" customHeight="1">
      <c r="A6605" s="327" t="str">
        <f>IF(AND($B6605&lt;&gt;"",$C6605&lt;&gt;""),MAX($A$6492:$A6603)+1,"")</f>
        <v/>
      </c>
      <c r="B6605" s="361"/>
      <c r="C6605" s="362"/>
      <c r="D6605" s="362">
        <v>113</v>
      </c>
      <c r="E6605" s="361" t="s">
        <v>3026</v>
      </c>
      <c r="F6605" s="362" t="s">
        <v>3030</v>
      </c>
      <c r="G6605" s="327" t="s">
        <v>240</v>
      </c>
      <c r="H6605" s="361" t="s">
        <v>3417</v>
      </c>
      <c r="I6605" s="327">
        <v>1</v>
      </c>
      <c r="J6605" s="363"/>
      <c r="K6605" s="345">
        <f t="shared" si="388"/>
        <v>11</v>
      </c>
      <c r="L6605" s="710" t="s">
        <v>2286</v>
      </c>
      <c r="M6605" s="371"/>
      <c r="N6605" s="355" t="str">
        <f t="shared" si="385"/>
        <v>KI</v>
      </c>
      <c r="O6605" s="345">
        <f t="shared" si="386"/>
        <v>10</v>
      </c>
      <c r="P6605" s="345">
        <f t="shared" si="389"/>
        <v>7</v>
      </c>
      <c r="Q6605" s="367">
        <f t="shared" si="415"/>
        <v>220162</v>
      </c>
      <c r="R6605" s="442" t="str">
        <f t="shared" si="416"/>
        <v>Gioăng kính Nr.65</v>
      </c>
      <c r="S6605" s="367">
        <f t="shared" si="417"/>
        <v>561530</v>
      </c>
      <c r="T6605" s="367" t="str">
        <f t="shared" si="418"/>
        <v>Nẹp kính 34.5</v>
      </c>
      <c r="U6605" s="367"/>
      <c r="V6605" s="367">
        <f t="shared" si="419"/>
        <v>560510</v>
      </c>
      <c r="W6605" s="442" t="str">
        <f t="shared" si="420"/>
        <v>Nẹp kính 22.5</v>
      </c>
      <c r="X6605" s="786"/>
      <c r="Y6605" s="1128" t="s">
        <v>3443</v>
      </c>
      <c r="Z6605" s="1128" t="s">
        <v>3381</v>
      </c>
      <c r="AA6605" s="1128" t="s">
        <v>3384</v>
      </c>
      <c r="AB6605" s="20"/>
      <c r="AC6605" s="73"/>
    </row>
    <row r="6606" spans="1:29" ht="14.25" customHeight="1">
      <c r="A6606" s="327" t="str">
        <f>IF(AND($B6606&lt;&gt;"",$C6606&lt;&gt;""),MAX($A$6492:$A6604)+1,"")</f>
        <v/>
      </c>
      <c r="B6606" s="361"/>
      <c r="C6606" s="362"/>
      <c r="D6606" s="362">
        <v>114</v>
      </c>
      <c r="E6606" s="361" t="s">
        <v>3027</v>
      </c>
      <c r="F6606" s="362" t="s">
        <v>3031</v>
      </c>
      <c r="G6606" s="327" t="s">
        <v>240</v>
      </c>
      <c r="H6606" s="361" t="s">
        <v>2629</v>
      </c>
      <c r="I6606" s="327">
        <v>1</v>
      </c>
      <c r="J6606" s="363"/>
      <c r="K6606" s="345">
        <f t="shared" si="388"/>
        <v>11</v>
      </c>
      <c r="L6606" s="710" t="s">
        <v>2286</v>
      </c>
      <c r="M6606" s="371"/>
      <c r="N6606" s="355" t="str">
        <f t="shared" si="385"/>
        <v>KI</v>
      </c>
      <c r="O6606" s="345">
        <f t="shared" si="386"/>
        <v>10</v>
      </c>
      <c r="P6606" s="345">
        <f t="shared" si="389"/>
        <v>7</v>
      </c>
      <c r="Q6606" s="367">
        <f t="shared" si="415"/>
        <v>220162</v>
      </c>
      <c r="R6606" s="442" t="str">
        <f t="shared" si="416"/>
        <v>Gioăng kính Nr.65</v>
      </c>
      <c r="S6606" s="367">
        <f t="shared" si="417"/>
        <v>561530</v>
      </c>
      <c r="T6606" s="367" t="str">
        <f t="shared" si="418"/>
        <v>Nẹp kính 34.5</v>
      </c>
      <c r="U6606" s="367"/>
      <c r="V6606" s="367">
        <f t="shared" si="419"/>
        <v>560510</v>
      </c>
      <c r="W6606" s="442" t="str">
        <f t="shared" si="420"/>
        <v>Nẹp kính 22.5</v>
      </c>
      <c r="X6606" s="786"/>
      <c r="Y6606" s="1128" t="s">
        <v>3443</v>
      </c>
      <c r="Z6606" s="1128" t="s">
        <v>3381</v>
      </c>
      <c r="AA6606" s="1128" t="s">
        <v>3384</v>
      </c>
      <c r="AB6606" s="20"/>
      <c r="AC6606" s="73"/>
    </row>
    <row r="6607" spans="1:29" ht="14.25" customHeight="1">
      <c r="A6607" s="327" t="str">
        <f>IF(AND($B6607&lt;&gt;"",$C6607&lt;&gt;""),MAX($A$6492:$A6513)+1,"")</f>
        <v/>
      </c>
      <c r="B6607" s="361"/>
      <c r="C6607" s="362"/>
      <c r="D6607" s="362">
        <v>115</v>
      </c>
      <c r="E6607" s="361" t="s">
        <v>2645</v>
      </c>
      <c r="F6607" s="362" t="s">
        <v>3032</v>
      </c>
      <c r="G6607" s="327" t="s">
        <v>240</v>
      </c>
      <c r="H6607" s="361"/>
      <c r="I6607" s="327">
        <v>1</v>
      </c>
      <c r="J6607" s="363"/>
      <c r="K6607" s="345">
        <f t="shared" si="388"/>
        <v>11</v>
      </c>
      <c r="L6607" s="616">
        <v>460000</v>
      </c>
      <c r="M6607" s="371"/>
      <c r="N6607" s="355" t="str">
        <f t="shared" si="385"/>
        <v>KI</v>
      </c>
      <c r="O6607" s="345">
        <f t="shared" si="386"/>
        <v>10</v>
      </c>
      <c r="P6607" s="345">
        <f t="shared" si="389"/>
        <v>7</v>
      </c>
      <c r="Q6607" s="367">
        <f t="shared" si="415"/>
        <v>220162</v>
      </c>
      <c r="R6607" s="442" t="str">
        <f t="shared" si="416"/>
        <v>Gioăng kính Nr.65</v>
      </c>
      <c r="S6607" s="367">
        <f t="shared" si="417"/>
        <v>561530</v>
      </c>
      <c r="T6607" s="367" t="str">
        <f t="shared" si="418"/>
        <v>Nẹp kính 34.5</v>
      </c>
      <c r="U6607" s="367"/>
      <c r="V6607" s="367">
        <f t="shared" si="419"/>
        <v>560510</v>
      </c>
      <c r="W6607" s="442" t="str">
        <f t="shared" si="420"/>
        <v>Nẹp kính 22.5</v>
      </c>
      <c r="X6607" s="786"/>
      <c r="Y6607" s="1128" t="s">
        <v>3380</v>
      </c>
      <c r="Z6607" s="1128" t="s">
        <v>3381</v>
      </c>
      <c r="AA6607" s="1128" t="s">
        <v>3384</v>
      </c>
      <c r="AB6607" s="20"/>
      <c r="AC6607" s="73"/>
    </row>
    <row r="6608" spans="1:29" ht="14.25" customHeight="1">
      <c r="A6608" s="327" t="str">
        <f>IF(AND($B6608&lt;&gt;"",$C6608&lt;&gt;""),MAX($A$6492:$A6514)+1,"")</f>
        <v/>
      </c>
      <c r="B6608" s="361"/>
      <c r="C6608" s="362"/>
      <c r="D6608" s="362">
        <v>116</v>
      </c>
      <c r="E6608" s="361" t="s">
        <v>3028</v>
      </c>
      <c r="F6608" s="362" t="s">
        <v>3033</v>
      </c>
      <c r="G6608" s="327" t="s">
        <v>240</v>
      </c>
      <c r="H6608" s="361" t="s">
        <v>3417</v>
      </c>
      <c r="I6608" s="327">
        <v>1</v>
      </c>
      <c r="J6608" s="363"/>
      <c r="K6608" s="345">
        <f t="shared" si="388"/>
        <v>11</v>
      </c>
      <c r="L6608" s="710" t="s">
        <v>2286</v>
      </c>
      <c r="M6608" s="371"/>
      <c r="N6608" s="355" t="str">
        <f t="shared" si="385"/>
        <v>KI</v>
      </c>
      <c r="O6608" s="345">
        <f t="shared" si="386"/>
        <v>10</v>
      </c>
      <c r="P6608" s="345">
        <f t="shared" si="389"/>
        <v>7</v>
      </c>
      <c r="Q6608" s="367">
        <f t="shared" si="415"/>
        <v>220162</v>
      </c>
      <c r="R6608" s="442" t="str">
        <f t="shared" si="416"/>
        <v>Gioăng kính Nr.65</v>
      </c>
      <c r="S6608" s="367">
        <f t="shared" si="417"/>
        <v>561530</v>
      </c>
      <c r="T6608" s="367" t="str">
        <f t="shared" si="418"/>
        <v>Nẹp kính 34.5</v>
      </c>
      <c r="U6608" s="367"/>
      <c r="V6608" s="367">
        <f t="shared" si="419"/>
        <v>560510</v>
      </c>
      <c r="W6608" s="442" t="str">
        <f t="shared" si="420"/>
        <v>Nẹp kính 22.5</v>
      </c>
      <c r="X6608" s="786"/>
      <c r="Y6608" s="1128" t="s">
        <v>3443</v>
      </c>
      <c r="Z6608" s="1128" t="s">
        <v>3381</v>
      </c>
      <c r="AA6608" s="1128" t="s">
        <v>3384</v>
      </c>
      <c r="AB6608" s="20"/>
      <c r="AC6608" s="73"/>
    </row>
    <row r="6609" spans="1:29" ht="14.25" customHeight="1">
      <c r="A6609" s="327" t="str">
        <f>IF(AND($B6609&lt;&gt;"",$C6609&lt;&gt;""),MAX($A$6492:$A6515)+1,"")</f>
        <v/>
      </c>
      <c r="B6609" s="361"/>
      <c r="C6609" s="362"/>
      <c r="D6609" s="362">
        <v>117</v>
      </c>
      <c r="E6609" s="361" t="s">
        <v>3029</v>
      </c>
      <c r="F6609" s="362" t="s">
        <v>3034</v>
      </c>
      <c r="G6609" s="327" t="s">
        <v>240</v>
      </c>
      <c r="H6609" s="361" t="s">
        <v>2629</v>
      </c>
      <c r="I6609" s="327">
        <v>1</v>
      </c>
      <c r="J6609" s="363"/>
      <c r="K6609" s="345">
        <f t="shared" si="388"/>
        <v>11</v>
      </c>
      <c r="L6609" s="710" t="s">
        <v>2286</v>
      </c>
      <c r="M6609" s="371"/>
      <c r="N6609" s="355" t="str">
        <f t="shared" si="385"/>
        <v>KI</v>
      </c>
      <c r="O6609" s="345">
        <f t="shared" si="386"/>
        <v>10</v>
      </c>
      <c r="P6609" s="345">
        <f t="shared" si="389"/>
        <v>7</v>
      </c>
      <c r="Q6609" s="367">
        <f t="shared" si="415"/>
        <v>220162</v>
      </c>
      <c r="R6609" s="442" t="str">
        <f t="shared" si="416"/>
        <v>Gioăng kính Nr.65</v>
      </c>
      <c r="S6609" s="367">
        <f t="shared" si="417"/>
        <v>561530</v>
      </c>
      <c r="T6609" s="367" t="str">
        <f t="shared" si="418"/>
        <v>Nẹp kính 34.5</v>
      </c>
      <c r="U6609" s="367"/>
      <c r="V6609" s="367">
        <f t="shared" si="419"/>
        <v>560510</v>
      </c>
      <c r="W6609" s="442" t="str">
        <f t="shared" si="420"/>
        <v>Nẹp kính 22.5</v>
      </c>
      <c r="X6609" s="786"/>
      <c r="Y6609" s="1128" t="s">
        <v>3443</v>
      </c>
      <c r="Z6609" s="1128" t="s">
        <v>3381</v>
      </c>
      <c r="AA6609" s="1128" t="s">
        <v>3384</v>
      </c>
      <c r="AB6609" s="20"/>
      <c r="AC6609" s="73"/>
    </row>
    <row r="6610" spans="1:29" ht="14.25" customHeight="1">
      <c r="A6610" s="327" t="str">
        <f>IF(AND($B6610&lt;&gt;"",$C6610&lt;&gt;""),MAX($A$6492:$A6516)+1,"")</f>
        <v/>
      </c>
      <c r="B6610" s="361"/>
      <c r="C6610" s="362"/>
      <c r="D6610" s="362">
        <v>118</v>
      </c>
      <c r="E6610" s="361" t="s">
        <v>3035</v>
      </c>
      <c r="F6610" s="362" t="s">
        <v>3038</v>
      </c>
      <c r="G6610" s="327" t="s">
        <v>240</v>
      </c>
      <c r="H6610" s="361" t="s">
        <v>2549</v>
      </c>
      <c r="I6610" s="327">
        <v>1</v>
      </c>
      <c r="J6610" s="363"/>
      <c r="K6610" s="345">
        <f t="shared" si="388"/>
        <v>11</v>
      </c>
      <c r="L6610" s="710" t="s">
        <v>2286</v>
      </c>
      <c r="M6610" s="371"/>
      <c r="N6610" s="355" t="str">
        <f t="shared" si="385"/>
        <v>KI</v>
      </c>
      <c r="O6610" s="345">
        <f t="shared" si="386"/>
        <v>10</v>
      </c>
      <c r="P6610" s="345">
        <f t="shared" si="389"/>
        <v>7</v>
      </c>
      <c r="Q6610" s="367">
        <f t="shared" si="415"/>
        <v>220162</v>
      </c>
      <c r="R6610" s="442" t="str">
        <f t="shared" si="416"/>
        <v>Gioăng kính Nr.65</v>
      </c>
      <c r="S6610" s="367">
        <f t="shared" si="417"/>
        <v>561530</v>
      </c>
      <c r="T6610" s="367" t="str">
        <f t="shared" si="418"/>
        <v>Nẹp kính 34.5</v>
      </c>
      <c r="U6610" s="367"/>
      <c r="V6610" s="367">
        <f t="shared" si="419"/>
        <v>560510</v>
      </c>
      <c r="W6610" s="442" t="str">
        <f t="shared" si="420"/>
        <v>Nẹp kính 22.5</v>
      </c>
      <c r="X6610" s="786"/>
      <c r="Y6610" s="1128" t="s">
        <v>3443</v>
      </c>
      <c r="Z6610" s="1128" t="s">
        <v>3381</v>
      </c>
      <c r="AA6610" s="1128" t="s">
        <v>3384</v>
      </c>
      <c r="AB6610" s="20"/>
      <c r="AC6610" s="73"/>
    </row>
    <row r="6611" spans="1:29" ht="14.25" customHeight="1">
      <c r="A6611" s="327" t="str">
        <f>IF(AND($B6611&lt;&gt;"",$C6611&lt;&gt;""),MAX($A$6492:$A6517)+1,"")</f>
        <v/>
      </c>
      <c r="B6611" s="361"/>
      <c r="C6611" s="362"/>
      <c r="D6611" s="362">
        <v>119</v>
      </c>
      <c r="E6611" s="361" t="s">
        <v>3036</v>
      </c>
      <c r="F6611" s="362" t="s">
        <v>3039</v>
      </c>
      <c r="G6611" s="327" t="s">
        <v>240</v>
      </c>
      <c r="H6611" s="361" t="s">
        <v>3417</v>
      </c>
      <c r="I6611" s="327">
        <v>1</v>
      </c>
      <c r="J6611" s="363"/>
      <c r="K6611" s="345">
        <f t="shared" si="388"/>
        <v>11</v>
      </c>
      <c r="L6611" s="710" t="s">
        <v>2286</v>
      </c>
      <c r="M6611" s="371"/>
      <c r="N6611" s="355" t="str">
        <f t="shared" si="385"/>
        <v>KI</v>
      </c>
      <c r="O6611" s="345">
        <f t="shared" si="386"/>
        <v>10</v>
      </c>
      <c r="P6611" s="345">
        <f t="shared" si="389"/>
        <v>7</v>
      </c>
      <c r="Q6611" s="367">
        <f t="shared" si="415"/>
        <v>220162</v>
      </c>
      <c r="R6611" s="442" t="str">
        <f t="shared" si="416"/>
        <v>Gioăng kính Nr.65</v>
      </c>
      <c r="S6611" s="367">
        <f t="shared" si="417"/>
        <v>561530</v>
      </c>
      <c r="T6611" s="367" t="str">
        <f t="shared" si="418"/>
        <v>Nẹp kính 34.5</v>
      </c>
      <c r="U6611" s="367"/>
      <c r="V6611" s="367">
        <f t="shared" si="419"/>
        <v>560510</v>
      </c>
      <c r="W6611" s="442" t="str">
        <f t="shared" si="420"/>
        <v>Nẹp kính 22.5</v>
      </c>
      <c r="X6611" s="786"/>
      <c r="Y6611" s="1128" t="s">
        <v>3443</v>
      </c>
      <c r="Z6611" s="1128" t="s">
        <v>3381</v>
      </c>
      <c r="AA6611" s="1128" t="s">
        <v>3384</v>
      </c>
      <c r="AB6611" s="20"/>
      <c r="AC6611" s="73"/>
    </row>
    <row r="6612" spans="1:29" ht="14.25" customHeight="1">
      <c r="A6612" s="327" t="str">
        <f>IF(AND($B6612&lt;&gt;"",$C6612&lt;&gt;""),MAX($A$6492:$A6518)+1,"")</f>
        <v/>
      </c>
      <c r="B6612" s="361"/>
      <c r="C6612" s="362"/>
      <c r="D6612" s="362">
        <v>120</v>
      </c>
      <c r="E6612" s="361" t="s">
        <v>3037</v>
      </c>
      <c r="F6612" s="362" t="s">
        <v>3040</v>
      </c>
      <c r="G6612" s="327" t="s">
        <v>240</v>
      </c>
      <c r="H6612" s="361" t="s">
        <v>2629</v>
      </c>
      <c r="I6612" s="327">
        <v>1</v>
      </c>
      <c r="J6612" s="363"/>
      <c r="K6612" s="345">
        <f t="shared" si="388"/>
        <v>11</v>
      </c>
      <c r="L6612" s="710" t="s">
        <v>2286</v>
      </c>
      <c r="M6612" s="371"/>
      <c r="N6612" s="355" t="str">
        <f t="shared" si="385"/>
        <v>KI</v>
      </c>
      <c r="O6612" s="345">
        <f t="shared" si="386"/>
        <v>10</v>
      </c>
      <c r="P6612" s="345">
        <f t="shared" si="389"/>
        <v>7</v>
      </c>
      <c r="Q6612" s="367">
        <f t="shared" si="415"/>
        <v>220162</v>
      </c>
      <c r="R6612" s="442" t="str">
        <f t="shared" si="416"/>
        <v>Gioăng kính Nr.65</v>
      </c>
      <c r="S6612" s="367">
        <f t="shared" si="417"/>
        <v>561530</v>
      </c>
      <c r="T6612" s="367" t="str">
        <f t="shared" si="418"/>
        <v>Nẹp kính 34.5</v>
      </c>
      <c r="U6612" s="367"/>
      <c r="V6612" s="367">
        <f t="shared" si="419"/>
        <v>560510</v>
      </c>
      <c r="W6612" s="442" t="str">
        <f t="shared" si="420"/>
        <v>Nẹp kính 22.5</v>
      </c>
      <c r="X6612" s="786"/>
      <c r="Y6612" s="1128" t="s">
        <v>3443</v>
      </c>
      <c r="Z6612" s="1128" t="s">
        <v>3381</v>
      </c>
      <c r="AA6612" s="1128" t="s">
        <v>3384</v>
      </c>
      <c r="AB6612" s="20"/>
      <c r="AC6612" s="73"/>
    </row>
    <row r="6613" spans="1:29" ht="14.25" customHeight="1">
      <c r="A6613" s="327" t="str">
        <f>IF(AND($B6613&lt;&gt;"",$C6613&lt;&gt;""),MAX($A$6492:$A6570)+1,"")</f>
        <v/>
      </c>
      <c r="B6613" s="361"/>
      <c r="C6613" s="362"/>
      <c r="D6613" s="362">
        <v>121</v>
      </c>
      <c r="E6613" s="361" t="s">
        <v>3050</v>
      </c>
      <c r="F6613" s="362" t="s">
        <v>3053</v>
      </c>
      <c r="G6613" s="327" t="s">
        <v>240</v>
      </c>
      <c r="H6613" s="361" t="s">
        <v>2640</v>
      </c>
      <c r="I6613" s="327">
        <v>1</v>
      </c>
      <c r="J6613" s="363"/>
      <c r="K6613" s="345">
        <f t="shared" si="388"/>
        <v>11</v>
      </c>
      <c r="L6613" s="710" t="s">
        <v>2286</v>
      </c>
      <c r="M6613" s="371"/>
      <c r="N6613" s="355" t="str">
        <f t="shared" si="385"/>
        <v>KI</v>
      </c>
      <c r="O6613" s="345">
        <f t="shared" si="386"/>
        <v>10</v>
      </c>
      <c r="P6613" s="345">
        <f t="shared" si="389"/>
        <v>7</v>
      </c>
      <c r="Q6613" s="367">
        <f t="shared" si="415"/>
        <v>220162</v>
      </c>
      <c r="R6613" s="442" t="str">
        <f t="shared" si="416"/>
        <v>Gioăng kính Nr.65</v>
      </c>
      <c r="S6613" s="367">
        <f t="shared" si="417"/>
        <v>561530</v>
      </c>
      <c r="T6613" s="367" t="str">
        <f t="shared" si="418"/>
        <v>Nẹp kính 34.5</v>
      </c>
      <c r="U6613" s="367"/>
      <c r="V6613" s="367">
        <f t="shared" si="419"/>
        <v>560510</v>
      </c>
      <c r="W6613" s="442" t="str">
        <f t="shared" si="420"/>
        <v>Nẹp kính 22.5</v>
      </c>
      <c r="X6613" s="786"/>
      <c r="Y6613" s="1128" t="s">
        <v>3443</v>
      </c>
      <c r="Z6613" s="1128" t="s">
        <v>3381</v>
      </c>
      <c r="AA6613" s="1128" t="s">
        <v>3384</v>
      </c>
      <c r="AB6613" s="20"/>
      <c r="AC6613" s="73"/>
    </row>
    <row r="6614" spans="1:29" ht="14.25" customHeight="1">
      <c r="A6614" s="327" t="str">
        <f>IF(AND($B6614&lt;&gt;"",$C6614&lt;&gt;""),MAX($A$6492:$A6570)+1,"")</f>
        <v/>
      </c>
      <c r="B6614" s="361"/>
      <c r="C6614" s="362"/>
      <c r="D6614" s="362">
        <v>122</v>
      </c>
      <c r="E6614" s="361" t="s">
        <v>3051</v>
      </c>
      <c r="F6614" s="362" t="s">
        <v>3054</v>
      </c>
      <c r="G6614" s="327" t="s">
        <v>240</v>
      </c>
      <c r="H6614" s="361" t="s">
        <v>2640</v>
      </c>
      <c r="I6614" s="327">
        <v>1</v>
      </c>
      <c r="J6614" s="363"/>
      <c r="K6614" s="345">
        <f t="shared" si="388"/>
        <v>11</v>
      </c>
      <c r="L6614" s="710" t="s">
        <v>2286</v>
      </c>
      <c r="M6614" s="371"/>
      <c r="N6614" s="355" t="str">
        <f t="shared" si="385"/>
        <v>KI</v>
      </c>
      <c r="O6614" s="345">
        <f t="shared" si="386"/>
        <v>10</v>
      </c>
      <c r="P6614" s="345">
        <f t="shared" si="389"/>
        <v>11</v>
      </c>
      <c r="Q6614" s="367">
        <f t="shared" si="415"/>
        <v>229304</v>
      </c>
      <c r="R6614" s="442" t="str">
        <f t="shared" si="416"/>
        <v>Gioăng kính Nr.66</v>
      </c>
      <c r="S6614" s="367">
        <f t="shared" si="417"/>
        <v>561520</v>
      </c>
      <c r="T6614" s="367" t="str">
        <f t="shared" si="418"/>
        <v>Nẹp kính 30.5</v>
      </c>
      <c r="U6614" s="367"/>
      <c r="V6614" s="367">
        <f t="shared" si="419"/>
        <v>560610</v>
      </c>
      <c r="W6614" s="442" t="str">
        <f t="shared" si="420"/>
        <v>Nẹp kính 18.5</v>
      </c>
      <c r="X6614" s="786"/>
      <c r="Y6614" s="1128" t="s">
        <v>3443</v>
      </c>
      <c r="Z6614" s="1128" t="s">
        <v>3381</v>
      </c>
      <c r="AA6614" s="1128" t="s">
        <v>3384</v>
      </c>
      <c r="AB6614" s="20"/>
      <c r="AC6614" s="73"/>
    </row>
    <row r="6615" spans="1:29" ht="14.25" customHeight="1">
      <c r="A6615" s="327" t="str">
        <f>IF(AND($B6615&lt;&gt;"",$C6615&lt;&gt;""),MAX($A$6492:$A6613)+1,"")</f>
        <v/>
      </c>
      <c r="B6615" s="361"/>
      <c r="C6615" s="362"/>
      <c r="D6615" s="362">
        <v>123</v>
      </c>
      <c r="E6615" s="361" t="s">
        <v>3052</v>
      </c>
      <c r="F6615" s="362" t="s">
        <v>3055</v>
      </c>
      <c r="G6615" s="327" t="s">
        <v>240</v>
      </c>
      <c r="H6615" s="361" t="s">
        <v>2640</v>
      </c>
      <c r="I6615" s="327">
        <v>1</v>
      </c>
      <c r="J6615" s="363"/>
      <c r="K6615" s="345">
        <f t="shared" si="388"/>
        <v>11</v>
      </c>
      <c r="L6615" s="710" t="s">
        <v>2286</v>
      </c>
      <c r="M6615" s="371"/>
      <c r="N6615" s="355" t="str">
        <f t="shared" si="385"/>
        <v>KI</v>
      </c>
      <c r="O6615" s="345">
        <f t="shared" si="386"/>
        <v>10</v>
      </c>
      <c r="P6615" s="345">
        <f t="shared" si="389"/>
        <v>11</v>
      </c>
      <c r="Q6615" s="367">
        <f t="shared" si="415"/>
        <v>229314</v>
      </c>
      <c r="R6615" s="442" t="str">
        <f t="shared" si="416"/>
        <v>Gioăng kính Nr.68</v>
      </c>
      <c r="S6615" s="367">
        <f t="shared" si="417"/>
        <v>560620</v>
      </c>
      <c r="T6615" s="367" t="str">
        <f t="shared" si="418"/>
        <v>Nẹp kính 26.5</v>
      </c>
      <c r="U6615" s="367"/>
      <c r="V6615" s="367">
        <f t="shared" si="419"/>
        <v>560600</v>
      </c>
      <c r="W6615" s="442" t="str">
        <f t="shared" si="420"/>
        <v>Nẹp kính 14.5</v>
      </c>
      <c r="X6615" s="786"/>
      <c r="Y6615" s="1128" t="s">
        <v>3443</v>
      </c>
      <c r="Z6615" s="1128" t="s">
        <v>3381</v>
      </c>
      <c r="AA6615" s="1128" t="s">
        <v>3384</v>
      </c>
      <c r="AB6615" s="20"/>
      <c r="AC6615" s="73"/>
    </row>
    <row r="6616" spans="1:29" ht="14.25" customHeight="1">
      <c r="A6616" s="327" t="str">
        <f>IF(AND($B6616&lt;&gt;"",$C6616&lt;&gt;""),MAX($A$6492:$A6570)+1,"")</f>
        <v/>
      </c>
      <c r="B6616" s="361"/>
      <c r="C6616" s="362"/>
      <c r="D6616" s="362">
        <v>124</v>
      </c>
      <c r="E6616" s="361" t="s">
        <v>2639</v>
      </c>
      <c r="F6616" s="362" t="s">
        <v>3047</v>
      </c>
      <c r="G6616" s="327" t="s">
        <v>240</v>
      </c>
      <c r="H6616" s="361" t="s">
        <v>2640</v>
      </c>
      <c r="I6616" s="327">
        <v>1</v>
      </c>
      <c r="J6616" s="363"/>
      <c r="K6616" s="345">
        <f t="shared" si="388"/>
        <v>11</v>
      </c>
      <c r="L6616" s="616">
        <v>690000</v>
      </c>
      <c r="M6616" s="371"/>
      <c r="N6616" s="355" t="str">
        <f t="shared" si="385"/>
        <v>KI</v>
      </c>
      <c r="O6616" s="345">
        <f t="shared" si="386"/>
        <v>10</v>
      </c>
      <c r="P6616" s="345">
        <f t="shared" si="389"/>
        <v>7</v>
      </c>
      <c r="Q6616" s="367">
        <f t="shared" si="415"/>
        <v>220162</v>
      </c>
      <c r="R6616" s="442" t="str">
        <f t="shared" si="416"/>
        <v>Gioăng kính Nr.65</v>
      </c>
      <c r="S6616" s="367">
        <f t="shared" si="417"/>
        <v>561530</v>
      </c>
      <c r="T6616" s="367" t="str">
        <f t="shared" si="418"/>
        <v>Nẹp kính 34.5</v>
      </c>
      <c r="U6616" s="367"/>
      <c r="V6616" s="367">
        <f t="shared" si="419"/>
        <v>560510</v>
      </c>
      <c r="W6616" s="442" t="str">
        <f t="shared" si="420"/>
        <v>Nẹp kính 22.5</v>
      </c>
      <c r="X6616" s="786"/>
      <c r="Y6616" s="1128" t="s">
        <v>3656</v>
      </c>
      <c r="Z6616" s="1128" t="s">
        <v>3381</v>
      </c>
      <c r="AA6616" s="1128" t="s">
        <v>3384</v>
      </c>
      <c r="AB6616" s="20"/>
      <c r="AC6616" s="73"/>
    </row>
    <row r="6617" spans="1:29" ht="14.25" customHeight="1">
      <c r="A6617" s="327" t="str">
        <f>IF(AND($B6617&lt;&gt;"",$C6617&lt;&gt;""),MAX($A$6492:$A6570)+1,"")</f>
        <v/>
      </c>
      <c r="B6617" s="361"/>
      <c r="C6617" s="362"/>
      <c r="D6617" s="362">
        <v>125</v>
      </c>
      <c r="E6617" s="361" t="s">
        <v>2641</v>
      </c>
      <c r="F6617" s="362" t="s">
        <v>3048</v>
      </c>
      <c r="G6617" s="327" t="s">
        <v>240</v>
      </c>
      <c r="H6617" s="361" t="s">
        <v>2640</v>
      </c>
      <c r="I6617" s="327">
        <v>1</v>
      </c>
      <c r="J6617" s="363"/>
      <c r="K6617" s="345">
        <f t="shared" si="388"/>
        <v>11</v>
      </c>
      <c r="L6617" s="616">
        <v>1180000</v>
      </c>
      <c r="M6617" s="371"/>
      <c r="N6617" s="355" t="str">
        <f t="shared" si="385"/>
        <v>KI</v>
      </c>
      <c r="O6617" s="345">
        <f t="shared" si="386"/>
        <v>10</v>
      </c>
      <c r="P6617" s="345">
        <f t="shared" si="389"/>
        <v>11</v>
      </c>
      <c r="Q6617" s="367">
        <f t="shared" si="415"/>
        <v>229304</v>
      </c>
      <c r="R6617" s="442" t="str">
        <f t="shared" si="416"/>
        <v>Gioăng kính Nr.66</v>
      </c>
      <c r="S6617" s="367">
        <f t="shared" si="417"/>
        <v>561520</v>
      </c>
      <c r="T6617" s="367" t="str">
        <f t="shared" si="418"/>
        <v>Nẹp kính 30.5</v>
      </c>
      <c r="U6617" s="367"/>
      <c r="V6617" s="367">
        <f t="shared" si="419"/>
        <v>560610</v>
      </c>
      <c r="W6617" s="442" t="str">
        <f t="shared" si="420"/>
        <v>Nẹp kính 18.5</v>
      </c>
      <c r="X6617" s="786"/>
      <c r="Y6617" s="1128" t="s">
        <v>3656</v>
      </c>
      <c r="Z6617" s="1128" t="s">
        <v>3381</v>
      </c>
      <c r="AA6617" s="1128" t="s">
        <v>3384</v>
      </c>
      <c r="AB6617" s="20"/>
      <c r="AC6617" s="73"/>
    </row>
    <row r="6618" spans="1:29" ht="14.25" customHeight="1">
      <c r="A6618" s="327" t="str">
        <f>IF(AND($B6618&lt;&gt;"",$C6618&lt;&gt;""),MAX($A$6492:$A6616)+1,"")</f>
        <v/>
      </c>
      <c r="B6618" s="361"/>
      <c r="C6618" s="362"/>
      <c r="D6618" s="362">
        <v>126</v>
      </c>
      <c r="E6618" s="361" t="s">
        <v>2642</v>
      </c>
      <c r="F6618" s="362" t="s">
        <v>3049</v>
      </c>
      <c r="G6618" s="327" t="s">
        <v>240</v>
      </c>
      <c r="H6618" s="361" t="s">
        <v>2640</v>
      </c>
      <c r="I6618" s="327">
        <v>1</v>
      </c>
      <c r="J6618" s="363"/>
      <c r="K6618" s="345">
        <f t="shared" si="388"/>
        <v>11</v>
      </c>
      <c r="L6618" s="616">
        <v>1680000</v>
      </c>
      <c r="M6618" s="371"/>
      <c r="N6618" s="355" t="str">
        <f t="shared" si="385"/>
        <v>KI</v>
      </c>
      <c r="O6618" s="345">
        <f t="shared" si="386"/>
        <v>10</v>
      </c>
      <c r="P6618" s="345">
        <f t="shared" si="389"/>
        <v>11</v>
      </c>
      <c r="Q6618" s="367">
        <f t="shared" si="415"/>
        <v>229314</v>
      </c>
      <c r="R6618" s="442" t="str">
        <f t="shared" si="416"/>
        <v>Gioăng kính Nr.68</v>
      </c>
      <c r="S6618" s="367">
        <f t="shared" si="417"/>
        <v>560620</v>
      </c>
      <c r="T6618" s="367" t="str">
        <f t="shared" si="418"/>
        <v>Nẹp kính 26.5</v>
      </c>
      <c r="U6618" s="367"/>
      <c r="V6618" s="367">
        <f t="shared" si="419"/>
        <v>560600</v>
      </c>
      <c r="W6618" s="442" t="str">
        <f t="shared" si="420"/>
        <v>Nẹp kính 14.5</v>
      </c>
      <c r="X6618" s="786"/>
      <c r="Y6618" s="1128" t="s">
        <v>3656</v>
      </c>
      <c r="Z6618" s="1128" t="s">
        <v>3381</v>
      </c>
      <c r="AA6618" s="1128" t="s">
        <v>3384</v>
      </c>
      <c r="AB6618" s="20"/>
      <c r="AC6618" s="73"/>
    </row>
    <row r="6619" spans="1:29">
      <c r="A6619" s="327" t="str">
        <f>IF(AND($B6619&lt;&gt;"",$C6619&lt;&gt;""),MAX($A$6492:$A6518)+1,"")</f>
        <v/>
      </c>
      <c r="B6619" s="361"/>
      <c r="C6619" s="362"/>
      <c r="D6619" s="362">
        <v>127</v>
      </c>
      <c r="E6619" s="361" t="s">
        <v>875</v>
      </c>
      <c r="F6619" s="362" t="s">
        <v>3599</v>
      </c>
      <c r="G6619" s="367" t="s">
        <v>240</v>
      </c>
      <c r="H6619" s="361" t="s">
        <v>3076</v>
      </c>
      <c r="I6619" s="327">
        <v>1</v>
      </c>
      <c r="J6619" s="363"/>
      <c r="K6619" s="345">
        <f t="shared" si="388"/>
        <v>11</v>
      </c>
      <c r="L6619" s="487">
        <v>360000</v>
      </c>
      <c r="M6619" s="371"/>
      <c r="N6619" s="355" t="str">
        <f t="shared" si="385"/>
        <v>KI</v>
      </c>
      <c r="O6619" s="345">
        <f t="shared" si="386"/>
        <v>10</v>
      </c>
      <c r="P6619" s="345">
        <f t="shared" si="389"/>
        <v>7</v>
      </c>
      <c r="Q6619" s="367">
        <f t="shared" si="415"/>
        <v>229314</v>
      </c>
      <c r="R6619" s="442" t="str">
        <f t="shared" si="416"/>
        <v>Gioăng kính Nr.68</v>
      </c>
      <c r="S6619" s="367">
        <f t="shared" si="417"/>
        <v>561520</v>
      </c>
      <c r="T6619" s="367" t="str">
        <f t="shared" si="418"/>
        <v>Nẹp kính 30.5</v>
      </c>
      <c r="U6619" s="367"/>
      <c r="V6619" s="367">
        <f t="shared" si="419"/>
        <v>560610</v>
      </c>
      <c r="W6619" s="442" t="str">
        <f t="shared" si="420"/>
        <v>Nẹp kính 18.5</v>
      </c>
      <c r="X6619" s="786"/>
      <c r="Y6619" s="1128" t="s">
        <v>3380</v>
      </c>
      <c r="Z6619" s="1128" t="s">
        <v>3381</v>
      </c>
      <c r="AA6619" s="1128" t="s">
        <v>3384</v>
      </c>
      <c r="AB6619" s="20"/>
      <c r="AC6619" s="73"/>
    </row>
    <row r="6620" spans="1:29">
      <c r="A6620" s="327" t="str">
        <f>IF(AND($B6620&lt;&gt;"",$C6620&lt;&gt;""),MAX($A$6492:$A6619)+1,"")</f>
        <v/>
      </c>
      <c r="B6620" s="361"/>
      <c r="C6620" s="362"/>
      <c r="D6620" s="362">
        <v>128</v>
      </c>
      <c r="E6620" s="361" t="s">
        <v>374</v>
      </c>
      <c r="F6620" s="362" t="s">
        <v>3600</v>
      </c>
      <c r="G6620" s="367" t="s">
        <v>240</v>
      </c>
      <c r="H6620" s="361" t="s">
        <v>3076</v>
      </c>
      <c r="I6620" s="327">
        <v>1</v>
      </c>
      <c r="J6620" s="363"/>
      <c r="K6620" s="345">
        <f t="shared" si="388"/>
        <v>11</v>
      </c>
      <c r="L6620" s="487">
        <v>435000</v>
      </c>
      <c r="M6620" s="371"/>
      <c r="N6620" s="355" t="str">
        <f t="shared" si="385"/>
        <v>KI</v>
      </c>
      <c r="O6620" s="345">
        <f t="shared" si="386"/>
        <v>10</v>
      </c>
      <c r="P6620" s="345">
        <f t="shared" si="389"/>
        <v>11</v>
      </c>
      <c r="Q6620" s="367">
        <f t="shared" si="415"/>
        <v>229304</v>
      </c>
      <c r="R6620" s="442" t="str">
        <f t="shared" si="416"/>
        <v>Gioăng kính Nr.66</v>
      </c>
      <c r="S6620" s="367">
        <f t="shared" si="417"/>
        <v>561520</v>
      </c>
      <c r="T6620" s="367" t="str">
        <f t="shared" si="418"/>
        <v>Nẹp kính 30.5</v>
      </c>
      <c r="U6620" s="367"/>
      <c r="V6620" s="367">
        <f t="shared" si="419"/>
        <v>560610</v>
      </c>
      <c r="W6620" s="442" t="str">
        <f t="shared" si="420"/>
        <v>Nẹp kính 18.5</v>
      </c>
      <c r="X6620" s="786"/>
      <c r="Y6620" s="1128" t="s">
        <v>3380</v>
      </c>
      <c r="Z6620" s="1128" t="s">
        <v>3381</v>
      </c>
      <c r="AA6620" s="1128" t="s">
        <v>3384</v>
      </c>
      <c r="AB6620" s="20"/>
      <c r="AC6620" s="73"/>
    </row>
    <row r="6621" spans="1:29">
      <c r="A6621" s="327" t="str">
        <f>IF(AND($B6621&lt;&gt;"",$C6621&lt;&gt;""),MAX($A$6492:$A6620)+1,"")</f>
        <v/>
      </c>
      <c r="B6621" s="361"/>
      <c r="C6621" s="362"/>
      <c r="D6621" s="362">
        <v>129</v>
      </c>
      <c r="E6621" s="361" t="s">
        <v>3056</v>
      </c>
      <c r="F6621" s="362" t="s">
        <v>3604</v>
      </c>
      <c r="G6621" s="367" t="s">
        <v>240</v>
      </c>
      <c r="H6621" s="361" t="s">
        <v>3076</v>
      </c>
      <c r="I6621" s="327">
        <v>1</v>
      </c>
      <c r="J6621" s="363"/>
      <c r="K6621" s="345">
        <f t="shared" si="388"/>
        <v>11</v>
      </c>
      <c r="L6621" s="710" t="s">
        <v>2286</v>
      </c>
      <c r="M6621" s="371"/>
      <c r="N6621" s="355" t="str">
        <f t="shared" si="385"/>
        <v>KI</v>
      </c>
      <c r="O6621" s="345">
        <f t="shared" si="386"/>
        <v>10</v>
      </c>
      <c r="P6621" s="345">
        <f t="shared" si="389"/>
        <v>11</v>
      </c>
      <c r="Q6621" s="367">
        <f t="shared" si="415"/>
        <v>229314</v>
      </c>
      <c r="R6621" s="442" t="str">
        <f t="shared" si="416"/>
        <v>Gioăng kính Nr.68</v>
      </c>
      <c r="S6621" s="367">
        <f t="shared" si="417"/>
        <v>560620</v>
      </c>
      <c r="T6621" s="367" t="str">
        <f t="shared" si="418"/>
        <v>Nẹp kính 26.5</v>
      </c>
      <c r="U6621" s="367"/>
      <c r="V6621" s="367">
        <f t="shared" si="419"/>
        <v>560600</v>
      </c>
      <c r="W6621" s="442" t="str">
        <f t="shared" si="420"/>
        <v>Nẹp kính 14.5</v>
      </c>
      <c r="X6621" s="786"/>
      <c r="Y6621" s="1128" t="s">
        <v>3443</v>
      </c>
      <c r="Z6621" s="1128" t="s">
        <v>3381</v>
      </c>
      <c r="AA6621" s="1128" t="s">
        <v>3384</v>
      </c>
      <c r="AB6621" s="20"/>
      <c r="AC6621" s="73"/>
    </row>
    <row r="6622" spans="1:29">
      <c r="A6622" s="327" t="str">
        <f>IF(AND($B6622&lt;&gt;"",$C6622&lt;&gt;""),MAX($A$6492:$A6621)+1,"")</f>
        <v/>
      </c>
      <c r="B6622" s="361"/>
      <c r="C6622" s="362"/>
      <c r="D6622" s="362">
        <v>130</v>
      </c>
      <c r="E6622" s="361" t="s">
        <v>3057</v>
      </c>
      <c r="F6622" s="362" t="s">
        <v>3605</v>
      </c>
      <c r="G6622" s="367" t="s">
        <v>240</v>
      </c>
      <c r="H6622" s="361" t="s">
        <v>3076</v>
      </c>
      <c r="I6622" s="327">
        <v>1</v>
      </c>
      <c r="J6622" s="363"/>
      <c r="K6622" s="345">
        <f t="shared" si="388"/>
        <v>11</v>
      </c>
      <c r="L6622" s="710" t="s">
        <v>2286</v>
      </c>
      <c r="M6622" s="371"/>
      <c r="N6622" s="355" t="str">
        <f t="shared" si="385"/>
        <v>KI</v>
      </c>
      <c r="O6622" s="345">
        <f t="shared" si="386"/>
        <v>19</v>
      </c>
      <c r="P6622" s="345">
        <f t="shared" si="389"/>
        <v>11</v>
      </c>
      <c r="Q6622" s="367">
        <f t="shared" si="415"/>
        <v>220182</v>
      </c>
      <c r="R6622" s="442" t="str">
        <f t="shared" si="416"/>
        <v>Gioăng kính Nr.67</v>
      </c>
      <c r="S6622" s="367">
        <f t="shared" si="417"/>
        <v>560620</v>
      </c>
      <c r="T6622" s="367" t="str">
        <f t="shared" si="418"/>
        <v>Nẹp kính 26.5</v>
      </c>
      <c r="U6622" s="367"/>
      <c r="V6622" s="367">
        <f t="shared" si="419"/>
        <v>560600</v>
      </c>
      <c r="W6622" s="442" t="str">
        <f t="shared" si="420"/>
        <v>Nẹp kính 14.5</v>
      </c>
      <c r="X6622" s="786"/>
      <c r="Y6622" s="1128" t="s">
        <v>3443</v>
      </c>
      <c r="Z6622" s="1128" t="s">
        <v>3381</v>
      </c>
      <c r="AA6622" s="1128" t="s">
        <v>3384</v>
      </c>
      <c r="AB6622" s="20"/>
      <c r="AC6622" s="73"/>
    </row>
    <row r="6623" spans="1:29">
      <c r="A6623" s="327" t="str">
        <f>IF(AND($B6623&lt;&gt;"",$C6623&lt;&gt;""),MAX($A$6492:$A6622)+1,"")</f>
        <v/>
      </c>
      <c r="B6623" s="361"/>
      <c r="C6623" s="362"/>
      <c r="D6623" s="362">
        <v>131</v>
      </c>
      <c r="E6623" s="361" t="s">
        <v>3058</v>
      </c>
      <c r="F6623" s="362" t="s">
        <v>3606</v>
      </c>
      <c r="G6623" s="367" t="s">
        <v>240</v>
      </c>
      <c r="H6623" s="361" t="s">
        <v>3076</v>
      </c>
      <c r="I6623" s="327">
        <v>1</v>
      </c>
      <c r="J6623" s="363"/>
      <c r="K6623" s="345">
        <f t="shared" si="388"/>
        <v>11</v>
      </c>
      <c r="L6623" s="710" t="s">
        <v>2286</v>
      </c>
      <c r="M6623" s="371"/>
      <c r="N6623" s="355" t="str">
        <f t="shared" si="385"/>
        <v>KI</v>
      </c>
      <c r="O6623" s="345">
        <f t="shared" si="386"/>
        <v>19</v>
      </c>
      <c r="P6623" s="345">
        <f t="shared" si="389"/>
        <v>11</v>
      </c>
      <c r="Q6623" s="367">
        <f t="shared" si="415"/>
        <v>220182</v>
      </c>
      <c r="R6623" s="442" t="str">
        <f t="shared" si="416"/>
        <v>Gioăng kính Nr.67</v>
      </c>
      <c r="S6623" s="367">
        <f t="shared" si="417"/>
        <v>560620</v>
      </c>
      <c r="T6623" s="367" t="str">
        <f t="shared" si="418"/>
        <v>Nẹp kính 26.5</v>
      </c>
      <c r="U6623" s="367"/>
      <c r="V6623" s="367">
        <f t="shared" si="419"/>
        <v>560600</v>
      </c>
      <c r="W6623" s="442" t="str">
        <f t="shared" si="420"/>
        <v>Nẹp kính 14.5</v>
      </c>
      <c r="X6623" s="786"/>
      <c r="Y6623" s="1128" t="s">
        <v>3443</v>
      </c>
      <c r="Z6623" s="1128" t="s">
        <v>3381</v>
      </c>
      <c r="AA6623" s="1128" t="s">
        <v>3384</v>
      </c>
      <c r="AB6623" s="20"/>
      <c r="AC6623" s="73"/>
    </row>
    <row r="6624" spans="1:29">
      <c r="A6624" s="327" t="str">
        <f>IF(AND($B6624&lt;&gt;"",$C6624&lt;&gt;""),MAX($A$6492:$A6619)+1,"")</f>
        <v/>
      </c>
      <c r="B6624" s="361"/>
      <c r="C6624" s="362"/>
      <c r="D6624" s="362">
        <v>132</v>
      </c>
      <c r="E6624" s="361" t="s">
        <v>373</v>
      </c>
      <c r="F6624" s="362" t="s">
        <v>3601</v>
      </c>
      <c r="G6624" s="367" t="s">
        <v>240</v>
      </c>
      <c r="H6624" s="361" t="s">
        <v>3077</v>
      </c>
      <c r="I6624" s="327">
        <v>1</v>
      </c>
      <c r="J6624" s="363"/>
      <c r="K6624" s="345">
        <f t="shared" si="388"/>
        <v>11</v>
      </c>
      <c r="L6624" s="487">
        <f>360000+50000</f>
        <v>410000</v>
      </c>
      <c r="M6624" s="371"/>
      <c r="N6624" s="355" t="str">
        <f t="shared" si="385"/>
        <v>KI</v>
      </c>
      <c r="O6624" s="345">
        <f t="shared" si="386"/>
        <v>10</v>
      </c>
      <c r="P6624" s="345">
        <f t="shared" si="389"/>
        <v>7</v>
      </c>
      <c r="Q6624" s="367">
        <f t="shared" si="415"/>
        <v>229314</v>
      </c>
      <c r="R6624" s="442" t="str">
        <f t="shared" si="416"/>
        <v>Gioăng kính Nr.68</v>
      </c>
      <c r="S6624" s="367">
        <f t="shared" si="417"/>
        <v>561520</v>
      </c>
      <c r="T6624" s="367" t="str">
        <f t="shared" si="418"/>
        <v>Nẹp kính 30.5</v>
      </c>
      <c r="U6624" s="367"/>
      <c r="V6624" s="367">
        <f t="shared" si="419"/>
        <v>560610</v>
      </c>
      <c r="W6624" s="442" t="str">
        <f t="shared" si="420"/>
        <v>Nẹp kính 18.5</v>
      </c>
      <c r="X6624" s="786"/>
      <c r="Y6624" s="1128" t="s">
        <v>3380</v>
      </c>
      <c r="Z6624" s="1128" t="s">
        <v>3381</v>
      </c>
      <c r="AA6624" s="1128" t="s">
        <v>3384</v>
      </c>
      <c r="AB6624" s="20"/>
      <c r="AC6624" s="73"/>
    </row>
    <row r="6625" spans="1:29">
      <c r="A6625" s="327" t="str">
        <f>IF(AND($B6625&lt;&gt;"",$C6625&lt;&gt;""),MAX($A$6492:$A6624)+1,"")</f>
        <v/>
      </c>
      <c r="B6625" s="361"/>
      <c r="C6625" s="362"/>
      <c r="D6625" s="362">
        <v>133</v>
      </c>
      <c r="E6625" s="361" t="s">
        <v>874</v>
      </c>
      <c r="F6625" s="362" t="s">
        <v>3602</v>
      </c>
      <c r="G6625" s="367" t="s">
        <v>240</v>
      </c>
      <c r="H6625" s="361" t="s">
        <v>3077</v>
      </c>
      <c r="I6625" s="327">
        <v>1</v>
      </c>
      <c r="J6625" s="363"/>
      <c r="K6625" s="345">
        <f t="shared" si="388"/>
        <v>11</v>
      </c>
      <c r="L6625" s="487">
        <f>435000+50000</f>
        <v>485000</v>
      </c>
      <c r="M6625" s="371"/>
      <c r="N6625" s="355" t="str">
        <f t="shared" si="385"/>
        <v>KI</v>
      </c>
      <c r="O6625" s="345">
        <f t="shared" si="386"/>
        <v>10</v>
      </c>
      <c r="P6625" s="345">
        <f t="shared" si="389"/>
        <v>11</v>
      </c>
      <c r="Q6625" s="367">
        <f t="shared" si="415"/>
        <v>229304</v>
      </c>
      <c r="R6625" s="442" t="str">
        <f t="shared" si="416"/>
        <v>Gioăng kính Nr.66</v>
      </c>
      <c r="S6625" s="367">
        <f t="shared" si="417"/>
        <v>561520</v>
      </c>
      <c r="T6625" s="367" t="str">
        <f t="shared" si="418"/>
        <v>Nẹp kính 30.5</v>
      </c>
      <c r="U6625" s="367"/>
      <c r="V6625" s="367">
        <f t="shared" si="419"/>
        <v>560610</v>
      </c>
      <c r="W6625" s="442" t="str">
        <f t="shared" si="420"/>
        <v>Nẹp kính 18.5</v>
      </c>
      <c r="X6625" s="786"/>
      <c r="Y6625" s="1128" t="s">
        <v>3380</v>
      </c>
      <c r="Z6625" s="1128" t="s">
        <v>3381</v>
      </c>
      <c r="AA6625" s="1128" t="s">
        <v>3384</v>
      </c>
      <c r="AB6625" s="20"/>
      <c r="AC6625" s="73"/>
    </row>
    <row r="6626" spans="1:29">
      <c r="A6626" s="327" t="str">
        <f>IF(AND($B6626&lt;&gt;"",$C6626&lt;&gt;""),MAX($A$6492:$A6625)+1,"")</f>
        <v/>
      </c>
      <c r="B6626" s="361"/>
      <c r="C6626" s="362"/>
      <c r="D6626" s="362">
        <v>134</v>
      </c>
      <c r="E6626" s="361" t="s">
        <v>3059</v>
      </c>
      <c r="F6626" s="362" t="s">
        <v>3607</v>
      </c>
      <c r="G6626" s="367" t="s">
        <v>240</v>
      </c>
      <c r="H6626" s="361" t="s">
        <v>3077</v>
      </c>
      <c r="I6626" s="327">
        <v>1</v>
      </c>
      <c r="J6626" s="363"/>
      <c r="K6626" s="345">
        <f t="shared" si="388"/>
        <v>11</v>
      </c>
      <c r="L6626" s="710" t="s">
        <v>2286</v>
      </c>
      <c r="M6626" s="371"/>
      <c r="N6626" s="355" t="str">
        <f t="shared" si="385"/>
        <v>KI</v>
      </c>
      <c r="O6626" s="345">
        <f t="shared" ref="O6626:O6689" si="421">IF($E6626="","",IF(VALUE(MID($E6626,3,2))&gt;=20,20,IF(AND(10&lt;VALUE(MID($E6626,3,2)),VALUE(MID($E6626,3,2))&lt;20),19,10)))</f>
        <v>10</v>
      </c>
      <c r="P6626" s="345">
        <f t="shared" si="389"/>
        <v>11</v>
      </c>
      <c r="Q6626" s="367">
        <f t="shared" si="415"/>
        <v>229314</v>
      </c>
      <c r="R6626" s="442" t="str">
        <f t="shared" si="416"/>
        <v>Gioăng kính Nr.68</v>
      </c>
      <c r="S6626" s="367">
        <f t="shared" si="417"/>
        <v>560620</v>
      </c>
      <c r="T6626" s="367" t="str">
        <f t="shared" si="418"/>
        <v>Nẹp kính 26.5</v>
      </c>
      <c r="U6626" s="367"/>
      <c r="V6626" s="367">
        <f t="shared" si="419"/>
        <v>560600</v>
      </c>
      <c r="W6626" s="442" t="str">
        <f t="shared" si="420"/>
        <v>Nẹp kính 14.5</v>
      </c>
      <c r="X6626" s="786"/>
      <c r="Y6626" s="1128" t="s">
        <v>3380</v>
      </c>
      <c r="Z6626" s="1128" t="s">
        <v>3381</v>
      </c>
      <c r="AA6626" s="1128" t="s">
        <v>3384</v>
      </c>
      <c r="AB6626" s="20"/>
      <c r="AC6626" s="73"/>
    </row>
    <row r="6627" spans="1:29">
      <c r="A6627" s="327" t="str">
        <f>IF(AND($B6627&lt;&gt;"",$C6627&lt;&gt;""),MAX($A$6492:$A6626)+1,"")</f>
        <v/>
      </c>
      <c r="B6627" s="361"/>
      <c r="C6627" s="362"/>
      <c r="D6627" s="362">
        <v>135</v>
      </c>
      <c r="E6627" s="361" t="s">
        <v>3060</v>
      </c>
      <c r="F6627" s="362" t="s">
        <v>3608</v>
      </c>
      <c r="G6627" s="367" t="s">
        <v>240</v>
      </c>
      <c r="H6627" s="361" t="s">
        <v>3077</v>
      </c>
      <c r="I6627" s="327">
        <v>1</v>
      </c>
      <c r="J6627" s="363"/>
      <c r="K6627" s="345">
        <f t="shared" si="388"/>
        <v>11</v>
      </c>
      <c r="L6627" s="710" t="s">
        <v>2286</v>
      </c>
      <c r="M6627" s="371"/>
      <c r="N6627" s="355" t="str">
        <f t="shared" si="385"/>
        <v>KI</v>
      </c>
      <c r="O6627" s="345">
        <f t="shared" si="421"/>
        <v>19</v>
      </c>
      <c r="P6627" s="345">
        <f t="shared" si="389"/>
        <v>11</v>
      </c>
      <c r="Q6627" s="367">
        <f t="shared" si="415"/>
        <v>220182</v>
      </c>
      <c r="R6627" s="442" t="str">
        <f t="shared" si="416"/>
        <v>Gioăng kính Nr.67</v>
      </c>
      <c r="S6627" s="367">
        <f t="shared" si="417"/>
        <v>560620</v>
      </c>
      <c r="T6627" s="367" t="str">
        <f t="shared" si="418"/>
        <v>Nẹp kính 26.5</v>
      </c>
      <c r="U6627" s="367"/>
      <c r="V6627" s="367">
        <f t="shared" si="419"/>
        <v>560600</v>
      </c>
      <c r="W6627" s="442" t="str">
        <f t="shared" si="420"/>
        <v>Nẹp kính 14.5</v>
      </c>
      <c r="X6627" s="786"/>
      <c r="Y6627" s="1128" t="s">
        <v>3380</v>
      </c>
      <c r="Z6627" s="1128" t="s">
        <v>3381</v>
      </c>
      <c r="AA6627" s="1128" t="s">
        <v>3384</v>
      </c>
      <c r="AB6627" s="20"/>
      <c r="AC6627" s="73"/>
    </row>
    <row r="6628" spans="1:29">
      <c r="A6628" s="327" t="str">
        <f>IF(AND($B6628&lt;&gt;"",$C6628&lt;&gt;""),MAX($A$6492:$A6627)+1,"")</f>
        <v/>
      </c>
      <c r="B6628" s="361"/>
      <c r="C6628" s="362"/>
      <c r="D6628" s="362">
        <v>136</v>
      </c>
      <c r="E6628" s="361" t="s">
        <v>3061</v>
      </c>
      <c r="F6628" s="362" t="s">
        <v>3609</v>
      </c>
      <c r="G6628" s="367" t="s">
        <v>240</v>
      </c>
      <c r="H6628" s="361" t="s">
        <v>3077</v>
      </c>
      <c r="I6628" s="327">
        <v>1</v>
      </c>
      <c r="J6628" s="363"/>
      <c r="K6628" s="345">
        <f t="shared" si="388"/>
        <v>11</v>
      </c>
      <c r="L6628" s="710" t="s">
        <v>2286</v>
      </c>
      <c r="M6628" s="371"/>
      <c r="N6628" s="355" t="str">
        <f t="shared" si="385"/>
        <v>KI</v>
      </c>
      <c r="O6628" s="345">
        <f t="shared" si="421"/>
        <v>19</v>
      </c>
      <c r="P6628" s="345">
        <f t="shared" si="389"/>
        <v>11</v>
      </c>
      <c r="Q6628" s="367">
        <f t="shared" si="415"/>
        <v>220182</v>
      </c>
      <c r="R6628" s="442" t="str">
        <f t="shared" si="416"/>
        <v>Gioăng kính Nr.67</v>
      </c>
      <c r="S6628" s="367">
        <f t="shared" si="417"/>
        <v>560620</v>
      </c>
      <c r="T6628" s="367" t="str">
        <f t="shared" si="418"/>
        <v>Nẹp kính 26.5</v>
      </c>
      <c r="U6628" s="367"/>
      <c r="V6628" s="367">
        <f t="shared" si="419"/>
        <v>560600</v>
      </c>
      <c r="W6628" s="442" t="str">
        <f t="shared" si="420"/>
        <v>Nẹp kính 14.5</v>
      </c>
      <c r="X6628" s="786"/>
      <c r="Y6628" s="1128" t="s">
        <v>3380</v>
      </c>
      <c r="Z6628" s="1128" t="s">
        <v>3381</v>
      </c>
      <c r="AA6628" s="1128" t="s">
        <v>3384</v>
      </c>
      <c r="AB6628" s="20"/>
      <c r="AC6628" s="73"/>
    </row>
    <row r="6629" spans="1:29">
      <c r="A6629" s="327" t="str">
        <f>IF(AND($B6629&lt;&gt;"",$C6629&lt;&gt;""),MAX($A$6492:$A6628)+1,"")</f>
        <v/>
      </c>
      <c r="B6629" s="361"/>
      <c r="C6629" s="362"/>
      <c r="D6629" s="362">
        <v>137</v>
      </c>
      <c r="E6629" s="361" t="s">
        <v>3062</v>
      </c>
      <c r="F6629" s="362" t="s">
        <v>3603</v>
      </c>
      <c r="G6629" s="367" t="s">
        <v>240</v>
      </c>
      <c r="H6629" s="361" t="s">
        <v>3078</v>
      </c>
      <c r="I6629" s="327">
        <v>1</v>
      </c>
      <c r="J6629" s="363"/>
      <c r="K6629" s="345">
        <f t="shared" si="388"/>
        <v>11</v>
      </c>
      <c r="L6629" s="710" t="s">
        <v>2286</v>
      </c>
      <c r="M6629" s="371"/>
      <c r="N6629" s="355" t="str">
        <f t="shared" si="385"/>
        <v>KI</v>
      </c>
      <c r="O6629" s="345">
        <f t="shared" si="421"/>
        <v>10</v>
      </c>
      <c r="P6629" s="345">
        <f t="shared" si="389"/>
        <v>11</v>
      </c>
      <c r="Q6629" s="367">
        <f t="shared" si="415"/>
        <v>229304</v>
      </c>
      <c r="R6629" s="442" t="str">
        <f t="shared" si="416"/>
        <v>Gioăng kính Nr.66</v>
      </c>
      <c r="S6629" s="367">
        <f t="shared" si="417"/>
        <v>561520</v>
      </c>
      <c r="T6629" s="367" t="str">
        <f t="shared" si="418"/>
        <v>Nẹp kính 30.5</v>
      </c>
      <c r="U6629" s="367"/>
      <c r="V6629" s="367">
        <f t="shared" si="419"/>
        <v>560610</v>
      </c>
      <c r="W6629" s="442" t="str">
        <f t="shared" si="420"/>
        <v>Nẹp kính 18.5</v>
      </c>
      <c r="X6629" s="786"/>
      <c r="Y6629" s="1128" t="s">
        <v>3380</v>
      </c>
      <c r="Z6629" s="1128" t="s">
        <v>3381</v>
      </c>
      <c r="AA6629" s="1128" t="s">
        <v>3384</v>
      </c>
      <c r="AB6629" s="20"/>
      <c r="AC6629" s="73"/>
    </row>
    <row r="6630" spans="1:29">
      <c r="A6630" s="327" t="str">
        <f>IF(AND($B6630&lt;&gt;"",$C6630&lt;&gt;""),MAX($A$6492:$A6629)+1,"")</f>
        <v/>
      </c>
      <c r="B6630" s="361"/>
      <c r="C6630" s="362"/>
      <c r="D6630" s="362">
        <v>138</v>
      </c>
      <c r="E6630" s="361" t="s">
        <v>3063</v>
      </c>
      <c r="F6630" s="362" t="s">
        <v>3610</v>
      </c>
      <c r="G6630" s="367" t="s">
        <v>240</v>
      </c>
      <c r="H6630" s="361" t="s">
        <v>3078</v>
      </c>
      <c r="I6630" s="327">
        <v>1</v>
      </c>
      <c r="J6630" s="363"/>
      <c r="K6630" s="345">
        <f t="shared" si="388"/>
        <v>11</v>
      </c>
      <c r="L6630" s="710" t="s">
        <v>2286</v>
      </c>
      <c r="M6630" s="371"/>
      <c r="N6630" s="355" t="str">
        <f t="shared" si="385"/>
        <v>KI</v>
      </c>
      <c r="O6630" s="345">
        <f t="shared" si="421"/>
        <v>10</v>
      </c>
      <c r="P6630" s="345">
        <f t="shared" si="389"/>
        <v>11</v>
      </c>
      <c r="Q6630" s="367">
        <f t="shared" si="415"/>
        <v>229314</v>
      </c>
      <c r="R6630" s="442" t="str">
        <f t="shared" si="416"/>
        <v>Gioăng kính Nr.68</v>
      </c>
      <c r="S6630" s="367">
        <f t="shared" si="417"/>
        <v>560620</v>
      </c>
      <c r="T6630" s="367" t="str">
        <f t="shared" si="418"/>
        <v>Nẹp kính 26.5</v>
      </c>
      <c r="U6630" s="367"/>
      <c r="V6630" s="367">
        <f t="shared" si="419"/>
        <v>560600</v>
      </c>
      <c r="W6630" s="442" t="str">
        <f t="shared" si="420"/>
        <v>Nẹp kính 14.5</v>
      </c>
      <c r="X6630" s="786"/>
      <c r="Y6630" s="1128" t="s">
        <v>3380</v>
      </c>
      <c r="Z6630" s="1128" t="s">
        <v>3381</v>
      </c>
      <c r="AA6630" s="1128" t="s">
        <v>3384</v>
      </c>
      <c r="AB6630" s="20"/>
      <c r="AC6630" s="73"/>
    </row>
    <row r="6631" spans="1:29">
      <c r="A6631" s="327" t="str">
        <f>IF(AND($B6631&lt;&gt;"",$C6631&lt;&gt;""),MAX($A$6492:$A6630)+1,"")</f>
        <v/>
      </c>
      <c r="B6631" s="361"/>
      <c r="C6631" s="362"/>
      <c r="D6631" s="362">
        <v>139</v>
      </c>
      <c r="E6631" s="361" t="s">
        <v>3064</v>
      </c>
      <c r="F6631" s="362" t="s">
        <v>3611</v>
      </c>
      <c r="G6631" s="367" t="s">
        <v>240</v>
      </c>
      <c r="H6631" s="361" t="s">
        <v>3078</v>
      </c>
      <c r="I6631" s="327">
        <v>1</v>
      </c>
      <c r="J6631" s="363"/>
      <c r="K6631" s="345">
        <f t="shared" si="388"/>
        <v>11</v>
      </c>
      <c r="L6631" s="710" t="s">
        <v>2286</v>
      </c>
      <c r="M6631" s="371"/>
      <c r="N6631" s="355" t="str">
        <f t="shared" si="385"/>
        <v>KI</v>
      </c>
      <c r="O6631" s="345">
        <f t="shared" si="421"/>
        <v>19</v>
      </c>
      <c r="P6631" s="345">
        <f t="shared" si="389"/>
        <v>11</v>
      </c>
      <c r="Q6631" s="367">
        <f t="shared" si="415"/>
        <v>220182</v>
      </c>
      <c r="R6631" s="442" t="str">
        <f t="shared" si="416"/>
        <v>Gioăng kính Nr.67</v>
      </c>
      <c r="S6631" s="367">
        <f t="shared" si="417"/>
        <v>560620</v>
      </c>
      <c r="T6631" s="367" t="str">
        <f t="shared" si="418"/>
        <v>Nẹp kính 26.5</v>
      </c>
      <c r="U6631" s="367"/>
      <c r="V6631" s="367">
        <f t="shared" si="419"/>
        <v>560600</v>
      </c>
      <c r="W6631" s="442" t="str">
        <f t="shared" si="420"/>
        <v>Nẹp kính 14.5</v>
      </c>
      <c r="X6631" s="786"/>
      <c r="Y6631" s="1128" t="s">
        <v>3380</v>
      </c>
      <c r="Z6631" s="1128" t="s">
        <v>3381</v>
      </c>
      <c r="AA6631" s="1128" t="s">
        <v>3384</v>
      </c>
      <c r="AB6631" s="20"/>
      <c r="AC6631" s="73"/>
    </row>
    <row r="6632" spans="1:29">
      <c r="A6632" s="327" t="str">
        <f>IF(AND($B6632&lt;&gt;"",$C6632&lt;&gt;""),MAX($A$6492:$A6631)+1,"")</f>
        <v/>
      </c>
      <c r="B6632" s="361"/>
      <c r="C6632" s="362"/>
      <c r="D6632" s="362">
        <v>140</v>
      </c>
      <c r="E6632" s="361" t="s">
        <v>3065</v>
      </c>
      <c r="F6632" s="362" t="s">
        <v>3612</v>
      </c>
      <c r="G6632" s="367" t="s">
        <v>240</v>
      </c>
      <c r="H6632" s="361" t="s">
        <v>3078</v>
      </c>
      <c r="I6632" s="327">
        <v>1</v>
      </c>
      <c r="J6632" s="363"/>
      <c r="K6632" s="345">
        <f t="shared" si="388"/>
        <v>11</v>
      </c>
      <c r="L6632" s="710" t="s">
        <v>2286</v>
      </c>
      <c r="M6632" s="371"/>
      <c r="N6632" s="355" t="str">
        <f t="shared" si="385"/>
        <v>KI</v>
      </c>
      <c r="O6632" s="345">
        <f t="shared" si="421"/>
        <v>19</v>
      </c>
      <c r="P6632" s="345">
        <f t="shared" si="389"/>
        <v>11</v>
      </c>
      <c r="Q6632" s="367">
        <f t="shared" si="415"/>
        <v>220182</v>
      </c>
      <c r="R6632" s="442" t="str">
        <f t="shared" si="416"/>
        <v>Gioăng kính Nr.67</v>
      </c>
      <c r="S6632" s="367">
        <f t="shared" si="417"/>
        <v>560620</v>
      </c>
      <c r="T6632" s="367" t="str">
        <f t="shared" si="418"/>
        <v>Nẹp kính 26.5</v>
      </c>
      <c r="U6632" s="367"/>
      <c r="V6632" s="367">
        <f t="shared" si="419"/>
        <v>560600</v>
      </c>
      <c r="W6632" s="442" t="str">
        <f t="shared" si="420"/>
        <v>Nẹp kính 14.5</v>
      </c>
      <c r="X6632" s="786"/>
      <c r="Y6632" s="1128" t="s">
        <v>3380</v>
      </c>
      <c r="Z6632" s="1128" t="s">
        <v>3381</v>
      </c>
      <c r="AA6632" s="1128" t="s">
        <v>3384</v>
      </c>
      <c r="AB6632" s="20"/>
      <c r="AC6632" s="73"/>
    </row>
    <row r="6633" spans="1:29" ht="25">
      <c r="A6633" s="327" t="str">
        <f>IF(AND($B6633&lt;&gt;"",$C6633&lt;&gt;""),MAX($A$6492:$A6632)+1,"")</f>
        <v/>
      </c>
      <c r="B6633" s="361"/>
      <c r="C6633" s="362"/>
      <c r="D6633" s="362">
        <v>141</v>
      </c>
      <c r="E6633" s="361" t="s">
        <v>2066</v>
      </c>
      <c r="F6633" s="362" t="s">
        <v>3613</v>
      </c>
      <c r="G6633" s="367" t="s">
        <v>240</v>
      </c>
      <c r="H6633" s="361" t="s">
        <v>3076</v>
      </c>
      <c r="I6633" s="327">
        <v>1</v>
      </c>
      <c r="J6633" s="363"/>
      <c r="K6633" s="345">
        <f t="shared" si="388"/>
        <v>11</v>
      </c>
      <c r="L6633" s="710" t="s">
        <v>2286</v>
      </c>
      <c r="M6633" s="371"/>
      <c r="N6633" s="355" t="str">
        <f t="shared" si="385"/>
        <v>KI</v>
      </c>
      <c r="O6633" s="345">
        <f t="shared" si="421"/>
        <v>10</v>
      </c>
      <c r="P6633" s="345">
        <f t="shared" si="389"/>
        <v>11</v>
      </c>
      <c r="Q6633" s="367">
        <f t="shared" ref="Q6633:Q6664" si="422">VLOOKUP(VALUE(MID($E6633,3,2)),$P$6943:$W$6975,2)</f>
        <v>229314</v>
      </c>
      <c r="R6633" s="442" t="str">
        <f t="shared" ref="R6633:R6664" si="423">VLOOKUP(VALUE(MID($E6633,3,2)),$P$6943:$W$6975,3)</f>
        <v>Gioăng kính Nr.68</v>
      </c>
      <c r="S6633" s="367">
        <f t="shared" ref="S6633:S6664" si="424">VLOOKUP(VALUE(MID($E6633,3,2)),$P$6943:$W$6975,4)</f>
        <v>560620</v>
      </c>
      <c r="T6633" s="367" t="str">
        <f t="shared" ref="T6633:T6664" si="425">VLOOKUP(VALUE(MID($E6633,3,2)),$P$6943:$W$6975,5)</f>
        <v>Nẹp kính 26.5</v>
      </c>
      <c r="U6633" s="367"/>
      <c r="V6633" s="367">
        <f t="shared" ref="V6633:V6664" si="426">VLOOKUP(VALUE(MID($E6633,3,2)),$P$6943:$W$6975,7)</f>
        <v>560600</v>
      </c>
      <c r="W6633" s="442" t="str">
        <f t="shared" ref="W6633:W6664" si="427">VLOOKUP(VALUE(MID($E6633,3,2)),$P$6943:$W$6975,8)</f>
        <v>Nẹp kính 14.5</v>
      </c>
      <c r="X6633" s="786"/>
      <c r="Y6633" s="1128" t="s">
        <v>3380</v>
      </c>
      <c r="Z6633" s="1128" t="s">
        <v>3381</v>
      </c>
      <c r="AA6633" s="1128" t="s">
        <v>3384</v>
      </c>
      <c r="AB6633" s="20"/>
      <c r="AC6633" s="73"/>
    </row>
    <row r="6634" spans="1:29" ht="25">
      <c r="A6634" s="327" t="str">
        <f>IF(AND($B6634&lt;&gt;"",$C6634&lt;&gt;""),MAX($A$6492:$A6633)+1,"")</f>
        <v/>
      </c>
      <c r="B6634" s="361"/>
      <c r="C6634" s="362"/>
      <c r="D6634" s="362">
        <v>142</v>
      </c>
      <c r="E6634" s="361" t="s">
        <v>3066</v>
      </c>
      <c r="F6634" s="362" t="s">
        <v>3614</v>
      </c>
      <c r="G6634" s="367" t="s">
        <v>240</v>
      </c>
      <c r="H6634" s="361" t="s">
        <v>3076</v>
      </c>
      <c r="I6634" s="327">
        <v>1</v>
      </c>
      <c r="J6634" s="363"/>
      <c r="K6634" s="345">
        <f t="shared" si="388"/>
        <v>11</v>
      </c>
      <c r="L6634" s="710" t="s">
        <v>2286</v>
      </c>
      <c r="M6634" s="371"/>
      <c r="N6634" s="355" t="str">
        <f t="shared" si="385"/>
        <v>KI</v>
      </c>
      <c r="O6634" s="345">
        <f t="shared" si="421"/>
        <v>19</v>
      </c>
      <c r="P6634" s="345">
        <f t="shared" si="389"/>
        <v>11</v>
      </c>
      <c r="Q6634" s="367">
        <f t="shared" si="422"/>
        <v>220182</v>
      </c>
      <c r="R6634" s="442" t="str">
        <f t="shared" si="423"/>
        <v>Gioăng kính Nr.67</v>
      </c>
      <c r="S6634" s="367">
        <f t="shared" si="424"/>
        <v>560620</v>
      </c>
      <c r="T6634" s="367" t="str">
        <f t="shared" si="425"/>
        <v>Nẹp kính 26.5</v>
      </c>
      <c r="U6634" s="367"/>
      <c r="V6634" s="367">
        <f t="shared" si="426"/>
        <v>560600</v>
      </c>
      <c r="W6634" s="442" t="str">
        <f t="shared" si="427"/>
        <v>Nẹp kính 14.5</v>
      </c>
      <c r="X6634" s="786"/>
      <c r="Y6634" s="1128" t="s">
        <v>3380</v>
      </c>
      <c r="Z6634" s="1128" t="s">
        <v>3381</v>
      </c>
      <c r="AA6634" s="1128" t="s">
        <v>3384</v>
      </c>
      <c r="AB6634" s="20"/>
      <c r="AC6634" s="73"/>
    </row>
    <row r="6635" spans="1:29" ht="25">
      <c r="A6635" s="327" t="str">
        <f>IF(AND($B6635&lt;&gt;"",$C6635&lt;&gt;""),MAX($A$6492:$A6634)+1,"")</f>
        <v/>
      </c>
      <c r="B6635" s="361"/>
      <c r="C6635" s="362"/>
      <c r="D6635" s="362">
        <v>143</v>
      </c>
      <c r="E6635" s="361" t="s">
        <v>3067</v>
      </c>
      <c r="F6635" s="362" t="s">
        <v>3615</v>
      </c>
      <c r="G6635" s="367" t="s">
        <v>240</v>
      </c>
      <c r="H6635" s="361" t="s">
        <v>3076</v>
      </c>
      <c r="I6635" s="327">
        <v>1</v>
      </c>
      <c r="J6635" s="363"/>
      <c r="K6635" s="345">
        <f t="shared" si="388"/>
        <v>11</v>
      </c>
      <c r="L6635" s="710" t="s">
        <v>2286</v>
      </c>
      <c r="M6635" s="371"/>
      <c r="N6635" s="355" t="str">
        <f t="shared" si="385"/>
        <v>KI</v>
      </c>
      <c r="O6635" s="345">
        <f t="shared" si="421"/>
        <v>19</v>
      </c>
      <c r="P6635" s="345">
        <f t="shared" si="389"/>
        <v>11</v>
      </c>
      <c r="Q6635" s="367">
        <f t="shared" si="422"/>
        <v>220182</v>
      </c>
      <c r="R6635" s="442" t="str">
        <f t="shared" si="423"/>
        <v>Gioăng kính Nr.67</v>
      </c>
      <c r="S6635" s="367">
        <f t="shared" si="424"/>
        <v>560620</v>
      </c>
      <c r="T6635" s="367" t="str">
        <f t="shared" si="425"/>
        <v>Nẹp kính 26.5</v>
      </c>
      <c r="U6635" s="367"/>
      <c r="V6635" s="367">
        <f t="shared" si="426"/>
        <v>560600</v>
      </c>
      <c r="W6635" s="442" t="str">
        <f t="shared" si="427"/>
        <v>Nẹp kính 14.5</v>
      </c>
      <c r="X6635" s="786"/>
      <c r="Y6635" s="1128" t="s">
        <v>3380</v>
      </c>
      <c r="Z6635" s="1128" t="s">
        <v>3381</v>
      </c>
      <c r="AA6635" s="1128" t="s">
        <v>3384</v>
      </c>
      <c r="AB6635" s="20"/>
      <c r="AC6635" s="73"/>
    </row>
    <row r="6636" spans="1:29" ht="25">
      <c r="A6636" s="327" t="str">
        <f>IF(AND($B6636&lt;&gt;"",$C6636&lt;&gt;""),MAX($A$6492:$A6635)+1,"")</f>
        <v/>
      </c>
      <c r="B6636" s="361"/>
      <c r="C6636" s="362"/>
      <c r="D6636" s="362">
        <v>144</v>
      </c>
      <c r="E6636" s="361" t="s">
        <v>2067</v>
      </c>
      <c r="F6636" s="362" t="s">
        <v>3616</v>
      </c>
      <c r="G6636" s="367" t="s">
        <v>240</v>
      </c>
      <c r="H6636" s="361" t="s">
        <v>3077</v>
      </c>
      <c r="I6636" s="327">
        <v>1</v>
      </c>
      <c r="J6636" s="363"/>
      <c r="K6636" s="345">
        <f t="shared" si="388"/>
        <v>11</v>
      </c>
      <c r="L6636" s="710" t="s">
        <v>2286</v>
      </c>
      <c r="M6636" s="371"/>
      <c r="N6636" s="355" t="str">
        <f t="shared" si="385"/>
        <v>KI</v>
      </c>
      <c r="O6636" s="345">
        <f t="shared" si="421"/>
        <v>10</v>
      </c>
      <c r="P6636" s="345">
        <f t="shared" si="389"/>
        <v>11</v>
      </c>
      <c r="Q6636" s="367">
        <f t="shared" si="422"/>
        <v>229314</v>
      </c>
      <c r="R6636" s="442" t="str">
        <f t="shared" si="423"/>
        <v>Gioăng kính Nr.68</v>
      </c>
      <c r="S6636" s="367">
        <f t="shared" si="424"/>
        <v>560620</v>
      </c>
      <c r="T6636" s="367" t="str">
        <f t="shared" si="425"/>
        <v>Nẹp kính 26.5</v>
      </c>
      <c r="U6636" s="367"/>
      <c r="V6636" s="367">
        <f t="shared" si="426"/>
        <v>560600</v>
      </c>
      <c r="W6636" s="442" t="str">
        <f t="shared" si="427"/>
        <v>Nẹp kính 14.5</v>
      </c>
      <c r="X6636" s="786"/>
      <c r="Y6636" s="1128" t="s">
        <v>3380</v>
      </c>
      <c r="Z6636" s="1128" t="s">
        <v>3381</v>
      </c>
      <c r="AA6636" s="1128" t="s">
        <v>3384</v>
      </c>
      <c r="AB6636" s="20"/>
      <c r="AC6636" s="73"/>
    </row>
    <row r="6637" spans="1:29" ht="25">
      <c r="A6637" s="327" t="str">
        <f>IF(AND($B6637&lt;&gt;"",$C6637&lt;&gt;""),MAX($A$6492:$A6636)+1,"")</f>
        <v/>
      </c>
      <c r="B6637" s="361"/>
      <c r="C6637" s="362"/>
      <c r="D6637" s="362">
        <v>145</v>
      </c>
      <c r="E6637" s="361" t="s">
        <v>3068</v>
      </c>
      <c r="F6637" s="362" t="s">
        <v>3617</v>
      </c>
      <c r="G6637" s="367" t="s">
        <v>240</v>
      </c>
      <c r="H6637" s="361" t="s">
        <v>3077</v>
      </c>
      <c r="I6637" s="327">
        <v>1</v>
      </c>
      <c r="J6637" s="363"/>
      <c r="K6637" s="345">
        <f t="shared" si="388"/>
        <v>11</v>
      </c>
      <c r="L6637" s="710" t="s">
        <v>2286</v>
      </c>
      <c r="M6637" s="371"/>
      <c r="N6637" s="355" t="str">
        <f t="shared" si="385"/>
        <v>KI</v>
      </c>
      <c r="O6637" s="345">
        <f t="shared" si="421"/>
        <v>19</v>
      </c>
      <c r="P6637" s="345">
        <f t="shared" si="389"/>
        <v>11</v>
      </c>
      <c r="Q6637" s="367">
        <f t="shared" si="422"/>
        <v>220182</v>
      </c>
      <c r="R6637" s="442" t="str">
        <f t="shared" si="423"/>
        <v>Gioăng kính Nr.67</v>
      </c>
      <c r="S6637" s="367">
        <f t="shared" si="424"/>
        <v>560620</v>
      </c>
      <c r="T6637" s="367" t="str">
        <f t="shared" si="425"/>
        <v>Nẹp kính 26.5</v>
      </c>
      <c r="U6637" s="367"/>
      <c r="V6637" s="367">
        <f t="shared" si="426"/>
        <v>560600</v>
      </c>
      <c r="W6637" s="442" t="str">
        <f t="shared" si="427"/>
        <v>Nẹp kính 14.5</v>
      </c>
      <c r="X6637" s="786"/>
      <c r="Y6637" s="1128" t="s">
        <v>3380</v>
      </c>
      <c r="Z6637" s="1128" t="s">
        <v>3381</v>
      </c>
      <c r="AA6637" s="1128" t="s">
        <v>3384</v>
      </c>
      <c r="AB6637" s="20"/>
      <c r="AC6637" s="73"/>
    </row>
    <row r="6638" spans="1:29" ht="25">
      <c r="A6638" s="327" t="str">
        <f>IF(AND($B6638&lt;&gt;"",$C6638&lt;&gt;""),MAX($A$6492:$A6637)+1,"")</f>
        <v/>
      </c>
      <c r="B6638" s="361"/>
      <c r="C6638" s="362"/>
      <c r="D6638" s="362">
        <v>146</v>
      </c>
      <c r="E6638" s="361" t="s">
        <v>3069</v>
      </c>
      <c r="F6638" s="362" t="s">
        <v>3618</v>
      </c>
      <c r="G6638" s="367" t="s">
        <v>240</v>
      </c>
      <c r="H6638" s="361" t="s">
        <v>3077</v>
      </c>
      <c r="I6638" s="327">
        <v>1</v>
      </c>
      <c r="J6638" s="363"/>
      <c r="K6638" s="345">
        <f t="shared" si="388"/>
        <v>11</v>
      </c>
      <c r="L6638" s="710" t="s">
        <v>2286</v>
      </c>
      <c r="M6638" s="371"/>
      <c r="N6638" s="355" t="str">
        <f t="shared" si="385"/>
        <v>KI</v>
      </c>
      <c r="O6638" s="345">
        <f t="shared" si="421"/>
        <v>19</v>
      </c>
      <c r="P6638" s="345">
        <f t="shared" si="389"/>
        <v>11</v>
      </c>
      <c r="Q6638" s="367">
        <f t="shared" si="422"/>
        <v>220182</v>
      </c>
      <c r="R6638" s="442" t="str">
        <f t="shared" si="423"/>
        <v>Gioăng kính Nr.67</v>
      </c>
      <c r="S6638" s="367">
        <f t="shared" si="424"/>
        <v>560620</v>
      </c>
      <c r="T6638" s="367" t="str">
        <f t="shared" si="425"/>
        <v>Nẹp kính 26.5</v>
      </c>
      <c r="U6638" s="367"/>
      <c r="V6638" s="367">
        <f t="shared" si="426"/>
        <v>560600</v>
      </c>
      <c r="W6638" s="442" t="str">
        <f t="shared" si="427"/>
        <v>Nẹp kính 14.5</v>
      </c>
      <c r="X6638" s="786"/>
      <c r="Y6638" s="1128" t="s">
        <v>3380</v>
      </c>
      <c r="Z6638" s="1128" t="s">
        <v>3381</v>
      </c>
      <c r="AA6638" s="1128" t="s">
        <v>3384</v>
      </c>
      <c r="AB6638" s="20"/>
      <c r="AC6638" s="73"/>
    </row>
    <row r="6639" spans="1:29" ht="25">
      <c r="A6639" s="327" t="str">
        <f>IF(AND($B6639&lt;&gt;"",$C6639&lt;&gt;""),MAX($A$6492:$A6638)+1,"")</f>
        <v/>
      </c>
      <c r="B6639" s="361"/>
      <c r="C6639" s="362"/>
      <c r="D6639" s="362">
        <v>147</v>
      </c>
      <c r="E6639" s="361" t="s">
        <v>3070</v>
      </c>
      <c r="F6639" s="362" t="s">
        <v>3619</v>
      </c>
      <c r="G6639" s="367" t="s">
        <v>240</v>
      </c>
      <c r="H6639" s="361" t="s">
        <v>3078</v>
      </c>
      <c r="I6639" s="327">
        <v>1</v>
      </c>
      <c r="J6639" s="363"/>
      <c r="K6639" s="345">
        <f t="shared" si="388"/>
        <v>11</v>
      </c>
      <c r="L6639" s="710" t="s">
        <v>2286</v>
      </c>
      <c r="M6639" s="371"/>
      <c r="N6639" s="355" t="str">
        <f t="shared" si="385"/>
        <v>KI</v>
      </c>
      <c r="O6639" s="345">
        <f t="shared" si="421"/>
        <v>10</v>
      </c>
      <c r="P6639" s="345">
        <f t="shared" si="389"/>
        <v>11</v>
      </c>
      <c r="Q6639" s="367">
        <f t="shared" si="422"/>
        <v>229314</v>
      </c>
      <c r="R6639" s="442" t="str">
        <f t="shared" si="423"/>
        <v>Gioăng kính Nr.68</v>
      </c>
      <c r="S6639" s="367">
        <f t="shared" si="424"/>
        <v>560620</v>
      </c>
      <c r="T6639" s="367" t="str">
        <f t="shared" si="425"/>
        <v>Nẹp kính 26.5</v>
      </c>
      <c r="U6639" s="367"/>
      <c r="V6639" s="367">
        <f t="shared" si="426"/>
        <v>560600</v>
      </c>
      <c r="W6639" s="442" t="str">
        <f t="shared" si="427"/>
        <v>Nẹp kính 14.5</v>
      </c>
      <c r="X6639" s="786"/>
      <c r="Y6639" s="1128" t="s">
        <v>3380</v>
      </c>
      <c r="Z6639" s="1128" t="s">
        <v>3381</v>
      </c>
      <c r="AA6639" s="1128" t="s">
        <v>3384</v>
      </c>
      <c r="AB6639" s="20"/>
      <c r="AC6639" s="73"/>
    </row>
    <row r="6640" spans="1:29" ht="25">
      <c r="A6640" s="327" t="str">
        <f>IF(AND($B6640&lt;&gt;"",$C6640&lt;&gt;""),MAX($A$6492:$A6639)+1,"")</f>
        <v/>
      </c>
      <c r="B6640" s="361"/>
      <c r="C6640" s="362"/>
      <c r="D6640" s="362">
        <v>148</v>
      </c>
      <c r="E6640" s="361" t="s">
        <v>3071</v>
      </c>
      <c r="F6640" s="362" t="s">
        <v>3620</v>
      </c>
      <c r="G6640" s="367" t="s">
        <v>240</v>
      </c>
      <c r="H6640" s="361" t="s">
        <v>3078</v>
      </c>
      <c r="I6640" s="327">
        <v>1</v>
      </c>
      <c r="J6640" s="363"/>
      <c r="K6640" s="345">
        <f t="shared" si="388"/>
        <v>11</v>
      </c>
      <c r="L6640" s="710" t="s">
        <v>2286</v>
      </c>
      <c r="M6640" s="371"/>
      <c r="N6640" s="355" t="str">
        <f t="shared" si="385"/>
        <v>KI</v>
      </c>
      <c r="O6640" s="345">
        <f t="shared" si="421"/>
        <v>19</v>
      </c>
      <c r="P6640" s="345">
        <f t="shared" si="389"/>
        <v>11</v>
      </c>
      <c r="Q6640" s="367">
        <f t="shared" si="422"/>
        <v>220182</v>
      </c>
      <c r="R6640" s="442" t="str">
        <f t="shared" si="423"/>
        <v>Gioăng kính Nr.67</v>
      </c>
      <c r="S6640" s="367">
        <f t="shared" si="424"/>
        <v>560620</v>
      </c>
      <c r="T6640" s="367" t="str">
        <f t="shared" si="425"/>
        <v>Nẹp kính 26.5</v>
      </c>
      <c r="U6640" s="367"/>
      <c r="V6640" s="367">
        <f t="shared" si="426"/>
        <v>560600</v>
      </c>
      <c r="W6640" s="442" t="str">
        <f t="shared" si="427"/>
        <v>Nẹp kính 14.5</v>
      </c>
      <c r="X6640" s="786"/>
      <c r="Y6640" s="1128" t="s">
        <v>3380</v>
      </c>
      <c r="Z6640" s="1128" t="s">
        <v>3381</v>
      </c>
      <c r="AA6640" s="1128" t="s">
        <v>3384</v>
      </c>
      <c r="AB6640" s="20"/>
      <c r="AC6640" s="73"/>
    </row>
    <row r="6641" spans="1:29" ht="25">
      <c r="A6641" s="327" t="str">
        <f>IF(AND($B6641&lt;&gt;"",$C6641&lt;&gt;""),MAX($A$6492:$A6640)+1,"")</f>
        <v/>
      </c>
      <c r="B6641" s="361"/>
      <c r="C6641" s="362"/>
      <c r="D6641" s="362">
        <v>149</v>
      </c>
      <c r="E6641" s="361" t="s">
        <v>3072</v>
      </c>
      <c r="F6641" s="362" t="s">
        <v>3621</v>
      </c>
      <c r="G6641" s="367" t="s">
        <v>240</v>
      </c>
      <c r="H6641" s="361" t="s">
        <v>3078</v>
      </c>
      <c r="I6641" s="327">
        <v>1</v>
      </c>
      <c r="J6641" s="363"/>
      <c r="K6641" s="345">
        <f t="shared" si="388"/>
        <v>11</v>
      </c>
      <c r="L6641" s="710" t="s">
        <v>2286</v>
      </c>
      <c r="M6641" s="371"/>
      <c r="N6641" s="355" t="str">
        <f t="shared" si="385"/>
        <v>KI</v>
      </c>
      <c r="O6641" s="345">
        <f t="shared" si="421"/>
        <v>19</v>
      </c>
      <c r="P6641" s="345">
        <f t="shared" si="389"/>
        <v>11</v>
      </c>
      <c r="Q6641" s="367">
        <f t="shared" si="422"/>
        <v>220182</v>
      </c>
      <c r="R6641" s="442" t="str">
        <f t="shared" si="423"/>
        <v>Gioăng kính Nr.67</v>
      </c>
      <c r="S6641" s="367">
        <f t="shared" si="424"/>
        <v>560620</v>
      </c>
      <c r="T6641" s="367" t="str">
        <f t="shared" si="425"/>
        <v>Nẹp kính 26.5</v>
      </c>
      <c r="U6641" s="367"/>
      <c r="V6641" s="367">
        <f t="shared" si="426"/>
        <v>560600</v>
      </c>
      <c r="W6641" s="442" t="str">
        <f t="shared" si="427"/>
        <v>Nẹp kính 14.5</v>
      </c>
      <c r="X6641" s="786"/>
      <c r="Y6641" s="1128" t="s">
        <v>3380</v>
      </c>
      <c r="Z6641" s="1128" t="s">
        <v>3381</v>
      </c>
      <c r="AA6641" s="1128" t="s">
        <v>3384</v>
      </c>
      <c r="AB6641" s="20"/>
      <c r="AC6641" s="73"/>
    </row>
    <row r="6642" spans="1:29" ht="25">
      <c r="A6642" s="327" t="str">
        <f>IF(AND($B6642&lt;&gt;"",$C6642&lt;&gt;""),MAX($A$6492:$A6641)+1,"")</f>
        <v/>
      </c>
      <c r="B6642" s="361"/>
      <c r="C6642" s="362"/>
      <c r="D6642" s="362">
        <v>150</v>
      </c>
      <c r="E6642" s="361" t="s">
        <v>3073</v>
      </c>
      <c r="F6642" s="362" t="s">
        <v>3622</v>
      </c>
      <c r="G6642" s="367" t="s">
        <v>240</v>
      </c>
      <c r="H6642" s="361" t="s">
        <v>3079</v>
      </c>
      <c r="I6642" s="327">
        <v>1</v>
      </c>
      <c r="J6642" s="363"/>
      <c r="K6642" s="345">
        <f t="shared" si="388"/>
        <v>11</v>
      </c>
      <c r="L6642" s="710" t="s">
        <v>2286</v>
      </c>
      <c r="M6642" s="371"/>
      <c r="N6642" s="355" t="str">
        <f t="shared" si="385"/>
        <v>KI</v>
      </c>
      <c r="O6642" s="345">
        <f t="shared" si="421"/>
        <v>10</v>
      </c>
      <c r="P6642" s="345">
        <f t="shared" si="389"/>
        <v>11</v>
      </c>
      <c r="Q6642" s="367">
        <f t="shared" si="422"/>
        <v>229314</v>
      </c>
      <c r="R6642" s="442" t="str">
        <f t="shared" si="423"/>
        <v>Gioăng kính Nr.68</v>
      </c>
      <c r="S6642" s="367">
        <f t="shared" si="424"/>
        <v>560620</v>
      </c>
      <c r="T6642" s="367" t="str">
        <f t="shared" si="425"/>
        <v>Nẹp kính 26.5</v>
      </c>
      <c r="U6642" s="367"/>
      <c r="V6642" s="367">
        <f t="shared" si="426"/>
        <v>560600</v>
      </c>
      <c r="W6642" s="442" t="str">
        <f t="shared" si="427"/>
        <v>Nẹp kính 14.5</v>
      </c>
      <c r="X6642" s="786"/>
      <c r="Y6642" s="1128" t="s">
        <v>3380</v>
      </c>
      <c r="Z6642" s="1128" t="s">
        <v>3381</v>
      </c>
      <c r="AA6642" s="1128" t="s">
        <v>3384</v>
      </c>
      <c r="AB6642" s="20"/>
      <c r="AC6642" s="73"/>
    </row>
    <row r="6643" spans="1:29" ht="25">
      <c r="A6643" s="327" t="str">
        <f>IF(AND($B6643&lt;&gt;"",$C6643&lt;&gt;""),MAX($A$6492:$A6642)+1,"")</f>
        <v/>
      </c>
      <c r="B6643" s="361"/>
      <c r="C6643" s="362"/>
      <c r="D6643" s="362">
        <v>151</v>
      </c>
      <c r="E6643" s="361" t="s">
        <v>3074</v>
      </c>
      <c r="F6643" s="362" t="s">
        <v>3623</v>
      </c>
      <c r="G6643" s="367" t="s">
        <v>240</v>
      </c>
      <c r="H6643" s="361" t="s">
        <v>3076</v>
      </c>
      <c r="I6643" s="327">
        <v>1</v>
      </c>
      <c r="J6643" s="363"/>
      <c r="K6643" s="345">
        <f t="shared" si="388"/>
        <v>11</v>
      </c>
      <c r="L6643" s="710" t="s">
        <v>2286</v>
      </c>
      <c r="M6643" s="371"/>
      <c r="N6643" s="355" t="str">
        <f t="shared" si="385"/>
        <v>KI</v>
      </c>
      <c r="O6643" s="345">
        <f t="shared" si="421"/>
        <v>10</v>
      </c>
      <c r="P6643" s="345">
        <f t="shared" si="389"/>
        <v>11</v>
      </c>
      <c r="Q6643" s="367">
        <f t="shared" si="422"/>
        <v>229314</v>
      </c>
      <c r="R6643" s="442" t="str">
        <f t="shared" si="423"/>
        <v>Gioăng kính Nr.68</v>
      </c>
      <c r="S6643" s="367">
        <f t="shared" si="424"/>
        <v>560620</v>
      </c>
      <c r="T6643" s="367" t="str">
        <f t="shared" si="425"/>
        <v>Nẹp kính 26.5</v>
      </c>
      <c r="U6643" s="367"/>
      <c r="V6643" s="367">
        <f t="shared" si="426"/>
        <v>560600</v>
      </c>
      <c r="W6643" s="442" t="str">
        <f t="shared" si="427"/>
        <v>Nẹp kính 14.5</v>
      </c>
      <c r="X6643" s="786"/>
      <c r="Y6643" s="1128" t="s">
        <v>3380</v>
      </c>
      <c r="Z6643" s="1128" t="s">
        <v>3381</v>
      </c>
      <c r="AA6643" s="1128" t="s">
        <v>3384</v>
      </c>
      <c r="AB6643" s="20"/>
      <c r="AC6643" s="73"/>
    </row>
    <row r="6644" spans="1:29" ht="25">
      <c r="A6644" s="327" t="str">
        <f>IF(AND($B6644&lt;&gt;"",$C6644&lt;&gt;""),MAX($A$6492:$A6643)+1,"")</f>
        <v/>
      </c>
      <c r="B6644" s="361"/>
      <c r="C6644" s="362"/>
      <c r="D6644" s="362">
        <v>152</v>
      </c>
      <c r="E6644" s="361" t="s">
        <v>3075</v>
      </c>
      <c r="F6644" s="362" t="s">
        <v>3624</v>
      </c>
      <c r="G6644" s="367" t="s">
        <v>240</v>
      </c>
      <c r="H6644" s="361" t="s">
        <v>3076</v>
      </c>
      <c r="I6644" s="327">
        <v>1</v>
      </c>
      <c r="J6644" s="363"/>
      <c r="K6644" s="345">
        <f t="shared" si="388"/>
        <v>11</v>
      </c>
      <c r="L6644" s="710" t="s">
        <v>2286</v>
      </c>
      <c r="M6644" s="371"/>
      <c r="N6644" s="355" t="str">
        <f t="shared" si="385"/>
        <v>KI</v>
      </c>
      <c r="O6644" s="345">
        <f t="shared" si="421"/>
        <v>10</v>
      </c>
      <c r="P6644" s="345">
        <f t="shared" si="389"/>
        <v>11</v>
      </c>
      <c r="Q6644" s="367">
        <f t="shared" si="422"/>
        <v>229314</v>
      </c>
      <c r="R6644" s="442" t="str">
        <f t="shared" si="423"/>
        <v>Gioăng kính Nr.68</v>
      </c>
      <c r="S6644" s="367">
        <f t="shared" si="424"/>
        <v>560620</v>
      </c>
      <c r="T6644" s="367" t="str">
        <f t="shared" si="425"/>
        <v>Nẹp kính 26.5</v>
      </c>
      <c r="U6644" s="367"/>
      <c r="V6644" s="367">
        <f t="shared" si="426"/>
        <v>560600</v>
      </c>
      <c r="W6644" s="442" t="str">
        <f t="shared" si="427"/>
        <v>Nẹp kính 14.5</v>
      </c>
      <c r="X6644" s="786"/>
      <c r="Y6644" s="1128" t="s">
        <v>3380</v>
      </c>
      <c r="Z6644" s="1128" t="s">
        <v>3381</v>
      </c>
      <c r="AA6644" s="1128" t="s">
        <v>3384</v>
      </c>
      <c r="AB6644" s="20"/>
      <c r="AC6644" s="73"/>
    </row>
    <row r="6645" spans="1:29" ht="25">
      <c r="A6645" s="327" t="str">
        <f>IF(AND($B6645&lt;&gt;"",$C6645&lt;&gt;""),MAX($A$6492:$A6644)+1,"")</f>
        <v/>
      </c>
      <c r="B6645" s="361"/>
      <c r="C6645" s="362"/>
      <c r="D6645" s="362">
        <v>153</v>
      </c>
      <c r="E6645" s="361" t="s">
        <v>3080</v>
      </c>
      <c r="F6645" s="362" t="s">
        <v>3625</v>
      </c>
      <c r="G6645" s="367" t="s">
        <v>240</v>
      </c>
      <c r="H6645" s="361" t="s">
        <v>3076</v>
      </c>
      <c r="I6645" s="327">
        <v>1</v>
      </c>
      <c r="J6645" s="363"/>
      <c r="K6645" s="345">
        <f t="shared" si="388"/>
        <v>11</v>
      </c>
      <c r="L6645" s="710" t="s">
        <v>2286</v>
      </c>
      <c r="M6645" s="371"/>
      <c r="N6645" s="355" t="str">
        <f t="shared" si="385"/>
        <v>KI</v>
      </c>
      <c r="O6645" s="345">
        <f t="shared" si="421"/>
        <v>19</v>
      </c>
      <c r="P6645" s="345">
        <f t="shared" si="389"/>
        <v>11</v>
      </c>
      <c r="Q6645" s="367">
        <f t="shared" si="422"/>
        <v>220182</v>
      </c>
      <c r="R6645" s="442" t="str">
        <f t="shared" si="423"/>
        <v>Gioăng kính Nr.67</v>
      </c>
      <c r="S6645" s="367">
        <f t="shared" si="424"/>
        <v>560620</v>
      </c>
      <c r="T6645" s="367" t="str">
        <f t="shared" si="425"/>
        <v>Nẹp kính 26.5</v>
      </c>
      <c r="U6645" s="367"/>
      <c r="V6645" s="367">
        <f t="shared" si="426"/>
        <v>560600</v>
      </c>
      <c r="W6645" s="442" t="str">
        <f t="shared" si="427"/>
        <v>Nẹp kính 14.5</v>
      </c>
      <c r="X6645" s="786"/>
      <c r="Y6645" s="1128" t="s">
        <v>3380</v>
      </c>
      <c r="Z6645" s="1128" t="s">
        <v>3381</v>
      </c>
      <c r="AA6645" s="1128" t="s">
        <v>3384</v>
      </c>
      <c r="AB6645" s="20"/>
      <c r="AC6645" s="73"/>
    </row>
    <row r="6646" spans="1:29" ht="25">
      <c r="A6646" s="327" t="str">
        <f>IF(AND($B6646&lt;&gt;"",$C6646&lt;&gt;""),MAX($A$6492:$A6645)+1,"")</f>
        <v/>
      </c>
      <c r="B6646" s="361"/>
      <c r="C6646" s="362"/>
      <c r="D6646" s="362">
        <v>154</v>
      </c>
      <c r="E6646" s="361" t="s">
        <v>3081</v>
      </c>
      <c r="F6646" s="362" t="s">
        <v>3626</v>
      </c>
      <c r="G6646" s="367" t="s">
        <v>240</v>
      </c>
      <c r="H6646" s="361" t="s">
        <v>3076</v>
      </c>
      <c r="I6646" s="327">
        <v>1</v>
      </c>
      <c r="J6646" s="363"/>
      <c r="K6646" s="345">
        <f t="shared" si="388"/>
        <v>11</v>
      </c>
      <c r="L6646" s="710" t="s">
        <v>2286</v>
      </c>
      <c r="M6646" s="371"/>
      <c r="N6646" s="355" t="str">
        <f t="shared" si="385"/>
        <v>KI</v>
      </c>
      <c r="O6646" s="345">
        <f t="shared" si="421"/>
        <v>19</v>
      </c>
      <c r="P6646" s="345">
        <f t="shared" si="389"/>
        <v>11</v>
      </c>
      <c r="Q6646" s="367">
        <f t="shared" si="422"/>
        <v>220182</v>
      </c>
      <c r="R6646" s="442" t="str">
        <f t="shared" si="423"/>
        <v>Gioăng kính Nr.67</v>
      </c>
      <c r="S6646" s="367">
        <f t="shared" si="424"/>
        <v>560620</v>
      </c>
      <c r="T6646" s="367" t="str">
        <f t="shared" si="425"/>
        <v>Nẹp kính 26.5</v>
      </c>
      <c r="U6646" s="367"/>
      <c r="V6646" s="367">
        <f t="shared" si="426"/>
        <v>560600</v>
      </c>
      <c r="W6646" s="442" t="str">
        <f t="shared" si="427"/>
        <v>Nẹp kính 14.5</v>
      </c>
      <c r="X6646" s="786"/>
      <c r="Y6646" s="1128" t="s">
        <v>3380</v>
      </c>
      <c r="Z6646" s="1128" t="s">
        <v>3381</v>
      </c>
      <c r="AA6646" s="1128" t="s">
        <v>3384</v>
      </c>
      <c r="AB6646" s="20"/>
      <c r="AC6646" s="73"/>
    </row>
    <row r="6647" spans="1:29">
      <c r="A6647" s="327" t="str">
        <f>IF(AND($B6647&lt;&gt;"",$C6647&lt;&gt;""),MAX($A$6492:$A6624)+1,"")</f>
        <v/>
      </c>
      <c r="B6647" s="361"/>
      <c r="C6647" s="362"/>
      <c r="D6647" s="362">
        <v>155</v>
      </c>
      <c r="E6647" s="361" t="s">
        <v>3082</v>
      </c>
      <c r="F6647" s="362" t="s">
        <v>3083</v>
      </c>
      <c r="G6647" s="367" t="s">
        <v>240</v>
      </c>
      <c r="H6647" s="361" t="s">
        <v>537</v>
      </c>
      <c r="I6647" s="327">
        <v>1</v>
      </c>
      <c r="J6647" s="363"/>
      <c r="K6647" s="345">
        <f t="shared" si="388"/>
        <v>12</v>
      </c>
      <c r="L6647" s="710" t="s">
        <v>2286</v>
      </c>
      <c r="M6647" s="371"/>
      <c r="N6647" s="355" t="str">
        <f t="shared" si="385"/>
        <v>KI</v>
      </c>
      <c r="O6647" s="345">
        <f t="shared" si="421"/>
        <v>19</v>
      </c>
      <c r="P6647" s="345" t="str">
        <f t="shared" si="389"/>
        <v/>
      </c>
      <c r="Q6647" s="367">
        <f t="shared" si="422"/>
        <v>229304</v>
      </c>
      <c r="R6647" s="442" t="str">
        <f t="shared" si="423"/>
        <v>Gioăng kính Nr.66</v>
      </c>
      <c r="S6647" s="367">
        <f t="shared" si="424"/>
        <v>560510</v>
      </c>
      <c r="T6647" s="367" t="str">
        <f t="shared" si="425"/>
        <v>Nẹp kính 22.5</v>
      </c>
      <c r="U6647" s="367"/>
      <c r="V6647" s="367">
        <f t="shared" si="426"/>
        <v>560590</v>
      </c>
      <c r="W6647" s="442" t="str">
        <f t="shared" si="427"/>
        <v>Nẹp kính 10.5</v>
      </c>
      <c r="X6647" s="786"/>
      <c r="Y6647" s="1128" t="s">
        <v>3380</v>
      </c>
      <c r="Z6647" s="1128" t="s">
        <v>3381</v>
      </c>
      <c r="AA6647" s="1128" t="s">
        <v>3384</v>
      </c>
      <c r="AB6647" s="20"/>
      <c r="AC6647" s="73"/>
    </row>
    <row r="6648" spans="1:29">
      <c r="A6648" s="327" t="str">
        <f>IF(AND($B6648&lt;&gt;"",$C6648&lt;&gt;""),MAX($A$6492:$A6625)+1,"")</f>
        <v/>
      </c>
      <c r="B6648" s="361"/>
      <c r="C6648" s="362"/>
      <c r="D6648" s="362">
        <v>156</v>
      </c>
      <c r="E6648" s="361" t="s">
        <v>3084</v>
      </c>
      <c r="F6648" s="362" t="s">
        <v>3087</v>
      </c>
      <c r="G6648" s="367" t="s">
        <v>240</v>
      </c>
      <c r="H6648" s="361" t="s">
        <v>537</v>
      </c>
      <c r="I6648" s="327">
        <v>1</v>
      </c>
      <c r="J6648" s="363"/>
      <c r="K6648" s="345">
        <f t="shared" si="388"/>
        <v>12</v>
      </c>
      <c r="L6648" s="710" t="s">
        <v>2286</v>
      </c>
      <c r="M6648" s="371"/>
      <c r="N6648" s="355" t="str">
        <f t="shared" si="385"/>
        <v>KI</v>
      </c>
      <c r="O6648" s="345">
        <f t="shared" si="421"/>
        <v>19</v>
      </c>
      <c r="P6648" s="345">
        <f t="shared" si="389"/>
        <v>19</v>
      </c>
      <c r="Q6648" s="367">
        <f t="shared" si="422"/>
        <v>220182</v>
      </c>
      <c r="R6648" s="442" t="str">
        <f t="shared" si="423"/>
        <v>Gioăng kính Nr.67</v>
      </c>
      <c r="S6648" s="367">
        <f t="shared" si="424"/>
        <v>560610</v>
      </c>
      <c r="T6648" s="367" t="str">
        <f t="shared" si="425"/>
        <v>Nẹp kính 18.5</v>
      </c>
      <c r="U6648" s="367"/>
      <c r="V6648" s="367">
        <f t="shared" si="426"/>
        <v>560580</v>
      </c>
      <c r="W6648" s="442" t="str">
        <f t="shared" si="427"/>
        <v>Nẹp kính 6.5</v>
      </c>
      <c r="X6648" s="786"/>
      <c r="Y6648" s="1128" t="s">
        <v>3380</v>
      </c>
      <c r="Z6648" s="1128" t="s">
        <v>3381</v>
      </c>
      <c r="AA6648" s="1128" t="s">
        <v>3384</v>
      </c>
      <c r="AB6648" s="20"/>
      <c r="AC6648" s="73"/>
    </row>
    <row r="6649" spans="1:29">
      <c r="A6649" s="327" t="str">
        <f>IF(AND($B6649&lt;&gt;"",$C6649&lt;&gt;""),MAX($A$6492:$A6626)+1,"")</f>
        <v/>
      </c>
      <c r="B6649" s="361"/>
      <c r="C6649" s="362"/>
      <c r="D6649" s="362">
        <v>157</v>
      </c>
      <c r="E6649" s="361" t="s">
        <v>3085</v>
      </c>
      <c r="F6649" s="362" t="s">
        <v>3088</v>
      </c>
      <c r="G6649" s="367" t="s">
        <v>240</v>
      </c>
      <c r="H6649" s="361" t="s">
        <v>537</v>
      </c>
      <c r="I6649" s="327">
        <v>1</v>
      </c>
      <c r="J6649" s="363"/>
      <c r="K6649" s="345">
        <f t="shared" si="388"/>
        <v>12</v>
      </c>
      <c r="L6649" s="710" t="s">
        <v>2286</v>
      </c>
      <c r="M6649" s="371"/>
      <c r="N6649" s="355" t="str">
        <f t="shared" si="385"/>
        <v>KI</v>
      </c>
      <c r="O6649" s="345">
        <f t="shared" si="421"/>
        <v>19</v>
      </c>
      <c r="P6649" s="345">
        <f t="shared" si="389"/>
        <v>19</v>
      </c>
      <c r="Q6649" s="367">
        <f t="shared" si="422"/>
        <v>220182</v>
      </c>
      <c r="R6649" s="442" t="str">
        <f t="shared" si="423"/>
        <v>Gioăng kính Nr.67</v>
      </c>
      <c r="S6649" s="367">
        <f t="shared" si="424"/>
        <v>560610</v>
      </c>
      <c r="T6649" s="367" t="str">
        <f t="shared" si="425"/>
        <v>Nẹp kính 18.5</v>
      </c>
      <c r="U6649" s="367"/>
      <c r="V6649" s="367">
        <f t="shared" si="426"/>
        <v>560580</v>
      </c>
      <c r="W6649" s="442" t="str">
        <f t="shared" si="427"/>
        <v>Nẹp kính 6.5</v>
      </c>
      <c r="X6649" s="786"/>
      <c r="Y6649" s="1128" t="s">
        <v>3380</v>
      </c>
      <c r="Z6649" s="1128" t="s">
        <v>3381</v>
      </c>
      <c r="AA6649" s="1128" t="s">
        <v>3384</v>
      </c>
      <c r="AB6649" s="20"/>
      <c r="AC6649" s="73"/>
    </row>
    <row r="6650" spans="1:29">
      <c r="A6650" s="327" t="str">
        <f>IF(AND($B6650&lt;&gt;"",$C6650&lt;&gt;""),MAX($A$6492:$A6627)+1,"")</f>
        <v/>
      </c>
      <c r="B6650" s="361"/>
      <c r="C6650" s="362"/>
      <c r="D6650" s="362">
        <v>158</v>
      </c>
      <c r="E6650" s="361" t="s">
        <v>3086</v>
      </c>
      <c r="F6650" s="362" t="s">
        <v>3089</v>
      </c>
      <c r="G6650" s="367" t="s">
        <v>240</v>
      </c>
      <c r="H6650" s="361" t="s">
        <v>537</v>
      </c>
      <c r="I6650" s="327">
        <v>1</v>
      </c>
      <c r="J6650" s="363"/>
      <c r="K6650" s="345">
        <f t="shared" si="388"/>
        <v>12</v>
      </c>
      <c r="L6650" s="710" t="s">
        <v>2286</v>
      </c>
      <c r="M6650" s="371"/>
      <c r="N6650" s="355" t="str">
        <f t="shared" si="385"/>
        <v>KI</v>
      </c>
      <c r="O6650" s="345">
        <f t="shared" si="421"/>
        <v>20</v>
      </c>
      <c r="P6650" s="345" t="str">
        <f t="shared" si="389"/>
        <v/>
      </c>
      <c r="Q6650" s="367">
        <f t="shared" si="422"/>
        <v>229304</v>
      </c>
      <c r="R6650" s="442" t="str">
        <f t="shared" si="423"/>
        <v>Gioăng kính Nr.66</v>
      </c>
      <c r="S6650" s="367">
        <f t="shared" si="424"/>
        <v>560610</v>
      </c>
      <c r="T6650" s="367" t="str">
        <f t="shared" si="425"/>
        <v>Nẹp kính 18.5</v>
      </c>
      <c r="U6650" s="367"/>
      <c r="V6650" s="367">
        <f t="shared" si="426"/>
        <v>560580</v>
      </c>
      <c r="W6650" s="442" t="str">
        <f t="shared" si="427"/>
        <v>Nẹp kính 6.5</v>
      </c>
      <c r="X6650" s="786"/>
      <c r="Y6650" s="1128" t="s">
        <v>3380</v>
      </c>
      <c r="Z6650" s="1128" t="s">
        <v>3381</v>
      </c>
      <c r="AA6650" s="1128" t="s">
        <v>3384</v>
      </c>
      <c r="AB6650" s="20"/>
      <c r="AC6650" s="73"/>
    </row>
    <row r="6651" spans="1:29">
      <c r="A6651" s="327" t="str">
        <f>IF(AND($B6651&lt;&gt;"",$C6651&lt;&gt;""),MAX($A$6492:$A6628)+1,"")</f>
        <v/>
      </c>
      <c r="B6651" s="361"/>
      <c r="C6651" s="362"/>
      <c r="D6651" s="362">
        <v>159</v>
      </c>
      <c r="E6651" s="361" t="s">
        <v>3090</v>
      </c>
      <c r="F6651" s="362" t="s">
        <v>3092</v>
      </c>
      <c r="G6651" s="367" t="s">
        <v>240</v>
      </c>
      <c r="H6651" s="361" t="s">
        <v>537</v>
      </c>
      <c r="I6651" s="327">
        <v>1</v>
      </c>
      <c r="J6651" s="363"/>
      <c r="K6651" s="345">
        <f t="shared" si="388"/>
        <v>12</v>
      </c>
      <c r="L6651" s="710" t="s">
        <v>2286</v>
      </c>
      <c r="M6651" s="371"/>
      <c r="N6651" s="355" t="str">
        <f t="shared" si="385"/>
        <v>KI</v>
      </c>
      <c r="O6651" s="345">
        <f t="shared" si="421"/>
        <v>20</v>
      </c>
      <c r="P6651" s="345" t="str">
        <f t="shared" si="389"/>
        <v/>
      </c>
      <c r="Q6651" s="367">
        <f t="shared" si="422"/>
        <v>229314</v>
      </c>
      <c r="R6651" s="442" t="str">
        <f t="shared" si="423"/>
        <v>Gioăng kính Nr.68</v>
      </c>
      <c r="S6651" s="367">
        <f t="shared" si="424"/>
        <v>500283</v>
      </c>
      <c r="T6651" s="367" t="str">
        <f t="shared" si="425"/>
        <v>Nẹp kính 14.5</v>
      </c>
      <c r="U6651" s="367"/>
      <c r="V6651" s="367">
        <f t="shared" si="426"/>
        <v>0</v>
      </c>
      <c r="W6651" s="442">
        <f t="shared" si="427"/>
        <v>0</v>
      </c>
      <c r="X6651" s="786"/>
      <c r="Y6651" s="1128" t="s">
        <v>3380</v>
      </c>
      <c r="Z6651" s="1128" t="s">
        <v>3381</v>
      </c>
      <c r="AA6651" s="1128" t="s">
        <v>3384</v>
      </c>
      <c r="AB6651" s="20"/>
      <c r="AC6651" s="73"/>
    </row>
    <row r="6652" spans="1:29">
      <c r="A6652" s="327" t="str">
        <f>IF(AND($B6652&lt;&gt;"",$C6652&lt;&gt;""),MAX($A$6492:$A6629)+1,"")</f>
        <v/>
      </c>
      <c r="B6652" s="361"/>
      <c r="C6652" s="362"/>
      <c r="D6652" s="362">
        <v>160</v>
      </c>
      <c r="E6652" s="361" t="s">
        <v>3091</v>
      </c>
      <c r="F6652" s="362" t="s">
        <v>3093</v>
      </c>
      <c r="G6652" s="367" t="s">
        <v>240</v>
      </c>
      <c r="H6652" s="361" t="s">
        <v>537</v>
      </c>
      <c r="I6652" s="327">
        <v>1</v>
      </c>
      <c r="J6652" s="363"/>
      <c r="K6652" s="345">
        <f t="shared" si="388"/>
        <v>12</v>
      </c>
      <c r="L6652" s="710" t="s">
        <v>2286</v>
      </c>
      <c r="M6652" s="371"/>
      <c r="N6652" s="355" t="str">
        <f t="shared" si="385"/>
        <v>KI</v>
      </c>
      <c r="O6652" s="345">
        <f t="shared" si="421"/>
        <v>20</v>
      </c>
      <c r="P6652" s="345" t="str">
        <f t="shared" si="389"/>
        <v/>
      </c>
      <c r="Q6652" s="367">
        <f t="shared" si="422"/>
        <v>220162</v>
      </c>
      <c r="R6652" s="442" t="str">
        <f t="shared" si="423"/>
        <v>Gioăng kính Nr.65</v>
      </c>
      <c r="S6652" s="367">
        <f t="shared" si="424"/>
        <v>500283</v>
      </c>
      <c r="T6652" s="367" t="str">
        <f t="shared" si="425"/>
        <v>Nẹp kính 14.5</v>
      </c>
      <c r="U6652" s="367"/>
      <c r="V6652" s="367">
        <f t="shared" si="426"/>
        <v>0</v>
      </c>
      <c r="W6652" s="442">
        <f t="shared" si="427"/>
        <v>0</v>
      </c>
      <c r="X6652" s="786"/>
      <c r="Y6652" s="1128" t="s">
        <v>3380</v>
      </c>
      <c r="Z6652" s="1128" t="s">
        <v>3381</v>
      </c>
      <c r="AA6652" s="1128" t="s">
        <v>3384</v>
      </c>
      <c r="AB6652" s="20"/>
      <c r="AC6652" s="73"/>
    </row>
    <row r="6653" spans="1:29" ht="25">
      <c r="A6653" s="327" t="str">
        <f>IF(AND($B6653&lt;&gt;"",$C6653&lt;&gt;""),MAX($A$6492:$A6630)+1,"")</f>
        <v/>
      </c>
      <c r="B6653" s="361"/>
      <c r="C6653" s="362"/>
      <c r="D6653" s="362">
        <v>161</v>
      </c>
      <c r="E6653" s="361" t="s">
        <v>3094</v>
      </c>
      <c r="F6653" s="362" t="s">
        <v>3627</v>
      </c>
      <c r="G6653" s="367" t="s">
        <v>240</v>
      </c>
      <c r="H6653" s="361" t="s">
        <v>3098</v>
      </c>
      <c r="I6653" s="327">
        <v>1</v>
      </c>
      <c r="J6653" s="363"/>
      <c r="K6653" s="345">
        <f t="shared" si="388"/>
        <v>12</v>
      </c>
      <c r="L6653" s="710" t="s">
        <v>2286</v>
      </c>
      <c r="M6653" s="371"/>
      <c r="N6653" s="355" t="str">
        <f t="shared" si="385"/>
        <v>KI</v>
      </c>
      <c r="O6653" s="345">
        <f t="shared" si="421"/>
        <v>19</v>
      </c>
      <c r="P6653" s="345" t="str">
        <f t="shared" si="389"/>
        <v/>
      </c>
      <c r="Q6653" s="367">
        <f t="shared" si="422"/>
        <v>229304</v>
      </c>
      <c r="R6653" s="442" t="str">
        <f t="shared" si="423"/>
        <v>Gioăng kính Nr.66</v>
      </c>
      <c r="S6653" s="367">
        <f t="shared" si="424"/>
        <v>560510</v>
      </c>
      <c r="T6653" s="367" t="str">
        <f t="shared" si="425"/>
        <v>Nẹp kính 22.5</v>
      </c>
      <c r="U6653" s="367"/>
      <c r="V6653" s="367">
        <f t="shared" si="426"/>
        <v>560590</v>
      </c>
      <c r="W6653" s="442" t="str">
        <f t="shared" si="427"/>
        <v>Nẹp kính 10.5</v>
      </c>
      <c r="X6653" s="786"/>
      <c r="Y6653" s="1128" t="s">
        <v>3380</v>
      </c>
      <c r="Z6653" s="1128" t="s">
        <v>3381</v>
      </c>
      <c r="AA6653" s="1128" t="s">
        <v>3384</v>
      </c>
      <c r="AB6653" s="20"/>
      <c r="AC6653" s="73"/>
    </row>
    <row r="6654" spans="1:29" ht="25">
      <c r="A6654" s="327" t="str">
        <f>IF(AND($B6654&lt;&gt;"",$C6654&lt;&gt;""),MAX($A$6492:$A6631)+1,"")</f>
        <v/>
      </c>
      <c r="B6654" s="361"/>
      <c r="C6654" s="362"/>
      <c r="D6654" s="362">
        <v>162</v>
      </c>
      <c r="E6654" s="361" t="s">
        <v>3095</v>
      </c>
      <c r="F6654" s="362" t="s">
        <v>3628</v>
      </c>
      <c r="G6654" s="367" t="s">
        <v>240</v>
      </c>
      <c r="H6654" s="361" t="s">
        <v>3099</v>
      </c>
      <c r="I6654" s="327">
        <v>1</v>
      </c>
      <c r="J6654" s="363"/>
      <c r="K6654" s="345">
        <f t="shared" si="388"/>
        <v>12</v>
      </c>
      <c r="L6654" s="710" t="s">
        <v>2286</v>
      </c>
      <c r="M6654" s="371"/>
      <c r="N6654" s="355" t="str">
        <f t="shared" si="385"/>
        <v>KI</v>
      </c>
      <c r="O6654" s="345">
        <f t="shared" si="421"/>
        <v>19</v>
      </c>
      <c r="P6654" s="345" t="str">
        <f t="shared" si="389"/>
        <v/>
      </c>
      <c r="Q6654" s="367">
        <f t="shared" si="422"/>
        <v>229304</v>
      </c>
      <c r="R6654" s="442" t="str">
        <f t="shared" si="423"/>
        <v>Gioăng kính Nr.66</v>
      </c>
      <c r="S6654" s="367">
        <f t="shared" si="424"/>
        <v>560510</v>
      </c>
      <c r="T6654" s="367" t="str">
        <f t="shared" si="425"/>
        <v>Nẹp kính 22.5</v>
      </c>
      <c r="U6654" s="367"/>
      <c r="V6654" s="367">
        <f t="shared" si="426"/>
        <v>560590</v>
      </c>
      <c r="W6654" s="442" t="str">
        <f t="shared" si="427"/>
        <v>Nẹp kính 10.5</v>
      </c>
      <c r="X6654" s="786"/>
      <c r="Y6654" s="1128" t="s">
        <v>3380</v>
      </c>
      <c r="Z6654" s="1128" t="s">
        <v>3381</v>
      </c>
      <c r="AA6654" s="1128" t="s">
        <v>3384</v>
      </c>
      <c r="AB6654" s="20"/>
      <c r="AC6654" s="73"/>
    </row>
    <row r="6655" spans="1:29" ht="25">
      <c r="A6655" s="327" t="str">
        <f>IF(AND($B6655&lt;&gt;"",$C6655&lt;&gt;""),MAX($A$6492:$A6632)+1,"")</f>
        <v/>
      </c>
      <c r="B6655" s="361"/>
      <c r="C6655" s="362"/>
      <c r="D6655" s="362">
        <v>163</v>
      </c>
      <c r="E6655" s="361" t="s">
        <v>3096</v>
      </c>
      <c r="F6655" s="362" t="s">
        <v>3629</v>
      </c>
      <c r="G6655" s="367" t="s">
        <v>240</v>
      </c>
      <c r="H6655" s="361" t="s">
        <v>3100</v>
      </c>
      <c r="I6655" s="327">
        <v>1</v>
      </c>
      <c r="J6655" s="363"/>
      <c r="K6655" s="345">
        <f t="shared" si="388"/>
        <v>12</v>
      </c>
      <c r="L6655" s="710" t="s">
        <v>2286</v>
      </c>
      <c r="M6655" s="371"/>
      <c r="N6655" s="355" t="str">
        <f t="shared" si="385"/>
        <v>KI</v>
      </c>
      <c r="O6655" s="345">
        <f t="shared" si="421"/>
        <v>19</v>
      </c>
      <c r="P6655" s="345" t="str">
        <f t="shared" si="389"/>
        <v/>
      </c>
      <c r="Q6655" s="367">
        <f t="shared" si="422"/>
        <v>229304</v>
      </c>
      <c r="R6655" s="442" t="str">
        <f t="shared" si="423"/>
        <v>Gioăng kính Nr.66</v>
      </c>
      <c r="S6655" s="367">
        <f t="shared" si="424"/>
        <v>560510</v>
      </c>
      <c r="T6655" s="367" t="str">
        <f t="shared" si="425"/>
        <v>Nẹp kính 22.5</v>
      </c>
      <c r="U6655" s="367"/>
      <c r="V6655" s="367">
        <f t="shared" si="426"/>
        <v>560590</v>
      </c>
      <c r="W6655" s="442" t="str">
        <f t="shared" si="427"/>
        <v>Nẹp kính 10.5</v>
      </c>
      <c r="X6655" s="786"/>
      <c r="Y6655" s="1128" t="s">
        <v>3380</v>
      </c>
      <c r="Z6655" s="1128" t="s">
        <v>3381</v>
      </c>
      <c r="AA6655" s="1128" t="s">
        <v>3384</v>
      </c>
      <c r="AB6655" s="20"/>
      <c r="AC6655" s="73"/>
    </row>
    <row r="6656" spans="1:29" ht="25">
      <c r="A6656" s="327" t="str">
        <f>IF(AND($B6656&lt;&gt;"",$C6656&lt;&gt;""),MAX($A$6492:$A6633)+1,"")</f>
        <v/>
      </c>
      <c r="B6656" s="361"/>
      <c r="C6656" s="362"/>
      <c r="D6656" s="362">
        <v>164</v>
      </c>
      <c r="E6656" s="361" t="s">
        <v>3097</v>
      </c>
      <c r="F6656" s="362" t="s">
        <v>3630</v>
      </c>
      <c r="G6656" s="367" t="s">
        <v>240</v>
      </c>
      <c r="H6656" s="361" t="s">
        <v>3101</v>
      </c>
      <c r="I6656" s="327">
        <v>1</v>
      </c>
      <c r="J6656" s="363"/>
      <c r="K6656" s="345">
        <f t="shared" si="388"/>
        <v>12</v>
      </c>
      <c r="L6656" s="710" t="s">
        <v>2286</v>
      </c>
      <c r="M6656" s="371"/>
      <c r="N6656" s="355" t="str">
        <f t="shared" ref="N6656" si="428">+$N$6492</f>
        <v>KI</v>
      </c>
      <c r="O6656" s="345">
        <f t="shared" si="421"/>
        <v>19</v>
      </c>
      <c r="P6656" s="345" t="str">
        <f t="shared" si="389"/>
        <v/>
      </c>
      <c r="Q6656" s="367">
        <f t="shared" si="422"/>
        <v>229304</v>
      </c>
      <c r="R6656" s="442" t="str">
        <f t="shared" si="423"/>
        <v>Gioăng kính Nr.66</v>
      </c>
      <c r="S6656" s="367">
        <f t="shared" si="424"/>
        <v>560510</v>
      </c>
      <c r="T6656" s="367" t="str">
        <f t="shared" si="425"/>
        <v>Nẹp kính 22.5</v>
      </c>
      <c r="U6656" s="367"/>
      <c r="V6656" s="367">
        <f t="shared" si="426"/>
        <v>560590</v>
      </c>
      <c r="W6656" s="442" t="str">
        <f t="shared" si="427"/>
        <v>Nẹp kính 10.5</v>
      </c>
      <c r="X6656" s="786"/>
      <c r="Y6656" s="1128" t="s">
        <v>3380</v>
      </c>
      <c r="Z6656" s="1128" t="s">
        <v>3381</v>
      </c>
      <c r="AA6656" s="1128" t="s">
        <v>3384</v>
      </c>
      <c r="AB6656" s="20"/>
      <c r="AC6656" s="73"/>
    </row>
    <row r="6657" spans="1:29" ht="25">
      <c r="A6657" s="327" t="str">
        <f>IF(AND($B6657&lt;&gt;"",$C6657&lt;&gt;""),MAX($A$6492:$A6634)+1,"")</f>
        <v/>
      </c>
      <c r="B6657" s="361"/>
      <c r="C6657" s="362"/>
      <c r="D6657" s="362">
        <v>165</v>
      </c>
      <c r="E6657" s="361" t="s">
        <v>3102</v>
      </c>
      <c r="F6657" s="362" t="s">
        <v>3631</v>
      </c>
      <c r="G6657" s="367" t="s">
        <v>240</v>
      </c>
      <c r="H6657" s="361" t="s">
        <v>3098</v>
      </c>
      <c r="I6657" s="327">
        <v>1</v>
      </c>
      <c r="J6657" s="363"/>
      <c r="K6657" s="345">
        <f t="shared" si="388"/>
        <v>12</v>
      </c>
      <c r="L6657" s="710" t="s">
        <v>2286</v>
      </c>
      <c r="M6657" s="371"/>
      <c r="N6657" s="355" t="str">
        <f t="shared" si="385"/>
        <v>KI</v>
      </c>
      <c r="O6657" s="345">
        <f t="shared" si="421"/>
        <v>19</v>
      </c>
      <c r="P6657" s="345">
        <f t="shared" si="389"/>
        <v>19</v>
      </c>
      <c r="Q6657" s="367">
        <f t="shared" si="422"/>
        <v>220182</v>
      </c>
      <c r="R6657" s="442" t="str">
        <f t="shared" si="423"/>
        <v>Gioăng kính Nr.67</v>
      </c>
      <c r="S6657" s="367">
        <f t="shared" si="424"/>
        <v>560610</v>
      </c>
      <c r="T6657" s="367" t="str">
        <f t="shared" si="425"/>
        <v>Nẹp kính 18.5</v>
      </c>
      <c r="U6657" s="367"/>
      <c r="V6657" s="367">
        <f t="shared" si="426"/>
        <v>560580</v>
      </c>
      <c r="W6657" s="442" t="str">
        <f t="shared" si="427"/>
        <v>Nẹp kính 6.5</v>
      </c>
      <c r="X6657" s="786"/>
      <c r="Y6657" s="1128" t="s">
        <v>3380</v>
      </c>
      <c r="Z6657" s="1128" t="s">
        <v>3381</v>
      </c>
      <c r="AA6657" s="1128" t="s">
        <v>3384</v>
      </c>
      <c r="AB6657" s="20"/>
      <c r="AC6657" s="73"/>
    </row>
    <row r="6658" spans="1:29" ht="25">
      <c r="A6658" s="327" t="str">
        <f>IF(AND($B6658&lt;&gt;"",$C6658&lt;&gt;""),MAX($A$6492:$A6635)+1,"")</f>
        <v/>
      </c>
      <c r="B6658" s="361"/>
      <c r="C6658" s="362"/>
      <c r="D6658" s="362">
        <v>166</v>
      </c>
      <c r="E6658" s="361" t="s">
        <v>3103</v>
      </c>
      <c r="F6658" s="362" t="s">
        <v>3632</v>
      </c>
      <c r="G6658" s="367" t="s">
        <v>240</v>
      </c>
      <c r="H6658" s="361" t="s">
        <v>3099</v>
      </c>
      <c r="I6658" s="327">
        <v>1</v>
      </c>
      <c r="J6658" s="363"/>
      <c r="K6658" s="345">
        <f t="shared" si="388"/>
        <v>12</v>
      </c>
      <c r="L6658" s="710" t="s">
        <v>2286</v>
      </c>
      <c r="M6658" s="371"/>
      <c r="N6658" s="355" t="str">
        <f t="shared" si="385"/>
        <v>KI</v>
      </c>
      <c r="O6658" s="345">
        <f t="shared" si="421"/>
        <v>19</v>
      </c>
      <c r="P6658" s="345">
        <f t="shared" si="389"/>
        <v>19</v>
      </c>
      <c r="Q6658" s="367">
        <f t="shared" si="422"/>
        <v>220182</v>
      </c>
      <c r="R6658" s="442" t="str">
        <f t="shared" si="423"/>
        <v>Gioăng kính Nr.67</v>
      </c>
      <c r="S6658" s="367">
        <f t="shared" si="424"/>
        <v>560610</v>
      </c>
      <c r="T6658" s="367" t="str">
        <f t="shared" si="425"/>
        <v>Nẹp kính 18.5</v>
      </c>
      <c r="U6658" s="367"/>
      <c r="V6658" s="367">
        <f t="shared" si="426"/>
        <v>560580</v>
      </c>
      <c r="W6658" s="442" t="str">
        <f t="shared" si="427"/>
        <v>Nẹp kính 6.5</v>
      </c>
      <c r="X6658" s="786"/>
      <c r="Y6658" s="1128" t="s">
        <v>3380</v>
      </c>
      <c r="Z6658" s="1128" t="s">
        <v>3381</v>
      </c>
      <c r="AA6658" s="1128" t="s">
        <v>3384</v>
      </c>
      <c r="AB6658" s="20"/>
      <c r="AC6658" s="73"/>
    </row>
    <row r="6659" spans="1:29" ht="25">
      <c r="A6659" s="327" t="str">
        <f>IF(AND($B6659&lt;&gt;"",$C6659&lt;&gt;""),MAX($A$6492:$A6636)+1,"")</f>
        <v/>
      </c>
      <c r="B6659" s="361"/>
      <c r="C6659" s="362"/>
      <c r="D6659" s="362">
        <v>167</v>
      </c>
      <c r="E6659" s="361" t="s">
        <v>3104</v>
      </c>
      <c r="F6659" s="362" t="s">
        <v>3633</v>
      </c>
      <c r="G6659" s="367" t="s">
        <v>240</v>
      </c>
      <c r="H6659" s="361" t="s">
        <v>3100</v>
      </c>
      <c r="I6659" s="327">
        <v>1</v>
      </c>
      <c r="J6659" s="363"/>
      <c r="K6659" s="345">
        <f t="shared" si="388"/>
        <v>12</v>
      </c>
      <c r="L6659" s="710" t="s">
        <v>2286</v>
      </c>
      <c r="M6659" s="371"/>
      <c r="N6659" s="355" t="str">
        <f t="shared" ref="N6659:N6693" si="429">+$N$6492</f>
        <v>KI</v>
      </c>
      <c r="O6659" s="345">
        <f t="shared" si="421"/>
        <v>19</v>
      </c>
      <c r="P6659" s="345">
        <f t="shared" si="389"/>
        <v>19</v>
      </c>
      <c r="Q6659" s="367">
        <f t="shared" si="422"/>
        <v>220182</v>
      </c>
      <c r="R6659" s="442" t="str">
        <f t="shared" si="423"/>
        <v>Gioăng kính Nr.67</v>
      </c>
      <c r="S6659" s="367">
        <f t="shared" si="424"/>
        <v>560610</v>
      </c>
      <c r="T6659" s="367" t="str">
        <f t="shared" si="425"/>
        <v>Nẹp kính 18.5</v>
      </c>
      <c r="U6659" s="367"/>
      <c r="V6659" s="367">
        <f t="shared" si="426"/>
        <v>560580</v>
      </c>
      <c r="W6659" s="442" t="str">
        <f t="shared" si="427"/>
        <v>Nẹp kính 6.5</v>
      </c>
      <c r="X6659" s="786"/>
      <c r="Y6659" s="1128" t="s">
        <v>3380</v>
      </c>
      <c r="Z6659" s="1128" t="s">
        <v>3381</v>
      </c>
      <c r="AA6659" s="1128" t="s">
        <v>3384</v>
      </c>
      <c r="AB6659" s="20"/>
      <c r="AC6659" s="73"/>
    </row>
    <row r="6660" spans="1:29" ht="25">
      <c r="A6660" s="327" t="str">
        <f>IF(AND($B6660&lt;&gt;"",$C6660&lt;&gt;""),MAX($A$6492:$A6637)+1,"")</f>
        <v/>
      </c>
      <c r="B6660" s="361"/>
      <c r="C6660" s="362"/>
      <c r="D6660" s="362">
        <v>168</v>
      </c>
      <c r="E6660" s="361" t="s">
        <v>3105</v>
      </c>
      <c r="F6660" s="362" t="s">
        <v>3634</v>
      </c>
      <c r="G6660" s="367" t="s">
        <v>240</v>
      </c>
      <c r="H6660" s="361" t="s">
        <v>3101</v>
      </c>
      <c r="I6660" s="327">
        <v>1</v>
      </c>
      <c r="J6660" s="363"/>
      <c r="K6660" s="345">
        <f t="shared" si="388"/>
        <v>12</v>
      </c>
      <c r="L6660" s="710" t="s">
        <v>2286</v>
      </c>
      <c r="M6660" s="371"/>
      <c r="N6660" s="355" t="str">
        <f t="shared" si="429"/>
        <v>KI</v>
      </c>
      <c r="O6660" s="345">
        <f t="shared" si="421"/>
        <v>19</v>
      </c>
      <c r="P6660" s="345">
        <f t="shared" si="389"/>
        <v>19</v>
      </c>
      <c r="Q6660" s="367">
        <f t="shared" si="422"/>
        <v>220182</v>
      </c>
      <c r="R6660" s="442" t="str">
        <f t="shared" si="423"/>
        <v>Gioăng kính Nr.67</v>
      </c>
      <c r="S6660" s="367">
        <f t="shared" si="424"/>
        <v>560610</v>
      </c>
      <c r="T6660" s="367" t="str">
        <f t="shared" si="425"/>
        <v>Nẹp kính 18.5</v>
      </c>
      <c r="U6660" s="367"/>
      <c r="V6660" s="367">
        <f t="shared" si="426"/>
        <v>560580</v>
      </c>
      <c r="W6660" s="442" t="str">
        <f t="shared" si="427"/>
        <v>Nẹp kính 6.5</v>
      </c>
      <c r="X6660" s="786"/>
      <c r="Y6660" s="1128" t="s">
        <v>3380</v>
      </c>
      <c r="Z6660" s="1128" t="s">
        <v>3381</v>
      </c>
      <c r="AA6660" s="1128" t="s">
        <v>3384</v>
      </c>
      <c r="AB6660" s="20"/>
      <c r="AC6660" s="73"/>
    </row>
    <row r="6661" spans="1:29" ht="25">
      <c r="A6661" s="327" t="str">
        <f>IF(AND($B6661&lt;&gt;"",$C6661&lt;&gt;""),MAX($A$6492:$A6638)+1,"")</f>
        <v/>
      </c>
      <c r="B6661" s="361"/>
      <c r="C6661" s="362"/>
      <c r="D6661" s="362">
        <v>169</v>
      </c>
      <c r="E6661" s="361" t="s">
        <v>3106</v>
      </c>
      <c r="F6661" s="362" t="s">
        <v>3635</v>
      </c>
      <c r="G6661" s="367" t="s">
        <v>240</v>
      </c>
      <c r="H6661" s="361" t="s">
        <v>3098</v>
      </c>
      <c r="I6661" s="327">
        <v>1</v>
      </c>
      <c r="J6661" s="363"/>
      <c r="K6661" s="345">
        <f t="shared" si="388"/>
        <v>12</v>
      </c>
      <c r="L6661" s="710" t="s">
        <v>2286</v>
      </c>
      <c r="M6661" s="371"/>
      <c r="N6661" s="355" t="str">
        <f t="shared" si="429"/>
        <v>KI</v>
      </c>
      <c r="O6661" s="345">
        <f t="shared" si="421"/>
        <v>19</v>
      </c>
      <c r="P6661" s="345">
        <f t="shared" si="389"/>
        <v>19</v>
      </c>
      <c r="Q6661" s="367">
        <f t="shared" si="422"/>
        <v>220182</v>
      </c>
      <c r="R6661" s="442" t="str">
        <f t="shared" si="423"/>
        <v>Gioăng kính Nr.67</v>
      </c>
      <c r="S6661" s="367">
        <f t="shared" si="424"/>
        <v>560610</v>
      </c>
      <c r="T6661" s="367" t="str">
        <f t="shared" si="425"/>
        <v>Nẹp kính 18.5</v>
      </c>
      <c r="U6661" s="367"/>
      <c r="V6661" s="367">
        <f t="shared" si="426"/>
        <v>560580</v>
      </c>
      <c r="W6661" s="442" t="str">
        <f t="shared" si="427"/>
        <v>Nẹp kính 6.5</v>
      </c>
      <c r="X6661" s="786"/>
      <c r="Y6661" s="1128" t="s">
        <v>3380</v>
      </c>
      <c r="Z6661" s="1128" t="s">
        <v>3381</v>
      </c>
      <c r="AA6661" s="1128" t="s">
        <v>3384</v>
      </c>
      <c r="AB6661" s="20"/>
      <c r="AC6661" s="73"/>
    </row>
    <row r="6662" spans="1:29" ht="25">
      <c r="A6662" s="327" t="str">
        <f>IF(AND($B6662&lt;&gt;"",$C6662&lt;&gt;""),MAX($A$6492:$A6639)+1,"")</f>
        <v/>
      </c>
      <c r="B6662" s="361"/>
      <c r="C6662" s="362"/>
      <c r="D6662" s="362">
        <v>170</v>
      </c>
      <c r="E6662" s="361" t="s">
        <v>3107</v>
      </c>
      <c r="F6662" s="362" t="s">
        <v>3636</v>
      </c>
      <c r="G6662" s="367" t="s">
        <v>240</v>
      </c>
      <c r="H6662" s="361" t="s">
        <v>3099</v>
      </c>
      <c r="I6662" s="327">
        <v>1</v>
      </c>
      <c r="J6662" s="363"/>
      <c r="K6662" s="345">
        <f t="shared" si="388"/>
        <v>12</v>
      </c>
      <c r="L6662" s="710" t="s">
        <v>2286</v>
      </c>
      <c r="M6662" s="371"/>
      <c r="N6662" s="355" t="str">
        <f t="shared" si="429"/>
        <v>KI</v>
      </c>
      <c r="O6662" s="345">
        <f t="shared" si="421"/>
        <v>19</v>
      </c>
      <c r="P6662" s="345">
        <f t="shared" si="389"/>
        <v>19</v>
      </c>
      <c r="Q6662" s="367">
        <f t="shared" si="422"/>
        <v>220182</v>
      </c>
      <c r="R6662" s="442" t="str">
        <f t="shared" si="423"/>
        <v>Gioăng kính Nr.67</v>
      </c>
      <c r="S6662" s="367">
        <f t="shared" si="424"/>
        <v>560610</v>
      </c>
      <c r="T6662" s="367" t="str">
        <f t="shared" si="425"/>
        <v>Nẹp kính 18.5</v>
      </c>
      <c r="U6662" s="367"/>
      <c r="V6662" s="367">
        <f t="shared" si="426"/>
        <v>560580</v>
      </c>
      <c r="W6662" s="442" t="str">
        <f t="shared" si="427"/>
        <v>Nẹp kính 6.5</v>
      </c>
      <c r="X6662" s="786"/>
      <c r="Y6662" s="1128" t="s">
        <v>3380</v>
      </c>
      <c r="Z6662" s="1128" t="s">
        <v>3381</v>
      </c>
      <c r="AA6662" s="1128" t="s">
        <v>3384</v>
      </c>
      <c r="AB6662" s="20"/>
      <c r="AC6662" s="73"/>
    </row>
    <row r="6663" spans="1:29" ht="25">
      <c r="A6663" s="327" t="str">
        <f>IF(AND($B6663&lt;&gt;"",$C6663&lt;&gt;""),MAX($A$6492:$A6640)+1,"")</f>
        <v/>
      </c>
      <c r="B6663" s="361"/>
      <c r="C6663" s="362"/>
      <c r="D6663" s="362">
        <v>171</v>
      </c>
      <c r="E6663" s="361" t="s">
        <v>3108</v>
      </c>
      <c r="F6663" s="362" t="s">
        <v>3637</v>
      </c>
      <c r="G6663" s="367" t="s">
        <v>240</v>
      </c>
      <c r="H6663" s="361" t="s">
        <v>3100</v>
      </c>
      <c r="I6663" s="327">
        <v>1</v>
      </c>
      <c r="J6663" s="363"/>
      <c r="K6663" s="345">
        <f t="shared" si="388"/>
        <v>12</v>
      </c>
      <c r="L6663" s="710" t="s">
        <v>2286</v>
      </c>
      <c r="M6663" s="371"/>
      <c r="N6663" s="355" t="str">
        <f t="shared" si="429"/>
        <v>KI</v>
      </c>
      <c r="O6663" s="345">
        <f t="shared" si="421"/>
        <v>19</v>
      </c>
      <c r="P6663" s="345">
        <f t="shared" si="389"/>
        <v>19</v>
      </c>
      <c r="Q6663" s="367">
        <f t="shared" si="422"/>
        <v>220182</v>
      </c>
      <c r="R6663" s="442" t="str">
        <f t="shared" si="423"/>
        <v>Gioăng kính Nr.67</v>
      </c>
      <c r="S6663" s="367">
        <f t="shared" si="424"/>
        <v>560610</v>
      </c>
      <c r="T6663" s="367" t="str">
        <f t="shared" si="425"/>
        <v>Nẹp kính 18.5</v>
      </c>
      <c r="U6663" s="367"/>
      <c r="V6663" s="367">
        <f t="shared" si="426"/>
        <v>560580</v>
      </c>
      <c r="W6663" s="442" t="str">
        <f t="shared" si="427"/>
        <v>Nẹp kính 6.5</v>
      </c>
      <c r="X6663" s="786"/>
      <c r="Y6663" s="1128" t="s">
        <v>3380</v>
      </c>
      <c r="Z6663" s="1128" t="s">
        <v>3381</v>
      </c>
      <c r="AA6663" s="1128" t="s">
        <v>3384</v>
      </c>
      <c r="AB6663" s="20"/>
      <c r="AC6663" s="73"/>
    </row>
    <row r="6664" spans="1:29" ht="25">
      <c r="A6664" s="327" t="str">
        <f>IF(AND($B6664&lt;&gt;"",$C6664&lt;&gt;""),MAX($A$6492:$A6641)+1,"")</f>
        <v/>
      </c>
      <c r="B6664" s="361"/>
      <c r="C6664" s="362"/>
      <c r="D6664" s="362">
        <v>172</v>
      </c>
      <c r="E6664" s="361" t="s">
        <v>3109</v>
      </c>
      <c r="F6664" s="362" t="s">
        <v>3638</v>
      </c>
      <c r="G6664" s="367" t="s">
        <v>240</v>
      </c>
      <c r="H6664" s="361" t="s">
        <v>3101</v>
      </c>
      <c r="I6664" s="327">
        <v>1</v>
      </c>
      <c r="J6664" s="363"/>
      <c r="K6664" s="345">
        <f t="shared" si="388"/>
        <v>12</v>
      </c>
      <c r="L6664" s="710" t="s">
        <v>2286</v>
      </c>
      <c r="M6664" s="371"/>
      <c r="N6664" s="355" t="str">
        <f t="shared" si="429"/>
        <v>KI</v>
      </c>
      <c r="O6664" s="345">
        <f t="shared" si="421"/>
        <v>19</v>
      </c>
      <c r="P6664" s="345">
        <f t="shared" si="389"/>
        <v>19</v>
      </c>
      <c r="Q6664" s="367">
        <f t="shared" si="422"/>
        <v>220182</v>
      </c>
      <c r="R6664" s="442" t="str">
        <f t="shared" si="423"/>
        <v>Gioăng kính Nr.67</v>
      </c>
      <c r="S6664" s="367">
        <f t="shared" si="424"/>
        <v>560610</v>
      </c>
      <c r="T6664" s="367" t="str">
        <f t="shared" si="425"/>
        <v>Nẹp kính 18.5</v>
      </c>
      <c r="U6664" s="367"/>
      <c r="V6664" s="367">
        <f t="shared" si="426"/>
        <v>560580</v>
      </c>
      <c r="W6664" s="442" t="str">
        <f t="shared" si="427"/>
        <v>Nẹp kính 6.5</v>
      </c>
      <c r="X6664" s="786"/>
      <c r="Y6664" s="1128" t="s">
        <v>3380</v>
      </c>
      <c r="Z6664" s="1128" t="s">
        <v>3381</v>
      </c>
      <c r="AA6664" s="1128" t="s">
        <v>3384</v>
      </c>
      <c r="AB6664" s="20"/>
      <c r="AC6664" s="73"/>
    </row>
    <row r="6665" spans="1:29" ht="25">
      <c r="A6665" s="327" t="str">
        <f>IF(AND($B6665&lt;&gt;"",$C6665&lt;&gt;""),MAX($A$6492:$A6642)+1,"")</f>
        <v/>
      </c>
      <c r="B6665" s="361"/>
      <c r="C6665" s="362"/>
      <c r="D6665" s="362">
        <v>173</v>
      </c>
      <c r="E6665" s="361" t="s">
        <v>3110</v>
      </c>
      <c r="F6665" s="362" t="s">
        <v>3639</v>
      </c>
      <c r="G6665" s="367" t="s">
        <v>240</v>
      </c>
      <c r="H6665" s="361" t="s">
        <v>3098</v>
      </c>
      <c r="I6665" s="327">
        <v>1</v>
      </c>
      <c r="J6665" s="363"/>
      <c r="K6665" s="345">
        <f t="shared" si="388"/>
        <v>12</v>
      </c>
      <c r="L6665" s="710" t="s">
        <v>2286</v>
      </c>
      <c r="M6665" s="371"/>
      <c r="N6665" s="355" t="str">
        <f t="shared" si="429"/>
        <v>KI</v>
      </c>
      <c r="O6665" s="345">
        <f t="shared" si="421"/>
        <v>20</v>
      </c>
      <c r="P6665" s="345" t="str">
        <f t="shared" si="389"/>
        <v/>
      </c>
      <c r="Q6665" s="367">
        <f t="shared" ref="Q6665:Q6693" si="430">VLOOKUP(VALUE(MID($E6665,3,2)),$P$6943:$W$6975,2)</f>
        <v>229304</v>
      </c>
      <c r="R6665" s="442" t="str">
        <f t="shared" ref="R6665:R6693" si="431">VLOOKUP(VALUE(MID($E6665,3,2)),$P$6943:$W$6975,3)</f>
        <v>Gioăng kính Nr.66</v>
      </c>
      <c r="S6665" s="367">
        <f t="shared" ref="S6665:S6693" si="432">VLOOKUP(VALUE(MID($E6665,3,2)),$P$6943:$W$6975,4)</f>
        <v>560610</v>
      </c>
      <c r="T6665" s="367" t="str">
        <f t="shared" ref="T6665:T6693" si="433">VLOOKUP(VALUE(MID($E6665,3,2)),$P$6943:$W$6975,5)</f>
        <v>Nẹp kính 18.5</v>
      </c>
      <c r="U6665" s="367"/>
      <c r="V6665" s="367">
        <f t="shared" ref="V6665:V6693" si="434">VLOOKUP(VALUE(MID($E6665,3,2)),$P$6943:$W$6975,7)</f>
        <v>560580</v>
      </c>
      <c r="W6665" s="442" t="str">
        <f t="shared" ref="W6665:W6693" si="435">VLOOKUP(VALUE(MID($E6665,3,2)),$P$6943:$W$6975,8)</f>
        <v>Nẹp kính 6.5</v>
      </c>
      <c r="X6665" s="786"/>
      <c r="Y6665" s="1128" t="s">
        <v>3380</v>
      </c>
      <c r="Z6665" s="1128" t="s">
        <v>3381</v>
      </c>
      <c r="AA6665" s="1128" t="s">
        <v>3384</v>
      </c>
      <c r="AB6665" s="20"/>
      <c r="AC6665" s="73"/>
    </row>
    <row r="6666" spans="1:29" ht="25">
      <c r="A6666" s="327" t="str">
        <f>IF(AND($B6666&lt;&gt;"",$C6666&lt;&gt;""),MAX($A$6492:$A6643)+1,"")</f>
        <v/>
      </c>
      <c r="B6666" s="361"/>
      <c r="C6666" s="362"/>
      <c r="D6666" s="362">
        <v>174</v>
      </c>
      <c r="E6666" s="361" t="s">
        <v>3111</v>
      </c>
      <c r="F6666" s="362" t="s">
        <v>3640</v>
      </c>
      <c r="G6666" s="367" t="s">
        <v>240</v>
      </c>
      <c r="H6666" s="361" t="s">
        <v>3099</v>
      </c>
      <c r="I6666" s="327">
        <v>1</v>
      </c>
      <c r="J6666" s="363"/>
      <c r="K6666" s="345">
        <f t="shared" si="388"/>
        <v>12</v>
      </c>
      <c r="L6666" s="710" t="s">
        <v>2286</v>
      </c>
      <c r="M6666" s="371"/>
      <c r="N6666" s="355" t="str">
        <f t="shared" si="429"/>
        <v>KI</v>
      </c>
      <c r="O6666" s="345">
        <f t="shared" si="421"/>
        <v>20</v>
      </c>
      <c r="P6666" s="345" t="str">
        <f t="shared" si="389"/>
        <v/>
      </c>
      <c r="Q6666" s="367">
        <f t="shared" si="430"/>
        <v>229304</v>
      </c>
      <c r="R6666" s="442" t="str">
        <f t="shared" si="431"/>
        <v>Gioăng kính Nr.66</v>
      </c>
      <c r="S6666" s="367">
        <f t="shared" si="432"/>
        <v>560610</v>
      </c>
      <c r="T6666" s="367" t="str">
        <f t="shared" si="433"/>
        <v>Nẹp kính 18.5</v>
      </c>
      <c r="U6666" s="367"/>
      <c r="V6666" s="367">
        <f t="shared" si="434"/>
        <v>560580</v>
      </c>
      <c r="W6666" s="442" t="str">
        <f t="shared" si="435"/>
        <v>Nẹp kính 6.5</v>
      </c>
      <c r="X6666" s="786"/>
      <c r="Y6666" s="1128" t="s">
        <v>3380</v>
      </c>
      <c r="Z6666" s="1128" t="s">
        <v>3381</v>
      </c>
      <c r="AA6666" s="1128" t="s">
        <v>3384</v>
      </c>
      <c r="AB6666" s="20"/>
      <c r="AC6666" s="73"/>
    </row>
    <row r="6667" spans="1:29" ht="25">
      <c r="A6667" s="327" t="str">
        <f>IF(AND($B6667&lt;&gt;"",$C6667&lt;&gt;""),MAX($A$6492:$A6644)+1,"")</f>
        <v/>
      </c>
      <c r="B6667" s="361"/>
      <c r="C6667" s="362"/>
      <c r="D6667" s="362">
        <v>175</v>
      </c>
      <c r="E6667" s="361" t="s">
        <v>3112</v>
      </c>
      <c r="F6667" s="362" t="s">
        <v>3641</v>
      </c>
      <c r="G6667" s="367" t="s">
        <v>240</v>
      </c>
      <c r="H6667" s="361" t="s">
        <v>3100</v>
      </c>
      <c r="I6667" s="327">
        <v>1</v>
      </c>
      <c r="J6667" s="363"/>
      <c r="K6667" s="345">
        <f t="shared" si="388"/>
        <v>12</v>
      </c>
      <c r="L6667" s="710" t="s">
        <v>2286</v>
      </c>
      <c r="M6667" s="371"/>
      <c r="N6667" s="355" t="str">
        <f t="shared" si="429"/>
        <v>KI</v>
      </c>
      <c r="O6667" s="345">
        <f t="shared" si="421"/>
        <v>20</v>
      </c>
      <c r="P6667" s="345" t="str">
        <f t="shared" si="389"/>
        <v/>
      </c>
      <c r="Q6667" s="367">
        <f t="shared" si="430"/>
        <v>229304</v>
      </c>
      <c r="R6667" s="442" t="str">
        <f t="shared" si="431"/>
        <v>Gioăng kính Nr.66</v>
      </c>
      <c r="S6667" s="367">
        <f t="shared" si="432"/>
        <v>560610</v>
      </c>
      <c r="T6667" s="367" t="str">
        <f t="shared" si="433"/>
        <v>Nẹp kính 18.5</v>
      </c>
      <c r="U6667" s="367"/>
      <c r="V6667" s="367">
        <f t="shared" si="434"/>
        <v>560580</v>
      </c>
      <c r="W6667" s="442" t="str">
        <f t="shared" si="435"/>
        <v>Nẹp kính 6.5</v>
      </c>
      <c r="X6667" s="786"/>
      <c r="Y6667" s="1128" t="s">
        <v>3380</v>
      </c>
      <c r="Z6667" s="1128" t="s">
        <v>3381</v>
      </c>
      <c r="AA6667" s="1128" t="s">
        <v>3384</v>
      </c>
      <c r="AB6667" s="20"/>
      <c r="AC6667" s="73"/>
    </row>
    <row r="6668" spans="1:29" ht="25">
      <c r="A6668" s="327" t="str">
        <f>IF(AND($B6668&lt;&gt;"",$C6668&lt;&gt;""),MAX($A$6492:$A6645)+1,"")</f>
        <v/>
      </c>
      <c r="B6668" s="361"/>
      <c r="C6668" s="362"/>
      <c r="D6668" s="362">
        <v>176</v>
      </c>
      <c r="E6668" s="361" t="s">
        <v>3113</v>
      </c>
      <c r="F6668" s="362" t="s">
        <v>3642</v>
      </c>
      <c r="G6668" s="367" t="s">
        <v>240</v>
      </c>
      <c r="H6668" s="361" t="s">
        <v>3101</v>
      </c>
      <c r="I6668" s="327">
        <v>1</v>
      </c>
      <c r="J6668" s="363"/>
      <c r="K6668" s="345">
        <f t="shared" si="388"/>
        <v>12</v>
      </c>
      <c r="L6668" s="710" t="s">
        <v>2286</v>
      </c>
      <c r="M6668" s="371"/>
      <c r="N6668" s="355" t="str">
        <f t="shared" si="429"/>
        <v>KI</v>
      </c>
      <c r="O6668" s="345">
        <f t="shared" si="421"/>
        <v>20</v>
      </c>
      <c r="P6668" s="345" t="str">
        <f t="shared" si="389"/>
        <v/>
      </c>
      <c r="Q6668" s="367">
        <f t="shared" si="430"/>
        <v>229304</v>
      </c>
      <c r="R6668" s="442" t="str">
        <f t="shared" si="431"/>
        <v>Gioăng kính Nr.66</v>
      </c>
      <c r="S6668" s="367">
        <f t="shared" si="432"/>
        <v>560610</v>
      </c>
      <c r="T6668" s="367" t="str">
        <f t="shared" si="433"/>
        <v>Nẹp kính 18.5</v>
      </c>
      <c r="U6668" s="367"/>
      <c r="V6668" s="367">
        <f t="shared" si="434"/>
        <v>560580</v>
      </c>
      <c r="W6668" s="442" t="str">
        <f t="shared" si="435"/>
        <v>Nẹp kính 6.5</v>
      </c>
      <c r="X6668" s="786"/>
      <c r="Y6668" s="1128" t="s">
        <v>3380</v>
      </c>
      <c r="Z6668" s="1128" t="s">
        <v>3381</v>
      </c>
      <c r="AA6668" s="1128" t="s">
        <v>3384</v>
      </c>
      <c r="AB6668" s="20"/>
      <c r="AC6668" s="73"/>
    </row>
    <row r="6669" spans="1:29" ht="25">
      <c r="A6669" s="327" t="str">
        <f>IF(AND($B6669&lt;&gt;"",$C6669&lt;&gt;""),MAX($A$6492:$A6646)+1,"")</f>
        <v/>
      </c>
      <c r="B6669" s="361"/>
      <c r="C6669" s="362"/>
      <c r="D6669" s="362">
        <v>177</v>
      </c>
      <c r="E6669" s="361" t="s">
        <v>3114</v>
      </c>
      <c r="F6669" s="362" t="s">
        <v>3643</v>
      </c>
      <c r="G6669" s="367" t="s">
        <v>240</v>
      </c>
      <c r="H6669" s="361" t="s">
        <v>3098</v>
      </c>
      <c r="I6669" s="327">
        <v>1</v>
      </c>
      <c r="J6669" s="363"/>
      <c r="K6669" s="345">
        <f t="shared" si="388"/>
        <v>12</v>
      </c>
      <c r="L6669" s="710" t="s">
        <v>2286</v>
      </c>
      <c r="M6669" s="371"/>
      <c r="N6669" s="355" t="str">
        <f t="shared" si="429"/>
        <v>KI</v>
      </c>
      <c r="O6669" s="345">
        <f t="shared" si="421"/>
        <v>20</v>
      </c>
      <c r="P6669" s="345" t="str">
        <f t="shared" si="389"/>
        <v/>
      </c>
      <c r="Q6669" s="367">
        <f t="shared" si="430"/>
        <v>229314</v>
      </c>
      <c r="R6669" s="442" t="str">
        <f t="shared" si="431"/>
        <v>Gioăng kính Nr.68</v>
      </c>
      <c r="S6669" s="367">
        <f t="shared" si="432"/>
        <v>500283</v>
      </c>
      <c r="T6669" s="367" t="str">
        <f t="shared" si="433"/>
        <v>Nẹp kính 14.5</v>
      </c>
      <c r="U6669" s="367"/>
      <c r="V6669" s="367">
        <f t="shared" si="434"/>
        <v>0</v>
      </c>
      <c r="W6669" s="442">
        <f t="shared" si="435"/>
        <v>0</v>
      </c>
      <c r="X6669" s="786"/>
      <c r="Y6669" s="1128" t="s">
        <v>3380</v>
      </c>
      <c r="Z6669" s="1128" t="s">
        <v>3381</v>
      </c>
      <c r="AA6669" s="1128" t="s">
        <v>3384</v>
      </c>
      <c r="AB6669" s="20"/>
      <c r="AC6669" s="73"/>
    </row>
    <row r="6670" spans="1:29" ht="25">
      <c r="A6670" s="327" t="str">
        <f>IF(AND($B6670&lt;&gt;"",$C6670&lt;&gt;""),MAX($A$6492:$A6647)+1,"")</f>
        <v/>
      </c>
      <c r="B6670" s="361"/>
      <c r="C6670" s="362"/>
      <c r="D6670" s="362">
        <v>178</v>
      </c>
      <c r="E6670" s="361" t="s">
        <v>3115</v>
      </c>
      <c r="F6670" s="362" t="s">
        <v>3644</v>
      </c>
      <c r="G6670" s="367" t="s">
        <v>240</v>
      </c>
      <c r="H6670" s="361" t="s">
        <v>3099</v>
      </c>
      <c r="I6670" s="327">
        <v>1</v>
      </c>
      <c r="J6670" s="363"/>
      <c r="K6670" s="345">
        <f t="shared" si="388"/>
        <v>12</v>
      </c>
      <c r="L6670" s="710" t="s">
        <v>2286</v>
      </c>
      <c r="M6670" s="371"/>
      <c r="N6670" s="355" t="str">
        <f t="shared" si="429"/>
        <v>KI</v>
      </c>
      <c r="O6670" s="345">
        <f t="shared" si="421"/>
        <v>20</v>
      </c>
      <c r="P6670" s="345" t="str">
        <f t="shared" si="389"/>
        <v/>
      </c>
      <c r="Q6670" s="367">
        <f t="shared" si="430"/>
        <v>229314</v>
      </c>
      <c r="R6670" s="442" t="str">
        <f t="shared" si="431"/>
        <v>Gioăng kính Nr.68</v>
      </c>
      <c r="S6670" s="367">
        <f t="shared" si="432"/>
        <v>500283</v>
      </c>
      <c r="T6670" s="367" t="str">
        <f t="shared" si="433"/>
        <v>Nẹp kính 14.5</v>
      </c>
      <c r="U6670" s="367"/>
      <c r="V6670" s="367">
        <f t="shared" si="434"/>
        <v>0</v>
      </c>
      <c r="W6670" s="442">
        <f t="shared" si="435"/>
        <v>0</v>
      </c>
      <c r="X6670" s="786"/>
      <c r="Y6670" s="1128" t="s">
        <v>3380</v>
      </c>
      <c r="Z6670" s="1128" t="s">
        <v>3381</v>
      </c>
      <c r="AA6670" s="1128" t="s">
        <v>3384</v>
      </c>
      <c r="AB6670" s="20"/>
      <c r="AC6670" s="73"/>
    </row>
    <row r="6671" spans="1:29" ht="25">
      <c r="A6671" s="327" t="str">
        <f>IF(AND($B6671&lt;&gt;"",$C6671&lt;&gt;""),MAX($A$6492:$A6648)+1,"")</f>
        <v/>
      </c>
      <c r="B6671" s="361"/>
      <c r="C6671" s="362"/>
      <c r="D6671" s="362">
        <v>179</v>
      </c>
      <c r="E6671" s="361" t="s">
        <v>3116</v>
      </c>
      <c r="F6671" s="362" t="s">
        <v>3645</v>
      </c>
      <c r="G6671" s="367" t="s">
        <v>240</v>
      </c>
      <c r="H6671" s="361" t="s">
        <v>3100</v>
      </c>
      <c r="I6671" s="327">
        <v>1</v>
      </c>
      <c r="J6671" s="363"/>
      <c r="K6671" s="345">
        <f t="shared" si="388"/>
        <v>12</v>
      </c>
      <c r="L6671" s="710" t="s">
        <v>2286</v>
      </c>
      <c r="M6671" s="371"/>
      <c r="N6671" s="355" t="str">
        <f t="shared" si="429"/>
        <v>KI</v>
      </c>
      <c r="O6671" s="345">
        <f t="shared" si="421"/>
        <v>20</v>
      </c>
      <c r="P6671" s="345" t="str">
        <f t="shared" si="389"/>
        <v/>
      </c>
      <c r="Q6671" s="367">
        <f t="shared" si="430"/>
        <v>229314</v>
      </c>
      <c r="R6671" s="442" t="str">
        <f t="shared" si="431"/>
        <v>Gioăng kính Nr.68</v>
      </c>
      <c r="S6671" s="367">
        <f t="shared" si="432"/>
        <v>500283</v>
      </c>
      <c r="T6671" s="367" t="str">
        <f t="shared" si="433"/>
        <v>Nẹp kính 14.5</v>
      </c>
      <c r="U6671" s="367"/>
      <c r="V6671" s="367">
        <f t="shared" si="434"/>
        <v>0</v>
      </c>
      <c r="W6671" s="442">
        <f t="shared" si="435"/>
        <v>0</v>
      </c>
      <c r="X6671" s="786"/>
      <c r="Y6671" s="1128" t="s">
        <v>3380</v>
      </c>
      <c r="Z6671" s="1128" t="s">
        <v>3381</v>
      </c>
      <c r="AA6671" s="1128" t="s">
        <v>3384</v>
      </c>
      <c r="AB6671" s="20"/>
      <c r="AC6671" s="73"/>
    </row>
    <row r="6672" spans="1:29" ht="25">
      <c r="A6672" s="327" t="str">
        <f>IF(AND($B6672&lt;&gt;"",$C6672&lt;&gt;""),MAX($A$6492:$A6649)+1,"")</f>
        <v/>
      </c>
      <c r="B6672" s="361"/>
      <c r="C6672" s="362"/>
      <c r="D6672" s="362">
        <v>180</v>
      </c>
      <c r="E6672" s="361" t="s">
        <v>3117</v>
      </c>
      <c r="F6672" s="362" t="s">
        <v>3646</v>
      </c>
      <c r="G6672" s="367" t="s">
        <v>240</v>
      </c>
      <c r="H6672" s="361" t="s">
        <v>3101</v>
      </c>
      <c r="I6672" s="327">
        <v>1</v>
      </c>
      <c r="J6672" s="363"/>
      <c r="K6672" s="345">
        <f t="shared" si="388"/>
        <v>12</v>
      </c>
      <c r="L6672" s="710" t="s">
        <v>2286</v>
      </c>
      <c r="M6672" s="371"/>
      <c r="N6672" s="355" t="str">
        <f t="shared" si="429"/>
        <v>KI</v>
      </c>
      <c r="O6672" s="345">
        <f t="shared" si="421"/>
        <v>20</v>
      </c>
      <c r="P6672" s="345" t="str">
        <f t="shared" si="389"/>
        <v/>
      </c>
      <c r="Q6672" s="367">
        <f t="shared" si="430"/>
        <v>229314</v>
      </c>
      <c r="R6672" s="442" t="str">
        <f t="shared" si="431"/>
        <v>Gioăng kính Nr.68</v>
      </c>
      <c r="S6672" s="367">
        <f t="shared" si="432"/>
        <v>500283</v>
      </c>
      <c r="T6672" s="367" t="str">
        <f t="shared" si="433"/>
        <v>Nẹp kính 14.5</v>
      </c>
      <c r="U6672" s="367"/>
      <c r="V6672" s="367">
        <f t="shared" si="434"/>
        <v>0</v>
      </c>
      <c r="W6672" s="442">
        <f t="shared" si="435"/>
        <v>0</v>
      </c>
      <c r="X6672" s="786"/>
      <c r="Y6672" s="1128" t="s">
        <v>3380</v>
      </c>
      <c r="Z6672" s="1128" t="s">
        <v>3381</v>
      </c>
      <c r="AA6672" s="1128" t="s">
        <v>3384</v>
      </c>
      <c r="AB6672" s="20"/>
      <c r="AC6672" s="73"/>
    </row>
    <row r="6673" spans="1:29" ht="25">
      <c r="A6673" s="327" t="str">
        <f>IF(AND($B6673&lt;&gt;"",$C6673&lt;&gt;""),MAX($A$6492:$A6650)+1,"")</f>
        <v/>
      </c>
      <c r="B6673" s="361"/>
      <c r="C6673" s="362"/>
      <c r="D6673" s="362">
        <v>181</v>
      </c>
      <c r="E6673" s="361" t="s">
        <v>3118</v>
      </c>
      <c r="F6673" s="362" t="s">
        <v>3647</v>
      </c>
      <c r="G6673" s="367" t="s">
        <v>240</v>
      </c>
      <c r="H6673" s="361" t="s">
        <v>3119</v>
      </c>
      <c r="I6673" s="327">
        <v>1</v>
      </c>
      <c r="J6673" s="363"/>
      <c r="K6673" s="345">
        <f t="shared" si="388"/>
        <v>12</v>
      </c>
      <c r="L6673" s="710" t="s">
        <v>2286</v>
      </c>
      <c r="M6673" s="371"/>
      <c r="N6673" s="355" t="str">
        <f t="shared" si="429"/>
        <v>KI</v>
      </c>
      <c r="O6673" s="345">
        <f t="shared" si="421"/>
        <v>19</v>
      </c>
      <c r="P6673" s="345" t="str">
        <f t="shared" si="389"/>
        <v/>
      </c>
      <c r="Q6673" s="367">
        <f t="shared" si="430"/>
        <v>229304</v>
      </c>
      <c r="R6673" s="442" t="str">
        <f t="shared" si="431"/>
        <v>Gioăng kính Nr.66</v>
      </c>
      <c r="S6673" s="367">
        <f t="shared" si="432"/>
        <v>560510</v>
      </c>
      <c r="T6673" s="367" t="str">
        <f t="shared" si="433"/>
        <v>Nẹp kính 22.5</v>
      </c>
      <c r="U6673" s="367"/>
      <c r="V6673" s="367">
        <f t="shared" si="434"/>
        <v>560590</v>
      </c>
      <c r="W6673" s="442" t="str">
        <f t="shared" si="435"/>
        <v>Nẹp kính 10.5</v>
      </c>
      <c r="X6673" s="786"/>
      <c r="Y6673" s="1128" t="s">
        <v>3380</v>
      </c>
      <c r="Z6673" s="1128" t="s">
        <v>3381</v>
      </c>
      <c r="AA6673" s="1128" t="s">
        <v>3384</v>
      </c>
      <c r="AB6673" s="20"/>
      <c r="AC6673" s="73"/>
    </row>
    <row r="6674" spans="1:29" ht="25">
      <c r="A6674" s="327" t="str">
        <f>IF(AND($B6674&lt;&gt;"",$C6674&lt;&gt;""),MAX($A$6492:$A6651)+1,"")</f>
        <v/>
      </c>
      <c r="B6674" s="361"/>
      <c r="C6674" s="362"/>
      <c r="D6674" s="362">
        <v>182</v>
      </c>
      <c r="E6674" s="361" t="s">
        <v>3120</v>
      </c>
      <c r="F6674" s="362" t="s">
        <v>3648</v>
      </c>
      <c r="G6674" s="367" t="s">
        <v>240</v>
      </c>
      <c r="H6674" s="361" t="s">
        <v>3119</v>
      </c>
      <c r="I6674" s="327">
        <v>1</v>
      </c>
      <c r="J6674" s="363"/>
      <c r="K6674" s="345">
        <f t="shared" si="388"/>
        <v>12</v>
      </c>
      <c r="L6674" s="710" t="s">
        <v>2286</v>
      </c>
      <c r="M6674" s="371"/>
      <c r="N6674" s="355" t="str">
        <f t="shared" si="429"/>
        <v>KI</v>
      </c>
      <c r="O6674" s="345">
        <f t="shared" si="421"/>
        <v>19</v>
      </c>
      <c r="P6674" s="345">
        <f t="shared" si="389"/>
        <v>19</v>
      </c>
      <c r="Q6674" s="367">
        <f t="shared" si="430"/>
        <v>220182</v>
      </c>
      <c r="R6674" s="442" t="str">
        <f t="shared" si="431"/>
        <v>Gioăng kính Nr.67</v>
      </c>
      <c r="S6674" s="367">
        <f t="shared" si="432"/>
        <v>560610</v>
      </c>
      <c r="T6674" s="367" t="str">
        <f t="shared" si="433"/>
        <v>Nẹp kính 18.5</v>
      </c>
      <c r="U6674" s="367"/>
      <c r="V6674" s="367">
        <f t="shared" si="434"/>
        <v>560580</v>
      </c>
      <c r="W6674" s="442" t="str">
        <f t="shared" si="435"/>
        <v>Nẹp kính 6.5</v>
      </c>
      <c r="X6674" s="786"/>
      <c r="Y6674" s="1128" t="s">
        <v>3380</v>
      </c>
      <c r="Z6674" s="1128" t="s">
        <v>3381</v>
      </c>
      <c r="AA6674" s="1128" t="s">
        <v>3384</v>
      </c>
      <c r="AB6674" s="20"/>
      <c r="AC6674" s="73"/>
    </row>
    <row r="6675" spans="1:29" ht="25">
      <c r="A6675" s="327" t="str">
        <f>IF(AND($B6675&lt;&gt;"",$C6675&lt;&gt;""),MAX($A$6492:$A6652)+1,"")</f>
        <v/>
      </c>
      <c r="B6675" s="361"/>
      <c r="C6675" s="362"/>
      <c r="D6675" s="362">
        <v>183</v>
      </c>
      <c r="E6675" s="361" t="s">
        <v>3124</v>
      </c>
      <c r="F6675" s="362" t="s">
        <v>3649</v>
      </c>
      <c r="G6675" s="367" t="s">
        <v>240</v>
      </c>
      <c r="H6675" s="361" t="s">
        <v>3119</v>
      </c>
      <c r="I6675" s="327">
        <v>1</v>
      </c>
      <c r="J6675" s="363"/>
      <c r="K6675" s="345">
        <f t="shared" si="388"/>
        <v>12</v>
      </c>
      <c r="L6675" s="710" t="s">
        <v>2286</v>
      </c>
      <c r="M6675" s="371"/>
      <c r="N6675" s="355" t="str">
        <f t="shared" si="429"/>
        <v>KI</v>
      </c>
      <c r="O6675" s="345">
        <f t="shared" si="421"/>
        <v>19</v>
      </c>
      <c r="P6675" s="345">
        <f t="shared" si="389"/>
        <v>19</v>
      </c>
      <c r="Q6675" s="367">
        <f t="shared" si="430"/>
        <v>220182</v>
      </c>
      <c r="R6675" s="442" t="str">
        <f t="shared" si="431"/>
        <v>Gioăng kính Nr.67</v>
      </c>
      <c r="S6675" s="367">
        <f t="shared" si="432"/>
        <v>560610</v>
      </c>
      <c r="T6675" s="367" t="str">
        <f t="shared" si="433"/>
        <v>Nẹp kính 18.5</v>
      </c>
      <c r="U6675" s="367"/>
      <c r="V6675" s="367">
        <f t="shared" si="434"/>
        <v>560580</v>
      </c>
      <c r="W6675" s="442" t="str">
        <f t="shared" si="435"/>
        <v>Nẹp kính 6.5</v>
      </c>
      <c r="X6675" s="786"/>
      <c r="Y6675" s="1128" t="s">
        <v>3380</v>
      </c>
      <c r="Z6675" s="1128" t="s">
        <v>3381</v>
      </c>
      <c r="AA6675" s="1128" t="s">
        <v>3384</v>
      </c>
      <c r="AB6675" s="20"/>
      <c r="AC6675" s="73"/>
    </row>
    <row r="6676" spans="1:29" ht="25">
      <c r="A6676" s="327" t="str">
        <f>IF(AND($B6676&lt;&gt;"",$C6676&lt;&gt;""),MAX($A$6492:$A6653)+1,"")</f>
        <v/>
      </c>
      <c r="B6676" s="361"/>
      <c r="C6676" s="362"/>
      <c r="D6676" s="362">
        <v>184</v>
      </c>
      <c r="E6676" s="361" t="s">
        <v>3121</v>
      </c>
      <c r="F6676" s="362" t="s">
        <v>3650</v>
      </c>
      <c r="G6676" s="367" t="s">
        <v>240</v>
      </c>
      <c r="H6676" s="361" t="s">
        <v>3119</v>
      </c>
      <c r="I6676" s="327">
        <v>1</v>
      </c>
      <c r="J6676" s="363"/>
      <c r="K6676" s="345">
        <f t="shared" si="388"/>
        <v>12</v>
      </c>
      <c r="L6676" s="710" t="s">
        <v>2286</v>
      </c>
      <c r="M6676" s="371"/>
      <c r="N6676" s="355" t="str">
        <f t="shared" si="429"/>
        <v>KI</v>
      </c>
      <c r="O6676" s="345">
        <f t="shared" si="421"/>
        <v>20</v>
      </c>
      <c r="P6676" s="345" t="str">
        <f t="shared" si="389"/>
        <v/>
      </c>
      <c r="Q6676" s="367">
        <f t="shared" si="430"/>
        <v>229304</v>
      </c>
      <c r="R6676" s="442" t="str">
        <f t="shared" si="431"/>
        <v>Gioăng kính Nr.66</v>
      </c>
      <c r="S6676" s="367">
        <f t="shared" si="432"/>
        <v>560610</v>
      </c>
      <c r="T6676" s="367" t="str">
        <f t="shared" si="433"/>
        <v>Nẹp kính 18.5</v>
      </c>
      <c r="U6676" s="367"/>
      <c r="V6676" s="367">
        <f t="shared" si="434"/>
        <v>560580</v>
      </c>
      <c r="W6676" s="442" t="str">
        <f t="shared" si="435"/>
        <v>Nẹp kính 6.5</v>
      </c>
      <c r="X6676" s="786"/>
      <c r="Y6676" s="1128" t="s">
        <v>3380</v>
      </c>
      <c r="Z6676" s="1128" t="s">
        <v>3381</v>
      </c>
      <c r="AA6676" s="1128" t="s">
        <v>3384</v>
      </c>
      <c r="AB6676" s="20"/>
      <c r="AC6676" s="73"/>
    </row>
    <row r="6677" spans="1:29" ht="25">
      <c r="A6677" s="327" t="str">
        <f>IF(AND($B6677&lt;&gt;"",$C6677&lt;&gt;""),MAX($A$6492:$A6654)+1,"")</f>
        <v/>
      </c>
      <c r="B6677" s="361"/>
      <c r="C6677" s="362"/>
      <c r="D6677" s="362">
        <v>185</v>
      </c>
      <c r="E6677" s="361" t="s">
        <v>3122</v>
      </c>
      <c r="F6677" s="362" t="s">
        <v>3651</v>
      </c>
      <c r="G6677" s="367" t="s">
        <v>240</v>
      </c>
      <c r="H6677" s="361" t="s">
        <v>3119</v>
      </c>
      <c r="I6677" s="327">
        <v>1</v>
      </c>
      <c r="J6677" s="363"/>
      <c r="K6677" s="345">
        <f t="shared" si="388"/>
        <v>12</v>
      </c>
      <c r="L6677" s="710" t="s">
        <v>2286</v>
      </c>
      <c r="M6677" s="371"/>
      <c r="N6677" s="355" t="str">
        <f t="shared" si="429"/>
        <v>KI</v>
      </c>
      <c r="O6677" s="345">
        <f t="shared" si="421"/>
        <v>20</v>
      </c>
      <c r="P6677" s="345" t="str">
        <f t="shared" si="389"/>
        <v/>
      </c>
      <c r="Q6677" s="367">
        <f t="shared" si="430"/>
        <v>229314</v>
      </c>
      <c r="R6677" s="442" t="str">
        <f t="shared" si="431"/>
        <v>Gioăng kính Nr.68</v>
      </c>
      <c r="S6677" s="367">
        <f t="shared" si="432"/>
        <v>500283</v>
      </c>
      <c r="T6677" s="367" t="str">
        <f t="shared" si="433"/>
        <v>Nẹp kính 14.5</v>
      </c>
      <c r="U6677" s="367"/>
      <c r="V6677" s="367">
        <f t="shared" si="434"/>
        <v>0</v>
      </c>
      <c r="W6677" s="442">
        <f t="shared" si="435"/>
        <v>0</v>
      </c>
      <c r="X6677" s="786"/>
      <c r="Y6677" s="1128" t="s">
        <v>3380</v>
      </c>
      <c r="Z6677" s="1128" t="s">
        <v>3381</v>
      </c>
      <c r="AA6677" s="1128" t="s">
        <v>3384</v>
      </c>
      <c r="AB6677" s="20"/>
      <c r="AC6677" s="73"/>
    </row>
    <row r="6678" spans="1:29" ht="25">
      <c r="A6678" s="327" t="str">
        <f>IF(AND($B6678&lt;&gt;"",$C6678&lt;&gt;""),MAX($A$6492:$A6655)+1,"")</f>
        <v/>
      </c>
      <c r="B6678" s="361"/>
      <c r="C6678" s="362"/>
      <c r="D6678" s="362">
        <v>186</v>
      </c>
      <c r="E6678" s="361" t="s">
        <v>3123</v>
      </c>
      <c r="F6678" s="362" t="s">
        <v>3652</v>
      </c>
      <c r="G6678" s="367" t="s">
        <v>240</v>
      </c>
      <c r="H6678" s="361" t="s">
        <v>3119</v>
      </c>
      <c r="I6678" s="327">
        <v>1</v>
      </c>
      <c r="J6678" s="363"/>
      <c r="K6678" s="345">
        <f t="shared" si="388"/>
        <v>12</v>
      </c>
      <c r="L6678" s="710" t="s">
        <v>2286</v>
      </c>
      <c r="M6678" s="371"/>
      <c r="N6678" s="355" t="str">
        <f t="shared" si="429"/>
        <v>KI</v>
      </c>
      <c r="O6678" s="345">
        <f t="shared" si="421"/>
        <v>20</v>
      </c>
      <c r="P6678" s="345" t="str">
        <f t="shared" si="389"/>
        <v/>
      </c>
      <c r="Q6678" s="367">
        <f t="shared" si="430"/>
        <v>220162</v>
      </c>
      <c r="R6678" s="442" t="str">
        <f t="shared" si="431"/>
        <v>Gioăng kính Nr.65</v>
      </c>
      <c r="S6678" s="367">
        <f t="shared" si="432"/>
        <v>500283</v>
      </c>
      <c r="T6678" s="367" t="str">
        <f t="shared" si="433"/>
        <v>Nẹp kính 14.5</v>
      </c>
      <c r="U6678" s="367"/>
      <c r="V6678" s="367">
        <f t="shared" si="434"/>
        <v>0</v>
      </c>
      <c r="W6678" s="442">
        <f t="shared" si="435"/>
        <v>0</v>
      </c>
      <c r="X6678" s="786"/>
      <c r="Y6678" s="1128" t="s">
        <v>3380</v>
      </c>
      <c r="Z6678" s="1128" t="s">
        <v>3381</v>
      </c>
      <c r="AA6678" s="1128" t="s">
        <v>3384</v>
      </c>
      <c r="AB6678" s="20"/>
      <c r="AC6678" s="73"/>
    </row>
    <row r="6679" spans="1:29" ht="25">
      <c r="A6679" s="327" t="str">
        <f>IF(AND($B6679&lt;&gt;"",$C6679&lt;&gt;""),MAX($A$6492:$A6656)+1,"")</f>
        <v/>
      </c>
      <c r="B6679" s="361"/>
      <c r="C6679" s="362"/>
      <c r="D6679" s="362">
        <v>187</v>
      </c>
      <c r="E6679" s="361" t="s">
        <v>3125</v>
      </c>
      <c r="F6679" s="362" t="s">
        <v>3653</v>
      </c>
      <c r="G6679" s="367" t="s">
        <v>240</v>
      </c>
      <c r="H6679" s="361" t="s">
        <v>3126</v>
      </c>
      <c r="I6679" s="327">
        <v>1</v>
      </c>
      <c r="J6679" s="363"/>
      <c r="K6679" s="345">
        <f t="shared" si="388"/>
        <v>12</v>
      </c>
      <c r="L6679" s="710">
        <v>1970000</v>
      </c>
      <c r="M6679" s="371"/>
      <c r="N6679" s="355" t="str">
        <f t="shared" si="429"/>
        <v>KI</v>
      </c>
      <c r="O6679" s="345">
        <f t="shared" si="421"/>
        <v>20</v>
      </c>
      <c r="P6679" s="345" t="str">
        <f t="shared" si="389"/>
        <v/>
      </c>
      <c r="Q6679" s="367">
        <f t="shared" si="430"/>
        <v>220162</v>
      </c>
      <c r="R6679" s="442" t="str">
        <f t="shared" si="431"/>
        <v>Gioăng kính Nr.65</v>
      </c>
      <c r="S6679" s="367">
        <f t="shared" si="432"/>
        <v>560590</v>
      </c>
      <c r="T6679" s="367" t="str">
        <f t="shared" si="433"/>
        <v>Nẹp kính 10.5</v>
      </c>
      <c r="U6679" s="367"/>
      <c r="V6679" s="367">
        <f t="shared" si="434"/>
        <v>0</v>
      </c>
      <c r="W6679" s="442">
        <f t="shared" si="435"/>
        <v>0</v>
      </c>
      <c r="X6679" s="786"/>
      <c r="Y6679" s="1128" t="s">
        <v>3657</v>
      </c>
      <c r="Z6679" s="1128" t="s">
        <v>3381</v>
      </c>
      <c r="AA6679" s="1128" t="s">
        <v>3384</v>
      </c>
      <c r="AB6679" s="20"/>
      <c r="AC6679" s="73"/>
    </row>
    <row r="6680" spans="1:29" ht="25">
      <c r="A6680" s="327" t="str">
        <f>IF(AND($B6680&lt;&gt;"",$C6680&lt;&gt;""),MAX($A$6492:$A6657)+1,"")</f>
        <v/>
      </c>
      <c r="B6680" s="361"/>
      <c r="C6680" s="362"/>
      <c r="D6680" s="362">
        <v>188</v>
      </c>
      <c r="E6680" s="361" t="s">
        <v>3127</v>
      </c>
      <c r="F6680" s="362" t="s">
        <v>3654</v>
      </c>
      <c r="G6680" s="367" t="s">
        <v>240</v>
      </c>
      <c r="H6680" s="361" t="s">
        <v>3128</v>
      </c>
      <c r="I6680" s="327">
        <v>1</v>
      </c>
      <c r="J6680" s="363"/>
      <c r="K6680" s="345">
        <f t="shared" si="388"/>
        <v>12</v>
      </c>
      <c r="L6680" s="710">
        <v>1970000</v>
      </c>
      <c r="M6680" s="371"/>
      <c r="N6680" s="355" t="str">
        <f t="shared" si="429"/>
        <v>KI</v>
      </c>
      <c r="O6680" s="345">
        <f t="shared" si="421"/>
        <v>20</v>
      </c>
      <c r="P6680" s="345" t="str">
        <f t="shared" si="389"/>
        <v/>
      </c>
      <c r="Q6680" s="367">
        <f t="shared" si="430"/>
        <v>220162</v>
      </c>
      <c r="R6680" s="442" t="str">
        <f t="shared" si="431"/>
        <v>Gioăng kính Nr.65</v>
      </c>
      <c r="S6680" s="367">
        <f t="shared" si="432"/>
        <v>560590</v>
      </c>
      <c r="T6680" s="367" t="str">
        <f t="shared" si="433"/>
        <v>Nẹp kính 10.5</v>
      </c>
      <c r="U6680" s="367"/>
      <c r="V6680" s="367">
        <f t="shared" si="434"/>
        <v>0</v>
      </c>
      <c r="W6680" s="442">
        <f t="shared" si="435"/>
        <v>0</v>
      </c>
      <c r="X6680" s="786"/>
      <c r="Y6680" s="1128" t="s">
        <v>3657</v>
      </c>
      <c r="Z6680" s="1128" t="s">
        <v>3381</v>
      </c>
      <c r="AA6680" s="1128" t="s">
        <v>3384</v>
      </c>
      <c r="AB6680" s="20"/>
      <c r="AC6680" s="73"/>
    </row>
    <row r="6681" spans="1:29" ht="25">
      <c r="A6681" s="327" t="str">
        <f>IF(AND($B6681&lt;&gt;"",$C6681&lt;&gt;""),MAX($A$6492:$A6658)+1,"")</f>
        <v/>
      </c>
      <c r="B6681" s="361"/>
      <c r="C6681" s="362"/>
      <c r="D6681" s="362">
        <v>189</v>
      </c>
      <c r="E6681" s="361" t="s">
        <v>3129</v>
      </c>
      <c r="F6681" s="362" t="s">
        <v>3655</v>
      </c>
      <c r="G6681" s="367" t="s">
        <v>240</v>
      </c>
      <c r="H6681" s="361" t="s">
        <v>3130</v>
      </c>
      <c r="I6681" s="327">
        <v>1</v>
      </c>
      <c r="J6681" s="363"/>
      <c r="K6681" s="345">
        <f t="shared" si="388"/>
        <v>12</v>
      </c>
      <c r="L6681" s="710">
        <v>1970000</v>
      </c>
      <c r="M6681" s="371"/>
      <c r="N6681" s="355" t="str">
        <f t="shared" si="429"/>
        <v>KI</v>
      </c>
      <c r="O6681" s="345">
        <f t="shared" si="421"/>
        <v>20</v>
      </c>
      <c r="P6681" s="345" t="str">
        <f t="shared" si="389"/>
        <v/>
      </c>
      <c r="Q6681" s="367">
        <f t="shared" si="430"/>
        <v>220162</v>
      </c>
      <c r="R6681" s="442" t="str">
        <f t="shared" si="431"/>
        <v>Gioăng kính Nr.65</v>
      </c>
      <c r="S6681" s="367">
        <f t="shared" si="432"/>
        <v>560590</v>
      </c>
      <c r="T6681" s="367" t="str">
        <f t="shared" si="433"/>
        <v>Nẹp kính 10.5</v>
      </c>
      <c r="U6681" s="367"/>
      <c r="V6681" s="367">
        <f t="shared" si="434"/>
        <v>0</v>
      </c>
      <c r="W6681" s="442">
        <f t="shared" si="435"/>
        <v>0</v>
      </c>
      <c r="X6681" s="786"/>
      <c r="Y6681" s="1128" t="s">
        <v>3657</v>
      </c>
      <c r="Z6681" s="1128" t="s">
        <v>3381</v>
      </c>
      <c r="AA6681" s="1128" t="s">
        <v>3384</v>
      </c>
      <c r="AB6681" s="20"/>
      <c r="AC6681" s="73"/>
    </row>
    <row r="6682" spans="1:29" ht="25">
      <c r="A6682" s="327" t="str">
        <f>IF(AND($B6682&lt;&gt;"",$C6682&lt;&gt;""),MAX($A$6492:$A6659)+1,"")</f>
        <v/>
      </c>
      <c r="B6682" s="361"/>
      <c r="C6682" s="362"/>
      <c r="D6682" s="362">
        <v>190</v>
      </c>
      <c r="E6682" s="361" t="s">
        <v>3658</v>
      </c>
      <c r="F6682" s="362" t="s">
        <v>3662</v>
      </c>
      <c r="G6682" s="367" t="s">
        <v>240</v>
      </c>
      <c r="H6682" s="361" t="s">
        <v>3663</v>
      </c>
      <c r="I6682" s="327">
        <v>1</v>
      </c>
      <c r="J6682" s="363"/>
      <c r="K6682" s="345">
        <f t="shared" si="388"/>
        <v>12</v>
      </c>
      <c r="L6682" s="710">
        <v>1970000</v>
      </c>
      <c r="M6682" s="371"/>
      <c r="N6682" s="355" t="str">
        <f t="shared" si="429"/>
        <v>KI</v>
      </c>
      <c r="O6682" s="345">
        <f t="shared" si="421"/>
        <v>20</v>
      </c>
      <c r="P6682" s="345" t="str">
        <f t="shared" si="389"/>
        <v/>
      </c>
      <c r="Q6682" s="367">
        <f t="shared" si="430"/>
        <v>220162</v>
      </c>
      <c r="R6682" s="442" t="str">
        <f t="shared" si="431"/>
        <v>Gioăng kính Nr.65</v>
      </c>
      <c r="S6682" s="367">
        <f t="shared" si="432"/>
        <v>560590</v>
      </c>
      <c r="T6682" s="367" t="str">
        <f t="shared" si="433"/>
        <v>Nẹp kính 10.5</v>
      </c>
      <c r="U6682" s="367"/>
      <c r="V6682" s="367">
        <f t="shared" si="434"/>
        <v>0</v>
      </c>
      <c r="W6682" s="442">
        <f t="shared" si="435"/>
        <v>0</v>
      </c>
      <c r="X6682" s="786"/>
      <c r="Y6682" s="1128" t="s">
        <v>3657</v>
      </c>
      <c r="Z6682" s="1128" t="s">
        <v>3381</v>
      </c>
      <c r="AA6682" s="1128" t="s">
        <v>3384</v>
      </c>
      <c r="AB6682" s="20"/>
      <c r="AC6682" s="73"/>
    </row>
    <row r="6683" spans="1:29" ht="25">
      <c r="A6683" s="327" t="str">
        <f>IF(AND($B6683&lt;&gt;"",$C6683&lt;&gt;""),MAX($A$6492:$A6660)+1,"")</f>
        <v/>
      </c>
      <c r="B6683" s="361"/>
      <c r="C6683" s="362"/>
      <c r="D6683" s="362">
        <v>191</v>
      </c>
      <c r="E6683" s="361" t="s">
        <v>3659</v>
      </c>
      <c r="F6683" s="362" t="s">
        <v>3660</v>
      </c>
      <c r="G6683" s="367" t="s">
        <v>240</v>
      </c>
      <c r="H6683" s="361" t="s">
        <v>3661</v>
      </c>
      <c r="I6683" s="327">
        <v>1</v>
      </c>
      <c r="J6683" s="363"/>
      <c r="K6683" s="345">
        <f t="shared" si="388"/>
        <v>12</v>
      </c>
      <c r="L6683" s="710">
        <v>1990000</v>
      </c>
      <c r="M6683" s="371"/>
      <c r="N6683" s="355" t="str">
        <f t="shared" si="429"/>
        <v>KI</v>
      </c>
      <c r="O6683" s="345">
        <f t="shared" si="421"/>
        <v>20</v>
      </c>
      <c r="P6683" s="345" t="str">
        <f t="shared" si="389"/>
        <v/>
      </c>
      <c r="Q6683" s="367">
        <f t="shared" si="430"/>
        <v>220162</v>
      </c>
      <c r="R6683" s="442" t="str">
        <f t="shared" si="431"/>
        <v>Gioăng kính Nr.65</v>
      </c>
      <c r="S6683" s="367">
        <f t="shared" si="432"/>
        <v>560590</v>
      </c>
      <c r="T6683" s="367" t="str">
        <f t="shared" si="433"/>
        <v>Nẹp kính 10.5</v>
      </c>
      <c r="U6683" s="367"/>
      <c r="V6683" s="367">
        <f t="shared" si="434"/>
        <v>0</v>
      </c>
      <c r="W6683" s="442">
        <f t="shared" si="435"/>
        <v>0</v>
      </c>
      <c r="X6683" s="786"/>
      <c r="Y6683" s="1128" t="s">
        <v>3657</v>
      </c>
      <c r="Z6683" s="1128" t="s">
        <v>3381</v>
      </c>
      <c r="AA6683" s="1128" t="s">
        <v>3384</v>
      </c>
      <c r="AB6683" s="20"/>
      <c r="AC6683" s="73"/>
    </row>
    <row r="6684" spans="1:29">
      <c r="A6684" s="327" t="str">
        <f>IF(AND($B6684&lt;&gt;"",$C6684&lt;&gt;""),MAX($A$6492:$A6659)+1,"")</f>
        <v/>
      </c>
      <c r="B6684" s="361"/>
      <c r="C6684" s="362"/>
      <c r="D6684" s="362">
        <v>192</v>
      </c>
      <c r="E6684" s="361" t="s">
        <v>3664</v>
      </c>
      <c r="F6684" s="361" t="s">
        <v>3099</v>
      </c>
      <c r="G6684" s="367" t="s">
        <v>2658</v>
      </c>
      <c r="H6684" s="361" t="s">
        <v>3683</v>
      </c>
      <c r="I6684" s="327">
        <v>1</v>
      </c>
      <c r="J6684" s="363"/>
      <c r="K6684" s="345">
        <v>11</v>
      </c>
      <c r="L6684" s="1223">
        <v>75000</v>
      </c>
      <c r="M6684" s="371"/>
      <c r="N6684" s="355" t="str">
        <f t="shared" si="429"/>
        <v>KI</v>
      </c>
      <c r="O6684" s="345" t="e">
        <f t="shared" si="421"/>
        <v>#VALUE!</v>
      </c>
      <c r="P6684" s="345" t="e">
        <f t="shared" si="389"/>
        <v>#VALUE!</v>
      </c>
      <c r="Q6684" s="367" t="e">
        <f t="shared" si="430"/>
        <v>#VALUE!</v>
      </c>
      <c r="R6684" s="442" t="e">
        <f t="shared" si="431"/>
        <v>#VALUE!</v>
      </c>
      <c r="S6684" s="367" t="e">
        <f t="shared" si="432"/>
        <v>#VALUE!</v>
      </c>
      <c r="T6684" s="367" t="e">
        <f t="shared" si="433"/>
        <v>#VALUE!</v>
      </c>
      <c r="U6684" s="367"/>
      <c r="V6684" s="367" t="e">
        <f t="shared" si="434"/>
        <v>#VALUE!</v>
      </c>
      <c r="W6684" s="442" t="e">
        <f t="shared" si="435"/>
        <v>#VALUE!</v>
      </c>
      <c r="X6684" s="786"/>
      <c r="Y6684" s="1128" t="s">
        <v>3424</v>
      </c>
      <c r="Z6684" s="1128" t="s">
        <v>3381</v>
      </c>
      <c r="AA6684" s="1128" t="s">
        <v>3384</v>
      </c>
      <c r="AB6684" s="20"/>
      <c r="AC6684" s="73"/>
    </row>
    <row r="6685" spans="1:29">
      <c r="A6685" s="327" t="str">
        <f>IF(AND($B6685&lt;&gt;"",$C6685&lt;&gt;""),MAX($A$6492:$A6660)+1,"")</f>
        <v/>
      </c>
      <c r="B6685" s="361"/>
      <c r="C6685" s="362"/>
      <c r="D6685" s="362">
        <v>193</v>
      </c>
      <c r="E6685" s="361" t="s">
        <v>3665</v>
      </c>
      <c r="F6685" s="361" t="s">
        <v>3667</v>
      </c>
      <c r="G6685" s="367" t="s">
        <v>2658</v>
      </c>
      <c r="H6685" s="361" t="s">
        <v>3684</v>
      </c>
      <c r="I6685" s="327">
        <v>1</v>
      </c>
      <c r="J6685" s="363"/>
      <c r="K6685" s="345">
        <v>11</v>
      </c>
      <c r="L6685" s="1223">
        <v>75000</v>
      </c>
      <c r="M6685" s="371"/>
      <c r="N6685" s="355" t="str">
        <f t="shared" si="429"/>
        <v>KI</v>
      </c>
      <c r="O6685" s="345" t="e">
        <f t="shared" si="421"/>
        <v>#VALUE!</v>
      </c>
      <c r="P6685" s="345" t="e">
        <f t="shared" si="389"/>
        <v>#VALUE!</v>
      </c>
      <c r="Q6685" s="367" t="e">
        <f t="shared" si="430"/>
        <v>#VALUE!</v>
      </c>
      <c r="R6685" s="442" t="e">
        <f t="shared" si="431"/>
        <v>#VALUE!</v>
      </c>
      <c r="S6685" s="367" t="e">
        <f t="shared" si="432"/>
        <v>#VALUE!</v>
      </c>
      <c r="T6685" s="367" t="e">
        <f t="shared" si="433"/>
        <v>#VALUE!</v>
      </c>
      <c r="U6685" s="367"/>
      <c r="V6685" s="367" t="e">
        <f t="shared" si="434"/>
        <v>#VALUE!</v>
      </c>
      <c r="W6685" s="442" t="e">
        <f t="shared" si="435"/>
        <v>#VALUE!</v>
      </c>
      <c r="X6685" s="786"/>
      <c r="Y6685" s="1128" t="s">
        <v>3424</v>
      </c>
      <c r="Z6685" s="1128" t="s">
        <v>3381</v>
      </c>
      <c r="AA6685" s="1128" t="s">
        <v>3384</v>
      </c>
      <c r="AB6685" s="20"/>
      <c r="AC6685" s="73"/>
    </row>
    <row r="6686" spans="1:29">
      <c r="A6686" s="327" t="str">
        <f>IF(AND($B6686&lt;&gt;"",$C6686&lt;&gt;""),MAX($A$6492:$A6661)+1,"")</f>
        <v/>
      </c>
      <c r="B6686" s="361"/>
      <c r="C6686" s="362"/>
      <c r="D6686" s="362">
        <v>194</v>
      </c>
      <c r="E6686" s="361" t="s">
        <v>3666</v>
      </c>
      <c r="F6686" s="361" t="s">
        <v>3100</v>
      </c>
      <c r="G6686" s="367" t="s">
        <v>2658</v>
      </c>
      <c r="H6686" s="361" t="s">
        <v>3685</v>
      </c>
      <c r="I6686" s="327">
        <v>1</v>
      </c>
      <c r="J6686" s="363"/>
      <c r="K6686" s="345">
        <v>11</v>
      </c>
      <c r="L6686" s="1223">
        <v>75000</v>
      </c>
      <c r="M6686" s="371"/>
      <c r="N6686" s="355" t="str">
        <f t="shared" si="429"/>
        <v>KI</v>
      </c>
      <c r="O6686" s="345" t="e">
        <f t="shared" si="421"/>
        <v>#VALUE!</v>
      </c>
      <c r="P6686" s="345" t="e">
        <f t="shared" ref="P6686:P6693" si="436">IF($E6686="","",IF(VALUE(MID($E6686,3,2))=21,21,IF(VALUE(MID($E6686,3,2))=19,19,IF( AND(8&lt;=VALUE(MID($E6686,3,2)),VALUE(MID($E6686,3,2))&lt;=11),11,IF( AND(5&lt;=VALUE(MID($E6686,3,2)),VALUE(MID($E6686,3,2))&lt;=7), 7, "" )))))</f>
        <v>#VALUE!</v>
      </c>
      <c r="Q6686" s="367" t="e">
        <f t="shared" si="430"/>
        <v>#VALUE!</v>
      </c>
      <c r="R6686" s="442" t="e">
        <f t="shared" si="431"/>
        <v>#VALUE!</v>
      </c>
      <c r="S6686" s="367" t="e">
        <f t="shared" si="432"/>
        <v>#VALUE!</v>
      </c>
      <c r="T6686" s="367" t="e">
        <f t="shared" si="433"/>
        <v>#VALUE!</v>
      </c>
      <c r="U6686" s="367"/>
      <c r="V6686" s="367" t="e">
        <f t="shared" si="434"/>
        <v>#VALUE!</v>
      </c>
      <c r="W6686" s="442" t="e">
        <f t="shared" si="435"/>
        <v>#VALUE!</v>
      </c>
      <c r="X6686" s="786"/>
      <c r="Y6686" s="1128" t="s">
        <v>3424</v>
      </c>
      <c r="Z6686" s="1128" t="s">
        <v>3381</v>
      </c>
      <c r="AA6686" s="1128" t="s">
        <v>3384</v>
      </c>
      <c r="AB6686" s="20"/>
      <c r="AC6686" s="73"/>
    </row>
    <row r="6687" spans="1:29">
      <c r="A6687" s="327" t="str">
        <f>IF(AND($B6687&lt;&gt;"",$C6687&lt;&gt;""),MAX($A$6492:$A6662)+1,"")</f>
        <v/>
      </c>
      <c r="B6687" s="361"/>
      <c r="C6687" s="362"/>
      <c r="D6687" s="362">
        <v>195</v>
      </c>
      <c r="E6687" s="361" t="s">
        <v>3668</v>
      </c>
      <c r="F6687" s="361" t="s">
        <v>3101</v>
      </c>
      <c r="G6687" s="367" t="s">
        <v>2658</v>
      </c>
      <c r="H6687" s="361" t="s">
        <v>3686</v>
      </c>
      <c r="I6687" s="327">
        <v>1</v>
      </c>
      <c r="J6687" s="363"/>
      <c r="K6687" s="345">
        <v>11</v>
      </c>
      <c r="L6687" s="1223">
        <v>75000</v>
      </c>
      <c r="M6687" s="371"/>
      <c r="N6687" s="355" t="str">
        <f t="shared" si="429"/>
        <v>KI</v>
      </c>
      <c r="O6687" s="345" t="e">
        <f t="shared" si="421"/>
        <v>#VALUE!</v>
      </c>
      <c r="P6687" s="345" t="e">
        <f t="shared" si="436"/>
        <v>#VALUE!</v>
      </c>
      <c r="Q6687" s="367" t="e">
        <f t="shared" si="430"/>
        <v>#VALUE!</v>
      </c>
      <c r="R6687" s="442" t="e">
        <f t="shared" si="431"/>
        <v>#VALUE!</v>
      </c>
      <c r="S6687" s="367" t="e">
        <f t="shared" si="432"/>
        <v>#VALUE!</v>
      </c>
      <c r="T6687" s="367" t="e">
        <f t="shared" si="433"/>
        <v>#VALUE!</v>
      </c>
      <c r="U6687" s="367"/>
      <c r="V6687" s="367" t="e">
        <f t="shared" si="434"/>
        <v>#VALUE!</v>
      </c>
      <c r="W6687" s="442" t="e">
        <f t="shared" si="435"/>
        <v>#VALUE!</v>
      </c>
      <c r="X6687" s="786"/>
      <c r="Y6687" s="1128" t="s">
        <v>3424</v>
      </c>
      <c r="Z6687" s="1128" t="s">
        <v>3381</v>
      </c>
      <c r="AA6687" s="1128" t="s">
        <v>3384</v>
      </c>
      <c r="AB6687" s="20"/>
      <c r="AC6687" s="73"/>
    </row>
    <row r="6688" spans="1:29">
      <c r="A6688" s="327" t="str">
        <f>IF(AND($B6688&lt;&gt;"",$C6688&lt;&gt;""),MAX($A$6492:$A6663)+1,"")</f>
        <v/>
      </c>
      <c r="B6688" s="361"/>
      <c r="C6688" s="362"/>
      <c r="D6688" s="362">
        <v>196</v>
      </c>
      <c r="E6688" s="361" t="s">
        <v>3673</v>
      </c>
      <c r="F6688" s="362" t="s">
        <v>3676</v>
      </c>
      <c r="G6688" s="367" t="s">
        <v>3677</v>
      </c>
      <c r="H6688" s="361"/>
      <c r="I6688" s="327">
        <v>1</v>
      </c>
      <c r="J6688" s="363"/>
      <c r="K6688" s="345">
        <v>11</v>
      </c>
      <c r="L6688" s="1223">
        <v>11000</v>
      </c>
      <c r="M6688" s="371"/>
      <c r="N6688" s="355" t="str">
        <f t="shared" si="429"/>
        <v>KI</v>
      </c>
      <c r="O6688" s="345" t="e">
        <f t="shared" si="421"/>
        <v>#VALUE!</v>
      </c>
      <c r="P6688" s="345" t="e">
        <f t="shared" si="436"/>
        <v>#VALUE!</v>
      </c>
      <c r="Q6688" s="367" t="e">
        <f t="shared" si="430"/>
        <v>#VALUE!</v>
      </c>
      <c r="R6688" s="442" t="e">
        <f t="shared" si="431"/>
        <v>#VALUE!</v>
      </c>
      <c r="S6688" s="367" t="e">
        <f t="shared" si="432"/>
        <v>#VALUE!</v>
      </c>
      <c r="T6688" s="367" t="e">
        <f t="shared" si="433"/>
        <v>#VALUE!</v>
      </c>
      <c r="U6688" s="367"/>
      <c r="V6688" s="367" t="e">
        <f t="shared" si="434"/>
        <v>#VALUE!</v>
      </c>
      <c r="W6688" s="442" t="e">
        <f t="shared" si="435"/>
        <v>#VALUE!</v>
      </c>
      <c r="X6688" s="786"/>
      <c r="Y6688" s="1128" t="s">
        <v>3424</v>
      </c>
      <c r="Z6688" s="1128" t="s">
        <v>3381</v>
      </c>
      <c r="AA6688" s="1128" t="s">
        <v>3384</v>
      </c>
      <c r="AB6688" s="20"/>
      <c r="AC6688" s="73"/>
    </row>
    <row r="6689" spans="1:29">
      <c r="A6689" s="327" t="str">
        <f>IF(AND($B6689&lt;&gt;"",$C6689&lt;&gt;""),MAX($A$6492:$A6664)+1,"")</f>
        <v/>
      </c>
      <c r="B6689" s="361"/>
      <c r="C6689" s="362"/>
      <c r="D6689" s="362">
        <v>197</v>
      </c>
      <c r="E6689" s="361" t="s">
        <v>3674</v>
      </c>
      <c r="F6689" s="362" t="s">
        <v>3675</v>
      </c>
      <c r="G6689" s="367" t="s">
        <v>3677</v>
      </c>
      <c r="H6689" s="361"/>
      <c r="I6689" s="327">
        <v>1</v>
      </c>
      <c r="J6689" s="363"/>
      <c r="K6689" s="345">
        <v>11</v>
      </c>
      <c r="L6689" s="1223">
        <v>30000</v>
      </c>
      <c r="M6689" s="371"/>
      <c r="N6689" s="355" t="str">
        <f t="shared" si="429"/>
        <v>KI</v>
      </c>
      <c r="O6689" s="345" t="e">
        <f t="shared" si="421"/>
        <v>#VALUE!</v>
      </c>
      <c r="P6689" s="345" t="e">
        <f t="shared" si="436"/>
        <v>#VALUE!</v>
      </c>
      <c r="Q6689" s="367" t="e">
        <f t="shared" si="430"/>
        <v>#VALUE!</v>
      </c>
      <c r="R6689" s="442" t="e">
        <f t="shared" si="431"/>
        <v>#VALUE!</v>
      </c>
      <c r="S6689" s="367" t="e">
        <f t="shared" si="432"/>
        <v>#VALUE!</v>
      </c>
      <c r="T6689" s="367" t="e">
        <f t="shared" si="433"/>
        <v>#VALUE!</v>
      </c>
      <c r="U6689" s="367"/>
      <c r="V6689" s="367" t="e">
        <f t="shared" si="434"/>
        <v>#VALUE!</v>
      </c>
      <c r="W6689" s="442" t="e">
        <f t="shared" si="435"/>
        <v>#VALUE!</v>
      </c>
      <c r="X6689" s="786"/>
      <c r="Y6689" s="1128" t="s">
        <v>3424</v>
      </c>
      <c r="Z6689" s="1128" t="s">
        <v>3381</v>
      </c>
      <c r="AA6689" s="1128" t="s">
        <v>3384</v>
      </c>
      <c r="AB6689" s="20"/>
      <c r="AC6689" s="73"/>
    </row>
    <row r="6690" spans="1:29">
      <c r="A6690" s="327" t="str">
        <f>IF(AND($B6690&lt;&gt;"",$C6690&lt;&gt;""),MAX($A$6492:$A6665)+1,"")</f>
        <v/>
      </c>
      <c r="B6690" s="361"/>
      <c r="C6690" s="362"/>
      <c r="D6690" s="362">
        <v>198</v>
      </c>
      <c r="E6690" s="361" t="s">
        <v>3669</v>
      </c>
      <c r="F6690" s="362" t="s">
        <v>3670</v>
      </c>
      <c r="G6690" s="367" t="s">
        <v>2658</v>
      </c>
      <c r="H6690" s="361" t="s">
        <v>3682</v>
      </c>
      <c r="I6690" s="327">
        <v>1</v>
      </c>
      <c r="J6690" s="363"/>
      <c r="K6690" s="345">
        <v>11</v>
      </c>
      <c r="L6690" s="1223">
        <v>72000</v>
      </c>
      <c r="M6690" s="371"/>
      <c r="N6690" s="355" t="str">
        <f t="shared" si="429"/>
        <v>KI</v>
      </c>
      <c r="O6690" s="345" t="e">
        <f t="shared" ref="O6690:O6753" si="437">IF($E6690="","",IF(VALUE(MID($E6690,3,2))&gt;=20,20,IF(AND(10&lt;VALUE(MID($E6690,3,2)),VALUE(MID($E6690,3,2))&lt;20),19,10)))</f>
        <v>#VALUE!</v>
      </c>
      <c r="P6690" s="345" t="e">
        <f t="shared" si="436"/>
        <v>#VALUE!</v>
      </c>
      <c r="Q6690" s="367" t="e">
        <f t="shared" si="430"/>
        <v>#VALUE!</v>
      </c>
      <c r="R6690" s="442" t="e">
        <f t="shared" si="431"/>
        <v>#VALUE!</v>
      </c>
      <c r="S6690" s="367" t="e">
        <f t="shared" si="432"/>
        <v>#VALUE!</v>
      </c>
      <c r="T6690" s="367" t="e">
        <f t="shared" si="433"/>
        <v>#VALUE!</v>
      </c>
      <c r="U6690" s="367"/>
      <c r="V6690" s="367" t="e">
        <f t="shared" si="434"/>
        <v>#VALUE!</v>
      </c>
      <c r="W6690" s="442" t="e">
        <f t="shared" si="435"/>
        <v>#VALUE!</v>
      </c>
      <c r="X6690" s="786"/>
      <c r="Y6690" s="1128" t="s">
        <v>3424</v>
      </c>
      <c r="Z6690" s="1128" t="s">
        <v>3381</v>
      </c>
      <c r="AA6690" s="1128" t="s">
        <v>3384</v>
      </c>
      <c r="AB6690" s="20"/>
      <c r="AC6690" s="73"/>
    </row>
    <row r="6691" spans="1:29">
      <c r="A6691" s="327" t="str">
        <f>IF(AND($B6691&lt;&gt;"",$C6691&lt;&gt;""),MAX($A$6492:$A6666)+1,"")</f>
        <v/>
      </c>
      <c r="B6691" s="361"/>
      <c r="C6691" s="362"/>
      <c r="D6691" s="362">
        <v>199</v>
      </c>
      <c r="E6691" s="361" t="s">
        <v>3671</v>
      </c>
      <c r="F6691" s="362" t="s">
        <v>3672</v>
      </c>
      <c r="G6691" s="367" t="s">
        <v>3677</v>
      </c>
      <c r="H6691" s="361"/>
      <c r="I6691" s="327">
        <v>1</v>
      </c>
      <c r="J6691" s="363"/>
      <c r="K6691" s="345">
        <v>11</v>
      </c>
      <c r="L6691" s="1223">
        <v>120000</v>
      </c>
      <c r="M6691" s="371"/>
      <c r="N6691" s="355" t="str">
        <f t="shared" si="429"/>
        <v>KI</v>
      </c>
      <c r="O6691" s="345" t="e">
        <f t="shared" si="437"/>
        <v>#VALUE!</v>
      </c>
      <c r="P6691" s="345" t="e">
        <f t="shared" si="436"/>
        <v>#VALUE!</v>
      </c>
      <c r="Q6691" s="367" t="e">
        <f t="shared" si="430"/>
        <v>#VALUE!</v>
      </c>
      <c r="R6691" s="442" t="e">
        <f t="shared" si="431"/>
        <v>#VALUE!</v>
      </c>
      <c r="S6691" s="367" t="e">
        <f t="shared" si="432"/>
        <v>#VALUE!</v>
      </c>
      <c r="T6691" s="367" t="e">
        <f t="shared" si="433"/>
        <v>#VALUE!</v>
      </c>
      <c r="U6691" s="367"/>
      <c r="V6691" s="367" t="e">
        <f t="shared" si="434"/>
        <v>#VALUE!</v>
      </c>
      <c r="W6691" s="442" t="e">
        <f t="shared" si="435"/>
        <v>#VALUE!</v>
      </c>
      <c r="X6691" s="786"/>
      <c r="Y6691" s="1128" t="s">
        <v>3424</v>
      </c>
      <c r="Z6691" s="1128" t="s">
        <v>3381</v>
      </c>
      <c r="AA6691" s="1128" t="s">
        <v>3384</v>
      </c>
      <c r="AB6691" s="20"/>
      <c r="AC6691" s="73"/>
    </row>
    <row r="6692" spans="1:29">
      <c r="A6692" s="327" t="str">
        <f>IF(AND($B6692&lt;&gt;"",$C6692&lt;&gt;""),MAX($A$6492:$A6667)+1,"")</f>
        <v/>
      </c>
      <c r="B6692" s="361"/>
      <c r="C6692" s="362"/>
      <c r="D6692" s="362">
        <v>200</v>
      </c>
      <c r="E6692" s="361" t="s">
        <v>3678</v>
      </c>
      <c r="F6692" s="362" t="s">
        <v>3679</v>
      </c>
      <c r="G6692" s="367" t="s">
        <v>3677</v>
      </c>
      <c r="H6692" s="361"/>
      <c r="I6692" s="327">
        <v>1</v>
      </c>
      <c r="J6692" s="363"/>
      <c r="K6692" s="345">
        <v>11</v>
      </c>
      <c r="L6692" s="1223">
        <v>12000</v>
      </c>
      <c r="M6692" s="371"/>
      <c r="N6692" s="355" t="str">
        <f t="shared" si="429"/>
        <v>KI</v>
      </c>
      <c r="O6692" s="345" t="e">
        <f t="shared" si="437"/>
        <v>#VALUE!</v>
      </c>
      <c r="P6692" s="345" t="e">
        <f t="shared" si="436"/>
        <v>#VALUE!</v>
      </c>
      <c r="Q6692" s="367" t="e">
        <f t="shared" si="430"/>
        <v>#VALUE!</v>
      </c>
      <c r="R6692" s="442" t="e">
        <f t="shared" si="431"/>
        <v>#VALUE!</v>
      </c>
      <c r="S6692" s="367" t="e">
        <f t="shared" si="432"/>
        <v>#VALUE!</v>
      </c>
      <c r="T6692" s="367" t="e">
        <f t="shared" si="433"/>
        <v>#VALUE!</v>
      </c>
      <c r="U6692" s="367"/>
      <c r="V6692" s="367" t="e">
        <f t="shared" si="434"/>
        <v>#VALUE!</v>
      </c>
      <c r="W6692" s="442" t="e">
        <f t="shared" si="435"/>
        <v>#VALUE!</v>
      </c>
      <c r="X6692" s="786"/>
      <c r="Y6692" s="1128" t="s">
        <v>3424</v>
      </c>
      <c r="Z6692" s="1128" t="s">
        <v>3381</v>
      </c>
      <c r="AA6692" s="1128" t="s">
        <v>3384</v>
      </c>
      <c r="AB6692" s="20"/>
      <c r="AC6692" s="73"/>
    </row>
    <row r="6693" spans="1:29">
      <c r="A6693" s="327" t="str">
        <f>IF(AND($B6693&lt;&gt;"",$C6693&lt;&gt;""),MAX($A$6492:$A6668)+1,"")</f>
        <v/>
      </c>
      <c r="B6693" s="361"/>
      <c r="C6693" s="362"/>
      <c r="D6693" s="362">
        <v>201</v>
      </c>
      <c r="E6693" s="361" t="s">
        <v>3681</v>
      </c>
      <c r="F6693" s="362" t="s">
        <v>3680</v>
      </c>
      <c r="G6693" s="367" t="s">
        <v>3677</v>
      </c>
      <c r="H6693" s="361"/>
      <c r="I6693" s="327">
        <v>1</v>
      </c>
      <c r="J6693" s="363"/>
      <c r="K6693" s="345">
        <v>11</v>
      </c>
      <c r="L6693" s="1223" t="s">
        <v>2286</v>
      </c>
      <c r="M6693" s="371"/>
      <c r="N6693" s="355" t="str">
        <f t="shared" si="429"/>
        <v>KI</v>
      </c>
      <c r="O6693" s="345" t="e">
        <f t="shared" si="437"/>
        <v>#VALUE!</v>
      </c>
      <c r="P6693" s="345" t="e">
        <f t="shared" si="436"/>
        <v>#VALUE!</v>
      </c>
      <c r="Q6693" s="367" t="e">
        <f t="shared" si="430"/>
        <v>#VALUE!</v>
      </c>
      <c r="R6693" s="442" t="e">
        <f t="shared" si="431"/>
        <v>#VALUE!</v>
      </c>
      <c r="S6693" s="367" t="e">
        <f t="shared" si="432"/>
        <v>#VALUE!</v>
      </c>
      <c r="T6693" s="367" t="e">
        <f t="shared" si="433"/>
        <v>#VALUE!</v>
      </c>
      <c r="U6693" s="367"/>
      <c r="V6693" s="367" t="e">
        <f t="shared" si="434"/>
        <v>#VALUE!</v>
      </c>
      <c r="W6693" s="442" t="e">
        <f t="shared" si="435"/>
        <v>#VALUE!</v>
      </c>
      <c r="X6693" s="786"/>
      <c r="Y6693" s="1128" t="s">
        <v>3424</v>
      </c>
      <c r="Z6693" s="1128" t="s">
        <v>3381</v>
      </c>
      <c r="AA6693" s="1128" t="s">
        <v>3384</v>
      </c>
      <c r="AB6693" s="20"/>
      <c r="AC6693" s="73"/>
    </row>
    <row r="6694" spans="1:29" ht="14.25" customHeight="1">
      <c r="A6694" s="327" t="str">
        <f>IF(AND($B6694&lt;&gt;"",$C6694&lt;&gt;""),MAX($A$6492:$A6655)+1,"")</f>
        <v/>
      </c>
      <c r="B6694" s="361"/>
      <c r="C6694" s="362"/>
      <c r="D6694" s="362">
        <v>202</v>
      </c>
      <c r="E6694" s="361" t="s">
        <v>2647</v>
      </c>
      <c r="F6694" s="361" t="s">
        <v>2651</v>
      </c>
      <c r="G6694" s="327" t="s">
        <v>2648</v>
      </c>
      <c r="H6694" s="361"/>
      <c r="I6694" s="327">
        <v>1</v>
      </c>
      <c r="J6694" s="363"/>
      <c r="K6694" s="345">
        <f t="shared" si="388"/>
        <v>12</v>
      </c>
      <c r="L6694" s="616">
        <v>5000</v>
      </c>
      <c r="M6694" s="371"/>
      <c r="N6694" s="355" t="str">
        <f t="shared" ref="N6694:N6751" si="438">+$N$6492</f>
        <v>KI</v>
      </c>
      <c r="O6694" s="345">
        <f t="shared" si="437"/>
        <v>20</v>
      </c>
      <c r="P6694" s="345"/>
      <c r="Q6694" s="351"/>
      <c r="R6694" s="363"/>
      <c r="S6694" s="327"/>
      <c r="T6694" s="362"/>
      <c r="U6694" s="329"/>
      <c r="V6694" s="327"/>
      <c r="W6694" s="361"/>
      <c r="X6694" s="786"/>
      <c r="Y6694" s="1128" t="s">
        <v>3443</v>
      </c>
      <c r="Z6694" s="1128" t="s">
        <v>3381</v>
      </c>
      <c r="AA6694" s="1128" t="s">
        <v>3384</v>
      </c>
      <c r="AB6694" s="20"/>
      <c r="AC6694" s="73"/>
    </row>
    <row r="6695" spans="1:29" ht="14.25" customHeight="1">
      <c r="A6695" s="327" t="str">
        <f>IF(AND($B6695&lt;&gt;"",$C6695&lt;&gt;""),MAX($A$6492:$A6655)+1,"")</f>
        <v/>
      </c>
      <c r="B6695" s="361"/>
      <c r="C6695" s="362"/>
      <c r="D6695" s="362">
        <v>203</v>
      </c>
      <c r="E6695" s="361" t="s">
        <v>2649</v>
      </c>
      <c r="F6695" s="361" t="s">
        <v>2650</v>
      </c>
      <c r="G6695" s="327" t="s">
        <v>2648</v>
      </c>
      <c r="H6695" s="361"/>
      <c r="I6695" s="327">
        <v>1</v>
      </c>
      <c r="J6695" s="363"/>
      <c r="K6695" s="345">
        <f t="shared" si="388"/>
        <v>12</v>
      </c>
      <c r="L6695" s="616">
        <v>15000</v>
      </c>
      <c r="M6695" s="371"/>
      <c r="N6695" s="355" t="str">
        <f t="shared" si="438"/>
        <v>KI</v>
      </c>
      <c r="O6695" s="345">
        <f t="shared" si="437"/>
        <v>20</v>
      </c>
      <c r="P6695" s="345"/>
      <c r="Q6695" s="351"/>
      <c r="R6695" s="363"/>
      <c r="S6695" s="327"/>
      <c r="T6695" s="362"/>
      <c r="U6695" s="329"/>
      <c r="V6695" s="327"/>
      <c r="W6695" s="361"/>
      <c r="X6695" s="786"/>
      <c r="Y6695" s="1128" t="s">
        <v>3443</v>
      </c>
      <c r="Z6695" s="1128" t="s">
        <v>3381</v>
      </c>
      <c r="AA6695" s="1128" t="s">
        <v>3384</v>
      </c>
      <c r="AB6695" s="20"/>
      <c r="AC6695" s="73"/>
    </row>
    <row r="6696" spans="1:29" ht="14.25" customHeight="1">
      <c r="A6696" s="327" t="str">
        <f>IF(AND($B6696&lt;&gt;"",$C6696&lt;&gt;""),MAX($A$6492:$A6694)+1,"")</f>
        <v/>
      </c>
      <c r="B6696" s="361"/>
      <c r="C6696" s="362"/>
      <c r="D6696" s="362">
        <v>204</v>
      </c>
      <c r="E6696" s="361" t="s">
        <v>2652</v>
      </c>
      <c r="F6696" s="361" t="s">
        <v>2653</v>
      </c>
      <c r="G6696" s="327" t="s">
        <v>2648</v>
      </c>
      <c r="H6696" s="361"/>
      <c r="I6696" s="327">
        <v>1</v>
      </c>
      <c r="J6696" s="363"/>
      <c r="K6696" s="345">
        <f t="shared" si="388"/>
        <v>12</v>
      </c>
      <c r="L6696" s="616">
        <v>25000</v>
      </c>
      <c r="M6696" s="371"/>
      <c r="N6696" s="355" t="str">
        <f t="shared" si="438"/>
        <v>KI</v>
      </c>
      <c r="O6696" s="345">
        <f t="shared" si="437"/>
        <v>20</v>
      </c>
      <c r="P6696" s="345"/>
      <c r="Q6696" s="351"/>
      <c r="R6696" s="363"/>
      <c r="S6696" s="327"/>
      <c r="T6696" s="362"/>
      <c r="U6696" s="329"/>
      <c r="V6696" s="327"/>
      <c r="W6696" s="361"/>
      <c r="X6696" s="786"/>
      <c r="Y6696" s="1128" t="s">
        <v>3443</v>
      </c>
      <c r="Z6696" s="1128" t="s">
        <v>3381</v>
      </c>
      <c r="AA6696" s="1128" t="s">
        <v>3384</v>
      </c>
      <c r="AB6696" s="20"/>
      <c r="AC6696" s="73"/>
    </row>
    <row r="6697" spans="1:29" ht="14.25" customHeight="1">
      <c r="A6697" s="327" t="str">
        <f>IF(AND($B6697&lt;&gt;"",$C6697&lt;&gt;""),MAX($A$6492:$A6695)+1,"")</f>
        <v/>
      </c>
      <c r="B6697" s="361"/>
      <c r="C6697" s="362"/>
      <c r="D6697" s="362">
        <v>205</v>
      </c>
      <c r="E6697" s="361" t="s">
        <v>2654</v>
      </c>
      <c r="F6697" s="361" t="s">
        <v>2655</v>
      </c>
      <c r="G6697" s="327" t="s">
        <v>2648</v>
      </c>
      <c r="H6697" s="361"/>
      <c r="I6697" s="327">
        <v>1</v>
      </c>
      <c r="J6697" s="363"/>
      <c r="K6697" s="345">
        <f t="shared" si="388"/>
        <v>12</v>
      </c>
      <c r="L6697" s="616">
        <v>30000</v>
      </c>
      <c r="M6697" s="371"/>
      <c r="N6697" s="355" t="str">
        <f t="shared" si="438"/>
        <v>KI</v>
      </c>
      <c r="O6697" s="345">
        <f t="shared" si="437"/>
        <v>20</v>
      </c>
      <c r="P6697" s="345"/>
      <c r="Q6697" s="351"/>
      <c r="R6697" s="363"/>
      <c r="S6697" s="327"/>
      <c r="T6697" s="362"/>
      <c r="U6697" s="329"/>
      <c r="V6697" s="327"/>
      <c r="W6697" s="361"/>
      <c r="X6697" s="786"/>
      <c r="Y6697" s="1128" t="s">
        <v>3443</v>
      </c>
      <c r="Z6697" s="1128" t="s">
        <v>3381</v>
      </c>
      <c r="AA6697" s="1128" t="s">
        <v>3384</v>
      </c>
      <c r="AB6697" s="20"/>
      <c r="AC6697" s="73"/>
    </row>
    <row r="6698" spans="1:29" ht="14.25" customHeight="1">
      <c r="A6698" s="327" t="str">
        <f>IF(AND($B6698&lt;&gt;"",$C6698&lt;&gt;""),MAX($A$6492:$A6696)+1,"")</f>
        <v/>
      </c>
      <c r="B6698" s="361"/>
      <c r="C6698" s="362"/>
      <c r="D6698" s="362">
        <v>206</v>
      </c>
      <c r="E6698" s="361" t="s">
        <v>2656</v>
      </c>
      <c r="F6698" s="362" t="s">
        <v>2657</v>
      </c>
      <c r="G6698" s="327" t="s">
        <v>2648</v>
      </c>
      <c r="H6698" s="361"/>
      <c r="I6698" s="327">
        <v>1</v>
      </c>
      <c r="J6698" s="363"/>
      <c r="K6698" s="345">
        <f t="shared" si="388"/>
        <v>11</v>
      </c>
      <c r="L6698" s="616">
        <v>10000</v>
      </c>
      <c r="M6698" s="371"/>
      <c r="N6698" s="355" t="str">
        <f t="shared" si="438"/>
        <v>KI</v>
      </c>
      <c r="O6698" s="345">
        <f t="shared" si="437"/>
        <v>10</v>
      </c>
      <c r="P6698" s="345"/>
      <c r="Q6698" s="351"/>
      <c r="R6698" s="363"/>
      <c r="S6698" s="327"/>
      <c r="T6698" s="362"/>
      <c r="U6698" s="329"/>
      <c r="V6698" s="327"/>
      <c r="W6698" s="361"/>
      <c r="X6698" s="786"/>
      <c r="Y6698" s="1128" t="s">
        <v>3443</v>
      </c>
      <c r="Z6698" s="1128" t="s">
        <v>3381</v>
      </c>
      <c r="AA6698" s="1128" t="s">
        <v>3384</v>
      </c>
      <c r="AB6698" s="20"/>
      <c r="AC6698" s="73"/>
    </row>
    <row r="6699" spans="1:29" ht="14.25" customHeight="1">
      <c r="A6699" s="327" t="str">
        <f>IF(AND($B6699&lt;&gt;"",$C6699&lt;&gt;""),MAX($A$6492:$A6697)+1,"")</f>
        <v/>
      </c>
      <c r="B6699" s="361"/>
      <c r="C6699" s="362"/>
      <c r="D6699" s="362">
        <v>207</v>
      </c>
      <c r="E6699" s="361" t="s">
        <v>3720</v>
      </c>
      <c r="F6699" s="362" t="s">
        <v>3717</v>
      </c>
      <c r="G6699" s="327" t="s">
        <v>655</v>
      </c>
      <c r="H6699" s="361"/>
      <c r="I6699" s="327">
        <v>1</v>
      </c>
      <c r="J6699" s="363"/>
      <c r="K6699" s="345">
        <f t="shared" si="388"/>
        <v>11</v>
      </c>
      <c r="L6699" s="710">
        <v>15000</v>
      </c>
      <c r="M6699" s="371"/>
      <c r="N6699" s="355" t="str">
        <f t="shared" si="438"/>
        <v>KI</v>
      </c>
      <c r="O6699" s="345">
        <f t="shared" si="437"/>
        <v>10</v>
      </c>
      <c r="P6699" s="345"/>
      <c r="Q6699" s="351"/>
      <c r="R6699" s="363"/>
      <c r="S6699" s="327"/>
      <c r="T6699" s="362"/>
      <c r="U6699" s="329"/>
      <c r="V6699" s="327"/>
      <c r="W6699" s="361"/>
      <c r="X6699" s="786"/>
      <c r="Y6699" s="1128" t="s">
        <v>3656</v>
      </c>
      <c r="Z6699" s="1128" t="s">
        <v>3381</v>
      </c>
      <c r="AA6699" s="1128" t="s">
        <v>3384</v>
      </c>
      <c r="AB6699" s="20"/>
      <c r="AC6699" s="73"/>
    </row>
    <row r="6700" spans="1:29" ht="14.25" customHeight="1">
      <c r="A6700" s="327" t="str">
        <f>IF(AND($B6700&lt;&gt;"",$C6700&lt;&gt;""),MAX($A$6492:$A6698)+1,"")</f>
        <v/>
      </c>
      <c r="B6700" s="361"/>
      <c r="C6700" s="362"/>
      <c r="D6700" s="362">
        <v>208</v>
      </c>
      <c r="E6700" s="361" t="s">
        <v>3721</v>
      </c>
      <c r="F6700" s="362" t="s">
        <v>3718</v>
      </c>
      <c r="G6700" s="327" t="s">
        <v>655</v>
      </c>
      <c r="H6700" s="361"/>
      <c r="I6700" s="327">
        <v>1</v>
      </c>
      <c r="J6700" s="363"/>
      <c r="K6700" s="345">
        <f t="shared" si="388"/>
        <v>11</v>
      </c>
      <c r="L6700" s="710">
        <v>25000</v>
      </c>
      <c r="M6700" s="371"/>
      <c r="N6700" s="355" t="str">
        <f t="shared" si="438"/>
        <v>KI</v>
      </c>
      <c r="O6700" s="345">
        <f t="shared" si="437"/>
        <v>10</v>
      </c>
      <c r="P6700" s="345"/>
      <c r="Q6700" s="351"/>
      <c r="R6700" s="363"/>
      <c r="S6700" s="327"/>
      <c r="T6700" s="362"/>
      <c r="U6700" s="329"/>
      <c r="V6700" s="327"/>
      <c r="W6700" s="361"/>
      <c r="X6700" s="786"/>
      <c r="Y6700" s="1128" t="s">
        <v>3656</v>
      </c>
      <c r="Z6700" s="1128" t="s">
        <v>3381</v>
      </c>
      <c r="AA6700" s="1128" t="s">
        <v>3384</v>
      </c>
      <c r="AB6700" s="20"/>
      <c r="AC6700" s="73"/>
    </row>
    <row r="6701" spans="1:29" ht="14.25" customHeight="1">
      <c r="A6701" s="327" t="str">
        <f>IF(AND($B6701&lt;&gt;"",$C6701&lt;&gt;""),MAX($A$6492:$A6699)+1,"")</f>
        <v/>
      </c>
      <c r="B6701" s="361"/>
      <c r="C6701" s="362"/>
      <c r="D6701" s="362">
        <v>209</v>
      </c>
      <c r="E6701" s="361" t="s">
        <v>3722</v>
      </c>
      <c r="F6701" s="362" t="s">
        <v>3719</v>
      </c>
      <c r="G6701" s="327" t="s">
        <v>655</v>
      </c>
      <c r="H6701" s="361"/>
      <c r="I6701" s="327">
        <v>1</v>
      </c>
      <c r="J6701" s="363"/>
      <c r="K6701" s="345">
        <f t="shared" si="388"/>
        <v>11</v>
      </c>
      <c r="L6701" s="710">
        <v>50000</v>
      </c>
      <c r="M6701" s="371"/>
      <c r="N6701" s="355" t="str">
        <f t="shared" si="438"/>
        <v>KI</v>
      </c>
      <c r="O6701" s="345">
        <f t="shared" si="437"/>
        <v>10</v>
      </c>
      <c r="P6701" s="345"/>
      <c r="Q6701" s="351"/>
      <c r="R6701" s="363"/>
      <c r="S6701" s="327"/>
      <c r="T6701" s="362"/>
      <c r="U6701" s="329"/>
      <c r="V6701" s="327"/>
      <c r="W6701" s="361"/>
      <c r="X6701" s="786"/>
      <c r="Y6701" s="1128" t="s">
        <v>3656</v>
      </c>
      <c r="Z6701" s="1128" t="s">
        <v>3381</v>
      </c>
      <c r="AA6701" s="1128" t="s">
        <v>3384</v>
      </c>
      <c r="AB6701" s="20"/>
      <c r="AC6701" s="73"/>
    </row>
    <row r="6702" spans="1:29" ht="14.25" customHeight="1">
      <c r="A6702" s="327" t="str">
        <f>IF(AND($B6702&lt;&gt;"",$C6702&lt;&gt;""),MAX($A$6492:$A6698)+1,"")</f>
        <v/>
      </c>
      <c r="B6702" s="361"/>
      <c r="C6702" s="362"/>
      <c r="D6702" s="362">
        <v>210</v>
      </c>
      <c r="E6702" s="361" t="s">
        <v>3723</v>
      </c>
      <c r="F6702" s="362" t="s">
        <v>3724</v>
      </c>
      <c r="G6702" s="327" t="s">
        <v>2658</v>
      </c>
      <c r="H6702" s="361"/>
      <c r="I6702" s="327">
        <v>1</v>
      </c>
      <c r="J6702" s="363" t="s">
        <v>2663</v>
      </c>
      <c r="K6702" s="345">
        <f t="shared" si="388"/>
        <v>12</v>
      </c>
      <c r="L6702" s="616">
        <v>10000</v>
      </c>
      <c r="M6702" s="371"/>
      <c r="N6702" s="355" t="str">
        <f t="shared" si="438"/>
        <v>KI</v>
      </c>
      <c r="O6702" s="345">
        <f t="shared" si="437"/>
        <v>20</v>
      </c>
      <c r="P6702" s="345"/>
      <c r="Q6702" s="351"/>
      <c r="R6702" s="363"/>
      <c r="S6702" s="327"/>
      <c r="T6702" s="362"/>
      <c r="U6702" s="329"/>
      <c r="V6702" s="327"/>
      <c r="W6702" s="361"/>
      <c r="X6702" s="786"/>
      <c r="Y6702" s="1128" t="s">
        <v>3443</v>
      </c>
      <c r="Z6702" s="1128" t="s">
        <v>3381</v>
      </c>
      <c r="AA6702" s="1128" t="s">
        <v>3384</v>
      </c>
      <c r="AB6702" s="20"/>
      <c r="AC6702" s="73"/>
    </row>
    <row r="6703" spans="1:29" ht="14.25" customHeight="1">
      <c r="A6703" s="327" t="str">
        <f>IF(AND($B6703&lt;&gt;"",$C6703&lt;&gt;""),MAX($A$6492:$A6699)+1,"")</f>
        <v/>
      </c>
      <c r="B6703" s="361"/>
      <c r="C6703" s="362"/>
      <c r="D6703" s="362">
        <v>211</v>
      </c>
      <c r="E6703" s="361" t="s">
        <v>3726</v>
      </c>
      <c r="F6703" s="362" t="s">
        <v>3725</v>
      </c>
      <c r="G6703" s="327" t="s">
        <v>2658</v>
      </c>
      <c r="H6703" s="361"/>
      <c r="I6703" s="327">
        <v>1</v>
      </c>
      <c r="J6703" s="363" t="s">
        <v>2663</v>
      </c>
      <c r="K6703" s="345">
        <f t="shared" si="388"/>
        <v>12</v>
      </c>
      <c r="L6703" s="616">
        <v>15000</v>
      </c>
      <c r="M6703" s="371"/>
      <c r="N6703" s="355" t="str">
        <f t="shared" si="438"/>
        <v>KI</v>
      </c>
      <c r="O6703" s="345">
        <f t="shared" si="437"/>
        <v>20</v>
      </c>
      <c r="P6703" s="345"/>
      <c r="Q6703" s="351"/>
      <c r="R6703" s="363"/>
      <c r="S6703" s="327"/>
      <c r="T6703" s="362"/>
      <c r="U6703" s="329"/>
      <c r="V6703" s="327"/>
      <c r="W6703" s="361"/>
      <c r="X6703" s="786"/>
      <c r="Y6703" s="1128" t="s">
        <v>3443</v>
      </c>
      <c r="Z6703" s="1128" t="s">
        <v>3381</v>
      </c>
      <c r="AA6703" s="1128" t="s">
        <v>3384</v>
      </c>
      <c r="AB6703" s="20"/>
      <c r="AC6703" s="73"/>
    </row>
    <row r="6704" spans="1:29" ht="14.25" customHeight="1">
      <c r="A6704" s="327" t="str">
        <f>IF(AND($B6704&lt;&gt;"",$C6704&lt;&gt;""),MAX($A$6492:$A6700)+1,"")</f>
        <v/>
      </c>
      <c r="B6704" s="361"/>
      <c r="C6704" s="362"/>
      <c r="D6704" s="362">
        <v>212</v>
      </c>
      <c r="E6704" s="361" t="s">
        <v>3727</v>
      </c>
      <c r="F6704" s="362" t="s">
        <v>3728</v>
      </c>
      <c r="G6704" s="327" t="s">
        <v>2658</v>
      </c>
      <c r="H6704" s="361"/>
      <c r="I6704" s="327">
        <v>1</v>
      </c>
      <c r="J6704" s="363" t="s">
        <v>2663</v>
      </c>
      <c r="K6704" s="345">
        <f t="shared" si="388"/>
        <v>12</v>
      </c>
      <c r="L6704" s="616">
        <v>20000</v>
      </c>
      <c r="M6704" s="371"/>
      <c r="N6704" s="355" t="str">
        <f t="shared" si="438"/>
        <v>KI</v>
      </c>
      <c r="O6704" s="345">
        <f t="shared" si="437"/>
        <v>20</v>
      </c>
      <c r="P6704" s="345"/>
      <c r="Q6704" s="351"/>
      <c r="R6704" s="363"/>
      <c r="S6704" s="327"/>
      <c r="T6704" s="362"/>
      <c r="U6704" s="329"/>
      <c r="V6704" s="327"/>
      <c r="W6704" s="361"/>
      <c r="X6704" s="786"/>
      <c r="Y6704" s="1128" t="s">
        <v>3443</v>
      </c>
      <c r="Z6704" s="1128" t="s">
        <v>3381</v>
      </c>
      <c r="AA6704" s="1128" t="s">
        <v>3384</v>
      </c>
      <c r="AB6704" s="20"/>
      <c r="AC6704" s="73"/>
    </row>
    <row r="6705" spans="1:29" ht="14.25" customHeight="1">
      <c r="A6705" s="327" t="str">
        <f>IF(AND($B6705&lt;&gt;"",$C6705&lt;&gt;""),MAX($A$6492:$A6701)+1,"")</f>
        <v/>
      </c>
      <c r="B6705" s="361"/>
      <c r="C6705" s="362"/>
      <c r="D6705" s="362">
        <v>213</v>
      </c>
      <c r="E6705" s="361" t="s">
        <v>3729</v>
      </c>
      <c r="F6705" s="362" t="s">
        <v>3730</v>
      </c>
      <c r="G6705" s="327" t="s">
        <v>2658</v>
      </c>
      <c r="H6705" s="361"/>
      <c r="I6705" s="327">
        <v>1</v>
      </c>
      <c r="J6705" s="363" t="s">
        <v>2663</v>
      </c>
      <c r="K6705" s="345">
        <f t="shared" si="388"/>
        <v>12</v>
      </c>
      <c r="L6705" s="616">
        <v>20000</v>
      </c>
      <c r="M6705" s="371"/>
      <c r="N6705" s="355" t="str">
        <f t="shared" si="438"/>
        <v>KI</v>
      </c>
      <c r="O6705" s="345">
        <f t="shared" si="437"/>
        <v>20</v>
      </c>
      <c r="P6705" s="345"/>
      <c r="Q6705" s="351"/>
      <c r="R6705" s="363"/>
      <c r="S6705" s="327"/>
      <c r="T6705" s="362"/>
      <c r="U6705" s="329"/>
      <c r="V6705" s="327"/>
      <c r="W6705" s="361"/>
      <c r="X6705" s="786"/>
      <c r="Y6705" s="1128" t="s">
        <v>3443</v>
      </c>
      <c r="Z6705" s="1128" t="s">
        <v>3381</v>
      </c>
      <c r="AA6705" s="1128" t="s">
        <v>3384</v>
      </c>
      <c r="AB6705" s="20"/>
      <c r="AC6705" s="73"/>
    </row>
    <row r="6706" spans="1:29" ht="14.25" customHeight="1">
      <c r="A6706" s="327" t="str">
        <f>IF(AND($B6706&lt;&gt;"",$C6706&lt;&gt;""),MAX($A$6492:$A6699)+1,"")</f>
        <v/>
      </c>
      <c r="B6706" s="361"/>
      <c r="C6706" s="362"/>
      <c r="D6706" s="362">
        <v>214</v>
      </c>
      <c r="E6706" s="361" t="s">
        <v>2659</v>
      </c>
      <c r="F6706" s="362" t="s">
        <v>2660</v>
      </c>
      <c r="G6706" s="327" t="s">
        <v>2658</v>
      </c>
      <c r="H6706" s="361"/>
      <c r="I6706" s="327">
        <v>1</v>
      </c>
      <c r="J6706" s="363" t="s">
        <v>2663</v>
      </c>
      <c r="K6706" s="345">
        <f t="shared" si="388"/>
        <v>11</v>
      </c>
      <c r="L6706" s="616">
        <v>25000</v>
      </c>
      <c r="M6706" s="371"/>
      <c r="N6706" s="355" t="str">
        <f t="shared" si="438"/>
        <v>KI</v>
      </c>
      <c r="O6706" s="345">
        <f t="shared" si="437"/>
        <v>10</v>
      </c>
      <c r="P6706" s="345"/>
      <c r="Q6706" s="351"/>
      <c r="R6706" s="363"/>
      <c r="S6706" s="327"/>
      <c r="T6706" s="362"/>
      <c r="U6706" s="329"/>
      <c r="V6706" s="327"/>
      <c r="W6706" s="361"/>
      <c r="X6706" s="786"/>
      <c r="Y6706" s="1128" t="s">
        <v>3443</v>
      </c>
      <c r="Z6706" s="1128" t="s">
        <v>3381</v>
      </c>
      <c r="AA6706" s="1128" t="s">
        <v>3384</v>
      </c>
      <c r="AB6706" s="20"/>
      <c r="AC6706" s="73"/>
    </row>
    <row r="6707" spans="1:29" ht="14.25" customHeight="1">
      <c r="A6707" s="327" t="str">
        <f>IF(AND($B6707&lt;&gt;"",$C6707&lt;&gt;""),MAX($A$6492:$A6702)+1,"")</f>
        <v/>
      </c>
      <c r="B6707" s="361"/>
      <c r="C6707" s="362"/>
      <c r="D6707" s="362">
        <v>215</v>
      </c>
      <c r="E6707" s="361" t="s">
        <v>2661</v>
      </c>
      <c r="F6707" s="362" t="s">
        <v>2662</v>
      </c>
      <c r="G6707" s="327" t="s">
        <v>2658</v>
      </c>
      <c r="H6707" s="361"/>
      <c r="I6707" s="327">
        <v>1</v>
      </c>
      <c r="J6707" s="363" t="s">
        <v>2663</v>
      </c>
      <c r="K6707" s="345">
        <f t="shared" si="388"/>
        <v>11</v>
      </c>
      <c r="L6707" s="616">
        <v>45000</v>
      </c>
      <c r="M6707" s="371"/>
      <c r="N6707" s="355" t="str">
        <f t="shared" si="438"/>
        <v>KI</v>
      </c>
      <c r="O6707" s="345">
        <f t="shared" si="437"/>
        <v>10</v>
      </c>
      <c r="P6707" s="345"/>
      <c r="Q6707" s="351"/>
      <c r="R6707" s="363"/>
      <c r="S6707" s="327"/>
      <c r="T6707" s="362"/>
      <c r="U6707" s="329"/>
      <c r="V6707" s="327"/>
      <c r="W6707" s="361"/>
      <c r="X6707" s="786"/>
      <c r="Y6707" s="1128" t="s">
        <v>3656</v>
      </c>
      <c r="Z6707" s="1128" t="s">
        <v>3381</v>
      </c>
      <c r="AA6707" s="1128" t="s">
        <v>3384</v>
      </c>
      <c r="AB6707" s="20"/>
      <c r="AC6707" s="73"/>
    </row>
    <row r="6708" spans="1:29" ht="14.25" customHeight="1">
      <c r="A6708" s="327" t="str">
        <f>IF(AND($B6708&lt;&gt;"",$C6708&lt;&gt;""),MAX($A$6492:$A6706)+1,"")</f>
        <v/>
      </c>
      <c r="B6708" s="361"/>
      <c r="C6708" s="362"/>
      <c r="D6708" s="362">
        <v>216</v>
      </c>
      <c r="E6708" s="361" t="s">
        <v>3731</v>
      </c>
      <c r="F6708" s="362" t="s">
        <v>3715</v>
      </c>
      <c r="G6708" s="327" t="s">
        <v>2658</v>
      </c>
      <c r="H6708" s="361"/>
      <c r="I6708" s="327">
        <v>1</v>
      </c>
      <c r="J6708" s="363" t="s">
        <v>2663</v>
      </c>
      <c r="K6708" s="345">
        <v>11</v>
      </c>
      <c r="L6708" s="616">
        <v>6000</v>
      </c>
      <c r="M6708" s="371"/>
      <c r="N6708" s="355" t="str">
        <f t="shared" si="438"/>
        <v>KI</v>
      </c>
      <c r="O6708" s="345" t="e">
        <f t="shared" si="437"/>
        <v>#VALUE!</v>
      </c>
      <c r="P6708" s="345"/>
      <c r="Q6708" s="351"/>
      <c r="R6708" s="363"/>
      <c r="S6708" s="327"/>
      <c r="T6708" s="362"/>
      <c r="U6708" s="329"/>
      <c r="V6708" s="327"/>
      <c r="W6708" s="361"/>
      <c r="X6708" s="786"/>
      <c r="Y6708" s="1128" t="s">
        <v>3443</v>
      </c>
      <c r="Z6708" s="1128" t="s">
        <v>3381</v>
      </c>
      <c r="AA6708" s="1128" t="s">
        <v>3384</v>
      </c>
      <c r="AB6708" s="20"/>
      <c r="AC6708" s="73"/>
    </row>
    <row r="6709" spans="1:29" ht="14.25" customHeight="1">
      <c r="A6709" s="327" t="str">
        <f>IF(AND($B6709&lt;&gt;"",$C6709&lt;&gt;""),MAX($A$6492:$A6707)+1,"")</f>
        <v/>
      </c>
      <c r="B6709" s="361"/>
      <c r="C6709" s="362"/>
      <c r="D6709" s="362">
        <v>217</v>
      </c>
      <c r="E6709" s="361" t="s">
        <v>3732</v>
      </c>
      <c r="F6709" s="362" t="s">
        <v>3713</v>
      </c>
      <c r="G6709" s="327" t="s">
        <v>2658</v>
      </c>
      <c r="H6709" s="361"/>
      <c r="I6709" s="327">
        <v>1</v>
      </c>
      <c r="J6709" s="363" t="s">
        <v>2663</v>
      </c>
      <c r="K6709" s="345">
        <v>11</v>
      </c>
      <c r="L6709" s="616">
        <v>7000</v>
      </c>
      <c r="M6709" s="371"/>
      <c r="N6709" s="355" t="str">
        <f t="shared" si="438"/>
        <v>KI</v>
      </c>
      <c r="O6709" s="345" t="e">
        <f t="shared" si="437"/>
        <v>#VALUE!</v>
      </c>
      <c r="P6709" s="345"/>
      <c r="Q6709" s="351"/>
      <c r="R6709" s="363"/>
      <c r="S6709" s="327"/>
      <c r="T6709" s="362"/>
      <c r="U6709" s="329"/>
      <c r="V6709" s="327"/>
      <c r="W6709" s="361"/>
      <c r="X6709" s="786"/>
      <c r="Y6709" s="1128" t="s">
        <v>3443</v>
      </c>
      <c r="Z6709" s="1128" t="s">
        <v>3381</v>
      </c>
      <c r="AA6709" s="1128" t="s">
        <v>3384</v>
      </c>
      <c r="AB6709" s="20"/>
      <c r="AC6709" s="73"/>
    </row>
    <row r="6710" spans="1:29" ht="14.25" customHeight="1">
      <c r="A6710" s="327" t="str">
        <f>IF(AND($B6710&lt;&gt;"",$C6710&lt;&gt;""),MAX($A$6492:$A6708)+1,"")</f>
        <v/>
      </c>
      <c r="B6710" s="361"/>
      <c r="C6710" s="362"/>
      <c r="D6710" s="362">
        <v>218</v>
      </c>
      <c r="E6710" s="361" t="s">
        <v>3733</v>
      </c>
      <c r="F6710" s="362" t="s">
        <v>3714</v>
      </c>
      <c r="G6710" s="327" t="s">
        <v>2658</v>
      </c>
      <c r="H6710" s="361"/>
      <c r="I6710" s="327">
        <v>1</v>
      </c>
      <c r="J6710" s="363" t="s">
        <v>2663</v>
      </c>
      <c r="K6710" s="345">
        <v>11</v>
      </c>
      <c r="L6710" s="616">
        <v>8000</v>
      </c>
      <c r="M6710" s="371"/>
      <c r="N6710" s="355" t="str">
        <f t="shared" si="438"/>
        <v>KI</v>
      </c>
      <c r="O6710" s="345" t="e">
        <f t="shared" si="437"/>
        <v>#VALUE!</v>
      </c>
      <c r="P6710" s="345"/>
      <c r="Q6710" s="351"/>
      <c r="R6710" s="363"/>
      <c r="S6710" s="327"/>
      <c r="T6710" s="362"/>
      <c r="U6710" s="329"/>
      <c r="V6710" s="327"/>
      <c r="W6710" s="361"/>
      <c r="X6710" s="786"/>
      <c r="Y6710" s="1128" t="s">
        <v>3443</v>
      </c>
      <c r="Z6710" s="1128" t="s">
        <v>3381</v>
      </c>
      <c r="AA6710" s="1128" t="s">
        <v>3384</v>
      </c>
      <c r="AB6710" s="20"/>
      <c r="AC6710" s="73"/>
    </row>
    <row r="6711" spans="1:29" ht="14.25" customHeight="1">
      <c r="A6711" s="327" t="str">
        <f>IF(AND($B6711&lt;&gt;"",$C6711&lt;&gt;""),MAX($A$6492:$A6709)+1,"")</f>
        <v/>
      </c>
      <c r="B6711" s="361"/>
      <c r="C6711" s="362"/>
      <c r="D6711" s="362">
        <v>219</v>
      </c>
      <c r="E6711" s="361" t="s">
        <v>3734</v>
      </c>
      <c r="F6711" s="362" t="s">
        <v>3716</v>
      </c>
      <c r="G6711" s="327" t="s">
        <v>2658</v>
      </c>
      <c r="H6711" s="361"/>
      <c r="I6711" s="327">
        <v>1</v>
      </c>
      <c r="J6711" s="363" t="s">
        <v>2663</v>
      </c>
      <c r="K6711" s="345">
        <v>11</v>
      </c>
      <c r="L6711" s="616">
        <v>15000</v>
      </c>
      <c r="M6711" s="371"/>
      <c r="N6711" s="355" t="str">
        <f t="shared" si="438"/>
        <v>KI</v>
      </c>
      <c r="O6711" s="345" t="e">
        <f t="shared" si="437"/>
        <v>#VALUE!</v>
      </c>
      <c r="P6711" s="345"/>
      <c r="Q6711" s="351"/>
      <c r="R6711" s="363"/>
      <c r="S6711" s="327"/>
      <c r="T6711" s="362"/>
      <c r="U6711" s="329"/>
      <c r="V6711" s="327"/>
      <c r="W6711" s="361"/>
      <c r="X6711" s="786"/>
      <c r="Y6711" s="1128" t="s">
        <v>3443</v>
      </c>
      <c r="Z6711" s="1128" t="s">
        <v>3381</v>
      </c>
      <c r="AA6711" s="1128" t="s">
        <v>3384</v>
      </c>
      <c r="AB6711" s="20"/>
      <c r="AC6711" s="73"/>
    </row>
    <row r="6712" spans="1:29" ht="14.25" customHeight="1">
      <c r="A6712" s="327" t="str">
        <f>IF(AND($B6712&lt;&gt;"",$C6712&lt;&gt;""),MAX($A$6492:$A6710)+1,"")</f>
        <v/>
      </c>
      <c r="B6712" s="361"/>
      <c r="C6712" s="362"/>
      <c r="D6712" s="362">
        <v>220</v>
      </c>
      <c r="E6712" s="361" t="s">
        <v>3735</v>
      </c>
      <c r="F6712" s="362" t="s">
        <v>3739</v>
      </c>
      <c r="G6712" s="327" t="s">
        <v>2658</v>
      </c>
      <c r="H6712" s="361"/>
      <c r="I6712" s="327">
        <v>1</v>
      </c>
      <c r="J6712" s="363" t="s">
        <v>2663</v>
      </c>
      <c r="K6712" s="345">
        <v>11</v>
      </c>
      <c r="L6712" s="616">
        <v>15000</v>
      </c>
      <c r="M6712" s="371"/>
      <c r="N6712" s="355" t="str">
        <f t="shared" si="438"/>
        <v>KI</v>
      </c>
      <c r="O6712" s="345" t="e">
        <f t="shared" si="437"/>
        <v>#VALUE!</v>
      </c>
      <c r="P6712" s="345"/>
      <c r="Q6712" s="351"/>
      <c r="R6712" s="363"/>
      <c r="S6712" s="327"/>
      <c r="T6712" s="362"/>
      <c r="U6712" s="329"/>
      <c r="V6712" s="327"/>
      <c r="W6712" s="361"/>
      <c r="X6712" s="786"/>
      <c r="Y6712" s="1128" t="s">
        <v>3443</v>
      </c>
      <c r="Z6712" s="1128" t="s">
        <v>3381</v>
      </c>
      <c r="AA6712" s="1128" t="s">
        <v>3384</v>
      </c>
      <c r="AB6712" s="20"/>
      <c r="AC6712" s="73"/>
    </row>
    <row r="6713" spans="1:29" ht="14.25" customHeight="1">
      <c r="A6713" s="327" t="str">
        <f>IF(AND($B6713&lt;&gt;"",$C6713&lt;&gt;""),MAX($A$6492:$A6711)+1,"")</f>
        <v/>
      </c>
      <c r="B6713" s="361"/>
      <c r="C6713" s="362"/>
      <c r="D6713" s="362">
        <v>221</v>
      </c>
      <c r="E6713" s="361" t="s">
        <v>3736</v>
      </c>
      <c r="F6713" s="362" t="s">
        <v>3740</v>
      </c>
      <c r="G6713" s="327" t="s">
        <v>2658</v>
      </c>
      <c r="H6713" s="361"/>
      <c r="I6713" s="327">
        <v>1</v>
      </c>
      <c r="J6713" s="363" t="s">
        <v>2663</v>
      </c>
      <c r="K6713" s="345">
        <v>11</v>
      </c>
      <c r="L6713" s="616">
        <v>20000</v>
      </c>
      <c r="M6713" s="371"/>
      <c r="N6713" s="355" t="str">
        <f t="shared" si="438"/>
        <v>KI</v>
      </c>
      <c r="O6713" s="345" t="e">
        <f t="shared" si="437"/>
        <v>#VALUE!</v>
      </c>
      <c r="P6713" s="345"/>
      <c r="Q6713" s="351"/>
      <c r="R6713" s="363"/>
      <c r="S6713" s="327"/>
      <c r="T6713" s="362"/>
      <c r="U6713" s="329"/>
      <c r="V6713" s="327"/>
      <c r="W6713" s="361"/>
      <c r="X6713" s="786"/>
      <c r="Y6713" s="1128" t="s">
        <v>3443</v>
      </c>
      <c r="Z6713" s="1128" t="s">
        <v>3381</v>
      </c>
      <c r="AA6713" s="1128" t="s">
        <v>3384</v>
      </c>
      <c r="AB6713" s="20"/>
      <c r="AC6713" s="73"/>
    </row>
    <row r="6714" spans="1:29" ht="14.25" customHeight="1">
      <c r="A6714" s="327" t="str">
        <f>IF(AND($B6714&lt;&gt;"",$C6714&lt;&gt;""),MAX($A$6492:$A6712)+1,"")</f>
        <v/>
      </c>
      <c r="B6714" s="361"/>
      <c r="C6714" s="362"/>
      <c r="D6714" s="362">
        <v>222</v>
      </c>
      <c r="E6714" s="361" t="s">
        <v>3737</v>
      </c>
      <c r="F6714" s="362" t="s">
        <v>3741</v>
      </c>
      <c r="G6714" s="327" t="s">
        <v>2658</v>
      </c>
      <c r="H6714" s="361"/>
      <c r="I6714" s="327">
        <v>1</v>
      </c>
      <c r="J6714" s="363" t="s">
        <v>2663</v>
      </c>
      <c r="K6714" s="345">
        <v>11</v>
      </c>
      <c r="L6714" s="616">
        <v>25000</v>
      </c>
      <c r="M6714" s="371"/>
      <c r="N6714" s="355" t="str">
        <f t="shared" si="438"/>
        <v>KI</v>
      </c>
      <c r="O6714" s="345" t="e">
        <f t="shared" si="437"/>
        <v>#VALUE!</v>
      </c>
      <c r="P6714" s="345"/>
      <c r="Q6714" s="351"/>
      <c r="R6714" s="363"/>
      <c r="S6714" s="327"/>
      <c r="T6714" s="362"/>
      <c r="U6714" s="329"/>
      <c r="V6714" s="327"/>
      <c r="W6714" s="361"/>
      <c r="X6714" s="786"/>
      <c r="Y6714" s="1128" t="s">
        <v>3443</v>
      </c>
      <c r="Z6714" s="1128" t="s">
        <v>3381</v>
      </c>
      <c r="AA6714" s="1128" t="s">
        <v>3384</v>
      </c>
      <c r="AB6714" s="20"/>
      <c r="AC6714" s="73"/>
    </row>
    <row r="6715" spans="1:29" ht="14.25" customHeight="1">
      <c r="A6715" s="327" t="str">
        <f>IF(AND($B6715&lt;&gt;"",$C6715&lt;&gt;""),MAX($A$6492:$A6713)+1,"")</f>
        <v/>
      </c>
      <c r="B6715" s="361"/>
      <c r="C6715" s="362"/>
      <c r="D6715" s="362">
        <v>223</v>
      </c>
      <c r="E6715" s="361" t="s">
        <v>3738</v>
      </c>
      <c r="F6715" s="362" t="s">
        <v>3742</v>
      </c>
      <c r="G6715" s="327" t="s">
        <v>2658</v>
      </c>
      <c r="H6715" s="361"/>
      <c r="I6715" s="327">
        <v>1</v>
      </c>
      <c r="J6715" s="363" t="s">
        <v>2663</v>
      </c>
      <c r="K6715" s="345">
        <v>11</v>
      </c>
      <c r="L6715" s="616">
        <v>40000</v>
      </c>
      <c r="M6715" s="371"/>
      <c r="N6715" s="355" t="str">
        <f t="shared" si="438"/>
        <v>KI</v>
      </c>
      <c r="O6715" s="345" t="e">
        <f t="shared" si="437"/>
        <v>#VALUE!</v>
      </c>
      <c r="P6715" s="345"/>
      <c r="Q6715" s="351"/>
      <c r="R6715" s="363"/>
      <c r="S6715" s="327"/>
      <c r="T6715" s="362"/>
      <c r="U6715" s="329"/>
      <c r="V6715" s="327"/>
      <c r="W6715" s="361"/>
      <c r="X6715" s="786"/>
      <c r="Y6715" s="1128" t="s">
        <v>3443</v>
      </c>
      <c r="Z6715" s="1128" t="s">
        <v>3381</v>
      </c>
      <c r="AA6715" s="1128" t="s">
        <v>3384</v>
      </c>
      <c r="AB6715" s="20"/>
      <c r="AC6715" s="73"/>
    </row>
    <row r="6716" spans="1:29" ht="14.25" customHeight="1">
      <c r="A6716" s="327" t="str">
        <f>IF(AND($B6716&lt;&gt;"",$C6716&lt;&gt;""),MAX($A$6492:$A6655)+1,"")</f>
        <v/>
      </c>
      <c r="B6716" s="361"/>
      <c r="C6716" s="362"/>
      <c r="D6716" s="362">
        <v>224</v>
      </c>
      <c r="E6716" s="361" t="s">
        <v>2614</v>
      </c>
      <c r="F6716" s="362" t="s">
        <v>2611</v>
      </c>
      <c r="G6716" s="327" t="s">
        <v>240</v>
      </c>
      <c r="H6716" s="361"/>
      <c r="I6716" s="327">
        <v>1</v>
      </c>
      <c r="J6716" s="363" t="s">
        <v>2609</v>
      </c>
      <c r="K6716" s="345">
        <f t="shared" si="388"/>
        <v>11</v>
      </c>
      <c r="L6716" s="616">
        <v>210000</v>
      </c>
      <c r="M6716" s="371"/>
      <c r="N6716" s="355" t="str">
        <f t="shared" si="438"/>
        <v>KI</v>
      </c>
      <c r="O6716" s="345">
        <f t="shared" si="437"/>
        <v>10</v>
      </c>
      <c r="P6716" s="345"/>
      <c r="Q6716" s="351"/>
      <c r="R6716" s="363"/>
      <c r="S6716" s="327"/>
      <c r="T6716" s="362"/>
      <c r="U6716" s="329"/>
      <c r="V6716" s="327"/>
      <c r="W6716" s="361"/>
      <c r="X6716" s="786"/>
      <c r="Y6716" s="1128" t="s">
        <v>3656</v>
      </c>
      <c r="Z6716" s="1128" t="s">
        <v>3381</v>
      </c>
      <c r="AA6716" s="1128" t="s">
        <v>3384</v>
      </c>
      <c r="AB6716" s="20"/>
      <c r="AC6716" s="73"/>
    </row>
    <row r="6717" spans="1:29" ht="14.25" customHeight="1">
      <c r="A6717" s="327" t="str">
        <f>IF(AND($B6717&lt;&gt;"",$C6717&lt;&gt;""),MAX($A$6492:$A6716)+1,"")</f>
        <v/>
      </c>
      <c r="B6717" s="361"/>
      <c r="C6717" s="362"/>
      <c r="D6717" s="362">
        <v>225</v>
      </c>
      <c r="E6717" s="361" t="s">
        <v>2615</v>
      </c>
      <c r="F6717" s="362" t="s">
        <v>2612</v>
      </c>
      <c r="G6717" s="327" t="s">
        <v>240</v>
      </c>
      <c r="H6717" s="361"/>
      <c r="I6717" s="327">
        <v>1</v>
      </c>
      <c r="J6717" s="363" t="s">
        <v>2609</v>
      </c>
      <c r="K6717" s="345">
        <f t="shared" si="388"/>
        <v>11</v>
      </c>
      <c r="L6717" s="616">
        <v>240000</v>
      </c>
      <c r="M6717" s="371"/>
      <c r="N6717" s="355" t="str">
        <f t="shared" si="438"/>
        <v>KI</v>
      </c>
      <c r="O6717" s="345">
        <f t="shared" si="437"/>
        <v>10</v>
      </c>
      <c r="P6717" s="345"/>
      <c r="Q6717" s="351"/>
      <c r="R6717" s="363"/>
      <c r="S6717" s="327"/>
      <c r="T6717" s="362"/>
      <c r="U6717" s="329"/>
      <c r="V6717" s="327"/>
      <c r="W6717" s="361"/>
      <c r="X6717" s="786"/>
      <c r="Y6717" s="1128" t="s">
        <v>3656</v>
      </c>
      <c r="Z6717" s="1128" t="s">
        <v>3381</v>
      </c>
      <c r="AA6717" s="1128" t="s">
        <v>3384</v>
      </c>
      <c r="AB6717" s="20"/>
      <c r="AC6717" s="73"/>
    </row>
    <row r="6718" spans="1:29" ht="14.25" customHeight="1">
      <c r="A6718" s="327" t="str">
        <f>IF(AND($B6718&lt;&gt;"",$C6718&lt;&gt;""),MAX($A$6492:$A6717)+1,"")</f>
        <v/>
      </c>
      <c r="B6718" s="361"/>
      <c r="C6718" s="362"/>
      <c r="D6718" s="362">
        <v>226</v>
      </c>
      <c r="E6718" s="361" t="s">
        <v>2616</v>
      </c>
      <c r="F6718" s="362" t="s">
        <v>2610</v>
      </c>
      <c r="G6718" s="327" t="s">
        <v>240</v>
      </c>
      <c r="H6718" s="361"/>
      <c r="I6718" s="327">
        <v>1</v>
      </c>
      <c r="J6718" s="363" t="s">
        <v>2609</v>
      </c>
      <c r="K6718" s="345">
        <f t="shared" si="388"/>
        <v>11</v>
      </c>
      <c r="L6718" s="476">
        <v>350000</v>
      </c>
      <c r="M6718" s="371"/>
      <c r="N6718" s="355" t="str">
        <f t="shared" si="438"/>
        <v>KI</v>
      </c>
      <c r="O6718" s="345">
        <f t="shared" si="437"/>
        <v>10</v>
      </c>
      <c r="P6718" s="345"/>
      <c r="Q6718" s="351"/>
      <c r="R6718" s="363"/>
      <c r="S6718" s="327"/>
      <c r="T6718" s="362"/>
      <c r="U6718" s="329"/>
      <c r="V6718" s="327"/>
      <c r="W6718" s="361"/>
      <c r="X6718" s="786"/>
      <c r="Y6718" s="1128" t="s">
        <v>3656</v>
      </c>
      <c r="Z6718" s="1128" t="s">
        <v>3381</v>
      </c>
      <c r="AA6718" s="1128" t="s">
        <v>3384</v>
      </c>
      <c r="AB6718" s="20"/>
      <c r="AC6718" s="73"/>
    </row>
    <row r="6719" spans="1:29" ht="14.25" customHeight="1">
      <c r="A6719" s="327" t="str">
        <f>IF(AND($B6719&lt;&gt;"",$C6719&lt;&gt;""),MAX($A$6492:$A6718)+1,"")</f>
        <v/>
      </c>
      <c r="B6719" s="361"/>
      <c r="C6719" s="362"/>
      <c r="D6719" s="362">
        <v>227</v>
      </c>
      <c r="E6719" s="361" t="s">
        <v>2617</v>
      </c>
      <c r="F6719" s="362" t="s">
        <v>2613</v>
      </c>
      <c r="G6719" s="327" t="s">
        <v>240</v>
      </c>
      <c r="H6719" s="361"/>
      <c r="I6719" s="327">
        <v>1</v>
      </c>
      <c r="J6719" s="363" t="s">
        <v>2609</v>
      </c>
      <c r="K6719" s="345">
        <f t="shared" si="388"/>
        <v>11</v>
      </c>
      <c r="L6719" s="476">
        <v>400000</v>
      </c>
      <c r="M6719" s="371"/>
      <c r="N6719" s="355" t="str">
        <f t="shared" si="438"/>
        <v>KI</v>
      </c>
      <c r="O6719" s="345">
        <f t="shared" si="437"/>
        <v>10</v>
      </c>
      <c r="P6719" s="345"/>
      <c r="Q6719" s="351"/>
      <c r="R6719" s="363"/>
      <c r="S6719" s="327"/>
      <c r="T6719" s="362"/>
      <c r="U6719" s="329"/>
      <c r="V6719" s="327"/>
      <c r="W6719" s="361"/>
      <c r="X6719" s="786"/>
      <c r="Y6719" s="1128" t="s">
        <v>3425</v>
      </c>
      <c r="Z6719" s="1128" t="s">
        <v>3381</v>
      </c>
      <c r="AA6719" s="1128" t="s">
        <v>3384</v>
      </c>
      <c r="AB6719" s="20"/>
      <c r="AC6719" s="73"/>
    </row>
    <row r="6720" spans="1:29" ht="13.9" customHeight="1">
      <c r="A6720" s="327" t="str">
        <f>IF(AND($B6720&lt;&gt;"",$C6720&lt;&gt;""),MAX($A$6492:$A6719)+1,"")</f>
        <v/>
      </c>
      <c r="B6720" s="361"/>
      <c r="C6720" s="362"/>
      <c r="D6720" s="362">
        <v>228</v>
      </c>
      <c r="E6720" s="361" t="s">
        <v>2618</v>
      </c>
      <c r="F6720" s="362" t="s">
        <v>2619</v>
      </c>
      <c r="G6720" s="327" t="s">
        <v>240</v>
      </c>
      <c r="H6720" s="361"/>
      <c r="I6720" s="327">
        <v>1</v>
      </c>
      <c r="J6720" s="363" t="s">
        <v>2609</v>
      </c>
      <c r="K6720" s="345">
        <f t="shared" si="388"/>
        <v>11</v>
      </c>
      <c r="L6720" s="476">
        <v>50000</v>
      </c>
      <c r="M6720" s="371"/>
      <c r="N6720" s="355" t="str">
        <f t="shared" si="438"/>
        <v>KI</v>
      </c>
      <c r="O6720" s="345">
        <f t="shared" si="437"/>
        <v>10</v>
      </c>
      <c r="P6720" s="345"/>
      <c r="Q6720" s="351"/>
      <c r="R6720" s="363"/>
      <c r="S6720" s="327"/>
      <c r="T6720" s="362"/>
      <c r="U6720" s="329"/>
      <c r="V6720" s="327"/>
      <c r="W6720" s="361"/>
      <c r="X6720" s="786"/>
      <c r="Y6720" s="1128" t="s">
        <v>3425</v>
      </c>
      <c r="Z6720" s="1128" t="s">
        <v>3381</v>
      </c>
      <c r="AA6720" s="1128" t="s">
        <v>3384</v>
      </c>
      <c r="AB6720" s="20"/>
      <c r="AC6720" s="73"/>
    </row>
    <row r="6721" spans="1:29" ht="13.9" customHeight="1">
      <c r="A6721" s="327" t="str">
        <f>IF(AND($B6721&lt;&gt;"",$C6721&lt;&gt;""),MAX($A$6492:$A6720)+1,"")</f>
        <v/>
      </c>
      <c r="B6721" s="361"/>
      <c r="C6721" s="362"/>
      <c r="D6721" s="362">
        <v>229</v>
      </c>
      <c r="E6721" s="361" t="s">
        <v>2620</v>
      </c>
      <c r="F6721" s="362" t="s">
        <v>2621</v>
      </c>
      <c r="G6721" s="327" t="s">
        <v>240</v>
      </c>
      <c r="H6721" s="361"/>
      <c r="I6721" s="327">
        <v>1</v>
      </c>
      <c r="J6721" s="363" t="s">
        <v>2609</v>
      </c>
      <c r="K6721" s="345">
        <f t="shared" si="388"/>
        <v>11</v>
      </c>
      <c r="L6721" s="476">
        <v>650000</v>
      </c>
      <c r="M6721" s="371"/>
      <c r="N6721" s="355" t="str">
        <f t="shared" si="438"/>
        <v>KI</v>
      </c>
      <c r="O6721" s="345">
        <f t="shared" si="437"/>
        <v>10</v>
      </c>
      <c r="P6721" s="345"/>
      <c r="Q6721" s="351"/>
      <c r="R6721" s="363"/>
      <c r="S6721" s="327"/>
      <c r="T6721" s="362"/>
      <c r="U6721" s="329"/>
      <c r="V6721" s="327"/>
      <c r="W6721" s="361"/>
      <c r="X6721" s="786"/>
      <c r="Y6721" s="1128" t="s">
        <v>3425</v>
      </c>
      <c r="Z6721" s="1128" t="s">
        <v>3381</v>
      </c>
      <c r="AA6721" s="1128" t="s">
        <v>3384</v>
      </c>
      <c r="AB6721" s="20"/>
      <c r="AC6721" s="73"/>
    </row>
    <row r="6722" spans="1:29" ht="14.25" customHeight="1">
      <c r="A6722" s="327" t="str">
        <f>IF(AND($B6722&lt;&gt;"",$C6722&lt;&gt;""),MAX($A$6492:$A6721)+1,"")</f>
        <v/>
      </c>
      <c r="B6722" s="361"/>
      <c r="C6722" s="362"/>
      <c r="D6722" s="362">
        <v>230</v>
      </c>
      <c r="E6722" s="361" t="s">
        <v>2622</v>
      </c>
      <c r="F6722" s="362" t="s">
        <v>2623</v>
      </c>
      <c r="G6722" s="327" t="s">
        <v>240</v>
      </c>
      <c r="H6722" s="361"/>
      <c r="I6722" s="327">
        <v>1</v>
      </c>
      <c r="J6722" s="363" t="s">
        <v>2609</v>
      </c>
      <c r="K6722" s="345">
        <f t="shared" si="388"/>
        <v>11</v>
      </c>
      <c r="L6722" s="710" t="s">
        <v>2286</v>
      </c>
      <c r="M6722" s="371"/>
      <c r="N6722" s="355" t="str">
        <f t="shared" si="438"/>
        <v>KI</v>
      </c>
      <c r="O6722" s="345">
        <f t="shared" si="437"/>
        <v>10</v>
      </c>
      <c r="P6722" s="345"/>
      <c r="Q6722" s="351"/>
      <c r="R6722" s="363"/>
      <c r="S6722" s="327"/>
      <c r="T6722" s="362"/>
      <c r="U6722" s="329"/>
      <c r="V6722" s="327"/>
      <c r="W6722" s="361"/>
      <c r="X6722" s="786"/>
      <c r="Y6722" s="1128" t="s">
        <v>3425</v>
      </c>
      <c r="Z6722" s="1128" t="s">
        <v>3381</v>
      </c>
      <c r="AA6722" s="1128" t="s">
        <v>3384</v>
      </c>
      <c r="AB6722" s="20"/>
      <c r="AC6722" s="73"/>
    </row>
    <row r="6723" spans="1:29" ht="14.25" customHeight="1">
      <c r="A6723" s="327" t="str">
        <f>IF(AND($B6723&lt;&gt;"",$C6723&lt;&gt;""),MAX($A$6492:$A6722)+1,"")</f>
        <v/>
      </c>
      <c r="B6723" s="361"/>
      <c r="C6723" s="362"/>
      <c r="D6723" s="362">
        <v>231</v>
      </c>
      <c r="E6723" s="361" t="s">
        <v>3687</v>
      </c>
      <c r="F6723" s="362" t="s">
        <v>3688</v>
      </c>
      <c r="G6723" s="327" t="s">
        <v>240</v>
      </c>
      <c r="H6723" s="361"/>
      <c r="I6723" s="327">
        <v>1</v>
      </c>
      <c r="J6723" s="363" t="s">
        <v>2609</v>
      </c>
      <c r="K6723" s="345">
        <v>11</v>
      </c>
      <c r="L6723" s="710">
        <v>50000</v>
      </c>
      <c r="M6723" s="371"/>
      <c r="N6723" s="355" t="str">
        <f t="shared" si="438"/>
        <v>KI</v>
      </c>
      <c r="O6723" s="345" t="e">
        <f t="shared" si="437"/>
        <v>#VALUE!</v>
      </c>
      <c r="P6723" s="345"/>
      <c r="Q6723" s="351"/>
      <c r="R6723" s="363"/>
      <c r="S6723" s="327"/>
      <c r="T6723" s="362"/>
      <c r="U6723" s="329"/>
      <c r="V6723" s="327"/>
      <c r="W6723" s="361"/>
      <c r="X6723" s="786"/>
      <c r="Y6723" s="1128" t="s">
        <v>3380</v>
      </c>
      <c r="Z6723" s="1128" t="s">
        <v>3381</v>
      </c>
      <c r="AA6723" s="1128" t="s">
        <v>3384</v>
      </c>
      <c r="AB6723" s="20"/>
      <c r="AC6723" s="73"/>
    </row>
    <row r="6724" spans="1:29" ht="14.25" customHeight="1">
      <c r="A6724" s="327" t="str">
        <f>IF(AND($B6724&lt;&gt;"",$C6724&lt;&gt;""),MAX($A$6492:$A6723)+1,"")</f>
        <v/>
      </c>
      <c r="B6724" s="361"/>
      <c r="C6724" s="362"/>
      <c r="D6724" s="362">
        <v>232</v>
      </c>
      <c r="E6724" s="361" t="s">
        <v>3689</v>
      </c>
      <c r="F6724" s="362" t="s">
        <v>3701</v>
      </c>
      <c r="G6724" s="327" t="s">
        <v>240</v>
      </c>
      <c r="H6724" s="361"/>
      <c r="I6724" s="327">
        <v>1</v>
      </c>
      <c r="J6724" s="363" t="s">
        <v>2609</v>
      </c>
      <c r="K6724" s="345">
        <v>11</v>
      </c>
      <c r="L6724" s="710">
        <v>600000</v>
      </c>
      <c r="M6724" s="371"/>
      <c r="N6724" s="355" t="str">
        <f t="shared" si="438"/>
        <v>KI</v>
      </c>
      <c r="O6724" s="345" t="e">
        <f t="shared" si="437"/>
        <v>#VALUE!</v>
      </c>
      <c r="P6724" s="345"/>
      <c r="Q6724" s="351"/>
      <c r="R6724" s="363"/>
      <c r="S6724" s="327"/>
      <c r="T6724" s="362"/>
      <c r="U6724" s="329"/>
      <c r="V6724" s="327"/>
      <c r="W6724" s="361"/>
      <c r="X6724" s="786"/>
      <c r="Y6724" s="1128" t="s">
        <v>3424</v>
      </c>
      <c r="Z6724" s="1128" t="s">
        <v>3381</v>
      </c>
      <c r="AA6724" s="1128" t="s">
        <v>3384</v>
      </c>
      <c r="AB6724" s="20"/>
      <c r="AC6724" s="73"/>
    </row>
    <row r="6725" spans="1:29" ht="14.25" customHeight="1">
      <c r="A6725" s="327" t="str">
        <f>IF(AND($B6725&lt;&gt;"",$C6725&lt;&gt;""),MAX($A$6492:$A6724)+1,"")</f>
        <v/>
      </c>
      <c r="B6725" s="361"/>
      <c r="C6725" s="362"/>
      <c r="D6725" s="362">
        <v>233</v>
      </c>
      <c r="E6725" s="361" t="s">
        <v>3690</v>
      </c>
      <c r="F6725" s="362" t="s">
        <v>3702</v>
      </c>
      <c r="G6725" s="327" t="s">
        <v>240</v>
      </c>
      <c r="H6725" s="361"/>
      <c r="I6725" s="327">
        <v>1</v>
      </c>
      <c r="J6725" s="363" t="s">
        <v>2609</v>
      </c>
      <c r="K6725" s="345">
        <v>11</v>
      </c>
      <c r="L6725" s="710">
        <v>650000</v>
      </c>
      <c r="M6725" s="371"/>
      <c r="N6725" s="355" t="str">
        <f t="shared" si="438"/>
        <v>KI</v>
      </c>
      <c r="O6725" s="345" t="e">
        <f t="shared" si="437"/>
        <v>#VALUE!</v>
      </c>
      <c r="P6725" s="345"/>
      <c r="Q6725" s="351"/>
      <c r="R6725" s="363"/>
      <c r="S6725" s="327"/>
      <c r="T6725" s="362"/>
      <c r="U6725" s="329"/>
      <c r="V6725" s="327"/>
      <c r="W6725" s="361"/>
      <c r="X6725" s="786"/>
      <c r="Y6725" s="1128" t="s">
        <v>3424</v>
      </c>
      <c r="Z6725" s="1128" t="s">
        <v>3381</v>
      </c>
      <c r="AA6725" s="1128" t="s">
        <v>3384</v>
      </c>
      <c r="AB6725" s="20"/>
      <c r="AC6725" s="73"/>
    </row>
    <row r="6726" spans="1:29" ht="14.25" customHeight="1">
      <c r="A6726" s="327" t="str">
        <f>IF(AND($B6726&lt;&gt;"",$C6726&lt;&gt;""),MAX($A$6492:$A6725)+1,"")</f>
        <v/>
      </c>
      <c r="B6726" s="361"/>
      <c r="C6726" s="362"/>
      <c r="D6726" s="362">
        <v>234</v>
      </c>
      <c r="E6726" s="361" t="s">
        <v>3691</v>
      </c>
      <c r="F6726" s="362" t="s">
        <v>3703</v>
      </c>
      <c r="G6726" s="327" t="s">
        <v>240</v>
      </c>
      <c r="H6726" s="361"/>
      <c r="I6726" s="327">
        <v>1</v>
      </c>
      <c r="J6726" s="363" t="s">
        <v>2609</v>
      </c>
      <c r="K6726" s="345">
        <v>11</v>
      </c>
      <c r="L6726" s="710">
        <v>700000</v>
      </c>
      <c r="M6726" s="371"/>
      <c r="N6726" s="355" t="str">
        <f t="shared" si="438"/>
        <v>KI</v>
      </c>
      <c r="O6726" s="345" t="e">
        <f t="shared" si="437"/>
        <v>#VALUE!</v>
      </c>
      <c r="P6726" s="345"/>
      <c r="Q6726" s="351"/>
      <c r="R6726" s="363"/>
      <c r="S6726" s="327"/>
      <c r="T6726" s="362"/>
      <c r="U6726" s="329"/>
      <c r="V6726" s="327"/>
      <c r="W6726" s="361"/>
      <c r="X6726" s="786"/>
      <c r="Y6726" s="1128" t="s">
        <v>3424</v>
      </c>
      <c r="Z6726" s="1128" t="s">
        <v>3381</v>
      </c>
      <c r="AA6726" s="1128" t="s">
        <v>3384</v>
      </c>
      <c r="AB6726" s="20"/>
      <c r="AC6726" s="73"/>
    </row>
    <row r="6727" spans="1:29" ht="14.25" customHeight="1">
      <c r="A6727" s="327" t="str">
        <f>IF(AND($B6727&lt;&gt;"",$C6727&lt;&gt;""),MAX($A$6492:$A6726)+1,"")</f>
        <v/>
      </c>
      <c r="B6727" s="361"/>
      <c r="C6727" s="362"/>
      <c r="D6727" s="362">
        <v>235</v>
      </c>
      <c r="E6727" s="361" t="s">
        <v>3692</v>
      </c>
      <c r="F6727" s="362" t="s">
        <v>3704</v>
      </c>
      <c r="G6727" s="327" t="s">
        <v>240</v>
      </c>
      <c r="H6727" s="361"/>
      <c r="I6727" s="327">
        <v>1</v>
      </c>
      <c r="J6727" s="363" t="s">
        <v>2609</v>
      </c>
      <c r="K6727" s="345">
        <v>11</v>
      </c>
      <c r="L6727" s="710">
        <v>750000</v>
      </c>
      <c r="M6727" s="371"/>
      <c r="N6727" s="355" t="str">
        <f t="shared" si="438"/>
        <v>KI</v>
      </c>
      <c r="O6727" s="345" t="e">
        <f t="shared" si="437"/>
        <v>#VALUE!</v>
      </c>
      <c r="P6727" s="345"/>
      <c r="Q6727" s="351"/>
      <c r="R6727" s="363"/>
      <c r="S6727" s="327"/>
      <c r="T6727" s="362"/>
      <c r="U6727" s="329"/>
      <c r="V6727" s="327"/>
      <c r="W6727" s="361"/>
      <c r="X6727" s="786"/>
      <c r="Y6727" s="1128" t="s">
        <v>3424</v>
      </c>
      <c r="Z6727" s="1128" t="s">
        <v>3381</v>
      </c>
      <c r="AA6727" s="1128" t="s">
        <v>3384</v>
      </c>
      <c r="AB6727" s="20"/>
      <c r="AC6727" s="73"/>
    </row>
    <row r="6728" spans="1:29" ht="14.25" customHeight="1">
      <c r="A6728" s="327" t="str">
        <f>IF(AND($B6728&lt;&gt;"",$C6728&lt;&gt;""),MAX($A$6492:$A6727)+1,"")</f>
        <v/>
      </c>
      <c r="B6728" s="361"/>
      <c r="C6728" s="362"/>
      <c r="D6728" s="362">
        <v>236</v>
      </c>
      <c r="E6728" s="361" t="s">
        <v>3693</v>
      </c>
      <c r="F6728" s="362" t="s">
        <v>3705</v>
      </c>
      <c r="G6728" s="327" t="s">
        <v>240</v>
      </c>
      <c r="H6728" s="361"/>
      <c r="I6728" s="327">
        <v>1</v>
      </c>
      <c r="J6728" s="363" t="s">
        <v>2609</v>
      </c>
      <c r="K6728" s="345">
        <v>11</v>
      </c>
      <c r="L6728" s="710">
        <v>800000</v>
      </c>
      <c r="M6728" s="371"/>
      <c r="N6728" s="355" t="str">
        <f t="shared" si="438"/>
        <v>KI</v>
      </c>
      <c r="O6728" s="345" t="e">
        <f t="shared" si="437"/>
        <v>#VALUE!</v>
      </c>
      <c r="P6728" s="345"/>
      <c r="Q6728" s="351"/>
      <c r="R6728" s="363"/>
      <c r="S6728" s="327"/>
      <c r="T6728" s="362"/>
      <c r="U6728" s="329"/>
      <c r="V6728" s="327"/>
      <c r="W6728" s="361"/>
      <c r="X6728" s="786"/>
      <c r="Y6728" s="1128" t="s">
        <v>3424</v>
      </c>
      <c r="Z6728" s="1128" t="s">
        <v>3381</v>
      </c>
      <c r="AA6728" s="1128" t="s">
        <v>3384</v>
      </c>
      <c r="AB6728" s="20"/>
      <c r="AC6728" s="73"/>
    </row>
    <row r="6729" spans="1:29" ht="14.25" customHeight="1">
      <c r="A6729" s="327" t="str">
        <f>IF(AND($B6729&lt;&gt;"",$C6729&lt;&gt;""),MAX($A$6492:$A6728)+1,"")</f>
        <v/>
      </c>
      <c r="B6729" s="361"/>
      <c r="C6729" s="362"/>
      <c r="D6729" s="362">
        <v>237</v>
      </c>
      <c r="E6729" s="361" t="s">
        <v>3694</v>
      </c>
      <c r="F6729" s="362" t="s">
        <v>3706</v>
      </c>
      <c r="G6729" s="327" t="s">
        <v>240</v>
      </c>
      <c r="H6729" s="361"/>
      <c r="I6729" s="327">
        <v>1</v>
      </c>
      <c r="J6729" s="363" t="s">
        <v>2609</v>
      </c>
      <c r="K6729" s="345">
        <v>11</v>
      </c>
      <c r="L6729" s="710">
        <v>900000</v>
      </c>
      <c r="M6729" s="371"/>
      <c r="N6729" s="355" t="str">
        <f t="shared" si="438"/>
        <v>KI</v>
      </c>
      <c r="O6729" s="345" t="e">
        <f t="shared" si="437"/>
        <v>#VALUE!</v>
      </c>
      <c r="P6729" s="345"/>
      <c r="Q6729" s="351"/>
      <c r="R6729" s="363"/>
      <c r="S6729" s="327"/>
      <c r="T6729" s="362"/>
      <c r="U6729" s="329"/>
      <c r="V6729" s="327"/>
      <c r="W6729" s="361"/>
      <c r="X6729" s="786"/>
      <c r="Y6729" s="1128" t="s">
        <v>3424</v>
      </c>
      <c r="Z6729" s="1128" t="s">
        <v>3381</v>
      </c>
      <c r="AA6729" s="1128" t="s">
        <v>3384</v>
      </c>
      <c r="AB6729" s="20"/>
      <c r="AC6729" s="73"/>
    </row>
    <row r="6730" spans="1:29" ht="14.25" customHeight="1">
      <c r="A6730" s="327" t="str">
        <f>IF(AND($B6730&lt;&gt;"",$C6730&lt;&gt;""),MAX($A$6492:$A6729)+1,"")</f>
        <v/>
      </c>
      <c r="B6730" s="361"/>
      <c r="C6730" s="362"/>
      <c r="D6730" s="362">
        <v>238</v>
      </c>
      <c r="E6730" s="361" t="s">
        <v>3695</v>
      </c>
      <c r="F6730" s="362" t="s">
        <v>3707</v>
      </c>
      <c r="G6730" s="327" t="s">
        <v>240</v>
      </c>
      <c r="H6730" s="361"/>
      <c r="I6730" s="327">
        <v>1</v>
      </c>
      <c r="J6730" s="363" t="s">
        <v>2609</v>
      </c>
      <c r="K6730" s="345">
        <v>11</v>
      </c>
      <c r="L6730" s="710">
        <v>600000</v>
      </c>
      <c r="M6730" s="371"/>
      <c r="N6730" s="355" t="str">
        <f t="shared" si="438"/>
        <v>KI</v>
      </c>
      <c r="O6730" s="345" t="e">
        <f t="shared" si="437"/>
        <v>#VALUE!</v>
      </c>
      <c r="P6730" s="345"/>
      <c r="Q6730" s="351"/>
      <c r="R6730" s="363"/>
      <c r="S6730" s="327"/>
      <c r="T6730" s="362"/>
      <c r="U6730" s="329"/>
      <c r="V6730" s="327"/>
      <c r="W6730" s="361"/>
      <c r="X6730" s="786"/>
      <c r="Y6730" s="1128" t="s">
        <v>3424</v>
      </c>
      <c r="Z6730" s="1128" t="s">
        <v>3381</v>
      </c>
      <c r="AA6730" s="1128" t="s">
        <v>3384</v>
      </c>
      <c r="AB6730" s="20"/>
      <c r="AC6730" s="73"/>
    </row>
    <row r="6731" spans="1:29" ht="14.25" customHeight="1">
      <c r="A6731" s="327" t="str">
        <f>IF(AND($B6731&lt;&gt;"",$C6731&lt;&gt;""),MAX($A$6492:$A6730)+1,"")</f>
        <v/>
      </c>
      <c r="B6731" s="361"/>
      <c r="C6731" s="362"/>
      <c r="D6731" s="362">
        <v>239</v>
      </c>
      <c r="E6731" s="361" t="s">
        <v>3696</v>
      </c>
      <c r="F6731" s="362" t="s">
        <v>3708</v>
      </c>
      <c r="G6731" s="327" t="s">
        <v>240</v>
      </c>
      <c r="H6731" s="361"/>
      <c r="I6731" s="327">
        <v>1</v>
      </c>
      <c r="J6731" s="363" t="s">
        <v>2609</v>
      </c>
      <c r="K6731" s="345">
        <v>11</v>
      </c>
      <c r="L6731" s="710">
        <v>650000</v>
      </c>
      <c r="M6731" s="371"/>
      <c r="N6731" s="355" t="str">
        <f t="shared" si="438"/>
        <v>KI</v>
      </c>
      <c r="O6731" s="345" t="e">
        <f t="shared" si="437"/>
        <v>#VALUE!</v>
      </c>
      <c r="P6731" s="345"/>
      <c r="Q6731" s="351"/>
      <c r="R6731" s="363"/>
      <c r="S6731" s="327"/>
      <c r="T6731" s="362"/>
      <c r="U6731" s="329"/>
      <c r="V6731" s="327"/>
      <c r="W6731" s="361"/>
      <c r="X6731" s="786"/>
      <c r="Y6731" s="1128" t="s">
        <v>3424</v>
      </c>
      <c r="Z6731" s="1128" t="s">
        <v>3381</v>
      </c>
      <c r="AA6731" s="1128" t="s">
        <v>3384</v>
      </c>
      <c r="AB6731" s="20"/>
      <c r="AC6731" s="73"/>
    </row>
    <row r="6732" spans="1:29" ht="14.25" customHeight="1">
      <c r="A6732" s="327" t="str">
        <f>IF(AND($B6732&lt;&gt;"",$C6732&lt;&gt;""),MAX($A$6492:$A6731)+1,"")</f>
        <v/>
      </c>
      <c r="B6732" s="361"/>
      <c r="C6732" s="362"/>
      <c r="D6732" s="362">
        <v>240</v>
      </c>
      <c r="E6732" s="361" t="s">
        <v>3697</v>
      </c>
      <c r="F6732" s="362" t="s">
        <v>3709</v>
      </c>
      <c r="G6732" s="327" t="s">
        <v>240</v>
      </c>
      <c r="H6732" s="361"/>
      <c r="I6732" s="327">
        <v>1</v>
      </c>
      <c r="J6732" s="363" t="s">
        <v>2609</v>
      </c>
      <c r="K6732" s="345">
        <v>11</v>
      </c>
      <c r="L6732" s="710">
        <v>700000</v>
      </c>
      <c r="M6732" s="371"/>
      <c r="N6732" s="355" t="str">
        <f t="shared" si="438"/>
        <v>KI</v>
      </c>
      <c r="O6732" s="345" t="e">
        <f t="shared" si="437"/>
        <v>#VALUE!</v>
      </c>
      <c r="P6732" s="345"/>
      <c r="Q6732" s="351"/>
      <c r="R6732" s="363"/>
      <c r="S6732" s="327"/>
      <c r="T6732" s="362"/>
      <c r="U6732" s="329"/>
      <c r="V6732" s="327"/>
      <c r="W6732" s="361"/>
      <c r="X6732" s="786"/>
      <c r="Y6732" s="1128" t="s">
        <v>3424</v>
      </c>
      <c r="Z6732" s="1128" t="s">
        <v>3381</v>
      </c>
      <c r="AA6732" s="1128" t="s">
        <v>3384</v>
      </c>
      <c r="AB6732" s="20"/>
      <c r="AC6732" s="73"/>
    </row>
    <row r="6733" spans="1:29" ht="14.25" customHeight="1">
      <c r="A6733" s="327" t="str">
        <f>IF(AND($B6733&lt;&gt;"",$C6733&lt;&gt;""),MAX($A$6492:$A6732)+1,"")</f>
        <v/>
      </c>
      <c r="B6733" s="361"/>
      <c r="C6733" s="362"/>
      <c r="D6733" s="362">
        <v>241</v>
      </c>
      <c r="E6733" s="361" t="s">
        <v>3698</v>
      </c>
      <c r="F6733" s="362" t="s">
        <v>3710</v>
      </c>
      <c r="G6733" s="327" t="s">
        <v>240</v>
      </c>
      <c r="H6733" s="361"/>
      <c r="I6733" s="327">
        <v>1</v>
      </c>
      <c r="J6733" s="363" t="s">
        <v>2609</v>
      </c>
      <c r="K6733" s="345">
        <v>11</v>
      </c>
      <c r="L6733" s="710">
        <v>750000</v>
      </c>
      <c r="M6733" s="371"/>
      <c r="N6733" s="355" t="str">
        <f t="shared" si="438"/>
        <v>KI</v>
      </c>
      <c r="O6733" s="345" t="e">
        <f t="shared" si="437"/>
        <v>#VALUE!</v>
      </c>
      <c r="P6733" s="345"/>
      <c r="Q6733" s="351"/>
      <c r="R6733" s="363"/>
      <c r="S6733" s="327"/>
      <c r="T6733" s="362"/>
      <c r="U6733" s="329"/>
      <c r="V6733" s="327"/>
      <c r="W6733" s="361"/>
      <c r="X6733" s="786"/>
      <c r="Y6733" s="1128" t="s">
        <v>3424</v>
      </c>
      <c r="Z6733" s="1128" t="s">
        <v>3381</v>
      </c>
      <c r="AA6733" s="1128" t="s">
        <v>3384</v>
      </c>
      <c r="AB6733" s="20"/>
      <c r="AC6733" s="73"/>
    </row>
    <row r="6734" spans="1:29" ht="14.25" customHeight="1">
      <c r="A6734" s="327" t="str">
        <f>IF(AND($B6734&lt;&gt;"",$C6734&lt;&gt;""),MAX($A$6492:$A6733)+1,"")</f>
        <v/>
      </c>
      <c r="B6734" s="361"/>
      <c r="C6734" s="362"/>
      <c r="D6734" s="362">
        <v>242</v>
      </c>
      <c r="E6734" s="361" t="s">
        <v>3699</v>
      </c>
      <c r="F6734" s="362" t="s">
        <v>3711</v>
      </c>
      <c r="G6734" s="327" t="s">
        <v>240</v>
      </c>
      <c r="H6734" s="361"/>
      <c r="I6734" s="327">
        <v>1</v>
      </c>
      <c r="J6734" s="363" t="s">
        <v>2609</v>
      </c>
      <c r="K6734" s="345">
        <v>11</v>
      </c>
      <c r="L6734" s="710">
        <v>800000</v>
      </c>
      <c r="M6734" s="371"/>
      <c r="N6734" s="355" t="str">
        <f t="shared" si="438"/>
        <v>KI</v>
      </c>
      <c r="O6734" s="345" t="e">
        <f t="shared" si="437"/>
        <v>#VALUE!</v>
      </c>
      <c r="P6734" s="345"/>
      <c r="Q6734" s="351"/>
      <c r="R6734" s="363"/>
      <c r="S6734" s="327"/>
      <c r="T6734" s="362"/>
      <c r="U6734" s="329"/>
      <c r="V6734" s="327"/>
      <c r="W6734" s="361"/>
      <c r="X6734" s="786"/>
      <c r="Y6734" s="1128" t="s">
        <v>3424</v>
      </c>
      <c r="Z6734" s="1128" t="s">
        <v>3381</v>
      </c>
      <c r="AA6734" s="1128" t="s">
        <v>3384</v>
      </c>
      <c r="AB6734" s="20"/>
      <c r="AC6734" s="73"/>
    </row>
    <row r="6735" spans="1:29" ht="14.25" customHeight="1">
      <c r="A6735" s="327" t="str">
        <f>IF(AND($B6735&lt;&gt;"",$C6735&lt;&gt;""),MAX($A$6492:$A6734)+1,"")</f>
        <v/>
      </c>
      <c r="B6735" s="361"/>
      <c r="C6735" s="362"/>
      <c r="D6735" s="362">
        <v>243</v>
      </c>
      <c r="E6735" s="361" t="s">
        <v>3700</v>
      </c>
      <c r="F6735" s="362" t="s">
        <v>3712</v>
      </c>
      <c r="G6735" s="327" t="s">
        <v>240</v>
      </c>
      <c r="H6735" s="361"/>
      <c r="I6735" s="327">
        <v>1</v>
      </c>
      <c r="J6735" s="363" t="s">
        <v>2609</v>
      </c>
      <c r="K6735" s="345">
        <v>11</v>
      </c>
      <c r="L6735" s="710">
        <v>900000</v>
      </c>
      <c r="M6735" s="371"/>
      <c r="N6735" s="355" t="str">
        <f t="shared" si="438"/>
        <v>KI</v>
      </c>
      <c r="O6735" s="345" t="e">
        <f t="shared" si="437"/>
        <v>#VALUE!</v>
      </c>
      <c r="P6735" s="345"/>
      <c r="Q6735" s="351"/>
      <c r="R6735" s="363"/>
      <c r="S6735" s="327"/>
      <c r="T6735" s="362"/>
      <c r="U6735" s="329"/>
      <c r="V6735" s="327"/>
      <c r="W6735" s="361"/>
      <c r="X6735" s="786"/>
      <c r="Y6735" s="1128" t="s">
        <v>3424</v>
      </c>
      <c r="Z6735" s="1128" t="s">
        <v>3381</v>
      </c>
      <c r="AA6735" s="1128" t="s">
        <v>3384</v>
      </c>
      <c r="AB6735" s="20"/>
      <c r="AC6735" s="73"/>
    </row>
    <row r="6736" spans="1:29" ht="14.25" customHeight="1">
      <c r="A6736" s="327" t="str">
        <f>IF(AND($B6736&lt;&gt;"",$C6736&lt;&gt;""),MAX($A$6492:$A6722)+1,"")</f>
        <v/>
      </c>
      <c r="B6736" s="361"/>
      <c r="C6736" s="362"/>
      <c r="D6736" s="362">
        <v>244</v>
      </c>
      <c r="E6736" s="361" t="s">
        <v>2735</v>
      </c>
      <c r="F6736" s="362" t="s">
        <v>2737</v>
      </c>
      <c r="G6736" s="327" t="s">
        <v>2739</v>
      </c>
      <c r="H6736" s="361"/>
      <c r="I6736" s="327">
        <v>1</v>
      </c>
      <c r="J6736" s="363"/>
      <c r="K6736" s="345">
        <f t="shared" si="388"/>
        <v>11</v>
      </c>
      <c r="L6736" s="476">
        <v>35000</v>
      </c>
      <c r="M6736" s="371"/>
      <c r="N6736" s="355" t="str">
        <f t="shared" si="438"/>
        <v>KI</v>
      </c>
      <c r="O6736" s="345">
        <f t="shared" si="437"/>
        <v>10</v>
      </c>
      <c r="P6736" s="345"/>
      <c r="Q6736" s="351"/>
      <c r="R6736" s="363"/>
      <c r="S6736" s="327"/>
      <c r="T6736" s="362"/>
      <c r="U6736" s="329"/>
      <c r="V6736" s="327"/>
      <c r="W6736" s="361"/>
      <c r="X6736" s="786"/>
      <c r="Y6736" s="1128" t="s">
        <v>3380</v>
      </c>
      <c r="Z6736" s="1128" t="s">
        <v>3381</v>
      </c>
      <c r="AA6736" s="1128" t="s">
        <v>3384</v>
      </c>
      <c r="AB6736" s="20"/>
      <c r="AC6736" s="73"/>
    </row>
    <row r="6737" spans="1:29" ht="14.25" customHeight="1">
      <c r="A6737" s="327" t="str">
        <f>IF(AND($B6737&lt;&gt;"",$C6737&lt;&gt;""),MAX($A$6492:$A6736)+1,"")</f>
        <v/>
      </c>
      <c r="B6737" s="361"/>
      <c r="C6737" s="362"/>
      <c r="D6737" s="362">
        <v>245</v>
      </c>
      <c r="E6737" s="361" t="s">
        <v>2736</v>
      </c>
      <c r="F6737" s="362" t="s">
        <v>2738</v>
      </c>
      <c r="G6737" s="327" t="s">
        <v>2739</v>
      </c>
      <c r="H6737" s="361"/>
      <c r="I6737" s="327">
        <v>1</v>
      </c>
      <c r="J6737" s="363"/>
      <c r="K6737" s="345">
        <f t="shared" si="388"/>
        <v>11</v>
      </c>
      <c r="L6737" s="476">
        <v>70000</v>
      </c>
      <c r="M6737" s="371"/>
      <c r="N6737" s="355" t="str">
        <f t="shared" si="438"/>
        <v>KI</v>
      </c>
      <c r="O6737" s="345">
        <f t="shared" si="437"/>
        <v>10</v>
      </c>
      <c r="P6737" s="345"/>
      <c r="Q6737" s="351"/>
      <c r="R6737" s="363"/>
      <c r="S6737" s="327"/>
      <c r="T6737" s="362"/>
      <c r="U6737" s="329"/>
      <c r="V6737" s="327"/>
      <c r="W6737" s="361"/>
      <c r="X6737" s="786"/>
      <c r="Y6737" s="1128" t="s">
        <v>3380</v>
      </c>
      <c r="Z6737" s="1128" t="s">
        <v>3381</v>
      </c>
      <c r="AA6737" s="1128" t="s">
        <v>3384</v>
      </c>
      <c r="AB6737" s="20"/>
      <c r="AC6737" s="73"/>
    </row>
    <row r="6738" spans="1:29" ht="14.25" customHeight="1">
      <c r="A6738" s="327" t="str">
        <f>IF(AND($B6738&lt;&gt;"",$C6738&lt;&gt;""),MAX($A$6492:$A6737)+1,"")</f>
        <v/>
      </c>
      <c r="B6738" s="361"/>
      <c r="C6738" s="362"/>
      <c r="D6738" s="362">
        <v>246</v>
      </c>
      <c r="E6738" s="361" t="s">
        <v>3745</v>
      </c>
      <c r="F6738" s="362" t="s">
        <v>3743</v>
      </c>
      <c r="G6738" s="327" t="s">
        <v>240</v>
      </c>
      <c r="H6738" s="361"/>
      <c r="I6738" s="327">
        <v>1</v>
      </c>
      <c r="J6738" s="363"/>
      <c r="K6738" s="345">
        <v>11</v>
      </c>
      <c r="L6738" s="476">
        <v>100000</v>
      </c>
      <c r="M6738" s="371"/>
      <c r="N6738" s="355" t="str">
        <f t="shared" si="438"/>
        <v>KI</v>
      </c>
      <c r="O6738" s="345" t="e">
        <f t="shared" si="437"/>
        <v>#VALUE!</v>
      </c>
      <c r="P6738" s="345"/>
      <c r="Q6738" s="351"/>
      <c r="R6738" s="363"/>
      <c r="S6738" s="327"/>
      <c r="T6738" s="362"/>
      <c r="U6738" s="329"/>
      <c r="V6738" s="327"/>
      <c r="W6738" s="361"/>
      <c r="X6738" s="786"/>
      <c r="Y6738" s="1128" t="s">
        <v>3656</v>
      </c>
      <c r="Z6738" s="1128" t="s">
        <v>3381</v>
      </c>
      <c r="AA6738" s="1128" t="s">
        <v>3384</v>
      </c>
      <c r="AB6738" s="20"/>
      <c r="AC6738" s="73"/>
    </row>
    <row r="6739" spans="1:29" ht="14.25" customHeight="1">
      <c r="A6739" s="327" t="str">
        <f>IF(AND($B6739&lt;&gt;"",$C6739&lt;&gt;""),MAX($A$6492:$A6738)+1,"")</f>
        <v/>
      </c>
      <c r="B6739" s="361"/>
      <c r="C6739" s="362"/>
      <c r="D6739" s="362">
        <v>247</v>
      </c>
      <c r="E6739" s="361" t="s">
        <v>3746</v>
      </c>
      <c r="F6739" s="362" t="s">
        <v>3744</v>
      </c>
      <c r="G6739" s="327" t="s">
        <v>240</v>
      </c>
      <c r="H6739" s="361"/>
      <c r="I6739" s="327">
        <v>1</v>
      </c>
      <c r="J6739" s="363"/>
      <c r="K6739" s="345">
        <v>11</v>
      </c>
      <c r="L6739" s="476">
        <v>24000</v>
      </c>
      <c r="M6739" s="371"/>
      <c r="N6739" s="355" t="str">
        <f t="shared" si="438"/>
        <v>KI</v>
      </c>
      <c r="O6739" s="345" t="e">
        <f t="shared" si="437"/>
        <v>#VALUE!</v>
      </c>
      <c r="P6739" s="345"/>
      <c r="Q6739" s="351"/>
      <c r="R6739" s="363"/>
      <c r="S6739" s="327"/>
      <c r="T6739" s="362"/>
      <c r="U6739" s="329"/>
      <c r="V6739" s="327"/>
      <c r="W6739" s="361"/>
      <c r="X6739" s="786"/>
      <c r="Y6739" s="1128" t="s">
        <v>3656</v>
      </c>
      <c r="Z6739" s="1128" t="s">
        <v>3381</v>
      </c>
      <c r="AA6739" s="1128" t="s">
        <v>3384</v>
      </c>
      <c r="AB6739" s="20"/>
      <c r="AC6739" s="73"/>
    </row>
    <row r="6740" spans="1:29" ht="14.25" customHeight="1">
      <c r="A6740" s="327" t="str">
        <f>IF(AND($B6740&lt;&gt;"",$C6740&lt;&gt;""),MAX($A$6492:$A6739)+1,"")</f>
        <v/>
      </c>
      <c r="B6740" s="361"/>
      <c r="C6740" s="362"/>
      <c r="D6740" s="362">
        <v>248</v>
      </c>
      <c r="E6740" s="361" t="s">
        <v>3747</v>
      </c>
      <c r="F6740" s="362" t="s">
        <v>3764</v>
      </c>
      <c r="G6740" s="327" t="s">
        <v>240</v>
      </c>
      <c r="H6740" s="361"/>
      <c r="I6740" s="327">
        <v>1</v>
      </c>
      <c r="J6740" s="363"/>
      <c r="K6740" s="345">
        <v>11</v>
      </c>
      <c r="L6740" s="476">
        <v>100000</v>
      </c>
      <c r="M6740" s="371"/>
      <c r="N6740" s="355" t="str">
        <f t="shared" si="438"/>
        <v>KI</v>
      </c>
      <c r="O6740" s="345" t="e">
        <f t="shared" si="437"/>
        <v>#VALUE!</v>
      </c>
      <c r="P6740" s="345"/>
      <c r="Q6740" s="351"/>
      <c r="R6740" s="363"/>
      <c r="S6740" s="327"/>
      <c r="T6740" s="362"/>
      <c r="U6740" s="329"/>
      <c r="V6740" s="327"/>
      <c r="W6740" s="361"/>
      <c r="X6740" s="786"/>
      <c r="Y6740" s="1128" t="s">
        <v>3656</v>
      </c>
      <c r="Z6740" s="1128" t="s">
        <v>3381</v>
      </c>
      <c r="AA6740" s="1128" t="s">
        <v>3384</v>
      </c>
      <c r="AB6740" s="20"/>
      <c r="AC6740" s="73"/>
    </row>
    <row r="6741" spans="1:29" ht="14.25" customHeight="1">
      <c r="A6741" s="327" t="str">
        <f>IF(AND($B6741&lt;&gt;"",$C6741&lt;&gt;""),MAX($A$6492:$A6740)+1,"")</f>
        <v/>
      </c>
      <c r="B6741" s="361"/>
      <c r="C6741" s="362"/>
      <c r="D6741" s="362">
        <v>249</v>
      </c>
      <c r="E6741" s="361" t="s">
        <v>3748</v>
      </c>
      <c r="F6741" s="362" t="s">
        <v>3765</v>
      </c>
      <c r="G6741" s="327" t="s">
        <v>240</v>
      </c>
      <c r="H6741" s="361"/>
      <c r="I6741" s="327">
        <v>1</v>
      </c>
      <c r="J6741" s="363"/>
      <c r="K6741" s="345">
        <v>11</v>
      </c>
      <c r="L6741" s="476">
        <v>180000</v>
      </c>
      <c r="M6741" s="371"/>
      <c r="N6741" s="355" t="str">
        <f t="shared" si="438"/>
        <v>KI</v>
      </c>
      <c r="O6741" s="345" t="e">
        <f t="shared" si="437"/>
        <v>#VALUE!</v>
      </c>
      <c r="P6741" s="345"/>
      <c r="Q6741" s="351"/>
      <c r="R6741" s="363"/>
      <c r="S6741" s="327"/>
      <c r="T6741" s="362"/>
      <c r="U6741" s="329"/>
      <c r="V6741" s="327"/>
      <c r="W6741" s="361"/>
      <c r="X6741" s="786"/>
      <c r="Y6741" s="1128" t="s">
        <v>3656</v>
      </c>
      <c r="Z6741" s="1128" t="s">
        <v>3381</v>
      </c>
      <c r="AA6741" s="1128" t="s">
        <v>3384</v>
      </c>
      <c r="AB6741" s="20"/>
      <c r="AC6741" s="73"/>
    </row>
    <row r="6742" spans="1:29" ht="14.25" customHeight="1">
      <c r="A6742" s="327" t="str">
        <f>IF(AND($B6742&lt;&gt;"",$C6742&lt;&gt;""),MAX($A$6492:$A6741)+1,"")</f>
        <v/>
      </c>
      <c r="B6742" s="361"/>
      <c r="C6742" s="362"/>
      <c r="D6742" s="362">
        <v>250</v>
      </c>
      <c r="E6742" s="361" t="s">
        <v>3749</v>
      </c>
      <c r="F6742" s="362" t="s">
        <v>3764</v>
      </c>
      <c r="G6742" s="327" t="s">
        <v>240</v>
      </c>
      <c r="H6742" s="361"/>
      <c r="I6742" s="327">
        <v>1</v>
      </c>
      <c r="J6742" s="363"/>
      <c r="K6742" s="345">
        <v>11</v>
      </c>
      <c r="L6742" s="476">
        <v>150000</v>
      </c>
      <c r="M6742" s="371"/>
      <c r="N6742" s="355" t="str">
        <f t="shared" si="438"/>
        <v>KI</v>
      </c>
      <c r="O6742" s="345" t="e">
        <f t="shared" si="437"/>
        <v>#VALUE!</v>
      </c>
      <c r="P6742" s="345"/>
      <c r="Q6742" s="351"/>
      <c r="R6742" s="363"/>
      <c r="S6742" s="327"/>
      <c r="T6742" s="362"/>
      <c r="U6742" s="329"/>
      <c r="V6742" s="327"/>
      <c r="W6742" s="361"/>
      <c r="X6742" s="786"/>
      <c r="Y6742" s="1128" t="s">
        <v>3656</v>
      </c>
      <c r="Z6742" s="1128" t="s">
        <v>3381</v>
      </c>
      <c r="AA6742" s="1128" t="s">
        <v>3384</v>
      </c>
      <c r="AB6742" s="20"/>
      <c r="AC6742" s="73"/>
    </row>
    <row r="6743" spans="1:29" ht="14.25" customHeight="1">
      <c r="A6743" s="327" t="str">
        <f>IF(AND($B6743&lt;&gt;"",$C6743&lt;&gt;""),MAX($A$6492:$A6742)+1,"")</f>
        <v/>
      </c>
      <c r="B6743" s="361"/>
      <c r="C6743" s="362"/>
      <c r="D6743" s="362">
        <v>251</v>
      </c>
      <c r="E6743" s="361" t="s">
        <v>3751</v>
      </c>
      <c r="F6743" s="362" t="s">
        <v>3765</v>
      </c>
      <c r="G6743" s="327" t="s">
        <v>240</v>
      </c>
      <c r="H6743" s="361"/>
      <c r="I6743" s="327">
        <v>1</v>
      </c>
      <c r="J6743" s="363"/>
      <c r="K6743" s="345">
        <v>11</v>
      </c>
      <c r="L6743" s="476">
        <v>180000</v>
      </c>
      <c r="M6743" s="371"/>
      <c r="N6743" s="355" t="str">
        <f t="shared" si="438"/>
        <v>KI</v>
      </c>
      <c r="O6743" s="345" t="e">
        <f t="shared" si="437"/>
        <v>#VALUE!</v>
      </c>
      <c r="P6743" s="345"/>
      <c r="Q6743" s="351"/>
      <c r="R6743" s="363"/>
      <c r="S6743" s="327"/>
      <c r="T6743" s="362"/>
      <c r="U6743" s="329"/>
      <c r="V6743" s="327"/>
      <c r="W6743" s="361"/>
      <c r="X6743" s="786"/>
      <c r="Y6743" s="1128" t="s">
        <v>3656</v>
      </c>
      <c r="Z6743" s="1128" t="s">
        <v>3381</v>
      </c>
      <c r="AA6743" s="1128" t="s">
        <v>3384</v>
      </c>
      <c r="AB6743" s="20"/>
      <c r="AC6743" s="73"/>
    </row>
    <row r="6744" spans="1:29" ht="14.25" customHeight="1">
      <c r="A6744" s="327" t="str">
        <f>IF(AND($B6744&lt;&gt;"",$C6744&lt;&gt;""),MAX($A$6492:$A6743)+1,"")</f>
        <v/>
      </c>
      <c r="B6744" s="361"/>
      <c r="C6744" s="362"/>
      <c r="D6744" s="362">
        <v>252</v>
      </c>
      <c r="E6744" s="361" t="s">
        <v>3752</v>
      </c>
      <c r="F6744" s="362" t="s">
        <v>3766</v>
      </c>
      <c r="G6744" s="327" t="s">
        <v>240</v>
      </c>
      <c r="H6744" s="361"/>
      <c r="I6744" s="327">
        <v>1</v>
      </c>
      <c r="J6744" s="363"/>
      <c r="K6744" s="345">
        <v>11</v>
      </c>
      <c r="L6744" s="476">
        <v>150000</v>
      </c>
      <c r="M6744" s="371"/>
      <c r="N6744" s="355" t="str">
        <f t="shared" si="438"/>
        <v>KI</v>
      </c>
      <c r="O6744" s="345" t="e">
        <f t="shared" si="437"/>
        <v>#VALUE!</v>
      </c>
      <c r="P6744" s="345"/>
      <c r="Q6744" s="351"/>
      <c r="R6744" s="363"/>
      <c r="S6744" s="327"/>
      <c r="T6744" s="362"/>
      <c r="U6744" s="329"/>
      <c r="V6744" s="327"/>
      <c r="W6744" s="361"/>
      <c r="X6744" s="786"/>
      <c r="Y6744" s="1128" t="s">
        <v>3656</v>
      </c>
      <c r="Z6744" s="1128" t="s">
        <v>3381</v>
      </c>
      <c r="AA6744" s="1128" t="s">
        <v>3384</v>
      </c>
      <c r="AB6744" s="20"/>
      <c r="AC6744" s="73"/>
    </row>
    <row r="6745" spans="1:29" ht="14.25" customHeight="1">
      <c r="A6745" s="327" t="str">
        <f>IF(AND($B6745&lt;&gt;"",$C6745&lt;&gt;""),MAX($A$6492:$A6744)+1,"")</f>
        <v/>
      </c>
      <c r="B6745" s="361"/>
      <c r="C6745" s="362"/>
      <c r="D6745" s="362">
        <v>253</v>
      </c>
      <c r="E6745" s="361" t="s">
        <v>3750</v>
      </c>
      <c r="F6745" s="362" t="s">
        <v>3767</v>
      </c>
      <c r="G6745" s="327" t="s">
        <v>240</v>
      </c>
      <c r="H6745" s="361"/>
      <c r="I6745" s="327">
        <v>1</v>
      </c>
      <c r="J6745" s="363"/>
      <c r="K6745" s="345">
        <v>11</v>
      </c>
      <c r="L6745" s="710" t="s">
        <v>2286</v>
      </c>
      <c r="M6745" s="371"/>
      <c r="N6745" s="355" t="str">
        <f t="shared" si="438"/>
        <v>KI</v>
      </c>
      <c r="O6745" s="345" t="e">
        <f t="shared" si="437"/>
        <v>#VALUE!</v>
      </c>
      <c r="P6745" s="345"/>
      <c r="Q6745" s="351"/>
      <c r="R6745" s="363"/>
      <c r="S6745" s="327"/>
      <c r="T6745" s="362"/>
      <c r="U6745" s="329"/>
      <c r="V6745" s="327"/>
      <c r="W6745" s="361"/>
      <c r="X6745" s="786"/>
      <c r="Y6745" s="1128" t="s">
        <v>3656</v>
      </c>
      <c r="Z6745" s="1128" t="s">
        <v>3381</v>
      </c>
      <c r="AA6745" s="1128" t="s">
        <v>3384</v>
      </c>
      <c r="AB6745" s="20"/>
      <c r="AC6745" s="73"/>
    </row>
    <row r="6746" spans="1:29" ht="14.25" customHeight="1">
      <c r="A6746" s="327" t="str">
        <f>IF(AND($B6746&lt;&gt;"",$C6746&lt;&gt;""),MAX($A$6492:$A6743)+1,"")</f>
        <v/>
      </c>
      <c r="B6746" s="361"/>
      <c r="C6746" s="362"/>
      <c r="D6746" s="362">
        <v>254</v>
      </c>
      <c r="E6746" s="361" t="s">
        <v>3753</v>
      </c>
      <c r="F6746" s="362" t="s">
        <v>3768</v>
      </c>
      <c r="G6746" s="327" t="s">
        <v>240</v>
      </c>
      <c r="H6746" s="361"/>
      <c r="I6746" s="327">
        <v>1</v>
      </c>
      <c r="J6746" s="363"/>
      <c r="K6746" s="345">
        <v>11</v>
      </c>
      <c r="L6746" s="476">
        <v>150000</v>
      </c>
      <c r="M6746" s="371"/>
      <c r="N6746" s="355" t="str">
        <f t="shared" si="438"/>
        <v>KI</v>
      </c>
      <c r="O6746" s="345" t="e">
        <f t="shared" si="437"/>
        <v>#VALUE!</v>
      </c>
      <c r="P6746" s="345"/>
      <c r="Q6746" s="351"/>
      <c r="R6746" s="363"/>
      <c r="S6746" s="327"/>
      <c r="T6746" s="362"/>
      <c r="U6746" s="329"/>
      <c r="V6746" s="327"/>
      <c r="W6746" s="361"/>
      <c r="X6746" s="786"/>
      <c r="Y6746" s="1128" t="s">
        <v>3656</v>
      </c>
      <c r="Z6746" s="1128" t="s">
        <v>3381</v>
      </c>
      <c r="AA6746" s="1128" t="s">
        <v>3384</v>
      </c>
      <c r="AB6746" s="20"/>
      <c r="AC6746" s="73"/>
    </row>
    <row r="6747" spans="1:29" ht="14.25" customHeight="1">
      <c r="A6747" s="327" t="str">
        <f>IF(AND($B6747&lt;&gt;"",$C6747&lt;&gt;""),MAX($A$6492:$A6746)+1,"")</f>
        <v/>
      </c>
      <c r="B6747" s="361"/>
      <c r="C6747" s="362"/>
      <c r="D6747" s="362">
        <v>255</v>
      </c>
      <c r="E6747" s="361" t="s">
        <v>3754</v>
      </c>
      <c r="F6747" s="362" t="s">
        <v>3769</v>
      </c>
      <c r="G6747" s="327" t="s">
        <v>240</v>
      </c>
      <c r="H6747" s="361"/>
      <c r="I6747" s="327">
        <v>1</v>
      </c>
      <c r="J6747" s="363"/>
      <c r="K6747" s="345">
        <v>11</v>
      </c>
      <c r="L6747" s="710" t="s">
        <v>2286</v>
      </c>
      <c r="M6747" s="371"/>
      <c r="N6747" s="355" t="str">
        <f t="shared" si="438"/>
        <v>KI</v>
      </c>
      <c r="O6747" s="345" t="e">
        <f t="shared" si="437"/>
        <v>#VALUE!</v>
      </c>
      <c r="P6747" s="345"/>
      <c r="Q6747" s="351"/>
      <c r="R6747" s="363"/>
      <c r="S6747" s="327"/>
      <c r="T6747" s="362"/>
      <c r="U6747" s="329"/>
      <c r="V6747" s="327"/>
      <c r="W6747" s="361"/>
      <c r="X6747" s="786"/>
      <c r="Y6747" s="1128" t="s">
        <v>3656</v>
      </c>
      <c r="Z6747" s="1128" t="s">
        <v>3381</v>
      </c>
      <c r="AA6747" s="1128" t="s">
        <v>3384</v>
      </c>
      <c r="AB6747" s="20"/>
      <c r="AC6747" s="73"/>
    </row>
    <row r="6748" spans="1:29" ht="14.25" customHeight="1">
      <c r="A6748" s="327" t="str">
        <f>IF(AND($B6748&lt;&gt;"",$C6748&lt;&gt;""),MAX($A$6492:$A6747)+1,"")</f>
        <v/>
      </c>
      <c r="B6748" s="361"/>
      <c r="C6748" s="362"/>
      <c r="D6748" s="362">
        <v>256</v>
      </c>
      <c r="E6748" s="361" t="s">
        <v>3755</v>
      </c>
      <c r="F6748" s="362" t="s">
        <v>3758</v>
      </c>
      <c r="G6748" s="327" t="s">
        <v>240</v>
      </c>
      <c r="H6748" s="361"/>
      <c r="I6748" s="327">
        <v>1</v>
      </c>
      <c r="J6748" s="363"/>
      <c r="K6748" s="345">
        <v>11</v>
      </c>
      <c r="L6748" s="710">
        <v>340000</v>
      </c>
      <c r="M6748" s="371"/>
      <c r="N6748" s="355" t="str">
        <f t="shared" si="438"/>
        <v>KI</v>
      </c>
      <c r="O6748" s="345">
        <f t="shared" si="437"/>
        <v>10</v>
      </c>
      <c r="P6748" s="345"/>
      <c r="Q6748" s="351"/>
      <c r="R6748" s="363"/>
      <c r="S6748" s="327"/>
      <c r="T6748" s="362"/>
      <c r="U6748" s="329"/>
      <c r="V6748" s="327"/>
      <c r="W6748" s="361"/>
      <c r="X6748" s="786"/>
      <c r="Y6748" s="1128" t="s">
        <v>3443</v>
      </c>
      <c r="Z6748" s="1128" t="s">
        <v>3381</v>
      </c>
      <c r="AA6748" s="1128" t="s">
        <v>3384</v>
      </c>
      <c r="AB6748" s="20"/>
      <c r="AC6748" s="73"/>
    </row>
    <row r="6749" spans="1:29" ht="14.25" customHeight="1">
      <c r="A6749" s="327" t="str">
        <f>IF(AND($B6749&lt;&gt;"",$C6749&lt;&gt;""),MAX($A$6492:$A6748)+1,"")</f>
        <v/>
      </c>
      <c r="B6749" s="361"/>
      <c r="C6749" s="362"/>
      <c r="D6749" s="362">
        <v>257</v>
      </c>
      <c r="E6749" s="361" t="s">
        <v>3756</v>
      </c>
      <c r="F6749" s="362" t="s">
        <v>3759</v>
      </c>
      <c r="G6749" s="327" t="s">
        <v>240</v>
      </c>
      <c r="H6749" s="361"/>
      <c r="I6749" s="327">
        <v>1</v>
      </c>
      <c r="J6749" s="363"/>
      <c r="K6749" s="345">
        <v>11</v>
      </c>
      <c r="L6749" s="710">
        <v>360000</v>
      </c>
      <c r="M6749" s="371"/>
      <c r="N6749" s="355" t="str">
        <f t="shared" si="438"/>
        <v>KI</v>
      </c>
      <c r="O6749" s="345">
        <f t="shared" si="437"/>
        <v>10</v>
      </c>
      <c r="P6749" s="345"/>
      <c r="Q6749" s="351"/>
      <c r="R6749" s="363"/>
      <c r="S6749" s="327"/>
      <c r="T6749" s="362"/>
      <c r="U6749" s="329"/>
      <c r="V6749" s="327"/>
      <c r="W6749" s="361"/>
      <c r="X6749" s="786"/>
      <c r="Y6749" s="1128" t="s">
        <v>3443</v>
      </c>
      <c r="Z6749" s="1128" t="s">
        <v>3381</v>
      </c>
      <c r="AA6749" s="1128" t="s">
        <v>3384</v>
      </c>
      <c r="AB6749" s="20"/>
      <c r="AC6749" s="73"/>
    </row>
    <row r="6750" spans="1:29" ht="14.25" customHeight="1">
      <c r="A6750" s="327" t="str">
        <f>IF(AND($B6750&lt;&gt;"",$C6750&lt;&gt;""),MAX($A$6492:$A6749)+1,"")</f>
        <v/>
      </c>
      <c r="B6750" s="361"/>
      <c r="C6750" s="362"/>
      <c r="D6750" s="362">
        <v>258</v>
      </c>
      <c r="E6750" s="361" t="s">
        <v>3757</v>
      </c>
      <c r="F6750" s="362" t="s">
        <v>3760</v>
      </c>
      <c r="G6750" s="327" t="s">
        <v>240</v>
      </c>
      <c r="H6750" s="361"/>
      <c r="I6750" s="327">
        <v>1</v>
      </c>
      <c r="J6750" s="363"/>
      <c r="K6750" s="345">
        <v>11</v>
      </c>
      <c r="L6750" s="710">
        <v>380000</v>
      </c>
      <c r="M6750" s="371"/>
      <c r="N6750" s="355" t="str">
        <f t="shared" si="438"/>
        <v>KI</v>
      </c>
      <c r="O6750" s="345">
        <f t="shared" si="437"/>
        <v>19</v>
      </c>
      <c r="P6750" s="345"/>
      <c r="Q6750" s="351"/>
      <c r="R6750" s="363"/>
      <c r="S6750" s="327"/>
      <c r="T6750" s="362"/>
      <c r="U6750" s="329"/>
      <c r="V6750" s="327"/>
      <c r="W6750" s="361"/>
      <c r="X6750" s="786"/>
      <c r="Y6750" s="1128" t="s">
        <v>3443</v>
      </c>
      <c r="Z6750" s="1128" t="s">
        <v>3381</v>
      </c>
      <c r="AA6750" s="1128" t="s">
        <v>3384</v>
      </c>
      <c r="AB6750" s="20"/>
      <c r="AC6750" s="73"/>
    </row>
    <row r="6751" spans="1:29" ht="14.25" customHeight="1">
      <c r="A6751" s="327" t="str">
        <f>IF(AND($B6751&lt;&gt;"",$C6751&lt;&gt;""),MAX($A$6492:$A6739)+1,"")</f>
        <v/>
      </c>
      <c r="B6751" s="361"/>
      <c r="C6751" s="362"/>
      <c r="D6751" s="362">
        <v>259</v>
      </c>
      <c r="E6751" s="361"/>
      <c r="F6751" s="362"/>
      <c r="G6751" s="327" t="s">
        <v>240</v>
      </c>
      <c r="H6751" s="361"/>
      <c r="I6751" s="327"/>
      <c r="J6751" s="363"/>
      <c r="K6751" s="345" t="str">
        <f t="shared" ref="K6751" si="439">IF($E6751="","",IF(VALUE(MID($E6751,3,2))&lt;12,11,12))</f>
        <v/>
      </c>
      <c r="L6751" s="476"/>
      <c r="M6751" s="371"/>
      <c r="N6751" s="355" t="str">
        <f t="shared" si="438"/>
        <v>KI</v>
      </c>
      <c r="O6751" s="345" t="str">
        <f t="shared" si="437"/>
        <v/>
      </c>
      <c r="P6751" s="345"/>
      <c r="Q6751" s="351"/>
      <c r="R6751" s="363"/>
      <c r="S6751" s="327"/>
      <c r="T6751" s="362"/>
      <c r="U6751" s="329"/>
      <c r="V6751" s="327"/>
      <c r="W6751" s="361"/>
      <c r="X6751" s="786"/>
      <c r="Y6751" s="1128" t="s">
        <v>3380</v>
      </c>
      <c r="Z6751" s="1128" t="s">
        <v>3381</v>
      </c>
      <c r="AA6751" s="1128" t="s">
        <v>3384</v>
      </c>
      <c r="AB6751" s="20"/>
      <c r="AC6751" s="73"/>
    </row>
    <row r="6752" spans="1:29">
      <c r="A6752" s="327" t="str">
        <f>IF(AND($B6752&lt;&gt;"",$C6752&lt;&gt;""),MAX($A$6492:$A6655)+1,"")</f>
        <v/>
      </c>
      <c r="B6752" s="345" t="s">
        <v>950</v>
      </c>
      <c r="C6752" s="362"/>
      <c r="D6752" s="362">
        <v>260</v>
      </c>
      <c r="E6752" s="361" t="s">
        <v>974</v>
      </c>
      <c r="F6752" s="362" t="s">
        <v>2370</v>
      </c>
      <c r="G6752" s="327" t="s">
        <v>2237</v>
      </c>
      <c r="H6752" s="361"/>
      <c r="I6752" s="327"/>
      <c r="J6752" s="363"/>
      <c r="K6752" s="345"/>
      <c r="L6752" s="356">
        <f>+T6752*S6752*$L$37</f>
        <v>193053</v>
      </c>
      <c r="M6752" s="355"/>
      <c r="N6752" s="355" t="s">
        <v>150</v>
      </c>
      <c r="O6752" s="345">
        <f t="shared" si="437"/>
        <v>20</v>
      </c>
      <c r="P6752" s="361"/>
      <c r="Q6752" s="327"/>
      <c r="R6752" s="361">
        <v>1.2</v>
      </c>
      <c r="S6752" s="361">
        <v>5.8</v>
      </c>
      <c r="T6752" s="361">
        <v>0.317</v>
      </c>
      <c r="U6752" s="329">
        <f>IF($N6752=$N$4,IFERROR(INDEX(DanhMuc!$E$154:$E$165,MATCH(MID($B6752,4,2),DanhMuc!$B$154:$B$165,0)),""),"")</f>
        <v>5700</v>
      </c>
      <c r="V6752" s="361"/>
      <c r="W6752" s="345"/>
      <c r="X6752" s="786"/>
      <c r="Y6752" s="1128" t="s">
        <v>3380</v>
      </c>
      <c r="Z6752" s="1128" t="s">
        <v>3381</v>
      </c>
      <c r="AA6752" s="1128" t="s">
        <v>3384</v>
      </c>
      <c r="AB6752" s="20"/>
      <c r="AC6752" s="73"/>
    </row>
    <row r="6753" spans="1:29">
      <c r="A6753" s="327" t="str">
        <f>IF(AND($B6753&lt;&gt;"",$C6753&lt;&gt;""),MAX($A$6492:$A6752)+1,"")</f>
        <v/>
      </c>
      <c r="B6753" s="345" t="s">
        <v>950</v>
      </c>
      <c r="C6753" s="362"/>
      <c r="D6753" s="362">
        <v>261</v>
      </c>
      <c r="E6753" s="361" t="s">
        <v>976</v>
      </c>
      <c r="F6753" s="362" t="s">
        <v>2371</v>
      </c>
      <c r="G6753" s="327" t="s">
        <v>2237</v>
      </c>
      <c r="H6753" s="361"/>
      <c r="I6753" s="327"/>
      <c r="J6753" s="363"/>
      <c r="K6753" s="345"/>
      <c r="L6753" s="356">
        <f>+$T6753*$S6753*$L$37</f>
        <v>176610</v>
      </c>
      <c r="M6753" s="355"/>
      <c r="N6753" s="355" t="s">
        <v>150</v>
      </c>
      <c r="O6753" s="345">
        <f t="shared" si="437"/>
        <v>20</v>
      </c>
      <c r="P6753" s="361"/>
      <c r="Q6753" s="327"/>
      <c r="R6753" s="361">
        <v>1.2</v>
      </c>
      <c r="S6753" s="361">
        <v>5.8</v>
      </c>
      <c r="T6753" s="361">
        <v>0.28999999999999998</v>
      </c>
      <c r="U6753" s="329">
        <f>IF($N6753=$N$4,IFERROR(INDEX(DanhMuc!$E$154:$E$165,MATCH(MID($B6753,4,2),DanhMuc!$B$154:$B$165,0)),""),"")</f>
        <v>5700</v>
      </c>
      <c r="V6753" s="361"/>
      <c r="W6753" s="345"/>
      <c r="X6753" s="786"/>
      <c r="Y6753" s="1128" t="s">
        <v>3380</v>
      </c>
      <c r="Z6753" s="1128" t="s">
        <v>3381</v>
      </c>
      <c r="AA6753" s="1128" t="s">
        <v>3384</v>
      </c>
      <c r="AB6753" s="20"/>
      <c r="AC6753" s="73"/>
    </row>
    <row r="6754" spans="1:29">
      <c r="A6754" s="327" t="str">
        <f>IF(AND($B6754&lt;&gt;"",$C6754&lt;&gt;""),MAX($A$6492:$A6753)+1,"")</f>
        <v/>
      </c>
      <c r="B6754" s="345" t="s">
        <v>950</v>
      </c>
      <c r="C6754" s="362"/>
      <c r="D6754" s="362">
        <v>262</v>
      </c>
      <c r="E6754" s="361" t="s">
        <v>1072</v>
      </c>
      <c r="F6754" s="362" t="s">
        <v>2324</v>
      </c>
      <c r="G6754" s="327" t="s">
        <v>2237</v>
      </c>
      <c r="H6754" s="361"/>
      <c r="I6754" s="327"/>
      <c r="J6754" s="363"/>
      <c r="K6754" s="345"/>
      <c r="L6754" s="356">
        <f t="shared" ref="L6754" si="440">+T6754*S6754*$L$37</f>
        <v>404376</v>
      </c>
      <c r="M6754" s="355"/>
      <c r="N6754" s="355" t="s">
        <v>150</v>
      </c>
      <c r="O6754" s="345">
        <f t="shared" ref="O6754:O6755" si="441">IF($E6754="","",IF(VALUE(MID($E6754,3,2))&gt;=20,20,IF(AND(10&lt;VALUE(MID($E6754,3,2)),VALUE(MID($E6754,3,2))&lt;20),19,10)))</f>
        <v>20</v>
      </c>
      <c r="P6754" s="361"/>
      <c r="Q6754" s="327">
        <v>10</v>
      </c>
      <c r="R6754" s="361">
        <v>1</v>
      </c>
      <c r="S6754" s="361">
        <v>5.8</v>
      </c>
      <c r="T6754" s="361">
        <v>0.66400000000000003</v>
      </c>
      <c r="U6754" s="329">
        <f>IF($N6754=$N$4,IFERROR(INDEX(DanhMuc!$E$154:$E$165,MATCH(MID($B6754,4,2),DanhMuc!$B$154:$B$165,0)),""),"")</f>
        <v>5700</v>
      </c>
      <c r="V6754" s="361"/>
      <c r="W6754" s="345"/>
      <c r="X6754" s="786"/>
      <c r="Y6754" s="1128" t="s">
        <v>3380</v>
      </c>
      <c r="Z6754" s="1128" t="s">
        <v>3381</v>
      </c>
      <c r="AA6754" s="1128" t="s">
        <v>3384</v>
      </c>
      <c r="AB6754" s="20"/>
      <c r="AC6754" s="73"/>
    </row>
    <row r="6755" spans="1:29">
      <c r="A6755" s="327" t="str">
        <f>IF(AND($B6755&lt;&gt;"",$C6755&lt;&gt;""),MAX($A$6492:$A6754)+1,"")</f>
        <v/>
      </c>
      <c r="B6755" s="345" t="s">
        <v>1823</v>
      </c>
      <c r="C6755" s="360"/>
      <c r="D6755" s="362">
        <v>263</v>
      </c>
      <c r="E6755" s="361" t="s">
        <v>2339</v>
      </c>
      <c r="F6755" s="362" t="s">
        <v>2340</v>
      </c>
      <c r="G6755" s="327" t="s">
        <v>2237</v>
      </c>
      <c r="H6755" s="361"/>
      <c r="I6755" s="327"/>
      <c r="J6755" s="363"/>
      <c r="K6755" s="345"/>
      <c r="L6755" s="727">
        <v>205000</v>
      </c>
      <c r="M6755" s="355"/>
      <c r="N6755" s="355" t="s">
        <v>150</v>
      </c>
      <c r="O6755" s="345">
        <f t="shared" si="441"/>
        <v>20</v>
      </c>
      <c r="P6755" s="361"/>
      <c r="Q6755" s="327"/>
      <c r="R6755" s="361">
        <v>1.8</v>
      </c>
      <c r="S6755" s="361">
        <v>6</v>
      </c>
      <c r="T6755" s="361"/>
      <c r="U6755" s="329">
        <f>IF($N6755=$N$4,IFERROR(INDEX(DanhMuc!$E$154:$E$165,MATCH(MID($B6755,4,2),DanhMuc!$B$154:$B$165,0)),""),"")</f>
        <v>6000</v>
      </c>
      <c r="V6755" s="361"/>
      <c r="W6755" s="345"/>
      <c r="X6755" s="786"/>
      <c r="Y6755" s="1128" t="s">
        <v>3380</v>
      </c>
      <c r="Z6755" s="1128" t="s">
        <v>3381</v>
      </c>
      <c r="AA6755" s="1128" t="s">
        <v>3384</v>
      </c>
      <c r="AB6755" s="20"/>
      <c r="AC6755" s="73"/>
    </row>
    <row r="6756" spans="1:29">
      <c r="A6756" s="327" t="str">
        <f>IF(AND($B6756&lt;&gt;"",$C6756&lt;&gt;""),MAX($A$6492:$A6755)+1,"")</f>
        <v/>
      </c>
      <c r="B6756" s="359"/>
      <c r="C6756" s="360"/>
      <c r="D6756" s="327"/>
      <c r="E6756" s="361"/>
      <c r="F6756" s="362"/>
      <c r="G6756" s="327" t="s">
        <v>240</v>
      </c>
      <c r="H6756" s="361"/>
      <c r="I6756" s="327"/>
      <c r="J6756" s="363"/>
      <c r="K6756" s="345"/>
      <c r="L6756" s="389"/>
      <c r="M6756" s="355"/>
      <c r="N6756" s="355" t="str">
        <f t="shared" ref="N6756:N6792" si="442">+$N$6492</f>
        <v>KI</v>
      </c>
      <c r="O6756" s="345" t="str">
        <f t="shared" si="386"/>
        <v/>
      </c>
      <c r="P6756" s="361"/>
      <c r="Q6756" s="327"/>
      <c r="R6756" s="361"/>
      <c r="S6756" s="361"/>
      <c r="T6756" s="361"/>
      <c r="U6756" s="329" t="str">
        <f>IF($N6756=$N$4,IFERROR(INDEX(DanhMuc!$E$154:$E$165,MATCH(MID($B6756,4,2),DanhMuc!$B$154:$B$165,0)),""),"")</f>
        <v/>
      </c>
      <c r="V6756" s="361"/>
      <c r="W6756" s="345"/>
      <c r="X6756" s="786"/>
      <c r="Y6756" s="1128" t="s">
        <v>3380</v>
      </c>
      <c r="Z6756" s="1128" t="s">
        <v>3381</v>
      </c>
      <c r="AA6756" s="1128" t="s">
        <v>3384</v>
      </c>
      <c r="AB6756" s="20"/>
      <c r="AC6756" s="73"/>
    </row>
    <row r="6757" spans="1:29" ht="26">
      <c r="A6757" s="327">
        <f>IF(AND($B6757&lt;&gt;"",$C6757&lt;&gt;""),MAX($A$6492:$A6755)+1,"")</f>
        <v>1</v>
      </c>
      <c r="B6757" s="359" t="s">
        <v>214</v>
      </c>
      <c r="C6757" s="360" t="s">
        <v>1527</v>
      </c>
      <c r="D6757" s="327">
        <f>IF($B6757="","",COUNTIF($B$6:$B6757,$B6757))</f>
        <v>34</v>
      </c>
      <c r="E6757" s="361"/>
      <c r="F6757" s="362"/>
      <c r="G6757" s="327" t="s">
        <v>240</v>
      </c>
      <c r="H6757" s="361"/>
      <c r="I6757" s="327">
        <v>1</v>
      </c>
      <c r="J6757" s="361" t="s">
        <v>2837</v>
      </c>
      <c r="K6757" s="327"/>
      <c r="L6757" s="389"/>
      <c r="M6757" s="355"/>
      <c r="N6757" s="355" t="str">
        <f t="shared" si="442"/>
        <v>KI</v>
      </c>
      <c r="O6757" s="345" t="str">
        <f t="shared" si="386"/>
        <v/>
      </c>
      <c r="P6757" s="361"/>
      <c r="Q6757" s="327"/>
      <c r="R6757" s="361"/>
      <c r="S6757" s="361"/>
      <c r="T6757" s="361"/>
      <c r="U6757" s="329" t="str">
        <f>IF($N6757=$N$4,IFERROR(INDEX(DanhMuc!$E$154:$E$165,MATCH(MID($B6757,4,2),DanhMuc!$B$154:$B$165,0)),""),"")</f>
        <v/>
      </c>
      <c r="V6757" s="361"/>
      <c r="W6757" s="345"/>
      <c r="X6757" s="787"/>
      <c r="Y6757" s="1128" t="s">
        <v>3380</v>
      </c>
      <c r="Z6757" s="1128" t="s">
        <v>3381</v>
      </c>
      <c r="AA6757" s="1128" t="s">
        <v>3384</v>
      </c>
    </row>
    <row r="6758" spans="1:29" ht="26">
      <c r="A6758" s="327">
        <f>IF(AND($B6758&lt;&gt;"",$C6758&lt;&gt;""),MAX($A$6492:$A6757)+1,"")</f>
        <v>2</v>
      </c>
      <c r="B6758" s="359" t="s">
        <v>215</v>
      </c>
      <c r="C6758" s="360" t="s">
        <v>1528</v>
      </c>
      <c r="D6758" s="327">
        <f>IF($B6758="","",COUNTIF($B$6:$B6758,$B6758))</f>
        <v>35</v>
      </c>
      <c r="E6758" s="361"/>
      <c r="F6758" s="362"/>
      <c r="G6758" s="327" t="s">
        <v>240</v>
      </c>
      <c r="H6758" s="361"/>
      <c r="I6758" s="327">
        <v>2</v>
      </c>
      <c r="J6758" s="361" t="s">
        <v>2811</v>
      </c>
      <c r="K6758" s="327"/>
      <c r="L6758" s="389"/>
      <c r="M6758" s="355"/>
      <c r="N6758" s="355" t="str">
        <f t="shared" si="442"/>
        <v>KI</v>
      </c>
      <c r="O6758" s="345" t="str">
        <f t="shared" si="386"/>
        <v/>
      </c>
      <c r="P6758" s="361"/>
      <c r="Q6758" s="327"/>
      <c r="R6758" s="361"/>
      <c r="S6758" s="361"/>
      <c r="T6758" s="361"/>
      <c r="U6758" s="329" t="str">
        <f>IF($N6758=$N$4,IFERROR(INDEX(DanhMuc!$E$154:$E$165,MATCH(MID($B6758,4,2),DanhMuc!$B$154:$B$165,0)),""),"")</f>
        <v/>
      </c>
      <c r="V6758" s="361"/>
      <c r="W6758" s="345"/>
      <c r="X6758" s="365"/>
      <c r="Y6758" s="1128" t="s">
        <v>3380</v>
      </c>
      <c r="Z6758" s="1128" t="s">
        <v>3381</v>
      </c>
      <c r="AA6758" s="1128" t="s">
        <v>3384</v>
      </c>
    </row>
    <row r="6759" spans="1:29" ht="26">
      <c r="A6759" s="327">
        <f>IF(AND($B6759&lt;&gt;"",$C6759&lt;&gt;""),MAX($A$6492:$A6758)+1,"")</f>
        <v>3</v>
      </c>
      <c r="B6759" s="359" t="s">
        <v>684</v>
      </c>
      <c r="C6759" s="360" t="s">
        <v>1529</v>
      </c>
      <c r="D6759" s="327">
        <f>IF($B6759="","",COUNTIF($B$6:$B6759,$B6759))</f>
        <v>38</v>
      </c>
      <c r="E6759" s="361"/>
      <c r="F6759" s="362"/>
      <c r="G6759" s="327" t="s">
        <v>240</v>
      </c>
      <c r="H6759" s="361"/>
      <c r="I6759" s="327">
        <v>1</v>
      </c>
      <c r="J6759" s="361" t="s">
        <v>2812</v>
      </c>
      <c r="K6759" s="327"/>
      <c r="L6759" s="389"/>
      <c r="M6759" s="355"/>
      <c r="N6759" s="355" t="str">
        <f t="shared" si="442"/>
        <v>KI</v>
      </c>
      <c r="O6759" s="345" t="str">
        <f t="shared" si="386"/>
        <v/>
      </c>
      <c r="P6759" s="361"/>
      <c r="Q6759" s="327"/>
      <c r="R6759" s="361"/>
      <c r="S6759" s="361"/>
      <c r="T6759" s="361"/>
      <c r="U6759" s="329" t="str">
        <f>IF($N6759=$N$4,IFERROR(INDEX(DanhMuc!$E$154:$E$165,MATCH(MID($B6759,4,2),DanhMuc!$B$154:$B$165,0)),""),"")</f>
        <v/>
      </c>
      <c r="V6759" s="361"/>
      <c r="W6759" s="345"/>
      <c r="X6759" s="365"/>
      <c r="Y6759" s="1128" t="s">
        <v>3380</v>
      </c>
      <c r="Z6759" s="1128" t="s">
        <v>3381</v>
      </c>
      <c r="AA6759" s="1128" t="s">
        <v>3384</v>
      </c>
    </row>
    <row r="6760" spans="1:29">
      <c r="A6760" s="327" t="str">
        <f>IF(AND($B6760&lt;&gt;"",$C6760&lt;&gt;""),MAX($A$6492:$A6759)+1,"")</f>
        <v/>
      </c>
      <c r="B6760" s="361" t="s">
        <v>684</v>
      </c>
      <c r="C6760" s="360"/>
      <c r="D6760" s="327">
        <f>IF($B6760="","",COUNTIF($B$6:$B6760,$B6760))</f>
        <v>39</v>
      </c>
      <c r="E6760" s="361"/>
      <c r="F6760" s="362"/>
      <c r="G6760" s="327" t="s">
        <v>240</v>
      </c>
      <c r="H6760" s="361"/>
      <c r="I6760" s="327">
        <v>2</v>
      </c>
      <c r="J6760" s="361" t="s">
        <v>2813</v>
      </c>
      <c r="K6760" s="327"/>
      <c r="L6760" s="389"/>
      <c r="M6760" s="355"/>
      <c r="N6760" s="355" t="str">
        <f t="shared" si="442"/>
        <v>KI</v>
      </c>
      <c r="O6760" s="345" t="str">
        <f t="shared" si="386"/>
        <v/>
      </c>
      <c r="P6760" s="361"/>
      <c r="Q6760" s="327"/>
      <c r="R6760" s="361"/>
      <c r="S6760" s="361"/>
      <c r="T6760" s="361"/>
      <c r="U6760" s="329" t="str">
        <f>IF($N6760=$N$4,IFERROR(INDEX(DanhMuc!$E$154:$E$165,MATCH(MID($B6760,4,2),DanhMuc!$B$154:$B$165,0)),""),"")</f>
        <v/>
      </c>
      <c r="V6760" s="361"/>
      <c r="W6760" s="345"/>
      <c r="X6760" s="365"/>
      <c r="Y6760" s="1128" t="s">
        <v>3380</v>
      </c>
      <c r="Z6760" s="1128" t="s">
        <v>3381</v>
      </c>
      <c r="AA6760" s="1128" t="s">
        <v>3384</v>
      </c>
    </row>
    <row r="6761" spans="1:29" ht="26">
      <c r="A6761" s="327">
        <f>IF(AND($B6761&lt;&gt;"",$C6761&lt;&gt;""),MAX($A$6492:$A6760)+1,"")</f>
        <v>4</v>
      </c>
      <c r="B6761" s="359" t="s">
        <v>216</v>
      </c>
      <c r="C6761" s="360" t="s">
        <v>1530</v>
      </c>
      <c r="D6761" s="327">
        <f>IF($B6761="","",COUNTIF($B$6:$B6761,$B6761))</f>
        <v>41</v>
      </c>
      <c r="E6761" s="361"/>
      <c r="F6761" s="362"/>
      <c r="G6761" s="327" t="s">
        <v>240</v>
      </c>
      <c r="H6761" s="361"/>
      <c r="I6761" s="327">
        <v>2</v>
      </c>
      <c r="J6761" s="361" t="s">
        <v>2814</v>
      </c>
      <c r="K6761" s="327"/>
      <c r="L6761" s="389"/>
      <c r="M6761" s="355"/>
      <c r="N6761" s="355" t="str">
        <f t="shared" si="442"/>
        <v>KI</v>
      </c>
      <c r="O6761" s="345" t="str">
        <f t="shared" si="386"/>
        <v/>
      </c>
      <c r="P6761" s="361"/>
      <c r="Q6761" s="327"/>
      <c r="R6761" s="361"/>
      <c r="S6761" s="361"/>
      <c r="T6761" s="361"/>
      <c r="U6761" s="329" t="str">
        <f>IF($N6761=$N$4,IFERROR(INDEX(DanhMuc!$E$154:$E$165,MATCH(MID($B6761,4,2),DanhMuc!$B$154:$B$165,0)),""),"")</f>
        <v/>
      </c>
      <c r="V6761" s="361"/>
      <c r="W6761" s="345"/>
      <c r="X6761" s="365"/>
      <c r="Y6761" s="1128" t="s">
        <v>3380</v>
      </c>
      <c r="Z6761" s="1128" t="s">
        <v>3381</v>
      </c>
      <c r="AA6761" s="1128" t="s">
        <v>3384</v>
      </c>
    </row>
    <row r="6762" spans="1:29">
      <c r="A6762" s="327" t="str">
        <f>IF(AND($B6762&lt;&gt;"",$C6762&lt;&gt;""),MAX($A$6492:$A6761)+1,"")</f>
        <v/>
      </c>
      <c r="B6762" s="361" t="s">
        <v>216</v>
      </c>
      <c r="C6762" s="360"/>
      <c r="D6762" s="327">
        <f>IF($B6762="","",COUNTIF($B$6:$B6762,$B6762))</f>
        <v>42</v>
      </c>
      <c r="E6762" s="361"/>
      <c r="F6762" s="362"/>
      <c r="G6762" s="327" t="s">
        <v>240</v>
      </c>
      <c r="H6762" s="361"/>
      <c r="I6762" s="327">
        <v>2</v>
      </c>
      <c r="J6762" s="361" t="s">
        <v>2815</v>
      </c>
      <c r="K6762" s="327"/>
      <c r="L6762" s="389"/>
      <c r="M6762" s="355"/>
      <c r="N6762" s="355" t="str">
        <f t="shared" si="442"/>
        <v>KI</v>
      </c>
      <c r="O6762" s="345" t="str">
        <f t="shared" si="386"/>
        <v/>
      </c>
      <c r="P6762" s="361"/>
      <c r="Q6762" s="327"/>
      <c r="R6762" s="361"/>
      <c r="S6762" s="361"/>
      <c r="T6762" s="361"/>
      <c r="U6762" s="329" t="str">
        <f>IF($N6762=$N$4,IFERROR(INDEX(DanhMuc!$E$154:$E$165,MATCH(MID($B6762,4,2),DanhMuc!$B$154:$B$165,0)),""),"")</f>
        <v/>
      </c>
      <c r="V6762" s="361"/>
      <c r="W6762" s="345"/>
      <c r="X6762" s="365"/>
      <c r="Y6762" s="1128" t="s">
        <v>3380</v>
      </c>
      <c r="Z6762" s="1128" t="s">
        <v>3381</v>
      </c>
      <c r="AA6762" s="1128" t="s">
        <v>3384</v>
      </c>
    </row>
    <row r="6763" spans="1:29" ht="39">
      <c r="A6763" s="327">
        <f>IF(AND($B6763&lt;&gt;"",$C6763&lt;&gt;""),MAX($A$6492:$A6762)+1,"")</f>
        <v>5</v>
      </c>
      <c r="B6763" s="359" t="s">
        <v>416</v>
      </c>
      <c r="C6763" s="360" t="s">
        <v>1538</v>
      </c>
      <c r="D6763" s="327">
        <f>IF($B6763="","",COUNTIF($B$6:$B6763,$B6763))</f>
        <v>31</v>
      </c>
      <c r="E6763" s="361"/>
      <c r="F6763" s="362"/>
      <c r="G6763" s="327" t="s">
        <v>240</v>
      </c>
      <c r="H6763" s="361"/>
      <c r="I6763" s="327">
        <v>3</v>
      </c>
      <c r="J6763" s="361" t="s">
        <v>1455</v>
      </c>
      <c r="K6763" s="327"/>
      <c r="L6763" s="389"/>
      <c r="M6763" s="355"/>
      <c r="N6763" s="355" t="str">
        <f t="shared" si="442"/>
        <v>KI</v>
      </c>
      <c r="O6763" s="345" t="str">
        <f t="shared" si="386"/>
        <v/>
      </c>
      <c r="P6763" s="361"/>
      <c r="Q6763" s="327"/>
      <c r="R6763" s="361"/>
      <c r="S6763" s="361"/>
      <c r="T6763" s="361"/>
      <c r="U6763" s="329" t="str">
        <f>IF($N6763=$N$4,IFERROR(INDEX(DanhMuc!$E$154:$E$165,MATCH(MID($B6763,4,2),DanhMuc!$B$154:$B$165,0)),""),"")</f>
        <v/>
      </c>
      <c r="V6763" s="361"/>
      <c r="W6763" s="345"/>
      <c r="X6763" s="365"/>
      <c r="Y6763" s="1128" t="s">
        <v>3380</v>
      </c>
      <c r="Z6763" s="1128" t="s">
        <v>3381</v>
      </c>
      <c r="AA6763" s="1128" t="s">
        <v>3384</v>
      </c>
    </row>
    <row r="6764" spans="1:29" ht="39">
      <c r="A6764" s="327">
        <f>IF(AND($B6764&lt;&gt;"",$C6764&lt;&gt;""),MAX($A$6492:$A6763)+1,"")</f>
        <v>6</v>
      </c>
      <c r="B6764" s="359" t="s">
        <v>217</v>
      </c>
      <c r="C6764" s="360" t="s">
        <v>1539</v>
      </c>
      <c r="D6764" s="327">
        <f>IF($B6764="","",COUNTIF($B$6:$B6764,$B6764))</f>
        <v>31</v>
      </c>
      <c r="E6764" s="361"/>
      <c r="F6764" s="362"/>
      <c r="G6764" s="327" t="s">
        <v>240</v>
      </c>
      <c r="H6764" s="361"/>
      <c r="I6764" s="327">
        <v>4</v>
      </c>
      <c r="J6764" s="361" t="s">
        <v>1455</v>
      </c>
      <c r="K6764" s="327"/>
      <c r="L6764" s="389"/>
      <c r="M6764" s="355"/>
      <c r="N6764" s="355" t="str">
        <f t="shared" si="442"/>
        <v>KI</v>
      </c>
      <c r="O6764" s="345" t="str">
        <f t="shared" si="386"/>
        <v/>
      </c>
      <c r="P6764" s="361"/>
      <c r="Q6764" s="327"/>
      <c r="R6764" s="361"/>
      <c r="S6764" s="361"/>
      <c r="T6764" s="361"/>
      <c r="U6764" s="329" t="str">
        <f>IF($N6764=$N$4,IFERROR(INDEX(DanhMuc!$E$154:$E$165,MATCH(MID($B6764,4,2),DanhMuc!$B$154:$B$165,0)),""),"")</f>
        <v/>
      </c>
      <c r="V6764" s="361"/>
      <c r="W6764" s="345"/>
      <c r="X6764" s="365"/>
      <c r="Y6764" s="1128" t="s">
        <v>3380</v>
      </c>
      <c r="Z6764" s="1128" t="s">
        <v>3381</v>
      </c>
      <c r="AA6764" s="1128" t="s">
        <v>3384</v>
      </c>
    </row>
    <row r="6765" spans="1:29" ht="39">
      <c r="A6765" s="327">
        <f>IF(AND($B6765&lt;&gt;"",$C6765&lt;&gt;""),MAX($A$6492:$A6764)+1,"")</f>
        <v>7</v>
      </c>
      <c r="B6765" s="359" t="s">
        <v>417</v>
      </c>
      <c r="C6765" s="360" t="s">
        <v>1540</v>
      </c>
      <c r="D6765" s="327">
        <f>IF($B6765="","",COUNTIF($B$6:$B6765,$B6765))</f>
        <v>31</v>
      </c>
      <c r="E6765" s="361"/>
      <c r="F6765" s="362"/>
      <c r="G6765" s="327" t="s">
        <v>240</v>
      </c>
      <c r="H6765" s="361"/>
      <c r="I6765" s="327">
        <v>5</v>
      </c>
      <c r="J6765" s="361" t="s">
        <v>1455</v>
      </c>
      <c r="K6765" s="327"/>
      <c r="L6765" s="389"/>
      <c r="M6765" s="355"/>
      <c r="N6765" s="355" t="str">
        <f t="shared" si="442"/>
        <v>KI</v>
      </c>
      <c r="O6765" s="345" t="str">
        <f t="shared" si="386"/>
        <v/>
      </c>
      <c r="P6765" s="361"/>
      <c r="Q6765" s="327"/>
      <c r="R6765" s="361"/>
      <c r="S6765" s="361"/>
      <c r="T6765" s="361"/>
      <c r="U6765" s="329" t="str">
        <f>IF($N6765=$N$4,IFERROR(INDEX(DanhMuc!$E$154:$E$165,MATCH(MID($B6765,4,2),DanhMuc!$B$154:$B$165,0)),""),"")</f>
        <v/>
      </c>
      <c r="V6765" s="361"/>
      <c r="W6765" s="345"/>
      <c r="X6765" s="365"/>
      <c r="Y6765" s="1128" t="s">
        <v>3380</v>
      </c>
      <c r="Z6765" s="1128" t="s">
        <v>3381</v>
      </c>
      <c r="AA6765" s="1128" t="s">
        <v>3384</v>
      </c>
    </row>
    <row r="6766" spans="1:29" ht="39">
      <c r="A6766" s="327">
        <f>IF(AND($B6766&lt;&gt;"",$C6766&lt;&gt;""),MAX($A$6492:$A6765)+1,"")</f>
        <v>8</v>
      </c>
      <c r="B6766" s="359" t="s">
        <v>418</v>
      </c>
      <c r="C6766" s="360" t="s">
        <v>1541</v>
      </c>
      <c r="D6766" s="327">
        <f>IF($B6766="","",COUNTIF($B$6:$B6766,$B6766))</f>
        <v>31</v>
      </c>
      <c r="E6766" s="361"/>
      <c r="F6766" s="362"/>
      <c r="G6766" s="327" t="s">
        <v>240</v>
      </c>
      <c r="H6766" s="361"/>
      <c r="I6766" s="327">
        <v>6</v>
      </c>
      <c r="J6766" s="361" t="s">
        <v>1455</v>
      </c>
      <c r="K6766" s="327"/>
      <c r="L6766" s="389"/>
      <c r="M6766" s="355"/>
      <c r="N6766" s="355" t="str">
        <f t="shared" si="442"/>
        <v>KI</v>
      </c>
      <c r="O6766" s="345" t="str">
        <f t="shared" si="386"/>
        <v/>
      </c>
      <c r="P6766" s="361"/>
      <c r="Q6766" s="327"/>
      <c r="R6766" s="361"/>
      <c r="S6766" s="361"/>
      <c r="T6766" s="361"/>
      <c r="U6766" s="329" t="str">
        <f>IF($N6766=$N$4,IFERROR(INDEX(DanhMuc!$E$154:$E$165,MATCH(MID($B6766,4,2),DanhMuc!$B$154:$B$165,0)),""),"")</f>
        <v/>
      </c>
      <c r="V6766" s="361"/>
      <c r="W6766" s="345"/>
      <c r="X6766" s="365"/>
      <c r="Y6766" s="1128" t="s">
        <v>3380</v>
      </c>
      <c r="Z6766" s="1128" t="s">
        <v>3381</v>
      </c>
      <c r="AA6766" s="1128" t="s">
        <v>3384</v>
      </c>
    </row>
    <row r="6767" spans="1:29" ht="26">
      <c r="A6767" s="327">
        <f>IF(AND($B6767&lt;&gt;"",$C6767&lt;&gt;""),MAX($A$6492:$A6766)+1,"")</f>
        <v>9</v>
      </c>
      <c r="B6767" s="359" t="s">
        <v>587</v>
      </c>
      <c r="C6767" s="360" t="s">
        <v>1531</v>
      </c>
      <c r="D6767" s="327">
        <f>IF($B6767="","",COUNTIF($B$6:$B6767,$B6767))</f>
        <v>17</v>
      </c>
      <c r="E6767" s="361"/>
      <c r="F6767" s="362"/>
      <c r="G6767" s="327" t="s">
        <v>240</v>
      </c>
      <c r="H6767" s="361"/>
      <c r="I6767" s="327">
        <v>2</v>
      </c>
      <c r="J6767" s="361" t="s">
        <v>1829</v>
      </c>
      <c r="K6767" s="327"/>
      <c r="L6767" s="389"/>
      <c r="M6767" s="355"/>
      <c r="N6767" s="355" t="str">
        <f t="shared" si="442"/>
        <v>KI</v>
      </c>
      <c r="O6767" s="345" t="str">
        <f t="shared" si="386"/>
        <v/>
      </c>
      <c r="P6767" s="361"/>
      <c r="Q6767" s="327"/>
      <c r="R6767" s="361"/>
      <c r="S6767" s="361"/>
      <c r="T6767" s="361"/>
      <c r="U6767" s="329" t="str">
        <f>IF($N6767=$N$4,IFERROR(INDEX(DanhMuc!$E$154:$E$165,MATCH(MID($B6767,4,2),DanhMuc!$B$154:$B$165,0)),""),"")</f>
        <v/>
      </c>
      <c r="V6767" s="361"/>
      <c r="W6767" s="345"/>
      <c r="X6767" s="365"/>
      <c r="Y6767" s="1128" t="s">
        <v>3380</v>
      </c>
      <c r="Z6767" s="1128" t="s">
        <v>3381</v>
      </c>
      <c r="AA6767" s="1128" t="s">
        <v>3384</v>
      </c>
    </row>
    <row r="6768" spans="1:29" ht="39">
      <c r="A6768" s="327">
        <f>IF(AND($B6768&lt;&gt;"",$C6768&lt;&gt;""),MAX($A$6492:$A6767)+1,"")</f>
        <v>10</v>
      </c>
      <c r="B6768" s="359" t="s">
        <v>593</v>
      </c>
      <c r="C6768" s="360" t="s">
        <v>1532</v>
      </c>
      <c r="D6768" s="327">
        <f>IF($B6768="","",COUNTIF($B$6:$B6768,$B6768))</f>
        <v>21</v>
      </c>
      <c r="E6768" s="361"/>
      <c r="F6768" s="362" t="s">
        <v>602</v>
      </c>
      <c r="G6768" s="327" t="s">
        <v>240</v>
      </c>
      <c r="H6768" s="361"/>
      <c r="I6768" s="327">
        <v>1</v>
      </c>
      <c r="J6768" s="361" t="s">
        <v>1198</v>
      </c>
      <c r="K6768" s="327"/>
      <c r="L6768" s="389"/>
      <c r="M6768" s="355"/>
      <c r="N6768" s="355" t="str">
        <f t="shared" si="442"/>
        <v>KI</v>
      </c>
      <c r="O6768" s="345" t="str">
        <f t="shared" si="386"/>
        <v/>
      </c>
      <c r="P6768" s="361"/>
      <c r="Q6768" s="327"/>
      <c r="R6768" s="361"/>
      <c r="S6768" s="361"/>
      <c r="T6768" s="361"/>
      <c r="U6768" s="329" t="str">
        <f>IF($N6768=$N$4,IFERROR(INDEX(DanhMuc!$E$154:$E$165,MATCH(MID($B6768,4,2),DanhMuc!$B$154:$B$165,0)),""),"")</f>
        <v/>
      </c>
      <c r="V6768" s="361"/>
      <c r="W6768" s="345"/>
      <c r="X6768" s="365"/>
      <c r="Y6768" s="1128" t="s">
        <v>3380</v>
      </c>
      <c r="Z6768" s="1128" t="s">
        <v>3381</v>
      </c>
      <c r="AA6768" s="1128" t="s">
        <v>3384</v>
      </c>
    </row>
    <row r="6769" spans="1:27">
      <c r="A6769" s="327" t="str">
        <f>IF(AND($B6769&lt;&gt;"",$C6769&lt;&gt;""),MAX($A$6492:$A6768)+1,"")</f>
        <v/>
      </c>
      <c r="B6769" s="361" t="s">
        <v>593</v>
      </c>
      <c r="C6769" s="360"/>
      <c r="D6769" s="327">
        <f>IF($B6769="","",COUNTIF($B$6:$B6769,$B6769))</f>
        <v>22</v>
      </c>
      <c r="E6769" s="361"/>
      <c r="F6769" s="362" t="s">
        <v>101</v>
      </c>
      <c r="G6769" s="327" t="s">
        <v>240</v>
      </c>
      <c r="H6769" s="361"/>
      <c r="I6769" s="327">
        <v>2</v>
      </c>
      <c r="J6769" s="361" t="s">
        <v>1199</v>
      </c>
      <c r="K6769" s="327"/>
      <c r="L6769" s="389"/>
      <c r="M6769" s="355"/>
      <c r="N6769" s="355" t="str">
        <f t="shared" si="442"/>
        <v>KI</v>
      </c>
      <c r="O6769" s="345" t="str">
        <f t="shared" si="386"/>
        <v/>
      </c>
      <c r="P6769" s="361"/>
      <c r="Q6769" s="327"/>
      <c r="R6769" s="361"/>
      <c r="S6769" s="361"/>
      <c r="T6769" s="361"/>
      <c r="U6769" s="329" t="str">
        <f>IF($N6769=$N$4,IFERROR(INDEX(DanhMuc!$E$154:$E$165,MATCH(MID($B6769,4,2),DanhMuc!$B$154:$B$165,0)),""),"")</f>
        <v/>
      </c>
      <c r="V6769" s="361"/>
      <c r="W6769" s="345"/>
      <c r="X6769" s="365"/>
      <c r="Y6769" s="1128" t="s">
        <v>3380</v>
      </c>
      <c r="Z6769" s="1128" t="s">
        <v>3381</v>
      </c>
      <c r="AA6769" s="1128" t="s">
        <v>3384</v>
      </c>
    </row>
    <row r="6770" spans="1:27" ht="26">
      <c r="A6770" s="327">
        <f>IF(AND($B6770&lt;&gt;"",$C6770&lt;&gt;""),MAX($A$6492:$A6769)+1,"")</f>
        <v>11</v>
      </c>
      <c r="B6770" s="359" t="s">
        <v>588</v>
      </c>
      <c r="C6770" s="360" t="s">
        <v>1534</v>
      </c>
      <c r="D6770" s="327">
        <f>IF($B6770="","",COUNTIF($B$6:$B6770,$B6770))</f>
        <v>18</v>
      </c>
      <c r="E6770" s="361"/>
      <c r="F6770" s="362"/>
      <c r="G6770" s="327" t="s">
        <v>240</v>
      </c>
      <c r="H6770" s="361"/>
      <c r="I6770" s="327">
        <v>4</v>
      </c>
      <c r="J6770" s="361" t="s">
        <v>744</v>
      </c>
      <c r="K6770" s="327"/>
      <c r="L6770" s="389"/>
      <c r="M6770" s="355"/>
      <c r="N6770" s="355" t="str">
        <f t="shared" si="442"/>
        <v>KI</v>
      </c>
      <c r="O6770" s="345" t="str">
        <f t="shared" si="386"/>
        <v/>
      </c>
      <c r="P6770" s="361"/>
      <c r="Q6770" s="327"/>
      <c r="R6770" s="361"/>
      <c r="S6770" s="361"/>
      <c r="T6770" s="361"/>
      <c r="U6770" s="329" t="str">
        <f>IF($N6770=$N$4,IFERROR(INDEX(DanhMuc!$E$154:$E$165,MATCH(MID($B6770,4,2),DanhMuc!$B$154:$B$165,0)),""),"")</f>
        <v/>
      </c>
      <c r="V6770" s="361"/>
      <c r="W6770" s="345"/>
      <c r="X6770" s="365"/>
      <c r="Y6770" s="1128" t="s">
        <v>3380</v>
      </c>
      <c r="Z6770" s="1128" t="s">
        <v>3381</v>
      </c>
      <c r="AA6770" s="1128" t="s">
        <v>3384</v>
      </c>
    </row>
    <row r="6771" spans="1:27" ht="39">
      <c r="A6771" s="327">
        <f>IF(AND($B6771&lt;&gt;"",$C6771&lt;&gt;""),MAX($A$6492:$A6770)+1,"")</f>
        <v>12</v>
      </c>
      <c r="B6771" s="359" t="s">
        <v>748</v>
      </c>
      <c r="C6771" s="360" t="s">
        <v>1533</v>
      </c>
      <c r="D6771" s="327">
        <f>IF($B6771="","",COUNTIF($B$6:$B6771,$B6771))</f>
        <v>19</v>
      </c>
      <c r="E6771" s="361"/>
      <c r="F6771" s="362"/>
      <c r="G6771" s="327" t="s">
        <v>240</v>
      </c>
      <c r="H6771" s="361"/>
      <c r="I6771" s="327">
        <v>2</v>
      </c>
      <c r="J6771" s="361" t="s">
        <v>758</v>
      </c>
      <c r="K6771" s="327"/>
      <c r="L6771" s="389"/>
      <c r="M6771" s="355"/>
      <c r="N6771" s="355" t="str">
        <f t="shared" si="442"/>
        <v>KI</v>
      </c>
      <c r="O6771" s="345" t="str">
        <f t="shared" si="386"/>
        <v/>
      </c>
      <c r="P6771" s="361"/>
      <c r="Q6771" s="327"/>
      <c r="R6771" s="361"/>
      <c r="S6771" s="361"/>
      <c r="T6771" s="361"/>
      <c r="U6771" s="329" t="str">
        <f>IF($N6771=$N$4,IFERROR(INDEX(DanhMuc!$E$154:$E$165,MATCH(MID($B6771,4,2),DanhMuc!$B$154:$B$165,0)),""),"")</f>
        <v/>
      </c>
      <c r="V6771" s="361"/>
      <c r="W6771" s="345"/>
      <c r="X6771" s="365"/>
      <c r="Y6771" s="1128" t="s">
        <v>3380</v>
      </c>
      <c r="Z6771" s="1128" t="s">
        <v>3381</v>
      </c>
      <c r="AA6771" s="1128" t="s">
        <v>3384</v>
      </c>
    </row>
    <row r="6772" spans="1:27" ht="12.5">
      <c r="A6772" s="327" t="str">
        <f>IF(AND($B6772&lt;&gt;"",$C6772&lt;&gt;""),MAX($A$6492:$A6771)+1,"")</f>
        <v/>
      </c>
      <c r="B6772" s="361" t="s">
        <v>748</v>
      </c>
      <c r="C6772" s="362"/>
      <c r="D6772" s="327">
        <f>IF($B6772="","",COUNTIF($B$6:$B6772,$B6772))</f>
        <v>20</v>
      </c>
      <c r="E6772" s="361"/>
      <c r="F6772" s="362"/>
      <c r="G6772" s="327" t="s">
        <v>240</v>
      </c>
      <c r="H6772" s="361"/>
      <c r="I6772" s="327">
        <v>1</v>
      </c>
      <c r="J6772" s="361" t="s">
        <v>759</v>
      </c>
      <c r="K6772" s="327"/>
      <c r="L6772" s="389"/>
      <c r="M6772" s="355"/>
      <c r="N6772" s="355" t="str">
        <f t="shared" si="442"/>
        <v>KI</v>
      </c>
      <c r="O6772" s="365" t="str">
        <f t="shared" si="386"/>
        <v/>
      </c>
      <c r="P6772" s="361"/>
      <c r="Q6772" s="327"/>
      <c r="R6772" s="361"/>
      <c r="S6772" s="361"/>
      <c r="T6772" s="361"/>
      <c r="U6772" s="329" t="str">
        <f>IF($N6772=$N$4,IFERROR(INDEX(DanhMuc!$E$154:$E$165,MATCH(MID($B6772,4,2),DanhMuc!$B$154:$B$165,0)),""),"")</f>
        <v/>
      </c>
      <c r="V6772" s="361"/>
      <c r="W6772" s="365"/>
      <c r="X6772" s="365"/>
      <c r="Y6772" s="1128" t="s">
        <v>3380</v>
      </c>
      <c r="Z6772" s="1128" t="s">
        <v>3381</v>
      </c>
      <c r="AA6772" s="1128" t="s">
        <v>3384</v>
      </c>
    </row>
    <row r="6773" spans="1:27" ht="39">
      <c r="A6773" s="327">
        <f>IF(AND($B6773&lt;&gt;"",$C6773&lt;&gt;""),MAX($A$6492:$A6772)+1,"")</f>
        <v>13</v>
      </c>
      <c r="B6773" s="359" t="s">
        <v>3155</v>
      </c>
      <c r="C6773" s="360" t="s">
        <v>3154</v>
      </c>
      <c r="D6773" s="327">
        <f>IF($B6773="","",COUNTIF($B$6:$B6773,$B6773))</f>
        <v>19</v>
      </c>
      <c r="E6773" s="361"/>
      <c r="F6773" s="362"/>
      <c r="G6773" s="327" t="s">
        <v>240</v>
      </c>
      <c r="H6773" s="361"/>
      <c r="I6773" s="327">
        <v>2</v>
      </c>
      <c r="J6773" s="361" t="s">
        <v>3167</v>
      </c>
      <c r="K6773" s="327"/>
      <c r="L6773" s="389"/>
      <c r="M6773" s="355"/>
      <c r="N6773" s="355" t="str">
        <f t="shared" si="442"/>
        <v>KI</v>
      </c>
      <c r="O6773" s="345" t="str">
        <f t="shared" si="386"/>
        <v/>
      </c>
      <c r="P6773" s="361"/>
      <c r="Q6773" s="327"/>
      <c r="R6773" s="361"/>
      <c r="S6773" s="361"/>
      <c r="T6773" s="361"/>
      <c r="U6773" s="329" t="str">
        <f>IF($N6773=$N$4,IFERROR(INDEX(DanhMuc!$E$154:$E$165,MATCH(MID($B6773,4,2),DanhMuc!$B$154:$B$165,0)),""),"")</f>
        <v/>
      </c>
      <c r="V6773" s="361"/>
      <c r="W6773" s="345"/>
      <c r="X6773" s="365"/>
      <c r="Y6773" s="1128" t="s">
        <v>3380</v>
      </c>
      <c r="Z6773" s="1128" t="s">
        <v>3381</v>
      </c>
      <c r="AA6773" s="1128" t="s">
        <v>3384</v>
      </c>
    </row>
    <row r="6774" spans="1:27" ht="12.5">
      <c r="A6774" s="327" t="str">
        <f>IF(AND($B6774&lt;&gt;"",$C6774&lt;&gt;""),MAX($A$6492:$A6773)+1,"")</f>
        <v/>
      </c>
      <c r="B6774" s="361" t="s">
        <v>3155</v>
      </c>
      <c r="C6774" s="362"/>
      <c r="D6774" s="327">
        <f>IF($B6774="","",COUNTIF($B$6:$B6774,$B6774))</f>
        <v>20</v>
      </c>
      <c r="E6774" s="361"/>
      <c r="F6774" s="362"/>
      <c r="G6774" s="327" t="s">
        <v>240</v>
      </c>
      <c r="H6774" s="361"/>
      <c r="I6774" s="327">
        <v>1</v>
      </c>
      <c r="J6774" s="361" t="s">
        <v>3168</v>
      </c>
      <c r="K6774" s="327"/>
      <c r="L6774" s="389"/>
      <c r="M6774" s="355"/>
      <c r="N6774" s="355" t="str">
        <f t="shared" si="442"/>
        <v>KI</v>
      </c>
      <c r="O6774" s="365" t="str">
        <f t="shared" si="386"/>
        <v/>
      </c>
      <c r="P6774" s="361"/>
      <c r="Q6774" s="327"/>
      <c r="R6774" s="361"/>
      <c r="S6774" s="361"/>
      <c r="T6774" s="361"/>
      <c r="U6774" s="329" t="str">
        <f>IF($N6774=$N$4,IFERROR(INDEX(DanhMuc!$E$154:$E$165,MATCH(MID($B6774,4,2),DanhMuc!$B$154:$B$165,0)),""),"")</f>
        <v/>
      </c>
      <c r="V6774" s="361"/>
      <c r="W6774" s="365"/>
      <c r="X6774" s="365"/>
      <c r="Y6774" s="1128" t="s">
        <v>3380</v>
      </c>
      <c r="Z6774" s="1128" t="s">
        <v>3381</v>
      </c>
      <c r="AA6774" s="1128" t="s">
        <v>3384</v>
      </c>
    </row>
    <row r="6775" spans="1:27" ht="39">
      <c r="A6775" s="327">
        <f>IF(AND($B6775&lt;&gt;"",$C6775&lt;&gt;""),MAX($A$6492:$A6772)+1,"")</f>
        <v>13</v>
      </c>
      <c r="B6775" s="359" t="s">
        <v>1200</v>
      </c>
      <c r="C6775" s="360" t="s">
        <v>1535</v>
      </c>
      <c r="D6775" s="327">
        <f>IF($B6775="","",COUNTIF($B$6:$B6775,$B6775))</f>
        <v>24</v>
      </c>
      <c r="E6775" s="361"/>
      <c r="F6775" s="362" t="s">
        <v>602</v>
      </c>
      <c r="G6775" s="327" t="s">
        <v>240</v>
      </c>
      <c r="H6775" s="361"/>
      <c r="I6775" s="327">
        <v>1</v>
      </c>
      <c r="J6775" s="361" t="s">
        <v>1204</v>
      </c>
      <c r="K6775" s="327"/>
      <c r="L6775" s="389"/>
      <c r="M6775" s="355"/>
      <c r="N6775" s="355" t="str">
        <f t="shared" si="442"/>
        <v>KI</v>
      </c>
      <c r="O6775" s="345" t="str">
        <f t="shared" si="386"/>
        <v/>
      </c>
      <c r="P6775" s="361"/>
      <c r="Q6775" s="327"/>
      <c r="R6775" s="361"/>
      <c r="S6775" s="361"/>
      <c r="T6775" s="361"/>
      <c r="U6775" s="329" t="str">
        <f>IF($N6775=$N$4,IFERROR(INDEX(DanhMuc!$E$154:$E$165,MATCH(MID($B6775,4,2),DanhMuc!$B$154:$B$165,0)),""),"")</f>
        <v/>
      </c>
      <c r="V6775" s="361"/>
      <c r="W6775" s="345"/>
      <c r="X6775" s="365"/>
      <c r="Y6775" s="1128" t="s">
        <v>3380</v>
      </c>
      <c r="Z6775" s="1128" t="s">
        <v>3381</v>
      </c>
      <c r="AA6775" s="1128" t="s">
        <v>3384</v>
      </c>
    </row>
    <row r="6776" spans="1:27">
      <c r="A6776" s="327" t="str">
        <f>IF(AND($B6776&lt;&gt;"",$C6776&lt;&gt;""),MAX($A$6492:$A6775)+1,"")</f>
        <v/>
      </c>
      <c r="B6776" s="361" t="s">
        <v>1200</v>
      </c>
      <c r="C6776" s="360"/>
      <c r="D6776" s="327">
        <f>IF($B6776="","",COUNTIF($B$6:$B6776,$B6776))</f>
        <v>25</v>
      </c>
      <c r="E6776" s="361"/>
      <c r="F6776" s="362" t="s">
        <v>602</v>
      </c>
      <c r="G6776" s="327" t="s">
        <v>240</v>
      </c>
      <c r="H6776" s="361"/>
      <c r="I6776" s="327">
        <v>2</v>
      </c>
      <c r="J6776" s="361" t="s">
        <v>1205</v>
      </c>
      <c r="K6776" s="327"/>
      <c r="L6776" s="389"/>
      <c r="M6776" s="355"/>
      <c r="N6776" s="355" t="str">
        <f t="shared" si="442"/>
        <v>KI</v>
      </c>
      <c r="O6776" s="345" t="str">
        <f t="shared" si="386"/>
        <v/>
      </c>
      <c r="P6776" s="361"/>
      <c r="Q6776" s="327"/>
      <c r="R6776" s="361"/>
      <c r="S6776" s="361"/>
      <c r="T6776" s="361"/>
      <c r="U6776" s="329" t="str">
        <f>IF($N6776=$N$4,IFERROR(INDEX(DanhMuc!$E$154:$E$165,MATCH(MID($B6776,4,2),DanhMuc!$B$154:$B$165,0)),""),"")</f>
        <v/>
      </c>
      <c r="V6776" s="361"/>
      <c r="W6776" s="345"/>
      <c r="X6776" s="365"/>
      <c r="Y6776" s="1128" t="s">
        <v>3380</v>
      </c>
      <c r="Z6776" s="1128" t="s">
        <v>3381</v>
      </c>
      <c r="AA6776" s="1128" t="s">
        <v>3384</v>
      </c>
    </row>
    <row r="6777" spans="1:27">
      <c r="A6777" s="327" t="str">
        <f>IF(AND($B6777&lt;&gt;"",$C6777&lt;&gt;""),MAX($A$6492:$A6776)+1,"")</f>
        <v/>
      </c>
      <c r="B6777" s="361" t="s">
        <v>1200</v>
      </c>
      <c r="C6777" s="360"/>
      <c r="D6777" s="327">
        <f>IF($B6777="","",COUNTIF($B$6:$B6777,$B6777))</f>
        <v>26</v>
      </c>
      <c r="E6777" s="361"/>
      <c r="F6777" s="362" t="s">
        <v>101</v>
      </c>
      <c r="G6777" s="327" t="s">
        <v>240</v>
      </c>
      <c r="H6777" s="361"/>
      <c r="I6777" s="327">
        <v>4</v>
      </c>
      <c r="J6777" s="361" t="s">
        <v>1206</v>
      </c>
      <c r="K6777" s="327"/>
      <c r="L6777" s="389"/>
      <c r="M6777" s="355"/>
      <c r="N6777" s="355" t="str">
        <f t="shared" si="442"/>
        <v>KI</v>
      </c>
      <c r="O6777" s="345" t="str">
        <f t="shared" si="386"/>
        <v/>
      </c>
      <c r="P6777" s="361"/>
      <c r="Q6777" s="327"/>
      <c r="R6777" s="361"/>
      <c r="S6777" s="361"/>
      <c r="T6777" s="361"/>
      <c r="U6777" s="329" t="str">
        <f>IF($N6777=$N$4,IFERROR(INDEX(DanhMuc!$E$154:$E$165,MATCH(MID($B6777,4,2),DanhMuc!$B$154:$B$165,0)),""),"")</f>
        <v/>
      </c>
      <c r="V6777" s="361"/>
      <c r="W6777" s="345"/>
      <c r="X6777" s="365"/>
      <c r="Y6777" s="1128" t="s">
        <v>3380</v>
      </c>
      <c r="Z6777" s="1128" t="s">
        <v>3381</v>
      </c>
      <c r="AA6777" s="1128" t="s">
        <v>3384</v>
      </c>
    </row>
    <row r="6778" spans="1:27" ht="26">
      <c r="A6778" s="327">
        <f>IF(AND($B6778&lt;&gt;"",$C6778&lt;&gt;""),MAX($A$6492:$A6772)+1,"")</f>
        <v>13</v>
      </c>
      <c r="B6778" s="359" t="s">
        <v>1178</v>
      </c>
      <c r="C6778" s="360" t="s">
        <v>1536</v>
      </c>
      <c r="D6778" s="327">
        <f>IF($B6778="","",COUNTIF($B$6:$B6778,$B6778))</f>
        <v>25</v>
      </c>
      <c r="E6778" s="361"/>
      <c r="F6778" s="362"/>
      <c r="G6778" s="327" t="s">
        <v>240</v>
      </c>
      <c r="H6778" s="361"/>
      <c r="I6778" s="327">
        <v>2</v>
      </c>
      <c r="J6778" s="361" t="s">
        <v>1191</v>
      </c>
      <c r="K6778" s="327"/>
      <c r="L6778" s="389"/>
      <c r="M6778" s="355"/>
      <c r="N6778" s="355" t="str">
        <f t="shared" si="442"/>
        <v>KI</v>
      </c>
      <c r="O6778" s="345" t="str">
        <f t="shared" si="386"/>
        <v/>
      </c>
      <c r="P6778" s="361"/>
      <c r="Q6778" s="327"/>
      <c r="R6778" s="361"/>
      <c r="S6778" s="361"/>
      <c r="T6778" s="361"/>
      <c r="U6778" s="329" t="str">
        <f>IF($N6778=$N$4,IFERROR(INDEX(DanhMuc!$E$154:$E$165,MATCH(MID($B6778,4,2),DanhMuc!$B$154:$B$165,0)),""),"")</f>
        <v/>
      </c>
      <c r="V6778" s="361"/>
      <c r="W6778" s="345"/>
      <c r="X6778" s="365"/>
      <c r="Y6778" s="1128" t="s">
        <v>3380</v>
      </c>
      <c r="Z6778" s="1128" t="s">
        <v>3381</v>
      </c>
      <c r="AA6778" s="1128" t="s">
        <v>3384</v>
      </c>
    </row>
    <row r="6779" spans="1:27" ht="39">
      <c r="A6779" s="327">
        <f>IF(AND($B6779&lt;&gt;"",$C6779&lt;&gt;""),MAX($A$6492:$A6773)+1,"")</f>
        <v>14</v>
      </c>
      <c r="B6779" s="359" t="s">
        <v>3206</v>
      </c>
      <c r="C6779" s="360" t="s">
        <v>3205</v>
      </c>
      <c r="D6779" s="327">
        <f>IF($B6779="","",COUNTIF($B$6:$B6779,$B6779))</f>
        <v>20</v>
      </c>
      <c r="E6779" s="361"/>
      <c r="F6779" s="362"/>
      <c r="G6779" s="327" t="s">
        <v>240</v>
      </c>
      <c r="H6779" s="361"/>
      <c r="I6779" s="327">
        <v>2</v>
      </c>
      <c r="J6779" s="361" t="s">
        <v>3213</v>
      </c>
      <c r="K6779" s="327"/>
      <c r="L6779" s="389"/>
      <c r="M6779" s="355"/>
      <c r="N6779" s="355" t="str">
        <f t="shared" si="442"/>
        <v>KI</v>
      </c>
      <c r="O6779" s="345" t="str">
        <f t="shared" si="386"/>
        <v/>
      </c>
      <c r="P6779" s="361"/>
      <c r="Q6779" s="327"/>
      <c r="R6779" s="361"/>
      <c r="S6779" s="361"/>
      <c r="T6779" s="361"/>
      <c r="U6779" s="329" t="str">
        <f>IF($N6779=$N$4,IFERROR(INDEX(DanhMuc!$E$154:$E$165,MATCH(MID($B6779,4,2),DanhMuc!$B$154:$B$165,0)),""),"")</f>
        <v/>
      </c>
      <c r="V6779" s="361"/>
      <c r="W6779" s="345"/>
      <c r="X6779" s="365"/>
      <c r="Y6779" s="1128" t="s">
        <v>3380</v>
      </c>
      <c r="Z6779" s="1128" t="s">
        <v>3381</v>
      </c>
      <c r="AA6779" s="1128" t="s">
        <v>3384</v>
      </c>
    </row>
    <row r="6780" spans="1:27" ht="39">
      <c r="A6780" s="327">
        <f>IF(AND($B6780&lt;&gt;"",$C6780&lt;&gt;""),MAX($A$6492:$A6774)+1,"")</f>
        <v>14</v>
      </c>
      <c r="B6780" s="359" t="s">
        <v>3222</v>
      </c>
      <c r="C6780" s="360" t="s">
        <v>3223</v>
      </c>
      <c r="D6780" s="327">
        <f>IF($B6780="","",COUNTIF($B$6:$B6780,$B6780))</f>
        <v>19</v>
      </c>
      <c r="E6780" s="361"/>
      <c r="F6780" s="362"/>
      <c r="G6780" s="327" t="s">
        <v>240</v>
      </c>
      <c r="H6780" s="361"/>
      <c r="I6780" s="327">
        <v>1</v>
      </c>
      <c r="J6780" s="361" t="s">
        <v>3225</v>
      </c>
      <c r="K6780" s="327"/>
      <c r="L6780" s="389"/>
      <c r="M6780" s="355"/>
      <c r="N6780" s="355" t="str">
        <f t="shared" si="442"/>
        <v>KI</v>
      </c>
      <c r="O6780" s="345" t="str">
        <f t="shared" ref="O6780" si="443">IF($E6780="","",IF(VALUE(MID($E6780,3,2))&gt;=20,20,IF(AND(10&lt;VALUE(MID($E6780,3,2)),VALUE(MID($E6780,3,2))&lt;20),19,10)))</f>
        <v/>
      </c>
      <c r="P6780" s="361"/>
      <c r="Q6780" s="327"/>
      <c r="R6780" s="361"/>
      <c r="S6780" s="361"/>
      <c r="T6780" s="361"/>
      <c r="U6780" s="329" t="str">
        <f>IF($N6780=$N$4,IFERROR(INDEX(DanhMuc!$E$154:$E$165,MATCH(MID($B6780,4,2),DanhMuc!$B$154:$B$165,0)),""),"")</f>
        <v/>
      </c>
      <c r="V6780" s="361"/>
      <c r="W6780" s="345"/>
      <c r="X6780" s="365"/>
      <c r="Y6780" s="1128" t="s">
        <v>3380</v>
      </c>
      <c r="Z6780" s="1128" t="s">
        <v>3381</v>
      </c>
      <c r="AA6780" s="1128" t="s">
        <v>3384</v>
      </c>
    </row>
    <row r="6781" spans="1:27" ht="39">
      <c r="A6781" s="327">
        <f>IF(AND($B6781&lt;&gt;"",$C6781&lt;&gt;""),MAX($A$6492:$A6778)+1,"")</f>
        <v>14</v>
      </c>
      <c r="B6781" s="359" t="s">
        <v>3173</v>
      </c>
      <c r="C6781" s="360" t="s">
        <v>3174</v>
      </c>
      <c r="D6781" s="327">
        <f>IF($B6781="","",COUNTIF($B$6:$B6781,$B6781))</f>
        <v>26</v>
      </c>
      <c r="E6781" s="361"/>
      <c r="F6781" s="362"/>
      <c r="G6781" s="327" t="s">
        <v>240</v>
      </c>
      <c r="H6781" s="361"/>
      <c r="I6781" s="327">
        <v>2</v>
      </c>
      <c r="J6781" s="361" t="s">
        <v>3203</v>
      </c>
      <c r="K6781" s="327"/>
      <c r="L6781" s="389"/>
      <c r="M6781" s="355"/>
      <c r="N6781" s="355" t="str">
        <f t="shared" si="442"/>
        <v>KI</v>
      </c>
      <c r="O6781" s="345" t="str">
        <f t="shared" si="386"/>
        <v/>
      </c>
      <c r="P6781" s="361"/>
      <c r="Q6781" s="327"/>
      <c r="R6781" s="361"/>
      <c r="S6781" s="361"/>
      <c r="T6781" s="361"/>
      <c r="U6781" s="329" t="str">
        <f>IF($N6781=$N$4,IFERROR(INDEX(DanhMuc!$E$154:$E$165,MATCH(MID($B6781,4,2),DanhMuc!$B$154:$B$165,0)),""),"")</f>
        <v/>
      </c>
      <c r="V6781" s="361"/>
      <c r="W6781" s="345"/>
      <c r="X6781" s="365"/>
      <c r="Y6781" s="1128" t="s">
        <v>3380</v>
      </c>
      <c r="Z6781" s="1128" t="s">
        <v>3381</v>
      </c>
      <c r="AA6781" s="1128" t="s">
        <v>3384</v>
      </c>
    </row>
    <row r="6782" spans="1:27" ht="12.5">
      <c r="A6782" s="327" t="str">
        <f>IF(AND($B6782&lt;&gt;"",$C6782&lt;&gt;""),MAX($A$6492:$A6781)+1,"")</f>
        <v/>
      </c>
      <c r="B6782" s="361" t="s">
        <v>3173</v>
      </c>
      <c r="C6782" s="362"/>
      <c r="D6782" s="327">
        <f>IF($B6782="","",COUNTIF($B$6:$B6782,$B6782))</f>
        <v>27</v>
      </c>
      <c r="E6782" s="361"/>
      <c r="F6782" s="362"/>
      <c r="G6782" s="327" t="s">
        <v>240</v>
      </c>
      <c r="H6782" s="361"/>
      <c r="I6782" s="327">
        <v>1</v>
      </c>
      <c r="J6782" s="361" t="s">
        <v>3204</v>
      </c>
      <c r="K6782" s="327"/>
      <c r="L6782" s="389"/>
      <c r="M6782" s="355"/>
      <c r="N6782" s="355" t="str">
        <f t="shared" si="442"/>
        <v>KI</v>
      </c>
      <c r="O6782" s="365" t="str">
        <f t="shared" si="386"/>
        <v/>
      </c>
      <c r="P6782" s="361"/>
      <c r="Q6782" s="327"/>
      <c r="R6782" s="361"/>
      <c r="S6782" s="361"/>
      <c r="T6782" s="361"/>
      <c r="U6782" s="329" t="str">
        <f>IF($N6782=$N$4,IFERROR(INDEX(DanhMuc!$E$154:$E$165,MATCH(MID($B6782,4,2),DanhMuc!$B$154:$B$165,0)),""),"")</f>
        <v/>
      </c>
      <c r="V6782" s="361"/>
      <c r="W6782" s="365"/>
      <c r="X6782" s="365"/>
      <c r="Y6782" s="1128" t="s">
        <v>3380</v>
      </c>
      <c r="Z6782" s="1128" t="s">
        <v>3381</v>
      </c>
      <c r="AA6782" s="1128" t="s">
        <v>3384</v>
      </c>
    </row>
    <row r="6783" spans="1:27" ht="26">
      <c r="A6783" s="327">
        <f>IF(AND($B6783&lt;&gt;"",$C6783&lt;&gt;""),MAX($A$6492:$A6778)+1,"")</f>
        <v>14</v>
      </c>
      <c r="B6783" s="359" t="s">
        <v>1179</v>
      </c>
      <c r="C6783" s="360" t="s">
        <v>1537</v>
      </c>
      <c r="D6783" s="327">
        <f>IF($B6783="","",COUNTIF($B$6:$B6783,$B6783))</f>
        <v>26</v>
      </c>
      <c r="E6783" s="361"/>
      <c r="F6783" s="362"/>
      <c r="G6783" s="327" t="s">
        <v>240</v>
      </c>
      <c r="H6783" s="361"/>
      <c r="I6783" s="327">
        <v>4</v>
      </c>
      <c r="J6783" s="361" t="s">
        <v>1192</v>
      </c>
      <c r="K6783" s="327"/>
      <c r="L6783" s="389"/>
      <c r="M6783" s="355"/>
      <c r="N6783" s="355" t="str">
        <f t="shared" si="442"/>
        <v>KI</v>
      </c>
      <c r="O6783" s="345" t="str">
        <f t="shared" si="386"/>
        <v/>
      </c>
      <c r="P6783" s="361"/>
      <c r="Q6783" s="327"/>
      <c r="R6783" s="361"/>
      <c r="S6783" s="361"/>
      <c r="T6783" s="361"/>
      <c r="U6783" s="329" t="str">
        <f>IF($N6783=$N$4,IFERROR(INDEX(DanhMuc!$E$154:$E$165,MATCH(MID($B6783,4,2),DanhMuc!$B$154:$B$165,0)),""),"")</f>
        <v/>
      </c>
      <c r="V6783" s="361"/>
      <c r="W6783" s="345"/>
      <c r="X6783" s="365"/>
      <c r="Y6783" s="1128" t="s">
        <v>3380</v>
      </c>
      <c r="Z6783" s="1128" t="s">
        <v>3381</v>
      </c>
      <c r="AA6783" s="1128" t="s">
        <v>3384</v>
      </c>
    </row>
    <row r="6784" spans="1:27" ht="26">
      <c r="A6784" s="327">
        <f>IF(AND($B6784&lt;&gt;"",$C6784&lt;&gt;""),MAX($A$6492:$A6772)+1,"")</f>
        <v>13</v>
      </c>
      <c r="B6784" s="359" t="s">
        <v>219</v>
      </c>
      <c r="C6784" s="360" t="s">
        <v>1542</v>
      </c>
      <c r="D6784" s="327">
        <f>IF($B6784="","",COUNTIF($B$6:$B6784,$B6784))</f>
        <v>30</v>
      </c>
      <c r="E6784" s="361"/>
      <c r="F6784" s="362"/>
      <c r="G6784" s="327" t="s">
        <v>240</v>
      </c>
      <c r="H6784" s="361"/>
      <c r="I6784" s="327">
        <v>1</v>
      </c>
      <c r="J6784" s="361" t="s">
        <v>700</v>
      </c>
      <c r="K6784" s="327"/>
      <c r="L6784" s="389"/>
      <c r="M6784" s="355"/>
      <c r="N6784" s="355" t="str">
        <f t="shared" si="442"/>
        <v>KI</v>
      </c>
      <c r="O6784" s="345" t="str">
        <f t="shared" si="386"/>
        <v/>
      </c>
      <c r="P6784" s="361"/>
      <c r="Q6784" s="327"/>
      <c r="R6784" s="361"/>
      <c r="S6784" s="361"/>
      <c r="T6784" s="361"/>
      <c r="U6784" s="329" t="str">
        <f>IF($N6784=$N$4,IFERROR(INDEX(DanhMuc!$E$154:$E$165,MATCH(MID($B6784,4,2),DanhMuc!$B$154:$B$165,0)),""),"")</f>
        <v/>
      </c>
      <c r="V6784" s="361"/>
      <c r="W6784" s="345"/>
      <c r="X6784" s="365"/>
      <c r="Y6784" s="1128" t="s">
        <v>3380</v>
      </c>
      <c r="Z6784" s="1128" t="s">
        <v>3381</v>
      </c>
      <c r="AA6784" s="1128" t="s">
        <v>3384</v>
      </c>
    </row>
    <row r="6785" spans="1:27" ht="26">
      <c r="A6785" s="327">
        <f>IF(AND($B6785&lt;&gt;"",$C6785&lt;&gt;""),MAX($A$6492:$A6784)+1,"")</f>
        <v>15</v>
      </c>
      <c r="B6785" s="359" t="s">
        <v>220</v>
      </c>
      <c r="C6785" s="360" t="s">
        <v>1543</v>
      </c>
      <c r="D6785" s="327">
        <f>IF($B6785="","",COUNTIF($B$6:$B6785,$B6785))</f>
        <v>31</v>
      </c>
      <c r="E6785" s="361"/>
      <c r="F6785" s="362"/>
      <c r="G6785" s="327" t="s">
        <v>240</v>
      </c>
      <c r="H6785" s="361"/>
      <c r="I6785" s="327">
        <v>2</v>
      </c>
      <c r="J6785" s="361" t="s">
        <v>533</v>
      </c>
      <c r="K6785" s="327"/>
      <c r="L6785" s="389"/>
      <c r="M6785" s="355"/>
      <c r="N6785" s="355" t="str">
        <f t="shared" si="442"/>
        <v>KI</v>
      </c>
      <c r="O6785" s="345" t="str">
        <f t="shared" si="386"/>
        <v/>
      </c>
      <c r="P6785" s="361"/>
      <c r="Q6785" s="327"/>
      <c r="R6785" s="361"/>
      <c r="S6785" s="361"/>
      <c r="T6785" s="361"/>
      <c r="U6785" s="329" t="str">
        <f>IF($N6785=$N$4,IFERROR(INDEX(DanhMuc!$E$154:$E$165,MATCH(MID($B6785,4,2),DanhMuc!$B$154:$B$165,0)),""),"")</f>
        <v/>
      </c>
      <c r="V6785" s="361"/>
      <c r="W6785" s="345"/>
      <c r="X6785" s="365"/>
      <c r="Y6785" s="1128" t="s">
        <v>3380</v>
      </c>
      <c r="Z6785" s="1128" t="s">
        <v>3381</v>
      </c>
      <c r="AA6785" s="1128" t="s">
        <v>3384</v>
      </c>
    </row>
    <row r="6786" spans="1:27" ht="26">
      <c r="A6786" s="327">
        <f>IF(AND($B6786&lt;&gt;"",$C6786&lt;&gt;""),MAX($A$6492:$A6785)+1,"")</f>
        <v>16</v>
      </c>
      <c r="B6786" s="359" t="s">
        <v>713</v>
      </c>
      <c r="C6786" s="360" t="s">
        <v>1544</v>
      </c>
      <c r="D6786" s="327">
        <f>IF($B6786="","",COUNTIF($B$6:$B6786,$B6786))</f>
        <v>32</v>
      </c>
      <c r="E6786" s="361"/>
      <c r="F6786" s="362"/>
      <c r="G6786" s="327" t="s">
        <v>240</v>
      </c>
      <c r="H6786" s="361"/>
      <c r="I6786" s="327">
        <v>3</v>
      </c>
      <c r="J6786" s="361" t="s">
        <v>722</v>
      </c>
      <c r="K6786" s="327"/>
      <c r="L6786" s="389"/>
      <c r="M6786" s="355"/>
      <c r="N6786" s="355" t="str">
        <f t="shared" si="442"/>
        <v>KI</v>
      </c>
      <c r="O6786" s="345" t="str">
        <f t="shared" si="386"/>
        <v/>
      </c>
      <c r="P6786" s="361"/>
      <c r="Q6786" s="327"/>
      <c r="R6786" s="361"/>
      <c r="S6786" s="361"/>
      <c r="T6786" s="361"/>
      <c r="U6786" s="329" t="str">
        <f>IF($N6786=$N$4,IFERROR(INDEX(DanhMuc!$E$154:$E$165,MATCH(MID($B6786,4,2),DanhMuc!$B$154:$B$165,0)),""),"")</f>
        <v/>
      </c>
      <c r="V6786" s="361"/>
      <c r="W6786" s="345"/>
      <c r="X6786" s="365"/>
      <c r="Y6786" s="1128" t="s">
        <v>3380</v>
      </c>
      <c r="Z6786" s="1128" t="s">
        <v>3381</v>
      </c>
      <c r="AA6786" s="1128" t="s">
        <v>3384</v>
      </c>
    </row>
    <row r="6787" spans="1:27" ht="26">
      <c r="A6787" s="327">
        <f>IF(AND($B6787&lt;&gt;"",$C6787&lt;&gt;""),MAX($A$6492:$A6786)+1,"")</f>
        <v>17</v>
      </c>
      <c r="B6787" s="359" t="s">
        <v>221</v>
      </c>
      <c r="C6787" s="360" t="s">
        <v>1545</v>
      </c>
      <c r="D6787" s="327">
        <f>IF($B6787="","",COUNTIF($B$6:$B6787,$B6787))</f>
        <v>32</v>
      </c>
      <c r="E6787" s="361"/>
      <c r="F6787" s="362"/>
      <c r="G6787" s="327" t="s">
        <v>240</v>
      </c>
      <c r="H6787" s="361"/>
      <c r="I6787" s="327">
        <v>4</v>
      </c>
      <c r="J6787" s="361" t="s">
        <v>724</v>
      </c>
      <c r="K6787" s="327"/>
      <c r="L6787" s="389"/>
      <c r="M6787" s="355"/>
      <c r="N6787" s="355" t="str">
        <f t="shared" si="442"/>
        <v>KI</v>
      </c>
      <c r="O6787" s="345" t="str">
        <f t="shared" si="386"/>
        <v/>
      </c>
      <c r="P6787" s="361"/>
      <c r="Q6787" s="327"/>
      <c r="R6787" s="361"/>
      <c r="S6787" s="361"/>
      <c r="T6787" s="361"/>
      <c r="U6787" s="329" t="str">
        <f>IF($N6787=$N$4,IFERROR(INDEX(DanhMuc!$E$154:$E$165,MATCH(MID($B6787,4,2),DanhMuc!$B$154:$B$165,0)),""),"")</f>
        <v/>
      </c>
      <c r="V6787" s="361"/>
      <c r="W6787" s="345"/>
      <c r="X6787" s="365"/>
      <c r="Y6787" s="1128" t="s">
        <v>3380</v>
      </c>
      <c r="Z6787" s="1128" t="s">
        <v>3381</v>
      </c>
      <c r="AA6787" s="1128" t="s">
        <v>3384</v>
      </c>
    </row>
    <row r="6788" spans="1:27" ht="26">
      <c r="A6788" s="327">
        <f>IF(AND($B6788&lt;&gt;"",$C6788&lt;&gt;""),MAX($A$6492:$A6787)+1,"")</f>
        <v>18</v>
      </c>
      <c r="B6788" s="359" t="s">
        <v>218</v>
      </c>
      <c r="C6788" s="360" t="s">
        <v>1546</v>
      </c>
      <c r="D6788" s="327">
        <f>IF($B6788="","",COUNTIF($B$6:$B6788,$B6788))</f>
        <v>30</v>
      </c>
      <c r="E6788" s="361"/>
      <c r="F6788" s="362"/>
      <c r="G6788" s="327" t="s">
        <v>240</v>
      </c>
      <c r="H6788" s="361"/>
      <c r="I6788" s="327">
        <v>1</v>
      </c>
      <c r="J6788" s="361" t="s">
        <v>725</v>
      </c>
      <c r="K6788" s="327"/>
      <c r="L6788" s="389"/>
      <c r="M6788" s="355"/>
      <c r="N6788" s="355" t="str">
        <f t="shared" si="442"/>
        <v>KI</v>
      </c>
      <c r="O6788" s="345" t="str">
        <f t="shared" si="386"/>
        <v/>
      </c>
      <c r="P6788" s="361"/>
      <c r="Q6788" s="327"/>
      <c r="R6788" s="361"/>
      <c r="S6788" s="361"/>
      <c r="T6788" s="361"/>
      <c r="U6788" s="329" t="str">
        <f>IF($N6788=$N$4,IFERROR(INDEX(DanhMuc!$E$154:$E$165,MATCH(MID($B6788,4,2),DanhMuc!$B$154:$B$165,0)),""),"")</f>
        <v/>
      </c>
      <c r="V6788" s="361"/>
      <c r="W6788" s="345"/>
      <c r="X6788" s="365"/>
      <c r="Y6788" s="1128" t="s">
        <v>3380</v>
      </c>
      <c r="Z6788" s="1128" t="s">
        <v>3381</v>
      </c>
      <c r="AA6788" s="1128" t="s">
        <v>3384</v>
      </c>
    </row>
    <row r="6789" spans="1:27" ht="26">
      <c r="A6789" s="327">
        <f>IF(AND($B6789&lt;&gt;"",$C6789&lt;&gt;""),MAX($A$6492:$A6788)+1,"")</f>
        <v>19</v>
      </c>
      <c r="B6789" s="359" t="s">
        <v>734</v>
      </c>
      <c r="C6789" s="360" t="s">
        <v>1547</v>
      </c>
      <c r="D6789" s="327">
        <f>IF($B6789="","",COUNTIF($B$6:$B6789,$B6789))</f>
        <v>31</v>
      </c>
      <c r="E6789" s="361"/>
      <c r="F6789" s="362"/>
      <c r="G6789" s="327" t="s">
        <v>240</v>
      </c>
      <c r="H6789" s="361"/>
      <c r="I6789" s="327">
        <v>2</v>
      </c>
      <c r="J6789" s="361" t="s">
        <v>747</v>
      </c>
      <c r="K6789" s="327"/>
      <c r="L6789" s="389"/>
      <c r="M6789" s="355"/>
      <c r="N6789" s="355" t="str">
        <f t="shared" si="442"/>
        <v>KI</v>
      </c>
      <c r="O6789" s="345" t="str">
        <f t="shared" si="386"/>
        <v/>
      </c>
      <c r="P6789" s="361"/>
      <c r="Q6789" s="327"/>
      <c r="R6789" s="361"/>
      <c r="S6789" s="361"/>
      <c r="T6789" s="361"/>
      <c r="U6789" s="329" t="str">
        <f>IF($N6789=$N$4,IFERROR(INDEX(DanhMuc!$E$154:$E$165,MATCH(MID($B6789,4,2),DanhMuc!$B$154:$B$165,0)),""),"")</f>
        <v/>
      </c>
      <c r="V6789" s="361"/>
      <c r="W6789" s="345"/>
      <c r="X6789" s="365"/>
      <c r="Y6789" s="1128" t="s">
        <v>3380</v>
      </c>
      <c r="Z6789" s="1128" t="s">
        <v>3381</v>
      </c>
      <c r="AA6789" s="1128" t="s">
        <v>3384</v>
      </c>
    </row>
    <row r="6790" spans="1:27" ht="26">
      <c r="A6790" s="327">
        <f>IF(AND($B6790&lt;&gt;"",$C6790&lt;&gt;""),MAX($A$6492:$A6789)+1,"")</f>
        <v>20</v>
      </c>
      <c r="B6790" s="359" t="s">
        <v>589</v>
      </c>
      <c r="C6790" s="360" t="s">
        <v>1554</v>
      </c>
      <c r="D6790" s="327">
        <f>IF($B6790="","",COUNTIF($B$6:$B6790,$B6790))</f>
        <v>26</v>
      </c>
      <c r="E6790" s="361"/>
      <c r="F6790" s="362"/>
      <c r="G6790" s="327" t="s">
        <v>240</v>
      </c>
      <c r="H6790" s="361"/>
      <c r="I6790" s="327">
        <v>2</v>
      </c>
      <c r="J6790" s="361" t="s">
        <v>1191</v>
      </c>
      <c r="K6790" s="327"/>
      <c r="L6790" s="389"/>
      <c r="M6790" s="355"/>
      <c r="N6790" s="355" t="str">
        <f t="shared" si="442"/>
        <v>KI</v>
      </c>
      <c r="O6790" s="345" t="str">
        <f t="shared" si="386"/>
        <v/>
      </c>
      <c r="P6790" s="361"/>
      <c r="Q6790" s="327"/>
      <c r="R6790" s="361"/>
      <c r="S6790" s="361"/>
      <c r="T6790" s="361"/>
      <c r="U6790" s="329" t="str">
        <f>IF($N6790=$N$4,IFERROR(INDEX(DanhMuc!$E$154:$E$165,MATCH(MID($B6790,4,2),DanhMuc!$B$154:$B$165,0)),""),"")</f>
        <v/>
      </c>
      <c r="V6790" s="361"/>
      <c r="W6790" s="345"/>
      <c r="X6790" s="365"/>
      <c r="Y6790" s="1128" t="s">
        <v>3380</v>
      </c>
      <c r="Z6790" s="1128" t="s">
        <v>3381</v>
      </c>
      <c r="AA6790" s="1128" t="s">
        <v>3384</v>
      </c>
    </row>
    <row r="6791" spans="1:27" ht="39">
      <c r="A6791" s="327">
        <f>IF(AND($B6791&lt;&gt;"",$C6791&lt;&gt;""),MAX($A$6492:$A6790)+1,"")</f>
        <v>21</v>
      </c>
      <c r="B6791" s="359" t="s">
        <v>3199</v>
      </c>
      <c r="C6791" s="360" t="s">
        <v>3179</v>
      </c>
      <c r="D6791" s="327">
        <f>IF($B6791="","",COUNTIF($B$6:$B6791,$B6791))</f>
        <v>20</v>
      </c>
      <c r="E6791" s="361"/>
      <c r="F6791" s="362"/>
      <c r="G6791" s="327" t="s">
        <v>240</v>
      </c>
      <c r="H6791" s="361"/>
      <c r="I6791" s="327">
        <v>2</v>
      </c>
      <c r="J6791" s="361" t="s">
        <v>3203</v>
      </c>
      <c r="K6791" s="327"/>
      <c r="L6791" s="389"/>
      <c r="M6791" s="355"/>
      <c r="N6791" s="355" t="str">
        <f t="shared" si="442"/>
        <v>KI</v>
      </c>
      <c r="O6791" s="345" t="str">
        <f t="shared" si="386"/>
        <v/>
      </c>
      <c r="P6791" s="361"/>
      <c r="Q6791" s="327"/>
      <c r="R6791" s="361"/>
      <c r="S6791" s="361"/>
      <c r="T6791" s="361"/>
      <c r="U6791" s="329" t="str">
        <f>IF($N6791=$N$4,IFERROR(INDEX(DanhMuc!$E$154:$E$165,MATCH(MID($B6791,4,2),DanhMuc!$B$154:$B$165,0)),""),"")</f>
        <v/>
      </c>
      <c r="V6791" s="361"/>
      <c r="W6791" s="345"/>
      <c r="X6791" s="365"/>
      <c r="Y6791" s="1128" t="s">
        <v>3380</v>
      </c>
      <c r="Z6791" s="1128" t="s">
        <v>3381</v>
      </c>
      <c r="AA6791" s="1128" t="s">
        <v>3384</v>
      </c>
    </row>
    <row r="6792" spans="1:27" ht="12.5">
      <c r="A6792" s="327" t="str">
        <f>IF(AND($B6792&lt;&gt;"",$C6792&lt;&gt;""),MAX($A$6492:$A6791)+1,"")</f>
        <v/>
      </c>
      <c r="B6792" s="361" t="s">
        <v>3199</v>
      </c>
      <c r="C6792" s="362"/>
      <c r="D6792" s="327">
        <f>IF($B6792="","",COUNTIF($B$6:$B6792,$B6792))</f>
        <v>21</v>
      </c>
      <c r="E6792" s="361"/>
      <c r="F6792" s="362"/>
      <c r="G6792" s="327" t="s">
        <v>240</v>
      </c>
      <c r="H6792" s="361"/>
      <c r="I6792" s="327">
        <v>1</v>
      </c>
      <c r="J6792" s="361" t="s">
        <v>3204</v>
      </c>
      <c r="K6792" s="327"/>
      <c r="L6792" s="389"/>
      <c r="M6792" s="355"/>
      <c r="N6792" s="355" t="str">
        <f t="shared" si="442"/>
        <v>KI</v>
      </c>
      <c r="O6792" s="365" t="str">
        <f t="shared" ref="O6792" si="444">IF($E6792="","",IF(VALUE(MID($E6792,3,2))&gt;=20,20,IF(AND(10&lt;VALUE(MID($E6792,3,2)),VALUE(MID($E6792,3,2))&lt;20),19,10)))</f>
        <v/>
      </c>
      <c r="P6792" s="361"/>
      <c r="Q6792" s="327"/>
      <c r="R6792" s="361"/>
      <c r="S6792" s="361"/>
      <c r="T6792" s="361"/>
      <c r="U6792" s="329" t="str">
        <f>IF($N6792=$N$4,IFERROR(INDEX(DanhMuc!$E$154:$E$165,MATCH(MID($B6792,4,2),DanhMuc!$B$154:$B$165,0)),""),"")</f>
        <v/>
      </c>
      <c r="V6792" s="361"/>
      <c r="W6792" s="365"/>
      <c r="X6792" s="365"/>
      <c r="Y6792" s="1128" t="s">
        <v>3380</v>
      </c>
      <c r="Z6792" s="1128" t="s">
        <v>3381</v>
      </c>
      <c r="AA6792" s="1128" t="s">
        <v>3384</v>
      </c>
    </row>
    <row r="6793" spans="1:27" ht="26">
      <c r="A6793" s="327">
        <f>IF(AND($B6793&lt;&gt;"",$C6793&lt;&gt;""),MAX($A$6492:$A6790)+1,"")</f>
        <v>21</v>
      </c>
      <c r="B6793" s="359" t="s">
        <v>590</v>
      </c>
      <c r="C6793" s="360" t="s">
        <v>1550</v>
      </c>
      <c r="D6793" s="327">
        <f>IF($B6793="","",COUNTIF($B$6:$B6793,$B6793))</f>
        <v>27</v>
      </c>
      <c r="E6793" s="361"/>
      <c r="F6793" s="362"/>
      <c r="G6793" s="327" t="s">
        <v>240</v>
      </c>
      <c r="H6793" s="361"/>
      <c r="I6793" s="327">
        <v>4</v>
      </c>
      <c r="J6793" s="361" t="s">
        <v>1192</v>
      </c>
      <c r="K6793" s="327"/>
      <c r="L6793" s="389"/>
      <c r="M6793" s="355"/>
      <c r="N6793" s="355" t="str">
        <f t="shared" ref="N6793:N6828" si="445">+$N$6492</f>
        <v>KI</v>
      </c>
      <c r="O6793" s="345" t="str">
        <f t="shared" si="386"/>
        <v/>
      </c>
      <c r="P6793" s="361"/>
      <c r="Q6793" s="327"/>
      <c r="R6793" s="361"/>
      <c r="S6793" s="361"/>
      <c r="T6793" s="361"/>
      <c r="U6793" s="329" t="str">
        <f>IF($N6793=$N$4,IFERROR(INDEX(DanhMuc!$E$154:$E$165,MATCH(MID($B6793,4,2),DanhMuc!$B$154:$B$165,0)),""),"")</f>
        <v/>
      </c>
      <c r="V6793" s="361"/>
      <c r="W6793" s="345"/>
      <c r="X6793" s="365"/>
      <c r="Y6793" s="1128" t="s">
        <v>3380</v>
      </c>
      <c r="Z6793" s="1128" t="s">
        <v>3381</v>
      </c>
      <c r="AA6793" s="1128" t="s">
        <v>3384</v>
      </c>
    </row>
    <row r="6794" spans="1:27" ht="26">
      <c r="A6794" s="327">
        <f>IF(AND($B6794&lt;&gt;"",$C6794&lt;&gt;""),MAX($A$6492:$A6793)+1,"")</f>
        <v>22</v>
      </c>
      <c r="B6794" s="359" t="s">
        <v>591</v>
      </c>
      <c r="C6794" s="360" t="s">
        <v>1555</v>
      </c>
      <c r="D6794" s="327">
        <f>IF($B6794="","",COUNTIF($B$6:$B6794,$B6794))</f>
        <v>18</v>
      </c>
      <c r="E6794" s="361"/>
      <c r="F6794" s="362"/>
      <c r="G6794" s="327" t="s">
        <v>240</v>
      </c>
      <c r="H6794" s="361"/>
      <c r="I6794" s="327">
        <v>2</v>
      </c>
      <c r="J6794" s="361" t="s">
        <v>1829</v>
      </c>
      <c r="K6794" s="327"/>
      <c r="L6794" s="389"/>
      <c r="M6794" s="355"/>
      <c r="N6794" s="355" t="str">
        <f t="shared" si="445"/>
        <v>KI</v>
      </c>
      <c r="O6794" s="345" t="str">
        <f t="shared" si="386"/>
        <v/>
      </c>
      <c r="P6794" s="361"/>
      <c r="Q6794" s="327"/>
      <c r="R6794" s="361"/>
      <c r="S6794" s="361"/>
      <c r="T6794" s="361"/>
      <c r="U6794" s="329" t="str">
        <f>IF($N6794=$N$4,IFERROR(INDEX(DanhMuc!$E$154:$E$165,MATCH(MID($B6794,4,2),DanhMuc!$B$154:$B$165,0)),""),"")</f>
        <v/>
      </c>
      <c r="V6794" s="361"/>
      <c r="W6794" s="345"/>
      <c r="X6794" s="365"/>
      <c r="Y6794" s="1128" t="s">
        <v>3380</v>
      </c>
      <c r="Z6794" s="1128" t="s">
        <v>3381</v>
      </c>
      <c r="AA6794" s="1128" t="s">
        <v>3384</v>
      </c>
    </row>
    <row r="6795" spans="1:27" ht="39">
      <c r="A6795" s="327">
        <f>IF(AND($B6795&lt;&gt;"",$C6795&lt;&gt;""),MAX($A$6492:$A6794)+1,"")</f>
        <v>23</v>
      </c>
      <c r="B6795" s="359" t="s">
        <v>760</v>
      </c>
      <c r="C6795" s="360" t="s">
        <v>1533</v>
      </c>
      <c r="D6795" s="327">
        <f>IF($B6795="","",COUNTIF($B$6:$B6795,$B6795))</f>
        <v>20</v>
      </c>
      <c r="E6795" s="361"/>
      <c r="F6795" s="362"/>
      <c r="G6795" s="327" t="s">
        <v>240</v>
      </c>
      <c r="H6795" s="361"/>
      <c r="I6795" s="327">
        <v>2</v>
      </c>
      <c r="J6795" s="361" t="s">
        <v>758</v>
      </c>
      <c r="K6795" s="327"/>
      <c r="L6795" s="389"/>
      <c r="M6795" s="355"/>
      <c r="N6795" s="355" t="str">
        <f t="shared" si="445"/>
        <v>KI</v>
      </c>
      <c r="O6795" s="345" t="str">
        <f t="shared" si="386"/>
        <v/>
      </c>
      <c r="P6795" s="361"/>
      <c r="Q6795" s="327"/>
      <c r="R6795" s="361"/>
      <c r="S6795" s="361"/>
      <c r="T6795" s="361"/>
      <c r="U6795" s="329" t="str">
        <f>IF($N6795=$N$4,IFERROR(INDEX(DanhMuc!$E$154:$E$165,MATCH(MID($B6795,4,2),DanhMuc!$B$154:$B$165,0)),""),"")</f>
        <v/>
      </c>
      <c r="V6795" s="361"/>
      <c r="W6795" s="345"/>
      <c r="X6795" s="365"/>
      <c r="Y6795" s="1128" t="s">
        <v>3380</v>
      </c>
      <c r="Z6795" s="1128" t="s">
        <v>3381</v>
      </c>
      <c r="AA6795" s="1128" t="s">
        <v>3384</v>
      </c>
    </row>
    <row r="6796" spans="1:27" ht="12.5">
      <c r="A6796" s="327" t="str">
        <f>IF(AND($B6796&lt;&gt;"",$C6796&lt;&gt;""),MAX($A$6492:$A6795)+1,"")</f>
        <v/>
      </c>
      <c r="B6796" s="361" t="s">
        <v>760</v>
      </c>
      <c r="C6796" s="362"/>
      <c r="D6796" s="327">
        <f>IF($B6796="","",COUNTIF($B$6:$B6796,$B6796))</f>
        <v>21</v>
      </c>
      <c r="E6796" s="361"/>
      <c r="F6796" s="362"/>
      <c r="G6796" s="327" t="s">
        <v>240</v>
      </c>
      <c r="H6796" s="361"/>
      <c r="I6796" s="327">
        <v>1</v>
      </c>
      <c r="J6796" s="361" t="s">
        <v>759</v>
      </c>
      <c r="K6796" s="327"/>
      <c r="L6796" s="389"/>
      <c r="M6796" s="355"/>
      <c r="N6796" s="355" t="str">
        <f t="shared" si="445"/>
        <v>KI</v>
      </c>
      <c r="O6796" s="365" t="str">
        <f t="shared" si="386"/>
        <v/>
      </c>
      <c r="P6796" s="361"/>
      <c r="Q6796" s="327"/>
      <c r="R6796" s="361"/>
      <c r="S6796" s="361"/>
      <c r="T6796" s="361"/>
      <c r="U6796" s="329" t="str">
        <f>IF($N6796=$N$4,IFERROR(INDEX(DanhMuc!$E$154:$E$165,MATCH(MID($B6796,4,2),DanhMuc!$B$154:$B$165,0)),""),"")</f>
        <v/>
      </c>
      <c r="V6796" s="361"/>
      <c r="W6796" s="365"/>
      <c r="X6796" s="365"/>
      <c r="Y6796" s="1128" t="s">
        <v>3380</v>
      </c>
      <c r="Z6796" s="1128" t="s">
        <v>3381</v>
      </c>
      <c r="AA6796" s="1128" t="s">
        <v>3384</v>
      </c>
    </row>
    <row r="6797" spans="1:27" ht="39">
      <c r="A6797" s="327">
        <f>IF(AND($B6797&lt;&gt;"",$C6797&lt;&gt;""),MAX($A$6492:$A6796)+1,"")</f>
        <v>24</v>
      </c>
      <c r="B6797" s="359" t="s">
        <v>3214</v>
      </c>
      <c r="C6797" s="360" t="s">
        <v>3171</v>
      </c>
      <c r="D6797" s="327">
        <f>IF($B6797="","",COUNTIF($B$6:$B6797,$B6797))</f>
        <v>20</v>
      </c>
      <c r="E6797" s="361"/>
      <c r="F6797" s="362"/>
      <c r="G6797" s="327" t="s">
        <v>240</v>
      </c>
      <c r="H6797" s="361"/>
      <c r="I6797" s="327">
        <v>2</v>
      </c>
      <c r="J6797" s="361" t="s">
        <v>3167</v>
      </c>
      <c r="K6797" s="327"/>
      <c r="L6797" s="389"/>
      <c r="M6797" s="355"/>
      <c r="N6797" s="355" t="str">
        <f t="shared" si="445"/>
        <v>KI</v>
      </c>
      <c r="O6797" s="345" t="str">
        <f t="shared" si="386"/>
        <v/>
      </c>
      <c r="P6797" s="361"/>
      <c r="Q6797" s="327"/>
      <c r="R6797" s="361"/>
      <c r="S6797" s="361"/>
      <c r="T6797" s="361"/>
      <c r="U6797" s="329" t="str">
        <f>IF($N6797=$N$4,IFERROR(INDEX(DanhMuc!$E$154:$E$165,MATCH(MID($B6797,4,2),DanhMuc!$B$154:$B$165,0)),""),"")</f>
        <v/>
      </c>
      <c r="V6797" s="361"/>
      <c r="W6797" s="345"/>
      <c r="X6797" s="365"/>
      <c r="Y6797" s="1128" t="s">
        <v>3380</v>
      </c>
      <c r="Z6797" s="1128" t="s">
        <v>3381</v>
      </c>
      <c r="AA6797" s="1128" t="s">
        <v>3384</v>
      </c>
    </row>
    <row r="6798" spans="1:27" ht="12.5">
      <c r="A6798" s="327" t="str">
        <f>IF(AND($B6798&lt;&gt;"",$C6798&lt;&gt;""),MAX($A$6492:$A6797)+1,"")</f>
        <v/>
      </c>
      <c r="B6798" s="361" t="s">
        <v>3214</v>
      </c>
      <c r="C6798" s="362"/>
      <c r="D6798" s="327">
        <f>IF($B6798="","",COUNTIF($B$6:$B6798,$B6798))</f>
        <v>21</v>
      </c>
      <c r="E6798" s="361"/>
      <c r="F6798" s="362"/>
      <c r="G6798" s="327" t="s">
        <v>240</v>
      </c>
      <c r="H6798" s="361"/>
      <c r="I6798" s="327">
        <v>1</v>
      </c>
      <c r="J6798" s="361" t="s">
        <v>3168</v>
      </c>
      <c r="K6798" s="327"/>
      <c r="L6798" s="389"/>
      <c r="M6798" s="355"/>
      <c r="N6798" s="355" t="str">
        <f t="shared" si="445"/>
        <v>KI</v>
      </c>
      <c r="O6798" s="365" t="str">
        <f t="shared" si="386"/>
        <v/>
      </c>
      <c r="P6798" s="361"/>
      <c r="Q6798" s="327"/>
      <c r="R6798" s="361"/>
      <c r="S6798" s="361"/>
      <c r="T6798" s="361"/>
      <c r="U6798" s="329" t="str">
        <f>IF($N6798=$N$4,IFERROR(INDEX(DanhMuc!$E$154:$E$165,MATCH(MID($B6798,4,2),DanhMuc!$B$154:$B$165,0)),""),"")</f>
        <v/>
      </c>
      <c r="V6798" s="361"/>
      <c r="W6798" s="365"/>
      <c r="X6798" s="365"/>
      <c r="Y6798" s="1128" t="s">
        <v>3380</v>
      </c>
      <c r="Z6798" s="1128" t="s">
        <v>3381</v>
      </c>
      <c r="AA6798" s="1128" t="s">
        <v>3384</v>
      </c>
    </row>
    <row r="6799" spans="1:27" ht="26">
      <c r="A6799" s="327">
        <f>IF(AND($B6799&lt;&gt;"",$C6799&lt;&gt;""),MAX($A$6492:$A6794)+1,"")</f>
        <v>23</v>
      </c>
      <c r="B6799" s="359" t="s">
        <v>592</v>
      </c>
      <c r="C6799" s="360" t="s">
        <v>1549</v>
      </c>
      <c r="D6799" s="327">
        <f>IF($B6799="","",COUNTIF($B$6:$B6799,$B6799))</f>
        <v>19</v>
      </c>
      <c r="E6799" s="361"/>
      <c r="F6799" s="362"/>
      <c r="G6799" s="327" t="s">
        <v>240</v>
      </c>
      <c r="H6799" s="361"/>
      <c r="I6799" s="327">
        <v>4</v>
      </c>
      <c r="J6799" s="361" t="s">
        <v>744</v>
      </c>
      <c r="K6799" s="327"/>
      <c r="L6799" s="389"/>
      <c r="M6799" s="355"/>
      <c r="N6799" s="355" t="str">
        <f t="shared" si="445"/>
        <v>KI</v>
      </c>
      <c r="O6799" s="345" t="str">
        <f t="shared" si="386"/>
        <v/>
      </c>
      <c r="P6799" s="361"/>
      <c r="Q6799" s="327"/>
      <c r="R6799" s="361"/>
      <c r="S6799" s="361"/>
      <c r="T6799" s="361"/>
      <c r="U6799" s="329" t="str">
        <f>IF($N6799=$N$4,IFERROR(INDEX(DanhMuc!$E$154:$E$165,MATCH(MID($B6799,4,2),DanhMuc!$B$154:$B$165,0)),""),"")</f>
        <v/>
      </c>
      <c r="V6799" s="361"/>
      <c r="W6799" s="345"/>
      <c r="X6799" s="365"/>
      <c r="Y6799" s="1128" t="s">
        <v>3380</v>
      </c>
      <c r="Z6799" s="1128" t="s">
        <v>3381</v>
      </c>
      <c r="AA6799" s="1128" t="s">
        <v>3384</v>
      </c>
    </row>
    <row r="6800" spans="1:27" ht="26">
      <c r="A6800" s="327">
        <f>IF(AND($B6800&lt;&gt;"",$C6800&lt;&gt;""),MAX($A$6492:$A6799)+1,"")</f>
        <v>25</v>
      </c>
      <c r="B6800" s="359" t="s">
        <v>222</v>
      </c>
      <c r="C6800" s="360" t="s">
        <v>1551</v>
      </c>
      <c r="D6800" s="327">
        <f>IF($B6800="","",COUNTIF($B$6:$B6800,$B6800))</f>
        <v>24</v>
      </c>
      <c r="E6800" s="361"/>
      <c r="F6800" s="362"/>
      <c r="G6800" s="327" t="s">
        <v>240</v>
      </c>
      <c r="H6800" s="361"/>
      <c r="I6800" s="327">
        <v>1</v>
      </c>
      <c r="J6800" s="361" t="s">
        <v>941</v>
      </c>
      <c r="K6800" s="327"/>
      <c r="L6800" s="389"/>
      <c r="M6800" s="355"/>
      <c r="N6800" s="355" t="str">
        <f t="shared" si="445"/>
        <v>KI</v>
      </c>
      <c r="O6800" s="345" t="str">
        <f t="shared" si="386"/>
        <v/>
      </c>
      <c r="P6800" s="361"/>
      <c r="Q6800" s="327"/>
      <c r="R6800" s="361"/>
      <c r="S6800" s="361"/>
      <c r="T6800" s="361"/>
      <c r="U6800" s="329" t="str">
        <f>IF($N6800=$N$4,IFERROR(INDEX(DanhMuc!$E$154:$E$165,MATCH(MID($B6800,4,2),DanhMuc!$B$154:$B$165,0)),""),"")</f>
        <v/>
      </c>
      <c r="V6800" s="361"/>
      <c r="W6800" s="345"/>
      <c r="X6800" s="365"/>
      <c r="Y6800" s="1128" t="s">
        <v>3380</v>
      </c>
      <c r="Z6800" s="1128" t="s">
        <v>3381</v>
      </c>
      <c r="AA6800" s="1128" t="s">
        <v>3384</v>
      </c>
    </row>
    <row r="6801" spans="1:27" ht="26">
      <c r="A6801" s="327">
        <f>IF(AND($B6801&lt;&gt;"",$C6801&lt;&gt;""),MAX($A$6492:$A6800)+1,"")</f>
        <v>26</v>
      </c>
      <c r="B6801" s="359" t="s">
        <v>2344</v>
      </c>
      <c r="C6801" s="360" t="s">
        <v>2345</v>
      </c>
      <c r="D6801" s="327">
        <f>IF($B6801="","",COUNTIF($B$6:$B6801,$B6801))</f>
        <v>13</v>
      </c>
      <c r="E6801" s="361"/>
      <c r="F6801" s="362"/>
      <c r="G6801" s="327" t="s">
        <v>240</v>
      </c>
      <c r="H6801" s="361"/>
      <c r="I6801" s="327">
        <v>1</v>
      </c>
      <c r="J6801" s="361" t="s">
        <v>2353</v>
      </c>
      <c r="K6801" s="327"/>
      <c r="L6801" s="389"/>
      <c r="M6801" s="355"/>
      <c r="N6801" s="355" t="str">
        <f t="shared" si="445"/>
        <v>KI</v>
      </c>
      <c r="O6801" s="345" t="str">
        <f t="shared" si="386"/>
        <v/>
      </c>
      <c r="P6801" s="361"/>
      <c r="Q6801" s="327"/>
      <c r="R6801" s="361"/>
      <c r="S6801" s="361"/>
      <c r="T6801" s="361"/>
      <c r="U6801" s="329" t="str">
        <f>IF($N6801=$N$4,IFERROR(INDEX(DanhMuc!$E$154:$E$165,MATCH(MID($B6801,4,2),DanhMuc!$B$154:$B$165,0)),""),"")</f>
        <v/>
      </c>
      <c r="V6801" s="361"/>
      <c r="W6801" s="345"/>
      <c r="X6801" s="365"/>
      <c r="Y6801" s="1128" t="s">
        <v>3380</v>
      </c>
      <c r="Z6801" s="1128" t="s">
        <v>3381</v>
      </c>
      <c r="AA6801" s="1128" t="s">
        <v>3384</v>
      </c>
    </row>
    <row r="6802" spans="1:27" ht="39">
      <c r="A6802" s="327">
        <f>IF(AND($B6802&lt;&gt;"",$C6802&lt;&gt;""),MAX($A$6492:$A6799)+1,"")</f>
        <v>25</v>
      </c>
      <c r="B6802" s="359" t="s">
        <v>1821</v>
      </c>
      <c r="C6802" s="360" t="s">
        <v>1822</v>
      </c>
      <c r="D6802" s="327">
        <f>IF($B6802="","",COUNTIF($B$6:$B6802,$B6802))</f>
        <v>32</v>
      </c>
      <c r="E6802" s="361"/>
      <c r="F6802" s="362"/>
      <c r="G6802" s="327" t="s">
        <v>240</v>
      </c>
      <c r="H6802" s="361"/>
      <c r="I6802" s="327">
        <v>1</v>
      </c>
      <c r="J6802" s="361" t="s">
        <v>2837</v>
      </c>
      <c r="K6802" s="327"/>
      <c r="L6802" s="389"/>
      <c r="M6802" s="355"/>
      <c r="N6802" s="355" t="str">
        <f t="shared" si="445"/>
        <v>KI</v>
      </c>
      <c r="O6802" s="345" t="str">
        <f t="shared" si="386"/>
        <v/>
      </c>
      <c r="P6802" s="361"/>
      <c r="Q6802" s="327"/>
      <c r="R6802" s="361"/>
      <c r="S6802" s="361"/>
      <c r="T6802" s="361"/>
      <c r="U6802" s="329" t="str">
        <f>IF($N6802=$N$4,IFERROR(INDEX(DanhMuc!$E$154:$E$165,MATCH(MID($B6802,4,2),DanhMuc!$B$154:$B$165,0)),""),"")</f>
        <v/>
      </c>
      <c r="V6802" s="361"/>
      <c r="W6802" s="345"/>
      <c r="X6802" s="365"/>
      <c r="Y6802" s="1128" t="s">
        <v>3380</v>
      </c>
      <c r="Z6802" s="1128" t="s">
        <v>3381</v>
      </c>
      <c r="AA6802" s="1128" t="s">
        <v>3384</v>
      </c>
    </row>
    <row r="6803" spans="1:27" ht="39">
      <c r="A6803" s="327">
        <f>IF(AND($B6803&lt;&gt;"",$C6803&lt;&gt;""),MAX($A$6492:$A6802)+1,"")</f>
        <v>27</v>
      </c>
      <c r="B6803" s="359" t="s">
        <v>1849</v>
      </c>
      <c r="C6803" s="360" t="s">
        <v>1876</v>
      </c>
      <c r="D6803" s="327">
        <f>IF($B6803="","",COUNTIF($B$6:$B6803,$B6803))</f>
        <v>33</v>
      </c>
      <c r="E6803" s="361"/>
      <c r="F6803" s="362"/>
      <c r="G6803" s="327" t="s">
        <v>240</v>
      </c>
      <c r="H6803" s="361"/>
      <c r="I6803" s="327">
        <v>2</v>
      </c>
      <c r="J6803" s="361" t="s">
        <v>2811</v>
      </c>
      <c r="K6803" s="327"/>
      <c r="L6803" s="389"/>
      <c r="M6803" s="355"/>
      <c r="N6803" s="355" t="str">
        <f t="shared" si="445"/>
        <v>KI</v>
      </c>
      <c r="O6803" s="345" t="str">
        <f t="shared" si="386"/>
        <v/>
      </c>
      <c r="P6803" s="361"/>
      <c r="Q6803" s="327"/>
      <c r="R6803" s="361"/>
      <c r="S6803" s="361"/>
      <c r="T6803" s="361"/>
      <c r="U6803" s="329" t="str">
        <f>IF($N6803=$N$4,IFERROR(INDEX(DanhMuc!$E$154:$E$165,MATCH(MID($B6803,4,2),DanhMuc!$B$154:$B$165,0)),""),"")</f>
        <v/>
      </c>
      <c r="V6803" s="361"/>
      <c r="W6803" s="345"/>
      <c r="X6803" s="365"/>
      <c r="Y6803" s="1128" t="s">
        <v>3380</v>
      </c>
      <c r="Z6803" s="1128" t="s">
        <v>3381</v>
      </c>
      <c r="AA6803" s="1128" t="s">
        <v>3384</v>
      </c>
    </row>
    <row r="6804" spans="1:27" ht="39">
      <c r="A6804" s="327">
        <f>IF(AND($B6804&lt;&gt;"",$C6804&lt;&gt;""),MAX($A$6492:$A6803)+1,"")</f>
        <v>28</v>
      </c>
      <c r="B6804" s="359" t="s">
        <v>1850</v>
      </c>
      <c r="C6804" s="360" t="s">
        <v>1877</v>
      </c>
      <c r="D6804" s="327">
        <f>IF($B6804="","",COUNTIF($B$6:$B6804,$B6804))</f>
        <v>36</v>
      </c>
      <c r="E6804" s="361"/>
      <c r="F6804" s="362"/>
      <c r="G6804" s="327" t="s">
        <v>240</v>
      </c>
      <c r="H6804" s="361"/>
      <c r="I6804" s="327">
        <v>1</v>
      </c>
      <c r="J6804" s="361" t="s">
        <v>2812</v>
      </c>
      <c r="K6804" s="327"/>
      <c r="L6804" s="389"/>
      <c r="M6804" s="355"/>
      <c r="N6804" s="355" t="str">
        <f t="shared" si="445"/>
        <v>KI</v>
      </c>
      <c r="O6804" s="345" t="str">
        <f t="shared" si="386"/>
        <v/>
      </c>
      <c r="P6804" s="361"/>
      <c r="Q6804" s="327"/>
      <c r="R6804" s="361"/>
      <c r="S6804" s="361"/>
      <c r="T6804" s="361"/>
      <c r="U6804" s="329" t="str">
        <f>IF($N6804=$N$4,IFERROR(INDEX(DanhMuc!$E$154:$E$165,MATCH(MID($B6804,4,2),DanhMuc!$B$154:$B$165,0)),""),"")</f>
        <v/>
      </c>
      <c r="V6804" s="361"/>
      <c r="W6804" s="345"/>
      <c r="X6804" s="365"/>
      <c r="Y6804" s="1128" t="s">
        <v>3380</v>
      </c>
      <c r="Z6804" s="1128" t="s">
        <v>3381</v>
      </c>
      <c r="AA6804" s="1128" t="s">
        <v>3384</v>
      </c>
    </row>
    <row r="6805" spans="1:27">
      <c r="A6805" s="327" t="str">
        <f>IF(AND($B6805&lt;&gt;"",$C6805&lt;&gt;""),MAX($A$6492:$A6804)+1,"")</f>
        <v/>
      </c>
      <c r="B6805" s="361" t="s">
        <v>1850</v>
      </c>
      <c r="C6805" s="360"/>
      <c r="D6805" s="327">
        <f>IF($B6805="","",COUNTIF($B$6:$B6805,$B6805))</f>
        <v>37</v>
      </c>
      <c r="E6805" s="361"/>
      <c r="F6805" s="362"/>
      <c r="G6805" s="327" t="s">
        <v>240</v>
      </c>
      <c r="H6805" s="361"/>
      <c r="I6805" s="327">
        <v>2</v>
      </c>
      <c r="J6805" s="361" t="s">
        <v>2813</v>
      </c>
      <c r="K6805" s="327"/>
      <c r="L6805" s="389"/>
      <c r="M6805" s="355"/>
      <c r="N6805" s="355" t="str">
        <f t="shared" si="445"/>
        <v>KI</v>
      </c>
      <c r="O6805" s="345" t="str">
        <f t="shared" si="386"/>
        <v/>
      </c>
      <c r="P6805" s="361"/>
      <c r="Q6805" s="327"/>
      <c r="R6805" s="361"/>
      <c r="S6805" s="361"/>
      <c r="T6805" s="361"/>
      <c r="U6805" s="329" t="str">
        <f>IF($N6805=$N$4,IFERROR(INDEX(DanhMuc!$E$154:$E$165,MATCH(MID($B6805,4,2),DanhMuc!$B$154:$B$165,0)),""),"")</f>
        <v/>
      </c>
      <c r="V6805" s="361"/>
      <c r="W6805" s="345"/>
      <c r="X6805" s="365"/>
      <c r="Y6805" s="1128" t="s">
        <v>3380</v>
      </c>
      <c r="Z6805" s="1128" t="s">
        <v>3381</v>
      </c>
      <c r="AA6805" s="1128" t="s">
        <v>3384</v>
      </c>
    </row>
    <row r="6806" spans="1:27" ht="39">
      <c r="A6806" s="327">
        <f>IF(AND($B6806&lt;&gt;"",$C6806&lt;&gt;""),MAX($A$6492:$A6805)+1,"")</f>
        <v>29</v>
      </c>
      <c r="B6806" s="359" t="s">
        <v>1851</v>
      </c>
      <c r="C6806" s="360" t="s">
        <v>1878</v>
      </c>
      <c r="D6806" s="327">
        <f>IF($B6806="","",COUNTIF($B$6:$B6806,$B6806))</f>
        <v>39</v>
      </c>
      <c r="E6806" s="361"/>
      <c r="F6806" s="362"/>
      <c r="G6806" s="327" t="s">
        <v>240</v>
      </c>
      <c r="H6806" s="361"/>
      <c r="I6806" s="327">
        <v>2</v>
      </c>
      <c r="J6806" s="361" t="s">
        <v>2814</v>
      </c>
      <c r="K6806" s="327"/>
      <c r="L6806" s="389"/>
      <c r="M6806" s="355"/>
      <c r="N6806" s="355" t="str">
        <f t="shared" si="445"/>
        <v>KI</v>
      </c>
      <c r="O6806" s="345" t="str">
        <f t="shared" si="386"/>
        <v/>
      </c>
      <c r="P6806" s="361"/>
      <c r="Q6806" s="327"/>
      <c r="R6806" s="361"/>
      <c r="S6806" s="361"/>
      <c r="T6806" s="361"/>
      <c r="U6806" s="329" t="str">
        <f>IF($N6806=$N$4,IFERROR(INDEX(DanhMuc!$E$154:$E$165,MATCH(MID($B6806,4,2),DanhMuc!$B$154:$B$165,0)),""),"")</f>
        <v/>
      </c>
      <c r="V6806" s="361"/>
      <c r="W6806" s="345"/>
      <c r="X6806" s="365"/>
      <c r="Y6806" s="1128" t="s">
        <v>3380</v>
      </c>
      <c r="Z6806" s="1128" t="s">
        <v>3381</v>
      </c>
      <c r="AA6806" s="1128" t="s">
        <v>3384</v>
      </c>
    </row>
    <row r="6807" spans="1:27">
      <c r="A6807" s="327" t="str">
        <f>IF(AND($B6807&lt;&gt;"",$C6807&lt;&gt;""),MAX($A$6492:$A6806)+1,"")</f>
        <v/>
      </c>
      <c r="B6807" s="361" t="s">
        <v>1851</v>
      </c>
      <c r="C6807" s="360"/>
      <c r="D6807" s="327">
        <f>IF($B6807="","",COUNTIF($B$6:$B6807,$B6807))</f>
        <v>40</v>
      </c>
      <c r="E6807" s="361"/>
      <c r="F6807" s="362"/>
      <c r="G6807" s="327" t="s">
        <v>240</v>
      </c>
      <c r="H6807" s="361"/>
      <c r="I6807" s="327">
        <v>2</v>
      </c>
      <c r="J6807" s="361" t="s">
        <v>2815</v>
      </c>
      <c r="K6807" s="327"/>
      <c r="L6807" s="389"/>
      <c r="M6807" s="355"/>
      <c r="N6807" s="355" t="str">
        <f t="shared" si="445"/>
        <v>KI</v>
      </c>
      <c r="O6807" s="345" t="str">
        <f t="shared" si="386"/>
        <v/>
      </c>
      <c r="P6807" s="361"/>
      <c r="Q6807" s="327"/>
      <c r="R6807" s="361"/>
      <c r="S6807" s="361"/>
      <c r="T6807" s="361"/>
      <c r="U6807" s="329" t="str">
        <f>IF($N6807=$N$4,IFERROR(INDEX(DanhMuc!$E$154:$E$165,MATCH(MID($B6807,4,2),DanhMuc!$B$154:$B$165,0)),""),"")</f>
        <v/>
      </c>
      <c r="V6807" s="361"/>
      <c r="W6807" s="345"/>
      <c r="X6807" s="365"/>
      <c r="Y6807" s="1128" t="s">
        <v>3380</v>
      </c>
      <c r="Z6807" s="1128" t="s">
        <v>3381</v>
      </c>
      <c r="AA6807" s="1128" t="s">
        <v>3384</v>
      </c>
    </row>
    <row r="6808" spans="1:27" ht="39">
      <c r="A6808" s="327">
        <f>IF(AND($B6808&lt;&gt;"",$C6808&lt;&gt;""),MAX($A$6492:$A6807)+1,"")</f>
        <v>30</v>
      </c>
      <c r="B6808" s="359" t="s">
        <v>1859</v>
      </c>
      <c r="C6808" s="360" t="s">
        <v>1886</v>
      </c>
      <c r="D6808" s="327">
        <f>IF($B6808="","",COUNTIF($B$6:$B6808,$B6808))</f>
        <v>25</v>
      </c>
      <c r="E6808" s="361"/>
      <c r="F6808" s="362"/>
      <c r="G6808" s="327" t="s">
        <v>240</v>
      </c>
      <c r="H6808" s="361"/>
      <c r="I6808" s="327">
        <v>3</v>
      </c>
      <c r="J6808" s="361" t="s">
        <v>1455</v>
      </c>
      <c r="K6808" s="327"/>
      <c r="L6808" s="389"/>
      <c r="M6808" s="355"/>
      <c r="N6808" s="355" t="str">
        <f t="shared" si="445"/>
        <v>KI</v>
      </c>
      <c r="O6808" s="345" t="str">
        <f t="shared" si="386"/>
        <v/>
      </c>
      <c r="P6808" s="361"/>
      <c r="Q6808" s="327"/>
      <c r="R6808" s="361"/>
      <c r="S6808" s="361"/>
      <c r="T6808" s="361"/>
      <c r="U6808" s="329" t="str">
        <f>IF($N6808=$N$4,IFERROR(INDEX(DanhMuc!$E$154:$E$165,MATCH(MID($B6808,4,2),DanhMuc!$B$154:$B$165,0)),""),"")</f>
        <v/>
      </c>
      <c r="V6808" s="361"/>
      <c r="W6808" s="345"/>
      <c r="X6808" s="365"/>
      <c r="Y6808" s="1128" t="s">
        <v>3380</v>
      </c>
      <c r="Z6808" s="1128" t="s">
        <v>3381</v>
      </c>
      <c r="AA6808" s="1128" t="s">
        <v>3384</v>
      </c>
    </row>
    <row r="6809" spans="1:27" ht="39">
      <c r="A6809" s="327">
        <f>IF(AND($B6809&lt;&gt;"",$C6809&lt;&gt;""),MAX($A$6492:$A6808)+1,"")</f>
        <v>31</v>
      </c>
      <c r="B6809" s="359" t="s">
        <v>1860</v>
      </c>
      <c r="C6809" s="360" t="s">
        <v>1887</v>
      </c>
      <c r="D6809" s="327">
        <f>IF($B6809="","",COUNTIF($B$6:$B6809,$B6809))</f>
        <v>25</v>
      </c>
      <c r="E6809" s="361"/>
      <c r="F6809" s="362"/>
      <c r="G6809" s="327" t="s">
        <v>240</v>
      </c>
      <c r="H6809" s="361"/>
      <c r="I6809" s="327">
        <v>4</v>
      </c>
      <c r="J6809" s="361" t="s">
        <v>1455</v>
      </c>
      <c r="K6809" s="327"/>
      <c r="L6809" s="389"/>
      <c r="M6809" s="355"/>
      <c r="N6809" s="355" t="str">
        <f t="shared" si="445"/>
        <v>KI</v>
      </c>
      <c r="O6809" s="345" t="str">
        <f t="shared" si="386"/>
        <v/>
      </c>
      <c r="P6809" s="361"/>
      <c r="Q6809" s="327"/>
      <c r="R6809" s="361"/>
      <c r="S6809" s="361"/>
      <c r="T6809" s="361"/>
      <c r="U6809" s="329" t="str">
        <f>IF($N6809=$N$4,IFERROR(INDEX(DanhMuc!$E$154:$E$165,MATCH(MID($B6809,4,2),DanhMuc!$B$154:$B$165,0)),""),"")</f>
        <v/>
      </c>
      <c r="V6809" s="361"/>
      <c r="W6809" s="345"/>
      <c r="X6809" s="365"/>
      <c r="Y6809" s="1128" t="s">
        <v>3380</v>
      </c>
      <c r="Z6809" s="1128" t="s">
        <v>3381</v>
      </c>
      <c r="AA6809" s="1128" t="s">
        <v>3384</v>
      </c>
    </row>
    <row r="6810" spans="1:27" ht="39">
      <c r="A6810" s="327">
        <f>IF(AND($B6810&lt;&gt;"",$C6810&lt;&gt;""),MAX($A$6492:$A6809)+1,"")</f>
        <v>32</v>
      </c>
      <c r="B6810" s="359" t="s">
        <v>1861</v>
      </c>
      <c r="C6810" s="360" t="s">
        <v>1888</v>
      </c>
      <c r="D6810" s="327">
        <f>IF($B6810="","",COUNTIF($B$6:$B6810,$B6810))</f>
        <v>25</v>
      </c>
      <c r="E6810" s="361"/>
      <c r="F6810" s="362"/>
      <c r="G6810" s="327" t="s">
        <v>240</v>
      </c>
      <c r="H6810" s="361"/>
      <c r="I6810" s="327">
        <v>5</v>
      </c>
      <c r="J6810" s="361" t="s">
        <v>1455</v>
      </c>
      <c r="K6810" s="327"/>
      <c r="L6810" s="389"/>
      <c r="M6810" s="355"/>
      <c r="N6810" s="355" t="str">
        <f t="shared" si="445"/>
        <v>KI</v>
      </c>
      <c r="O6810" s="345" t="str">
        <f t="shared" si="386"/>
        <v/>
      </c>
      <c r="P6810" s="361"/>
      <c r="Q6810" s="327"/>
      <c r="R6810" s="361"/>
      <c r="S6810" s="361"/>
      <c r="T6810" s="361"/>
      <c r="U6810" s="329" t="str">
        <f>IF($N6810=$N$4,IFERROR(INDEX(DanhMuc!$E$154:$E$165,MATCH(MID($B6810,4,2),DanhMuc!$B$154:$B$165,0)),""),"")</f>
        <v/>
      </c>
      <c r="V6810" s="361"/>
      <c r="W6810" s="345"/>
      <c r="X6810" s="365"/>
      <c r="Y6810" s="1128" t="s">
        <v>3380</v>
      </c>
      <c r="Z6810" s="1128" t="s">
        <v>3381</v>
      </c>
      <c r="AA6810" s="1128" t="s">
        <v>3384</v>
      </c>
    </row>
    <row r="6811" spans="1:27" ht="39">
      <c r="A6811" s="327">
        <f>IF(AND($B6811&lt;&gt;"",$C6811&lt;&gt;""),MAX($A$6492:$A6810)+1,"")</f>
        <v>33</v>
      </c>
      <c r="B6811" s="359" t="s">
        <v>1862</v>
      </c>
      <c r="C6811" s="360" t="s">
        <v>1889</v>
      </c>
      <c r="D6811" s="327">
        <f>IF($B6811="","",COUNTIF($B$6:$B6811,$B6811))</f>
        <v>25</v>
      </c>
      <c r="E6811" s="361"/>
      <c r="F6811" s="362"/>
      <c r="G6811" s="327" t="s">
        <v>240</v>
      </c>
      <c r="H6811" s="361"/>
      <c r="I6811" s="327">
        <v>6</v>
      </c>
      <c r="J6811" s="361" t="s">
        <v>1455</v>
      </c>
      <c r="K6811" s="327"/>
      <c r="L6811" s="389"/>
      <c r="M6811" s="355"/>
      <c r="N6811" s="355" t="str">
        <f t="shared" si="445"/>
        <v>KI</v>
      </c>
      <c r="O6811" s="345" t="str">
        <f t="shared" si="386"/>
        <v/>
      </c>
      <c r="P6811" s="361"/>
      <c r="Q6811" s="327"/>
      <c r="R6811" s="361"/>
      <c r="S6811" s="361"/>
      <c r="T6811" s="361"/>
      <c r="U6811" s="329" t="str">
        <f>IF($N6811=$N$4,IFERROR(INDEX(DanhMuc!$E$154:$E$165,MATCH(MID($B6811,4,2),DanhMuc!$B$154:$B$165,0)),""),"")</f>
        <v/>
      </c>
      <c r="V6811" s="361"/>
      <c r="W6811" s="345"/>
      <c r="X6811" s="365"/>
      <c r="Y6811" s="1128" t="s">
        <v>3380</v>
      </c>
      <c r="Z6811" s="1128" t="s">
        <v>3381</v>
      </c>
      <c r="AA6811" s="1128" t="s">
        <v>3384</v>
      </c>
    </row>
    <row r="6812" spans="1:27" ht="39">
      <c r="A6812" s="327">
        <f>IF(AND($B6812&lt;&gt;"",$C6812&lt;&gt;""),MAX($A$6492:$A6811)+1,"")</f>
        <v>34</v>
      </c>
      <c r="B6812" s="359" t="s">
        <v>1852</v>
      </c>
      <c r="C6812" s="360" t="s">
        <v>1879</v>
      </c>
      <c r="D6812" s="327">
        <f>IF($B6812="","",COUNTIF($B$6:$B6812,$B6812))</f>
        <v>17</v>
      </c>
      <c r="E6812" s="361"/>
      <c r="F6812" s="362"/>
      <c r="G6812" s="327" t="s">
        <v>240</v>
      </c>
      <c r="H6812" s="361"/>
      <c r="I6812" s="327">
        <v>2</v>
      </c>
      <c r="J6812" s="361" t="s">
        <v>1829</v>
      </c>
      <c r="K6812" s="327"/>
      <c r="L6812" s="389"/>
      <c r="M6812" s="355"/>
      <c r="N6812" s="355" t="str">
        <f t="shared" si="445"/>
        <v>KI</v>
      </c>
      <c r="O6812" s="345" t="str">
        <f t="shared" si="386"/>
        <v/>
      </c>
      <c r="P6812" s="361"/>
      <c r="Q6812" s="327"/>
      <c r="R6812" s="361"/>
      <c r="S6812" s="361"/>
      <c r="T6812" s="361"/>
      <c r="U6812" s="329" t="str">
        <f>IF($N6812=$N$4,IFERROR(INDEX(DanhMuc!$E$154:$E$165,MATCH(MID($B6812,4,2),DanhMuc!$B$154:$B$165,0)),""),"")</f>
        <v/>
      </c>
      <c r="V6812" s="361"/>
      <c r="W6812" s="345"/>
      <c r="X6812" s="365"/>
      <c r="Y6812" s="1128" t="s">
        <v>3380</v>
      </c>
      <c r="Z6812" s="1128" t="s">
        <v>3381</v>
      </c>
      <c r="AA6812" s="1128" t="s">
        <v>3384</v>
      </c>
    </row>
    <row r="6813" spans="1:27" ht="52">
      <c r="A6813" s="327">
        <f>IF(AND($B6813&lt;&gt;"",$C6813&lt;&gt;""),MAX($A$6492:$A6812)+1,"")</f>
        <v>35</v>
      </c>
      <c r="B6813" s="359" t="s">
        <v>1853</v>
      </c>
      <c r="C6813" s="360" t="s">
        <v>1880</v>
      </c>
      <c r="D6813" s="327">
        <f>IF($B6813="","",COUNTIF($B$6:$B6813,$B6813))</f>
        <v>22</v>
      </c>
      <c r="E6813" s="361"/>
      <c r="F6813" s="362" t="s">
        <v>602</v>
      </c>
      <c r="G6813" s="327" t="s">
        <v>240</v>
      </c>
      <c r="H6813" s="361"/>
      <c r="I6813" s="327">
        <v>1</v>
      </c>
      <c r="J6813" s="361" t="s">
        <v>2693</v>
      </c>
      <c r="K6813" s="327"/>
      <c r="L6813" s="389"/>
      <c r="M6813" s="355"/>
      <c r="N6813" s="355" t="str">
        <f t="shared" si="445"/>
        <v>KI</v>
      </c>
      <c r="O6813" s="345" t="str">
        <f t="shared" ref="O6813:O6814" si="446">IF($E6813="","",IF(VALUE(MID($E6813,3,2))&gt;=20,20,IF(AND(10&lt;VALUE(MID($E6813,3,2)),VALUE(MID($E6813,3,2))&lt;20),19,10)))</f>
        <v/>
      </c>
      <c r="P6813" s="361"/>
      <c r="Q6813" s="327"/>
      <c r="R6813" s="361"/>
      <c r="S6813" s="361"/>
      <c r="T6813" s="361"/>
      <c r="U6813" s="329" t="str">
        <f>IF($N6813=$N$4,IFERROR(INDEX(DanhMuc!$E$154:$E$165,MATCH(MID($B6813,4,2),DanhMuc!$B$154:$B$165,0)),""),"")</f>
        <v/>
      </c>
      <c r="V6813" s="361"/>
      <c r="W6813" s="345"/>
      <c r="X6813" s="365"/>
      <c r="Y6813" s="1128" t="s">
        <v>3380</v>
      </c>
      <c r="Z6813" s="1128" t="s">
        <v>3381</v>
      </c>
      <c r="AA6813" s="1128" t="s">
        <v>3384</v>
      </c>
    </row>
    <row r="6814" spans="1:27">
      <c r="A6814" s="327" t="str">
        <f>IF(AND($B6814&lt;&gt;"",$C6814&lt;&gt;""),MAX($A$6492:$A6813)+1,"")</f>
        <v/>
      </c>
      <c r="B6814" s="361" t="s">
        <v>1853</v>
      </c>
      <c r="C6814" s="360"/>
      <c r="D6814" s="327">
        <f>IF($B6814="","",COUNTIF($B$6:$B6814,$B6814))</f>
        <v>23</v>
      </c>
      <c r="E6814" s="361"/>
      <c r="F6814" s="362" t="s">
        <v>101</v>
      </c>
      <c r="G6814" s="327" t="s">
        <v>240</v>
      </c>
      <c r="H6814" s="361"/>
      <c r="I6814" s="327">
        <v>2</v>
      </c>
      <c r="J6814" s="361" t="s">
        <v>1199</v>
      </c>
      <c r="K6814" s="327"/>
      <c r="L6814" s="389"/>
      <c r="M6814" s="355"/>
      <c r="N6814" s="355" t="str">
        <f t="shared" si="445"/>
        <v>KI</v>
      </c>
      <c r="O6814" s="345" t="str">
        <f t="shared" si="446"/>
        <v/>
      </c>
      <c r="P6814" s="361"/>
      <c r="Q6814" s="327"/>
      <c r="R6814" s="361"/>
      <c r="S6814" s="361"/>
      <c r="T6814" s="361"/>
      <c r="U6814" s="329" t="str">
        <f>IF($N6814=$N$4,IFERROR(INDEX(DanhMuc!$E$154:$E$165,MATCH(MID($B6814,4,2),DanhMuc!$B$154:$B$165,0)),""),"")</f>
        <v/>
      </c>
      <c r="V6814" s="361"/>
      <c r="W6814" s="345"/>
      <c r="X6814" s="365"/>
      <c r="Y6814" s="1128" t="s">
        <v>3380</v>
      </c>
      <c r="Z6814" s="1128" t="s">
        <v>3381</v>
      </c>
      <c r="AA6814" s="1128" t="s">
        <v>3384</v>
      </c>
    </row>
    <row r="6815" spans="1:27" ht="39">
      <c r="A6815" s="327">
        <f>IF(AND($B6815&lt;&gt;"",$C6815&lt;&gt;""),MAX($A$6492:$A6814)+1,"")</f>
        <v>36</v>
      </c>
      <c r="B6815" s="359" t="s">
        <v>1855</v>
      </c>
      <c r="C6815" s="360" t="s">
        <v>1882</v>
      </c>
      <c r="D6815" s="327">
        <f>IF($B6815="","",COUNTIF($B$6:$B6815,$B6815))</f>
        <v>18</v>
      </c>
      <c r="E6815" s="361"/>
      <c r="F6815" s="362"/>
      <c r="G6815" s="327" t="s">
        <v>240</v>
      </c>
      <c r="H6815" s="361"/>
      <c r="I6815" s="327">
        <v>4</v>
      </c>
      <c r="J6815" s="361" t="s">
        <v>744</v>
      </c>
      <c r="K6815" s="327"/>
      <c r="L6815" s="389"/>
      <c r="M6815" s="355"/>
      <c r="N6815" s="355" t="str">
        <f t="shared" si="445"/>
        <v>KI</v>
      </c>
      <c r="O6815" s="345" t="str">
        <f t="shared" si="386"/>
        <v/>
      </c>
      <c r="P6815" s="361"/>
      <c r="Q6815" s="327"/>
      <c r="R6815" s="361"/>
      <c r="S6815" s="361"/>
      <c r="T6815" s="361"/>
      <c r="U6815" s="329" t="str">
        <f>IF($N6815=$N$4,IFERROR(INDEX(DanhMuc!$E$154:$E$165,MATCH(MID($B6815,4,2),DanhMuc!$B$154:$B$165,0)),""),"")</f>
        <v/>
      </c>
      <c r="V6815" s="361"/>
      <c r="W6815" s="345"/>
      <c r="X6815" s="365"/>
      <c r="Y6815" s="1128" t="s">
        <v>3380</v>
      </c>
      <c r="Z6815" s="1128" t="s">
        <v>3381</v>
      </c>
      <c r="AA6815" s="1128" t="s">
        <v>3384</v>
      </c>
    </row>
    <row r="6816" spans="1:27" ht="52">
      <c r="A6816" s="327">
        <f>IF(AND($B6816&lt;&gt;"",$C6816&lt;&gt;""),MAX($A$6492:$A6815)+1,"")</f>
        <v>37</v>
      </c>
      <c r="B6816" s="359" t="s">
        <v>1854</v>
      </c>
      <c r="C6816" s="360" t="s">
        <v>1881</v>
      </c>
      <c r="D6816" s="327">
        <f>IF($B6816="","",COUNTIF($B$6:$B6816,$B6816))</f>
        <v>10</v>
      </c>
      <c r="E6816" s="361"/>
      <c r="F6816" s="362"/>
      <c r="G6816" s="327" t="s">
        <v>240</v>
      </c>
      <c r="H6816" s="361"/>
      <c r="I6816" s="327">
        <v>2</v>
      </c>
      <c r="J6816" s="361" t="s">
        <v>758</v>
      </c>
      <c r="K6816" s="327"/>
      <c r="L6816" s="389"/>
      <c r="M6816" s="355"/>
      <c r="N6816" s="355" t="str">
        <f t="shared" si="445"/>
        <v>KI</v>
      </c>
      <c r="O6816" s="345" t="str">
        <f t="shared" si="386"/>
        <v/>
      </c>
      <c r="P6816" s="361"/>
      <c r="Q6816" s="327"/>
      <c r="R6816" s="361"/>
      <c r="S6816" s="361"/>
      <c r="T6816" s="361"/>
      <c r="U6816" s="329" t="str">
        <f>IF($N6816=$N$4,IFERROR(INDEX(DanhMuc!$E$154:$E$165,MATCH(MID($B6816,4,2),DanhMuc!$B$154:$B$165,0)),""),"")</f>
        <v/>
      </c>
      <c r="V6816" s="361"/>
      <c r="W6816" s="345"/>
      <c r="X6816" s="365"/>
      <c r="Y6816" s="1128" t="s">
        <v>3380</v>
      </c>
      <c r="Z6816" s="1128" t="s">
        <v>3381</v>
      </c>
      <c r="AA6816" s="1128" t="s">
        <v>3384</v>
      </c>
    </row>
    <row r="6817" spans="1:27" ht="12.5">
      <c r="A6817" s="327" t="str">
        <f>IF(AND($B6817&lt;&gt;"",$C6817&lt;&gt;""),MAX($A$6492:$A6816)+1,"")</f>
        <v/>
      </c>
      <c r="B6817" s="361" t="s">
        <v>1854</v>
      </c>
      <c r="C6817" s="362"/>
      <c r="D6817" s="327">
        <f>IF($B6817="","",COUNTIF($B$6:$B6817,$B6817))</f>
        <v>11</v>
      </c>
      <c r="E6817" s="361"/>
      <c r="F6817" s="362"/>
      <c r="G6817" s="327" t="s">
        <v>240</v>
      </c>
      <c r="H6817" s="361"/>
      <c r="I6817" s="327">
        <v>1</v>
      </c>
      <c r="J6817" s="361" t="s">
        <v>759</v>
      </c>
      <c r="K6817" s="327"/>
      <c r="L6817" s="389"/>
      <c r="M6817" s="355"/>
      <c r="N6817" s="355" t="str">
        <f t="shared" si="445"/>
        <v>KI</v>
      </c>
      <c r="O6817" s="365" t="str">
        <f t="shared" si="386"/>
        <v/>
      </c>
      <c r="P6817" s="361"/>
      <c r="Q6817" s="327"/>
      <c r="R6817" s="361"/>
      <c r="S6817" s="361"/>
      <c r="T6817" s="361"/>
      <c r="U6817" s="329" t="str">
        <f>IF($N6817=$N$4,IFERROR(INDEX(DanhMuc!$E$154:$E$165,MATCH(MID($B6817,4,2),DanhMuc!$B$154:$B$165,0)),""),"")</f>
        <v/>
      </c>
      <c r="V6817" s="361"/>
      <c r="W6817" s="365"/>
      <c r="X6817" s="365"/>
      <c r="Y6817" s="1128" t="s">
        <v>3380</v>
      </c>
      <c r="Z6817" s="1128" t="s">
        <v>3381</v>
      </c>
      <c r="AA6817" s="1128" t="s">
        <v>3384</v>
      </c>
    </row>
    <row r="6818" spans="1:27" ht="52">
      <c r="A6818" s="327">
        <f>IF(AND($B6818&lt;&gt;"",$C6818&lt;&gt;""),MAX($A$6492:$A6817)+1,"")</f>
        <v>38</v>
      </c>
      <c r="B6818" s="359" t="s">
        <v>1856</v>
      </c>
      <c r="C6818" s="360" t="s">
        <v>1883</v>
      </c>
      <c r="D6818" s="327">
        <f>IF($B6818="","",COUNTIF($B$6:$B6818,$B6818))</f>
        <v>25</v>
      </c>
      <c r="E6818" s="361"/>
      <c r="F6818" s="362" t="s">
        <v>602</v>
      </c>
      <c r="G6818" s="327" t="s">
        <v>240</v>
      </c>
      <c r="H6818" s="361"/>
      <c r="I6818" s="327">
        <v>1</v>
      </c>
      <c r="J6818" s="361" t="s">
        <v>2697</v>
      </c>
      <c r="K6818" s="327"/>
      <c r="L6818" s="389"/>
      <c r="M6818" s="355"/>
      <c r="N6818" s="355" t="str">
        <f t="shared" si="445"/>
        <v>KI</v>
      </c>
      <c r="O6818" s="345" t="str">
        <f t="shared" si="386"/>
        <v/>
      </c>
      <c r="P6818" s="361"/>
      <c r="Q6818" s="327"/>
      <c r="R6818" s="361"/>
      <c r="S6818" s="361"/>
      <c r="T6818" s="361"/>
      <c r="U6818" s="329" t="str">
        <f>IF($N6818=$N$4,IFERROR(INDEX(DanhMuc!$E$154:$E$165,MATCH(MID($B6818,4,2),DanhMuc!$B$154:$B$165,0)),""),"")</f>
        <v/>
      </c>
      <c r="V6818" s="361"/>
      <c r="W6818" s="345"/>
      <c r="X6818" s="365"/>
      <c r="Y6818" s="1128" t="s">
        <v>3380</v>
      </c>
      <c r="Z6818" s="1128" t="s">
        <v>3381</v>
      </c>
      <c r="AA6818" s="1128" t="s">
        <v>3384</v>
      </c>
    </row>
    <row r="6819" spans="1:27">
      <c r="A6819" s="327" t="str">
        <f>IF(AND($B6819&lt;&gt;"",$C6819&lt;&gt;""),MAX($A$6492:$A6818)+1,"")</f>
        <v/>
      </c>
      <c r="B6819" s="361" t="s">
        <v>1856</v>
      </c>
      <c r="C6819" s="360"/>
      <c r="D6819" s="327">
        <f>IF($B6819="","",COUNTIF($B$6:$B6819,$B6819))</f>
        <v>26</v>
      </c>
      <c r="E6819" s="361"/>
      <c r="F6819" s="362" t="s">
        <v>602</v>
      </c>
      <c r="G6819" s="327" t="s">
        <v>240</v>
      </c>
      <c r="H6819" s="361"/>
      <c r="I6819" s="327">
        <v>2</v>
      </c>
      <c r="J6819" s="361" t="s">
        <v>2698</v>
      </c>
      <c r="K6819" s="327"/>
      <c r="L6819" s="389"/>
      <c r="M6819" s="355"/>
      <c r="N6819" s="355" t="str">
        <f t="shared" si="445"/>
        <v>KI</v>
      </c>
      <c r="O6819" s="345" t="str">
        <f t="shared" si="386"/>
        <v/>
      </c>
      <c r="P6819" s="361"/>
      <c r="Q6819" s="327"/>
      <c r="R6819" s="361"/>
      <c r="S6819" s="361"/>
      <c r="T6819" s="361"/>
      <c r="U6819" s="329" t="str">
        <f>IF($N6819=$N$4,IFERROR(INDEX(DanhMuc!$E$154:$E$165,MATCH(MID($B6819,4,2),DanhMuc!$B$154:$B$165,0)),""),"")</f>
        <v/>
      </c>
      <c r="V6819" s="361"/>
      <c r="W6819" s="345"/>
      <c r="X6819" s="365"/>
      <c r="Y6819" s="1128" t="s">
        <v>3380</v>
      </c>
      <c r="Z6819" s="1128" t="s">
        <v>3381</v>
      </c>
      <c r="AA6819" s="1128" t="s">
        <v>3384</v>
      </c>
    </row>
    <row r="6820" spans="1:27">
      <c r="A6820" s="327" t="str">
        <f>IF(AND($B6820&lt;&gt;"",$C6820&lt;&gt;""),MAX($A$6492:$A6819)+1,"")</f>
        <v/>
      </c>
      <c r="B6820" s="361" t="s">
        <v>1856</v>
      </c>
      <c r="C6820" s="360"/>
      <c r="D6820" s="327">
        <f>IF($B6820="","",COUNTIF($B$6:$B6820,$B6820))</f>
        <v>27</v>
      </c>
      <c r="E6820" s="361"/>
      <c r="F6820" s="362" t="s">
        <v>101</v>
      </c>
      <c r="G6820" s="327" t="s">
        <v>240</v>
      </c>
      <c r="H6820" s="361"/>
      <c r="I6820" s="327">
        <v>4</v>
      </c>
      <c r="J6820" s="361" t="s">
        <v>1206</v>
      </c>
      <c r="K6820" s="327"/>
      <c r="L6820" s="389"/>
      <c r="M6820" s="355"/>
      <c r="N6820" s="355" t="str">
        <f t="shared" si="445"/>
        <v>KI</v>
      </c>
      <c r="O6820" s="345" t="str">
        <f t="shared" si="386"/>
        <v/>
      </c>
      <c r="P6820" s="361"/>
      <c r="Q6820" s="327"/>
      <c r="R6820" s="361"/>
      <c r="S6820" s="361"/>
      <c r="T6820" s="361"/>
      <c r="U6820" s="329" t="str">
        <f>IF($N6820=$N$4,IFERROR(INDEX(DanhMuc!$E$154:$E$165,MATCH(MID($B6820,4,2),DanhMuc!$B$154:$B$165,0)),""),"")</f>
        <v/>
      </c>
      <c r="V6820" s="361"/>
      <c r="W6820" s="345"/>
      <c r="X6820" s="365"/>
      <c r="Y6820" s="1128" t="s">
        <v>3380</v>
      </c>
      <c r="Z6820" s="1128" t="s">
        <v>3381</v>
      </c>
      <c r="AA6820" s="1128" t="s">
        <v>3384</v>
      </c>
    </row>
    <row r="6821" spans="1:27" ht="39">
      <c r="A6821" s="327">
        <f>IF(AND($B6821&lt;&gt;"",$C6821&lt;&gt;""),MAX($A$6492:$A6817)+1,"")</f>
        <v>38</v>
      </c>
      <c r="B6821" s="359" t="s">
        <v>1857</v>
      </c>
      <c r="C6821" s="360" t="s">
        <v>1884</v>
      </c>
      <c r="D6821" s="327">
        <f>IF($B6821="","",COUNTIF($B$6:$B6821,$B6821))</f>
        <v>25</v>
      </c>
      <c r="E6821" s="361"/>
      <c r="F6821" s="362"/>
      <c r="G6821" s="327" t="s">
        <v>240</v>
      </c>
      <c r="H6821" s="361"/>
      <c r="I6821" s="327">
        <v>2</v>
      </c>
      <c r="J6821" s="361" t="s">
        <v>1191</v>
      </c>
      <c r="K6821" s="327"/>
      <c r="L6821" s="389"/>
      <c r="M6821" s="355"/>
      <c r="N6821" s="355" t="str">
        <f t="shared" si="445"/>
        <v>KI</v>
      </c>
      <c r="O6821" s="345" t="str">
        <f t="shared" si="386"/>
        <v/>
      </c>
      <c r="P6821" s="361"/>
      <c r="Q6821" s="327"/>
      <c r="R6821" s="361"/>
      <c r="S6821" s="361"/>
      <c r="T6821" s="361"/>
      <c r="U6821" s="329" t="str">
        <f>IF($N6821=$N$4,IFERROR(INDEX(DanhMuc!$E$154:$E$165,MATCH(MID($B6821,4,2),DanhMuc!$B$154:$B$165,0)),""),"")</f>
        <v/>
      </c>
      <c r="V6821" s="361"/>
      <c r="W6821" s="345"/>
      <c r="X6821" s="365"/>
      <c r="Y6821" s="1128" t="s">
        <v>3380</v>
      </c>
      <c r="Z6821" s="1128" t="s">
        <v>3381</v>
      </c>
      <c r="AA6821" s="1128" t="s">
        <v>3384</v>
      </c>
    </row>
    <row r="6822" spans="1:27" ht="52">
      <c r="A6822" s="327">
        <f>IF(AND($B6822&lt;&gt;"",$C6822&lt;&gt;""),MAX($A$6492:$A6816)+1,"")</f>
        <v>38</v>
      </c>
      <c r="B6822" s="359" t="s">
        <v>3319</v>
      </c>
      <c r="C6822" s="360" t="s">
        <v>3321</v>
      </c>
      <c r="D6822" s="327">
        <f>IF($B6822="","",COUNTIF($B$6:$B6822,$B6822))</f>
        <v>20</v>
      </c>
      <c r="E6822" s="361"/>
      <c r="F6822" s="362"/>
      <c r="G6822" s="327" t="s">
        <v>240</v>
      </c>
      <c r="H6822" s="361"/>
      <c r="I6822" s="327">
        <v>2</v>
      </c>
      <c r="J6822" s="361" t="s">
        <v>3213</v>
      </c>
      <c r="K6822" s="327"/>
      <c r="L6822" s="389"/>
      <c r="M6822" s="355"/>
      <c r="N6822" s="355" t="str">
        <f>+$N$6492</f>
        <v>KI</v>
      </c>
      <c r="O6822" s="345" t="str">
        <f t="shared" ref="O6822:O6823" si="447">IF($E6822="","",IF(VALUE(MID($E6822,3,2))&gt;=20,20,IF(AND(10&lt;VALUE(MID($E6822,3,2)),VALUE(MID($E6822,3,2))&lt;20),19,10)))</f>
        <v/>
      </c>
      <c r="P6822" s="361"/>
      <c r="Q6822" s="327"/>
      <c r="R6822" s="361"/>
      <c r="S6822" s="361"/>
      <c r="T6822" s="361"/>
      <c r="U6822" s="329" t="str">
        <f>IF($N6822=$N$4,IFERROR(INDEX(DanhMuc!$E$154:$E$165,MATCH(MID($B6822,4,2),DanhMuc!$B$154:$B$165,0)),""),"")</f>
        <v/>
      </c>
      <c r="V6822" s="361"/>
      <c r="W6822" s="345"/>
      <c r="X6822" s="365"/>
      <c r="Y6822" s="1128" t="s">
        <v>3380</v>
      </c>
      <c r="Z6822" s="1128" t="s">
        <v>3381</v>
      </c>
      <c r="AA6822" s="1128" t="s">
        <v>3384</v>
      </c>
    </row>
    <row r="6823" spans="1:27" ht="52">
      <c r="A6823" s="327">
        <f>IF(AND($B6823&lt;&gt;"",$C6823&lt;&gt;""),MAX($A$6492:$A6817)+1,"")</f>
        <v>38</v>
      </c>
      <c r="B6823" s="359" t="s">
        <v>3320</v>
      </c>
      <c r="C6823" s="360" t="s">
        <v>3322</v>
      </c>
      <c r="D6823" s="327">
        <f>IF($B6823="","",COUNTIF($B$6:$B6823,$B6823))</f>
        <v>19</v>
      </c>
      <c r="E6823" s="361"/>
      <c r="F6823" s="362"/>
      <c r="G6823" s="327" t="s">
        <v>240</v>
      </c>
      <c r="H6823" s="361"/>
      <c r="I6823" s="327">
        <v>1</v>
      </c>
      <c r="J6823" s="361" t="s">
        <v>3225</v>
      </c>
      <c r="K6823" s="327"/>
      <c r="L6823" s="389"/>
      <c r="M6823" s="355"/>
      <c r="N6823" s="355" t="str">
        <f>+$N$6492</f>
        <v>KI</v>
      </c>
      <c r="O6823" s="345" t="str">
        <f t="shared" si="447"/>
        <v/>
      </c>
      <c r="P6823" s="361"/>
      <c r="Q6823" s="327"/>
      <c r="R6823" s="361"/>
      <c r="S6823" s="361"/>
      <c r="T6823" s="361"/>
      <c r="U6823" s="329" t="str">
        <f>IF($N6823=$N$4,IFERROR(INDEX(DanhMuc!$E$154:$E$165,MATCH(MID($B6823,4,2),DanhMuc!$B$154:$B$165,0)),""),"")</f>
        <v/>
      </c>
      <c r="V6823" s="361"/>
      <c r="W6823" s="345"/>
      <c r="X6823" s="365"/>
      <c r="Y6823" s="1128" t="s">
        <v>3380</v>
      </c>
      <c r="Z6823" s="1128" t="s">
        <v>3381</v>
      </c>
      <c r="AA6823" s="1128" t="s">
        <v>3384</v>
      </c>
    </row>
    <row r="6824" spans="1:27" ht="39">
      <c r="A6824" s="327">
        <f>IF(AND($B6824&lt;&gt;"",$C6824&lt;&gt;""),MAX($A$6492:$A6821)+1,"")</f>
        <v>39</v>
      </c>
      <c r="B6824" s="359" t="s">
        <v>1858</v>
      </c>
      <c r="C6824" s="360" t="s">
        <v>1885</v>
      </c>
      <c r="D6824" s="327">
        <f>IF($B6824="","",COUNTIF($B$6:$B6824,$B6824))</f>
        <v>26</v>
      </c>
      <c r="E6824" s="361"/>
      <c r="F6824" s="362"/>
      <c r="G6824" s="327" t="s">
        <v>240</v>
      </c>
      <c r="H6824" s="361"/>
      <c r="I6824" s="327">
        <v>4</v>
      </c>
      <c r="J6824" s="361" t="s">
        <v>1192</v>
      </c>
      <c r="K6824" s="327"/>
      <c r="L6824" s="389"/>
      <c r="M6824" s="355"/>
      <c r="N6824" s="355" t="str">
        <f t="shared" si="445"/>
        <v>KI</v>
      </c>
      <c r="O6824" s="345" t="str">
        <f t="shared" si="386"/>
        <v/>
      </c>
      <c r="P6824" s="361"/>
      <c r="Q6824" s="327"/>
      <c r="R6824" s="361"/>
      <c r="S6824" s="361"/>
      <c r="T6824" s="361"/>
      <c r="U6824" s="329" t="str">
        <f>IF($N6824=$N$4,IFERROR(INDEX(DanhMuc!$E$154:$E$165,MATCH(MID($B6824,4,2),DanhMuc!$B$154:$B$165,0)),""),"")</f>
        <v/>
      </c>
      <c r="V6824" s="361"/>
      <c r="W6824" s="345"/>
      <c r="X6824" s="365"/>
      <c r="Y6824" s="1128" t="s">
        <v>3380</v>
      </c>
      <c r="Z6824" s="1128" t="s">
        <v>3381</v>
      </c>
      <c r="AA6824" s="1128" t="s">
        <v>3384</v>
      </c>
    </row>
    <row r="6825" spans="1:27" ht="39">
      <c r="A6825" s="327">
        <f>IF(AND($B6825&lt;&gt;"",$C6825&lt;&gt;""),MAX($A$6492:$A6817)+1,"")</f>
        <v>38</v>
      </c>
      <c r="B6825" s="359" t="s">
        <v>1863</v>
      </c>
      <c r="C6825" s="360" t="s">
        <v>1890</v>
      </c>
      <c r="D6825" s="327">
        <f>IF($B6825="","",COUNTIF($B$6:$B6825,$B6825))</f>
        <v>28</v>
      </c>
      <c r="E6825" s="361"/>
      <c r="F6825" s="362"/>
      <c r="G6825" s="327" t="s">
        <v>240</v>
      </c>
      <c r="H6825" s="361"/>
      <c r="I6825" s="327">
        <v>1</v>
      </c>
      <c r="J6825" s="361" t="s">
        <v>700</v>
      </c>
      <c r="K6825" s="327"/>
      <c r="L6825" s="389"/>
      <c r="M6825" s="355"/>
      <c r="N6825" s="355" t="str">
        <f t="shared" si="445"/>
        <v>KI</v>
      </c>
      <c r="O6825" s="345" t="str">
        <f t="shared" si="386"/>
        <v/>
      </c>
      <c r="P6825" s="361"/>
      <c r="Q6825" s="327"/>
      <c r="R6825" s="361"/>
      <c r="S6825" s="361"/>
      <c r="T6825" s="361"/>
      <c r="U6825" s="329" t="str">
        <f>IF($N6825=$N$4,IFERROR(INDEX(DanhMuc!$E$154:$E$165,MATCH(MID($B6825,4,2),DanhMuc!$B$154:$B$165,0)),""),"")</f>
        <v/>
      </c>
      <c r="V6825" s="361"/>
      <c r="W6825" s="345"/>
      <c r="X6825" s="365"/>
      <c r="Y6825" s="1128" t="s">
        <v>3380</v>
      </c>
      <c r="Z6825" s="1128" t="s">
        <v>3381</v>
      </c>
      <c r="AA6825" s="1128" t="s">
        <v>3384</v>
      </c>
    </row>
    <row r="6826" spans="1:27" ht="39">
      <c r="A6826" s="327">
        <f>IF(AND($B6826&lt;&gt;"",$C6826&lt;&gt;""),MAX($A$6492:$A6825)+1,"")</f>
        <v>40</v>
      </c>
      <c r="B6826" s="359" t="s">
        <v>1864</v>
      </c>
      <c r="C6826" s="360" t="s">
        <v>1891</v>
      </c>
      <c r="D6826" s="327">
        <f>IF($B6826="","",COUNTIF($B$6:$B6826,$B6826))</f>
        <v>29</v>
      </c>
      <c r="E6826" s="361"/>
      <c r="F6826" s="362"/>
      <c r="G6826" s="327" t="s">
        <v>240</v>
      </c>
      <c r="H6826" s="361"/>
      <c r="I6826" s="327">
        <v>2</v>
      </c>
      <c r="J6826" s="361" t="s">
        <v>533</v>
      </c>
      <c r="K6826" s="327"/>
      <c r="L6826" s="389"/>
      <c r="M6826" s="355"/>
      <c r="N6826" s="355" t="str">
        <f t="shared" si="445"/>
        <v>KI</v>
      </c>
      <c r="O6826" s="345" t="str">
        <f t="shared" si="386"/>
        <v/>
      </c>
      <c r="P6826" s="361"/>
      <c r="Q6826" s="327"/>
      <c r="R6826" s="361"/>
      <c r="S6826" s="361"/>
      <c r="T6826" s="361"/>
      <c r="U6826" s="329" t="str">
        <f>IF($N6826=$N$4,IFERROR(INDEX(DanhMuc!$E$154:$E$165,MATCH(MID($B6826,4,2),DanhMuc!$B$154:$B$165,0)),""),"")</f>
        <v/>
      </c>
      <c r="V6826" s="361"/>
      <c r="W6826" s="345"/>
      <c r="X6826" s="365"/>
      <c r="Y6826" s="1128" t="s">
        <v>3380</v>
      </c>
      <c r="Z6826" s="1128" t="s">
        <v>3381</v>
      </c>
      <c r="AA6826" s="1128" t="s">
        <v>3384</v>
      </c>
    </row>
    <row r="6827" spans="1:27" ht="39">
      <c r="A6827" s="327">
        <f>IF(AND($B6827&lt;&gt;"",$C6827&lt;&gt;""),MAX($A$6492:$A6826)+1,"")</f>
        <v>41</v>
      </c>
      <c r="B6827" s="359" t="s">
        <v>1865</v>
      </c>
      <c r="C6827" s="360" t="s">
        <v>1892</v>
      </c>
      <c r="D6827" s="327">
        <f>IF($B6827="","",COUNTIF($B$6:$B6827,$B6827))</f>
        <v>30</v>
      </c>
      <c r="E6827" s="361"/>
      <c r="F6827" s="362"/>
      <c r="G6827" s="327" t="s">
        <v>240</v>
      </c>
      <c r="H6827" s="361"/>
      <c r="I6827" s="327">
        <v>3</v>
      </c>
      <c r="J6827" s="361" t="s">
        <v>722</v>
      </c>
      <c r="K6827" s="327"/>
      <c r="L6827" s="389"/>
      <c r="M6827" s="355"/>
      <c r="N6827" s="355" t="str">
        <f t="shared" si="445"/>
        <v>KI</v>
      </c>
      <c r="O6827" s="345" t="str">
        <f t="shared" si="386"/>
        <v/>
      </c>
      <c r="P6827" s="361"/>
      <c r="Q6827" s="327"/>
      <c r="R6827" s="361"/>
      <c r="S6827" s="361"/>
      <c r="T6827" s="361"/>
      <c r="U6827" s="329" t="str">
        <f>IF($N6827=$N$4,IFERROR(INDEX(DanhMuc!$E$154:$E$165,MATCH(MID($B6827,4,2),DanhMuc!$B$154:$B$165,0)),""),"")</f>
        <v/>
      </c>
      <c r="V6827" s="361"/>
      <c r="W6827" s="345"/>
      <c r="X6827" s="365"/>
      <c r="Y6827" s="1128" t="s">
        <v>3380</v>
      </c>
      <c r="Z6827" s="1128" t="s">
        <v>3381</v>
      </c>
      <c r="AA6827" s="1128" t="s">
        <v>3384</v>
      </c>
    </row>
    <row r="6828" spans="1:27" ht="39">
      <c r="A6828" s="327">
        <f>IF(AND($B6828&lt;&gt;"",$C6828&lt;&gt;""),MAX($A$6492:$A6827)+1,"")</f>
        <v>42</v>
      </c>
      <c r="B6828" s="359" t="s">
        <v>1866</v>
      </c>
      <c r="C6828" s="360" t="s">
        <v>1893</v>
      </c>
      <c r="D6828" s="327">
        <f>IF($B6828="","",COUNTIF($B$6:$B6828,$B6828))</f>
        <v>30</v>
      </c>
      <c r="E6828" s="361"/>
      <c r="F6828" s="362"/>
      <c r="G6828" s="327" t="s">
        <v>240</v>
      </c>
      <c r="H6828" s="361"/>
      <c r="I6828" s="327">
        <v>4</v>
      </c>
      <c r="J6828" s="361" t="s">
        <v>724</v>
      </c>
      <c r="K6828" s="327"/>
      <c r="L6828" s="389"/>
      <c r="M6828" s="355"/>
      <c r="N6828" s="355" t="str">
        <f t="shared" si="445"/>
        <v>KI</v>
      </c>
      <c r="O6828" s="345" t="str">
        <f t="shared" si="386"/>
        <v/>
      </c>
      <c r="P6828" s="361"/>
      <c r="Q6828" s="327"/>
      <c r="R6828" s="361"/>
      <c r="S6828" s="361"/>
      <c r="T6828" s="361"/>
      <c r="U6828" s="329" t="str">
        <f>IF($N6828=$N$4,IFERROR(INDEX(DanhMuc!$E$154:$E$165,MATCH(MID($B6828,4,2),DanhMuc!$B$154:$B$165,0)),""),"")</f>
        <v/>
      </c>
      <c r="V6828" s="361"/>
      <c r="W6828" s="345"/>
      <c r="X6828" s="365"/>
      <c r="Y6828" s="1128" t="s">
        <v>3380</v>
      </c>
      <c r="Z6828" s="1128" t="s">
        <v>3381</v>
      </c>
      <c r="AA6828" s="1128" t="s">
        <v>3384</v>
      </c>
    </row>
    <row r="6829" spans="1:27" ht="39">
      <c r="A6829" s="327">
        <f>IF(AND($B6829&lt;&gt;"",$C6829&lt;&gt;""),MAX($A$6492:$A6828)+1,"")</f>
        <v>43</v>
      </c>
      <c r="B6829" s="359" t="s">
        <v>1867</v>
      </c>
      <c r="C6829" s="360" t="s">
        <v>1894</v>
      </c>
      <c r="D6829" s="327">
        <f>IF($B6829="","",COUNTIF($B$6:$B6829,$B6829))</f>
        <v>28</v>
      </c>
      <c r="E6829" s="361"/>
      <c r="F6829" s="362"/>
      <c r="G6829" s="327" t="s">
        <v>240</v>
      </c>
      <c r="H6829" s="361"/>
      <c r="I6829" s="327">
        <v>1</v>
      </c>
      <c r="J6829" s="361" t="s">
        <v>725</v>
      </c>
      <c r="K6829" s="327"/>
      <c r="L6829" s="389"/>
      <c r="M6829" s="355"/>
      <c r="N6829" s="355" t="str">
        <f t="shared" ref="N6829:N6862" si="448">+$N$6492</f>
        <v>KI</v>
      </c>
      <c r="O6829" s="345" t="str">
        <f t="shared" si="386"/>
        <v/>
      </c>
      <c r="P6829" s="361"/>
      <c r="Q6829" s="327"/>
      <c r="R6829" s="361"/>
      <c r="S6829" s="361"/>
      <c r="T6829" s="361"/>
      <c r="U6829" s="329" t="str">
        <f>IF($N6829=$N$4,IFERROR(INDEX(DanhMuc!$E$154:$E$165,MATCH(MID($B6829,4,2),DanhMuc!$B$154:$B$165,0)),""),"")</f>
        <v/>
      </c>
      <c r="V6829" s="361"/>
      <c r="W6829" s="345"/>
      <c r="X6829" s="365"/>
      <c r="Y6829" s="1128" t="s">
        <v>3380</v>
      </c>
      <c r="Z6829" s="1128" t="s">
        <v>3381</v>
      </c>
      <c r="AA6829" s="1128" t="s">
        <v>3384</v>
      </c>
    </row>
    <row r="6830" spans="1:27" ht="39">
      <c r="A6830" s="327">
        <f>IF(AND($B6830&lt;&gt;"",$C6830&lt;&gt;""),MAX($A$6492:$A6829)+1,"")</f>
        <v>44</v>
      </c>
      <c r="B6830" s="359" t="s">
        <v>1868</v>
      </c>
      <c r="C6830" s="360" t="s">
        <v>1895</v>
      </c>
      <c r="D6830" s="327">
        <f>IF($B6830="","",COUNTIF($B$6:$B6830,$B6830))</f>
        <v>29</v>
      </c>
      <c r="E6830" s="361"/>
      <c r="F6830" s="362"/>
      <c r="G6830" s="327" t="s">
        <v>240</v>
      </c>
      <c r="H6830" s="361"/>
      <c r="I6830" s="327">
        <v>2</v>
      </c>
      <c r="J6830" s="361" t="s">
        <v>747</v>
      </c>
      <c r="K6830" s="327"/>
      <c r="L6830" s="389"/>
      <c r="M6830" s="355"/>
      <c r="N6830" s="355" t="str">
        <f t="shared" si="448"/>
        <v>KI</v>
      </c>
      <c r="O6830" s="345" t="str">
        <f t="shared" si="386"/>
        <v/>
      </c>
      <c r="P6830" s="361"/>
      <c r="Q6830" s="327"/>
      <c r="R6830" s="361"/>
      <c r="S6830" s="361"/>
      <c r="T6830" s="361"/>
      <c r="U6830" s="329" t="str">
        <f>IF($N6830=$N$4,IFERROR(INDEX(DanhMuc!$E$154:$E$165,MATCH(MID($B6830,4,2),DanhMuc!$B$154:$B$165,0)),""),"")</f>
        <v/>
      </c>
      <c r="V6830" s="361"/>
      <c r="W6830" s="345"/>
      <c r="X6830" s="365"/>
      <c r="Y6830" s="1128" t="s">
        <v>3380</v>
      </c>
      <c r="Z6830" s="1128" t="s">
        <v>3381</v>
      </c>
      <c r="AA6830" s="1128" t="s">
        <v>3384</v>
      </c>
    </row>
    <row r="6831" spans="1:27" ht="39">
      <c r="A6831" s="327">
        <f>IF(AND($B6831&lt;&gt;"",$C6831&lt;&gt;""),MAX($A$6492:$A6830)+1,"")</f>
        <v>45</v>
      </c>
      <c r="B6831" s="359" t="s">
        <v>1872</v>
      </c>
      <c r="C6831" s="360" t="s">
        <v>1899</v>
      </c>
      <c r="D6831" s="327">
        <f>IF($B6831="","",COUNTIF($B$6:$B6831,$B6831))</f>
        <v>26</v>
      </c>
      <c r="E6831" s="361"/>
      <c r="F6831" s="362"/>
      <c r="G6831" s="327" t="s">
        <v>240</v>
      </c>
      <c r="H6831" s="361"/>
      <c r="I6831" s="327">
        <v>2</v>
      </c>
      <c r="J6831" s="361" t="s">
        <v>1191</v>
      </c>
      <c r="K6831" s="327"/>
      <c r="L6831" s="389"/>
      <c r="M6831" s="355"/>
      <c r="N6831" s="355" t="str">
        <f t="shared" si="448"/>
        <v>KI</v>
      </c>
      <c r="O6831" s="345" t="str">
        <f t="shared" si="386"/>
        <v/>
      </c>
      <c r="P6831" s="361"/>
      <c r="Q6831" s="327"/>
      <c r="R6831" s="361"/>
      <c r="S6831" s="361"/>
      <c r="T6831" s="361"/>
      <c r="U6831" s="329" t="str">
        <f>IF($N6831=$N$4,IFERROR(INDEX(DanhMuc!$E$154:$E$165,MATCH(MID($B6831,4,2),DanhMuc!$B$154:$B$165,0)),""),"")</f>
        <v/>
      </c>
      <c r="V6831" s="361"/>
      <c r="W6831" s="345"/>
      <c r="X6831" s="365"/>
      <c r="Y6831" s="1128" t="s">
        <v>3380</v>
      </c>
      <c r="Z6831" s="1128" t="s">
        <v>3381</v>
      </c>
      <c r="AA6831" s="1128" t="s">
        <v>3384</v>
      </c>
    </row>
    <row r="6832" spans="1:27" ht="39">
      <c r="A6832" s="327">
        <f>IF(AND($B6832&lt;&gt;"",$C6832&lt;&gt;""),MAX($A$6492:$A6831)+1,"")</f>
        <v>46</v>
      </c>
      <c r="B6832" s="359" t="s">
        <v>1873</v>
      </c>
      <c r="C6832" s="360" t="s">
        <v>1900</v>
      </c>
      <c r="D6832" s="327">
        <f>IF($B6832="","",COUNTIF($B$6:$B6832,$B6832))</f>
        <v>27</v>
      </c>
      <c r="E6832" s="361"/>
      <c r="F6832" s="362"/>
      <c r="G6832" s="327" t="s">
        <v>240</v>
      </c>
      <c r="H6832" s="361"/>
      <c r="I6832" s="327">
        <v>4</v>
      </c>
      <c r="J6832" s="361" t="s">
        <v>1192</v>
      </c>
      <c r="K6832" s="327"/>
      <c r="L6832" s="389"/>
      <c r="M6832" s="355"/>
      <c r="N6832" s="355" t="str">
        <f t="shared" si="448"/>
        <v>KI</v>
      </c>
      <c r="O6832" s="345" t="str">
        <f t="shared" si="386"/>
        <v/>
      </c>
      <c r="P6832" s="361"/>
      <c r="Q6832" s="327"/>
      <c r="R6832" s="361"/>
      <c r="S6832" s="361"/>
      <c r="T6832" s="361"/>
      <c r="U6832" s="329" t="str">
        <f>IF($N6832=$N$4,IFERROR(INDEX(DanhMuc!$E$154:$E$165,MATCH(MID($B6832,4,2),DanhMuc!$B$154:$B$165,0)),""),"")</f>
        <v/>
      </c>
      <c r="V6832" s="361"/>
      <c r="W6832" s="345"/>
      <c r="X6832" s="365"/>
      <c r="Y6832" s="1128" t="s">
        <v>3380</v>
      </c>
      <c r="Z6832" s="1128" t="s">
        <v>3381</v>
      </c>
      <c r="AA6832" s="1128" t="s">
        <v>3384</v>
      </c>
    </row>
    <row r="6833" spans="1:27" ht="39">
      <c r="A6833" s="327">
        <f>IF(AND($B6833&lt;&gt;"",$C6833&lt;&gt;""),MAX($A$6492:$A6832)+1,"")</f>
        <v>47</v>
      </c>
      <c r="B6833" s="359" t="s">
        <v>1869</v>
      </c>
      <c r="C6833" s="360" t="s">
        <v>1896</v>
      </c>
      <c r="D6833" s="327">
        <f>IF($B6833="","",COUNTIF($B$6:$B6833,$B6833))</f>
        <v>18</v>
      </c>
      <c r="E6833" s="361"/>
      <c r="F6833" s="362"/>
      <c r="G6833" s="327" t="s">
        <v>240</v>
      </c>
      <c r="H6833" s="361"/>
      <c r="I6833" s="327">
        <v>2</v>
      </c>
      <c r="J6833" s="361" t="s">
        <v>1829</v>
      </c>
      <c r="K6833" s="327"/>
      <c r="L6833" s="389"/>
      <c r="M6833" s="355"/>
      <c r="N6833" s="355" t="str">
        <f t="shared" si="448"/>
        <v>KI</v>
      </c>
      <c r="O6833" s="345" t="str">
        <f t="shared" si="386"/>
        <v/>
      </c>
      <c r="P6833" s="361"/>
      <c r="Q6833" s="327"/>
      <c r="R6833" s="361"/>
      <c r="S6833" s="361"/>
      <c r="T6833" s="361"/>
      <c r="U6833" s="329" t="str">
        <f>IF($N6833=$N$4,IFERROR(INDEX(DanhMuc!$E$154:$E$165,MATCH(MID($B6833,4,2),DanhMuc!$B$154:$B$165,0)),""),"")</f>
        <v/>
      </c>
      <c r="V6833" s="361"/>
      <c r="W6833" s="345"/>
      <c r="X6833" s="365"/>
      <c r="Y6833" s="1128" t="s">
        <v>3380</v>
      </c>
      <c r="Z6833" s="1128" t="s">
        <v>3381</v>
      </c>
      <c r="AA6833" s="1128" t="s">
        <v>3384</v>
      </c>
    </row>
    <row r="6834" spans="1:27" ht="39">
      <c r="A6834" s="327">
        <f>IF(AND($B6834&lt;&gt;"",$C6834&lt;&gt;""),MAX($A$6492:$A6833)+1,"")</f>
        <v>48</v>
      </c>
      <c r="B6834" s="359" t="s">
        <v>1871</v>
      </c>
      <c r="C6834" s="360" t="s">
        <v>1898</v>
      </c>
      <c r="D6834" s="327">
        <f>IF($B6834="","",COUNTIF($B$6:$B6834,$B6834))</f>
        <v>19</v>
      </c>
      <c r="E6834" s="361"/>
      <c r="F6834" s="362"/>
      <c r="G6834" s="327" t="s">
        <v>240</v>
      </c>
      <c r="H6834" s="361"/>
      <c r="I6834" s="327">
        <v>4</v>
      </c>
      <c r="J6834" s="361" t="s">
        <v>744</v>
      </c>
      <c r="K6834" s="327"/>
      <c r="L6834" s="389"/>
      <c r="M6834" s="355"/>
      <c r="N6834" s="355" t="str">
        <f t="shared" si="448"/>
        <v>KI</v>
      </c>
      <c r="O6834" s="345" t="str">
        <f t="shared" si="386"/>
        <v/>
      </c>
      <c r="P6834" s="361"/>
      <c r="Q6834" s="327"/>
      <c r="R6834" s="361"/>
      <c r="S6834" s="361"/>
      <c r="T6834" s="361"/>
      <c r="U6834" s="329" t="str">
        <f>IF($N6834=$N$4,IFERROR(INDEX(DanhMuc!$E$154:$E$165,MATCH(MID($B6834,4,2),DanhMuc!$B$154:$B$165,0)),""),"")</f>
        <v/>
      </c>
      <c r="V6834" s="361"/>
      <c r="W6834" s="345"/>
      <c r="X6834" s="365"/>
      <c r="Y6834" s="1128" t="s">
        <v>3380</v>
      </c>
      <c r="Z6834" s="1128" t="s">
        <v>3381</v>
      </c>
      <c r="AA6834" s="1128" t="s">
        <v>3384</v>
      </c>
    </row>
    <row r="6835" spans="1:27" ht="39">
      <c r="A6835" s="327">
        <f>IF(AND($B6835&lt;&gt;"",$C6835&lt;&gt;""),MAX($A$6492:$A6834)+1,"")</f>
        <v>49</v>
      </c>
      <c r="B6835" s="359" t="s">
        <v>1874</v>
      </c>
      <c r="C6835" s="360" t="s">
        <v>1901</v>
      </c>
      <c r="D6835" s="327">
        <f>IF($B6835="","",COUNTIF($B$6:$B6835,$B6835))</f>
        <v>24</v>
      </c>
      <c r="E6835" s="361"/>
      <c r="F6835" s="362"/>
      <c r="G6835" s="327" t="s">
        <v>240</v>
      </c>
      <c r="H6835" s="361"/>
      <c r="I6835" s="327">
        <v>1</v>
      </c>
      <c r="J6835" s="361" t="s">
        <v>941</v>
      </c>
      <c r="K6835" s="327"/>
      <c r="L6835" s="389"/>
      <c r="M6835" s="355"/>
      <c r="N6835" s="355" t="str">
        <f t="shared" si="448"/>
        <v>KI</v>
      </c>
      <c r="O6835" s="345" t="str">
        <f t="shared" si="386"/>
        <v/>
      </c>
      <c r="P6835" s="361"/>
      <c r="Q6835" s="327"/>
      <c r="R6835" s="361"/>
      <c r="S6835" s="361"/>
      <c r="T6835" s="361"/>
      <c r="U6835" s="329" t="str">
        <f>IF($N6835=$N$4,IFERROR(INDEX(DanhMuc!$E$154:$E$165,MATCH(MID($B6835,4,2),DanhMuc!$B$154:$B$165,0)),""),"")</f>
        <v/>
      </c>
      <c r="V6835" s="361"/>
      <c r="W6835" s="345"/>
      <c r="X6835" s="365"/>
      <c r="Y6835" s="1128" t="s">
        <v>3380</v>
      </c>
      <c r="Z6835" s="1128" t="s">
        <v>3381</v>
      </c>
      <c r="AA6835" s="1128" t="s">
        <v>3384</v>
      </c>
    </row>
    <row r="6836" spans="1:27" ht="39">
      <c r="A6836" s="327">
        <f>IF(AND($B6836&lt;&gt;"",$C6836&lt;&gt;""),MAX($A$6492:$A6835)+1,"")</f>
        <v>50</v>
      </c>
      <c r="B6836" s="359" t="s">
        <v>2348</v>
      </c>
      <c r="C6836" s="360" t="s">
        <v>2351</v>
      </c>
      <c r="D6836" s="327">
        <f>IF($B6836="","",COUNTIF($B$6:$B6836,$B6836))</f>
        <v>13</v>
      </c>
      <c r="E6836" s="361"/>
      <c r="F6836" s="362"/>
      <c r="G6836" s="327" t="s">
        <v>240</v>
      </c>
      <c r="H6836" s="361"/>
      <c r="I6836" s="327">
        <v>1</v>
      </c>
      <c r="J6836" s="361" t="s">
        <v>2353</v>
      </c>
      <c r="K6836" s="327"/>
      <c r="L6836" s="389"/>
      <c r="M6836" s="355"/>
      <c r="N6836" s="355" t="str">
        <f t="shared" si="448"/>
        <v>KI</v>
      </c>
      <c r="O6836" s="345" t="str">
        <f t="shared" si="386"/>
        <v/>
      </c>
      <c r="P6836" s="361"/>
      <c r="Q6836" s="327"/>
      <c r="R6836" s="361"/>
      <c r="S6836" s="361"/>
      <c r="T6836" s="361"/>
      <c r="U6836" s="329" t="str">
        <f>IF($N6836=$N$4,IFERROR(INDEX(DanhMuc!$E$154:$E$165,MATCH(MID($B6836,4,2),DanhMuc!$B$154:$B$165,0)),""),"")</f>
        <v/>
      </c>
      <c r="V6836" s="361"/>
      <c r="W6836" s="345"/>
      <c r="X6836" s="365"/>
      <c r="Y6836" s="1128" t="s">
        <v>3380</v>
      </c>
      <c r="Z6836" s="1128" t="s">
        <v>3381</v>
      </c>
      <c r="AA6836" s="1128" t="s">
        <v>3384</v>
      </c>
    </row>
    <row r="6837" spans="1:27" ht="26">
      <c r="A6837" s="327">
        <f>IF(AND($B6837&lt;&gt;"",$C6837&lt;&gt;""),MAX($A$6492:$A6834)+1,"")</f>
        <v>49</v>
      </c>
      <c r="B6837" s="359" t="s">
        <v>3266</v>
      </c>
      <c r="C6837" s="360" t="s">
        <v>3265</v>
      </c>
      <c r="D6837" s="327">
        <f>IF($B6837="","",COUNTIF($B$6:$B6837,$B6837))</f>
        <v>35</v>
      </c>
      <c r="E6837" s="361"/>
      <c r="F6837" s="362"/>
      <c r="G6837" s="327" t="s">
        <v>240</v>
      </c>
      <c r="H6837" s="361"/>
      <c r="I6837" s="327">
        <v>1</v>
      </c>
      <c r="J6837" s="361" t="s">
        <v>3345</v>
      </c>
      <c r="K6837" s="327"/>
      <c r="L6837" s="389"/>
      <c r="M6837" s="355"/>
      <c r="N6837" s="355" t="str">
        <f t="shared" si="448"/>
        <v>KI</v>
      </c>
      <c r="O6837" s="345" t="str">
        <f t="shared" si="386"/>
        <v/>
      </c>
      <c r="P6837" s="361"/>
      <c r="Q6837" s="327"/>
      <c r="R6837" s="361"/>
      <c r="S6837" s="361"/>
      <c r="T6837" s="361"/>
      <c r="U6837" s="329" t="str">
        <f>IF($N6837=$N$4,IFERROR(INDEX(DanhMuc!$E$154:$E$165,MATCH(MID($B6837,4,2),DanhMuc!$B$154:$B$165,0)),""),"")</f>
        <v/>
      </c>
      <c r="V6837" s="361"/>
      <c r="W6837" s="345"/>
      <c r="X6837" s="365"/>
      <c r="Y6837" s="1128" t="s">
        <v>3380</v>
      </c>
      <c r="Z6837" s="1128" t="s">
        <v>3381</v>
      </c>
      <c r="AA6837" s="1128" t="s">
        <v>3384</v>
      </c>
    </row>
    <row r="6838" spans="1:27" ht="26">
      <c r="A6838" s="327">
        <f>IF(AND($B6838&lt;&gt;"",$C6838&lt;&gt;""),MAX($A$6492:$A6835)+1,"")</f>
        <v>50</v>
      </c>
      <c r="B6838" s="359" t="s">
        <v>3346</v>
      </c>
      <c r="C6838" s="360" t="s">
        <v>3347</v>
      </c>
      <c r="D6838" s="327">
        <f>IF($B6838="","",COUNTIF($B$6:$B6838,$B6838))</f>
        <v>38</v>
      </c>
      <c r="E6838" s="361"/>
      <c r="F6838" s="362"/>
      <c r="G6838" s="327" t="s">
        <v>240</v>
      </c>
      <c r="H6838" s="361"/>
      <c r="I6838" s="327">
        <v>2</v>
      </c>
      <c r="J6838" s="361" t="s">
        <v>3359</v>
      </c>
      <c r="K6838" s="327"/>
      <c r="L6838" s="389"/>
      <c r="M6838" s="355"/>
      <c r="N6838" s="355" t="str">
        <f t="shared" si="448"/>
        <v>KI</v>
      </c>
      <c r="O6838" s="345" t="str">
        <f t="shared" ref="O6838" si="449">IF($E6838="","",IF(VALUE(MID($E6838,3,2))&gt;=20,20,IF(AND(10&lt;VALUE(MID($E6838,3,2)),VALUE(MID($E6838,3,2))&lt;20),19,10)))</f>
        <v/>
      </c>
      <c r="P6838" s="361"/>
      <c r="Q6838" s="327"/>
      <c r="R6838" s="361"/>
      <c r="S6838" s="361"/>
      <c r="T6838" s="361"/>
      <c r="U6838" s="329" t="str">
        <f>IF($N6838=$N$4,IFERROR(INDEX(DanhMuc!$E$154:$E$165,MATCH(MID($B6838,4,2),DanhMuc!$B$154:$B$165,0)),""),"")</f>
        <v/>
      </c>
      <c r="V6838" s="361"/>
      <c r="W6838" s="345"/>
      <c r="X6838" s="365"/>
      <c r="Y6838" s="1128" t="s">
        <v>3380</v>
      </c>
      <c r="Z6838" s="1128" t="s">
        <v>3381</v>
      </c>
      <c r="AA6838" s="1128" t="s">
        <v>3384</v>
      </c>
    </row>
    <row r="6839" spans="1:27" ht="26">
      <c r="A6839" s="327">
        <f>IF(AND($B6839&lt;&gt;"",$C6839&lt;&gt;""),MAX($A$6492:$A6800)+1,"")</f>
        <v>26</v>
      </c>
      <c r="B6839" s="359" t="s">
        <v>615</v>
      </c>
      <c r="C6839" s="370" t="s">
        <v>1558</v>
      </c>
      <c r="D6839" s="327">
        <f>IF($B6839="","",COUNTIF($B$6:$B6839,$B6839))</f>
        <v>29</v>
      </c>
      <c r="E6839" s="361"/>
      <c r="F6839" s="362"/>
      <c r="G6839" s="327" t="s">
        <v>240</v>
      </c>
      <c r="H6839" s="361"/>
      <c r="I6839" s="327">
        <v>1</v>
      </c>
      <c r="J6839" s="361" t="s">
        <v>822</v>
      </c>
      <c r="K6839" s="327"/>
      <c r="L6839" s="389"/>
      <c r="M6839" s="355"/>
      <c r="N6839" s="355" t="str">
        <f t="shared" si="448"/>
        <v>KI</v>
      </c>
      <c r="O6839" s="345" t="str">
        <f t="shared" si="386"/>
        <v/>
      </c>
      <c r="P6839" s="361"/>
      <c r="Q6839" s="327"/>
      <c r="R6839" s="361"/>
      <c r="S6839" s="361"/>
      <c r="T6839" s="361"/>
      <c r="U6839" s="329" t="str">
        <f>IF($N6839=$N$4,IFERROR(INDEX(DanhMuc!$E$154:$E$165,MATCH(MID($B6839,4,2),DanhMuc!$B$154:$B$165,0)),""),"")</f>
        <v/>
      </c>
      <c r="V6839" s="361"/>
      <c r="W6839" s="345"/>
      <c r="X6839" s="365"/>
      <c r="Y6839" s="1128" t="s">
        <v>3380</v>
      </c>
      <c r="Z6839" s="1128" t="s">
        <v>3381</v>
      </c>
      <c r="AA6839" s="1128" t="s">
        <v>3384</v>
      </c>
    </row>
    <row r="6840" spans="1:27" ht="26">
      <c r="A6840" s="327">
        <f>IF(AND($B6840&lt;&gt;"",$C6840&lt;&gt;""),MAX($A$6492:$A6839)+1,"")</f>
        <v>51</v>
      </c>
      <c r="B6840" s="359" t="s">
        <v>821</v>
      </c>
      <c r="C6840" s="370" t="s">
        <v>1557</v>
      </c>
      <c r="D6840" s="327">
        <f>IF($B6840="","",COUNTIF($B$6:$B6840,$B6840))</f>
        <v>29</v>
      </c>
      <c r="E6840" s="361"/>
      <c r="F6840" s="362"/>
      <c r="G6840" s="327" t="s">
        <v>240</v>
      </c>
      <c r="H6840" s="361"/>
      <c r="I6840" s="327">
        <v>1</v>
      </c>
      <c r="J6840" s="361" t="s">
        <v>824</v>
      </c>
      <c r="K6840" s="327"/>
      <c r="L6840" s="389"/>
      <c r="M6840" s="355"/>
      <c r="N6840" s="355" t="str">
        <f t="shared" si="448"/>
        <v>KI</v>
      </c>
      <c r="O6840" s="345" t="str">
        <f t="shared" si="386"/>
        <v/>
      </c>
      <c r="P6840" s="361"/>
      <c r="Q6840" s="327"/>
      <c r="R6840" s="361"/>
      <c r="S6840" s="361"/>
      <c r="T6840" s="361"/>
      <c r="U6840" s="329" t="str">
        <f>IF($N6840=$N$4,IFERROR(INDEX(DanhMuc!$E$154:$E$165,MATCH(MID($B6840,4,2),DanhMuc!$B$154:$B$165,0)),""),"")</f>
        <v/>
      </c>
      <c r="V6840" s="361"/>
      <c r="W6840" s="345"/>
      <c r="X6840" s="365"/>
      <c r="Y6840" s="1128" t="s">
        <v>3380</v>
      </c>
      <c r="Z6840" s="1128" t="s">
        <v>3381</v>
      </c>
      <c r="AA6840" s="1128" t="s">
        <v>3384</v>
      </c>
    </row>
    <row r="6841" spans="1:27" ht="39">
      <c r="A6841" s="327">
        <f>IF(AND($B6841&lt;&gt;"",$C6841&lt;&gt;""),MAX($A$6492:$A6840)+1,"")</f>
        <v>52</v>
      </c>
      <c r="B6841" s="359" t="s">
        <v>823</v>
      </c>
      <c r="C6841" s="370" t="s">
        <v>1556</v>
      </c>
      <c r="D6841" s="327">
        <f>IF($B6841="","",COUNTIF($B$6:$B6841,$B6841))</f>
        <v>30</v>
      </c>
      <c r="E6841" s="361"/>
      <c r="F6841" s="362"/>
      <c r="G6841" s="327" t="s">
        <v>240</v>
      </c>
      <c r="H6841" s="361"/>
      <c r="I6841" s="327">
        <v>2</v>
      </c>
      <c r="J6841" s="361" t="s">
        <v>825</v>
      </c>
      <c r="K6841" s="327"/>
      <c r="L6841" s="389"/>
      <c r="M6841" s="355"/>
      <c r="N6841" s="355" t="str">
        <f t="shared" si="448"/>
        <v>KI</v>
      </c>
      <c r="O6841" s="345" t="str">
        <f t="shared" si="386"/>
        <v/>
      </c>
      <c r="P6841" s="361"/>
      <c r="Q6841" s="327"/>
      <c r="R6841" s="361"/>
      <c r="S6841" s="361"/>
      <c r="T6841" s="361"/>
      <c r="U6841" s="329" t="str">
        <f>IF($N6841=$N$4,IFERROR(INDEX(DanhMuc!$E$154:$E$165,MATCH(MID($B6841,4,2),DanhMuc!$B$154:$B$165,0)),""),"")</f>
        <v/>
      </c>
      <c r="V6841" s="361"/>
      <c r="W6841" s="345"/>
      <c r="X6841" s="365"/>
      <c r="Y6841" s="1128" t="s">
        <v>3380</v>
      </c>
      <c r="Z6841" s="1128" t="s">
        <v>3381</v>
      </c>
      <c r="AA6841" s="1128" t="s">
        <v>3384</v>
      </c>
    </row>
    <row r="6842" spans="1:27" ht="26">
      <c r="A6842" s="327">
        <f>IF(AND($B6842&lt;&gt;"",$C6842&lt;&gt;""),MAX($A$6492:$A6841)+1,"")</f>
        <v>53</v>
      </c>
      <c r="B6842" s="359" t="s">
        <v>826</v>
      </c>
      <c r="C6842" s="370" t="s">
        <v>1559</v>
      </c>
      <c r="D6842" s="327">
        <f>IF($B6842="","",COUNTIF($B$6:$B6842,$B6842))</f>
        <v>30</v>
      </c>
      <c r="E6842" s="361"/>
      <c r="F6842" s="362"/>
      <c r="G6842" s="327" t="s">
        <v>240</v>
      </c>
      <c r="H6842" s="361"/>
      <c r="I6842" s="327">
        <v>2</v>
      </c>
      <c r="J6842" s="361" t="s">
        <v>827</v>
      </c>
      <c r="K6842" s="327"/>
      <c r="L6842" s="389"/>
      <c r="M6842" s="355"/>
      <c r="N6842" s="355" t="str">
        <f t="shared" si="448"/>
        <v>KI</v>
      </c>
      <c r="O6842" s="345" t="str">
        <f t="shared" si="386"/>
        <v/>
      </c>
      <c r="P6842" s="361"/>
      <c r="Q6842" s="327"/>
      <c r="R6842" s="361"/>
      <c r="S6842" s="361"/>
      <c r="T6842" s="361"/>
      <c r="U6842" s="329" t="str">
        <f>IF($N6842=$N$4,IFERROR(INDEX(DanhMuc!$E$154:$E$165,MATCH(MID($B6842,4,2),DanhMuc!$B$154:$B$165,0)),""),"")</f>
        <v/>
      </c>
      <c r="V6842" s="361"/>
      <c r="W6842" s="345"/>
      <c r="X6842" s="365"/>
      <c r="Y6842" s="1128" t="s">
        <v>3380</v>
      </c>
      <c r="Z6842" s="1128" t="s">
        <v>3381</v>
      </c>
      <c r="AA6842" s="1128" t="s">
        <v>3384</v>
      </c>
    </row>
    <row r="6843" spans="1:27" ht="39">
      <c r="A6843" s="327">
        <f>IF(AND($B6843&lt;&gt;"",$C6843&lt;&gt;""),MAX($A$6492:$A6842)+1,"")</f>
        <v>54</v>
      </c>
      <c r="B6843" s="359" t="s">
        <v>1937</v>
      </c>
      <c r="C6843" s="370" t="s">
        <v>1938</v>
      </c>
      <c r="D6843" s="327">
        <f>IF($B6843="","",COUNTIF($B$6:$B6843,$B6843))</f>
        <v>32</v>
      </c>
      <c r="E6843" s="361"/>
      <c r="F6843" s="362"/>
      <c r="G6843" s="327" t="s">
        <v>240</v>
      </c>
      <c r="H6843" s="361"/>
      <c r="I6843" s="327">
        <v>3</v>
      </c>
      <c r="J6843" s="361" t="s">
        <v>1947</v>
      </c>
      <c r="K6843" s="327"/>
      <c r="L6843" s="389"/>
      <c r="M6843" s="355"/>
      <c r="N6843" s="355" t="str">
        <f t="shared" si="448"/>
        <v>KI</v>
      </c>
      <c r="O6843" s="345" t="str">
        <f t="shared" si="386"/>
        <v/>
      </c>
      <c r="P6843" s="361"/>
      <c r="Q6843" s="327"/>
      <c r="R6843" s="361"/>
      <c r="S6843" s="361"/>
      <c r="T6843" s="361"/>
      <c r="U6843" s="329" t="str">
        <f>IF($N6843=$N$4,IFERROR(INDEX(DanhMuc!$E$154:$E$165,MATCH(MID($B6843,4,2),DanhMuc!$B$154:$B$165,0)),""),"")</f>
        <v/>
      </c>
      <c r="V6843" s="361"/>
      <c r="W6843" s="345"/>
      <c r="X6843" s="365"/>
      <c r="Y6843" s="1128" t="s">
        <v>3380</v>
      </c>
      <c r="Z6843" s="1128" t="s">
        <v>3381</v>
      </c>
      <c r="AA6843" s="1128" t="s">
        <v>3384</v>
      </c>
    </row>
    <row r="6844" spans="1:27" ht="39">
      <c r="A6844" s="327">
        <f>IF(AND($B6844&lt;&gt;"",$C6844&lt;&gt;""),MAX($A$6492:$A6843)+1,"")</f>
        <v>55</v>
      </c>
      <c r="B6844" s="359" t="s">
        <v>1951</v>
      </c>
      <c r="C6844" s="370" t="s">
        <v>1950</v>
      </c>
      <c r="D6844" s="327">
        <f>IF($B6844="","",COUNTIF($B$6:$B6844,$B6844))</f>
        <v>32</v>
      </c>
      <c r="E6844" s="361"/>
      <c r="F6844" s="362"/>
      <c r="G6844" s="327" t="s">
        <v>240</v>
      </c>
      <c r="H6844" s="361"/>
      <c r="I6844" s="327">
        <v>4</v>
      </c>
      <c r="J6844" s="361" t="s">
        <v>1956</v>
      </c>
      <c r="K6844" s="327"/>
      <c r="L6844" s="389"/>
      <c r="M6844" s="355"/>
      <c r="N6844" s="355" t="str">
        <f t="shared" si="448"/>
        <v>KI</v>
      </c>
      <c r="O6844" s="345" t="str">
        <f t="shared" si="386"/>
        <v/>
      </c>
      <c r="P6844" s="361"/>
      <c r="Q6844" s="327"/>
      <c r="R6844" s="361"/>
      <c r="S6844" s="361"/>
      <c r="T6844" s="361"/>
      <c r="U6844" s="329" t="str">
        <f>IF($N6844=$N$4,IFERROR(INDEX(DanhMuc!$E$154:$E$165,MATCH(MID($B6844,4,2),DanhMuc!$B$154:$B$165,0)),""),"")</f>
        <v/>
      </c>
      <c r="V6844" s="361"/>
      <c r="W6844" s="345"/>
      <c r="X6844" s="365"/>
      <c r="Y6844" s="1128" t="s">
        <v>3380</v>
      </c>
      <c r="Z6844" s="1128" t="s">
        <v>3381</v>
      </c>
      <c r="AA6844" s="1128" t="s">
        <v>3384</v>
      </c>
    </row>
    <row r="6845" spans="1:27" ht="26">
      <c r="A6845" s="327">
        <f>IF(AND($B6845&lt;&gt;"",$C6845&lt;&gt;""),MAX($A$6492:$A6842)+1,"")</f>
        <v>54</v>
      </c>
      <c r="B6845" s="359" t="s">
        <v>838</v>
      </c>
      <c r="C6845" s="370" t="s">
        <v>1562</v>
      </c>
      <c r="D6845" s="327">
        <f>IF($B6845="","",COUNTIF($B$6:$B6845,$B6845))</f>
        <v>27</v>
      </c>
      <c r="E6845" s="361"/>
      <c r="F6845" s="362"/>
      <c r="G6845" s="327" t="s">
        <v>240</v>
      </c>
      <c r="H6845" s="361"/>
      <c r="I6845" s="327">
        <v>2</v>
      </c>
      <c r="J6845" s="361" t="s">
        <v>847</v>
      </c>
      <c r="K6845" s="327"/>
      <c r="L6845" s="389"/>
      <c r="M6845" s="355"/>
      <c r="N6845" s="355" t="str">
        <f t="shared" si="448"/>
        <v>KI</v>
      </c>
      <c r="O6845" s="345" t="str">
        <f t="shared" si="386"/>
        <v/>
      </c>
      <c r="P6845" s="361"/>
      <c r="Q6845" s="327"/>
      <c r="R6845" s="361"/>
      <c r="S6845" s="361"/>
      <c r="T6845" s="361"/>
      <c r="U6845" s="329" t="str">
        <f>IF($N6845=$N$4,IFERROR(INDEX(DanhMuc!$E$154:$E$165,MATCH(MID($B6845,4,2),DanhMuc!$B$154:$B$165,0)),""),"")</f>
        <v/>
      </c>
      <c r="V6845" s="361"/>
      <c r="W6845" s="345"/>
      <c r="X6845" s="365"/>
      <c r="Y6845" s="1128" t="s">
        <v>3380</v>
      </c>
      <c r="Z6845" s="1128" t="s">
        <v>3381</v>
      </c>
      <c r="AA6845" s="1128" t="s">
        <v>3384</v>
      </c>
    </row>
    <row r="6846" spans="1:27" ht="26">
      <c r="A6846" s="327">
        <f>IF(AND($B6846&lt;&gt;"",$C6846&lt;&gt;""),MAX($A$6492:$A6845)+1,"")</f>
        <v>56</v>
      </c>
      <c r="B6846" s="359" t="s">
        <v>848</v>
      </c>
      <c r="C6846" s="370" t="s">
        <v>1563</v>
      </c>
      <c r="D6846" s="327">
        <f>IF($B6846="","",COUNTIF($B$6:$B6846,$B6846))</f>
        <v>32</v>
      </c>
      <c r="E6846" s="361"/>
      <c r="F6846" s="362"/>
      <c r="G6846" s="327" t="s">
        <v>240</v>
      </c>
      <c r="H6846" s="361"/>
      <c r="I6846" s="327">
        <v>2</v>
      </c>
      <c r="J6846" s="361" t="s">
        <v>849</v>
      </c>
      <c r="K6846" s="327"/>
      <c r="L6846" s="389"/>
      <c r="M6846" s="355"/>
      <c r="N6846" s="355" t="str">
        <f t="shared" si="448"/>
        <v>KI</v>
      </c>
      <c r="O6846" s="345" t="str">
        <f t="shared" si="386"/>
        <v/>
      </c>
      <c r="P6846" s="361"/>
      <c r="Q6846" s="327"/>
      <c r="R6846" s="361"/>
      <c r="S6846" s="361"/>
      <c r="T6846" s="361"/>
      <c r="U6846" s="329" t="str">
        <f>IF($N6846=$N$4,IFERROR(INDEX(DanhMuc!$E$154:$E$165,MATCH(MID($B6846,4,2),DanhMuc!$B$154:$B$165,0)),""),"")</f>
        <v/>
      </c>
      <c r="V6846" s="361"/>
      <c r="W6846" s="345"/>
      <c r="X6846" s="365"/>
      <c r="Y6846" s="1128" t="s">
        <v>3380</v>
      </c>
      <c r="Z6846" s="1128" t="s">
        <v>3381</v>
      </c>
      <c r="AA6846" s="1128" t="s">
        <v>3384</v>
      </c>
    </row>
    <row r="6847" spans="1:27">
      <c r="A6847" s="327" t="str">
        <f>IF(AND($B6847&lt;&gt;"",$C6847&lt;&gt;""),MAX($A$6492:$A6846)+1,"")</f>
        <v/>
      </c>
      <c r="B6847" s="361" t="s">
        <v>848</v>
      </c>
      <c r="C6847" s="431"/>
      <c r="D6847" s="327">
        <f>IF($B6847="","",COUNTIF($B$6:$B6847,$B6847))</f>
        <v>33</v>
      </c>
      <c r="E6847" s="361"/>
      <c r="F6847" s="362"/>
      <c r="G6847" s="327" t="s">
        <v>240</v>
      </c>
      <c r="H6847" s="361"/>
      <c r="I6847" s="327">
        <v>1</v>
      </c>
      <c r="J6847" s="361" t="s">
        <v>850</v>
      </c>
      <c r="K6847" s="327"/>
      <c r="L6847" s="389"/>
      <c r="M6847" s="355"/>
      <c r="N6847" s="355" t="str">
        <f t="shared" si="448"/>
        <v>KI</v>
      </c>
      <c r="O6847" s="345" t="str">
        <f t="shared" si="386"/>
        <v/>
      </c>
      <c r="P6847" s="361"/>
      <c r="Q6847" s="327"/>
      <c r="R6847" s="361"/>
      <c r="S6847" s="361"/>
      <c r="T6847" s="361"/>
      <c r="U6847" s="329" t="str">
        <f>IF($N6847=$N$4,IFERROR(INDEX(DanhMuc!$E$154:$E$165,MATCH(MID($B6847,4,2),DanhMuc!$B$154:$B$165,0)),""),"")</f>
        <v/>
      </c>
      <c r="V6847" s="361"/>
      <c r="W6847" s="345"/>
      <c r="X6847" s="365"/>
      <c r="Y6847" s="1128" t="s">
        <v>3380</v>
      </c>
      <c r="Z6847" s="1128" t="s">
        <v>3381</v>
      </c>
      <c r="AA6847" s="1128" t="s">
        <v>3384</v>
      </c>
    </row>
    <row r="6848" spans="1:27" ht="26">
      <c r="A6848" s="327">
        <f>IF(AND($B6848&lt;&gt;"",$C6848&lt;&gt;""),MAX($A$6492:$A6847)+1,"")</f>
        <v>57</v>
      </c>
      <c r="B6848" s="359" t="s">
        <v>855</v>
      </c>
      <c r="C6848" s="370" t="s">
        <v>1564</v>
      </c>
      <c r="D6848" s="327">
        <f>IF($B6848="","",COUNTIF($B$6:$B6848,$B6848))</f>
        <v>28</v>
      </c>
      <c r="E6848" s="361"/>
      <c r="F6848" s="362"/>
      <c r="G6848" s="327" t="s">
        <v>240</v>
      </c>
      <c r="H6848" s="361"/>
      <c r="I6848" s="327">
        <v>4</v>
      </c>
      <c r="J6848" s="361" t="s">
        <v>858</v>
      </c>
      <c r="K6848" s="327"/>
      <c r="L6848" s="389"/>
      <c r="M6848" s="355"/>
      <c r="N6848" s="355" t="str">
        <f t="shared" si="448"/>
        <v>KI</v>
      </c>
      <c r="O6848" s="345" t="str">
        <f t="shared" si="386"/>
        <v/>
      </c>
      <c r="P6848" s="361"/>
      <c r="Q6848" s="327"/>
      <c r="R6848" s="361"/>
      <c r="S6848" s="361"/>
      <c r="T6848" s="361"/>
      <c r="U6848" s="329" t="str">
        <f>IF($N6848=$N$4,IFERROR(INDEX(DanhMuc!$E$154:$E$165,MATCH(MID($B6848,4,2),DanhMuc!$B$154:$B$165,0)),""),"")</f>
        <v/>
      </c>
      <c r="V6848" s="361"/>
      <c r="W6848" s="345"/>
      <c r="X6848" s="365"/>
      <c r="Y6848" s="1128" t="s">
        <v>3380</v>
      </c>
      <c r="Z6848" s="1128" t="s">
        <v>3381</v>
      </c>
      <c r="AA6848" s="1128" t="s">
        <v>3384</v>
      </c>
    </row>
    <row r="6849" spans="1:27" ht="26">
      <c r="A6849" s="327">
        <f>IF(AND($B6849&lt;&gt;"",$C6849&lt;&gt;""),MAX($A$6492:$A6848)+1,"")</f>
        <v>58</v>
      </c>
      <c r="B6849" s="359" t="s">
        <v>616</v>
      </c>
      <c r="C6849" s="370" t="s">
        <v>1565</v>
      </c>
      <c r="D6849" s="327">
        <f>IF($B6849="","",COUNTIF($B$6:$B6849,$B6849))</f>
        <v>27</v>
      </c>
      <c r="E6849" s="361"/>
      <c r="F6849" s="362"/>
      <c r="G6849" s="327" t="s">
        <v>240</v>
      </c>
      <c r="H6849" s="361"/>
      <c r="I6849" s="327">
        <v>1</v>
      </c>
      <c r="J6849" s="361" t="s">
        <v>774</v>
      </c>
      <c r="K6849" s="327"/>
      <c r="L6849" s="389"/>
      <c r="M6849" s="355"/>
      <c r="N6849" s="355" t="str">
        <f t="shared" si="448"/>
        <v>KI</v>
      </c>
      <c r="O6849" s="345" t="str">
        <f t="shared" si="386"/>
        <v/>
      </c>
      <c r="P6849" s="361"/>
      <c r="Q6849" s="327"/>
      <c r="R6849" s="361"/>
      <c r="S6849" s="361"/>
      <c r="T6849" s="361"/>
      <c r="U6849" s="329" t="str">
        <f>IF($N6849=$N$4,IFERROR(INDEX(DanhMuc!$E$154:$E$165,MATCH(MID($B6849,4,2),DanhMuc!$B$154:$B$165,0)),""),"")</f>
        <v/>
      </c>
      <c r="V6849" s="361"/>
      <c r="W6849" s="345"/>
      <c r="X6849" s="365"/>
      <c r="Y6849" s="1128" t="s">
        <v>3380</v>
      </c>
      <c r="Z6849" s="1128" t="s">
        <v>3381</v>
      </c>
      <c r="AA6849" s="1128" t="s">
        <v>3384</v>
      </c>
    </row>
    <row r="6850" spans="1:27" ht="26">
      <c r="A6850" s="327">
        <f>IF(AND($B6850&lt;&gt;"",$C6850&lt;&gt;""),MAX($A$6492:$A6849)+1,"")</f>
        <v>59</v>
      </c>
      <c r="B6850" s="359" t="s">
        <v>773</v>
      </c>
      <c r="C6850" s="370" t="s">
        <v>1566</v>
      </c>
      <c r="D6850" s="327">
        <f>IF($B6850="","",COUNTIF($B$6:$B6850,$B6850))</f>
        <v>28</v>
      </c>
      <c r="E6850" s="361"/>
      <c r="F6850" s="362"/>
      <c r="G6850" s="327" t="s">
        <v>240</v>
      </c>
      <c r="H6850" s="361"/>
      <c r="I6850" s="327">
        <v>2</v>
      </c>
      <c r="J6850" s="361" t="s">
        <v>779</v>
      </c>
      <c r="K6850" s="327"/>
      <c r="L6850" s="389"/>
      <c r="M6850" s="355"/>
      <c r="N6850" s="355" t="str">
        <f t="shared" si="448"/>
        <v>KI</v>
      </c>
      <c r="O6850" s="345" t="str">
        <f t="shared" si="386"/>
        <v/>
      </c>
      <c r="P6850" s="361"/>
      <c r="Q6850" s="327"/>
      <c r="R6850" s="361"/>
      <c r="S6850" s="361"/>
      <c r="T6850" s="361"/>
      <c r="U6850" s="329" t="str">
        <f>IF($N6850=$N$4,IFERROR(INDEX(DanhMuc!$E$154:$E$165,MATCH(MID($B6850,4,2),DanhMuc!$B$154:$B$165,0)),""),"")</f>
        <v/>
      </c>
      <c r="V6850" s="361"/>
      <c r="W6850" s="345"/>
      <c r="X6850" s="365"/>
      <c r="Y6850" s="1128" t="s">
        <v>3380</v>
      </c>
      <c r="Z6850" s="1128" t="s">
        <v>3381</v>
      </c>
      <c r="AA6850" s="1128" t="s">
        <v>3384</v>
      </c>
    </row>
    <row r="6851" spans="1:27" ht="26">
      <c r="A6851" s="327">
        <f>IF(AND($B6851&lt;&gt;"",$C6851&lt;&gt;""),MAX($A$6492:$A6850)+1,"")</f>
        <v>60</v>
      </c>
      <c r="B6851" s="359" t="s">
        <v>780</v>
      </c>
      <c r="C6851" s="370" t="s">
        <v>1567</v>
      </c>
      <c r="D6851" s="327">
        <f>IF($B6851="","",COUNTIF($B$6:$B6851,$B6851))</f>
        <v>30</v>
      </c>
      <c r="E6851" s="361"/>
      <c r="F6851" s="362"/>
      <c r="G6851" s="327" t="s">
        <v>240</v>
      </c>
      <c r="H6851" s="361"/>
      <c r="I6851" s="327">
        <v>3</v>
      </c>
      <c r="J6851" s="361" t="s">
        <v>861</v>
      </c>
      <c r="K6851" s="327"/>
      <c r="L6851" s="389"/>
      <c r="M6851" s="355"/>
      <c r="N6851" s="355" t="str">
        <f t="shared" si="448"/>
        <v>KI</v>
      </c>
      <c r="O6851" s="345" t="str">
        <f t="shared" si="386"/>
        <v/>
      </c>
      <c r="P6851" s="361"/>
      <c r="Q6851" s="327"/>
      <c r="R6851" s="361"/>
      <c r="S6851" s="361"/>
      <c r="T6851" s="361"/>
      <c r="U6851" s="329" t="str">
        <f>IF($N6851=$N$4,IFERROR(INDEX(DanhMuc!$E$154:$E$165,MATCH(MID($B6851,4,2),DanhMuc!$B$154:$B$165,0)),""),"")</f>
        <v/>
      </c>
      <c r="V6851" s="361"/>
      <c r="W6851" s="345"/>
      <c r="X6851" s="365"/>
      <c r="Y6851" s="1128" t="s">
        <v>3380</v>
      </c>
      <c r="Z6851" s="1128" t="s">
        <v>3381</v>
      </c>
      <c r="AA6851" s="1128" t="s">
        <v>3384</v>
      </c>
    </row>
    <row r="6852" spans="1:27" ht="26">
      <c r="A6852" s="327">
        <f>IF(AND($B6852&lt;&gt;"",$C6852&lt;&gt;""),MAX($A$6492:$A6851)+1,"")</f>
        <v>61</v>
      </c>
      <c r="B6852" s="359" t="s">
        <v>781</v>
      </c>
      <c r="C6852" s="370" t="s">
        <v>1568</v>
      </c>
      <c r="D6852" s="327">
        <f>IF($B6852="","",COUNTIF($B$6:$B6852,$B6852))</f>
        <v>30</v>
      </c>
      <c r="E6852" s="361"/>
      <c r="F6852" s="362"/>
      <c r="G6852" s="327" t="s">
        <v>240</v>
      </c>
      <c r="H6852" s="361"/>
      <c r="I6852" s="327">
        <v>4</v>
      </c>
      <c r="J6852" s="361" t="s">
        <v>784</v>
      </c>
      <c r="K6852" s="327"/>
      <c r="L6852" s="389"/>
      <c r="M6852" s="355"/>
      <c r="N6852" s="355" t="str">
        <f t="shared" si="448"/>
        <v>KI</v>
      </c>
      <c r="O6852" s="345" t="str">
        <f t="shared" si="386"/>
        <v/>
      </c>
      <c r="P6852" s="361"/>
      <c r="Q6852" s="327"/>
      <c r="R6852" s="361"/>
      <c r="S6852" s="361"/>
      <c r="T6852" s="361"/>
      <c r="U6852" s="329" t="str">
        <f>IF($N6852=$N$4,IFERROR(INDEX(DanhMuc!$E$154:$E$165,MATCH(MID($B6852,4,2),DanhMuc!$B$154:$B$165,0)),""),"")</f>
        <v/>
      </c>
      <c r="V6852" s="361"/>
      <c r="W6852" s="345"/>
      <c r="X6852" s="365"/>
      <c r="Y6852" s="1128" t="s">
        <v>3380</v>
      </c>
      <c r="Z6852" s="1128" t="s">
        <v>3381</v>
      </c>
      <c r="AA6852" s="1128" t="s">
        <v>3384</v>
      </c>
    </row>
    <row r="6853" spans="1:27" ht="26">
      <c r="A6853" s="327">
        <f>IF(AND($B6853&lt;&gt;"",$C6853&lt;&gt;""),MAX($A$6492:$A6852)+1,"")</f>
        <v>62</v>
      </c>
      <c r="B6853" s="359" t="s">
        <v>862</v>
      </c>
      <c r="C6853" s="370" t="s">
        <v>1595</v>
      </c>
      <c r="D6853" s="327">
        <f>IF($B6853="","",COUNTIF($B$6:$B6853,$B6853))</f>
        <v>25</v>
      </c>
      <c r="E6853" s="361"/>
      <c r="F6853" s="362"/>
      <c r="G6853" s="327" t="s">
        <v>240</v>
      </c>
      <c r="H6853" s="361"/>
      <c r="I6853" s="327">
        <v>1</v>
      </c>
      <c r="J6853" s="361" t="s">
        <v>774</v>
      </c>
      <c r="K6853" s="327"/>
      <c r="L6853" s="389"/>
      <c r="M6853" s="355"/>
      <c r="N6853" s="355" t="str">
        <f t="shared" si="448"/>
        <v>KI</v>
      </c>
      <c r="O6853" s="345" t="str">
        <f t="shared" si="386"/>
        <v/>
      </c>
      <c r="P6853" s="361"/>
      <c r="Q6853" s="327"/>
      <c r="R6853" s="361"/>
      <c r="S6853" s="361"/>
      <c r="T6853" s="361"/>
      <c r="U6853" s="329" t="str">
        <f>IF($N6853=$N$4,IFERROR(INDEX(DanhMuc!$E$154:$E$165,MATCH(MID($B6853,4,2),DanhMuc!$B$154:$B$165,0)),""),"")</f>
        <v/>
      </c>
      <c r="V6853" s="361"/>
      <c r="W6853" s="345"/>
      <c r="X6853" s="365"/>
      <c r="Y6853" s="1128" t="s">
        <v>3380</v>
      </c>
      <c r="Z6853" s="1128" t="s">
        <v>3381</v>
      </c>
      <c r="AA6853" s="1128" t="s">
        <v>3384</v>
      </c>
    </row>
    <row r="6854" spans="1:27" ht="26">
      <c r="A6854" s="327">
        <f>IF(AND($B6854&lt;&gt;"",$C6854&lt;&gt;""),MAX($A$6492:$A6853)+1,"")</f>
        <v>63</v>
      </c>
      <c r="B6854" s="359" t="s">
        <v>786</v>
      </c>
      <c r="C6854" s="370" t="s">
        <v>1569</v>
      </c>
      <c r="D6854" s="327">
        <f>IF($B6854="","",COUNTIF($B$6:$B6854,$B6854))</f>
        <v>27</v>
      </c>
      <c r="E6854" s="361"/>
      <c r="F6854" s="362"/>
      <c r="G6854" s="327" t="s">
        <v>240</v>
      </c>
      <c r="H6854" s="361"/>
      <c r="I6854" s="327">
        <v>2</v>
      </c>
      <c r="J6854" s="361" t="s">
        <v>785</v>
      </c>
      <c r="K6854" s="327"/>
      <c r="L6854" s="389"/>
      <c r="M6854" s="355"/>
      <c r="N6854" s="355" t="str">
        <f t="shared" si="448"/>
        <v>KI</v>
      </c>
      <c r="O6854" s="345" t="str">
        <f t="shared" si="386"/>
        <v/>
      </c>
      <c r="P6854" s="361"/>
      <c r="Q6854" s="327"/>
      <c r="R6854" s="361"/>
      <c r="S6854" s="361"/>
      <c r="T6854" s="361"/>
      <c r="U6854" s="329" t="str">
        <f>IF($N6854=$N$4,IFERROR(INDEX(DanhMuc!$E$154:$E$165,MATCH(MID($B6854,4,2),DanhMuc!$B$154:$B$165,0)),""),"")</f>
        <v/>
      </c>
      <c r="V6854" s="361"/>
      <c r="W6854" s="345"/>
      <c r="X6854" s="365"/>
      <c r="Y6854" s="1128" t="s">
        <v>3380</v>
      </c>
      <c r="Z6854" s="1128" t="s">
        <v>3381</v>
      </c>
      <c r="AA6854" s="1128" t="s">
        <v>3384</v>
      </c>
    </row>
    <row r="6855" spans="1:27" ht="26">
      <c r="A6855" s="327">
        <f>IF(AND($B6855&lt;&gt;"",$C6855&lt;&gt;""),MAX($A$6492:$A6854)+1,"")</f>
        <v>64</v>
      </c>
      <c r="B6855" s="359" t="s">
        <v>799</v>
      </c>
      <c r="C6855" s="370" t="s">
        <v>1570</v>
      </c>
      <c r="D6855" s="327">
        <f>IF($B6855="","",COUNTIF($B$6:$B6855,$B6855))</f>
        <v>32</v>
      </c>
      <c r="E6855" s="361"/>
      <c r="F6855" s="362"/>
      <c r="G6855" s="327" t="s">
        <v>240</v>
      </c>
      <c r="H6855" s="361"/>
      <c r="I6855" s="327">
        <v>2</v>
      </c>
      <c r="J6855" s="361" t="s">
        <v>808</v>
      </c>
      <c r="K6855" s="327"/>
      <c r="L6855" s="389"/>
      <c r="M6855" s="355"/>
      <c r="N6855" s="355" t="str">
        <f t="shared" si="448"/>
        <v>KI</v>
      </c>
      <c r="O6855" s="345" t="str">
        <f t="shared" si="386"/>
        <v/>
      </c>
      <c r="P6855" s="361"/>
      <c r="Q6855" s="327"/>
      <c r="R6855" s="361"/>
      <c r="S6855" s="361"/>
      <c r="T6855" s="361"/>
      <c r="U6855" s="329" t="str">
        <f>IF($N6855=$N$4,IFERROR(INDEX(DanhMuc!$E$154:$E$165,MATCH(MID($B6855,4,2),DanhMuc!$B$154:$B$165,0)),""),"")</f>
        <v/>
      </c>
      <c r="V6855" s="361"/>
      <c r="W6855" s="345"/>
      <c r="X6855" s="365"/>
      <c r="Y6855" s="1128" t="s">
        <v>3380</v>
      </c>
      <c r="Z6855" s="1128" t="s">
        <v>3381</v>
      </c>
      <c r="AA6855" s="1128" t="s">
        <v>3384</v>
      </c>
    </row>
    <row r="6856" spans="1:27">
      <c r="A6856" s="327" t="str">
        <f>IF(AND($B6856&lt;&gt;"",$C6856&lt;&gt;""),MAX($A$6492:$A6855)+1,"")</f>
        <v/>
      </c>
      <c r="B6856" s="361" t="s">
        <v>799</v>
      </c>
      <c r="C6856" s="360"/>
      <c r="D6856" s="327">
        <f>IF($B6856="","",COUNTIF($B$6:$B6856,$B6856))</f>
        <v>33</v>
      </c>
      <c r="E6856" s="361"/>
      <c r="F6856" s="362"/>
      <c r="G6856" s="327" t="s">
        <v>240</v>
      </c>
      <c r="H6856" s="361"/>
      <c r="I6856" s="327">
        <v>1</v>
      </c>
      <c r="J6856" s="361" t="s">
        <v>809</v>
      </c>
      <c r="K6856" s="327"/>
      <c r="L6856" s="389"/>
      <c r="M6856" s="355"/>
      <c r="N6856" s="355" t="str">
        <f t="shared" si="448"/>
        <v>KI</v>
      </c>
      <c r="O6856" s="345" t="str">
        <f t="shared" si="386"/>
        <v/>
      </c>
      <c r="P6856" s="361"/>
      <c r="Q6856" s="327"/>
      <c r="R6856" s="361"/>
      <c r="S6856" s="361"/>
      <c r="T6856" s="361"/>
      <c r="U6856" s="329" t="str">
        <f>IF($N6856=$N$4,IFERROR(INDEX(DanhMuc!$E$154:$E$165,MATCH(MID($B6856,4,2),DanhMuc!$B$154:$B$165,0)),""),"")</f>
        <v/>
      </c>
      <c r="V6856" s="361"/>
      <c r="W6856" s="345"/>
      <c r="X6856" s="365"/>
      <c r="Y6856" s="1128" t="s">
        <v>3380</v>
      </c>
      <c r="Z6856" s="1128" t="s">
        <v>3381</v>
      </c>
      <c r="AA6856" s="1128" t="s">
        <v>3384</v>
      </c>
    </row>
    <row r="6857" spans="1:27" ht="26">
      <c r="A6857" s="327">
        <f>IF(AND($B6857&lt;&gt;"",$C6857&lt;&gt;""),MAX($A$6492:$A6856)+1,"")</f>
        <v>65</v>
      </c>
      <c r="B6857" s="359" t="s">
        <v>811</v>
      </c>
      <c r="C6857" s="370" t="s">
        <v>1571</v>
      </c>
      <c r="D6857" s="327">
        <f>IF($B6857="","",COUNTIF($B$6:$B6857,$B6857))</f>
        <v>28</v>
      </c>
      <c r="E6857" s="361"/>
      <c r="F6857" s="362"/>
      <c r="G6857" s="327" t="s">
        <v>240</v>
      </c>
      <c r="H6857" s="361"/>
      <c r="I6857" s="327">
        <v>4</v>
      </c>
      <c r="J6857" s="361" t="s">
        <v>810</v>
      </c>
      <c r="K6857" s="327"/>
      <c r="L6857" s="389"/>
      <c r="M6857" s="355"/>
      <c r="N6857" s="355" t="str">
        <f t="shared" si="448"/>
        <v>KI</v>
      </c>
      <c r="O6857" s="345" t="str">
        <f t="shared" si="386"/>
        <v/>
      </c>
      <c r="P6857" s="361"/>
      <c r="Q6857" s="327"/>
      <c r="R6857" s="361"/>
      <c r="S6857" s="361"/>
      <c r="T6857" s="361"/>
      <c r="U6857" s="329" t="str">
        <f>IF($N6857=$N$4,IFERROR(INDEX(DanhMuc!$E$154:$E$165,MATCH(MID($B6857,4,2),DanhMuc!$B$154:$B$165,0)),""),"")</f>
        <v/>
      </c>
      <c r="V6857" s="361"/>
      <c r="W6857" s="345"/>
      <c r="X6857" s="365"/>
      <c r="Y6857" s="1128" t="s">
        <v>3380</v>
      </c>
      <c r="Z6857" s="1128" t="s">
        <v>3381</v>
      </c>
      <c r="AA6857" s="1128" t="s">
        <v>3384</v>
      </c>
    </row>
    <row r="6858" spans="1:27" ht="26">
      <c r="A6858" s="327">
        <f>IF(AND($B6858&lt;&gt;"",$C6858&lt;&gt;""),MAX($A$6492:$A6857)+1,"")</f>
        <v>66</v>
      </c>
      <c r="B6858" s="359" t="s">
        <v>929</v>
      </c>
      <c r="C6858" s="370" t="s">
        <v>1572</v>
      </c>
      <c r="D6858" s="327">
        <f>IF($B6858="","",COUNTIF($B$6:$B6858,$B6858))</f>
        <v>21</v>
      </c>
      <c r="E6858" s="361"/>
      <c r="F6858" s="362"/>
      <c r="G6858" s="327" t="s">
        <v>240</v>
      </c>
      <c r="H6858" s="361"/>
      <c r="I6858" s="327">
        <v>1</v>
      </c>
      <c r="J6858" s="361" t="s">
        <v>940</v>
      </c>
      <c r="K6858" s="327"/>
      <c r="L6858" s="389"/>
      <c r="M6858" s="355"/>
      <c r="N6858" s="355" t="str">
        <f t="shared" si="448"/>
        <v>KI</v>
      </c>
      <c r="O6858" s="345" t="str">
        <f t="shared" si="386"/>
        <v/>
      </c>
      <c r="P6858" s="361"/>
      <c r="Q6858" s="327"/>
      <c r="R6858" s="361"/>
      <c r="S6858" s="361"/>
      <c r="T6858" s="361"/>
      <c r="U6858" s="329" t="str">
        <f>IF($N6858=$N$4,IFERROR(INDEX(DanhMuc!$E$154:$E$165,MATCH(MID($B6858,4,2),DanhMuc!$B$154:$B$165,0)),""),"")</f>
        <v/>
      </c>
      <c r="V6858" s="361"/>
      <c r="W6858" s="345"/>
      <c r="X6858" s="365"/>
      <c r="Y6858" s="1128" t="s">
        <v>3380</v>
      </c>
      <c r="Z6858" s="1128" t="s">
        <v>3381</v>
      </c>
      <c r="AA6858" s="1128" t="s">
        <v>3384</v>
      </c>
    </row>
    <row r="6859" spans="1:27" ht="26">
      <c r="A6859" s="327">
        <f>IF(AND($B6859&lt;&gt;"",$C6859&lt;&gt;""),MAX($A$6492:$A6858)+1,"")</f>
        <v>67</v>
      </c>
      <c r="B6859" s="359" t="s">
        <v>932</v>
      </c>
      <c r="C6859" s="370" t="s">
        <v>1573</v>
      </c>
      <c r="D6859" s="327">
        <f>IF($B6859="","",COUNTIF($B$6:$B6859,$B6859))</f>
        <v>21</v>
      </c>
      <c r="E6859" s="361"/>
      <c r="F6859" s="362"/>
      <c r="G6859" s="327" t="s">
        <v>240</v>
      </c>
      <c r="H6859" s="361"/>
      <c r="I6859" s="327">
        <v>1</v>
      </c>
      <c r="J6859" s="361" t="s">
        <v>942</v>
      </c>
      <c r="K6859" s="327"/>
      <c r="L6859" s="389"/>
      <c r="M6859" s="355"/>
      <c r="N6859" s="355" t="str">
        <f t="shared" si="448"/>
        <v>KI</v>
      </c>
      <c r="O6859" s="345" t="str">
        <f t="shared" si="386"/>
        <v/>
      </c>
      <c r="P6859" s="361"/>
      <c r="Q6859" s="327"/>
      <c r="R6859" s="361"/>
      <c r="S6859" s="361"/>
      <c r="T6859" s="361"/>
      <c r="U6859" s="329" t="str">
        <f>IF($N6859=$N$4,IFERROR(INDEX(DanhMuc!$E$154:$E$165,MATCH(MID($B6859,4,2),DanhMuc!$B$154:$B$165,0)),""),"")</f>
        <v/>
      </c>
      <c r="V6859" s="361"/>
      <c r="W6859" s="345"/>
      <c r="X6859" s="365"/>
      <c r="Y6859" s="1128" t="s">
        <v>3380</v>
      </c>
      <c r="Z6859" s="1128" t="s">
        <v>3381</v>
      </c>
      <c r="AA6859" s="1128" t="s">
        <v>3384</v>
      </c>
    </row>
    <row r="6860" spans="1:27" ht="26">
      <c r="A6860" s="327">
        <f>IF(AND($B6860&lt;&gt;"",$C6860&lt;&gt;""),MAX($A$6492:$A6859)+1,"")</f>
        <v>68</v>
      </c>
      <c r="B6860" s="359" t="s">
        <v>972</v>
      </c>
      <c r="C6860" s="370" t="s">
        <v>1574</v>
      </c>
      <c r="D6860" s="327">
        <f>IF($B6860="","",COUNTIF($B$6:$B6860,$B6860))</f>
        <v>24</v>
      </c>
      <c r="E6860" s="361"/>
      <c r="F6860" s="362"/>
      <c r="G6860" s="327" t="s">
        <v>240</v>
      </c>
      <c r="H6860" s="361"/>
      <c r="I6860" s="327">
        <v>1</v>
      </c>
      <c r="J6860" s="361" t="s">
        <v>1153</v>
      </c>
      <c r="K6860" s="327"/>
      <c r="L6860" s="389"/>
      <c r="M6860" s="355"/>
      <c r="N6860" s="355" t="str">
        <f t="shared" si="448"/>
        <v>KI</v>
      </c>
      <c r="O6860" s="345" t="str">
        <f t="shared" si="386"/>
        <v/>
      </c>
      <c r="P6860" s="361"/>
      <c r="Q6860" s="327"/>
      <c r="R6860" s="361"/>
      <c r="S6860" s="361"/>
      <c r="T6860" s="361"/>
      <c r="U6860" s="329" t="str">
        <f>IF($N6860=$N$4,IFERROR(INDEX(DanhMuc!$E$154:$E$165,MATCH(MID($B6860,4,2),DanhMuc!$B$154:$B$165,0)),""),"")</f>
        <v/>
      </c>
      <c r="V6860" s="361"/>
      <c r="W6860" s="345"/>
      <c r="X6860" s="365"/>
      <c r="Y6860" s="1128" t="s">
        <v>3380</v>
      </c>
      <c r="Z6860" s="1128" t="s">
        <v>3381</v>
      </c>
      <c r="AA6860" s="1128" t="s">
        <v>3384</v>
      </c>
    </row>
    <row r="6861" spans="1:27" ht="26">
      <c r="A6861" s="327">
        <f>IF(AND($B6861&lt;&gt;"",$C6861&lt;&gt;""),MAX($A$6492:$A6860)+1,"")</f>
        <v>69</v>
      </c>
      <c r="B6861" s="359" t="s">
        <v>973</v>
      </c>
      <c r="C6861" s="360" t="s">
        <v>1575</v>
      </c>
      <c r="D6861" s="327">
        <f>IF($B6861="","",COUNTIF($B$6:$B6861,$B6861))</f>
        <v>26</v>
      </c>
      <c r="E6861" s="361"/>
      <c r="F6861" s="362"/>
      <c r="G6861" s="327" t="s">
        <v>240</v>
      </c>
      <c r="H6861" s="361"/>
      <c r="I6861" s="327">
        <v>2</v>
      </c>
      <c r="J6861" s="361" t="s">
        <v>1159</v>
      </c>
      <c r="K6861" s="327"/>
      <c r="L6861" s="389"/>
      <c r="M6861" s="355"/>
      <c r="N6861" s="355" t="str">
        <f t="shared" si="448"/>
        <v>KI</v>
      </c>
      <c r="O6861" s="345" t="str">
        <f t="shared" si="386"/>
        <v/>
      </c>
      <c r="P6861" s="361"/>
      <c r="Q6861" s="327"/>
      <c r="R6861" s="361"/>
      <c r="S6861" s="361"/>
      <c r="T6861" s="361"/>
      <c r="U6861" s="329" t="str">
        <f>IF($N6861=$N$4,IFERROR(INDEX(DanhMuc!$E$154:$E$165,MATCH(MID($B6861,4,2),DanhMuc!$B$154:$B$165,0)),""),"")</f>
        <v/>
      </c>
      <c r="V6861" s="361"/>
      <c r="W6861" s="345"/>
      <c r="X6861" s="365"/>
      <c r="Y6861" s="1128" t="s">
        <v>3380</v>
      </c>
      <c r="Z6861" s="1128" t="s">
        <v>3381</v>
      </c>
      <c r="AA6861" s="1128" t="s">
        <v>3384</v>
      </c>
    </row>
    <row r="6862" spans="1:27" ht="26">
      <c r="A6862" s="327">
        <f>IF(AND($B6862&lt;&gt;"",$C6862&lt;&gt;""),MAX($A$6492:$A6860)+1,"")</f>
        <v>69</v>
      </c>
      <c r="B6862" s="359" t="s">
        <v>1958</v>
      </c>
      <c r="C6862" s="370" t="s">
        <v>1957</v>
      </c>
      <c r="D6862" s="327">
        <f>IF($B6862="","",COUNTIF($B$6:$B6862,$B6862))</f>
        <v>28</v>
      </c>
      <c r="E6862" s="361"/>
      <c r="F6862" s="362"/>
      <c r="G6862" s="327" t="s">
        <v>240</v>
      </c>
      <c r="H6862" s="361"/>
      <c r="I6862" s="327">
        <v>3</v>
      </c>
      <c r="J6862" s="361" t="s">
        <v>1962</v>
      </c>
      <c r="K6862" s="327"/>
      <c r="L6862" s="389"/>
      <c r="M6862" s="355"/>
      <c r="N6862" s="355" t="str">
        <f t="shared" si="448"/>
        <v>KI</v>
      </c>
      <c r="O6862" s="345" t="str">
        <f t="shared" si="386"/>
        <v/>
      </c>
      <c r="P6862" s="361"/>
      <c r="Q6862" s="327"/>
      <c r="R6862" s="361"/>
      <c r="S6862" s="361"/>
      <c r="T6862" s="361"/>
      <c r="U6862" s="329" t="str">
        <f>IF($N6862=$N$4,IFERROR(INDEX(DanhMuc!$E$154:$E$165,MATCH(MID($B6862,4,2),DanhMuc!$B$154:$B$165,0)),""),"")</f>
        <v/>
      </c>
      <c r="V6862" s="361"/>
      <c r="W6862" s="345"/>
      <c r="X6862" s="365"/>
      <c r="Y6862" s="1128" t="s">
        <v>3380</v>
      </c>
      <c r="Z6862" s="1128" t="s">
        <v>3381</v>
      </c>
      <c r="AA6862" s="1128" t="s">
        <v>3384</v>
      </c>
    </row>
    <row r="6863" spans="1:27" ht="26">
      <c r="A6863" s="327">
        <f>IF(AND($B6863&lt;&gt;"",$C6863&lt;&gt;""),MAX($A$6492:$A6861)+1,"")</f>
        <v>70</v>
      </c>
      <c r="B6863" s="359" t="s">
        <v>1158</v>
      </c>
      <c r="C6863" s="370" t="s">
        <v>1593</v>
      </c>
      <c r="D6863" s="327">
        <f>IF($B6863="","",COUNTIF($B$6:$B6863,$B6863))</f>
        <v>28</v>
      </c>
      <c r="E6863" s="361"/>
      <c r="F6863" s="362"/>
      <c r="G6863" s="327" t="s">
        <v>240</v>
      </c>
      <c r="H6863" s="361"/>
      <c r="I6863" s="327">
        <v>4</v>
      </c>
      <c r="J6863" s="361" t="s">
        <v>1163</v>
      </c>
      <c r="K6863" s="327"/>
      <c r="L6863" s="389"/>
      <c r="M6863" s="355"/>
      <c r="N6863" s="355" t="str">
        <f t="shared" ref="N6863:N6872" si="450">+$N$6492</f>
        <v>KI</v>
      </c>
      <c r="O6863" s="345" t="str">
        <f t="shared" si="386"/>
        <v/>
      </c>
      <c r="P6863" s="361"/>
      <c r="Q6863" s="327"/>
      <c r="R6863" s="361"/>
      <c r="S6863" s="361"/>
      <c r="T6863" s="361"/>
      <c r="U6863" s="329" t="str">
        <f>IF($N6863=$N$4,IFERROR(INDEX(DanhMuc!$E$154:$E$165,MATCH(MID($B6863,4,2),DanhMuc!$B$154:$B$165,0)),""),"")</f>
        <v/>
      </c>
      <c r="V6863" s="361"/>
      <c r="W6863" s="345"/>
      <c r="X6863" s="365"/>
      <c r="Y6863" s="1128" t="s">
        <v>3380</v>
      </c>
      <c r="Z6863" s="1128" t="s">
        <v>3381</v>
      </c>
      <c r="AA6863" s="1128" t="s">
        <v>3384</v>
      </c>
    </row>
    <row r="6864" spans="1:27" ht="39">
      <c r="A6864" s="327">
        <f>IF(AND($B6864&lt;&gt;"",$C6864&lt;&gt;""),MAX($A$6492:$A6863)+1,"")</f>
        <v>71</v>
      </c>
      <c r="B6864" s="359" t="s">
        <v>1165</v>
      </c>
      <c r="C6864" s="370" t="s">
        <v>1579</v>
      </c>
      <c r="D6864" s="327">
        <f>IF($B6864="","",COUNTIF($B$6:$B6864,$B6864))</f>
        <v>28</v>
      </c>
      <c r="E6864" s="361"/>
      <c r="F6864" s="362"/>
      <c r="G6864" s="327" t="s">
        <v>240</v>
      </c>
      <c r="H6864" s="361"/>
      <c r="I6864" s="327">
        <v>3</v>
      </c>
      <c r="J6864" s="361" t="s">
        <v>1484</v>
      </c>
      <c r="K6864" s="327"/>
      <c r="L6864" s="389"/>
      <c r="M6864" s="355"/>
      <c r="N6864" s="355" t="str">
        <f t="shared" si="450"/>
        <v>KI</v>
      </c>
      <c r="O6864" s="345" t="str">
        <f t="shared" si="386"/>
        <v/>
      </c>
      <c r="P6864" s="361"/>
      <c r="Q6864" s="327"/>
      <c r="R6864" s="361"/>
      <c r="S6864" s="361"/>
      <c r="T6864" s="361"/>
      <c r="U6864" s="329" t="str">
        <f>IF($N6864=$N$4,IFERROR(INDEX(DanhMuc!$E$154:$E$165,MATCH(MID($B6864,4,2),DanhMuc!$B$154:$B$165,0)),""),"")</f>
        <v/>
      </c>
      <c r="V6864" s="361"/>
      <c r="W6864" s="345"/>
      <c r="X6864" s="365"/>
      <c r="Y6864" s="1128" t="s">
        <v>3380</v>
      </c>
      <c r="Z6864" s="1128" t="s">
        <v>3381</v>
      </c>
      <c r="AA6864" s="1128" t="s">
        <v>3384</v>
      </c>
    </row>
    <row r="6865" spans="1:27" ht="39">
      <c r="A6865" s="327">
        <f>IF(AND($B6865&lt;&gt;"",$C6865&lt;&gt;""),MAX($A$6492:$A6864)+1,"")</f>
        <v>72</v>
      </c>
      <c r="B6865" s="359" t="s">
        <v>1174</v>
      </c>
      <c r="C6865" s="370" t="s">
        <v>1580</v>
      </c>
      <c r="D6865" s="327">
        <f>IF($B6865="","",COUNTIF($B$6:$B6865,$B6865))</f>
        <v>28</v>
      </c>
      <c r="E6865" s="361"/>
      <c r="F6865" s="362"/>
      <c r="G6865" s="327" t="s">
        <v>240</v>
      </c>
      <c r="H6865" s="361"/>
      <c r="I6865" s="327">
        <v>4</v>
      </c>
      <c r="J6865" s="361" t="s">
        <v>1488</v>
      </c>
      <c r="K6865" s="327"/>
      <c r="L6865" s="389"/>
      <c r="M6865" s="355"/>
      <c r="N6865" s="355" t="str">
        <f t="shared" si="450"/>
        <v>KI</v>
      </c>
      <c r="O6865" s="345" t="str">
        <f t="shared" si="386"/>
        <v/>
      </c>
      <c r="P6865" s="361"/>
      <c r="Q6865" s="327"/>
      <c r="R6865" s="361"/>
      <c r="S6865" s="361"/>
      <c r="T6865" s="361"/>
      <c r="U6865" s="329" t="str">
        <f>IF($N6865=$N$4,IFERROR(INDEX(DanhMuc!$E$154:$E$165,MATCH(MID($B6865,4,2),DanhMuc!$B$154:$B$165,0)),""),"")</f>
        <v/>
      </c>
      <c r="V6865" s="361"/>
      <c r="W6865" s="345"/>
      <c r="X6865" s="365"/>
      <c r="Y6865" s="1128" t="s">
        <v>3380</v>
      </c>
      <c r="Z6865" s="1128" t="s">
        <v>3381</v>
      </c>
      <c r="AA6865" s="1128" t="s">
        <v>3384</v>
      </c>
    </row>
    <row r="6866" spans="1:27" ht="39">
      <c r="A6866" s="327">
        <f>IF(AND($B6866&lt;&gt;"",$C6866&lt;&gt;""),MAX($A$6492:$A6865)+1,"")</f>
        <v>73</v>
      </c>
      <c r="B6866" s="359" t="s">
        <v>1175</v>
      </c>
      <c r="C6866" s="370" t="s">
        <v>1581</v>
      </c>
      <c r="D6866" s="327">
        <f>IF($B6866="","",COUNTIF($B$6:$B6866,$B6866))</f>
        <v>28</v>
      </c>
      <c r="E6866" s="361"/>
      <c r="F6866" s="362"/>
      <c r="G6866" s="327" t="s">
        <v>240</v>
      </c>
      <c r="H6866" s="361"/>
      <c r="I6866" s="327">
        <v>5</v>
      </c>
      <c r="J6866" s="361" t="s">
        <v>1489</v>
      </c>
      <c r="K6866" s="327"/>
      <c r="L6866" s="389"/>
      <c r="M6866" s="355"/>
      <c r="N6866" s="355" t="str">
        <f t="shared" si="450"/>
        <v>KI</v>
      </c>
      <c r="O6866" s="345" t="str">
        <f t="shared" si="386"/>
        <v/>
      </c>
      <c r="P6866" s="361"/>
      <c r="Q6866" s="327"/>
      <c r="R6866" s="361"/>
      <c r="S6866" s="361"/>
      <c r="T6866" s="361"/>
      <c r="U6866" s="329" t="str">
        <f>IF($N6866=$N$4,IFERROR(INDEX(DanhMuc!$E$154:$E$165,MATCH(MID($B6866,4,2),DanhMuc!$B$154:$B$165,0)),""),"")</f>
        <v/>
      </c>
      <c r="V6866" s="361"/>
      <c r="W6866" s="345"/>
      <c r="X6866" s="365"/>
      <c r="Y6866" s="1128" t="s">
        <v>3380</v>
      </c>
      <c r="Z6866" s="1128" t="s">
        <v>3381</v>
      </c>
      <c r="AA6866" s="1128" t="s">
        <v>3384</v>
      </c>
    </row>
    <row r="6867" spans="1:27" ht="39">
      <c r="A6867" s="327">
        <f>IF(AND($B6867&lt;&gt;"",$C6867&lt;&gt;""),MAX($A$6492:$A6866)+1,"")</f>
        <v>74</v>
      </c>
      <c r="B6867" s="359" t="s">
        <v>1479</v>
      </c>
      <c r="C6867" s="370" t="s">
        <v>1582</v>
      </c>
      <c r="D6867" s="327">
        <f>IF($B6867="","",COUNTIF($B$6:$B6867,$B6867))</f>
        <v>28</v>
      </c>
      <c r="E6867" s="361"/>
      <c r="F6867" s="362"/>
      <c r="G6867" s="327" t="s">
        <v>240</v>
      </c>
      <c r="H6867" s="361"/>
      <c r="I6867" s="327">
        <v>6</v>
      </c>
      <c r="J6867" s="361" t="s">
        <v>1493</v>
      </c>
      <c r="K6867" s="327"/>
      <c r="L6867" s="389"/>
      <c r="M6867" s="355"/>
      <c r="N6867" s="355" t="str">
        <f t="shared" si="450"/>
        <v>KI</v>
      </c>
      <c r="O6867" s="345" t="str">
        <f t="shared" si="386"/>
        <v/>
      </c>
      <c r="P6867" s="361"/>
      <c r="Q6867" s="327"/>
      <c r="R6867" s="361"/>
      <c r="S6867" s="361"/>
      <c r="T6867" s="361"/>
      <c r="U6867" s="329" t="str">
        <f>IF($N6867=$N$4,IFERROR(INDEX(DanhMuc!$E$154:$E$165,MATCH(MID($B6867,4,2),DanhMuc!$B$154:$B$165,0)),""),"")</f>
        <v/>
      </c>
      <c r="V6867" s="361"/>
      <c r="W6867" s="345"/>
      <c r="X6867" s="365"/>
      <c r="Y6867" s="1128" t="s">
        <v>3380</v>
      </c>
      <c r="Z6867" s="1128" t="s">
        <v>3381</v>
      </c>
      <c r="AA6867" s="1128" t="s">
        <v>3384</v>
      </c>
    </row>
    <row r="6868" spans="1:27" ht="39">
      <c r="A6868" s="327">
        <f>IF(AND($B6868&lt;&gt;"",$C6868&lt;&gt;""),MAX($A$6492:$A6867)+1,"")</f>
        <v>75</v>
      </c>
      <c r="B6868" s="359" t="s">
        <v>1480</v>
      </c>
      <c r="C6868" s="370" t="s">
        <v>1583</v>
      </c>
      <c r="D6868" s="327">
        <f>IF($B6868="","",COUNTIF($B$6:$B6868,$B6868))</f>
        <v>28</v>
      </c>
      <c r="E6868" s="361"/>
      <c r="F6868" s="362"/>
      <c r="G6868" s="327" t="s">
        <v>240</v>
      </c>
      <c r="H6868" s="361"/>
      <c r="I6868" s="327">
        <v>6</v>
      </c>
      <c r="J6868" s="361" t="s">
        <v>1488</v>
      </c>
      <c r="K6868" s="327"/>
      <c r="L6868" s="389"/>
      <c r="M6868" s="355"/>
      <c r="N6868" s="355" t="str">
        <f t="shared" si="450"/>
        <v>KI</v>
      </c>
      <c r="O6868" s="345" t="str">
        <f t="shared" si="386"/>
        <v/>
      </c>
      <c r="P6868" s="361"/>
      <c r="Q6868" s="327"/>
      <c r="R6868" s="361"/>
      <c r="S6868" s="361"/>
      <c r="T6868" s="361"/>
      <c r="U6868" s="329" t="str">
        <f>IF($N6868=$N$4,IFERROR(INDEX(DanhMuc!$E$154:$E$165,MATCH(MID($B6868,4,2),DanhMuc!$B$154:$B$165,0)),""),"")</f>
        <v/>
      </c>
      <c r="V6868" s="361"/>
      <c r="W6868" s="345"/>
      <c r="X6868" s="365"/>
      <c r="Y6868" s="1128" t="s">
        <v>3380</v>
      </c>
      <c r="Z6868" s="1128" t="s">
        <v>3381</v>
      </c>
      <c r="AA6868" s="1128" t="s">
        <v>3384</v>
      </c>
    </row>
    <row r="6869" spans="1:27" ht="26">
      <c r="A6869" s="327">
        <f>IF(AND($B6869&lt;&gt;"",$C6869&lt;&gt;""),MAX($A$6492:$A6867)+1,"")</f>
        <v>75</v>
      </c>
      <c r="B6869" s="359" t="s">
        <v>1066</v>
      </c>
      <c r="C6869" s="370" t="s">
        <v>1576</v>
      </c>
      <c r="D6869" s="327">
        <f>IF($B6869="","",COUNTIF($B$6:$B6869,$B6869))</f>
        <v>31</v>
      </c>
      <c r="E6869" s="361"/>
      <c r="F6869" s="362"/>
      <c r="G6869" s="327" t="s">
        <v>240</v>
      </c>
      <c r="H6869" s="361"/>
      <c r="I6869" s="327">
        <v>2</v>
      </c>
      <c r="J6869" s="361" t="s">
        <v>1187</v>
      </c>
      <c r="K6869" s="327"/>
      <c r="L6869" s="389"/>
      <c r="M6869" s="355"/>
      <c r="N6869" s="355" t="str">
        <f t="shared" si="450"/>
        <v>KI</v>
      </c>
      <c r="O6869" s="345" t="s">
        <v>1832</v>
      </c>
      <c r="P6869" s="361"/>
      <c r="Q6869" s="327"/>
      <c r="R6869" s="361"/>
      <c r="S6869" s="361"/>
      <c r="T6869" s="361"/>
      <c r="U6869" s="329" t="str">
        <f>IF($N6869=$N$4,IFERROR(INDEX(DanhMuc!$E$154:$E$165,MATCH(MID($B6869,4,2),DanhMuc!$B$154:$B$165,0)),""),"")</f>
        <v/>
      </c>
      <c r="V6869" s="361"/>
      <c r="W6869" s="345"/>
      <c r="X6869" s="365"/>
      <c r="Y6869" s="1128" t="s">
        <v>3380</v>
      </c>
      <c r="Z6869" s="1128" t="s">
        <v>3381</v>
      </c>
      <c r="AA6869" s="1128" t="s">
        <v>3384</v>
      </c>
    </row>
    <row r="6870" spans="1:27">
      <c r="A6870" s="327" t="str">
        <f>IF(AND($B6870&lt;&gt;"",$C6870&lt;&gt;""),MAX($A$6492:$A6868)+1,"")</f>
        <v/>
      </c>
      <c r="B6870" s="361" t="s">
        <v>1066</v>
      </c>
      <c r="C6870" s="431"/>
      <c r="D6870" s="327">
        <f>IF($B6870="","",COUNTIF($B$6:$B6870,$B6870))</f>
        <v>32</v>
      </c>
      <c r="E6870" s="361"/>
      <c r="F6870" s="362"/>
      <c r="G6870" s="327" t="s">
        <v>240</v>
      </c>
      <c r="H6870" s="361"/>
      <c r="I6870" s="327">
        <v>2</v>
      </c>
      <c r="J6870" s="361" t="s">
        <v>1840</v>
      </c>
      <c r="K6870" s="327"/>
      <c r="L6870" s="616"/>
      <c r="M6870" s="355"/>
      <c r="N6870" s="355" t="str">
        <f t="shared" si="450"/>
        <v>KI</v>
      </c>
      <c r="O6870" s="345" t="s">
        <v>1831</v>
      </c>
      <c r="P6870" s="361"/>
      <c r="Q6870" s="327"/>
      <c r="R6870" s="361"/>
      <c r="S6870" s="361"/>
      <c r="T6870" s="361"/>
      <c r="U6870" s="329" t="str">
        <f>IF($N6870=$N$4,IFERROR(INDEX(DanhMuc!$E$154:$E$165,MATCH(MID($B6870,4,2),DanhMuc!$B$154:$B$165,0)),""),"")</f>
        <v/>
      </c>
      <c r="V6870" s="361"/>
      <c r="W6870" s="365"/>
      <c r="X6870" s="365"/>
      <c r="Y6870" s="1128" t="s">
        <v>3380</v>
      </c>
      <c r="Z6870" s="1128" t="s">
        <v>3381</v>
      </c>
      <c r="AA6870" s="1128" t="s">
        <v>3384</v>
      </c>
    </row>
    <row r="6871" spans="1:27" ht="26">
      <c r="A6871" s="327">
        <f>IF(AND($B6871&lt;&gt;"",$C6871&lt;&gt;""),MAX($A$6492:$A6869)+1,"")</f>
        <v>76</v>
      </c>
      <c r="B6871" s="359" t="s">
        <v>1068</v>
      </c>
      <c r="C6871" s="370" t="s">
        <v>1578</v>
      </c>
      <c r="D6871" s="327">
        <f>IF($B6871="","",COUNTIF($B$6:$B6871,$B6871))</f>
        <v>33</v>
      </c>
      <c r="E6871" s="361"/>
      <c r="F6871" s="362"/>
      <c r="G6871" s="327" t="s">
        <v>240</v>
      </c>
      <c r="H6871" s="361"/>
      <c r="I6871" s="327">
        <v>4</v>
      </c>
      <c r="J6871" s="361" t="s">
        <v>1188</v>
      </c>
      <c r="K6871" s="327"/>
      <c r="L6871" s="389"/>
      <c r="M6871" s="355"/>
      <c r="N6871" s="355" t="str">
        <f t="shared" si="450"/>
        <v>KI</v>
      </c>
      <c r="O6871" s="345" t="s">
        <v>1832</v>
      </c>
      <c r="P6871" s="361"/>
      <c r="Q6871" s="327"/>
      <c r="R6871" s="361"/>
      <c r="S6871" s="361"/>
      <c r="T6871" s="361"/>
      <c r="U6871" s="329" t="str">
        <f>IF($N6871=$N$4,IFERROR(INDEX(DanhMuc!$E$154:$E$165,MATCH(MID($B6871,4,2),DanhMuc!$B$154:$B$165,0)),""),"")</f>
        <v/>
      </c>
      <c r="V6871" s="361"/>
      <c r="W6871" s="345"/>
      <c r="X6871" s="365"/>
      <c r="Y6871" s="1128" t="s">
        <v>3380</v>
      </c>
      <c r="Z6871" s="1128" t="s">
        <v>3381</v>
      </c>
      <c r="AA6871" s="1128" t="s">
        <v>3384</v>
      </c>
    </row>
    <row r="6872" spans="1:27">
      <c r="A6872" s="327" t="str">
        <f>IF(AND($B6872&lt;&gt;"",$C6872&lt;&gt;""),MAX($A$6492:$A6870)+1,"")</f>
        <v/>
      </c>
      <c r="B6872" s="361" t="s">
        <v>1068</v>
      </c>
      <c r="C6872" s="431"/>
      <c r="D6872" s="327">
        <f>IF($B6872="","",COUNTIF($B$6:$B6872,$B6872))</f>
        <v>34</v>
      </c>
      <c r="E6872" s="361"/>
      <c r="F6872" s="362"/>
      <c r="G6872" s="327" t="s">
        <v>240</v>
      </c>
      <c r="H6872" s="361"/>
      <c r="I6872" s="327">
        <v>4</v>
      </c>
      <c r="J6872" s="361" t="s">
        <v>1841</v>
      </c>
      <c r="K6872" s="327"/>
      <c r="L6872" s="389"/>
      <c r="M6872" s="355"/>
      <c r="N6872" s="355" t="str">
        <f t="shared" si="450"/>
        <v>KI</v>
      </c>
      <c r="O6872" s="404" t="s">
        <v>1831</v>
      </c>
      <c r="P6872" s="361"/>
      <c r="Q6872" s="327"/>
      <c r="R6872" s="361"/>
      <c r="S6872" s="361"/>
      <c r="T6872" s="361"/>
      <c r="U6872" s="329" t="str">
        <f>IF($N6872=$N$4,IFERROR(INDEX(DanhMuc!$E$154:$E$165,MATCH(MID($B6872,4,2),DanhMuc!$B$154:$B$165,0)),""),"")</f>
        <v/>
      </c>
      <c r="V6872" s="361"/>
      <c r="W6872" s="345"/>
      <c r="X6872" s="365"/>
      <c r="Y6872" s="1128" t="s">
        <v>3380</v>
      </c>
      <c r="Z6872" s="1128" t="s">
        <v>3381</v>
      </c>
      <c r="AA6872" s="1128" t="s">
        <v>3384</v>
      </c>
    </row>
    <row r="6873" spans="1:27" ht="26">
      <c r="A6873" s="327">
        <f>IF(AND($B6873&lt;&gt;"",$C6873&lt;&gt;""),MAX($A$6492:$A6869)+1,"")</f>
        <v>76</v>
      </c>
      <c r="B6873" s="359" t="s">
        <v>863</v>
      </c>
      <c r="C6873" s="370" t="s">
        <v>1584</v>
      </c>
      <c r="D6873" s="327">
        <f>IF($B6873="","",COUNTIF($B$6:$B6873,$B6873))</f>
        <v>21</v>
      </c>
      <c r="E6873" s="361"/>
      <c r="F6873" s="362"/>
      <c r="G6873" s="327" t="s">
        <v>240</v>
      </c>
      <c r="H6873" s="361"/>
      <c r="I6873" s="327">
        <v>1</v>
      </c>
      <c r="J6873" s="361" t="s">
        <v>904</v>
      </c>
      <c r="K6873" s="327"/>
      <c r="L6873" s="389"/>
      <c r="M6873" s="355"/>
      <c r="N6873" s="355" t="str">
        <f t="shared" ref="N6873:N6921" si="451">+$N$6492</f>
        <v>KI</v>
      </c>
      <c r="O6873" s="345" t="str">
        <f t="shared" si="386"/>
        <v/>
      </c>
      <c r="P6873" s="361"/>
      <c r="Q6873" s="327"/>
      <c r="R6873" s="361"/>
      <c r="S6873" s="361"/>
      <c r="T6873" s="361"/>
      <c r="U6873" s="329" t="str">
        <f>IF($N6873=$N$4,IFERROR(INDEX(DanhMuc!$E$154:$E$165,MATCH(MID($B6873,4,2),DanhMuc!$B$154:$B$165,0)),""),"")</f>
        <v/>
      </c>
      <c r="V6873" s="361"/>
      <c r="W6873" s="345"/>
      <c r="X6873" s="365"/>
      <c r="Y6873" s="1128" t="s">
        <v>3380</v>
      </c>
      <c r="Z6873" s="1128" t="s">
        <v>3381</v>
      </c>
      <c r="AA6873" s="1128" t="s">
        <v>3384</v>
      </c>
    </row>
    <row r="6874" spans="1:27" ht="26">
      <c r="A6874" s="327">
        <f>IF(AND($B6874&lt;&gt;"",$C6874&lt;&gt;""),MAX($A$6492:$A6873)+1,"")</f>
        <v>77</v>
      </c>
      <c r="B6874" s="359" t="s">
        <v>906</v>
      </c>
      <c r="C6874" s="370" t="s">
        <v>1585</v>
      </c>
      <c r="D6874" s="327">
        <f>IF($B6874="","",COUNTIF($B$6:$B6874,$B6874))</f>
        <v>23</v>
      </c>
      <c r="E6874" s="361"/>
      <c r="F6874" s="362"/>
      <c r="G6874" s="327" t="s">
        <v>240</v>
      </c>
      <c r="H6874" s="361"/>
      <c r="I6874" s="327">
        <v>2</v>
      </c>
      <c r="J6874" s="361" t="s">
        <v>1070</v>
      </c>
      <c r="K6874" s="327"/>
      <c r="L6874" s="389"/>
      <c r="M6874" s="355"/>
      <c r="N6874" s="355" t="str">
        <f t="shared" si="451"/>
        <v>KI</v>
      </c>
      <c r="O6874" s="345" t="str">
        <f t="shared" si="386"/>
        <v/>
      </c>
      <c r="P6874" s="361"/>
      <c r="Q6874" s="327"/>
      <c r="R6874" s="361"/>
      <c r="S6874" s="361"/>
      <c r="T6874" s="361"/>
      <c r="U6874" s="329" t="str">
        <f>IF($N6874=$N$4,IFERROR(INDEX(DanhMuc!$E$154:$E$165,MATCH(MID($B6874,4,2),DanhMuc!$B$154:$B$165,0)),""),"")</f>
        <v/>
      </c>
      <c r="V6874" s="361"/>
      <c r="W6874" s="345"/>
      <c r="X6874" s="365"/>
      <c r="Y6874" s="1128" t="s">
        <v>3380</v>
      </c>
      <c r="Z6874" s="1128" t="s">
        <v>3381</v>
      </c>
      <c r="AA6874" s="1128" t="s">
        <v>3384</v>
      </c>
    </row>
    <row r="6875" spans="1:27" ht="26">
      <c r="A6875" s="327">
        <f>IF(AND($B6875&lt;&gt;"",$C6875&lt;&gt;""),MAX($A$6492:$A6874)+1,"")</f>
        <v>78</v>
      </c>
      <c r="B6875" s="359" t="s">
        <v>907</v>
      </c>
      <c r="C6875" s="370" t="s">
        <v>1586</v>
      </c>
      <c r="D6875" s="327">
        <f>IF($B6875="","",COUNTIF($B$6:$B6875,$B6875))</f>
        <v>25</v>
      </c>
      <c r="E6875" s="361"/>
      <c r="F6875" s="362"/>
      <c r="G6875" s="327" t="s">
        <v>240</v>
      </c>
      <c r="H6875" s="361"/>
      <c r="I6875" s="327">
        <v>3</v>
      </c>
      <c r="J6875" s="361" t="s">
        <v>912</v>
      </c>
      <c r="K6875" s="327"/>
      <c r="L6875" s="389"/>
      <c r="M6875" s="355"/>
      <c r="N6875" s="355" t="str">
        <f t="shared" si="451"/>
        <v>KI</v>
      </c>
      <c r="O6875" s="345" t="str">
        <f t="shared" si="386"/>
        <v/>
      </c>
      <c r="P6875" s="361"/>
      <c r="Q6875" s="327"/>
      <c r="R6875" s="361"/>
      <c r="S6875" s="361"/>
      <c r="T6875" s="361"/>
      <c r="U6875" s="329" t="str">
        <f>IF($N6875=$N$4,IFERROR(INDEX(DanhMuc!$E$154:$E$165,MATCH(MID($B6875,4,2),DanhMuc!$B$154:$B$165,0)),""),"")</f>
        <v/>
      </c>
      <c r="V6875" s="361"/>
      <c r="W6875" s="345"/>
      <c r="X6875" s="365"/>
      <c r="Y6875" s="1128" t="s">
        <v>3380</v>
      </c>
      <c r="Z6875" s="1128" t="s">
        <v>3381</v>
      </c>
      <c r="AA6875" s="1128" t="s">
        <v>3384</v>
      </c>
    </row>
    <row r="6876" spans="1:27" ht="26">
      <c r="A6876" s="327">
        <f>IF(AND($B6876&lt;&gt;"",$C6876&lt;&gt;""),MAX($A$6492:$A6875)+1,"")</f>
        <v>79</v>
      </c>
      <c r="B6876" s="359" t="s">
        <v>910</v>
      </c>
      <c r="C6876" s="370" t="s">
        <v>1587</v>
      </c>
      <c r="D6876" s="327">
        <f>IF($B6876="","",COUNTIF($B$6:$B6876,$B6876))</f>
        <v>25</v>
      </c>
      <c r="E6876" s="361"/>
      <c r="F6876" s="362"/>
      <c r="G6876" s="327" t="s">
        <v>240</v>
      </c>
      <c r="H6876" s="361"/>
      <c r="I6876" s="327">
        <v>4</v>
      </c>
      <c r="J6876" s="361" t="s">
        <v>911</v>
      </c>
      <c r="K6876" s="327"/>
      <c r="L6876" s="389"/>
      <c r="M6876" s="355"/>
      <c r="N6876" s="355" t="str">
        <f t="shared" si="451"/>
        <v>KI</v>
      </c>
      <c r="O6876" s="345" t="str">
        <f t="shared" si="386"/>
        <v/>
      </c>
      <c r="P6876" s="361"/>
      <c r="Q6876" s="327"/>
      <c r="R6876" s="361"/>
      <c r="S6876" s="361"/>
      <c r="T6876" s="361"/>
      <c r="U6876" s="329" t="str">
        <f>IF($N6876=$N$4,IFERROR(INDEX(DanhMuc!$E$154:$E$165,MATCH(MID($B6876,4,2),DanhMuc!$B$154:$B$165,0)),""),"")</f>
        <v/>
      </c>
      <c r="V6876" s="361"/>
      <c r="W6876" s="345"/>
      <c r="X6876" s="365"/>
      <c r="Y6876" s="1128" t="s">
        <v>3380</v>
      </c>
      <c r="Z6876" s="1128" t="s">
        <v>3381</v>
      </c>
      <c r="AA6876" s="1128" t="s">
        <v>3384</v>
      </c>
    </row>
    <row r="6877" spans="1:27" ht="26">
      <c r="A6877" s="327">
        <f>IF(AND($B6877&lt;&gt;"",$C6877&lt;&gt;""),MAX($A$6492:$A6876)+1,"")</f>
        <v>80</v>
      </c>
      <c r="B6877" s="359" t="s">
        <v>905</v>
      </c>
      <c r="C6877" s="370" t="s">
        <v>1594</v>
      </c>
      <c r="D6877" s="327">
        <f>IF($B6877="","",COUNTIF($B$6:$B6877,$B6877))</f>
        <v>22</v>
      </c>
      <c r="E6877" s="361"/>
      <c r="F6877" s="362"/>
      <c r="G6877" s="327" t="s">
        <v>240</v>
      </c>
      <c r="H6877" s="361"/>
      <c r="I6877" s="327">
        <v>1</v>
      </c>
      <c r="J6877" s="361" t="s">
        <v>904</v>
      </c>
      <c r="K6877" s="327"/>
      <c r="L6877" s="389"/>
      <c r="M6877" s="355"/>
      <c r="N6877" s="355" t="str">
        <f t="shared" si="451"/>
        <v>KI</v>
      </c>
      <c r="O6877" s="345" t="str">
        <f t="shared" si="386"/>
        <v/>
      </c>
      <c r="P6877" s="361"/>
      <c r="Q6877" s="327"/>
      <c r="R6877" s="361"/>
      <c r="S6877" s="361"/>
      <c r="T6877" s="361"/>
      <c r="U6877" s="329" t="str">
        <f>IF($N6877=$N$4,IFERROR(INDEX(DanhMuc!$E$154:$E$165,MATCH(MID($B6877,4,2),DanhMuc!$B$154:$B$165,0)),""),"")</f>
        <v/>
      </c>
      <c r="V6877" s="361"/>
      <c r="W6877" s="345"/>
      <c r="X6877" s="365"/>
      <c r="Y6877" s="1128" t="s">
        <v>3380</v>
      </c>
      <c r="Z6877" s="1128" t="s">
        <v>3381</v>
      </c>
      <c r="AA6877" s="1128" t="s">
        <v>3384</v>
      </c>
    </row>
    <row r="6878" spans="1:27" ht="26">
      <c r="A6878" s="327">
        <f>IF(AND($B6878&lt;&gt;"",$C6878&lt;&gt;""),MAX($A$6492:$A6877)+1,"")</f>
        <v>81</v>
      </c>
      <c r="B6878" s="359" t="s">
        <v>1069</v>
      </c>
      <c r="C6878" s="370" t="s">
        <v>1588</v>
      </c>
      <c r="D6878" s="327">
        <f>IF($B6878="","",COUNTIF($B$6:$B6878,$B6878))</f>
        <v>23</v>
      </c>
      <c r="E6878" s="361"/>
      <c r="F6878" s="362"/>
      <c r="G6878" s="327" t="s">
        <v>240</v>
      </c>
      <c r="H6878" s="361"/>
      <c r="I6878" s="327">
        <v>2</v>
      </c>
      <c r="J6878" s="361" t="s">
        <v>1177</v>
      </c>
      <c r="K6878" s="327"/>
      <c r="L6878" s="389"/>
      <c r="M6878" s="355"/>
      <c r="N6878" s="355" t="str">
        <f t="shared" si="451"/>
        <v>KI</v>
      </c>
      <c r="O6878" s="345" t="str">
        <f t="shared" si="386"/>
        <v/>
      </c>
      <c r="P6878" s="361"/>
      <c r="Q6878" s="327"/>
      <c r="R6878" s="361"/>
      <c r="S6878" s="361"/>
      <c r="T6878" s="361"/>
      <c r="U6878" s="329" t="str">
        <f>IF($N6878=$N$4,IFERROR(INDEX(DanhMuc!$E$154:$E$165,MATCH(MID($B6878,4,2),DanhMuc!$B$154:$B$165,0)),""),"")</f>
        <v/>
      </c>
      <c r="V6878" s="361"/>
      <c r="W6878" s="345"/>
      <c r="X6878" s="365"/>
      <c r="Y6878" s="1128" t="s">
        <v>3380</v>
      </c>
      <c r="Z6878" s="1128" t="s">
        <v>3381</v>
      </c>
      <c r="AA6878" s="1128" t="s">
        <v>3384</v>
      </c>
    </row>
    <row r="6879" spans="1:27" ht="26">
      <c r="A6879" s="327">
        <f>IF(AND($B6879&lt;&gt;"",$C6879&lt;&gt;""),MAX($A$6492:$A6878)+1,"")</f>
        <v>82</v>
      </c>
      <c r="B6879" s="359" t="s">
        <v>1180</v>
      </c>
      <c r="C6879" s="370" t="s">
        <v>1590</v>
      </c>
      <c r="D6879" s="327">
        <f>IF($B6879="","",COUNTIF($B$6:$B6879,$B6879))</f>
        <v>24</v>
      </c>
      <c r="E6879" s="361"/>
      <c r="F6879" s="362"/>
      <c r="G6879" s="327" t="s">
        <v>240</v>
      </c>
      <c r="H6879" s="361"/>
      <c r="I6879" s="327">
        <v>4</v>
      </c>
      <c r="J6879" s="361" t="s">
        <v>1186</v>
      </c>
      <c r="K6879" s="327"/>
      <c r="L6879" s="389"/>
      <c r="M6879" s="355"/>
      <c r="N6879" s="355" t="str">
        <f t="shared" si="451"/>
        <v>KI</v>
      </c>
      <c r="O6879" s="345" t="str">
        <f t="shared" si="386"/>
        <v/>
      </c>
      <c r="P6879" s="361"/>
      <c r="Q6879" s="327"/>
      <c r="R6879" s="361"/>
      <c r="S6879" s="361"/>
      <c r="T6879" s="361"/>
      <c r="U6879" s="329" t="str">
        <f>IF($N6879=$N$4,IFERROR(INDEX(DanhMuc!$E$154:$E$165,MATCH(MID($B6879,4,2),DanhMuc!$B$154:$B$165,0)),""),"")</f>
        <v/>
      </c>
      <c r="V6879" s="361"/>
      <c r="W6879" s="345"/>
      <c r="X6879" s="365"/>
      <c r="Y6879" s="1128" t="s">
        <v>3380</v>
      </c>
      <c r="Z6879" s="1128" t="s">
        <v>3381</v>
      </c>
      <c r="AA6879" s="1128" t="s">
        <v>3384</v>
      </c>
    </row>
    <row r="6880" spans="1:27" ht="26">
      <c r="A6880" s="327">
        <f>IF(AND($B6880&lt;&gt;"",$C6880&lt;&gt;""),MAX($A$6492:$A6878)+1,"")</f>
        <v>82</v>
      </c>
      <c r="B6880" s="359" t="s">
        <v>934</v>
      </c>
      <c r="C6880" s="370" t="s">
        <v>1591</v>
      </c>
      <c r="D6880" s="327">
        <f>IF($B6880="","",COUNTIF($B$6:$B6880,$B6880))</f>
        <v>16</v>
      </c>
      <c r="E6880" s="361"/>
      <c r="F6880" s="362"/>
      <c r="G6880" s="327" t="s">
        <v>240</v>
      </c>
      <c r="H6880" s="361"/>
      <c r="I6880" s="327">
        <v>1</v>
      </c>
      <c r="J6880" s="361" t="s">
        <v>940</v>
      </c>
      <c r="K6880" s="327"/>
      <c r="L6880" s="389"/>
      <c r="M6880" s="355"/>
      <c r="N6880" s="355" t="str">
        <f t="shared" si="451"/>
        <v>KI</v>
      </c>
      <c r="O6880" s="345" t="str">
        <f t="shared" si="386"/>
        <v/>
      </c>
      <c r="P6880" s="361"/>
      <c r="Q6880" s="327"/>
      <c r="R6880" s="361"/>
      <c r="S6880" s="361"/>
      <c r="T6880" s="361"/>
      <c r="U6880" s="329" t="str">
        <f>IF($N6880=$N$4,IFERROR(INDEX(DanhMuc!$E$154:$E$165,MATCH(MID($B6880,4,2),DanhMuc!$B$154:$B$165,0)),""),"")</f>
        <v/>
      </c>
      <c r="V6880" s="361"/>
      <c r="W6880" s="345"/>
      <c r="X6880" s="365"/>
      <c r="Y6880" s="1128" t="s">
        <v>3380</v>
      </c>
      <c r="Z6880" s="1128" t="s">
        <v>3381</v>
      </c>
      <c r="AA6880" s="1128" t="s">
        <v>3384</v>
      </c>
    </row>
    <row r="6881" spans="1:27" ht="26">
      <c r="A6881" s="327">
        <f>IF(AND($B6881&lt;&gt;"",$C6881&lt;&gt;""),MAX($A$6492:$A6880)+1,"")</f>
        <v>83</v>
      </c>
      <c r="B6881" s="359" t="s">
        <v>935</v>
      </c>
      <c r="C6881" s="370" t="s">
        <v>1592</v>
      </c>
      <c r="D6881" s="327">
        <f>IF($B6881="","",COUNTIF($B$6:$B6881,$B6881))</f>
        <v>16</v>
      </c>
      <c r="E6881" s="361"/>
      <c r="F6881" s="362"/>
      <c r="G6881" s="327" t="s">
        <v>240</v>
      </c>
      <c r="H6881" s="361"/>
      <c r="I6881" s="327">
        <v>1</v>
      </c>
      <c r="J6881" s="361" t="s">
        <v>943</v>
      </c>
      <c r="K6881" s="327"/>
      <c r="L6881" s="389"/>
      <c r="M6881" s="355"/>
      <c r="N6881" s="355" t="str">
        <f t="shared" si="451"/>
        <v>KI</v>
      </c>
      <c r="O6881" s="345" t="str">
        <f t="shared" si="386"/>
        <v/>
      </c>
      <c r="P6881" s="361"/>
      <c r="Q6881" s="327"/>
      <c r="R6881" s="361"/>
      <c r="S6881" s="361"/>
      <c r="T6881" s="361"/>
      <c r="U6881" s="329" t="str">
        <f>IF($N6881=$N$4,IFERROR(INDEX(DanhMuc!$E$154:$E$165,MATCH(MID($B6881,4,2),DanhMuc!$B$154:$B$165,0)),""),"")</f>
        <v/>
      </c>
      <c r="V6881" s="361"/>
      <c r="W6881" s="345"/>
      <c r="X6881" s="365"/>
      <c r="Y6881" s="1128" t="s">
        <v>3380</v>
      </c>
      <c r="Z6881" s="1128" t="s">
        <v>3381</v>
      </c>
      <c r="AA6881" s="1128" t="s">
        <v>3384</v>
      </c>
    </row>
    <row r="6882" spans="1:27" ht="39">
      <c r="A6882" s="327">
        <f>IF(AND($B6882&lt;&gt;"",$C6882&lt;&gt;""),MAX($A$6492:$A6881)+1,"")</f>
        <v>84</v>
      </c>
      <c r="B6882" s="359" t="s">
        <v>1518</v>
      </c>
      <c r="C6882" s="370" t="s">
        <v>1631</v>
      </c>
      <c r="D6882" s="327">
        <f>IF($B6882="","",COUNTIF($B$6:$B6882,$B6882))</f>
        <v>26</v>
      </c>
      <c r="E6882" s="361"/>
      <c r="F6882" s="362"/>
      <c r="G6882" s="327" t="s">
        <v>240</v>
      </c>
      <c r="H6882" s="361"/>
      <c r="I6882" s="327">
        <v>1</v>
      </c>
      <c r="J6882" s="361" t="s">
        <v>1634</v>
      </c>
      <c r="K6882" s="327"/>
      <c r="L6882" s="389"/>
      <c r="M6882" s="355"/>
      <c r="N6882" s="355" t="str">
        <f t="shared" si="451"/>
        <v>KI</v>
      </c>
      <c r="O6882" s="345" t="str">
        <f t="shared" si="386"/>
        <v/>
      </c>
      <c r="P6882" s="361"/>
      <c r="Q6882" s="327"/>
      <c r="R6882" s="361"/>
      <c r="S6882" s="361"/>
      <c r="T6882" s="361"/>
      <c r="U6882" s="329" t="str">
        <f>IF($N6882=$N$4,IFERROR(INDEX(DanhMuc!$E$154:$E$165,MATCH(MID($B6882,4,2),DanhMuc!$B$154:$B$165,0)),""),"")</f>
        <v/>
      </c>
      <c r="V6882" s="361"/>
      <c r="W6882" s="345"/>
      <c r="X6882" s="365"/>
      <c r="Y6882" s="1128" t="s">
        <v>3380</v>
      </c>
      <c r="Z6882" s="1128" t="s">
        <v>3381</v>
      </c>
      <c r="AA6882" s="1128" t="s">
        <v>3384</v>
      </c>
    </row>
    <row r="6883" spans="1:27" ht="39">
      <c r="A6883" s="327">
        <f>IF(AND($B6883&lt;&gt;"",$C6883&lt;&gt;""),MAX($A$6492:$A6882)+1,"")</f>
        <v>85</v>
      </c>
      <c r="B6883" s="359" t="s">
        <v>1636</v>
      </c>
      <c r="C6883" s="370" t="s">
        <v>1643</v>
      </c>
      <c r="D6883" s="327">
        <f>IF($B6883="","",COUNTIF($B$6:$B6883,$B6883))</f>
        <v>27</v>
      </c>
      <c r="E6883" s="361"/>
      <c r="F6883" s="362"/>
      <c r="G6883" s="327" t="s">
        <v>240</v>
      </c>
      <c r="H6883" s="361"/>
      <c r="I6883" s="327">
        <v>2</v>
      </c>
      <c r="J6883" s="361" t="s">
        <v>1644</v>
      </c>
      <c r="K6883" s="327"/>
      <c r="L6883" s="389"/>
      <c r="M6883" s="355"/>
      <c r="N6883" s="355" t="str">
        <f t="shared" si="451"/>
        <v>KI</v>
      </c>
      <c r="O6883" s="345" t="str">
        <f t="shared" si="386"/>
        <v/>
      </c>
      <c r="P6883" s="361"/>
      <c r="Q6883" s="327"/>
      <c r="R6883" s="361"/>
      <c r="S6883" s="361"/>
      <c r="T6883" s="361"/>
      <c r="U6883" s="329" t="str">
        <f>IF($N6883=$N$4,IFERROR(INDEX(DanhMuc!$E$154:$E$165,MATCH(MID($B6883,4,2),DanhMuc!$B$154:$B$165,0)),""),"")</f>
        <v/>
      </c>
      <c r="V6883" s="361"/>
      <c r="W6883" s="345"/>
      <c r="X6883" s="365"/>
      <c r="Y6883" s="1128" t="s">
        <v>3380</v>
      </c>
      <c r="Z6883" s="1128" t="s">
        <v>3381</v>
      </c>
      <c r="AA6883" s="1128" t="s">
        <v>3384</v>
      </c>
    </row>
    <row r="6884" spans="1:27" ht="39">
      <c r="A6884" s="327">
        <f>IF(AND($B6884&lt;&gt;"",$C6884&lt;&gt;""),MAX($A$6492:$A6878)+1,"")</f>
        <v>82</v>
      </c>
      <c r="B6884" s="359" t="s">
        <v>2183</v>
      </c>
      <c r="C6884" s="370" t="s">
        <v>1668</v>
      </c>
      <c r="D6884" s="327">
        <f>IF($B6884="","",COUNTIF($B$6:$B6884,$B6884))</f>
        <v>32</v>
      </c>
      <c r="E6884" s="361"/>
      <c r="F6884" s="362"/>
      <c r="G6884" s="327"/>
      <c r="H6884" s="361"/>
      <c r="I6884" s="327">
        <v>2</v>
      </c>
      <c r="J6884" s="361" t="s">
        <v>2191</v>
      </c>
      <c r="K6884" s="327"/>
      <c r="L6884" s="389"/>
      <c r="M6884" s="355"/>
      <c r="N6884" s="355" t="str">
        <f t="shared" si="451"/>
        <v>KI</v>
      </c>
      <c r="O6884" s="345" t="str">
        <f t="shared" si="386"/>
        <v/>
      </c>
      <c r="P6884" s="361"/>
      <c r="Q6884" s="327"/>
      <c r="R6884" s="361"/>
      <c r="S6884" s="361"/>
      <c r="T6884" s="361"/>
      <c r="U6884" s="329" t="str">
        <f>IF($N6884=$N$4,IFERROR(INDEX(DanhMuc!$E$154:$E$165,MATCH(MID($B6884,4,2),DanhMuc!$B$154:$B$165,0)),""),"")</f>
        <v/>
      </c>
      <c r="V6884" s="361"/>
      <c r="W6884" s="345"/>
      <c r="X6884" s="365"/>
      <c r="Y6884" s="1128" t="s">
        <v>3380</v>
      </c>
      <c r="Z6884" s="1128" t="s">
        <v>3381</v>
      </c>
      <c r="AA6884" s="1128" t="s">
        <v>3384</v>
      </c>
    </row>
    <row r="6885" spans="1:27">
      <c r="A6885" s="327" t="str">
        <f>IF(AND($B6885&lt;&gt;"",$C6885&lt;&gt;""),MAX($A$6492:$A6879)+1,"")</f>
        <v/>
      </c>
      <c r="B6885" s="361" t="s">
        <v>2183</v>
      </c>
      <c r="C6885" s="360"/>
      <c r="D6885" s="327">
        <f>IF($B6885="","",COUNTIF($B$6:$B6885,$B6885))</f>
        <v>33</v>
      </c>
      <c r="E6885" s="361"/>
      <c r="F6885" s="362"/>
      <c r="G6885" s="327"/>
      <c r="H6885" s="361"/>
      <c r="I6885" s="327">
        <v>1</v>
      </c>
      <c r="J6885" s="361" t="s">
        <v>2192</v>
      </c>
      <c r="K6885" s="327"/>
      <c r="L6885" s="389"/>
      <c r="M6885" s="355"/>
      <c r="N6885" s="355" t="str">
        <f t="shared" si="451"/>
        <v>KI</v>
      </c>
      <c r="O6885" s="345" t="str">
        <f t="shared" si="386"/>
        <v/>
      </c>
      <c r="P6885" s="361"/>
      <c r="Q6885" s="327"/>
      <c r="R6885" s="361"/>
      <c r="S6885" s="361"/>
      <c r="T6885" s="361"/>
      <c r="U6885" s="329" t="str">
        <f>IF($N6885=$N$4,IFERROR(INDEX(DanhMuc!$E$154:$E$165,MATCH(MID($B6885,4,2),DanhMuc!$B$154:$B$165,0)),""),"")</f>
        <v/>
      </c>
      <c r="V6885" s="361"/>
      <c r="W6885" s="345"/>
      <c r="X6885" s="365"/>
      <c r="Y6885" s="1128" t="s">
        <v>3380</v>
      </c>
      <c r="Z6885" s="1128" t="s">
        <v>3381</v>
      </c>
      <c r="AA6885" s="1128" t="s">
        <v>3384</v>
      </c>
    </row>
    <row r="6886" spans="1:27" ht="39">
      <c r="A6886" s="327">
        <f>IF(AND($B6886&lt;&gt;"",$C6886&lt;&gt;""),MAX($A$6492:$A6880)+1,"")</f>
        <v>83</v>
      </c>
      <c r="B6886" s="359" t="s">
        <v>1661</v>
      </c>
      <c r="C6886" s="370" t="s">
        <v>1668</v>
      </c>
      <c r="D6886" s="327">
        <f>IF($B6886="","",COUNTIF($B$6:$B6886,$B6886))</f>
        <v>32</v>
      </c>
      <c r="E6886" s="361"/>
      <c r="F6886" s="362"/>
      <c r="G6886" s="327"/>
      <c r="H6886" s="361"/>
      <c r="I6886" s="327">
        <v>2</v>
      </c>
      <c r="J6886" s="361" t="s">
        <v>1669</v>
      </c>
      <c r="K6886" s="327"/>
      <c r="L6886" s="389"/>
      <c r="M6886" s="355"/>
      <c r="N6886" s="355" t="str">
        <f t="shared" si="451"/>
        <v>KI</v>
      </c>
      <c r="O6886" s="345" t="str">
        <f t="shared" si="386"/>
        <v/>
      </c>
      <c r="P6886" s="361"/>
      <c r="Q6886" s="327"/>
      <c r="R6886" s="361"/>
      <c r="S6886" s="361"/>
      <c r="T6886" s="361"/>
      <c r="U6886" s="329" t="str">
        <f>IF($N6886=$N$4,IFERROR(INDEX(DanhMuc!$E$154:$E$165,MATCH(MID($B6886,4,2),DanhMuc!$B$154:$B$165,0)),""),"")</f>
        <v/>
      </c>
      <c r="V6886" s="361"/>
      <c r="W6886" s="345"/>
      <c r="X6886" s="365"/>
      <c r="Y6886" s="1128" t="s">
        <v>3380</v>
      </c>
      <c r="Z6886" s="1128" t="s">
        <v>3381</v>
      </c>
      <c r="AA6886" s="1128" t="s">
        <v>3384</v>
      </c>
    </row>
    <row r="6887" spans="1:27">
      <c r="A6887" s="327" t="str">
        <f>IF(AND($B6887&lt;&gt;"",$C6887&lt;&gt;""),MAX($A$6492:$A6881)+1,"")</f>
        <v/>
      </c>
      <c r="B6887" s="361" t="s">
        <v>1661</v>
      </c>
      <c r="C6887" s="360"/>
      <c r="D6887" s="327">
        <f>IF($B6887="","",COUNTIF($B$6:$B6887,$B6887))</f>
        <v>33</v>
      </c>
      <c r="E6887" s="361"/>
      <c r="F6887" s="362"/>
      <c r="G6887" s="327"/>
      <c r="H6887" s="361"/>
      <c r="I6887" s="327">
        <v>2</v>
      </c>
      <c r="J6887" s="361" t="s">
        <v>1670</v>
      </c>
      <c r="K6887" s="327"/>
      <c r="L6887" s="389"/>
      <c r="M6887" s="355"/>
      <c r="N6887" s="355" t="str">
        <f t="shared" si="451"/>
        <v>KI</v>
      </c>
      <c r="O6887" s="345" t="str">
        <f t="shared" si="386"/>
        <v/>
      </c>
      <c r="P6887" s="361"/>
      <c r="Q6887" s="327"/>
      <c r="R6887" s="361"/>
      <c r="S6887" s="361"/>
      <c r="T6887" s="361"/>
      <c r="U6887" s="329" t="str">
        <f>IF($N6887=$N$4,IFERROR(INDEX(DanhMuc!$E$154:$E$165,MATCH(MID($B6887,4,2),DanhMuc!$B$154:$B$165,0)),""),"")</f>
        <v/>
      </c>
      <c r="V6887" s="361"/>
      <c r="W6887" s="345"/>
      <c r="X6887" s="365"/>
      <c r="Y6887" s="1128" t="s">
        <v>3380</v>
      </c>
      <c r="Z6887" s="1128" t="s">
        <v>3381</v>
      </c>
      <c r="AA6887" s="1128" t="s">
        <v>3384</v>
      </c>
    </row>
    <row r="6888" spans="1:27" ht="39">
      <c r="A6888" s="327">
        <f>IF(AND($B6888&lt;&gt;"",$C6888&lt;&gt;""),MAX($A$6492:$A6887)+1,"")</f>
        <v>86</v>
      </c>
      <c r="B6888" s="359" t="s">
        <v>1733</v>
      </c>
      <c r="C6888" s="370" t="s">
        <v>1746</v>
      </c>
      <c r="D6888" s="327">
        <f>IF($B6888="","",COUNTIF($B$6:$B6888,$B6888))</f>
        <v>27</v>
      </c>
      <c r="E6888" s="361"/>
      <c r="F6888" s="362"/>
      <c r="G6888" s="327" t="s">
        <v>240</v>
      </c>
      <c r="H6888" s="361"/>
      <c r="I6888" s="327">
        <v>2</v>
      </c>
      <c r="J6888" s="361" t="s">
        <v>1747</v>
      </c>
      <c r="K6888" s="327"/>
      <c r="L6888" s="389"/>
      <c r="M6888" s="355"/>
      <c r="N6888" s="355" t="str">
        <f t="shared" si="451"/>
        <v>KI</v>
      </c>
      <c r="O6888" s="345" t="str">
        <f t="shared" si="386"/>
        <v/>
      </c>
      <c r="P6888" s="361"/>
      <c r="Q6888" s="327"/>
      <c r="R6888" s="361"/>
      <c r="S6888" s="361"/>
      <c r="T6888" s="361"/>
      <c r="U6888" s="329" t="str">
        <f>IF($N6888=$N$4,IFERROR(INDEX(DanhMuc!$E$154:$E$165,MATCH(MID($B6888,4,2),DanhMuc!$B$154:$B$165,0)),""),"")</f>
        <v/>
      </c>
      <c r="V6888" s="361"/>
      <c r="W6888" s="345"/>
      <c r="X6888" s="365"/>
      <c r="Y6888" s="1128" t="s">
        <v>3380</v>
      </c>
      <c r="Z6888" s="1128" t="s">
        <v>3381</v>
      </c>
      <c r="AA6888" s="1128" t="s">
        <v>3384</v>
      </c>
    </row>
    <row r="6889" spans="1:27" ht="39">
      <c r="A6889" s="327">
        <f>IF(AND($B6889&lt;&gt;"",$C6889&lt;&gt;""),MAX($A$6492:$A6888)+1,"")</f>
        <v>87</v>
      </c>
      <c r="B6889" s="359" t="s">
        <v>2209</v>
      </c>
      <c r="C6889" s="370" t="s">
        <v>2206</v>
      </c>
      <c r="D6889" s="327">
        <f>IF($B6889="","",COUNTIF($B$6:$B6889,$B6889))</f>
        <v>30</v>
      </c>
      <c r="E6889" s="361"/>
      <c r="F6889" s="362"/>
      <c r="G6889" s="327" t="s">
        <v>240</v>
      </c>
      <c r="H6889" s="361"/>
      <c r="I6889" s="327">
        <v>2</v>
      </c>
      <c r="J6889" s="361" t="s">
        <v>2217</v>
      </c>
      <c r="K6889" s="327"/>
      <c r="L6889" s="389"/>
      <c r="M6889" s="355"/>
      <c r="N6889" s="355" t="str">
        <f t="shared" si="451"/>
        <v>KI</v>
      </c>
      <c r="O6889" s="345" t="str">
        <f t="shared" si="386"/>
        <v/>
      </c>
      <c r="P6889" s="361"/>
      <c r="Q6889" s="327"/>
      <c r="R6889" s="361"/>
      <c r="S6889" s="361"/>
      <c r="T6889" s="361"/>
      <c r="U6889" s="329" t="str">
        <f>IF($N6889=$N$4,IFERROR(INDEX(DanhMuc!$E$154:$E$165,MATCH(MID($B6889,4,2),DanhMuc!$B$154:$B$165,0)),""),"")</f>
        <v/>
      </c>
      <c r="V6889" s="361"/>
      <c r="W6889" s="345"/>
      <c r="X6889" s="365"/>
      <c r="Y6889" s="1128" t="s">
        <v>3380</v>
      </c>
      <c r="Z6889" s="1128" t="s">
        <v>3381</v>
      </c>
      <c r="AA6889" s="1128" t="s">
        <v>3384</v>
      </c>
    </row>
    <row r="6890" spans="1:27">
      <c r="A6890" s="327" t="str">
        <f>IF(AND($B6890&lt;&gt;"",$C6890&lt;&gt;""),MAX($A$6492:$A6889)+1,"")</f>
        <v/>
      </c>
      <c r="B6890" s="361" t="s">
        <v>2209</v>
      </c>
      <c r="C6890" s="370"/>
      <c r="D6890" s="327">
        <f>IF($B6890="","",COUNTIF($B$6:$B6890,$B6890))</f>
        <v>31</v>
      </c>
      <c r="E6890" s="361"/>
      <c r="F6890" s="362"/>
      <c r="G6890" s="327" t="s">
        <v>240</v>
      </c>
      <c r="H6890" s="361"/>
      <c r="I6890" s="327">
        <v>1</v>
      </c>
      <c r="J6890" s="361" t="s">
        <v>2218</v>
      </c>
      <c r="K6890" s="327"/>
      <c r="L6890" s="389"/>
      <c r="M6890" s="355"/>
      <c r="N6890" s="355" t="str">
        <f t="shared" si="451"/>
        <v>KI</v>
      </c>
      <c r="O6890" s="345" t="str">
        <f t="shared" si="386"/>
        <v/>
      </c>
      <c r="P6890" s="361"/>
      <c r="Q6890" s="327"/>
      <c r="R6890" s="361"/>
      <c r="S6890" s="361"/>
      <c r="T6890" s="361"/>
      <c r="U6890" s="329" t="str">
        <f>IF($N6890=$N$4,IFERROR(INDEX(DanhMuc!$E$154:$E$165,MATCH(MID($B6890,4,2),DanhMuc!$B$154:$B$165,0)),""),"")</f>
        <v/>
      </c>
      <c r="V6890" s="361"/>
      <c r="W6890" s="345"/>
      <c r="X6890" s="365"/>
      <c r="Y6890" s="1128" t="s">
        <v>3380</v>
      </c>
      <c r="Z6890" s="1128" t="s">
        <v>3381</v>
      </c>
      <c r="AA6890" s="1128" t="s">
        <v>3384</v>
      </c>
    </row>
    <row r="6891" spans="1:27" ht="39">
      <c r="A6891" s="327">
        <f>IF(AND($B6891&lt;&gt;"",$C6891&lt;&gt;""),MAX($A$6492:$A6888)+1,"")</f>
        <v>87</v>
      </c>
      <c r="B6891" s="359" t="s">
        <v>1749</v>
      </c>
      <c r="C6891" s="370" t="s">
        <v>1755</v>
      </c>
      <c r="D6891" s="327">
        <f>IF($B6891="","",COUNTIF($B$6:$B6891,$B6891))</f>
        <v>28</v>
      </c>
      <c r="E6891" s="361"/>
      <c r="F6891" s="362"/>
      <c r="G6891" s="327" t="s">
        <v>240</v>
      </c>
      <c r="H6891" s="361"/>
      <c r="I6891" s="327">
        <v>4</v>
      </c>
      <c r="J6891" s="361" t="s">
        <v>1779</v>
      </c>
      <c r="K6891" s="327"/>
      <c r="L6891" s="389"/>
      <c r="M6891" s="355"/>
      <c r="N6891" s="355" t="str">
        <f t="shared" si="451"/>
        <v>KI</v>
      </c>
      <c r="O6891" s="345" t="str">
        <f t="shared" si="386"/>
        <v/>
      </c>
      <c r="P6891" s="361"/>
      <c r="Q6891" s="327"/>
      <c r="R6891" s="361"/>
      <c r="S6891" s="361"/>
      <c r="T6891" s="361"/>
      <c r="U6891" s="329" t="str">
        <f>IF($N6891=$N$4,IFERROR(INDEX(DanhMuc!$E$154:$E$165,MATCH(MID($B6891,4,2),DanhMuc!$B$154:$B$165,0)),""),"")</f>
        <v/>
      </c>
      <c r="V6891" s="361"/>
      <c r="W6891" s="345"/>
      <c r="X6891" s="365"/>
      <c r="Y6891" s="1128" t="s">
        <v>3380</v>
      </c>
      <c r="Z6891" s="1128" t="s">
        <v>3381</v>
      </c>
      <c r="AA6891" s="1128" t="s">
        <v>3384</v>
      </c>
    </row>
    <row r="6892" spans="1:27" ht="39">
      <c r="A6892" s="327">
        <f>IF(AND($B6892&lt;&gt;"",$C6892&lt;&gt;""),MAX($A$6492:$A6887)+1,"")</f>
        <v>86</v>
      </c>
      <c r="B6892" s="359" t="s">
        <v>1676</v>
      </c>
      <c r="C6892" s="370" t="s">
        <v>1682</v>
      </c>
      <c r="D6892" s="327">
        <f>IF($B6892="","",COUNTIF($B$6:$B6892,$B6892))</f>
        <v>23</v>
      </c>
      <c r="E6892" s="361"/>
      <c r="F6892" s="362"/>
      <c r="G6892" s="327" t="s">
        <v>240</v>
      </c>
      <c r="H6892" s="361"/>
      <c r="I6892" s="327">
        <v>1</v>
      </c>
      <c r="J6892" s="361" t="s">
        <v>1683</v>
      </c>
      <c r="K6892" s="327"/>
      <c r="L6892" s="389"/>
      <c r="M6892" s="355"/>
      <c r="N6892" s="355" t="str">
        <f t="shared" si="451"/>
        <v>KI</v>
      </c>
      <c r="O6892" s="345" t="str">
        <f t="shared" si="386"/>
        <v/>
      </c>
      <c r="P6892" s="361"/>
      <c r="Q6892" s="327"/>
      <c r="R6892" s="361"/>
      <c r="S6892" s="361"/>
      <c r="T6892" s="361"/>
      <c r="U6892" s="329" t="str">
        <f>IF($N6892=$N$4,IFERROR(INDEX(DanhMuc!$E$154:$E$165,MATCH(MID($B6892,4,2),DanhMuc!$B$154:$B$165,0)),""),"")</f>
        <v/>
      </c>
      <c r="V6892" s="361"/>
      <c r="W6892" s="345"/>
      <c r="X6892" s="365"/>
      <c r="Y6892" s="1128" t="s">
        <v>3380</v>
      </c>
      <c r="Z6892" s="1128" t="s">
        <v>3381</v>
      </c>
      <c r="AA6892" s="1128" t="s">
        <v>3384</v>
      </c>
    </row>
    <row r="6893" spans="1:27" ht="39">
      <c r="A6893" s="327">
        <f>IF(AND($B6893&lt;&gt;"",$C6893&lt;&gt;""),MAX($A$6492:$A6892)+1,"")</f>
        <v>88</v>
      </c>
      <c r="B6893" s="359" t="s">
        <v>1716</v>
      </c>
      <c r="C6893" s="370" t="s">
        <v>1708</v>
      </c>
      <c r="D6893" s="327">
        <f>IF($B6893="","",COUNTIF($B$6:$B6893,$B6893))</f>
        <v>24</v>
      </c>
      <c r="E6893" s="361"/>
      <c r="F6893" s="362"/>
      <c r="G6893" s="327" t="s">
        <v>240</v>
      </c>
      <c r="H6893" s="361"/>
      <c r="I6893" s="327">
        <v>2</v>
      </c>
      <c r="J6893" s="361" t="s">
        <v>1719</v>
      </c>
      <c r="K6893" s="327"/>
      <c r="L6893" s="389"/>
      <c r="M6893" s="355"/>
      <c r="N6893" s="355" t="str">
        <f t="shared" si="451"/>
        <v>KI</v>
      </c>
      <c r="O6893" s="345" t="str">
        <f t="shared" si="386"/>
        <v/>
      </c>
      <c r="P6893" s="361"/>
      <c r="Q6893" s="327"/>
      <c r="R6893" s="361"/>
      <c r="S6893" s="361"/>
      <c r="T6893" s="361"/>
      <c r="U6893" s="329" t="str">
        <f>IF($N6893=$N$4,IFERROR(INDEX(DanhMuc!$E$154:$E$165,MATCH(MID($B6893,4,2),DanhMuc!$B$154:$B$165,0)),""),"")</f>
        <v/>
      </c>
      <c r="V6893" s="361"/>
      <c r="W6893" s="345"/>
      <c r="X6893" s="365"/>
      <c r="Y6893" s="1128" t="s">
        <v>3380</v>
      </c>
      <c r="Z6893" s="1128" t="s">
        <v>3381</v>
      </c>
      <c r="AA6893" s="1128" t="s">
        <v>3384</v>
      </c>
    </row>
    <row r="6894" spans="1:27" ht="39">
      <c r="A6894" s="327">
        <f>IF(AND($B6894&lt;&gt;"",$C6894&lt;&gt;""),MAX($A$6492:$A6892)+1,"")</f>
        <v>88</v>
      </c>
      <c r="B6894" s="359" t="s">
        <v>2193</v>
      </c>
      <c r="C6894" s="370" t="s">
        <v>2203</v>
      </c>
      <c r="D6894" s="327">
        <f>IF($B6894="","",COUNTIF($B$6:$B6894,$B6894))</f>
        <v>25</v>
      </c>
      <c r="E6894" s="361"/>
      <c r="F6894" s="362"/>
      <c r="G6894" s="327" t="s">
        <v>240</v>
      </c>
      <c r="H6894" s="361"/>
      <c r="I6894" s="327">
        <v>3</v>
      </c>
      <c r="J6894" s="361" t="s">
        <v>2204</v>
      </c>
      <c r="K6894" s="327"/>
      <c r="L6894" s="389"/>
      <c r="M6894" s="355"/>
      <c r="N6894" s="355" t="str">
        <f t="shared" si="451"/>
        <v>KI</v>
      </c>
      <c r="O6894" s="345" t="str">
        <f t="shared" si="386"/>
        <v/>
      </c>
      <c r="P6894" s="361"/>
      <c r="Q6894" s="327"/>
      <c r="R6894" s="361"/>
      <c r="S6894" s="361"/>
      <c r="T6894" s="361"/>
      <c r="U6894" s="329" t="str">
        <f>IF($N6894=$N$4,IFERROR(INDEX(DanhMuc!$E$154:$E$165,MATCH(MID($B6894,4,2),DanhMuc!$B$154:$B$165,0)),""),"")</f>
        <v/>
      </c>
      <c r="V6894" s="361"/>
      <c r="W6894" s="345"/>
      <c r="X6894" s="365"/>
      <c r="Y6894" s="1128" t="s">
        <v>3380</v>
      </c>
      <c r="Z6894" s="1128" t="s">
        <v>3381</v>
      </c>
      <c r="AA6894" s="1128" t="s">
        <v>3384</v>
      </c>
    </row>
    <row r="6895" spans="1:27" ht="39">
      <c r="A6895" s="327">
        <f>IF(AND($B6895&lt;&gt;"",$C6895&lt;&gt;""),MAX($A$6492:$A6893)+1,"")</f>
        <v>89</v>
      </c>
      <c r="B6895" s="359" t="s">
        <v>1721</v>
      </c>
      <c r="C6895" s="370" t="s">
        <v>1725</v>
      </c>
      <c r="D6895" s="327">
        <f>IF($B6895="","",COUNTIF($B$6:$B6895,$B6895))</f>
        <v>25</v>
      </c>
      <c r="E6895" s="361"/>
      <c r="F6895" s="362"/>
      <c r="G6895" s="327" t="s">
        <v>240</v>
      </c>
      <c r="H6895" s="361"/>
      <c r="I6895" s="327">
        <v>4</v>
      </c>
      <c r="J6895" s="361" t="s">
        <v>1726</v>
      </c>
      <c r="K6895" s="327"/>
      <c r="L6895" s="389"/>
      <c r="M6895" s="355"/>
      <c r="N6895" s="355" t="str">
        <f t="shared" si="451"/>
        <v>KI</v>
      </c>
      <c r="O6895" s="345" t="str">
        <f t="shared" si="386"/>
        <v/>
      </c>
      <c r="P6895" s="361"/>
      <c r="Q6895" s="327"/>
      <c r="R6895" s="361"/>
      <c r="S6895" s="361"/>
      <c r="T6895" s="361"/>
      <c r="U6895" s="329" t="str">
        <f>IF($N6895=$N$4,IFERROR(INDEX(DanhMuc!$E$154:$E$165,MATCH(MID($B6895,4,2),DanhMuc!$B$154:$B$165,0)),""),"")</f>
        <v/>
      </c>
      <c r="V6895" s="361"/>
      <c r="W6895" s="345"/>
      <c r="X6895" s="365"/>
      <c r="Y6895" s="1128" t="s">
        <v>3380</v>
      </c>
      <c r="Z6895" s="1128" t="s">
        <v>3381</v>
      </c>
      <c r="AA6895" s="1128" t="s">
        <v>3384</v>
      </c>
    </row>
    <row r="6896" spans="1:27" ht="39">
      <c r="A6896" s="327">
        <f>IF(AND($B6896&lt;&gt;"",$C6896&lt;&gt;""),MAX($A$6492:$A6895)+1,"")</f>
        <v>90</v>
      </c>
      <c r="B6896" s="359" t="s">
        <v>1727</v>
      </c>
      <c r="C6896" s="370" t="s">
        <v>1728</v>
      </c>
      <c r="D6896" s="327">
        <f>IF($B6896="","",COUNTIF($B$6:$B6896,$B6896))</f>
        <v>23</v>
      </c>
      <c r="E6896" s="361"/>
      <c r="F6896" s="362"/>
      <c r="G6896" s="327" t="s">
        <v>240</v>
      </c>
      <c r="H6896" s="361"/>
      <c r="I6896" s="327">
        <v>1</v>
      </c>
      <c r="J6896" s="361" t="s">
        <v>1683</v>
      </c>
      <c r="K6896" s="327"/>
      <c r="L6896" s="389"/>
      <c r="M6896" s="355"/>
      <c r="N6896" s="355" t="str">
        <f t="shared" si="451"/>
        <v>KI</v>
      </c>
      <c r="O6896" s="345" t="str">
        <f t="shared" si="386"/>
        <v/>
      </c>
      <c r="P6896" s="361"/>
      <c r="Q6896" s="327"/>
      <c r="R6896" s="361"/>
      <c r="S6896" s="361"/>
      <c r="T6896" s="361"/>
      <c r="U6896" s="329" t="str">
        <f>IF($N6896=$N$4,IFERROR(INDEX(DanhMuc!$E$154:$E$165,MATCH(MID($B6896,4,2),DanhMuc!$B$154:$B$165,0)),""),"")</f>
        <v/>
      </c>
      <c r="V6896" s="361"/>
      <c r="W6896" s="345"/>
      <c r="X6896" s="365"/>
      <c r="Y6896" s="1128" t="s">
        <v>3380</v>
      </c>
      <c r="Z6896" s="1128" t="s">
        <v>3381</v>
      </c>
      <c r="AA6896" s="1128" t="s">
        <v>3384</v>
      </c>
    </row>
    <row r="6897" spans="1:27" ht="39">
      <c r="A6897" s="327">
        <f>IF(AND($B6897&lt;&gt;"",$C6897&lt;&gt;""),MAX($A$6492:$A6896)+1,"")</f>
        <v>91</v>
      </c>
      <c r="B6897" s="359" t="s">
        <v>1750</v>
      </c>
      <c r="C6897" s="370" t="s">
        <v>1754</v>
      </c>
      <c r="D6897" s="327">
        <f>IF($B6897="","",COUNTIF($B$6:$B6897,$B6897))</f>
        <v>27</v>
      </c>
      <c r="E6897" s="361"/>
      <c r="F6897" s="362"/>
      <c r="G6897" s="327" t="s">
        <v>240</v>
      </c>
      <c r="H6897" s="361"/>
      <c r="I6897" s="327">
        <v>2</v>
      </c>
      <c r="J6897" s="361" t="s">
        <v>1747</v>
      </c>
      <c r="K6897" s="327"/>
      <c r="L6897" s="389"/>
      <c r="M6897" s="355"/>
      <c r="N6897" s="355" t="str">
        <f t="shared" si="451"/>
        <v>KI</v>
      </c>
      <c r="O6897" s="345" t="str">
        <f t="shared" si="386"/>
        <v/>
      </c>
      <c r="P6897" s="361"/>
      <c r="Q6897" s="327"/>
      <c r="R6897" s="361"/>
      <c r="S6897" s="361"/>
      <c r="T6897" s="361"/>
      <c r="U6897" s="329" t="str">
        <f>IF($N6897=$N$4,IFERROR(INDEX(DanhMuc!$E$154:$E$165,MATCH(MID($B6897,4,2),DanhMuc!$B$154:$B$165,0)),""),"")</f>
        <v/>
      </c>
      <c r="V6897" s="361"/>
      <c r="W6897" s="345"/>
      <c r="X6897" s="365"/>
      <c r="Y6897" s="1128" t="s">
        <v>3380</v>
      </c>
      <c r="Z6897" s="1128" t="s">
        <v>3381</v>
      </c>
      <c r="AA6897" s="1128" t="s">
        <v>3384</v>
      </c>
    </row>
    <row r="6898" spans="1:27" ht="39">
      <c r="A6898" s="327">
        <f>IF(AND($B6898&lt;&gt;"",$C6898&lt;&gt;""),MAX($A$6492:$A6897)+1,"")</f>
        <v>92</v>
      </c>
      <c r="B6898" s="359" t="s">
        <v>2216</v>
      </c>
      <c r="C6898" s="370" t="s">
        <v>2207</v>
      </c>
      <c r="D6898" s="327">
        <f>IF($B6898="","",COUNTIF($B$6:$B6898,$B6898))</f>
        <v>30</v>
      </c>
      <c r="E6898" s="361"/>
      <c r="F6898" s="362"/>
      <c r="G6898" s="327" t="s">
        <v>240</v>
      </c>
      <c r="H6898" s="361"/>
      <c r="I6898" s="327">
        <v>2</v>
      </c>
      <c r="J6898" s="361" t="s">
        <v>2217</v>
      </c>
      <c r="K6898" s="327"/>
      <c r="L6898" s="389"/>
      <c r="M6898" s="355"/>
      <c r="N6898" s="355" t="str">
        <f t="shared" si="451"/>
        <v>KI</v>
      </c>
      <c r="O6898" s="345" t="str">
        <f t="shared" si="386"/>
        <v/>
      </c>
      <c r="P6898" s="361"/>
      <c r="Q6898" s="327"/>
      <c r="R6898" s="361"/>
      <c r="S6898" s="361"/>
      <c r="T6898" s="361"/>
      <c r="U6898" s="329" t="str">
        <f>IF($N6898=$N$4,IFERROR(INDEX(DanhMuc!$E$154:$E$165,MATCH(MID($B6898,4,2),DanhMuc!$B$154:$B$165,0)),""),"")</f>
        <v/>
      </c>
      <c r="V6898" s="361"/>
      <c r="W6898" s="345"/>
      <c r="X6898" s="365"/>
      <c r="Y6898" s="1128" t="s">
        <v>3380</v>
      </c>
      <c r="Z6898" s="1128" t="s">
        <v>3381</v>
      </c>
      <c r="AA6898" s="1128" t="s">
        <v>3384</v>
      </c>
    </row>
    <row r="6899" spans="1:27">
      <c r="A6899" s="327" t="str">
        <f>IF(AND($B6899&lt;&gt;"",$C6899&lt;&gt;""),MAX($A$6492:$A6898)+1,"")</f>
        <v/>
      </c>
      <c r="B6899" s="361" t="s">
        <v>2216</v>
      </c>
      <c r="C6899" s="370"/>
      <c r="D6899" s="327">
        <f>IF($B6899="","",COUNTIF($B$6:$B6899,$B6899))</f>
        <v>31</v>
      </c>
      <c r="E6899" s="361"/>
      <c r="F6899" s="362"/>
      <c r="G6899" s="327" t="s">
        <v>240</v>
      </c>
      <c r="H6899" s="361"/>
      <c r="I6899" s="327">
        <v>1</v>
      </c>
      <c r="J6899" s="361" t="s">
        <v>2218</v>
      </c>
      <c r="K6899" s="327"/>
      <c r="L6899" s="389"/>
      <c r="M6899" s="355"/>
      <c r="N6899" s="355" t="str">
        <f t="shared" si="451"/>
        <v>KI</v>
      </c>
      <c r="O6899" s="345" t="str">
        <f t="shared" si="386"/>
        <v/>
      </c>
      <c r="P6899" s="361"/>
      <c r="Q6899" s="327"/>
      <c r="R6899" s="361"/>
      <c r="S6899" s="361"/>
      <c r="T6899" s="361"/>
      <c r="U6899" s="329" t="str">
        <f>IF($N6899=$N$4,IFERROR(INDEX(DanhMuc!$E$154:$E$165,MATCH(MID($B6899,4,2),DanhMuc!$B$154:$B$165,0)),""),"")</f>
        <v/>
      </c>
      <c r="V6899" s="361"/>
      <c r="W6899" s="345"/>
      <c r="X6899" s="365"/>
      <c r="Y6899" s="1128" t="s">
        <v>3380</v>
      </c>
      <c r="Z6899" s="1128" t="s">
        <v>3381</v>
      </c>
      <c r="AA6899" s="1128" t="s">
        <v>3384</v>
      </c>
    </row>
    <row r="6900" spans="1:27" ht="39">
      <c r="A6900" s="327">
        <f>IF(AND($B6900&lt;&gt;"",$C6900&lt;&gt;""),MAX($A$6492:$A6897)+1,"")</f>
        <v>92</v>
      </c>
      <c r="B6900" s="359" t="s">
        <v>1752</v>
      </c>
      <c r="C6900" s="370" t="s">
        <v>1756</v>
      </c>
      <c r="D6900" s="327">
        <f>IF($B6900="","",COUNTIF($B$6:$B6900,$B6900))</f>
        <v>28</v>
      </c>
      <c r="E6900" s="361"/>
      <c r="F6900" s="362"/>
      <c r="G6900" s="327" t="s">
        <v>240</v>
      </c>
      <c r="H6900" s="361"/>
      <c r="I6900" s="327">
        <v>4</v>
      </c>
      <c r="J6900" s="361" t="s">
        <v>1779</v>
      </c>
      <c r="K6900" s="327"/>
      <c r="L6900" s="389"/>
      <c r="M6900" s="355"/>
      <c r="N6900" s="355" t="str">
        <f t="shared" si="451"/>
        <v>KI</v>
      </c>
      <c r="O6900" s="345" t="str">
        <f t="shared" si="386"/>
        <v/>
      </c>
      <c r="P6900" s="361"/>
      <c r="Q6900" s="327"/>
      <c r="R6900" s="361"/>
      <c r="S6900" s="361"/>
      <c r="T6900" s="361"/>
      <c r="U6900" s="329" t="str">
        <f>IF($N6900=$N$4,IFERROR(INDEX(DanhMuc!$E$154:$E$165,MATCH(MID($B6900,4,2),DanhMuc!$B$154:$B$165,0)),""),"")</f>
        <v/>
      </c>
      <c r="V6900" s="361"/>
      <c r="W6900" s="345"/>
      <c r="X6900" s="365"/>
      <c r="Y6900" s="1128" t="s">
        <v>3380</v>
      </c>
      <c r="Z6900" s="1128" t="s">
        <v>3381</v>
      </c>
      <c r="AA6900" s="1128" t="s">
        <v>3384</v>
      </c>
    </row>
    <row r="6901" spans="1:27" ht="26">
      <c r="A6901" s="327">
        <f>IF(AND($B6901&lt;&gt;"",$C6901&lt;&gt;""),MAX($A$6492:$A6900)+1,"")</f>
        <v>93</v>
      </c>
      <c r="B6901" s="359" t="s">
        <v>1794</v>
      </c>
      <c r="C6901" s="370" t="s">
        <v>1796</v>
      </c>
      <c r="D6901" s="327">
        <f>IF($B6901="","",COUNTIF($B$6:$B6901,$B6901))</f>
        <v>20</v>
      </c>
      <c r="E6901" s="361"/>
      <c r="F6901" s="362"/>
      <c r="G6901" s="327" t="s">
        <v>240</v>
      </c>
      <c r="H6901" s="361"/>
      <c r="I6901" s="327">
        <v>1</v>
      </c>
      <c r="J6901" s="361" t="s">
        <v>1845</v>
      </c>
      <c r="K6901" s="327"/>
      <c r="L6901" s="389"/>
      <c r="M6901" s="355"/>
      <c r="N6901" s="355" t="str">
        <f t="shared" si="451"/>
        <v>KI</v>
      </c>
      <c r="O6901" s="345" t="str">
        <f t="shared" si="386"/>
        <v/>
      </c>
      <c r="P6901" s="361"/>
      <c r="Q6901" s="327"/>
      <c r="R6901" s="361"/>
      <c r="S6901" s="361"/>
      <c r="T6901" s="361"/>
      <c r="U6901" s="329" t="str">
        <f>IF($N6901=$N$4,IFERROR(INDEX(DanhMuc!$E$154:$E$165,MATCH(MID($B6901,4,2),DanhMuc!$B$154:$B$165,0)),""),"")</f>
        <v/>
      </c>
      <c r="V6901" s="361"/>
      <c r="W6901" s="345"/>
      <c r="X6901" s="365"/>
      <c r="Y6901" s="1128" t="s">
        <v>3380</v>
      </c>
      <c r="Z6901" s="1128" t="s">
        <v>3381</v>
      </c>
      <c r="AA6901" s="1128" t="s">
        <v>3384</v>
      </c>
    </row>
    <row r="6902" spans="1:27" ht="26">
      <c r="A6902" s="327">
        <f>IF(AND($B6902&lt;&gt;"",$C6902&lt;&gt;""),MAX($A$6492:$A6898)+1,"")</f>
        <v>93</v>
      </c>
      <c r="B6902" s="359" t="s">
        <v>3241</v>
      </c>
      <c r="C6902" s="360" t="s">
        <v>3243</v>
      </c>
      <c r="D6902" s="327">
        <f>IF($B6902="","",COUNTIF($B$6:$B6902,$B6902))</f>
        <v>17</v>
      </c>
      <c r="E6902" s="361"/>
      <c r="F6902" s="362"/>
      <c r="G6902" s="327" t="s">
        <v>240</v>
      </c>
      <c r="H6902" s="361"/>
      <c r="I6902" s="327">
        <v>1</v>
      </c>
      <c r="J6902" s="361" t="s">
        <v>3250</v>
      </c>
      <c r="K6902" s="327"/>
      <c r="L6902" s="389"/>
      <c r="M6902" s="355"/>
      <c r="N6902" s="355" t="str">
        <f t="shared" si="451"/>
        <v>KI</v>
      </c>
      <c r="O6902" s="345" t="str">
        <f t="shared" ref="O6902:O6906" si="452">IF($E6902="","",IF(VALUE(MID($E6902,3,2))&gt;=20,20,IF(AND(10&lt;VALUE(MID($E6902,3,2)),VALUE(MID($E6902,3,2))&lt;20),19,10)))</f>
        <v/>
      </c>
      <c r="P6902" s="361"/>
      <c r="Q6902" s="327"/>
      <c r="R6902" s="361"/>
      <c r="S6902" s="361"/>
      <c r="T6902" s="361"/>
      <c r="U6902" s="329" t="str">
        <f>IF($N6902=$N$4,IFERROR(INDEX(DanhMuc!$E$154:$E$165,MATCH(MID($B6902,4,2),DanhMuc!$B$154:$B$165,0)),""),"")</f>
        <v/>
      </c>
      <c r="V6902" s="361"/>
      <c r="W6902" s="345"/>
      <c r="X6902" s="365"/>
      <c r="Y6902" s="1128" t="s">
        <v>3380</v>
      </c>
      <c r="Z6902" s="1128" t="s">
        <v>3381</v>
      </c>
      <c r="AA6902" s="1128" t="s">
        <v>3384</v>
      </c>
    </row>
    <row r="6903" spans="1:27">
      <c r="A6903" s="327" t="str">
        <f>IF(AND($B6903&lt;&gt;"",$C6903&lt;&gt;""),MAX($A$6492:$A6899)+1,"")</f>
        <v/>
      </c>
      <c r="B6903" s="361" t="s">
        <v>3241</v>
      </c>
      <c r="C6903" s="360"/>
      <c r="D6903" s="327">
        <f>IF($B6903="","",COUNTIF($B$6:$B6903,$B6903))</f>
        <v>18</v>
      </c>
      <c r="E6903" s="361"/>
      <c r="F6903" s="362"/>
      <c r="G6903" s="327" t="s">
        <v>240</v>
      </c>
      <c r="H6903" s="361"/>
      <c r="I6903" s="327">
        <v>1</v>
      </c>
      <c r="J6903" s="361" t="s">
        <v>3246</v>
      </c>
      <c r="K6903" s="327"/>
      <c r="L6903" s="389"/>
      <c r="M6903" s="355"/>
      <c r="N6903" s="355" t="str">
        <f t="shared" si="451"/>
        <v>KI</v>
      </c>
      <c r="O6903" s="345" t="str">
        <f t="shared" si="452"/>
        <v/>
      </c>
      <c r="P6903" s="361"/>
      <c r="Q6903" s="327"/>
      <c r="R6903" s="361"/>
      <c r="S6903" s="361"/>
      <c r="T6903" s="361"/>
      <c r="U6903" s="329" t="str">
        <f>IF($N6903=$N$4,IFERROR(INDEX(DanhMuc!$E$154:$E$165,MATCH(MID($B6903,4,2),DanhMuc!$B$154:$B$165,0)),""),"")</f>
        <v/>
      </c>
      <c r="V6903" s="361"/>
      <c r="W6903" s="345"/>
      <c r="X6903" s="365"/>
      <c r="Y6903" s="1128" t="s">
        <v>3380</v>
      </c>
      <c r="Z6903" s="1128" t="s">
        <v>3381</v>
      </c>
      <c r="AA6903" s="1128" t="s">
        <v>3384</v>
      </c>
    </row>
    <row r="6904" spans="1:27" ht="26">
      <c r="A6904" s="327">
        <f>IF(AND($B6904&lt;&gt;"",$C6904&lt;&gt;""),MAX($A$6492:$A6899)+1,"")</f>
        <v>93</v>
      </c>
      <c r="B6904" s="359" t="s">
        <v>3242</v>
      </c>
      <c r="C6904" s="360" t="s">
        <v>3244</v>
      </c>
      <c r="D6904" s="327">
        <f>IF($B6904="","",COUNTIF($B$6:$B6904,$B6904))</f>
        <v>17</v>
      </c>
      <c r="E6904" s="361"/>
      <c r="F6904" s="362"/>
      <c r="G6904" s="327" t="s">
        <v>240</v>
      </c>
      <c r="H6904" s="361"/>
      <c r="I6904" s="327">
        <v>2</v>
      </c>
      <c r="J6904" s="361" t="s">
        <v>3251</v>
      </c>
      <c r="K6904" s="327"/>
      <c r="L6904" s="389"/>
      <c r="M6904" s="355"/>
      <c r="N6904" s="355" t="str">
        <f t="shared" si="451"/>
        <v>KI</v>
      </c>
      <c r="O6904" s="345" t="str">
        <f t="shared" si="452"/>
        <v/>
      </c>
      <c r="P6904" s="361"/>
      <c r="Q6904" s="327"/>
      <c r="R6904" s="361"/>
      <c r="S6904" s="361"/>
      <c r="T6904" s="361"/>
      <c r="U6904" s="329" t="str">
        <f>IF($N6904=$N$4,IFERROR(INDEX(DanhMuc!$E$154:$E$165,MATCH(MID($B6904,4,2),DanhMuc!$B$154:$B$165,0)),""),"")</f>
        <v/>
      </c>
      <c r="V6904" s="361"/>
      <c r="W6904" s="345"/>
      <c r="X6904" s="365"/>
      <c r="Y6904" s="1128" t="s">
        <v>3380</v>
      </c>
      <c r="Z6904" s="1128" t="s">
        <v>3381</v>
      </c>
      <c r="AA6904" s="1128" t="s">
        <v>3384</v>
      </c>
    </row>
    <row r="6905" spans="1:27">
      <c r="A6905" s="327" t="str">
        <f>IF(AND($B6905&lt;&gt;"",$C6905&lt;&gt;""),MAX($A$6492:$A6900)+1,"")</f>
        <v/>
      </c>
      <c r="B6905" s="361" t="s">
        <v>3242</v>
      </c>
      <c r="C6905" s="360"/>
      <c r="D6905" s="327">
        <f>IF($B6905="","",COUNTIF($B$6:$B6905,$B6905))</f>
        <v>18</v>
      </c>
      <c r="E6905" s="361"/>
      <c r="F6905" s="362"/>
      <c r="G6905" s="327" t="s">
        <v>240</v>
      </c>
      <c r="H6905" s="361"/>
      <c r="I6905" s="327">
        <v>2</v>
      </c>
      <c r="J6905" s="361" t="s">
        <v>3247</v>
      </c>
      <c r="K6905" s="327"/>
      <c r="L6905" s="389"/>
      <c r="M6905" s="355"/>
      <c r="N6905" s="355" t="str">
        <f t="shared" si="451"/>
        <v>KI</v>
      </c>
      <c r="O6905" s="345" t="str">
        <f t="shared" si="452"/>
        <v/>
      </c>
      <c r="P6905" s="361"/>
      <c r="Q6905" s="327"/>
      <c r="R6905" s="361"/>
      <c r="S6905" s="361"/>
      <c r="T6905" s="361"/>
      <c r="U6905" s="329" t="str">
        <f>IF($N6905=$N$4,IFERROR(INDEX(DanhMuc!$E$154:$E$165,MATCH(MID($B6905,4,2),DanhMuc!$B$154:$B$165,0)),""),"")</f>
        <v/>
      </c>
      <c r="V6905" s="361"/>
      <c r="W6905" s="345"/>
      <c r="X6905" s="365"/>
      <c r="Y6905" s="1128" t="s">
        <v>3380</v>
      </c>
      <c r="Z6905" s="1128" t="s">
        <v>3381</v>
      </c>
      <c r="AA6905" s="1128" t="s">
        <v>3384</v>
      </c>
    </row>
    <row r="6906" spans="1:27">
      <c r="A6906" s="327">
        <f>IF(AND($B6906&lt;&gt;"",$C6906&lt;&gt;""),MAX($A$6492:$A6900)+1,"")</f>
        <v>93</v>
      </c>
      <c r="B6906" s="359" t="s">
        <v>2568</v>
      </c>
      <c r="C6906" s="360" t="s">
        <v>3237</v>
      </c>
      <c r="D6906" s="327">
        <f>IF($B6906="","",COUNTIF($B$6:$B6906,$B6906))</f>
        <v>10</v>
      </c>
      <c r="E6906" s="361"/>
      <c r="F6906" s="362"/>
      <c r="G6906" s="327" t="s">
        <v>240</v>
      </c>
      <c r="H6906" s="361"/>
      <c r="I6906" s="327">
        <v>1</v>
      </c>
      <c r="J6906" s="361" t="s">
        <v>3245</v>
      </c>
      <c r="K6906" s="327"/>
      <c r="L6906" s="389"/>
      <c r="M6906" s="355"/>
      <c r="N6906" s="355" t="str">
        <f t="shared" si="451"/>
        <v>KI</v>
      </c>
      <c r="O6906" s="345" t="str">
        <f t="shared" si="452"/>
        <v/>
      </c>
      <c r="P6906" s="361"/>
      <c r="Q6906" s="327"/>
      <c r="R6906" s="361"/>
      <c r="S6906" s="361"/>
      <c r="T6906" s="361"/>
      <c r="U6906" s="329" t="str">
        <f>IF($N6906=$N$4,IFERROR(INDEX(DanhMuc!$E$154:$E$165,MATCH(MID($B6906,4,2),DanhMuc!$B$154:$B$165,0)),""),"")</f>
        <v/>
      </c>
      <c r="V6906" s="361"/>
      <c r="W6906" s="345"/>
      <c r="X6906" s="365"/>
      <c r="Y6906" s="1128" t="s">
        <v>3380</v>
      </c>
      <c r="Z6906" s="1128" t="s">
        <v>3381</v>
      </c>
      <c r="AA6906" s="1128" t="s">
        <v>3384</v>
      </c>
    </row>
    <row r="6907" spans="1:27" ht="26">
      <c r="A6907" s="327">
        <f>IF(AND($B6907&lt;&gt;"",$C6907&lt;&gt;""),MAX($A$6492:$A6901)+1,"")</f>
        <v>94</v>
      </c>
      <c r="B6907" s="359" t="s">
        <v>3375</v>
      </c>
      <c r="C6907" s="360" t="s">
        <v>2574</v>
      </c>
      <c r="D6907" s="327">
        <f>IF($B6907="","",COUNTIF($B$6:$B6907,$B6907))</f>
        <v>12</v>
      </c>
      <c r="E6907" s="361"/>
      <c r="F6907" s="362"/>
      <c r="G6907" s="327" t="s">
        <v>240</v>
      </c>
      <c r="H6907" s="361"/>
      <c r="I6907" s="327">
        <v>1</v>
      </c>
      <c r="J6907" s="361" t="s">
        <v>2594</v>
      </c>
      <c r="K6907" s="327"/>
      <c r="L6907" s="389"/>
      <c r="M6907" s="355"/>
      <c r="N6907" s="355" t="str">
        <f t="shared" si="451"/>
        <v>KI</v>
      </c>
      <c r="O6907" s="345" t="str">
        <f t="shared" si="386"/>
        <v/>
      </c>
      <c r="P6907" s="361"/>
      <c r="Q6907" s="327"/>
      <c r="R6907" s="361"/>
      <c r="S6907" s="361"/>
      <c r="T6907" s="361"/>
      <c r="U6907" s="329" t="str">
        <f>IF($N6907=$N$4,IFERROR(INDEX(DanhMuc!$E$154:$E$165,MATCH(MID($B6907,4,2),DanhMuc!$B$154:$B$165,0)),""),"")</f>
        <v/>
      </c>
      <c r="V6907" s="361"/>
      <c r="W6907" s="345"/>
      <c r="X6907" s="365"/>
      <c r="Y6907" s="1128" t="s">
        <v>3380</v>
      </c>
      <c r="Z6907" s="1128" t="s">
        <v>3381</v>
      </c>
      <c r="AA6907" s="1128" t="s">
        <v>3384</v>
      </c>
    </row>
    <row r="6908" spans="1:27">
      <c r="A6908" s="327">
        <f>IF(AND($B6908&lt;&gt;"",$C6908&lt;&gt;""),MAX($A$6492:$A6907)+1,"")</f>
        <v>95</v>
      </c>
      <c r="B6908" s="359" t="s">
        <v>2605</v>
      </c>
      <c r="C6908" s="360" t="s">
        <v>2606</v>
      </c>
      <c r="D6908" s="327">
        <f>IF($B6908="","",COUNTIF($B$6:$B6908,$B6908))</f>
        <v>3</v>
      </c>
      <c r="E6908" s="361"/>
      <c r="F6908" s="362"/>
      <c r="G6908" s="327" t="s">
        <v>240</v>
      </c>
      <c r="H6908" s="361"/>
      <c r="I6908" s="327">
        <v>1</v>
      </c>
      <c r="J6908" s="361" t="s">
        <v>2607</v>
      </c>
      <c r="K6908" s="327"/>
      <c r="L6908" s="389"/>
      <c r="M6908" s="355"/>
      <c r="N6908" s="355" t="str">
        <f t="shared" si="451"/>
        <v>KI</v>
      </c>
      <c r="O6908" s="345" t="str">
        <f t="shared" si="386"/>
        <v/>
      </c>
      <c r="P6908" s="361"/>
      <c r="Q6908" s="327"/>
      <c r="R6908" s="361"/>
      <c r="S6908" s="361"/>
      <c r="T6908" s="361"/>
      <c r="U6908" s="329" t="str">
        <f>IF($N6908=$N$4,IFERROR(INDEX(DanhMuc!$E$154:$E$165,MATCH(MID($B6908,4,2),DanhMuc!$B$154:$B$165,0)),""),"")</f>
        <v/>
      </c>
      <c r="V6908" s="361"/>
      <c r="W6908" s="345"/>
      <c r="X6908" s="365"/>
      <c r="Y6908" s="1128" t="s">
        <v>3380</v>
      </c>
      <c r="Z6908" s="1128" t="s">
        <v>3381</v>
      </c>
      <c r="AA6908" s="1128" t="s">
        <v>3384</v>
      </c>
    </row>
    <row r="6909" spans="1:27" ht="39">
      <c r="A6909" s="327">
        <f>IF(AND($B6909&lt;&gt;"",$C6909&lt;&gt;""),MAX($A$6492:$A6908)+1,"")</f>
        <v>96</v>
      </c>
      <c r="B6909" s="359" t="s">
        <v>3851</v>
      </c>
      <c r="C6909" s="360" t="s">
        <v>3770</v>
      </c>
      <c r="D6909" s="327">
        <f>IF($B6909="","",COUNTIF($B$6:$B6909,$B6909))</f>
        <v>3</v>
      </c>
      <c r="E6909" s="361"/>
      <c r="F6909" s="362"/>
      <c r="G6909" s="327" t="s">
        <v>240</v>
      </c>
      <c r="H6909" s="361"/>
      <c r="I6909" s="327">
        <v>1</v>
      </c>
      <c r="J6909" s="361" t="s">
        <v>2607</v>
      </c>
      <c r="K6909" s="327"/>
      <c r="L6909" s="389"/>
      <c r="M6909" s="355"/>
      <c r="N6909" s="355" t="str">
        <f t="shared" si="451"/>
        <v>KI</v>
      </c>
      <c r="O6909" s="345" t="str">
        <f t="shared" si="386"/>
        <v/>
      </c>
      <c r="P6909" s="361"/>
      <c r="Q6909" s="327"/>
      <c r="R6909" s="361"/>
      <c r="S6909" s="361"/>
      <c r="T6909" s="361"/>
      <c r="U6909" s="329" t="str">
        <f>IF($N6909=$N$4,IFERROR(INDEX(DanhMuc!$E$154:$E$165,MATCH(MID($B6909,4,2),DanhMuc!$B$154:$B$165,0)),""),"")</f>
        <v/>
      </c>
      <c r="V6909" s="361"/>
      <c r="W6909" s="345"/>
      <c r="X6909" s="365"/>
      <c r="Y6909" s="1128" t="s">
        <v>3380</v>
      </c>
      <c r="Z6909" s="1128" t="s">
        <v>3381</v>
      </c>
      <c r="AA6909" s="1128" t="s">
        <v>3384</v>
      </c>
    </row>
    <row r="6910" spans="1:27" ht="39">
      <c r="A6910" s="327">
        <f>IF(AND($B6910&lt;&gt;"",$C6910&lt;&gt;""),MAX($A$6492:$A6909)+1,"")</f>
        <v>97</v>
      </c>
      <c r="B6910" s="359" t="s">
        <v>3852</v>
      </c>
      <c r="C6910" s="360" t="s">
        <v>3796</v>
      </c>
      <c r="D6910" s="327">
        <f>IF($B6910="","",COUNTIF($B$6:$B6910,$B6910))</f>
        <v>3</v>
      </c>
      <c r="E6910" s="361"/>
      <c r="F6910" s="362"/>
      <c r="G6910" s="327" t="s">
        <v>240</v>
      </c>
      <c r="H6910" s="361"/>
      <c r="I6910" s="327">
        <v>1</v>
      </c>
      <c r="J6910" s="361" t="s">
        <v>2607</v>
      </c>
      <c r="K6910" s="327"/>
      <c r="L6910" s="389"/>
      <c r="M6910" s="355"/>
      <c r="N6910" s="355" t="str">
        <f t="shared" si="451"/>
        <v>KI</v>
      </c>
      <c r="O6910" s="345" t="str">
        <f t="shared" si="386"/>
        <v/>
      </c>
      <c r="P6910" s="361"/>
      <c r="Q6910" s="327"/>
      <c r="R6910" s="361"/>
      <c r="S6910" s="361"/>
      <c r="T6910" s="361"/>
      <c r="U6910" s="329" t="str">
        <f>IF($N6910=$N$4,IFERROR(INDEX(DanhMuc!$E$154:$E$165,MATCH(MID($B6910,4,2),DanhMuc!$B$154:$B$165,0)),""),"")</f>
        <v/>
      </c>
      <c r="V6910" s="361"/>
      <c r="W6910" s="345"/>
      <c r="X6910" s="365"/>
      <c r="Y6910" s="1128" t="s">
        <v>3380</v>
      </c>
      <c r="Z6910" s="1128" t="s">
        <v>3381</v>
      </c>
      <c r="AA6910" s="1128" t="s">
        <v>3384</v>
      </c>
    </row>
    <row r="6911" spans="1:27" ht="52">
      <c r="A6911" s="327">
        <f>IF(AND($B6911&lt;&gt;"",$C6911&lt;&gt;""),MAX($A$6492:$A6910)+1,"")</f>
        <v>98</v>
      </c>
      <c r="B6911" s="359" t="s">
        <v>3853</v>
      </c>
      <c r="C6911" s="360" t="s">
        <v>3800</v>
      </c>
      <c r="D6911" s="327">
        <f>IF($B6911="","",COUNTIF($B$6:$B6911,$B6911))</f>
        <v>3</v>
      </c>
      <c r="E6911" s="361"/>
      <c r="F6911" s="362"/>
      <c r="G6911" s="327" t="s">
        <v>240</v>
      </c>
      <c r="H6911" s="361"/>
      <c r="I6911" s="327">
        <v>1</v>
      </c>
      <c r="J6911" s="361" t="s">
        <v>2607</v>
      </c>
      <c r="K6911" s="327"/>
      <c r="L6911" s="389"/>
      <c r="M6911" s="355"/>
      <c r="N6911" s="355" t="str">
        <f t="shared" si="451"/>
        <v>KI</v>
      </c>
      <c r="O6911" s="345" t="str">
        <f t="shared" si="386"/>
        <v/>
      </c>
      <c r="P6911" s="361"/>
      <c r="Q6911" s="327"/>
      <c r="R6911" s="361"/>
      <c r="S6911" s="361"/>
      <c r="T6911" s="361"/>
      <c r="U6911" s="329" t="str">
        <f>IF($N6911=$N$4,IFERROR(INDEX(DanhMuc!$E$154:$E$165,MATCH(MID($B6911,4,2),DanhMuc!$B$154:$B$165,0)),""),"")</f>
        <v/>
      </c>
      <c r="V6911" s="361"/>
      <c r="W6911" s="345"/>
      <c r="X6911" s="365"/>
      <c r="Y6911" s="1128" t="s">
        <v>3380</v>
      </c>
      <c r="Z6911" s="1128" t="s">
        <v>3381</v>
      </c>
      <c r="AA6911" s="1128" t="s">
        <v>3384</v>
      </c>
    </row>
    <row r="6912" spans="1:27" ht="52">
      <c r="A6912" s="327">
        <f>IF(AND($B6912&lt;&gt;"",$C6912&lt;&gt;""),MAX($A$6492:$A6911)+1,"")</f>
        <v>99</v>
      </c>
      <c r="B6912" s="359" t="s">
        <v>3854</v>
      </c>
      <c r="C6912" s="360" t="s">
        <v>3803</v>
      </c>
      <c r="D6912" s="327">
        <f>IF($B6912="","",COUNTIF($B$6:$B6912,$B6912))</f>
        <v>3</v>
      </c>
      <c r="E6912" s="361"/>
      <c r="F6912" s="362"/>
      <c r="G6912" s="327" t="s">
        <v>240</v>
      </c>
      <c r="H6912" s="361"/>
      <c r="I6912" s="327">
        <v>1</v>
      </c>
      <c r="J6912" s="361" t="s">
        <v>2607</v>
      </c>
      <c r="K6912" s="327"/>
      <c r="L6912" s="389"/>
      <c r="M6912" s="355"/>
      <c r="N6912" s="355" t="str">
        <f t="shared" si="451"/>
        <v>KI</v>
      </c>
      <c r="O6912" s="345" t="str">
        <f t="shared" si="386"/>
        <v/>
      </c>
      <c r="P6912" s="361"/>
      <c r="Q6912" s="327"/>
      <c r="R6912" s="361"/>
      <c r="S6912" s="361"/>
      <c r="T6912" s="361"/>
      <c r="U6912" s="329" t="str">
        <f>IF($N6912=$N$4,IFERROR(INDEX(DanhMuc!$E$154:$E$165,MATCH(MID($B6912,4,2),DanhMuc!$B$154:$B$165,0)),""),"")</f>
        <v/>
      </c>
      <c r="V6912" s="361"/>
      <c r="W6912" s="345"/>
      <c r="X6912" s="365"/>
      <c r="Y6912" s="1128" t="s">
        <v>3380</v>
      </c>
      <c r="Z6912" s="1128" t="s">
        <v>3381</v>
      </c>
      <c r="AA6912" s="1128" t="s">
        <v>3384</v>
      </c>
    </row>
    <row r="6913" spans="1:27" ht="52">
      <c r="A6913" s="327">
        <f>IF(AND($B6913&lt;&gt;"",$C6913&lt;&gt;""),MAX($A$6492:$A6912)+1,"")</f>
        <v>100</v>
      </c>
      <c r="B6913" s="359" t="s">
        <v>3855</v>
      </c>
      <c r="C6913" s="360" t="s">
        <v>3805</v>
      </c>
      <c r="D6913" s="327">
        <f>IF($B6913="","",COUNTIF($B$6:$B6913,$B6913))</f>
        <v>3</v>
      </c>
      <c r="E6913" s="361"/>
      <c r="F6913" s="362"/>
      <c r="G6913" s="327" t="s">
        <v>240</v>
      </c>
      <c r="H6913" s="361"/>
      <c r="I6913" s="327">
        <v>1</v>
      </c>
      <c r="J6913" s="361" t="s">
        <v>2607</v>
      </c>
      <c r="K6913" s="327"/>
      <c r="L6913" s="389"/>
      <c r="M6913" s="355"/>
      <c r="N6913" s="355" t="str">
        <f t="shared" si="451"/>
        <v>KI</v>
      </c>
      <c r="O6913" s="345" t="str">
        <f t="shared" si="386"/>
        <v/>
      </c>
      <c r="P6913" s="361"/>
      <c r="Q6913" s="327"/>
      <c r="R6913" s="361"/>
      <c r="S6913" s="361"/>
      <c r="T6913" s="361"/>
      <c r="U6913" s="329" t="str">
        <f>IF($N6913=$N$4,IFERROR(INDEX(DanhMuc!$E$154:$E$165,MATCH(MID($B6913,4,2),DanhMuc!$B$154:$B$165,0)),""),"")</f>
        <v/>
      </c>
      <c r="V6913" s="361"/>
      <c r="W6913" s="345"/>
      <c r="X6913" s="365"/>
      <c r="Y6913" s="1128" t="s">
        <v>3380</v>
      </c>
      <c r="Z6913" s="1128" t="s">
        <v>3381</v>
      </c>
      <c r="AA6913" s="1128" t="s">
        <v>3384</v>
      </c>
    </row>
    <row r="6914" spans="1:27" ht="52">
      <c r="A6914" s="327">
        <f>IF(AND($B6914&lt;&gt;"",$C6914&lt;&gt;""),MAX($A$6492:$A6913)+1,"")</f>
        <v>101</v>
      </c>
      <c r="B6914" s="359" t="s">
        <v>3856</v>
      </c>
      <c r="C6914" s="360" t="s">
        <v>3806</v>
      </c>
      <c r="D6914" s="327">
        <f>IF($B6914="","",COUNTIF($B$6:$B6914,$B6914))</f>
        <v>3</v>
      </c>
      <c r="E6914" s="361"/>
      <c r="F6914" s="362"/>
      <c r="G6914" s="327" t="s">
        <v>240</v>
      </c>
      <c r="H6914" s="361"/>
      <c r="I6914" s="327">
        <v>1</v>
      </c>
      <c r="J6914" s="361" t="s">
        <v>2607</v>
      </c>
      <c r="K6914" s="327"/>
      <c r="L6914" s="389"/>
      <c r="M6914" s="355"/>
      <c r="N6914" s="355" t="str">
        <f t="shared" si="451"/>
        <v>KI</v>
      </c>
      <c r="O6914" s="345" t="str">
        <f t="shared" si="386"/>
        <v/>
      </c>
      <c r="P6914" s="361"/>
      <c r="Q6914" s="327"/>
      <c r="R6914" s="361"/>
      <c r="S6914" s="361"/>
      <c r="T6914" s="361"/>
      <c r="U6914" s="329" t="str">
        <f>IF($N6914=$N$4,IFERROR(INDEX(DanhMuc!$E$154:$E$165,MATCH(MID($B6914,4,2),DanhMuc!$B$154:$B$165,0)),""),"")</f>
        <v/>
      </c>
      <c r="V6914" s="361"/>
      <c r="W6914" s="345"/>
      <c r="X6914" s="365"/>
      <c r="Y6914" s="1128" t="s">
        <v>3380</v>
      </c>
      <c r="Z6914" s="1128" t="s">
        <v>3381</v>
      </c>
      <c r="AA6914" s="1128" t="s">
        <v>3384</v>
      </c>
    </row>
    <row r="6915" spans="1:27" ht="39">
      <c r="A6915" s="327">
        <f>IF(AND($B6915&lt;&gt;"",$C6915&lt;&gt;""),MAX($A$6492:$A6914)+1,"")</f>
        <v>102</v>
      </c>
      <c r="B6915" s="359" t="s">
        <v>3857</v>
      </c>
      <c r="C6915" s="360" t="s">
        <v>3809</v>
      </c>
      <c r="D6915" s="327">
        <f>IF($B6915="","",COUNTIF($B$6:$B6915,$B6915))</f>
        <v>3</v>
      </c>
      <c r="E6915" s="361"/>
      <c r="F6915" s="362"/>
      <c r="G6915" s="327" t="s">
        <v>240</v>
      </c>
      <c r="H6915" s="361"/>
      <c r="I6915" s="327">
        <v>1</v>
      </c>
      <c r="J6915" s="361" t="s">
        <v>2607</v>
      </c>
      <c r="K6915" s="327"/>
      <c r="L6915" s="389"/>
      <c r="M6915" s="355"/>
      <c r="N6915" s="355" t="str">
        <f t="shared" si="451"/>
        <v>KI</v>
      </c>
      <c r="O6915" s="345" t="str">
        <f t="shared" si="386"/>
        <v/>
      </c>
      <c r="P6915" s="361"/>
      <c r="Q6915" s="327"/>
      <c r="R6915" s="361"/>
      <c r="S6915" s="361"/>
      <c r="T6915" s="361"/>
      <c r="U6915" s="329" t="str">
        <f>IF($N6915=$N$4,IFERROR(INDEX(DanhMuc!$E$154:$E$165,MATCH(MID($B6915,4,2),DanhMuc!$B$154:$B$165,0)),""),"")</f>
        <v/>
      </c>
      <c r="V6915" s="361"/>
      <c r="W6915" s="345"/>
      <c r="X6915" s="365"/>
      <c r="Y6915" s="1128" t="s">
        <v>3380</v>
      </c>
      <c r="Z6915" s="1128" t="s">
        <v>3381</v>
      </c>
      <c r="AA6915" s="1128" t="s">
        <v>3384</v>
      </c>
    </row>
    <row r="6916" spans="1:27" ht="52">
      <c r="A6916" s="327">
        <f>IF(AND($B6916&lt;&gt;"",$C6916&lt;&gt;""),MAX($A$6492:$A6915)+1,"")</f>
        <v>103</v>
      </c>
      <c r="B6916" s="359" t="s">
        <v>3861</v>
      </c>
      <c r="C6916" s="360" t="s">
        <v>3813</v>
      </c>
      <c r="D6916" s="327">
        <f>IF($B6916="","",COUNTIF($B$6:$B6916,$B6916))</f>
        <v>3</v>
      </c>
      <c r="E6916" s="361"/>
      <c r="F6916" s="362"/>
      <c r="G6916" s="327" t="s">
        <v>240</v>
      </c>
      <c r="H6916" s="361"/>
      <c r="I6916" s="327">
        <v>1</v>
      </c>
      <c r="J6916" s="361" t="s">
        <v>2607</v>
      </c>
      <c r="K6916" s="327"/>
      <c r="L6916" s="389"/>
      <c r="M6916" s="355"/>
      <c r="N6916" s="355" t="str">
        <f t="shared" si="451"/>
        <v>KI</v>
      </c>
      <c r="O6916" s="345" t="str">
        <f t="shared" si="386"/>
        <v/>
      </c>
      <c r="P6916" s="361"/>
      <c r="Q6916" s="327"/>
      <c r="R6916" s="361"/>
      <c r="S6916" s="361"/>
      <c r="T6916" s="361"/>
      <c r="U6916" s="329" t="str">
        <f>IF($N6916=$N$4,IFERROR(INDEX(DanhMuc!$E$154:$E$165,MATCH(MID($B6916,4,2),DanhMuc!$B$154:$B$165,0)),""),"")</f>
        <v/>
      </c>
      <c r="V6916" s="361"/>
      <c r="W6916" s="345"/>
      <c r="X6916" s="365"/>
      <c r="Y6916" s="1128" t="s">
        <v>3380</v>
      </c>
      <c r="Z6916" s="1128" t="s">
        <v>3381</v>
      </c>
      <c r="AA6916" s="1128" t="s">
        <v>3384</v>
      </c>
    </row>
    <row r="6917" spans="1:27" ht="78">
      <c r="A6917" s="327">
        <f>IF(AND($B6917&lt;&gt;"",$C6917&lt;&gt;""),MAX($A$6492:$A6916)+1,"")</f>
        <v>104</v>
      </c>
      <c r="B6917" s="359" t="s">
        <v>3858</v>
      </c>
      <c r="C6917" s="360" t="s">
        <v>3818</v>
      </c>
      <c r="D6917" s="327">
        <f>IF($B6917="","",COUNTIF($B$6:$B6917,$B6917))</f>
        <v>3</v>
      </c>
      <c r="E6917" s="361"/>
      <c r="F6917" s="362"/>
      <c r="G6917" s="327" t="s">
        <v>240</v>
      </c>
      <c r="H6917" s="361"/>
      <c r="I6917" s="327">
        <v>1</v>
      </c>
      <c r="J6917" s="361" t="s">
        <v>2607</v>
      </c>
      <c r="K6917" s="327"/>
      <c r="L6917" s="389"/>
      <c r="M6917" s="355"/>
      <c r="N6917" s="355" t="str">
        <f t="shared" si="451"/>
        <v>KI</v>
      </c>
      <c r="O6917" s="345" t="str">
        <f t="shared" si="386"/>
        <v/>
      </c>
      <c r="P6917" s="361"/>
      <c r="Q6917" s="327"/>
      <c r="R6917" s="361"/>
      <c r="S6917" s="361"/>
      <c r="T6917" s="361"/>
      <c r="U6917" s="329" t="str">
        <f>IF($N6917=$N$4,IFERROR(INDEX(DanhMuc!$E$154:$E$165,MATCH(MID($B6917,4,2),DanhMuc!$B$154:$B$165,0)),""),"")</f>
        <v/>
      </c>
      <c r="V6917" s="361"/>
      <c r="W6917" s="345"/>
      <c r="X6917" s="365"/>
      <c r="Y6917" s="1128" t="s">
        <v>3380</v>
      </c>
      <c r="Z6917" s="1128" t="s">
        <v>3381</v>
      </c>
      <c r="AA6917" s="1128" t="s">
        <v>3384</v>
      </c>
    </row>
    <row r="6918" spans="1:27" ht="52">
      <c r="A6918" s="327">
        <f>IF(AND($B6918&lt;&gt;"",$C6918&lt;&gt;""),MAX($A$6492:$A6917)+1,"")</f>
        <v>105</v>
      </c>
      <c r="B6918" s="359" t="s">
        <v>3859</v>
      </c>
      <c r="C6918" s="360" t="s">
        <v>3821</v>
      </c>
      <c r="D6918" s="327">
        <f>IF($B6918="","",COUNTIF($B$6:$B6918,$B6918))</f>
        <v>3</v>
      </c>
      <c r="E6918" s="361"/>
      <c r="F6918" s="362"/>
      <c r="G6918" s="327" t="s">
        <v>240</v>
      </c>
      <c r="H6918" s="361"/>
      <c r="I6918" s="327">
        <v>1</v>
      </c>
      <c r="J6918" s="361" t="s">
        <v>2607</v>
      </c>
      <c r="K6918" s="327"/>
      <c r="L6918" s="389"/>
      <c r="M6918" s="355"/>
      <c r="N6918" s="355" t="str">
        <f t="shared" si="451"/>
        <v>KI</v>
      </c>
      <c r="O6918" s="345" t="str">
        <f t="shared" si="386"/>
        <v/>
      </c>
      <c r="P6918" s="361"/>
      <c r="Q6918" s="327"/>
      <c r="R6918" s="361"/>
      <c r="S6918" s="361"/>
      <c r="T6918" s="361"/>
      <c r="U6918" s="329" t="str">
        <f>IF($N6918=$N$4,IFERROR(INDEX(DanhMuc!$E$154:$E$165,MATCH(MID($B6918,4,2),DanhMuc!$B$154:$B$165,0)),""),"")</f>
        <v/>
      </c>
      <c r="V6918" s="361"/>
      <c r="W6918" s="345"/>
      <c r="X6918" s="365"/>
      <c r="Y6918" s="1128" t="s">
        <v>3380</v>
      </c>
      <c r="Z6918" s="1128" t="s">
        <v>3381</v>
      </c>
      <c r="AA6918" s="1128" t="s">
        <v>3384</v>
      </c>
    </row>
    <row r="6919" spans="1:27" ht="52">
      <c r="A6919" s="327">
        <f>IF(AND($B6919&lt;&gt;"",$C6919&lt;&gt;""),MAX($A$6492:$A6918)+1,"")</f>
        <v>106</v>
      </c>
      <c r="B6919" s="359" t="s">
        <v>3860</v>
      </c>
      <c r="C6919" s="360" t="s">
        <v>3847</v>
      </c>
      <c r="D6919" s="327">
        <f>IF($B6919="","",COUNTIF($B$6:$B6919,$B6919))</f>
        <v>3</v>
      </c>
      <c r="E6919" s="361"/>
      <c r="F6919" s="362"/>
      <c r="G6919" s="327" t="s">
        <v>240</v>
      </c>
      <c r="H6919" s="361"/>
      <c r="I6919" s="327">
        <v>1</v>
      </c>
      <c r="J6919" s="361" t="s">
        <v>2607</v>
      </c>
      <c r="K6919" s="327"/>
      <c r="L6919" s="389"/>
      <c r="M6919" s="355"/>
      <c r="N6919" s="355" t="str">
        <f t="shared" si="451"/>
        <v>KI</v>
      </c>
      <c r="O6919" s="345" t="str">
        <f t="shared" si="386"/>
        <v/>
      </c>
      <c r="P6919" s="361"/>
      <c r="Q6919" s="327"/>
      <c r="R6919" s="361"/>
      <c r="S6919" s="361"/>
      <c r="T6919" s="361"/>
      <c r="U6919" s="329" t="str">
        <f>IF($N6919=$N$4,IFERROR(INDEX(DanhMuc!$E$154:$E$165,MATCH(MID($B6919,4,2),DanhMuc!$B$154:$B$165,0)),""),"")</f>
        <v/>
      </c>
      <c r="V6919" s="361"/>
      <c r="W6919" s="345"/>
      <c r="X6919" s="365"/>
      <c r="Y6919" s="1128" t="s">
        <v>3380</v>
      </c>
      <c r="Z6919" s="1128" t="s">
        <v>3381</v>
      </c>
      <c r="AA6919" s="1128" t="s">
        <v>3384</v>
      </c>
    </row>
    <row r="6920" spans="1:27">
      <c r="A6920" s="327" t="str">
        <f>IF(AND($B6920&lt;&gt;"",$C6920&lt;&gt;""),MAX($A$6492:$A6919)+1,"")</f>
        <v/>
      </c>
      <c r="B6920" s="359"/>
      <c r="C6920" s="360"/>
      <c r="D6920" s="327" t="str">
        <f>IF($B6920="","",COUNTIF($B$6:$B6920,$B6920))</f>
        <v/>
      </c>
      <c r="E6920" s="361"/>
      <c r="F6920" s="362"/>
      <c r="G6920" s="327" t="s">
        <v>240</v>
      </c>
      <c r="H6920" s="361"/>
      <c r="I6920" s="327"/>
      <c r="J6920" s="361"/>
      <c r="K6920" s="327"/>
      <c r="L6920" s="389"/>
      <c r="M6920" s="355"/>
      <c r="N6920" s="355" t="str">
        <f t="shared" si="451"/>
        <v>KI</v>
      </c>
      <c r="O6920" s="345" t="str">
        <f t="shared" si="386"/>
        <v/>
      </c>
      <c r="P6920" s="361"/>
      <c r="Q6920" s="327"/>
      <c r="R6920" s="361"/>
      <c r="S6920" s="361"/>
      <c r="T6920" s="361"/>
      <c r="U6920" s="329" t="str">
        <f>IF($N6920=$N$4,IFERROR(INDEX(DanhMuc!$E$154:$E$165,MATCH(MID($B6920,4,2),DanhMuc!$B$154:$B$165,0)),""),"")</f>
        <v/>
      </c>
      <c r="V6920" s="361"/>
      <c r="W6920" s="345"/>
      <c r="X6920" s="365"/>
      <c r="Y6920" s="1128" t="s">
        <v>3380</v>
      </c>
      <c r="Z6920" s="1128" t="s">
        <v>3381</v>
      </c>
      <c r="AA6920" s="1128" t="s">
        <v>3384</v>
      </c>
    </row>
    <row r="6921" spans="1:27">
      <c r="A6921" s="327" t="str">
        <f>IF(AND($B6921&lt;&gt;"",$C6921&lt;&gt;""),MAX($A$6492:$A6920)+1,"")</f>
        <v/>
      </c>
      <c r="B6921" s="359"/>
      <c r="C6921" s="360"/>
      <c r="D6921" s="327" t="str">
        <f>IF($B6921="","",COUNTIF($B$6:$B6921,$B6921))</f>
        <v/>
      </c>
      <c r="E6921" s="361"/>
      <c r="F6921" s="362"/>
      <c r="G6921" s="327" t="s">
        <v>240</v>
      </c>
      <c r="H6921" s="361"/>
      <c r="I6921" s="327"/>
      <c r="J6921" s="361"/>
      <c r="K6921" s="327"/>
      <c r="L6921" s="389"/>
      <c r="M6921" s="355"/>
      <c r="N6921" s="355" t="str">
        <f t="shared" si="451"/>
        <v>KI</v>
      </c>
      <c r="O6921" s="345" t="str">
        <f t="shared" si="386"/>
        <v/>
      </c>
      <c r="P6921" s="361"/>
      <c r="Q6921" s="327"/>
      <c r="R6921" s="361"/>
      <c r="S6921" s="361"/>
      <c r="T6921" s="361"/>
      <c r="U6921" s="329" t="str">
        <f>IF($N6921=$N$4,IFERROR(INDEX(DanhMuc!$E$154:$E$165,MATCH(MID($B6921,4,2),DanhMuc!$B$154:$B$165,0)),""),"")</f>
        <v/>
      </c>
      <c r="V6921" s="361"/>
      <c r="W6921" s="345"/>
      <c r="X6921" s="365"/>
      <c r="Y6921" s="1128" t="s">
        <v>3380</v>
      </c>
      <c r="Z6921" s="1128" t="s">
        <v>3381</v>
      </c>
      <c r="AA6921" s="1128" t="s">
        <v>3384</v>
      </c>
    </row>
    <row r="6922" spans="1:27" s="20" customFormat="1" ht="25">
      <c r="A6922" s="488"/>
      <c r="B6922" s="489" t="s">
        <v>110</v>
      </c>
      <c r="C6922" s="490"/>
      <c r="D6922" s="491"/>
      <c r="E6922" s="491"/>
      <c r="F6922" s="492"/>
      <c r="G6922" s="491"/>
      <c r="H6922" s="493" t="s">
        <v>152</v>
      </c>
      <c r="I6922" s="493" t="s">
        <v>388</v>
      </c>
      <c r="J6922" s="493" t="s">
        <v>389</v>
      </c>
      <c r="K6922" s="491"/>
      <c r="L6922" s="389"/>
      <c r="M6922" s="491"/>
      <c r="N6922" s="491"/>
      <c r="O6922" s="493"/>
      <c r="P6922" s="325"/>
      <c r="Q6922" s="325"/>
      <c r="R6922" s="325"/>
      <c r="S6922" s="325"/>
      <c r="T6922" s="325"/>
      <c r="U6922" s="329" t="str">
        <f>IF($N6922=$N$4,IFERROR(INDEX(DanhMuc!$E$154:$E$165,MATCH(MID($B6922,4,2),DanhMuc!$B$154:$B$165,0)),""),"")</f>
        <v/>
      </c>
      <c r="V6922" s="325"/>
      <c r="W6922" s="345"/>
      <c r="X6922" s="329"/>
      <c r="Y6922" s="1128" t="s">
        <v>3380</v>
      </c>
      <c r="Z6922" s="1128" t="s">
        <v>3381</v>
      </c>
      <c r="AA6922" s="1128" t="s">
        <v>3384</v>
      </c>
    </row>
    <row r="6923" spans="1:27" ht="26">
      <c r="A6923" s="327"/>
      <c r="B6923" s="359" t="s">
        <v>397</v>
      </c>
      <c r="C6923" s="360" t="s">
        <v>265</v>
      </c>
      <c r="D6923" s="327"/>
      <c r="E6923" s="361" t="str">
        <f>+B6923</f>
        <v>Uốn Vòm</v>
      </c>
      <c r="F6923" s="362" t="s">
        <v>2746</v>
      </c>
      <c r="G6923" s="494" t="s">
        <v>264</v>
      </c>
      <c r="H6923" s="361"/>
      <c r="I6923" s="487">
        <v>230000</v>
      </c>
      <c r="J6923" s="389">
        <v>230000</v>
      </c>
      <c r="K6923" s="327" t="s">
        <v>393</v>
      </c>
      <c r="L6923" s="494">
        <v>230000</v>
      </c>
      <c r="M6923" s="371"/>
      <c r="N6923" s="355" t="s">
        <v>370</v>
      </c>
      <c r="O6923" s="345"/>
      <c r="P6923" s="361"/>
      <c r="Q6923" s="327"/>
      <c r="R6923" s="361"/>
      <c r="S6923" s="361"/>
      <c r="T6923" s="361"/>
      <c r="U6923" s="329" t="str">
        <f>IF($N6923=$N$4,IFERROR(INDEX(DanhMuc!$E$154:$E$165,MATCH(MID($B6923,4,2),DanhMuc!$B$154:$B$165,0)),""),"")</f>
        <v/>
      </c>
      <c r="V6923" s="361"/>
      <c r="W6923" s="345"/>
      <c r="X6923" s="365"/>
      <c r="Y6923" s="1128" t="s">
        <v>3380</v>
      </c>
      <c r="Z6923" s="1128" t="s">
        <v>3381</v>
      </c>
      <c r="AA6923" s="1128" t="s">
        <v>3384</v>
      </c>
    </row>
    <row r="6924" spans="1:27">
      <c r="A6924" s="327"/>
      <c r="B6924" s="359" t="s">
        <v>398</v>
      </c>
      <c r="C6924" s="360" t="s">
        <v>260</v>
      </c>
      <c r="D6924" s="327"/>
      <c r="E6924" s="361" t="str">
        <f t="shared" ref="E6924:E6939" si="453">+B6924</f>
        <v>Chia đố</v>
      </c>
      <c r="F6924" s="362"/>
      <c r="G6924" s="494" t="s">
        <v>366</v>
      </c>
      <c r="H6924" s="361"/>
      <c r="I6924" s="487">
        <v>80000</v>
      </c>
      <c r="J6924" s="487">
        <v>80000</v>
      </c>
      <c r="K6924" s="487" t="s">
        <v>394</v>
      </c>
      <c r="L6924" s="389">
        <v>280000</v>
      </c>
      <c r="M6924" s="355"/>
      <c r="N6924" s="355"/>
      <c r="O6924" s="345"/>
      <c r="P6924" s="361"/>
      <c r="Q6924" s="327"/>
      <c r="R6924" s="361"/>
      <c r="S6924" s="361"/>
      <c r="T6924" s="361"/>
      <c r="U6924" s="329" t="str">
        <f>IF($N6924=$N$4,IFERROR(INDEX(DanhMuc!$E$154:$E$165,MATCH(MID($B6924,4,2),DanhMuc!$B$154:$B$165,0)),""),"")</f>
        <v/>
      </c>
      <c r="V6924" s="361"/>
      <c r="W6924" s="345"/>
      <c r="X6924" s="365"/>
      <c r="Y6924" s="1128" t="s">
        <v>3380</v>
      </c>
      <c r="Z6924" s="1128" t="s">
        <v>3381</v>
      </c>
      <c r="AA6924" s="1128" t="s">
        <v>3384</v>
      </c>
    </row>
    <row r="6925" spans="1:27" ht="26">
      <c r="A6925" s="327"/>
      <c r="B6925" s="359" t="s">
        <v>255</v>
      </c>
      <c r="C6925" s="360" t="s">
        <v>263</v>
      </c>
      <c r="D6925" s="327"/>
      <c r="E6925" s="361" t="str">
        <f t="shared" si="453"/>
        <v>CPNVL</v>
      </c>
      <c r="F6925" s="362"/>
      <c r="G6925" s="494"/>
      <c r="H6925" s="361"/>
      <c r="I6925" s="487"/>
      <c r="J6925" s="389"/>
      <c r="K6925" s="487" t="s">
        <v>396</v>
      </c>
      <c r="L6925" s="389">
        <v>250000</v>
      </c>
      <c r="M6925" s="355"/>
      <c r="N6925" s="355"/>
      <c r="O6925" s="345"/>
      <c r="P6925" s="361"/>
      <c r="Q6925" s="327"/>
      <c r="R6925" s="361"/>
      <c r="S6925" s="361"/>
      <c r="T6925" s="361"/>
      <c r="U6925" s="329" t="str">
        <f>IF($N6925=$N$4,IFERROR(INDEX(DanhMuc!$E$154:$E$165,MATCH(MID($B6925,4,2),DanhMuc!$B$154:$B$165,0)),""),"")</f>
        <v/>
      </c>
      <c r="V6925" s="361"/>
      <c r="W6925" s="345"/>
      <c r="X6925" s="365"/>
      <c r="Y6925" s="1128" t="s">
        <v>3380</v>
      </c>
      <c r="Z6925" s="1128" t="s">
        <v>3381</v>
      </c>
      <c r="AA6925" s="1128" t="s">
        <v>3384</v>
      </c>
    </row>
    <row r="6926" spans="1:27" ht="26">
      <c r="A6926" s="327"/>
      <c r="B6926" s="359" t="s">
        <v>262</v>
      </c>
      <c r="C6926" s="360" t="s">
        <v>227</v>
      </c>
      <c r="D6926" s="327"/>
      <c r="E6926" s="361" t="str">
        <f t="shared" si="453"/>
        <v>CPNCSX</v>
      </c>
      <c r="F6926" s="362"/>
      <c r="G6926" s="494"/>
      <c r="H6926" s="361"/>
      <c r="I6926" s="487">
        <v>43333.333333333336</v>
      </c>
      <c r="J6926" s="389">
        <v>43333.333333333336</v>
      </c>
      <c r="K6926" s="327" t="s">
        <v>101</v>
      </c>
      <c r="L6926" s="389">
        <v>300000</v>
      </c>
      <c r="M6926" s="355"/>
      <c r="N6926" s="355"/>
      <c r="O6926" s="345"/>
      <c r="P6926" s="361"/>
      <c r="Q6926" s="327"/>
      <c r="R6926" s="361"/>
      <c r="S6926" s="361"/>
      <c r="T6926" s="361"/>
      <c r="U6926" s="329" t="str">
        <f>IF($N6926=$N$4,IFERROR(INDEX(DanhMuc!$E$154:$E$165,MATCH(MID($B6926,4,2),DanhMuc!$B$154:$B$165,0)),""),"")</f>
        <v/>
      </c>
      <c r="V6926" s="361"/>
      <c r="W6926" s="345"/>
      <c r="X6926" s="365"/>
      <c r="Y6926" s="1128" t="s">
        <v>3380</v>
      </c>
      <c r="Z6926" s="1128" t="s">
        <v>3381</v>
      </c>
      <c r="AA6926" s="1128" t="s">
        <v>3384</v>
      </c>
    </row>
    <row r="6927" spans="1:27" ht="26">
      <c r="A6927" s="327"/>
      <c r="B6927" s="359" t="s">
        <v>226</v>
      </c>
      <c r="C6927" s="360" t="s">
        <v>230</v>
      </c>
      <c r="D6927" s="327"/>
      <c r="E6927" s="361" t="str">
        <f t="shared" si="453"/>
        <v>CPSXC</v>
      </c>
      <c r="F6927" s="362"/>
      <c r="G6927" s="327"/>
      <c r="H6927" s="361"/>
      <c r="I6927" s="487">
        <v>63288.888888888883</v>
      </c>
      <c r="J6927" s="389">
        <v>126455.55555555555</v>
      </c>
      <c r="K6927" s="327" t="s">
        <v>395</v>
      </c>
      <c r="L6927" s="389">
        <v>200000</v>
      </c>
      <c r="M6927" s="355"/>
      <c r="N6927" s="355"/>
      <c r="O6927" s="345"/>
      <c r="P6927" s="361"/>
      <c r="Q6927" s="327"/>
      <c r="R6927" s="361"/>
      <c r="S6927" s="361"/>
      <c r="T6927" s="361"/>
      <c r="U6927" s="329" t="str">
        <f>IF($N6927=$N$4,IFERROR(INDEX(DanhMuc!$E$154:$E$165,MATCH(MID($B6927,4,2),DanhMuc!$B$154:$B$165,0)),""),"")</f>
        <v/>
      </c>
      <c r="V6927" s="361"/>
      <c r="W6927" s="345"/>
      <c r="X6927" s="365"/>
      <c r="Y6927" s="1128" t="s">
        <v>3380</v>
      </c>
      <c r="Z6927" s="1128" t="s">
        <v>3381</v>
      </c>
      <c r="AA6927" s="1128" t="s">
        <v>3384</v>
      </c>
    </row>
    <row r="6928" spans="1:27" ht="26">
      <c r="A6928" s="327" t="s">
        <v>2400</v>
      </c>
      <c r="B6928" s="359" t="s">
        <v>2396</v>
      </c>
      <c r="C6928" s="360" t="s">
        <v>228</v>
      </c>
      <c r="D6928" s="327"/>
      <c r="E6928" s="361" t="str">
        <f t="shared" si="453"/>
        <v>TPHCM</v>
      </c>
      <c r="F6928" s="1164" t="s">
        <v>3400</v>
      </c>
      <c r="G6928" s="494">
        <v>0</v>
      </c>
      <c r="H6928" s="887">
        <v>160000</v>
      </c>
      <c r="I6928" s="487">
        <v>140000</v>
      </c>
      <c r="J6928" s="389">
        <v>130000</v>
      </c>
      <c r="K6928" s="327"/>
      <c r="L6928" s="389"/>
      <c r="M6928" s="355"/>
      <c r="N6928" s="355"/>
      <c r="O6928" s="345"/>
      <c r="P6928" s="361"/>
      <c r="Q6928" s="327"/>
      <c r="R6928" s="361"/>
      <c r="S6928" s="361"/>
      <c r="T6928" s="361"/>
      <c r="U6928" s="329" t="str">
        <f>IF($N6928=$N$4,IFERROR(INDEX(DanhMuc!$E$154:$E$165,MATCH(MID($B6928,4,2),DanhMuc!$B$154:$B$165,0)),""),"")</f>
        <v/>
      </c>
      <c r="V6928" s="361"/>
      <c r="W6928" s="345"/>
      <c r="X6928" s="365"/>
      <c r="Y6928" s="1128" t="s">
        <v>3380</v>
      </c>
      <c r="Z6928" s="1128" t="s">
        <v>3381</v>
      </c>
      <c r="AA6928" s="1128" t="s">
        <v>3384</v>
      </c>
    </row>
    <row r="6929" spans="1:27" ht="26">
      <c r="A6929" s="327"/>
      <c r="B6929" s="359" t="s">
        <v>353</v>
      </c>
      <c r="C6929" s="360" t="s">
        <v>2457</v>
      </c>
      <c r="D6929" s="327"/>
      <c r="E6929" s="361" t="str">
        <f t="shared" si="453"/>
        <v>TỈNH&lt;=100km</v>
      </c>
      <c r="F6929" s="1164" t="s">
        <v>3394</v>
      </c>
      <c r="G6929" s="494">
        <v>50000</v>
      </c>
      <c r="H6929" s="887">
        <f>+H$6928+50000</f>
        <v>210000</v>
      </c>
      <c r="I6929" s="487">
        <f>+I$6928+50000</f>
        <v>190000</v>
      </c>
      <c r="J6929" s="389">
        <f>+J$6928+50000</f>
        <v>180000</v>
      </c>
      <c r="K6929" s="327"/>
      <c r="L6929" s="389"/>
      <c r="M6929" s="355"/>
      <c r="N6929" s="355"/>
      <c r="O6929" s="345"/>
      <c r="P6929" s="361"/>
      <c r="Q6929" s="327"/>
      <c r="R6929" s="361"/>
      <c r="S6929" s="361"/>
      <c r="T6929" s="361"/>
      <c r="U6929" s="329" t="str">
        <f>IF($N6929=$N$4,IFERROR(INDEX(DanhMuc!$E$154:$E$165,MATCH(MID($B6929,4,2),DanhMuc!$B$154:$B$165,0)),""),"")</f>
        <v/>
      </c>
      <c r="V6929" s="361"/>
      <c r="W6929" s="345"/>
      <c r="X6929" s="365"/>
      <c r="Y6929" s="1128" t="s">
        <v>3380</v>
      </c>
      <c r="Z6929" s="1128" t="s">
        <v>3381</v>
      </c>
      <c r="AA6929" s="1128" t="s">
        <v>3384</v>
      </c>
    </row>
    <row r="6930" spans="1:27" ht="26">
      <c r="A6930" s="327"/>
      <c r="B6930" s="359" t="s">
        <v>352</v>
      </c>
      <c r="C6930" s="360" t="s">
        <v>2458</v>
      </c>
      <c r="D6930" s="327"/>
      <c r="E6930" s="361" t="str">
        <f t="shared" si="453"/>
        <v>TỈNH&gt;100km</v>
      </c>
      <c r="F6930" s="1164" t="s">
        <v>3872</v>
      </c>
      <c r="G6930" s="494">
        <v>80000</v>
      </c>
      <c r="H6930" s="887">
        <f>+H$6928+100000</f>
        <v>260000</v>
      </c>
      <c r="I6930" s="487">
        <f>+I$6928+100000</f>
        <v>240000</v>
      </c>
      <c r="J6930" s="389">
        <f>+J$6928+100000</f>
        <v>230000</v>
      </c>
      <c r="K6930" s="327"/>
      <c r="L6930" s="389"/>
      <c r="M6930" s="355"/>
      <c r="N6930" s="355"/>
      <c r="O6930" s="345"/>
      <c r="P6930" s="361"/>
      <c r="Q6930" s="327"/>
      <c r="R6930" s="361"/>
      <c r="S6930" s="361"/>
      <c r="T6930" s="361"/>
      <c r="U6930" s="329" t="str">
        <f>IF($N6930=$N$4,IFERROR(INDEX(DanhMuc!$E$154:$E$165,MATCH(MID($B6930,4,2),DanhMuc!$B$154:$B$165,0)),""),"")</f>
        <v/>
      </c>
      <c r="V6930" s="361"/>
      <c r="W6930" s="345"/>
      <c r="X6930" s="365"/>
      <c r="Y6930" s="1128" t="s">
        <v>3380</v>
      </c>
      <c r="Z6930" s="1128" t="s">
        <v>3381</v>
      </c>
      <c r="AA6930" s="1128" t="s">
        <v>3384</v>
      </c>
    </row>
    <row r="6931" spans="1:27" ht="26">
      <c r="A6931" s="327"/>
      <c r="B6931" s="359" t="s">
        <v>3388</v>
      </c>
      <c r="C6931" s="360" t="s">
        <v>3389</v>
      </c>
      <c r="D6931" s="327"/>
      <c r="E6931" s="361" t="str">
        <f t="shared" ref="E6931" si="454">+B6931</f>
        <v>TỈNH&gt;200km</v>
      </c>
      <c r="F6931" s="362"/>
      <c r="G6931" s="494"/>
      <c r="H6931" s="887">
        <f>+H$6928+150000</f>
        <v>310000</v>
      </c>
      <c r="I6931" s="487">
        <f>+I$6928+150000</f>
        <v>290000</v>
      </c>
      <c r="J6931" s="389">
        <f>+J$6928+150000</f>
        <v>280000</v>
      </c>
      <c r="K6931" s="327"/>
      <c r="L6931" s="389"/>
      <c r="M6931" s="355"/>
      <c r="N6931" s="355"/>
      <c r="O6931" s="345"/>
      <c r="P6931" s="361"/>
      <c r="Q6931" s="327"/>
      <c r="R6931" s="361"/>
      <c r="S6931" s="361"/>
      <c r="T6931" s="361"/>
      <c r="U6931" s="329" t="str">
        <f>IF($N6931=$N$4,IFERROR(INDEX(DanhMuc!$E$154:$E$165,MATCH(MID($B6931,4,2),DanhMuc!$B$154:$B$165,0)),""),"")</f>
        <v/>
      </c>
      <c r="V6931" s="361"/>
      <c r="W6931" s="345"/>
      <c r="X6931" s="365"/>
      <c r="Y6931" s="1128" t="s">
        <v>3380</v>
      </c>
      <c r="Z6931" s="1128" t="s">
        <v>3381</v>
      </c>
      <c r="AA6931" s="1128" t="s">
        <v>3384</v>
      </c>
    </row>
    <row r="6932" spans="1:27" ht="52">
      <c r="A6932" s="327"/>
      <c r="B6932" s="360" t="s">
        <v>3391</v>
      </c>
      <c r="C6932" s="360" t="s">
        <v>3390</v>
      </c>
      <c r="D6932" s="327"/>
      <c r="E6932" s="361"/>
      <c r="F6932" s="362"/>
      <c r="G6932" s="494"/>
      <c r="H6932" s="887">
        <v>0</v>
      </c>
      <c r="I6932" s="487">
        <v>0</v>
      </c>
      <c r="J6932" s="487">
        <v>0</v>
      </c>
      <c r="K6932" s="327"/>
      <c r="L6932" s="389"/>
      <c r="M6932" s="355"/>
      <c r="N6932" s="355"/>
      <c r="O6932" s="345"/>
      <c r="P6932" s="361"/>
      <c r="Q6932" s="327"/>
      <c r="R6932" s="361"/>
      <c r="S6932" s="361"/>
      <c r="T6932" s="361"/>
      <c r="U6932" s="329" t="str">
        <f>IF($N6932=$N$4,IFERROR(INDEX(DanhMuc!$E$154:$E$165,MATCH(MID($B6932,4,2),DanhMuc!$B$154:$B$165,0)),""),"")</f>
        <v/>
      </c>
      <c r="V6932" s="361"/>
      <c r="W6932" s="345"/>
      <c r="X6932" s="365"/>
      <c r="Y6932" s="1128" t="s">
        <v>3380</v>
      </c>
      <c r="Z6932" s="1128" t="s">
        <v>3381</v>
      </c>
      <c r="AA6932" s="1128" t="s">
        <v>3384</v>
      </c>
    </row>
    <row r="6933" spans="1:27" ht="52">
      <c r="A6933" s="327"/>
      <c r="B6933" s="360" t="s">
        <v>3392</v>
      </c>
      <c r="C6933" s="360" t="s">
        <v>3395</v>
      </c>
      <c r="D6933" s="327"/>
      <c r="E6933" s="361"/>
      <c r="F6933" s="362"/>
      <c r="G6933" s="494"/>
      <c r="H6933" s="887">
        <v>0</v>
      </c>
      <c r="I6933" s="487">
        <v>0</v>
      </c>
      <c r="J6933" s="487">
        <v>0</v>
      </c>
      <c r="K6933" s="327"/>
      <c r="L6933" s="389"/>
      <c r="M6933" s="355"/>
      <c r="N6933" s="355"/>
      <c r="O6933" s="345"/>
      <c r="P6933" s="361"/>
      <c r="Q6933" s="327"/>
      <c r="R6933" s="361"/>
      <c r="S6933" s="361"/>
      <c r="T6933" s="361"/>
      <c r="U6933" s="329"/>
      <c r="V6933" s="361"/>
      <c r="W6933" s="345"/>
      <c r="X6933" s="365"/>
      <c r="Y6933" s="1128"/>
      <c r="Z6933" s="1128"/>
      <c r="AA6933" s="1128"/>
    </row>
    <row r="6934" spans="1:27" ht="26">
      <c r="A6934" s="327" t="s">
        <v>3398</v>
      </c>
      <c r="B6934" s="360" t="s">
        <v>3396</v>
      </c>
      <c r="C6934" s="360"/>
      <c r="D6934" s="327"/>
      <c r="E6934" s="361"/>
      <c r="F6934" s="362"/>
      <c r="G6934" s="494"/>
      <c r="H6934" s="887"/>
      <c r="I6934" s="487"/>
      <c r="J6934" s="487"/>
      <c r="K6934" s="327"/>
      <c r="L6934" s="389"/>
      <c r="M6934" s="355"/>
      <c r="N6934" s="355"/>
      <c r="O6934" s="345"/>
      <c r="P6934" s="361"/>
      <c r="Q6934" s="327"/>
      <c r="R6934" s="361"/>
      <c r="S6934" s="361"/>
      <c r="T6934" s="361"/>
      <c r="U6934" s="329"/>
      <c r="V6934" s="361"/>
      <c r="W6934" s="345"/>
      <c r="X6934" s="365"/>
      <c r="Y6934" s="1128"/>
      <c r="Z6934" s="1128"/>
      <c r="AA6934" s="1128"/>
    </row>
    <row r="6935" spans="1:27" ht="26">
      <c r="A6935" s="327" t="s">
        <v>3398</v>
      </c>
      <c r="B6935" s="360" t="s">
        <v>3397</v>
      </c>
      <c r="C6935" s="360"/>
      <c r="D6935" s="327"/>
      <c r="E6935" s="361"/>
      <c r="F6935" s="362"/>
      <c r="G6935" s="494"/>
      <c r="H6935" s="887"/>
      <c r="I6935" s="487"/>
      <c r="J6935" s="487"/>
      <c r="K6935" s="327"/>
      <c r="L6935" s="389"/>
      <c r="M6935" s="355"/>
      <c r="N6935" s="355"/>
      <c r="O6935" s="345"/>
      <c r="P6935" s="361"/>
      <c r="Q6935" s="327"/>
      <c r="R6935" s="361"/>
      <c r="S6935" s="361"/>
      <c r="T6935" s="361"/>
      <c r="U6935" s="329"/>
      <c r="V6935" s="361"/>
      <c r="W6935" s="345"/>
      <c r="X6935" s="365"/>
      <c r="Y6935" s="1128"/>
      <c r="Z6935" s="1128"/>
      <c r="AA6935" s="1128"/>
    </row>
    <row r="6936" spans="1:27" ht="39">
      <c r="A6936" s="327" t="s">
        <v>3398</v>
      </c>
      <c r="B6936" s="360" t="s">
        <v>3393</v>
      </c>
      <c r="C6936" s="360"/>
      <c r="D6936" s="327"/>
      <c r="E6936" s="361"/>
      <c r="F6936" s="362"/>
      <c r="G6936" s="494"/>
      <c r="H6936" s="887"/>
      <c r="I6936" s="487"/>
      <c r="J6936" s="487"/>
      <c r="K6936" s="327"/>
      <c r="L6936" s="389"/>
      <c r="M6936" s="355"/>
      <c r="N6936" s="355"/>
      <c r="O6936" s="345"/>
      <c r="P6936" s="361"/>
      <c r="Q6936" s="327"/>
      <c r="R6936" s="361"/>
      <c r="S6936" s="361"/>
      <c r="T6936" s="361"/>
      <c r="U6936" s="329"/>
      <c r="V6936" s="361"/>
      <c r="W6936" s="345"/>
      <c r="X6936" s="365"/>
      <c r="Y6936" s="1128"/>
      <c r="Z6936" s="1128"/>
      <c r="AA6936" s="1128"/>
    </row>
    <row r="6937" spans="1:27">
      <c r="A6937" s="327" t="s">
        <v>2401</v>
      </c>
      <c r="B6937" s="359" t="s">
        <v>225</v>
      </c>
      <c r="C6937" s="360" t="s">
        <v>229</v>
      </c>
      <c r="D6937" s="327"/>
      <c r="E6937" s="361" t="str">
        <f t="shared" si="453"/>
        <v>CPVS</v>
      </c>
      <c r="F6937" s="362"/>
      <c r="G6937" s="494"/>
      <c r="H6937" s="487">
        <v>20000</v>
      </c>
      <c r="I6937" s="487">
        <v>20000</v>
      </c>
      <c r="J6937" s="389">
        <v>20000</v>
      </c>
      <c r="K6937" s="327"/>
      <c r="L6937" s="389"/>
      <c r="M6937" s="355"/>
      <c r="N6937" s="355"/>
      <c r="O6937" s="345"/>
      <c r="P6937" s="361"/>
      <c r="Q6937" s="327"/>
      <c r="R6937" s="361"/>
      <c r="S6937" s="361"/>
      <c r="T6937" s="361"/>
      <c r="U6937" s="329" t="str">
        <f>IF($N6937=$N$4,IFERROR(INDEX(DanhMuc!$E$154:$E$165,MATCH(MID($B6937,4,2),DanhMuc!$B$154:$B$165,0)),""),"")</f>
        <v/>
      </c>
      <c r="V6937" s="361"/>
      <c r="W6937" s="345"/>
      <c r="X6937" s="365"/>
      <c r="Y6937" s="1128" t="s">
        <v>3380</v>
      </c>
      <c r="Z6937" s="1128" t="s">
        <v>3381</v>
      </c>
      <c r="AA6937" s="1128" t="s">
        <v>3384</v>
      </c>
    </row>
    <row r="6938" spans="1:27" ht="26">
      <c r="A6938" s="430" t="s">
        <v>2402</v>
      </c>
      <c r="B6938" s="360" t="s">
        <v>2435</v>
      </c>
      <c r="C6938" s="360" t="s">
        <v>2398</v>
      </c>
      <c r="D6938" s="327"/>
      <c r="E6938" s="361" t="str">
        <f t="shared" si="453"/>
        <v>Tại Xưởng</v>
      </c>
      <c r="F6938" s="362"/>
      <c r="G6938" s="494"/>
      <c r="H6938" s="361"/>
      <c r="I6938" s="487">
        <v>0</v>
      </c>
      <c r="J6938" s="487">
        <v>0</v>
      </c>
      <c r="K6938" s="327"/>
      <c r="L6938" s="389"/>
      <c r="M6938" s="355"/>
      <c r="N6938" s="355"/>
      <c r="O6938" s="345"/>
      <c r="P6938" s="361"/>
      <c r="Q6938" s="327"/>
      <c r="R6938" s="361"/>
      <c r="S6938" s="361"/>
      <c r="T6938" s="361"/>
      <c r="U6938" s="329"/>
      <c r="V6938" s="361"/>
      <c r="W6938" s="345"/>
      <c r="X6938" s="365"/>
      <c r="Y6938" s="1128" t="s">
        <v>3380</v>
      </c>
      <c r="Z6938" s="1128" t="s">
        <v>3381</v>
      </c>
      <c r="AA6938" s="1128" t="s">
        <v>3384</v>
      </c>
    </row>
    <row r="6939" spans="1:27" ht="26">
      <c r="A6939" s="327"/>
      <c r="B6939" s="360" t="s">
        <v>2436</v>
      </c>
      <c r="C6939" s="360" t="s">
        <v>2399</v>
      </c>
      <c r="D6939" s="327"/>
      <c r="E6939" s="361" t="str">
        <f t="shared" si="453"/>
        <v>Công trình</v>
      </c>
      <c r="F6939" s="362"/>
      <c r="G6939" s="494" t="s">
        <v>2464</v>
      </c>
      <c r="H6939" s="361">
        <v>15000</v>
      </c>
      <c r="I6939" s="487">
        <v>15000</v>
      </c>
      <c r="J6939" s="487">
        <v>15000</v>
      </c>
      <c r="K6939" s="327"/>
      <c r="L6939" s="749"/>
      <c r="M6939" s="355"/>
      <c r="N6939" s="355"/>
      <c r="O6939" s="345"/>
      <c r="P6939" s="361"/>
      <c r="Q6939" s="327"/>
      <c r="R6939" s="361"/>
      <c r="S6939" s="361"/>
      <c r="T6939" s="361"/>
      <c r="U6939" s="329"/>
      <c r="V6939" s="361"/>
      <c r="W6939" s="345"/>
      <c r="X6939" s="365"/>
      <c r="Y6939" s="1128" t="s">
        <v>3380</v>
      </c>
      <c r="Z6939" s="1128" t="s">
        <v>3381</v>
      </c>
      <c r="AA6939" s="1128" t="s">
        <v>3384</v>
      </c>
    </row>
    <row r="6940" spans="1:27">
      <c r="A6940" s="327"/>
      <c r="B6940" s="361"/>
      <c r="C6940" s="360"/>
      <c r="D6940" s="327" t="str">
        <f>IF($B6940="","",COUNTIF($B$6:$B6940,$B6940))</f>
        <v/>
      </c>
      <c r="E6940" s="361"/>
      <c r="F6940" s="362"/>
      <c r="G6940" s="327"/>
      <c r="H6940" s="361"/>
      <c r="I6940" s="327"/>
      <c r="J6940" s="361"/>
      <c r="K6940" s="327"/>
      <c r="L6940" s="389"/>
      <c r="M6940" s="355"/>
      <c r="N6940" s="355"/>
      <c r="O6940" s="345"/>
      <c r="P6940" s="361"/>
      <c r="Q6940" s="327"/>
      <c r="R6940" s="361"/>
      <c r="S6940" s="361"/>
      <c r="T6940" s="361"/>
      <c r="U6940" s="329" t="str">
        <f>IF($N6940=$N$4,IFERROR(INDEX(DanhMuc!$E$154:$E$165,MATCH(MID($B6940,4,2),DanhMuc!$B$154:$B$165,0)),""),"")</f>
        <v/>
      </c>
      <c r="V6940" s="361"/>
      <c r="W6940" s="345"/>
      <c r="X6940" s="365"/>
      <c r="Y6940" s="1128" t="s">
        <v>3380</v>
      </c>
      <c r="Z6940" s="1128" t="s">
        <v>3381</v>
      </c>
      <c r="AA6940" s="1128" t="s">
        <v>3384</v>
      </c>
    </row>
    <row r="6941" spans="1:27">
      <c r="A6941" s="495" t="s">
        <v>106</v>
      </c>
      <c r="B6941" s="495" t="s">
        <v>106</v>
      </c>
      <c r="C6941" s="496" t="s">
        <v>106</v>
      </c>
      <c r="D6941" s="495" t="s">
        <v>106</v>
      </c>
      <c r="E6941" s="495" t="s">
        <v>106</v>
      </c>
      <c r="F6941" s="496" t="s">
        <v>106</v>
      </c>
      <c r="G6941" s="495" t="s">
        <v>106</v>
      </c>
      <c r="H6941" s="495" t="s">
        <v>106</v>
      </c>
      <c r="I6941" s="495" t="s">
        <v>106</v>
      </c>
      <c r="J6941" s="495" t="s">
        <v>106</v>
      </c>
      <c r="K6941" s="495" t="s">
        <v>106</v>
      </c>
      <c r="L6941" s="495" t="s">
        <v>106</v>
      </c>
      <c r="M6941" s="497" t="s">
        <v>106</v>
      </c>
      <c r="N6941" s="497" t="s">
        <v>106</v>
      </c>
      <c r="O6941" s="498" t="s">
        <v>106</v>
      </c>
      <c r="P6941" s="495" t="s">
        <v>106</v>
      </c>
      <c r="Q6941" s="495" t="s">
        <v>106</v>
      </c>
      <c r="R6941" s="495" t="s">
        <v>106</v>
      </c>
      <c r="S6941" s="495" t="s">
        <v>106</v>
      </c>
      <c r="T6941" s="495" t="s">
        <v>106</v>
      </c>
      <c r="U6941" s="499" t="s">
        <v>106</v>
      </c>
      <c r="V6941" s="495" t="s">
        <v>106</v>
      </c>
      <c r="W6941" s="495" t="s">
        <v>106</v>
      </c>
      <c r="X6941" s="499" t="s">
        <v>106</v>
      </c>
      <c r="Y6941" s="1130" t="s">
        <v>106</v>
      </c>
      <c r="Z6941" s="1130" t="s">
        <v>106</v>
      </c>
      <c r="AA6941" s="1130" t="s">
        <v>106</v>
      </c>
    </row>
    <row r="6942" spans="1:27">
      <c r="A6942" s="316"/>
      <c r="B6942" s="316"/>
      <c r="C6942" s="1064"/>
      <c r="D6942" s="316"/>
      <c r="E6942" s="316"/>
      <c r="F6942" s="1064"/>
      <c r="G6942" s="316"/>
      <c r="H6942" s="316"/>
      <c r="I6942" s="316"/>
      <c r="J6942" s="316"/>
      <c r="K6942" s="316"/>
      <c r="L6942" s="316"/>
      <c r="M6942" s="507"/>
      <c r="N6942" s="507"/>
      <c r="O6942" s="13"/>
      <c r="P6942" s="1065"/>
      <c r="Q6942" s="1066"/>
      <c r="R6942" s="1066"/>
      <c r="S6942" s="1073" t="s">
        <v>3133</v>
      </c>
      <c r="T6942" s="1066"/>
      <c r="U6942" s="1067"/>
      <c r="V6942" s="1073" t="s">
        <v>3132</v>
      </c>
      <c r="W6942" s="1066"/>
      <c r="X6942" s="1067"/>
      <c r="Y6942" s="1131"/>
    </row>
    <row r="6943" spans="1:27" s="79" customFormat="1">
      <c r="A6943" s="72"/>
      <c r="C6943" s="308"/>
      <c r="D6943" s="72"/>
      <c r="F6943" s="308"/>
      <c r="G6943" s="72"/>
      <c r="I6943" s="72"/>
      <c r="K6943" s="72"/>
      <c r="M6943" s="1063"/>
      <c r="N6943" s="1063"/>
      <c r="O6943" s="261"/>
      <c r="P6943" s="1068" t="s">
        <v>3131</v>
      </c>
      <c r="Q6943" s="1069" t="s">
        <v>878</v>
      </c>
      <c r="R6943" s="1069" t="s">
        <v>879</v>
      </c>
      <c r="S6943" s="1069" t="s">
        <v>877</v>
      </c>
      <c r="T6943" s="1069" t="s">
        <v>876</v>
      </c>
      <c r="U6943" s="1069"/>
      <c r="V6943" s="1069" t="s">
        <v>877</v>
      </c>
      <c r="W6943" s="1069" t="s">
        <v>876</v>
      </c>
      <c r="X6943" s="1070"/>
      <c r="Y6943" s="1127" t="s">
        <v>3404</v>
      </c>
      <c r="Z6943" s="79" t="s">
        <v>3405</v>
      </c>
      <c r="AA6943" s="79" t="s">
        <v>3407</v>
      </c>
    </row>
    <row r="6944" spans="1:27">
      <c r="P6944" s="1071">
        <v>3</v>
      </c>
      <c r="Q6944" s="1065">
        <v>220182</v>
      </c>
      <c r="R6944" s="1065" t="s">
        <v>880</v>
      </c>
      <c r="S6944" s="1065">
        <v>561530</v>
      </c>
      <c r="T6944" s="1065" t="s">
        <v>884</v>
      </c>
      <c r="U6944" s="1065"/>
      <c r="V6944" s="1065">
        <v>560510</v>
      </c>
      <c r="W6944" s="1065" t="s">
        <v>887</v>
      </c>
      <c r="X6944" s="1072"/>
      <c r="Y6944" s="1131" t="s">
        <v>3419</v>
      </c>
      <c r="Z6944" s="18" t="s">
        <v>3467</v>
      </c>
      <c r="AA6944" s="18" t="s">
        <v>3406</v>
      </c>
    </row>
    <row r="6945" spans="16:27">
      <c r="P6945" s="1071">
        <v>4</v>
      </c>
      <c r="Q6945" s="1065">
        <v>229304</v>
      </c>
      <c r="R6945" s="1065" t="s">
        <v>881</v>
      </c>
      <c r="S6945" s="1065">
        <v>561530</v>
      </c>
      <c r="T6945" s="1065" t="s">
        <v>884</v>
      </c>
      <c r="U6945" s="1065"/>
      <c r="V6945" s="1065">
        <v>560510</v>
      </c>
      <c r="W6945" s="1065" t="s">
        <v>887</v>
      </c>
      <c r="X6945" s="1072"/>
      <c r="Y6945" s="1131" t="s">
        <v>3420</v>
      </c>
      <c r="Z6945" s="18" t="s">
        <v>1820</v>
      </c>
      <c r="AA6945" s="18" t="s">
        <v>2436</v>
      </c>
    </row>
    <row r="6946" spans="16:27">
      <c r="P6946" s="1071">
        <v>5</v>
      </c>
      <c r="Q6946" s="1065">
        <v>220162</v>
      </c>
      <c r="R6946" s="1065" t="s">
        <v>882</v>
      </c>
      <c r="S6946" s="1065">
        <v>561530</v>
      </c>
      <c r="T6946" s="1065" t="s">
        <v>884</v>
      </c>
      <c r="U6946" s="1065"/>
      <c r="V6946" s="1065">
        <v>560510</v>
      </c>
      <c r="W6946" s="1065" t="s">
        <v>887</v>
      </c>
      <c r="X6946" s="1072"/>
      <c r="Y6946" s="1131" t="s">
        <v>3421</v>
      </c>
      <c r="Z6946" s="18" t="s">
        <v>3253</v>
      </c>
    </row>
    <row r="6947" spans="16:27">
      <c r="P6947" s="1071">
        <v>6</v>
      </c>
      <c r="Q6947" s="1065">
        <v>229314</v>
      </c>
      <c r="R6947" s="1065" t="s">
        <v>883</v>
      </c>
      <c r="S6947" s="1065">
        <v>561520</v>
      </c>
      <c r="T6947" s="1065" t="s">
        <v>885</v>
      </c>
      <c r="U6947" s="1065"/>
      <c r="V6947" s="1065">
        <v>560610</v>
      </c>
      <c r="W6947" s="1065" t="s">
        <v>888</v>
      </c>
      <c r="X6947" s="1072"/>
      <c r="Y6947" s="1131" t="s">
        <v>3422</v>
      </c>
      <c r="Z6947" s="18" t="s">
        <v>244</v>
      </c>
    </row>
    <row r="6948" spans="16:27">
      <c r="P6948" s="1071">
        <v>7</v>
      </c>
      <c r="Q6948" s="1065">
        <v>220182</v>
      </c>
      <c r="R6948" s="1065" t="s">
        <v>880</v>
      </c>
      <c r="S6948" s="1065">
        <v>561520</v>
      </c>
      <c r="T6948" s="1065" t="s">
        <v>885</v>
      </c>
      <c r="U6948" s="1065"/>
      <c r="V6948" s="1065">
        <v>560610</v>
      </c>
      <c r="W6948" s="1065" t="s">
        <v>888</v>
      </c>
      <c r="X6948" s="1072"/>
      <c r="Y6948" s="1131" t="s">
        <v>3423</v>
      </c>
      <c r="Z6948" s="18" t="s">
        <v>3282</v>
      </c>
    </row>
    <row r="6949" spans="16:27">
      <c r="P6949" s="1071">
        <v>8</v>
      </c>
      <c r="Q6949" s="1065">
        <v>229304</v>
      </c>
      <c r="R6949" s="1065" t="s">
        <v>881</v>
      </c>
      <c r="S6949" s="1065">
        <v>561520</v>
      </c>
      <c r="T6949" s="1065" t="s">
        <v>885</v>
      </c>
      <c r="U6949" s="1065"/>
      <c r="V6949" s="1065">
        <v>560610</v>
      </c>
      <c r="W6949" s="1065" t="s">
        <v>888</v>
      </c>
      <c r="X6949" s="1072"/>
      <c r="Y6949" s="1131" t="s">
        <v>3424</v>
      </c>
      <c r="Z6949" s="18" t="s">
        <v>3458</v>
      </c>
    </row>
    <row r="6950" spans="16:27">
      <c r="P6950" s="1071">
        <v>9</v>
      </c>
      <c r="Q6950" s="1065">
        <v>220162</v>
      </c>
      <c r="R6950" s="1065" t="s">
        <v>882</v>
      </c>
      <c r="S6950" s="1065">
        <v>561520</v>
      </c>
      <c r="T6950" s="1065" t="s">
        <v>885</v>
      </c>
      <c r="U6950" s="1065"/>
      <c r="V6950" s="1065">
        <v>560610</v>
      </c>
      <c r="W6950" s="1065" t="s">
        <v>888</v>
      </c>
      <c r="X6950" s="1072"/>
      <c r="Y6950" s="1131" t="s">
        <v>3425</v>
      </c>
      <c r="Z6950" s="18" t="s">
        <v>3459</v>
      </c>
    </row>
    <row r="6951" spans="16:27">
      <c r="P6951" s="1071">
        <v>10</v>
      </c>
      <c r="Q6951" s="1065">
        <v>229314</v>
      </c>
      <c r="R6951" s="1065" t="s">
        <v>883</v>
      </c>
      <c r="S6951" s="1065">
        <v>560620</v>
      </c>
      <c r="T6951" s="1065" t="s">
        <v>886</v>
      </c>
      <c r="U6951" s="1065"/>
      <c r="V6951" s="1065">
        <v>560600</v>
      </c>
      <c r="W6951" s="1065" t="s">
        <v>889</v>
      </c>
      <c r="X6951" s="1072"/>
      <c r="Y6951" s="1131" t="s">
        <v>3426</v>
      </c>
      <c r="Z6951" s="18" t="s">
        <v>3460</v>
      </c>
    </row>
    <row r="6952" spans="16:27">
      <c r="P6952" s="1071">
        <v>11</v>
      </c>
      <c r="Q6952" s="1065">
        <v>220182</v>
      </c>
      <c r="R6952" s="1065" t="s">
        <v>880</v>
      </c>
      <c r="S6952" s="1065">
        <v>560620</v>
      </c>
      <c r="T6952" s="1065" t="s">
        <v>886</v>
      </c>
      <c r="U6952" s="1065"/>
      <c r="V6952" s="1065">
        <v>560600</v>
      </c>
      <c r="W6952" s="1065" t="s">
        <v>889</v>
      </c>
      <c r="X6952" s="1072"/>
      <c r="Y6952" s="1131" t="s">
        <v>3427</v>
      </c>
      <c r="Z6952" s="18" t="s">
        <v>3461</v>
      </c>
    </row>
    <row r="6953" spans="16:27">
      <c r="P6953" s="1071">
        <v>12</v>
      </c>
      <c r="Q6953" s="1065">
        <v>229304</v>
      </c>
      <c r="R6953" s="1065" t="s">
        <v>881</v>
      </c>
      <c r="S6953" s="1065">
        <v>560620</v>
      </c>
      <c r="T6953" s="1065" t="s">
        <v>886</v>
      </c>
      <c r="U6953" s="1065"/>
      <c r="V6953" s="1065">
        <v>560600</v>
      </c>
      <c r="W6953" s="1065" t="s">
        <v>889</v>
      </c>
      <c r="X6953" s="1072"/>
      <c r="Y6953" s="1131" t="s">
        <v>3428</v>
      </c>
      <c r="Z6953" s="18" t="s">
        <v>245</v>
      </c>
    </row>
    <row r="6954" spans="16:27">
      <c r="P6954" s="1071">
        <v>13</v>
      </c>
      <c r="Q6954" s="1065">
        <v>220162</v>
      </c>
      <c r="R6954" s="1065" t="s">
        <v>882</v>
      </c>
      <c r="S6954" s="1065">
        <v>560620</v>
      </c>
      <c r="T6954" s="1065" t="s">
        <v>886</v>
      </c>
      <c r="U6954" s="1065"/>
      <c r="V6954" s="1065">
        <v>560600</v>
      </c>
      <c r="W6954" s="1065" t="s">
        <v>889</v>
      </c>
      <c r="X6954" s="1072"/>
      <c r="Y6954" s="1131" t="s">
        <v>3429</v>
      </c>
      <c r="Z6954" s="18" t="s">
        <v>249</v>
      </c>
    </row>
    <row r="6955" spans="16:27">
      <c r="P6955" s="1071">
        <v>14</v>
      </c>
      <c r="Q6955" s="1065">
        <v>229314</v>
      </c>
      <c r="R6955" s="1065" t="s">
        <v>883</v>
      </c>
      <c r="S6955" s="1065">
        <v>560510</v>
      </c>
      <c r="T6955" s="1065" t="s">
        <v>887</v>
      </c>
      <c r="U6955" s="1065"/>
      <c r="V6955" s="1065">
        <v>560590</v>
      </c>
      <c r="W6955" s="1065" t="s">
        <v>890</v>
      </c>
      <c r="X6955" s="1072"/>
      <c r="Y6955" s="1131" t="s">
        <v>3430</v>
      </c>
      <c r="Z6955" s="18" t="s">
        <v>247</v>
      </c>
    </row>
    <row r="6956" spans="16:27">
      <c r="P6956" s="1071">
        <v>15</v>
      </c>
      <c r="Q6956" s="1065">
        <v>220182</v>
      </c>
      <c r="R6956" s="1065" t="s">
        <v>880</v>
      </c>
      <c r="S6956" s="1065">
        <v>560510</v>
      </c>
      <c r="T6956" s="1065" t="s">
        <v>887</v>
      </c>
      <c r="U6956" s="1065"/>
      <c r="V6956" s="1065">
        <v>560590</v>
      </c>
      <c r="W6956" s="1065" t="s">
        <v>890</v>
      </c>
      <c r="X6956" s="1072"/>
      <c r="Y6956" s="1131" t="s">
        <v>3431</v>
      </c>
      <c r="Z6956" s="18" t="s">
        <v>236</v>
      </c>
    </row>
    <row r="6957" spans="16:27">
      <c r="P6957" s="1071">
        <v>16</v>
      </c>
      <c r="Q6957" s="1065">
        <v>229304</v>
      </c>
      <c r="R6957" s="1065" t="s">
        <v>881</v>
      </c>
      <c r="S6957" s="1065">
        <v>560510</v>
      </c>
      <c r="T6957" s="1065" t="s">
        <v>887</v>
      </c>
      <c r="U6957" s="1065"/>
      <c r="V6957" s="1065">
        <v>560590</v>
      </c>
      <c r="W6957" s="1065" t="s">
        <v>890</v>
      </c>
      <c r="X6957" s="1072"/>
      <c r="Y6957" s="1131" t="s">
        <v>3432</v>
      </c>
      <c r="Z6957" s="18" t="s">
        <v>108</v>
      </c>
    </row>
    <row r="6958" spans="16:27">
      <c r="P6958" s="1071">
        <v>17</v>
      </c>
      <c r="Q6958" s="1065">
        <v>220162</v>
      </c>
      <c r="R6958" s="1065" t="s">
        <v>882</v>
      </c>
      <c r="S6958" s="1065">
        <v>560510</v>
      </c>
      <c r="T6958" s="1065" t="s">
        <v>887</v>
      </c>
      <c r="U6958" s="1065"/>
      <c r="V6958" s="1065">
        <v>560590</v>
      </c>
      <c r="W6958" s="1065" t="s">
        <v>890</v>
      </c>
      <c r="X6958" s="1072"/>
      <c r="Y6958" s="1131" t="s">
        <v>3433</v>
      </c>
      <c r="Z6958" s="18" t="s">
        <v>2081</v>
      </c>
    </row>
    <row r="6959" spans="16:27">
      <c r="P6959" s="1071">
        <v>18</v>
      </c>
      <c r="Q6959" s="1065">
        <v>229314</v>
      </c>
      <c r="R6959" s="1065" t="s">
        <v>883</v>
      </c>
      <c r="S6959" s="1065">
        <v>560610</v>
      </c>
      <c r="T6959" s="1065" t="s">
        <v>888</v>
      </c>
      <c r="U6959" s="1065"/>
      <c r="V6959" s="1065">
        <v>560580</v>
      </c>
      <c r="W6959" s="1065" t="s">
        <v>891</v>
      </c>
      <c r="X6959" s="1072"/>
      <c r="Y6959" s="1131" t="s">
        <v>3434</v>
      </c>
      <c r="Z6959" s="18" t="s">
        <v>3462</v>
      </c>
    </row>
    <row r="6960" spans="16:27">
      <c r="P6960" s="1071">
        <v>19</v>
      </c>
      <c r="Q6960" s="1065">
        <v>220182</v>
      </c>
      <c r="R6960" s="1065" t="s">
        <v>880</v>
      </c>
      <c r="S6960" s="1065">
        <v>560610</v>
      </c>
      <c r="T6960" s="1065" t="s">
        <v>888</v>
      </c>
      <c r="U6960" s="1065"/>
      <c r="V6960" s="1065">
        <v>560580</v>
      </c>
      <c r="W6960" s="1065" t="s">
        <v>891</v>
      </c>
      <c r="X6960" s="1072"/>
      <c r="Y6960" s="1131" t="s">
        <v>3435</v>
      </c>
      <c r="Z6960" s="18" t="s">
        <v>3463</v>
      </c>
    </row>
    <row r="6961" spans="16:26">
      <c r="P6961" s="1071">
        <v>20</v>
      </c>
      <c r="Q6961" s="1065">
        <v>229304</v>
      </c>
      <c r="R6961" s="1065" t="s">
        <v>881</v>
      </c>
      <c r="S6961" s="1065">
        <v>560610</v>
      </c>
      <c r="T6961" s="1065" t="s">
        <v>888</v>
      </c>
      <c r="U6961" s="1065"/>
      <c r="V6961" s="1065">
        <v>560580</v>
      </c>
      <c r="W6961" s="1065" t="s">
        <v>891</v>
      </c>
      <c r="X6961" s="1072"/>
      <c r="Y6961" s="1131" t="s">
        <v>3436</v>
      </c>
      <c r="Z6961" s="18" t="s">
        <v>3465</v>
      </c>
    </row>
    <row r="6962" spans="16:26">
      <c r="P6962" s="1071">
        <v>21</v>
      </c>
      <c r="Q6962" s="1065">
        <v>220162</v>
      </c>
      <c r="R6962" s="1065" t="s">
        <v>882</v>
      </c>
      <c r="S6962" s="1065">
        <v>560610</v>
      </c>
      <c r="T6962" s="1065" t="s">
        <v>888</v>
      </c>
      <c r="U6962" s="1065"/>
      <c r="V6962" s="1065"/>
      <c r="W6962" s="1072"/>
      <c r="X6962" s="1072"/>
      <c r="Y6962" s="1131" t="s">
        <v>3437</v>
      </c>
      <c r="Z6962" s="18" t="s">
        <v>3464</v>
      </c>
    </row>
    <row r="6963" spans="16:26">
      <c r="P6963" s="1071">
        <v>22</v>
      </c>
      <c r="Q6963" s="1065">
        <v>229314</v>
      </c>
      <c r="R6963" s="1065" t="s">
        <v>883</v>
      </c>
      <c r="S6963" s="1065">
        <v>500283</v>
      </c>
      <c r="T6963" s="1065" t="s">
        <v>889</v>
      </c>
      <c r="U6963" s="1065"/>
      <c r="V6963" s="1065"/>
      <c r="W6963" s="1072"/>
      <c r="X6963" s="1072"/>
      <c r="Y6963" s="1131" t="s">
        <v>3438</v>
      </c>
      <c r="Z6963" s="18" t="s">
        <v>3466</v>
      </c>
    </row>
    <row r="6964" spans="16:26">
      <c r="P6964" s="1071">
        <v>23</v>
      </c>
      <c r="Q6964" s="1065">
        <v>220182</v>
      </c>
      <c r="R6964" s="1065" t="s">
        <v>880</v>
      </c>
      <c r="S6964" s="1065">
        <v>500283</v>
      </c>
      <c r="T6964" s="1065" t="s">
        <v>889</v>
      </c>
      <c r="U6964" s="1065"/>
      <c r="V6964" s="1065"/>
      <c r="W6964" s="1072"/>
      <c r="X6964" s="1072"/>
      <c r="Y6964" s="1131" t="s">
        <v>3439</v>
      </c>
    </row>
    <row r="6965" spans="16:26">
      <c r="P6965" s="1071">
        <v>24</v>
      </c>
      <c r="Q6965" s="1065">
        <v>229304</v>
      </c>
      <c r="R6965" s="1065" t="s">
        <v>881</v>
      </c>
      <c r="S6965" s="1065">
        <v>500283</v>
      </c>
      <c r="T6965" s="1065" t="s">
        <v>889</v>
      </c>
      <c r="U6965" s="1065"/>
      <c r="V6965" s="1065"/>
      <c r="W6965" s="1072"/>
      <c r="X6965" s="1072"/>
      <c r="Y6965" s="1131" t="s">
        <v>3440</v>
      </c>
    </row>
    <row r="6966" spans="16:26">
      <c r="P6966" s="1071">
        <v>25</v>
      </c>
      <c r="Q6966" s="1065">
        <v>220162</v>
      </c>
      <c r="R6966" s="1065" t="s">
        <v>882</v>
      </c>
      <c r="S6966" s="1065">
        <v>500283</v>
      </c>
      <c r="T6966" s="1065" t="s">
        <v>889</v>
      </c>
      <c r="U6966" s="1065"/>
      <c r="V6966" s="1065"/>
      <c r="W6966" s="1072"/>
      <c r="X6966" s="1072"/>
      <c r="Y6966" s="1131" t="s">
        <v>3441</v>
      </c>
    </row>
    <row r="6967" spans="16:26">
      <c r="P6967" s="1071">
        <v>26</v>
      </c>
      <c r="Q6967" s="1065">
        <v>229314</v>
      </c>
      <c r="R6967" s="1065" t="s">
        <v>883</v>
      </c>
      <c r="S6967" s="1065">
        <v>560590</v>
      </c>
      <c r="T6967" s="1065" t="s">
        <v>890</v>
      </c>
      <c r="U6967" s="1065"/>
      <c r="V6967" s="1065"/>
      <c r="W6967" s="1072"/>
      <c r="X6967" s="1072"/>
      <c r="Y6967" s="1131" t="s">
        <v>3442</v>
      </c>
    </row>
    <row r="6968" spans="16:26">
      <c r="P6968" s="1071">
        <v>27</v>
      </c>
      <c r="Q6968" s="1065">
        <v>220182</v>
      </c>
      <c r="R6968" s="1065" t="s">
        <v>880</v>
      </c>
      <c r="S6968" s="1065">
        <v>560590</v>
      </c>
      <c r="T6968" s="1065" t="s">
        <v>890</v>
      </c>
      <c r="U6968" s="1065"/>
      <c r="V6968" s="1065"/>
      <c r="W6968" s="1072"/>
      <c r="X6968" s="1072"/>
      <c r="Y6968" s="1131" t="s">
        <v>3443</v>
      </c>
    </row>
    <row r="6969" spans="16:26">
      <c r="P6969" s="1071">
        <v>28</v>
      </c>
      <c r="Q6969" s="1065">
        <v>229304</v>
      </c>
      <c r="R6969" s="1065" t="s">
        <v>881</v>
      </c>
      <c r="S6969" s="1065">
        <v>560590</v>
      </c>
      <c r="T6969" s="1065" t="s">
        <v>890</v>
      </c>
      <c r="U6969" s="1065"/>
      <c r="V6969" s="1065"/>
      <c r="W6969" s="1072"/>
      <c r="X6969" s="1072"/>
      <c r="Y6969" s="1131" t="s">
        <v>3444</v>
      </c>
    </row>
    <row r="6970" spans="16:26">
      <c r="P6970" s="1071">
        <v>29</v>
      </c>
      <c r="Q6970" s="1065">
        <v>220162</v>
      </c>
      <c r="R6970" s="1065" t="s">
        <v>882</v>
      </c>
      <c r="S6970" s="1065">
        <v>560590</v>
      </c>
      <c r="T6970" s="1065" t="s">
        <v>890</v>
      </c>
      <c r="U6970" s="1065"/>
      <c r="V6970" s="1065"/>
      <c r="W6970" s="1072"/>
      <c r="X6970" s="1072"/>
      <c r="Y6970" s="1131" t="s">
        <v>3445</v>
      </c>
    </row>
    <row r="6971" spans="16:26">
      <c r="P6971" s="1071">
        <v>30</v>
      </c>
      <c r="Q6971" s="1065">
        <v>229314</v>
      </c>
      <c r="R6971" s="1065" t="s">
        <v>883</v>
      </c>
      <c r="S6971" s="1065">
        <v>560580</v>
      </c>
      <c r="T6971" s="1065" t="s">
        <v>891</v>
      </c>
      <c r="U6971" s="1065"/>
      <c r="V6971" s="1065"/>
      <c r="W6971" s="1072"/>
      <c r="X6971" s="1072"/>
      <c r="Y6971" s="1131" t="s">
        <v>3446</v>
      </c>
    </row>
    <row r="6972" spans="16:26">
      <c r="P6972" s="1071">
        <v>31</v>
      </c>
      <c r="Q6972" s="1065">
        <v>220182</v>
      </c>
      <c r="R6972" s="1065" t="s">
        <v>880</v>
      </c>
      <c r="S6972" s="1065">
        <v>560580</v>
      </c>
      <c r="T6972" s="1065" t="s">
        <v>891</v>
      </c>
      <c r="U6972" s="1065"/>
      <c r="V6972" s="1065"/>
      <c r="W6972" s="1072"/>
      <c r="X6972" s="1072"/>
      <c r="Y6972" s="1131" t="s">
        <v>3447</v>
      </c>
    </row>
    <row r="6973" spans="16:26">
      <c r="P6973" s="1071">
        <v>32</v>
      </c>
      <c r="Q6973" s="1065">
        <v>229304</v>
      </c>
      <c r="R6973" s="1065" t="s">
        <v>881</v>
      </c>
      <c r="S6973" s="1065">
        <v>560580</v>
      </c>
      <c r="T6973" s="1065" t="s">
        <v>891</v>
      </c>
      <c r="U6973" s="1065"/>
      <c r="V6973" s="1065"/>
      <c r="W6973" s="1072"/>
      <c r="X6973" s="1072"/>
      <c r="Y6973" s="1131" t="s">
        <v>3448</v>
      </c>
    </row>
    <row r="6974" spans="16:26">
      <c r="P6974" s="1071">
        <v>33</v>
      </c>
      <c r="Q6974" s="1065">
        <v>220162</v>
      </c>
      <c r="R6974" s="1065" t="s">
        <v>882</v>
      </c>
      <c r="S6974" s="1065">
        <v>560580</v>
      </c>
      <c r="T6974" s="1065" t="s">
        <v>891</v>
      </c>
      <c r="U6974" s="1065"/>
      <c r="V6974" s="1065"/>
      <c r="W6974" s="1072"/>
      <c r="X6974" s="1072"/>
      <c r="Y6974" s="1131" t="s">
        <v>3449</v>
      </c>
    </row>
    <row r="6975" spans="16:26">
      <c r="P6975" s="1071"/>
      <c r="Q6975" s="1065"/>
      <c r="R6975" s="1065"/>
      <c r="S6975" s="1065"/>
      <c r="T6975" s="1065"/>
      <c r="U6975" s="1065"/>
      <c r="V6975" s="1065"/>
      <c r="W6975" s="1072"/>
      <c r="X6975" s="1072"/>
      <c r="Y6975" s="1131" t="s">
        <v>3450</v>
      </c>
    </row>
    <row r="6976" spans="16:26">
      <c r="Y6976" s="1131" t="s">
        <v>3451</v>
      </c>
    </row>
    <row r="6977" spans="25:25">
      <c r="Y6977" s="1131" t="s">
        <v>3452</v>
      </c>
    </row>
    <row r="6978" spans="25:25">
      <c r="Y6978" s="1131" t="s">
        <v>3453</v>
      </c>
    </row>
    <row r="6979" spans="25:25">
      <c r="Y6979" s="1131" t="s">
        <v>3454</v>
      </c>
    </row>
    <row r="6980" spans="25:25">
      <c r="Y6980" s="1131" t="s">
        <v>3656</v>
      </c>
    </row>
    <row r="6981" spans="25:25">
      <c r="Y6981" s="1131" t="s">
        <v>3456</v>
      </c>
    </row>
    <row r="6982" spans="25:25">
      <c r="Y6982" s="1131" t="s">
        <v>3457</v>
      </c>
    </row>
    <row r="6983" spans="25:25">
      <c r="Y6983" s="1127" t="s">
        <v>3657</v>
      </c>
    </row>
  </sheetData>
  <autoFilter ref="A3:AC6974" xr:uid="{00000000-0001-0000-0300-000000000000}"/>
  <mergeCells count="1">
    <mergeCell ref="A1:O1"/>
  </mergeCells>
  <phoneticPr fontId="30" type="noConversion"/>
  <conditionalFormatting sqref="E6493:E6756">
    <cfRule type="duplicateValues" dxfId="64" priority="2078"/>
  </conditionalFormatting>
  <conditionalFormatting sqref="F6694:F6697">
    <cfRule type="duplicateValues" dxfId="63" priority="158"/>
  </conditionalFormatting>
  <conditionalFormatting sqref="G6923:I6940">
    <cfRule type="expression" dxfId="62" priority="3">
      <formula>$W$1&lt;&gt;"gn0508"</formula>
    </cfRule>
  </conditionalFormatting>
  <conditionalFormatting sqref="H6937 L5:L3418 L3420:L6938">
    <cfRule type="expression" dxfId="61" priority="152">
      <formula>$W$1&lt;&gt;"GN0508"</formula>
    </cfRule>
  </conditionalFormatting>
  <conditionalFormatting sqref="I6923:J6940 L6940">
    <cfRule type="expression" dxfId="60" priority="1928">
      <formula>$W$1&lt;&gt;"GN0508"</formula>
    </cfRule>
  </conditionalFormatting>
  <conditionalFormatting sqref="Q3809:R4132">
    <cfRule type="expression" dxfId="59" priority="103">
      <formula>$W$1&lt;&gt;"GN0508"</formula>
    </cfRule>
  </conditionalFormatting>
  <conditionalFormatting sqref="Q4218:R4353">
    <cfRule type="expression" dxfId="58" priority="640">
      <formula>$W$1&lt;&gt;"GN0508"</formula>
    </cfRule>
  </conditionalFormatting>
  <conditionalFormatting sqref="R4133:R4217">
    <cfRule type="expression" dxfId="57" priority="633">
      <formula>$W$1&lt;&gt;"GN0508"</formula>
    </cfRule>
  </conditionalFormatting>
  <conditionalFormatting sqref="S1039:T1249">
    <cfRule type="expression" dxfId="56" priority="416">
      <formula>$W$1&lt;&gt;"GN0508"</formula>
    </cfRule>
  </conditionalFormatting>
  <conditionalFormatting sqref="S1251:T1262 S1264:T1275 S1277:T1328">
    <cfRule type="expression" dxfId="55" priority="472">
      <formula>$W$1&lt;&gt;"GN0508"</formula>
    </cfRule>
  </conditionalFormatting>
  <dataValidations disablePrompts="1" count="1">
    <dataValidation type="list" allowBlank="1" showInputMessage="1" showErrorMessage="1" sqref="Y1:Y1048576" xr:uid="{00DE423C-C39D-44C5-B895-90FFA0B25F5E}">
      <formula1>$Y$6944:$Y$7036</formula1>
    </dataValidation>
  </dataValidations>
  <printOptions horizontalCentered="1" headings="1"/>
  <pageMargins left="0.2" right="0.2" top="0.2" bottom="0.2" header="0" footer="0"/>
  <pageSetup paperSize="9" scale="57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C000"/>
    <pageSetUpPr fitToPage="1"/>
  </sheetPr>
  <dimension ref="A1:W1506"/>
  <sheetViews>
    <sheetView showZeros="0" zoomScaleNormal="100" zoomScaleSheetLayoutView="100" workbookViewId="0">
      <pane xSplit="4" ySplit="2" topLeftCell="E3" activePane="bottomRight" state="frozen"/>
      <selection activeCell="H5" sqref="H5"/>
      <selection pane="topRight" activeCell="H5" sqref="H5"/>
      <selection pane="bottomLeft" activeCell="H5" sqref="H5"/>
      <selection pane="bottomRight" activeCell="Y20" sqref="Y20"/>
    </sheetView>
  </sheetViews>
  <sheetFormatPr defaultColWidth="9.1796875" defaultRowHeight="12.5"/>
  <cols>
    <col min="1" max="1" width="8.26953125" style="20" customWidth="1"/>
    <col min="2" max="2" width="3.7265625" style="20" customWidth="1"/>
    <col min="3" max="3" width="7.81640625" style="101" customWidth="1"/>
    <col min="4" max="4" width="28.7265625" style="78" customWidth="1"/>
    <col min="5" max="5" width="7.81640625" style="78" customWidth="1"/>
    <col min="6" max="6" width="5.453125" style="78" customWidth="1"/>
    <col min="7" max="7" width="9.7265625" style="78" customWidth="1"/>
    <col min="8" max="8" width="8.453125" style="78" customWidth="1"/>
    <col min="9" max="9" width="10.26953125" style="78" customWidth="1"/>
    <col min="10" max="10" width="4.453125" style="78" customWidth="1"/>
    <col min="11" max="11" width="10.26953125" style="78" customWidth="1"/>
    <col min="12" max="12" width="7" style="78" customWidth="1"/>
    <col min="13" max="13" width="9.453125" style="78" customWidth="1"/>
    <col min="14" max="15" width="10.7265625" style="78" customWidth="1"/>
    <col min="16" max="16" width="4.54296875" style="1009" customWidth="1"/>
    <col min="17" max="17" width="6.54296875" style="1025" hidden="1" customWidth="1"/>
    <col min="18" max="18" width="4.26953125" style="1025" hidden="1" customWidth="1"/>
    <col min="19" max="19" width="6.453125" style="1009" hidden="1" customWidth="1"/>
    <col min="20" max="20" width="6" style="1025" hidden="1" customWidth="1"/>
    <col min="21" max="21" width="6.453125" style="1009" hidden="1" customWidth="1"/>
    <col min="22" max="22" width="4.81640625" style="1009" hidden="1" customWidth="1"/>
    <col min="23" max="23" width="9.7265625" style="1009" hidden="1" customWidth="1"/>
    <col min="24" max="16384" width="9.1796875" style="18"/>
  </cols>
  <sheetData>
    <row r="1" spans="1:23" s="27" customFormat="1" ht="20">
      <c r="A1" s="1253" t="str">
        <f>"CHI TIẾT NVL ĐƠN HÀNG - " &amp; ThongTinChung!$C$5 &amp; " - " &amp; ThongTinChung!$C$6 &amp; " - " &amp; ThongTinChung!$E$6</f>
        <v>CHI TIẾT NVL ĐƠN HÀNG - 231222/L1 - BOM - Hóc Môn</v>
      </c>
      <c r="B1" s="1253"/>
      <c r="C1" s="1253"/>
      <c r="D1" s="1253"/>
      <c r="E1" s="1253"/>
      <c r="F1" s="1253"/>
      <c r="G1" s="1253"/>
      <c r="H1" s="1253"/>
      <c r="I1" s="1253"/>
      <c r="J1" s="1253"/>
      <c r="K1" s="1253"/>
      <c r="L1" s="876"/>
      <c r="M1" s="299"/>
      <c r="N1" s="977"/>
      <c r="O1" s="299"/>
      <c r="P1" s="1004"/>
      <c r="Q1" s="1004"/>
      <c r="R1" s="1005"/>
      <c r="S1" s="1006"/>
      <c r="T1" s="1007"/>
      <c r="U1" s="1006"/>
      <c r="V1" s="1008" t="s">
        <v>370</v>
      </c>
      <c r="W1" s="1009" t="s">
        <v>2745</v>
      </c>
    </row>
    <row r="2" spans="1:23" s="101" customFormat="1" ht="31.5">
      <c r="A2" s="983" t="s">
        <v>254</v>
      </c>
      <c r="B2" s="538" t="s">
        <v>9</v>
      </c>
      <c r="C2" s="538" t="s">
        <v>256</v>
      </c>
      <c r="D2" s="538" t="s">
        <v>114</v>
      </c>
      <c r="E2" s="984" t="s">
        <v>115</v>
      </c>
      <c r="F2" s="984" t="s">
        <v>515</v>
      </c>
      <c r="G2" s="985" t="s">
        <v>116</v>
      </c>
      <c r="H2" s="986" t="s">
        <v>117</v>
      </c>
      <c r="I2" s="538" t="s">
        <v>118</v>
      </c>
      <c r="J2" s="987" t="s">
        <v>120</v>
      </c>
      <c r="K2" s="538" t="s">
        <v>121</v>
      </c>
      <c r="L2" s="987" t="s">
        <v>371</v>
      </c>
      <c r="M2" s="988" t="s">
        <v>119</v>
      </c>
      <c r="N2" s="989" t="s">
        <v>255</v>
      </c>
      <c r="O2" s="990" t="s">
        <v>2443</v>
      </c>
      <c r="P2" s="1026" t="s">
        <v>534</v>
      </c>
      <c r="Q2" s="1010" t="s">
        <v>427</v>
      </c>
      <c r="R2" s="1011" t="s">
        <v>2308</v>
      </c>
      <c r="S2" s="1027" t="s">
        <v>2753</v>
      </c>
      <c r="T2" s="1028" t="s">
        <v>148</v>
      </c>
      <c r="U2" s="1013" t="s">
        <v>2747</v>
      </c>
      <c r="V2" s="1029" t="s">
        <v>150</v>
      </c>
      <c r="W2" s="1030" t="s">
        <v>2751</v>
      </c>
    </row>
    <row r="3" spans="1:23">
      <c r="A3" s="991" t="str">
        <f ca="1">+TinhGia!$B11</f>
        <v>MauKoXoa</v>
      </c>
      <c r="B3" s="525">
        <f ca="1">IF(OR(A3="",A3=0),"",IF(COUNTIF($A$2:A3,$A3)=1,ROW(MauKoXoa!$C$108),$B2+1))</f>
        <v>108</v>
      </c>
      <c r="C3" s="992" t="str">
        <f ca="1">IFERROR(INDIRECT("'" &amp; $A3 &amp; "'!" &amp; "C" &amp; $B3),"")</f>
        <v>C3328</v>
      </c>
      <c r="D3" s="993" t="str">
        <f ca="1">IFERROR(INDIRECT("'" &amp; $A3 &amp; "'!" &amp; "D" &amp; $B3),"")</f>
        <v>Khung bao cửa đi quay 55</v>
      </c>
      <c r="E3" s="993" t="str">
        <f ca="1">IFERROR(INDIRECT("'" &amp; $A3 &amp; "'!" &amp; "P" &amp; $B3),"")</f>
        <v>Xám ghi</v>
      </c>
      <c r="F3" s="992" t="str">
        <f t="shared" ref="F3:F66" ca="1" si="0">IF($P3=$V$7, IFERROR(INDIRECT("'" &amp; $A3 &amp; "'!" &amp; "I" &amp; $B3),""),IFERROR(INDIRECT("'" &amp; $A3 &amp; "'!" &amp; "E" &amp; $B3),""))</f>
        <v>Ngang trên</v>
      </c>
      <c r="G3" s="994">
        <f ca="1">IFERROR(INDIRECT("'" &amp; $A3 &amp; "'!" &amp; "F" &amp; $B3),0)</f>
        <v>1600</v>
      </c>
      <c r="H3" s="913">
        <f ca="1">IFERROR(INDIRECT("'" &amp; $A3 &amp; "'!" &amp; "G" &amp; $B3),0)</f>
        <v>1</v>
      </c>
      <c r="I3" s="913">
        <f ca="1">IFERROR(INDIRECT("'" &amp; $A3 &amp; "'!" &amp; "H" &amp; $B3),0)</f>
        <v>3200</v>
      </c>
      <c r="J3" s="995">
        <f ca="1">IFERROR(INDIRECT("'" &amp; $A3 &amp; "'!" &amp; "J" &amp; $B3),0)</f>
        <v>0</v>
      </c>
      <c r="K3" s="913">
        <f ca="1">IFERROR(INDIRECT("'" &amp; $A3 &amp; "'!" &amp; "L" &amp; $B3),0)</f>
        <v>3200</v>
      </c>
      <c r="L3" s="995">
        <f ca="1">+ IFERROR(INDIRECT("'" &amp; $A3 &amp; "'!" &amp; "K" &amp; $B3),0)</f>
        <v>0</v>
      </c>
      <c r="M3" s="913">
        <f ca="1">IFERROR(INDIRECT("'" &amp; $A3 &amp; "'!" &amp; "M" &amp; $B3),0)</f>
        <v>134.30000000000001</v>
      </c>
      <c r="N3" s="996">
        <f ca="1">IFERROR(INDIRECT("'" &amp; $A3 &amp; "'!" &amp; "N" &amp; $B3),0)</f>
        <v>429760</v>
      </c>
      <c r="O3" s="997">
        <f ca="1">IFERROR(INDIRECT("'" &amp; $A3 &amp; "'!" &amp; "O" &amp; $B3),0)</f>
        <v>429760</v>
      </c>
      <c r="P3" s="1015" t="str">
        <f ca="1">IF($C3="","",INDEX(NVLSX!$N$2:$N$6941,MATCH($C3,NVLSX!$E$2:$E$6941,0)))</f>
        <v>PR</v>
      </c>
      <c r="Q3" s="1016" t="str">
        <f ca="1">IF($R3="","",IF(XKNVLSX!$X$1="",IF($P3=$V$7,$P3, IF(COUNTIFS($C$2:$C2,$C3,$E$2:$E2,$E3)&gt;=1,"",$P3)),     IF(AND(IFERROR(SEARCH($R3,XKNVLSX!$X$1,1),0)&gt;=1,$P3=$V$7),$P3, IF(OR($R3&lt;&gt;IF(IFERROR(SEARCH($R3,XKNVLSX!$X$1,1),0)&gt;=1,$R3,XKNVLSX!$X$1),COUNTIFS($C$2:$C2,$C3,$E$2:$E2,$E3,$Q$2:$Q2,$P3)&gt;=1),"",$P3))))</f>
        <v>PR</v>
      </c>
      <c r="R3" s="1017">
        <f ca="1">IF($A3="","",IFERROR(INDEX(TinhGia!$BF$10:$BF$81,MATCH($A3,TinhGia!$B$10:$B$81,0)),""))</f>
        <v>1</v>
      </c>
      <c r="S3" s="1012" t="str">
        <f ca="1">IF($A3="","",IF(OR(IFERROR(SEARCH($R3,XKNVLSX!$X$1,1),0)&gt;=1,XKNVLSX!$X$1=""),$S$2,""))</f>
        <v>XKNVLSX</v>
      </c>
      <c r="T3" s="1018" t="str">
        <f ca="1">IF($C3="","", IF(OR($P3=$V$1,$P3=$V$7,COUNTIFS($C$3:$C3,$C3,$E$3:$E3,$E3)&lt;=1),$P3,""    ))</f>
        <v>PR</v>
      </c>
      <c r="U3" s="1019" t="str">
        <f ca="1">IF(AND($P3=$V$2,COUNTIFS($C$3:$C3,$C3,$E$3:$E3,$E3,$G$3:$G3,$G3)&lt;=1),$P3,"")</f>
        <v>PR</v>
      </c>
      <c r="V3" s="1014" t="s">
        <v>153</v>
      </c>
      <c r="W3" s="1009" t="s">
        <v>2752</v>
      </c>
    </row>
    <row r="4" spans="1:23">
      <c r="A4" s="991" t="str">
        <f ca="1">IFERROR(IF(COUNTIF($A$3:A3,A3)&lt; INDEX(TinhGia!$BH$10:$BH$81,MATCH($A3,TinhGia!$B$10:$B$81,0)),$A3,INDEX(TinhGia!$B$10:$B$81,MATCH($A3,TinhGia!$B$10:$B$81,0)+1)),"")</f>
        <v>MauKoXoa</v>
      </c>
      <c r="B4" s="525">
        <f ca="1">IF(OR(A4="",A4=0),"",IF(COUNTIF($A$2:A4,$A4)=1,ROW(MauKoXoa!$C$108),$B3+1))</f>
        <v>109</v>
      </c>
      <c r="C4" s="992" t="str">
        <f t="shared" ref="C4:C67" ca="1" si="1">IFERROR(INDIRECT("'" &amp; $A4 &amp; "'!" &amp; "C" &amp; $B4),"")</f>
        <v>C3328</v>
      </c>
      <c r="D4" s="993" t="str">
        <f t="shared" ref="D4:D67" ca="1" si="2">IFERROR(INDIRECT("'" &amp; $A4 &amp; "'!" &amp; "D" &amp; $B4),"")</f>
        <v>Khung bao cửa đi quay 55</v>
      </c>
      <c r="E4" s="993" t="str">
        <f t="shared" ref="E4:E67" ca="1" si="3">IFERROR(INDIRECT("'" &amp; $A4 &amp; "'!" &amp; "P" &amp; $B4),"")</f>
        <v>Xám ghi</v>
      </c>
      <c r="F4" s="992" t="str">
        <f t="shared" ca="1" si="0"/>
        <v>Đứng</v>
      </c>
      <c r="G4" s="994">
        <f t="shared" ref="G4:G67" ca="1" si="4">IFERROR(INDIRECT("'" &amp; $A4 &amp; "'!" &amp; "F" &amp; $B4),0)</f>
        <v>2200</v>
      </c>
      <c r="H4" s="913">
        <f t="shared" ref="H4:H67" ca="1" si="5">IFERROR(INDIRECT("'" &amp; $A4 &amp; "'!" &amp; "G" &amp; $B4),0)</f>
        <v>2</v>
      </c>
      <c r="I4" s="913">
        <f t="shared" ref="I4:I67" ca="1" si="6">IFERROR(INDIRECT("'" &amp; $A4 &amp; "'!" &amp; "H" &amp; $B4),0)</f>
        <v>8800</v>
      </c>
      <c r="J4" s="995">
        <f t="shared" ref="J4:J67" ca="1" si="7">IFERROR(INDIRECT("'" &amp; $A4 &amp; "'!" &amp; "J" &amp; $B4),0)</f>
        <v>0</v>
      </c>
      <c r="K4" s="913">
        <f t="shared" ref="K4:K67" ca="1" si="8">IFERROR(INDIRECT("'" &amp; $A4 &amp; "'!" &amp; "L" &amp; $B4),0)</f>
        <v>8800</v>
      </c>
      <c r="L4" s="995">
        <f t="shared" ref="L4:L67" ca="1" si="9">+ IFERROR(INDIRECT("'" &amp; $A4 &amp; "'!" &amp; "K" &amp; $B4),0)</f>
        <v>0</v>
      </c>
      <c r="M4" s="913">
        <f t="shared" ref="M4:M67" ca="1" si="10">IFERROR(INDIRECT("'" &amp; $A4 &amp; "'!" &amp; "M" &amp; $B4),0)</f>
        <v>134.30000000000001</v>
      </c>
      <c r="N4" s="996">
        <f t="shared" ref="N4:N67" ca="1" si="11">IFERROR(INDIRECT("'" &amp; $A4 &amp; "'!" &amp; "N" &amp; $B4),0)</f>
        <v>1181840</v>
      </c>
      <c r="O4" s="997">
        <f t="shared" ref="O4:O67" ca="1" si="12">IFERROR(INDIRECT("'" &amp; $A4 &amp; "'!" &amp; "O" &amp; $B4),0)</f>
        <v>1181840</v>
      </c>
      <c r="P4" s="1015" t="str">
        <f ca="1">IF($C4="","",INDEX(NVLSX!$N$2:$N$6941,MATCH($C4,NVLSX!$E$2:$E$6941,0)))</f>
        <v>PR</v>
      </c>
      <c r="Q4" s="1016" t="str">
        <f ca="1">IF($R4="","",IF(XKNVLSX!$X$1="",IF($P4=$V$7,$P4, IF(COUNTIFS($C$2:$C3,$C4,$E$2:$E3,$E4)&gt;=1,"",$P4)),     IF(AND(IFERROR(SEARCH($R4,XKNVLSX!$X$1,1),0)&gt;=1,$P4=$V$7),$P4, IF(OR($R4&lt;&gt;IF(IFERROR(SEARCH($R4,XKNVLSX!$X$1,1),0)&gt;=1,$R4,XKNVLSX!$X$1),COUNTIFS($C$2:$C3,$C4,$E$2:$E3,$E4,$Q$2:$Q3,$P4)&gt;=1),"",$P4))))</f>
        <v/>
      </c>
      <c r="R4" s="1017">
        <f ca="1">IF($A4="","",IFERROR(INDEX(TinhGia!$BF$10:$BF$81,MATCH($A4,TinhGia!$B$10:$B$81,0)),""))</f>
        <v>1</v>
      </c>
      <c r="S4" s="1012" t="str">
        <f ca="1">IF($A4="","",IF(OR(IFERROR(SEARCH($R4,XKNVLSX!$X$1,1),0)&gt;=1,XKNVLSX!$X$1=""),$S$2,""))</f>
        <v>XKNVLSX</v>
      </c>
      <c r="T4" s="1018" t="str">
        <f ca="1">IF($C4="","", IF(OR($P4=$V$1,$P4=$V$7,COUNTIFS($C$3:$C4,$C4,$E$3:$E4,$E4)&lt;=1),$P4,""    ))</f>
        <v/>
      </c>
      <c r="U4" s="1019" t="str">
        <f ca="1">IF(AND($P4=$V$2,COUNTIFS($C$3:$C4,$C4,$E$3:$E4,$E4,$G$3:$G4,$G4)&lt;=1),$P4,"")</f>
        <v>PR</v>
      </c>
      <c r="V4" s="1014" t="s">
        <v>151</v>
      </c>
      <c r="W4" s="1009" t="s">
        <v>2752</v>
      </c>
    </row>
    <row r="5" spans="1:23">
      <c r="A5" s="991" t="str">
        <f ca="1">IFERROR(IF(COUNTIF($A$3:A4,A4)&lt; INDEX(TinhGia!$BH$10:$BH$81,MATCH($A4,TinhGia!$B$10:$B$81,0)),$A4,INDEX(TinhGia!$B$10:$B$81,MATCH($A4,TinhGia!$B$10:$B$81,0)+1)),"")</f>
        <v>MauKoXoa</v>
      </c>
      <c r="B5" s="525">
        <f ca="1">IF(OR(A5="",A5=0),"",IF(COUNTIF($A$2:A5,$A5)=1,ROW(MauKoXoa!$C$108),$B4+1))</f>
        <v>110</v>
      </c>
      <c r="C5" s="992" t="str">
        <f t="shared" ca="1" si="1"/>
        <v>C3303</v>
      </c>
      <c r="D5" s="993" t="str">
        <f t="shared" ca="1" si="2"/>
        <v>Cánh cửa đi mở quay NGOÀI</v>
      </c>
      <c r="E5" s="993" t="str">
        <f t="shared" ca="1" si="3"/>
        <v>Xám ghi</v>
      </c>
      <c r="F5" s="992" t="str">
        <f t="shared" ca="1" si="0"/>
        <v>Ngang</v>
      </c>
      <c r="G5" s="994">
        <f t="shared" ca="1" si="4"/>
        <v>1538</v>
      </c>
      <c r="H5" s="913">
        <f t="shared" ca="1" si="5"/>
        <v>2</v>
      </c>
      <c r="I5" s="913">
        <f t="shared" ca="1" si="6"/>
        <v>6152</v>
      </c>
      <c r="J5" s="995">
        <f t="shared" ca="1" si="7"/>
        <v>0</v>
      </c>
      <c r="K5" s="913">
        <f t="shared" ca="1" si="8"/>
        <v>6152</v>
      </c>
      <c r="L5" s="995">
        <f t="shared" ca="1" si="9"/>
        <v>0</v>
      </c>
      <c r="M5" s="913">
        <f t="shared" ca="1" si="10"/>
        <v>153.96</v>
      </c>
      <c r="N5" s="996">
        <f t="shared" ca="1" si="11"/>
        <v>947162</v>
      </c>
      <c r="O5" s="997">
        <f t="shared" ca="1" si="12"/>
        <v>947162</v>
      </c>
      <c r="P5" s="1015" t="str">
        <f ca="1">IF($C5="","",INDEX(NVLSX!$N$2:$N$6941,MATCH($C5,NVLSX!$E$2:$E$6941,0)))</f>
        <v>PR</v>
      </c>
      <c r="Q5" s="1016" t="str">
        <f ca="1">IF($R5="","",IF(XKNVLSX!$X$1="",IF($P5=$V$7,$P5, IF(COUNTIFS($C$2:$C4,$C5,$E$2:$E4,$E5)&gt;=1,"",$P5)),     IF(AND(IFERROR(SEARCH($R5,XKNVLSX!$X$1,1),0)&gt;=1,$P5=$V$7),$P5, IF(OR($R5&lt;&gt;IF(IFERROR(SEARCH($R5,XKNVLSX!$X$1,1),0)&gt;=1,$R5,XKNVLSX!$X$1),COUNTIFS($C$2:$C4,$C5,$E$2:$E4,$E5,$Q$2:$Q4,$P5)&gt;=1),"",$P5))))</f>
        <v>PR</v>
      </c>
      <c r="R5" s="1017">
        <f ca="1">IF($A5="","",IFERROR(INDEX(TinhGia!$BF$10:$BF$81,MATCH($A5,TinhGia!$B$10:$B$81,0)),""))</f>
        <v>1</v>
      </c>
      <c r="S5" s="1012" t="str">
        <f ca="1">IF($A5="","",IF(OR(IFERROR(SEARCH($R5,XKNVLSX!$X$1,1),0)&gt;=1,XKNVLSX!$X$1=""),$S$2,""))</f>
        <v>XKNVLSX</v>
      </c>
      <c r="T5" s="1018" t="str">
        <f ca="1">IF($C5="","", IF(OR($P5=$V$1,$P5=$V$7,COUNTIFS($C$3:$C5,$C5,$E$3:$E5,$E5)&lt;=1),$P5,""    ))</f>
        <v>PR</v>
      </c>
      <c r="U5" s="1019" t="str">
        <f ca="1">IF(AND($P5=$V$2,COUNTIFS($C$3:$C5,$C5,$E$3:$E5,$E5,$G$3:$G5,$G5)&lt;=1),$P5,"")</f>
        <v>PR</v>
      </c>
      <c r="V5" s="1014" t="s">
        <v>2408</v>
      </c>
      <c r="W5" s="1009" t="s">
        <v>2752</v>
      </c>
    </row>
    <row r="6" spans="1:23">
      <c r="A6" s="991" t="str">
        <f ca="1">IFERROR(IF(COUNTIF($A$3:A5,A5)&lt; INDEX(TinhGia!$BH$10:$BH$81,MATCH($A5,TinhGia!$B$10:$B$81,0)),$A5,INDEX(TinhGia!$B$10:$B$81,MATCH($A5,TinhGia!$B$10:$B$81,0)+1)),"")</f>
        <v>MauKoXoa</v>
      </c>
      <c r="B6" s="525">
        <f ca="1">IF(OR(A6="",A6=0),"",IF(COUNTIF($A$2:A6,$A6)=1,ROW(MauKoXoa!$C$108),$B5+1))</f>
        <v>111</v>
      </c>
      <c r="C6" s="992" t="str">
        <f t="shared" ca="1" si="1"/>
        <v>C3303</v>
      </c>
      <c r="D6" s="993" t="str">
        <f t="shared" ca="1" si="2"/>
        <v>Cánh cửa đi mở quay NGOÀI</v>
      </c>
      <c r="E6" s="993" t="str">
        <f t="shared" ca="1" si="3"/>
        <v>Xám ghi</v>
      </c>
      <c r="F6" s="992" t="str">
        <f t="shared" ca="1" si="0"/>
        <v>Đứng</v>
      </c>
      <c r="G6" s="994">
        <f t="shared" ca="1" si="4"/>
        <v>2151</v>
      </c>
      <c r="H6" s="913">
        <f t="shared" ca="1" si="5"/>
        <v>2</v>
      </c>
      <c r="I6" s="913">
        <f t="shared" ca="1" si="6"/>
        <v>8604</v>
      </c>
      <c r="J6" s="995">
        <f t="shared" ca="1" si="7"/>
        <v>0</v>
      </c>
      <c r="K6" s="913">
        <f t="shared" ca="1" si="8"/>
        <v>8604</v>
      </c>
      <c r="L6" s="995">
        <f t="shared" ca="1" si="9"/>
        <v>0</v>
      </c>
      <c r="M6" s="913">
        <f t="shared" ca="1" si="10"/>
        <v>153.96</v>
      </c>
      <c r="N6" s="996">
        <f t="shared" ca="1" si="11"/>
        <v>1324672</v>
      </c>
      <c r="O6" s="997">
        <f t="shared" ca="1" si="12"/>
        <v>1324672</v>
      </c>
      <c r="P6" s="1015" t="str">
        <f ca="1">IF($C6="","",INDEX(NVLSX!$N$2:$N$6941,MATCH($C6,NVLSX!$E$2:$E$6941,0)))</f>
        <v>PR</v>
      </c>
      <c r="Q6" s="1016" t="str">
        <f ca="1">IF($R6="","",IF(XKNVLSX!$X$1="",IF($P6=$V$7,$P6, IF(COUNTIFS($C$2:$C5,$C6,$E$2:$E5,$E6)&gt;=1,"",$P6)),     IF(AND(IFERROR(SEARCH($R6,XKNVLSX!$X$1,1),0)&gt;=1,$P6=$V$7),$P6, IF(OR($R6&lt;&gt;IF(IFERROR(SEARCH($R6,XKNVLSX!$X$1,1),0)&gt;=1,$R6,XKNVLSX!$X$1),COUNTIFS($C$2:$C5,$C6,$E$2:$E5,$E6,$Q$2:$Q5,$P6)&gt;=1),"",$P6))))</f>
        <v/>
      </c>
      <c r="R6" s="1017">
        <f ca="1">IF($A6="","",IFERROR(INDEX(TinhGia!$BF$10:$BF$81,MATCH($A6,TinhGia!$B$10:$B$81,0)),""))</f>
        <v>1</v>
      </c>
      <c r="S6" s="1012" t="str">
        <f ca="1">IF($A6="","",IF(OR(IFERROR(SEARCH($R6,XKNVLSX!$X$1,1),0)&gt;=1,XKNVLSX!$X$1=""),$S$2,""))</f>
        <v>XKNVLSX</v>
      </c>
      <c r="T6" s="1018" t="str">
        <f ca="1">IF($C6="","", IF(OR($P6=$V$1,$P6=$V$7,COUNTIFS($C$3:$C6,$C6,$E$3:$E6,$E6)&lt;=1),$P6,""    ))</f>
        <v/>
      </c>
      <c r="U6" s="1019" t="str">
        <f ca="1">IF(AND($P6=$V$2,COUNTIFS($C$3:$C6,$C6,$E$3:$E6,$E6,$G$3:$G6,$G6)&lt;=1),$P6,"")</f>
        <v>PR</v>
      </c>
      <c r="V6" s="1014" t="s">
        <v>2409</v>
      </c>
      <c r="W6" s="1009" t="s">
        <v>2752</v>
      </c>
    </row>
    <row r="7" spans="1:23">
      <c r="A7" s="991" t="str">
        <f ca="1">IFERROR(IF(COUNTIF($A$3:A6,A6)&lt; INDEX(TinhGia!$BH$10:$BH$81,MATCH($A6,TinhGia!$B$10:$B$81,0)),$A6,INDEX(TinhGia!$B$10:$B$81,MATCH($A6,TinhGia!$B$10:$B$81,0)+1)),"")</f>
        <v>MauKoXoa</v>
      </c>
      <c r="B7" s="525">
        <f ca="1">IF(OR(A7="",A7=0),"",IF(COUNTIF($A$2:A7,$A7)=1,ROW(MauKoXoa!$C$108),$B6+1))</f>
        <v>112</v>
      </c>
      <c r="C7" s="992" t="str">
        <f t="shared" ca="1" si="1"/>
        <v>C22900</v>
      </c>
      <c r="D7" s="993" t="str">
        <f t="shared" ca="1" si="2"/>
        <v>Nẹp gioăng lọc bui cho cửa đi
 ngang dưới hệ 55 có gờ</v>
      </c>
      <c r="E7" s="993" t="str">
        <f t="shared" ca="1" si="3"/>
        <v>Xám ghi</v>
      </c>
      <c r="F7" s="992" t="str">
        <f t="shared" ca="1" si="0"/>
        <v>Ngang</v>
      </c>
      <c r="G7" s="994">
        <f t="shared" ca="1" si="4"/>
        <v>1475</v>
      </c>
      <c r="H7" s="913">
        <f t="shared" ca="1" si="5"/>
        <v>1</v>
      </c>
      <c r="I7" s="913">
        <f t="shared" ca="1" si="6"/>
        <v>2950</v>
      </c>
      <c r="J7" s="995">
        <f t="shared" ca="1" si="7"/>
        <v>0</v>
      </c>
      <c r="K7" s="913">
        <f t="shared" ca="1" si="8"/>
        <v>2950</v>
      </c>
      <c r="L7" s="995">
        <f t="shared" ca="1" si="9"/>
        <v>0</v>
      </c>
      <c r="M7" s="913">
        <f t="shared" ca="1" si="10"/>
        <v>50.86</v>
      </c>
      <c r="N7" s="996">
        <f t="shared" ca="1" si="11"/>
        <v>150037</v>
      </c>
      <c r="O7" s="997">
        <f t="shared" ca="1" si="12"/>
        <v>150037</v>
      </c>
      <c r="P7" s="1015" t="str">
        <f ca="1">IF($C7="","",INDEX(NVLSX!$N$2:$N$6941,MATCH($C7,NVLSX!$E$2:$E$6941,0)))</f>
        <v>PR</v>
      </c>
      <c r="Q7" s="1016" t="str">
        <f ca="1">IF($R7="","",IF(XKNVLSX!$X$1="",IF($P7=$V$7,$P7, IF(COUNTIFS($C$2:$C6,$C7,$E$2:$E6,$E7)&gt;=1,"",$P7)),     IF(AND(IFERROR(SEARCH($R7,XKNVLSX!$X$1,1),0)&gt;=1,$P7=$V$7),$P7, IF(OR($R7&lt;&gt;IF(IFERROR(SEARCH($R7,XKNVLSX!$X$1,1),0)&gt;=1,$R7,XKNVLSX!$X$1),COUNTIFS($C$2:$C6,$C7,$E$2:$E6,$E7,$Q$2:$Q6,$P7)&gt;=1),"",$P7))))</f>
        <v>PR</v>
      </c>
      <c r="R7" s="1017">
        <f ca="1">IF($A7="","",IFERROR(INDEX(TinhGia!$BF$10:$BF$81,MATCH($A7,TinhGia!$B$10:$B$81,0)),""))</f>
        <v>1</v>
      </c>
      <c r="S7" s="1012" t="str">
        <f ca="1">IF($A7="","",IF(OR(IFERROR(SEARCH($R7,XKNVLSX!$X$1,1),0)&gt;=1,XKNVLSX!$X$1=""),$S$2,""))</f>
        <v>XKNVLSX</v>
      </c>
      <c r="T7" s="1018" t="str">
        <f ca="1">IF($C7="","", IF(OR($P7=$V$1,$P7=$V$7,COUNTIFS($C$3:$C7,$C7,$E$3:$E7,$E7)&lt;=1),$P7,""    ))</f>
        <v>PR</v>
      </c>
      <c r="U7" s="1019" t="str">
        <f ca="1">IF(AND($P7=$V$2,COUNTIFS($C$3:$C7,$C7,$E$3:$E7,$E7,$G$3:$G7,$G7)&lt;=1),$P7,"")</f>
        <v>PR</v>
      </c>
      <c r="V7" s="1014" t="s">
        <v>152</v>
      </c>
      <c r="W7" s="1009" t="s">
        <v>2745</v>
      </c>
    </row>
    <row r="8" spans="1:23">
      <c r="A8" s="991" t="str">
        <f ca="1">IFERROR(IF(COUNTIF($A$3:A7,A7)&lt; INDEX(TinhGia!$BH$10:$BH$81,MATCH($A7,TinhGia!$B$10:$B$81,0)),$A7,INDEX(TinhGia!$B$10:$B$81,MATCH($A7,TinhGia!$B$10:$B$81,0)+1)),"")</f>
        <v>MauKoXoa</v>
      </c>
      <c r="B8" s="525">
        <f ca="1">IF(OR(A8="",A8=0),"",IF(COUNTIF($A$2:A8,$A8)=1,ROW(MauKoXoa!$C$108),$B7+1))</f>
        <v>113</v>
      </c>
      <c r="C8" s="992" t="str">
        <f t="shared" ca="1" si="1"/>
        <v>C3295</v>
      </c>
      <c r="D8" s="993" t="str">
        <f t="shared" ca="1" si="2"/>
        <v>Nẹp kính vuông cho kính 5-10mm hệ 55</v>
      </c>
      <c r="E8" s="993" t="str">
        <f t="shared" ca="1" si="3"/>
        <v>Xám ghi</v>
      </c>
      <c r="F8" s="992" t="str">
        <f t="shared" ca="1" si="0"/>
        <v>Ngang</v>
      </c>
      <c r="G8" s="994">
        <f t="shared" ca="1" si="4"/>
        <v>1402</v>
      </c>
      <c r="H8" s="913">
        <f t="shared" ca="1" si="5"/>
        <v>2</v>
      </c>
      <c r="I8" s="913">
        <f t="shared" ca="1" si="6"/>
        <v>5608</v>
      </c>
      <c r="J8" s="995">
        <f t="shared" ca="1" si="7"/>
        <v>0</v>
      </c>
      <c r="K8" s="913">
        <f t="shared" ca="1" si="8"/>
        <v>5608</v>
      </c>
      <c r="L8" s="995">
        <f t="shared" ca="1" si="9"/>
        <v>0</v>
      </c>
      <c r="M8" s="913">
        <f t="shared" ca="1" si="10"/>
        <v>28.95</v>
      </c>
      <c r="N8" s="996">
        <f t="shared" ca="1" si="11"/>
        <v>162352</v>
      </c>
      <c r="O8" s="997">
        <f t="shared" ca="1" si="12"/>
        <v>162352</v>
      </c>
      <c r="P8" s="1015" t="str">
        <f ca="1">IF($C8="","",INDEX(NVLSX!$N$2:$N$6941,MATCH($C8,NVLSX!$E$2:$E$6941,0)))</f>
        <v>PR</v>
      </c>
      <c r="Q8" s="1016" t="str">
        <f ca="1">IF($R8="","",IF(XKNVLSX!$X$1="",IF($P8=$V$7,$P8, IF(COUNTIFS($C$2:$C7,$C8,$E$2:$E7,$E8)&gt;=1,"",$P8)),     IF(AND(IFERROR(SEARCH($R8,XKNVLSX!$X$1,1),0)&gt;=1,$P8=$V$7),$P8, IF(OR($R8&lt;&gt;IF(IFERROR(SEARCH($R8,XKNVLSX!$X$1,1),0)&gt;=1,$R8,XKNVLSX!$X$1),COUNTIFS($C$2:$C7,$C8,$E$2:$E7,$E8,$Q$2:$Q7,$P8)&gt;=1),"",$P8))))</f>
        <v>PR</v>
      </c>
      <c r="R8" s="1017">
        <f ca="1">IF($A8="","",IFERROR(INDEX(TinhGia!$BF$10:$BF$81,MATCH($A8,TinhGia!$B$10:$B$81,0)),""))</f>
        <v>1</v>
      </c>
      <c r="S8" s="1012" t="str">
        <f ca="1">IF($A8="","",IF(OR(IFERROR(SEARCH($R8,XKNVLSX!$X$1,1),0)&gt;=1,XKNVLSX!$X$1=""),$S$2,""))</f>
        <v>XKNVLSX</v>
      </c>
      <c r="T8" s="1018" t="str">
        <f ca="1">IF($C8="","", IF(OR($P8=$V$1,$P8=$V$7,COUNTIFS($C$3:$C8,$C8,$E$3:$E8,$E8)&lt;=1),$P8,""    ))</f>
        <v>PR</v>
      </c>
      <c r="U8" s="1019" t="str">
        <f ca="1">IF(AND($P8=$V$2,COUNTIFS($C$3:$C8,$C8,$E$3:$E8,$E8,$G$3:$G8,$G8)&lt;=1),$P8,"")</f>
        <v>PR</v>
      </c>
    </row>
    <row r="9" spans="1:23">
      <c r="A9" s="991" t="str">
        <f ca="1">IFERROR(IF(COUNTIF($A$3:A8,A8)&lt; INDEX(TinhGia!$BH$10:$BH$81,MATCH($A8,TinhGia!$B$10:$B$81,0)),$A8,INDEX(TinhGia!$B$10:$B$81,MATCH($A8,TinhGia!$B$10:$B$81,0)+1)),"")</f>
        <v>MauKoXoa</v>
      </c>
      <c r="B9" s="525">
        <f ca="1">IF(OR(A9="",A9=0),"",IF(COUNTIF($A$2:A9,$A9)=1,ROW(MauKoXoa!$C$108),$B8+1))</f>
        <v>114</v>
      </c>
      <c r="C9" s="992" t="str">
        <f t="shared" ca="1" si="1"/>
        <v>C3295</v>
      </c>
      <c r="D9" s="993" t="str">
        <f t="shared" ca="1" si="2"/>
        <v>Nẹp kính vuông cho kính 5-10mm hệ 55</v>
      </c>
      <c r="E9" s="993" t="str">
        <f t="shared" ca="1" si="3"/>
        <v>Xám ghi</v>
      </c>
      <c r="F9" s="992" t="str">
        <f t="shared" ca="1" si="0"/>
        <v>Đứng</v>
      </c>
      <c r="G9" s="994">
        <f t="shared" ca="1" si="4"/>
        <v>1977</v>
      </c>
      <c r="H9" s="913">
        <f t="shared" ca="1" si="5"/>
        <v>2</v>
      </c>
      <c r="I9" s="913">
        <f t="shared" ca="1" si="6"/>
        <v>7908</v>
      </c>
      <c r="J9" s="995">
        <f t="shared" ca="1" si="7"/>
        <v>0</v>
      </c>
      <c r="K9" s="913">
        <f t="shared" ca="1" si="8"/>
        <v>7908</v>
      </c>
      <c r="L9" s="995">
        <f t="shared" ca="1" si="9"/>
        <v>0</v>
      </c>
      <c r="M9" s="913">
        <f t="shared" ca="1" si="10"/>
        <v>28.95</v>
      </c>
      <c r="N9" s="996">
        <f t="shared" ca="1" si="11"/>
        <v>228937</v>
      </c>
      <c r="O9" s="997">
        <f t="shared" ca="1" si="12"/>
        <v>228937</v>
      </c>
      <c r="P9" s="1015" t="str">
        <f ca="1">IF($C9="","",INDEX(NVLSX!$N$2:$N$6941,MATCH($C9,NVLSX!$E$2:$E$6941,0)))</f>
        <v>PR</v>
      </c>
      <c r="Q9" s="1016" t="str">
        <f ca="1">IF($R9="","",IF(XKNVLSX!$X$1="",IF($P9=$V$7,$P9, IF(COUNTIFS($C$2:$C8,$C9,$E$2:$E8,$E9)&gt;=1,"",$P9)),     IF(AND(IFERROR(SEARCH($R9,XKNVLSX!$X$1,1),0)&gt;=1,$P9=$V$7),$P9, IF(OR($R9&lt;&gt;IF(IFERROR(SEARCH($R9,XKNVLSX!$X$1,1),0)&gt;=1,$R9,XKNVLSX!$X$1),COUNTIFS($C$2:$C8,$C9,$E$2:$E8,$E9,$Q$2:$Q8,$P9)&gt;=1),"",$P9))))</f>
        <v/>
      </c>
      <c r="R9" s="1017">
        <f ca="1">IF($A9="","",IFERROR(INDEX(TinhGia!$BF$10:$BF$81,MATCH($A9,TinhGia!$B$10:$B$81,0)),""))</f>
        <v>1</v>
      </c>
      <c r="S9" s="1012" t="str">
        <f ca="1">IF($A9="","",IF(OR(IFERROR(SEARCH($R9,XKNVLSX!$X$1,1),0)&gt;=1,XKNVLSX!$X$1=""),$S$2,""))</f>
        <v>XKNVLSX</v>
      </c>
      <c r="T9" s="1018" t="str">
        <f ca="1">IF($C9="","", IF(OR($P9=$V$1,$P9=$V$7,COUNTIFS($C$3:$C9,$C9,$E$3:$E9,$E9)&lt;=1),$P9,""    ))</f>
        <v/>
      </c>
      <c r="U9" s="1019" t="str">
        <f ca="1">IF(AND($P9=$V$2,COUNTIFS($C$3:$C9,$C9,$E$3:$E9,$E9,$G$3:$G9,$G9)&lt;=1),$P9,"")</f>
        <v>PR</v>
      </c>
    </row>
    <row r="10" spans="1:23">
      <c r="A10" s="991" t="str">
        <f ca="1">IFERROR(IF(COUNTIF($A$3:A9,A9)&lt; INDEX(TinhGia!$BH$10:$BH$81,MATCH($A9,TinhGia!$B$10:$B$81,0)),$A9,INDEX(TinhGia!$B$10:$B$81,MATCH($A9,TinhGia!$B$10:$B$81,0)+1)),"")</f>
        <v>MauKoXoa</v>
      </c>
      <c r="B10" s="525">
        <f ca="1">IF(OR(A10="",A10=0),"",IF(COUNTIF($A$2:A10,$A10)=1,ROW(MauKoXoa!$C$108),$B9+1))</f>
        <v>115</v>
      </c>
      <c r="C10" s="992" t="str">
        <f t="shared" ca="1" si="1"/>
        <v>CZM23A</v>
      </c>
      <c r="D10" s="993" t="str">
        <f t="shared" ca="1" si="2"/>
        <v>Door Handle/Tay nắm cửa đi mở quay</v>
      </c>
      <c r="E10" s="993" t="str">
        <f t="shared" ca="1" si="3"/>
        <v>Xám ghi</v>
      </c>
      <c r="F10" s="992" t="str">
        <f t="shared" ca="1" si="0"/>
        <v>Bộ</v>
      </c>
      <c r="G10" s="994">
        <f t="shared" ca="1" si="4"/>
        <v>0</v>
      </c>
      <c r="H10" s="913">
        <f t="shared" ca="1" si="5"/>
        <v>1</v>
      </c>
      <c r="I10" s="913">
        <f t="shared" ca="1" si="6"/>
        <v>2</v>
      </c>
      <c r="J10" s="995">
        <f t="shared" ca="1" si="7"/>
        <v>0</v>
      </c>
      <c r="K10" s="913">
        <f t="shared" ca="1" si="8"/>
        <v>2</v>
      </c>
      <c r="L10" s="995">
        <f t="shared" ca="1" si="9"/>
        <v>0</v>
      </c>
      <c r="M10" s="913">
        <f t="shared" ca="1" si="10"/>
        <v>135000</v>
      </c>
      <c r="N10" s="996">
        <f t="shared" ca="1" si="11"/>
        <v>270000</v>
      </c>
      <c r="O10" s="997">
        <f t="shared" ca="1" si="12"/>
        <v>270000</v>
      </c>
      <c r="P10" s="1015" t="str">
        <f ca="1">IF($C10="","",INDEX(NVLSX!$N$2:$N$6941,MATCH($C10,NVLSX!$E$2:$E$6941,0)))</f>
        <v>PK</v>
      </c>
      <c r="Q10" s="1016" t="str">
        <f ca="1">IF($R10="","",IF(XKNVLSX!$X$1="",IF($P10=$V$7,$P10, IF(COUNTIFS($C$2:$C9,$C10,$E$2:$E9,$E10)&gt;=1,"",$P10)),     IF(AND(IFERROR(SEARCH($R10,XKNVLSX!$X$1,1),0)&gt;=1,$P10=$V$7),$P10, IF(OR($R10&lt;&gt;IF(IFERROR(SEARCH($R10,XKNVLSX!$X$1,1),0)&gt;=1,$R10,XKNVLSX!$X$1),COUNTIFS($C$2:$C9,$C10,$E$2:$E9,$E10,$Q$2:$Q9,$P10)&gt;=1),"",$P10))))</f>
        <v>PK</v>
      </c>
      <c r="R10" s="1017">
        <f ca="1">IF($A10="","",IFERROR(INDEX(TinhGia!$BF$10:$BF$81,MATCH($A10,TinhGia!$B$10:$B$81,0)),""))</f>
        <v>1</v>
      </c>
      <c r="S10" s="1012" t="str">
        <f ca="1">IF($A10="","",IF(OR(IFERROR(SEARCH($R10,XKNVLSX!$X$1,1),0)&gt;=1,XKNVLSX!$X$1=""),$S$2,""))</f>
        <v>XKNVLSX</v>
      </c>
      <c r="T10" s="1018" t="str">
        <f ca="1">IF($C10="","", IF(OR($P10=$V$1,$P10=$V$7,COUNTIFS($C$3:$C10,$C10,$E$3:$E10,$E10)&lt;=1),$P10,""    ))</f>
        <v>PK</v>
      </c>
      <c r="U10" s="1019" t="str">
        <f ca="1">IF(AND($P10=$V$2,COUNTIFS($C$3:$C10,$C10,$E$3:$E10,$E10,$G$3:$G10,$G10)&lt;=1),$P10,"")</f>
        <v/>
      </c>
    </row>
    <row r="11" spans="1:23">
      <c r="A11" s="991" t="str">
        <f ca="1">IFERROR(IF(COUNTIF($A$3:A10,A10)&lt; INDEX(TinhGia!$BH$10:$BH$81,MATCH($A10,TinhGia!$B$10:$B$81,0)),$A10,INDEX(TinhGia!$B$10:$B$81,MATCH($A10,TinhGia!$B$10:$B$81,0)+1)),"")</f>
        <v>MauKoXoa</v>
      </c>
      <c r="B11" s="525">
        <f ca="1">IF(OR(A11="",A11=0),"",IF(COUNTIF($A$2:A11,$A11)=1,ROW(MauKoXoa!$C$108),$B10+1))</f>
        <v>116</v>
      </c>
      <c r="C11" s="992" t="str">
        <f t="shared" ca="1" si="1"/>
        <v>47/30A</v>
      </c>
      <c r="D11" s="993" t="str">
        <f t="shared" ca="1" si="2"/>
        <v>Cylinder/ Lõi khóa 2 đầu chìa</v>
      </c>
      <c r="E11" s="993" t="str">
        <f t="shared" ca="1" si="3"/>
        <v>T/C</v>
      </c>
      <c r="F11" s="992" t="str">
        <f t="shared" ca="1" si="0"/>
        <v>Cái</v>
      </c>
      <c r="G11" s="994">
        <f t="shared" ca="1" si="4"/>
        <v>0</v>
      </c>
      <c r="H11" s="913">
        <f t="shared" ca="1" si="5"/>
        <v>1</v>
      </c>
      <c r="I11" s="913">
        <f t="shared" ca="1" si="6"/>
        <v>2</v>
      </c>
      <c r="J11" s="995">
        <f t="shared" ca="1" si="7"/>
        <v>0</v>
      </c>
      <c r="K11" s="913">
        <f t="shared" ca="1" si="8"/>
        <v>2</v>
      </c>
      <c r="L11" s="995">
        <f t="shared" ca="1" si="9"/>
        <v>0</v>
      </c>
      <c r="M11" s="913">
        <f t="shared" ca="1" si="10"/>
        <v>140000</v>
      </c>
      <c r="N11" s="996">
        <f t="shared" ca="1" si="11"/>
        <v>280000</v>
      </c>
      <c r="O11" s="997">
        <f t="shared" ca="1" si="12"/>
        <v>280000</v>
      </c>
      <c r="P11" s="1015" t="str">
        <f ca="1">IF($C11="","",INDEX(NVLSX!$N$2:$N$6941,MATCH($C11,NVLSX!$E$2:$E$6941,0)))</f>
        <v>PK</v>
      </c>
      <c r="Q11" s="1016" t="str">
        <f ca="1">IF($R11="","",IF(XKNVLSX!$X$1="",IF($P11=$V$7,$P11, IF(COUNTIFS($C$2:$C10,$C11,$E$2:$E10,$E11)&gt;=1,"",$P11)),     IF(AND(IFERROR(SEARCH($R11,XKNVLSX!$X$1,1),0)&gt;=1,$P11=$V$7),$P11, IF(OR($R11&lt;&gt;IF(IFERROR(SEARCH($R11,XKNVLSX!$X$1,1),0)&gt;=1,$R11,XKNVLSX!$X$1),COUNTIFS($C$2:$C10,$C11,$E$2:$E10,$E11,$Q$2:$Q10,$P11)&gt;=1),"",$P11))))</f>
        <v>PK</v>
      </c>
      <c r="R11" s="1017">
        <f ca="1">IF($A11="","",IFERROR(INDEX(TinhGia!$BF$10:$BF$81,MATCH($A11,TinhGia!$B$10:$B$81,0)),""))</f>
        <v>1</v>
      </c>
      <c r="S11" s="1012" t="str">
        <f ca="1">IF($A11="","",IF(OR(IFERROR(SEARCH($R11,XKNVLSX!$X$1,1),0)&gt;=1,XKNVLSX!$X$1=""),$S$2,""))</f>
        <v>XKNVLSX</v>
      </c>
      <c r="T11" s="1018" t="str">
        <f ca="1">IF($C11="","", IF(OR($P11=$V$1,$P11=$V$7,COUNTIFS($C$3:$C11,$C11,$E$3:$E11,$E11)&lt;=1),$P11,""    ))</f>
        <v>PK</v>
      </c>
      <c r="U11" s="1019" t="str">
        <f ca="1">IF(AND($P11=$V$2,COUNTIFS($C$3:$C11,$C11,$E$3:$E11,$E11,$G$3:$G11,$G11)&lt;=1),$P11,"")</f>
        <v/>
      </c>
    </row>
    <row r="12" spans="1:23">
      <c r="A12" s="991" t="str">
        <f ca="1">IFERROR(IF(COUNTIF($A$3:A11,A11)&lt; INDEX(TinhGia!$BH$10:$BH$81,MATCH($A11,TinhGia!$B$10:$B$81,0)),$A11,INDEX(TinhGia!$B$10:$B$81,MATCH($A11,TinhGia!$B$10:$B$81,0)+1)),"")</f>
        <v>MauKoXoa</v>
      </c>
      <c r="B12" s="525">
        <f ca="1">IF(OR(A12="",A12=0),"",IF(COUNTIF($A$2:A12,$A12)=1,ROW(MauKoXoa!$C$108),$B11+1))</f>
        <v>117</v>
      </c>
      <c r="C12" s="992" t="str">
        <f t="shared" ca="1" si="1"/>
        <v>3085E</v>
      </c>
      <c r="D12" s="993" t="str">
        <f t="shared" ca="1" si="2"/>
        <v>Thân khoá đa điểm</v>
      </c>
      <c r="E12" s="993" t="str">
        <f t="shared" ca="1" si="3"/>
        <v>T/C</v>
      </c>
      <c r="F12" s="992" t="str">
        <f t="shared" ca="1" si="0"/>
        <v>Cái</v>
      </c>
      <c r="G12" s="994">
        <f t="shared" ca="1" si="4"/>
        <v>0</v>
      </c>
      <c r="H12" s="913">
        <f t="shared" ca="1" si="5"/>
        <v>1</v>
      </c>
      <c r="I12" s="913">
        <f t="shared" ca="1" si="6"/>
        <v>2</v>
      </c>
      <c r="J12" s="995">
        <f t="shared" ca="1" si="7"/>
        <v>0</v>
      </c>
      <c r="K12" s="913">
        <f t="shared" ca="1" si="8"/>
        <v>2</v>
      </c>
      <c r="L12" s="995">
        <f t="shared" ca="1" si="9"/>
        <v>0</v>
      </c>
      <c r="M12" s="913">
        <f t="shared" ca="1" si="10"/>
        <v>185000</v>
      </c>
      <c r="N12" s="996">
        <f t="shared" ca="1" si="11"/>
        <v>370000</v>
      </c>
      <c r="O12" s="997">
        <f t="shared" ca="1" si="12"/>
        <v>370000</v>
      </c>
      <c r="P12" s="1015" t="str">
        <f ca="1">IF($C12="","",INDEX(NVLSX!$N$2:$N$6941,MATCH($C12,NVLSX!$E$2:$E$6941,0)))</f>
        <v>PK</v>
      </c>
      <c r="Q12" s="1016" t="str">
        <f ca="1">IF($R12="","",IF(XKNVLSX!$X$1="",IF($P12=$V$7,$P12, IF(COUNTIFS($C$2:$C11,$C12,$E$2:$E11,$E12)&gt;=1,"",$P12)),     IF(AND(IFERROR(SEARCH($R12,XKNVLSX!$X$1,1),0)&gt;=1,$P12=$V$7),$P12, IF(OR($R12&lt;&gt;IF(IFERROR(SEARCH($R12,XKNVLSX!$X$1,1),0)&gt;=1,$R12,XKNVLSX!$X$1),COUNTIFS($C$2:$C11,$C12,$E$2:$E11,$E12,$Q$2:$Q11,$P12)&gt;=1),"",$P12))))</f>
        <v>PK</v>
      </c>
      <c r="R12" s="1017">
        <f ca="1">IF($A12="","",IFERROR(INDEX(TinhGia!$BF$10:$BF$81,MATCH($A12,TinhGia!$B$10:$B$81,0)),""))</f>
        <v>1</v>
      </c>
      <c r="S12" s="1012" t="str">
        <f ca="1">IF($A12="","",IF(OR(IFERROR(SEARCH($R12,XKNVLSX!$X$1,1),0)&gt;=1,XKNVLSX!$X$1=""),$S$2,""))</f>
        <v>XKNVLSX</v>
      </c>
      <c r="T12" s="1018" t="str">
        <f ca="1">IF($C12="","", IF(OR($P12=$V$1,$P12=$V$7,COUNTIFS($C$3:$C12,$C12,$E$3:$E12,$E12)&lt;=1),$P12,""    ))</f>
        <v>PK</v>
      </c>
      <c r="U12" s="1019" t="str">
        <f ca="1">IF(AND($P12=$V$2,COUNTIFS($C$3:$C12,$C12,$E$3:$E12,$E12,$G$3:$G12,$G12)&lt;=1),$P12,"")</f>
        <v/>
      </c>
    </row>
    <row r="13" spans="1:23">
      <c r="A13" s="991" t="str">
        <f ca="1">IFERROR(IF(COUNTIF($A$3:A12,A12)&lt; INDEX(TinhGia!$BH$10:$BH$81,MATCH($A12,TinhGia!$B$10:$B$81,0)),$A12,INDEX(TinhGia!$B$10:$B$81,MATCH($A12,TinhGia!$B$10:$B$81,0)+1)),"")</f>
        <v>MauKoXoa</v>
      </c>
      <c r="B13" s="525">
        <f ca="1">IF(OR(A13="",A13=0),"",IF(COUNTIF($A$2:A13,$A13)=1,ROW(MauKoXoa!$C$108),$B12+1))</f>
        <v>118</v>
      </c>
      <c r="C13" s="992" t="str">
        <f t="shared" ca="1" si="1"/>
        <v>CL09-8</v>
      </c>
      <c r="D13" s="993" t="str">
        <f t="shared" ca="1" si="2"/>
        <v>Đầu khóa biên cao 8mm</v>
      </c>
      <c r="E13" s="993" t="str">
        <f t="shared" ca="1" si="3"/>
        <v>T/C</v>
      </c>
      <c r="F13" s="992" t="str">
        <f t="shared" ca="1" si="0"/>
        <v>Cái</v>
      </c>
      <c r="G13" s="994">
        <f t="shared" ca="1" si="4"/>
        <v>0</v>
      </c>
      <c r="H13" s="913">
        <f t="shared" ca="1" si="5"/>
        <v>2</v>
      </c>
      <c r="I13" s="913">
        <f t="shared" ca="1" si="6"/>
        <v>4</v>
      </c>
      <c r="J13" s="995">
        <f t="shared" ca="1" si="7"/>
        <v>0</v>
      </c>
      <c r="K13" s="913">
        <f t="shared" ca="1" si="8"/>
        <v>4</v>
      </c>
      <c r="L13" s="995">
        <f t="shared" ca="1" si="9"/>
        <v>0</v>
      </c>
      <c r="M13" s="913">
        <f t="shared" ca="1" si="10"/>
        <v>17000</v>
      </c>
      <c r="N13" s="996">
        <f t="shared" ca="1" si="11"/>
        <v>68000</v>
      </c>
      <c r="O13" s="997">
        <f t="shared" ca="1" si="12"/>
        <v>68000</v>
      </c>
      <c r="P13" s="1015" t="str">
        <f ca="1">IF($C13="","",INDEX(NVLSX!$N$2:$N$6941,MATCH($C13,NVLSX!$E$2:$E$6941,0)))</f>
        <v>PK</v>
      </c>
      <c r="Q13" s="1016" t="str">
        <f ca="1">IF($R13="","",IF(XKNVLSX!$X$1="",IF($P13=$V$7,$P13, IF(COUNTIFS($C$2:$C12,$C13,$E$2:$E12,$E13)&gt;=1,"",$P13)),     IF(AND(IFERROR(SEARCH($R13,XKNVLSX!$X$1,1),0)&gt;=1,$P13=$V$7),$P13, IF(OR($R13&lt;&gt;IF(IFERROR(SEARCH($R13,XKNVLSX!$X$1,1),0)&gt;=1,$R13,XKNVLSX!$X$1),COUNTIFS($C$2:$C12,$C13,$E$2:$E12,$E13,$Q$2:$Q12,$P13)&gt;=1),"",$P13))))</f>
        <v>PK</v>
      </c>
      <c r="R13" s="1017">
        <f ca="1">IF($A13="","",IFERROR(INDEX(TinhGia!$BF$10:$BF$81,MATCH($A13,TinhGia!$B$10:$B$81,0)),""))</f>
        <v>1</v>
      </c>
      <c r="S13" s="1012" t="str">
        <f ca="1">IF($A13="","",IF(OR(IFERROR(SEARCH($R13,XKNVLSX!$X$1,1),0)&gt;=1,XKNVLSX!$X$1=""),$S$2,""))</f>
        <v>XKNVLSX</v>
      </c>
      <c r="T13" s="1018" t="str">
        <f ca="1">IF($C13="","", IF(OR($P13=$V$1,$P13=$V$7,COUNTIFS($C$3:$C13,$C13,$E$3:$E13,$E13)&lt;=1),$P13,""    ))</f>
        <v>PK</v>
      </c>
      <c r="U13" s="1019" t="str">
        <f ca="1">IF(AND($P13=$V$2,COUNTIFS($C$3:$C13,$C13,$E$3:$E13,$E13,$G$3:$G13,$G13)&lt;=1),$P13,"")</f>
        <v/>
      </c>
    </row>
    <row r="14" spans="1:23">
      <c r="A14" s="991" t="str">
        <f ca="1">IFERROR(IF(COUNTIF($A$3:A13,A13)&lt; INDEX(TinhGia!$BH$10:$BH$81,MATCH($A13,TinhGia!$B$10:$B$81,0)),$A13,INDEX(TinhGia!$B$10:$B$81,MATCH($A13,TinhGia!$B$10:$B$81,0)+1)),"")</f>
        <v>MauKoXoa</v>
      </c>
      <c r="B14" s="525">
        <f ca="1">IF(OR(A14="",A14=0),"",IF(COUNTIF($A$2:A14,$A14)=1,ROW(MauKoXoa!$C$108),$B13+1))</f>
        <v>119</v>
      </c>
      <c r="C14" s="992" t="str">
        <f t="shared" ca="1" si="1"/>
        <v>CKG23</v>
      </c>
      <c r="D14" s="993" t="str">
        <f t="shared" ca="1" si="2"/>
        <v>Vấu hãm cửa 1 cánh</v>
      </c>
      <c r="E14" s="993" t="str">
        <f t="shared" ca="1" si="3"/>
        <v>T/C</v>
      </c>
      <c r="F14" s="992" t="str">
        <f t="shared" ca="1" si="0"/>
        <v>Cái</v>
      </c>
      <c r="G14" s="994">
        <f t="shared" ca="1" si="4"/>
        <v>0</v>
      </c>
      <c r="H14" s="913">
        <f t="shared" ca="1" si="5"/>
        <v>2</v>
      </c>
      <c r="I14" s="913">
        <f t="shared" ca="1" si="6"/>
        <v>4</v>
      </c>
      <c r="J14" s="995">
        <f t="shared" ca="1" si="7"/>
        <v>0</v>
      </c>
      <c r="K14" s="913">
        <f t="shared" ca="1" si="8"/>
        <v>4</v>
      </c>
      <c r="L14" s="995">
        <f t="shared" ca="1" si="9"/>
        <v>0</v>
      </c>
      <c r="M14" s="913">
        <f t="shared" ca="1" si="10"/>
        <v>6500</v>
      </c>
      <c r="N14" s="996">
        <f t="shared" ca="1" si="11"/>
        <v>26000</v>
      </c>
      <c r="O14" s="997">
        <f t="shared" ca="1" si="12"/>
        <v>26000</v>
      </c>
      <c r="P14" s="1015" t="str">
        <f ca="1">IF($C14="","",INDEX(NVLSX!$N$2:$N$6941,MATCH($C14,NVLSX!$E$2:$E$6941,0)))</f>
        <v>PK</v>
      </c>
      <c r="Q14" s="1016" t="str">
        <f ca="1">IF($R14="","",IF(XKNVLSX!$X$1="",IF($P14=$V$7,$P14, IF(COUNTIFS($C$2:$C13,$C14,$E$2:$E13,$E14)&gt;=1,"",$P14)),     IF(AND(IFERROR(SEARCH($R14,XKNVLSX!$X$1,1),0)&gt;=1,$P14=$V$7),$P14, IF(OR($R14&lt;&gt;IF(IFERROR(SEARCH($R14,XKNVLSX!$X$1,1),0)&gt;=1,$R14,XKNVLSX!$X$1),COUNTIFS($C$2:$C13,$C14,$E$2:$E13,$E14,$Q$2:$Q13,$P14)&gt;=1),"",$P14))))</f>
        <v>PK</v>
      </c>
      <c r="R14" s="1017">
        <f ca="1">IF($A14="","",IFERROR(INDEX(TinhGia!$BF$10:$BF$81,MATCH($A14,TinhGia!$B$10:$B$81,0)),""))</f>
        <v>1</v>
      </c>
      <c r="S14" s="1012" t="str">
        <f ca="1">IF($A14="","",IF(OR(IFERROR(SEARCH($R14,XKNVLSX!$X$1,1),0)&gt;=1,XKNVLSX!$X$1=""),$S$2,""))</f>
        <v>XKNVLSX</v>
      </c>
      <c r="T14" s="1018" t="str">
        <f ca="1">IF($C14="","", IF(OR($P14=$V$1,$P14=$V$7,COUNTIFS($C$3:$C14,$C14,$E$3:$E14,$E14)&lt;=1),$P14,""    ))</f>
        <v>PK</v>
      </c>
      <c r="U14" s="1019" t="str">
        <f ca="1">IF(AND($P14=$V$2,COUNTIFS($C$3:$C14,$C14,$E$3:$E14,$E14,$G$3:$G14,$G14)&lt;=1),$P14,"")</f>
        <v/>
      </c>
    </row>
    <row r="15" spans="1:23">
      <c r="A15" s="991" t="str">
        <f ca="1">IFERROR(IF(COUNTIF($A$3:A14,A14)&lt; INDEX(TinhGia!$BH$10:$BH$81,MATCH($A14,TinhGia!$B$10:$B$81,0)),$A14,INDEX(TinhGia!$B$10:$B$81,MATCH($A14,TinhGia!$B$10:$B$81,0)+1)),"")</f>
        <v>MauKoXoa</v>
      </c>
      <c r="B15" s="525">
        <f ca="1">IF(OR(A15="",A15=0),"",IF(COUNTIF($A$2:A15,$A15)=1,ROW(MauKoXoa!$C$108),$B14+1))</f>
        <v>120</v>
      </c>
      <c r="C15" s="992" t="str">
        <f t="shared" ca="1" si="1"/>
        <v>C459</v>
      </c>
      <c r="D15" s="993" t="str">
        <f t="shared" ca="1" si="2"/>
        <v>Thanh truyền khóa cửa đi, cửa sổ hệ 55</v>
      </c>
      <c r="E15" s="993" t="str">
        <f t="shared" ca="1" si="3"/>
        <v>T/C</v>
      </c>
      <c r="F15" s="992" t="str">
        <f t="shared" ca="1" si="0"/>
        <v>mm</v>
      </c>
      <c r="G15" s="994">
        <f t="shared" ca="1" si="4"/>
        <v>1972</v>
      </c>
      <c r="H15" s="913">
        <f t="shared" ca="1" si="5"/>
        <v>1</v>
      </c>
      <c r="I15" s="913">
        <f t="shared" ca="1" si="6"/>
        <v>3944</v>
      </c>
      <c r="J15" s="995">
        <f t="shared" ca="1" si="7"/>
        <v>0</v>
      </c>
      <c r="K15" s="913">
        <f t="shared" ca="1" si="8"/>
        <v>3944</v>
      </c>
      <c r="L15" s="995">
        <f t="shared" ca="1" si="9"/>
        <v>0</v>
      </c>
      <c r="M15" s="913">
        <f t="shared" ca="1" si="10"/>
        <v>14.85</v>
      </c>
      <c r="N15" s="996">
        <f t="shared" ca="1" si="11"/>
        <v>58568</v>
      </c>
      <c r="O15" s="997">
        <f t="shared" ca="1" si="12"/>
        <v>58568</v>
      </c>
      <c r="P15" s="1015" t="str">
        <f ca="1">IF($C15="","",INDEX(NVLSX!$N$2:$N$6941,MATCH($C15,NVLSX!$E$2:$E$6941,0)))</f>
        <v>PR</v>
      </c>
      <c r="Q15" s="1016" t="str">
        <f ca="1">IF($R15="","",IF(XKNVLSX!$X$1="",IF($P15=$V$7,$P15, IF(COUNTIFS($C$2:$C14,$C15,$E$2:$E14,$E15)&gt;=1,"",$P15)),     IF(AND(IFERROR(SEARCH($R15,XKNVLSX!$X$1,1),0)&gt;=1,$P15=$V$7),$P15, IF(OR($R15&lt;&gt;IF(IFERROR(SEARCH($R15,XKNVLSX!$X$1,1),0)&gt;=1,$R15,XKNVLSX!$X$1),COUNTIFS($C$2:$C14,$C15,$E$2:$E14,$E15,$Q$2:$Q14,$P15)&gt;=1),"",$P15))))</f>
        <v>PR</v>
      </c>
      <c r="R15" s="1017">
        <f ca="1">IF($A15="","",IFERROR(INDEX(TinhGia!$BF$10:$BF$81,MATCH($A15,TinhGia!$B$10:$B$81,0)),""))</f>
        <v>1</v>
      </c>
      <c r="S15" s="1012" t="str">
        <f ca="1">IF($A15="","",IF(OR(IFERROR(SEARCH($R15,XKNVLSX!$X$1,1),0)&gt;=1,XKNVLSX!$X$1=""),$S$2,""))</f>
        <v>XKNVLSX</v>
      </c>
      <c r="T15" s="1018" t="str">
        <f ca="1">IF($C15="","", IF(OR($P15=$V$1,$P15=$V$7,COUNTIFS($C$3:$C15,$C15,$E$3:$E15,$E15)&lt;=1),$P15,""    ))</f>
        <v>PR</v>
      </c>
      <c r="U15" s="1019" t="str">
        <f ca="1">IF(AND($P15=$V$2,COUNTIFS($C$3:$C15,$C15,$E$3:$E15,$E15,$G$3:$G15,$G15)&lt;=1),$P15,"")</f>
        <v>PR</v>
      </c>
    </row>
    <row r="16" spans="1:23">
      <c r="A16" s="991" t="str">
        <f ca="1">IFERROR(IF(COUNTIF($A$3:A15,A15)&lt; INDEX(TinhGia!$BH$10:$BH$81,MATCH($A15,TinhGia!$B$10:$B$81,0)),$A15,INDEX(TinhGia!$B$10:$B$81,MATCH($A15,TinhGia!$B$10:$B$81,0)+1)),"")</f>
        <v>MauKoXoa</v>
      </c>
      <c r="B16" s="525">
        <f ca="1">IF(OR(A16="",A16=0),"",IF(COUNTIF($A$2:A16,$A16)=1,ROW(MauKoXoa!$C$108),$B15+1))</f>
        <v>121</v>
      </c>
      <c r="C16" s="992" t="str">
        <f t="shared" ca="1" si="1"/>
        <v>CZMK01</v>
      </c>
      <c r="D16" s="993" t="str">
        <f t="shared" ca="1" si="2"/>
        <v>Miệng khoá cửa đi 1 cánh</v>
      </c>
      <c r="E16" s="993" t="str">
        <f t="shared" ca="1" si="3"/>
        <v>T/C</v>
      </c>
      <c r="F16" s="992" t="str">
        <f t="shared" ca="1" si="0"/>
        <v>Cái</v>
      </c>
      <c r="G16" s="994">
        <f t="shared" ca="1" si="4"/>
        <v>0</v>
      </c>
      <c r="H16" s="913">
        <f t="shared" ca="1" si="5"/>
        <v>1</v>
      </c>
      <c r="I16" s="913">
        <f t="shared" ca="1" si="6"/>
        <v>2</v>
      </c>
      <c r="J16" s="995">
        <f t="shared" ca="1" si="7"/>
        <v>0</v>
      </c>
      <c r="K16" s="913">
        <f t="shared" ca="1" si="8"/>
        <v>2</v>
      </c>
      <c r="L16" s="995">
        <f t="shared" ca="1" si="9"/>
        <v>0</v>
      </c>
      <c r="M16" s="913">
        <f t="shared" ca="1" si="10"/>
        <v>26000</v>
      </c>
      <c r="N16" s="996">
        <f t="shared" ca="1" si="11"/>
        <v>52000</v>
      </c>
      <c r="O16" s="997">
        <f t="shared" ca="1" si="12"/>
        <v>52000</v>
      </c>
      <c r="P16" s="1015" t="str">
        <f ca="1">IF($C16="","",INDEX(NVLSX!$N$2:$N$6941,MATCH($C16,NVLSX!$E$2:$E$6941,0)))</f>
        <v>PK</v>
      </c>
      <c r="Q16" s="1016" t="str">
        <f ca="1">IF($R16="","",IF(XKNVLSX!$X$1="",IF($P16=$V$7,$P16, IF(COUNTIFS($C$2:$C15,$C16,$E$2:$E15,$E16)&gt;=1,"",$P16)),     IF(AND(IFERROR(SEARCH($R16,XKNVLSX!$X$1,1),0)&gt;=1,$P16=$V$7),$P16, IF(OR($R16&lt;&gt;IF(IFERROR(SEARCH($R16,XKNVLSX!$X$1,1),0)&gt;=1,$R16,XKNVLSX!$X$1),COUNTIFS($C$2:$C15,$C16,$E$2:$E15,$E16,$Q$2:$Q15,$P16)&gt;=1),"",$P16))))</f>
        <v>PK</v>
      </c>
      <c r="R16" s="1017">
        <f ca="1">IF($A16="","",IFERROR(INDEX(TinhGia!$BF$10:$BF$81,MATCH($A16,TinhGia!$B$10:$B$81,0)),""))</f>
        <v>1</v>
      </c>
      <c r="S16" s="1012" t="str">
        <f ca="1">IF($A16="","",IF(OR(IFERROR(SEARCH($R16,XKNVLSX!$X$1,1),0)&gt;=1,XKNVLSX!$X$1=""),$S$2,""))</f>
        <v>XKNVLSX</v>
      </c>
      <c r="T16" s="1018" t="str">
        <f ca="1">IF($C16="","", IF(OR($P16=$V$1,$P16=$V$7,COUNTIFS($C$3:$C16,$C16,$E$3:$E16,$E16)&lt;=1),$P16,""    ))</f>
        <v>PK</v>
      </c>
      <c r="U16" s="1019" t="str">
        <f ca="1">IF(AND($P16=$V$2,COUNTIFS($C$3:$C16,$C16,$E$3:$E16,$E16,$G$3:$G16,$G16)&lt;=1),$P16,"")</f>
        <v/>
      </c>
    </row>
    <row r="17" spans="1:21">
      <c r="A17" s="991" t="str">
        <f ca="1">IFERROR(IF(COUNTIF($A$3:A16,A16)&lt; INDEX(TinhGia!$BH$10:$BH$81,MATCH($A16,TinhGia!$B$10:$B$81,0)),$A16,INDEX(TinhGia!$B$10:$B$81,MATCH($A16,TinhGia!$B$10:$B$81,0)+1)),"")</f>
        <v>MauKoXoa</v>
      </c>
      <c r="B17" s="525">
        <f ca="1">IF(OR(A17="",A17=0),"",IF(COUNTIF($A$2:A17,$A17)=1,ROW(MauKoXoa!$C$108),$B16+1))</f>
        <v>122</v>
      </c>
      <c r="C17" s="992" t="str">
        <f t="shared" ca="1" si="1"/>
        <v>JX112-R</v>
      </c>
      <c r="D17" s="993" t="str">
        <f t="shared" ca="1" si="2"/>
        <v>Hinge/Bản lề khung cánh hệ 55 có chân (3D) - PHẢI</v>
      </c>
      <c r="E17" s="993" t="str">
        <f t="shared" ca="1" si="3"/>
        <v>Xám ghi</v>
      </c>
      <c r="F17" s="992" t="str">
        <f t="shared" ca="1" si="0"/>
        <v>Cái</v>
      </c>
      <c r="G17" s="994">
        <f t="shared" ca="1" si="4"/>
        <v>0</v>
      </c>
      <c r="H17" s="913">
        <f t="shared" ca="1" si="5"/>
        <v>3</v>
      </c>
      <c r="I17" s="913">
        <f t="shared" ca="1" si="6"/>
        <v>6</v>
      </c>
      <c r="J17" s="995">
        <f t="shared" ca="1" si="7"/>
        <v>0</v>
      </c>
      <c r="K17" s="913">
        <f t="shared" ca="1" si="8"/>
        <v>6</v>
      </c>
      <c r="L17" s="995">
        <f t="shared" ca="1" si="9"/>
        <v>0</v>
      </c>
      <c r="M17" s="913">
        <f t="shared" ca="1" si="10"/>
        <v>155000</v>
      </c>
      <c r="N17" s="996">
        <f t="shared" ca="1" si="11"/>
        <v>930000</v>
      </c>
      <c r="O17" s="997">
        <f t="shared" ca="1" si="12"/>
        <v>930000</v>
      </c>
      <c r="P17" s="1015" t="str">
        <f ca="1">IF($C17="","",INDEX(NVLSX!$N$2:$N$6941,MATCH($C17,NVLSX!$E$2:$E$6941,0)))</f>
        <v>PK</v>
      </c>
      <c r="Q17" s="1016" t="str">
        <f ca="1">IF($R17="","",IF(XKNVLSX!$X$1="",IF($P17=$V$7,$P17, IF(COUNTIFS($C$2:$C16,$C17,$E$2:$E16,$E17)&gt;=1,"",$P17)),     IF(AND(IFERROR(SEARCH($R17,XKNVLSX!$X$1,1),0)&gt;=1,$P17=$V$7),$P17, IF(OR($R17&lt;&gt;IF(IFERROR(SEARCH($R17,XKNVLSX!$X$1,1),0)&gt;=1,$R17,XKNVLSX!$X$1),COUNTIFS($C$2:$C16,$C17,$E$2:$E16,$E17,$Q$2:$Q16,$P17)&gt;=1),"",$P17))))</f>
        <v>PK</v>
      </c>
      <c r="R17" s="1017">
        <f ca="1">IF($A17="","",IFERROR(INDEX(TinhGia!$BF$10:$BF$81,MATCH($A17,TinhGia!$B$10:$B$81,0)),""))</f>
        <v>1</v>
      </c>
      <c r="S17" s="1012" t="str">
        <f ca="1">IF($A17="","",IF(OR(IFERROR(SEARCH($R17,XKNVLSX!$X$1,1),0)&gt;=1,XKNVLSX!$X$1=""),$S$2,""))</f>
        <v>XKNVLSX</v>
      </c>
      <c r="T17" s="1018" t="str">
        <f ca="1">IF($C17="","", IF(OR($P17=$V$1,$P17=$V$7,COUNTIFS($C$3:$C17,$C17,$E$3:$E17,$E17)&lt;=1),$P17,""    ))</f>
        <v>PK</v>
      </c>
      <c r="U17" s="1019" t="str">
        <f ca="1">IF(AND($P17=$V$2,COUNTIFS($C$3:$C17,$C17,$E$3:$E17,$E17,$G$3:$G17,$G17)&lt;=1),$P17,"")</f>
        <v/>
      </c>
    </row>
    <row r="18" spans="1:21">
      <c r="A18" s="991" t="str">
        <f ca="1">IFERROR(IF(COUNTIF($A$3:A17,A17)&lt; INDEX(TinhGia!$BH$10:$BH$81,MATCH($A17,TinhGia!$B$10:$B$81,0)),$A17,INDEX(TinhGia!$B$10:$B$81,MATCH($A17,TinhGia!$B$10:$B$81,0)+1)),"")</f>
        <v>MauKoXoa</v>
      </c>
      <c r="B18" s="525">
        <f ca="1">IF(OR(A18="",A18=0),"",IF(COUNTIF($A$2:A18,$A18)=1,ROW(MauKoXoa!$C$108),$B17+1))</f>
        <v>123</v>
      </c>
      <c r="C18" s="992" t="str">
        <f t="shared" ca="1" si="1"/>
        <v>OCCXF</v>
      </c>
      <c r="D18" s="993" t="str">
        <f t="shared" ca="1" si="2"/>
        <v>Ốp chân cánh XF (nẹp liền) (trái + phải)</v>
      </c>
      <c r="E18" s="993" t="str">
        <f t="shared" ca="1" si="3"/>
        <v>Xám ghi</v>
      </c>
      <c r="F18" s="992" t="str">
        <f t="shared" ca="1" si="0"/>
        <v>Cặp</v>
      </c>
      <c r="G18" s="994">
        <f t="shared" ca="1" si="4"/>
        <v>0</v>
      </c>
      <c r="H18" s="913">
        <f t="shared" ca="1" si="5"/>
        <v>1</v>
      </c>
      <c r="I18" s="913">
        <f t="shared" ca="1" si="6"/>
        <v>2</v>
      </c>
      <c r="J18" s="995">
        <f t="shared" ca="1" si="7"/>
        <v>0</v>
      </c>
      <c r="K18" s="913">
        <f t="shared" ca="1" si="8"/>
        <v>2</v>
      </c>
      <c r="L18" s="995">
        <f t="shared" ca="1" si="9"/>
        <v>0</v>
      </c>
      <c r="M18" s="913">
        <f t="shared" ca="1" si="10"/>
        <v>2450</v>
      </c>
      <c r="N18" s="996">
        <f t="shared" ca="1" si="11"/>
        <v>4900</v>
      </c>
      <c r="O18" s="997">
        <f t="shared" ca="1" si="12"/>
        <v>4900</v>
      </c>
      <c r="P18" s="1015" t="str">
        <f ca="1">IF($C18="","",INDEX(NVLSX!$N$2:$N$6941,MATCH($C18,NVLSX!$E$2:$E$6941,0)))</f>
        <v>PK</v>
      </c>
      <c r="Q18" s="1016" t="str">
        <f ca="1">IF($R18="","",IF(XKNVLSX!$X$1="",IF($P18=$V$7,$P18, IF(COUNTIFS($C$2:$C17,$C18,$E$2:$E17,$E18)&gt;=1,"",$P18)),     IF(AND(IFERROR(SEARCH($R18,XKNVLSX!$X$1,1),0)&gt;=1,$P18=$V$7),$P18, IF(OR($R18&lt;&gt;IF(IFERROR(SEARCH($R18,XKNVLSX!$X$1,1),0)&gt;=1,$R18,XKNVLSX!$X$1),COUNTIFS($C$2:$C17,$C18,$E$2:$E17,$E18,$Q$2:$Q17,$P18)&gt;=1),"",$P18))))</f>
        <v>PK</v>
      </c>
      <c r="R18" s="1017">
        <f ca="1">IF($A18="","",IFERROR(INDEX(TinhGia!$BF$10:$BF$81,MATCH($A18,TinhGia!$B$10:$B$81,0)),""))</f>
        <v>1</v>
      </c>
      <c r="S18" s="1012" t="str">
        <f ca="1">IF($A18="","",IF(OR(IFERROR(SEARCH($R18,XKNVLSX!$X$1,1),0)&gt;=1,XKNVLSX!$X$1=""),$S$2,""))</f>
        <v>XKNVLSX</v>
      </c>
      <c r="T18" s="1018" t="str">
        <f ca="1">IF($C18="","", IF(OR($P18=$V$1,$P18=$V$7,COUNTIFS($C$3:$C18,$C18,$E$3:$E18,$E18)&lt;=1),$P18,""    ))</f>
        <v>PK</v>
      </c>
      <c r="U18" s="1019" t="str">
        <f ca="1">IF(AND($P18=$V$2,COUNTIFS($C$3:$C18,$C18,$E$3:$E18,$E18,$G$3:$G18,$G18)&lt;=1),$P18,"")</f>
        <v/>
      </c>
    </row>
    <row r="19" spans="1:21">
      <c r="A19" s="991" t="str">
        <f ca="1">IFERROR(IF(COUNTIF($A$3:A18,A18)&lt; INDEX(TinhGia!$BH$10:$BH$81,MATCH($A18,TinhGia!$B$10:$B$81,0)),$A18,INDEX(TinhGia!$B$10:$B$81,MATCH($A18,TinhGia!$B$10:$B$81,0)+1)),"")</f>
        <v>MauKoXoa</v>
      </c>
      <c r="B19" s="525">
        <f ca="1">IF(OR(A19="",A19=0),"",IF(COUNTIF($A$2:A19,$A19)=1,ROW(MauKoXoa!$C$108),$B18+1))</f>
        <v>124</v>
      </c>
      <c r="C19" s="992" t="str">
        <f t="shared" ca="1" si="1"/>
        <v>GONHOMDORI</v>
      </c>
      <c r="D19" s="993" t="str">
        <f t="shared" ca="1" si="2"/>
        <v>Gioăng khung nhôm XINGFA DORI</v>
      </c>
      <c r="E19" s="993" t="str">
        <f t="shared" ca="1" si="3"/>
        <v>T/C</v>
      </c>
      <c r="F19" s="992" t="str">
        <f t="shared" ca="1" si="0"/>
        <v>mm</v>
      </c>
      <c r="G19" s="994">
        <f t="shared" ca="1" si="4"/>
        <v>0</v>
      </c>
      <c r="H19" s="913">
        <f t="shared" ca="1" si="5"/>
        <v>13600</v>
      </c>
      <c r="I19" s="913">
        <f t="shared" ca="1" si="6"/>
        <v>27200</v>
      </c>
      <c r="J19" s="995">
        <f t="shared" ca="1" si="7"/>
        <v>0.2</v>
      </c>
      <c r="K19" s="913">
        <f t="shared" ca="1" si="8"/>
        <v>32640</v>
      </c>
      <c r="L19" s="995">
        <f t="shared" ca="1" si="9"/>
        <v>0</v>
      </c>
      <c r="M19" s="913">
        <f t="shared" ca="1" si="10"/>
        <v>0.11</v>
      </c>
      <c r="N19" s="996">
        <f t="shared" ca="1" si="11"/>
        <v>3590</v>
      </c>
      <c r="O19" s="997">
        <f t="shared" ca="1" si="12"/>
        <v>3590</v>
      </c>
      <c r="P19" s="1015" t="str">
        <f ca="1">IF($C19="","",INDEX(NVLSX!$N$2:$N$6941,MATCH($C19,NVLSX!$E$2:$E$6941,0)))</f>
        <v>GI</v>
      </c>
      <c r="Q19" s="1016" t="str">
        <f ca="1">IF($R19="","",IF(XKNVLSX!$X$1="",IF($P19=$V$7,$P19, IF(COUNTIFS($C$2:$C18,$C19,$E$2:$E18,$E19)&gt;=1,"",$P19)),     IF(AND(IFERROR(SEARCH($R19,XKNVLSX!$X$1,1),0)&gt;=1,$P19=$V$7),$P19, IF(OR($R19&lt;&gt;IF(IFERROR(SEARCH($R19,XKNVLSX!$X$1,1),0)&gt;=1,$R19,XKNVLSX!$X$1),COUNTIFS($C$2:$C18,$C19,$E$2:$E18,$E19,$Q$2:$Q18,$P19)&gt;=1),"",$P19))))</f>
        <v>GI</v>
      </c>
      <c r="R19" s="1017">
        <f ca="1">IF($A19="","",IFERROR(INDEX(TinhGia!$BF$10:$BF$81,MATCH($A19,TinhGia!$B$10:$B$81,0)),""))</f>
        <v>1</v>
      </c>
      <c r="S19" s="1012" t="str">
        <f ca="1">IF($A19="","",IF(OR(IFERROR(SEARCH($R19,XKNVLSX!$X$1,1),0)&gt;=1,XKNVLSX!$X$1=""),$S$2,""))</f>
        <v>XKNVLSX</v>
      </c>
      <c r="T19" s="1018" t="str">
        <f ca="1">IF($C19="","", IF(OR($P19=$V$1,$P19=$V$7,COUNTIFS($C$3:$C19,$C19,$E$3:$E19,$E19)&lt;=1),$P19,""    ))</f>
        <v>GI</v>
      </c>
      <c r="U19" s="1019" t="str">
        <f ca="1">IF(AND($P19=$V$2,COUNTIFS($C$3:$C19,$C19,$E$3:$E19,$E19,$G$3:$G19,$G19)&lt;=1),$P19,"")</f>
        <v/>
      </c>
    </row>
    <row r="20" spans="1:21">
      <c r="A20" s="991" t="str">
        <f ca="1">IFERROR(IF(COUNTIF($A$3:A19,A19)&lt; INDEX(TinhGia!$BH$10:$BH$81,MATCH($A19,TinhGia!$B$10:$B$81,0)),$A19,INDEX(TinhGia!$B$10:$B$81,MATCH($A19,TinhGia!$B$10:$B$81,0)+1)),"")</f>
        <v>MauKoXoa</v>
      </c>
      <c r="B20" s="525">
        <f ca="1">IF(OR(A20="",A20=0),"",IF(COUNTIF($A$2:A20,$A20)=1,ROW(MauKoXoa!$C$108),$B19+1))</f>
        <v>125</v>
      </c>
      <c r="C20" s="992" t="str">
        <f t="shared" ca="1" si="1"/>
        <v>Silicone-K</v>
      </c>
      <c r="D20" s="993" t="str">
        <f t="shared" ca="1" si="2"/>
        <v>Silicone KÍNH</v>
      </c>
      <c r="E20" s="993" t="str">
        <f t="shared" ca="1" si="3"/>
        <v>Đen</v>
      </c>
      <c r="F20" s="992" t="str">
        <f t="shared" ca="1" si="0"/>
        <v>Chai</v>
      </c>
      <c r="G20" s="994">
        <f t="shared" ca="1" si="4"/>
        <v>0</v>
      </c>
      <c r="H20" s="913">
        <f t="shared" ca="1" si="5"/>
        <v>1.0857142857142856</v>
      </c>
      <c r="I20" s="913">
        <f t="shared" ca="1" si="6"/>
        <v>2.1714285714285713</v>
      </c>
      <c r="J20" s="995">
        <f t="shared" ca="1" si="7"/>
        <v>0</v>
      </c>
      <c r="K20" s="913">
        <f t="shared" ca="1" si="8"/>
        <v>2.1714285714285713</v>
      </c>
      <c r="L20" s="995">
        <f t="shared" ca="1" si="9"/>
        <v>0</v>
      </c>
      <c r="M20" s="913">
        <f t="shared" ca="1" si="10"/>
        <v>53000</v>
      </c>
      <c r="N20" s="996">
        <f t="shared" ca="1" si="11"/>
        <v>115086</v>
      </c>
      <c r="O20" s="997">
        <f t="shared" ca="1" si="12"/>
        <v>115086</v>
      </c>
      <c r="P20" s="1015" t="str">
        <f ca="1">IF($C20="","",INDEX(NVLSX!$N$2:$N$6941,MATCH($C20,NVLSX!$E$2:$E$6941,0)))</f>
        <v>GI</v>
      </c>
      <c r="Q20" s="1016" t="str">
        <f ca="1">IF($R20="","",IF(XKNVLSX!$X$1="",IF($P20=$V$7,$P20, IF(COUNTIFS($C$2:$C19,$C20,$E$2:$E19,$E20)&gt;=1,"",$P20)),     IF(AND(IFERROR(SEARCH($R20,XKNVLSX!$X$1,1),0)&gt;=1,$P20=$V$7),$P20, IF(OR($R20&lt;&gt;IF(IFERROR(SEARCH($R20,XKNVLSX!$X$1,1),0)&gt;=1,$R20,XKNVLSX!$X$1),COUNTIFS($C$2:$C19,$C20,$E$2:$E19,$E20,$Q$2:$Q19,$P20)&gt;=1),"",$P20))))</f>
        <v>GI</v>
      </c>
      <c r="R20" s="1017">
        <f ca="1">IF($A20="","",IFERROR(INDEX(TinhGia!$BF$10:$BF$81,MATCH($A20,TinhGia!$B$10:$B$81,0)),""))</f>
        <v>1</v>
      </c>
      <c r="S20" s="1012" t="str">
        <f ca="1">IF($A20="","",IF(OR(IFERROR(SEARCH($R20,XKNVLSX!$X$1,1),0)&gt;=1,XKNVLSX!$X$1=""),$S$2,""))</f>
        <v>XKNVLSX</v>
      </c>
      <c r="T20" s="1018" t="str">
        <f ca="1">IF($C20="","", IF(OR($P20=$V$1,$P20=$V$7,COUNTIFS($C$3:$C20,$C20,$E$3:$E20,$E20)&lt;=1),$P20,""    ))</f>
        <v>GI</v>
      </c>
      <c r="U20" s="1019" t="str">
        <f ca="1">IF(AND($P20=$V$2,COUNTIFS($C$3:$C20,$C20,$E$3:$E20,$E20,$G$3:$G20,$G20)&lt;=1),$P20,"")</f>
        <v/>
      </c>
    </row>
    <row r="21" spans="1:21">
      <c r="A21" s="991" t="str">
        <f ca="1">IFERROR(IF(COUNTIF($A$3:A20,A20)&lt; INDEX(TinhGia!$BH$10:$BH$81,MATCH($A20,TinhGia!$B$10:$B$81,0)),$A20,INDEX(TinhGia!$B$10:$B$81,MATCH($A20,TinhGia!$B$10:$B$81,0)+1)),"")</f>
        <v>MauKoXoa</v>
      </c>
      <c r="B21" s="525">
        <f ca="1">IF(OR(A21="",A21=0),"",IF(COUNTIF($A$2:A21,$A21)=1,ROW(MauKoXoa!$C$108),$B20+1))</f>
        <v>126</v>
      </c>
      <c r="C21" s="992" t="str">
        <f t="shared" ca="1" si="1"/>
        <v>5*7</v>
      </c>
      <c r="D21" s="993" t="str">
        <f t="shared" ca="1" si="2"/>
        <v>Lông nheo 5*7</v>
      </c>
      <c r="E21" s="993" t="str">
        <f t="shared" ca="1" si="3"/>
        <v>T/C</v>
      </c>
      <c r="F21" s="992" t="str">
        <f t="shared" ca="1" si="0"/>
        <v>mm</v>
      </c>
      <c r="G21" s="994">
        <f t="shared" ca="1" si="4"/>
        <v>0</v>
      </c>
      <c r="H21" s="913">
        <f t="shared" ca="1" si="5"/>
        <v>3200</v>
      </c>
      <c r="I21" s="913">
        <f t="shared" ca="1" si="6"/>
        <v>6400</v>
      </c>
      <c r="J21" s="995">
        <f t="shared" ca="1" si="7"/>
        <v>0.1</v>
      </c>
      <c r="K21" s="913">
        <f t="shared" ca="1" si="8"/>
        <v>7040.0000000000009</v>
      </c>
      <c r="L21" s="995">
        <f t="shared" ca="1" si="9"/>
        <v>0</v>
      </c>
      <c r="M21" s="913">
        <f t="shared" ca="1" si="10"/>
        <v>6</v>
      </c>
      <c r="N21" s="996">
        <f t="shared" ca="1" si="11"/>
        <v>42240</v>
      </c>
      <c r="O21" s="997">
        <f t="shared" ca="1" si="12"/>
        <v>42240</v>
      </c>
      <c r="P21" s="1015" t="str">
        <f ca="1">IF($C21="","",INDEX(NVLSX!$N$2:$N$6941,MATCH($C21,NVLSX!$E$2:$E$6941,0)))</f>
        <v>GI</v>
      </c>
      <c r="Q21" s="1016" t="str">
        <f ca="1">IF($R21="","",IF(XKNVLSX!$X$1="",IF($P21=$V$7,$P21, IF(COUNTIFS($C$2:$C20,$C21,$E$2:$E20,$E21)&gt;=1,"",$P21)),     IF(AND(IFERROR(SEARCH($R21,XKNVLSX!$X$1,1),0)&gt;=1,$P21=$V$7),$P21, IF(OR($R21&lt;&gt;IF(IFERROR(SEARCH($R21,XKNVLSX!$X$1,1),0)&gt;=1,$R21,XKNVLSX!$X$1),COUNTIFS($C$2:$C20,$C21,$E$2:$E20,$E21,$Q$2:$Q20,$P21)&gt;=1),"",$P21))))</f>
        <v>GI</v>
      </c>
      <c r="R21" s="1017">
        <f ca="1">IF($A21="","",IFERROR(INDEX(TinhGia!$BF$10:$BF$81,MATCH($A21,TinhGia!$B$10:$B$81,0)),""))</f>
        <v>1</v>
      </c>
      <c r="S21" s="1012" t="str">
        <f ca="1">IF($A21="","",IF(OR(IFERROR(SEARCH($R21,XKNVLSX!$X$1,1),0)&gt;=1,XKNVLSX!$X$1=""),$S$2,""))</f>
        <v>XKNVLSX</v>
      </c>
      <c r="T21" s="1018" t="str">
        <f ca="1">IF($C21="","", IF(OR($P21=$V$1,$P21=$V$7,COUNTIFS($C$3:$C21,$C21,$E$3:$E21,$E21)&lt;=1),$P21,""    ))</f>
        <v>GI</v>
      </c>
      <c r="U21" s="1019" t="str">
        <f ca="1">IF(AND($P21=$V$2,COUNTIFS($C$3:$C21,$C21,$E$3:$E21,$E21,$G$3:$G21,$G21)&lt;=1),$P21,"")</f>
        <v/>
      </c>
    </row>
    <row r="22" spans="1:21">
      <c r="A22" s="991" t="str">
        <f ca="1">IFERROR(IF(COUNTIF($A$3:A21,A21)&lt; INDEX(TinhGia!$BH$10:$BH$81,MATCH($A21,TinhGia!$B$10:$B$81,0)),$A21,INDEX(TinhGia!$B$10:$B$81,MATCH($A21,TinhGia!$B$10:$B$81,0)+1)),"")</f>
        <v>MauKoXoa</v>
      </c>
      <c r="B22" s="525">
        <f ca="1">IF(OR(A22="",A22=0),"",IF(COUNTIF($A$2:A22,$A22)=1,ROW(MauKoXoa!$C$108),$B21+1))</f>
        <v>127</v>
      </c>
      <c r="C22" s="992" t="str">
        <f t="shared" ca="1" si="1"/>
        <v>VCF347</v>
      </c>
      <c r="D22" s="993" t="str">
        <f t="shared" ca="1" si="2"/>
        <v>Ke vĩnh cửu KB &amp; cánh đi XF55 31*41</v>
      </c>
      <c r="E22" s="993" t="str">
        <f t="shared" ca="1" si="3"/>
        <v>T/C</v>
      </c>
      <c r="F22" s="992" t="str">
        <f t="shared" ca="1" si="0"/>
        <v>Cái</v>
      </c>
      <c r="G22" s="994">
        <f t="shared" ca="1" si="4"/>
        <v>0</v>
      </c>
      <c r="H22" s="913">
        <f t="shared" ca="1" si="5"/>
        <v>6</v>
      </c>
      <c r="I22" s="913">
        <f t="shared" ca="1" si="6"/>
        <v>12</v>
      </c>
      <c r="J22" s="995">
        <f t="shared" ca="1" si="7"/>
        <v>0</v>
      </c>
      <c r="K22" s="913">
        <f t="shared" ca="1" si="8"/>
        <v>12</v>
      </c>
      <c r="L22" s="995">
        <f t="shared" ca="1" si="9"/>
        <v>0</v>
      </c>
      <c r="M22" s="913">
        <f t="shared" ca="1" si="10"/>
        <v>9400</v>
      </c>
      <c r="N22" s="996">
        <f t="shared" ca="1" si="11"/>
        <v>112800</v>
      </c>
      <c r="O22" s="997">
        <f t="shared" ca="1" si="12"/>
        <v>112800</v>
      </c>
      <c r="P22" s="1015" t="str">
        <f ca="1">IF($C22="","",INDEX(NVLSX!$N$2:$N$6941,MATCH($C22,NVLSX!$E$2:$E$6941,0)))</f>
        <v>VTSX</v>
      </c>
      <c r="Q22" s="1016" t="str">
        <f ca="1">IF($R22="","",IF(XKNVLSX!$X$1="",IF($P22=$V$7,$P22, IF(COUNTIFS($C$2:$C21,$C22,$E$2:$E21,$E22)&gt;=1,"",$P22)),     IF(AND(IFERROR(SEARCH($R22,XKNVLSX!$X$1,1),0)&gt;=1,$P22=$V$7),$P22, IF(OR($R22&lt;&gt;IF(IFERROR(SEARCH($R22,XKNVLSX!$X$1,1),0)&gt;=1,$R22,XKNVLSX!$X$1),COUNTIFS($C$2:$C21,$C22,$E$2:$E21,$E22,$Q$2:$Q21,$P22)&gt;=1),"",$P22))))</f>
        <v>VTSX</v>
      </c>
      <c r="R22" s="1017">
        <f ca="1">IF($A22="","",IFERROR(INDEX(TinhGia!$BF$10:$BF$81,MATCH($A22,TinhGia!$B$10:$B$81,0)),""))</f>
        <v>1</v>
      </c>
      <c r="S22" s="1012" t="str">
        <f ca="1">IF($A22="","",IF(OR(IFERROR(SEARCH($R22,XKNVLSX!$X$1,1),0)&gt;=1,XKNVLSX!$X$1=""),$S$2,""))</f>
        <v>XKNVLSX</v>
      </c>
      <c r="T22" s="1018" t="str">
        <f ca="1">IF($C22="","", IF(OR($P22=$V$1,$P22=$V$7,COUNTIFS($C$3:$C22,$C22,$E$3:$E22,$E22)&lt;=1),$P22,""    ))</f>
        <v>VTSX</v>
      </c>
      <c r="U22" s="1019" t="str">
        <f ca="1">IF(AND($P22=$V$2,COUNTIFS($C$3:$C22,$C22,$E$3:$E22,$E22,$G$3:$G22,$G22)&lt;=1),$P22,"")</f>
        <v/>
      </c>
    </row>
    <row r="23" spans="1:21">
      <c r="A23" s="991" t="str">
        <f ca="1">IFERROR(IF(COUNTIF($A$3:A22,A22)&lt; INDEX(TinhGia!$BH$10:$BH$81,MATCH($A22,TinhGia!$B$10:$B$81,0)),$A22,INDEX(TinhGia!$B$10:$B$81,MATCH($A22,TinhGia!$B$10:$B$81,0)+1)),"")</f>
        <v>MauKoXoa</v>
      </c>
      <c r="B23" s="525">
        <f ca="1">IF(OR(A23="",A23=0),"",IF(COUNTIF($A$2:A23,$A23)=1,ROW(MauKoXoa!$C$108),$B22+1))</f>
        <v>128</v>
      </c>
      <c r="C23" s="992" t="str">
        <f t="shared" ca="1" si="1"/>
        <v>OcKeVC</v>
      </c>
      <c r="D23" s="993" t="str">
        <f t="shared" ca="1" si="2"/>
        <v>Ốc bắt ke vĩnh cửu</v>
      </c>
      <c r="E23" s="993" t="str">
        <f t="shared" ca="1" si="3"/>
        <v>T/C</v>
      </c>
      <c r="F23" s="992" t="str">
        <f t="shared" ca="1" si="0"/>
        <v>Cái</v>
      </c>
      <c r="G23" s="994">
        <f t="shared" ca="1" si="4"/>
        <v>0</v>
      </c>
      <c r="H23" s="913">
        <f t="shared" ca="1" si="5"/>
        <v>24</v>
      </c>
      <c r="I23" s="913">
        <f t="shared" ca="1" si="6"/>
        <v>48</v>
      </c>
      <c r="J23" s="995">
        <f t="shared" ca="1" si="7"/>
        <v>0</v>
      </c>
      <c r="K23" s="913">
        <f t="shared" ca="1" si="8"/>
        <v>48</v>
      </c>
      <c r="L23" s="995">
        <f t="shared" ca="1" si="9"/>
        <v>0</v>
      </c>
      <c r="M23" s="913">
        <f t="shared" ca="1" si="10"/>
        <v>600</v>
      </c>
      <c r="N23" s="996">
        <f t="shared" ca="1" si="11"/>
        <v>28800</v>
      </c>
      <c r="O23" s="997">
        <f t="shared" ca="1" si="12"/>
        <v>28800</v>
      </c>
      <c r="P23" s="1015" t="str">
        <f ca="1">IF($C23="","",INDEX(NVLSX!$N$2:$N$6941,MATCH($C23,NVLSX!$E$2:$E$6941,0)))</f>
        <v>VTSX</v>
      </c>
      <c r="Q23" s="1016" t="str">
        <f ca="1">IF($R23="","",IF(XKNVLSX!$X$1="",IF($P23=$V$7,$P23, IF(COUNTIFS($C$2:$C22,$C23,$E$2:$E22,$E23)&gt;=1,"",$P23)),     IF(AND(IFERROR(SEARCH($R23,XKNVLSX!$X$1,1),0)&gt;=1,$P23=$V$7),$P23, IF(OR($R23&lt;&gt;IF(IFERROR(SEARCH($R23,XKNVLSX!$X$1,1),0)&gt;=1,$R23,XKNVLSX!$X$1),COUNTIFS($C$2:$C22,$C23,$E$2:$E22,$E23,$Q$2:$Q22,$P23)&gt;=1),"",$P23))))</f>
        <v>VTSX</v>
      </c>
      <c r="R23" s="1017">
        <f ca="1">IF($A23="","",IFERROR(INDEX(TinhGia!$BF$10:$BF$81,MATCH($A23,TinhGia!$B$10:$B$81,0)),""))</f>
        <v>1</v>
      </c>
      <c r="S23" s="1012" t="str">
        <f ca="1">IF($A23="","",IF(OR(IFERROR(SEARCH($R23,XKNVLSX!$X$1,1),0)&gt;=1,XKNVLSX!$X$1=""),$S$2,""))</f>
        <v>XKNVLSX</v>
      </c>
      <c r="T23" s="1018" t="str">
        <f ca="1">IF($C23="","", IF(OR($P23=$V$1,$P23=$V$7,COUNTIFS($C$3:$C23,$C23,$E$3:$E23,$E23)&lt;=1),$P23,""    ))</f>
        <v>VTSX</v>
      </c>
      <c r="U23" s="1019" t="str">
        <f ca="1">IF(AND($P23=$V$2,COUNTIFS($C$3:$C23,$C23,$E$3:$E23,$E23,$G$3:$G23,$G23)&lt;=1),$P23,"")</f>
        <v/>
      </c>
    </row>
    <row r="24" spans="1:21">
      <c r="A24" s="991" t="str">
        <f ca="1">IFERROR(IF(COUNTIF($A$3:A23,A23)&lt; INDEX(TinhGia!$BH$10:$BH$81,MATCH($A23,TinhGia!$B$10:$B$81,0)),$A23,INDEX(TinhGia!$B$10:$B$81,MATCH($A23,TinhGia!$B$10:$B$81,0)+1)),"")</f>
        <v>MauKoXoa</v>
      </c>
      <c r="B24" s="525">
        <f ca="1">IF(OR(A24="",A24=0),"",IF(COUNTIF($A$2:A24,$A24)=1,ROW(MauKoXoa!$C$108),$B23+1))</f>
        <v>129</v>
      </c>
      <c r="C24" s="992" t="str">
        <f t="shared" ca="1" si="1"/>
        <v>KTCXF55</v>
      </c>
      <c r="D24" s="993" t="str">
        <f t="shared" ca="1" si="2"/>
        <v>Ke tăng cứng XF55</v>
      </c>
      <c r="E24" s="993" t="str">
        <f t="shared" ca="1" si="3"/>
        <v>T/C</v>
      </c>
      <c r="F24" s="992" t="str">
        <f t="shared" ca="1" si="0"/>
        <v>Cái</v>
      </c>
      <c r="G24" s="994">
        <f t="shared" ca="1" si="4"/>
        <v>0</v>
      </c>
      <c r="H24" s="913">
        <f t="shared" ca="1" si="5"/>
        <v>10</v>
      </c>
      <c r="I24" s="913">
        <f t="shared" ca="1" si="6"/>
        <v>20</v>
      </c>
      <c r="J24" s="995">
        <f t="shared" ca="1" si="7"/>
        <v>0</v>
      </c>
      <c r="K24" s="913">
        <f t="shared" ca="1" si="8"/>
        <v>20</v>
      </c>
      <c r="L24" s="995">
        <f t="shared" ca="1" si="9"/>
        <v>0</v>
      </c>
      <c r="M24" s="913">
        <f t="shared" ca="1" si="10"/>
        <v>408</v>
      </c>
      <c r="N24" s="996">
        <f t="shared" ca="1" si="11"/>
        <v>8160</v>
      </c>
      <c r="O24" s="997">
        <f t="shared" ca="1" si="12"/>
        <v>8160</v>
      </c>
      <c r="P24" s="1015" t="str">
        <f ca="1">IF($C24="","",INDEX(NVLSX!$N$2:$N$6941,MATCH($C24,NVLSX!$E$2:$E$6941,0)))</f>
        <v>VTSX</v>
      </c>
      <c r="Q24" s="1016" t="str">
        <f ca="1">IF($R24="","",IF(XKNVLSX!$X$1="",IF($P24=$V$7,$P24, IF(COUNTIFS($C$2:$C23,$C24,$E$2:$E23,$E24)&gt;=1,"",$P24)),     IF(AND(IFERROR(SEARCH($R24,XKNVLSX!$X$1,1),0)&gt;=1,$P24=$V$7),$P24, IF(OR($R24&lt;&gt;IF(IFERROR(SEARCH($R24,XKNVLSX!$X$1,1),0)&gt;=1,$R24,XKNVLSX!$X$1),COUNTIFS($C$2:$C23,$C24,$E$2:$E23,$E24,$Q$2:$Q23,$P24)&gt;=1),"",$P24))))</f>
        <v>VTSX</v>
      </c>
      <c r="R24" s="1017">
        <f ca="1">IF($A24="","",IFERROR(INDEX(TinhGia!$BF$10:$BF$81,MATCH($A24,TinhGia!$B$10:$B$81,0)),""))</f>
        <v>1</v>
      </c>
      <c r="S24" s="1012" t="str">
        <f ca="1">IF($A24="","",IF(OR(IFERROR(SEARCH($R24,XKNVLSX!$X$1,1),0)&gt;=1,XKNVLSX!$X$1=""),$S$2,""))</f>
        <v>XKNVLSX</v>
      </c>
      <c r="T24" s="1018" t="str">
        <f ca="1">IF($C24="","", IF(OR($P24=$V$1,$P24=$V$7,COUNTIFS($C$3:$C24,$C24,$E$3:$E24,$E24)&lt;=1),$P24,""    ))</f>
        <v>VTSX</v>
      </c>
      <c r="U24" s="1019" t="str">
        <f ca="1">IF(AND($P24=$V$2,COUNTIFS($C$3:$C24,$C24,$E$3:$E24,$E24,$G$3:$G24,$G24)&lt;=1),$P24,"")</f>
        <v/>
      </c>
    </row>
    <row r="25" spans="1:21">
      <c r="A25" s="991" t="str">
        <f ca="1">IFERROR(IF(COUNTIF($A$3:A24,A24)&lt; INDEX(TinhGia!$BH$10:$BH$81,MATCH($A24,TinhGia!$B$10:$B$81,0)),$A24,INDEX(TinhGia!$B$10:$B$81,MATCH($A24,TinhGia!$B$10:$B$81,0)+1)),"")</f>
        <v>MauKoXoa</v>
      </c>
      <c r="B25" s="525">
        <f ca="1">IF(OR(A25="",A25=0),"",IF(COUNTIF($A$2:A25,$A25)=1,ROW(MauKoXoa!$C$108),$B24+1))</f>
        <v>130</v>
      </c>
      <c r="C25" s="992" t="str">
        <f t="shared" ca="1" si="1"/>
        <v>NK</v>
      </c>
      <c r="D25" s="993" t="str">
        <f t="shared" ca="1" si="2"/>
        <v>Đệm chèn kính GĐSX</v>
      </c>
      <c r="E25" s="993" t="str">
        <f t="shared" ca="1" si="3"/>
        <v>T/C</v>
      </c>
      <c r="F25" s="992" t="str">
        <f t="shared" ca="1" si="0"/>
        <v>Gram</v>
      </c>
      <c r="G25" s="994">
        <f t="shared" ca="1" si="4"/>
        <v>0</v>
      </c>
      <c r="H25" s="913">
        <f t="shared" ca="1" si="5"/>
        <v>44</v>
      </c>
      <c r="I25" s="913">
        <f t="shared" ca="1" si="6"/>
        <v>88</v>
      </c>
      <c r="J25" s="995">
        <f t="shared" ca="1" si="7"/>
        <v>0</v>
      </c>
      <c r="K25" s="913">
        <f t="shared" ca="1" si="8"/>
        <v>88</v>
      </c>
      <c r="L25" s="995">
        <f t="shared" ca="1" si="9"/>
        <v>0</v>
      </c>
      <c r="M25" s="913">
        <f t="shared" ca="1" si="10"/>
        <v>40</v>
      </c>
      <c r="N25" s="996">
        <f t="shared" ca="1" si="11"/>
        <v>3520</v>
      </c>
      <c r="O25" s="997">
        <f t="shared" ca="1" si="12"/>
        <v>3520</v>
      </c>
      <c r="P25" s="1015" t="str">
        <f ca="1">IF($C25="","",INDEX(NVLSX!$N$2:$N$6941,MATCH($C25,NVLSX!$E$2:$E$6941,0)))</f>
        <v>VTSX</v>
      </c>
      <c r="Q25" s="1016" t="str">
        <f ca="1">IF($R25="","",IF(XKNVLSX!$X$1="",IF($P25=$V$7,$P25, IF(COUNTIFS($C$2:$C24,$C25,$E$2:$E24,$E25)&gt;=1,"",$P25)),     IF(AND(IFERROR(SEARCH($R25,XKNVLSX!$X$1,1),0)&gt;=1,$P25=$V$7),$P25, IF(OR($R25&lt;&gt;IF(IFERROR(SEARCH($R25,XKNVLSX!$X$1,1),0)&gt;=1,$R25,XKNVLSX!$X$1),COUNTIFS($C$2:$C24,$C25,$E$2:$E24,$E25,$Q$2:$Q24,$P25)&gt;=1),"",$P25))))</f>
        <v>VTSX</v>
      </c>
      <c r="R25" s="1017">
        <f ca="1">IF($A25="","",IFERROR(INDEX(TinhGia!$BF$10:$BF$81,MATCH($A25,TinhGia!$B$10:$B$81,0)),""))</f>
        <v>1</v>
      </c>
      <c r="S25" s="1012" t="str">
        <f ca="1">IF($A25="","",IF(OR(IFERROR(SEARCH($R25,XKNVLSX!$X$1,1),0)&gt;=1,XKNVLSX!$X$1=""),$S$2,""))</f>
        <v>XKNVLSX</v>
      </c>
      <c r="T25" s="1018" t="str">
        <f ca="1">IF($C25="","", IF(OR($P25=$V$1,$P25=$V$7,COUNTIFS($C$3:$C25,$C25,$E$3:$E25,$E25)&lt;=1),$P25,""    ))</f>
        <v>VTSX</v>
      </c>
      <c r="U25" s="1019" t="str">
        <f ca="1">IF(AND($P25=$V$2,COUNTIFS($C$3:$C25,$C25,$E$3:$E25,$E25,$G$3:$G25,$G25)&lt;=1),$P25,"")</f>
        <v/>
      </c>
    </row>
    <row r="26" spans="1:21">
      <c r="A26" s="991" t="str">
        <f ca="1">IFERROR(IF(COUNTIF($A$3:A25,A25)&lt; INDEX(TinhGia!$BH$10:$BH$81,MATCH($A25,TinhGia!$B$10:$B$81,0)),$A25,INDEX(TinhGia!$B$10:$B$81,MATCH($A25,TinhGia!$B$10:$B$81,0)+1)),"")</f>
        <v>MauKoXoa</v>
      </c>
      <c r="B26" s="525">
        <f ca="1">IF(OR(A26="",A26=0),"",IF(COUNTIF($A$2:A26,$A26)=1,ROW(MauKoXoa!$C$108),$B25+1))</f>
        <v>131</v>
      </c>
      <c r="C26" s="992" t="str">
        <f t="shared" ca="1" si="1"/>
        <v>VTKDBDC-M3.9*20-XCR</v>
      </c>
      <c r="D26" s="993" t="str">
        <f t="shared" ca="1" si="2"/>
        <v>Vít tự khoan đầu bằng đuôi cá M3.9*20 xi chống rỉ</v>
      </c>
      <c r="E26" s="993" t="str">
        <f t="shared" ca="1" si="3"/>
        <v>T/C</v>
      </c>
      <c r="F26" s="992" t="str">
        <f t="shared" ca="1" si="0"/>
        <v>Con</v>
      </c>
      <c r="G26" s="994">
        <f t="shared" ca="1" si="4"/>
        <v>0</v>
      </c>
      <c r="H26" s="913">
        <f t="shared" ca="1" si="5"/>
        <v>6</v>
      </c>
      <c r="I26" s="913">
        <f t="shared" ca="1" si="6"/>
        <v>12</v>
      </c>
      <c r="J26" s="995">
        <f t="shared" ca="1" si="7"/>
        <v>0</v>
      </c>
      <c r="K26" s="913">
        <f t="shared" ca="1" si="8"/>
        <v>12</v>
      </c>
      <c r="L26" s="995">
        <f t="shared" ca="1" si="9"/>
        <v>0</v>
      </c>
      <c r="M26" s="913">
        <f t="shared" ca="1" si="10"/>
        <v>140</v>
      </c>
      <c r="N26" s="996">
        <f t="shared" ca="1" si="11"/>
        <v>1680</v>
      </c>
      <c r="O26" s="997">
        <f t="shared" ca="1" si="12"/>
        <v>1680</v>
      </c>
      <c r="P26" s="1015" t="str">
        <f ca="1">IF($C26="","",INDEX(NVLSX!$N$2:$N$6941,MATCH($C26,NVLSX!$E$2:$E$6941,0)))</f>
        <v>VTSX</v>
      </c>
      <c r="Q26" s="1016" t="str">
        <f ca="1">IF($R26="","",IF(XKNVLSX!$X$1="",IF($P26=$V$7,$P26, IF(COUNTIFS($C$2:$C25,$C26,$E$2:$E25,$E26)&gt;=1,"",$P26)),     IF(AND(IFERROR(SEARCH($R26,XKNVLSX!$X$1,1),0)&gt;=1,$P26=$V$7),$P26, IF(OR($R26&lt;&gt;IF(IFERROR(SEARCH($R26,XKNVLSX!$X$1,1),0)&gt;=1,$R26,XKNVLSX!$X$1),COUNTIFS($C$2:$C25,$C26,$E$2:$E25,$E26,$Q$2:$Q25,$P26)&gt;=1),"",$P26))))</f>
        <v>VTSX</v>
      </c>
      <c r="R26" s="1017">
        <f ca="1">IF($A26="","",IFERROR(INDEX(TinhGia!$BF$10:$BF$81,MATCH($A26,TinhGia!$B$10:$B$81,0)),""))</f>
        <v>1</v>
      </c>
      <c r="S26" s="1012" t="str">
        <f ca="1">IF($A26="","",IF(OR(IFERROR(SEARCH($R26,XKNVLSX!$X$1,1),0)&gt;=1,XKNVLSX!$X$1=""),$S$2,""))</f>
        <v>XKNVLSX</v>
      </c>
      <c r="T26" s="1018" t="str">
        <f ca="1">IF($C26="","", IF(OR($P26=$V$1,$P26=$V$7,COUNTIFS($C$3:$C26,$C26,$E$3:$E26,$E26)&lt;=1),$P26,""    ))</f>
        <v>VTSX</v>
      </c>
      <c r="U26" s="1019" t="str">
        <f ca="1">IF(AND($P26=$V$2,COUNTIFS($C$3:$C26,$C26,$E$3:$E26,$E26,$G$3:$G26,$G26)&lt;=1),$P26,"")</f>
        <v/>
      </c>
    </row>
    <row r="27" spans="1:21">
      <c r="A27" s="991" t="str">
        <f ca="1">IFERROR(IF(COUNTIF($A$3:A26,A26)&lt; INDEX(TinhGia!$BH$10:$BH$81,MATCH($A26,TinhGia!$B$10:$B$81,0)),$A26,INDEX(TinhGia!$B$10:$B$81,MATCH($A26,TinhGia!$B$10:$B$81,0)+1)),"")</f>
        <v>MauKoXoa</v>
      </c>
      <c r="B27" s="525">
        <f ca="1">IF(OR(A27="",A27=0),"",IF(COUNTIF($A$2:A27,$A27)=1,ROW(MauKoXoa!$C$108),$B26+1))</f>
        <v>132</v>
      </c>
      <c r="C27" s="992" t="str">
        <f t="shared" ca="1" si="1"/>
        <v>VTKDBDC-M3.9*30-XCR</v>
      </c>
      <c r="D27" s="993" t="str">
        <f t="shared" ca="1" si="2"/>
        <v>Vít tự khoan đầu bằng đuôi cá M3.9*30 xi chống rỉ</v>
      </c>
      <c r="E27" s="993" t="str">
        <f t="shared" ca="1" si="3"/>
        <v>T/C</v>
      </c>
      <c r="F27" s="992" t="str">
        <f t="shared" ca="1" si="0"/>
        <v>Con</v>
      </c>
      <c r="G27" s="994">
        <f t="shared" ca="1" si="4"/>
        <v>0</v>
      </c>
      <c r="H27" s="913">
        <f t="shared" ca="1" si="5"/>
        <v>6</v>
      </c>
      <c r="I27" s="913">
        <f t="shared" ca="1" si="6"/>
        <v>12</v>
      </c>
      <c r="J27" s="995">
        <f t="shared" ca="1" si="7"/>
        <v>0</v>
      </c>
      <c r="K27" s="913">
        <f t="shared" ca="1" si="8"/>
        <v>12</v>
      </c>
      <c r="L27" s="995">
        <f t="shared" ca="1" si="9"/>
        <v>0</v>
      </c>
      <c r="M27" s="913">
        <f t="shared" ca="1" si="10"/>
        <v>322</v>
      </c>
      <c r="N27" s="996">
        <f t="shared" ca="1" si="11"/>
        <v>3864</v>
      </c>
      <c r="O27" s="997">
        <f t="shared" ca="1" si="12"/>
        <v>3864</v>
      </c>
      <c r="P27" s="1015" t="str">
        <f ca="1">IF($C27="","",INDEX(NVLSX!$N$2:$N$6941,MATCH($C27,NVLSX!$E$2:$E$6941,0)))</f>
        <v>VTSX</v>
      </c>
      <c r="Q27" s="1016" t="str">
        <f ca="1">IF($R27="","",IF(XKNVLSX!$X$1="",IF($P27=$V$7,$P27, IF(COUNTIFS($C$2:$C26,$C27,$E$2:$E26,$E27)&gt;=1,"",$P27)),     IF(AND(IFERROR(SEARCH($R27,XKNVLSX!$X$1,1),0)&gt;=1,$P27=$V$7),$P27, IF(OR($R27&lt;&gt;IF(IFERROR(SEARCH($R27,XKNVLSX!$X$1,1),0)&gt;=1,$R27,XKNVLSX!$X$1),COUNTIFS($C$2:$C26,$C27,$E$2:$E26,$E27,$Q$2:$Q26,$P27)&gt;=1),"",$P27))))</f>
        <v>VTSX</v>
      </c>
      <c r="R27" s="1017">
        <f ca="1">IF($A27="","",IFERROR(INDEX(TinhGia!$BF$10:$BF$81,MATCH($A27,TinhGia!$B$10:$B$81,0)),""))</f>
        <v>1</v>
      </c>
      <c r="S27" s="1012" t="str">
        <f ca="1">IF($A27="","",IF(OR(IFERROR(SEARCH($R27,XKNVLSX!$X$1,1),0)&gt;=1,XKNVLSX!$X$1=""),$S$2,""))</f>
        <v>XKNVLSX</v>
      </c>
      <c r="T27" s="1018" t="str">
        <f ca="1">IF($C27="","", IF(OR($P27=$V$1,$P27=$V$7,COUNTIFS($C$3:$C27,$C27,$E$3:$E27,$E27)&lt;=1),$P27,""    ))</f>
        <v>VTSX</v>
      </c>
      <c r="U27" s="1019" t="str">
        <f ca="1">IF(AND($P27=$V$2,COUNTIFS($C$3:$C27,$C27,$E$3:$E27,$E27,$G$3:$G27,$G27)&lt;=1),$P27,"")</f>
        <v/>
      </c>
    </row>
    <row r="28" spans="1:21">
      <c r="A28" s="991" t="str">
        <f ca="1">IFERROR(IF(COUNTIF($A$3:A27,A27)&lt; INDEX(TinhGia!$BH$10:$BH$81,MATCH($A27,TinhGia!$B$10:$B$81,0)),$A27,INDEX(TinhGia!$B$10:$B$81,MATCH($A27,TinhGia!$B$10:$B$81,0)+1)),"")</f>
        <v>MauKoXoa</v>
      </c>
      <c r="B28" s="525">
        <f ca="1">IF(OR(A28="",A28=0),"",IF(COUNTIF($A$2:A28,$A28)=1,ROW(MauKoXoa!$C$108),$B27+1))</f>
        <v>133</v>
      </c>
      <c r="C28" s="992" t="str">
        <f t="shared" ca="1" si="1"/>
        <v>VLD</v>
      </c>
      <c r="D28" s="993" t="str">
        <f t="shared" ca="1" si="2"/>
        <v>Vít lắp đặt (+ tắc kê + nắp đậy) M10*100</v>
      </c>
      <c r="E28" s="993" t="str">
        <f t="shared" ca="1" si="3"/>
        <v>T/C</v>
      </c>
      <c r="F28" s="992" t="str">
        <f t="shared" ca="1" si="0"/>
        <v>Con</v>
      </c>
      <c r="G28" s="994">
        <f t="shared" ca="1" si="4"/>
        <v>0</v>
      </c>
      <c r="H28" s="913">
        <f t="shared" ca="1" si="5"/>
        <v>11</v>
      </c>
      <c r="I28" s="913">
        <f t="shared" ca="1" si="6"/>
        <v>22</v>
      </c>
      <c r="J28" s="995">
        <f t="shared" ca="1" si="7"/>
        <v>0</v>
      </c>
      <c r="K28" s="913">
        <f t="shared" ca="1" si="8"/>
        <v>22</v>
      </c>
      <c r="L28" s="995">
        <f t="shared" ca="1" si="9"/>
        <v>0</v>
      </c>
      <c r="M28" s="913">
        <f t="shared" ca="1" si="10"/>
        <v>970</v>
      </c>
      <c r="N28" s="996">
        <f t="shared" ca="1" si="11"/>
        <v>21340</v>
      </c>
      <c r="O28" s="997">
        <f t="shared" ca="1" si="12"/>
        <v>21340</v>
      </c>
      <c r="P28" s="1015" t="str">
        <f ca="1">IF($C28="","",INDEX(NVLSX!$N$2:$N$6941,MATCH($C28,NVLSX!$E$2:$E$6941,0)))</f>
        <v>VTLD</v>
      </c>
      <c r="Q28" s="1016" t="str">
        <f ca="1">IF($R28="","",IF(XKNVLSX!$X$1="",IF($P28=$V$7,$P28, IF(COUNTIFS($C$2:$C27,$C28,$E$2:$E27,$E28)&gt;=1,"",$P28)),     IF(AND(IFERROR(SEARCH($R28,XKNVLSX!$X$1,1),0)&gt;=1,$P28=$V$7),$P28, IF(OR($R28&lt;&gt;IF(IFERROR(SEARCH($R28,XKNVLSX!$X$1,1),0)&gt;=1,$R28,XKNVLSX!$X$1),COUNTIFS($C$2:$C27,$C28,$E$2:$E27,$E28,$Q$2:$Q27,$P28)&gt;=1),"",$P28))))</f>
        <v>VTLD</v>
      </c>
      <c r="R28" s="1017">
        <f ca="1">IF($A28="","",IFERROR(INDEX(TinhGia!$BF$10:$BF$81,MATCH($A28,TinhGia!$B$10:$B$81,0)),""))</f>
        <v>1</v>
      </c>
      <c r="S28" s="1012" t="str">
        <f ca="1">IF($A28="","",IF(OR(IFERROR(SEARCH($R28,XKNVLSX!$X$1,1),0)&gt;=1,XKNVLSX!$X$1=""),$S$2,""))</f>
        <v>XKNVLSX</v>
      </c>
      <c r="T28" s="1018" t="str">
        <f ca="1">IF($C28="","", IF(OR($P28=$V$1,$P28=$V$7,COUNTIFS($C$3:$C28,$C28,$E$3:$E28,$E28)&lt;=1),$P28,""    ))</f>
        <v>VTLD</v>
      </c>
      <c r="U28" s="1019" t="str">
        <f ca="1">IF(AND($P28=$V$2,COUNTIFS($C$3:$C28,$C28,$E$3:$E28,$E28,$G$3:$G28,$G28)&lt;=1),$P28,"")</f>
        <v/>
      </c>
    </row>
    <row r="29" spans="1:21">
      <c r="A29" s="991" t="str">
        <f ca="1">IFERROR(IF(COUNTIF($A$3:A28,A28)&lt; INDEX(TinhGia!$BH$10:$BH$81,MATCH($A28,TinhGia!$B$10:$B$81,0)),$A28,INDEX(TinhGia!$B$10:$B$81,MATCH($A28,TinhGia!$B$10:$B$81,0)+1)),"")</f>
        <v>MauKoXoa</v>
      </c>
      <c r="B29" s="525">
        <f ca="1">IF(OR(A29="",A29=0),"",IF(COUNTIF($A$2:A29,$A29)=1,ROW(MauKoXoa!$C$108),$B28+1))</f>
        <v>134</v>
      </c>
      <c r="C29" s="992" t="str">
        <f t="shared" ca="1" si="1"/>
        <v>FOAM</v>
      </c>
      <c r="D29" s="993" t="str">
        <f t="shared" ca="1" si="2"/>
        <v>Keo foam</v>
      </c>
      <c r="E29" s="993" t="str">
        <f t="shared" ca="1" si="3"/>
        <v>T/C</v>
      </c>
      <c r="F29" s="992" t="str">
        <f t="shared" ca="1" si="0"/>
        <v>Chai</v>
      </c>
      <c r="G29" s="994">
        <f t="shared" ca="1" si="4"/>
        <v>0</v>
      </c>
      <c r="H29" s="913">
        <f t="shared" ca="1" si="5"/>
        <v>7.5999999999999998E-2</v>
      </c>
      <c r="I29" s="913">
        <f t="shared" ca="1" si="6"/>
        <v>0.152</v>
      </c>
      <c r="J29" s="995">
        <f t="shared" ca="1" si="7"/>
        <v>0</v>
      </c>
      <c r="K29" s="913">
        <f t="shared" ca="1" si="8"/>
        <v>0.152</v>
      </c>
      <c r="L29" s="995">
        <f t="shared" ca="1" si="9"/>
        <v>0</v>
      </c>
      <c r="M29" s="913">
        <f t="shared" ca="1" si="10"/>
        <v>60000</v>
      </c>
      <c r="N29" s="996">
        <f t="shared" ca="1" si="11"/>
        <v>9120</v>
      </c>
      <c r="O29" s="997">
        <f t="shared" ca="1" si="12"/>
        <v>9120</v>
      </c>
      <c r="P29" s="1015" t="str">
        <f ca="1">IF($C29="","",INDEX(NVLSX!$N$2:$N$6941,MATCH($C29,NVLSX!$E$2:$E$6941,0)))</f>
        <v>VTLD</v>
      </c>
      <c r="Q29" s="1016" t="str">
        <f ca="1">IF($R29="","",IF(XKNVLSX!$X$1="",IF($P29=$V$7,$P29, IF(COUNTIFS($C$2:$C28,$C29,$E$2:$E28,$E29)&gt;=1,"",$P29)),     IF(AND(IFERROR(SEARCH($R29,XKNVLSX!$X$1,1),0)&gt;=1,$P29=$V$7),$P29, IF(OR($R29&lt;&gt;IF(IFERROR(SEARCH($R29,XKNVLSX!$X$1,1),0)&gt;=1,$R29,XKNVLSX!$X$1),COUNTIFS($C$2:$C28,$C29,$E$2:$E28,$E29,$Q$2:$Q28,$P29)&gt;=1),"",$P29))))</f>
        <v>VTLD</v>
      </c>
      <c r="R29" s="1017">
        <f ca="1">IF($A29="","",IFERROR(INDEX(TinhGia!$BF$10:$BF$81,MATCH($A29,TinhGia!$B$10:$B$81,0)),""))</f>
        <v>1</v>
      </c>
      <c r="S29" s="1012" t="str">
        <f ca="1">IF($A29="","",IF(OR(IFERROR(SEARCH($R29,XKNVLSX!$X$1,1),0)&gt;=1,XKNVLSX!$X$1=""),$S$2,""))</f>
        <v>XKNVLSX</v>
      </c>
      <c r="T29" s="1018" t="str">
        <f ca="1">IF($C29="","", IF(OR($P29=$V$1,$P29=$V$7,COUNTIFS($C$3:$C29,$C29,$E$3:$E29,$E29)&lt;=1),$P29,""    ))</f>
        <v>VTLD</v>
      </c>
      <c r="U29" s="1019" t="str">
        <f ca="1">IF(AND($P29=$V$2,COUNTIFS($C$3:$C29,$C29,$E$3:$E29,$E29,$G$3:$G29,$G29)&lt;=1),$P29,"")</f>
        <v/>
      </c>
    </row>
    <row r="30" spans="1:21">
      <c r="A30" s="991" t="str">
        <f ca="1">IFERROR(IF(COUNTIF($A$3:A29,A29)&lt; INDEX(TinhGia!$BH$10:$BH$81,MATCH($A29,TinhGia!$B$10:$B$81,0)),$A29,INDEX(TinhGia!$B$10:$B$81,MATCH($A29,TinhGia!$B$10:$B$81,0)+1)),"")</f>
        <v>MauKoXoa</v>
      </c>
      <c r="B30" s="525">
        <f ca="1">IF(OR(A30="",A30=0),"",IF(COUNTIF($A$2:A30,$A30)=1,ROW(MauKoXoa!$C$108),$B29+1))</f>
        <v>135</v>
      </c>
      <c r="C30" s="992" t="str">
        <f t="shared" ca="1" si="1"/>
        <v>Silicone-LD</v>
      </c>
      <c r="D30" s="993" t="str">
        <f t="shared" ca="1" si="2"/>
        <v>Silicone lắp đặt</v>
      </c>
      <c r="E30" s="993" t="str">
        <f t="shared" ca="1" si="3"/>
        <v>T/C</v>
      </c>
      <c r="F30" s="992" t="str">
        <f t="shared" ca="1" si="0"/>
        <v>Chai</v>
      </c>
      <c r="G30" s="994">
        <f t="shared" ca="1" si="4"/>
        <v>0</v>
      </c>
      <c r="H30" s="913">
        <f t="shared" ca="1" si="5"/>
        <v>1.0857142857142856</v>
      </c>
      <c r="I30" s="913">
        <f t="shared" ca="1" si="6"/>
        <v>2.1714285714285713</v>
      </c>
      <c r="J30" s="995">
        <f t="shared" ca="1" si="7"/>
        <v>0</v>
      </c>
      <c r="K30" s="913">
        <f t="shared" ca="1" si="8"/>
        <v>2.1714285714285713</v>
      </c>
      <c r="L30" s="995">
        <f t="shared" ca="1" si="9"/>
        <v>0</v>
      </c>
      <c r="M30" s="913">
        <f t="shared" ca="1" si="10"/>
        <v>53000</v>
      </c>
      <c r="N30" s="996">
        <f t="shared" ca="1" si="11"/>
        <v>115086</v>
      </c>
      <c r="O30" s="997">
        <f t="shared" ca="1" si="12"/>
        <v>115086</v>
      </c>
      <c r="P30" s="1015" t="str">
        <f ca="1">IF($C30="","",INDEX(NVLSX!$N$2:$N$6941,MATCH($C30,NVLSX!$E$2:$E$6941,0)))</f>
        <v>VTLD</v>
      </c>
      <c r="Q30" s="1016" t="str">
        <f ca="1">IF($R30="","",IF(XKNVLSX!$X$1="",IF($P30=$V$7,$P30, IF(COUNTIFS($C$2:$C29,$C30,$E$2:$E29,$E30)&gt;=1,"",$P30)),     IF(AND(IFERROR(SEARCH($R30,XKNVLSX!$X$1,1),0)&gt;=1,$P30=$V$7),$P30, IF(OR($R30&lt;&gt;IF(IFERROR(SEARCH($R30,XKNVLSX!$X$1,1),0)&gt;=1,$R30,XKNVLSX!$X$1),COUNTIFS($C$2:$C29,$C30,$E$2:$E29,$E30,$Q$2:$Q29,$P30)&gt;=1),"",$P30))))</f>
        <v>VTLD</v>
      </c>
      <c r="R30" s="1017">
        <f ca="1">IF($A30="","",IFERROR(INDEX(TinhGia!$BF$10:$BF$81,MATCH($A30,TinhGia!$B$10:$B$81,0)),""))</f>
        <v>1</v>
      </c>
      <c r="S30" s="1012" t="str">
        <f ca="1">IF($A30="","",IF(OR(IFERROR(SEARCH($R30,XKNVLSX!$X$1,1),0)&gt;=1,XKNVLSX!$X$1=""),$S$2,""))</f>
        <v>XKNVLSX</v>
      </c>
      <c r="T30" s="1018" t="str">
        <f ca="1">IF($C30="","", IF(OR($P30=$V$1,$P30=$V$7,COUNTIFS($C$3:$C30,$C30,$E$3:$E30,$E30)&lt;=1),$P30,""    ))</f>
        <v>VTLD</v>
      </c>
      <c r="U30" s="1019" t="str">
        <f ca="1">IF(AND($P30=$V$2,COUNTIFS($C$3:$C30,$C30,$E$3:$E30,$E30,$G$3:$G30,$G30)&lt;=1),$P30,"")</f>
        <v/>
      </c>
    </row>
    <row r="31" spans="1:21">
      <c r="A31" s="991" t="str">
        <f ca="1">IFERROR(IF(COUNTIF($A$3:A30,A30)&lt; INDEX(TinhGia!$BH$10:$BH$81,MATCH($A30,TinhGia!$B$10:$B$81,0)),$A30,INDEX(TinhGia!$B$10:$B$81,MATCH($A30,TinhGia!$B$10:$B$81,0)+1)),"")</f>
        <v>MauKoXoa</v>
      </c>
      <c r="B31" s="525">
        <f ca="1">IF(OR(A31="",A31=0),"",IF(COUNTIF($A$2:A31,$A31)=1,ROW(MauKoXoa!$C$108),$B30+1))</f>
        <v>136</v>
      </c>
      <c r="C31" s="992" t="str">
        <f t="shared" ca="1" si="1"/>
        <v>NKLD</v>
      </c>
      <c r="D31" s="993" t="str">
        <f t="shared" ca="1" si="2"/>
        <v>Đệm chèn kính GĐLĐ</v>
      </c>
      <c r="E31" s="993" t="str">
        <f t="shared" ca="1" si="3"/>
        <v>T/C</v>
      </c>
      <c r="F31" s="992" t="str">
        <f t="shared" ca="1" si="0"/>
        <v>Gram</v>
      </c>
      <c r="G31" s="994">
        <f t="shared" ca="1" si="4"/>
        <v>0</v>
      </c>
      <c r="H31" s="913">
        <f t="shared" ca="1" si="5"/>
        <v>59.714285714285715</v>
      </c>
      <c r="I31" s="913">
        <f t="shared" ca="1" si="6"/>
        <v>119.42857142857143</v>
      </c>
      <c r="J31" s="995">
        <f t="shared" ca="1" si="7"/>
        <v>0</v>
      </c>
      <c r="K31" s="913">
        <f t="shared" ca="1" si="8"/>
        <v>119.42857142857143</v>
      </c>
      <c r="L31" s="995">
        <f t="shared" ca="1" si="9"/>
        <v>0</v>
      </c>
      <c r="M31" s="913">
        <f t="shared" ca="1" si="10"/>
        <v>40</v>
      </c>
      <c r="N31" s="996">
        <f t="shared" ca="1" si="11"/>
        <v>4777</v>
      </c>
      <c r="O31" s="997">
        <f t="shared" ca="1" si="12"/>
        <v>4777</v>
      </c>
      <c r="P31" s="1015" t="str">
        <f ca="1">IF($C31="","",INDEX(NVLSX!$N$2:$N$6941,MATCH($C31,NVLSX!$E$2:$E$6941,0)))</f>
        <v>VTLD</v>
      </c>
      <c r="Q31" s="1016" t="str">
        <f ca="1">IF($R31="","",IF(XKNVLSX!$X$1="",IF($P31=$V$7,$P31, IF(COUNTIFS($C$2:$C30,$C31,$E$2:$E30,$E31)&gt;=1,"",$P31)),     IF(AND(IFERROR(SEARCH($R31,XKNVLSX!$X$1,1),0)&gt;=1,$P31=$V$7),$P31, IF(OR($R31&lt;&gt;IF(IFERROR(SEARCH($R31,XKNVLSX!$X$1,1),0)&gt;=1,$R31,XKNVLSX!$X$1),COUNTIFS($C$2:$C30,$C31,$E$2:$E30,$E31,$Q$2:$Q30,$P31)&gt;=1),"",$P31))))</f>
        <v>VTLD</v>
      </c>
      <c r="R31" s="1017">
        <f ca="1">IF($A31="","",IFERROR(INDEX(TinhGia!$BF$10:$BF$81,MATCH($A31,TinhGia!$B$10:$B$81,0)),""))</f>
        <v>1</v>
      </c>
      <c r="S31" s="1012" t="str">
        <f ca="1">IF($A31="","",IF(OR(IFERROR(SEARCH($R31,XKNVLSX!$X$1,1),0)&gt;=1,XKNVLSX!$X$1=""),$S$2,""))</f>
        <v>XKNVLSX</v>
      </c>
      <c r="T31" s="1018" t="str">
        <f ca="1">IF($C31="","", IF(OR($P31=$V$1,$P31=$V$7,COUNTIFS($C$3:$C31,$C31,$E$3:$E31,$E31)&lt;=1),$P31,""    ))</f>
        <v>VTLD</v>
      </c>
      <c r="U31" s="1019" t="str">
        <f ca="1">IF(AND($P31=$V$2,COUNTIFS($C$3:$C31,$C31,$E$3:$E31,$E31,$G$3:$G31,$G31)&lt;=1),$P31,"")</f>
        <v/>
      </c>
    </row>
    <row r="32" spans="1:21">
      <c r="A32" s="991" t="str">
        <f ca="1">IFERROR(IF(COUNTIF($A$3:A31,A31)&lt; INDEX(TinhGia!$BH$10:$BH$81,MATCH($A31,TinhGia!$B$10:$B$81,0)),$A31,INDEX(TinhGia!$B$10:$B$81,MATCH($A31,TinhGia!$B$10:$B$81,0)+1)),"")</f>
        <v>MauKoXoa</v>
      </c>
      <c r="B32" s="525">
        <f ca="1">IF(OR(A32="",A32=0),"",IF(COUNTIF($A$2:A32,$A32)=1,ROW(MauKoXoa!$C$108),$B31+1))</f>
        <v>137</v>
      </c>
      <c r="C32" s="992" t="str">
        <f t="shared" ca="1" si="1"/>
        <v>VT</v>
      </c>
      <c r="D32" s="993" t="str">
        <f t="shared" ca="1" si="2"/>
        <v>Vải trắng</v>
      </c>
      <c r="E32" s="993" t="str">
        <f t="shared" ca="1" si="3"/>
        <v>T/C</v>
      </c>
      <c r="F32" s="992" t="str">
        <f t="shared" ca="1" si="0"/>
        <v>Gram</v>
      </c>
      <c r="G32" s="994">
        <f t="shared" ca="1" si="4"/>
        <v>0</v>
      </c>
      <c r="H32" s="913">
        <f t="shared" ca="1" si="5"/>
        <v>35.199999999999996</v>
      </c>
      <c r="I32" s="913">
        <f t="shared" ca="1" si="6"/>
        <v>70.399999999999991</v>
      </c>
      <c r="J32" s="995">
        <f t="shared" ca="1" si="7"/>
        <v>0</v>
      </c>
      <c r="K32" s="913">
        <f t="shared" ca="1" si="8"/>
        <v>70.399999999999991</v>
      </c>
      <c r="L32" s="995">
        <f t="shared" ca="1" si="9"/>
        <v>0</v>
      </c>
      <c r="M32" s="913">
        <f t="shared" ca="1" si="10"/>
        <v>20</v>
      </c>
      <c r="N32" s="996">
        <f t="shared" ca="1" si="11"/>
        <v>1408</v>
      </c>
      <c r="O32" s="997">
        <f t="shared" ca="1" si="12"/>
        <v>1408</v>
      </c>
      <c r="P32" s="1015" t="str">
        <f ca="1">IF($C32="","",INDEX(NVLSX!$N$2:$N$6941,MATCH($C32,NVLSX!$E$2:$E$6941,0)))</f>
        <v>VTLD</v>
      </c>
      <c r="Q32" s="1016" t="str">
        <f ca="1">IF($R32="","",IF(XKNVLSX!$X$1="",IF($P32=$V$7,$P32, IF(COUNTIFS($C$2:$C31,$C32,$E$2:$E31,$E32)&gt;=1,"",$P32)),     IF(AND(IFERROR(SEARCH($R32,XKNVLSX!$X$1,1),0)&gt;=1,$P32=$V$7),$P32, IF(OR($R32&lt;&gt;IF(IFERROR(SEARCH($R32,XKNVLSX!$X$1,1),0)&gt;=1,$R32,XKNVLSX!$X$1),COUNTIFS($C$2:$C31,$C32,$E$2:$E31,$E32,$Q$2:$Q31,$P32)&gt;=1),"",$P32))))</f>
        <v>VTLD</v>
      </c>
      <c r="R32" s="1017">
        <f ca="1">IF($A32="","",IFERROR(INDEX(TinhGia!$BF$10:$BF$81,MATCH($A32,TinhGia!$B$10:$B$81,0)),""))</f>
        <v>1</v>
      </c>
      <c r="S32" s="1012" t="str">
        <f ca="1">IF($A32="","",IF(OR(IFERROR(SEARCH($R32,XKNVLSX!$X$1,1),0)&gt;=1,XKNVLSX!$X$1=""),$S$2,""))</f>
        <v>XKNVLSX</v>
      </c>
      <c r="T32" s="1018" t="str">
        <f ca="1">IF($C32="","", IF(OR($P32=$V$1,$P32=$V$7,COUNTIFS($C$3:$C32,$C32,$E$3:$E32,$E32)&lt;=1),$P32,""    ))</f>
        <v>VTLD</v>
      </c>
      <c r="U32" s="1019" t="str">
        <f ca="1">IF(AND($P32=$V$2,COUNTIFS($C$3:$C32,$C32,$E$3:$E32,$E32,$G$3:$G32,$G32)&lt;=1),$P32,"")</f>
        <v/>
      </c>
    </row>
    <row r="33" spans="1:21">
      <c r="A33" s="991" t="str">
        <f ca="1">IFERROR(IF(COUNTIF($A$3:A32,A32)&lt; INDEX(TinhGia!$BH$10:$BH$81,MATCH($A32,TinhGia!$B$10:$B$81,0)),$A32,INDEX(TinhGia!$B$10:$B$81,MATCH($A32,TinhGia!$B$10:$B$81,0)+1)),"")</f>
        <v>MauKoXoa</v>
      </c>
      <c r="B33" s="525">
        <f ca="1">IF(OR(A33="",A33=0),"",IF(COUNTIF($A$2:A33,$A33)=1,ROW(MauKoXoa!$C$108),$B32+1))</f>
        <v>138</v>
      </c>
      <c r="C33" s="992" t="str">
        <f t="shared" ca="1" si="1"/>
        <v>NLK</v>
      </c>
      <c r="D33" s="993" t="str">
        <f t="shared" ca="1" si="2"/>
        <v>Nước lau kính</v>
      </c>
      <c r="E33" s="993" t="str">
        <f t="shared" ca="1" si="3"/>
        <v>T/C</v>
      </c>
      <c r="F33" s="992" t="str">
        <f t="shared" ca="1" si="0"/>
        <v>Chai</v>
      </c>
      <c r="G33" s="994">
        <f t="shared" ca="1" si="4"/>
        <v>0</v>
      </c>
      <c r="H33" s="913">
        <f t="shared" ca="1" si="5"/>
        <v>4.4000000000000004E-2</v>
      </c>
      <c r="I33" s="913">
        <f t="shared" ca="1" si="6"/>
        <v>8.8000000000000009E-2</v>
      </c>
      <c r="J33" s="995">
        <f t="shared" ca="1" si="7"/>
        <v>0</v>
      </c>
      <c r="K33" s="913">
        <f t="shared" ca="1" si="8"/>
        <v>8.8000000000000009E-2</v>
      </c>
      <c r="L33" s="995">
        <f t="shared" ca="1" si="9"/>
        <v>0</v>
      </c>
      <c r="M33" s="913">
        <f t="shared" ca="1" si="10"/>
        <v>28000</v>
      </c>
      <c r="N33" s="996">
        <f t="shared" ca="1" si="11"/>
        <v>2464</v>
      </c>
      <c r="O33" s="997">
        <f t="shared" ca="1" si="12"/>
        <v>2464</v>
      </c>
      <c r="P33" s="1015" t="str">
        <f ca="1">IF($C33="","",INDEX(NVLSX!$N$2:$N$6941,MATCH($C33,NVLSX!$E$2:$E$6941,0)))</f>
        <v>VTLD</v>
      </c>
      <c r="Q33" s="1016" t="str">
        <f ca="1">IF($R33="","",IF(XKNVLSX!$X$1="",IF($P33=$V$7,$P33, IF(COUNTIFS($C$2:$C32,$C33,$E$2:$E32,$E33)&gt;=1,"",$P33)),     IF(AND(IFERROR(SEARCH($R33,XKNVLSX!$X$1,1),0)&gt;=1,$P33=$V$7),$P33, IF(OR($R33&lt;&gt;IF(IFERROR(SEARCH($R33,XKNVLSX!$X$1,1),0)&gt;=1,$R33,XKNVLSX!$X$1),COUNTIFS($C$2:$C32,$C33,$E$2:$E32,$E33,$Q$2:$Q32,$P33)&gt;=1),"",$P33))))</f>
        <v>VTLD</v>
      </c>
      <c r="R33" s="1017">
        <f ca="1">IF($A33="","",IFERROR(INDEX(TinhGia!$BF$10:$BF$81,MATCH($A33,TinhGia!$B$10:$B$81,0)),""))</f>
        <v>1</v>
      </c>
      <c r="S33" s="1012" t="str">
        <f ca="1">IF($A33="","",IF(OR(IFERROR(SEARCH($R33,XKNVLSX!$X$1,1),0)&gt;=1,XKNVLSX!$X$1=""),$S$2,""))</f>
        <v>XKNVLSX</v>
      </c>
      <c r="T33" s="1018" t="str">
        <f ca="1">IF($C33="","", IF(OR($P33=$V$1,$P33=$V$7,COUNTIFS($C$3:$C33,$C33,$E$3:$E33,$E33)&lt;=1),$P33,""    ))</f>
        <v>VTLD</v>
      </c>
      <c r="U33" s="1019" t="str">
        <f ca="1">IF(AND($P33=$V$2,COUNTIFS($C$3:$C33,$C33,$E$3:$E33,$E33,$G$3:$G33,$G33)&lt;=1),$P33,"")</f>
        <v/>
      </c>
    </row>
    <row r="34" spans="1:21">
      <c r="A34" s="991" t="str">
        <f ca="1">IFERROR(IF(COUNTIF($A$3:A33,A33)&lt; INDEX(TinhGia!$BH$10:$BH$81,MATCH($A33,TinhGia!$B$10:$B$81,0)),$A33,INDEX(TinhGia!$B$10:$B$81,MATCH($A33,TinhGia!$B$10:$B$81,0)+1)),"")</f>
        <v>MauKoXoa</v>
      </c>
      <c r="B34" s="525">
        <f ca="1">IF(OR(A34="",A34=0),"",IF(COUNTIF($A$2:A34,$A34)=1,ROW(MauKoXoa!$C$108),$B33+1))</f>
        <v>139</v>
      </c>
      <c r="C34" s="992" t="str">
        <f t="shared" ca="1" si="1"/>
        <v>LD</v>
      </c>
      <c r="D34" s="993" t="str">
        <f t="shared" ca="1" si="2"/>
        <v>Lưỡi dao rọc giấy</v>
      </c>
      <c r="E34" s="993" t="str">
        <f t="shared" ca="1" si="3"/>
        <v>T/C</v>
      </c>
      <c r="F34" s="992" t="str">
        <f t="shared" ca="1" si="0"/>
        <v>Cái</v>
      </c>
      <c r="G34" s="994">
        <f t="shared" ca="1" si="4"/>
        <v>0</v>
      </c>
      <c r="H34" s="913">
        <f t="shared" ca="1" si="5"/>
        <v>1</v>
      </c>
      <c r="I34" s="913">
        <f t="shared" ca="1" si="6"/>
        <v>2</v>
      </c>
      <c r="J34" s="995">
        <f t="shared" ca="1" si="7"/>
        <v>0</v>
      </c>
      <c r="K34" s="913">
        <f t="shared" ca="1" si="8"/>
        <v>2</v>
      </c>
      <c r="L34" s="995">
        <f t="shared" ca="1" si="9"/>
        <v>0</v>
      </c>
      <c r="M34" s="913">
        <f t="shared" ca="1" si="10"/>
        <v>1000</v>
      </c>
      <c r="N34" s="996">
        <f t="shared" ca="1" si="11"/>
        <v>2000</v>
      </c>
      <c r="O34" s="997">
        <f t="shared" ca="1" si="12"/>
        <v>2000</v>
      </c>
      <c r="P34" s="1015" t="str">
        <f ca="1">IF($C34="","",INDEX(NVLSX!$N$2:$N$6941,MATCH($C34,NVLSX!$E$2:$E$6941,0)))</f>
        <v>VTLD</v>
      </c>
      <c r="Q34" s="1016" t="str">
        <f ca="1">IF($R34="","",IF(XKNVLSX!$X$1="",IF($P34=$V$7,$P34, IF(COUNTIFS($C$2:$C33,$C34,$E$2:$E33,$E34)&gt;=1,"",$P34)),     IF(AND(IFERROR(SEARCH($R34,XKNVLSX!$X$1,1),0)&gt;=1,$P34=$V$7),$P34, IF(OR($R34&lt;&gt;IF(IFERROR(SEARCH($R34,XKNVLSX!$X$1,1),0)&gt;=1,$R34,XKNVLSX!$X$1),COUNTIFS($C$2:$C33,$C34,$E$2:$E33,$E34,$Q$2:$Q33,$P34)&gt;=1),"",$P34))))</f>
        <v>VTLD</v>
      </c>
      <c r="R34" s="1017">
        <f ca="1">IF($A34="","",IFERROR(INDEX(TinhGia!$BF$10:$BF$81,MATCH($A34,TinhGia!$B$10:$B$81,0)),""))</f>
        <v>1</v>
      </c>
      <c r="S34" s="1012" t="str">
        <f ca="1">IF($A34="","",IF(OR(IFERROR(SEARCH($R34,XKNVLSX!$X$1,1),0)&gt;=1,XKNVLSX!$X$1=""),$S$2,""))</f>
        <v>XKNVLSX</v>
      </c>
      <c r="T34" s="1018" t="str">
        <f ca="1">IF($C34="","", IF(OR($P34=$V$1,$P34=$V$7,COUNTIFS($C$3:$C34,$C34,$E$3:$E34,$E34)&lt;=1),$P34,""    ))</f>
        <v>VTLD</v>
      </c>
      <c r="U34" s="1019" t="str">
        <f ca="1">IF(AND($P34=$V$2,COUNTIFS($C$3:$C34,$C34,$E$3:$E34,$E34,$G$3:$G34,$G34)&lt;=1),$P34,"")</f>
        <v/>
      </c>
    </row>
    <row r="35" spans="1:21">
      <c r="A35" s="991" t="str">
        <f ca="1">IFERROR(IF(COUNTIF($A$3:A34,A34)&lt; INDEX(TinhGia!$BH$10:$BH$81,MATCH($A34,TinhGia!$B$10:$B$81,0)),$A34,INDEX(TinhGia!$B$10:$B$81,MATCH($A34,TinhGia!$B$10:$B$81,0)+1)),"")</f>
        <v>MauKoXoa</v>
      </c>
      <c r="B35" s="525">
        <f ca="1">IF(OR(A35="",A35=0),"",IF(COUNTIF($A$2:A35,$A35)=1,ROW(MauKoXoa!$C$108),$B34+1))</f>
        <v>140</v>
      </c>
      <c r="C35" s="992" t="str">
        <f t="shared" ca="1" si="1"/>
        <v>KT08</v>
      </c>
      <c r="D35" s="993" t="str">
        <f t="shared" ca="1" si="2"/>
        <v>Kính đơn 8 mm trong</v>
      </c>
      <c r="E35" s="993">
        <f t="shared" ca="1" si="3"/>
        <v>0</v>
      </c>
      <c r="F35" s="992" t="str">
        <f t="shared" ca="1" si="0"/>
        <v>1392 * 2005</v>
      </c>
      <c r="G35" s="994">
        <f t="shared" ca="1" si="4"/>
        <v>2.7909600000000001</v>
      </c>
      <c r="H35" s="913">
        <f t="shared" ca="1" si="5"/>
        <v>1</v>
      </c>
      <c r="I35" s="913">
        <f t="shared" ca="1" si="6"/>
        <v>5.5819200000000002</v>
      </c>
      <c r="J35" s="995">
        <f t="shared" ca="1" si="7"/>
        <v>0</v>
      </c>
      <c r="K35" s="913">
        <f t="shared" ca="1" si="8"/>
        <v>5.5819200000000002</v>
      </c>
      <c r="L35" s="995">
        <f t="shared" ca="1" si="9"/>
        <v>0</v>
      </c>
      <c r="M35" s="913">
        <f t="shared" ca="1" si="10"/>
        <v>220000</v>
      </c>
      <c r="N35" s="996">
        <f t="shared" ca="1" si="11"/>
        <v>1228022</v>
      </c>
      <c r="O35" s="997">
        <f t="shared" ca="1" si="12"/>
        <v>1228022</v>
      </c>
      <c r="P35" s="1015" t="str">
        <f ca="1">IF($C35="","",INDEX(NVLSX!$N$2:$N$6941,MATCH($C35,NVLSX!$E$2:$E$6941,0)))</f>
        <v>KI</v>
      </c>
      <c r="Q35" s="1016" t="str">
        <f ca="1">IF($R35="","",IF(XKNVLSX!$X$1="",IF($P35=$V$7,$P35, IF(COUNTIFS($C$2:$C34,$C35,$E$2:$E34,$E35)&gt;=1,"",$P35)),     IF(AND(IFERROR(SEARCH($R35,XKNVLSX!$X$1,1),0)&gt;=1,$P35=$V$7),$P35, IF(OR($R35&lt;&gt;IF(IFERROR(SEARCH($R35,XKNVLSX!$X$1,1),0)&gt;=1,$R35,XKNVLSX!$X$1),COUNTIFS($C$2:$C34,$C35,$E$2:$E34,$E35,$Q$2:$Q34,$P35)&gt;=1),"",$P35))))</f>
        <v>KI</v>
      </c>
      <c r="R35" s="1017">
        <f ca="1">IF($A35="","",IFERROR(INDEX(TinhGia!$BF$10:$BF$81,MATCH($A35,TinhGia!$B$10:$B$81,0)),""))</f>
        <v>1</v>
      </c>
      <c r="S35" s="1012" t="str">
        <f ca="1">IF($A35="","",IF(OR(IFERROR(SEARCH($R35,XKNVLSX!$X$1,1),0)&gt;=1,XKNVLSX!$X$1=""),$S$2,""))</f>
        <v>XKNVLSX</v>
      </c>
      <c r="T35" s="1018" t="str">
        <f ca="1">IF($C35="","", IF(OR($P35=$V$1,$P35=$V$7,COUNTIFS($C$3:$C35,$C35,$E$3:$E35,$E35)&lt;=1),$P35,""    ))</f>
        <v>KI</v>
      </c>
      <c r="U35" s="1019" t="str">
        <f ca="1">IF(AND($P35=$V$2,COUNTIFS($C$3:$C35,$C35,$E$3:$E35,$E35,$G$3:$G35,$G35)&lt;=1),$P35,"")</f>
        <v/>
      </c>
    </row>
    <row r="36" spans="1:21">
      <c r="A36" s="991" t="str">
        <f ca="1">IFERROR(IF(COUNTIF($A$3:A35,A35)&lt; INDEX(TinhGia!$BH$10:$BH$81,MATCH($A35,TinhGia!$B$10:$B$81,0)),$A35,INDEX(TinhGia!$B$10:$B$81,MATCH($A35,TinhGia!$B$10:$B$81,0)+1)),"")</f>
        <v/>
      </c>
      <c r="B36" s="525" t="str">
        <f ca="1">IF(OR(A36="",A36=0),"",IF(COUNTIF($A$2:A36,$A36)=1,ROW(MauKoXoa!$C$108),$B35+1))</f>
        <v/>
      </c>
      <c r="C36" s="992" t="str">
        <f t="shared" ca="1" si="1"/>
        <v/>
      </c>
      <c r="D36" s="993" t="str">
        <f t="shared" ca="1" si="2"/>
        <v/>
      </c>
      <c r="E36" s="993" t="str">
        <f t="shared" ca="1" si="3"/>
        <v/>
      </c>
      <c r="F36" s="992" t="str">
        <f t="shared" ca="1" si="0"/>
        <v/>
      </c>
      <c r="G36" s="994">
        <f t="shared" ca="1" si="4"/>
        <v>0</v>
      </c>
      <c r="H36" s="913">
        <f t="shared" ca="1" si="5"/>
        <v>0</v>
      </c>
      <c r="I36" s="913">
        <f t="shared" ca="1" si="6"/>
        <v>0</v>
      </c>
      <c r="J36" s="995">
        <f t="shared" ca="1" si="7"/>
        <v>0</v>
      </c>
      <c r="K36" s="913">
        <f t="shared" ca="1" si="8"/>
        <v>0</v>
      </c>
      <c r="L36" s="995">
        <f t="shared" ca="1" si="9"/>
        <v>0</v>
      </c>
      <c r="M36" s="913">
        <f t="shared" ca="1" si="10"/>
        <v>0</v>
      </c>
      <c r="N36" s="996">
        <f t="shared" ca="1" si="11"/>
        <v>0</v>
      </c>
      <c r="O36" s="997">
        <f t="shared" ca="1" si="12"/>
        <v>0</v>
      </c>
      <c r="P36" s="1015" t="str">
        <f ca="1">IF($C36="","",INDEX(NVLSX!$N$2:$N$6941,MATCH($C36,NVLSX!$E$2:$E$6941,0)))</f>
        <v/>
      </c>
      <c r="Q36" s="1016" t="str">
        <f ca="1">IF($R36="","",IF(XKNVLSX!$X$1="",IF($P36=$V$7,$P36, IF(COUNTIFS($C$2:$C35,$C36,$E$2:$E35,$E36)&gt;=1,"",$P36)),     IF(AND(IFERROR(SEARCH($R36,XKNVLSX!$X$1,1),0)&gt;=1,$P36=$V$7),$P36, IF(OR($R36&lt;&gt;IF(IFERROR(SEARCH($R36,XKNVLSX!$X$1,1),0)&gt;=1,$R36,XKNVLSX!$X$1),COUNTIFS($C$2:$C35,$C36,$E$2:$E35,$E36,$Q$2:$Q35,$P36)&gt;=1),"",$P36))))</f>
        <v/>
      </c>
      <c r="R36" s="1017" t="str">
        <f ca="1">IF($A36="","",IFERROR(INDEX(TinhGia!$BF$10:$BF$81,MATCH($A36,TinhGia!$B$10:$B$81,0)),""))</f>
        <v/>
      </c>
      <c r="S36" s="1012" t="str">
        <f ca="1">IF($A36="","",IF(OR(IFERROR(SEARCH($R36,XKNVLSX!$X$1,1),0)&gt;=1,XKNVLSX!$X$1=""),$S$2,""))</f>
        <v/>
      </c>
      <c r="T36" s="1018" t="str">
        <f ca="1">IF($C36="","", IF(OR($P36=$V$1,$P36=$V$7,COUNTIFS($C$3:$C36,$C36,$E$3:$E36,$E36)&lt;=1),$P36,""    ))</f>
        <v/>
      </c>
      <c r="U36" s="1019" t="str">
        <f ca="1">IF(AND($P36=$V$2,COUNTIFS($C$3:$C36,$C36,$E$3:$E36,$E36,$G$3:$G36,$G36)&lt;=1),$P36,"")</f>
        <v/>
      </c>
    </row>
    <row r="37" spans="1:21">
      <c r="A37" s="991" t="str">
        <f ca="1">IFERROR(IF(COUNTIF($A$3:A36,A36)&lt; INDEX(TinhGia!$BH$10:$BH$81,MATCH($A36,TinhGia!$B$10:$B$81,0)),$A36,INDEX(TinhGia!$B$10:$B$81,MATCH($A36,TinhGia!$B$10:$B$81,0)+1)),"")</f>
        <v/>
      </c>
      <c r="B37" s="525" t="str">
        <f ca="1">IF(OR(A37="",A37=0),"",IF(COUNTIF($A$2:A37,$A37)=1,ROW(MauKoXoa!$C$108),$B36+1))</f>
        <v/>
      </c>
      <c r="C37" s="992" t="str">
        <f t="shared" ca="1" si="1"/>
        <v/>
      </c>
      <c r="D37" s="992" t="str">
        <f t="shared" ca="1" si="2"/>
        <v/>
      </c>
      <c r="E37" s="993" t="str">
        <f t="shared" ca="1" si="3"/>
        <v/>
      </c>
      <c r="F37" s="992" t="str">
        <f t="shared" ca="1" si="0"/>
        <v/>
      </c>
      <c r="G37" s="994">
        <f t="shared" ca="1" si="4"/>
        <v>0</v>
      </c>
      <c r="H37" s="913">
        <f t="shared" ca="1" si="5"/>
        <v>0</v>
      </c>
      <c r="I37" s="913">
        <f t="shared" ca="1" si="6"/>
        <v>0</v>
      </c>
      <c r="J37" s="995">
        <f t="shared" ca="1" si="7"/>
        <v>0</v>
      </c>
      <c r="K37" s="913">
        <f t="shared" ca="1" si="8"/>
        <v>0</v>
      </c>
      <c r="L37" s="995">
        <f t="shared" ca="1" si="9"/>
        <v>0</v>
      </c>
      <c r="M37" s="913">
        <f t="shared" ca="1" si="10"/>
        <v>0</v>
      </c>
      <c r="N37" s="996">
        <f t="shared" ca="1" si="11"/>
        <v>0</v>
      </c>
      <c r="O37" s="997">
        <f t="shared" ca="1" si="12"/>
        <v>0</v>
      </c>
      <c r="P37" s="1015" t="str">
        <f ca="1">IF($C37="","",INDEX(NVLSX!$N$2:$N$6941,MATCH($C37,NVLSX!$E$2:$E$6941,0)))</f>
        <v/>
      </c>
      <c r="Q37" s="1016" t="str">
        <f ca="1">IF($R37="","",IF(XKNVLSX!$X$1="",IF($P37=$V$7,$P37, IF(COUNTIFS($C$2:$C36,$C37,$E$2:$E36,$E37)&gt;=1,"",$P37)),     IF(AND(IFERROR(SEARCH($R37,XKNVLSX!$X$1,1),0)&gt;=1,$P37=$V$7),$P37, IF(OR($R37&lt;&gt;IF(IFERROR(SEARCH($R37,XKNVLSX!$X$1,1),0)&gt;=1,$R37,XKNVLSX!$X$1),COUNTIFS($C$2:$C36,$C37,$E$2:$E36,$E37,$Q$2:$Q36,$P37)&gt;=1),"",$P37))))</f>
        <v/>
      </c>
      <c r="R37" s="1017" t="str">
        <f ca="1">IF($A37="","",IFERROR(INDEX(TinhGia!$BF$10:$BF$81,MATCH($A37,TinhGia!$B$10:$B$81,0)),""))</f>
        <v/>
      </c>
      <c r="S37" s="1012" t="str">
        <f ca="1">IF($A37="","",IF(OR(IFERROR(SEARCH($R37,XKNVLSX!$X$1,1),0)&gt;=1,XKNVLSX!$X$1=""),$S$2,""))</f>
        <v/>
      </c>
      <c r="T37" s="1018" t="str">
        <f ca="1">IF($C37="","", IF(OR($P37=$V$1,$P37=$V$7,COUNTIFS($C$3:$C37,$C37,$E$3:$E37,$E37)&lt;=1),$P37,""    ))</f>
        <v/>
      </c>
      <c r="U37" s="1019" t="str">
        <f ca="1">IF(AND($P37=$V$2,COUNTIFS($C$3:$C37,$C37,$E$3:$E37,$E37,$G$3:$G37,$G37)&lt;=1),$P37,"")</f>
        <v/>
      </c>
    </row>
    <row r="38" spans="1:21">
      <c r="A38" s="991" t="str">
        <f ca="1">IFERROR(IF(COUNTIF($A$3:A37,A37)&lt; INDEX(TinhGia!$BH$10:$BH$81,MATCH($A37,TinhGia!$B$10:$B$81,0)),$A37,INDEX(TinhGia!$B$10:$B$81,MATCH($A37,TinhGia!$B$10:$B$81,0)+1)),"")</f>
        <v/>
      </c>
      <c r="B38" s="525" t="str">
        <f ca="1">IF(OR(A38="",A38=0),"",IF(COUNTIF($A$2:A38,$A38)=1,ROW(MauKoXoa!$C$108),$B37+1))</f>
        <v/>
      </c>
      <c r="C38" s="992" t="str">
        <f t="shared" ca="1" si="1"/>
        <v/>
      </c>
      <c r="D38" s="993" t="str">
        <f t="shared" ca="1" si="2"/>
        <v/>
      </c>
      <c r="E38" s="993" t="str">
        <f t="shared" ca="1" si="3"/>
        <v/>
      </c>
      <c r="F38" s="992" t="str">
        <f t="shared" ca="1" si="0"/>
        <v/>
      </c>
      <c r="G38" s="994">
        <f t="shared" ca="1" si="4"/>
        <v>0</v>
      </c>
      <c r="H38" s="913">
        <f t="shared" ca="1" si="5"/>
        <v>0</v>
      </c>
      <c r="I38" s="913">
        <f t="shared" ca="1" si="6"/>
        <v>0</v>
      </c>
      <c r="J38" s="995">
        <f t="shared" ca="1" si="7"/>
        <v>0</v>
      </c>
      <c r="K38" s="913">
        <f t="shared" ca="1" si="8"/>
        <v>0</v>
      </c>
      <c r="L38" s="995">
        <f t="shared" ca="1" si="9"/>
        <v>0</v>
      </c>
      <c r="M38" s="913">
        <f t="shared" ca="1" si="10"/>
        <v>0</v>
      </c>
      <c r="N38" s="996">
        <f t="shared" ca="1" si="11"/>
        <v>0</v>
      </c>
      <c r="O38" s="997">
        <f t="shared" ca="1" si="12"/>
        <v>0</v>
      </c>
      <c r="P38" s="1015" t="str">
        <f ca="1">IF($C38="","",INDEX(NVLSX!$N$2:$N$6941,MATCH($C38,NVLSX!$E$2:$E$6941,0)))</f>
        <v/>
      </c>
      <c r="Q38" s="1016" t="str">
        <f ca="1">IF($R38="","",IF(XKNVLSX!$X$1="",IF($P38=$V$7,$P38, IF(COUNTIFS($C$2:$C37,$C38,$E$2:$E37,$E38)&gt;=1,"",$P38)),     IF(AND(IFERROR(SEARCH($R38,XKNVLSX!$X$1,1),0)&gt;=1,$P38=$V$7),$P38, IF(OR($R38&lt;&gt;IF(IFERROR(SEARCH($R38,XKNVLSX!$X$1,1),0)&gt;=1,$R38,XKNVLSX!$X$1),COUNTIFS($C$2:$C37,$C38,$E$2:$E37,$E38,$Q$2:$Q37,$P38)&gt;=1),"",$P38))))</f>
        <v/>
      </c>
      <c r="R38" s="1017" t="str">
        <f ca="1">IF($A38="","",IFERROR(INDEX(TinhGia!$BF$10:$BF$81,MATCH($A38,TinhGia!$B$10:$B$81,0)),""))</f>
        <v/>
      </c>
      <c r="S38" s="1012" t="str">
        <f ca="1">IF($A38="","",IF(OR(IFERROR(SEARCH($R38,XKNVLSX!$X$1,1),0)&gt;=1,XKNVLSX!$X$1=""),$S$2,""))</f>
        <v/>
      </c>
      <c r="T38" s="1018" t="str">
        <f ca="1">IF($C38="","", IF(OR($P38=$V$1,$P38=$V$7,COUNTIFS($C$3:$C38,$C38,$E$3:$E38,$E38)&lt;=1),$P38,""    ))</f>
        <v/>
      </c>
      <c r="U38" s="1019" t="str">
        <f ca="1">IF(AND($P38=$V$2,COUNTIFS($C$3:$C38,$C38,$E$3:$E38,$E38,$G$3:$G38,$G38)&lt;=1),$P38,"")</f>
        <v/>
      </c>
    </row>
    <row r="39" spans="1:21">
      <c r="A39" s="991" t="str">
        <f ca="1">IFERROR(IF(COUNTIF($A$3:A38,A38)&lt; INDEX(TinhGia!$BH$10:$BH$81,MATCH($A38,TinhGia!$B$10:$B$81,0)),$A38,INDEX(TinhGia!$B$10:$B$81,MATCH($A38,TinhGia!$B$10:$B$81,0)+1)),"")</f>
        <v/>
      </c>
      <c r="B39" s="525" t="str">
        <f ca="1">IF(OR(A39="",A39=0),"",IF(COUNTIF($A$2:A39,$A39)=1,ROW(MauKoXoa!$C$108),$B38+1))</f>
        <v/>
      </c>
      <c r="C39" s="992" t="str">
        <f t="shared" ca="1" si="1"/>
        <v/>
      </c>
      <c r="D39" s="993" t="str">
        <f t="shared" ca="1" si="2"/>
        <v/>
      </c>
      <c r="E39" s="993" t="str">
        <f t="shared" ca="1" si="3"/>
        <v/>
      </c>
      <c r="F39" s="992" t="str">
        <f t="shared" ca="1" si="0"/>
        <v/>
      </c>
      <c r="G39" s="994">
        <f t="shared" ca="1" si="4"/>
        <v>0</v>
      </c>
      <c r="H39" s="913">
        <f t="shared" ca="1" si="5"/>
        <v>0</v>
      </c>
      <c r="I39" s="913">
        <f t="shared" ca="1" si="6"/>
        <v>0</v>
      </c>
      <c r="J39" s="995">
        <f t="shared" ca="1" si="7"/>
        <v>0</v>
      </c>
      <c r="K39" s="913">
        <f t="shared" ca="1" si="8"/>
        <v>0</v>
      </c>
      <c r="L39" s="995">
        <f t="shared" ca="1" si="9"/>
        <v>0</v>
      </c>
      <c r="M39" s="913">
        <f t="shared" ca="1" si="10"/>
        <v>0</v>
      </c>
      <c r="N39" s="996">
        <f t="shared" ca="1" si="11"/>
        <v>0</v>
      </c>
      <c r="O39" s="997">
        <f t="shared" ca="1" si="12"/>
        <v>0</v>
      </c>
      <c r="P39" s="1015" t="str">
        <f ca="1">IF($C39="","",INDEX(NVLSX!$N$2:$N$6941,MATCH($C39,NVLSX!$E$2:$E$6941,0)))</f>
        <v/>
      </c>
      <c r="Q39" s="1016" t="str">
        <f ca="1">IF($R39="","",IF(XKNVLSX!$X$1="",IF($P39=$V$7,$P39, IF(COUNTIFS($C$2:$C38,$C39,$E$2:$E38,$E39)&gt;=1,"",$P39)),     IF(AND(IFERROR(SEARCH($R39,XKNVLSX!$X$1,1),0)&gt;=1,$P39=$V$7),$P39, IF(OR($R39&lt;&gt;IF(IFERROR(SEARCH($R39,XKNVLSX!$X$1,1),0)&gt;=1,$R39,XKNVLSX!$X$1),COUNTIFS($C$2:$C38,$C39,$E$2:$E38,$E39,$Q$2:$Q38,$P39)&gt;=1),"",$P39))))</f>
        <v/>
      </c>
      <c r="R39" s="1017" t="str">
        <f ca="1">IF($A39="","",IFERROR(INDEX(TinhGia!$BF$10:$BF$81,MATCH($A39,TinhGia!$B$10:$B$81,0)),""))</f>
        <v/>
      </c>
      <c r="S39" s="1012" t="str">
        <f ca="1">IF($A39="","",IF(OR(IFERROR(SEARCH($R39,XKNVLSX!$X$1,1),0)&gt;=1,XKNVLSX!$X$1=""),$S$2,""))</f>
        <v/>
      </c>
      <c r="T39" s="1018" t="str">
        <f ca="1">IF($C39="","", IF(OR($P39=$V$1,$P39=$V$7,COUNTIFS($C$3:$C39,$C39,$E$3:$E39,$E39)&lt;=1),$P39,""    ))</f>
        <v/>
      </c>
      <c r="U39" s="1019" t="str">
        <f ca="1">IF(AND($P39=$V$2,COUNTIFS($C$3:$C39,$C39,$E$3:$E39,$E39,$G$3:$G39,$G39)&lt;=1),$P39,"")</f>
        <v/>
      </c>
    </row>
    <row r="40" spans="1:21">
      <c r="A40" s="991" t="str">
        <f ca="1">IFERROR(IF(COUNTIF($A$3:A39,A39)&lt; INDEX(TinhGia!$BH$10:$BH$81,MATCH($A39,TinhGia!$B$10:$B$81,0)),$A39,INDEX(TinhGia!$B$10:$B$81,MATCH($A39,TinhGia!$B$10:$B$81,0)+1)),"")</f>
        <v/>
      </c>
      <c r="B40" s="525" t="str">
        <f ca="1">IF(OR(A40="",A40=0),"",IF(COUNTIF($A$2:A40,$A40)=1,ROW(MauKoXoa!$C$108),$B39+1))</f>
        <v/>
      </c>
      <c r="C40" s="992" t="str">
        <f t="shared" ca="1" si="1"/>
        <v/>
      </c>
      <c r="D40" s="993" t="str">
        <f t="shared" ca="1" si="2"/>
        <v/>
      </c>
      <c r="E40" s="993" t="str">
        <f t="shared" ca="1" si="3"/>
        <v/>
      </c>
      <c r="F40" s="992" t="str">
        <f t="shared" ca="1" si="0"/>
        <v/>
      </c>
      <c r="G40" s="994">
        <f t="shared" ca="1" si="4"/>
        <v>0</v>
      </c>
      <c r="H40" s="913">
        <f t="shared" ca="1" si="5"/>
        <v>0</v>
      </c>
      <c r="I40" s="913">
        <f t="shared" ca="1" si="6"/>
        <v>0</v>
      </c>
      <c r="J40" s="995">
        <f t="shared" ca="1" si="7"/>
        <v>0</v>
      </c>
      <c r="K40" s="913">
        <f t="shared" ca="1" si="8"/>
        <v>0</v>
      </c>
      <c r="L40" s="995">
        <f t="shared" ca="1" si="9"/>
        <v>0</v>
      </c>
      <c r="M40" s="913">
        <f t="shared" ca="1" si="10"/>
        <v>0</v>
      </c>
      <c r="N40" s="996">
        <f t="shared" ca="1" si="11"/>
        <v>0</v>
      </c>
      <c r="O40" s="997">
        <f t="shared" ca="1" si="12"/>
        <v>0</v>
      </c>
      <c r="P40" s="1015" t="str">
        <f ca="1">IF($C40="","",INDEX(NVLSX!$N$2:$N$6941,MATCH($C40,NVLSX!$E$2:$E$6941,0)))</f>
        <v/>
      </c>
      <c r="Q40" s="1016" t="str">
        <f ca="1">IF($R40="","",IF(XKNVLSX!$X$1="",IF($P40=$V$7,$P40, IF(COUNTIFS($C$2:$C39,$C40,$E$2:$E39,$E40)&gt;=1,"",$P40)),     IF(AND(IFERROR(SEARCH($R40,XKNVLSX!$X$1,1),0)&gt;=1,$P40=$V$7),$P40, IF(OR($R40&lt;&gt;IF(IFERROR(SEARCH($R40,XKNVLSX!$X$1,1),0)&gt;=1,$R40,XKNVLSX!$X$1),COUNTIFS($C$2:$C39,$C40,$E$2:$E39,$E40,$Q$2:$Q39,$P40)&gt;=1),"",$P40))))</f>
        <v/>
      </c>
      <c r="R40" s="1017" t="str">
        <f ca="1">IF($A40="","",IFERROR(INDEX(TinhGia!$BF$10:$BF$81,MATCH($A40,TinhGia!$B$10:$B$81,0)),""))</f>
        <v/>
      </c>
      <c r="S40" s="1012" t="str">
        <f ca="1">IF($A40="","",IF(OR(IFERROR(SEARCH($R40,XKNVLSX!$X$1,1),0)&gt;=1,XKNVLSX!$X$1=""),$S$2,""))</f>
        <v/>
      </c>
      <c r="T40" s="1018" t="str">
        <f ca="1">IF($C40="","", IF(OR($P40=$V$1,$P40=$V$7,COUNTIFS($C$3:$C40,$C40,$E$3:$E40,$E40)&lt;=1),$P40,""    ))</f>
        <v/>
      </c>
      <c r="U40" s="1019" t="str">
        <f ca="1">IF(AND($P40=$V$2,COUNTIFS($C$3:$C40,$C40,$E$3:$E40,$E40,$G$3:$G40,$G40)&lt;=1),$P40,"")</f>
        <v/>
      </c>
    </row>
    <row r="41" spans="1:21">
      <c r="A41" s="991" t="str">
        <f ca="1">IFERROR(IF(COUNTIF($A$3:A40,A40)&lt; INDEX(TinhGia!$BH$10:$BH$81,MATCH($A40,TinhGia!$B$10:$B$81,0)),$A40,INDEX(TinhGia!$B$10:$B$81,MATCH($A40,TinhGia!$B$10:$B$81,0)+1)),"")</f>
        <v/>
      </c>
      <c r="B41" s="525" t="str">
        <f ca="1">IF(OR(A41="",A41=0),"",IF(COUNTIF($A$2:A41,$A41)=1,ROW(MauKoXoa!$C$108),$B40+1))</f>
        <v/>
      </c>
      <c r="C41" s="992" t="str">
        <f t="shared" ca="1" si="1"/>
        <v/>
      </c>
      <c r="D41" s="993" t="str">
        <f t="shared" ca="1" si="2"/>
        <v/>
      </c>
      <c r="E41" s="993" t="str">
        <f t="shared" ca="1" si="3"/>
        <v/>
      </c>
      <c r="F41" s="992" t="str">
        <f t="shared" ca="1" si="0"/>
        <v/>
      </c>
      <c r="G41" s="994">
        <f t="shared" ca="1" si="4"/>
        <v>0</v>
      </c>
      <c r="H41" s="913">
        <f t="shared" ca="1" si="5"/>
        <v>0</v>
      </c>
      <c r="I41" s="913">
        <f t="shared" ca="1" si="6"/>
        <v>0</v>
      </c>
      <c r="J41" s="995">
        <f t="shared" ca="1" si="7"/>
        <v>0</v>
      </c>
      <c r="K41" s="913">
        <f t="shared" ca="1" si="8"/>
        <v>0</v>
      </c>
      <c r="L41" s="995">
        <f t="shared" ca="1" si="9"/>
        <v>0</v>
      </c>
      <c r="M41" s="913">
        <f t="shared" ca="1" si="10"/>
        <v>0</v>
      </c>
      <c r="N41" s="996">
        <f t="shared" ca="1" si="11"/>
        <v>0</v>
      </c>
      <c r="O41" s="997">
        <f t="shared" ca="1" si="12"/>
        <v>0</v>
      </c>
      <c r="P41" s="1015" t="str">
        <f ca="1">IF($C41="","",INDEX(NVLSX!$N$2:$N$6941,MATCH($C41,NVLSX!$E$2:$E$6941,0)))</f>
        <v/>
      </c>
      <c r="Q41" s="1016" t="str">
        <f ca="1">IF($R41="","",IF(XKNVLSX!$X$1="",IF($P41=$V$7,$P41, IF(COUNTIFS($C$2:$C40,$C41,$E$2:$E40,$E41)&gt;=1,"",$P41)),     IF(AND(IFERROR(SEARCH($R41,XKNVLSX!$X$1,1),0)&gt;=1,$P41=$V$7),$P41, IF(OR($R41&lt;&gt;IF(IFERROR(SEARCH($R41,XKNVLSX!$X$1,1),0)&gt;=1,$R41,XKNVLSX!$X$1),COUNTIFS($C$2:$C40,$C41,$E$2:$E40,$E41,$Q$2:$Q40,$P41)&gt;=1),"",$P41))))</f>
        <v/>
      </c>
      <c r="R41" s="1017" t="str">
        <f ca="1">IF($A41="","",IFERROR(INDEX(TinhGia!$BF$10:$BF$81,MATCH($A41,TinhGia!$B$10:$B$81,0)),""))</f>
        <v/>
      </c>
      <c r="S41" s="1012" t="str">
        <f ca="1">IF($A41="","",IF(OR(IFERROR(SEARCH($R41,XKNVLSX!$X$1,1),0)&gt;=1,XKNVLSX!$X$1=""),$S$2,""))</f>
        <v/>
      </c>
      <c r="T41" s="1018" t="str">
        <f ca="1">IF($C41="","", IF(OR($P41=$V$1,$P41=$V$7,COUNTIFS($C$3:$C41,$C41,$E$3:$E41,$E41)&lt;=1),$P41,""    ))</f>
        <v/>
      </c>
      <c r="U41" s="1019" t="str">
        <f ca="1">IF(AND($P41=$V$2,COUNTIFS($C$3:$C41,$C41,$E$3:$E41,$E41,$G$3:$G41,$G41)&lt;=1),$P41,"")</f>
        <v/>
      </c>
    </row>
    <row r="42" spans="1:21">
      <c r="A42" s="991" t="str">
        <f ca="1">IFERROR(IF(COUNTIF($A$3:A41,A41)&lt; INDEX(TinhGia!$BH$10:$BH$81,MATCH($A41,TinhGia!$B$10:$B$81,0)),$A41,INDEX(TinhGia!$B$10:$B$81,MATCH($A41,TinhGia!$B$10:$B$81,0)+1)),"")</f>
        <v/>
      </c>
      <c r="B42" s="525" t="str">
        <f ca="1">IF(OR(A42="",A42=0),"",IF(COUNTIF($A$2:A42,$A42)=1,ROW(MauKoXoa!$C$108),$B41+1))</f>
        <v/>
      </c>
      <c r="C42" s="992" t="str">
        <f t="shared" ca="1" si="1"/>
        <v/>
      </c>
      <c r="D42" s="993" t="str">
        <f t="shared" ca="1" si="2"/>
        <v/>
      </c>
      <c r="E42" s="993" t="str">
        <f t="shared" ca="1" si="3"/>
        <v/>
      </c>
      <c r="F42" s="992" t="str">
        <f t="shared" ca="1" si="0"/>
        <v/>
      </c>
      <c r="G42" s="994">
        <f t="shared" ca="1" si="4"/>
        <v>0</v>
      </c>
      <c r="H42" s="913">
        <f t="shared" ca="1" si="5"/>
        <v>0</v>
      </c>
      <c r="I42" s="913">
        <f t="shared" ca="1" si="6"/>
        <v>0</v>
      </c>
      <c r="J42" s="995">
        <f t="shared" ca="1" si="7"/>
        <v>0</v>
      </c>
      <c r="K42" s="913">
        <f t="shared" ca="1" si="8"/>
        <v>0</v>
      </c>
      <c r="L42" s="995">
        <f t="shared" ca="1" si="9"/>
        <v>0</v>
      </c>
      <c r="M42" s="913">
        <f t="shared" ca="1" si="10"/>
        <v>0</v>
      </c>
      <c r="N42" s="996">
        <f t="shared" ca="1" si="11"/>
        <v>0</v>
      </c>
      <c r="O42" s="997">
        <f t="shared" ca="1" si="12"/>
        <v>0</v>
      </c>
      <c r="P42" s="1015" t="str">
        <f ca="1">IF($C42="","",INDEX(NVLSX!$N$2:$N$6941,MATCH($C42,NVLSX!$E$2:$E$6941,0)))</f>
        <v/>
      </c>
      <c r="Q42" s="1016" t="str">
        <f ca="1">IF($R42="","",IF(XKNVLSX!$X$1="",IF($P42=$V$7,$P42, IF(COUNTIFS($C$2:$C41,$C42,$E$2:$E41,$E42)&gt;=1,"",$P42)),     IF(AND(IFERROR(SEARCH($R42,XKNVLSX!$X$1,1),0)&gt;=1,$P42=$V$7),$P42, IF(OR($R42&lt;&gt;IF(IFERROR(SEARCH($R42,XKNVLSX!$X$1,1),0)&gt;=1,$R42,XKNVLSX!$X$1),COUNTIFS($C$2:$C41,$C42,$E$2:$E41,$E42,$Q$2:$Q41,$P42)&gt;=1),"",$P42))))</f>
        <v/>
      </c>
      <c r="R42" s="1017" t="str">
        <f ca="1">IF($A42="","",IFERROR(INDEX(TinhGia!$BF$10:$BF$81,MATCH($A42,TinhGia!$B$10:$B$81,0)),""))</f>
        <v/>
      </c>
      <c r="S42" s="1012" t="str">
        <f ca="1">IF($A42="","",IF(OR(IFERROR(SEARCH($R42,XKNVLSX!$X$1,1),0)&gt;=1,XKNVLSX!$X$1=""),$S$2,""))</f>
        <v/>
      </c>
      <c r="T42" s="1018" t="str">
        <f ca="1">IF($C42="","", IF(OR($P42=$V$1,$P42=$V$7,COUNTIFS($C$3:$C42,$C42,$E$3:$E42,$E42)&lt;=1),$P42,""    ))</f>
        <v/>
      </c>
      <c r="U42" s="1019" t="str">
        <f ca="1">IF(AND($P42=$V$2,COUNTIFS($C$3:$C42,$C42,$E$3:$E42,$E42,$G$3:$G42,$G42)&lt;=1),$P42,"")</f>
        <v/>
      </c>
    </row>
    <row r="43" spans="1:21">
      <c r="A43" s="991" t="str">
        <f ca="1">IFERROR(IF(COUNTIF($A$3:A42,A42)&lt; INDEX(TinhGia!$BH$10:$BH$81,MATCH($A42,TinhGia!$B$10:$B$81,0)),$A42,INDEX(TinhGia!$B$10:$B$81,MATCH($A42,TinhGia!$B$10:$B$81,0)+1)),"")</f>
        <v/>
      </c>
      <c r="B43" s="525" t="str">
        <f ca="1">IF(OR(A43="",A43=0),"",IF(COUNTIF($A$2:A43,$A43)=1,ROW(MauKoXoa!$C$108),$B42+1))</f>
        <v/>
      </c>
      <c r="C43" s="992" t="str">
        <f t="shared" ca="1" si="1"/>
        <v/>
      </c>
      <c r="D43" s="993" t="str">
        <f t="shared" ca="1" si="2"/>
        <v/>
      </c>
      <c r="E43" s="993" t="str">
        <f t="shared" ca="1" si="3"/>
        <v/>
      </c>
      <c r="F43" s="992" t="str">
        <f t="shared" ca="1" si="0"/>
        <v/>
      </c>
      <c r="G43" s="994">
        <f t="shared" ca="1" si="4"/>
        <v>0</v>
      </c>
      <c r="H43" s="913">
        <f t="shared" ca="1" si="5"/>
        <v>0</v>
      </c>
      <c r="I43" s="913">
        <f t="shared" ca="1" si="6"/>
        <v>0</v>
      </c>
      <c r="J43" s="995">
        <f t="shared" ca="1" si="7"/>
        <v>0</v>
      </c>
      <c r="K43" s="913">
        <f t="shared" ca="1" si="8"/>
        <v>0</v>
      </c>
      <c r="L43" s="995">
        <f t="shared" ca="1" si="9"/>
        <v>0</v>
      </c>
      <c r="M43" s="913">
        <f t="shared" ca="1" si="10"/>
        <v>0</v>
      </c>
      <c r="N43" s="996">
        <f t="shared" ca="1" si="11"/>
        <v>0</v>
      </c>
      <c r="O43" s="997">
        <f t="shared" ca="1" si="12"/>
        <v>0</v>
      </c>
      <c r="P43" s="1015" t="str">
        <f ca="1">IF($C43="","",INDEX(NVLSX!$N$2:$N$6941,MATCH($C43,NVLSX!$E$2:$E$6941,0)))</f>
        <v/>
      </c>
      <c r="Q43" s="1016" t="str">
        <f ca="1">IF($R43="","",IF(XKNVLSX!$X$1="",IF($P43=$V$7,$P43, IF(COUNTIFS($C$2:$C42,$C43,$E$2:$E42,$E43)&gt;=1,"",$P43)),     IF(AND(IFERROR(SEARCH($R43,XKNVLSX!$X$1,1),0)&gt;=1,$P43=$V$7),$P43, IF(OR($R43&lt;&gt;IF(IFERROR(SEARCH($R43,XKNVLSX!$X$1,1),0)&gt;=1,$R43,XKNVLSX!$X$1),COUNTIFS($C$2:$C42,$C43,$E$2:$E42,$E43,$Q$2:$Q42,$P43)&gt;=1),"",$P43))))</f>
        <v/>
      </c>
      <c r="R43" s="1017" t="str">
        <f ca="1">IF($A43="","",IFERROR(INDEX(TinhGia!$BF$10:$BF$81,MATCH($A43,TinhGia!$B$10:$B$81,0)),""))</f>
        <v/>
      </c>
      <c r="S43" s="1012" t="str">
        <f ca="1">IF($A43="","",IF(OR(IFERROR(SEARCH($R43,XKNVLSX!$X$1,1),0)&gt;=1,XKNVLSX!$X$1=""),$S$2,""))</f>
        <v/>
      </c>
      <c r="T43" s="1018" t="str">
        <f ca="1">IF($C43="","", IF(OR($P43=$V$1,$P43=$V$7,COUNTIFS($C$3:$C43,$C43,$E$3:$E43,$E43)&lt;=1),$P43,""    ))</f>
        <v/>
      </c>
      <c r="U43" s="1019" t="str">
        <f ca="1">IF(AND($P43=$V$2,COUNTIFS($C$3:$C43,$C43,$E$3:$E43,$E43,$G$3:$G43,$G43)&lt;=1),$P43,"")</f>
        <v/>
      </c>
    </row>
    <row r="44" spans="1:21">
      <c r="A44" s="991" t="str">
        <f ca="1">IFERROR(IF(COUNTIF($A$3:A43,A43)&lt; INDEX(TinhGia!$BH$10:$BH$81,MATCH($A43,TinhGia!$B$10:$B$81,0)),$A43,INDEX(TinhGia!$B$10:$B$81,MATCH($A43,TinhGia!$B$10:$B$81,0)+1)),"")</f>
        <v/>
      </c>
      <c r="B44" s="525" t="str">
        <f ca="1">IF(OR(A44="",A44=0),"",IF(COUNTIF($A$2:A44,$A44)=1,ROW(MauKoXoa!$C$108),$B43+1))</f>
        <v/>
      </c>
      <c r="C44" s="992" t="str">
        <f t="shared" ca="1" si="1"/>
        <v/>
      </c>
      <c r="D44" s="993" t="str">
        <f t="shared" ca="1" si="2"/>
        <v/>
      </c>
      <c r="E44" s="993" t="str">
        <f t="shared" ca="1" si="3"/>
        <v/>
      </c>
      <c r="F44" s="992" t="str">
        <f t="shared" ca="1" si="0"/>
        <v/>
      </c>
      <c r="G44" s="994">
        <f t="shared" ca="1" si="4"/>
        <v>0</v>
      </c>
      <c r="H44" s="913">
        <f t="shared" ca="1" si="5"/>
        <v>0</v>
      </c>
      <c r="I44" s="913">
        <f t="shared" ca="1" si="6"/>
        <v>0</v>
      </c>
      <c r="J44" s="995">
        <f t="shared" ca="1" si="7"/>
        <v>0</v>
      </c>
      <c r="K44" s="913">
        <f t="shared" ca="1" si="8"/>
        <v>0</v>
      </c>
      <c r="L44" s="995">
        <f t="shared" ca="1" si="9"/>
        <v>0</v>
      </c>
      <c r="M44" s="913">
        <f t="shared" ca="1" si="10"/>
        <v>0</v>
      </c>
      <c r="N44" s="996">
        <f t="shared" ca="1" si="11"/>
        <v>0</v>
      </c>
      <c r="O44" s="997">
        <f t="shared" ca="1" si="12"/>
        <v>0</v>
      </c>
      <c r="P44" s="1015" t="str">
        <f ca="1">IF($C44="","",INDEX(NVLSX!$N$2:$N$6941,MATCH($C44,NVLSX!$E$2:$E$6941,0)))</f>
        <v/>
      </c>
      <c r="Q44" s="1016" t="str">
        <f ca="1">IF($R44="","",IF(XKNVLSX!$X$1="",IF($P44=$V$7,$P44, IF(COUNTIFS($C$2:$C43,$C44,$E$2:$E43,$E44)&gt;=1,"",$P44)),     IF(AND(IFERROR(SEARCH($R44,XKNVLSX!$X$1,1),0)&gt;=1,$P44=$V$7),$P44, IF(OR($R44&lt;&gt;IF(IFERROR(SEARCH($R44,XKNVLSX!$X$1,1),0)&gt;=1,$R44,XKNVLSX!$X$1),COUNTIFS($C$2:$C43,$C44,$E$2:$E43,$E44,$Q$2:$Q43,$P44)&gt;=1),"",$P44))))</f>
        <v/>
      </c>
      <c r="R44" s="1017" t="str">
        <f ca="1">IF($A44="","",IFERROR(INDEX(TinhGia!$BF$10:$BF$81,MATCH($A44,TinhGia!$B$10:$B$81,0)),""))</f>
        <v/>
      </c>
      <c r="S44" s="1012" t="str">
        <f ca="1">IF($A44="","",IF(OR(IFERROR(SEARCH($R44,XKNVLSX!$X$1,1),0)&gt;=1,XKNVLSX!$X$1=""),$S$2,""))</f>
        <v/>
      </c>
      <c r="T44" s="1018" t="str">
        <f ca="1">IF($C44="","", IF(OR($P44=$V$1,$P44=$V$7,COUNTIFS($C$3:$C44,$C44,$E$3:$E44,$E44)&lt;=1),$P44,""    ))</f>
        <v/>
      </c>
      <c r="U44" s="1019" t="str">
        <f ca="1">IF(AND($P44=$V$2,COUNTIFS($C$3:$C44,$C44,$E$3:$E44,$E44,$G$3:$G44,$G44)&lt;=1),$P44,"")</f>
        <v/>
      </c>
    </row>
    <row r="45" spans="1:21">
      <c r="A45" s="991" t="str">
        <f ca="1">IFERROR(IF(COUNTIF($A$3:A44,A44)&lt; INDEX(TinhGia!$BH$10:$BH$81,MATCH($A44,TinhGia!$B$10:$B$81,0)),$A44,INDEX(TinhGia!$B$10:$B$81,MATCH($A44,TinhGia!$B$10:$B$81,0)+1)),"")</f>
        <v/>
      </c>
      <c r="B45" s="525" t="str">
        <f ca="1">IF(OR(A45="",A45=0),"",IF(COUNTIF($A$2:A45,$A45)=1,ROW(MauKoXoa!$C$108),$B44+1))</f>
        <v/>
      </c>
      <c r="C45" s="992" t="str">
        <f t="shared" ca="1" si="1"/>
        <v/>
      </c>
      <c r="D45" s="993" t="str">
        <f t="shared" ca="1" si="2"/>
        <v/>
      </c>
      <c r="E45" s="993" t="str">
        <f t="shared" ca="1" si="3"/>
        <v/>
      </c>
      <c r="F45" s="992" t="str">
        <f t="shared" ca="1" si="0"/>
        <v/>
      </c>
      <c r="G45" s="994">
        <f t="shared" ca="1" si="4"/>
        <v>0</v>
      </c>
      <c r="H45" s="913">
        <f t="shared" ca="1" si="5"/>
        <v>0</v>
      </c>
      <c r="I45" s="913">
        <f t="shared" ca="1" si="6"/>
        <v>0</v>
      </c>
      <c r="J45" s="995">
        <f t="shared" ca="1" si="7"/>
        <v>0</v>
      </c>
      <c r="K45" s="913">
        <f t="shared" ca="1" si="8"/>
        <v>0</v>
      </c>
      <c r="L45" s="995">
        <f t="shared" ca="1" si="9"/>
        <v>0</v>
      </c>
      <c r="M45" s="913">
        <f t="shared" ca="1" si="10"/>
        <v>0</v>
      </c>
      <c r="N45" s="996">
        <f t="shared" ca="1" si="11"/>
        <v>0</v>
      </c>
      <c r="O45" s="997">
        <f t="shared" ca="1" si="12"/>
        <v>0</v>
      </c>
      <c r="P45" s="1015" t="str">
        <f ca="1">IF($C45="","",INDEX(NVLSX!$N$2:$N$6941,MATCH($C45,NVLSX!$E$2:$E$6941,0)))</f>
        <v/>
      </c>
      <c r="Q45" s="1016" t="str">
        <f ca="1">IF($R45="","",IF(XKNVLSX!$X$1="",IF($P45=$V$7,$P45, IF(COUNTIFS($C$2:$C44,$C45,$E$2:$E44,$E45)&gt;=1,"",$P45)),     IF(AND(IFERROR(SEARCH($R45,XKNVLSX!$X$1,1),0)&gt;=1,$P45=$V$7),$P45, IF(OR($R45&lt;&gt;IF(IFERROR(SEARCH($R45,XKNVLSX!$X$1,1),0)&gt;=1,$R45,XKNVLSX!$X$1),COUNTIFS($C$2:$C44,$C45,$E$2:$E44,$E45,$Q$2:$Q44,$P45)&gt;=1),"",$P45))))</f>
        <v/>
      </c>
      <c r="R45" s="1017" t="str">
        <f ca="1">IF($A45="","",IFERROR(INDEX(TinhGia!$BF$10:$BF$81,MATCH($A45,TinhGia!$B$10:$B$81,0)),""))</f>
        <v/>
      </c>
      <c r="S45" s="1012" t="str">
        <f ca="1">IF($A45="","",IF(OR(IFERROR(SEARCH($R45,XKNVLSX!$X$1,1),0)&gt;=1,XKNVLSX!$X$1=""),$S$2,""))</f>
        <v/>
      </c>
      <c r="T45" s="1018" t="str">
        <f ca="1">IF($C45="","", IF(OR($P45=$V$1,$P45=$V$7,COUNTIFS($C$3:$C45,$C45,$E$3:$E45,$E45)&lt;=1),$P45,""    ))</f>
        <v/>
      </c>
      <c r="U45" s="1019" t="str">
        <f ca="1">IF(AND($P45=$V$2,COUNTIFS($C$3:$C45,$C45,$E$3:$E45,$E45,$G$3:$G45,$G45)&lt;=1),$P45,"")</f>
        <v/>
      </c>
    </row>
    <row r="46" spans="1:21">
      <c r="A46" s="991" t="str">
        <f ca="1">IFERROR(IF(COUNTIF($A$3:A45,A45)&lt; INDEX(TinhGia!$BH$10:$BH$81,MATCH($A45,TinhGia!$B$10:$B$81,0)),$A45,INDEX(TinhGia!$B$10:$B$81,MATCH($A45,TinhGia!$B$10:$B$81,0)+1)),"")</f>
        <v/>
      </c>
      <c r="B46" s="525" t="str">
        <f ca="1">IF(OR(A46="",A46=0),"",IF(COUNTIF($A$2:A46,$A46)=1,ROW(MauKoXoa!$C$108),$B45+1))</f>
        <v/>
      </c>
      <c r="C46" s="992" t="str">
        <f t="shared" ca="1" si="1"/>
        <v/>
      </c>
      <c r="D46" s="993" t="str">
        <f t="shared" ca="1" si="2"/>
        <v/>
      </c>
      <c r="E46" s="993" t="str">
        <f t="shared" ca="1" si="3"/>
        <v/>
      </c>
      <c r="F46" s="992" t="str">
        <f t="shared" ca="1" si="0"/>
        <v/>
      </c>
      <c r="G46" s="994">
        <f t="shared" ca="1" si="4"/>
        <v>0</v>
      </c>
      <c r="H46" s="913">
        <f t="shared" ca="1" si="5"/>
        <v>0</v>
      </c>
      <c r="I46" s="913">
        <f t="shared" ca="1" si="6"/>
        <v>0</v>
      </c>
      <c r="J46" s="995">
        <f t="shared" ca="1" si="7"/>
        <v>0</v>
      </c>
      <c r="K46" s="913">
        <f t="shared" ca="1" si="8"/>
        <v>0</v>
      </c>
      <c r="L46" s="995">
        <f t="shared" ca="1" si="9"/>
        <v>0</v>
      </c>
      <c r="M46" s="913">
        <f t="shared" ca="1" si="10"/>
        <v>0</v>
      </c>
      <c r="N46" s="996">
        <f t="shared" ca="1" si="11"/>
        <v>0</v>
      </c>
      <c r="O46" s="997">
        <f t="shared" ca="1" si="12"/>
        <v>0</v>
      </c>
      <c r="P46" s="1015" t="str">
        <f ca="1">IF($C46="","",INDEX(NVLSX!$N$2:$N$6941,MATCH($C46,NVLSX!$E$2:$E$6941,0)))</f>
        <v/>
      </c>
      <c r="Q46" s="1016" t="str">
        <f ca="1">IF($R46="","",IF(XKNVLSX!$X$1="",IF($P46=$V$7,$P46, IF(COUNTIFS($C$2:$C45,$C46,$E$2:$E45,$E46)&gt;=1,"",$P46)),     IF(AND(IFERROR(SEARCH($R46,XKNVLSX!$X$1,1),0)&gt;=1,$P46=$V$7),$P46, IF(OR($R46&lt;&gt;IF(IFERROR(SEARCH($R46,XKNVLSX!$X$1,1),0)&gt;=1,$R46,XKNVLSX!$X$1),COUNTIFS($C$2:$C45,$C46,$E$2:$E45,$E46,$Q$2:$Q45,$P46)&gt;=1),"",$P46))))</f>
        <v/>
      </c>
      <c r="R46" s="1017" t="str">
        <f ca="1">IF($A46="","",IFERROR(INDEX(TinhGia!$BF$10:$BF$81,MATCH($A46,TinhGia!$B$10:$B$81,0)),""))</f>
        <v/>
      </c>
      <c r="S46" s="1012" t="str">
        <f ca="1">IF($A46="","",IF(OR(IFERROR(SEARCH($R46,XKNVLSX!$X$1,1),0)&gt;=1,XKNVLSX!$X$1=""),$S$2,""))</f>
        <v/>
      </c>
      <c r="T46" s="1018" t="str">
        <f ca="1">IF($C46="","", IF(OR($P46=$V$1,$P46=$V$7,COUNTIFS($C$3:$C46,$C46,$E$3:$E46,$E46)&lt;=1),$P46,""    ))</f>
        <v/>
      </c>
      <c r="U46" s="1019" t="str">
        <f ca="1">IF(AND($P46=$V$2,COUNTIFS($C$3:$C46,$C46,$E$3:$E46,$E46,$G$3:$G46,$G46)&lt;=1),$P46,"")</f>
        <v/>
      </c>
    </row>
    <row r="47" spans="1:21">
      <c r="A47" s="991" t="str">
        <f ca="1">IFERROR(IF(COUNTIF($A$3:A46,A46)&lt; INDEX(TinhGia!$BH$10:$BH$81,MATCH($A46,TinhGia!$B$10:$B$81,0)),$A46,INDEX(TinhGia!$B$10:$B$81,MATCH($A46,TinhGia!$B$10:$B$81,0)+1)),"")</f>
        <v/>
      </c>
      <c r="B47" s="525" t="str">
        <f ca="1">IF(OR(A47="",A47=0),"",IF(COUNTIF($A$2:A47,$A47)=1,ROW(MauKoXoa!$C$108),$B46+1))</f>
        <v/>
      </c>
      <c r="C47" s="992" t="str">
        <f t="shared" ca="1" si="1"/>
        <v/>
      </c>
      <c r="D47" s="993" t="str">
        <f t="shared" ca="1" si="2"/>
        <v/>
      </c>
      <c r="E47" s="993" t="str">
        <f t="shared" ca="1" si="3"/>
        <v/>
      </c>
      <c r="F47" s="992" t="str">
        <f t="shared" ca="1" si="0"/>
        <v/>
      </c>
      <c r="G47" s="994">
        <f t="shared" ca="1" si="4"/>
        <v>0</v>
      </c>
      <c r="H47" s="913">
        <f t="shared" ca="1" si="5"/>
        <v>0</v>
      </c>
      <c r="I47" s="913">
        <f t="shared" ca="1" si="6"/>
        <v>0</v>
      </c>
      <c r="J47" s="995">
        <f t="shared" ca="1" si="7"/>
        <v>0</v>
      </c>
      <c r="K47" s="913">
        <f t="shared" ca="1" si="8"/>
        <v>0</v>
      </c>
      <c r="L47" s="995">
        <f t="shared" ca="1" si="9"/>
        <v>0</v>
      </c>
      <c r="M47" s="913">
        <f t="shared" ca="1" si="10"/>
        <v>0</v>
      </c>
      <c r="N47" s="996">
        <f t="shared" ca="1" si="11"/>
        <v>0</v>
      </c>
      <c r="O47" s="997">
        <f t="shared" ca="1" si="12"/>
        <v>0</v>
      </c>
      <c r="P47" s="1015" t="str">
        <f ca="1">IF($C47="","",INDEX(NVLSX!$N$2:$N$6941,MATCH($C47,NVLSX!$E$2:$E$6941,0)))</f>
        <v/>
      </c>
      <c r="Q47" s="1016" t="str">
        <f ca="1">IF($R47="","",IF(XKNVLSX!$X$1="",IF($P47=$V$7,$P47, IF(COUNTIFS($C$2:$C46,$C47,$E$2:$E46,$E47)&gt;=1,"",$P47)),     IF(AND(IFERROR(SEARCH($R47,XKNVLSX!$X$1,1),0)&gt;=1,$P47=$V$7),$P47, IF(OR($R47&lt;&gt;IF(IFERROR(SEARCH($R47,XKNVLSX!$X$1,1),0)&gt;=1,$R47,XKNVLSX!$X$1),COUNTIFS($C$2:$C46,$C47,$E$2:$E46,$E47,$Q$2:$Q46,$P47)&gt;=1),"",$P47))))</f>
        <v/>
      </c>
      <c r="R47" s="1017" t="str">
        <f ca="1">IF($A47="","",IFERROR(INDEX(TinhGia!$BF$10:$BF$81,MATCH($A47,TinhGia!$B$10:$B$81,0)),""))</f>
        <v/>
      </c>
      <c r="S47" s="1012" t="str">
        <f ca="1">IF($A47="","",IF(OR(IFERROR(SEARCH($R47,XKNVLSX!$X$1,1),0)&gt;=1,XKNVLSX!$X$1=""),$S$2,""))</f>
        <v/>
      </c>
      <c r="T47" s="1018" t="str">
        <f ca="1">IF($C47="","", IF(OR($P47=$V$1,$P47=$V$7,COUNTIFS($C$3:$C47,$C47,$E$3:$E47,$E47)&lt;=1),$P47,""    ))</f>
        <v/>
      </c>
      <c r="U47" s="1019" t="str">
        <f ca="1">IF(AND($P47=$V$2,COUNTIFS($C$3:$C47,$C47,$E$3:$E47,$E47,$G$3:$G47,$G47)&lt;=1),$P47,"")</f>
        <v/>
      </c>
    </row>
    <row r="48" spans="1:21">
      <c r="A48" s="991" t="str">
        <f ca="1">IFERROR(IF(COUNTIF($A$3:A47,A47)&lt; INDEX(TinhGia!$BH$10:$BH$81,MATCH($A47,TinhGia!$B$10:$B$81,0)),$A47,INDEX(TinhGia!$B$10:$B$81,MATCH($A47,TinhGia!$B$10:$B$81,0)+1)),"")</f>
        <v/>
      </c>
      <c r="B48" s="525" t="str">
        <f ca="1">IF(OR(A48="",A48=0),"",IF(COUNTIF($A$2:A48,$A48)=1,ROW(MauKoXoa!$C$108),$B47+1))</f>
        <v/>
      </c>
      <c r="C48" s="992" t="str">
        <f t="shared" ca="1" si="1"/>
        <v/>
      </c>
      <c r="D48" s="993" t="str">
        <f t="shared" ca="1" si="2"/>
        <v/>
      </c>
      <c r="E48" s="993" t="str">
        <f t="shared" ca="1" si="3"/>
        <v/>
      </c>
      <c r="F48" s="992" t="str">
        <f t="shared" ca="1" si="0"/>
        <v/>
      </c>
      <c r="G48" s="994">
        <f t="shared" ca="1" si="4"/>
        <v>0</v>
      </c>
      <c r="H48" s="913">
        <f t="shared" ca="1" si="5"/>
        <v>0</v>
      </c>
      <c r="I48" s="913">
        <f t="shared" ca="1" si="6"/>
        <v>0</v>
      </c>
      <c r="J48" s="995">
        <f t="shared" ca="1" si="7"/>
        <v>0</v>
      </c>
      <c r="K48" s="913">
        <f t="shared" ca="1" si="8"/>
        <v>0</v>
      </c>
      <c r="L48" s="995">
        <f t="shared" ca="1" si="9"/>
        <v>0</v>
      </c>
      <c r="M48" s="913">
        <f t="shared" ca="1" si="10"/>
        <v>0</v>
      </c>
      <c r="N48" s="996">
        <f t="shared" ca="1" si="11"/>
        <v>0</v>
      </c>
      <c r="O48" s="997">
        <f t="shared" ca="1" si="12"/>
        <v>0</v>
      </c>
      <c r="P48" s="1015" t="str">
        <f ca="1">IF($C48="","",INDEX(NVLSX!$N$2:$N$6941,MATCH($C48,NVLSX!$E$2:$E$6941,0)))</f>
        <v/>
      </c>
      <c r="Q48" s="1016" t="str">
        <f ca="1">IF($R48="","",IF(XKNVLSX!$X$1="",IF($P48=$V$7,$P48, IF(COUNTIFS($C$2:$C47,$C48,$E$2:$E47,$E48)&gt;=1,"",$P48)),     IF(AND(IFERROR(SEARCH($R48,XKNVLSX!$X$1,1),0)&gt;=1,$P48=$V$7),$P48, IF(OR($R48&lt;&gt;IF(IFERROR(SEARCH($R48,XKNVLSX!$X$1,1),0)&gt;=1,$R48,XKNVLSX!$X$1),COUNTIFS($C$2:$C47,$C48,$E$2:$E47,$E48,$Q$2:$Q47,$P48)&gt;=1),"",$P48))))</f>
        <v/>
      </c>
      <c r="R48" s="1017" t="str">
        <f ca="1">IF($A48="","",IFERROR(INDEX(TinhGia!$BF$10:$BF$81,MATCH($A48,TinhGia!$B$10:$B$81,0)),""))</f>
        <v/>
      </c>
      <c r="S48" s="1012" t="str">
        <f ca="1">IF($A48="","",IF(OR(IFERROR(SEARCH($R48,XKNVLSX!$X$1,1),0)&gt;=1,XKNVLSX!$X$1=""),$S$2,""))</f>
        <v/>
      </c>
      <c r="T48" s="1018" t="str">
        <f ca="1">IF($C48="","", IF(OR($P48=$V$1,$P48=$V$7,COUNTIFS($C$3:$C48,$C48,$E$3:$E48,$E48)&lt;=1),$P48,""    ))</f>
        <v/>
      </c>
      <c r="U48" s="1019" t="str">
        <f ca="1">IF(AND($P48=$V$2,COUNTIFS($C$3:$C48,$C48,$E$3:$E48,$E48,$G$3:$G48,$G48)&lt;=1),$P48,"")</f>
        <v/>
      </c>
    </row>
    <row r="49" spans="1:21">
      <c r="A49" s="991" t="str">
        <f ca="1">IFERROR(IF(COUNTIF($A$3:A48,A48)&lt; INDEX(TinhGia!$BH$10:$BH$81,MATCH($A48,TinhGia!$B$10:$B$81,0)),$A48,INDEX(TinhGia!$B$10:$B$81,MATCH($A48,TinhGia!$B$10:$B$81,0)+1)),"")</f>
        <v/>
      </c>
      <c r="B49" s="525" t="str">
        <f ca="1">IF(OR(A49="",A49=0),"",IF(COUNTIF($A$2:A49,$A49)=1,ROW(MauKoXoa!$C$108),$B48+1))</f>
        <v/>
      </c>
      <c r="C49" s="992" t="str">
        <f t="shared" ca="1" si="1"/>
        <v/>
      </c>
      <c r="D49" s="993" t="str">
        <f t="shared" ca="1" si="2"/>
        <v/>
      </c>
      <c r="E49" s="993" t="str">
        <f t="shared" ca="1" si="3"/>
        <v/>
      </c>
      <c r="F49" s="992" t="str">
        <f t="shared" ca="1" si="0"/>
        <v/>
      </c>
      <c r="G49" s="994">
        <f t="shared" ca="1" si="4"/>
        <v>0</v>
      </c>
      <c r="H49" s="913">
        <f t="shared" ca="1" si="5"/>
        <v>0</v>
      </c>
      <c r="I49" s="913">
        <f t="shared" ca="1" si="6"/>
        <v>0</v>
      </c>
      <c r="J49" s="995">
        <f t="shared" ca="1" si="7"/>
        <v>0</v>
      </c>
      <c r="K49" s="913">
        <f t="shared" ca="1" si="8"/>
        <v>0</v>
      </c>
      <c r="L49" s="995">
        <f t="shared" ca="1" si="9"/>
        <v>0</v>
      </c>
      <c r="M49" s="913">
        <f t="shared" ca="1" si="10"/>
        <v>0</v>
      </c>
      <c r="N49" s="996">
        <f t="shared" ca="1" si="11"/>
        <v>0</v>
      </c>
      <c r="O49" s="997">
        <f t="shared" ca="1" si="12"/>
        <v>0</v>
      </c>
      <c r="P49" s="1015" t="str">
        <f ca="1">IF($C49="","",INDEX(NVLSX!$N$2:$N$6941,MATCH($C49,NVLSX!$E$2:$E$6941,0)))</f>
        <v/>
      </c>
      <c r="Q49" s="1016" t="str">
        <f ca="1">IF($R49="","",IF(XKNVLSX!$X$1="",IF($P49=$V$7,$P49, IF(COUNTIFS($C$2:$C48,$C49,$E$2:$E48,$E49)&gt;=1,"",$P49)),     IF(AND(IFERROR(SEARCH($R49,XKNVLSX!$X$1,1),0)&gt;=1,$P49=$V$7),$P49, IF(OR($R49&lt;&gt;IF(IFERROR(SEARCH($R49,XKNVLSX!$X$1,1),0)&gt;=1,$R49,XKNVLSX!$X$1),COUNTIFS($C$2:$C48,$C49,$E$2:$E48,$E49,$Q$2:$Q48,$P49)&gt;=1),"",$P49))))</f>
        <v/>
      </c>
      <c r="R49" s="1017" t="str">
        <f ca="1">IF($A49="","",IFERROR(INDEX(TinhGia!$BF$10:$BF$81,MATCH($A49,TinhGia!$B$10:$B$81,0)),""))</f>
        <v/>
      </c>
      <c r="S49" s="1012" t="str">
        <f ca="1">IF($A49="","",IF(OR(IFERROR(SEARCH($R49,XKNVLSX!$X$1,1),0)&gt;=1,XKNVLSX!$X$1=""),$S$2,""))</f>
        <v/>
      </c>
      <c r="T49" s="1018" t="str">
        <f ca="1">IF($C49="","", IF(OR($P49=$V$1,$P49=$V$7,COUNTIFS($C$3:$C49,$C49,$E$3:$E49,$E49)&lt;=1),$P49,""    ))</f>
        <v/>
      </c>
      <c r="U49" s="1019" t="str">
        <f ca="1">IF(AND($P49=$V$2,COUNTIFS($C$3:$C49,$C49,$E$3:$E49,$E49,$G$3:$G49,$G49)&lt;=1),$P49,"")</f>
        <v/>
      </c>
    </row>
    <row r="50" spans="1:21">
      <c r="A50" s="991" t="str">
        <f ca="1">IFERROR(IF(COUNTIF($A$3:A49,A49)&lt; INDEX(TinhGia!$BH$10:$BH$81,MATCH($A49,TinhGia!$B$10:$B$81,0)),$A49,INDEX(TinhGia!$B$10:$B$81,MATCH($A49,TinhGia!$B$10:$B$81,0)+1)),"")</f>
        <v/>
      </c>
      <c r="B50" s="525" t="str">
        <f ca="1">IF(OR(A50="",A50=0),"",IF(COUNTIF($A$2:A50,$A50)=1,ROW(MauKoXoa!$C$108),$B49+1))</f>
        <v/>
      </c>
      <c r="C50" s="992" t="str">
        <f t="shared" ca="1" si="1"/>
        <v/>
      </c>
      <c r="D50" s="993" t="str">
        <f t="shared" ca="1" si="2"/>
        <v/>
      </c>
      <c r="E50" s="993" t="str">
        <f t="shared" ca="1" si="3"/>
        <v/>
      </c>
      <c r="F50" s="992" t="str">
        <f t="shared" ca="1" si="0"/>
        <v/>
      </c>
      <c r="G50" s="994">
        <f t="shared" ca="1" si="4"/>
        <v>0</v>
      </c>
      <c r="H50" s="913">
        <f t="shared" ca="1" si="5"/>
        <v>0</v>
      </c>
      <c r="I50" s="913">
        <f t="shared" ca="1" si="6"/>
        <v>0</v>
      </c>
      <c r="J50" s="995">
        <f t="shared" ca="1" si="7"/>
        <v>0</v>
      </c>
      <c r="K50" s="913">
        <f t="shared" ca="1" si="8"/>
        <v>0</v>
      </c>
      <c r="L50" s="995">
        <f t="shared" ca="1" si="9"/>
        <v>0</v>
      </c>
      <c r="M50" s="913">
        <f t="shared" ca="1" si="10"/>
        <v>0</v>
      </c>
      <c r="N50" s="996">
        <f t="shared" ca="1" si="11"/>
        <v>0</v>
      </c>
      <c r="O50" s="997">
        <f t="shared" ca="1" si="12"/>
        <v>0</v>
      </c>
      <c r="P50" s="1015" t="str">
        <f ca="1">IF($C50="","",INDEX(NVLSX!$N$2:$N$6941,MATCH($C50,NVLSX!$E$2:$E$6941,0)))</f>
        <v/>
      </c>
      <c r="Q50" s="1016" t="str">
        <f ca="1">IF($R50="","",IF(XKNVLSX!$X$1="",IF($P50=$V$7,$P50, IF(COUNTIFS($C$2:$C49,$C50,$E$2:$E49,$E50)&gt;=1,"",$P50)),     IF(AND(IFERROR(SEARCH($R50,XKNVLSX!$X$1,1),0)&gt;=1,$P50=$V$7),$P50, IF(OR($R50&lt;&gt;IF(IFERROR(SEARCH($R50,XKNVLSX!$X$1,1),0)&gt;=1,$R50,XKNVLSX!$X$1),COUNTIFS($C$2:$C49,$C50,$E$2:$E49,$E50,$Q$2:$Q49,$P50)&gt;=1),"",$P50))))</f>
        <v/>
      </c>
      <c r="R50" s="1017" t="str">
        <f ca="1">IF($A50="","",IFERROR(INDEX(TinhGia!$BF$10:$BF$81,MATCH($A50,TinhGia!$B$10:$B$81,0)),""))</f>
        <v/>
      </c>
      <c r="S50" s="1012" t="str">
        <f ca="1">IF($A50="","",IF(OR(IFERROR(SEARCH($R50,XKNVLSX!$X$1,1),0)&gt;=1,XKNVLSX!$X$1=""),$S$2,""))</f>
        <v/>
      </c>
      <c r="T50" s="1018" t="str">
        <f ca="1">IF($C50="","", IF(OR($P50=$V$1,$P50=$V$7,COUNTIFS($C$3:$C50,$C50,$E$3:$E50,$E50)&lt;=1),$P50,""    ))</f>
        <v/>
      </c>
      <c r="U50" s="1019" t="str">
        <f ca="1">IF(AND($P50=$V$2,COUNTIFS($C$3:$C50,$C50,$E$3:$E50,$E50,$G$3:$G50,$G50)&lt;=1),$P50,"")</f>
        <v/>
      </c>
    </row>
    <row r="51" spans="1:21">
      <c r="A51" s="991" t="str">
        <f ca="1">IFERROR(IF(COUNTIF($A$3:A50,A50)&lt; INDEX(TinhGia!$BH$10:$BH$81,MATCH($A50,TinhGia!$B$10:$B$81,0)),$A50,INDEX(TinhGia!$B$10:$B$81,MATCH($A50,TinhGia!$B$10:$B$81,0)+1)),"")</f>
        <v/>
      </c>
      <c r="B51" s="525" t="str">
        <f ca="1">IF(OR(A51="",A51=0),"",IF(COUNTIF($A$2:A51,$A51)=1,ROW(MauKoXoa!$C$108),$B50+1))</f>
        <v/>
      </c>
      <c r="C51" s="992" t="str">
        <f t="shared" ca="1" si="1"/>
        <v/>
      </c>
      <c r="D51" s="993" t="str">
        <f t="shared" ca="1" si="2"/>
        <v/>
      </c>
      <c r="E51" s="993" t="str">
        <f t="shared" ca="1" si="3"/>
        <v/>
      </c>
      <c r="F51" s="992" t="str">
        <f t="shared" ca="1" si="0"/>
        <v/>
      </c>
      <c r="G51" s="994">
        <f t="shared" ca="1" si="4"/>
        <v>0</v>
      </c>
      <c r="H51" s="913">
        <f t="shared" ca="1" si="5"/>
        <v>0</v>
      </c>
      <c r="I51" s="913">
        <f t="shared" ca="1" si="6"/>
        <v>0</v>
      </c>
      <c r="J51" s="995">
        <f t="shared" ca="1" si="7"/>
        <v>0</v>
      </c>
      <c r="K51" s="913">
        <f t="shared" ca="1" si="8"/>
        <v>0</v>
      </c>
      <c r="L51" s="995">
        <f t="shared" ca="1" si="9"/>
        <v>0</v>
      </c>
      <c r="M51" s="913">
        <f t="shared" ca="1" si="10"/>
        <v>0</v>
      </c>
      <c r="N51" s="996">
        <f t="shared" ca="1" si="11"/>
        <v>0</v>
      </c>
      <c r="O51" s="997">
        <f t="shared" ca="1" si="12"/>
        <v>0</v>
      </c>
      <c r="P51" s="1015" t="str">
        <f ca="1">IF($C51="","",INDEX(NVLSX!$N$2:$N$6941,MATCH($C51,NVLSX!$E$2:$E$6941,0)))</f>
        <v/>
      </c>
      <c r="Q51" s="1016" t="str">
        <f ca="1">IF($R51="","",IF(XKNVLSX!$X$1="",IF($P51=$V$7,$P51, IF(COUNTIFS($C$2:$C50,$C51,$E$2:$E50,$E51)&gt;=1,"",$P51)),     IF(AND(IFERROR(SEARCH($R51,XKNVLSX!$X$1,1),0)&gt;=1,$P51=$V$7),$P51, IF(OR($R51&lt;&gt;IF(IFERROR(SEARCH($R51,XKNVLSX!$X$1,1),0)&gt;=1,$R51,XKNVLSX!$X$1),COUNTIFS($C$2:$C50,$C51,$E$2:$E50,$E51,$Q$2:$Q50,$P51)&gt;=1),"",$P51))))</f>
        <v/>
      </c>
      <c r="R51" s="1017" t="str">
        <f ca="1">IF($A51="","",IFERROR(INDEX(TinhGia!$BF$10:$BF$81,MATCH($A51,TinhGia!$B$10:$B$81,0)),""))</f>
        <v/>
      </c>
      <c r="S51" s="1012" t="str">
        <f ca="1">IF($A51="","",IF(OR(IFERROR(SEARCH($R51,XKNVLSX!$X$1,1),0)&gt;=1,XKNVLSX!$X$1=""),$S$2,""))</f>
        <v/>
      </c>
      <c r="T51" s="1018" t="str">
        <f ca="1">IF($C51="","", IF(OR($P51=$V$1,$P51=$V$7,COUNTIFS($C$3:$C51,$C51,$E$3:$E51,$E51)&lt;=1),$P51,""    ))</f>
        <v/>
      </c>
      <c r="U51" s="1019" t="str">
        <f ca="1">IF(AND($P51=$V$2,COUNTIFS($C$3:$C51,$C51,$E$3:$E51,$E51,$G$3:$G51,$G51)&lt;=1),$P51,"")</f>
        <v/>
      </c>
    </row>
    <row r="52" spans="1:21">
      <c r="A52" s="991" t="str">
        <f ca="1">IFERROR(IF(COUNTIF($A$3:A51,A51)&lt; INDEX(TinhGia!$BH$10:$BH$81,MATCH($A51,TinhGia!$B$10:$B$81,0)),$A51,INDEX(TinhGia!$B$10:$B$81,MATCH($A51,TinhGia!$B$10:$B$81,0)+1)),"")</f>
        <v/>
      </c>
      <c r="B52" s="525" t="str">
        <f ca="1">IF(OR(A52="",A52=0),"",IF(COUNTIF($A$2:A52,$A52)=1,ROW(MauKoXoa!$C$108),$B51+1))</f>
        <v/>
      </c>
      <c r="C52" s="992" t="str">
        <f t="shared" ca="1" si="1"/>
        <v/>
      </c>
      <c r="D52" s="993" t="str">
        <f t="shared" ca="1" si="2"/>
        <v/>
      </c>
      <c r="E52" s="993" t="str">
        <f t="shared" ca="1" si="3"/>
        <v/>
      </c>
      <c r="F52" s="992" t="str">
        <f t="shared" ca="1" si="0"/>
        <v/>
      </c>
      <c r="G52" s="994">
        <f t="shared" ca="1" si="4"/>
        <v>0</v>
      </c>
      <c r="H52" s="913">
        <f t="shared" ca="1" si="5"/>
        <v>0</v>
      </c>
      <c r="I52" s="913">
        <f t="shared" ca="1" si="6"/>
        <v>0</v>
      </c>
      <c r="J52" s="995">
        <f t="shared" ca="1" si="7"/>
        <v>0</v>
      </c>
      <c r="K52" s="913">
        <f t="shared" ca="1" si="8"/>
        <v>0</v>
      </c>
      <c r="L52" s="995">
        <f t="shared" ca="1" si="9"/>
        <v>0</v>
      </c>
      <c r="M52" s="913">
        <f t="shared" ca="1" si="10"/>
        <v>0</v>
      </c>
      <c r="N52" s="996">
        <f t="shared" ca="1" si="11"/>
        <v>0</v>
      </c>
      <c r="O52" s="997">
        <f t="shared" ca="1" si="12"/>
        <v>0</v>
      </c>
      <c r="P52" s="1015" t="str">
        <f ca="1">IF($C52="","",INDEX(NVLSX!$N$2:$N$6941,MATCH($C52,NVLSX!$E$2:$E$6941,0)))</f>
        <v/>
      </c>
      <c r="Q52" s="1016" t="str">
        <f ca="1">IF($R52="","",IF(XKNVLSX!$X$1="",IF($P52=$V$7,$P52, IF(COUNTIFS($C$2:$C51,$C52,$E$2:$E51,$E52)&gt;=1,"",$P52)),     IF(AND(IFERROR(SEARCH($R52,XKNVLSX!$X$1,1),0)&gt;=1,$P52=$V$7),$P52, IF(OR($R52&lt;&gt;IF(IFERROR(SEARCH($R52,XKNVLSX!$X$1,1),0)&gt;=1,$R52,XKNVLSX!$X$1),COUNTIFS($C$2:$C51,$C52,$E$2:$E51,$E52,$Q$2:$Q51,$P52)&gt;=1),"",$P52))))</f>
        <v/>
      </c>
      <c r="R52" s="1017" t="str">
        <f ca="1">IF($A52="","",IFERROR(INDEX(TinhGia!$BF$10:$BF$81,MATCH($A52,TinhGia!$B$10:$B$81,0)),""))</f>
        <v/>
      </c>
      <c r="S52" s="1012" t="str">
        <f ca="1">IF($A52="","",IF(OR(IFERROR(SEARCH($R52,XKNVLSX!$X$1,1),0)&gt;=1,XKNVLSX!$X$1=""),$S$2,""))</f>
        <v/>
      </c>
      <c r="T52" s="1018" t="str">
        <f ca="1">IF($C52="","", IF(OR($P52=$V$1,$P52=$V$7,COUNTIFS($C$3:$C52,$C52,$E$3:$E52,$E52)&lt;=1),$P52,""    ))</f>
        <v/>
      </c>
      <c r="U52" s="1019" t="str">
        <f ca="1">IF(AND($P52=$V$2,COUNTIFS($C$3:$C52,$C52,$E$3:$E52,$E52,$G$3:$G52,$G52)&lt;=1),$P52,"")</f>
        <v/>
      </c>
    </row>
    <row r="53" spans="1:21">
      <c r="A53" s="991" t="str">
        <f ca="1">IFERROR(IF(COUNTIF($A$3:A52,A52)&lt; INDEX(TinhGia!$BH$10:$BH$81,MATCH($A52,TinhGia!$B$10:$B$81,0)),$A52,INDEX(TinhGia!$B$10:$B$81,MATCH($A52,TinhGia!$B$10:$B$81,0)+1)),"")</f>
        <v/>
      </c>
      <c r="B53" s="525" t="str">
        <f ca="1">IF(OR(A53="",A53=0),"",IF(COUNTIF($A$2:A53,$A53)=1,ROW(MauKoXoa!$C$108),$B52+1))</f>
        <v/>
      </c>
      <c r="C53" s="992" t="str">
        <f t="shared" ca="1" si="1"/>
        <v/>
      </c>
      <c r="D53" s="993" t="str">
        <f t="shared" ca="1" si="2"/>
        <v/>
      </c>
      <c r="E53" s="993" t="str">
        <f t="shared" ca="1" si="3"/>
        <v/>
      </c>
      <c r="F53" s="992" t="str">
        <f t="shared" ca="1" si="0"/>
        <v/>
      </c>
      <c r="G53" s="994">
        <f t="shared" ca="1" si="4"/>
        <v>0</v>
      </c>
      <c r="H53" s="913">
        <f t="shared" ca="1" si="5"/>
        <v>0</v>
      </c>
      <c r="I53" s="913">
        <f t="shared" ca="1" si="6"/>
        <v>0</v>
      </c>
      <c r="J53" s="995">
        <f t="shared" ca="1" si="7"/>
        <v>0</v>
      </c>
      <c r="K53" s="913">
        <f t="shared" ca="1" si="8"/>
        <v>0</v>
      </c>
      <c r="L53" s="995">
        <f t="shared" ca="1" si="9"/>
        <v>0</v>
      </c>
      <c r="M53" s="913">
        <f t="shared" ca="1" si="10"/>
        <v>0</v>
      </c>
      <c r="N53" s="996">
        <f t="shared" ca="1" si="11"/>
        <v>0</v>
      </c>
      <c r="O53" s="997">
        <f t="shared" ca="1" si="12"/>
        <v>0</v>
      </c>
      <c r="P53" s="1015" t="str">
        <f ca="1">IF($C53="","",INDEX(NVLSX!$N$2:$N$6941,MATCH($C53,NVLSX!$E$2:$E$6941,0)))</f>
        <v/>
      </c>
      <c r="Q53" s="1016" t="str">
        <f ca="1">IF($R53="","",IF(XKNVLSX!$X$1="",IF($P53=$V$7,$P53, IF(COUNTIFS($C$2:$C52,$C53,$E$2:$E52,$E53)&gt;=1,"",$P53)),     IF(AND(IFERROR(SEARCH($R53,XKNVLSX!$X$1,1),0)&gt;=1,$P53=$V$7),$P53, IF(OR($R53&lt;&gt;IF(IFERROR(SEARCH($R53,XKNVLSX!$X$1,1),0)&gt;=1,$R53,XKNVLSX!$X$1),COUNTIFS($C$2:$C52,$C53,$E$2:$E52,$E53,$Q$2:$Q52,$P53)&gt;=1),"",$P53))))</f>
        <v/>
      </c>
      <c r="R53" s="1017" t="str">
        <f ca="1">IF($A53="","",IFERROR(INDEX(TinhGia!$BF$10:$BF$81,MATCH($A53,TinhGia!$B$10:$B$81,0)),""))</f>
        <v/>
      </c>
      <c r="S53" s="1012" t="str">
        <f ca="1">IF($A53="","",IF(OR(IFERROR(SEARCH($R53,XKNVLSX!$X$1,1),0)&gt;=1,XKNVLSX!$X$1=""),$S$2,""))</f>
        <v/>
      </c>
      <c r="T53" s="1018" t="str">
        <f ca="1">IF($C53="","", IF(OR($P53=$V$1,$P53=$V$7,COUNTIFS($C$3:$C53,$C53,$E$3:$E53,$E53)&lt;=1),$P53,""    ))</f>
        <v/>
      </c>
      <c r="U53" s="1019" t="str">
        <f ca="1">IF(AND($P53=$V$2,COUNTIFS($C$3:$C53,$C53,$E$3:$E53,$E53,$G$3:$G53,$G53)&lt;=1),$P53,"")</f>
        <v/>
      </c>
    </row>
    <row r="54" spans="1:21">
      <c r="A54" s="991" t="str">
        <f ca="1">IFERROR(IF(COUNTIF($A$3:A53,A53)&lt; INDEX(TinhGia!$BH$10:$BH$81,MATCH($A53,TinhGia!$B$10:$B$81,0)),$A53,INDEX(TinhGia!$B$10:$B$81,MATCH($A53,TinhGia!$B$10:$B$81,0)+1)),"")</f>
        <v/>
      </c>
      <c r="B54" s="525" t="str">
        <f ca="1">IF(OR(A54="",A54=0),"",IF(COUNTIF($A$2:A54,$A54)=1,ROW(MauKoXoa!$C$108),$B53+1))</f>
        <v/>
      </c>
      <c r="C54" s="992" t="str">
        <f t="shared" ca="1" si="1"/>
        <v/>
      </c>
      <c r="D54" s="993" t="str">
        <f t="shared" ca="1" si="2"/>
        <v/>
      </c>
      <c r="E54" s="993" t="str">
        <f t="shared" ca="1" si="3"/>
        <v/>
      </c>
      <c r="F54" s="992" t="str">
        <f t="shared" ca="1" si="0"/>
        <v/>
      </c>
      <c r="G54" s="994">
        <f t="shared" ca="1" si="4"/>
        <v>0</v>
      </c>
      <c r="H54" s="913">
        <f t="shared" ca="1" si="5"/>
        <v>0</v>
      </c>
      <c r="I54" s="913">
        <f t="shared" ca="1" si="6"/>
        <v>0</v>
      </c>
      <c r="J54" s="995">
        <f t="shared" ca="1" si="7"/>
        <v>0</v>
      </c>
      <c r="K54" s="913">
        <f t="shared" ca="1" si="8"/>
        <v>0</v>
      </c>
      <c r="L54" s="995">
        <f t="shared" ca="1" si="9"/>
        <v>0</v>
      </c>
      <c r="M54" s="913">
        <f t="shared" ca="1" si="10"/>
        <v>0</v>
      </c>
      <c r="N54" s="996">
        <f t="shared" ca="1" si="11"/>
        <v>0</v>
      </c>
      <c r="O54" s="997">
        <f t="shared" ca="1" si="12"/>
        <v>0</v>
      </c>
      <c r="P54" s="1015" t="str">
        <f ca="1">IF($C54="","",INDEX(NVLSX!$N$2:$N$6941,MATCH($C54,NVLSX!$E$2:$E$6941,0)))</f>
        <v/>
      </c>
      <c r="Q54" s="1016" t="str">
        <f ca="1">IF($R54="","",IF(XKNVLSX!$X$1="",IF($P54=$V$7,$P54, IF(COUNTIFS($C$2:$C53,$C54,$E$2:$E53,$E54)&gt;=1,"",$P54)),     IF(AND(IFERROR(SEARCH($R54,XKNVLSX!$X$1,1),0)&gt;=1,$P54=$V$7),$P54, IF(OR($R54&lt;&gt;IF(IFERROR(SEARCH($R54,XKNVLSX!$X$1,1),0)&gt;=1,$R54,XKNVLSX!$X$1),COUNTIFS($C$2:$C53,$C54,$E$2:$E53,$E54,$Q$2:$Q53,$P54)&gt;=1),"",$P54))))</f>
        <v/>
      </c>
      <c r="R54" s="1017" t="str">
        <f ca="1">IF($A54="","",IFERROR(INDEX(TinhGia!$BF$10:$BF$81,MATCH($A54,TinhGia!$B$10:$B$81,0)),""))</f>
        <v/>
      </c>
      <c r="S54" s="1012" t="str">
        <f ca="1">IF($A54="","",IF(OR(IFERROR(SEARCH($R54,XKNVLSX!$X$1,1),0)&gt;=1,XKNVLSX!$X$1=""),$S$2,""))</f>
        <v/>
      </c>
      <c r="T54" s="1018" t="str">
        <f ca="1">IF($C54="","", IF(OR($P54=$V$1,$P54=$V$7,COUNTIFS($C$3:$C54,$C54,$E$3:$E54,$E54)&lt;=1),$P54,""    ))</f>
        <v/>
      </c>
      <c r="U54" s="1019" t="str">
        <f ca="1">IF(AND($P54=$V$2,COUNTIFS($C$3:$C54,$C54,$E$3:$E54,$E54,$G$3:$G54,$G54)&lt;=1),$P54,"")</f>
        <v/>
      </c>
    </row>
    <row r="55" spans="1:21">
      <c r="A55" s="991" t="str">
        <f ca="1">IFERROR(IF(COUNTIF($A$3:A54,A54)&lt; INDEX(TinhGia!$BH$10:$BH$81,MATCH($A54,TinhGia!$B$10:$B$81,0)),$A54,INDEX(TinhGia!$B$10:$B$81,MATCH($A54,TinhGia!$B$10:$B$81,0)+1)),"")</f>
        <v/>
      </c>
      <c r="B55" s="525" t="str">
        <f ca="1">IF(OR(A55="",A55=0),"",IF(COUNTIF($A$2:A55,$A55)=1,ROW(MauKoXoa!$C$108),$B54+1))</f>
        <v/>
      </c>
      <c r="C55" s="992" t="str">
        <f t="shared" ca="1" si="1"/>
        <v/>
      </c>
      <c r="D55" s="993" t="str">
        <f t="shared" ca="1" si="2"/>
        <v/>
      </c>
      <c r="E55" s="993" t="str">
        <f t="shared" ca="1" si="3"/>
        <v/>
      </c>
      <c r="F55" s="992" t="str">
        <f t="shared" ca="1" si="0"/>
        <v/>
      </c>
      <c r="G55" s="994">
        <f t="shared" ca="1" si="4"/>
        <v>0</v>
      </c>
      <c r="H55" s="913">
        <f t="shared" ca="1" si="5"/>
        <v>0</v>
      </c>
      <c r="I55" s="913">
        <f t="shared" ca="1" si="6"/>
        <v>0</v>
      </c>
      <c r="J55" s="995">
        <f t="shared" ca="1" si="7"/>
        <v>0</v>
      </c>
      <c r="K55" s="913">
        <f t="shared" ca="1" si="8"/>
        <v>0</v>
      </c>
      <c r="L55" s="995">
        <f t="shared" ca="1" si="9"/>
        <v>0</v>
      </c>
      <c r="M55" s="913">
        <f t="shared" ca="1" si="10"/>
        <v>0</v>
      </c>
      <c r="N55" s="996">
        <f t="shared" ca="1" si="11"/>
        <v>0</v>
      </c>
      <c r="O55" s="997">
        <f t="shared" ca="1" si="12"/>
        <v>0</v>
      </c>
      <c r="P55" s="1015" t="str">
        <f ca="1">IF($C55="","",INDEX(NVLSX!$N$2:$N$6941,MATCH($C55,NVLSX!$E$2:$E$6941,0)))</f>
        <v/>
      </c>
      <c r="Q55" s="1016" t="str">
        <f ca="1">IF($R55="","",IF(XKNVLSX!$X$1="",IF($P55=$V$7,$P55, IF(COUNTIFS($C$2:$C54,$C55,$E$2:$E54,$E55)&gt;=1,"",$P55)),     IF(AND(IFERROR(SEARCH($R55,XKNVLSX!$X$1,1),0)&gt;=1,$P55=$V$7),$P55, IF(OR($R55&lt;&gt;IF(IFERROR(SEARCH($R55,XKNVLSX!$X$1,1),0)&gt;=1,$R55,XKNVLSX!$X$1),COUNTIFS($C$2:$C54,$C55,$E$2:$E54,$E55,$Q$2:$Q54,$P55)&gt;=1),"",$P55))))</f>
        <v/>
      </c>
      <c r="R55" s="1017" t="str">
        <f ca="1">IF($A55="","",IFERROR(INDEX(TinhGia!$BF$10:$BF$81,MATCH($A55,TinhGia!$B$10:$B$81,0)),""))</f>
        <v/>
      </c>
      <c r="S55" s="1012" t="str">
        <f ca="1">IF($A55="","",IF(OR(IFERROR(SEARCH($R55,XKNVLSX!$X$1,1),0)&gt;=1,XKNVLSX!$X$1=""),$S$2,""))</f>
        <v/>
      </c>
      <c r="T55" s="1018" t="str">
        <f ca="1">IF($C55="","", IF(OR($P55=$V$1,$P55=$V$7,COUNTIFS($C$3:$C55,$C55,$E$3:$E55,$E55)&lt;=1),$P55,""    ))</f>
        <v/>
      </c>
      <c r="U55" s="1019" t="str">
        <f ca="1">IF(AND($P55=$V$2,COUNTIFS($C$3:$C55,$C55,$E$3:$E55,$E55,$G$3:$G55,$G55)&lt;=1),$P55,"")</f>
        <v/>
      </c>
    </row>
    <row r="56" spans="1:21">
      <c r="A56" s="991" t="str">
        <f ca="1">IFERROR(IF(COUNTIF($A$3:A55,A55)&lt; INDEX(TinhGia!$BH$10:$BH$81,MATCH($A55,TinhGia!$B$10:$B$81,0)),$A55,INDEX(TinhGia!$B$10:$B$81,MATCH($A55,TinhGia!$B$10:$B$81,0)+1)),"")</f>
        <v/>
      </c>
      <c r="B56" s="525" t="str">
        <f ca="1">IF(OR(A56="",A56=0),"",IF(COUNTIF($A$2:A56,$A56)=1,ROW(MauKoXoa!$C$108),$B55+1))</f>
        <v/>
      </c>
      <c r="C56" s="992" t="str">
        <f t="shared" ca="1" si="1"/>
        <v/>
      </c>
      <c r="D56" s="993" t="str">
        <f t="shared" ca="1" si="2"/>
        <v/>
      </c>
      <c r="E56" s="993" t="str">
        <f t="shared" ca="1" si="3"/>
        <v/>
      </c>
      <c r="F56" s="992" t="str">
        <f t="shared" ca="1" si="0"/>
        <v/>
      </c>
      <c r="G56" s="994">
        <f t="shared" ca="1" si="4"/>
        <v>0</v>
      </c>
      <c r="H56" s="913">
        <f t="shared" ca="1" si="5"/>
        <v>0</v>
      </c>
      <c r="I56" s="913">
        <f t="shared" ca="1" si="6"/>
        <v>0</v>
      </c>
      <c r="J56" s="995">
        <f t="shared" ca="1" si="7"/>
        <v>0</v>
      </c>
      <c r="K56" s="913">
        <f t="shared" ca="1" si="8"/>
        <v>0</v>
      </c>
      <c r="L56" s="995">
        <f t="shared" ca="1" si="9"/>
        <v>0</v>
      </c>
      <c r="M56" s="913">
        <f t="shared" ca="1" si="10"/>
        <v>0</v>
      </c>
      <c r="N56" s="996">
        <f t="shared" ca="1" si="11"/>
        <v>0</v>
      </c>
      <c r="O56" s="997">
        <f t="shared" ca="1" si="12"/>
        <v>0</v>
      </c>
      <c r="P56" s="1015" t="str">
        <f ca="1">IF($C56="","",INDEX(NVLSX!$N$2:$N$6941,MATCH($C56,NVLSX!$E$2:$E$6941,0)))</f>
        <v/>
      </c>
      <c r="Q56" s="1016" t="str">
        <f ca="1">IF($R56="","",IF(XKNVLSX!$X$1="",IF($P56=$V$7,$P56, IF(COUNTIFS($C$2:$C55,$C56,$E$2:$E55,$E56)&gt;=1,"",$P56)),     IF(AND(IFERROR(SEARCH($R56,XKNVLSX!$X$1,1),0)&gt;=1,$P56=$V$7),$P56, IF(OR($R56&lt;&gt;IF(IFERROR(SEARCH($R56,XKNVLSX!$X$1,1),0)&gt;=1,$R56,XKNVLSX!$X$1),COUNTIFS($C$2:$C55,$C56,$E$2:$E55,$E56,$Q$2:$Q55,$P56)&gt;=1),"",$P56))))</f>
        <v/>
      </c>
      <c r="R56" s="1017" t="str">
        <f ca="1">IF($A56="","",IFERROR(INDEX(TinhGia!$BF$10:$BF$81,MATCH($A56,TinhGia!$B$10:$B$81,0)),""))</f>
        <v/>
      </c>
      <c r="S56" s="1012" t="str">
        <f ca="1">IF($A56="","",IF(OR(IFERROR(SEARCH($R56,XKNVLSX!$X$1,1),0)&gt;=1,XKNVLSX!$X$1=""),$S$2,""))</f>
        <v/>
      </c>
      <c r="T56" s="1018" t="str">
        <f ca="1">IF($C56="","", IF(OR($P56=$V$1,$P56=$V$7,COUNTIFS($C$3:$C56,$C56,$E$3:$E56,$E56)&lt;=1),$P56,""    ))</f>
        <v/>
      </c>
      <c r="U56" s="1019" t="str">
        <f ca="1">IF(AND($P56=$V$2,COUNTIFS($C$3:$C56,$C56,$E$3:$E56,$E56,$G$3:$G56,$G56)&lt;=1),$P56,"")</f>
        <v/>
      </c>
    </row>
    <row r="57" spans="1:21">
      <c r="A57" s="991" t="str">
        <f ca="1">IFERROR(IF(COUNTIF($A$3:A56,A56)&lt; INDEX(TinhGia!$BH$10:$BH$81,MATCH($A56,TinhGia!$B$10:$B$81,0)),$A56,INDEX(TinhGia!$B$10:$B$81,MATCH($A56,TinhGia!$B$10:$B$81,0)+1)),"")</f>
        <v/>
      </c>
      <c r="B57" s="525" t="str">
        <f ca="1">IF(OR(A57="",A57=0),"",IF(COUNTIF($A$2:A57,$A57)=1,ROW(MauKoXoa!$C$108),$B56+1))</f>
        <v/>
      </c>
      <c r="C57" s="992" t="str">
        <f t="shared" ca="1" si="1"/>
        <v/>
      </c>
      <c r="D57" s="993" t="str">
        <f t="shared" ca="1" si="2"/>
        <v/>
      </c>
      <c r="E57" s="993" t="str">
        <f t="shared" ca="1" si="3"/>
        <v/>
      </c>
      <c r="F57" s="992" t="str">
        <f t="shared" ca="1" si="0"/>
        <v/>
      </c>
      <c r="G57" s="994">
        <f t="shared" ca="1" si="4"/>
        <v>0</v>
      </c>
      <c r="H57" s="913">
        <f t="shared" ca="1" si="5"/>
        <v>0</v>
      </c>
      <c r="I57" s="913">
        <f t="shared" ca="1" si="6"/>
        <v>0</v>
      </c>
      <c r="J57" s="995">
        <f t="shared" ca="1" si="7"/>
        <v>0</v>
      </c>
      <c r="K57" s="913">
        <f t="shared" ca="1" si="8"/>
        <v>0</v>
      </c>
      <c r="L57" s="995">
        <f t="shared" ca="1" si="9"/>
        <v>0</v>
      </c>
      <c r="M57" s="913">
        <f t="shared" ca="1" si="10"/>
        <v>0</v>
      </c>
      <c r="N57" s="996">
        <f t="shared" ca="1" si="11"/>
        <v>0</v>
      </c>
      <c r="O57" s="997">
        <f t="shared" ca="1" si="12"/>
        <v>0</v>
      </c>
      <c r="P57" s="1015" t="str">
        <f ca="1">IF($C57="","",INDEX(NVLSX!$N$2:$N$6941,MATCH($C57,NVLSX!$E$2:$E$6941,0)))</f>
        <v/>
      </c>
      <c r="Q57" s="1016" t="str">
        <f ca="1">IF($R57="","",IF(XKNVLSX!$X$1="",IF($P57=$V$7,$P57, IF(COUNTIFS($C$2:$C56,$C57,$E$2:$E56,$E57)&gt;=1,"",$P57)),     IF(AND(IFERROR(SEARCH($R57,XKNVLSX!$X$1,1),0)&gt;=1,$P57=$V$7),$P57, IF(OR($R57&lt;&gt;IF(IFERROR(SEARCH($R57,XKNVLSX!$X$1,1),0)&gt;=1,$R57,XKNVLSX!$X$1),COUNTIFS($C$2:$C56,$C57,$E$2:$E56,$E57,$Q$2:$Q56,$P57)&gt;=1),"",$P57))))</f>
        <v/>
      </c>
      <c r="R57" s="1017" t="str">
        <f ca="1">IF($A57="","",IFERROR(INDEX(TinhGia!$BF$10:$BF$81,MATCH($A57,TinhGia!$B$10:$B$81,0)),""))</f>
        <v/>
      </c>
      <c r="S57" s="1012" t="str">
        <f ca="1">IF($A57="","",IF(OR(IFERROR(SEARCH($R57,XKNVLSX!$X$1,1),0)&gt;=1,XKNVLSX!$X$1=""),$S$2,""))</f>
        <v/>
      </c>
      <c r="T57" s="1018" t="str">
        <f ca="1">IF($C57="","", IF(OR($P57=$V$1,$P57=$V$7,COUNTIFS($C$3:$C57,$C57,$E$3:$E57,$E57)&lt;=1),$P57,""    ))</f>
        <v/>
      </c>
      <c r="U57" s="1019" t="str">
        <f ca="1">IF(AND($P57=$V$2,COUNTIFS($C$3:$C57,$C57,$E$3:$E57,$E57,$G$3:$G57,$G57)&lt;=1),$P57,"")</f>
        <v/>
      </c>
    </row>
    <row r="58" spans="1:21">
      <c r="A58" s="991" t="str">
        <f ca="1">IFERROR(IF(COUNTIF($A$3:A57,A57)&lt; INDEX(TinhGia!$BH$10:$BH$81,MATCH($A57,TinhGia!$B$10:$B$81,0)),$A57,INDEX(TinhGia!$B$10:$B$81,MATCH($A57,TinhGia!$B$10:$B$81,0)+1)),"")</f>
        <v/>
      </c>
      <c r="B58" s="525" t="str">
        <f ca="1">IF(OR(A58="",A58=0),"",IF(COUNTIF($A$2:A58,$A58)=1,ROW(MauKoXoa!$C$108),$B57+1))</f>
        <v/>
      </c>
      <c r="C58" s="992" t="str">
        <f t="shared" ca="1" si="1"/>
        <v/>
      </c>
      <c r="D58" s="993" t="str">
        <f t="shared" ca="1" si="2"/>
        <v/>
      </c>
      <c r="E58" s="993" t="str">
        <f t="shared" ca="1" si="3"/>
        <v/>
      </c>
      <c r="F58" s="992" t="str">
        <f t="shared" ca="1" si="0"/>
        <v/>
      </c>
      <c r="G58" s="994">
        <f t="shared" ca="1" si="4"/>
        <v>0</v>
      </c>
      <c r="H58" s="913">
        <f t="shared" ca="1" si="5"/>
        <v>0</v>
      </c>
      <c r="I58" s="913">
        <f t="shared" ca="1" si="6"/>
        <v>0</v>
      </c>
      <c r="J58" s="995">
        <f t="shared" ca="1" si="7"/>
        <v>0</v>
      </c>
      <c r="K58" s="913">
        <f t="shared" ca="1" si="8"/>
        <v>0</v>
      </c>
      <c r="L58" s="995">
        <f t="shared" ca="1" si="9"/>
        <v>0</v>
      </c>
      <c r="M58" s="913">
        <f t="shared" ca="1" si="10"/>
        <v>0</v>
      </c>
      <c r="N58" s="996">
        <f t="shared" ca="1" si="11"/>
        <v>0</v>
      </c>
      <c r="O58" s="997">
        <f t="shared" ca="1" si="12"/>
        <v>0</v>
      </c>
      <c r="P58" s="1015" t="str">
        <f ca="1">IF($C58="","",INDEX(NVLSX!$N$2:$N$6941,MATCH($C58,NVLSX!$E$2:$E$6941,0)))</f>
        <v/>
      </c>
      <c r="Q58" s="1016" t="str">
        <f ca="1">IF($R58="","",IF(XKNVLSX!$X$1="",IF($P58=$V$7,$P58, IF(COUNTIFS($C$2:$C57,$C58,$E$2:$E57,$E58)&gt;=1,"",$P58)),     IF(AND(IFERROR(SEARCH($R58,XKNVLSX!$X$1,1),0)&gt;=1,$P58=$V$7),$P58, IF(OR($R58&lt;&gt;IF(IFERROR(SEARCH($R58,XKNVLSX!$X$1,1),0)&gt;=1,$R58,XKNVLSX!$X$1),COUNTIFS($C$2:$C57,$C58,$E$2:$E57,$E58,$Q$2:$Q57,$P58)&gt;=1),"",$P58))))</f>
        <v/>
      </c>
      <c r="R58" s="1017" t="str">
        <f ca="1">IF($A58="","",IFERROR(INDEX(TinhGia!$BF$10:$BF$81,MATCH($A58,TinhGia!$B$10:$B$81,0)),""))</f>
        <v/>
      </c>
      <c r="S58" s="1012" t="str">
        <f ca="1">IF($A58="","",IF(OR(IFERROR(SEARCH($R58,XKNVLSX!$X$1,1),0)&gt;=1,XKNVLSX!$X$1=""),$S$2,""))</f>
        <v/>
      </c>
      <c r="T58" s="1018" t="str">
        <f ca="1">IF($C58="","", IF(OR($P58=$V$1,$P58=$V$7,COUNTIFS($C$3:$C58,$C58,$E$3:$E58,$E58)&lt;=1),$P58,""    ))</f>
        <v/>
      </c>
      <c r="U58" s="1019" t="str">
        <f ca="1">IF(AND($P58=$V$2,COUNTIFS($C$3:$C58,$C58,$E$3:$E58,$E58,$G$3:$G58,$G58)&lt;=1),$P58,"")</f>
        <v/>
      </c>
    </row>
    <row r="59" spans="1:21">
      <c r="A59" s="991" t="str">
        <f ca="1">IFERROR(IF(COUNTIF($A$3:A58,A58)&lt; INDEX(TinhGia!$BH$10:$BH$81,MATCH($A58,TinhGia!$B$10:$B$81,0)),$A58,INDEX(TinhGia!$B$10:$B$81,MATCH($A58,TinhGia!$B$10:$B$81,0)+1)),"")</f>
        <v/>
      </c>
      <c r="B59" s="525" t="str">
        <f ca="1">IF(OR(A59="",A59=0),"",IF(COUNTIF($A$2:A59,$A59)=1,ROW(MauKoXoa!$C$108),$B58+1))</f>
        <v/>
      </c>
      <c r="C59" s="992" t="str">
        <f t="shared" ca="1" si="1"/>
        <v/>
      </c>
      <c r="D59" s="993" t="str">
        <f t="shared" ca="1" si="2"/>
        <v/>
      </c>
      <c r="E59" s="993" t="str">
        <f t="shared" ca="1" si="3"/>
        <v/>
      </c>
      <c r="F59" s="992" t="str">
        <f t="shared" ca="1" si="0"/>
        <v/>
      </c>
      <c r="G59" s="994">
        <f t="shared" ca="1" si="4"/>
        <v>0</v>
      </c>
      <c r="H59" s="913">
        <f t="shared" ca="1" si="5"/>
        <v>0</v>
      </c>
      <c r="I59" s="913">
        <f t="shared" ca="1" si="6"/>
        <v>0</v>
      </c>
      <c r="J59" s="995">
        <f t="shared" ca="1" si="7"/>
        <v>0</v>
      </c>
      <c r="K59" s="913">
        <f t="shared" ca="1" si="8"/>
        <v>0</v>
      </c>
      <c r="L59" s="995">
        <f t="shared" ca="1" si="9"/>
        <v>0</v>
      </c>
      <c r="M59" s="913">
        <f t="shared" ca="1" si="10"/>
        <v>0</v>
      </c>
      <c r="N59" s="996">
        <f t="shared" ca="1" si="11"/>
        <v>0</v>
      </c>
      <c r="O59" s="997">
        <f t="shared" ca="1" si="12"/>
        <v>0</v>
      </c>
      <c r="P59" s="1015" t="str">
        <f ca="1">IF($C59="","",INDEX(NVLSX!$N$2:$N$6941,MATCH($C59,NVLSX!$E$2:$E$6941,0)))</f>
        <v/>
      </c>
      <c r="Q59" s="1016" t="str">
        <f ca="1">IF($R59="","",IF(XKNVLSX!$X$1="",IF($P59=$V$7,$P59, IF(COUNTIFS($C$2:$C58,$C59,$E$2:$E58,$E59)&gt;=1,"",$P59)),     IF(AND(IFERROR(SEARCH($R59,XKNVLSX!$X$1,1),0)&gt;=1,$P59=$V$7),$P59, IF(OR($R59&lt;&gt;IF(IFERROR(SEARCH($R59,XKNVLSX!$X$1,1),0)&gt;=1,$R59,XKNVLSX!$X$1),COUNTIFS($C$2:$C58,$C59,$E$2:$E58,$E59,$Q$2:$Q58,$P59)&gt;=1),"",$P59))))</f>
        <v/>
      </c>
      <c r="R59" s="1017" t="str">
        <f ca="1">IF($A59="","",IFERROR(INDEX(TinhGia!$BF$10:$BF$81,MATCH($A59,TinhGia!$B$10:$B$81,0)),""))</f>
        <v/>
      </c>
      <c r="S59" s="1012" t="str">
        <f ca="1">IF($A59="","",IF(OR(IFERROR(SEARCH($R59,XKNVLSX!$X$1,1),0)&gt;=1,XKNVLSX!$X$1=""),$S$2,""))</f>
        <v/>
      </c>
      <c r="T59" s="1018" t="str">
        <f ca="1">IF($C59="","", IF(OR($P59=$V$1,$P59=$V$7,COUNTIFS($C$3:$C59,$C59,$E$3:$E59,$E59)&lt;=1),$P59,""    ))</f>
        <v/>
      </c>
      <c r="U59" s="1019" t="str">
        <f ca="1">IF(AND($P59=$V$2,COUNTIFS($C$3:$C59,$C59,$E$3:$E59,$E59,$G$3:$G59,$G59)&lt;=1),$P59,"")</f>
        <v/>
      </c>
    </row>
    <row r="60" spans="1:21">
      <c r="A60" s="991" t="str">
        <f ca="1">IFERROR(IF(COUNTIF($A$3:A59,A59)&lt; INDEX(TinhGia!$BH$10:$BH$81,MATCH($A59,TinhGia!$B$10:$B$81,0)),$A59,INDEX(TinhGia!$B$10:$B$81,MATCH($A59,TinhGia!$B$10:$B$81,0)+1)),"")</f>
        <v/>
      </c>
      <c r="B60" s="525" t="str">
        <f ca="1">IF(OR(A60="",A60=0),"",IF(COUNTIF($A$2:A60,$A60)=1,ROW(MauKoXoa!$C$108),$B59+1))</f>
        <v/>
      </c>
      <c r="C60" s="992" t="str">
        <f t="shared" ca="1" si="1"/>
        <v/>
      </c>
      <c r="D60" s="993" t="str">
        <f t="shared" ca="1" si="2"/>
        <v/>
      </c>
      <c r="E60" s="993" t="str">
        <f t="shared" ca="1" si="3"/>
        <v/>
      </c>
      <c r="F60" s="992" t="str">
        <f t="shared" ca="1" si="0"/>
        <v/>
      </c>
      <c r="G60" s="994">
        <f t="shared" ca="1" si="4"/>
        <v>0</v>
      </c>
      <c r="H60" s="913">
        <f t="shared" ca="1" si="5"/>
        <v>0</v>
      </c>
      <c r="I60" s="913">
        <f t="shared" ca="1" si="6"/>
        <v>0</v>
      </c>
      <c r="J60" s="995">
        <f t="shared" ca="1" si="7"/>
        <v>0</v>
      </c>
      <c r="K60" s="913">
        <f t="shared" ca="1" si="8"/>
        <v>0</v>
      </c>
      <c r="L60" s="995">
        <f t="shared" ca="1" si="9"/>
        <v>0</v>
      </c>
      <c r="M60" s="913">
        <f t="shared" ca="1" si="10"/>
        <v>0</v>
      </c>
      <c r="N60" s="996">
        <f t="shared" ca="1" si="11"/>
        <v>0</v>
      </c>
      <c r="O60" s="997">
        <f t="shared" ca="1" si="12"/>
        <v>0</v>
      </c>
      <c r="P60" s="1015" t="str">
        <f ca="1">IF($C60="","",INDEX(NVLSX!$N$2:$N$6941,MATCH($C60,NVLSX!$E$2:$E$6941,0)))</f>
        <v/>
      </c>
      <c r="Q60" s="1016" t="str">
        <f ca="1">IF($R60="","",IF(XKNVLSX!$X$1="",IF($P60=$V$7,$P60, IF(COUNTIFS($C$2:$C59,$C60,$E$2:$E59,$E60)&gt;=1,"",$P60)),     IF(AND(IFERROR(SEARCH($R60,XKNVLSX!$X$1,1),0)&gt;=1,$P60=$V$7),$P60, IF(OR($R60&lt;&gt;IF(IFERROR(SEARCH($R60,XKNVLSX!$X$1,1),0)&gt;=1,$R60,XKNVLSX!$X$1),COUNTIFS($C$2:$C59,$C60,$E$2:$E59,$E60,$Q$2:$Q59,$P60)&gt;=1),"",$P60))))</f>
        <v/>
      </c>
      <c r="R60" s="1017" t="str">
        <f ca="1">IF($A60="","",IFERROR(INDEX(TinhGia!$BF$10:$BF$81,MATCH($A60,TinhGia!$B$10:$B$81,0)),""))</f>
        <v/>
      </c>
      <c r="S60" s="1012" t="str">
        <f ca="1">IF($A60="","",IF(OR(IFERROR(SEARCH($R60,XKNVLSX!$X$1,1),0)&gt;=1,XKNVLSX!$X$1=""),$S$2,""))</f>
        <v/>
      </c>
      <c r="T60" s="1018" t="str">
        <f ca="1">IF($C60="","", IF(OR($P60=$V$1,$P60=$V$7,COUNTIFS($C$3:$C60,$C60,$E$3:$E60,$E60)&lt;=1),$P60,""    ))</f>
        <v/>
      </c>
      <c r="U60" s="1019" t="str">
        <f ca="1">IF(AND($P60=$V$2,COUNTIFS($C$3:$C60,$C60,$E$3:$E60,$E60,$G$3:$G60,$G60)&lt;=1),$P60,"")</f>
        <v/>
      </c>
    </row>
    <row r="61" spans="1:21">
      <c r="A61" s="991" t="str">
        <f ca="1">IFERROR(IF(COUNTIF($A$3:A60,A60)&lt; INDEX(TinhGia!$BH$10:$BH$81,MATCH($A60,TinhGia!$B$10:$B$81,0)),$A60,INDEX(TinhGia!$B$10:$B$81,MATCH($A60,TinhGia!$B$10:$B$81,0)+1)),"")</f>
        <v/>
      </c>
      <c r="B61" s="525" t="str">
        <f ca="1">IF(OR(A61="",A61=0),"",IF(COUNTIF($A$2:A61,$A61)=1,ROW(MauKoXoa!$C$108),$B60+1))</f>
        <v/>
      </c>
      <c r="C61" s="992" t="str">
        <f t="shared" ca="1" si="1"/>
        <v/>
      </c>
      <c r="D61" s="993" t="str">
        <f t="shared" ca="1" si="2"/>
        <v/>
      </c>
      <c r="E61" s="993" t="str">
        <f t="shared" ca="1" si="3"/>
        <v/>
      </c>
      <c r="F61" s="992" t="str">
        <f t="shared" ca="1" si="0"/>
        <v/>
      </c>
      <c r="G61" s="994">
        <f t="shared" ca="1" si="4"/>
        <v>0</v>
      </c>
      <c r="H61" s="913">
        <f t="shared" ca="1" si="5"/>
        <v>0</v>
      </c>
      <c r="I61" s="913">
        <f t="shared" ca="1" si="6"/>
        <v>0</v>
      </c>
      <c r="J61" s="995">
        <f t="shared" ca="1" si="7"/>
        <v>0</v>
      </c>
      <c r="K61" s="913">
        <f t="shared" ca="1" si="8"/>
        <v>0</v>
      </c>
      <c r="L61" s="995">
        <f t="shared" ca="1" si="9"/>
        <v>0</v>
      </c>
      <c r="M61" s="913">
        <f t="shared" ca="1" si="10"/>
        <v>0</v>
      </c>
      <c r="N61" s="996">
        <f t="shared" ca="1" si="11"/>
        <v>0</v>
      </c>
      <c r="O61" s="997">
        <f t="shared" ca="1" si="12"/>
        <v>0</v>
      </c>
      <c r="P61" s="1015" t="str">
        <f ca="1">IF($C61="","",INDEX(NVLSX!$N$2:$N$6941,MATCH($C61,NVLSX!$E$2:$E$6941,0)))</f>
        <v/>
      </c>
      <c r="Q61" s="1016" t="str">
        <f ca="1">IF($R61="","",IF(XKNVLSX!$X$1="",IF($P61=$V$7,$P61, IF(COUNTIFS($C$2:$C60,$C61,$E$2:$E60,$E61)&gt;=1,"",$P61)),     IF(AND(IFERROR(SEARCH($R61,XKNVLSX!$X$1,1),0)&gt;=1,$P61=$V$7),$P61, IF(OR($R61&lt;&gt;IF(IFERROR(SEARCH($R61,XKNVLSX!$X$1,1),0)&gt;=1,$R61,XKNVLSX!$X$1),COUNTIFS($C$2:$C60,$C61,$E$2:$E60,$E61,$Q$2:$Q60,$P61)&gt;=1),"",$P61))))</f>
        <v/>
      </c>
      <c r="R61" s="1017" t="str">
        <f ca="1">IF($A61="","",IFERROR(INDEX(TinhGia!$BF$10:$BF$81,MATCH($A61,TinhGia!$B$10:$B$81,0)),""))</f>
        <v/>
      </c>
      <c r="S61" s="1012" t="str">
        <f ca="1">IF($A61="","",IF(OR(IFERROR(SEARCH($R61,XKNVLSX!$X$1,1),0)&gt;=1,XKNVLSX!$X$1=""),$S$2,""))</f>
        <v/>
      </c>
      <c r="T61" s="1018" t="str">
        <f ca="1">IF($C61="","", IF(OR($P61=$V$1,$P61=$V$7,COUNTIFS($C$3:$C61,$C61,$E$3:$E61,$E61)&lt;=1),$P61,""    ))</f>
        <v/>
      </c>
      <c r="U61" s="1019" t="str">
        <f ca="1">IF(AND($P61=$V$2,COUNTIFS($C$3:$C61,$C61,$E$3:$E61,$E61,$G$3:$G61,$G61)&lt;=1),$P61,"")</f>
        <v/>
      </c>
    </row>
    <row r="62" spans="1:21">
      <c r="A62" s="991" t="str">
        <f ca="1">IFERROR(IF(COUNTIF($A$3:A61,A61)&lt; INDEX(TinhGia!$BH$10:$BH$81,MATCH($A61,TinhGia!$B$10:$B$81,0)),$A61,INDEX(TinhGia!$B$10:$B$81,MATCH($A61,TinhGia!$B$10:$B$81,0)+1)),"")</f>
        <v/>
      </c>
      <c r="B62" s="525" t="str">
        <f ca="1">IF(OR(A62="",A62=0),"",IF(COUNTIF($A$2:A62,$A62)=1,ROW(MauKoXoa!$C$108),$B61+1))</f>
        <v/>
      </c>
      <c r="C62" s="992" t="str">
        <f t="shared" ca="1" si="1"/>
        <v/>
      </c>
      <c r="D62" s="993" t="str">
        <f t="shared" ca="1" si="2"/>
        <v/>
      </c>
      <c r="E62" s="993" t="str">
        <f t="shared" ca="1" si="3"/>
        <v/>
      </c>
      <c r="F62" s="992" t="str">
        <f t="shared" ca="1" si="0"/>
        <v/>
      </c>
      <c r="G62" s="994">
        <f t="shared" ca="1" si="4"/>
        <v>0</v>
      </c>
      <c r="H62" s="913">
        <f t="shared" ca="1" si="5"/>
        <v>0</v>
      </c>
      <c r="I62" s="913">
        <f t="shared" ca="1" si="6"/>
        <v>0</v>
      </c>
      <c r="J62" s="995">
        <f t="shared" ca="1" si="7"/>
        <v>0</v>
      </c>
      <c r="K62" s="913">
        <f t="shared" ca="1" si="8"/>
        <v>0</v>
      </c>
      <c r="L62" s="995">
        <f t="shared" ca="1" si="9"/>
        <v>0</v>
      </c>
      <c r="M62" s="913">
        <f t="shared" ca="1" si="10"/>
        <v>0</v>
      </c>
      <c r="N62" s="996">
        <f t="shared" ca="1" si="11"/>
        <v>0</v>
      </c>
      <c r="O62" s="997">
        <f t="shared" ca="1" si="12"/>
        <v>0</v>
      </c>
      <c r="P62" s="1015" t="str">
        <f ca="1">IF($C62="","",INDEX(NVLSX!$N$2:$N$6941,MATCH($C62,NVLSX!$E$2:$E$6941,0)))</f>
        <v/>
      </c>
      <c r="Q62" s="1016" t="str">
        <f ca="1">IF($R62="","",IF(XKNVLSX!$X$1="",IF($P62=$V$7,$P62, IF(COUNTIFS($C$2:$C61,$C62,$E$2:$E61,$E62)&gt;=1,"",$P62)),     IF(AND(IFERROR(SEARCH($R62,XKNVLSX!$X$1,1),0)&gt;=1,$P62=$V$7),$P62, IF(OR($R62&lt;&gt;IF(IFERROR(SEARCH($R62,XKNVLSX!$X$1,1),0)&gt;=1,$R62,XKNVLSX!$X$1),COUNTIFS($C$2:$C61,$C62,$E$2:$E61,$E62,$Q$2:$Q61,$P62)&gt;=1),"",$P62))))</f>
        <v/>
      </c>
      <c r="R62" s="1017" t="str">
        <f ca="1">IF($A62="","",IFERROR(INDEX(TinhGia!$BF$10:$BF$81,MATCH($A62,TinhGia!$B$10:$B$81,0)),""))</f>
        <v/>
      </c>
      <c r="S62" s="1012" t="str">
        <f ca="1">IF($A62="","",IF(OR(IFERROR(SEARCH($R62,XKNVLSX!$X$1,1),0)&gt;=1,XKNVLSX!$X$1=""),$S$2,""))</f>
        <v/>
      </c>
      <c r="T62" s="1018" t="str">
        <f ca="1">IF($C62="","", IF(OR($P62=$V$1,$P62=$V$7,COUNTIFS($C$3:$C62,$C62,$E$3:$E62,$E62)&lt;=1),$P62,""    ))</f>
        <v/>
      </c>
      <c r="U62" s="1019" t="str">
        <f ca="1">IF(AND($P62=$V$2,COUNTIFS($C$3:$C62,$C62,$E$3:$E62,$E62,$G$3:$G62,$G62)&lt;=1),$P62,"")</f>
        <v/>
      </c>
    </row>
    <row r="63" spans="1:21">
      <c r="A63" s="991" t="str">
        <f ca="1">IFERROR(IF(COUNTIF($A$3:A62,A62)&lt; INDEX(TinhGia!$BH$10:$BH$81,MATCH($A62,TinhGia!$B$10:$B$81,0)),$A62,INDEX(TinhGia!$B$10:$B$81,MATCH($A62,TinhGia!$B$10:$B$81,0)+1)),"")</f>
        <v/>
      </c>
      <c r="B63" s="525" t="str">
        <f ca="1">IF(OR(A63="",A63=0),"",IF(COUNTIF($A$2:A63,$A63)=1,ROW(MauKoXoa!$C$108),$B62+1))</f>
        <v/>
      </c>
      <c r="C63" s="992" t="str">
        <f t="shared" ca="1" si="1"/>
        <v/>
      </c>
      <c r="D63" s="993" t="str">
        <f t="shared" ca="1" si="2"/>
        <v/>
      </c>
      <c r="E63" s="993" t="str">
        <f t="shared" ca="1" si="3"/>
        <v/>
      </c>
      <c r="F63" s="992" t="str">
        <f t="shared" ca="1" si="0"/>
        <v/>
      </c>
      <c r="G63" s="994">
        <f t="shared" ca="1" si="4"/>
        <v>0</v>
      </c>
      <c r="H63" s="913">
        <f t="shared" ca="1" si="5"/>
        <v>0</v>
      </c>
      <c r="I63" s="913">
        <f t="shared" ca="1" si="6"/>
        <v>0</v>
      </c>
      <c r="J63" s="995">
        <f t="shared" ca="1" si="7"/>
        <v>0</v>
      </c>
      <c r="K63" s="913">
        <f t="shared" ca="1" si="8"/>
        <v>0</v>
      </c>
      <c r="L63" s="995">
        <f t="shared" ca="1" si="9"/>
        <v>0</v>
      </c>
      <c r="M63" s="913">
        <f t="shared" ca="1" si="10"/>
        <v>0</v>
      </c>
      <c r="N63" s="996">
        <f t="shared" ca="1" si="11"/>
        <v>0</v>
      </c>
      <c r="O63" s="997">
        <f t="shared" ca="1" si="12"/>
        <v>0</v>
      </c>
      <c r="P63" s="1015" t="str">
        <f ca="1">IF($C63="","",INDEX(NVLSX!$N$2:$N$6941,MATCH($C63,NVLSX!$E$2:$E$6941,0)))</f>
        <v/>
      </c>
      <c r="Q63" s="1016" t="str">
        <f ca="1">IF($R63="","",IF(XKNVLSX!$X$1="",IF($P63=$V$7,$P63, IF(COUNTIFS($C$2:$C62,$C63,$E$2:$E62,$E63)&gt;=1,"",$P63)),     IF(AND(IFERROR(SEARCH($R63,XKNVLSX!$X$1,1),0)&gt;=1,$P63=$V$7),$P63, IF(OR($R63&lt;&gt;IF(IFERROR(SEARCH($R63,XKNVLSX!$X$1,1),0)&gt;=1,$R63,XKNVLSX!$X$1),COUNTIFS($C$2:$C62,$C63,$E$2:$E62,$E63,$Q$2:$Q62,$P63)&gt;=1),"",$P63))))</f>
        <v/>
      </c>
      <c r="R63" s="1017" t="str">
        <f ca="1">IF($A63="","",IFERROR(INDEX(TinhGia!$BF$10:$BF$81,MATCH($A63,TinhGia!$B$10:$B$81,0)),""))</f>
        <v/>
      </c>
      <c r="S63" s="1012" t="str">
        <f ca="1">IF($A63="","",IF(OR(IFERROR(SEARCH($R63,XKNVLSX!$X$1,1),0)&gt;=1,XKNVLSX!$X$1=""),$S$2,""))</f>
        <v/>
      </c>
      <c r="T63" s="1018" t="str">
        <f ca="1">IF($C63="","", IF(OR($P63=$V$1,$P63=$V$7,COUNTIFS($C$3:$C63,$C63,$E$3:$E63,$E63)&lt;=1),$P63,""    ))</f>
        <v/>
      </c>
      <c r="U63" s="1019" t="str">
        <f ca="1">IF(AND($P63=$V$2,COUNTIFS($C$3:$C63,$C63,$E$3:$E63,$E63,$G$3:$G63,$G63)&lt;=1),$P63,"")</f>
        <v/>
      </c>
    </row>
    <row r="64" spans="1:21">
      <c r="A64" s="991" t="str">
        <f ca="1">IFERROR(IF(COUNTIF($A$3:A63,A63)&lt; INDEX(TinhGia!$BH$10:$BH$81,MATCH($A63,TinhGia!$B$10:$B$81,0)),$A63,INDEX(TinhGia!$B$10:$B$81,MATCH($A63,TinhGia!$B$10:$B$81,0)+1)),"")</f>
        <v/>
      </c>
      <c r="B64" s="525" t="str">
        <f ca="1">IF(OR(A64="",A64=0),"",IF(COUNTIF($A$2:A64,$A64)=1,ROW(MauKoXoa!$C$108),$B63+1))</f>
        <v/>
      </c>
      <c r="C64" s="992" t="str">
        <f t="shared" ca="1" si="1"/>
        <v/>
      </c>
      <c r="D64" s="993" t="str">
        <f t="shared" ca="1" si="2"/>
        <v/>
      </c>
      <c r="E64" s="993" t="str">
        <f t="shared" ca="1" si="3"/>
        <v/>
      </c>
      <c r="F64" s="992" t="str">
        <f t="shared" ca="1" si="0"/>
        <v/>
      </c>
      <c r="G64" s="994">
        <f t="shared" ca="1" si="4"/>
        <v>0</v>
      </c>
      <c r="H64" s="913">
        <f t="shared" ca="1" si="5"/>
        <v>0</v>
      </c>
      <c r="I64" s="913">
        <f t="shared" ca="1" si="6"/>
        <v>0</v>
      </c>
      <c r="J64" s="995">
        <f t="shared" ca="1" si="7"/>
        <v>0</v>
      </c>
      <c r="K64" s="913">
        <f t="shared" ca="1" si="8"/>
        <v>0</v>
      </c>
      <c r="L64" s="995">
        <f t="shared" ca="1" si="9"/>
        <v>0</v>
      </c>
      <c r="M64" s="913">
        <f t="shared" ca="1" si="10"/>
        <v>0</v>
      </c>
      <c r="N64" s="996">
        <f t="shared" ca="1" si="11"/>
        <v>0</v>
      </c>
      <c r="O64" s="997">
        <f t="shared" ca="1" si="12"/>
        <v>0</v>
      </c>
      <c r="P64" s="1015" t="str">
        <f ca="1">IF($C64="","",INDEX(NVLSX!$N$2:$N$6941,MATCH($C64,NVLSX!$E$2:$E$6941,0)))</f>
        <v/>
      </c>
      <c r="Q64" s="1016" t="str">
        <f ca="1">IF($R64="","",IF(XKNVLSX!$X$1="",IF($P64=$V$7,$P64, IF(COUNTIFS($C$2:$C63,$C64,$E$2:$E63,$E64)&gt;=1,"",$P64)),     IF(AND(IFERROR(SEARCH($R64,XKNVLSX!$X$1,1),0)&gt;=1,$P64=$V$7),$P64, IF(OR($R64&lt;&gt;IF(IFERROR(SEARCH($R64,XKNVLSX!$X$1,1),0)&gt;=1,$R64,XKNVLSX!$X$1),COUNTIFS($C$2:$C63,$C64,$E$2:$E63,$E64,$Q$2:$Q63,$P64)&gt;=1),"",$P64))))</f>
        <v/>
      </c>
      <c r="R64" s="1017" t="str">
        <f ca="1">IF($A64="","",IFERROR(INDEX(TinhGia!$BF$10:$BF$81,MATCH($A64,TinhGia!$B$10:$B$81,0)),""))</f>
        <v/>
      </c>
      <c r="S64" s="1012" t="str">
        <f ca="1">IF($A64="","",IF(OR(IFERROR(SEARCH($R64,XKNVLSX!$X$1,1),0)&gt;=1,XKNVLSX!$X$1=""),$S$2,""))</f>
        <v/>
      </c>
      <c r="T64" s="1018" t="str">
        <f ca="1">IF($C64="","", IF(OR($P64=$V$1,$P64=$V$7,COUNTIFS($C$3:$C64,$C64,$E$3:$E64,$E64)&lt;=1),$P64,""    ))</f>
        <v/>
      </c>
      <c r="U64" s="1019" t="str">
        <f ca="1">IF(AND($P64=$V$2,COUNTIFS($C$3:$C64,$C64,$E$3:$E64,$E64,$G$3:$G64,$G64)&lt;=1),$P64,"")</f>
        <v/>
      </c>
    </row>
    <row r="65" spans="1:21">
      <c r="A65" s="991" t="str">
        <f ca="1">IFERROR(IF(COUNTIF($A$3:A64,A64)&lt; INDEX(TinhGia!$BH$10:$BH$81,MATCH($A64,TinhGia!$B$10:$B$81,0)),$A64,INDEX(TinhGia!$B$10:$B$81,MATCH($A64,TinhGia!$B$10:$B$81,0)+1)),"")</f>
        <v/>
      </c>
      <c r="B65" s="525" t="str">
        <f ca="1">IF(OR(A65="",A65=0),"",IF(COUNTIF($A$2:A65,$A65)=1,ROW(MauKoXoa!$C$108),$B64+1))</f>
        <v/>
      </c>
      <c r="C65" s="992" t="str">
        <f t="shared" ca="1" si="1"/>
        <v/>
      </c>
      <c r="D65" s="993" t="str">
        <f t="shared" ca="1" si="2"/>
        <v/>
      </c>
      <c r="E65" s="993" t="str">
        <f t="shared" ca="1" si="3"/>
        <v/>
      </c>
      <c r="F65" s="992" t="str">
        <f t="shared" ca="1" si="0"/>
        <v/>
      </c>
      <c r="G65" s="994">
        <f t="shared" ca="1" si="4"/>
        <v>0</v>
      </c>
      <c r="H65" s="913">
        <f t="shared" ca="1" si="5"/>
        <v>0</v>
      </c>
      <c r="I65" s="913">
        <f t="shared" ca="1" si="6"/>
        <v>0</v>
      </c>
      <c r="J65" s="995">
        <f t="shared" ca="1" si="7"/>
        <v>0</v>
      </c>
      <c r="K65" s="913">
        <f t="shared" ca="1" si="8"/>
        <v>0</v>
      </c>
      <c r="L65" s="995">
        <f t="shared" ca="1" si="9"/>
        <v>0</v>
      </c>
      <c r="M65" s="913">
        <f t="shared" ca="1" si="10"/>
        <v>0</v>
      </c>
      <c r="N65" s="996">
        <f t="shared" ca="1" si="11"/>
        <v>0</v>
      </c>
      <c r="O65" s="997">
        <f t="shared" ca="1" si="12"/>
        <v>0</v>
      </c>
      <c r="P65" s="1015" t="str">
        <f ca="1">IF($C65="","",INDEX(NVLSX!$N$2:$N$6941,MATCH($C65,NVLSX!$E$2:$E$6941,0)))</f>
        <v/>
      </c>
      <c r="Q65" s="1016" t="str">
        <f ca="1">IF($R65="","",IF(XKNVLSX!$X$1="",IF($P65=$V$7,$P65, IF(COUNTIFS($C$2:$C64,$C65,$E$2:$E64,$E65)&gt;=1,"",$P65)),     IF(AND(IFERROR(SEARCH($R65,XKNVLSX!$X$1,1),0)&gt;=1,$P65=$V$7),$P65, IF(OR($R65&lt;&gt;IF(IFERROR(SEARCH($R65,XKNVLSX!$X$1,1),0)&gt;=1,$R65,XKNVLSX!$X$1),COUNTIFS($C$2:$C64,$C65,$E$2:$E64,$E65,$Q$2:$Q64,$P65)&gt;=1),"",$P65))))</f>
        <v/>
      </c>
      <c r="R65" s="1017" t="str">
        <f ca="1">IF($A65="","",IFERROR(INDEX(TinhGia!$BF$10:$BF$81,MATCH($A65,TinhGia!$B$10:$B$81,0)),""))</f>
        <v/>
      </c>
      <c r="S65" s="1012" t="str">
        <f ca="1">IF($A65="","",IF(OR(IFERROR(SEARCH($R65,XKNVLSX!$X$1,1),0)&gt;=1,XKNVLSX!$X$1=""),$S$2,""))</f>
        <v/>
      </c>
      <c r="T65" s="1018" t="str">
        <f ca="1">IF($C65="","", IF(OR($P65=$V$1,$P65=$V$7,COUNTIFS($C$3:$C65,$C65,$E$3:$E65,$E65)&lt;=1),$P65,""    ))</f>
        <v/>
      </c>
      <c r="U65" s="1019" t="str">
        <f ca="1">IF(AND($P65=$V$2,COUNTIFS($C$3:$C65,$C65,$E$3:$E65,$E65,$G$3:$G65,$G65)&lt;=1),$P65,"")</f>
        <v/>
      </c>
    </row>
    <row r="66" spans="1:21">
      <c r="A66" s="991" t="str">
        <f ca="1">IFERROR(IF(COUNTIF($A$3:A65,A65)&lt; INDEX(TinhGia!$BH$10:$BH$81,MATCH($A65,TinhGia!$B$10:$B$81,0)),$A65,INDEX(TinhGia!$B$10:$B$81,MATCH($A65,TinhGia!$B$10:$B$81,0)+1)),"")</f>
        <v/>
      </c>
      <c r="B66" s="525" t="str">
        <f ca="1">IF(OR(A66="",A66=0),"",IF(COUNTIF($A$2:A66,$A66)=1,ROW(MauKoXoa!$C$108),$B65+1))</f>
        <v/>
      </c>
      <c r="C66" s="992" t="str">
        <f t="shared" ca="1" si="1"/>
        <v/>
      </c>
      <c r="D66" s="993" t="str">
        <f t="shared" ca="1" si="2"/>
        <v/>
      </c>
      <c r="E66" s="993" t="str">
        <f t="shared" ca="1" si="3"/>
        <v/>
      </c>
      <c r="F66" s="992" t="str">
        <f t="shared" ca="1" si="0"/>
        <v/>
      </c>
      <c r="G66" s="994">
        <f t="shared" ca="1" si="4"/>
        <v>0</v>
      </c>
      <c r="H66" s="913">
        <f t="shared" ca="1" si="5"/>
        <v>0</v>
      </c>
      <c r="I66" s="913">
        <f t="shared" ca="1" si="6"/>
        <v>0</v>
      </c>
      <c r="J66" s="995">
        <f t="shared" ca="1" si="7"/>
        <v>0</v>
      </c>
      <c r="K66" s="913">
        <f t="shared" ca="1" si="8"/>
        <v>0</v>
      </c>
      <c r="L66" s="995">
        <f t="shared" ca="1" si="9"/>
        <v>0</v>
      </c>
      <c r="M66" s="913">
        <f t="shared" ca="1" si="10"/>
        <v>0</v>
      </c>
      <c r="N66" s="996">
        <f t="shared" ca="1" si="11"/>
        <v>0</v>
      </c>
      <c r="O66" s="997">
        <f t="shared" ca="1" si="12"/>
        <v>0</v>
      </c>
      <c r="P66" s="1015" t="str">
        <f ca="1">IF($C66="","",INDEX(NVLSX!$N$2:$N$6941,MATCH($C66,NVLSX!$E$2:$E$6941,0)))</f>
        <v/>
      </c>
      <c r="Q66" s="1016" t="str">
        <f ca="1">IF($R66="","",IF(XKNVLSX!$X$1="",IF($P66=$V$7,$P66, IF(COUNTIFS($C$2:$C65,$C66,$E$2:$E65,$E66)&gt;=1,"",$P66)),     IF(AND(IFERROR(SEARCH($R66,XKNVLSX!$X$1,1),0)&gt;=1,$P66=$V$7),$P66, IF(OR($R66&lt;&gt;IF(IFERROR(SEARCH($R66,XKNVLSX!$X$1,1),0)&gt;=1,$R66,XKNVLSX!$X$1),COUNTIFS($C$2:$C65,$C66,$E$2:$E65,$E66,$Q$2:$Q65,$P66)&gt;=1),"",$P66))))</f>
        <v/>
      </c>
      <c r="R66" s="1017" t="str">
        <f ca="1">IF($A66="","",IFERROR(INDEX(TinhGia!$BF$10:$BF$81,MATCH($A66,TinhGia!$B$10:$B$81,0)),""))</f>
        <v/>
      </c>
      <c r="S66" s="1012" t="str">
        <f ca="1">IF($A66="","",IF(OR(IFERROR(SEARCH($R66,XKNVLSX!$X$1,1),0)&gt;=1,XKNVLSX!$X$1=""),$S$2,""))</f>
        <v/>
      </c>
      <c r="T66" s="1018" t="str">
        <f ca="1">IF($C66="","", IF(OR($P66=$V$1,$P66=$V$7,COUNTIFS($C$3:$C66,$C66,$E$3:$E66,$E66)&lt;=1),$P66,""    ))</f>
        <v/>
      </c>
      <c r="U66" s="1019" t="str">
        <f ca="1">IF(AND($P66=$V$2,COUNTIFS($C$3:$C66,$C66,$E$3:$E66,$E66,$G$3:$G66,$G66)&lt;=1),$P66,"")</f>
        <v/>
      </c>
    </row>
    <row r="67" spans="1:21">
      <c r="A67" s="991" t="str">
        <f ca="1">IFERROR(IF(COUNTIF($A$3:A66,A66)&lt; INDEX(TinhGia!$BH$10:$BH$81,MATCH($A66,TinhGia!$B$10:$B$81,0)),$A66,INDEX(TinhGia!$B$10:$B$81,MATCH($A66,TinhGia!$B$10:$B$81,0)+1)),"")</f>
        <v/>
      </c>
      <c r="B67" s="525" t="str">
        <f ca="1">IF(OR(A67="",A67=0),"",IF(COUNTIF($A$2:A67,$A67)=1,ROW(MauKoXoa!$C$108),$B66+1))</f>
        <v/>
      </c>
      <c r="C67" s="992" t="str">
        <f t="shared" ca="1" si="1"/>
        <v/>
      </c>
      <c r="D67" s="993" t="str">
        <f t="shared" ca="1" si="2"/>
        <v/>
      </c>
      <c r="E67" s="993" t="str">
        <f t="shared" ca="1" si="3"/>
        <v/>
      </c>
      <c r="F67" s="992" t="str">
        <f t="shared" ref="F67:F130" ca="1" si="13">IF($P67=$V$7, IFERROR(INDIRECT("'" &amp; $A67 &amp; "'!" &amp; "I" &amp; $B67),""),IFERROR(INDIRECT("'" &amp; $A67 &amp; "'!" &amp; "E" &amp; $B67),""))</f>
        <v/>
      </c>
      <c r="G67" s="994">
        <f t="shared" ca="1" si="4"/>
        <v>0</v>
      </c>
      <c r="H67" s="913">
        <f t="shared" ca="1" si="5"/>
        <v>0</v>
      </c>
      <c r="I67" s="913">
        <f t="shared" ca="1" si="6"/>
        <v>0</v>
      </c>
      <c r="J67" s="995">
        <f t="shared" ca="1" si="7"/>
        <v>0</v>
      </c>
      <c r="K67" s="913">
        <f t="shared" ca="1" si="8"/>
        <v>0</v>
      </c>
      <c r="L67" s="995">
        <f t="shared" ca="1" si="9"/>
        <v>0</v>
      </c>
      <c r="M67" s="913">
        <f t="shared" ca="1" si="10"/>
        <v>0</v>
      </c>
      <c r="N67" s="996">
        <f t="shared" ca="1" si="11"/>
        <v>0</v>
      </c>
      <c r="O67" s="997">
        <f t="shared" ca="1" si="12"/>
        <v>0</v>
      </c>
      <c r="P67" s="1015" t="str">
        <f ca="1">IF($C67="","",INDEX(NVLSX!$N$2:$N$6941,MATCH($C67,NVLSX!$E$2:$E$6941,0)))</f>
        <v/>
      </c>
      <c r="Q67" s="1016" t="str">
        <f ca="1">IF($R67="","",IF(XKNVLSX!$X$1="",IF($P67=$V$7,$P67, IF(COUNTIFS($C$2:$C66,$C67,$E$2:$E66,$E67)&gt;=1,"",$P67)),     IF(AND(IFERROR(SEARCH($R67,XKNVLSX!$X$1,1),0)&gt;=1,$P67=$V$7),$P67, IF(OR($R67&lt;&gt;IF(IFERROR(SEARCH($R67,XKNVLSX!$X$1,1),0)&gt;=1,$R67,XKNVLSX!$X$1),COUNTIFS($C$2:$C66,$C67,$E$2:$E66,$E67,$Q$2:$Q66,$P67)&gt;=1),"",$P67))))</f>
        <v/>
      </c>
      <c r="R67" s="1017" t="str">
        <f ca="1">IF($A67="","",IFERROR(INDEX(TinhGia!$BF$10:$BF$81,MATCH($A67,TinhGia!$B$10:$B$81,0)),""))</f>
        <v/>
      </c>
      <c r="S67" s="1012" t="str">
        <f ca="1">IF($A67="","",IF(OR(IFERROR(SEARCH($R67,XKNVLSX!$X$1,1),0)&gt;=1,XKNVLSX!$X$1=""),$S$2,""))</f>
        <v/>
      </c>
      <c r="T67" s="1018" t="str">
        <f ca="1">IF($C67="","", IF(OR($P67=$V$1,$P67=$V$7,COUNTIFS($C$3:$C67,$C67,$E$3:$E67,$E67)&lt;=1),$P67,""    ))</f>
        <v/>
      </c>
      <c r="U67" s="1019" t="str">
        <f ca="1">IF(AND($P67=$V$2,COUNTIFS($C$3:$C67,$C67,$E$3:$E67,$E67,$G$3:$G67,$G67)&lt;=1),$P67,"")</f>
        <v/>
      </c>
    </row>
    <row r="68" spans="1:21">
      <c r="A68" s="991" t="str">
        <f ca="1">IFERROR(IF(COUNTIF($A$3:A67,A67)&lt; INDEX(TinhGia!$BH$10:$BH$81,MATCH($A67,TinhGia!$B$10:$B$81,0)),$A67,INDEX(TinhGia!$B$10:$B$81,MATCH($A67,TinhGia!$B$10:$B$81,0)+1)),"")</f>
        <v/>
      </c>
      <c r="B68" s="525" t="str">
        <f ca="1">IF(OR(A68="",A68=0),"",IF(COUNTIF($A$2:A68,$A68)=1,ROW(MauKoXoa!$C$108),$B67+1))</f>
        <v/>
      </c>
      <c r="C68" s="992" t="str">
        <f t="shared" ref="C68:C131" ca="1" si="14">IFERROR(INDIRECT("'" &amp; $A68 &amp; "'!" &amp; "C" &amp; $B68),"")</f>
        <v/>
      </c>
      <c r="D68" s="993" t="str">
        <f t="shared" ref="D68:D131" ca="1" si="15">IFERROR(INDIRECT("'" &amp; $A68 &amp; "'!" &amp; "D" &amp; $B68),"")</f>
        <v/>
      </c>
      <c r="E68" s="993" t="str">
        <f t="shared" ref="E68:E131" ca="1" si="16">IFERROR(INDIRECT("'" &amp; $A68 &amp; "'!" &amp; "P" &amp; $B68),"")</f>
        <v/>
      </c>
      <c r="F68" s="992" t="str">
        <f t="shared" ca="1" si="13"/>
        <v/>
      </c>
      <c r="G68" s="994">
        <f t="shared" ref="G68:G131" ca="1" si="17">IFERROR(INDIRECT("'" &amp; $A68 &amp; "'!" &amp; "F" &amp; $B68),0)</f>
        <v>0</v>
      </c>
      <c r="H68" s="913">
        <f t="shared" ref="H68:H131" ca="1" si="18">IFERROR(INDIRECT("'" &amp; $A68 &amp; "'!" &amp; "G" &amp; $B68),0)</f>
        <v>0</v>
      </c>
      <c r="I68" s="913">
        <f t="shared" ref="I68:I131" ca="1" si="19">IFERROR(INDIRECT("'" &amp; $A68 &amp; "'!" &amp; "H" &amp; $B68),0)</f>
        <v>0</v>
      </c>
      <c r="J68" s="995">
        <f t="shared" ref="J68:J131" ca="1" si="20">IFERROR(INDIRECT("'" &amp; $A68 &amp; "'!" &amp; "J" &amp; $B68),0)</f>
        <v>0</v>
      </c>
      <c r="K68" s="913">
        <f t="shared" ref="K68:K131" ca="1" si="21">IFERROR(INDIRECT("'" &amp; $A68 &amp; "'!" &amp; "L" &amp; $B68),0)</f>
        <v>0</v>
      </c>
      <c r="L68" s="995">
        <f t="shared" ref="L68:L131" ca="1" si="22">+ IFERROR(INDIRECT("'" &amp; $A68 &amp; "'!" &amp; "K" &amp; $B68),0)</f>
        <v>0</v>
      </c>
      <c r="M68" s="913">
        <f t="shared" ref="M68:M131" ca="1" si="23">IFERROR(INDIRECT("'" &amp; $A68 &amp; "'!" &amp; "M" &amp; $B68),0)</f>
        <v>0</v>
      </c>
      <c r="N68" s="996">
        <f t="shared" ref="N68:N131" ca="1" si="24">IFERROR(INDIRECT("'" &amp; $A68 &amp; "'!" &amp; "N" &amp; $B68),0)</f>
        <v>0</v>
      </c>
      <c r="O68" s="997">
        <f t="shared" ref="O68:O131" ca="1" si="25">IFERROR(INDIRECT("'" &amp; $A68 &amp; "'!" &amp; "O" &amp; $B68),0)</f>
        <v>0</v>
      </c>
      <c r="P68" s="1015" t="str">
        <f ca="1">IF($C68="","",INDEX(NVLSX!$N$2:$N$6941,MATCH($C68,NVLSX!$E$2:$E$6941,0)))</f>
        <v/>
      </c>
      <c r="Q68" s="1016" t="str">
        <f ca="1">IF($R68="","",IF(XKNVLSX!$X$1="",IF($P68=$V$7,$P68, IF(COUNTIFS($C$2:$C67,$C68,$E$2:$E67,$E68)&gt;=1,"",$P68)),     IF(AND(IFERROR(SEARCH($R68,XKNVLSX!$X$1,1),0)&gt;=1,$P68=$V$7),$P68, IF(OR($R68&lt;&gt;IF(IFERROR(SEARCH($R68,XKNVLSX!$X$1,1),0)&gt;=1,$R68,XKNVLSX!$X$1),COUNTIFS($C$2:$C67,$C68,$E$2:$E67,$E68,$Q$2:$Q67,$P68)&gt;=1),"",$P68))))</f>
        <v/>
      </c>
      <c r="R68" s="1017" t="str">
        <f ca="1">IF($A68="","",IFERROR(INDEX(TinhGia!$BF$10:$BF$81,MATCH($A68,TinhGia!$B$10:$B$81,0)),""))</f>
        <v/>
      </c>
      <c r="S68" s="1012" t="str">
        <f ca="1">IF($A68="","",IF(OR(IFERROR(SEARCH($R68,XKNVLSX!$X$1,1),0)&gt;=1,XKNVLSX!$X$1=""),$S$2,""))</f>
        <v/>
      </c>
      <c r="T68" s="1018" t="str">
        <f ca="1">IF($C68="","", IF(OR($P68=$V$1,$P68=$V$7,COUNTIFS($C$3:$C68,$C68,$E$3:$E68,$E68)&lt;=1),$P68,""    ))</f>
        <v/>
      </c>
      <c r="U68" s="1019" t="str">
        <f ca="1">IF(AND($P68=$V$2,COUNTIFS($C$3:$C68,$C68,$E$3:$E68,$E68,$G$3:$G68,$G68)&lt;=1),$P68,"")</f>
        <v/>
      </c>
    </row>
    <row r="69" spans="1:21">
      <c r="A69" s="991" t="str">
        <f ca="1">IFERROR(IF(COUNTIF($A$3:A68,A68)&lt; INDEX(TinhGia!$BH$10:$BH$81,MATCH($A68,TinhGia!$B$10:$B$81,0)),$A68,INDEX(TinhGia!$B$10:$B$81,MATCH($A68,TinhGia!$B$10:$B$81,0)+1)),"")</f>
        <v/>
      </c>
      <c r="B69" s="525" t="str">
        <f ca="1">IF(OR(A69="",A69=0),"",IF(COUNTIF($A$2:A69,$A69)=1,ROW(MauKoXoa!$C$108),$B68+1))</f>
        <v/>
      </c>
      <c r="C69" s="992" t="str">
        <f t="shared" ca="1" si="14"/>
        <v/>
      </c>
      <c r="D69" s="993" t="str">
        <f t="shared" ca="1" si="15"/>
        <v/>
      </c>
      <c r="E69" s="993" t="str">
        <f t="shared" ca="1" si="16"/>
        <v/>
      </c>
      <c r="F69" s="992" t="str">
        <f t="shared" ca="1" si="13"/>
        <v/>
      </c>
      <c r="G69" s="994">
        <f t="shared" ca="1" si="17"/>
        <v>0</v>
      </c>
      <c r="H69" s="913">
        <f t="shared" ca="1" si="18"/>
        <v>0</v>
      </c>
      <c r="I69" s="913">
        <f t="shared" ca="1" si="19"/>
        <v>0</v>
      </c>
      <c r="J69" s="995">
        <f t="shared" ca="1" si="20"/>
        <v>0</v>
      </c>
      <c r="K69" s="913">
        <f t="shared" ca="1" si="21"/>
        <v>0</v>
      </c>
      <c r="L69" s="995">
        <f t="shared" ca="1" si="22"/>
        <v>0</v>
      </c>
      <c r="M69" s="913">
        <f t="shared" ca="1" si="23"/>
        <v>0</v>
      </c>
      <c r="N69" s="996">
        <f t="shared" ca="1" si="24"/>
        <v>0</v>
      </c>
      <c r="O69" s="997">
        <f t="shared" ca="1" si="25"/>
        <v>0</v>
      </c>
      <c r="P69" s="1015" t="str">
        <f ca="1">IF($C69="","",INDEX(NVLSX!$N$2:$N$6941,MATCH($C69,NVLSX!$E$2:$E$6941,0)))</f>
        <v/>
      </c>
      <c r="Q69" s="1016" t="str">
        <f ca="1">IF($R69="","",IF(XKNVLSX!$X$1="",IF($P69=$V$7,$P69, IF(COUNTIFS($C$2:$C68,$C69,$E$2:$E68,$E69)&gt;=1,"",$P69)),     IF(AND(IFERROR(SEARCH($R69,XKNVLSX!$X$1,1),0)&gt;=1,$P69=$V$7),$P69, IF(OR($R69&lt;&gt;IF(IFERROR(SEARCH($R69,XKNVLSX!$X$1,1),0)&gt;=1,$R69,XKNVLSX!$X$1),COUNTIFS($C$2:$C68,$C69,$E$2:$E68,$E69,$Q$2:$Q68,$P69)&gt;=1),"",$P69))))</f>
        <v/>
      </c>
      <c r="R69" s="1017" t="str">
        <f ca="1">IF($A69="","",IFERROR(INDEX(TinhGia!$BF$10:$BF$81,MATCH($A69,TinhGia!$B$10:$B$81,0)),""))</f>
        <v/>
      </c>
      <c r="S69" s="1012" t="str">
        <f ca="1">IF($A69="","",IF(OR(IFERROR(SEARCH($R69,XKNVLSX!$X$1,1),0)&gt;=1,XKNVLSX!$X$1=""),$S$2,""))</f>
        <v/>
      </c>
      <c r="T69" s="1018" t="str">
        <f ca="1">IF($C69="","", IF(OR($P69=$V$1,$P69=$V$7,COUNTIFS($C$3:$C69,$C69,$E$3:$E69,$E69)&lt;=1),$P69,""    ))</f>
        <v/>
      </c>
      <c r="U69" s="1019" t="str">
        <f ca="1">IF(AND($P69=$V$2,COUNTIFS($C$3:$C69,$C69,$E$3:$E69,$E69,$G$3:$G69,$G69)&lt;=1),$P69,"")</f>
        <v/>
      </c>
    </row>
    <row r="70" spans="1:21">
      <c r="A70" s="991" t="str">
        <f ca="1">IFERROR(IF(COUNTIF($A$3:A69,A69)&lt; INDEX(TinhGia!$BH$10:$BH$81,MATCH($A69,TinhGia!$B$10:$B$81,0)),$A69,INDEX(TinhGia!$B$10:$B$81,MATCH($A69,TinhGia!$B$10:$B$81,0)+1)),"")</f>
        <v/>
      </c>
      <c r="B70" s="525" t="str">
        <f ca="1">IF(OR(A70="",A70=0),"",IF(COUNTIF($A$2:A70,$A70)=1,ROW(MauKoXoa!$C$108),$B69+1))</f>
        <v/>
      </c>
      <c r="C70" s="992" t="str">
        <f t="shared" ca="1" si="14"/>
        <v/>
      </c>
      <c r="D70" s="993" t="str">
        <f t="shared" ca="1" si="15"/>
        <v/>
      </c>
      <c r="E70" s="993" t="str">
        <f t="shared" ca="1" si="16"/>
        <v/>
      </c>
      <c r="F70" s="992" t="str">
        <f t="shared" ca="1" si="13"/>
        <v/>
      </c>
      <c r="G70" s="994">
        <f t="shared" ca="1" si="17"/>
        <v>0</v>
      </c>
      <c r="H70" s="913">
        <f t="shared" ca="1" si="18"/>
        <v>0</v>
      </c>
      <c r="I70" s="913">
        <f t="shared" ca="1" si="19"/>
        <v>0</v>
      </c>
      <c r="J70" s="995">
        <f t="shared" ca="1" si="20"/>
        <v>0</v>
      </c>
      <c r="K70" s="913">
        <f t="shared" ca="1" si="21"/>
        <v>0</v>
      </c>
      <c r="L70" s="995">
        <f t="shared" ca="1" si="22"/>
        <v>0</v>
      </c>
      <c r="M70" s="913">
        <f t="shared" ca="1" si="23"/>
        <v>0</v>
      </c>
      <c r="N70" s="996">
        <f t="shared" ca="1" si="24"/>
        <v>0</v>
      </c>
      <c r="O70" s="997">
        <f t="shared" ca="1" si="25"/>
        <v>0</v>
      </c>
      <c r="P70" s="1015" t="str">
        <f ca="1">IF($C70="","",INDEX(NVLSX!$N$2:$N$6941,MATCH($C70,NVLSX!$E$2:$E$6941,0)))</f>
        <v/>
      </c>
      <c r="Q70" s="1016" t="str">
        <f ca="1">IF($R70="","",IF(XKNVLSX!$X$1="",IF($P70=$V$7,$P70, IF(COUNTIFS($C$2:$C69,$C70,$E$2:$E69,$E70)&gt;=1,"",$P70)),     IF(AND(IFERROR(SEARCH($R70,XKNVLSX!$X$1,1),0)&gt;=1,$P70=$V$7),$P70, IF(OR($R70&lt;&gt;IF(IFERROR(SEARCH($R70,XKNVLSX!$X$1,1),0)&gt;=1,$R70,XKNVLSX!$X$1),COUNTIFS($C$2:$C69,$C70,$E$2:$E69,$E70,$Q$2:$Q69,$P70)&gt;=1),"",$P70))))</f>
        <v/>
      </c>
      <c r="R70" s="1017" t="str">
        <f ca="1">IF($A70="","",IFERROR(INDEX(TinhGia!$BF$10:$BF$81,MATCH($A70,TinhGia!$B$10:$B$81,0)),""))</f>
        <v/>
      </c>
      <c r="S70" s="1012" t="str">
        <f ca="1">IF($A70="","",IF(OR(IFERROR(SEARCH($R70,XKNVLSX!$X$1,1),0)&gt;=1,XKNVLSX!$X$1=""),$S$2,""))</f>
        <v/>
      </c>
      <c r="T70" s="1018" t="str">
        <f ca="1">IF($C70="","", IF(OR($P70=$V$1,$P70=$V$7,COUNTIFS($C$3:$C70,$C70,$E$3:$E70,$E70)&lt;=1),$P70,""    ))</f>
        <v/>
      </c>
      <c r="U70" s="1019" t="str">
        <f ca="1">IF(AND($P70=$V$2,COUNTIFS($C$3:$C70,$C70,$E$3:$E70,$E70,$G$3:$G70,$G70)&lt;=1),$P70,"")</f>
        <v/>
      </c>
    </row>
    <row r="71" spans="1:21">
      <c r="A71" s="991" t="str">
        <f ca="1">IFERROR(IF(COUNTIF($A$3:A70,A70)&lt; INDEX(TinhGia!$BH$10:$BH$81,MATCH($A70,TinhGia!$B$10:$B$81,0)),$A70,INDEX(TinhGia!$B$10:$B$81,MATCH($A70,TinhGia!$B$10:$B$81,0)+1)),"")</f>
        <v/>
      </c>
      <c r="B71" s="525" t="str">
        <f ca="1">IF(OR(A71="",A71=0),"",IF(COUNTIF($A$2:A71,$A71)=1,ROW(MauKoXoa!$C$108),$B70+1))</f>
        <v/>
      </c>
      <c r="C71" s="992" t="str">
        <f t="shared" ca="1" si="14"/>
        <v/>
      </c>
      <c r="D71" s="993" t="str">
        <f t="shared" ca="1" si="15"/>
        <v/>
      </c>
      <c r="E71" s="993" t="str">
        <f t="shared" ca="1" si="16"/>
        <v/>
      </c>
      <c r="F71" s="992" t="str">
        <f t="shared" ca="1" si="13"/>
        <v/>
      </c>
      <c r="G71" s="994">
        <f t="shared" ca="1" si="17"/>
        <v>0</v>
      </c>
      <c r="H71" s="913">
        <f t="shared" ca="1" si="18"/>
        <v>0</v>
      </c>
      <c r="I71" s="913">
        <f t="shared" ca="1" si="19"/>
        <v>0</v>
      </c>
      <c r="J71" s="995">
        <f t="shared" ca="1" si="20"/>
        <v>0</v>
      </c>
      <c r="K71" s="913">
        <f t="shared" ca="1" si="21"/>
        <v>0</v>
      </c>
      <c r="L71" s="995">
        <f t="shared" ca="1" si="22"/>
        <v>0</v>
      </c>
      <c r="M71" s="913">
        <f t="shared" ca="1" si="23"/>
        <v>0</v>
      </c>
      <c r="N71" s="996">
        <f t="shared" ca="1" si="24"/>
        <v>0</v>
      </c>
      <c r="O71" s="997">
        <f t="shared" ca="1" si="25"/>
        <v>0</v>
      </c>
      <c r="P71" s="1015" t="str">
        <f ca="1">IF($C71="","",INDEX(NVLSX!$N$2:$N$6941,MATCH($C71,NVLSX!$E$2:$E$6941,0)))</f>
        <v/>
      </c>
      <c r="Q71" s="1016" t="str">
        <f ca="1">IF($R71="","",IF(XKNVLSX!$X$1="",IF($P71=$V$7,$P71, IF(COUNTIFS($C$2:$C70,$C71,$E$2:$E70,$E71)&gt;=1,"",$P71)),     IF(AND(IFERROR(SEARCH($R71,XKNVLSX!$X$1,1),0)&gt;=1,$P71=$V$7),$P71, IF(OR($R71&lt;&gt;IF(IFERROR(SEARCH($R71,XKNVLSX!$X$1,1),0)&gt;=1,$R71,XKNVLSX!$X$1),COUNTIFS($C$2:$C70,$C71,$E$2:$E70,$E71,$Q$2:$Q70,$P71)&gt;=1),"",$P71))))</f>
        <v/>
      </c>
      <c r="R71" s="1017" t="str">
        <f ca="1">IF($A71="","",IFERROR(INDEX(TinhGia!$BF$10:$BF$81,MATCH($A71,TinhGia!$B$10:$B$81,0)),""))</f>
        <v/>
      </c>
      <c r="S71" s="1012" t="str">
        <f ca="1">IF($A71="","",IF(OR(IFERROR(SEARCH($R71,XKNVLSX!$X$1,1),0)&gt;=1,XKNVLSX!$X$1=""),$S$2,""))</f>
        <v/>
      </c>
      <c r="T71" s="1018" t="str">
        <f ca="1">IF($C71="","", IF(OR($P71=$V$1,$P71=$V$7,COUNTIFS($C$3:$C71,$C71,$E$3:$E71,$E71)&lt;=1),$P71,""    ))</f>
        <v/>
      </c>
      <c r="U71" s="1019" t="str">
        <f ca="1">IF(AND($P71=$V$2,COUNTIFS($C$3:$C71,$C71,$E$3:$E71,$E71,$G$3:$G71,$G71)&lt;=1),$P71,"")</f>
        <v/>
      </c>
    </row>
    <row r="72" spans="1:21">
      <c r="A72" s="991" t="str">
        <f ca="1">IFERROR(IF(COUNTIF($A$3:A71,A71)&lt; INDEX(TinhGia!$BH$10:$BH$81,MATCH($A71,TinhGia!$B$10:$B$81,0)),$A71,INDEX(TinhGia!$B$10:$B$81,MATCH($A71,TinhGia!$B$10:$B$81,0)+1)),"")</f>
        <v/>
      </c>
      <c r="B72" s="525" t="str">
        <f ca="1">IF(OR(A72="",A72=0),"",IF(COUNTIF($A$2:A72,$A72)=1,ROW(MauKoXoa!$C$108),$B71+1))</f>
        <v/>
      </c>
      <c r="C72" s="992" t="str">
        <f t="shared" ca="1" si="14"/>
        <v/>
      </c>
      <c r="D72" s="993" t="str">
        <f t="shared" ca="1" si="15"/>
        <v/>
      </c>
      <c r="E72" s="993" t="str">
        <f t="shared" ca="1" si="16"/>
        <v/>
      </c>
      <c r="F72" s="992" t="str">
        <f t="shared" ca="1" si="13"/>
        <v/>
      </c>
      <c r="G72" s="994">
        <f t="shared" ca="1" si="17"/>
        <v>0</v>
      </c>
      <c r="H72" s="913">
        <f t="shared" ca="1" si="18"/>
        <v>0</v>
      </c>
      <c r="I72" s="913">
        <f t="shared" ca="1" si="19"/>
        <v>0</v>
      </c>
      <c r="J72" s="995">
        <f t="shared" ca="1" si="20"/>
        <v>0</v>
      </c>
      <c r="K72" s="913">
        <f t="shared" ca="1" si="21"/>
        <v>0</v>
      </c>
      <c r="L72" s="995">
        <f t="shared" ca="1" si="22"/>
        <v>0</v>
      </c>
      <c r="M72" s="913">
        <f t="shared" ca="1" si="23"/>
        <v>0</v>
      </c>
      <c r="N72" s="996">
        <f t="shared" ca="1" si="24"/>
        <v>0</v>
      </c>
      <c r="O72" s="997">
        <f t="shared" ca="1" si="25"/>
        <v>0</v>
      </c>
      <c r="P72" s="1015" t="str">
        <f ca="1">IF($C72="","",INDEX(NVLSX!$N$2:$N$6941,MATCH($C72,NVLSX!$E$2:$E$6941,0)))</f>
        <v/>
      </c>
      <c r="Q72" s="1016" t="str">
        <f ca="1">IF($R72="","",IF(XKNVLSX!$X$1="",IF($P72=$V$7,$P72, IF(COUNTIFS($C$2:$C71,$C72,$E$2:$E71,$E72)&gt;=1,"",$P72)),     IF(AND(IFERROR(SEARCH($R72,XKNVLSX!$X$1,1),0)&gt;=1,$P72=$V$7),$P72, IF(OR($R72&lt;&gt;IF(IFERROR(SEARCH($R72,XKNVLSX!$X$1,1),0)&gt;=1,$R72,XKNVLSX!$X$1),COUNTIFS($C$2:$C71,$C72,$E$2:$E71,$E72,$Q$2:$Q71,$P72)&gt;=1),"",$P72))))</f>
        <v/>
      </c>
      <c r="R72" s="1017" t="str">
        <f ca="1">IF($A72="","",IFERROR(INDEX(TinhGia!$BF$10:$BF$81,MATCH($A72,TinhGia!$B$10:$B$81,0)),""))</f>
        <v/>
      </c>
      <c r="S72" s="1012" t="str">
        <f ca="1">IF($A72="","",IF(OR(IFERROR(SEARCH($R72,XKNVLSX!$X$1,1),0)&gt;=1,XKNVLSX!$X$1=""),$S$2,""))</f>
        <v/>
      </c>
      <c r="T72" s="1018" t="str">
        <f ca="1">IF($C72="","", IF(OR($P72=$V$1,$P72=$V$7,COUNTIFS($C$3:$C72,$C72,$E$3:$E72,$E72)&lt;=1),$P72,""    ))</f>
        <v/>
      </c>
      <c r="U72" s="1019" t="str">
        <f ca="1">IF(AND($P72=$V$2,COUNTIFS($C$3:$C72,$C72,$E$3:$E72,$E72,$G$3:$G72,$G72)&lt;=1),$P72,"")</f>
        <v/>
      </c>
    </row>
    <row r="73" spans="1:21">
      <c r="A73" s="991" t="str">
        <f ca="1">IFERROR(IF(COUNTIF($A$3:A72,A72)&lt; INDEX(TinhGia!$BH$10:$BH$81,MATCH($A72,TinhGia!$B$10:$B$81,0)),$A72,INDEX(TinhGia!$B$10:$B$81,MATCH($A72,TinhGia!$B$10:$B$81,0)+1)),"")</f>
        <v/>
      </c>
      <c r="B73" s="525" t="str">
        <f ca="1">IF(OR(A73="",A73=0),"",IF(COUNTIF($A$2:A73,$A73)=1,ROW(MauKoXoa!$C$108),$B72+1))</f>
        <v/>
      </c>
      <c r="C73" s="992" t="str">
        <f t="shared" ca="1" si="14"/>
        <v/>
      </c>
      <c r="D73" s="993" t="str">
        <f t="shared" ca="1" si="15"/>
        <v/>
      </c>
      <c r="E73" s="993" t="str">
        <f t="shared" ca="1" si="16"/>
        <v/>
      </c>
      <c r="F73" s="992" t="str">
        <f t="shared" ca="1" si="13"/>
        <v/>
      </c>
      <c r="G73" s="994">
        <f t="shared" ca="1" si="17"/>
        <v>0</v>
      </c>
      <c r="H73" s="913">
        <f t="shared" ca="1" si="18"/>
        <v>0</v>
      </c>
      <c r="I73" s="913">
        <f t="shared" ca="1" si="19"/>
        <v>0</v>
      </c>
      <c r="J73" s="995">
        <f t="shared" ca="1" si="20"/>
        <v>0</v>
      </c>
      <c r="K73" s="913">
        <f t="shared" ca="1" si="21"/>
        <v>0</v>
      </c>
      <c r="L73" s="995">
        <f t="shared" ca="1" si="22"/>
        <v>0</v>
      </c>
      <c r="M73" s="913">
        <f t="shared" ca="1" si="23"/>
        <v>0</v>
      </c>
      <c r="N73" s="996">
        <f t="shared" ca="1" si="24"/>
        <v>0</v>
      </c>
      <c r="O73" s="997">
        <f t="shared" ca="1" si="25"/>
        <v>0</v>
      </c>
      <c r="P73" s="1015" t="str">
        <f ca="1">IF($C73="","",INDEX(NVLSX!$N$2:$N$6941,MATCH($C73,NVLSX!$E$2:$E$6941,0)))</f>
        <v/>
      </c>
      <c r="Q73" s="1016" t="str">
        <f ca="1">IF($R73="","",IF(XKNVLSX!$X$1="",IF($P73=$V$7,$P73, IF(COUNTIFS($C$2:$C72,$C73,$E$2:$E72,$E73)&gt;=1,"",$P73)),     IF(AND(IFERROR(SEARCH($R73,XKNVLSX!$X$1,1),0)&gt;=1,$P73=$V$7),$P73, IF(OR($R73&lt;&gt;IF(IFERROR(SEARCH($R73,XKNVLSX!$X$1,1),0)&gt;=1,$R73,XKNVLSX!$X$1),COUNTIFS($C$2:$C72,$C73,$E$2:$E72,$E73,$Q$2:$Q72,$P73)&gt;=1),"",$P73))))</f>
        <v/>
      </c>
      <c r="R73" s="1017" t="str">
        <f ca="1">IF($A73="","",IFERROR(INDEX(TinhGia!$BF$10:$BF$81,MATCH($A73,TinhGia!$B$10:$B$81,0)),""))</f>
        <v/>
      </c>
      <c r="S73" s="1012" t="str">
        <f ca="1">IF($A73="","",IF(OR(IFERROR(SEARCH($R73,XKNVLSX!$X$1,1),0)&gt;=1,XKNVLSX!$X$1=""),$S$2,""))</f>
        <v/>
      </c>
      <c r="T73" s="1018" t="str">
        <f ca="1">IF($C73="","", IF(OR($P73=$V$1,$P73=$V$7,COUNTIFS($C$3:$C73,$C73,$E$3:$E73,$E73)&lt;=1),$P73,""    ))</f>
        <v/>
      </c>
      <c r="U73" s="1019" t="str">
        <f ca="1">IF(AND($P73=$V$2,COUNTIFS($C$3:$C73,$C73,$E$3:$E73,$E73,$G$3:$G73,$G73)&lt;=1),$P73,"")</f>
        <v/>
      </c>
    </row>
    <row r="74" spans="1:21">
      <c r="A74" s="991" t="str">
        <f ca="1">IFERROR(IF(COUNTIF($A$3:A73,A73)&lt; INDEX(TinhGia!$BH$10:$BH$81,MATCH($A73,TinhGia!$B$10:$B$81,0)),$A73,INDEX(TinhGia!$B$10:$B$81,MATCH($A73,TinhGia!$B$10:$B$81,0)+1)),"")</f>
        <v/>
      </c>
      <c r="B74" s="525" t="str">
        <f ca="1">IF(OR(A74="",A74=0),"",IF(COUNTIF($A$2:A74,$A74)=1,ROW(MauKoXoa!$C$108),$B73+1))</f>
        <v/>
      </c>
      <c r="C74" s="992" t="str">
        <f t="shared" ca="1" si="14"/>
        <v/>
      </c>
      <c r="D74" s="993" t="str">
        <f t="shared" ca="1" si="15"/>
        <v/>
      </c>
      <c r="E74" s="993" t="str">
        <f t="shared" ca="1" si="16"/>
        <v/>
      </c>
      <c r="F74" s="992" t="str">
        <f t="shared" ca="1" si="13"/>
        <v/>
      </c>
      <c r="G74" s="994">
        <f t="shared" ca="1" si="17"/>
        <v>0</v>
      </c>
      <c r="H74" s="913">
        <f t="shared" ca="1" si="18"/>
        <v>0</v>
      </c>
      <c r="I74" s="913">
        <f t="shared" ca="1" si="19"/>
        <v>0</v>
      </c>
      <c r="J74" s="995">
        <f t="shared" ca="1" si="20"/>
        <v>0</v>
      </c>
      <c r="K74" s="913">
        <f t="shared" ca="1" si="21"/>
        <v>0</v>
      </c>
      <c r="L74" s="995">
        <f t="shared" ca="1" si="22"/>
        <v>0</v>
      </c>
      <c r="M74" s="913">
        <f t="shared" ca="1" si="23"/>
        <v>0</v>
      </c>
      <c r="N74" s="996">
        <f t="shared" ca="1" si="24"/>
        <v>0</v>
      </c>
      <c r="O74" s="997">
        <f t="shared" ca="1" si="25"/>
        <v>0</v>
      </c>
      <c r="P74" s="1015" t="str">
        <f ca="1">IF($C74="","",INDEX(NVLSX!$N$2:$N$6941,MATCH($C74,NVLSX!$E$2:$E$6941,0)))</f>
        <v/>
      </c>
      <c r="Q74" s="1016" t="str">
        <f ca="1">IF($R74="","",IF(XKNVLSX!$X$1="",IF($P74=$V$7,$P74, IF(COUNTIFS($C$2:$C73,$C74,$E$2:$E73,$E74)&gt;=1,"",$P74)),     IF(AND(IFERROR(SEARCH($R74,XKNVLSX!$X$1,1),0)&gt;=1,$P74=$V$7),$P74, IF(OR($R74&lt;&gt;IF(IFERROR(SEARCH($R74,XKNVLSX!$X$1,1),0)&gt;=1,$R74,XKNVLSX!$X$1),COUNTIFS($C$2:$C73,$C74,$E$2:$E73,$E74,$Q$2:$Q73,$P74)&gt;=1),"",$P74))))</f>
        <v/>
      </c>
      <c r="R74" s="1017" t="str">
        <f ca="1">IF($A74="","",IFERROR(INDEX(TinhGia!$BF$10:$BF$81,MATCH($A74,TinhGia!$B$10:$B$81,0)),""))</f>
        <v/>
      </c>
      <c r="S74" s="1012" t="str">
        <f ca="1">IF($A74="","",IF(OR(IFERROR(SEARCH($R74,XKNVLSX!$X$1,1),0)&gt;=1,XKNVLSX!$X$1=""),$S$2,""))</f>
        <v/>
      </c>
      <c r="T74" s="1018" t="str">
        <f ca="1">IF($C74="","", IF(OR($P74=$V$1,$P74=$V$7,COUNTIFS($C$3:$C74,$C74,$E$3:$E74,$E74)&lt;=1),$P74,""    ))</f>
        <v/>
      </c>
      <c r="U74" s="1019" t="str">
        <f ca="1">IF(AND($P74=$V$2,COUNTIFS($C$3:$C74,$C74,$E$3:$E74,$E74,$G$3:$G74,$G74)&lt;=1),$P74,"")</f>
        <v/>
      </c>
    </row>
    <row r="75" spans="1:21">
      <c r="A75" s="991" t="str">
        <f ca="1">IFERROR(IF(COUNTIF($A$3:A74,A74)&lt; INDEX(TinhGia!$BH$10:$BH$81,MATCH($A74,TinhGia!$B$10:$B$81,0)),$A74,INDEX(TinhGia!$B$10:$B$81,MATCH($A74,TinhGia!$B$10:$B$81,0)+1)),"")</f>
        <v/>
      </c>
      <c r="B75" s="525" t="str">
        <f ca="1">IF(OR(A75="",A75=0),"",IF(COUNTIF($A$2:A75,$A75)=1,ROW(MauKoXoa!$C$108),$B74+1))</f>
        <v/>
      </c>
      <c r="C75" s="992" t="str">
        <f t="shared" ca="1" si="14"/>
        <v/>
      </c>
      <c r="D75" s="993" t="str">
        <f t="shared" ca="1" si="15"/>
        <v/>
      </c>
      <c r="E75" s="993" t="str">
        <f t="shared" ca="1" si="16"/>
        <v/>
      </c>
      <c r="F75" s="992" t="str">
        <f t="shared" ca="1" si="13"/>
        <v/>
      </c>
      <c r="G75" s="994">
        <f t="shared" ca="1" si="17"/>
        <v>0</v>
      </c>
      <c r="H75" s="913">
        <f t="shared" ca="1" si="18"/>
        <v>0</v>
      </c>
      <c r="I75" s="913">
        <f t="shared" ca="1" si="19"/>
        <v>0</v>
      </c>
      <c r="J75" s="995">
        <f t="shared" ca="1" si="20"/>
        <v>0</v>
      </c>
      <c r="K75" s="913">
        <f t="shared" ca="1" si="21"/>
        <v>0</v>
      </c>
      <c r="L75" s="995">
        <f t="shared" ca="1" si="22"/>
        <v>0</v>
      </c>
      <c r="M75" s="913">
        <f t="shared" ca="1" si="23"/>
        <v>0</v>
      </c>
      <c r="N75" s="996">
        <f t="shared" ca="1" si="24"/>
        <v>0</v>
      </c>
      <c r="O75" s="997">
        <f t="shared" ca="1" si="25"/>
        <v>0</v>
      </c>
      <c r="P75" s="1015" t="str">
        <f ca="1">IF($C75="","",INDEX(NVLSX!$N$2:$N$6941,MATCH($C75,NVLSX!$E$2:$E$6941,0)))</f>
        <v/>
      </c>
      <c r="Q75" s="1016" t="str">
        <f ca="1">IF($R75="","",IF(XKNVLSX!$X$1="",IF($P75=$V$7,$P75, IF(COUNTIFS($C$2:$C74,$C75,$E$2:$E74,$E75)&gt;=1,"",$P75)),     IF(AND(IFERROR(SEARCH($R75,XKNVLSX!$X$1,1),0)&gt;=1,$P75=$V$7),$P75, IF(OR($R75&lt;&gt;IF(IFERROR(SEARCH($R75,XKNVLSX!$X$1,1),0)&gt;=1,$R75,XKNVLSX!$X$1),COUNTIFS($C$2:$C74,$C75,$E$2:$E74,$E75,$Q$2:$Q74,$P75)&gt;=1),"",$P75))))</f>
        <v/>
      </c>
      <c r="R75" s="1017" t="str">
        <f ca="1">IF($A75="","",IFERROR(INDEX(TinhGia!$BF$10:$BF$81,MATCH($A75,TinhGia!$B$10:$B$81,0)),""))</f>
        <v/>
      </c>
      <c r="S75" s="1012" t="str">
        <f ca="1">IF($A75="","",IF(OR(IFERROR(SEARCH($R75,XKNVLSX!$X$1,1),0)&gt;=1,XKNVLSX!$X$1=""),$S$2,""))</f>
        <v/>
      </c>
      <c r="T75" s="1018" t="str">
        <f ca="1">IF($C75="","", IF(OR($P75=$V$1,$P75=$V$7,COUNTIFS($C$3:$C75,$C75,$E$3:$E75,$E75)&lt;=1),$P75,""    ))</f>
        <v/>
      </c>
      <c r="U75" s="1019" t="str">
        <f ca="1">IF(AND($P75=$V$2,COUNTIFS($C$3:$C75,$C75,$E$3:$E75,$E75,$G$3:$G75,$G75)&lt;=1),$P75,"")</f>
        <v/>
      </c>
    </row>
    <row r="76" spans="1:21">
      <c r="A76" s="991" t="str">
        <f ca="1">IFERROR(IF(COUNTIF($A$3:A75,A75)&lt; INDEX(TinhGia!$BH$10:$BH$81,MATCH($A75,TinhGia!$B$10:$B$81,0)),$A75,INDEX(TinhGia!$B$10:$B$81,MATCH($A75,TinhGia!$B$10:$B$81,0)+1)),"")</f>
        <v/>
      </c>
      <c r="B76" s="525" t="str">
        <f ca="1">IF(OR(A76="",A76=0),"",IF(COUNTIF($A$2:A76,$A76)=1,ROW(MauKoXoa!$C$108),$B75+1))</f>
        <v/>
      </c>
      <c r="C76" s="992" t="str">
        <f t="shared" ca="1" si="14"/>
        <v/>
      </c>
      <c r="D76" s="993" t="str">
        <f t="shared" ca="1" si="15"/>
        <v/>
      </c>
      <c r="E76" s="993" t="str">
        <f t="shared" ca="1" si="16"/>
        <v/>
      </c>
      <c r="F76" s="992" t="str">
        <f t="shared" ca="1" si="13"/>
        <v/>
      </c>
      <c r="G76" s="994">
        <f t="shared" ca="1" si="17"/>
        <v>0</v>
      </c>
      <c r="H76" s="913">
        <f t="shared" ca="1" si="18"/>
        <v>0</v>
      </c>
      <c r="I76" s="913">
        <f t="shared" ca="1" si="19"/>
        <v>0</v>
      </c>
      <c r="J76" s="995">
        <f t="shared" ca="1" si="20"/>
        <v>0</v>
      </c>
      <c r="K76" s="913">
        <f t="shared" ca="1" si="21"/>
        <v>0</v>
      </c>
      <c r="L76" s="995">
        <f t="shared" ca="1" si="22"/>
        <v>0</v>
      </c>
      <c r="M76" s="913">
        <f t="shared" ca="1" si="23"/>
        <v>0</v>
      </c>
      <c r="N76" s="996">
        <f t="shared" ca="1" si="24"/>
        <v>0</v>
      </c>
      <c r="O76" s="997">
        <f t="shared" ca="1" si="25"/>
        <v>0</v>
      </c>
      <c r="P76" s="1015" t="str">
        <f ca="1">IF($C76="","",INDEX(NVLSX!$N$2:$N$6941,MATCH($C76,NVLSX!$E$2:$E$6941,0)))</f>
        <v/>
      </c>
      <c r="Q76" s="1016" t="str">
        <f ca="1">IF($R76="","",IF(XKNVLSX!$X$1="",IF($P76=$V$7,$P76, IF(COUNTIFS($C$2:$C75,$C76,$E$2:$E75,$E76)&gt;=1,"",$P76)),     IF(AND(IFERROR(SEARCH($R76,XKNVLSX!$X$1,1),0)&gt;=1,$P76=$V$7),$P76, IF(OR($R76&lt;&gt;IF(IFERROR(SEARCH($R76,XKNVLSX!$X$1,1),0)&gt;=1,$R76,XKNVLSX!$X$1),COUNTIFS($C$2:$C75,$C76,$E$2:$E75,$E76,$Q$2:$Q75,$P76)&gt;=1),"",$P76))))</f>
        <v/>
      </c>
      <c r="R76" s="1017" t="str">
        <f ca="1">IF($A76="","",IFERROR(INDEX(TinhGia!$BF$10:$BF$81,MATCH($A76,TinhGia!$B$10:$B$81,0)),""))</f>
        <v/>
      </c>
      <c r="S76" s="1012" t="str">
        <f ca="1">IF($A76="","",IF(OR(IFERROR(SEARCH($R76,XKNVLSX!$X$1,1),0)&gt;=1,XKNVLSX!$X$1=""),$S$2,""))</f>
        <v/>
      </c>
      <c r="T76" s="1018" t="str">
        <f ca="1">IF($C76="","", IF(OR($P76=$V$1,$P76=$V$7,COUNTIFS($C$3:$C76,$C76,$E$3:$E76,$E76)&lt;=1),$P76,""    ))</f>
        <v/>
      </c>
      <c r="U76" s="1019" t="str">
        <f ca="1">IF(AND($P76=$V$2,COUNTIFS($C$3:$C76,$C76,$E$3:$E76,$E76,$G$3:$G76,$G76)&lt;=1),$P76,"")</f>
        <v/>
      </c>
    </row>
    <row r="77" spans="1:21">
      <c r="A77" s="991" t="str">
        <f ca="1">IFERROR(IF(COUNTIF($A$3:A76,A76)&lt; INDEX(TinhGia!$BH$10:$BH$81,MATCH($A76,TinhGia!$B$10:$B$81,0)),$A76,INDEX(TinhGia!$B$10:$B$81,MATCH($A76,TinhGia!$B$10:$B$81,0)+1)),"")</f>
        <v/>
      </c>
      <c r="B77" s="525" t="str">
        <f ca="1">IF(OR(A77="",A77=0),"",IF(COUNTIF($A$2:A77,$A77)=1,ROW(MauKoXoa!$C$108),$B76+1))</f>
        <v/>
      </c>
      <c r="C77" s="992" t="str">
        <f t="shared" ca="1" si="14"/>
        <v/>
      </c>
      <c r="D77" s="993" t="str">
        <f t="shared" ca="1" si="15"/>
        <v/>
      </c>
      <c r="E77" s="993" t="str">
        <f t="shared" ca="1" si="16"/>
        <v/>
      </c>
      <c r="F77" s="992" t="str">
        <f t="shared" ca="1" si="13"/>
        <v/>
      </c>
      <c r="G77" s="994">
        <f t="shared" ca="1" si="17"/>
        <v>0</v>
      </c>
      <c r="H77" s="913">
        <f t="shared" ca="1" si="18"/>
        <v>0</v>
      </c>
      <c r="I77" s="913">
        <f t="shared" ca="1" si="19"/>
        <v>0</v>
      </c>
      <c r="J77" s="995">
        <f t="shared" ca="1" si="20"/>
        <v>0</v>
      </c>
      <c r="K77" s="913">
        <f t="shared" ca="1" si="21"/>
        <v>0</v>
      </c>
      <c r="L77" s="995">
        <f t="shared" ca="1" si="22"/>
        <v>0</v>
      </c>
      <c r="M77" s="913">
        <f t="shared" ca="1" si="23"/>
        <v>0</v>
      </c>
      <c r="N77" s="996">
        <f t="shared" ca="1" si="24"/>
        <v>0</v>
      </c>
      <c r="O77" s="997">
        <f t="shared" ca="1" si="25"/>
        <v>0</v>
      </c>
      <c r="P77" s="1015" t="str">
        <f ca="1">IF($C77="","",INDEX(NVLSX!$N$2:$N$6941,MATCH($C77,NVLSX!$E$2:$E$6941,0)))</f>
        <v/>
      </c>
      <c r="Q77" s="1016" t="str">
        <f ca="1">IF($R77="","",IF(XKNVLSX!$X$1="",IF($P77=$V$7,$P77, IF(COUNTIFS($C$2:$C76,$C77,$E$2:$E76,$E77)&gt;=1,"",$P77)),     IF(AND(IFERROR(SEARCH($R77,XKNVLSX!$X$1,1),0)&gt;=1,$P77=$V$7),$P77, IF(OR($R77&lt;&gt;IF(IFERROR(SEARCH($R77,XKNVLSX!$X$1,1),0)&gt;=1,$R77,XKNVLSX!$X$1),COUNTIFS($C$2:$C76,$C77,$E$2:$E76,$E77,$Q$2:$Q76,$P77)&gt;=1),"",$P77))))</f>
        <v/>
      </c>
      <c r="R77" s="1017" t="str">
        <f ca="1">IF($A77="","",IFERROR(INDEX(TinhGia!$BF$10:$BF$81,MATCH($A77,TinhGia!$B$10:$B$81,0)),""))</f>
        <v/>
      </c>
      <c r="S77" s="1012" t="str">
        <f ca="1">IF($A77="","",IF(OR(IFERROR(SEARCH($R77,XKNVLSX!$X$1,1),0)&gt;=1,XKNVLSX!$X$1=""),$S$2,""))</f>
        <v/>
      </c>
      <c r="T77" s="1018" t="str">
        <f ca="1">IF($C77="","", IF(OR($P77=$V$1,$P77=$V$7,COUNTIFS($C$3:$C77,$C77,$E$3:$E77,$E77)&lt;=1),$P77,""    ))</f>
        <v/>
      </c>
      <c r="U77" s="1019" t="str">
        <f ca="1">IF(AND($P77=$V$2,COUNTIFS($C$3:$C77,$C77,$E$3:$E77,$E77,$G$3:$G77,$G77)&lt;=1),$P77,"")</f>
        <v/>
      </c>
    </row>
    <row r="78" spans="1:21">
      <c r="A78" s="991" t="str">
        <f ca="1">IFERROR(IF(COUNTIF($A$3:A77,A77)&lt; INDEX(TinhGia!$BH$10:$BH$81,MATCH($A77,TinhGia!$B$10:$B$81,0)),$A77,INDEX(TinhGia!$B$10:$B$81,MATCH($A77,TinhGia!$B$10:$B$81,0)+1)),"")</f>
        <v/>
      </c>
      <c r="B78" s="525" t="str">
        <f ca="1">IF(OR(A78="",A78=0),"",IF(COUNTIF($A$2:A78,$A78)=1,ROW(MauKoXoa!$C$108),$B77+1))</f>
        <v/>
      </c>
      <c r="C78" s="992" t="str">
        <f t="shared" ca="1" si="14"/>
        <v/>
      </c>
      <c r="D78" s="993" t="str">
        <f t="shared" ca="1" si="15"/>
        <v/>
      </c>
      <c r="E78" s="993" t="str">
        <f t="shared" ca="1" si="16"/>
        <v/>
      </c>
      <c r="F78" s="992" t="str">
        <f t="shared" ca="1" si="13"/>
        <v/>
      </c>
      <c r="G78" s="994">
        <f t="shared" ca="1" si="17"/>
        <v>0</v>
      </c>
      <c r="H78" s="913">
        <f t="shared" ca="1" si="18"/>
        <v>0</v>
      </c>
      <c r="I78" s="913">
        <f t="shared" ca="1" si="19"/>
        <v>0</v>
      </c>
      <c r="J78" s="995">
        <f t="shared" ca="1" si="20"/>
        <v>0</v>
      </c>
      <c r="K78" s="913">
        <f t="shared" ca="1" si="21"/>
        <v>0</v>
      </c>
      <c r="L78" s="995">
        <f t="shared" ca="1" si="22"/>
        <v>0</v>
      </c>
      <c r="M78" s="913">
        <f t="shared" ca="1" si="23"/>
        <v>0</v>
      </c>
      <c r="N78" s="996">
        <f t="shared" ca="1" si="24"/>
        <v>0</v>
      </c>
      <c r="O78" s="997">
        <f t="shared" ca="1" si="25"/>
        <v>0</v>
      </c>
      <c r="P78" s="1015" t="str">
        <f ca="1">IF($C78="","",INDEX(NVLSX!$N$2:$N$6941,MATCH($C78,NVLSX!$E$2:$E$6941,0)))</f>
        <v/>
      </c>
      <c r="Q78" s="1016" t="str">
        <f ca="1">IF($R78="","",IF(XKNVLSX!$X$1="",IF($P78=$V$7,$P78, IF(COUNTIFS($C$2:$C77,$C78,$E$2:$E77,$E78)&gt;=1,"",$P78)),     IF(AND(IFERROR(SEARCH($R78,XKNVLSX!$X$1,1),0)&gt;=1,$P78=$V$7),$P78, IF(OR($R78&lt;&gt;IF(IFERROR(SEARCH($R78,XKNVLSX!$X$1,1),0)&gt;=1,$R78,XKNVLSX!$X$1),COUNTIFS($C$2:$C77,$C78,$E$2:$E77,$E78,$Q$2:$Q77,$P78)&gt;=1),"",$P78))))</f>
        <v/>
      </c>
      <c r="R78" s="1017" t="str">
        <f ca="1">IF($A78="","",IFERROR(INDEX(TinhGia!$BF$10:$BF$81,MATCH($A78,TinhGia!$B$10:$B$81,0)),""))</f>
        <v/>
      </c>
      <c r="S78" s="1012" t="str">
        <f ca="1">IF($A78="","",IF(OR(IFERROR(SEARCH($R78,XKNVLSX!$X$1,1),0)&gt;=1,XKNVLSX!$X$1=""),$S$2,""))</f>
        <v/>
      </c>
      <c r="T78" s="1018" t="str">
        <f ca="1">IF($C78="","", IF(OR($P78=$V$1,$P78=$V$7,COUNTIFS($C$3:$C78,$C78,$E$3:$E78,$E78)&lt;=1),$P78,""    ))</f>
        <v/>
      </c>
      <c r="U78" s="1019" t="str">
        <f ca="1">IF(AND($P78=$V$2,COUNTIFS($C$3:$C78,$C78,$E$3:$E78,$E78,$G$3:$G78,$G78)&lt;=1),$P78,"")</f>
        <v/>
      </c>
    </row>
    <row r="79" spans="1:21">
      <c r="A79" s="991" t="str">
        <f ca="1">IFERROR(IF(COUNTIF($A$3:A78,A78)&lt; INDEX(TinhGia!$BH$10:$BH$81,MATCH($A78,TinhGia!$B$10:$B$81,0)),$A78,INDEX(TinhGia!$B$10:$B$81,MATCH($A78,TinhGia!$B$10:$B$81,0)+1)),"")</f>
        <v/>
      </c>
      <c r="B79" s="525" t="str">
        <f ca="1">IF(OR(A79="",A79=0),"",IF(COUNTIF($A$2:A79,$A79)=1,ROW(MauKoXoa!$C$108),$B78+1))</f>
        <v/>
      </c>
      <c r="C79" s="992" t="str">
        <f t="shared" ca="1" si="14"/>
        <v/>
      </c>
      <c r="D79" s="993" t="str">
        <f t="shared" ca="1" si="15"/>
        <v/>
      </c>
      <c r="E79" s="993" t="str">
        <f t="shared" ca="1" si="16"/>
        <v/>
      </c>
      <c r="F79" s="992" t="str">
        <f t="shared" ca="1" si="13"/>
        <v/>
      </c>
      <c r="G79" s="994">
        <f t="shared" ca="1" si="17"/>
        <v>0</v>
      </c>
      <c r="H79" s="913">
        <f t="shared" ca="1" si="18"/>
        <v>0</v>
      </c>
      <c r="I79" s="913">
        <f t="shared" ca="1" si="19"/>
        <v>0</v>
      </c>
      <c r="J79" s="995">
        <f t="shared" ca="1" si="20"/>
        <v>0</v>
      </c>
      <c r="K79" s="913">
        <f t="shared" ca="1" si="21"/>
        <v>0</v>
      </c>
      <c r="L79" s="995">
        <f t="shared" ca="1" si="22"/>
        <v>0</v>
      </c>
      <c r="M79" s="913">
        <f t="shared" ca="1" si="23"/>
        <v>0</v>
      </c>
      <c r="N79" s="996">
        <f t="shared" ca="1" si="24"/>
        <v>0</v>
      </c>
      <c r="O79" s="997">
        <f t="shared" ca="1" si="25"/>
        <v>0</v>
      </c>
      <c r="P79" s="1015" t="str">
        <f ca="1">IF($C79="","",INDEX(NVLSX!$N$2:$N$6941,MATCH($C79,NVLSX!$E$2:$E$6941,0)))</f>
        <v/>
      </c>
      <c r="Q79" s="1016" t="str">
        <f ca="1">IF($R79="","",IF(XKNVLSX!$X$1="",IF($P79=$V$7,$P79, IF(COUNTIFS($C$2:$C78,$C79,$E$2:$E78,$E79)&gt;=1,"",$P79)),     IF(AND(IFERROR(SEARCH($R79,XKNVLSX!$X$1,1),0)&gt;=1,$P79=$V$7),$P79, IF(OR($R79&lt;&gt;IF(IFERROR(SEARCH($R79,XKNVLSX!$X$1,1),0)&gt;=1,$R79,XKNVLSX!$X$1),COUNTIFS($C$2:$C78,$C79,$E$2:$E78,$E79,$Q$2:$Q78,$P79)&gt;=1),"",$P79))))</f>
        <v/>
      </c>
      <c r="R79" s="1017" t="str">
        <f ca="1">IF($A79="","",IFERROR(INDEX(TinhGia!$BF$10:$BF$81,MATCH($A79,TinhGia!$B$10:$B$81,0)),""))</f>
        <v/>
      </c>
      <c r="S79" s="1012" t="str">
        <f ca="1">IF($A79="","",IF(OR(IFERROR(SEARCH($R79,XKNVLSX!$X$1,1),0)&gt;=1,XKNVLSX!$X$1=""),$S$2,""))</f>
        <v/>
      </c>
      <c r="T79" s="1018" t="str">
        <f ca="1">IF($C79="","", IF(OR($P79=$V$1,$P79=$V$7,COUNTIFS($C$3:$C79,$C79,$E$3:$E79,$E79)&lt;=1),$P79,""    ))</f>
        <v/>
      </c>
      <c r="U79" s="1019" t="str">
        <f ca="1">IF(AND($P79=$V$2,COUNTIFS($C$3:$C79,$C79,$E$3:$E79,$E79,$G$3:$G79,$G79)&lt;=1),$P79,"")</f>
        <v/>
      </c>
    </row>
    <row r="80" spans="1:21">
      <c r="A80" s="991" t="str">
        <f ca="1">IFERROR(IF(COUNTIF($A$3:A79,A79)&lt; INDEX(TinhGia!$BH$10:$BH$81,MATCH($A79,TinhGia!$B$10:$B$81,0)),$A79,INDEX(TinhGia!$B$10:$B$81,MATCH($A79,TinhGia!$B$10:$B$81,0)+1)),"")</f>
        <v/>
      </c>
      <c r="B80" s="525" t="str">
        <f ca="1">IF(OR(A80="",A80=0),"",IF(COUNTIF($A$2:A80,$A80)=1,ROW(MauKoXoa!$C$108),$B79+1))</f>
        <v/>
      </c>
      <c r="C80" s="992" t="str">
        <f t="shared" ca="1" si="14"/>
        <v/>
      </c>
      <c r="D80" s="993" t="str">
        <f t="shared" ca="1" si="15"/>
        <v/>
      </c>
      <c r="E80" s="993" t="str">
        <f t="shared" ca="1" si="16"/>
        <v/>
      </c>
      <c r="F80" s="992" t="str">
        <f t="shared" ca="1" si="13"/>
        <v/>
      </c>
      <c r="G80" s="994">
        <f t="shared" ca="1" si="17"/>
        <v>0</v>
      </c>
      <c r="H80" s="913">
        <f t="shared" ca="1" si="18"/>
        <v>0</v>
      </c>
      <c r="I80" s="913">
        <f t="shared" ca="1" si="19"/>
        <v>0</v>
      </c>
      <c r="J80" s="995">
        <f t="shared" ca="1" si="20"/>
        <v>0</v>
      </c>
      <c r="K80" s="913">
        <f t="shared" ca="1" si="21"/>
        <v>0</v>
      </c>
      <c r="L80" s="995">
        <f t="shared" ca="1" si="22"/>
        <v>0</v>
      </c>
      <c r="M80" s="913">
        <f t="shared" ca="1" si="23"/>
        <v>0</v>
      </c>
      <c r="N80" s="996">
        <f t="shared" ca="1" si="24"/>
        <v>0</v>
      </c>
      <c r="O80" s="997">
        <f t="shared" ca="1" si="25"/>
        <v>0</v>
      </c>
      <c r="P80" s="1015" t="str">
        <f ca="1">IF($C80="","",INDEX(NVLSX!$N$2:$N$6941,MATCH($C80,NVLSX!$E$2:$E$6941,0)))</f>
        <v/>
      </c>
      <c r="Q80" s="1016" t="str">
        <f ca="1">IF($R80="","",IF(XKNVLSX!$X$1="",IF($P80=$V$7,$P80, IF(COUNTIFS($C$2:$C79,$C80,$E$2:$E79,$E80)&gt;=1,"",$P80)),     IF(AND(IFERROR(SEARCH($R80,XKNVLSX!$X$1,1),0)&gt;=1,$P80=$V$7),$P80, IF(OR($R80&lt;&gt;IF(IFERROR(SEARCH($R80,XKNVLSX!$X$1,1),0)&gt;=1,$R80,XKNVLSX!$X$1),COUNTIFS($C$2:$C79,$C80,$E$2:$E79,$E80,$Q$2:$Q79,$P80)&gt;=1),"",$P80))))</f>
        <v/>
      </c>
      <c r="R80" s="1017" t="str">
        <f ca="1">IF($A80="","",IFERROR(INDEX(TinhGia!$BF$10:$BF$81,MATCH($A80,TinhGia!$B$10:$B$81,0)),""))</f>
        <v/>
      </c>
      <c r="S80" s="1012" t="str">
        <f ca="1">IF($A80="","",IF(OR(IFERROR(SEARCH($R80,XKNVLSX!$X$1,1),0)&gt;=1,XKNVLSX!$X$1=""),$S$2,""))</f>
        <v/>
      </c>
      <c r="T80" s="1018" t="str">
        <f ca="1">IF($C80="","", IF(OR($P80=$V$1,$P80=$V$7,COUNTIFS($C$3:$C80,$C80,$E$3:$E80,$E80)&lt;=1),$P80,""    ))</f>
        <v/>
      </c>
      <c r="U80" s="1019" t="str">
        <f ca="1">IF(AND($P80=$V$2,COUNTIFS($C$3:$C80,$C80,$E$3:$E80,$E80,$G$3:$G80,$G80)&lt;=1),$P80,"")</f>
        <v/>
      </c>
    </row>
    <row r="81" spans="1:21">
      <c r="A81" s="991" t="str">
        <f ca="1">IFERROR(IF(COUNTIF($A$3:A80,A80)&lt; INDEX(TinhGia!$BH$10:$BH$81,MATCH($A80,TinhGia!$B$10:$B$81,0)),$A80,INDEX(TinhGia!$B$10:$B$81,MATCH($A80,TinhGia!$B$10:$B$81,0)+1)),"")</f>
        <v/>
      </c>
      <c r="B81" s="525" t="str">
        <f ca="1">IF(OR(A81="",A81=0),"",IF(COUNTIF($A$2:A81,$A81)=1,ROW(MauKoXoa!$C$108),$B80+1))</f>
        <v/>
      </c>
      <c r="C81" s="992" t="str">
        <f t="shared" ca="1" si="14"/>
        <v/>
      </c>
      <c r="D81" s="993" t="str">
        <f t="shared" ca="1" si="15"/>
        <v/>
      </c>
      <c r="E81" s="993" t="str">
        <f t="shared" ca="1" si="16"/>
        <v/>
      </c>
      <c r="F81" s="992" t="str">
        <f t="shared" ca="1" si="13"/>
        <v/>
      </c>
      <c r="G81" s="994">
        <f t="shared" ca="1" si="17"/>
        <v>0</v>
      </c>
      <c r="H81" s="913">
        <f t="shared" ca="1" si="18"/>
        <v>0</v>
      </c>
      <c r="I81" s="913">
        <f t="shared" ca="1" si="19"/>
        <v>0</v>
      </c>
      <c r="J81" s="995">
        <f t="shared" ca="1" si="20"/>
        <v>0</v>
      </c>
      <c r="K81" s="913">
        <f t="shared" ca="1" si="21"/>
        <v>0</v>
      </c>
      <c r="L81" s="995">
        <f t="shared" ca="1" si="22"/>
        <v>0</v>
      </c>
      <c r="M81" s="913">
        <f t="shared" ca="1" si="23"/>
        <v>0</v>
      </c>
      <c r="N81" s="996">
        <f t="shared" ca="1" si="24"/>
        <v>0</v>
      </c>
      <c r="O81" s="997">
        <f t="shared" ca="1" si="25"/>
        <v>0</v>
      </c>
      <c r="P81" s="1015" t="str">
        <f ca="1">IF($C81="","",INDEX(NVLSX!$N$2:$N$6941,MATCH($C81,NVLSX!$E$2:$E$6941,0)))</f>
        <v/>
      </c>
      <c r="Q81" s="1016" t="str">
        <f ca="1">IF($R81="","",IF(XKNVLSX!$X$1="",IF($P81=$V$7,$P81, IF(COUNTIFS($C$2:$C80,$C81,$E$2:$E80,$E81)&gt;=1,"",$P81)),     IF(AND(IFERROR(SEARCH($R81,XKNVLSX!$X$1,1),0)&gt;=1,$P81=$V$7),$P81, IF(OR($R81&lt;&gt;IF(IFERROR(SEARCH($R81,XKNVLSX!$X$1,1),0)&gt;=1,$R81,XKNVLSX!$X$1),COUNTIFS($C$2:$C80,$C81,$E$2:$E80,$E81,$Q$2:$Q80,$P81)&gt;=1),"",$P81))))</f>
        <v/>
      </c>
      <c r="R81" s="1017" t="str">
        <f ca="1">IF($A81="","",IFERROR(INDEX(TinhGia!$BF$10:$BF$81,MATCH($A81,TinhGia!$B$10:$B$81,0)),""))</f>
        <v/>
      </c>
      <c r="S81" s="1012" t="str">
        <f ca="1">IF($A81="","",IF(OR(IFERROR(SEARCH($R81,XKNVLSX!$X$1,1),0)&gt;=1,XKNVLSX!$X$1=""),$S$2,""))</f>
        <v/>
      </c>
      <c r="T81" s="1018" t="str">
        <f ca="1">IF($C81="","", IF(OR($P81=$V$1,$P81=$V$7,COUNTIFS($C$3:$C81,$C81,$E$3:$E81,$E81)&lt;=1),$P81,""    ))</f>
        <v/>
      </c>
      <c r="U81" s="1019" t="str">
        <f ca="1">IF(AND($P81=$V$2,COUNTIFS($C$3:$C81,$C81,$E$3:$E81,$E81,$G$3:$G81,$G81)&lt;=1),$P81,"")</f>
        <v/>
      </c>
    </row>
    <row r="82" spans="1:21">
      <c r="A82" s="991" t="str">
        <f ca="1">IFERROR(IF(COUNTIF($A$3:A81,A81)&lt; INDEX(TinhGia!$BH$10:$BH$81,MATCH($A81,TinhGia!$B$10:$B$81,0)),$A81,INDEX(TinhGia!$B$10:$B$81,MATCH($A81,TinhGia!$B$10:$B$81,0)+1)),"")</f>
        <v/>
      </c>
      <c r="B82" s="525" t="str">
        <f ca="1">IF(OR(A82="",A82=0),"",IF(COUNTIF($A$2:A82,$A82)=1,ROW(MauKoXoa!$C$108),$B81+1))</f>
        <v/>
      </c>
      <c r="C82" s="992" t="str">
        <f t="shared" ca="1" si="14"/>
        <v/>
      </c>
      <c r="D82" s="993" t="str">
        <f t="shared" ca="1" si="15"/>
        <v/>
      </c>
      <c r="E82" s="993" t="str">
        <f t="shared" ca="1" si="16"/>
        <v/>
      </c>
      <c r="F82" s="992" t="str">
        <f t="shared" ca="1" si="13"/>
        <v/>
      </c>
      <c r="G82" s="994">
        <f t="shared" ca="1" si="17"/>
        <v>0</v>
      </c>
      <c r="H82" s="913">
        <f t="shared" ca="1" si="18"/>
        <v>0</v>
      </c>
      <c r="I82" s="913">
        <f t="shared" ca="1" si="19"/>
        <v>0</v>
      </c>
      <c r="J82" s="995">
        <f t="shared" ca="1" si="20"/>
        <v>0</v>
      </c>
      <c r="K82" s="913">
        <f t="shared" ca="1" si="21"/>
        <v>0</v>
      </c>
      <c r="L82" s="995">
        <f t="shared" ca="1" si="22"/>
        <v>0</v>
      </c>
      <c r="M82" s="913">
        <f t="shared" ca="1" si="23"/>
        <v>0</v>
      </c>
      <c r="N82" s="996">
        <f t="shared" ca="1" si="24"/>
        <v>0</v>
      </c>
      <c r="O82" s="997">
        <f t="shared" ca="1" si="25"/>
        <v>0</v>
      </c>
      <c r="P82" s="1015" t="str">
        <f ca="1">IF($C82="","",INDEX(NVLSX!$N$2:$N$6941,MATCH($C82,NVLSX!$E$2:$E$6941,0)))</f>
        <v/>
      </c>
      <c r="Q82" s="1016" t="str">
        <f ca="1">IF($R82="","",IF(XKNVLSX!$X$1="",IF($P82=$V$7,$P82, IF(COUNTIFS($C$2:$C81,$C82,$E$2:$E81,$E82)&gt;=1,"",$P82)),     IF(AND(IFERROR(SEARCH($R82,XKNVLSX!$X$1,1),0)&gt;=1,$P82=$V$7),$P82, IF(OR($R82&lt;&gt;IF(IFERROR(SEARCH($R82,XKNVLSX!$X$1,1),0)&gt;=1,$R82,XKNVLSX!$X$1),COUNTIFS($C$2:$C81,$C82,$E$2:$E81,$E82,$Q$2:$Q81,$P82)&gt;=1),"",$P82))))</f>
        <v/>
      </c>
      <c r="R82" s="1017" t="str">
        <f ca="1">IF($A82="","",IFERROR(INDEX(TinhGia!$BF$10:$BF$81,MATCH($A82,TinhGia!$B$10:$B$81,0)),""))</f>
        <v/>
      </c>
      <c r="S82" s="1012" t="str">
        <f ca="1">IF($A82="","",IF(OR(IFERROR(SEARCH($R82,XKNVLSX!$X$1,1),0)&gt;=1,XKNVLSX!$X$1=""),$S$2,""))</f>
        <v/>
      </c>
      <c r="T82" s="1018" t="str">
        <f ca="1">IF($C82="","", IF(OR($P82=$V$1,$P82=$V$7,COUNTIFS($C$3:$C82,$C82,$E$3:$E82,$E82)&lt;=1),$P82,""    ))</f>
        <v/>
      </c>
      <c r="U82" s="1019" t="str">
        <f ca="1">IF(AND($P82=$V$2,COUNTIFS($C$3:$C82,$C82,$E$3:$E82,$E82,$G$3:$G82,$G82)&lt;=1),$P82,"")</f>
        <v/>
      </c>
    </row>
    <row r="83" spans="1:21">
      <c r="A83" s="991" t="str">
        <f ca="1">IFERROR(IF(COUNTIF($A$3:A82,A82)&lt; INDEX(TinhGia!$BH$10:$BH$81,MATCH($A82,TinhGia!$B$10:$B$81,0)),$A82,INDEX(TinhGia!$B$10:$B$81,MATCH($A82,TinhGia!$B$10:$B$81,0)+1)),"")</f>
        <v/>
      </c>
      <c r="B83" s="525" t="str">
        <f ca="1">IF(OR(A83="",A83=0),"",IF(COUNTIF($A$2:A83,$A83)=1,ROW(MauKoXoa!$C$108),$B82+1))</f>
        <v/>
      </c>
      <c r="C83" s="992" t="str">
        <f t="shared" ca="1" si="14"/>
        <v/>
      </c>
      <c r="D83" s="993" t="str">
        <f t="shared" ca="1" si="15"/>
        <v/>
      </c>
      <c r="E83" s="993" t="str">
        <f t="shared" ca="1" si="16"/>
        <v/>
      </c>
      <c r="F83" s="992" t="str">
        <f t="shared" ca="1" si="13"/>
        <v/>
      </c>
      <c r="G83" s="994">
        <f t="shared" ca="1" si="17"/>
        <v>0</v>
      </c>
      <c r="H83" s="913">
        <f t="shared" ca="1" si="18"/>
        <v>0</v>
      </c>
      <c r="I83" s="913">
        <f t="shared" ca="1" si="19"/>
        <v>0</v>
      </c>
      <c r="J83" s="995">
        <f t="shared" ca="1" si="20"/>
        <v>0</v>
      </c>
      <c r="K83" s="913">
        <f t="shared" ca="1" si="21"/>
        <v>0</v>
      </c>
      <c r="L83" s="995">
        <f t="shared" ca="1" si="22"/>
        <v>0</v>
      </c>
      <c r="M83" s="913">
        <f t="shared" ca="1" si="23"/>
        <v>0</v>
      </c>
      <c r="N83" s="996">
        <f t="shared" ca="1" si="24"/>
        <v>0</v>
      </c>
      <c r="O83" s="997">
        <f t="shared" ca="1" si="25"/>
        <v>0</v>
      </c>
      <c r="P83" s="1015" t="str">
        <f ca="1">IF($C83="","",INDEX(NVLSX!$N$2:$N$6941,MATCH($C83,NVLSX!$E$2:$E$6941,0)))</f>
        <v/>
      </c>
      <c r="Q83" s="1016" t="str">
        <f ca="1">IF($R83="","",IF(XKNVLSX!$X$1="",IF($P83=$V$7,$P83, IF(COUNTIFS($C$2:$C82,$C83,$E$2:$E82,$E83)&gt;=1,"",$P83)),     IF(AND(IFERROR(SEARCH($R83,XKNVLSX!$X$1,1),0)&gt;=1,$P83=$V$7),$P83, IF(OR($R83&lt;&gt;IF(IFERROR(SEARCH($R83,XKNVLSX!$X$1,1),0)&gt;=1,$R83,XKNVLSX!$X$1),COUNTIFS($C$2:$C82,$C83,$E$2:$E82,$E83,$Q$2:$Q82,$P83)&gt;=1),"",$P83))))</f>
        <v/>
      </c>
      <c r="R83" s="1017" t="str">
        <f ca="1">IF($A83="","",IFERROR(INDEX(TinhGia!$BF$10:$BF$81,MATCH($A83,TinhGia!$B$10:$B$81,0)),""))</f>
        <v/>
      </c>
      <c r="S83" s="1012" t="str">
        <f ca="1">IF($A83="","",IF(OR(IFERROR(SEARCH($R83,XKNVLSX!$X$1,1),0)&gt;=1,XKNVLSX!$X$1=""),$S$2,""))</f>
        <v/>
      </c>
      <c r="T83" s="1018" t="str">
        <f ca="1">IF($C83="","", IF(OR($P83=$V$1,$P83=$V$7,COUNTIFS($C$3:$C83,$C83,$E$3:$E83,$E83)&lt;=1),$P83,""    ))</f>
        <v/>
      </c>
      <c r="U83" s="1019" t="str">
        <f ca="1">IF(AND($P83=$V$2,COUNTIFS($C$3:$C83,$C83,$E$3:$E83,$E83,$G$3:$G83,$G83)&lt;=1),$P83,"")</f>
        <v/>
      </c>
    </row>
    <row r="84" spans="1:21">
      <c r="A84" s="991" t="str">
        <f ca="1">IFERROR(IF(COUNTIF($A$3:A83,A83)&lt; INDEX(TinhGia!$BH$10:$BH$81,MATCH($A83,TinhGia!$B$10:$B$81,0)),$A83,INDEX(TinhGia!$B$10:$B$81,MATCH($A83,TinhGia!$B$10:$B$81,0)+1)),"")</f>
        <v/>
      </c>
      <c r="B84" s="525" t="str">
        <f ca="1">IF(OR(A84="",A84=0),"",IF(COUNTIF($A$2:A84,$A84)=1,ROW(MauKoXoa!$C$108),$B83+1))</f>
        <v/>
      </c>
      <c r="C84" s="992" t="str">
        <f t="shared" ca="1" si="14"/>
        <v/>
      </c>
      <c r="D84" s="993" t="str">
        <f t="shared" ca="1" si="15"/>
        <v/>
      </c>
      <c r="E84" s="993" t="str">
        <f t="shared" ca="1" si="16"/>
        <v/>
      </c>
      <c r="F84" s="992" t="str">
        <f t="shared" ca="1" si="13"/>
        <v/>
      </c>
      <c r="G84" s="994">
        <f t="shared" ca="1" si="17"/>
        <v>0</v>
      </c>
      <c r="H84" s="913">
        <f t="shared" ca="1" si="18"/>
        <v>0</v>
      </c>
      <c r="I84" s="913">
        <f t="shared" ca="1" si="19"/>
        <v>0</v>
      </c>
      <c r="J84" s="995">
        <f t="shared" ca="1" si="20"/>
        <v>0</v>
      </c>
      <c r="K84" s="913">
        <f t="shared" ca="1" si="21"/>
        <v>0</v>
      </c>
      <c r="L84" s="995">
        <f t="shared" ca="1" si="22"/>
        <v>0</v>
      </c>
      <c r="M84" s="913">
        <f t="shared" ca="1" si="23"/>
        <v>0</v>
      </c>
      <c r="N84" s="996">
        <f t="shared" ca="1" si="24"/>
        <v>0</v>
      </c>
      <c r="O84" s="997">
        <f t="shared" ca="1" si="25"/>
        <v>0</v>
      </c>
      <c r="P84" s="1015" t="str">
        <f ca="1">IF($C84="","",INDEX(NVLSX!$N$2:$N$6941,MATCH($C84,NVLSX!$E$2:$E$6941,0)))</f>
        <v/>
      </c>
      <c r="Q84" s="1016" t="str">
        <f ca="1">IF($R84="","",IF(XKNVLSX!$X$1="",IF($P84=$V$7,$P84, IF(COUNTIFS($C$2:$C83,$C84,$E$2:$E83,$E84)&gt;=1,"",$P84)),     IF(AND(IFERROR(SEARCH($R84,XKNVLSX!$X$1,1),0)&gt;=1,$P84=$V$7),$P84, IF(OR($R84&lt;&gt;IF(IFERROR(SEARCH($R84,XKNVLSX!$X$1,1),0)&gt;=1,$R84,XKNVLSX!$X$1),COUNTIFS($C$2:$C83,$C84,$E$2:$E83,$E84,$Q$2:$Q83,$P84)&gt;=1),"",$P84))))</f>
        <v/>
      </c>
      <c r="R84" s="1017" t="str">
        <f ca="1">IF($A84="","",IFERROR(INDEX(TinhGia!$BF$10:$BF$81,MATCH($A84,TinhGia!$B$10:$B$81,0)),""))</f>
        <v/>
      </c>
      <c r="S84" s="1012" t="str">
        <f ca="1">IF($A84="","",IF(OR(IFERROR(SEARCH($R84,XKNVLSX!$X$1,1),0)&gt;=1,XKNVLSX!$X$1=""),$S$2,""))</f>
        <v/>
      </c>
      <c r="T84" s="1018" t="str">
        <f ca="1">IF($C84="","", IF(OR($P84=$V$1,$P84=$V$7,COUNTIFS($C$3:$C84,$C84,$E$3:$E84,$E84)&lt;=1),$P84,""    ))</f>
        <v/>
      </c>
      <c r="U84" s="1019" t="str">
        <f ca="1">IF(AND($P84=$V$2,COUNTIFS($C$3:$C84,$C84,$E$3:$E84,$E84,$G$3:$G84,$G84)&lt;=1),$P84,"")</f>
        <v/>
      </c>
    </row>
    <row r="85" spans="1:21">
      <c r="A85" s="991" t="str">
        <f ca="1">IFERROR(IF(COUNTIF($A$3:A84,A84)&lt; INDEX(TinhGia!$BH$10:$BH$81,MATCH($A84,TinhGia!$B$10:$B$81,0)),$A84,INDEX(TinhGia!$B$10:$B$81,MATCH($A84,TinhGia!$B$10:$B$81,0)+1)),"")</f>
        <v/>
      </c>
      <c r="B85" s="525" t="str">
        <f ca="1">IF(OR(A85="",A85=0),"",IF(COUNTIF($A$2:A85,$A85)=1,ROW(MauKoXoa!$C$108),$B84+1))</f>
        <v/>
      </c>
      <c r="C85" s="992" t="str">
        <f t="shared" ca="1" si="14"/>
        <v/>
      </c>
      <c r="D85" s="993" t="str">
        <f t="shared" ca="1" si="15"/>
        <v/>
      </c>
      <c r="E85" s="993" t="str">
        <f t="shared" ca="1" si="16"/>
        <v/>
      </c>
      <c r="F85" s="992" t="str">
        <f t="shared" ca="1" si="13"/>
        <v/>
      </c>
      <c r="G85" s="994">
        <f t="shared" ca="1" si="17"/>
        <v>0</v>
      </c>
      <c r="H85" s="913">
        <f t="shared" ca="1" si="18"/>
        <v>0</v>
      </c>
      <c r="I85" s="913">
        <f t="shared" ca="1" si="19"/>
        <v>0</v>
      </c>
      <c r="J85" s="995">
        <f t="shared" ca="1" si="20"/>
        <v>0</v>
      </c>
      <c r="K85" s="913">
        <f t="shared" ca="1" si="21"/>
        <v>0</v>
      </c>
      <c r="L85" s="995">
        <f t="shared" ca="1" si="22"/>
        <v>0</v>
      </c>
      <c r="M85" s="913">
        <f t="shared" ca="1" si="23"/>
        <v>0</v>
      </c>
      <c r="N85" s="996">
        <f t="shared" ca="1" si="24"/>
        <v>0</v>
      </c>
      <c r="O85" s="997">
        <f t="shared" ca="1" si="25"/>
        <v>0</v>
      </c>
      <c r="P85" s="1015" t="str">
        <f ca="1">IF($C85="","",INDEX(NVLSX!$N$2:$N$6941,MATCH($C85,NVLSX!$E$2:$E$6941,0)))</f>
        <v/>
      </c>
      <c r="Q85" s="1016" t="str">
        <f ca="1">IF($R85="","",IF(XKNVLSX!$X$1="",IF($P85=$V$7,$P85, IF(COUNTIFS($C$2:$C84,$C85,$E$2:$E84,$E85)&gt;=1,"",$P85)),     IF(AND(IFERROR(SEARCH($R85,XKNVLSX!$X$1,1),0)&gt;=1,$P85=$V$7),$P85, IF(OR($R85&lt;&gt;IF(IFERROR(SEARCH($R85,XKNVLSX!$X$1,1),0)&gt;=1,$R85,XKNVLSX!$X$1),COUNTIFS($C$2:$C84,$C85,$E$2:$E84,$E85,$Q$2:$Q84,$P85)&gt;=1),"",$P85))))</f>
        <v/>
      </c>
      <c r="R85" s="1017" t="str">
        <f ca="1">IF($A85="","",IFERROR(INDEX(TinhGia!$BF$10:$BF$81,MATCH($A85,TinhGia!$B$10:$B$81,0)),""))</f>
        <v/>
      </c>
      <c r="S85" s="1012" t="str">
        <f ca="1">IF($A85="","",IF(OR(IFERROR(SEARCH($R85,XKNVLSX!$X$1,1),0)&gt;=1,XKNVLSX!$X$1=""),$S$2,""))</f>
        <v/>
      </c>
      <c r="T85" s="1018" t="str">
        <f ca="1">IF($C85="","", IF(OR($P85=$V$1,$P85=$V$7,COUNTIFS($C$3:$C85,$C85,$E$3:$E85,$E85)&lt;=1),$P85,""    ))</f>
        <v/>
      </c>
      <c r="U85" s="1019" t="str">
        <f ca="1">IF(AND($P85=$V$2,COUNTIFS($C$3:$C85,$C85,$E$3:$E85,$E85,$G$3:$G85,$G85)&lt;=1),$P85,"")</f>
        <v/>
      </c>
    </row>
    <row r="86" spans="1:21">
      <c r="A86" s="991" t="str">
        <f ca="1">IFERROR(IF(COUNTIF($A$3:A85,A85)&lt; INDEX(TinhGia!$BH$10:$BH$81,MATCH($A85,TinhGia!$B$10:$B$81,0)),$A85,INDEX(TinhGia!$B$10:$B$81,MATCH($A85,TinhGia!$B$10:$B$81,0)+1)),"")</f>
        <v/>
      </c>
      <c r="B86" s="525" t="str">
        <f ca="1">IF(OR(A86="",A86=0),"",IF(COUNTIF($A$2:A86,$A86)=1,ROW(MauKoXoa!$C$108),$B85+1))</f>
        <v/>
      </c>
      <c r="C86" s="992" t="str">
        <f t="shared" ca="1" si="14"/>
        <v/>
      </c>
      <c r="D86" s="993" t="str">
        <f t="shared" ca="1" si="15"/>
        <v/>
      </c>
      <c r="E86" s="993" t="str">
        <f t="shared" ca="1" si="16"/>
        <v/>
      </c>
      <c r="F86" s="992" t="str">
        <f t="shared" ca="1" si="13"/>
        <v/>
      </c>
      <c r="G86" s="994">
        <f t="shared" ca="1" si="17"/>
        <v>0</v>
      </c>
      <c r="H86" s="913">
        <f t="shared" ca="1" si="18"/>
        <v>0</v>
      </c>
      <c r="I86" s="913">
        <f t="shared" ca="1" si="19"/>
        <v>0</v>
      </c>
      <c r="J86" s="995">
        <f t="shared" ca="1" si="20"/>
        <v>0</v>
      </c>
      <c r="K86" s="913">
        <f t="shared" ca="1" si="21"/>
        <v>0</v>
      </c>
      <c r="L86" s="995">
        <f t="shared" ca="1" si="22"/>
        <v>0</v>
      </c>
      <c r="M86" s="913">
        <f t="shared" ca="1" si="23"/>
        <v>0</v>
      </c>
      <c r="N86" s="996">
        <f t="shared" ca="1" si="24"/>
        <v>0</v>
      </c>
      <c r="O86" s="997">
        <f t="shared" ca="1" si="25"/>
        <v>0</v>
      </c>
      <c r="P86" s="1015" t="str">
        <f ca="1">IF($C86="","",INDEX(NVLSX!$N$2:$N$6941,MATCH($C86,NVLSX!$E$2:$E$6941,0)))</f>
        <v/>
      </c>
      <c r="Q86" s="1016" t="str">
        <f ca="1">IF($R86="","",IF(XKNVLSX!$X$1="",IF($P86=$V$7,$P86, IF(COUNTIFS($C$2:$C85,$C86,$E$2:$E85,$E86)&gt;=1,"",$P86)),     IF(AND(IFERROR(SEARCH($R86,XKNVLSX!$X$1,1),0)&gt;=1,$P86=$V$7),$P86, IF(OR($R86&lt;&gt;IF(IFERROR(SEARCH($R86,XKNVLSX!$X$1,1),0)&gt;=1,$R86,XKNVLSX!$X$1),COUNTIFS($C$2:$C85,$C86,$E$2:$E85,$E86,$Q$2:$Q85,$P86)&gt;=1),"",$P86))))</f>
        <v/>
      </c>
      <c r="R86" s="1017" t="str">
        <f ca="1">IF($A86="","",IFERROR(INDEX(TinhGia!$BF$10:$BF$81,MATCH($A86,TinhGia!$B$10:$B$81,0)),""))</f>
        <v/>
      </c>
      <c r="S86" s="1012" t="str">
        <f ca="1">IF($A86="","",IF(OR(IFERROR(SEARCH($R86,XKNVLSX!$X$1,1),0)&gt;=1,XKNVLSX!$X$1=""),$S$2,""))</f>
        <v/>
      </c>
      <c r="T86" s="1018" t="str">
        <f ca="1">IF($C86="","", IF(OR($P86=$V$1,$P86=$V$7,COUNTIFS($C$3:$C86,$C86,$E$3:$E86,$E86)&lt;=1),$P86,""    ))</f>
        <v/>
      </c>
      <c r="U86" s="1019" t="str">
        <f ca="1">IF(AND($P86=$V$2,COUNTIFS($C$3:$C86,$C86,$E$3:$E86,$E86,$G$3:$G86,$G86)&lt;=1),$P86,"")</f>
        <v/>
      </c>
    </row>
    <row r="87" spans="1:21">
      <c r="A87" s="991" t="str">
        <f ca="1">IFERROR(IF(COUNTIF($A$3:A86,A86)&lt; INDEX(TinhGia!$BH$10:$BH$81,MATCH($A86,TinhGia!$B$10:$B$81,0)),$A86,INDEX(TinhGia!$B$10:$B$81,MATCH($A86,TinhGia!$B$10:$B$81,0)+1)),"")</f>
        <v/>
      </c>
      <c r="B87" s="525" t="str">
        <f ca="1">IF(OR(A87="",A87=0),"",IF(COUNTIF($A$2:A87,$A87)=1,ROW(MauKoXoa!$C$108),$B86+1))</f>
        <v/>
      </c>
      <c r="C87" s="992" t="str">
        <f t="shared" ca="1" si="14"/>
        <v/>
      </c>
      <c r="D87" s="993" t="str">
        <f t="shared" ca="1" si="15"/>
        <v/>
      </c>
      <c r="E87" s="993" t="str">
        <f t="shared" ca="1" si="16"/>
        <v/>
      </c>
      <c r="F87" s="992" t="str">
        <f t="shared" ca="1" si="13"/>
        <v/>
      </c>
      <c r="G87" s="994">
        <f t="shared" ca="1" si="17"/>
        <v>0</v>
      </c>
      <c r="H87" s="913">
        <f t="shared" ca="1" si="18"/>
        <v>0</v>
      </c>
      <c r="I87" s="913">
        <f t="shared" ca="1" si="19"/>
        <v>0</v>
      </c>
      <c r="J87" s="995">
        <f t="shared" ca="1" si="20"/>
        <v>0</v>
      </c>
      <c r="K87" s="913">
        <f t="shared" ca="1" si="21"/>
        <v>0</v>
      </c>
      <c r="L87" s="995">
        <f t="shared" ca="1" si="22"/>
        <v>0</v>
      </c>
      <c r="M87" s="913">
        <f t="shared" ca="1" si="23"/>
        <v>0</v>
      </c>
      <c r="N87" s="996">
        <f t="shared" ca="1" si="24"/>
        <v>0</v>
      </c>
      <c r="O87" s="997">
        <f t="shared" ca="1" si="25"/>
        <v>0</v>
      </c>
      <c r="P87" s="1015" t="str">
        <f ca="1">IF($C87="","",INDEX(NVLSX!$N$2:$N$6941,MATCH($C87,NVLSX!$E$2:$E$6941,0)))</f>
        <v/>
      </c>
      <c r="Q87" s="1016" t="str">
        <f ca="1">IF($R87="","",IF(XKNVLSX!$X$1="",IF($P87=$V$7,$P87, IF(COUNTIFS($C$2:$C86,$C87,$E$2:$E86,$E87)&gt;=1,"",$P87)),     IF(AND(IFERROR(SEARCH($R87,XKNVLSX!$X$1,1),0)&gt;=1,$P87=$V$7),$P87, IF(OR($R87&lt;&gt;IF(IFERROR(SEARCH($R87,XKNVLSX!$X$1,1),0)&gt;=1,$R87,XKNVLSX!$X$1),COUNTIFS($C$2:$C86,$C87,$E$2:$E86,$E87,$Q$2:$Q86,$P87)&gt;=1),"",$P87))))</f>
        <v/>
      </c>
      <c r="R87" s="1017" t="str">
        <f ca="1">IF($A87="","",IFERROR(INDEX(TinhGia!$BF$10:$BF$81,MATCH($A87,TinhGia!$B$10:$B$81,0)),""))</f>
        <v/>
      </c>
      <c r="S87" s="1012" t="str">
        <f ca="1">IF($A87="","",IF(OR(IFERROR(SEARCH($R87,XKNVLSX!$X$1,1),0)&gt;=1,XKNVLSX!$X$1=""),$S$2,""))</f>
        <v/>
      </c>
      <c r="T87" s="1018" t="str">
        <f ca="1">IF($C87="","", IF(OR($P87=$V$1,$P87=$V$7,COUNTIFS($C$3:$C87,$C87,$E$3:$E87,$E87)&lt;=1),$P87,""    ))</f>
        <v/>
      </c>
      <c r="U87" s="1019" t="str">
        <f ca="1">IF(AND($P87=$V$2,COUNTIFS($C$3:$C87,$C87,$E$3:$E87,$E87,$G$3:$G87,$G87)&lt;=1),$P87,"")</f>
        <v/>
      </c>
    </row>
    <row r="88" spans="1:21">
      <c r="A88" s="991" t="str">
        <f ca="1">IFERROR(IF(COUNTIF($A$3:A87,A87)&lt; INDEX(TinhGia!$BH$10:$BH$81,MATCH($A87,TinhGia!$B$10:$B$81,0)),$A87,INDEX(TinhGia!$B$10:$B$81,MATCH($A87,TinhGia!$B$10:$B$81,0)+1)),"")</f>
        <v/>
      </c>
      <c r="B88" s="525" t="str">
        <f ca="1">IF(OR(A88="",A88=0),"",IF(COUNTIF($A$2:A88,$A88)=1,ROW(MauKoXoa!$C$108),$B87+1))</f>
        <v/>
      </c>
      <c r="C88" s="992" t="str">
        <f t="shared" ca="1" si="14"/>
        <v/>
      </c>
      <c r="D88" s="993" t="str">
        <f t="shared" ca="1" si="15"/>
        <v/>
      </c>
      <c r="E88" s="993" t="str">
        <f t="shared" ca="1" si="16"/>
        <v/>
      </c>
      <c r="F88" s="992" t="str">
        <f t="shared" ca="1" si="13"/>
        <v/>
      </c>
      <c r="G88" s="994">
        <f t="shared" ca="1" si="17"/>
        <v>0</v>
      </c>
      <c r="H88" s="913">
        <f t="shared" ca="1" si="18"/>
        <v>0</v>
      </c>
      <c r="I88" s="913">
        <f t="shared" ca="1" si="19"/>
        <v>0</v>
      </c>
      <c r="J88" s="995">
        <f t="shared" ca="1" si="20"/>
        <v>0</v>
      </c>
      <c r="K88" s="913">
        <f t="shared" ca="1" si="21"/>
        <v>0</v>
      </c>
      <c r="L88" s="995">
        <f t="shared" ca="1" si="22"/>
        <v>0</v>
      </c>
      <c r="M88" s="913">
        <f t="shared" ca="1" si="23"/>
        <v>0</v>
      </c>
      <c r="N88" s="996">
        <f t="shared" ca="1" si="24"/>
        <v>0</v>
      </c>
      <c r="O88" s="997">
        <f t="shared" ca="1" si="25"/>
        <v>0</v>
      </c>
      <c r="P88" s="1015" t="str">
        <f ca="1">IF($C88="","",INDEX(NVLSX!$N$2:$N$6941,MATCH($C88,NVLSX!$E$2:$E$6941,0)))</f>
        <v/>
      </c>
      <c r="Q88" s="1016" t="str">
        <f ca="1">IF($R88="","",IF(XKNVLSX!$X$1="",IF($P88=$V$7,$P88, IF(COUNTIFS($C$2:$C87,$C88,$E$2:$E87,$E88)&gt;=1,"",$P88)),     IF(AND(IFERROR(SEARCH($R88,XKNVLSX!$X$1,1),0)&gt;=1,$P88=$V$7),$P88, IF(OR($R88&lt;&gt;IF(IFERROR(SEARCH($R88,XKNVLSX!$X$1,1),0)&gt;=1,$R88,XKNVLSX!$X$1),COUNTIFS($C$2:$C87,$C88,$E$2:$E87,$E88,$Q$2:$Q87,$P88)&gt;=1),"",$P88))))</f>
        <v/>
      </c>
      <c r="R88" s="1017" t="str">
        <f ca="1">IF($A88="","",IFERROR(INDEX(TinhGia!$BF$10:$BF$81,MATCH($A88,TinhGia!$B$10:$B$81,0)),""))</f>
        <v/>
      </c>
      <c r="S88" s="1012" t="str">
        <f ca="1">IF($A88="","",IF(OR(IFERROR(SEARCH($R88,XKNVLSX!$X$1,1),0)&gt;=1,XKNVLSX!$X$1=""),$S$2,""))</f>
        <v/>
      </c>
      <c r="T88" s="1018" t="str">
        <f ca="1">IF($C88="","", IF(OR($P88=$V$1,$P88=$V$7,COUNTIFS($C$3:$C88,$C88,$E$3:$E88,$E88)&lt;=1),$P88,""    ))</f>
        <v/>
      </c>
      <c r="U88" s="1019" t="str">
        <f ca="1">IF(AND($P88=$V$2,COUNTIFS($C$3:$C88,$C88,$E$3:$E88,$E88,$G$3:$G88,$G88)&lt;=1),$P88,"")</f>
        <v/>
      </c>
    </row>
    <row r="89" spans="1:21">
      <c r="A89" s="991" t="str">
        <f ca="1">IFERROR(IF(COUNTIF($A$3:A88,A88)&lt; INDEX(TinhGia!$BH$10:$BH$81,MATCH($A88,TinhGia!$B$10:$B$81,0)),$A88,INDEX(TinhGia!$B$10:$B$81,MATCH($A88,TinhGia!$B$10:$B$81,0)+1)),"")</f>
        <v/>
      </c>
      <c r="B89" s="525" t="str">
        <f ca="1">IF(OR(A89="",A89=0),"",IF(COUNTIF($A$2:A89,$A89)=1,ROW(MauKoXoa!$C$108),$B88+1))</f>
        <v/>
      </c>
      <c r="C89" s="992" t="str">
        <f t="shared" ca="1" si="14"/>
        <v/>
      </c>
      <c r="D89" s="993" t="str">
        <f t="shared" ca="1" si="15"/>
        <v/>
      </c>
      <c r="E89" s="993" t="str">
        <f t="shared" ca="1" si="16"/>
        <v/>
      </c>
      <c r="F89" s="992" t="str">
        <f t="shared" ca="1" si="13"/>
        <v/>
      </c>
      <c r="G89" s="994">
        <f t="shared" ca="1" si="17"/>
        <v>0</v>
      </c>
      <c r="H89" s="913">
        <f t="shared" ca="1" si="18"/>
        <v>0</v>
      </c>
      <c r="I89" s="913">
        <f t="shared" ca="1" si="19"/>
        <v>0</v>
      </c>
      <c r="J89" s="995">
        <f t="shared" ca="1" si="20"/>
        <v>0</v>
      </c>
      <c r="K89" s="913">
        <f t="shared" ca="1" si="21"/>
        <v>0</v>
      </c>
      <c r="L89" s="995">
        <f t="shared" ca="1" si="22"/>
        <v>0</v>
      </c>
      <c r="M89" s="913">
        <f t="shared" ca="1" si="23"/>
        <v>0</v>
      </c>
      <c r="N89" s="996">
        <f t="shared" ca="1" si="24"/>
        <v>0</v>
      </c>
      <c r="O89" s="997">
        <f t="shared" ca="1" si="25"/>
        <v>0</v>
      </c>
      <c r="P89" s="1015" t="str">
        <f ca="1">IF($C89="","",INDEX(NVLSX!$N$2:$N$6941,MATCH($C89,NVLSX!$E$2:$E$6941,0)))</f>
        <v/>
      </c>
      <c r="Q89" s="1016" t="str">
        <f ca="1">IF($R89="","",IF(XKNVLSX!$X$1="",IF($P89=$V$7,$P89, IF(COUNTIFS($C$2:$C88,$C89,$E$2:$E88,$E89)&gt;=1,"",$P89)),     IF(AND(IFERROR(SEARCH($R89,XKNVLSX!$X$1,1),0)&gt;=1,$P89=$V$7),$P89, IF(OR($R89&lt;&gt;IF(IFERROR(SEARCH($R89,XKNVLSX!$X$1,1),0)&gt;=1,$R89,XKNVLSX!$X$1),COUNTIFS($C$2:$C88,$C89,$E$2:$E88,$E89,$Q$2:$Q88,$P89)&gt;=1),"",$P89))))</f>
        <v/>
      </c>
      <c r="R89" s="1017" t="str">
        <f ca="1">IF($A89="","",IFERROR(INDEX(TinhGia!$BF$10:$BF$81,MATCH($A89,TinhGia!$B$10:$B$81,0)),""))</f>
        <v/>
      </c>
      <c r="S89" s="1012" t="str">
        <f ca="1">IF($A89="","",IF(OR(IFERROR(SEARCH($R89,XKNVLSX!$X$1,1),0)&gt;=1,XKNVLSX!$X$1=""),$S$2,""))</f>
        <v/>
      </c>
      <c r="T89" s="1018" t="str">
        <f ca="1">IF($C89="","", IF(OR($P89=$V$1,$P89=$V$7,COUNTIFS($C$3:$C89,$C89,$E$3:$E89,$E89)&lt;=1),$P89,""    ))</f>
        <v/>
      </c>
      <c r="U89" s="1019" t="str">
        <f ca="1">IF(AND($P89=$V$2,COUNTIFS($C$3:$C89,$C89,$E$3:$E89,$E89,$G$3:$G89,$G89)&lt;=1),$P89,"")</f>
        <v/>
      </c>
    </row>
    <row r="90" spans="1:21">
      <c r="A90" s="991" t="str">
        <f ca="1">IFERROR(IF(COUNTIF($A$3:A89,A89)&lt; INDEX(TinhGia!$BH$10:$BH$81,MATCH($A89,TinhGia!$B$10:$B$81,0)),$A89,INDEX(TinhGia!$B$10:$B$81,MATCH($A89,TinhGia!$B$10:$B$81,0)+1)),"")</f>
        <v/>
      </c>
      <c r="B90" s="525" t="str">
        <f ca="1">IF(OR(A90="",A90=0),"",IF(COUNTIF($A$2:A90,$A90)=1,ROW(MauKoXoa!$C$108),$B89+1))</f>
        <v/>
      </c>
      <c r="C90" s="992" t="str">
        <f t="shared" ca="1" si="14"/>
        <v/>
      </c>
      <c r="D90" s="993" t="str">
        <f t="shared" ca="1" si="15"/>
        <v/>
      </c>
      <c r="E90" s="993" t="str">
        <f t="shared" ca="1" si="16"/>
        <v/>
      </c>
      <c r="F90" s="992" t="str">
        <f t="shared" ca="1" si="13"/>
        <v/>
      </c>
      <c r="G90" s="994">
        <f t="shared" ca="1" si="17"/>
        <v>0</v>
      </c>
      <c r="H90" s="913">
        <f t="shared" ca="1" si="18"/>
        <v>0</v>
      </c>
      <c r="I90" s="913">
        <f t="shared" ca="1" si="19"/>
        <v>0</v>
      </c>
      <c r="J90" s="995">
        <f t="shared" ca="1" si="20"/>
        <v>0</v>
      </c>
      <c r="K90" s="913">
        <f t="shared" ca="1" si="21"/>
        <v>0</v>
      </c>
      <c r="L90" s="995">
        <f t="shared" ca="1" si="22"/>
        <v>0</v>
      </c>
      <c r="M90" s="913">
        <f t="shared" ca="1" si="23"/>
        <v>0</v>
      </c>
      <c r="N90" s="996">
        <f t="shared" ca="1" si="24"/>
        <v>0</v>
      </c>
      <c r="O90" s="997">
        <f t="shared" ca="1" si="25"/>
        <v>0</v>
      </c>
      <c r="P90" s="1015" t="str">
        <f ca="1">IF($C90="","",INDEX(NVLSX!$N$2:$N$6941,MATCH($C90,NVLSX!$E$2:$E$6941,0)))</f>
        <v/>
      </c>
      <c r="Q90" s="1016" t="str">
        <f ca="1">IF($R90="","",IF(XKNVLSX!$X$1="",IF($P90=$V$7,$P90, IF(COUNTIFS($C$2:$C89,$C90,$E$2:$E89,$E90)&gt;=1,"",$P90)),     IF(AND(IFERROR(SEARCH($R90,XKNVLSX!$X$1,1),0)&gt;=1,$P90=$V$7),$P90, IF(OR($R90&lt;&gt;IF(IFERROR(SEARCH($R90,XKNVLSX!$X$1,1),0)&gt;=1,$R90,XKNVLSX!$X$1),COUNTIFS($C$2:$C89,$C90,$E$2:$E89,$E90,$Q$2:$Q89,$P90)&gt;=1),"",$P90))))</f>
        <v/>
      </c>
      <c r="R90" s="1017" t="str">
        <f ca="1">IF($A90="","",IFERROR(INDEX(TinhGia!$BF$10:$BF$81,MATCH($A90,TinhGia!$B$10:$B$81,0)),""))</f>
        <v/>
      </c>
      <c r="S90" s="1012" t="str">
        <f ca="1">IF($A90="","",IF(OR(IFERROR(SEARCH($R90,XKNVLSX!$X$1,1),0)&gt;=1,XKNVLSX!$X$1=""),$S$2,""))</f>
        <v/>
      </c>
      <c r="T90" s="1018" t="str">
        <f ca="1">IF($C90="","", IF(OR($P90=$V$1,$P90=$V$7,COUNTIFS($C$3:$C90,$C90,$E$3:$E90,$E90)&lt;=1),$P90,""    ))</f>
        <v/>
      </c>
      <c r="U90" s="1019" t="str">
        <f ca="1">IF(AND($P90=$V$2,COUNTIFS($C$3:$C90,$C90,$E$3:$E90,$E90,$G$3:$G90,$G90)&lt;=1),$P90,"")</f>
        <v/>
      </c>
    </row>
    <row r="91" spans="1:21">
      <c r="A91" s="991" t="str">
        <f ca="1">IFERROR(IF(COUNTIF($A$3:A90,A90)&lt; INDEX(TinhGia!$BH$10:$BH$81,MATCH($A90,TinhGia!$B$10:$B$81,0)),$A90,INDEX(TinhGia!$B$10:$B$81,MATCH($A90,TinhGia!$B$10:$B$81,0)+1)),"")</f>
        <v/>
      </c>
      <c r="B91" s="525" t="str">
        <f ca="1">IF(OR(A91="",A91=0),"",IF(COUNTIF($A$2:A91,$A91)=1,ROW(MauKoXoa!$C$108),$B90+1))</f>
        <v/>
      </c>
      <c r="C91" s="992" t="str">
        <f t="shared" ca="1" si="14"/>
        <v/>
      </c>
      <c r="D91" s="993" t="str">
        <f t="shared" ca="1" si="15"/>
        <v/>
      </c>
      <c r="E91" s="993" t="str">
        <f t="shared" ca="1" si="16"/>
        <v/>
      </c>
      <c r="F91" s="992" t="str">
        <f t="shared" ca="1" si="13"/>
        <v/>
      </c>
      <c r="G91" s="994">
        <f t="shared" ca="1" si="17"/>
        <v>0</v>
      </c>
      <c r="H91" s="913">
        <f t="shared" ca="1" si="18"/>
        <v>0</v>
      </c>
      <c r="I91" s="913">
        <f t="shared" ca="1" si="19"/>
        <v>0</v>
      </c>
      <c r="J91" s="995">
        <f t="shared" ca="1" si="20"/>
        <v>0</v>
      </c>
      <c r="K91" s="913">
        <f t="shared" ca="1" si="21"/>
        <v>0</v>
      </c>
      <c r="L91" s="995">
        <f t="shared" ca="1" si="22"/>
        <v>0</v>
      </c>
      <c r="M91" s="913">
        <f t="shared" ca="1" si="23"/>
        <v>0</v>
      </c>
      <c r="N91" s="996">
        <f t="shared" ca="1" si="24"/>
        <v>0</v>
      </c>
      <c r="O91" s="997">
        <f t="shared" ca="1" si="25"/>
        <v>0</v>
      </c>
      <c r="P91" s="1015" t="str">
        <f ca="1">IF($C91="","",INDEX(NVLSX!$N$2:$N$6941,MATCH($C91,NVLSX!$E$2:$E$6941,0)))</f>
        <v/>
      </c>
      <c r="Q91" s="1016" t="str">
        <f ca="1">IF($R91="","",IF(XKNVLSX!$X$1="",IF($P91=$V$7,$P91, IF(COUNTIFS($C$2:$C90,$C91,$E$2:$E90,$E91)&gt;=1,"",$P91)),     IF(AND(IFERROR(SEARCH($R91,XKNVLSX!$X$1,1),0)&gt;=1,$P91=$V$7),$P91, IF(OR($R91&lt;&gt;IF(IFERROR(SEARCH($R91,XKNVLSX!$X$1,1),0)&gt;=1,$R91,XKNVLSX!$X$1),COUNTIFS($C$2:$C90,$C91,$E$2:$E90,$E91,$Q$2:$Q90,$P91)&gt;=1),"",$P91))))</f>
        <v/>
      </c>
      <c r="R91" s="1017" t="str">
        <f ca="1">IF($A91="","",IFERROR(INDEX(TinhGia!$BF$10:$BF$81,MATCH($A91,TinhGia!$B$10:$B$81,0)),""))</f>
        <v/>
      </c>
      <c r="S91" s="1012" t="str">
        <f ca="1">IF($A91="","",IF(OR(IFERROR(SEARCH($R91,XKNVLSX!$X$1,1),0)&gt;=1,XKNVLSX!$X$1=""),$S$2,""))</f>
        <v/>
      </c>
      <c r="T91" s="1018" t="str">
        <f ca="1">IF($C91="","", IF(OR($P91=$V$1,$P91=$V$7,COUNTIFS($C$3:$C91,$C91,$E$3:$E91,$E91)&lt;=1),$P91,""    ))</f>
        <v/>
      </c>
      <c r="U91" s="1019" t="str">
        <f ca="1">IF(AND($P91=$V$2,COUNTIFS($C$3:$C91,$C91,$E$3:$E91,$E91,$G$3:$G91,$G91)&lt;=1),$P91,"")</f>
        <v/>
      </c>
    </row>
    <row r="92" spans="1:21">
      <c r="A92" s="991" t="str">
        <f ca="1">IFERROR(IF(COUNTIF($A$3:A91,A91)&lt; INDEX(TinhGia!$BH$10:$BH$81,MATCH($A91,TinhGia!$B$10:$B$81,0)),$A91,INDEX(TinhGia!$B$10:$B$81,MATCH($A91,TinhGia!$B$10:$B$81,0)+1)),"")</f>
        <v/>
      </c>
      <c r="B92" s="525" t="str">
        <f ca="1">IF(OR(A92="",A92=0),"",IF(COUNTIF($A$2:A92,$A92)=1,ROW(MauKoXoa!$C$108),$B91+1))</f>
        <v/>
      </c>
      <c r="C92" s="992" t="str">
        <f t="shared" ca="1" si="14"/>
        <v/>
      </c>
      <c r="D92" s="993" t="str">
        <f t="shared" ca="1" si="15"/>
        <v/>
      </c>
      <c r="E92" s="993" t="str">
        <f t="shared" ca="1" si="16"/>
        <v/>
      </c>
      <c r="F92" s="992" t="str">
        <f t="shared" ca="1" si="13"/>
        <v/>
      </c>
      <c r="G92" s="994">
        <f t="shared" ca="1" si="17"/>
        <v>0</v>
      </c>
      <c r="H92" s="913">
        <f t="shared" ca="1" si="18"/>
        <v>0</v>
      </c>
      <c r="I92" s="913">
        <f t="shared" ca="1" si="19"/>
        <v>0</v>
      </c>
      <c r="J92" s="995">
        <f t="shared" ca="1" si="20"/>
        <v>0</v>
      </c>
      <c r="K92" s="913">
        <f t="shared" ca="1" si="21"/>
        <v>0</v>
      </c>
      <c r="L92" s="995">
        <f t="shared" ca="1" si="22"/>
        <v>0</v>
      </c>
      <c r="M92" s="913">
        <f t="shared" ca="1" si="23"/>
        <v>0</v>
      </c>
      <c r="N92" s="996">
        <f t="shared" ca="1" si="24"/>
        <v>0</v>
      </c>
      <c r="O92" s="997">
        <f t="shared" ca="1" si="25"/>
        <v>0</v>
      </c>
      <c r="P92" s="1015" t="str">
        <f ca="1">IF($C92="","",INDEX(NVLSX!$N$2:$N$6941,MATCH($C92,NVLSX!$E$2:$E$6941,0)))</f>
        <v/>
      </c>
      <c r="Q92" s="1016" t="str">
        <f ca="1">IF($R92="","",IF(XKNVLSX!$X$1="",IF($P92=$V$7,$P92, IF(COUNTIFS($C$2:$C91,$C92,$E$2:$E91,$E92)&gt;=1,"",$P92)),     IF(AND(IFERROR(SEARCH($R92,XKNVLSX!$X$1,1),0)&gt;=1,$P92=$V$7),$P92, IF(OR($R92&lt;&gt;IF(IFERROR(SEARCH($R92,XKNVLSX!$X$1,1),0)&gt;=1,$R92,XKNVLSX!$X$1),COUNTIFS($C$2:$C91,$C92,$E$2:$E91,$E92,$Q$2:$Q91,$P92)&gt;=1),"",$P92))))</f>
        <v/>
      </c>
      <c r="R92" s="1017" t="str">
        <f ca="1">IF($A92="","",IFERROR(INDEX(TinhGia!$BF$10:$BF$81,MATCH($A92,TinhGia!$B$10:$B$81,0)),""))</f>
        <v/>
      </c>
      <c r="S92" s="1012" t="str">
        <f ca="1">IF($A92="","",IF(OR(IFERROR(SEARCH($R92,XKNVLSX!$X$1,1),0)&gt;=1,XKNVLSX!$X$1=""),$S$2,""))</f>
        <v/>
      </c>
      <c r="T92" s="1018" t="str">
        <f ca="1">IF($C92="","", IF(OR($P92=$V$1,$P92=$V$7,COUNTIFS($C$3:$C92,$C92,$E$3:$E92,$E92)&lt;=1),$P92,""    ))</f>
        <v/>
      </c>
      <c r="U92" s="1019" t="str">
        <f ca="1">IF(AND($P92=$V$2,COUNTIFS($C$3:$C92,$C92,$E$3:$E92,$E92,$G$3:$G92,$G92)&lt;=1),$P92,"")</f>
        <v/>
      </c>
    </row>
    <row r="93" spans="1:21">
      <c r="A93" s="991" t="str">
        <f ca="1">IFERROR(IF(COUNTIF($A$3:A92,A92)&lt; INDEX(TinhGia!$BH$10:$BH$81,MATCH($A92,TinhGia!$B$10:$B$81,0)),$A92,INDEX(TinhGia!$B$10:$B$81,MATCH($A92,TinhGia!$B$10:$B$81,0)+1)),"")</f>
        <v/>
      </c>
      <c r="B93" s="525" t="str">
        <f ca="1">IF(OR(A93="",A93=0),"",IF(COUNTIF($A$2:A93,$A93)=1,ROW(MauKoXoa!$C$108),$B92+1))</f>
        <v/>
      </c>
      <c r="C93" s="992" t="str">
        <f t="shared" ca="1" si="14"/>
        <v/>
      </c>
      <c r="D93" s="993" t="str">
        <f t="shared" ca="1" si="15"/>
        <v/>
      </c>
      <c r="E93" s="993" t="str">
        <f t="shared" ca="1" si="16"/>
        <v/>
      </c>
      <c r="F93" s="992" t="str">
        <f t="shared" ca="1" si="13"/>
        <v/>
      </c>
      <c r="G93" s="994">
        <f t="shared" ca="1" si="17"/>
        <v>0</v>
      </c>
      <c r="H93" s="913">
        <f t="shared" ca="1" si="18"/>
        <v>0</v>
      </c>
      <c r="I93" s="913">
        <f t="shared" ca="1" si="19"/>
        <v>0</v>
      </c>
      <c r="J93" s="995">
        <f t="shared" ca="1" si="20"/>
        <v>0</v>
      </c>
      <c r="K93" s="913">
        <f t="shared" ca="1" si="21"/>
        <v>0</v>
      </c>
      <c r="L93" s="995">
        <f t="shared" ca="1" si="22"/>
        <v>0</v>
      </c>
      <c r="M93" s="913">
        <f t="shared" ca="1" si="23"/>
        <v>0</v>
      </c>
      <c r="N93" s="996">
        <f t="shared" ca="1" si="24"/>
        <v>0</v>
      </c>
      <c r="O93" s="997">
        <f t="shared" ca="1" si="25"/>
        <v>0</v>
      </c>
      <c r="P93" s="1015" t="str">
        <f ca="1">IF($C93="","",INDEX(NVLSX!$N$2:$N$6941,MATCH($C93,NVLSX!$E$2:$E$6941,0)))</f>
        <v/>
      </c>
      <c r="Q93" s="1016" t="str">
        <f ca="1">IF($R93="","",IF(XKNVLSX!$X$1="",IF($P93=$V$7,$P93, IF(COUNTIFS($C$2:$C92,$C93,$E$2:$E92,$E93)&gt;=1,"",$P93)),     IF(AND(IFERROR(SEARCH($R93,XKNVLSX!$X$1,1),0)&gt;=1,$P93=$V$7),$P93, IF(OR($R93&lt;&gt;IF(IFERROR(SEARCH($R93,XKNVLSX!$X$1,1),0)&gt;=1,$R93,XKNVLSX!$X$1),COUNTIFS($C$2:$C92,$C93,$E$2:$E92,$E93,$Q$2:$Q92,$P93)&gt;=1),"",$P93))))</f>
        <v/>
      </c>
      <c r="R93" s="1017" t="str">
        <f ca="1">IF($A93="","",IFERROR(INDEX(TinhGia!$BF$10:$BF$81,MATCH($A93,TinhGia!$B$10:$B$81,0)),""))</f>
        <v/>
      </c>
      <c r="S93" s="1012" t="str">
        <f ca="1">IF($A93="","",IF(OR(IFERROR(SEARCH($R93,XKNVLSX!$X$1,1),0)&gt;=1,XKNVLSX!$X$1=""),$S$2,""))</f>
        <v/>
      </c>
      <c r="T93" s="1018" t="str">
        <f ca="1">IF($C93="","", IF(OR($P93=$V$1,$P93=$V$7,COUNTIFS($C$3:$C93,$C93,$E$3:$E93,$E93)&lt;=1),$P93,""    ))</f>
        <v/>
      </c>
      <c r="U93" s="1019" t="str">
        <f ca="1">IF(AND($P93=$V$2,COUNTIFS($C$3:$C93,$C93,$E$3:$E93,$E93,$G$3:$G93,$G93)&lt;=1),$P93,"")</f>
        <v/>
      </c>
    </row>
    <row r="94" spans="1:21">
      <c r="A94" s="991" t="str">
        <f ca="1">IFERROR(IF(COUNTIF($A$3:A93,A93)&lt; INDEX(TinhGia!$BH$10:$BH$81,MATCH($A93,TinhGia!$B$10:$B$81,0)),$A93,INDEX(TinhGia!$B$10:$B$81,MATCH($A93,TinhGia!$B$10:$B$81,0)+1)),"")</f>
        <v/>
      </c>
      <c r="B94" s="525" t="str">
        <f ca="1">IF(OR(A94="",A94=0),"",IF(COUNTIF($A$2:A94,$A94)=1,ROW(MauKoXoa!$C$108),$B93+1))</f>
        <v/>
      </c>
      <c r="C94" s="992" t="str">
        <f t="shared" ca="1" si="14"/>
        <v/>
      </c>
      <c r="D94" s="993" t="str">
        <f t="shared" ca="1" si="15"/>
        <v/>
      </c>
      <c r="E94" s="993" t="str">
        <f t="shared" ca="1" si="16"/>
        <v/>
      </c>
      <c r="F94" s="992" t="str">
        <f t="shared" ca="1" si="13"/>
        <v/>
      </c>
      <c r="G94" s="994">
        <f t="shared" ca="1" si="17"/>
        <v>0</v>
      </c>
      <c r="H94" s="913">
        <f t="shared" ca="1" si="18"/>
        <v>0</v>
      </c>
      <c r="I94" s="913">
        <f t="shared" ca="1" si="19"/>
        <v>0</v>
      </c>
      <c r="J94" s="995">
        <f t="shared" ca="1" si="20"/>
        <v>0</v>
      </c>
      <c r="K94" s="913">
        <f t="shared" ca="1" si="21"/>
        <v>0</v>
      </c>
      <c r="L94" s="995">
        <f t="shared" ca="1" si="22"/>
        <v>0</v>
      </c>
      <c r="M94" s="913">
        <f t="shared" ca="1" si="23"/>
        <v>0</v>
      </c>
      <c r="N94" s="996">
        <f t="shared" ca="1" si="24"/>
        <v>0</v>
      </c>
      <c r="O94" s="997">
        <f t="shared" ca="1" si="25"/>
        <v>0</v>
      </c>
      <c r="P94" s="1015" t="str">
        <f ca="1">IF($C94="","",INDEX(NVLSX!$N$2:$N$6941,MATCH($C94,NVLSX!$E$2:$E$6941,0)))</f>
        <v/>
      </c>
      <c r="Q94" s="1016" t="str">
        <f ca="1">IF($R94="","",IF(XKNVLSX!$X$1="",IF($P94=$V$7,$P94, IF(COUNTIFS($C$2:$C93,$C94,$E$2:$E93,$E94)&gt;=1,"",$P94)),     IF(AND(IFERROR(SEARCH($R94,XKNVLSX!$X$1,1),0)&gt;=1,$P94=$V$7),$P94, IF(OR($R94&lt;&gt;IF(IFERROR(SEARCH($R94,XKNVLSX!$X$1,1),0)&gt;=1,$R94,XKNVLSX!$X$1),COUNTIFS($C$2:$C93,$C94,$E$2:$E93,$E94,$Q$2:$Q93,$P94)&gt;=1),"",$P94))))</f>
        <v/>
      </c>
      <c r="R94" s="1017" t="str">
        <f ca="1">IF($A94="","",IFERROR(INDEX(TinhGia!$BF$10:$BF$81,MATCH($A94,TinhGia!$B$10:$B$81,0)),""))</f>
        <v/>
      </c>
      <c r="S94" s="1012" t="str">
        <f ca="1">IF($A94="","",IF(OR(IFERROR(SEARCH($R94,XKNVLSX!$X$1,1),0)&gt;=1,XKNVLSX!$X$1=""),$S$2,""))</f>
        <v/>
      </c>
      <c r="T94" s="1018" t="str">
        <f ca="1">IF($C94="","", IF(OR($P94=$V$1,$P94=$V$7,COUNTIFS($C$3:$C94,$C94,$E$3:$E94,$E94)&lt;=1),$P94,""    ))</f>
        <v/>
      </c>
      <c r="U94" s="1019" t="str">
        <f ca="1">IF(AND($P94=$V$2,COUNTIFS($C$3:$C94,$C94,$E$3:$E94,$E94,$G$3:$G94,$G94)&lt;=1),$P94,"")</f>
        <v/>
      </c>
    </row>
    <row r="95" spans="1:21">
      <c r="A95" s="991" t="str">
        <f ca="1">IFERROR(IF(COUNTIF($A$3:A94,A94)&lt; INDEX(TinhGia!$BH$10:$BH$81,MATCH($A94,TinhGia!$B$10:$B$81,0)),$A94,INDEX(TinhGia!$B$10:$B$81,MATCH($A94,TinhGia!$B$10:$B$81,0)+1)),"")</f>
        <v/>
      </c>
      <c r="B95" s="525" t="str">
        <f ca="1">IF(OR(A95="",A95=0),"",IF(COUNTIF($A$2:A95,$A95)=1,ROW(MauKoXoa!$C$108),$B94+1))</f>
        <v/>
      </c>
      <c r="C95" s="992" t="str">
        <f t="shared" ca="1" si="14"/>
        <v/>
      </c>
      <c r="D95" s="993" t="str">
        <f t="shared" ca="1" si="15"/>
        <v/>
      </c>
      <c r="E95" s="993" t="str">
        <f t="shared" ca="1" si="16"/>
        <v/>
      </c>
      <c r="F95" s="992" t="str">
        <f t="shared" ca="1" si="13"/>
        <v/>
      </c>
      <c r="G95" s="994">
        <f t="shared" ca="1" si="17"/>
        <v>0</v>
      </c>
      <c r="H95" s="913">
        <f t="shared" ca="1" si="18"/>
        <v>0</v>
      </c>
      <c r="I95" s="913">
        <f t="shared" ca="1" si="19"/>
        <v>0</v>
      </c>
      <c r="J95" s="995">
        <f t="shared" ca="1" si="20"/>
        <v>0</v>
      </c>
      <c r="K95" s="913">
        <f t="shared" ca="1" si="21"/>
        <v>0</v>
      </c>
      <c r="L95" s="995">
        <f t="shared" ca="1" si="22"/>
        <v>0</v>
      </c>
      <c r="M95" s="913">
        <f t="shared" ca="1" si="23"/>
        <v>0</v>
      </c>
      <c r="N95" s="996">
        <f t="shared" ca="1" si="24"/>
        <v>0</v>
      </c>
      <c r="O95" s="997">
        <f t="shared" ca="1" si="25"/>
        <v>0</v>
      </c>
      <c r="P95" s="1015" t="str">
        <f ca="1">IF($C95="","",INDEX(NVLSX!$N$2:$N$6941,MATCH($C95,NVLSX!$E$2:$E$6941,0)))</f>
        <v/>
      </c>
      <c r="Q95" s="1016" t="str">
        <f ca="1">IF($R95="","",IF(XKNVLSX!$X$1="",IF($P95=$V$7,$P95, IF(COUNTIFS($C$2:$C94,$C95,$E$2:$E94,$E95)&gt;=1,"",$P95)),     IF(AND(IFERROR(SEARCH($R95,XKNVLSX!$X$1,1),0)&gt;=1,$P95=$V$7),$P95, IF(OR($R95&lt;&gt;IF(IFERROR(SEARCH($R95,XKNVLSX!$X$1,1),0)&gt;=1,$R95,XKNVLSX!$X$1),COUNTIFS($C$2:$C94,$C95,$E$2:$E94,$E95,$Q$2:$Q94,$P95)&gt;=1),"",$P95))))</f>
        <v/>
      </c>
      <c r="R95" s="1017" t="str">
        <f ca="1">IF($A95="","",IFERROR(INDEX(TinhGia!$BF$10:$BF$81,MATCH($A95,TinhGia!$B$10:$B$81,0)),""))</f>
        <v/>
      </c>
      <c r="S95" s="1012" t="str">
        <f ca="1">IF($A95="","",IF(OR(IFERROR(SEARCH($R95,XKNVLSX!$X$1,1),0)&gt;=1,XKNVLSX!$X$1=""),$S$2,""))</f>
        <v/>
      </c>
      <c r="T95" s="1018" t="str">
        <f ca="1">IF($C95="","", IF(OR($P95=$V$1,$P95=$V$7,COUNTIFS($C$3:$C95,$C95,$E$3:$E95,$E95)&lt;=1),$P95,""    ))</f>
        <v/>
      </c>
      <c r="U95" s="1019" t="str">
        <f ca="1">IF(AND($P95=$V$2,COUNTIFS($C$3:$C95,$C95,$E$3:$E95,$E95,$G$3:$G95,$G95)&lt;=1),$P95,"")</f>
        <v/>
      </c>
    </row>
    <row r="96" spans="1:21">
      <c r="A96" s="991" t="str">
        <f ca="1">IFERROR(IF(COUNTIF($A$3:A95,A95)&lt; INDEX(TinhGia!$BH$10:$BH$81,MATCH($A95,TinhGia!$B$10:$B$81,0)),$A95,INDEX(TinhGia!$B$10:$B$81,MATCH($A95,TinhGia!$B$10:$B$81,0)+1)),"")</f>
        <v/>
      </c>
      <c r="B96" s="525" t="str">
        <f ca="1">IF(OR(A96="",A96=0),"",IF(COUNTIF($A$2:A96,$A96)=1,ROW(MauKoXoa!$C$108),$B95+1))</f>
        <v/>
      </c>
      <c r="C96" s="992" t="str">
        <f t="shared" ca="1" si="14"/>
        <v/>
      </c>
      <c r="D96" s="993" t="str">
        <f t="shared" ca="1" si="15"/>
        <v/>
      </c>
      <c r="E96" s="993" t="str">
        <f t="shared" ca="1" si="16"/>
        <v/>
      </c>
      <c r="F96" s="992" t="str">
        <f t="shared" ca="1" si="13"/>
        <v/>
      </c>
      <c r="G96" s="994">
        <f t="shared" ca="1" si="17"/>
        <v>0</v>
      </c>
      <c r="H96" s="913">
        <f t="shared" ca="1" si="18"/>
        <v>0</v>
      </c>
      <c r="I96" s="913">
        <f t="shared" ca="1" si="19"/>
        <v>0</v>
      </c>
      <c r="J96" s="995">
        <f t="shared" ca="1" si="20"/>
        <v>0</v>
      </c>
      <c r="K96" s="913">
        <f t="shared" ca="1" si="21"/>
        <v>0</v>
      </c>
      <c r="L96" s="995">
        <f t="shared" ca="1" si="22"/>
        <v>0</v>
      </c>
      <c r="M96" s="913">
        <f t="shared" ca="1" si="23"/>
        <v>0</v>
      </c>
      <c r="N96" s="996">
        <f t="shared" ca="1" si="24"/>
        <v>0</v>
      </c>
      <c r="O96" s="997">
        <f t="shared" ca="1" si="25"/>
        <v>0</v>
      </c>
      <c r="P96" s="1015" t="str">
        <f ca="1">IF($C96="","",INDEX(NVLSX!$N$2:$N$6941,MATCH($C96,NVLSX!$E$2:$E$6941,0)))</f>
        <v/>
      </c>
      <c r="Q96" s="1016" t="str">
        <f ca="1">IF($R96="","",IF(XKNVLSX!$X$1="",IF($P96=$V$7,$P96, IF(COUNTIFS($C$2:$C95,$C96,$E$2:$E95,$E96)&gt;=1,"",$P96)),     IF(AND(IFERROR(SEARCH($R96,XKNVLSX!$X$1,1),0)&gt;=1,$P96=$V$7),$P96, IF(OR($R96&lt;&gt;IF(IFERROR(SEARCH($R96,XKNVLSX!$X$1,1),0)&gt;=1,$R96,XKNVLSX!$X$1),COUNTIFS($C$2:$C95,$C96,$E$2:$E95,$E96,$Q$2:$Q95,$P96)&gt;=1),"",$P96))))</f>
        <v/>
      </c>
      <c r="R96" s="1017" t="str">
        <f ca="1">IF($A96="","",IFERROR(INDEX(TinhGia!$BF$10:$BF$81,MATCH($A96,TinhGia!$B$10:$B$81,0)),""))</f>
        <v/>
      </c>
      <c r="S96" s="1012" t="str">
        <f ca="1">IF($A96="","",IF(OR(IFERROR(SEARCH($R96,XKNVLSX!$X$1,1),0)&gt;=1,XKNVLSX!$X$1=""),$S$2,""))</f>
        <v/>
      </c>
      <c r="T96" s="1018" t="str">
        <f ca="1">IF($C96="","", IF(OR($P96=$V$1,$P96=$V$7,COUNTIFS($C$3:$C96,$C96,$E$3:$E96,$E96)&lt;=1),$P96,""    ))</f>
        <v/>
      </c>
      <c r="U96" s="1019" t="str">
        <f ca="1">IF(AND($P96=$V$2,COUNTIFS($C$3:$C96,$C96,$E$3:$E96,$E96,$G$3:$G96,$G96)&lt;=1),$P96,"")</f>
        <v/>
      </c>
    </row>
    <row r="97" spans="1:21">
      <c r="A97" s="991" t="str">
        <f ca="1">IFERROR(IF(COUNTIF($A$3:A96,A96)&lt; INDEX(TinhGia!$BH$10:$BH$81,MATCH($A96,TinhGia!$B$10:$B$81,0)),$A96,INDEX(TinhGia!$B$10:$B$81,MATCH($A96,TinhGia!$B$10:$B$81,0)+1)),"")</f>
        <v/>
      </c>
      <c r="B97" s="525" t="str">
        <f ca="1">IF(OR(A97="",A97=0),"",IF(COUNTIF($A$2:A97,$A97)=1,ROW(MauKoXoa!$C$108),$B96+1))</f>
        <v/>
      </c>
      <c r="C97" s="992" t="str">
        <f t="shared" ca="1" si="14"/>
        <v/>
      </c>
      <c r="D97" s="993" t="str">
        <f t="shared" ca="1" si="15"/>
        <v/>
      </c>
      <c r="E97" s="993" t="str">
        <f t="shared" ca="1" si="16"/>
        <v/>
      </c>
      <c r="F97" s="992" t="str">
        <f t="shared" ca="1" si="13"/>
        <v/>
      </c>
      <c r="G97" s="994">
        <f t="shared" ca="1" si="17"/>
        <v>0</v>
      </c>
      <c r="H97" s="913">
        <f t="shared" ca="1" si="18"/>
        <v>0</v>
      </c>
      <c r="I97" s="913">
        <f t="shared" ca="1" si="19"/>
        <v>0</v>
      </c>
      <c r="J97" s="995">
        <f t="shared" ca="1" si="20"/>
        <v>0</v>
      </c>
      <c r="K97" s="913">
        <f t="shared" ca="1" si="21"/>
        <v>0</v>
      </c>
      <c r="L97" s="995">
        <f t="shared" ca="1" si="22"/>
        <v>0</v>
      </c>
      <c r="M97" s="913">
        <f t="shared" ca="1" si="23"/>
        <v>0</v>
      </c>
      <c r="N97" s="996">
        <f t="shared" ca="1" si="24"/>
        <v>0</v>
      </c>
      <c r="O97" s="997">
        <f t="shared" ca="1" si="25"/>
        <v>0</v>
      </c>
      <c r="P97" s="1015" t="str">
        <f ca="1">IF($C97="","",INDEX(NVLSX!$N$2:$N$6941,MATCH($C97,NVLSX!$E$2:$E$6941,0)))</f>
        <v/>
      </c>
      <c r="Q97" s="1016" t="str">
        <f ca="1">IF($R97="","",IF(XKNVLSX!$X$1="",IF($P97=$V$7,$P97, IF(COUNTIFS($C$2:$C96,$C97,$E$2:$E96,$E97)&gt;=1,"",$P97)),     IF(AND(IFERROR(SEARCH($R97,XKNVLSX!$X$1,1),0)&gt;=1,$P97=$V$7),$P97, IF(OR($R97&lt;&gt;IF(IFERROR(SEARCH($R97,XKNVLSX!$X$1,1),0)&gt;=1,$R97,XKNVLSX!$X$1),COUNTIFS($C$2:$C96,$C97,$E$2:$E96,$E97,$Q$2:$Q96,$P97)&gt;=1),"",$P97))))</f>
        <v/>
      </c>
      <c r="R97" s="1017" t="str">
        <f ca="1">IF($A97="","",IFERROR(INDEX(TinhGia!$BF$10:$BF$81,MATCH($A97,TinhGia!$B$10:$B$81,0)),""))</f>
        <v/>
      </c>
      <c r="S97" s="1012" t="str">
        <f ca="1">IF($A97="","",IF(OR(IFERROR(SEARCH($R97,XKNVLSX!$X$1,1),0)&gt;=1,XKNVLSX!$X$1=""),$S$2,""))</f>
        <v/>
      </c>
      <c r="T97" s="1018" t="str">
        <f ca="1">IF($C97="","", IF(OR($P97=$V$1,$P97=$V$7,COUNTIFS($C$3:$C97,$C97,$E$3:$E97,$E97)&lt;=1),$P97,""    ))</f>
        <v/>
      </c>
      <c r="U97" s="1019" t="str">
        <f ca="1">IF(AND($P97=$V$2,COUNTIFS($C$3:$C97,$C97,$E$3:$E97,$E97,$G$3:$G97,$G97)&lt;=1),$P97,"")</f>
        <v/>
      </c>
    </row>
    <row r="98" spans="1:21">
      <c r="A98" s="991" t="str">
        <f ca="1">IFERROR(IF(COUNTIF($A$3:A97,A97)&lt; INDEX(TinhGia!$BH$10:$BH$81,MATCH($A97,TinhGia!$B$10:$B$81,0)),$A97,INDEX(TinhGia!$B$10:$B$81,MATCH($A97,TinhGia!$B$10:$B$81,0)+1)),"")</f>
        <v/>
      </c>
      <c r="B98" s="525" t="str">
        <f ca="1">IF(OR(A98="",A98=0),"",IF(COUNTIF($A$2:A98,$A98)=1,ROW(MauKoXoa!$C$108),$B97+1))</f>
        <v/>
      </c>
      <c r="C98" s="992" t="str">
        <f t="shared" ca="1" si="14"/>
        <v/>
      </c>
      <c r="D98" s="993" t="str">
        <f t="shared" ca="1" si="15"/>
        <v/>
      </c>
      <c r="E98" s="993" t="str">
        <f t="shared" ca="1" si="16"/>
        <v/>
      </c>
      <c r="F98" s="992" t="str">
        <f t="shared" ca="1" si="13"/>
        <v/>
      </c>
      <c r="G98" s="994">
        <f t="shared" ca="1" si="17"/>
        <v>0</v>
      </c>
      <c r="H98" s="913">
        <f t="shared" ca="1" si="18"/>
        <v>0</v>
      </c>
      <c r="I98" s="913">
        <f t="shared" ca="1" si="19"/>
        <v>0</v>
      </c>
      <c r="J98" s="995">
        <f t="shared" ca="1" si="20"/>
        <v>0</v>
      </c>
      <c r="K98" s="913">
        <f t="shared" ca="1" si="21"/>
        <v>0</v>
      </c>
      <c r="L98" s="995">
        <f t="shared" ca="1" si="22"/>
        <v>0</v>
      </c>
      <c r="M98" s="913">
        <f t="shared" ca="1" si="23"/>
        <v>0</v>
      </c>
      <c r="N98" s="996">
        <f t="shared" ca="1" si="24"/>
        <v>0</v>
      </c>
      <c r="O98" s="997">
        <f t="shared" ca="1" si="25"/>
        <v>0</v>
      </c>
      <c r="P98" s="1015" t="str">
        <f ca="1">IF($C98="","",INDEX(NVLSX!$N$2:$N$6941,MATCH($C98,NVLSX!$E$2:$E$6941,0)))</f>
        <v/>
      </c>
      <c r="Q98" s="1016" t="str">
        <f ca="1">IF($R98="","",IF(XKNVLSX!$X$1="",IF($P98=$V$7,$P98, IF(COUNTIFS($C$2:$C97,$C98,$E$2:$E97,$E98)&gt;=1,"",$P98)),     IF(AND(IFERROR(SEARCH($R98,XKNVLSX!$X$1,1),0)&gt;=1,$P98=$V$7),$P98, IF(OR($R98&lt;&gt;IF(IFERROR(SEARCH($R98,XKNVLSX!$X$1,1),0)&gt;=1,$R98,XKNVLSX!$X$1),COUNTIFS($C$2:$C97,$C98,$E$2:$E97,$E98,$Q$2:$Q97,$P98)&gt;=1),"",$P98))))</f>
        <v/>
      </c>
      <c r="R98" s="1017" t="str">
        <f ca="1">IF($A98="","",IFERROR(INDEX(TinhGia!$BF$10:$BF$81,MATCH($A98,TinhGia!$B$10:$B$81,0)),""))</f>
        <v/>
      </c>
      <c r="S98" s="1012" t="str">
        <f ca="1">IF($A98="","",IF(OR(IFERROR(SEARCH($R98,XKNVLSX!$X$1,1),0)&gt;=1,XKNVLSX!$X$1=""),$S$2,""))</f>
        <v/>
      </c>
      <c r="T98" s="1018" t="str">
        <f ca="1">IF($C98="","", IF(OR($P98=$V$1,$P98=$V$7,COUNTIFS($C$3:$C98,$C98,$E$3:$E98,$E98)&lt;=1),$P98,""    ))</f>
        <v/>
      </c>
      <c r="U98" s="1019" t="str">
        <f ca="1">IF(AND($P98=$V$2,COUNTIFS($C$3:$C98,$C98,$E$3:$E98,$E98,$G$3:$G98,$G98)&lt;=1),$P98,"")</f>
        <v/>
      </c>
    </row>
    <row r="99" spans="1:21">
      <c r="A99" s="991" t="str">
        <f ca="1">IFERROR(IF(COUNTIF($A$3:A98,A98)&lt; INDEX(TinhGia!$BH$10:$BH$81,MATCH($A98,TinhGia!$B$10:$B$81,0)),$A98,INDEX(TinhGia!$B$10:$B$81,MATCH($A98,TinhGia!$B$10:$B$81,0)+1)),"")</f>
        <v/>
      </c>
      <c r="B99" s="525" t="str">
        <f ca="1">IF(OR(A99="",A99=0),"",IF(COUNTIF($A$2:A99,$A99)=1,ROW(MauKoXoa!$C$108),$B98+1))</f>
        <v/>
      </c>
      <c r="C99" s="992" t="str">
        <f t="shared" ca="1" si="14"/>
        <v/>
      </c>
      <c r="D99" s="993" t="str">
        <f t="shared" ca="1" si="15"/>
        <v/>
      </c>
      <c r="E99" s="993" t="str">
        <f t="shared" ca="1" si="16"/>
        <v/>
      </c>
      <c r="F99" s="992" t="str">
        <f t="shared" ca="1" si="13"/>
        <v/>
      </c>
      <c r="G99" s="994">
        <f t="shared" ca="1" si="17"/>
        <v>0</v>
      </c>
      <c r="H99" s="913">
        <f t="shared" ca="1" si="18"/>
        <v>0</v>
      </c>
      <c r="I99" s="913">
        <f t="shared" ca="1" si="19"/>
        <v>0</v>
      </c>
      <c r="J99" s="995">
        <f t="shared" ca="1" si="20"/>
        <v>0</v>
      </c>
      <c r="K99" s="913">
        <f t="shared" ca="1" si="21"/>
        <v>0</v>
      </c>
      <c r="L99" s="995">
        <f t="shared" ca="1" si="22"/>
        <v>0</v>
      </c>
      <c r="M99" s="913">
        <f t="shared" ca="1" si="23"/>
        <v>0</v>
      </c>
      <c r="N99" s="996">
        <f t="shared" ca="1" si="24"/>
        <v>0</v>
      </c>
      <c r="O99" s="997">
        <f t="shared" ca="1" si="25"/>
        <v>0</v>
      </c>
      <c r="P99" s="1015" t="str">
        <f ca="1">IF($C99="","",INDEX(NVLSX!$N$2:$N$6941,MATCH($C99,NVLSX!$E$2:$E$6941,0)))</f>
        <v/>
      </c>
      <c r="Q99" s="1016" t="str">
        <f ca="1">IF($R99="","",IF(XKNVLSX!$X$1="",IF($P99=$V$7,$P99, IF(COUNTIFS($C$2:$C98,$C99,$E$2:$E98,$E99)&gt;=1,"",$P99)),     IF(AND(IFERROR(SEARCH($R99,XKNVLSX!$X$1,1),0)&gt;=1,$P99=$V$7),$P99, IF(OR($R99&lt;&gt;IF(IFERROR(SEARCH($R99,XKNVLSX!$X$1,1),0)&gt;=1,$R99,XKNVLSX!$X$1),COUNTIFS($C$2:$C98,$C99,$E$2:$E98,$E99,$Q$2:$Q98,$P99)&gt;=1),"",$P99))))</f>
        <v/>
      </c>
      <c r="R99" s="1017" t="str">
        <f ca="1">IF($A99="","",IFERROR(INDEX(TinhGia!$BF$10:$BF$81,MATCH($A99,TinhGia!$B$10:$B$81,0)),""))</f>
        <v/>
      </c>
      <c r="S99" s="1012" t="str">
        <f ca="1">IF($A99="","",IF(OR(IFERROR(SEARCH($R99,XKNVLSX!$X$1,1),0)&gt;=1,XKNVLSX!$X$1=""),$S$2,""))</f>
        <v/>
      </c>
      <c r="T99" s="1018" t="str">
        <f ca="1">IF($C99="","", IF(OR($P99=$V$1,$P99=$V$7,COUNTIFS($C$3:$C99,$C99,$E$3:$E99,$E99)&lt;=1),$P99,""    ))</f>
        <v/>
      </c>
      <c r="U99" s="1019" t="str">
        <f ca="1">IF(AND($P99=$V$2,COUNTIFS($C$3:$C99,$C99,$E$3:$E99,$E99,$G$3:$G99,$G99)&lt;=1),$P99,"")</f>
        <v/>
      </c>
    </row>
    <row r="100" spans="1:21">
      <c r="A100" s="991" t="str">
        <f ca="1">IFERROR(IF(COUNTIF($A$3:A99,A99)&lt; INDEX(TinhGia!$BH$10:$BH$81,MATCH($A99,TinhGia!$B$10:$B$81,0)),$A99,INDEX(TinhGia!$B$10:$B$81,MATCH($A99,TinhGia!$B$10:$B$81,0)+1)),"")</f>
        <v/>
      </c>
      <c r="B100" s="525" t="str">
        <f ca="1">IF(OR(A100="",A100=0),"",IF(COUNTIF($A$2:A100,$A100)=1,ROW(MauKoXoa!$C$108),$B99+1))</f>
        <v/>
      </c>
      <c r="C100" s="992" t="str">
        <f t="shared" ca="1" si="14"/>
        <v/>
      </c>
      <c r="D100" s="993" t="str">
        <f t="shared" ca="1" si="15"/>
        <v/>
      </c>
      <c r="E100" s="993" t="str">
        <f t="shared" ca="1" si="16"/>
        <v/>
      </c>
      <c r="F100" s="992" t="str">
        <f t="shared" ca="1" si="13"/>
        <v/>
      </c>
      <c r="G100" s="994">
        <f t="shared" ca="1" si="17"/>
        <v>0</v>
      </c>
      <c r="H100" s="913">
        <f t="shared" ca="1" si="18"/>
        <v>0</v>
      </c>
      <c r="I100" s="913">
        <f t="shared" ca="1" si="19"/>
        <v>0</v>
      </c>
      <c r="J100" s="995">
        <f t="shared" ca="1" si="20"/>
        <v>0</v>
      </c>
      <c r="K100" s="913">
        <f t="shared" ca="1" si="21"/>
        <v>0</v>
      </c>
      <c r="L100" s="995">
        <f t="shared" ca="1" si="22"/>
        <v>0</v>
      </c>
      <c r="M100" s="913">
        <f t="shared" ca="1" si="23"/>
        <v>0</v>
      </c>
      <c r="N100" s="996">
        <f t="shared" ca="1" si="24"/>
        <v>0</v>
      </c>
      <c r="O100" s="997">
        <f t="shared" ca="1" si="25"/>
        <v>0</v>
      </c>
      <c r="P100" s="1015" t="str">
        <f ca="1">IF($C100="","",INDEX(NVLSX!$N$2:$N$6941,MATCH($C100,NVLSX!$E$2:$E$6941,0)))</f>
        <v/>
      </c>
      <c r="Q100" s="1016" t="str">
        <f ca="1">IF($R100="","",IF(XKNVLSX!$X$1="",IF($P100=$V$7,$P100, IF(COUNTIFS($C$2:$C99,$C100,$E$2:$E99,$E100)&gt;=1,"",$P100)),     IF(AND(IFERROR(SEARCH($R100,XKNVLSX!$X$1,1),0)&gt;=1,$P100=$V$7),$P100, IF(OR($R100&lt;&gt;IF(IFERROR(SEARCH($R100,XKNVLSX!$X$1,1),0)&gt;=1,$R100,XKNVLSX!$X$1),COUNTIFS($C$2:$C99,$C100,$E$2:$E99,$E100,$Q$2:$Q99,$P100)&gt;=1),"",$P100))))</f>
        <v/>
      </c>
      <c r="R100" s="1017" t="str">
        <f ca="1">IF($A100="","",IFERROR(INDEX(TinhGia!$BF$10:$BF$81,MATCH($A100,TinhGia!$B$10:$B$81,0)),""))</f>
        <v/>
      </c>
      <c r="S100" s="1012" t="str">
        <f ca="1">IF($A100="","",IF(OR(IFERROR(SEARCH($R100,XKNVLSX!$X$1,1),0)&gt;=1,XKNVLSX!$X$1=""),$S$2,""))</f>
        <v/>
      </c>
      <c r="T100" s="1018" t="str">
        <f ca="1">IF($C100="","", IF(OR($P100=$V$1,$P100=$V$7,COUNTIFS($C$3:$C100,$C100,$E$3:$E100,$E100)&lt;=1),$P100,""    ))</f>
        <v/>
      </c>
      <c r="U100" s="1019" t="str">
        <f ca="1">IF(AND($P100=$V$2,COUNTIFS($C$3:$C100,$C100,$E$3:$E100,$E100,$G$3:$G100,$G100)&lt;=1),$P100,"")</f>
        <v/>
      </c>
    </row>
    <row r="101" spans="1:21">
      <c r="A101" s="991" t="str">
        <f ca="1">IFERROR(IF(COUNTIF($A$3:A100,A100)&lt; INDEX(TinhGia!$BH$10:$BH$81,MATCH($A100,TinhGia!$B$10:$B$81,0)),$A100,INDEX(TinhGia!$B$10:$B$81,MATCH($A100,TinhGia!$B$10:$B$81,0)+1)),"")</f>
        <v/>
      </c>
      <c r="B101" s="525" t="str">
        <f ca="1">IF(OR(A101="",A101=0),"",IF(COUNTIF($A$2:A101,$A101)=1,ROW(MauKoXoa!$C$108),$B100+1))</f>
        <v/>
      </c>
      <c r="C101" s="992" t="str">
        <f t="shared" ca="1" si="14"/>
        <v/>
      </c>
      <c r="D101" s="993" t="str">
        <f t="shared" ca="1" si="15"/>
        <v/>
      </c>
      <c r="E101" s="993" t="str">
        <f t="shared" ca="1" si="16"/>
        <v/>
      </c>
      <c r="F101" s="992" t="str">
        <f t="shared" ca="1" si="13"/>
        <v/>
      </c>
      <c r="G101" s="994">
        <f t="shared" ca="1" si="17"/>
        <v>0</v>
      </c>
      <c r="H101" s="913">
        <f t="shared" ca="1" si="18"/>
        <v>0</v>
      </c>
      <c r="I101" s="913">
        <f t="shared" ca="1" si="19"/>
        <v>0</v>
      </c>
      <c r="J101" s="995">
        <f t="shared" ca="1" si="20"/>
        <v>0</v>
      </c>
      <c r="K101" s="913">
        <f t="shared" ca="1" si="21"/>
        <v>0</v>
      </c>
      <c r="L101" s="995">
        <f t="shared" ca="1" si="22"/>
        <v>0</v>
      </c>
      <c r="M101" s="913">
        <f t="shared" ca="1" si="23"/>
        <v>0</v>
      </c>
      <c r="N101" s="996">
        <f t="shared" ca="1" si="24"/>
        <v>0</v>
      </c>
      <c r="O101" s="997">
        <f t="shared" ca="1" si="25"/>
        <v>0</v>
      </c>
      <c r="P101" s="1015" t="str">
        <f ca="1">IF($C101="","",INDEX(NVLSX!$N$2:$N$6941,MATCH($C101,NVLSX!$E$2:$E$6941,0)))</f>
        <v/>
      </c>
      <c r="Q101" s="1016" t="str">
        <f ca="1">IF($R101="","",IF(XKNVLSX!$X$1="",IF($P101=$V$7,$P101, IF(COUNTIFS($C$2:$C100,$C101,$E$2:$E100,$E101)&gt;=1,"",$P101)),     IF(AND(IFERROR(SEARCH($R101,XKNVLSX!$X$1,1),0)&gt;=1,$P101=$V$7),$P101, IF(OR($R101&lt;&gt;IF(IFERROR(SEARCH($R101,XKNVLSX!$X$1,1),0)&gt;=1,$R101,XKNVLSX!$X$1),COUNTIFS($C$2:$C100,$C101,$E$2:$E100,$E101,$Q$2:$Q100,$P101)&gt;=1),"",$P101))))</f>
        <v/>
      </c>
      <c r="R101" s="1017" t="str">
        <f ca="1">IF($A101="","",IFERROR(INDEX(TinhGia!$BF$10:$BF$81,MATCH($A101,TinhGia!$B$10:$B$81,0)),""))</f>
        <v/>
      </c>
      <c r="S101" s="1012" t="str">
        <f ca="1">IF($A101="","",IF(OR(IFERROR(SEARCH($R101,XKNVLSX!$X$1,1),0)&gt;=1,XKNVLSX!$X$1=""),$S$2,""))</f>
        <v/>
      </c>
      <c r="T101" s="1018" t="str">
        <f ca="1">IF($C101="","", IF(OR($P101=$V$1,$P101=$V$7,COUNTIFS($C$3:$C101,$C101,$E$3:$E101,$E101)&lt;=1),$P101,""    ))</f>
        <v/>
      </c>
      <c r="U101" s="1019" t="str">
        <f ca="1">IF(AND($P101=$V$2,COUNTIFS($C$3:$C101,$C101,$E$3:$E101,$E101,$G$3:$G101,$G101)&lt;=1),$P101,"")</f>
        <v/>
      </c>
    </row>
    <row r="102" spans="1:21">
      <c r="A102" s="991" t="str">
        <f ca="1">IFERROR(IF(COUNTIF($A$3:A101,A101)&lt; INDEX(TinhGia!$BH$10:$BH$81,MATCH($A101,TinhGia!$B$10:$B$81,0)),$A101,INDEX(TinhGia!$B$10:$B$81,MATCH($A101,TinhGia!$B$10:$B$81,0)+1)),"")</f>
        <v/>
      </c>
      <c r="B102" s="525" t="str">
        <f ca="1">IF(OR(A102="",A102=0),"",IF(COUNTIF($A$2:A102,$A102)=1,ROW(MauKoXoa!$C$108),$B101+1))</f>
        <v/>
      </c>
      <c r="C102" s="992" t="str">
        <f t="shared" ca="1" si="14"/>
        <v/>
      </c>
      <c r="D102" s="993" t="str">
        <f t="shared" ca="1" si="15"/>
        <v/>
      </c>
      <c r="E102" s="993" t="str">
        <f t="shared" ca="1" si="16"/>
        <v/>
      </c>
      <c r="F102" s="992" t="str">
        <f t="shared" ca="1" si="13"/>
        <v/>
      </c>
      <c r="G102" s="994">
        <f t="shared" ca="1" si="17"/>
        <v>0</v>
      </c>
      <c r="H102" s="913">
        <f t="shared" ca="1" si="18"/>
        <v>0</v>
      </c>
      <c r="I102" s="913">
        <f t="shared" ca="1" si="19"/>
        <v>0</v>
      </c>
      <c r="J102" s="995">
        <f t="shared" ca="1" si="20"/>
        <v>0</v>
      </c>
      <c r="K102" s="913">
        <f t="shared" ca="1" si="21"/>
        <v>0</v>
      </c>
      <c r="L102" s="995">
        <f t="shared" ca="1" si="22"/>
        <v>0</v>
      </c>
      <c r="M102" s="913">
        <f t="shared" ca="1" si="23"/>
        <v>0</v>
      </c>
      <c r="N102" s="996">
        <f t="shared" ca="1" si="24"/>
        <v>0</v>
      </c>
      <c r="O102" s="997">
        <f t="shared" ca="1" si="25"/>
        <v>0</v>
      </c>
      <c r="P102" s="1015" t="str">
        <f ca="1">IF($C102="","",INDEX(NVLSX!$N$2:$N$6941,MATCH($C102,NVLSX!$E$2:$E$6941,0)))</f>
        <v/>
      </c>
      <c r="Q102" s="1016" t="str">
        <f ca="1">IF($R102="","",IF(XKNVLSX!$X$1="",IF($P102=$V$7,$P102, IF(COUNTIFS($C$2:$C101,$C102,$E$2:$E101,$E102)&gt;=1,"",$P102)),     IF(AND(IFERROR(SEARCH($R102,XKNVLSX!$X$1,1),0)&gt;=1,$P102=$V$7),$P102, IF(OR($R102&lt;&gt;IF(IFERROR(SEARCH($R102,XKNVLSX!$X$1,1),0)&gt;=1,$R102,XKNVLSX!$X$1),COUNTIFS($C$2:$C101,$C102,$E$2:$E101,$E102,$Q$2:$Q101,$P102)&gt;=1),"",$P102))))</f>
        <v/>
      </c>
      <c r="R102" s="1017" t="str">
        <f ca="1">IF($A102="","",IFERROR(INDEX(TinhGia!$BF$10:$BF$81,MATCH($A102,TinhGia!$B$10:$B$81,0)),""))</f>
        <v/>
      </c>
      <c r="S102" s="1012" t="str">
        <f ca="1">IF($A102="","",IF(OR(IFERROR(SEARCH($R102,XKNVLSX!$X$1,1),0)&gt;=1,XKNVLSX!$X$1=""),$S$2,""))</f>
        <v/>
      </c>
      <c r="T102" s="1018" t="str">
        <f ca="1">IF($C102="","", IF(OR($P102=$V$1,$P102=$V$7,COUNTIFS($C$3:$C102,$C102,$E$3:$E102,$E102)&lt;=1),$P102,""    ))</f>
        <v/>
      </c>
      <c r="U102" s="1019" t="str">
        <f ca="1">IF(AND($P102=$V$2,COUNTIFS($C$3:$C102,$C102,$E$3:$E102,$E102,$G$3:$G102,$G102)&lt;=1),$P102,"")</f>
        <v/>
      </c>
    </row>
    <row r="103" spans="1:21">
      <c r="A103" s="991" t="str">
        <f ca="1">IFERROR(IF(COUNTIF($A$3:A102,A102)&lt; INDEX(TinhGia!$BH$10:$BH$81,MATCH($A102,TinhGia!$B$10:$B$81,0)),$A102,INDEX(TinhGia!$B$10:$B$81,MATCH($A102,TinhGia!$B$10:$B$81,0)+1)),"")</f>
        <v/>
      </c>
      <c r="B103" s="525" t="str">
        <f ca="1">IF(OR(A103="",A103=0),"",IF(COUNTIF($A$2:A103,$A103)=1,ROW(MauKoXoa!$C$108),$B102+1))</f>
        <v/>
      </c>
      <c r="C103" s="992" t="str">
        <f t="shared" ca="1" si="14"/>
        <v/>
      </c>
      <c r="D103" s="993" t="str">
        <f t="shared" ca="1" si="15"/>
        <v/>
      </c>
      <c r="E103" s="993" t="str">
        <f t="shared" ca="1" si="16"/>
        <v/>
      </c>
      <c r="F103" s="992" t="str">
        <f t="shared" ca="1" si="13"/>
        <v/>
      </c>
      <c r="G103" s="994">
        <f t="shared" ca="1" si="17"/>
        <v>0</v>
      </c>
      <c r="H103" s="913">
        <f t="shared" ca="1" si="18"/>
        <v>0</v>
      </c>
      <c r="I103" s="913">
        <f t="shared" ca="1" si="19"/>
        <v>0</v>
      </c>
      <c r="J103" s="995">
        <f t="shared" ca="1" si="20"/>
        <v>0</v>
      </c>
      <c r="K103" s="913">
        <f t="shared" ca="1" si="21"/>
        <v>0</v>
      </c>
      <c r="L103" s="995">
        <f t="shared" ca="1" si="22"/>
        <v>0</v>
      </c>
      <c r="M103" s="913">
        <f t="shared" ca="1" si="23"/>
        <v>0</v>
      </c>
      <c r="N103" s="996">
        <f t="shared" ca="1" si="24"/>
        <v>0</v>
      </c>
      <c r="O103" s="997">
        <f t="shared" ca="1" si="25"/>
        <v>0</v>
      </c>
      <c r="P103" s="1015" t="str">
        <f ca="1">IF($C103="","",INDEX(NVLSX!$N$2:$N$6941,MATCH($C103,NVLSX!$E$2:$E$6941,0)))</f>
        <v/>
      </c>
      <c r="Q103" s="1016" t="str">
        <f ca="1">IF($R103="","",IF(XKNVLSX!$X$1="",IF($P103=$V$7,$P103, IF(COUNTIFS($C$2:$C102,$C103,$E$2:$E102,$E103)&gt;=1,"",$P103)),     IF(AND(IFERROR(SEARCH($R103,XKNVLSX!$X$1,1),0)&gt;=1,$P103=$V$7),$P103, IF(OR($R103&lt;&gt;IF(IFERROR(SEARCH($R103,XKNVLSX!$X$1,1),0)&gt;=1,$R103,XKNVLSX!$X$1),COUNTIFS($C$2:$C102,$C103,$E$2:$E102,$E103,$Q$2:$Q102,$P103)&gt;=1),"",$P103))))</f>
        <v/>
      </c>
      <c r="R103" s="1017" t="str">
        <f ca="1">IF($A103="","",IFERROR(INDEX(TinhGia!$BF$10:$BF$81,MATCH($A103,TinhGia!$B$10:$B$81,0)),""))</f>
        <v/>
      </c>
      <c r="S103" s="1012" t="str">
        <f ca="1">IF($A103="","",IF(OR(IFERROR(SEARCH($R103,XKNVLSX!$X$1,1),0)&gt;=1,XKNVLSX!$X$1=""),$S$2,""))</f>
        <v/>
      </c>
      <c r="T103" s="1018" t="str">
        <f ca="1">IF($C103="","", IF(OR($P103=$V$1,$P103=$V$7,COUNTIFS($C$3:$C103,$C103,$E$3:$E103,$E103)&lt;=1),$P103,""    ))</f>
        <v/>
      </c>
      <c r="U103" s="1019" t="str">
        <f ca="1">IF(AND($P103=$V$2,COUNTIFS($C$3:$C103,$C103,$E$3:$E103,$E103,$G$3:$G103,$G103)&lt;=1),$P103,"")</f>
        <v/>
      </c>
    </row>
    <row r="104" spans="1:21">
      <c r="A104" s="991" t="str">
        <f ca="1">IFERROR(IF(COUNTIF($A$3:A103,A103)&lt; INDEX(TinhGia!$BH$10:$BH$81,MATCH($A103,TinhGia!$B$10:$B$81,0)),$A103,INDEX(TinhGia!$B$10:$B$81,MATCH($A103,TinhGia!$B$10:$B$81,0)+1)),"")</f>
        <v/>
      </c>
      <c r="B104" s="525" t="str">
        <f ca="1">IF(OR(A104="",A104=0),"",IF(COUNTIF($A$2:A104,$A104)=1,ROW(MauKoXoa!$C$108),$B103+1))</f>
        <v/>
      </c>
      <c r="C104" s="992" t="str">
        <f t="shared" ca="1" si="14"/>
        <v/>
      </c>
      <c r="D104" s="993" t="str">
        <f t="shared" ca="1" si="15"/>
        <v/>
      </c>
      <c r="E104" s="993" t="str">
        <f t="shared" ca="1" si="16"/>
        <v/>
      </c>
      <c r="F104" s="992" t="str">
        <f t="shared" ca="1" si="13"/>
        <v/>
      </c>
      <c r="G104" s="994">
        <f t="shared" ca="1" si="17"/>
        <v>0</v>
      </c>
      <c r="H104" s="913">
        <f t="shared" ca="1" si="18"/>
        <v>0</v>
      </c>
      <c r="I104" s="913">
        <f t="shared" ca="1" si="19"/>
        <v>0</v>
      </c>
      <c r="J104" s="995">
        <f t="shared" ca="1" si="20"/>
        <v>0</v>
      </c>
      <c r="K104" s="913">
        <f t="shared" ca="1" si="21"/>
        <v>0</v>
      </c>
      <c r="L104" s="995">
        <f t="shared" ca="1" si="22"/>
        <v>0</v>
      </c>
      <c r="M104" s="913">
        <f t="shared" ca="1" si="23"/>
        <v>0</v>
      </c>
      <c r="N104" s="996">
        <f t="shared" ca="1" si="24"/>
        <v>0</v>
      </c>
      <c r="O104" s="997">
        <f t="shared" ca="1" si="25"/>
        <v>0</v>
      </c>
      <c r="P104" s="1015" t="str">
        <f ca="1">IF($C104="","",INDEX(NVLSX!$N$2:$N$6941,MATCH($C104,NVLSX!$E$2:$E$6941,0)))</f>
        <v/>
      </c>
      <c r="Q104" s="1016" t="str">
        <f ca="1">IF($R104="","",IF(XKNVLSX!$X$1="",IF($P104=$V$7,$P104, IF(COUNTIFS($C$2:$C103,$C104,$E$2:$E103,$E104)&gt;=1,"",$P104)),     IF(AND(IFERROR(SEARCH($R104,XKNVLSX!$X$1,1),0)&gt;=1,$P104=$V$7),$P104, IF(OR($R104&lt;&gt;IF(IFERROR(SEARCH($R104,XKNVLSX!$X$1,1),0)&gt;=1,$R104,XKNVLSX!$X$1),COUNTIFS($C$2:$C103,$C104,$E$2:$E103,$E104,$Q$2:$Q103,$P104)&gt;=1),"",$P104))))</f>
        <v/>
      </c>
      <c r="R104" s="1017" t="str">
        <f ca="1">IF($A104="","",IFERROR(INDEX(TinhGia!$BF$10:$BF$81,MATCH($A104,TinhGia!$B$10:$B$81,0)),""))</f>
        <v/>
      </c>
      <c r="S104" s="1012" t="str">
        <f ca="1">IF($A104="","",IF(OR(IFERROR(SEARCH($R104,XKNVLSX!$X$1,1),0)&gt;=1,XKNVLSX!$X$1=""),$S$2,""))</f>
        <v/>
      </c>
      <c r="T104" s="1018" t="str">
        <f ca="1">IF($C104="","", IF(OR($P104=$V$1,$P104=$V$7,COUNTIFS($C$3:$C104,$C104,$E$3:$E104,$E104)&lt;=1),$P104,""    ))</f>
        <v/>
      </c>
      <c r="U104" s="1019" t="str">
        <f ca="1">IF(AND($P104=$V$2,COUNTIFS($C$3:$C104,$C104,$E$3:$E104,$E104,$G$3:$G104,$G104)&lt;=1),$P104,"")</f>
        <v/>
      </c>
    </row>
    <row r="105" spans="1:21">
      <c r="A105" s="991" t="str">
        <f ca="1">IFERROR(IF(COUNTIF($A$3:A104,A104)&lt; INDEX(TinhGia!$BH$10:$BH$81,MATCH($A104,TinhGia!$B$10:$B$81,0)),$A104,INDEX(TinhGia!$B$10:$B$81,MATCH($A104,TinhGia!$B$10:$B$81,0)+1)),"")</f>
        <v/>
      </c>
      <c r="B105" s="525" t="str">
        <f ca="1">IF(OR(A105="",A105=0),"",IF(COUNTIF($A$2:A105,$A105)=1,ROW(MauKoXoa!$C$108),$B104+1))</f>
        <v/>
      </c>
      <c r="C105" s="992" t="str">
        <f t="shared" ca="1" si="14"/>
        <v/>
      </c>
      <c r="D105" s="993" t="str">
        <f t="shared" ca="1" si="15"/>
        <v/>
      </c>
      <c r="E105" s="993" t="str">
        <f t="shared" ca="1" si="16"/>
        <v/>
      </c>
      <c r="F105" s="992" t="str">
        <f t="shared" ca="1" si="13"/>
        <v/>
      </c>
      <c r="G105" s="994">
        <f t="shared" ca="1" si="17"/>
        <v>0</v>
      </c>
      <c r="H105" s="913">
        <f t="shared" ca="1" si="18"/>
        <v>0</v>
      </c>
      <c r="I105" s="913">
        <f t="shared" ca="1" si="19"/>
        <v>0</v>
      </c>
      <c r="J105" s="995">
        <f t="shared" ca="1" si="20"/>
        <v>0</v>
      </c>
      <c r="K105" s="913">
        <f t="shared" ca="1" si="21"/>
        <v>0</v>
      </c>
      <c r="L105" s="995">
        <f t="shared" ca="1" si="22"/>
        <v>0</v>
      </c>
      <c r="M105" s="913">
        <f t="shared" ca="1" si="23"/>
        <v>0</v>
      </c>
      <c r="N105" s="996">
        <f t="shared" ca="1" si="24"/>
        <v>0</v>
      </c>
      <c r="O105" s="997">
        <f t="shared" ca="1" si="25"/>
        <v>0</v>
      </c>
      <c r="P105" s="1015" t="str">
        <f ca="1">IF($C105="","",INDEX(NVLSX!$N$2:$N$6941,MATCH($C105,NVLSX!$E$2:$E$6941,0)))</f>
        <v/>
      </c>
      <c r="Q105" s="1016" t="str">
        <f ca="1">IF($R105="","",IF(XKNVLSX!$X$1="",IF($P105=$V$7,$P105, IF(COUNTIFS($C$2:$C104,$C105,$E$2:$E104,$E105)&gt;=1,"",$P105)),     IF(AND(IFERROR(SEARCH($R105,XKNVLSX!$X$1,1),0)&gt;=1,$P105=$V$7),$P105, IF(OR($R105&lt;&gt;IF(IFERROR(SEARCH($R105,XKNVLSX!$X$1,1),0)&gt;=1,$R105,XKNVLSX!$X$1),COUNTIFS($C$2:$C104,$C105,$E$2:$E104,$E105,$Q$2:$Q104,$P105)&gt;=1),"",$P105))))</f>
        <v/>
      </c>
      <c r="R105" s="1017" t="str">
        <f ca="1">IF($A105="","",IFERROR(INDEX(TinhGia!$BF$10:$BF$81,MATCH($A105,TinhGia!$B$10:$B$81,0)),""))</f>
        <v/>
      </c>
      <c r="S105" s="1012" t="str">
        <f ca="1">IF($A105="","",IF(OR(IFERROR(SEARCH($R105,XKNVLSX!$X$1,1),0)&gt;=1,XKNVLSX!$X$1=""),$S$2,""))</f>
        <v/>
      </c>
      <c r="T105" s="1018" t="str">
        <f ca="1">IF($C105="","", IF(OR($P105=$V$1,$P105=$V$7,COUNTIFS($C$3:$C105,$C105,$E$3:$E105,$E105)&lt;=1),$P105,""    ))</f>
        <v/>
      </c>
      <c r="U105" s="1019" t="str">
        <f ca="1">IF(AND($P105=$V$2,COUNTIFS($C$3:$C105,$C105,$E$3:$E105,$E105,$G$3:$G105,$G105)&lt;=1),$P105,"")</f>
        <v/>
      </c>
    </row>
    <row r="106" spans="1:21">
      <c r="A106" s="991" t="str">
        <f ca="1">IFERROR(IF(COUNTIF($A$3:A105,A105)&lt; INDEX(TinhGia!$BH$10:$BH$81,MATCH($A105,TinhGia!$B$10:$B$81,0)),$A105,INDEX(TinhGia!$B$10:$B$81,MATCH($A105,TinhGia!$B$10:$B$81,0)+1)),"")</f>
        <v/>
      </c>
      <c r="B106" s="525" t="str">
        <f ca="1">IF(OR(A106="",A106=0),"",IF(COUNTIF($A$2:A106,$A106)=1,ROW(MauKoXoa!$C$108),$B105+1))</f>
        <v/>
      </c>
      <c r="C106" s="992" t="str">
        <f t="shared" ca="1" si="14"/>
        <v/>
      </c>
      <c r="D106" s="993" t="str">
        <f t="shared" ca="1" si="15"/>
        <v/>
      </c>
      <c r="E106" s="993" t="str">
        <f t="shared" ca="1" si="16"/>
        <v/>
      </c>
      <c r="F106" s="992" t="str">
        <f t="shared" ca="1" si="13"/>
        <v/>
      </c>
      <c r="G106" s="994">
        <f t="shared" ca="1" si="17"/>
        <v>0</v>
      </c>
      <c r="H106" s="913">
        <f t="shared" ca="1" si="18"/>
        <v>0</v>
      </c>
      <c r="I106" s="913">
        <f t="shared" ca="1" si="19"/>
        <v>0</v>
      </c>
      <c r="J106" s="995">
        <f t="shared" ca="1" si="20"/>
        <v>0</v>
      </c>
      <c r="K106" s="913">
        <f t="shared" ca="1" si="21"/>
        <v>0</v>
      </c>
      <c r="L106" s="995">
        <f t="shared" ca="1" si="22"/>
        <v>0</v>
      </c>
      <c r="M106" s="913">
        <f t="shared" ca="1" si="23"/>
        <v>0</v>
      </c>
      <c r="N106" s="996">
        <f t="shared" ca="1" si="24"/>
        <v>0</v>
      </c>
      <c r="O106" s="997">
        <f t="shared" ca="1" si="25"/>
        <v>0</v>
      </c>
      <c r="P106" s="1015" t="str">
        <f ca="1">IF($C106="","",INDEX(NVLSX!$N$2:$N$6941,MATCH($C106,NVLSX!$E$2:$E$6941,0)))</f>
        <v/>
      </c>
      <c r="Q106" s="1016" t="str">
        <f ca="1">IF($R106="","",IF(XKNVLSX!$X$1="",IF($P106=$V$7,$P106, IF(COUNTIFS($C$2:$C105,$C106,$E$2:$E105,$E106)&gt;=1,"",$P106)),     IF(AND(IFERROR(SEARCH($R106,XKNVLSX!$X$1,1),0)&gt;=1,$P106=$V$7),$P106, IF(OR($R106&lt;&gt;IF(IFERROR(SEARCH($R106,XKNVLSX!$X$1,1),0)&gt;=1,$R106,XKNVLSX!$X$1),COUNTIFS($C$2:$C105,$C106,$E$2:$E105,$E106,$Q$2:$Q105,$P106)&gt;=1),"",$P106))))</f>
        <v/>
      </c>
      <c r="R106" s="1017" t="str">
        <f ca="1">IF($A106="","",IFERROR(INDEX(TinhGia!$BF$10:$BF$81,MATCH($A106,TinhGia!$B$10:$B$81,0)),""))</f>
        <v/>
      </c>
      <c r="S106" s="1012" t="str">
        <f ca="1">IF($A106="","",IF(OR(IFERROR(SEARCH($R106,XKNVLSX!$X$1,1),0)&gt;=1,XKNVLSX!$X$1=""),$S$2,""))</f>
        <v/>
      </c>
      <c r="T106" s="1018" t="str">
        <f ca="1">IF($C106="","", IF(OR($P106=$V$1,$P106=$V$7,COUNTIFS($C$3:$C106,$C106,$E$3:$E106,$E106)&lt;=1),$P106,""    ))</f>
        <v/>
      </c>
      <c r="U106" s="1019" t="str">
        <f ca="1">IF(AND($P106=$V$2,COUNTIFS($C$3:$C106,$C106,$E$3:$E106,$E106,$G$3:$G106,$G106)&lt;=1),$P106,"")</f>
        <v/>
      </c>
    </row>
    <row r="107" spans="1:21">
      <c r="A107" s="991" t="str">
        <f ca="1">IFERROR(IF(COUNTIF($A$3:A106,A106)&lt; INDEX(TinhGia!$BH$10:$BH$81,MATCH($A106,TinhGia!$B$10:$B$81,0)),$A106,INDEX(TinhGia!$B$10:$B$81,MATCH($A106,TinhGia!$B$10:$B$81,0)+1)),"")</f>
        <v/>
      </c>
      <c r="B107" s="525" t="str">
        <f ca="1">IF(OR(A107="",A107=0),"",IF(COUNTIF($A$2:A107,$A107)=1,ROW(MauKoXoa!$C$108),$B106+1))</f>
        <v/>
      </c>
      <c r="C107" s="992" t="str">
        <f t="shared" ca="1" si="14"/>
        <v/>
      </c>
      <c r="D107" s="993" t="str">
        <f t="shared" ca="1" si="15"/>
        <v/>
      </c>
      <c r="E107" s="993" t="str">
        <f t="shared" ca="1" si="16"/>
        <v/>
      </c>
      <c r="F107" s="992" t="str">
        <f t="shared" ca="1" si="13"/>
        <v/>
      </c>
      <c r="G107" s="994">
        <f t="shared" ca="1" si="17"/>
        <v>0</v>
      </c>
      <c r="H107" s="913">
        <f t="shared" ca="1" si="18"/>
        <v>0</v>
      </c>
      <c r="I107" s="913">
        <f t="shared" ca="1" si="19"/>
        <v>0</v>
      </c>
      <c r="J107" s="995">
        <f t="shared" ca="1" si="20"/>
        <v>0</v>
      </c>
      <c r="K107" s="913">
        <f t="shared" ca="1" si="21"/>
        <v>0</v>
      </c>
      <c r="L107" s="995">
        <f t="shared" ca="1" si="22"/>
        <v>0</v>
      </c>
      <c r="M107" s="913">
        <f t="shared" ca="1" si="23"/>
        <v>0</v>
      </c>
      <c r="N107" s="996">
        <f t="shared" ca="1" si="24"/>
        <v>0</v>
      </c>
      <c r="O107" s="997">
        <f t="shared" ca="1" si="25"/>
        <v>0</v>
      </c>
      <c r="P107" s="1015" t="str">
        <f ca="1">IF($C107="","",INDEX(NVLSX!$N$2:$N$6941,MATCH($C107,NVLSX!$E$2:$E$6941,0)))</f>
        <v/>
      </c>
      <c r="Q107" s="1016" t="str">
        <f ca="1">IF($R107="","",IF(XKNVLSX!$X$1="",IF($P107=$V$7,$P107, IF(COUNTIFS($C$2:$C106,$C107,$E$2:$E106,$E107)&gt;=1,"",$P107)),     IF(AND(IFERROR(SEARCH($R107,XKNVLSX!$X$1,1),0)&gt;=1,$P107=$V$7),$P107, IF(OR($R107&lt;&gt;IF(IFERROR(SEARCH($R107,XKNVLSX!$X$1,1),0)&gt;=1,$R107,XKNVLSX!$X$1),COUNTIFS($C$2:$C106,$C107,$E$2:$E106,$E107,$Q$2:$Q106,$P107)&gt;=1),"",$P107))))</f>
        <v/>
      </c>
      <c r="R107" s="1017" t="str">
        <f ca="1">IF($A107="","",IFERROR(INDEX(TinhGia!$BF$10:$BF$81,MATCH($A107,TinhGia!$B$10:$B$81,0)),""))</f>
        <v/>
      </c>
      <c r="S107" s="1012" t="str">
        <f ca="1">IF($A107="","",IF(OR(IFERROR(SEARCH($R107,XKNVLSX!$X$1,1),0)&gt;=1,XKNVLSX!$X$1=""),$S$2,""))</f>
        <v/>
      </c>
      <c r="T107" s="1018" t="str">
        <f ca="1">IF($C107="","", IF(OR($P107=$V$1,$P107=$V$7,COUNTIFS($C$3:$C107,$C107,$E$3:$E107,$E107)&lt;=1),$P107,""    ))</f>
        <v/>
      </c>
      <c r="U107" s="1019" t="str">
        <f ca="1">IF(AND($P107=$V$2,COUNTIFS($C$3:$C107,$C107,$E$3:$E107,$E107,$G$3:$G107,$G107)&lt;=1),$P107,"")</f>
        <v/>
      </c>
    </row>
    <row r="108" spans="1:21">
      <c r="A108" s="991" t="str">
        <f ca="1">IFERROR(IF(COUNTIF($A$3:A107,A107)&lt; INDEX(TinhGia!$BH$10:$BH$81,MATCH($A107,TinhGia!$B$10:$B$81,0)),$A107,INDEX(TinhGia!$B$10:$B$81,MATCH($A107,TinhGia!$B$10:$B$81,0)+1)),"")</f>
        <v/>
      </c>
      <c r="B108" s="525" t="str">
        <f ca="1">IF(OR(A108="",A108=0),"",IF(COUNTIF($A$2:A108,$A108)=1,ROW(MauKoXoa!$C$108),$B107+1))</f>
        <v/>
      </c>
      <c r="C108" s="992" t="str">
        <f t="shared" ca="1" si="14"/>
        <v/>
      </c>
      <c r="D108" s="993" t="str">
        <f t="shared" ca="1" si="15"/>
        <v/>
      </c>
      <c r="E108" s="993" t="str">
        <f t="shared" ca="1" si="16"/>
        <v/>
      </c>
      <c r="F108" s="992" t="str">
        <f t="shared" ca="1" si="13"/>
        <v/>
      </c>
      <c r="G108" s="994">
        <f t="shared" ca="1" si="17"/>
        <v>0</v>
      </c>
      <c r="H108" s="913">
        <f t="shared" ca="1" si="18"/>
        <v>0</v>
      </c>
      <c r="I108" s="913">
        <f t="shared" ca="1" si="19"/>
        <v>0</v>
      </c>
      <c r="J108" s="995">
        <f t="shared" ca="1" si="20"/>
        <v>0</v>
      </c>
      <c r="K108" s="913">
        <f t="shared" ca="1" si="21"/>
        <v>0</v>
      </c>
      <c r="L108" s="995">
        <f t="shared" ca="1" si="22"/>
        <v>0</v>
      </c>
      <c r="M108" s="913">
        <f t="shared" ca="1" si="23"/>
        <v>0</v>
      </c>
      <c r="N108" s="996">
        <f t="shared" ca="1" si="24"/>
        <v>0</v>
      </c>
      <c r="O108" s="997">
        <f t="shared" ca="1" si="25"/>
        <v>0</v>
      </c>
      <c r="P108" s="1015" t="str">
        <f ca="1">IF($C108="","",INDEX(NVLSX!$N$2:$N$6941,MATCH($C108,NVLSX!$E$2:$E$6941,0)))</f>
        <v/>
      </c>
      <c r="Q108" s="1016" t="str">
        <f ca="1">IF($R108="","",IF(XKNVLSX!$X$1="",IF($P108=$V$7,$P108, IF(COUNTIFS($C$2:$C107,$C108,$E$2:$E107,$E108)&gt;=1,"",$P108)),     IF(AND(IFERROR(SEARCH($R108,XKNVLSX!$X$1,1),0)&gt;=1,$P108=$V$7),$P108, IF(OR($R108&lt;&gt;IF(IFERROR(SEARCH($R108,XKNVLSX!$X$1,1),0)&gt;=1,$R108,XKNVLSX!$X$1),COUNTIFS($C$2:$C107,$C108,$E$2:$E107,$E108,$Q$2:$Q107,$P108)&gt;=1),"",$P108))))</f>
        <v/>
      </c>
      <c r="R108" s="1017" t="str">
        <f ca="1">IF($A108="","",IFERROR(INDEX(TinhGia!$BF$10:$BF$81,MATCH($A108,TinhGia!$B$10:$B$81,0)),""))</f>
        <v/>
      </c>
      <c r="S108" s="1012" t="str">
        <f ca="1">IF($A108="","",IF(OR(IFERROR(SEARCH($R108,XKNVLSX!$X$1,1),0)&gt;=1,XKNVLSX!$X$1=""),$S$2,""))</f>
        <v/>
      </c>
      <c r="T108" s="1018" t="str">
        <f ca="1">IF($C108="","", IF(OR($P108=$V$1,$P108=$V$7,COUNTIFS($C$3:$C108,$C108,$E$3:$E108,$E108)&lt;=1),$P108,""    ))</f>
        <v/>
      </c>
      <c r="U108" s="1019" t="str">
        <f ca="1">IF(AND($P108=$V$2,COUNTIFS($C$3:$C108,$C108,$E$3:$E108,$E108,$G$3:$G108,$G108)&lt;=1),$P108,"")</f>
        <v/>
      </c>
    </row>
    <row r="109" spans="1:21">
      <c r="A109" s="991" t="str">
        <f ca="1">IFERROR(IF(COUNTIF($A$3:A108,A108)&lt; INDEX(TinhGia!$BH$10:$BH$81,MATCH($A108,TinhGia!$B$10:$B$81,0)),$A108,INDEX(TinhGia!$B$10:$B$81,MATCH($A108,TinhGia!$B$10:$B$81,0)+1)),"")</f>
        <v/>
      </c>
      <c r="B109" s="525" t="str">
        <f ca="1">IF(OR(A109="",A109=0),"",IF(COUNTIF($A$2:A109,$A109)=1,ROW(MauKoXoa!$C$108),$B108+1))</f>
        <v/>
      </c>
      <c r="C109" s="992" t="str">
        <f t="shared" ca="1" si="14"/>
        <v/>
      </c>
      <c r="D109" s="993" t="str">
        <f t="shared" ca="1" si="15"/>
        <v/>
      </c>
      <c r="E109" s="993" t="str">
        <f t="shared" ca="1" si="16"/>
        <v/>
      </c>
      <c r="F109" s="992" t="str">
        <f t="shared" ca="1" si="13"/>
        <v/>
      </c>
      <c r="G109" s="994">
        <f t="shared" ca="1" si="17"/>
        <v>0</v>
      </c>
      <c r="H109" s="913">
        <f t="shared" ca="1" si="18"/>
        <v>0</v>
      </c>
      <c r="I109" s="913">
        <f t="shared" ca="1" si="19"/>
        <v>0</v>
      </c>
      <c r="J109" s="995">
        <f t="shared" ca="1" si="20"/>
        <v>0</v>
      </c>
      <c r="K109" s="913">
        <f t="shared" ca="1" si="21"/>
        <v>0</v>
      </c>
      <c r="L109" s="995">
        <f t="shared" ca="1" si="22"/>
        <v>0</v>
      </c>
      <c r="M109" s="913">
        <f t="shared" ca="1" si="23"/>
        <v>0</v>
      </c>
      <c r="N109" s="996">
        <f t="shared" ca="1" si="24"/>
        <v>0</v>
      </c>
      <c r="O109" s="997">
        <f t="shared" ca="1" si="25"/>
        <v>0</v>
      </c>
      <c r="P109" s="1015" t="str">
        <f ca="1">IF($C109="","",INDEX(NVLSX!$N$2:$N$6941,MATCH($C109,NVLSX!$E$2:$E$6941,0)))</f>
        <v/>
      </c>
      <c r="Q109" s="1016" t="str">
        <f ca="1">IF($R109="","",IF(XKNVLSX!$X$1="",IF($P109=$V$7,$P109, IF(COUNTIFS($C$2:$C108,$C109,$E$2:$E108,$E109)&gt;=1,"",$P109)),     IF(AND(IFERROR(SEARCH($R109,XKNVLSX!$X$1,1),0)&gt;=1,$P109=$V$7),$P109, IF(OR($R109&lt;&gt;IF(IFERROR(SEARCH($R109,XKNVLSX!$X$1,1),0)&gt;=1,$R109,XKNVLSX!$X$1),COUNTIFS($C$2:$C108,$C109,$E$2:$E108,$E109,$Q$2:$Q108,$P109)&gt;=1),"",$P109))))</f>
        <v/>
      </c>
      <c r="R109" s="1017" t="str">
        <f ca="1">IF($A109="","",IFERROR(INDEX(TinhGia!$BF$10:$BF$81,MATCH($A109,TinhGia!$B$10:$B$81,0)),""))</f>
        <v/>
      </c>
      <c r="S109" s="1012" t="str">
        <f ca="1">IF($A109="","",IF(OR(IFERROR(SEARCH($R109,XKNVLSX!$X$1,1),0)&gt;=1,XKNVLSX!$X$1=""),$S$2,""))</f>
        <v/>
      </c>
      <c r="T109" s="1018" t="str">
        <f ca="1">IF($C109="","", IF(OR($P109=$V$1,$P109=$V$7,COUNTIFS($C$3:$C109,$C109,$E$3:$E109,$E109)&lt;=1),$P109,""    ))</f>
        <v/>
      </c>
      <c r="U109" s="1019" t="str">
        <f ca="1">IF(AND($P109=$V$2,COUNTIFS($C$3:$C109,$C109,$E$3:$E109,$E109,$G$3:$G109,$G109)&lt;=1),$P109,"")</f>
        <v/>
      </c>
    </row>
    <row r="110" spans="1:21">
      <c r="A110" s="991" t="str">
        <f ca="1">IFERROR(IF(COUNTIF($A$3:A109,A109)&lt; INDEX(TinhGia!$BH$10:$BH$81,MATCH($A109,TinhGia!$B$10:$B$81,0)),$A109,INDEX(TinhGia!$B$10:$B$81,MATCH($A109,TinhGia!$B$10:$B$81,0)+1)),"")</f>
        <v/>
      </c>
      <c r="B110" s="525" t="str">
        <f ca="1">IF(OR(A110="",A110=0),"",IF(COUNTIF($A$2:A110,$A110)=1,ROW(MauKoXoa!$C$108),$B109+1))</f>
        <v/>
      </c>
      <c r="C110" s="992" t="str">
        <f t="shared" ca="1" si="14"/>
        <v/>
      </c>
      <c r="D110" s="993" t="str">
        <f t="shared" ca="1" si="15"/>
        <v/>
      </c>
      <c r="E110" s="993" t="str">
        <f t="shared" ca="1" si="16"/>
        <v/>
      </c>
      <c r="F110" s="992" t="str">
        <f t="shared" ca="1" si="13"/>
        <v/>
      </c>
      <c r="G110" s="994">
        <f t="shared" ca="1" si="17"/>
        <v>0</v>
      </c>
      <c r="H110" s="913">
        <f t="shared" ca="1" si="18"/>
        <v>0</v>
      </c>
      <c r="I110" s="913">
        <f t="shared" ca="1" si="19"/>
        <v>0</v>
      </c>
      <c r="J110" s="995">
        <f t="shared" ca="1" si="20"/>
        <v>0</v>
      </c>
      <c r="K110" s="913">
        <f t="shared" ca="1" si="21"/>
        <v>0</v>
      </c>
      <c r="L110" s="995">
        <f t="shared" ca="1" si="22"/>
        <v>0</v>
      </c>
      <c r="M110" s="913">
        <f t="shared" ca="1" si="23"/>
        <v>0</v>
      </c>
      <c r="N110" s="996">
        <f t="shared" ca="1" si="24"/>
        <v>0</v>
      </c>
      <c r="O110" s="997">
        <f t="shared" ca="1" si="25"/>
        <v>0</v>
      </c>
      <c r="P110" s="1015" t="str">
        <f ca="1">IF($C110="","",INDEX(NVLSX!$N$2:$N$6941,MATCH($C110,NVLSX!$E$2:$E$6941,0)))</f>
        <v/>
      </c>
      <c r="Q110" s="1016" t="str">
        <f ca="1">IF($R110="","",IF(XKNVLSX!$X$1="",IF($P110=$V$7,$P110, IF(COUNTIFS($C$2:$C109,$C110,$E$2:$E109,$E110)&gt;=1,"",$P110)),     IF(AND(IFERROR(SEARCH($R110,XKNVLSX!$X$1,1),0)&gt;=1,$P110=$V$7),$P110, IF(OR($R110&lt;&gt;IF(IFERROR(SEARCH($R110,XKNVLSX!$X$1,1),0)&gt;=1,$R110,XKNVLSX!$X$1),COUNTIFS($C$2:$C109,$C110,$E$2:$E109,$E110,$Q$2:$Q109,$P110)&gt;=1),"",$P110))))</f>
        <v/>
      </c>
      <c r="R110" s="1017" t="str">
        <f ca="1">IF($A110="","",IFERROR(INDEX(TinhGia!$BF$10:$BF$81,MATCH($A110,TinhGia!$B$10:$B$81,0)),""))</f>
        <v/>
      </c>
      <c r="S110" s="1012" t="str">
        <f ca="1">IF($A110="","",IF(OR(IFERROR(SEARCH($R110,XKNVLSX!$X$1,1),0)&gt;=1,XKNVLSX!$X$1=""),$S$2,""))</f>
        <v/>
      </c>
      <c r="T110" s="1018" t="str">
        <f ca="1">IF($C110="","", IF(OR($P110=$V$1,$P110=$V$7,COUNTIFS($C$3:$C110,$C110,$E$3:$E110,$E110)&lt;=1),$P110,""    ))</f>
        <v/>
      </c>
      <c r="U110" s="1019" t="str">
        <f ca="1">IF(AND($P110=$V$2,COUNTIFS($C$3:$C110,$C110,$E$3:$E110,$E110,$G$3:$G110,$G110)&lt;=1),$P110,"")</f>
        <v/>
      </c>
    </row>
    <row r="111" spans="1:21">
      <c r="A111" s="991" t="str">
        <f ca="1">IFERROR(IF(COUNTIF($A$3:A110,A110)&lt; INDEX(TinhGia!$BH$10:$BH$81,MATCH($A110,TinhGia!$B$10:$B$81,0)),$A110,INDEX(TinhGia!$B$10:$B$81,MATCH($A110,TinhGia!$B$10:$B$81,0)+1)),"")</f>
        <v/>
      </c>
      <c r="B111" s="525" t="str">
        <f ca="1">IF(OR(A111="",A111=0),"",IF(COUNTIF($A$2:A111,$A111)=1,ROW(MauKoXoa!$C$108),$B110+1))</f>
        <v/>
      </c>
      <c r="C111" s="992" t="str">
        <f t="shared" ca="1" si="14"/>
        <v/>
      </c>
      <c r="D111" s="993" t="str">
        <f t="shared" ca="1" si="15"/>
        <v/>
      </c>
      <c r="E111" s="993" t="str">
        <f t="shared" ca="1" si="16"/>
        <v/>
      </c>
      <c r="F111" s="992" t="str">
        <f t="shared" ca="1" si="13"/>
        <v/>
      </c>
      <c r="G111" s="994">
        <f t="shared" ca="1" si="17"/>
        <v>0</v>
      </c>
      <c r="H111" s="913">
        <f t="shared" ca="1" si="18"/>
        <v>0</v>
      </c>
      <c r="I111" s="913">
        <f t="shared" ca="1" si="19"/>
        <v>0</v>
      </c>
      <c r="J111" s="995">
        <f t="shared" ca="1" si="20"/>
        <v>0</v>
      </c>
      <c r="K111" s="913">
        <f t="shared" ca="1" si="21"/>
        <v>0</v>
      </c>
      <c r="L111" s="995">
        <f t="shared" ca="1" si="22"/>
        <v>0</v>
      </c>
      <c r="M111" s="913">
        <f t="shared" ca="1" si="23"/>
        <v>0</v>
      </c>
      <c r="N111" s="996">
        <f t="shared" ca="1" si="24"/>
        <v>0</v>
      </c>
      <c r="O111" s="997">
        <f t="shared" ca="1" si="25"/>
        <v>0</v>
      </c>
      <c r="P111" s="1015" t="str">
        <f ca="1">IF($C111="","",INDEX(NVLSX!$N$2:$N$6941,MATCH($C111,NVLSX!$E$2:$E$6941,0)))</f>
        <v/>
      </c>
      <c r="Q111" s="1016" t="str">
        <f ca="1">IF($R111="","",IF(XKNVLSX!$X$1="",IF($P111=$V$7,$P111, IF(COUNTIFS($C$2:$C110,$C111,$E$2:$E110,$E111)&gt;=1,"",$P111)),     IF(AND(IFERROR(SEARCH($R111,XKNVLSX!$X$1,1),0)&gt;=1,$P111=$V$7),$P111, IF(OR($R111&lt;&gt;IF(IFERROR(SEARCH($R111,XKNVLSX!$X$1,1),0)&gt;=1,$R111,XKNVLSX!$X$1),COUNTIFS($C$2:$C110,$C111,$E$2:$E110,$E111,$Q$2:$Q110,$P111)&gt;=1),"",$P111))))</f>
        <v/>
      </c>
      <c r="R111" s="1017" t="str">
        <f ca="1">IF($A111="","",IFERROR(INDEX(TinhGia!$BF$10:$BF$81,MATCH($A111,TinhGia!$B$10:$B$81,0)),""))</f>
        <v/>
      </c>
      <c r="S111" s="1012" t="str">
        <f ca="1">IF($A111="","",IF(OR(IFERROR(SEARCH($R111,XKNVLSX!$X$1,1),0)&gt;=1,XKNVLSX!$X$1=""),$S$2,""))</f>
        <v/>
      </c>
      <c r="T111" s="1018" t="str">
        <f ca="1">IF($C111="","", IF(OR($P111=$V$1,$P111=$V$7,COUNTIFS($C$3:$C111,$C111,$E$3:$E111,$E111)&lt;=1),$P111,""    ))</f>
        <v/>
      </c>
      <c r="U111" s="1019" t="str">
        <f ca="1">IF(AND($P111=$V$2,COUNTIFS($C$3:$C111,$C111,$E$3:$E111,$E111,$G$3:$G111,$G111)&lt;=1),$P111,"")</f>
        <v/>
      </c>
    </row>
    <row r="112" spans="1:21">
      <c r="A112" s="991" t="str">
        <f ca="1">IFERROR(IF(COUNTIF($A$3:A111,A111)&lt; INDEX(TinhGia!$BH$10:$BH$81,MATCH($A111,TinhGia!$B$10:$B$81,0)),$A111,INDEX(TinhGia!$B$10:$B$81,MATCH($A111,TinhGia!$B$10:$B$81,0)+1)),"")</f>
        <v/>
      </c>
      <c r="B112" s="525" t="str">
        <f ca="1">IF(OR(A112="",A112=0),"",IF(COUNTIF($A$2:A112,$A112)=1,ROW(MauKoXoa!$C$108),$B111+1))</f>
        <v/>
      </c>
      <c r="C112" s="992" t="str">
        <f t="shared" ca="1" si="14"/>
        <v/>
      </c>
      <c r="D112" s="993" t="str">
        <f t="shared" ca="1" si="15"/>
        <v/>
      </c>
      <c r="E112" s="993" t="str">
        <f t="shared" ca="1" si="16"/>
        <v/>
      </c>
      <c r="F112" s="992" t="str">
        <f t="shared" ca="1" si="13"/>
        <v/>
      </c>
      <c r="G112" s="994">
        <f t="shared" ca="1" si="17"/>
        <v>0</v>
      </c>
      <c r="H112" s="913">
        <f t="shared" ca="1" si="18"/>
        <v>0</v>
      </c>
      <c r="I112" s="913">
        <f t="shared" ca="1" si="19"/>
        <v>0</v>
      </c>
      <c r="J112" s="995">
        <f t="shared" ca="1" si="20"/>
        <v>0</v>
      </c>
      <c r="K112" s="913">
        <f t="shared" ca="1" si="21"/>
        <v>0</v>
      </c>
      <c r="L112" s="995">
        <f t="shared" ca="1" si="22"/>
        <v>0</v>
      </c>
      <c r="M112" s="913">
        <f t="shared" ca="1" si="23"/>
        <v>0</v>
      </c>
      <c r="N112" s="996">
        <f t="shared" ca="1" si="24"/>
        <v>0</v>
      </c>
      <c r="O112" s="997">
        <f t="shared" ca="1" si="25"/>
        <v>0</v>
      </c>
      <c r="P112" s="1015" t="str">
        <f ca="1">IF($C112="","",INDEX(NVLSX!$N$2:$N$6941,MATCH($C112,NVLSX!$E$2:$E$6941,0)))</f>
        <v/>
      </c>
      <c r="Q112" s="1016" t="str">
        <f ca="1">IF($R112="","",IF(XKNVLSX!$X$1="",IF($P112=$V$7,$P112, IF(COUNTIFS($C$2:$C111,$C112,$E$2:$E111,$E112)&gt;=1,"",$P112)),     IF(AND(IFERROR(SEARCH($R112,XKNVLSX!$X$1,1),0)&gt;=1,$P112=$V$7),$P112, IF(OR($R112&lt;&gt;IF(IFERROR(SEARCH($R112,XKNVLSX!$X$1,1),0)&gt;=1,$R112,XKNVLSX!$X$1),COUNTIFS($C$2:$C111,$C112,$E$2:$E111,$E112,$Q$2:$Q111,$P112)&gt;=1),"",$P112))))</f>
        <v/>
      </c>
      <c r="R112" s="1017" t="str">
        <f ca="1">IF($A112="","",IFERROR(INDEX(TinhGia!$BF$10:$BF$81,MATCH($A112,TinhGia!$B$10:$B$81,0)),""))</f>
        <v/>
      </c>
      <c r="S112" s="1012" t="str">
        <f ca="1">IF($A112="","",IF(OR(IFERROR(SEARCH($R112,XKNVLSX!$X$1,1),0)&gt;=1,XKNVLSX!$X$1=""),$S$2,""))</f>
        <v/>
      </c>
      <c r="T112" s="1018" t="str">
        <f ca="1">IF($C112="","", IF(OR($P112=$V$1,$P112=$V$7,COUNTIFS($C$3:$C112,$C112,$E$3:$E112,$E112)&lt;=1),$P112,""    ))</f>
        <v/>
      </c>
      <c r="U112" s="1019" t="str">
        <f ca="1">IF(AND($P112=$V$2,COUNTIFS($C$3:$C112,$C112,$E$3:$E112,$E112,$G$3:$G112,$G112)&lt;=1),$P112,"")</f>
        <v/>
      </c>
    </row>
    <row r="113" spans="1:21">
      <c r="A113" s="991" t="str">
        <f ca="1">IFERROR(IF(COUNTIF($A$3:A112,A112)&lt; INDEX(TinhGia!$BH$10:$BH$81,MATCH($A112,TinhGia!$B$10:$B$81,0)),$A112,INDEX(TinhGia!$B$10:$B$81,MATCH($A112,TinhGia!$B$10:$B$81,0)+1)),"")</f>
        <v/>
      </c>
      <c r="B113" s="525" t="str">
        <f ca="1">IF(OR(A113="",A113=0),"",IF(COUNTIF($A$2:A113,$A113)=1,ROW(MauKoXoa!$C$108),$B112+1))</f>
        <v/>
      </c>
      <c r="C113" s="992" t="str">
        <f t="shared" ca="1" si="14"/>
        <v/>
      </c>
      <c r="D113" s="993" t="str">
        <f t="shared" ca="1" si="15"/>
        <v/>
      </c>
      <c r="E113" s="993" t="str">
        <f t="shared" ca="1" si="16"/>
        <v/>
      </c>
      <c r="F113" s="992" t="str">
        <f t="shared" ca="1" si="13"/>
        <v/>
      </c>
      <c r="G113" s="994">
        <f t="shared" ca="1" si="17"/>
        <v>0</v>
      </c>
      <c r="H113" s="913">
        <f t="shared" ca="1" si="18"/>
        <v>0</v>
      </c>
      <c r="I113" s="913">
        <f t="shared" ca="1" si="19"/>
        <v>0</v>
      </c>
      <c r="J113" s="995">
        <f t="shared" ca="1" si="20"/>
        <v>0</v>
      </c>
      <c r="K113" s="913">
        <f t="shared" ca="1" si="21"/>
        <v>0</v>
      </c>
      <c r="L113" s="995">
        <f t="shared" ca="1" si="22"/>
        <v>0</v>
      </c>
      <c r="M113" s="913">
        <f t="shared" ca="1" si="23"/>
        <v>0</v>
      </c>
      <c r="N113" s="996">
        <f t="shared" ca="1" si="24"/>
        <v>0</v>
      </c>
      <c r="O113" s="997">
        <f t="shared" ca="1" si="25"/>
        <v>0</v>
      </c>
      <c r="P113" s="1015" t="str">
        <f ca="1">IF($C113="","",INDEX(NVLSX!$N$2:$N$6941,MATCH($C113,NVLSX!$E$2:$E$6941,0)))</f>
        <v/>
      </c>
      <c r="Q113" s="1016" t="str">
        <f ca="1">IF($R113="","",IF(XKNVLSX!$X$1="",IF($P113=$V$7,$P113, IF(COUNTIFS($C$2:$C112,$C113,$E$2:$E112,$E113)&gt;=1,"",$P113)),     IF(AND(IFERROR(SEARCH($R113,XKNVLSX!$X$1,1),0)&gt;=1,$P113=$V$7),$P113, IF(OR($R113&lt;&gt;IF(IFERROR(SEARCH($R113,XKNVLSX!$X$1,1),0)&gt;=1,$R113,XKNVLSX!$X$1),COUNTIFS($C$2:$C112,$C113,$E$2:$E112,$E113,$Q$2:$Q112,$P113)&gt;=1),"",$P113))))</f>
        <v/>
      </c>
      <c r="R113" s="1017" t="str">
        <f ca="1">IF($A113="","",IFERROR(INDEX(TinhGia!$BF$10:$BF$81,MATCH($A113,TinhGia!$B$10:$B$81,0)),""))</f>
        <v/>
      </c>
      <c r="S113" s="1012" t="str">
        <f ca="1">IF($A113="","",IF(OR(IFERROR(SEARCH($R113,XKNVLSX!$X$1,1),0)&gt;=1,XKNVLSX!$X$1=""),$S$2,""))</f>
        <v/>
      </c>
      <c r="T113" s="1018" t="str">
        <f ca="1">IF($C113="","", IF(OR($P113=$V$1,$P113=$V$7,COUNTIFS($C$3:$C113,$C113,$E$3:$E113,$E113)&lt;=1),$P113,""    ))</f>
        <v/>
      </c>
      <c r="U113" s="1019" t="str">
        <f ca="1">IF(AND($P113=$V$2,COUNTIFS($C$3:$C113,$C113,$E$3:$E113,$E113,$G$3:$G113,$G113)&lt;=1),$P113,"")</f>
        <v/>
      </c>
    </row>
    <row r="114" spans="1:21">
      <c r="A114" s="991" t="str">
        <f ca="1">IFERROR(IF(COUNTIF($A$3:A113,A113)&lt; INDEX(TinhGia!$BH$10:$BH$81,MATCH($A113,TinhGia!$B$10:$B$81,0)),$A113,INDEX(TinhGia!$B$10:$B$81,MATCH($A113,TinhGia!$B$10:$B$81,0)+1)),"")</f>
        <v/>
      </c>
      <c r="B114" s="525" t="str">
        <f ca="1">IF(OR(A114="",A114=0),"",IF(COUNTIF($A$2:A114,$A114)=1,ROW(MauKoXoa!$C$108),$B113+1))</f>
        <v/>
      </c>
      <c r="C114" s="992" t="str">
        <f t="shared" ca="1" si="14"/>
        <v/>
      </c>
      <c r="D114" s="993" t="str">
        <f t="shared" ca="1" si="15"/>
        <v/>
      </c>
      <c r="E114" s="993" t="str">
        <f t="shared" ca="1" si="16"/>
        <v/>
      </c>
      <c r="F114" s="992" t="str">
        <f t="shared" ca="1" si="13"/>
        <v/>
      </c>
      <c r="G114" s="994">
        <f t="shared" ca="1" si="17"/>
        <v>0</v>
      </c>
      <c r="H114" s="913">
        <f t="shared" ca="1" si="18"/>
        <v>0</v>
      </c>
      <c r="I114" s="913">
        <f t="shared" ca="1" si="19"/>
        <v>0</v>
      </c>
      <c r="J114" s="995">
        <f t="shared" ca="1" si="20"/>
        <v>0</v>
      </c>
      <c r="K114" s="913">
        <f t="shared" ca="1" si="21"/>
        <v>0</v>
      </c>
      <c r="L114" s="995">
        <f t="shared" ca="1" si="22"/>
        <v>0</v>
      </c>
      <c r="M114" s="913">
        <f t="shared" ca="1" si="23"/>
        <v>0</v>
      </c>
      <c r="N114" s="996">
        <f t="shared" ca="1" si="24"/>
        <v>0</v>
      </c>
      <c r="O114" s="997">
        <f t="shared" ca="1" si="25"/>
        <v>0</v>
      </c>
      <c r="P114" s="1015" t="str">
        <f ca="1">IF($C114="","",INDEX(NVLSX!$N$2:$N$6941,MATCH($C114,NVLSX!$E$2:$E$6941,0)))</f>
        <v/>
      </c>
      <c r="Q114" s="1016" t="str">
        <f ca="1">IF($R114="","",IF(XKNVLSX!$X$1="",IF($P114=$V$7,$P114, IF(COUNTIFS($C$2:$C113,$C114,$E$2:$E113,$E114)&gt;=1,"",$P114)),     IF(AND(IFERROR(SEARCH($R114,XKNVLSX!$X$1,1),0)&gt;=1,$P114=$V$7),$P114, IF(OR($R114&lt;&gt;IF(IFERROR(SEARCH($R114,XKNVLSX!$X$1,1),0)&gt;=1,$R114,XKNVLSX!$X$1),COUNTIFS($C$2:$C113,$C114,$E$2:$E113,$E114,$Q$2:$Q113,$P114)&gt;=1),"",$P114))))</f>
        <v/>
      </c>
      <c r="R114" s="1017" t="str">
        <f ca="1">IF($A114="","",IFERROR(INDEX(TinhGia!$BF$10:$BF$81,MATCH($A114,TinhGia!$B$10:$B$81,0)),""))</f>
        <v/>
      </c>
      <c r="S114" s="1012" t="str">
        <f ca="1">IF($A114="","",IF(OR(IFERROR(SEARCH($R114,XKNVLSX!$X$1,1),0)&gt;=1,XKNVLSX!$X$1=""),$S$2,""))</f>
        <v/>
      </c>
      <c r="T114" s="1018" t="str">
        <f ca="1">IF($C114="","", IF(OR($P114=$V$1,$P114=$V$7,COUNTIFS($C$3:$C114,$C114,$E$3:$E114,$E114)&lt;=1),$P114,""    ))</f>
        <v/>
      </c>
      <c r="U114" s="1019" t="str">
        <f ca="1">IF(AND($P114=$V$2,COUNTIFS($C$3:$C114,$C114,$E$3:$E114,$E114,$G$3:$G114,$G114)&lt;=1),$P114,"")</f>
        <v/>
      </c>
    </row>
    <row r="115" spans="1:21">
      <c r="A115" s="991" t="str">
        <f ca="1">IFERROR(IF(COUNTIF($A$3:A114,A114)&lt; INDEX(TinhGia!$BH$10:$BH$81,MATCH($A114,TinhGia!$B$10:$B$81,0)),$A114,INDEX(TinhGia!$B$10:$B$81,MATCH($A114,TinhGia!$B$10:$B$81,0)+1)),"")</f>
        <v/>
      </c>
      <c r="B115" s="525" t="str">
        <f ca="1">IF(OR(A115="",A115=0),"",IF(COUNTIF($A$2:A115,$A115)=1,ROW(MauKoXoa!$C$108),$B114+1))</f>
        <v/>
      </c>
      <c r="C115" s="992" t="str">
        <f t="shared" ca="1" si="14"/>
        <v/>
      </c>
      <c r="D115" s="993" t="str">
        <f t="shared" ca="1" si="15"/>
        <v/>
      </c>
      <c r="E115" s="993" t="str">
        <f t="shared" ca="1" si="16"/>
        <v/>
      </c>
      <c r="F115" s="992" t="str">
        <f t="shared" ca="1" si="13"/>
        <v/>
      </c>
      <c r="G115" s="994">
        <f t="shared" ca="1" si="17"/>
        <v>0</v>
      </c>
      <c r="H115" s="913">
        <f t="shared" ca="1" si="18"/>
        <v>0</v>
      </c>
      <c r="I115" s="913">
        <f t="shared" ca="1" si="19"/>
        <v>0</v>
      </c>
      <c r="J115" s="995">
        <f t="shared" ca="1" si="20"/>
        <v>0</v>
      </c>
      <c r="K115" s="913">
        <f t="shared" ca="1" si="21"/>
        <v>0</v>
      </c>
      <c r="L115" s="995">
        <f t="shared" ca="1" si="22"/>
        <v>0</v>
      </c>
      <c r="M115" s="913">
        <f t="shared" ca="1" si="23"/>
        <v>0</v>
      </c>
      <c r="N115" s="996">
        <f t="shared" ca="1" si="24"/>
        <v>0</v>
      </c>
      <c r="O115" s="997">
        <f t="shared" ca="1" si="25"/>
        <v>0</v>
      </c>
      <c r="P115" s="1015" t="str">
        <f ca="1">IF($C115="","",INDEX(NVLSX!$N$2:$N$6941,MATCH($C115,NVLSX!$E$2:$E$6941,0)))</f>
        <v/>
      </c>
      <c r="Q115" s="1016" t="str">
        <f ca="1">IF($R115="","",IF(XKNVLSX!$X$1="",IF($P115=$V$7,$P115, IF(COUNTIFS($C$2:$C114,$C115,$E$2:$E114,$E115)&gt;=1,"",$P115)),     IF(AND(IFERROR(SEARCH($R115,XKNVLSX!$X$1,1),0)&gt;=1,$P115=$V$7),$P115, IF(OR($R115&lt;&gt;IF(IFERROR(SEARCH($R115,XKNVLSX!$X$1,1),0)&gt;=1,$R115,XKNVLSX!$X$1),COUNTIFS($C$2:$C114,$C115,$E$2:$E114,$E115,$Q$2:$Q114,$P115)&gt;=1),"",$P115))))</f>
        <v/>
      </c>
      <c r="R115" s="1017" t="str">
        <f ca="1">IF($A115="","",IFERROR(INDEX(TinhGia!$BF$10:$BF$81,MATCH($A115,TinhGia!$B$10:$B$81,0)),""))</f>
        <v/>
      </c>
      <c r="S115" s="1012" t="str">
        <f ca="1">IF($A115="","",IF(OR(IFERROR(SEARCH($R115,XKNVLSX!$X$1,1),0)&gt;=1,XKNVLSX!$X$1=""),$S$2,""))</f>
        <v/>
      </c>
      <c r="T115" s="1018" t="str">
        <f ca="1">IF($C115="","", IF(OR($P115=$V$1,$P115=$V$7,COUNTIFS($C$3:$C115,$C115,$E$3:$E115,$E115)&lt;=1),$P115,""    ))</f>
        <v/>
      </c>
      <c r="U115" s="1019" t="str">
        <f ca="1">IF(AND($P115=$V$2,COUNTIFS($C$3:$C115,$C115,$E$3:$E115,$E115,$G$3:$G115,$G115)&lt;=1),$P115,"")</f>
        <v/>
      </c>
    </row>
    <row r="116" spans="1:21">
      <c r="A116" s="991" t="str">
        <f ca="1">IFERROR(IF(COUNTIF($A$3:A115,A115)&lt; INDEX(TinhGia!$BH$10:$BH$81,MATCH($A115,TinhGia!$B$10:$B$81,0)),$A115,INDEX(TinhGia!$B$10:$B$81,MATCH($A115,TinhGia!$B$10:$B$81,0)+1)),"")</f>
        <v/>
      </c>
      <c r="B116" s="525" t="str">
        <f ca="1">IF(OR(A116="",A116=0),"",IF(COUNTIF($A$2:A116,$A116)=1,ROW(MauKoXoa!$C$108),$B115+1))</f>
        <v/>
      </c>
      <c r="C116" s="992" t="str">
        <f t="shared" ca="1" si="14"/>
        <v/>
      </c>
      <c r="D116" s="993" t="str">
        <f t="shared" ca="1" si="15"/>
        <v/>
      </c>
      <c r="E116" s="993" t="str">
        <f t="shared" ca="1" si="16"/>
        <v/>
      </c>
      <c r="F116" s="992" t="str">
        <f t="shared" ca="1" si="13"/>
        <v/>
      </c>
      <c r="G116" s="994">
        <f t="shared" ca="1" si="17"/>
        <v>0</v>
      </c>
      <c r="H116" s="913">
        <f t="shared" ca="1" si="18"/>
        <v>0</v>
      </c>
      <c r="I116" s="913">
        <f t="shared" ca="1" si="19"/>
        <v>0</v>
      </c>
      <c r="J116" s="995">
        <f t="shared" ca="1" si="20"/>
        <v>0</v>
      </c>
      <c r="K116" s="913">
        <f t="shared" ca="1" si="21"/>
        <v>0</v>
      </c>
      <c r="L116" s="995">
        <f t="shared" ca="1" si="22"/>
        <v>0</v>
      </c>
      <c r="M116" s="913">
        <f t="shared" ca="1" si="23"/>
        <v>0</v>
      </c>
      <c r="N116" s="996">
        <f t="shared" ca="1" si="24"/>
        <v>0</v>
      </c>
      <c r="O116" s="997">
        <f t="shared" ca="1" si="25"/>
        <v>0</v>
      </c>
      <c r="P116" s="1015" t="str">
        <f ca="1">IF($C116="","",INDEX(NVLSX!$N$2:$N$6941,MATCH($C116,NVLSX!$E$2:$E$6941,0)))</f>
        <v/>
      </c>
      <c r="Q116" s="1016" t="str">
        <f ca="1">IF($R116="","",IF(XKNVLSX!$X$1="",IF($P116=$V$7,$P116, IF(COUNTIFS($C$2:$C115,$C116,$E$2:$E115,$E116)&gt;=1,"",$P116)),     IF(AND(IFERROR(SEARCH($R116,XKNVLSX!$X$1,1),0)&gt;=1,$P116=$V$7),$P116, IF(OR($R116&lt;&gt;IF(IFERROR(SEARCH($R116,XKNVLSX!$X$1,1),0)&gt;=1,$R116,XKNVLSX!$X$1),COUNTIFS($C$2:$C115,$C116,$E$2:$E115,$E116,$Q$2:$Q115,$P116)&gt;=1),"",$P116))))</f>
        <v/>
      </c>
      <c r="R116" s="1017" t="str">
        <f ca="1">IF($A116="","",IFERROR(INDEX(TinhGia!$BF$10:$BF$81,MATCH($A116,TinhGia!$B$10:$B$81,0)),""))</f>
        <v/>
      </c>
      <c r="S116" s="1012" t="str">
        <f ca="1">IF($A116="","",IF(OR(IFERROR(SEARCH($R116,XKNVLSX!$X$1,1),0)&gt;=1,XKNVLSX!$X$1=""),$S$2,""))</f>
        <v/>
      </c>
      <c r="T116" s="1018" t="str">
        <f ca="1">IF($C116="","", IF(OR($P116=$V$1,$P116=$V$7,COUNTIFS($C$3:$C116,$C116,$E$3:$E116,$E116)&lt;=1),$P116,""    ))</f>
        <v/>
      </c>
      <c r="U116" s="1019" t="str">
        <f ca="1">IF(AND($P116=$V$2,COUNTIFS($C$3:$C116,$C116,$E$3:$E116,$E116,$G$3:$G116,$G116)&lt;=1),$P116,"")</f>
        <v/>
      </c>
    </row>
    <row r="117" spans="1:21">
      <c r="A117" s="991" t="str">
        <f ca="1">IFERROR(IF(COUNTIF($A$3:A116,A116)&lt; INDEX(TinhGia!$BH$10:$BH$81,MATCH($A116,TinhGia!$B$10:$B$81,0)),$A116,INDEX(TinhGia!$B$10:$B$81,MATCH($A116,TinhGia!$B$10:$B$81,0)+1)),"")</f>
        <v/>
      </c>
      <c r="B117" s="525" t="str">
        <f ca="1">IF(OR(A117="",A117=0),"",IF(COUNTIF($A$2:A117,$A117)=1,ROW(MauKoXoa!$C$108),$B116+1))</f>
        <v/>
      </c>
      <c r="C117" s="992" t="str">
        <f t="shared" ca="1" si="14"/>
        <v/>
      </c>
      <c r="D117" s="993" t="str">
        <f t="shared" ca="1" si="15"/>
        <v/>
      </c>
      <c r="E117" s="993" t="str">
        <f t="shared" ca="1" si="16"/>
        <v/>
      </c>
      <c r="F117" s="992" t="str">
        <f t="shared" ca="1" si="13"/>
        <v/>
      </c>
      <c r="G117" s="994">
        <f t="shared" ca="1" si="17"/>
        <v>0</v>
      </c>
      <c r="H117" s="913">
        <f t="shared" ca="1" si="18"/>
        <v>0</v>
      </c>
      <c r="I117" s="913">
        <f t="shared" ca="1" si="19"/>
        <v>0</v>
      </c>
      <c r="J117" s="995">
        <f t="shared" ca="1" si="20"/>
        <v>0</v>
      </c>
      <c r="K117" s="913">
        <f t="shared" ca="1" si="21"/>
        <v>0</v>
      </c>
      <c r="L117" s="995">
        <f t="shared" ca="1" si="22"/>
        <v>0</v>
      </c>
      <c r="M117" s="913">
        <f t="shared" ca="1" si="23"/>
        <v>0</v>
      </c>
      <c r="N117" s="996">
        <f t="shared" ca="1" si="24"/>
        <v>0</v>
      </c>
      <c r="O117" s="997">
        <f t="shared" ca="1" si="25"/>
        <v>0</v>
      </c>
      <c r="P117" s="1015" t="str">
        <f ca="1">IF($C117="","",INDEX(NVLSX!$N$2:$N$6941,MATCH($C117,NVLSX!$E$2:$E$6941,0)))</f>
        <v/>
      </c>
      <c r="Q117" s="1016" t="str">
        <f ca="1">IF($R117="","",IF(XKNVLSX!$X$1="",IF($P117=$V$7,$P117, IF(COUNTIFS($C$2:$C116,$C117,$E$2:$E116,$E117)&gt;=1,"",$P117)),     IF(AND(IFERROR(SEARCH($R117,XKNVLSX!$X$1,1),0)&gt;=1,$P117=$V$7),$P117, IF(OR($R117&lt;&gt;IF(IFERROR(SEARCH($R117,XKNVLSX!$X$1,1),0)&gt;=1,$R117,XKNVLSX!$X$1),COUNTIFS($C$2:$C116,$C117,$E$2:$E116,$E117,$Q$2:$Q116,$P117)&gt;=1),"",$P117))))</f>
        <v/>
      </c>
      <c r="R117" s="1017" t="str">
        <f ca="1">IF($A117="","",IFERROR(INDEX(TinhGia!$BF$10:$BF$81,MATCH($A117,TinhGia!$B$10:$B$81,0)),""))</f>
        <v/>
      </c>
      <c r="S117" s="1012" t="str">
        <f ca="1">IF($A117="","",IF(OR(IFERROR(SEARCH($R117,XKNVLSX!$X$1,1),0)&gt;=1,XKNVLSX!$X$1=""),$S$2,""))</f>
        <v/>
      </c>
      <c r="T117" s="1018" t="str">
        <f ca="1">IF($C117="","", IF(OR($P117=$V$1,$P117=$V$7,COUNTIFS($C$3:$C117,$C117,$E$3:$E117,$E117)&lt;=1),$P117,""    ))</f>
        <v/>
      </c>
      <c r="U117" s="1019" t="str">
        <f ca="1">IF(AND($P117=$V$2,COUNTIFS($C$3:$C117,$C117,$E$3:$E117,$E117,$G$3:$G117,$G117)&lt;=1),$P117,"")</f>
        <v/>
      </c>
    </row>
    <row r="118" spans="1:21">
      <c r="A118" s="991" t="str">
        <f ca="1">IFERROR(IF(COUNTIF($A$3:A117,A117)&lt; INDEX(TinhGia!$BH$10:$BH$81,MATCH($A117,TinhGia!$B$10:$B$81,0)),$A117,INDEX(TinhGia!$B$10:$B$81,MATCH($A117,TinhGia!$B$10:$B$81,0)+1)),"")</f>
        <v/>
      </c>
      <c r="B118" s="525" t="str">
        <f ca="1">IF(OR(A118="",A118=0),"",IF(COUNTIF($A$2:A118,$A118)=1,ROW(MauKoXoa!$C$108),$B117+1))</f>
        <v/>
      </c>
      <c r="C118" s="992" t="str">
        <f t="shared" ca="1" si="14"/>
        <v/>
      </c>
      <c r="D118" s="993" t="str">
        <f t="shared" ca="1" si="15"/>
        <v/>
      </c>
      <c r="E118" s="993" t="str">
        <f t="shared" ca="1" si="16"/>
        <v/>
      </c>
      <c r="F118" s="992" t="str">
        <f t="shared" ca="1" si="13"/>
        <v/>
      </c>
      <c r="G118" s="994">
        <f t="shared" ca="1" si="17"/>
        <v>0</v>
      </c>
      <c r="H118" s="913">
        <f t="shared" ca="1" si="18"/>
        <v>0</v>
      </c>
      <c r="I118" s="913">
        <f t="shared" ca="1" si="19"/>
        <v>0</v>
      </c>
      <c r="J118" s="995">
        <f t="shared" ca="1" si="20"/>
        <v>0</v>
      </c>
      <c r="K118" s="913">
        <f t="shared" ca="1" si="21"/>
        <v>0</v>
      </c>
      <c r="L118" s="995">
        <f t="shared" ca="1" si="22"/>
        <v>0</v>
      </c>
      <c r="M118" s="913">
        <f t="shared" ca="1" si="23"/>
        <v>0</v>
      </c>
      <c r="N118" s="996">
        <f t="shared" ca="1" si="24"/>
        <v>0</v>
      </c>
      <c r="O118" s="997">
        <f t="shared" ca="1" si="25"/>
        <v>0</v>
      </c>
      <c r="P118" s="1015" t="str">
        <f ca="1">IF($C118="","",INDEX(NVLSX!$N$2:$N$6941,MATCH($C118,NVLSX!$E$2:$E$6941,0)))</f>
        <v/>
      </c>
      <c r="Q118" s="1016" t="str">
        <f ca="1">IF($R118="","",IF(XKNVLSX!$X$1="",IF($P118=$V$7,$P118, IF(COUNTIFS($C$2:$C117,$C118,$E$2:$E117,$E118)&gt;=1,"",$P118)),     IF(AND(IFERROR(SEARCH($R118,XKNVLSX!$X$1,1),0)&gt;=1,$P118=$V$7),$P118, IF(OR($R118&lt;&gt;IF(IFERROR(SEARCH($R118,XKNVLSX!$X$1,1),0)&gt;=1,$R118,XKNVLSX!$X$1),COUNTIFS($C$2:$C117,$C118,$E$2:$E117,$E118,$Q$2:$Q117,$P118)&gt;=1),"",$P118))))</f>
        <v/>
      </c>
      <c r="R118" s="1017" t="str">
        <f ca="1">IF($A118="","",IFERROR(INDEX(TinhGia!$BF$10:$BF$81,MATCH($A118,TinhGia!$B$10:$B$81,0)),""))</f>
        <v/>
      </c>
      <c r="S118" s="1012" t="str">
        <f ca="1">IF($A118="","",IF(OR(IFERROR(SEARCH($R118,XKNVLSX!$X$1,1),0)&gt;=1,XKNVLSX!$X$1=""),$S$2,""))</f>
        <v/>
      </c>
      <c r="T118" s="1018" t="str">
        <f ca="1">IF($C118="","", IF(OR($P118=$V$1,$P118=$V$7,COUNTIFS($C$3:$C118,$C118,$E$3:$E118,$E118)&lt;=1),$P118,""    ))</f>
        <v/>
      </c>
      <c r="U118" s="1019" t="str">
        <f ca="1">IF(AND($P118=$V$2,COUNTIFS($C$3:$C118,$C118,$E$3:$E118,$E118,$G$3:$G118,$G118)&lt;=1),$P118,"")</f>
        <v/>
      </c>
    </row>
    <row r="119" spans="1:21">
      <c r="A119" s="991" t="str">
        <f ca="1">IFERROR(IF(COUNTIF($A$3:A118,A118)&lt; INDEX(TinhGia!$BH$10:$BH$81,MATCH($A118,TinhGia!$B$10:$B$81,0)),$A118,INDEX(TinhGia!$B$10:$B$81,MATCH($A118,TinhGia!$B$10:$B$81,0)+1)),"")</f>
        <v/>
      </c>
      <c r="B119" s="525" t="str">
        <f ca="1">IF(OR(A119="",A119=0),"",IF(COUNTIF($A$2:A119,$A119)=1,ROW(MauKoXoa!$C$108),$B118+1))</f>
        <v/>
      </c>
      <c r="C119" s="992" t="str">
        <f t="shared" ca="1" si="14"/>
        <v/>
      </c>
      <c r="D119" s="993" t="str">
        <f t="shared" ca="1" si="15"/>
        <v/>
      </c>
      <c r="E119" s="993" t="str">
        <f t="shared" ca="1" si="16"/>
        <v/>
      </c>
      <c r="F119" s="992" t="str">
        <f t="shared" ca="1" si="13"/>
        <v/>
      </c>
      <c r="G119" s="994">
        <f t="shared" ca="1" si="17"/>
        <v>0</v>
      </c>
      <c r="H119" s="913">
        <f t="shared" ca="1" si="18"/>
        <v>0</v>
      </c>
      <c r="I119" s="913">
        <f t="shared" ca="1" si="19"/>
        <v>0</v>
      </c>
      <c r="J119" s="995">
        <f t="shared" ca="1" si="20"/>
        <v>0</v>
      </c>
      <c r="K119" s="913">
        <f t="shared" ca="1" si="21"/>
        <v>0</v>
      </c>
      <c r="L119" s="995">
        <f t="shared" ca="1" si="22"/>
        <v>0</v>
      </c>
      <c r="M119" s="913">
        <f t="shared" ca="1" si="23"/>
        <v>0</v>
      </c>
      <c r="N119" s="996">
        <f t="shared" ca="1" si="24"/>
        <v>0</v>
      </c>
      <c r="O119" s="997">
        <f t="shared" ca="1" si="25"/>
        <v>0</v>
      </c>
      <c r="P119" s="1015" t="str">
        <f ca="1">IF($C119="","",INDEX(NVLSX!$N$2:$N$6941,MATCH($C119,NVLSX!$E$2:$E$6941,0)))</f>
        <v/>
      </c>
      <c r="Q119" s="1016" t="str">
        <f ca="1">IF($R119="","",IF(XKNVLSX!$X$1="",IF($P119=$V$7,$P119, IF(COUNTIFS($C$2:$C118,$C119,$E$2:$E118,$E119)&gt;=1,"",$P119)),     IF(AND(IFERROR(SEARCH($R119,XKNVLSX!$X$1,1),0)&gt;=1,$P119=$V$7),$P119, IF(OR($R119&lt;&gt;IF(IFERROR(SEARCH($R119,XKNVLSX!$X$1,1),0)&gt;=1,$R119,XKNVLSX!$X$1),COUNTIFS($C$2:$C118,$C119,$E$2:$E118,$E119,$Q$2:$Q118,$P119)&gt;=1),"",$P119))))</f>
        <v/>
      </c>
      <c r="R119" s="1017" t="str">
        <f ca="1">IF($A119="","",IFERROR(INDEX(TinhGia!$BF$10:$BF$81,MATCH($A119,TinhGia!$B$10:$B$81,0)),""))</f>
        <v/>
      </c>
      <c r="S119" s="1012" t="str">
        <f ca="1">IF($A119="","",IF(OR(IFERROR(SEARCH($R119,XKNVLSX!$X$1,1),0)&gt;=1,XKNVLSX!$X$1=""),$S$2,""))</f>
        <v/>
      </c>
      <c r="T119" s="1018" t="str">
        <f ca="1">IF($C119="","", IF(OR($P119=$V$1,$P119=$V$7,COUNTIFS($C$3:$C119,$C119,$E$3:$E119,$E119)&lt;=1),$P119,""    ))</f>
        <v/>
      </c>
      <c r="U119" s="1019" t="str">
        <f ca="1">IF(AND($P119=$V$2,COUNTIFS($C$3:$C119,$C119,$E$3:$E119,$E119,$G$3:$G119,$G119)&lt;=1),$P119,"")</f>
        <v/>
      </c>
    </row>
    <row r="120" spans="1:21">
      <c r="A120" s="991" t="str">
        <f ca="1">IFERROR(IF(COUNTIF($A$3:A119,A119)&lt; INDEX(TinhGia!$BH$10:$BH$81,MATCH($A119,TinhGia!$B$10:$B$81,0)),$A119,INDEX(TinhGia!$B$10:$B$81,MATCH($A119,TinhGia!$B$10:$B$81,0)+1)),"")</f>
        <v/>
      </c>
      <c r="B120" s="525" t="str">
        <f ca="1">IF(OR(A120="",A120=0),"",IF(COUNTIF($A$2:A120,$A120)=1,ROW(MauKoXoa!$C$108),$B119+1))</f>
        <v/>
      </c>
      <c r="C120" s="992" t="str">
        <f t="shared" ca="1" si="14"/>
        <v/>
      </c>
      <c r="D120" s="993" t="str">
        <f t="shared" ca="1" si="15"/>
        <v/>
      </c>
      <c r="E120" s="993" t="str">
        <f t="shared" ca="1" si="16"/>
        <v/>
      </c>
      <c r="F120" s="992" t="str">
        <f t="shared" ca="1" si="13"/>
        <v/>
      </c>
      <c r="G120" s="994">
        <f t="shared" ca="1" si="17"/>
        <v>0</v>
      </c>
      <c r="H120" s="913">
        <f t="shared" ca="1" si="18"/>
        <v>0</v>
      </c>
      <c r="I120" s="913">
        <f t="shared" ca="1" si="19"/>
        <v>0</v>
      </c>
      <c r="J120" s="995">
        <f t="shared" ca="1" si="20"/>
        <v>0</v>
      </c>
      <c r="K120" s="913">
        <f t="shared" ca="1" si="21"/>
        <v>0</v>
      </c>
      <c r="L120" s="995">
        <f t="shared" ca="1" si="22"/>
        <v>0</v>
      </c>
      <c r="M120" s="913">
        <f t="shared" ca="1" si="23"/>
        <v>0</v>
      </c>
      <c r="N120" s="996">
        <f t="shared" ca="1" si="24"/>
        <v>0</v>
      </c>
      <c r="O120" s="997">
        <f t="shared" ca="1" si="25"/>
        <v>0</v>
      </c>
      <c r="P120" s="1015" t="str">
        <f ca="1">IF($C120="","",INDEX(NVLSX!$N$2:$N$6941,MATCH($C120,NVLSX!$E$2:$E$6941,0)))</f>
        <v/>
      </c>
      <c r="Q120" s="1016" t="str">
        <f ca="1">IF($R120="","",IF(XKNVLSX!$X$1="",IF($P120=$V$7,$P120, IF(COUNTIFS($C$2:$C119,$C120,$E$2:$E119,$E120)&gt;=1,"",$P120)),     IF(AND(IFERROR(SEARCH($R120,XKNVLSX!$X$1,1),0)&gt;=1,$P120=$V$7),$P120, IF(OR($R120&lt;&gt;IF(IFERROR(SEARCH($R120,XKNVLSX!$X$1,1),0)&gt;=1,$R120,XKNVLSX!$X$1),COUNTIFS($C$2:$C119,$C120,$E$2:$E119,$E120,$Q$2:$Q119,$P120)&gt;=1),"",$P120))))</f>
        <v/>
      </c>
      <c r="R120" s="1017" t="str">
        <f ca="1">IF($A120="","",IFERROR(INDEX(TinhGia!$BF$10:$BF$81,MATCH($A120,TinhGia!$B$10:$B$81,0)),""))</f>
        <v/>
      </c>
      <c r="S120" s="1012" t="str">
        <f ca="1">IF($A120="","",IF(OR(IFERROR(SEARCH($R120,XKNVLSX!$X$1,1),0)&gt;=1,XKNVLSX!$X$1=""),$S$2,""))</f>
        <v/>
      </c>
      <c r="T120" s="1018" t="str">
        <f ca="1">IF($C120="","", IF(OR($P120=$V$1,$P120=$V$7,COUNTIFS($C$3:$C120,$C120,$E$3:$E120,$E120)&lt;=1),$P120,""    ))</f>
        <v/>
      </c>
      <c r="U120" s="1019" t="str">
        <f ca="1">IF(AND($P120=$V$2,COUNTIFS($C$3:$C120,$C120,$E$3:$E120,$E120,$G$3:$G120,$G120)&lt;=1),$P120,"")</f>
        <v/>
      </c>
    </row>
    <row r="121" spans="1:21">
      <c r="A121" s="991" t="str">
        <f ca="1">IFERROR(IF(COUNTIF($A$3:A120,A120)&lt; INDEX(TinhGia!$BH$10:$BH$81,MATCH($A120,TinhGia!$B$10:$B$81,0)),$A120,INDEX(TinhGia!$B$10:$B$81,MATCH($A120,TinhGia!$B$10:$B$81,0)+1)),"")</f>
        <v/>
      </c>
      <c r="B121" s="525" t="str">
        <f ca="1">IF(OR(A121="",A121=0),"",IF(COUNTIF($A$2:A121,$A121)=1,ROW(MauKoXoa!$C$108),$B120+1))</f>
        <v/>
      </c>
      <c r="C121" s="992" t="str">
        <f t="shared" ca="1" si="14"/>
        <v/>
      </c>
      <c r="D121" s="993" t="str">
        <f t="shared" ca="1" si="15"/>
        <v/>
      </c>
      <c r="E121" s="993" t="str">
        <f t="shared" ca="1" si="16"/>
        <v/>
      </c>
      <c r="F121" s="992" t="str">
        <f t="shared" ca="1" si="13"/>
        <v/>
      </c>
      <c r="G121" s="994">
        <f t="shared" ca="1" si="17"/>
        <v>0</v>
      </c>
      <c r="H121" s="913">
        <f t="shared" ca="1" si="18"/>
        <v>0</v>
      </c>
      <c r="I121" s="913">
        <f t="shared" ca="1" si="19"/>
        <v>0</v>
      </c>
      <c r="J121" s="995">
        <f t="shared" ca="1" si="20"/>
        <v>0</v>
      </c>
      <c r="K121" s="913">
        <f t="shared" ca="1" si="21"/>
        <v>0</v>
      </c>
      <c r="L121" s="995">
        <f t="shared" ca="1" si="22"/>
        <v>0</v>
      </c>
      <c r="M121" s="913">
        <f t="shared" ca="1" si="23"/>
        <v>0</v>
      </c>
      <c r="N121" s="996">
        <f t="shared" ca="1" si="24"/>
        <v>0</v>
      </c>
      <c r="O121" s="997">
        <f t="shared" ca="1" si="25"/>
        <v>0</v>
      </c>
      <c r="P121" s="1015" t="str">
        <f ca="1">IF($C121="","",INDEX(NVLSX!$N$2:$N$6941,MATCH($C121,NVLSX!$E$2:$E$6941,0)))</f>
        <v/>
      </c>
      <c r="Q121" s="1016" t="str">
        <f ca="1">IF($R121="","",IF(XKNVLSX!$X$1="",IF($P121=$V$7,$P121, IF(COUNTIFS($C$2:$C120,$C121,$E$2:$E120,$E121)&gt;=1,"",$P121)),     IF(AND(IFERROR(SEARCH($R121,XKNVLSX!$X$1,1),0)&gt;=1,$P121=$V$7),$P121, IF(OR($R121&lt;&gt;IF(IFERROR(SEARCH($R121,XKNVLSX!$X$1,1),0)&gt;=1,$R121,XKNVLSX!$X$1),COUNTIFS($C$2:$C120,$C121,$E$2:$E120,$E121,$Q$2:$Q120,$P121)&gt;=1),"",$P121))))</f>
        <v/>
      </c>
      <c r="R121" s="1017" t="str">
        <f ca="1">IF($A121="","",IFERROR(INDEX(TinhGia!$BF$10:$BF$81,MATCH($A121,TinhGia!$B$10:$B$81,0)),""))</f>
        <v/>
      </c>
      <c r="S121" s="1012" t="str">
        <f ca="1">IF($A121="","",IF(OR(IFERROR(SEARCH($R121,XKNVLSX!$X$1,1),0)&gt;=1,XKNVLSX!$X$1=""),$S$2,""))</f>
        <v/>
      </c>
      <c r="T121" s="1018" t="str">
        <f ca="1">IF($C121="","", IF(OR($P121=$V$1,$P121=$V$7,COUNTIFS($C$3:$C121,$C121,$E$3:$E121,$E121)&lt;=1),$P121,""    ))</f>
        <v/>
      </c>
      <c r="U121" s="1019" t="str">
        <f ca="1">IF(AND($P121=$V$2,COUNTIFS($C$3:$C121,$C121,$E$3:$E121,$E121,$G$3:$G121,$G121)&lt;=1),$P121,"")</f>
        <v/>
      </c>
    </row>
    <row r="122" spans="1:21">
      <c r="A122" s="991" t="str">
        <f ca="1">IFERROR(IF(COUNTIF($A$3:A121,A121)&lt; INDEX(TinhGia!$BH$10:$BH$81,MATCH($A121,TinhGia!$B$10:$B$81,0)),$A121,INDEX(TinhGia!$B$10:$B$81,MATCH($A121,TinhGia!$B$10:$B$81,0)+1)),"")</f>
        <v/>
      </c>
      <c r="B122" s="525" t="str">
        <f ca="1">IF(OR(A122="",A122=0),"",IF(COUNTIF($A$2:A122,$A122)=1,ROW(MauKoXoa!$C$108),$B121+1))</f>
        <v/>
      </c>
      <c r="C122" s="992" t="str">
        <f t="shared" ca="1" si="14"/>
        <v/>
      </c>
      <c r="D122" s="993" t="str">
        <f t="shared" ca="1" si="15"/>
        <v/>
      </c>
      <c r="E122" s="993" t="str">
        <f t="shared" ca="1" si="16"/>
        <v/>
      </c>
      <c r="F122" s="992" t="str">
        <f t="shared" ca="1" si="13"/>
        <v/>
      </c>
      <c r="G122" s="994">
        <f t="shared" ca="1" si="17"/>
        <v>0</v>
      </c>
      <c r="H122" s="913">
        <f t="shared" ca="1" si="18"/>
        <v>0</v>
      </c>
      <c r="I122" s="913">
        <f t="shared" ca="1" si="19"/>
        <v>0</v>
      </c>
      <c r="J122" s="995">
        <f t="shared" ca="1" si="20"/>
        <v>0</v>
      </c>
      <c r="K122" s="913">
        <f t="shared" ca="1" si="21"/>
        <v>0</v>
      </c>
      <c r="L122" s="995">
        <f t="shared" ca="1" si="22"/>
        <v>0</v>
      </c>
      <c r="M122" s="913">
        <f t="shared" ca="1" si="23"/>
        <v>0</v>
      </c>
      <c r="N122" s="996">
        <f t="shared" ca="1" si="24"/>
        <v>0</v>
      </c>
      <c r="O122" s="997">
        <f t="shared" ca="1" si="25"/>
        <v>0</v>
      </c>
      <c r="P122" s="1015" t="str">
        <f ca="1">IF($C122="","",INDEX(NVLSX!$N$2:$N$6941,MATCH($C122,NVLSX!$E$2:$E$6941,0)))</f>
        <v/>
      </c>
      <c r="Q122" s="1016" t="str">
        <f ca="1">IF($R122="","",IF(XKNVLSX!$X$1="",IF($P122=$V$7,$P122, IF(COUNTIFS($C$2:$C121,$C122,$E$2:$E121,$E122)&gt;=1,"",$P122)),     IF(AND(IFERROR(SEARCH($R122,XKNVLSX!$X$1,1),0)&gt;=1,$P122=$V$7),$P122, IF(OR($R122&lt;&gt;IF(IFERROR(SEARCH($R122,XKNVLSX!$X$1,1),0)&gt;=1,$R122,XKNVLSX!$X$1),COUNTIFS($C$2:$C121,$C122,$E$2:$E121,$E122,$Q$2:$Q121,$P122)&gt;=1),"",$P122))))</f>
        <v/>
      </c>
      <c r="R122" s="1017" t="str">
        <f ca="1">IF($A122="","",IFERROR(INDEX(TinhGia!$BF$10:$BF$81,MATCH($A122,TinhGia!$B$10:$B$81,0)),""))</f>
        <v/>
      </c>
      <c r="S122" s="1012" t="str">
        <f ca="1">IF($A122="","",IF(OR(IFERROR(SEARCH($R122,XKNVLSX!$X$1,1),0)&gt;=1,XKNVLSX!$X$1=""),$S$2,""))</f>
        <v/>
      </c>
      <c r="T122" s="1018" t="str">
        <f ca="1">IF($C122="","", IF(OR($P122=$V$1,$P122=$V$7,COUNTIFS($C$3:$C122,$C122,$E$3:$E122,$E122)&lt;=1),$P122,""    ))</f>
        <v/>
      </c>
      <c r="U122" s="1019" t="str">
        <f ca="1">IF(AND($P122=$V$2,COUNTIFS($C$3:$C122,$C122,$E$3:$E122,$E122,$G$3:$G122,$G122)&lt;=1),$P122,"")</f>
        <v/>
      </c>
    </row>
    <row r="123" spans="1:21">
      <c r="A123" s="991" t="str">
        <f ca="1">IFERROR(IF(COUNTIF($A$3:A122,A122)&lt; INDEX(TinhGia!$BH$10:$BH$81,MATCH($A122,TinhGia!$B$10:$B$81,0)),$A122,INDEX(TinhGia!$B$10:$B$81,MATCH($A122,TinhGia!$B$10:$B$81,0)+1)),"")</f>
        <v/>
      </c>
      <c r="B123" s="525" t="str">
        <f ca="1">IF(OR(A123="",A123=0),"",IF(COUNTIF($A$2:A123,$A123)=1,ROW(MauKoXoa!$C$108),$B122+1))</f>
        <v/>
      </c>
      <c r="C123" s="992" t="str">
        <f t="shared" ca="1" si="14"/>
        <v/>
      </c>
      <c r="D123" s="993" t="str">
        <f t="shared" ca="1" si="15"/>
        <v/>
      </c>
      <c r="E123" s="993" t="str">
        <f t="shared" ca="1" si="16"/>
        <v/>
      </c>
      <c r="F123" s="992" t="str">
        <f t="shared" ca="1" si="13"/>
        <v/>
      </c>
      <c r="G123" s="994">
        <f t="shared" ca="1" si="17"/>
        <v>0</v>
      </c>
      <c r="H123" s="913">
        <f t="shared" ca="1" si="18"/>
        <v>0</v>
      </c>
      <c r="I123" s="913">
        <f t="shared" ca="1" si="19"/>
        <v>0</v>
      </c>
      <c r="J123" s="995">
        <f t="shared" ca="1" si="20"/>
        <v>0</v>
      </c>
      <c r="K123" s="913">
        <f t="shared" ca="1" si="21"/>
        <v>0</v>
      </c>
      <c r="L123" s="995">
        <f t="shared" ca="1" si="22"/>
        <v>0</v>
      </c>
      <c r="M123" s="913">
        <f t="shared" ca="1" si="23"/>
        <v>0</v>
      </c>
      <c r="N123" s="996">
        <f t="shared" ca="1" si="24"/>
        <v>0</v>
      </c>
      <c r="O123" s="997">
        <f t="shared" ca="1" si="25"/>
        <v>0</v>
      </c>
      <c r="P123" s="1015" t="str">
        <f ca="1">IF($C123="","",INDEX(NVLSX!$N$2:$N$6941,MATCH($C123,NVLSX!$E$2:$E$6941,0)))</f>
        <v/>
      </c>
      <c r="Q123" s="1016" t="str">
        <f ca="1">IF($R123="","",IF(XKNVLSX!$X$1="",IF($P123=$V$7,$P123, IF(COUNTIFS($C$2:$C122,$C123,$E$2:$E122,$E123)&gt;=1,"",$P123)),     IF(AND(IFERROR(SEARCH($R123,XKNVLSX!$X$1,1),0)&gt;=1,$P123=$V$7),$P123, IF(OR($R123&lt;&gt;IF(IFERROR(SEARCH($R123,XKNVLSX!$X$1,1),0)&gt;=1,$R123,XKNVLSX!$X$1),COUNTIFS($C$2:$C122,$C123,$E$2:$E122,$E123,$Q$2:$Q122,$P123)&gt;=1),"",$P123))))</f>
        <v/>
      </c>
      <c r="R123" s="1017" t="str">
        <f ca="1">IF($A123="","",IFERROR(INDEX(TinhGia!$BF$10:$BF$81,MATCH($A123,TinhGia!$B$10:$B$81,0)),""))</f>
        <v/>
      </c>
      <c r="S123" s="1012" t="str">
        <f ca="1">IF($A123="","",IF(OR(IFERROR(SEARCH($R123,XKNVLSX!$X$1,1),0)&gt;=1,XKNVLSX!$X$1=""),$S$2,""))</f>
        <v/>
      </c>
      <c r="T123" s="1018" t="str">
        <f ca="1">IF($C123="","", IF(OR($P123=$V$1,$P123=$V$7,COUNTIFS($C$3:$C123,$C123,$E$3:$E123,$E123)&lt;=1),$P123,""    ))</f>
        <v/>
      </c>
      <c r="U123" s="1019" t="str">
        <f ca="1">IF(AND($P123=$V$2,COUNTIFS($C$3:$C123,$C123,$E$3:$E123,$E123,$G$3:$G123,$G123)&lt;=1),$P123,"")</f>
        <v/>
      </c>
    </row>
    <row r="124" spans="1:21">
      <c r="A124" s="991" t="str">
        <f ca="1">IFERROR(IF(COUNTIF($A$3:A123,A123)&lt; INDEX(TinhGia!$BH$10:$BH$81,MATCH($A123,TinhGia!$B$10:$B$81,0)),$A123,INDEX(TinhGia!$B$10:$B$81,MATCH($A123,TinhGia!$B$10:$B$81,0)+1)),"")</f>
        <v/>
      </c>
      <c r="B124" s="525" t="str">
        <f ca="1">IF(OR(A124="",A124=0),"",IF(COUNTIF($A$2:A124,$A124)=1,ROW(MauKoXoa!$C$108),$B123+1))</f>
        <v/>
      </c>
      <c r="C124" s="992" t="str">
        <f t="shared" ca="1" si="14"/>
        <v/>
      </c>
      <c r="D124" s="993" t="str">
        <f t="shared" ca="1" si="15"/>
        <v/>
      </c>
      <c r="E124" s="993" t="str">
        <f t="shared" ca="1" si="16"/>
        <v/>
      </c>
      <c r="F124" s="992" t="str">
        <f t="shared" ca="1" si="13"/>
        <v/>
      </c>
      <c r="G124" s="994">
        <f t="shared" ca="1" si="17"/>
        <v>0</v>
      </c>
      <c r="H124" s="913">
        <f t="shared" ca="1" si="18"/>
        <v>0</v>
      </c>
      <c r="I124" s="913">
        <f t="shared" ca="1" si="19"/>
        <v>0</v>
      </c>
      <c r="J124" s="995">
        <f t="shared" ca="1" si="20"/>
        <v>0</v>
      </c>
      <c r="K124" s="913">
        <f t="shared" ca="1" si="21"/>
        <v>0</v>
      </c>
      <c r="L124" s="995">
        <f t="shared" ca="1" si="22"/>
        <v>0</v>
      </c>
      <c r="M124" s="913">
        <f t="shared" ca="1" si="23"/>
        <v>0</v>
      </c>
      <c r="N124" s="996">
        <f t="shared" ca="1" si="24"/>
        <v>0</v>
      </c>
      <c r="O124" s="997">
        <f t="shared" ca="1" si="25"/>
        <v>0</v>
      </c>
      <c r="P124" s="1015" t="str">
        <f ca="1">IF($C124="","",INDEX(NVLSX!$N$2:$N$6941,MATCH($C124,NVLSX!$E$2:$E$6941,0)))</f>
        <v/>
      </c>
      <c r="Q124" s="1016" t="str">
        <f ca="1">IF($R124="","",IF(XKNVLSX!$X$1="",IF($P124=$V$7,$P124, IF(COUNTIFS($C$2:$C123,$C124,$E$2:$E123,$E124)&gt;=1,"",$P124)),     IF(AND(IFERROR(SEARCH($R124,XKNVLSX!$X$1,1),0)&gt;=1,$P124=$V$7),$P124, IF(OR($R124&lt;&gt;IF(IFERROR(SEARCH($R124,XKNVLSX!$X$1,1),0)&gt;=1,$R124,XKNVLSX!$X$1),COUNTIFS($C$2:$C123,$C124,$E$2:$E123,$E124,$Q$2:$Q123,$P124)&gt;=1),"",$P124))))</f>
        <v/>
      </c>
      <c r="R124" s="1017" t="str">
        <f ca="1">IF($A124="","",IFERROR(INDEX(TinhGia!$BF$10:$BF$81,MATCH($A124,TinhGia!$B$10:$B$81,0)),""))</f>
        <v/>
      </c>
      <c r="S124" s="1012" t="str">
        <f ca="1">IF($A124="","",IF(OR(IFERROR(SEARCH($R124,XKNVLSX!$X$1,1),0)&gt;=1,XKNVLSX!$X$1=""),$S$2,""))</f>
        <v/>
      </c>
      <c r="T124" s="1018" t="str">
        <f ca="1">IF($C124="","", IF(OR($P124=$V$1,$P124=$V$7,COUNTIFS($C$3:$C124,$C124,$E$3:$E124,$E124)&lt;=1),$P124,""    ))</f>
        <v/>
      </c>
      <c r="U124" s="1019" t="str">
        <f ca="1">IF(AND($P124=$V$2,COUNTIFS($C$3:$C124,$C124,$E$3:$E124,$E124,$G$3:$G124,$G124)&lt;=1),$P124,"")</f>
        <v/>
      </c>
    </row>
    <row r="125" spans="1:21">
      <c r="A125" s="991" t="str">
        <f ca="1">IFERROR(IF(COUNTIF($A$3:A124,A124)&lt; INDEX(TinhGia!$BH$10:$BH$81,MATCH($A124,TinhGia!$B$10:$B$81,0)),$A124,INDEX(TinhGia!$B$10:$B$81,MATCH($A124,TinhGia!$B$10:$B$81,0)+1)),"")</f>
        <v/>
      </c>
      <c r="B125" s="525" t="str">
        <f ca="1">IF(OR(A125="",A125=0),"",IF(COUNTIF($A$2:A125,$A125)=1,ROW(MauKoXoa!$C$108),$B124+1))</f>
        <v/>
      </c>
      <c r="C125" s="992" t="str">
        <f t="shared" ca="1" si="14"/>
        <v/>
      </c>
      <c r="D125" s="993" t="str">
        <f t="shared" ca="1" si="15"/>
        <v/>
      </c>
      <c r="E125" s="993" t="str">
        <f t="shared" ca="1" si="16"/>
        <v/>
      </c>
      <c r="F125" s="992" t="str">
        <f t="shared" ca="1" si="13"/>
        <v/>
      </c>
      <c r="G125" s="994">
        <f t="shared" ca="1" si="17"/>
        <v>0</v>
      </c>
      <c r="H125" s="913">
        <f t="shared" ca="1" si="18"/>
        <v>0</v>
      </c>
      <c r="I125" s="913">
        <f t="shared" ca="1" si="19"/>
        <v>0</v>
      </c>
      <c r="J125" s="995">
        <f t="shared" ca="1" si="20"/>
        <v>0</v>
      </c>
      <c r="K125" s="913">
        <f t="shared" ca="1" si="21"/>
        <v>0</v>
      </c>
      <c r="L125" s="995">
        <f t="shared" ca="1" si="22"/>
        <v>0</v>
      </c>
      <c r="M125" s="913">
        <f t="shared" ca="1" si="23"/>
        <v>0</v>
      </c>
      <c r="N125" s="996">
        <f t="shared" ca="1" si="24"/>
        <v>0</v>
      </c>
      <c r="O125" s="997">
        <f t="shared" ca="1" si="25"/>
        <v>0</v>
      </c>
      <c r="P125" s="1015" t="str">
        <f ca="1">IF($C125="","",INDEX(NVLSX!$N$2:$N$6941,MATCH($C125,NVLSX!$E$2:$E$6941,0)))</f>
        <v/>
      </c>
      <c r="Q125" s="1016" t="str">
        <f ca="1">IF($R125="","",IF(XKNVLSX!$X$1="",IF($P125=$V$7,$P125, IF(COUNTIFS($C$2:$C124,$C125,$E$2:$E124,$E125)&gt;=1,"",$P125)),     IF(AND(IFERROR(SEARCH($R125,XKNVLSX!$X$1,1),0)&gt;=1,$P125=$V$7),$P125, IF(OR($R125&lt;&gt;IF(IFERROR(SEARCH($R125,XKNVLSX!$X$1,1),0)&gt;=1,$R125,XKNVLSX!$X$1),COUNTIFS($C$2:$C124,$C125,$E$2:$E124,$E125,$Q$2:$Q124,$P125)&gt;=1),"",$P125))))</f>
        <v/>
      </c>
      <c r="R125" s="1017" t="str">
        <f ca="1">IF($A125="","",IFERROR(INDEX(TinhGia!$BF$10:$BF$81,MATCH($A125,TinhGia!$B$10:$B$81,0)),""))</f>
        <v/>
      </c>
      <c r="S125" s="1012" t="str">
        <f ca="1">IF($A125="","",IF(OR(IFERROR(SEARCH($R125,XKNVLSX!$X$1,1),0)&gt;=1,XKNVLSX!$X$1=""),$S$2,""))</f>
        <v/>
      </c>
      <c r="T125" s="1018" t="str">
        <f ca="1">IF($C125="","", IF(OR($P125=$V$1,$P125=$V$7,COUNTIFS($C$3:$C125,$C125,$E$3:$E125,$E125)&lt;=1),$P125,""    ))</f>
        <v/>
      </c>
      <c r="U125" s="1019" t="str">
        <f ca="1">IF(AND($P125=$V$2,COUNTIFS($C$3:$C125,$C125,$E$3:$E125,$E125,$G$3:$G125,$G125)&lt;=1),$P125,"")</f>
        <v/>
      </c>
    </row>
    <row r="126" spans="1:21">
      <c r="A126" s="991" t="str">
        <f ca="1">IFERROR(IF(COUNTIF($A$3:A125,A125)&lt; INDEX(TinhGia!$BH$10:$BH$81,MATCH($A125,TinhGia!$B$10:$B$81,0)),$A125,INDEX(TinhGia!$B$10:$B$81,MATCH($A125,TinhGia!$B$10:$B$81,0)+1)),"")</f>
        <v/>
      </c>
      <c r="B126" s="525" t="str">
        <f ca="1">IF(OR(A126="",A126=0),"",IF(COUNTIF($A$2:A126,$A126)=1,ROW(MauKoXoa!$C$108),$B125+1))</f>
        <v/>
      </c>
      <c r="C126" s="992" t="str">
        <f t="shared" ca="1" si="14"/>
        <v/>
      </c>
      <c r="D126" s="993" t="str">
        <f t="shared" ca="1" si="15"/>
        <v/>
      </c>
      <c r="E126" s="993" t="str">
        <f t="shared" ca="1" si="16"/>
        <v/>
      </c>
      <c r="F126" s="992" t="str">
        <f t="shared" ca="1" si="13"/>
        <v/>
      </c>
      <c r="G126" s="994">
        <f t="shared" ca="1" si="17"/>
        <v>0</v>
      </c>
      <c r="H126" s="913">
        <f t="shared" ca="1" si="18"/>
        <v>0</v>
      </c>
      <c r="I126" s="913">
        <f t="shared" ca="1" si="19"/>
        <v>0</v>
      </c>
      <c r="J126" s="995">
        <f t="shared" ca="1" si="20"/>
        <v>0</v>
      </c>
      <c r="K126" s="913">
        <f t="shared" ca="1" si="21"/>
        <v>0</v>
      </c>
      <c r="L126" s="995">
        <f t="shared" ca="1" si="22"/>
        <v>0</v>
      </c>
      <c r="M126" s="913">
        <f t="shared" ca="1" si="23"/>
        <v>0</v>
      </c>
      <c r="N126" s="996">
        <f t="shared" ca="1" si="24"/>
        <v>0</v>
      </c>
      <c r="O126" s="997">
        <f t="shared" ca="1" si="25"/>
        <v>0</v>
      </c>
      <c r="P126" s="1015" t="str">
        <f ca="1">IF($C126="","",INDEX(NVLSX!$N$2:$N$6941,MATCH($C126,NVLSX!$E$2:$E$6941,0)))</f>
        <v/>
      </c>
      <c r="Q126" s="1016" t="str">
        <f ca="1">IF($R126="","",IF(XKNVLSX!$X$1="",IF($P126=$V$7,$P126, IF(COUNTIFS($C$2:$C125,$C126,$E$2:$E125,$E126)&gt;=1,"",$P126)),     IF(AND(IFERROR(SEARCH($R126,XKNVLSX!$X$1,1),0)&gt;=1,$P126=$V$7),$P126, IF(OR($R126&lt;&gt;IF(IFERROR(SEARCH($R126,XKNVLSX!$X$1,1),0)&gt;=1,$R126,XKNVLSX!$X$1),COUNTIFS($C$2:$C125,$C126,$E$2:$E125,$E126,$Q$2:$Q125,$P126)&gt;=1),"",$P126))))</f>
        <v/>
      </c>
      <c r="R126" s="1017" t="str">
        <f ca="1">IF($A126="","",IFERROR(INDEX(TinhGia!$BF$10:$BF$81,MATCH($A126,TinhGia!$B$10:$B$81,0)),""))</f>
        <v/>
      </c>
      <c r="S126" s="1012" t="str">
        <f ca="1">IF($A126="","",IF(OR(IFERROR(SEARCH($R126,XKNVLSX!$X$1,1),0)&gt;=1,XKNVLSX!$X$1=""),$S$2,""))</f>
        <v/>
      </c>
      <c r="T126" s="1018" t="str">
        <f ca="1">IF($C126="","", IF(OR($P126=$V$1,$P126=$V$7,COUNTIFS($C$3:$C126,$C126,$E$3:$E126,$E126)&lt;=1),$P126,""    ))</f>
        <v/>
      </c>
      <c r="U126" s="1019" t="str">
        <f ca="1">IF(AND($P126=$V$2,COUNTIFS($C$3:$C126,$C126,$E$3:$E126,$E126,$G$3:$G126,$G126)&lt;=1),$P126,"")</f>
        <v/>
      </c>
    </row>
    <row r="127" spans="1:21">
      <c r="A127" s="991" t="str">
        <f ca="1">IFERROR(IF(COUNTIF($A$3:A126,A126)&lt; INDEX(TinhGia!$BH$10:$BH$81,MATCH($A126,TinhGia!$B$10:$B$81,0)),$A126,INDEX(TinhGia!$B$10:$B$81,MATCH($A126,TinhGia!$B$10:$B$81,0)+1)),"")</f>
        <v/>
      </c>
      <c r="B127" s="525" t="str">
        <f ca="1">IF(OR(A127="",A127=0),"",IF(COUNTIF($A$2:A127,$A127)=1,ROW(MauKoXoa!$C$108),$B126+1))</f>
        <v/>
      </c>
      <c r="C127" s="992" t="str">
        <f t="shared" ca="1" si="14"/>
        <v/>
      </c>
      <c r="D127" s="993" t="str">
        <f t="shared" ca="1" si="15"/>
        <v/>
      </c>
      <c r="E127" s="993" t="str">
        <f t="shared" ca="1" si="16"/>
        <v/>
      </c>
      <c r="F127" s="992" t="str">
        <f t="shared" ca="1" si="13"/>
        <v/>
      </c>
      <c r="G127" s="994">
        <f t="shared" ca="1" si="17"/>
        <v>0</v>
      </c>
      <c r="H127" s="913">
        <f t="shared" ca="1" si="18"/>
        <v>0</v>
      </c>
      <c r="I127" s="913">
        <f t="shared" ca="1" si="19"/>
        <v>0</v>
      </c>
      <c r="J127" s="995">
        <f t="shared" ca="1" si="20"/>
        <v>0</v>
      </c>
      <c r="K127" s="913">
        <f t="shared" ca="1" si="21"/>
        <v>0</v>
      </c>
      <c r="L127" s="995">
        <f t="shared" ca="1" si="22"/>
        <v>0</v>
      </c>
      <c r="M127" s="913">
        <f t="shared" ca="1" si="23"/>
        <v>0</v>
      </c>
      <c r="N127" s="996">
        <f t="shared" ca="1" si="24"/>
        <v>0</v>
      </c>
      <c r="O127" s="997">
        <f t="shared" ca="1" si="25"/>
        <v>0</v>
      </c>
      <c r="P127" s="1015" t="str">
        <f ca="1">IF($C127="","",INDEX(NVLSX!$N$2:$N$6941,MATCH($C127,NVLSX!$E$2:$E$6941,0)))</f>
        <v/>
      </c>
      <c r="Q127" s="1016" t="str">
        <f ca="1">IF($R127="","",IF(XKNVLSX!$X$1="",IF($P127=$V$7,$P127, IF(COUNTIFS($C$2:$C126,$C127,$E$2:$E126,$E127)&gt;=1,"",$P127)),     IF(AND(IFERROR(SEARCH($R127,XKNVLSX!$X$1,1),0)&gt;=1,$P127=$V$7),$P127, IF(OR($R127&lt;&gt;IF(IFERROR(SEARCH($R127,XKNVLSX!$X$1,1),0)&gt;=1,$R127,XKNVLSX!$X$1),COUNTIFS($C$2:$C126,$C127,$E$2:$E126,$E127,$Q$2:$Q126,$P127)&gt;=1),"",$P127))))</f>
        <v/>
      </c>
      <c r="R127" s="1017" t="str">
        <f ca="1">IF($A127="","",IFERROR(INDEX(TinhGia!$BF$10:$BF$81,MATCH($A127,TinhGia!$B$10:$B$81,0)),""))</f>
        <v/>
      </c>
      <c r="S127" s="1012" t="str">
        <f ca="1">IF($A127="","",IF(OR(IFERROR(SEARCH($R127,XKNVLSX!$X$1,1),0)&gt;=1,XKNVLSX!$X$1=""),$S$2,""))</f>
        <v/>
      </c>
      <c r="T127" s="1018" t="str">
        <f ca="1">IF($C127="","", IF(OR($P127=$V$1,$P127=$V$7,COUNTIFS($C$3:$C127,$C127,$E$3:$E127,$E127)&lt;=1),$P127,""    ))</f>
        <v/>
      </c>
      <c r="U127" s="1019" t="str">
        <f ca="1">IF(AND($P127=$V$2,COUNTIFS($C$3:$C127,$C127,$E$3:$E127,$E127,$G$3:$G127,$G127)&lt;=1),$P127,"")</f>
        <v/>
      </c>
    </row>
    <row r="128" spans="1:21">
      <c r="A128" s="991" t="str">
        <f ca="1">IFERROR(IF(COUNTIF($A$3:A127,A127)&lt; INDEX(TinhGia!$BH$10:$BH$81,MATCH($A127,TinhGia!$B$10:$B$81,0)),$A127,INDEX(TinhGia!$B$10:$B$81,MATCH($A127,TinhGia!$B$10:$B$81,0)+1)),"")</f>
        <v/>
      </c>
      <c r="B128" s="525" t="str">
        <f ca="1">IF(OR(A128="",A128=0),"",IF(COUNTIF($A$2:A128,$A128)=1,ROW(MauKoXoa!$C$108),$B127+1))</f>
        <v/>
      </c>
      <c r="C128" s="992" t="str">
        <f t="shared" ca="1" si="14"/>
        <v/>
      </c>
      <c r="D128" s="993" t="str">
        <f t="shared" ca="1" si="15"/>
        <v/>
      </c>
      <c r="E128" s="993" t="str">
        <f t="shared" ca="1" si="16"/>
        <v/>
      </c>
      <c r="F128" s="992" t="str">
        <f t="shared" ca="1" si="13"/>
        <v/>
      </c>
      <c r="G128" s="994">
        <f t="shared" ca="1" si="17"/>
        <v>0</v>
      </c>
      <c r="H128" s="913">
        <f t="shared" ca="1" si="18"/>
        <v>0</v>
      </c>
      <c r="I128" s="913">
        <f t="shared" ca="1" si="19"/>
        <v>0</v>
      </c>
      <c r="J128" s="995">
        <f t="shared" ca="1" si="20"/>
        <v>0</v>
      </c>
      <c r="K128" s="913">
        <f t="shared" ca="1" si="21"/>
        <v>0</v>
      </c>
      <c r="L128" s="995">
        <f t="shared" ca="1" si="22"/>
        <v>0</v>
      </c>
      <c r="M128" s="913">
        <f t="shared" ca="1" si="23"/>
        <v>0</v>
      </c>
      <c r="N128" s="996">
        <f t="shared" ca="1" si="24"/>
        <v>0</v>
      </c>
      <c r="O128" s="997">
        <f t="shared" ca="1" si="25"/>
        <v>0</v>
      </c>
      <c r="P128" s="1015" t="str">
        <f ca="1">IF($C128="","",INDEX(NVLSX!$N$2:$N$6941,MATCH($C128,NVLSX!$E$2:$E$6941,0)))</f>
        <v/>
      </c>
      <c r="Q128" s="1016" t="str">
        <f ca="1">IF($R128="","",IF(XKNVLSX!$X$1="",IF($P128=$V$7,$P128, IF(COUNTIFS($C$2:$C127,$C128,$E$2:$E127,$E128)&gt;=1,"",$P128)),     IF(AND(IFERROR(SEARCH($R128,XKNVLSX!$X$1,1),0)&gt;=1,$P128=$V$7),$P128, IF(OR($R128&lt;&gt;IF(IFERROR(SEARCH($R128,XKNVLSX!$X$1,1),0)&gt;=1,$R128,XKNVLSX!$X$1),COUNTIFS($C$2:$C127,$C128,$E$2:$E127,$E128,$Q$2:$Q127,$P128)&gt;=1),"",$P128))))</f>
        <v/>
      </c>
      <c r="R128" s="1017" t="str">
        <f ca="1">IF($A128="","",IFERROR(INDEX(TinhGia!$BF$10:$BF$81,MATCH($A128,TinhGia!$B$10:$B$81,0)),""))</f>
        <v/>
      </c>
      <c r="S128" s="1012" t="str">
        <f ca="1">IF($A128="","",IF(OR(IFERROR(SEARCH($R128,XKNVLSX!$X$1,1),0)&gt;=1,XKNVLSX!$X$1=""),$S$2,""))</f>
        <v/>
      </c>
      <c r="T128" s="1018" t="str">
        <f ca="1">IF($C128="","", IF(OR($P128=$V$1,$P128=$V$7,COUNTIFS($C$3:$C128,$C128,$E$3:$E128,$E128)&lt;=1),$P128,""    ))</f>
        <v/>
      </c>
      <c r="U128" s="1019" t="str">
        <f ca="1">IF(AND($P128=$V$2,COUNTIFS($C$3:$C128,$C128,$E$3:$E128,$E128,$G$3:$G128,$G128)&lt;=1),$P128,"")</f>
        <v/>
      </c>
    </row>
    <row r="129" spans="1:21">
      <c r="A129" s="991" t="str">
        <f ca="1">IFERROR(IF(COUNTIF($A$3:A128,A128)&lt; INDEX(TinhGia!$BH$10:$BH$81,MATCH($A128,TinhGia!$B$10:$B$81,0)),$A128,INDEX(TinhGia!$B$10:$B$81,MATCH($A128,TinhGia!$B$10:$B$81,0)+1)),"")</f>
        <v/>
      </c>
      <c r="B129" s="525" t="str">
        <f ca="1">IF(OR(A129="",A129=0),"",IF(COUNTIF($A$2:A129,$A129)=1,ROW(MauKoXoa!$C$108),$B128+1))</f>
        <v/>
      </c>
      <c r="C129" s="992" t="str">
        <f t="shared" ca="1" si="14"/>
        <v/>
      </c>
      <c r="D129" s="993" t="str">
        <f t="shared" ca="1" si="15"/>
        <v/>
      </c>
      <c r="E129" s="993" t="str">
        <f t="shared" ca="1" si="16"/>
        <v/>
      </c>
      <c r="F129" s="992" t="str">
        <f t="shared" ca="1" si="13"/>
        <v/>
      </c>
      <c r="G129" s="994">
        <f t="shared" ca="1" si="17"/>
        <v>0</v>
      </c>
      <c r="H129" s="913">
        <f t="shared" ca="1" si="18"/>
        <v>0</v>
      </c>
      <c r="I129" s="913">
        <f t="shared" ca="1" si="19"/>
        <v>0</v>
      </c>
      <c r="J129" s="995">
        <f t="shared" ca="1" si="20"/>
        <v>0</v>
      </c>
      <c r="K129" s="913">
        <f t="shared" ca="1" si="21"/>
        <v>0</v>
      </c>
      <c r="L129" s="995">
        <f t="shared" ca="1" si="22"/>
        <v>0</v>
      </c>
      <c r="M129" s="913">
        <f t="shared" ca="1" si="23"/>
        <v>0</v>
      </c>
      <c r="N129" s="996">
        <f t="shared" ca="1" si="24"/>
        <v>0</v>
      </c>
      <c r="O129" s="997">
        <f t="shared" ca="1" si="25"/>
        <v>0</v>
      </c>
      <c r="P129" s="1015" t="str">
        <f ca="1">IF($C129="","",INDEX(NVLSX!$N$2:$N$6941,MATCH($C129,NVLSX!$E$2:$E$6941,0)))</f>
        <v/>
      </c>
      <c r="Q129" s="1016" t="str">
        <f ca="1">IF($R129="","",IF(XKNVLSX!$X$1="",IF($P129=$V$7,$P129, IF(COUNTIFS($C$2:$C128,$C129,$E$2:$E128,$E129)&gt;=1,"",$P129)),     IF(AND(IFERROR(SEARCH($R129,XKNVLSX!$X$1,1),0)&gt;=1,$P129=$V$7),$P129, IF(OR($R129&lt;&gt;IF(IFERROR(SEARCH($R129,XKNVLSX!$X$1,1),0)&gt;=1,$R129,XKNVLSX!$X$1),COUNTIFS($C$2:$C128,$C129,$E$2:$E128,$E129,$Q$2:$Q128,$P129)&gt;=1),"",$P129))))</f>
        <v/>
      </c>
      <c r="R129" s="1017" t="str">
        <f ca="1">IF($A129="","",IFERROR(INDEX(TinhGia!$BF$10:$BF$81,MATCH($A129,TinhGia!$B$10:$B$81,0)),""))</f>
        <v/>
      </c>
      <c r="S129" s="1012" t="str">
        <f ca="1">IF($A129="","",IF(OR(IFERROR(SEARCH($R129,XKNVLSX!$X$1,1),0)&gt;=1,XKNVLSX!$X$1=""),$S$2,""))</f>
        <v/>
      </c>
      <c r="T129" s="1018" t="str">
        <f ca="1">IF($C129="","", IF(OR($P129=$V$1,$P129=$V$7,COUNTIFS($C$3:$C129,$C129,$E$3:$E129,$E129)&lt;=1),$P129,""    ))</f>
        <v/>
      </c>
      <c r="U129" s="1019" t="str">
        <f ca="1">IF(AND($P129=$V$2,COUNTIFS($C$3:$C129,$C129,$E$3:$E129,$E129,$G$3:$G129,$G129)&lt;=1),$P129,"")</f>
        <v/>
      </c>
    </row>
    <row r="130" spans="1:21">
      <c r="A130" s="991" t="str">
        <f ca="1">IFERROR(IF(COUNTIF($A$3:A129,A129)&lt; INDEX(TinhGia!$BH$10:$BH$81,MATCH($A129,TinhGia!$B$10:$B$81,0)),$A129,INDEX(TinhGia!$B$10:$B$81,MATCH($A129,TinhGia!$B$10:$B$81,0)+1)),"")</f>
        <v/>
      </c>
      <c r="B130" s="525" t="str">
        <f ca="1">IF(OR(A130="",A130=0),"",IF(COUNTIF($A$2:A130,$A130)=1,ROW(MauKoXoa!$C$108),$B129+1))</f>
        <v/>
      </c>
      <c r="C130" s="992" t="str">
        <f t="shared" ca="1" si="14"/>
        <v/>
      </c>
      <c r="D130" s="993" t="str">
        <f t="shared" ca="1" si="15"/>
        <v/>
      </c>
      <c r="E130" s="993" t="str">
        <f t="shared" ca="1" si="16"/>
        <v/>
      </c>
      <c r="F130" s="992" t="str">
        <f t="shared" ca="1" si="13"/>
        <v/>
      </c>
      <c r="G130" s="994">
        <f t="shared" ca="1" si="17"/>
        <v>0</v>
      </c>
      <c r="H130" s="913">
        <f t="shared" ca="1" si="18"/>
        <v>0</v>
      </c>
      <c r="I130" s="913">
        <f t="shared" ca="1" si="19"/>
        <v>0</v>
      </c>
      <c r="J130" s="995">
        <f t="shared" ca="1" si="20"/>
        <v>0</v>
      </c>
      <c r="K130" s="913">
        <f t="shared" ca="1" si="21"/>
        <v>0</v>
      </c>
      <c r="L130" s="995">
        <f t="shared" ca="1" si="22"/>
        <v>0</v>
      </c>
      <c r="M130" s="913">
        <f t="shared" ca="1" si="23"/>
        <v>0</v>
      </c>
      <c r="N130" s="996">
        <f t="shared" ca="1" si="24"/>
        <v>0</v>
      </c>
      <c r="O130" s="997">
        <f t="shared" ca="1" si="25"/>
        <v>0</v>
      </c>
      <c r="P130" s="1015" t="str">
        <f ca="1">IF($C130="","",INDEX(NVLSX!$N$2:$N$6941,MATCH($C130,NVLSX!$E$2:$E$6941,0)))</f>
        <v/>
      </c>
      <c r="Q130" s="1016" t="str">
        <f ca="1">IF($R130="","",IF(XKNVLSX!$X$1="",IF($P130=$V$7,$P130, IF(COUNTIFS($C$2:$C129,$C130,$E$2:$E129,$E130)&gt;=1,"",$P130)),     IF(AND(IFERROR(SEARCH($R130,XKNVLSX!$X$1,1),0)&gt;=1,$P130=$V$7),$P130, IF(OR($R130&lt;&gt;IF(IFERROR(SEARCH($R130,XKNVLSX!$X$1,1),0)&gt;=1,$R130,XKNVLSX!$X$1),COUNTIFS($C$2:$C129,$C130,$E$2:$E129,$E130,$Q$2:$Q129,$P130)&gt;=1),"",$P130))))</f>
        <v/>
      </c>
      <c r="R130" s="1017" t="str">
        <f ca="1">IF($A130="","",IFERROR(INDEX(TinhGia!$BF$10:$BF$81,MATCH($A130,TinhGia!$B$10:$B$81,0)),""))</f>
        <v/>
      </c>
      <c r="S130" s="1012" t="str">
        <f ca="1">IF($A130="","",IF(OR(IFERROR(SEARCH($R130,XKNVLSX!$X$1,1),0)&gt;=1,XKNVLSX!$X$1=""),$S$2,""))</f>
        <v/>
      </c>
      <c r="T130" s="1018" t="str">
        <f ca="1">IF($C130="","", IF(OR($P130=$V$1,$P130=$V$7,COUNTIFS($C$3:$C130,$C130,$E$3:$E130,$E130)&lt;=1),$P130,""    ))</f>
        <v/>
      </c>
      <c r="U130" s="1019" t="str">
        <f ca="1">IF(AND($P130=$V$2,COUNTIFS($C$3:$C130,$C130,$E$3:$E130,$E130,$G$3:$G130,$G130)&lt;=1),$P130,"")</f>
        <v/>
      </c>
    </row>
    <row r="131" spans="1:21">
      <c r="A131" s="991" t="str">
        <f ca="1">IFERROR(IF(COUNTIF($A$3:A130,A130)&lt; INDEX(TinhGia!$BH$10:$BH$81,MATCH($A130,TinhGia!$B$10:$B$81,0)),$A130,INDEX(TinhGia!$B$10:$B$81,MATCH($A130,TinhGia!$B$10:$B$81,0)+1)),"")</f>
        <v/>
      </c>
      <c r="B131" s="525" t="str">
        <f ca="1">IF(OR(A131="",A131=0),"",IF(COUNTIF($A$2:A131,$A131)=1,ROW(MauKoXoa!$C$108),$B130+1))</f>
        <v/>
      </c>
      <c r="C131" s="992" t="str">
        <f t="shared" ca="1" si="14"/>
        <v/>
      </c>
      <c r="D131" s="993" t="str">
        <f t="shared" ca="1" si="15"/>
        <v/>
      </c>
      <c r="E131" s="993" t="str">
        <f t="shared" ca="1" si="16"/>
        <v/>
      </c>
      <c r="F131" s="992" t="str">
        <f t="shared" ref="F131:F194" ca="1" si="26">IF($P131=$V$7, IFERROR(INDIRECT("'" &amp; $A131 &amp; "'!" &amp; "I" &amp; $B131),""),IFERROR(INDIRECT("'" &amp; $A131 &amp; "'!" &amp; "E" &amp; $B131),""))</f>
        <v/>
      </c>
      <c r="G131" s="994">
        <f t="shared" ca="1" si="17"/>
        <v>0</v>
      </c>
      <c r="H131" s="913">
        <f t="shared" ca="1" si="18"/>
        <v>0</v>
      </c>
      <c r="I131" s="913">
        <f t="shared" ca="1" si="19"/>
        <v>0</v>
      </c>
      <c r="J131" s="995">
        <f t="shared" ca="1" si="20"/>
        <v>0</v>
      </c>
      <c r="K131" s="913">
        <f t="shared" ca="1" si="21"/>
        <v>0</v>
      </c>
      <c r="L131" s="995">
        <f t="shared" ca="1" si="22"/>
        <v>0</v>
      </c>
      <c r="M131" s="913">
        <f t="shared" ca="1" si="23"/>
        <v>0</v>
      </c>
      <c r="N131" s="996">
        <f t="shared" ca="1" si="24"/>
        <v>0</v>
      </c>
      <c r="O131" s="997">
        <f t="shared" ca="1" si="25"/>
        <v>0</v>
      </c>
      <c r="P131" s="1015" t="str">
        <f ca="1">IF($C131="","",INDEX(NVLSX!$N$2:$N$6941,MATCH($C131,NVLSX!$E$2:$E$6941,0)))</f>
        <v/>
      </c>
      <c r="Q131" s="1016" t="str">
        <f ca="1">IF($R131="","",IF(XKNVLSX!$X$1="",IF($P131=$V$7,$P131, IF(COUNTIFS($C$2:$C130,$C131,$E$2:$E130,$E131)&gt;=1,"",$P131)),     IF(AND(IFERROR(SEARCH($R131,XKNVLSX!$X$1,1),0)&gt;=1,$P131=$V$7),$P131, IF(OR($R131&lt;&gt;IF(IFERROR(SEARCH($R131,XKNVLSX!$X$1,1),0)&gt;=1,$R131,XKNVLSX!$X$1),COUNTIFS($C$2:$C130,$C131,$E$2:$E130,$E131,$Q$2:$Q130,$P131)&gt;=1),"",$P131))))</f>
        <v/>
      </c>
      <c r="R131" s="1017" t="str">
        <f ca="1">IF($A131="","",IFERROR(INDEX(TinhGia!$BF$10:$BF$81,MATCH($A131,TinhGia!$B$10:$B$81,0)),""))</f>
        <v/>
      </c>
      <c r="S131" s="1012" t="str">
        <f ca="1">IF($A131="","",IF(OR(IFERROR(SEARCH($R131,XKNVLSX!$X$1,1),0)&gt;=1,XKNVLSX!$X$1=""),$S$2,""))</f>
        <v/>
      </c>
      <c r="T131" s="1018" t="str">
        <f ca="1">IF($C131="","", IF(OR($P131=$V$1,$P131=$V$7,COUNTIFS($C$3:$C131,$C131,$E$3:$E131,$E131)&lt;=1),$P131,""    ))</f>
        <v/>
      </c>
      <c r="U131" s="1019" t="str">
        <f ca="1">IF(AND($P131=$V$2,COUNTIFS($C$3:$C131,$C131,$E$3:$E131,$E131,$G$3:$G131,$G131)&lt;=1),$P131,"")</f>
        <v/>
      </c>
    </row>
    <row r="132" spans="1:21">
      <c r="A132" s="991" t="str">
        <f ca="1">IFERROR(IF(COUNTIF($A$3:A131,A131)&lt; INDEX(TinhGia!$BH$10:$BH$81,MATCH($A131,TinhGia!$B$10:$B$81,0)),$A131,INDEX(TinhGia!$B$10:$B$81,MATCH($A131,TinhGia!$B$10:$B$81,0)+1)),"")</f>
        <v/>
      </c>
      <c r="B132" s="525" t="str">
        <f ca="1">IF(OR(A132="",A132=0),"",IF(COUNTIF($A$2:A132,$A132)=1,ROW(MauKoXoa!$C$108),$B131+1))</f>
        <v/>
      </c>
      <c r="C132" s="992" t="str">
        <f t="shared" ref="C132:C195" ca="1" si="27">IFERROR(INDIRECT("'" &amp; $A132 &amp; "'!" &amp; "C" &amp; $B132),"")</f>
        <v/>
      </c>
      <c r="D132" s="993" t="str">
        <f t="shared" ref="D132:D195" ca="1" si="28">IFERROR(INDIRECT("'" &amp; $A132 &amp; "'!" &amp; "D" &amp; $B132),"")</f>
        <v/>
      </c>
      <c r="E132" s="993" t="str">
        <f t="shared" ref="E132:E195" ca="1" si="29">IFERROR(INDIRECT("'" &amp; $A132 &amp; "'!" &amp; "P" &amp; $B132),"")</f>
        <v/>
      </c>
      <c r="F132" s="992" t="str">
        <f t="shared" ca="1" si="26"/>
        <v/>
      </c>
      <c r="G132" s="994">
        <f t="shared" ref="G132:G195" ca="1" si="30">IFERROR(INDIRECT("'" &amp; $A132 &amp; "'!" &amp; "F" &amp; $B132),0)</f>
        <v>0</v>
      </c>
      <c r="H132" s="913">
        <f t="shared" ref="H132:H195" ca="1" si="31">IFERROR(INDIRECT("'" &amp; $A132 &amp; "'!" &amp; "G" &amp; $B132),0)</f>
        <v>0</v>
      </c>
      <c r="I132" s="913">
        <f t="shared" ref="I132:I195" ca="1" si="32">IFERROR(INDIRECT("'" &amp; $A132 &amp; "'!" &amp; "H" &amp; $B132),0)</f>
        <v>0</v>
      </c>
      <c r="J132" s="995">
        <f t="shared" ref="J132:J195" ca="1" si="33">IFERROR(INDIRECT("'" &amp; $A132 &amp; "'!" &amp; "J" &amp; $B132),0)</f>
        <v>0</v>
      </c>
      <c r="K132" s="913">
        <f t="shared" ref="K132:K195" ca="1" si="34">IFERROR(INDIRECT("'" &amp; $A132 &amp; "'!" &amp; "L" &amp; $B132),0)</f>
        <v>0</v>
      </c>
      <c r="L132" s="995">
        <f t="shared" ref="L132:L195" ca="1" si="35">+ IFERROR(INDIRECT("'" &amp; $A132 &amp; "'!" &amp; "K" &amp; $B132),0)</f>
        <v>0</v>
      </c>
      <c r="M132" s="913">
        <f t="shared" ref="M132:M195" ca="1" si="36">IFERROR(INDIRECT("'" &amp; $A132 &amp; "'!" &amp; "M" &amp; $B132),0)</f>
        <v>0</v>
      </c>
      <c r="N132" s="996">
        <f t="shared" ref="N132:N195" ca="1" si="37">IFERROR(INDIRECT("'" &amp; $A132 &amp; "'!" &amp; "N" &amp; $B132),0)</f>
        <v>0</v>
      </c>
      <c r="O132" s="997">
        <f t="shared" ref="O132:O195" ca="1" si="38">IFERROR(INDIRECT("'" &amp; $A132 &amp; "'!" &amp; "O" &amp; $B132),0)</f>
        <v>0</v>
      </c>
      <c r="P132" s="1015" t="str">
        <f ca="1">IF($C132="","",INDEX(NVLSX!$N$2:$N$6941,MATCH($C132,NVLSX!$E$2:$E$6941,0)))</f>
        <v/>
      </c>
      <c r="Q132" s="1016" t="str">
        <f ca="1">IF($R132="","",IF(XKNVLSX!$X$1="",IF($P132=$V$7,$P132, IF(COUNTIFS($C$2:$C131,$C132,$E$2:$E131,$E132)&gt;=1,"",$P132)),     IF(AND(IFERROR(SEARCH($R132,XKNVLSX!$X$1,1),0)&gt;=1,$P132=$V$7),$P132, IF(OR($R132&lt;&gt;IF(IFERROR(SEARCH($R132,XKNVLSX!$X$1,1),0)&gt;=1,$R132,XKNVLSX!$X$1),COUNTIFS($C$2:$C131,$C132,$E$2:$E131,$E132,$Q$2:$Q131,$P132)&gt;=1),"",$P132))))</f>
        <v/>
      </c>
      <c r="R132" s="1017" t="str">
        <f ca="1">IF($A132="","",IFERROR(INDEX(TinhGia!$BF$10:$BF$81,MATCH($A132,TinhGia!$B$10:$B$81,0)),""))</f>
        <v/>
      </c>
      <c r="S132" s="1012" t="str">
        <f ca="1">IF($A132="","",IF(OR(IFERROR(SEARCH($R132,XKNVLSX!$X$1,1),0)&gt;=1,XKNVLSX!$X$1=""),$S$2,""))</f>
        <v/>
      </c>
      <c r="T132" s="1018" t="str">
        <f ca="1">IF($C132="","", IF(OR($P132=$V$1,$P132=$V$7,COUNTIFS($C$3:$C132,$C132,$E$3:$E132,$E132)&lt;=1),$P132,""    ))</f>
        <v/>
      </c>
      <c r="U132" s="1019" t="str">
        <f ca="1">IF(AND($P132=$V$2,COUNTIFS($C$3:$C132,$C132,$E$3:$E132,$E132,$G$3:$G132,$G132)&lt;=1),$P132,"")</f>
        <v/>
      </c>
    </row>
    <row r="133" spans="1:21">
      <c r="A133" s="991" t="str">
        <f ca="1">IFERROR(IF(COUNTIF($A$3:A132,A132)&lt; INDEX(TinhGia!$BH$10:$BH$81,MATCH($A132,TinhGia!$B$10:$B$81,0)),$A132,INDEX(TinhGia!$B$10:$B$81,MATCH($A132,TinhGia!$B$10:$B$81,0)+1)),"")</f>
        <v/>
      </c>
      <c r="B133" s="525" t="str">
        <f ca="1">IF(OR(A133="",A133=0),"",IF(COUNTIF($A$2:A133,$A133)=1,ROW(MauKoXoa!$C$108),$B132+1))</f>
        <v/>
      </c>
      <c r="C133" s="992" t="str">
        <f t="shared" ca="1" si="27"/>
        <v/>
      </c>
      <c r="D133" s="993" t="str">
        <f t="shared" ca="1" si="28"/>
        <v/>
      </c>
      <c r="E133" s="993" t="str">
        <f t="shared" ca="1" si="29"/>
        <v/>
      </c>
      <c r="F133" s="992" t="str">
        <f t="shared" ca="1" si="26"/>
        <v/>
      </c>
      <c r="G133" s="994">
        <f t="shared" ca="1" si="30"/>
        <v>0</v>
      </c>
      <c r="H133" s="913">
        <f t="shared" ca="1" si="31"/>
        <v>0</v>
      </c>
      <c r="I133" s="913">
        <f t="shared" ca="1" si="32"/>
        <v>0</v>
      </c>
      <c r="J133" s="995">
        <f t="shared" ca="1" si="33"/>
        <v>0</v>
      </c>
      <c r="K133" s="913">
        <f t="shared" ca="1" si="34"/>
        <v>0</v>
      </c>
      <c r="L133" s="995">
        <f t="shared" ca="1" si="35"/>
        <v>0</v>
      </c>
      <c r="M133" s="913">
        <f t="shared" ca="1" si="36"/>
        <v>0</v>
      </c>
      <c r="N133" s="996">
        <f t="shared" ca="1" si="37"/>
        <v>0</v>
      </c>
      <c r="O133" s="997">
        <f t="shared" ca="1" si="38"/>
        <v>0</v>
      </c>
      <c r="P133" s="1015" t="str">
        <f ca="1">IF($C133="","",INDEX(NVLSX!$N$2:$N$6941,MATCH($C133,NVLSX!$E$2:$E$6941,0)))</f>
        <v/>
      </c>
      <c r="Q133" s="1016" t="str">
        <f ca="1">IF($R133="","",IF(XKNVLSX!$X$1="",IF($P133=$V$7,$P133, IF(COUNTIFS($C$2:$C132,$C133,$E$2:$E132,$E133)&gt;=1,"",$P133)),     IF(AND(IFERROR(SEARCH($R133,XKNVLSX!$X$1,1),0)&gt;=1,$P133=$V$7),$P133, IF(OR($R133&lt;&gt;IF(IFERROR(SEARCH($R133,XKNVLSX!$X$1,1),0)&gt;=1,$R133,XKNVLSX!$X$1),COUNTIFS($C$2:$C132,$C133,$E$2:$E132,$E133,$Q$2:$Q132,$P133)&gt;=1),"",$P133))))</f>
        <v/>
      </c>
      <c r="R133" s="1017" t="str">
        <f ca="1">IF($A133="","",IFERROR(INDEX(TinhGia!$BF$10:$BF$81,MATCH($A133,TinhGia!$B$10:$B$81,0)),""))</f>
        <v/>
      </c>
      <c r="S133" s="1012" t="str">
        <f ca="1">IF($A133="","",IF(OR(IFERROR(SEARCH($R133,XKNVLSX!$X$1,1),0)&gt;=1,XKNVLSX!$X$1=""),$S$2,""))</f>
        <v/>
      </c>
      <c r="T133" s="1018" t="str">
        <f ca="1">IF($C133="","", IF(OR($P133=$V$1,$P133=$V$7,COUNTIFS($C$3:$C133,$C133,$E$3:$E133,$E133)&lt;=1),$P133,""    ))</f>
        <v/>
      </c>
      <c r="U133" s="1019" t="str">
        <f ca="1">IF(AND($P133=$V$2,COUNTIFS($C$3:$C133,$C133,$E$3:$E133,$E133,$G$3:$G133,$G133)&lt;=1),$P133,"")</f>
        <v/>
      </c>
    </row>
    <row r="134" spans="1:21">
      <c r="A134" s="991" t="str">
        <f ca="1">IFERROR(IF(COUNTIF($A$3:A133,A133)&lt; INDEX(TinhGia!$BH$10:$BH$81,MATCH($A133,TinhGia!$B$10:$B$81,0)),$A133,INDEX(TinhGia!$B$10:$B$81,MATCH($A133,TinhGia!$B$10:$B$81,0)+1)),"")</f>
        <v/>
      </c>
      <c r="B134" s="525" t="str">
        <f ca="1">IF(OR(A134="",A134=0),"",IF(COUNTIF($A$2:A134,$A134)=1,ROW(MauKoXoa!$C$108),$B133+1))</f>
        <v/>
      </c>
      <c r="C134" s="992" t="str">
        <f t="shared" ca="1" si="27"/>
        <v/>
      </c>
      <c r="D134" s="993" t="str">
        <f t="shared" ca="1" si="28"/>
        <v/>
      </c>
      <c r="E134" s="993" t="str">
        <f t="shared" ca="1" si="29"/>
        <v/>
      </c>
      <c r="F134" s="992" t="str">
        <f t="shared" ca="1" si="26"/>
        <v/>
      </c>
      <c r="G134" s="994">
        <f t="shared" ca="1" si="30"/>
        <v>0</v>
      </c>
      <c r="H134" s="913">
        <f t="shared" ca="1" si="31"/>
        <v>0</v>
      </c>
      <c r="I134" s="913">
        <f t="shared" ca="1" si="32"/>
        <v>0</v>
      </c>
      <c r="J134" s="995">
        <f t="shared" ca="1" si="33"/>
        <v>0</v>
      </c>
      <c r="K134" s="913">
        <f t="shared" ca="1" si="34"/>
        <v>0</v>
      </c>
      <c r="L134" s="995">
        <f t="shared" ca="1" si="35"/>
        <v>0</v>
      </c>
      <c r="M134" s="913">
        <f t="shared" ca="1" si="36"/>
        <v>0</v>
      </c>
      <c r="N134" s="996">
        <f t="shared" ca="1" si="37"/>
        <v>0</v>
      </c>
      <c r="O134" s="997">
        <f t="shared" ca="1" si="38"/>
        <v>0</v>
      </c>
      <c r="P134" s="1015" t="str">
        <f ca="1">IF($C134="","",INDEX(NVLSX!$N$2:$N$6941,MATCH($C134,NVLSX!$E$2:$E$6941,0)))</f>
        <v/>
      </c>
      <c r="Q134" s="1016" t="str">
        <f ca="1">IF($R134="","",IF(XKNVLSX!$X$1="",IF($P134=$V$7,$P134, IF(COUNTIFS($C$2:$C133,$C134,$E$2:$E133,$E134)&gt;=1,"",$P134)),     IF(AND(IFERROR(SEARCH($R134,XKNVLSX!$X$1,1),0)&gt;=1,$P134=$V$7),$P134, IF(OR($R134&lt;&gt;IF(IFERROR(SEARCH($R134,XKNVLSX!$X$1,1),0)&gt;=1,$R134,XKNVLSX!$X$1),COUNTIFS($C$2:$C133,$C134,$E$2:$E133,$E134,$Q$2:$Q133,$P134)&gt;=1),"",$P134))))</f>
        <v/>
      </c>
      <c r="R134" s="1017" t="str">
        <f ca="1">IF($A134="","",IFERROR(INDEX(TinhGia!$BF$10:$BF$81,MATCH($A134,TinhGia!$B$10:$B$81,0)),""))</f>
        <v/>
      </c>
      <c r="S134" s="1012" t="str">
        <f ca="1">IF($A134="","",IF(OR(IFERROR(SEARCH($R134,XKNVLSX!$X$1,1),0)&gt;=1,XKNVLSX!$X$1=""),$S$2,""))</f>
        <v/>
      </c>
      <c r="T134" s="1018" t="str">
        <f ca="1">IF($C134="","", IF(OR($P134=$V$1,$P134=$V$7,COUNTIFS($C$3:$C134,$C134,$E$3:$E134,$E134)&lt;=1),$P134,""    ))</f>
        <v/>
      </c>
      <c r="U134" s="1019" t="str">
        <f ca="1">IF(AND($P134=$V$2,COUNTIFS($C$3:$C134,$C134,$E$3:$E134,$E134,$G$3:$G134,$G134)&lt;=1),$P134,"")</f>
        <v/>
      </c>
    </row>
    <row r="135" spans="1:21">
      <c r="A135" s="991" t="str">
        <f ca="1">IFERROR(IF(COUNTIF($A$3:A134,A134)&lt; INDEX(TinhGia!$BH$10:$BH$81,MATCH($A134,TinhGia!$B$10:$B$81,0)),$A134,INDEX(TinhGia!$B$10:$B$81,MATCH($A134,TinhGia!$B$10:$B$81,0)+1)),"")</f>
        <v/>
      </c>
      <c r="B135" s="525" t="str">
        <f ca="1">IF(OR(A135="",A135=0),"",IF(COUNTIF($A$2:A135,$A135)=1,ROW(MauKoXoa!$C$108),$B134+1))</f>
        <v/>
      </c>
      <c r="C135" s="992" t="str">
        <f t="shared" ca="1" si="27"/>
        <v/>
      </c>
      <c r="D135" s="993" t="str">
        <f t="shared" ca="1" si="28"/>
        <v/>
      </c>
      <c r="E135" s="993" t="str">
        <f t="shared" ca="1" si="29"/>
        <v/>
      </c>
      <c r="F135" s="992" t="str">
        <f t="shared" ca="1" si="26"/>
        <v/>
      </c>
      <c r="G135" s="994">
        <f t="shared" ca="1" si="30"/>
        <v>0</v>
      </c>
      <c r="H135" s="913">
        <f t="shared" ca="1" si="31"/>
        <v>0</v>
      </c>
      <c r="I135" s="913">
        <f t="shared" ca="1" si="32"/>
        <v>0</v>
      </c>
      <c r="J135" s="995">
        <f t="shared" ca="1" si="33"/>
        <v>0</v>
      </c>
      <c r="K135" s="913">
        <f t="shared" ca="1" si="34"/>
        <v>0</v>
      </c>
      <c r="L135" s="995">
        <f t="shared" ca="1" si="35"/>
        <v>0</v>
      </c>
      <c r="M135" s="913">
        <f t="shared" ca="1" si="36"/>
        <v>0</v>
      </c>
      <c r="N135" s="996">
        <f t="shared" ca="1" si="37"/>
        <v>0</v>
      </c>
      <c r="O135" s="997">
        <f t="shared" ca="1" si="38"/>
        <v>0</v>
      </c>
      <c r="P135" s="1015" t="str">
        <f ca="1">IF($C135="","",INDEX(NVLSX!$N$2:$N$6941,MATCH($C135,NVLSX!$E$2:$E$6941,0)))</f>
        <v/>
      </c>
      <c r="Q135" s="1016" t="str">
        <f ca="1">IF($R135="","",IF(XKNVLSX!$X$1="",IF($P135=$V$7,$P135, IF(COUNTIFS($C$2:$C134,$C135,$E$2:$E134,$E135)&gt;=1,"",$P135)),     IF(AND(IFERROR(SEARCH($R135,XKNVLSX!$X$1,1),0)&gt;=1,$P135=$V$7),$P135, IF(OR($R135&lt;&gt;IF(IFERROR(SEARCH($R135,XKNVLSX!$X$1,1),0)&gt;=1,$R135,XKNVLSX!$X$1),COUNTIFS($C$2:$C134,$C135,$E$2:$E134,$E135,$Q$2:$Q134,$P135)&gt;=1),"",$P135))))</f>
        <v/>
      </c>
      <c r="R135" s="1017" t="str">
        <f ca="1">IF($A135="","",IFERROR(INDEX(TinhGia!$BF$10:$BF$81,MATCH($A135,TinhGia!$B$10:$B$81,0)),""))</f>
        <v/>
      </c>
      <c r="S135" s="1012" t="str">
        <f ca="1">IF($A135="","",IF(OR(IFERROR(SEARCH($R135,XKNVLSX!$X$1,1),0)&gt;=1,XKNVLSX!$X$1=""),$S$2,""))</f>
        <v/>
      </c>
      <c r="T135" s="1018" t="str">
        <f ca="1">IF($C135="","", IF(OR($P135=$V$1,$P135=$V$7,COUNTIFS($C$3:$C135,$C135,$E$3:$E135,$E135)&lt;=1),$P135,""    ))</f>
        <v/>
      </c>
      <c r="U135" s="1019" t="str">
        <f ca="1">IF(AND($P135=$V$2,COUNTIFS($C$3:$C135,$C135,$E$3:$E135,$E135,$G$3:$G135,$G135)&lt;=1),$P135,"")</f>
        <v/>
      </c>
    </row>
    <row r="136" spans="1:21">
      <c r="A136" s="991" t="str">
        <f ca="1">IFERROR(IF(COUNTIF($A$3:A135,A135)&lt; INDEX(TinhGia!$BH$10:$BH$81,MATCH($A135,TinhGia!$B$10:$B$81,0)),$A135,INDEX(TinhGia!$B$10:$B$81,MATCH($A135,TinhGia!$B$10:$B$81,0)+1)),"")</f>
        <v/>
      </c>
      <c r="B136" s="525" t="str">
        <f ca="1">IF(OR(A136="",A136=0),"",IF(COUNTIF($A$2:A136,$A136)=1,ROW(MauKoXoa!$C$108),$B135+1))</f>
        <v/>
      </c>
      <c r="C136" s="992" t="str">
        <f t="shared" ca="1" si="27"/>
        <v/>
      </c>
      <c r="D136" s="993" t="str">
        <f t="shared" ca="1" si="28"/>
        <v/>
      </c>
      <c r="E136" s="993" t="str">
        <f t="shared" ca="1" si="29"/>
        <v/>
      </c>
      <c r="F136" s="992" t="str">
        <f t="shared" ca="1" si="26"/>
        <v/>
      </c>
      <c r="G136" s="994">
        <f t="shared" ca="1" si="30"/>
        <v>0</v>
      </c>
      <c r="H136" s="913">
        <f t="shared" ca="1" si="31"/>
        <v>0</v>
      </c>
      <c r="I136" s="913">
        <f t="shared" ca="1" si="32"/>
        <v>0</v>
      </c>
      <c r="J136" s="995">
        <f t="shared" ca="1" si="33"/>
        <v>0</v>
      </c>
      <c r="K136" s="913">
        <f t="shared" ca="1" si="34"/>
        <v>0</v>
      </c>
      <c r="L136" s="995">
        <f t="shared" ca="1" si="35"/>
        <v>0</v>
      </c>
      <c r="M136" s="913">
        <f t="shared" ca="1" si="36"/>
        <v>0</v>
      </c>
      <c r="N136" s="996">
        <f t="shared" ca="1" si="37"/>
        <v>0</v>
      </c>
      <c r="O136" s="997">
        <f t="shared" ca="1" si="38"/>
        <v>0</v>
      </c>
      <c r="P136" s="1015" t="str">
        <f ca="1">IF($C136="","",INDEX(NVLSX!$N$2:$N$6941,MATCH($C136,NVLSX!$E$2:$E$6941,0)))</f>
        <v/>
      </c>
      <c r="Q136" s="1016" t="str">
        <f ca="1">IF($R136="","",IF(XKNVLSX!$X$1="",IF($P136=$V$7,$P136, IF(COUNTIFS($C$2:$C135,$C136,$E$2:$E135,$E136)&gt;=1,"",$P136)),     IF(AND(IFERROR(SEARCH($R136,XKNVLSX!$X$1,1),0)&gt;=1,$P136=$V$7),$P136, IF(OR($R136&lt;&gt;IF(IFERROR(SEARCH($R136,XKNVLSX!$X$1,1),0)&gt;=1,$R136,XKNVLSX!$X$1),COUNTIFS($C$2:$C135,$C136,$E$2:$E135,$E136,$Q$2:$Q135,$P136)&gt;=1),"",$P136))))</f>
        <v/>
      </c>
      <c r="R136" s="1017" t="str">
        <f ca="1">IF($A136="","",IFERROR(INDEX(TinhGia!$BF$10:$BF$81,MATCH($A136,TinhGia!$B$10:$B$81,0)),""))</f>
        <v/>
      </c>
      <c r="S136" s="1012" t="str">
        <f ca="1">IF($A136="","",IF(OR(IFERROR(SEARCH($R136,XKNVLSX!$X$1,1),0)&gt;=1,XKNVLSX!$X$1=""),$S$2,""))</f>
        <v/>
      </c>
      <c r="T136" s="1018" t="str">
        <f ca="1">IF($C136="","", IF(OR($P136=$V$1,$P136=$V$7,COUNTIFS($C$3:$C136,$C136,$E$3:$E136,$E136)&lt;=1),$P136,""    ))</f>
        <v/>
      </c>
      <c r="U136" s="1019" t="str">
        <f ca="1">IF(AND($P136=$V$2,COUNTIFS($C$3:$C136,$C136,$E$3:$E136,$E136,$G$3:$G136,$G136)&lt;=1),$P136,"")</f>
        <v/>
      </c>
    </row>
    <row r="137" spans="1:21">
      <c r="A137" s="991" t="str">
        <f ca="1">IFERROR(IF(COUNTIF($A$3:A136,A136)&lt; INDEX(TinhGia!$BH$10:$BH$81,MATCH($A136,TinhGia!$B$10:$B$81,0)),$A136,INDEX(TinhGia!$B$10:$B$81,MATCH($A136,TinhGia!$B$10:$B$81,0)+1)),"")</f>
        <v/>
      </c>
      <c r="B137" s="525" t="str">
        <f ca="1">IF(OR(A137="",A137=0),"",IF(COUNTIF($A$2:A137,$A137)=1,ROW(MauKoXoa!$C$108),$B136+1))</f>
        <v/>
      </c>
      <c r="C137" s="992" t="str">
        <f t="shared" ca="1" si="27"/>
        <v/>
      </c>
      <c r="D137" s="993" t="str">
        <f t="shared" ca="1" si="28"/>
        <v/>
      </c>
      <c r="E137" s="993" t="str">
        <f t="shared" ca="1" si="29"/>
        <v/>
      </c>
      <c r="F137" s="992" t="str">
        <f t="shared" ca="1" si="26"/>
        <v/>
      </c>
      <c r="G137" s="994">
        <f t="shared" ca="1" si="30"/>
        <v>0</v>
      </c>
      <c r="H137" s="913">
        <f t="shared" ca="1" si="31"/>
        <v>0</v>
      </c>
      <c r="I137" s="913">
        <f t="shared" ca="1" si="32"/>
        <v>0</v>
      </c>
      <c r="J137" s="995">
        <f t="shared" ca="1" si="33"/>
        <v>0</v>
      </c>
      <c r="K137" s="913">
        <f t="shared" ca="1" si="34"/>
        <v>0</v>
      </c>
      <c r="L137" s="995">
        <f t="shared" ca="1" si="35"/>
        <v>0</v>
      </c>
      <c r="M137" s="913">
        <f t="shared" ca="1" si="36"/>
        <v>0</v>
      </c>
      <c r="N137" s="996">
        <f t="shared" ca="1" si="37"/>
        <v>0</v>
      </c>
      <c r="O137" s="997">
        <f t="shared" ca="1" si="38"/>
        <v>0</v>
      </c>
      <c r="P137" s="1015" t="str">
        <f ca="1">IF($C137="","",INDEX(NVLSX!$N$2:$N$6941,MATCH($C137,NVLSX!$E$2:$E$6941,0)))</f>
        <v/>
      </c>
      <c r="Q137" s="1016" t="str">
        <f ca="1">IF($R137="","",IF(XKNVLSX!$X$1="",IF($P137=$V$7,$P137, IF(COUNTIFS($C$2:$C136,$C137,$E$2:$E136,$E137)&gt;=1,"",$P137)),     IF(AND(IFERROR(SEARCH($R137,XKNVLSX!$X$1,1),0)&gt;=1,$P137=$V$7),$P137, IF(OR($R137&lt;&gt;IF(IFERROR(SEARCH($R137,XKNVLSX!$X$1,1),0)&gt;=1,$R137,XKNVLSX!$X$1),COUNTIFS($C$2:$C136,$C137,$E$2:$E136,$E137,$Q$2:$Q136,$P137)&gt;=1),"",$P137))))</f>
        <v/>
      </c>
      <c r="R137" s="1017" t="str">
        <f ca="1">IF($A137="","",IFERROR(INDEX(TinhGia!$BF$10:$BF$81,MATCH($A137,TinhGia!$B$10:$B$81,0)),""))</f>
        <v/>
      </c>
      <c r="S137" s="1012" t="str">
        <f ca="1">IF($A137="","",IF(OR(IFERROR(SEARCH($R137,XKNVLSX!$X$1,1),0)&gt;=1,XKNVLSX!$X$1=""),$S$2,""))</f>
        <v/>
      </c>
      <c r="T137" s="1018" t="str">
        <f ca="1">IF($C137="","", IF(OR($P137=$V$1,$P137=$V$7,COUNTIFS($C$3:$C137,$C137,$E$3:$E137,$E137)&lt;=1),$P137,""    ))</f>
        <v/>
      </c>
      <c r="U137" s="1019" t="str">
        <f ca="1">IF(AND($P137=$V$2,COUNTIFS($C$3:$C137,$C137,$E$3:$E137,$E137,$G$3:$G137,$G137)&lt;=1),$P137,"")</f>
        <v/>
      </c>
    </row>
    <row r="138" spans="1:21">
      <c r="A138" s="991" t="str">
        <f ca="1">IFERROR(IF(COUNTIF($A$3:A137,A137)&lt; INDEX(TinhGia!$BH$10:$BH$81,MATCH($A137,TinhGia!$B$10:$B$81,0)),$A137,INDEX(TinhGia!$B$10:$B$81,MATCH($A137,TinhGia!$B$10:$B$81,0)+1)),"")</f>
        <v/>
      </c>
      <c r="B138" s="525" t="str">
        <f ca="1">IF(OR(A138="",A138=0),"",IF(COUNTIF($A$2:A138,$A138)=1,ROW(MauKoXoa!$C$108),$B137+1))</f>
        <v/>
      </c>
      <c r="C138" s="992" t="str">
        <f t="shared" ca="1" si="27"/>
        <v/>
      </c>
      <c r="D138" s="993" t="str">
        <f t="shared" ca="1" si="28"/>
        <v/>
      </c>
      <c r="E138" s="993" t="str">
        <f t="shared" ca="1" si="29"/>
        <v/>
      </c>
      <c r="F138" s="992" t="str">
        <f t="shared" ca="1" si="26"/>
        <v/>
      </c>
      <c r="G138" s="994">
        <f t="shared" ca="1" si="30"/>
        <v>0</v>
      </c>
      <c r="H138" s="913">
        <f t="shared" ca="1" si="31"/>
        <v>0</v>
      </c>
      <c r="I138" s="913">
        <f t="shared" ca="1" si="32"/>
        <v>0</v>
      </c>
      <c r="J138" s="995">
        <f t="shared" ca="1" si="33"/>
        <v>0</v>
      </c>
      <c r="K138" s="913">
        <f t="shared" ca="1" si="34"/>
        <v>0</v>
      </c>
      <c r="L138" s="995">
        <f t="shared" ca="1" si="35"/>
        <v>0</v>
      </c>
      <c r="M138" s="913">
        <f t="shared" ca="1" si="36"/>
        <v>0</v>
      </c>
      <c r="N138" s="996">
        <f t="shared" ca="1" si="37"/>
        <v>0</v>
      </c>
      <c r="O138" s="997">
        <f t="shared" ca="1" si="38"/>
        <v>0</v>
      </c>
      <c r="P138" s="1015" t="str">
        <f ca="1">IF($C138="","",INDEX(NVLSX!$N$2:$N$6941,MATCH($C138,NVLSX!$E$2:$E$6941,0)))</f>
        <v/>
      </c>
      <c r="Q138" s="1016" t="str">
        <f ca="1">IF($R138="","",IF(XKNVLSX!$X$1="",IF($P138=$V$7,$P138, IF(COUNTIFS($C$2:$C137,$C138,$E$2:$E137,$E138)&gt;=1,"",$P138)),     IF(AND(IFERROR(SEARCH($R138,XKNVLSX!$X$1,1),0)&gt;=1,$P138=$V$7),$P138, IF(OR($R138&lt;&gt;IF(IFERROR(SEARCH($R138,XKNVLSX!$X$1,1),0)&gt;=1,$R138,XKNVLSX!$X$1),COUNTIFS($C$2:$C137,$C138,$E$2:$E137,$E138,$Q$2:$Q137,$P138)&gt;=1),"",$P138))))</f>
        <v/>
      </c>
      <c r="R138" s="1017" t="str">
        <f ca="1">IF($A138="","",IFERROR(INDEX(TinhGia!$BF$10:$BF$81,MATCH($A138,TinhGia!$B$10:$B$81,0)),""))</f>
        <v/>
      </c>
      <c r="S138" s="1012" t="str">
        <f ca="1">IF($A138="","",IF(OR(IFERROR(SEARCH($R138,XKNVLSX!$X$1,1),0)&gt;=1,XKNVLSX!$X$1=""),$S$2,""))</f>
        <v/>
      </c>
      <c r="T138" s="1018" t="str">
        <f ca="1">IF($C138="","", IF(OR($P138=$V$1,$P138=$V$7,COUNTIFS($C$3:$C138,$C138,$E$3:$E138,$E138)&lt;=1),$P138,""    ))</f>
        <v/>
      </c>
      <c r="U138" s="1019" t="str">
        <f ca="1">IF(AND($P138=$V$2,COUNTIFS($C$3:$C138,$C138,$E$3:$E138,$E138,$G$3:$G138,$G138)&lt;=1),$P138,"")</f>
        <v/>
      </c>
    </row>
    <row r="139" spans="1:21">
      <c r="A139" s="991" t="str">
        <f ca="1">IFERROR(IF(COUNTIF($A$3:A138,A138)&lt; INDEX(TinhGia!$BH$10:$BH$81,MATCH($A138,TinhGia!$B$10:$B$81,0)),$A138,INDEX(TinhGia!$B$10:$B$81,MATCH($A138,TinhGia!$B$10:$B$81,0)+1)),"")</f>
        <v/>
      </c>
      <c r="B139" s="525" t="str">
        <f ca="1">IF(OR(A139="",A139=0),"",IF(COUNTIF($A$2:A139,$A139)=1,ROW(MauKoXoa!$C$108),$B138+1))</f>
        <v/>
      </c>
      <c r="C139" s="992" t="str">
        <f t="shared" ca="1" si="27"/>
        <v/>
      </c>
      <c r="D139" s="993" t="str">
        <f t="shared" ca="1" si="28"/>
        <v/>
      </c>
      <c r="E139" s="993" t="str">
        <f t="shared" ca="1" si="29"/>
        <v/>
      </c>
      <c r="F139" s="992" t="str">
        <f t="shared" ca="1" si="26"/>
        <v/>
      </c>
      <c r="G139" s="994">
        <f t="shared" ca="1" si="30"/>
        <v>0</v>
      </c>
      <c r="H139" s="913">
        <f t="shared" ca="1" si="31"/>
        <v>0</v>
      </c>
      <c r="I139" s="913">
        <f t="shared" ca="1" si="32"/>
        <v>0</v>
      </c>
      <c r="J139" s="995">
        <f t="shared" ca="1" si="33"/>
        <v>0</v>
      </c>
      <c r="K139" s="913">
        <f t="shared" ca="1" si="34"/>
        <v>0</v>
      </c>
      <c r="L139" s="995">
        <f t="shared" ca="1" si="35"/>
        <v>0</v>
      </c>
      <c r="M139" s="913">
        <f t="shared" ca="1" si="36"/>
        <v>0</v>
      </c>
      <c r="N139" s="996">
        <f t="shared" ca="1" si="37"/>
        <v>0</v>
      </c>
      <c r="O139" s="997">
        <f t="shared" ca="1" si="38"/>
        <v>0</v>
      </c>
      <c r="P139" s="1015" t="str">
        <f ca="1">IF($C139="","",INDEX(NVLSX!$N$2:$N$6941,MATCH($C139,NVLSX!$E$2:$E$6941,0)))</f>
        <v/>
      </c>
      <c r="Q139" s="1016" t="str">
        <f ca="1">IF($R139="","",IF(XKNVLSX!$X$1="",IF($P139=$V$7,$P139, IF(COUNTIFS($C$2:$C138,$C139,$E$2:$E138,$E139)&gt;=1,"",$P139)),     IF(AND(IFERROR(SEARCH($R139,XKNVLSX!$X$1,1),0)&gt;=1,$P139=$V$7),$P139, IF(OR($R139&lt;&gt;IF(IFERROR(SEARCH($R139,XKNVLSX!$X$1,1),0)&gt;=1,$R139,XKNVLSX!$X$1),COUNTIFS($C$2:$C138,$C139,$E$2:$E138,$E139,$Q$2:$Q138,$P139)&gt;=1),"",$P139))))</f>
        <v/>
      </c>
      <c r="R139" s="1017" t="str">
        <f ca="1">IF($A139="","",IFERROR(INDEX(TinhGia!$BF$10:$BF$81,MATCH($A139,TinhGia!$B$10:$B$81,0)),""))</f>
        <v/>
      </c>
      <c r="S139" s="1012" t="str">
        <f ca="1">IF($A139="","",IF(OR(IFERROR(SEARCH($R139,XKNVLSX!$X$1,1),0)&gt;=1,XKNVLSX!$X$1=""),$S$2,""))</f>
        <v/>
      </c>
      <c r="T139" s="1018" t="str">
        <f ca="1">IF($C139="","", IF(OR($P139=$V$1,$P139=$V$7,COUNTIFS($C$3:$C139,$C139,$E$3:$E139,$E139)&lt;=1),$P139,""    ))</f>
        <v/>
      </c>
      <c r="U139" s="1019" t="str">
        <f ca="1">IF(AND($P139=$V$2,COUNTIFS($C$3:$C139,$C139,$E$3:$E139,$E139,$G$3:$G139,$G139)&lt;=1),$P139,"")</f>
        <v/>
      </c>
    </row>
    <row r="140" spans="1:21">
      <c r="A140" s="991" t="str">
        <f ca="1">IFERROR(IF(COUNTIF($A$3:A139,A139)&lt; INDEX(TinhGia!$BH$10:$BH$81,MATCH($A139,TinhGia!$B$10:$B$81,0)),$A139,INDEX(TinhGia!$B$10:$B$81,MATCH($A139,TinhGia!$B$10:$B$81,0)+1)),"")</f>
        <v/>
      </c>
      <c r="B140" s="525" t="str">
        <f ca="1">IF(OR(A140="",A140=0),"",IF(COUNTIF($A$2:A140,$A140)=1,ROW(MauKoXoa!$C$108),$B139+1))</f>
        <v/>
      </c>
      <c r="C140" s="992" t="str">
        <f t="shared" ca="1" si="27"/>
        <v/>
      </c>
      <c r="D140" s="993" t="str">
        <f t="shared" ca="1" si="28"/>
        <v/>
      </c>
      <c r="E140" s="993" t="str">
        <f t="shared" ca="1" si="29"/>
        <v/>
      </c>
      <c r="F140" s="992" t="str">
        <f t="shared" ca="1" si="26"/>
        <v/>
      </c>
      <c r="G140" s="994">
        <f t="shared" ca="1" si="30"/>
        <v>0</v>
      </c>
      <c r="H140" s="913">
        <f t="shared" ca="1" si="31"/>
        <v>0</v>
      </c>
      <c r="I140" s="913">
        <f t="shared" ca="1" si="32"/>
        <v>0</v>
      </c>
      <c r="J140" s="995">
        <f t="shared" ca="1" si="33"/>
        <v>0</v>
      </c>
      <c r="K140" s="913">
        <f t="shared" ca="1" si="34"/>
        <v>0</v>
      </c>
      <c r="L140" s="995">
        <f t="shared" ca="1" si="35"/>
        <v>0</v>
      </c>
      <c r="M140" s="913">
        <f t="shared" ca="1" si="36"/>
        <v>0</v>
      </c>
      <c r="N140" s="996">
        <f t="shared" ca="1" si="37"/>
        <v>0</v>
      </c>
      <c r="O140" s="997">
        <f t="shared" ca="1" si="38"/>
        <v>0</v>
      </c>
      <c r="P140" s="1015" t="str">
        <f ca="1">IF($C140="","",INDEX(NVLSX!$N$2:$N$6941,MATCH($C140,NVLSX!$E$2:$E$6941,0)))</f>
        <v/>
      </c>
      <c r="Q140" s="1016" t="str">
        <f ca="1">IF($R140="","",IF(XKNVLSX!$X$1="",IF($P140=$V$7,$P140, IF(COUNTIFS($C$2:$C139,$C140,$E$2:$E139,$E140)&gt;=1,"",$P140)),     IF(AND(IFERROR(SEARCH($R140,XKNVLSX!$X$1,1),0)&gt;=1,$P140=$V$7),$P140, IF(OR($R140&lt;&gt;IF(IFERROR(SEARCH($R140,XKNVLSX!$X$1,1),0)&gt;=1,$R140,XKNVLSX!$X$1),COUNTIFS($C$2:$C139,$C140,$E$2:$E139,$E140,$Q$2:$Q139,$P140)&gt;=1),"",$P140))))</f>
        <v/>
      </c>
      <c r="R140" s="1017" t="str">
        <f ca="1">IF($A140="","",IFERROR(INDEX(TinhGia!$BF$10:$BF$81,MATCH($A140,TinhGia!$B$10:$B$81,0)),""))</f>
        <v/>
      </c>
      <c r="S140" s="1012" t="str">
        <f ca="1">IF($A140="","",IF(OR(IFERROR(SEARCH($R140,XKNVLSX!$X$1,1),0)&gt;=1,XKNVLSX!$X$1=""),$S$2,""))</f>
        <v/>
      </c>
      <c r="T140" s="1018" t="str">
        <f ca="1">IF($C140="","", IF(OR($P140=$V$1,$P140=$V$7,COUNTIFS($C$3:$C140,$C140,$E$3:$E140,$E140)&lt;=1),$P140,""    ))</f>
        <v/>
      </c>
      <c r="U140" s="1019" t="str">
        <f ca="1">IF(AND($P140=$V$2,COUNTIFS($C$3:$C140,$C140,$E$3:$E140,$E140,$G$3:$G140,$G140)&lt;=1),$P140,"")</f>
        <v/>
      </c>
    </row>
    <row r="141" spans="1:21">
      <c r="A141" s="991" t="str">
        <f ca="1">IFERROR(IF(COUNTIF($A$3:A140,A140)&lt; INDEX(TinhGia!$BH$10:$BH$81,MATCH($A140,TinhGia!$B$10:$B$81,0)),$A140,INDEX(TinhGia!$B$10:$B$81,MATCH($A140,TinhGia!$B$10:$B$81,0)+1)),"")</f>
        <v/>
      </c>
      <c r="B141" s="525" t="str">
        <f ca="1">IF(OR(A141="",A141=0),"",IF(COUNTIF($A$2:A141,$A141)=1,ROW(MauKoXoa!$C$108),$B140+1))</f>
        <v/>
      </c>
      <c r="C141" s="992" t="str">
        <f t="shared" ca="1" si="27"/>
        <v/>
      </c>
      <c r="D141" s="993" t="str">
        <f t="shared" ca="1" si="28"/>
        <v/>
      </c>
      <c r="E141" s="993" t="str">
        <f t="shared" ca="1" si="29"/>
        <v/>
      </c>
      <c r="F141" s="992" t="str">
        <f t="shared" ca="1" si="26"/>
        <v/>
      </c>
      <c r="G141" s="994">
        <f t="shared" ca="1" si="30"/>
        <v>0</v>
      </c>
      <c r="H141" s="913">
        <f t="shared" ca="1" si="31"/>
        <v>0</v>
      </c>
      <c r="I141" s="913">
        <f t="shared" ca="1" si="32"/>
        <v>0</v>
      </c>
      <c r="J141" s="995">
        <f t="shared" ca="1" si="33"/>
        <v>0</v>
      </c>
      <c r="K141" s="913">
        <f t="shared" ca="1" si="34"/>
        <v>0</v>
      </c>
      <c r="L141" s="995">
        <f t="shared" ca="1" si="35"/>
        <v>0</v>
      </c>
      <c r="M141" s="913">
        <f t="shared" ca="1" si="36"/>
        <v>0</v>
      </c>
      <c r="N141" s="996">
        <f t="shared" ca="1" si="37"/>
        <v>0</v>
      </c>
      <c r="O141" s="997">
        <f t="shared" ca="1" si="38"/>
        <v>0</v>
      </c>
      <c r="P141" s="1015" t="str">
        <f ca="1">IF($C141="","",INDEX(NVLSX!$N$2:$N$6941,MATCH($C141,NVLSX!$E$2:$E$6941,0)))</f>
        <v/>
      </c>
      <c r="Q141" s="1016" t="str">
        <f ca="1">IF($R141="","",IF(XKNVLSX!$X$1="",IF($P141=$V$7,$P141, IF(COUNTIFS($C$2:$C140,$C141,$E$2:$E140,$E141)&gt;=1,"",$P141)),     IF(AND(IFERROR(SEARCH($R141,XKNVLSX!$X$1,1),0)&gt;=1,$P141=$V$7),$P141, IF(OR($R141&lt;&gt;IF(IFERROR(SEARCH($R141,XKNVLSX!$X$1,1),0)&gt;=1,$R141,XKNVLSX!$X$1),COUNTIFS($C$2:$C140,$C141,$E$2:$E140,$E141,$Q$2:$Q140,$P141)&gt;=1),"",$P141))))</f>
        <v/>
      </c>
      <c r="R141" s="1017" t="str">
        <f ca="1">IF($A141="","",IFERROR(INDEX(TinhGia!$BF$10:$BF$81,MATCH($A141,TinhGia!$B$10:$B$81,0)),""))</f>
        <v/>
      </c>
      <c r="S141" s="1012" t="str">
        <f ca="1">IF($A141="","",IF(OR(IFERROR(SEARCH($R141,XKNVLSX!$X$1,1),0)&gt;=1,XKNVLSX!$X$1=""),$S$2,""))</f>
        <v/>
      </c>
      <c r="T141" s="1018" t="str">
        <f ca="1">IF($C141="","", IF(OR($P141=$V$1,$P141=$V$7,COUNTIFS($C$3:$C141,$C141,$E$3:$E141,$E141)&lt;=1),$P141,""    ))</f>
        <v/>
      </c>
      <c r="U141" s="1019" t="str">
        <f ca="1">IF(AND($P141=$V$2,COUNTIFS($C$3:$C141,$C141,$E$3:$E141,$E141,$G$3:$G141,$G141)&lt;=1),$P141,"")</f>
        <v/>
      </c>
    </row>
    <row r="142" spans="1:21">
      <c r="A142" s="991" t="str">
        <f ca="1">IFERROR(IF(COUNTIF($A$3:A141,A141)&lt; INDEX(TinhGia!$BH$10:$BH$81,MATCH($A141,TinhGia!$B$10:$B$81,0)),$A141,INDEX(TinhGia!$B$10:$B$81,MATCH($A141,TinhGia!$B$10:$B$81,0)+1)),"")</f>
        <v/>
      </c>
      <c r="B142" s="525" t="str">
        <f ca="1">IF(OR(A142="",A142=0),"",IF(COUNTIF($A$2:A142,$A142)=1,ROW(MauKoXoa!$C$108),$B141+1))</f>
        <v/>
      </c>
      <c r="C142" s="992" t="str">
        <f t="shared" ca="1" si="27"/>
        <v/>
      </c>
      <c r="D142" s="993" t="str">
        <f t="shared" ca="1" si="28"/>
        <v/>
      </c>
      <c r="E142" s="993" t="str">
        <f t="shared" ca="1" si="29"/>
        <v/>
      </c>
      <c r="F142" s="992" t="str">
        <f t="shared" ca="1" si="26"/>
        <v/>
      </c>
      <c r="G142" s="994">
        <f t="shared" ca="1" si="30"/>
        <v>0</v>
      </c>
      <c r="H142" s="913">
        <f t="shared" ca="1" si="31"/>
        <v>0</v>
      </c>
      <c r="I142" s="913">
        <f t="shared" ca="1" si="32"/>
        <v>0</v>
      </c>
      <c r="J142" s="995">
        <f t="shared" ca="1" si="33"/>
        <v>0</v>
      </c>
      <c r="K142" s="913">
        <f t="shared" ca="1" si="34"/>
        <v>0</v>
      </c>
      <c r="L142" s="995">
        <f t="shared" ca="1" si="35"/>
        <v>0</v>
      </c>
      <c r="M142" s="913">
        <f t="shared" ca="1" si="36"/>
        <v>0</v>
      </c>
      <c r="N142" s="996">
        <f t="shared" ca="1" si="37"/>
        <v>0</v>
      </c>
      <c r="O142" s="997">
        <f t="shared" ca="1" si="38"/>
        <v>0</v>
      </c>
      <c r="P142" s="1015" t="str">
        <f ca="1">IF($C142="","",INDEX(NVLSX!$N$2:$N$6941,MATCH($C142,NVLSX!$E$2:$E$6941,0)))</f>
        <v/>
      </c>
      <c r="Q142" s="1016" t="str">
        <f ca="1">IF($R142="","",IF(XKNVLSX!$X$1="",IF($P142=$V$7,$P142, IF(COUNTIFS($C$2:$C141,$C142,$E$2:$E141,$E142)&gt;=1,"",$P142)),     IF(AND(IFERROR(SEARCH($R142,XKNVLSX!$X$1,1),0)&gt;=1,$P142=$V$7),$P142, IF(OR($R142&lt;&gt;IF(IFERROR(SEARCH($R142,XKNVLSX!$X$1,1),0)&gt;=1,$R142,XKNVLSX!$X$1),COUNTIFS($C$2:$C141,$C142,$E$2:$E141,$E142,$Q$2:$Q141,$P142)&gt;=1),"",$P142))))</f>
        <v/>
      </c>
      <c r="R142" s="1017" t="str">
        <f ca="1">IF($A142="","",IFERROR(INDEX(TinhGia!$BF$10:$BF$81,MATCH($A142,TinhGia!$B$10:$B$81,0)),""))</f>
        <v/>
      </c>
      <c r="S142" s="1012" t="str">
        <f ca="1">IF($A142="","",IF(OR(IFERROR(SEARCH($R142,XKNVLSX!$X$1,1),0)&gt;=1,XKNVLSX!$X$1=""),$S$2,""))</f>
        <v/>
      </c>
      <c r="T142" s="1018" t="str">
        <f ca="1">IF($C142="","", IF(OR($P142=$V$1,$P142=$V$7,COUNTIFS($C$3:$C142,$C142,$E$3:$E142,$E142)&lt;=1),$P142,""    ))</f>
        <v/>
      </c>
      <c r="U142" s="1019" t="str">
        <f ca="1">IF(AND($P142=$V$2,COUNTIFS($C$3:$C142,$C142,$E$3:$E142,$E142,$G$3:$G142,$G142)&lt;=1),$P142,"")</f>
        <v/>
      </c>
    </row>
    <row r="143" spans="1:21">
      <c r="A143" s="991" t="str">
        <f ca="1">IFERROR(IF(COUNTIF($A$3:A142,A142)&lt; INDEX(TinhGia!$BH$10:$BH$81,MATCH($A142,TinhGia!$B$10:$B$81,0)),$A142,INDEX(TinhGia!$B$10:$B$81,MATCH($A142,TinhGia!$B$10:$B$81,0)+1)),"")</f>
        <v/>
      </c>
      <c r="B143" s="525" t="str">
        <f ca="1">IF(OR(A143="",A143=0),"",IF(COUNTIF($A$2:A143,$A143)=1,ROW(MauKoXoa!$C$108),$B142+1))</f>
        <v/>
      </c>
      <c r="C143" s="992" t="str">
        <f t="shared" ca="1" si="27"/>
        <v/>
      </c>
      <c r="D143" s="993" t="str">
        <f t="shared" ca="1" si="28"/>
        <v/>
      </c>
      <c r="E143" s="993" t="str">
        <f t="shared" ca="1" si="29"/>
        <v/>
      </c>
      <c r="F143" s="992" t="str">
        <f t="shared" ca="1" si="26"/>
        <v/>
      </c>
      <c r="G143" s="994">
        <f t="shared" ca="1" si="30"/>
        <v>0</v>
      </c>
      <c r="H143" s="913">
        <f t="shared" ca="1" si="31"/>
        <v>0</v>
      </c>
      <c r="I143" s="913">
        <f t="shared" ca="1" si="32"/>
        <v>0</v>
      </c>
      <c r="J143" s="995">
        <f t="shared" ca="1" si="33"/>
        <v>0</v>
      </c>
      <c r="K143" s="913">
        <f t="shared" ca="1" si="34"/>
        <v>0</v>
      </c>
      <c r="L143" s="995">
        <f t="shared" ca="1" si="35"/>
        <v>0</v>
      </c>
      <c r="M143" s="913">
        <f t="shared" ca="1" si="36"/>
        <v>0</v>
      </c>
      <c r="N143" s="996">
        <f t="shared" ca="1" si="37"/>
        <v>0</v>
      </c>
      <c r="O143" s="997">
        <f t="shared" ca="1" si="38"/>
        <v>0</v>
      </c>
      <c r="P143" s="1015" t="str">
        <f ca="1">IF($C143="","",INDEX(NVLSX!$N$2:$N$6941,MATCH($C143,NVLSX!$E$2:$E$6941,0)))</f>
        <v/>
      </c>
      <c r="Q143" s="1016" t="str">
        <f ca="1">IF($R143="","",IF(XKNVLSX!$X$1="",IF($P143=$V$7,$P143, IF(COUNTIFS($C$2:$C142,$C143,$E$2:$E142,$E143)&gt;=1,"",$P143)),     IF(AND(IFERROR(SEARCH($R143,XKNVLSX!$X$1,1),0)&gt;=1,$P143=$V$7),$P143, IF(OR($R143&lt;&gt;IF(IFERROR(SEARCH($R143,XKNVLSX!$X$1,1),0)&gt;=1,$R143,XKNVLSX!$X$1),COUNTIFS($C$2:$C142,$C143,$E$2:$E142,$E143,$Q$2:$Q142,$P143)&gt;=1),"",$P143))))</f>
        <v/>
      </c>
      <c r="R143" s="1017" t="str">
        <f ca="1">IF($A143="","",IFERROR(INDEX(TinhGia!$BF$10:$BF$81,MATCH($A143,TinhGia!$B$10:$B$81,0)),""))</f>
        <v/>
      </c>
      <c r="S143" s="1012" t="str">
        <f ca="1">IF($A143="","",IF(OR(IFERROR(SEARCH($R143,XKNVLSX!$X$1,1),0)&gt;=1,XKNVLSX!$X$1=""),$S$2,""))</f>
        <v/>
      </c>
      <c r="T143" s="1018" t="str">
        <f ca="1">IF($C143="","", IF(OR($P143=$V$1,$P143=$V$7,COUNTIFS($C$3:$C143,$C143,$E$3:$E143,$E143)&lt;=1),$P143,""    ))</f>
        <v/>
      </c>
      <c r="U143" s="1019" t="str">
        <f ca="1">IF(AND($P143=$V$2,COUNTIFS($C$3:$C143,$C143,$E$3:$E143,$E143,$G$3:$G143,$G143)&lt;=1),$P143,"")</f>
        <v/>
      </c>
    </row>
    <row r="144" spans="1:21">
      <c r="A144" s="991" t="str">
        <f ca="1">IFERROR(IF(COUNTIF($A$3:A143,A143)&lt; INDEX(TinhGia!$BH$10:$BH$81,MATCH($A143,TinhGia!$B$10:$B$81,0)),$A143,INDEX(TinhGia!$B$10:$B$81,MATCH($A143,TinhGia!$B$10:$B$81,0)+1)),"")</f>
        <v/>
      </c>
      <c r="B144" s="525" t="str">
        <f ca="1">IF(OR(A144="",A144=0),"",IF(COUNTIF($A$2:A144,$A144)=1,ROW(MauKoXoa!$C$108),$B143+1))</f>
        <v/>
      </c>
      <c r="C144" s="992" t="str">
        <f t="shared" ca="1" si="27"/>
        <v/>
      </c>
      <c r="D144" s="993" t="str">
        <f t="shared" ca="1" si="28"/>
        <v/>
      </c>
      <c r="E144" s="993" t="str">
        <f t="shared" ca="1" si="29"/>
        <v/>
      </c>
      <c r="F144" s="992" t="str">
        <f t="shared" ca="1" si="26"/>
        <v/>
      </c>
      <c r="G144" s="994">
        <f t="shared" ca="1" si="30"/>
        <v>0</v>
      </c>
      <c r="H144" s="913">
        <f t="shared" ca="1" si="31"/>
        <v>0</v>
      </c>
      <c r="I144" s="913">
        <f t="shared" ca="1" si="32"/>
        <v>0</v>
      </c>
      <c r="J144" s="995">
        <f t="shared" ca="1" si="33"/>
        <v>0</v>
      </c>
      <c r="K144" s="913">
        <f t="shared" ca="1" si="34"/>
        <v>0</v>
      </c>
      <c r="L144" s="995">
        <f t="shared" ca="1" si="35"/>
        <v>0</v>
      </c>
      <c r="M144" s="913">
        <f t="shared" ca="1" si="36"/>
        <v>0</v>
      </c>
      <c r="N144" s="996">
        <f t="shared" ca="1" si="37"/>
        <v>0</v>
      </c>
      <c r="O144" s="997">
        <f t="shared" ca="1" si="38"/>
        <v>0</v>
      </c>
      <c r="P144" s="1015" t="str">
        <f ca="1">IF($C144="","",INDEX(NVLSX!$N$2:$N$6941,MATCH($C144,NVLSX!$E$2:$E$6941,0)))</f>
        <v/>
      </c>
      <c r="Q144" s="1016" t="str">
        <f ca="1">IF($R144="","",IF(XKNVLSX!$X$1="",IF($P144=$V$7,$P144, IF(COUNTIFS($C$2:$C143,$C144,$E$2:$E143,$E144)&gt;=1,"",$P144)),     IF(AND(IFERROR(SEARCH($R144,XKNVLSX!$X$1,1),0)&gt;=1,$P144=$V$7),$P144, IF(OR($R144&lt;&gt;IF(IFERROR(SEARCH($R144,XKNVLSX!$X$1,1),0)&gt;=1,$R144,XKNVLSX!$X$1),COUNTIFS($C$2:$C143,$C144,$E$2:$E143,$E144,$Q$2:$Q143,$P144)&gt;=1),"",$P144))))</f>
        <v/>
      </c>
      <c r="R144" s="1017" t="str">
        <f ca="1">IF($A144="","",IFERROR(INDEX(TinhGia!$BF$10:$BF$81,MATCH($A144,TinhGia!$B$10:$B$81,0)),""))</f>
        <v/>
      </c>
      <c r="S144" s="1012" t="str">
        <f ca="1">IF($A144="","",IF(OR(IFERROR(SEARCH($R144,XKNVLSX!$X$1,1),0)&gt;=1,XKNVLSX!$X$1=""),$S$2,""))</f>
        <v/>
      </c>
      <c r="T144" s="1018" t="str">
        <f ca="1">IF($C144="","", IF(OR($P144=$V$1,$P144=$V$7,COUNTIFS($C$3:$C144,$C144,$E$3:$E144,$E144)&lt;=1),$P144,""    ))</f>
        <v/>
      </c>
      <c r="U144" s="1019" t="str">
        <f ca="1">IF(AND($P144=$V$2,COUNTIFS($C$3:$C144,$C144,$E$3:$E144,$E144,$G$3:$G144,$G144)&lt;=1),$P144,"")</f>
        <v/>
      </c>
    </row>
    <row r="145" spans="1:21">
      <c r="A145" s="991" t="str">
        <f ca="1">IFERROR(IF(COUNTIF($A$3:A144,A144)&lt; INDEX(TinhGia!$BH$10:$BH$81,MATCH($A144,TinhGia!$B$10:$B$81,0)),$A144,INDEX(TinhGia!$B$10:$B$81,MATCH($A144,TinhGia!$B$10:$B$81,0)+1)),"")</f>
        <v/>
      </c>
      <c r="B145" s="525" t="str">
        <f ca="1">IF(OR(A145="",A145=0),"",IF(COUNTIF($A$2:A145,$A145)=1,ROW(MauKoXoa!$C$108),$B144+1))</f>
        <v/>
      </c>
      <c r="C145" s="992" t="str">
        <f t="shared" ca="1" si="27"/>
        <v/>
      </c>
      <c r="D145" s="993" t="str">
        <f t="shared" ca="1" si="28"/>
        <v/>
      </c>
      <c r="E145" s="993" t="str">
        <f t="shared" ca="1" si="29"/>
        <v/>
      </c>
      <c r="F145" s="992" t="str">
        <f t="shared" ca="1" si="26"/>
        <v/>
      </c>
      <c r="G145" s="994">
        <f t="shared" ca="1" si="30"/>
        <v>0</v>
      </c>
      <c r="H145" s="913">
        <f t="shared" ca="1" si="31"/>
        <v>0</v>
      </c>
      <c r="I145" s="913">
        <f t="shared" ca="1" si="32"/>
        <v>0</v>
      </c>
      <c r="J145" s="995">
        <f t="shared" ca="1" si="33"/>
        <v>0</v>
      </c>
      <c r="K145" s="913">
        <f t="shared" ca="1" si="34"/>
        <v>0</v>
      </c>
      <c r="L145" s="995">
        <f t="shared" ca="1" si="35"/>
        <v>0</v>
      </c>
      <c r="M145" s="913">
        <f t="shared" ca="1" si="36"/>
        <v>0</v>
      </c>
      <c r="N145" s="996">
        <f t="shared" ca="1" si="37"/>
        <v>0</v>
      </c>
      <c r="O145" s="997">
        <f t="shared" ca="1" si="38"/>
        <v>0</v>
      </c>
      <c r="P145" s="1015" t="str">
        <f ca="1">IF($C145="","",INDEX(NVLSX!$N$2:$N$6941,MATCH($C145,NVLSX!$E$2:$E$6941,0)))</f>
        <v/>
      </c>
      <c r="Q145" s="1016" t="str">
        <f ca="1">IF($R145="","",IF(XKNVLSX!$X$1="",IF($P145=$V$7,$P145, IF(COUNTIFS($C$2:$C144,$C145,$E$2:$E144,$E145)&gt;=1,"",$P145)),     IF(AND(IFERROR(SEARCH($R145,XKNVLSX!$X$1,1),0)&gt;=1,$P145=$V$7),$P145, IF(OR($R145&lt;&gt;IF(IFERROR(SEARCH($R145,XKNVLSX!$X$1,1),0)&gt;=1,$R145,XKNVLSX!$X$1),COUNTIFS($C$2:$C144,$C145,$E$2:$E144,$E145,$Q$2:$Q144,$P145)&gt;=1),"",$P145))))</f>
        <v/>
      </c>
      <c r="R145" s="1017" t="str">
        <f ca="1">IF($A145="","",IFERROR(INDEX(TinhGia!$BF$10:$BF$81,MATCH($A145,TinhGia!$B$10:$B$81,0)),""))</f>
        <v/>
      </c>
      <c r="S145" s="1012" t="str">
        <f ca="1">IF($A145="","",IF(OR(IFERROR(SEARCH($R145,XKNVLSX!$X$1,1),0)&gt;=1,XKNVLSX!$X$1=""),$S$2,""))</f>
        <v/>
      </c>
      <c r="T145" s="1018" t="str">
        <f ca="1">IF($C145="","", IF(OR($P145=$V$1,$P145=$V$7,COUNTIFS($C$3:$C145,$C145,$E$3:$E145,$E145)&lt;=1),$P145,""    ))</f>
        <v/>
      </c>
      <c r="U145" s="1019" t="str">
        <f ca="1">IF(AND($P145=$V$2,COUNTIFS($C$3:$C145,$C145,$E$3:$E145,$E145,$G$3:$G145,$G145)&lt;=1),$P145,"")</f>
        <v/>
      </c>
    </row>
    <row r="146" spans="1:21">
      <c r="A146" s="991" t="str">
        <f ca="1">IFERROR(IF(COUNTIF($A$3:A145,A145)&lt; INDEX(TinhGia!$BH$10:$BH$81,MATCH($A145,TinhGia!$B$10:$B$81,0)),$A145,INDEX(TinhGia!$B$10:$B$81,MATCH($A145,TinhGia!$B$10:$B$81,0)+1)),"")</f>
        <v/>
      </c>
      <c r="B146" s="525" t="str">
        <f ca="1">IF(OR(A146="",A146=0),"",IF(COUNTIF($A$2:A146,$A146)=1,ROW(MauKoXoa!$C$108),$B145+1))</f>
        <v/>
      </c>
      <c r="C146" s="992" t="str">
        <f t="shared" ca="1" si="27"/>
        <v/>
      </c>
      <c r="D146" s="993" t="str">
        <f t="shared" ca="1" si="28"/>
        <v/>
      </c>
      <c r="E146" s="993" t="str">
        <f t="shared" ca="1" si="29"/>
        <v/>
      </c>
      <c r="F146" s="992" t="str">
        <f t="shared" ca="1" si="26"/>
        <v/>
      </c>
      <c r="G146" s="994">
        <f t="shared" ca="1" si="30"/>
        <v>0</v>
      </c>
      <c r="H146" s="913">
        <f t="shared" ca="1" si="31"/>
        <v>0</v>
      </c>
      <c r="I146" s="913">
        <f t="shared" ca="1" si="32"/>
        <v>0</v>
      </c>
      <c r="J146" s="995">
        <f t="shared" ca="1" si="33"/>
        <v>0</v>
      </c>
      <c r="K146" s="913">
        <f t="shared" ca="1" si="34"/>
        <v>0</v>
      </c>
      <c r="L146" s="995">
        <f t="shared" ca="1" si="35"/>
        <v>0</v>
      </c>
      <c r="M146" s="913">
        <f t="shared" ca="1" si="36"/>
        <v>0</v>
      </c>
      <c r="N146" s="996">
        <f t="shared" ca="1" si="37"/>
        <v>0</v>
      </c>
      <c r="O146" s="997">
        <f t="shared" ca="1" si="38"/>
        <v>0</v>
      </c>
      <c r="P146" s="1015" t="str">
        <f ca="1">IF($C146="","",INDEX(NVLSX!$N$2:$N$6941,MATCH($C146,NVLSX!$E$2:$E$6941,0)))</f>
        <v/>
      </c>
      <c r="Q146" s="1016" t="str">
        <f ca="1">IF($R146="","",IF(XKNVLSX!$X$1="",IF($P146=$V$7,$P146, IF(COUNTIFS($C$2:$C145,$C146,$E$2:$E145,$E146)&gt;=1,"",$P146)),     IF(AND(IFERROR(SEARCH($R146,XKNVLSX!$X$1,1),0)&gt;=1,$P146=$V$7),$P146, IF(OR($R146&lt;&gt;IF(IFERROR(SEARCH($R146,XKNVLSX!$X$1,1),0)&gt;=1,$R146,XKNVLSX!$X$1),COUNTIFS($C$2:$C145,$C146,$E$2:$E145,$E146,$Q$2:$Q145,$P146)&gt;=1),"",$P146))))</f>
        <v/>
      </c>
      <c r="R146" s="1017" t="str">
        <f ca="1">IF($A146="","",IFERROR(INDEX(TinhGia!$BF$10:$BF$81,MATCH($A146,TinhGia!$B$10:$B$81,0)),""))</f>
        <v/>
      </c>
      <c r="S146" s="1012" t="str">
        <f ca="1">IF($A146="","",IF(OR(IFERROR(SEARCH($R146,XKNVLSX!$X$1,1),0)&gt;=1,XKNVLSX!$X$1=""),$S$2,""))</f>
        <v/>
      </c>
      <c r="T146" s="1018" t="str">
        <f ca="1">IF($C146="","", IF(OR($P146=$V$1,$P146=$V$7,COUNTIFS($C$3:$C146,$C146,$E$3:$E146,$E146)&lt;=1),$P146,""    ))</f>
        <v/>
      </c>
      <c r="U146" s="1019" t="str">
        <f ca="1">IF(AND($P146=$V$2,COUNTIFS($C$3:$C146,$C146,$E$3:$E146,$E146,$G$3:$G146,$G146)&lt;=1),$P146,"")</f>
        <v/>
      </c>
    </row>
    <row r="147" spans="1:21">
      <c r="A147" s="991" t="str">
        <f ca="1">IFERROR(IF(COUNTIF($A$3:A146,A146)&lt; INDEX(TinhGia!$BH$10:$BH$81,MATCH($A146,TinhGia!$B$10:$B$81,0)),$A146,INDEX(TinhGia!$B$10:$B$81,MATCH($A146,TinhGia!$B$10:$B$81,0)+1)),"")</f>
        <v/>
      </c>
      <c r="B147" s="525" t="str">
        <f ca="1">IF(OR(A147="",A147=0),"",IF(COUNTIF($A$2:A147,$A147)=1,ROW(MauKoXoa!$C$108),$B146+1))</f>
        <v/>
      </c>
      <c r="C147" s="992" t="str">
        <f t="shared" ca="1" si="27"/>
        <v/>
      </c>
      <c r="D147" s="993" t="str">
        <f t="shared" ca="1" si="28"/>
        <v/>
      </c>
      <c r="E147" s="993" t="str">
        <f t="shared" ca="1" si="29"/>
        <v/>
      </c>
      <c r="F147" s="992" t="str">
        <f t="shared" ca="1" si="26"/>
        <v/>
      </c>
      <c r="G147" s="994">
        <f t="shared" ca="1" si="30"/>
        <v>0</v>
      </c>
      <c r="H147" s="913">
        <f t="shared" ca="1" si="31"/>
        <v>0</v>
      </c>
      <c r="I147" s="913">
        <f t="shared" ca="1" si="32"/>
        <v>0</v>
      </c>
      <c r="J147" s="995">
        <f t="shared" ca="1" si="33"/>
        <v>0</v>
      </c>
      <c r="K147" s="913">
        <f t="shared" ca="1" si="34"/>
        <v>0</v>
      </c>
      <c r="L147" s="995">
        <f t="shared" ca="1" si="35"/>
        <v>0</v>
      </c>
      <c r="M147" s="913">
        <f t="shared" ca="1" si="36"/>
        <v>0</v>
      </c>
      <c r="N147" s="996">
        <f t="shared" ca="1" si="37"/>
        <v>0</v>
      </c>
      <c r="O147" s="997">
        <f t="shared" ca="1" si="38"/>
        <v>0</v>
      </c>
      <c r="P147" s="1015" t="str">
        <f ca="1">IF($C147="","",INDEX(NVLSX!$N$2:$N$6941,MATCH($C147,NVLSX!$E$2:$E$6941,0)))</f>
        <v/>
      </c>
      <c r="Q147" s="1016" t="str">
        <f ca="1">IF($R147="","",IF(XKNVLSX!$X$1="",IF($P147=$V$7,$P147, IF(COUNTIFS($C$2:$C146,$C147,$E$2:$E146,$E147)&gt;=1,"",$P147)),     IF(AND(IFERROR(SEARCH($R147,XKNVLSX!$X$1,1),0)&gt;=1,$P147=$V$7),$P147, IF(OR($R147&lt;&gt;IF(IFERROR(SEARCH($R147,XKNVLSX!$X$1,1),0)&gt;=1,$R147,XKNVLSX!$X$1),COUNTIFS($C$2:$C146,$C147,$E$2:$E146,$E147,$Q$2:$Q146,$P147)&gt;=1),"",$P147))))</f>
        <v/>
      </c>
      <c r="R147" s="1017" t="str">
        <f ca="1">IF($A147="","",IFERROR(INDEX(TinhGia!$BF$10:$BF$81,MATCH($A147,TinhGia!$B$10:$B$81,0)),""))</f>
        <v/>
      </c>
      <c r="S147" s="1012" t="str">
        <f ca="1">IF($A147="","",IF(OR(IFERROR(SEARCH($R147,XKNVLSX!$X$1,1),0)&gt;=1,XKNVLSX!$X$1=""),$S$2,""))</f>
        <v/>
      </c>
      <c r="T147" s="1018" t="str">
        <f ca="1">IF($C147="","", IF(OR($P147=$V$1,$P147=$V$7,COUNTIFS($C$3:$C147,$C147,$E$3:$E147,$E147)&lt;=1),$P147,""    ))</f>
        <v/>
      </c>
      <c r="U147" s="1019" t="str">
        <f ca="1">IF(AND($P147=$V$2,COUNTIFS($C$3:$C147,$C147,$E$3:$E147,$E147,$G$3:$G147,$G147)&lt;=1),$P147,"")</f>
        <v/>
      </c>
    </row>
    <row r="148" spans="1:21">
      <c r="A148" s="991" t="str">
        <f ca="1">IFERROR(IF(COUNTIF($A$3:A147,A147)&lt; INDEX(TinhGia!$BH$10:$BH$81,MATCH($A147,TinhGia!$B$10:$B$81,0)),$A147,INDEX(TinhGia!$B$10:$B$81,MATCH($A147,TinhGia!$B$10:$B$81,0)+1)),"")</f>
        <v/>
      </c>
      <c r="B148" s="525" t="str">
        <f ca="1">IF(OR(A148="",A148=0),"",IF(COUNTIF($A$2:A148,$A148)=1,ROW(MauKoXoa!$C$108),$B147+1))</f>
        <v/>
      </c>
      <c r="C148" s="992" t="str">
        <f t="shared" ca="1" si="27"/>
        <v/>
      </c>
      <c r="D148" s="993" t="str">
        <f t="shared" ca="1" si="28"/>
        <v/>
      </c>
      <c r="E148" s="993" t="str">
        <f t="shared" ca="1" si="29"/>
        <v/>
      </c>
      <c r="F148" s="992" t="str">
        <f t="shared" ca="1" si="26"/>
        <v/>
      </c>
      <c r="G148" s="994">
        <f t="shared" ca="1" si="30"/>
        <v>0</v>
      </c>
      <c r="H148" s="913">
        <f t="shared" ca="1" si="31"/>
        <v>0</v>
      </c>
      <c r="I148" s="913">
        <f t="shared" ca="1" si="32"/>
        <v>0</v>
      </c>
      <c r="J148" s="995">
        <f t="shared" ca="1" si="33"/>
        <v>0</v>
      </c>
      <c r="K148" s="913">
        <f t="shared" ca="1" si="34"/>
        <v>0</v>
      </c>
      <c r="L148" s="995">
        <f t="shared" ca="1" si="35"/>
        <v>0</v>
      </c>
      <c r="M148" s="913">
        <f t="shared" ca="1" si="36"/>
        <v>0</v>
      </c>
      <c r="N148" s="996">
        <f t="shared" ca="1" si="37"/>
        <v>0</v>
      </c>
      <c r="O148" s="997">
        <f t="shared" ca="1" si="38"/>
        <v>0</v>
      </c>
      <c r="P148" s="1015" t="str">
        <f ca="1">IF($C148="","",INDEX(NVLSX!$N$2:$N$6941,MATCH($C148,NVLSX!$E$2:$E$6941,0)))</f>
        <v/>
      </c>
      <c r="Q148" s="1016" t="str">
        <f ca="1">IF($R148="","",IF(XKNVLSX!$X$1="",IF($P148=$V$7,$P148, IF(COUNTIFS($C$2:$C147,$C148,$E$2:$E147,$E148)&gt;=1,"",$P148)),     IF(AND(IFERROR(SEARCH($R148,XKNVLSX!$X$1,1),0)&gt;=1,$P148=$V$7),$P148, IF(OR($R148&lt;&gt;IF(IFERROR(SEARCH($R148,XKNVLSX!$X$1,1),0)&gt;=1,$R148,XKNVLSX!$X$1),COUNTIFS($C$2:$C147,$C148,$E$2:$E147,$E148,$Q$2:$Q147,$P148)&gt;=1),"",$P148))))</f>
        <v/>
      </c>
      <c r="R148" s="1017" t="str">
        <f ca="1">IF($A148="","",IFERROR(INDEX(TinhGia!$BF$10:$BF$81,MATCH($A148,TinhGia!$B$10:$B$81,0)),""))</f>
        <v/>
      </c>
      <c r="S148" s="1012" t="str">
        <f ca="1">IF($A148="","",IF(OR(IFERROR(SEARCH($R148,XKNVLSX!$X$1,1),0)&gt;=1,XKNVLSX!$X$1=""),$S$2,""))</f>
        <v/>
      </c>
      <c r="T148" s="1018" t="str">
        <f ca="1">IF($C148="","", IF(OR($P148=$V$1,$P148=$V$7,COUNTIFS($C$3:$C148,$C148,$E$3:$E148,$E148)&lt;=1),$P148,""    ))</f>
        <v/>
      </c>
      <c r="U148" s="1019" t="str">
        <f ca="1">IF(AND($P148=$V$2,COUNTIFS($C$3:$C148,$C148,$E$3:$E148,$E148,$G$3:$G148,$G148)&lt;=1),$P148,"")</f>
        <v/>
      </c>
    </row>
    <row r="149" spans="1:21">
      <c r="A149" s="991" t="str">
        <f ca="1">IFERROR(IF(COUNTIF($A$3:A148,A148)&lt; INDEX(TinhGia!$BH$10:$BH$81,MATCH($A148,TinhGia!$B$10:$B$81,0)),$A148,INDEX(TinhGia!$B$10:$B$81,MATCH($A148,TinhGia!$B$10:$B$81,0)+1)),"")</f>
        <v/>
      </c>
      <c r="B149" s="525" t="str">
        <f ca="1">IF(OR(A149="",A149=0),"",IF(COUNTIF($A$2:A149,$A149)=1,ROW(MauKoXoa!$C$108),$B148+1))</f>
        <v/>
      </c>
      <c r="C149" s="992" t="str">
        <f t="shared" ca="1" si="27"/>
        <v/>
      </c>
      <c r="D149" s="993" t="str">
        <f t="shared" ca="1" si="28"/>
        <v/>
      </c>
      <c r="E149" s="993" t="str">
        <f t="shared" ca="1" si="29"/>
        <v/>
      </c>
      <c r="F149" s="992" t="str">
        <f t="shared" ca="1" si="26"/>
        <v/>
      </c>
      <c r="G149" s="994">
        <f t="shared" ca="1" si="30"/>
        <v>0</v>
      </c>
      <c r="H149" s="913">
        <f t="shared" ca="1" si="31"/>
        <v>0</v>
      </c>
      <c r="I149" s="913">
        <f t="shared" ca="1" si="32"/>
        <v>0</v>
      </c>
      <c r="J149" s="995">
        <f t="shared" ca="1" si="33"/>
        <v>0</v>
      </c>
      <c r="K149" s="913">
        <f t="shared" ca="1" si="34"/>
        <v>0</v>
      </c>
      <c r="L149" s="995">
        <f t="shared" ca="1" si="35"/>
        <v>0</v>
      </c>
      <c r="M149" s="913">
        <f t="shared" ca="1" si="36"/>
        <v>0</v>
      </c>
      <c r="N149" s="996">
        <f t="shared" ca="1" si="37"/>
        <v>0</v>
      </c>
      <c r="O149" s="997">
        <f t="shared" ca="1" si="38"/>
        <v>0</v>
      </c>
      <c r="P149" s="1015" t="str">
        <f ca="1">IF($C149="","",INDEX(NVLSX!$N$2:$N$6941,MATCH($C149,NVLSX!$E$2:$E$6941,0)))</f>
        <v/>
      </c>
      <c r="Q149" s="1016" t="str">
        <f ca="1">IF($R149="","",IF(XKNVLSX!$X$1="",IF($P149=$V$7,$P149, IF(COUNTIFS($C$2:$C148,$C149,$E$2:$E148,$E149)&gt;=1,"",$P149)),     IF(AND(IFERROR(SEARCH($R149,XKNVLSX!$X$1,1),0)&gt;=1,$P149=$V$7),$P149, IF(OR($R149&lt;&gt;IF(IFERROR(SEARCH($R149,XKNVLSX!$X$1,1),0)&gt;=1,$R149,XKNVLSX!$X$1),COUNTIFS($C$2:$C148,$C149,$E$2:$E148,$E149,$Q$2:$Q148,$P149)&gt;=1),"",$P149))))</f>
        <v/>
      </c>
      <c r="R149" s="1017" t="str">
        <f ca="1">IF($A149="","",IFERROR(INDEX(TinhGia!$BF$10:$BF$81,MATCH($A149,TinhGia!$B$10:$B$81,0)),""))</f>
        <v/>
      </c>
      <c r="S149" s="1012" t="str">
        <f ca="1">IF($A149="","",IF(OR(IFERROR(SEARCH($R149,XKNVLSX!$X$1,1),0)&gt;=1,XKNVLSX!$X$1=""),$S$2,""))</f>
        <v/>
      </c>
      <c r="T149" s="1018" t="str">
        <f ca="1">IF($C149="","", IF(OR($P149=$V$1,$P149=$V$7,COUNTIFS($C$3:$C149,$C149,$E$3:$E149,$E149)&lt;=1),$P149,""    ))</f>
        <v/>
      </c>
      <c r="U149" s="1019" t="str">
        <f ca="1">IF(AND($P149=$V$2,COUNTIFS($C$3:$C149,$C149,$E$3:$E149,$E149,$G$3:$G149,$G149)&lt;=1),$P149,"")</f>
        <v/>
      </c>
    </row>
    <row r="150" spans="1:21">
      <c r="A150" s="991" t="str">
        <f ca="1">IFERROR(IF(COUNTIF($A$3:A149,A149)&lt; INDEX(TinhGia!$BH$10:$BH$81,MATCH($A149,TinhGia!$B$10:$B$81,0)),$A149,INDEX(TinhGia!$B$10:$B$81,MATCH($A149,TinhGia!$B$10:$B$81,0)+1)),"")</f>
        <v/>
      </c>
      <c r="B150" s="525" t="str">
        <f ca="1">IF(OR(A150="",A150=0),"",IF(COUNTIF($A$2:A150,$A150)=1,ROW(MauKoXoa!$C$108),$B149+1))</f>
        <v/>
      </c>
      <c r="C150" s="992" t="str">
        <f t="shared" ca="1" si="27"/>
        <v/>
      </c>
      <c r="D150" s="993" t="str">
        <f t="shared" ca="1" si="28"/>
        <v/>
      </c>
      <c r="E150" s="993" t="str">
        <f t="shared" ca="1" si="29"/>
        <v/>
      </c>
      <c r="F150" s="992" t="str">
        <f t="shared" ca="1" si="26"/>
        <v/>
      </c>
      <c r="G150" s="994">
        <f t="shared" ca="1" si="30"/>
        <v>0</v>
      </c>
      <c r="H150" s="913">
        <f t="shared" ca="1" si="31"/>
        <v>0</v>
      </c>
      <c r="I150" s="913">
        <f t="shared" ca="1" si="32"/>
        <v>0</v>
      </c>
      <c r="J150" s="995">
        <f t="shared" ca="1" si="33"/>
        <v>0</v>
      </c>
      <c r="K150" s="913">
        <f t="shared" ca="1" si="34"/>
        <v>0</v>
      </c>
      <c r="L150" s="995">
        <f t="shared" ca="1" si="35"/>
        <v>0</v>
      </c>
      <c r="M150" s="913">
        <f t="shared" ca="1" si="36"/>
        <v>0</v>
      </c>
      <c r="N150" s="996">
        <f t="shared" ca="1" si="37"/>
        <v>0</v>
      </c>
      <c r="O150" s="997">
        <f t="shared" ca="1" si="38"/>
        <v>0</v>
      </c>
      <c r="P150" s="1015" t="str">
        <f ca="1">IF($C150="","",INDEX(NVLSX!$N$2:$N$6941,MATCH($C150,NVLSX!$E$2:$E$6941,0)))</f>
        <v/>
      </c>
      <c r="Q150" s="1016" t="str">
        <f ca="1">IF($R150="","",IF(XKNVLSX!$X$1="",IF($P150=$V$7,$P150, IF(COUNTIFS($C$2:$C149,$C150,$E$2:$E149,$E150)&gt;=1,"",$P150)),     IF(AND(IFERROR(SEARCH($R150,XKNVLSX!$X$1,1),0)&gt;=1,$P150=$V$7),$P150, IF(OR($R150&lt;&gt;IF(IFERROR(SEARCH($R150,XKNVLSX!$X$1,1),0)&gt;=1,$R150,XKNVLSX!$X$1),COUNTIFS($C$2:$C149,$C150,$E$2:$E149,$E150,$Q$2:$Q149,$P150)&gt;=1),"",$P150))))</f>
        <v/>
      </c>
      <c r="R150" s="1017" t="str">
        <f ca="1">IF($A150="","",IFERROR(INDEX(TinhGia!$BF$10:$BF$81,MATCH($A150,TinhGia!$B$10:$B$81,0)),""))</f>
        <v/>
      </c>
      <c r="S150" s="1012" t="str">
        <f ca="1">IF($A150="","",IF(OR(IFERROR(SEARCH($R150,XKNVLSX!$X$1,1),0)&gt;=1,XKNVLSX!$X$1=""),$S$2,""))</f>
        <v/>
      </c>
      <c r="T150" s="1018" t="str">
        <f ca="1">IF($C150="","", IF(OR($P150=$V$1,$P150=$V$7,COUNTIFS($C$3:$C150,$C150,$E$3:$E150,$E150)&lt;=1),$P150,""    ))</f>
        <v/>
      </c>
      <c r="U150" s="1019" t="str">
        <f ca="1">IF(AND($P150=$V$2,COUNTIFS($C$3:$C150,$C150,$E$3:$E150,$E150,$G$3:$G150,$G150)&lt;=1),$P150,"")</f>
        <v/>
      </c>
    </row>
    <row r="151" spans="1:21">
      <c r="A151" s="991" t="str">
        <f ca="1">IFERROR(IF(COUNTIF($A$3:A150,A150)&lt; INDEX(TinhGia!$BH$10:$BH$81,MATCH($A150,TinhGia!$B$10:$B$81,0)),$A150,INDEX(TinhGia!$B$10:$B$81,MATCH($A150,TinhGia!$B$10:$B$81,0)+1)),"")</f>
        <v/>
      </c>
      <c r="B151" s="525" t="str">
        <f ca="1">IF(OR(A151="",A151=0),"",IF(COUNTIF($A$2:A151,$A151)=1,ROW(MauKoXoa!$C$108),$B150+1))</f>
        <v/>
      </c>
      <c r="C151" s="992" t="str">
        <f t="shared" ca="1" si="27"/>
        <v/>
      </c>
      <c r="D151" s="993" t="str">
        <f t="shared" ca="1" si="28"/>
        <v/>
      </c>
      <c r="E151" s="993" t="str">
        <f t="shared" ca="1" si="29"/>
        <v/>
      </c>
      <c r="F151" s="992" t="str">
        <f t="shared" ca="1" si="26"/>
        <v/>
      </c>
      <c r="G151" s="994">
        <f t="shared" ca="1" si="30"/>
        <v>0</v>
      </c>
      <c r="H151" s="913">
        <f t="shared" ca="1" si="31"/>
        <v>0</v>
      </c>
      <c r="I151" s="913">
        <f t="shared" ca="1" si="32"/>
        <v>0</v>
      </c>
      <c r="J151" s="995">
        <f t="shared" ca="1" si="33"/>
        <v>0</v>
      </c>
      <c r="K151" s="913">
        <f t="shared" ca="1" si="34"/>
        <v>0</v>
      </c>
      <c r="L151" s="995">
        <f t="shared" ca="1" si="35"/>
        <v>0</v>
      </c>
      <c r="M151" s="913">
        <f t="shared" ca="1" si="36"/>
        <v>0</v>
      </c>
      <c r="N151" s="996">
        <f t="shared" ca="1" si="37"/>
        <v>0</v>
      </c>
      <c r="O151" s="997">
        <f t="shared" ca="1" si="38"/>
        <v>0</v>
      </c>
      <c r="P151" s="1015" t="str">
        <f ca="1">IF($C151="","",INDEX(NVLSX!$N$2:$N$6941,MATCH($C151,NVLSX!$E$2:$E$6941,0)))</f>
        <v/>
      </c>
      <c r="Q151" s="1016" t="str">
        <f ca="1">IF($R151="","",IF(XKNVLSX!$X$1="",IF($P151=$V$7,$P151, IF(COUNTIFS($C$2:$C150,$C151,$E$2:$E150,$E151)&gt;=1,"",$P151)),     IF(AND(IFERROR(SEARCH($R151,XKNVLSX!$X$1,1),0)&gt;=1,$P151=$V$7),$P151, IF(OR($R151&lt;&gt;IF(IFERROR(SEARCH($R151,XKNVLSX!$X$1,1),0)&gt;=1,$R151,XKNVLSX!$X$1),COUNTIFS($C$2:$C150,$C151,$E$2:$E150,$E151,$Q$2:$Q150,$P151)&gt;=1),"",$P151))))</f>
        <v/>
      </c>
      <c r="R151" s="1017" t="str">
        <f ca="1">IF($A151="","",IFERROR(INDEX(TinhGia!$BF$10:$BF$81,MATCH($A151,TinhGia!$B$10:$B$81,0)),""))</f>
        <v/>
      </c>
      <c r="S151" s="1012" t="str">
        <f ca="1">IF($A151="","",IF(OR(IFERROR(SEARCH($R151,XKNVLSX!$X$1,1),0)&gt;=1,XKNVLSX!$X$1=""),$S$2,""))</f>
        <v/>
      </c>
      <c r="T151" s="1018" t="str">
        <f ca="1">IF($C151="","", IF(OR($P151=$V$1,$P151=$V$7,COUNTIFS($C$3:$C151,$C151,$E$3:$E151,$E151)&lt;=1),$P151,""    ))</f>
        <v/>
      </c>
      <c r="U151" s="1019" t="str">
        <f ca="1">IF(AND($P151=$V$2,COUNTIFS($C$3:$C151,$C151,$E$3:$E151,$E151,$G$3:$G151,$G151)&lt;=1),$P151,"")</f>
        <v/>
      </c>
    </row>
    <row r="152" spans="1:21">
      <c r="A152" s="991" t="str">
        <f ca="1">IFERROR(IF(COUNTIF($A$3:A151,A151)&lt; INDEX(TinhGia!$BH$10:$BH$81,MATCH($A151,TinhGia!$B$10:$B$81,0)),$A151,INDEX(TinhGia!$B$10:$B$81,MATCH($A151,TinhGia!$B$10:$B$81,0)+1)),"")</f>
        <v/>
      </c>
      <c r="B152" s="525" t="str">
        <f ca="1">IF(OR(A152="",A152=0),"",IF(COUNTIF($A$2:A152,$A152)=1,ROW(MauKoXoa!$C$108),$B151+1))</f>
        <v/>
      </c>
      <c r="C152" s="992" t="str">
        <f t="shared" ca="1" si="27"/>
        <v/>
      </c>
      <c r="D152" s="993" t="str">
        <f t="shared" ca="1" si="28"/>
        <v/>
      </c>
      <c r="E152" s="993" t="str">
        <f t="shared" ca="1" si="29"/>
        <v/>
      </c>
      <c r="F152" s="992" t="str">
        <f t="shared" ca="1" si="26"/>
        <v/>
      </c>
      <c r="G152" s="994">
        <f t="shared" ca="1" si="30"/>
        <v>0</v>
      </c>
      <c r="H152" s="913">
        <f t="shared" ca="1" si="31"/>
        <v>0</v>
      </c>
      <c r="I152" s="913">
        <f t="shared" ca="1" si="32"/>
        <v>0</v>
      </c>
      <c r="J152" s="995">
        <f t="shared" ca="1" si="33"/>
        <v>0</v>
      </c>
      <c r="K152" s="913">
        <f t="shared" ca="1" si="34"/>
        <v>0</v>
      </c>
      <c r="L152" s="995">
        <f t="shared" ca="1" si="35"/>
        <v>0</v>
      </c>
      <c r="M152" s="913">
        <f t="shared" ca="1" si="36"/>
        <v>0</v>
      </c>
      <c r="N152" s="996">
        <f t="shared" ca="1" si="37"/>
        <v>0</v>
      </c>
      <c r="O152" s="997">
        <f t="shared" ca="1" si="38"/>
        <v>0</v>
      </c>
      <c r="P152" s="1015" t="str">
        <f ca="1">IF($C152="","",INDEX(NVLSX!$N$2:$N$6941,MATCH($C152,NVLSX!$E$2:$E$6941,0)))</f>
        <v/>
      </c>
      <c r="Q152" s="1016" t="str">
        <f ca="1">IF($R152="","",IF(XKNVLSX!$X$1="",IF($P152=$V$7,$P152, IF(COUNTIFS($C$2:$C151,$C152,$E$2:$E151,$E152)&gt;=1,"",$P152)),     IF(AND(IFERROR(SEARCH($R152,XKNVLSX!$X$1,1),0)&gt;=1,$P152=$V$7),$P152, IF(OR($R152&lt;&gt;IF(IFERROR(SEARCH($R152,XKNVLSX!$X$1,1),0)&gt;=1,$R152,XKNVLSX!$X$1),COUNTIFS($C$2:$C151,$C152,$E$2:$E151,$E152,$Q$2:$Q151,$P152)&gt;=1),"",$P152))))</f>
        <v/>
      </c>
      <c r="R152" s="1017" t="str">
        <f ca="1">IF($A152="","",IFERROR(INDEX(TinhGia!$BF$10:$BF$81,MATCH($A152,TinhGia!$B$10:$B$81,0)),""))</f>
        <v/>
      </c>
      <c r="S152" s="1012" t="str">
        <f ca="1">IF($A152="","",IF(OR(IFERROR(SEARCH($R152,XKNVLSX!$X$1,1),0)&gt;=1,XKNVLSX!$X$1=""),$S$2,""))</f>
        <v/>
      </c>
      <c r="T152" s="1018" t="str">
        <f ca="1">IF($C152="","", IF(OR($P152=$V$1,$P152=$V$7,COUNTIFS($C$3:$C152,$C152,$E$3:$E152,$E152)&lt;=1),$P152,""    ))</f>
        <v/>
      </c>
      <c r="U152" s="1019" t="str">
        <f ca="1">IF(AND($P152=$V$2,COUNTIFS($C$3:$C152,$C152,$E$3:$E152,$E152,$G$3:$G152,$G152)&lt;=1),$P152,"")</f>
        <v/>
      </c>
    </row>
    <row r="153" spans="1:21">
      <c r="A153" s="991" t="str">
        <f ca="1">IFERROR(IF(COUNTIF($A$3:A152,A152)&lt; INDEX(TinhGia!$BH$10:$BH$81,MATCH($A152,TinhGia!$B$10:$B$81,0)),$A152,INDEX(TinhGia!$B$10:$B$81,MATCH($A152,TinhGia!$B$10:$B$81,0)+1)),"")</f>
        <v/>
      </c>
      <c r="B153" s="525" t="str">
        <f ca="1">IF(OR(A153="",A153=0),"",IF(COUNTIF($A$2:A153,$A153)=1,ROW(MauKoXoa!$C$108),$B152+1))</f>
        <v/>
      </c>
      <c r="C153" s="992" t="str">
        <f t="shared" ca="1" si="27"/>
        <v/>
      </c>
      <c r="D153" s="993" t="str">
        <f t="shared" ca="1" si="28"/>
        <v/>
      </c>
      <c r="E153" s="993" t="str">
        <f t="shared" ca="1" si="29"/>
        <v/>
      </c>
      <c r="F153" s="992" t="str">
        <f t="shared" ca="1" si="26"/>
        <v/>
      </c>
      <c r="G153" s="994">
        <f t="shared" ca="1" si="30"/>
        <v>0</v>
      </c>
      <c r="H153" s="913">
        <f t="shared" ca="1" si="31"/>
        <v>0</v>
      </c>
      <c r="I153" s="913">
        <f t="shared" ca="1" si="32"/>
        <v>0</v>
      </c>
      <c r="J153" s="995">
        <f t="shared" ca="1" si="33"/>
        <v>0</v>
      </c>
      <c r="K153" s="913">
        <f t="shared" ca="1" si="34"/>
        <v>0</v>
      </c>
      <c r="L153" s="995">
        <f t="shared" ca="1" si="35"/>
        <v>0</v>
      </c>
      <c r="M153" s="913">
        <f t="shared" ca="1" si="36"/>
        <v>0</v>
      </c>
      <c r="N153" s="996">
        <f t="shared" ca="1" si="37"/>
        <v>0</v>
      </c>
      <c r="O153" s="997">
        <f t="shared" ca="1" si="38"/>
        <v>0</v>
      </c>
      <c r="P153" s="1015" t="str">
        <f ca="1">IF($C153="","",INDEX(NVLSX!$N$2:$N$6941,MATCH($C153,NVLSX!$E$2:$E$6941,0)))</f>
        <v/>
      </c>
      <c r="Q153" s="1016" t="str">
        <f ca="1">IF($R153="","",IF(XKNVLSX!$X$1="",IF($P153=$V$7,$P153, IF(COUNTIFS($C$2:$C152,$C153,$E$2:$E152,$E153)&gt;=1,"",$P153)),     IF(AND(IFERROR(SEARCH($R153,XKNVLSX!$X$1,1),0)&gt;=1,$P153=$V$7),$P153, IF(OR($R153&lt;&gt;IF(IFERROR(SEARCH($R153,XKNVLSX!$X$1,1),0)&gt;=1,$R153,XKNVLSX!$X$1),COUNTIFS($C$2:$C152,$C153,$E$2:$E152,$E153,$Q$2:$Q152,$P153)&gt;=1),"",$P153))))</f>
        <v/>
      </c>
      <c r="R153" s="1017" t="str">
        <f ca="1">IF($A153="","",IFERROR(INDEX(TinhGia!$BF$10:$BF$81,MATCH($A153,TinhGia!$B$10:$B$81,0)),""))</f>
        <v/>
      </c>
      <c r="S153" s="1012" t="str">
        <f ca="1">IF($A153="","",IF(OR(IFERROR(SEARCH($R153,XKNVLSX!$X$1,1),0)&gt;=1,XKNVLSX!$X$1=""),$S$2,""))</f>
        <v/>
      </c>
      <c r="T153" s="1018" t="str">
        <f ca="1">IF($C153="","", IF(OR($P153=$V$1,$P153=$V$7,COUNTIFS($C$3:$C153,$C153,$E$3:$E153,$E153)&lt;=1),$P153,""    ))</f>
        <v/>
      </c>
      <c r="U153" s="1019" t="str">
        <f ca="1">IF(AND($P153=$V$2,COUNTIFS($C$3:$C153,$C153,$E$3:$E153,$E153,$G$3:$G153,$G153)&lt;=1),$P153,"")</f>
        <v/>
      </c>
    </row>
    <row r="154" spans="1:21">
      <c r="A154" s="991" t="str">
        <f ca="1">IFERROR(IF(COUNTIF($A$3:A153,A153)&lt; INDEX(TinhGia!$BH$10:$BH$81,MATCH($A153,TinhGia!$B$10:$B$81,0)),$A153,INDEX(TinhGia!$B$10:$B$81,MATCH($A153,TinhGia!$B$10:$B$81,0)+1)),"")</f>
        <v/>
      </c>
      <c r="B154" s="525" t="str">
        <f ca="1">IF(OR(A154="",A154=0),"",IF(COUNTIF($A$2:A154,$A154)=1,ROW(MauKoXoa!$C$108),$B153+1))</f>
        <v/>
      </c>
      <c r="C154" s="992" t="str">
        <f t="shared" ca="1" si="27"/>
        <v/>
      </c>
      <c r="D154" s="993" t="str">
        <f t="shared" ca="1" si="28"/>
        <v/>
      </c>
      <c r="E154" s="993" t="str">
        <f t="shared" ca="1" si="29"/>
        <v/>
      </c>
      <c r="F154" s="992" t="str">
        <f t="shared" ca="1" si="26"/>
        <v/>
      </c>
      <c r="G154" s="994">
        <f t="shared" ca="1" si="30"/>
        <v>0</v>
      </c>
      <c r="H154" s="913">
        <f t="shared" ca="1" si="31"/>
        <v>0</v>
      </c>
      <c r="I154" s="913">
        <f t="shared" ca="1" si="32"/>
        <v>0</v>
      </c>
      <c r="J154" s="995">
        <f t="shared" ca="1" si="33"/>
        <v>0</v>
      </c>
      <c r="K154" s="913">
        <f t="shared" ca="1" si="34"/>
        <v>0</v>
      </c>
      <c r="L154" s="995">
        <f t="shared" ca="1" si="35"/>
        <v>0</v>
      </c>
      <c r="M154" s="913">
        <f t="shared" ca="1" si="36"/>
        <v>0</v>
      </c>
      <c r="N154" s="996">
        <f t="shared" ca="1" si="37"/>
        <v>0</v>
      </c>
      <c r="O154" s="997">
        <f t="shared" ca="1" si="38"/>
        <v>0</v>
      </c>
      <c r="P154" s="1015" t="str">
        <f ca="1">IF($C154="","",INDEX(NVLSX!$N$2:$N$6941,MATCH($C154,NVLSX!$E$2:$E$6941,0)))</f>
        <v/>
      </c>
      <c r="Q154" s="1016" t="str">
        <f ca="1">IF($R154="","",IF(XKNVLSX!$X$1="",IF($P154=$V$7,$P154, IF(COUNTIFS($C$2:$C153,$C154,$E$2:$E153,$E154)&gt;=1,"",$P154)),     IF(AND(IFERROR(SEARCH($R154,XKNVLSX!$X$1,1),0)&gt;=1,$P154=$V$7),$P154, IF(OR($R154&lt;&gt;IF(IFERROR(SEARCH($R154,XKNVLSX!$X$1,1),0)&gt;=1,$R154,XKNVLSX!$X$1),COUNTIFS($C$2:$C153,$C154,$E$2:$E153,$E154,$Q$2:$Q153,$P154)&gt;=1),"",$P154))))</f>
        <v/>
      </c>
      <c r="R154" s="1017" t="str">
        <f ca="1">IF($A154="","",IFERROR(INDEX(TinhGia!$BF$10:$BF$81,MATCH($A154,TinhGia!$B$10:$B$81,0)),""))</f>
        <v/>
      </c>
      <c r="S154" s="1012" t="str">
        <f ca="1">IF($A154="","",IF(OR(IFERROR(SEARCH($R154,XKNVLSX!$X$1,1),0)&gt;=1,XKNVLSX!$X$1=""),$S$2,""))</f>
        <v/>
      </c>
      <c r="T154" s="1018" t="str">
        <f ca="1">IF($C154="","", IF(OR($P154=$V$1,$P154=$V$7,COUNTIFS($C$3:$C154,$C154,$E$3:$E154,$E154)&lt;=1),$P154,""    ))</f>
        <v/>
      </c>
      <c r="U154" s="1019" t="str">
        <f ca="1">IF(AND($P154=$V$2,COUNTIFS($C$3:$C154,$C154,$E$3:$E154,$E154,$G$3:$G154,$G154)&lt;=1),$P154,"")</f>
        <v/>
      </c>
    </row>
    <row r="155" spans="1:21">
      <c r="A155" s="991" t="str">
        <f ca="1">IFERROR(IF(COUNTIF($A$3:A154,A154)&lt; INDEX(TinhGia!$BH$10:$BH$81,MATCH($A154,TinhGia!$B$10:$B$81,0)),$A154,INDEX(TinhGia!$B$10:$B$81,MATCH($A154,TinhGia!$B$10:$B$81,0)+1)),"")</f>
        <v/>
      </c>
      <c r="B155" s="525" t="str">
        <f ca="1">IF(OR(A155="",A155=0),"",IF(COUNTIF($A$2:A155,$A155)=1,ROW(MauKoXoa!$C$108),$B154+1))</f>
        <v/>
      </c>
      <c r="C155" s="992" t="str">
        <f t="shared" ca="1" si="27"/>
        <v/>
      </c>
      <c r="D155" s="993" t="str">
        <f t="shared" ca="1" si="28"/>
        <v/>
      </c>
      <c r="E155" s="993" t="str">
        <f t="shared" ca="1" si="29"/>
        <v/>
      </c>
      <c r="F155" s="992" t="str">
        <f t="shared" ca="1" si="26"/>
        <v/>
      </c>
      <c r="G155" s="994">
        <f t="shared" ca="1" si="30"/>
        <v>0</v>
      </c>
      <c r="H155" s="913">
        <f t="shared" ca="1" si="31"/>
        <v>0</v>
      </c>
      <c r="I155" s="913">
        <f t="shared" ca="1" si="32"/>
        <v>0</v>
      </c>
      <c r="J155" s="995">
        <f t="shared" ca="1" si="33"/>
        <v>0</v>
      </c>
      <c r="K155" s="913">
        <f t="shared" ca="1" si="34"/>
        <v>0</v>
      </c>
      <c r="L155" s="995">
        <f t="shared" ca="1" si="35"/>
        <v>0</v>
      </c>
      <c r="M155" s="913">
        <f t="shared" ca="1" si="36"/>
        <v>0</v>
      </c>
      <c r="N155" s="996">
        <f t="shared" ca="1" si="37"/>
        <v>0</v>
      </c>
      <c r="O155" s="997">
        <f t="shared" ca="1" si="38"/>
        <v>0</v>
      </c>
      <c r="P155" s="1015" t="str">
        <f ca="1">IF($C155="","",INDEX(NVLSX!$N$2:$N$6941,MATCH($C155,NVLSX!$E$2:$E$6941,0)))</f>
        <v/>
      </c>
      <c r="Q155" s="1016" t="str">
        <f ca="1">IF($R155="","",IF(XKNVLSX!$X$1="",IF($P155=$V$7,$P155, IF(COUNTIFS($C$2:$C154,$C155,$E$2:$E154,$E155)&gt;=1,"",$P155)),     IF(AND(IFERROR(SEARCH($R155,XKNVLSX!$X$1,1),0)&gt;=1,$P155=$V$7),$P155, IF(OR($R155&lt;&gt;IF(IFERROR(SEARCH($R155,XKNVLSX!$X$1,1),0)&gt;=1,$R155,XKNVLSX!$X$1),COUNTIFS($C$2:$C154,$C155,$E$2:$E154,$E155,$Q$2:$Q154,$P155)&gt;=1),"",$P155))))</f>
        <v/>
      </c>
      <c r="R155" s="1017" t="str">
        <f ca="1">IF($A155="","",IFERROR(INDEX(TinhGia!$BF$10:$BF$81,MATCH($A155,TinhGia!$B$10:$B$81,0)),""))</f>
        <v/>
      </c>
      <c r="S155" s="1012" t="str">
        <f ca="1">IF($A155="","",IF(OR(IFERROR(SEARCH($R155,XKNVLSX!$X$1,1),0)&gt;=1,XKNVLSX!$X$1=""),$S$2,""))</f>
        <v/>
      </c>
      <c r="T155" s="1018" t="str">
        <f ca="1">IF($C155="","", IF(OR($P155=$V$1,$P155=$V$7,COUNTIFS($C$3:$C155,$C155,$E$3:$E155,$E155)&lt;=1),$P155,""    ))</f>
        <v/>
      </c>
      <c r="U155" s="1019" t="str">
        <f ca="1">IF(AND($P155=$V$2,COUNTIFS($C$3:$C155,$C155,$E$3:$E155,$E155,$G$3:$G155,$G155)&lt;=1),$P155,"")</f>
        <v/>
      </c>
    </row>
    <row r="156" spans="1:21">
      <c r="A156" s="991" t="str">
        <f ca="1">IFERROR(IF(COUNTIF($A$3:A155,A155)&lt; INDEX(TinhGia!$BH$10:$BH$81,MATCH($A155,TinhGia!$B$10:$B$81,0)),$A155,INDEX(TinhGia!$B$10:$B$81,MATCH($A155,TinhGia!$B$10:$B$81,0)+1)),"")</f>
        <v/>
      </c>
      <c r="B156" s="525" t="str">
        <f ca="1">IF(OR(A156="",A156=0),"",IF(COUNTIF($A$2:A156,$A156)=1,ROW(MauKoXoa!$C$108),$B155+1))</f>
        <v/>
      </c>
      <c r="C156" s="992" t="str">
        <f t="shared" ca="1" si="27"/>
        <v/>
      </c>
      <c r="D156" s="993" t="str">
        <f t="shared" ca="1" si="28"/>
        <v/>
      </c>
      <c r="E156" s="993" t="str">
        <f t="shared" ca="1" si="29"/>
        <v/>
      </c>
      <c r="F156" s="992" t="str">
        <f t="shared" ca="1" si="26"/>
        <v/>
      </c>
      <c r="G156" s="994">
        <f t="shared" ca="1" si="30"/>
        <v>0</v>
      </c>
      <c r="H156" s="913">
        <f t="shared" ca="1" si="31"/>
        <v>0</v>
      </c>
      <c r="I156" s="913">
        <f t="shared" ca="1" si="32"/>
        <v>0</v>
      </c>
      <c r="J156" s="995">
        <f t="shared" ca="1" si="33"/>
        <v>0</v>
      </c>
      <c r="K156" s="913">
        <f t="shared" ca="1" si="34"/>
        <v>0</v>
      </c>
      <c r="L156" s="995">
        <f t="shared" ca="1" si="35"/>
        <v>0</v>
      </c>
      <c r="M156" s="913">
        <f t="shared" ca="1" si="36"/>
        <v>0</v>
      </c>
      <c r="N156" s="996">
        <f t="shared" ca="1" si="37"/>
        <v>0</v>
      </c>
      <c r="O156" s="997">
        <f t="shared" ca="1" si="38"/>
        <v>0</v>
      </c>
      <c r="P156" s="1015" t="str">
        <f ca="1">IF($C156="","",INDEX(NVLSX!$N$2:$N$6941,MATCH($C156,NVLSX!$E$2:$E$6941,0)))</f>
        <v/>
      </c>
      <c r="Q156" s="1016" t="str">
        <f ca="1">IF($R156="","",IF(XKNVLSX!$X$1="",IF($P156=$V$7,$P156, IF(COUNTIFS($C$2:$C155,$C156,$E$2:$E155,$E156)&gt;=1,"",$P156)),     IF(AND(IFERROR(SEARCH($R156,XKNVLSX!$X$1,1),0)&gt;=1,$P156=$V$7),$P156, IF(OR($R156&lt;&gt;IF(IFERROR(SEARCH($R156,XKNVLSX!$X$1,1),0)&gt;=1,$R156,XKNVLSX!$X$1),COUNTIFS($C$2:$C155,$C156,$E$2:$E155,$E156,$Q$2:$Q155,$P156)&gt;=1),"",$P156))))</f>
        <v/>
      </c>
      <c r="R156" s="1017" t="str">
        <f ca="1">IF($A156="","",IFERROR(INDEX(TinhGia!$BF$10:$BF$81,MATCH($A156,TinhGia!$B$10:$B$81,0)),""))</f>
        <v/>
      </c>
      <c r="S156" s="1012" t="str">
        <f ca="1">IF($A156="","",IF(OR(IFERROR(SEARCH($R156,XKNVLSX!$X$1,1),0)&gt;=1,XKNVLSX!$X$1=""),$S$2,""))</f>
        <v/>
      </c>
      <c r="T156" s="1018" t="str">
        <f ca="1">IF($C156="","", IF(OR($P156=$V$1,$P156=$V$7,COUNTIFS($C$3:$C156,$C156,$E$3:$E156,$E156)&lt;=1),$P156,""    ))</f>
        <v/>
      </c>
      <c r="U156" s="1019" t="str">
        <f ca="1">IF(AND($P156=$V$2,COUNTIFS($C$3:$C156,$C156,$E$3:$E156,$E156,$G$3:$G156,$G156)&lt;=1),$P156,"")</f>
        <v/>
      </c>
    </row>
    <row r="157" spans="1:21">
      <c r="A157" s="991" t="str">
        <f ca="1">IFERROR(IF(COUNTIF($A$3:A156,A156)&lt; INDEX(TinhGia!$BH$10:$BH$81,MATCH($A156,TinhGia!$B$10:$B$81,0)),$A156,INDEX(TinhGia!$B$10:$B$81,MATCH($A156,TinhGia!$B$10:$B$81,0)+1)),"")</f>
        <v/>
      </c>
      <c r="B157" s="525" t="str">
        <f ca="1">IF(OR(A157="",A157=0),"",IF(COUNTIF($A$2:A157,$A157)=1,ROW(MauKoXoa!$C$108),$B156+1))</f>
        <v/>
      </c>
      <c r="C157" s="992" t="str">
        <f t="shared" ca="1" si="27"/>
        <v/>
      </c>
      <c r="D157" s="993" t="str">
        <f t="shared" ca="1" si="28"/>
        <v/>
      </c>
      <c r="E157" s="993" t="str">
        <f t="shared" ca="1" si="29"/>
        <v/>
      </c>
      <c r="F157" s="992" t="str">
        <f t="shared" ca="1" si="26"/>
        <v/>
      </c>
      <c r="G157" s="994">
        <f t="shared" ca="1" si="30"/>
        <v>0</v>
      </c>
      <c r="H157" s="913">
        <f t="shared" ca="1" si="31"/>
        <v>0</v>
      </c>
      <c r="I157" s="913">
        <f t="shared" ca="1" si="32"/>
        <v>0</v>
      </c>
      <c r="J157" s="995">
        <f t="shared" ca="1" si="33"/>
        <v>0</v>
      </c>
      <c r="K157" s="913">
        <f t="shared" ca="1" si="34"/>
        <v>0</v>
      </c>
      <c r="L157" s="995">
        <f t="shared" ca="1" si="35"/>
        <v>0</v>
      </c>
      <c r="M157" s="913">
        <f t="shared" ca="1" si="36"/>
        <v>0</v>
      </c>
      <c r="N157" s="996">
        <f t="shared" ca="1" si="37"/>
        <v>0</v>
      </c>
      <c r="O157" s="997">
        <f t="shared" ca="1" si="38"/>
        <v>0</v>
      </c>
      <c r="P157" s="1015" t="str">
        <f ca="1">IF($C157="","",INDEX(NVLSX!$N$2:$N$6941,MATCH($C157,NVLSX!$E$2:$E$6941,0)))</f>
        <v/>
      </c>
      <c r="Q157" s="1016" t="str">
        <f ca="1">IF($R157="","",IF(XKNVLSX!$X$1="",IF($P157=$V$7,$P157, IF(COUNTIFS($C$2:$C156,$C157,$E$2:$E156,$E157)&gt;=1,"",$P157)),     IF(AND(IFERROR(SEARCH($R157,XKNVLSX!$X$1,1),0)&gt;=1,$P157=$V$7),$P157, IF(OR($R157&lt;&gt;IF(IFERROR(SEARCH($R157,XKNVLSX!$X$1,1),0)&gt;=1,$R157,XKNVLSX!$X$1),COUNTIFS($C$2:$C156,$C157,$E$2:$E156,$E157,$Q$2:$Q156,$P157)&gt;=1),"",$P157))))</f>
        <v/>
      </c>
      <c r="R157" s="1017" t="str">
        <f ca="1">IF($A157="","",IFERROR(INDEX(TinhGia!$BF$10:$BF$81,MATCH($A157,TinhGia!$B$10:$B$81,0)),""))</f>
        <v/>
      </c>
      <c r="S157" s="1012" t="str">
        <f ca="1">IF($A157="","",IF(OR(IFERROR(SEARCH($R157,XKNVLSX!$X$1,1),0)&gt;=1,XKNVLSX!$X$1=""),$S$2,""))</f>
        <v/>
      </c>
      <c r="T157" s="1018" t="str">
        <f ca="1">IF($C157="","", IF(OR($P157=$V$1,$P157=$V$7,COUNTIFS($C$3:$C157,$C157,$E$3:$E157,$E157)&lt;=1),$P157,""    ))</f>
        <v/>
      </c>
      <c r="U157" s="1019" t="str">
        <f ca="1">IF(AND($P157=$V$2,COUNTIFS($C$3:$C157,$C157,$E$3:$E157,$E157,$G$3:$G157,$G157)&lt;=1),$P157,"")</f>
        <v/>
      </c>
    </row>
    <row r="158" spans="1:21">
      <c r="A158" s="991" t="str">
        <f ca="1">IFERROR(IF(COUNTIF($A$3:A157,A157)&lt; INDEX(TinhGia!$BH$10:$BH$81,MATCH($A157,TinhGia!$B$10:$B$81,0)),$A157,INDEX(TinhGia!$B$10:$B$81,MATCH($A157,TinhGia!$B$10:$B$81,0)+1)),"")</f>
        <v/>
      </c>
      <c r="B158" s="525" t="str">
        <f ca="1">IF(OR(A158="",A158=0),"",IF(COUNTIF($A$2:A158,$A158)=1,ROW(MauKoXoa!$C$108),$B157+1))</f>
        <v/>
      </c>
      <c r="C158" s="992" t="str">
        <f t="shared" ca="1" si="27"/>
        <v/>
      </c>
      <c r="D158" s="993" t="str">
        <f t="shared" ca="1" si="28"/>
        <v/>
      </c>
      <c r="E158" s="993" t="str">
        <f t="shared" ca="1" si="29"/>
        <v/>
      </c>
      <c r="F158" s="992" t="str">
        <f t="shared" ca="1" si="26"/>
        <v/>
      </c>
      <c r="G158" s="994">
        <f t="shared" ca="1" si="30"/>
        <v>0</v>
      </c>
      <c r="H158" s="913">
        <f t="shared" ca="1" si="31"/>
        <v>0</v>
      </c>
      <c r="I158" s="913">
        <f t="shared" ca="1" si="32"/>
        <v>0</v>
      </c>
      <c r="J158" s="995">
        <f t="shared" ca="1" si="33"/>
        <v>0</v>
      </c>
      <c r="K158" s="913">
        <f t="shared" ca="1" si="34"/>
        <v>0</v>
      </c>
      <c r="L158" s="995">
        <f t="shared" ca="1" si="35"/>
        <v>0</v>
      </c>
      <c r="M158" s="913">
        <f t="shared" ca="1" si="36"/>
        <v>0</v>
      </c>
      <c r="N158" s="996">
        <f t="shared" ca="1" si="37"/>
        <v>0</v>
      </c>
      <c r="O158" s="997">
        <f t="shared" ca="1" si="38"/>
        <v>0</v>
      </c>
      <c r="P158" s="1015" t="str">
        <f ca="1">IF($C158="","",INDEX(NVLSX!$N$2:$N$6941,MATCH($C158,NVLSX!$E$2:$E$6941,0)))</f>
        <v/>
      </c>
      <c r="Q158" s="1016" t="str">
        <f ca="1">IF($R158="","",IF(XKNVLSX!$X$1="",IF($P158=$V$7,$P158, IF(COUNTIFS($C$2:$C157,$C158,$E$2:$E157,$E158)&gt;=1,"",$P158)),     IF(AND(IFERROR(SEARCH($R158,XKNVLSX!$X$1,1),0)&gt;=1,$P158=$V$7),$P158, IF(OR($R158&lt;&gt;IF(IFERROR(SEARCH($R158,XKNVLSX!$X$1,1),0)&gt;=1,$R158,XKNVLSX!$X$1),COUNTIFS($C$2:$C157,$C158,$E$2:$E157,$E158,$Q$2:$Q157,$P158)&gt;=1),"",$P158))))</f>
        <v/>
      </c>
      <c r="R158" s="1017" t="str">
        <f ca="1">IF($A158="","",IFERROR(INDEX(TinhGia!$BF$10:$BF$81,MATCH($A158,TinhGia!$B$10:$B$81,0)),""))</f>
        <v/>
      </c>
      <c r="S158" s="1012" t="str">
        <f ca="1">IF($A158="","",IF(OR(IFERROR(SEARCH($R158,XKNVLSX!$X$1,1),0)&gt;=1,XKNVLSX!$X$1=""),$S$2,""))</f>
        <v/>
      </c>
      <c r="T158" s="1018" t="str">
        <f ca="1">IF($C158="","", IF(OR($P158=$V$1,$P158=$V$7,COUNTIFS($C$3:$C158,$C158,$E$3:$E158,$E158)&lt;=1),$P158,""    ))</f>
        <v/>
      </c>
      <c r="U158" s="1019" t="str">
        <f ca="1">IF(AND($P158=$V$2,COUNTIFS($C$3:$C158,$C158,$E$3:$E158,$E158,$G$3:$G158,$G158)&lt;=1),$P158,"")</f>
        <v/>
      </c>
    </row>
    <row r="159" spans="1:21">
      <c r="A159" s="991" t="str">
        <f ca="1">IFERROR(IF(COUNTIF($A$3:A158,A158)&lt; INDEX(TinhGia!$BH$10:$BH$81,MATCH($A158,TinhGia!$B$10:$B$81,0)),$A158,INDEX(TinhGia!$B$10:$B$81,MATCH($A158,TinhGia!$B$10:$B$81,0)+1)),"")</f>
        <v/>
      </c>
      <c r="B159" s="525" t="str">
        <f ca="1">IF(OR(A159="",A159=0),"",IF(COUNTIF($A$2:A159,$A159)=1,ROW(MauKoXoa!$C$108),$B158+1))</f>
        <v/>
      </c>
      <c r="C159" s="992" t="str">
        <f t="shared" ca="1" si="27"/>
        <v/>
      </c>
      <c r="D159" s="993" t="str">
        <f t="shared" ca="1" si="28"/>
        <v/>
      </c>
      <c r="E159" s="993" t="str">
        <f t="shared" ca="1" si="29"/>
        <v/>
      </c>
      <c r="F159" s="992" t="str">
        <f t="shared" ca="1" si="26"/>
        <v/>
      </c>
      <c r="G159" s="994">
        <f t="shared" ca="1" si="30"/>
        <v>0</v>
      </c>
      <c r="H159" s="913">
        <f t="shared" ca="1" si="31"/>
        <v>0</v>
      </c>
      <c r="I159" s="913">
        <f t="shared" ca="1" si="32"/>
        <v>0</v>
      </c>
      <c r="J159" s="995">
        <f t="shared" ca="1" si="33"/>
        <v>0</v>
      </c>
      <c r="K159" s="913">
        <f t="shared" ca="1" si="34"/>
        <v>0</v>
      </c>
      <c r="L159" s="995">
        <f t="shared" ca="1" si="35"/>
        <v>0</v>
      </c>
      <c r="M159" s="913">
        <f t="shared" ca="1" si="36"/>
        <v>0</v>
      </c>
      <c r="N159" s="996">
        <f t="shared" ca="1" si="37"/>
        <v>0</v>
      </c>
      <c r="O159" s="997">
        <f t="shared" ca="1" si="38"/>
        <v>0</v>
      </c>
      <c r="P159" s="1015" t="str">
        <f ca="1">IF($C159="","",INDEX(NVLSX!$N$2:$N$6941,MATCH($C159,NVLSX!$E$2:$E$6941,0)))</f>
        <v/>
      </c>
      <c r="Q159" s="1016" t="str">
        <f ca="1">IF($R159="","",IF(XKNVLSX!$X$1="",IF($P159=$V$7,$P159, IF(COUNTIFS($C$2:$C158,$C159,$E$2:$E158,$E159)&gt;=1,"",$P159)),     IF(AND(IFERROR(SEARCH($R159,XKNVLSX!$X$1,1),0)&gt;=1,$P159=$V$7),$P159, IF(OR($R159&lt;&gt;IF(IFERROR(SEARCH($R159,XKNVLSX!$X$1,1),0)&gt;=1,$R159,XKNVLSX!$X$1),COUNTIFS($C$2:$C158,$C159,$E$2:$E158,$E159,$Q$2:$Q158,$P159)&gt;=1),"",$P159))))</f>
        <v/>
      </c>
      <c r="R159" s="1017" t="str">
        <f ca="1">IF($A159="","",IFERROR(INDEX(TinhGia!$BF$10:$BF$81,MATCH($A159,TinhGia!$B$10:$B$81,0)),""))</f>
        <v/>
      </c>
      <c r="S159" s="1012" t="str">
        <f ca="1">IF($A159="","",IF(OR(IFERROR(SEARCH($R159,XKNVLSX!$X$1,1),0)&gt;=1,XKNVLSX!$X$1=""),$S$2,""))</f>
        <v/>
      </c>
      <c r="T159" s="1018" t="str">
        <f ca="1">IF($C159="","", IF(OR($P159=$V$1,$P159=$V$7,COUNTIFS($C$3:$C159,$C159,$E$3:$E159,$E159)&lt;=1),$P159,""    ))</f>
        <v/>
      </c>
      <c r="U159" s="1019" t="str">
        <f ca="1">IF(AND($P159=$V$2,COUNTIFS($C$3:$C159,$C159,$E$3:$E159,$E159,$G$3:$G159,$G159)&lt;=1),$P159,"")</f>
        <v/>
      </c>
    </row>
    <row r="160" spans="1:21">
      <c r="A160" s="991" t="str">
        <f ca="1">IFERROR(IF(COUNTIF($A$3:A159,A159)&lt; INDEX(TinhGia!$BH$10:$BH$81,MATCH($A159,TinhGia!$B$10:$B$81,0)),$A159,INDEX(TinhGia!$B$10:$B$81,MATCH($A159,TinhGia!$B$10:$B$81,0)+1)),"")</f>
        <v/>
      </c>
      <c r="B160" s="525" t="str">
        <f ca="1">IF(OR(A160="",A160=0),"",IF(COUNTIF($A$2:A160,$A160)=1,ROW(MauKoXoa!$C$108),$B159+1))</f>
        <v/>
      </c>
      <c r="C160" s="992" t="str">
        <f t="shared" ca="1" si="27"/>
        <v/>
      </c>
      <c r="D160" s="993" t="str">
        <f t="shared" ca="1" si="28"/>
        <v/>
      </c>
      <c r="E160" s="993" t="str">
        <f t="shared" ca="1" si="29"/>
        <v/>
      </c>
      <c r="F160" s="992" t="str">
        <f t="shared" ca="1" si="26"/>
        <v/>
      </c>
      <c r="G160" s="994">
        <f t="shared" ca="1" si="30"/>
        <v>0</v>
      </c>
      <c r="H160" s="913">
        <f t="shared" ca="1" si="31"/>
        <v>0</v>
      </c>
      <c r="I160" s="913">
        <f t="shared" ca="1" si="32"/>
        <v>0</v>
      </c>
      <c r="J160" s="995">
        <f t="shared" ca="1" si="33"/>
        <v>0</v>
      </c>
      <c r="K160" s="913">
        <f t="shared" ca="1" si="34"/>
        <v>0</v>
      </c>
      <c r="L160" s="995">
        <f t="shared" ca="1" si="35"/>
        <v>0</v>
      </c>
      <c r="M160" s="913">
        <f t="shared" ca="1" si="36"/>
        <v>0</v>
      </c>
      <c r="N160" s="996">
        <f t="shared" ca="1" si="37"/>
        <v>0</v>
      </c>
      <c r="O160" s="997">
        <f t="shared" ca="1" si="38"/>
        <v>0</v>
      </c>
      <c r="P160" s="1015" t="str">
        <f ca="1">IF($C160="","",INDEX(NVLSX!$N$2:$N$6941,MATCH($C160,NVLSX!$E$2:$E$6941,0)))</f>
        <v/>
      </c>
      <c r="Q160" s="1016" t="str">
        <f ca="1">IF($R160="","",IF(XKNVLSX!$X$1="",IF($P160=$V$7,$P160, IF(COUNTIFS($C$2:$C159,$C160,$E$2:$E159,$E160)&gt;=1,"",$P160)),     IF(AND(IFERROR(SEARCH($R160,XKNVLSX!$X$1,1),0)&gt;=1,$P160=$V$7),$P160, IF(OR($R160&lt;&gt;IF(IFERROR(SEARCH($R160,XKNVLSX!$X$1,1),0)&gt;=1,$R160,XKNVLSX!$X$1),COUNTIFS($C$2:$C159,$C160,$E$2:$E159,$E160,$Q$2:$Q159,$P160)&gt;=1),"",$P160))))</f>
        <v/>
      </c>
      <c r="R160" s="1017" t="str">
        <f ca="1">IF($A160="","",IFERROR(INDEX(TinhGia!$BF$10:$BF$81,MATCH($A160,TinhGia!$B$10:$B$81,0)),""))</f>
        <v/>
      </c>
      <c r="S160" s="1012" t="str">
        <f ca="1">IF($A160="","",IF(OR(IFERROR(SEARCH($R160,XKNVLSX!$X$1,1),0)&gt;=1,XKNVLSX!$X$1=""),$S$2,""))</f>
        <v/>
      </c>
      <c r="T160" s="1018" t="str">
        <f ca="1">IF($C160="","", IF(OR($P160=$V$1,$P160=$V$7,COUNTIFS($C$3:$C160,$C160,$E$3:$E160,$E160)&lt;=1),$P160,""    ))</f>
        <v/>
      </c>
      <c r="U160" s="1019" t="str">
        <f ca="1">IF(AND($P160=$V$2,COUNTIFS($C$3:$C160,$C160,$E$3:$E160,$E160,$G$3:$G160,$G160)&lt;=1),$P160,"")</f>
        <v/>
      </c>
    </row>
    <row r="161" spans="1:21">
      <c r="A161" s="991" t="str">
        <f ca="1">IFERROR(IF(COUNTIF($A$3:A160,A160)&lt; INDEX(TinhGia!$BH$10:$BH$81,MATCH($A160,TinhGia!$B$10:$B$81,0)),$A160,INDEX(TinhGia!$B$10:$B$81,MATCH($A160,TinhGia!$B$10:$B$81,0)+1)),"")</f>
        <v/>
      </c>
      <c r="B161" s="525" t="str">
        <f ca="1">IF(OR(A161="",A161=0),"",IF(COUNTIF($A$2:A161,$A161)=1,ROW(MauKoXoa!$C$108),$B160+1))</f>
        <v/>
      </c>
      <c r="C161" s="992" t="str">
        <f t="shared" ca="1" si="27"/>
        <v/>
      </c>
      <c r="D161" s="993" t="str">
        <f t="shared" ca="1" si="28"/>
        <v/>
      </c>
      <c r="E161" s="993" t="str">
        <f t="shared" ca="1" si="29"/>
        <v/>
      </c>
      <c r="F161" s="992" t="str">
        <f t="shared" ca="1" si="26"/>
        <v/>
      </c>
      <c r="G161" s="994">
        <f t="shared" ca="1" si="30"/>
        <v>0</v>
      </c>
      <c r="H161" s="913">
        <f t="shared" ca="1" si="31"/>
        <v>0</v>
      </c>
      <c r="I161" s="913">
        <f t="shared" ca="1" si="32"/>
        <v>0</v>
      </c>
      <c r="J161" s="995">
        <f t="shared" ca="1" si="33"/>
        <v>0</v>
      </c>
      <c r="K161" s="913">
        <f t="shared" ca="1" si="34"/>
        <v>0</v>
      </c>
      <c r="L161" s="995">
        <f t="shared" ca="1" si="35"/>
        <v>0</v>
      </c>
      <c r="M161" s="913">
        <f t="shared" ca="1" si="36"/>
        <v>0</v>
      </c>
      <c r="N161" s="996">
        <f t="shared" ca="1" si="37"/>
        <v>0</v>
      </c>
      <c r="O161" s="997">
        <f t="shared" ca="1" si="38"/>
        <v>0</v>
      </c>
      <c r="P161" s="1015" t="str">
        <f ca="1">IF($C161="","",INDEX(NVLSX!$N$2:$N$6941,MATCH($C161,NVLSX!$E$2:$E$6941,0)))</f>
        <v/>
      </c>
      <c r="Q161" s="1016" t="str">
        <f ca="1">IF($R161="","",IF(XKNVLSX!$X$1="",IF($P161=$V$7,$P161, IF(COUNTIFS($C$2:$C160,$C161,$E$2:$E160,$E161)&gt;=1,"",$P161)),     IF(AND(IFERROR(SEARCH($R161,XKNVLSX!$X$1,1),0)&gt;=1,$P161=$V$7),$P161, IF(OR($R161&lt;&gt;IF(IFERROR(SEARCH($R161,XKNVLSX!$X$1,1),0)&gt;=1,$R161,XKNVLSX!$X$1),COUNTIFS($C$2:$C160,$C161,$E$2:$E160,$E161,$Q$2:$Q160,$P161)&gt;=1),"",$P161))))</f>
        <v/>
      </c>
      <c r="R161" s="1017" t="str">
        <f ca="1">IF($A161="","",IFERROR(INDEX(TinhGia!$BF$10:$BF$81,MATCH($A161,TinhGia!$B$10:$B$81,0)),""))</f>
        <v/>
      </c>
      <c r="S161" s="1012" t="str">
        <f ca="1">IF($A161="","",IF(OR(IFERROR(SEARCH($R161,XKNVLSX!$X$1,1),0)&gt;=1,XKNVLSX!$X$1=""),$S$2,""))</f>
        <v/>
      </c>
      <c r="T161" s="1018" t="str">
        <f ca="1">IF($C161="","", IF(OR($P161=$V$1,$P161=$V$7,COUNTIFS($C$3:$C161,$C161,$E$3:$E161,$E161)&lt;=1),$P161,""    ))</f>
        <v/>
      </c>
      <c r="U161" s="1019" t="str">
        <f ca="1">IF(AND($P161=$V$2,COUNTIFS($C$3:$C161,$C161,$E$3:$E161,$E161,$G$3:$G161,$G161)&lt;=1),$P161,"")</f>
        <v/>
      </c>
    </row>
    <row r="162" spans="1:21">
      <c r="A162" s="991" t="str">
        <f ca="1">IFERROR(IF(COUNTIF($A$3:A161,A161)&lt; INDEX(TinhGia!$BH$10:$BH$81,MATCH($A161,TinhGia!$B$10:$B$81,0)),$A161,INDEX(TinhGia!$B$10:$B$81,MATCH($A161,TinhGia!$B$10:$B$81,0)+1)),"")</f>
        <v/>
      </c>
      <c r="B162" s="525" t="str">
        <f ca="1">IF(OR(A162="",A162=0),"",IF(COUNTIF($A$2:A162,$A162)=1,ROW(MauKoXoa!$C$108),$B161+1))</f>
        <v/>
      </c>
      <c r="C162" s="992" t="str">
        <f t="shared" ca="1" si="27"/>
        <v/>
      </c>
      <c r="D162" s="993" t="str">
        <f t="shared" ca="1" si="28"/>
        <v/>
      </c>
      <c r="E162" s="993" t="str">
        <f t="shared" ca="1" si="29"/>
        <v/>
      </c>
      <c r="F162" s="992" t="str">
        <f t="shared" ca="1" si="26"/>
        <v/>
      </c>
      <c r="G162" s="994">
        <f t="shared" ca="1" si="30"/>
        <v>0</v>
      </c>
      <c r="H162" s="913">
        <f t="shared" ca="1" si="31"/>
        <v>0</v>
      </c>
      <c r="I162" s="913">
        <f t="shared" ca="1" si="32"/>
        <v>0</v>
      </c>
      <c r="J162" s="995">
        <f t="shared" ca="1" si="33"/>
        <v>0</v>
      </c>
      <c r="K162" s="913">
        <f t="shared" ca="1" si="34"/>
        <v>0</v>
      </c>
      <c r="L162" s="995">
        <f t="shared" ca="1" si="35"/>
        <v>0</v>
      </c>
      <c r="M162" s="913">
        <f t="shared" ca="1" si="36"/>
        <v>0</v>
      </c>
      <c r="N162" s="996">
        <f t="shared" ca="1" si="37"/>
        <v>0</v>
      </c>
      <c r="O162" s="997">
        <f t="shared" ca="1" si="38"/>
        <v>0</v>
      </c>
      <c r="P162" s="1015" t="str">
        <f ca="1">IF($C162="","",INDEX(NVLSX!$N$2:$N$6941,MATCH($C162,NVLSX!$E$2:$E$6941,0)))</f>
        <v/>
      </c>
      <c r="Q162" s="1016" t="str">
        <f ca="1">IF($R162="","",IF(XKNVLSX!$X$1="",IF($P162=$V$7,$P162, IF(COUNTIFS($C$2:$C161,$C162,$E$2:$E161,$E162)&gt;=1,"",$P162)),     IF(AND(IFERROR(SEARCH($R162,XKNVLSX!$X$1,1),0)&gt;=1,$P162=$V$7),$P162, IF(OR($R162&lt;&gt;IF(IFERROR(SEARCH($R162,XKNVLSX!$X$1,1),0)&gt;=1,$R162,XKNVLSX!$X$1),COUNTIFS($C$2:$C161,$C162,$E$2:$E161,$E162,$Q$2:$Q161,$P162)&gt;=1),"",$P162))))</f>
        <v/>
      </c>
      <c r="R162" s="1017" t="str">
        <f ca="1">IF($A162="","",IFERROR(INDEX(TinhGia!$BF$10:$BF$81,MATCH($A162,TinhGia!$B$10:$B$81,0)),""))</f>
        <v/>
      </c>
      <c r="S162" s="1012" t="str">
        <f ca="1">IF($A162="","",IF(OR(IFERROR(SEARCH($R162,XKNVLSX!$X$1,1),0)&gt;=1,XKNVLSX!$X$1=""),$S$2,""))</f>
        <v/>
      </c>
      <c r="T162" s="1018" t="str">
        <f ca="1">IF($C162="","", IF(OR($P162=$V$1,$P162=$V$7,COUNTIFS($C$3:$C162,$C162,$E$3:$E162,$E162)&lt;=1),$P162,""    ))</f>
        <v/>
      </c>
      <c r="U162" s="1019" t="str">
        <f ca="1">IF(AND($P162=$V$2,COUNTIFS($C$3:$C162,$C162,$E$3:$E162,$E162,$G$3:$G162,$G162)&lt;=1),$P162,"")</f>
        <v/>
      </c>
    </row>
    <row r="163" spans="1:21">
      <c r="A163" s="991" t="str">
        <f ca="1">IFERROR(IF(COUNTIF($A$3:A162,A162)&lt; INDEX(TinhGia!$BH$10:$BH$81,MATCH($A162,TinhGia!$B$10:$B$81,0)),$A162,INDEX(TinhGia!$B$10:$B$81,MATCH($A162,TinhGia!$B$10:$B$81,0)+1)),"")</f>
        <v/>
      </c>
      <c r="B163" s="525" t="str">
        <f ca="1">IF(OR(A163="",A163=0),"",IF(COUNTIF($A$2:A163,$A163)=1,ROW(MauKoXoa!$C$108),$B162+1))</f>
        <v/>
      </c>
      <c r="C163" s="992" t="str">
        <f t="shared" ca="1" si="27"/>
        <v/>
      </c>
      <c r="D163" s="993" t="str">
        <f t="shared" ca="1" si="28"/>
        <v/>
      </c>
      <c r="E163" s="993" t="str">
        <f t="shared" ca="1" si="29"/>
        <v/>
      </c>
      <c r="F163" s="992" t="str">
        <f t="shared" ca="1" si="26"/>
        <v/>
      </c>
      <c r="G163" s="994">
        <f t="shared" ca="1" si="30"/>
        <v>0</v>
      </c>
      <c r="H163" s="913">
        <f t="shared" ca="1" si="31"/>
        <v>0</v>
      </c>
      <c r="I163" s="913">
        <f t="shared" ca="1" si="32"/>
        <v>0</v>
      </c>
      <c r="J163" s="995">
        <f t="shared" ca="1" si="33"/>
        <v>0</v>
      </c>
      <c r="K163" s="913">
        <f t="shared" ca="1" si="34"/>
        <v>0</v>
      </c>
      <c r="L163" s="995">
        <f t="shared" ca="1" si="35"/>
        <v>0</v>
      </c>
      <c r="M163" s="913">
        <f t="shared" ca="1" si="36"/>
        <v>0</v>
      </c>
      <c r="N163" s="996">
        <f t="shared" ca="1" si="37"/>
        <v>0</v>
      </c>
      <c r="O163" s="997">
        <f t="shared" ca="1" si="38"/>
        <v>0</v>
      </c>
      <c r="P163" s="1015" t="str">
        <f ca="1">IF($C163="","",INDEX(NVLSX!$N$2:$N$6941,MATCH($C163,NVLSX!$E$2:$E$6941,0)))</f>
        <v/>
      </c>
      <c r="Q163" s="1016" t="str">
        <f ca="1">IF($R163="","",IF(XKNVLSX!$X$1="",IF($P163=$V$7,$P163, IF(COUNTIFS($C$2:$C162,$C163,$E$2:$E162,$E163)&gt;=1,"",$P163)),     IF(AND(IFERROR(SEARCH($R163,XKNVLSX!$X$1,1),0)&gt;=1,$P163=$V$7),$P163, IF(OR($R163&lt;&gt;IF(IFERROR(SEARCH($R163,XKNVLSX!$X$1,1),0)&gt;=1,$R163,XKNVLSX!$X$1),COUNTIFS($C$2:$C162,$C163,$E$2:$E162,$E163,$Q$2:$Q162,$P163)&gt;=1),"",$P163))))</f>
        <v/>
      </c>
      <c r="R163" s="1017" t="str">
        <f ca="1">IF($A163="","",IFERROR(INDEX(TinhGia!$BF$10:$BF$81,MATCH($A163,TinhGia!$B$10:$B$81,0)),""))</f>
        <v/>
      </c>
      <c r="S163" s="1012" t="str">
        <f ca="1">IF($A163="","",IF(OR(IFERROR(SEARCH($R163,XKNVLSX!$X$1,1),0)&gt;=1,XKNVLSX!$X$1=""),$S$2,""))</f>
        <v/>
      </c>
      <c r="T163" s="1018" t="str">
        <f ca="1">IF($C163="","", IF(OR($P163=$V$1,$P163=$V$7,COUNTIFS($C$3:$C163,$C163,$E$3:$E163,$E163)&lt;=1),$P163,""    ))</f>
        <v/>
      </c>
      <c r="U163" s="1019" t="str">
        <f ca="1">IF(AND($P163=$V$2,COUNTIFS($C$3:$C163,$C163,$E$3:$E163,$E163,$G$3:$G163,$G163)&lt;=1),$P163,"")</f>
        <v/>
      </c>
    </row>
    <row r="164" spans="1:21">
      <c r="A164" s="991" t="str">
        <f ca="1">IFERROR(IF(COUNTIF($A$3:A163,A163)&lt; INDEX(TinhGia!$BH$10:$BH$81,MATCH($A163,TinhGia!$B$10:$B$81,0)),$A163,INDEX(TinhGia!$B$10:$B$81,MATCH($A163,TinhGia!$B$10:$B$81,0)+1)),"")</f>
        <v/>
      </c>
      <c r="B164" s="525" t="str">
        <f ca="1">IF(OR(A164="",A164=0),"",IF(COUNTIF($A$2:A164,$A164)=1,ROW(MauKoXoa!$C$108),$B163+1))</f>
        <v/>
      </c>
      <c r="C164" s="992" t="str">
        <f t="shared" ca="1" si="27"/>
        <v/>
      </c>
      <c r="D164" s="993" t="str">
        <f t="shared" ca="1" si="28"/>
        <v/>
      </c>
      <c r="E164" s="993" t="str">
        <f t="shared" ca="1" si="29"/>
        <v/>
      </c>
      <c r="F164" s="992" t="str">
        <f t="shared" ca="1" si="26"/>
        <v/>
      </c>
      <c r="G164" s="994">
        <f t="shared" ca="1" si="30"/>
        <v>0</v>
      </c>
      <c r="H164" s="913">
        <f t="shared" ca="1" si="31"/>
        <v>0</v>
      </c>
      <c r="I164" s="913">
        <f t="shared" ca="1" si="32"/>
        <v>0</v>
      </c>
      <c r="J164" s="995">
        <f t="shared" ca="1" si="33"/>
        <v>0</v>
      </c>
      <c r="K164" s="913">
        <f t="shared" ca="1" si="34"/>
        <v>0</v>
      </c>
      <c r="L164" s="995">
        <f t="shared" ca="1" si="35"/>
        <v>0</v>
      </c>
      <c r="M164" s="913">
        <f t="shared" ca="1" si="36"/>
        <v>0</v>
      </c>
      <c r="N164" s="996">
        <f t="shared" ca="1" si="37"/>
        <v>0</v>
      </c>
      <c r="O164" s="997">
        <f t="shared" ca="1" si="38"/>
        <v>0</v>
      </c>
      <c r="P164" s="1015" t="str">
        <f ca="1">IF($C164="","",INDEX(NVLSX!$N$2:$N$6941,MATCH($C164,NVLSX!$E$2:$E$6941,0)))</f>
        <v/>
      </c>
      <c r="Q164" s="1016" t="str">
        <f ca="1">IF($R164="","",IF(XKNVLSX!$X$1="",IF($P164=$V$7,$P164, IF(COUNTIFS($C$2:$C163,$C164,$E$2:$E163,$E164)&gt;=1,"",$P164)),     IF(AND(IFERROR(SEARCH($R164,XKNVLSX!$X$1,1),0)&gt;=1,$P164=$V$7),$P164, IF(OR($R164&lt;&gt;IF(IFERROR(SEARCH($R164,XKNVLSX!$X$1,1),0)&gt;=1,$R164,XKNVLSX!$X$1),COUNTIFS($C$2:$C163,$C164,$E$2:$E163,$E164,$Q$2:$Q163,$P164)&gt;=1),"",$P164))))</f>
        <v/>
      </c>
      <c r="R164" s="1017" t="str">
        <f ca="1">IF($A164="","",IFERROR(INDEX(TinhGia!$BF$10:$BF$81,MATCH($A164,TinhGia!$B$10:$B$81,0)),""))</f>
        <v/>
      </c>
      <c r="S164" s="1012" t="str">
        <f ca="1">IF($A164="","",IF(OR(IFERROR(SEARCH($R164,XKNVLSX!$X$1,1),0)&gt;=1,XKNVLSX!$X$1=""),$S$2,""))</f>
        <v/>
      </c>
      <c r="T164" s="1018" t="str">
        <f ca="1">IF($C164="","", IF(OR($P164=$V$1,$P164=$V$7,COUNTIFS($C$3:$C164,$C164,$E$3:$E164,$E164)&lt;=1),$P164,""    ))</f>
        <v/>
      </c>
      <c r="U164" s="1019" t="str">
        <f ca="1">IF(AND($P164=$V$2,COUNTIFS($C$3:$C164,$C164,$E$3:$E164,$E164,$G$3:$G164,$G164)&lt;=1),$P164,"")</f>
        <v/>
      </c>
    </row>
    <row r="165" spans="1:21">
      <c r="A165" s="991" t="str">
        <f ca="1">IFERROR(IF(COUNTIF($A$3:A164,A164)&lt; INDEX(TinhGia!$BH$10:$BH$81,MATCH($A164,TinhGia!$B$10:$B$81,0)),$A164,INDEX(TinhGia!$B$10:$B$81,MATCH($A164,TinhGia!$B$10:$B$81,0)+1)),"")</f>
        <v/>
      </c>
      <c r="B165" s="525" t="str">
        <f ca="1">IF(OR(A165="",A165=0),"",IF(COUNTIF($A$2:A165,$A165)=1,ROW(MauKoXoa!$C$108),$B164+1))</f>
        <v/>
      </c>
      <c r="C165" s="992" t="str">
        <f t="shared" ca="1" si="27"/>
        <v/>
      </c>
      <c r="D165" s="993" t="str">
        <f t="shared" ca="1" si="28"/>
        <v/>
      </c>
      <c r="E165" s="993" t="str">
        <f t="shared" ca="1" si="29"/>
        <v/>
      </c>
      <c r="F165" s="992" t="str">
        <f t="shared" ca="1" si="26"/>
        <v/>
      </c>
      <c r="G165" s="994">
        <f t="shared" ca="1" si="30"/>
        <v>0</v>
      </c>
      <c r="H165" s="913">
        <f t="shared" ca="1" si="31"/>
        <v>0</v>
      </c>
      <c r="I165" s="913">
        <f t="shared" ca="1" si="32"/>
        <v>0</v>
      </c>
      <c r="J165" s="995">
        <f t="shared" ca="1" si="33"/>
        <v>0</v>
      </c>
      <c r="K165" s="913">
        <f t="shared" ca="1" si="34"/>
        <v>0</v>
      </c>
      <c r="L165" s="995">
        <f t="shared" ca="1" si="35"/>
        <v>0</v>
      </c>
      <c r="M165" s="913">
        <f t="shared" ca="1" si="36"/>
        <v>0</v>
      </c>
      <c r="N165" s="996">
        <f t="shared" ca="1" si="37"/>
        <v>0</v>
      </c>
      <c r="O165" s="997">
        <f t="shared" ca="1" si="38"/>
        <v>0</v>
      </c>
      <c r="P165" s="1015" t="str">
        <f ca="1">IF($C165="","",INDEX(NVLSX!$N$2:$N$6941,MATCH($C165,NVLSX!$E$2:$E$6941,0)))</f>
        <v/>
      </c>
      <c r="Q165" s="1016" t="str">
        <f ca="1">IF($R165="","",IF(XKNVLSX!$X$1="",IF($P165=$V$7,$P165, IF(COUNTIFS($C$2:$C164,$C165,$E$2:$E164,$E165)&gt;=1,"",$P165)),     IF(AND(IFERROR(SEARCH($R165,XKNVLSX!$X$1,1),0)&gt;=1,$P165=$V$7),$P165, IF(OR($R165&lt;&gt;IF(IFERROR(SEARCH($R165,XKNVLSX!$X$1,1),0)&gt;=1,$R165,XKNVLSX!$X$1),COUNTIFS($C$2:$C164,$C165,$E$2:$E164,$E165,$Q$2:$Q164,$P165)&gt;=1),"",$P165))))</f>
        <v/>
      </c>
      <c r="R165" s="1017" t="str">
        <f ca="1">IF($A165="","",IFERROR(INDEX(TinhGia!$BF$10:$BF$81,MATCH($A165,TinhGia!$B$10:$B$81,0)),""))</f>
        <v/>
      </c>
      <c r="S165" s="1012" t="str">
        <f ca="1">IF($A165="","",IF(OR(IFERROR(SEARCH($R165,XKNVLSX!$X$1,1),0)&gt;=1,XKNVLSX!$X$1=""),$S$2,""))</f>
        <v/>
      </c>
      <c r="T165" s="1018" t="str">
        <f ca="1">IF($C165="","", IF(OR($P165=$V$1,$P165=$V$7,COUNTIFS($C$3:$C165,$C165,$E$3:$E165,$E165)&lt;=1),$P165,""    ))</f>
        <v/>
      </c>
      <c r="U165" s="1019" t="str">
        <f ca="1">IF(AND($P165=$V$2,COUNTIFS($C$3:$C165,$C165,$E$3:$E165,$E165,$G$3:$G165,$G165)&lt;=1),$P165,"")</f>
        <v/>
      </c>
    </row>
    <row r="166" spans="1:21">
      <c r="A166" s="991" t="str">
        <f ca="1">IFERROR(IF(COUNTIF($A$3:A165,A165)&lt; INDEX(TinhGia!$BH$10:$BH$81,MATCH($A165,TinhGia!$B$10:$B$81,0)),$A165,INDEX(TinhGia!$B$10:$B$81,MATCH($A165,TinhGia!$B$10:$B$81,0)+1)),"")</f>
        <v/>
      </c>
      <c r="B166" s="525" t="str">
        <f ca="1">IF(OR(A166="",A166=0),"",IF(COUNTIF($A$2:A166,$A166)=1,ROW(MauKoXoa!$C$108),$B165+1))</f>
        <v/>
      </c>
      <c r="C166" s="992" t="str">
        <f t="shared" ca="1" si="27"/>
        <v/>
      </c>
      <c r="D166" s="993" t="str">
        <f t="shared" ca="1" si="28"/>
        <v/>
      </c>
      <c r="E166" s="993" t="str">
        <f t="shared" ca="1" si="29"/>
        <v/>
      </c>
      <c r="F166" s="992" t="str">
        <f t="shared" ca="1" si="26"/>
        <v/>
      </c>
      <c r="G166" s="994">
        <f t="shared" ca="1" si="30"/>
        <v>0</v>
      </c>
      <c r="H166" s="913">
        <f t="shared" ca="1" si="31"/>
        <v>0</v>
      </c>
      <c r="I166" s="913">
        <f t="shared" ca="1" si="32"/>
        <v>0</v>
      </c>
      <c r="J166" s="995">
        <f t="shared" ca="1" si="33"/>
        <v>0</v>
      </c>
      <c r="K166" s="913">
        <f t="shared" ca="1" si="34"/>
        <v>0</v>
      </c>
      <c r="L166" s="995">
        <f t="shared" ca="1" si="35"/>
        <v>0</v>
      </c>
      <c r="M166" s="913">
        <f t="shared" ca="1" si="36"/>
        <v>0</v>
      </c>
      <c r="N166" s="996">
        <f t="shared" ca="1" si="37"/>
        <v>0</v>
      </c>
      <c r="O166" s="997">
        <f t="shared" ca="1" si="38"/>
        <v>0</v>
      </c>
      <c r="P166" s="1015" t="str">
        <f ca="1">IF($C166="","",INDEX(NVLSX!$N$2:$N$6941,MATCH($C166,NVLSX!$E$2:$E$6941,0)))</f>
        <v/>
      </c>
      <c r="Q166" s="1016" t="str">
        <f ca="1">IF($R166="","",IF(XKNVLSX!$X$1="",IF($P166=$V$7,$P166, IF(COUNTIFS($C$2:$C165,$C166,$E$2:$E165,$E166)&gt;=1,"",$P166)),     IF(AND(IFERROR(SEARCH($R166,XKNVLSX!$X$1,1),0)&gt;=1,$P166=$V$7),$P166, IF(OR($R166&lt;&gt;IF(IFERROR(SEARCH($R166,XKNVLSX!$X$1,1),0)&gt;=1,$R166,XKNVLSX!$X$1),COUNTIFS($C$2:$C165,$C166,$E$2:$E165,$E166,$Q$2:$Q165,$P166)&gt;=1),"",$P166))))</f>
        <v/>
      </c>
      <c r="R166" s="1017" t="str">
        <f ca="1">IF($A166="","",IFERROR(INDEX(TinhGia!$BF$10:$BF$81,MATCH($A166,TinhGia!$B$10:$B$81,0)),""))</f>
        <v/>
      </c>
      <c r="S166" s="1012" t="str">
        <f ca="1">IF($A166="","",IF(OR(IFERROR(SEARCH($R166,XKNVLSX!$X$1,1),0)&gt;=1,XKNVLSX!$X$1=""),$S$2,""))</f>
        <v/>
      </c>
      <c r="T166" s="1018" t="str">
        <f ca="1">IF($C166="","", IF(OR($P166=$V$1,$P166=$V$7,COUNTIFS($C$3:$C166,$C166,$E$3:$E166,$E166)&lt;=1),$P166,""    ))</f>
        <v/>
      </c>
      <c r="U166" s="1019" t="str">
        <f ca="1">IF(AND($P166=$V$2,COUNTIFS($C$3:$C166,$C166,$E$3:$E166,$E166,$G$3:$G166,$G166)&lt;=1),$P166,"")</f>
        <v/>
      </c>
    </row>
    <row r="167" spans="1:21">
      <c r="A167" s="991" t="str">
        <f ca="1">IFERROR(IF(COUNTIF($A$3:A166,A166)&lt; INDEX(TinhGia!$BH$10:$BH$81,MATCH($A166,TinhGia!$B$10:$B$81,0)),$A166,INDEX(TinhGia!$B$10:$B$81,MATCH($A166,TinhGia!$B$10:$B$81,0)+1)),"")</f>
        <v/>
      </c>
      <c r="B167" s="525" t="str">
        <f ca="1">IF(OR(A167="",A167=0),"",IF(COUNTIF($A$2:A167,$A167)=1,ROW(MauKoXoa!$C$108),$B166+1))</f>
        <v/>
      </c>
      <c r="C167" s="992" t="str">
        <f t="shared" ca="1" si="27"/>
        <v/>
      </c>
      <c r="D167" s="993" t="str">
        <f t="shared" ca="1" si="28"/>
        <v/>
      </c>
      <c r="E167" s="993" t="str">
        <f t="shared" ca="1" si="29"/>
        <v/>
      </c>
      <c r="F167" s="992" t="str">
        <f t="shared" ca="1" si="26"/>
        <v/>
      </c>
      <c r="G167" s="994">
        <f t="shared" ca="1" si="30"/>
        <v>0</v>
      </c>
      <c r="H167" s="913">
        <f t="shared" ca="1" si="31"/>
        <v>0</v>
      </c>
      <c r="I167" s="913">
        <f t="shared" ca="1" si="32"/>
        <v>0</v>
      </c>
      <c r="J167" s="995">
        <f t="shared" ca="1" si="33"/>
        <v>0</v>
      </c>
      <c r="K167" s="913">
        <f t="shared" ca="1" si="34"/>
        <v>0</v>
      </c>
      <c r="L167" s="995">
        <f t="shared" ca="1" si="35"/>
        <v>0</v>
      </c>
      <c r="M167" s="913">
        <f t="shared" ca="1" si="36"/>
        <v>0</v>
      </c>
      <c r="N167" s="996">
        <f t="shared" ca="1" si="37"/>
        <v>0</v>
      </c>
      <c r="O167" s="997">
        <f t="shared" ca="1" si="38"/>
        <v>0</v>
      </c>
      <c r="P167" s="1015" t="str">
        <f ca="1">IF($C167="","",INDEX(NVLSX!$N$2:$N$6941,MATCH($C167,NVLSX!$E$2:$E$6941,0)))</f>
        <v/>
      </c>
      <c r="Q167" s="1016" t="str">
        <f ca="1">IF($R167="","",IF(XKNVLSX!$X$1="",IF($P167=$V$7,$P167, IF(COUNTIFS($C$2:$C166,$C167,$E$2:$E166,$E167)&gt;=1,"",$P167)),     IF(AND(IFERROR(SEARCH($R167,XKNVLSX!$X$1,1),0)&gt;=1,$P167=$V$7),$P167, IF(OR($R167&lt;&gt;IF(IFERROR(SEARCH($R167,XKNVLSX!$X$1,1),0)&gt;=1,$R167,XKNVLSX!$X$1),COUNTIFS($C$2:$C166,$C167,$E$2:$E166,$E167,$Q$2:$Q166,$P167)&gt;=1),"",$P167))))</f>
        <v/>
      </c>
      <c r="R167" s="1017" t="str">
        <f ca="1">IF($A167="","",IFERROR(INDEX(TinhGia!$BF$10:$BF$81,MATCH($A167,TinhGia!$B$10:$B$81,0)),""))</f>
        <v/>
      </c>
      <c r="S167" s="1012" t="str">
        <f ca="1">IF($A167="","",IF(OR(IFERROR(SEARCH($R167,XKNVLSX!$X$1,1),0)&gt;=1,XKNVLSX!$X$1=""),$S$2,""))</f>
        <v/>
      </c>
      <c r="T167" s="1018" t="str">
        <f ca="1">IF($C167="","", IF(OR($P167=$V$1,$P167=$V$7,COUNTIFS($C$3:$C167,$C167,$E$3:$E167,$E167)&lt;=1),$P167,""    ))</f>
        <v/>
      </c>
      <c r="U167" s="1019" t="str">
        <f ca="1">IF(AND($P167=$V$2,COUNTIFS($C$3:$C167,$C167,$E$3:$E167,$E167,$G$3:$G167,$G167)&lt;=1),$P167,"")</f>
        <v/>
      </c>
    </row>
    <row r="168" spans="1:21">
      <c r="A168" s="991" t="str">
        <f ca="1">IFERROR(IF(COUNTIF($A$3:A167,A167)&lt; INDEX(TinhGia!$BH$10:$BH$81,MATCH($A167,TinhGia!$B$10:$B$81,0)),$A167,INDEX(TinhGia!$B$10:$B$81,MATCH($A167,TinhGia!$B$10:$B$81,0)+1)),"")</f>
        <v/>
      </c>
      <c r="B168" s="525" t="str">
        <f ca="1">IF(OR(A168="",A168=0),"",IF(COUNTIF($A$2:A168,$A168)=1,ROW(MauKoXoa!$C$108),$B167+1))</f>
        <v/>
      </c>
      <c r="C168" s="992" t="str">
        <f t="shared" ca="1" si="27"/>
        <v/>
      </c>
      <c r="D168" s="993" t="str">
        <f t="shared" ca="1" si="28"/>
        <v/>
      </c>
      <c r="E168" s="993" t="str">
        <f t="shared" ca="1" si="29"/>
        <v/>
      </c>
      <c r="F168" s="992" t="str">
        <f t="shared" ca="1" si="26"/>
        <v/>
      </c>
      <c r="G168" s="994">
        <f t="shared" ca="1" si="30"/>
        <v>0</v>
      </c>
      <c r="H168" s="913">
        <f t="shared" ca="1" si="31"/>
        <v>0</v>
      </c>
      <c r="I168" s="913">
        <f t="shared" ca="1" si="32"/>
        <v>0</v>
      </c>
      <c r="J168" s="995">
        <f t="shared" ca="1" si="33"/>
        <v>0</v>
      </c>
      <c r="K168" s="913">
        <f t="shared" ca="1" si="34"/>
        <v>0</v>
      </c>
      <c r="L168" s="995">
        <f t="shared" ca="1" si="35"/>
        <v>0</v>
      </c>
      <c r="M168" s="913">
        <f t="shared" ca="1" si="36"/>
        <v>0</v>
      </c>
      <c r="N168" s="996">
        <f t="shared" ca="1" si="37"/>
        <v>0</v>
      </c>
      <c r="O168" s="997">
        <f t="shared" ca="1" si="38"/>
        <v>0</v>
      </c>
      <c r="P168" s="1015" t="str">
        <f ca="1">IF($C168="","",INDEX(NVLSX!$N$2:$N$6941,MATCH($C168,NVLSX!$E$2:$E$6941,0)))</f>
        <v/>
      </c>
      <c r="Q168" s="1016" t="str">
        <f ca="1">IF($R168="","",IF(XKNVLSX!$X$1="",IF($P168=$V$7,$P168, IF(COUNTIFS($C$2:$C167,$C168,$E$2:$E167,$E168)&gt;=1,"",$P168)),     IF(AND(IFERROR(SEARCH($R168,XKNVLSX!$X$1,1),0)&gt;=1,$P168=$V$7),$P168, IF(OR($R168&lt;&gt;IF(IFERROR(SEARCH($R168,XKNVLSX!$X$1,1),0)&gt;=1,$R168,XKNVLSX!$X$1),COUNTIFS($C$2:$C167,$C168,$E$2:$E167,$E168,$Q$2:$Q167,$P168)&gt;=1),"",$P168))))</f>
        <v/>
      </c>
      <c r="R168" s="1017" t="str">
        <f ca="1">IF($A168="","",IFERROR(INDEX(TinhGia!$BF$10:$BF$81,MATCH($A168,TinhGia!$B$10:$B$81,0)),""))</f>
        <v/>
      </c>
      <c r="S168" s="1012" t="str">
        <f ca="1">IF($A168="","",IF(OR(IFERROR(SEARCH($R168,XKNVLSX!$X$1,1),0)&gt;=1,XKNVLSX!$X$1=""),$S$2,""))</f>
        <v/>
      </c>
      <c r="T168" s="1018" t="str">
        <f ca="1">IF($C168="","", IF(OR($P168=$V$1,$P168=$V$7,COUNTIFS($C$3:$C168,$C168,$E$3:$E168,$E168)&lt;=1),$P168,""    ))</f>
        <v/>
      </c>
      <c r="U168" s="1019" t="str">
        <f ca="1">IF(AND($P168=$V$2,COUNTIFS($C$3:$C168,$C168,$E$3:$E168,$E168,$G$3:$G168,$G168)&lt;=1),$P168,"")</f>
        <v/>
      </c>
    </row>
    <row r="169" spans="1:21">
      <c r="A169" s="991" t="str">
        <f ca="1">IFERROR(IF(COUNTIF($A$3:A168,A168)&lt; INDEX(TinhGia!$BH$10:$BH$81,MATCH($A168,TinhGia!$B$10:$B$81,0)),$A168,INDEX(TinhGia!$B$10:$B$81,MATCH($A168,TinhGia!$B$10:$B$81,0)+1)),"")</f>
        <v/>
      </c>
      <c r="B169" s="525" t="str">
        <f ca="1">IF(OR(A169="",A169=0),"",IF(COUNTIF($A$2:A169,$A169)=1,ROW(MauKoXoa!$C$108),$B168+1))</f>
        <v/>
      </c>
      <c r="C169" s="992" t="str">
        <f t="shared" ca="1" si="27"/>
        <v/>
      </c>
      <c r="D169" s="993" t="str">
        <f t="shared" ca="1" si="28"/>
        <v/>
      </c>
      <c r="E169" s="993" t="str">
        <f t="shared" ca="1" si="29"/>
        <v/>
      </c>
      <c r="F169" s="992" t="str">
        <f t="shared" ca="1" si="26"/>
        <v/>
      </c>
      <c r="G169" s="994">
        <f t="shared" ca="1" si="30"/>
        <v>0</v>
      </c>
      <c r="H169" s="913">
        <f t="shared" ca="1" si="31"/>
        <v>0</v>
      </c>
      <c r="I169" s="913">
        <f t="shared" ca="1" si="32"/>
        <v>0</v>
      </c>
      <c r="J169" s="995">
        <f t="shared" ca="1" si="33"/>
        <v>0</v>
      </c>
      <c r="K169" s="913">
        <f t="shared" ca="1" si="34"/>
        <v>0</v>
      </c>
      <c r="L169" s="995">
        <f t="shared" ca="1" si="35"/>
        <v>0</v>
      </c>
      <c r="M169" s="913">
        <f t="shared" ca="1" si="36"/>
        <v>0</v>
      </c>
      <c r="N169" s="996">
        <f t="shared" ca="1" si="37"/>
        <v>0</v>
      </c>
      <c r="O169" s="997">
        <f t="shared" ca="1" si="38"/>
        <v>0</v>
      </c>
      <c r="P169" s="1015" t="str">
        <f ca="1">IF($C169="","",INDEX(NVLSX!$N$2:$N$6941,MATCH($C169,NVLSX!$E$2:$E$6941,0)))</f>
        <v/>
      </c>
      <c r="Q169" s="1016" t="str">
        <f ca="1">IF($R169="","",IF(XKNVLSX!$X$1="",IF($P169=$V$7,$P169, IF(COUNTIFS($C$2:$C168,$C169,$E$2:$E168,$E169)&gt;=1,"",$P169)),     IF(AND(IFERROR(SEARCH($R169,XKNVLSX!$X$1,1),0)&gt;=1,$P169=$V$7),$P169, IF(OR($R169&lt;&gt;IF(IFERROR(SEARCH($R169,XKNVLSX!$X$1,1),0)&gt;=1,$R169,XKNVLSX!$X$1),COUNTIFS($C$2:$C168,$C169,$E$2:$E168,$E169,$Q$2:$Q168,$P169)&gt;=1),"",$P169))))</f>
        <v/>
      </c>
      <c r="R169" s="1017" t="str">
        <f ca="1">IF($A169="","",IFERROR(INDEX(TinhGia!$BF$10:$BF$81,MATCH($A169,TinhGia!$B$10:$B$81,0)),""))</f>
        <v/>
      </c>
      <c r="S169" s="1012" t="str">
        <f ca="1">IF($A169="","",IF(OR(IFERROR(SEARCH($R169,XKNVLSX!$X$1,1),0)&gt;=1,XKNVLSX!$X$1=""),$S$2,""))</f>
        <v/>
      </c>
      <c r="T169" s="1018" t="str">
        <f ca="1">IF($C169="","", IF(OR($P169=$V$1,$P169=$V$7,COUNTIFS($C$3:$C169,$C169,$E$3:$E169,$E169)&lt;=1),$P169,""    ))</f>
        <v/>
      </c>
      <c r="U169" s="1019" t="str">
        <f ca="1">IF(AND($P169=$V$2,COUNTIFS($C$3:$C169,$C169,$E$3:$E169,$E169,$G$3:$G169,$G169)&lt;=1),$P169,"")</f>
        <v/>
      </c>
    </row>
    <row r="170" spans="1:21">
      <c r="A170" s="991" t="str">
        <f ca="1">IFERROR(IF(COUNTIF($A$3:A169,A169)&lt; INDEX(TinhGia!$BH$10:$BH$81,MATCH($A169,TinhGia!$B$10:$B$81,0)),$A169,INDEX(TinhGia!$B$10:$B$81,MATCH($A169,TinhGia!$B$10:$B$81,0)+1)),"")</f>
        <v/>
      </c>
      <c r="B170" s="525" t="str">
        <f ca="1">IF(OR(A170="",A170=0),"",IF(COUNTIF($A$2:A170,$A170)=1,ROW(MauKoXoa!$C$108),$B169+1))</f>
        <v/>
      </c>
      <c r="C170" s="992" t="str">
        <f t="shared" ca="1" si="27"/>
        <v/>
      </c>
      <c r="D170" s="993" t="str">
        <f t="shared" ca="1" si="28"/>
        <v/>
      </c>
      <c r="E170" s="993" t="str">
        <f t="shared" ca="1" si="29"/>
        <v/>
      </c>
      <c r="F170" s="992" t="str">
        <f t="shared" ca="1" si="26"/>
        <v/>
      </c>
      <c r="G170" s="994">
        <f t="shared" ca="1" si="30"/>
        <v>0</v>
      </c>
      <c r="H170" s="913">
        <f t="shared" ca="1" si="31"/>
        <v>0</v>
      </c>
      <c r="I170" s="913">
        <f t="shared" ca="1" si="32"/>
        <v>0</v>
      </c>
      <c r="J170" s="995">
        <f t="shared" ca="1" si="33"/>
        <v>0</v>
      </c>
      <c r="K170" s="913">
        <f t="shared" ca="1" si="34"/>
        <v>0</v>
      </c>
      <c r="L170" s="995">
        <f t="shared" ca="1" si="35"/>
        <v>0</v>
      </c>
      <c r="M170" s="913">
        <f t="shared" ca="1" si="36"/>
        <v>0</v>
      </c>
      <c r="N170" s="996">
        <f t="shared" ca="1" si="37"/>
        <v>0</v>
      </c>
      <c r="O170" s="997">
        <f t="shared" ca="1" si="38"/>
        <v>0</v>
      </c>
      <c r="P170" s="1015" t="str">
        <f ca="1">IF($C170="","",INDEX(NVLSX!$N$2:$N$6941,MATCH($C170,NVLSX!$E$2:$E$6941,0)))</f>
        <v/>
      </c>
      <c r="Q170" s="1016" t="str">
        <f ca="1">IF($R170="","",IF(XKNVLSX!$X$1="",IF($P170=$V$7,$P170, IF(COUNTIFS($C$2:$C169,$C170,$E$2:$E169,$E170)&gt;=1,"",$P170)),     IF(AND(IFERROR(SEARCH($R170,XKNVLSX!$X$1,1),0)&gt;=1,$P170=$V$7),$P170, IF(OR($R170&lt;&gt;IF(IFERROR(SEARCH($R170,XKNVLSX!$X$1,1),0)&gt;=1,$R170,XKNVLSX!$X$1),COUNTIFS($C$2:$C169,$C170,$E$2:$E169,$E170,$Q$2:$Q169,$P170)&gt;=1),"",$P170))))</f>
        <v/>
      </c>
      <c r="R170" s="1017" t="str">
        <f ca="1">IF($A170="","",IFERROR(INDEX(TinhGia!$BF$10:$BF$81,MATCH($A170,TinhGia!$B$10:$B$81,0)),""))</f>
        <v/>
      </c>
      <c r="S170" s="1012" t="str">
        <f ca="1">IF($A170="","",IF(OR(IFERROR(SEARCH($R170,XKNVLSX!$X$1,1),0)&gt;=1,XKNVLSX!$X$1=""),$S$2,""))</f>
        <v/>
      </c>
      <c r="T170" s="1018" t="str">
        <f ca="1">IF($C170="","", IF(OR($P170=$V$1,$P170=$V$7,COUNTIFS($C$3:$C170,$C170,$E$3:$E170,$E170)&lt;=1),$P170,""    ))</f>
        <v/>
      </c>
      <c r="U170" s="1019" t="str">
        <f ca="1">IF(AND($P170=$V$2,COUNTIFS($C$3:$C170,$C170,$E$3:$E170,$E170,$G$3:$G170,$G170)&lt;=1),$P170,"")</f>
        <v/>
      </c>
    </row>
    <row r="171" spans="1:21">
      <c r="A171" s="991" t="str">
        <f ca="1">IFERROR(IF(COUNTIF($A$3:A170,A170)&lt; INDEX(TinhGia!$BH$10:$BH$81,MATCH($A170,TinhGia!$B$10:$B$81,0)),$A170,INDEX(TinhGia!$B$10:$B$81,MATCH($A170,TinhGia!$B$10:$B$81,0)+1)),"")</f>
        <v/>
      </c>
      <c r="B171" s="525" t="str">
        <f ca="1">IF(OR(A171="",A171=0),"",IF(COUNTIF($A$2:A171,$A171)=1,ROW(MauKoXoa!$C$108),$B170+1))</f>
        <v/>
      </c>
      <c r="C171" s="992" t="str">
        <f t="shared" ca="1" si="27"/>
        <v/>
      </c>
      <c r="D171" s="993" t="str">
        <f t="shared" ca="1" si="28"/>
        <v/>
      </c>
      <c r="E171" s="993" t="str">
        <f t="shared" ca="1" si="29"/>
        <v/>
      </c>
      <c r="F171" s="992" t="str">
        <f t="shared" ca="1" si="26"/>
        <v/>
      </c>
      <c r="G171" s="994">
        <f t="shared" ca="1" si="30"/>
        <v>0</v>
      </c>
      <c r="H171" s="913">
        <f t="shared" ca="1" si="31"/>
        <v>0</v>
      </c>
      <c r="I171" s="913">
        <f t="shared" ca="1" si="32"/>
        <v>0</v>
      </c>
      <c r="J171" s="995">
        <f t="shared" ca="1" si="33"/>
        <v>0</v>
      </c>
      <c r="K171" s="913">
        <f t="shared" ca="1" si="34"/>
        <v>0</v>
      </c>
      <c r="L171" s="995">
        <f t="shared" ca="1" si="35"/>
        <v>0</v>
      </c>
      <c r="M171" s="913">
        <f t="shared" ca="1" si="36"/>
        <v>0</v>
      </c>
      <c r="N171" s="996">
        <f t="shared" ca="1" si="37"/>
        <v>0</v>
      </c>
      <c r="O171" s="997">
        <f t="shared" ca="1" si="38"/>
        <v>0</v>
      </c>
      <c r="P171" s="1015" t="str">
        <f ca="1">IF($C171="","",INDEX(NVLSX!$N$2:$N$6941,MATCH($C171,NVLSX!$E$2:$E$6941,0)))</f>
        <v/>
      </c>
      <c r="Q171" s="1016" t="str">
        <f ca="1">IF($R171="","",IF(XKNVLSX!$X$1="",IF($P171=$V$7,$P171, IF(COUNTIFS($C$2:$C170,$C171,$E$2:$E170,$E171)&gt;=1,"",$P171)),     IF(AND(IFERROR(SEARCH($R171,XKNVLSX!$X$1,1),0)&gt;=1,$P171=$V$7),$P171, IF(OR($R171&lt;&gt;IF(IFERROR(SEARCH($R171,XKNVLSX!$X$1,1),0)&gt;=1,$R171,XKNVLSX!$X$1),COUNTIFS($C$2:$C170,$C171,$E$2:$E170,$E171,$Q$2:$Q170,$P171)&gt;=1),"",$P171))))</f>
        <v/>
      </c>
      <c r="R171" s="1017" t="str">
        <f ca="1">IF($A171="","",IFERROR(INDEX(TinhGia!$BF$10:$BF$81,MATCH($A171,TinhGia!$B$10:$B$81,0)),""))</f>
        <v/>
      </c>
      <c r="S171" s="1012" t="str">
        <f ca="1">IF($A171="","",IF(OR(IFERROR(SEARCH($R171,XKNVLSX!$X$1,1),0)&gt;=1,XKNVLSX!$X$1=""),$S$2,""))</f>
        <v/>
      </c>
      <c r="T171" s="1018" t="str">
        <f ca="1">IF($C171="","", IF(OR($P171=$V$1,$P171=$V$7,COUNTIFS($C$3:$C171,$C171,$E$3:$E171,$E171)&lt;=1),$P171,""    ))</f>
        <v/>
      </c>
      <c r="U171" s="1019" t="str">
        <f ca="1">IF(AND($P171=$V$2,COUNTIFS($C$3:$C171,$C171,$E$3:$E171,$E171,$G$3:$G171,$G171)&lt;=1),$P171,"")</f>
        <v/>
      </c>
    </row>
    <row r="172" spans="1:21">
      <c r="A172" s="991" t="str">
        <f ca="1">IFERROR(IF(COUNTIF($A$3:A171,A171)&lt; INDEX(TinhGia!$BH$10:$BH$81,MATCH($A171,TinhGia!$B$10:$B$81,0)),$A171,INDEX(TinhGia!$B$10:$B$81,MATCH($A171,TinhGia!$B$10:$B$81,0)+1)),"")</f>
        <v/>
      </c>
      <c r="B172" s="525" t="str">
        <f ca="1">IF(OR(A172="",A172=0),"",IF(COUNTIF($A$2:A172,$A172)=1,ROW(MauKoXoa!$C$108),$B171+1))</f>
        <v/>
      </c>
      <c r="C172" s="992" t="str">
        <f t="shared" ca="1" si="27"/>
        <v/>
      </c>
      <c r="D172" s="993" t="str">
        <f t="shared" ca="1" si="28"/>
        <v/>
      </c>
      <c r="E172" s="993" t="str">
        <f t="shared" ca="1" si="29"/>
        <v/>
      </c>
      <c r="F172" s="992" t="str">
        <f t="shared" ca="1" si="26"/>
        <v/>
      </c>
      <c r="G172" s="994">
        <f t="shared" ca="1" si="30"/>
        <v>0</v>
      </c>
      <c r="H172" s="913">
        <f t="shared" ca="1" si="31"/>
        <v>0</v>
      </c>
      <c r="I172" s="913">
        <f t="shared" ca="1" si="32"/>
        <v>0</v>
      </c>
      <c r="J172" s="995">
        <f t="shared" ca="1" si="33"/>
        <v>0</v>
      </c>
      <c r="K172" s="913">
        <f t="shared" ca="1" si="34"/>
        <v>0</v>
      </c>
      <c r="L172" s="995">
        <f t="shared" ca="1" si="35"/>
        <v>0</v>
      </c>
      <c r="M172" s="913">
        <f t="shared" ca="1" si="36"/>
        <v>0</v>
      </c>
      <c r="N172" s="996">
        <f t="shared" ca="1" si="37"/>
        <v>0</v>
      </c>
      <c r="O172" s="997">
        <f t="shared" ca="1" si="38"/>
        <v>0</v>
      </c>
      <c r="P172" s="1015" t="str">
        <f ca="1">IF($C172="","",INDEX(NVLSX!$N$2:$N$6941,MATCH($C172,NVLSX!$E$2:$E$6941,0)))</f>
        <v/>
      </c>
      <c r="Q172" s="1016" t="str">
        <f ca="1">IF($R172="","",IF(XKNVLSX!$X$1="",IF($P172=$V$7,$P172, IF(COUNTIFS($C$2:$C171,$C172,$E$2:$E171,$E172)&gt;=1,"",$P172)),     IF(AND(IFERROR(SEARCH($R172,XKNVLSX!$X$1,1),0)&gt;=1,$P172=$V$7),$P172, IF(OR($R172&lt;&gt;IF(IFERROR(SEARCH($R172,XKNVLSX!$X$1,1),0)&gt;=1,$R172,XKNVLSX!$X$1),COUNTIFS($C$2:$C171,$C172,$E$2:$E171,$E172,$Q$2:$Q171,$P172)&gt;=1),"",$P172))))</f>
        <v/>
      </c>
      <c r="R172" s="1017" t="str">
        <f ca="1">IF($A172="","",IFERROR(INDEX(TinhGia!$BF$10:$BF$81,MATCH($A172,TinhGia!$B$10:$B$81,0)),""))</f>
        <v/>
      </c>
      <c r="S172" s="1012" t="str">
        <f ca="1">IF($A172="","",IF(OR(IFERROR(SEARCH($R172,XKNVLSX!$X$1,1),0)&gt;=1,XKNVLSX!$X$1=""),$S$2,""))</f>
        <v/>
      </c>
      <c r="T172" s="1018" t="str">
        <f ca="1">IF($C172="","", IF(OR($P172=$V$1,$P172=$V$7,COUNTIFS($C$3:$C172,$C172,$E$3:$E172,$E172)&lt;=1),$P172,""    ))</f>
        <v/>
      </c>
      <c r="U172" s="1019" t="str">
        <f ca="1">IF(AND($P172=$V$2,COUNTIFS($C$3:$C172,$C172,$E$3:$E172,$E172,$G$3:$G172,$G172)&lt;=1),$P172,"")</f>
        <v/>
      </c>
    </row>
    <row r="173" spans="1:21">
      <c r="A173" s="991" t="str">
        <f ca="1">IFERROR(IF(COUNTIF($A$3:A172,A172)&lt; INDEX(TinhGia!$BH$10:$BH$81,MATCH($A172,TinhGia!$B$10:$B$81,0)),$A172,INDEX(TinhGia!$B$10:$B$81,MATCH($A172,TinhGia!$B$10:$B$81,0)+1)),"")</f>
        <v/>
      </c>
      <c r="B173" s="525" t="str">
        <f ca="1">IF(OR(A173="",A173=0),"",IF(COUNTIF($A$2:A173,$A173)=1,ROW(MauKoXoa!$C$108),$B172+1))</f>
        <v/>
      </c>
      <c r="C173" s="992" t="str">
        <f t="shared" ca="1" si="27"/>
        <v/>
      </c>
      <c r="D173" s="993" t="str">
        <f t="shared" ca="1" si="28"/>
        <v/>
      </c>
      <c r="E173" s="993" t="str">
        <f t="shared" ca="1" si="29"/>
        <v/>
      </c>
      <c r="F173" s="992" t="str">
        <f t="shared" ca="1" si="26"/>
        <v/>
      </c>
      <c r="G173" s="994">
        <f t="shared" ca="1" si="30"/>
        <v>0</v>
      </c>
      <c r="H173" s="913">
        <f t="shared" ca="1" si="31"/>
        <v>0</v>
      </c>
      <c r="I173" s="913">
        <f t="shared" ca="1" si="32"/>
        <v>0</v>
      </c>
      <c r="J173" s="995">
        <f t="shared" ca="1" si="33"/>
        <v>0</v>
      </c>
      <c r="K173" s="913">
        <f t="shared" ca="1" si="34"/>
        <v>0</v>
      </c>
      <c r="L173" s="995">
        <f t="shared" ca="1" si="35"/>
        <v>0</v>
      </c>
      <c r="M173" s="913">
        <f t="shared" ca="1" si="36"/>
        <v>0</v>
      </c>
      <c r="N173" s="996">
        <f t="shared" ca="1" si="37"/>
        <v>0</v>
      </c>
      <c r="O173" s="997">
        <f t="shared" ca="1" si="38"/>
        <v>0</v>
      </c>
      <c r="P173" s="1015" t="str">
        <f ca="1">IF($C173="","",INDEX(NVLSX!$N$2:$N$6941,MATCH($C173,NVLSX!$E$2:$E$6941,0)))</f>
        <v/>
      </c>
      <c r="Q173" s="1016" t="str">
        <f ca="1">IF($R173="","",IF(XKNVLSX!$X$1="",IF($P173=$V$7,$P173, IF(COUNTIFS($C$2:$C172,$C173,$E$2:$E172,$E173)&gt;=1,"",$P173)),     IF(AND(IFERROR(SEARCH($R173,XKNVLSX!$X$1,1),0)&gt;=1,$P173=$V$7),$P173, IF(OR($R173&lt;&gt;IF(IFERROR(SEARCH($R173,XKNVLSX!$X$1,1),0)&gt;=1,$R173,XKNVLSX!$X$1),COUNTIFS($C$2:$C172,$C173,$E$2:$E172,$E173,$Q$2:$Q172,$P173)&gt;=1),"",$P173))))</f>
        <v/>
      </c>
      <c r="R173" s="1017" t="str">
        <f ca="1">IF($A173="","",IFERROR(INDEX(TinhGia!$BF$10:$BF$81,MATCH($A173,TinhGia!$B$10:$B$81,0)),""))</f>
        <v/>
      </c>
      <c r="S173" s="1012" t="str">
        <f ca="1">IF($A173="","",IF(OR(IFERROR(SEARCH($R173,XKNVLSX!$X$1,1),0)&gt;=1,XKNVLSX!$X$1=""),$S$2,""))</f>
        <v/>
      </c>
      <c r="T173" s="1018" t="str">
        <f ca="1">IF($C173="","", IF(OR($P173=$V$1,$P173=$V$7,COUNTIFS($C$3:$C173,$C173,$E$3:$E173,$E173)&lt;=1),$P173,""    ))</f>
        <v/>
      </c>
      <c r="U173" s="1019" t="str">
        <f ca="1">IF(AND($P173=$V$2,COUNTIFS($C$3:$C173,$C173,$E$3:$E173,$E173,$G$3:$G173,$G173)&lt;=1),$P173,"")</f>
        <v/>
      </c>
    </row>
    <row r="174" spans="1:21">
      <c r="A174" s="991" t="str">
        <f ca="1">IFERROR(IF(COUNTIF($A$3:A173,A173)&lt; INDEX(TinhGia!$BH$10:$BH$81,MATCH($A173,TinhGia!$B$10:$B$81,0)),$A173,INDEX(TinhGia!$B$10:$B$81,MATCH($A173,TinhGia!$B$10:$B$81,0)+1)),"")</f>
        <v/>
      </c>
      <c r="B174" s="525" t="str">
        <f ca="1">IF(OR(A174="",A174=0),"",IF(COUNTIF($A$2:A174,$A174)=1,ROW(MauKoXoa!$C$108),$B173+1))</f>
        <v/>
      </c>
      <c r="C174" s="992" t="str">
        <f t="shared" ca="1" si="27"/>
        <v/>
      </c>
      <c r="D174" s="993" t="str">
        <f t="shared" ca="1" si="28"/>
        <v/>
      </c>
      <c r="E174" s="993" t="str">
        <f t="shared" ca="1" si="29"/>
        <v/>
      </c>
      <c r="F174" s="992" t="str">
        <f t="shared" ca="1" si="26"/>
        <v/>
      </c>
      <c r="G174" s="994">
        <f t="shared" ca="1" si="30"/>
        <v>0</v>
      </c>
      <c r="H174" s="913">
        <f t="shared" ca="1" si="31"/>
        <v>0</v>
      </c>
      <c r="I174" s="913">
        <f t="shared" ca="1" si="32"/>
        <v>0</v>
      </c>
      <c r="J174" s="995">
        <f t="shared" ca="1" si="33"/>
        <v>0</v>
      </c>
      <c r="K174" s="913">
        <f t="shared" ca="1" si="34"/>
        <v>0</v>
      </c>
      <c r="L174" s="995">
        <f t="shared" ca="1" si="35"/>
        <v>0</v>
      </c>
      <c r="M174" s="913">
        <f t="shared" ca="1" si="36"/>
        <v>0</v>
      </c>
      <c r="N174" s="996">
        <f t="shared" ca="1" si="37"/>
        <v>0</v>
      </c>
      <c r="O174" s="997">
        <f t="shared" ca="1" si="38"/>
        <v>0</v>
      </c>
      <c r="P174" s="1015" t="str">
        <f ca="1">IF($C174="","",INDEX(NVLSX!$N$2:$N$6941,MATCH($C174,NVLSX!$E$2:$E$6941,0)))</f>
        <v/>
      </c>
      <c r="Q174" s="1016" t="str">
        <f ca="1">IF($R174="","",IF(XKNVLSX!$X$1="",IF($P174=$V$7,$P174, IF(COUNTIFS($C$2:$C173,$C174,$E$2:$E173,$E174)&gt;=1,"",$P174)),     IF(AND(IFERROR(SEARCH($R174,XKNVLSX!$X$1,1),0)&gt;=1,$P174=$V$7),$P174, IF(OR($R174&lt;&gt;IF(IFERROR(SEARCH($R174,XKNVLSX!$X$1,1),0)&gt;=1,$R174,XKNVLSX!$X$1),COUNTIFS($C$2:$C173,$C174,$E$2:$E173,$E174,$Q$2:$Q173,$P174)&gt;=1),"",$P174))))</f>
        <v/>
      </c>
      <c r="R174" s="1017" t="str">
        <f ca="1">IF($A174="","",IFERROR(INDEX(TinhGia!$BF$10:$BF$81,MATCH($A174,TinhGia!$B$10:$B$81,0)),""))</f>
        <v/>
      </c>
      <c r="S174" s="1012" t="str">
        <f ca="1">IF($A174="","",IF(OR(IFERROR(SEARCH($R174,XKNVLSX!$X$1,1),0)&gt;=1,XKNVLSX!$X$1=""),$S$2,""))</f>
        <v/>
      </c>
      <c r="T174" s="1018" t="str">
        <f ca="1">IF($C174="","", IF(OR($P174=$V$1,$P174=$V$7,COUNTIFS($C$3:$C174,$C174,$E$3:$E174,$E174)&lt;=1),$P174,""    ))</f>
        <v/>
      </c>
      <c r="U174" s="1019" t="str">
        <f ca="1">IF(AND($P174=$V$2,COUNTIFS($C$3:$C174,$C174,$E$3:$E174,$E174,$G$3:$G174,$G174)&lt;=1),$P174,"")</f>
        <v/>
      </c>
    </row>
    <row r="175" spans="1:21">
      <c r="A175" s="991" t="str">
        <f ca="1">IFERROR(IF(COUNTIF($A$3:A174,A174)&lt; INDEX(TinhGia!$BH$10:$BH$81,MATCH($A174,TinhGia!$B$10:$B$81,0)),$A174,INDEX(TinhGia!$B$10:$B$81,MATCH($A174,TinhGia!$B$10:$B$81,0)+1)),"")</f>
        <v/>
      </c>
      <c r="B175" s="525" t="str">
        <f ca="1">IF(OR(A175="",A175=0),"",IF(COUNTIF($A$2:A175,$A175)=1,ROW(MauKoXoa!$C$108),$B174+1))</f>
        <v/>
      </c>
      <c r="C175" s="992" t="str">
        <f t="shared" ca="1" si="27"/>
        <v/>
      </c>
      <c r="D175" s="993" t="str">
        <f t="shared" ca="1" si="28"/>
        <v/>
      </c>
      <c r="E175" s="993" t="str">
        <f t="shared" ca="1" si="29"/>
        <v/>
      </c>
      <c r="F175" s="992" t="str">
        <f t="shared" ca="1" si="26"/>
        <v/>
      </c>
      <c r="G175" s="994">
        <f t="shared" ca="1" si="30"/>
        <v>0</v>
      </c>
      <c r="H175" s="913">
        <f t="shared" ca="1" si="31"/>
        <v>0</v>
      </c>
      <c r="I175" s="913">
        <f t="shared" ca="1" si="32"/>
        <v>0</v>
      </c>
      <c r="J175" s="995">
        <f t="shared" ca="1" si="33"/>
        <v>0</v>
      </c>
      <c r="K175" s="913">
        <f t="shared" ca="1" si="34"/>
        <v>0</v>
      </c>
      <c r="L175" s="995">
        <f t="shared" ca="1" si="35"/>
        <v>0</v>
      </c>
      <c r="M175" s="913">
        <f t="shared" ca="1" si="36"/>
        <v>0</v>
      </c>
      <c r="N175" s="996">
        <f t="shared" ca="1" si="37"/>
        <v>0</v>
      </c>
      <c r="O175" s="997">
        <f t="shared" ca="1" si="38"/>
        <v>0</v>
      </c>
      <c r="P175" s="1015" t="str">
        <f ca="1">IF($C175="","",INDEX(NVLSX!$N$2:$N$6941,MATCH($C175,NVLSX!$E$2:$E$6941,0)))</f>
        <v/>
      </c>
      <c r="Q175" s="1016" t="str">
        <f ca="1">IF($R175="","",IF(XKNVLSX!$X$1="",IF($P175=$V$7,$P175, IF(COUNTIFS($C$2:$C174,$C175,$E$2:$E174,$E175)&gt;=1,"",$P175)),     IF(AND(IFERROR(SEARCH($R175,XKNVLSX!$X$1,1),0)&gt;=1,$P175=$V$7),$P175, IF(OR($R175&lt;&gt;IF(IFERROR(SEARCH($R175,XKNVLSX!$X$1,1),0)&gt;=1,$R175,XKNVLSX!$X$1),COUNTIFS($C$2:$C174,$C175,$E$2:$E174,$E175,$Q$2:$Q174,$P175)&gt;=1),"",$P175))))</f>
        <v/>
      </c>
      <c r="R175" s="1017" t="str">
        <f ca="1">IF($A175="","",IFERROR(INDEX(TinhGia!$BF$10:$BF$81,MATCH($A175,TinhGia!$B$10:$B$81,0)),""))</f>
        <v/>
      </c>
      <c r="S175" s="1012" t="str">
        <f ca="1">IF($A175="","",IF(OR(IFERROR(SEARCH($R175,XKNVLSX!$X$1,1),0)&gt;=1,XKNVLSX!$X$1=""),$S$2,""))</f>
        <v/>
      </c>
      <c r="T175" s="1018" t="str">
        <f ca="1">IF($C175="","", IF(OR($P175=$V$1,$P175=$V$7,COUNTIFS($C$3:$C175,$C175,$E$3:$E175,$E175)&lt;=1),$P175,""    ))</f>
        <v/>
      </c>
      <c r="U175" s="1019" t="str">
        <f ca="1">IF(AND($P175=$V$2,COUNTIFS($C$3:$C175,$C175,$E$3:$E175,$E175,$G$3:$G175,$G175)&lt;=1),$P175,"")</f>
        <v/>
      </c>
    </row>
    <row r="176" spans="1:21">
      <c r="A176" s="991" t="str">
        <f ca="1">IFERROR(IF(COUNTIF($A$3:A175,A175)&lt; INDEX(TinhGia!$BH$10:$BH$81,MATCH($A175,TinhGia!$B$10:$B$81,0)),$A175,INDEX(TinhGia!$B$10:$B$81,MATCH($A175,TinhGia!$B$10:$B$81,0)+1)),"")</f>
        <v/>
      </c>
      <c r="B176" s="525" t="str">
        <f ca="1">IF(OR(A176="",A176=0),"",IF(COUNTIF($A$2:A176,$A176)=1,ROW(MauKoXoa!$C$108),$B175+1))</f>
        <v/>
      </c>
      <c r="C176" s="992" t="str">
        <f t="shared" ca="1" si="27"/>
        <v/>
      </c>
      <c r="D176" s="993" t="str">
        <f t="shared" ca="1" si="28"/>
        <v/>
      </c>
      <c r="E176" s="993" t="str">
        <f t="shared" ca="1" si="29"/>
        <v/>
      </c>
      <c r="F176" s="992" t="str">
        <f t="shared" ca="1" si="26"/>
        <v/>
      </c>
      <c r="G176" s="994">
        <f t="shared" ca="1" si="30"/>
        <v>0</v>
      </c>
      <c r="H176" s="913">
        <f t="shared" ca="1" si="31"/>
        <v>0</v>
      </c>
      <c r="I176" s="913">
        <f t="shared" ca="1" si="32"/>
        <v>0</v>
      </c>
      <c r="J176" s="995">
        <f t="shared" ca="1" si="33"/>
        <v>0</v>
      </c>
      <c r="K176" s="913">
        <f t="shared" ca="1" si="34"/>
        <v>0</v>
      </c>
      <c r="L176" s="995">
        <f t="shared" ca="1" si="35"/>
        <v>0</v>
      </c>
      <c r="M176" s="913">
        <f t="shared" ca="1" si="36"/>
        <v>0</v>
      </c>
      <c r="N176" s="996">
        <f t="shared" ca="1" si="37"/>
        <v>0</v>
      </c>
      <c r="O176" s="997">
        <f t="shared" ca="1" si="38"/>
        <v>0</v>
      </c>
      <c r="P176" s="1015" t="str">
        <f ca="1">IF($C176="","",INDEX(NVLSX!$N$2:$N$6941,MATCH($C176,NVLSX!$E$2:$E$6941,0)))</f>
        <v/>
      </c>
      <c r="Q176" s="1016" t="str">
        <f ca="1">IF($R176="","",IF(XKNVLSX!$X$1="",IF($P176=$V$7,$P176, IF(COUNTIFS($C$2:$C175,$C176,$E$2:$E175,$E176)&gt;=1,"",$P176)),     IF(AND(IFERROR(SEARCH($R176,XKNVLSX!$X$1,1),0)&gt;=1,$P176=$V$7),$P176, IF(OR($R176&lt;&gt;IF(IFERROR(SEARCH($R176,XKNVLSX!$X$1,1),0)&gt;=1,$R176,XKNVLSX!$X$1),COUNTIFS($C$2:$C175,$C176,$E$2:$E175,$E176,$Q$2:$Q175,$P176)&gt;=1),"",$P176))))</f>
        <v/>
      </c>
      <c r="R176" s="1017" t="str">
        <f ca="1">IF($A176="","",IFERROR(INDEX(TinhGia!$BF$10:$BF$81,MATCH($A176,TinhGia!$B$10:$B$81,0)),""))</f>
        <v/>
      </c>
      <c r="S176" s="1012" t="str">
        <f ca="1">IF($A176="","",IF(OR(IFERROR(SEARCH($R176,XKNVLSX!$X$1,1),0)&gt;=1,XKNVLSX!$X$1=""),$S$2,""))</f>
        <v/>
      </c>
      <c r="T176" s="1018" t="str">
        <f ca="1">IF($C176="","", IF(OR($P176=$V$1,$P176=$V$7,COUNTIFS($C$3:$C176,$C176,$E$3:$E176,$E176)&lt;=1),$P176,""    ))</f>
        <v/>
      </c>
      <c r="U176" s="1019" t="str">
        <f ca="1">IF(AND($P176=$V$2,COUNTIFS($C$3:$C176,$C176,$E$3:$E176,$E176,$G$3:$G176,$G176)&lt;=1),$P176,"")</f>
        <v/>
      </c>
    </row>
    <row r="177" spans="1:21">
      <c r="A177" s="991" t="str">
        <f ca="1">IFERROR(IF(COUNTIF($A$3:A176,A176)&lt; INDEX(TinhGia!$BH$10:$BH$81,MATCH($A176,TinhGia!$B$10:$B$81,0)),$A176,INDEX(TinhGia!$B$10:$B$81,MATCH($A176,TinhGia!$B$10:$B$81,0)+1)),"")</f>
        <v/>
      </c>
      <c r="B177" s="525" t="str">
        <f ca="1">IF(OR(A177="",A177=0),"",IF(COUNTIF($A$2:A177,$A177)=1,ROW(MauKoXoa!$C$108),$B176+1))</f>
        <v/>
      </c>
      <c r="C177" s="992" t="str">
        <f t="shared" ca="1" si="27"/>
        <v/>
      </c>
      <c r="D177" s="993" t="str">
        <f t="shared" ca="1" si="28"/>
        <v/>
      </c>
      <c r="E177" s="993" t="str">
        <f t="shared" ca="1" si="29"/>
        <v/>
      </c>
      <c r="F177" s="992" t="str">
        <f t="shared" ca="1" si="26"/>
        <v/>
      </c>
      <c r="G177" s="994">
        <f t="shared" ca="1" si="30"/>
        <v>0</v>
      </c>
      <c r="H177" s="913">
        <f t="shared" ca="1" si="31"/>
        <v>0</v>
      </c>
      <c r="I177" s="913">
        <f t="shared" ca="1" si="32"/>
        <v>0</v>
      </c>
      <c r="J177" s="995">
        <f t="shared" ca="1" si="33"/>
        <v>0</v>
      </c>
      <c r="K177" s="913">
        <f t="shared" ca="1" si="34"/>
        <v>0</v>
      </c>
      <c r="L177" s="995">
        <f t="shared" ca="1" si="35"/>
        <v>0</v>
      </c>
      <c r="M177" s="913">
        <f t="shared" ca="1" si="36"/>
        <v>0</v>
      </c>
      <c r="N177" s="996">
        <f t="shared" ca="1" si="37"/>
        <v>0</v>
      </c>
      <c r="O177" s="997">
        <f t="shared" ca="1" si="38"/>
        <v>0</v>
      </c>
      <c r="P177" s="1015" t="str">
        <f ca="1">IF($C177="","",INDEX(NVLSX!$N$2:$N$6941,MATCH($C177,NVLSX!$E$2:$E$6941,0)))</f>
        <v/>
      </c>
      <c r="Q177" s="1016" t="str">
        <f ca="1">IF($R177="","",IF(XKNVLSX!$X$1="",IF($P177=$V$7,$P177, IF(COUNTIFS($C$2:$C176,$C177,$E$2:$E176,$E177)&gt;=1,"",$P177)),     IF(AND(IFERROR(SEARCH($R177,XKNVLSX!$X$1,1),0)&gt;=1,$P177=$V$7),$P177, IF(OR($R177&lt;&gt;IF(IFERROR(SEARCH($R177,XKNVLSX!$X$1,1),0)&gt;=1,$R177,XKNVLSX!$X$1),COUNTIFS($C$2:$C176,$C177,$E$2:$E176,$E177,$Q$2:$Q176,$P177)&gt;=1),"",$P177))))</f>
        <v/>
      </c>
      <c r="R177" s="1017" t="str">
        <f ca="1">IF($A177="","",IFERROR(INDEX(TinhGia!$BF$10:$BF$81,MATCH($A177,TinhGia!$B$10:$B$81,0)),""))</f>
        <v/>
      </c>
      <c r="S177" s="1012" t="str">
        <f ca="1">IF($A177="","",IF(OR(IFERROR(SEARCH($R177,XKNVLSX!$X$1,1),0)&gt;=1,XKNVLSX!$X$1=""),$S$2,""))</f>
        <v/>
      </c>
      <c r="T177" s="1018" t="str">
        <f ca="1">IF($C177="","", IF(OR($P177=$V$1,$P177=$V$7,COUNTIFS($C$3:$C177,$C177,$E$3:$E177,$E177)&lt;=1),$P177,""    ))</f>
        <v/>
      </c>
      <c r="U177" s="1019" t="str">
        <f ca="1">IF(AND($P177=$V$2,COUNTIFS($C$3:$C177,$C177,$E$3:$E177,$E177,$G$3:$G177,$G177)&lt;=1),$P177,"")</f>
        <v/>
      </c>
    </row>
    <row r="178" spans="1:21">
      <c r="A178" s="991" t="str">
        <f ca="1">IFERROR(IF(COUNTIF($A$3:A177,A177)&lt; INDEX(TinhGia!$BH$10:$BH$81,MATCH($A177,TinhGia!$B$10:$B$81,0)),$A177,INDEX(TinhGia!$B$10:$B$81,MATCH($A177,TinhGia!$B$10:$B$81,0)+1)),"")</f>
        <v/>
      </c>
      <c r="B178" s="525" t="str">
        <f ca="1">IF(OR(A178="",A178=0),"",IF(COUNTIF($A$2:A178,$A178)=1,ROW(MauKoXoa!$C$108),$B177+1))</f>
        <v/>
      </c>
      <c r="C178" s="992" t="str">
        <f t="shared" ca="1" si="27"/>
        <v/>
      </c>
      <c r="D178" s="993" t="str">
        <f t="shared" ca="1" si="28"/>
        <v/>
      </c>
      <c r="E178" s="993" t="str">
        <f t="shared" ca="1" si="29"/>
        <v/>
      </c>
      <c r="F178" s="992" t="str">
        <f t="shared" ca="1" si="26"/>
        <v/>
      </c>
      <c r="G178" s="994">
        <f t="shared" ca="1" si="30"/>
        <v>0</v>
      </c>
      <c r="H178" s="913">
        <f t="shared" ca="1" si="31"/>
        <v>0</v>
      </c>
      <c r="I178" s="913">
        <f t="shared" ca="1" si="32"/>
        <v>0</v>
      </c>
      <c r="J178" s="995">
        <f t="shared" ca="1" si="33"/>
        <v>0</v>
      </c>
      <c r="K178" s="913">
        <f t="shared" ca="1" si="34"/>
        <v>0</v>
      </c>
      <c r="L178" s="995">
        <f t="shared" ca="1" si="35"/>
        <v>0</v>
      </c>
      <c r="M178" s="913">
        <f t="shared" ca="1" si="36"/>
        <v>0</v>
      </c>
      <c r="N178" s="996">
        <f t="shared" ca="1" si="37"/>
        <v>0</v>
      </c>
      <c r="O178" s="997">
        <f t="shared" ca="1" si="38"/>
        <v>0</v>
      </c>
      <c r="P178" s="1015" t="str">
        <f ca="1">IF($C178="","",INDEX(NVLSX!$N$2:$N$6941,MATCH($C178,NVLSX!$E$2:$E$6941,0)))</f>
        <v/>
      </c>
      <c r="Q178" s="1016" t="str">
        <f ca="1">IF($R178="","",IF(XKNVLSX!$X$1="",IF($P178=$V$7,$P178, IF(COUNTIFS($C$2:$C177,$C178,$E$2:$E177,$E178)&gt;=1,"",$P178)),     IF(AND(IFERROR(SEARCH($R178,XKNVLSX!$X$1,1),0)&gt;=1,$P178=$V$7),$P178, IF(OR($R178&lt;&gt;IF(IFERROR(SEARCH($R178,XKNVLSX!$X$1,1),0)&gt;=1,$R178,XKNVLSX!$X$1),COUNTIFS($C$2:$C177,$C178,$E$2:$E177,$E178,$Q$2:$Q177,$P178)&gt;=1),"",$P178))))</f>
        <v/>
      </c>
      <c r="R178" s="1017" t="str">
        <f ca="1">IF($A178="","",IFERROR(INDEX(TinhGia!$BF$10:$BF$81,MATCH($A178,TinhGia!$B$10:$B$81,0)),""))</f>
        <v/>
      </c>
      <c r="S178" s="1012" t="str">
        <f ca="1">IF($A178="","",IF(OR(IFERROR(SEARCH($R178,XKNVLSX!$X$1,1),0)&gt;=1,XKNVLSX!$X$1=""),$S$2,""))</f>
        <v/>
      </c>
      <c r="T178" s="1018" t="str">
        <f ca="1">IF($C178="","", IF(OR($P178=$V$1,$P178=$V$7,COUNTIFS($C$3:$C178,$C178,$E$3:$E178,$E178)&lt;=1),$P178,""    ))</f>
        <v/>
      </c>
      <c r="U178" s="1019" t="str">
        <f ca="1">IF(AND($P178=$V$2,COUNTIFS($C$3:$C178,$C178,$E$3:$E178,$E178,$G$3:$G178,$G178)&lt;=1),$P178,"")</f>
        <v/>
      </c>
    </row>
    <row r="179" spans="1:21">
      <c r="A179" s="991" t="str">
        <f ca="1">IFERROR(IF(COUNTIF($A$3:A178,A178)&lt; INDEX(TinhGia!$BH$10:$BH$81,MATCH($A178,TinhGia!$B$10:$B$81,0)),$A178,INDEX(TinhGia!$B$10:$B$81,MATCH($A178,TinhGia!$B$10:$B$81,0)+1)),"")</f>
        <v/>
      </c>
      <c r="B179" s="525" t="str">
        <f ca="1">IF(OR(A179="",A179=0),"",IF(COUNTIF($A$2:A179,$A179)=1,ROW(MauKoXoa!$C$108),$B178+1))</f>
        <v/>
      </c>
      <c r="C179" s="992" t="str">
        <f t="shared" ca="1" si="27"/>
        <v/>
      </c>
      <c r="D179" s="993" t="str">
        <f t="shared" ca="1" si="28"/>
        <v/>
      </c>
      <c r="E179" s="993" t="str">
        <f t="shared" ca="1" si="29"/>
        <v/>
      </c>
      <c r="F179" s="992" t="str">
        <f t="shared" ca="1" si="26"/>
        <v/>
      </c>
      <c r="G179" s="994">
        <f t="shared" ca="1" si="30"/>
        <v>0</v>
      </c>
      <c r="H179" s="913">
        <f t="shared" ca="1" si="31"/>
        <v>0</v>
      </c>
      <c r="I179" s="913">
        <f t="shared" ca="1" si="32"/>
        <v>0</v>
      </c>
      <c r="J179" s="995">
        <f t="shared" ca="1" si="33"/>
        <v>0</v>
      </c>
      <c r="K179" s="913">
        <f t="shared" ca="1" si="34"/>
        <v>0</v>
      </c>
      <c r="L179" s="995">
        <f t="shared" ca="1" si="35"/>
        <v>0</v>
      </c>
      <c r="M179" s="913">
        <f t="shared" ca="1" si="36"/>
        <v>0</v>
      </c>
      <c r="N179" s="996">
        <f t="shared" ca="1" si="37"/>
        <v>0</v>
      </c>
      <c r="O179" s="997">
        <f t="shared" ca="1" si="38"/>
        <v>0</v>
      </c>
      <c r="P179" s="1015" t="str">
        <f ca="1">IF($C179="","",INDEX(NVLSX!$N$2:$N$6941,MATCH($C179,NVLSX!$E$2:$E$6941,0)))</f>
        <v/>
      </c>
      <c r="Q179" s="1016" t="str">
        <f ca="1">IF($R179="","",IF(XKNVLSX!$X$1="",IF($P179=$V$7,$P179, IF(COUNTIFS($C$2:$C178,$C179,$E$2:$E178,$E179)&gt;=1,"",$P179)),     IF(AND(IFERROR(SEARCH($R179,XKNVLSX!$X$1,1),0)&gt;=1,$P179=$V$7),$P179, IF(OR($R179&lt;&gt;IF(IFERROR(SEARCH($R179,XKNVLSX!$X$1,1),0)&gt;=1,$R179,XKNVLSX!$X$1),COUNTIFS($C$2:$C178,$C179,$E$2:$E178,$E179,$Q$2:$Q178,$P179)&gt;=1),"",$P179))))</f>
        <v/>
      </c>
      <c r="R179" s="1017" t="str">
        <f ca="1">IF($A179="","",IFERROR(INDEX(TinhGia!$BF$10:$BF$81,MATCH($A179,TinhGia!$B$10:$B$81,0)),""))</f>
        <v/>
      </c>
      <c r="S179" s="1012" t="str">
        <f ca="1">IF($A179="","",IF(OR(IFERROR(SEARCH($R179,XKNVLSX!$X$1,1),0)&gt;=1,XKNVLSX!$X$1=""),$S$2,""))</f>
        <v/>
      </c>
      <c r="T179" s="1018" t="str">
        <f ca="1">IF($C179="","", IF(OR($P179=$V$1,$P179=$V$7,COUNTIFS($C$3:$C179,$C179,$E$3:$E179,$E179)&lt;=1),$P179,""    ))</f>
        <v/>
      </c>
      <c r="U179" s="1019" t="str">
        <f ca="1">IF(AND($P179=$V$2,COUNTIFS($C$3:$C179,$C179,$E$3:$E179,$E179,$G$3:$G179,$G179)&lt;=1),$P179,"")</f>
        <v/>
      </c>
    </row>
    <row r="180" spans="1:21">
      <c r="A180" s="991" t="str">
        <f ca="1">IFERROR(IF(COUNTIF($A$3:A179,A179)&lt; INDEX(TinhGia!$BH$10:$BH$81,MATCH($A179,TinhGia!$B$10:$B$81,0)),$A179,INDEX(TinhGia!$B$10:$B$81,MATCH($A179,TinhGia!$B$10:$B$81,0)+1)),"")</f>
        <v/>
      </c>
      <c r="B180" s="525" t="str">
        <f ca="1">IF(OR(A180="",A180=0),"",IF(COUNTIF($A$2:A180,$A180)=1,ROW(MauKoXoa!$C$108),$B179+1))</f>
        <v/>
      </c>
      <c r="C180" s="992" t="str">
        <f t="shared" ca="1" si="27"/>
        <v/>
      </c>
      <c r="D180" s="993" t="str">
        <f t="shared" ca="1" si="28"/>
        <v/>
      </c>
      <c r="E180" s="993" t="str">
        <f t="shared" ca="1" si="29"/>
        <v/>
      </c>
      <c r="F180" s="992" t="str">
        <f t="shared" ca="1" si="26"/>
        <v/>
      </c>
      <c r="G180" s="994">
        <f t="shared" ca="1" si="30"/>
        <v>0</v>
      </c>
      <c r="H180" s="913">
        <f t="shared" ca="1" si="31"/>
        <v>0</v>
      </c>
      <c r="I180" s="913">
        <f t="shared" ca="1" si="32"/>
        <v>0</v>
      </c>
      <c r="J180" s="995">
        <f t="shared" ca="1" si="33"/>
        <v>0</v>
      </c>
      <c r="K180" s="913">
        <f t="shared" ca="1" si="34"/>
        <v>0</v>
      </c>
      <c r="L180" s="995">
        <f t="shared" ca="1" si="35"/>
        <v>0</v>
      </c>
      <c r="M180" s="913">
        <f t="shared" ca="1" si="36"/>
        <v>0</v>
      </c>
      <c r="N180" s="996">
        <f t="shared" ca="1" si="37"/>
        <v>0</v>
      </c>
      <c r="O180" s="997">
        <f t="shared" ca="1" si="38"/>
        <v>0</v>
      </c>
      <c r="P180" s="1015" t="str">
        <f ca="1">IF($C180="","",INDEX(NVLSX!$N$2:$N$6941,MATCH($C180,NVLSX!$E$2:$E$6941,0)))</f>
        <v/>
      </c>
      <c r="Q180" s="1016" t="str">
        <f ca="1">IF($R180="","",IF(XKNVLSX!$X$1="",IF($P180=$V$7,$P180, IF(COUNTIFS($C$2:$C179,$C180,$E$2:$E179,$E180)&gt;=1,"",$P180)),     IF(AND(IFERROR(SEARCH($R180,XKNVLSX!$X$1,1),0)&gt;=1,$P180=$V$7),$P180, IF(OR($R180&lt;&gt;IF(IFERROR(SEARCH($R180,XKNVLSX!$X$1,1),0)&gt;=1,$R180,XKNVLSX!$X$1),COUNTIFS($C$2:$C179,$C180,$E$2:$E179,$E180,$Q$2:$Q179,$P180)&gt;=1),"",$P180))))</f>
        <v/>
      </c>
      <c r="R180" s="1017" t="str">
        <f ca="1">IF($A180="","",IFERROR(INDEX(TinhGia!$BF$10:$BF$81,MATCH($A180,TinhGia!$B$10:$B$81,0)),""))</f>
        <v/>
      </c>
      <c r="S180" s="1012" t="str">
        <f ca="1">IF($A180="","",IF(OR(IFERROR(SEARCH($R180,XKNVLSX!$X$1,1),0)&gt;=1,XKNVLSX!$X$1=""),$S$2,""))</f>
        <v/>
      </c>
      <c r="T180" s="1018" t="str">
        <f ca="1">IF($C180="","", IF(OR($P180=$V$1,$P180=$V$7,COUNTIFS($C$3:$C180,$C180,$E$3:$E180,$E180)&lt;=1),$P180,""    ))</f>
        <v/>
      </c>
      <c r="U180" s="1019" t="str">
        <f ca="1">IF(AND($P180=$V$2,COUNTIFS($C$3:$C180,$C180,$E$3:$E180,$E180,$G$3:$G180,$G180)&lt;=1),$P180,"")</f>
        <v/>
      </c>
    </row>
    <row r="181" spans="1:21">
      <c r="A181" s="991" t="str">
        <f ca="1">IFERROR(IF(COUNTIF($A$3:A180,A180)&lt; INDEX(TinhGia!$BH$10:$BH$81,MATCH($A180,TinhGia!$B$10:$B$81,0)),$A180,INDEX(TinhGia!$B$10:$B$81,MATCH($A180,TinhGia!$B$10:$B$81,0)+1)),"")</f>
        <v/>
      </c>
      <c r="B181" s="525" t="str">
        <f ca="1">IF(OR(A181="",A181=0),"",IF(COUNTIF($A$2:A181,$A181)=1,ROW(MauKoXoa!$C$108),$B180+1))</f>
        <v/>
      </c>
      <c r="C181" s="992" t="str">
        <f t="shared" ca="1" si="27"/>
        <v/>
      </c>
      <c r="D181" s="993" t="str">
        <f t="shared" ca="1" si="28"/>
        <v/>
      </c>
      <c r="E181" s="993" t="str">
        <f t="shared" ca="1" si="29"/>
        <v/>
      </c>
      <c r="F181" s="992" t="str">
        <f t="shared" ca="1" si="26"/>
        <v/>
      </c>
      <c r="G181" s="994">
        <f t="shared" ca="1" si="30"/>
        <v>0</v>
      </c>
      <c r="H181" s="913">
        <f t="shared" ca="1" si="31"/>
        <v>0</v>
      </c>
      <c r="I181" s="913">
        <f t="shared" ca="1" si="32"/>
        <v>0</v>
      </c>
      <c r="J181" s="995">
        <f t="shared" ca="1" si="33"/>
        <v>0</v>
      </c>
      <c r="K181" s="913">
        <f t="shared" ca="1" si="34"/>
        <v>0</v>
      </c>
      <c r="L181" s="995">
        <f t="shared" ca="1" si="35"/>
        <v>0</v>
      </c>
      <c r="M181" s="913">
        <f t="shared" ca="1" si="36"/>
        <v>0</v>
      </c>
      <c r="N181" s="996">
        <f t="shared" ca="1" si="37"/>
        <v>0</v>
      </c>
      <c r="O181" s="997">
        <f t="shared" ca="1" si="38"/>
        <v>0</v>
      </c>
      <c r="P181" s="1015" t="str">
        <f ca="1">IF($C181="","",INDEX(NVLSX!$N$2:$N$6941,MATCH($C181,NVLSX!$E$2:$E$6941,0)))</f>
        <v/>
      </c>
      <c r="Q181" s="1016" t="str">
        <f ca="1">IF($R181="","",IF(XKNVLSX!$X$1="",IF($P181=$V$7,$P181, IF(COUNTIFS($C$2:$C180,$C181,$E$2:$E180,$E181)&gt;=1,"",$P181)),     IF(AND(IFERROR(SEARCH($R181,XKNVLSX!$X$1,1),0)&gt;=1,$P181=$V$7),$P181, IF(OR($R181&lt;&gt;IF(IFERROR(SEARCH($R181,XKNVLSX!$X$1,1),0)&gt;=1,$R181,XKNVLSX!$X$1),COUNTIFS($C$2:$C180,$C181,$E$2:$E180,$E181,$Q$2:$Q180,$P181)&gt;=1),"",$P181))))</f>
        <v/>
      </c>
      <c r="R181" s="1017" t="str">
        <f ca="1">IF($A181="","",IFERROR(INDEX(TinhGia!$BF$10:$BF$81,MATCH($A181,TinhGia!$B$10:$B$81,0)),""))</f>
        <v/>
      </c>
      <c r="S181" s="1012" t="str">
        <f ca="1">IF($A181="","",IF(OR(IFERROR(SEARCH($R181,XKNVLSX!$X$1,1),0)&gt;=1,XKNVLSX!$X$1=""),$S$2,""))</f>
        <v/>
      </c>
      <c r="T181" s="1018" t="str">
        <f ca="1">IF($C181="","", IF(OR($P181=$V$1,$P181=$V$7,COUNTIFS($C$3:$C181,$C181,$E$3:$E181,$E181)&lt;=1),$P181,""    ))</f>
        <v/>
      </c>
      <c r="U181" s="1019" t="str">
        <f ca="1">IF(AND($P181=$V$2,COUNTIFS($C$3:$C181,$C181,$E$3:$E181,$E181,$G$3:$G181,$G181)&lt;=1),$P181,"")</f>
        <v/>
      </c>
    </row>
    <row r="182" spans="1:21">
      <c r="A182" s="991" t="str">
        <f ca="1">IFERROR(IF(COUNTIF($A$3:A181,A181)&lt; INDEX(TinhGia!$BH$10:$BH$81,MATCH($A181,TinhGia!$B$10:$B$81,0)),$A181,INDEX(TinhGia!$B$10:$B$81,MATCH($A181,TinhGia!$B$10:$B$81,0)+1)),"")</f>
        <v/>
      </c>
      <c r="B182" s="525" t="str">
        <f ca="1">IF(OR(A182="",A182=0),"",IF(COUNTIF($A$2:A182,$A182)=1,ROW(MauKoXoa!$C$108),$B181+1))</f>
        <v/>
      </c>
      <c r="C182" s="992" t="str">
        <f t="shared" ca="1" si="27"/>
        <v/>
      </c>
      <c r="D182" s="993" t="str">
        <f t="shared" ca="1" si="28"/>
        <v/>
      </c>
      <c r="E182" s="993" t="str">
        <f t="shared" ca="1" si="29"/>
        <v/>
      </c>
      <c r="F182" s="992" t="str">
        <f t="shared" ca="1" si="26"/>
        <v/>
      </c>
      <c r="G182" s="994">
        <f t="shared" ca="1" si="30"/>
        <v>0</v>
      </c>
      <c r="H182" s="913">
        <f t="shared" ca="1" si="31"/>
        <v>0</v>
      </c>
      <c r="I182" s="913">
        <f t="shared" ca="1" si="32"/>
        <v>0</v>
      </c>
      <c r="J182" s="995">
        <f t="shared" ca="1" si="33"/>
        <v>0</v>
      </c>
      <c r="K182" s="913">
        <f t="shared" ca="1" si="34"/>
        <v>0</v>
      </c>
      <c r="L182" s="995">
        <f t="shared" ca="1" si="35"/>
        <v>0</v>
      </c>
      <c r="M182" s="913">
        <f t="shared" ca="1" si="36"/>
        <v>0</v>
      </c>
      <c r="N182" s="996">
        <f t="shared" ca="1" si="37"/>
        <v>0</v>
      </c>
      <c r="O182" s="997">
        <f t="shared" ca="1" si="38"/>
        <v>0</v>
      </c>
      <c r="P182" s="1015" t="str">
        <f ca="1">IF($C182="","",INDEX(NVLSX!$N$2:$N$6941,MATCH($C182,NVLSX!$E$2:$E$6941,0)))</f>
        <v/>
      </c>
      <c r="Q182" s="1016" t="str">
        <f ca="1">IF($R182="","",IF(XKNVLSX!$X$1="",IF($P182=$V$7,$P182, IF(COUNTIFS($C$2:$C181,$C182,$E$2:$E181,$E182)&gt;=1,"",$P182)),     IF(AND(IFERROR(SEARCH($R182,XKNVLSX!$X$1,1),0)&gt;=1,$P182=$V$7),$P182, IF(OR($R182&lt;&gt;IF(IFERROR(SEARCH($R182,XKNVLSX!$X$1,1),0)&gt;=1,$R182,XKNVLSX!$X$1),COUNTIFS($C$2:$C181,$C182,$E$2:$E181,$E182,$Q$2:$Q181,$P182)&gt;=1),"",$P182))))</f>
        <v/>
      </c>
      <c r="R182" s="1017" t="str">
        <f ca="1">IF($A182="","",IFERROR(INDEX(TinhGia!$BF$10:$BF$81,MATCH($A182,TinhGia!$B$10:$B$81,0)),""))</f>
        <v/>
      </c>
      <c r="S182" s="1012" t="str">
        <f ca="1">IF($A182="","",IF(OR(IFERROR(SEARCH($R182,XKNVLSX!$X$1,1),0)&gt;=1,XKNVLSX!$X$1=""),$S$2,""))</f>
        <v/>
      </c>
      <c r="T182" s="1018" t="str">
        <f ca="1">IF($C182="","", IF(OR($P182=$V$1,$P182=$V$7,COUNTIFS($C$3:$C182,$C182,$E$3:$E182,$E182)&lt;=1),$P182,""    ))</f>
        <v/>
      </c>
      <c r="U182" s="1019" t="str">
        <f ca="1">IF(AND($P182=$V$2,COUNTIFS($C$3:$C182,$C182,$E$3:$E182,$E182,$G$3:$G182,$G182)&lt;=1),$P182,"")</f>
        <v/>
      </c>
    </row>
    <row r="183" spans="1:21">
      <c r="A183" s="991" t="str">
        <f ca="1">IFERROR(IF(COUNTIF($A$3:A182,A182)&lt; INDEX(TinhGia!$BH$10:$BH$81,MATCH($A182,TinhGia!$B$10:$B$81,0)),$A182,INDEX(TinhGia!$B$10:$B$81,MATCH($A182,TinhGia!$B$10:$B$81,0)+1)),"")</f>
        <v/>
      </c>
      <c r="B183" s="525" t="str">
        <f ca="1">IF(OR(A183="",A183=0),"",IF(COUNTIF($A$2:A183,$A183)=1,ROW(MauKoXoa!$C$108),$B182+1))</f>
        <v/>
      </c>
      <c r="C183" s="992" t="str">
        <f t="shared" ca="1" si="27"/>
        <v/>
      </c>
      <c r="D183" s="993" t="str">
        <f t="shared" ca="1" si="28"/>
        <v/>
      </c>
      <c r="E183" s="993" t="str">
        <f t="shared" ca="1" si="29"/>
        <v/>
      </c>
      <c r="F183" s="992" t="str">
        <f t="shared" ca="1" si="26"/>
        <v/>
      </c>
      <c r="G183" s="994">
        <f t="shared" ca="1" si="30"/>
        <v>0</v>
      </c>
      <c r="H183" s="913">
        <f t="shared" ca="1" si="31"/>
        <v>0</v>
      </c>
      <c r="I183" s="913">
        <f t="shared" ca="1" si="32"/>
        <v>0</v>
      </c>
      <c r="J183" s="995">
        <f t="shared" ca="1" si="33"/>
        <v>0</v>
      </c>
      <c r="K183" s="913">
        <f t="shared" ca="1" si="34"/>
        <v>0</v>
      </c>
      <c r="L183" s="995">
        <f t="shared" ca="1" si="35"/>
        <v>0</v>
      </c>
      <c r="M183" s="913">
        <f t="shared" ca="1" si="36"/>
        <v>0</v>
      </c>
      <c r="N183" s="996">
        <f t="shared" ca="1" si="37"/>
        <v>0</v>
      </c>
      <c r="O183" s="997">
        <f t="shared" ca="1" si="38"/>
        <v>0</v>
      </c>
      <c r="P183" s="1015" t="str">
        <f ca="1">IF($C183="","",INDEX(NVLSX!$N$2:$N$6941,MATCH($C183,NVLSX!$E$2:$E$6941,0)))</f>
        <v/>
      </c>
      <c r="Q183" s="1016" t="str">
        <f ca="1">IF($R183="","",IF(XKNVLSX!$X$1="",IF($P183=$V$7,$P183, IF(COUNTIFS($C$2:$C182,$C183,$E$2:$E182,$E183)&gt;=1,"",$P183)),     IF(AND(IFERROR(SEARCH($R183,XKNVLSX!$X$1,1),0)&gt;=1,$P183=$V$7),$P183, IF(OR($R183&lt;&gt;IF(IFERROR(SEARCH($R183,XKNVLSX!$X$1,1),0)&gt;=1,$R183,XKNVLSX!$X$1),COUNTIFS($C$2:$C182,$C183,$E$2:$E182,$E183,$Q$2:$Q182,$P183)&gt;=1),"",$P183))))</f>
        <v/>
      </c>
      <c r="R183" s="1017" t="str">
        <f ca="1">IF($A183="","",IFERROR(INDEX(TinhGia!$BF$10:$BF$81,MATCH($A183,TinhGia!$B$10:$B$81,0)),""))</f>
        <v/>
      </c>
      <c r="S183" s="1012" t="str">
        <f ca="1">IF($A183="","",IF(OR(IFERROR(SEARCH($R183,XKNVLSX!$X$1,1),0)&gt;=1,XKNVLSX!$X$1=""),$S$2,""))</f>
        <v/>
      </c>
      <c r="T183" s="1018" t="str">
        <f ca="1">IF($C183="","", IF(OR($P183=$V$1,$P183=$V$7,COUNTIFS($C$3:$C183,$C183,$E$3:$E183,$E183)&lt;=1),$P183,""    ))</f>
        <v/>
      </c>
      <c r="U183" s="1019" t="str">
        <f ca="1">IF(AND($P183=$V$2,COUNTIFS($C$3:$C183,$C183,$E$3:$E183,$E183,$G$3:$G183,$G183)&lt;=1),$P183,"")</f>
        <v/>
      </c>
    </row>
    <row r="184" spans="1:21">
      <c r="A184" s="991" t="str">
        <f ca="1">IFERROR(IF(COUNTIF($A$3:A183,A183)&lt; INDEX(TinhGia!$BH$10:$BH$81,MATCH($A183,TinhGia!$B$10:$B$81,0)),$A183,INDEX(TinhGia!$B$10:$B$81,MATCH($A183,TinhGia!$B$10:$B$81,0)+1)),"")</f>
        <v/>
      </c>
      <c r="B184" s="525" t="str">
        <f ca="1">IF(OR(A184="",A184=0),"",IF(COUNTIF($A$2:A184,$A184)=1,ROW(MauKoXoa!$C$108),$B183+1))</f>
        <v/>
      </c>
      <c r="C184" s="992" t="str">
        <f t="shared" ca="1" si="27"/>
        <v/>
      </c>
      <c r="D184" s="993" t="str">
        <f t="shared" ca="1" si="28"/>
        <v/>
      </c>
      <c r="E184" s="993" t="str">
        <f t="shared" ca="1" si="29"/>
        <v/>
      </c>
      <c r="F184" s="992" t="str">
        <f t="shared" ca="1" si="26"/>
        <v/>
      </c>
      <c r="G184" s="994">
        <f t="shared" ca="1" si="30"/>
        <v>0</v>
      </c>
      <c r="H184" s="913">
        <f t="shared" ca="1" si="31"/>
        <v>0</v>
      </c>
      <c r="I184" s="913">
        <f t="shared" ca="1" si="32"/>
        <v>0</v>
      </c>
      <c r="J184" s="995">
        <f t="shared" ca="1" si="33"/>
        <v>0</v>
      </c>
      <c r="K184" s="913">
        <f t="shared" ca="1" si="34"/>
        <v>0</v>
      </c>
      <c r="L184" s="995">
        <f t="shared" ca="1" si="35"/>
        <v>0</v>
      </c>
      <c r="M184" s="913">
        <f t="shared" ca="1" si="36"/>
        <v>0</v>
      </c>
      <c r="N184" s="996">
        <f t="shared" ca="1" si="37"/>
        <v>0</v>
      </c>
      <c r="O184" s="997">
        <f t="shared" ca="1" si="38"/>
        <v>0</v>
      </c>
      <c r="P184" s="1015" t="str">
        <f ca="1">IF($C184="","",INDEX(NVLSX!$N$2:$N$6941,MATCH($C184,NVLSX!$E$2:$E$6941,0)))</f>
        <v/>
      </c>
      <c r="Q184" s="1016" t="str">
        <f ca="1">IF($R184="","",IF(XKNVLSX!$X$1="",IF($P184=$V$7,$P184, IF(COUNTIFS($C$2:$C183,$C184,$E$2:$E183,$E184)&gt;=1,"",$P184)),     IF(AND(IFERROR(SEARCH($R184,XKNVLSX!$X$1,1),0)&gt;=1,$P184=$V$7),$P184, IF(OR($R184&lt;&gt;IF(IFERROR(SEARCH($R184,XKNVLSX!$X$1,1),0)&gt;=1,$R184,XKNVLSX!$X$1),COUNTIFS($C$2:$C183,$C184,$E$2:$E183,$E184,$Q$2:$Q183,$P184)&gt;=1),"",$P184))))</f>
        <v/>
      </c>
      <c r="R184" s="1017" t="str">
        <f ca="1">IF($A184="","",IFERROR(INDEX(TinhGia!$BF$10:$BF$81,MATCH($A184,TinhGia!$B$10:$B$81,0)),""))</f>
        <v/>
      </c>
      <c r="S184" s="1012" t="str">
        <f ca="1">IF($A184="","",IF(OR(IFERROR(SEARCH($R184,XKNVLSX!$X$1,1),0)&gt;=1,XKNVLSX!$X$1=""),$S$2,""))</f>
        <v/>
      </c>
      <c r="T184" s="1018" t="str">
        <f ca="1">IF($C184="","", IF(OR($P184=$V$1,$P184=$V$7,COUNTIFS($C$3:$C184,$C184,$E$3:$E184,$E184)&lt;=1),$P184,""    ))</f>
        <v/>
      </c>
      <c r="U184" s="1019" t="str">
        <f ca="1">IF(AND($P184=$V$2,COUNTIFS($C$3:$C184,$C184,$E$3:$E184,$E184,$G$3:$G184,$G184)&lt;=1),$P184,"")</f>
        <v/>
      </c>
    </row>
    <row r="185" spans="1:21">
      <c r="A185" s="991" t="str">
        <f ca="1">IFERROR(IF(COUNTIF($A$3:A184,A184)&lt; INDEX(TinhGia!$BH$10:$BH$81,MATCH($A184,TinhGia!$B$10:$B$81,0)),$A184,INDEX(TinhGia!$B$10:$B$81,MATCH($A184,TinhGia!$B$10:$B$81,0)+1)),"")</f>
        <v/>
      </c>
      <c r="B185" s="525" t="str">
        <f ca="1">IF(OR(A185="",A185=0),"",IF(COUNTIF($A$2:A185,$A185)=1,ROW(MauKoXoa!$C$108),$B184+1))</f>
        <v/>
      </c>
      <c r="C185" s="992" t="str">
        <f t="shared" ca="1" si="27"/>
        <v/>
      </c>
      <c r="D185" s="993" t="str">
        <f t="shared" ca="1" si="28"/>
        <v/>
      </c>
      <c r="E185" s="993" t="str">
        <f t="shared" ca="1" si="29"/>
        <v/>
      </c>
      <c r="F185" s="992" t="str">
        <f t="shared" ca="1" si="26"/>
        <v/>
      </c>
      <c r="G185" s="994">
        <f t="shared" ca="1" si="30"/>
        <v>0</v>
      </c>
      <c r="H185" s="913">
        <f t="shared" ca="1" si="31"/>
        <v>0</v>
      </c>
      <c r="I185" s="913">
        <f t="shared" ca="1" si="32"/>
        <v>0</v>
      </c>
      <c r="J185" s="995">
        <f t="shared" ca="1" si="33"/>
        <v>0</v>
      </c>
      <c r="K185" s="913">
        <f t="shared" ca="1" si="34"/>
        <v>0</v>
      </c>
      <c r="L185" s="995">
        <f t="shared" ca="1" si="35"/>
        <v>0</v>
      </c>
      <c r="M185" s="913">
        <f t="shared" ca="1" si="36"/>
        <v>0</v>
      </c>
      <c r="N185" s="996">
        <f t="shared" ca="1" si="37"/>
        <v>0</v>
      </c>
      <c r="O185" s="997">
        <f t="shared" ca="1" si="38"/>
        <v>0</v>
      </c>
      <c r="P185" s="1015" t="str">
        <f ca="1">IF($C185="","",INDEX(NVLSX!$N$2:$N$6941,MATCH($C185,NVLSX!$E$2:$E$6941,0)))</f>
        <v/>
      </c>
      <c r="Q185" s="1016" t="str">
        <f ca="1">IF($R185="","",IF(XKNVLSX!$X$1="",IF($P185=$V$7,$P185, IF(COUNTIFS($C$2:$C184,$C185,$E$2:$E184,$E185)&gt;=1,"",$P185)),     IF(AND(IFERROR(SEARCH($R185,XKNVLSX!$X$1,1),0)&gt;=1,$P185=$V$7),$P185, IF(OR($R185&lt;&gt;IF(IFERROR(SEARCH($R185,XKNVLSX!$X$1,1),0)&gt;=1,$R185,XKNVLSX!$X$1),COUNTIFS($C$2:$C184,$C185,$E$2:$E184,$E185,$Q$2:$Q184,$P185)&gt;=1),"",$P185))))</f>
        <v/>
      </c>
      <c r="R185" s="1017" t="str">
        <f ca="1">IF($A185="","",IFERROR(INDEX(TinhGia!$BF$10:$BF$81,MATCH($A185,TinhGia!$B$10:$B$81,0)),""))</f>
        <v/>
      </c>
      <c r="S185" s="1012" t="str">
        <f ca="1">IF($A185="","",IF(OR(IFERROR(SEARCH($R185,XKNVLSX!$X$1,1),0)&gt;=1,XKNVLSX!$X$1=""),$S$2,""))</f>
        <v/>
      </c>
      <c r="T185" s="1018" t="str">
        <f ca="1">IF($C185="","", IF(OR($P185=$V$1,$P185=$V$7,COUNTIFS($C$3:$C185,$C185,$E$3:$E185,$E185)&lt;=1),$P185,""    ))</f>
        <v/>
      </c>
      <c r="U185" s="1019" t="str">
        <f ca="1">IF(AND($P185=$V$2,COUNTIFS($C$3:$C185,$C185,$E$3:$E185,$E185,$G$3:$G185,$G185)&lt;=1),$P185,"")</f>
        <v/>
      </c>
    </row>
    <row r="186" spans="1:21">
      <c r="A186" s="991" t="str">
        <f ca="1">IFERROR(IF(COUNTIF($A$3:A185,A185)&lt; INDEX(TinhGia!$BH$10:$BH$81,MATCH($A185,TinhGia!$B$10:$B$81,0)),$A185,INDEX(TinhGia!$B$10:$B$81,MATCH($A185,TinhGia!$B$10:$B$81,0)+1)),"")</f>
        <v/>
      </c>
      <c r="B186" s="525" t="str">
        <f ca="1">IF(OR(A186="",A186=0),"",IF(COUNTIF($A$2:A186,$A186)=1,ROW(MauKoXoa!$C$108),$B185+1))</f>
        <v/>
      </c>
      <c r="C186" s="992" t="str">
        <f t="shared" ca="1" si="27"/>
        <v/>
      </c>
      <c r="D186" s="993" t="str">
        <f t="shared" ca="1" si="28"/>
        <v/>
      </c>
      <c r="E186" s="993" t="str">
        <f t="shared" ca="1" si="29"/>
        <v/>
      </c>
      <c r="F186" s="992" t="str">
        <f t="shared" ca="1" si="26"/>
        <v/>
      </c>
      <c r="G186" s="994">
        <f t="shared" ca="1" si="30"/>
        <v>0</v>
      </c>
      <c r="H186" s="913">
        <f t="shared" ca="1" si="31"/>
        <v>0</v>
      </c>
      <c r="I186" s="913">
        <f t="shared" ca="1" si="32"/>
        <v>0</v>
      </c>
      <c r="J186" s="995">
        <f t="shared" ca="1" si="33"/>
        <v>0</v>
      </c>
      <c r="K186" s="913">
        <f t="shared" ca="1" si="34"/>
        <v>0</v>
      </c>
      <c r="L186" s="995">
        <f t="shared" ca="1" si="35"/>
        <v>0</v>
      </c>
      <c r="M186" s="913">
        <f t="shared" ca="1" si="36"/>
        <v>0</v>
      </c>
      <c r="N186" s="996">
        <f t="shared" ca="1" si="37"/>
        <v>0</v>
      </c>
      <c r="O186" s="997">
        <f t="shared" ca="1" si="38"/>
        <v>0</v>
      </c>
      <c r="P186" s="1015" t="str">
        <f ca="1">IF($C186="","",INDEX(NVLSX!$N$2:$N$6941,MATCH($C186,NVLSX!$E$2:$E$6941,0)))</f>
        <v/>
      </c>
      <c r="Q186" s="1016" t="str">
        <f ca="1">IF($R186="","",IF(XKNVLSX!$X$1="",IF($P186=$V$7,$P186, IF(COUNTIFS($C$2:$C185,$C186,$E$2:$E185,$E186)&gt;=1,"",$P186)),     IF(AND(IFERROR(SEARCH($R186,XKNVLSX!$X$1,1),0)&gt;=1,$P186=$V$7),$P186, IF(OR($R186&lt;&gt;IF(IFERROR(SEARCH($R186,XKNVLSX!$X$1,1),0)&gt;=1,$R186,XKNVLSX!$X$1),COUNTIFS($C$2:$C185,$C186,$E$2:$E185,$E186,$Q$2:$Q185,$P186)&gt;=1),"",$P186))))</f>
        <v/>
      </c>
      <c r="R186" s="1017" t="str">
        <f ca="1">IF($A186="","",IFERROR(INDEX(TinhGia!$BF$10:$BF$81,MATCH($A186,TinhGia!$B$10:$B$81,0)),""))</f>
        <v/>
      </c>
      <c r="S186" s="1012" t="str">
        <f ca="1">IF($A186="","",IF(OR(IFERROR(SEARCH($R186,XKNVLSX!$X$1,1),0)&gt;=1,XKNVLSX!$X$1=""),$S$2,""))</f>
        <v/>
      </c>
      <c r="T186" s="1018" t="str">
        <f ca="1">IF($C186="","", IF(OR($P186=$V$1,$P186=$V$7,COUNTIFS($C$3:$C186,$C186,$E$3:$E186,$E186)&lt;=1),$P186,""    ))</f>
        <v/>
      </c>
      <c r="U186" s="1019" t="str">
        <f ca="1">IF(AND($P186=$V$2,COUNTIFS($C$3:$C186,$C186,$E$3:$E186,$E186,$G$3:$G186,$G186)&lt;=1),$P186,"")</f>
        <v/>
      </c>
    </row>
    <row r="187" spans="1:21">
      <c r="A187" s="991" t="str">
        <f ca="1">IFERROR(IF(COUNTIF($A$3:A186,A186)&lt; INDEX(TinhGia!$BH$10:$BH$81,MATCH($A186,TinhGia!$B$10:$B$81,0)),$A186,INDEX(TinhGia!$B$10:$B$81,MATCH($A186,TinhGia!$B$10:$B$81,0)+1)),"")</f>
        <v/>
      </c>
      <c r="B187" s="525" t="str">
        <f ca="1">IF(OR(A187="",A187=0),"",IF(COUNTIF($A$2:A187,$A187)=1,ROW(MauKoXoa!$C$108),$B186+1))</f>
        <v/>
      </c>
      <c r="C187" s="992" t="str">
        <f t="shared" ca="1" si="27"/>
        <v/>
      </c>
      <c r="D187" s="993" t="str">
        <f t="shared" ca="1" si="28"/>
        <v/>
      </c>
      <c r="E187" s="993" t="str">
        <f t="shared" ca="1" si="29"/>
        <v/>
      </c>
      <c r="F187" s="992" t="str">
        <f t="shared" ca="1" si="26"/>
        <v/>
      </c>
      <c r="G187" s="994">
        <f t="shared" ca="1" si="30"/>
        <v>0</v>
      </c>
      <c r="H187" s="913">
        <f t="shared" ca="1" si="31"/>
        <v>0</v>
      </c>
      <c r="I187" s="913">
        <f t="shared" ca="1" si="32"/>
        <v>0</v>
      </c>
      <c r="J187" s="995">
        <f t="shared" ca="1" si="33"/>
        <v>0</v>
      </c>
      <c r="K187" s="913">
        <f t="shared" ca="1" si="34"/>
        <v>0</v>
      </c>
      <c r="L187" s="995">
        <f t="shared" ca="1" si="35"/>
        <v>0</v>
      </c>
      <c r="M187" s="913">
        <f t="shared" ca="1" si="36"/>
        <v>0</v>
      </c>
      <c r="N187" s="996">
        <f t="shared" ca="1" si="37"/>
        <v>0</v>
      </c>
      <c r="O187" s="997">
        <f t="shared" ca="1" si="38"/>
        <v>0</v>
      </c>
      <c r="P187" s="1015" t="str">
        <f ca="1">IF($C187="","",INDEX(NVLSX!$N$2:$N$6941,MATCH($C187,NVLSX!$E$2:$E$6941,0)))</f>
        <v/>
      </c>
      <c r="Q187" s="1016" t="str">
        <f ca="1">IF($R187="","",IF(XKNVLSX!$X$1="",IF($P187=$V$7,$P187, IF(COUNTIFS($C$2:$C186,$C187,$E$2:$E186,$E187)&gt;=1,"",$P187)),     IF(AND(IFERROR(SEARCH($R187,XKNVLSX!$X$1,1),0)&gt;=1,$P187=$V$7),$P187, IF(OR($R187&lt;&gt;IF(IFERROR(SEARCH($R187,XKNVLSX!$X$1,1),0)&gt;=1,$R187,XKNVLSX!$X$1),COUNTIFS($C$2:$C186,$C187,$E$2:$E186,$E187,$Q$2:$Q186,$P187)&gt;=1),"",$P187))))</f>
        <v/>
      </c>
      <c r="R187" s="1017" t="str">
        <f ca="1">IF($A187="","",IFERROR(INDEX(TinhGia!$BF$10:$BF$81,MATCH($A187,TinhGia!$B$10:$B$81,0)),""))</f>
        <v/>
      </c>
      <c r="S187" s="1012" t="str">
        <f ca="1">IF($A187="","",IF(OR(IFERROR(SEARCH($R187,XKNVLSX!$X$1,1),0)&gt;=1,XKNVLSX!$X$1=""),$S$2,""))</f>
        <v/>
      </c>
      <c r="T187" s="1018" t="str">
        <f ca="1">IF($C187="","", IF(OR($P187=$V$1,$P187=$V$7,COUNTIFS($C$3:$C187,$C187,$E$3:$E187,$E187)&lt;=1),$P187,""    ))</f>
        <v/>
      </c>
      <c r="U187" s="1019" t="str">
        <f ca="1">IF(AND($P187=$V$2,COUNTIFS($C$3:$C187,$C187,$E$3:$E187,$E187,$G$3:$G187,$G187)&lt;=1),$P187,"")</f>
        <v/>
      </c>
    </row>
    <row r="188" spans="1:21">
      <c r="A188" s="991" t="str">
        <f ca="1">IFERROR(IF(COUNTIF($A$3:A187,A187)&lt; INDEX(TinhGia!$BH$10:$BH$81,MATCH($A187,TinhGia!$B$10:$B$81,0)),$A187,INDEX(TinhGia!$B$10:$B$81,MATCH($A187,TinhGia!$B$10:$B$81,0)+1)),"")</f>
        <v/>
      </c>
      <c r="B188" s="525" t="str">
        <f ca="1">IF(OR(A188="",A188=0),"",IF(COUNTIF($A$2:A188,$A188)=1,ROW(MauKoXoa!$C$108),$B187+1))</f>
        <v/>
      </c>
      <c r="C188" s="992" t="str">
        <f t="shared" ca="1" si="27"/>
        <v/>
      </c>
      <c r="D188" s="993" t="str">
        <f t="shared" ca="1" si="28"/>
        <v/>
      </c>
      <c r="E188" s="993" t="str">
        <f t="shared" ca="1" si="29"/>
        <v/>
      </c>
      <c r="F188" s="992" t="str">
        <f t="shared" ca="1" si="26"/>
        <v/>
      </c>
      <c r="G188" s="994">
        <f t="shared" ca="1" si="30"/>
        <v>0</v>
      </c>
      <c r="H188" s="913">
        <f t="shared" ca="1" si="31"/>
        <v>0</v>
      </c>
      <c r="I188" s="913">
        <f t="shared" ca="1" si="32"/>
        <v>0</v>
      </c>
      <c r="J188" s="995">
        <f t="shared" ca="1" si="33"/>
        <v>0</v>
      </c>
      <c r="K188" s="913">
        <f t="shared" ca="1" si="34"/>
        <v>0</v>
      </c>
      <c r="L188" s="995">
        <f t="shared" ca="1" si="35"/>
        <v>0</v>
      </c>
      <c r="M188" s="913">
        <f t="shared" ca="1" si="36"/>
        <v>0</v>
      </c>
      <c r="N188" s="996">
        <f t="shared" ca="1" si="37"/>
        <v>0</v>
      </c>
      <c r="O188" s="997">
        <f t="shared" ca="1" si="38"/>
        <v>0</v>
      </c>
      <c r="P188" s="1015" t="str">
        <f ca="1">IF($C188="","",INDEX(NVLSX!$N$2:$N$6941,MATCH($C188,NVLSX!$E$2:$E$6941,0)))</f>
        <v/>
      </c>
      <c r="Q188" s="1016" t="str">
        <f ca="1">IF($R188="","",IF(XKNVLSX!$X$1="",IF($P188=$V$7,$P188, IF(COUNTIFS($C$2:$C187,$C188,$E$2:$E187,$E188)&gt;=1,"",$P188)),     IF(AND(IFERROR(SEARCH($R188,XKNVLSX!$X$1,1),0)&gt;=1,$P188=$V$7),$P188, IF(OR($R188&lt;&gt;IF(IFERROR(SEARCH($R188,XKNVLSX!$X$1,1),0)&gt;=1,$R188,XKNVLSX!$X$1),COUNTIFS($C$2:$C187,$C188,$E$2:$E187,$E188,$Q$2:$Q187,$P188)&gt;=1),"",$P188))))</f>
        <v/>
      </c>
      <c r="R188" s="1017" t="str">
        <f ca="1">IF($A188="","",IFERROR(INDEX(TinhGia!$BF$10:$BF$81,MATCH($A188,TinhGia!$B$10:$B$81,0)),""))</f>
        <v/>
      </c>
      <c r="S188" s="1012" t="str">
        <f ca="1">IF($A188="","",IF(OR(IFERROR(SEARCH($R188,XKNVLSX!$X$1,1),0)&gt;=1,XKNVLSX!$X$1=""),$S$2,""))</f>
        <v/>
      </c>
      <c r="T188" s="1018" t="str">
        <f ca="1">IF($C188="","", IF(OR($P188=$V$1,$P188=$V$7,COUNTIFS($C$3:$C188,$C188,$E$3:$E188,$E188)&lt;=1),$P188,""    ))</f>
        <v/>
      </c>
      <c r="U188" s="1019" t="str">
        <f ca="1">IF(AND($P188=$V$2,COUNTIFS($C$3:$C188,$C188,$E$3:$E188,$E188,$G$3:$G188,$G188)&lt;=1),$P188,"")</f>
        <v/>
      </c>
    </row>
    <row r="189" spans="1:21">
      <c r="A189" s="991" t="str">
        <f ca="1">IFERROR(IF(COUNTIF($A$3:A188,A188)&lt; INDEX(TinhGia!$BH$10:$BH$81,MATCH($A188,TinhGia!$B$10:$B$81,0)),$A188,INDEX(TinhGia!$B$10:$B$81,MATCH($A188,TinhGia!$B$10:$B$81,0)+1)),"")</f>
        <v/>
      </c>
      <c r="B189" s="525" t="str">
        <f ca="1">IF(OR(A189="",A189=0),"",IF(COUNTIF($A$2:A189,$A189)=1,ROW(MauKoXoa!$C$108),$B188+1))</f>
        <v/>
      </c>
      <c r="C189" s="992" t="str">
        <f t="shared" ca="1" si="27"/>
        <v/>
      </c>
      <c r="D189" s="993" t="str">
        <f t="shared" ca="1" si="28"/>
        <v/>
      </c>
      <c r="E189" s="993" t="str">
        <f t="shared" ca="1" si="29"/>
        <v/>
      </c>
      <c r="F189" s="992" t="str">
        <f t="shared" ca="1" si="26"/>
        <v/>
      </c>
      <c r="G189" s="994">
        <f t="shared" ca="1" si="30"/>
        <v>0</v>
      </c>
      <c r="H189" s="913">
        <f t="shared" ca="1" si="31"/>
        <v>0</v>
      </c>
      <c r="I189" s="913">
        <f t="shared" ca="1" si="32"/>
        <v>0</v>
      </c>
      <c r="J189" s="995">
        <f t="shared" ca="1" si="33"/>
        <v>0</v>
      </c>
      <c r="K189" s="913">
        <f t="shared" ca="1" si="34"/>
        <v>0</v>
      </c>
      <c r="L189" s="995">
        <f t="shared" ca="1" si="35"/>
        <v>0</v>
      </c>
      <c r="M189" s="913">
        <f t="shared" ca="1" si="36"/>
        <v>0</v>
      </c>
      <c r="N189" s="996">
        <f t="shared" ca="1" si="37"/>
        <v>0</v>
      </c>
      <c r="O189" s="997">
        <f t="shared" ca="1" si="38"/>
        <v>0</v>
      </c>
      <c r="P189" s="1015" t="str">
        <f ca="1">IF($C189="","",INDEX(NVLSX!$N$2:$N$6941,MATCH($C189,NVLSX!$E$2:$E$6941,0)))</f>
        <v/>
      </c>
      <c r="Q189" s="1016" t="str">
        <f ca="1">IF($R189="","",IF(XKNVLSX!$X$1="",IF($P189=$V$7,$P189, IF(COUNTIFS($C$2:$C188,$C189,$E$2:$E188,$E189)&gt;=1,"",$P189)),     IF(AND(IFERROR(SEARCH($R189,XKNVLSX!$X$1,1),0)&gt;=1,$P189=$V$7),$P189, IF(OR($R189&lt;&gt;IF(IFERROR(SEARCH($R189,XKNVLSX!$X$1,1),0)&gt;=1,$R189,XKNVLSX!$X$1),COUNTIFS($C$2:$C188,$C189,$E$2:$E188,$E189,$Q$2:$Q188,$P189)&gt;=1),"",$P189))))</f>
        <v/>
      </c>
      <c r="R189" s="1017" t="str">
        <f ca="1">IF($A189="","",IFERROR(INDEX(TinhGia!$BF$10:$BF$81,MATCH($A189,TinhGia!$B$10:$B$81,0)),""))</f>
        <v/>
      </c>
      <c r="S189" s="1012" t="str">
        <f ca="1">IF($A189="","",IF(OR(IFERROR(SEARCH($R189,XKNVLSX!$X$1,1),0)&gt;=1,XKNVLSX!$X$1=""),$S$2,""))</f>
        <v/>
      </c>
      <c r="T189" s="1018" t="str">
        <f ca="1">IF($C189="","", IF(OR($P189=$V$1,$P189=$V$7,COUNTIFS($C$3:$C189,$C189,$E$3:$E189,$E189)&lt;=1),$P189,""    ))</f>
        <v/>
      </c>
      <c r="U189" s="1019" t="str">
        <f ca="1">IF(AND($P189=$V$2,COUNTIFS($C$3:$C189,$C189,$E$3:$E189,$E189,$G$3:$G189,$G189)&lt;=1),$P189,"")</f>
        <v/>
      </c>
    </row>
    <row r="190" spans="1:21">
      <c r="A190" s="991" t="str">
        <f ca="1">IFERROR(IF(COUNTIF($A$3:A189,A189)&lt; INDEX(TinhGia!$BH$10:$BH$81,MATCH($A189,TinhGia!$B$10:$B$81,0)),$A189,INDEX(TinhGia!$B$10:$B$81,MATCH($A189,TinhGia!$B$10:$B$81,0)+1)),"")</f>
        <v/>
      </c>
      <c r="B190" s="525" t="str">
        <f ca="1">IF(OR(A190="",A190=0),"",IF(COUNTIF($A$2:A190,$A190)=1,ROW(MauKoXoa!$C$108),$B189+1))</f>
        <v/>
      </c>
      <c r="C190" s="992" t="str">
        <f t="shared" ca="1" si="27"/>
        <v/>
      </c>
      <c r="D190" s="993" t="str">
        <f t="shared" ca="1" si="28"/>
        <v/>
      </c>
      <c r="E190" s="993" t="str">
        <f t="shared" ca="1" si="29"/>
        <v/>
      </c>
      <c r="F190" s="992" t="str">
        <f t="shared" ca="1" si="26"/>
        <v/>
      </c>
      <c r="G190" s="994">
        <f t="shared" ca="1" si="30"/>
        <v>0</v>
      </c>
      <c r="H190" s="913">
        <f t="shared" ca="1" si="31"/>
        <v>0</v>
      </c>
      <c r="I190" s="913">
        <f t="shared" ca="1" si="32"/>
        <v>0</v>
      </c>
      <c r="J190" s="995">
        <f t="shared" ca="1" si="33"/>
        <v>0</v>
      </c>
      <c r="K190" s="913">
        <f t="shared" ca="1" si="34"/>
        <v>0</v>
      </c>
      <c r="L190" s="995">
        <f t="shared" ca="1" si="35"/>
        <v>0</v>
      </c>
      <c r="M190" s="913">
        <f t="shared" ca="1" si="36"/>
        <v>0</v>
      </c>
      <c r="N190" s="996">
        <f t="shared" ca="1" si="37"/>
        <v>0</v>
      </c>
      <c r="O190" s="997">
        <f t="shared" ca="1" si="38"/>
        <v>0</v>
      </c>
      <c r="P190" s="1015" t="str">
        <f ca="1">IF($C190="","",INDEX(NVLSX!$N$2:$N$6941,MATCH($C190,NVLSX!$E$2:$E$6941,0)))</f>
        <v/>
      </c>
      <c r="Q190" s="1016" t="str">
        <f ca="1">IF($R190="","",IF(XKNVLSX!$X$1="",IF($P190=$V$7,$P190, IF(COUNTIFS($C$2:$C189,$C190,$E$2:$E189,$E190)&gt;=1,"",$P190)),     IF(AND(IFERROR(SEARCH($R190,XKNVLSX!$X$1,1),0)&gt;=1,$P190=$V$7),$P190, IF(OR($R190&lt;&gt;IF(IFERROR(SEARCH($R190,XKNVLSX!$X$1,1),0)&gt;=1,$R190,XKNVLSX!$X$1),COUNTIFS($C$2:$C189,$C190,$E$2:$E189,$E190,$Q$2:$Q189,$P190)&gt;=1),"",$P190))))</f>
        <v/>
      </c>
      <c r="R190" s="1017" t="str">
        <f ca="1">IF($A190="","",IFERROR(INDEX(TinhGia!$BF$10:$BF$81,MATCH($A190,TinhGia!$B$10:$B$81,0)),""))</f>
        <v/>
      </c>
      <c r="S190" s="1012" t="str">
        <f ca="1">IF($A190="","",IF(OR(IFERROR(SEARCH($R190,XKNVLSX!$X$1,1),0)&gt;=1,XKNVLSX!$X$1=""),$S$2,""))</f>
        <v/>
      </c>
      <c r="T190" s="1018" t="str">
        <f ca="1">IF($C190="","", IF(OR($P190=$V$1,$P190=$V$7,COUNTIFS($C$3:$C190,$C190,$E$3:$E190,$E190)&lt;=1),$P190,""    ))</f>
        <v/>
      </c>
      <c r="U190" s="1019" t="str">
        <f ca="1">IF(AND($P190=$V$2,COUNTIFS($C$3:$C190,$C190,$E$3:$E190,$E190,$G$3:$G190,$G190)&lt;=1),$P190,"")</f>
        <v/>
      </c>
    </row>
    <row r="191" spans="1:21">
      <c r="A191" s="991" t="str">
        <f ca="1">IFERROR(IF(COUNTIF($A$3:A190,A190)&lt; INDEX(TinhGia!$BH$10:$BH$81,MATCH($A190,TinhGia!$B$10:$B$81,0)),$A190,INDEX(TinhGia!$B$10:$B$81,MATCH($A190,TinhGia!$B$10:$B$81,0)+1)),"")</f>
        <v/>
      </c>
      <c r="B191" s="525" t="str">
        <f ca="1">IF(OR(A191="",A191=0),"",IF(COUNTIF($A$2:A191,$A191)=1,ROW(MauKoXoa!$C$108),$B190+1))</f>
        <v/>
      </c>
      <c r="C191" s="992" t="str">
        <f t="shared" ca="1" si="27"/>
        <v/>
      </c>
      <c r="D191" s="993" t="str">
        <f t="shared" ca="1" si="28"/>
        <v/>
      </c>
      <c r="E191" s="993" t="str">
        <f t="shared" ca="1" si="29"/>
        <v/>
      </c>
      <c r="F191" s="992" t="str">
        <f t="shared" ca="1" si="26"/>
        <v/>
      </c>
      <c r="G191" s="994">
        <f t="shared" ca="1" si="30"/>
        <v>0</v>
      </c>
      <c r="H191" s="913">
        <f t="shared" ca="1" si="31"/>
        <v>0</v>
      </c>
      <c r="I191" s="913">
        <f t="shared" ca="1" si="32"/>
        <v>0</v>
      </c>
      <c r="J191" s="995">
        <f t="shared" ca="1" si="33"/>
        <v>0</v>
      </c>
      <c r="K191" s="913">
        <f t="shared" ca="1" si="34"/>
        <v>0</v>
      </c>
      <c r="L191" s="995">
        <f t="shared" ca="1" si="35"/>
        <v>0</v>
      </c>
      <c r="M191" s="913">
        <f t="shared" ca="1" si="36"/>
        <v>0</v>
      </c>
      <c r="N191" s="996">
        <f t="shared" ca="1" si="37"/>
        <v>0</v>
      </c>
      <c r="O191" s="997">
        <f t="shared" ca="1" si="38"/>
        <v>0</v>
      </c>
      <c r="P191" s="1015" t="str">
        <f ca="1">IF($C191="","",INDEX(NVLSX!$N$2:$N$6941,MATCH($C191,NVLSX!$E$2:$E$6941,0)))</f>
        <v/>
      </c>
      <c r="Q191" s="1016" t="str">
        <f ca="1">IF($R191="","",IF(XKNVLSX!$X$1="",IF($P191=$V$7,$P191, IF(COUNTIFS($C$2:$C190,$C191,$E$2:$E190,$E191)&gt;=1,"",$P191)),     IF(AND(IFERROR(SEARCH($R191,XKNVLSX!$X$1,1),0)&gt;=1,$P191=$V$7),$P191, IF(OR($R191&lt;&gt;IF(IFERROR(SEARCH($R191,XKNVLSX!$X$1,1),0)&gt;=1,$R191,XKNVLSX!$X$1),COUNTIFS($C$2:$C190,$C191,$E$2:$E190,$E191,$Q$2:$Q190,$P191)&gt;=1),"",$P191))))</f>
        <v/>
      </c>
      <c r="R191" s="1017" t="str">
        <f ca="1">IF($A191="","",IFERROR(INDEX(TinhGia!$BF$10:$BF$81,MATCH($A191,TinhGia!$B$10:$B$81,0)),""))</f>
        <v/>
      </c>
      <c r="S191" s="1012" t="str">
        <f ca="1">IF($A191="","",IF(OR(IFERROR(SEARCH($R191,XKNVLSX!$X$1,1),0)&gt;=1,XKNVLSX!$X$1=""),$S$2,""))</f>
        <v/>
      </c>
      <c r="T191" s="1018" t="str">
        <f ca="1">IF($C191="","", IF(OR($P191=$V$1,$P191=$V$7,COUNTIFS($C$3:$C191,$C191,$E$3:$E191,$E191)&lt;=1),$P191,""    ))</f>
        <v/>
      </c>
      <c r="U191" s="1019" t="str">
        <f ca="1">IF(AND($P191=$V$2,COUNTIFS($C$3:$C191,$C191,$E$3:$E191,$E191,$G$3:$G191,$G191)&lt;=1),$P191,"")</f>
        <v/>
      </c>
    </row>
    <row r="192" spans="1:21">
      <c r="A192" s="991" t="str">
        <f ca="1">IFERROR(IF(COUNTIF($A$3:A191,A191)&lt; INDEX(TinhGia!$BH$10:$BH$81,MATCH($A191,TinhGia!$B$10:$B$81,0)),$A191,INDEX(TinhGia!$B$10:$B$81,MATCH($A191,TinhGia!$B$10:$B$81,0)+1)),"")</f>
        <v/>
      </c>
      <c r="B192" s="525" t="str">
        <f ca="1">IF(OR(A192="",A192=0),"",IF(COUNTIF($A$2:A192,$A192)=1,ROW(MauKoXoa!$C$108),$B191+1))</f>
        <v/>
      </c>
      <c r="C192" s="992" t="str">
        <f t="shared" ca="1" si="27"/>
        <v/>
      </c>
      <c r="D192" s="993" t="str">
        <f t="shared" ca="1" si="28"/>
        <v/>
      </c>
      <c r="E192" s="993" t="str">
        <f t="shared" ca="1" si="29"/>
        <v/>
      </c>
      <c r="F192" s="992" t="str">
        <f t="shared" ca="1" si="26"/>
        <v/>
      </c>
      <c r="G192" s="994">
        <f t="shared" ca="1" si="30"/>
        <v>0</v>
      </c>
      <c r="H192" s="913">
        <f t="shared" ca="1" si="31"/>
        <v>0</v>
      </c>
      <c r="I192" s="913">
        <f t="shared" ca="1" si="32"/>
        <v>0</v>
      </c>
      <c r="J192" s="995">
        <f t="shared" ca="1" si="33"/>
        <v>0</v>
      </c>
      <c r="K192" s="913">
        <f t="shared" ca="1" si="34"/>
        <v>0</v>
      </c>
      <c r="L192" s="995">
        <f t="shared" ca="1" si="35"/>
        <v>0</v>
      </c>
      <c r="M192" s="913">
        <f t="shared" ca="1" si="36"/>
        <v>0</v>
      </c>
      <c r="N192" s="996">
        <f t="shared" ca="1" si="37"/>
        <v>0</v>
      </c>
      <c r="O192" s="997">
        <f t="shared" ca="1" si="38"/>
        <v>0</v>
      </c>
      <c r="P192" s="1015" t="str">
        <f ca="1">IF($C192="","",INDEX(NVLSX!$N$2:$N$6941,MATCH($C192,NVLSX!$E$2:$E$6941,0)))</f>
        <v/>
      </c>
      <c r="Q192" s="1016" t="str">
        <f ca="1">IF($R192="","",IF(XKNVLSX!$X$1="",IF($P192=$V$7,$P192, IF(COUNTIFS($C$2:$C191,$C192,$E$2:$E191,$E192)&gt;=1,"",$P192)),     IF(AND(IFERROR(SEARCH($R192,XKNVLSX!$X$1,1),0)&gt;=1,$P192=$V$7),$P192, IF(OR($R192&lt;&gt;IF(IFERROR(SEARCH($R192,XKNVLSX!$X$1,1),0)&gt;=1,$R192,XKNVLSX!$X$1),COUNTIFS($C$2:$C191,$C192,$E$2:$E191,$E192,$Q$2:$Q191,$P192)&gt;=1),"",$P192))))</f>
        <v/>
      </c>
      <c r="R192" s="1017" t="str">
        <f ca="1">IF($A192="","",IFERROR(INDEX(TinhGia!$BF$10:$BF$81,MATCH($A192,TinhGia!$B$10:$B$81,0)),""))</f>
        <v/>
      </c>
      <c r="S192" s="1012" t="str">
        <f ca="1">IF($A192="","",IF(OR(IFERROR(SEARCH($R192,XKNVLSX!$X$1,1),0)&gt;=1,XKNVLSX!$X$1=""),$S$2,""))</f>
        <v/>
      </c>
      <c r="T192" s="1018" t="str">
        <f ca="1">IF($C192="","", IF(OR($P192=$V$1,$P192=$V$7,COUNTIFS($C$3:$C192,$C192,$E$3:$E192,$E192)&lt;=1),$P192,""    ))</f>
        <v/>
      </c>
      <c r="U192" s="1019" t="str">
        <f ca="1">IF(AND($P192=$V$2,COUNTIFS($C$3:$C192,$C192,$E$3:$E192,$E192,$G$3:$G192,$G192)&lt;=1),$P192,"")</f>
        <v/>
      </c>
    </row>
    <row r="193" spans="1:21">
      <c r="A193" s="991" t="str">
        <f ca="1">IFERROR(IF(COUNTIF($A$3:A192,A192)&lt; INDEX(TinhGia!$BH$10:$BH$81,MATCH($A192,TinhGia!$B$10:$B$81,0)),$A192,INDEX(TinhGia!$B$10:$B$81,MATCH($A192,TinhGia!$B$10:$B$81,0)+1)),"")</f>
        <v/>
      </c>
      <c r="B193" s="525" t="str">
        <f ca="1">IF(OR(A193="",A193=0),"",IF(COUNTIF($A$2:A193,$A193)=1,ROW(MauKoXoa!$C$108),$B192+1))</f>
        <v/>
      </c>
      <c r="C193" s="992" t="str">
        <f t="shared" ca="1" si="27"/>
        <v/>
      </c>
      <c r="D193" s="993" t="str">
        <f t="shared" ca="1" si="28"/>
        <v/>
      </c>
      <c r="E193" s="993" t="str">
        <f t="shared" ca="1" si="29"/>
        <v/>
      </c>
      <c r="F193" s="992" t="str">
        <f t="shared" ca="1" si="26"/>
        <v/>
      </c>
      <c r="G193" s="994">
        <f t="shared" ca="1" si="30"/>
        <v>0</v>
      </c>
      <c r="H193" s="913">
        <f t="shared" ca="1" si="31"/>
        <v>0</v>
      </c>
      <c r="I193" s="913">
        <f t="shared" ca="1" si="32"/>
        <v>0</v>
      </c>
      <c r="J193" s="995">
        <f t="shared" ca="1" si="33"/>
        <v>0</v>
      </c>
      <c r="K193" s="913">
        <f t="shared" ca="1" si="34"/>
        <v>0</v>
      </c>
      <c r="L193" s="995">
        <f t="shared" ca="1" si="35"/>
        <v>0</v>
      </c>
      <c r="M193" s="913">
        <f t="shared" ca="1" si="36"/>
        <v>0</v>
      </c>
      <c r="N193" s="996">
        <f t="shared" ca="1" si="37"/>
        <v>0</v>
      </c>
      <c r="O193" s="997">
        <f t="shared" ca="1" si="38"/>
        <v>0</v>
      </c>
      <c r="P193" s="1015" t="str">
        <f ca="1">IF($C193="","",INDEX(NVLSX!$N$2:$N$6941,MATCH($C193,NVLSX!$E$2:$E$6941,0)))</f>
        <v/>
      </c>
      <c r="Q193" s="1016" t="str">
        <f ca="1">IF($R193="","",IF(XKNVLSX!$X$1="",IF($P193=$V$7,$P193, IF(COUNTIFS($C$2:$C192,$C193,$E$2:$E192,$E193)&gt;=1,"",$P193)),     IF(AND(IFERROR(SEARCH($R193,XKNVLSX!$X$1,1),0)&gt;=1,$P193=$V$7),$P193, IF(OR($R193&lt;&gt;IF(IFERROR(SEARCH($R193,XKNVLSX!$X$1,1),0)&gt;=1,$R193,XKNVLSX!$X$1),COUNTIFS($C$2:$C192,$C193,$E$2:$E192,$E193,$Q$2:$Q192,$P193)&gt;=1),"",$P193))))</f>
        <v/>
      </c>
      <c r="R193" s="1017" t="str">
        <f ca="1">IF($A193="","",IFERROR(INDEX(TinhGia!$BF$10:$BF$81,MATCH($A193,TinhGia!$B$10:$B$81,0)),""))</f>
        <v/>
      </c>
      <c r="S193" s="1012" t="str">
        <f ca="1">IF($A193="","",IF(OR(IFERROR(SEARCH($R193,XKNVLSX!$X$1,1),0)&gt;=1,XKNVLSX!$X$1=""),$S$2,""))</f>
        <v/>
      </c>
      <c r="T193" s="1018" t="str">
        <f ca="1">IF($C193="","", IF(OR($P193=$V$1,$P193=$V$7,COUNTIFS($C$3:$C193,$C193,$E$3:$E193,$E193)&lt;=1),$P193,""    ))</f>
        <v/>
      </c>
      <c r="U193" s="1019" t="str">
        <f ca="1">IF(AND($P193=$V$2,COUNTIFS($C$3:$C193,$C193,$E$3:$E193,$E193,$G$3:$G193,$G193)&lt;=1),$P193,"")</f>
        <v/>
      </c>
    </row>
    <row r="194" spans="1:21">
      <c r="A194" s="991" t="str">
        <f ca="1">IFERROR(IF(COUNTIF($A$3:A193,A193)&lt; INDEX(TinhGia!$BH$10:$BH$81,MATCH($A193,TinhGia!$B$10:$B$81,0)),$A193,INDEX(TinhGia!$B$10:$B$81,MATCH($A193,TinhGia!$B$10:$B$81,0)+1)),"")</f>
        <v/>
      </c>
      <c r="B194" s="525" t="str">
        <f ca="1">IF(OR(A194="",A194=0),"",IF(COUNTIF($A$2:A194,$A194)=1,ROW(MauKoXoa!$C$108),$B193+1))</f>
        <v/>
      </c>
      <c r="C194" s="992" t="str">
        <f t="shared" ca="1" si="27"/>
        <v/>
      </c>
      <c r="D194" s="993" t="str">
        <f t="shared" ca="1" si="28"/>
        <v/>
      </c>
      <c r="E194" s="993" t="str">
        <f t="shared" ca="1" si="29"/>
        <v/>
      </c>
      <c r="F194" s="992" t="str">
        <f t="shared" ca="1" si="26"/>
        <v/>
      </c>
      <c r="G194" s="994">
        <f t="shared" ca="1" si="30"/>
        <v>0</v>
      </c>
      <c r="H194" s="913">
        <f t="shared" ca="1" si="31"/>
        <v>0</v>
      </c>
      <c r="I194" s="913">
        <f t="shared" ca="1" si="32"/>
        <v>0</v>
      </c>
      <c r="J194" s="995">
        <f t="shared" ca="1" si="33"/>
        <v>0</v>
      </c>
      <c r="K194" s="913">
        <f t="shared" ca="1" si="34"/>
        <v>0</v>
      </c>
      <c r="L194" s="995">
        <f t="shared" ca="1" si="35"/>
        <v>0</v>
      </c>
      <c r="M194" s="913">
        <f t="shared" ca="1" si="36"/>
        <v>0</v>
      </c>
      <c r="N194" s="996">
        <f t="shared" ca="1" si="37"/>
        <v>0</v>
      </c>
      <c r="O194" s="997">
        <f t="shared" ca="1" si="38"/>
        <v>0</v>
      </c>
      <c r="P194" s="1015" t="str">
        <f ca="1">IF($C194="","",INDEX(NVLSX!$N$2:$N$6941,MATCH($C194,NVLSX!$E$2:$E$6941,0)))</f>
        <v/>
      </c>
      <c r="Q194" s="1016" t="str">
        <f ca="1">IF($R194="","",IF(XKNVLSX!$X$1="",IF($P194=$V$7,$P194, IF(COUNTIFS($C$2:$C193,$C194,$E$2:$E193,$E194)&gt;=1,"",$P194)),     IF(AND(IFERROR(SEARCH($R194,XKNVLSX!$X$1,1),0)&gt;=1,$P194=$V$7),$P194, IF(OR($R194&lt;&gt;IF(IFERROR(SEARCH($R194,XKNVLSX!$X$1,1),0)&gt;=1,$R194,XKNVLSX!$X$1),COUNTIFS($C$2:$C193,$C194,$E$2:$E193,$E194,$Q$2:$Q193,$P194)&gt;=1),"",$P194))))</f>
        <v/>
      </c>
      <c r="R194" s="1017" t="str">
        <f ca="1">IF($A194="","",IFERROR(INDEX(TinhGia!$BF$10:$BF$81,MATCH($A194,TinhGia!$B$10:$B$81,0)),""))</f>
        <v/>
      </c>
      <c r="S194" s="1012" t="str">
        <f ca="1">IF($A194="","",IF(OR(IFERROR(SEARCH($R194,XKNVLSX!$X$1,1),0)&gt;=1,XKNVLSX!$X$1=""),$S$2,""))</f>
        <v/>
      </c>
      <c r="T194" s="1018" t="str">
        <f ca="1">IF($C194="","", IF(OR($P194=$V$1,$P194=$V$7,COUNTIFS($C$3:$C194,$C194,$E$3:$E194,$E194)&lt;=1),$P194,""    ))</f>
        <v/>
      </c>
      <c r="U194" s="1019" t="str">
        <f ca="1">IF(AND($P194=$V$2,COUNTIFS($C$3:$C194,$C194,$E$3:$E194,$E194,$G$3:$G194,$G194)&lt;=1),$P194,"")</f>
        <v/>
      </c>
    </row>
    <row r="195" spans="1:21">
      <c r="A195" s="991" t="str">
        <f ca="1">IFERROR(IF(COUNTIF($A$3:A194,A194)&lt; INDEX(TinhGia!$BH$10:$BH$81,MATCH($A194,TinhGia!$B$10:$B$81,0)),$A194,INDEX(TinhGia!$B$10:$B$81,MATCH($A194,TinhGia!$B$10:$B$81,0)+1)),"")</f>
        <v/>
      </c>
      <c r="B195" s="525" t="str">
        <f ca="1">IF(OR(A195="",A195=0),"",IF(COUNTIF($A$2:A195,$A195)=1,ROW(MauKoXoa!$C$108),$B194+1))</f>
        <v/>
      </c>
      <c r="C195" s="992" t="str">
        <f t="shared" ca="1" si="27"/>
        <v/>
      </c>
      <c r="D195" s="993" t="str">
        <f t="shared" ca="1" si="28"/>
        <v/>
      </c>
      <c r="E195" s="993" t="str">
        <f t="shared" ca="1" si="29"/>
        <v/>
      </c>
      <c r="F195" s="992" t="str">
        <f t="shared" ref="F195:F258" ca="1" si="39">IF($P195=$V$7, IFERROR(INDIRECT("'" &amp; $A195 &amp; "'!" &amp; "I" &amp; $B195),""),IFERROR(INDIRECT("'" &amp; $A195 &amp; "'!" &amp; "E" &amp; $B195),""))</f>
        <v/>
      </c>
      <c r="G195" s="994">
        <f t="shared" ca="1" si="30"/>
        <v>0</v>
      </c>
      <c r="H195" s="913">
        <f t="shared" ca="1" si="31"/>
        <v>0</v>
      </c>
      <c r="I195" s="913">
        <f t="shared" ca="1" si="32"/>
        <v>0</v>
      </c>
      <c r="J195" s="995">
        <f t="shared" ca="1" si="33"/>
        <v>0</v>
      </c>
      <c r="K195" s="913">
        <f t="shared" ca="1" si="34"/>
        <v>0</v>
      </c>
      <c r="L195" s="995">
        <f t="shared" ca="1" si="35"/>
        <v>0</v>
      </c>
      <c r="M195" s="913">
        <f t="shared" ca="1" si="36"/>
        <v>0</v>
      </c>
      <c r="N195" s="996">
        <f t="shared" ca="1" si="37"/>
        <v>0</v>
      </c>
      <c r="O195" s="997">
        <f t="shared" ca="1" si="38"/>
        <v>0</v>
      </c>
      <c r="P195" s="1015" t="str">
        <f ca="1">IF($C195="","",INDEX(NVLSX!$N$2:$N$6941,MATCH($C195,NVLSX!$E$2:$E$6941,0)))</f>
        <v/>
      </c>
      <c r="Q195" s="1016" t="str">
        <f ca="1">IF($R195="","",IF(XKNVLSX!$X$1="",IF($P195=$V$7,$P195, IF(COUNTIFS($C$2:$C194,$C195,$E$2:$E194,$E195)&gt;=1,"",$P195)),     IF(AND(IFERROR(SEARCH($R195,XKNVLSX!$X$1,1),0)&gt;=1,$P195=$V$7),$P195, IF(OR($R195&lt;&gt;IF(IFERROR(SEARCH($R195,XKNVLSX!$X$1,1),0)&gt;=1,$R195,XKNVLSX!$X$1),COUNTIFS($C$2:$C194,$C195,$E$2:$E194,$E195,$Q$2:$Q194,$P195)&gt;=1),"",$P195))))</f>
        <v/>
      </c>
      <c r="R195" s="1017" t="str">
        <f ca="1">IF($A195="","",IFERROR(INDEX(TinhGia!$BF$10:$BF$81,MATCH($A195,TinhGia!$B$10:$B$81,0)),""))</f>
        <v/>
      </c>
      <c r="S195" s="1012" t="str">
        <f ca="1">IF($A195="","",IF(OR(IFERROR(SEARCH($R195,XKNVLSX!$X$1,1),0)&gt;=1,XKNVLSX!$X$1=""),$S$2,""))</f>
        <v/>
      </c>
      <c r="T195" s="1018" t="str">
        <f ca="1">IF($C195="","", IF(OR($P195=$V$1,$P195=$V$7,COUNTIFS($C$3:$C195,$C195,$E$3:$E195,$E195)&lt;=1),$P195,""    ))</f>
        <v/>
      </c>
      <c r="U195" s="1019" t="str">
        <f ca="1">IF(AND($P195=$V$2,COUNTIFS($C$3:$C195,$C195,$E$3:$E195,$E195,$G$3:$G195,$G195)&lt;=1),$P195,"")</f>
        <v/>
      </c>
    </row>
    <row r="196" spans="1:21">
      <c r="A196" s="991" t="str">
        <f ca="1">IFERROR(IF(COUNTIF($A$3:A195,A195)&lt; INDEX(TinhGia!$BH$10:$BH$81,MATCH($A195,TinhGia!$B$10:$B$81,0)),$A195,INDEX(TinhGia!$B$10:$B$81,MATCH($A195,TinhGia!$B$10:$B$81,0)+1)),"")</f>
        <v/>
      </c>
      <c r="B196" s="525" t="str">
        <f ca="1">IF(OR(A196="",A196=0),"",IF(COUNTIF($A$2:A196,$A196)=1,ROW(MauKoXoa!$C$108),$B195+1))</f>
        <v/>
      </c>
      <c r="C196" s="992" t="str">
        <f t="shared" ref="C196:C449" ca="1" si="40">IFERROR(INDIRECT("'" &amp; $A196 &amp; "'!" &amp; "C" &amp; $B196),"")</f>
        <v/>
      </c>
      <c r="D196" s="993" t="str">
        <f t="shared" ref="D196:D449" ca="1" si="41">IFERROR(INDIRECT("'" &amp; $A196 &amp; "'!" &amp; "D" &amp; $B196),"")</f>
        <v/>
      </c>
      <c r="E196" s="993" t="str">
        <f t="shared" ref="E196:E449" ca="1" si="42">IFERROR(INDIRECT("'" &amp; $A196 &amp; "'!" &amp; "P" &amp; $B196),"")</f>
        <v/>
      </c>
      <c r="F196" s="992" t="str">
        <f t="shared" ca="1" si="39"/>
        <v/>
      </c>
      <c r="G196" s="994">
        <f t="shared" ref="G196:G449" ca="1" si="43">IFERROR(INDIRECT("'" &amp; $A196 &amp; "'!" &amp; "F" &amp; $B196),0)</f>
        <v>0</v>
      </c>
      <c r="H196" s="913">
        <f t="shared" ref="H196:H449" ca="1" si="44">IFERROR(INDIRECT("'" &amp; $A196 &amp; "'!" &amp; "G" &amp; $B196),0)</f>
        <v>0</v>
      </c>
      <c r="I196" s="913">
        <f t="shared" ref="I196:I449" ca="1" si="45">IFERROR(INDIRECT("'" &amp; $A196 &amp; "'!" &amp; "H" &amp; $B196),0)</f>
        <v>0</v>
      </c>
      <c r="J196" s="995">
        <f t="shared" ref="J196:J259" ca="1" si="46">IFERROR(INDIRECT("'" &amp; $A196 &amp; "'!" &amp; "J" &amp; $B196),0)</f>
        <v>0</v>
      </c>
      <c r="K196" s="913">
        <f t="shared" ref="K196:K449" ca="1" si="47">IFERROR(INDIRECT("'" &amp; $A196 &amp; "'!" &amp; "L" &amp; $B196),0)</f>
        <v>0</v>
      </c>
      <c r="L196" s="995">
        <f t="shared" ref="L196:L259" ca="1" si="48">+ IFERROR(INDIRECT("'" &amp; $A196 &amp; "'!" &amp; "K" &amp; $B196),0)</f>
        <v>0</v>
      </c>
      <c r="M196" s="913">
        <f t="shared" ref="M196:M449" ca="1" si="49">IFERROR(INDIRECT("'" &amp; $A196 &amp; "'!" &amp; "M" &amp; $B196),0)</f>
        <v>0</v>
      </c>
      <c r="N196" s="996">
        <f t="shared" ref="N196:N449" ca="1" si="50">IFERROR(INDIRECT("'" &amp; $A196 &amp; "'!" &amp; "N" &amp; $B196),0)</f>
        <v>0</v>
      </c>
      <c r="O196" s="997">
        <f t="shared" ref="O196:O449" ca="1" si="51">IFERROR(INDIRECT("'" &amp; $A196 &amp; "'!" &amp; "O" &amp; $B196),0)</f>
        <v>0</v>
      </c>
      <c r="P196" s="1015" t="str">
        <f ca="1">IF($C196="","",INDEX(NVLSX!$N$2:$N$6941,MATCH($C196,NVLSX!$E$2:$E$6941,0)))</f>
        <v/>
      </c>
      <c r="Q196" s="1016" t="str">
        <f ca="1">IF($R196="","",IF(XKNVLSX!$X$1="",IF($P196=$V$7,$P196, IF(COUNTIFS($C$2:$C195,$C196,$E$2:$E195,$E196)&gt;=1,"",$P196)),     IF(AND(IFERROR(SEARCH($R196,XKNVLSX!$X$1,1),0)&gt;=1,$P196=$V$7),$P196, IF(OR($R196&lt;&gt;IF(IFERROR(SEARCH($R196,XKNVLSX!$X$1,1),0)&gt;=1,$R196,XKNVLSX!$X$1),COUNTIFS($C$2:$C195,$C196,$E$2:$E195,$E196,$Q$2:$Q195,$P196)&gt;=1),"",$P196))))</f>
        <v/>
      </c>
      <c r="R196" s="1017" t="str">
        <f ca="1">IF($A196="","",IFERROR(INDEX(TinhGia!$BF$10:$BF$81,MATCH($A196,TinhGia!$B$10:$B$81,0)),""))</f>
        <v/>
      </c>
      <c r="S196" s="1012" t="str">
        <f ca="1">IF($A196="","",IF(OR(IFERROR(SEARCH($R196,XKNVLSX!$X$1,1),0)&gt;=1,XKNVLSX!$X$1=""),$S$2,""))</f>
        <v/>
      </c>
      <c r="T196" s="1018" t="str">
        <f ca="1">IF($C196="","", IF(OR($P196=$V$1,$P196=$V$7,COUNTIFS($C$3:$C196,$C196,$E$3:$E196,$E196)&lt;=1),$P196,""    ))</f>
        <v/>
      </c>
      <c r="U196" s="1019" t="str">
        <f ca="1">IF(AND($P196=$V$2,COUNTIFS($C$3:$C196,$C196,$E$3:$E196,$E196,$G$3:$G196,$G196)&lt;=1),$P196,"")</f>
        <v/>
      </c>
    </row>
    <row r="197" spans="1:21">
      <c r="A197" s="991" t="str">
        <f ca="1">IFERROR(IF(COUNTIF($A$3:A196,A196)&lt; INDEX(TinhGia!$BH$10:$BH$81,MATCH($A196,TinhGia!$B$10:$B$81,0)),$A196,INDEX(TinhGia!$B$10:$B$81,MATCH($A196,TinhGia!$B$10:$B$81,0)+1)),"")</f>
        <v/>
      </c>
      <c r="B197" s="525" t="str">
        <f ca="1">IF(OR(A197="",A197=0),"",IF(COUNTIF($A$2:A197,$A197)=1,ROW(MauKoXoa!$C$108),$B196+1))</f>
        <v/>
      </c>
      <c r="C197" s="992" t="str">
        <f t="shared" ca="1" si="40"/>
        <v/>
      </c>
      <c r="D197" s="993" t="str">
        <f t="shared" ca="1" si="41"/>
        <v/>
      </c>
      <c r="E197" s="993" t="str">
        <f t="shared" ca="1" si="42"/>
        <v/>
      </c>
      <c r="F197" s="992" t="str">
        <f t="shared" ca="1" si="39"/>
        <v/>
      </c>
      <c r="G197" s="994">
        <f t="shared" ca="1" si="43"/>
        <v>0</v>
      </c>
      <c r="H197" s="913">
        <f t="shared" ca="1" si="44"/>
        <v>0</v>
      </c>
      <c r="I197" s="913">
        <f t="shared" ca="1" si="45"/>
        <v>0</v>
      </c>
      <c r="J197" s="995">
        <f t="shared" ca="1" si="46"/>
        <v>0</v>
      </c>
      <c r="K197" s="913">
        <f t="shared" ca="1" si="47"/>
        <v>0</v>
      </c>
      <c r="L197" s="995">
        <f t="shared" ca="1" si="48"/>
        <v>0</v>
      </c>
      <c r="M197" s="913">
        <f t="shared" ca="1" si="49"/>
        <v>0</v>
      </c>
      <c r="N197" s="996">
        <f t="shared" ca="1" si="50"/>
        <v>0</v>
      </c>
      <c r="O197" s="997">
        <f t="shared" ca="1" si="51"/>
        <v>0</v>
      </c>
      <c r="P197" s="1015" t="str">
        <f ca="1">IF($C197="","",INDEX(NVLSX!$N$2:$N$6941,MATCH($C197,NVLSX!$E$2:$E$6941,0)))</f>
        <v/>
      </c>
      <c r="Q197" s="1016" t="str">
        <f ca="1">IF($R197="","",IF(XKNVLSX!$X$1="",IF($P197=$V$7,$P197, IF(COUNTIFS($C$2:$C196,$C197,$E$2:$E196,$E197)&gt;=1,"",$P197)),     IF(AND(IFERROR(SEARCH($R197,XKNVLSX!$X$1,1),0)&gt;=1,$P197=$V$7),$P197, IF(OR($R197&lt;&gt;IF(IFERROR(SEARCH($R197,XKNVLSX!$X$1,1),0)&gt;=1,$R197,XKNVLSX!$X$1),COUNTIFS($C$2:$C196,$C197,$E$2:$E196,$E197,$Q$2:$Q196,$P197)&gt;=1),"",$P197))))</f>
        <v/>
      </c>
      <c r="R197" s="1017" t="str">
        <f ca="1">IF($A197="","",IFERROR(INDEX(TinhGia!$BF$10:$BF$81,MATCH($A197,TinhGia!$B$10:$B$81,0)),""))</f>
        <v/>
      </c>
      <c r="S197" s="1012" t="str">
        <f ca="1">IF($A197="","",IF(OR(IFERROR(SEARCH($R197,XKNVLSX!$X$1,1),0)&gt;=1,XKNVLSX!$X$1=""),$S$2,""))</f>
        <v/>
      </c>
      <c r="T197" s="1018" t="str">
        <f ca="1">IF($C197="","", IF(OR($P197=$V$1,$P197=$V$7,COUNTIFS($C$3:$C197,$C197,$E$3:$E197,$E197)&lt;=1),$P197,""    ))</f>
        <v/>
      </c>
      <c r="U197" s="1019" t="str">
        <f ca="1">IF(AND($P197=$V$2,COUNTIFS($C$3:$C197,$C197,$E$3:$E197,$E197,$G$3:$G197,$G197)&lt;=1),$P197,"")</f>
        <v/>
      </c>
    </row>
    <row r="198" spans="1:21">
      <c r="A198" s="991" t="str">
        <f ca="1">IFERROR(IF(COUNTIF($A$3:A197,A197)&lt; INDEX(TinhGia!$BH$10:$BH$81,MATCH($A197,TinhGia!$B$10:$B$81,0)),$A197,INDEX(TinhGia!$B$10:$B$81,MATCH($A197,TinhGia!$B$10:$B$81,0)+1)),"")</f>
        <v/>
      </c>
      <c r="B198" s="525" t="str">
        <f ca="1">IF(OR(A198="",A198=0),"",IF(COUNTIF($A$2:A198,$A198)=1,ROW(MauKoXoa!$C$108),$B197+1))</f>
        <v/>
      </c>
      <c r="C198" s="992" t="str">
        <f t="shared" ca="1" si="40"/>
        <v/>
      </c>
      <c r="D198" s="993" t="str">
        <f t="shared" ca="1" si="41"/>
        <v/>
      </c>
      <c r="E198" s="993" t="str">
        <f t="shared" ca="1" si="42"/>
        <v/>
      </c>
      <c r="F198" s="992" t="str">
        <f t="shared" ca="1" si="39"/>
        <v/>
      </c>
      <c r="G198" s="994">
        <f t="shared" ca="1" si="43"/>
        <v>0</v>
      </c>
      <c r="H198" s="913">
        <f t="shared" ca="1" si="44"/>
        <v>0</v>
      </c>
      <c r="I198" s="913">
        <f t="shared" ca="1" si="45"/>
        <v>0</v>
      </c>
      <c r="J198" s="995">
        <f t="shared" ca="1" si="46"/>
        <v>0</v>
      </c>
      <c r="K198" s="913">
        <f t="shared" ca="1" si="47"/>
        <v>0</v>
      </c>
      <c r="L198" s="995">
        <f t="shared" ca="1" si="48"/>
        <v>0</v>
      </c>
      <c r="M198" s="913">
        <f t="shared" ca="1" si="49"/>
        <v>0</v>
      </c>
      <c r="N198" s="996">
        <f t="shared" ca="1" si="50"/>
        <v>0</v>
      </c>
      <c r="O198" s="997">
        <f t="shared" ca="1" si="51"/>
        <v>0</v>
      </c>
      <c r="P198" s="1015" t="str">
        <f ca="1">IF($C198="","",INDEX(NVLSX!$N$2:$N$6941,MATCH($C198,NVLSX!$E$2:$E$6941,0)))</f>
        <v/>
      </c>
      <c r="Q198" s="1016" t="str">
        <f ca="1">IF($R198="","",IF(XKNVLSX!$X$1="",IF($P198=$V$7,$P198, IF(COUNTIFS($C$2:$C197,$C198,$E$2:$E197,$E198)&gt;=1,"",$P198)),     IF(AND(IFERROR(SEARCH($R198,XKNVLSX!$X$1,1),0)&gt;=1,$P198=$V$7),$P198, IF(OR($R198&lt;&gt;IF(IFERROR(SEARCH($R198,XKNVLSX!$X$1,1),0)&gt;=1,$R198,XKNVLSX!$X$1),COUNTIFS($C$2:$C197,$C198,$E$2:$E197,$E198,$Q$2:$Q197,$P198)&gt;=1),"",$P198))))</f>
        <v/>
      </c>
      <c r="R198" s="1017" t="str">
        <f ca="1">IF($A198="","",IFERROR(INDEX(TinhGia!$BF$10:$BF$81,MATCH($A198,TinhGia!$B$10:$B$81,0)),""))</f>
        <v/>
      </c>
      <c r="S198" s="1012" t="str">
        <f ca="1">IF($A198="","",IF(OR(IFERROR(SEARCH($R198,XKNVLSX!$X$1,1),0)&gt;=1,XKNVLSX!$X$1=""),$S$2,""))</f>
        <v/>
      </c>
      <c r="T198" s="1018" t="str">
        <f ca="1">IF($C198="","", IF(OR($P198=$V$1,$P198=$V$7,COUNTIFS($C$3:$C198,$C198,$E$3:$E198,$E198)&lt;=1),$P198,""    ))</f>
        <v/>
      </c>
      <c r="U198" s="1019" t="str">
        <f ca="1">IF(AND($P198=$V$2,COUNTIFS($C$3:$C198,$C198,$E$3:$E198,$E198,$G$3:$G198,$G198)&lt;=1),$P198,"")</f>
        <v/>
      </c>
    </row>
    <row r="199" spans="1:21">
      <c r="A199" s="991" t="str">
        <f ca="1">IFERROR(IF(COUNTIF($A$3:A198,A198)&lt; INDEX(TinhGia!$BH$10:$BH$81,MATCH($A198,TinhGia!$B$10:$B$81,0)),$A198,INDEX(TinhGia!$B$10:$B$81,MATCH($A198,TinhGia!$B$10:$B$81,0)+1)),"")</f>
        <v/>
      </c>
      <c r="B199" s="525" t="str">
        <f ca="1">IF(OR(A199="",A199=0),"",IF(COUNTIF($A$2:A199,$A199)=1,ROW(MauKoXoa!$C$108),$B198+1))</f>
        <v/>
      </c>
      <c r="C199" s="992" t="str">
        <f t="shared" ca="1" si="40"/>
        <v/>
      </c>
      <c r="D199" s="993" t="str">
        <f t="shared" ca="1" si="41"/>
        <v/>
      </c>
      <c r="E199" s="993" t="str">
        <f t="shared" ca="1" si="42"/>
        <v/>
      </c>
      <c r="F199" s="992" t="str">
        <f t="shared" ca="1" si="39"/>
        <v/>
      </c>
      <c r="G199" s="994">
        <f t="shared" ca="1" si="43"/>
        <v>0</v>
      </c>
      <c r="H199" s="913">
        <f t="shared" ca="1" si="44"/>
        <v>0</v>
      </c>
      <c r="I199" s="913">
        <f t="shared" ca="1" si="45"/>
        <v>0</v>
      </c>
      <c r="J199" s="995">
        <f t="shared" ca="1" si="46"/>
        <v>0</v>
      </c>
      <c r="K199" s="913">
        <f t="shared" ca="1" si="47"/>
        <v>0</v>
      </c>
      <c r="L199" s="995">
        <f t="shared" ca="1" si="48"/>
        <v>0</v>
      </c>
      <c r="M199" s="913">
        <f t="shared" ca="1" si="49"/>
        <v>0</v>
      </c>
      <c r="N199" s="996">
        <f t="shared" ca="1" si="50"/>
        <v>0</v>
      </c>
      <c r="O199" s="997">
        <f t="shared" ca="1" si="51"/>
        <v>0</v>
      </c>
      <c r="P199" s="1015" t="str">
        <f ca="1">IF($C199="","",INDEX(NVLSX!$N$2:$N$6941,MATCH($C199,NVLSX!$E$2:$E$6941,0)))</f>
        <v/>
      </c>
      <c r="Q199" s="1016" t="str">
        <f ca="1">IF($R199="","",IF(XKNVLSX!$X$1="",IF($P199=$V$7,$P199, IF(COUNTIFS($C$2:$C198,$C199,$E$2:$E198,$E199)&gt;=1,"",$P199)),     IF(AND(IFERROR(SEARCH($R199,XKNVLSX!$X$1,1),0)&gt;=1,$P199=$V$7),$P199, IF(OR($R199&lt;&gt;IF(IFERROR(SEARCH($R199,XKNVLSX!$X$1,1),0)&gt;=1,$R199,XKNVLSX!$X$1),COUNTIFS($C$2:$C198,$C199,$E$2:$E198,$E199,$Q$2:$Q198,$P199)&gt;=1),"",$P199))))</f>
        <v/>
      </c>
      <c r="R199" s="1017" t="str">
        <f ca="1">IF($A199="","",IFERROR(INDEX(TinhGia!$BF$10:$BF$81,MATCH($A199,TinhGia!$B$10:$B$81,0)),""))</f>
        <v/>
      </c>
      <c r="S199" s="1012" t="str">
        <f ca="1">IF($A199="","",IF(OR(IFERROR(SEARCH($R199,XKNVLSX!$X$1,1),0)&gt;=1,XKNVLSX!$X$1=""),$S$2,""))</f>
        <v/>
      </c>
      <c r="T199" s="1018" t="str">
        <f ca="1">IF($C199="","", IF(OR($P199=$V$1,$P199=$V$7,COUNTIFS($C$3:$C199,$C199,$E$3:$E199,$E199)&lt;=1),$P199,""    ))</f>
        <v/>
      </c>
      <c r="U199" s="1019" t="str">
        <f ca="1">IF(AND($P199=$V$2,COUNTIFS($C$3:$C199,$C199,$E$3:$E199,$E199,$G$3:$G199,$G199)&lt;=1),$P199,"")</f>
        <v/>
      </c>
    </row>
    <row r="200" spans="1:21">
      <c r="A200" s="991" t="str">
        <f ca="1">IFERROR(IF(COUNTIF($A$3:A199,A199)&lt; INDEX(TinhGia!$BH$10:$BH$81,MATCH($A199,TinhGia!$B$10:$B$81,0)),$A199,INDEX(TinhGia!$B$10:$B$81,MATCH($A199,TinhGia!$B$10:$B$81,0)+1)),"")</f>
        <v/>
      </c>
      <c r="B200" s="525" t="str">
        <f ca="1">IF(OR(A200="",A200=0),"",IF(COUNTIF($A$2:A200,$A200)=1,ROW(MauKoXoa!$C$108),$B199+1))</f>
        <v/>
      </c>
      <c r="C200" s="992" t="str">
        <f t="shared" ca="1" si="40"/>
        <v/>
      </c>
      <c r="D200" s="993" t="str">
        <f t="shared" ca="1" si="41"/>
        <v/>
      </c>
      <c r="E200" s="993" t="str">
        <f t="shared" ca="1" si="42"/>
        <v/>
      </c>
      <c r="F200" s="992" t="str">
        <f t="shared" ca="1" si="39"/>
        <v/>
      </c>
      <c r="G200" s="994">
        <f t="shared" ca="1" si="43"/>
        <v>0</v>
      </c>
      <c r="H200" s="913">
        <f t="shared" ca="1" si="44"/>
        <v>0</v>
      </c>
      <c r="I200" s="913">
        <f t="shared" ca="1" si="45"/>
        <v>0</v>
      </c>
      <c r="J200" s="995">
        <f t="shared" ca="1" si="46"/>
        <v>0</v>
      </c>
      <c r="K200" s="913">
        <f t="shared" ca="1" si="47"/>
        <v>0</v>
      </c>
      <c r="L200" s="995">
        <f t="shared" ca="1" si="48"/>
        <v>0</v>
      </c>
      <c r="M200" s="913">
        <f t="shared" ca="1" si="49"/>
        <v>0</v>
      </c>
      <c r="N200" s="996">
        <f t="shared" ca="1" si="50"/>
        <v>0</v>
      </c>
      <c r="O200" s="997">
        <f t="shared" ca="1" si="51"/>
        <v>0</v>
      </c>
      <c r="P200" s="1015" t="str">
        <f ca="1">IF($C200="","",INDEX(NVLSX!$N$2:$N$6941,MATCH($C200,NVLSX!$E$2:$E$6941,0)))</f>
        <v/>
      </c>
      <c r="Q200" s="1016" t="str">
        <f ca="1">IF($R200="","",IF(XKNVLSX!$X$1="",IF($P200=$V$7,$P200, IF(COUNTIFS($C$2:$C199,$C200,$E$2:$E199,$E200)&gt;=1,"",$P200)),     IF(AND(IFERROR(SEARCH($R200,XKNVLSX!$X$1,1),0)&gt;=1,$P200=$V$7),$P200, IF(OR($R200&lt;&gt;IF(IFERROR(SEARCH($R200,XKNVLSX!$X$1,1),0)&gt;=1,$R200,XKNVLSX!$X$1),COUNTIFS($C$2:$C199,$C200,$E$2:$E199,$E200,$Q$2:$Q199,$P200)&gt;=1),"",$P200))))</f>
        <v/>
      </c>
      <c r="R200" s="1017" t="str">
        <f ca="1">IF($A200="","",IFERROR(INDEX(TinhGia!$BF$10:$BF$81,MATCH($A200,TinhGia!$B$10:$B$81,0)),""))</f>
        <v/>
      </c>
      <c r="S200" s="1012" t="str">
        <f ca="1">IF($A200="","",IF(OR(IFERROR(SEARCH($R200,XKNVLSX!$X$1,1),0)&gt;=1,XKNVLSX!$X$1=""),$S$2,""))</f>
        <v/>
      </c>
      <c r="T200" s="1018" t="str">
        <f ca="1">IF($C200="","", IF(OR($P200=$V$1,$P200=$V$7,COUNTIFS($C$3:$C200,$C200,$E$3:$E200,$E200)&lt;=1),$P200,""    ))</f>
        <v/>
      </c>
      <c r="U200" s="1019" t="str">
        <f ca="1">IF(AND($P200=$V$2,COUNTIFS($C$3:$C200,$C200,$E$3:$E200,$E200,$G$3:$G200,$G200)&lt;=1),$P200,"")</f>
        <v/>
      </c>
    </row>
    <row r="201" spans="1:21">
      <c r="A201" s="991" t="str">
        <f ca="1">IFERROR(IF(COUNTIF($A$3:A200,A200)&lt; INDEX(TinhGia!$BH$10:$BH$81,MATCH($A200,TinhGia!$B$10:$B$81,0)),$A200,INDEX(TinhGia!$B$10:$B$81,MATCH($A200,TinhGia!$B$10:$B$81,0)+1)),"")</f>
        <v/>
      </c>
      <c r="B201" s="525" t="str">
        <f ca="1">IF(OR(A201="",A201=0),"",IF(COUNTIF($A$2:A201,$A201)=1,ROW(MauKoXoa!$C$108),$B200+1))</f>
        <v/>
      </c>
      <c r="C201" s="992" t="str">
        <f t="shared" ca="1" si="40"/>
        <v/>
      </c>
      <c r="D201" s="993" t="str">
        <f t="shared" ca="1" si="41"/>
        <v/>
      </c>
      <c r="E201" s="993" t="str">
        <f t="shared" ca="1" si="42"/>
        <v/>
      </c>
      <c r="F201" s="992" t="str">
        <f t="shared" ca="1" si="39"/>
        <v/>
      </c>
      <c r="G201" s="994">
        <f t="shared" ca="1" si="43"/>
        <v>0</v>
      </c>
      <c r="H201" s="913">
        <f t="shared" ca="1" si="44"/>
        <v>0</v>
      </c>
      <c r="I201" s="913">
        <f t="shared" ca="1" si="45"/>
        <v>0</v>
      </c>
      <c r="J201" s="995">
        <f t="shared" ca="1" si="46"/>
        <v>0</v>
      </c>
      <c r="K201" s="913">
        <f t="shared" ca="1" si="47"/>
        <v>0</v>
      </c>
      <c r="L201" s="995">
        <f t="shared" ca="1" si="48"/>
        <v>0</v>
      </c>
      <c r="M201" s="913">
        <f t="shared" ca="1" si="49"/>
        <v>0</v>
      </c>
      <c r="N201" s="996">
        <f t="shared" ca="1" si="50"/>
        <v>0</v>
      </c>
      <c r="O201" s="997">
        <f t="shared" ca="1" si="51"/>
        <v>0</v>
      </c>
      <c r="P201" s="1015" t="str">
        <f ca="1">IF($C201="","",INDEX(NVLSX!$N$2:$N$6941,MATCH($C201,NVLSX!$E$2:$E$6941,0)))</f>
        <v/>
      </c>
      <c r="Q201" s="1016" t="str">
        <f ca="1">IF($R201="","",IF(XKNVLSX!$X$1="",IF($P201=$V$7,$P201, IF(COUNTIFS($C$2:$C200,$C201,$E$2:$E200,$E201)&gt;=1,"",$P201)),     IF(AND(IFERROR(SEARCH($R201,XKNVLSX!$X$1,1),0)&gt;=1,$P201=$V$7),$P201, IF(OR($R201&lt;&gt;IF(IFERROR(SEARCH($R201,XKNVLSX!$X$1,1),0)&gt;=1,$R201,XKNVLSX!$X$1),COUNTIFS($C$2:$C200,$C201,$E$2:$E200,$E201,$Q$2:$Q200,$P201)&gt;=1),"",$P201))))</f>
        <v/>
      </c>
      <c r="R201" s="1017" t="str">
        <f ca="1">IF($A201="","",IFERROR(INDEX(TinhGia!$BF$10:$BF$81,MATCH($A201,TinhGia!$B$10:$B$81,0)),""))</f>
        <v/>
      </c>
      <c r="S201" s="1012" t="str">
        <f ca="1">IF($A201="","",IF(OR(IFERROR(SEARCH($R201,XKNVLSX!$X$1,1),0)&gt;=1,XKNVLSX!$X$1=""),$S$2,""))</f>
        <v/>
      </c>
      <c r="T201" s="1018" t="str">
        <f ca="1">IF($C201="","", IF(OR($P201=$V$1,$P201=$V$7,COUNTIFS($C$3:$C201,$C201,$E$3:$E201,$E201)&lt;=1),$P201,""    ))</f>
        <v/>
      </c>
      <c r="U201" s="1019" t="str">
        <f ca="1">IF(AND($P201=$V$2,COUNTIFS($C$3:$C201,$C201,$E$3:$E201,$E201,$G$3:$G201,$G201)&lt;=1),$P201,"")</f>
        <v/>
      </c>
    </row>
    <row r="202" spans="1:21">
      <c r="A202" s="991" t="str">
        <f ca="1">IFERROR(IF(COUNTIF($A$3:A201,A201)&lt; INDEX(TinhGia!$BH$10:$BH$81,MATCH($A201,TinhGia!$B$10:$B$81,0)),$A201,INDEX(TinhGia!$B$10:$B$81,MATCH($A201,TinhGia!$B$10:$B$81,0)+1)),"")</f>
        <v/>
      </c>
      <c r="B202" s="525" t="str">
        <f ca="1">IF(OR(A202="",A202=0),"",IF(COUNTIF($A$2:A202,$A202)=1,ROW(MauKoXoa!$C$108),$B201+1))</f>
        <v/>
      </c>
      <c r="C202" s="992" t="str">
        <f t="shared" ca="1" si="40"/>
        <v/>
      </c>
      <c r="D202" s="993" t="str">
        <f t="shared" ca="1" si="41"/>
        <v/>
      </c>
      <c r="E202" s="993" t="str">
        <f t="shared" ca="1" si="42"/>
        <v/>
      </c>
      <c r="F202" s="992" t="str">
        <f t="shared" ca="1" si="39"/>
        <v/>
      </c>
      <c r="G202" s="994">
        <f t="shared" ca="1" si="43"/>
        <v>0</v>
      </c>
      <c r="H202" s="913">
        <f t="shared" ca="1" si="44"/>
        <v>0</v>
      </c>
      <c r="I202" s="913">
        <f t="shared" ca="1" si="45"/>
        <v>0</v>
      </c>
      <c r="J202" s="995">
        <f t="shared" ca="1" si="46"/>
        <v>0</v>
      </c>
      <c r="K202" s="913">
        <f t="shared" ca="1" si="47"/>
        <v>0</v>
      </c>
      <c r="L202" s="995">
        <f t="shared" ca="1" si="48"/>
        <v>0</v>
      </c>
      <c r="M202" s="913">
        <f t="shared" ca="1" si="49"/>
        <v>0</v>
      </c>
      <c r="N202" s="996">
        <f t="shared" ca="1" si="50"/>
        <v>0</v>
      </c>
      <c r="O202" s="997">
        <f t="shared" ca="1" si="51"/>
        <v>0</v>
      </c>
      <c r="P202" s="1015" t="str">
        <f ca="1">IF($C202="","",INDEX(NVLSX!$N$2:$N$6941,MATCH($C202,NVLSX!$E$2:$E$6941,0)))</f>
        <v/>
      </c>
      <c r="Q202" s="1016" t="str">
        <f ca="1">IF($R202="","",IF(XKNVLSX!$X$1="",IF($P202=$V$7,$P202, IF(COUNTIFS($C$2:$C201,$C202,$E$2:$E201,$E202)&gt;=1,"",$P202)),     IF(AND(IFERROR(SEARCH($R202,XKNVLSX!$X$1,1),0)&gt;=1,$P202=$V$7),$P202, IF(OR($R202&lt;&gt;IF(IFERROR(SEARCH($R202,XKNVLSX!$X$1,1),0)&gt;=1,$R202,XKNVLSX!$X$1),COUNTIFS($C$2:$C201,$C202,$E$2:$E201,$E202,$Q$2:$Q201,$P202)&gt;=1),"",$P202))))</f>
        <v/>
      </c>
      <c r="R202" s="1017" t="str">
        <f ca="1">IF($A202="","",IFERROR(INDEX(TinhGia!$BF$10:$BF$81,MATCH($A202,TinhGia!$B$10:$B$81,0)),""))</f>
        <v/>
      </c>
      <c r="S202" s="1012" t="str">
        <f ca="1">IF($A202="","",IF(OR(IFERROR(SEARCH($R202,XKNVLSX!$X$1,1),0)&gt;=1,XKNVLSX!$X$1=""),$S$2,""))</f>
        <v/>
      </c>
      <c r="T202" s="1018" t="str">
        <f ca="1">IF($C202="","", IF(OR($P202=$V$1,$P202=$V$7,COUNTIFS($C$3:$C202,$C202,$E$3:$E202,$E202)&lt;=1),$P202,""    ))</f>
        <v/>
      </c>
      <c r="U202" s="1019" t="str">
        <f ca="1">IF(AND($P202=$V$2,COUNTIFS($C$3:$C202,$C202,$E$3:$E202,$E202,$G$3:$G202,$G202)&lt;=1),$P202,"")</f>
        <v/>
      </c>
    </row>
    <row r="203" spans="1:21">
      <c r="A203" s="991" t="str">
        <f ca="1">IFERROR(IF(COUNTIF($A$3:A202,A202)&lt; INDEX(TinhGia!$BH$10:$BH$81,MATCH($A202,TinhGia!$B$10:$B$81,0)),$A202,INDEX(TinhGia!$B$10:$B$81,MATCH($A202,TinhGia!$B$10:$B$81,0)+1)),"")</f>
        <v/>
      </c>
      <c r="B203" s="525" t="str">
        <f ca="1">IF(OR(A203="",A203=0),"",IF(COUNTIF($A$2:A203,$A203)=1,ROW(MauKoXoa!$C$108),$B202+1))</f>
        <v/>
      </c>
      <c r="C203" s="992" t="str">
        <f t="shared" ca="1" si="40"/>
        <v/>
      </c>
      <c r="D203" s="993" t="str">
        <f t="shared" ca="1" si="41"/>
        <v/>
      </c>
      <c r="E203" s="993" t="str">
        <f t="shared" ca="1" si="42"/>
        <v/>
      </c>
      <c r="F203" s="992" t="str">
        <f t="shared" ca="1" si="39"/>
        <v/>
      </c>
      <c r="G203" s="994">
        <f t="shared" ca="1" si="43"/>
        <v>0</v>
      </c>
      <c r="H203" s="913">
        <f t="shared" ca="1" si="44"/>
        <v>0</v>
      </c>
      <c r="I203" s="913">
        <f t="shared" ca="1" si="45"/>
        <v>0</v>
      </c>
      <c r="J203" s="995">
        <f t="shared" ca="1" si="46"/>
        <v>0</v>
      </c>
      <c r="K203" s="913">
        <f t="shared" ca="1" si="47"/>
        <v>0</v>
      </c>
      <c r="L203" s="995">
        <f t="shared" ca="1" si="48"/>
        <v>0</v>
      </c>
      <c r="M203" s="913">
        <f t="shared" ca="1" si="49"/>
        <v>0</v>
      </c>
      <c r="N203" s="996">
        <f t="shared" ca="1" si="50"/>
        <v>0</v>
      </c>
      <c r="O203" s="997">
        <f t="shared" ca="1" si="51"/>
        <v>0</v>
      </c>
      <c r="P203" s="1015" t="str">
        <f ca="1">IF($C203="","",INDEX(NVLSX!$N$2:$N$6941,MATCH($C203,NVLSX!$E$2:$E$6941,0)))</f>
        <v/>
      </c>
      <c r="Q203" s="1016" t="str">
        <f ca="1">IF($R203="","",IF(XKNVLSX!$X$1="",IF($P203=$V$7,$P203, IF(COUNTIFS($C$2:$C202,$C203,$E$2:$E202,$E203)&gt;=1,"",$P203)),     IF(AND(IFERROR(SEARCH($R203,XKNVLSX!$X$1,1),0)&gt;=1,$P203=$V$7),$P203, IF(OR($R203&lt;&gt;IF(IFERROR(SEARCH($R203,XKNVLSX!$X$1,1),0)&gt;=1,$R203,XKNVLSX!$X$1),COUNTIFS($C$2:$C202,$C203,$E$2:$E202,$E203,$Q$2:$Q202,$P203)&gt;=1),"",$P203))))</f>
        <v/>
      </c>
      <c r="R203" s="1017" t="str">
        <f ca="1">IF($A203="","",IFERROR(INDEX(TinhGia!$BF$10:$BF$81,MATCH($A203,TinhGia!$B$10:$B$81,0)),""))</f>
        <v/>
      </c>
      <c r="S203" s="1012" t="str">
        <f ca="1">IF($A203="","",IF(OR(IFERROR(SEARCH($R203,XKNVLSX!$X$1,1),0)&gt;=1,XKNVLSX!$X$1=""),$S$2,""))</f>
        <v/>
      </c>
      <c r="T203" s="1018" t="str">
        <f ca="1">IF($C203="","", IF(OR($P203=$V$1,$P203=$V$7,COUNTIFS($C$3:$C203,$C203,$E$3:$E203,$E203)&lt;=1),$P203,""    ))</f>
        <v/>
      </c>
      <c r="U203" s="1019" t="str">
        <f ca="1">IF(AND($P203=$V$2,COUNTIFS($C$3:$C203,$C203,$E$3:$E203,$E203,$G$3:$G203,$G203)&lt;=1),$P203,"")</f>
        <v/>
      </c>
    </row>
    <row r="204" spans="1:21">
      <c r="A204" s="991" t="str">
        <f ca="1">IFERROR(IF(COUNTIF($A$3:A203,A203)&lt; INDEX(TinhGia!$BH$10:$BH$81,MATCH($A203,TinhGia!$B$10:$B$81,0)),$A203,INDEX(TinhGia!$B$10:$B$81,MATCH($A203,TinhGia!$B$10:$B$81,0)+1)),"")</f>
        <v/>
      </c>
      <c r="B204" s="525" t="str">
        <f ca="1">IF(OR(A204="",A204=0),"",IF(COUNTIF($A$2:A204,$A204)=1,ROW(MauKoXoa!$C$108),$B203+1))</f>
        <v/>
      </c>
      <c r="C204" s="992" t="str">
        <f t="shared" ca="1" si="40"/>
        <v/>
      </c>
      <c r="D204" s="993" t="str">
        <f t="shared" ca="1" si="41"/>
        <v/>
      </c>
      <c r="E204" s="993" t="str">
        <f t="shared" ca="1" si="42"/>
        <v/>
      </c>
      <c r="F204" s="992" t="str">
        <f t="shared" ca="1" si="39"/>
        <v/>
      </c>
      <c r="G204" s="994">
        <f t="shared" ca="1" si="43"/>
        <v>0</v>
      </c>
      <c r="H204" s="913">
        <f t="shared" ca="1" si="44"/>
        <v>0</v>
      </c>
      <c r="I204" s="913">
        <f t="shared" ca="1" si="45"/>
        <v>0</v>
      </c>
      <c r="J204" s="995">
        <f t="shared" ca="1" si="46"/>
        <v>0</v>
      </c>
      <c r="K204" s="913">
        <f t="shared" ca="1" si="47"/>
        <v>0</v>
      </c>
      <c r="L204" s="995">
        <f t="shared" ca="1" si="48"/>
        <v>0</v>
      </c>
      <c r="M204" s="913">
        <f t="shared" ca="1" si="49"/>
        <v>0</v>
      </c>
      <c r="N204" s="996">
        <f t="shared" ca="1" si="50"/>
        <v>0</v>
      </c>
      <c r="O204" s="997">
        <f t="shared" ca="1" si="51"/>
        <v>0</v>
      </c>
      <c r="P204" s="1015" t="str">
        <f ca="1">IF($C204="","",INDEX(NVLSX!$N$2:$N$6941,MATCH($C204,NVLSX!$E$2:$E$6941,0)))</f>
        <v/>
      </c>
      <c r="Q204" s="1016" t="str">
        <f ca="1">IF($R204="","",IF(XKNVLSX!$X$1="",IF($P204=$V$7,$P204, IF(COUNTIFS($C$2:$C203,$C204,$E$2:$E203,$E204)&gt;=1,"",$P204)),     IF(AND(IFERROR(SEARCH($R204,XKNVLSX!$X$1,1),0)&gt;=1,$P204=$V$7),$P204, IF(OR($R204&lt;&gt;IF(IFERROR(SEARCH($R204,XKNVLSX!$X$1,1),0)&gt;=1,$R204,XKNVLSX!$X$1),COUNTIFS($C$2:$C203,$C204,$E$2:$E203,$E204,$Q$2:$Q203,$P204)&gt;=1),"",$P204))))</f>
        <v/>
      </c>
      <c r="R204" s="1017" t="str">
        <f ca="1">IF($A204="","",IFERROR(INDEX(TinhGia!$BF$10:$BF$81,MATCH($A204,TinhGia!$B$10:$B$81,0)),""))</f>
        <v/>
      </c>
      <c r="S204" s="1012" t="str">
        <f ca="1">IF($A204="","",IF(OR(IFERROR(SEARCH($R204,XKNVLSX!$X$1,1),0)&gt;=1,XKNVLSX!$X$1=""),$S$2,""))</f>
        <v/>
      </c>
      <c r="T204" s="1018" t="str">
        <f ca="1">IF($C204="","", IF(OR($P204=$V$1,$P204=$V$7,COUNTIFS($C$3:$C204,$C204,$E$3:$E204,$E204)&lt;=1),$P204,""    ))</f>
        <v/>
      </c>
      <c r="U204" s="1019" t="str">
        <f ca="1">IF(AND($P204=$V$2,COUNTIFS($C$3:$C204,$C204,$E$3:$E204,$E204,$G$3:$G204,$G204)&lt;=1),$P204,"")</f>
        <v/>
      </c>
    </row>
    <row r="205" spans="1:21">
      <c r="A205" s="991" t="str">
        <f ca="1">IFERROR(IF(COUNTIF($A$3:A204,A204)&lt; INDEX(TinhGia!$BH$10:$BH$81,MATCH($A204,TinhGia!$B$10:$B$81,0)),$A204,INDEX(TinhGia!$B$10:$B$81,MATCH($A204,TinhGia!$B$10:$B$81,0)+1)),"")</f>
        <v/>
      </c>
      <c r="B205" s="525" t="str">
        <f ca="1">IF(OR(A205="",A205=0),"",IF(COUNTIF($A$2:A205,$A205)=1,ROW(MauKoXoa!$C$108),$B204+1))</f>
        <v/>
      </c>
      <c r="C205" s="992" t="str">
        <f t="shared" ca="1" si="40"/>
        <v/>
      </c>
      <c r="D205" s="993" t="str">
        <f t="shared" ca="1" si="41"/>
        <v/>
      </c>
      <c r="E205" s="993" t="str">
        <f t="shared" ca="1" si="42"/>
        <v/>
      </c>
      <c r="F205" s="992" t="str">
        <f t="shared" ca="1" si="39"/>
        <v/>
      </c>
      <c r="G205" s="994">
        <f t="shared" ca="1" si="43"/>
        <v>0</v>
      </c>
      <c r="H205" s="913">
        <f t="shared" ca="1" si="44"/>
        <v>0</v>
      </c>
      <c r="I205" s="913">
        <f t="shared" ca="1" si="45"/>
        <v>0</v>
      </c>
      <c r="J205" s="995">
        <f t="shared" ca="1" si="46"/>
        <v>0</v>
      </c>
      <c r="K205" s="913">
        <f t="shared" ca="1" si="47"/>
        <v>0</v>
      </c>
      <c r="L205" s="995">
        <f t="shared" ca="1" si="48"/>
        <v>0</v>
      </c>
      <c r="M205" s="913">
        <f t="shared" ca="1" si="49"/>
        <v>0</v>
      </c>
      <c r="N205" s="996">
        <f t="shared" ca="1" si="50"/>
        <v>0</v>
      </c>
      <c r="O205" s="997">
        <f t="shared" ca="1" si="51"/>
        <v>0</v>
      </c>
      <c r="P205" s="1015" t="str">
        <f ca="1">IF($C205="","",INDEX(NVLSX!$N$2:$N$6941,MATCH($C205,NVLSX!$E$2:$E$6941,0)))</f>
        <v/>
      </c>
      <c r="Q205" s="1016" t="str">
        <f ca="1">IF($R205="","",IF(XKNVLSX!$X$1="",IF($P205=$V$7,$P205, IF(COUNTIFS($C$2:$C204,$C205,$E$2:$E204,$E205)&gt;=1,"",$P205)),     IF(AND(IFERROR(SEARCH($R205,XKNVLSX!$X$1,1),0)&gt;=1,$P205=$V$7),$P205, IF(OR($R205&lt;&gt;IF(IFERROR(SEARCH($R205,XKNVLSX!$X$1,1),0)&gt;=1,$R205,XKNVLSX!$X$1),COUNTIFS($C$2:$C204,$C205,$E$2:$E204,$E205,$Q$2:$Q204,$P205)&gt;=1),"",$P205))))</f>
        <v/>
      </c>
      <c r="R205" s="1017" t="str">
        <f ca="1">IF($A205="","",IFERROR(INDEX(TinhGia!$BF$10:$BF$81,MATCH($A205,TinhGia!$B$10:$B$81,0)),""))</f>
        <v/>
      </c>
      <c r="S205" s="1012" t="str">
        <f ca="1">IF($A205="","",IF(OR(IFERROR(SEARCH($R205,XKNVLSX!$X$1,1),0)&gt;=1,XKNVLSX!$X$1=""),$S$2,""))</f>
        <v/>
      </c>
      <c r="T205" s="1018" t="str">
        <f ca="1">IF($C205="","", IF(OR($P205=$V$1,$P205=$V$7,COUNTIFS($C$3:$C205,$C205,$E$3:$E205,$E205)&lt;=1),$P205,""    ))</f>
        <v/>
      </c>
      <c r="U205" s="1019" t="str">
        <f ca="1">IF(AND($P205=$V$2,COUNTIFS($C$3:$C205,$C205,$E$3:$E205,$E205,$G$3:$G205,$G205)&lt;=1),$P205,"")</f>
        <v/>
      </c>
    </row>
    <row r="206" spans="1:21">
      <c r="A206" s="991" t="str">
        <f ca="1">IFERROR(IF(COUNTIF($A$3:A205,A205)&lt; INDEX(TinhGia!$BH$10:$BH$81,MATCH($A205,TinhGia!$B$10:$B$81,0)),$A205,INDEX(TinhGia!$B$10:$B$81,MATCH($A205,TinhGia!$B$10:$B$81,0)+1)),"")</f>
        <v/>
      </c>
      <c r="B206" s="525" t="str">
        <f ca="1">IF(OR(A206="",A206=0),"",IF(COUNTIF($A$2:A206,$A206)=1,ROW(MauKoXoa!$C$108),$B205+1))</f>
        <v/>
      </c>
      <c r="C206" s="992" t="str">
        <f t="shared" ca="1" si="40"/>
        <v/>
      </c>
      <c r="D206" s="993" t="str">
        <f t="shared" ca="1" si="41"/>
        <v/>
      </c>
      <c r="E206" s="993" t="str">
        <f t="shared" ca="1" si="42"/>
        <v/>
      </c>
      <c r="F206" s="992" t="str">
        <f t="shared" ca="1" si="39"/>
        <v/>
      </c>
      <c r="G206" s="994">
        <f t="shared" ca="1" si="43"/>
        <v>0</v>
      </c>
      <c r="H206" s="913">
        <f t="shared" ca="1" si="44"/>
        <v>0</v>
      </c>
      <c r="I206" s="913">
        <f t="shared" ca="1" si="45"/>
        <v>0</v>
      </c>
      <c r="J206" s="995">
        <f t="shared" ca="1" si="46"/>
        <v>0</v>
      </c>
      <c r="K206" s="913">
        <f t="shared" ca="1" si="47"/>
        <v>0</v>
      </c>
      <c r="L206" s="995">
        <f t="shared" ca="1" si="48"/>
        <v>0</v>
      </c>
      <c r="M206" s="913">
        <f t="shared" ca="1" si="49"/>
        <v>0</v>
      </c>
      <c r="N206" s="996">
        <f t="shared" ca="1" si="50"/>
        <v>0</v>
      </c>
      <c r="O206" s="997">
        <f t="shared" ca="1" si="51"/>
        <v>0</v>
      </c>
      <c r="P206" s="1015" t="str">
        <f ca="1">IF($C206="","",INDEX(NVLSX!$N$2:$N$6941,MATCH($C206,NVLSX!$E$2:$E$6941,0)))</f>
        <v/>
      </c>
      <c r="Q206" s="1016" t="str">
        <f ca="1">IF($R206="","",IF(XKNVLSX!$X$1="",IF($P206=$V$7,$P206, IF(COUNTIFS($C$2:$C205,$C206,$E$2:$E205,$E206)&gt;=1,"",$P206)),     IF(AND(IFERROR(SEARCH($R206,XKNVLSX!$X$1,1),0)&gt;=1,$P206=$V$7),$P206, IF(OR($R206&lt;&gt;IF(IFERROR(SEARCH($R206,XKNVLSX!$X$1,1),0)&gt;=1,$R206,XKNVLSX!$X$1),COUNTIFS($C$2:$C205,$C206,$E$2:$E205,$E206,$Q$2:$Q205,$P206)&gt;=1),"",$P206))))</f>
        <v/>
      </c>
      <c r="R206" s="1017" t="str">
        <f ca="1">IF($A206="","",IFERROR(INDEX(TinhGia!$BF$10:$BF$81,MATCH($A206,TinhGia!$B$10:$B$81,0)),""))</f>
        <v/>
      </c>
      <c r="S206" s="1012" t="str">
        <f ca="1">IF($A206="","",IF(OR(IFERROR(SEARCH($R206,XKNVLSX!$X$1,1),0)&gt;=1,XKNVLSX!$X$1=""),$S$2,""))</f>
        <v/>
      </c>
      <c r="T206" s="1018" t="str">
        <f ca="1">IF($C206="","", IF(OR($P206=$V$1,$P206=$V$7,COUNTIFS($C$3:$C206,$C206,$E$3:$E206,$E206)&lt;=1),$P206,""    ))</f>
        <v/>
      </c>
      <c r="U206" s="1019" t="str">
        <f ca="1">IF(AND($P206=$V$2,COUNTIFS($C$3:$C206,$C206,$E$3:$E206,$E206,$G$3:$G206,$G206)&lt;=1),$P206,"")</f>
        <v/>
      </c>
    </row>
    <row r="207" spans="1:21">
      <c r="A207" s="991" t="str">
        <f ca="1">IFERROR(IF(COUNTIF($A$3:A206,A206)&lt; INDEX(TinhGia!$BH$10:$BH$81,MATCH($A206,TinhGia!$B$10:$B$81,0)),$A206,INDEX(TinhGia!$B$10:$B$81,MATCH($A206,TinhGia!$B$10:$B$81,0)+1)),"")</f>
        <v/>
      </c>
      <c r="B207" s="525" t="str">
        <f ca="1">IF(OR(A207="",A207=0),"",IF(COUNTIF($A$2:A207,$A207)=1,ROW(MauKoXoa!$C$108),$B206+1))</f>
        <v/>
      </c>
      <c r="C207" s="992" t="str">
        <f t="shared" ca="1" si="40"/>
        <v/>
      </c>
      <c r="D207" s="993" t="str">
        <f t="shared" ca="1" si="41"/>
        <v/>
      </c>
      <c r="E207" s="993" t="str">
        <f t="shared" ca="1" si="42"/>
        <v/>
      </c>
      <c r="F207" s="992" t="str">
        <f t="shared" ca="1" si="39"/>
        <v/>
      </c>
      <c r="G207" s="994">
        <f t="shared" ca="1" si="43"/>
        <v>0</v>
      </c>
      <c r="H207" s="913">
        <f t="shared" ca="1" si="44"/>
        <v>0</v>
      </c>
      <c r="I207" s="913">
        <f t="shared" ca="1" si="45"/>
        <v>0</v>
      </c>
      <c r="J207" s="995">
        <f t="shared" ca="1" si="46"/>
        <v>0</v>
      </c>
      <c r="K207" s="913">
        <f t="shared" ca="1" si="47"/>
        <v>0</v>
      </c>
      <c r="L207" s="995">
        <f t="shared" ca="1" si="48"/>
        <v>0</v>
      </c>
      <c r="M207" s="913">
        <f t="shared" ca="1" si="49"/>
        <v>0</v>
      </c>
      <c r="N207" s="996">
        <f t="shared" ca="1" si="50"/>
        <v>0</v>
      </c>
      <c r="O207" s="997">
        <f t="shared" ca="1" si="51"/>
        <v>0</v>
      </c>
      <c r="P207" s="1015" t="str">
        <f ca="1">IF($C207="","",INDEX(NVLSX!$N$2:$N$6941,MATCH($C207,NVLSX!$E$2:$E$6941,0)))</f>
        <v/>
      </c>
      <c r="Q207" s="1016" t="str">
        <f ca="1">IF($R207="","",IF(XKNVLSX!$X$1="",IF($P207=$V$7,$P207, IF(COUNTIFS($C$2:$C206,$C207,$E$2:$E206,$E207)&gt;=1,"",$P207)),     IF(AND(IFERROR(SEARCH($R207,XKNVLSX!$X$1,1),0)&gt;=1,$P207=$V$7),$P207, IF(OR($R207&lt;&gt;IF(IFERROR(SEARCH($R207,XKNVLSX!$X$1,1),0)&gt;=1,$R207,XKNVLSX!$X$1),COUNTIFS($C$2:$C206,$C207,$E$2:$E206,$E207,$Q$2:$Q206,$P207)&gt;=1),"",$P207))))</f>
        <v/>
      </c>
      <c r="R207" s="1017" t="str">
        <f ca="1">IF($A207="","",IFERROR(INDEX(TinhGia!$BF$10:$BF$81,MATCH($A207,TinhGia!$B$10:$B$81,0)),""))</f>
        <v/>
      </c>
      <c r="S207" s="1012" t="str">
        <f ca="1">IF($A207="","",IF(OR(IFERROR(SEARCH($R207,XKNVLSX!$X$1,1),0)&gt;=1,XKNVLSX!$X$1=""),$S$2,""))</f>
        <v/>
      </c>
      <c r="T207" s="1018" t="str">
        <f ca="1">IF($C207="","", IF(OR($P207=$V$1,$P207=$V$7,COUNTIFS($C$3:$C207,$C207,$E$3:$E207,$E207)&lt;=1),$P207,""    ))</f>
        <v/>
      </c>
      <c r="U207" s="1019" t="str">
        <f ca="1">IF(AND($P207=$V$2,COUNTIFS($C$3:$C207,$C207,$E$3:$E207,$E207,$G$3:$G207,$G207)&lt;=1),$P207,"")</f>
        <v/>
      </c>
    </row>
    <row r="208" spans="1:21">
      <c r="A208" s="991" t="str">
        <f ca="1">IFERROR(IF(COUNTIF($A$3:A207,A207)&lt; INDEX(TinhGia!$BH$10:$BH$81,MATCH($A207,TinhGia!$B$10:$B$81,0)),$A207,INDEX(TinhGia!$B$10:$B$81,MATCH($A207,TinhGia!$B$10:$B$81,0)+1)),"")</f>
        <v/>
      </c>
      <c r="B208" s="525" t="str">
        <f ca="1">IF(OR(A208="",A208=0),"",IF(COUNTIF($A$2:A208,$A208)=1,ROW(MauKoXoa!$C$108),$B207+1))</f>
        <v/>
      </c>
      <c r="C208" s="992" t="str">
        <f t="shared" ca="1" si="40"/>
        <v/>
      </c>
      <c r="D208" s="993" t="str">
        <f t="shared" ca="1" si="41"/>
        <v/>
      </c>
      <c r="E208" s="993" t="str">
        <f t="shared" ca="1" si="42"/>
        <v/>
      </c>
      <c r="F208" s="992" t="str">
        <f t="shared" ca="1" si="39"/>
        <v/>
      </c>
      <c r="G208" s="994">
        <f t="shared" ca="1" si="43"/>
        <v>0</v>
      </c>
      <c r="H208" s="913">
        <f t="shared" ca="1" si="44"/>
        <v>0</v>
      </c>
      <c r="I208" s="913">
        <f t="shared" ca="1" si="45"/>
        <v>0</v>
      </c>
      <c r="J208" s="995">
        <f t="shared" ca="1" si="46"/>
        <v>0</v>
      </c>
      <c r="K208" s="913">
        <f t="shared" ca="1" si="47"/>
        <v>0</v>
      </c>
      <c r="L208" s="995">
        <f t="shared" ca="1" si="48"/>
        <v>0</v>
      </c>
      <c r="M208" s="913">
        <f t="shared" ca="1" si="49"/>
        <v>0</v>
      </c>
      <c r="N208" s="996">
        <f t="shared" ca="1" si="50"/>
        <v>0</v>
      </c>
      <c r="O208" s="997">
        <f t="shared" ca="1" si="51"/>
        <v>0</v>
      </c>
      <c r="P208" s="1015" t="str">
        <f ca="1">IF($C208="","",INDEX(NVLSX!$N$2:$N$6941,MATCH($C208,NVLSX!$E$2:$E$6941,0)))</f>
        <v/>
      </c>
      <c r="Q208" s="1016" t="str">
        <f ca="1">IF($R208="","",IF(XKNVLSX!$X$1="",IF($P208=$V$7,$P208, IF(COUNTIFS($C$2:$C207,$C208,$E$2:$E207,$E208)&gt;=1,"",$P208)),     IF(AND(IFERROR(SEARCH($R208,XKNVLSX!$X$1,1),0)&gt;=1,$P208=$V$7),$P208, IF(OR($R208&lt;&gt;IF(IFERROR(SEARCH($R208,XKNVLSX!$X$1,1),0)&gt;=1,$R208,XKNVLSX!$X$1),COUNTIFS($C$2:$C207,$C208,$E$2:$E207,$E208,$Q$2:$Q207,$P208)&gt;=1),"",$P208))))</f>
        <v/>
      </c>
      <c r="R208" s="1017" t="str">
        <f ca="1">IF($A208="","",IFERROR(INDEX(TinhGia!$BF$10:$BF$81,MATCH($A208,TinhGia!$B$10:$B$81,0)),""))</f>
        <v/>
      </c>
      <c r="S208" s="1012" t="str">
        <f ca="1">IF($A208="","",IF(OR(IFERROR(SEARCH($R208,XKNVLSX!$X$1,1),0)&gt;=1,XKNVLSX!$X$1=""),$S$2,""))</f>
        <v/>
      </c>
      <c r="T208" s="1018" t="str">
        <f ca="1">IF($C208="","", IF(OR($P208=$V$1,$P208=$V$7,COUNTIFS($C$3:$C208,$C208,$E$3:$E208,$E208)&lt;=1),$P208,""    ))</f>
        <v/>
      </c>
      <c r="U208" s="1019" t="str">
        <f ca="1">IF(AND($P208=$V$2,COUNTIFS($C$3:$C208,$C208,$E$3:$E208,$E208,$G$3:$G208,$G208)&lt;=1),$P208,"")</f>
        <v/>
      </c>
    </row>
    <row r="209" spans="1:21">
      <c r="A209" s="991" t="str">
        <f ca="1">IFERROR(IF(COUNTIF($A$3:A208,A208)&lt; INDEX(TinhGia!$BH$10:$BH$81,MATCH($A208,TinhGia!$B$10:$B$81,0)),$A208,INDEX(TinhGia!$B$10:$B$81,MATCH($A208,TinhGia!$B$10:$B$81,0)+1)),"")</f>
        <v/>
      </c>
      <c r="B209" s="525" t="str">
        <f ca="1">IF(OR(A209="",A209=0),"",IF(COUNTIF($A$2:A209,$A209)=1,ROW(MauKoXoa!$C$108),$B208+1))</f>
        <v/>
      </c>
      <c r="C209" s="992" t="str">
        <f t="shared" ca="1" si="40"/>
        <v/>
      </c>
      <c r="D209" s="993" t="str">
        <f t="shared" ca="1" si="41"/>
        <v/>
      </c>
      <c r="E209" s="993" t="str">
        <f t="shared" ca="1" si="42"/>
        <v/>
      </c>
      <c r="F209" s="992" t="str">
        <f t="shared" ca="1" si="39"/>
        <v/>
      </c>
      <c r="G209" s="994">
        <f t="shared" ca="1" si="43"/>
        <v>0</v>
      </c>
      <c r="H209" s="913">
        <f t="shared" ca="1" si="44"/>
        <v>0</v>
      </c>
      <c r="I209" s="913">
        <f t="shared" ca="1" si="45"/>
        <v>0</v>
      </c>
      <c r="J209" s="995">
        <f t="shared" ca="1" si="46"/>
        <v>0</v>
      </c>
      <c r="K209" s="913">
        <f t="shared" ca="1" si="47"/>
        <v>0</v>
      </c>
      <c r="L209" s="995">
        <f t="shared" ca="1" si="48"/>
        <v>0</v>
      </c>
      <c r="M209" s="913">
        <f t="shared" ca="1" si="49"/>
        <v>0</v>
      </c>
      <c r="N209" s="996">
        <f t="shared" ca="1" si="50"/>
        <v>0</v>
      </c>
      <c r="O209" s="997">
        <f t="shared" ca="1" si="51"/>
        <v>0</v>
      </c>
      <c r="P209" s="1015" t="str">
        <f ca="1">IF($C209="","",INDEX(NVLSX!$N$2:$N$6941,MATCH($C209,NVLSX!$E$2:$E$6941,0)))</f>
        <v/>
      </c>
      <c r="Q209" s="1016" t="str">
        <f ca="1">IF($R209="","",IF(XKNVLSX!$X$1="",IF($P209=$V$7,$P209, IF(COUNTIFS($C$2:$C208,$C209,$E$2:$E208,$E209)&gt;=1,"",$P209)),     IF(AND(IFERROR(SEARCH($R209,XKNVLSX!$X$1,1),0)&gt;=1,$P209=$V$7),$P209, IF(OR($R209&lt;&gt;IF(IFERROR(SEARCH($R209,XKNVLSX!$X$1,1),0)&gt;=1,$R209,XKNVLSX!$X$1),COUNTIFS($C$2:$C208,$C209,$E$2:$E208,$E209,$Q$2:$Q208,$P209)&gt;=1),"",$P209))))</f>
        <v/>
      </c>
      <c r="R209" s="1017" t="str">
        <f ca="1">IF($A209="","",IFERROR(INDEX(TinhGia!$BF$10:$BF$81,MATCH($A209,TinhGia!$B$10:$B$81,0)),""))</f>
        <v/>
      </c>
      <c r="S209" s="1012" t="str">
        <f ca="1">IF($A209="","",IF(OR(IFERROR(SEARCH($R209,XKNVLSX!$X$1,1),0)&gt;=1,XKNVLSX!$X$1=""),$S$2,""))</f>
        <v/>
      </c>
      <c r="T209" s="1018" t="str">
        <f ca="1">IF($C209="","", IF(OR($P209=$V$1,$P209=$V$7,COUNTIFS($C$3:$C209,$C209,$E$3:$E209,$E209)&lt;=1),$P209,""    ))</f>
        <v/>
      </c>
      <c r="U209" s="1019" t="str">
        <f ca="1">IF(AND($P209=$V$2,COUNTIFS($C$3:$C209,$C209,$E$3:$E209,$E209,$G$3:$G209,$G209)&lt;=1),$P209,"")</f>
        <v/>
      </c>
    </row>
    <row r="210" spans="1:21">
      <c r="A210" s="991" t="str">
        <f ca="1">IFERROR(IF(COUNTIF($A$3:A209,A209)&lt; INDEX(TinhGia!$BH$10:$BH$81,MATCH($A209,TinhGia!$B$10:$B$81,0)),$A209,INDEX(TinhGia!$B$10:$B$81,MATCH($A209,TinhGia!$B$10:$B$81,0)+1)),"")</f>
        <v/>
      </c>
      <c r="B210" s="525" t="str">
        <f ca="1">IF(OR(A210="",A210=0),"",IF(COUNTIF($A$2:A210,$A210)=1,ROW(MauKoXoa!$C$108),$B209+1))</f>
        <v/>
      </c>
      <c r="C210" s="992" t="str">
        <f t="shared" ca="1" si="40"/>
        <v/>
      </c>
      <c r="D210" s="993" t="str">
        <f t="shared" ca="1" si="41"/>
        <v/>
      </c>
      <c r="E210" s="993" t="str">
        <f t="shared" ca="1" si="42"/>
        <v/>
      </c>
      <c r="F210" s="992" t="str">
        <f t="shared" ca="1" si="39"/>
        <v/>
      </c>
      <c r="G210" s="994">
        <f t="shared" ca="1" si="43"/>
        <v>0</v>
      </c>
      <c r="H210" s="913">
        <f t="shared" ca="1" si="44"/>
        <v>0</v>
      </c>
      <c r="I210" s="913">
        <f t="shared" ca="1" si="45"/>
        <v>0</v>
      </c>
      <c r="J210" s="995">
        <f t="shared" ca="1" si="46"/>
        <v>0</v>
      </c>
      <c r="K210" s="913">
        <f t="shared" ca="1" si="47"/>
        <v>0</v>
      </c>
      <c r="L210" s="995">
        <f t="shared" ca="1" si="48"/>
        <v>0</v>
      </c>
      <c r="M210" s="913">
        <f t="shared" ca="1" si="49"/>
        <v>0</v>
      </c>
      <c r="N210" s="996">
        <f t="shared" ca="1" si="50"/>
        <v>0</v>
      </c>
      <c r="O210" s="997">
        <f t="shared" ca="1" si="51"/>
        <v>0</v>
      </c>
      <c r="P210" s="1015" t="str">
        <f ca="1">IF($C210="","",INDEX(NVLSX!$N$2:$N$6941,MATCH($C210,NVLSX!$E$2:$E$6941,0)))</f>
        <v/>
      </c>
      <c r="Q210" s="1016" t="str">
        <f ca="1">IF($R210="","",IF(XKNVLSX!$X$1="",IF($P210=$V$7,$P210, IF(COUNTIFS($C$2:$C209,$C210,$E$2:$E209,$E210)&gt;=1,"",$P210)),     IF(AND(IFERROR(SEARCH($R210,XKNVLSX!$X$1,1),0)&gt;=1,$P210=$V$7),$P210, IF(OR($R210&lt;&gt;IF(IFERROR(SEARCH($R210,XKNVLSX!$X$1,1),0)&gt;=1,$R210,XKNVLSX!$X$1),COUNTIFS($C$2:$C209,$C210,$E$2:$E209,$E210,$Q$2:$Q209,$P210)&gt;=1),"",$P210))))</f>
        <v/>
      </c>
      <c r="R210" s="1017" t="str">
        <f ca="1">IF($A210="","",IFERROR(INDEX(TinhGia!$BF$10:$BF$81,MATCH($A210,TinhGia!$B$10:$B$81,0)),""))</f>
        <v/>
      </c>
      <c r="S210" s="1012" t="str">
        <f ca="1">IF($A210="","",IF(OR(IFERROR(SEARCH($R210,XKNVLSX!$X$1,1),0)&gt;=1,XKNVLSX!$X$1=""),$S$2,""))</f>
        <v/>
      </c>
      <c r="T210" s="1018" t="str">
        <f ca="1">IF($C210="","", IF(OR($P210=$V$1,$P210=$V$7,COUNTIFS($C$3:$C210,$C210,$E$3:$E210,$E210)&lt;=1),$P210,""    ))</f>
        <v/>
      </c>
      <c r="U210" s="1019" t="str">
        <f ca="1">IF(AND($P210=$V$2,COUNTIFS($C$3:$C210,$C210,$E$3:$E210,$E210,$G$3:$G210,$G210)&lt;=1),$P210,"")</f>
        <v/>
      </c>
    </row>
    <row r="211" spans="1:21">
      <c r="A211" s="991" t="str">
        <f ca="1">IFERROR(IF(COUNTIF($A$3:A210,A210)&lt; INDEX(TinhGia!$BH$10:$BH$81,MATCH($A210,TinhGia!$B$10:$B$81,0)),$A210,INDEX(TinhGia!$B$10:$B$81,MATCH($A210,TinhGia!$B$10:$B$81,0)+1)),"")</f>
        <v/>
      </c>
      <c r="B211" s="525" t="str">
        <f ca="1">IF(OR(A211="",A211=0),"",IF(COUNTIF($A$2:A211,$A211)=1,ROW(MauKoXoa!$C$108),$B210+1))</f>
        <v/>
      </c>
      <c r="C211" s="992" t="str">
        <f t="shared" ca="1" si="40"/>
        <v/>
      </c>
      <c r="D211" s="993" t="str">
        <f t="shared" ca="1" si="41"/>
        <v/>
      </c>
      <c r="E211" s="993" t="str">
        <f t="shared" ca="1" si="42"/>
        <v/>
      </c>
      <c r="F211" s="992" t="str">
        <f t="shared" ca="1" si="39"/>
        <v/>
      </c>
      <c r="G211" s="994">
        <f t="shared" ca="1" si="43"/>
        <v>0</v>
      </c>
      <c r="H211" s="913">
        <f t="shared" ca="1" si="44"/>
        <v>0</v>
      </c>
      <c r="I211" s="913">
        <f t="shared" ca="1" si="45"/>
        <v>0</v>
      </c>
      <c r="J211" s="995">
        <f t="shared" ca="1" si="46"/>
        <v>0</v>
      </c>
      <c r="K211" s="913">
        <f t="shared" ca="1" si="47"/>
        <v>0</v>
      </c>
      <c r="L211" s="995">
        <f t="shared" ca="1" si="48"/>
        <v>0</v>
      </c>
      <c r="M211" s="913">
        <f t="shared" ca="1" si="49"/>
        <v>0</v>
      </c>
      <c r="N211" s="996">
        <f t="shared" ca="1" si="50"/>
        <v>0</v>
      </c>
      <c r="O211" s="997">
        <f t="shared" ca="1" si="51"/>
        <v>0</v>
      </c>
      <c r="P211" s="1015" t="str">
        <f ca="1">IF($C211="","",INDEX(NVLSX!$N$2:$N$6941,MATCH($C211,NVLSX!$E$2:$E$6941,0)))</f>
        <v/>
      </c>
      <c r="Q211" s="1016" t="str">
        <f ca="1">IF($R211="","",IF(XKNVLSX!$X$1="",IF($P211=$V$7,$P211, IF(COUNTIFS($C$2:$C210,$C211,$E$2:$E210,$E211)&gt;=1,"",$P211)),     IF(AND(IFERROR(SEARCH($R211,XKNVLSX!$X$1,1),0)&gt;=1,$P211=$V$7),$P211, IF(OR($R211&lt;&gt;IF(IFERROR(SEARCH($R211,XKNVLSX!$X$1,1),0)&gt;=1,$R211,XKNVLSX!$X$1),COUNTIFS($C$2:$C210,$C211,$E$2:$E210,$E211,$Q$2:$Q210,$P211)&gt;=1),"",$P211))))</f>
        <v/>
      </c>
      <c r="R211" s="1017" t="str">
        <f ca="1">IF($A211="","",IFERROR(INDEX(TinhGia!$BF$10:$BF$81,MATCH($A211,TinhGia!$B$10:$B$81,0)),""))</f>
        <v/>
      </c>
      <c r="S211" s="1012" t="str">
        <f ca="1">IF($A211="","",IF(OR(IFERROR(SEARCH($R211,XKNVLSX!$X$1,1),0)&gt;=1,XKNVLSX!$X$1=""),$S$2,""))</f>
        <v/>
      </c>
      <c r="T211" s="1018" t="str">
        <f ca="1">IF($C211="","", IF(OR($P211=$V$1,$P211=$V$7,COUNTIFS($C$3:$C211,$C211,$E$3:$E211,$E211)&lt;=1),$P211,""    ))</f>
        <v/>
      </c>
      <c r="U211" s="1019" t="str">
        <f ca="1">IF(AND($P211=$V$2,COUNTIFS($C$3:$C211,$C211,$E$3:$E211,$E211,$G$3:$G211,$G211)&lt;=1),$P211,"")</f>
        <v/>
      </c>
    </row>
    <row r="212" spans="1:21">
      <c r="A212" s="991" t="str">
        <f ca="1">IFERROR(IF(COUNTIF($A$3:A211,A211)&lt; INDEX(TinhGia!$BH$10:$BH$81,MATCH($A211,TinhGia!$B$10:$B$81,0)),$A211,INDEX(TinhGia!$B$10:$B$81,MATCH($A211,TinhGia!$B$10:$B$81,0)+1)),"")</f>
        <v/>
      </c>
      <c r="B212" s="525" t="str">
        <f ca="1">IF(OR(A212="",A212=0),"",IF(COUNTIF($A$2:A212,$A212)=1,ROW(MauKoXoa!$C$108),$B211+1))</f>
        <v/>
      </c>
      <c r="C212" s="992" t="str">
        <f t="shared" ca="1" si="40"/>
        <v/>
      </c>
      <c r="D212" s="993" t="str">
        <f t="shared" ca="1" si="41"/>
        <v/>
      </c>
      <c r="E212" s="993" t="str">
        <f t="shared" ca="1" si="42"/>
        <v/>
      </c>
      <c r="F212" s="992" t="str">
        <f t="shared" ca="1" si="39"/>
        <v/>
      </c>
      <c r="G212" s="994">
        <f t="shared" ca="1" si="43"/>
        <v>0</v>
      </c>
      <c r="H212" s="913">
        <f t="shared" ca="1" si="44"/>
        <v>0</v>
      </c>
      <c r="I212" s="913">
        <f t="shared" ca="1" si="45"/>
        <v>0</v>
      </c>
      <c r="J212" s="995">
        <f t="shared" ca="1" si="46"/>
        <v>0</v>
      </c>
      <c r="K212" s="913">
        <f t="shared" ca="1" si="47"/>
        <v>0</v>
      </c>
      <c r="L212" s="995">
        <f t="shared" ca="1" si="48"/>
        <v>0</v>
      </c>
      <c r="M212" s="913">
        <f t="shared" ca="1" si="49"/>
        <v>0</v>
      </c>
      <c r="N212" s="996">
        <f t="shared" ca="1" si="50"/>
        <v>0</v>
      </c>
      <c r="O212" s="997">
        <f t="shared" ca="1" si="51"/>
        <v>0</v>
      </c>
      <c r="P212" s="1015" t="str">
        <f ca="1">IF($C212="","",INDEX(NVLSX!$N$2:$N$6941,MATCH($C212,NVLSX!$E$2:$E$6941,0)))</f>
        <v/>
      </c>
      <c r="Q212" s="1016" t="str">
        <f ca="1">IF($R212="","",IF(XKNVLSX!$X$1="",IF($P212=$V$7,$P212, IF(COUNTIFS($C$2:$C211,$C212,$E$2:$E211,$E212)&gt;=1,"",$P212)),     IF(AND(IFERROR(SEARCH($R212,XKNVLSX!$X$1,1),0)&gt;=1,$P212=$V$7),$P212, IF(OR($R212&lt;&gt;IF(IFERROR(SEARCH($R212,XKNVLSX!$X$1,1),0)&gt;=1,$R212,XKNVLSX!$X$1),COUNTIFS($C$2:$C211,$C212,$E$2:$E211,$E212,$Q$2:$Q211,$P212)&gt;=1),"",$P212))))</f>
        <v/>
      </c>
      <c r="R212" s="1017" t="str">
        <f ca="1">IF($A212="","",IFERROR(INDEX(TinhGia!$BF$10:$BF$81,MATCH($A212,TinhGia!$B$10:$B$81,0)),""))</f>
        <v/>
      </c>
      <c r="S212" s="1012" t="str">
        <f ca="1">IF($A212="","",IF(OR(IFERROR(SEARCH($R212,XKNVLSX!$X$1,1),0)&gt;=1,XKNVLSX!$X$1=""),$S$2,""))</f>
        <v/>
      </c>
      <c r="T212" s="1018" t="str">
        <f ca="1">IF($C212="","", IF(OR($P212=$V$1,$P212=$V$7,COUNTIFS($C$3:$C212,$C212,$E$3:$E212,$E212)&lt;=1),$P212,""    ))</f>
        <v/>
      </c>
      <c r="U212" s="1019" t="str">
        <f ca="1">IF(AND($P212=$V$2,COUNTIFS($C$3:$C212,$C212,$E$3:$E212,$E212,$G$3:$G212,$G212)&lt;=1),$P212,"")</f>
        <v/>
      </c>
    </row>
    <row r="213" spans="1:21">
      <c r="A213" s="991" t="str">
        <f ca="1">IFERROR(IF(COUNTIF($A$3:A212,A212)&lt; INDEX(TinhGia!$BH$10:$BH$81,MATCH($A212,TinhGia!$B$10:$B$81,0)),$A212,INDEX(TinhGia!$B$10:$B$81,MATCH($A212,TinhGia!$B$10:$B$81,0)+1)),"")</f>
        <v/>
      </c>
      <c r="B213" s="525" t="str">
        <f ca="1">IF(OR(A213="",A213=0),"",IF(COUNTIF($A$2:A213,$A213)=1,ROW(MauKoXoa!$C$108),$B212+1))</f>
        <v/>
      </c>
      <c r="C213" s="992" t="str">
        <f t="shared" ca="1" si="40"/>
        <v/>
      </c>
      <c r="D213" s="993" t="str">
        <f t="shared" ca="1" si="41"/>
        <v/>
      </c>
      <c r="E213" s="993" t="str">
        <f t="shared" ca="1" si="42"/>
        <v/>
      </c>
      <c r="F213" s="992" t="str">
        <f t="shared" ca="1" si="39"/>
        <v/>
      </c>
      <c r="G213" s="994">
        <f t="shared" ca="1" si="43"/>
        <v>0</v>
      </c>
      <c r="H213" s="913">
        <f t="shared" ca="1" si="44"/>
        <v>0</v>
      </c>
      <c r="I213" s="913">
        <f t="shared" ca="1" si="45"/>
        <v>0</v>
      </c>
      <c r="J213" s="995">
        <f t="shared" ca="1" si="46"/>
        <v>0</v>
      </c>
      <c r="K213" s="913">
        <f t="shared" ca="1" si="47"/>
        <v>0</v>
      </c>
      <c r="L213" s="995">
        <f t="shared" ca="1" si="48"/>
        <v>0</v>
      </c>
      <c r="M213" s="913">
        <f t="shared" ca="1" si="49"/>
        <v>0</v>
      </c>
      <c r="N213" s="996">
        <f t="shared" ca="1" si="50"/>
        <v>0</v>
      </c>
      <c r="O213" s="997">
        <f t="shared" ca="1" si="51"/>
        <v>0</v>
      </c>
      <c r="P213" s="1015" t="str">
        <f ca="1">IF($C213="","",INDEX(NVLSX!$N$2:$N$6941,MATCH($C213,NVLSX!$E$2:$E$6941,0)))</f>
        <v/>
      </c>
      <c r="Q213" s="1016" t="str">
        <f ca="1">IF($R213="","",IF(XKNVLSX!$X$1="",IF($P213=$V$7,$P213, IF(COUNTIFS($C$2:$C212,$C213,$E$2:$E212,$E213)&gt;=1,"",$P213)),     IF(AND(IFERROR(SEARCH($R213,XKNVLSX!$X$1,1),0)&gt;=1,$P213=$V$7),$P213, IF(OR($R213&lt;&gt;IF(IFERROR(SEARCH($R213,XKNVLSX!$X$1,1),0)&gt;=1,$R213,XKNVLSX!$X$1),COUNTIFS($C$2:$C212,$C213,$E$2:$E212,$E213,$Q$2:$Q212,$P213)&gt;=1),"",$P213))))</f>
        <v/>
      </c>
      <c r="R213" s="1017" t="str">
        <f ca="1">IF($A213="","",IFERROR(INDEX(TinhGia!$BF$10:$BF$81,MATCH($A213,TinhGia!$B$10:$B$81,0)),""))</f>
        <v/>
      </c>
      <c r="S213" s="1012" t="str">
        <f ca="1">IF($A213="","",IF(OR(IFERROR(SEARCH($R213,XKNVLSX!$X$1,1),0)&gt;=1,XKNVLSX!$X$1=""),$S$2,""))</f>
        <v/>
      </c>
      <c r="T213" s="1018" t="str">
        <f ca="1">IF($C213="","", IF(OR($P213=$V$1,$P213=$V$7,COUNTIFS($C$3:$C213,$C213,$E$3:$E213,$E213)&lt;=1),$P213,""    ))</f>
        <v/>
      </c>
      <c r="U213" s="1019" t="str">
        <f ca="1">IF(AND($P213=$V$2,COUNTIFS($C$3:$C213,$C213,$E$3:$E213,$E213,$G$3:$G213,$G213)&lt;=1),$P213,"")</f>
        <v/>
      </c>
    </row>
    <row r="214" spans="1:21">
      <c r="A214" s="991" t="str">
        <f ca="1">IFERROR(IF(COUNTIF($A$3:A213,A213)&lt; INDEX(TinhGia!$BH$10:$BH$81,MATCH($A213,TinhGia!$B$10:$B$81,0)),$A213,INDEX(TinhGia!$B$10:$B$81,MATCH($A213,TinhGia!$B$10:$B$81,0)+1)),"")</f>
        <v/>
      </c>
      <c r="B214" s="525" t="str">
        <f ca="1">IF(OR(A214="",A214=0),"",IF(COUNTIF($A$2:A214,$A214)=1,ROW(MauKoXoa!$C$108),$B213+1))</f>
        <v/>
      </c>
      <c r="C214" s="992" t="str">
        <f t="shared" ca="1" si="40"/>
        <v/>
      </c>
      <c r="D214" s="993" t="str">
        <f t="shared" ca="1" si="41"/>
        <v/>
      </c>
      <c r="E214" s="993" t="str">
        <f t="shared" ca="1" si="42"/>
        <v/>
      </c>
      <c r="F214" s="992" t="str">
        <f t="shared" ca="1" si="39"/>
        <v/>
      </c>
      <c r="G214" s="994">
        <f t="shared" ca="1" si="43"/>
        <v>0</v>
      </c>
      <c r="H214" s="913">
        <f t="shared" ca="1" si="44"/>
        <v>0</v>
      </c>
      <c r="I214" s="913">
        <f t="shared" ca="1" si="45"/>
        <v>0</v>
      </c>
      <c r="J214" s="995">
        <f t="shared" ca="1" si="46"/>
        <v>0</v>
      </c>
      <c r="K214" s="913">
        <f t="shared" ca="1" si="47"/>
        <v>0</v>
      </c>
      <c r="L214" s="995">
        <f t="shared" ca="1" si="48"/>
        <v>0</v>
      </c>
      <c r="M214" s="913">
        <f t="shared" ca="1" si="49"/>
        <v>0</v>
      </c>
      <c r="N214" s="996">
        <f t="shared" ca="1" si="50"/>
        <v>0</v>
      </c>
      <c r="O214" s="997">
        <f t="shared" ca="1" si="51"/>
        <v>0</v>
      </c>
      <c r="P214" s="1015" t="str">
        <f ca="1">IF($C214="","",INDEX(NVLSX!$N$2:$N$6941,MATCH($C214,NVLSX!$E$2:$E$6941,0)))</f>
        <v/>
      </c>
      <c r="Q214" s="1016" t="str">
        <f ca="1">IF($R214="","",IF(XKNVLSX!$X$1="",IF($P214=$V$7,$P214, IF(COUNTIFS($C$2:$C213,$C214,$E$2:$E213,$E214)&gt;=1,"",$P214)),     IF(AND(IFERROR(SEARCH($R214,XKNVLSX!$X$1,1),0)&gt;=1,$P214=$V$7),$P214, IF(OR($R214&lt;&gt;IF(IFERROR(SEARCH($R214,XKNVLSX!$X$1,1),0)&gt;=1,$R214,XKNVLSX!$X$1),COUNTIFS($C$2:$C213,$C214,$E$2:$E213,$E214,$Q$2:$Q213,$P214)&gt;=1),"",$P214))))</f>
        <v/>
      </c>
      <c r="R214" s="1017" t="str">
        <f ca="1">IF($A214="","",IFERROR(INDEX(TinhGia!$BF$10:$BF$81,MATCH($A214,TinhGia!$B$10:$B$81,0)),""))</f>
        <v/>
      </c>
      <c r="S214" s="1012" t="str">
        <f ca="1">IF($A214="","",IF(OR(IFERROR(SEARCH($R214,XKNVLSX!$X$1,1),0)&gt;=1,XKNVLSX!$X$1=""),$S$2,""))</f>
        <v/>
      </c>
      <c r="T214" s="1018" t="str">
        <f ca="1">IF($C214="","", IF(OR($P214=$V$1,$P214=$V$7,COUNTIFS($C$3:$C214,$C214,$E$3:$E214,$E214)&lt;=1),$P214,""    ))</f>
        <v/>
      </c>
      <c r="U214" s="1019" t="str">
        <f ca="1">IF(AND($P214=$V$2,COUNTIFS($C$3:$C214,$C214,$E$3:$E214,$E214,$G$3:$G214,$G214)&lt;=1),$P214,"")</f>
        <v/>
      </c>
    </row>
    <row r="215" spans="1:21">
      <c r="A215" s="991" t="str">
        <f ca="1">IFERROR(IF(COUNTIF($A$3:A214,A214)&lt; INDEX(TinhGia!$BH$10:$BH$81,MATCH($A214,TinhGia!$B$10:$B$81,0)),$A214,INDEX(TinhGia!$B$10:$B$81,MATCH($A214,TinhGia!$B$10:$B$81,0)+1)),"")</f>
        <v/>
      </c>
      <c r="B215" s="525" t="str">
        <f ca="1">IF(OR(A215="",A215=0),"",IF(COUNTIF($A$2:A215,$A215)=1,ROW(MauKoXoa!$C$108),$B214+1))</f>
        <v/>
      </c>
      <c r="C215" s="992" t="str">
        <f t="shared" ca="1" si="40"/>
        <v/>
      </c>
      <c r="D215" s="993" t="str">
        <f t="shared" ca="1" si="41"/>
        <v/>
      </c>
      <c r="E215" s="993" t="str">
        <f t="shared" ca="1" si="42"/>
        <v/>
      </c>
      <c r="F215" s="992" t="str">
        <f t="shared" ca="1" si="39"/>
        <v/>
      </c>
      <c r="G215" s="994">
        <f t="shared" ca="1" si="43"/>
        <v>0</v>
      </c>
      <c r="H215" s="913">
        <f t="shared" ca="1" si="44"/>
        <v>0</v>
      </c>
      <c r="I215" s="913">
        <f t="shared" ca="1" si="45"/>
        <v>0</v>
      </c>
      <c r="J215" s="995">
        <f t="shared" ca="1" si="46"/>
        <v>0</v>
      </c>
      <c r="K215" s="913">
        <f t="shared" ca="1" si="47"/>
        <v>0</v>
      </c>
      <c r="L215" s="995">
        <f t="shared" ca="1" si="48"/>
        <v>0</v>
      </c>
      <c r="M215" s="913">
        <f t="shared" ca="1" si="49"/>
        <v>0</v>
      </c>
      <c r="N215" s="996">
        <f t="shared" ca="1" si="50"/>
        <v>0</v>
      </c>
      <c r="O215" s="997">
        <f t="shared" ca="1" si="51"/>
        <v>0</v>
      </c>
      <c r="P215" s="1015" t="str">
        <f ca="1">IF($C215="","",INDEX(NVLSX!$N$2:$N$6941,MATCH($C215,NVLSX!$E$2:$E$6941,0)))</f>
        <v/>
      </c>
      <c r="Q215" s="1016" t="str">
        <f ca="1">IF($R215="","",IF(XKNVLSX!$X$1="",IF($P215=$V$7,$P215, IF(COUNTIFS($C$2:$C214,$C215,$E$2:$E214,$E215)&gt;=1,"",$P215)),     IF(AND(IFERROR(SEARCH($R215,XKNVLSX!$X$1,1),0)&gt;=1,$P215=$V$7),$P215, IF(OR($R215&lt;&gt;IF(IFERROR(SEARCH($R215,XKNVLSX!$X$1,1),0)&gt;=1,$R215,XKNVLSX!$X$1),COUNTIFS($C$2:$C214,$C215,$E$2:$E214,$E215,$Q$2:$Q214,$P215)&gt;=1),"",$P215))))</f>
        <v/>
      </c>
      <c r="R215" s="1017" t="str">
        <f ca="1">IF($A215="","",IFERROR(INDEX(TinhGia!$BF$10:$BF$81,MATCH($A215,TinhGia!$B$10:$B$81,0)),""))</f>
        <v/>
      </c>
      <c r="S215" s="1012" t="str">
        <f ca="1">IF($A215="","",IF(OR(IFERROR(SEARCH($R215,XKNVLSX!$X$1,1),0)&gt;=1,XKNVLSX!$X$1=""),$S$2,""))</f>
        <v/>
      </c>
      <c r="T215" s="1018" t="str">
        <f ca="1">IF($C215="","", IF(OR($P215=$V$1,$P215=$V$7,COUNTIFS($C$3:$C215,$C215,$E$3:$E215,$E215)&lt;=1),$P215,""    ))</f>
        <v/>
      </c>
      <c r="U215" s="1019" t="str">
        <f ca="1">IF(AND($P215=$V$2,COUNTIFS($C$3:$C215,$C215,$E$3:$E215,$E215,$G$3:$G215,$G215)&lt;=1),$P215,"")</f>
        <v/>
      </c>
    </row>
    <row r="216" spans="1:21">
      <c r="A216" s="991" t="str">
        <f ca="1">IFERROR(IF(COUNTIF($A$3:A215,A215)&lt; INDEX(TinhGia!$BH$10:$BH$81,MATCH($A215,TinhGia!$B$10:$B$81,0)),$A215,INDEX(TinhGia!$B$10:$B$81,MATCH($A215,TinhGia!$B$10:$B$81,0)+1)),"")</f>
        <v/>
      </c>
      <c r="B216" s="525" t="str">
        <f ca="1">IF(OR(A216="",A216=0),"",IF(COUNTIF($A$2:A216,$A216)=1,ROW(MauKoXoa!$C$108),$B215+1))</f>
        <v/>
      </c>
      <c r="C216" s="992" t="str">
        <f t="shared" ca="1" si="40"/>
        <v/>
      </c>
      <c r="D216" s="993" t="str">
        <f t="shared" ca="1" si="41"/>
        <v/>
      </c>
      <c r="E216" s="993" t="str">
        <f t="shared" ca="1" si="42"/>
        <v/>
      </c>
      <c r="F216" s="992" t="str">
        <f t="shared" ca="1" si="39"/>
        <v/>
      </c>
      <c r="G216" s="994">
        <f t="shared" ca="1" si="43"/>
        <v>0</v>
      </c>
      <c r="H216" s="913">
        <f t="shared" ca="1" si="44"/>
        <v>0</v>
      </c>
      <c r="I216" s="913">
        <f t="shared" ca="1" si="45"/>
        <v>0</v>
      </c>
      <c r="J216" s="995">
        <f t="shared" ca="1" si="46"/>
        <v>0</v>
      </c>
      <c r="K216" s="913">
        <f t="shared" ca="1" si="47"/>
        <v>0</v>
      </c>
      <c r="L216" s="995">
        <f t="shared" ca="1" si="48"/>
        <v>0</v>
      </c>
      <c r="M216" s="913">
        <f t="shared" ca="1" si="49"/>
        <v>0</v>
      </c>
      <c r="N216" s="996">
        <f t="shared" ca="1" si="50"/>
        <v>0</v>
      </c>
      <c r="O216" s="997">
        <f t="shared" ca="1" si="51"/>
        <v>0</v>
      </c>
      <c r="P216" s="1015" t="str">
        <f ca="1">IF($C216="","",INDEX(NVLSX!$N$2:$N$6941,MATCH($C216,NVLSX!$E$2:$E$6941,0)))</f>
        <v/>
      </c>
      <c r="Q216" s="1016" t="str">
        <f ca="1">IF($R216="","",IF(XKNVLSX!$X$1="",IF($P216=$V$7,$P216, IF(COUNTIFS($C$2:$C215,$C216,$E$2:$E215,$E216)&gt;=1,"",$P216)),     IF(AND(IFERROR(SEARCH($R216,XKNVLSX!$X$1,1),0)&gt;=1,$P216=$V$7),$P216, IF(OR($R216&lt;&gt;IF(IFERROR(SEARCH($R216,XKNVLSX!$X$1,1),0)&gt;=1,$R216,XKNVLSX!$X$1),COUNTIFS($C$2:$C215,$C216,$E$2:$E215,$E216,$Q$2:$Q215,$P216)&gt;=1),"",$P216))))</f>
        <v/>
      </c>
      <c r="R216" s="1017" t="str">
        <f ca="1">IF($A216="","",IFERROR(INDEX(TinhGia!$BF$10:$BF$81,MATCH($A216,TinhGia!$B$10:$B$81,0)),""))</f>
        <v/>
      </c>
      <c r="S216" s="1012" t="str">
        <f ca="1">IF($A216="","",IF(OR(IFERROR(SEARCH($R216,XKNVLSX!$X$1,1),0)&gt;=1,XKNVLSX!$X$1=""),$S$2,""))</f>
        <v/>
      </c>
      <c r="T216" s="1018" t="str">
        <f ca="1">IF($C216="","", IF(OR($P216=$V$1,$P216=$V$7,COUNTIFS($C$3:$C216,$C216,$E$3:$E216,$E216)&lt;=1),$P216,""    ))</f>
        <v/>
      </c>
      <c r="U216" s="1019" t="str">
        <f ca="1">IF(AND($P216=$V$2,COUNTIFS($C$3:$C216,$C216,$E$3:$E216,$E216,$G$3:$G216,$G216)&lt;=1),$P216,"")</f>
        <v/>
      </c>
    </row>
    <row r="217" spans="1:21">
      <c r="A217" s="991" t="str">
        <f ca="1">IFERROR(IF(COUNTIF($A$3:A216,A216)&lt; INDEX(TinhGia!$BH$10:$BH$81,MATCH($A216,TinhGia!$B$10:$B$81,0)),$A216,INDEX(TinhGia!$B$10:$B$81,MATCH($A216,TinhGia!$B$10:$B$81,0)+1)),"")</f>
        <v/>
      </c>
      <c r="B217" s="525" t="str">
        <f ca="1">IF(OR(A217="",A217=0),"",IF(COUNTIF($A$2:A217,$A217)=1,ROW(MauKoXoa!$C$108),$B216+1))</f>
        <v/>
      </c>
      <c r="C217" s="992" t="str">
        <f t="shared" ca="1" si="40"/>
        <v/>
      </c>
      <c r="D217" s="993" t="str">
        <f t="shared" ca="1" si="41"/>
        <v/>
      </c>
      <c r="E217" s="993" t="str">
        <f t="shared" ca="1" si="42"/>
        <v/>
      </c>
      <c r="F217" s="992" t="str">
        <f t="shared" ca="1" si="39"/>
        <v/>
      </c>
      <c r="G217" s="994">
        <f t="shared" ca="1" si="43"/>
        <v>0</v>
      </c>
      <c r="H217" s="913">
        <f t="shared" ca="1" si="44"/>
        <v>0</v>
      </c>
      <c r="I217" s="913">
        <f t="shared" ca="1" si="45"/>
        <v>0</v>
      </c>
      <c r="J217" s="995">
        <f t="shared" ca="1" si="46"/>
        <v>0</v>
      </c>
      <c r="K217" s="913">
        <f t="shared" ca="1" si="47"/>
        <v>0</v>
      </c>
      <c r="L217" s="995">
        <f t="shared" ca="1" si="48"/>
        <v>0</v>
      </c>
      <c r="M217" s="913">
        <f t="shared" ca="1" si="49"/>
        <v>0</v>
      </c>
      <c r="N217" s="996">
        <f t="shared" ca="1" si="50"/>
        <v>0</v>
      </c>
      <c r="O217" s="997">
        <f t="shared" ca="1" si="51"/>
        <v>0</v>
      </c>
      <c r="P217" s="1015" t="str">
        <f ca="1">IF($C217="","",INDEX(NVLSX!$N$2:$N$6941,MATCH($C217,NVLSX!$E$2:$E$6941,0)))</f>
        <v/>
      </c>
      <c r="Q217" s="1016" t="str">
        <f ca="1">IF($R217="","",IF(XKNVLSX!$X$1="",IF($P217=$V$7,$P217, IF(COUNTIFS($C$2:$C216,$C217,$E$2:$E216,$E217)&gt;=1,"",$P217)),     IF(AND(IFERROR(SEARCH($R217,XKNVLSX!$X$1,1),0)&gt;=1,$P217=$V$7),$P217, IF(OR($R217&lt;&gt;IF(IFERROR(SEARCH($R217,XKNVLSX!$X$1,1),0)&gt;=1,$R217,XKNVLSX!$X$1),COUNTIFS($C$2:$C216,$C217,$E$2:$E216,$E217,$Q$2:$Q216,$P217)&gt;=1),"",$P217))))</f>
        <v/>
      </c>
      <c r="R217" s="1017" t="str">
        <f ca="1">IF($A217="","",IFERROR(INDEX(TinhGia!$BF$10:$BF$81,MATCH($A217,TinhGia!$B$10:$B$81,0)),""))</f>
        <v/>
      </c>
      <c r="S217" s="1012" t="str">
        <f ca="1">IF($A217="","",IF(OR(IFERROR(SEARCH($R217,XKNVLSX!$X$1,1),0)&gt;=1,XKNVLSX!$X$1=""),$S$2,""))</f>
        <v/>
      </c>
      <c r="T217" s="1018" t="str">
        <f ca="1">IF($C217="","", IF(OR($P217=$V$1,$P217=$V$7,COUNTIFS($C$3:$C217,$C217,$E$3:$E217,$E217)&lt;=1),$P217,""    ))</f>
        <v/>
      </c>
      <c r="U217" s="1019" t="str">
        <f ca="1">IF(AND($P217=$V$2,COUNTIFS($C$3:$C217,$C217,$E$3:$E217,$E217,$G$3:$G217,$G217)&lt;=1),$P217,"")</f>
        <v/>
      </c>
    </row>
    <row r="218" spans="1:21">
      <c r="A218" s="991" t="str">
        <f ca="1">IFERROR(IF(COUNTIF($A$3:A217,A217)&lt; INDEX(TinhGia!$BH$10:$BH$81,MATCH($A217,TinhGia!$B$10:$B$81,0)),$A217,INDEX(TinhGia!$B$10:$B$81,MATCH($A217,TinhGia!$B$10:$B$81,0)+1)),"")</f>
        <v/>
      </c>
      <c r="B218" s="525" t="str">
        <f ca="1">IF(OR(A218="",A218=0),"",IF(COUNTIF($A$2:A218,$A218)=1,ROW(MauKoXoa!$C$108),$B217+1))</f>
        <v/>
      </c>
      <c r="C218" s="992" t="str">
        <f t="shared" ca="1" si="40"/>
        <v/>
      </c>
      <c r="D218" s="993" t="str">
        <f t="shared" ca="1" si="41"/>
        <v/>
      </c>
      <c r="E218" s="993" t="str">
        <f t="shared" ca="1" si="42"/>
        <v/>
      </c>
      <c r="F218" s="992" t="str">
        <f t="shared" ca="1" si="39"/>
        <v/>
      </c>
      <c r="G218" s="994">
        <f t="shared" ca="1" si="43"/>
        <v>0</v>
      </c>
      <c r="H218" s="913">
        <f t="shared" ca="1" si="44"/>
        <v>0</v>
      </c>
      <c r="I218" s="913">
        <f t="shared" ca="1" si="45"/>
        <v>0</v>
      </c>
      <c r="J218" s="995">
        <f t="shared" ca="1" si="46"/>
        <v>0</v>
      </c>
      <c r="K218" s="913">
        <f t="shared" ca="1" si="47"/>
        <v>0</v>
      </c>
      <c r="L218" s="995">
        <f t="shared" ca="1" si="48"/>
        <v>0</v>
      </c>
      <c r="M218" s="913">
        <f t="shared" ca="1" si="49"/>
        <v>0</v>
      </c>
      <c r="N218" s="996">
        <f t="shared" ca="1" si="50"/>
        <v>0</v>
      </c>
      <c r="O218" s="997">
        <f t="shared" ca="1" si="51"/>
        <v>0</v>
      </c>
      <c r="P218" s="1015" t="str">
        <f ca="1">IF($C218="","",INDEX(NVLSX!$N$2:$N$6941,MATCH($C218,NVLSX!$E$2:$E$6941,0)))</f>
        <v/>
      </c>
      <c r="Q218" s="1016" t="str">
        <f ca="1">IF($R218="","",IF(XKNVLSX!$X$1="",IF($P218=$V$7,$P218, IF(COUNTIFS($C$2:$C217,$C218,$E$2:$E217,$E218)&gt;=1,"",$P218)),     IF(AND(IFERROR(SEARCH($R218,XKNVLSX!$X$1,1),0)&gt;=1,$P218=$V$7),$P218, IF(OR($R218&lt;&gt;IF(IFERROR(SEARCH($R218,XKNVLSX!$X$1,1),0)&gt;=1,$R218,XKNVLSX!$X$1),COUNTIFS($C$2:$C217,$C218,$E$2:$E217,$E218,$Q$2:$Q217,$P218)&gt;=1),"",$P218))))</f>
        <v/>
      </c>
      <c r="R218" s="1017" t="str">
        <f ca="1">IF($A218="","",IFERROR(INDEX(TinhGia!$BF$10:$BF$81,MATCH($A218,TinhGia!$B$10:$B$81,0)),""))</f>
        <v/>
      </c>
      <c r="S218" s="1012" t="str">
        <f ca="1">IF($A218="","",IF(OR(IFERROR(SEARCH($R218,XKNVLSX!$X$1,1),0)&gt;=1,XKNVLSX!$X$1=""),$S$2,""))</f>
        <v/>
      </c>
      <c r="T218" s="1018" t="str">
        <f ca="1">IF($C218="","", IF(OR($P218=$V$1,$P218=$V$7,COUNTIFS($C$3:$C218,$C218,$E$3:$E218,$E218)&lt;=1),$P218,""    ))</f>
        <v/>
      </c>
      <c r="U218" s="1019" t="str">
        <f ca="1">IF(AND($P218=$V$2,COUNTIFS($C$3:$C218,$C218,$E$3:$E218,$E218,$G$3:$G218,$G218)&lt;=1),$P218,"")</f>
        <v/>
      </c>
    </row>
    <row r="219" spans="1:21">
      <c r="A219" s="991" t="str">
        <f ca="1">IFERROR(IF(COUNTIF($A$3:A218,A218)&lt; INDEX(TinhGia!$BH$10:$BH$81,MATCH($A218,TinhGia!$B$10:$B$81,0)),$A218,INDEX(TinhGia!$B$10:$B$81,MATCH($A218,TinhGia!$B$10:$B$81,0)+1)),"")</f>
        <v/>
      </c>
      <c r="B219" s="525" t="str">
        <f ca="1">IF(OR(A219="",A219=0),"",IF(COUNTIF($A$2:A219,$A219)=1,ROW(MauKoXoa!$C$108),$B218+1))</f>
        <v/>
      </c>
      <c r="C219" s="992" t="str">
        <f t="shared" ca="1" si="40"/>
        <v/>
      </c>
      <c r="D219" s="993" t="str">
        <f t="shared" ca="1" si="41"/>
        <v/>
      </c>
      <c r="E219" s="993" t="str">
        <f t="shared" ca="1" si="42"/>
        <v/>
      </c>
      <c r="F219" s="992" t="str">
        <f t="shared" ca="1" si="39"/>
        <v/>
      </c>
      <c r="G219" s="994">
        <f t="shared" ca="1" si="43"/>
        <v>0</v>
      </c>
      <c r="H219" s="913">
        <f t="shared" ca="1" si="44"/>
        <v>0</v>
      </c>
      <c r="I219" s="913">
        <f t="shared" ca="1" si="45"/>
        <v>0</v>
      </c>
      <c r="J219" s="995">
        <f t="shared" ca="1" si="46"/>
        <v>0</v>
      </c>
      <c r="K219" s="913">
        <f t="shared" ca="1" si="47"/>
        <v>0</v>
      </c>
      <c r="L219" s="995">
        <f t="shared" ca="1" si="48"/>
        <v>0</v>
      </c>
      <c r="M219" s="913">
        <f t="shared" ca="1" si="49"/>
        <v>0</v>
      </c>
      <c r="N219" s="996">
        <f t="shared" ca="1" si="50"/>
        <v>0</v>
      </c>
      <c r="O219" s="997">
        <f t="shared" ca="1" si="51"/>
        <v>0</v>
      </c>
      <c r="P219" s="1015" t="str">
        <f ca="1">IF($C219="","",INDEX(NVLSX!$N$2:$N$6941,MATCH($C219,NVLSX!$E$2:$E$6941,0)))</f>
        <v/>
      </c>
      <c r="Q219" s="1016" t="str">
        <f ca="1">IF($R219="","",IF(XKNVLSX!$X$1="",IF($P219=$V$7,$P219, IF(COUNTIFS($C$2:$C218,$C219,$E$2:$E218,$E219)&gt;=1,"",$P219)),     IF(AND(IFERROR(SEARCH($R219,XKNVLSX!$X$1,1),0)&gt;=1,$P219=$V$7),$P219, IF(OR($R219&lt;&gt;IF(IFERROR(SEARCH($R219,XKNVLSX!$X$1,1),0)&gt;=1,$R219,XKNVLSX!$X$1),COUNTIFS($C$2:$C218,$C219,$E$2:$E218,$E219,$Q$2:$Q218,$P219)&gt;=1),"",$P219))))</f>
        <v/>
      </c>
      <c r="R219" s="1017" t="str">
        <f ca="1">IF($A219="","",IFERROR(INDEX(TinhGia!$BF$10:$BF$81,MATCH($A219,TinhGia!$B$10:$B$81,0)),""))</f>
        <v/>
      </c>
      <c r="S219" s="1012" t="str">
        <f ca="1">IF($A219="","",IF(OR(IFERROR(SEARCH($R219,XKNVLSX!$X$1,1),0)&gt;=1,XKNVLSX!$X$1=""),$S$2,""))</f>
        <v/>
      </c>
      <c r="T219" s="1018" t="str">
        <f ca="1">IF($C219="","", IF(OR($P219=$V$1,$P219=$V$7,COUNTIFS($C$3:$C219,$C219,$E$3:$E219,$E219)&lt;=1),$P219,""    ))</f>
        <v/>
      </c>
      <c r="U219" s="1019" t="str">
        <f ca="1">IF(AND($P219=$V$2,COUNTIFS($C$3:$C219,$C219,$E$3:$E219,$E219,$G$3:$G219,$G219)&lt;=1),$P219,"")</f>
        <v/>
      </c>
    </row>
    <row r="220" spans="1:21">
      <c r="A220" s="991" t="str">
        <f ca="1">IFERROR(IF(COUNTIF($A$3:A219,A219)&lt; INDEX(TinhGia!$BH$10:$BH$81,MATCH($A219,TinhGia!$B$10:$B$81,0)),$A219,INDEX(TinhGia!$B$10:$B$81,MATCH($A219,TinhGia!$B$10:$B$81,0)+1)),"")</f>
        <v/>
      </c>
      <c r="B220" s="525" t="str">
        <f ca="1">IF(OR(A220="",A220=0),"",IF(COUNTIF($A$2:A220,$A220)=1,ROW(MauKoXoa!$C$108),$B219+1))</f>
        <v/>
      </c>
      <c r="C220" s="992" t="str">
        <f t="shared" ca="1" si="40"/>
        <v/>
      </c>
      <c r="D220" s="993" t="str">
        <f t="shared" ca="1" si="41"/>
        <v/>
      </c>
      <c r="E220" s="993" t="str">
        <f t="shared" ca="1" si="42"/>
        <v/>
      </c>
      <c r="F220" s="992" t="str">
        <f t="shared" ca="1" si="39"/>
        <v/>
      </c>
      <c r="G220" s="994">
        <f t="shared" ca="1" si="43"/>
        <v>0</v>
      </c>
      <c r="H220" s="913">
        <f t="shared" ca="1" si="44"/>
        <v>0</v>
      </c>
      <c r="I220" s="913">
        <f t="shared" ca="1" si="45"/>
        <v>0</v>
      </c>
      <c r="J220" s="995">
        <f t="shared" ca="1" si="46"/>
        <v>0</v>
      </c>
      <c r="K220" s="913">
        <f t="shared" ca="1" si="47"/>
        <v>0</v>
      </c>
      <c r="L220" s="995">
        <f t="shared" ca="1" si="48"/>
        <v>0</v>
      </c>
      <c r="M220" s="913">
        <f t="shared" ca="1" si="49"/>
        <v>0</v>
      </c>
      <c r="N220" s="996">
        <f t="shared" ca="1" si="50"/>
        <v>0</v>
      </c>
      <c r="O220" s="997">
        <f t="shared" ca="1" si="51"/>
        <v>0</v>
      </c>
      <c r="P220" s="1015" t="str">
        <f ca="1">IF($C220="","",INDEX(NVLSX!$N$2:$N$6941,MATCH($C220,NVLSX!$E$2:$E$6941,0)))</f>
        <v/>
      </c>
      <c r="Q220" s="1016" t="str">
        <f ca="1">IF($R220="","",IF(XKNVLSX!$X$1="",IF($P220=$V$7,$P220, IF(COUNTIFS($C$2:$C219,$C220,$E$2:$E219,$E220)&gt;=1,"",$P220)),     IF(AND(IFERROR(SEARCH($R220,XKNVLSX!$X$1,1),0)&gt;=1,$P220=$V$7),$P220, IF(OR($R220&lt;&gt;IF(IFERROR(SEARCH($R220,XKNVLSX!$X$1,1),0)&gt;=1,$R220,XKNVLSX!$X$1),COUNTIFS($C$2:$C219,$C220,$E$2:$E219,$E220,$Q$2:$Q219,$P220)&gt;=1),"",$P220))))</f>
        <v/>
      </c>
      <c r="R220" s="1017" t="str">
        <f ca="1">IF($A220="","",IFERROR(INDEX(TinhGia!$BF$10:$BF$81,MATCH($A220,TinhGia!$B$10:$B$81,0)),""))</f>
        <v/>
      </c>
      <c r="S220" s="1012" t="str">
        <f ca="1">IF($A220="","",IF(OR(IFERROR(SEARCH($R220,XKNVLSX!$X$1,1),0)&gt;=1,XKNVLSX!$X$1=""),$S$2,""))</f>
        <v/>
      </c>
      <c r="T220" s="1018" t="str">
        <f ca="1">IF($C220="","", IF(OR($P220=$V$1,$P220=$V$7,COUNTIFS($C$3:$C220,$C220,$E$3:$E220,$E220)&lt;=1),$P220,""    ))</f>
        <v/>
      </c>
      <c r="U220" s="1019" t="str">
        <f ca="1">IF(AND($P220=$V$2,COUNTIFS($C$3:$C220,$C220,$E$3:$E220,$E220,$G$3:$G220,$G220)&lt;=1),$P220,"")</f>
        <v/>
      </c>
    </row>
    <row r="221" spans="1:21">
      <c r="A221" s="991" t="str">
        <f ca="1">IFERROR(IF(COUNTIF($A$3:A220,A220)&lt; INDEX(TinhGia!$BH$10:$BH$81,MATCH($A220,TinhGia!$B$10:$B$81,0)),$A220,INDEX(TinhGia!$B$10:$B$81,MATCH($A220,TinhGia!$B$10:$B$81,0)+1)),"")</f>
        <v/>
      </c>
      <c r="B221" s="525" t="str">
        <f ca="1">IF(OR(A221="",A221=0),"",IF(COUNTIF($A$2:A221,$A221)=1,ROW(MauKoXoa!$C$108),$B220+1))</f>
        <v/>
      </c>
      <c r="C221" s="992" t="str">
        <f t="shared" ca="1" si="40"/>
        <v/>
      </c>
      <c r="D221" s="993" t="str">
        <f t="shared" ca="1" si="41"/>
        <v/>
      </c>
      <c r="E221" s="993" t="str">
        <f t="shared" ca="1" si="42"/>
        <v/>
      </c>
      <c r="F221" s="992" t="str">
        <f t="shared" ca="1" si="39"/>
        <v/>
      </c>
      <c r="G221" s="994">
        <f t="shared" ca="1" si="43"/>
        <v>0</v>
      </c>
      <c r="H221" s="913">
        <f t="shared" ca="1" si="44"/>
        <v>0</v>
      </c>
      <c r="I221" s="913">
        <f t="shared" ca="1" si="45"/>
        <v>0</v>
      </c>
      <c r="J221" s="995">
        <f t="shared" ca="1" si="46"/>
        <v>0</v>
      </c>
      <c r="K221" s="913">
        <f t="shared" ca="1" si="47"/>
        <v>0</v>
      </c>
      <c r="L221" s="995">
        <f t="shared" ca="1" si="48"/>
        <v>0</v>
      </c>
      <c r="M221" s="913">
        <f t="shared" ca="1" si="49"/>
        <v>0</v>
      </c>
      <c r="N221" s="996">
        <f t="shared" ca="1" si="50"/>
        <v>0</v>
      </c>
      <c r="O221" s="997">
        <f t="shared" ca="1" si="51"/>
        <v>0</v>
      </c>
      <c r="P221" s="1015" t="str">
        <f ca="1">IF($C221="","",INDEX(NVLSX!$N$2:$N$6941,MATCH($C221,NVLSX!$E$2:$E$6941,0)))</f>
        <v/>
      </c>
      <c r="Q221" s="1016" t="str">
        <f ca="1">IF($R221="","",IF(XKNVLSX!$X$1="",IF($P221=$V$7,$P221, IF(COUNTIFS($C$2:$C220,$C221,$E$2:$E220,$E221)&gt;=1,"",$P221)),     IF(AND(IFERROR(SEARCH($R221,XKNVLSX!$X$1,1),0)&gt;=1,$P221=$V$7),$P221, IF(OR($R221&lt;&gt;IF(IFERROR(SEARCH($R221,XKNVLSX!$X$1,1),0)&gt;=1,$R221,XKNVLSX!$X$1),COUNTIFS($C$2:$C220,$C221,$E$2:$E220,$E221,$Q$2:$Q220,$P221)&gt;=1),"",$P221))))</f>
        <v/>
      </c>
      <c r="R221" s="1017" t="str">
        <f ca="1">IF($A221="","",IFERROR(INDEX(TinhGia!$BF$10:$BF$81,MATCH($A221,TinhGia!$B$10:$B$81,0)),""))</f>
        <v/>
      </c>
      <c r="S221" s="1012" t="str">
        <f ca="1">IF($A221="","",IF(OR(IFERROR(SEARCH($R221,XKNVLSX!$X$1,1),0)&gt;=1,XKNVLSX!$X$1=""),$S$2,""))</f>
        <v/>
      </c>
      <c r="T221" s="1018" t="str">
        <f ca="1">IF($C221="","", IF(OR($P221=$V$1,$P221=$V$7,COUNTIFS($C$3:$C221,$C221,$E$3:$E221,$E221)&lt;=1),$P221,""    ))</f>
        <v/>
      </c>
      <c r="U221" s="1019" t="str">
        <f ca="1">IF(AND($P221=$V$2,COUNTIFS($C$3:$C221,$C221,$E$3:$E221,$E221,$G$3:$G221,$G221)&lt;=1),$P221,"")</f>
        <v/>
      </c>
    </row>
    <row r="222" spans="1:21">
      <c r="A222" s="991" t="str">
        <f ca="1">IFERROR(IF(COUNTIF($A$3:A221,A221)&lt; INDEX(TinhGia!$BH$10:$BH$81,MATCH($A221,TinhGia!$B$10:$B$81,0)),$A221,INDEX(TinhGia!$B$10:$B$81,MATCH($A221,TinhGia!$B$10:$B$81,0)+1)),"")</f>
        <v/>
      </c>
      <c r="B222" s="525" t="str">
        <f ca="1">IF(OR(A222="",A222=0),"",IF(COUNTIF($A$2:A222,$A222)=1,ROW(MauKoXoa!$C$108),$B221+1))</f>
        <v/>
      </c>
      <c r="C222" s="992" t="str">
        <f t="shared" ca="1" si="40"/>
        <v/>
      </c>
      <c r="D222" s="993" t="str">
        <f t="shared" ca="1" si="41"/>
        <v/>
      </c>
      <c r="E222" s="993" t="str">
        <f t="shared" ca="1" si="42"/>
        <v/>
      </c>
      <c r="F222" s="992" t="str">
        <f t="shared" ca="1" si="39"/>
        <v/>
      </c>
      <c r="G222" s="994">
        <f t="shared" ca="1" si="43"/>
        <v>0</v>
      </c>
      <c r="H222" s="913">
        <f t="shared" ca="1" si="44"/>
        <v>0</v>
      </c>
      <c r="I222" s="913">
        <f t="shared" ca="1" si="45"/>
        <v>0</v>
      </c>
      <c r="J222" s="995">
        <f t="shared" ca="1" si="46"/>
        <v>0</v>
      </c>
      <c r="K222" s="913">
        <f t="shared" ca="1" si="47"/>
        <v>0</v>
      </c>
      <c r="L222" s="995">
        <f t="shared" ca="1" si="48"/>
        <v>0</v>
      </c>
      <c r="M222" s="913">
        <f t="shared" ca="1" si="49"/>
        <v>0</v>
      </c>
      <c r="N222" s="996">
        <f t="shared" ca="1" si="50"/>
        <v>0</v>
      </c>
      <c r="O222" s="997">
        <f t="shared" ca="1" si="51"/>
        <v>0</v>
      </c>
      <c r="P222" s="1015" t="str">
        <f ca="1">IF($C222="","",INDEX(NVLSX!$N$2:$N$6941,MATCH($C222,NVLSX!$E$2:$E$6941,0)))</f>
        <v/>
      </c>
      <c r="Q222" s="1016" t="str">
        <f ca="1">IF($R222="","",IF(XKNVLSX!$X$1="",IF($P222=$V$7,$P222, IF(COUNTIFS($C$2:$C221,$C222,$E$2:$E221,$E222)&gt;=1,"",$P222)),     IF(AND(IFERROR(SEARCH($R222,XKNVLSX!$X$1,1),0)&gt;=1,$P222=$V$7),$P222, IF(OR($R222&lt;&gt;IF(IFERROR(SEARCH($R222,XKNVLSX!$X$1,1),0)&gt;=1,$R222,XKNVLSX!$X$1),COUNTIFS($C$2:$C221,$C222,$E$2:$E221,$E222,$Q$2:$Q221,$P222)&gt;=1),"",$P222))))</f>
        <v/>
      </c>
      <c r="R222" s="1017" t="str">
        <f ca="1">IF($A222="","",IFERROR(INDEX(TinhGia!$BF$10:$BF$81,MATCH($A222,TinhGia!$B$10:$B$81,0)),""))</f>
        <v/>
      </c>
      <c r="S222" s="1012" t="str">
        <f ca="1">IF($A222="","",IF(OR(IFERROR(SEARCH($R222,XKNVLSX!$X$1,1),0)&gt;=1,XKNVLSX!$X$1=""),$S$2,""))</f>
        <v/>
      </c>
      <c r="T222" s="1018" t="str">
        <f ca="1">IF($C222="","", IF(OR($P222=$V$1,$P222=$V$7,COUNTIFS($C$3:$C222,$C222,$E$3:$E222,$E222)&lt;=1),$P222,""    ))</f>
        <v/>
      </c>
      <c r="U222" s="1019" t="str">
        <f ca="1">IF(AND($P222=$V$2,COUNTIFS($C$3:$C222,$C222,$E$3:$E222,$E222,$G$3:$G222,$G222)&lt;=1),$P222,"")</f>
        <v/>
      </c>
    </row>
    <row r="223" spans="1:21">
      <c r="A223" s="991" t="str">
        <f ca="1">IFERROR(IF(COUNTIF($A$3:A222,A222)&lt; INDEX(TinhGia!$BH$10:$BH$81,MATCH($A222,TinhGia!$B$10:$B$81,0)),$A222,INDEX(TinhGia!$B$10:$B$81,MATCH($A222,TinhGia!$B$10:$B$81,0)+1)),"")</f>
        <v/>
      </c>
      <c r="B223" s="525" t="str">
        <f ca="1">IF(OR(A223="",A223=0),"",IF(COUNTIF($A$2:A223,$A223)=1,ROW(MauKoXoa!$C$108),$B222+1))</f>
        <v/>
      </c>
      <c r="C223" s="992" t="str">
        <f t="shared" ca="1" si="40"/>
        <v/>
      </c>
      <c r="D223" s="993" t="str">
        <f t="shared" ca="1" si="41"/>
        <v/>
      </c>
      <c r="E223" s="993" t="str">
        <f t="shared" ca="1" si="42"/>
        <v/>
      </c>
      <c r="F223" s="992" t="str">
        <f t="shared" ca="1" si="39"/>
        <v/>
      </c>
      <c r="G223" s="994">
        <f t="shared" ca="1" si="43"/>
        <v>0</v>
      </c>
      <c r="H223" s="913">
        <f t="shared" ca="1" si="44"/>
        <v>0</v>
      </c>
      <c r="I223" s="913">
        <f t="shared" ca="1" si="45"/>
        <v>0</v>
      </c>
      <c r="J223" s="995">
        <f t="shared" ca="1" si="46"/>
        <v>0</v>
      </c>
      <c r="K223" s="913">
        <f t="shared" ca="1" si="47"/>
        <v>0</v>
      </c>
      <c r="L223" s="995">
        <f t="shared" ca="1" si="48"/>
        <v>0</v>
      </c>
      <c r="M223" s="913">
        <f t="shared" ca="1" si="49"/>
        <v>0</v>
      </c>
      <c r="N223" s="996">
        <f t="shared" ca="1" si="50"/>
        <v>0</v>
      </c>
      <c r="O223" s="997">
        <f t="shared" ca="1" si="51"/>
        <v>0</v>
      </c>
      <c r="P223" s="1015" t="str">
        <f ca="1">IF($C223="","",INDEX(NVLSX!$N$2:$N$6941,MATCH($C223,NVLSX!$E$2:$E$6941,0)))</f>
        <v/>
      </c>
      <c r="Q223" s="1016" t="str">
        <f ca="1">IF($R223="","",IF(XKNVLSX!$X$1="",IF($P223=$V$7,$P223, IF(COUNTIFS($C$2:$C222,$C223,$E$2:$E222,$E223)&gt;=1,"",$P223)),     IF(AND(IFERROR(SEARCH($R223,XKNVLSX!$X$1,1),0)&gt;=1,$P223=$V$7),$P223, IF(OR($R223&lt;&gt;IF(IFERROR(SEARCH($R223,XKNVLSX!$X$1,1),0)&gt;=1,$R223,XKNVLSX!$X$1),COUNTIFS($C$2:$C222,$C223,$E$2:$E222,$E223,$Q$2:$Q222,$P223)&gt;=1),"",$P223))))</f>
        <v/>
      </c>
      <c r="R223" s="1017" t="str">
        <f ca="1">IF($A223="","",IFERROR(INDEX(TinhGia!$BF$10:$BF$81,MATCH($A223,TinhGia!$B$10:$B$81,0)),""))</f>
        <v/>
      </c>
      <c r="S223" s="1012" t="str">
        <f ca="1">IF($A223="","",IF(OR(IFERROR(SEARCH($R223,XKNVLSX!$X$1,1),0)&gt;=1,XKNVLSX!$X$1=""),$S$2,""))</f>
        <v/>
      </c>
      <c r="T223" s="1018" t="str">
        <f ca="1">IF($C223="","", IF(OR($P223=$V$1,$P223=$V$7,COUNTIFS($C$3:$C223,$C223,$E$3:$E223,$E223)&lt;=1),$P223,""    ))</f>
        <v/>
      </c>
      <c r="U223" s="1019" t="str">
        <f ca="1">IF(AND($P223=$V$2,COUNTIFS($C$3:$C223,$C223,$E$3:$E223,$E223,$G$3:$G223,$G223)&lt;=1),$P223,"")</f>
        <v/>
      </c>
    </row>
    <row r="224" spans="1:21">
      <c r="A224" s="991" t="str">
        <f ca="1">IFERROR(IF(COUNTIF($A$3:A223,A223)&lt; INDEX(TinhGia!$BH$10:$BH$81,MATCH($A223,TinhGia!$B$10:$B$81,0)),$A223,INDEX(TinhGia!$B$10:$B$81,MATCH($A223,TinhGia!$B$10:$B$81,0)+1)),"")</f>
        <v/>
      </c>
      <c r="B224" s="525" t="str">
        <f ca="1">IF(OR(A224="",A224=0),"",IF(COUNTIF($A$2:A224,$A224)=1,ROW(MauKoXoa!$C$108),$B223+1))</f>
        <v/>
      </c>
      <c r="C224" s="992" t="str">
        <f t="shared" ca="1" si="40"/>
        <v/>
      </c>
      <c r="D224" s="993" t="str">
        <f t="shared" ca="1" si="41"/>
        <v/>
      </c>
      <c r="E224" s="993" t="str">
        <f t="shared" ca="1" si="42"/>
        <v/>
      </c>
      <c r="F224" s="992" t="str">
        <f t="shared" ca="1" si="39"/>
        <v/>
      </c>
      <c r="G224" s="994">
        <f t="shared" ca="1" si="43"/>
        <v>0</v>
      </c>
      <c r="H224" s="913">
        <f t="shared" ca="1" si="44"/>
        <v>0</v>
      </c>
      <c r="I224" s="913">
        <f t="shared" ca="1" si="45"/>
        <v>0</v>
      </c>
      <c r="J224" s="995">
        <f t="shared" ca="1" si="46"/>
        <v>0</v>
      </c>
      <c r="K224" s="913">
        <f t="shared" ca="1" si="47"/>
        <v>0</v>
      </c>
      <c r="L224" s="995">
        <f t="shared" ca="1" si="48"/>
        <v>0</v>
      </c>
      <c r="M224" s="913">
        <f t="shared" ca="1" si="49"/>
        <v>0</v>
      </c>
      <c r="N224" s="996">
        <f t="shared" ca="1" si="50"/>
        <v>0</v>
      </c>
      <c r="O224" s="997">
        <f t="shared" ca="1" si="51"/>
        <v>0</v>
      </c>
      <c r="P224" s="1015" t="str">
        <f ca="1">IF($C224="","",INDEX(NVLSX!$N$2:$N$6941,MATCH($C224,NVLSX!$E$2:$E$6941,0)))</f>
        <v/>
      </c>
      <c r="Q224" s="1016" t="str">
        <f ca="1">IF($R224="","",IF(XKNVLSX!$X$1="",IF($P224=$V$7,$P224, IF(COUNTIFS($C$2:$C223,$C224,$E$2:$E223,$E224)&gt;=1,"",$P224)),     IF(AND(IFERROR(SEARCH($R224,XKNVLSX!$X$1,1),0)&gt;=1,$P224=$V$7),$P224, IF(OR($R224&lt;&gt;IF(IFERROR(SEARCH($R224,XKNVLSX!$X$1,1),0)&gt;=1,$R224,XKNVLSX!$X$1),COUNTIFS($C$2:$C223,$C224,$E$2:$E223,$E224,$Q$2:$Q223,$P224)&gt;=1),"",$P224))))</f>
        <v/>
      </c>
      <c r="R224" s="1017" t="str">
        <f ca="1">IF($A224="","",IFERROR(INDEX(TinhGia!$BF$10:$BF$81,MATCH($A224,TinhGia!$B$10:$B$81,0)),""))</f>
        <v/>
      </c>
      <c r="S224" s="1012" t="str">
        <f ca="1">IF($A224="","",IF(OR(IFERROR(SEARCH($R224,XKNVLSX!$X$1,1),0)&gt;=1,XKNVLSX!$X$1=""),$S$2,""))</f>
        <v/>
      </c>
      <c r="T224" s="1018" t="str">
        <f ca="1">IF($C224="","", IF(OR($P224=$V$1,$P224=$V$7,COUNTIFS($C$3:$C224,$C224,$E$3:$E224,$E224)&lt;=1),$P224,""    ))</f>
        <v/>
      </c>
      <c r="U224" s="1019" t="str">
        <f ca="1">IF(AND($P224=$V$2,COUNTIFS($C$3:$C224,$C224,$E$3:$E224,$E224,$G$3:$G224,$G224)&lt;=1),$P224,"")</f>
        <v/>
      </c>
    </row>
    <row r="225" spans="1:21">
      <c r="A225" s="991" t="str">
        <f ca="1">IFERROR(IF(COUNTIF($A$3:A224,A224)&lt; INDEX(TinhGia!$BH$10:$BH$81,MATCH($A224,TinhGia!$B$10:$B$81,0)),$A224,INDEX(TinhGia!$B$10:$B$81,MATCH($A224,TinhGia!$B$10:$B$81,0)+1)),"")</f>
        <v/>
      </c>
      <c r="B225" s="525" t="str">
        <f ca="1">IF(OR(A225="",A225=0),"",IF(COUNTIF($A$2:A225,$A225)=1,ROW(MauKoXoa!$C$108),$B224+1))</f>
        <v/>
      </c>
      <c r="C225" s="992" t="str">
        <f t="shared" ca="1" si="40"/>
        <v/>
      </c>
      <c r="D225" s="993" t="str">
        <f t="shared" ca="1" si="41"/>
        <v/>
      </c>
      <c r="E225" s="993" t="str">
        <f t="shared" ca="1" si="42"/>
        <v/>
      </c>
      <c r="F225" s="992" t="str">
        <f t="shared" ca="1" si="39"/>
        <v/>
      </c>
      <c r="G225" s="994">
        <f t="shared" ca="1" si="43"/>
        <v>0</v>
      </c>
      <c r="H225" s="913">
        <f t="shared" ca="1" si="44"/>
        <v>0</v>
      </c>
      <c r="I225" s="913">
        <f t="shared" ca="1" si="45"/>
        <v>0</v>
      </c>
      <c r="J225" s="995">
        <f t="shared" ca="1" si="46"/>
        <v>0</v>
      </c>
      <c r="K225" s="913">
        <f t="shared" ca="1" si="47"/>
        <v>0</v>
      </c>
      <c r="L225" s="995">
        <f t="shared" ca="1" si="48"/>
        <v>0</v>
      </c>
      <c r="M225" s="913">
        <f t="shared" ca="1" si="49"/>
        <v>0</v>
      </c>
      <c r="N225" s="996">
        <f t="shared" ca="1" si="50"/>
        <v>0</v>
      </c>
      <c r="O225" s="997">
        <f t="shared" ca="1" si="51"/>
        <v>0</v>
      </c>
      <c r="P225" s="1015" t="str">
        <f ca="1">IF($C225="","",INDEX(NVLSX!$N$2:$N$6941,MATCH($C225,NVLSX!$E$2:$E$6941,0)))</f>
        <v/>
      </c>
      <c r="Q225" s="1016" t="str">
        <f ca="1">IF($R225="","",IF(XKNVLSX!$X$1="",IF($P225=$V$7,$P225, IF(COUNTIFS($C$2:$C224,$C225,$E$2:$E224,$E225)&gt;=1,"",$P225)),     IF(AND(IFERROR(SEARCH($R225,XKNVLSX!$X$1,1),0)&gt;=1,$P225=$V$7),$P225, IF(OR($R225&lt;&gt;IF(IFERROR(SEARCH($R225,XKNVLSX!$X$1,1),0)&gt;=1,$R225,XKNVLSX!$X$1),COUNTIFS($C$2:$C224,$C225,$E$2:$E224,$E225,$Q$2:$Q224,$P225)&gt;=1),"",$P225))))</f>
        <v/>
      </c>
      <c r="R225" s="1017" t="str">
        <f ca="1">IF($A225="","",IFERROR(INDEX(TinhGia!$BF$10:$BF$81,MATCH($A225,TinhGia!$B$10:$B$81,0)),""))</f>
        <v/>
      </c>
      <c r="S225" s="1012" t="str">
        <f ca="1">IF($A225="","",IF(OR(IFERROR(SEARCH($R225,XKNVLSX!$X$1,1),0)&gt;=1,XKNVLSX!$X$1=""),$S$2,""))</f>
        <v/>
      </c>
      <c r="T225" s="1018" t="str">
        <f ca="1">IF($C225="","", IF(OR($P225=$V$1,$P225=$V$7,COUNTIFS($C$3:$C225,$C225,$E$3:$E225,$E225)&lt;=1),$P225,""    ))</f>
        <v/>
      </c>
      <c r="U225" s="1019" t="str">
        <f ca="1">IF(AND($P225=$V$2,COUNTIFS($C$3:$C225,$C225,$E$3:$E225,$E225,$G$3:$G225,$G225)&lt;=1),$P225,"")</f>
        <v/>
      </c>
    </row>
    <row r="226" spans="1:21">
      <c r="A226" s="991" t="str">
        <f ca="1">IFERROR(IF(COUNTIF($A$3:A225,A225)&lt; INDEX(TinhGia!$BH$10:$BH$81,MATCH($A225,TinhGia!$B$10:$B$81,0)),$A225,INDEX(TinhGia!$B$10:$B$81,MATCH($A225,TinhGia!$B$10:$B$81,0)+1)),"")</f>
        <v/>
      </c>
      <c r="B226" s="525" t="str">
        <f ca="1">IF(OR(A226="",A226=0),"",IF(COUNTIF($A$2:A226,$A226)=1,ROW(MauKoXoa!$C$108),$B225+1))</f>
        <v/>
      </c>
      <c r="C226" s="992" t="str">
        <f t="shared" ca="1" si="40"/>
        <v/>
      </c>
      <c r="D226" s="993" t="str">
        <f t="shared" ca="1" si="41"/>
        <v/>
      </c>
      <c r="E226" s="993" t="str">
        <f t="shared" ca="1" si="42"/>
        <v/>
      </c>
      <c r="F226" s="992" t="str">
        <f t="shared" ca="1" si="39"/>
        <v/>
      </c>
      <c r="G226" s="994">
        <f t="shared" ca="1" si="43"/>
        <v>0</v>
      </c>
      <c r="H226" s="913">
        <f t="shared" ca="1" si="44"/>
        <v>0</v>
      </c>
      <c r="I226" s="913">
        <f t="shared" ca="1" si="45"/>
        <v>0</v>
      </c>
      <c r="J226" s="995">
        <f t="shared" ca="1" si="46"/>
        <v>0</v>
      </c>
      <c r="K226" s="913">
        <f t="shared" ca="1" si="47"/>
        <v>0</v>
      </c>
      <c r="L226" s="995">
        <f t="shared" ca="1" si="48"/>
        <v>0</v>
      </c>
      <c r="M226" s="913">
        <f t="shared" ca="1" si="49"/>
        <v>0</v>
      </c>
      <c r="N226" s="996">
        <f t="shared" ca="1" si="50"/>
        <v>0</v>
      </c>
      <c r="O226" s="997">
        <f t="shared" ca="1" si="51"/>
        <v>0</v>
      </c>
      <c r="P226" s="1015" t="str">
        <f ca="1">IF($C226="","",INDEX(NVLSX!$N$2:$N$6941,MATCH($C226,NVLSX!$E$2:$E$6941,0)))</f>
        <v/>
      </c>
      <c r="Q226" s="1016" t="str">
        <f ca="1">IF($R226="","",IF(XKNVLSX!$X$1="",IF($P226=$V$7,$P226, IF(COUNTIFS($C$2:$C225,$C226,$E$2:$E225,$E226)&gt;=1,"",$P226)),     IF(AND(IFERROR(SEARCH($R226,XKNVLSX!$X$1,1),0)&gt;=1,$P226=$V$7),$P226, IF(OR($R226&lt;&gt;IF(IFERROR(SEARCH($R226,XKNVLSX!$X$1,1),0)&gt;=1,$R226,XKNVLSX!$X$1),COUNTIFS($C$2:$C225,$C226,$E$2:$E225,$E226,$Q$2:$Q225,$P226)&gt;=1),"",$P226))))</f>
        <v/>
      </c>
      <c r="R226" s="1017" t="str">
        <f ca="1">IF($A226="","",IFERROR(INDEX(TinhGia!$BF$10:$BF$81,MATCH($A226,TinhGia!$B$10:$B$81,0)),""))</f>
        <v/>
      </c>
      <c r="S226" s="1012" t="str">
        <f ca="1">IF($A226="","",IF(OR(IFERROR(SEARCH($R226,XKNVLSX!$X$1,1),0)&gt;=1,XKNVLSX!$X$1=""),$S$2,""))</f>
        <v/>
      </c>
      <c r="T226" s="1018" t="str">
        <f ca="1">IF($C226="","", IF(OR($P226=$V$1,$P226=$V$7,COUNTIFS($C$3:$C226,$C226,$E$3:$E226,$E226)&lt;=1),$P226,""    ))</f>
        <v/>
      </c>
      <c r="U226" s="1019" t="str">
        <f ca="1">IF(AND($P226=$V$2,COUNTIFS($C$3:$C226,$C226,$E$3:$E226,$E226,$G$3:$G226,$G226)&lt;=1),$P226,"")</f>
        <v/>
      </c>
    </row>
    <row r="227" spans="1:21">
      <c r="A227" s="991" t="str">
        <f ca="1">IFERROR(IF(COUNTIF($A$3:A226,A226)&lt; INDEX(TinhGia!$BH$10:$BH$81,MATCH($A226,TinhGia!$B$10:$B$81,0)),$A226,INDEX(TinhGia!$B$10:$B$81,MATCH($A226,TinhGia!$B$10:$B$81,0)+1)),"")</f>
        <v/>
      </c>
      <c r="B227" s="525" t="str">
        <f ca="1">IF(OR(A227="",A227=0),"",IF(COUNTIF($A$2:A227,$A227)=1,ROW(MauKoXoa!$C$108),$B226+1))</f>
        <v/>
      </c>
      <c r="C227" s="992" t="str">
        <f t="shared" ca="1" si="40"/>
        <v/>
      </c>
      <c r="D227" s="993" t="str">
        <f t="shared" ca="1" si="41"/>
        <v/>
      </c>
      <c r="E227" s="993" t="str">
        <f t="shared" ca="1" si="42"/>
        <v/>
      </c>
      <c r="F227" s="992" t="str">
        <f t="shared" ca="1" si="39"/>
        <v/>
      </c>
      <c r="G227" s="994">
        <f t="shared" ca="1" si="43"/>
        <v>0</v>
      </c>
      <c r="H227" s="913">
        <f t="shared" ca="1" si="44"/>
        <v>0</v>
      </c>
      <c r="I227" s="913">
        <f t="shared" ca="1" si="45"/>
        <v>0</v>
      </c>
      <c r="J227" s="995">
        <f t="shared" ca="1" si="46"/>
        <v>0</v>
      </c>
      <c r="K227" s="913">
        <f t="shared" ca="1" si="47"/>
        <v>0</v>
      </c>
      <c r="L227" s="995">
        <f t="shared" ca="1" si="48"/>
        <v>0</v>
      </c>
      <c r="M227" s="913">
        <f t="shared" ca="1" si="49"/>
        <v>0</v>
      </c>
      <c r="N227" s="996">
        <f t="shared" ca="1" si="50"/>
        <v>0</v>
      </c>
      <c r="O227" s="997">
        <f t="shared" ca="1" si="51"/>
        <v>0</v>
      </c>
      <c r="P227" s="1015" t="str">
        <f ca="1">IF($C227="","",INDEX(NVLSX!$N$2:$N$6941,MATCH($C227,NVLSX!$E$2:$E$6941,0)))</f>
        <v/>
      </c>
      <c r="Q227" s="1016" t="str">
        <f ca="1">IF($R227="","",IF(XKNVLSX!$X$1="",IF($P227=$V$7,$P227, IF(COUNTIFS($C$2:$C226,$C227,$E$2:$E226,$E227)&gt;=1,"",$P227)),     IF(AND(IFERROR(SEARCH($R227,XKNVLSX!$X$1,1),0)&gt;=1,$P227=$V$7),$P227, IF(OR($R227&lt;&gt;IF(IFERROR(SEARCH($R227,XKNVLSX!$X$1,1),0)&gt;=1,$R227,XKNVLSX!$X$1),COUNTIFS($C$2:$C226,$C227,$E$2:$E226,$E227,$Q$2:$Q226,$P227)&gt;=1),"",$P227))))</f>
        <v/>
      </c>
      <c r="R227" s="1017" t="str">
        <f ca="1">IF($A227="","",IFERROR(INDEX(TinhGia!$BF$10:$BF$81,MATCH($A227,TinhGia!$B$10:$B$81,0)),""))</f>
        <v/>
      </c>
      <c r="S227" s="1012" t="str">
        <f ca="1">IF($A227="","",IF(OR(IFERROR(SEARCH($R227,XKNVLSX!$X$1,1),0)&gt;=1,XKNVLSX!$X$1=""),$S$2,""))</f>
        <v/>
      </c>
      <c r="T227" s="1018" t="str">
        <f ca="1">IF($C227="","", IF(OR($P227=$V$1,$P227=$V$7,COUNTIFS($C$3:$C227,$C227,$E$3:$E227,$E227)&lt;=1),$P227,""    ))</f>
        <v/>
      </c>
      <c r="U227" s="1019" t="str">
        <f ca="1">IF(AND($P227=$V$2,COUNTIFS($C$3:$C227,$C227,$E$3:$E227,$E227,$G$3:$G227,$G227)&lt;=1),$P227,"")</f>
        <v/>
      </c>
    </row>
    <row r="228" spans="1:21">
      <c r="A228" s="991" t="str">
        <f ca="1">IFERROR(IF(COUNTIF($A$3:A227,A227)&lt; INDEX(TinhGia!$BH$10:$BH$81,MATCH($A227,TinhGia!$B$10:$B$81,0)),$A227,INDEX(TinhGia!$B$10:$B$81,MATCH($A227,TinhGia!$B$10:$B$81,0)+1)),"")</f>
        <v/>
      </c>
      <c r="B228" s="525" t="str">
        <f ca="1">IF(OR(A228="",A228=0),"",IF(COUNTIF($A$2:A228,$A228)=1,ROW(MauKoXoa!$C$108),$B227+1))</f>
        <v/>
      </c>
      <c r="C228" s="992" t="str">
        <f t="shared" ca="1" si="40"/>
        <v/>
      </c>
      <c r="D228" s="993" t="str">
        <f t="shared" ca="1" si="41"/>
        <v/>
      </c>
      <c r="E228" s="993" t="str">
        <f t="shared" ca="1" si="42"/>
        <v/>
      </c>
      <c r="F228" s="992" t="str">
        <f t="shared" ca="1" si="39"/>
        <v/>
      </c>
      <c r="G228" s="994">
        <f t="shared" ca="1" si="43"/>
        <v>0</v>
      </c>
      <c r="H228" s="913">
        <f t="shared" ca="1" si="44"/>
        <v>0</v>
      </c>
      <c r="I228" s="913">
        <f t="shared" ca="1" si="45"/>
        <v>0</v>
      </c>
      <c r="J228" s="995">
        <f t="shared" ca="1" si="46"/>
        <v>0</v>
      </c>
      <c r="K228" s="913">
        <f t="shared" ca="1" si="47"/>
        <v>0</v>
      </c>
      <c r="L228" s="995">
        <f t="shared" ca="1" si="48"/>
        <v>0</v>
      </c>
      <c r="M228" s="913">
        <f t="shared" ca="1" si="49"/>
        <v>0</v>
      </c>
      <c r="N228" s="996">
        <f t="shared" ca="1" si="50"/>
        <v>0</v>
      </c>
      <c r="O228" s="997">
        <f t="shared" ca="1" si="51"/>
        <v>0</v>
      </c>
      <c r="P228" s="1015" t="str">
        <f ca="1">IF($C228="","",INDEX(NVLSX!$N$2:$N$6941,MATCH($C228,NVLSX!$E$2:$E$6941,0)))</f>
        <v/>
      </c>
      <c r="Q228" s="1016" t="str">
        <f ca="1">IF($R228="","",IF(XKNVLSX!$X$1="",IF($P228=$V$7,$P228, IF(COUNTIFS($C$2:$C227,$C228,$E$2:$E227,$E228)&gt;=1,"",$P228)),     IF(AND(IFERROR(SEARCH($R228,XKNVLSX!$X$1,1),0)&gt;=1,$P228=$V$7),$P228, IF(OR($R228&lt;&gt;IF(IFERROR(SEARCH($R228,XKNVLSX!$X$1,1),0)&gt;=1,$R228,XKNVLSX!$X$1),COUNTIFS($C$2:$C227,$C228,$E$2:$E227,$E228,$Q$2:$Q227,$P228)&gt;=1),"",$P228))))</f>
        <v/>
      </c>
      <c r="R228" s="1017" t="str">
        <f ca="1">IF($A228="","",IFERROR(INDEX(TinhGia!$BF$10:$BF$81,MATCH($A228,TinhGia!$B$10:$B$81,0)),""))</f>
        <v/>
      </c>
      <c r="S228" s="1012" t="str">
        <f ca="1">IF($A228="","",IF(OR(IFERROR(SEARCH($R228,XKNVLSX!$X$1,1),0)&gt;=1,XKNVLSX!$X$1=""),$S$2,""))</f>
        <v/>
      </c>
      <c r="T228" s="1018" t="str">
        <f ca="1">IF($C228="","", IF(OR($P228=$V$1,$P228=$V$7,COUNTIFS($C$3:$C228,$C228,$E$3:$E228,$E228)&lt;=1),$P228,""    ))</f>
        <v/>
      </c>
      <c r="U228" s="1019" t="str">
        <f ca="1">IF(AND($P228=$V$2,COUNTIFS($C$3:$C228,$C228,$E$3:$E228,$E228,$G$3:$G228,$G228)&lt;=1),$P228,"")</f>
        <v/>
      </c>
    </row>
    <row r="229" spans="1:21">
      <c r="A229" s="991" t="str">
        <f ca="1">IFERROR(IF(COUNTIF($A$3:A228,A228)&lt; INDEX(TinhGia!$BH$10:$BH$81,MATCH($A228,TinhGia!$B$10:$B$81,0)),$A228,INDEX(TinhGia!$B$10:$B$81,MATCH($A228,TinhGia!$B$10:$B$81,0)+1)),"")</f>
        <v/>
      </c>
      <c r="B229" s="525" t="str">
        <f ca="1">IF(OR(A229="",A229=0),"",IF(COUNTIF($A$2:A229,$A229)=1,ROW(MauKoXoa!$C$108),$B228+1))</f>
        <v/>
      </c>
      <c r="C229" s="992" t="str">
        <f t="shared" ca="1" si="40"/>
        <v/>
      </c>
      <c r="D229" s="993" t="str">
        <f t="shared" ca="1" si="41"/>
        <v/>
      </c>
      <c r="E229" s="993" t="str">
        <f t="shared" ca="1" si="42"/>
        <v/>
      </c>
      <c r="F229" s="992" t="str">
        <f t="shared" ca="1" si="39"/>
        <v/>
      </c>
      <c r="G229" s="994">
        <f t="shared" ca="1" si="43"/>
        <v>0</v>
      </c>
      <c r="H229" s="913">
        <f t="shared" ca="1" si="44"/>
        <v>0</v>
      </c>
      <c r="I229" s="913">
        <f t="shared" ca="1" si="45"/>
        <v>0</v>
      </c>
      <c r="J229" s="995">
        <f t="shared" ca="1" si="46"/>
        <v>0</v>
      </c>
      <c r="K229" s="913">
        <f t="shared" ca="1" si="47"/>
        <v>0</v>
      </c>
      <c r="L229" s="995">
        <f t="shared" ca="1" si="48"/>
        <v>0</v>
      </c>
      <c r="M229" s="913">
        <f t="shared" ca="1" si="49"/>
        <v>0</v>
      </c>
      <c r="N229" s="996">
        <f t="shared" ca="1" si="50"/>
        <v>0</v>
      </c>
      <c r="O229" s="997">
        <f t="shared" ca="1" si="51"/>
        <v>0</v>
      </c>
      <c r="P229" s="1015" t="str">
        <f ca="1">IF($C229="","",INDEX(NVLSX!$N$2:$N$6941,MATCH($C229,NVLSX!$E$2:$E$6941,0)))</f>
        <v/>
      </c>
      <c r="Q229" s="1016" t="str">
        <f ca="1">IF($R229="","",IF(XKNVLSX!$X$1="",IF($P229=$V$7,$P229, IF(COUNTIFS($C$2:$C228,$C229,$E$2:$E228,$E229)&gt;=1,"",$P229)),     IF(AND(IFERROR(SEARCH($R229,XKNVLSX!$X$1,1),0)&gt;=1,$P229=$V$7),$P229, IF(OR($R229&lt;&gt;IF(IFERROR(SEARCH($R229,XKNVLSX!$X$1,1),0)&gt;=1,$R229,XKNVLSX!$X$1),COUNTIFS($C$2:$C228,$C229,$E$2:$E228,$E229,$Q$2:$Q228,$P229)&gt;=1),"",$P229))))</f>
        <v/>
      </c>
      <c r="R229" s="1017" t="str">
        <f ca="1">IF($A229="","",IFERROR(INDEX(TinhGia!$BF$10:$BF$81,MATCH($A229,TinhGia!$B$10:$B$81,0)),""))</f>
        <v/>
      </c>
      <c r="S229" s="1012" t="str">
        <f ca="1">IF($A229="","",IF(OR(IFERROR(SEARCH($R229,XKNVLSX!$X$1,1),0)&gt;=1,XKNVLSX!$X$1=""),$S$2,""))</f>
        <v/>
      </c>
      <c r="T229" s="1018" t="str">
        <f ca="1">IF($C229="","", IF(OR($P229=$V$1,$P229=$V$7,COUNTIFS($C$3:$C229,$C229,$E$3:$E229,$E229)&lt;=1),$P229,""    ))</f>
        <v/>
      </c>
      <c r="U229" s="1019" t="str">
        <f ca="1">IF(AND($P229=$V$2,COUNTIFS($C$3:$C229,$C229,$E$3:$E229,$E229,$G$3:$G229,$G229)&lt;=1),$P229,"")</f>
        <v/>
      </c>
    </row>
    <row r="230" spans="1:21">
      <c r="A230" s="991" t="str">
        <f ca="1">IFERROR(IF(COUNTIF($A$3:A229,A229)&lt; INDEX(TinhGia!$BH$10:$BH$81,MATCH($A229,TinhGia!$B$10:$B$81,0)),$A229,INDEX(TinhGia!$B$10:$B$81,MATCH($A229,TinhGia!$B$10:$B$81,0)+1)),"")</f>
        <v/>
      </c>
      <c r="B230" s="525" t="str">
        <f ca="1">IF(OR(A230="",A230=0),"",IF(COUNTIF($A$2:A230,$A230)=1,ROW(MauKoXoa!$C$108),$B229+1))</f>
        <v/>
      </c>
      <c r="C230" s="992" t="str">
        <f t="shared" ca="1" si="40"/>
        <v/>
      </c>
      <c r="D230" s="993" t="str">
        <f t="shared" ca="1" si="41"/>
        <v/>
      </c>
      <c r="E230" s="993" t="str">
        <f t="shared" ca="1" si="42"/>
        <v/>
      </c>
      <c r="F230" s="992" t="str">
        <f t="shared" ca="1" si="39"/>
        <v/>
      </c>
      <c r="G230" s="994">
        <f t="shared" ca="1" si="43"/>
        <v>0</v>
      </c>
      <c r="H230" s="913">
        <f t="shared" ca="1" si="44"/>
        <v>0</v>
      </c>
      <c r="I230" s="913">
        <f t="shared" ca="1" si="45"/>
        <v>0</v>
      </c>
      <c r="J230" s="995">
        <f t="shared" ca="1" si="46"/>
        <v>0</v>
      </c>
      <c r="K230" s="913">
        <f t="shared" ca="1" si="47"/>
        <v>0</v>
      </c>
      <c r="L230" s="995">
        <f t="shared" ca="1" si="48"/>
        <v>0</v>
      </c>
      <c r="M230" s="913">
        <f t="shared" ca="1" si="49"/>
        <v>0</v>
      </c>
      <c r="N230" s="996">
        <f t="shared" ca="1" si="50"/>
        <v>0</v>
      </c>
      <c r="O230" s="997">
        <f t="shared" ca="1" si="51"/>
        <v>0</v>
      </c>
      <c r="P230" s="1015" t="str">
        <f ca="1">IF($C230="","",INDEX(NVLSX!$N$2:$N$6941,MATCH($C230,NVLSX!$E$2:$E$6941,0)))</f>
        <v/>
      </c>
      <c r="Q230" s="1016" t="str">
        <f ca="1">IF($R230="","",IF(XKNVLSX!$X$1="",IF($P230=$V$7,$P230, IF(COUNTIFS($C$2:$C229,$C230,$E$2:$E229,$E230)&gt;=1,"",$P230)),     IF(AND(IFERROR(SEARCH($R230,XKNVLSX!$X$1,1),0)&gt;=1,$P230=$V$7),$P230, IF(OR($R230&lt;&gt;IF(IFERROR(SEARCH($R230,XKNVLSX!$X$1,1),0)&gt;=1,$R230,XKNVLSX!$X$1),COUNTIFS($C$2:$C229,$C230,$E$2:$E229,$E230,$Q$2:$Q229,$P230)&gt;=1),"",$P230))))</f>
        <v/>
      </c>
      <c r="R230" s="1017" t="str">
        <f ca="1">IF($A230="","",IFERROR(INDEX(TinhGia!$BF$10:$BF$81,MATCH($A230,TinhGia!$B$10:$B$81,0)),""))</f>
        <v/>
      </c>
      <c r="S230" s="1012" t="str">
        <f ca="1">IF($A230="","",IF(OR(IFERROR(SEARCH($R230,XKNVLSX!$X$1,1),0)&gt;=1,XKNVLSX!$X$1=""),$S$2,""))</f>
        <v/>
      </c>
      <c r="T230" s="1018" t="str">
        <f ca="1">IF($C230="","", IF(OR($P230=$V$1,$P230=$V$7,COUNTIFS($C$3:$C230,$C230,$E$3:$E230,$E230)&lt;=1),$P230,""    ))</f>
        <v/>
      </c>
      <c r="U230" s="1019" t="str">
        <f ca="1">IF(AND($P230=$V$2,COUNTIFS($C$3:$C230,$C230,$E$3:$E230,$E230,$G$3:$G230,$G230)&lt;=1),$P230,"")</f>
        <v/>
      </c>
    </row>
    <row r="231" spans="1:21">
      <c r="A231" s="991" t="str">
        <f ca="1">IFERROR(IF(COUNTIF($A$3:A230,A230)&lt; INDEX(TinhGia!$BH$10:$BH$81,MATCH($A230,TinhGia!$B$10:$B$81,0)),$A230,INDEX(TinhGia!$B$10:$B$81,MATCH($A230,TinhGia!$B$10:$B$81,0)+1)),"")</f>
        <v/>
      </c>
      <c r="B231" s="525" t="str">
        <f ca="1">IF(OR(A231="",A231=0),"",IF(COUNTIF($A$2:A231,$A231)=1,ROW(MauKoXoa!$C$108),$B230+1))</f>
        <v/>
      </c>
      <c r="C231" s="992" t="str">
        <f t="shared" ca="1" si="40"/>
        <v/>
      </c>
      <c r="D231" s="993" t="str">
        <f t="shared" ca="1" si="41"/>
        <v/>
      </c>
      <c r="E231" s="993" t="str">
        <f t="shared" ca="1" si="42"/>
        <v/>
      </c>
      <c r="F231" s="992" t="str">
        <f t="shared" ca="1" si="39"/>
        <v/>
      </c>
      <c r="G231" s="994">
        <f t="shared" ca="1" si="43"/>
        <v>0</v>
      </c>
      <c r="H231" s="913">
        <f t="shared" ca="1" si="44"/>
        <v>0</v>
      </c>
      <c r="I231" s="913">
        <f t="shared" ca="1" si="45"/>
        <v>0</v>
      </c>
      <c r="J231" s="995">
        <f t="shared" ca="1" si="46"/>
        <v>0</v>
      </c>
      <c r="K231" s="913">
        <f t="shared" ca="1" si="47"/>
        <v>0</v>
      </c>
      <c r="L231" s="995">
        <f t="shared" ca="1" si="48"/>
        <v>0</v>
      </c>
      <c r="M231" s="913">
        <f t="shared" ca="1" si="49"/>
        <v>0</v>
      </c>
      <c r="N231" s="996">
        <f t="shared" ca="1" si="50"/>
        <v>0</v>
      </c>
      <c r="O231" s="997">
        <f t="shared" ca="1" si="51"/>
        <v>0</v>
      </c>
      <c r="P231" s="1015" t="str">
        <f ca="1">IF($C231="","",INDEX(NVLSX!$N$2:$N$6941,MATCH($C231,NVLSX!$E$2:$E$6941,0)))</f>
        <v/>
      </c>
      <c r="Q231" s="1016" t="str">
        <f ca="1">IF($R231="","",IF(XKNVLSX!$X$1="",IF($P231=$V$7,$P231, IF(COUNTIFS($C$2:$C230,$C231,$E$2:$E230,$E231)&gt;=1,"",$P231)),     IF(AND(IFERROR(SEARCH($R231,XKNVLSX!$X$1,1),0)&gt;=1,$P231=$V$7),$P231, IF(OR($R231&lt;&gt;IF(IFERROR(SEARCH($R231,XKNVLSX!$X$1,1),0)&gt;=1,$R231,XKNVLSX!$X$1),COUNTIFS($C$2:$C230,$C231,$E$2:$E230,$E231,$Q$2:$Q230,$P231)&gt;=1),"",$P231))))</f>
        <v/>
      </c>
      <c r="R231" s="1017" t="str">
        <f ca="1">IF($A231="","",IFERROR(INDEX(TinhGia!$BF$10:$BF$81,MATCH($A231,TinhGia!$B$10:$B$81,0)),""))</f>
        <v/>
      </c>
      <c r="S231" s="1012" t="str">
        <f ca="1">IF($A231="","",IF(OR(IFERROR(SEARCH($R231,XKNVLSX!$X$1,1),0)&gt;=1,XKNVLSX!$X$1=""),$S$2,""))</f>
        <v/>
      </c>
      <c r="T231" s="1018" t="str">
        <f ca="1">IF($C231="","", IF(OR($P231=$V$1,$P231=$V$7,COUNTIFS($C$3:$C231,$C231,$E$3:$E231,$E231)&lt;=1),$P231,""    ))</f>
        <v/>
      </c>
      <c r="U231" s="1019" t="str">
        <f ca="1">IF(AND($P231=$V$2,COUNTIFS($C$3:$C231,$C231,$E$3:$E231,$E231,$G$3:$G231,$G231)&lt;=1),$P231,"")</f>
        <v/>
      </c>
    </row>
    <row r="232" spans="1:21">
      <c r="A232" s="991" t="str">
        <f ca="1">IFERROR(IF(COUNTIF($A$3:A231,A231)&lt; INDEX(TinhGia!$BH$10:$BH$81,MATCH($A231,TinhGia!$B$10:$B$81,0)),$A231,INDEX(TinhGia!$B$10:$B$81,MATCH($A231,TinhGia!$B$10:$B$81,0)+1)),"")</f>
        <v/>
      </c>
      <c r="B232" s="525" t="str">
        <f ca="1">IF(OR(A232="",A232=0),"",IF(COUNTIF($A$2:A232,$A232)=1,ROW(MauKoXoa!$C$108),$B231+1))</f>
        <v/>
      </c>
      <c r="C232" s="992" t="str">
        <f t="shared" ca="1" si="40"/>
        <v/>
      </c>
      <c r="D232" s="993" t="str">
        <f t="shared" ca="1" si="41"/>
        <v/>
      </c>
      <c r="E232" s="993" t="str">
        <f t="shared" ca="1" si="42"/>
        <v/>
      </c>
      <c r="F232" s="992" t="str">
        <f t="shared" ca="1" si="39"/>
        <v/>
      </c>
      <c r="G232" s="994">
        <f t="shared" ca="1" si="43"/>
        <v>0</v>
      </c>
      <c r="H232" s="913">
        <f t="shared" ca="1" si="44"/>
        <v>0</v>
      </c>
      <c r="I232" s="913">
        <f t="shared" ca="1" si="45"/>
        <v>0</v>
      </c>
      <c r="J232" s="995">
        <f t="shared" ca="1" si="46"/>
        <v>0</v>
      </c>
      <c r="K232" s="913">
        <f t="shared" ca="1" si="47"/>
        <v>0</v>
      </c>
      <c r="L232" s="995">
        <f t="shared" ca="1" si="48"/>
        <v>0</v>
      </c>
      <c r="M232" s="913">
        <f t="shared" ca="1" si="49"/>
        <v>0</v>
      </c>
      <c r="N232" s="996">
        <f t="shared" ca="1" si="50"/>
        <v>0</v>
      </c>
      <c r="O232" s="997">
        <f t="shared" ca="1" si="51"/>
        <v>0</v>
      </c>
      <c r="P232" s="1015" t="str">
        <f ca="1">IF($C232="","",INDEX(NVLSX!$N$2:$N$6941,MATCH($C232,NVLSX!$E$2:$E$6941,0)))</f>
        <v/>
      </c>
      <c r="Q232" s="1016" t="str">
        <f ca="1">IF($R232="","",IF(XKNVLSX!$X$1="",IF($P232=$V$7,$P232, IF(COUNTIFS($C$2:$C231,$C232,$E$2:$E231,$E232)&gt;=1,"",$P232)),     IF(AND(IFERROR(SEARCH($R232,XKNVLSX!$X$1,1),0)&gt;=1,$P232=$V$7),$P232, IF(OR($R232&lt;&gt;IF(IFERROR(SEARCH($R232,XKNVLSX!$X$1,1),0)&gt;=1,$R232,XKNVLSX!$X$1),COUNTIFS($C$2:$C231,$C232,$E$2:$E231,$E232,$Q$2:$Q231,$P232)&gt;=1),"",$P232))))</f>
        <v/>
      </c>
      <c r="R232" s="1017" t="str">
        <f ca="1">IF($A232="","",IFERROR(INDEX(TinhGia!$BF$10:$BF$81,MATCH($A232,TinhGia!$B$10:$B$81,0)),""))</f>
        <v/>
      </c>
      <c r="S232" s="1012" t="str">
        <f ca="1">IF($A232="","",IF(OR(IFERROR(SEARCH($R232,XKNVLSX!$X$1,1),0)&gt;=1,XKNVLSX!$X$1=""),$S$2,""))</f>
        <v/>
      </c>
      <c r="T232" s="1018" t="str">
        <f ca="1">IF($C232="","", IF(OR($P232=$V$1,$P232=$V$7,COUNTIFS($C$3:$C232,$C232,$E$3:$E232,$E232)&lt;=1),$P232,""    ))</f>
        <v/>
      </c>
      <c r="U232" s="1019" t="str">
        <f ca="1">IF(AND($P232=$V$2,COUNTIFS($C$3:$C232,$C232,$E$3:$E232,$E232,$G$3:$G232,$G232)&lt;=1),$P232,"")</f>
        <v/>
      </c>
    </row>
    <row r="233" spans="1:21">
      <c r="A233" s="991" t="str">
        <f ca="1">IFERROR(IF(COUNTIF($A$3:A232,A232)&lt; INDEX(TinhGia!$BH$10:$BH$81,MATCH($A232,TinhGia!$B$10:$B$81,0)),$A232,INDEX(TinhGia!$B$10:$B$81,MATCH($A232,TinhGia!$B$10:$B$81,0)+1)),"")</f>
        <v/>
      </c>
      <c r="B233" s="525" t="str">
        <f ca="1">IF(OR(A233="",A233=0),"",IF(COUNTIF($A$2:A233,$A233)=1,ROW(MauKoXoa!$C$108),$B232+1))</f>
        <v/>
      </c>
      <c r="C233" s="992" t="str">
        <f t="shared" ca="1" si="40"/>
        <v/>
      </c>
      <c r="D233" s="993" t="str">
        <f t="shared" ca="1" si="41"/>
        <v/>
      </c>
      <c r="E233" s="993" t="str">
        <f t="shared" ca="1" si="42"/>
        <v/>
      </c>
      <c r="F233" s="992" t="str">
        <f t="shared" ca="1" si="39"/>
        <v/>
      </c>
      <c r="G233" s="994">
        <f t="shared" ca="1" si="43"/>
        <v>0</v>
      </c>
      <c r="H233" s="913">
        <f t="shared" ca="1" si="44"/>
        <v>0</v>
      </c>
      <c r="I233" s="913">
        <f t="shared" ca="1" si="45"/>
        <v>0</v>
      </c>
      <c r="J233" s="995">
        <f t="shared" ca="1" si="46"/>
        <v>0</v>
      </c>
      <c r="K233" s="913">
        <f t="shared" ca="1" si="47"/>
        <v>0</v>
      </c>
      <c r="L233" s="995">
        <f t="shared" ca="1" si="48"/>
        <v>0</v>
      </c>
      <c r="M233" s="913">
        <f t="shared" ca="1" si="49"/>
        <v>0</v>
      </c>
      <c r="N233" s="996">
        <f t="shared" ca="1" si="50"/>
        <v>0</v>
      </c>
      <c r="O233" s="997">
        <f t="shared" ca="1" si="51"/>
        <v>0</v>
      </c>
      <c r="P233" s="1015" t="str">
        <f ca="1">IF($C233="","",INDEX(NVLSX!$N$2:$N$6941,MATCH($C233,NVLSX!$E$2:$E$6941,0)))</f>
        <v/>
      </c>
      <c r="Q233" s="1016" t="str">
        <f ca="1">IF($R233="","",IF(XKNVLSX!$X$1="",IF($P233=$V$7,$P233, IF(COUNTIFS($C$2:$C232,$C233,$E$2:$E232,$E233)&gt;=1,"",$P233)),     IF(AND(IFERROR(SEARCH($R233,XKNVLSX!$X$1,1),0)&gt;=1,$P233=$V$7),$P233, IF(OR($R233&lt;&gt;IF(IFERROR(SEARCH($R233,XKNVLSX!$X$1,1),0)&gt;=1,$R233,XKNVLSX!$X$1),COUNTIFS($C$2:$C232,$C233,$E$2:$E232,$E233,$Q$2:$Q232,$P233)&gt;=1),"",$P233))))</f>
        <v/>
      </c>
      <c r="R233" s="1017" t="str">
        <f ca="1">IF($A233="","",IFERROR(INDEX(TinhGia!$BF$10:$BF$81,MATCH($A233,TinhGia!$B$10:$B$81,0)),""))</f>
        <v/>
      </c>
      <c r="S233" s="1012" t="str">
        <f ca="1">IF($A233="","",IF(OR(IFERROR(SEARCH($R233,XKNVLSX!$X$1,1),0)&gt;=1,XKNVLSX!$X$1=""),$S$2,""))</f>
        <v/>
      </c>
      <c r="T233" s="1018" t="str">
        <f ca="1">IF($C233="","", IF(OR($P233=$V$1,$P233=$V$7,COUNTIFS($C$3:$C233,$C233,$E$3:$E233,$E233)&lt;=1),$P233,""    ))</f>
        <v/>
      </c>
      <c r="U233" s="1019" t="str">
        <f ca="1">IF(AND($P233=$V$2,COUNTIFS($C$3:$C233,$C233,$E$3:$E233,$E233,$G$3:$G233,$G233)&lt;=1),$P233,"")</f>
        <v/>
      </c>
    </row>
    <row r="234" spans="1:21">
      <c r="A234" s="991" t="str">
        <f ca="1">IFERROR(IF(COUNTIF($A$3:A233,A233)&lt; INDEX(TinhGia!$BH$10:$BH$81,MATCH($A233,TinhGia!$B$10:$B$81,0)),$A233,INDEX(TinhGia!$B$10:$B$81,MATCH($A233,TinhGia!$B$10:$B$81,0)+1)),"")</f>
        <v/>
      </c>
      <c r="B234" s="525" t="str">
        <f ca="1">IF(OR(A234="",A234=0),"",IF(COUNTIF($A$2:A234,$A234)=1,ROW(MauKoXoa!$C$108),$B233+1))</f>
        <v/>
      </c>
      <c r="C234" s="992" t="str">
        <f t="shared" ca="1" si="40"/>
        <v/>
      </c>
      <c r="D234" s="993" t="str">
        <f t="shared" ca="1" si="41"/>
        <v/>
      </c>
      <c r="E234" s="993" t="str">
        <f t="shared" ca="1" si="42"/>
        <v/>
      </c>
      <c r="F234" s="992" t="str">
        <f t="shared" ca="1" si="39"/>
        <v/>
      </c>
      <c r="G234" s="994">
        <f t="shared" ca="1" si="43"/>
        <v>0</v>
      </c>
      <c r="H234" s="913">
        <f t="shared" ca="1" si="44"/>
        <v>0</v>
      </c>
      <c r="I234" s="913">
        <f t="shared" ca="1" si="45"/>
        <v>0</v>
      </c>
      <c r="J234" s="995">
        <f t="shared" ca="1" si="46"/>
        <v>0</v>
      </c>
      <c r="K234" s="913">
        <f t="shared" ca="1" si="47"/>
        <v>0</v>
      </c>
      <c r="L234" s="995">
        <f t="shared" ca="1" si="48"/>
        <v>0</v>
      </c>
      <c r="M234" s="913">
        <f t="shared" ca="1" si="49"/>
        <v>0</v>
      </c>
      <c r="N234" s="996">
        <f t="shared" ca="1" si="50"/>
        <v>0</v>
      </c>
      <c r="O234" s="997">
        <f t="shared" ca="1" si="51"/>
        <v>0</v>
      </c>
      <c r="P234" s="1015" t="str">
        <f ca="1">IF($C234="","",INDEX(NVLSX!$N$2:$N$6941,MATCH($C234,NVLSX!$E$2:$E$6941,0)))</f>
        <v/>
      </c>
      <c r="Q234" s="1016" t="str">
        <f ca="1">IF($R234="","",IF(XKNVLSX!$X$1="",IF($P234=$V$7,$P234, IF(COUNTIFS($C$2:$C233,$C234,$E$2:$E233,$E234)&gt;=1,"",$P234)),     IF(AND(IFERROR(SEARCH($R234,XKNVLSX!$X$1,1),0)&gt;=1,$P234=$V$7),$P234, IF(OR($R234&lt;&gt;IF(IFERROR(SEARCH($R234,XKNVLSX!$X$1,1),0)&gt;=1,$R234,XKNVLSX!$X$1),COUNTIFS($C$2:$C233,$C234,$E$2:$E233,$E234,$Q$2:$Q233,$P234)&gt;=1),"",$P234))))</f>
        <v/>
      </c>
      <c r="R234" s="1017" t="str">
        <f ca="1">IF($A234="","",IFERROR(INDEX(TinhGia!$BF$10:$BF$81,MATCH($A234,TinhGia!$B$10:$B$81,0)),""))</f>
        <v/>
      </c>
      <c r="S234" s="1012" t="str">
        <f ca="1">IF($A234="","",IF(OR(IFERROR(SEARCH($R234,XKNVLSX!$X$1,1),0)&gt;=1,XKNVLSX!$X$1=""),$S$2,""))</f>
        <v/>
      </c>
      <c r="T234" s="1018" t="str">
        <f ca="1">IF($C234="","", IF(OR($P234=$V$1,$P234=$V$7,COUNTIFS($C$3:$C234,$C234,$E$3:$E234,$E234)&lt;=1),$P234,""    ))</f>
        <v/>
      </c>
      <c r="U234" s="1019" t="str">
        <f ca="1">IF(AND($P234=$V$2,COUNTIFS($C$3:$C234,$C234,$E$3:$E234,$E234,$G$3:$G234,$G234)&lt;=1),$P234,"")</f>
        <v/>
      </c>
    </row>
    <row r="235" spans="1:21">
      <c r="A235" s="991" t="str">
        <f ca="1">IFERROR(IF(COUNTIF($A$3:A234,A234)&lt; INDEX(TinhGia!$BH$10:$BH$81,MATCH($A234,TinhGia!$B$10:$B$81,0)),$A234,INDEX(TinhGia!$B$10:$B$81,MATCH($A234,TinhGia!$B$10:$B$81,0)+1)),"")</f>
        <v/>
      </c>
      <c r="B235" s="525" t="str">
        <f ca="1">IF(OR(A235="",A235=0),"",IF(COUNTIF($A$2:A235,$A235)=1,ROW(MauKoXoa!$C$108),$B234+1))</f>
        <v/>
      </c>
      <c r="C235" s="992" t="str">
        <f t="shared" ca="1" si="40"/>
        <v/>
      </c>
      <c r="D235" s="993" t="str">
        <f t="shared" ca="1" si="41"/>
        <v/>
      </c>
      <c r="E235" s="993" t="str">
        <f t="shared" ca="1" si="42"/>
        <v/>
      </c>
      <c r="F235" s="992" t="str">
        <f t="shared" ca="1" si="39"/>
        <v/>
      </c>
      <c r="G235" s="994">
        <f t="shared" ca="1" si="43"/>
        <v>0</v>
      </c>
      <c r="H235" s="913">
        <f t="shared" ca="1" si="44"/>
        <v>0</v>
      </c>
      <c r="I235" s="913">
        <f t="shared" ca="1" si="45"/>
        <v>0</v>
      </c>
      <c r="J235" s="995">
        <f t="shared" ca="1" si="46"/>
        <v>0</v>
      </c>
      <c r="K235" s="913">
        <f t="shared" ca="1" si="47"/>
        <v>0</v>
      </c>
      <c r="L235" s="995">
        <f t="shared" ca="1" si="48"/>
        <v>0</v>
      </c>
      <c r="M235" s="913">
        <f t="shared" ca="1" si="49"/>
        <v>0</v>
      </c>
      <c r="N235" s="996">
        <f t="shared" ca="1" si="50"/>
        <v>0</v>
      </c>
      <c r="O235" s="997">
        <f t="shared" ca="1" si="51"/>
        <v>0</v>
      </c>
      <c r="P235" s="1015" t="str">
        <f ca="1">IF($C235="","",INDEX(NVLSX!$N$2:$N$6941,MATCH($C235,NVLSX!$E$2:$E$6941,0)))</f>
        <v/>
      </c>
      <c r="Q235" s="1016" t="str">
        <f ca="1">IF($R235="","",IF(XKNVLSX!$X$1="",IF($P235=$V$7,$P235, IF(COUNTIFS($C$2:$C234,$C235,$E$2:$E234,$E235)&gt;=1,"",$P235)),     IF(AND(IFERROR(SEARCH($R235,XKNVLSX!$X$1,1),0)&gt;=1,$P235=$V$7),$P235, IF(OR($R235&lt;&gt;IF(IFERROR(SEARCH($R235,XKNVLSX!$X$1,1),0)&gt;=1,$R235,XKNVLSX!$X$1),COUNTIFS($C$2:$C234,$C235,$E$2:$E234,$E235,$Q$2:$Q234,$P235)&gt;=1),"",$P235))))</f>
        <v/>
      </c>
      <c r="R235" s="1017" t="str">
        <f ca="1">IF($A235="","",IFERROR(INDEX(TinhGia!$BF$10:$BF$81,MATCH($A235,TinhGia!$B$10:$B$81,0)),""))</f>
        <v/>
      </c>
      <c r="S235" s="1012" t="str">
        <f ca="1">IF($A235="","",IF(OR(IFERROR(SEARCH($R235,XKNVLSX!$X$1,1),0)&gt;=1,XKNVLSX!$X$1=""),$S$2,""))</f>
        <v/>
      </c>
      <c r="T235" s="1018" t="str">
        <f ca="1">IF($C235="","", IF(OR($P235=$V$1,$P235=$V$7,COUNTIFS($C$3:$C235,$C235,$E$3:$E235,$E235)&lt;=1),$P235,""    ))</f>
        <v/>
      </c>
      <c r="U235" s="1019" t="str">
        <f ca="1">IF(AND($P235=$V$2,COUNTIFS($C$3:$C235,$C235,$E$3:$E235,$E235,$G$3:$G235,$G235)&lt;=1),$P235,"")</f>
        <v/>
      </c>
    </row>
    <row r="236" spans="1:21">
      <c r="A236" s="991" t="str">
        <f ca="1">IFERROR(IF(COUNTIF($A$3:A235,A235)&lt; INDEX(TinhGia!$BH$10:$BH$81,MATCH($A235,TinhGia!$B$10:$B$81,0)),$A235,INDEX(TinhGia!$B$10:$B$81,MATCH($A235,TinhGia!$B$10:$B$81,0)+1)),"")</f>
        <v/>
      </c>
      <c r="B236" s="525" t="str">
        <f ca="1">IF(OR(A236="",A236=0),"",IF(COUNTIF($A$2:A236,$A236)=1,ROW(MauKoXoa!$C$108),$B235+1))</f>
        <v/>
      </c>
      <c r="C236" s="992" t="str">
        <f t="shared" ca="1" si="40"/>
        <v/>
      </c>
      <c r="D236" s="993" t="str">
        <f t="shared" ca="1" si="41"/>
        <v/>
      </c>
      <c r="E236" s="993" t="str">
        <f t="shared" ca="1" si="42"/>
        <v/>
      </c>
      <c r="F236" s="992" t="str">
        <f t="shared" ca="1" si="39"/>
        <v/>
      </c>
      <c r="G236" s="994">
        <f t="shared" ca="1" si="43"/>
        <v>0</v>
      </c>
      <c r="H236" s="913">
        <f t="shared" ca="1" si="44"/>
        <v>0</v>
      </c>
      <c r="I236" s="913">
        <f t="shared" ca="1" si="45"/>
        <v>0</v>
      </c>
      <c r="J236" s="995">
        <f t="shared" ca="1" si="46"/>
        <v>0</v>
      </c>
      <c r="K236" s="913">
        <f t="shared" ca="1" si="47"/>
        <v>0</v>
      </c>
      <c r="L236" s="995">
        <f t="shared" ca="1" si="48"/>
        <v>0</v>
      </c>
      <c r="M236" s="913">
        <f t="shared" ca="1" si="49"/>
        <v>0</v>
      </c>
      <c r="N236" s="996">
        <f t="shared" ca="1" si="50"/>
        <v>0</v>
      </c>
      <c r="O236" s="997">
        <f t="shared" ca="1" si="51"/>
        <v>0</v>
      </c>
      <c r="P236" s="1015" t="str">
        <f ca="1">IF($C236="","",INDEX(NVLSX!$N$2:$N$6941,MATCH($C236,NVLSX!$E$2:$E$6941,0)))</f>
        <v/>
      </c>
      <c r="Q236" s="1016" t="str">
        <f ca="1">IF($R236="","",IF(XKNVLSX!$X$1="",IF($P236=$V$7,$P236, IF(COUNTIFS($C$2:$C235,$C236,$E$2:$E235,$E236)&gt;=1,"",$P236)),     IF(AND(IFERROR(SEARCH($R236,XKNVLSX!$X$1,1),0)&gt;=1,$P236=$V$7),$P236, IF(OR($R236&lt;&gt;IF(IFERROR(SEARCH($R236,XKNVLSX!$X$1,1),0)&gt;=1,$R236,XKNVLSX!$X$1),COUNTIFS($C$2:$C235,$C236,$E$2:$E235,$E236,$Q$2:$Q235,$P236)&gt;=1),"",$P236))))</f>
        <v/>
      </c>
      <c r="R236" s="1017" t="str">
        <f ca="1">IF($A236="","",IFERROR(INDEX(TinhGia!$BF$10:$BF$81,MATCH($A236,TinhGia!$B$10:$B$81,0)),""))</f>
        <v/>
      </c>
      <c r="S236" s="1012" t="str">
        <f ca="1">IF($A236="","",IF(OR(IFERROR(SEARCH($R236,XKNVLSX!$X$1,1),0)&gt;=1,XKNVLSX!$X$1=""),$S$2,""))</f>
        <v/>
      </c>
      <c r="T236" s="1018" t="str">
        <f ca="1">IF($C236="","", IF(OR($P236=$V$1,$P236=$V$7,COUNTIFS($C$3:$C236,$C236,$E$3:$E236,$E236)&lt;=1),$P236,""    ))</f>
        <v/>
      </c>
      <c r="U236" s="1019" t="str">
        <f ca="1">IF(AND($P236=$V$2,COUNTIFS($C$3:$C236,$C236,$E$3:$E236,$E236,$G$3:$G236,$G236)&lt;=1),$P236,"")</f>
        <v/>
      </c>
    </row>
    <row r="237" spans="1:21">
      <c r="A237" s="991" t="str">
        <f ca="1">IFERROR(IF(COUNTIF($A$3:A236,A236)&lt; INDEX(TinhGia!$BH$10:$BH$81,MATCH($A236,TinhGia!$B$10:$B$81,0)),$A236,INDEX(TinhGia!$B$10:$B$81,MATCH($A236,TinhGia!$B$10:$B$81,0)+1)),"")</f>
        <v/>
      </c>
      <c r="B237" s="525" t="str">
        <f ca="1">IF(OR(A237="",A237=0),"",IF(COUNTIF($A$2:A237,$A237)=1,ROW(MauKoXoa!$C$108),$B236+1))</f>
        <v/>
      </c>
      <c r="C237" s="992" t="str">
        <f t="shared" ca="1" si="40"/>
        <v/>
      </c>
      <c r="D237" s="993" t="str">
        <f t="shared" ca="1" si="41"/>
        <v/>
      </c>
      <c r="E237" s="993" t="str">
        <f t="shared" ca="1" si="42"/>
        <v/>
      </c>
      <c r="F237" s="992" t="str">
        <f t="shared" ca="1" si="39"/>
        <v/>
      </c>
      <c r="G237" s="994">
        <f t="shared" ca="1" si="43"/>
        <v>0</v>
      </c>
      <c r="H237" s="913">
        <f t="shared" ca="1" si="44"/>
        <v>0</v>
      </c>
      <c r="I237" s="913">
        <f t="shared" ca="1" si="45"/>
        <v>0</v>
      </c>
      <c r="J237" s="995">
        <f t="shared" ca="1" si="46"/>
        <v>0</v>
      </c>
      <c r="K237" s="913">
        <f t="shared" ca="1" si="47"/>
        <v>0</v>
      </c>
      <c r="L237" s="995">
        <f t="shared" ca="1" si="48"/>
        <v>0</v>
      </c>
      <c r="M237" s="913">
        <f t="shared" ca="1" si="49"/>
        <v>0</v>
      </c>
      <c r="N237" s="996">
        <f t="shared" ca="1" si="50"/>
        <v>0</v>
      </c>
      <c r="O237" s="997">
        <f t="shared" ca="1" si="51"/>
        <v>0</v>
      </c>
      <c r="P237" s="1015" t="str">
        <f ca="1">IF($C237="","",INDEX(NVLSX!$N$2:$N$6941,MATCH($C237,NVLSX!$E$2:$E$6941,0)))</f>
        <v/>
      </c>
      <c r="Q237" s="1016" t="str">
        <f ca="1">IF($R237="","",IF(XKNVLSX!$X$1="",IF($P237=$V$7,$P237, IF(COUNTIFS($C$2:$C236,$C237,$E$2:$E236,$E237)&gt;=1,"",$P237)),     IF(AND(IFERROR(SEARCH($R237,XKNVLSX!$X$1,1),0)&gt;=1,$P237=$V$7),$P237, IF(OR($R237&lt;&gt;IF(IFERROR(SEARCH($R237,XKNVLSX!$X$1,1),0)&gt;=1,$R237,XKNVLSX!$X$1),COUNTIFS($C$2:$C236,$C237,$E$2:$E236,$E237,$Q$2:$Q236,$P237)&gt;=1),"",$P237))))</f>
        <v/>
      </c>
      <c r="R237" s="1017" t="str">
        <f ca="1">IF($A237="","",IFERROR(INDEX(TinhGia!$BF$10:$BF$81,MATCH($A237,TinhGia!$B$10:$B$81,0)),""))</f>
        <v/>
      </c>
      <c r="S237" s="1012" t="str">
        <f ca="1">IF($A237="","",IF(OR(IFERROR(SEARCH($R237,XKNVLSX!$X$1,1),0)&gt;=1,XKNVLSX!$X$1=""),$S$2,""))</f>
        <v/>
      </c>
      <c r="T237" s="1018" t="str">
        <f ca="1">IF($C237="","", IF(OR($P237=$V$1,$P237=$V$7,COUNTIFS($C$3:$C237,$C237,$E$3:$E237,$E237)&lt;=1),$P237,""    ))</f>
        <v/>
      </c>
      <c r="U237" s="1019" t="str">
        <f ca="1">IF(AND($P237=$V$2,COUNTIFS($C$3:$C237,$C237,$E$3:$E237,$E237,$G$3:$G237,$G237)&lt;=1),$P237,"")</f>
        <v/>
      </c>
    </row>
    <row r="238" spans="1:21">
      <c r="A238" s="991" t="str">
        <f ca="1">IFERROR(IF(COUNTIF($A$3:A237,A237)&lt; INDEX(TinhGia!$BH$10:$BH$81,MATCH($A237,TinhGia!$B$10:$B$81,0)),$A237,INDEX(TinhGia!$B$10:$B$81,MATCH($A237,TinhGia!$B$10:$B$81,0)+1)),"")</f>
        <v/>
      </c>
      <c r="B238" s="525" t="str">
        <f ca="1">IF(OR(A238="",A238=0),"",IF(COUNTIF($A$2:A238,$A238)=1,ROW(MauKoXoa!$C$108),$B237+1))</f>
        <v/>
      </c>
      <c r="C238" s="992" t="str">
        <f t="shared" ca="1" si="40"/>
        <v/>
      </c>
      <c r="D238" s="993" t="str">
        <f t="shared" ca="1" si="41"/>
        <v/>
      </c>
      <c r="E238" s="993" t="str">
        <f t="shared" ca="1" si="42"/>
        <v/>
      </c>
      <c r="F238" s="992" t="str">
        <f t="shared" ca="1" si="39"/>
        <v/>
      </c>
      <c r="G238" s="994">
        <f t="shared" ca="1" si="43"/>
        <v>0</v>
      </c>
      <c r="H238" s="913">
        <f t="shared" ca="1" si="44"/>
        <v>0</v>
      </c>
      <c r="I238" s="913">
        <f t="shared" ca="1" si="45"/>
        <v>0</v>
      </c>
      <c r="J238" s="995">
        <f t="shared" ca="1" si="46"/>
        <v>0</v>
      </c>
      <c r="K238" s="913">
        <f t="shared" ca="1" si="47"/>
        <v>0</v>
      </c>
      <c r="L238" s="995">
        <f t="shared" ca="1" si="48"/>
        <v>0</v>
      </c>
      <c r="M238" s="913">
        <f t="shared" ca="1" si="49"/>
        <v>0</v>
      </c>
      <c r="N238" s="996">
        <f t="shared" ca="1" si="50"/>
        <v>0</v>
      </c>
      <c r="O238" s="997">
        <f t="shared" ca="1" si="51"/>
        <v>0</v>
      </c>
      <c r="P238" s="1015" t="str">
        <f ca="1">IF($C238="","",INDEX(NVLSX!$N$2:$N$6941,MATCH($C238,NVLSX!$E$2:$E$6941,0)))</f>
        <v/>
      </c>
      <c r="Q238" s="1016" t="str">
        <f ca="1">IF($R238="","",IF(XKNVLSX!$X$1="",IF($P238=$V$7,$P238, IF(COUNTIFS($C$2:$C237,$C238,$E$2:$E237,$E238)&gt;=1,"",$P238)),     IF(AND(IFERROR(SEARCH($R238,XKNVLSX!$X$1,1),0)&gt;=1,$P238=$V$7),$P238, IF(OR($R238&lt;&gt;IF(IFERROR(SEARCH($R238,XKNVLSX!$X$1,1),0)&gt;=1,$R238,XKNVLSX!$X$1),COUNTIFS($C$2:$C237,$C238,$E$2:$E237,$E238,$Q$2:$Q237,$P238)&gt;=1),"",$P238))))</f>
        <v/>
      </c>
      <c r="R238" s="1017" t="str">
        <f ca="1">IF($A238="","",IFERROR(INDEX(TinhGia!$BF$10:$BF$81,MATCH($A238,TinhGia!$B$10:$B$81,0)),""))</f>
        <v/>
      </c>
      <c r="S238" s="1012" t="str">
        <f ca="1">IF($A238="","",IF(OR(IFERROR(SEARCH($R238,XKNVLSX!$X$1,1),0)&gt;=1,XKNVLSX!$X$1=""),$S$2,""))</f>
        <v/>
      </c>
      <c r="T238" s="1018" t="str">
        <f ca="1">IF($C238="","", IF(OR($P238=$V$1,$P238=$V$7,COUNTIFS($C$3:$C238,$C238,$E$3:$E238,$E238)&lt;=1),$P238,""    ))</f>
        <v/>
      </c>
      <c r="U238" s="1019" t="str">
        <f ca="1">IF(AND($P238=$V$2,COUNTIFS($C$3:$C238,$C238,$E$3:$E238,$E238,$G$3:$G238,$G238)&lt;=1),$P238,"")</f>
        <v/>
      </c>
    </row>
    <row r="239" spans="1:21">
      <c r="A239" s="991" t="str">
        <f ca="1">IFERROR(IF(COUNTIF($A$3:A238,A238)&lt; INDEX(TinhGia!$BH$10:$BH$81,MATCH($A238,TinhGia!$B$10:$B$81,0)),$A238,INDEX(TinhGia!$B$10:$B$81,MATCH($A238,TinhGia!$B$10:$B$81,0)+1)),"")</f>
        <v/>
      </c>
      <c r="B239" s="525" t="str">
        <f ca="1">IF(OR(A239="",A239=0),"",IF(COUNTIF($A$2:A239,$A239)=1,ROW(MauKoXoa!$C$108),$B238+1))</f>
        <v/>
      </c>
      <c r="C239" s="992" t="str">
        <f t="shared" ca="1" si="40"/>
        <v/>
      </c>
      <c r="D239" s="993" t="str">
        <f t="shared" ca="1" si="41"/>
        <v/>
      </c>
      <c r="E239" s="993" t="str">
        <f t="shared" ca="1" si="42"/>
        <v/>
      </c>
      <c r="F239" s="992" t="str">
        <f t="shared" ca="1" si="39"/>
        <v/>
      </c>
      <c r="G239" s="994">
        <f t="shared" ca="1" si="43"/>
        <v>0</v>
      </c>
      <c r="H239" s="913">
        <f t="shared" ca="1" si="44"/>
        <v>0</v>
      </c>
      <c r="I239" s="913">
        <f t="shared" ca="1" si="45"/>
        <v>0</v>
      </c>
      <c r="J239" s="995">
        <f t="shared" ca="1" si="46"/>
        <v>0</v>
      </c>
      <c r="K239" s="913">
        <f t="shared" ca="1" si="47"/>
        <v>0</v>
      </c>
      <c r="L239" s="995">
        <f t="shared" ca="1" si="48"/>
        <v>0</v>
      </c>
      <c r="M239" s="913">
        <f t="shared" ca="1" si="49"/>
        <v>0</v>
      </c>
      <c r="N239" s="996">
        <f t="shared" ca="1" si="50"/>
        <v>0</v>
      </c>
      <c r="O239" s="997">
        <f t="shared" ca="1" si="51"/>
        <v>0</v>
      </c>
      <c r="P239" s="1015" t="str">
        <f ca="1">IF($C239="","",INDEX(NVLSX!$N$2:$N$6941,MATCH($C239,NVLSX!$E$2:$E$6941,0)))</f>
        <v/>
      </c>
      <c r="Q239" s="1016" t="str">
        <f ca="1">IF($R239="","",IF(XKNVLSX!$X$1="",IF($P239=$V$7,$P239, IF(COUNTIFS($C$2:$C238,$C239,$E$2:$E238,$E239)&gt;=1,"",$P239)),     IF(AND(IFERROR(SEARCH($R239,XKNVLSX!$X$1,1),0)&gt;=1,$P239=$V$7),$P239, IF(OR($R239&lt;&gt;IF(IFERROR(SEARCH($R239,XKNVLSX!$X$1,1),0)&gt;=1,$R239,XKNVLSX!$X$1),COUNTIFS($C$2:$C238,$C239,$E$2:$E238,$E239,$Q$2:$Q238,$P239)&gt;=1),"",$P239))))</f>
        <v/>
      </c>
      <c r="R239" s="1017" t="str">
        <f ca="1">IF($A239="","",IFERROR(INDEX(TinhGia!$BF$10:$BF$81,MATCH($A239,TinhGia!$B$10:$B$81,0)),""))</f>
        <v/>
      </c>
      <c r="S239" s="1012" t="str">
        <f ca="1">IF($A239="","",IF(OR(IFERROR(SEARCH($R239,XKNVLSX!$X$1,1),0)&gt;=1,XKNVLSX!$X$1=""),$S$2,""))</f>
        <v/>
      </c>
      <c r="T239" s="1018" t="str">
        <f ca="1">IF($C239="","", IF(OR($P239=$V$1,$P239=$V$7,COUNTIFS($C$3:$C239,$C239,$E$3:$E239,$E239)&lt;=1),$P239,""    ))</f>
        <v/>
      </c>
      <c r="U239" s="1019" t="str">
        <f ca="1">IF(AND($P239=$V$2,COUNTIFS($C$3:$C239,$C239,$E$3:$E239,$E239,$G$3:$G239,$G239)&lt;=1),$P239,"")</f>
        <v/>
      </c>
    </row>
    <row r="240" spans="1:21">
      <c r="A240" s="991" t="str">
        <f ca="1">IFERROR(IF(COUNTIF($A$3:A239,A239)&lt; INDEX(TinhGia!$BH$10:$BH$81,MATCH($A239,TinhGia!$B$10:$B$81,0)),$A239,INDEX(TinhGia!$B$10:$B$81,MATCH($A239,TinhGia!$B$10:$B$81,0)+1)),"")</f>
        <v/>
      </c>
      <c r="B240" s="525" t="str">
        <f ca="1">IF(OR(A240="",A240=0),"",IF(COUNTIF($A$2:A240,$A240)=1,ROW(MauKoXoa!$C$108),$B239+1))</f>
        <v/>
      </c>
      <c r="C240" s="992" t="str">
        <f t="shared" ca="1" si="40"/>
        <v/>
      </c>
      <c r="D240" s="993" t="str">
        <f t="shared" ca="1" si="41"/>
        <v/>
      </c>
      <c r="E240" s="993" t="str">
        <f t="shared" ca="1" si="42"/>
        <v/>
      </c>
      <c r="F240" s="992" t="str">
        <f t="shared" ca="1" si="39"/>
        <v/>
      </c>
      <c r="G240" s="994">
        <f t="shared" ca="1" si="43"/>
        <v>0</v>
      </c>
      <c r="H240" s="913">
        <f t="shared" ca="1" si="44"/>
        <v>0</v>
      </c>
      <c r="I240" s="913">
        <f t="shared" ca="1" si="45"/>
        <v>0</v>
      </c>
      <c r="J240" s="995">
        <f t="shared" ca="1" si="46"/>
        <v>0</v>
      </c>
      <c r="K240" s="913">
        <f t="shared" ca="1" si="47"/>
        <v>0</v>
      </c>
      <c r="L240" s="995">
        <f t="shared" ca="1" si="48"/>
        <v>0</v>
      </c>
      <c r="M240" s="913">
        <f t="shared" ca="1" si="49"/>
        <v>0</v>
      </c>
      <c r="N240" s="996">
        <f t="shared" ca="1" si="50"/>
        <v>0</v>
      </c>
      <c r="O240" s="997">
        <f t="shared" ca="1" si="51"/>
        <v>0</v>
      </c>
      <c r="P240" s="1015" t="str">
        <f ca="1">IF($C240="","",INDEX(NVLSX!$N$2:$N$6941,MATCH($C240,NVLSX!$E$2:$E$6941,0)))</f>
        <v/>
      </c>
      <c r="Q240" s="1016" t="str">
        <f ca="1">IF($R240="","",IF(XKNVLSX!$X$1="",IF($P240=$V$7,$P240, IF(COUNTIFS($C$2:$C239,$C240,$E$2:$E239,$E240)&gt;=1,"",$P240)),     IF(AND(IFERROR(SEARCH($R240,XKNVLSX!$X$1,1),0)&gt;=1,$P240=$V$7),$P240, IF(OR($R240&lt;&gt;IF(IFERROR(SEARCH($R240,XKNVLSX!$X$1,1),0)&gt;=1,$R240,XKNVLSX!$X$1),COUNTIFS($C$2:$C239,$C240,$E$2:$E239,$E240,$Q$2:$Q239,$P240)&gt;=1),"",$P240))))</f>
        <v/>
      </c>
      <c r="R240" s="1017" t="str">
        <f ca="1">IF($A240="","",IFERROR(INDEX(TinhGia!$BF$10:$BF$81,MATCH($A240,TinhGia!$B$10:$B$81,0)),""))</f>
        <v/>
      </c>
      <c r="S240" s="1012" t="str">
        <f ca="1">IF($A240="","",IF(OR(IFERROR(SEARCH($R240,XKNVLSX!$X$1,1),0)&gt;=1,XKNVLSX!$X$1=""),$S$2,""))</f>
        <v/>
      </c>
      <c r="T240" s="1018" t="str">
        <f ca="1">IF($C240="","", IF(OR($P240=$V$1,$P240=$V$7,COUNTIFS($C$3:$C240,$C240,$E$3:$E240,$E240)&lt;=1),$P240,""    ))</f>
        <v/>
      </c>
      <c r="U240" s="1019" t="str">
        <f ca="1">IF(AND($P240=$V$2,COUNTIFS($C$3:$C240,$C240,$E$3:$E240,$E240,$G$3:$G240,$G240)&lt;=1),$P240,"")</f>
        <v/>
      </c>
    </row>
    <row r="241" spans="1:21">
      <c r="A241" s="991" t="str">
        <f ca="1">IFERROR(IF(COUNTIF($A$3:A240,A240)&lt; INDEX(TinhGia!$BH$10:$BH$81,MATCH($A240,TinhGia!$B$10:$B$81,0)),$A240,INDEX(TinhGia!$B$10:$B$81,MATCH($A240,TinhGia!$B$10:$B$81,0)+1)),"")</f>
        <v/>
      </c>
      <c r="B241" s="525" t="str">
        <f ca="1">IF(OR(A241="",A241=0),"",IF(COUNTIF($A$2:A241,$A241)=1,ROW(MauKoXoa!$C$108),$B240+1))</f>
        <v/>
      </c>
      <c r="C241" s="992" t="str">
        <f t="shared" ca="1" si="40"/>
        <v/>
      </c>
      <c r="D241" s="993" t="str">
        <f t="shared" ca="1" si="41"/>
        <v/>
      </c>
      <c r="E241" s="993" t="str">
        <f t="shared" ca="1" si="42"/>
        <v/>
      </c>
      <c r="F241" s="992" t="str">
        <f t="shared" ca="1" si="39"/>
        <v/>
      </c>
      <c r="G241" s="994">
        <f t="shared" ca="1" si="43"/>
        <v>0</v>
      </c>
      <c r="H241" s="913">
        <f t="shared" ca="1" si="44"/>
        <v>0</v>
      </c>
      <c r="I241" s="913">
        <f t="shared" ca="1" si="45"/>
        <v>0</v>
      </c>
      <c r="J241" s="995">
        <f t="shared" ca="1" si="46"/>
        <v>0</v>
      </c>
      <c r="K241" s="913">
        <f t="shared" ca="1" si="47"/>
        <v>0</v>
      </c>
      <c r="L241" s="995">
        <f t="shared" ca="1" si="48"/>
        <v>0</v>
      </c>
      <c r="M241" s="913">
        <f t="shared" ca="1" si="49"/>
        <v>0</v>
      </c>
      <c r="N241" s="996">
        <f t="shared" ca="1" si="50"/>
        <v>0</v>
      </c>
      <c r="O241" s="997">
        <f t="shared" ca="1" si="51"/>
        <v>0</v>
      </c>
      <c r="P241" s="1015" t="str">
        <f ca="1">IF($C241="","",INDEX(NVLSX!$N$2:$N$6941,MATCH($C241,NVLSX!$E$2:$E$6941,0)))</f>
        <v/>
      </c>
      <c r="Q241" s="1016" t="str">
        <f ca="1">IF($R241="","",IF(XKNVLSX!$X$1="",IF($P241=$V$7,$P241, IF(COUNTIFS($C$2:$C240,$C241,$E$2:$E240,$E241)&gt;=1,"",$P241)),     IF(AND(IFERROR(SEARCH($R241,XKNVLSX!$X$1,1),0)&gt;=1,$P241=$V$7),$P241, IF(OR($R241&lt;&gt;IF(IFERROR(SEARCH($R241,XKNVLSX!$X$1,1),0)&gt;=1,$R241,XKNVLSX!$X$1),COUNTIFS($C$2:$C240,$C241,$E$2:$E240,$E241,$Q$2:$Q240,$P241)&gt;=1),"",$P241))))</f>
        <v/>
      </c>
      <c r="R241" s="1017" t="str">
        <f ca="1">IF($A241="","",IFERROR(INDEX(TinhGia!$BF$10:$BF$81,MATCH($A241,TinhGia!$B$10:$B$81,0)),""))</f>
        <v/>
      </c>
      <c r="S241" s="1012" t="str">
        <f ca="1">IF($A241="","",IF(OR(IFERROR(SEARCH($R241,XKNVLSX!$X$1,1),0)&gt;=1,XKNVLSX!$X$1=""),$S$2,""))</f>
        <v/>
      </c>
      <c r="T241" s="1018" t="str">
        <f ca="1">IF($C241="","", IF(OR($P241=$V$1,$P241=$V$7,COUNTIFS($C$3:$C241,$C241,$E$3:$E241,$E241)&lt;=1),$P241,""    ))</f>
        <v/>
      </c>
      <c r="U241" s="1019" t="str">
        <f ca="1">IF(AND($P241=$V$2,COUNTIFS($C$3:$C241,$C241,$E$3:$E241,$E241,$G$3:$G241,$G241)&lt;=1),$P241,"")</f>
        <v/>
      </c>
    </row>
    <row r="242" spans="1:21">
      <c r="A242" s="991" t="str">
        <f ca="1">IFERROR(IF(COUNTIF($A$3:A241,A241)&lt; INDEX(TinhGia!$BH$10:$BH$81,MATCH($A241,TinhGia!$B$10:$B$81,0)),$A241,INDEX(TinhGia!$B$10:$B$81,MATCH($A241,TinhGia!$B$10:$B$81,0)+1)),"")</f>
        <v/>
      </c>
      <c r="B242" s="525" t="str">
        <f ca="1">IF(OR(A242="",A242=0),"",IF(COUNTIF($A$2:A242,$A242)=1,ROW(MauKoXoa!$C$108),$B241+1))</f>
        <v/>
      </c>
      <c r="C242" s="992" t="str">
        <f t="shared" ca="1" si="40"/>
        <v/>
      </c>
      <c r="D242" s="993" t="str">
        <f t="shared" ca="1" si="41"/>
        <v/>
      </c>
      <c r="E242" s="993" t="str">
        <f t="shared" ca="1" si="42"/>
        <v/>
      </c>
      <c r="F242" s="992" t="str">
        <f t="shared" ca="1" si="39"/>
        <v/>
      </c>
      <c r="G242" s="994">
        <f t="shared" ca="1" si="43"/>
        <v>0</v>
      </c>
      <c r="H242" s="913">
        <f t="shared" ca="1" si="44"/>
        <v>0</v>
      </c>
      <c r="I242" s="913">
        <f t="shared" ca="1" si="45"/>
        <v>0</v>
      </c>
      <c r="J242" s="995">
        <f t="shared" ca="1" si="46"/>
        <v>0</v>
      </c>
      <c r="K242" s="913">
        <f t="shared" ca="1" si="47"/>
        <v>0</v>
      </c>
      <c r="L242" s="995">
        <f t="shared" ca="1" si="48"/>
        <v>0</v>
      </c>
      <c r="M242" s="913">
        <f t="shared" ca="1" si="49"/>
        <v>0</v>
      </c>
      <c r="N242" s="996">
        <f t="shared" ca="1" si="50"/>
        <v>0</v>
      </c>
      <c r="O242" s="997">
        <f t="shared" ca="1" si="51"/>
        <v>0</v>
      </c>
      <c r="P242" s="1015" t="str">
        <f ca="1">IF($C242="","",INDEX(NVLSX!$N$2:$N$6941,MATCH($C242,NVLSX!$E$2:$E$6941,0)))</f>
        <v/>
      </c>
      <c r="Q242" s="1016" t="str">
        <f ca="1">IF($R242="","",IF(XKNVLSX!$X$1="",IF($P242=$V$7,$P242, IF(COUNTIFS($C$2:$C241,$C242,$E$2:$E241,$E242)&gt;=1,"",$P242)),     IF(AND(IFERROR(SEARCH($R242,XKNVLSX!$X$1,1),0)&gt;=1,$P242=$V$7),$P242, IF(OR($R242&lt;&gt;IF(IFERROR(SEARCH($R242,XKNVLSX!$X$1,1),0)&gt;=1,$R242,XKNVLSX!$X$1),COUNTIFS($C$2:$C241,$C242,$E$2:$E241,$E242,$Q$2:$Q241,$P242)&gt;=1),"",$P242))))</f>
        <v/>
      </c>
      <c r="R242" s="1017" t="str">
        <f ca="1">IF($A242="","",IFERROR(INDEX(TinhGia!$BF$10:$BF$81,MATCH($A242,TinhGia!$B$10:$B$81,0)),""))</f>
        <v/>
      </c>
      <c r="S242" s="1012" t="str">
        <f ca="1">IF($A242="","",IF(OR(IFERROR(SEARCH($R242,XKNVLSX!$X$1,1),0)&gt;=1,XKNVLSX!$X$1=""),$S$2,""))</f>
        <v/>
      </c>
      <c r="T242" s="1018" t="str">
        <f ca="1">IF($C242="","", IF(OR($P242=$V$1,$P242=$V$7,COUNTIFS($C$3:$C242,$C242,$E$3:$E242,$E242)&lt;=1),$P242,""    ))</f>
        <v/>
      </c>
      <c r="U242" s="1019" t="str">
        <f ca="1">IF(AND($P242=$V$2,COUNTIFS($C$3:$C242,$C242,$E$3:$E242,$E242,$G$3:$G242,$G242)&lt;=1),$P242,"")</f>
        <v/>
      </c>
    </row>
    <row r="243" spans="1:21">
      <c r="A243" s="991" t="str">
        <f ca="1">IFERROR(IF(COUNTIF($A$3:A242,A242)&lt; INDEX(TinhGia!$BH$10:$BH$81,MATCH($A242,TinhGia!$B$10:$B$81,0)),$A242,INDEX(TinhGia!$B$10:$B$81,MATCH($A242,TinhGia!$B$10:$B$81,0)+1)),"")</f>
        <v/>
      </c>
      <c r="B243" s="525" t="str">
        <f ca="1">IF(OR(A243="",A243=0),"",IF(COUNTIF($A$2:A243,$A243)=1,ROW(MauKoXoa!$C$108),$B242+1))</f>
        <v/>
      </c>
      <c r="C243" s="992" t="str">
        <f t="shared" ca="1" si="40"/>
        <v/>
      </c>
      <c r="D243" s="993" t="str">
        <f t="shared" ca="1" si="41"/>
        <v/>
      </c>
      <c r="E243" s="993" t="str">
        <f t="shared" ca="1" si="42"/>
        <v/>
      </c>
      <c r="F243" s="992" t="str">
        <f t="shared" ca="1" si="39"/>
        <v/>
      </c>
      <c r="G243" s="994">
        <f t="shared" ca="1" si="43"/>
        <v>0</v>
      </c>
      <c r="H243" s="913">
        <f t="shared" ca="1" si="44"/>
        <v>0</v>
      </c>
      <c r="I243" s="913">
        <f t="shared" ca="1" si="45"/>
        <v>0</v>
      </c>
      <c r="J243" s="995">
        <f t="shared" ca="1" si="46"/>
        <v>0</v>
      </c>
      <c r="K243" s="913">
        <f t="shared" ca="1" si="47"/>
        <v>0</v>
      </c>
      <c r="L243" s="995">
        <f t="shared" ca="1" si="48"/>
        <v>0</v>
      </c>
      <c r="M243" s="913">
        <f t="shared" ca="1" si="49"/>
        <v>0</v>
      </c>
      <c r="N243" s="996">
        <f t="shared" ca="1" si="50"/>
        <v>0</v>
      </c>
      <c r="O243" s="997">
        <f t="shared" ca="1" si="51"/>
        <v>0</v>
      </c>
      <c r="P243" s="1015" t="str">
        <f ca="1">IF($C243="","",INDEX(NVLSX!$N$2:$N$6941,MATCH($C243,NVLSX!$E$2:$E$6941,0)))</f>
        <v/>
      </c>
      <c r="Q243" s="1016" t="str">
        <f ca="1">IF($R243="","",IF(XKNVLSX!$X$1="",IF($P243=$V$7,$P243, IF(COUNTIFS($C$2:$C242,$C243,$E$2:$E242,$E243)&gt;=1,"",$P243)),     IF(AND(IFERROR(SEARCH($R243,XKNVLSX!$X$1,1),0)&gt;=1,$P243=$V$7),$P243, IF(OR($R243&lt;&gt;IF(IFERROR(SEARCH($R243,XKNVLSX!$X$1,1),0)&gt;=1,$R243,XKNVLSX!$X$1),COUNTIFS($C$2:$C242,$C243,$E$2:$E242,$E243,$Q$2:$Q242,$P243)&gt;=1),"",$P243))))</f>
        <v/>
      </c>
      <c r="R243" s="1017" t="str">
        <f ca="1">IF($A243="","",IFERROR(INDEX(TinhGia!$BF$10:$BF$81,MATCH($A243,TinhGia!$B$10:$B$81,0)),""))</f>
        <v/>
      </c>
      <c r="S243" s="1012" t="str">
        <f ca="1">IF($A243="","",IF(OR(IFERROR(SEARCH($R243,XKNVLSX!$X$1,1),0)&gt;=1,XKNVLSX!$X$1=""),$S$2,""))</f>
        <v/>
      </c>
      <c r="T243" s="1018" t="str">
        <f ca="1">IF($C243="","", IF(OR($P243=$V$1,$P243=$V$7,COUNTIFS($C$3:$C243,$C243,$E$3:$E243,$E243)&lt;=1),$P243,""    ))</f>
        <v/>
      </c>
      <c r="U243" s="1019" t="str">
        <f ca="1">IF(AND($P243=$V$2,COUNTIFS($C$3:$C243,$C243,$E$3:$E243,$E243,$G$3:$G243,$G243)&lt;=1),$P243,"")</f>
        <v/>
      </c>
    </row>
    <row r="244" spans="1:21">
      <c r="A244" s="991" t="str">
        <f ca="1">IFERROR(IF(COUNTIF($A$3:A243,A243)&lt; INDEX(TinhGia!$BH$10:$BH$81,MATCH($A243,TinhGia!$B$10:$B$81,0)),$A243,INDEX(TinhGia!$B$10:$B$81,MATCH($A243,TinhGia!$B$10:$B$81,0)+1)),"")</f>
        <v/>
      </c>
      <c r="B244" s="525" t="str">
        <f ca="1">IF(OR(A244="",A244=0),"",IF(COUNTIF($A$2:A244,$A244)=1,ROW(MauKoXoa!$C$108),$B243+1))</f>
        <v/>
      </c>
      <c r="C244" s="992" t="str">
        <f t="shared" ca="1" si="40"/>
        <v/>
      </c>
      <c r="D244" s="993" t="str">
        <f t="shared" ca="1" si="41"/>
        <v/>
      </c>
      <c r="E244" s="993" t="str">
        <f t="shared" ca="1" si="42"/>
        <v/>
      </c>
      <c r="F244" s="992" t="str">
        <f t="shared" ca="1" si="39"/>
        <v/>
      </c>
      <c r="G244" s="994">
        <f t="shared" ca="1" si="43"/>
        <v>0</v>
      </c>
      <c r="H244" s="913">
        <f t="shared" ca="1" si="44"/>
        <v>0</v>
      </c>
      <c r="I244" s="913">
        <f t="shared" ca="1" si="45"/>
        <v>0</v>
      </c>
      <c r="J244" s="995">
        <f t="shared" ca="1" si="46"/>
        <v>0</v>
      </c>
      <c r="K244" s="913">
        <f t="shared" ca="1" si="47"/>
        <v>0</v>
      </c>
      <c r="L244" s="995">
        <f t="shared" ca="1" si="48"/>
        <v>0</v>
      </c>
      <c r="M244" s="913">
        <f t="shared" ca="1" si="49"/>
        <v>0</v>
      </c>
      <c r="N244" s="996">
        <f t="shared" ca="1" si="50"/>
        <v>0</v>
      </c>
      <c r="O244" s="997">
        <f t="shared" ca="1" si="51"/>
        <v>0</v>
      </c>
      <c r="P244" s="1015" t="str">
        <f ca="1">IF($C244="","",INDEX(NVLSX!$N$2:$N$6941,MATCH($C244,NVLSX!$E$2:$E$6941,0)))</f>
        <v/>
      </c>
      <c r="Q244" s="1016" t="str">
        <f ca="1">IF($R244="","",IF(XKNVLSX!$X$1="",IF($P244=$V$7,$P244, IF(COUNTIFS($C$2:$C243,$C244,$E$2:$E243,$E244)&gt;=1,"",$P244)),     IF(AND(IFERROR(SEARCH($R244,XKNVLSX!$X$1,1),0)&gt;=1,$P244=$V$7),$P244, IF(OR($R244&lt;&gt;IF(IFERROR(SEARCH($R244,XKNVLSX!$X$1,1),0)&gt;=1,$R244,XKNVLSX!$X$1),COUNTIFS($C$2:$C243,$C244,$E$2:$E243,$E244,$Q$2:$Q243,$P244)&gt;=1),"",$P244))))</f>
        <v/>
      </c>
      <c r="R244" s="1017" t="str">
        <f ca="1">IF($A244="","",IFERROR(INDEX(TinhGia!$BF$10:$BF$81,MATCH($A244,TinhGia!$B$10:$B$81,0)),""))</f>
        <v/>
      </c>
      <c r="S244" s="1012" t="str">
        <f ca="1">IF($A244="","",IF(OR(IFERROR(SEARCH($R244,XKNVLSX!$X$1,1),0)&gt;=1,XKNVLSX!$X$1=""),$S$2,""))</f>
        <v/>
      </c>
      <c r="T244" s="1018" t="str">
        <f ca="1">IF($C244="","", IF(OR($P244=$V$1,$P244=$V$7,COUNTIFS($C$3:$C244,$C244,$E$3:$E244,$E244)&lt;=1),$P244,""    ))</f>
        <v/>
      </c>
      <c r="U244" s="1019" t="str">
        <f ca="1">IF(AND($P244=$V$2,COUNTIFS($C$3:$C244,$C244,$E$3:$E244,$E244,$G$3:$G244,$G244)&lt;=1),$P244,"")</f>
        <v/>
      </c>
    </row>
    <row r="245" spans="1:21">
      <c r="A245" s="991" t="str">
        <f ca="1">IFERROR(IF(COUNTIF($A$3:A244,A244)&lt; INDEX(TinhGia!$BH$10:$BH$81,MATCH($A244,TinhGia!$B$10:$B$81,0)),$A244,INDEX(TinhGia!$B$10:$B$81,MATCH($A244,TinhGia!$B$10:$B$81,0)+1)),"")</f>
        <v/>
      </c>
      <c r="B245" s="525" t="str">
        <f ca="1">IF(OR(A245="",A245=0),"",IF(COUNTIF($A$2:A245,$A245)=1,ROW(MauKoXoa!$C$108),$B244+1))</f>
        <v/>
      </c>
      <c r="C245" s="992" t="str">
        <f t="shared" ca="1" si="40"/>
        <v/>
      </c>
      <c r="D245" s="993" t="str">
        <f t="shared" ca="1" si="41"/>
        <v/>
      </c>
      <c r="E245" s="993" t="str">
        <f t="shared" ca="1" si="42"/>
        <v/>
      </c>
      <c r="F245" s="992" t="str">
        <f t="shared" ca="1" si="39"/>
        <v/>
      </c>
      <c r="G245" s="994">
        <f t="shared" ca="1" si="43"/>
        <v>0</v>
      </c>
      <c r="H245" s="913">
        <f t="shared" ca="1" si="44"/>
        <v>0</v>
      </c>
      <c r="I245" s="913">
        <f t="shared" ca="1" si="45"/>
        <v>0</v>
      </c>
      <c r="J245" s="995">
        <f t="shared" ca="1" si="46"/>
        <v>0</v>
      </c>
      <c r="K245" s="913">
        <f t="shared" ca="1" si="47"/>
        <v>0</v>
      </c>
      <c r="L245" s="995">
        <f t="shared" ca="1" si="48"/>
        <v>0</v>
      </c>
      <c r="M245" s="913">
        <f t="shared" ca="1" si="49"/>
        <v>0</v>
      </c>
      <c r="N245" s="996">
        <f t="shared" ca="1" si="50"/>
        <v>0</v>
      </c>
      <c r="O245" s="997">
        <f t="shared" ca="1" si="51"/>
        <v>0</v>
      </c>
      <c r="P245" s="1015" t="str">
        <f ca="1">IF($C245="","",INDEX(NVLSX!$N$2:$N$6941,MATCH($C245,NVLSX!$E$2:$E$6941,0)))</f>
        <v/>
      </c>
      <c r="Q245" s="1016" t="str">
        <f ca="1">IF($R245="","",IF(XKNVLSX!$X$1="",IF($P245=$V$7,$P245, IF(COUNTIFS($C$2:$C244,$C245,$E$2:$E244,$E245)&gt;=1,"",$P245)),     IF(AND(IFERROR(SEARCH($R245,XKNVLSX!$X$1,1),0)&gt;=1,$P245=$V$7),$P245, IF(OR($R245&lt;&gt;IF(IFERROR(SEARCH($R245,XKNVLSX!$X$1,1),0)&gt;=1,$R245,XKNVLSX!$X$1),COUNTIFS($C$2:$C244,$C245,$E$2:$E244,$E245,$Q$2:$Q244,$P245)&gt;=1),"",$P245))))</f>
        <v/>
      </c>
      <c r="R245" s="1017" t="str">
        <f ca="1">IF($A245="","",IFERROR(INDEX(TinhGia!$BF$10:$BF$81,MATCH($A245,TinhGia!$B$10:$B$81,0)),""))</f>
        <v/>
      </c>
      <c r="S245" s="1012" t="str">
        <f ca="1">IF($A245="","",IF(OR(IFERROR(SEARCH($R245,XKNVLSX!$X$1,1),0)&gt;=1,XKNVLSX!$X$1=""),$S$2,""))</f>
        <v/>
      </c>
      <c r="T245" s="1018" t="str">
        <f ca="1">IF($C245="","", IF(OR($P245=$V$1,$P245=$V$7,COUNTIFS($C$3:$C245,$C245,$E$3:$E245,$E245)&lt;=1),$P245,""    ))</f>
        <v/>
      </c>
      <c r="U245" s="1019" t="str">
        <f ca="1">IF(AND($P245=$V$2,COUNTIFS($C$3:$C245,$C245,$E$3:$E245,$E245,$G$3:$G245,$G245)&lt;=1),$P245,"")</f>
        <v/>
      </c>
    </row>
    <row r="246" spans="1:21">
      <c r="A246" s="991" t="str">
        <f ca="1">IFERROR(IF(COUNTIF($A$3:A245,A245)&lt; INDEX(TinhGia!$BH$10:$BH$81,MATCH($A245,TinhGia!$B$10:$B$81,0)),$A245,INDEX(TinhGia!$B$10:$B$81,MATCH($A245,TinhGia!$B$10:$B$81,0)+1)),"")</f>
        <v/>
      </c>
      <c r="B246" s="525" t="str">
        <f ca="1">IF(OR(A246="",A246=0),"",IF(COUNTIF($A$2:A246,$A246)=1,ROW(MauKoXoa!$C$108),$B245+1))</f>
        <v/>
      </c>
      <c r="C246" s="992" t="str">
        <f t="shared" ca="1" si="40"/>
        <v/>
      </c>
      <c r="D246" s="993" t="str">
        <f t="shared" ca="1" si="41"/>
        <v/>
      </c>
      <c r="E246" s="993" t="str">
        <f t="shared" ca="1" si="42"/>
        <v/>
      </c>
      <c r="F246" s="992" t="str">
        <f t="shared" ca="1" si="39"/>
        <v/>
      </c>
      <c r="G246" s="994">
        <f t="shared" ca="1" si="43"/>
        <v>0</v>
      </c>
      <c r="H246" s="913">
        <f t="shared" ca="1" si="44"/>
        <v>0</v>
      </c>
      <c r="I246" s="913">
        <f t="shared" ca="1" si="45"/>
        <v>0</v>
      </c>
      <c r="J246" s="995">
        <f t="shared" ca="1" si="46"/>
        <v>0</v>
      </c>
      <c r="K246" s="913">
        <f t="shared" ca="1" si="47"/>
        <v>0</v>
      </c>
      <c r="L246" s="995">
        <f t="shared" ca="1" si="48"/>
        <v>0</v>
      </c>
      <c r="M246" s="913">
        <f t="shared" ca="1" si="49"/>
        <v>0</v>
      </c>
      <c r="N246" s="996">
        <f t="shared" ca="1" si="50"/>
        <v>0</v>
      </c>
      <c r="O246" s="997">
        <f t="shared" ca="1" si="51"/>
        <v>0</v>
      </c>
      <c r="P246" s="1015" t="str">
        <f ca="1">IF($C246="","",INDEX(NVLSX!$N$2:$N$6941,MATCH($C246,NVLSX!$E$2:$E$6941,0)))</f>
        <v/>
      </c>
      <c r="Q246" s="1016" t="str">
        <f ca="1">IF($R246="","",IF(XKNVLSX!$X$1="",IF($P246=$V$7,$P246, IF(COUNTIFS($C$2:$C245,$C246,$E$2:$E245,$E246)&gt;=1,"",$P246)),     IF(AND(IFERROR(SEARCH($R246,XKNVLSX!$X$1,1),0)&gt;=1,$P246=$V$7),$P246, IF(OR($R246&lt;&gt;IF(IFERROR(SEARCH($R246,XKNVLSX!$X$1,1),0)&gt;=1,$R246,XKNVLSX!$X$1),COUNTIFS($C$2:$C245,$C246,$E$2:$E245,$E246,$Q$2:$Q245,$P246)&gt;=1),"",$P246))))</f>
        <v/>
      </c>
      <c r="R246" s="1017" t="str">
        <f ca="1">IF($A246="","",IFERROR(INDEX(TinhGia!$BF$10:$BF$81,MATCH($A246,TinhGia!$B$10:$B$81,0)),""))</f>
        <v/>
      </c>
      <c r="S246" s="1012" t="str">
        <f ca="1">IF($A246="","",IF(OR(IFERROR(SEARCH($R246,XKNVLSX!$X$1,1),0)&gt;=1,XKNVLSX!$X$1=""),$S$2,""))</f>
        <v/>
      </c>
      <c r="T246" s="1018" t="str">
        <f ca="1">IF($C246="","", IF(OR($P246=$V$1,$P246=$V$7,COUNTIFS($C$3:$C246,$C246,$E$3:$E246,$E246)&lt;=1),$P246,""    ))</f>
        <v/>
      </c>
      <c r="U246" s="1019" t="str">
        <f ca="1">IF(AND($P246=$V$2,COUNTIFS($C$3:$C246,$C246,$E$3:$E246,$E246,$G$3:$G246,$G246)&lt;=1),$P246,"")</f>
        <v/>
      </c>
    </row>
    <row r="247" spans="1:21">
      <c r="A247" s="991" t="str">
        <f ca="1">IFERROR(IF(COUNTIF($A$3:A246,A246)&lt; INDEX(TinhGia!$BH$10:$BH$81,MATCH($A246,TinhGia!$B$10:$B$81,0)),$A246,INDEX(TinhGia!$B$10:$B$81,MATCH($A246,TinhGia!$B$10:$B$81,0)+1)),"")</f>
        <v/>
      </c>
      <c r="B247" s="525" t="str">
        <f ca="1">IF(OR(A247="",A247=0),"",IF(COUNTIF($A$2:A247,$A247)=1,ROW(MauKoXoa!$C$108),$B246+1))</f>
        <v/>
      </c>
      <c r="C247" s="992" t="str">
        <f t="shared" ca="1" si="40"/>
        <v/>
      </c>
      <c r="D247" s="993" t="str">
        <f t="shared" ca="1" si="41"/>
        <v/>
      </c>
      <c r="E247" s="993" t="str">
        <f t="shared" ca="1" si="42"/>
        <v/>
      </c>
      <c r="F247" s="992" t="str">
        <f t="shared" ca="1" si="39"/>
        <v/>
      </c>
      <c r="G247" s="994">
        <f t="shared" ca="1" si="43"/>
        <v>0</v>
      </c>
      <c r="H247" s="913">
        <f t="shared" ca="1" si="44"/>
        <v>0</v>
      </c>
      <c r="I247" s="913">
        <f t="shared" ca="1" si="45"/>
        <v>0</v>
      </c>
      <c r="J247" s="995">
        <f t="shared" ca="1" si="46"/>
        <v>0</v>
      </c>
      <c r="K247" s="913">
        <f t="shared" ca="1" si="47"/>
        <v>0</v>
      </c>
      <c r="L247" s="995">
        <f t="shared" ca="1" si="48"/>
        <v>0</v>
      </c>
      <c r="M247" s="913">
        <f t="shared" ca="1" si="49"/>
        <v>0</v>
      </c>
      <c r="N247" s="996">
        <f t="shared" ca="1" si="50"/>
        <v>0</v>
      </c>
      <c r="O247" s="997">
        <f t="shared" ca="1" si="51"/>
        <v>0</v>
      </c>
      <c r="P247" s="1015" t="str">
        <f ca="1">IF($C247="","",INDEX(NVLSX!$N$2:$N$6941,MATCH($C247,NVLSX!$E$2:$E$6941,0)))</f>
        <v/>
      </c>
      <c r="Q247" s="1016" t="str">
        <f ca="1">IF($R247="","",IF(XKNVLSX!$X$1="",IF($P247=$V$7,$P247, IF(COUNTIFS($C$2:$C246,$C247,$E$2:$E246,$E247)&gt;=1,"",$P247)),     IF(AND(IFERROR(SEARCH($R247,XKNVLSX!$X$1,1),0)&gt;=1,$P247=$V$7),$P247, IF(OR($R247&lt;&gt;IF(IFERROR(SEARCH($R247,XKNVLSX!$X$1,1),0)&gt;=1,$R247,XKNVLSX!$X$1),COUNTIFS($C$2:$C246,$C247,$E$2:$E246,$E247,$Q$2:$Q246,$P247)&gt;=1),"",$P247))))</f>
        <v/>
      </c>
      <c r="R247" s="1017" t="str">
        <f ca="1">IF($A247="","",IFERROR(INDEX(TinhGia!$BF$10:$BF$81,MATCH($A247,TinhGia!$B$10:$B$81,0)),""))</f>
        <v/>
      </c>
      <c r="S247" s="1012" t="str">
        <f ca="1">IF($A247="","",IF(OR(IFERROR(SEARCH($R247,XKNVLSX!$X$1,1),0)&gt;=1,XKNVLSX!$X$1=""),$S$2,""))</f>
        <v/>
      </c>
      <c r="T247" s="1018" t="str">
        <f ca="1">IF($C247="","", IF(OR($P247=$V$1,$P247=$V$7,COUNTIFS($C$3:$C247,$C247,$E$3:$E247,$E247)&lt;=1),$P247,""    ))</f>
        <v/>
      </c>
      <c r="U247" s="1019" t="str">
        <f ca="1">IF(AND($P247=$V$2,COUNTIFS($C$3:$C247,$C247,$E$3:$E247,$E247,$G$3:$G247,$G247)&lt;=1),$P247,"")</f>
        <v/>
      </c>
    </row>
    <row r="248" spans="1:21">
      <c r="A248" s="991" t="str">
        <f ca="1">IFERROR(IF(COUNTIF($A$3:A247,A247)&lt; INDEX(TinhGia!$BH$10:$BH$81,MATCH($A247,TinhGia!$B$10:$B$81,0)),$A247,INDEX(TinhGia!$B$10:$B$81,MATCH($A247,TinhGia!$B$10:$B$81,0)+1)),"")</f>
        <v/>
      </c>
      <c r="B248" s="525" t="str">
        <f ca="1">IF(OR(A248="",A248=0),"",IF(COUNTIF($A$2:A248,$A248)=1,ROW(MauKoXoa!$C$108),$B247+1))</f>
        <v/>
      </c>
      <c r="C248" s="992" t="str">
        <f t="shared" ca="1" si="40"/>
        <v/>
      </c>
      <c r="D248" s="993" t="str">
        <f t="shared" ca="1" si="41"/>
        <v/>
      </c>
      <c r="E248" s="993" t="str">
        <f t="shared" ca="1" si="42"/>
        <v/>
      </c>
      <c r="F248" s="992" t="str">
        <f t="shared" ca="1" si="39"/>
        <v/>
      </c>
      <c r="G248" s="994">
        <f t="shared" ca="1" si="43"/>
        <v>0</v>
      </c>
      <c r="H248" s="913">
        <f t="shared" ca="1" si="44"/>
        <v>0</v>
      </c>
      <c r="I248" s="913">
        <f t="shared" ca="1" si="45"/>
        <v>0</v>
      </c>
      <c r="J248" s="995">
        <f t="shared" ca="1" si="46"/>
        <v>0</v>
      </c>
      <c r="K248" s="913">
        <f t="shared" ca="1" si="47"/>
        <v>0</v>
      </c>
      <c r="L248" s="995">
        <f t="shared" ca="1" si="48"/>
        <v>0</v>
      </c>
      <c r="M248" s="913">
        <f t="shared" ca="1" si="49"/>
        <v>0</v>
      </c>
      <c r="N248" s="996">
        <f t="shared" ca="1" si="50"/>
        <v>0</v>
      </c>
      <c r="O248" s="997">
        <f t="shared" ca="1" si="51"/>
        <v>0</v>
      </c>
      <c r="P248" s="1015" t="str">
        <f ca="1">IF($C248="","",INDEX(NVLSX!$N$2:$N$6941,MATCH($C248,NVLSX!$E$2:$E$6941,0)))</f>
        <v/>
      </c>
      <c r="Q248" s="1016" t="str">
        <f ca="1">IF($R248="","",IF(XKNVLSX!$X$1="",IF($P248=$V$7,$P248, IF(COUNTIFS($C$2:$C247,$C248,$E$2:$E247,$E248)&gt;=1,"",$P248)),     IF(AND(IFERROR(SEARCH($R248,XKNVLSX!$X$1,1),0)&gt;=1,$P248=$V$7),$P248, IF(OR($R248&lt;&gt;IF(IFERROR(SEARCH($R248,XKNVLSX!$X$1,1),0)&gt;=1,$R248,XKNVLSX!$X$1),COUNTIFS($C$2:$C247,$C248,$E$2:$E247,$E248,$Q$2:$Q247,$P248)&gt;=1),"",$P248))))</f>
        <v/>
      </c>
      <c r="R248" s="1017" t="str">
        <f ca="1">IF($A248="","",IFERROR(INDEX(TinhGia!$BF$10:$BF$81,MATCH($A248,TinhGia!$B$10:$B$81,0)),""))</f>
        <v/>
      </c>
      <c r="S248" s="1012" t="str">
        <f ca="1">IF($A248="","",IF(OR(IFERROR(SEARCH($R248,XKNVLSX!$X$1,1),0)&gt;=1,XKNVLSX!$X$1=""),$S$2,""))</f>
        <v/>
      </c>
      <c r="T248" s="1018" t="str">
        <f ca="1">IF($C248="","", IF(OR($P248=$V$1,$P248=$V$7,COUNTIFS($C$3:$C248,$C248,$E$3:$E248,$E248)&lt;=1),$P248,""    ))</f>
        <v/>
      </c>
      <c r="U248" s="1019" t="str">
        <f ca="1">IF(AND($P248=$V$2,COUNTIFS($C$3:$C248,$C248,$E$3:$E248,$E248,$G$3:$G248,$G248)&lt;=1),$P248,"")</f>
        <v/>
      </c>
    </row>
    <row r="249" spans="1:21">
      <c r="A249" s="991" t="str">
        <f ca="1">IFERROR(IF(COUNTIF($A$3:A248,A248)&lt; INDEX(TinhGia!$BH$10:$BH$81,MATCH($A248,TinhGia!$B$10:$B$81,0)),$A248,INDEX(TinhGia!$B$10:$B$81,MATCH($A248,TinhGia!$B$10:$B$81,0)+1)),"")</f>
        <v/>
      </c>
      <c r="B249" s="525" t="str">
        <f ca="1">IF(OR(A249="",A249=0),"",IF(COUNTIF($A$2:A249,$A249)=1,ROW(MauKoXoa!$C$108),$B248+1))</f>
        <v/>
      </c>
      <c r="C249" s="992" t="str">
        <f t="shared" ca="1" si="40"/>
        <v/>
      </c>
      <c r="D249" s="993" t="str">
        <f t="shared" ca="1" si="41"/>
        <v/>
      </c>
      <c r="E249" s="993" t="str">
        <f t="shared" ca="1" si="42"/>
        <v/>
      </c>
      <c r="F249" s="992" t="str">
        <f t="shared" ca="1" si="39"/>
        <v/>
      </c>
      <c r="G249" s="994">
        <f t="shared" ca="1" si="43"/>
        <v>0</v>
      </c>
      <c r="H249" s="913">
        <f t="shared" ca="1" si="44"/>
        <v>0</v>
      </c>
      <c r="I249" s="913">
        <f t="shared" ca="1" si="45"/>
        <v>0</v>
      </c>
      <c r="J249" s="995">
        <f t="shared" ca="1" si="46"/>
        <v>0</v>
      </c>
      <c r="K249" s="913">
        <f t="shared" ca="1" si="47"/>
        <v>0</v>
      </c>
      <c r="L249" s="995">
        <f t="shared" ca="1" si="48"/>
        <v>0</v>
      </c>
      <c r="M249" s="913">
        <f t="shared" ca="1" si="49"/>
        <v>0</v>
      </c>
      <c r="N249" s="996">
        <f t="shared" ca="1" si="50"/>
        <v>0</v>
      </c>
      <c r="O249" s="997">
        <f t="shared" ca="1" si="51"/>
        <v>0</v>
      </c>
      <c r="P249" s="1015" t="str">
        <f ca="1">IF($C249="","",INDEX(NVLSX!$N$2:$N$6941,MATCH($C249,NVLSX!$E$2:$E$6941,0)))</f>
        <v/>
      </c>
      <c r="Q249" s="1016" t="str">
        <f ca="1">IF($R249="","",IF(XKNVLSX!$X$1="",IF($P249=$V$7,$P249, IF(COUNTIFS($C$2:$C248,$C249,$E$2:$E248,$E249)&gt;=1,"",$P249)),     IF(AND(IFERROR(SEARCH($R249,XKNVLSX!$X$1,1),0)&gt;=1,$P249=$V$7),$P249, IF(OR($R249&lt;&gt;IF(IFERROR(SEARCH($R249,XKNVLSX!$X$1,1),0)&gt;=1,$R249,XKNVLSX!$X$1),COUNTIFS($C$2:$C248,$C249,$E$2:$E248,$E249,$Q$2:$Q248,$P249)&gt;=1),"",$P249))))</f>
        <v/>
      </c>
      <c r="R249" s="1017" t="str">
        <f ca="1">IF($A249="","",IFERROR(INDEX(TinhGia!$BF$10:$BF$81,MATCH($A249,TinhGia!$B$10:$B$81,0)),""))</f>
        <v/>
      </c>
      <c r="S249" s="1012" t="str">
        <f ca="1">IF($A249="","",IF(OR(IFERROR(SEARCH($R249,XKNVLSX!$X$1,1),0)&gt;=1,XKNVLSX!$X$1=""),$S$2,""))</f>
        <v/>
      </c>
      <c r="T249" s="1018" t="str">
        <f ca="1">IF($C249="","", IF(OR($P249=$V$1,$P249=$V$7,COUNTIFS($C$3:$C249,$C249,$E$3:$E249,$E249)&lt;=1),$P249,""    ))</f>
        <v/>
      </c>
      <c r="U249" s="1019" t="str">
        <f ca="1">IF(AND($P249=$V$2,COUNTIFS($C$3:$C249,$C249,$E$3:$E249,$E249,$G$3:$G249,$G249)&lt;=1),$P249,"")</f>
        <v/>
      </c>
    </row>
    <row r="250" spans="1:21">
      <c r="A250" s="991" t="str">
        <f ca="1">IFERROR(IF(COUNTIF($A$3:A249,A249)&lt; INDEX(TinhGia!$BH$10:$BH$81,MATCH($A249,TinhGia!$B$10:$B$81,0)),$A249,INDEX(TinhGia!$B$10:$B$81,MATCH($A249,TinhGia!$B$10:$B$81,0)+1)),"")</f>
        <v/>
      </c>
      <c r="B250" s="525" t="str">
        <f ca="1">IF(OR(A250="",A250=0),"",IF(COUNTIF($A$2:A250,$A250)=1,ROW(MauKoXoa!$C$108),$B249+1))</f>
        <v/>
      </c>
      <c r="C250" s="992" t="str">
        <f t="shared" ca="1" si="40"/>
        <v/>
      </c>
      <c r="D250" s="993" t="str">
        <f t="shared" ca="1" si="41"/>
        <v/>
      </c>
      <c r="E250" s="993" t="str">
        <f t="shared" ca="1" si="42"/>
        <v/>
      </c>
      <c r="F250" s="992" t="str">
        <f t="shared" ca="1" si="39"/>
        <v/>
      </c>
      <c r="G250" s="994">
        <f t="shared" ca="1" si="43"/>
        <v>0</v>
      </c>
      <c r="H250" s="913">
        <f t="shared" ca="1" si="44"/>
        <v>0</v>
      </c>
      <c r="I250" s="913">
        <f t="shared" ca="1" si="45"/>
        <v>0</v>
      </c>
      <c r="J250" s="995">
        <f t="shared" ca="1" si="46"/>
        <v>0</v>
      </c>
      <c r="K250" s="913">
        <f t="shared" ca="1" si="47"/>
        <v>0</v>
      </c>
      <c r="L250" s="995">
        <f t="shared" ca="1" si="48"/>
        <v>0</v>
      </c>
      <c r="M250" s="913">
        <f t="shared" ca="1" si="49"/>
        <v>0</v>
      </c>
      <c r="N250" s="996">
        <f t="shared" ca="1" si="50"/>
        <v>0</v>
      </c>
      <c r="O250" s="997">
        <f t="shared" ca="1" si="51"/>
        <v>0</v>
      </c>
      <c r="P250" s="1015" t="str">
        <f ca="1">IF($C250="","",INDEX(NVLSX!$N$2:$N$6941,MATCH($C250,NVLSX!$E$2:$E$6941,0)))</f>
        <v/>
      </c>
      <c r="Q250" s="1016" t="str">
        <f ca="1">IF($R250="","",IF(XKNVLSX!$X$1="",IF($P250=$V$7,$P250, IF(COUNTIFS($C$2:$C249,$C250,$E$2:$E249,$E250)&gt;=1,"",$P250)),     IF(AND(IFERROR(SEARCH($R250,XKNVLSX!$X$1,1),0)&gt;=1,$P250=$V$7),$P250, IF(OR($R250&lt;&gt;IF(IFERROR(SEARCH($R250,XKNVLSX!$X$1,1),0)&gt;=1,$R250,XKNVLSX!$X$1),COUNTIFS($C$2:$C249,$C250,$E$2:$E249,$E250,$Q$2:$Q249,$P250)&gt;=1),"",$P250))))</f>
        <v/>
      </c>
      <c r="R250" s="1017" t="str">
        <f ca="1">IF($A250="","",IFERROR(INDEX(TinhGia!$BF$10:$BF$81,MATCH($A250,TinhGia!$B$10:$B$81,0)),""))</f>
        <v/>
      </c>
      <c r="S250" s="1012" t="str">
        <f ca="1">IF($A250="","",IF(OR(IFERROR(SEARCH($R250,XKNVLSX!$X$1,1),0)&gt;=1,XKNVLSX!$X$1=""),$S$2,""))</f>
        <v/>
      </c>
      <c r="T250" s="1018" t="str">
        <f ca="1">IF($C250="","", IF(OR($P250=$V$1,$P250=$V$7,COUNTIFS($C$3:$C250,$C250,$E$3:$E250,$E250)&lt;=1),$P250,""    ))</f>
        <v/>
      </c>
      <c r="U250" s="1019" t="str">
        <f ca="1">IF(AND($P250=$V$2,COUNTIFS($C$3:$C250,$C250,$E$3:$E250,$E250,$G$3:$G250,$G250)&lt;=1),$P250,"")</f>
        <v/>
      </c>
    </row>
    <row r="251" spans="1:21">
      <c r="A251" s="991" t="str">
        <f ca="1">IFERROR(IF(COUNTIF($A$3:A250,A250)&lt; INDEX(TinhGia!$BH$10:$BH$81,MATCH($A250,TinhGia!$B$10:$B$81,0)),$A250,INDEX(TinhGia!$B$10:$B$81,MATCH($A250,TinhGia!$B$10:$B$81,0)+1)),"")</f>
        <v/>
      </c>
      <c r="B251" s="525" t="str">
        <f ca="1">IF(OR(A251="",A251=0),"",IF(COUNTIF($A$2:A251,$A251)=1,ROW(MauKoXoa!$C$108),$B250+1))</f>
        <v/>
      </c>
      <c r="C251" s="992" t="str">
        <f t="shared" ca="1" si="40"/>
        <v/>
      </c>
      <c r="D251" s="993" t="str">
        <f t="shared" ca="1" si="41"/>
        <v/>
      </c>
      <c r="E251" s="993" t="str">
        <f t="shared" ca="1" si="42"/>
        <v/>
      </c>
      <c r="F251" s="992" t="str">
        <f t="shared" ca="1" si="39"/>
        <v/>
      </c>
      <c r="G251" s="994">
        <f t="shared" ca="1" si="43"/>
        <v>0</v>
      </c>
      <c r="H251" s="913">
        <f t="shared" ca="1" si="44"/>
        <v>0</v>
      </c>
      <c r="I251" s="913">
        <f t="shared" ca="1" si="45"/>
        <v>0</v>
      </c>
      <c r="J251" s="995">
        <f t="shared" ca="1" si="46"/>
        <v>0</v>
      </c>
      <c r="K251" s="913">
        <f t="shared" ca="1" si="47"/>
        <v>0</v>
      </c>
      <c r="L251" s="995">
        <f t="shared" ca="1" si="48"/>
        <v>0</v>
      </c>
      <c r="M251" s="913">
        <f t="shared" ca="1" si="49"/>
        <v>0</v>
      </c>
      <c r="N251" s="996">
        <f t="shared" ca="1" si="50"/>
        <v>0</v>
      </c>
      <c r="O251" s="997">
        <f t="shared" ca="1" si="51"/>
        <v>0</v>
      </c>
      <c r="P251" s="1015" t="str">
        <f ca="1">IF($C251="","",INDEX(NVLSX!$N$2:$N$6941,MATCH($C251,NVLSX!$E$2:$E$6941,0)))</f>
        <v/>
      </c>
      <c r="Q251" s="1016" t="str">
        <f ca="1">IF($R251="","",IF(XKNVLSX!$X$1="",IF($P251=$V$7,$P251, IF(COUNTIFS($C$2:$C250,$C251,$E$2:$E250,$E251)&gt;=1,"",$P251)),     IF(AND(IFERROR(SEARCH($R251,XKNVLSX!$X$1,1),0)&gt;=1,$P251=$V$7),$P251, IF(OR($R251&lt;&gt;IF(IFERROR(SEARCH($R251,XKNVLSX!$X$1,1),0)&gt;=1,$R251,XKNVLSX!$X$1),COUNTIFS($C$2:$C250,$C251,$E$2:$E250,$E251,$Q$2:$Q250,$P251)&gt;=1),"",$P251))))</f>
        <v/>
      </c>
      <c r="R251" s="1017" t="str">
        <f ca="1">IF($A251="","",IFERROR(INDEX(TinhGia!$BF$10:$BF$81,MATCH($A251,TinhGia!$B$10:$B$81,0)),""))</f>
        <v/>
      </c>
      <c r="S251" s="1012" t="str">
        <f ca="1">IF($A251="","",IF(OR(IFERROR(SEARCH($R251,XKNVLSX!$X$1,1),0)&gt;=1,XKNVLSX!$X$1=""),$S$2,""))</f>
        <v/>
      </c>
      <c r="T251" s="1018" t="str">
        <f ca="1">IF($C251="","", IF(OR($P251=$V$1,$P251=$V$7,COUNTIFS($C$3:$C251,$C251,$E$3:$E251,$E251)&lt;=1),$P251,""    ))</f>
        <v/>
      </c>
      <c r="U251" s="1019" t="str">
        <f ca="1">IF(AND($P251=$V$2,COUNTIFS($C$3:$C251,$C251,$E$3:$E251,$E251,$G$3:$G251,$G251)&lt;=1),$P251,"")</f>
        <v/>
      </c>
    </row>
    <row r="252" spans="1:21">
      <c r="A252" s="991" t="str">
        <f ca="1">IFERROR(IF(COUNTIF($A$3:A251,A251)&lt; INDEX(TinhGia!$BH$10:$BH$81,MATCH($A251,TinhGia!$B$10:$B$81,0)),$A251,INDEX(TinhGia!$B$10:$B$81,MATCH($A251,TinhGia!$B$10:$B$81,0)+1)),"")</f>
        <v/>
      </c>
      <c r="B252" s="525" t="str">
        <f ca="1">IF(OR(A252="",A252=0),"",IF(COUNTIF($A$2:A252,$A252)=1,ROW(MauKoXoa!$C$108),$B251+1))</f>
        <v/>
      </c>
      <c r="C252" s="992" t="str">
        <f t="shared" ca="1" si="40"/>
        <v/>
      </c>
      <c r="D252" s="993" t="str">
        <f t="shared" ca="1" si="41"/>
        <v/>
      </c>
      <c r="E252" s="993" t="str">
        <f t="shared" ca="1" si="42"/>
        <v/>
      </c>
      <c r="F252" s="992" t="str">
        <f t="shared" ca="1" si="39"/>
        <v/>
      </c>
      <c r="G252" s="994">
        <f t="shared" ca="1" si="43"/>
        <v>0</v>
      </c>
      <c r="H252" s="913">
        <f t="shared" ca="1" si="44"/>
        <v>0</v>
      </c>
      <c r="I252" s="913">
        <f t="shared" ca="1" si="45"/>
        <v>0</v>
      </c>
      <c r="J252" s="995">
        <f t="shared" ca="1" si="46"/>
        <v>0</v>
      </c>
      <c r="K252" s="913">
        <f t="shared" ca="1" si="47"/>
        <v>0</v>
      </c>
      <c r="L252" s="995">
        <f t="shared" ca="1" si="48"/>
        <v>0</v>
      </c>
      <c r="M252" s="913">
        <f t="shared" ca="1" si="49"/>
        <v>0</v>
      </c>
      <c r="N252" s="996">
        <f t="shared" ca="1" si="50"/>
        <v>0</v>
      </c>
      <c r="O252" s="997">
        <f t="shared" ca="1" si="51"/>
        <v>0</v>
      </c>
      <c r="P252" s="1015" t="str">
        <f ca="1">IF($C252="","",INDEX(NVLSX!$N$2:$N$6941,MATCH($C252,NVLSX!$E$2:$E$6941,0)))</f>
        <v/>
      </c>
      <c r="Q252" s="1016" t="str">
        <f ca="1">IF($R252="","",IF(XKNVLSX!$X$1="",IF($P252=$V$7,$P252, IF(COUNTIFS($C$2:$C251,$C252,$E$2:$E251,$E252)&gt;=1,"",$P252)),     IF(AND(IFERROR(SEARCH($R252,XKNVLSX!$X$1,1),0)&gt;=1,$P252=$V$7),$P252, IF(OR($R252&lt;&gt;IF(IFERROR(SEARCH($R252,XKNVLSX!$X$1,1),0)&gt;=1,$R252,XKNVLSX!$X$1),COUNTIFS($C$2:$C251,$C252,$E$2:$E251,$E252,$Q$2:$Q251,$P252)&gt;=1),"",$P252))))</f>
        <v/>
      </c>
      <c r="R252" s="1017" t="str">
        <f ca="1">IF($A252="","",IFERROR(INDEX(TinhGia!$BF$10:$BF$81,MATCH($A252,TinhGia!$B$10:$B$81,0)),""))</f>
        <v/>
      </c>
      <c r="S252" s="1012" t="str">
        <f ca="1">IF($A252="","",IF(OR(IFERROR(SEARCH($R252,XKNVLSX!$X$1,1),0)&gt;=1,XKNVLSX!$X$1=""),$S$2,""))</f>
        <v/>
      </c>
      <c r="T252" s="1018" t="str">
        <f ca="1">IF($C252="","", IF(OR($P252=$V$1,$P252=$V$7,COUNTIFS($C$3:$C252,$C252,$E$3:$E252,$E252)&lt;=1),$P252,""    ))</f>
        <v/>
      </c>
      <c r="U252" s="1019" t="str">
        <f ca="1">IF(AND($P252=$V$2,COUNTIFS($C$3:$C252,$C252,$E$3:$E252,$E252,$G$3:$G252,$G252)&lt;=1),$P252,"")</f>
        <v/>
      </c>
    </row>
    <row r="253" spans="1:21">
      <c r="A253" s="991" t="str">
        <f ca="1">IFERROR(IF(COUNTIF($A$3:A252,A252)&lt; INDEX(TinhGia!$BH$10:$BH$81,MATCH($A252,TinhGia!$B$10:$B$81,0)),$A252,INDEX(TinhGia!$B$10:$B$81,MATCH($A252,TinhGia!$B$10:$B$81,0)+1)),"")</f>
        <v/>
      </c>
      <c r="B253" s="525" t="str">
        <f ca="1">IF(OR(A253="",A253=0),"",IF(COUNTIF($A$2:A253,$A253)=1,ROW(MauKoXoa!$C$108),$B252+1))</f>
        <v/>
      </c>
      <c r="C253" s="992" t="str">
        <f t="shared" ca="1" si="40"/>
        <v/>
      </c>
      <c r="D253" s="993" t="str">
        <f t="shared" ca="1" si="41"/>
        <v/>
      </c>
      <c r="E253" s="993" t="str">
        <f t="shared" ca="1" si="42"/>
        <v/>
      </c>
      <c r="F253" s="992" t="str">
        <f t="shared" ca="1" si="39"/>
        <v/>
      </c>
      <c r="G253" s="994">
        <f t="shared" ca="1" si="43"/>
        <v>0</v>
      </c>
      <c r="H253" s="913">
        <f t="shared" ca="1" si="44"/>
        <v>0</v>
      </c>
      <c r="I253" s="913">
        <f t="shared" ca="1" si="45"/>
        <v>0</v>
      </c>
      <c r="J253" s="995">
        <f t="shared" ca="1" si="46"/>
        <v>0</v>
      </c>
      <c r="K253" s="913">
        <f t="shared" ca="1" si="47"/>
        <v>0</v>
      </c>
      <c r="L253" s="995">
        <f t="shared" ca="1" si="48"/>
        <v>0</v>
      </c>
      <c r="M253" s="913">
        <f t="shared" ca="1" si="49"/>
        <v>0</v>
      </c>
      <c r="N253" s="996">
        <f t="shared" ca="1" si="50"/>
        <v>0</v>
      </c>
      <c r="O253" s="997">
        <f t="shared" ca="1" si="51"/>
        <v>0</v>
      </c>
      <c r="P253" s="1015" t="str">
        <f ca="1">IF($C253="","",INDEX(NVLSX!$N$2:$N$6941,MATCH($C253,NVLSX!$E$2:$E$6941,0)))</f>
        <v/>
      </c>
      <c r="Q253" s="1016" t="str">
        <f ca="1">IF($R253="","",IF(XKNVLSX!$X$1="",IF($P253=$V$7,$P253, IF(COUNTIFS($C$2:$C252,$C253,$E$2:$E252,$E253)&gt;=1,"",$P253)),     IF(AND(IFERROR(SEARCH($R253,XKNVLSX!$X$1,1),0)&gt;=1,$P253=$V$7),$P253, IF(OR($R253&lt;&gt;IF(IFERROR(SEARCH($R253,XKNVLSX!$X$1,1),0)&gt;=1,$R253,XKNVLSX!$X$1),COUNTIFS($C$2:$C252,$C253,$E$2:$E252,$E253,$Q$2:$Q252,$P253)&gt;=1),"",$P253))))</f>
        <v/>
      </c>
      <c r="R253" s="1017" t="str">
        <f ca="1">IF($A253="","",IFERROR(INDEX(TinhGia!$BF$10:$BF$81,MATCH($A253,TinhGia!$B$10:$B$81,0)),""))</f>
        <v/>
      </c>
      <c r="S253" s="1012" t="str">
        <f ca="1">IF($A253="","",IF(OR(IFERROR(SEARCH($R253,XKNVLSX!$X$1,1),0)&gt;=1,XKNVLSX!$X$1=""),$S$2,""))</f>
        <v/>
      </c>
      <c r="T253" s="1018" t="str">
        <f ca="1">IF($C253="","", IF(OR($P253=$V$1,$P253=$V$7,COUNTIFS($C$3:$C253,$C253,$E$3:$E253,$E253)&lt;=1),$P253,""    ))</f>
        <v/>
      </c>
      <c r="U253" s="1019" t="str">
        <f ca="1">IF(AND($P253=$V$2,COUNTIFS($C$3:$C253,$C253,$E$3:$E253,$E253,$G$3:$G253,$G253)&lt;=1),$P253,"")</f>
        <v/>
      </c>
    </row>
    <row r="254" spans="1:21">
      <c r="A254" s="991" t="str">
        <f ca="1">IFERROR(IF(COUNTIF($A$3:A253,A253)&lt; INDEX(TinhGia!$BH$10:$BH$81,MATCH($A253,TinhGia!$B$10:$B$81,0)),$A253,INDEX(TinhGia!$B$10:$B$81,MATCH($A253,TinhGia!$B$10:$B$81,0)+1)),"")</f>
        <v/>
      </c>
      <c r="B254" s="525" t="str">
        <f ca="1">IF(OR(A254="",A254=0),"",IF(COUNTIF($A$2:A254,$A254)=1,ROW(MauKoXoa!$C$108),$B253+1))</f>
        <v/>
      </c>
      <c r="C254" s="992" t="str">
        <f t="shared" ca="1" si="40"/>
        <v/>
      </c>
      <c r="D254" s="993" t="str">
        <f t="shared" ca="1" si="41"/>
        <v/>
      </c>
      <c r="E254" s="993" t="str">
        <f t="shared" ca="1" si="42"/>
        <v/>
      </c>
      <c r="F254" s="992" t="str">
        <f t="shared" ca="1" si="39"/>
        <v/>
      </c>
      <c r="G254" s="994">
        <f t="shared" ca="1" si="43"/>
        <v>0</v>
      </c>
      <c r="H254" s="913">
        <f t="shared" ca="1" si="44"/>
        <v>0</v>
      </c>
      <c r="I254" s="913">
        <f t="shared" ca="1" si="45"/>
        <v>0</v>
      </c>
      <c r="J254" s="995">
        <f t="shared" ca="1" si="46"/>
        <v>0</v>
      </c>
      <c r="K254" s="913">
        <f t="shared" ca="1" si="47"/>
        <v>0</v>
      </c>
      <c r="L254" s="995">
        <f t="shared" ca="1" si="48"/>
        <v>0</v>
      </c>
      <c r="M254" s="913">
        <f t="shared" ca="1" si="49"/>
        <v>0</v>
      </c>
      <c r="N254" s="996">
        <f t="shared" ca="1" si="50"/>
        <v>0</v>
      </c>
      <c r="O254" s="997">
        <f t="shared" ca="1" si="51"/>
        <v>0</v>
      </c>
      <c r="P254" s="1015" t="str">
        <f ca="1">IF($C254="","",INDEX(NVLSX!$N$2:$N$6941,MATCH($C254,NVLSX!$E$2:$E$6941,0)))</f>
        <v/>
      </c>
      <c r="Q254" s="1016" t="str">
        <f ca="1">IF($R254="","",IF(XKNVLSX!$X$1="",IF($P254=$V$7,$P254, IF(COUNTIFS($C$2:$C253,$C254,$E$2:$E253,$E254)&gt;=1,"",$P254)),     IF(AND(IFERROR(SEARCH($R254,XKNVLSX!$X$1,1),0)&gt;=1,$P254=$V$7),$P254, IF(OR($R254&lt;&gt;IF(IFERROR(SEARCH($R254,XKNVLSX!$X$1,1),0)&gt;=1,$R254,XKNVLSX!$X$1),COUNTIFS($C$2:$C253,$C254,$E$2:$E253,$E254,$Q$2:$Q253,$P254)&gt;=1),"",$P254))))</f>
        <v/>
      </c>
      <c r="R254" s="1017" t="str">
        <f ca="1">IF($A254="","",IFERROR(INDEX(TinhGia!$BF$10:$BF$81,MATCH($A254,TinhGia!$B$10:$B$81,0)),""))</f>
        <v/>
      </c>
      <c r="S254" s="1012" t="str">
        <f ca="1">IF($A254="","",IF(OR(IFERROR(SEARCH($R254,XKNVLSX!$X$1,1),0)&gt;=1,XKNVLSX!$X$1=""),$S$2,""))</f>
        <v/>
      </c>
      <c r="T254" s="1018" t="str">
        <f ca="1">IF($C254="","", IF(OR($P254=$V$1,$P254=$V$7,COUNTIFS($C$3:$C254,$C254,$E$3:$E254,$E254)&lt;=1),$P254,""    ))</f>
        <v/>
      </c>
      <c r="U254" s="1019" t="str">
        <f ca="1">IF(AND($P254=$V$2,COUNTIFS($C$3:$C254,$C254,$E$3:$E254,$E254,$G$3:$G254,$G254)&lt;=1),$P254,"")</f>
        <v/>
      </c>
    </row>
    <row r="255" spans="1:21">
      <c r="A255" s="991" t="str">
        <f ca="1">IFERROR(IF(COUNTIF($A$3:A254,A254)&lt; INDEX(TinhGia!$BH$10:$BH$81,MATCH($A254,TinhGia!$B$10:$B$81,0)),$A254,INDEX(TinhGia!$B$10:$B$81,MATCH($A254,TinhGia!$B$10:$B$81,0)+1)),"")</f>
        <v/>
      </c>
      <c r="B255" s="525" t="str">
        <f ca="1">IF(OR(A255="",A255=0),"",IF(COUNTIF($A$2:A255,$A255)=1,ROW(MauKoXoa!$C$108),$B254+1))</f>
        <v/>
      </c>
      <c r="C255" s="992" t="str">
        <f t="shared" ca="1" si="40"/>
        <v/>
      </c>
      <c r="D255" s="993" t="str">
        <f t="shared" ca="1" si="41"/>
        <v/>
      </c>
      <c r="E255" s="993" t="str">
        <f t="shared" ca="1" si="42"/>
        <v/>
      </c>
      <c r="F255" s="992" t="str">
        <f t="shared" ca="1" si="39"/>
        <v/>
      </c>
      <c r="G255" s="994">
        <f t="shared" ca="1" si="43"/>
        <v>0</v>
      </c>
      <c r="H255" s="913">
        <f t="shared" ca="1" si="44"/>
        <v>0</v>
      </c>
      <c r="I255" s="913">
        <f t="shared" ca="1" si="45"/>
        <v>0</v>
      </c>
      <c r="J255" s="995">
        <f t="shared" ca="1" si="46"/>
        <v>0</v>
      </c>
      <c r="K255" s="913">
        <f t="shared" ca="1" si="47"/>
        <v>0</v>
      </c>
      <c r="L255" s="995">
        <f t="shared" ca="1" si="48"/>
        <v>0</v>
      </c>
      <c r="M255" s="913">
        <f t="shared" ca="1" si="49"/>
        <v>0</v>
      </c>
      <c r="N255" s="996">
        <f t="shared" ca="1" si="50"/>
        <v>0</v>
      </c>
      <c r="O255" s="997">
        <f t="shared" ca="1" si="51"/>
        <v>0</v>
      </c>
      <c r="P255" s="1015" t="str">
        <f ca="1">IF($C255="","",INDEX(NVLSX!$N$2:$N$6941,MATCH($C255,NVLSX!$E$2:$E$6941,0)))</f>
        <v/>
      </c>
      <c r="Q255" s="1016" t="str">
        <f ca="1">IF($R255="","",IF(XKNVLSX!$X$1="",IF($P255=$V$7,$P255, IF(COUNTIFS($C$2:$C254,$C255,$E$2:$E254,$E255)&gt;=1,"",$P255)),     IF(AND(IFERROR(SEARCH($R255,XKNVLSX!$X$1,1),0)&gt;=1,$P255=$V$7),$P255, IF(OR($R255&lt;&gt;IF(IFERROR(SEARCH($R255,XKNVLSX!$X$1,1),0)&gt;=1,$R255,XKNVLSX!$X$1),COUNTIFS($C$2:$C254,$C255,$E$2:$E254,$E255,$Q$2:$Q254,$P255)&gt;=1),"",$P255))))</f>
        <v/>
      </c>
      <c r="R255" s="1017" t="str">
        <f ca="1">IF($A255="","",IFERROR(INDEX(TinhGia!$BF$10:$BF$81,MATCH($A255,TinhGia!$B$10:$B$81,0)),""))</f>
        <v/>
      </c>
      <c r="S255" s="1012" t="str">
        <f ca="1">IF($A255="","",IF(OR(IFERROR(SEARCH($R255,XKNVLSX!$X$1,1),0)&gt;=1,XKNVLSX!$X$1=""),$S$2,""))</f>
        <v/>
      </c>
      <c r="T255" s="1018" t="str">
        <f ca="1">IF($C255="","", IF(OR($P255=$V$1,$P255=$V$7,COUNTIFS($C$3:$C255,$C255,$E$3:$E255,$E255)&lt;=1),$P255,""    ))</f>
        <v/>
      </c>
      <c r="U255" s="1019" t="str">
        <f ca="1">IF(AND($P255=$V$2,COUNTIFS($C$3:$C255,$C255,$E$3:$E255,$E255,$G$3:$G255,$G255)&lt;=1),$P255,"")</f>
        <v/>
      </c>
    </row>
    <row r="256" spans="1:21">
      <c r="A256" s="991" t="str">
        <f ca="1">IFERROR(IF(COUNTIF($A$3:A255,A255)&lt; INDEX(TinhGia!$BH$10:$BH$81,MATCH($A255,TinhGia!$B$10:$B$81,0)),$A255,INDEX(TinhGia!$B$10:$B$81,MATCH($A255,TinhGia!$B$10:$B$81,0)+1)),"")</f>
        <v/>
      </c>
      <c r="B256" s="525" t="str">
        <f ca="1">IF(OR(A256="",A256=0),"",IF(COUNTIF($A$2:A256,$A256)=1,ROW(MauKoXoa!$C$108),$B255+1))</f>
        <v/>
      </c>
      <c r="C256" s="992" t="str">
        <f t="shared" ca="1" si="40"/>
        <v/>
      </c>
      <c r="D256" s="993" t="str">
        <f t="shared" ca="1" si="41"/>
        <v/>
      </c>
      <c r="E256" s="993" t="str">
        <f t="shared" ca="1" si="42"/>
        <v/>
      </c>
      <c r="F256" s="992" t="str">
        <f t="shared" ca="1" si="39"/>
        <v/>
      </c>
      <c r="G256" s="994">
        <f t="shared" ca="1" si="43"/>
        <v>0</v>
      </c>
      <c r="H256" s="913">
        <f t="shared" ca="1" si="44"/>
        <v>0</v>
      </c>
      <c r="I256" s="913">
        <f t="shared" ca="1" si="45"/>
        <v>0</v>
      </c>
      <c r="J256" s="995">
        <f t="shared" ca="1" si="46"/>
        <v>0</v>
      </c>
      <c r="K256" s="913">
        <f t="shared" ca="1" si="47"/>
        <v>0</v>
      </c>
      <c r="L256" s="995">
        <f t="shared" ca="1" si="48"/>
        <v>0</v>
      </c>
      <c r="M256" s="913">
        <f t="shared" ca="1" si="49"/>
        <v>0</v>
      </c>
      <c r="N256" s="996">
        <f t="shared" ca="1" si="50"/>
        <v>0</v>
      </c>
      <c r="O256" s="997">
        <f t="shared" ca="1" si="51"/>
        <v>0</v>
      </c>
      <c r="P256" s="1015" t="str">
        <f ca="1">IF($C256="","",INDEX(NVLSX!$N$2:$N$6941,MATCH($C256,NVLSX!$E$2:$E$6941,0)))</f>
        <v/>
      </c>
      <c r="Q256" s="1016" t="str">
        <f ca="1">IF($R256="","",IF(XKNVLSX!$X$1="",IF($P256=$V$7,$P256, IF(COUNTIFS($C$2:$C255,$C256,$E$2:$E255,$E256)&gt;=1,"",$P256)),     IF(AND(IFERROR(SEARCH($R256,XKNVLSX!$X$1,1),0)&gt;=1,$P256=$V$7),$P256, IF(OR($R256&lt;&gt;IF(IFERROR(SEARCH($R256,XKNVLSX!$X$1,1),0)&gt;=1,$R256,XKNVLSX!$X$1),COUNTIFS($C$2:$C255,$C256,$E$2:$E255,$E256,$Q$2:$Q255,$P256)&gt;=1),"",$P256))))</f>
        <v/>
      </c>
      <c r="R256" s="1017" t="str">
        <f ca="1">IF($A256="","",IFERROR(INDEX(TinhGia!$BF$10:$BF$81,MATCH($A256,TinhGia!$B$10:$B$81,0)),""))</f>
        <v/>
      </c>
      <c r="S256" s="1012" t="str">
        <f ca="1">IF($A256="","",IF(OR(IFERROR(SEARCH($R256,XKNVLSX!$X$1,1),0)&gt;=1,XKNVLSX!$X$1=""),$S$2,""))</f>
        <v/>
      </c>
      <c r="T256" s="1018" t="str">
        <f ca="1">IF($C256="","", IF(OR($P256=$V$1,$P256=$V$7,COUNTIFS($C$3:$C256,$C256,$E$3:$E256,$E256)&lt;=1),$P256,""    ))</f>
        <v/>
      </c>
      <c r="U256" s="1019" t="str">
        <f ca="1">IF(AND($P256=$V$2,COUNTIFS($C$3:$C256,$C256,$E$3:$E256,$E256,$G$3:$G256,$G256)&lt;=1),$P256,"")</f>
        <v/>
      </c>
    </row>
    <row r="257" spans="1:21">
      <c r="A257" s="991" t="str">
        <f ca="1">IFERROR(IF(COUNTIF($A$3:A256,A256)&lt; INDEX(TinhGia!$BH$10:$BH$81,MATCH($A256,TinhGia!$B$10:$B$81,0)),$A256,INDEX(TinhGia!$B$10:$B$81,MATCH($A256,TinhGia!$B$10:$B$81,0)+1)),"")</f>
        <v/>
      </c>
      <c r="B257" s="525" t="str">
        <f ca="1">IF(OR(A257="",A257=0),"",IF(COUNTIF($A$2:A257,$A257)=1,ROW(MauKoXoa!$C$108),$B256+1))</f>
        <v/>
      </c>
      <c r="C257" s="992" t="str">
        <f t="shared" ca="1" si="40"/>
        <v/>
      </c>
      <c r="D257" s="993" t="str">
        <f t="shared" ca="1" si="41"/>
        <v/>
      </c>
      <c r="E257" s="993" t="str">
        <f t="shared" ca="1" si="42"/>
        <v/>
      </c>
      <c r="F257" s="992" t="str">
        <f t="shared" ca="1" si="39"/>
        <v/>
      </c>
      <c r="G257" s="994">
        <f t="shared" ca="1" si="43"/>
        <v>0</v>
      </c>
      <c r="H257" s="913">
        <f t="shared" ca="1" si="44"/>
        <v>0</v>
      </c>
      <c r="I257" s="913">
        <f t="shared" ca="1" si="45"/>
        <v>0</v>
      </c>
      <c r="J257" s="995">
        <f t="shared" ca="1" si="46"/>
        <v>0</v>
      </c>
      <c r="K257" s="913">
        <f t="shared" ca="1" si="47"/>
        <v>0</v>
      </c>
      <c r="L257" s="995">
        <f t="shared" ca="1" si="48"/>
        <v>0</v>
      </c>
      <c r="M257" s="913">
        <f t="shared" ca="1" si="49"/>
        <v>0</v>
      </c>
      <c r="N257" s="996">
        <f t="shared" ca="1" si="50"/>
        <v>0</v>
      </c>
      <c r="O257" s="997">
        <f t="shared" ca="1" si="51"/>
        <v>0</v>
      </c>
      <c r="P257" s="1015" t="str">
        <f ca="1">IF($C257="","",INDEX(NVLSX!$N$2:$N$6941,MATCH($C257,NVLSX!$E$2:$E$6941,0)))</f>
        <v/>
      </c>
      <c r="Q257" s="1016" t="str">
        <f ca="1">IF($R257="","",IF(XKNVLSX!$X$1="",IF($P257=$V$7,$P257, IF(COUNTIFS($C$2:$C256,$C257,$E$2:$E256,$E257)&gt;=1,"",$P257)),     IF(AND(IFERROR(SEARCH($R257,XKNVLSX!$X$1,1),0)&gt;=1,$P257=$V$7),$P257, IF(OR($R257&lt;&gt;IF(IFERROR(SEARCH($R257,XKNVLSX!$X$1,1),0)&gt;=1,$R257,XKNVLSX!$X$1),COUNTIFS($C$2:$C256,$C257,$E$2:$E256,$E257,$Q$2:$Q256,$P257)&gt;=1),"",$P257))))</f>
        <v/>
      </c>
      <c r="R257" s="1017" t="str">
        <f ca="1">IF($A257="","",IFERROR(INDEX(TinhGia!$BF$10:$BF$81,MATCH($A257,TinhGia!$B$10:$B$81,0)),""))</f>
        <v/>
      </c>
      <c r="S257" s="1012" t="str">
        <f ca="1">IF($A257="","",IF(OR(IFERROR(SEARCH($R257,XKNVLSX!$X$1,1),0)&gt;=1,XKNVLSX!$X$1=""),$S$2,""))</f>
        <v/>
      </c>
      <c r="T257" s="1018" t="str">
        <f ca="1">IF($C257="","", IF(OR($P257=$V$1,$P257=$V$7,COUNTIFS($C$3:$C257,$C257,$E$3:$E257,$E257)&lt;=1),$P257,""    ))</f>
        <v/>
      </c>
      <c r="U257" s="1019" t="str">
        <f ca="1">IF(AND($P257=$V$2,COUNTIFS($C$3:$C257,$C257,$E$3:$E257,$E257,$G$3:$G257,$G257)&lt;=1),$P257,"")</f>
        <v/>
      </c>
    </row>
    <row r="258" spans="1:21">
      <c r="A258" s="991" t="str">
        <f ca="1">IFERROR(IF(COUNTIF($A$3:A257,A257)&lt; INDEX(TinhGia!$BH$10:$BH$81,MATCH($A257,TinhGia!$B$10:$B$81,0)),$A257,INDEX(TinhGia!$B$10:$B$81,MATCH($A257,TinhGia!$B$10:$B$81,0)+1)),"")</f>
        <v/>
      </c>
      <c r="B258" s="525" t="str">
        <f ca="1">IF(OR(A258="",A258=0),"",IF(COUNTIF($A$2:A258,$A258)=1,ROW(MauKoXoa!$C$108),$B257+1))</f>
        <v/>
      </c>
      <c r="C258" s="992" t="str">
        <f t="shared" ca="1" si="40"/>
        <v/>
      </c>
      <c r="D258" s="993" t="str">
        <f t="shared" ca="1" si="41"/>
        <v/>
      </c>
      <c r="E258" s="993" t="str">
        <f t="shared" ca="1" si="42"/>
        <v/>
      </c>
      <c r="F258" s="992" t="str">
        <f t="shared" ca="1" si="39"/>
        <v/>
      </c>
      <c r="G258" s="994">
        <f t="shared" ca="1" si="43"/>
        <v>0</v>
      </c>
      <c r="H258" s="913">
        <f t="shared" ca="1" si="44"/>
        <v>0</v>
      </c>
      <c r="I258" s="913">
        <f t="shared" ca="1" si="45"/>
        <v>0</v>
      </c>
      <c r="J258" s="995">
        <f t="shared" ca="1" si="46"/>
        <v>0</v>
      </c>
      <c r="K258" s="913">
        <f t="shared" ca="1" si="47"/>
        <v>0</v>
      </c>
      <c r="L258" s="995">
        <f t="shared" ca="1" si="48"/>
        <v>0</v>
      </c>
      <c r="M258" s="913">
        <f t="shared" ca="1" si="49"/>
        <v>0</v>
      </c>
      <c r="N258" s="996">
        <f t="shared" ca="1" si="50"/>
        <v>0</v>
      </c>
      <c r="O258" s="997">
        <f t="shared" ca="1" si="51"/>
        <v>0</v>
      </c>
      <c r="P258" s="1015" t="str">
        <f ca="1">IF($C258="","",INDEX(NVLSX!$N$2:$N$6941,MATCH($C258,NVLSX!$E$2:$E$6941,0)))</f>
        <v/>
      </c>
      <c r="Q258" s="1016" t="str">
        <f ca="1">IF($R258="","",IF(XKNVLSX!$X$1="",IF($P258=$V$7,$P258, IF(COUNTIFS($C$2:$C257,$C258,$E$2:$E257,$E258)&gt;=1,"",$P258)),     IF(AND(IFERROR(SEARCH($R258,XKNVLSX!$X$1,1),0)&gt;=1,$P258=$V$7),$P258, IF(OR($R258&lt;&gt;IF(IFERROR(SEARCH($R258,XKNVLSX!$X$1,1),0)&gt;=1,$R258,XKNVLSX!$X$1),COUNTIFS($C$2:$C257,$C258,$E$2:$E257,$E258,$Q$2:$Q257,$P258)&gt;=1),"",$P258))))</f>
        <v/>
      </c>
      <c r="R258" s="1017" t="str">
        <f ca="1">IF($A258="","",IFERROR(INDEX(TinhGia!$BF$10:$BF$81,MATCH($A258,TinhGia!$B$10:$B$81,0)),""))</f>
        <v/>
      </c>
      <c r="S258" s="1012" t="str">
        <f ca="1">IF($A258="","",IF(OR(IFERROR(SEARCH($R258,XKNVLSX!$X$1,1),0)&gt;=1,XKNVLSX!$X$1=""),$S$2,""))</f>
        <v/>
      </c>
      <c r="T258" s="1018" t="str">
        <f ca="1">IF($C258="","", IF(OR($P258=$V$1,$P258=$V$7,COUNTIFS($C$3:$C258,$C258,$E$3:$E258,$E258)&lt;=1),$P258,""    ))</f>
        <v/>
      </c>
      <c r="U258" s="1019" t="str">
        <f ca="1">IF(AND($P258=$V$2,COUNTIFS($C$3:$C258,$C258,$E$3:$E258,$E258,$G$3:$G258,$G258)&lt;=1),$P258,"")</f>
        <v/>
      </c>
    </row>
    <row r="259" spans="1:21">
      <c r="A259" s="991" t="str">
        <f ca="1">IFERROR(IF(COUNTIF($A$3:A258,A258)&lt; INDEX(TinhGia!$BH$10:$BH$81,MATCH($A258,TinhGia!$B$10:$B$81,0)),$A258,INDEX(TinhGia!$B$10:$B$81,MATCH($A258,TinhGia!$B$10:$B$81,0)+1)),"")</f>
        <v/>
      </c>
      <c r="B259" s="525" t="str">
        <f ca="1">IF(OR(A259="",A259=0),"",IF(COUNTIF($A$2:A259,$A259)=1,ROW(MauKoXoa!$C$108),$B258+1))</f>
        <v/>
      </c>
      <c r="C259" s="992" t="str">
        <f t="shared" ca="1" si="40"/>
        <v/>
      </c>
      <c r="D259" s="993" t="str">
        <f t="shared" ca="1" si="41"/>
        <v/>
      </c>
      <c r="E259" s="993" t="str">
        <f t="shared" ca="1" si="42"/>
        <v/>
      </c>
      <c r="F259" s="992" t="str">
        <f t="shared" ref="F259:F322" ca="1" si="52">IF($P259=$V$7, IFERROR(INDIRECT("'" &amp; $A259 &amp; "'!" &amp; "I" &amp; $B259),""),IFERROR(INDIRECT("'" &amp; $A259 &amp; "'!" &amp; "E" &amp; $B259),""))</f>
        <v/>
      </c>
      <c r="G259" s="994">
        <f t="shared" ca="1" si="43"/>
        <v>0</v>
      </c>
      <c r="H259" s="913">
        <f t="shared" ca="1" si="44"/>
        <v>0</v>
      </c>
      <c r="I259" s="913">
        <f t="shared" ca="1" si="45"/>
        <v>0</v>
      </c>
      <c r="J259" s="995">
        <f t="shared" ca="1" si="46"/>
        <v>0</v>
      </c>
      <c r="K259" s="913">
        <f t="shared" ca="1" si="47"/>
        <v>0</v>
      </c>
      <c r="L259" s="995">
        <f t="shared" ca="1" si="48"/>
        <v>0</v>
      </c>
      <c r="M259" s="913">
        <f t="shared" ca="1" si="49"/>
        <v>0</v>
      </c>
      <c r="N259" s="996">
        <f t="shared" ca="1" si="50"/>
        <v>0</v>
      </c>
      <c r="O259" s="997">
        <f t="shared" ca="1" si="51"/>
        <v>0</v>
      </c>
      <c r="P259" s="1015" t="str">
        <f ca="1">IF($C259="","",INDEX(NVLSX!$N$2:$N$6941,MATCH($C259,NVLSX!$E$2:$E$6941,0)))</f>
        <v/>
      </c>
      <c r="Q259" s="1016" t="str">
        <f ca="1">IF($R259="","",IF(XKNVLSX!$X$1="",IF($P259=$V$7,$P259, IF(COUNTIFS($C$2:$C258,$C259,$E$2:$E258,$E259)&gt;=1,"",$P259)),     IF(AND(IFERROR(SEARCH($R259,XKNVLSX!$X$1,1),0)&gt;=1,$P259=$V$7),$P259, IF(OR($R259&lt;&gt;IF(IFERROR(SEARCH($R259,XKNVLSX!$X$1,1),0)&gt;=1,$R259,XKNVLSX!$X$1),COUNTIFS($C$2:$C258,$C259,$E$2:$E258,$E259,$Q$2:$Q258,$P259)&gt;=1),"",$P259))))</f>
        <v/>
      </c>
      <c r="R259" s="1017" t="str">
        <f ca="1">IF($A259="","",IFERROR(INDEX(TinhGia!$BF$10:$BF$81,MATCH($A259,TinhGia!$B$10:$B$81,0)),""))</f>
        <v/>
      </c>
      <c r="S259" s="1012" t="str">
        <f ca="1">IF($A259="","",IF(OR(IFERROR(SEARCH($R259,XKNVLSX!$X$1,1),0)&gt;=1,XKNVLSX!$X$1=""),$S$2,""))</f>
        <v/>
      </c>
      <c r="T259" s="1018" t="str">
        <f ca="1">IF($C259="","", IF(OR($P259=$V$1,$P259=$V$7,COUNTIFS($C$3:$C259,$C259,$E$3:$E259,$E259)&lt;=1),$P259,""    ))</f>
        <v/>
      </c>
      <c r="U259" s="1019" t="str">
        <f ca="1">IF(AND($P259=$V$2,COUNTIFS($C$3:$C259,$C259,$E$3:$E259,$E259,$G$3:$G259,$G259)&lt;=1),$P259,"")</f>
        <v/>
      </c>
    </row>
    <row r="260" spans="1:21">
      <c r="A260" s="991" t="str">
        <f ca="1">IFERROR(IF(COUNTIF($A$3:A259,A259)&lt; INDEX(TinhGia!$BH$10:$BH$81,MATCH($A259,TinhGia!$B$10:$B$81,0)),$A259,INDEX(TinhGia!$B$10:$B$81,MATCH($A259,TinhGia!$B$10:$B$81,0)+1)),"")</f>
        <v/>
      </c>
      <c r="B260" s="525" t="str">
        <f ca="1">IF(OR(A260="",A260=0),"",IF(COUNTIF($A$2:A260,$A260)=1,ROW(MauKoXoa!$C$108),$B259+1))</f>
        <v/>
      </c>
      <c r="C260" s="992" t="str">
        <f t="shared" ca="1" si="40"/>
        <v/>
      </c>
      <c r="D260" s="993" t="str">
        <f t="shared" ca="1" si="41"/>
        <v/>
      </c>
      <c r="E260" s="993" t="str">
        <f t="shared" ca="1" si="42"/>
        <v/>
      </c>
      <c r="F260" s="992" t="str">
        <f t="shared" ca="1" si="52"/>
        <v/>
      </c>
      <c r="G260" s="994">
        <f t="shared" ca="1" si="43"/>
        <v>0</v>
      </c>
      <c r="H260" s="913">
        <f t="shared" ca="1" si="44"/>
        <v>0</v>
      </c>
      <c r="I260" s="913">
        <f t="shared" ca="1" si="45"/>
        <v>0</v>
      </c>
      <c r="J260" s="995">
        <f t="shared" ref="J260:J323" ca="1" si="53">IFERROR(INDIRECT("'" &amp; $A260 &amp; "'!" &amp; "J" &amp; $B260),0)</f>
        <v>0</v>
      </c>
      <c r="K260" s="913">
        <f t="shared" ca="1" si="47"/>
        <v>0</v>
      </c>
      <c r="L260" s="995">
        <f t="shared" ref="L260:L323" ca="1" si="54">+ IFERROR(INDIRECT("'" &amp; $A260 &amp; "'!" &amp; "K" &amp; $B260),0)</f>
        <v>0</v>
      </c>
      <c r="M260" s="913">
        <f t="shared" ca="1" si="49"/>
        <v>0</v>
      </c>
      <c r="N260" s="996">
        <f t="shared" ca="1" si="50"/>
        <v>0</v>
      </c>
      <c r="O260" s="997">
        <f t="shared" ca="1" si="51"/>
        <v>0</v>
      </c>
      <c r="P260" s="1015" t="str">
        <f ca="1">IF($C260="","",INDEX(NVLSX!$N$2:$N$6941,MATCH($C260,NVLSX!$E$2:$E$6941,0)))</f>
        <v/>
      </c>
      <c r="Q260" s="1016" t="str">
        <f ca="1">IF($R260="","",IF(XKNVLSX!$X$1="",IF($P260=$V$7,$P260, IF(COUNTIFS($C$2:$C259,$C260,$E$2:$E259,$E260)&gt;=1,"",$P260)),     IF(AND(IFERROR(SEARCH($R260,XKNVLSX!$X$1,1),0)&gt;=1,$P260=$V$7),$P260, IF(OR($R260&lt;&gt;IF(IFERROR(SEARCH($R260,XKNVLSX!$X$1,1),0)&gt;=1,$R260,XKNVLSX!$X$1),COUNTIFS($C$2:$C259,$C260,$E$2:$E259,$E260,$Q$2:$Q259,$P260)&gt;=1),"",$P260))))</f>
        <v/>
      </c>
      <c r="R260" s="1017" t="str">
        <f ca="1">IF($A260="","",IFERROR(INDEX(TinhGia!$BF$10:$BF$81,MATCH($A260,TinhGia!$B$10:$B$81,0)),""))</f>
        <v/>
      </c>
      <c r="S260" s="1012" t="str">
        <f ca="1">IF($A260="","",IF(OR(IFERROR(SEARCH($R260,XKNVLSX!$X$1,1),0)&gt;=1,XKNVLSX!$X$1=""),$S$2,""))</f>
        <v/>
      </c>
      <c r="T260" s="1018" t="str">
        <f ca="1">IF($C260="","", IF(OR($P260=$V$1,$P260=$V$7,COUNTIFS($C$3:$C260,$C260,$E$3:$E260,$E260)&lt;=1),$P260,""    ))</f>
        <v/>
      </c>
      <c r="U260" s="1019" t="str">
        <f ca="1">IF(AND($P260=$V$2,COUNTIFS($C$3:$C260,$C260,$E$3:$E260,$E260,$G$3:$G260,$G260)&lt;=1),$P260,"")</f>
        <v/>
      </c>
    </row>
    <row r="261" spans="1:21">
      <c r="A261" s="991" t="str">
        <f ca="1">IFERROR(IF(COUNTIF($A$3:A260,A260)&lt; INDEX(TinhGia!$BH$10:$BH$81,MATCH($A260,TinhGia!$B$10:$B$81,0)),$A260,INDEX(TinhGia!$B$10:$B$81,MATCH($A260,TinhGia!$B$10:$B$81,0)+1)),"")</f>
        <v/>
      </c>
      <c r="B261" s="525" t="str">
        <f ca="1">IF(OR(A261="",A261=0),"",IF(COUNTIF($A$2:A261,$A261)=1,ROW(MauKoXoa!$C$108),$B260+1))</f>
        <v/>
      </c>
      <c r="C261" s="992" t="str">
        <f t="shared" ca="1" si="40"/>
        <v/>
      </c>
      <c r="D261" s="993" t="str">
        <f t="shared" ca="1" si="41"/>
        <v/>
      </c>
      <c r="E261" s="993" t="str">
        <f t="shared" ca="1" si="42"/>
        <v/>
      </c>
      <c r="F261" s="992" t="str">
        <f t="shared" ca="1" si="52"/>
        <v/>
      </c>
      <c r="G261" s="994">
        <f t="shared" ca="1" si="43"/>
        <v>0</v>
      </c>
      <c r="H261" s="913">
        <f t="shared" ca="1" si="44"/>
        <v>0</v>
      </c>
      <c r="I261" s="913">
        <f t="shared" ca="1" si="45"/>
        <v>0</v>
      </c>
      <c r="J261" s="995">
        <f t="shared" ca="1" si="53"/>
        <v>0</v>
      </c>
      <c r="K261" s="913">
        <f t="shared" ca="1" si="47"/>
        <v>0</v>
      </c>
      <c r="L261" s="995">
        <f t="shared" ca="1" si="54"/>
        <v>0</v>
      </c>
      <c r="M261" s="913">
        <f t="shared" ca="1" si="49"/>
        <v>0</v>
      </c>
      <c r="N261" s="996">
        <f t="shared" ca="1" si="50"/>
        <v>0</v>
      </c>
      <c r="O261" s="997">
        <f t="shared" ca="1" si="51"/>
        <v>0</v>
      </c>
      <c r="P261" s="1015" t="str">
        <f ca="1">IF($C261="","",INDEX(NVLSX!$N$2:$N$6941,MATCH($C261,NVLSX!$E$2:$E$6941,0)))</f>
        <v/>
      </c>
      <c r="Q261" s="1016" t="str">
        <f ca="1">IF($R261="","",IF(XKNVLSX!$X$1="",IF($P261=$V$7,$P261, IF(COUNTIFS($C$2:$C260,$C261,$E$2:$E260,$E261)&gt;=1,"",$P261)),     IF(AND(IFERROR(SEARCH($R261,XKNVLSX!$X$1,1),0)&gt;=1,$P261=$V$7),$P261, IF(OR($R261&lt;&gt;IF(IFERROR(SEARCH($R261,XKNVLSX!$X$1,1),0)&gt;=1,$R261,XKNVLSX!$X$1),COUNTIFS($C$2:$C260,$C261,$E$2:$E260,$E261,$Q$2:$Q260,$P261)&gt;=1),"",$P261))))</f>
        <v/>
      </c>
      <c r="R261" s="1017" t="str">
        <f ca="1">IF($A261="","",IFERROR(INDEX(TinhGia!$BF$10:$BF$81,MATCH($A261,TinhGia!$B$10:$B$81,0)),""))</f>
        <v/>
      </c>
      <c r="S261" s="1012" t="str">
        <f ca="1">IF($A261="","",IF(OR(IFERROR(SEARCH($R261,XKNVLSX!$X$1,1),0)&gt;=1,XKNVLSX!$X$1=""),$S$2,""))</f>
        <v/>
      </c>
      <c r="T261" s="1018" t="str">
        <f ca="1">IF($C261="","", IF(OR($P261=$V$1,$P261=$V$7,COUNTIFS($C$3:$C261,$C261,$E$3:$E261,$E261)&lt;=1),$P261,""    ))</f>
        <v/>
      </c>
      <c r="U261" s="1019" t="str">
        <f ca="1">IF(AND($P261=$V$2,COUNTIFS($C$3:$C261,$C261,$E$3:$E261,$E261,$G$3:$G261,$G261)&lt;=1),$P261,"")</f>
        <v/>
      </c>
    </row>
    <row r="262" spans="1:21">
      <c r="A262" s="991" t="str">
        <f ca="1">IFERROR(IF(COUNTIF($A$3:A261,A261)&lt; INDEX(TinhGia!$BH$10:$BH$81,MATCH($A261,TinhGia!$B$10:$B$81,0)),$A261,INDEX(TinhGia!$B$10:$B$81,MATCH($A261,TinhGia!$B$10:$B$81,0)+1)),"")</f>
        <v/>
      </c>
      <c r="B262" s="525" t="str">
        <f ca="1">IF(OR(A262="",A262=0),"",IF(COUNTIF($A$2:A262,$A262)=1,ROW(MauKoXoa!$C$108),$B261+1))</f>
        <v/>
      </c>
      <c r="C262" s="992" t="str">
        <f t="shared" ca="1" si="40"/>
        <v/>
      </c>
      <c r="D262" s="993" t="str">
        <f t="shared" ca="1" si="41"/>
        <v/>
      </c>
      <c r="E262" s="993" t="str">
        <f t="shared" ca="1" si="42"/>
        <v/>
      </c>
      <c r="F262" s="992" t="str">
        <f t="shared" ca="1" si="52"/>
        <v/>
      </c>
      <c r="G262" s="994">
        <f t="shared" ca="1" si="43"/>
        <v>0</v>
      </c>
      <c r="H262" s="913">
        <f t="shared" ca="1" si="44"/>
        <v>0</v>
      </c>
      <c r="I262" s="913">
        <f t="shared" ca="1" si="45"/>
        <v>0</v>
      </c>
      <c r="J262" s="995">
        <f t="shared" ca="1" si="53"/>
        <v>0</v>
      </c>
      <c r="K262" s="913">
        <f t="shared" ca="1" si="47"/>
        <v>0</v>
      </c>
      <c r="L262" s="995">
        <f t="shared" ca="1" si="54"/>
        <v>0</v>
      </c>
      <c r="M262" s="913">
        <f t="shared" ca="1" si="49"/>
        <v>0</v>
      </c>
      <c r="N262" s="996">
        <f t="shared" ca="1" si="50"/>
        <v>0</v>
      </c>
      <c r="O262" s="997">
        <f t="shared" ca="1" si="51"/>
        <v>0</v>
      </c>
      <c r="P262" s="1015" t="str">
        <f ca="1">IF($C262="","",INDEX(NVLSX!$N$2:$N$6941,MATCH($C262,NVLSX!$E$2:$E$6941,0)))</f>
        <v/>
      </c>
      <c r="Q262" s="1016" t="str">
        <f ca="1">IF($R262="","",IF(XKNVLSX!$X$1="",IF($P262=$V$7,$P262, IF(COUNTIFS($C$2:$C261,$C262,$E$2:$E261,$E262)&gt;=1,"",$P262)),     IF(AND(IFERROR(SEARCH($R262,XKNVLSX!$X$1,1),0)&gt;=1,$P262=$V$7),$P262, IF(OR($R262&lt;&gt;IF(IFERROR(SEARCH($R262,XKNVLSX!$X$1,1),0)&gt;=1,$R262,XKNVLSX!$X$1),COUNTIFS($C$2:$C261,$C262,$E$2:$E261,$E262,$Q$2:$Q261,$P262)&gt;=1),"",$P262))))</f>
        <v/>
      </c>
      <c r="R262" s="1017" t="str">
        <f ca="1">IF($A262="","",IFERROR(INDEX(TinhGia!$BF$10:$BF$81,MATCH($A262,TinhGia!$B$10:$B$81,0)),""))</f>
        <v/>
      </c>
      <c r="S262" s="1012" t="str">
        <f ca="1">IF($A262="","",IF(OR(IFERROR(SEARCH($R262,XKNVLSX!$X$1,1),0)&gt;=1,XKNVLSX!$X$1=""),$S$2,""))</f>
        <v/>
      </c>
      <c r="T262" s="1018" t="str">
        <f ca="1">IF($C262="","", IF(OR($P262=$V$1,$P262=$V$7,COUNTIFS($C$3:$C262,$C262,$E$3:$E262,$E262)&lt;=1),$P262,""    ))</f>
        <v/>
      </c>
      <c r="U262" s="1019" t="str">
        <f ca="1">IF(AND($P262=$V$2,COUNTIFS($C$3:$C262,$C262,$E$3:$E262,$E262,$G$3:$G262,$G262)&lt;=1),$P262,"")</f>
        <v/>
      </c>
    </row>
    <row r="263" spans="1:21">
      <c r="A263" s="991" t="str">
        <f ca="1">IFERROR(IF(COUNTIF($A$3:A262,A262)&lt; INDEX(TinhGia!$BH$10:$BH$81,MATCH($A262,TinhGia!$B$10:$B$81,0)),$A262,INDEX(TinhGia!$B$10:$B$81,MATCH($A262,TinhGia!$B$10:$B$81,0)+1)),"")</f>
        <v/>
      </c>
      <c r="B263" s="525" t="str">
        <f ca="1">IF(OR(A263="",A263=0),"",IF(COUNTIF($A$2:A263,$A263)=1,ROW(MauKoXoa!$C$108),$B262+1))</f>
        <v/>
      </c>
      <c r="C263" s="992" t="str">
        <f t="shared" ca="1" si="40"/>
        <v/>
      </c>
      <c r="D263" s="993" t="str">
        <f t="shared" ca="1" si="41"/>
        <v/>
      </c>
      <c r="E263" s="993" t="str">
        <f t="shared" ca="1" si="42"/>
        <v/>
      </c>
      <c r="F263" s="992" t="str">
        <f t="shared" ca="1" si="52"/>
        <v/>
      </c>
      <c r="G263" s="994">
        <f t="shared" ca="1" si="43"/>
        <v>0</v>
      </c>
      <c r="H263" s="913">
        <f t="shared" ca="1" si="44"/>
        <v>0</v>
      </c>
      <c r="I263" s="913">
        <f t="shared" ca="1" si="45"/>
        <v>0</v>
      </c>
      <c r="J263" s="995">
        <f t="shared" ca="1" si="53"/>
        <v>0</v>
      </c>
      <c r="K263" s="913">
        <f t="shared" ca="1" si="47"/>
        <v>0</v>
      </c>
      <c r="L263" s="995">
        <f t="shared" ca="1" si="54"/>
        <v>0</v>
      </c>
      <c r="M263" s="913">
        <f t="shared" ca="1" si="49"/>
        <v>0</v>
      </c>
      <c r="N263" s="996">
        <f t="shared" ca="1" si="50"/>
        <v>0</v>
      </c>
      <c r="O263" s="997">
        <f t="shared" ca="1" si="51"/>
        <v>0</v>
      </c>
      <c r="P263" s="1015" t="str">
        <f ca="1">IF($C263="","",INDEX(NVLSX!$N$2:$N$6941,MATCH($C263,NVLSX!$E$2:$E$6941,0)))</f>
        <v/>
      </c>
      <c r="Q263" s="1016" t="str">
        <f ca="1">IF($R263="","",IF(XKNVLSX!$X$1="",IF($P263=$V$7,$P263, IF(COUNTIFS($C$2:$C262,$C263,$E$2:$E262,$E263)&gt;=1,"",$P263)),     IF(AND(IFERROR(SEARCH($R263,XKNVLSX!$X$1,1),0)&gt;=1,$P263=$V$7),$P263, IF(OR($R263&lt;&gt;IF(IFERROR(SEARCH($R263,XKNVLSX!$X$1,1),0)&gt;=1,$R263,XKNVLSX!$X$1),COUNTIFS($C$2:$C262,$C263,$E$2:$E262,$E263,$Q$2:$Q262,$P263)&gt;=1),"",$P263))))</f>
        <v/>
      </c>
      <c r="R263" s="1017" t="str">
        <f ca="1">IF($A263="","",IFERROR(INDEX(TinhGia!$BF$10:$BF$81,MATCH($A263,TinhGia!$B$10:$B$81,0)),""))</f>
        <v/>
      </c>
      <c r="S263" s="1012" t="str">
        <f ca="1">IF($A263="","",IF(OR(IFERROR(SEARCH($R263,XKNVLSX!$X$1,1),0)&gt;=1,XKNVLSX!$X$1=""),$S$2,""))</f>
        <v/>
      </c>
      <c r="T263" s="1018" t="str">
        <f ca="1">IF($C263="","", IF(OR($P263=$V$1,$P263=$V$7,COUNTIFS($C$3:$C263,$C263,$E$3:$E263,$E263)&lt;=1),$P263,""    ))</f>
        <v/>
      </c>
      <c r="U263" s="1019" t="str">
        <f ca="1">IF(AND($P263=$V$2,COUNTIFS($C$3:$C263,$C263,$E$3:$E263,$E263,$G$3:$G263,$G263)&lt;=1),$P263,"")</f>
        <v/>
      </c>
    </row>
    <row r="264" spans="1:21">
      <c r="A264" s="991" t="str">
        <f ca="1">IFERROR(IF(COUNTIF($A$3:A263,A263)&lt; INDEX(TinhGia!$BH$10:$BH$81,MATCH($A263,TinhGia!$B$10:$B$81,0)),$A263,INDEX(TinhGia!$B$10:$B$81,MATCH($A263,TinhGia!$B$10:$B$81,0)+1)),"")</f>
        <v/>
      </c>
      <c r="B264" s="525" t="str">
        <f ca="1">IF(OR(A264="",A264=0),"",IF(COUNTIF($A$2:A264,$A264)=1,ROW(MauKoXoa!$C$108),$B263+1))</f>
        <v/>
      </c>
      <c r="C264" s="992" t="str">
        <f t="shared" ca="1" si="40"/>
        <v/>
      </c>
      <c r="D264" s="993" t="str">
        <f t="shared" ca="1" si="41"/>
        <v/>
      </c>
      <c r="E264" s="993" t="str">
        <f t="shared" ca="1" si="42"/>
        <v/>
      </c>
      <c r="F264" s="992" t="str">
        <f t="shared" ca="1" si="52"/>
        <v/>
      </c>
      <c r="G264" s="994">
        <f t="shared" ca="1" si="43"/>
        <v>0</v>
      </c>
      <c r="H264" s="913">
        <f t="shared" ca="1" si="44"/>
        <v>0</v>
      </c>
      <c r="I264" s="913">
        <f t="shared" ca="1" si="45"/>
        <v>0</v>
      </c>
      <c r="J264" s="995">
        <f t="shared" ca="1" si="53"/>
        <v>0</v>
      </c>
      <c r="K264" s="913">
        <f t="shared" ca="1" si="47"/>
        <v>0</v>
      </c>
      <c r="L264" s="995">
        <f t="shared" ca="1" si="54"/>
        <v>0</v>
      </c>
      <c r="M264" s="913">
        <f t="shared" ca="1" si="49"/>
        <v>0</v>
      </c>
      <c r="N264" s="996">
        <f t="shared" ca="1" si="50"/>
        <v>0</v>
      </c>
      <c r="O264" s="997">
        <f t="shared" ca="1" si="51"/>
        <v>0</v>
      </c>
      <c r="P264" s="1015" t="str">
        <f ca="1">IF($C264="","",INDEX(NVLSX!$N$2:$N$6941,MATCH($C264,NVLSX!$E$2:$E$6941,0)))</f>
        <v/>
      </c>
      <c r="Q264" s="1016" t="str">
        <f ca="1">IF($R264="","",IF(XKNVLSX!$X$1="",IF($P264=$V$7,$P264, IF(COUNTIFS($C$2:$C263,$C264,$E$2:$E263,$E264)&gt;=1,"",$P264)),     IF(AND(IFERROR(SEARCH($R264,XKNVLSX!$X$1,1),0)&gt;=1,$P264=$V$7),$P264, IF(OR($R264&lt;&gt;IF(IFERROR(SEARCH($R264,XKNVLSX!$X$1,1),0)&gt;=1,$R264,XKNVLSX!$X$1),COUNTIFS($C$2:$C263,$C264,$E$2:$E263,$E264,$Q$2:$Q263,$P264)&gt;=1),"",$P264))))</f>
        <v/>
      </c>
      <c r="R264" s="1017" t="str">
        <f ca="1">IF($A264="","",IFERROR(INDEX(TinhGia!$BF$10:$BF$81,MATCH($A264,TinhGia!$B$10:$B$81,0)),""))</f>
        <v/>
      </c>
      <c r="S264" s="1012" t="str">
        <f ca="1">IF($A264="","",IF(OR(IFERROR(SEARCH($R264,XKNVLSX!$X$1,1),0)&gt;=1,XKNVLSX!$X$1=""),$S$2,""))</f>
        <v/>
      </c>
      <c r="T264" s="1018" t="str">
        <f ca="1">IF($C264="","", IF(OR($P264=$V$1,$P264=$V$7,COUNTIFS($C$3:$C264,$C264,$E$3:$E264,$E264)&lt;=1),$P264,""    ))</f>
        <v/>
      </c>
      <c r="U264" s="1019" t="str">
        <f ca="1">IF(AND($P264=$V$2,COUNTIFS($C$3:$C264,$C264,$E$3:$E264,$E264,$G$3:$G264,$G264)&lt;=1),$P264,"")</f>
        <v/>
      </c>
    </row>
    <row r="265" spans="1:21">
      <c r="A265" s="991" t="str">
        <f ca="1">IFERROR(IF(COUNTIF($A$3:A264,A264)&lt; INDEX(TinhGia!$BH$10:$BH$81,MATCH($A264,TinhGia!$B$10:$B$81,0)),$A264,INDEX(TinhGia!$B$10:$B$81,MATCH($A264,TinhGia!$B$10:$B$81,0)+1)),"")</f>
        <v/>
      </c>
      <c r="B265" s="525" t="str">
        <f ca="1">IF(OR(A265="",A265=0),"",IF(COUNTIF($A$2:A265,$A265)=1,ROW(MauKoXoa!$C$108),$B264+1))</f>
        <v/>
      </c>
      <c r="C265" s="992" t="str">
        <f t="shared" ca="1" si="40"/>
        <v/>
      </c>
      <c r="D265" s="993" t="str">
        <f t="shared" ca="1" si="41"/>
        <v/>
      </c>
      <c r="E265" s="993" t="str">
        <f t="shared" ca="1" si="42"/>
        <v/>
      </c>
      <c r="F265" s="992" t="str">
        <f t="shared" ca="1" si="52"/>
        <v/>
      </c>
      <c r="G265" s="994">
        <f t="shared" ca="1" si="43"/>
        <v>0</v>
      </c>
      <c r="H265" s="913">
        <f t="shared" ca="1" si="44"/>
        <v>0</v>
      </c>
      <c r="I265" s="913">
        <f t="shared" ca="1" si="45"/>
        <v>0</v>
      </c>
      <c r="J265" s="995">
        <f t="shared" ca="1" si="53"/>
        <v>0</v>
      </c>
      <c r="K265" s="913">
        <f t="shared" ca="1" si="47"/>
        <v>0</v>
      </c>
      <c r="L265" s="995">
        <f t="shared" ca="1" si="54"/>
        <v>0</v>
      </c>
      <c r="M265" s="913">
        <f t="shared" ca="1" si="49"/>
        <v>0</v>
      </c>
      <c r="N265" s="996">
        <f t="shared" ca="1" si="50"/>
        <v>0</v>
      </c>
      <c r="O265" s="997">
        <f t="shared" ca="1" si="51"/>
        <v>0</v>
      </c>
      <c r="P265" s="1015" t="str">
        <f ca="1">IF($C265="","",INDEX(NVLSX!$N$2:$N$6941,MATCH($C265,NVLSX!$E$2:$E$6941,0)))</f>
        <v/>
      </c>
      <c r="Q265" s="1016" t="str">
        <f ca="1">IF($R265="","",IF(XKNVLSX!$X$1="",IF($P265=$V$7,$P265, IF(COUNTIFS($C$2:$C264,$C265,$E$2:$E264,$E265)&gt;=1,"",$P265)),     IF(AND(IFERROR(SEARCH($R265,XKNVLSX!$X$1,1),0)&gt;=1,$P265=$V$7),$P265, IF(OR($R265&lt;&gt;IF(IFERROR(SEARCH($R265,XKNVLSX!$X$1,1),0)&gt;=1,$R265,XKNVLSX!$X$1),COUNTIFS($C$2:$C264,$C265,$E$2:$E264,$E265,$Q$2:$Q264,$P265)&gt;=1),"",$P265))))</f>
        <v/>
      </c>
      <c r="R265" s="1017" t="str">
        <f ca="1">IF($A265="","",IFERROR(INDEX(TinhGia!$BF$10:$BF$81,MATCH($A265,TinhGia!$B$10:$B$81,0)),""))</f>
        <v/>
      </c>
      <c r="S265" s="1012" t="str">
        <f ca="1">IF($A265="","",IF(OR(IFERROR(SEARCH($R265,XKNVLSX!$X$1,1),0)&gt;=1,XKNVLSX!$X$1=""),$S$2,""))</f>
        <v/>
      </c>
      <c r="T265" s="1018" t="str">
        <f ca="1">IF($C265="","", IF(OR($P265=$V$1,$P265=$V$7,COUNTIFS($C$3:$C265,$C265,$E$3:$E265,$E265)&lt;=1),$P265,""    ))</f>
        <v/>
      </c>
      <c r="U265" s="1019" t="str">
        <f ca="1">IF(AND($P265=$V$2,COUNTIFS($C$3:$C265,$C265,$E$3:$E265,$E265,$G$3:$G265,$G265)&lt;=1),$P265,"")</f>
        <v/>
      </c>
    </row>
    <row r="266" spans="1:21">
      <c r="A266" s="991" t="str">
        <f ca="1">IFERROR(IF(COUNTIF($A$3:A265,A265)&lt; INDEX(TinhGia!$BH$10:$BH$81,MATCH($A265,TinhGia!$B$10:$B$81,0)),$A265,INDEX(TinhGia!$B$10:$B$81,MATCH($A265,TinhGia!$B$10:$B$81,0)+1)),"")</f>
        <v/>
      </c>
      <c r="B266" s="525" t="str">
        <f ca="1">IF(OR(A266="",A266=0),"",IF(COUNTIF($A$2:A266,$A266)=1,ROW(MauKoXoa!$C$108),$B265+1))</f>
        <v/>
      </c>
      <c r="C266" s="992" t="str">
        <f t="shared" ca="1" si="40"/>
        <v/>
      </c>
      <c r="D266" s="993" t="str">
        <f t="shared" ca="1" si="41"/>
        <v/>
      </c>
      <c r="E266" s="993" t="str">
        <f t="shared" ca="1" si="42"/>
        <v/>
      </c>
      <c r="F266" s="992" t="str">
        <f t="shared" ca="1" si="52"/>
        <v/>
      </c>
      <c r="G266" s="994">
        <f t="shared" ca="1" si="43"/>
        <v>0</v>
      </c>
      <c r="H266" s="913">
        <f t="shared" ca="1" si="44"/>
        <v>0</v>
      </c>
      <c r="I266" s="913">
        <f t="shared" ca="1" si="45"/>
        <v>0</v>
      </c>
      <c r="J266" s="995">
        <f t="shared" ca="1" si="53"/>
        <v>0</v>
      </c>
      <c r="K266" s="913">
        <f t="shared" ca="1" si="47"/>
        <v>0</v>
      </c>
      <c r="L266" s="995">
        <f t="shared" ca="1" si="54"/>
        <v>0</v>
      </c>
      <c r="M266" s="913">
        <f t="shared" ca="1" si="49"/>
        <v>0</v>
      </c>
      <c r="N266" s="996">
        <f t="shared" ca="1" si="50"/>
        <v>0</v>
      </c>
      <c r="O266" s="997">
        <f t="shared" ca="1" si="51"/>
        <v>0</v>
      </c>
      <c r="P266" s="1015" t="str">
        <f ca="1">IF($C266="","",INDEX(NVLSX!$N$2:$N$6941,MATCH($C266,NVLSX!$E$2:$E$6941,0)))</f>
        <v/>
      </c>
      <c r="Q266" s="1016" t="str">
        <f ca="1">IF($R266="","",IF(XKNVLSX!$X$1="",IF($P266=$V$7,$P266, IF(COUNTIFS($C$2:$C265,$C266,$E$2:$E265,$E266)&gt;=1,"",$P266)),     IF(AND(IFERROR(SEARCH($R266,XKNVLSX!$X$1,1),0)&gt;=1,$P266=$V$7),$P266, IF(OR($R266&lt;&gt;IF(IFERROR(SEARCH($R266,XKNVLSX!$X$1,1),0)&gt;=1,$R266,XKNVLSX!$X$1),COUNTIFS($C$2:$C265,$C266,$E$2:$E265,$E266,$Q$2:$Q265,$P266)&gt;=1),"",$P266))))</f>
        <v/>
      </c>
      <c r="R266" s="1017" t="str">
        <f ca="1">IF($A266="","",IFERROR(INDEX(TinhGia!$BF$10:$BF$81,MATCH($A266,TinhGia!$B$10:$B$81,0)),""))</f>
        <v/>
      </c>
      <c r="S266" s="1012" t="str">
        <f ca="1">IF($A266="","",IF(OR(IFERROR(SEARCH($R266,XKNVLSX!$X$1,1),0)&gt;=1,XKNVLSX!$X$1=""),$S$2,""))</f>
        <v/>
      </c>
      <c r="T266" s="1018" t="str">
        <f ca="1">IF($C266="","", IF(OR($P266=$V$1,$P266=$V$7,COUNTIFS($C$3:$C266,$C266,$E$3:$E266,$E266)&lt;=1),$P266,""    ))</f>
        <v/>
      </c>
      <c r="U266" s="1019" t="str">
        <f ca="1">IF(AND($P266=$V$2,COUNTIFS($C$3:$C266,$C266,$E$3:$E266,$E266,$G$3:$G266,$G266)&lt;=1),$P266,"")</f>
        <v/>
      </c>
    </row>
    <row r="267" spans="1:21">
      <c r="A267" s="991" t="str">
        <f ca="1">IFERROR(IF(COUNTIF($A$3:A266,A266)&lt; INDEX(TinhGia!$BH$10:$BH$81,MATCH($A266,TinhGia!$B$10:$B$81,0)),$A266,INDEX(TinhGia!$B$10:$B$81,MATCH($A266,TinhGia!$B$10:$B$81,0)+1)),"")</f>
        <v/>
      </c>
      <c r="B267" s="525" t="str">
        <f ca="1">IF(OR(A267="",A267=0),"",IF(COUNTIF($A$2:A267,$A267)=1,ROW(MauKoXoa!$C$108),$B266+1))</f>
        <v/>
      </c>
      <c r="C267" s="992" t="str">
        <f t="shared" ca="1" si="40"/>
        <v/>
      </c>
      <c r="D267" s="993" t="str">
        <f t="shared" ca="1" si="41"/>
        <v/>
      </c>
      <c r="E267" s="993" t="str">
        <f t="shared" ca="1" si="42"/>
        <v/>
      </c>
      <c r="F267" s="992" t="str">
        <f t="shared" ca="1" si="52"/>
        <v/>
      </c>
      <c r="G267" s="994">
        <f t="shared" ca="1" si="43"/>
        <v>0</v>
      </c>
      <c r="H267" s="913">
        <f t="shared" ca="1" si="44"/>
        <v>0</v>
      </c>
      <c r="I267" s="913">
        <f t="shared" ca="1" si="45"/>
        <v>0</v>
      </c>
      <c r="J267" s="995">
        <f t="shared" ca="1" si="53"/>
        <v>0</v>
      </c>
      <c r="K267" s="913">
        <f t="shared" ca="1" si="47"/>
        <v>0</v>
      </c>
      <c r="L267" s="995">
        <f t="shared" ca="1" si="54"/>
        <v>0</v>
      </c>
      <c r="M267" s="913">
        <f t="shared" ca="1" si="49"/>
        <v>0</v>
      </c>
      <c r="N267" s="996">
        <f t="shared" ca="1" si="50"/>
        <v>0</v>
      </c>
      <c r="O267" s="997">
        <f t="shared" ca="1" si="51"/>
        <v>0</v>
      </c>
      <c r="P267" s="1015" t="str">
        <f ca="1">IF($C267="","",INDEX(NVLSX!$N$2:$N$6941,MATCH($C267,NVLSX!$E$2:$E$6941,0)))</f>
        <v/>
      </c>
      <c r="Q267" s="1016" t="str">
        <f ca="1">IF($R267="","",IF(XKNVLSX!$X$1="",IF($P267=$V$7,$P267, IF(COUNTIFS($C$2:$C266,$C267,$E$2:$E266,$E267)&gt;=1,"",$P267)),     IF(AND(IFERROR(SEARCH($R267,XKNVLSX!$X$1,1),0)&gt;=1,$P267=$V$7),$P267, IF(OR($R267&lt;&gt;IF(IFERROR(SEARCH($R267,XKNVLSX!$X$1,1),0)&gt;=1,$R267,XKNVLSX!$X$1),COUNTIFS($C$2:$C266,$C267,$E$2:$E266,$E267,$Q$2:$Q266,$P267)&gt;=1),"",$P267))))</f>
        <v/>
      </c>
      <c r="R267" s="1017" t="str">
        <f ca="1">IF($A267="","",IFERROR(INDEX(TinhGia!$BF$10:$BF$81,MATCH($A267,TinhGia!$B$10:$B$81,0)),""))</f>
        <v/>
      </c>
      <c r="S267" s="1012" t="str">
        <f ca="1">IF($A267="","",IF(OR(IFERROR(SEARCH($R267,XKNVLSX!$X$1,1),0)&gt;=1,XKNVLSX!$X$1=""),$S$2,""))</f>
        <v/>
      </c>
      <c r="T267" s="1018" t="str">
        <f ca="1">IF($C267="","", IF(OR($P267=$V$1,$P267=$V$7,COUNTIFS($C$3:$C267,$C267,$E$3:$E267,$E267)&lt;=1),$P267,""    ))</f>
        <v/>
      </c>
      <c r="U267" s="1019" t="str">
        <f ca="1">IF(AND($P267=$V$2,COUNTIFS($C$3:$C267,$C267,$E$3:$E267,$E267,$G$3:$G267,$G267)&lt;=1),$P267,"")</f>
        <v/>
      </c>
    </row>
    <row r="268" spans="1:21">
      <c r="A268" s="991" t="str">
        <f ca="1">IFERROR(IF(COUNTIF($A$3:A267,A267)&lt; INDEX(TinhGia!$BH$10:$BH$81,MATCH($A267,TinhGia!$B$10:$B$81,0)),$A267,INDEX(TinhGia!$B$10:$B$81,MATCH($A267,TinhGia!$B$10:$B$81,0)+1)),"")</f>
        <v/>
      </c>
      <c r="B268" s="525" t="str">
        <f ca="1">IF(OR(A268="",A268=0),"",IF(COUNTIF($A$2:A268,$A268)=1,ROW(MauKoXoa!$C$108),$B267+1))</f>
        <v/>
      </c>
      <c r="C268" s="992" t="str">
        <f t="shared" ca="1" si="40"/>
        <v/>
      </c>
      <c r="D268" s="993" t="str">
        <f t="shared" ca="1" si="41"/>
        <v/>
      </c>
      <c r="E268" s="993" t="str">
        <f t="shared" ca="1" si="42"/>
        <v/>
      </c>
      <c r="F268" s="992" t="str">
        <f t="shared" ca="1" si="52"/>
        <v/>
      </c>
      <c r="G268" s="994">
        <f t="shared" ca="1" si="43"/>
        <v>0</v>
      </c>
      <c r="H268" s="913">
        <f t="shared" ca="1" si="44"/>
        <v>0</v>
      </c>
      <c r="I268" s="913">
        <f t="shared" ca="1" si="45"/>
        <v>0</v>
      </c>
      <c r="J268" s="995">
        <f t="shared" ca="1" si="53"/>
        <v>0</v>
      </c>
      <c r="K268" s="913">
        <f t="shared" ca="1" si="47"/>
        <v>0</v>
      </c>
      <c r="L268" s="995">
        <f t="shared" ca="1" si="54"/>
        <v>0</v>
      </c>
      <c r="M268" s="913">
        <f t="shared" ca="1" si="49"/>
        <v>0</v>
      </c>
      <c r="N268" s="996">
        <f t="shared" ca="1" si="50"/>
        <v>0</v>
      </c>
      <c r="O268" s="997">
        <f t="shared" ca="1" si="51"/>
        <v>0</v>
      </c>
      <c r="P268" s="1015" t="str">
        <f ca="1">IF($C268="","",INDEX(NVLSX!$N$2:$N$6941,MATCH($C268,NVLSX!$E$2:$E$6941,0)))</f>
        <v/>
      </c>
      <c r="Q268" s="1016" t="str">
        <f ca="1">IF($R268="","",IF(XKNVLSX!$X$1="",IF($P268=$V$7,$P268, IF(COUNTIFS($C$2:$C267,$C268,$E$2:$E267,$E268)&gt;=1,"",$P268)),     IF(AND(IFERROR(SEARCH($R268,XKNVLSX!$X$1,1),0)&gt;=1,$P268=$V$7),$P268, IF(OR($R268&lt;&gt;IF(IFERROR(SEARCH($R268,XKNVLSX!$X$1,1),0)&gt;=1,$R268,XKNVLSX!$X$1),COUNTIFS($C$2:$C267,$C268,$E$2:$E267,$E268,$Q$2:$Q267,$P268)&gt;=1),"",$P268))))</f>
        <v/>
      </c>
      <c r="R268" s="1017" t="str">
        <f ca="1">IF($A268="","",IFERROR(INDEX(TinhGia!$BF$10:$BF$81,MATCH($A268,TinhGia!$B$10:$B$81,0)),""))</f>
        <v/>
      </c>
      <c r="S268" s="1012" t="str">
        <f ca="1">IF($A268="","",IF(OR(IFERROR(SEARCH($R268,XKNVLSX!$X$1,1),0)&gt;=1,XKNVLSX!$X$1=""),$S$2,""))</f>
        <v/>
      </c>
      <c r="T268" s="1018" t="str">
        <f ca="1">IF($C268="","", IF(OR($P268=$V$1,$P268=$V$7,COUNTIFS($C$3:$C268,$C268,$E$3:$E268,$E268)&lt;=1),$P268,""    ))</f>
        <v/>
      </c>
      <c r="U268" s="1019" t="str">
        <f ca="1">IF(AND($P268=$V$2,COUNTIFS($C$3:$C268,$C268,$E$3:$E268,$E268,$G$3:$G268,$G268)&lt;=1),$P268,"")</f>
        <v/>
      </c>
    </row>
    <row r="269" spans="1:21">
      <c r="A269" s="991" t="str">
        <f ca="1">IFERROR(IF(COUNTIF($A$3:A268,A268)&lt; INDEX(TinhGia!$BH$10:$BH$81,MATCH($A268,TinhGia!$B$10:$B$81,0)),$A268,INDEX(TinhGia!$B$10:$B$81,MATCH($A268,TinhGia!$B$10:$B$81,0)+1)),"")</f>
        <v/>
      </c>
      <c r="B269" s="525" t="str">
        <f ca="1">IF(OR(A269="",A269=0),"",IF(COUNTIF($A$2:A269,$A269)=1,ROW(MauKoXoa!$C$108),$B268+1))</f>
        <v/>
      </c>
      <c r="C269" s="992" t="str">
        <f t="shared" ca="1" si="40"/>
        <v/>
      </c>
      <c r="D269" s="993" t="str">
        <f t="shared" ca="1" si="41"/>
        <v/>
      </c>
      <c r="E269" s="993" t="str">
        <f t="shared" ca="1" si="42"/>
        <v/>
      </c>
      <c r="F269" s="992" t="str">
        <f t="shared" ca="1" si="52"/>
        <v/>
      </c>
      <c r="G269" s="994">
        <f t="shared" ca="1" si="43"/>
        <v>0</v>
      </c>
      <c r="H269" s="913">
        <f t="shared" ca="1" si="44"/>
        <v>0</v>
      </c>
      <c r="I269" s="913">
        <f t="shared" ca="1" si="45"/>
        <v>0</v>
      </c>
      <c r="J269" s="995">
        <f t="shared" ca="1" si="53"/>
        <v>0</v>
      </c>
      <c r="K269" s="913">
        <f t="shared" ca="1" si="47"/>
        <v>0</v>
      </c>
      <c r="L269" s="995">
        <f t="shared" ca="1" si="54"/>
        <v>0</v>
      </c>
      <c r="M269" s="913">
        <f t="shared" ca="1" si="49"/>
        <v>0</v>
      </c>
      <c r="N269" s="996">
        <f t="shared" ca="1" si="50"/>
        <v>0</v>
      </c>
      <c r="O269" s="997">
        <f t="shared" ca="1" si="51"/>
        <v>0</v>
      </c>
      <c r="P269" s="1015" t="str">
        <f ca="1">IF($C269="","",INDEX(NVLSX!$N$2:$N$6941,MATCH($C269,NVLSX!$E$2:$E$6941,0)))</f>
        <v/>
      </c>
      <c r="Q269" s="1016" t="str">
        <f ca="1">IF($R269="","",IF(XKNVLSX!$X$1="",IF($P269=$V$7,$P269, IF(COUNTIFS($C$2:$C268,$C269,$E$2:$E268,$E269)&gt;=1,"",$P269)),     IF(AND(IFERROR(SEARCH($R269,XKNVLSX!$X$1,1),0)&gt;=1,$P269=$V$7),$P269, IF(OR($R269&lt;&gt;IF(IFERROR(SEARCH($R269,XKNVLSX!$X$1,1),0)&gt;=1,$R269,XKNVLSX!$X$1),COUNTIFS($C$2:$C268,$C269,$E$2:$E268,$E269,$Q$2:$Q268,$P269)&gt;=1),"",$P269))))</f>
        <v/>
      </c>
      <c r="R269" s="1017" t="str">
        <f ca="1">IF($A269="","",IFERROR(INDEX(TinhGia!$BF$10:$BF$81,MATCH($A269,TinhGia!$B$10:$B$81,0)),""))</f>
        <v/>
      </c>
      <c r="S269" s="1012" t="str">
        <f ca="1">IF($A269="","",IF(OR(IFERROR(SEARCH($R269,XKNVLSX!$X$1,1),0)&gt;=1,XKNVLSX!$X$1=""),$S$2,""))</f>
        <v/>
      </c>
      <c r="T269" s="1018" t="str">
        <f ca="1">IF($C269="","", IF(OR($P269=$V$1,$P269=$V$7,COUNTIFS($C$3:$C269,$C269,$E$3:$E269,$E269)&lt;=1),$P269,""    ))</f>
        <v/>
      </c>
      <c r="U269" s="1019" t="str">
        <f ca="1">IF(AND($P269=$V$2,COUNTIFS($C$3:$C269,$C269,$E$3:$E269,$E269,$G$3:$G269,$G269)&lt;=1),$P269,"")</f>
        <v/>
      </c>
    </row>
    <row r="270" spans="1:21">
      <c r="A270" s="991" t="str">
        <f ca="1">IFERROR(IF(COUNTIF($A$3:A269,A269)&lt; INDEX(TinhGia!$BH$10:$BH$81,MATCH($A269,TinhGia!$B$10:$B$81,0)),$A269,INDEX(TinhGia!$B$10:$B$81,MATCH($A269,TinhGia!$B$10:$B$81,0)+1)),"")</f>
        <v/>
      </c>
      <c r="B270" s="525" t="str">
        <f ca="1">IF(OR(A270="",A270=0),"",IF(COUNTIF($A$2:A270,$A270)=1,ROW(MauKoXoa!$C$108),$B269+1))</f>
        <v/>
      </c>
      <c r="C270" s="992" t="str">
        <f t="shared" ca="1" si="40"/>
        <v/>
      </c>
      <c r="D270" s="993" t="str">
        <f t="shared" ca="1" si="41"/>
        <v/>
      </c>
      <c r="E270" s="993" t="str">
        <f t="shared" ca="1" si="42"/>
        <v/>
      </c>
      <c r="F270" s="992" t="str">
        <f t="shared" ca="1" si="52"/>
        <v/>
      </c>
      <c r="G270" s="994">
        <f t="shared" ca="1" si="43"/>
        <v>0</v>
      </c>
      <c r="H270" s="913">
        <f t="shared" ca="1" si="44"/>
        <v>0</v>
      </c>
      <c r="I270" s="913">
        <f t="shared" ca="1" si="45"/>
        <v>0</v>
      </c>
      <c r="J270" s="995">
        <f t="shared" ca="1" si="53"/>
        <v>0</v>
      </c>
      <c r="K270" s="913">
        <f t="shared" ca="1" si="47"/>
        <v>0</v>
      </c>
      <c r="L270" s="995">
        <f t="shared" ca="1" si="54"/>
        <v>0</v>
      </c>
      <c r="M270" s="913">
        <f t="shared" ca="1" si="49"/>
        <v>0</v>
      </c>
      <c r="N270" s="996">
        <f t="shared" ca="1" si="50"/>
        <v>0</v>
      </c>
      <c r="O270" s="997">
        <f t="shared" ca="1" si="51"/>
        <v>0</v>
      </c>
      <c r="P270" s="1015" t="str">
        <f ca="1">IF($C270="","",INDEX(NVLSX!$N$2:$N$6941,MATCH($C270,NVLSX!$E$2:$E$6941,0)))</f>
        <v/>
      </c>
      <c r="Q270" s="1016" t="str">
        <f ca="1">IF($R270="","",IF(XKNVLSX!$X$1="",IF($P270=$V$7,$P270, IF(COUNTIFS($C$2:$C269,$C270,$E$2:$E269,$E270)&gt;=1,"",$P270)),     IF(AND(IFERROR(SEARCH($R270,XKNVLSX!$X$1,1),0)&gt;=1,$P270=$V$7),$P270, IF(OR($R270&lt;&gt;IF(IFERROR(SEARCH($R270,XKNVLSX!$X$1,1),0)&gt;=1,$R270,XKNVLSX!$X$1),COUNTIFS($C$2:$C269,$C270,$E$2:$E269,$E270,$Q$2:$Q269,$P270)&gt;=1),"",$P270))))</f>
        <v/>
      </c>
      <c r="R270" s="1017" t="str">
        <f ca="1">IF($A270="","",IFERROR(INDEX(TinhGia!$BF$10:$BF$81,MATCH($A270,TinhGia!$B$10:$B$81,0)),""))</f>
        <v/>
      </c>
      <c r="S270" s="1012" t="str">
        <f ca="1">IF($A270="","",IF(OR(IFERROR(SEARCH($R270,XKNVLSX!$X$1,1),0)&gt;=1,XKNVLSX!$X$1=""),$S$2,""))</f>
        <v/>
      </c>
      <c r="T270" s="1018" t="str">
        <f ca="1">IF($C270="","", IF(OR($P270=$V$1,$P270=$V$7,COUNTIFS($C$3:$C270,$C270,$E$3:$E270,$E270)&lt;=1),$P270,""    ))</f>
        <v/>
      </c>
      <c r="U270" s="1019" t="str">
        <f ca="1">IF(AND($P270=$V$2,COUNTIFS($C$3:$C270,$C270,$E$3:$E270,$E270,$G$3:$G270,$G270)&lt;=1),$P270,"")</f>
        <v/>
      </c>
    </row>
    <row r="271" spans="1:21">
      <c r="A271" s="991" t="str">
        <f ca="1">IFERROR(IF(COUNTIF($A$3:A270,A270)&lt; INDEX(TinhGia!$BH$10:$BH$81,MATCH($A270,TinhGia!$B$10:$B$81,0)),$A270,INDEX(TinhGia!$B$10:$B$81,MATCH($A270,TinhGia!$B$10:$B$81,0)+1)),"")</f>
        <v/>
      </c>
      <c r="B271" s="525" t="str">
        <f ca="1">IF(OR(A271="",A271=0),"",IF(COUNTIF($A$2:A271,$A271)=1,ROW(MauKoXoa!$C$108),$B270+1))</f>
        <v/>
      </c>
      <c r="C271" s="992" t="str">
        <f t="shared" ca="1" si="40"/>
        <v/>
      </c>
      <c r="D271" s="993" t="str">
        <f t="shared" ca="1" si="41"/>
        <v/>
      </c>
      <c r="E271" s="993" t="str">
        <f t="shared" ca="1" si="42"/>
        <v/>
      </c>
      <c r="F271" s="992" t="str">
        <f t="shared" ca="1" si="52"/>
        <v/>
      </c>
      <c r="G271" s="994">
        <f t="shared" ca="1" si="43"/>
        <v>0</v>
      </c>
      <c r="H271" s="913">
        <f t="shared" ca="1" si="44"/>
        <v>0</v>
      </c>
      <c r="I271" s="913">
        <f t="shared" ca="1" si="45"/>
        <v>0</v>
      </c>
      <c r="J271" s="995">
        <f t="shared" ca="1" si="53"/>
        <v>0</v>
      </c>
      <c r="K271" s="913">
        <f t="shared" ca="1" si="47"/>
        <v>0</v>
      </c>
      <c r="L271" s="995">
        <f t="shared" ca="1" si="54"/>
        <v>0</v>
      </c>
      <c r="M271" s="913">
        <f t="shared" ca="1" si="49"/>
        <v>0</v>
      </c>
      <c r="N271" s="996">
        <f t="shared" ca="1" si="50"/>
        <v>0</v>
      </c>
      <c r="O271" s="997">
        <f t="shared" ca="1" si="51"/>
        <v>0</v>
      </c>
      <c r="P271" s="1015" t="str">
        <f ca="1">IF($C271="","",INDEX(NVLSX!$N$2:$N$6941,MATCH($C271,NVLSX!$E$2:$E$6941,0)))</f>
        <v/>
      </c>
      <c r="Q271" s="1016" t="str">
        <f ca="1">IF($R271="","",IF(XKNVLSX!$X$1="",IF($P271=$V$7,$P271, IF(COUNTIFS($C$2:$C270,$C271,$E$2:$E270,$E271)&gt;=1,"",$P271)),     IF(AND(IFERROR(SEARCH($R271,XKNVLSX!$X$1,1),0)&gt;=1,$P271=$V$7),$P271, IF(OR($R271&lt;&gt;IF(IFERROR(SEARCH($R271,XKNVLSX!$X$1,1),0)&gt;=1,$R271,XKNVLSX!$X$1),COUNTIFS($C$2:$C270,$C271,$E$2:$E270,$E271,$Q$2:$Q270,$P271)&gt;=1),"",$P271))))</f>
        <v/>
      </c>
      <c r="R271" s="1017" t="str">
        <f ca="1">IF($A271="","",IFERROR(INDEX(TinhGia!$BF$10:$BF$81,MATCH($A271,TinhGia!$B$10:$B$81,0)),""))</f>
        <v/>
      </c>
      <c r="S271" s="1012" t="str">
        <f ca="1">IF($A271="","",IF(OR(IFERROR(SEARCH($R271,XKNVLSX!$X$1,1),0)&gt;=1,XKNVLSX!$X$1=""),$S$2,""))</f>
        <v/>
      </c>
      <c r="T271" s="1018" t="str">
        <f ca="1">IF($C271="","", IF(OR($P271=$V$1,$P271=$V$7,COUNTIFS($C$3:$C271,$C271,$E$3:$E271,$E271)&lt;=1),$P271,""    ))</f>
        <v/>
      </c>
      <c r="U271" s="1019" t="str">
        <f ca="1">IF(AND($P271=$V$2,COUNTIFS($C$3:$C271,$C271,$E$3:$E271,$E271,$G$3:$G271,$G271)&lt;=1),$P271,"")</f>
        <v/>
      </c>
    </row>
    <row r="272" spans="1:21">
      <c r="A272" s="991" t="str">
        <f ca="1">IFERROR(IF(COUNTIF($A$3:A271,A271)&lt; INDEX(TinhGia!$BH$10:$BH$81,MATCH($A271,TinhGia!$B$10:$B$81,0)),$A271,INDEX(TinhGia!$B$10:$B$81,MATCH($A271,TinhGia!$B$10:$B$81,0)+1)),"")</f>
        <v/>
      </c>
      <c r="B272" s="525" t="str">
        <f ca="1">IF(OR(A272="",A272=0),"",IF(COUNTIF($A$2:A272,$A272)=1,ROW(MauKoXoa!$C$108),$B271+1))</f>
        <v/>
      </c>
      <c r="C272" s="992" t="str">
        <f t="shared" ca="1" si="40"/>
        <v/>
      </c>
      <c r="D272" s="993" t="str">
        <f t="shared" ca="1" si="41"/>
        <v/>
      </c>
      <c r="E272" s="993" t="str">
        <f t="shared" ca="1" si="42"/>
        <v/>
      </c>
      <c r="F272" s="992" t="str">
        <f t="shared" ca="1" si="52"/>
        <v/>
      </c>
      <c r="G272" s="994">
        <f t="shared" ca="1" si="43"/>
        <v>0</v>
      </c>
      <c r="H272" s="913">
        <f t="shared" ca="1" si="44"/>
        <v>0</v>
      </c>
      <c r="I272" s="913">
        <f t="shared" ca="1" si="45"/>
        <v>0</v>
      </c>
      <c r="J272" s="995">
        <f t="shared" ca="1" si="53"/>
        <v>0</v>
      </c>
      <c r="K272" s="913">
        <f t="shared" ca="1" si="47"/>
        <v>0</v>
      </c>
      <c r="L272" s="995">
        <f t="shared" ca="1" si="54"/>
        <v>0</v>
      </c>
      <c r="M272" s="913">
        <f t="shared" ca="1" si="49"/>
        <v>0</v>
      </c>
      <c r="N272" s="996">
        <f t="shared" ca="1" si="50"/>
        <v>0</v>
      </c>
      <c r="O272" s="997">
        <f t="shared" ca="1" si="51"/>
        <v>0</v>
      </c>
      <c r="P272" s="1015" t="str">
        <f ca="1">IF($C272="","",INDEX(NVLSX!$N$2:$N$6941,MATCH($C272,NVLSX!$E$2:$E$6941,0)))</f>
        <v/>
      </c>
      <c r="Q272" s="1016" t="str">
        <f ca="1">IF($R272="","",IF(XKNVLSX!$X$1="",IF($P272=$V$7,$P272, IF(COUNTIFS($C$2:$C271,$C272,$E$2:$E271,$E272)&gt;=1,"",$P272)),     IF(AND(IFERROR(SEARCH($R272,XKNVLSX!$X$1,1),0)&gt;=1,$P272=$V$7),$P272, IF(OR($R272&lt;&gt;IF(IFERROR(SEARCH($R272,XKNVLSX!$X$1,1),0)&gt;=1,$R272,XKNVLSX!$X$1),COUNTIFS($C$2:$C271,$C272,$E$2:$E271,$E272,$Q$2:$Q271,$P272)&gt;=1),"",$P272))))</f>
        <v/>
      </c>
      <c r="R272" s="1017" t="str">
        <f ca="1">IF($A272="","",IFERROR(INDEX(TinhGia!$BF$10:$BF$81,MATCH($A272,TinhGia!$B$10:$B$81,0)),""))</f>
        <v/>
      </c>
      <c r="S272" s="1012" t="str">
        <f ca="1">IF($A272="","",IF(OR(IFERROR(SEARCH($R272,XKNVLSX!$X$1,1),0)&gt;=1,XKNVLSX!$X$1=""),$S$2,""))</f>
        <v/>
      </c>
      <c r="T272" s="1018" t="str">
        <f ca="1">IF($C272="","", IF(OR($P272=$V$1,$P272=$V$7,COUNTIFS($C$3:$C272,$C272,$E$3:$E272,$E272)&lt;=1),$P272,""    ))</f>
        <v/>
      </c>
      <c r="U272" s="1019" t="str">
        <f ca="1">IF(AND($P272=$V$2,COUNTIFS($C$3:$C272,$C272,$E$3:$E272,$E272,$G$3:$G272,$G272)&lt;=1),$P272,"")</f>
        <v/>
      </c>
    </row>
    <row r="273" spans="1:21">
      <c r="A273" s="991" t="str">
        <f ca="1">IFERROR(IF(COUNTIF($A$3:A272,A272)&lt; INDEX(TinhGia!$BH$10:$BH$81,MATCH($A272,TinhGia!$B$10:$B$81,0)),$A272,INDEX(TinhGia!$B$10:$B$81,MATCH($A272,TinhGia!$B$10:$B$81,0)+1)),"")</f>
        <v/>
      </c>
      <c r="B273" s="525" t="str">
        <f ca="1">IF(OR(A273="",A273=0),"",IF(COUNTIF($A$2:A273,$A273)=1,ROW(MauKoXoa!$C$108),$B272+1))</f>
        <v/>
      </c>
      <c r="C273" s="992" t="str">
        <f t="shared" ca="1" si="40"/>
        <v/>
      </c>
      <c r="D273" s="993" t="str">
        <f t="shared" ca="1" si="41"/>
        <v/>
      </c>
      <c r="E273" s="993" t="str">
        <f t="shared" ca="1" si="42"/>
        <v/>
      </c>
      <c r="F273" s="992" t="str">
        <f t="shared" ca="1" si="52"/>
        <v/>
      </c>
      <c r="G273" s="994">
        <f t="shared" ca="1" si="43"/>
        <v>0</v>
      </c>
      <c r="H273" s="913">
        <f t="shared" ca="1" si="44"/>
        <v>0</v>
      </c>
      <c r="I273" s="913">
        <f t="shared" ca="1" si="45"/>
        <v>0</v>
      </c>
      <c r="J273" s="995">
        <f t="shared" ca="1" si="53"/>
        <v>0</v>
      </c>
      <c r="K273" s="913">
        <f t="shared" ca="1" si="47"/>
        <v>0</v>
      </c>
      <c r="L273" s="995">
        <f t="shared" ca="1" si="54"/>
        <v>0</v>
      </c>
      <c r="M273" s="913">
        <f t="shared" ca="1" si="49"/>
        <v>0</v>
      </c>
      <c r="N273" s="996">
        <f t="shared" ca="1" si="50"/>
        <v>0</v>
      </c>
      <c r="O273" s="997">
        <f t="shared" ca="1" si="51"/>
        <v>0</v>
      </c>
      <c r="P273" s="1015" t="str">
        <f ca="1">IF($C273="","",INDEX(NVLSX!$N$2:$N$6941,MATCH($C273,NVLSX!$E$2:$E$6941,0)))</f>
        <v/>
      </c>
      <c r="Q273" s="1016" t="str">
        <f ca="1">IF($R273="","",IF(XKNVLSX!$X$1="",IF($P273=$V$7,$P273, IF(COUNTIFS($C$2:$C272,$C273,$E$2:$E272,$E273)&gt;=1,"",$P273)),     IF(AND(IFERROR(SEARCH($R273,XKNVLSX!$X$1,1),0)&gt;=1,$P273=$V$7),$P273, IF(OR($R273&lt;&gt;IF(IFERROR(SEARCH($R273,XKNVLSX!$X$1,1),0)&gt;=1,$R273,XKNVLSX!$X$1),COUNTIFS($C$2:$C272,$C273,$E$2:$E272,$E273,$Q$2:$Q272,$P273)&gt;=1),"",$P273))))</f>
        <v/>
      </c>
      <c r="R273" s="1017" t="str">
        <f ca="1">IF($A273="","",IFERROR(INDEX(TinhGia!$BF$10:$BF$81,MATCH($A273,TinhGia!$B$10:$B$81,0)),""))</f>
        <v/>
      </c>
      <c r="S273" s="1012" t="str">
        <f ca="1">IF($A273="","",IF(OR(IFERROR(SEARCH($R273,XKNVLSX!$X$1,1),0)&gt;=1,XKNVLSX!$X$1=""),$S$2,""))</f>
        <v/>
      </c>
      <c r="T273" s="1018" t="str">
        <f ca="1">IF($C273="","", IF(OR($P273=$V$1,$P273=$V$7,COUNTIFS($C$3:$C273,$C273,$E$3:$E273,$E273)&lt;=1),$P273,""    ))</f>
        <v/>
      </c>
      <c r="U273" s="1019" t="str">
        <f ca="1">IF(AND($P273=$V$2,COUNTIFS($C$3:$C273,$C273,$E$3:$E273,$E273,$G$3:$G273,$G273)&lt;=1),$P273,"")</f>
        <v/>
      </c>
    </row>
    <row r="274" spans="1:21">
      <c r="A274" s="991" t="str">
        <f ca="1">IFERROR(IF(COUNTIF($A$3:A273,A273)&lt; INDEX(TinhGia!$BH$10:$BH$81,MATCH($A273,TinhGia!$B$10:$B$81,0)),$A273,INDEX(TinhGia!$B$10:$B$81,MATCH($A273,TinhGia!$B$10:$B$81,0)+1)),"")</f>
        <v/>
      </c>
      <c r="B274" s="525" t="str">
        <f ca="1">IF(OR(A274="",A274=0),"",IF(COUNTIF($A$2:A274,$A274)=1,ROW(MauKoXoa!$C$108),$B273+1))</f>
        <v/>
      </c>
      <c r="C274" s="992" t="str">
        <f t="shared" ca="1" si="40"/>
        <v/>
      </c>
      <c r="D274" s="993" t="str">
        <f t="shared" ca="1" si="41"/>
        <v/>
      </c>
      <c r="E274" s="993" t="str">
        <f t="shared" ca="1" si="42"/>
        <v/>
      </c>
      <c r="F274" s="992" t="str">
        <f t="shared" ca="1" si="52"/>
        <v/>
      </c>
      <c r="G274" s="994">
        <f t="shared" ca="1" si="43"/>
        <v>0</v>
      </c>
      <c r="H274" s="913">
        <f t="shared" ca="1" si="44"/>
        <v>0</v>
      </c>
      <c r="I274" s="913">
        <f t="shared" ca="1" si="45"/>
        <v>0</v>
      </c>
      <c r="J274" s="995">
        <f t="shared" ca="1" si="53"/>
        <v>0</v>
      </c>
      <c r="K274" s="913">
        <f t="shared" ca="1" si="47"/>
        <v>0</v>
      </c>
      <c r="L274" s="995">
        <f t="shared" ca="1" si="54"/>
        <v>0</v>
      </c>
      <c r="M274" s="913">
        <f t="shared" ca="1" si="49"/>
        <v>0</v>
      </c>
      <c r="N274" s="996">
        <f t="shared" ca="1" si="50"/>
        <v>0</v>
      </c>
      <c r="O274" s="997">
        <f t="shared" ca="1" si="51"/>
        <v>0</v>
      </c>
      <c r="P274" s="1015" t="str">
        <f ca="1">IF($C274="","",INDEX(NVLSX!$N$2:$N$6941,MATCH($C274,NVLSX!$E$2:$E$6941,0)))</f>
        <v/>
      </c>
      <c r="Q274" s="1016" t="str">
        <f ca="1">IF($R274="","",IF(XKNVLSX!$X$1="",IF($P274=$V$7,$P274, IF(COUNTIFS($C$2:$C273,$C274,$E$2:$E273,$E274)&gt;=1,"",$P274)),     IF(AND(IFERROR(SEARCH($R274,XKNVLSX!$X$1,1),0)&gt;=1,$P274=$V$7),$P274, IF(OR($R274&lt;&gt;IF(IFERROR(SEARCH($R274,XKNVLSX!$X$1,1),0)&gt;=1,$R274,XKNVLSX!$X$1),COUNTIFS($C$2:$C273,$C274,$E$2:$E273,$E274,$Q$2:$Q273,$P274)&gt;=1),"",$P274))))</f>
        <v/>
      </c>
      <c r="R274" s="1017" t="str">
        <f ca="1">IF($A274="","",IFERROR(INDEX(TinhGia!$BF$10:$BF$81,MATCH($A274,TinhGia!$B$10:$B$81,0)),""))</f>
        <v/>
      </c>
      <c r="S274" s="1012" t="str">
        <f ca="1">IF($A274="","",IF(OR(IFERROR(SEARCH($R274,XKNVLSX!$X$1,1),0)&gt;=1,XKNVLSX!$X$1=""),$S$2,""))</f>
        <v/>
      </c>
      <c r="T274" s="1018" t="str">
        <f ca="1">IF($C274="","", IF(OR($P274=$V$1,$P274=$V$7,COUNTIFS($C$3:$C274,$C274,$E$3:$E274,$E274)&lt;=1),$P274,""    ))</f>
        <v/>
      </c>
      <c r="U274" s="1019" t="str">
        <f ca="1">IF(AND($P274=$V$2,COUNTIFS($C$3:$C274,$C274,$E$3:$E274,$E274,$G$3:$G274,$G274)&lt;=1),$P274,"")</f>
        <v/>
      </c>
    </row>
    <row r="275" spans="1:21">
      <c r="A275" s="991" t="str">
        <f ca="1">IFERROR(IF(COUNTIF($A$3:A274,A274)&lt; INDEX(TinhGia!$BH$10:$BH$81,MATCH($A274,TinhGia!$B$10:$B$81,0)),$A274,INDEX(TinhGia!$B$10:$B$81,MATCH($A274,TinhGia!$B$10:$B$81,0)+1)),"")</f>
        <v/>
      </c>
      <c r="B275" s="525" t="str">
        <f ca="1">IF(OR(A275="",A275=0),"",IF(COUNTIF($A$2:A275,$A275)=1,ROW(MauKoXoa!$C$108),$B274+1))</f>
        <v/>
      </c>
      <c r="C275" s="992" t="str">
        <f t="shared" ca="1" si="40"/>
        <v/>
      </c>
      <c r="D275" s="993" t="str">
        <f t="shared" ca="1" si="41"/>
        <v/>
      </c>
      <c r="E275" s="993" t="str">
        <f t="shared" ca="1" si="42"/>
        <v/>
      </c>
      <c r="F275" s="992" t="str">
        <f t="shared" ca="1" si="52"/>
        <v/>
      </c>
      <c r="G275" s="994">
        <f t="shared" ca="1" si="43"/>
        <v>0</v>
      </c>
      <c r="H275" s="913">
        <f t="shared" ca="1" si="44"/>
        <v>0</v>
      </c>
      <c r="I275" s="913">
        <f t="shared" ca="1" si="45"/>
        <v>0</v>
      </c>
      <c r="J275" s="995">
        <f t="shared" ca="1" si="53"/>
        <v>0</v>
      </c>
      <c r="K275" s="913">
        <f t="shared" ca="1" si="47"/>
        <v>0</v>
      </c>
      <c r="L275" s="995">
        <f t="shared" ca="1" si="54"/>
        <v>0</v>
      </c>
      <c r="M275" s="913">
        <f t="shared" ca="1" si="49"/>
        <v>0</v>
      </c>
      <c r="N275" s="996">
        <f t="shared" ca="1" si="50"/>
        <v>0</v>
      </c>
      <c r="O275" s="997">
        <f t="shared" ca="1" si="51"/>
        <v>0</v>
      </c>
      <c r="P275" s="1015" t="str">
        <f ca="1">IF($C275="","",INDEX(NVLSX!$N$2:$N$6941,MATCH($C275,NVLSX!$E$2:$E$6941,0)))</f>
        <v/>
      </c>
      <c r="Q275" s="1016" t="str">
        <f ca="1">IF($R275="","",IF(XKNVLSX!$X$1="",IF($P275=$V$7,$P275, IF(COUNTIFS($C$2:$C274,$C275,$E$2:$E274,$E275)&gt;=1,"",$P275)),     IF(AND(IFERROR(SEARCH($R275,XKNVLSX!$X$1,1),0)&gt;=1,$P275=$V$7),$P275, IF(OR($R275&lt;&gt;IF(IFERROR(SEARCH($R275,XKNVLSX!$X$1,1),0)&gt;=1,$R275,XKNVLSX!$X$1),COUNTIFS($C$2:$C274,$C275,$E$2:$E274,$E275,$Q$2:$Q274,$P275)&gt;=1),"",$P275))))</f>
        <v/>
      </c>
      <c r="R275" s="1017" t="str">
        <f ca="1">IF($A275="","",IFERROR(INDEX(TinhGia!$BF$10:$BF$81,MATCH($A275,TinhGia!$B$10:$B$81,0)),""))</f>
        <v/>
      </c>
      <c r="S275" s="1012" t="str">
        <f ca="1">IF($A275="","",IF(OR(IFERROR(SEARCH($R275,XKNVLSX!$X$1,1),0)&gt;=1,XKNVLSX!$X$1=""),$S$2,""))</f>
        <v/>
      </c>
      <c r="T275" s="1018" t="str">
        <f ca="1">IF($C275="","", IF(OR($P275=$V$1,$P275=$V$7,COUNTIFS($C$3:$C275,$C275,$E$3:$E275,$E275)&lt;=1),$P275,""    ))</f>
        <v/>
      </c>
      <c r="U275" s="1019" t="str">
        <f ca="1">IF(AND($P275=$V$2,COUNTIFS($C$3:$C275,$C275,$E$3:$E275,$E275,$G$3:$G275,$G275)&lt;=1),$P275,"")</f>
        <v/>
      </c>
    </row>
    <row r="276" spans="1:21">
      <c r="A276" s="991" t="str">
        <f ca="1">IFERROR(IF(COUNTIF($A$3:A275,A275)&lt; INDEX(TinhGia!$BH$10:$BH$81,MATCH($A275,TinhGia!$B$10:$B$81,0)),$A275,INDEX(TinhGia!$B$10:$B$81,MATCH($A275,TinhGia!$B$10:$B$81,0)+1)),"")</f>
        <v/>
      </c>
      <c r="B276" s="525" t="str">
        <f ca="1">IF(OR(A276="",A276=0),"",IF(COUNTIF($A$2:A276,$A276)=1,ROW(MauKoXoa!$C$108),$B275+1))</f>
        <v/>
      </c>
      <c r="C276" s="992" t="str">
        <f t="shared" ca="1" si="40"/>
        <v/>
      </c>
      <c r="D276" s="993" t="str">
        <f t="shared" ca="1" si="41"/>
        <v/>
      </c>
      <c r="E276" s="993" t="str">
        <f t="shared" ca="1" si="42"/>
        <v/>
      </c>
      <c r="F276" s="992" t="str">
        <f t="shared" ca="1" si="52"/>
        <v/>
      </c>
      <c r="G276" s="994">
        <f t="shared" ca="1" si="43"/>
        <v>0</v>
      </c>
      <c r="H276" s="913">
        <f t="shared" ca="1" si="44"/>
        <v>0</v>
      </c>
      <c r="I276" s="913">
        <f t="shared" ca="1" si="45"/>
        <v>0</v>
      </c>
      <c r="J276" s="995">
        <f t="shared" ca="1" si="53"/>
        <v>0</v>
      </c>
      <c r="K276" s="913">
        <f t="shared" ca="1" si="47"/>
        <v>0</v>
      </c>
      <c r="L276" s="995">
        <f t="shared" ca="1" si="54"/>
        <v>0</v>
      </c>
      <c r="M276" s="913">
        <f t="shared" ca="1" si="49"/>
        <v>0</v>
      </c>
      <c r="N276" s="996">
        <f t="shared" ca="1" si="50"/>
        <v>0</v>
      </c>
      <c r="O276" s="997">
        <f t="shared" ca="1" si="51"/>
        <v>0</v>
      </c>
      <c r="P276" s="1015" t="str">
        <f ca="1">IF($C276="","",INDEX(NVLSX!$N$2:$N$6941,MATCH($C276,NVLSX!$E$2:$E$6941,0)))</f>
        <v/>
      </c>
      <c r="Q276" s="1016" t="str">
        <f ca="1">IF($R276="","",IF(XKNVLSX!$X$1="",IF($P276=$V$7,$P276, IF(COUNTIFS($C$2:$C275,$C276,$E$2:$E275,$E276)&gt;=1,"",$P276)),     IF(AND(IFERROR(SEARCH($R276,XKNVLSX!$X$1,1),0)&gt;=1,$P276=$V$7),$P276, IF(OR($R276&lt;&gt;IF(IFERROR(SEARCH($R276,XKNVLSX!$X$1,1),0)&gt;=1,$R276,XKNVLSX!$X$1),COUNTIFS($C$2:$C275,$C276,$E$2:$E275,$E276,$Q$2:$Q275,$P276)&gt;=1),"",$P276))))</f>
        <v/>
      </c>
      <c r="R276" s="1017" t="str">
        <f ca="1">IF($A276="","",IFERROR(INDEX(TinhGia!$BF$10:$BF$81,MATCH($A276,TinhGia!$B$10:$B$81,0)),""))</f>
        <v/>
      </c>
      <c r="S276" s="1012" t="str">
        <f ca="1">IF($A276="","",IF(OR(IFERROR(SEARCH($R276,XKNVLSX!$X$1,1),0)&gt;=1,XKNVLSX!$X$1=""),$S$2,""))</f>
        <v/>
      </c>
      <c r="T276" s="1018" t="str">
        <f ca="1">IF($C276="","", IF(OR($P276=$V$1,$P276=$V$7,COUNTIFS($C$3:$C276,$C276,$E$3:$E276,$E276)&lt;=1),$P276,""    ))</f>
        <v/>
      </c>
      <c r="U276" s="1019" t="str">
        <f ca="1">IF(AND($P276=$V$2,COUNTIFS($C$3:$C276,$C276,$E$3:$E276,$E276,$G$3:$G276,$G276)&lt;=1),$P276,"")</f>
        <v/>
      </c>
    </row>
    <row r="277" spans="1:21">
      <c r="A277" s="991" t="str">
        <f ca="1">IFERROR(IF(COUNTIF($A$3:A276,A276)&lt; INDEX(TinhGia!$BH$10:$BH$81,MATCH($A276,TinhGia!$B$10:$B$81,0)),$A276,INDEX(TinhGia!$B$10:$B$81,MATCH($A276,TinhGia!$B$10:$B$81,0)+1)),"")</f>
        <v/>
      </c>
      <c r="B277" s="525" t="str">
        <f ca="1">IF(OR(A277="",A277=0),"",IF(COUNTIF($A$2:A277,$A277)=1,ROW(MauKoXoa!$C$108),$B276+1))</f>
        <v/>
      </c>
      <c r="C277" s="992" t="str">
        <f t="shared" ca="1" si="40"/>
        <v/>
      </c>
      <c r="D277" s="993" t="str">
        <f t="shared" ca="1" si="41"/>
        <v/>
      </c>
      <c r="E277" s="993" t="str">
        <f t="shared" ca="1" si="42"/>
        <v/>
      </c>
      <c r="F277" s="992" t="str">
        <f t="shared" ca="1" si="52"/>
        <v/>
      </c>
      <c r="G277" s="994">
        <f t="shared" ca="1" si="43"/>
        <v>0</v>
      </c>
      <c r="H277" s="913">
        <f t="shared" ca="1" si="44"/>
        <v>0</v>
      </c>
      <c r="I277" s="913">
        <f t="shared" ca="1" si="45"/>
        <v>0</v>
      </c>
      <c r="J277" s="995">
        <f t="shared" ca="1" si="53"/>
        <v>0</v>
      </c>
      <c r="K277" s="913">
        <f t="shared" ca="1" si="47"/>
        <v>0</v>
      </c>
      <c r="L277" s="995">
        <f t="shared" ca="1" si="54"/>
        <v>0</v>
      </c>
      <c r="M277" s="913">
        <f t="shared" ca="1" si="49"/>
        <v>0</v>
      </c>
      <c r="N277" s="996">
        <f t="shared" ca="1" si="50"/>
        <v>0</v>
      </c>
      <c r="O277" s="997">
        <f t="shared" ca="1" si="51"/>
        <v>0</v>
      </c>
      <c r="P277" s="1015" t="str">
        <f ca="1">IF($C277="","",INDEX(NVLSX!$N$2:$N$6941,MATCH($C277,NVLSX!$E$2:$E$6941,0)))</f>
        <v/>
      </c>
      <c r="Q277" s="1016" t="str">
        <f ca="1">IF($R277="","",IF(XKNVLSX!$X$1="",IF($P277=$V$7,$P277, IF(COUNTIFS($C$2:$C276,$C277,$E$2:$E276,$E277)&gt;=1,"",$P277)),     IF(AND(IFERROR(SEARCH($R277,XKNVLSX!$X$1,1),0)&gt;=1,$P277=$V$7),$P277, IF(OR($R277&lt;&gt;IF(IFERROR(SEARCH($R277,XKNVLSX!$X$1,1),0)&gt;=1,$R277,XKNVLSX!$X$1),COUNTIFS($C$2:$C276,$C277,$E$2:$E276,$E277,$Q$2:$Q276,$P277)&gt;=1),"",$P277))))</f>
        <v/>
      </c>
      <c r="R277" s="1017" t="str">
        <f ca="1">IF($A277="","",IFERROR(INDEX(TinhGia!$BF$10:$BF$81,MATCH($A277,TinhGia!$B$10:$B$81,0)),""))</f>
        <v/>
      </c>
      <c r="S277" s="1012" t="str">
        <f ca="1">IF($A277="","",IF(OR(IFERROR(SEARCH($R277,XKNVLSX!$X$1,1),0)&gt;=1,XKNVLSX!$X$1=""),$S$2,""))</f>
        <v/>
      </c>
      <c r="T277" s="1018" t="str">
        <f ca="1">IF($C277="","", IF(OR($P277=$V$1,$P277=$V$7,COUNTIFS($C$3:$C277,$C277,$E$3:$E277,$E277)&lt;=1),$P277,""    ))</f>
        <v/>
      </c>
      <c r="U277" s="1019" t="str">
        <f ca="1">IF(AND($P277=$V$2,COUNTIFS($C$3:$C277,$C277,$E$3:$E277,$E277,$G$3:$G277,$G277)&lt;=1),$P277,"")</f>
        <v/>
      </c>
    </row>
    <row r="278" spans="1:21">
      <c r="A278" s="991" t="str">
        <f ca="1">IFERROR(IF(COUNTIF($A$3:A277,A277)&lt; INDEX(TinhGia!$BH$10:$BH$81,MATCH($A277,TinhGia!$B$10:$B$81,0)),$A277,INDEX(TinhGia!$B$10:$B$81,MATCH($A277,TinhGia!$B$10:$B$81,0)+1)),"")</f>
        <v/>
      </c>
      <c r="B278" s="525" t="str">
        <f ca="1">IF(OR(A278="",A278=0),"",IF(COUNTIF($A$2:A278,$A278)=1,ROW(MauKoXoa!$C$108),$B277+1))</f>
        <v/>
      </c>
      <c r="C278" s="992" t="str">
        <f t="shared" ca="1" si="40"/>
        <v/>
      </c>
      <c r="D278" s="993" t="str">
        <f t="shared" ca="1" si="41"/>
        <v/>
      </c>
      <c r="E278" s="993" t="str">
        <f t="shared" ca="1" si="42"/>
        <v/>
      </c>
      <c r="F278" s="992" t="str">
        <f t="shared" ca="1" si="52"/>
        <v/>
      </c>
      <c r="G278" s="994">
        <f t="shared" ca="1" si="43"/>
        <v>0</v>
      </c>
      <c r="H278" s="913">
        <f t="shared" ca="1" si="44"/>
        <v>0</v>
      </c>
      <c r="I278" s="913">
        <f t="shared" ca="1" si="45"/>
        <v>0</v>
      </c>
      <c r="J278" s="995">
        <f t="shared" ca="1" si="53"/>
        <v>0</v>
      </c>
      <c r="K278" s="913">
        <f t="shared" ca="1" si="47"/>
        <v>0</v>
      </c>
      <c r="L278" s="995">
        <f t="shared" ca="1" si="54"/>
        <v>0</v>
      </c>
      <c r="M278" s="913">
        <f t="shared" ca="1" si="49"/>
        <v>0</v>
      </c>
      <c r="N278" s="996">
        <f t="shared" ca="1" si="50"/>
        <v>0</v>
      </c>
      <c r="O278" s="997">
        <f t="shared" ca="1" si="51"/>
        <v>0</v>
      </c>
      <c r="P278" s="1015" t="str">
        <f ca="1">IF($C278="","",INDEX(NVLSX!$N$2:$N$6941,MATCH($C278,NVLSX!$E$2:$E$6941,0)))</f>
        <v/>
      </c>
      <c r="Q278" s="1016" t="str">
        <f ca="1">IF($R278="","",IF(XKNVLSX!$X$1="",IF($P278=$V$7,$P278, IF(COUNTIFS($C$2:$C277,$C278,$E$2:$E277,$E278)&gt;=1,"",$P278)),     IF(AND(IFERROR(SEARCH($R278,XKNVLSX!$X$1,1),0)&gt;=1,$P278=$V$7),$P278, IF(OR($R278&lt;&gt;IF(IFERROR(SEARCH($R278,XKNVLSX!$X$1,1),0)&gt;=1,$R278,XKNVLSX!$X$1),COUNTIFS($C$2:$C277,$C278,$E$2:$E277,$E278,$Q$2:$Q277,$P278)&gt;=1),"",$P278))))</f>
        <v/>
      </c>
      <c r="R278" s="1017" t="str">
        <f ca="1">IF($A278="","",IFERROR(INDEX(TinhGia!$BF$10:$BF$81,MATCH($A278,TinhGia!$B$10:$B$81,0)),""))</f>
        <v/>
      </c>
      <c r="S278" s="1012" t="str">
        <f ca="1">IF($A278="","",IF(OR(IFERROR(SEARCH($R278,XKNVLSX!$X$1,1),0)&gt;=1,XKNVLSX!$X$1=""),$S$2,""))</f>
        <v/>
      </c>
      <c r="T278" s="1018" t="str">
        <f ca="1">IF($C278="","", IF(OR($P278=$V$1,$P278=$V$7,COUNTIFS($C$3:$C278,$C278,$E$3:$E278,$E278)&lt;=1),$P278,""    ))</f>
        <v/>
      </c>
      <c r="U278" s="1019" t="str">
        <f ca="1">IF(AND($P278=$V$2,COUNTIFS($C$3:$C278,$C278,$E$3:$E278,$E278,$G$3:$G278,$G278)&lt;=1),$P278,"")</f>
        <v/>
      </c>
    </row>
    <row r="279" spans="1:21">
      <c r="A279" s="991" t="str">
        <f ca="1">IFERROR(IF(COUNTIF($A$3:A278,A278)&lt; INDEX(TinhGia!$BH$10:$BH$81,MATCH($A278,TinhGia!$B$10:$B$81,0)),$A278,INDEX(TinhGia!$B$10:$B$81,MATCH($A278,TinhGia!$B$10:$B$81,0)+1)),"")</f>
        <v/>
      </c>
      <c r="B279" s="525" t="str">
        <f ca="1">IF(OR(A279="",A279=0),"",IF(COUNTIF($A$2:A279,$A279)=1,ROW(MauKoXoa!$C$108),$B278+1))</f>
        <v/>
      </c>
      <c r="C279" s="992" t="str">
        <f t="shared" ca="1" si="40"/>
        <v/>
      </c>
      <c r="D279" s="993" t="str">
        <f t="shared" ca="1" si="41"/>
        <v/>
      </c>
      <c r="E279" s="993" t="str">
        <f t="shared" ca="1" si="42"/>
        <v/>
      </c>
      <c r="F279" s="992" t="str">
        <f t="shared" ca="1" si="52"/>
        <v/>
      </c>
      <c r="G279" s="994">
        <f t="shared" ca="1" si="43"/>
        <v>0</v>
      </c>
      <c r="H279" s="913">
        <f t="shared" ca="1" si="44"/>
        <v>0</v>
      </c>
      <c r="I279" s="913">
        <f t="shared" ca="1" si="45"/>
        <v>0</v>
      </c>
      <c r="J279" s="995">
        <f t="shared" ca="1" si="53"/>
        <v>0</v>
      </c>
      <c r="K279" s="913">
        <f t="shared" ca="1" si="47"/>
        <v>0</v>
      </c>
      <c r="L279" s="995">
        <f t="shared" ca="1" si="54"/>
        <v>0</v>
      </c>
      <c r="M279" s="913">
        <f t="shared" ca="1" si="49"/>
        <v>0</v>
      </c>
      <c r="N279" s="996">
        <f t="shared" ca="1" si="50"/>
        <v>0</v>
      </c>
      <c r="O279" s="997">
        <f t="shared" ca="1" si="51"/>
        <v>0</v>
      </c>
      <c r="P279" s="1015" t="str">
        <f ca="1">IF($C279="","",INDEX(NVLSX!$N$2:$N$6941,MATCH($C279,NVLSX!$E$2:$E$6941,0)))</f>
        <v/>
      </c>
      <c r="Q279" s="1016" t="str">
        <f ca="1">IF($R279="","",IF(XKNVLSX!$X$1="",IF($P279=$V$7,$P279, IF(COUNTIFS($C$2:$C278,$C279,$E$2:$E278,$E279)&gt;=1,"",$P279)),     IF(AND(IFERROR(SEARCH($R279,XKNVLSX!$X$1,1),0)&gt;=1,$P279=$V$7),$P279, IF(OR($R279&lt;&gt;IF(IFERROR(SEARCH($R279,XKNVLSX!$X$1,1),0)&gt;=1,$R279,XKNVLSX!$X$1),COUNTIFS($C$2:$C278,$C279,$E$2:$E278,$E279,$Q$2:$Q278,$P279)&gt;=1),"",$P279))))</f>
        <v/>
      </c>
      <c r="R279" s="1017" t="str">
        <f ca="1">IF($A279="","",IFERROR(INDEX(TinhGia!$BF$10:$BF$81,MATCH($A279,TinhGia!$B$10:$B$81,0)),""))</f>
        <v/>
      </c>
      <c r="S279" s="1012" t="str">
        <f ca="1">IF($A279="","",IF(OR(IFERROR(SEARCH($R279,XKNVLSX!$X$1,1),0)&gt;=1,XKNVLSX!$X$1=""),$S$2,""))</f>
        <v/>
      </c>
      <c r="T279" s="1018" t="str">
        <f ca="1">IF($C279="","", IF(OR($P279=$V$1,$P279=$V$7,COUNTIFS($C$3:$C279,$C279,$E$3:$E279,$E279)&lt;=1),$P279,""    ))</f>
        <v/>
      </c>
      <c r="U279" s="1019" t="str">
        <f ca="1">IF(AND($P279=$V$2,COUNTIFS($C$3:$C279,$C279,$E$3:$E279,$E279,$G$3:$G279,$G279)&lt;=1),$P279,"")</f>
        <v/>
      </c>
    </row>
    <row r="280" spans="1:21">
      <c r="A280" s="991" t="str">
        <f ca="1">IFERROR(IF(COUNTIF($A$3:A279,A279)&lt; INDEX(TinhGia!$BH$10:$BH$81,MATCH($A279,TinhGia!$B$10:$B$81,0)),$A279,INDEX(TinhGia!$B$10:$B$81,MATCH($A279,TinhGia!$B$10:$B$81,0)+1)),"")</f>
        <v/>
      </c>
      <c r="B280" s="525" t="str">
        <f ca="1">IF(OR(A280="",A280=0),"",IF(COUNTIF($A$2:A280,$A280)=1,ROW(MauKoXoa!$C$108),$B279+1))</f>
        <v/>
      </c>
      <c r="C280" s="992" t="str">
        <f t="shared" ca="1" si="40"/>
        <v/>
      </c>
      <c r="D280" s="993" t="str">
        <f t="shared" ca="1" si="41"/>
        <v/>
      </c>
      <c r="E280" s="993" t="str">
        <f t="shared" ca="1" si="42"/>
        <v/>
      </c>
      <c r="F280" s="992" t="str">
        <f t="shared" ca="1" si="52"/>
        <v/>
      </c>
      <c r="G280" s="994">
        <f t="shared" ca="1" si="43"/>
        <v>0</v>
      </c>
      <c r="H280" s="913">
        <f t="shared" ca="1" si="44"/>
        <v>0</v>
      </c>
      <c r="I280" s="913">
        <f t="shared" ca="1" si="45"/>
        <v>0</v>
      </c>
      <c r="J280" s="995">
        <f t="shared" ca="1" si="53"/>
        <v>0</v>
      </c>
      <c r="K280" s="913">
        <f t="shared" ca="1" si="47"/>
        <v>0</v>
      </c>
      <c r="L280" s="995">
        <f t="shared" ca="1" si="54"/>
        <v>0</v>
      </c>
      <c r="M280" s="913">
        <f t="shared" ca="1" si="49"/>
        <v>0</v>
      </c>
      <c r="N280" s="996">
        <f t="shared" ca="1" si="50"/>
        <v>0</v>
      </c>
      <c r="O280" s="997">
        <f t="shared" ca="1" si="51"/>
        <v>0</v>
      </c>
      <c r="P280" s="1015" t="str">
        <f ca="1">IF($C280="","",INDEX(NVLSX!$N$2:$N$6941,MATCH($C280,NVLSX!$E$2:$E$6941,0)))</f>
        <v/>
      </c>
      <c r="Q280" s="1016" t="str">
        <f ca="1">IF($R280="","",IF(XKNVLSX!$X$1="",IF($P280=$V$7,$P280, IF(COUNTIFS($C$2:$C279,$C280,$E$2:$E279,$E280)&gt;=1,"",$P280)),     IF(AND(IFERROR(SEARCH($R280,XKNVLSX!$X$1,1),0)&gt;=1,$P280=$V$7),$P280, IF(OR($R280&lt;&gt;IF(IFERROR(SEARCH($R280,XKNVLSX!$X$1,1),0)&gt;=1,$R280,XKNVLSX!$X$1),COUNTIFS($C$2:$C279,$C280,$E$2:$E279,$E280,$Q$2:$Q279,$P280)&gt;=1),"",$P280))))</f>
        <v/>
      </c>
      <c r="R280" s="1017" t="str">
        <f ca="1">IF($A280="","",IFERROR(INDEX(TinhGia!$BF$10:$BF$81,MATCH($A280,TinhGia!$B$10:$B$81,0)),""))</f>
        <v/>
      </c>
      <c r="S280" s="1012" t="str">
        <f ca="1">IF($A280="","",IF(OR(IFERROR(SEARCH($R280,XKNVLSX!$X$1,1),0)&gt;=1,XKNVLSX!$X$1=""),$S$2,""))</f>
        <v/>
      </c>
      <c r="T280" s="1018" t="str">
        <f ca="1">IF($C280="","", IF(OR($P280=$V$1,$P280=$V$7,COUNTIFS($C$3:$C280,$C280,$E$3:$E280,$E280)&lt;=1),$P280,""    ))</f>
        <v/>
      </c>
      <c r="U280" s="1019" t="str">
        <f ca="1">IF(AND($P280=$V$2,COUNTIFS($C$3:$C280,$C280,$E$3:$E280,$E280,$G$3:$G280,$G280)&lt;=1),$P280,"")</f>
        <v/>
      </c>
    </row>
    <row r="281" spans="1:21">
      <c r="A281" s="991" t="str">
        <f ca="1">IFERROR(IF(COUNTIF($A$3:A280,A280)&lt; INDEX(TinhGia!$BH$10:$BH$81,MATCH($A280,TinhGia!$B$10:$B$81,0)),$A280,INDEX(TinhGia!$B$10:$B$81,MATCH($A280,TinhGia!$B$10:$B$81,0)+1)),"")</f>
        <v/>
      </c>
      <c r="B281" s="525" t="str">
        <f ca="1">IF(OR(A281="",A281=0),"",IF(COUNTIF($A$2:A281,$A281)=1,ROW(MauKoXoa!$C$108),$B280+1))</f>
        <v/>
      </c>
      <c r="C281" s="992" t="str">
        <f t="shared" ca="1" si="40"/>
        <v/>
      </c>
      <c r="D281" s="993" t="str">
        <f t="shared" ca="1" si="41"/>
        <v/>
      </c>
      <c r="E281" s="993" t="str">
        <f t="shared" ca="1" si="42"/>
        <v/>
      </c>
      <c r="F281" s="992" t="str">
        <f t="shared" ca="1" si="52"/>
        <v/>
      </c>
      <c r="G281" s="994">
        <f t="shared" ca="1" si="43"/>
        <v>0</v>
      </c>
      <c r="H281" s="913">
        <f t="shared" ca="1" si="44"/>
        <v>0</v>
      </c>
      <c r="I281" s="913">
        <f t="shared" ca="1" si="45"/>
        <v>0</v>
      </c>
      <c r="J281" s="995">
        <f t="shared" ca="1" si="53"/>
        <v>0</v>
      </c>
      <c r="K281" s="913">
        <f t="shared" ca="1" si="47"/>
        <v>0</v>
      </c>
      <c r="L281" s="995">
        <f t="shared" ca="1" si="54"/>
        <v>0</v>
      </c>
      <c r="M281" s="913">
        <f t="shared" ca="1" si="49"/>
        <v>0</v>
      </c>
      <c r="N281" s="996">
        <f t="shared" ca="1" si="50"/>
        <v>0</v>
      </c>
      <c r="O281" s="997">
        <f t="shared" ca="1" si="51"/>
        <v>0</v>
      </c>
      <c r="P281" s="1015" t="str">
        <f ca="1">IF($C281="","",INDEX(NVLSX!$N$2:$N$6941,MATCH($C281,NVLSX!$E$2:$E$6941,0)))</f>
        <v/>
      </c>
      <c r="Q281" s="1016" t="str">
        <f ca="1">IF($R281="","",IF(XKNVLSX!$X$1="",IF($P281=$V$7,$P281, IF(COUNTIFS($C$2:$C280,$C281,$E$2:$E280,$E281)&gt;=1,"",$P281)),     IF(AND(IFERROR(SEARCH($R281,XKNVLSX!$X$1,1),0)&gt;=1,$P281=$V$7),$P281, IF(OR($R281&lt;&gt;IF(IFERROR(SEARCH($R281,XKNVLSX!$X$1,1),0)&gt;=1,$R281,XKNVLSX!$X$1),COUNTIFS($C$2:$C280,$C281,$E$2:$E280,$E281,$Q$2:$Q280,$P281)&gt;=1),"",$P281))))</f>
        <v/>
      </c>
      <c r="R281" s="1017" t="str">
        <f ca="1">IF($A281="","",IFERROR(INDEX(TinhGia!$BF$10:$BF$81,MATCH($A281,TinhGia!$B$10:$B$81,0)),""))</f>
        <v/>
      </c>
      <c r="S281" s="1012" t="str">
        <f ca="1">IF($A281="","",IF(OR(IFERROR(SEARCH($R281,XKNVLSX!$X$1,1),0)&gt;=1,XKNVLSX!$X$1=""),$S$2,""))</f>
        <v/>
      </c>
      <c r="T281" s="1018" t="str">
        <f ca="1">IF($C281="","", IF(OR($P281=$V$1,$P281=$V$7,COUNTIFS($C$3:$C281,$C281,$E$3:$E281,$E281)&lt;=1),$P281,""    ))</f>
        <v/>
      </c>
      <c r="U281" s="1019" t="str">
        <f ca="1">IF(AND($P281=$V$2,COUNTIFS($C$3:$C281,$C281,$E$3:$E281,$E281,$G$3:$G281,$G281)&lt;=1),$P281,"")</f>
        <v/>
      </c>
    </row>
    <row r="282" spans="1:21">
      <c r="A282" s="991" t="str">
        <f ca="1">IFERROR(IF(COUNTIF($A$3:A281,A281)&lt; INDEX(TinhGia!$BH$10:$BH$81,MATCH($A281,TinhGia!$B$10:$B$81,0)),$A281,INDEX(TinhGia!$B$10:$B$81,MATCH($A281,TinhGia!$B$10:$B$81,0)+1)),"")</f>
        <v/>
      </c>
      <c r="B282" s="525" t="str">
        <f ca="1">IF(OR(A282="",A282=0),"",IF(COUNTIF($A$2:A282,$A282)=1,ROW(MauKoXoa!$C$108),$B281+1))</f>
        <v/>
      </c>
      <c r="C282" s="992" t="str">
        <f t="shared" ca="1" si="40"/>
        <v/>
      </c>
      <c r="D282" s="993" t="str">
        <f t="shared" ca="1" si="41"/>
        <v/>
      </c>
      <c r="E282" s="993" t="str">
        <f t="shared" ca="1" si="42"/>
        <v/>
      </c>
      <c r="F282" s="992" t="str">
        <f t="shared" ca="1" si="52"/>
        <v/>
      </c>
      <c r="G282" s="994">
        <f t="shared" ca="1" si="43"/>
        <v>0</v>
      </c>
      <c r="H282" s="913">
        <f t="shared" ca="1" si="44"/>
        <v>0</v>
      </c>
      <c r="I282" s="913">
        <f t="shared" ca="1" si="45"/>
        <v>0</v>
      </c>
      <c r="J282" s="995">
        <f t="shared" ca="1" si="53"/>
        <v>0</v>
      </c>
      <c r="K282" s="913">
        <f t="shared" ca="1" si="47"/>
        <v>0</v>
      </c>
      <c r="L282" s="995">
        <f t="shared" ca="1" si="54"/>
        <v>0</v>
      </c>
      <c r="M282" s="913">
        <f t="shared" ca="1" si="49"/>
        <v>0</v>
      </c>
      <c r="N282" s="996">
        <f t="shared" ca="1" si="50"/>
        <v>0</v>
      </c>
      <c r="O282" s="997">
        <f t="shared" ca="1" si="51"/>
        <v>0</v>
      </c>
      <c r="P282" s="1015" t="str">
        <f ca="1">IF($C282="","",INDEX(NVLSX!$N$2:$N$6941,MATCH($C282,NVLSX!$E$2:$E$6941,0)))</f>
        <v/>
      </c>
      <c r="Q282" s="1016" t="str">
        <f ca="1">IF($R282="","",IF(XKNVLSX!$X$1="",IF($P282=$V$7,$P282, IF(COUNTIFS($C$2:$C281,$C282,$E$2:$E281,$E282)&gt;=1,"",$P282)),     IF(AND(IFERROR(SEARCH($R282,XKNVLSX!$X$1,1),0)&gt;=1,$P282=$V$7),$P282, IF(OR($R282&lt;&gt;IF(IFERROR(SEARCH($R282,XKNVLSX!$X$1,1),0)&gt;=1,$R282,XKNVLSX!$X$1),COUNTIFS($C$2:$C281,$C282,$E$2:$E281,$E282,$Q$2:$Q281,$P282)&gt;=1),"",$P282))))</f>
        <v/>
      </c>
      <c r="R282" s="1017" t="str">
        <f ca="1">IF($A282="","",IFERROR(INDEX(TinhGia!$BF$10:$BF$81,MATCH($A282,TinhGia!$B$10:$B$81,0)),""))</f>
        <v/>
      </c>
      <c r="S282" s="1012" t="str">
        <f ca="1">IF($A282="","",IF(OR(IFERROR(SEARCH($R282,XKNVLSX!$X$1,1),0)&gt;=1,XKNVLSX!$X$1=""),$S$2,""))</f>
        <v/>
      </c>
      <c r="T282" s="1018" t="str">
        <f ca="1">IF($C282="","", IF(OR($P282=$V$1,$P282=$V$7,COUNTIFS($C$3:$C282,$C282,$E$3:$E282,$E282)&lt;=1),$P282,""    ))</f>
        <v/>
      </c>
      <c r="U282" s="1019" t="str">
        <f ca="1">IF(AND($P282=$V$2,COUNTIFS($C$3:$C282,$C282,$E$3:$E282,$E282,$G$3:$G282,$G282)&lt;=1),$P282,"")</f>
        <v/>
      </c>
    </row>
    <row r="283" spans="1:21">
      <c r="A283" s="991" t="str">
        <f ca="1">IFERROR(IF(COUNTIF($A$3:A282,A282)&lt; INDEX(TinhGia!$BH$10:$BH$81,MATCH($A282,TinhGia!$B$10:$B$81,0)),$A282,INDEX(TinhGia!$B$10:$B$81,MATCH($A282,TinhGia!$B$10:$B$81,0)+1)),"")</f>
        <v/>
      </c>
      <c r="B283" s="525" t="str">
        <f ca="1">IF(OR(A283="",A283=0),"",IF(COUNTIF($A$2:A283,$A283)=1,ROW(MauKoXoa!$C$108),$B282+1))</f>
        <v/>
      </c>
      <c r="C283" s="992" t="str">
        <f t="shared" ca="1" si="40"/>
        <v/>
      </c>
      <c r="D283" s="993" t="str">
        <f t="shared" ca="1" si="41"/>
        <v/>
      </c>
      <c r="E283" s="993" t="str">
        <f t="shared" ca="1" si="42"/>
        <v/>
      </c>
      <c r="F283" s="992" t="str">
        <f t="shared" ca="1" si="52"/>
        <v/>
      </c>
      <c r="G283" s="994">
        <f t="shared" ca="1" si="43"/>
        <v>0</v>
      </c>
      <c r="H283" s="913">
        <f t="shared" ca="1" si="44"/>
        <v>0</v>
      </c>
      <c r="I283" s="913">
        <f t="shared" ca="1" si="45"/>
        <v>0</v>
      </c>
      <c r="J283" s="995">
        <f t="shared" ca="1" si="53"/>
        <v>0</v>
      </c>
      <c r="K283" s="913">
        <f t="shared" ca="1" si="47"/>
        <v>0</v>
      </c>
      <c r="L283" s="995">
        <f t="shared" ca="1" si="54"/>
        <v>0</v>
      </c>
      <c r="M283" s="913">
        <f t="shared" ca="1" si="49"/>
        <v>0</v>
      </c>
      <c r="N283" s="996">
        <f t="shared" ca="1" si="50"/>
        <v>0</v>
      </c>
      <c r="O283" s="997">
        <f t="shared" ca="1" si="51"/>
        <v>0</v>
      </c>
      <c r="P283" s="1015" t="str">
        <f ca="1">IF($C283="","",INDEX(NVLSX!$N$2:$N$6941,MATCH($C283,NVLSX!$E$2:$E$6941,0)))</f>
        <v/>
      </c>
      <c r="Q283" s="1016" t="str">
        <f ca="1">IF($R283="","",IF(XKNVLSX!$X$1="",IF($P283=$V$7,$P283, IF(COUNTIFS($C$2:$C282,$C283,$E$2:$E282,$E283)&gt;=1,"",$P283)),     IF(AND(IFERROR(SEARCH($R283,XKNVLSX!$X$1,1),0)&gt;=1,$P283=$V$7),$P283, IF(OR($R283&lt;&gt;IF(IFERROR(SEARCH($R283,XKNVLSX!$X$1,1),0)&gt;=1,$R283,XKNVLSX!$X$1),COUNTIFS($C$2:$C282,$C283,$E$2:$E282,$E283,$Q$2:$Q282,$P283)&gt;=1),"",$P283))))</f>
        <v/>
      </c>
      <c r="R283" s="1017" t="str">
        <f ca="1">IF($A283="","",IFERROR(INDEX(TinhGia!$BF$10:$BF$81,MATCH($A283,TinhGia!$B$10:$B$81,0)),""))</f>
        <v/>
      </c>
      <c r="S283" s="1012" t="str">
        <f ca="1">IF($A283="","",IF(OR(IFERROR(SEARCH($R283,XKNVLSX!$X$1,1),0)&gt;=1,XKNVLSX!$X$1=""),$S$2,""))</f>
        <v/>
      </c>
      <c r="T283" s="1018" t="str">
        <f ca="1">IF($C283="","", IF(OR($P283=$V$1,$P283=$V$7,COUNTIFS($C$3:$C283,$C283,$E$3:$E283,$E283)&lt;=1),$P283,""    ))</f>
        <v/>
      </c>
      <c r="U283" s="1019" t="str">
        <f ca="1">IF(AND($P283=$V$2,COUNTIFS($C$3:$C283,$C283,$E$3:$E283,$E283,$G$3:$G283,$G283)&lt;=1),$P283,"")</f>
        <v/>
      </c>
    </row>
    <row r="284" spans="1:21">
      <c r="A284" s="991" t="str">
        <f ca="1">IFERROR(IF(COUNTIF($A$3:A283,A283)&lt; INDEX(TinhGia!$BH$10:$BH$81,MATCH($A283,TinhGia!$B$10:$B$81,0)),$A283,INDEX(TinhGia!$B$10:$B$81,MATCH($A283,TinhGia!$B$10:$B$81,0)+1)),"")</f>
        <v/>
      </c>
      <c r="B284" s="525" t="str">
        <f ca="1">IF(OR(A284="",A284=0),"",IF(COUNTIF($A$2:A284,$A284)=1,ROW(MauKoXoa!$C$108),$B283+1))</f>
        <v/>
      </c>
      <c r="C284" s="992" t="str">
        <f t="shared" ca="1" si="40"/>
        <v/>
      </c>
      <c r="D284" s="993" t="str">
        <f t="shared" ca="1" si="41"/>
        <v/>
      </c>
      <c r="E284" s="993" t="str">
        <f t="shared" ca="1" si="42"/>
        <v/>
      </c>
      <c r="F284" s="992" t="str">
        <f t="shared" ca="1" si="52"/>
        <v/>
      </c>
      <c r="G284" s="994">
        <f t="shared" ca="1" si="43"/>
        <v>0</v>
      </c>
      <c r="H284" s="913">
        <f t="shared" ca="1" si="44"/>
        <v>0</v>
      </c>
      <c r="I284" s="913">
        <f t="shared" ca="1" si="45"/>
        <v>0</v>
      </c>
      <c r="J284" s="995">
        <f t="shared" ca="1" si="53"/>
        <v>0</v>
      </c>
      <c r="K284" s="913">
        <f t="shared" ca="1" si="47"/>
        <v>0</v>
      </c>
      <c r="L284" s="995">
        <f t="shared" ca="1" si="54"/>
        <v>0</v>
      </c>
      <c r="M284" s="913">
        <f t="shared" ca="1" si="49"/>
        <v>0</v>
      </c>
      <c r="N284" s="996">
        <f t="shared" ca="1" si="50"/>
        <v>0</v>
      </c>
      <c r="O284" s="997">
        <f t="shared" ca="1" si="51"/>
        <v>0</v>
      </c>
      <c r="P284" s="1015" t="str">
        <f ca="1">IF($C284="","",INDEX(NVLSX!$N$2:$N$6941,MATCH($C284,NVLSX!$E$2:$E$6941,0)))</f>
        <v/>
      </c>
      <c r="Q284" s="1016" t="str">
        <f ca="1">IF($R284="","",IF(XKNVLSX!$X$1="",IF($P284=$V$7,$P284, IF(COUNTIFS($C$2:$C283,$C284,$E$2:$E283,$E284)&gt;=1,"",$P284)),     IF(AND(IFERROR(SEARCH($R284,XKNVLSX!$X$1,1),0)&gt;=1,$P284=$V$7),$P284, IF(OR($R284&lt;&gt;IF(IFERROR(SEARCH($R284,XKNVLSX!$X$1,1),0)&gt;=1,$R284,XKNVLSX!$X$1),COUNTIFS($C$2:$C283,$C284,$E$2:$E283,$E284,$Q$2:$Q283,$P284)&gt;=1),"",$P284))))</f>
        <v/>
      </c>
      <c r="R284" s="1017" t="str">
        <f ca="1">IF($A284="","",IFERROR(INDEX(TinhGia!$BF$10:$BF$81,MATCH($A284,TinhGia!$B$10:$B$81,0)),""))</f>
        <v/>
      </c>
      <c r="S284" s="1012" t="str">
        <f ca="1">IF($A284="","",IF(OR(IFERROR(SEARCH($R284,XKNVLSX!$X$1,1),0)&gt;=1,XKNVLSX!$X$1=""),$S$2,""))</f>
        <v/>
      </c>
      <c r="T284" s="1018" t="str">
        <f ca="1">IF($C284="","", IF(OR($P284=$V$1,$P284=$V$7,COUNTIFS($C$3:$C284,$C284,$E$3:$E284,$E284)&lt;=1),$P284,""    ))</f>
        <v/>
      </c>
      <c r="U284" s="1019" t="str">
        <f ca="1">IF(AND($P284=$V$2,COUNTIFS($C$3:$C284,$C284,$E$3:$E284,$E284,$G$3:$G284,$G284)&lt;=1),$P284,"")</f>
        <v/>
      </c>
    </row>
    <row r="285" spans="1:21">
      <c r="A285" s="991" t="str">
        <f ca="1">IFERROR(IF(COUNTIF($A$3:A284,A284)&lt; INDEX(TinhGia!$BH$10:$BH$81,MATCH($A284,TinhGia!$B$10:$B$81,0)),$A284,INDEX(TinhGia!$B$10:$B$81,MATCH($A284,TinhGia!$B$10:$B$81,0)+1)),"")</f>
        <v/>
      </c>
      <c r="B285" s="525" t="str">
        <f ca="1">IF(OR(A285="",A285=0),"",IF(COUNTIF($A$2:A285,$A285)=1,ROW(MauKoXoa!$C$108),$B284+1))</f>
        <v/>
      </c>
      <c r="C285" s="992" t="str">
        <f t="shared" ca="1" si="40"/>
        <v/>
      </c>
      <c r="D285" s="993" t="str">
        <f t="shared" ca="1" si="41"/>
        <v/>
      </c>
      <c r="E285" s="993" t="str">
        <f t="shared" ca="1" si="42"/>
        <v/>
      </c>
      <c r="F285" s="992" t="str">
        <f t="shared" ca="1" si="52"/>
        <v/>
      </c>
      <c r="G285" s="994">
        <f t="shared" ca="1" si="43"/>
        <v>0</v>
      </c>
      <c r="H285" s="913">
        <f t="shared" ca="1" si="44"/>
        <v>0</v>
      </c>
      <c r="I285" s="913">
        <f t="shared" ca="1" si="45"/>
        <v>0</v>
      </c>
      <c r="J285" s="995">
        <f t="shared" ca="1" si="53"/>
        <v>0</v>
      </c>
      <c r="K285" s="913">
        <f t="shared" ca="1" si="47"/>
        <v>0</v>
      </c>
      <c r="L285" s="995">
        <f t="shared" ca="1" si="54"/>
        <v>0</v>
      </c>
      <c r="M285" s="913">
        <f t="shared" ca="1" si="49"/>
        <v>0</v>
      </c>
      <c r="N285" s="996">
        <f t="shared" ca="1" si="50"/>
        <v>0</v>
      </c>
      <c r="O285" s="997">
        <f t="shared" ca="1" si="51"/>
        <v>0</v>
      </c>
      <c r="P285" s="1015" t="str">
        <f ca="1">IF($C285="","",INDEX(NVLSX!$N$2:$N$6941,MATCH($C285,NVLSX!$E$2:$E$6941,0)))</f>
        <v/>
      </c>
      <c r="Q285" s="1016" t="str">
        <f ca="1">IF($R285="","",IF(XKNVLSX!$X$1="",IF($P285=$V$7,$P285, IF(COUNTIFS($C$2:$C284,$C285,$E$2:$E284,$E285)&gt;=1,"",$P285)),     IF(AND(IFERROR(SEARCH($R285,XKNVLSX!$X$1,1),0)&gt;=1,$P285=$V$7),$P285, IF(OR($R285&lt;&gt;IF(IFERROR(SEARCH($R285,XKNVLSX!$X$1,1),0)&gt;=1,$R285,XKNVLSX!$X$1),COUNTIFS($C$2:$C284,$C285,$E$2:$E284,$E285,$Q$2:$Q284,$P285)&gt;=1),"",$P285))))</f>
        <v/>
      </c>
      <c r="R285" s="1017" t="str">
        <f ca="1">IF($A285="","",IFERROR(INDEX(TinhGia!$BF$10:$BF$81,MATCH($A285,TinhGia!$B$10:$B$81,0)),""))</f>
        <v/>
      </c>
      <c r="S285" s="1012" t="str">
        <f ca="1">IF($A285="","",IF(OR(IFERROR(SEARCH($R285,XKNVLSX!$X$1,1),0)&gt;=1,XKNVLSX!$X$1=""),$S$2,""))</f>
        <v/>
      </c>
      <c r="T285" s="1018" t="str">
        <f ca="1">IF($C285="","", IF(OR($P285=$V$1,$P285=$V$7,COUNTIFS($C$3:$C285,$C285,$E$3:$E285,$E285)&lt;=1),$P285,""    ))</f>
        <v/>
      </c>
      <c r="U285" s="1019" t="str">
        <f ca="1">IF(AND($P285=$V$2,COUNTIFS($C$3:$C285,$C285,$E$3:$E285,$E285,$G$3:$G285,$G285)&lt;=1),$P285,"")</f>
        <v/>
      </c>
    </row>
    <row r="286" spans="1:21">
      <c r="A286" s="991" t="str">
        <f ca="1">IFERROR(IF(COUNTIF($A$3:A285,A285)&lt; INDEX(TinhGia!$BH$10:$BH$81,MATCH($A285,TinhGia!$B$10:$B$81,0)),$A285,INDEX(TinhGia!$B$10:$B$81,MATCH($A285,TinhGia!$B$10:$B$81,0)+1)),"")</f>
        <v/>
      </c>
      <c r="B286" s="525" t="str">
        <f ca="1">IF(OR(A286="",A286=0),"",IF(COUNTIF($A$2:A286,$A286)=1,ROW(MauKoXoa!$C$108),$B285+1))</f>
        <v/>
      </c>
      <c r="C286" s="992" t="str">
        <f t="shared" ca="1" si="40"/>
        <v/>
      </c>
      <c r="D286" s="993" t="str">
        <f t="shared" ca="1" si="41"/>
        <v/>
      </c>
      <c r="E286" s="993" t="str">
        <f t="shared" ca="1" si="42"/>
        <v/>
      </c>
      <c r="F286" s="992" t="str">
        <f t="shared" ca="1" si="52"/>
        <v/>
      </c>
      <c r="G286" s="994">
        <f t="shared" ca="1" si="43"/>
        <v>0</v>
      </c>
      <c r="H286" s="913">
        <f t="shared" ca="1" si="44"/>
        <v>0</v>
      </c>
      <c r="I286" s="913">
        <f t="shared" ca="1" si="45"/>
        <v>0</v>
      </c>
      <c r="J286" s="995">
        <f t="shared" ca="1" si="53"/>
        <v>0</v>
      </c>
      <c r="K286" s="913">
        <f t="shared" ca="1" si="47"/>
        <v>0</v>
      </c>
      <c r="L286" s="995">
        <f t="shared" ca="1" si="54"/>
        <v>0</v>
      </c>
      <c r="M286" s="913">
        <f t="shared" ca="1" si="49"/>
        <v>0</v>
      </c>
      <c r="N286" s="996">
        <f t="shared" ca="1" si="50"/>
        <v>0</v>
      </c>
      <c r="O286" s="997">
        <f t="shared" ca="1" si="51"/>
        <v>0</v>
      </c>
      <c r="P286" s="1015" t="str">
        <f ca="1">IF($C286="","",INDEX(NVLSX!$N$2:$N$6941,MATCH($C286,NVLSX!$E$2:$E$6941,0)))</f>
        <v/>
      </c>
      <c r="Q286" s="1016" t="str">
        <f ca="1">IF($R286="","",IF(XKNVLSX!$X$1="",IF($P286=$V$7,$P286, IF(COUNTIFS($C$2:$C285,$C286,$E$2:$E285,$E286)&gt;=1,"",$P286)),     IF(AND(IFERROR(SEARCH($R286,XKNVLSX!$X$1,1),0)&gt;=1,$P286=$V$7),$P286, IF(OR($R286&lt;&gt;IF(IFERROR(SEARCH($R286,XKNVLSX!$X$1,1),0)&gt;=1,$R286,XKNVLSX!$X$1),COUNTIFS($C$2:$C285,$C286,$E$2:$E285,$E286,$Q$2:$Q285,$P286)&gt;=1),"",$P286))))</f>
        <v/>
      </c>
      <c r="R286" s="1017" t="str">
        <f ca="1">IF($A286="","",IFERROR(INDEX(TinhGia!$BF$10:$BF$81,MATCH($A286,TinhGia!$B$10:$B$81,0)),""))</f>
        <v/>
      </c>
      <c r="S286" s="1012" t="str">
        <f ca="1">IF($A286="","",IF(OR(IFERROR(SEARCH($R286,XKNVLSX!$X$1,1),0)&gt;=1,XKNVLSX!$X$1=""),$S$2,""))</f>
        <v/>
      </c>
      <c r="T286" s="1018" t="str">
        <f ca="1">IF($C286="","", IF(OR($P286=$V$1,$P286=$V$7,COUNTIFS($C$3:$C286,$C286,$E$3:$E286,$E286)&lt;=1),$P286,""    ))</f>
        <v/>
      </c>
      <c r="U286" s="1019" t="str">
        <f ca="1">IF(AND($P286=$V$2,COUNTIFS($C$3:$C286,$C286,$E$3:$E286,$E286,$G$3:$G286,$G286)&lt;=1),$P286,"")</f>
        <v/>
      </c>
    </row>
    <row r="287" spans="1:21">
      <c r="A287" s="991" t="str">
        <f ca="1">IFERROR(IF(COUNTIF($A$3:A286,A286)&lt; INDEX(TinhGia!$BH$10:$BH$81,MATCH($A286,TinhGia!$B$10:$B$81,0)),$A286,INDEX(TinhGia!$B$10:$B$81,MATCH($A286,TinhGia!$B$10:$B$81,0)+1)),"")</f>
        <v/>
      </c>
      <c r="B287" s="525" t="str">
        <f ca="1">IF(OR(A287="",A287=0),"",IF(COUNTIF($A$2:A287,$A287)=1,ROW(MauKoXoa!$C$108),$B286+1))</f>
        <v/>
      </c>
      <c r="C287" s="992" t="str">
        <f t="shared" ca="1" si="40"/>
        <v/>
      </c>
      <c r="D287" s="993" t="str">
        <f t="shared" ca="1" si="41"/>
        <v/>
      </c>
      <c r="E287" s="993" t="str">
        <f t="shared" ca="1" si="42"/>
        <v/>
      </c>
      <c r="F287" s="992" t="str">
        <f t="shared" ca="1" si="52"/>
        <v/>
      </c>
      <c r="G287" s="994">
        <f t="shared" ca="1" si="43"/>
        <v>0</v>
      </c>
      <c r="H287" s="913">
        <f t="shared" ca="1" si="44"/>
        <v>0</v>
      </c>
      <c r="I287" s="913">
        <f t="shared" ca="1" si="45"/>
        <v>0</v>
      </c>
      <c r="J287" s="995">
        <f t="shared" ca="1" si="53"/>
        <v>0</v>
      </c>
      <c r="K287" s="913">
        <f t="shared" ca="1" si="47"/>
        <v>0</v>
      </c>
      <c r="L287" s="995">
        <f t="shared" ca="1" si="54"/>
        <v>0</v>
      </c>
      <c r="M287" s="913">
        <f t="shared" ca="1" si="49"/>
        <v>0</v>
      </c>
      <c r="N287" s="996">
        <f t="shared" ca="1" si="50"/>
        <v>0</v>
      </c>
      <c r="O287" s="997">
        <f t="shared" ca="1" si="51"/>
        <v>0</v>
      </c>
      <c r="P287" s="1015" t="str">
        <f ca="1">IF($C287="","",INDEX(NVLSX!$N$2:$N$6941,MATCH($C287,NVLSX!$E$2:$E$6941,0)))</f>
        <v/>
      </c>
      <c r="Q287" s="1016" t="str">
        <f ca="1">IF($R287="","",IF(XKNVLSX!$X$1="",IF($P287=$V$7,$P287, IF(COUNTIFS($C$2:$C286,$C287,$E$2:$E286,$E287)&gt;=1,"",$P287)),     IF(AND(IFERROR(SEARCH($R287,XKNVLSX!$X$1,1),0)&gt;=1,$P287=$V$7),$P287, IF(OR($R287&lt;&gt;IF(IFERROR(SEARCH($R287,XKNVLSX!$X$1,1),0)&gt;=1,$R287,XKNVLSX!$X$1),COUNTIFS($C$2:$C286,$C287,$E$2:$E286,$E287,$Q$2:$Q286,$P287)&gt;=1),"",$P287))))</f>
        <v/>
      </c>
      <c r="R287" s="1017" t="str">
        <f ca="1">IF($A287="","",IFERROR(INDEX(TinhGia!$BF$10:$BF$81,MATCH($A287,TinhGia!$B$10:$B$81,0)),""))</f>
        <v/>
      </c>
      <c r="S287" s="1012" t="str">
        <f ca="1">IF($A287="","",IF(OR(IFERROR(SEARCH($R287,XKNVLSX!$X$1,1),0)&gt;=1,XKNVLSX!$X$1=""),$S$2,""))</f>
        <v/>
      </c>
      <c r="T287" s="1018" t="str">
        <f ca="1">IF($C287="","", IF(OR($P287=$V$1,$P287=$V$7,COUNTIFS($C$3:$C287,$C287,$E$3:$E287,$E287)&lt;=1),$P287,""    ))</f>
        <v/>
      </c>
      <c r="U287" s="1019" t="str">
        <f ca="1">IF(AND($P287=$V$2,COUNTIFS($C$3:$C287,$C287,$E$3:$E287,$E287,$G$3:$G287,$G287)&lt;=1),$P287,"")</f>
        <v/>
      </c>
    </row>
    <row r="288" spans="1:21">
      <c r="A288" s="991" t="str">
        <f ca="1">IFERROR(IF(COUNTIF($A$3:A287,A287)&lt; INDEX(TinhGia!$BH$10:$BH$81,MATCH($A287,TinhGia!$B$10:$B$81,0)),$A287,INDEX(TinhGia!$B$10:$B$81,MATCH($A287,TinhGia!$B$10:$B$81,0)+1)),"")</f>
        <v/>
      </c>
      <c r="B288" s="525" t="str">
        <f ca="1">IF(OR(A288="",A288=0),"",IF(COUNTIF($A$2:A288,$A288)=1,ROW(MauKoXoa!$C$108),$B287+1))</f>
        <v/>
      </c>
      <c r="C288" s="992" t="str">
        <f t="shared" ca="1" si="40"/>
        <v/>
      </c>
      <c r="D288" s="993" t="str">
        <f t="shared" ca="1" si="41"/>
        <v/>
      </c>
      <c r="E288" s="993" t="str">
        <f t="shared" ca="1" si="42"/>
        <v/>
      </c>
      <c r="F288" s="992" t="str">
        <f t="shared" ca="1" si="52"/>
        <v/>
      </c>
      <c r="G288" s="994">
        <f t="shared" ca="1" si="43"/>
        <v>0</v>
      </c>
      <c r="H288" s="913">
        <f t="shared" ca="1" si="44"/>
        <v>0</v>
      </c>
      <c r="I288" s="913">
        <f t="shared" ca="1" si="45"/>
        <v>0</v>
      </c>
      <c r="J288" s="995">
        <f t="shared" ca="1" si="53"/>
        <v>0</v>
      </c>
      <c r="K288" s="913">
        <f t="shared" ca="1" si="47"/>
        <v>0</v>
      </c>
      <c r="L288" s="995">
        <f t="shared" ca="1" si="54"/>
        <v>0</v>
      </c>
      <c r="M288" s="913">
        <f t="shared" ca="1" si="49"/>
        <v>0</v>
      </c>
      <c r="N288" s="996">
        <f t="shared" ca="1" si="50"/>
        <v>0</v>
      </c>
      <c r="O288" s="997">
        <f t="shared" ca="1" si="51"/>
        <v>0</v>
      </c>
      <c r="P288" s="1015" t="str">
        <f ca="1">IF($C288="","",INDEX(NVLSX!$N$2:$N$6941,MATCH($C288,NVLSX!$E$2:$E$6941,0)))</f>
        <v/>
      </c>
      <c r="Q288" s="1016" t="str">
        <f ca="1">IF($R288="","",IF(XKNVLSX!$X$1="",IF($P288=$V$7,$P288, IF(COUNTIFS($C$2:$C287,$C288,$E$2:$E287,$E288)&gt;=1,"",$P288)),     IF(AND(IFERROR(SEARCH($R288,XKNVLSX!$X$1,1),0)&gt;=1,$P288=$V$7),$P288, IF(OR($R288&lt;&gt;IF(IFERROR(SEARCH($R288,XKNVLSX!$X$1,1),0)&gt;=1,$R288,XKNVLSX!$X$1),COUNTIFS($C$2:$C287,$C288,$E$2:$E287,$E288,$Q$2:$Q287,$P288)&gt;=1),"",$P288))))</f>
        <v/>
      </c>
      <c r="R288" s="1017" t="str">
        <f ca="1">IF($A288="","",IFERROR(INDEX(TinhGia!$BF$10:$BF$81,MATCH($A288,TinhGia!$B$10:$B$81,0)),""))</f>
        <v/>
      </c>
      <c r="S288" s="1012" t="str">
        <f ca="1">IF($A288="","",IF(OR(IFERROR(SEARCH($R288,XKNVLSX!$X$1,1),0)&gt;=1,XKNVLSX!$X$1=""),$S$2,""))</f>
        <v/>
      </c>
      <c r="T288" s="1018" t="str">
        <f ca="1">IF($C288="","", IF(OR($P288=$V$1,$P288=$V$7,COUNTIFS($C$3:$C288,$C288,$E$3:$E288,$E288)&lt;=1),$P288,""    ))</f>
        <v/>
      </c>
      <c r="U288" s="1019" t="str">
        <f ca="1">IF(AND($P288=$V$2,COUNTIFS($C$3:$C288,$C288,$E$3:$E288,$E288,$G$3:$G288,$G288)&lt;=1),$P288,"")</f>
        <v/>
      </c>
    </row>
    <row r="289" spans="1:21">
      <c r="A289" s="991" t="str">
        <f ca="1">IFERROR(IF(COUNTIF($A$3:A288,A288)&lt; INDEX(TinhGia!$BH$10:$BH$81,MATCH($A288,TinhGia!$B$10:$B$81,0)),$A288,INDEX(TinhGia!$B$10:$B$81,MATCH($A288,TinhGia!$B$10:$B$81,0)+1)),"")</f>
        <v/>
      </c>
      <c r="B289" s="525" t="str">
        <f ca="1">IF(OR(A289="",A289=0),"",IF(COUNTIF($A$2:A289,$A289)=1,ROW(MauKoXoa!$C$108),$B288+1))</f>
        <v/>
      </c>
      <c r="C289" s="992" t="str">
        <f t="shared" ca="1" si="40"/>
        <v/>
      </c>
      <c r="D289" s="993" t="str">
        <f t="shared" ca="1" si="41"/>
        <v/>
      </c>
      <c r="E289" s="993" t="str">
        <f t="shared" ca="1" si="42"/>
        <v/>
      </c>
      <c r="F289" s="992" t="str">
        <f t="shared" ca="1" si="52"/>
        <v/>
      </c>
      <c r="G289" s="994">
        <f t="shared" ca="1" si="43"/>
        <v>0</v>
      </c>
      <c r="H289" s="913">
        <f t="shared" ca="1" si="44"/>
        <v>0</v>
      </c>
      <c r="I289" s="913">
        <f t="shared" ca="1" si="45"/>
        <v>0</v>
      </c>
      <c r="J289" s="995">
        <f t="shared" ca="1" si="53"/>
        <v>0</v>
      </c>
      <c r="K289" s="913">
        <f t="shared" ca="1" si="47"/>
        <v>0</v>
      </c>
      <c r="L289" s="995">
        <f t="shared" ca="1" si="54"/>
        <v>0</v>
      </c>
      <c r="M289" s="913">
        <f t="shared" ca="1" si="49"/>
        <v>0</v>
      </c>
      <c r="N289" s="996">
        <f t="shared" ca="1" si="50"/>
        <v>0</v>
      </c>
      <c r="O289" s="997">
        <f t="shared" ca="1" si="51"/>
        <v>0</v>
      </c>
      <c r="P289" s="1015" t="str">
        <f ca="1">IF($C289="","",INDEX(NVLSX!$N$2:$N$6941,MATCH($C289,NVLSX!$E$2:$E$6941,0)))</f>
        <v/>
      </c>
      <c r="Q289" s="1016" t="str">
        <f ca="1">IF($R289="","",IF(XKNVLSX!$X$1="",IF($P289=$V$7,$P289, IF(COUNTIFS($C$2:$C288,$C289,$E$2:$E288,$E289)&gt;=1,"",$P289)),     IF(AND(IFERROR(SEARCH($R289,XKNVLSX!$X$1,1),0)&gt;=1,$P289=$V$7),$P289, IF(OR($R289&lt;&gt;IF(IFERROR(SEARCH($R289,XKNVLSX!$X$1,1),0)&gt;=1,$R289,XKNVLSX!$X$1),COUNTIFS($C$2:$C288,$C289,$E$2:$E288,$E289,$Q$2:$Q288,$P289)&gt;=1),"",$P289))))</f>
        <v/>
      </c>
      <c r="R289" s="1017" t="str">
        <f ca="1">IF($A289="","",IFERROR(INDEX(TinhGia!$BF$10:$BF$81,MATCH($A289,TinhGia!$B$10:$B$81,0)),""))</f>
        <v/>
      </c>
      <c r="S289" s="1012" t="str">
        <f ca="1">IF($A289="","",IF(OR(IFERROR(SEARCH($R289,XKNVLSX!$X$1,1),0)&gt;=1,XKNVLSX!$X$1=""),$S$2,""))</f>
        <v/>
      </c>
      <c r="T289" s="1018" t="str">
        <f ca="1">IF($C289="","", IF(OR($P289=$V$1,$P289=$V$7,COUNTIFS($C$3:$C289,$C289,$E$3:$E289,$E289)&lt;=1),$P289,""    ))</f>
        <v/>
      </c>
      <c r="U289" s="1019" t="str">
        <f ca="1">IF(AND($P289=$V$2,COUNTIFS($C$3:$C289,$C289,$E$3:$E289,$E289,$G$3:$G289,$G289)&lt;=1),$P289,"")</f>
        <v/>
      </c>
    </row>
    <row r="290" spans="1:21">
      <c r="A290" s="991" t="str">
        <f ca="1">IFERROR(IF(COUNTIF($A$3:A289,A289)&lt; INDEX(TinhGia!$BH$10:$BH$81,MATCH($A289,TinhGia!$B$10:$B$81,0)),$A289,INDEX(TinhGia!$B$10:$B$81,MATCH($A289,TinhGia!$B$10:$B$81,0)+1)),"")</f>
        <v/>
      </c>
      <c r="B290" s="525" t="str">
        <f ca="1">IF(OR(A290="",A290=0),"",IF(COUNTIF($A$2:A290,$A290)=1,ROW(MauKoXoa!$C$108),$B289+1))</f>
        <v/>
      </c>
      <c r="C290" s="992" t="str">
        <f t="shared" ca="1" si="40"/>
        <v/>
      </c>
      <c r="D290" s="993" t="str">
        <f t="shared" ca="1" si="41"/>
        <v/>
      </c>
      <c r="E290" s="993" t="str">
        <f t="shared" ca="1" si="42"/>
        <v/>
      </c>
      <c r="F290" s="992" t="str">
        <f t="shared" ca="1" si="52"/>
        <v/>
      </c>
      <c r="G290" s="994">
        <f t="shared" ca="1" si="43"/>
        <v>0</v>
      </c>
      <c r="H290" s="913">
        <f t="shared" ca="1" si="44"/>
        <v>0</v>
      </c>
      <c r="I290" s="913">
        <f t="shared" ca="1" si="45"/>
        <v>0</v>
      </c>
      <c r="J290" s="995">
        <f t="shared" ca="1" si="53"/>
        <v>0</v>
      </c>
      <c r="K290" s="913">
        <f t="shared" ca="1" si="47"/>
        <v>0</v>
      </c>
      <c r="L290" s="995">
        <f t="shared" ca="1" si="54"/>
        <v>0</v>
      </c>
      <c r="M290" s="913">
        <f t="shared" ca="1" si="49"/>
        <v>0</v>
      </c>
      <c r="N290" s="996">
        <f t="shared" ca="1" si="50"/>
        <v>0</v>
      </c>
      <c r="O290" s="997">
        <f t="shared" ca="1" si="51"/>
        <v>0</v>
      </c>
      <c r="P290" s="1015" t="str">
        <f ca="1">IF($C290="","",INDEX(NVLSX!$N$2:$N$6941,MATCH($C290,NVLSX!$E$2:$E$6941,0)))</f>
        <v/>
      </c>
      <c r="Q290" s="1016" t="str">
        <f ca="1">IF($R290="","",IF(XKNVLSX!$X$1="",IF($P290=$V$7,$P290, IF(COUNTIFS($C$2:$C289,$C290,$E$2:$E289,$E290)&gt;=1,"",$P290)),     IF(AND(IFERROR(SEARCH($R290,XKNVLSX!$X$1,1),0)&gt;=1,$P290=$V$7),$P290, IF(OR($R290&lt;&gt;IF(IFERROR(SEARCH($R290,XKNVLSX!$X$1,1),0)&gt;=1,$R290,XKNVLSX!$X$1),COUNTIFS($C$2:$C289,$C290,$E$2:$E289,$E290,$Q$2:$Q289,$P290)&gt;=1),"",$P290))))</f>
        <v/>
      </c>
      <c r="R290" s="1017" t="str">
        <f ca="1">IF($A290="","",IFERROR(INDEX(TinhGia!$BF$10:$BF$81,MATCH($A290,TinhGia!$B$10:$B$81,0)),""))</f>
        <v/>
      </c>
      <c r="S290" s="1012" t="str">
        <f ca="1">IF($A290="","",IF(OR(IFERROR(SEARCH($R290,XKNVLSX!$X$1,1),0)&gt;=1,XKNVLSX!$X$1=""),$S$2,""))</f>
        <v/>
      </c>
      <c r="T290" s="1018" t="str">
        <f ca="1">IF($C290="","", IF(OR($P290=$V$1,$P290=$V$7,COUNTIFS($C$3:$C290,$C290,$E$3:$E290,$E290)&lt;=1),$P290,""    ))</f>
        <v/>
      </c>
      <c r="U290" s="1019" t="str">
        <f ca="1">IF(AND($P290=$V$2,COUNTIFS($C$3:$C290,$C290,$E$3:$E290,$E290,$G$3:$G290,$G290)&lt;=1),$P290,"")</f>
        <v/>
      </c>
    </row>
    <row r="291" spans="1:21">
      <c r="A291" s="991" t="str">
        <f ca="1">IFERROR(IF(COUNTIF($A$3:A290,A290)&lt; INDEX(TinhGia!$BH$10:$BH$81,MATCH($A290,TinhGia!$B$10:$B$81,0)),$A290,INDEX(TinhGia!$B$10:$B$81,MATCH($A290,TinhGia!$B$10:$B$81,0)+1)),"")</f>
        <v/>
      </c>
      <c r="B291" s="525" t="str">
        <f ca="1">IF(OR(A291="",A291=0),"",IF(COUNTIF($A$2:A291,$A291)=1,ROW(MauKoXoa!$C$108),$B290+1))</f>
        <v/>
      </c>
      <c r="C291" s="992" t="str">
        <f t="shared" ca="1" si="40"/>
        <v/>
      </c>
      <c r="D291" s="993" t="str">
        <f t="shared" ca="1" si="41"/>
        <v/>
      </c>
      <c r="E291" s="993" t="str">
        <f t="shared" ca="1" si="42"/>
        <v/>
      </c>
      <c r="F291" s="992" t="str">
        <f t="shared" ca="1" si="52"/>
        <v/>
      </c>
      <c r="G291" s="994">
        <f t="shared" ca="1" si="43"/>
        <v>0</v>
      </c>
      <c r="H291" s="913">
        <f t="shared" ca="1" si="44"/>
        <v>0</v>
      </c>
      <c r="I291" s="913">
        <f t="shared" ca="1" si="45"/>
        <v>0</v>
      </c>
      <c r="J291" s="995">
        <f t="shared" ca="1" si="53"/>
        <v>0</v>
      </c>
      <c r="K291" s="913">
        <f t="shared" ca="1" si="47"/>
        <v>0</v>
      </c>
      <c r="L291" s="995">
        <f t="shared" ca="1" si="54"/>
        <v>0</v>
      </c>
      <c r="M291" s="913">
        <f t="shared" ca="1" si="49"/>
        <v>0</v>
      </c>
      <c r="N291" s="996">
        <f t="shared" ca="1" si="50"/>
        <v>0</v>
      </c>
      <c r="O291" s="997">
        <f t="shared" ca="1" si="51"/>
        <v>0</v>
      </c>
      <c r="P291" s="1015" t="str">
        <f ca="1">IF($C291="","",INDEX(NVLSX!$N$2:$N$6941,MATCH($C291,NVLSX!$E$2:$E$6941,0)))</f>
        <v/>
      </c>
      <c r="Q291" s="1016" t="str">
        <f ca="1">IF($R291="","",IF(XKNVLSX!$X$1="",IF($P291=$V$7,$P291, IF(COUNTIFS($C$2:$C290,$C291,$E$2:$E290,$E291)&gt;=1,"",$P291)),     IF(AND(IFERROR(SEARCH($R291,XKNVLSX!$X$1,1),0)&gt;=1,$P291=$V$7),$P291, IF(OR($R291&lt;&gt;IF(IFERROR(SEARCH($R291,XKNVLSX!$X$1,1),0)&gt;=1,$R291,XKNVLSX!$X$1),COUNTIFS($C$2:$C290,$C291,$E$2:$E290,$E291,$Q$2:$Q290,$P291)&gt;=1),"",$P291))))</f>
        <v/>
      </c>
      <c r="R291" s="1017" t="str">
        <f ca="1">IF($A291="","",IFERROR(INDEX(TinhGia!$BF$10:$BF$81,MATCH($A291,TinhGia!$B$10:$B$81,0)),""))</f>
        <v/>
      </c>
      <c r="S291" s="1012" t="str">
        <f ca="1">IF($A291="","",IF(OR(IFERROR(SEARCH($R291,XKNVLSX!$X$1,1),0)&gt;=1,XKNVLSX!$X$1=""),$S$2,""))</f>
        <v/>
      </c>
      <c r="T291" s="1018" t="str">
        <f ca="1">IF($C291="","", IF(OR($P291=$V$1,$P291=$V$7,COUNTIFS($C$3:$C291,$C291,$E$3:$E291,$E291)&lt;=1),$P291,""    ))</f>
        <v/>
      </c>
      <c r="U291" s="1019" t="str">
        <f ca="1">IF(AND($P291=$V$2,COUNTIFS($C$3:$C291,$C291,$E$3:$E291,$E291,$G$3:$G291,$G291)&lt;=1),$P291,"")</f>
        <v/>
      </c>
    </row>
    <row r="292" spans="1:21">
      <c r="A292" s="991" t="str">
        <f ca="1">IFERROR(IF(COUNTIF($A$3:A291,A291)&lt; INDEX(TinhGia!$BH$10:$BH$81,MATCH($A291,TinhGia!$B$10:$B$81,0)),$A291,INDEX(TinhGia!$B$10:$B$81,MATCH($A291,TinhGia!$B$10:$B$81,0)+1)),"")</f>
        <v/>
      </c>
      <c r="B292" s="525" t="str">
        <f ca="1">IF(OR(A292="",A292=0),"",IF(COUNTIF($A$2:A292,$A292)=1,ROW(MauKoXoa!$C$108),$B291+1))</f>
        <v/>
      </c>
      <c r="C292" s="992" t="str">
        <f t="shared" ca="1" si="40"/>
        <v/>
      </c>
      <c r="D292" s="993" t="str">
        <f t="shared" ca="1" si="41"/>
        <v/>
      </c>
      <c r="E292" s="993" t="str">
        <f t="shared" ca="1" si="42"/>
        <v/>
      </c>
      <c r="F292" s="992" t="str">
        <f t="shared" ca="1" si="52"/>
        <v/>
      </c>
      <c r="G292" s="994">
        <f t="shared" ca="1" si="43"/>
        <v>0</v>
      </c>
      <c r="H292" s="913">
        <f t="shared" ca="1" si="44"/>
        <v>0</v>
      </c>
      <c r="I292" s="913">
        <f t="shared" ca="1" si="45"/>
        <v>0</v>
      </c>
      <c r="J292" s="995">
        <f t="shared" ca="1" si="53"/>
        <v>0</v>
      </c>
      <c r="K292" s="913">
        <f t="shared" ca="1" si="47"/>
        <v>0</v>
      </c>
      <c r="L292" s="995">
        <f t="shared" ca="1" si="54"/>
        <v>0</v>
      </c>
      <c r="M292" s="913">
        <f t="shared" ca="1" si="49"/>
        <v>0</v>
      </c>
      <c r="N292" s="996">
        <f t="shared" ca="1" si="50"/>
        <v>0</v>
      </c>
      <c r="O292" s="997">
        <f t="shared" ca="1" si="51"/>
        <v>0</v>
      </c>
      <c r="P292" s="1015" t="str">
        <f ca="1">IF($C292="","",INDEX(NVLSX!$N$2:$N$6941,MATCH($C292,NVLSX!$E$2:$E$6941,0)))</f>
        <v/>
      </c>
      <c r="Q292" s="1016" t="str">
        <f ca="1">IF($R292="","",IF(XKNVLSX!$X$1="",IF($P292=$V$7,$P292, IF(COUNTIFS($C$2:$C291,$C292,$E$2:$E291,$E292)&gt;=1,"",$P292)),     IF(AND(IFERROR(SEARCH($R292,XKNVLSX!$X$1,1),0)&gt;=1,$P292=$V$7),$P292, IF(OR($R292&lt;&gt;IF(IFERROR(SEARCH($R292,XKNVLSX!$X$1,1),0)&gt;=1,$R292,XKNVLSX!$X$1),COUNTIFS($C$2:$C291,$C292,$E$2:$E291,$E292,$Q$2:$Q291,$P292)&gt;=1),"",$P292))))</f>
        <v/>
      </c>
      <c r="R292" s="1017" t="str">
        <f ca="1">IF($A292="","",IFERROR(INDEX(TinhGia!$BF$10:$BF$81,MATCH($A292,TinhGia!$B$10:$B$81,0)),""))</f>
        <v/>
      </c>
      <c r="S292" s="1012" t="str">
        <f ca="1">IF($A292="","",IF(OR(IFERROR(SEARCH($R292,XKNVLSX!$X$1,1),0)&gt;=1,XKNVLSX!$X$1=""),$S$2,""))</f>
        <v/>
      </c>
      <c r="T292" s="1018" t="str">
        <f ca="1">IF($C292="","", IF(OR($P292=$V$1,$P292=$V$7,COUNTIFS($C$3:$C292,$C292,$E$3:$E292,$E292)&lt;=1),$P292,""    ))</f>
        <v/>
      </c>
      <c r="U292" s="1019" t="str">
        <f ca="1">IF(AND($P292=$V$2,COUNTIFS($C$3:$C292,$C292,$E$3:$E292,$E292,$G$3:$G292,$G292)&lt;=1),$P292,"")</f>
        <v/>
      </c>
    </row>
    <row r="293" spans="1:21">
      <c r="A293" s="991" t="str">
        <f ca="1">IFERROR(IF(COUNTIF($A$3:A292,A292)&lt; INDEX(TinhGia!$BH$10:$BH$81,MATCH($A292,TinhGia!$B$10:$B$81,0)),$A292,INDEX(TinhGia!$B$10:$B$81,MATCH($A292,TinhGia!$B$10:$B$81,0)+1)),"")</f>
        <v/>
      </c>
      <c r="B293" s="525" t="str">
        <f ca="1">IF(OR(A293="",A293=0),"",IF(COUNTIF($A$2:A293,$A293)=1,ROW(MauKoXoa!$C$108),$B292+1))</f>
        <v/>
      </c>
      <c r="C293" s="992" t="str">
        <f t="shared" ca="1" si="40"/>
        <v/>
      </c>
      <c r="D293" s="993" t="str">
        <f t="shared" ca="1" si="41"/>
        <v/>
      </c>
      <c r="E293" s="993" t="str">
        <f t="shared" ca="1" si="42"/>
        <v/>
      </c>
      <c r="F293" s="992" t="str">
        <f t="shared" ca="1" si="52"/>
        <v/>
      </c>
      <c r="G293" s="994">
        <f t="shared" ca="1" si="43"/>
        <v>0</v>
      </c>
      <c r="H293" s="913">
        <f t="shared" ca="1" si="44"/>
        <v>0</v>
      </c>
      <c r="I293" s="913">
        <f t="shared" ca="1" si="45"/>
        <v>0</v>
      </c>
      <c r="J293" s="995">
        <f t="shared" ca="1" si="53"/>
        <v>0</v>
      </c>
      <c r="K293" s="913">
        <f t="shared" ca="1" si="47"/>
        <v>0</v>
      </c>
      <c r="L293" s="995">
        <f t="shared" ca="1" si="54"/>
        <v>0</v>
      </c>
      <c r="M293" s="913">
        <f t="shared" ca="1" si="49"/>
        <v>0</v>
      </c>
      <c r="N293" s="996">
        <f t="shared" ca="1" si="50"/>
        <v>0</v>
      </c>
      <c r="O293" s="997">
        <f t="shared" ca="1" si="51"/>
        <v>0</v>
      </c>
      <c r="P293" s="1015" t="str">
        <f ca="1">IF($C293="","",INDEX(NVLSX!$N$2:$N$6941,MATCH($C293,NVLSX!$E$2:$E$6941,0)))</f>
        <v/>
      </c>
      <c r="Q293" s="1016" t="str">
        <f ca="1">IF($R293="","",IF(XKNVLSX!$X$1="",IF($P293=$V$7,$P293, IF(COUNTIFS($C$2:$C292,$C293,$E$2:$E292,$E293)&gt;=1,"",$P293)),     IF(AND(IFERROR(SEARCH($R293,XKNVLSX!$X$1,1),0)&gt;=1,$P293=$V$7),$P293, IF(OR($R293&lt;&gt;IF(IFERROR(SEARCH($R293,XKNVLSX!$X$1,1),0)&gt;=1,$R293,XKNVLSX!$X$1),COUNTIFS($C$2:$C292,$C293,$E$2:$E292,$E293,$Q$2:$Q292,$P293)&gt;=1),"",$P293))))</f>
        <v/>
      </c>
      <c r="R293" s="1017" t="str">
        <f ca="1">IF($A293="","",IFERROR(INDEX(TinhGia!$BF$10:$BF$81,MATCH($A293,TinhGia!$B$10:$B$81,0)),""))</f>
        <v/>
      </c>
      <c r="S293" s="1012" t="str">
        <f ca="1">IF($A293="","",IF(OR(IFERROR(SEARCH($R293,XKNVLSX!$X$1,1),0)&gt;=1,XKNVLSX!$X$1=""),$S$2,""))</f>
        <v/>
      </c>
      <c r="T293" s="1018" t="str">
        <f ca="1">IF($C293="","", IF(OR($P293=$V$1,$P293=$V$7,COUNTIFS($C$3:$C293,$C293,$E$3:$E293,$E293)&lt;=1),$P293,""    ))</f>
        <v/>
      </c>
      <c r="U293" s="1019" t="str">
        <f ca="1">IF(AND($P293=$V$2,COUNTIFS($C$3:$C293,$C293,$E$3:$E293,$E293,$G$3:$G293,$G293)&lt;=1),$P293,"")</f>
        <v/>
      </c>
    </row>
    <row r="294" spans="1:21">
      <c r="A294" s="991" t="str">
        <f ca="1">IFERROR(IF(COUNTIF($A$3:A293,A293)&lt; INDEX(TinhGia!$BH$10:$BH$81,MATCH($A293,TinhGia!$B$10:$B$81,0)),$A293,INDEX(TinhGia!$B$10:$B$81,MATCH($A293,TinhGia!$B$10:$B$81,0)+1)),"")</f>
        <v/>
      </c>
      <c r="B294" s="525" t="str">
        <f ca="1">IF(OR(A294="",A294=0),"",IF(COUNTIF($A$2:A294,$A294)=1,ROW(MauKoXoa!$C$108),$B293+1))</f>
        <v/>
      </c>
      <c r="C294" s="992" t="str">
        <f t="shared" ca="1" si="40"/>
        <v/>
      </c>
      <c r="D294" s="993" t="str">
        <f t="shared" ca="1" si="41"/>
        <v/>
      </c>
      <c r="E294" s="993" t="str">
        <f t="shared" ca="1" si="42"/>
        <v/>
      </c>
      <c r="F294" s="992" t="str">
        <f t="shared" ca="1" si="52"/>
        <v/>
      </c>
      <c r="G294" s="994">
        <f t="shared" ca="1" si="43"/>
        <v>0</v>
      </c>
      <c r="H294" s="913">
        <f t="shared" ca="1" si="44"/>
        <v>0</v>
      </c>
      <c r="I294" s="913">
        <f t="shared" ca="1" si="45"/>
        <v>0</v>
      </c>
      <c r="J294" s="995">
        <f t="shared" ca="1" si="53"/>
        <v>0</v>
      </c>
      <c r="K294" s="913">
        <f t="shared" ca="1" si="47"/>
        <v>0</v>
      </c>
      <c r="L294" s="995">
        <f t="shared" ca="1" si="54"/>
        <v>0</v>
      </c>
      <c r="M294" s="913">
        <f t="shared" ca="1" si="49"/>
        <v>0</v>
      </c>
      <c r="N294" s="996">
        <f t="shared" ca="1" si="50"/>
        <v>0</v>
      </c>
      <c r="O294" s="997">
        <f t="shared" ca="1" si="51"/>
        <v>0</v>
      </c>
      <c r="P294" s="1015" t="str">
        <f ca="1">IF($C294="","",INDEX(NVLSX!$N$2:$N$6941,MATCH($C294,NVLSX!$E$2:$E$6941,0)))</f>
        <v/>
      </c>
      <c r="Q294" s="1016" t="str">
        <f ca="1">IF($R294="","",IF(XKNVLSX!$X$1="",IF($P294=$V$7,$P294, IF(COUNTIFS($C$2:$C293,$C294,$E$2:$E293,$E294)&gt;=1,"",$P294)),     IF(AND(IFERROR(SEARCH($R294,XKNVLSX!$X$1,1),0)&gt;=1,$P294=$V$7),$P294, IF(OR($R294&lt;&gt;IF(IFERROR(SEARCH($R294,XKNVLSX!$X$1,1),0)&gt;=1,$R294,XKNVLSX!$X$1),COUNTIFS($C$2:$C293,$C294,$E$2:$E293,$E294,$Q$2:$Q293,$P294)&gt;=1),"",$P294))))</f>
        <v/>
      </c>
      <c r="R294" s="1017" t="str">
        <f ca="1">IF($A294="","",IFERROR(INDEX(TinhGia!$BF$10:$BF$81,MATCH($A294,TinhGia!$B$10:$B$81,0)),""))</f>
        <v/>
      </c>
      <c r="S294" s="1012" t="str">
        <f ca="1">IF($A294="","",IF(OR(IFERROR(SEARCH($R294,XKNVLSX!$X$1,1),0)&gt;=1,XKNVLSX!$X$1=""),$S$2,""))</f>
        <v/>
      </c>
      <c r="T294" s="1018" t="str">
        <f ca="1">IF($C294="","", IF(OR($P294=$V$1,$P294=$V$7,COUNTIFS($C$3:$C294,$C294,$E$3:$E294,$E294)&lt;=1),$P294,""    ))</f>
        <v/>
      </c>
      <c r="U294" s="1019" t="str">
        <f ca="1">IF(AND($P294=$V$2,COUNTIFS($C$3:$C294,$C294,$E$3:$E294,$E294,$G$3:$G294,$G294)&lt;=1),$P294,"")</f>
        <v/>
      </c>
    </row>
    <row r="295" spans="1:21">
      <c r="A295" s="991" t="str">
        <f ca="1">IFERROR(IF(COUNTIF($A$3:A294,A294)&lt; INDEX(TinhGia!$BH$10:$BH$81,MATCH($A294,TinhGia!$B$10:$B$81,0)),$A294,INDEX(TinhGia!$B$10:$B$81,MATCH($A294,TinhGia!$B$10:$B$81,0)+1)),"")</f>
        <v/>
      </c>
      <c r="B295" s="525" t="str">
        <f ca="1">IF(OR(A295="",A295=0),"",IF(COUNTIF($A$2:A295,$A295)=1,ROW(MauKoXoa!$C$108),$B294+1))</f>
        <v/>
      </c>
      <c r="C295" s="992" t="str">
        <f t="shared" ca="1" si="40"/>
        <v/>
      </c>
      <c r="D295" s="993" t="str">
        <f t="shared" ca="1" si="41"/>
        <v/>
      </c>
      <c r="E295" s="993" t="str">
        <f t="shared" ca="1" si="42"/>
        <v/>
      </c>
      <c r="F295" s="992" t="str">
        <f t="shared" ca="1" si="52"/>
        <v/>
      </c>
      <c r="G295" s="994">
        <f t="shared" ca="1" si="43"/>
        <v>0</v>
      </c>
      <c r="H295" s="913">
        <f t="shared" ca="1" si="44"/>
        <v>0</v>
      </c>
      <c r="I295" s="913">
        <f t="shared" ca="1" si="45"/>
        <v>0</v>
      </c>
      <c r="J295" s="995">
        <f t="shared" ca="1" si="53"/>
        <v>0</v>
      </c>
      <c r="K295" s="913">
        <f t="shared" ca="1" si="47"/>
        <v>0</v>
      </c>
      <c r="L295" s="995">
        <f t="shared" ca="1" si="54"/>
        <v>0</v>
      </c>
      <c r="M295" s="913">
        <f t="shared" ca="1" si="49"/>
        <v>0</v>
      </c>
      <c r="N295" s="996">
        <f t="shared" ca="1" si="50"/>
        <v>0</v>
      </c>
      <c r="O295" s="997">
        <f t="shared" ca="1" si="51"/>
        <v>0</v>
      </c>
      <c r="P295" s="1015" t="str">
        <f ca="1">IF($C295="","",INDEX(NVLSX!$N$2:$N$6941,MATCH($C295,NVLSX!$E$2:$E$6941,0)))</f>
        <v/>
      </c>
      <c r="Q295" s="1016" t="str">
        <f ca="1">IF($R295="","",IF(XKNVLSX!$X$1="",IF($P295=$V$7,$P295, IF(COUNTIFS($C$2:$C294,$C295,$E$2:$E294,$E295)&gt;=1,"",$P295)),     IF(AND(IFERROR(SEARCH($R295,XKNVLSX!$X$1,1),0)&gt;=1,$P295=$V$7),$P295, IF(OR($R295&lt;&gt;IF(IFERROR(SEARCH($R295,XKNVLSX!$X$1,1),0)&gt;=1,$R295,XKNVLSX!$X$1),COUNTIFS($C$2:$C294,$C295,$E$2:$E294,$E295,$Q$2:$Q294,$P295)&gt;=1),"",$P295))))</f>
        <v/>
      </c>
      <c r="R295" s="1017" t="str">
        <f ca="1">IF($A295="","",IFERROR(INDEX(TinhGia!$BF$10:$BF$81,MATCH($A295,TinhGia!$B$10:$B$81,0)),""))</f>
        <v/>
      </c>
      <c r="S295" s="1012" t="str">
        <f ca="1">IF($A295="","",IF(OR(IFERROR(SEARCH($R295,XKNVLSX!$X$1,1),0)&gt;=1,XKNVLSX!$X$1=""),$S$2,""))</f>
        <v/>
      </c>
      <c r="T295" s="1018" t="str">
        <f ca="1">IF($C295="","", IF(OR($P295=$V$1,$P295=$V$7,COUNTIFS($C$3:$C295,$C295,$E$3:$E295,$E295)&lt;=1),$P295,""    ))</f>
        <v/>
      </c>
      <c r="U295" s="1019" t="str">
        <f ca="1">IF(AND($P295=$V$2,COUNTIFS($C$3:$C295,$C295,$E$3:$E295,$E295,$G$3:$G295,$G295)&lt;=1),$P295,"")</f>
        <v/>
      </c>
    </row>
    <row r="296" spans="1:21">
      <c r="A296" s="991" t="str">
        <f ca="1">IFERROR(IF(COUNTIF($A$3:A295,A295)&lt; INDEX(TinhGia!$BH$10:$BH$81,MATCH($A295,TinhGia!$B$10:$B$81,0)),$A295,INDEX(TinhGia!$B$10:$B$81,MATCH($A295,TinhGia!$B$10:$B$81,0)+1)),"")</f>
        <v/>
      </c>
      <c r="B296" s="525" t="str">
        <f ca="1">IF(OR(A296="",A296=0),"",IF(COUNTIF($A$2:A296,$A296)=1,ROW(MauKoXoa!$C$108),$B295+1))</f>
        <v/>
      </c>
      <c r="C296" s="992" t="str">
        <f t="shared" ca="1" si="40"/>
        <v/>
      </c>
      <c r="D296" s="993" t="str">
        <f t="shared" ca="1" si="41"/>
        <v/>
      </c>
      <c r="E296" s="993" t="str">
        <f t="shared" ca="1" si="42"/>
        <v/>
      </c>
      <c r="F296" s="992" t="str">
        <f t="shared" ca="1" si="52"/>
        <v/>
      </c>
      <c r="G296" s="994">
        <f t="shared" ca="1" si="43"/>
        <v>0</v>
      </c>
      <c r="H296" s="913">
        <f t="shared" ca="1" si="44"/>
        <v>0</v>
      </c>
      <c r="I296" s="913">
        <f t="shared" ca="1" si="45"/>
        <v>0</v>
      </c>
      <c r="J296" s="995">
        <f t="shared" ca="1" si="53"/>
        <v>0</v>
      </c>
      <c r="K296" s="913">
        <f t="shared" ca="1" si="47"/>
        <v>0</v>
      </c>
      <c r="L296" s="995">
        <f t="shared" ca="1" si="54"/>
        <v>0</v>
      </c>
      <c r="M296" s="913">
        <f t="shared" ca="1" si="49"/>
        <v>0</v>
      </c>
      <c r="N296" s="996">
        <f t="shared" ca="1" si="50"/>
        <v>0</v>
      </c>
      <c r="O296" s="997">
        <f t="shared" ca="1" si="51"/>
        <v>0</v>
      </c>
      <c r="P296" s="1015" t="str">
        <f ca="1">IF($C296="","",INDEX(NVLSX!$N$2:$N$6941,MATCH($C296,NVLSX!$E$2:$E$6941,0)))</f>
        <v/>
      </c>
      <c r="Q296" s="1016" t="str">
        <f ca="1">IF($R296="","",IF(XKNVLSX!$X$1="",IF($P296=$V$7,$P296, IF(COUNTIFS($C$2:$C295,$C296,$E$2:$E295,$E296)&gt;=1,"",$P296)),     IF(AND(IFERROR(SEARCH($R296,XKNVLSX!$X$1,1),0)&gt;=1,$P296=$V$7),$P296, IF(OR($R296&lt;&gt;IF(IFERROR(SEARCH($R296,XKNVLSX!$X$1,1),0)&gt;=1,$R296,XKNVLSX!$X$1),COUNTIFS($C$2:$C295,$C296,$E$2:$E295,$E296,$Q$2:$Q295,$P296)&gt;=1),"",$P296))))</f>
        <v/>
      </c>
      <c r="R296" s="1017" t="str">
        <f ca="1">IF($A296="","",IFERROR(INDEX(TinhGia!$BF$10:$BF$81,MATCH($A296,TinhGia!$B$10:$B$81,0)),""))</f>
        <v/>
      </c>
      <c r="S296" s="1012" t="str">
        <f ca="1">IF($A296="","",IF(OR(IFERROR(SEARCH($R296,XKNVLSX!$X$1,1),0)&gt;=1,XKNVLSX!$X$1=""),$S$2,""))</f>
        <v/>
      </c>
      <c r="T296" s="1018" t="str">
        <f ca="1">IF($C296="","", IF(OR($P296=$V$1,$P296=$V$7,COUNTIFS($C$3:$C296,$C296,$E$3:$E296,$E296)&lt;=1),$P296,""    ))</f>
        <v/>
      </c>
      <c r="U296" s="1019" t="str">
        <f ca="1">IF(AND($P296=$V$2,COUNTIFS($C$3:$C296,$C296,$E$3:$E296,$E296,$G$3:$G296,$G296)&lt;=1),$P296,"")</f>
        <v/>
      </c>
    </row>
    <row r="297" spans="1:21">
      <c r="A297" s="991" t="str">
        <f ca="1">IFERROR(IF(COUNTIF($A$3:A296,A296)&lt; INDEX(TinhGia!$BH$10:$BH$81,MATCH($A296,TinhGia!$B$10:$B$81,0)),$A296,INDEX(TinhGia!$B$10:$B$81,MATCH($A296,TinhGia!$B$10:$B$81,0)+1)),"")</f>
        <v/>
      </c>
      <c r="B297" s="525" t="str">
        <f ca="1">IF(OR(A297="",A297=0),"",IF(COUNTIF($A$2:A297,$A297)=1,ROW(MauKoXoa!$C$108),$B296+1))</f>
        <v/>
      </c>
      <c r="C297" s="992" t="str">
        <f t="shared" ca="1" si="40"/>
        <v/>
      </c>
      <c r="D297" s="993" t="str">
        <f t="shared" ca="1" si="41"/>
        <v/>
      </c>
      <c r="E297" s="993" t="str">
        <f t="shared" ca="1" si="42"/>
        <v/>
      </c>
      <c r="F297" s="992" t="str">
        <f t="shared" ca="1" si="52"/>
        <v/>
      </c>
      <c r="G297" s="994">
        <f t="shared" ca="1" si="43"/>
        <v>0</v>
      </c>
      <c r="H297" s="913">
        <f t="shared" ca="1" si="44"/>
        <v>0</v>
      </c>
      <c r="I297" s="913">
        <f t="shared" ca="1" si="45"/>
        <v>0</v>
      </c>
      <c r="J297" s="995">
        <f t="shared" ca="1" si="53"/>
        <v>0</v>
      </c>
      <c r="K297" s="913">
        <f t="shared" ca="1" si="47"/>
        <v>0</v>
      </c>
      <c r="L297" s="995">
        <f t="shared" ca="1" si="54"/>
        <v>0</v>
      </c>
      <c r="M297" s="913">
        <f t="shared" ca="1" si="49"/>
        <v>0</v>
      </c>
      <c r="N297" s="996">
        <f t="shared" ca="1" si="50"/>
        <v>0</v>
      </c>
      <c r="O297" s="997">
        <f t="shared" ca="1" si="51"/>
        <v>0</v>
      </c>
      <c r="P297" s="1015" t="str">
        <f ca="1">IF($C297="","",INDEX(NVLSX!$N$2:$N$6941,MATCH($C297,NVLSX!$E$2:$E$6941,0)))</f>
        <v/>
      </c>
      <c r="Q297" s="1016" t="str">
        <f ca="1">IF($R297="","",IF(XKNVLSX!$X$1="",IF($P297=$V$7,$P297, IF(COUNTIFS($C$2:$C296,$C297,$E$2:$E296,$E297)&gt;=1,"",$P297)),     IF(AND(IFERROR(SEARCH($R297,XKNVLSX!$X$1,1),0)&gt;=1,$P297=$V$7),$P297, IF(OR($R297&lt;&gt;IF(IFERROR(SEARCH($R297,XKNVLSX!$X$1,1),0)&gt;=1,$R297,XKNVLSX!$X$1),COUNTIFS($C$2:$C296,$C297,$E$2:$E296,$E297,$Q$2:$Q296,$P297)&gt;=1),"",$P297))))</f>
        <v/>
      </c>
      <c r="R297" s="1017" t="str">
        <f ca="1">IF($A297="","",IFERROR(INDEX(TinhGia!$BF$10:$BF$81,MATCH($A297,TinhGia!$B$10:$B$81,0)),""))</f>
        <v/>
      </c>
      <c r="S297" s="1012" t="str">
        <f ca="1">IF($A297="","",IF(OR(IFERROR(SEARCH($R297,XKNVLSX!$X$1,1),0)&gt;=1,XKNVLSX!$X$1=""),$S$2,""))</f>
        <v/>
      </c>
      <c r="T297" s="1018" t="str">
        <f ca="1">IF($C297="","", IF(OR($P297=$V$1,$P297=$V$7,COUNTIFS($C$3:$C297,$C297,$E$3:$E297,$E297)&lt;=1),$P297,""    ))</f>
        <v/>
      </c>
      <c r="U297" s="1019" t="str">
        <f ca="1">IF(AND($P297=$V$2,COUNTIFS($C$3:$C297,$C297,$E$3:$E297,$E297,$G$3:$G297,$G297)&lt;=1),$P297,"")</f>
        <v/>
      </c>
    </row>
    <row r="298" spans="1:21">
      <c r="A298" s="991" t="str">
        <f ca="1">IFERROR(IF(COUNTIF($A$3:A297,A297)&lt; INDEX(TinhGia!$BH$10:$BH$81,MATCH($A297,TinhGia!$B$10:$B$81,0)),$A297,INDEX(TinhGia!$B$10:$B$81,MATCH($A297,TinhGia!$B$10:$B$81,0)+1)),"")</f>
        <v/>
      </c>
      <c r="B298" s="525" t="str">
        <f ca="1">IF(OR(A298="",A298=0),"",IF(COUNTIF($A$2:A298,$A298)=1,ROW(MauKoXoa!$C$108),$B297+1))</f>
        <v/>
      </c>
      <c r="C298" s="992" t="str">
        <f t="shared" ca="1" si="40"/>
        <v/>
      </c>
      <c r="D298" s="993" t="str">
        <f t="shared" ca="1" si="41"/>
        <v/>
      </c>
      <c r="E298" s="993" t="str">
        <f t="shared" ca="1" si="42"/>
        <v/>
      </c>
      <c r="F298" s="992" t="str">
        <f t="shared" ca="1" si="52"/>
        <v/>
      </c>
      <c r="G298" s="994">
        <f t="shared" ca="1" si="43"/>
        <v>0</v>
      </c>
      <c r="H298" s="913">
        <f t="shared" ca="1" si="44"/>
        <v>0</v>
      </c>
      <c r="I298" s="913">
        <f t="shared" ca="1" si="45"/>
        <v>0</v>
      </c>
      <c r="J298" s="995">
        <f t="shared" ca="1" si="53"/>
        <v>0</v>
      </c>
      <c r="K298" s="913">
        <f t="shared" ca="1" si="47"/>
        <v>0</v>
      </c>
      <c r="L298" s="995">
        <f t="shared" ca="1" si="54"/>
        <v>0</v>
      </c>
      <c r="M298" s="913">
        <f t="shared" ca="1" si="49"/>
        <v>0</v>
      </c>
      <c r="N298" s="996">
        <f t="shared" ca="1" si="50"/>
        <v>0</v>
      </c>
      <c r="O298" s="997">
        <f t="shared" ca="1" si="51"/>
        <v>0</v>
      </c>
      <c r="P298" s="1015" t="str">
        <f ca="1">IF($C298="","",INDEX(NVLSX!$N$2:$N$6941,MATCH($C298,NVLSX!$E$2:$E$6941,0)))</f>
        <v/>
      </c>
      <c r="Q298" s="1016" t="str">
        <f ca="1">IF($R298="","",IF(XKNVLSX!$X$1="",IF($P298=$V$7,$P298, IF(COUNTIFS($C$2:$C297,$C298,$E$2:$E297,$E298)&gt;=1,"",$P298)),     IF(AND(IFERROR(SEARCH($R298,XKNVLSX!$X$1,1),0)&gt;=1,$P298=$V$7),$P298, IF(OR($R298&lt;&gt;IF(IFERROR(SEARCH($R298,XKNVLSX!$X$1,1),0)&gt;=1,$R298,XKNVLSX!$X$1),COUNTIFS($C$2:$C297,$C298,$E$2:$E297,$E298,$Q$2:$Q297,$P298)&gt;=1),"",$P298))))</f>
        <v/>
      </c>
      <c r="R298" s="1017" t="str">
        <f ca="1">IF($A298="","",IFERROR(INDEX(TinhGia!$BF$10:$BF$81,MATCH($A298,TinhGia!$B$10:$B$81,0)),""))</f>
        <v/>
      </c>
      <c r="S298" s="1012" t="str">
        <f ca="1">IF($A298="","",IF(OR(IFERROR(SEARCH($R298,XKNVLSX!$X$1,1),0)&gt;=1,XKNVLSX!$X$1=""),$S$2,""))</f>
        <v/>
      </c>
      <c r="T298" s="1018" t="str">
        <f ca="1">IF($C298="","", IF(OR($P298=$V$1,$P298=$V$7,COUNTIFS($C$3:$C298,$C298,$E$3:$E298,$E298)&lt;=1),$P298,""    ))</f>
        <v/>
      </c>
      <c r="U298" s="1019" t="str">
        <f ca="1">IF(AND($P298=$V$2,COUNTIFS($C$3:$C298,$C298,$E$3:$E298,$E298,$G$3:$G298,$G298)&lt;=1),$P298,"")</f>
        <v/>
      </c>
    </row>
    <row r="299" spans="1:21">
      <c r="A299" s="991" t="str">
        <f ca="1">IFERROR(IF(COUNTIF($A$3:A298,A298)&lt; INDEX(TinhGia!$BH$10:$BH$81,MATCH($A298,TinhGia!$B$10:$B$81,0)),$A298,INDEX(TinhGia!$B$10:$B$81,MATCH($A298,TinhGia!$B$10:$B$81,0)+1)),"")</f>
        <v/>
      </c>
      <c r="B299" s="525" t="str">
        <f ca="1">IF(OR(A299="",A299=0),"",IF(COUNTIF($A$2:A299,$A299)=1,ROW(MauKoXoa!$C$108),$B298+1))</f>
        <v/>
      </c>
      <c r="C299" s="992" t="str">
        <f t="shared" ca="1" si="40"/>
        <v/>
      </c>
      <c r="D299" s="993" t="str">
        <f t="shared" ca="1" si="41"/>
        <v/>
      </c>
      <c r="E299" s="993" t="str">
        <f t="shared" ca="1" si="42"/>
        <v/>
      </c>
      <c r="F299" s="992" t="str">
        <f t="shared" ca="1" si="52"/>
        <v/>
      </c>
      <c r="G299" s="994">
        <f t="shared" ca="1" si="43"/>
        <v>0</v>
      </c>
      <c r="H299" s="913">
        <f t="shared" ca="1" si="44"/>
        <v>0</v>
      </c>
      <c r="I299" s="913">
        <f t="shared" ca="1" si="45"/>
        <v>0</v>
      </c>
      <c r="J299" s="995">
        <f t="shared" ca="1" si="53"/>
        <v>0</v>
      </c>
      <c r="K299" s="913">
        <f t="shared" ca="1" si="47"/>
        <v>0</v>
      </c>
      <c r="L299" s="995">
        <f t="shared" ca="1" si="54"/>
        <v>0</v>
      </c>
      <c r="M299" s="913">
        <f t="shared" ca="1" si="49"/>
        <v>0</v>
      </c>
      <c r="N299" s="996">
        <f t="shared" ca="1" si="50"/>
        <v>0</v>
      </c>
      <c r="O299" s="997">
        <f t="shared" ca="1" si="51"/>
        <v>0</v>
      </c>
      <c r="P299" s="1015" t="str">
        <f ca="1">IF($C299="","",INDEX(NVLSX!$N$2:$N$6941,MATCH($C299,NVLSX!$E$2:$E$6941,0)))</f>
        <v/>
      </c>
      <c r="Q299" s="1016" t="str">
        <f ca="1">IF($R299="","",IF(XKNVLSX!$X$1="",IF($P299=$V$7,$P299, IF(COUNTIFS($C$2:$C298,$C299,$E$2:$E298,$E299)&gt;=1,"",$P299)),     IF(AND(IFERROR(SEARCH($R299,XKNVLSX!$X$1,1),0)&gt;=1,$P299=$V$7),$P299, IF(OR($R299&lt;&gt;IF(IFERROR(SEARCH($R299,XKNVLSX!$X$1,1),0)&gt;=1,$R299,XKNVLSX!$X$1),COUNTIFS($C$2:$C298,$C299,$E$2:$E298,$E299,$Q$2:$Q298,$P299)&gt;=1),"",$P299))))</f>
        <v/>
      </c>
      <c r="R299" s="1017" t="str">
        <f ca="1">IF($A299="","",IFERROR(INDEX(TinhGia!$BF$10:$BF$81,MATCH($A299,TinhGia!$B$10:$B$81,0)),""))</f>
        <v/>
      </c>
      <c r="S299" s="1012" t="str">
        <f ca="1">IF($A299="","",IF(OR(IFERROR(SEARCH($R299,XKNVLSX!$X$1,1),0)&gt;=1,XKNVLSX!$X$1=""),$S$2,""))</f>
        <v/>
      </c>
      <c r="T299" s="1018" t="str">
        <f ca="1">IF($C299="","", IF(OR($P299=$V$1,$P299=$V$7,COUNTIFS($C$3:$C299,$C299,$E$3:$E299,$E299)&lt;=1),$P299,""    ))</f>
        <v/>
      </c>
      <c r="U299" s="1019" t="str">
        <f ca="1">IF(AND($P299=$V$2,COUNTIFS($C$3:$C299,$C299,$E$3:$E299,$E299,$G$3:$G299,$G299)&lt;=1),$P299,"")</f>
        <v/>
      </c>
    </row>
    <row r="300" spans="1:21">
      <c r="A300" s="991" t="str">
        <f ca="1">IFERROR(IF(COUNTIF($A$3:A299,A299)&lt; INDEX(TinhGia!$BH$10:$BH$81,MATCH($A299,TinhGia!$B$10:$B$81,0)),$A299,INDEX(TinhGia!$B$10:$B$81,MATCH($A299,TinhGia!$B$10:$B$81,0)+1)),"")</f>
        <v/>
      </c>
      <c r="B300" s="525" t="str">
        <f ca="1">IF(OR(A300="",A300=0),"",IF(COUNTIF($A$2:A300,$A300)=1,ROW(MauKoXoa!$C$108),$B299+1))</f>
        <v/>
      </c>
      <c r="C300" s="992" t="str">
        <f t="shared" ca="1" si="40"/>
        <v/>
      </c>
      <c r="D300" s="993" t="str">
        <f t="shared" ca="1" si="41"/>
        <v/>
      </c>
      <c r="E300" s="993" t="str">
        <f t="shared" ca="1" si="42"/>
        <v/>
      </c>
      <c r="F300" s="992" t="str">
        <f t="shared" ca="1" si="52"/>
        <v/>
      </c>
      <c r="G300" s="994">
        <f t="shared" ca="1" si="43"/>
        <v>0</v>
      </c>
      <c r="H300" s="913">
        <f t="shared" ca="1" si="44"/>
        <v>0</v>
      </c>
      <c r="I300" s="913">
        <f t="shared" ca="1" si="45"/>
        <v>0</v>
      </c>
      <c r="J300" s="995">
        <f t="shared" ca="1" si="53"/>
        <v>0</v>
      </c>
      <c r="K300" s="913">
        <f t="shared" ca="1" si="47"/>
        <v>0</v>
      </c>
      <c r="L300" s="995">
        <f t="shared" ca="1" si="54"/>
        <v>0</v>
      </c>
      <c r="M300" s="913">
        <f t="shared" ca="1" si="49"/>
        <v>0</v>
      </c>
      <c r="N300" s="996">
        <f t="shared" ca="1" si="50"/>
        <v>0</v>
      </c>
      <c r="O300" s="997">
        <f t="shared" ca="1" si="51"/>
        <v>0</v>
      </c>
      <c r="P300" s="1015" t="str">
        <f ca="1">IF($C300="","",INDEX(NVLSX!$N$2:$N$6941,MATCH($C300,NVLSX!$E$2:$E$6941,0)))</f>
        <v/>
      </c>
      <c r="Q300" s="1016" t="str">
        <f ca="1">IF($R300="","",IF(XKNVLSX!$X$1="",IF($P300=$V$7,$P300, IF(COUNTIFS($C$2:$C299,$C300,$E$2:$E299,$E300)&gt;=1,"",$P300)),     IF(AND(IFERROR(SEARCH($R300,XKNVLSX!$X$1,1),0)&gt;=1,$P300=$V$7),$P300, IF(OR($R300&lt;&gt;IF(IFERROR(SEARCH($R300,XKNVLSX!$X$1,1),0)&gt;=1,$R300,XKNVLSX!$X$1),COUNTIFS($C$2:$C299,$C300,$E$2:$E299,$E300,$Q$2:$Q299,$P300)&gt;=1),"",$P300))))</f>
        <v/>
      </c>
      <c r="R300" s="1017" t="str">
        <f ca="1">IF($A300="","",IFERROR(INDEX(TinhGia!$BF$10:$BF$81,MATCH($A300,TinhGia!$B$10:$B$81,0)),""))</f>
        <v/>
      </c>
      <c r="S300" s="1012" t="str">
        <f ca="1">IF($A300="","",IF(OR(IFERROR(SEARCH($R300,XKNVLSX!$X$1,1),0)&gt;=1,XKNVLSX!$X$1=""),$S$2,""))</f>
        <v/>
      </c>
      <c r="T300" s="1018" t="str">
        <f ca="1">IF($C300="","", IF(OR($P300=$V$1,$P300=$V$7,COUNTIFS($C$3:$C300,$C300,$E$3:$E300,$E300)&lt;=1),$P300,""    ))</f>
        <v/>
      </c>
      <c r="U300" s="1019" t="str">
        <f ca="1">IF(AND($P300=$V$2,COUNTIFS($C$3:$C300,$C300,$E$3:$E300,$E300,$G$3:$G300,$G300)&lt;=1),$P300,"")</f>
        <v/>
      </c>
    </row>
    <row r="301" spans="1:21">
      <c r="A301" s="991" t="str">
        <f ca="1">IFERROR(IF(COUNTIF($A$3:A300,A300)&lt; INDEX(TinhGia!$BH$10:$BH$81,MATCH($A300,TinhGia!$B$10:$B$81,0)),$A300,INDEX(TinhGia!$B$10:$B$81,MATCH($A300,TinhGia!$B$10:$B$81,0)+1)),"")</f>
        <v/>
      </c>
      <c r="B301" s="525" t="str">
        <f ca="1">IF(OR(A301="",A301=0),"",IF(COUNTIF($A$2:A301,$A301)=1,ROW(MauKoXoa!$C$108),$B300+1))</f>
        <v/>
      </c>
      <c r="C301" s="992" t="str">
        <f t="shared" ca="1" si="40"/>
        <v/>
      </c>
      <c r="D301" s="993" t="str">
        <f t="shared" ca="1" si="41"/>
        <v/>
      </c>
      <c r="E301" s="993" t="str">
        <f t="shared" ca="1" si="42"/>
        <v/>
      </c>
      <c r="F301" s="992" t="str">
        <f t="shared" ca="1" si="52"/>
        <v/>
      </c>
      <c r="G301" s="994">
        <f t="shared" ca="1" si="43"/>
        <v>0</v>
      </c>
      <c r="H301" s="913">
        <f t="shared" ca="1" si="44"/>
        <v>0</v>
      </c>
      <c r="I301" s="913">
        <f t="shared" ca="1" si="45"/>
        <v>0</v>
      </c>
      <c r="J301" s="995">
        <f t="shared" ca="1" si="53"/>
        <v>0</v>
      </c>
      <c r="K301" s="913">
        <f t="shared" ca="1" si="47"/>
        <v>0</v>
      </c>
      <c r="L301" s="995">
        <f t="shared" ca="1" si="54"/>
        <v>0</v>
      </c>
      <c r="M301" s="913">
        <f t="shared" ca="1" si="49"/>
        <v>0</v>
      </c>
      <c r="N301" s="996">
        <f t="shared" ca="1" si="50"/>
        <v>0</v>
      </c>
      <c r="O301" s="997">
        <f t="shared" ca="1" si="51"/>
        <v>0</v>
      </c>
      <c r="P301" s="1015" t="str">
        <f ca="1">IF($C301="","",INDEX(NVLSX!$N$2:$N$6941,MATCH($C301,NVLSX!$E$2:$E$6941,0)))</f>
        <v/>
      </c>
      <c r="Q301" s="1016" t="str">
        <f ca="1">IF($R301="","",IF(XKNVLSX!$X$1="",IF($P301=$V$7,$P301, IF(COUNTIFS($C$2:$C300,$C301,$E$2:$E300,$E301)&gt;=1,"",$P301)),     IF(AND(IFERROR(SEARCH($R301,XKNVLSX!$X$1,1),0)&gt;=1,$P301=$V$7),$P301, IF(OR($R301&lt;&gt;IF(IFERROR(SEARCH($R301,XKNVLSX!$X$1,1),0)&gt;=1,$R301,XKNVLSX!$X$1),COUNTIFS($C$2:$C300,$C301,$E$2:$E300,$E301,$Q$2:$Q300,$P301)&gt;=1),"",$P301))))</f>
        <v/>
      </c>
      <c r="R301" s="1017" t="str">
        <f ca="1">IF($A301="","",IFERROR(INDEX(TinhGia!$BF$10:$BF$81,MATCH($A301,TinhGia!$B$10:$B$81,0)),""))</f>
        <v/>
      </c>
      <c r="S301" s="1012" t="str">
        <f ca="1">IF($A301="","",IF(OR(IFERROR(SEARCH($R301,XKNVLSX!$X$1,1),0)&gt;=1,XKNVLSX!$X$1=""),$S$2,""))</f>
        <v/>
      </c>
      <c r="T301" s="1018" t="str">
        <f ca="1">IF($C301="","", IF(OR($P301=$V$1,$P301=$V$7,COUNTIFS($C$3:$C301,$C301,$E$3:$E301,$E301)&lt;=1),$P301,""    ))</f>
        <v/>
      </c>
      <c r="U301" s="1019" t="str">
        <f ca="1">IF(AND($P301=$V$2,COUNTIFS($C$3:$C301,$C301,$E$3:$E301,$E301,$G$3:$G301,$G301)&lt;=1),$P301,"")</f>
        <v/>
      </c>
    </row>
    <row r="302" spans="1:21">
      <c r="A302" s="991" t="str">
        <f ca="1">IFERROR(IF(COUNTIF($A$3:A301,A301)&lt; INDEX(TinhGia!$BH$10:$BH$81,MATCH($A301,TinhGia!$B$10:$B$81,0)),$A301,INDEX(TinhGia!$B$10:$B$81,MATCH($A301,TinhGia!$B$10:$B$81,0)+1)),"")</f>
        <v/>
      </c>
      <c r="B302" s="525" t="str">
        <f ca="1">IF(OR(A302="",A302=0),"",IF(COUNTIF($A$2:A302,$A302)=1,ROW(MauKoXoa!$C$108),$B301+1))</f>
        <v/>
      </c>
      <c r="C302" s="992" t="str">
        <f t="shared" ca="1" si="40"/>
        <v/>
      </c>
      <c r="D302" s="993" t="str">
        <f t="shared" ca="1" si="41"/>
        <v/>
      </c>
      <c r="E302" s="993" t="str">
        <f t="shared" ca="1" si="42"/>
        <v/>
      </c>
      <c r="F302" s="992" t="str">
        <f t="shared" ca="1" si="52"/>
        <v/>
      </c>
      <c r="G302" s="994">
        <f t="shared" ca="1" si="43"/>
        <v>0</v>
      </c>
      <c r="H302" s="913">
        <f t="shared" ca="1" si="44"/>
        <v>0</v>
      </c>
      <c r="I302" s="913">
        <f t="shared" ca="1" si="45"/>
        <v>0</v>
      </c>
      <c r="J302" s="995">
        <f t="shared" ca="1" si="53"/>
        <v>0</v>
      </c>
      <c r="K302" s="913">
        <f t="shared" ca="1" si="47"/>
        <v>0</v>
      </c>
      <c r="L302" s="995">
        <f t="shared" ca="1" si="54"/>
        <v>0</v>
      </c>
      <c r="M302" s="913">
        <f t="shared" ca="1" si="49"/>
        <v>0</v>
      </c>
      <c r="N302" s="996">
        <f t="shared" ca="1" si="50"/>
        <v>0</v>
      </c>
      <c r="O302" s="997">
        <f t="shared" ca="1" si="51"/>
        <v>0</v>
      </c>
      <c r="P302" s="1015" t="str">
        <f ca="1">IF($C302="","",INDEX(NVLSX!$N$2:$N$6941,MATCH($C302,NVLSX!$E$2:$E$6941,0)))</f>
        <v/>
      </c>
      <c r="Q302" s="1016" t="str">
        <f ca="1">IF($R302="","",IF(XKNVLSX!$X$1="",IF($P302=$V$7,$P302, IF(COUNTIFS($C$2:$C301,$C302,$E$2:$E301,$E302)&gt;=1,"",$P302)),     IF(AND(IFERROR(SEARCH($R302,XKNVLSX!$X$1,1),0)&gt;=1,$P302=$V$7),$P302, IF(OR($R302&lt;&gt;IF(IFERROR(SEARCH($R302,XKNVLSX!$X$1,1),0)&gt;=1,$R302,XKNVLSX!$X$1),COUNTIFS($C$2:$C301,$C302,$E$2:$E301,$E302,$Q$2:$Q301,$P302)&gt;=1),"",$P302))))</f>
        <v/>
      </c>
      <c r="R302" s="1017" t="str">
        <f ca="1">IF($A302="","",IFERROR(INDEX(TinhGia!$BF$10:$BF$81,MATCH($A302,TinhGia!$B$10:$B$81,0)),""))</f>
        <v/>
      </c>
      <c r="S302" s="1012" t="str">
        <f ca="1">IF($A302="","",IF(OR(IFERROR(SEARCH($R302,XKNVLSX!$X$1,1),0)&gt;=1,XKNVLSX!$X$1=""),$S$2,""))</f>
        <v/>
      </c>
      <c r="T302" s="1018" t="str">
        <f ca="1">IF($C302="","", IF(OR($P302=$V$1,$P302=$V$7,COUNTIFS($C$3:$C302,$C302,$E$3:$E302,$E302)&lt;=1),$P302,""    ))</f>
        <v/>
      </c>
      <c r="U302" s="1019" t="str">
        <f ca="1">IF(AND($P302=$V$2,COUNTIFS($C$3:$C302,$C302,$E$3:$E302,$E302,$G$3:$G302,$G302)&lt;=1),$P302,"")</f>
        <v/>
      </c>
    </row>
    <row r="303" spans="1:21">
      <c r="A303" s="991" t="str">
        <f ca="1">IFERROR(IF(COUNTIF($A$3:A302,A302)&lt; INDEX(TinhGia!$BH$10:$BH$81,MATCH($A302,TinhGia!$B$10:$B$81,0)),$A302,INDEX(TinhGia!$B$10:$B$81,MATCH($A302,TinhGia!$B$10:$B$81,0)+1)),"")</f>
        <v/>
      </c>
      <c r="B303" s="525" t="str">
        <f ca="1">IF(OR(A303="",A303=0),"",IF(COUNTIF($A$2:A303,$A303)=1,ROW(MauKoXoa!$C$108),$B302+1))</f>
        <v/>
      </c>
      <c r="C303" s="992" t="str">
        <f t="shared" ca="1" si="40"/>
        <v/>
      </c>
      <c r="D303" s="993" t="str">
        <f t="shared" ca="1" si="41"/>
        <v/>
      </c>
      <c r="E303" s="993" t="str">
        <f t="shared" ca="1" si="42"/>
        <v/>
      </c>
      <c r="F303" s="992" t="str">
        <f t="shared" ca="1" si="52"/>
        <v/>
      </c>
      <c r="G303" s="994">
        <f t="shared" ca="1" si="43"/>
        <v>0</v>
      </c>
      <c r="H303" s="913">
        <f t="shared" ca="1" si="44"/>
        <v>0</v>
      </c>
      <c r="I303" s="913">
        <f t="shared" ca="1" si="45"/>
        <v>0</v>
      </c>
      <c r="J303" s="995">
        <f t="shared" ca="1" si="53"/>
        <v>0</v>
      </c>
      <c r="K303" s="913">
        <f t="shared" ca="1" si="47"/>
        <v>0</v>
      </c>
      <c r="L303" s="995">
        <f t="shared" ca="1" si="54"/>
        <v>0</v>
      </c>
      <c r="M303" s="913">
        <f t="shared" ca="1" si="49"/>
        <v>0</v>
      </c>
      <c r="N303" s="996">
        <f t="shared" ca="1" si="50"/>
        <v>0</v>
      </c>
      <c r="O303" s="997">
        <f t="shared" ca="1" si="51"/>
        <v>0</v>
      </c>
      <c r="P303" s="1015" t="str">
        <f ca="1">IF($C303="","",INDEX(NVLSX!$N$2:$N$6941,MATCH($C303,NVLSX!$E$2:$E$6941,0)))</f>
        <v/>
      </c>
      <c r="Q303" s="1016" t="str">
        <f ca="1">IF($R303="","",IF(XKNVLSX!$X$1="",IF($P303=$V$7,$P303, IF(COUNTIFS($C$2:$C302,$C303,$E$2:$E302,$E303)&gt;=1,"",$P303)),     IF(AND(IFERROR(SEARCH($R303,XKNVLSX!$X$1,1),0)&gt;=1,$P303=$V$7),$P303, IF(OR($R303&lt;&gt;IF(IFERROR(SEARCH($R303,XKNVLSX!$X$1,1),0)&gt;=1,$R303,XKNVLSX!$X$1),COUNTIFS($C$2:$C302,$C303,$E$2:$E302,$E303,$Q$2:$Q302,$P303)&gt;=1),"",$P303))))</f>
        <v/>
      </c>
      <c r="R303" s="1017" t="str">
        <f ca="1">IF($A303="","",IFERROR(INDEX(TinhGia!$BF$10:$BF$81,MATCH($A303,TinhGia!$B$10:$B$81,0)),""))</f>
        <v/>
      </c>
      <c r="S303" s="1012" t="str">
        <f ca="1">IF($A303="","",IF(OR(IFERROR(SEARCH($R303,XKNVLSX!$X$1,1),0)&gt;=1,XKNVLSX!$X$1=""),$S$2,""))</f>
        <v/>
      </c>
      <c r="T303" s="1018" t="str">
        <f ca="1">IF($C303="","", IF(OR($P303=$V$1,$P303=$V$7,COUNTIFS($C$3:$C303,$C303,$E$3:$E303,$E303)&lt;=1),$P303,""    ))</f>
        <v/>
      </c>
      <c r="U303" s="1019" t="str">
        <f ca="1">IF(AND($P303=$V$2,COUNTIFS($C$3:$C303,$C303,$E$3:$E303,$E303,$G$3:$G303,$G303)&lt;=1),$P303,"")</f>
        <v/>
      </c>
    </row>
    <row r="304" spans="1:21">
      <c r="A304" s="991" t="str">
        <f ca="1">IFERROR(IF(COUNTIF($A$3:A303,A303)&lt; INDEX(TinhGia!$BH$10:$BH$81,MATCH($A303,TinhGia!$B$10:$B$81,0)),$A303,INDEX(TinhGia!$B$10:$B$81,MATCH($A303,TinhGia!$B$10:$B$81,0)+1)),"")</f>
        <v/>
      </c>
      <c r="B304" s="525" t="str">
        <f ca="1">IF(OR(A304="",A304=0),"",IF(COUNTIF($A$2:A304,$A304)=1,ROW(MauKoXoa!$C$108),$B303+1))</f>
        <v/>
      </c>
      <c r="C304" s="992" t="str">
        <f t="shared" ca="1" si="40"/>
        <v/>
      </c>
      <c r="D304" s="993" t="str">
        <f t="shared" ca="1" si="41"/>
        <v/>
      </c>
      <c r="E304" s="993" t="str">
        <f t="shared" ca="1" si="42"/>
        <v/>
      </c>
      <c r="F304" s="992" t="str">
        <f t="shared" ca="1" si="52"/>
        <v/>
      </c>
      <c r="G304" s="994">
        <f t="shared" ca="1" si="43"/>
        <v>0</v>
      </c>
      <c r="H304" s="913">
        <f t="shared" ca="1" si="44"/>
        <v>0</v>
      </c>
      <c r="I304" s="913">
        <f t="shared" ca="1" si="45"/>
        <v>0</v>
      </c>
      <c r="J304" s="995">
        <f t="shared" ca="1" si="53"/>
        <v>0</v>
      </c>
      <c r="K304" s="913">
        <f t="shared" ca="1" si="47"/>
        <v>0</v>
      </c>
      <c r="L304" s="995">
        <f t="shared" ca="1" si="54"/>
        <v>0</v>
      </c>
      <c r="M304" s="913">
        <f t="shared" ca="1" si="49"/>
        <v>0</v>
      </c>
      <c r="N304" s="996">
        <f t="shared" ca="1" si="50"/>
        <v>0</v>
      </c>
      <c r="O304" s="997">
        <f t="shared" ca="1" si="51"/>
        <v>0</v>
      </c>
      <c r="P304" s="1015" t="str">
        <f ca="1">IF($C304="","",INDEX(NVLSX!$N$2:$N$6941,MATCH($C304,NVLSX!$E$2:$E$6941,0)))</f>
        <v/>
      </c>
      <c r="Q304" s="1016" t="str">
        <f ca="1">IF($R304="","",IF(XKNVLSX!$X$1="",IF($P304=$V$7,$P304, IF(COUNTIFS($C$2:$C303,$C304,$E$2:$E303,$E304)&gt;=1,"",$P304)),     IF(AND(IFERROR(SEARCH($R304,XKNVLSX!$X$1,1),0)&gt;=1,$P304=$V$7),$P304, IF(OR($R304&lt;&gt;IF(IFERROR(SEARCH($R304,XKNVLSX!$X$1,1),0)&gt;=1,$R304,XKNVLSX!$X$1),COUNTIFS($C$2:$C303,$C304,$E$2:$E303,$E304,$Q$2:$Q303,$P304)&gt;=1),"",$P304))))</f>
        <v/>
      </c>
      <c r="R304" s="1017" t="str">
        <f ca="1">IF($A304="","",IFERROR(INDEX(TinhGia!$BF$10:$BF$81,MATCH($A304,TinhGia!$B$10:$B$81,0)),""))</f>
        <v/>
      </c>
      <c r="S304" s="1012" t="str">
        <f ca="1">IF($A304="","",IF(OR(IFERROR(SEARCH($R304,XKNVLSX!$X$1,1),0)&gt;=1,XKNVLSX!$X$1=""),$S$2,""))</f>
        <v/>
      </c>
      <c r="T304" s="1018" t="str">
        <f ca="1">IF($C304="","", IF(OR($P304=$V$1,$P304=$V$7,COUNTIFS($C$3:$C304,$C304,$E$3:$E304,$E304)&lt;=1),$P304,""    ))</f>
        <v/>
      </c>
      <c r="U304" s="1019" t="str">
        <f ca="1">IF(AND($P304=$V$2,COUNTIFS($C$3:$C304,$C304,$E$3:$E304,$E304,$G$3:$G304,$G304)&lt;=1),$P304,"")</f>
        <v/>
      </c>
    </row>
    <row r="305" spans="1:21">
      <c r="A305" s="991" t="str">
        <f ca="1">IFERROR(IF(COUNTIF($A$3:A304,A304)&lt; INDEX(TinhGia!$BH$10:$BH$81,MATCH($A304,TinhGia!$B$10:$B$81,0)),$A304,INDEX(TinhGia!$B$10:$B$81,MATCH($A304,TinhGia!$B$10:$B$81,0)+1)),"")</f>
        <v/>
      </c>
      <c r="B305" s="525" t="str">
        <f ca="1">IF(OR(A305="",A305=0),"",IF(COUNTIF($A$2:A305,$A305)=1,ROW(MauKoXoa!$C$108),$B304+1))</f>
        <v/>
      </c>
      <c r="C305" s="992" t="str">
        <f t="shared" ca="1" si="40"/>
        <v/>
      </c>
      <c r="D305" s="993" t="str">
        <f t="shared" ca="1" si="41"/>
        <v/>
      </c>
      <c r="E305" s="993" t="str">
        <f t="shared" ca="1" si="42"/>
        <v/>
      </c>
      <c r="F305" s="992" t="str">
        <f t="shared" ca="1" si="52"/>
        <v/>
      </c>
      <c r="G305" s="994">
        <f t="shared" ca="1" si="43"/>
        <v>0</v>
      </c>
      <c r="H305" s="913">
        <f t="shared" ca="1" si="44"/>
        <v>0</v>
      </c>
      <c r="I305" s="913">
        <f t="shared" ca="1" si="45"/>
        <v>0</v>
      </c>
      <c r="J305" s="995">
        <f t="shared" ca="1" si="53"/>
        <v>0</v>
      </c>
      <c r="K305" s="913">
        <f t="shared" ca="1" si="47"/>
        <v>0</v>
      </c>
      <c r="L305" s="995">
        <f t="shared" ca="1" si="54"/>
        <v>0</v>
      </c>
      <c r="M305" s="913">
        <f t="shared" ca="1" si="49"/>
        <v>0</v>
      </c>
      <c r="N305" s="996">
        <f t="shared" ca="1" si="50"/>
        <v>0</v>
      </c>
      <c r="O305" s="997">
        <f t="shared" ca="1" si="51"/>
        <v>0</v>
      </c>
      <c r="P305" s="1015" t="str">
        <f ca="1">IF($C305="","",INDEX(NVLSX!$N$2:$N$6941,MATCH($C305,NVLSX!$E$2:$E$6941,0)))</f>
        <v/>
      </c>
      <c r="Q305" s="1016" t="str">
        <f ca="1">IF($R305="","",IF(XKNVLSX!$X$1="",IF($P305=$V$7,$P305, IF(COUNTIFS($C$2:$C304,$C305,$E$2:$E304,$E305)&gt;=1,"",$P305)),     IF(AND(IFERROR(SEARCH($R305,XKNVLSX!$X$1,1),0)&gt;=1,$P305=$V$7),$P305, IF(OR($R305&lt;&gt;IF(IFERROR(SEARCH($R305,XKNVLSX!$X$1,1),0)&gt;=1,$R305,XKNVLSX!$X$1),COUNTIFS($C$2:$C304,$C305,$E$2:$E304,$E305,$Q$2:$Q304,$P305)&gt;=1),"",$P305))))</f>
        <v/>
      </c>
      <c r="R305" s="1017" t="str">
        <f ca="1">IF($A305="","",IFERROR(INDEX(TinhGia!$BF$10:$BF$81,MATCH($A305,TinhGia!$B$10:$B$81,0)),""))</f>
        <v/>
      </c>
      <c r="S305" s="1012" t="str">
        <f ca="1">IF($A305="","",IF(OR(IFERROR(SEARCH($R305,XKNVLSX!$X$1,1),0)&gt;=1,XKNVLSX!$X$1=""),$S$2,""))</f>
        <v/>
      </c>
      <c r="T305" s="1018" t="str">
        <f ca="1">IF($C305="","", IF(OR($P305=$V$1,$P305=$V$7,COUNTIFS($C$3:$C305,$C305,$E$3:$E305,$E305)&lt;=1),$P305,""    ))</f>
        <v/>
      </c>
      <c r="U305" s="1019" t="str">
        <f ca="1">IF(AND($P305=$V$2,COUNTIFS($C$3:$C305,$C305,$E$3:$E305,$E305,$G$3:$G305,$G305)&lt;=1),$P305,"")</f>
        <v/>
      </c>
    </row>
    <row r="306" spans="1:21">
      <c r="A306" s="991" t="str">
        <f ca="1">IFERROR(IF(COUNTIF($A$3:A305,A305)&lt; INDEX(TinhGia!$BH$10:$BH$81,MATCH($A305,TinhGia!$B$10:$B$81,0)),$A305,INDEX(TinhGia!$B$10:$B$81,MATCH($A305,TinhGia!$B$10:$B$81,0)+1)),"")</f>
        <v/>
      </c>
      <c r="B306" s="525" t="str">
        <f ca="1">IF(OR(A306="",A306=0),"",IF(COUNTIF($A$2:A306,$A306)=1,ROW(MauKoXoa!$C$108),$B305+1))</f>
        <v/>
      </c>
      <c r="C306" s="992" t="str">
        <f t="shared" ca="1" si="40"/>
        <v/>
      </c>
      <c r="D306" s="993" t="str">
        <f t="shared" ca="1" si="41"/>
        <v/>
      </c>
      <c r="E306" s="993" t="str">
        <f t="shared" ca="1" si="42"/>
        <v/>
      </c>
      <c r="F306" s="992" t="str">
        <f t="shared" ca="1" si="52"/>
        <v/>
      </c>
      <c r="G306" s="994">
        <f t="shared" ca="1" si="43"/>
        <v>0</v>
      </c>
      <c r="H306" s="913">
        <f t="shared" ca="1" si="44"/>
        <v>0</v>
      </c>
      <c r="I306" s="913">
        <f t="shared" ca="1" si="45"/>
        <v>0</v>
      </c>
      <c r="J306" s="995">
        <f t="shared" ca="1" si="53"/>
        <v>0</v>
      </c>
      <c r="K306" s="913">
        <f t="shared" ca="1" si="47"/>
        <v>0</v>
      </c>
      <c r="L306" s="995">
        <f t="shared" ca="1" si="54"/>
        <v>0</v>
      </c>
      <c r="M306" s="913">
        <f t="shared" ca="1" si="49"/>
        <v>0</v>
      </c>
      <c r="N306" s="996">
        <f t="shared" ca="1" si="50"/>
        <v>0</v>
      </c>
      <c r="O306" s="997">
        <f t="shared" ca="1" si="51"/>
        <v>0</v>
      </c>
      <c r="P306" s="1015" t="str">
        <f ca="1">IF($C306="","",INDEX(NVLSX!$N$2:$N$6941,MATCH($C306,NVLSX!$E$2:$E$6941,0)))</f>
        <v/>
      </c>
      <c r="Q306" s="1016" t="str">
        <f ca="1">IF($R306="","",IF(XKNVLSX!$X$1="",IF($P306=$V$7,$P306, IF(COUNTIFS($C$2:$C305,$C306,$E$2:$E305,$E306)&gt;=1,"",$P306)),     IF(AND(IFERROR(SEARCH($R306,XKNVLSX!$X$1,1),0)&gt;=1,$P306=$V$7),$P306, IF(OR($R306&lt;&gt;IF(IFERROR(SEARCH($R306,XKNVLSX!$X$1,1),0)&gt;=1,$R306,XKNVLSX!$X$1),COUNTIFS($C$2:$C305,$C306,$E$2:$E305,$E306,$Q$2:$Q305,$P306)&gt;=1),"",$P306))))</f>
        <v/>
      </c>
      <c r="R306" s="1017" t="str">
        <f ca="1">IF($A306="","",IFERROR(INDEX(TinhGia!$BF$10:$BF$81,MATCH($A306,TinhGia!$B$10:$B$81,0)),""))</f>
        <v/>
      </c>
      <c r="S306" s="1012" t="str">
        <f ca="1">IF($A306="","",IF(OR(IFERROR(SEARCH($R306,XKNVLSX!$X$1,1),0)&gt;=1,XKNVLSX!$X$1=""),$S$2,""))</f>
        <v/>
      </c>
      <c r="T306" s="1018" t="str">
        <f ca="1">IF($C306="","", IF(OR($P306=$V$1,$P306=$V$7,COUNTIFS($C$3:$C306,$C306,$E$3:$E306,$E306)&lt;=1),$P306,""    ))</f>
        <v/>
      </c>
      <c r="U306" s="1019" t="str">
        <f ca="1">IF(AND($P306=$V$2,COUNTIFS($C$3:$C306,$C306,$E$3:$E306,$E306,$G$3:$G306,$G306)&lt;=1),$P306,"")</f>
        <v/>
      </c>
    </row>
    <row r="307" spans="1:21">
      <c r="A307" s="991" t="str">
        <f ca="1">IFERROR(IF(COUNTIF($A$3:A306,A306)&lt; INDEX(TinhGia!$BH$10:$BH$81,MATCH($A306,TinhGia!$B$10:$B$81,0)),$A306,INDEX(TinhGia!$B$10:$B$81,MATCH($A306,TinhGia!$B$10:$B$81,0)+1)),"")</f>
        <v/>
      </c>
      <c r="B307" s="525" t="str">
        <f ca="1">IF(OR(A307="",A307=0),"",IF(COUNTIF($A$2:A307,$A307)=1,ROW(MauKoXoa!$C$108),$B306+1))</f>
        <v/>
      </c>
      <c r="C307" s="992" t="str">
        <f t="shared" ca="1" si="40"/>
        <v/>
      </c>
      <c r="D307" s="993" t="str">
        <f t="shared" ca="1" si="41"/>
        <v/>
      </c>
      <c r="E307" s="993" t="str">
        <f t="shared" ca="1" si="42"/>
        <v/>
      </c>
      <c r="F307" s="992" t="str">
        <f t="shared" ca="1" si="52"/>
        <v/>
      </c>
      <c r="G307" s="994">
        <f t="shared" ca="1" si="43"/>
        <v>0</v>
      </c>
      <c r="H307" s="913">
        <f t="shared" ca="1" si="44"/>
        <v>0</v>
      </c>
      <c r="I307" s="913">
        <f t="shared" ca="1" si="45"/>
        <v>0</v>
      </c>
      <c r="J307" s="995">
        <f t="shared" ca="1" si="53"/>
        <v>0</v>
      </c>
      <c r="K307" s="913">
        <f t="shared" ca="1" si="47"/>
        <v>0</v>
      </c>
      <c r="L307" s="995">
        <f t="shared" ca="1" si="54"/>
        <v>0</v>
      </c>
      <c r="M307" s="913">
        <f t="shared" ca="1" si="49"/>
        <v>0</v>
      </c>
      <c r="N307" s="996">
        <f t="shared" ca="1" si="50"/>
        <v>0</v>
      </c>
      <c r="O307" s="997">
        <f t="shared" ca="1" si="51"/>
        <v>0</v>
      </c>
      <c r="P307" s="1015" t="str">
        <f ca="1">IF($C307="","",INDEX(NVLSX!$N$2:$N$6941,MATCH($C307,NVLSX!$E$2:$E$6941,0)))</f>
        <v/>
      </c>
      <c r="Q307" s="1016" t="str">
        <f ca="1">IF($R307="","",IF(XKNVLSX!$X$1="",IF($P307=$V$7,$P307, IF(COUNTIFS($C$2:$C306,$C307,$E$2:$E306,$E307)&gt;=1,"",$P307)),     IF(AND(IFERROR(SEARCH($R307,XKNVLSX!$X$1,1),0)&gt;=1,$P307=$V$7),$P307, IF(OR($R307&lt;&gt;IF(IFERROR(SEARCH($R307,XKNVLSX!$X$1,1),0)&gt;=1,$R307,XKNVLSX!$X$1),COUNTIFS($C$2:$C306,$C307,$E$2:$E306,$E307,$Q$2:$Q306,$P307)&gt;=1),"",$P307))))</f>
        <v/>
      </c>
      <c r="R307" s="1017" t="str">
        <f ca="1">IF($A307="","",IFERROR(INDEX(TinhGia!$BF$10:$BF$81,MATCH($A307,TinhGia!$B$10:$B$81,0)),""))</f>
        <v/>
      </c>
      <c r="S307" s="1012" t="str">
        <f ca="1">IF($A307="","",IF(OR(IFERROR(SEARCH($R307,XKNVLSX!$X$1,1),0)&gt;=1,XKNVLSX!$X$1=""),$S$2,""))</f>
        <v/>
      </c>
      <c r="T307" s="1018" t="str">
        <f ca="1">IF($C307="","", IF(OR($P307=$V$1,$P307=$V$7,COUNTIFS($C$3:$C307,$C307,$E$3:$E307,$E307)&lt;=1),$P307,""    ))</f>
        <v/>
      </c>
      <c r="U307" s="1019" t="str">
        <f ca="1">IF(AND($P307=$V$2,COUNTIFS($C$3:$C307,$C307,$E$3:$E307,$E307,$G$3:$G307,$G307)&lt;=1),$P307,"")</f>
        <v/>
      </c>
    </row>
    <row r="308" spans="1:21">
      <c r="A308" s="991" t="str">
        <f ca="1">IFERROR(IF(COUNTIF($A$3:A307,A307)&lt; INDEX(TinhGia!$BH$10:$BH$81,MATCH($A307,TinhGia!$B$10:$B$81,0)),$A307,INDEX(TinhGia!$B$10:$B$81,MATCH($A307,TinhGia!$B$10:$B$81,0)+1)),"")</f>
        <v/>
      </c>
      <c r="B308" s="525" t="str">
        <f ca="1">IF(OR(A308="",A308=0),"",IF(COUNTIF($A$2:A308,$A308)=1,ROW(MauKoXoa!$C$108),$B307+1))</f>
        <v/>
      </c>
      <c r="C308" s="992" t="str">
        <f t="shared" ca="1" si="40"/>
        <v/>
      </c>
      <c r="D308" s="993" t="str">
        <f t="shared" ca="1" si="41"/>
        <v/>
      </c>
      <c r="E308" s="993" t="str">
        <f t="shared" ca="1" si="42"/>
        <v/>
      </c>
      <c r="F308" s="992" t="str">
        <f t="shared" ca="1" si="52"/>
        <v/>
      </c>
      <c r="G308" s="994">
        <f t="shared" ca="1" si="43"/>
        <v>0</v>
      </c>
      <c r="H308" s="913">
        <f t="shared" ca="1" si="44"/>
        <v>0</v>
      </c>
      <c r="I308" s="913">
        <f t="shared" ca="1" si="45"/>
        <v>0</v>
      </c>
      <c r="J308" s="995">
        <f t="shared" ca="1" si="53"/>
        <v>0</v>
      </c>
      <c r="K308" s="913">
        <f t="shared" ca="1" si="47"/>
        <v>0</v>
      </c>
      <c r="L308" s="995">
        <f t="shared" ca="1" si="54"/>
        <v>0</v>
      </c>
      <c r="M308" s="913">
        <f t="shared" ca="1" si="49"/>
        <v>0</v>
      </c>
      <c r="N308" s="996">
        <f t="shared" ca="1" si="50"/>
        <v>0</v>
      </c>
      <c r="O308" s="997">
        <f t="shared" ca="1" si="51"/>
        <v>0</v>
      </c>
      <c r="P308" s="1015" t="str">
        <f ca="1">IF($C308="","",INDEX(NVLSX!$N$2:$N$6941,MATCH($C308,NVLSX!$E$2:$E$6941,0)))</f>
        <v/>
      </c>
      <c r="Q308" s="1016" t="str">
        <f ca="1">IF($R308="","",IF(XKNVLSX!$X$1="",IF($P308=$V$7,$P308, IF(COUNTIFS($C$2:$C307,$C308,$E$2:$E307,$E308)&gt;=1,"",$P308)),     IF(AND(IFERROR(SEARCH($R308,XKNVLSX!$X$1,1),0)&gt;=1,$P308=$V$7),$P308, IF(OR($R308&lt;&gt;IF(IFERROR(SEARCH($R308,XKNVLSX!$X$1,1),0)&gt;=1,$R308,XKNVLSX!$X$1),COUNTIFS($C$2:$C307,$C308,$E$2:$E307,$E308,$Q$2:$Q307,$P308)&gt;=1),"",$P308))))</f>
        <v/>
      </c>
      <c r="R308" s="1017" t="str">
        <f ca="1">IF($A308="","",IFERROR(INDEX(TinhGia!$BF$10:$BF$81,MATCH($A308,TinhGia!$B$10:$B$81,0)),""))</f>
        <v/>
      </c>
      <c r="S308" s="1012" t="str">
        <f ca="1">IF($A308="","",IF(OR(IFERROR(SEARCH($R308,XKNVLSX!$X$1,1),0)&gt;=1,XKNVLSX!$X$1=""),$S$2,""))</f>
        <v/>
      </c>
      <c r="T308" s="1018" t="str">
        <f ca="1">IF($C308="","", IF(OR($P308=$V$1,$P308=$V$7,COUNTIFS($C$3:$C308,$C308,$E$3:$E308,$E308)&lt;=1),$P308,""    ))</f>
        <v/>
      </c>
      <c r="U308" s="1019" t="str">
        <f ca="1">IF(AND($P308=$V$2,COUNTIFS($C$3:$C308,$C308,$E$3:$E308,$E308,$G$3:$G308,$G308)&lt;=1),$P308,"")</f>
        <v/>
      </c>
    </row>
    <row r="309" spans="1:21">
      <c r="A309" s="991" t="str">
        <f ca="1">IFERROR(IF(COUNTIF($A$3:A308,A308)&lt; INDEX(TinhGia!$BH$10:$BH$81,MATCH($A308,TinhGia!$B$10:$B$81,0)),$A308,INDEX(TinhGia!$B$10:$B$81,MATCH($A308,TinhGia!$B$10:$B$81,0)+1)),"")</f>
        <v/>
      </c>
      <c r="B309" s="525" t="str">
        <f ca="1">IF(OR(A309="",A309=0),"",IF(COUNTIF($A$2:A309,$A309)=1,ROW(MauKoXoa!$C$108),$B308+1))</f>
        <v/>
      </c>
      <c r="C309" s="992" t="str">
        <f t="shared" ca="1" si="40"/>
        <v/>
      </c>
      <c r="D309" s="993" t="str">
        <f t="shared" ca="1" si="41"/>
        <v/>
      </c>
      <c r="E309" s="993" t="str">
        <f t="shared" ca="1" si="42"/>
        <v/>
      </c>
      <c r="F309" s="992" t="str">
        <f t="shared" ca="1" si="52"/>
        <v/>
      </c>
      <c r="G309" s="994">
        <f t="shared" ca="1" si="43"/>
        <v>0</v>
      </c>
      <c r="H309" s="913">
        <f t="shared" ca="1" si="44"/>
        <v>0</v>
      </c>
      <c r="I309" s="913">
        <f t="shared" ca="1" si="45"/>
        <v>0</v>
      </c>
      <c r="J309" s="995">
        <f t="shared" ca="1" si="53"/>
        <v>0</v>
      </c>
      <c r="K309" s="913">
        <f t="shared" ca="1" si="47"/>
        <v>0</v>
      </c>
      <c r="L309" s="995">
        <f t="shared" ca="1" si="54"/>
        <v>0</v>
      </c>
      <c r="M309" s="913">
        <f t="shared" ca="1" si="49"/>
        <v>0</v>
      </c>
      <c r="N309" s="996">
        <f t="shared" ca="1" si="50"/>
        <v>0</v>
      </c>
      <c r="O309" s="997">
        <f t="shared" ca="1" si="51"/>
        <v>0</v>
      </c>
      <c r="P309" s="1015" t="str">
        <f ca="1">IF($C309="","",INDEX(NVLSX!$N$2:$N$6941,MATCH($C309,NVLSX!$E$2:$E$6941,0)))</f>
        <v/>
      </c>
      <c r="Q309" s="1016" t="str">
        <f ca="1">IF($R309="","",IF(XKNVLSX!$X$1="",IF($P309=$V$7,$P309, IF(COUNTIFS($C$2:$C308,$C309,$E$2:$E308,$E309)&gt;=1,"",$P309)),     IF(AND(IFERROR(SEARCH($R309,XKNVLSX!$X$1,1),0)&gt;=1,$P309=$V$7),$P309, IF(OR($R309&lt;&gt;IF(IFERROR(SEARCH($R309,XKNVLSX!$X$1,1),0)&gt;=1,$R309,XKNVLSX!$X$1),COUNTIFS($C$2:$C308,$C309,$E$2:$E308,$E309,$Q$2:$Q308,$P309)&gt;=1),"",$P309))))</f>
        <v/>
      </c>
      <c r="R309" s="1017" t="str">
        <f ca="1">IF($A309="","",IFERROR(INDEX(TinhGia!$BF$10:$BF$81,MATCH($A309,TinhGia!$B$10:$B$81,0)),""))</f>
        <v/>
      </c>
      <c r="S309" s="1012" t="str">
        <f ca="1">IF($A309="","",IF(OR(IFERROR(SEARCH($R309,XKNVLSX!$X$1,1),0)&gt;=1,XKNVLSX!$X$1=""),$S$2,""))</f>
        <v/>
      </c>
      <c r="T309" s="1018" t="str">
        <f ca="1">IF($C309="","", IF(OR($P309=$V$1,$P309=$V$7,COUNTIFS($C$3:$C309,$C309,$E$3:$E309,$E309)&lt;=1),$P309,""    ))</f>
        <v/>
      </c>
      <c r="U309" s="1019" t="str">
        <f ca="1">IF(AND($P309=$V$2,COUNTIFS($C$3:$C309,$C309,$E$3:$E309,$E309,$G$3:$G309,$G309)&lt;=1),$P309,"")</f>
        <v/>
      </c>
    </row>
    <row r="310" spans="1:21">
      <c r="A310" s="991" t="str">
        <f ca="1">IFERROR(IF(COUNTIF($A$3:A309,A309)&lt; INDEX(TinhGia!$BH$10:$BH$81,MATCH($A309,TinhGia!$B$10:$B$81,0)),$A309,INDEX(TinhGia!$B$10:$B$81,MATCH($A309,TinhGia!$B$10:$B$81,0)+1)),"")</f>
        <v/>
      </c>
      <c r="B310" s="525" t="str">
        <f ca="1">IF(OR(A310="",A310=0),"",IF(COUNTIF($A$2:A310,$A310)=1,ROW(MauKoXoa!$C$108),$B309+1))</f>
        <v/>
      </c>
      <c r="C310" s="992" t="str">
        <f t="shared" ca="1" si="40"/>
        <v/>
      </c>
      <c r="D310" s="993" t="str">
        <f t="shared" ca="1" si="41"/>
        <v/>
      </c>
      <c r="E310" s="993" t="str">
        <f t="shared" ca="1" si="42"/>
        <v/>
      </c>
      <c r="F310" s="992" t="str">
        <f t="shared" ca="1" si="52"/>
        <v/>
      </c>
      <c r="G310" s="994">
        <f t="shared" ca="1" si="43"/>
        <v>0</v>
      </c>
      <c r="H310" s="913">
        <f t="shared" ca="1" si="44"/>
        <v>0</v>
      </c>
      <c r="I310" s="913">
        <f t="shared" ca="1" si="45"/>
        <v>0</v>
      </c>
      <c r="J310" s="995">
        <f t="shared" ca="1" si="53"/>
        <v>0</v>
      </c>
      <c r="K310" s="913">
        <f t="shared" ca="1" si="47"/>
        <v>0</v>
      </c>
      <c r="L310" s="995">
        <f t="shared" ca="1" si="54"/>
        <v>0</v>
      </c>
      <c r="M310" s="913">
        <f t="shared" ca="1" si="49"/>
        <v>0</v>
      </c>
      <c r="N310" s="996">
        <f t="shared" ca="1" si="50"/>
        <v>0</v>
      </c>
      <c r="O310" s="997">
        <f t="shared" ca="1" si="51"/>
        <v>0</v>
      </c>
      <c r="P310" s="1015" t="str">
        <f ca="1">IF($C310="","",INDEX(NVLSX!$N$2:$N$6941,MATCH($C310,NVLSX!$E$2:$E$6941,0)))</f>
        <v/>
      </c>
      <c r="Q310" s="1016" t="str">
        <f ca="1">IF($R310="","",IF(XKNVLSX!$X$1="",IF($P310=$V$7,$P310, IF(COUNTIFS($C$2:$C309,$C310,$E$2:$E309,$E310)&gt;=1,"",$P310)),     IF(AND(IFERROR(SEARCH($R310,XKNVLSX!$X$1,1),0)&gt;=1,$P310=$V$7),$P310, IF(OR($R310&lt;&gt;IF(IFERROR(SEARCH($R310,XKNVLSX!$X$1,1),0)&gt;=1,$R310,XKNVLSX!$X$1),COUNTIFS($C$2:$C309,$C310,$E$2:$E309,$E310,$Q$2:$Q309,$P310)&gt;=1),"",$P310))))</f>
        <v/>
      </c>
      <c r="R310" s="1017" t="str">
        <f ca="1">IF($A310="","",IFERROR(INDEX(TinhGia!$BF$10:$BF$81,MATCH($A310,TinhGia!$B$10:$B$81,0)),""))</f>
        <v/>
      </c>
      <c r="S310" s="1012" t="str">
        <f ca="1">IF($A310="","",IF(OR(IFERROR(SEARCH($R310,XKNVLSX!$X$1,1),0)&gt;=1,XKNVLSX!$X$1=""),$S$2,""))</f>
        <v/>
      </c>
      <c r="T310" s="1018" t="str">
        <f ca="1">IF($C310="","", IF(OR($P310=$V$1,$P310=$V$7,COUNTIFS($C$3:$C310,$C310,$E$3:$E310,$E310)&lt;=1),$P310,""    ))</f>
        <v/>
      </c>
      <c r="U310" s="1019" t="str">
        <f ca="1">IF(AND($P310=$V$2,COUNTIFS($C$3:$C310,$C310,$E$3:$E310,$E310,$G$3:$G310,$G310)&lt;=1),$P310,"")</f>
        <v/>
      </c>
    </row>
    <row r="311" spans="1:21">
      <c r="A311" s="991" t="str">
        <f ca="1">IFERROR(IF(COUNTIF($A$3:A310,A310)&lt; INDEX(TinhGia!$BH$10:$BH$81,MATCH($A310,TinhGia!$B$10:$B$81,0)),$A310,INDEX(TinhGia!$B$10:$B$81,MATCH($A310,TinhGia!$B$10:$B$81,0)+1)),"")</f>
        <v/>
      </c>
      <c r="B311" s="525" t="str">
        <f ca="1">IF(OR(A311="",A311=0),"",IF(COUNTIF($A$2:A311,$A311)=1,ROW(MauKoXoa!$C$108),$B310+1))</f>
        <v/>
      </c>
      <c r="C311" s="992" t="str">
        <f t="shared" ca="1" si="40"/>
        <v/>
      </c>
      <c r="D311" s="993" t="str">
        <f t="shared" ca="1" si="41"/>
        <v/>
      </c>
      <c r="E311" s="993" t="str">
        <f t="shared" ca="1" si="42"/>
        <v/>
      </c>
      <c r="F311" s="992" t="str">
        <f t="shared" ca="1" si="52"/>
        <v/>
      </c>
      <c r="G311" s="994">
        <f t="shared" ca="1" si="43"/>
        <v>0</v>
      </c>
      <c r="H311" s="913">
        <f t="shared" ca="1" si="44"/>
        <v>0</v>
      </c>
      <c r="I311" s="913">
        <f t="shared" ca="1" si="45"/>
        <v>0</v>
      </c>
      <c r="J311" s="995">
        <f t="shared" ca="1" si="53"/>
        <v>0</v>
      </c>
      <c r="K311" s="913">
        <f t="shared" ca="1" si="47"/>
        <v>0</v>
      </c>
      <c r="L311" s="995">
        <f t="shared" ca="1" si="54"/>
        <v>0</v>
      </c>
      <c r="M311" s="913">
        <f t="shared" ca="1" si="49"/>
        <v>0</v>
      </c>
      <c r="N311" s="996">
        <f t="shared" ca="1" si="50"/>
        <v>0</v>
      </c>
      <c r="O311" s="997">
        <f t="shared" ca="1" si="51"/>
        <v>0</v>
      </c>
      <c r="P311" s="1015" t="str">
        <f ca="1">IF($C311="","",INDEX(NVLSX!$N$2:$N$6941,MATCH($C311,NVLSX!$E$2:$E$6941,0)))</f>
        <v/>
      </c>
      <c r="Q311" s="1016" t="str">
        <f ca="1">IF($R311="","",IF(XKNVLSX!$X$1="",IF($P311=$V$7,$P311, IF(COUNTIFS($C$2:$C310,$C311,$E$2:$E310,$E311)&gt;=1,"",$P311)),     IF(AND(IFERROR(SEARCH($R311,XKNVLSX!$X$1,1),0)&gt;=1,$P311=$V$7),$P311, IF(OR($R311&lt;&gt;IF(IFERROR(SEARCH($R311,XKNVLSX!$X$1,1),0)&gt;=1,$R311,XKNVLSX!$X$1),COUNTIFS($C$2:$C310,$C311,$E$2:$E310,$E311,$Q$2:$Q310,$P311)&gt;=1),"",$P311))))</f>
        <v/>
      </c>
      <c r="R311" s="1017" t="str">
        <f ca="1">IF($A311="","",IFERROR(INDEX(TinhGia!$BF$10:$BF$81,MATCH($A311,TinhGia!$B$10:$B$81,0)),""))</f>
        <v/>
      </c>
      <c r="S311" s="1012" t="str">
        <f ca="1">IF($A311="","",IF(OR(IFERROR(SEARCH($R311,XKNVLSX!$X$1,1),0)&gt;=1,XKNVLSX!$X$1=""),$S$2,""))</f>
        <v/>
      </c>
      <c r="T311" s="1018" t="str">
        <f ca="1">IF($C311="","", IF(OR($P311=$V$1,$P311=$V$7,COUNTIFS($C$3:$C311,$C311,$E$3:$E311,$E311)&lt;=1),$P311,""    ))</f>
        <v/>
      </c>
      <c r="U311" s="1019" t="str">
        <f ca="1">IF(AND($P311=$V$2,COUNTIFS($C$3:$C311,$C311,$E$3:$E311,$E311,$G$3:$G311,$G311)&lt;=1),$P311,"")</f>
        <v/>
      </c>
    </row>
    <row r="312" spans="1:21">
      <c r="A312" s="991" t="str">
        <f ca="1">IFERROR(IF(COUNTIF($A$3:A311,A311)&lt; INDEX(TinhGia!$BH$10:$BH$81,MATCH($A311,TinhGia!$B$10:$B$81,0)),$A311,INDEX(TinhGia!$B$10:$B$81,MATCH($A311,TinhGia!$B$10:$B$81,0)+1)),"")</f>
        <v/>
      </c>
      <c r="B312" s="525" t="str">
        <f ca="1">IF(OR(A312="",A312=0),"",IF(COUNTIF($A$2:A312,$A312)=1,ROW(MauKoXoa!$C$108),$B311+1))</f>
        <v/>
      </c>
      <c r="C312" s="992" t="str">
        <f t="shared" ca="1" si="40"/>
        <v/>
      </c>
      <c r="D312" s="993" t="str">
        <f t="shared" ca="1" si="41"/>
        <v/>
      </c>
      <c r="E312" s="993" t="str">
        <f t="shared" ca="1" si="42"/>
        <v/>
      </c>
      <c r="F312" s="992" t="str">
        <f t="shared" ca="1" si="52"/>
        <v/>
      </c>
      <c r="G312" s="994">
        <f t="shared" ca="1" si="43"/>
        <v>0</v>
      </c>
      <c r="H312" s="913">
        <f t="shared" ca="1" si="44"/>
        <v>0</v>
      </c>
      <c r="I312" s="913">
        <f t="shared" ca="1" si="45"/>
        <v>0</v>
      </c>
      <c r="J312" s="995">
        <f t="shared" ca="1" si="53"/>
        <v>0</v>
      </c>
      <c r="K312" s="913">
        <f t="shared" ca="1" si="47"/>
        <v>0</v>
      </c>
      <c r="L312" s="995">
        <f t="shared" ca="1" si="54"/>
        <v>0</v>
      </c>
      <c r="M312" s="913">
        <f t="shared" ca="1" si="49"/>
        <v>0</v>
      </c>
      <c r="N312" s="996">
        <f t="shared" ca="1" si="50"/>
        <v>0</v>
      </c>
      <c r="O312" s="997">
        <f t="shared" ca="1" si="51"/>
        <v>0</v>
      </c>
      <c r="P312" s="1015" t="str">
        <f ca="1">IF($C312="","",INDEX(NVLSX!$N$2:$N$6941,MATCH($C312,NVLSX!$E$2:$E$6941,0)))</f>
        <v/>
      </c>
      <c r="Q312" s="1016" t="str">
        <f ca="1">IF($R312="","",IF(XKNVLSX!$X$1="",IF($P312=$V$7,$P312, IF(COUNTIFS($C$2:$C311,$C312,$E$2:$E311,$E312)&gt;=1,"",$P312)),     IF(AND(IFERROR(SEARCH($R312,XKNVLSX!$X$1,1),0)&gt;=1,$P312=$V$7),$P312, IF(OR($R312&lt;&gt;IF(IFERROR(SEARCH($R312,XKNVLSX!$X$1,1),0)&gt;=1,$R312,XKNVLSX!$X$1),COUNTIFS($C$2:$C311,$C312,$E$2:$E311,$E312,$Q$2:$Q311,$P312)&gt;=1),"",$P312))))</f>
        <v/>
      </c>
      <c r="R312" s="1017" t="str">
        <f ca="1">IF($A312="","",IFERROR(INDEX(TinhGia!$BF$10:$BF$81,MATCH($A312,TinhGia!$B$10:$B$81,0)),""))</f>
        <v/>
      </c>
      <c r="S312" s="1012" t="str">
        <f ca="1">IF($A312="","",IF(OR(IFERROR(SEARCH($R312,XKNVLSX!$X$1,1),0)&gt;=1,XKNVLSX!$X$1=""),$S$2,""))</f>
        <v/>
      </c>
      <c r="T312" s="1018" t="str">
        <f ca="1">IF($C312="","", IF(OR($P312=$V$1,$P312=$V$7,COUNTIFS($C$3:$C312,$C312,$E$3:$E312,$E312)&lt;=1),$P312,""    ))</f>
        <v/>
      </c>
      <c r="U312" s="1019" t="str">
        <f ca="1">IF(AND($P312=$V$2,COUNTIFS($C$3:$C312,$C312,$E$3:$E312,$E312,$G$3:$G312,$G312)&lt;=1),$P312,"")</f>
        <v/>
      </c>
    </row>
    <row r="313" spans="1:21">
      <c r="A313" s="991" t="str">
        <f ca="1">IFERROR(IF(COUNTIF($A$3:A312,A312)&lt; INDEX(TinhGia!$BH$10:$BH$81,MATCH($A312,TinhGia!$B$10:$B$81,0)),$A312,INDEX(TinhGia!$B$10:$B$81,MATCH($A312,TinhGia!$B$10:$B$81,0)+1)),"")</f>
        <v/>
      </c>
      <c r="B313" s="525" t="str">
        <f ca="1">IF(OR(A313="",A313=0),"",IF(COUNTIF($A$2:A313,$A313)=1,ROW(MauKoXoa!$C$108),$B312+1))</f>
        <v/>
      </c>
      <c r="C313" s="992" t="str">
        <f t="shared" ca="1" si="40"/>
        <v/>
      </c>
      <c r="D313" s="993" t="str">
        <f t="shared" ca="1" si="41"/>
        <v/>
      </c>
      <c r="E313" s="993" t="str">
        <f t="shared" ca="1" si="42"/>
        <v/>
      </c>
      <c r="F313" s="992" t="str">
        <f t="shared" ca="1" si="52"/>
        <v/>
      </c>
      <c r="G313" s="994">
        <f t="shared" ca="1" si="43"/>
        <v>0</v>
      </c>
      <c r="H313" s="913">
        <f t="shared" ca="1" si="44"/>
        <v>0</v>
      </c>
      <c r="I313" s="913">
        <f t="shared" ca="1" si="45"/>
        <v>0</v>
      </c>
      <c r="J313" s="995">
        <f t="shared" ca="1" si="53"/>
        <v>0</v>
      </c>
      <c r="K313" s="913">
        <f t="shared" ca="1" si="47"/>
        <v>0</v>
      </c>
      <c r="L313" s="995">
        <f t="shared" ca="1" si="54"/>
        <v>0</v>
      </c>
      <c r="M313" s="913">
        <f t="shared" ca="1" si="49"/>
        <v>0</v>
      </c>
      <c r="N313" s="996">
        <f t="shared" ca="1" si="50"/>
        <v>0</v>
      </c>
      <c r="O313" s="997">
        <f t="shared" ca="1" si="51"/>
        <v>0</v>
      </c>
      <c r="P313" s="1015" t="str">
        <f ca="1">IF($C313="","",INDEX(NVLSX!$N$2:$N$6941,MATCH($C313,NVLSX!$E$2:$E$6941,0)))</f>
        <v/>
      </c>
      <c r="Q313" s="1016" t="str">
        <f ca="1">IF($R313="","",IF(XKNVLSX!$X$1="",IF($P313=$V$7,$P313, IF(COUNTIFS($C$2:$C312,$C313,$E$2:$E312,$E313)&gt;=1,"",$P313)),     IF(AND(IFERROR(SEARCH($R313,XKNVLSX!$X$1,1),0)&gt;=1,$P313=$V$7),$P313, IF(OR($R313&lt;&gt;IF(IFERROR(SEARCH($R313,XKNVLSX!$X$1,1),0)&gt;=1,$R313,XKNVLSX!$X$1),COUNTIFS($C$2:$C312,$C313,$E$2:$E312,$E313,$Q$2:$Q312,$P313)&gt;=1),"",$P313))))</f>
        <v/>
      </c>
      <c r="R313" s="1017" t="str">
        <f ca="1">IF($A313="","",IFERROR(INDEX(TinhGia!$BF$10:$BF$81,MATCH($A313,TinhGia!$B$10:$B$81,0)),""))</f>
        <v/>
      </c>
      <c r="S313" s="1012" t="str">
        <f ca="1">IF($A313="","",IF(OR(IFERROR(SEARCH($R313,XKNVLSX!$X$1,1),0)&gt;=1,XKNVLSX!$X$1=""),$S$2,""))</f>
        <v/>
      </c>
      <c r="T313" s="1018" t="str">
        <f ca="1">IF($C313="","", IF(OR($P313=$V$1,$P313=$V$7,COUNTIFS($C$3:$C313,$C313,$E$3:$E313,$E313)&lt;=1),$P313,""    ))</f>
        <v/>
      </c>
      <c r="U313" s="1019" t="str">
        <f ca="1">IF(AND($P313=$V$2,COUNTIFS($C$3:$C313,$C313,$E$3:$E313,$E313,$G$3:$G313,$G313)&lt;=1),$P313,"")</f>
        <v/>
      </c>
    </row>
    <row r="314" spans="1:21">
      <c r="A314" s="991" t="str">
        <f ca="1">IFERROR(IF(COUNTIF($A$3:A313,A313)&lt; INDEX(TinhGia!$BH$10:$BH$81,MATCH($A313,TinhGia!$B$10:$B$81,0)),$A313,INDEX(TinhGia!$B$10:$B$81,MATCH($A313,TinhGia!$B$10:$B$81,0)+1)),"")</f>
        <v/>
      </c>
      <c r="B314" s="525" t="str">
        <f ca="1">IF(OR(A314="",A314=0),"",IF(COUNTIF($A$2:A314,$A314)=1,ROW(MauKoXoa!$C$108),$B313+1))</f>
        <v/>
      </c>
      <c r="C314" s="992" t="str">
        <f t="shared" ca="1" si="40"/>
        <v/>
      </c>
      <c r="D314" s="993" t="str">
        <f t="shared" ca="1" si="41"/>
        <v/>
      </c>
      <c r="E314" s="993" t="str">
        <f t="shared" ca="1" si="42"/>
        <v/>
      </c>
      <c r="F314" s="992" t="str">
        <f t="shared" ca="1" si="52"/>
        <v/>
      </c>
      <c r="G314" s="994">
        <f t="shared" ca="1" si="43"/>
        <v>0</v>
      </c>
      <c r="H314" s="913">
        <f t="shared" ca="1" si="44"/>
        <v>0</v>
      </c>
      <c r="I314" s="913">
        <f t="shared" ca="1" si="45"/>
        <v>0</v>
      </c>
      <c r="J314" s="995">
        <f t="shared" ca="1" si="53"/>
        <v>0</v>
      </c>
      <c r="K314" s="913">
        <f t="shared" ca="1" si="47"/>
        <v>0</v>
      </c>
      <c r="L314" s="995">
        <f t="shared" ca="1" si="54"/>
        <v>0</v>
      </c>
      <c r="M314" s="913">
        <f t="shared" ca="1" si="49"/>
        <v>0</v>
      </c>
      <c r="N314" s="996">
        <f t="shared" ca="1" si="50"/>
        <v>0</v>
      </c>
      <c r="O314" s="997">
        <f t="shared" ca="1" si="51"/>
        <v>0</v>
      </c>
      <c r="P314" s="1015" t="str">
        <f ca="1">IF($C314="","",INDEX(NVLSX!$N$2:$N$6941,MATCH($C314,NVLSX!$E$2:$E$6941,0)))</f>
        <v/>
      </c>
      <c r="Q314" s="1016" t="str">
        <f ca="1">IF($R314="","",IF(XKNVLSX!$X$1="",IF($P314=$V$7,$P314, IF(COUNTIFS($C$2:$C313,$C314,$E$2:$E313,$E314)&gt;=1,"",$P314)),     IF(AND(IFERROR(SEARCH($R314,XKNVLSX!$X$1,1),0)&gt;=1,$P314=$V$7),$P314, IF(OR($R314&lt;&gt;IF(IFERROR(SEARCH($R314,XKNVLSX!$X$1,1),0)&gt;=1,$R314,XKNVLSX!$X$1),COUNTIFS($C$2:$C313,$C314,$E$2:$E313,$E314,$Q$2:$Q313,$P314)&gt;=1),"",$P314))))</f>
        <v/>
      </c>
      <c r="R314" s="1017" t="str">
        <f ca="1">IF($A314="","",IFERROR(INDEX(TinhGia!$BF$10:$BF$81,MATCH($A314,TinhGia!$B$10:$B$81,0)),""))</f>
        <v/>
      </c>
      <c r="S314" s="1012" t="str">
        <f ca="1">IF($A314="","",IF(OR(IFERROR(SEARCH($R314,XKNVLSX!$X$1,1),0)&gt;=1,XKNVLSX!$X$1=""),$S$2,""))</f>
        <v/>
      </c>
      <c r="T314" s="1018" t="str">
        <f ca="1">IF($C314="","", IF(OR($P314=$V$1,$P314=$V$7,COUNTIFS($C$3:$C314,$C314,$E$3:$E314,$E314)&lt;=1),$P314,""    ))</f>
        <v/>
      </c>
      <c r="U314" s="1019" t="str">
        <f ca="1">IF(AND($P314=$V$2,COUNTIFS($C$3:$C314,$C314,$E$3:$E314,$E314,$G$3:$G314,$G314)&lt;=1),$P314,"")</f>
        <v/>
      </c>
    </row>
    <row r="315" spans="1:21">
      <c r="A315" s="991" t="str">
        <f ca="1">IFERROR(IF(COUNTIF($A$3:A314,A314)&lt; INDEX(TinhGia!$BH$10:$BH$81,MATCH($A314,TinhGia!$B$10:$B$81,0)),$A314,INDEX(TinhGia!$B$10:$B$81,MATCH($A314,TinhGia!$B$10:$B$81,0)+1)),"")</f>
        <v/>
      </c>
      <c r="B315" s="525" t="str">
        <f ca="1">IF(OR(A315="",A315=0),"",IF(COUNTIF($A$2:A315,$A315)=1,ROW(MauKoXoa!$C$108),$B314+1))</f>
        <v/>
      </c>
      <c r="C315" s="992" t="str">
        <f t="shared" ca="1" si="40"/>
        <v/>
      </c>
      <c r="D315" s="993" t="str">
        <f t="shared" ca="1" si="41"/>
        <v/>
      </c>
      <c r="E315" s="993" t="str">
        <f t="shared" ca="1" si="42"/>
        <v/>
      </c>
      <c r="F315" s="992" t="str">
        <f t="shared" ca="1" si="52"/>
        <v/>
      </c>
      <c r="G315" s="994">
        <f t="shared" ca="1" si="43"/>
        <v>0</v>
      </c>
      <c r="H315" s="913">
        <f t="shared" ca="1" si="44"/>
        <v>0</v>
      </c>
      <c r="I315" s="913">
        <f t="shared" ca="1" si="45"/>
        <v>0</v>
      </c>
      <c r="J315" s="995">
        <f t="shared" ca="1" si="53"/>
        <v>0</v>
      </c>
      <c r="K315" s="913">
        <f t="shared" ca="1" si="47"/>
        <v>0</v>
      </c>
      <c r="L315" s="995">
        <f t="shared" ca="1" si="54"/>
        <v>0</v>
      </c>
      <c r="M315" s="913">
        <f t="shared" ca="1" si="49"/>
        <v>0</v>
      </c>
      <c r="N315" s="996">
        <f t="shared" ca="1" si="50"/>
        <v>0</v>
      </c>
      <c r="O315" s="997">
        <f t="shared" ca="1" si="51"/>
        <v>0</v>
      </c>
      <c r="P315" s="1015" t="str">
        <f ca="1">IF($C315="","",INDEX(NVLSX!$N$2:$N$6941,MATCH($C315,NVLSX!$E$2:$E$6941,0)))</f>
        <v/>
      </c>
      <c r="Q315" s="1016" t="str">
        <f ca="1">IF($R315="","",IF(XKNVLSX!$X$1="",IF($P315=$V$7,$P315, IF(COUNTIFS($C$2:$C314,$C315,$E$2:$E314,$E315)&gt;=1,"",$P315)),     IF(AND(IFERROR(SEARCH($R315,XKNVLSX!$X$1,1),0)&gt;=1,$P315=$V$7),$P315, IF(OR($R315&lt;&gt;IF(IFERROR(SEARCH($R315,XKNVLSX!$X$1,1),0)&gt;=1,$R315,XKNVLSX!$X$1),COUNTIFS($C$2:$C314,$C315,$E$2:$E314,$E315,$Q$2:$Q314,$P315)&gt;=1),"",$P315))))</f>
        <v/>
      </c>
      <c r="R315" s="1017" t="str">
        <f ca="1">IF($A315="","",IFERROR(INDEX(TinhGia!$BF$10:$BF$81,MATCH($A315,TinhGia!$B$10:$B$81,0)),""))</f>
        <v/>
      </c>
      <c r="S315" s="1012" t="str">
        <f ca="1">IF($A315="","",IF(OR(IFERROR(SEARCH($R315,XKNVLSX!$X$1,1),0)&gt;=1,XKNVLSX!$X$1=""),$S$2,""))</f>
        <v/>
      </c>
      <c r="T315" s="1018" t="str">
        <f ca="1">IF($C315="","", IF(OR($P315=$V$1,$P315=$V$7,COUNTIFS($C$3:$C315,$C315,$E$3:$E315,$E315)&lt;=1),$P315,""    ))</f>
        <v/>
      </c>
      <c r="U315" s="1019" t="str">
        <f ca="1">IF(AND($P315=$V$2,COUNTIFS($C$3:$C315,$C315,$E$3:$E315,$E315,$G$3:$G315,$G315)&lt;=1),$P315,"")</f>
        <v/>
      </c>
    </row>
    <row r="316" spans="1:21">
      <c r="A316" s="991" t="str">
        <f ca="1">IFERROR(IF(COUNTIF($A$3:A315,A315)&lt; INDEX(TinhGia!$BH$10:$BH$81,MATCH($A315,TinhGia!$B$10:$B$81,0)),$A315,INDEX(TinhGia!$B$10:$B$81,MATCH($A315,TinhGia!$B$10:$B$81,0)+1)),"")</f>
        <v/>
      </c>
      <c r="B316" s="525" t="str">
        <f ca="1">IF(OR(A316="",A316=0),"",IF(COUNTIF($A$2:A316,$A316)=1,ROW(MauKoXoa!$C$108),$B315+1))</f>
        <v/>
      </c>
      <c r="C316" s="992" t="str">
        <f t="shared" ca="1" si="40"/>
        <v/>
      </c>
      <c r="D316" s="993" t="str">
        <f t="shared" ca="1" si="41"/>
        <v/>
      </c>
      <c r="E316" s="993" t="str">
        <f t="shared" ca="1" si="42"/>
        <v/>
      </c>
      <c r="F316" s="992" t="str">
        <f t="shared" ca="1" si="52"/>
        <v/>
      </c>
      <c r="G316" s="994">
        <f t="shared" ca="1" si="43"/>
        <v>0</v>
      </c>
      <c r="H316" s="913">
        <f t="shared" ca="1" si="44"/>
        <v>0</v>
      </c>
      <c r="I316" s="913">
        <f t="shared" ca="1" si="45"/>
        <v>0</v>
      </c>
      <c r="J316" s="995">
        <f t="shared" ca="1" si="53"/>
        <v>0</v>
      </c>
      <c r="K316" s="913">
        <f t="shared" ca="1" si="47"/>
        <v>0</v>
      </c>
      <c r="L316" s="995">
        <f t="shared" ca="1" si="54"/>
        <v>0</v>
      </c>
      <c r="M316" s="913">
        <f t="shared" ca="1" si="49"/>
        <v>0</v>
      </c>
      <c r="N316" s="996">
        <f t="shared" ca="1" si="50"/>
        <v>0</v>
      </c>
      <c r="O316" s="997">
        <f t="shared" ca="1" si="51"/>
        <v>0</v>
      </c>
      <c r="P316" s="1015" t="str">
        <f ca="1">IF($C316="","",INDEX(NVLSX!$N$2:$N$6941,MATCH($C316,NVLSX!$E$2:$E$6941,0)))</f>
        <v/>
      </c>
      <c r="Q316" s="1016" t="str">
        <f ca="1">IF($R316="","",IF(XKNVLSX!$X$1="",IF($P316=$V$7,$P316, IF(COUNTIFS($C$2:$C315,$C316,$E$2:$E315,$E316)&gt;=1,"",$P316)),     IF(AND(IFERROR(SEARCH($R316,XKNVLSX!$X$1,1),0)&gt;=1,$P316=$V$7),$P316, IF(OR($R316&lt;&gt;IF(IFERROR(SEARCH($R316,XKNVLSX!$X$1,1),0)&gt;=1,$R316,XKNVLSX!$X$1),COUNTIFS($C$2:$C315,$C316,$E$2:$E315,$E316,$Q$2:$Q315,$P316)&gt;=1),"",$P316))))</f>
        <v/>
      </c>
      <c r="R316" s="1017" t="str">
        <f ca="1">IF($A316="","",IFERROR(INDEX(TinhGia!$BF$10:$BF$81,MATCH($A316,TinhGia!$B$10:$B$81,0)),""))</f>
        <v/>
      </c>
      <c r="S316" s="1012" t="str">
        <f ca="1">IF($A316="","",IF(OR(IFERROR(SEARCH($R316,XKNVLSX!$X$1,1),0)&gt;=1,XKNVLSX!$X$1=""),$S$2,""))</f>
        <v/>
      </c>
      <c r="T316" s="1018" t="str">
        <f ca="1">IF($C316="","", IF(OR($P316=$V$1,$P316=$V$7,COUNTIFS($C$3:$C316,$C316,$E$3:$E316,$E316)&lt;=1),$P316,""    ))</f>
        <v/>
      </c>
      <c r="U316" s="1019" t="str">
        <f ca="1">IF(AND($P316=$V$2,COUNTIFS($C$3:$C316,$C316,$E$3:$E316,$E316,$G$3:$G316,$G316)&lt;=1),$P316,"")</f>
        <v/>
      </c>
    </row>
    <row r="317" spans="1:21">
      <c r="A317" s="991" t="str">
        <f ca="1">IFERROR(IF(COUNTIF($A$3:A316,A316)&lt; INDEX(TinhGia!$BH$10:$BH$81,MATCH($A316,TinhGia!$B$10:$B$81,0)),$A316,INDEX(TinhGia!$B$10:$B$81,MATCH($A316,TinhGia!$B$10:$B$81,0)+1)),"")</f>
        <v/>
      </c>
      <c r="B317" s="525" t="str">
        <f ca="1">IF(OR(A317="",A317=0),"",IF(COUNTIF($A$2:A317,$A317)=1,ROW(MauKoXoa!$C$108),$B316+1))</f>
        <v/>
      </c>
      <c r="C317" s="992" t="str">
        <f t="shared" ca="1" si="40"/>
        <v/>
      </c>
      <c r="D317" s="993" t="str">
        <f t="shared" ca="1" si="41"/>
        <v/>
      </c>
      <c r="E317" s="993" t="str">
        <f t="shared" ca="1" si="42"/>
        <v/>
      </c>
      <c r="F317" s="992" t="str">
        <f t="shared" ca="1" si="52"/>
        <v/>
      </c>
      <c r="G317" s="994">
        <f t="shared" ca="1" si="43"/>
        <v>0</v>
      </c>
      <c r="H317" s="913">
        <f t="shared" ca="1" si="44"/>
        <v>0</v>
      </c>
      <c r="I317" s="913">
        <f t="shared" ca="1" si="45"/>
        <v>0</v>
      </c>
      <c r="J317" s="995">
        <f t="shared" ca="1" si="53"/>
        <v>0</v>
      </c>
      <c r="K317" s="913">
        <f t="shared" ca="1" si="47"/>
        <v>0</v>
      </c>
      <c r="L317" s="995">
        <f t="shared" ca="1" si="54"/>
        <v>0</v>
      </c>
      <c r="M317" s="913">
        <f t="shared" ca="1" si="49"/>
        <v>0</v>
      </c>
      <c r="N317" s="996">
        <f t="shared" ca="1" si="50"/>
        <v>0</v>
      </c>
      <c r="O317" s="997">
        <f t="shared" ca="1" si="51"/>
        <v>0</v>
      </c>
      <c r="P317" s="1015" t="str">
        <f ca="1">IF($C317="","",INDEX(NVLSX!$N$2:$N$6941,MATCH($C317,NVLSX!$E$2:$E$6941,0)))</f>
        <v/>
      </c>
      <c r="Q317" s="1016" t="str">
        <f ca="1">IF($R317="","",IF(XKNVLSX!$X$1="",IF($P317=$V$7,$P317, IF(COUNTIFS($C$2:$C316,$C317,$E$2:$E316,$E317)&gt;=1,"",$P317)),     IF(AND(IFERROR(SEARCH($R317,XKNVLSX!$X$1,1),0)&gt;=1,$P317=$V$7),$P317, IF(OR($R317&lt;&gt;IF(IFERROR(SEARCH($R317,XKNVLSX!$X$1,1),0)&gt;=1,$R317,XKNVLSX!$X$1),COUNTIFS($C$2:$C316,$C317,$E$2:$E316,$E317,$Q$2:$Q316,$P317)&gt;=1),"",$P317))))</f>
        <v/>
      </c>
      <c r="R317" s="1017" t="str">
        <f ca="1">IF($A317="","",IFERROR(INDEX(TinhGia!$BF$10:$BF$81,MATCH($A317,TinhGia!$B$10:$B$81,0)),""))</f>
        <v/>
      </c>
      <c r="S317" s="1012" t="str">
        <f ca="1">IF($A317="","",IF(OR(IFERROR(SEARCH($R317,XKNVLSX!$X$1,1),0)&gt;=1,XKNVLSX!$X$1=""),$S$2,""))</f>
        <v/>
      </c>
      <c r="T317" s="1018" t="str">
        <f ca="1">IF($C317="","", IF(OR($P317=$V$1,$P317=$V$7,COUNTIFS($C$3:$C317,$C317,$E$3:$E317,$E317)&lt;=1),$P317,""    ))</f>
        <v/>
      </c>
      <c r="U317" s="1019" t="str">
        <f ca="1">IF(AND($P317=$V$2,COUNTIFS($C$3:$C317,$C317,$E$3:$E317,$E317,$G$3:$G317,$G317)&lt;=1),$P317,"")</f>
        <v/>
      </c>
    </row>
    <row r="318" spans="1:21">
      <c r="A318" s="991" t="str">
        <f ca="1">IFERROR(IF(COUNTIF($A$3:A317,A317)&lt; INDEX(TinhGia!$BH$10:$BH$81,MATCH($A317,TinhGia!$B$10:$B$81,0)),$A317,INDEX(TinhGia!$B$10:$B$81,MATCH($A317,TinhGia!$B$10:$B$81,0)+1)),"")</f>
        <v/>
      </c>
      <c r="B318" s="525" t="str">
        <f ca="1">IF(OR(A318="",A318=0),"",IF(COUNTIF($A$2:A318,$A318)=1,ROW(MauKoXoa!$C$108),$B317+1))</f>
        <v/>
      </c>
      <c r="C318" s="992" t="str">
        <f t="shared" ca="1" si="40"/>
        <v/>
      </c>
      <c r="D318" s="993" t="str">
        <f t="shared" ca="1" si="41"/>
        <v/>
      </c>
      <c r="E318" s="993" t="str">
        <f t="shared" ca="1" si="42"/>
        <v/>
      </c>
      <c r="F318" s="992" t="str">
        <f t="shared" ca="1" si="52"/>
        <v/>
      </c>
      <c r="G318" s="994">
        <f t="shared" ca="1" si="43"/>
        <v>0</v>
      </c>
      <c r="H318" s="913">
        <f t="shared" ca="1" si="44"/>
        <v>0</v>
      </c>
      <c r="I318" s="913">
        <f t="shared" ca="1" si="45"/>
        <v>0</v>
      </c>
      <c r="J318" s="995">
        <f t="shared" ca="1" si="53"/>
        <v>0</v>
      </c>
      <c r="K318" s="913">
        <f t="shared" ca="1" si="47"/>
        <v>0</v>
      </c>
      <c r="L318" s="995">
        <f t="shared" ca="1" si="54"/>
        <v>0</v>
      </c>
      <c r="M318" s="913">
        <f t="shared" ca="1" si="49"/>
        <v>0</v>
      </c>
      <c r="N318" s="996">
        <f t="shared" ca="1" si="50"/>
        <v>0</v>
      </c>
      <c r="O318" s="997">
        <f t="shared" ca="1" si="51"/>
        <v>0</v>
      </c>
      <c r="P318" s="1015" t="str">
        <f ca="1">IF($C318="","",INDEX(NVLSX!$N$2:$N$6941,MATCH($C318,NVLSX!$E$2:$E$6941,0)))</f>
        <v/>
      </c>
      <c r="Q318" s="1016" t="str">
        <f ca="1">IF($R318="","",IF(XKNVLSX!$X$1="",IF($P318=$V$7,$P318, IF(COUNTIFS($C$2:$C317,$C318,$E$2:$E317,$E318)&gt;=1,"",$P318)),     IF(AND(IFERROR(SEARCH($R318,XKNVLSX!$X$1,1),0)&gt;=1,$P318=$V$7),$P318, IF(OR($R318&lt;&gt;IF(IFERROR(SEARCH($R318,XKNVLSX!$X$1,1),0)&gt;=1,$R318,XKNVLSX!$X$1),COUNTIFS($C$2:$C317,$C318,$E$2:$E317,$E318,$Q$2:$Q317,$P318)&gt;=1),"",$P318))))</f>
        <v/>
      </c>
      <c r="R318" s="1017" t="str">
        <f ca="1">IF($A318="","",IFERROR(INDEX(TinhGia!$BF$10:$BF$81,MATCH($A318,TinhGia!$B$10:$B$81,0)),""))</f>
        <v/>
      </c>
      <c r="S318" s="1012" t="str">
        <f ca="1">IF($A318="","",IF(OR(IFERROR(SEARCH($R318,XKNVLSX!$X$1,1),0)&gt;=1,XKNVLSX!$X$1=""),$S$2,""))</f>
        <v/>
      </c>
      <c r="T318" s="1018" t="str">
        <f ca="1">IF($C318="","", IF(OR($P318=$V$1,$P318=$V$7,COUNTIFS($C$3:$C318,$C318,$E$3:$E318,$E318)&lt;=1),$P318,""    ))</f>
        <v/>
      </c>
      <c r="U318" s="1019" t="str">
        <f ca="1">IF(AND($P318=$V$2,COUNTIFS($C$3:$C318,$C318,$E$3:$E318,$E318,$G$3:$G318,$G318)&lt;=1),$P318,"")</f>
        <v/>
      </c>
    </row>
    <row r="319" spans="1:21">
      <c r="A319" s="991" t="str">
        <f ca="1">IFERROR(IF(COUNTIF($A$3:A318,A318)&lt; INDEX(TinhGia!$BH$10:$BH$81,MATCH($A318,TinhGia!$B$10:$B$81,0)),$A318,INDEX(TinhGia!$B$10:$B$81,MATCH($A318,TinhGia!$B$10:$B$81,0)+1)),"")</f>
        <v/>
      </c>
      <c r="B319" s="525" t="str">
        <f ca="1">IF(OR(A319="",A319=0),"",IF(COUNTIF($A$2:A319,$A319)=1,ROW(MauKoXoa!$C$108),$B318+1))</f>
        <v/>
      </c>
      <c r="C319" s="992" t="str">
        <f t="shared" ca="1" si="40"/>
        <v/>
      </c>
      <c r="D319" s="993" t="str">
        <f t="shared" ca="1" si="41"/>
        <v/>
      </c>
      <c r="E319" s="993" t="str">
        <f t="shared" ca="1" si="42"/>
        <v/>
      </c>
      <c r="F319" s="992" t="str">
        <f t="shared" ca="1" si="52"/>
        <v/>
      </c>
      <c r="G319" s="994">
        <f t="shared" ca="1" si="43"/>
        <v>0</v>
      </c>
      <c r="H319" s="913">
        <f t="shared" ca="1" si="44"/>
        <v>0</v>
      </c>
      <c r="I319" s="913">
        <f t="shared" ca="1" si="45"/>
        <v>0</v>
      </c>
      <c r="J319" s="995">
        <f t="shared" ca="1" si="53"/>
        <v>0</v>
      </c>
      <c r="K319" s="913">
        <f t="shared" ca="1" si="47"/>
        <v>0</v>
      </c>
      <c r="L319" s="995">
        <f t="shared" ca="1" si="54"/>
        <v>0</v>
      </c>
      <c r="M319" s="913">
        <f t="shared" ca="1" si="49"/>
        <v>0</v>
      </c>
      <c r="N319" s="996">
        <f t="shared" ca="1" si="50"/>
        <v>0</v>
      </c>
      <c r="O319" s="997">
        <f t="shared" ca="1" si="51"/>
        <v>0</v>
      </c>
      <c r="P319" s="1015" t="str">
        <f ca="1">IF($C319="","",INDEX(NVLSX!$N$2:$N$6941,MATCH($C319,NVLSX!$E$2:$E$6941,0)))</f>
        <v/>
      </c>
      <c r="Q319" s="1016" t="str">
        <f ca="1">IF($R319="","",IF(XKNVLSX!$X$1="",IF($P319=$V$7,$P319, IF(COUNTIFS($C$2:$C318,$C319,$E$2:$E318,$E319)&gt;=1,"",$P319)),     IF(AND(IFERROR(SEARCH($R319,XKNVLSX!$X$1,1),0)&gt;=1,$P319=$V$7),$P319, IF(OR($R319&lt;&gt;IF(IFERROR(SEARCH($R319,XKNVLSX!$X$1,1),0)&gt;=1,$R319,XKNVLSX!$X$1),COUNTIFS($C$2:$C318,$C319,$E$2:$E318,$E319,$Q$2:$Q318,$P319)&gt;=1),"",$P319))))</f>
        <v/>
      </c>
      <c r="R319" s="1017" t="str">
        <f ca="1">IF($A319="","",IFERROR(INDEX(TinhGia!$BF$10:$BF$81,MATCH($A319,TinhGia!$B$10:$B$81,0)),""))</f>
        <v/>
      </c>
      <c r="S319" s="1012" t="str">
        <f ca="1">IF($A319="","",IF(OR(IFERROR(SEARCH($R319,XKNVLSX!$X$1,1),0)&gt;=1,XKNVLSX!$X$1=""),$S$2,""))</f>
        <v/>
      </c>
      <c r="T319" s="1018" t="str">
        <f ca="1">IF($C319="","", IF(OR($P319=$V$1,$P319=$V$7,COUNTIFS($C$3:$C319,$C319,$E$3:$E319,$E319)&lt;=1),$P319,""    ))</f>
        <v/>
      </c>
      <c r="U319" s="1019" t="str">
        <f ca="1">IF(AND($P319=$V$2,COUNTIFS($C$3:$C319,$C319,$E$3:$E319,$E319,$G$3:$G319,$G319)&lt;=1),$P319,"")</f>
        <v/>
      </c>
    </row>
    <row r="320" spans="1:21">
      <c r="A320" s="991" t="str">
        <f ca="1">IFERROR(IF(COUNTIF($A$3:A319,A319)&lt; INDEX(TinhGia!$BH$10:$BH$81,MATCH($A319,TinhGia!$B$10:$B$81,0)),$A319,INDEX(TinhGia!$B$10:$B$81,MATCH($A319,TinhGia!$B$10:$B$81,0)+1)),"")</f>
        <v/>
      </c>
      <c r="B320" s="525" t="str">
        <f ca="1">IF(OR(A320="",A320=0),"",IF(COUNTIF($A$2:A320,$A320)=1,ROW(MauKoXoa!$C$108),$B319+1))</f>
        <v/>
      </c>
      <c r="C320" s="992" t="str">
        <f t="shared" ca="1" si="40"/>
        <v/>
      </c>
      <c r="D320" s="993" t="str">
        <f t="shared" ca="1" si="41"/>
        <v/>
      </c>
      <c r="E320" s="993" t="str">
        <f t="shared" ca="1" si="42"/>
        <v/>
      </c>
      <c r="F320" s="992" t="str">
        <f t="shared" ca="1" si="52"/>
        <v/>
      </c>
      <c r="G320" s="994">
        <f t="shared" ca="1" si="43"/>
        <v>0</v>
      </c>
      <c r="H320" s="913">
        <f t="shared" ca="1" si="44"/>
        <v>0</v>
      </c>
      <c r="I320" s="913">
        <f t="shared" ca="1" si="45"/>
        <v>0</v>
      </c>
      <c r="J320" s="995">
        <f t="shared" ca="1" si="53"/>
        <v>0</v>
      </c>
      <c r="K320" s="913">
        <f t="shared" ca="1" si="47"/>
        <v>0</v>
      </c>
      <c r="L320" s="995">
        <f t="shared" ca="1" si="54"/>
        <v>0</v>
      </c>
      <c r="M320" s="913">
        <f t="shared" ca="1" si="49"/>
        <v>0</v>
      </c>
      <c r="N320" s="996">
        <f t="shared" ca="1" si="50"/>
        <v>0</v>
      </c>
      <c r="O320" s="997">
        <f t="shared" ca="1" si="51"/>
        <v>0</v>
      </c>
      <c r="P320" s="1015" t="str">
        <f ca="1">IF($C320="","",INDEX(NVLSX!$N$2:$N$6941,MATCH($C320,NVLSX!$E$2:$E$6941,0)))</f>
        <v/>
      </c>
      <c r="Q320" s="1016" t="str">
        <f ca="1">IF($R320="","",IF(XKNVLSX!$X$1="",IF($P320=$V$7,$P320, IF(COUNTIFS($C$2:$C319,$C320,$E$2:$E319,$E320)&gt;=1,"",$P320)),     IF(AND(IFERROR(SEARCH($R320,XKNVLSX!$X$1,1),0)&gt;=1,$P320=$V$7),$P320, IF(OR($R320&lt;&gt;IF(IFERROR(SEARCH($R320,XKNVLSX!$X$1,1),0)&gt;=1,$R320,XKNVLSX!$X$1),COUNTIFS($C$2:$C319,$C320,$E$2:$E319,$E320,$Q$2:$Q319,$P320)&gt;=1),"",$P320))))</f>
        <v/>
      </c>
      <c r="R320" s="1017" t="str">
        <f ca="1">IF($A320="","",IFERROR(INDEX(TinhGia!$BF$10:$BF$81,MATCH($A320,TinhGia!$B$10:$B$81,0)),""))</f>
        <v/>
      </c>
      <c r="S320" s="1012" t="str">
        <f ca="1">IF($A320="","",IF(OR(IFERROR(SEARCH($R320,XKNVLSX!$X$1,1),0)&gt;=1,XKNVLSX!$X$1=""),$S$2,""))</f>
        <v/>
      </c>
      <c r="T320" s="1018" t="str">
        <f ca="1">IF($C320="","", IF(OR($P320=$V$1,$P320=$V$7,COUNTIFS($C$3:$C320,$C320,$E$3:$E320,$E320)&lt;=1),$P320,""    ))</f>
        <v/>
      </c>
      <c r="U320" s="1019" t="str">
        <f ca="1">IF(AND($P320=$V$2,COUNTIFS($C$3:$C320,$C320,$E$3:$E320,$E320,$G$3:$G320,$G320)&lt;=1),$P320,"")</f>
        <v/>
      </c>
    </row>
    <row r="321" spans="1:21">
      <c r="A321" s="991" t="str">
        <f ca="1">IFERROR(IF(COUNTIF($A$3:A320,A320)&lt; INDEX(TinhGia!$BH$10:$BH$81,MATCH($A320,TinhGia!$B$10:$B$81,0)),$A320,INDEX(TinhGia!$B$10:$B$81,MATCH($A320,TinhGia!$B$10:$B$81,0)+1)),"")</f>
        <v/>
      </c>
      <c r="B321" s="525" t="str">
        <f ca="1">IF(OR(A321="",A321=0),"",IF(COUNTIF($A$2:A321,$A321)=1,ROW(MauKoXoa!$C$108),$B320+1))</f>
        <v/>
      </c>
      <c r="C321" s="992" t="str">
        <f t="shared" ca="1" si="40"/>
        <v/>
      </c>
      <c r="D321" s="993" t="str">
        <f t="shared" ca="1" si="41"/>
        <v/>
      </c>
      <c r="E321" s="993" t="str">
        <f t="shared" ca="1" si="42"/>
        <v/>
      </c>
      <c r="F321" s="992" t="str">
        <f t="shared" ca="1" si="52"/>
        <v/>
      </c>
      <c r="G321" s="994">
        <f t="shared" ca="1" si="43"/>
        <v>0</v>
      </c>
      <c r="H321" s="913">
        <f t="shared" ca="1" si="44"/>
        <v>0</v>
      </c>
      <c r="I321" s="913">
        <f t="shared" ca="1" si="45"/>
        <v>0</v>
      </c>
      <c r="J321" s="995">
        <f t="shared" ca="1" si="53"/>
        <v>0</v>
      </c>
      <c r="K321" s="913">
        <f t="shared" ca="1" si="47"/>
        <v>0</v>
      </c>
      <c r="L321" s="995">
        <f t="shared" ca="1" si="54"/>
        <v>0</v>
      </c>
      <c r="M321" s="913">
        <f t="shared" ca="1" si="49"/>
        <v>0</v>
      </c>
      <c r="N321" s="996">
        <f t="shared" ca="1" si="50"/>
        <v>0</v>
      </c>
      <c r="O321" s="997">
        <f t="shared" ca="1" si="51"/>
        <v>0</v>
      </c>
      <c r="P321" s="1015" t="str">
        <f ca="1">IF($C321="","",INDEX(NVLSX!$N$2:$N$6941,MATCH($C321,NVLSX!$E$2:$E$6941,0)))</f>
        <v/>
      </c>
      <c r="Q321" s="1016" t="str">
        <f ca="1">IF($R321="","",IF(XKNVLSX!$X$1="",IF($P321=$V$7,$P321, IF(COUNTIFS($C$2:$C320,$C321,$E$2:$E320,$E321)&gt;=1,"",$P321)),     IF(AND(IFERROR(SEARCH($R321,XKNVLSX!$X$1,1),0)&gt;=1,$P321=$V$7),$P321, IF(OR($R321&lt;&gt;IF(IFERROR(SEARCH($R321,XKNVLSX!$X$1,1),0)&gt;=1,$R321,XKNVLSX!$X$1),COUNTIFS($C$2:$C320,$C321,$E$2:$E320,$E321,$Q$2:$Q320,$P321)&gt;=1),"",$P321))))</f>
        <v/>
      </c>
      <c r="R321" s="1017" t="str">
        <f ca="1">IF($A321="","",IFERROR(INDEX(TinhGia!$BF$10:$BF$81,MATCH($A321,TinhGia!$B$10:$B$81,0)),""))</f>
        <v/>
      </c>
      <c r="S321" s="1012" t="str">
        <f ca="1">IF($A321="","",IF(OR(IFERROR(SEARCH($R321,XKNVLSX!$X$1,1),0)&gt;=1,XKNVLSX!$X$1=""),$S$2,""))</f>
        <v/>
      </c>
      <c r="T321" s="1018" t="str">
        <f ca="1">IF($C321="","", IF(OR($P321=$V$1,$P321=$V$7,COUNTIFS($C$3:$C321,$C321,$E$3:$E321,$E321)&lt;=1),$P321,""    ))</f>
        <v/>
      </c>
      <c r="U321" s="1019" t="str">
        <f ca="1">IF(AND($P321=$V$2,COUNTIFS($C$3:$C321,$C321,$E$3:$E321,$E321,$G$3:$G321,$G321)&lt;=1),$P321,"")</f>
        <v/>
      </c>
    </row>
    <row r="322" spans="1:21">
      <c r="A322" s="991" t="str">
        <f ca="1">IFERROR(IF(COUNTIF($A$3:A321,A321)&lt; INDEX(TinhGia!$BH$10:$BH$81,MATCH($A321,TinhGia!$B$10:$B$81,0)),$A321,INDEX(TinhGia!$B$10:$B$81,MATCH($A321,TinhGia!$B$10:$B$81,0)+1)),"")</f>
        <v/>
      </c>
      <c r="B322" s="525" t="str">
        <f ca="1">IF(OR(A322="",A322=0),"",IF(COUNTIF($A$2:A322,$A322)=1,ROW(MauKoXoa!$C$108),$B321+1))</f>
        <v/>
      </c>
      <c r="C322" s="992" t="str">
        <f t="shared" ca="1" si="40"/>
        <v/>
      </c>
      <c r="D322" s="993" t="str">
        <f t="shared" ca="1" si="41"/>
        <v/>
      </c>
      <c r="E322" s="993" t="str">
        <f t="shared" ca="1" si="42"/>
        <v/>
      </c>
      <c r="F322" s="992" t="str">
        <f t="shared" ca="1" si="52"/>
        <v/>
      </c>
      <c r="G322" s="994">
        <f t="shared" ca="1" si="43"/>
        <v>0</v>
      </c>
      <c r="H322" s="913">
        <f t="shared" ca="1" si="44"/>
        <v>0</v>
      </c>
      <c r="I322" s="913">
        <f t="shared" ca="1" si="45"/>
        <v>0</v>
      </c>
      <c r="J322" s="995">
        <f t="shared" ca="1" si="53"/>
        <v>0</v>
      </c>
      <c r="K322" s="913">
        <f t="shared" ca="1" si="47"/>
        <v>0</v>
      </c>
      <c r="L322" s="995">
        <f t="shared" ca="1" si="54"/>
        <v>0</v>
      </c>
      <c r="M322" s="913">
        <f t="shared" ca="1" si="49"/>
        <v>0</v>
      </c>
      <c r="N322" s="996">
        <f t="shared" ca="1" si="50"/>
        <v>0</v>
      </c>
      <c r="O322" s="997">
        <f t="shared" ca="1" si="51"/>
        <v>0</v>
      </c>
      <c r="P322" s="1015" t="str">
        <f ca="1">IF($C322="","",INDEX(NVLSX!$N$2:$N$6941,MATCH($C322,NVLSX!$E$2:$E$6941,0)))</f>
        <v/>
      </c>
      <c r="Q322" s="1016" t="str">
        <f ca="1">IF($R322="","",IF(XKNVLSX!$X$1="",IF($P322=$V$7,$P322, IF(COUNTIFS($C$2:$C321,$C322,$E$2:$E321,$E322)&gt;=1,"",$P322)),     IF(AND(IFERROR(SEARCH($R322,XKNVLSX!$X$1,1),0)&gt;=1,$P322=$V$7),$P322, IF(OR($R322&lt;&gt;IF(IFERROR(SEARCH($R322,XKNVLSX!$X$1,1),0)&gt;=1,$R322,XKNVLSX!$X$1),COUNTIFS($C$2:$C321,$C322,$E$2:$E321,$E322,$Q$2:$Q321,$P322)&gt;=1),"",$P322))))</f>
        <v/>
      </c>
      <c r="R322" s="1017" t="str">
        <f ca="1">IF($A322="","",IFERROR(INDEX(TinhGia!$BF$10:$BF$81,MATCH($A322,TinhGia!$B$10:$B$81,0)),""))</f>
        <v/>
      </c>
      <c r="S322" s="1012" t="str">
        <f ca="1">IF($A322="","",IF(OR(IFERROR(SEARCH($R322,XKNVLSX!$X$1,1),0)&gt;=1,XKNVLSX!$X$1=""),$S$2,""))</f>
        <v/>
      </c>
      <c r="T322" s="1018" t="str">
        <f ca="1">IF($C322="","", IF(OR($P322=$V$1,$P322=$V$7,COUNTIFS($C$3:$C322,$C322,$E$3:$E322,$E322)&lt;=1),$P322,""    ))</f>
        <v/>
      </c>
      <c r="U322" s="1019" t="str">
        <f ca="1">IF(AND($P322=$V$2,COUNTIFS($C$3:$C322,$C322,$E$3:$E322,$E322,$G$3:$G322,$G322)&lt;=1),$P322,"")</f>
        <v/>
      </c>
    </row>
    <row r="323" spans="1:21">
      <c r="A323" s="991" t="str">
        <f ca="1">IFERROR(IF(COUNTIF($A$3:A322,A322)&lt; INDEX(TinhGia!$BH$10:$BH$81,MATCH($A322,TinhGia!$B$10:$B$81,0)),$A322,INDEX(TinhGia!$B$10:$B$81,MATCH($A322,TinhGia!$B$10:$B$81,0)+1)),"")</f>
        <v/>
      </c>
      <c r="B323" s="525" t="str">
        <f ca="1">IF(OR(A323="",A323=0),"",IF(COUNTIF($A$2:A323,$A323)=1,ROW(MauKoXoa!$C$108),$B322+1))</f>
        <v/>
      </c>
      <c r="C323" s="992" t="str">
        <f t="shared" ca="1" si="40"/>
        <v/>
      </c>
      <c r="D323" s="993" t="str">
        <f t="shared" ca="1" si="41"/>
        <v/>
      </c>
      <c r="E323" s="993" t="str">
        <f t="shared" ca="1" si="42"/>
        <v/>
      </c>
      <c r="F323" s="992" t="str">
        <f t="shared" ref="F323:F386" ca="1" si="55">IF($P323=$V$7, IFERROR(INDIRECT("'" &amp; $A323 &amp; "'!" &amp; "I" &amp; $B323),""),IFERROR(INDIRECT("'" &amp; $A323 &amp; "'!" &amp; "E" &amp; $B323),""))</f>
        <v/>
      </c>
      <c r="G323" s="994">
        <f t="shared" ca="1" si="43"/>
        <v>0</v>
      </c>
      <c r="H323" s="913">
        <f t="shared" ca="1" si="44"/>
        <v>0</v>
      </c>
      <c r="I323" s="913">
        <f t="shared" ca="1" si="45"/>
        <v>0</v>
      </c>
      <c r="J323" s="995">
        <f t="shared" ca="1" si="53"/>
        <v>0</v>
      </c>
      <c r="K323" s="913">
        <f t="shared" ca="1" si="47"/>
        <v>0</v>
      </c>
      <c r="L323" s="995">
        <f t="shared" ca="1" si="54"/>
        <v>0</v>
      </c>
      <c r="M323" s="913">
        <f t="shared" ca="1" si="49"/>
        <v>0</v>
      </c>
      <c r="N323" s="996">
        <f t="shared" ca="1" si="50"/>
        <v>0</v>
      </c>
      <c r="O323" s="997">
        <f t="shared" ca="1" si="51"/>
        <v>0</v>
      </c>
      <c r="P323" s="1015" t="str">
        <f ca="1">IF($C323="","",INDEX(NVLSX!$N$2:$N$6941,MATCH($C323,NVLSX!$E$2:$E$6941,0)))</f>
        <v/>
      </c>
      <c r="Q323" s="1016" t="str">
        <f ca="1">IF($R323="","",IF(XKNVLSX!$X$1="",IF($P323=$V$7,$P323, IF(COUNTIFS($C$2:$C322,$C323,$E$2:$E322,$E323)&gt;=1,"",$P323)),     IF(AND(IFERROR(SEARCH($R323,XKNVLSX!$X$1,1),0)&gt;=1,$P323=$V$7),$P323, IF(OR($R323&lt;&gt;IF(IFERROR(SEARCH($R323,XKNVLSX!$X$1,1),0)&gt;=1,$R323,XKNVLSX!$X$1),COUNTIFS($C$2:$C322,$C323,$E$2:$E322,$E323,$Q$2:$Q322,$P323)&gt;=1),"",$P323))))</f>
        <v/>
      </c>
      <c r="R323" s="1017" t="str">
        <f ca="1">IF($A323="","",IFERROR(INDEX(TinhGia!$BF$10:$BF$81,MATCH($A323,TinhGia!$B$10:$B$81,0)),""))</f>
        <v/>
      </c>
      <c r="S323" s="1012" t="str">
        <f ca="1">IF($A323="","",IF(OR(IFERROR(SEARCH($R323,XKNVLSX!$X$1,1),0)&gt;=1,XKNVLSX!$X$1=""),$S$2,""))</f>
        <v/>
      </c>
      <c r="T323" s="1018" t="str">
        <f ca="1">IF($C323="","", IF(OR($P323=$V$1,$P323=$V$7,COUNTIFS($C$3:$C323,$C323,$E$3:$E323,$E323)&lt;=1),$P323,""    ))</f>
        <v/>
      </c>
      <c r="U323" s="1019" t="str">
        <f ca="1">IF(AND($P323=$V$2,COUNTIFS($C$3:$C323,$C323,$E$3:$E323,$E323,$G$3:$G323,$G323)&lt;=1),$P323,"")</f>
        <v/>
      </c>
    </row>
    <row r="324" spans="1:21">
      <c r="A324" s="991" t="str">
        <f ca="1">IFERROR(IF(COUNTIF($A$3:A323,A323)&lt; INDEX(TinhGia!$BH$10:$BH$81,MATCH($A323,TinhGia!$B$10:$B$81,0)),$A323,INDEX(TinhGia!$B$10:$B$81,MATCH($A323,TinhGia!$B$10:$B$81,0)+1)),"")</f>
        <v/>
      </c>
      <c r="B324" s="525" t="str">
        <f ca="1">IF(OR(A324="",A324=0),"",IF(COUNTIF($A$2:A324,$A324)=1,ROW(MauKoXoa!$C$108),$B323+1))</f>
        <v/>
      </c>
      <c r="C324" s="992" t="str">
        <f t="shared" ca="1" si="40"/>
        <v/>
      </c>
      <c r="D324" s="993" t="str">
        <f t="shared" ca="1" si="41"/>
        <v/>
      </c>
      <c r="E324" s="993" t="str">
        <f t="shared" ca="1" si="42"/>
        <v/>
      </c>
      <c r="F324" s="992" t="str">
        <f t="shared" ca="1" si="55"/>
        <v/>
      </c>
      <c r="G324" s="994">
        <f t="shared" ca="1" si="43"/>
        <v>0</v>
      </c>
      <c r="H324" s="913">
        <f t="shared" ca="1" si="44"/>
        <v>0</v>
      </c>
      <c r="I324" s="913">
        <f t="shared" ca="1" si="45"/>
        <v>0</v>
      </c>
      <c r="J324" s="995">
        <f t="shared" ref="J324:J387" ca="1" si="56">IFERROR(INDIRECT("'" &amp; $A324 &amp; "'!" &amp; "J" &amp; $B324),0)</f>
        <v>0</v>
      </c>
      <c r="K324" s="913">
        <f t="shared" ca="1" si="47"/>
        <v>0</v>
      </c>
      <c r="L324" s="995">
        <f t="shared" ref="L324:L387" ca="1" si="57">+ IFERROR(INDIRECT("'" &amp; $A324 &amp; "'!" &amp; "K" &amp; $B324),0)</f>
        <v>0</v>
      </c>
      <c r="M324" s="913">
        <f t="shared" ca="1" si="49"/>
        <v>0</v>
      </c>
      <c r="N324" s="996">
        <f t="shared" ca="1" si="50"/>
        <v>0</v>
      </c>
      <c r="O324" s="997">
        <f t="shared" ca="1" si="51"/>
        <v>0</v>
      </c>
      <c r="P324" s="1015" t="str">
        <f ca="1">IF($C324="","",INDEX(NVLSX!$N$2:$N$6941,MATCH($C324,NVLSX!$E$2:$E$6941,0)))</f>
        <v/>
      </c>
      <c r="Q324" s="1016" t="str">
        <f ca="1">IF($R324="","",IF(XKNVLSX!$X$1="",IF($P324=$V$7,$P324, IF(COUNTIFS($C$2:$C323,$C324,$E$2:$E323,$E324)&gt;=1,"",$P324)),     IF(AND(IFERROR(SEARCH($R324,XKNVLSX!$X$1,1),0)&gt;=1,$P324=$V$7),$P324, IF(OR($R324&lt;&gt;IF(IFERROR(SEARCH($R324,XKNVLSX!$X$1,1),0)&gt;=1,$R324,XKNVLSX!$X$1),COUNTIFS($C$2:$C323,$C324,$E$2:$E323,$E324,$Q$2:$Q323,$P324)&gt;=1),"",$P324))))</f>
        <v/>
      </c>
      <c r="R324" s="1017" t="str">
        <f ca="1">IF($A324="","",IFERROR(INDEX(TinhGia!$BF$10:$BF$81,MATCH($A324,TinhGia!$B$10:$B$81,0)),""))</f>
        <v/>
      </c>
      <c r="S324" s="1012" t="str">
        <f ca="1">IF($A324="","",IF(OR(IFERROR(SEARCH($R324,XKNVLSX!$X$1,1),0)&gt;=1,XKNVLSX!$X$1=""),$S$2,""))</f>
        <v/>
      </c>
      <c r="T324" s="1018" t="str">
        <f ca="1">IF($C324="","", IF(OR($P324=$V$1,$P324=$V$7,COUNTIFS($C$3:$C324,$C324,$E$3:$E324,$E324)&lt;=1),$P324,""    ))</f>
        <v/>
      </c>
      <c r="U324" s="1019" t="str">
        <f ca="1">IF(AND($P324=$V$2,COUNTIFS($C$3:$C324,$C324,$E$3:$E324,$E324,$G$3:$G324,$G324)&lt;=1),$P324,"")</f>
        <v/>
      </c>
    </row>
    <row r="325" spans="1:21">
      <c r="A325" s="991" t="str">
        <f ca="1">IFERROR(IF(COUNTIF($A$3:A324,A324)&lt; INDEX(TinhGia!$BH$10:$BH$81,MATCH($A324,TinhGia!$B$10:$B$81,0)),$A324,INDEX(TinhGia!$B$10:$B$81,MATCH($A324,TinhGia!$B$10:$B$81,0)+1)),"")</f>
        <v/>
      </c>
      <c r="B325" s="525" t="str">
        <f ca="1">IF(OR(A325="",A325=0),"",IF(COUNTIF($A$2:A325,$A325)=1,ROW(MauKoXoa!$C$108),$B324+1))</f>
        <v/>
      </c>
      <c r="C325" s="992" t="str">
        <f t="shared" ca="1" si="40"/>
        <v/>
      </c>
      <c r="D325" s="993" t="str">
        <f t="shared" ca="1" si="41"/>
        <v/>
      </c>
      <c r="E325" s="993" t="str">
        <f t="shared" ca="1" si="42"/>
        <v/>
      </c>
      <c r="F325" s="992" t="str">
        <f t="shared" ca="1" si="55"/>
        <v/>
      </c>
      <c r="G325" s="994">
        <f t="shared" ca="1" si="43"/>
        <v>0</v>
      </c>
      <c r="H325" s="913">
        <f t="shared" ca="1" si="44"/>
        <v>0</v>
      </c>
      <c r="I325" s="913">
        <f t="shared" ca="1" si="45"/>
        <v>0</v>
      </c>
      <c r="J325" s="995">
        <f t="shared" ca="1" si="56"/>
        <v>0</v>
      </c>
      <c r="K325" s="913">
        <f t="shared" ca="1" si="47"/>
        <v>0</v>
      </c>
      <c r="L325" s="995">
        <f t="shared" ca="1" si="57"/>
        <v>0</v>
      </c>
      <c r="M325" s="913">
        <f t="shared" ca="1" si="49"/>
        <v>0</v>
      </c>
      <c r="N325" s="996">
        <f t="shared" ca="1" si="50"/>
        <v>0</v>
      </c>
      <c r="O325" s="997">
        <f t="shared" ca="1" si="51"/>
        <v>0</v>
      </c>
      <c r="P325" s="1015" t="str">
        <f ca="1">IF($C325="","",INDEX(NVLSX!$N$2:$N$6941,MATCH($C325,NVLSX!$E$2:$E$6941,0)))</f>
        <v/>
      </c>
      <c r="Q325" s="1016" t="str">
        <f ca="1">IF($R325="","",IF(XKNVLSX!$X$1="",IF($P325=$V$7,$P325, IF(COUNTIFS($C$2:$C324,$C325,$E$2:$E324,$E325)&gt;=1,"",$P325)),     IF(AND(IFERROR(SEARCH($R325,XKNVLSX!$X$1,1),0)&gt;=1,$P325=$V$7),$P325, IF(OR($R325&lt;&gt;IF(IFERROR(SEARCH($R325,XKNVLSX!$X$1,1),0)&gt;=1,$R325,XKNVLSX!$X$1),COUNTIFS($C$2:$C324,$C325,$E$2:$E324,$E325,$Q$2:$Q324,$P325)&gt;=1),"",$P325))))</f>
        <v/>
      </c>
      <c r="R325" s="1017" t="str">
        <f ca="1">IF($A325="","",IFERROR(INDEX(TinhGia!$BF$10:$BF$81,MATCH($A325,TinhGia!$B$10:$B$81,0)),""))</f>
        <v/>
      </c>
      <c r="S325" s="1012" t="str">
        <f ca="1">IF($A325="","",IF(OR(IFERROR(SEARCH($R325,XKNVLSX!$X$1,1),0)&gt;=1,XKNVLSX!$X$1=""),$S$2,""))</f>
        <v/>
      </c>
      <c r="T325" s="1018" t="str">
        <f ca="1">IF($C325="","", IF(OR($P325=$V$1,$P325=$V$7,COUNTIFS($C$3:$C325,$C325,$E$3:$E325,$E325)&lt;=1),$P325,""    ))</f>
        <v/>
      </c>
      <c r="U325" s="1019" t="str">
        <f ca="1">IF(AND($P325=$V$2,COUNTIFS($C$3:$C325,$C325,$E$3:$E325,$E325,$G$3:$G325,$G325)&lt;=1),$P325,"")</f>
        <v/>
      </c>
    </row>
    <row r="326" spans="1:21">
      <c r="A326" s="991" t="str">
        <f ca="1">IFERROR(IF(COUNTIF($A$3:A325,A325)&lt; INDEX(TinhGia!$BH$10:$BH$81,MATCH($A325,TinhGia!$B$10:$B$81,0)),$A325,INDEX(TinhGia!$B$10:$B$81,MATCH($A325,TinhGia!$B$10:$B$81,0)+1)),"")</f>
        <v/>
      </c>
      <c r="B326" s="525" t="str">
        <f ca="1">IF(OR(A326="",A326=0),"",IF(COUNTIF($A$2:A326,$A326)=1,ROW(MauKoXoa!$C$108),$B325+1))</f>
        <v/>
      </c>
      <c r="C326" s="992" t="str">
        <f t="shared" ca="1" si="40"/>
        <v/>
      </c>
      <c r="D326" s="993" t="str">
        <f t="shared" ca="1" si="41"/>
        <v/>
      </c>
      <c r="E326" s="993" t="str">
        <f t="shared" ca="1" si="42"/>
        <v/>
      </c>
      <c r="F326" s="992" t="str">
        <f t="shared" ca="1" si="55"/>
        <v/>
      </c>
      <c r="G326" s="994">
        <f t="shared" ca="1" si="43"/>
        <v>0</v>
      </c>
      <c r="H326" s="913">
        <f t="shared" ca="1" si="44"/>
        <v>0</v>
      </c>
      <c r="I326" s="913">
        <f t="shared" ca="1" si="45"/>
        <v>0</v>
      </c>
      <c r="J326" s="995">
        <f t="shared" ca="1" si="56"/>
        <v>0</v>
      </c>
      <c r="K326" s="913">
        <f t="shared" ca="1" si="47"/>
        <v>0</v>
      </c>
      <c r="L326" s="995">
        <f t="shared" ca="1" si="57"/>
        <v>0</v>
      </c>
      <c r="M326" s="913">
        <f t="shared" ca="1" si="49"/>
        <v>0</v>
      </c>
      <c r="N326" s="996">
        <f t="shared" ca="1" si="50"/>
        <v>0</v>
      </c>
      <c r="O326" s="997">
        <f t="shared" ca="1" si="51"/>
        <v>0</v>
      </c>
      <c r="P326" s="1015" t="str">
        <f ca="1">IF($C326="","",INDEX(NVLSX!$N$2:$N$6941,MATCH($C326,NVLSX!$E$2:$E$6941,0)))</f>
        <v/>
      </c>
      <c r="Q326" s="1016" t="str">
        <f ca="1">IF($R326="","",IF(XKNVLSX!$X$1="",IF($P326=$V$7,$P326, IF(COUNTIFS($C$2:$C325,$C326,$E$2:$E325,$E326)&gt;=1,"",$P326)),     IF(AND(IFERROR(SEARCH($R326,XKNVLSX!$X$1,1),0)&gt;=1,$P326=$V$7),$P326, IF(OR($R326&lt;&gt;IF(IFERROR(SEARCH($R326,XKNVLSX!$X$1,1),0)&gt;=1,$R326,XKNVLSX!$X$1),COUNTIFS($C$2:$C325,$C326,$E$2:$E325,$E326,$Q$2:$Q325,$P326)&gt;=1),"",$P326))))</f>
        <v/>
      </c>
      <c r="R326" s="1017" t="str">
        <f ca="1">IF($A326="","",IFERROR(INDEX(TinhGia!$BF$10:$BF$81,MATCH($A326,TinhGia!$B$10:$B$81,0)),""))</f>
        <v/>
      </c>
      <c r="S326" s="1012" t="str">
        <f ca="1">IF($A326="","",IF(OR(IFERROR(SEARCH($R326,XKNVLSX!$X$1,1),0)&gt;=1,XKNVLSX!$X$1=""),$S$2,""))</f>
        <v/>
      </c>
      <c r="T326" s="1018" t="str">
        <f ca="1">IF($C326="","", IF(OR($P326=$V$1,$P326=$V$7,COUNTIFS($C$3:$C326,$C326,$E$3:$E326,$E326)&lt;=1),$P326,""    ))</f>
        <v/>
      </c>
      <c r="U326" s="1019" t="str">
        <f ca="1">IF(AND($P326=$V$2,COUNTIFS($C$3:$C326,$C326,$E$3:$E326,$E326,$G$3:$G326,$G326)&lt;=1),$P326,"")</f>
        <v/>
      </c>
    </row>
    <row r="327" spans="1:21">
      <c r="A327" s="991" t="str">
        <f ca="1">IFERROR(IF(COUNTIF($A$3:A326,A326)&lt; INDEX(TinhGia!$BH$10:$BH$81,MATCH($A326,TinhGia!$B$10:$B$81,0)),$A326,INDEX(TinhGia!$B$10:$B$81,MATCH($A326,TinhGia!$B$10:$B$81,0)+1)),"")</f>
        <v/>
      </c>
      <c r="B327" s="525" t="str">
        <f ca="1">IF(OR(A327="",A327=0),"",IF(COUNTIF($A$2:A327,$A327)=1,ROW(MauKoXoa!$C$108),$B326+1))</f>
        <v/>
      </c>
      <c r="C327" s="992" t="str">
        <f t="shared" ca="1" si="40"/>
        <v/>
      </c>
      <c r="D327" s="993" t="str">
        <f t="shared" ca="1" si="41"/>
        <v/>
      </c>
      <c r="E327" s="993" t="str">
        <f t="shared" ca="1" si="42"/>
        <v/>
      </c>
      <c r="F327" s="992" t="str">
        <f t="shared" ca="1" si="55"/>
        <v/>
      </c>
      <c r="G327" s="994">
        <f t="shared" ca="1" si="43"/>
        <v>0</v>
      </c>
      <c r="H327" s="913">
        <f t="shared" ca="1" si="44"/>
        <v>0</v>
      </c>
      <c r="I327" s="913">
        <f t="shared" ca="1" si="45"/>
        <v>0</v>
      </c>
      <c r="J327" s="995">
        <f t="shared" ca="1" si="56"/>
        <v>0</v>
      </c>
      <c r="K327" s="913">
        <f t="shared" ca="1" si="47"/>
        <v>0</v>
      </c>
      <c r="L327" s="995">
        <f t="shared" ca="1" si="57"/>
        <v>0</v>
      </c>
      <c r="M327" s="913">
        <f t="shared" ca="1" si="49"/>
        <v>0</v>
      </c>
      <c r="N327" s="996">
        <f t="shared" ca="1" si="50"/>
        <v>0</v>
      </c>
      <c r="O327" s="997">
        <f t="shared" ca="1" si="51"/>
        <v>0</v>
      </c>
      <c r="P327" s="1015" t="str">
        <f ca="1">IF($C327="","",INDEX(NVLSX!$N$2:$N$6941,MATCH($C327,NVLSX!$E$2:$E$6941,0)))</f>
        <v/>
      </c>
      <c r="Q327" s="1016" t="str">
        <f ca="1">IF($R327="","",IF(XKNVLSX!$X$1="",IF($P327=$V$7,$P327, IF(COUNTIFS($C$2:$C326,$C327,$E$2:$E326,$E327)&gt;=1,"",$P327)),     IF(AND(IFERROR(SEARCH($R327,XKNVLSX!$X$1,1),0)&gt;=1,$P327=$V$7),$P327, IF(OR($R327&lt;&gt;IF(IFERROR(SEARCH($R327,XKNVLSX!$X$1,1),0)&gt;=1,$R327,XKNVLSX!$X$1),COUNTIFS($C$2:$C326,$C327,$E$2:$E326,$E327,$Q$2:$Q326,$P327)&gt;=1),"",$P327))))</f>
        <v/>
      </c>
      <c r="R327" s="1017" t="str">
        <f ca="1">IF($A327="","",IFERROR(INDEX(TinhGia!$BF$10:$BF$81,MATCH($A327,TinhGia!$B$10:$B$81,0)),""))</f>
        <v/>
      </c>
      <c r="S327" s="1012" t="str">
        <f ca="1">IF($A327="","",IF(OR(IFERROR(SEARCH($R327,XKNVLSX!$X$1,1),0)&gt;=1,XKNVLSX!$X$1=""),$S$2,""))</f>
        <v/>
      </c>
      <c r="T327" s="1018" t="str">
        <f ca="1">IF($C327="","", IF(OR($P327=$V$1,$P327=$V$7,COUNTIFS($C$3:$C327,$C327,$E$3:$E327,$E327)&lt;=1),$P327,""    ))</f>
        <v/>
      </c>
      <c r="U327" s="1019" t="str">
        <f ca="1">IF(AND($P327=$V$2,COUNTIFS($C$3:$C327,$C327,$E$3:$E327,$E327,$G$3:$G327,$G327)&lt;=1),$P327,"")</f>
        <v/>
      </c>
    </row>
    <row r="328" spans="1:21">
      <c r="A328" s="991" t="str">
        <f ca="1">IFERROR(IF(COUNTIF($A$3:A327,A327)&lt; INDEX(TinhGia!$BH$10:$BH$81,MATCH($A327,TinhGia!$B$10:$B$81,0)),$A327,INDEX(TinhGia!$B$10:$B$81,MATCH($A327,TinhGia!$B$10:$B$81,0)+1)),"")</f>
        <v/>
      </c>
      <c r="B328" s="525" t="str">
        <f ca="1">IF(OR(A328="",A328=0),"",IF(COUNTIF($A$2:A328,$A328)=1,ROW(MauKoXoa!$C$108),$B327+1))</f>
        <v/>
      </c>
      <c r="C328" s="992" t="str">
        <f t="shared" ca="1" si="40"/>
        <v/>
      </c>
      <c r="D328" s="993" t="str">
        <f t="shared" ca="1" si="41"/>
        <v/>
      </c>
      <c r="E328" s="993" t="str">
        <f t="shared" ca="1" si="42"/>
        <v/>
      </c>
      <c r="F328" s="992" t="str">
        <f t="shared" ca="1" si="55"/>
        <v/>
      </c>
      <c r="G328" s="994">
        <f t="shared" ca="1" si="43"/>
        <v>0</v>
      </c>
      <c r="H328" s="913">
        <f t="shared" ca="1" si="44"/>
        <v>0</v>
      </c>
      <c r="I328" s="913">
        <f t="shared" ca="1" si="45"/>
        <v>0</v>
      </c>
      <c r="J328" s="995">
        <f t="shared" ca="1" si="56"/>
        <v>0</v>
      </c>
      <c r="K328" s="913">
        <f t="shared" ca="1" si="47"/>
        <v>0</v>
      </c>
      <c r="L328" s="995">
        <f t="shared" ca="1" si="57"/>
        <v>0</v>
      </c>
      <c r="M328" s="913">
        <f t="shared" ca="1" si="49"/>
        <v>0</v>
      </c>
      <c r="N328" s="996">
        <f t="shared" ca="1" si="50"/>
        <v>0</v>
      </c>
      <c r="O328" s="997">
        <f t="shared" ca="1" si="51"/>
        <v>0</v>
      </c>
      <c r="P328" s="1015" t="str">
        <f ca="1">IF($C328="","",INDEX(NVLSX!$N$2:$N$6941,MATCH($C328,NVLSX!$E$2:$E$6941,0)))</f>
        <v/>
      </c>
      <c r="Q328" s="1016" t="str">
        <f ca="1">IF($R328="","",IF(XKNVLSX!$X$1="",IF($P328=$V$7,$P328, IF(COUNTIFS($C$2:$C327,$C328,$E$2:$E327,$E328)&gt;=1,"",$P328)),     IF(AND(IFERROR(SEARCH($R328,XKNVLSX!$X$1,1),0)&gt;=1,$P328=$V$7),$P328, IF(OR($R328&lt;&gt;IF(IFERROR(SEARCH($R328,XKNVLSX!$X$1,1),0)&gt;=1,$R328,XKNVLSX!$X$1),COUNTIFS($C$2:$C327,$C328,$E$2:$E327,$E328,$Q$2:$Q327,$P328)&gt;=1),"",$P328))))</f>
        <v/>
      </c>
      <c r="R328" s="1017" t="str">
        <f ca="1">IF($A328="","",IFERROR(INDEX(TinhGia!$BF$10:$BF$81,MATCH($A328,TinhGia!$B$10:$B$81,0)),""))</f>
        <v/>
      </c>
      <c r="S328" s="1012" t="str">
        <f ca="1">IF($A328="","",IF(OR(IFERROR(SEARCH($R328,XKNVLSX!$X$1,1),0)&gt;=1,XKNVLSX!$X$1=""),$S$2,""))</f>
        <v/>
      </c>
      <c r="T328" s="1018" t="str">
        <f ca="1">IF($C328="","", IF(OR($P328=$V$1,$P328=$V$7,COUNTIFS($C$3:$C328,$C328,$E$3:$E328,$E328)&lt;=1),$P328,""    ))</f>
        <v/>
      </c>
      <c r="U328" s="1019" t="str">
        <f ca="1">IF(AND($P328=$V$2,COUNTIFS($C$3:$C328,$C328,$E$3:$E328,$E328,$G$3:$G328,$G328)&lt;=1),$P328,"")</f>
        <v/>
      </c>
    </row>
    <row r="329" spans="1:21">
      <c r="A329" s="991" t="str">
        <f ca="1">IFERROR(IF(COUNTIF($A$3:A328,A328)&lt; INDEX(TinhGia!$BH$10:$BH$81,MATCH($A328,TinhGia!$B$10:$B$81,0)),$A328,INDEX(TinhGia!$B$10:$B$81,MATCH($A328,TinhGia!$B$10:$B$81,0)+1)),"")</f>
        <v/>
      </c>
      <c r="B329" s="525" t="str">
        <f ca="1">IF(OR(A329="",A329=0),"",IF(COUNTIF($A$2:A329,$A329)=1,ROW(MauKoXoa!$C$108),$B328+1))</f>
        <v/>
      </c>
      <c r="C329" s="992" t="str">
        <f t="shared" ca="1" si="40"/>
        <v/>
      </c>
      <c r="D329" s="993" t="str">
        <f t="shared" ca="1" si="41"/>
        <v/>
      </c>
      <c r="E329" s="993" t="str">
        <f t="shared" ca="1" si="42"/>
        <v/>
      </c>
      <c r="F329" s="992" t="str">
        <f t="shared" ca="1" si="55"/>
        <v/>
      </c>
      <c r="G329" s="994">
        <f t="shared" ca="1" si="43"/>
        <v>0</v>
      </c>
      <c r="H329" s="913">
        <f t="shared" ca="1" si="44"/>
        <v>0</v>
      </c>
      <c r="I329" s="913">
        <f t="shared" ca="1" si="45"/>
        <v>0</v>
      </c>
      <c r="J329" s="995">
        <f t="shared" ca="1" si="56"/>
        <v>0</v>
      </c>
      <c r="K329" s="913">
        <f t="shared" ca="1" si="47"/>
        <v>0</v>
      </c>
      <c r="L329" s="995">
        <f t="shared" ca="1" si="57"/>
        <v>0</v>
      </c>
      <c r="M329" s="913">
        <f t="shared" ca="1" si="49"/>
        <v>0</v>
      </c>
      <c r="N329" s="996">
        <f t="shared" ca="1" si="50"/>
        <v>0</v>
      </c>
      <c r="O329" s="997">
        <f t="shared" ca="1" si="51"/>
        <v>0</v>
      </c>
      <c r="P329" s="1015" t="str">
        <f ca="1">IF($C329="","",INDEX(NVLSX!$N$2:$N$6941,MATCH($C329,NVLSX!$E$2:$E$6941,0)))</f>
        <v/>
      </c>
      <c r="Q329" s="1016" t="str">
        <f ca="1">IF($R329="","",IF(XKNVLSX!$X$1="",IF($P329=$V$7,$P329, IF(COUNTIFS($C$2:$C328,$C329,$E$2:$E328,$E329)&gt;=1,"",$P329)),     IF(AND(IFERROR(SEARCH($R329,XKNVLSX!$X$1,1),0)&gt;=1,$P329=$V$7),$P329, IF(OR($R329&lt;&gt;IF(IFERROR(SEARCH($R329,XKNVLSX!$X$1,1),0)&gt;=1,$R329,XKNVLSX!$X$1),COUNTIFS($C$2:$C328,$C329,$E$2:$E328,$E329,$Q$2:$Q328,$P329)&gt;=1),"",$P329))))</f>
        <v/>
      </c>
      <c r="R329" s="1017" t="str">
        <f ca="1">IF($A329="","",IFERROR(INDEX(TinhGia!$BF$10:$BF$81,MATCH($A329,TinhGia!$B$10:$B$81,0)),""))</f>
        <v/>
      </c>
      <c r="S329" s="1012" t="str">
        <f ca="1">IF($A329="","",IF(OR(IFERROR(SEARCH($R329,XKNVLSX!$X$1,1),0)&gt;=1,XKNVLSX!$X$1=""),$S$2,""))</f>
        <v/>
      </c>
      <c r="T329" s="1018" t="str">
        <f ca="1">IF($C329="","", IF(OR($P329=$V$1,$P329=$V$7,COUNTIFS($C$3:$C329,$C329,$E$3:$E329,$E329)&lt;=1),$P329,""    ))</f>
        <v/>
      </c>
      <c r="U329" s="1019" t="str">
        <f ca="1">IF(AND($P329=$V$2,COUNTIFS($C$3:$C329,$C329,$E$3:$E329,$E329,$G$3:$G329,$G329)&lt;=1),$P329,"")</f>
        <v/>
      </c>
    </row>
    <row r="330" spans="1:21">
      <c r="A330" s="991" t="str">
        <f ca="1">IFERROR(IF(COUNTIF($A$3:A329,A329)&lt; INDEX(TinhGia!$BH$10:$BH$81,MATCH($A329,TinhGia!$B$10:$B$81,0)),$A329,INDEX(TinhGia!$B$10:$B$81,MATCH($A329,TinhGia!$B$10:$B$81,0)+1)),"")</f>
        <v/>
      </c>
      <c r="B330" s="525" t="str">
        <f ca="1">IF(OR(A330="",A330=0),"",IF(COUNTIF($A$2:A330,$A330)=1,ROW(MauKoXoa!$C$108),$B329+1))</f>
        <v/>
      </c>
      <c r="C330" s="992" t="str">
        <f t="shared" ca="1" si="40"/>
        <v/>
      </c>
      <c r="D330" s="993" t="str">
        <f t="shared" ca="1" si="41"/>
        <v/>
      </c>
      <c r="E330" s="993" t="str">
        <f t="shared" ca="1" si="42"/>
        <v/>
      </c>
      <c r="F330" s="992" t="str">
        <f t="shared" ca="1" si="55"/>
        <v/>
      </c>
      <c r="G330" s="994">
        <f t="shared" ca="1" si="43"/>
        <v>0</v>
      </c>
      <c r="H330" s="913">
        <f t="shared" ca="1" si="44"/>
        <v>0</v>
      </c>
      <c r="I330" s="913">
        <f t="shared" ca="1" si="45"/>
        <v>0</v>
      </c>
      <c r="J330" s="995">
        <f t="shared" ca="1" si="56"/>
        <v>0</v>
      </c>
      <c r="K330" s="913">
        <f t="shared" ca="1" si="47"/>
        <v>0</v>
      </c>
      <c r="L330" s="995">
        <f t="shared" ca="1" si="57"/>
        <v>0</v>
      </c>
      <c r="M330" s="913">
        <f t="shared" ca="1" si="49"/>
        <v>0</v>
      </c>
      <c r="N330" s="996">
        <f t="shared" ca="1" si="50"/>
        <v>0</v>
      </c>
      <c r="O330" s="997">
        <f t="shared" ca="1" si="51"/>
        <v>0</v>
      </c>
      <c r="P330" s="1015" t="str">
        <f ca="1">IF($C330="","",INDEX(NVLSX!$N$2:$N$6941,MATCH($C330,NVLSX!$E$2:$E$6941,0)))</f>
        <v/>
      </c>
      <c r="Q330" s="1016" t="str">
        <f ca="1">IF($R330="","",IF(XKNVLSX!$X$1="",IF($P330=$V$7,$P330, IF(COUNTIFS($C$2:$C329,$C330,$E$2:$E329,$E330)&gt;=1,"",$P330)),     IF(AND(IFERROR(SEARCH($R330,XKNVLSX!$X$1,1),0)&gt;=1,$P330=$V$7),$P330, IF(OR($R330&lt;&gt;IF(IFERROR(SEARCH($R330,XKNVLSX!$X$1,1),0)&gt;=1,$R330,XKNVLSX!$X$1),COUNTIFS($C$2:$C329,$C330,$E$2:$E329,$E330,$Q$2:$Q329,$P330)&gt;=1),"",$P330))))</f>
        <v/>
      </c>
      <c r="R330" s="1017" t="str">
        <f ca="1">IF($A330="","",IFERROR(INDEX(TinhGia!$BF$10:$BF$81,MATCH($A330,TinhGia!$B$10:$B$81,0)),""))</f>
        <v/>
      </c>
      <c r="S330" s="1012" t="str">
        <f ca="1">IF($A330="","",IF(OR(IFERROR(SEARCH($R330,XKNVLSX!$X$1,1),0)&gt;=1,XKNVLSX!$X$1=""),$S$2,""))</f>
        <v/>
      </c>
      <c r="T330" s="1018" t="str">
        <f ca="1">IF($C330="","", IF(OR($P330=$V$1,$P330=$V$7,COUNTIFS($C$3:$C330,$C330,$E$3:$E330,$E330)&lt;=1),$P330,""    ))</f>
        <v/>
      </c>
      <c r="U330" s="1019" t="str">
        <f ca="1">IF(AND($P330=$V$2,COUNTIFS($C$3:$C330,$C330,$E$3:$E330,$E330,$G$3:$G330,$G330)&lt;=1),$P330,"")</f>
        <v/>
      </c>
    </row>
    <row r="331" spans="1:21">
      <c r="A331" s="991" t="str">
        <f ca="1">IFERROR(IF(COUNTIF($A$3:A330,A330)&lt; INDEX(TinhGia!$BH$10:$BH$81,MATCH($A330,TinhGia!$B$10:$B$81,0)),$A330,INDEX(TinhGia!$B$10:$B$81,MATCH($A330,TinhGia!$B$10:$B$81,0)+1)),"")</f>
        <v/>
      </c>
      <c r="B331" s="525" t="str">
        <f ca="1">IF(OR(A331="",A331=0),"",IF(COUNTIF($A$2:A331,$A331)=1,ROW(MauKoXoa!$C$108),$B330+1))</f>
        <v/>
      </c>
      <c r="C331" s="992" t="str">
        <f t="shared" ca="1" si="40"/>
        <v/>
      </c>
      <c r="D331" s="993" t="str">
        <f t="shared" ca="1" si="41"/>
        <v/>
      </c>
      <c r="E331" s="993" t="str">
        <f t="shared" ca="1" si="42"/>
        <v/>
      </c>
      <c r="F331" s="992" t="str">
        <f t="shared" ca="1" si="55"/>
        <v/>
      </c>
      <c r="G331" s="994">
        <f t="shared" ca="1" si="43"/>
        <v>0</v>
      </c>
      <c r="H331" s="913">
        <f t="shared" ca="1" si="44"/>
        <v>0</v>
      </c>
      <c r="I331" s="913">
        <f t="shared" ca="1" si="45"/>
        <v>0</v>
      </c>
      <c r="J331" s="995">
        <f t="shared" ca="1" si="56"/>
        <v>0</v>
      </c>
      <c r="K331" s="913">
        <f t="shared" ca="1" si="47"/>
        <v>0</v>
      </c>
      <c r="L331" s="995">
        <f t="shared" ca="1" si="57"/>
        <v>0</v>
      </c>
      <c r="M331" s="913">
        <f t="shared" ca="1" si="49"/>
        <v>0</v>
      </c>
      <c r="N331" s="996">
        <f t="shared" ca="1" si="50"/>
        <v>0</v>
      </c>
      <c r="O331" s="997">
        <f t="shared" ca="1" si="51"/>
        <v>0</v>
      </c>
      <c r="P331" s="1015" t="str">
        <f ca="1">IF($C331="","",INDEX(NVLSX!$N$2:$N$6941,MATCH($C331,NVLSX!$E$2:$E$6941,0)))</f>
        <v/>
      </c>
      <c r="Q331" s="1016" t="str">
        <f ca="1">IF($R331="","",IF(XKNVLSX!$X$1="",IF($P331=$V$7,$P331, IF(COUNTIFS($C$2:$C330,$C331,$E$2:$E330,$E331)&gt;=1,"",$P331)),     IF(AND(IFERROR(SEARCH($R331,XKNVLSX!$X$1,1),0)&gt;=1,$P331=$V$7),$P331, IF(OR($R331&lt;&gt;IF(IFERROR(SEARCH($R331,XKNVLSX!$X$1,1),0)&gt;=1,$R331,XKNVLSX!$X$1),COUNTIFS($C$2:$C330,$C331,$E$2:$E330,$E331,$Q$2:$Q330,$P331)&gt;=1),"",$P331))))</f>
        <v/>
      </c>
      <c r="R331" s="1017" t="str">
        <f ca="1">IF($A331="","",IFERROR(INDEX(TinhGia!$BF$10:$BF$81,MATCH($A331,TinhGia!$B$10:$B$81,0)),""))</f>
        <v/>
      </c>
      <c r="S331" s="1012" t="str">
        <f ca="1">IF($A331="","",IF(OR(IFERROR(SEARCH($R331,XKNVLSX!$X$1,1),0)&gt;=1,XKNVLSX!$X$1=""),$S$2,""))</f>
        <v/>
      </c>
      <c r="T331" s="1018" t="str">
        <f ca="1">IF($C331="","", IF(OR($P331=$V$1,$P331=$V$7,COUNTIFS($C$3:$C331,$C331,$E$3:$E331,$E331)&lt;=1),$P331,""    ))</f>
        <v/>
      </c>
      <c r="U331" s="1019" t="str">
        <f ca="1">IF(AND($P331=$V$2,COUNTIFS($C$3:$C331,$C331,$E$3:$E331,$E331,$G$3:$G331,$G331)&lt;=1),$P331,"")</f>
        <v/>
      </c>
    </row>
    <row r="332" spans="1:21">
      <c r="A332" s="991" t="str">
        <f ca="1">IFERROR(IF(COUNTIF($A$3:A331,A331)&lt; INDEX(TinhGia!$BH$10:$BH$81,MATCH($A331,TinhGia!$B$10:$B$81,0)),$A331,INDEX(TinhGia!$B$10:$B$81,MATCH($A331,TinhGia!$B$10:$B$81,0)+1)),"")</f>
        <v/>
      </c>
      <c r="B332" s="525" t="str">
        <f ca="1">IF(OR(A332="",A332=0),"",IF(COUNTIF($A$2:A332,$A332)=1,ROW(MauKoXoa!$C$108),$B331+1))</f>
        <v/>
      </c>
      <c r="C332" s="992" t="str">
        <f t="shared" ca="1" si="40"/>
        <v/>
      </c>
      <c r="D332" s="993" t="str">
        <f t="shared" ca="1" si="41"/>
        <v/>
      </c>
      <c r="E332" s="993" t="str">
        <f t="shared" ca="1" si="42"/>
        <v/>
      </c>
      <c r="F332" s="992" t="str">
        <f t="shared" ca="1" si="55"/>
        <v/>
      </c>
      <c r="G332" s="994">
        <f t="shared" ca="1" si="43"/>
        <v>0</v>
      </c>
      <c r="H332" s="913">
        <f t="shared" ca="1" si="44"/>
        <v>0</v>
      </c>
      <c r="I332" s="913">
        <f t="shared" ca="1" si="45"/>
        <v>0</v>
      </c>
      <c r="J332" s="995">
        <f t="shared" ca="1" si="56"/>
        <v>0</v>
      </c>
      <c r="K332" s="913">
        <f t="shared" ca="1" si="47"/>
        <v>0</v>
      </c>
      <c r="L332" s="995">
        <f t="shared" ca="1" si="57"/>
        <v>0</v>
      </c>
      <c r="M332" s="913">
        <f t="shared" ca="1" si="49"/>
        <v>0</v>
      </c>
      <c r="N332" s="996">
        <f t="shared" ca="1" si="50"/>
        <v>0</v>
      </c>
      <c r="O332" s="997">
        <f t="shared" ca="1" si="51"/>
        <v>0</v>
      </c>
      <c r="P332" s="1015" t="str">
        <f ca="1">IF($C332="","",INDEX(NVLSX!$N$2:$N$6941,MATCH($C332,NVLSX!$E$2:$E$6941,0)))</f>
        <v/>
      </c>
      <c r="Q332" s="1016" t="str">
        <f ca="1">IF($R332="","",IF(XKNVLSX!$X$1="",IF($P332=$V$7,$P332, IF(COUNTIFS($C$2:$C331,$C332,$E$2:$E331,$E332)&gt;=1,"",$P332)),     IF(AND(IFERROR(SEARCH($R332,XKNVLSX!$X$1,1),0)&gt;=1,$P332=$V$7),$P332, IF(OR($R332&lt;&gt;IF(IFERROR(SEARCH($R332,XKNVLSX!$X$1,1),0)&gt;=1,$R332,XKNVLSX!$X$1),COUNTIFS($C$2:$C331,$C332,$E$2:$E331,$E332,$Q$2:$Q331,$P332)&gt;=1),"",$P332))))</f>
        <v/>
      </c>
      <c r="R332" s="1017" t="str">
        <f ca="1">IF($A332="","",IFERROR(INDEX(TinhGia!$BF$10:$BF$81,MATCH($A332,TinhGia!$B$10:$B$81,0)),""))</f>
        <v/>
      </c>
      <c r="S332" s="1012" t="str">
        <f ca="1">IF($A332="","",IF(OR(IFERROR(SEARCH($R332,XKNVLSX!$X$1,1),0)&gt;=1,XKNVLSX!$X$1=""),$S$2,""))</f>
        <v/>
      </c>
      <c r="T332" s="1018" t="str">
        <f ca="1">IF($C332="","", IF(OR($P332=$V$1,$P332=$V$7,COUNTIFS($C$3:$C332,$C332,$E$3:$E332,$E332)&lt;=1),$P332,""    ))</f>
        <v/>
      </c>
      <c r="U332" s="1019" t="str">
        <f ca="1">IF(AND($P332=$V$2,COUNTIFS($C$3:$C332,$C332,$E$3:$E332,$E332,$G$3:$G332,$G332)&lt;=1),$P332,"")</f>
        <v/>
      </c>
    </row>
    <row r="333" spans="1:21">
      <c r="A333" s="991" t="str">
        <f ca="1">IFERROR(IF(COUNTIF($A$3:A332,A332)&lt; INDEX(TinhGia!$BH$10:$BH$81,MATCH($A332,TinhGia!$B$10:$B$81,0)),$A332,INDEX(TinhGia!$B$10:$B$81,MATCH($A332,TinhGia!$B$10:$B$81,0)+1)),"")</f>
        <v/>
      </c>
      <c r="B333" s="525" t="str">
        <f ca="1">IF(OR(A333="",A333=0),"",IF(COUNTIF($A$2:A333,$A333)=1,ROW(MauKoXoa!$C$108),$B332+1))</f>
        <v/>
      </c>
      <c r="C333" s="992" t="str">
        <f t="shared" ca="1" si="40"/>
        <v/>
      </c>
      <c r="D333" s="993" t="str">
        <f t="shared" ca="1" si="41"/>
        <v/>
      </c>
      <c r="E333" s="993" t="str">
        <f t="shared" ca="1" si="42"/>
        <v/>
      </c>
      <c r="F333" s="992" t="str">
        <f t="shared" ca="1" si="55"/>
        <v/>
      </c>
      <c r="G333" s="994">
        <f t="shared" ca="1" si="43"/>
        <v>0</v>
      </c>
      <c r="H333" s="913">
        <f t="shared" ca="1" si="44"/>
        <v>0</v>
      </c>
      <c r="I333" s="913">
        <f t="shared" ca="1" si="45"/>
        <v>0</v>
      </c>
      <c r="J333" s="995">
        <f t="shared" ca="1" si="56"/>
        <v>0</v>
      </c>
      <c r="K333" s="913">
        <f t="shared" ca="1" si="47"/>
        <v>0</v>
      </c>
      <c r="L333" s="995">
        <f t="shared" ca="1" si="57"/>
        <v>0</v>
      </c>
      <c r="M333" s="913">
        <f t="shared" ca="1" si="49"/>
        <v>0</v>
      </c>
      <c r="N333" s="996">
        <f t="shared" ca="1" si="50"/>
        <v>0</v>
      </c>
      <c r="O333" s="997">
        <f t="shared" ca="1" si="51"/>
        <v>0</v>
      </c>
      <c r="P333" s="1015" t="str">
        <f ca="1">IF($C333="","",INDEX(NVLSX!$N$2:$N$6941,MATCH($C333,NVLSX!$E$2:$E$6941,0)))</f>
        <v/>
      </c>
      <c r="Q333" s="1016" t="str">
        <f ca="1">IF($R333="","",IF(XKNVLSX!$X$1="",IF($P333=$V$7,$P333, IF(COUNTIFS($C$2:$C332,$C333,$E$2:$E332,$E333)&gt;=1,"",$P333)),     IF(AND(IFERROR(SEARCH($R333,XKNVLSX!$X$1,1),0)&gt;=1,$P333=$V$7),$P333, IF(OR($R333&lt;&gt;IF(IFERROR(SEARCH($R333,XKNVLSX!$X$1,1),0)&gt;=1,$R333,XKNVLSX!$X$1),COUNTIFS($C$2:$C332,$C333,$E$2:$E332,$E333,$Q$2:$Q332,$P333)&gt;=1),"",$P333))))</f>
        <v/>
      </c>
      <c r="R333" s="1017" t="str">
        <f ca="1">IF($A333="","",IFERROR(INDEX(TinhGia!$BF$10:$BF$81,MATCH($A333,TinhGia!$B$10:$B$81,0)),""))</f>
        <v/>
      </c>
      <c r="S333" s="1012" t="str">
        <f ca="1">IF($A333="","",IF(OR(IFERROR(SEARCH($R333,XKNVLSX!$X$1,1),0)&gt;=1,XKNVLSX!$X$1=""),$S$2,""))</f>
        <v/>
      </c>
      <c r="T333" s="1018" t="str">
        <f ca="1">IF($C333="","", IF(OR($P333=$V$1,$P333=$V$7,COUNTIFS($C$3:$C333,$C333,$E$3:$E333,$E333)&lt;=1),$P333,""    ))</f>
        <v/>
      </c>
      <c r="U333" s="1019" t="str">
        <f ca="1">IF(AND($P333=$V$2,COUNTIFS($C$3:$C333,$C333,$E$3:$E333,$E333,$G$3:$G333,$G333)&lt;=1),$P333,"")</f>
        <v/>
      </c>
    </row>
    <row r="334" spans="1:21">
      <c r="A334" s="991" t="str">
        <f ca="1">IFERROR(IF(COUNTIF($A$3:A333,A333)&lt; INDEX(TinhGia!$BH$10:$BH$81,MATCH($A333,TinhGia!$B$10:$B$81,0)),$A333,INDEX(TinhGia!$B$10:$B$81,MATCH($A333,TinhGia!$B$10:$B$81,0)+1)),"")</f>
        <v/>
      </c>
      <c r="B334" s="525" t="str">
        <f ca="1">IF(OR(A334="",A334=0),"",IF(COUNTIF($A$2:A334,$A334)=1,ROW(MauKoXoa!$C$108),$B333+1))</f>
        <v/>
      </c>
      <c r="C334" s="992" t="str">
        <f t="shared" ca="1" si="40"/>
        <v/>
      </c>
      <c r="D334" s="993" t="str">
        <f t="shared" ca="1" si="41"/>
        <v/>
      </c>
      <c r="E334" s="993" t="str">
        <f t="shared" ca="1" si="42"/>
        <v/>
      </c>
      <c r="F334" s="992" t="str">
        <f t="shared" ca="1" si="55"/>
        <v/>
      </c>
      <c r="G334" s="994">
        <f t="shared" ca="1" si="43"/>
        <v>0</v>
      </c>
      <c r="H334" s="913">
        <f t="shared" ca="1" si="44"/>
        <v>0</v>
      </c>
      <c r="I334" s="913">
        <f t="shared" ca="1" si="45"/>
        <v>0</v>
      </c>
      <c r="J334" s="995">
        <f t="shared" ca="1" si="56"/>
        <v>0</v>
      </c>
      <c r="K334" s="913">
        <f t="shared" ca="1" si="47"/>
        <v>0</v>
      </c>
      <c r="L334" s="995">
        <f t="shared" ca="1" si="57"/>
        <v>0</v>
      </c>
      <c r="M334" s="913">
        <f t="shared" ca="1" si="49"/>
        <v>0</v>
      </c>
      <c r="N334" s="996">
        <f t="shared" ca="1" si="50"/>
        <v>0</v>
      </c>
      <c r="O334" s="997">
        <f t="shared" ca="1" si="51"/>
        <v>0</v>
      </c>
      <c r="P334" s="1015" t="str">
        <f ca="1">IF($C334="","",INDEX(NVLSX!$N$2:$N$6941,MATCH($C334,NVLSX!$E$2:$E$6941,0)))</f>
        <v/>
      </c>
      <c r="Q334" s="1016" t="str">
        <f ca="1">IF($R334="","",IF(XKNVLSX!$X$1="",IF($P334=$V$7,$P334, IF(COUNTIFS($C$2:$C333,$C334,$E$2:$E333,$E334)&gt;=1,"",$P334)),     IF(AND(IFERROR(SEARCH($R334,XKNVLSX!$X$1,1),0)&gt;=1,$P334=$V$7),$P334, IF(OR($R334&lt;&gt;IF(IFERROR(SEARCH($R334,XKNVLSX!$X$1,1),0)&gt;=1,$R334,XKNVLSX!$X$1),COUNTIFS($C$2:$C333,$C334,$E$2:$E333,$E334,$Q$2:$Q333,$P334)&gt;=1),"",$P334))))</f>
        <v/>
      </c>
      <c r="R334" s="1017" t="str">
        <f ca="1">IF($A334="","",IFERROR(INDEX(TinhGia!$BF$10:$BF$81,MATCH($A334,TinhGia!$B$10:$B$81,0)),""))</f>
        <v/>
      </c>
      <c r="S334" s="1012" t="str">
        <f ca="1">IF($A334="","",IF(OR(IFERROR(SEARCH($R334,XKNVLSX!$X$1,1),0)&gt;=1,XKNVLSX!$X$1=""),$S$2,""))</f>
        <v/>
      </c>
      <c r="T334" s="1018" t="str">
        <f ca="1">IF($C334="","", IF(OR($P334=$V$1,$P334=$V$7,COUNTIFS($C$3:$C334,$C334,$E$3:$E334,$E334)&lt;=1),$P334,""    ))</f>
        <v/>
      </c>
      <c r="U334" s="1019" t="str">
        <f ca="1">IF(AND($P334=$V$2,COUNTIFS($C$3:$C334,$C334,$E$3:$E334,$E334,$G$3:$G334,$G334)&lt;=1),$P334,"")</f>
        <v/>
      </c>
    </row>
    <row r="335" spans="1:21">
      <c r="A335" s="991" t="str">
        <f ca="1">IFERROR(IF(COUNTIF($A$3:A334,A334)&lt; INDEX(TinhGia!$BH$10:$BH$81,MATCH($A334,TinhGia!$B$10:$B$81,0)),$A334,INDEX(TinhGia!$B$10:$B$81,MATCH($A334,TinhGia!$B$10:$B$81,0)+1)),"")</f>
        <v/>
      </c>
      <c r="B335" s="525" t="str">
        <f ca="1">IF(OR(A335="",A335=0),"",IF(COUNTIF($A$2:A335,$A335)=1,ROW(MauKoXoa!$C$108),$B334+1))</f>
        <v/>
      </c>
      <c r="C335" s="992" t="str">
        <f t="shared" ca="1" si="40"/>
        <v/>
      </c>
      <c r="D335" s="993" t="str">
        <f t="shared" ca="1" si="41"/>
        <v/>
      </c>
      <c r="E335" s="993" t="str">
        <f t="shared" ca="1" si="42"/>
        <v/>
      </c>
      <c r="F335" s="992" t="str">
        <f t="shared" ca="1" si="55"/>
        <v/>
      </c>
      <c r="G335" s="994">
        <f t="shared" ca="1" si="43"/>
        <v>0</v>
      </c>
      <c r="H335" s="913">
        <f t="shared" ca="1" si="44"/>
        <v>0</v>
      </c>
      <c r="I335" s="913">
        <f t="shared" ca="1" si="45"/>
        <v>0</v>
      </c>
      <c r="J335" s="995">
        <f t="shared" ca="1" si="56"/>
        <v>0</v>
      </c>
      <c r="K335" s="913">
        <f t="shared" ca="1" si="47"/>
        <v>0</v>
      </c>
      <c r="L335" s="995">
        <f t="shared" ca="1" si="57"/>
        <v>0</v>
      </c>
      <c r="M335" s="913">
        <f t="shared" ca="1" si="49"/>
        <v>0</v>
      </c>
      <c r="N335" s="996">
        <f t="shared" ca="1" si="50"/>
        <v>0</v>
      </c>
      <c r="O335" s="997">
        <f t="shared" ca="1" si="51"/>
        <v>0</v>
      </c>
      <c r="P335" s="1015" t="str">
        <f ca="1">IF($C335="","",INDEX(NVLSX!$N$2:$N$6941,MATCH($C335,NVLSX!$E$2:$E$6941,0)))</f>
        <v/>
      </c>
      <c r="Q335" s="1016" t="str">
        <f ca="1">IF($R335="","",IF(XKNVLSX!$X$1="",IF($P335=$V$7,$P335, IF(COUNTIFS($C$2:$C334,$C335,$E$2:$E334,$E335)&gt;=1,"",$P335)),     IF(AND(IFERROR(SEARCH($R335,XKNVLSX!$X$1,1),0)&gt;=1,$P335=$V$7),$P335, IF(OR($R335&lt;&gt;IF(IFERROR(SEARCH($R335,XKNVLSX!$X$1,1),0)&gt;=1,$R335,XKNVLSX!$X$1),COUNTIFS($C$2:$C334,$C335,$E$2:$E334,$E335,$Q$2:$Q334,$P335)&gt;=1),"",$P335))))</f>
        <v/>
      </c>
      <c r="R335" s="1017" t="str">
        <f ca="1">IF($A335="","",IFERROR(INDEX(TinhGia!$BF$10:$BF$81,MATCH($A335,TinhGia!$B$10:$B$81,0)),""))</f>
        <v/>
      </c>
      <c r="S335" s="1012" t="str">
        <f ca="1">IF($A335="","",IF(OR(IFERROR(SEARCH($R335,XKNVLSX!$X$1,1),0)&gt;=1,XKNVLSX!$X$1=""),$S$2,""))</f>
        <v/>
      </c>
      <c r="T335" s="1018" t="str">
        <f ca="1">IF($C335="","", IF(OR($P335=$V$1,$P335=$V$7,COUNTIFS($C$3:$C335,$C335,$E$3:$E335,$E335)&lt;=1),$P335,""    ))</f>
        <v/>
      </c>
      <c r="U335" s="1019" t="str">
        <f ca="1">IF(AND($P335=$V$2,COUNTIFS($C$3:$C335,$C335,$E$3:$E335,$E335,$G$3:$G335,$G335)&lt;=1),$P335,"")</f>
        <v/>
      </c>
    </row>
    <row r="336" spans="1:21">
      <c r="A336" s="991" t="str">
        <f ca="1">IFERROR(IF(COUNTIF($A$3:A335,A335)&lt; INDEX(TinhGia!$BH$10:$BH$81,MATCH($A335,TinhGia!$B$10:$B$81,0)),$A335,INDEX(TinhGia!$B$10:$B$81,MATCH($A335,TinhGia!$B$10:$B$81,0)+1)),"")</f>
        <v/>
      </c>
      <c r="B336" s="525" t="str">
        <f ca="1">IF(OR(A336="",A336=0),"",IF(COUNTIF($A$2:A336,$A336)=1,ROW(MauKoXoa!$C$108),$B335+1))</f>
        <v/>
      </c>
      <c r="C336" s="992" t="str">
        <f t="shared" ca="1" si="40"/>
        <v/>
      </c>
      <c r="D336" s="993" t="str">
        <f t="shared" ca="1" si="41"/>
        <v/>
      </c>
      <c r="E336" s="993" t="str">
        <f t="shared" ca="1" si="42"/>
        <v/>
      </c>
      <c r="F336" s="992" t="str">
        <f t="shared" ca="1" si="55"/>
        <v/>
      </c>
      <c r="G336" s="994">
        <f t="shared" ca="1" si="43"/>
        <v>0</v>
      </c>
      <c r="H336" s="913">
        <f t="shared" ca="1" si="44"/>
        <v>0</v>
      </c>
      <c r="I336" s="913">
        <f t="shared" ca="1" si="45"/>
        <v>0</v>
      </c>
      <c r="J336" s="995">
        <f t="shared" ca="1" si="56"/>
        <v>0</v>
      </c>
      <c r="K336" s="913">
        <f t="shared" ca="1" si="47"/>
        <v>0</v>
      </c>
      <c r="L336" s="995">
        <f t="shared" ca="1" si="57"/>
        <v>0</v>
      </c>
      <c r="M336" s="913">
        <f t="shared" ca="1" si="49"/>
        <v>0</v>
      </c>
      <c r="N336" s="996">
        <f t="shared" ca="1" si="50"/>
        <v>0</v>
      </c>
      <c r="O336" s="997">
        <f t="shared" ca="1" si="51"/>
        <v>0</v>
      </c>
      <c r="P336" s="1015" t="str">
        <f ca="1">IF($C336="","",INDEX(NVLSX!$N$2:$N$6941,MATCH($C336,NVLSX!$E$2:$E$6941,0)))</f>
        <v/>
      </c>
      <c r="Q336" s="1016" t="str">
        <f ca="1">IF($R336="","",IF(XKNVLSX!$X$1="",IF($P336=$V$7,$P336, IF(COUNTIFS($C$2:$C335,$C336,$E$2:$E335,$E336)&gt;=1,"",$P336)),     IF(AND(IFERROR(SEARCH($R336,XKNVLSX!$X$1,1),0)&gt;=1,$P336=$V$7),$P336, IF(OR($R336&lt;&gt;IF(IFERROR(SEARCH($R336,XKNVLSX!$X$1,1),0)&gt;=1,$R336,XKNVLSX!$X$1),COUNTIFS($C$2:$C335,$C336,$E$2:$E335,$E336,$Q$2:$Q335,$P336)&gt;=1),"",$P336))))</f>
        <v/>
      </c>
      <c r="R336" s="1017" t="str">
        <f ca="1">IF($A336="","",IFERROR(INDEX(TinhGia!$BF$10:$BF$81,MATCH($A336,TinhGia!$B$10:$B$81,0)),""))</f>
        <v/>
      </c>
      <c r="S336" s="1012" t="str">
        <f ca="1">IF($A336="","",IF(OR(IFERROR(SEARCH($R336,XKNVLSX!$X$1,1),0)&gt;=1,XKNVLSX!$X$1=""),$S$2,""))</f>
        <v/>
      </c>
      <c r="T336" s="1018" t="str">
        <f ca="1">IF($C336="","", IF(OR($P336=$V$1,$P336=$V$7,COUNTIFS($C$3:$C336,$C336,$E$3:$E336,$E336)&lt;=1),$P336,""    ))</f>
        <v/>
      </c>
      <c r="U336" s="1019" t="str">
        <f ca="1">IF(AND($P336=$V$2,COUNTIFS($C$3:$C336,$C336,$E$3:$E336,$E336,$G$3:$G336,$G336)&lt;=1),$P336,"")</f>
        <v/>
      </c>
    </row>
    <row r="337" spans="1:21">
      <c r="A337" s="991" t="str">
        <f ca="1">IFERROR(IF(COUNTIF($A$3:A336,A336)&lt; INDEX(TinhGia!$BH$10:$BH$81,MATCH($A336,TinhGia!$B$10:$B$81,0)),$A336,INDEX(TinhGia!$B$10:$B$81,MATCH($A336,TinhGia!$B$10:$B$81,0)+1)),"")</f>
        <v/>
      </c>
      <c r="B337" s="525" t="str">
        <f ca="1">IF(OR(A337="",A337=0),"",IF(COUNTIF($A$2:A337,$A337)=1,ROW(MauKoXoa!$C$108),$B336+1))</f>
        <v/>
      </c>
      <c r="C337" s="992" t="str">
        <f t="shared" ca="1" si="40"/>
        <v/>
      </c>
      <c r="D337" s="993" t="str">
        <f t="shared" ca="1" si="41"/>
        <v/>
      </c>
      <c r="E337" s="993" t="str">
        <f t="shared" ca="1" si="42"/>
        <v/>
      </c>
      <c r="F337" s="992" t="str">
        <f t="shared" ca="1" si="55"/>
        <v/>
      </c>
      <c r="G337" s="994">
        <f t="shared" ca="1" si="43"/>
        <v>0</v>
      </c>
      <c r="H337" s="913">
        <f t="shared" ca="1" si="44"/>
        <v>0</v>
      </c>
      <c r="I337" s="913">
        <f t="shared" ca="1" si="45"/>
        <v>0</v>
      </c>
      <c r="J337" s="995">
        <f t="shared" ca="1" si="56"/>
        <v>0</v>
      </c>
      <c r="K337" s="913">
        <f t="shared" ca="1" si="47"/>
        <v>0</v>
      </c>
      <c r="L337" s="995">
        <f t="shared" ca="1" si="57"/>
        <v>0</v>
      </c>
      <c r="M337" s="913">
        <f t="shared" ca="1" si="49"/>
        <v>0</v>
      </c>
      <c r="N337" s="996">
        <f t="shared" ca="1" si="50"/>
        <v>0</v>
      </c>
      <c r="O337" s="997">
        <f t="shared" ca="1" si="51"/>
        <v>0</v>
      </c>
      <c r="P337" s="1015" t="str">
        <f ca="1">IF($C337="","",INDEX(NVLSX!$N$2:$N$6941,MATCH($C337,NVLSX!$E$2:$E$6941,0)))</f>
        <v/>
      </c>
      <c r="Q337" s="1016" t="str">
        <f ca="1">IF($R337="","",IF(XKNVLSX!$X$1="",IF($P337=$V$7,$P337, IF(COUNTIFS($C$2:$C336,$C337,$E$2:$E336,$E337)&gt;=1,"",$P337)),     IF(AND(IFERROR(SEARCH($R337,XKNVLSX!$X$1,1),0)&gt;=1,$P337=$V$7),$P337, IF(OR($R337&lt;&gt;IF(IFERROR(SEARCH($R337,XKNVLSX!$X$1,1),0)&gt;=1,$R337,XKNVLSX!$X$1),COUNTIFS($C$2:$C336,$C337,$E$2:$E336,$E337,$Q$2:$Q336,$P337)&gt;=1),"",$P337))))</f>
        <v/>
      </c>
      <c r="R337" s="1017" t="str">
        <f ca="1">IF($A337="","",IFERROR(INDEX(TinhGia!$BF$10:$BF$81,MATCH($A337,TinhGia!$B$10:$B$81,0)),""))</f>
        <v/>
      </c>
      <c r="S337" s="1012" t="str">
        <f ca="1">IF($A337="","",IF(OR(IFERROR(SEARCH($R337,XKNVLSX!$X$1,1),0)&gt;=1,XKNVLSX!$X$1=""),$S$2,""))</f>
        <v/>
      </c>
      <c r="T337" s="1018" t="str">
        <f ca="1">IF($C337="","", IF(OR($P337=$V$1,$P337=$V$7,COUNTIFS($C$3:$C337,$C337,$E$3:$E337,$E337)&lt;=1),$P337,""    ))</f>
        <v/>
      </c>
      <c r="U337" s="1019" t="str">
        <f ca="1">IF(AND($P337=$V$2,COUNTIFS($C$3:$C337,$C337,$E$3:$E337,$E337,$G$3:$G337,$G337)&lt;=1),$P337,"")</f>
        <v/>
      </c>
    </row>
    <row r="338" spans="1:21">
      <c r="A338" s="991" t="str">
        <f ca="1">IFERROR(IF(COUNTIF($A$3:A337,A337)&lt; INDEX(TinhGia!$BH$10:$BH$81,MATCH($A337,TinhGia!$B$10:$B$81,0)),$A337,INDEX(TinhGia!$B$10:$B$81,MATCH($A337,TinhGia!$B$10:$B$81,0)+1)),"")</f>
        <v/>
      </c>
      <c r="B338" s="525" t="str">
        <f ca="1">IF(OR(A338="",A338=0),"",IF(COUNTIF($A$2:A338,$A338)=1,ROW(MauKoXoa!$C$108),$B337+1))</f>
        <v/>
      </c>
      <c r="C338" s="992" t="str">
        <f t="shared" ca="1" si="40"/>
        <v/>
      </c>
      <c r="D338" s="993" t="str">
        <f t="shared" ca="1" si="41"/>
        <v/>
      </c>
      <c r="E338" s="993" t="str">
        <f t="shared" ca="1" si="42"/>
        <v/>
      </c>
      <c r="F338" s="992" t="str">
        <f t="shared" ca="1" si="55"/>
        <v/>
      </c>
      <c r="G338" s="994">
        <f t="shared" ca="1" si="43"/>
        <v>0</v>
      </c>
      <c r="H338" s="913">
        <f t="shared" ca="1" si="44"/>
        <v>0</v>
      </c>
      <c r="I338" s="913">
        <f t="shared" ca="1" si="45"/>
        <v>0</v>
      </c>
      <c r="J338" s="995">
        <f t="shared" ca="1" si="56"/>
        <v>0</v>
      </c>
      <c r="K338" s="913">
        <f t="shared" ca="1" si="47"/>
        <v>0</v>
      </c>
      <c r="L338" s="995">
        <f t="shared" ca="1" si="57"/>
        <v>0</v>
      </c>
      <c r="M338" s="913">
        <f t="shared" ca="1" si="49"/>
        <v>0</v>
      </c>
      <c r="N338" s="996">
        <f t="shared" ca="1" si="50"/>
        <v>0</v>
      </c>
      <c r="O338" s="997">
        <f t="shared" ca="1" si="51"/>
        <v>0</v>
      </c>
      <c r="P338" s="1015" t="str">
        <f ca="1">IF($C338="","",INDEX(NVLSX!$N$2:$N$6941,MATCH($C338,NVLSX!$E$2:$E$6941,0)))</f>
        <v/>
      </c>
      <c r="Q338" s="1016" t="str">
        <f ca="1">IF($R338="","",IF(XKNVLSX!$X$1="",IF($P338=$V$7,$P338, IF(COUNTIFS($C$2:$C337,$C338,$E$2:$E337,$E338)&gt;=1,"",$P338)),     IF(AND(IFERROR(SEARCH($R338,XKNVLSX!$X$1,1),0)&gt;=1,$P338=$V$7),$P338, IF(OR($R338&lt;&gt;IF(IFERROR(SEARCH($R338,XKNVLSX!$X$1,1),0)&gt;=1,$R338,XKNVLSX!$X$1),COUNTIFS($C$2:$C337,$C338,$E$2:$E337,$E338,$Q$2:$Q337,$P338)&gt;=1),"",$P338))))</f>
        <v/>
      </c>
      <c r="R338" s="1017" t="str">
        <f ca="1">IF($A338="","",IFERROR(INDEX(TinhGia!$BF$10:$BF$81,MATCH($A338,TinhGia!$B$10:$B$81,0)),""))</f>
        <v/>
      </c>
      <c r="S338" s="1012" t="str">
        <f ca="1">IF($A338="","",IF(OR(IFERROR(SEARCH($R338,XKNVLSX!$X$1,1),0)&gt;=1,XKNVLSX!$X$1=""),$S$2,""))</f>
        <v/>
      </c>
      <c r="T338" s="1018" t="str">
        <f ca="1">IF($C338="","", IF(OR($P338=$V$1,$P338=$V$7,COUNTIFS($C$3:$C338,$C338,$E$3:$E338,$E338)&lt;=1),$P338,""    ))</f>
        <v/>
      </c>
      <c r="U338" s="1019" t="str">
        <f ca="1">IF(AND($P338=$V$2,COUNTIFS($C$3:$C338,$C338,$E$3:$E338,$E338,$G$3:$G338,$G338)&lt;=1),$P338,"")</f>
        <v/>
      </c>
    </row>
    <row r="339" spans="1:21">
      <c r="A339" s="991" t="str">
        <f ca="1">IFERROR(IF(COUNTIF($A$3:A338,A338)&lt; INDEX(TinhGia!$BH$10:$BH$81,MATCH($A338,TinhGia!$B$10:$B$81,0)),$A338,INDEX(TinhGia!$B$10:$B$81,MATCH($A338,TinhGia!$B$10:$B$81,0)+1)),"")</f>
        <v/>
      </c>
      <c r="B339" s="525" t="str">
        <f ca="1">IF(OR(A339="",A339=0),"",IF(COUNTIF($A$2:A339,$A339)=1,ROW(MauKoXoa!$C$108),$B338+1))</f>
        <v/>
      </c>
      <c r="C339" s="992" t="str">
        <f t="shared" ca="1" si="40"/>
        <v/>
      </c>
      <c r="D339" s="993" t="str">
        <f t="shared" ca="1" si="41"/>
        <v/>
      </c>
      <c r="E339" s="993" t="str">
        <f t="shared" ca="1" si="42"/>
        <v/>
      </c>
      <c r="F339" s="992" t="str">
        <f t="shared" ca="1" si="55"/>
        <v/>
      </c>
      <c r="G339" s="994">
        <f t="shared" ca="1" si="43"/>
        <v>0</v>
      </c>
      <c r="H339" s="913">
        <f t="shared" ca="1" si="44"/>
        <v>0</v>
      </c>
      <c r="I339" s="913">
        <f t="shared" ca="1" si="45"/>
        <v>0</v>
      </c>
      <c r="J339" s="995">
        <f t="shared" ca="1" si="56"/>
        <v>0</v>
      </c>
      <c r="K339" s="913">
        <f t="shared" ca="1" si="47"/>
        <v>0</v>
      </c>
      <c r="L339" s="995">
        <f t="shared" ca="1" si="57"/>
        <v>0</v>
      </c>
      <c r="M339" s="913">
        <f t="shared" ca="1" si="49"/>
        <v>0</v>
      </c>
      <c r="N339" s="996">
        <f t="shared" ca="1" si="50"/>
        <v>0</v>
      </c>
      <c r="O339" s="997">
        <f t="shared" ca="1" si="51"/>
        <v>0</v>
      </c>
      <c r="P339" s="1015" t="str">
        <f ca="1">IF($C339="","",INDEX(NVLSX!$N$2:$N$6941,MATCH($C339,NVLSX!$E$2:$E$6941,0)))</f>
        <v/>
      </c>
      <c r="Q339" s="1016" t="str">
        <f ca="1">IF($R339="","",IF(XKNVLSX!$X$1="",IF($P339=$V$7,$P339, IF(COUNTIFS($C$2:$C338,$C339,$E$2:$E338,$E339)&gt;=1,"",$P339)),     IF(AND(IFERROR(SEARCH($R339,XKNVLSX!$X$1,1),0)&gt;=1,$P339=$V$7),$P339, IF(OR($R339&lt;&gt;IF(IFERROR(SEARCH($R339,XKNVLSX!$X$1,1),0)&gt;=1,$R339,XKNVLSX!$X$1),COUNTIFS($C$2:$C338,$C339,$E$2:$E338,$E339,$Q$2:$Q338,$P339)&gt;=1),"",$P339))))</f>
        <v/>
      </c>
      <c r="R339" s="1017" t="str">
        <f ca="1">IF($A339="","",IFERROR(INDEX(TinhGia!$BF$10:$BF$81,MATCH($A339,TinhGia!$B$10:$B$81,0)),""))</f>
        <v/>
      </c>
      <c r="S339" s="1012" t="str">
        <f ca="1">IF($A339="","",IF(OR(IFERROR(SEARCH($R339,XKNVLSX!$X$1,1),0)&gt;=1,XKNVLSX!$X$1=""),$S$2,""))</f>
        <v/>
      </c>
      <c r="T339" s="1018" t="str">
        <f ca="1">IF($C339="","", IF(OR($P339=$V$1,$P339=$V$7,COUNTIFS($C$3:$C339,$C339,$E$3:$E339,$E339)&lt;=1),$P339,""    ))</f>
        <v/>
      </c>
      <c r="U339" s="1019" t="str">
        <f ca="1">IF(AND($P339=$V$2,COUNTIFS($C$3:$C339,$C339,$E$3:$E339,$E339,$G$3:$G339,$G339)&lt;=1),$P339,"")</f>
        <v/>
      </c>
    </row>
    <row r="340" spans="1:21">
      <c r="A340" s="991" t="str">
        <f ca="1">IFERROR(IF(COUNTIF($A$3:A339,A339)&lt; INDEX(TinhGia!$BH$10:$BH$81,MATCH($A339,TinhGia!$B$10:$B$81,0)),$A339,INDEX(TinhGia!$B$10:$B$81,MATCH($A339,TinhGia!$B$10:$B$81,0)+1)),"")</f>
        <v/>
      </c>
      <c r="B340" s="525" t="str">
        <f ca="1">IF(OR(A340="",A340=0),"",IF(COUNTIF($A$2:A340,$A340)=1,ROW(MauKoXoa!$C$108),$B339+1))</f>
        <v/>
      </c>
      <c r="C340" s="992" t="str">
        <f t="shared" ca="1" si="40"/>
        <v/>
      </c>
      <c r="D340" s="993" t="str">
        <f t="shared" ca="1" si="41"/>
        <v/>
      </c>
      <c r="E340" s="993" t="str">
        <f t="shared" ca="1" si="42"/>
        <v/>
      </c>
      <c r="F340" s="992" t="str">
        <f t="shared" ca="1" si="55"/>
        <v/>
      </c>
      <c r="G340" s="994">
        <f t="shared" ca="1" si="43"/>
        <v>0</v>
      </c>
      <c r="H340" s="913">
        <f t="shared" ca="1" si="44"/>
        <v>0</v>
      </c>
      <c r="I340" s="913">
        <f t="shared" ca="1" si="45"/>
        <v>0</v>
      </c>
      <c r="J340" s="995">
        <f t="shared" ca="1" si="56"/>
        <v>0</v>
      </c>
      <c r="K340" s="913">
        <f t="shared" ca="1" si="47"/>
        <v>0</v>
      </c>
      <c r="L340" s="995">
        <f t="shared" ca="1" si="57"/>
        <v>0</v>
      </c>
      <c r="M340" s="913">
        <f t="shared" ca="1" si="49"/>
        <v>0</v>
      </c>
      <c r="N340" s="996">
        <f t="shared" ca="1" si="50"/>
        <v>0</v>
      </c>
      <c r="O340" s="997">
        <f t="shared" ca="1" si="51"/>
        <v>0</v>
      </c>
      <c r="P340" s="1015" t="str">
        <f ca="1">IF($C340="","",INDEX(NVLSX!$N$2:$N$6941,MATCH($C340,NVLSX!$E$2:$E$6941,0)))</f>
        <v/>
      </c>
      <c r="Q340" s="1016" t="str">
        <f ca="1">IF($R340="","",IF(XKNVLSX!$X$1="",IF($P340=$V$7,$P340, IF(COUNTIFS($C$2:$C339,$C340,$E$2:$E339,$E340)&gt;=1,"",$P340)),     IF(AND(IFERROR(SEARCH($R340,XKNVLSX!$X$1,1),0)&gt;=1,$P340=$V$7),$P340, IF(OR($R340&lt;&gt;IF(IFERROR(SEARCH($R340,XKNVLSX!$X$1,1),0)&gt;=1,$R340,XKNVLSX!$X$1),COUNTIFS($C$2:$C339,$C340,$E$2:$E339,$E340,$Q$2:$Q339,$P340)&gt;=1),"",$P340))))</f>
        <v/>
      </c>
      <c r="R340" s="1017" t="str">
        <f ca="1">IF($A340="","",IFERROR(INDEX(TinhGia!$BF$10:$BF$81,MATCH($A340,TinhGia!$B$10:$B$81,0)),""))</f>
        <v/>
      </c>
      <c r="S340" s="1012" t="str">
        <f ca="1">IF($A340="","",IF(OR(IFERROR(SEARCH($R340,XKNVLSX!$X$1,1),0)&gt;=1,XKNVLSX!$X$1=""),$S$2,""))</f>
        <v/>
      </c>
      <c r="T340" s="1018" t="str">
        <f ca="1">IF($C340="","", IF(OR($P340=$V$1,$P340=$V$7,COUNTIFS($C$3:$C340,$C340,$E$3:$E340,$E340)&lt;=1),$P340,""    ))</f>
        <v/>
      </c>
      <c r="U340" s="1019" t="str">
        <f ca="1">IF(AND($P340=$V$2,COUNTIFS($C$3:$C340,$C340,$E$3:$E340,$E340,$G$3:$G340,$G340)&lt;=1),$P340,"")</f>
        <v/>
      </c>
    </row>
    <row r="341" spans="1:21">
      <c r="A341" s="991" t="str">
        <f ca="1">IFERROR(IF(COUNTIF($A$3:A340,A340)&lt; INDEX(TinhGia!$BH$10:$BH$81,MATCH($A340,TinhGia!$B$10:$B$81,0)),$A340,INDEX(TinhGia!$B$10:$B$81,MATCH($A340,TinhGia!$B$10:$B$81,0)+1)),"")</f>
        <v/>
      </c>
      <c r="B341" s="525" t="str">
        <f ca="1">IF(OR(A341="",A341=0),"",IF(COUNTIF($A$2:A341,$A341)=1,ROW(MauKoXoa!$C$108),$B340+1))</f>
        <v/>
      </c>
      <c r="C341" s="992" t="str">
        <f t="shared" ca="1" si="40"/>
        <v/>
      </c>
      <c r="D341" s="993" t="str">
        <f t="shared" ca="1" si="41"/>
        <v/>
      </c>
      <c r="E341" s="993" t="str">
        <f t="shared" ca="1" si="42"/>
        <v/>
      </c>
      <c r="F341" s="992" t="str">
        <f t="shared" ca="1" si="55"/>
        <v/>
      </c>
      <c r="G341" s="994">
        <f t="shared" ca="1" si="43"/>
        <v>0</v>
      </c>
      <c r="H341" s="913">
        <f t="shared" ca="1" si="44"/>
        <v>0</v>
      </c>
      <c r="I341" s="913">
        <f t="shared" ca="1" si="45"/>
        <v>0</v>
      </c>
      <c r="J341" s="995">
        <f t="shared" ca="1" si="56"/>
        <v>0</v>
      </c>
      <c r="K341" s="913">
        <f t="shared" ca="1" si="47"/>
        <v>0</v>
      </c>
      <c r="L341" s="995">
        <f t="shared" ca="1" si="57"/>
        <v>0</v>
      </c>
      <c r="M341" s="913">
        <f t="shared" ca="1" si="49"/>
        <v>0</v>
      </c>
      <c r="N341" s="996">
        <f t="shared" ca="1" si="50"/>
        <v>0</v>
      </c>
      <c r="O341" s="997">
        <f t="shared" ca="1" si="51"/>
        <v>0</v>
      </c>
      <c r="P341" s="1015" t="str">
        <f ca="1">IF($C341="","",INDEX(NVLSX!$N$2:$N$6941,MATCH($C341,NVLSX!$E$2:$E$6941,0)))</f>
        <v/>
      </c>
      <c r="Q341" s="1016" t="str">
        <f ca="1">IF($R341="","",IF(XKNVLSX!$X$1="",IF($P341=$V$7,$P341, IF(COUNTIFS($C$2:$C340,$C341,$E$2:$E340,$E341)&gt;=1,"",$P341)),     IF(AND(IFERROR(SEARCH($R341,XKNVLSX!$X$1,1),0)&gt;=1,$P341=$V$7),$P341, IF(OR($R341&lt;&gt;IF(IFERROR(SEARCH($R341,XKNVLSX!$X$1,1),0)&gt;=1,$R341,XKNVLSX!$X$1),COUNTIFS($C$2:$C340,$C341,$E$2:$E340,$E341,$Q$2:$Q340,$P341)&gt;=1),"",$P341))))</f>
        <v/>
      </c>
      <c r="R341" s="1017" t="str">
        <f ca="1">IF($A341="","",IFERROR(INDEX(TinhGia!$BF$10:$BF$81,MATCH($A341,TinhGia!$B$10:$B$81,0)),""))</f>
        <v/>
      </c>
      <c r="S341" s="1012" t="str">
        <f ca="1">IF($A341="","",IF(OR(IFERROR(SEARCH($R341,XKNVLSX!$X$1,1),0)&gt;=1,XKNVLSX!$X$1=""),$S$2,""))</f>
        <v/>
      </c>
      <c r="T341" s="1018" t="str">
        <f ca="1">IF($C341="","", IF(OR($P341=$V$1,$P341=$V$7,COUNTIFS($C$3:$C341,$C341,$E$3:$E341,$E341)&lt;=1),$P341,""    ))</f>
        <v/>
      </c>
      <c r="U341" s="1019" t="str">
        <f ca="1">IF(AND($P341=$V$2,COUNTIFS($C$3:$C341,$C341,$E$3:$E341,$E341,$G$3:$G341,$G341)&lt;=1),$P341,"")</f>
        <v/>
      </c>
    </row>
    <row r="342" spans="1:21">
      <c r="A342" s="991" t="str">
        <f ca="1">IFERROR(IF(COUNTIF($A$3:A341,A341)&lt; INDEX(TinhGia!$BH$10:$BH$81,MATCH($A341,TinhGia!$B$10:$B$81,0)),$A341,INDEX(TinhGia!$B$10:$B$81,MATCH($A341,TinhGia!$B$10:$B$81,0)+1)),"")</f>
        <v/>
      </c>
      <c r="B342" s="525" t="str">
        <f ca="1">IF(OR(A342="",A342=0),"",IF(COUNTIF($A$2:A342,$A342)=1,ROW(MauKoXoa!$C$108),$B341+1))</f>
        <v/>
      </c>
      <c r="C342" s="992" t="str">
        <f t="shared" ca="1" si="40"/>
        <v/>
      </c>
      <c r="D342" s="993" t="str">
        <f t="shared" ca="1" si="41"/>
        <v/>
      </c>
      <c r="E342" s="993" t="str">
        <f t="shared" ca="1" si="42"/>
        <v/>
      </c>
      <c r="F342" s="992" t="str">
        <f t="shared" ca="1" si="55"/>
        <v/>
      </c>
      <c r="G342" s="994">
        <f t="shared" ca="1" si="43"/>
        <v>0</v>
      </c>
      <c r="H342" s="913">
        <f t="shared" ca="1" si="44"/>
        <v>0</v>
      </c>
      <c r="I342" s="913">
        <f t="shared" ca="1" si="45"/>
        <v>0</v>
      </c>
      <c r="J342" s="995">
        <f t="shared" ca="1" si="56"/>
        <v>0</v>
      </c>
      <c r="K342" s="913">
        <f t="shared" ca="1" si="47"/>
        <v>0</v>
      </c>
      <c r="L342" s="995">
        <f t="shared" ca="1" si="57"/>
        <v>0</v>
      </c>
      <c r="M342" s="913">
        <f t="shared" ca="1" si="49"/>
        <v>0</v>
      </c>
      <c r="N342" s="996">
        <f t="shared" ca="1" si="50"/>
        <v>0</v>
      </c>
      <c r="O342" s="997">
        <f t="shared" ca="1" si="51"/>
        <v>0</v>
      </c>
      <c r="P342" s="1015" t="str">
        <f ca="1">IF($C342="","",INDEX(NVLSX!$N$2:$N$6941,MATCH($C342,NVLSX!$E$2:$E$6941,0)))</f>
        <v/>
      </c>
      <c r="Q342" s="1016" t="str">
        <f ca="1">IF($R342="","",IF(XKNVLSX!$X$1="",IF($P342=$V$7,$P342, IF(COUNTIFS($C$2:$C341,$C342,$E$2:$E341,$E342)&gt;=1,"",$P342)),     IF(AND(IFERROR(SEARCH($R342,XKNVLSX!$X$1,1),0)&gt;=1,$P342=$V$7),$P342, IF(OR($R342&lt;&gt;IF(IFERROR(SEARCH($R342,XKNVLSX!$X$1,1),0)&gt;=1,$R342,XKNVLSX!$X$1),COUNTIFS($C$2:$C341,$C342,$E$2:$E341,$E342,$Q$2:$Q341,$P342)&gt;=1),"",$P342))))</f>
        <v/>
      </c>
      <c r="R342" s="1017" t="str">
        <f ca="1">IF($A342="","",IFERROR(INDEX(TinhGia!$BF$10:$BF$81,MATCH($A342,TinhGia!$B$10:$B$81,0)),""))</f>
        <v/>
      </c>
      <c r="S342" s="1012" t="str">
        <f ca="1">IF($A342="","",IF(OR(IFERROR(SEARCH($R342,XKNVLSX!$X$1,1),0)&gt;=1,XKNVLSX!$X$1=""),$S$2,""))</f>
        <v/>
      </c>
      <c r="T342" s="1018" t="str">
        <f ca="1">IF($C342="","", IF(OR($P342=$V$1,$P342=$V$7,COUNTIFS($C$3:$C342,$C342,$E$3:$E342,$E342)&lt;=1),$P342,""    ))</f>
        <v/>
      </c>
      <c r="U342" s="1019" t="str">
        <f ca="1">IF(AND($P342=$V$2,COUNTIFS($C$3:$C342,$C342,$E$3:$E342,$E342,$G$3:$G342,$G342)&lt;=1),$P342,"")</f>
        <v/>
      </c>
    </row>
    <row r="343" spans="1:21">
      <c r="A343" s="991" t="str">
        <f ca="1">IFERROR(IF(COUNTIF($A$3:A342,A342)&lt; INDEX(TinhGia!$BH$10:$BH$81,MATCH($A342,TinhGia!$B$10:$B$81,0)),$A342,INDEX(TinhGia!$B$10:$B$81,MATCH($A342,TinhGia!$B$10:$B$81,0)+1)),"")</f>
        <v/>
      </c>
      <c r="B343" s="525" t="str">
        <f ca="1">IF(OR(A343="",A343=0),"",IF(COUNTIF($A$2:A343,$A343)=1,ROW(MauKoXoa!$C$108),$B342+1))</f>
        <v/>
      </c>
      <c r="C343" s="992" t="str">
        <f t="shared" ca="1" si="40"/>
        <v/>
      </c>
      <c r="D343" s="993" t="str">
        <f t="shared" ca="1" si="41"/>
        <v/>
      </c>
      <c r="E343" s="993" t="str">
        <f t="shared" ca="1" si="42"/>
        <v/>
      </c>
      <c r="F343" s="992" t="str">
        <f t="shared" ca="1" si="55"/>
        <v/>
      </c>
      <c r="G343" s="994">
        <f t="shared" ca="1" si="43"/>
        <v>0</v>
      </c>
      <c r="H343" s="913">
        <f t="shared" ca="1" si="44"/>
        <v>0</v>
      </c>
      <c r="I343" s="913">
        <f t="shared" ca="1" si="45"/>
        <v>0</v>
      </c>
      <c r="J343" s="995">
        <f t="shared" ca="1" si="56"/>
        <v>0</v>
      </c>
      <c r="K343" s="913">
        <f t="shared" ca="1" si="47"/>
        <v>0</v>
      </c>
      <c r="L343" s="995">
        <f t="shared" ca="1" si="57"/>
        <v>0</v>
      </c>
      <c r="M343" s="913">
        <f t="shared" ca="1" si="49"/>
        <v>0</v>
      </c>
      <c r="N343" s="996">
        <f t="shared" ca="1" si="50"/>
        <v>0</v>
      </c>
      <c r="O343" s="997">
        <f t="shared" ca="1" si="51"/>
        <v>0</v>
      </c>
      <c r="P343" s="1015" t="str">
        <f ca="1">IF($C343="","",INDEX(NVLSX!$N$2:$N$6941,MATCH($C343,NVLSX!$E$2:$E$6941,0)))</f>
        <v/>
      </c>
      <c r="Q343" s="1016" t="str">
        <f ca="1">IF($R343="","",IF(XKNVLSX!$X$1="",IF($P343=$V$7,$P343, IF(COUNTIFS($C$2:$C342,$C343,$E$2:$E342,$E343)&gt;=1,"",$P343)),     IF(AND(IFERROR(SEARCH($R343,XKNVLSX!$X$1,1),0)&gt;=1,$P343=$V$7),$P343, IF(OR($R343&lt;&gt;IF(IFERROR(SEARCH($R343,XKNVLSX!$X$1,1),0)&gt;=1,$R343,XKNVLSX!$X$1),COUNTIFS($C$2:$C342,$C343,$E$2:$E342,$E343,$Q$2:$Q342,$P343)&gt;=1),"",$P343))))</f>
        <v/>
      </c>
      <c r="R343" s="1017" t="str">
        <f ca="1">IF($A343="","",IFERROR(INDEX(TinhGia!$BF$10:$BF$81,MATCH($A343,TinhGia!$B$10:$B$81,0)),""))</f>
        <v/>
      </c>
      <c r="S343" s="1012" t="str">
        <f ca="1">IF($A343="","",IF(OR(IFERROR(SEARCH($R343,XKNVLSX!$X$1,1),0)&gt;=1,XKNVLSX!$X$1=""),$S$2,""))</f>
        <v/>
      </c>
      <c r="T343" s="1018" t="str">
        <f ca="1">IF($C343="","", IF(OR($P343=$V$1,$P343=$V$7,COUNTIFS($C$3:$C343,$C343,$E$3:$E343,$E343)&lt;=1),$P343,""    ))</f>
        <v/>
      </c>
      <c r="U343" s="1019" t="str">
        <f ca="1">IF(AND($P343=$V$2,COUNTIFS($C$3:$C343,$C343,$E$3:$E343,$E343,$G$3:$G343,$G343)&lt;=1),$P343,"")</f>
        <v/>
      </c>
    </row>
    <row r="344" spans="1:21">
      <c r="A344" s="991" t="str">
        <f ca="1">IFERROR(IF(COUNTIF($A$3:A343,A343)&lt; INDEX(TinhGia!$BH$10:$BH$81,MATCH($A343,TinhGia!$B$10:$B$81,0)),$A343,INDEX(TinhGia!$B$10:$B$81,MATCH($A343,TinhGia!$B$10:$B$81,0)+1)),"")</f>
        <v/>
      </c>
      <c r="B344" s="525" t="str">
        <f ca="1">IF(OR(A344="",A344=0),"",IF(COUNTIF($A$2:A344,$A344)=1,ROW(MauKoXoa!$C$108),$B343+1))</f>
        <v/>
      </c>
      <c r="C344" s="992" t="str">
        <f t="shared" ca="1" si="40"/>
        <v/>
      </c>
      <c r="D344" s="993" t="str">
        <f t="shared" ca="1" si="41"/>
        <v/>
      </c>
      <c r="E344" s="993" t="str">
        <f t="shared" ca="1" si="42"/>
        <v/>
      </c>
      <c r="F344" s="992" t="str">
        <f t="shared" ca="1" si="55"/>
        <v/>
      </c>
      <c r="G344" s="994">
        <f t="shared" ca="1" si="43"/>
        <v>0</v>
      </c>
      <c r="H344" s="913">
        <f t="shared" ca="1" si="44"/>
        <v>0</v>
      </c>
      <c r="I344" s="913">
        <f t="shared" ca="1" si="45"/>
        <v>0</v>
      </c>
      <c r="J344" s="995">
        <f t="shared" ca="1" si="56"/>
        <v>0</v>
      </c>
      <c r="K344" s="913">
        <f t="shared" ca="1" si="47"/>
        <v>0</v>
      </c>
      <c r="L344" s="995">
        <f t="shared" ca="1" si="57"/>
        <v>0</v>
      </c>
      <c r="M344" s="913">
        <f t="shared" ca="1" si="49"/>
        <v>0</v>
      </c>
      <c r="N344" s="996">
        <f t="shared" ca="1" si="50"/>
        <v>0</v>
      </c>
      <c r="O344" s="997">
        <f t="shared" ca="1" si="51"/>
        <v>0</v>
      </c>
      <c r="P344" s="1015" t="str">
        <f ca="1">IF($C344="","",INDEX(NVLSX!$N$2:$N$6941,MATCH($C344,NVLSX!$E$2:$E$6941,0)))</f>
        <v/>
      </c>
      <c r="Q344" s="1016" t="str">
        <f ca="1">IF($R344="","",IF(XKNVLSX!$X$1="",IF($P344=$V$7,$P344, IF(COUNTIFS($C$2:$C343,$C344,$E$2:$E343,$E344)&gt;=1,"",$P344)),     IF(AND(IFERROR(SEARCH($R344,XKNVLSX!$X$1,1),0)&gt;=1,$P344=$V$7),$P344, IF(OR($R344&lt;&gt;IF(IFERROR(SEARCH($R344,XKNVLSX!$X$1,1),0)&gt;=1,$R344,XKNVLSX!$X$1),COUNTIFS($C$2:$C343,$C344,$E$2:$E343,$E344,$Q$2:$Q343,$P344)&gt;=1),"",$P344))))</f>
        <v/>
      </c>
      <c r="R344" s="1017" t="str">
        <f ca="1">IF($A344="","",IFERROR(INDEX(TinhGia!$BF$10:$BF$81,MATCH($A344,TinhGia!$B$10:$B$81,0)),""))</f>
        <v/>
      </c>
      <c r="S344" s="1012" t="str">
        <f ca="1">IF($A344="","",IF(OR(IFERROR(SEARCH($R344,XKNVLSX!$X$1,1),0)&gt;=1,XKNVLSX!$X$1=""),$S$2,""))</f>
        <v/>
      </c>
      <c r="T344" s="1018" t="str">
        <f ca="1">IF($C344="","", IF(OR($P344=$V$1,$P344=$V$7,COUNTIFS($C$3:$C344,$C344,$E$3:$E344,$E344)&lt;=1),$P344,""    ))</f>
        <v/>
      </c>
      <c r="U344" s="1019" t="str">
        <f ca="1">IF(AND($P344=$V$2,COUNTIFS($C$3:$C344,$C344,$E$3:$E344,$E344,$G$3:$G344,$G344)&lt;=1),$P344,"")</f>
        <v/>
      </c>
    </row>
    <row r="345" spans="1:21">
      <c r="A345" s="991" t="str">
        <f ca="1">IFERROR(IF(COUNTIF($A$3:A344,A344)&lt; INDEX(TinhGia!$BH$10:$BH$81,MATCH($A344,TinhGia!$B$10:$B$81,0)),$A344,INDEX(TinhGia!$B$10:$B$81,MATCH($A344,TinhGia!$B$10:$B$81,0)+1)),"")</f>
        <v/>
      </c>
      <c r="B345" s="525" t="str">
        <f ca="1">IF(OR(A345="",A345=0),"",IF(COUNTIF($A$2:A345,$A345)=1,ROW(MauKoXoa!$C$108),$B344+1))</f>
        <v/>
      </c>
      <c r="C345" s="992" t="str">
        <f t="shared" ca="1" si="40"/>
        <v/>
      </c>
      <c r="D345" s="993" t="str">
        <f t="shared" ca="1" si="41"/>
        <v/>
      </c>
      <c r="E345" s="993" t="str">
        <f t="shared" ca="1" si="42"/>
        <v/>
      </c>
      <c r="F345" s="992" t="str">
        <f t="shared" ca="1" si="55"/>
        <v/>
      </c>
      <c r="G345" s="994">
        <f t="shared" ca="1" si="43"/>
        <v>0</v>
      </c>
      <c r="H345" s="913">
        <f t="shared" ca="1" si="44"/>
        <v>0</v>
      </c>
      <c r="I345" s="913">
        <f t="shared" ca="1" si="45"/>
        <v>0</v>
      </c>
      <c r="J345" s="995">
        <f t="shared" ca="1" si="56"/>
        <v>0</v>
      </c>
      <c r="K345" s="913">
        <f t="shared" ca="1" si="47"/>
        <v>0</v>
      </c>
      <c r="L345" s="995">
        <f t="shared" ca="1" si="57"/>
        <v>0</v>
      </c>
      <c r="M345" s="913">
        <f t="shared" ca="1" si="49"/>
        <v>0</v>
      </c>
      <c r="N345" s="996">
        <f t="shared" ca="1" si="50"/>
        <v>0</v>
      </c>
      <c r="O345" s="997">
        <f t="shared" ca="1" si="51"/>
        <v>0</v>
      </c>
      <c r="P345" s="1015" t="str">
        <f ca="1">IF($C345="","",INDEX(NVLSX!$N$2:$N$6941,MATCH($C345,NVLSX!$E$2:$E$6941,0)))</f>
        <v/>
      </c>
      <c r="Q345" s="1016" t="str">
        <f ca="1">IF($R345="","",IF(XKNVLSX!$X$1="",IF($P345=$V$7,$P345, IF(COUNTIFS($C$2:$C344,$C345,$E$2:$E344,$E345)&gt;=1,"",$P345)),     IF(AND(IFERROR(SEARCH($R345,XKNVLSX!$X$1,1),0)&gt;=1,$P345=$V$7),$P345, IF(OR($R345&lt;&gt;IF(IFERROR(SEARCH($R345,XKNVLSX!$X$1,1),0)&gt;=1,$R345,XKNVLSX!$X$1),COUNTIFS($C$2:$C344,$C345,$E$2:$E344,$E345,$Q$2:$Q344,$P345)&gt;=1),"",$P345))))</f>
        <v/>
      </c>
      <c r="R345" s="1017" t="str">
        <f ca="1">IF($A345="","",IFERROR(INDEX(TinhGia!$BF$10:$BF$81,MATCH($A345,TinhGia!$B$10:$B$81,0)),""))</f>
        <v/>
      </c>
      <c r="S345" s="1012" t="str">
        <f ca="1">IF($A345="","",IF(OR(IFERROR(SEARCH($R345,XKNVLSX!$X$1,1),0)&gt;=1,XKNVLSX!$X$1=""),$S$2,""))</f>
        <v/>
      </c>
      <c r="T345" s="1018" t="str">
        <f ca="1">IF($C345="","", IF(OR($P345=$V$1,$P345=$V$7,COUNTIFS($C$3:$C345,$C345,$E$3:$E345,$E345)&lt;=1),$P345,""    ))</f>
        <v/>
      </c>
      <c r="U345" s="1019" t="str">
        <f ca="1">IF(AND($P345=$V$2,COUNTIFS($C$3:$C345,$C345,$E$3:$E345,$E345,$G$3:$G345,$G345)&lt;=1),$P345,"")</f>
        <v/>
      </c>
    </row>
    <row r="346" spans="1:21">
      <c r="A346" s="991" t="str">
        <f ca="1">IFERROR(IF(COUNTIF($A$3:A345,A345)&lt; INDEX(TinhGia!$BH$10:$BH$81,MATCH($A345,TinhGia!$B$10:$B$81,0)),$A345,INDEX(TinhGia!$B$10:$B$81,MATCH($A345,TinhGia!$B$10:$B$81,0)+1)),"")</f>
        <v/>
      </c>
      <c r="B346" s="525" t="str">
        <f ca="1">IF(OR(A346="",A346=0),"",IF(COUNTIF($A$2:A346,$A346)=1,ROW(MauKoXoa!$C$108),$B345+1))</f>
        <v/>
      </c>
      <c r="C346" s="992" t="str">
        <f t="shared" ca="1" si="40"/>
        <v/>
      </c>
      <c r="D346" s="993" t="str">
        <f t="shared" ca="1" si="41"/>
        <v/>
      </c>
      <c r="E346" s="993" t="str">
        <f t="shared" ca="1" si="42"/>
        <v/>
      </c>
      <c r="F346" s="992" t="str">
        <f t="shared" ca="1" si="55"/>
        <v/>
      </c>
      <c r="G346" s="994">
        <f t="shared" ca="1" si="43"/>
        <v>0</v>
      </c>
      <c r="H346" s="913">
        <f t="shared" ca="1" si="44"/>
        <v>0</v>
      </c>
      <c r="I346" s="913">
        <f t="shared" ca="1" si="45"/>
        <v>0</v>
      </c>
      <c r="J346" s="995">
        <f t="shared" ca="1" si="56"/>
        <v>0</v>
      </c>
      <c r="K346" s="913">
        <f t="shared" ca="1" si="47"/>
        <v>0</v>
      </c>
      <c r="L346" s="995">
        <f t="shared" ca="1" si="57"/>
        <v>0</v>
      </c>
      <c r="M346" s="913">
        <f t="shared" ca="1" si="49"/>
        <v>0</v>
      </c>
      <c r="N346" s="996">
        <f t="shared" ca="1" si="50"/>
        <v>0</v>
      </c>
      <c r="O346" s="997">
        <f t="shared" ca="1" si="51"/>
        <v>0</v>
      </c>
      <c r="P346" s="1015" t="str">
        <f ca="1">IF($C346="","",INDEX(NVLSX!$N$2:$N$6941,MATCH($C346,NVLSX!$E$2:$E$6941,0)))</f>
        <v/>
      </c>
      <c r="Q346" s="1016" t="str">
        <f ca="1">IF($R346="","",IF(XKNVLSX!$X$1="",IF($P346=$V$7,$P346, IF(COUNTIFS($C$2:$C345,$C346,$E$2:$E345,$E346)&gt;=1,"",$P346)),     IF(AND(IFERROR(SEARCH($R346,XKNVLSX!$X$1,1),0)&gt;=1,$P346=$V$7),$P346, IF(OR($R346&lt;&gt;IF(IFERROR(SEARCH($R346,XKNVLSX!$X$1,1),0)&gt;=1,$R346,XKNVLSX!$X$1),COUNTIFS($C$2:$C345,$C346,$E$2:$E345,$E346,$Q$2:$Q345,$P346)&gt;=1),"",$P346))))</f>
        <v/>
      </c>
      <c r="R346" s="1017" t="str">
        <f ca="1">IF($A346="","",IFERROR(INDEX(TinhGia!$BF$10:$BF$81,MATCH($A346,TinhGia!$B$10:$B$81,0)),""))</f>
        <v/>
      </c>
      <c r="S346" s="1012" t="str">
        <f ca="1">IF($A346="","",IF(OR(IFERROR(SEARCH($R346,XKNVLSX!$X$1,1),0)&gt;=1,XKNVLSX!$X$1=""),$S$2,""))</f>
        <v/>
      </c>
      <c r="T346" s="1018" t="str">
        <f ca="1">IF($C346="","", IF(OR($P346=$V$1,$P346=$V$7,COUNTIFS($C$3:$C346,$C346,$E$3:$E346,$E346)&lt;=1),$P346,""    ))</f>
        <v/>
      </c>
      <c r="U346" s="1019" t="str">
        <f ca="1">IF(AND($P346=$V$2,COUNTIFS($C$3:$C346,$C346,$E$3:$E346,$E346,$G$3:$G346,$G346)&lt;=1),$P346,"")</f>
        <v/>
      </c>
    </row>
    <row r="347" spans="1:21">
      <c r="A347" s="991" t="str">
        <f ca="1">IFERROR(IF(COUNTIF($A$3:A346,A346)&lt; INDEX(TinhGia!$BH$10:$BH$81,MATCH($A346,TinhGia!$B$10:$B$81,0)),$A346,INDEX(TinhGia!$B$10:$B$81,MATCH($A346,TinhGia!$B$10:$B$81,0)+1)),"")</f>
        <v/>
      </c>
      <c r="B347" s="525" t="str">
        <f ca="1">IF(OR(A347="",A347=0),"",IF(COUNTIF($A$2:A347,$A347)=1,ROW(MauKoXoa!$C$108),$B346+1))</f>
        <v/>
      </c>
      <c r="C347" s="992" t="str">
        <f t="shared" ca="1" si="40"/>
        <v/>
      </c>
      <c r="D347" s="993" t="str">
        <f t="shared" ca="1" si="41"/>
        <v/>
      </c>
      <c r="E347" s="993" t="str">
        <f t="shared" ca="1" si="42"/>
        <v/>
      </c>
      <c r="F347" s="992" t="str">
        <f t="shared" ca="1" si="55"/>
        <v/>
      </c>
      <c r="G347" s="994">
        <f t="shared" ca="1" si="43"/>
        <v>0</v>
      </c>
      <c r="H347" s="913">
        <f t="shared" ca="1" si="44"/>
        <v>0</v>
      </c>
      <c r="I347" s="913">
        <f t="shared" ca="1" si="45"/>
        <v>0</v>
      </c>
      <c r="J347" s="995">
        <f t="shared" ca="1" si="56"/>
        <v>0</v>
      </c>
      <c r="K347" s="913">
        <f t="shared" ca="1" si="47"/>
        <v>0</v>
      </c>
      <c r="L347" s="995">
        <f t="shared" ca="1" si="57"/>
        <v>0</v>
      </c>
      <c r="M347" s="913">
        <f t="shared" ca="1" si="49"/>
        <v>0</v>
      </c>
      <c r="N347" s="996">
        <f t="shared" ca="1" si="50"/>
        <v>0</v>
      </c>
      <c r="O347" s="997">
        <f t="shared" ca="1" si="51"/>
        <v>0</v>
      </c>
      <c r="P347" s="1015" t="str">
        <f ca="1">IF($C347="","",INDEX(NVLSX!$N$2:$N$6941,MATCH($C347,NVLSX!$E$2:$E$6941,0)))</f>
        <v/>
      </c>
      <c r="Q347" s="1016" t="str">
        <f ca="1">IF($R347="","",IF(XKNVLSX!$X$1="",IF($P347=$V$7,$P347, IF(COUNTIFS($C$2:$C346,$C347,$E$2:$E346,$E347)&gt;=1,"",$P347)),     IF(AND(IFERROR(SEARCH($R347,XKNVLSX!$X$1,1),0)&gt;=1,$P347=$V$7),$P347, IF(OR($R347&lt;&gt;IF(IFERROR(SEARCH($R347,XKNVLSX!$X$1,1),0)&gt;=1,$R347,XKNVLSX!$X$1),COUNTIFS($C$2:$C346,$C347,$E$2:$E346,$E347,$Q$2:$Q346,$P347)&gt;=1),"",$P347))))</f>
        <v/>
      </c>
      <c r="R347" s="1017" t="str">
        <f ca="1">IF($A347="","",IFERROR(INDEX(TinhGia!$BF$10:$BF$81,MATCH($A347,TinhGia!$B$10:$B$81,0)),""))</f>
        <v/>
      </c>
      <c r="S347" s="1012" t="str">
        <f ca="1">IF($A347="","",IF(OR(IFERROR(SEARCH($R347,XKNVLSX!$X$1,1),0)&gt;=1,XKNVLSX!$X$1=""),$S$2,""))</f>
        <v/>
      </c>
      <c r="T347" s="1018" t="str">
        <f ca="1">IF($C347="","", IF(OR($P347=$V$1,$P347=$V$7,COUNTIFS($C$3:$C347,$C347,$E$3:$E347,$E347)&lt;=1),$P347,""    ))</f>
        <v/>
      </c>
      <c r="U347" s="1019" t="str">
        <f ca="1">IF(AND($P347=$V$2,COUNTIFS($C$3:$C347,$C347,$E$3:$E347,$E347,$G$3:$G347,$G347)&lt;=1),$P347,"")</f>
        <v/>
      </c>
    </row>
    <row r="348" spans="1:21">
      <c r="A348" s="991" t="str">
        <f ca="1">IFERROR(IF(COUNTIF($A$3:A347,A347)&lt; INDEX(TinhGia!$BH$10:$BH$81,MATCH($A347,TinhGia!$B$10:$B$81,0)),$A347,INDEX(TinhGia!$B$10:$B$81,MATCH($A347,TinhGia!$B$10:$B$81,0)+1)),"")</f>
        <v/>
      </c>
      <c r="B348" s="525" t="str">
        <f ca="1">IF(OR(A348="",A348=0),"",IF(COUNTIF($A$2:A348,$A348)=1,ROW(MauKoXoa!$C$108),$B347+1))</f>
        <v/>
      </c>
      <c r="C348" s="992" t="str">
        <f t="shared" ca="1" si="40"/>
        <v/>
      </c>
      <c r="D348" s="993" t="str">
        <f t="shared" ca="1" si="41"/>
        <v/>
      </c>
      <c r="E348" s="993" t="str">
        <f t="shared" ca="1" si="42"/>
        <v/>
      </c>
      <c r="F348" s="992" t="str">
        <f t="shared" ca="1" si="55"/>
        <v/>
      </c>
      <c r="G348" s="994">
        <f t="shared" ca="1" si="43"/>
        <v>0</v>
      </c>
      <c r="H348" s="913">
        <f t="shared" ca="1" si="44"/>
        <v>0</v>
      </c>
      <c r="I348" s="913">
        <f t="shared" ca="1" si="45"/>
        <v>0</v>
      </c>
      <c r="J348" s="995">
        <f t="shared" ca="1" si="56"/>
        <v>0</v>
      </c>
      <c r="K348" s="913">
        <f t="shared" ca="1" si="47"/>
        <v>0</v>
      </c>
      <c r="L348" s="995">
        <f t="shared" ca="1" si="57"/>
        <v>0</v>
      </c>
      <c r="M348" s="913">
        <f t="shared" ca="1" si="49"/>
        <v>0</v>
      </c>
      <c r="N348" s="996">
        <f t="shared" ca="1" si="50"/>
        <v>0</v>
      </c>
      <c r="O348" s="997">
        <f t="shared" ca="1" si="51"/>
        <v>0</v>
      </c>
      <c r="P348" s="1015" t="str">
        <f ca="1">IF($C348="","",INDEX(NVLSX!$N$2:$N$6941,MATCH($C348,NVLSX!$E$2:$E$6941,0)))</f>
        <v/>
      </c>
      <c r="Q348" s="1016" t="str">
        <f ca="1">IF($R348="","",IF(XKNVLSX!$X$1="",IF($P348=$V$7,$P348, IF(COUNTIFS($C$2:$C347,$C348,$E$2:$E347,$E348)&gt;=1,"",$P348)),     IF(AND(IFERROR(SEARCH($R348,XKNVLSX!$X$1,1),0)&gt;=1,$P348=$V$7),$P348, IF(OR($R348&lt;&gt;IF(IFERROR(SEARCH($R348,XKNVLSX!$X$1,1),0)&gt;=1,$R348,XKNVLSX!$X$1),COUNTIFS($C$2:$C347,$C348,$E$2:$E347,$E348,$Q$2:$Q347,$P348)&gt;=1),"",$P348))))</f>
        <v/>
      </c>
      <c r="R348" s="1017" t="str">
        <f ca="1">IF($A348="","",IFERROR(INDEX(TinhGia!$BF$10:$BF$81,MATCH($A348,TinhGia!$B$10:$B$81,0)),""))</f>
        <v/>
      </c>
      <c r="S348" s="1012" t="str">
        <f ca="1">IF($A348="","",IF(OR(IFERROR(SEARCH($R348,XKNVLSX!$X$1,1),0)&gt;=1,XKNVLSX!$X$1=""),$S$2,""))</f>
        <v/>
      </c>
      <c r="T348" s="1018" t="str">
        <f ca="1">IF($C348="","", IF(OR($P348=$V$1,$P348=$V$7,COUNTIFS($C$3:$C348,$C348,$E$3:$E348,$E348)&lt;=1),$P348,""    ))</f>
        <v/>
      </c>
      <c r="U348" s="1019" t="str">
        <f ca="1">IF(AND($P348=$V$2,COUNTIFS($C$3:$C348,$C348,$E$3:$E348,$E348,$G$3:$G348,$G348)&lt;=1),$P348,"")</f>
        <v/>
      </c>
    </row>
    <row r="349" spans="1:21">
      <c r="A349" s="991" t="str">
        <f ca="1">IFERROR(IF(COUNTIF($A$3:A348,A348)&lt; INDEX(TinhGia!$BH$10:$BH$81,MATCH($A348,TinhGia!$B$10:$B$81,0)),$A348,INDEX(TinhGia!$B$10:$B$81,MATCH($A348,TinhGia!$B$10:$B$81,0)+1)),"")</f>
        <v/>
      </c>
      <c r="B349" s="525" t="str">
        <f ca="1">IF(OR(A349="",A349=0),"",IF(COUNTIF($A$2:A349,$A349)=1,ROW(MauKoXoa!$C$108),$B348+1))</f>
        <v/>
      </c>
      <c r="C349" s="992" t="str">
        <f t="shared" ca="1" si="40"/>
        <v/>
      </c>
      <c r="D349" s="993" t="str">
        <f t="shared" ca="1" si="41"/>
        <v/>
      </c>
      <c r="E349" s="993" t="str">
        <f t="shared" ca="1" si="42"/>
        <v/>
      </c>
      <c r="F349" s="992" t="str">
        <f t="shared" ca="1" si="55"/>
        <v/>
      </c>
      <c r="G349" s="994">
        <f t="shared" ca="1" si="43"/>
        <v>0</v>
      </c>
      <c r="H349" s="913">
        <f t="shared" ca="1" si="44"/>
        <v>0</v>
      </c>
      <c r="I349" s="913">
        <f t="shared" ca="1" si="45"/>
        <v>0</v>
      </c>
      <c r="J349" s="995">
        <f t="shared" ca="1" si="56"/>
        <v>0</v>
      </c>
      <c r="K349" s="913">
        <f t="shared" ca="1" si="47"/>
        <v>0</v>
      </c>
      <c r="L349" s="995">
        <f t="shared" ca="1" si="57"/>
        <v>0</v>
      </c>
      <c r="M349" s="913">
        <f t="shared" ca="1" si="49"/>
        <v>0</v>
      </c>
      <c r="N349" s="996">
        <f t="shared" ca="1" si="50"/>
        <v>0</v>
      </c>
      <c r="O349" s="997">
        <f t="shared" ca="1" si="51"/>
        <v>0</v>
      </c>
      <c r="P349" s="1015" t="str">
        <f ca="1">IF($C349="","",INDEX(NVLSX!$N$2:$N$6941,MATCH($C349,NVLSX!$E$2:$E$6941,0)))</f>
        <v/>
      </c>
      <c r="Q349" s="1016" t="str">
        <f ca="1">IF($R349="","",IF(XKNVLSX!$X$1="",IF($P349=$V$7,$P349, IF(COUNTIFS($C$2:$C348,$C349,$E$2:$E348,$E349)&gt;=1,"",$P349)),     IF(AND(IFERROR(SEARCH($R349,XKNVLSX!$X$1,1),0)&gt;=1,$P349=$V$7),$P349, IF(OR($R349&lt;&gt;IF(IFERROR(SEARCH($R349,XKNVLSX!$X$1,1),0)&gt;=1,$R349,XKNVLSX!$X$1),COUNTIFS($C$2:$C348,$C349,$E$2:$E348,$E349,$Q$2:$Q348,$P349)&gt;=1),"",$P349))))</f>
        <v/>
      </c>
      <c r="R349" s="1017" t="str">
        <f ca="1">IF($A349="","",IFERROR(INDEX(TinhGia!$BF$10:$BF$81,MATCH($A349,TinhGia!$B$10:$B$81,0)),""))</f>
        <v/>
      </c>
      <c r="S349" s="1012" t="str">
        <f ca="1">IF($A349="","",IF(OR(IFERROR(SEARCH($R349,XKNVLSX!$X$1,1),0)&gt;=1,XKNVLSX!$X$1=""),$S$2,""))</f>
        <v/>
      </c>
      <c r="T349" s="1018" t="str">
        <f ca="1">IF($C349="","", IF(OR($P349=$V$1,$P349=$V$7,COUNTIFS($C$3:$C349,$C349,$E$3:$E349,$E349)&lt;=1),$P349,""    ))</f>
        <v/>
      </c>
      <c r="U349" s="1019" t="str">
        <f ca="1">IF(AND($P349=$V$2,COUNTIFS($C$3:$C349,$C349,$E$3:$E349,$E349,$G$3:$G349,$G349)&lt;=1),$P349,"")</f>
        <v/>
      </c>
    </row>
    <row r="350" spans="1:21">
      <c r="A350" s="991" t="str">
        <f ca="1">IFERROR(IF(COUNTIF($A$3:A349,A349)&lt; INDEX(TinhGia!$BH$10:$BH$81,MATCH($A349,TinhGia!$B$10:$B$81,0)),$A349,INDEX(TinhGia!$B$10:$B$81,MATCH($A349,TinhGia!$B$10:$B$81,0)+1)),"")</f>
        <v/>
      </c>
      <c r="B350" s="525" t="str">
        <f ca="1">IF(OR(A350="",A350=0),"",IF(COUNTIF($A$2:A350,$A350)=1,ROW(MauKoXoa!$C$108),$B349+1))</f>
        <v/>
      </c>
      <c r="C350" s="992" t="str">
        <f t="shared" ca="1" si="40"/>
        <v/>
      </c>
      <c r="D350" s="993" t="str">
        <f t="shared" ca="1" si="41"/>
        <v/>
      </c>
      <c r="E350" s="993" t="str">
        <f t="shared" ca="1" si="42"/>
        <v/>
      </c>
      <c r="F350" s="992" t="str">
        <f t="shared" ca="1" si="55"/>
        <v/>
      </c>
      <c r="G350" s="994">
        <f t="shared" ca="1" si="43"/>
        <v>0</v>
      </c>
      <c r="H350" s="913">
        <f t="shared" ca="1" si="44"/>
        <v>0</v>
      </c>
      <c r="I350" s="913">
        <f t="shared" ca="1" si="45"/>
        <v>0</v>
      </c>
      <c r="J350" s="995">
        <f t="shared" ca="1" si="56"/>
        <v>0</v>
      </c>
      <c r="K350" s="913">
        <f t="shared" ca="1" si="47"/>
        <v>0</v>
      </c>
      <c r="L350" s="995">
        <f t="shared" ca="1" si="57"/>
        <v>0</v>
      </c>
      <c r="M350" s="913">
        <f t="shared" ca="1" si="49"/>
        <v>0</v>
      </c>
      <c r="N350" s="996">
        <f t="shared" ca="1" si="50"/>
        <v>0</v>
      </c>
      <c r="O350" s="997">
        <f t="shared" ca="1" si="51"/>
        <v>0</v>
      </c>
      <c r="P350" s="1015" t="str">
        <f ca="1">IF($C350="","",INDEX(NVLSX!$N$2:$N$6941,MATCH($C350,NVLSX!$E$2:$E$6941,0)))</f>
        <v/>
      </c>
      <c r="Q350" s="1016" t="str">
        <f ca="1">IF($R350="","",IF(XKNVLSX!$X$1="",IF($P350=$V$7,$P350, IF(COUNTIFS($C$2:$C349,$C350,$E$2:$E349,$E350)&gt;=1,"",$P350)),     IF(AND(IFERROR(SEARCH($R350,XKNVLSX!$X$1,1),0)&gt;=1,$P350=$V$7),$P350, IF(OR($R350&lt;&gt;IF(IFERROR(SEARCH($R350,XKNVLSX!$X$1,1),0)&gt;=1,$R350,XKNVLSX!$X$1),COUNTIFS($C$2:$C349,$C350,$E$2:$E349,$E350,$Q$2:$Q349,$P350)&gt;=1),"",$P350))))</f>
        <v/>
      </c>
      <c r="R350" s="1017" t="str">
        <f ca="1">IF($A350="","",IFERROR(INDEX(TinhGia!$BF$10:$BF$81,MATCH($A350,TinhGia!$B$10:$B$81,0)),""))</f>
        <v/>
      </c>
      <c r="S350" s="1012" t="str">
        <f ca="1">IF($A350="","",IF(OR(IFERROR(SEARCH($R350,XKNVLSX!$X$1,1),0)&gt;=1,XKNVLSX!$X$1=""),$S$2,""))</f>
        <v/>
      </c>
      <c r="T350" s="1018" t="str">
        <f ca="1">IF($C350="","", IF(OR($P350=$V$1,$P350=$V$7,COUNTIFS($C$3:$C350,$C350,$E$3:$E350,$E350)&lt;=1),$P350,""    ))</f>
        <v/>
      </c>
      <c r="U350" s="1019" t="str">
        <f ca="1">IF(AND($P350=$V$2,COUNTIFS($C$3:$C350,$C350,$E$3:$E350,$E350,$G$3:$G350,$G350)&lt;=1),$P350,"")</f>
        <v/>
      </c>
    </row>
    <row r="351" spans="1:21">
      <c r="A351" s="991" t="str">
        <f ca="1">IFERROR(IF(COUNTIF($A$3:A350,A350)&lt; INDEX(TinhGia!$BH$10:$BH$81,MATCH($A350,TinhGia!$B$10:$B$81,0)),$A350,INDEX(TinhGia!$B$10:$B$81,MATCH($A350,TinhGia!$B$10:$B$81,0)+1)),"")</f>
        <v/>
      </c>
      <c r="B351" s="525" t="str">
        <f ca="1">IF(OR(A351="",A351=0),"",IF(COUNTIF($A$2:A351,$A351)=1,ROW(MauKoXoa!$C$108),$B350+1))</f>
        <v/>
      </c>
      <c r="C351" s="992" t="str">
        <f t="shared" ca="1" si="40"/>
        <v/>
      </c>
      <c r="D351" s="993" t="str">
        <f t="shared" ca="1" si="41"/>
        <v/>
      </c>
      <c r="E351" s="993" t="str">
        <f t="shared" ca="1" si="42"/>
        <v/>
      </c>
      <c r="F351" s="992" t="str">
        <f t="shared" ca="1" si="55"/>
        <v/>
      </c>
      <c r="G351" s="994">
        <f t="shared" ca="1" si="43"/>
        <v>0</v>
      </c>
      <c r="H351" s="913">
        <f t="shared" ca="1" si="44"/>
        <v>0</v>
      </c>
      <c r="I351" s="913">
        <f t="shared" ca="1" si="45"/>
        <v>0</v>
      </c>
      <c r="J351" s="995">
        <f t="shared" ca="1" si="56"/>
        <v>0</v>
      </c>
      <c r="K351" s="913">
        <f t="shared" ca="1" si="47"/>
        <v>0</v>
      </c>
      <c r="L351" s="995">
        <f t="shared" ca="1" si="57"/>
        <v>0</v>
      </c>
      <c r="M351" s="913">
        <f t="shared" ca="1" si="49"/>
        <v>0</v>
      </c>
      <c r="N351" s="996">
        <f t="shared" ca="1" si="50"/>
        <v>0</v>
      </c>
      <c r="O351" s="997">
        <f t="shared" ca="1" si="51"/>
        <v>0</v>
      </c>
      <c r="P351" s="1015" t="str">
        <f ca="1">IF($C351="","",INDEX(NVLSX!$N$2:$N$6941,MATCH($C351,NVLSX!$E$2:$E$6941,0)))</f>
        <v/>
      </c>
      <c r="Q351" s="1016" t="str">
        <f ca="1">IF($R351="","",IF(XKNVLSX!$X$1="",IF($P351=$V$7,$P351, IF(COUNTIFS($C$2:$C350,$C351,$E$2:$E350,$E351)&gt;=1,"",$P351)),     IF(AND(IFERROR(SEARCH($R351,XKNVLSX!$X$1,1),0)&gt;=1,$P351=$V$7),$P351, IF(OR($R351&lt;&gt;IF(IFERROR(SEARCH($R351,XKNVLSX!$X$1,1),0)&gt;=1,$R351,XKNVLSX!$X$1),COUNTIFS($C$2:$C350,$C351,$E$2:$E350,$E351,$Q$2:$Q350,$P351)&gt;=1),"",$P351))))</f>
        <v/>
      </c>
      <c r="R351" s="1017" t="str">
        <f ca="1">IF($A351="","",IFERROR(INDEX(TinhGia!$BF$10:$BF$81,MATCH($A351,TinhGia!$B$10:$B$81,0)),""))</f>
        <v/>
      </c>
      <c r="S351" s="1012" t="str">
        <f ca="1">IF($A351="","",IF(OR(IFERROR(SEARCH($R351,XKNVLSX!$X$1,1),0)&gt;=1,XKNVLSX!$X$1=""),$S$2,""))</f>
        <v/>
      </c>
      <c r="T351" s="1018" t="str">
        <f ca="1">IF($C351="","", IF(OR($P351=$V$1,$P351=$V$7,COUNTIFS($C$3:$C351,$C351,$E$3:$E351,$E351)&lt;=1),$P351,""    ))</f>
        <v/>
      </c>
      <c r="U351" s="1019" t="str">
        <f ca="1">IF(AND($P351=$V$2,COUNTIFS($C$3:$C351,$C351,$E$3:$E351,$E351,$G$3:$G351,$G351)&lt;=1),$P351,"")</f>
        <v/>
      </c>
    </row>
    <row r="352" spans="1:21">
      <c r="A352" s="991" t="str">
        <f ca="1">IFERROR(IF(COUNTIF($A$3:A351,A351)&lt; INDEX(TinhGia!$BH$10:$BH$81,MATCH($A351,TinhGia!$B$10:$B$81,0)),$A351,INDEX(TinhGia!$B$10:$B$81,MATCH($A351,TinhGia!$B$10:$B$81,0)+1)),"")</f>
        <v/>
      </c>
      <c r="B352" s="525" t="str">
        <f ca="1">IF(OR(A352="",A352=0),"",IF(COUNTIF($A$2:A352,$A352)=1,ROW(MauKoXoa!$C$108),$B351+1))</f>
        <v/>
      </c>
      <c r="C352" s="992" t="str">
        <f t="shared" ca="1" si="40"/>
        <v/>
      </c>
      <c r="D352" s="993" t="str">
        <f t="shared" ca="1" si="41"/>
        <v/>
      </c>
      <c r="E352" s="993" t="str">
        <f t="shared" ca="1" si="42"/>
        <v/>
      </c>
      <c r="F352" s="992" t="str">
        <f t="shared" ca="1" si="55"/>
        <v/>
      </c>
      <c r="G352" s="994">
        <f t="shared" ca="1" si="43"/>
        <v>0</v>
      </c>
      <c r="H352" s="913">
        <f t="shared" ca="1" si="44"/>
        <v>0</v>
      </c>
      <c r="I352" s="913">
        <f t="shared" ca="1" si="45"/>
        <v>0</v>
      </c>
      <c r="J352" s="995">
        <f t="shared" ca="1" si="56"/>
        <v>0</v>
      </c>
      <c r="K352" s="913">
        <f t="shared" ca="1" si="47"/>
        <v>0</v>
      </c>
      <c r="L352" s="995">
        <f t="shared" ca="1" si="57"/>
        <v>0</v>
      </c>
      <c r="M352" s="913">
        <f t="shared" ca="1" si="49"/>
        <v>0</v>
      </c>
      <c r="N352" s="996">
        <f t="shared" ca="1" si="50"/>
        <v>0</v>
      </c>
      <c r="O352" s="997">
        <f t="shared" ca="1" si="51"/>
        <v>0</v>
      </c>
      <c r="P352" s="1015" t="str">
        <f ca="1">IF($C352="","",INDEX(NVLSX!$N$2:$N$6941,MATCH($C352,NVLSX!$E$2:$E$6941,0)))</f>
        <v/>
      </c>
      <c r="Q352" s="1016" t="str">
        <f ca="1">IF($R352="","",IF(XKNVLSX!$X$1="",IF($P352=$V$7,$P352, IF(COUNTIFS($C$2:$C351,$C352,$E$2:$E351,$E352)&gt;=1,"",$P352)),     IF(AND(IFERROR(SEARCH($R352,XKNVLSX!$X$1,1),0)&gt;=1,$P352=$V$7),$P352, IF(OR($R352&lt;&gt;IF(IFERROR(SEARCH($R352,XKNVLSX!$X$1,1),0)&gt;=1,$R352,XKNVLSX!$X$1),COUNTIFS($C$2:$C351,$C352,$E$2:$E351,$E352,$Q$2:$Q351,$P352)&gt;=1),"",$P352))))</f>
        <v/>
      </c>
      <c r="R352" s="1017" t="str">
        <f ca="1">IF($A352="","",IFERROR(INDEX(TinhGia!$BF$10:$BF$81,MATCH($A352,TinhGia!$B$10:$B$81,0)),""))</f>
        <v/>
      </c>
      <c r="S352" s="1012" t="str">
        <f ca="1">IF($A352="","",IF(OR(IFERROR(SEARCH($R352,XKNVLSX!$X$1,1),0)&gt;=1,XKNVLSX!$X$1=""),$S$2,""))</f>
        <v/>
      </c>
      <c r="T352" s="1018" t="str">
        <f ca="1">IF($C352="","", IF(OR($P352=$V$1,$P352=$V$7,COUNTIFS($C$3:$C352,$C352,$E$3:$E352,$E352)&lt;=1),$P352,""    ))</f>
        <v/>
      </c>
      <c r="U352" s="1019" t="str">
        <f ca="1">IF(AND($P352=$V$2,COUNTIFS($C$3:$C352,$C352,$E$3:$E352,$E352,$G$3:$G352,$G352)&lt;=1),$P352,"")</f>
        <v/>
      </c>
    </row>
    <row r="353" spans="1:21">
      <c r="A353" s="991" t="str">
        <f ca="1">IFERROR(IF(COUNTIF($A$3:A352,A352)&lt; INDEX(TinhGia!$BH$10:$BH$81,MATCH($A352,TinhGia!$B$10:$B$81,0)),$A352,INDEX(TinhGia!$B$10:$B$81,MATCH($A352,TinhGia!$B$10:$B$81,0)+1)),"")</f>
        <v/>
      </c>
      <c r="B353" s="525" t="str">
        <f ca="1">IF(OR(A353="",A353=0),"",IF(COUNTIF($A$2:A353,$A353)=1,ROW(MauKoXoa!$C$108),$B352+1))</f>
        <v/>
      </c>
      <c r="C353" s="992" t="str">
        <f t="shared" ca="1" si="40"/>
        <v/>
      </c>
      <c r="D353" s="993" t="str">
        <f t="shared" ca="1" si="41"/>
        <v/>
      </c>
      <c r="E353" s="993" t="str">
        <f t="shared" ca="1" si="42"/>
        <v/>
      </c>
      <c r="F353" s="992" t="str">
        <f t="shared" ca="1" si="55"/>
        <v/>
      </c>
      <c r="G353" s="994">
        <f t="shared" ca="1" si="43"/>
        <v>0</v>
      </c>
      <c r="H353" s="913">
        <f t="shared" ca="1" si="44"/>
        <v>0</v>
      </c>
      <c r="I353" s="913">
        <f t="shared" ca="1" si="45"/>
        <v>0</v>
      </c>
      <c r="J353" s="995">
        <f t="shared" ca="1" si="56"/>
        <v>0</v>
      </c>
      <c r="K353" s="913">
        <f t="shared" ca="1" si="47"/>
        <v>0</v>
      </c>
      <c r="L353" s="995">
        <f t="shared" ca="1" si="57"/>
        <v>0</v>
      </c>
      <c r="M353" s="913">
        <f t="shared" ca="1" si="49"/>
        <v>0</v>
      </c>
      <c r="N353" s="996">
        <f t="shared" ca="1" si="50"/>
        <v>0</v>
      </c>
      <c r="O353" s="997">
        <f t="shared" ca="1" si="51"/>
        <v>0</v>
      </c>
      <c r="P353" s="1015" t="str">
        <f ca="1">IF($C353="","",INDEX(NVLSX!$N$2:$N$6941,MATCH($C353,NVLSX!$E$2:$E$6941,0)))</f>
        <v/>
      </c>
      <c r="Q353" s="1016" t="str">
        <f ca="1">IF($R353="","",IF(XKNVLSX!$X$1="",IF($P353=$V$7,$P353, IF(COUNTIFS($C$2:$C352,$C353,$E$2:$E352,$E353)&gt;=1,"",$P353)),     IF(AND(IFERROR(SEARCH($R353,XKNVLSX!$X$1,1),0)&gt;=1,$P353=$V$7),$P353, IF(OR($R353&lt;&gt;IF(IFERROR(SEARCH($R353,XKNVLSX!$X$1,1),0)&gt;=1,$R353,XKNVLSX!$X$1),COUNTIFS($C$2:$C352,$C353,$E$2:$E352,$E353,$Q$2:$Q352,$P353)&gt;=1),"",$P353))))</f>
        <v/>
      </c>
      <c r="R353" s="1017" t="str">
        <f ca="1">IF($A353="","",IFERROR(INDEX(TinhGia!$BF$10:$BF$81,MATCH($A353,TinhGia!$B$10:$B$81,0)),""))</f>
        <v/>
      </c>
      <c r="S353" s="1012" t="str">
        <f ca="1">IF($A353="","",IF(OR(IFERROR(SEARCH($R353,XKNVLSX!$X$1,1),0)&gt;=1,XKNVLSX!$X$1=""),$S$2,""))</f>
        <v/>
      </c>
      <c r="T353" s="1018" t="str">
        <f ca="1">IF($C353="","", IF(OR($P353=$V$1,$P353=$V$7,COUNTIFS($C$3:$C353,$C353,$E$3:$E353,$E353)&lt;=1),$P353,""    ))</f>
        <v/>
      </c>
      <c r="U353" s="1019" t="str">
        <f ca="1">IF(AND($P353=$V$2,COUNTIFS($C$3:$C353,$C353,$E$3:$E353,$E353,$G$3:$G353,$G353)&lt;=1),$P353,"")</f>
        <v/>
      </c>
    </row>
    <row r="354" spans="1:21">
      <c r="A354" s="991" t="str">
        <f ca="1">IFERROR(IF(COUNTIF($A$3:A353,A353)&lt; INDEX(TinhGia!$BH$10:$BH$81,MATCH($A353,TinhGia!$B$10:$B$81,0)),$A353,INDEX(TinhGia!$B$10:$B$81,MATCH($A353,TinhGia!$B$10:$B$81,0)+1)),"")</f>
        <v/>
      </c>
      <c r="B354" s="525" t="str">
        <f ca="1">IF(OR(A354="",A354=0),"",IF(COUNTIF($A$2:A354,$A354)=1,ROW(MauKoXoa!$C$108),$B353+1))</f>
        <v/>
      </c>
      <c r="C354" s="992" t="str">
        <f t="shared" ca="1" si="40"/>
        <v/>
      </c>
      <c r="D354" s="993" t="str">
        <f t="shared" ca="1" si="41"/>
        <v/>
      </c>
      <c r="E354" s="993" t="str">
        <f t="shared" ca="1" si="42"/>
        <v/>
      </c>
      <c r="F354" s="992" t="str">
        <f t="shared" ca="1" si="55"/>
        <v/>
      </c>
      <c r="G354" s="994">
        <f t="shared" ca="1" si="43"/>
        <v>0</v>
      </c>
      <c r="H354" s="913">
        <f t="shared" ca="1" si="44"/>
        <v>0</v>
      </c>
      <c r="I354" s="913">
        <f t="shared" ca="1" si="45"/>
        <v>0</v>
      </c>
      <c r="J354" s="995">
        <f t="shared" ca="1" si="56"/>
        <v>0</v>
      </c>
      <c r="K354" s="913">
        <f t="shared" ca="1" si="47"/>
        <v>0</v>
      </c>
      <c r="L354" s="995">
        <f t="shared" ca="1" si="57"/>
        <v>0</v>
      </c>
      <c r="M354" s="913">
        <f t="shared" ca="1" si="49"/>
        <v>0</v>
      </c>
      <c r="N354" s="996">
        <f t="shared" ca="1" si="50"/>
        <v>0</v>
      </c>
      <c r="O354" s="997">
        <f t="shared" ca="1" si="51"/>
        <v>0</v>
      </c>
      <c r="P354" s="1015" t="str">
        <f ca="1">IF($C354="","",INDEX(NVLSX!$N$2:$N$6941,MATCH($C354,NVLSX!$E$2:$E$6941,0)))</f>
        <v/>
      </c>
      <c r="Q354" s="1016" t="str">
        <f ca="1">IF($R354="","",IF(XKNVLSX!$X$1="",IF($P354=$V$7,$P354, IF(COUNTIFS($C$2:$C353,$C354,$E$2:$E353,$E354)&gt;=1,"",$P354)),     IF(AND(IFERROR(SEARCH($R354,XKNVLSX!$X$1,1),0)&gt;=1,$P354=$V$7),$P354, IF(OR($R354&lt;&gt;IF(IFERROR(SEARCH($R354,XKNVLSX!$X$1,1),0)&gt;=1,$R354,XKNVLSX!$X$1),COUNTIFS($C$2:$C353,$C354,$E$2:$E353,$E354,$Q$2:$Q353,$P354)&gt;=1),"",$P354))))</f>
        <v/>
      </c>
      <c r="R354" s="1017" t="str">
        <f ca="1">IF($A354="","",IFERROR(INDEX(TinhGia!$BF$10:$BF$81,MATCH($A354,TinhGia!$B$10:$B$81,0)),""))</f>
        <v/>
      </c>
      <c r="S354" s="1012" t="str">
        <f ca="1">IF($A354="","",IF(OR(IFERROR(SEARCH($R354,XKNVLSX!$X$1,1),0)&gt;=1,XKNVLSX!$X$1=""),$S$2,""))</f>
        <v/>
      </c>
      <c r="T354" s="1018" t="str">
        <f ca="1">IF($C354="","", IF(OR($P354=$V$1,$P354=$V$7,COUNTIFS($C$3:$C354,$C354,$E$3:$E354,$E354)&lt;=1),$P354,""    ))</f>
        <v/>
      </c>
      <c r="U354" s="1019" t="str">
        <f ca="1">IF(AND($P354=$V$2,COUNTIFS($C$3:$C354,$C354,$E$3:$E354,$E354,$G$3:$G354,$G354)&lt;=1),$P354,"")</f>
        <v/>
      </c>
    </row>
    <row r="355" spans="1:21">
      <c r="A355" s="991" t="str">
        <f ca="1">IFERROR(IF(COUNTIF($A$3:A354,A354)&lt; INDEX(TinhGia!$BH$10:$BH$81,MATCH($A354,TinhGia!$B$10:$B$81,0)),$A354,INDEX(TinhGia!$B$10:$B$81,MATCH($A354,TinhGia!$B$10:$B$81,0)+1)),"")</f>
        <v/>
      </c>
      <c r="B355" s="525" t="str">
        <f ca="1">IF(OR(A355="",A355=0),"",IF(COUNTIF($A$2:A355,$A355)=1,ROW(MauKoXoa!$C$108),$B354+1))</f>
        <v/>
      </c>
      <c r="C355" s="992" t="str">
        <f t="shared" ca="1" si="40"/>
        <v/>
      </c>
      <c r="D355" s="993" t="str">
        <f t="shared" ca="1" si="41"/>
        <v/>
      </c>
      <c r="E355" s="993" t="str">
        <f t="shared" ca="1" si="42"/>
        <v/>
      </c>
      <c r="F355" s="992" t="str">
        <f t="shared" ca="1" si="55"/>
        <v/>
      </c>
      <c r="G355" s="994">
        <f t="shared" ca="1" si="43"/>
        <v>0</v>
      </c>
      <c r="H355" s="913">
        <f t="shared" ca="1" si="44"/>
        <v>0</v>
      </c>
      <c r="I355" s="913">
        <f t="shared" ca="1" si="45"/>
        <v>0</v>
      </c>
      <c r="J355" s="995">
        <f t="shared" ca="1" si="56"/>
        <v>0</v>
      </c>
      <c r="K355" s="913">
        <f t="shared" ca="1" si="47"/>
        <v>0</v>
      </c>
      <c r="L355" s="995">
        <f t="shared" ca="1" si="57"/>
        <v>0</v>
      </c>
      <c r="M355" s="913">
        <f t="shared" ca="1" si="49"/>
        <v>0</v>
      </c>
      <c r="N355" s="996">
        <f t="shared" ca="1" si="50"/>
        <v>0</v>
      </c>
      <c r="O355" s="997">
        <f t="shared" ca="1" si="51"/>
        <v>0</v>
      </c>
      <c r="P355" s="1015" t="str">
        <f ca="1">IF($C355="","",INDEX(NVLSX!$N$2:$N$6941,MATCH($C355,NVLSX!$E$2:$E$6941,0)))</f>
        <v/>
      </c>
      <c r="Q355" s="1016" t="str">
        <f ca="1">IF($R355="","",IF(XKNVLSX!$X$1="",IF($P355=$V$7,$P355, IF(COUNTIFS($C$2:$C354,$C355,$E$2:$E354,$E355)&gt;=1,"",$P355)),     IF(AND(IFERROR(SEARCH($R355,XKNVLSX!$X$1,1),0)&gt;=1,$P355=$V$7),$P355, IF(OR($R355&lt;&gt;IF(IFERROR(SEARCH($R355,XKNVLSX!$X$1,1),0)&gt;=1,$R355,XKNVLSX!$X$1),COUNTIFS($C$2:$C354,$C355,$E$2:$E354,$E355,$Q$2:$Q354,$P355)&gt;=1),"",$P355))))</f>
        <v/>
      </c>
      <c r="R355" s="1017" t="str">
        <f ca="1">IF($A355="","",IFERROR(INDEX(TinhGia!$BF$10:$BF$81,MATCH($A355,TinhGia!$B$10:$B$81,0)),""))</f>
        <v/>
      </c>
      <c r="S355" s="1012" t="str">
        <f ca="1">IF($A355="","",IF(OR(IFERROR(SEARCH($R355,XKNVLSX!$X$1,1),0)&gt;=1,XKNVLSX!$X$1=""),$S$2,""))</f>
        <v/>
      </c>
      <c r="T355" s="1018" t="str">
        <f ca="1">IF($C355="","", IF(OR($P355=$V$1,$P355=$V$7,COUNTIFS($C$3:$C355,$C355,$E$3:$E355,$E355)&lt;=1),$P355,""    ))</f>
        <v/>
      </c>
      <c r="U355" s="1019" t="str">
        <f ca="1">IF(AND($P355=$V$2,COUNTIFS($C$3:$C355,$C355,$E$3:$E355,$E355,$G$3:$G355,$G355)&lt;=1),$P355,"")</f>
        <v/>
      </c>
    </row>
    <row r="356" spans="1:21">
      <c r="A356" s="991" t="str">
        <f ca="1">IFERROR(IF(COUNTIF($A$3:A355,A355)&lt; INDEX(TinhGia!$BH$10:$BH$81,MATCH($A355,TinhGia!$B$10:$B$81,0)),$A355,INDEX(TinhGia!$B$10:$B$81,MATCH($A355,TinhGia!$B$10:$B$81,0)+1)),"")</f>
        <v/>
      </c>
      <c r="B356" s="525" t="str">
        <f ca="1">IF(OR(A356="",A356=0),"",IF(COUNTIF($A$2:A356,$A356)=1,ROW(MauKoXoa!$C$108),$B355+1))</f>
        <v/>
      </c>
      <c r="C356" s="992" t="str">
        <f t="shared" ca="1" si="40"/>
        <v/>
      </c>
      <c r="D356" s="993" t="str">
        <f t="shared" ca="1" si="41"/>
        <v/>
      </c>
      <c r="E356" s="993" t="str">
        <f t="shared" ca="1" si="42"/>
        <v/>
      </c>
      <c r="F356" s="992" t="str">
        <f t="shared" ca="1" si="55"/>
        <v/>
      </c>
      <c r="G356" s="994">
        <f t="shared" ca="1" si="43"/>
        <v>0</v>
      </c>
      <c r="H356" s="913">
        <f t="shared" ca="1" si="44"/>
        <v>0</v>
      </c>
      <c r="I356" s="913">
        <f t="shared" ca="1" si="45"/>
        <v>0</v>
      </c>
      <c r="J356" s="995">
        <f t="shared" ca="1" si="56"/>
        <v>0</v>
      </c>
      <c r="K356" s="913">
        <f t="shared" ca="1" si="47"/>
        <v>0</v>
      </c>
      <c r="L356" s="995">
        <f t="shared" ca="1" si="57"/>
        <v>0</v>
      </c>
      <c r="M356" s="913">
        <f t="shared" ca="1" si="49"/>
        <v>0</v>
      </c>
      <c r="N356" s="996">
        <f t="shared" ca="1" si="50"/>
        <v>0</v>
      </c>
      <c r="O356" s="997">
        <f t="shared" ca="1" si="51"/>
        <v>0</v>
      </c>
      <c r="P356" s="1015" t="str">
        <f ca="1">IF($C356="","",INDEX(NVLSX!$N$2:$N$6941,MATCH($C356,NVLSX!$E$2:$E$6941,0)))</f>
        <v/>
      </c>
      <c r="Q356" s="1016" t="str">
        <f ca="1">IF($R356="","",IF(XKNVLSX!$X$1="",IF($P356=$V$7,$P356, IF(COUNTIFS($C$2:$C355,$C356,$E$2:$E355,$E356)&gt;=1,"",$P356)),     IF(AND(IFERROR(SEARCH($R356,XKNVLSX!$X$1,1),0)&gt;=1,$P356=$V$7),$P356, IF(OR($R356&lt;&gt;IF(IFERROR(SEARCH($R356,XKNVLSX!$X$1,1),0)&gt;=1,$R356,XKNVLSX!$X$1),COUNTIFS($C$2:$C355,$C356,$E$2:$E355,$E356,$Q$2:$Q355,$P356)&gt;=1),"",$P356))))</f>
        <v/>
      </c>
      <c r="R356" s="1017" t="str">
        <f ca="1">IF($A356="","",IFERROR(INDEX(TinhGia!$BF$10:$BF$81,MATCH($A356,TinhGia!$B$10:$B$81,0)),""))</f>
        <v/>
      </c>
      <c r="S356" s="1012" t="str">
        <f ca="1">IF($A356="","",IF(OR(IFERROR(SEARCH($R356,XKNVLSX!$X$1,1),0)&gt;=1,XKNVLSX!$X$1=""),$S$2,""))</f>
        <v/>
      </c>
      <c r="T356" s="1018" t="str">
        <f ca="1">IF($C356="","", IF(OR($P356=$V$1,$P356=$V$7,COUNTIFS($C$3:$C356,$C356,$E$3:$E356,$E356)&lt;=1),$P356,""    ))</f>
        <v/>
      </c>
      <c r="U356" s="1019" t="str">
        <f ca="1">IF(AND($P356=$V$2,COUNTIFS($C$3:$C356,$C356,$E$3:$E356,$E356,$G$3:$G356,$G356)&lt;=1),$P356,"")</f>
        <v/>
      </c>
    </row>
    <row r="357" spans="1:21">
      <c r="A357" s="991" t="str">
        <f ca="1">IFERROR(IF(COUNTIF($A$3:A356,A356)&lt; INDEX(TinhGia!$BH$10:$BH$81,MATCH($A356,TinhGia!$B$10:$B$81,0)),$A356,INDEX(TinhGia!$B$10:$B$81,MATCH($A356,TinhGia!$B$10:$B$81,0)+1)),"")</f>
        <v/>
      </c>
      <c r="B357" s="525" t="str">
        <f ca="1">IF(OR(A357="",A357=0),"",IF(COUNTIF($A$2:A357,$A357)=1,ROW(MauKoXoa!$C$108),$B356+1))</f>
        <v/>
      </c>
      <c r="C357" s="992" t="str">
        <f t="shared" ca="1" si="40"/>
        <v/>
      </c>
      <c r="D357" s="993" t="str">
        <f t="shared" ca="1" si="41"/>
        <v/>
      </c>
      <c r="E357" s="993" t="str">
        <f t="shared" ca="1" si="42"/>
        <v/>
      </c>
      <c r="F357" s="992" t="str">
        <f t="shared" ca="1" si="55"/>
        <v/>
      </c>
      <c r="G357" s="994">
        <f t="shared" ca="1" si="43"/>
        <v>0</v>
      </c>
      <c r="H357" s="913">
        <f t="shared" ca="1" si="44"/>
        <v>0</v>
      </c>
      <c r="I357" s="913">
        <f t="shared" ca="1" si="45"/>
        <v>0</v>
      </c>
      <c r="J357" s="995">
        <f t="shared" ca="1" si="56"/>
        <v>0</v>
      </c>
      <c r="K357" s="913">
        <f t="shared" ca="1" si="47"/>
        <v>0</v>
      </c>
      <c r="L357" s="995">
        <f t="shared" ca="1" si="57"/>
        <v>0</v>
      </c>
      <c r="M357" s="913">
        <f t="shared" ca="1" si="49"/>
        <v>0</v>
      </c>
      <c r="N357" s="996">
        <f t="shared" ca="1" si="50"/>
        <v>0</v>
      </c>
      <c r="O357" s="997">
        <f t="shared" ca="1" si="51"/>
        <v>0</v>
      </c>
      <c r="P357" s="1015" t="str">
        <f ca="1">IF($C357="","",INDEX(NVLSX!$N$2:$N$6941,MATCH($C357,NVLSX!$E$2:$E$6941,0)))</f>
        <v/>
      </c>
      <c r="Q357" s="1016" t="str">
        <f ca="1">IF($R357="","",IF(XKNVLSX!$X$1="",IF($P357=$V$7,$P357, IF(COUNTIFS($C$2:$C356,$C357,$E$2:$E356,$E357)&gt;=1,"",$P357)),     IF(AND(IFERROR(SEARCH($R357,XKNVLSX!$X$1,1),0)&gt;=1,$P357=$V$7),$P357, IF(OR($R357&lt;&gt;IF(IFERROR(SEARCH($R357,XKNVLSX!$X$1,1),0)&gt;=1,$R357,XKNVLSX!$X$1),COUNTIFS($C$2:$C356,$C357,$E$2:$E356,$E357,$Q$2:$Q356,$P357)&gt;=1),"",$P357))))</f>
        <v/>
      </c>
      <c r="R357" s="1017" t="str">
        <f ca="1">IF($A357="","",IFERROR(INDEX(TinhGia!$BF$10:$BF$81,MATCH($A357,TinhGia!$B$10:$B$81,0)),""))</f>
        <v/>
      </c>
      <c r="S357" s="1012" t="str">
        <f ca="1">IF($A357="","",IF(OR(IFERROR(SEARCH($R357,XKNVLSX!$X$1,1),0)&gt;=1,XKNVLSX!$X$1=""),$S$2,""))</f>
        <v/>
      </c>
      <c r="T357" s="1018" t="str">
        <f ca="1">IF($C357="","", IF(OR($P357=$V$1,$P357=$V$7,COUNTIFS($C$3:$C357,$C357,$E$3:$E357,$E357)&lt;=1),$P357,""    ))</f>
        <v/>
      </c>
      <c r="U357" s="1019" t="str">
        <f ca="1">IF(AND($P357=$V$2,COUNTIFS($C$3:$C357,$C357,$E$3:$E357,$E357,$G$3:$G357,$G357)&lt;=1),$P357,"")</f>
        <v/>
      </c>
    </row>
    <row r="358" spans="1:21">
      <c r="A358" s="991" t="str">
        <f ca="1">IFERROR(IF(COUNTIF($A$3:A357,A357)&lt; INDEX(TinhGia!$BH$10:$BH$81,MATCH($A357,TinhGia!$B$10:$B$81,0)),$A357,INDEX(TinhGia!$B$10:$B$81,MATCH($A357,TinhGia!$B$10:$B$81,0)+1)),"")</f>
        <v/>
      </c>
      <c r="B358" s="525" t="str">
        <f ca="1">IF(OR(A358="",A358=0),"",IF(COUNTIF($A$2:A358,$A358)=1,ROW(MauKoXoa!$C$108),$B357+1))</f>
        <v/>
      </c>
      <c r="C358" s="992" t="str">
        <f t="shared" ca="1" si="40"/>
        <v/>
      </c>
      <c r="D358" s="993" t="str">
        <f t="shared" ca="1" si="41"/>
        <v/>
      </c>
      <c r="E358" s="993" t="str">
        <f t="shared" ca="1" si="42"/>
        <v/>
      </c>
      <c r="F358" s="992" t="str">
        <f t="shared" ca="1" si="55"/>
        <v/>
      </c>
      <c r="G358" s="994">
        <f t="shared" ca="1" si="43"/>
        <v>0</v>
      </c>
      <c r="H358" s="913">
        <f t="shared" ca="1" si="44"/>
        <v>0</v>
      </c>
      <c r="I358" s="913">
        <f t="shared" ca="1" si="45"/>
        <v>0</v>
      </c>
      <c r="J358" s="995">
        <f t="shared" ca="1" si="56"/>
        <v>0</v>
      </c>
      <c r="K358" s="913">
        <f t="shared" ca="1" si="47"/>
        <v>0</v>
      </c>
      <c r="L358" s="995">
        <f t="shared" ca="1" si="57"/>
        <v>0</v>
      </c>
      <c r="M358" s="913">
        <f t="shared" ca="1" si="49"/>
        <v>0</v>
      </c>
      <c r="N358" s="996">
        <f t="shared" ca="1" si="50"/>
        <v>0</v>
      </c>
      <c r="O358" s="997">
        <f t="shared" ca="1" si="51"/>
        <v>0</v>
      </c>
      <c r="P358" s="1015" t="str">
        <f ca="1">IF($C358="","",INDEX(NVLSX!$N$2:$N$6941,MATCH($C358,NVLSX!$E$2:$E$6941,0)))</f>
        <v/>
      </c>
      <c r="Q358" s="1016" t="str">
        <f ca="1">IF($R358="","",IF(XKNVLSX!$X$1="",IF($P358=$V$7,$P358, IF(COUNTIFS($C$2:$C357,$C358,$E$2:$E357,$E358)&gt;=1,"",$P358)),     IF(AND(IFERROR(SEARCH($R358,XKNVLSX!$X$1,1),0)&gt;=1,$P358=$V$7),$P358, IF(OR($R358&lt;&gt;IF(IFERROR(SEARCH($R358,XKNVLSX!$X$1,1),0)&gt;=1,$R358,XKNVLSX!$X$1),COUNTIFS($C$2:$C357,$C358,$E$2:$E357,$E358,$Q$2:$Q357,$P358)&gt;=1),"",$P358))))</f>
        <v/>
      </c>
      <c r="R358" s="1017" t="str">
        <f ca="1">IF($A358="","",IFERROR(INDEX(TinhGia!$BF$10:$BF$81,MATCH($A358,TinhGia!$B$10:$B$81,0)),""))</f>
        <v/>
      </c>
      <c r="S358" s="1012" t="str">
        <f ca="1">IF($A358="","",IF(OR(IFERROR(SEARCH($R358,XKNVLSX!$X$1,1),0)&gt;=1,XKNVLSX!$X$1=""),$S$2,""))</f>
        <v/>
      </c>
      <c r="T358" s="1018" t="str">
        <f ca="1">IF($C358="","", IF(OR($P358=$V$1,$P358=$V$7,COUNTIFS($C$3:$C358,$C358,$E$3:$E358,$E358)&lt;=1),$P358,""    ))</f>
        <v/>
      </c>
      <c r="U358" s="1019" t="str">
        <f ca="1">IF(AND($P358=$V$2,COUNTIFS($C$3:$C358,$C358,$E$3:$E358,$E358,$G$3:$G358,$G358)&lt;=1),$P358,"")</f>
        <v/>
      </c>
    </row>
    <row r="359" spans="1:21">
      <c r="A359" s="991" t="str">
        <f ca="1">IFERROR(IF(COUNTIF($A$3:A358,A358)&lt; INDEX(TinhGia!$BH$10:$BH$81,MATCH($A358,TinhGia!$B$10:$B$81,0)),$A358,INDEX(TinhGia!$B$10:$B$81,MATCH($A358,TinhGia!$B$10:$B$81,0)+1)),"")</f>
        <v/>
      </c>
      <c r="B359" s="525" t="str">
        <f ca="1">IF(OR(A359="",A359=0),"",IF(COUNTIF($A$2:A359,$A359)=1,ROW(MauKoXoa!$C$108),$B358+1))</f>
        <v/>
      </c>
      <c r="C359" s="992" t="str">
        <f t="shared" ca="1" si="40"/>
        <v/>
      </c>
      <c r="D359" s="993" t="str">
        <f t="shared" ca="1" si="41"/>
        <v/>
      </c>
      <c r="E359" s="993" t="str">
        <f t="shared" ca="1" si="42"/>
        <v/>
      </c>
      <c r="F359" s="992" t="str">
        <f t="shared" ca="1" si="55"/>
        <v/>
      </c>
      <c r="G359" s="994">
        <f t="shared" ca="1" si="43"/>
        <v>0</v>
      </c>
      <c r="H359" s="913">
        <f t="shared" ca="1" si="44"/>
        <v>0</v>
      </c>
      <c r="I359" s="913">
        <f t="shared" ca="1" si="45"/>
        <v>0</v>
      </c>
      <c r="J359" s="995">
        <f t="shared" ca="1" si="56"/>
        <v>0</v>
      </c>
      <c r="K359" s="913">
        <f t="shared" ca="1" si="47"/>
        <v>0</v>
      </c>
      <c r="L359" s="995">
        <f t="shared" ca="1" si="57"/>
        <v>0</v>
      </c>
      <c r="M359" s="913">
        <f t="shared" ca="1" si="49"/>
        <v>0</v>
      </c>
      <c r="N359" s="996">
        <f t="shared" ca="1" si="50"/>
        <v>0</v>
      </c>
      <c r="O359" s="997">
        <f t="shared" ca="1" si="51"/>
        <v>0</v>
      </c>
      <c r="P359" s="1015" t="str">
        <f ca="1">IF($C359="","",INDEX(NVLSX!$N$2:$N$6941,MATCH($C359,NVLSX!$E$2:$E$6941,0)))</f>
        <v/>
      </c>
      <c r="Q359" s="1016" t="str">
        <f ca="1">IF($R359="","",IF(XKNVLSX!$X$1="",IF($P359=$V$7,$P359, IF(COUNTIFS($C$2:$C358,$C359,$E$2:$E358,$E359)&gt;=1,"",$P359)),     IF(AND(IFERROR(SEARCH($R359,XKNVLSX!$X$1,1),0)&gt;=1,$P359=$V$7),$P359, IF(OR($R359&lt;&gt;IF(IFERROR(SEARCH($R359,XKNVLSX!$X$1,1),0)&gt;=1,$R359,XKNVLSX!$X$1),COUNTIFS($C$2:$C358,$C359,$E$2:$E358,$E359,$Q$2:$Q358,$P359)&gt;=1),"",$P359))))</f>
        <v/>
      </c>
      <c r="R359" s="1017" t="str">
        <f ca="1">IF($A359="","",IFERROR(INDEX(TinhGia!$BF$10:$BF$81,MATCH($A359,TinhGia!$B$10:$B$81,0)),""))</f>
        <v/>
      </c>
      <c r="S359" s="1012" t="str">
        <f ca="1">IF($A359="","",IF(OR(IFERROR(SEARCH($R359,XKNVLSX!$X$1,1),0)&gt;=1,XKNVLSX!$X$1=""),$S$2,""))</f>
        <v/>
      </c>
      <c r="T359" s="1018" t="str">
        <f ca="1">IF($C359="","", IF(OR($P359=$V$1,$P359=$V$7,COUNTIFS($C$3:$C359,$C359,$E$3:$E359,$E359)&lt;=1),$P359,""    ))</f>
        <v/>
      </c>
      <c r="U359" s="1019" t="str">
        <f ca="1">IF(AND($P359=$V$2,COUNTIFS($C$3:$C359,$C359,$E$3:$E359,$E359,$G$3:$G359,$G359)&lt;=1),$P359,"")</f>
        <v/>
      </c>
    </row>
    <row r="360" spans="1:21">
      <c r="A360" s="991" t="str">
        <f ca="1">IFERROR(IF(COUNTIF($A$3:A359,A359)&lt; INDEX(TinhGia!$BH$10:$BH$81,MATCH($A359,TinhGia!$B$10:$B$81,0)),$A359,INDEX(TinhGia!$B$10:$B$81,MATCH($A359,TinhGia!$B$10:$B$81,0)+1)),"")</f>
        <v/>
      </c>
      <c r="B360" s="525" t="str">
        <f ca="1">IF(OR(A360="",A360=0),"",IF(COUNTIF($A$2:A360,$A360)=1,ROW(MauKoXoa!$C$108),$B359+1))</f>
        <v/>
      </c>
      <c r="C360" s="992" t="str">
        <f t="shared" ca="1" si="40"/>
        <v/>
      </c>
      <c r="D360" s="993" t="str">
        <f t="shared" ca="1" si="41"/>
        <v/>
      </c>
      <c r="E360" s="993" t="str">
        <f t="shared" ca="1" si="42"/>
        <v/>
      </c>
      <c r="F360" s="992" t="str">
        <f t="shared" ca="1" si="55"/>
        <v/>
      </c>
      <c r="G360" s="994">
        <f t="shared" ca="1" si="43"/>
        <v>0</v>
      </c>
      <c r="H360" s="913">
        <f t="shared" ca="1" si="44"/>
        <v>0</v>
      </c>
      <c r="I360" s="913">
        <f t="shared" ca="1" si="45"/>
        <v>0</v>
      </c>
      <c r="J360" s="995">
        <f t="shared" ca="1" si="56"/>
        <v>0</v>
      </c>
      <c r="K360" s="913">
        <f t="shared" ca="1" si="47"/>
        <v>0</v>
      </c>
      <c r="L360" s="995">
        <f t="shared" ca="1" si="57"/>
        <v>0</v>
      </c>
      <c r="M360" s="913">
        <f t="shared" ca="1" si="49"/>
        <v>0</v>
      </c>
      <c r="N360" s="996">
        <f t="shared" ca="1" si="50"/>
        <v>0</v>
      </c>
      <c r="O360" s="997">
        <f t="shared" ca="1" si="51"/>
        <v>0</v>
      </c>
      <c r="P360" s="1015" t="str">
        <f ca="1">IF($C360="","",INDEX(NVLSX!$N$2:$N$6941,MATCH($C360,NVLSX!$E$2:$E$6941,0)))</f>
        <v/>
      </c>
      <c r="Q360" s="1016" t="str">
        <f ca="1">IF($R360="","",IF(XKNVLSX!$X$1="",IF($P360=$V$7,$P360, IF(COUNTIFS($C$2:$C359,$C360,$E$2:$E359,$E360)&gt;=1,"",$P360)),     IF(AND(IFERROR(SEARCH($R360,XKNVLSX!$X$1,1),0)&gt;=1,$P360=$V$7),$P360, IF(OR($R360&lt;&gt;IF(IFERROR(SEARCH($R360,XKNVLSX!$X$1,1),0)&gt;=1,$R360,XKNVLSX!$X$1),COUNTIFS($C$2:$C359,$C360,$E$2:$E359,$E360,$Q$2:$Q359,$P360)&gt;=1),"",$P360))))</f>
        <v/>
      </c>
      <c r="R360" s="1017" t="str">
        <f ca="1">IF($A360="","",IFERROR(INDEX(TinhGia!$BF$10:$BF$81,MATCH($A360,TinhGia!$B$10:$B$81,0)),""))</f>
        <v/>
      </c>
      <c r="S360" s="1012" t="str">
        <f ca="1">IF($A360="","",IF(OR(IFERROR(SEARCH($R360,XKNVLSX!$X$1,1),0)&gt;=1,XKNVLSX!$X$1=""),$S$2,""))</f>
        <v/>
      </c>
      <c r="T360" s="1018" t="str">
        <f ca="1">IF($C360="","", IF(OR($P360=$V$1,$P360=$V$7,COUNTIFS($C$3:$C360,$C360,$E$3:$E360,$E360)&lt;=1),$P360,""    ))</f>
        <v/>
      </c>
      <c r="U360" s="1019" t="str">
        <f ca="1">IF(AND($P360=$V$2,COUNTIFS($C$3:$C360,$C360,$E$3:$E360,$E360,$G$3:$G360,$G360)&lt;=1),$P360,"")</f>
        <v/>
      </c>
    </row>
    <row r="361" spans="1:21">
      <c r="A361" s="991" t="str">
        <f ca="1">IFERROR(IF(COUNTIF($A$3:A360,A360)&lt; INDEX(TinhGia!$BH$10:$BH$81,MATCH($A360,TinhGia!$B$10:$B$81,0)),$A360,INDEX(TinhGia!$B$10:$B$81,MATCH($A360,TinhGia!$B$10:$B$81,0)+1)),"")</f>
        <v/>
      </c>
      <c r="B361" s="525" t="str">
        <f ca="1">IF(OR(A361="",A361=0),"",IF(COUNTIF($A$2:A361,$A361)=1,ROW(MauKoXoa!$C$108),$B360+1))</f>
        <v/>
      </c>
      <c r="C361" s="992" t="str">
        <f t="shared" ca="1" si="40"/>
        <v/>
      </c>
      <c r="D361" s="993" t="str">
        <f t="shared" ca="1" si="41"/>
        <v/>
      </c>
      <c r="E361" s="993" t="str">
        <f t="shared" ca="1" si="42"/>
        <v/>
      </c>
      <c r="F361" s="992" t="str">
        <f t="shared" ca="1" si="55"/>
        <v/>
      </c>
      <c r="G361" s="994">
        <f t="shared" ca="1" si="43"/>
        <v>0</v>
      </c>
      <c r="H361" s="913">
        <f t="shared" ca="1" si="44"/>
        <v>0</v>
      </c>
      <c r="I361" s="913">
        <f t="shared" ca="1" si="45"/>
        <v>0</v>
      </c>
      <c r="J361" s="995">
        <f t="shared" ca="1" si="56"/>
        <v>0</v>
      </c>
      <c r="K361" s="913">
        <f t="shared" ca="1" si="47"/>
        <v>0</v>
      </c>
      <c r="L361" s="995">
        <f t="shared" ca="1" si="57"/>
        <v>0</v>
      </c>
      <c r="M361" s="913">
        <f t="shared" ca="1" si="49"/>
        <v>0</v>
      </c>
      <c r="N361" s="996">
        <f t="shared" ca="1" si="50"/>
        <v>0</v>
      </c>
      <c r="O361" s="997">
        <f t="shared" ca="1" si="51"/>
        <v>0</v>
      </c>
      <c r="P361" s="1015" t="str">
        <f ca="1">IF($C361="","",INDEX(NVLSX!$N$2:$N$6941,MATCH($C361,NVLSX!$E$2:$E$6941,0)))</f>
        <v/>
      </c>
      <c r="Q361" s="1016" t="str">
        <f ca="1">IF($R361="","",IF(XKNVLSX!$X$1="",IF($P361=$V$7,$P361, IF(COUNTIFS($C$2:$C360,$C361,$E$2:$E360,$E361)&gt;=1,"",$P361)),     IF(AND(IFERROR(SEARCH($R361,XKNVLSX!$X$1,1),0)&gt;=1,$P361=$V$7),$P361, IF(OR($R361&lt;&gt;IF(IFERROR(SEARCH($R361,XKNVLSX!$X$1,1),0)&gt;=1,$R361,XKNVLSX!$X$1),COUNTIFS($C$2:$C360,$C361,$E$2:$E360,$E361,$Q$2:$Q360,$P361)&gt;=1),"",$P361))))</f>
        <v/>
      </c>
      <c r="R361" s="1017" t="str">
        <f ca="1">IF($A361="","",IFERROR(INDEX(TinhGia!$BF$10:$BF$81,MATCH($A361,TinhGia!$B$10:$B$81,0)),""))</f>
        <v/>
      </c>
      <c r="S361" s="1012" t="str">
        <f ca="1">IF($A361="","",IF(OR(IFERROR(SEARCH($R361,XKNVLSX!$X$1,1),0)&gt;=1,XKNVLSX!$X$1=""),$S$2,""))</f>
        <v/>
      </c>
      <c r="T361" s="1018" t="str">
        <f ca="1">IF($C361="","", IF(OR($P361=$V$1,$P361=$V$7,COUNTIFS($C$3:$C361,$C361,$E$3:$E361,$E361)&lt;=1),$P361,""    ))</f>
        <v/>
      </c>
      <c r="U361" s="1019" t="str">
        <f ca="1">IF(AND($P361=$V$2,COUNTIFS($C$3:$C361,$C361,$E$3:$E361,$E361,$G$3:$G361,$G361)&lt;=1),$P361,"")</f>
        <v/>
      </c>
    </row>
    <row r="362" spans="1:21">
      <c r="A362" s="991" t="str">
        <f ca="1">IFERROR(IF(COUNTIF($A$3:A361,A361)&lt; INDEX(TinhGia!$BH$10:$BH$81,MATCH($A361,TinhGia!$B$10:$B$81,0)),$A361,INDEX(TinhGia!$B$10:$B$81,MATCH($A361,TinhGia!$B$10:$B$81,0)+1)),"")</f>
        <v/>
      </c>
      <c r="B362" s="525" t="str">
        <f ca="1">IF(OR(A362="",A362=0),"",IF(COUNTIF($A$2:A362,$A362)=1,ROW(MauKoXoa!$C$108),$B361+1))</f>
        <v/>
      </c>
      <c r="C362" s="992" t="str">
        <f t="shared" ca="1" si="40"/>
        <v/>
      </c>
      <c r="D362" s="993" t="str">
        <f t="shared" ca="1" si="41"/>
        <v/>
      </c>
      <c r="E362" s="993" t="str">
        <f t="shared" ca="1" si="42"/>
        <v/>
      </c>
      <c r="F362" s="992" t="str">
        <f t="shared" ca="1" si="55"/>
        <v/>
      </c>
      <c r="G362" s="994">
        <f t="shared" ca="1" si="43"/>
        <v>0</v>
      </c>
      <c r="H362" s="913">
        <f t="shared" ca="1" si="44"/>
        <v>0</v>
      </c>
      <c r="I362" s="913">
        <f t="shared" ca="1" si="45"/>
        <v>0</v>
      </c>
      <c r="J362" s="995">
        <f t="shared" ca="1" si="56"/>
        <v>0</v>
      </c>
      <c r="K362" s="913">
        <f t="shared" ca="1" si="47"/>
        <v>0</v>
      </c>
      <c r="L362" s="995">
        <f t="shared" ca="1" si="57"/>
        <v>0</v>
      </c>
      <c r="M362" s="913">
        <f t="shared" ca="1" si="49"/>
        <v>0</v>
      </c>
      <c r="N362" s="996">
        <f t="shared" ca="1" si="50"/>
        <v>0</v>
      </c>
      <c r="O362" s="997">
        <f t="shared" ca="1" si="51"/>
        <v>0</v>
      </c>
      <c r="P362" s="1015" t="str">
        <f ca="1">IF($C362="","",INDEX(NVLSX!$N$2:$N$6941,MATCH($C362,NVLSX!$E$2:$E$6941,0)))</f>
        <v/>
      </c>
      <c r="Q362" s="1016" t="str">
        <f ca="1">IF($R362="","",IF(XKNVLSX!$X$1="",IF($P362=$V$7,$P362, IF(COUNTIFS($C$2:$C361,$C362,$E$2:$E361,$E362)&gt;=1,"",$P362)),     IF(AND(IFERROR(SEARCH($R362,XKNVLSX!$X$1,1),0)&gt;=1,$P362=$V$7),$P362, IF(OR($R362&lt;&gt;IF(IFERROR(SEARCH($R362,XKNVLSX!$X$1,1),0)&gt;=1,$R362,XKNVLSX!$X$1),COUNTIFS($C$2:$C361,$C362,$E$2:$E361,$E362,$Q$2:$Q361,$P362)&gt;=1),"",$P362))))</f>
        <v/>
      </c>
      <c r="R362" s="1017" t="str">
        <f ca="1">IF($A362="","",IFERROR(INDEX(TinhGia!$BF$10:$BF$81,MATCH($A362,TinhGia!$B$10:$B$81,0)),""))</f>
        <v/>
      </c>
      <c r="S362" s="1012" t="str">
        <f ca="1">IF($A362="","",IF(OR(IFERROR(SEARCH($R362,XKNVLSX!$X$1,1),0)&gt;=1,XKNVLSX!$X$1=""),$S$2,""))</f>
        <v/>
      </c>
      <c r="T362" s="1018" t="str">
        <f ca="1">IF($C362="","", IF(OR($P362=$V$1,$P362=$V$7,COUNTIFS($C$3:$C362,$C362,$E$3:$E362,$E362)&lt;=1),$P362,""    ))</f>
        <v/>
      </c>
      <c r="U362" s="1019" t="str">
        <f ca="1">IF(AND($P362=$V$2,COUNTIFS($C$3:$C362,$C362,$E$3:$E362,$E362,$G$3:$G362,$G362)&lt;=1),$P362,"")</f>
        <v/>
      </c>
    </row>
    <row r="363" spans="1:21">
      <c r="A363" s="991" t="str">
        <f ca="1">IFERROR(IF(COUNTIF($A$3:A362,A362)&lt; INDEX(TinhGia!$BH$10:$BH$81,MATCH($A362,TinhGia!$B$10:$B$81,0)),$A362,INDEX(TinhGia!$B$10:$B$81,MATCH($A362,TinhGia!$B$10:$B$81,0)+1)),"")</f>
        <v/>
      </c>
      <c r="B363" s="525" t="str">
        <f ca="1">IF(OR(A363="",A363=0),"",IF(COUNTIF($A$2:A363,$A363)=1,ROW(MauKoXoa!$C$108),$B362+1))</f>
        <v/>
      </c>
      <c r="C363" s="992" t="str">
        <f t="shared" ca="1" si="40"/>
        <v/>
      </c>
      <c r="D363" s="993" t="str">
        <f t="shared" ca="1" si="41"/>
        <v/>
      </c>
      <c r="E363" s="993" t="str">
        <f t="shared" ca="1" si="42"/>
        <v/>
      </c>
      <c r="F363" s="992" t="str">
        <f t="shared" ca="1" si="55"/>
        <v/>
      </c>
      <c r="G363" s="994">
        <f t="shared" ca="1" si="43"/>
        <v>0</v>
      </c>
      <c r="H363" s="913">
        <f t="shared" ca="1" si="44"/>
        <v>0</v>
      </c>
      <c r="I363" s="913">
        <f t="shared" ca="1" si="45"/>
        <v>0</v>
      </c>
      <c r="J363" s="995">
        <f t="shared" ca="1" si="56"/>
        <v>0</v>
      </c>
      <c r="K363" s="913">
        <f t="shared" ca="1" si="47"/>
        <v>0</v>
      </c>
      <c r="L363" s="995">
        <f t="shared" ca="1" si="57"/>
        <v>0</v>
      </c>
      <c r="M363" s="913">
        <f t="shared" ca="1" si="49"/>
        <v>0</v>
      </c>
      <c r="N363" s="996">
        <f t="shared" ca="1" si="50"/>
        <v>0</v>
      </c>
      <c r="O363" s="997">
        <f t="shared" ca="1" si="51"/>
        <v>0</v>
      </c>
      <c r="P363" s="1015" t="str">
        <f ca="1">IF($C363="","",INDEX(NVLSX!$N$2:$N$6941,MATCH($C363,NVLSX!$E$2:$E$6941,0)))</f>
        <v/>
      </c>
      <c r="Q363" s="1016" t="str">
        <f ca="1">IF($R363="","",IF(XKNVLSX!$X$1="",IF($P363=$V$7,$P363, IF(COUNTIFS($C$2:$C362,$C363,$E$2:$E362,$E363)&gt;=1,"",$P363)),     IF(AND(IFERROR(SEARCH($R363,XKNVLSX!$X$1,1),0)&gt;=1,$P363=$V$7),$P363, IF(OR($R363&lt;&gt;IF(IFERROR(SEARCH($R363,XKNVLSX!$X$1,1),0)&gt;=1,$R363,XKNVLSX!$X$1),COUNTIFS($C$2:$C362,$C363,$E$2:$E362,$E363,$Q$2:$Q362,$P363)&gt;=1),"",$P363))))</f>
        <v/>
      </c>
      <c r="R363" s="1017" t="str">
        <f ca="1">IF($A363="","",IFERROR(INDEX(TinhGia!$BF$10:$BF$81,MATCH($A363,TinhGia!$B$10:$B$81,0)),""))</f>
        <v/>
      </c>
      <c r="S363" s="1012" t="str">
        <f ca="1">IF($A363="","",IF(OR(IFERROR(SEARCH($R363,XKNVLSX!$X$1,1),0)&gt;=1,XKNVLSX!$X$1=""),$S$2,""))</f>
        <v/>
      </c>
      <c r="T363" s="1018" t="str">
        <f ca="1">IF($C363="","", IF(OR($P363=$V$1,$P363=$V$7,COUNTIFS($C$3:$C363,$C363,$E$3:$E363,$E363)&lt;=1),$P363,""    ))</f>
        <v/>
      </c>
      <c r="U363" s="1019" t="str">
        <f ca="1">IF(AND($P363=$V$2,COUNTIFS($C$3:$C363,$C363,$E$3:$E363,$E363,$G$3:$G363,$G363)&lt;=1),$P363,"")</f>
        <v/>
      </c>
    </row>
    <row r="364" spans="1:21">
      <c r="A364" s="991" t="str">
        <f ca="1">IFERROR(IF(COUNTIF($A$3:A363,A363)&lt; INDEX(TinhGia!$BH$10:$BH$81,MATCH($A363,TinhGia!$B$10:$B$81,0)),$A363,INDEX(TinhGia!$B$10:$B$81,MATCH($A363,TinhGia!$B$10:$B$81,0)+1)),"")</f>
        <v/>
      </c>
      <c r="B364" s="525" t="str">
        <f ca="1">IF(OR(A364="",A364=0),"",IF(COUNTIF($A$2:A364,$A364)=1,ROW(MauKoXoa!$C$108),$B363+1))</f>
        <v/>
      </c>
      <c r="C364" s="992" t="str">
        <f t="shared" ca="1" si="40"/>
        <v/>
      </c>
      <c r="D364" s="993" t="str">
        <f t="shared" ca="1" si="41"/>
        <v/>
      </c>
      <c r="E364" s="993" t="str">
        <f t="shared" ca="1" si="42"/>
        <v/>
      </c>
      <c r="F364" s="992" t="str">
        <f t="shared" ca="1" si="55"/>
        <v/>
      </c>
      <c r="G364" s="994">
        <f t="shared" ca="1" si="43"/>
        <v>0</v>
      </c>
      <c r="H364" s="913">
        <f t="shared" ca="1" si="44"/>
        <v>0</v>
      </c>
      <c r="I364" s="913">
        <f t="shared" ca="1" si="45"/>
        <v>0</v>
      </c>
      <c r="J364" s="995">
        <f t="shared" ca="1" si="56"/>
        <v>0</v>
      </c>
      <c r="K364" s="913">
        <f t="shared" ca="1" si="47"/>
        <v>0</v>
      </c>
      <c r="L364" s="995">
        <f t="shared" ca="1" si="57"/>
        <v>0</v>
      </c>
      <c r="M364" s="913">
        <f t="shared" ca="1" si="49"/>
        <v>0</v>
      </c>
      <c r="N364" s="996">
        <f t="shared" ca="1" si="50"/>
        <v>0</v>
      </c>
      <c r="O364" s="997">
        <f t="shared" ca="1" si="51"/>
        <v>0</v>
      </c>
      <c r="P364" s="1015" t="str">
        <f ca="1">IF($C364="","",INDEX(NVLSX!$N$2:$N$6941,MATCH($C364,NVLSX!$E$2:$E$6941,0)))</f>
        <v/>
      </c>
      <c r="Q364" s="1016" t="str">
        <f ca="1">IF($R364="","",IF(XKNVLSX!$X$1="",IF($P364=$V$7,$P364, IF(COUNTIFS($C$2:$C363,$C364,$E$2:$E363,$E364)&gt;=1,"",$P364)),     IF(AND(IFERROR(SEARCH($R364,XKNVLSX!$X$1,1),0)&gt;=1,$P364=$V$7),$P364, IF(OR($R364&lt;&gt;IF(IFERROR(SEARCH($R364,XKNVLSX!$X$1,1),0)&gt;=1,$R364,XKNVLSX!$X$1),COUNTIFS($C$2:$C363,$C364,$E$2:$E363,$E364,$Q$2:$Q363,$P364)&gt;=1),"",$P364))))</f>
        <v/>
      </c>
      <c r="R364" s="1017" t="str">
        <f ca="1">IF($A364="","",IFERROR(INDEX(TinhGia!$BF$10:$BF$81,MATCH($A364,TinhGia!$B$10:$B$81,0)),""))</f>
        <v/>
      </c>
      <c r="S364" s="1012" t="str">
        <f ca="1">IF($A364="","",IF(OR(IFERROR(SEARCH($R364,XKNVLSX!$X$1,1),0)&gt;=1,XKNVLSX!$X$1=""),$S$2,""))</f>
        <v/>
      </c>
      <c r="T364" s="1018" t="str">
        <f ca="1">IF($C364="","", IF(OR($P364=$V$1,$P364=$V$7,COUNTIFS($C$3:$C364,$C364,$E$3:$E364,$E364)&lt;=1),$P364,""    ))</f>
        <v/>
      </c>
      <c r="U364" s="1019" t="str">
        <f ca="1">IF(AND($P364=$V$2,COUNTIFS($C$3:$C364,$C364,$E$3:$E364,$E364,$G$3:$G364,$G364)&lt;=1),$P364,"")</f>
        <v/>
      </c>
    </row>
    <row r="365" spans="1:21">
      <c r="A365" s="991" t="str">
        <f ca="1">IFERROR(IF(COUNTIF($A$3:A364,A364)&lt; INDEX(TinhGia!$BH$10:$BH$81,MATCH($A364,TinhGia!$B$10:$B$81,0)),$A364,INDEX(TinhGia!$B$10:$B$81,MATCH($A364,TinhGia!$B$10:$B$81,0)+1)),"")</f>
        <v/>
      </c>
      <c r="B365" s="525" t="str">
        <f ca="1">IF(OR(A365="",A365=0),"",IF(COUNTIF($A$2:A365,$A365)=1,ROW(MauKoXoa!$C$108),$B364+1))</f>
        <v/>
      </c>
      <c r="C365" s="992" t="str">
        <f t="shared" ca="1" si="40"/>
        <v/>
      </c>
      <c r="D365" s="993" t="str">
        <f t="shared" ca="1" si="41"/>
        <v/>
      </c>
      <c r="E365" s="993" t="str">
        <f t="shared" ca="1" si="42"/>
        <v/>
      </c>
      <c r="F365" s="992" t="str">
        <f t="shared" ca="1" si="55"/>
        <v/>
      </c>
      <c r="G365" s="994">
        <f t="shared" ca="1" si="43"/>
        <v>0</v>
      </c>
      <c r="H365" s="913">
        <f t="shared" ca="1" si="44"/>
        <v>0</v>
      </c>
      <c r="I365" s="913">
        <f t="shared" ca="1" si="45"/>
        <v>0</v>
      </c>
      <c r="J365" s="995">
        <f t="shared" ca="1" si="56"/>
        <v>0</v>
      </c>
      <c r="K365" s="913">
        <f t="shared" ca="1" si="47"/>
        <v>0</v>
      </c>
      <c r="L365" s="995">
        <f t="shared" ca="1" si="57"/>
        <v>0</v>
      </c>
      <c r="M365" s="913">
        <f t="shared" ca="1" si="49"/>
        <v>0</v>
      </c>
      <c r="N365" s="996">
        <f t="shared" ca="1" si="50"/>
        <v>0</v>
      </c>
      <c r="O365" s="997">
        <f t="shared" ca="1" si="51"/>
        <v>0</v>
      </c>
      <c r="P365" s="1015" t="str">
        <f ca="1">IF($C365="","",INDEX(NVLSX!$N$2:$N$6941,MATCH($C365,NVLSX!$E$2:$E$6941,0)))</f>
        <v/>
      </c>
      <c r="Q365" s="1016" t="str">
        <f ca="1">IF($R365="","",IF(XKNVLSX!$X$1="",IF($P365=$V$7,$P365, IF(COUNTIFS($C$2:$C364,$C365,$E$2:$E364,$E365)&gt;=1,"",$P365)),     IF(AND(IFERROR(SEARCH($R365,XKNVLSX!$X$1,1),0)&gt;=1,$P365=$V$7),$P365, IF(OR($R365&lt;&gt;IF(IFERROR(SEARCH($R365,XKNVLSX!$X$1,1),0)&gt;=1,$R365,XKNVLSX!$X$1),COUNTIFS($C$2:$C364,$C365,$E$2:$E364,$E365,$Q$2:$Q364,$P365)&gt;=1),"",$P365))))</f>
        <v/>
      </c>
      <c r="R365" s="1017" t="str">
        <f ca="1">IF($A365="","",IFERROR(INDEX(TinhGia!$BF$10:$BF$81,MATCH($A365,TinhGia!$B$10:$B$81,0)),""))</f>
        <v/>
      </c>
      <c r="S365" s="1012" t="str">
        <f ca="1">IF($A365="","",IF(OR(IFERROR(SEARCH($R365,XKNVLSX!$X$1,1),0)&gt;=1,XKNVLSX!$X$1=""),$S$2,""))</f>
        <v/>
      </c>
      <c r="T365" s="1018" t="str">
        <f ca="1">IF($C365="","", IF(OR($P365=$V$1,$P365=$V$7,COUNTIFS($C$3:$C365,$C365,$E$3:$E365,$E365)&lt;=1),$P365,""    ))</f>
        <v/>
      </c>
      <c r="U365" s="1019" t="str">
        <f ca="1">IF(AND($P365=$V$2,COUNTIFS($C$3:$C365,$C365,$E$3:$E365,$E365,$G$3:$G365,$G365)&lt;=1),$P365,"")</f>
        <v/>
      </c>
    </row>
    <row r="366" spans="1:21">
      <c r="A366" s="991" t="str">
        <f ca="1">IFERROR(IF(COUNTIF($A$3:A365,A365)&lt; INDEX(TinhGia!$BH$10:$BH$81,MATCH($A365,TinhGia!$B$10:$B$81,0)),$A365,INDEX(TinhGia!$B$10:$B$81,MATCH($A365,TinhGia!$B$10:$B$81,0)+1)),"")</f>
        <v/>
      </c>
      <c r="B366" s="525" t="str">
        <f ca="1">IF(OR(A366="",A366=0),"",IF(COUNTIF($A$2:A366,$A366)=1,ROW(MauKoXoa!$C$108),$B365+1))</f>
        <v/>
      </c>
      <c r="C366" s="992" t="str">
        <f t="shared" ca="1" si="40"/>
        <v/>
      </c>
      <c r="D366" s="993" t="str">
        <f t="shared" ca="1" si="41"/>
        <v/>
      </c>
      <c r="E366" s="993" t="str">
        <f t="shared" ca="1" si="42"/>
        <v/>
      </c>
      <c r="F366" s="992" t="str">
        <f t="shared" ca="1" si="55"/>
        <v/>
      </c>
      <c r="G366" s="994">
        <f t="shared" ca="1" si="43"/>
        <v>0</v>
      </c>
      <c r="H366" s="913">
        <f t="shared" ca="1" si="44"/>
        <v>0</v>
      </c>
      <c r="I366" s="913">
        <f t="shared" ca="1" si="45"/>
        <v>0</v>
      </c>
      <c r="J366" s="995">
        <f t="shared" ca="1" si="56"/>
        <v>0</v>
      </c>
      <c r="K366" s="913">
        <f t="shared" ca="1" si="47"/>
        <v>0</v>
      </c>
      <c r="L366" s="995">
        <f t="shared" ca="1" si="57"/>
        <v>0</v>
      </c>
      <c r="M366" s="913">
        <f t="shared" ca="1" si="49"/>
        <v>0</v>
      </c>
      <c r="N366" s="996">
        <f t="shared" ca="1" si="50"/>
        <v>0</v>
      </c>
      <c r="O366" s="997">
        <f t="shared" ca="1" si="51"/>
        <v>0</v>
      </c>
      <c r="P366" s="1015" t="str">
        <f ca="1">IF($C366="","",INDEX(NVLSX!$N$2:$N$6941,MATCH($C366,NVLSX!$E$2:$E$6941,0)))</f>
        <v/>
      </c>
      <c r="Q366" s="1016" t="str">
        <f ca="1">IF($R366="","",IF(XKNVLSX!$X$1="",IF($P366=$V$7,$P366, IF(COUNTIFS($C$2:$C365,$C366,$E$2:$E365,$E366)&gt;=1,"",$P366)),     IF(AND(IFERROR(SEARCH($R366,XKNVLSX!$X$1,1),0)&gt;=1,$P366=$V$7),$P366, IF(OR($R366&lt;&gt;IF(IFERROR(SEARCH($R366,XKNVLSX!$X$1,1),0)&gt;=1,$R366,XKNVLSX!$X$1),COUNTIFS($C$2:$C365,$C366,$E$2:$E365,$E366,$Q$2:$Q365,$P366)&gt;=1),"",$P366))))</f>
        <v/>
      </c>
      <c r="R366" s="1017" t="str">
        <f ca="1">IF($A366="","",IFERROR(INDEX(TinhGia!$BF$10:$BF$81,MATCH($A366,TinhGia!$B$10:$B$81,0)),""))</f>
        <v/>
      </c>
      <c r="S366" s="1012" t="str">
        <f ca="1">IF($A366="","",IF(OR(IFERROR(SEARCH($R366,XKNVLSX!$X$1,1),0)&gt;=1,XKNVLSX!$X$1=""),$S$2,""))</f>
        <v/>
      </c>
      <c r="T366" s="1018" t="str">
        <f ca="1">IF($C366="","", IF(OR($P366=$V$1,$P366=$V$7,COUNTIFS($C$3:$C366,$C366,$E$3:$E366,$E366)&lt;=1),$P366,""    ))</f>
        <v/>
      </c>
      <c r="U366" s="1019" t="str">
        <f ca="1">IF(AND($P366=$V$2,COUNTIFS($C$3:$C366,$C366,$E$3:$E366,$E366,$G$3:$G366,$G366)&lt;=1),$P366,"")</f>
        <v/>
      </c>
    </row>
    <row r="367" spans="1:21">
      <c r="A367" s="991" t="str">
        <f ca="1">IFERROR(IF(COUNTIF($A$3:A366,A366)&lt; INDEX(TinhGia!$BH$10:$BH$81,MATCH($A366,TinhGia!$B$10:$B$81,0)),$A366,INDEX(TinhGia!$B$10:$B$81,MATCH($A366,TinhGia!$B$10:$B$81,0)+1)),"")</f>
        <v/>
      </c>
      <c r="B367" s="525" t="str">
        <f ca="1">IF(OR(A367="",A367=0),"",IF(COUNTIF($A$2:A367,$A367)=1,ROW(MauKoXoa!$C$108),$B366+1))</f>
        <v/>
      </c>
      <c r="C367" s="992" t="str">
        <f t="shared" ca="1" si="40"/>
        <v/>
      </c>
      <c r="D367" s="993" t="str">
        <f t="shared" ca="1" si="41"/>
        <v/>
      </c>
      <c r="E367" s="993" t="str">
        <f t="shared" ca="1" si="42"/>
        <v/>
      </c>
      <c r="F367" s="992" t="str">
        <f t="shared" ca="1" si="55"/>
        <v/>
      </c>
      <c r="G367" s="994">
        <f t="shared" ca="1" si="43"/>
        <v>0</v>
      </c>
      <c r="H367" s="913">
        <f t="shared" ca="1" si="44"/>
        <v>0</v>
      </c>
      <c r="I367" s="913">
        <f t="shared" ca="1" si="45"/>
        <v>0</v>
      </c>
      <c r="J367" s="995">
        <f t="shared" ca="1" si="56"/>
        <v>0</v>
      </c>
      <c r="K367" s="913">
        <f t="shared" ca="1" si="47"/>
        <v>0</v>
      </c>
      <c r="L367" s="995">
        <f t="shared" ca="1" si="57"/>
        <v>0</v>
      </c>
      <c r="M367" s="913">
        <f t="shared" ca="1" si="49"/>
        <v>0</v>
      </c>
      <c r="N367" s="996">
        <f t="shared" ca="1" si="50"/>
        <v>0</v>
      </c>
      <c r="O367" s="997">
        <f t="shared" ca="1" si="51"/>
        <v>0</v>
      </c>
      <c r="P367" s="1015" t="str">
        <f ca="1">IF($C367="","",INDEX(NVLSX!$N$2:$N$6941,MATCH($C367,NVLSX!$E$2:$E$6941,0)))</f>
        <v/>
      </c>
      <c r="Q367" s="1016" t="str">
        <f ca="1">IF($R367="","",IF(XKNVLSX!$X$1="",IF($P367=$V$7,$P367, IF(COUNTIFS($C$2:$C366,$C367,$E$2:$E366,$E367)&gt;=1,"",$P367)),     IF(AND(IFERROR(SEARCH($R367,XKNVLSX!$X$1,1),0)&gt;=1,$P367=$V$7),$P367, IF(OR($R367&lt;&gt;IF(IFERROR(SEARCH($R367,XKNVLSX!$X$1,1),0)&gt;=1,$R367,XKNVLSX!$X$1),COUNTIFS($C$2:$C366,$C367,$E$2:$E366,$E367,$Q$2:$Q366,$P367)&gt;=1),"",$P367))))</f>
        <v/>
      </c>
      <c r="R367" s="1017" t="str">
        <f ca="1">IF($A367="","",IFERROR(INDEX(TinhGia!$BF$10:$BF$81,MATCH($A367,TinhGia!$B$10:$B$81,0)),""))</f>
        <v/>
      </c>
      <c r="S367" s="1012" t="str">
        <f ca="1">IF($A367="","",IF(OR(IFERROR(SEARCH($R367,XKNVLSX!$X$1,1),0)&gt;=1,XKNVLSX!$X$1=""),$S$2,""))</f>
        <v/>
      </c>
      <c r="T367" s="1018" t="str">
        <f ca="1">IF($C367="","", IF(OR($P367=$V$1,$P367=$V$7,COUNTIFS($C$3:$C367,$C367,$E$3:$E367,$E367)&lt;=1),$P367,""    ))</f>
        <v/>
      </c>
      <c r="U367" s="1019" t="str">
        <f ca="1">IF(AND($P367=$V$2,COUNTIFS($C$3:$C367,$C367,$E$3:$E367,$E367,$G$3:$G367,$G367)&lt;=1),$P367,"")</f>
        <v/>
      </c>
    </row>
    <row r="368" spans="1:21">
      <c r="A368" s="991" t="str">
        <f ca="1">IFERROR(IF(COUNTIF($A$3:A367,A367)&lt; INDEX(TinhGia!$BH$10:$BH$81,MATCH($A367,TinhGia!$B$10:$B$81,0)),$A367,INDEX(TinhGia!$B$10:$B$81,MATCH($A367,TinhGia!$B$10:$B$81,0)+1)),"")</f>
        <v/>
      </c>
      <c r="B368" s="525" t="str">
        <f ca="1">IF(OR(A368="",A368=0),"",IF(COUNTIF($A$2:A368,$A368)=1,ROW(MauKoXoa!$C$108),$B367+1))</f>
        <v/>
      </c>
      <c r="C368" s="992" t="str">
        <f t="shared" ca="1" si="40"/>
        <v/>
      </c>
      <c r="D368" s="993" t="str">
        <f t="shared" ca="1" si="41"/>
        <v/>
      </c>
      <c r="E368" s="993" t="str">
        <f t="shared" ca="1" si="42"/>
        <v/>
      </c>
      <c r="F368" s="992" t="str">
        <f t="shared" ca="1" si="55"/>
        <v/>
      </c>
      <c r="G368" s="994">
        <f t="shared" ca="1" si="43"/>
        <v>0</v>
      </c>
      <c r="H368" s="913">
        <f t="shared" ca="1" si="44"/>
        <v>0</v>
      </c>
      <c r="I368" s="913">
        <f t="shared" ca="1" si="45"/>
        <v>0</v>
      </c>
      <c r="J368" s="995">
        <f t="shared" ca="1" si="56"/>
        <v>0</v>
      </c>
      <c r="K368" s="913">
        <f t="shared" ca="1" si="47"/>
        <v>0</v>
      </c>
      <c r="L368" s="995">
        <f t="shared" ca="1" si="57"/>
        <v>0</v>
      </c>
      <c r="M368" s="913">
        <f t="shared" ca="1" si="49"/>
        <v>0</v>
      </c>
      <c r="N368" s="996">
        <f t="shared" ca="1" si="50"/>
        <v>0</v>
      </c>
      <c r="O368" s="997">
        <f t="shared" ca="1" si="51"/>
        <v>0</v>
      </c>
      <c r="P368" s="1015" t="str">
        <f ca="1">IF($C368="","",INDEX(NVLSX!$N$2:$N$6941,MATCH($C368,NVLSX!$E$2:$E$6941,0)))</f>
        <v/>
      </c>
      <c r="Q368" s="1016" t="str">
        <f ca="1">IF($R368="","",IF(XKNVLSX!$X$1="",IF($P368=$V$7,$P368, IF(COUNTIFS($C$2:$C367,$C368,$E$2:$E367,$E368)&gt;=1,"",$P368)),     IF(AND(IFERROR(SEARCH($R368,XKNVLSX!$X$1,1),0)&gt;=1,$P368=$V$7),$P368, IF(OR($R368&lt;&gt;IF(IFERROR(SEARCH($R368,XKNVLSX!$X$1,1),0)&gt;=1,$R368,XKNVLSX!$X$1),COUNTIFS($C$2:$C367,$C368,$E$2:$E367,$E368,$Q$2:$Q367,$P368)&gt;=1),"",$P368))))</f>
        <v/>
      </c>
      <c r="R368" s="1017" t="str">
        <f ca="1">IF($A368="","",IFERROR(INDEX(TinhGia!$BF$10:$BF$81,MATCH($A368,TinhGia!$B$10:$B$81,0)),""))</f>
        <v/>
      </c>
      <c r="S368" s="1012" t="str">
        <f ca="1">IF($A368="","",IF(OR(IFERROR(SEARCH($R368,XKNVLSX!$X$1,1),0)&gt;=1,XKNVLSX!$X$1=""),$S$2,""))</f>
        <v/>
      </c>
      <c r="T368" s="1018" t="str">
        <f ca="1">IF($C368="","", IF(OR($P368=$V$1,$P368=$V$7,COUNTIFS($C$3:$C368,$C368,$E$3:$E368,$E368)&lt;=1),$P368,""    ))</f>
        <v/>
      </c>
      <c r="U368" s="1019" t="str">
        <f ca="1">IF(AND($P368=$V$2,COUNTIFS($C$3:$C368,$C368,$E$3:$E368,$E368,$G$3:$G368,$G368)&lt;=1),$P368,"")</f>
        <v/>
      </c>
    </row>
    <row r="369" spans="1:21">
      <c r="A369" s="991" t="str">
        <f ca="1">IFERROR(IF(COUNTIF($A$3:A368,A368)&lt; INDEX(TinhGia!$BH$10:$BH$81,MATCH($A368,TinhGia!$B$10:$B$81,0)),$A368,INDEX(TinhGia!$B$10:$B$81,MATCH($A368,TinhGia!$B$10:$B$81,0)+1)),"")</f>
        <v/>
      </c>
      <c r="B369" s="525" t="str">
        <f ca="1">IF(OR(A369="",A369=0),"",IF(COUNTIF($A$2:A369,$A369)=1,ROW(MauKoXoa!$C$108),$B368+1))</f>
        <v/>
      </c>
      <c r="C369" s="992" t="str">
        <f t="shared" ca="1" si="40"/>
        <v/>
      </c>
      <c r="D369" s="993" t="str">
        <f t="shared" ca="1" si="41"/>
        <v/>
      </c>
      <c r="E369" s="993" t="str">
        <f t="shared" ca="1" si="42"/>
        <v/>
      </c>
      <c r="F369" s="992" t="str">
        <f t="shared" ca="1" si="55"/>
        <v/>
      </c>
      <c r="G369" s="994">
        <f t="shared" ca="1" si="43"/>
        <v>0</v>
      </c>
      <c r="H369" s="913">
        <f t="shared" ca="1" si="44"/>
        <v>0</v>
      </c>
      <c r="I369" s="913">
        <f t="shared" ca="1" si="45"/>
        <v>0</v>
      </c>
      <c r="J369" s="995">
        <f t="shared" ca="1" si="56"/>
        <v>0</v>
      </c>
      <c r="K369" s="913">
        <f t="shared" ca="1" si="47"/>
        <v>0</v>
      </c>
      <c r="L369" s="995">
        <f t="shared" ca="1" si="57"/>
        <v>0</v>
      </c>
      <c r="M369" s="913">
        <f t="shared" ca="1" si="49"/>
        <v>0</v>
      </c>
      <c r="N369" s="996">
        <f t="shared" ca="1" si="50"/>
        <v>0</v>
      </c>
      <c r="O369" s="997">
        <f t="shared" ca="1" si="51"/>
        <v>0</v>
      </c>
      <c r="P369" s="1015" t="str">
        <f ca="1">IF($C369="","",INDEX(NVLSX!$N$2:$N$6941,MATCH($C369,NVLSX!$E$2:$E$6941,0)))</f>
        <v/>
      </c>
      <c r="Q369" s="1016" t="str">
        <f ca="1">IF($R369="","",IF(XKNVLSX!$X$1="",IF($P369=$V$7,$P369, IF(COUNTIFS($C$2:$C368,$C369,$E$2:$E368,$E369)&gt;=1,"",$P369)),     IF(AND(IFERROR(SEARCH($R369,XKNVLSX!$X$1,1),0)&gt;=1,$P369=$V$7),$P369, IF(OR($R369&lt;&gt;IF(IFERROR(SEARCH($R369,XKNVLSX!$X$1,1),0)&gt;=1,$R369,XKNVLSX!$X$1),COUNTIFS($C$2:$C368,$C369,$E$2:$E368,$E369,$Q$2:$Q368,$P369)&gt;=1),"",$P369))))</f>
        <v/>
      </c>
      <c r="R369" s="1017" t="str">
        <f ca="1">IF($A369="","",IFERROR(INDEX(TinhGia!$BF$10:$BF$81,MATCH($A369,TinhGia!$B$10:$B$81,0)),""))</f>
        <v/>
      </c>
      <c r="S369" s="1012" t="str">
        <f ca="1">IF($A369="","",IF(OR(IFERROR(SEARCH($R369,XKNVLSX!$X$1,1),0)&gt;=1,XKNVLSX!$X$1=""),$S$2,""))</f>
        <v/>
      </c>
      <c r="T369" s="1018" t="str">
        <f ca="1">IF($C369="","", IF(OR($P369=$V$1,$P369=$V$7,COUNTIFS($C$3:$C369,$C369,$E$3:$E369,$E369)&lt;=1),$P369,""    ))</f>
        <v/>
      </c>
      <c r="U369" s="1019" t="str">
        <f ca="1">IF(AND($P369=$V$2,COUNTIFS($C$3:$C369,$C369,$E$3:$E369,$E369,$G$3:$G369,$G369)&lt;=1),$P369,"")</f>
        <v/>
      </c>
    </row>
    <row r="370" spans="1:21">
      <c r="A370" s="991" t="str">
        <f ca="1">IFERROR(IF(COUNTIF($A$3:A369,A369)&lt; INDEX(TinhGia!$BH$10:$BH$81,MATCH($A369,TinhGia!$B$10:$B$81,0)),$A369,INDEX(TinhGia!$B$10:$B$81,MATCH($A369,TinhGia!$B$10:$B$81,0)+1)),"")</f>
        <v/>
      </c>
      <c r="B370" s="525" t="str">
        <f ca="1">IF(OR(A370="",A370=0),"",IF(COUNTIF($A$2:A370,$A370)=1,ROW(MauKoXoa!$C$108),$B369+1))</f>
        <v/>
      </c>
      <c r="C370" s="992" t="str">
        <f t="shared" ca="1" si="40"/>
        <v/>
      </c>
      <c r="D370" s="993" t="str">
        <f t="shared" ca="1" si="41"/>
        <v/>
      </c>
      <c r="E370" s="993" t="str">
        <f t="shared" ca="1" si="42"/>
        <v/>
      </c>
      <c r="F370" s="992" t="str">
        <f t="shared" ca="1" si="55"/>
        <v/>
      </c>
      <c r="G370" s="994">
        <f t="shared" ca="1" si="43"/>
        <v>0</v>
      </c>
      <c r="H370" s="913">
        <f t="shared" ca="1" si="44"/>
        <v>0</v>
      </c>
      <c r="I370" s="913">
        <f t="shared" ca="1" si="45"/>
        <v>0</v>
      </c>
      <c r="J370" s="995">
        <f t="shared" ca="1" si="56"/>
        <v>0</v>
      </c>
      <c r="K370" s="913">
        <f t="shared" ca="1" si="47"/>
        <v>0</v>
      </c>
      <c r="L370" s="995">
        <f t="shared" ca="1" si="57"/>
        <v>0</v>
      </c>
      <c r="M370" s="913">
        <f t="shared" ca="1" si="49"/>
        <v>0</v>
      </c>
      <c r="N370" s="996">
        <f t="shared" ca="1" si="50"/>
        <v>0</v>
      </c>
      <c r="O370" s="997">
        <f t="shared" ca="1" si="51"/>
        <v>0</v>
      </c>
      <c r="P370" s="1015" t="str">
        <f ca="1">IF($C370="","",INDEX(NVLSX!$N$2:$N$6941,MATCH($C370,NVLSX!$E$2:$E$6941,0)))</f>
        <v/>
      </c>
      <c r="Q370" s="1016" t="str">
        <f ca="1">IF($R370="","",IF(XKNVLSX!$X$1="",IF($P370=$V$7,$P370, IF(COUNTIFS($C$2:$C369,$C370,$E$2:$E369,$E370)&gt;=1,"",$P370)),     IF(AND(IFERROR(SEARCH($R370,XKNVLSX!$X$1,1),0)&gt;=1,$P370=$V$7),$P370, IF(OR($R370&lt;&gt;IF(IFERROR(SEARCH($R370,XKNVLSX!$X$1,1),0)&gt;=1,$R370,XKNVLSX!$X$1),COUNTIFS($C$2:$C369,$C370,$E$2:$E369,$E370,$Q$2:$Q369,$P370)&gt;=1),"",$P370))))</f>
        <v/>
      </c>
      <c r="R370" s="1017" t="str">
        <f ca="1">IF($A370="","",IFERROR(INDEX(TinhGia!$BF$10:$BF$81,MATCH($A370,TinhGia!$B$10:$B$81,0)),""))</f>
        <v/>
      </c>
      <c r="S370" s="1012" t="str">
        <f ca="1">IF($A370="","",IF(OR(IFERROR(SEARCH($R370,XKNVLSX!$X$1,1),0)&gt;=1,XKNVLSX!$X$1=""),$S$2,""))</f>
        <v/>
      </c>
      <c r="T370" s="1018" t="str">
        <f ca="1">IF($C370="","", IF(OR($P370=$V$1,$P370=$V$7,COUNTIFS($C$3:$C370,$C370,$E$3:$E370,$E370)&lt;=1),$P370,""    ))</f>
        <v/>
      </c>
      <c r="U370" s="1019" t="str">
        <f ca="1">IF(AND($P370=$V$2,COUNTIFS($C$3:$C370,$C370,$E$3:$E370,$E370,$G$3:$G370,$G370)&lt;=1),$P370,"")</f>
        <v/>
      </c>
    </row>
    <row r="371" spans="1:21">
      <c r="A371" s="991" t="str">
        <f ca="1">IFERROR(IF(COUNTIF($A$3:A370,A370)&lt; INDEX(TinhGia!$BH$10:$BH$81,MATCH($A370,TinhGia!$B$10:$B$81,0)),$A370,INDEX(TinhGia!$B$10:$B$81,MATCH($A370,TinhGia!$B$10:$B$81,0)+1)),"")</f>
        <v/>
      </c>
      <c r="B371" s="525" t="str">
        <f ca="1">IF(OR(A371="",A371=0),"",IF(COUNTIF($A$2:A371,$A371)=1,ROW(MauKoXoa!$C$108),$B370+1))</f>
        <v/>
      </c>
      <c r="C371" s="992" t="str">
        <f t="shared" ca="1" si="40"/>
        <v/>
      </c>
      <c r="D371" s="993" t="str">
        <f t="shared" ca="1" si="41"/>
        <v/>
      </c>
      <c r="E371" s="993" t="str">
        <f t="shared" ca="1" si="42"/>
        <v/>
      </c>
      <c r="F371" s="992" t="str">
        <f t="shared" ca="1" si="55"/>
        <v/>
      </c>
      <c r="G371" s="994">
        <f t="shared" ca="1" si="43"/>
        <v>0</v>
      </c>
      <c r="H371" s="913">
        <f t="shared" ca="1" si="44"/>
        <v>0</v>
      </c>
      <c r="I371" s="913">
        <f t="shared" ca="1" si="45"/>
        <v>0</v>
      </c>
      <c r="J371" s="995">
        <f t="shared" ca="1" si="56"/>
        <v>0</v>
      </c>
      <c r="K371" s="913">
        <f t="shared" ca="1" si="47"/>
        <v>0</v>
      </c>
      <c r="L371" s="995">
        <f t="shared" ca="1" si="57"/>
        <v>0</v>
      </c>
      <c r="M371" s="913">
        <f t="shared" ca="1" si="49"/>
        <v>0</v>
      </c>
      <c r="N371" s="996">
        <f t="shared" ca="1" si="50"/>
        <v>0</v>
      </c>
      <c r="O371" s="997">
        <f t="shared" ca="1" si="51"/>
        <v>0</v>
      </c>
      <c r="P371" s="1015" t="str">
        <f ca="1">IF($C371="","",INDEX(NVLSX!$N$2:$N$6941,MATCH($C371,NVLSX!$E$2:$E$6941,0)))</f>
        <v/>
      </c>
      <c r="Q371" s="1016" t="str">
        <f ca="1">IF($R371="","",IF(XKNVLSX!$X$1="",IF($P371=$V$7,$P371, IF(COUNTIFS($C$2:$C370,$C371,$E$2:$E370,$E371)&gt;=1,"",$P371)),     IF(AND(IFERROR(SEARCH($R371,XKNVLSX!$X$1,1),0)&gt;=1,$P371=$V$7),$P371, IF(OR($R371&lt;&gt;IF(IFERROR(SEARCH($R371,XKNVLSX!$X$1,1),0)&gt;=1,$R371,XKNVLSX!$X$1),COUNTIFS($C$2:$C370,$C371,$E$2:$E370,$E371,$Q$2:$Q370,$P371)&gt;=1),"",$P371))))</f>
        <v/>
      </c>
      <c r="R371" s="1017" t="str">
        <f ca="1">IF($A371="","",IFERROR(INDEX(TinhGia!$BF$10:$BF$81,MATCH($A371,TinhGia!$B$10:$B$81,0)),""))</f>
        <v/>
      </c>
      <c r="S371" s="1012" t="str">
        <f ca="1">IF($A371="","",IF(OR(IFERROR(SEARCH($R371,XKNVLSX!$X$1,1),0)&gt;=1,XKNVLSX!$X$1=""),$S$2,""))</f>
        <v/>
      </c>
      <c r="T371" s="1018" t="str">
        <f ca="1">IF($C371="","", IF(OR($P371=$V$1,$P371=$V$7,COUNTIFS($C$3:$C371,$C371,$E$3:$E371,$E371)&lt;=1),$P371,""    ))</f>
        <v/>
      </c>
      <c r="U371" s="1019" t="str">
        <f ca="1">IF(AND($P371=$V$2,COUNTIFS($C$3:$C371,$C371,$E$3:$E371,$E371,$G$3:$G371,$G371)&lt;=1),$P371,"")</f>
        <v/>
      </c>
    </row>
    <row r="372" spans="1:21">
      <c r="A372" s="991" t="str">
        <f ca="1">IFERROR(IF(COUNTIF($A$3:A371,A371)&lt; INDEX(TinhGia!$BH$10:$BH$81,MATCH($A371,TinhGia!$B$10:$B$81,0)),$A371,INDEX(TinhGia!$B$10:$B$81,MATCH($A371,TinhGia!$B$10:$B$81,0)+1)),"")</f>
        <v/>
      </c>
      <c r="B372" s="525" t="str">
        <f ca="1">IF(OR(A372="",A372=0),"",IF(COUNTIF($A$2:A372,$A372)=1,ROW(MauKoXoa!$C$108),$B371+1))</f>
        <v/>
      </c>
      <c r="C372" s="992" t="str">
        <f t="shared" ca="1" si="40"/>
        <v/>
      </c>
      <c r="D372" s="993" t="str">
        <f t="shared" ca="1" si="41"/>
        <v/>
      </c>
      <c r="E372" s="993" t="str">
        <f t="shared" ca="1" si="42"/>
        <v/>
      </c>
      <c r="F372" s="992" t="str">
        <f t="shared" ca="1" si="55"/>
        <v/>
      </c>
      <c r="G372" s="994">
        <f t="shared" ca="1" si="43"/>
        <v>0</v>
      </c>
      <c r="H372" s="913">
        <f t="shared" ca="1" si="44"/>
        <v>0</v>
      </c>
      <c r="I372" s="913">
        <f t="shared" ca="1" si="45"/>
        <v>0</v>
      </c>
      <c r="J372" s="995">
        <f t="shared" ca="1" si="56"/>
        <v>0</v>
      </c>
      <c r="K372" s="913">
        <f t="shared" ca="1" si="47"/>
        <v>0</v>
      </c>
      <c r="L372" s="995">
        <f t="shared" ca="1" si="57"/>
        <v>0</v>
      </c>
      <c r="M372" s="913">
        <f t="shared" ca="1" si="49"/>
        <v>0</v>
      </c>
      <c r="N372" s="996">
        <f t="shared" ca="1" si="50"/>
        <v>0</v>
      </c>
      <c r="O372" s="997">
        <f t="shared" ca="1" si="51"/>
        <v>0</v>
      </c>
      <c r="P372" s="1015" t="str">
        <f ca="1">IF($C372="","",INDEX(NVLSX!$N$2:$N$6941,MATCH($C372,NVLSX!$E$2:$E$6941,0)))</f>
        <v/>
      </c>
      <c r="Q372" s="1016" t="str">
        <f ca="1">IF($R372="","",IF(XKNVLSX!$X$1="",IF($P372=$V$7,$P372, IF(COUNTIFS($C$2:$C371,$C372,$E$2:$E371,$E372)&gt;=1,"",$P372)),     IF(AND(IFERROR(SEARCH($R372,XKNVLSX!$X$1,1),0)&gt;=1,$P372=$V$7),$P372, IF(OR($R372&lt;&gt;IF(IFERROR(SEARCH($R372,XKNVLSX!$X$1,1),0)&gt;=1,$R372,XKNVLSX!$X$1),COUNTIFS($C$2:$C371,$C372,$E$2:$E371,$E372,$Q$2:$Q371,$P372)&gt;=1),"",$P372))))</f>
        <v/>
      </c>
      <c r="R372" s="1017" t="str">
        <f ca="1">IF($A372="","",IFERROR(INDEX(TinhGia!$BF$10:$BF$81,MATCH($A372,TinhGia!$B$10:$B$81,0)),""))</f>
        <v/>
      </c>
      <c r="S372" s="1012" t="str">
        <f ca="1">IF($A372="","",IF(OR(IFERROR(SEARCH($R372,XKNVLSX!$X$1,1),0)&gt;=1,XKNVLSX!$X$1=""),$S$2,""))</f>
        <v/>
      </c>
      <c r="T372" s="1018" t="str">
        <f ca="1">IF($C372="","", IF(OR($P372=$V$1,$P372=$V$7,COUNTIFS($C$3:$C372,$C372,$E$3:$E372,$E372)&lt;=1),$P372,""    ))</f>
        <v/>
      </c>
      <c r="U372" s="1019" t="str">
        <f ca="1">IF(AND($P372=$V$2,COUNTIFS($C$3:$C372,$C372,$E$3:$E372,$E372,$G$3:$G372,$G372)&lt;=1),$P372,"")</f>
        <v/>
      </c>
    </row>
    <row r="373" spans="1:21">
      <c r="A373" s="991" t="str">
        <f ca="1">IFERROR(IF(COUNTIF($A$3:A372,A372)&lt; INDEX(TinhGia!$BH$10:$BH$81,MATCH($A372,TinhGia!$B$10:$B$81,0)),$A372,INDEX(TinhGia!$B$10:$B$81,MATCH($A372,TinhGia!$B$10:$B$81,0)+1)),"")</f>
        <v/>
      </c>
      <c r="B373" s="525" t="str">
        <f ca="1">IF(OR(A373="",A373=0),"",IF(COUNTIF($A$2:A373,$A373)=1,ROW(MauKoXoa!$C$108),$B372+1))</f>
        <v/>
      </c>
      <c r="C373" s="992" t="str">
        <f t="shared" ca="1" si="40"/>
        <v/>
      </c>
      <c r="D373" s="993" t="str">
        <f t="shared" ca="1" si="41"/>
        <v/>
      </c>
      <c r="E373" s="993" t="str">
        <f t="shared" ca="1" si="42"/>
        <v/>
      </c>
      <c r="F373" s="992" t="str">
        <f t="shared" ca="1" si="55"/>
        <v/>
      </c>
      <c r="G373" s="994">
        <f t="shared" ca="1" si="43"/>
        <v>0</v>
      </c>
      <c r="H373" s="913">
        <f t="shared" ca="1" si="44"/>
        <v>0</v>
      </c>
      <c r="I373" s="913">
        <f t="shared" ca="1" si="45"/>
        <v>0</v>
      </c>
      <c r="J373" s="995">
        <f t="shared" ca="1" si="56"/>
        <v>0</v>
      </c>
      <c r="K373" s="913">
        <f t="shared" ca="1" si="47"/>
        <v>0</v>
      </c>
      <c r="L373" s="995">
        <f t="shared" ca="1" si="57"/>
        <v>0</v>
      </c>
      <c r="M373" s="913">
        <f t="shared" ca="1" si="49"/>
        <v>0</v>
      </c>
      <c r="N373" s="996">
        <f t="shared" ca="1" si="50"/>
        <v>0</v>
      </c>
      <c r="O373" s="997">
        <f t="shared" ca="1" si="51"/>
        <v>0</v>
      </c>
      <c r="P373" s="1015" t="str">
        <f ca="1">IF($C373="","",INDEX(NVLSX!$N$2:$N$6941,MATCH($C373,NVLSX!$E$2:$E$6941,0)))</f>
        <v/>
      </c>
      <c r="Q373" s="1016" t="str">
        <f ca="1">IF($R373="","",IF(XKNVLSX!$X$1="",IF($P373=$V$7,$P373, IF(COUNTIFS($C$2:$C372,$C373,$E$2:$E372,$E373)&gt;=1,"",$P373)),     IF(AND(IFERROR(SEARCH($R373,XKNVLSX!$X$1,1),0)&gt;=1,$P373=$V$7),$P373, IF(OR($R373&lt;&gt;IF(IFERROR(SEARCH($R373,XKNVLSX!$X$1,1),0)&gt;=1,$R373,XKNVLSX!$X$1),COUNTIFS($C$2:$C372,$C373,$E$2:$E372,$E373,$Q$2:$Q372,$P373)&gt;=1),"",$P373))))</f>
        <v/>
      </c>
      <c r="R373" s="1017" t="str">
        <f ca="1">IF($A373="","",IFERROR(INDEX(TinhGia!$BF$10:$BF$81,MATCH($A373,TinhGia!$B$10:$B$81,0)),""))</f>
        <v/>
      </c>
      <c r="S373" s="1012" t="str">
        <f ca="1">IF($A373="","",IF(OR(IFERROR(SEARCH($R373,XKNVLSX!$X$1,1),0)&gt;=1,XKNVLSX!$X$1=""),$S$2,""))</f>
        <v/>
      </c>
      <c r="T373" s="1018" t="str">
        <f ca="1">IF($C373="","", IF(OR($P373=$V$1,$P373=$V$7,COUNTIFS($C$3:$C373,$C373,$E$3:$E373,$E373)&lt;=1),$P373,""    ))</f>
        <v/>
      </c>
      <c r="U373" s="1019" t="str">
        <f ca="1">IF(AND($P373=$V$2,COUNTIFS($C$3:$C373,$C373,$E$3:$E373,$E373,$G$3:$G373,$G373)&lt;=1),$P373,"")</f>
        <v/>
      </c>
    </row>
    <row r="374" spans="1:21">
      <c r="A374" s="991" t="str">
        <f ca="1">IFERROR(IF(COUNTIF($A$3:A373,A373)&lt; INDEX(TinhGia!$BH$10:$BH$81,MATCH($A373,TinhGia!$B$10:$B$81,0)),$A373,INDEX(TinhGia!$B$10:$B$81,MATCH($A373,TinhGia!$B$10:$B$81,0)+1)),"")</f>
        <v/>
      </c>
      <c r="B374" s="525" t="str">
        <f ca="1">IF(OR(A374="",A374=0),"",IF(COUNTIF($A$2:A374,$A374)=1,ROW(MauKoXoa!$C$108),$B373+1))</f>
        <v/>
      </c>
      <c r="C374" s="992" t="str">
        <f t="shared" ca="1" si="40"/>
        <v/>
      </c>
      <c r="D374" s="993" t="str">
        <f t="shared" ca="1" si="41"/>
        <v/>
      </c>
      <c r="E374" s="993" t="str">
        <f t="shared" ca="1" si="42"/>
        <v/>
      </c>
      <c r="F374" s="992" t="str">
        <f t="shared" ca="1" si="55"/>
        <v/>
      </c>
      <c r="G374" s="994">
        <f t="shared" ca="1" si="43"/>
        <v>0</v>
      </c>
      <c r="H374" s="913">
        <f t="shared" ca="1" si="44"/>
        <v>0</v>
      </c>
      <c r="I374" s="913">
        <f t="shared" ca="1" si="45"/>
        <v>0</v>
      </c>
      <c r="J374" s="995">
        <f t="shared" ca="1" si="56"/>
        <v>0</v>
      </c>
      <c r="K374" s="913">
        <f t="shared" ca="1" si="47"/>
        <v>0</v>
      </c>
      <c r="L374" s="995">
        <f t="shared" ca="1" si="57"/>
        <v>0</v>
      </c>
      <c r="M374" s="913">
        <f t="shared" ca="1" si="49"/>
        <v>0</v>
      </c>
      <c r="N374" s="996">
        <f t="shared" ca="1" si="50"/>
        <v>0</v>
      </c>
      <c r="O374" s="997">
        <f t="shared" ca="1" si="51"/>
        <v>0</v>
      </c>
      <c r="P374" s="1015" t="str">
        <f ca="1">IF($C374="","",INDEX(NVLSX!$N$2:$N$6941,MATCH($C374,NVLSX!$E$2:$E$6941,0)))</f>
        <v/>
      </c>
      <c r="Q374" s="1016" t="str">
        <f ca="1">IF($R374="","",IF(XKNVLSX!$X$1="",IF($P374=$V$7,$P374, IF(COUNTIFS($C$2:$C373,$C374,$E$2:$E373,$E374)&gt;=1,"",$P374)),     IF(AND(IFERROR(SEARCH($R374,XKNVLSX!$X$1,1),0)&gt;=1,$P374=$V$7),$P374, IF(OR($R374&lt;&gt;IF(IFERROR(SEARCH($R374,XKNVLSX!$X$1,1),0)&gt;=1,$R374,XKNVLSX!$X$1),COUNTIFS($C$2:$C373,$C374,$E$2:$E373,$E374,$Q$2:$Q373,$P374)&gt;=1),"",$P374))))</f>
        <v/>
      </c>
      <c r="R374" s="1017" t="str">
        <f ca="1">IF($A374="","",IFERROR(INDEX(TinhGia!$BF$10:$BF$81,MATCH($A374,TinhGia!$B$10:$B$81,0)),""))</f>
        <v/>
      </c>
      <c r="S374" s="1012" t="str">
        <f ca="1">IF($A374="","",IF(OR(IFERROR(SEARCH($R374,XKNVLSX!$X$1,1),0)&gt;=1,XKNVLSX!$X$1=""),$S$2,""))</f>
        <v/>
      </c>
      <c r="T374" s="1018" t="str">
        <f ca="1">IF($C374="","", IF(OR($P374=$V$1,$P374=$V$7,COUNTIFS($C$3:$C374,$C374,$E$3:$E374,$E374)&lt;=1),$P374,""    ))</f>
        <v/>
      </c>
      <c r="U374" s="1019" t="str">
        <f ca="1">IF(AND($P374=$V$2,COUNTIFS($C$3:$C374,$C374,$E$3:$E374,$E374,$G$3:$G374,$G374)&lt;=1),$P374,"")</f>
        <v/>
      </c>
    </row>
    <row r="375" spans="1:21">
      <c r="A375" s="991" t="str">
        <f ca="1">IFERROR(IF(COUNTIF($A$3:A374,A374)&lt; INDEX(TinhGia!$BH$10:$BH$81,MATCH($A374,TinhGia!$B$10:$B$81,0)),$A374,INDEX(TinhGia!$B$10:$B$81,MATCH($A374,TinhGia!$B$10:$B$81,0)+1)),"")</f>
        <v/>
      </c>
      <c r="B375" s="525" t="str">
        <f ca="1">IF(OR(A375="",A375=0),"",IF(COUNTIF($A$2:A375,$A375)=1,ROW(MauKoXoa!$C$108),$B374+1))</f>
        <v/>
      </c>
      <c r="C375" s="992" t="str">
        <f t="shared" ca="1" si="40"/>
        <v/>
      </c>
      <c r="D375" s="993" t="str">
        <f t="shared" ca="1" si="41"/>
        <v/>
      </c>
      <c r="E375" s="993" t="str">
        <f t="shared" ca="1" si="42"/>
        <v/>
      </c>
      <c r="F375" s="992" t="str">
        <f t="shared" ca="1" si="55"/>
        <v/>
      </c>
      <c r="G375" s="994">
        <f t="shared" ca="1" si="43"/>
        <v>0</v>
      </c>
      <c r="H375" s="913">
        <f t="shared" ca="1" si="44"/>
        <v>0</v>
      </c>
      <c r="I375" s="913">
        <f t="shared" ca="1" si="45"/>
        <v>0</v>
      </c>
      <c r="J375" s="995">
        <f t="shared" ca="1" si="56"/>
        <v>0</v>
      </c>
      <c r="K375" s="913">
        <f t="shared" ca="1" si="47"/>
        <v>0</v>
      </c>
      <c r="L375" s="995">
        <f t="shared" ca="1" si="57"/>
        <v>0</v>
      </c>
      <c r="M375" s="913">
        <f t="shared" ca="1" si="49"/>
        <v>0</v>
      </c>
      <c r="N375" s="996">
        <f t="shared" ca="1" si="50"/>
        <v>0</v>
      </c>
      <c r="O375" s="997">
        <f t="shared" ca="1" si="51"/>
        <v>0</v>
      </c>
      <c r="P375" s="1015" t="str">
        <f ca="1">IF($C375="","",INDEX(NVLSX!$N$2:$N$6941,MATCH($C375,NVLSX!$E$2:$E$6941,0)))</f>
        <v/>
      </c>
      <c r="Q375" s="1016" t="str">
        <f ca="1">IF($R375="","",IF(XKNVLSX!$X$1="",IF($P375=$V$7,$P375, IF(COUNTIFS($C$2:$C374,$C375,$E$2:$E374,$E375)&gt;=1,"",$P375)),     IF(AND(IFERROR(SEARCH($R375,XKNVLSX!$X$1,1),0)&gt;=1,$P375=$V$7),$P375, IF(OR($R375&lt;&gt;IF(IFERROR(SEARCH($R375,XKNVLSX!$X$1,1),0)&gt;=1,$R375,XKNVLSX!$X$1),COUNTIFS($C$2:$C374,$C375,$E$2:$E374,$E375,$Q$2:$Q374,$P375)&gt;=1),"",$P375))))</f>
        <v/>
      </c>
      <c r="R375" s="1017" t="str">
        <f ca="1">IF($A375="","",IFERROR(INDEX(TinhGia!$BF$10:$BF$81,MATCH($A375,TinhGia!$B$10:$B$81,0)),""))</f>
        <v/>
      </c>
      <c r="S375" s="1012" t="str">
        <f ca="1">IF($A375="","",IF(OR(IFERROR(SEARCH($R375,XKNVLSX!$X$1,1),0)&gt;=1,XKNVLSX!$X$1=""),$S$2,""))</f>
        <v/>
      </c>
      <c r="T375" s="1018" t="str">
        <f ca="1">IF($C375="","", IF(OR($P375=$V$1,$P375=$V$7,COUNTIFS($C$3:$C375,$C375,$E$3:$E375,$E375)&lt;=1),$P375,""    ))</f>
        <v/>
      </c>
      <c r="U375" s="1019" t="str">
        <f ca="1">IF(AND($P375=$V$2,COUNTIFS($C$3:$C375,$C375,$E$3:$E375,$E375,$G$3:$G375,$G375)&lt;=1),$P375,"")</f>
        <v/>
      </c>
    </row>
    <row r="376" spans="1:21">
      <c r="A376" s="991" t="str">
        <f ca="1">IFERROR(IF(COUNTIF($A$3:A375,A375)&lt; INDEX(TinhGia!$BH$10:$BH$81,MATCH($A375,TinhGia!$B$10:$B$81,0)),$A375,INDEX(TinhGia!$B$10:$B$81,MATCH($A375,TinhGia!$B$10:$B$81,0)+1)),"")</f>
        <v/>
      </c>
      <c r="B376" s="525" t="str">
        <f ca="1">IF(OR(A376="",A376=0),"",IF(COUNTIF($A$2:A376,$A376)=1,ROW(MauKoXoa!$C$108),$B375+1))</f>
        <v/>
      </c>
      <c r="C376" s="992" t="str">
        <f t="shared" ca="1" si="40"/>
        <v/>
      </c>
      <c r="D376" s="993" t="str">
        <f t="shared" ca="1" si="41"/>
        <v/>
      </c>
      <c r="E376" s="993" t="str">
        <f t="shared" ca="1" si="42"/>
        <v/>
      </c>
      <c r="F376" s="992" t="str">
        <f t="shared" ca="1" si="55"/>
        <v/>
      </c>
      <c r="G376" s="994">
        <f t="shared" ca="1" si="43"/>
        <v>0</v>
      </c>
      <c r="H376" s="913">
        <f t="shared" ca="1" si="44"/>
        <v>0</v>
      </c>
      <c r="I376" s="913">
        <f t="shared" ca="1" si="45"/>
        <v>0</v>
      </c>
      <c r="J376" s="995">
        <f t="shared" ca="1" si="56"/>
        <v>0</v>
      </c>
      <c r="K376" s="913">
        <f t="shared" ca="1" si="47"/>
        <v>0</v>
      </c>
      <c r="L376" s="995">
        <f t="shared" ca="1" si="57"/>
        <v>0</v>
      </c>
      <c r="M376" s="913">
        <f t="shared" ca="1" si="49"/>
        <v>0</v>
      </c>
      <c r="N376" s="996">
        <f t="shared" ca="1" si="50"/>
        <v>0</v>
      </c>
      <c r="O376" s="997">
        <f t="shared" ca="1" si="51"/>
        <v>0</v>
      </c>
      <c r="P376" s="1015" t="str">
        <f ca="1">IF($C376="","",INDEX(NVLSX!$N$2:$N$6941,MATCH($C376,NVLSX!$E$2:$E$6941,0)))</f>
        <v/>
      </c>
      <c r="Q376" s="1016" t="str">
        <f ca="1">IF($R376="","",IF(XKNVLSX!$X$1="",IF($P376=$V$7,$P376, IF(COUNTIFS($C$2:$C375,$C376,$E$2:$E375,$E376)&gt;=1,"",$P376)),     IF(AND(IFERROR(SEARCH($R376,XKNVLSX!$X$1,1),0)&gt;=1,$P376=$V$7),$P376, IF(OR($R376&lt;&gt;IF(IFERROR(SEARCH($R376,XKNVLSX!$X$1,1),0)&gt;=1,$R376,XKNVLSX!$X$1),COUNTIFS($C$2:$C375,$C376,$E$2:$E375,$E376,$Q$2:$Q375,$P376)&gt;=1),"",$P376))))</f>
        <v/>
      </c>
      <c r="R376" s="1017" t="str">
        <f ca="1">IF($A376="","",IFERROR(INDEX(TinhGia!$BF$10:$BF$81,MATCH($A376,TinhGia!$B$10:$B$81,0)),""))</f>
        <v/>
      </c>
      <c r="S376" s="1012" t="str">
        <f ca="1">IF($A376="","",IF(OR(IFERROR(SEARCH($R376,XKNVLSX!$X$1,1),0)&gt;=1,XKNVLSX!$X$1=""),$S$2,""))</f>
        <v/>
      </c>
      <c r="T376" s="1018" t="str">
        <f ca="1">IF($C376="","", IF(OR($P376=$V$1,$P376=$V$7,COUNTIFS($C$3:$C376,$C376,$E$3:$E376,$E376)&lt;=1),$P376,""    ))</f>
        <v/>
      </c>
      <c r="U376" s="1019" t="str">
        <f ca="1">IF(AND($P376=$V$2,COUNTIFS($C$3:$C376,$C376,$E$3:$E376,$E376,$G$3:$G376,$G376)&lt;=1),$P376,"")</f>
        <v/>
      </c>
    </row>
    <row r="377" spans="1:21">
      <c r="A377" s="991" t="str">
        <f ca="1">IFERROR(IF(COUNTIF($A$3:A376,A376)&lt; INDEX(TinhGia!$BH$10:$BH$81,MATCH($A376,TinhGia!$B$10:$B$81,0)),$A376,INDEX(TinhGia!$B$10:$B$81,MATCH($A376,TinhGia!$B$10:$B$81,0)+1)),"")</f>
        <v/>
      </c>
      <c r="B377" s="525" t="str">
        <f ca="1">IF(OR(A377="",A377=0),"",IF(COUNTIF($A$2:A377,$A377)=1,ROW(MauKoXoa!$C$108),$B376+1))</f>
        <v/>
      </c>
      <c r="C377" s="992" t="str">
        <f t="shared" ca="1" si="40"/>
        <v/>
      </c>
      <c r="D377" s="993" t="str">
        <f t="shared" ca="1" si="41"/>
        <v/>
      </c>
      <c r="E377" s="993" t="str">
        <f t="shared" ca="1" si="42"/>
        <v/>
      </c>
      <c r="F377" s="992" t="str">
        <f t="shared" ca="1" si="55"/>
        <v/>
      </c>
      <c r="G377" s="994">
        <f t="shared" ca="1" si="43"/>
        <v>0</v>
      </c>
      <c r="H377" s="913">
        <f t="shared" ca="1" si="44"/>
        <v>0</v>
      </c>
      <c r="I377" s="913">
        <f t="shared" ca="1" si="45"/>
        <v>0</v>
      </c>
      <c r="J377" s="995">
        <f t="shared" ca="1" si="56"/>
        <v>0</v>
      </c>
      <c r="K377" s="913">
        <f t="shared" ca="1" si="47"/>
        <v>0</v>
      </c>
      <c r="L377" s="995">
        <f t="shared" ca="1" si="57"/>
        <v>0</v>
      </c>
      <c r="M377" s="913">
        <f t="shared" ca="1" si="49"/>
        <v>0</v>
      </c>
      <c r="N377" s="996">
        <f t="shared" ca="1" si="50"/>
        <v>0</v>
      </c>
      <c r="O377" s="997">
        <f t="shared" ca="1" si="51"/>
        <v>0</v>
      </c>
      <c r="P377" s="1015" t="str">
        <f ca="1">IF($C377="","",INDEX(NVLSX!$N$2:$N$6941,MATCH($C377,NVLSX!$E$2:$E$6941,0)))</f>
        <v/>
      </c>
      <c r="Q377" s="1016" t="str">
        <f ca="1">IF($R377="","",IF(XKNVLSX!$X$1="",IF($P377=$V$7,$P377, IF(COUNTIFS($C$2:$C376,$C377,$E$2:$E376,$E377)&gt;=1,"",$P377)),     IF(AND(IFERROR(SEARCH($R377,XKNVLSX!$X$1,1),0)&gt;=1,$P377=$V$7),$P377, IF(OR($R377&lt;&gt;IF(IFERROR(SEARCH($R377,XKNVLSX!$X$1,1),0)&gt;=1,$R377,XKNVLSX!$X$1),COUNTIFS($C$2:$C376,$C377,$E$2:$E376,$E377,$Q$2:$Q376,$P377)&gt;=1),"",$P377))))</f>
        <v/>
      </c>
      <c r="R377" s="1017" t="str">
        <f ca="1">IF($A377="","",IFERROR(INDEX(TinhGia!$BF$10:$BF$81,MATCH($A377,TinhGia!$B$10:$B$81,0)),""))</f>
        <v/>
      </c>
      <c r="S377" s="1012" t="str">
        <f ca="1">IF($A377="","",IF(OR(IFERROR(SEARCH($R377,XKNVLSX!$X$1,1),0)&gt;=1,XKNVLSX!$X$1=""),$S$2,""))</f>
        <v/>
      </c>
      <c r="T377" s="1018" t="str">
        <f ca="1">IF($C377="","", IF(OR($P377=$V$1,$P377=$V$7,COUNTIFS($C$3:$C377,$C377,$E$3:$E377,$E377)&lt;=1),$P377,""    ))</f>
        <v/>
      </c>
      <c r="U377" s="1019" t="str">
        <f ca="1">IF(AND($P377=$V$2,COUNTIFS($C$3:$C377,$C377,$E$3:$E377,$E377,$G$3:$G377,$G377)&lt;=1),$P377,"")</f>
        <v/>
      </c>
    </row>
    <row r="378" spans="1:21">
      <c r="A378" s="991" t="str">
        <f ca="1">IFERROR(IF(COUNTIF($A$3:A377,A377)&lt; INDEX(TinhGia!$BH$10:$BH$81,MATCH($A377,TinhGia!$B$10:$B$81,0)),$A377,INDEX(TinhGia!$B$10:$B$81,MATCH($A377,TinhGia!$B$10:$B$81,0)+1)),"")</f>
        <v/>
      </c>
      <c r="B378" s="525" t="str">
        <f ca="1">IF(OR(A378="",A378=0),"",IF(COUNTIF($A$2:A378,$A378)=1,ROW(MauKoXoa!$C$108),$B377+1))</f>
        <v/>
      </c>
      <c r="C378" s="992" t="str">
        <f t="shared" ca="1" si="40"/>
        <v/>
      </c>
      <c r="D378" s="993" t="str">
        <f t="shared" ca="1" si="41"/>
        <v/>
      </c>
      <c r="E378" s="993" t="str">
        <f t="shared" ca="1" si="42"/>
        <v/>
      </c>
      <c r="F378" s="992" t="str">
        <f t="shared" ca="1" si="55"/>
        <v/>
      </c>
      <c r="G378" s="994">
        <f t="shared" ca="1" si="43"/>
        <v>0</v>
      </c>
      <c r="H378" s="913">
        <f t="shared" ca="1" si="44"/>
        <v>0</v>
      </c>
      <c r="I378" s="913">
        <f t="shared" ca="1" si="45"/>
        <v>0</v>
      </c>
      <c r="J378" s="995">
        <f t="shared" ca="1" si="56"/>
        <v>0</v>
      </c>
      <c r="K378" s="913">
        <f t="shared" ca="1" si="47"/>
        <v>0</v>
      </c>
      <c r="L378" s="995">
        <f t="shared" ca="1" si="57"/>
        <v>0</v>
      </c>
      <c r="M378" s="913">
        <f t="shared" ca="1" si="49"/>
        <v>0</v>
      </c>
      <c r="N378" s="996">
        <f t="shared" ca="1" si="50"/>
        <v>0</v>
      </c>
      <c r="O378" s="997">
        <f t="shared" ca="1" si="51"/>
        <v>0</v>
      </c>
      <c r="P378" s="1015" t="str">
        <f ca="1">IF($C378="","",INDEX(NVLSX!$N$2:$N$6941,MATCH($C378,NVLSX!$E$2:$E$6941,0)))</f>
        <v/>
      </c>
      <c r="Q378" s="1016" t="str">
        <f ca="1">IF($R378="","",IF(XKNVLSX!$X$1="",IF($P378=$V$7,$P378, IF(COUNTIFS($C$2:$C377,$C378,$E$2:$E377,$E378)&gt;=1,"",$P378)),     IF(AND(IFERROR(SEARCH($R378,XKNVLSX!$X$1,1),0)&gt;=1,$P378=$V$7),$P378, IF(OR($R378&lt;&gt;IF(IFERROR(SEARCH($R378,XKNVLSX!$X$1,1),0)&gt;=1,$R378,XKNVLSX!$X$1),COUNTIFS($C$2:$C377,$C378,$E$2:$E377,$E378,$Q$2:$Q377,$P378)&gt;=1),"",$P378))))</f>
        <v/>
      </c>
      <c r="R378" s="1017" t="str">
        <f ca="1">IF($A378="","",IFERROR(INDEX(TinhGia!$BF$10:$BF$81,MATCH($A378,TinhGia!$B$10:$B$81,0)),""))</f>
        <v/>
      </c>
      <c r="S378" s="1012" t="str">
        <f ca="1">IF($A378="","",IF(OR(IFERROR(SEARCH($R378,XKNVLSX!$X$1,1),0)&gt;=1,XKNVLSX!$X$1=""),$S$2,""))</f>
        <v/>
      </c>
      <c r="T378" s="1018" t="str">
        <f ca="1">IF($C378="","", IF(OR($P378=$V$1,$P378=$V$7,COUNTIFS($C$3:$C378,$C378,$E$3:$E378,$E378)&lt;=1),$P378,""    ))</f>
        <v/>
      </c>
      <c r="U378" s="1019" t="str">
        <f ca="1">IF(AND($P378=$V$2,COUNTIFS($C$3:$C378,$C378,$E$3:$E378,$E378,$G$3:$G378,$G378)&lt;=1),$P378,"")</f>
        <v/>
      </c>
    </row>
    <row r="379" spans="1:21">
      <c r="A379" s="991" t="str">
        <f ca="1">IFERROR(IF(COUNTIF($A$3:A378,A378)&lt; INDEX(TinhGia!$BH$10:$BH$81,MATCH($A378,TinhGia!$B$10:$B$81,0)),$A378,INDEX(TinhGia!$B$10:$B$81,MATCH($A378,TinhGia!$B$10:$B$81,0)+1)),"")</f>
        <v/>
      </c>
      <c r="B379" s="525" t="str">
        <f ca="1">IF(OR(A379="",A379=0),"",IF(COUNTIF($A$2:A379,$A379)=1,ROW(MauKoXoa!$C$108),$B378+1))</f>
        <v/>
      </c>
      <c r="C379" s="992" t="str">
        <f t="shared" ca="1" si="40"/>
        <v/>
      </c>
      <c r="D379" s="993" t="str">
        <f t="shared" ca="1" si="41"/>
        <v/>
      </c>
      <c r="E379" s="993" t="str">
        <f t="shared" ca="1" si="42"/>
        <v/>
      </c>
      <c r="F379" s="992" t="str">
        <f t="shared" ca="1" si="55"/>
        <v/>
      </c>
      <c r="G379" s="994">
        <f t="shared" ca="1" si="43"/>
        <v>0</v>
      </c>
      <c r="H379" s="913">
        <f t="shared" ca="1" si="44"/>
        <v>0</v>
      </c>
      <c r="I379" s="913">
        <f t="shared" ca="1" si="45"/>
        <v>0</v>
      </c>
      <c r="J379" s="995">
        <f t="shared" ca="1" si="56"/>
        <v>0</v>
      </c>
      <c r="K379" s="913">
        <f t="shared" ca="1" si="47"/>
        <v>0</v>
      </c>
      <c r="L379" s="995">
        <f t="shared" ca="1" si="57"/>
        <v>0</v>
      </c>
      <c r="M379" s="913">
        <f t="shared" ca="1" si="49"/>
        <v>0</v>
      </c>
      <c r="N379" s="996">
        <f t="shared" ca="1" si="50"/>
        <v>0</v>
      </c>
      <c r="O379" s="997">
        <f t="shared" ca="1" si="51"/>
        <v>0</v>
      </c>
      <c r="P379" s="1015" t="str">
        <f ca="1">IF($C379="","",INDEX(NVLSX!$N$2:$N$6941,MATCH($C379,NVLSX!$E$2:$E$6941,0)))</f>
        <v/>
      </c>
      <c r="Q379" s="1016" t="str">
        <f ca="1">IF($R379="","",IF(XKNVLSX!$X$1="",IF($P379=$V$7,$P379, IF(COUNTIFS($C$2:$C378,$C379,$E$2:$E378,$E379)&gt;=1,"",$P379)),     IF(AND(IFERROR(SEARCH($R379,XKNVLSX!$X$1,1),0)&gt;=1,$P379=$V$7),$P379, IF(OR($R379&lt;&gt;IF(IFERROR(SEARCH($R379,XKNVLSX!$X$1,1),0)&gt;=1,$R379,XKNVLSX!$X$1),COUNTIFS($C$2:$C378,$C379,$E$2:$E378,$E379,$Q$2:$Q378,$P379)&gt;=1),"",$P379))))</f>
        <v/>
      </c>
      <c r="R379" s="1017" t="str">
        <f ca="1">IF($A379="","",IFERROR(INDEX(TinhGia!$BF$10:$BF$81,MATCH($A379,TinhGia!$B$10:$B$81,0)),""))</f>
        <v/>
      </c>
      <c r="S379" s="1012" t="str">
        <f ca="1">IF($A379="","",IF(OR(IFERROR(SEARCH($R379,XKNVLSX!$X$1,1),0)&gt;=1,XKNVLSX!$X$1=""),$S$2,""))</f>
        <v/>
      </c>
      <c r="T379" s="1018" t="str">
        <f ca="1">IF($C379="","", IF(OR($P379=$V$1,$P379=$V$7,COUNTIFS($C$3:$C379,$C379,$E$3:$E379,$E379)&lt;=1),$P379,""    ))</f>
        <v/>
      </c>
      <c r="U379" s="1019" t="str">
        <f ca="1">IF(AND($P379=$V$2,COUNTIFS($C$3:$C379,$C379,$E$3:$E379,$E379,$G$3:$G379,$G379)&lt;=1),$P379,"")</f>
        <v/>
      </c>
    </row>
    <row r="380" spans="1:21">
      <c r="A380" s="991" t="str">
        <f ca="1">IFERROR(IF(COUNTIF($A$3:A379,A379)&lt; INDEX(TinhGia!$BH$10:$BH$81,MATCH($A379,TinhGia!$B$10:$B$81,0)),$A379,INDEX(TinhGia!$B$10:$B$81,MATCH($A379,TinhGia!$B$10:$B$81,0)+1)),"")</f>
        <v/>
      </c>
      <c r="B380" s="525" t="str">
        <f ca="1">IF(OR(A380="",A380=0),"",IF(COUNTIF($A$2:A380,$A380)=1,ROW(MauKoXoa!$C$108),$B379+1))</f>
        <v/>
      </c>
      <c r="C380" s="992" t="str">
        <f t="shared" ca="1" si="40"/>
        <v/>
      </c>
      <c r="D380" s="993" t="str">
        <f t="shared" ca="1" si="41"/>
        <v/>
      </c>
      <c r="E380" s="993" t="str">
        <f t="shared" ca="1" si="42"/>
        <v/>
      </c>
      <c r="F380" s="992" t="str">
        <f t="shared" ca="1" si="55"/>
        <v/>
      </c>
      <c r="G380" s="994">
        <f t="shared" ca="1" si="43"/>
        <v>0</v>
      </c>
      <c r="H380" s="913">
        <f t="shared" ca="1" si="44"/>
        <v>0</v>
      </c>
      <c r="I380" s="913">
        <f t="shared" ca="1" si="45"/>
        <v>0</v>
      </c>
      <c r="J380" s="995">
        <f t="shared" ca="1" si="56"/>
        <v>0</v>
      </c>
      <c r="K380" s="913">
        <f t="shared" ca="1" si="47"/>
        <v>0</v>
      </c>
      <c r="L380" s="995">
        <f t="shared" ca="1" si="57"/>
        <v>0</v>
      </c>
      <c r="M380" s="913">
        <f t="shared" ca="1" si="49"/>
        <v>0</v>
      </c>
      <c r="N380" s="996">
        <f t="shared" ca="1" si="50"/>
        <v>0</v>
      </c>
      <c r="O380" s="997">
        <f t="shared" ca="1" si="51"/>
        <v>0</v>
      </c>
      <c r="P380" s="1015" t="str">
        <f ca="1">IF($C380="","",INDEX(NVLSX!$N$2:$N$6941,MATCH($C380,NVLSX!$E$2:$E$6941,0)))</f>
        <v/>
      </c>
      <c r="Q380" s="1016" t="str">
        <f ca="1">IF($R380="","",IF(XKNVLSX!$X$1="",IF($P380=$V$7,$P380, IF(COUNTIFS($C$2:$C379,$C380,$E$2:$E379,$E380)&gt;=1,"",$P380)),     IF(AND(IFERROR(SEARCH($R380,XKNVLSX!$X$1,1),0)&gt;=1,$P380=$V$7),$P380, IF(OR($R380&lt;&gt;IF(IFERROR(SEARCH($R380,XKNVLSX!$X$1,1),0)&gt;=1,$R380,XKNVLSX!$X$1),COUNTIFS($C$2:$C379,$C380,$E$2:$E379,$E380,$Q$2:$Q379,$P380)&gt;=1),"",$P380))))</f>
        <v/>
      </c>
      <c r="R380" s="1017" t="str">
        <f ca="1">IF($A380="","",IFERROR(INDEX(TinhGia!$BF$10:$BF$81,MATCH($A380,TinhGia!$B$10:$B$81,0)),""))</f>
        <v/>
      </c>
      <c r="S380" s="1012" t="str">
        <f ca="1">IF($A380="","",IF(OR(IFERROR(SEARCH($R380,XKNVLSX!$X$1,1),0)&gt;=1,XKNVLSX!$X$1=""),$S$2,""))</f>
        <v/>
      </c>
      <c r="T380" s="1018" t="str">
        <f ca="1">IF($C380="","", IF(OR($P380=$V$1,$P380=$V$7,COUNTIFS($C$3:$C380,$C380,$E$3:$E380,$E380)&lt;=1),$P380,""    ))</f>
        <v/>
      </c>
      <c r="U380" s="1019" t="str">
        <f ca="1">IF(AND($P380=$V$2,COUNTIFS($C$3:$C380,$C380,$E$3:$E380,$E380,$G$3:$G380,$G380)&lt;=1),$P380,"")</f>
        <v/>
      </c>
    </row>
    <row r="381" spans="1:21">
      <c r="A381" s="991" t="str">
        <f ca="1">IFERROR(IF(COUNTIF($A$3:A380,A380)&lt; INDEX(TinhGia!$BH$10:$BH$81,MATCH($A380,TinhGia!$B$10:$B$81,0)),$A380,INDEX(TinhGia!$B$10:$B$81,MATCH($A380,TinhGia!$B$10:$B$81,0)+1)),"")</f>
        <v/>
      </c>
      <c r="B381" s="525" t="str">
        <f ca="1">IF(OR(A381="",A381=0),"",IF(COUNTIF($A$2:A381,$A381)=1,ROW(MauKoXoa!$C$108),$B380+1))</f>
        <v/>
      </c>
      <c r="C381" s="992" t="str">
        <f t="shared" ca="1" si="40"/>
        <v/>
      </c>
      <c r="D381" s="993" t="str">
        <f t="shared" ca="1" si="41"/>
        <v/>
      </c>
      <c r="E381" s="993" t="str">
        <f t="shared" ca="1" si="42"/>
        <v/>
      </c>
      <c r="F381" s="992" t="str">
        <f t="shared" ca="1" si="55"/>
        <v/>
      </c>
      <c r="G381" s="994">
        <f t="shared" ca="1" si="43"/>
        <v>0</v>
      </c>
      <c r="H381" s="913">
        <f t="shared" ca="1" si="44"/>
        <v>0</v>
      </c>
      <c r="I381" s="913">
        <f t="shared" ca="1" si="45"/>
        <v>0</v>
      </c>
      <c r="J381" s="995">
        <f t="shared" ca="1" si="56"/>
        <v>0</v>
      </c>
      <c r="K381" s="913">
        <f t="shared" ca="1" si="47"/>
        <v>0</v>
      </c>
      <c r="L381" s="995">
        <f t="shared" ca="1" si="57"/>
        <v>0</v>
      </c>
      <c r="M381" s="913">
        <f t="shared" ca="1" si="49"/>
        <v>0</v>
      </c>
      <c r="N381" s="996">
        <f t="shared" ca="1" si="50"/>
        <v>0</v>
      </c>
      <c r="O381" s="997">
        <f t="shared" ca="1" si="51"/>
        <v>0</v>
      </c>
      <c r="P381" s="1015" t="str">
        <f ca="1">IF($C381="","",INDEX(NVLSX!$N$2:$N$6941,MATCH($C381,NVLSX!$E$2:$E$6941,0)))</f>
        <v/>
      </c>
      <c r="Q381" s="1016" t="str">
        <f ca="1">IF($R381="","",IF(XKNVLSX!$X$1="",IF($P381=$V$7,$P381, IF(COUNTIFS($C$2:$C380,$C381,$E$2:$E380,$E381)&gt;=1,"",$P381)),     IF(AND(IFERROR(SEARCH($R381,XKNVLSX!$X$1,1),0)&gt;=1,$P381=$V$7),$P381, IF(OR($R381&lt;&gt;IF(IFERROR(SEARCH($R381,XKNVLSX!$X$1,1),0)&gt;=1,$R381,XKNVLSX!$X$1),COUNTIFS($C$2:$C380,$C381,$E$2:$E380,$E381,$Q$2:$Q380,$P381)&gt;=1),"",$P381))))</f>
        <v/>
      </c>
      <c r="R381" s="1017" t="str">
        <f ca="1">IF($A381="","",IFERROR(INDEX(TinhGia!$BF$10:$BF$81,MATCH($A381,TinhGia!$B$10:$B$81,0)),""))</f>
        <v/>
      </c>
      <c r="S381" s="1012" t="str">
        <f ca="1">IF($A381="","",IF(OR(IFERROR(SEARCH($R381,XKNVLSX!$X$1,1),0)&gt;=1,XKNVLSX!$X$1=""),$S$2,""))</f>
        <v/>
      </c>
      <c r="T381" s="1018" t="str">
        <f ca="1">IF($C381="","", IF(OR($P381=$V$1,$P381=$V$7,COUNTIFS($C$3:$C381,$C381,$E$3:$E381,$E381)&lt;=1),$P381,""    ))</f>
        <v/>
      </c>
      <c r="U381" s="1019" t="str">
        <f ca="1">IF(AND($P381=$V$2,COUNTIFS($C$3:$C381,$C381,$E$3:$E381,$E381,$G$3:$G381,$G381)&lt;=1),$P381,"")</f>
        <v/>
      </c>
    </row>
    <row r="382" spans="1:21">
      <c r="A382" s="991" t="str">
        <f ca="1">IFERROR(IF(COUNTIF($A$3:A381,A381)&lt; INDEX(TinhGia!$BH$10:$BH$81,MATCH($A381,TinhGia!$B$10:$B$81,0)),$A381,INDEX(TinhGia!$B$10:$B$81,MATCH($A381,TinhGia!$B$10:$B$81,0)+1)),"")</f>
        <v/>
      </c>
      <c r="B382" s="525" t="str">
        <f ca="1">IF(OR(A382="",A382=0),"",IF(COUNTIF($A$2:A382,$A382)=1,ROW(MauKoXoa!$C$108),$B381+1))</f>
        <v/>
      </c>
      <c r="C382" s="992" t="str">
        <f t="shared" ca="1" si="40"/>
        <v/>
      </c>
      <c r="D382" s="993" t="str">
        <f t="shared" ca="1" si="41"/>
        <v/>
      </c>
      <c r="E382" s="993" t="str">
        <f t="shared" ca="1" si="42"/>
        <v/>
      </c>
      <c r="F382" s="992" t="str">
        <f t="shared" ca="1" si="55"/>
        <v/>
      </c>
      <c r="G382" s="994">
        <f t="shared" ca="1" si="43"/>
        <v>0</v>
      </c>
      <c r="H382" s="913">
        <f t="shared" ca="1" si="44"/>
        <v>0</v>
      </c>
      <c r="I382" s="913">
        <f t="shared" ca="1" si="45"/>
        <v>0</v>
      </c>
      <c r="J382" s="995">
        <f t="shared" ca="1" si="56"/>
        <v>0</v>
      </c>
      <c r="K382" s="913">
        <f t="shared" ca="1" si="47"/>
        <v>0</v>
      </c>
      <c r="L382" s="995">
        <f t="shared" ca="1" si="57"/>
        <v>0</v>
      </c>
      <c r="M382" s="913">
        <f t="shared" ca="1" si="49"/>
        <v>0</v>
      </c>
      <c r="N382" s="996">
        <f t="shared" ca="1" si="50"/>
        <v>0</v>
      </c>
      <c r="O382" s="997">
        <f t="shared" ca="1" si="51"/>
        <v>0</v>
      </c>
      <c r="P382" s="1015" t="str">
        <f ca="1">IF($C382="","",INDEX(NVLSX!$N$2:$N$6941,MATCH($C382,NVLSX!$E$2:$E$6941,0)))</f>
        <v/>
      </c>
      <c r="Q382" s="1016" t="str">
        <f ca="1">IF($R382="","",IF(XKNVLSX!$X$1="",IF($P382=$V$7,$P382, IF(COUNTIFS($C$2:$C381,$C382,$E$2:$E381,$E382)&gt;=1,"",$P382)),     IF(AND(IFERROR(SEARCH($R382,XKNVLSX!$X$1,1),0)&gt;=1,$P382=$V$7),$P382, IF(OR($R382&lt;&gt;IF(IFERROR(SEARCH($R382,XKNVLSX!$X$1,1),0)&gt;=1,$R382,XKNVLSX!$X$1),COUNTIFS($C$2:$C381,$C382,$E$2:$E381,$E382,$Q$2:$Q381,$P382)&gt;=1),"",$P382))))</f>
        <v/>
      </c>
      <c r="R382" s="1017" t="str">
        <f ca="1">IF($A382="","",IFERROR(INDEX(TinhGia!$BF$10:$BF$81,MATCH($A382,TinhGia!$B$10:$B$81,0)),""))</f>
        <v/>
      </c>
      <c r="S382" s="1012" t="str">
        <f ca="1">IF($A382="","",IF(OR(IFERROR(SEARCH($R382,XKNVLSX!$X$1,1),0)&gt;=1,XKNVLSX!$X$1=""),$S$2,""))</f>
        <v/>
      </c>
      <c r="T382" s="1018" t="str">
        <f ca="1">IF($C382="","", IF(OR($P382=$V$1,$P382=$V$7,COUNTIFS($C$3:$C382,$C382,$E$3:$E382,$E382)&lt;=1),$P382,""    ))</f>
        <v/>
      </c>
      <c r="U382" s="1019" t="str">
        <f ca="1">IF(AND($P382=$V$2,COUNTIFS($C$3:$C382,$C382,$E$3:$E382,$E382,$G$3:$G382,$G382)&lt;=1),$P382,"")</f>
        <v/>
      </c>
    </row>
    <row r="383" spans="1:21">
      <c r="A383" s="991" t="str">
        <f ca="1">IFERROR(IF(COUNTIF($A$3:A382,A382)&lt; INDEX(TinhGia!$BH$10:$BH$81,MATCH($A382,TinhGia!$B$10:$B$81,0)),$A382,INDEX(TinhGia!$B$10:$B$81,MATCH($A382,TinhGia!$B$10:$B$81,0)+1)),"")</f>
        <v/>
      </c>
      <c r="B383" s="525" t="str">
        <f ca="1">IF(OR(A383="",A383=0),"",IF(COUNTIF($A$2:A383,$A383)=1,ROW(MauKoXoa!$C$108),$B382+1))</f>
        <v/>
      </c>
      <c r="C383" s="992" t="str">
        <f t="shared" ca="1" si="40"/>
        <v/>
      </c>
      <c r="D383" s="993" t="str">
        <f t="shared" ca="1" si="41"/>
        <v/>
      </c>
      <c r="E383" s="993" t="str">
        <f t="shared" ca="1" si="42"/>
        <v/>
      </c>
      <c r="F383" s="992" t="str">
        <f t="shared" ca="1" si="55"/>
        <v/>
      </c>
      <c r="G383" s="994">
        <f t="shared" ca="1" si="43"/>
        <v>0</v>
      </c>
      <c r="H383" s="913">
        <f t="shared" ca="1" si="44"/>
        <v>0</v>
      </c>
      <c r="I383" s="913">
        <f t="shared" ca="1" si="45"/>
        <v>0</v>
      </c>
      <c r="J383" s="995">
        <f t="shared" ca="1" si="56"/>
        <v>0</v>
      </c>
      <c r="K383" s="913">
        <f t="shared" ca="1" si="47"/>
        <v>0</v>
      </c>
      <c r="L383" s="995">
        <f t="shared" ca="1" si="57"/>
        <v>0</v>
      </c>
      <c r="M383" s="913">
        <f t="shared" ca="1" si="49"/>
        <v>0</v>
      </c>
      <c r="N383" s="996">
        <f t="shared" ca="1" si="50"/>
        <v>0</v>
      </c>
      <c r="O383" s="997">
        <f t="shared" ca="1" si="51"/>
        <v>0</v>
      </c>
      <c r="P383" s="1015" t="str">
        <f ca="1">IF($C383="","",INDEX(NVLSX!$N$2:$N$6941,MATCH($C383,NVLSX!$E$2:$E$6941,0)))</f>
        <v/>
      </c>
      <c r="Q383" s="1016" t="str">
        <f ca="1">IF($R383="","",IF(XKNVLSX!$X$1="",IF($P383=$V$7,$P383, IF(COUNTIFS($C$2:$C382,$C383,$E$2:$E382,$E383)&gt;=1,"",$P383)),     IF(AND(IFERROR(SEARCH($R383,XKNVLSX!$X$1,1),0)&gt;=1,$P383=$V$7),$P383, IF(OR($R383&lt;&gt;IF(IFERROR(SEARCH($R383,XKNVLSX!$X$1,1),0)&gt;=1,$R383,XKNVLSX!$X$1),COUNTIFS($C$2:$C382,$C383,$E$2:$E382,$E383,$Q$2:$Q382,$P383)&gt;=1),"",$P383))))</f>
        <v/>
      </c>
      <c r="R383" s="1017" t="str">
        <f ca="1">IF($A383="","",IFERROR(INDEX(TinhGia!$BF$10:$BF$81,MATCH($A383,TinhGia!$B$10:$B$81,0)),""))</f>
        <v/>
      </c>
      <c r="S383" s="1012" t="str">
        <f ca="1">IF($A383="","",IF(OR(IFERROR(SEARCH($R383,XKNVLSX!$X$1,1),0)&gt;=1,XKNVLSX!$X$1=""),$S$2,""))</f>
        <v/>
      </c>
      <c r="T383" s="1018" t="str">
        <f ca="1">IF($C383="","", IF(OR($P383=$V$1,$P383=$V$7,COUNTIFS($C$3:$C383,$C383,$E$3:$E383,$E383)&lt;=1),$P383,""    ))</f>
        <v/>
      </c>
      <c r="U383" s="1019" t="str">
        <f ca="1">IF(AND($P383=$V$2,COUNTIFS($C$3:$C383,$C383,$E$3:$E383,$E383,$G$3:$G383,$G383)&lt;=1),$P383,"")</f>
        <v/>
      </c>
    </row>
    <row r="384" spans="1:21">
      <c r="A384" s="991" t="str">
        <f ca="1">IFERROR(IF(COUNTIF($A$3:A383,A383)&lt; INDEX(TinhGia!$BH$10:$BH$81,MATCH($A383,TinhGia!$B$10:$B$81,0)),$A383,INDEX(TinhGia!$B$10:$B$81,MATCH($A383,TinhGia!$B$10:$B$81,0)+1)),"")</f>
        <v/>
      </c>
      <c r="B384" s="525" t="str">
        <f ca="1">IF(OR(A384="",A384=0),"",IF(COUNTIF($A$2:A384,$A384)=1,ROW(MauKoXoa!$C$108),$B383+1))</f>
        <v/>
      </c>
      <c r="C384" s="992" t="str">
        <f t="shared" ca="1" si="40"/>
        <v/>
      </c>
      <c r="D384" s="993" t="str">
        <f t="shared" ca="1" si="41"/>
        <v/>
      </c>
      <c r="E384" s="993" t="str">
        <f t="shared" ca="1" si="42"/>
        <v/>
      </c>
      <c r="F384" s="992" t="str">
        <f t="shared" ca="1" si="55"/>
        <v/>
      </c>
      <c r="G384" s="994">
        <f t="shared" ca="1" si="43"/>
        <v>0</v>
      </c>
      <c r="H384" s="913">
        <f t="shared" ca="1" si="44"/>
        <v>0</v>
      </c>
      <c r="I384" s="913">
        <f t="shared" ca="1" si="45"/>
        <v>0</v>
      </c>
      <c r="J384" s="995">
        <f t="shared" ca="1" si="56"/>
        <v>0</v>
      </c>
      <c r="K384" s="913">
        <f t="shared" ca="1" si="47"/>
        <v>0</v>
      </c>
      <c r="L384" s="995">
        <f t="shared" ca="1" si="57"/>
        <v>0</v>
      </c>
      <c r="M384" s="913">
        <f t="shared" ca="1" si="49"/>
        <v>0</v>
      </c>
      <c r="N384" s="996">
        <f t="shared" ca="1" si="50"/>
        <v>0</v>
      </c>
      <c r="O384" s="997">
        <f t="shared" ca="1" si="51"/>
        <v>0</v>
      </c>
      <c r="P384" s="1015" t="str">
        <f ca="1">IF($C384="","",INDEX(NVLSX!$N$2:$N$6941,MATCH($C384,NVLSX!$E$2:$E$6941,0)))</f>
        <v/>
      </c>
      <c r="Q384" s="1016" t="str">
        <f ca="1">IF($R384="","",IF(XKNVLSX!$X$1="",IF($P384=$V$7,$P384, IF(COUNTIFS($C$2:$C383,$C384,$E$2:$E383,$E384)&gt;=1,"",$P384)),     IF(AND(IFERROR(SEARCH($R384,XKNVLSX!$X$1,1),0)&gt;=1,$P384=$V$7),$P384, IF(OR($R384&lt;&gt;IF(IFERROR(SEARCH($R384,XKNVLSX!$X$1,1),0)&gt;=1,$R384,XKNVLSX!$X$1),COUNTIFS($C$2:$C383,$C384,$E$2:$E383,$E384,$Q$2:$Q383,$P384)&gt;=1),"",$P384))))</f>
        <v/>
      </c>
      <c r="R384" s="1017" t="str">
        <f ca="1">IF($A384="","",IFERROR(INDEX(TinhGia!$BF$10:$BF$81,MATCH($A384,TinhGia!$B$10:$B$81,0)),""))</f>
        <v/>
      </c>
      <c r="S384" s="1012" t="str">
        <f ca="1">IF($A384="","",IF(OR(IFERROR(SEARCH($R384,XKNVLSX!$X$1,1),0)&gt;=1,XKNVLSX!$X$1=""),$S$2,""))</f>
        <v/>
      </c>
      <c r="T384" s="1018" t="str">
        <f ca="1">IF($C384="","", IF(OR($P384=$V$1,$P384=$V$7,COUNTIFS($C$3:$C384,$C384,$E$3:$E384,$E384)&lt;=1),$P384,""    ))</f>
        <v/>
      </c>
      <c r="U384" s="1019" t="str">
        <f ca="1">IF(AND($P384=$V$2,COUNTIFS($C$3:$C384,$C384,$E$3:$E384,$E384,$G$3:$G384,$G384)&lt;=1),$P384,"")</f>
        <v/>
      </c>
    </row>
    <row r="385" spans="1:21">
      <c r="A385" s="991" t="str">
        <f ca="1">IFERROR(IF(COUNTIF($A$3:A384,A384)&lt; INDEX(TinhGia!$BH$10:$BH$81,MATCH($A384,TinhGia!$B$10:$B$81,0)),$A384,INDEX(TinhGia!$B$10:$B$81,MATCH($A384,TinhGia!$B$10:$B$81,0)+1)),"")</f>
        <v/>
      </c>
      <c r="B385" s="525" t="str">
        <f ca="1">IF(OR(A385="",A385=0),"",IF(COUNTIF($A$2:A385,$A385)=1,ROW(MauKoXoa!$C$108),$B384+1))</f>
        <v/>
      </c>
      <c r="C385" s="992" t="str">
        <f t="shared" ca="1" si="40"/>
        <v/>
      </c>
      <c r="D385" s="993" t="str">
        <f t="shared" ca="1" si="41"/>
        <v/>
      </c>
      <c r="E385" s="993" t="str">
        <f t="shared" ca="1" si="42"/>
        <v/>
      </c>
      <c r="F385" s="992" t="str">
        <f t="shared" ca="1" si="55"/>
        <v/>
      </c>
      <c r="G385" s="994">
        <f t="shared" ca="1" si="43"/>
        <v>0</v>
      </c>
      <c r="H385" s="913">
        <f t="shared" ca="1" si="44"/>
        <v>0</v>
      </c>
      <c r="I385" s="913">
        <f t="shared" ca="1" si="45"/>
        <v>0</v>
      </c>
      <c r="J385" s="995">
        <f t="shared" ca="1" si="56"/>
        <v>0</v>
      </c>
      <c r="K385" s="913">
        <f t="shared" ca="1" si="47"/>
        <v>0</v>
      </c>
      <c r="L385" s="995">
        <f t="shared" ca="1" si="57"/>
        <v>0</v>
      </c>
      <c r="M385" s="913">
        <f t="shared" ca="1" si="49"/>
        <v>0</v>
      </c>
      <c r="N385" s="996">
        <f t="shared" ca="1" si="50"/>
        <v>0</v>
      </c>
      <c r="O385" s="997">
        <f t="shared" ca="1" si="51"/>
        <v>0</v>
      </c>
      <c r="P385" s="1015" t="str">
        <f ca="1">IF($C385="","",INDEX(NVLSX!$N$2:$N$6941,MATCH($C385,NVLSX!$E$2:$E$6941,0)))</f>
        <v/>
      </c>
      <c r="Q385" s="1016" t="str">
        <f ca="1">IF($R385="","",IF(XKNVLSX!$X$1="",IF($P385=$V$7,$P385, IF(COUNTIFS($C$2:$C384,$C385,$E$2:$E384,$E385)&gt;=1,"",$P385)),     IF(AND(IFERROR(SEARCH($R385,XKNVLSX!$X$1,1),0)&gt;=1,$P385=$V$7),$P385, IF(OR($R385&lt;&gt;IF(IFERROR(SEARCH($R385,XKNVLSX!$X$1,1),0)&gt;=1,$R385,XKNVLSX!$X$1),COUNTIFS($C$2:$C384,$C385,$E$2:$E384,$E385,$Q$2:$Q384,$P385)&gt;=1),"",$P385))))</f>
        <v/>
      </c>
      <c r="R385" s="1017" t="str">
        <f ca="1">IF($A385="","",IFERROR(INDEX(TinhGia!$BF$10:$BF$81,MATCH($A385,TinhGia!$B$10:$B$81,0)),""))</f>
        <v/>
      </c>
      <c r="S385" s="1012" t="str">
        <f ca="1">IF($A385="","",IF(OR(IFERROR(SEARCH($R385,XKNVLSX!$X$1,1),0)&gt;=1,XKNVLSX!$X$1=""),$S$2,""))</f>
        <v/>
      </c>
      <c r="T385" s="1018" t="str">
        <f ca="1">IF($C385="","", IF(OR($P385=$V$1,$P385=$V$7,COUNTIFS($C$3:$C385,$C385,$E$3:$E385,$E385)&lt;=1),$P385,""    ))</f>
        <v/>
      </c>
      <c r="U385" s="1019" t="str">
        <f ca="1">IF(AND($P385=$V$2,COUNTIFS($C$3:$C385,$C385,$E$3:$E385,$E385,$G$3:$G385,$G385)&lt;=1),$P385,"")</f>
        <v/>
      </c>
    </row>
    <row r="386" spans="1:21">
      <c r="A386" s="991" t="str">
        <f ca="1">IFERROR(IF(COUNTIF($A$3:A385,A385)&lt; INDEX(TinhGia!$BH$10:$BH$81,MATCH($A385,TinhGia!$B$10:$B$81,0)),$A385,INDEX(TinhGia!$B$10:$B$81,MATCH($A385,TinhGia!$B$10:$B$81,0)+1)),"")</f>
        <v/>
      </c>
      <c r="B386" s="525" t="str">
        <f ca="1">IF(OR(A386="",A386=0),"",IF(COUNTIF($A$2:A386,$A386)=1,ROW(MauKoXoa!$C$108),$B385+1))</f>
        <v/>
      </c>
      <c r="C386" s="992" t="str">
        <f t="shared" ca="1" si="40"/>
        <v/>
      </c>
      <c r="D386" s="993" t="str">
        <f t="shared" ca="1" si="41"/>
        <v/>
      </c>
      <c r="E386" s="993" t="str">
        <f t="shared" ca="1" si="42"/>
        <v/>
      </c>
      <c r="F386" s="992" t="str">
        <f t="shared" ca="1" si="55"/>
        <v/>
      </c>
      <c r="G386" s="994">
        <f t="shared" ca="1" si="43"/>
        <v>0</v>
      </c>
      <c r="H386" s="913">
        <f t="shared" ca="1" si="44"/>
        <v>0</v>
      </c>
      <c r="I386" s="913">
        <f t="shared" ca="1" si="45"/>
        <v>0</v>
      </c>
      <c r="J386" s="995">
        <f t="shared" ca="1" si="56"/>
        <v>0</v>
      </c>
      <c r="K386" s="913">
        <f t="shared" ca="1" si="47"/>
        <v>0</v>
      </c>
      <c r="L386" s="995">
        <f t="shared" ca="1" si="57"/>
        <v>0</v>
      </c>
      <c r="M386" s="913">
        <f t="shared" ca="1" si="49"/>
        <v>0</v>
      </c>
      <c r="N386" s="996">
        <f t="shared" ca="1" si="50"/>
        <v>0</v>
      </c>
      <c r="O386" s="997">
        <f t="shared" ca="1" si="51"/>
        <v>0</v>
      </c>
      <c r="P386" s="1015" t="str">
        <f ca="1">IF($C386="","",INDEX(NVLSX!$N$2:$N$6941,MATCH($C386,NVLSX!$E$2:$E$6941,0)))</f>
        <v/>
      </c>
      <c r="Q386" s="1016" t="str">
        <f ca="1">IF($R386="","",IF(XKNVLSX!$X$1="",IF($P386=$V$7,$P386, IF(COUNTIFS($C$2:$C385,$C386,$E$2:$E385,$E386)&gt;=1,"",$P386)),     IF(AND(IFERROR(SEARCH($R386,XKNVLSX!$X$1,1),0)&gt;=1,$P386=$V$7),$P386, IF(OR($R386&lt;&gt;IF(IFERROR(SEARCH($R386,XKNVLSX!$X$1,1),0)&gt;=1,$R386,XKNVLSX!$X$1),COUNTIFS($C$2:$C385,$C386,$E$2:$E385,$E386,$Q$2:$Q385,$P386)&gt;=1),"",$P386))))</f>
        <v/>
      </c>
      <c r="R386" s="1017" t="str">
        <f ca="1">IF($A386="","",IFERROR(INDEX(TinhGia!$BF$10:$BF$81,MATCH($A386,TinhGia!$B$10:$B$81,0)),""))</f>
        <v/>
      </c>
      <c r="S386" s="1012" t="str">
        <f ca="1">IF($A386="","",IF(OR(IFERROR(SEARCH($R386,XKNVLSX!$X$1,1),0)&gt;=1,XKNVLSX!$X$1=""),$S$2,""))</f>
        <v/>
      </c>
      <c r="T386" s="1018" t="str">
        <f ca="1">IF($C386="","", IF(OR($P386=$V$1,$P386=$V$7,COUNTIFS($C$3:$C386,$C386,$E$3:$E386,$E386)&lt;=1),$P386,""    ))</f>
        <v/>
      </c>
      <c r="U386" s="1019" t="str">
        <f ca="1">IF(AND($P386=$V$2,COUNTIFS($C$3:$C386,$C386,$E$3:$E386,$E386,$G$3:$G386,$G386)&lt;=1),$P386,"")</f>
        <v/>
      </c>
    </row>
    <row r="387" spans="1:21">
      <c r="A387" s="991" t="str">
        <f ca="1">IFERROR(IF(COUNTIF($A$3:A386,A386)&lt; INDEX(TinhGia!$BH$10:$BH$81,MATCH($A386,TinhGia!$B$10:$B$81,0)),$A386,INDEX(TinhGia!$B$10:$B$81,MATCH($A386,TinhGia!$B$10:$B$81,0)+1)),"")</f>
        <v/>
      </c>
      <c r="B387" s="525" t="str">
        <f ca="1">IF(OR(A387="",A387=0),"",IF(COUNTIF($A$2:A387,$A387)=1,ROW(MauKoXoa!$C$108),$B386+1))</f>
        <v/>
      </c>
      <c r="C387" s="992" t="str">
        <f t="shared" ca="1" si="40"/>
        <v/>
      </c>
      <c r="D387" s="993" t="str">
        <f t="shared" ca="1" si="41"/>
        <v/>
      </c>
      <c r="E387" s="993" t="str">
        <f t="shared" ca="1" si="42"/>
        <v/>
      </c>
      <c r="F387" s="992" t="str">
        <f t="shared" ref="F387:F450" ca="1" si="58">IF($P387=$V$7, IFERROR(INDIRECT("'" &amp; $A387 &amp; "'!" &amp; "I" &amp; $B387),""),IFERROR(INDIRECT("'" &amp; $A387 &amp; "'!" &amp; "E" &amp; $B387),""))</f>
        <v/>
      </c>
      <c r="G387" s="994">
        <f t="shared" ca="1" si="43"/>
        <v>0</v>
      </c>
      <c r="H387" s="913">
        <f t="shared" ca="1" si="44"/>
        <v>0</v>
      </c>
      <c r="I387" s="913">
        <f t="shared" ca="1" si="45"/>
        <v>0</v>
      </c>
      <c r="J387" s="995">
        <f t="shared" ca="1" si="56"/>
        <v>0</v>
      </c>
      <c r="K387" s="913">
        <f t="shared" ca="1" si="47"/>
        <v>0</v>
      </c>
      <c r="L387" s="995">
        <f t="shared" ca="1" si="57"/>
        <v>0</v>
      </c>
      <c r="M387" s="913">
        <f t="shared" ca="1" si="49"/>
        <v>0</v>
      </c>
      <c r="N387" s="996">
        <f t="shared" ca="1" si="50"/>
        <v>0</v>
      </c>
      <c r="O387" s="997">
        <f t="shared" ca="1" si="51"/>
        <v>0</v>
      </c>
      <c r="P387" s="1015" t="str">
        <f ca="1">IF($C387="","",INDEX(NVLSX!$N$2:$N$6941,MATCH($C387,NVLSX!$E$2:$E$6941,0)))</f>
        <v/>
      </c>
      <c r="Q387" s="1016" t="str">
        <f ca="1">IF($R387="","",IF(XKNVLSX!$X$1="",IF($P387=$V$7,$P387, IF(COUNTIFS($C$2:$C386,$C387,$E$2:$E386,$E387)&gt;=1,"",$P387)),     IF(AND(IFERROR(SEARCH($R387,XKNVLSX!$X$1,1),0)&gt;=1,$P387=$V$7),$P387, IF(OR($R387&lt;&gt;IF(IFERROR(SEARCH($R387,XKNVLSX!$X$1,1),0)&gt;=1,$R387,XKNVLSX!$X$1),COUNTIFS($C$2:$C386,$C387,$E$2:$E386,$E387,$Q$2:$Q386,$P387)&gt;=1),"",$P387))))</f>
        <v/>
      </c>
      <c r="R387" s="1017" t="str">
        <f ca="1">IF($A387="","",IFERROR(INDEX(TinhGia!$BF$10:$BF$81,MATCH($A387,TinhGia!$B$10:$B$81,0)),""))</f>
        <v/>
      </c>
      <c r="S387" s="1012" t="str">
        <f ca="1">IF($A387="","",IF(OR(IFERROR(SEARCH($R387,XKNVLSX!$X$1,1),0)&gt;=1,XKNVLSX!$X$1=""),$S$2,""))</f>
        <v/>
      </c>
      <c r="T387" s="1018" t="str">
        <f ca="1">IF($C387="","", IF(OR($P387=$V$1,$P387=$V$7,COUNTIFS($C$3:$C387,$C387,$E$3:$E387,$E387)&lt;=1),$P387,""    ))</f>
        <v/>
      </c>
      <c r="U387" s="1019" t="str">
        <f ca="1">IF(AND($P387=$V$2,COUNTIFS($C$3:$C387,$C387,$E$3:$E387,$E387,$G$3:$G387,$G387)&lt;=1),$P387,"")</f>
        <v/>
      </c>
    </row>
    <row r="388" spans="1:21">
      <c r="A388" s="991" t="str">
        <f ca="1">IFERROR(IF(COUNTIF($A$3:A387,A387)&lt; INDEX(TinhGia!$BH$10:$BH$81,MATCH($A387,TinhGia!$B$10:$B$81,0)),$A387,INDEX(TinhGia!$B$10:$B$81,MATCH($A387,TinhGia!$B$10:$B$81,0)+1)),"")</f>
        <v/>
      </c>
      <c r="B388" s="525" t="str">
        <f ca="1">IF(OR(A388="",A388=0),"",IF(COUNTIF($A$2:A388,$A388)=1,ROW(MauKoXoa!$C$108),$B387+1))</f>
        <v/>
      </c>
      <c r="C388" s="992" t="str">
        <f t="shared" ca="1" si="40"/>
        <v/>
      </c>
      <c r="D388" s="993" t="str">
        <f t="shared" ca="1" si="41"/>
        <v/>
      </c>
      <c r="E388" s="993" t="str">
        <f t="shared" ca="1" si="42"/>
        <v/>
      </c>
      <c r="F388" s="992" t="str">
        <f t="shared" ca="1" si="58"/>
        <v/>
      </c>
      <c r="G388" s="994">
        <f t="shared" ca="1" si="43"/>
        <v>0</v>
      </c>
      <c r="H388" s="913">
        <f t="shared" ca="1" si="44"/>
        <v>0</v>
      </c>
      <c r="I388" s="913">
        <f t="shared" ca="1" si="45"/>
        <v>0</v>
      </c>
      <c r="J388" s="995">
        <f t="shared" ref="J388:J451" ca="1" si="59">IFERROR(INDIRECT("'" &amp; $A388 &amp; "'!" &amp; "J" &amp; $B388),0)</f>
        <v>0</v>
      </c>
      <c r="K388" s="913">
        <f t="shared" ca="1" si="47"/>
        <v>0</v>
      </c>
      <c r="L388" s="995">
        <f t="shared" ref="L388:L451" ca="1" si="60">+ IFERROR(INDIRECT("'" &amp; $A388 &amp; "'!" &amp; "K" &amp; $B388),0)</f>
        <v>0</v>
      </c>
      <c r="M388" s="913">
        <f t="shared" ca="1" si="49"/>
        <v>0</v>
      </c>
      <c r="N388" s="996">
        <f t="shared" ca="1" si="50"/>
        <v>0</v>
      </c>
      <c r="O388" s="997">
        <f t="shared" ca="1" si="51"/>
        <v>0</v>
      </c>
      <c r="P388" s="1015" t="str">
        <f ca="1">IF($C388="","",INDEX(NVLSX!$N$2:$N$6941,MATCH($C388,NVLSX!$E$2:$E$6941,0)))</f>
        <v/>
      </c>
      <c r="Q388" s="1016" t="str">
        <f ca="1">IF($R388="","",IF(XKNVLSX!$X$1="",IF($P388=$V$7,$P388, IF(COUNTIFS($C$2:$C387,$C388,$E$2:$E387,$E388)&gt;=1,"",$P388)),     IF(AND(IFERROR(SEARCH($R388,XKNVLSX!$X$1,1),0)&gt;=1,$P388=$V$7),$P388, IF(OR($R388&lt;&gt;IF(IFERROR(SEARCH($R388,XKNVLSX!$X$1,1),0)&gt;=1,$R388,XKNVLSX!$X$1),COUNTIFS($C$2:$C387,$C388,$E$2:$E387,$E388,$Q$2:$Q387,$P388)&gt;=1),"",$P388))))</f>
        <v/>
      </c>
      <c r="R388" s="1017" t="str">
        <f ca="1">IF($A388="","",IFERROR(INDEX(TinhGia!$BF$10:$BF$81,MATCH($A388,TinhGia!$B$10:$B$81,0)),""))</f>
        <v/>
      </c>
      <c r="S388" s="1012" t="str">
        <f ca="1">IF($A388="","",IF(OR(IFERROR(SEARCH($R388,XKNVLSX!$X$1,1),0)&gt;=1,XKNVLSX!$X$1=""),$S$2,""))</f>
        <v/>
      </c>
      <c r="T388" s="1018" t="str">
        <f ca="1">IF($C388="","", IF(OR($P388=$V$1,$P388=$V$7,COUNTIFS($C$3:$C388,$C388,$E$3:$E388,$E388)&lt;=1),$P388,""    ))</f>
        <v/>
      </c>
      <c r="U388" s="1019" t="str">
        <f ca="1">IF(AND($P388=$V$2,COUNTIFS($C$3:$C388,$C388,$E$3:$E388,$E388,$G$3:$G388,$G388)&lt;=1),$P388,"")</f>
        <v/>
      </c>
    </row>
    <row r="389" spans="1:21">
      <c r="A389" s="991" t="str">
        <f ca="1">IFERROR(IF(COUNTIF($A$3:A388,A388)&lt; INDEX(TinhGia!$BH$10:$BH$81,MATCH($A388,TinhGia!$B$10:$B$81,0)),$A388,INDEX(TinhGia!$B$10:$B$81,MATCH($A388,TinhGia!$B$10:$B$81,0)+1)),"")</f>
        <v/>
      </c>
      <c r="B389" s="525" t="str">
        <f ca="1">IF(OR(A389="",A389=0),"",IF(COUNTIF($A$2:A389,$A389)=1,ROW(MauKoXoa!$C$108),$B388+1))</f>
        <v/>
      </c>
      <c r="C389" s="992" t="str">
        <f t="shared" ca="1" si="40"/>
        <v/>
      </c>
      <c r="D389" s="993" t="str">
        <f t="shared" ca="1" si="41"/>
        <v/>
      </c>
      <c r="E389" s="993" t="str">
        <f t="shared" ca="1" si="42"/>
        <v/>
      </c>
      <c r="F389" s="992" t="str">
        <f t="shared" ca="1" si="58"/>
        <v/>
      </c>
      <c r="G389" s="994">
        <f t="shared" ca="1" si="43"/>
        <v>0</v>
      </c>
      <c r="H389" s="913">
        <f t="shared" ca="1" si="44"/>
        <v>0</v>
      </c>
      <c r="I389" s="913">
        <f t="shared" ca="1" si="45"/>
        <v>0</v>
      </c>
      <c r="J389" s="995">
        <f t="shared" ca="1" si="59"/>
        <v>0</v>
      </c>
      <c r="K389" s="913">
        <f t="shared" ca="1" si="47"/>
        <v>0</v>
      </c>
      <c r="L389" s="995">
        <f t="shared" ca="1" si="60"/>
        <v>0</v>
      </c>
      <c r="M389" s="913">
        <f t="shared" ca="1" si="49"/>
        <v>0</v>
      </c>
      <c r="N389" s="996">
        <f t="shared" ca="1" si="50"/>
        <v>0</v>
      </c>
      <c r="O389" s="997">
        <f t="shared" ca="1" si="51"/>
        <v>0</v>
      </c>
      <c r="P389" s="1015" t="str">
        <f ca="1">IF($C389="","",INDEX(NVLSX!$N$2:$N$6941,MATCH($C389,NVLSX!$E$2:$E$6941,0)))</f>
        <v/>
      </c>
      <c r="Q389" s="1016" t="str">
        <f ca="1">IF($R389="","",IF(XKNVLSX!$X$1="",IF($P389=$V$7,$P389, IF(COUNTIFS($C$2:$C388,$C389,$E$2:$E388,$E389)&gt;=1,"",$P389)),     IF(AND(IFERROR(SEARCH($R389,XKNVLSX!$X$1,1),0)&gt;=1,$P389=$V$7),$P389, IF(OR($R389&lt;&gt;IF(IFERROR(SEARCH($R389,XKNVLSX!$X$1,1),0)&gt;=1,$R389,XKNVLSX!$X$1),COUNTIFS($C$2:$C388,$C389,$E$2:$E388,$E389,$Q$2:$Q388,$P389)&gt;=1),"",$P389))))</f>
        <v/>
      </c>
      <c r="R389" s="1017" t="str">
        <f ca="1">IF($A389="","",IFERROR(INDEX(TinhGia!$BF$10:$BF$81,MATCH($A389,TinhGia!$B$10:$B$81,0)),""))</f>
        <v/>
      </c>
      <c r="S389" s="1012" t="str">
        <f ca="1">IF($A389="","",IF(OR(IFERROR(SEARCH($R389,XKNVLSX!$X$1,1),0)&gt;=1,XKNVLSX!$X$1=""),$S$2,""))</f>
        <v/>
      </c>
      <c r="T389" s="1018" t="str">
        <f ca="1">IF($C389="","", IF(OR($P389=$V$1,$P389=$V$7,COUNTIFS($C$3:$C389,$C389,$E$3:$E389,$E389)&lt;=1),$P389,""    ))</f>
        <v/>
      </c>
      <c r="U389" s="1019" t="str">
        <f ca="1">IF(AND($P389=$V$2,COUNTIFS($C$3:$C389,$C389,$E$3:$E389,$E389,$G$3:$G389,$G389)&lt;=1),$P389,"")</f>
        <v/>
      </c>
    </row>
    <row r="390" spans="1:21">
      <c r="A390" s="991" t="str">
        <f ca="1">IFERROR(IF(COUNTIF($A$3:A389,A389)&lt; INDEX(TinhGia!$BH$10:$BH$81,MATCH($A389,TinhGia!$B$10:$B$81,0)),$A389,INDEX(TinhGia!$B$10:$B$81,MATCH($A389,TinhGia!$B$10:$B$81,0)+1)),"")</f>
        <v/>
      </c>
      <c r="B390" s="525" t="str">
        <f ca="1">IF(OR(A390="",A390=0),"",IF(COUNTIF($A$2:A390,$A390)=1,ROW(MauKoXoa!$C$108),$B389+1))</f>
        <v/>
      </c>
      <c r="C390" s="992" t="str">
        <f t="shared" ca="1" si="40"/>
        <v/>
      </c>
      <c r="D390" s="993" t="str">
        <f t="shared" ca="1" si="41"/>
        <v/>
      </c>
      <c r="E390" s="993" t="str">
        <f t="shared" ca="1" si="42"/>
        <v/>
      </c>
      <c r="F390" s="992" t="str">
        <f t="shared" ca="1" si="58"/>
        <v/>
      </c>
      <c r="G390" s="994">
        <f t="shared" ca="1" si="43"/>
        <v>0</v>
      </c>
      <c r="H390" s="913">
        <f t="shared" ca="1" si="44"/>
        <v>0</v>
      </c>
      <c r="I390" s="913">
        <f t="shared" ca="1" si="45"/>
        <v>0</v>
      </c>
      <c r="J390" s="995">
        <f t="shared" ca="1" si="59"/>
        <v>0</v>
      </c>
      <c r="K390" s="913">
        <f t="shared" ca="1" si="47"/>
        <v>0</v>
      </c>
      <c r="L390" s="995">
        <f t="shared" ca="1" si="60"/>
        <v>0</v>
      </c>
      <c r="M390" s="913">
        <f t="shared" ca="1" si="49"/>
        <v>0</v>
      </c>
      <c r="N390" s="996">
        <f t="shared" ca="1" si="50"/>
        <v>0</v>
      </c>
      <c r="O390" s="997">
        <f t="shared" ca="1" si="51"/>
        <v>0</v>
      </c>
      <c r="P390" s="1015" t="str">
        <f ca="1">IF($C390="","",INDEX(NVLSX!$N$2:$N$6941,MATCH($C390,NVLSX!$E$2:$E$6941,0)))</f>
        <v/>
      </c>
      <c r="Q390" s="1016" t="str">
        <f ca="1">IF($R390="","",IF(XKNVLSX!$X$1="",IF($P390=$V$7,$P390, IF(COUNTIFS($C$2:$C389,$C390,$E$2:$E389,$E390)&gt;=1,"",$P390)),     IF(AND(IFERROR(SEARCH($R390,XKNVLSX!$X$1,1),0)&gt;=1,$P390=$V$7),$P390, IF(OR($R390&lt;&gt;IF(IFERROR(SEARCH($R390,XKNVLSX!$X$1,1),0)&gt;=1,$R390,XKNVLSX!$X$1),COUNTIFS($C$2:$C389,$C390,$E$2:$E389,$E390,$Q$2:$Q389,$P390)&gt;=1),"",$P390))))</f>
        <v/>
      </c>
      <c r="R390" s="1017" t="str">
        <f ca="1">IF($A390="","",IFERROR(INDEX(TinhGia!$BF$10:$BF$81,MATCH($A390,TinhGia!$B$10:$B$81,0)),""))</f>
        <v/>
      </c>
      <c r="S390" s="1012" t="str">
        <f ca="1">IF($A390="","",IF(OR(IFERROR(SEARCH($R390,XKNVLSX!$X$1,1),0)&gt;=1,XKNVLSX!$X$1=""),$S$2,""))</f>
        <v/>
      </c>
      <c r="T390" s="1018" t="str">
        <f ca="1">IF($C390="","", IF(OR($P390=$V$1,$P390=$V$7,COUNTIFS($C$3:$C390,$C390,$E$3:$E390,$E390)&lt;=1),$P390,""    ))</f>
        <v/>
      </c>
      <c r="U390" s="1019" t="str">
        <f ca="1">IF(AND($P390=$V$2,COUNTIFS($C$3:$C390,$C390,$E$3:$E390,$E390,$G$3:$G390,$G390)&lt;=1),$P390,"")</f>
        <v/>
      </c>
    </row>
    <row r="391" spans="1:21">
      <c r="A391" s="991" t="str">
        <f ca="1">IFERROR(IF(COUNTIF($A$3:A390,A390)&lt; INDEX(TinhGia!$BH$10:$BH$81,MATCH($A390,TinhGia!$B$10:$B$81,0)),$A390,INDEX(TinhGia!$B$10:$B$81,MATCH($A390,TinhGia!$B$10:$B$81,0)+1)),"")</f>
        <v/>
      </c>
      <c r="B391" s="525" t="str">
        <f ca="1">IF(OR(A391="",A391=0),"",IF(COUNTIF($A$2:A391,$A391)=1,ROW(MauKoXoa!$C$108),$B390+1))</f>
        <v/>
      </c>
      <c r="C391" s="992" t="str">
        <f t="shared" ca="1" si="40"/>
        <v/>
      </c>
      <c r="D391" s="993" t="str">
        <f t="shared" ca="1" si="41"/>
        <v/>
      </c>
      <c r="E391" s="993" t="str">
        <f t="shared" ca="1" si="42"/>
        <v/>
      </c>
      <c r="F391" s="992" t="str">
        <f t="shared" ca="1" si="58"/>
        <v/>
      </c>
      <c r="G391" s="994">
        <f t="shared" ca="1" si="43"/>
        <v>0</v>
      </c>
      <c r="H391" s="913">
        <f t="shared" ca="1" si="44"/>
        <v>0</v>
      </c>
      <c r="I391" s="913">
        <f t="shared" ca="1" si="45"/>
        <v>0</v>
      </c>
      <c r="J391" s="995">
        <f t="shared" ca="1" si="59"/>
        <v>0</v>
      </c>
      <c r="K391" s="913">
        <f t="shared" ca="1" si="47"/>
        <v>0</v>
      </c>
      <c r="L391" s="995">
        <f t="shared" ca="1" si="60"/>
        <v>0</v>
      </c>
      <c r="M391" s="913">
        <f t="shared" ca="1" si="49"/>
        <v>0</v>
      </c>
      <c r="N391" s="996">
        <f t="shared" ca="1" si="50"/>
        <v>0</v>
      </c>
      <c r="O391" s="997">
        <f t="shared" ca="1" si="51"/>
        <v>0</v>
      </c>
      <c r="P391" s="1015" t="str">
        <f ca="1">IF($C391="","",INDEX(NVLSX!$N$2:$N$6941,MATCH($C391,NVLSX!$E$2:$E$6941,0)))</f>
        <v/>
      </c>
      <c r="Q391" s="1016" t="str">
        <f ca="1">IF($R391="","",IF(XKNVLSX!$X$1="",IF($P391=$V$7,$P391, IF(COUNTIFS($C$2:$C390,$C391,$E$2:$E390,$E391)&gt;=1,"",$P391)),     IF(AND(IFERROR(SEARCH($R391,XKNVLSX!$X$1,1),0)&gt;=1,$P391=$V$7),$P391, IF(OR($R391&lt;&gt;IF(IFERROR(SEARCH($R391,XKNVLSX!$X$1,1),0)&gt;=1,$R391,XKNVLSX!$X$1),COUNTIFS($C$2:$C390,$C391,$E$2:$E390,$E391,$Q$2:$Q390,$P391)&gt;=1),"",$P391))))</f>
        <v/>
      </c>
      <c r="R391" s="1017" t="str">
        <f ca="1">IF($A391="","",IFERROR(INDEX(TinhGia!$BF$10:$BF$81,MATCH($A391,TinhGia!$B$10:$B$81,0)),""))</f>
        <v/>
      </c>
      <c r="S391" s="1012" t="str">
        <f ca="1">IF($A391="","",IF(OR(IFERROR(SEARCH($R391,XKNVLSX!$X$1,1),0)&gt;=1,XKNVLSX!$X$1=""),$S$2,""))</f>
        <v/>
      </c>
      <c r="T391" s="1018" t="str">
        <f ca="1">IF($C391="","", IF(OR($P391=$V$1,$P391=$V$7,COUNTIFS($C$3:$C391,$C391,$E$3:$E391,$E391)&lt;=1),$P391,""    ))</f>
        <v/>
      </c>
      <c r="U391" s="1019" t="str">
        <f ca="1">IF(AND($P391=$V$2,COUNTIFS($C$3:$C391,$C391,$E$3:$E391,$E391,$G$3:$G391,$G391)&lt;=1),$P391,"")</f>
        <v/>
      </c>
    </row>
    <row r="392" spans="1:21">
      <c r="A392" s="991" t="str">
        <f ca="1">IFERROR(IF(COUNTIF($A$3:A391,A391)&lt; INDEX(TinhGia!$BH$10:$BH$81,MATCH($A391,TinhGia!$B$10:$B$81,0)),$A391,INDEX(TinhGia!$B$10:$B$81,MATCH($A391,TinhGia!$B$10:$B$81,0)+1)),"")</f>
        <v/>
      </c>
      <c r="B392" s="525" t="str">
        <f ca="1">IF(OR(A392="",A392=0),"",IF(COUNTIF($A$2:A392,$A392)=1,ROW(MauKoXoa!$C$108),$B391+1))</f>
        <v/>
      </c>
      <c r="C392" s="992" t="str">
        <f t="shared" ca="1" si="40"/>
        <v/>
      </c>
      <c r="D392" s="993" t="str">
        <f t="shared" ca="1" si="41"/>
        <v/>
      </c>
      <c r="E392" s="993" t="str">
        <f t="shared" ca="1" si="42"/>
        <v/>
      </c>
      <c r="F392" s="992" t="str">
        <f t="shared" ca="1" si="58"/>
        <v/>
      </c>
      <c r="G392" s="994">
        <f t="shared" ca="1" si="43"/>
        <v>0</v>
      </c>
      <c r="H392" s="913">
        <f t="shared" ca="1" si="44"/>
        <v>0</v>
      </c>
      <c r="I392" s="913">
        <f t="shared" ca="1" si="45"/>
        <v>0</v>
      </c>
      <c r="J392" s="995">
        <f t="shared" ca="1" si="59"/>
        <v>0</v>
      </c>
      <c r="K392" s="913">
        <f t="shared" ca="1" si="47"/>
        <v>0</v>
      </c>
      <c r="L392" s="995">
        <f t="shared" ca="1" si="60"/>
        <v>0</v>
      </c>
      <c r="M392" s="913">
        <f t="shared" ca="1" si="49"/>
        <v>0</v>
      </c>
      <c r="N392" s="996">
        <f t="shared" ca="1" si="50"/>
        <v>0</v>
      </c>
      <c r="O392" s="997">
        <f t="shared" ca="1" si="51"/>
        <v>0</v>
      </c>
      <c r="P392" s="1015" t="str">
        <f ca="1">IF($C392="","",INDEX(NVLSX!$N$2:$N$6941,MATCH($C392,NVLSX!$E$2:$E$6941,0)))</f>
        <v/>
      </c>
      <c r="Q392" s="1016" t="str">
        <f ca="1">IF($R392="","",IF(XKNVLSX!$X$1="",IF($P392=$V$7,$P392, IF(COUNTIFS($C$2:$C391,$C392,$E$2:$E391,$E392)&gt;=1,"",$P392)),     IF(AND(IFERROR(SEARCH($R392,XKNVLSX!$X$1,1),0)&gt;=1,$P392=$V$7),$P392, IF(OR($R392&lt;&gt;IF(IFERROR(SEARCH($R392,XKNVLSX!$X$1,1),0)&gt;=1,$R392,XKNVLSX!$X$1),COUNTIFS($C$2:$C391,$C392,$E$2:$E391,$E392,$Q$2:$Q391,$P392)&gt;=1),"",$P392))))</f>
        <v/>
      </c>
      <c r="R392" s="1017" t="str">
        <f ca="1">IF($A392="","",IFERROR(INDEX(TinhGia!$BF$10:$BF$81,MATCH($A392,TinhGia!$B$10:$B$81,0)),""))</f>
        <v/>
      </c>
      <c r="S392" s="1012" t="str">
        <f ca="1">IF($A392="","",IF(OR(IFERROR(SEARCH($R392,XKNVLSX!$X$1,1),0)&gt;=1,XKNVLSX!$X$1=""),$S$2,""))</f>
        <v/>
      </c>
      <c r="T392" s="1018" t="str">
        <f ca="1">IF($C392="","", IF(OR($P392=$V$1,$P392=$V$7,COUNTIFS($C$3:$C392,$C392,$E$3:$E392,$E392)&lt;=1),$P392,""    ))</f>
        <v/>
      </c>
      <c r="U392" s="1019" t="str">
        <f ca="1">IF(AND($P392=$V$2,COUNTIFS($C$3:$C392,$C392,$E$3:$E392,$E392,$G$3:$G392,$G392)&lt;=1),$P392,"")</f>
        <v/>
      </c>
    </row>
    <row r="393" spans="1:21">
      <c r="A393" s="991" t="str">
        <f ca="1">IFERROR(IF(COUNTIF($A$3:A392,A392)&lt; INDEX(TinhGia!$BH$10:$BH$81,MATCH($A392,TinhGia!$B$10:$B$81,0)),$A392,INDEX(TinhGia!$B$10:$B$81,MATCH($A392,TinhGia!$B$10:$B$81,0)+1)),"")</f>
        <v/>
      </c>
      <c r="B393" s="525" t="str">
        <f ca="1">IF(OR(A393="",A393=0),"",IF(COUNTIF($A$2:A393,$A393)=1,ROW(MauKoXoa!$C$108),$B392+1))</f>
        <v/>
      </c>
      <c r="C393" s="992" t="str">
        <f t="shared" ca="1" si="40"/>
        <v/>
      </c>
      <c r="D393" s="993" t="str">
        <f t="shared" ca="1" si="41"/>
        <v/>
      </c>
      <c r="E393" s="993" t="str">
        <f t="shared" ca="1" si="42"/>
        <v/>
      </c>
      <c r="F393" s="992" t="str">
        <f t="shared" ca="1" si="58"/>
        <v/>
      </c>
      <c r="G393" s="994">
        <f t="shared" ca="1" si="43"/>
        <v>0</v>
      </c>
      <c r="H393" s="913">
        <f t="shared" ca="1" si="44"/>
        <v>0</v>
      </c>
      <c r="I393" s="913">
        <f t="shared" ca="1" si="45"/>
        <v>0</v>
      </c>
      <c r="J393" s="995">
        <f t="shared" ca="1" si="59"/>
        <v>0</v>
      </c>
      <c r="K393" s="913">
        <f t="shared" ca="1" si="47"/>
        <v>0</v>
      </c>
      <c r="L393" s="995">
        <f t="shared" ca="1" si="60"/>
        <v>0</v>
      </c>
      <c r="M393" s="913">
        <f t="shared" ca="1" si="49"/>
        <v>0</v>
      </c>
      <c r="N393" s="996">
        <f t="shared" ca="1" si="50"/>
        <v>0</v>
      </c>
      <c r="O393" s="997">
        <f t="shared" ca="1" si="51"/>
        <v>0</v>
      </c>
      <c r="P393" s="1015" t="str">
        <f ca="1">IF($C393="","",INDEX(NVLSX!$N$2:$N$6941,MATCH($C393,NVLSX!$E$2:$E$6941,0)))</f>
        <v/>
      </c>
      <c r="Q393" s="1016" t="str">
        <f ca="1">IF($R393="","",IF(XKNVLSX!$X$1="",IF($P393=$V$7,$P393, IF(COUNTIFS($C$2:$C392,$C393,$E$2:$E392,$E393)&gt;=1,"",$P393)),     IF(AND(IFERROR(SEARCH($R393,XKNVLSX!$X$1,1),0)&gt;=1,$P393=$V$7),$P393, IF(OR($R393&lt;&gt;IF(IFERROR(SEARCH($R393,XKNVLSX!$X$1,1),0)&gt;=1,$R393,XKNVLSX!$X$1),COUNTIFS($C$2:$C392,$C393,$E$2:$E392,$E393,$Q$2:$Q392,$P393)&gt;=1),"",$P393))))</f>
        <v/>
      </c>
      <c r="R393" s="1017" t="str">
        <f ca="1">IF($A393="","",IFERROR(INDEX(TinhGia!$BF$10:$BF$81,MATCH($A393,TinhGia!$B$10:$B$81,0)),""))</f>
        <v/>
      </c>
      <c r="S393" s="1012" t="str">
        <f ca="1">IF($A393="","",IF(OR(IFERROR(SEARCH($R393,XKNVLSX!$X$1,1),0)&gt;=1,XKNVLSX!$X$1=""),$S$2,""))</f>
        <v/>
      </c>
      <c r="T393" s="1018" t="str">
        <f ca="1">IF($C393="","", IF(OR($P393=$V$1,$P393=$V$7,COUNTIFS($C$3:$C393,$C393,$E$3:$E393,$E393)&lt;=1),$P393,""    ))</f>
        <v/>
      </c>
      <c r="U393" s="1019" t="str">
        <f ca="1">IF(AND($P393=$V$2,COUNTIFS($C$3:$C393,$C393,$E$3:$E393,$E393,$G$3:$G393,$G393)&lt;=1),$P393,"")</f>
        <v/>
      </c>
    </row>
    <row r="394" spans="1:21">
      <c r="A394" s="991" t="str">
        <f ca="1">IFERROR(IF(COUNTIF($A$3:A393,A393)&lt; INDEX(TinhGia!$BH$10:$BH$81,MATCH($A393,TinhGia!$B$10:$B$81,0)),$A393,INDEX(TinhGia!$B$10:$B$81,MATCH($A393,TinhGia!$B$10:$B$81,0)+1)),"")</f>
        <v/>
      </c>
      <c r="B394" s="525" t="str">
        <f ca="1">IF(OR(A394="",A394=0),"",IF(COUNTIF($A$2:A394,$A394)=1,ROW(MauKoXoa!$C$108),$B393+1))</f>
        <v/>
      </c>
      <c r="C394" s="992" t="str">
        <f t="shared" ca="1" si="40"/>
        <v/>
      </c>
      <c r="D394" s="993" t="str">
        <f t="shared" ca="1" si="41"/>
        <v/>
      </c>
      <c r="E394" s="993" t="str">
        <f t="shared" ca="1" si="42"/>
        <v/>
      </c>
      <c r="F394" s="992" t="str">
        <f t="shared" ca="1" si="58"/>
        <v/>
      </c>
      <c r="G394" s="994">
        <f t="shared" ca="1" si="43"/>
        <v>0</v>
      </c>
      <c r="H394" s="913">
        <f t="shared" ca="1" si="44"/>
        <v>0</v>
      </c>
      <c r="I394" s="913">
        <f t="shared" ca="1" si="45"/>
        <v>0</v>
      </c>
      <c r="J394" s="995">
        <f t="shared" ca="1" si="59"/>
        <v>0</v>
      </c>
      <c r="K394" s="913">
        <f t="shared" ca="1" si="47"/>
        <v>0</v>
      </c>
      <c r="L394" s="995">
        <f t="shared" ca="1" si="60"/>
        <v>0</v>
      </c>
      <c r="M394" s="913">
        <f t="shared" ca="1" si="49"/>
        <v>0</v>
      </c>
      <c r="N394" s="996">
        <f t="shared" ca="1" si="50"/>
        <v>0</v>
      </c>
      <c r="O394" s="997">
        <f t="shared" ca="1" si="51"/>
        <v>0</v>
      </c>
      <c r="P394" s="1015" t="str">
        <f ca="1">IF($C394="","",INDEX(NVLSX!$N$2:$N$6941,MATCH($C394,NVLSX!$E$2:$E$6941,0)))</f>
        <v/>
      </c>
      <c r="Q394" s="1016" t="str">
        <f ca="1">IF($R394="","",IF(XKNVLSX!$X$1="",IF($P394=$V$7,$P394, IF(COUNTIFS($C$2:$C393,$C394,$E$2:$E393,$E394)&gt;=1,"",$P394)),     IF(AND(IFERROR(SEARCH($R394,XKNVLSX!$X$1,1),0)&gt;=1,$P394=$V$7),$P394, IF(OR($R394&lt;&gt;IF(IFERROR(SEARCH($R394,XKNVLSX!$X$1,1),0)&gt;=1,$R394,XKNVLSX!$X$1),COUNTIFS($C$2:$C393,$C394,$E$2:$E393,$E394,$Q$2:$Q393,$P394)&gt;=1),"",$P394))))</f>
        <v/>
      </c>
      <c r="R394" s="1017" t="str">
        <f ca="1">IF($A394="","",IFERROR(INDEX(TinhGia!$BF$10:$BF$81,MATCH($A394,TinhGia!$B$10:$B$81,0)),""))</f>
        <v/>
      </c>
      <c r="S394" s="1012" t="str">
        <f ca="1">IF($A394="","",IF(OR(IFERROR(SEARCH($R394,XKNVLSX!$X$1,1),0)&gt;=1,XKNVLSX!$X$1=""),$S$2,""))</f>
        <v/>
      </c>
      <c r="T394" s="1018" t="str">
        <f ca="1">IF($C394="","", IF(OR($P394=$V$1,$P394=$V$7,COUNTIFS($C$3:$C394,$C394,$E$3:$E394,$E394)&lt;=1),$P394,""    ))</f>
        <v/>
      </c>
      <c r="U394" s="1019" t="str">
        <f ca="1">IF(AND($P394=$V$2,COUNTIFS($C$3:$C394,$C394,$E$3:$E394,$E394,$G$3:$G394,$G394)&lt;=1),$P394,"")</f>
        <v/>
      </c>
    </row>
    <row r="395" spans="1:21">
      <c r="A395" s="991" t="str">
        <f ca="1">IFERROR(IF(COUNTIF($A$3:A394,A394)&lt; INDEX(TinhGia!$BH$10:$BH$81,MATCH($A394,TinhGia!$B$10:$B$81,0)),$A394,INDEX(TinhGia!$B$10:$B$81,MATCH($A394,TinhGia!$B$10:$B$81,0)+1)),"")</f>
        <v/>
      </c>
      <c r="B395" s="525" t="str">
        <f ca="1">IF(OR(A395="",A395=0),"",IF(COUNTIF($A$2:A395,$A395)=1,ROW(MauKoXoa!$C$108),$B394+1))</f>
        <v/>
      </c>
      <c r="C395" s="992" t="str">
        <f t="shared" ca="1" si="40"/>
        <v/>
      </c>
      <c r="D395" s="993" t="str">
        <f t="shared" ca="1" si="41"/>
        <v/>
      </c>
      <c r="E395" s="993" t="str">
        <f t="shared" ca="1" si="42"/>
        <v/>
      </c>
      <c r="F395" s="992" t="str">
        <f t="shared" ca="1" si="58"/>
        <v/>
      </c>
      <c r="G395" s="994">
        <f t="shared" ca="1" si="43"/>
        <v>0</v>
      </c>
      <c r="H395" s="913">
        <f t="shared" ca="1" si="44"/>
        <v>0</v>
      </c>
      <c r="I395" s="913">
        <f t="shared" ca="1" si="45"/>
        <v>0</v>
      </c>
      <c r="J395" s="995">
        <f t="shared" ca="1" si="59"/>
        <v>0</v>
      </c>
      <c r="K395" s="913">
        <f t="shared" ca="1" si="47"/>
        <v>0</v>
      </c>
      <c r="L395" s="995">
        <f t="shared" ca="1" si="60"/>
        <v>0</v>
      </c>
      <c r="M395" s="913">
        <f t="shared" ca="1" si="49"/>
        <v>0</v>
      </c>
      <c r="N395" s="996">
        <f t="shared" ca="1" si="50"/>
        <v>0</v>
      </c>
      <c r="O395" s="997">
        <f t="shared" ca="1" si="51"/>
        <v>0</v>
      </c>
      <c r="P395" s="1015" t="str">
        <f ca="1">IF($C395="","",INDEX(NVLSX!$N$2:$N$6941,MATCH($C395,NVLSX!$E$2:$E$6941,0)))</f>
        <v/>
      </c>
      <c r="Q395" s="1016" t="str">
        <f ca="1">IF($R395="","",IF(XKNVLSX!$X$1="",IF($P395=$V$7,$P395, IF(COUNTIFS($C$2:$C394,$C395,$E$2:$E394,$E395)&gt;=1,"",$P395)),     IF(AND(IFERROR(SEARCH($R395,XKNVLSX!$X$1,1),0)&gt;=1,$P395=$V$7),$P395, IF(OR($R395&lt;&gt;IF(IFERROR(SEARCH($R395,XKNVLSX!$X$1,1),0)&gt;=1,$R395,XKNVLSX!$X$1),COUNTIFS($C$2:$C394,$C395,$E$2:$E394,$E395,$Q$2:$Q394,$P395)&gt;=1),"",$P395))))</f>
        <v/>
      </c>
      <c r="R395" s="1017" t="str">
        <f ca="1">IF($A395="","",IFERROR(INDEX(TinhGia!$BF$10:$BF$81,MATCH($A395,TinhGia!$B$10:$B$81,0)),""))</f>
        <v/>
      </c>
      <c r="S395" s="1012" t="str">
        <f ca="1">IF($A395="","",IF(OR(IFERROR(SEARCH($R395,XKNVLSX!$X$1,1),0)&gt;=1,XKNVLSX!$X$1=""),$S$2,""))</f>
        <v/>
      </c>
      <c r="T395" s="1018" t="str">
        <f ca="1">IF($C395="","", IF(OR($P395=$V$1,$P395=$V$7,COUNTIFS($C$3:$C395,$C395,$E$3:$E395,$E395)&lt;=1),$P395,""    ))</f>
        <v/>
      </c>
      <c r="U395" s="1019" t="str">
        <f ca="1">IF(AND($P395=$V$2,COUNTIFS($C$3:$C395,$C395,$E$3:$E395,$E395,$G$3:$G395,$G395)&lt;=1),$P395,"")</f>
        <v/>
      </c>
    </row>
    <row r="396" spans="1:21">
      <c r="A396" s="991" t="str">
        <f ca="1">IFERROR(IF(COUNTIF($A$3:A395,A395)&lt; INDEX(TinhGia!$BH$10:$BH$81,MATCH($A395,TinhGia!$B$10:$B$81,0)),$A395,INDEX(TinhGia!$B$10:$B$81,MATCH($A395,TinhGia!$B$10:$B$81,0)+1)),"")</f>
        <v/>
      </c>
      <c r="B396" s="525" t="str">
        <f ca="1">IF(OR(A396="",A396=0),"",IF(COUNTIF($A$2:A396,$A396)=1,ROW(MauKoXoa!$C$108),$B395+1))</f>
        <v/>
      </c>
      <c r="C396" s="992" t="str">
        <f t="shared" ca="1" si="40"/>
        <v/>
      </c>
      <c r="D396" s="993" t="str">
        <f t="shared" ca="1" si="41"/>
        <v/>
      </c>
      <c r="E396" s="993" t="str">
        <f t="shared" ca="1" si="42"/>
        <v/>
      </c>
      <c r="F396" s="992" t="str">
        <f t="shared" ca="1" si="58"/>
        <v/>
      </c>
      <c r="G396" s="994">
        <f t="shared" ca="1" si="43"/>
        <v>0</v>
      </c>
      <c r="H396" s="913">
        <f t="shared" ca="1" si="44"/>
        <v>0</v>
      </c>
      <c r="I396" s="913">
        <f t="shared" ca="1" si="45"/>
        <v>0</v>
      </c>
      <c r="J396" s="995">
        <f t="shared" ca="1" si="59"/>
        <v>0</v>
      </c>
      <c r="K396" s="913">
        <f t="shared" ca="1" si="47"/>
        <v>0</v>
      </c>
      <c r="L396" s="995">
        <f t="shared" ca="1" si="60"/>
        <v>0</v>
      </c>
      <c r="M396" s="913">
        <f t="shared" ca="1" si="49"/>
        <v>0</v>
      </c>
      <c r="N396" s="996">
        <f t="shared" ca="1" si="50"/>
        <v>0</v>
      </c>
      <c r="O396" s="997">
        <f t="shared" ca="1" si="51"/>
        <v>0</v>
      </c>
      <c r="P396" s="1015" t="str">
        <f ca="1">IF($C396="","",INDEX(NVLSX!$N$2:$N$6941,MATCH($C396,NVLSX!$E$2:$E$6941,0)))</f>
        <v/>
      </c>
      <c r="Q396" s="1016" t="str">
        <f ca="1">IF($R396="","",IF(XKNVLSX!$X$1="",IF($P396=$V$7,$P396, IF(COUNTIFS($C$2:$C395,$C396,$E$2:$E395,$E396)&gt;=1,"",$P396)),     IF(AND(IFERROR(SEARCH($R396,XKNVLSX!$X$1,1),0)&gt;=1,$P396=$V$7),$P396, IF(OR($R396&lt;&gt;IF(IFERROR(SEARCH($R396,XKNVLSX!$X$1,1),0)&gt;=1,$R396,XKNVLSX!$X$1),COUNTIFS($C$2:$C395,$C396,$E$2:$E395,$E396,$Q$2:$Q395,$P396)&gt;=1),"",$P396))))</f>
        <v/>
      </c>
      <c r="R396" s="1017" t="str">
        <f ca="1">IF($A396="","",IFERROR(INDEX(TinhGia!$BF$10:$BF$81,MATCH($A396,TinhGia!$B$10:$B$81,0)),""))</f>
        <v/>
      </c>
      <c r="S396" s="1012" t="str">
        <f ca="1">IF($A396="","",IF(OR(IFERROR(SEARCH($R396,XKNVLSX!$X$1,1),0)&gt;=1,XKNVLSX!$X$1=""),$S$2,""))</f>
        <v/>
      </c>
      <c r="T396" s="1018" t="str">
        <f ca="1">IF($C396="","", IF(OR($P396=$V$1,$P396=$V$7,COUNTIFS($C$3:$C396,$C396,$E$3:$E396,$E396)&lt;=1),$P396,""    ))</f>
        <v/>
      </c>
      <c r="U396" s="1019" t="str">
        <f ca="1">IF(AND($P396=$V$2,COUNTIFS($C$3:$C396,$C396,$E$3:$E396,$E396,$G$3:$G396,$G396)&lt;=1),$P396,"")</f>
        <v/>
      </c>
    </row>
    <row r="397" spans="1:21">
      <c r="A397" s="991" t="str">
        <f ca="1">IFERROR(IF(COUNTIF($A$3:A396,A396)&lt; INDEX(TinhGia!$BH$10:$BH$81,MATCH($A396,TinhGia!$B$10:$B$81,0)),$A396,INDEX(TinhGia!$B$10:$B$81,MATCH($A396,TinhGia!$B$10:$B$81,0)+1)),"")</f>
        <v/>
      </c>
      <c r="B397" s="525" t="str">
        <f ca="1">IF(OR(A397="",A397=0),"",IF(COUNTIF($A$2:A397,$A397)=1,ROW(MauKoXoa!$C$108),$B396+1))</f>
        <v/>
      </c>
      <c r="C397" s="992" t="str">
        <f t="shared" ca="1" si="40"/>
        <v/>
      </c>
      <c r="D397" s="993" t="str">
        <f t="shared" ca="1" si="41"/>
        <v/>
      </c>
      <c r="E397" s="993" t="str">
        <f t="shared" ca="1" si="42"/>
        <v/>
      </c>
      <c r="F397" s="992" t="str">
        <f t="shared" ca="1" si="58"/>
        <v/>
      </c>
      <c r="G397" s="994">
        <f t="shared" ca="1" si="43"/>
        <v>0</v>
      </c>
      <c r="H397" s="913">
        <f t="shared" ca="1" si="44"/>
        <v>0</v>
      </c>
      <c r="I397" s="913">
        <f t="shared" ca="1" si="45"/>
        <v>0</v>
      </c>
      <c r="J397" s="995">
        <f t="shared" ca="1" si="59"/>
        <v>0</v>
      </c>
      <c r="K397" s="913">
        <f t="shared" ca="1" si="47"/>
        <v>0</v>
      </c>
      <c r="L397" s="995">
        <f t="shared" ca="1" si="60"/>
        <v>0</v>
      </c>
      <c r="M397" s="913">
        <f t="shared" ca="1" si="49"/>
        <v>0</v>
      </c>
      <c r="N397" s="996">
        <f t="shared" ca="1" si="50"/>
        <v>0</v>
      </c>
      <c r="O397" s="997">
        <f t="shared" ca="1" si="51"/>
        <v>0</v>
      </c>
      <c r="P397" s="1015" t="str">
        <f ca="1">IF($C397="","",INDEX(NVLSX!$N$2:$N$6941,MATCH($C397,NVLSX!$E$2:$E$6941,0)))</f>
        <v/>
      </c>
      <c r="Q397" s="1016" t="str">
        <f ca="1">IF($R397="","",IF(XKNVLSX!$X$1="",IF($P397=$V$7,$P397, IF(COUNTIFS($C$2:$C396,$C397,$E$2:$E396,$E397)&gt;=1,"",$P397)),     IF(AND(IFERROR(SEARCH($R397,XKNVLSX!$X$1,1),0)&gt;=1,$P397=$V$7),$P397, IF(OR($R397&lt;&gt;IF(IFERROR(SEARCH($R397,XKNVLSX!$X$1,1),0)&gt;=1,$R397,XKNVLSX!$X$1),COUNTIFS($C$2:$C396,$C397,$E$2:$E396,$E397,$Q$2:$Q396,$P397)&gt;=1),"",$P397))))</f>
        <v/>
      </c>
      <c r="R397" s="1017" t="str">
        <f ca="1">IF($A397="","",IFERROR(INDEX(TinhGia!$BF$10:$BF$81,MATCH($A397,TinhGia!$B$10:$B$81,0)),""))</f>
        <v/>
      </c>
      <c r="S397" s="1012" t="str">
        <f ca="1">IF($A397="","",IF(OR(IFERROR(SEARCH($R397,XKNVLSX!$X$1,1),0)&gt;=1,XKNVLSX!$X$1=""),$S$2,""))</f>
        <v/>
      </c>
      <c r="T397" s="1018" t="str">
        <f ca="1">IF($C397="","", IF(OR($P397=$V$1,$P397=$V$7,COUNTIFS($C$3:$C397,$C397,$E$3:$E397,$E397)&lt;=1),$P397,""    ))</f>
        <v/>
      </c>
      <c r="U397" s="1019" t="str">
        <f ca="1">IF(AND($P397=$V$2,COUNTIFS($C$3:$C397,$C397,$E$3:$E397,$E397,$G$3:$G397,$G397)&lt;=1),$P397,"")</f>
        <v/>
      </c>
    </row>
    <row r="398" spans="1:21">
      <c r="A398" s="991" t="str">
        <f ca="1">IFERROR(IF(COUNTIF($A$3:A397,A397)&lt; INDEX(TinhGia!$BH$10:$BH$81,MATCH($A397,TinhGia!$B$10:$B$81,0)),$A397,INDEX(TinhGia!$B$10:$B$81,MATCH($A397,TinhGia!$B$10:$B$81,0)+1)),"")</f>
        <v/>
      </c>
      <c r="B398" s="525" t="str">
        <f ca="1">IF(OR(A398="",A398=0),"",IF(COUNTIF($A$2:A398,$A398)=1,ROW(MauKoXoa!$C$108),$B397+1))</f>
        <v/>
      </c>
      <c r="C398" s="992" t="str">
        <f t="shared" ca="1" si="40"/>
        <v/>
      </c>
      <c r="D398" s="993" t="str">
        <f t="shared" ca="1" si="41"/>
        <v/>
      </c>
      <c r="E398" s="993" t="str">
        <f t="shared" ca="1" si="42"/>
        <v/>
      </c>
      <c r="F398" s="992" t="str">
        <f t="shared" ca="1" si="58"/>
        <v/>
      </c>
      <c r="G398" s="994">
        <f t="shared" ca="1" si="43"/>
        <v>0</v>
      </c>
      <c r="H398" s="913">
        <f t="shared" ca="1" si="44"/>
        <v>0</v>
      </c>
      <c r="I398" s="913">
        <f t="shared" ca="1" si="45"/>
        <v>0</v>
      </c>
      <c r="J398" s="995">
        <f t="shared" ca="1" si="59"/>
        <v>0</v>
      </c>
      <c r="K398" s="913">
        <f t="shared" ca="1" si="47"/>
        <v>0</v>
      </c>
      <c r="L398" s="995">
        <f t="shared" ca="1" si="60"/>
        <v>0</v>
      </c>
      <c r="M398" s="913">
        <f t="shared" ca="1" si="49"/>
        <v>0</v>
      </c>
      <c r="N398" s="996">
        <f t="shared" ca="1" si="50"/>
        <v>0</v>
      </c>
      <c r="O398" s="997">
        <f t="shared" ca="1" si="51"/>
        <v>0</v>
      </c>
      <c r="P398" s="1015" t="str">
        <f ca="1">IF($C398="","",INDEX(NVLSX!$N$2:$N$6941,MATCH($C398,NVLSX!$E$2:$E$6941,0)))</f>
        <v/>
      </c>
      <c r="Q398" s="1016" t="str">
        <f ca="1">IF($R398="","",IF(XKNVLSX!$X$1="",IF($P398=$V$7,$P398, IF(COUNTIFS($C$2:$C397,$C398,$E$2:$E397,$E398)&gt;=1,"",$P398)),     IF(AND(IFERROR(SEARCH($R398,XKNVLSX!$X$1,1),0)&gt;=1,$P398=$V$7),$P398, IF(OR($R398&lt;&gt;IF(IFERROR(SEARCH($R398,XKNVLSX!$X$1,1),0)&gt;=1,$R398,XKNVLSX!$X$1),COUNTIFS($C$2:$C397,$C398,$E$2:$E397,$E398,$Q$2:$Q397,$P398)&gt;=1),"",$P398))))</f>
        <v/>
      </c>
      <c r="R398" s="1017" t="str">
        <f ca="1">IF($A398="","",IFERROR(INDEX(TinhGia!$BF$10:$BF$81,MATCH($A398,TinhGia!$B$10:$B$81,0)),""))</f>
        <v/>
      </c>
      <c r="S398" s="1012" t="str">
        <f ca="1">IF($A398="","",IF(OR(IFERROR(SEARCH($R398,XKNVLSX!$X$1,1),0)&gt;=1,XKNVLSX!$X$1=""),$S$2,""))</f>
        <v/>
      </c>
      <c r="T398" s="1018" t="str">
        <f ca="1">IF($C398="","", IF(OR($P398=$V$1,$P398=$V$7,COUNTIFS($C$3:$C398,$C398,$E$3:$E398,$E398)&lt;=1),$P398,""    ))</f>
        <v/>
      </c>
      <c r="U398" s="1019" t="str">
        <f ca="1">IF(AND($P398=$V$2,COUNTIFS($C$3:$C398,$C398,$E$3:$E398,$E398,$G$3:$G398,$G398)&lt;=1),$P398,"")</f>
        <v/>
      </c>
    </row>
    <row r="399" spans="1:21">
      <c r="A399" s="991" t="str">
        <f ca="1">IFERROR(IF(COUNTIF($A$3:A398,A398)&lt; INDEX(TinhGia!$BH$10:$BH$81,MATCH($A398,TinhGia!$B$10:$B$81,0)),$A398,INDEX(TinhGia!$B$10:$B$81,MATCH($A398,TinhGia!$B$10:$B$81,0)+1)),"")</f>
        <v/>
      </c>
      <c r="B399" s="525" t="str">
        <f ca="1">IF(OR(A399="",A399=0),"",IF(COUNTIF($A$2:A399,$A399)=1,ROW(MauKoXoa!$C$108),$B398+1))</f>
        <v/>
      </c>
      <c r="C399" s="992" t="str">
        <f t="shared" ca="1" si="40"/>
        <v/>
      </c>
      <c r="D399" s="993" t="str">
        <f t="shared" ca="1" si="41"/>
        <v/>
      </c>
      <c r="E399" s="993" t="str">
        <f t="shared" ca="1" si="42"/>
        <v/>
      </c>
      <c r="F399" s="992" t="str">
        <f t="shared" ca="1" si="58"/>
        <v/>
      </c>
      <c r="G399" s="994">
        <f t="shared" ca="1" si="43"/>
        <v>0</v>
      </c>
      <c r="H399" s="913">
        <f t="shared" ca="1" si="44"/>
        <v>0</v>
      </c>
      <c r="I399" s="913">
        <f t="shared" ca="1" si="45"/>
        <v>0</v>
      </c>
      <c r="J399" s="995">
        <f t="shared" ca="1" si="59"/>
        <v>0</v>
      </c>
      <c r="K399" s="913">
        <f t="shared" ca="1" si="47"/>
        <v>0</v>
      </c>
      <c r="L399" s="995">
        <f t="shared" ca="1" si="60"/>
        <v>0</v>
      </c>
      <c r="M399" s="913">
        <f t="shared" ca="1" si="49"/>
        <v>0</v>
      </c>
      <c r="N399" s="996">
        <f t="shared" ca="1" si="50"/>
        <v>0</v>
      </c>
      <c r="O399" s="997">
        <f t="shared" ca="1" si="51"/>
        <v>0</v>
      </c>
      <c r="P399" s="1015" t="str">
        <f ca="1">IF($C399="","",INDEX(NVLSX!$N$2:$N$6941,MATCH($C399,NVLSX!$E$2:$E$6941,0)))</f>
        <v/>
      </c>
      <c r="Q399" s="1016" t="str">
        <f ca="1">IF($R399="","",IF(XKNVLSX!$X$1="",IF($P399=$V$7,$P399, IF(COUNTIFS($C$2:$C398,$C399,$E$2:$E398,$E399)&gt;=1,"",$P399)),     IF(AND(IFERROR(SEARCH($R399,XKNVLSX!$X$1,1),0)&gt;=1,$P399=$V$7),$P399, IF(OR($R399&lt;&gt;IF(IFERROR(SEARCH($R399,XKNVLSX!$X$1,1),0)&gt;=1,$R399,XKNVLSX!$X$1),COUNTIFS($C$2:$C398,$C399,$E$2:$E398,$E399,$Q$2:$Q398,$P399)&gt;=1),"",$P399))))</f>
        <v/>
      </c>
      <c r="R399" s="1017" t="str">
        <f ca="1">IF($A399="","",IFERROR(INDEX(TinhGia!$BF$10:$BF$81,MATCH($A399,TinhGia!$B$10:$B$81,0)),""))</f>
        <v/>
      </c>
      <c r="S399" s="1012" t="str">
        <f ca="1">IF($A399="","",IF(OR(IFERROR(SEARCH($R399,XKNVLSX!$X$1,1),0)&gt;=1,XKNVLSX!$X$1=""),$S$2,""))</f>
        <v/>
      </c>
      <c r="T399" s="1018" t="str">
        <f ca="1">IF($C399="","", IF(OR($P399=$V$1,$P399=$V$7,COUNTIFS($C$3:$C399,$C399,$E$3:$E399,$E399)&lt;=1),$P399,""    ))</f>
        <v/>
      </c>
      <c r="U399" s="1019" t="str">
        <f ca="1">IF(AND($P399=$V$2,COUNTIFS($C$3:$C399,$C399,$E$3:$E399,$E399,$G$3:$G399,$G399)&lt;=1),$P399,"")</f>
        <v/>
      </c>
    </row>
    <row r="400" spans="1:21">
      <c r="A400" s="991" t="str">
        <f ca="1">IFERROR(IF(COUNTIF($A$3:A399,A399)&lt; INDEX(TinhGia!$BH$10:$BH$81,MATCH($A399,TinhGia!$B$10:$B$81,0)),$A399,INDEX(TinhGia!$B$10:$B$81,MATCH($A399,TinhGia!$B$10:$B$81,0)+1)),"")</f>
        <v/>
      </c>
      <c r="B400" s="525" t="str">
        <f ca="1">IF(OR(A400="",A400=0),"",IF(COUNTIF($A$2:A400,$A400)=1,ROW(MauKoXoa!$C$108),$B399+1))</f>
        <v/>
      </c>
      <c r="C400" s="992" t="str">
        <f t="shared" ca="1" si="40"/>
        <v/>
      </c>
      <c r="D400" s="993" t="str">
        <f t="shared" ca="1" si="41"/>
        <v/>
      </c>
      <c r="E400" s="993" t="str">
        <f t="shared" ca="1" si="42"/>
        <v/>
      </c>
      <c r="F400" s="992" t="str">
        <f t="shared" ca="1" si="58"/>
        <v/>
      </c>
      <c r="G400" s="994">
        <f t="shared" ca="1" si="43"/>
        <v>0</v>
      </c>
      <c r="H400" s="913">
        <f t="shared" ca="1" si="44"/>
        <v>0</v>
      </c>
      <c r="I400" s="913">
        <f t="shared" ca="1" si="45"/>
        <v>0</v>
      </c>
      <c r="J400" s="995">
        <f t="shared" ca="1" si="59"/>
        <v>0</v>
      </c>
      <c r="K400" s="913">
        <f t="shared" ca="1" si="47"/>
        <v>0</v>
      </c>
      <c r="L400" s="995">
        <f t="shared" ca="1" si="60"/>
        <v>0</v>
      </c>
      <c r="M400" s="913">
        <f t="shared" ca="1" si="49"/>
        <v>0</v>
      </c>
      <c r="N400" s="996">
        <f t="shared" ca="1" si="50"/>
        <v>0</v>
      </c>
      <c r="O400" s="997">
        <f t="shared" ca="1" si="51"/>
        <v>0</v>
      </c>
      <c r="P400" s="1015" t="str">
        <f ca="1">IF($C400="","",INDEX(NVLSX!$N$2:$N$6941,MATCH($C400,NVLSX!$E$2:$E$6941,0)))</f>
        <v/>
      </c>
      <c r="Q400" s="1016" t="str">
        <f ca="1">IF($R400="","",IF(XKNVLSX!$X$1="",IF($P400=$V$7,$P400, IF(COUNTIFS($C$2:$C399,$C400,$E$2:$E399,$E400)&gt;=1,"",$P400)),     IF(AND(IFERROR(SEARCH($R400,XKNVLSX!$X$1,1),0)&gt;=1,$P400=$V$7),$P400, IF(OR($R400&lt;&gt;IF(IFERROR(SEARCH($R400,XKNVLSX!$X$1,1),0)&gt;=1,$R400,XKNVLSX!$X$1),COUNTIFS($C$2:$C399,$C400,$E$2:$E399,$E400,$Q$2:$Q399,$P400)&gt;=1),"",$P400))))</f>
        <v/>
      </c>
      <c r="R400" s="1017" t="str">
        <f ca="1">IF($A400="","",IFERROR(INDEX(TinhGia!$BF$10:$BF$81,MATCH($A400,TinhGia!$B$10:$B$81,0)),""))</f>
        <v/>
      </c>
      <c r="S400" s="1012" t="str">
        <f ca="1">IF($A400="","",IF(OR(IFERROR(SEARCH($R400,XKNVLSX!$X$1,1),0)&gt;=1,XKNVLSX!$X$1=""),$S$2,""))</f>
        <v/>
      </c>
      <c r="T400" s="1018" t="str">
        <f ca="1">IF($C400="","", IF(OR($P400=$V$1,$P400=$V$7,COUNTIFS($C$3:$C400,$C400,$E$3:$E400,$E400)&lt;=1),$P400,""    ))</f>
        <v/>
      </c>
      <c r="U400" s="1019" t="str">
        <f ca="1">IF(AND($P400=$V$2,COUNTIFS($C$3:$C400,$C400,$E$3:$E400,$E400,$G$3:$G400,$G400)&lt;=1),$P400,"")</f>
        <v/>
      </c>
    </row>
    <row r="401" spans="1:21">
      <c r="A401" s="991" t="str">
        <f ca="1">IFERROR(IF(COUNTIF($A$3:A400,A400)&lt; INDEX(TinhGia!$BH$10:$BH$81,MATCH($A400,TinhGia!$B$10:$B$81,0)),$A400,INDEX(TinhGia!$B$10:$B$81,MATCH($A400,TinhGia!$B$10:$B$81,0)+1)),"")</f>
        <v/>
      </c>
      <c r="B401" s="525" t="str">
        <f ca="1">IF(OR(A401="",A401=0),"",IF(COUNTIF($A$2:A401,$A401)=1,ROW(MauKoXoa!$C$108),$B400+1))</f>
        <v/>
      </c>
      <c r="C401" s="992" t="str">
        <f t="shared" ca="1" si="40"/>
        <v/>
      </c>
      <c r="D401" s="993" t="str">
        <f t="shared" ca="1" si="41"/>
        <v/>
      </c>
      <c r="E401" s="993" t="str">
        <f t="shared" ca="1" si="42"/>
        <v/>
      </c>
      <c r="F401" s="992" t="str">
        <f t="shared" ca="1" si="58"/>
        <v/>
      </c>
      <c r="G401" s="994">
        <f t="shared" ca="1" si="43"/>
        <v>0</v>
      </c>
      <c r="H401" s="913">
        <f t="shared" ca="1" si="44"/>
        <v>0</v>
      </c>
      <c r="I401" s="913">
        <f t="shared" ca="1" si="45"/>
        <v>0</v>
      </c>
      <c r="J401" s="995">
        <f t="shared" ca="1" si="59"/>
        <v>0</v>
      </c>
      <c r="K401" s="913">
        <f t="shared" ca="1" si="47"/>
        <v>0</v>
      </c>
      <c r="L401" s="995">
        <f t="shared" ca="1" si="60"/>
        <v>0</v>
      </c>
      <c r="M401" s="913">
        <f t="shared" ca="1" si="49"/>
        <v>0</v>
      </c>
      <c r="N401" s="996">
        <f t="shared" ca="1" si="50"/>
        <v>0</v>
      </c>
      <c r="O401" s="997">
        <f t="shared" ca="1" si="51"/>
        <v>0</v>
      </c>
      <c r="P401" s="1015" t="str">
        <f ca="1">IF($C401="","",INDEX(NVLSX!$N$2:$N$6941,MATCH($C401,NVLSX!$E$2:$E$6941,0)))</f>
        <v/>
      </c>
      <c r="Q401" s="1016" t="str">
        <f ca="1">IF($R401="","",IF(XKNVLSX!$X$1="",IF($P401=$V$7,$P401, IF(COUNTIFS($C$2:$C400,$C401,$E$2:$E400,$E401)&gt;=1,"",$P401)),     IF(AND(IFERROR(SEARCH($R401,XKNVLSX!$X$1,1),0)&gt;=1,$P401=$V$7),$P401, IF(OR($R401&lt;&gt;IF(IFERROR(SEARCH($R401,XKNVLSX!$X$1,1),0)&gt;=1,$R401,XKNVLSX!$X$1),COUNTIFS($C$2:$C400,$C401,$E$2:$E400,$E401,$Q$2:$Q400,$P401)&gt;=1),"",$P401))))</f>
        <v/>
      </c>
      <c r="R401" s="1017" t="str">
        <f ca="1">IF($A401="","",IFERROR(INDEX(TinhGia!$BF$10:$BF$81,MATCH($A401,TinhGia!$B$10:$B$81,0)),""))</f>
        <v/>
      </c>
      <c r="S401" s="1012" t="str">
        <f ca="1">IF($A401="","",IF(OR(IFERROR(SEARCH($R401,XKNVLSX!$X$1,1),0)&gt;=1,XKNVLSX!$X$1=""),$S$2,""))</f>
        <v/>
      </c>
      <c r="T401" s="1018" t="str">
        <f ca="1">IF($C401="","", IF(OR($P401=$V$1,$P401=$V$7,COUNTIFS($C$3:$C401,$C401,$E$3:$E401,$E401)&lt;=1),$P401,""    ))</f>
        <v/>
      </c>
      <c r="U401" s="1019" t="str">
        <f ca="1">IF(AND($P401=$V$2,COUNTIFS($C$3:$C401,$C401,$E$3:$E401,$E401,$G$3:$G401,$G401)&lt;=1),$P401,"")</f>
        <v/>
      </c>
    </row>
    <row r="402" spans="1:21">
      <c r="A402" s="991" t="str">
        <f ca="1">IFERROR(IF(COUNTIF($A$3:A401,A401)&lt; INDEX(TinhGia!$BH$10:$BH$81,MATCH($A401,TinhGia!$B$10:$B$81,0)),$A401,INDEX(TinhGia!$B$10:$B$81,MATCH($A401,TinhGia!$B$10:$B$81,0)+1)),"")</f>
        <v/>
      </c>
      <c r="B402" s="525" t="str">
        <f ca="1">IF(OR(A402="",A402=0),"",IF(COUNTIF($A$2:A402,$A402)=1,ROW(MauKoXoa!$C$108),$B401+1))</f>
        <v/>
      </c>
      <c r="C402" s="992" t="str">
        <f t="shared" ca="1" si="40"/>
        <v/>
      </c>
      <c r="D402" s="993" t="str">
        <f t="shared" ca="1" si="41"/>
        <v/>
      </c>
      <c r="E402" s="993" t="str">
        <f t="shared" ca="1" si="42"/>
        <v/>
      </c>
      <c r="F402" s="992" t="str">
        <f t="shared" ca="1" si="58"/>
        <v/>
      </c>
      <c r="G402" s="994">
        <f t="shared" ca="1" si="43"/>
        <v>0</v>
      </c>
      <c r="H402" s="913">
        <f t="shared" ca="1" si="44"/>
        <v>0</v>
      </c>
      <c r="I402" s="913">
        <f t="shared" ca="1" si="45"/>
        <v>0</v>
      </c>
      <c r="J402" s="995">
        <f t="shared" ca="1" si="59"/>
        <v>0</v>
      </c>
      <c r="K402" s="913">
        <f t="shared" ca="1" si="47"/>
        <v>0</v>
      </c>
      <c r="L402" s="995">
        <f t="shared" ca="1" si="60"/>
        <v>0</v>
      </c>
      <c r="M402" s="913">
        <f t="shared" ca="1" si="49"/>
        <v>0</v>
      </c>
      <c r="N402" s="996">
        <f t="shared" ca="1" si="50"/>
        <v>0</v>
      </c>
      <c r="O402" s="997">
        <f t="shared" ca="1" si="51"/>
        <v>0</v>
      </c>
      <c r="P402" s="1015" t="str">
        <f ca="1">IF($C402="","",INDEX(NVLSX!$N$2:$N$6941,MATCH($C402,NVLSX!$E$2:$E$6941,0)))</f>
        <v/>
      </c>
      <c r="Q402" s="1016" t="str">
        <f ca="1">IF($R402="","",IF(XKNVLSX!$X$1="",IF($P402=$V$7,$P402, IF(COUNTIFS($C$2:$C401,$C402,$E$2:$E401,$E402)&gt;=1,"",$P402)),     IF(AND(IFERROR(SEARCH($R402,XKNVLSX!$X$1,1),0)&gt;=1,$P402=$V$7),$P402, IF(OR($R402&lt;&gt;IF(IFERROR(SEARCH($R402,XKNVLSX!$X$1,1),0)&gt;=1,$R402,XKNVLSX!$X$1),COUNTIFS($C$2:$C401,$C402,$E$2:$E401,$E402,$Q$2:$Q401,$P402)&gt;=1),"",$P402))))</f>
        <v/>
      </c>
      <c r="R402" s="1017" t="str">
        <f ca="1">IF($A402="","",IFERROR(INDEX(TinhGia!$BF$10:$BF$81,MATCH($A402,TinhGia!$B$10:$B$81,0)),""))</f>
        <v/>
      </c>
      <c r="S402" s="1012" t="str">
        <f ca="1">IF($A402="","",IF(OR(IFERROR(SEARCH($R402,XKNVLSX!$X$1,1),0)&gt;=1,XKNVLSX!$X$1=""),$S$2,""))</f>
        <v/>
      </c>
      <c r="T402" s="1018" t="str">
        <f ca="1">IF($C402="","", IF(OR($P402=$V$1,$P402=$V$7,COUNTIFS($C$3:$C402,$C402,$E$3:$E402,$E402)&lt;=1),$P402,""    ))</f>
        <v/>
      </c>
      <c r="U402" s="1019" t="str">
        <f ca="1">IF(AND($P402=$V$2,COUNTIFS($C$3:$C402,$C402,$E$3:$E402,$E402,$G$3:$G402,$G402)&lt;=1),$P402,"")</f>
        <v/>
      </c>
    </row>
    <row r="403" spans="1:21">
      <c r="A403" s="991" t="str">
        <f ca="1">IFERROR(IF(COUNTIF($A$3:A402,A402)&lt; INDEX(TinhGia!$BH$10:$BH$81,MATCH($A402,TinhGia!$B$10:$B$81,0)),$A402,INDEX(TinhGia!$B$10:$B$81,MATCH($A402,TinhGia!$B$10:$B$81,0)+1)),"")</f>
        <v/>
      </c>
      <c r="B403" s="525" t="str">
        <f ca="1">IF(OR(A403="",A403=0),"",IF(COUNTIF($A$2:A403,$A403)=1,ROW(MauKoXoa!$C$108),$B402+1))</f>
        <v/>
      </c>
      <c r="C403" s="992" t="str">
        <f t="shared" ca="1" si="40"/>
        <v/>
      </c>
      <c r="D403" s="993" t="str">
        <f t="shared" ca="1" si="41"/>
        <v/>
      </c>
      <c r="E403" s="993" t="str">
        <f t="shared" ca="1" si="42"/>
        <v/>
      </c>
      <c r="F403" s="992" t="str">
        <f t="shared" ca="1" si="58"/>
        <v/>
      </c>
      <c r="G403" s="994">
        <f t="shared" ca="1" si="43"/>
        <v>0</v>
      </c>
      <c r="H403" s="913">
        <f t="shared" ca="1" si="44"/>
        <v>0</v>
      </c>
      <c r="I403" s="913">
        <f t="shared" ca="1" si="45"/>
        <v>0</v>
      </c>
      <c r="J403" s="995">
        <f t="shared" ca="1" si="59"/>
        <v>0</v>
      </c>
      <c r="K403" s="913">
        <f t="shared" ca="1" si="47"/>
        <v>0</v>
      </c>
      <c r="L403" s="995">
        <f t="shared" ca="1" si="60"/>
        <v>0</v>
      </c>
      <c r="M403" s="913">
        <f t="shared" ca="1" si="49"/>
        <v>0</v>
      </c>
      <c r="N403" s="996">
        <f t="shared" ca="1" si="50"/>
        <v>0</v>
      </c>
      <c r="O403" s="997">
        <f t="shared" ca="1" si="51"/>
        <v>0</v>
      </c>
      <c r="P403" s="1015" t="str">
        <f ca="1">IF($C403="","",INDEX(NVLSX!$N$2:$N$6941,MATCH($C403,NVLSX!$E$2:$E$6941,0)))</f>
        <v/>
      </c>
      <c r="Q403" s="1016" t="str">
        <f ca="1">IF($R403="","",IF(XKNVLSX!$X$1="",IF($P403=$V$7,$P403, IF(COUNTIFS($C$2:$C402,$C403,$E$2:$E402,$E403)&gt;=1,"",$P403)),     IF(AND(IFERROR(SEARCH($R403,XKNVLSX!$X$1,1),0)&gt;=1,$P403=$V$7),$P403, IF(OR($R403&lt;&gt;IF(IFERROR(SEARCH($R403,XKNVLSX!$X$1,1),0)&gt;=1,$R403,XKNVLSX!$X$1),COUNTIFS($C$2:$C402,$C403,$E$2:$E402,$E403,$Q$2:$Q402,$P403)&gt;=1),"",$P403))))</f>
        <v/>
      </c>
      <c r="R403" s="1017" t="str">
        <f ca="1">IF($A403="","",IFERROR(INDEX(TinhGia!$BF$10:$BF$81,MATCH($A403,TinhGia!$B$10:$B$81,0)),""))</f>
        <v/>
      </c>
      <c r="S403" s="1012" t="str">
        <f ca="1">IF($A403="","",IF(OR(IFERROR(SEARCH($R403,XKNVLSX!$X$1,1),0)&gt;=1,XKNVLSX!$X$1=""),$S$2,""))</f>
        <v/>
      </c>
      <c r="T403" s="1018" t="str">
        <f ca="1">IF($C403="","", IF(OR($P403=$V$1,$P403=$V$7,COUNTIFS($C$3:$C403,$C403,$E$3:$E403,$E403)&lt;=1),$P403,""    ))</f>
        <v/>
      </c>
      <c r="U403" s="1019" t="str">
        <f ca="1">IF(AND($P403=$V$2,COUNTIFS($C$3:$C403,$C403,$E$3:$E403,$E403,$G$3:$G403,$G403)&lt;=1),$P403,"")</f>
        <v/>
      </c>
    </row>
    <row r="404" spans="1:21">
      <c r="A404" s="991" t="str">
        <f ca="1">IFERROR(IF(COUNTIF($A$3:A403,A403)&lt; INDEX(TinhGia!$BH$10:$BH$81,MATCH($A403,TinhGia!$B$10:$B$81,0)),$A403,INDEX(TinhGia!$B$10:$B$81,MATCH($A403,TinhGia!$B$10:$B$81,0)+1)),"")</f>
        <v/>
      </c>
      <c r="B404" s="525" t="str">
        <f ca="1">IF(OR(A404="",A404=0),"",IF(COUNTIF($A$2:A404,$A404)=1,ROW(MauKoXoa!$C$108),$B403+1))</f>
        <v/>
      </c>
      <c r="C404" s="992" t="str">
        <f t="shared" ca="1" si="40"/>
        <v/>
      </c>
      <c r="D404" s="993" t="str">
        <f t="shared" ca="1" si="41"/>
        <v/>
      </c>
      <c r="E404" s="993" t="str">
        <f t="shared" ca="1" si="42"/>
        <v/>
      </c>
      <c r="F404" s="992" t="str">
        <f t="shared" ca="1" si="58"/>
        <v/>
      </c>
      <c r="G404" s="994">
        <f t="shared" ca="1" si="43"/>
        <v>0</v>
      </c>
      <c r="H404" s="913">
        <f t="shared" ca="1" si="44"/>
        <v>0</v>
      </c>
      <c r="I404" s="913">
        <f t="shared" ca="1" si="45"/>
        <v>0</v>
      </c>
      <c r="J404" s="995">
        <f t="shared" ca="1" si="59"/>
        <v>0</v>
      </c>
      <c r="K404" s="913">
        <f t="shared" ca="1" si="47"/>
        <v>0</v>
      </c>
      <c r="L404" s="995">
        <f t="shared" ca="1" si="60"/>
        <v>0</v>
      </c>
      <c r="M404" s="913">
        <f t="shared" ca="1" si="49"/>
        <v>0</v>
      </c>
      <c r="N404" s="996">
        <f t="shared" ca="1" si="50"/>
        <v>0</v>
      </c>
      <c r="O404" s="997">
        <f t="shared" ca="1" si="51"/>
        <v>0</v>
      </c>
      <c r="P404" s="1015" t="str">
        <f ca="1">IF($C404="","",INDEX(NVLSX!$N$2:$N$6941,MATCH($C404,NVLSX!$E$2:$E$6941,0)))</f>
        <v/>
      </c>
      <c r="Q404" s="1016" t="str">
        <f ca="1">IF($R404="","",IF(XKNVLSX!$X$1="",IF($P404=$V$7,$P404, IF(COUNTIFS($C$2:$C403,$C404,$E$2:$E403,$E404)&gt;=1,"",$P404)),     IF(AND(IFERROR(SEARCH($R404,XKNVLSX!$X$1,1),0)&gt;=1,$P404=$V$7),$P404, IF(OR($R404&lt;&gt;IF(IFERROR(SEARCH($R404,XKNVLSX!$X$1,1),0)&gt;=1,$R404,XKNVLSX!$X$1),COUNTIFS($C$2:$C403,$C404,$E$2:$E403,$E404,$Q$2:$Q403,$P404)&gt;=1),"",$P404))))</f>
        <v/>
      </c>
      <c r="R404" s="1017" t="str">
        <f ca="1">IF($A404="","",IFERROR(INDEX(TinhGia!$BF$10:$BF$81,MATCH($A404,TinhGia!$B$10:$B$81,0)),""))</f>
        <v/>
      </c>
      <c r="S404" s="1012" t="str">
        <f ca="1">IF($A404="","",IF(OR(IFERROR(SEARCH($R404,XKNVLSX!$X$1,1),0)&gt;=1,XKNVLSX!$X$1=""),$S$2,""))</f>
        <v/>
      </c>
      <c r="T404" s="1018" t="str">
        <f ca="1">IF($C404="","", IF(OR($P404=$V$1,$P404=$V$7,COUNTIFS($C$3:$C404,$C404,$E$3:$E404,$E404)&lt;=1),$P404,""    ))</f>
        <v/>
      </c>
      <c r="U404" s="1019" t="str">
        <f ca="1">IF(AND($P404=$V$2,COUNTIFS($C$3:$C404,$C404,$E$3:$E404,$E404,$G$3:$G404,$G404)&lt;=1),$P404,"")</f>
        <v/>
      </c>
    </row>
    <row r="405" spans="1:21">
      <c r="A405" s="991" t="str">
        <f ca="1">IFERROR(IF(COUNTIF($A$3:A404,A404)&lt; INDEX(TinhGia!$BH$10:$BH$81,MATCH($A404,TinhGia!$B$10:$B$81,0)),$A404,INDEX(TinhGia!$B$10:$B$81,MATCH($A404,TinhGia!$B$10:$B$81,0)+1)),"")</f>
        <v/>
      </c>
      <c r="B405" s="525" t="str">
        <f ca="1">IF(OR(A405="",A405=0),"",IF(COUNTIF($A$2:A405,$A405)=1,ROW(MauKoXoa!$C$108),$B404+1))</f>
        <v/>
      </c>
      <c r="C405" s="992" t="str">
        <f t="shared" ca="1" si="40"/>
        <v/>
      </c>
      <c r="D405" s="993" t="str">
        <f t="shared" ca="1" si="41"/>
        <v/>
      </c>
      <c r="E405" s="993" t="str">
        <f t="shared" ca="1" si="42"/>
        <v/>
      </c>
      <c r="F405" s="992" t="str">
        <f t="shared" ca="1" si="58"/>
        <v/>
      </c>
      <c r="G405" s="994">
        <f t="shared" ca="1" si="43"/>
        <v>0</v>
      </c>
      <c r="H405" s="913">
        <f t="shared" ca="1" si="44"/>
        <v>0</v>
      </c>
      <c r="I405" s="913">
        <f t="shared" ca="1" si="45"/>
        <v>0</v>
      </c>
      <c r="J405" s="995">
        <f t="shared" ca="1" si="59"/>
        <v>0</v>
      </c>
      <c r="K405" s="913">
        <f t="shared" ca="1" si="47"/>
        <v>0</v>
      </c>
      <c r="L405" s="995">
        <f t="shared" ca="1" si="60"/>
        <v>0</v>
      </c>
      <c r="M405" s="913">
        <f t="shared" ca="1" si="49"/>
        <v>0</v>
      </c>
      <c r="N405" s="996">
        <f t="shared" ca="1" si="50"/>
        <v>0</v>
      </c>
      <c r="O405" s="997">
        <f t="shared" ca="1" si="51"/>
        <v>0</v>
      </c>
      <c r="P405" s="1015" t="str">
        <f ca="1">IF($C405="","",INDEX(NVLSX!$N$2:$N$6941,MATCH($C405,NVLSX!$E$2:$E$6941,0)))</f>
        <v/>
      </c>
      <c r="Q405" s="1016" t="str">
        <f ca="1">IF($R405="","",IF(XKNVLSX!$X$1="",IF($P405=$V$7,$P405, IF(COUNTIFS($C$2:$C404,$C405,$E$2:$E404,$E405)&gt;=1,"",$P405)),     IF(AND(IFERROR(SEARCH($R405,XKNVLSX!$X$1,1),0)&gt;=1,$P405=$V$7),$P405, IF(OR($R405&lt;&gt;IF(IFERROR(SEARCH($R405,XKNVLSX!$X$1,1),0)&gt;=1,$R405,XKNVLSX!$X$1),COUNTIFS($C$2:$C404,$C405,$E$2:$E404,$E405,$Q$2:$Q404,$P405)&gt;=1),"",$P405))))</f>
        <v/>
      </c>
      <c r="R405" s="1017" t="str">
        <f ca="1">IF($A405="","",IFERROR(INDEX(TinhGia!$BF$10:$BF$81,MATCH($A405,TinhGia!$B$10:$B$81,0)),""))</f>
        <v/>
      </c>
      <c r="S405" s="1012" t="str">
        <f ca="1">IF($A405="","",IF(OR(IFERROR(SEARCH($R405,XKNVLSX!$X$1,1),0)&gt;=1,XKNVLSX!$X$1=""),$S$2,""))</f>
        <v/>
      </c>
      <c r="T405" s="1018" t="str">
        <f ca="1">IF($C405="","", IF(OR($P405=$V$1,$P405=$V$7,COUNTIFS($C$3:$C405,$C405,$E$3:$E405,$E405)&lt;=1),$P405,""    ))</f>
        <v/>
      </c>
      <c r="U405" s="1019" t="str">
        <f ca="1">IF(AND($P405=$V$2,COUNTIFS($C$3:$C405,$C405,$E$3:$E405,$E405,$G$3:$G405,$G405)&lt;=1),$P405,"")</f>
        <v/>
      </c>
    </row>
    <row r="406" spans="1:21">
      <c r="A406" s="991" t="str">
        <f ca="1">IFERROR(IF(COUNTIF($A$3:A405,A405)&lt; INDEX(TinhGia!$BH$10:$BH$81,MATCH($A405,TinhGia!$B$10:$B$81,0)),$A405,INDEX(TinhGia!$B$10:$B$81,MATCH($A405,TinhGia!$B$10:$B$81,0)+1)),"")</f>
        <v/>
      </c>
      <c r="B406" s="525" t="str">
        <f ca="1">IF(OR(A406="",A406=0),"",IF(COUNTIF($A$2:A406,$A406)=1,ROW(MauKoXoa!$C$108),$B405+1))</f>
        <v/>
      </c>
      <c r="C406" s="992" t="str">
        <f t="shared" ca="1" si="40"/>
        <v/>
      </c>
      <c r="D406" s="993" t="str">
        <f t="shared" ca="1" si="41"/>
        <v/>
      </c>
      <c r="E406" s="993" t="str">
        <f t="shared" ca="1" si="42"/>
        <v/>
      </c>
      <c r="F406" s="992" t="str">
        <f t="shared" ca="1" si="58"/>
        <v/>
      </c>
      <c r="G406" s="994">
        <f t="shared" ca="1" si="43"/>
        <v>0</v>
      </c>
      <c r="H406" s="913">
        <f t="shared" ca="1" si="44"/>
        <v>0</v>
      </c>
      <c r="I406" s="913">
        <f t="shared" ca="1" si="45"/>
        <v>0</v>
      </c>
      <c r="J406" s="995">
        <f t="shared" ca="1" si="59"/>
        <v>0</v>
      </c>
      <c r="K406" s="913">
        <f t="shared" ca="1" si="47"/>
        <v>0</v>
      </c>
      <c r="L406" s="995">
        <f t="shared" ca="1" si="60"/>
        <v>0</v>
      </c>
      <c r="M406" s="913">
        <f t="shared" ca="1" si="49"/>
        <v>0</v>
      </c>
      <c r="N406" s="996">
        <f t="shared" ca="1" si="50"/>
        <v>0</v>
      </c>
      <c r="O406" s="997">
        <f t="shared" ca="1" si="51"/>
        <v>0</v>
      </c>
      <c r="P406" s="1015" t="str">
        <f ca="1">IF($C406="","",INDEX(NVLSX!$N$2:$N$6941,MATCH($C406,NVLSX!$E$2:$E$6941,0)))</f>
        <v/>
      </c>
      <c r="Q406" s="1016" t="str">
        <f ca="1">IF($R406="","",IF(XKNVLSX!$X$1="",IF($P406=$V$7,$P406, IF(COUNTIFS($C$2:$C405,$C406,$E$2:$E405,$E406)&gt;=1,"",$P406)),     IF(AND(IFERROR(SEARCH($R406,XKNVLSX!$X$1,1),0)&gt;=1,$P406=$V$7),$P406, IF(OR($R406&lt;&gt;IF(IFERROR(SEARCH($R406,XKNVLSX!$X$1,1),0)&gt;=1,$R406,XKNVLSX!$X$1),COUNTIFS($C$2:$C405,$C406,$E$2:$E405,$E406,$Q$2:$Q405,$P406)&gt;=1),"",$P406))))</f>
        <v/>
      </c>
      <c r="R406" s="1017" t="str">
        <f ca="1">IF($A406="","",IFERROR(INDEX(TinhGia!$BF$10:$BF$81,MATCH($A406,TinhGia!$B$10:$B$81,0)),""))</f>
        <v/>
      </c>
      <c r="S406" s="1012" t="str">
        <f ca="1">IF($A406="","",IF(OR(IFERROR(SEARCH($R406,XKNVLSX!$X$1,1),0)&gt;=1,XKNVLSX!$X$1=""),$S$2,""))</f>
        <v/>
      </c>
      <c r="T406" s="1018" t="str">
        <f ca="1">IF($C406="","", IF(OR($P406=$V$1,$P406=$V$7,COUNTIFS($C$3:$C406,$C406,$E$3:$E406,$E406)&lt;=1),$P406,""    ))</f>
        <v/>
      </c>
      <c r="U406" s="1019" t="str">
        <f ca="1">IF(AND($P406=$V$2,COUNTIFS($C$3:$C406,$C406,$E$3:$E406,$E406,$G$3:$G406,$G406)&lt;=1),$P406,"")</f>
        <v/>
      </c>
    </row>
    <row r="407" spans="1:21">
      <c r="A407" s="991" t="str">
        <f ca="1">IFERROR(IF(COUNTIF($A$3:A406,A406)&lt; INDEX(TinhGia!$BH$10:$BH$81,MATCH($A406,TinhGia!$B$10:$B$81,0)),$A406,INDEX(TinhGia!$B$10:$B$81,MATCH($A406,TinhGia!$B$10:$B$81,0)+1)),"")</f>
        <v/>
      </c>
      <c r="B407" s="525" t="str">
        <f ca="1">IF(OR(A407="",A407=0),"",IF(COUNTIF($A$2:A407,$A407)=1,ROW(MauKoXoa!$C$108),$B406+1))</f>
        <v/>
      </c>
      <c r="C407" s="992" t="str">
        <f t="shared" ca="1" si="40"/>
        <v/>
      </c>
      <c r="D407" s="993" t="str">
        <f t="shared" ca="1" si="41"/>
        <v/>
      </c>
      <c r="E407" s="993" t="str">
        <f t="shared" ca="1" si="42"/>
        <v/>
      </c>
      <c r="F407" s="992" t="str">
        <f t="shared" ca="1" si="58"/>
        <v/>
      </c>
      <c r="G407" s="994">
        <f t="shared" ca="1" si="43"/>
        <v>0</v>
      </c>
      <c r="H407" s="913">
        <f t="shared" ca="1" si="44"/>
        <v>0</v>
      </c>
      <c r="I407" s="913">
        <f t="shared" ca="1" si="45"/>
        <v>0</v>
      </c>
      <c r="J407" s="995">
        <f t="shared" ca="1" si="59"/>
        <v>0</v>
      </c>
      <c r="K407" s="913">
        <f t="shared" ca="1" si="47"/>
        <v>0</v>
      </c>
      <c r="L407" s="995">
        <f t="shared" ca="1" si="60"/>
        <v>0</v>
      </c>
      <c r="M407" s="913">
        <f t="shared" ca="1" si="49"/>
        <v>0</v>
      </c>
      <c r="N407" s="996">
        <f t="shared" ca="1" si="50"/>
        <v>0</v>
      </c>
      <c r="O407" s="997">
        <f t="shared" ca="1" si="51"/>
        <v>0</v>
      </c>
      <c r="P407" s="1015" t="str">
        <f ca="1">IF($C407="","",INDEX(NVLSX!$N$2:$N$6941,MATCH($C407,NVLSX!$E$2:$E$6941,0)))</f>
        <v/>
      </c>
      <c r="Q407" s="1016" t="str">
        <f ca="1">IF($R407="","",IF(XKNVLSX!$X$1="",IF($P407=$V$7,$P407, IF(COUNTIFS($C$2:$C406,$C407,$E$2:$E406,$E407)&gt;=1,"",$P407)),     IF(AND(IFERROR(SEARCH($R407,XKNVLSX!$X$1,1),0)&gt;=1,$P407=$V$7),$P407, IF(OR($R407&lt;&gt;IF(IFERROR(SEARCH($R407,XKNVLSX!$X$1,1),0)&gt;=1,$R407,XKNVLSX!$X$1),COUNTIFS($C$2:$C406,$C407,$E$2:$E406,$E407,$Q$2:$Q406,$P407)&gt;=1),"",$P407))))</f>
        <v/>
      </c>
      <c r="R407" s="1017" t="str">
        <f ca="1">IF($A407="","",IFERROR(INDEX(TinhGia!$BF$10:$BF$81,MATCH($A407,TinhGia!$B$10:$B$81,0)),""))</f>
        <v/>
      </c>
      <c r="S407" s="1012" t="str">
        <f ca="1">IF($A407="","",IF(OR(IFERROR(SEARCH($R407,XKNVLSX!$X$1,1),0)&gt;=1,XKNVLSX!$X$1=""),$S$2,""))</f>
        <v/>
      </c>
      <c r="T407" s="1018" t="str">
        <f ca="1">IF($C407="","", IF(OR($P407=$V$1,$P407=$V$7,COUNTIFS($C$3:$C407,$C407,$E$3:$E407,$E407)&lt;=1),$P407,""    ))</f>
        <v/>
      </c>
      <c r="U407" s="1019" t="str">
        <f ca="1">IF(AND($P407=$V$2,COUNTIFS($C$3:$C407,$C407,$E$3:$E407,$E407,$G$3:$G407,$G407)&lt;=1),$P407,"")</f>
        <v/>
      </c>
    </row>
    <row r="408" spans="1:21">
      <c r="A408" s="991" t="str">
        <f ca="1">IFERROR(IF(COUNTIF($A$3:A407,A407)&lt; INDEX(TinhGia!$BH$10:$BH$81,MATCH($A407,TinhGia!$B$10:$B$81,0)),$A407,INDEX(TinhGia!$B$10:$B$81,MATCH($A407,TinhGia!$B$10:$B$81,0)+1)),"")</f>
        <v/>
      </c>
      <c r="B408" s="525" t="str">
        <f ca="1">IF(OR(A408="",A408=0),"",IF(COUNTIF($A$2:A408,$A408)=1,ROW(MauKoXoa!$C$108),$B407+1))</f>
        <v/>
      </c>
      <c r="C408" s="992" t="str">
        <f t="shared" ca="1" si="40"/>
        <v/>
      </c>
      <c r="D408" s="993" t="str">
        <f t="shared" ca="1" si="41"/>
        <v/>
      </c>
      <c r="E408" s="993" t="str">
        <f t="shared" ca="1" si="42"/>
        <v/>
      </c>
      <c r="F408" s="992" t="str">
        <f t="shared" ca="1" si="58"/>
        <v/>
      </c>
      <c r="G408" s="994">
        <f t="shared" ca="1" si="43"/>
        <v>0</v>
      </c>
      <c r="H408" s="913">
        <f t="shared" ca="1" si="44"/>
        <v>0</v>
      </c>
      <c r="I408" s="913">
        <f t="shared" ca="1" si="45"/>
        <v>0</v>
      </c>
      <c r="J408" s="995">
        <f t="shared" ca="1" si="59"/>
        <v>0</v>
      </c>
      <c r="K408" s="913">
        <f t="shared" ca="1" si="47"/>
        <v>0</v>
      </c>
      <c r="L408" s="995">
        <f t="shared" ca="1" si="60"/>
        <v>0</v>
      </c>
      <c r="M408" s="913">
        <f t="shared" ca="1" si="49"/>
        <v>0</v>
      </c>
      <c r="N408" s="996">
        <f t="shared" ca="1" si="50"/>
        <v>0</v>
      </c>
      <c r="O408" s="997">
        <f t="shared" ca="1" si="51"/>
        <v>0</v>
      </c>
      <c r="P408" s="1015" t="str">
        <f ca="1">IF($C408="","",INDEX(NVLSX!$N$2:$N$6941,MATCH($C408,NVLSX!$E$2:$E$6941,0)))</f>
        <v/>
      </c>
      <c r="Q408" s="1016" t="str">
        <f ca="1">IF($R408="","",IF(XKNVLSX!$X$1="",IF($P408=$V$7,$P408, IF(COUNTIFS($C$2:$C407,$C408,$E$2:$E407,$E408)&gt;=1,"",$P408)),     IF(AND(IFERROR(SEARCH($R408,XKNVLSX!$X$1,1),0)&gt;=1,$P408=$V$7),$P408, IF(OR($R408&lt;&gt;IF(IFERROR(SEARCH($R408,XKNVLSX!$X$1,1),0)&gt;=1,$R408,XKNVLSX!$X$1),COUNTIFS($C$2:$C407,$C408,$E$2:$E407,$E408,$Q$2:$Q407,$P408)&gt;=1),"",$P408))))</f>
        <v/>
      </c>
      <c r="R408" s="1017" t="str">
        <f ca="1">IF($A408="","",IFERROR(INDEX(TinhGia!$BF$10:$BF$81,MATCH($A408,TinhGia!$B$10:$B$81,0)),""))</f>
        <v/>
      </c>
      <c r="S408" s="1012" t="str">
        <f ca="1">IF($A408="","",IF(OR(IFERROR(SEARCH($R408,XKNVLSX!$X$1,1),0)&gt;=1,XKNVLSX!$X$1=""),$S$2,""))</f>
        <v/>
      </c>
      <c r="T408" s="1018" t="str">
        <f ca="1">IF($C408="","", IF(OR($P408=$V$1,$P408=$V$7,COUNTIFS($C$3:$C408,$C408,$E$3:$E408,$E408)&lt;=1),$P408,""    ))</f>
        <v/>
      </c>
      <c r="U408" s="1019" t="str">
        <f ca="1">IF(AND($P408=$V$2,COUNTIFS($C$3:$C408,$C408,$E$3:$E408,$E408,$G$3:$G408,$G408)&lt;=1),$P408,"")</f>
        <v/>
      </c>
    </row>
    <row r="409" spans="1:21">
      <c r="A409" s="991" t="str">
        <f ca="1">IFERROR(IF(COUNTIF($A$3:A408,A408)&lt; INDEX(TinhGia!$BH$10:$BH$81,MATCH($A408,TinhGia!$B$10:$B$81,0)),$A408,INDEX(TinhGia!$B$10:$B$81,MATCH($A408,TinhGia!$B$10:$B$81,0)+1)),"")</f>
        <v/>
      </c>
      <c r="B409" s="525" t="str">
        <f ca="1">IF(OR(A409="",A409=0),"",IF(COUNTIF($A$2:A409,$A409)=1,ROW(MauKoXoa!$C$108),$B408+1))</f>
        <v/>
      </c>
      <c r="C409" s="992" t="str">
        <f t="shared" ca="1" si="40"/>
        <v/>
      </c>
      <c r="D409" s="993" t="str">
        <f t="shared" ca="1" si="41"/>
        <v/>
      </c>
      <c r="E409" s="993" t="str">
        <f t="shared" ca="1" si="42"/>
        <v/>
      </c>
      <c r="F409" s="992" t="str">
        <f t="shared" ca="1" si="58"/>
        <v/>
      </c>
      <c r="G409" s="994">
        <f t="shared" ca="1" si="43"/>
        <v>0</v>
      </c>
      <c r="H409" s="913">
        <f t="shared" ca="1" si="44"/>
        <v>0</v>
      </c>
      <c r="I409" s="913">
        <f t="shared" ca="1" si="45"/>
        <v>0</v>
      </c>
      <c r="J409" s="995">
        <f t="shared" ca="1" si="59"/>
        <v>0</v>
      </c>
      <c r="K409" s="913">
        <f t="shared" ca="1" si="47"/>
        <v>0</v>
      </c>
      <c r="L409" s="995">
        <f t="shared" ca="1" si="60"/>
        <v>0</v>
      </c>
      <c r="M409" s="913">
        <f t="shared" ca="1" si="49"/>
        <v>0</v>
      </c>
      <c r="N409" s="996">
        <f t="shared" ca="1" si="50"/>
        <v>0</v>
      </c>
      <c r="O409" s="997">
        <f t="shared" ca="1" si="51"/>
        <v>0</v>
      </c>
      <c r="P409" s="1015" t="str">
        <f ca="1">IF($C409="","",INDEX(NVLSX!$N$2:$N$6941,MATCH($C409,NVLSX!$E$2:$E$6941,0)))</f>
        <v/>
      </c>
      <c r="Q409" s="1016" t="str">
        <f ca="1">IF($R409="","",IF(XKNVLSX!$X$1="",IF($P409=$V$7,$P409, IF(COUNTIFS($C$2:$C408,$C409,$E$2:$E408,$E409)&gt;=1,"",$P409)),     IF(AND(IFERROR(SEARCH($R409,XKNVLSX!$X$1,1),0)&gt;=1,$P409=$V$7),$P409, IF(OR($R409&lt;&gt;IF(IFERROR(SEARCH($R409,XKNVLSX!$X$1,1),0)&gt;=1,$R409,XKNVLSX!$X$1),COUNTIFS($C$2:$C408,$C409,$E$2:$E408,$E409,$Q$2:$Q408,$P409)&gt;=1),"",$P409))))</f>
        <v/>
      </c>
      <c r="R409" s="1017" t="str">
        <f ca="1">IF($A409="","",IFERROR(INDEX(TinhGia!$BF$10:$BF$81,MATCH($A409,TinhGia!$B$10:$B$81,0)),""))</f>
        <v/>
      </c>
      <c r="S409" s="1012" t="str">
        <f ca="1">IF($A409="","",IF(OR(IFERROR(SEARCH($R409,XKNVLSX!$X$1,1),0)&gt;=1,XKNVLSX!$X$1=""),$S$2,""))</f>
        <v/>
      </c>
      <c r="T409" s="1018" t="str">
        <f ca="1">IF($C409="","", IF(OR($P409=$V$1,$P409=$V$7,COUNTIFS($C$3:$C409,$C409,$E$3:$E409,$E409)&lt;=1),$P409,""    ))</f>
        <v/>
      </c>
      <c r="U409" s="1019" t="str">
        <f ca="1">IF(AND($P409=$V$2,COUNTIFS($C$3:$C409,$C409,$E$3:$E409,$E409,$G$3:$G409,$G409)&lt;=1),$P409,"")</f>
        <v/>
      </c>
    </row>
    <row r="410" spans="1:21">
      <c r="A410" s="991" t="str">
        <f ca="1">IFERROR(IF(COUNTIF($A$3:A409,A409)&lt; INDEX(TinhGia!$BH$10:$BH$81,MATCH($A409,TinhGia!$B$10:$B$81,0)),$A409,INDEX(TinhGia!$B$10:$B$81,MATCH($A409,TinhGia!$B$10:$B$81,0)+1)),"")</f>
        <v/>
      </c>
      <c r="B410" s="525" t="str">
        <f ca="1">IF(OR(A410="",A410=0),"",IF(COUNTIF($A$2:A410,$A410)=1,ROW(MauKoXoa!$C$108),$B409+1))</f>
        <v/>
      </c>
      <c r="C410" s="992" t="str">
        <f t="shared" ca="1" si="40"/>
        <v/>
      </c>
      <c r="D410" s="993" t="str">
        <f t="shared" ca="1" si="41"/>
        <v/>
      </c>
      <c r="E410" s="993" t="str">
        <f t="shared" ca="1" si="42"/>
        <v/>
      </c>
      <c r="F410" s="992" t="str">
        <f t="shared" ca="1" si="58"/>
        <v/>
      </c>
      <c r="G410" s="994">
        <f t="shared" ca="1" si="43"/>
        <v>0</v>
      </c>
      <c r="H410" s="913">
        <f t="shared" ca="1" si="44"/>
        <v>0</v>
      </c>
      <c r="I410" s="913">
        <f t="shared" ca="1" si="45"/>
        <v>0</v>
      </c>
      <c r="J410" s="995">
        <f t="shared" ca="1" si="59"/>
        <v>0</v>
      </c>
      <c r="K410" s="913">
        <f t="shared" ca="1" si="47"/>
        <v>0</v>
      </c>
      <c r="L410" s="995">
        <f t="shared" ca="1" si="60"/>
        <v>0</v>
      </c>
      <c r="M410" s="913">
        <f t="shared" ca="1" si="49"/>
        <v>0</v>
      </c>
      <c r="N410" s="996">
        <f t="shared" ca="1" si="50"/>
        <v>0</v>
      </c>
      <c r="O410" s="997">
        <f t="shared" ca="1" si="51"/>
        <v>0</v>
      </c>
      <c r="P410" s="1015" t="str">
        <f ca="1">IF($C410="","",INDEX(NVLSX!$N$2:$N$6941,MATCH($C410,NVLSX!$E$2:$E$6941,0)))</f>
        <v/>
      </c>
      <c r="Q410" s="1016" t="str">
        <f ca="1">IF($R410="","",IF(XKNVLSX!$X$1="",IF($P410=$V$7,$P410, IF(COUNTIFS($C$2:$C409,$C410,$E$2:$E409,$E410)&gt;=1,"",$P410)),     IF(AND(IFERROR(SEARCH($R410,XKNVLSX!$X$1,1),0)&gt;=1,$P410=$V$7),$P410, IF(OR($R410&lt;&gt;IF(IFERROR(SEARCH($R410,XKNVLSX!$X$1,1),0)&gt;=1,$R410,XKNVLSX!$X$1),COUNTIFS($C$2:$C409,$C410,$E$2:$E409,$E410,$Q$2:$Q409,$P410)&gt;=1),"",$P410))))</f>
        <v/>
      </c>
      <c r="R410" s="1017" t="str">
        <f ca="1">IF($A410="","",IFERROR(INDEX(TinhGia!$BF$10:$BF$81,MATCH($A410,TinhGia!$B$10:$B$81,0)),""))</f>
        <v/>
      </c>
      <c r="S410" s="1012" t="str">
        <f ca="1">IF($A410="","",IF(OR(IFERROR(SEARCH($R410,XKNVLSX!$X$1,1),0)&gt;=1,XKNVLSX!$X$1=""),$S$2,""))</f>
        <v/>
      </c>
      <c r="T410" s="1018" t="str">
        <f ca="1">IF($C410="","", IF(OR($P410=$V$1,$P410=$V$7,COUNTIFS($C$3:$C410,$C410,$E$3:$E410,$E410)&lt;=1),$P410,""    ))</f>
        <v/>
      </c>
      <c r="U410" s="1019" t="str">
        <f ca="1">IF(AND($P410=$V$2,COUNTIFS($C$3:$C410,$C410,$E$3:$E410,$E410,$G$3:$G410,$G410)&lt;=1),$P410,"")</f>
        <v/>
      </c>
    </row>
    <row r="411" spans="1:21">
      <c r="A411" s="991" t="str">
        <f ca="1">IFERROR(IF(COUNTIF($A$3:A410,A410)&lt; INDEX(TinhGia!$BH$10:$BH$81,MATCH($A410,TinhGia!$B$10:$B$81,0)),$A410,INDEX(TinhGia!$B$10:$B$81,MATCH($A410,TinhGia!$B$10:$B$81,0)+1)),"")</f>
        <v/>
      </c>
      <c r="B411" s="525" t="str">
        <f ca="1">IF(OR(A411="",A411=0),"",IF(COUNTIF($A$2:A411,$A411)=1,ROW(MauKoXoa!$C$108),$B410+1))</f>
        <v/>
      </c>
      <c r="C411" s="992" t="str">
        <f t="shared" ca="1" si="40"/>
        <v/>
      </c>
      <c r="D411" s="993" t="str">
        <f t="shared" ca="1" si="41"/>
        <v/>
      </c>
      <c r="E411" s="993" t="str">
        <f t="shared" ca="1" si="42"/>
        <v/>
      </c>
      <c r="F411" s="992" t="str">
        <f t="shared" ca="1" si="58"/>
        <v/>
      </c>
      <c r="G411" s="994">
        <f t="shared" ca="1" si="43"/>
        <v>0</v>
      </c>
      <c r="H411" s="913">
        <f t="shared" ca="1" si="44"/>
        <v>0</v>
      </c>
      <c r="I411" s="913">
        <f t="shared" ca="1" si="45"/>
        <v>0</v>
      </c>
      <c r="J411" s="995">
        <f t="shared" ca="1" si="59"/>
        <v>0</v>
      </c>
      <c r="K411" s="913">
        <f t="shared" ca="1" si="47"/>
        <v>0</v>
      </c>
      <c r="L411" s="995">
        <f t="shared" ca="1" si="60"/>
        <v>0</v>
      </c>
      <c r="M411" s="913">
        <f t="shared" ca="1" si="49"/>
        <v>0</v>
      </c>
      <c r="N411" s="996">
        <f t="shared" ca="1" si="50"/>
        <v>0</v>
      </c>
      <c r="O411" s="997">
        <f t="shared" ca="1" si="51"/>
        <v>0</v>
      </c>
      <c r="P411" s="1015" t="str">
        <f ca="1">IF($C411="","",INDEX(NVLSX!$N$2:$N$6941,MATCH($C411,NVLSX!$E$2:$E$6941,0)))</f>
        <v/>
      </c>
      <c r="Q411" s="1016" t="str">
        <f ca="1">IF($R411="","",IF(XKNVLSX!$X$1="",IF($P411=$V$7,$P411, IF(COUNTIFS($C$2:$C410,$C411,$E$2:$E410,$E411)&gt;=1,"",$P411)),     IF(AND(IFERROR(SEARCH($R411,XKNVLSX!$X$1,1),0)&gt;=1,$P411=$V$7),$P411, IF(OR($R411&lt;&gt;IF(IFERROR(SEARCH($R411,XKNVLSX!$X$1,1),0)&gt;=1,$R411,XKNVLSX!$X$1),COUNTIFS($C$2:$C410,$C411,$E$2:$E410,$E411,$Q$2:$Q410,$P411)&gt;=1),"",$P411))))</f>
        <v/>
      </c>
      <c r="R411" s="1017" t="str">
        <f ca="1">IF($A411="","",IFERROR(INDEX(TinhGia!$BF$10:$BF$81,MATCH($A411,TinhGia!$B$10:$B$81,0)),""))</f>
        <v/>
      </c>
      <c r="S411" s="1012" t="str">
        <f ca="1">IF($A411="","",IF(OR(IFERROR(SEARCH($R411,XKNVLSX!$X$1,1),0)&gt;=1,XKNVLSX!$X$1=""),$S$2,""))</f>
        <v/>
      </c>
      <c r="T411" s="1018" t="str">
        <f ca="1">IF($C411="","", IF(OR($P411=$V$1,$P411=$V$7,COUNTIFS($C$3:$C411,$C411,$E$3:$E411,$E411)&lt;=1),$P411,""    ))</f>
        <v/>
      </c>
      <c r="U411" s="1019" t="str">
        <f ca="1">IF(AND($P411=$V$2,COUNTIFS($C$3:$C411,$C411,$E$3:$E411,$E411,$G$3:$G411,$G411)&lt;=1),$P411,"")</f>
        <v/>
      </c>
    </row>
    <row r="412" spans="1:21">
      <c r="A412" s="991" t="str">
        <f ca="1">IFERROR(IF(COUNTIF($A$3:A411,A411)&lt; INDEX(TinhGia!$BH$10:$BH$81,MATCH($A411,TinhGia!$B$10:$B$81,0)),$A411,INDEX(TinhGia!$B$10:$B$81,MATCH($A411,TinhGia!$B$10:$B$81,0)+1)),"")</f>
        <v/>
      </c>
      <c r="B412" s="525" t="str">
        <f ca="1">IF(OR(A412="",A412=0),"",IF(COUNTIF($A$2:A412,$A412)=1,ROW(MauKoXoa!$C$108),$B411+1))</f>
        <v/>
      </c>
      <c r="C412" s="992" t="str">
        <f t="shared" ca="1" si="40"/>
        <v/>
      </c>
      <c r="D412" s="993" t="str">
        <f t="shared" ca="1" si="41"/>
        <v/>
      </c>
      <c r="E412" s="993" t="str">
        <f t="shared" ca="1" si="42"/>
        <v/>
      </c>
      <c r="F412" s="992" t="str">
        <f t="shared" ca="1" si="58"/>
        <v/>
      </c>
      <c r="G412" s="994">
        <f t="shared" ca="1" si="43"/>
        <v>0</v>
      </c>
      <c r="H412" s="913">
        <f t="shared" ca="1" si="44"/>
        <v>0</v>
      </c>
      <c r="I412" s="913">
        <f t="shared" ca="1" si="45"/>
        <v>0</v>
      </c>
      <c r="J412" s="995">
        <f t="shared" ca="1" si="59"/>
        <v>0</v>
      </c>
      <c r="K412" s="913">
        <f t="shared" ca="1" si="47"/>
        <v>0</v>
      </c>
      <c r="L412" s="995">
        <f t="shared" ca="1" si="60"/>
        <v>0</v>
      </c>
      <c r="M412" s="913">
        <f t="shared" ca="1" si="49"/>
        <v>0</v>
      </c>
      <c r="N412" s="996">
        <f t="shared" ca="1" si="50"/>
        <v>0</v>
      </c>
      <c r="O412" s="997">
        <f t="shared" ca="1" si="51"/>
        <v>0</v>
      </c>
      <c r="P412" s="1015" t="str">
        <f ca="1">IF($C412="","",INDEX(NVLSX!$N$2:$N$6941,MATCH($C412,NVLSX!$E$2:$E$6941,0)))</f>
        <v/>
      </c>
      <c r="Q412" s="1016" t="str">
        <f ca="1">IF($R412="","",IF(XKNVLSX!$X$1="",IF($P412=$V$7,$P412, IF(COUNTIFS($C$2:$C411,$C412,$E$2:$E411,$E412)&gt;=1,"",$P412)),     IF(AND(IFERROR(SEARCH($R412,XKNVLSX!$X$1,1),0)&gt;=1,$P412=$V$7),$P412, IF(OR($R412&lt;&gt;IF(IFERROR(SEARCH($R412,XKNVLSX!$X$1,1),0)&gt;=1,$R412,XKNVLSX!$X$1),COUNTIFS($C$2:$C411,$C412,$E$2:$E411,$E412,$Q$2:$Q411,$P412)&gt;=1),"",$P412))))</f>
        <v/>
      </c>
      <c r="R412" s="1017" t="str">
        <f ca="1">IF($A412="","",IFERROR(INDEX(TinhGia!$BF$10:$BF$81,MATCH($A412,TinhGia!$B$10:$B$81,0)),""))</f>
        <v/>
      </c>
      <c r="S412" s="1012" t="str">
        <f ca="1">IF($A412="","",IF(OR(IFERROR(SEARCH($R412,XKNVLSX!$X$1,1),0)&gt;=1,XKNVLSX!$X$1=""),$S$2,""))</f>
        <v/>
      </c>
      <c r="T412" s="1018" t="str">
        <f ca="1">IF($C412="","", IF(OR($P412=$V$1,$P412=$V$7,COUNTIFS($C$3:$C412,$C412,$E$3:$E412,$E412)&lt;=1),$P412,""    ))</f>
        <v/>
      </c>
      <c r="U412" s="1019" t="str">
        <f ca="1">IF(AND($P412=$V$2,COUNTIFS($C$3:$C412,$C412,$E$3:$E412,$E412,$G$3:$G412,$G412)&lt;=1),$P412,"")</f>
        <v/>
      </c>
    </row>
    <row r="413" spans="1:21">
      <c r="A413" s="991" t="str">
        <f ca="1">IFERROR(IF(COUNTIF($A$3:A412,A412)&lt; INDEX(TinhGia!$BH$10:$BH$81,MATCH($A412,TinhGia!$B$10:$B$81,0)),$A412,INDEX(TinhGia!$B$10:$B$81,MATCH($A412,TinhGia!$B$10:$B$81,0)+1)),"")</f>
        <v/>
      </c>
      <c r="B413" s="525" t="str">
        <f ca="1">IF(OR(A413="",A413=0),"",IF(COUNTIF($A$2:A413,$A413)=1,ROW(MauKoXoa!$C$108),$B412+1))</f>
        <v/>
      </c>
      <c r="C413" s="992" t="str">
        <f t="shared" ca="1" si="40"/>
        <v/>
      </c>
      <c r="D413" s="993" t="str">
        <f t="shared" ca="1" si="41"/>
        <v/>
      </c>
      <c r="E413" s="993" t="str">
        <f t="shared" ca="1" si="42"/>
        <v/>
      </c>
      <c r="F413" s="992" t="str">
        <f t="shared" ca="1" si="58"/>
        <v/>
      </c>
      <c r="G413" s="994">
        <f t="shared" ca="1" si="43"/>
        <v>0</v>
      </c>
      <c r="H413" s="913">
        <f t="shared" ca="1" si="44"/>
        <v>0</v>
      </c>
      <c r="I413" s="913">
        <f t="shared" ca="1" si="45"/>
        <v>0</v>
      </c>
      <c r="J413" s="995">
        <f t="shared" ca="1" si="59"/>
        <v>0</v>
      </c>
      <c r="K413" s="913">
        <f t="shared" ca="1" si="47"/>
        <v>0</v>
      </c>
      <c r="L413" s="995">
        <f t="shared" ca="1" si="60"/>
        <v>0</v>
      </c>
      <c r="M413" s="913">
        <f t="shared" ca="1" si="49"/>
        <v>0</v>
      </c>
      <c r="N413" s="996">
        <f t="shared" ca="1" si="50"/>
        <v>0</v>
      </c>
      <c r="O413" s="997">
        <f t="shared" ca="1" si="51"/>
        <v>0</v>
      </c>
      <c r="P413" s="1015" t="str">
        <f ca="1">IF($C413="","",INDEX(NVLSX!$N$2:$N$6941,MATCH($C413,NVLSX!$E$2:$E$6941,0)))</f>
        <v/>
      </c>
      <c r="Q413" s="1016" t="str">
        <f ca="1">IF($R413="","",IF(XKNVLSX!$X$1="",IF($P413=$V$7,$P413, IF(COUNTIFS($C$2:$C412,$C413,$E$2:$E412,$E413)&gt;=1,"",$P413)),     IF(AND(IFERROR(SEARCH($R413,XKNVLSX!$X$1,1),0)&gt;=1,$P413=$V$7),$P413, IF(OR($R413&lt;&gt;IF(IFERROR(SEARCH($R413,XKNVLSX!$X$1,1),0)&gt;=1,$R413,XKNVLSX!$X$1),COUNTIFS($C$2:$C412,$C413,$E$2:$E412,$E413,$Q$2:$Q412,$P413)&gt;=1),"",$P413))))</f>
        <v/>
      </c>
      <c r="R413" s="1017" t="str">
        <f ca="1">IF($A413="","",IFERROR(INDEX(TinhGia!$BF$10:$BF$81,MATCH($A413,TinhGia!$B$10:$B$81,0)),""))</f>
        <v/>
      </c>
      <c r="S413" s="1012" t="str">
        <f ca="1">IF($A413="","",IF(OR(IFERROR(SEARCH($R413,XKNVLSX!$X$1,1),0)&gt;=1,XKNVLSX!$X$1=""),$S$2,""))</f>
        <v/>
      </c>
      <c r="T413" s="1018" t="str">
        <f ca="1">IF($C413="","", IF(OR($P413=$V$1,$P413=$V$7,COUNTIFS($C$3:$C413,$C413,$E$3:$E413,$E413)&lt;=1),$P413,""    ))</f>
        <v/>
      </c>
      <c r="U413" s="1019" t="str">
        <f ca="1">IF(AND($P413=$V$2,COUNTIFS($C$3:$C413,$C413,$E$3:$E413,$E413,$G$3:$G413,$G413)&lt;=1),$P413,"")</f>
        <v/>
      </c>
    </row>
    <row r="414" spans="1:21">
      <c r="A414" s="991" t="str">
        <f ca="1">IFERROR(IF(COUNTIF($A$3:A413,A413)&lt; INDEX(TinhGia!$BH$10:$BH$81,MATCH($A413,TinhGia!$B$10:$B$81,0)),$A413,INDEX(TinhGia!$B$10:$B$81,MATCH($A413,TinhGia!$B$10:$B$81,0)+1)),"")</f>
        <v/>
      </c>
      <c r="B414" s="525" t="str">
        <f ca="1">IF(OR(A414="",A414=0),"",IF(COUNTIF($A$2:A414,$A414)=1,ROW(MauKoXoa!$C$108),$B413+1))</f>
        <v/>
      </c>
      <c r="C414" s="992" t="str">
        <f t="shared" ca="1" si="40"/>
        <v/>
      </c>
      <c r="D414" s="993" t="str">
        <f t="shared" ca="1" si="41"/>
        <v/>
      </c>
      <c r="E414" s="993" t="str">
        <f t="shared" ca="1" si="42"/>
        <v/>
      </c>
      <c r="F414" s="992" t="str">
        <f t="shared" ca="1" si="58"/>
        <v/>
      </c>
      <c r="G414" s="994">
        <f t="shared" ca="1" si="43"/>
        <v>0</v>
      </c>
      <c r="H414" s="913">
        <f t="shared" ca="1" si="44"/>
        <v>0</v>
      </c>
      <c r="I414" s="913">
        <f t="shared" ca="1" si="45"/>
        <v>0</v>
      </c>
      <c r="J414" s="995">
        <f t="shared" ca="1" si="59"/>
        <v>0</v>
      </c>
      <c r="K414" s="913">
        <f t="shared" ca="1" si="47"/>
        <v>0</v>
      </c>
      <c r="L414" s="995">
        <f t="shared" ca="1" si="60"/>
        <v>0</v>
      </c>
      <c r="M414" s="913">
        <f t="shared" ca="1" si="49"/>
        <v>0</v>
      </c>
      <c r="N414" s="996">
        <f t="shared" ca="1" si="50"/>
        <v>0</v>
      </c>
      <c r="O414" s="997">
        <f t="shared" ca="1" si="51"/>
        <v>0</v>
      </c>
      <c r="P414" s="1015" t="str">
        <f ca="1">IF($C414="","",INDEX(NVLSX!$N$2:$N$6941,MATCH($C414,NVLSX!$E$2:$E$6941,0)))</f>
        <v/>
      </c>
      <c r="Q414" s="1016" t="str">
        <f ca="1">IF($R414="","",IF(XKNVLSX!$X$1="",IF($P414=$V$7,$P414, IF(COUNTIFS($C$2:$C413,$C414,$E$2:$E413,$E414)&gt;=1,"",$P414)),     IF(AND(IFERROR(SEARCH($R414,XKNVLSX!$X$1,1),0)&gt;=1,$P414=$V$7),$P414, IF(OR($R414&lt;&gt;IF(IFERROR(SEARCH($R414,XKNVLSX!$X$1,1),0)&gt;=1,$R414,XKNVLSX!$X$1),COUNTIFS($C$2:$C413,$C414,$E$2:$E413,$E414,$Q$2:$Q413,$P414)&gt;=1),"",$P414))))</f>
        <v/>
      </c>
      <c r="R414" s="1017" t="str">
        <f ca="1">IF($A414="","",IFERROR(INDEX(TinhGia!$BF$10:$BF$81,MATCH($A414,TinhGia!$B$10:$B$81,0)),""))</f>
        <v/>
      </c>
      <c r="S414" s="1012" t="str">
        <f ca="1">IF($A414="","",IF(OR(IFERROR(SEARCH($R414,XKNVLSX!$X$1,1),0)&gt;=1,XKNVLSX!$X$1=""),$S$2,""))</f>
        <v/>
      </c>
      <c r="T414" s="1018" t="str">
        <f ca="1">IF($C414="","", IF(OR($P414=$V$1,$P414=$V$7,COUNTIFS($C$3:$C414,$C414,$E$3:$E414,$E414)&lt;=1),$P414,""    ))</f>
        <v/>
      </c>
      <c r="U414" s="1019" t="str">
        <f ca="1">IF(AND($P414=$V$2,COUNTIFS($C$3:$C414,$C414,$E$3:$E414,$E414,$G$3:$G414,$G414)&lt;=1),$P414,"")</f>
        <v/>
      </c>
    </row>
    <row r="415" spans="1:21">
      <c r="A415" s="991" t="str">
        <f ca="1">IFERROR(IF(COUNTIF($A$3:A414,A414)&lt; INDEX(TinhGia!$BH$10:$BH$81,MATCH($A414,TinhGia!$B$10:$B$81,0)),$A414,INDEX(TinhGia!$B$10:$B$81,MATCH($A414,TinhGia!$B$10:$B$81,0)+1)),"")</f>
        <v/>
      </c>
      <c r="B415" s="525" t="str">
        <f ca="1">IF(OR(A415="",A415=0),"",IF(COUNTIF($A$2:A415,$A415)=1,ROW(MauKoXoa!$C$108),$B414+1))</f>
        <v/>
      </c>
      <c r="C415" s="992" t="str">
        <f t="shared" ca="1" si="40"/>
        <v/>
      </c>
      <c r="D415" s="993" t="str">
        <f t="shared" ca="1" si="41"/>
        <v/>
      </c>
      <c r="E415" s="993" t="str">
        <f t="shared" ca="1" si="42"/>
        <v/>
      </c>
      <c r="F415" s="992" t="str">
        <f t="shared" ca="1" si="58"/>
        <v/>
      </c>
      <c r="G415" s="994">
        <f t="shared" ca="1" si="43"/>
        <v>0</v>
      </c>
      <c r="H415" s="913">
        <f t="shared" ca="1" si="44"/>
        <v>0</v>
      </c>
      <c r="I415" s="913">
        <f t="shared" ca="1" si="45"/>
        <v>0</v>
      </c>
      <c r="J415" s="995">
        <f t="shared" ca="1" si="59"/>
        <v>0</v>
      </c>
      <c r="K415" s="913">
        <f t="shared" ca="1" si="47"/>
        <v>0</v>
      </c>
      <c r="L415" s="995">
        <f t="shared" ca="1" si="60"/>
        <v>0</v>
      </c>
      <c r="M415" s="913">
        <f t="shared" ca="1" si="49"/>
        <v>0</v>
      </c>
      <c r="N415" s="996">
        <f t="shared" ca="1" si="50"/>
        <v>0</v>
      </c>
      <c r="O415" s="997">
        <f t="shared" ca="1" si="51"/>
        <v>0</v>
      </c>
      <c r="P415" s="1015" t="str">
        <f ca="1">IF($C415="","",INDEX(NVLSX!$N$2:$N$6941,MATCH($C415,NVLSX!$E$2:$E$6941,0)))</f>
        <v/>
      </c>
      <c r="Q415" s="1016" t="str">
        <f ca="1">IF($R415="","",IF(XKNVLSX!$X$1="",IF($P415=$V$7,$P415, IF(COUNTIFS($C$2:$C414,$C415,$E$2:$E414,$E415)&gt;=1,"",$P415)),     IF(AND(IFERROR(SEARCH($R415,XKNVLSX!$X$1,1),0)&gt;=1,$P415=$V$7),$P415, IF(OR($R415&lt;&gt;IF(IFERROR(SEARCH($R415,XKNVLSX!$X$1,1),0)&gt;=1,$R415,XKNVLSX!$X$1),COUNTIFS($C$2:$C414,$C415,$E$2:$E414,$E415,$Q$2:$Q414,$P415)&gt;=1),"",$P415))))</f>
        <v/>
      </c>
      <c r="R415" s="1017" t="str">
        <f ca="1">IF($A415="","",IFERROR(INDEX(TinhGia!$BF$10:$BF$81,MATCH($A415,TinhGia!$B$10:$B$81,0)),""))</f>
        <v/>
      </c>
      <c r="S415" s="1012" t="str">
        <f ca="1">IF($A415="","",IF(OR(IFERROR(SEARCH($R415,XKNVLSX!$X$1,1),0)&gt;=1,XKNVLSX!$X$1=""),$S$2,""))</f>
        <v/>
      </c>
      <c r="T415" s="1018" t="str">
        <f ca="1">IF($C415="","", IF(OR($P415=$V$1,$P415=$V$7,COUNTIFS($C$3:$C415,$C415,$E$3:$E415,$E415)&lt;=1),$P415,""    ))</f>
        <v/>
      </c>
      <c r="U415" s="1019" t="str">
        <f ca="1">IF(AND($P415=$V$2,COUNTIFS($C$3:$C415,$C415,$E$3:$E415,$E415,$G$3:$G415,$G415)&lt;=1),$P415,"")</f>
        <v/>
      </c>
    </row>
    <row r="416" spans="1:21">
      <c r="A416" s="991" t="str">
        <f ca="1">IFERROR(IF(COUNTIF($A$3:A415,A415)&lt; INDEX(TinhGia!$BH$10:$BH$81,MATCH($A415,TinhGia!$B$10:$B$81,0)),$A415,INDEX(TinhGia!$B$10:$B$81,MATCH($A415,TinhGia!$B$10:$B$81,0)+1)),"")</f>
        <v/>
      </c>
      <c r="B416" s="525" t="str">
        <f ca="1">IF(OR(A416="",A416=0),"",IF(COUNTIF($A$2:A416,$A416)=1,ROW(MauKoXoa!$C$108),$B415+1))</f>
        <v/>
      </c>
      <c r="C416" s="992" t="str">
        <f t="shared" ca="1" si="40"/>
        <v/>
      </c>
      <c r="D416" s="993" t="str">
        <f t="shared" ca="1" si="41"/>
        <v/>
      </c>
      <c r="E416" s="993" t="str">
        <f t="shared" ca="1" si="42"/>
        <v/>
      </c>
      <c r="F416" s="992" t="str">
        <f t="shared" ca="1" si="58"/>
        <v/>
      </c>
      <c r="G416" s="994">
        <f t="shared" ca="1" si="43"/>
        <v>0</v>
      </c>
      <c r="H416" s="913">
        <f t="shared" ca="1" si="44"/>
        <v>0</v>
      </c>
      <c r="I416" s="913">
        <f t="shared" ca="1" si="45"/>
        <v>0</v>
      </c>
      <c r="J416" s="995">
        <f t="shared" ca="1" si="59"/>
        <v>0</v>
      </c>
      <c r="K416" s="913">
        <f t="shared" ca="1" si="47"/>
        <v>0</v>
      </c>
      <c r="L416" s="995">
        <f t="shared" ca="1" si="60"/>
        <v>0</v>
      </c>
      <c r="M416" s="913">
        <f t="shared" ca="1" si="49"/>
        <v>0</v>
      </c>
      <c r="N416" s="996">
        <f t="shared" ca="1" si="50"/>
        <v>0</v>
      </c>
      <c r="O416" s="997">
        <f t="shared" ca="1" si="51"/>
        <v>0</v>
      </c>
      <c r="P416" s="1015" t="str">
        <f ca="1">IF($C416="","",INDEX(NVLSX!$N$2:$N$6941,MATCH($C416,NVLSX!$E$2:$E$6941,0)))</f>
        <v/>
      </c>
      <c r="Q416" s="1016" t="str">
        <f ca="1">IF($R416="","",IF(XKNVLSX!$X$1="",IF($P416=$V$7,$P416, IF(COUNTIFS($C$2:$C415,$C416,$E$2:$E415,$E416)&gt;=1,"",$P416)),     IF(AND(IFERROR(SEARCH($R416,XKNVLSX!$X$1,1),0)&gt;=1,$P416=$V$7),$P416, IF(OR($R416&lt;&gt;IF(IFERROR(SEARCH($R416,XKNVLSX!$X$1,1),0)&gt;=1,$R416,XKNVLSX!$X$1),COUNTIFS($C$2:$C415,$C416,$E$2:$E415,$E416,$Q$2:$Q415,$P416)&gt;=1),"",$P416))))</f>
        <v/>
      </c>
      <c r="R416" s="1017" t="str">
        <f ca="1">IF($A416="","",IFERROR(INDEX(TinhGia!$BF$10:$BF$81,MATCH($A416,TinhGia!$B$10:$B$81,0)),""))</f>
        <v/>
      </c>
      <c r="S416" s="1012" t="str">
        <f ca="1">IF($A416="","",IF(OR(IFERROR(SEARCH($R416,XKNVLSX!$X$1,1),0)&gt;=1,XKNVLSX!$X$1=""),$S$2,""))</f>
        <v/>
      </c>
      <c r="T416" s="1018" t="str">
        <f ca="1">IF($C416="","", IF(OR($P416=$V$1,$P416=$V$7,COUNTIFS($C$3:$C416,$C416,$E$3:$E416,$E416)&lt;=1),$P416,""    ))</f>
        <v/>
      </c>
      <c r="U416" s="1019" t="str">
        <f ca="1">IF(AND($P416=$V$2,COUNTIFS($C$3:$C416,$C416,$E$3:$E416,$E416,$G$3:$G416,$G416)&lt;=1),$P416,"")</f>
        <v/>
      </c>
    </row>
    <row r="417" spans="1:21">
      <c r="A417" s="991" t="str">
        <f ca="1">IFERROR(IF(COUNTIF($A$3:A416,A416)&lt; INDEX(TinhGia!$BH$10:$BH$81,MATCH($A416,TinhGia!$B$10:$B$81,0)),$A416,INDEX(TinhGia!$B$10:$B$81,MATCH($A416,TinhGia!$B$10:$B$81,0)+1)),"")</f>
        <v/>
      </c>
      <c r="B417" s="525" t="str">
        <f ca="1">IF(OR(A417="",A417=0),"",IF(COUNTIF($A$2:A417,$A417)=1,ROW(MauKoXoa!$C$108),$B416+1))</f>
        <v/>
      </c>
      <c r="C417" s="992" t="str">
        <f t="shared" ca="1" si="40"/>
        <v/>
      </c>
      <c r="D417" s="993" t="str">
        <f t="shared" ca="1" si="41"/>
        <v/>
      </c>
      <c r="E417" s="993" t="str">
        <f t="shared" ca="1" si="42"/>
        <v/>
      </c>
      <c r="F417" s="992" t="str">
        <f t="shared" ca="1" si="58"/>
        <v/>
      </c>
      <c r="G417" s="994">
        <f t="shared" ca="1" si="43"/>
        <v>0</v>
      </c>
      <c r="H417" s="913">
        <f t="shared" ca="1" si="44"/>
        <v>0</v>
      </c>
      <c r="I417" s="913">
        <f t="shared" ca="1" si="45"/>
        <v>0</v>
      </c>
      <c r="J417" s="995">
        <f t="shared" ca="1" si="59"/>
        <v>0</v>
      </c>
      <c r="K417" s="913">
        <f t="shared" ca="1" si="47"/>
        <v>0</v>
      </c>
      <c r="L417" s="995">
        <f t="shared" ca="1" si="60"/>
        <v>0</v>
      </c>
      <c r="M417" s="913">
        <f t="shared" ca="1" si="49"/>
        <v>0</v>
      </c>
      <c r="N417" s="996">
        <f t="shared" ca="1" si="50"/>
        <v>0</v>
      </c>
      <c r="O417" s="997">
        <f t="shared" ca="1" si="51"/>
        <v>0</v>
      </c>
      <c r="P417" s="1015" t="str">
        <f ca="1">IF($C417="","",INDEX(NVLSX!$N$2:$N$6941,MATCH($C417,NVLSX!$E$2:$E$6941,0)))</f>
        <v/>
      </c>
      <c r="Q417" s="1016" t="str">
        <f ca="1">IF($R417="","",IF(XKNVLSX!$X$1="",IF($P417=$V$7,$P417, IF(COUNTIFS($C$2:$C416,$C417,$E$2:$E416,$E417)&gt;=1,"",$P417)),     IF(AND(IFERROR(SEARCH($R417,XKNVLSX!$X$1,1),0)&gt;=1,$P417=$V$7),$P417, IF(OR($R417&lt;&gt;IF(IFERROR(SEARCH($R417,XKNVLSX!$X$1,1),0)&gt;=1,$R417,XKNVLSX!$X$1),COUNTIFS($C$2:$C416,$C417,$E$2:$E416,$E417,$Q$2:$Q416,$P417)&gt;=1),"",$P417))))</f>
        <v/>
      </c>
      <c r="R417" s="1017" t="str">
        <f ca="1">IF($A417="","",IFERROR(INDEX(TinhGia!$BF$10:$BF$81,MATCH($A417,TinhGia!$B$10:$B$81,0)),""))</f>
        <v/>
      </c>
      <c r="S417" s="1012" t="str">
        <f ca="1">IF($A417="","",IF(OR(IFERROR(SEARCH($R417,XKNVLSX!$X$1,1),0)&gt;=1,XKNVLSX!$X$1=""),$S$2,""))</f>
        <v/>
      </c>
      <c r="T417" s="1018" t="str">
        <f ca="1">IF($C417="","", IF(OR($P417=$V$1,$P417=$V$7,COUNTIFS($C$3:$C417,$C417,$E$3:$E417,$E417)&lt;=1),$P417,""    ))</f>
        <v/>
      </c>
      <c r="U417" s="1019" t="str">
        <f ca="1">IF(AND($P417=$V$2,COUNTIFS($C$3:$C417,$C417,$E$3:$E417,$E417,$G$3:$G417,$G417)&lt;=1),$P417,"")</f>
        <v/>
      </c>
    </row>
    <row r="418" spans="1:21">
      <c r="A418" s="991" t="str">
        <f ca="1">IFERROR(IF(COUNTIF($A$3:A417,A417)&lt; INDEX(TinhGia!$BH$10:$BH$81,MATCH($A417,TinhGia!$B$10:$B$81,0)),$A417,INDEX(TinhGia!$B$10:$B$81,MATCH($A417,TinhGia!$B$10:$B$81,0)+1)),"")</f>
        <v/>
      </c>
      <c r="B418" s="525" t="str">
        <f ca="1">IF(OR(A418="",A418=0),"",IF(COUNTIF($A$2:A418,$A418)=1,ROW(MauKoXoa!$C$108),$B417+1))</f>
        <v/>
      </c>
      <c r="C418" s="992" t="str">
        <f t="shared" ca="1" si="40"/>
        <v/>
      </c>
      <c r="D418" s="993" t="str">
        <f t="shared" ca="1" si="41"/>
        <v/>
      </c>
      <c r="E418" s="993" t="str">
        <f t="shared" ca="1" si="42"/>
        <v/>
      </c>
      <c r="F418" s="992" t="str">
        <f t="shared" ca="1" si="58"/>
        <v/>
      </c>
      <c r="G418" s="994">
        <f t="shared" ca="1" si="43"/>
        <v>0</v>
      </c>
      <c r="H418" s="913">
        <f t="shared" ca="1" si="44"/>
        <v>0</v>
      </c>
      <c r="I418" s="913">
        <f t="shared" ca="1" si="45"/>
        <v>0</v>
      </c>
      <c r="J418" s="995">
        <f t="shared" ca="1" si="59"/>
        <v>0</v>
      </c>
      <c r="K418" s="913">
        <f t="shared" ca="1" si="47"/>
        <v>0</v>
      </c>
      <c r="L418" s="995">
        <f t="shared" ca="1" si="60"/>
        <v>0</v>
      </c>
      <c r="M418" s="913">
        <f t="shared" ca="1" si="49"/>
        <v>0</v>
      </c>
      <c r="N418" s="996">
        <f t="shared" ca="1" si="50"/>
        <v>0</v>
      </c>
      <c r="O418" s="997">
        <f t="shared" ca="1" si="51"/>
        <v>0</v>
      </c>
      <c r="P418" s="1015" t="str">
        <f ca="1">IF($C418="","",INDEX(NVLSX!$N$2:$N$6941,MATCH($C418,NVLSX!$E$2:$E$6941,0)))</f>
        <v/>
      </c>
      <c r="Q418" s="1016" t="str">
        <f ca="1">IF($R418="","",IF(XKNVLSX!$X$1="",IF($P418=$V$7,$P418, IF(COUNTIFS($C$2:$C417,$C418,$E$2:$E417,$E418)&gt;=1,"",$P418)),     IF(AND(IFERROR(SEARCH($R418,XKNVLSX!$X$1,1),0)&gt;=1,$P418=$V$7),$P418, IF(OR($R418&lt;&gt;IF(IFERROR(SEARCH($R418,XKNVLSX!$X$1,1),0)&gt;=1,$R418,XKNVLSX!$X$1),COUNTIFS($C$2:$C417,$C418,$E$2:$E417,$E418,$Q$2:$Q417,$P418)&gt;=1),"",$P418))))</f>
        <v/>
      </c>
      <c r="R418" s="1017" t="str">
        <f ca="1">IF($A418="","",IFERROR(INDEX(TinhGia!$BF$10:$BF$81,MATCH($A418,TinhGia!$B$10:$B$81,0)),""))</f>
        <v/>
      </c>
      <c r="S418" s="1012" t="str">
        <f ca="1">IF($A418="","",IF(OR(IFERROR(SEARCH($R418,XKNVLSX!$X$1,1),0)&gt;=1,XKNVLSX!$X$1=""),$S$2,""))</f>
        <v/>
      </c>
      <c r="T418" s="1018" t="str">
        <f ca="1">IF($C418="","", IF(OR($P418=$V$1,$P418=$V$7,COUNTIFS($C$3:$C418,$C418,$E$3:$E418,$E418)&lt;=1),$P418,""    ))</f>
        <v/>
      </c>
      <c r="U418" s="1019" t="str">
        <f ca="1">IF(AND($P418=$V$2,COUNTIFS($C$3:$C418,$C418,$E$3:$E418,$E418,$G$3:$G418,$G418)&lt;=1),$P418,"")</f>
        <v/>
      </c>
    </row>
    <row r="419" spans="1:21">
      <c r="A419" s="991" t="str">
        <f ca="1">IFERROR(IF(COUNTIF($A$3:A418,A418)&lt; INDEX(TinhGia!$BH$10:$BH$81,MATCH($A418,TinhGia!$B$10:$B$81,0)),$A418,INDEX(TinhGia!$B$10:$B$81,MATCH($A418,TinhGia!$B$10:$B$81,0)+1)),"")</f>
        <v/>
      </c>
      <c r="B419" s="525" t="str">
        <f ca="1">IF(OR(A419="",A419=0),"",IF(COUNTIF($A$2:A419,$A419)=1,ROW(MauKoXoa!$C$108),$B418+1))</f>
        <v/>
      </c>
      <c r="C419" s="992" t="str">
        <f t="shared" ca="1" si="40"/>
        <v/>
      </c>
      <c r="D419" s="993" t="str">
        <f t="shared" ca="1" si="41"/>
        <v/>
      </c>
      <c r="E419" s="993" t="str">
        <f t="shared" ca="1" si="42"/>
        <v/>
      </c>
      <c r="F419" s="992" t="str">
        <f t="shared" ca="1" si="58"/>
        <v/>
      </c>
      <c r="G419" s="994">
        <f t="shared" ca="1" si="43"/>
        <v>0</v>
      </c>
      <c r="H419" s="913">
        <f t="shared" ca="1" si="44"/>
        <v>0</v>
      </c>
      <c r="I419" s="913">
        <f t="shared" ca="1" si="45"/>
        <v>0</v>
      </c>
      <c r="J419" s="995">
        <f t="shared" ca="1" si="59"/>
        <v>0</v>
      </c>
      <c r="K419" s="913">
        <f t="shared" ca="1" si="47"/>
        <v>0</v>
      </c>
      <c r="L419" s="995">
        <f t="shared" ca="1" si="60"/>
        <v>0</v>
      </c>
      <c r="M419" s="913">
        <f t="shared" ca="1" si="49"/>
        <v>0</v>
      </c>
      <c r="N419" s="996">
        <f t="shared" ca="1" si="50"/>
        <v>0</v>
      </c>
      <c r="O419" s="997">
        <f t="shared" ca="1" si="51"/>
        <v>0</v>
      </c>
      <c r="P419" s="1015" t="str">
        <f ca="1">IF($C419="","",INDEX(NVLSX!$N$2:$N$6941,MATCH($C419,NVLSX!$E$2:$E$6941,0)))</f>
        <v/>
      </c>
      <c r="Q419" s="1016" t="str">
        <f ca="1">IF($R419="","",IF(XKNVLSX!$X$1="",IF($P419=$V$7,$P419, IF(COUNTIFS($C$2:$C418,$C419,$E$2:$E418,$E419)&gt;=1,"",$P419)),     IF(AND(IFERROR(SEARCH($R419,XKNVLSX!$X$1,1),0)&gt;=1,$P419=$V$7),$P419, IF(OR($R419&lt;&gt;IF(IFERROR(SEARCH($R419,XKNVLSX!$X$1,1),0)&gt;=1,$R419,XKNVLSX!$X$1),COUNTIFS($C$2:$C418,$C419,$E$2:$E418,$E419,$Q$2:$Q418,$P419)&gt;=1),"",$P419))))</f>
        <v/>
      </c>
      <c r="R419" s="1017" t="str">
        <f ca="1">IF($A419="","",IFERROR(INDEX(TinhGia!$BF$10:$BF$81,MATCH($A419,TinhGia!$B$10:$B$81,0)),""))</f>
        <v/>
      </c>
      <c r="S419" s="1012" t="str">
        <f ca="1">IF($A419="","",IF(OR(IFERROR(SEARCH($R419,XKNVLSX!$X$1,1),0)&gt;=1,XKNVLSX!$X$1=""),$S$2,""))</f>
        <v/>
      </c>
      <c r="T419" s="1018" t="str">
        <f ca="1">IF($C419="","", IF(OR($P419=$V$1,$P419=$V$7,COUNTIFS($C$3:$C419,$C419,$E$3:$E419,$E419)&lt;=1),$P419,""    ))</f>
        <v/>
      </c>
      <c r="U419" s="1019" t="str">
        <f ca="1">IF(AND($P419=$V$2,COUNTIFS($C$3:$C419,$C419,$E$3:$E419,$E419,$G$3:$G419,$G419)&lt;=1),$P419,"")</f>
        <v/>
      </c>
    </row>
    <row r="420" spans="1:21">
      <c r="A420" s="991" t="str">
        <f ca="1">IFERROR(IF(COUNTIF($A$3:A419,A419)&lt; INDEX(TinhGia!$BH$10:$BH$81,MATCH($A419,TinhGia!$B$10:$B$81,0)),$A419,INDEX(TinhGia!$B$10:$B$81,MATCH($A419,TinhGia!$B$10:$B$81,0)+1)),"")</f>
        <v/>
      </c>
      <c r="B420" s="525" t="str">
        <f ca="1">IF(OR(A420="",A420=0),"",IF(COUNTIF($A$2:A420,$A420)=1,ROW(MauKoXoa!$C$108),$B419+1))</f>
        <v/>
      </c>
      <c r="C420" s="992" t="str">
        <f t="shared" ca="1" si="40"/>
        <v/>
      </c>
      <c r="D420" s="993" t="str">
        <f t="shared" ca="1" si="41"/>
        <v/>
      </c>
      <c r="E420" s="993" t="str">
        <f t="shared" ca="1" si="42"/>
        <v/>
      </c>
      <c r="F420" s="992" t="str">
        <f t="shared" ca="1" si="58"/>
        <v/>
      </c>
      <c r="G420" s="994">
        <f t="shared" ca="1" si="43"/>
        <v>0</v>
      </c>
      <c r="H420" s="913">
        <f t="shared" ca="1" si="44"/>
        <v>0</v>
      </c>
      <c r="I420" s="913">
        <f t="shared" ca="1" si="45"/>
        <v>0</v>
      </c>
      <c r="J420" s="995">
        <f t="shared" ca="1" si="59"/>
        <v>0</v>
      </c>
      <c r="K420" s="913">
        <f t="shared" ca="1" si="47"/>
        <v>0</v>
      </c>
      <c r="L420" s="995">
        <f t="shared" ca="1" si="60"/>
        <v>0</v>
      </c>
      <c r="M420" s="913">
        <f t="shared" ca="1" si="49"/>
        <v>0</v>
      </c>
      <c r="N420" s="996">
        <f t="shared" ca="1" si="50"/>
        <v>0</v>
      </c>
      <c r="O420" s="997">
        <f t="shared" ca="1" si="51"/>
        <v>0</v>
      </c>
      <c r="P420" s="1015" t="str">
        <f ca="1">IF($C420="","",INDEX(NVLSX!$N$2:$N$6941,MATCH($C420,NVLSX!$E$2:$E$6941,0)))</f>
        <v/>
      </c>
      <c r="Q420" s="1016" t="str">
        <f ca="1">IF($R420="","",IF(XKNVLSX!$X$1="",IF($P420=$V$7,$P420, IF(COUNTIFS($C$2:$C419,$C420,$E$2:$E419,$E420)&gt;=1,"",$P420)),     IF(AND(IFERROR(SEARCH($R420,XKNVLSX!$X$1,1),0)&gt;=1,$P420=$V$7),$P420, IF(OR($R420&lt;&gt;IF(IFERROR(SEARCH($R420,XKNVLSX!$X$1,1),0)&gt;=1,$R420,XKNVLSX!$X$1),COUNTIFS($C$2:$C419,$C420,$E$2:$E419,$E420,$Q$2:$Q419,$P420)&gt;=1),"",$P420))))</f>
        <v/>
      </c>
      <c r="R420" s="1017" t="str">
        <f ca="1">IF($A420="","",IFERROR(INDEX(TinhGia!$BF$10:$BF$81,MATCH($A420,TinhGia!$B$10:$B$81,0)),""))</f>
        <v/>
      </c>
      <c r="S420" s="1012" t="str">
        <f ca="1">IF($A420="","",IF(OR(IFERROR(SEARCH($R420,XKNVLSX!$X$1,1),0)&gt;=1,XKNVLSX!$X$1=""),$S$2,""))</f>
        <v/>
      </c>
      <c r="T420" s="1018" t="str">
        <f ca="1">IF($C420="","", IF(OR($P420=$V$1,$P420=$V$7,COUNTIFS($C$3:$C420,$C420,$E$3:$E420,$E420)&lt;=1),$P420,""    ))</f>
        <v/>
      </c>
      <c r="U420" s="1019" t="str">
        <f ca="1">IF(AND($P420=$V$2,COUNTIFS($C$3:$C420,$C420,$E$3:$E420,$E420,$G$3:$G420,$G420)&lt;=1),$P420,"")</f>
        <v/>
      </c>
    </row>
    <row r="421" spans="1:21">
      <c r="A421" s="991" t="str">
        <f ca="1">IFERROR(IF(COUNTIF($A$3:A420,A420)&lt; INDEX(TinhGia!$BH$10:$BH$81,MATCH($A420,TinhGia!$B$10:$B$81,0)),$A420,INDEX(TinhGia!$B$10:$B$81,MATCH($A420,TinhGia!$B$10:$B$81,0)+1)),"")</f>
        <v/>
      </c>
      <c r="B421" s="525" t="str">
        <f ca="1">IF(OR(A421="",A421=0),"",IF(COUNTIF($A$2:A421,$A421)=1,ROW(MauKoXoa!$C$108),$B420+1))</f>
        <v/>
      </c>
      <c r="C421" s="992" t="str">
        <f t="shared" ca="1" si="40"/>
        <v/>
      </c>
      <c r="D421" s="993" t="str">
        <f t="shared" ca="1" si="41"/>
        <v/>
      </c>
      <c r="E421" s="993" t="str">
        <f t="shared" ca="1" si="42"/>
        <v/>
      </c>
      <c r="F421" s="992" t="str">
        <f t="shared" ca="1" si="58"/>
        <v/>
      </c>
      <c r="G421" s="994">
        <f t="shared" ca="1" si="43"/>
        <v>0</v>
      </c>
      <c r="H421" s="913">
        <f t="shared" ca="1" si="44"/>
        <v>0</v>
      </c>
      <c r="I421" s="913">
        <f t="shared" ca="1" si="45"/>
        <v>0</v>
      </c>
      <c r="J421" s="995">
        <f t="shared" ca="1" si="59"/>
        <v>0</v>
      </c>
      <c r="K421" s="913">
        <f t="shared" ca="1" si="47"/>
        <v>0</v>
      </c>
      <c r="L421" s="995">
        <f t="shared" ca="1" si="60"/>
        <v>0</v>
      </c>
      <c r="M421" s="913">
        <f t="shared" ca="1" si="49"/>
        <v>0</v>
      </c>
      <c r="N421" s="996">
        <f t="shared" ca="1" si="50"/>
        <v>0</v>
      </c>
      <c r="O421" s="997">
        <f t="shared" ca="1" si="51"/>
        <v>0</v>
      </c>
      <c r="P421" s="1015" t="str">
        <f ca="1">IF($C421="","",INDEX(NVLSX!$N$2:$N$6941,MATCH($C421,NVLSX!$E$2:$E$6941,0)))</f>
        <v/>
      </c>
      <c r="Q421" s="1016" t="str">
        <f ca="1">IF($R421="","",IF(XKNVLSX!$X$1="",IF($P421=$V$7,$P421, IF(COUNTIFS($C$2:$C420,$C421,$E$2:$E420,$E421)&gt;=1,"",$P421)),     IF(AND(IFERROR(SEARCH($R421,XKNVLSX!$X$1,1),0)&gt;=1,$P421=$V$7),$P421, IF(OR($R421&lt;&gt;IF(IFERROR(SEARCH($R421,XKNVLSX!$X$1,1),0)&gt;=1,$R421,XKNVLSX!$X$1),COUNTIFS($C$2:$C420,$C421,$E$2:$E420,$E421,$Q$2:$Q420,$P421)&gt;=1),"",$P421))))</f>
        <v/>
      </c>
      <c r="R421" s="1017" t="str">
        <f ca="1">IF($A421="","",IFERROR(INDEX(TinhGia!$BF$10:$BF$81,MATCH($A421,TinhGia!$B$10:$B$81,0)),""))</f>
        <v/>
      </c>
      <c r="S421" s="1012" t="str">
        <f ca="1">IF($A421="","",IF(OR(IFERROR(SEARCH($R421,XKNVLSX!$X$1,1),0)&gt;=1,XKNVLSX!$X$1=""),$S$2,""))</f>
        <v/>
      </c>
      <c r="T421" s="1018" t="str">
        <f ca="1">IF($C421="","", IF(OR($P421=$V$1,$P421=$V$7,COUNTIFS($C$3:$C421,$C421,$E$3:$E421,$E421)&lt;=1),$P421,""    ))</f>
        <v/>
      </c>
      <c r="U421" s="1019" t="str">
        <f ca="1">IF(AND($P421=$V$2,COUNTIFS($C$3:$C421,$C421,$E$3:$E421,$E421,$G$3:$G421,$G421)&lt;=1),$P421,"")</f>
        <v/>
      </c>
    </row>
    <row r="422" spans="1:21">
      <c r="A422" s="991" t="str">
        <f ca="1">IFERROR(IF(COUNTIF($A$3:A421,A421)&lt; INDEX(TinhGia!$BH$10:$BH$81,MATCH($A421,TinhGia!$B$10:$B$81,0)),$A421,INDEX(TinhGia!$B$10:$B$81,MATCH($A421,TinhGia!$B$10:$B$81,0)+1)),"")</f>
        <v/>
      </c>
      <c r="B422" s="525" t="str">
        <f ca="1">IF(OR(A422="",A422=0),"",IF(COUNTIF($A$2:A422,$A422)=1,ROW(MauKoXoa!$C$108),$B421+1))</f>
        <v/>
      </c>
      <c r="C422" s="992" t="str">
        <f t="shared" ca="1" si="40"/>
        <v/>
      </c>
      <c r="D422" s="993" t="str">
        <f t="shared" ca="1" si="41"/>
        <v/>
      </c>
      <c r="E422" s="993" t="str">
        <f t="shared" ca="1" si="42"/>
        <v/>
      </c>
      <c r="F422" s="992" t="str">
        <f t="shared" ca="1" si="58"/>
        <v/>
      </c>
      <c r="G422" s="994">
        <f t="shared" ca="1" si="43"/>
        <v>0</v>
      </c>
      <c r="H422" s="913">
        <f t="shared" ca="1" si="44"/>
        <v>0</v>
      </c>
      <c r="I422" s="913">
        <f t="shared" ca="1" si="45"/>
        <v>0</v>
      </c>
      <c r="J422" s="995">
        <f t="shared" ca="1" si="59"/>
        <v>0</v>
      </c>
      <c r="K422" s="913">
        <f t="shared" ca="1" si="47"/>
        <v>0</v>
      </c>
      <c r="L422" s="995">
        <f t="shared" ca="1" si="60"/>
        <v>0</v>
      </c>
      <c r="M422" s="913">
        <f t="shared" ca="1" si="49"/>
        <v>0</v>
      </c>
      <c r="N422" s="996">
        <f t="shared" ca="1" si="50"/>
        <v>0</v>
      </c>
      <c r="O422" s="997">
        <f t="shared" ca="1" si="51"/>
        <v>0</v>
      </c>
      <c r="P422" s="1015" t="str">
        <f ca="1">IF($C422="","",INDEX(NVLSX!$N$2:$N$6941,MATCH($C422,NVLSX!$E$2:$E$6941,0)))</f>
        <v/>
      </c>
      <c r="Q422" s="1016" t="str">
        <f ca="1">IF($R422="","",IF(XKNVLSX!$X$1="",IF($P422=$V$7,$P422, IF(COUNTIFS($C$2:$C421,$C422,$E$2:$E421,$E422)&gt;=1,"",$P422)),     IF(AND(IFERROR(SEARCH($R422,XKNVLSX!$X$1,1),0)&gt;=1,$P422=$V$7),$P422, IF(OR($R422&lt;&gt;IF(IFERROR(SEARCH($R422,XKNVLSX!$X$1,1),0)&gt;=1,$R422,XKNVLSX!$X$1),COUNTIFS($C$2:$C421,$C422,$E$2:$E421,$E422,$Q$2:$Q421,$P422)&gt;=1),"",$P422))))</f>
        <v/>
      </c>
      <c r="R422" s="1017" t="str">
        <f ca="1">IF($A422="","",IFERROR(INDEX(TinhGia!$BF$10:$BF$81,MATCH($A422,TinhGia!$B$10:$B$81,0)),""))</f>
        <v/>
      </c>
      <c r="S422" s="1012" t="str">
        <f ca="1">IF($A422="","",IF(OR(IFERROR(SEARCH($R422,XKNVLSX!$X$1,1),0)&gt;=1,XKNVLSX!$X$1=""),$S$2,""))</f>
        <v/>
      </c>
      <c r="T422" s="1018" t="str">
        <f ca="1">IF($C422="","", IF(OR($P422=$V$1,$P422=$V$7,COUNTIFS($C$3:$C422,$C422,$E$3:$E422,$E422)&lt;=1),$P422,""    ))</f>
        <v/>
      </c>
      <c r="U422" s="1019" t="str">
        <f ca="1">IF(AND($P422=$V$2,COUNTIFS($C$3:$C422,$C422,$E$3:$E422,$E422,$G$3:$G422,$G422)&lt;=1),$P422,"")</f>
        <v/>
      </c>
    </row>
    <row r="423" spans="1:21">
      <c r="A423" s="991" t="str">
        <f ca="1">IFERROR(IF(COUNTIF($A$3:A422,A422)&lt; INDEX(TinhGia!$BH$10:$BH$81,MATCH($A422,TinhGia!$B$10:$B$81,0)),$A422,INDEX(TinhGia!$B$10:$B$81,MATCH($A422,TinhGia!$B$10:$B$81,0)+1)),"")</f>
        <v/>
      </c>
      <c r="B423" s="525" t="str">
        <f ca="1">IF(OR(A423="",A423=0),"",IF(COUNTIF($A$2:A423,$A423)=1,ROW(MauKoXoa!$C$108),$B422+1))</f>
        <v/>
      </c>
      <c r="C423" s="992" t="str">
        <f t="shared" ca="1" si="40"/>
        <v/>
      </c>
      <c r="D423" s="993" t="str">
        <f t="shared" ca="1" si="41"/>
        <v/>
      </c>
      <c r="E423" s="993" t="str">
        <f t="shared" ca="1" si="42"/>
        <v/>
      </c>
      <c r="F423" s="992" t="str">
        <f t="shared" ca="1" si="58"/>
        <v/>
      </c>
      <c r="G423" s="994">
        <f t="shared" ca="1" si="43"/>
        <v>0</v>
      </c>
      <c r="H423" s="913">
        <f t="shared" ca="1" si="44"/>
        <v>0</v>
      </c>
      <c r="I423" s="913">
        <f t="shared" ca="1" si="45"/>
        <v>0</v>
      </c>
      <c r="J423" s="995">
        <f t="shared" ca="1" si="59"/>
        <v>0</v>
      </c>
      <c r="K423" s="913">
        <f t="shared" ca="1" si="47"/>
        <v>0</v>
      </c>
      <c r="L423" s="995">
        <f t="shared" ca="1" si="60"/>
        <v>0</v>
      </c>
      <c r="M423" s="913">
        <f t="shared" ca="1" si="49"/>
        <v>0</v>
      </c>
      <c r="N423" s="996">
        <f t="shared" ca="1" si="50"/>
        <v>0</v>
      </c>
      <c r="O423" s="997">
        <f t="shared" ca="1" si="51"/>
        <v>0</v>
      </c>
      <c r="P423" s="1015" t="str">
        <f ca="1">IF($C423="","",INDEX(NVLSX!$N$2:$N$6941,MATCH($C423,NVLSX!$E$2:$E$6941,0)))</f>
        <v/>
      </c>
      <c r="Q423" s="1016" t="str">
        <f ca="1">IF($R423="","",IF(XKNVLSX!$X$1="",IF($P423=$V$7,$P423, IF(COUNTIFS($C$2:$C422,$C423,$E$2:$E422,$E423)&gt;=1,"",$P423)),     IF(AND(IFERROR(SEARCH($R423,XKNVLSX!$X$1,1),0)&gt;=1,$P423=$V$7),$P423, IF(OR($R423&lt;&gt;IF(IFERROR(SEARCH($R423,XKNVLSX!$X$1,1),0)&gt;=1,$R423,XKNVLSX!$X$1),COUNTIFS($C$2:$C422,$C423,$E$2:$E422,$E423,$Q$2:$Q422,$P423)&gt;=1),"",$P423))))</f>
        <v/>
      </c>
      <c r="R423" s="1017" t="str">
        <f ca="1">IF($A423="","",IFERROR(INDEX(TinhGia!$BF$10:$BF$81,MATCH($A423,TinhGia!$B$10:$B$81,0)),""))</f>
        <v/>
      </c>
      <c r="S423" s="1012" t="str">
        <f ca="1">IF($A423="","",IF(OR(IFERROR(SEARCH($R423,XKNVLSX!$X$1,1),0)&gt;=1,XKNVLSX!$X$1=""),$S$2,""))</f>
        <v/>
      </c>
      <c r="T423" s="1018" t="str">
        <f ca="1">IF($C423="","", IF(OR($P423=$V$1,$P423=$V$7,COUNTIFS($C$3:$C423,$C423,$E$3:$E423,$E423)&lt;=1),$P423,""    ))</f>
        <v/>
      </c>
      <c r="U423" s="1019" t="str">
        <f ca="1">IF(AND($P423=$V$2,COUNTIFS($C$3:$C423,$C423,$E$3:$E423,$E423,$G$3:$G423,$G423)&lt;=1),$P423,"")</f>
        <v/>
      </c>
    </row>
    <row r="424" spans="1:21">
      <c r="A424" s="991" t="str">
        <f ca="1">IFERROR(IF(COUNTIF($A$3:A423,A423)&lt; INDEX(TinhGia!$BH$10:$BH$81,MATCH($A423,TinhGia!$B$10:$B$81,0)),$A423,INDEX(TinhGia!$B$10:$B$81,MATCH($A423,TinhGia!$B$10:$B$81,0)+1)),"")</f>
        <v/>
      </c>
      <c r="B424" s="525" t="str">
        <f ca="1">IF(OR(A424="",A424=0),"",IF(COUNTIF($A$2:A424,$A424)=1,ROW(MauKoXoa!$C$108),$B423+1))</f>
        <v/>
      </c>
      <c r="C424" s="992" t="str">
        <f t="shared" ca="1" si="40"/>
        <v/>
      </c>
      <c r="D424" s="993" t="str">
        <f t="shared" ca="1" si="41"/>
        <v/>
      </c>
      <c r="E424" s="993" t="str">
        <f t="shared" ca="1" si="42"/>
        <v/>
      </c>
      <c r="F424" s="992" t="str">
        <f t="shared" ca="1" si="58"/>
        <v/>
      </c>
      <c r="G424" s="994">
        <f t="shared" ca="1" si="43"/>
        <v>0</v>
      </c>
      <c r="H424" s="913">
        <f t="shared" ca="1" si="44"/>
        <v>0</v>
      </c>
      <c r="I424" s="913">
        <f t="shared" ca="1" si="45"/>
        <v>0</v>
      </c>
      <c r="J424" s="995">
        <f t="shared" ca="1" si="59"/>
        <v>0</v>
      </c>
      <c r="K424" s="913">
        <f t="shared" ca="1" si="47"/>
        <v>0</v>
      </c>
      <c r="L424" s="995">
        <f t="shared" ca="1" si="60"/>
        <v>0</v>
      </c>
      <c r="M424" s="913">
        <f t="shared" ca="1" si="49"/>
        <v>0</v>
      </c>
      <c r="N424" s="996">
        <f t="shared" ca="1" si="50"/>
        <v>0</v>
      </c>
      <c r="O424" s="997">
        <f t="shared" ca="1" si="51"/>
        <v>0</v>
      </c>
      <c r="P424" s="1015" t="str">
        <f ca="1">IF($C424="","",INDEX(NVLSX!$N$2:$N$6941,MATCH($C424,NVLSX!$E$2:$E$6941,0)))</f>
        <v/>
      </c>
      <c r="Q424" s="1016" t="str">
        <f ca="1">IF($R424="","",IF(XKNVLSX!$X$1="",IF($P424=$V$7,$P424, IF(COUNTIFS($C$2:$C423,$C424,$E$2:$E423,$E424)&gt;=1,"",$P424)),     IF(AND(IFERROR(SEARCH($R424,XKNVLSX!$X$1,1),0)&gt;=1,$P424=$V$7),$P424, IF(OR($R424&lt;&gt;IF(IFERROR(SEARCH($R424,XKNVLSX!$X$1,1),0)&gt;=1,$R424,XKNVLSX!$X$1),COUNTIFS($C$2:$C423,$C424,$E$2:$E423,$E424,$Q$2:$Q423,$P424)&gt;=1),"",$P424))))</f>
        <v/>
      </c>
      <c r="R424" s="1017" t="str">
        <f ca="1">IF($A424="","",IFERROR(INDEX(TinhGia!$BF$10:$BF$81,MATCH($A424,TinhGia!$B$10:$B$81,0)),""))</f>
        <v/>
      </c>
      <c r="S424" s="1012" t="str">
        <f ca="1">IF($A424="","",IF(OR(IFERROR(SEARCH($R424,XKNVLSX!$X$1,1),0)&gt;=1,XKNVLSX!$X$1=""),$S$2,""))</f>
        <v/>
      </c>
      <c r="T424" s="1018" t="str">
        <f ca="1">IF($C424="","", IF(OR($P424=$V$1,$P424=$V$7,COUNTIFS($C$3:$C424,$C424,$E$3:$E424,$E424)&lt;=1),$P424,""    ))</f>
        <v/>
      </c>
      <c r="U424" s="1019" t="str">
        <f ca="1">IF(AND($P424=$V$2,COUNTIFS($C$3:$C424,$C424,$E$3:$E424,$E424,$G$3:$G424,$G424)&lt;=1),$P424,"")</f>
        <v/>
      </c>
    </row>
    <row r="425" spans="1:21">
      <c r="A425" s="991" t="str">
        <f ca="1">IFERROR(IF(COUNTIF($A$3:A424,A424)&lt; INDEX(TinhGia!$BH$10:$BH$81,MATCH($A424,TinhGia!$B$10:$B$81,0)),$A424,INDEX(TinhGia!$B$10:$B$81,MATCH($A424,TinhGia!$B$10:$B$81,0)+1)),"")</f>
        <v/>
      </c>
      <c r="B425" s="525" t="str">
        <f ca="1">IF(OR(A425="",A425=0),"",IF(COUNTIF($A$2:A425,$A425)=1,ROW(MauKoXoa!$C$108),$B424+1))</f>
        <v/>
      </c>
      <c r="C425" s="992" t="str">
        <f t="shared" ca="1" si="40"/>
        <v/>
      </c>
      <c r="D425" s="993" t="str">
        <f t="shared" ca="1" si="41"/>
        <v/>
      </c>
      <c r="E425" s="993" t="str">
        <f t="shared" ca="1" si="42"/>
        <v/>
      </c>
      <c r="F425" s="992" t="str">
        <f t="shared" ca="1" si="58"/>
        <v/>
      </c>
      <c r="G425" s="994">
        <f t="shared" ca="1" si="43"/>
        <v>0</v>
      </c>
      <c r="H425" s="913">
        <f t="shared" ca="1" si="44"/>
        <v>0</v>
      </c>
      <c r="I425" s="913">
        <f t="shared" ca="1" si="45"/>
        <v>0</v>
      </c>
      <c r="J425" s="995">
        <f t="shared" ca="1" si="59"/>
        <v>0</v>
      </c>
      <c r="K425" s="913">
        <f t="shared" ca="1" si="47"/>
        <v>0</v>
      </c>
      <c r="L425" s="995">
        <f t="shared" ca="1" si="60"/>
        <v>0</v>
      </c>
      <c r="M425" s="913">
        <f t="shared" ca="1" si="49"/>
        <v>0</v>
      </c>
      <c r="N425" s="996">
        <f t="shared" ca="1" si="50"/>
        <v>0</v>
      </c>
      <c r="O425" s="997">
        <f t="shared" ca="1" si="51"/>
        <v>0</v>
      </c>
      <c r="P425" s="1015" t="str">
        <f ca="1">IF($C425="","",INDEX(NVLSX!$N$2:$N$6941,MATCH($C425,NVLSX!$E$2:$E$6941,0)))</f>
        <v/>
      </c>
      <c r="Q425" s="1016" t="str">
        <f ca="1">IF($R425="","",IF(XKNVLSX!$X$1="",IF($P425=$V$7,$P425, IF(COUNTIFS($C$2:$C424,$C425,$E$2:$E424,$E425)&gt;=1,"",$P425)),     IF(AND(IFERROR(SEARCH($R425,XKNVLSX!$X$1,1),0)&gt;=1,$P425=$V$7),$P425, IF(OR($R425&lt;&gt;IF(IFERROR(SEARCH($R425,XKNVLSX!$X$1,1),0)&gt;=1,$R425,XKNVLSX!$X$1),COUNTIFS($C$2:$C424,$C425,$E$2:$E424,$E425,$Q$2:$Q424,$P425)&gt;=1),"",$P425))))</f>
        <v/>
      </c>
      <c r="R425" s="1017" t="str">
        <f ca="1">IF($A425="","",IFERROR(INDEX(TinhGia!$BF$10:$BF$81,MATCH($A425,TinhGia!$B$10:$B$81,0)),""))</f>
        <v/>
      </c>
      <c r="S425" s="1012" t="str">
        <f ca="1">IF($A425="","",IF(OR(IFERROR(SEARCH($R425,XKNVLSX!$X$1,1),0)&gt;=1,XKNVLSX!$X$1=""),$S$2,""))</f>
        <v/>
      </c>
      <c r="T425" s="1018" t="str">
        <f ca="1">IF($C425="","", IF(OR($P425=$V$1,$P425=$V$7,COUNTIFS($C$3:$C425,$C425,$E$3:$E425,$E425)&lt;=1),$P425,""    ))</f>
        <v/>
      </c>
      <c r="U425" s="1019" t="str">
        <f ca="1">IF(AND($P425=$V$2,COUNTIFS($C$3:$C425,$C425,$E$3:$E425,$E425,$G$3:$G425,$G425)&lt;=1),$P425,"")</f>
        <v/>
      </c>
    </row>
    <row r="426" spans="1:21">
      <c r="A426" s="991" t="str">
        <f ca="1">IFERROR(IF(COUNTIF($A$3:A425,A425)&lt; INDEX(TinhGia!$BH$10:$BH$81,MATCH($A425,TinhGia!$B$10:$B$81,0)),$A425,INDEX(TinhGia!$B$10:$B$81,MATCH($A425,TinhGia!$B$10:$B$81,0)+1)),"")</f>
        <v/>
      </c>
      <c r="B426" s="525" t="str">
        <f ca="1">IF(OR(A426="",A426=0),"",IF(COUNTIF($A$2:A426,$A426)=1,ROW(MauKoXoa!$C$108),$B425+1))</f>
        <v/>
      </c>
      <c r="C426" s="992" t="str">
        <f t="shared" ca="1" si="40"/>
        <v/>
      </c>
      <c r="D426" s="993" t="str">
        <f t="shared" ca="1" si="41"/>
        <v/>
      </c>
      <c r="E426" s="993" t="str">
        <f t="shared" ca="1" si="42"/>
        <v/>
      </c>
      <c r="F426" s="992" t="str">
        <f t="shared" ca="1" si="58"/>
        <v/>
      </c>
      <c r="G426" s="994">
        <f t="shared" ca="1" si="43"/>
        <v>0</v>
      </c>
      <c r="H426" s="913">
        <f t="shared" ca="1" si="44"/>
        <v>0</v>
      </c>
      <c r="I426" s="913">
        <f t="shared" ca="1" si="45"/>
        <v>0</v>
      </c>
      <c r="J426" s="995">
        <f t="shared" ca="1" si="59"/>
        <v>0</v>
      </c>
      <c r="K426" s="913">
        <f t="shared" ca="1" si="47"/>
        <v>0</v>
      </c>
      <c r="L426" s="995">
        <f t="shared" ca="1" si="60"/>
        <v>0</v>
      </c>
      <c r="M426" s="913">
        <f t="shared" ca="1" si="49"/>
        <v>0</v>
      </c>
      <c r="N426" s="996">
        <f t="shared" ca="1" si="50"/>
        <v>0</v>
      </c>
      <c r="O426" s="997">
        <f t="shared" ca="1" si="51"/>
        <v>0</v>
      </c>
      <c r="P426" s="1015" t="str">
        <f ca="1">IF($C426="","",INDEX(NVLSX!$N$2:$N$6941,MATCH($C426,NVLSX!$E$2:$E$6941,0)))</f>
        <v/>
      </c>
      <c r="Q426" s="1016" t="str">
        <f ca="1">IF($R426="","",IF(XKNVLSX!$X$1="",IF($P426=$V$7,$P426, IF(COUNTIFS($C$2:$C425,$C426,$E$2:$E425,$E426)&gt;=1,"",$P426)),     IF(AND(IFERROR(SEARCH($R426,XKNVLSX!$X$1,1),0)&gt;=1,$P426=$V$7),$P426, IF(OR($R426&lt;&gt;IF(IFERROR(SEARCH($R426,XKNVLSX!$X$1,1),0)&gt;=1,$R426,XKNVLSX!$X$1),COUNTIFS($C$2:$C425,$C426,$E$2:$E425,$E426,$Q$2:$Q425,$P426)&gt;=1),"",$P426))))</f>
        <v/>
      </c>
      <c r="R426" s="1017" t="str">
        <f ca="1">IF($A426="","",IFERROR(INDEX(TinhGia!$BF$10:$BF$81,MATCH($A426,TinhGia!$B$10:$B$81,0)),""))</f>
        <v/>
      </c>
      <c r="S426" s="1012" t="str">
        <f ca="1">IF($A426="","",IF(OR(IFERROR(SEARCH($R426,XKNVLSX!$X$1,1),0)&gt;=1,XKNVLSX!$X$1=""),$S$2,""))</f>
        <v/>
      </c>
      <c r="T426" s="1018" t="str">
        <f ca="1">IF($C426="","", IF(OR($P426=$V$1,$P426=$V$7,COUNTIFS($C$3:$C426,$C426,$E$3:$E426,$E426)&lt;=1),$P426,""    ))</f>
        <v/>
      </c>
      <c r="U426" s="1019" t="str">
        <f ca="1">IF(AND($P426=$V$2,COUNTIFS($C$3:$C426,$C426,$E$3:$E426,$E426,$G$3:$G426,$G426)&lt;=1),$P426,"")</f>
        <v/>
      </c>
    </row>
    <row r="427" spans="1:21">
      <c r="A427" s="991" t="str">
        <f ca="1">IFERROR(IF(COUNTIF($A$3:A426,A426)&lt; INDEX(TinhGia!$BH$10:$BH$81,MATCH($A426,TinhGia!$B$10:$B$81,0)),$A426,INDEX(TinhGia!$B$10:$B$81,MATCH($A426,TinhGia!$B$10:$B$81,0)+1)),"")</f>
        <v/>
      </c>
      <c r="B427" s="525" t="str">
        <f ca="1">IF(OR(A427="",A427=0),"",IF(COUNTIF($A$2:A427,$A427)=1,ROW(MauKoXoa!$C$108),$B426+1))</f>
        <v/>
      </c>
      <c r="C427" s="992" t="str">
        <f t="shared" ca="1" si="40"/>
        <v/>
      </c>
      <c r="D427" s="993" t="str">
        <f t="shared" ca="1" si="41"/>
        <v/>
      </c>
      <c r="E427" s="993" t="str">
        <f t="shared" ca="1" si="42"/>
        <v/>
      </c>
      <c r="F427" s="992" t="str">
        <f t="shared" ca="1" si="58"/>
        <v/>
      </c>
      <c r="G427" s="994">
        <f t="shared" ca="1" si="43"/>
        <v>0</v>
      </c>
      <c r="H427" s="913">
        <f t="shared" ca="1" si="44"/>
        <v>0</v>
      </c>
      <c r="I427" s="913">
        <f t="shared" ca="1" si="45"/>
        <v>0</v>
      </c>
      <c r="J427" s="995">
        <f t="shared" ca="1" si="59"/>
        <v>0</v>
      </c>
      <c r="K427" s="913">
        <f t="shared" ca="1" si="47"/>
        <v>0</v>
      </c>
      <c r="L427" s="995">
        <f t="shared" ca="1" si="60"/>
        <v>0</v>
      </c>
      <c r="M427" s="913">
        <f t="shared" ca="1" si="49"/>
        <v>0</v>
      </c>
      <c r="N427" s="996">
        <f t="shared" ca="1" si="50"/>
        <v>0</v>
      </c>
      <c r="O427" s="997">
        <f t="shared" ca="1" si="51"/>
        <v>0</v>
      </c>
      <c r="P427" s="1015" t="str">
        <f ca="1">IF($C427="","",INDEX(NVLSX!$N$2:$N$6941,MATCH($C427,NVLSX!$E$2:$E$6941,0)))</f>
        <v/>
      </c>
      <c r="Q427" s="1016" t="str">
        <f ca="1">IF($R427="","",IF(XKNVLSX!$X$1="",IF($P427=$V$7,$P427, IF(COUNTIFS($C$2:$C426,$C427,$E$2:$E426,$E427)&gt;=1,"",$P427)),     IF(AND(IFERROR(SEARCH($R427,XKNVLSX!$X$1,1),0)&gt;=1,$P427=$V$7),$P427, IF(OR($R427&lt;&gt;IF(IFERROR(SEARCH($R427,XKNVLSX!$X$1,1),0)&gt;=1,$R427,XKNVLSX!$X$1),COUNTIFS($C$2:$C426,$C427,$E$2:$E426,$E427,$Q$2:$Q426,$P427)&gt;=1),"",$P427))))</f>
        <v/>
      </c>
      <c r="R427" s="1017" t="str">
        <f ca="1">IF($A427="","",IFERROR(INDEX(TinhGia!$BF$10:$BF$81,MATCH($A427,TinhGia!$B$10:$B$81,0)),""))</f>
        <v/>
      </c>
      <c r="S427" s="1012" t="str">
        <f ca="1">IF($A427="","",IF(OR(IFERROR(SEARCH($R427,XKNVLSX!$X$1,1),0)&gt;=1,XKNVLSX!$X$1=""),$S$2,""))</f>
        <v/>
      </c>
      <c r="T427" s="1018" t="str">
        <f ca="1">IF($C427="","", IF(OR($P427=$V$1,$P427=$V$7,COUNTIFS($C$3:$C427,$C427,$E$3:$E427,$E427)&lt;=1),$P427,""    ))</f>
        <v/>
      </c>
      <c r="U427" s="1019" t="str">
        <f ca="1">IF(AND($P427=$V$2,COUNTIFS($C$3:$C427,$C427,$E$3:$E427,$E427,$G$3:$G427,$G427)&lt;=1),$P427,"")</f>
        <v/>
      </c>
    </row>
    <row r="428" spans="1:21">
      <c r="A428" s="991" t="str">
        <f ca="1">IFERROR(IF(COUNTIF($A$3:A427,A427)&lt; INDEX(TinhGia!$BH$10:$BH$81,MATCH($A427,TinhGia!$B$10:$B$81,0)),$A427,INDEX(TinhGia!$B$10:$B$81,MATCH($A427,TinhGia!$B$10:$B$81,0)+1)),"")</f>
        <v/>
      </c>
      <c r="B428" s="525" t="str">
        <f ca="1">IF(OR(A428="",A428=0),"",IF(COUNTIF($A$2:A428,$A428)=1,ROW(MauKoXoa!$C$108),$B427+1))</f>
        <v/>
      </c>
      <c r="C428" s="992" t="str">
        <f t="shared" ca="1" si="40"/>
        <v/>
      </c>
      <c r="D428" s="993" t="str">
        <f t="shared" ca="1" si="41"/>
        <v/>
      </c>
      <c r="E428" s="993" t="str">
        <f t="shared" ca="1" si="42"/>
        <v/>
      </c>
      <c r="F428" s="992" t="str">
        <f t="shared" ca="1" si="58"/>
        <v/>
      </c>
      <c r="G428" s="994">
        <f t="shared" ca="1" si="43"/>
        <v>0</v>
      </c>
      <c r="H428" s="913">
        <f t="shared" ca="1" si="44"/>
        <v>0</v>
      </c>
      <c r="I428" s="913">
        <f t="shared" ca="1" si="45"/>
        <v>0</v>
      </c>
      <c r="J428" s="995">
        <f t="shared" ca="1" si="59"/>
        <v>0</v>
      </c>
      <c r="K428" s="913">
        <f t="shared" ca="1" si="47"/>
        <v>0</v>
      </c>
      <c r="L428" s="995">
        <f t="shared" ca="1" si="60"/>
        <v>0</v>
      </c>
      <c r="M428" s="913">
        <f t="shared" ca="1" si="49"/>
        <v>0</v>
      </c>
      <c r="N428" s="996">
        <f t="shared" ca="1" si="50"/>
        <v>0</v>
      </c>
      <c r="O428" s="997">
        <f t="shared" ca="1" si="51"/>
        <v>0</v>
      </c>
      <c r="P428" s="1015" t="str">
        <f ca="1">IF($C428="","",INDEX(NVLSX!$N$2:$N$6941,MATCH($C428,NVLSX!$E$2:$E$6941,0)))</f>
        <v/>
      </c>
      <c r="Q428" s="1016" t="str">
        <f ca="1">IF($R428="","",IF(XKNVLSX!$X$1="",IF($P428=$V$7,$P428, IF(COUNTIFS($C$2:$C427,$C428,$E$2:$E427,$E428)&gt;=1,"",$P428)),     IF(AND(IFERROR(SEARCH($R428,XKNVLSX!$X$1,1),0)&gt;=1,$P428=$V$7),$P428, IF(OR($R428&lt;&gt;IF(IFERROR(SEARCH($R428,XKNVLSX!$X$1,1),0)&gt;=1,$R428,XKNVLSX!$X$1),COUNTIFS($C$2:$C427,$C428,$E$2:$E427,$E428,$Q$2:$Q427,$P428)&gt;=1),"",$P428))))</f>
        <v/>
      </c>
      <c r="R428" s="1017" t="str">
        <f ca="1">IF($A428="","",IFERROR(INDEX(TinhGia!$BF$10:$BF$81,MATCH($A428,TinhGia!$B$10:$B$81,0)),""))</f>
        <v/>
      </c>
      <c r="S428" s="1012" t="str">
        <f ca="1">IF($A428="","",IF(OR(IFERROR(SEARCH($R428,XKNVLSX!$X$1,1),0)&gt;=1,XKNVLSX!$X$1=""),$S$2,""))</f>
        <v/>
      </c>
      <c r="T428" s="1018" t="str">
        <f ca="1">IF($C428="","", IF(OR($P428=$V$1,$P428=$V$7,COUNTIFS($C$3:$C428,$C428,$E$3:$E428,$E428)&lt;=1),$P428,""    ))</f>
        <v/>
      </c>
      <c r="U428" s="1019" t="str">
        <f ca="1">IF(AND($P428=$V$2,COUNTIFS($C$3:$C428,$C428,$E$3:$E428,$E428,$G$3:$G428,$G428)&lt;=1),$P428,"")</f>
        <v/>
      </c>
    </row>
    <row r="429" spans="1:21">
      <c r="A429" s="991" t="str">
        <f ca="1">IFERROR(IF(COUNTIF($A$3:A428,A428)&lt; INDEX(TinhGia!$BH$10:$BH$81,MATCH($A428,TinhGia!$B$10:$B$81,0)),$A428,INDEX(TinhGia!$B$10:$B$81,MATCH($A428,TinhGia!$B$10:$B$81,0)+1)),"")</f>
        <v/>
      </c>
      <c r="B429" s="525" t="str">
        <f ca="1">IF(OR(A429="",A429=0),"",IF(COUNTIF($A$2:A429,$A429)=1,ROW(MauKoXoa!$C$108),$B428+1))</f>
        <v/>
      </c>
      <c r="C429" s="992" t="str">
        <f t="shared" ca="1" si="40"/>
        <v/>
      </c>
      <c r="D429" s="993" t="str">
        <f t="shared" ca="1" si="41"/>
        <v/>
      </c>
      <c r="E429" s="993" t="str">
        <f t="shared" ca="1" si="42"/>
        <v/>
      </c>
      <c r="F429" s="992" t="str">
        <f t="shared" ca="1" si="58"/>
        <v/>
      </c>
      <c r="G429" s="994">
        <f t="shared" ca="1" si="43"/>
        <v>0</v>
      </c>
      <c r="H429" s="913">
        <f t="shared" ca="1" si="44"/>
        <v>0</v>
      </c>
      <c r="I429" s="913">
        <f t="shared" ca="1" si="45"/>
        <v>0</v>
      </c>
      <c r="J429" s="995">
        <f t="shared" ca="1" si="59"/>
        <v>0</v>
      </c>
      <c r="K429" s="913">
        <f t="shared" ca="1" si="47"/>
        <v>0</v>
      </c>
      <c r="L429" s="995">
        <f t="shared" ca="1" si="60"/>
        <v>0</v>
      </c>
      <c r="M429" s="913">
        <f t="shared" ca="1" si="49"/>
        <v>0</v>
      </c>
      <c r="N429" s="996">
        <f t="shared" ca="1" si="50"/>
        <v>0</v>
      </c>
      <c r="O429" s="997">
        <f t="shared" ca="1" si="51"/>
        <v>0</v>
      </c>
      <c r="P429" s="1015" t="str">
        <f ca="1">IF($C429="","",INDEX(NVLSX!$N$2:$N$6941,MATCH($C429,NVLSX!$E$2:$E$6941,0)))</f>
        <v/>
      </c>
      <c r="Q429" s="1016" t="str">
        <f ca="1">IF($R429="","",IF(XKNVLSX!$X$1="",IF($P429=$V$7,$P429, IF(COUNTIFS($C$2:$C428,$C429,$E$2:$E428,$E429)&gt;=1,"",$P429)),     IF(AND(IFERROR(SEARCH($R429,XKNVLSX!$X$1,1),0)&gt;=1,$P429=$V$7),$P429, IF(OR($R429&lt;&gt;IF(IFERROR(SEARCH($R429,XKNVLSX!$X$1,1),0)&gt;=1,$R429,XKNVLSX!$X$1),COUNTIFS($C$2:$C428,$C429,$E$2:$E428,$E429,$Q$2:$Q428,$P429)&gt;=1),"",$P429))))</f>
        <v/>
      </c>
      <c r="R429" s="1017" t="str">
        <f ca="1">IF($A429="","",IFERROR(INDEX(TinhGia!$BF$10:$BF$81,MATCH($A429,TinhGia!$B$10:$B$81,0)),""))</f>
        <v/>
      </c>
      <c r="S429" s="1012" t="str">
        <f ca="1">IF($A429="","",IF(OR(IFERROR(SEARCH($R429,XKNVLSX!$X$1,1),0)&gt;=1,XKNVLSX!$X$1=""),$S$2,""))</f>
        <v/>
      </c>
      <c r="T429" s="1018" t="str">
        <f ca="1">IF($C429="","", IF(OR($P429=$V$1,$P429=$V$7,COUNTIFS($C$3:$C429,$C429,$E$3:$E429,$E429)&lt;=1),$P429,""    ))</f>
        <v/>
      </c>
      <c r="U429" s="1019" t="str">
        <f ca="1">IF(AND($P429=$V$2,COUNTIFS($C$3:$C429,$C429,$E$3:$E429,$E429,$G$3:$G429,$G429)&lt;=1),$P429,"")</f>
        <v/>
      </c>
    </row>
    <row r="430" spans="1:21">
      <c r="A430" s="991" t="str">
        <f ca="1">IFERROR(IF(COUNTIF($A$3:A429,A429)&lt; INDEX(TinhGia!$BH$10:$BH$81,MATCH($A429,TinhGia!$B$10:$B$81,0)),$A429,INDEX(TinhGia!$B$10:$B$81,MATCH($A429,TinhGia!$B$10:$B$81,0)+1)),"")</f>
        <v/>
      </c>
      <c r="B430" s="525" t="str">
        <f ca="1">IF(OR(A430="",A430=0),"",IF(COUNTIF($A$2:A430,$A430)=1,ROW(MauKoXoa!$C$108),$B429+1))</f>
        <v/>
      </c>
      <c r="C430" s="992" t="str">
        <f t="shared" ca="1" si="40"/>
        <v/>
      </c>
      <c r="D430" s="993" t="str">
        <f t="shared" ca="1" si="41"/>
        <v/>
      </c>
      <c r="E430" s="993" t="str">
        <f t="shared" ca="1" si="42"/>
        <v/>
      </c>
      <c r="F430" s="992" t="str">
        <f t="shared" ca="1" si="58"/>
        <v/>
      </c>
      <c r="G430" s="994">
        <f t="shared" ca="1" si="43"/>
        <v>0</v>
      </c>
      <c r="H430" s="913">
        <f t="shared" ca="1" si="44"/>
        <v>0</v>
      </c>
      <c r="I430" s="913">
        <f t="shared" ca="1" si="45"/>
        <v>0</v>
      </c>
      <c r="J430" s="995">
        <f t="shared" ca="1" si="59"/>
        <v>0</v>
      </c>
      <c r="K430" s="913">
        <f t="shared" ca="1" si="47"/>
        <v>0</v>
      </c>
      <c r="L430" s="995">
        <f t="shared" ca="1" si="60"/>
        <v>0</v>
      </c>
      <c r="M430" s="913">
        <f t="shared" ca="1" si="49"/>
        <v>0</v>
      </c>
      <c r="N430" s="996">
        <f t="shared" ca="1" si="50"/>
        <v>0</v>
      </c>
      <c r="O430" s="997">
        <f t="shared" ca="1" si="51"/>
        <v>0</v>
      </c>
      <c r="P430" s="1015" t="str">
        <f ca="1">IF($C430="","",INDEX(NVLSX!$N$2:$N$6941,MATCH($C430,NVLSX!$E$2:$E$6941,0)))</f>
        <v/>
      </c>
      <c r="Q430" s="1016" t="str">
        <f ca="1">IF($R430="","",IF(XKNVLSX!$X$1="",IF($P430=$V$7,$P430, IF(COUNTIFS($C$2:$C429,$C430,$E$2:$E429,$E430)&gt;=1,"",$P430)),     IF(AND(IFERROR(SEARCH($R430,XKNVLSX!$X$1,1),0)&gt;=1,$P430=$V$7),$P430, IF(OR($R430&lt;&gt;IF(IFERROR(SEARCH($R430,XKNVLSX!$X$1,1),0)&gt;=1,$R430,XKNVLSX!$X$1),COUNTIFS($C$2:$C429,$C430,$E$2:$E429,$E430,$Q$2:$Q429,$P430)&gt;=1),"",$P430))))</f>
        <v/>
      </c>
      <c r="R430" s="1017" t="str">
        <f ca="1">IF($A430="","",IFERROR(INDEX(TinhGia!$BF$10:$BF$81,MATCH($A430,TinhGia!$B$10:$B$81,0)),""))</f>
        <v/>
      </c>
      <c r="S430" s="1012" t="str">
        <f ca="1">IF($A430="","",IF(OR(IFERROR(SEARCH($R430,XKNVLSX!$X$1,1),0)&gt;=1,XKNVLSX!$X$1=""),$S$2,""))</f>
        <v/>
      </c>
      <c r="T430" s="1018" t="str">
        <f ca="1">IF($C430="","", IF(OR($P430=$V$1,$P430=$V$7,COUNTIFS($C$3:$C430,$C430,$E$3:$E430,$E430)&lt;=1),$P430,""    ))</f>
        <v/>
      </c>
      <c r="U430" s="1019" t="str">
        <f ca="1">IF(AND($P430=$V$2,COUNTIFS($C$3:$C430,$C430,$E$3:$E430,$E430,$G$3:$G430,$G430)&lt;=1),$P430,"")</f>
        <v/>
      </c>
    </row>
    <row r="431" spans="1:21">
      <c r="A431" s="991" t="str">
        <f ca="1">IFERROR(IF(COUNTIF($A$3:A430,A430)&lt; INDEX(TinhGia!$BH$10:$BH$81,MATCH($A430,TinhGia!$B$10:$B$81,0)),$A430,INDEX(TinhGia!$B$10:$B$81,MATCH($A430,TinhGia!$B$10:$B$81,0)+1)),"")</f>
        <v/>
      </c>
      <c r="B431" s="525" t="str">
        <f ca="1">IF(OR(A431="",A431=0),"",IF(COUNTIF($A$2:A431,$A431)=1,ROW(MauKoXoa!$C$108),$B430+1))</f>
        <v/>
      </c>
      <c r="C431" s="992" t="str">
        <f t="shared" ca="1" si="40"/>
        <v/>
      </c>
      <c r="D431" s="993" t="str">
        <f t="shared" ca="1" si="41"/>
        <v/>
      </c>
      <c r="E431" s="993" t="str">
        <f t="shared" ca="1" si="42"/>
        <v/>
      </c>
      <c r="F431" s="992" t="str">
        <f t="shared" ca="1" si="58"/>
        <v/>
      </c>
      <c r="G431" s="994">
        <f t="shared" ca="1" si="43"/>
        <v>0</v>
      </c>
      <c r="H431" s="913">
        <f t="shared" ca="1" si="44"/>
        <v>0</v>
      </c>
      <c r="I431" s="913">
        <f t="shared" ca="1" si="45"/>
        <v>0</v>
      </c>
      <c r="J431" s="995">
        <f t="shared" ca="1" si="59"/>
        <v>0</v>
      </c>
      <c r="K431" s="913">
        <f t="shared" ca="1" si="47"/>
        <v>0</v>
      </c>
      <c r="L431" s="995">
        <f t="shared" ca="1" si="60"/>
        <v>0</v>
      </c>
      <c r="M431" s="913">
        <f t="shared" ca="1" si="49"/>
        <v>0</v>
      </c>
      <c r="N431" s="996">
        <f t="shared" ca="1" si="50"/>
        <v>0</v>
      </c>
      <c r="O431" s="997">
        <f t="shared" ca="1" si="51"/>
        <v>0</v>
      </c>
      <c r="P431" s="1015" t="str">
        <f ca="1">IF($C431="","",INDEX(NVLSX!$N$2:$N$6941,MATCH($C431,NVLSX!$E$2:$E$6941,0)))</f>
        <v/>
      </c>
      <c r="Q431" s="1016" t="str">
        <f ca="1">IF($R431="","",IF(XKNVLSX!$X$1="",IF($P431=$V$7,$P431, IF(COUNTIFS($C$2:$C430,$C431,$E$2:$E430,$E431)&gt;=1,"",$P431)),     IF(AND(IFERROR(SEARCH($R431,XKNVLSX!$X$1,1),0)&gt;=1,$P431=$V$7),$P431, IF(OR($R431&lt;&gt;IF(IFERROR(SEARCH($R431,XKNVLSX!$X$1,1),0)&gt;=1,$R431,XKNVLSX!$X$1),COUNTIFS($C$2:$C430,$C431,$E$2:$E430,$E431,$Q$2:$Q430,$P431)&gt;=1),"",$P431))))</f>
        <v/>
      </c>
      <c r="R431" s="1017" t="str">
        <f ca="1">IF($A431="","",IFERROR(INDEX(TinhGia!$BF$10:$BF$81,MATCH($A431,TinhGia!$B$10:$B$81,0)),""))</f>
        <v/>
      </c>
      <c r="S431" s="1012" t="str">
        <f ca="1">IF($A431="","",IF(OR(IFERROR(SEARCH($R431,XKNVLSX!$X$1,1),0)&gt;=1,XKNVLSX!$X$1=""),$S$2,""))</f>
        <v/>
      </c>
      <c r="T431" s="1018" t="str">
        <f ca="1">IF($C431="","", IF(OR($P431=$V$1,$P431=$V$7,COUNTIFS($C$3:$C431,$C431,$E$3:$E431,$E431)&lt;=1),$P431,""    ))</f>
        <v/>
      </c>
      <c r="U431" s="1019" t="str">
        <f ca="1">IF(AND($P431=$V$2,COUNTIFS($C$3:$C431,$C431,$E$3:$E431,$E431,$G$3:$G431,$G431)&lt;=1),$P431,"")</f>
        <v/>
      </c>
    </row>
    <row r="432" spans="1:21">
      <c r="A432" s="991" t="str">
        <f ca="1">IFERROR(IF(COUNTIF($A$3:A431,A431)&lt; INDEX(TinhGia!$BH$10:$BH$81,MATCH($A431,TinhGia!$B$10:$B$81,0)),$A431,INDEX(TinhGia!$B$10:$B$81,MATCH($A431,TinhGia!$B$10:$B$81,0)+1)),"")</f>
        <v/>
      </c>
      <c r="B432" s="525" t="str">
        <f ca="1">IF(OR(A432="",A432=0),"",IF(COUNTIF($A$2:A432,$A432)=1,ROW(MauKoXoa!$C$108),$B431+1))</f>
        <v/>
      </c>
      <c r="C432" s="992" t="str">
        <f t="shared" ca="1" si="40"/>
        <v/>
      </c>
      <c r="D432" s="993" t="str">
        <f t="shared" ca="1" si="41"/>
        <v/>
      </c>
      <c r="E432" s="993" t="str">
        <f t="shared" ca="1" si="42"/>
        <v/>
      </c>
      <c r="F432" s="992" t="str">
        <f t="shared" ca="1" si="58"/>
        <v/>
      </c>
      <c r="G432" s="994">
        <f t="shared" ca="1" si="43"/>
        <v>0</v>
      </c>
      <c r="H432" s="913">
        <f t="shared" ca="1" si="44"/>
        <v>0</v>
      </c>
      <c r="I432" s="913">
        <f t="shared" ca="1" si="45"/>
        <v>0</v>
      </c>
      <c r="J432" s="995">
        <f t="shared" ca="1" si="59"/>
        <v>0</v>
      </c>
      <c r="K432" s="913">
        <f t="shared" ca="1" si="47"/>
        <v>0</v>
      </c>
      <c r="L432" s="995">
        <f t="shared" ca="1" si="60"/>
        <v>0</v>
      </c>
      <c r="M432" s="913">
        <f t="shared" ca="1" si="49"/>
        <v>0</v>
      </c>
      <c r="N432" s="996">
        <f t="shared" ca="1" si="50"/>
        <v>0</v>
      </c>
      <c r="O432" s="997">
        <f t="shared" ca="1" si="51"/>
        <v>0</v>
      </c>
      <c r="P432" s="1015" t="str">
        <f ca="1">IF($C432="","",INDEX(NVLSX!$N$2:$N$6941,MATCH($C432,NVLSX!$E$2:$E$6941,0)))</f>
        <v/>
      </c>
      <c r="Q432" s="1016" t="str">
        <f ca="1">IF($R432="","",IF(XKNVLSX!$X$1="",IF($P432=$V$7,$P432, IF(COUNTIFS($C$2:$C431,$C432,$E$2:$E431,$E432)&gt;=1,"",$P432)),     IF(AND(IFERROR(SEARCH($R432,XKNVLSX!$X$1,1),0)&gt;=1,$P432=$V$7),$P432, IF(OR($R432&lt;&gt;IF(IFERROR(SEARCH($R432,XKNVLSX!$X$1,1),0)&gt;=1,$R432,XKNVLSX!$X$1),COUNTIFS($C$2:$C431,$C432,$E$2:$E431,$E432,$Q$2:$Q431,$P432)&gt;=1),"",$P432))))</f>
        <v/>
      </c>
      <c r="R432" s="1017" t="str">
        <f ca="1">IF($A432="","",IFERROR(INDEX(TinhGia!$BF$10:$BF$81,MATCH($A432,TinhGia!$B$10:$B$81,0)),""))</f>
        <v/>
      </c>
      <c r="S432" s="1012" t="str">
        <f ca="1">IF($A432="","",IF(OR(IFERROR(SEARCH($R432,XKNVLSX!$X$1,1),0)&gt;=1,XKNVLSX!$X$1=""),$S$2,""))</f>
        <v/>
      </c>
      <c r="T432" s="1018" t="str">
        <f ca="1">IF($C432="","", IF(OR($P432=$V$1,$P432=$V$7,COUNTIFS($C$3:$C432,$C432,$E$3:$E432,$E432)&lt;=1),$P432,""    ))</f>
        <v/>
      </c>
      <c r="U432" s="1019" t="str">
        <f ca="1">IF(AND($P432=$V$2,COUNTIFS($C$3:$C432,$C432,$E$3:$E432,$E432,$G$3:$G432,$G432)&lt;=1),$P432,"")</f>
        <v/>
      </c>
    </row>
    <row r="433" spans="1:21">
      <c r="A433" s="991" t="str">
        <f ca="1">IFERROR(IF(COUNTIF($A$3:A432,A432)&lt; INDEX(TinhGia!$BH$10:$BH$81,MATCH($A432,TinhGia!$B$10:$B$81,0)),$A432,INDEX(TinhGia!$B$10:$B$81,MATCH($A432,TinhGia!$B$10:$B$81,0)+1)),"")</f>
        <v/>
      </c>
      <c r="B433" s="525" t="str">
        <f ca="1">IF(OR(A433="",A433=0),"",IF(COUNTIF($A$2:A433,$A433)=1,ROW(MauKoXoa!$C$108),$B432+1))</f>
        <v/>
      </c>
      <c r="C433" s="992" t="str">
        <f t="shared" ca="1" si="40"/>
        <v/>
      </c>
      <c r="D433" s="993" t="str">
        <f t="shared" ca="1" si="41"/>
        <v/>
      </c>
      <c r="E433" s="993" t="str">
        <f t="shared" ca="1" si="42"/>
        <v/>
      </c>
      <c r="F433" s="992" t="str">
        <f t="shared" ca="1" si="58"/>
        <v/>
      </c>
      <c r="G433" s="994">
        <f t="shared" ca="1" si="43"/>
        <v>0</v>
      </c>
      <c r="H433" s="913">
        <f t="shared" ca="1" si="44"/>
        <v>0</v>
      </c>
      <c r="I433" s="913">
        <f t="shared" ca="1" si="45"/>
        <v>0</v>
      </c>
      <c r="J433" s="995">
        <f t="shared" ca="1" si="59"/>
        <v>0</v>
      </c>
      <c r="K433" s="913">
        <f t="shared" ca="1" si="47"/>
        <v>0</v>
      </c>
      <c r="L433" s="995">
        <f t="shared" ca="1" si="60"/>
        <v>0</v>
      </c>
      <c r="M433" s="913">
        <f t="shared" ca="1" si="49"/>
        <v>0</v>
      </c>
      <c r="N433" s="996">
        <f t="shared" ca="1" si="50"/>
        <v>0</v>
      </c>
      <c r="O433" s="997">
        <f t="shared" ca="1" si="51"/>
        <v>0</v>
      </c>
      <c r="P433" s="1015" t="str">
        <f ca="1">IF($C433="","",INDEX(NVLSX!$N$2:$N$6941,MATCH($C433,NVLSX!$E$2:$E$6941,0)))</f>
        <v/>
      </c>
      <c r="Q433" s="1016" t="str">
        <f ca="1">IF($R433="","",IF(XKNVLSX!$X$1="",IF($P433=$V$7,$P433, IF(COUNTIFS($C$2:$C432,$C433,$E$2:$E432,$E433)&gt;=1,"",$P433)),     IF(AND(IFERROR(SEARCH($R433,XKNVLSX!$X$1,1),0)&gt;=1,$P433=$V$7),$P433, IF(OR($R433&lt;&gt;IF(IFERROR(SEARCH($R433,XKNVLSX!$X$1,1),0)&gt;=1,$R433,XKNVLSX!$X$1),COUNTIFS($C$2:$C432,$C433,$E$2:$E432,$E433,$Q$2:$Q432,$P433)&gt;=1),"",$P433))))</f>
        <v/>
      </c>
      <c r="R433" s="1017" t="str">
        <f ca="1">IF($A433="","",IFERROR(INDEX(TinhGia!$BF$10:$BF$81,MATCH($A433,TinhGia!$B$10:$B$81,0)),""))</f>
        <v/>
      </c>
      <c r="S433" s="1012" t="str">
        <f ca="1">IF($A433="","",IF(OR(IFERROR(SEARCH($R433,XKNVLSX!$X$1,1),0)&gt;=1,XKNVLSX!$X$1=""),$S$2,""))</f>
        <v/>
      </c>
      <c r="T433" s="1018" t="str">
        <f ca="1">IF($C433="","", IF(OR($P433=$V$1,$P433=$V$7,COUNTIFS($C$3:$C433,$C433,$E$3:$E433,$E433)&lt;=1),$P433,""    ))</f>
        <v/>
      </c>
      <c r="U433" s="1019" t="str">
        <f ca="1">IF(AND($P433=$V$2,COUNTIFS($C$3:$C433,$C433,$E$3:$E433,$E433,$G$3:$G433,$G433)&lt;=1),$P433,"")</f>
        <v/>
      </c>
    </row>
    <row r="434" spans="1:21">
      <c r="A434" s="991" t="str">
        <f ca="1">IFERROR(IF(COUNTIF($A$3:A433,A433)&lt; INDEX(TinhGia!$BH$10:$BH$81,MATCH($A433,TinhGia!$B$10:$B$81,0)),$A433,INDEX(TinhGia!$B$10:$B$81,MATCH($A433,TinhGia!$B$10:$B$81,0)+1)),"")</f>
        <v/>
      </c>
      <c r="B434" s="525" t="str">
        <f ca="1">IF(OR(A434="",A434=0),"",IF(COUNTIF($A$2:A434,$A434)=1,ROW(MauKoXoa!$C$108),$B433+1))</f>
        <v/>
      </c>
      <c r="C434" s="992" t="str">
        <f t="shared" ca="1" si="40"/>
        <v/>
      </c>
      <c r="D434" s="993" t="str">
        <f t="shared" ca="1" si="41"/>
        <v/>
      </c>
      <c r="E434" s="993" t="str">
        <f t="shared" ca="1" si="42"/>
        <v/>
      </c>
      <c r="F434" s="992" t="str">
        <f t="shared" ca="1" si="58"/>
        <v/>
      </c>
      <c r="G434" s="994">
        <f t="shared" ca="1" si="43"/>
        <v>0</v>
      </c>
      <c r="H434" s="913">
        <f t="shared" ca="1" si="44"/>
        <v>0</v>
      </c>
      <c r="I434" s="913">
        <f t="shared" ca="1" si="45"/>
        <v>0</v>
      </c>
      <c r="J434" s="995">
        <f t="shared" ca="1" si="59"/>
        <v>0</v>
      </c>
      <c r="K434" s="913">
        <f t="shared" ca="1" si="47"/>
        <v>0</v>
      </c>
      <c r="L434" s="995">
        <f t="shared" ca="1" si="60"/>
        <v>0</v>
      </c>
      <c r="M434" s="913">
        <f t="shared" ca="1" si="49"/>
        <v>0</v>
      </c>
      <c r="N434" s="996">
        <f t="shared" ca="1" si="50"/>
        <v>0</v>
      </c>
      <c r="O434" s="997">
        <f t="shared" ca="1" si="51"/>
        <v>0</v>
      </c>
      <c r="P434" s="1015" t="str">
        <f ca="1">IF($C434="","",INDEX(NVLSX!$N$2:$N$6941,MATCH($C434,NVLSX!$E$2:$E$6941,0)))</f>
        <v/>
      </c>
      <c r="Q434" s="1016" t="str">
        <f ca="1">IF($R434="","",IF(XKNVLSX!$X$1="",IF($P434=$V$7,$P434, IF(COUNTIFS($C$2:$C433,$C434,$E$2:$E433,$E434)&gt;=1,"",$P434)),     IF(AND(IFERROR(SEARCH($R434,XKNVLSX!$X$1,1),0)&gt;=1,$P434=$V$7),$P434, IF(OR($R434&lt;&gt;IF(IFERROR(SEARCH($R434,XKNVLSX!$X$1,1),0)&gt;=1,$R434,XKNVLSX!$X$1),COUNTIFS($C$2:$C433,$C434,$E$2:$E433,$E434,$Q$2:$Q433,$P434)&gt;=1),"",$P434))))</f>
        <v/>
      </c>
      <c r="R434" s="1017" t="str">
        <f ca="1">IF($A434="","",IFERROR(INDEX(TinhGia!$BF$10:$BF$81,MATCH($A434,TinhGia!$B$10:$B$81,0)),""))</f>
        <v/>
      </c>
      <c r="S434" s="1012" t="str">
        <f ca="1">IF($A434="","",IF(OR(IFERROR(SEARCH($R434,XKNVLSX!$X$1,1),0)&gt;=1,XKNVLSX!$X$1=""),$S$2,""))</f>
        <v/>
      </c>
      <c r="T434" s="1018" t="str">
        <f ca="1">IF($C434="","", IF(OR($P434=$V$1,$P434=$V$7,COUNTIFS($C$3:$C434,$C434,$E$3:$E434,$E434)&lt;=1),$P434,""    ))</f>
        <v/>
      </c>
      <c r="U434" s="1019" t="str">
        <f ca="1">IF(AND($P434=$V$2,COUNTIFS($C$3:$C434,$C434,$E$3:$E434,$E434,$G$3:$G434,$G434)&lt;=1),$P434,"")</f>
        <v/>
      </c>
    </row>
    <row r="435" spans="1:21">
      <c r="A435" s="991" t="str">
        <f ca="1">IFERROR(IF(COUNTIF($A$3:A434,A434)&lt; INDEX(TinhGia!$BH$10:$BH$81,MATCH($A434,TinhGia!$B$10:$B$81,0)),$A434,INDEX(TinhGia!$B$10:$B$81,MATCH($A434,TinhGia!$B$10:$B$81,0)+1)),"")</f>
        <v/>
      </c>
      <c r="B435" s="525" t="str">
        <f ca="1">IF(OR(A435="",A435=0),"",IF(COUNTIF($A$2:A435,$A435)=1,ROW(MauKoXoa!$C$108),$B434+1))</f>
        <v/>
      </c>
      <c r="C435" s="992" t="str">
        <f t="shared" ca="1" si="40"/>
        <v/>
      </c>
      <c r="D435" s="993" t="str">
        <f t="shared" ca="1" si="41"/>
        <v/>
      </c>
      <c r="E435" s="993" t="str">
        <f t="shared" ca="1" si="42"/>
        <v/>
      </c>
      <c r="F435" s="992" t="str">
        <f t="shared" ca="1" si="58"/>
        <v/>
      </c>
      <c r="G435" s="994">
        <f t="shared" ca="1" si="43"/>
        <v>0</v>
      </c>
      <c r="H435" s="913">
        <f t="shared" ca="1" si="44"/>
        <v>0</v>
      </c>
      <c r="I435" s="913">
        <f t="shared" ca="1" si="45"/>
        <v>0</v>
      </c>
      <c r="J435" s="995">
        <f t="shared" ca="1" si="59"/>
        <v>0</v>
      </c>
      <c r="K435" s="913">
        <f t="shared" ca="1" si="47"/>
        <v>0</v>
      </c>
      <c r="L435" s="995">
        <f t="shared" ca="1" si="60"/>
        <v>0</v>
      </c>
      <c r="M435" s="913">
        <f t="shared" ca="1" si="49"/>
        <v>0</v>
      </c>
      <c r="N435" s="996">
        <f t="shared" ca="1" si="50"/>
        <v>0</v>
      </c>
      <c r="O435" s="997">
        <f t="shared" ca="1" si="51"/>
        <v>0</v>
      </c>
      <c r="P435" s="1015" t="str">
        <f ca="1">IF($C435="","",INDEX(NVLSX!$N$2:$N$6941,MATCH($C435,NVLSX!$E$2:$E$6941,0)))</f>
        <v/>
      </c>
      <c r="Q435" s="1016" t="str">
        <f ca="1">IF($R435="","",IF(XKNVLSX!$X$1="",IF($P435=$V$7,$P435, IF(COUNTIFS($C$2:$C434,$C435,$E$2:$E434,$E435)&gt;=1,"",$P435)),     IF(AND(IFERROR(SEARCH($R435,XKNVLSX!$X$1,1),0)&gt;=1,$P435=$V$7),$P435, IF(OR($R435&lt;&gt;IF(IFERROR(SEARCH($R435,XKNVLSX!$X$1,1),0)&gt;=1,$R435,XKNVLSX!$X$1),COUNTIFS($C$2:$C434,$C435,$E$2:$E434,$E435,$Q$2:$Q434,$P435)&gt;=1),"",$P435))))</f>
        <v/>
      </c>
      <c r="R435" s="1017" t="str">
        <f ca="1">IF($A435="","",IFERROR(INDEX(TinhGia!$BF$10:$BF$81,MATCH($A435,TinhGia!$B$10:$B$81,0)),""))</f>
        <v/>
      </c>
      <c r="S435" s="1012" t="str">
        <f ca="1">IF($A435="","",IF(OR(IFERROR(SEARCH($R435,XKNVLSX!$X$1,1),0)&gt;=1,XKNVLSX!$X$1=""),$S$2,""))</f>
        <v/>
      </c>
      <c r="T435" s="1018" t="str">
        <f ca="1">IF($C435="","", IF(OR($P435=$V$1,$P435=$V$7,COUNTIFS($C$3:$C435,$C435,$E$3:$E435,$E435)&lt;=1),$P435,""    ))</f>
        <v/>
      </c>
      <c r="U435" s="1019" t="str">
        <f ca="1">IF(AND($P435=$V$2,COUNTIFS($C$3:$C435,$C435,$E$3:$E435,$E435,$G$3:$G435,$G435)&lt;=1),$P435,"")</f>
        <v/>
      </c>
    </row>
    <row r="436" spans="1:21">
      <c r="A436" s="991" t="str">
        <f ca="1">IFERROR(IF(COUNTIF($A$3:A435,A435)&lt; INDEX(TinhGia!$BH$10:$BH$81,MATCH($A435,TinhGia!$B$10:$B$81,0)),$A435,INDEX(TinhGia!$B$10:$B$81,MATCH($A435,TinhGia!$B$10:$B$81,0)+1)),"")</f>
        <v/>
      </c>
      <c r="B436" s="525" t="str">
        <f ca="1">IF(OR(A436="",A436=0),"",IF(COUNTIF($A$2:A436,$A436)=1,ROW(MauKoXoa!$C$108),$B435+1))</f>
        <v/>
      </c>
      <c r="C436" s="992" t="str">
        <f t="shared" ca="1" si="40"/>
        <v/>
      </c>
      <c r="D436" s="993" t="str">
        <f t="shared" ca="1" si="41"/>
        <v/>
      </c>
      <c r="E436" s="993" t="str">
        <f t="shared" ca="1" si="42"/>
        <v/>
      </c>
      <c r="F436" s="992" t="str">
        <f t="shared" ca="1" si="58"/>
        <v/>
      </c>
      <c r="G436" s="994">
        <f t="shared" ca="1" si="43"/>
        <v>0</v>
      </c>
      <c r="H436" s="913">
        <f t="shared" ca="1" si="44"/>
        <v>0</v>
      </c>
      <c r="I436" s="913">
        <f t="shared" ca="1" si="45"/>
        <v>0</v>
      </c>
      <c r="J436" s="995">
        <f t="shared" ca="1" si="59"/>
        <v>0</v>
      </c>
      <c r="K436" s="913">
        <f t="shared" ca="1" si="47"/>
        <v>0</v>
      </c>
      <c r="L436" s="995">
        <f t="shared" ca="1" si="60"/>
        <v>0</v>
      </c>
      <c r="M436" s="913">
        <f t="shared" ca="1" si="49"/>
        <v>0</v>
      </c>
      <c r="N436" s="996">
        <f t="shared" ca="1" si="50"/>
        <v>0</v>
      </c>
      <c r="O436" s="997">
        <f t="shared" ca="1" si="51"/>
        <v>0</v>
      </c>
      <c r="P436" s="1015" t="str">
        <f ca="1">IF($C436="","",INDEX(NVLSX!$N$2:$N$6941,MATCH($C436,NVLSX!$E$2:$E$6941,0)))</f>
        <v/>
      </c>
      <c r="Q436" s="1016" t="str">
        <f ca="1">IF($R436="","",IF(XKNVLSX!$X$1="",IF($P436=$V$7,$P436, IF(COUNTIFS($C$2:$C435,$C436,$E$2:$E435,$E436)&gt;=1,"",$P436)),     IF(AND(IFERROR(SEARCH($R436,XKNVLSX!$X$1,1),0)&gt;=1,$P436=$V$7),$P436, IF(OR($R436&lt;&gt;IF(IFERROR(SEARCH($R436,XKNVLSX!$X$1,1),0)&gt;=1,$R436,XKNVLSX!$X$1),COUNTIFS($C$2:$C435,$C436,$E$2:$E435,$E436,$Q$2:$Q435,$P436)&gt;=1),"",$P436))))</f>
        <v/>
      </c>
      <c r="R436" s="1017" t="str">
        <f ca="1">IF($A436="","",IFERROR(INDEX(TinhGia!$BF$10:$BF$81,MATCH($A436,TinhGia!$B$10:$B$81,0)),""))</f>
        <v/>
      </c>
      <c r="S436" s="1012" t="str">
        <f ca="1">IF($A436="","",IF(OR(IFERROR(SEARCH($R436,XKNVLSX!$X$1,1),0)&gt;=1,XKNVLSX!$X$1=""),$S$2,""))</f>
        <v/>
      </c>
      <c r="T436" s="1018" t="str">
        <f ca="1">IF($C436="","", IF(OR($P436=$V$1,$P436=$V$7,COUNTIFS($C$3:$C436,$C436,$E$3:$E436,$E436)&lt;=1),$P436,""    ))</f>
        <v/>
      </c>
      <c r="U436" s="1019" t="str">
        <f ca="1">IF(AND($P436=$V$2,COUNTIFS($C$3:$C436,$C436,$E$3:$E436,$E436,$G$3:$G436,$G436)&lt;=1),$P436,"")</f>
        <v/>
      </c>
    </row>
    <row r="437" spans="1:21">
      <c r="A437" s="991" t="str">
        <f ca="1">IFERROR(IF(COUNTIF($A$3:A436,A436)&lt; INDEX(TinhGia!$BH$10:$BH$81,MATCH($A436,TinhGia!$B$10:$B$81,0)),$A436,INDEX(TinhGia!$B$10:$B$81,MATCH($A436,TinhGia!$B$10:$B$81,0)+1)),"")</f>
        <v/>
      </c>
      <c r="B437" s="525" t="str">
        <f ca="1">IF(OR(A437="",A437=0),"",IF(COUNTIF($A$2:A437,$A437)=1,ROW(MauKoXoa!$C$108),$B436+1))</f>
        <v/>
      </c>
      <c r="C437" s="992" t="str">
        <f t="shared" ca="1" si="40"/>
        <v/>
      </c>
      <c r="D437" s="993" t="str">
        <f t="shared" ca="1" si="41"/>
        <v/>
      </c>
      <c r="E437" s="993" t="str">
        <f t="shared" ca="1" si="42"/>
        <v/>
      </c>
      <c r="F437" s="992" t="str">
        <f t="shared" ca="1" si="58"/>
        <v/>
      </c>
      <c r="G437" s="994">
        <f t="shared" ca="1" si="43"/>
        <v>0</v>
      </c>
      <c r="H437" s="913">
        <f t="shared" ca="1" si="44"/>
        <v>0</v>
      </c>
      <c r="I437" s="913">
        <f t="shared" ca="1" si="45"/>
        <v>0</v>
      </c>
      <c r="J437" s="995">
        <f t="shared" ca="1" si="59"/>
        <v>0</v>
      </c>
      <c r="K437" s="913">
        <f t="shared" ca="1" si="47"/>
        <v>0</v>
      </c>
      <c r="L437" s="995">
        <f t="shared" ca="1" si="60"/>
        <v>0</v>
      </c>
      <c r="M437" s="913">
        <f t="shared" ca="1" si="49"/>
        <v>0</v>
      </c>
      <c r="N437" s="996">
        <f t="shared" ca="1" si="50"/>
        <v>0</v>
      </c>
      <c r="O437" s="997">
        <f t="shared" ca="1" si="51"/>
        <v>0</v>
      </c>
      <c r="P437" s="1015" t="str">
        <f ca="1">IF($C437="","",INDEX(NVLSX!$N$2:$N$6941,MATCH($C437,NVLSX!$E$2:$E$6941,0)))</f>
        <v/>
      </c>
      <c r="Q437" s="1016" t="str">
        <f ca="1">IF($R437="","",IF(XKNVLSX!$X$1="",IF($P437=$V$7,$P437, IF(COUNTIFS($C$2:$C436,$C437,$E$2:$E436,$E437)&gt;=1,"",$P437)),     IF(AND(IFERROR(SEARCH($R437,XKNVLSX!$X$1,1),0)&gt;=1,$P437=$V$7),$P437, IF(OR($R437&lt;&gt;IF(IFERROR(SEARCH($R437,XKNVLSX!$X$1,1),0)&gt;=1,$R437,XKNVLSX!$X$1),COUNTIFS($C$2:$C436,$C437,$E$2:$E436,$E437,$Q$2:$Q436,$P437)&gt;=1),"",$P437))))</f>
        <v/>
      </c>
      <c r="R437" s="1017" t="str">
        <f ca="1">IF($A437="","",IFERROR(INDEX(TinhGia!$BF$10:$BF$81,MATCH($A437,TinhGia!$B$10:$B$81,0)),""))</f>
        <v/>
      </c>
      <c r="S437" s="1012" t="str">
        <f ca="1">IF($A437="","",IF(OR(IFERROR(SEARCH($R437,XKNVLSX!$X$1,1),0)&gt;=1,XKNVLSX!$X$1=""),$S$2,""))</f>
        <v/>
      </c>
      <c r="T437" s="1018" t="str">
        <f ca="1">IF($C437="","", IF(OR($P437=$V$1,$P437=$V$7,COUNTIFS($C$3:$C437,$C437,$E$3:$E437,$E437)&lt;=1),$P437,""    ))</f>
        <v/>
      </c>
      <c r="U437" s="1019" t="str">
        <f ca="1">IF(AND($P437=$V$2,COUNTIFS($C$3:$C437,$C437,$E$3:$E437,$E437,$G$3:$G437,$G437)&lt;=1),$P437,"")</f>
        <v/>
      </c>
    </row>
    <row r="438" spans="1:21">
      <c r="A438" s="991" t="str">
        <f ca="1">IFERROR(IF(COUNTIF($A$3:A437,A437)&lt; INDEX(TinhGia!$BH$10:$BH$81,MATCH($A437,TinhGia!$B$10:$B$81,0)),$A437,INDEX(TinhGia!$B$10:$B$81,MATCH($A437,TinhGia!$B$10:$B$81,0)+1)),"")</f>
        <v/>
      </c>
      <c r="B438" s="525" t="str">
        <f ca="1">IF(OR(A438="",A438=0),"",IF(COUNTIF($A$2:A438,$A438)=1,ROW(MauKoXoa!$C$108),$B437+1))</f>
        <v/>
      </c>
      <c r="C438" s="992" t="str">
        <f t="shared" ca="1" si="40"/>
        <v/>
      </c>
      <c r="D438" s="993" t="str">
        <f t="shared" ca="1" si="41"/>
        <v/>
      </c>
      <c r="E438" s="993" t="str">
        <f t="shared" ca="1" si="42"/>
        <v/>
      </c>
      <c r="F438" s="992" t="str">
        <f t="shared" ca="1" si="58"/>
        <v/>
      </c>
      <c r="G438" s="994">
        <f t="shared" ca="1" si="43"/>
        <v>0</v>
      </c>
      <c r="H438" s="913">
        <f t="shared" ca="1" si="44"/>
        <v>0</v>
      </c>
      <c r="I438" s="913">
        <f t="shared" ca="1" si="45"/>
        <v>0</v>
      </c>
      <c r="J438" s="995">
        <f t="shared" ca="1" si="59"/>
        <v>0</v>
      </c>
      <c r="K438" s="913">
        <f t="shared" ca="1" si="47"/>
        <v>0</v>
      </c>
      <c r="L438" s="995">
        <f t="shared" ca="1" si="60"/>
        <v>0</v>
      </c>
      <c r="M438" s="913">
        <f t="shared" ca="1" si="49"/>
        <v>0</v>
      </c>
      <c r="N438" s="996">
        <f t="shared" ca="1" si="50"/>
        <v>0</v>
      </c>
      <c r="O438" s="997">
        <f t="shared" ca="1" si="51"/>
        <v>0</v>
      </c>
      <c r="P438" s="1015" t="str">
        <f ca="1">IF($C438="","",INDEX(NVLSX!$N$2:$N$6941,MATCH($C438,NVLSX!$E$2:$E$6941,0)))</f>
        <v/>
      </c>
      <c r="Q438" s="1016" t="str">
        <f ca="1">IF($R438="","",IF(XKNVLSX!$X$1="",IF($P438=$V$7,$P438, IF(COUNTIFS($C$2:$C437,$C438,$E$2:$E437,$E438)&gt;=1,"",$P438)),     IF(AND(IFERROR(SEARCH($R438,XKNVLSX!$X$1,1),0)&gt;=1,$P438=$V$7),$P438, IF(OR($R438&lt;&gt;IF(IFERROR(SEARCH($R438,XKNVLSX!$X$1,1),0)&gt;=1,$R438,XKNVLSX!$X$1),COUNTIFS($C$2:$C437,$C438,$E$2:$E437,$E438,$Q$2:$Q437,$P438)&gt;=1),"",$P438))))</f>
        <v/>
      </c>
      <c r="R438" s="1017" t="str">
        <f ca="1">IF($A438="","",IFERROR(INDEX(TinhGia!$BF$10:$BF$81,MATCH($A438,TinhGia!$B$10:$B$81,0)),""))</f>
        <v/>
      </c>
      <c r="S438" s="1012" t="str">
        <f ca="1">IF($A438="","",IF(OR(IFERROR(SEARCH($R438,XKNVLSX!$X$1,1),0)&gt;=1,XKNVLSX!$X$1=""),$S$2,""))</f>
        <v/>
      </c>
      <c r="T438" s="1018" t="str">
        <f ca="1">IF($C438="","", IF(OR($P438=$V$1,$P438=$V$7,COUNTIFS($C$3:$C438,$C438,$E$3:$E438,$E438)&lt;=1),$P438,""    ))</f>
        <v/>
      </c>
      <c r="U438" s="1019" t="str">
        <f ca="1">IF(AND($P438=$V$2,COUNTIFS($C$3:$C438,$C438,$E$3:$E438,$E438,$G$3:$G438,$G438)&lt;=1),$P438,"")</f>
        <v/>
      </c>
    </row>
    <row r="439" spans="1:21">
      <c r="A439" s="991" t="str">
        <f ca="1">IFERROR(IF(COUNTIF($A$3:A438,A438)&lt; INDEX(TinhGia!$BH$10:$BH$81,MATCH($A438,TinhGia!$B$10:$B$81,0)),$A438,INDEX(TinhGia!$B$10:$B$81,MATCH($A438,TinhGia!$B$10:$B$81,0)+1)),"")</f>
        <v/>
      </c>
      <c r="B439" s="525" t="str">
        <f ca="1">IF(OR(A439="",A439=0),"",IF(COUNTIF($A$2:A439,$A439)=1,ROW(MauKoXoa!$C$108),$B438+1))</f>
        <v/>
      </c>
      <c r="C439" s="992" t="str">
        <f t="shared" ca="1" si="40"/>
        <v/>
      </c>
      <c r="D439" s="993" t="str">
        <f t="shared" ca="1" si="41"/>
        <v/>
      </c>
      <c r="E439" s="993" t="str">
        <f t="shared" ca="1" si="42"/>
        <v/>
      </c>
      <c r="F439" s="992" t="str">
        <f t="shared" ca="1" si="58"/>
        <v/>
      </c>
      <c r="G439" s="994">
        <f t="shared" ca="1" si="43"/>
        <v>0</v>
      </c>
      <c r="H439" s="913">
        <f t="shared" ca="1" si="44"/>
        <v>0</v>
      </c>
      <c r="I439" s="913">
        <f t="shared" ca="1" si="45"/>
        <v>0</v>
      </c>
      <c r="J439" s="995">
        <f t="shared" ca="1" si="59"/>
        <v>0</v>
      </c>
      <c r="K439" s="913">
        <f t="shared" ca="1" si="47"/>
        <v>0</v>
      </c>
      <c r="L439" s="995">
        <f t="shared" ca="1" si="60"/>
        <v>0</v>
      </c>
      <c r="M439" s="913">
        <f t="shared" ca="1" si="49"/>
        <v>0</v>
      </c>
      <c r="N439" s="996">
        <f t="shared" ca="1" si="50"/>
        <v>0</v>
      </c>
      <c r="O439" s="997">
        <f t="shared" ca="1" si="51"/>
        <v>0</v>
      </c>
      <c r="P439" s="1015" t="str">
        <f ca="1">IF($C439="","",INDEX(NVLSX!$N$2:$N$6941,MATCH($C439,NVLSX!$E$2:$E$6941,0)))</f>
        <v/>
      </c>
      <c r="Q439" s="1016" t="str">
        <f ca="1">IF($R439="","",IF(XKNVLSX!$X$1="",IF($P439=$V$7,$P439, IF(COUNTIFS($C$2:$C438,$C439,$E$2:$E438,$E439)&gt;=1,"",$P439)),     IF(AND(IFERROR(SEARCH($R439,XKNVLSX!$X$1,1),0)&gt;=1,$P439=$V$7),$P439, IF(OR($R439&lt;&gt;IF(IFERROR(SEARCH($R439,XKNVLSX!$X$1,1),0)&gt;=1,$R439,XKNVLSX!$X$1),COUNTIFS($C$2:$C438,$C439,$E$2:$E438,$E439,$Q$2:$Q438,$P439)&gt;=1),"",$P439))))</f>
        <v/>
      </c>
      <c r="R439" s="1017" t="str">
        <f ca="1">IF($A439="","",IFERROR(INDEX(TinhGia!$BF$10:$BF$81,MATCH($A439,TinhGia!$B$10:$B$81,0)),""))</f>
        <v/>
      </c>
      <c r="S439" s="1012" t="str">
        <f ca="1">IF($A439="","",IF(OR(IFERROR(SEARCH($R439,XKNVLSX!$X$1,1),0)&gt;=1,XKNVLSX!$X$1=""),$S$2,""))</f>
        <v/>
      </c>
      <c r="T439" s="1018" t="str">
        <f ca="1">IF($C439="","", IF(OR($P439=$V$1,$P439=$V$7,COUNTIFS($C$3:$C439,$C439,$E$3:$E439,$E439)&lt;=1),$P439,""    ))</f>
        <v/>
      </c>
      <c r="U439" s="1019" t="str">
        <f ca="1">IF(AND($P439=$V$2,COUNTIFS($C$3:$C439,$C439,$E$3:$E439,$E439,$G$3:$G439,$G439)&lt;=1),$P439,"")</f>
        <v/>
      </c>
    </row>
    <row r="440" spans="1:21">
      <c r="A440" s="991" t="str">
        <f ca="1">IFERROR(IF(COUNTIF($A$3:A439,A439)&lt; INDEX(TinhGia!$BH$10:$BH$81,MATCH($A439,TinhGia!$B$10:$B$81,0)),$A439,INDEX(TinhGia!$B$10:$B$81,MATCH($A439,TinhGia!$B$10:$B$81,0)+1)),"")</f>
        <v/>
      </c>
      <c r="B440" s="525" t="str">
        <f ca="1">IF(OR(A440="",A440=0),"",IF(COUNTIF($A$2:A440,$A440)=1,ROW(MauKoXoa!$C$108),$B439+1))</f>
        <v/>
      </c>
      <c r="C440" s="992" t="str">
        <f t="shared" ca="1" si="40"/>
        <v/>
      </c>
      <c r="D440" s="993" t="str">
        <f t="shared" ca="1" si="41"/>
        <v/>
      </c>
      <c r="E440" s="993" t="str">
        <f t="shared" ca="1" si="42"/>
        <v/>
      </c>
      <c r="F440" s="992" t="str">
        <f t="shared" ca="1" si="58"/>
        <v/>
      </c>
      <c r="G440" s="994">
        <f t="shared" ca="1" si="43"/>
        <v>0</v>
      </c>
      <c r="H440" s="913">
        <f t="shared" ca="1" si="44"/>
        <v>0</v>
      </c>
      <c r="I440" s="913">
        <f t="shared" ca="1" si="45"/>
        <v>0</v>
      </c>
      <c r="J440" s="995">
        <f t="shared" ca="1" si="59"/>
        <v>0</v>
      </c>
      <c r="K440" s="913">
        <f t="shared" ca="1" si="47"/>
        <v>0</v>
      </c>
      <c r="L440" s="995">
        <f t="shared" ca="1" si="60"/>
        <v>0</v>
      </c>
      <c r="M440" s="913">
        <f t="shared" ca="1" si="49"/>
        <v>0</v>
      </c>
      <c r="N440" s="996">
        <f t="shared" ca="1" si="50"/>
        <v>0</v>
      </c>
      <c r="O440" s="997">
        <f t="shared" ca="1" si="51"/>
        <v>0</v>
      </c>
      <c r="P440" s="1015" t="str">
        <f ca="1">IF($C440="","",INDEX(NVLSX!$N$2:$N$6941,MATCH($C440,NVLSX!$E$2:$E$6941,0)))</f>
        <v/>
      </c>
      <c r="Q440" s="1016" t="str">
        <f ca="1">IF($R440="","",IF(XKNVLSX!$X$1="",IF($P440=$V$7,$P440, IF(COUNTIFS($C$2:$C439,$C440,$E$2:$E439,$E440)&gt;=1,"",$P440)),     IF(AND(IFERROR(SEARCH($R440,XKNVLSX!$X$1,1),0)&gt;=1,$P440=$V$7),$P440, IF(OR($R440&lt;&gt;IF(IFERROR(SEARCH($R440,XKNVLSX!$X$1,1),0)&gt;=1,$R440,XKNVLSX!$X$1),COUNTIFS($C$2:$C439,$C440,$E$2:$E439,$E440,$Q$2:$Q439,$P440)&gt;=1),"",$P440))))</f>
        <v/>
      </c>
      <c r="R440" s="1017" t="str">
        <f ca="1">IF($A440="","",IFERROR(INDEX(TinhGia!$BF$10:$BF$81,MATCH($A440,TinhGia!$B$10:$B$81,0)),""))</f>
        <v/>
      </c>
      <c r="S440" s="1012" t="str">
        <f ca="1">IF($A440="","",IF(OR(IFERROR(SEARCH($R440,XKNVLSX!$X$1,1),0)&gt;=1,XKNVLSX!$X$1=""),$S$2,""))</f>
        <v/>
      </c>
      <c r="T440" s="1018" t="str">
        <f ca="1">IF($C440="","", IF(OR($P440=$V$1,$P440=$V$7,COUNTIFS($C$3:$C440,$C440,$E$3:$E440,$E440)&lt;=1),$P440,""    ))</f>
        <v/>
      </c>
      <c r="U440" s="1019" t="str">
        <f ca="1">IF(AND($P440=$V$2,COUNTIFS($C$3:$C440,$C440,$E$3:$E440,$E440,$G$3:$G440,$G440)&lt;=1),$P440,"")</f>
        <v/>
      </c>
    </row>
    <row r="441" spans="1:21">
      <c r="A441" s="991" t="str">
        <f ca="1">IFERROR(IF(COUNTIF($A$3:A440,A440)&lt; INDEX(TinhGia!$BH$10:$BH$81,MATCH($A440,TinhGia!$B$10:$B$81,0)),$A440,INDEX(TinhGia!$B$10:$B$81,MATCH($A440,TinhGia!$B$10:$B$81,0)+1)),"")</f>
        <v/>
      </c>
      <c r="B441" s="525" t="str">
        <f ca="1">IF(OR(A441="",A441=0),"",IF(COUNTIF($A$2:A441,$A441)=1,ROW(MauKoXoa!$C$108),$B440+1))</f>
        <v/>
      </c>
      <c r="C441" s="992" t="str">
        <f t="shared" ca="1" si="40"/>
        <v/>
      </c>
      <c r="D441" s="993" t="str">
        <f t="shared" ca="1" si="41"/>
        <v/>
      </c>
      <c r="E441" s="993" t="str">
        <f t="shared" ca="1" si="42"/>
        <v/>
      </c>
      <c r="F441" s="992" t="str">
        <f t="shared" ca="1" si="58"/>
        <v/>
      </c>
      <c r="G441" s="994">
        <f t="shared" ca="1" si="43"/>
        <v>0</v>
      </c>
      <c r="H441" s="913">
        <f t="shared" ca="1" si="44"/>
        <v>0</v>
      </c>
      <c r="I441" s="913">
        <f t="shared" ca="1" si="45"/>
        <v>0</v>
      </c>
      <c r="J441" s="995">
        <f t="shared" ca="1" si="59"/>
        <v>0</v>
      </c>
      <c r="K441" s="913">
        <f t="shared" ca="1" si="47"/>
        <v>0</v>
      </c>
      <c r="L441" s="995">
        <f t="shared" ca="1" si="60"/>
        <v>0</v>
      </c>
      <c r="M441" s="913">
        <f t="shared" ca="1" si="49"/>
        <v>0</v>
      </c>
      <c r="N441" s="996">
        <f t="shared" ca="1" si="50"/>
        <v>0</v>
      </c>
      <c r="O441" s="997">
        <f t="shared" ca="1" si="51"/>
        <v>0</v>
      </c>
      <c r="P441" s="1015" t="str">
        <f ca="1">IF($C441="","",INDEX(NVLSX!$N$2:$N$6941,MATCH($C441,NVLSX!$E$2:$E$6941,0)))</f>
        <v/>
      </c>
      <c r="Q441" s="1016" t="str">
        <f ca="1">IF($R441="","",IF(XKNVLSX!$X$1="",IF($P441=$V$7,$P441, IF(COUNTIFS($C$2:$C440,$C441,$E$2:$E440,$E441)&gt;=1,"",$P441)),     IF(AND(IFERROR(SEARCH($R441,XKNVLSX!$X$1,1),0)&gt;=1,$P441=$V$7),$P441, IF(OR($R441&lt;&gt;IF(IFERROR(SEARCH($R441,XKNVLSX!$X$1,1),0)&gt;=1,$R441,XKNVLSX!$X$1),COUNTIFS($C$2:$C440,$C441,$E$2:$E440,$E441,$Q$2:$Q440,$P441)&gt;=1),"",$P441))))</f>
        <v/>
      </c>
      <c r="R441" s="1017" t="str">
        <f ca="1">IF($A441="","",IFERROR(INDEX(TinhGia!$BF$10:$BF$81,MATCH($A441,TinhGia!$B$10:$B$81,0)),""))</f>
        <v/>
      </c>
      <c r="S441" s="1012" t="str">
        <f ca="1">IF($A441="","",IF(OR(IFERROR(SEARCH($R441,XKNVLSX!$X$1,1),0)&gt;=1,XKNVLSX!$X$1=""),$S$2,""))</f>
        <v/>
      </c>
      <c r="T441" s="1018" t="str">
        <f ca="1">IF($C441="","", IF(OR($P441=$V$1,$P441=$V$7,COUNTIFS($C$3:$C441,$C441,$E$3:$E441,$E441)&lt;=1),$P441,""    ))</f>
        <v/>
      </c>
      <c r="U441" s="1019" t="str">
        <f ca="1">IF(AND($P441=$V$2,COUNTIFS($C$3:$C441,$C441,$E$3:$E441,$E441,$G$3:$G441,$G441)&lt;=1),$P441,"")</f>
        <v/>
      </c>
    </row>
    <row r="442" spans="1:21">
      <c r="A442" s="991" t="str">
        <f ca="1">IFERROR(IF(COUNTIF($A$3:A441,A441)&lt; INDEX(TinhGia!$BH$10:$BH$81,MATCH($A441,TinhGia!$B$10:$B$81,0)),$A441,INDEX(TinhGia!$B$10:$B$81,MATCH($A441,TinhGia!$B$10:$B$81,0)+1)),"")</f>
        <v/>
      </c>
      <c r="B442" s="525" t="str">
        <f ca="1">IF(OR(A442="",A442=0),"",IF(COUNTIF($A$2:A442,$A442)=1,ROW(MauKoXoa!$C$108),$B441+1))</f>
        <v/>
      </c>
      <c r="C442" s="992" t="str">
        <f t="shared" ca="1" si="40"/>
        <v/>
      </c>
      <c r="D442" s="993" t="str">
        <f t="shared" ca="1" si="41"/>
        <v/>
      </c>
      <c r="E442" s="993" t="str">
        <f t="shared" ca="1" si="42"/>
        <v/>
      </c>
      <c r="F442" s="992" t="str">
        <f t="shared" ca="1" si="58"/>
        <v/>
      </c>
      <c r="G442" s="994">
        <f t="shared" ca="1" si="43"/>
        <v>0</v>
      </c>
      <c r="H442" s="913">
        <f t="shared" ca="1" si="44"/>
        <v>0</v>
      </c>
      <c r="I442" s="913">
        <f t="shared" ca="1" si="45"/>
        <v>0</v>
      </c>
      <c r="J442" s="995">
        <f t="shared" ca="1" si="59"/>
        <v>0</v>
      </c>
      <c r="K442" s="913">
        <f t="shared" ca="1" si="47"/>
        <v>0</v>
      </c>
      <c r="L442" s="995">
        <f t="shared" ca="1" si="60"/>
        <v>0</v>
      </c>
      <c r="M442" s="913">
        <f t="shared" ca="1" si="49"/>
        <v>0</v>
      </c>
      <c r="N442" s="996">
        <f t="shared" ca="1" si="50"/>
        <v>0</v>
      </c>
      <c r="O442" s="997">
        <f t="shared" ca="1" si="51"/>
        <v>0</v>
      </c>
      <c r="P442" s="1015" t="str">
        <f ca="1">IF($C442="","",INDEX(NVLSX!$N$2:$N$6941,MATCH($C442,NVLSX!$E$2:$E$6941,0)))</f>
        <v/>
      </c>
      <c r="Q442" s="1016" t="str">
        <f ca="1">IF($R442="","",IF(XKNVLSX!$X$1="",IF($P442=$V$7,$P442, IF(COUNTIFS($C$2:$C441,$C442,$E$2:$E441,$E442)&gt;=1,"",$P442)),     IF(AND(IFERROR(SEARCH($R442,XKNVLSX!$X$1,1),0)&gt;=1,$P442=$V$7),$P442, IF(OR($R442&lt;&gt;IF(IFERROR(SEARCH($R442,XKNVLSX!$X$1,1),0)&gt;=1,$R442,XKNVLSX!$X$1),COUNTIFS($C$2:$C441,$C442,$E$2:$E441,$E442,$Q$2:$Q441,$P442)&gt;=1),"",$P442))))</f>
        <v/>
      </c>
      <c r="R442" s="1017" t="str">
        <f ca="1">IF($A442="","",IFERROR(INDEX(TinhGia!$BF$10:$BF$81,MATCH($A442,TinhGia!$B$10:$B$81,0)),""))</f>
        <v/>
      </c>
      <c r="S442" s="1012" t="str">
        <f ca="1">IF($A442="","",IF(OR(IFERROR(SEARCH($R442,XKNVLSX!$X$1,1),0)&gt;=1,XKNVLSX!$X$1=""),$S$2,""))</f>
        <v/>
      </c>
      <c r="T442" s="1018" t="str">
        <f ca="1">IF($C442="","", IF(OR($P442=$V$1,$P442=$V$7,COUNTIFS($C$3:$C442,$C442,$E$3:$E442,$E442)&lt;=1),$P442,""    ))</f>
        <v/>
      </c>
      <c r="U442" s="1019" t="str">
        <f ca="1">IF(AND($P442=$V$2,COUNTIFS($C$3:$C442,$C442,$E$3:$E442,$E442,$G$3:$G442,$G442)&lt;=1),$P442,"")</f>
        <v/>
      </c>
    </row>
    <row r="443" spans="1:21">
      <c r="A443" s="991" t="str">
        <f ca="1">IFERROR(IF(COUNTIF($A$3:A442,A442)&lt; INDEX(TinhGia!$BH$10:$BH$81,MATCH($A442,TinhGia!$B$10:$B$81,0)),$A442,INDEX(TinhGia!$B$10:$B$81,MATCH($A442,TinhGia!$B$10:$B$81,0)+1)),"")</f>
        <v/>
      </c>
      <c r="B443" s="525" t="str">
        <f ca="1">IF(OR(A443="",A443=0),"",IF(COUNTIF($A$2:A443,$A443)=1,ROW(MauKoXoa!$C$108),$B442+1))</f>
        <v/>
      </c>
      <c r="C443" s="992" t="str">
        <f t="shared" ca="1" si="40"/>
        <v/>
      </c>
      <c r="D443" s="993" t="str">
        <f t="shared" ca="1" si="41"/>
        <v/>
      </c>
      <c r="E443" s="993" t="str">
        <f t="shared" ca="1" si="42"/>
        <v/>
      </c>
      <c r="F443" s="992" t="str">
        <f t="shared" ca="1" si="58"/>
        <v/>
      </c>
      <c r="G443" s="994">
        <f t="shared" ca="1" si="43"/>
        <v>0</v>
      </c>
      <c r="H443" s="913">
        <f t="shared" ca="1" si="44"/>
        <v>0</v>
      </c>
      <c r="I443" s="913">
        <f t="shared" ca="1" si="45"/>
        <v>0</v>
      </c>
      <c r="J443" s="995">
        <f t="shared" ca="1" si="59"/>
        <v>0</v>
      </c>
      <c r="K443" s="913">
        <f t="shared" ca="1" si="47"/>
        <v>0</v>
      </c>
      <c r="L443" s="995">
        <f t="shared" ca="1" si="60"/>
        <v>0</v>
      </c>
      <c r="M443" s="913">
        <f t="shared" ca="1" si="49"/>
        <v>0</v>
      </c>
      <c r="N443" s="996">
        <f t="shared" ca="1" si="50"/>
        <v>0</v>
      </c>
      <c r="O443" s="997">
        <f t="shared" ca="1" si="51"/>
        <v>0</v>
      </c>
      <c r="P443" s="1015" t="str">
        <f ca="1">IF($C443="","",INDEX(NVLSX!$N$2:$N$6941,MATCH($C443,NVLSX!$E$2:$E$6941,0)))</f>
        <v/>
      </c>
      <c r="Q443" s="1016" t="str">
        <f ca="1">IF($R443="","",IF(XKNVLSX!$X$1="",IF($P443=$V$7,$P443, IF(COUNTIFS($C$2:$C442,$C443,$E$2:$E442,$E443)&gt;=1,"",$P443)),     IF(AND(IFERROR(SEARCH($R443,XKNVLSX!$X$1,1),0)&gt;=1,$P443=$V$7),$P443, IF(OR($R443&lt;&gt;IF(IFERROR(SEARCH($R443,XKNVLSX!$X$1,1),0)&gt;=1,$R443,XKNVLSX!$X$1),COUNTIFS($C$2:$C442,$C443,$E$2:$E442,$E443,$Q$2:$Q442,$P443)&gt;=1),"",$P443))))</f>
        <v/>
      </c>
      <c r="R443" s="1017" t="str">
        <f ca="1">IF($A443="","",IFERROR(INDEX(TinhGia!$BF$10:$BF$81,MATCH($A443,TinhGia!$B$10:$B$81,0)),""))</f>
        <v/>
      </c>
      <c r="S443" s="1012" t="str">
        <f ca="1">IF($A443="","",IF(OR(IFERROR(SEARCH($R443,XKNVLSX!$X$1,1),0)&gt;=1,XKNVLSX!$X$1=""),$S$2,""))</f>
        <v/>
      </c>
      <c r="T443" s="1018" t="str">
        <f ca="1">IF($C443="","", IF(OR($P443=$V$1,$P443=$V$7,COUNTIFS($C$3:$C443,$C443,$E$3:$E443,$E443)&lt;=1),$P443,""    ))</f>
        <v/>
      </c>
      <c r="U443" s="1019" t="str">
        <f ca="1">IF(AND($P443=$V$2,COUNTIFS($C$3:$C443,$C443,$E$3:$E443,$E443,$G$3:$G443,$G443)&lt;=1),$P443,"")</f>
        <v/>
      </c>
    </row>
    <row r="444" spans="1:21">
      <c r="A444" s="991" t="str">
        <f ca="1">IFERROR(IF(COUNTIF($A$3:A443,A443)&lt; INDEX(TinhGia!$BH$10:$BH$81,MATCH($A443,TinhGia!$B$10:$B$81,0)),$A443,INDEX(TinhGia!$B$10:$B$81,MATCH($A443,TinhGia!$B$10:$B$81,0)+1)),"")</f>
        <v/>
      </c>
      <c r="B444" s="525" t="str">
        <f ca="1">IF(OR(A444="",A444=0),"",IF(COUNTIF($A$2:A444,$A444)=1,ROW(MauKoXoa!$C$108),$B443+1))</f>
        <v/>
      </c>
      <c r="C444" s="992" t="str">
        <f t="shared" ca="1" si="40"/>
        <v/>
      </c>
      <c r="D444" s="993" t="str">
        <f t="shared" ca="1" si="41"/>
        <v/>
      </c>
      <c r="E444" s="993" t="str">
        <f t="shared" ca="1" si="42"/>
        <v/>
      </c>
      <c r="F444" s="992" t="str">
        <f t="shared" ca="1" si="58"/>
        <v/>
      </c>
      <c r="G444" s="994">
        <f t="shared" ca="1" si="43"/>
        <v>0</v>
      </c>
      <c r="H444" s="913">
        <f t="shared" ca="1" si="44"/>
        <v>0</v>
      </c>
      <c r="I444" s="913">
        <f t="shared" ca="1" si="45"/>
        <v>0</v>
      </c>
      <c r="J444" s="995">
        <f t="shared" ca="1" si="59"/>
        <v>0</v>
      </c>
      <c r="K444" s="913">
        <f t="shared" ca="1" si="47"/>
        <v>0</v>
      </c>
      <c r="L444" s="995">
        <f t="shared" ca="1" si="60"/>
        <v>0</v>
      </c>
      <c r="M444" s="913">
        <f t="shared" ca="1" si="49"/>
        <v>0</v>
      </c>
      <c r="N444" s="996">
        <f t="shared" ca="1" si="50"/>
        <v>0</v>
      </c>
      <c r="O444" s="997">
        <f t="shared" ca="1" si="51"/>
        <v>0</v>
      </c>
      <c r="P444" s="1015" t="str">
        <f ca="1">IF($C444="","",INDEX(NVLSX!$N$2:$N$6941,MATCH($C444,NVLSX!$E$2:$E$6941,0)))</f>
        <v/>
      </c>
      <c r="Q444" s="1016" t="str">
        <f ca="1">IF($R444="","",IF(XKNVLSX!$X$1="",IF($P444=$V$7,$P444, IF(COUNTIFS($C$2:$C443,$C444,$E$2:$E443,$E444)&gt;=1,"",$P444)),     IF(AND(IFERROR(SEARCH($R444,XKNVLSX!$X$1,1),0)&gt;=1,$P444=$V$7),$P444, IF(OR($R444&lt;&gt;IF(IFERROR(SEARCH($R444,XKNVLSX!$X$1,1),0)&gt;=1,$R444,XKNVLSX!$X$1),COUNTIFS($C$2:$C443,$C444,$E$2:$E443,$E444,$Q$2:$Q443,$P444)&gt;=1),"",$P444))))</f>
        <v/>
      </c>
      <c r="R444" s="1017" t="str">
        <f ca="1">IF($A444="","",IFERROR(INDEX(TinhGia!$BF$10:$BF$81,MATCH($A444,TinhGia!$B$10:$B$81,0)),""))</f>
        <v/>
      </c>
      <c r="S444" s="1012" t="str">
        <f ca="1">IF($A444="","",IF(OR(IFERROR(SEARCH($R444,XKNVLSX!$X$1,1),0)&gt;=1,XKNVLSX!$X$1=""),$S$2,""))</f>
        <v/>
      </c>
      <c r="T444" s="1018" t="str">
        <f ca="1">IF($C444="","", IF(OR($P444=$V$1,$P444=$V$7,COUNTIFS($C$3:$C444,$C444,$E$3:$E444,$E444)&lt;=1),$P444,""    ))</f>
        <v/>
      </c>
      <c r="U444" s="1019" t="str">
        <f ca="1">IF(AND($P444=$V$2,COUNTIFS($C$3:$C444,$C444,$E$3:$E444,$E444,$G$3:$G444,$G444)&lt;=1),$P444,"")</f>
        <v/>
      </c>
    </row>
    <row r="445" spans="1:21">
      <c r="A445" s="991" t="str">
        <f ca="1">IFERROR(IF(COUNTIF($A$3:A444,A444)&lt; INDEX(TinhGia!$BH$10:$BH$81,MATCH($A444,TinhGia!$B$10:$B$81,0)),$A444,INDEX(TinhGia!$B$10:$B$81,MATCH($A444,TinhGia!$B$10:$B$81,0)+1)),"")</f>
        <v/>
      </c>
      <c r="B445" s="525" t="str">
        <f ca="1">IF(OR(A445="",A445=0),"",IF(COUNTIF($A$2:A445,$A445)=1,ROW(MauKoXoa!$C$108),$B444+1))</f>
        <v/>
      </c>
      <c r="C445" s="992" t="str">
        <f t="shared" ca="1" si="40"/>
        <v/>
      </c>
      <c r="D445" s="993" t="str">
        <f t="shared" ca="1" si="41"/>
        <v/>
      </c>
      <c r="E445" s="993" t="str">
        <f t="shared" ca="1" si="42"/>
        <v/>
      </c>
      <c r="F445" s="992" t="str">
        <f t="shared" ca="1" si="58"/>
        <v/>
      </c>
      <c r="G445" s="994">
        <f t="shared" ca="1" si="43"/>
        <v>0</v>
      </c>
      <c r="H445" s="913">
        <f t="shared" ca="1" si="44"/>
        <v>0</v>
      </c>
      <c r="I445" s="913">
        <f t="shared" ca="1" si="45"/>
        <v>0</v>
      </c>
      <c r="J445" s="995">
        <f t="shared" ca="1" si="59"/>
        <v>0</v>
      </c>
      <c r="K445" s="913">
        <f t="shared" ca="1" si="47"/>
        <v>0</v>
      </c>
      <c r="L445" s="995">
        <f t="shared" ca="1" si="60"/>
        <v>0</v>
      </c>
      <c r="M445" s="913">
        <f t="shared" ca="1" si="49"/>
        <v>0</v>
      </c>
      <c r="N445" s="996">
        <f t="shared" ca="1" si="50"/>
        <v>0</v>
      </c>
      <c r="O445" s="997">
        <f t="shared" ca="1" si="51"/>
        <v>0</v>
      </c>
      <c r="P445" s="1015" t="str">
        <f ca="1">IF($C445="","",INDEX(NVLSX!$N$2:$N$6941,MATCH($C445,NVLSX!$E$2:$E$6941,0)))</f>
        <v/>
      </c>
      <c r="Q445" s="1016" t="str">
        <f ca="1">IF($R445="","",IF(XKNVLSX!$X$1="",IF($P445=$V$7,$P445, IF(COUNTIFS($C$2:$C444,$C445,$E$2:$E444,$E445)&gt;=1,"",$P445)),     IF(AND(IFERROR(SEARCH($R445,XKNVLSX!$X$1,1),0)&gt;=1,$P445=$V$7),$P445, IF(OR($R445&lt;&gt;IF(IFERROR(SEARCH($R445,XKNVLSX!$X$1,1),0)&gt;=1,$R445,XKNVLSX!$X$1),COUNTIFS($C$2:$C444,$C445,$E$2:$E444,$E445,$Q$2:$Q444,$P445)&gt;=1),"",$P445))))</f>
        <v/>
      </c>
      <c r="R445" s="1017" t="str">
        <f ca="1">IF($A445="","",IFERROR(INDEX(TinhGia!$BF$10:$BF$81,MATCH($A445,TinhGia!$B$10:$B$81,0)),""))</f>
        <v/>
      </c>
      <c r="S445" s="1012" t="str">
        <f ca="1">IF($A445="","",IF(OR(IFERROR(SEARCH($R445,XKNVLSX!$X$1,1),0)&gt;=1,XKNVLSX!$X$1=""),$S$2,""))</f>
        <v/>
      </c>
      <c r="T445" s="1018" t="str">
        <f ca="1">IF($C445="","", IF(OR($P445=$V$1,$P445=$V$7,COUNTIFS($C$3:$C445,$C445,$E$3:$E445,$E445)&lt;=1),$P445,""    ))</f>
        <v/>
      </c>
      <c r="U445" s="1019" t="str">
        <f ca="1">IF(AND($P445=$V$2,COUNTIFS($C$3:$C445,$C445,$E$3:$E445,$E445,$G$3:$G445,$G445)&lt;=1),$P445,"")</f>
        <v/>
      </c>
    </row>
    <row r="446" spans="1:21">
      <c r="A446" s="991" t="str">
        <f ca="1">IFERROR(IF(COUNTIF($A$3:A445,A445)&lt; INDEX(TinhGia!$BH$10:$BH$81,MATCH($A445,TinhGia!$B$10:$B$81,0)),$A445,INDEX(TinhGia!$B$10:$B$81,MATCH($A445,TinhGia!$B$10:$B$81,0)+1)),"")</f>
        <v/>
      </c>
      <c r="B446" s="525" t="str">
        <f ca="1">IF(OR(A446="",A446=0),"",IF(COUNTIF($A$2:A446,$A446)=1,ROW(MauKoXoa!$C$108),$B445+1))</f>
        <v/>
      </c>
      <c r="C446" s="992" t="str">
        <f t="shared" ca="1" si="40"/>
        <v/>
      </c>
      <c r="D446" s="993" t="str">
        <f t="shared" ca="1" si="41"/>
        <v/>
      </c>
      <c r="E446" s="993" t="str">
        <f t="shared" ca="1" si="42"/>
        <v/>
      </c>
      <c r="F446" s="992" t="str">
        <f t="shared" ca="1" si="58"/>
        <v/>
      </c>
      <c r="G446" s="994">
        <f t="shared" ca="1" si="43"/>
        <v>0</v>
      </c>
      <c r="H446" s="913">
        <f t="shared" ca="1" si="44"/>
        <v>0</v>
      </c>
      <c r="I446" s="913">
        <f t="shared" ca="1" si="45"/>
        <v>0</v>
      </c>
      <c r="J446" s="995">
        <f t="shared" ca="1" si="59"/>
        <v>0</v>
      </c>
      <c r="K446" s="913">
        <f t="shared" ca="1" si="47"/>
        <v>0</v>
      </c>
      <c r="L446" s="995">
        <f t="shared" ca="1" si="60"/>
        <v>0</v>
      </c>
      <c r="M446" s="913">
        <f t="shared" ca="1" si="49"/>
        <v>0</v>
      </c>
      <c r="N446" s="996">
        <f t="shared" ca="1" si="50"/>
        <v>0</v>
      </c>
      <c r="O446" s="997">
        <f t="shared" ca="1" si="51"/>
        <v>0</v>
      </c>
      <c r="P446" s="1015" t="str">
        <f ca="1">IF($C446="","",INDEX(NVLSX!$N$2:$N$6941,MATCH($C446,NVLSX!$E$2:$E$6941,0)))</f>
        <v/>
      </c>
      <c r="Q446" s="1016" t="str">
        <f ca="1">IF($R446="","",IF(XKNVLSX!$X$1="",IF($P446=$V$7,$P446, IF(COUNTIFS($C$2:$C445,$C446,$E$2:$E445,$E446)&gt;=1,"",$P446)),     IF(AND(IFERROR(SEARCH($R446,XKNVLSX!$X$1,1),0)&gt;=1,$P446=$V$7),$P446, IF(OR($R446&lt;&gt;IF(IFERROR(SEARCH($R446,XKNVLSX!$X$1,1),0)&gt;=1,$R446,XKNVLSX!$X$1),COUNTIFS($C$2:$C445,$C446,$E$2:$E445,$E446,$Q$2:$Q445,$P446)&gt;=1),"",$P446))))</f>
        <v/>
      </c>
      <c r="R446" s="1017" t="str">
        <f ca="1">IF($A446="","",IFERROR(INDEX(TinhGia!$BF$10:$BF$81,MATCH($A446,TinhGia!$B$10:$B$81,0)),""))</f>
        <v/>
      </c>
      <c r="S446" s="1012" t="str">
        <f ca="1">IF($A446="","",IF(OR(IFERROR(SEARCH($R446,XKNVLSX!$X$1,1),0)&gt;=1,XKNVLSX!$X$1=""),$S$2,""))</f>
        <v/>
      </c>
      <c r="T446" s="1018" t="str">
        <f ca="1">IF($C446="","", IF(OR($P446=$V$1,$P446=$V$7,COUNTIFS($C$3:$C446,$C446,$E$3:$E446,$E446)&lt;=1),$P446,""    ))</f>
        <v/>
      </c>
      <c r="U446" s="1019" t="str">
        <f ca="1">IF(AND($P446=$V$2,COUNTIFS($C$3:$C446,$C446,$E$3:$E446,$E446,$G$3:$G446,$G446)&lt;=1),$P446,"")</f>
        <v/>
      </c>
    </row>
    <row r="447" spans="1:21">
      <c r="A447" s="991" t="str">
        <f ca="1">IFERROR(IF(COUNTIF($A$3:A446,A446)&lt; INDEX(TinhGia!$BH$10:$BH$81,MATCH($A446,TinhGia!$B$10:$B$81,0)),$A446,INDEX(TinhGia!$B$10:$B$81,MATCH($A446,TinhGia!$B$10:$B$81,0)+1)),"")</f>
        <v/>
      </c>
      <c r="B447" s="525" t="str">
        <f ca="1">IF(OR(A447="",A447=0),"",IF(COUNTIF($A$2:A447,$A447)=1,ROW(MauKoXoa!$C$108),$B446+1))</f>
        <v/>
      </c>
      <c r="C447" s="992" t="str">
        <f t="shared" ca="1" si="40"/>
        <v/>
      </c>
      <c r="D447" s="993" t="str">
        <f t="shared" ca="1" si="41"/>
        <v/>
      </c>
      <c r="E447" s="993" t="str">
        <f t="shared" ca="1" si="42"/>
        <v/>
      </c>
      <c r="F447" s="992" t="str">
        <f t="shared" ca="1" si="58"/>
        <v/>
      </c>
      <c r="G447" s="994">
        <f t="shared" ca="1" si="43"/>
        <v>0</v>
      </c>
      <c r="H447" s="913">
        <f t="shared" ca="1" si="44"/>
        <v>0</v>
      </c>
      <c r="I447" s="913">
        <f t="shared" ca="1" si="45"/>
        <v>0</v>
      </c>
      <c r="J447" s="995">
        <f t="shared" ca="1" si="59"/>
        <v>0</v>
      </c>
      <c r="K447" s="913">
        <f t="shared" ca="1" si="47"/>
        <v>0</v>
      </c>
      <c r="L447" s="995">
        <f t="shared" ca="1" si="60"/>
        <v>0</v>
      </c>
      <c r="M447" s="913">
        <f t="shared" ca="1" si="49"/>
        <v>0</v>
      </c>
      <c r="N447" s="996">
        <f t="shared" ca="1" si="50"/>
        <v>0</v>
      </c>
      <c r="O447" s="997">
        <f t="shared" ca="1" si="51"/>
        <v>0</v>
      </c>
      <c r="P447" s="1015" t="str">
        <f ca="1">IF($C447="","",INDEX(NVLSX!$N$2:$N$6941,MATCH($C447,NVLSX!$E$2:$E$6941,0)))</f>
        <v/>
      </c>
      <c r="Q447" s="1016" t="str">
        <f ca="1">IF($R447="","",IF(XKNVLSX!$X$1="",IF($P447=$V$7,$P447, IF(COUNTIFS($C$2:$C446,$C447,$E$2:$E446,$E447)&gt;=1,"",$P447)),     IF(AND(IFERROR(SEARCH($R447,XKNVLSX!$X$1,1),0)&gt;=1,$P447=$V$7),$P447, IF(OR($R447&lt;&gt;IF(IFERROR(SEARCH($R447,XKNVLSX!$X$1,1),0)&gt;=1,$R447,XKNVLSX!$X$1),COUNTIFS($C$2:$C446,$C447,$E$2:$E446,$E447,$Q$2:$Q446,$P447)&gt;=1),"",$P447))))</f>
        <v/>
      </c>
      <c r="R447" s="1017" t="str">
        <f ca="1">IF($A447="","",IFERROR(INDEX(TinhGia!$BF$10:$BF$81,MATCH($A447,TinhGia!$B$10:$B$81,0)),""))</f>
        <v/>
      </c>
      <c r="S447" s="1012" t="str">
        <f ca="1">IF($A447="","",IF(OR(IFERROR(SEARCH($R447,XKNVLSX!$X$1,1),0)&gt;=1,XKNVLSX!$X$1=""),$S$2,""))</f>
        <v/>
      </c>
      <c r="T447" s="1018" t="str">
        <f ca="1">IF($C447="","", IF(OR($P447=$V$1,$P447=$V$7,COUNTIFS($C$3:$C447,$C447,$E$3:$E447,$E447)&lt;=1),$P447,""    ))</f>
        <v/>
      </c>
      <c r="U447" s="1019" t="str">
        <f ca="1">IF(AND($P447=$V$2,COUNTIFS($C$3:$C447,$C447,$E$3:$E447,$E447,$G$3:$G447,$G447)&lt;=1),$P447,"")</f>
        <v/>
      </c>
    </row>
    <row r="448" spans="1:21">
      <c r="A448" s="991" t="str">
        <f ca="1">IFERROR(IF(COUNTIF($A$3:A447,A447)&lt; INDEX(TinhGia!$BH$10:$BH$81,MATCH($A447,TinhGia!$B$10:$B$81,0)),$A447,INDEX(TinhGia!$B$10:$B$81,MATCH($A447,TinhGia!$B$10:$B$81,0)+1)),"")</f>
        <v/>
      </c>
      <c r="B448" s="525" t="str">
        <f ca="1">IF(OR(A448="",A448=0),"",IF(COUNTIF($A$2:A448,$A448)=1,ROW(MauKoXoa!$C$108),$B447+1))</f>
        <v/>
      </c>
      <c r="C448" s="992" t="str">
        <f t="shared" ca="1" si="40"/>
        <v/>
      </c>
      <c r="D448" s="993" t="str">
        <f t="shared" ca="1" si="41"/>
        <v/>
      </c>
      <c r="E448" s="993" t="str">
        <f t="shared" ca="1" si="42"/>
        <v/>
      </c>
      <c r="F448" s="992" t="str">
        <f t="shared" ca="1" si="58"/>
        <v/>
      </c>
      <c r="G448" s="994">
        <f t="shared" ca="1" si="43"/>
        <v>0</v>
      </c>
      <c r="H448" s="913">
        <f t="shared" ca="1" si="44"/>
        <v>0</v>
      </c>
      <c r="I448" s="913">
        <f t="shared" ca="1" si="45"/>
        <v>0</v>
      </c>
      <c r="J448" s="995">
        <f t="shared" ca="1" si="59"/>
        <v>0</v>
      </c>
      <c r="K448" s="913">
        <f t="shared" ca="1" si="47"/>
        <v>0</v>
      </c>
      <c r="L448" s="995">
        <f t="shared" ca="1" si="60"/>
        <v>0</v>
      </c>
      <c r="M448" s="913">
        <f t="shared" ca="1" si="49"/>
        <v>0</v>
      </c>
      <c r="N448" s="996">
        <f t="shared" ca="1" si="50"/>
        <v>0</v>
      </c>
      <c r="O448" s="997">
        <f t="shared" ca="1" si="51"/>
        <v>0</v>
      </c>
      <c r="P448" s="1015" t="str">
        <f ca="1">IF($C448="","",INDEX(NVLSX!$N$2:$N$6941,MATCH($C448,NVLSX!$E$2:$E$6941,0)))</f>
        <v/>
      </c>
      <c r="Q448" s="1016" t="str">
        <f ca="1">IF($R448="","",IF(XKNVLSX!$X$1="",IF($P448=$V$7,$P448, IF(COUNTIFS($C$2:$C447,$C448,$E$2:$E447,$E448)&gt;=1,"",$P448)),     IF(AND(IFERROR(SEARCH($R448,XKNVLSX!$X$1,1),0)&gt;=1,$P448=$V$7),$P448, IF(OR($R448&lt;&gt;IF(IFERROR(SEARCH($R448,XKNVLSX!$X$1,1),0)&gt;=1,$R448,XKNVLSX!$X$1),COUNTIFS($C$2:$C447,$C448,$E$2:$E447,$E448,$Q$2:$Q447,$P448)&gt;=1),"",$P448))))</f>
        <v/>
      </c>
      <c r="R448" s="1017" t="str">
        <f ca="1">IF($A448="","",IFERROR(INDEX(TinhGia!$BF$10:$BF$81,MATCH($A448,TinhGia!$B$10:$B$81,0)),""))</f>
        <v/>
      </c>
      <c r="S448" s="1012" t="str">
        <f ca="1">IF($A448="","",IF(OR(IFERROR(SEARCH($R448,XKNVLSX!$X$1,1),0)&gt;=1,XKNVLSX!$X$1=""),$S$2,""))</f>
        <v/>
      </c>
      <c r="T448" s="1018" t="str">
        <f ca="1">IF($C448="","", IF(OR($P448=$V$1,$P448=$V$7,COUNTIFS($C$3:$C448,$C448,$E$3:$E448,$E448)&lt;=1),$P448,""    ))</f>
        <v/>
      </c>
      <c r="U448" s="1019" t="str">
        <f ca="1">IF(AND($P448=$V$2,COUNTIFS($C$3:$C448,$C448,$E$3:$E448,$E448,$G$3:$G448,$G448)&lt;=1),$P448,"")</f>
        <v/>
      </c>
    </row>
    <row r="449" spans="1:21">
      <c r="A449" s="991" t="str">
        <f ca="1">IFERROR(IF(COUNTIF($A$3:A448,A448)&lt; INDEX(TinhGia!$BH$10:$BH$81,MATCH($A448,TinhGia!$B$10:$B$81,0)),$A448,INDEX(TinhGia!$B$10:$B$81,MATCH($A448,TinhGia!$B$10:$B$81,0)+1)),"")</f>
        <v/>
      </c>
      <c r="B449" s="525" t="str">
        <f ca="1">IF(OR(A449="",A449=0),"",IF(COUNTIF($A$2:A449,$A449)=1,ROW(MauKoXoa!$C$108),$B448+1))</f>
        <v/>
      </c>
      <c r="C449" s="992" t="str">
        <f t="shared" ca="1" si="40"/>
        <v/>
      </c>
      <c r="D449" s="993" t="str">
        <f t="shared" ca="1" si="41"/>
        <v/>
      </c>
      <c r="E449" s="993" t="str">
        <f t="shared" ca="1" si="42"/>
        <v/>
      </c>
      <c r="F449" s="992" t="str">
        <f t="shared" ca="1" si="58"/>
        <v/>
      </c>
      <c r="G449" s="994">
        <f t="shared" ca="1" si="43"/>
        <v>0</v>
      </c>
      <c r="H449" s="913">
        <f t="shared" ca="1" si="44"/>
        <v>0</v>
      </c>
      <c r="I449" s="913">
        <f t="shared" ca="1" si="45"/>
        <v>0</v>
      </c>
      <c r="J449" s="995">
        <f t="shared" ca="1" si="59"/>
        <v>0</v>
      </c>
      <c r="K449" s="913">
        <f t="shared" ca="1" si="47"/>
        <v>0</v>
      </c>
      <c r="L449" s="995">
        <f t="shared" ca="1" si="60"/>
        <v>0</v>
      </c>
      <c r="M449" s="913">
        <f t="shared" ca="1" si="49"/>
        <v>0</v>
      </c>
      <c r="N449" s="996">
        <f t="shared" ca="1" si="50"/>
        <v>0</v>
      </c>
      <c r="O449" s="997">
        <f t="shared" ca="1" si="51"/>
        <v>0</v>
      </c>
      <c r="P449" s="1015" t="str">
        <f ca="1">IF($C449="","",INDEX(NVLSX!$N$2:$N$6941,MATCH($C449,NVLSX!$E$2:$E$6941,0)))</f>
        <v/>
      </c>
      <c r="Q449" s="1016" t="str">
        <f ca="1">IF($R449="","",IF(XKNVLSX!$X$1="",IF($P449=$V$7,$P449, IF(COUNTIFS($C$2:$C448,$C449,$E$2:$E448,$E449)&gt;=1,"",$P449)),     IF(AND(IFERROR(SEARCH($R449,XKNVLSX!$X$1,1),0)&gt;=1,$P449=$V$7),$P449, IF(OR($R449&lt;&gt;IF(IFERROR(SEARCH($R449,XKNVLSX!$X$1,1),0)&gt;=1,$R449,XKNVLSX!$X$1),COUNTIFS($C$2:$C448,$C449,$E$2:$E448,$E449,$Q$2:$Q448,$P449)&gt;=1),"",$P449))))</f>
        <v/>
      </c>
      <c r="R449" s="1017" t="str">
        <f ca="1">IF($A449="","",IFERROR(INDEX(TinhGia!$BF$10:$BF$81,MATCH($A449,TinhGia!$B$10:$B$81,0)),""))</f>
        <v/>
      </c>
      <c r="S449" s="1012" t="str">
        <f ca="1">IF($A449="","",IF(OR(IFERROR(SEARCH($R449,XKNVLSX!$X$1,1),0)&gt;=1,XKNVLSX!$X$1=""),$S$2,""))</f>
        <v/>
      </c>
      <c r="T449" s="1018" t="str">
        <f ca="1">IF($C449="","", IF(OR($P449=$V$1,$P449=$V$7,COUNTIFS($C$3:$C449,$C449,$E$3:$E449,$E449)&lt;=1),$P449,""    ))</f>
        <v/>
      </c>
      <c r="U449" s="1019" t="str">
        <f ca="1">IF(AND($P449=$V$2,COUNTIFS($C$3:$C449,$C449,$E$3:$E449,$E449,$G$3:$G449,$G449)&lt;=1),$P449,"")</f>
        <v/>
      </c>
    </row>
    <row r="450" spans="1:21">
      <c r="A450" s="991" t="str">
        <f ca="1">IFERROR(IF(COUNTIF($A$3:A449,A449)&lt; INDEX(TinhGia!$BH$10:$BH$81,MATCH($A449,TinhGia!$B$10:$B$81,0)),$A449,INDEX(TinhGia!$B$10:$B$81,MATCH($A449,TinhGia!$B$10:$B$81,0)+1)),"")</f>
        <v/>
      </c>
      <c r="B450" s="525" t="str">
        <f ca="1">IF(OR(A450="",A450=0),"",IF(COUNTIF($A$2:A450,$A450)=1,ROW(MauKoXoa!$C$108),$B449+1))</f>
        <v/>
      </c>
      <c r="C450" s="992" t="str">
        <f t="shared" ref="C450:C513" ca="1" si="61">IFERROR(INDIRECT("'" &amp; $A450 &amp; "'!" &amp; "C" &amp; $B450),"")</f>
        <v/>
      </c>
      <c r="D450" s="993" t="str">
        <f t="shared" ref="D450:D513" ca="1" si="62">IFERROR(INDIRECT("'" &amp; $A450 &amp; "'!" &amp; "D" &amp; $B450),"")</f>
        <v/>
      </c>
      <c r="E450" s="993" t="str">
        <f t="shared" ref="E450:E513" ca="1" si="63">IFERROR(INDIRECT("'" &amp; $A450 &amp; "'!" &amp; "P" &amp; $B450),"")</f>
        <v/>
      </c>
      <c r="F450" s="992" t="str">
        <f t="shared" ca="1" si="58"/>
        <v/>
      </c>
      <c r="G450" s="994">
        <f t="shared" ref="G450:G513" ca="1" si="64">IFERROR(INDIRECT("'" &amp; $A450 &amp; "'!" &amp; "F" &amp; $B450),0)</f>
        <v>0</v>
      </c>
      <c r="H450" s="913">
        <f t="shared" ref="H450:H513" ca="1" si="65">IFERROR(INDIRECT("'" &amp; $A450 &amp; "'!" &amp; "G" &amp; $B450),0)</f>
        <v>0</v>
      </c>
      <c r="I450" s="913">
        <f t="shared" ref="I450:I513" ca="1" si="66">IFERROR(INDIRECT("'" &amp; $A450 &amp; "'!" &amp; "H" &amp; $B450),0)</f>
        <v>0</v>
      </c>
      <c r="J450" s="995">
        <f t="shared" ca="1" si="59"/>
        <v>0</v>
      </c>
      <c r="K450" s="913">
        <f t="shared" ref="K450:K513" ca="1" si="67">IFERROR(INDIRECT("'" &amp; $A450 &amp; "'!" &amp; "L" &amp; $B450),0)</f>
        <v>0</v>
      </c>
      <c r="L450" s="995">
        <f t="shared" ca="1" si="60"/>
        <v>0</v>
      </c>
      <c r="M450" s="913">
        <f t="shared" ref="M450:M513" ca="1" si="68">IFERROR(INDIRECT("'" &amp; $A450 &amp; "'!" &amp; "M" &amp; $B450),0)</f>
        <v>0</v>
      </c>
      <c r="N450" s="996">
        <f t="shared" ref="N450:N513" ca="1" si="69">IFERROR(INDIRECT("'" &amp; $A450 &amp; "'!" &amp; "N" &amp; $B450),0)</f>
        <v>0</v>
      </c>
      <c r="O450" s="997">
        <f t="shared" ref="O450:O513" ca="1" si="70">IFERROR(INDIRECT("'" &amp; $A450 &amp; "'!" &amp; "O" &amp; $B450),0)</f>
        <v>0</v>
      </c>
      <c r="P450" s="1015" t="str">
        <f ca="1">IF($C450="","",INDEX(NVLSX!$N$2:$N$6941,MATCH($C450,NVLSX!$E$2:$E$6941,0)))</f>
        <v/>
      </c>
      <c r="Q450" s="1016" t="str">
        <f ca="1">IF($R450="","",IF(XKNVLSX!$X$1="",IF($P450=$V$7,$P450, IF(COUNTIFS($C$2:$C449,$C450,$E$2:$E449,$E450)&gt;=1,"",$P450)),     IF(AND(IFERROR(SEARCH($R450,XKNVLSX!$X$1,1),0)&gt;=1,$P450=$V$7),$P450, IF(OR($R450&lt;&gt;IF(IFERROR(SEARCH($R450,XKNVLSX!$X$1,1),0)&gt;=1,$R450,XKNVLSX!$X$1),COUNTIFS($C$2:$C449,$C450,$E$2:$E449,$E450,$Q$2:$Q449,$P450)&gt;=1),"",$P450))))</f>
        <v/>
      </c>
      <c r="R450" s="1017" t="str">
        <f ca="1">IF($A450="","",IFERROR(INDEX(TinhGia!$BF$10:$BF$81,MATCH($A450,TinhGia!$B$10:$B$81,0)),""))</f>
        <v/>
      </c>
      <c r="S450" s="1012" t="str">
        <f ca="1">IF($A450="","",IF(OR(IFERROR(SEARCH($R450,XKNVLSX!$X$1,1),0)&gt;=1,XKNVLSX!$X$1=""),$S$2,""))</f>
        <v/>
      </c>
      <c r="T450" s="1018" t="str">
        <f ca="1">IF($C450="","", IF(OR($P450=$V$1,$P450=$V$7,COUNTIFS($C$3:$C450,$C450,$E$3:$E450,$E450)&lt;=1),$P450,""    ))</f>
        <v/>
      </c>
      <c r="U450" s="1019" t="str">
        <f ca="1">IF(AND($P450=$V$2,COUNTIFS($C$3:$C450,$C450,$E$3:$E450,$E450,$G$3:$G450,$G450)&lt;=1),$P450,"")</f>
        <v/>
      </c>
    </row>
    <row r="451" spans="1:21">
      <c r="A451" s="991" t="str">
        <f ca="1">IFERROR(IF(COUNTIF($A$3:A450,A450)&lt; INDEX(TinhGia!$BH$10:$BH$81,MATCH($A450,TinhGia!$B$10:$B$81,0)),$A450,INDEX(TinhGia!$B$10:$B$81,MATCH($A450,TinhGia!$B$10:$B$81,0)+1)),"")</f>
        <v/>
      </c>
      <c r="B451" s="525" t="str">
        <f ca="1">IF(OR(A451="",A451=0),"",IF(COUNTIF($A$2:A451,$A451)=1,ROW(MauKoXoa!$C$108),$B450+1))</f>
        <v/>
      </c>
      <c r="C451" s="992" t="str">
        <f t="shared" ca="1" si="61"/>
        <v/>
      </c>
      <c r="D451" s="993" t="str">
        <f t="shared" ca="1" si="62"/>
        <v/>
      </c>
      <c r="E451" s="993" t="str">
        <f t="shared" ca="1" si="63"/>
        <v/>
      </c>
      <c r="F451" s="992" t="str">
        <f t="shared" ref="F451:F514" ca="1" si="71">IF($P451=$V$7, IFERROR(INDIRECT("'" &amp; $A451 &amp; "'!" &amp; "I" &amp; $B451),""),IFERROR(INDIRECT("'" &amp; $A451 &amp; "'!" &amp; "E" &amp; $B451),""))</f>
        <v/>
      </c>
      <c r="G451" s="994">
        <f t="shared" ca="1" si="64"/>
        <v>0</v>
      </c>
      <c r="H451" s="913">
        <f t="shared" ca="1" si="65"/>
        <v>0</v>
      </c>
      <c r="I451" s="913">
        <f t="shared" ca="1" si="66"/>
        <v>0</v>
      </c>
      <c r="J451" s="995">
        <f t="shared" ca="1" si="59"/>
        <v>0</v>
      </c>
      <c r="K451" s="913">
        <f t="shared" ca="1" si="67"/>
        <v>0</v>
      </c>
      <c r="L451" s="995">
        <f t="shared" ca="1" si="60"/>
        <v>0</v>
      </c>
      <c r="M451" s="913">
        <f t="shared" ca="1" si="68"/>
        <v>0</v>
      </c>
      <c r="N451" s="996">
        <f t="shared" ca="1" si="69"/>
        <v>0</v>
      </c>
      <c r="O451" s="997">
        <f t="shared" ca="1" si="70"/>
        <v>0</v>
      </c>
      <c r="P451" s="1015" t="str">
        <f ca="1">IF($C451="","",INDEX(NVLSX!$N$2:$N$6941,MATCH($C451,NVLSX!$E$2:$E$6941,0)))</f>
        <v/>
      </c>
      <c r="Q451" s="1016" t="str">
        <f ca="1">IF($R451="","",IF(XKNVLSX!$X$1="",IF($P451=$V$7,$P451, IF(COUNTIFS($C$2:$C450,$C451,$E$2:$E450,$E451)&gt;=1,"",$P451)),     IF(AND(IFERROR(SEARCH($R451,XKNVLSX!$X$1,1),0)&gt;=1,$P451=$V$7),$P451, IF(OR($R451&lt;&gt;IF(IFERROR(SEARCH($R451,XKNVLSX!$X$1,1),0)&gt;=1,$R451,XKNVLSX!$X$1),COUNTIFS($C$2:$C450,$C451,$E$2:$E450,$E451,$Q$2:$Q450,$P451)&gt;=1),"",$P451))))</f>
        <v/>
      </c>
      <c r="R451" s="1017" t="str">
        <f ca="1">IF($A451="","",IFERROR(INDEX(TinhGia!$BF$10:$BF$81,MATCH($A451,TinhGia!$B$10:$B$81,0)),""))</f>
        <v/>
      </c>
      <c r="S451" s="1012" t="str">
        <f ca="1">IF($A451="","",IF(OR(IFERROR(SEARCH($R451,XKNVLSX!$X$1,1),0)&gt;=1,XKNVLSX!$X$1=""),$S$2,""))</f>
        <v/>
      </c>
      <c r="T451" s="1018" t="str">
        <f ca="1">IF($C451="","", IF(OR($P451=$V$1,$P451=$V$7,COUNTIFS($C$3:$C451,$C451,$E$3:$E451,$E451)&lt;=1),$P451,""    ))</f>
        <v/>
      </c>
      <c r="U451" s="1019" t="str">
        <f ca="1">IF(AND($P451=$V$2,COUNTIFS($C$3:$C451,$C451,$E$3:$E451,$E451,$G$3:$G451,$G451)&lt;=1),$P451,"")</f>
        <v/>
      </c>
    </row>
    <row r="452" spans="1:21">
      <c r="A452" s="991" t="str">
        <f ca="1">IFERROR(IF(COUNTIF($A$3:A451,A451)&lt; INDEX(TinhGia!$BH$10:$BH$81,MATCH($A451,TinhGia!$B$10:$B$81,0)),$A451,INDEX(TinhGia!$B$10:$B$81,MATCH($A451,TinhGia!$B$10:$B$81,0)+1)),"")</f>
        <v/>
      </c>
      <c r="B452" s="525" t="str">
        <f ca="1">IF(OR(A452="",A452=0),"",IF(COUNTIF($A$2:A452,$A452)=1,ROW(MauKoXoa!$C$108),$B451+1))</f>
        <v/>
      </c>
      <c r="C452" s="992" t="str">
        <f t="shared" ca="1" si="61"/>
        <v/>
      </c>
      <c r="D452" s="993" t="str">
        <f t="shared" ca="1" si="62"/>
        <v/>
      </c>
      <c r="E452" s="993" t="str">
        <f t="shared" ca="1" si="63"/>
        <v/>
      </c>
      <c r="F452" s="992" t="str">
        <f t="shared" ca="1" si="71"/>
        <v/>
      </c>
      <c r="G452" s="994">
        <f t="shared" ca="1" si="64"/>
        <v>0</v>
      </c>
      <c r="H452" s="913">
        <f t="shared" ca="1" si="65"/>
        <v>0</v>
      </c>
      <c r="I452" s="913">
        <f t="shared" ca="1" si="66"/>
        <v>0</v>
      </c>
      <c r="J452" s="995">
        <f t="shared" ref="J452:J515" ca="1" si="72">IFERROR(INDIRECT("'" &amp; $A452 &amp; "'!" &amp; "J" &amp; $B452),0)</f>
        <v>0</v>
      </c>
      <c r="K452" s="913">
        <f t="shared" ca="1" si="67"/>
        <v>0</v>
      </c>
      <c r="L452" s="995">
        <f t="shared" ref="L452:L515" ca="1" si="73">+ IFERROR(INDIRECT("'" &amp; $A452 &amp; "'!" &amp; "K" &amp; $B452),0)</f>
        <v>0</v>
      </c>
      <c r="M452" s="913">
        <f t="shared" ca="1" si="68"/>
        <v>0</v>
      </c>
      <c r="N452" s="996">
        <f t="shared" ca="1" si="69"/>
        <v>0</v>
      </c>
      <c r="O452" s="997">
        <f t="shared" ca="1" si="70"/>
        <v>0</v>
      </c>
      <c r="P452" s="1015" t="str">
        <f ca="1">IF($C452="","",INDEX(NVLSX!$N$2:$N$6941,MATCH($C452,NVLSX!$E$2:$E$6941,0)))</f>
        <v/>
      </c>
      <c r="Q452" s="1016" t="str">
        <f ca="1">IF($R452="","",IF(XKNVLSX!$X$1="",IF($P452=$V$7,$P452, IF(COUNTIFS($C$2:$C451,$C452,$E$2:$E451,$E452)&gt;=1,"",$P452)),     IF(AND(IFERROR(SEARCH($R452,XKNVLSX!$X$1,1),0)&gt;=1,$P452=$V$7),$P452, IF(OR($R452&lt;&gt;IF(IFERROR(SEARCH($R452,XKNVLSX!$X$1,1),0)&gt;=1,$R452,XKNVLSX!$X$1),COUNTIFS($C$2:$C451,$C452,$E$2:$E451,$E452,$Q$2:$Q451,$P452)&gt;=1),"",$P452))))</f>
        <v/>
      </c>
      <c r="R452" s="1017" t="str">
        <f ca="1">IF($A452="","",IFERROR(INDEX(TinhGia!$BF$10:$BF$81,MATCH($A452,TinhGia!$B$10:$B$81,0)),""))</f>
        <v/>
      </c>
      <c r="S452" s="1012" t="str">
        <f ca="1">IF($A452="","",IF(OR(IFERROR(SEARCH($R452,XKNVLSX!$X$1,1),0)&gt;=1,XKNVLSX!$X$1=""),$S$2,""))</f>
        <v/>
      </c>
      <c r="T452" s="1018" t="str">
        <f ca="1">IF($C452="","", IF(OR($P452=$V$1,$P452=$V$7,COUNTIFS($C$3:$C452,$C452,$E$3:$E452,$E452)&lt;=1),$P452,""    ))</f>
        <v/>
      </c>
      <c r="U452" s="1019" t="str">
        <f ca="1">IF(AND($P452=$V$2,COUNTIFS($C$3:$C452,$C452,$E$3:$E452,$E452,$G$3:$G452,$G452)&lt;=1),$P452,"")</f>
        <v/>
      </c>
    </row>
    <row r="453" spans="1:21">
      <c r="A453" s="991" t="str">
        <f ca="1">IFERROR(IF(COUNTIF($A$3:A452,A452)&lt; INDEX(TinhGia!$BH$10:$BH$81,MATCH($A452,TinhGia!$B$10:$B$81,0)),$A452,INDEX(TinhGia!$B$10:$B$81,MATCH($A452,TinhGia!$B$10:$B$81,0)+1)),"")</f>
        <v/>
      </c>
      <c r="B453" s="525" t="str">
        <f ca="1">IF(OR(A453="",A453=0),"",IF(COUNTIF($A$2:A453,$A453)=1,ROW(MauKoXoa!$C$108),$B452+1))</f>
        <v/>
      </c>
      <c r="C453" s="992" t="str">
        <f t="shared" ca="1" si="61"/>
        <v/>
      </c>
      <c r="D453" s="993" t="str">
        <f t="shared" ca="1" si="62"/>
        <v/>
      </c>
      <c r="E453" s="993" t="str">
        <f t="shared" ca="1" si="63"/>
        <v/>
      </c>
      <c r="F453" s="992" t="str">
        <f t="shared" ca="1" si="71"/>
        <v/>
      </c>
      <c r="G453" s="994">
        <f t="shared" ca="1" si="64"/>
        <v>0</v>
      </c>
      <c r="H453" s="913">
        <f t="shared" ca="1" si="65"/>
        <v>0</v>
      </c>
      <c r="I453" s="913">
        <f t="shared" ca="1" si="66"/>
        <v>0</v>
      </c>
      <c r="J453" s="995">
        <f t="shared" ca="1" si="72"/>
        <v>0</v>
      </c>
      <c r="K453" s="913">
        <f t="shared" ca="1" si="67"/>
        <v>0</v>
      </c>
      <c r="L453" s="995">
        <f t="shared" ca="1" si="73"/>
        <v>0</v>
      </c>
      <c r="M453" s="913">
        <f t="shared" ca="1" si="68"/>
        <v>0</v>
      </c>
      <c r="N453" s="996">
        <f t="shared" ca="1" si="69"/>
        <v>0</v>
      </c>
      <c r="O453" s="997">
        <f t="shared" ca="1" si="70"/>
        <v>0</v>
      </c>
      <c r="P453" s="1015" t="str">
        <f ca="1">IF($C453="","",INDEX(NVLSX!$N$2:$N$6941,MATCH($C453,NVLSX!$E$2:$E$6941,0)))</f>
        <v/>
      </c>
      <c r="Q453" s="1016" t="str">
        <f ca="1">IF($R453="","",IF(XKNVLSX!$X$1="",IF($P453=$V$7,$P453, IF(COUNTIFS($C$2:$C452,$C453,$E$2:$E452,$E453)&gt;=1,"",$P453)),     IF(AND(IFERROR(SEARCH($R453,XKNVLSX!$X$1,1),0)&gt;=1,$P453=$V$7),$P453, IF(OR($R453&lt;&gt;IF(IFERROR(SEARCH($R453,XKNVLSX!$X$1,1),0)&gt;=1,$R453,XKNVLSX!$X$1),COUNTIFS($C$2:$C452,$C453,$E$2:$E452,$E453,$Q$2:$Q452,$P453)&gt;=1),"",$P453))))</f>
        <v/>
      </c>
      <c r="R453" s="1017" t="str">
        <f ca="1">IF($A453="","",IFERROR(INDEX(TinhGia!$BF$10:$BF$81,MATCH($A453,TinhGia!$B$10:$B$81,0)),""))</f>
        <v/>
      </c>
      <c r="S453" s="1012" t="str">
        <f ca="1">IF($A453="","",IF(OR(IFERROR(SEARCH($R453,XKNVLSX!$X$1,1),0)&gt;=1,XKNVLSX!$X$1=""),$S$2,""))</f>
        <v/>
      </c>
      <c r="T453" s="1018" t="str">
        <f ca="1">IF($C453="","", IF(OR($P453=$V$1,$P453=$V$7,COUNTIFS($C$3:$C453,$C453,$E$3:$E453,$E453)&lt;=1),$P453,""    ))</f>
        <v/>
      </c>
      <c r="U453" s="1019" t="str">
        <f ca="1">IF(AND($P453=$V$2,COUNTIFS($C$3:$C453,$C453,$E$3:$E453,$E453,$G$3:$G453,$G453)&lt;=1),$P453,"")</f>
        <v/>
      </c>
    </row>
    <row r="454" spans="1:21">
      <c r="A454" s="991" t="str">
        <f ca="1">IFERROR(IF(COUNTIF($A$3:A453,A453)&lt; INDEX(TinhGia!$BH$10:$BH$81,MATCH($A453,TinhGia!$B$10:$B$81,0)),$A453,INDEX(TinhGia!$B$10:$B$81,MATCH($A453,TinhGia!$B$10:$B$81,0)+1)),"")</f>
        <v/>
      </c>
      <c r="B454" s="525" t="str">
        <f ca="1">IF(OR(A454="",A454=0),"",IF(COUNTIF($A$2:A454,$A454)=1,ROW(MauKoXoa!$C$108),$B453+1))</f>
        <v/>
      </c>
      <c r="C454" s="992" t="str">
        <f t="shared" ca="1" si="61"/>
        <v/>
      </c>
      <c r="D454" s="993" t="str">
        <f t="shared" ca="1" si="62"/>
        <v/>
      </c>
      <c r="E454" s="993" t="str">
        <f t="shared" ca="1" si="63"/>
        <v/>
      </c>
      <c r="F454" s="992" t="str">
        <f t="shared" ca="1" si="71"/>
        <v/>
      </c>
      <c r="G454" s="994">
        <f t="shared" ca="1" si="64"/>
        <v>0</v>
      </c>
      <c r="H454" s="913">
        <f t="shared" ca="1" si="65"/>
        <v>0</v>
      </c>
      <c r="I454" s="913">
        <f t="shared" ca="1" si="66"/>
        <v>0</v>
      </c>
      <c r="J454" s="995">
        <f t="shared" ca="1" si="72"/>
        <v>0</v>
      </c>
      <c r="K454" s="913">
        <f t="shared" ca="1" si="67"/>
        <v>0</v>
      </c>
      <c r="L454" s="995">
        <f t="shared" ca="1" si="73"/>
        <v>0</v>
      </c>
      <c r="M454" s="913">
        <f t="shared" ca="1" si="68"/>
        <v>0</v>
      </c>
      <c r="N454" s="996">
        <f t="shared" ca="1" si="69"/>
        <v>0</v>
      </c>
      <c r="O454" s="997">
        <f t="shared" ca="1" si="70"/>
        <v>0</v>
      </c>
      <c r="P454" s="1015" t="str">
        <f ca="1">IF($C454="","",INDEX(NVLSX!$N$2:$N$6941,MATCH($C454,NVLSX!$E$2:$E$6941,0)))</f>
        <v/>
      </c>
      <c r="Q454" s="1016" t="str">
        <f ca="1">IF($R454="","",IF(XKNVLSX!$X$1="",IF($P454=$V$7,$P454, IF(COUNTIFS($C$2:$C453,$C454,$E$2:$E453,$E454)&gt;=1,"",$P454)),     IF(AND(IFERROR(SEARCH($R454,XKNVLSX!$X$1,1),0)&gt;=1,$P454=$V$7),$P454, IF(OR($R454&lt;&gt;IF(IFERROR(SEARCH($R454,XKNVLSX!$X$1,1),0)&gt;=1,$R454,XKNVLSX!$X$1),COUNTIFS($C$2:$C453,$C454,$E$2:$E453,$E454,$Q$2:$Q453,$P454)&gt;=1),"",$P454))))</f>
        <v/>
      </c>
      <c r="R454" s="1017" t="str">
        <f ca="1">IF($A454="","",IFERROR(INDEX(TinhGia!$BF$10:$BF$81,MATCH($A454,TinhGia!$B$10:$B$81,0)),""))</f>
        <v/>
      </c>
      <c r="S454" s="1012" t="str">
        <f ca="1">IF($A454="","",IF(OR(IFERROR(SEARCH($R454,XKNVLSX!$X$1,1),0)&gt;=1,XKNVLSX!$X$1=""),$S$2,""))</f>
        <v/>
      </c>
      <c r="T454" s="1018" t="str">
        <f ca="1">IF($C454="","", IF(OR($P454=$V$1,$P454=$V$7,COUNTIFS($C$3:$C454,$C454,$E$3:$E454,$E454)&lt;=1),$P454,""    ))</f>
        <v/>
      </c>
      <c r="U454" s="1019" t="str">
        <f ca="1">IF(AND($P454=$V$2,COUNTIFS($C$3:$C454,$C454,$E$3:$E454,$E454,$G$3:$G454,$G454)&lt;=1),$P454,"")</f>
        <v/>
      </c>
    </row>
    <row r="455" spans="1:21">
      <c r="A455" s="991" t="str">
        <f ca="1">IFERROR(IF(COUNTIF($A$3:A454,A454)&lt; INDEX(TinhGia!$BH$10:$BH$81,MATCH($A454,TinhGia!$B$10:$B$81,0)),$A454,INDEX(TinhGia!$B$10:$B$81,MATCH($A454,TinhGia!$B$10:$B$81,0)+1)),"")</f>
        <v/>
      </c>
      <c r="B455" s="525" t="str">
        <f ca="1">IF(OR(A455="",A455=0),"",IF(COUNTIF($A$2:A455,$A455)=1,ROW(MauKoXoa!$C$108),$B454+1))</f>
        <v/>
      </c>
      <c r="C455" s="992" t="str">
        <f t="shared" ca="1" si="61"/>
        <v/>
      </c>
      <c r="D455" s="993" t="str">
        <f t="shared" ca="1" si="62"/>
        <v/>
      </c>
      <c r="E455" s="993" t="str">
        <f t="shared" ca="1" si="63"/>
        <v/>
      </c>
      <c r="F455" s="992" t="str">
        <f t="shared" ca="1" si="71"/>
        <v/>
      </c>
      <c r="G455" s="994">
        <f t="shared" ca="1" si="64"/>
        <v>0</v>
      </c>
      <c r="H455" s="913">
        <f t="shared" ca="1" si="65"/>
        <v>0</v>
      </c>
      <c r="I455" s="913">
        <f t="shared" ca="1" si="66"/>
        <v>0</v>
      </c>
      <c r="J455" s="995">
        <f t="shared" ca="1" si="72"/>
        <v>0</v>
      </c>
      <c r="K455" s="913">
        <f t="shared" ca="1" si="67"/>
        <v>0</v>
      </c>
      <c r="L455" s="995">
        <f t="shared" ca="1" si="73"/>
        <v>0</v>
      </c>
      <c r="M455" s="913">
        <f t="shared" ca="1" si="68"/>
        <v>0</v>
      </c>
      <c r="N455" s="996">
        <f t="shared" ca="1" si="69"/>
        <v>0</v>
      </c>
      <c r="O455" s="997">
        <f t="shared" ca="1" si="70"/>
        <v>0</v>
      </c>
      <c r="P455" s="1015" t="str">
        <f ca="1">IF($C455="","",INDEX(NVLSX!$N$2:$N$6941,MATCH($C455,NVLSX!$E$2:$E$6941,0)))</f>
        <v/>
      </c>
      <c r="Q455" s="1016" t="str">
        <f ca="1">IF($R455="","",IF(XKNVLSX!$X$1="",IF($P455=$V$7,$P455, IF(COUNTIFS($C$2:$C454,$C455,$E$2:$E454,$E455)&gt;=1,"",$P455)),     IF(AND(IFERROR(SEARCH($R455,XKNVLSX!$X$1,1),0)&gt;=1,$P455=$V$7),$P455, IF(OR($R455&lt;&gt;IF(IFERROR(SEARCH($R455,XKNVLSX!$X$1,1),0)&gt;=1,$R455,XKNVLSX!$X$1),COUNTIFS($C$2:$C454,$C455,$E$2:$E454,$E455,$Q$2:$Q454,$P455)&gt;=1),"",$P455))))</f>
        <v/>
      </c>
      <c r="R455" s="1017" t="str">
        <f ca="1">IF($A455="","",IFERROR(INDEX(TinhGia!$BF$10:$BF$81,MATCH($A455,TinhGia!$B$10:$B$81,0)),""))</f>
        <v/>
      </c>
      <c r="S455" s="1012" t="str">
        <f ca="1">IF($A455="","",IF(OR(IFERROR(SEARCH($R455,XKNVLSX!$X$1,1),0)&gt;=1,XKNVLSX!$X$1=""),$S$2,""))</f>
        <v/>
      </c>
      <c r="T455" s="1018" t="str">
        <f ca="1">IF($C455="","", IF(OR($P455=$V$1,$P455=$V$7,COUNTIFS($C$3:$C455,$C455,$E$3:$E455,$E455)&lt;=1),$P455,""    ))</f>
        <v/>
      </c>
      <c r="U455" s="1019" t="str">
        <f ca="1">IF(AND($P455=$V$2,COUNTIFS($C$3:$C455,$C455,$E$3:$E455,$E455,$G$3:$G455,$G455)&lt;=1),$P455,"")</f>
        <v/>
      </c>
    </row>
    <row r="456" spans="1:21">
      <c r="A456" s="991" t="str">
        <f ca="1">IFERROR(IF(COUNTIF($A$3:A455,A455)&lt; INDEX(TinhGia!$BH$10:$BH$81,MATCH($A455,TinhGia!$B$10:$B$81,0)),$A455,INDEX(TinhGia!$B$10:$B$81,MATCH($A455,TinhGia!$B$10:$B$81,0)+1)),"")</f>
        <v/>
      </c>
      <c r="B456" s="525" t="str">
        <f ca="1">IF(OR(A456="",A456=0),"",IF(COUNTIF($A$2:A456,$A456)=1,ROW(MauKoXoa!$C$108),$B455+1))</f>
        <v/>
      </c>
      <c r="C456" s="992" t="str">
        <f t="shared" ca="1" si="61"/>
        <v/>
      </c>
      <c r="D456" s="993" t="str">
        <f t="shared" ca="1" si="62"/>
        <v/>
      </c>
      <c r="E456" s="993" t="str">
        <f t="shared" ca="1" si="63"/>
        <v/>
      </c>
      <c r="F456" s="992" t="str">
        <f t="shared" ca="1" si="71"/>
        <v/>
      </c>
      <c r="G456" s="994">
        <f t="shared" ca="1" si="64"/>
        <v>0</v>
      </c>
      <c r="H456" s="913">
        <f t="shared" ca="1" si="65"/>
        <v>0</v>
      </c>
      <c r="I456" s="913">
        <f t="shared" ca="1" si="66"/>
        <v>0</v>
      </c>
      <c r="J456" s="995">
        <f t="shared" ca="1" si="72"/>
        <v>0</v>
      </c>
      <c r="K456" s="913">
        <f t="shared" ca="1" si="67"/>
        <v>0</v>
      </c>
      <c r="L456" s="995">
        <f t="shared" ca="1" si="73"/>
        <v>0</v>
      </c>
      <c r="M456" s="913">
        <f t="shared" ca="1" si="68"/>
        <v>0</v>
      </c>
      <c r="N456" s="996">
        <f t="shared" ca="1" si="69"/>
        <v>0</v>
      </c>
      <c r="O456" s="997">
        <f t="shared" ca="1" si="70"/>
        <v>0</v>
      </c>
      <c r="P456" s="1015" t="str">
        <f ca="1">IF($C456="","",INDEX(NVLSX!$N$2:$N$6941,MATCH($C456,NVLSX!$E$2:$E$6941,0)))</f>
        <v/>
      </c>
      <c r="Q456" s="1016" t="str">
        <f ca="1">IF($R456="","",IF(XKNVLSX!$X$1="",IF($P456=$V$7,$P456, IF(COUNTIFS($C$2:$C455,$C456,$E$2:$E455,$E456)&gt;=1,"",$P456)),     IF(AND(IFERROR(SEARCH($R456,XKNVLSX!$X$1,1),0)&gt;=1,$P456=$V$7),$P456, IF(OR($R456&lt;&gt;IF(IFERROR(SEARCH($R456,XKNVLSX!$X$1,1),0)&gt;=1,$R456,XKNVLSX!$X$1),COUNTIFS($C$2:$C455,$C456,$E$2:$E455,$E456,$Q$2:$Q455,$P456)&gt;=1),"",$P456))))</f>
        <v/>
      </c>
      <c r="R456" s="1017" t="str">
        <f ca="1">IF($A456="","",IFERROR(INDEX(TinhGia!$BF$10:$BF$81,MATCH($A456,TinhGia!$B$10:$B$81,0)),""))</f>
        <v/>
      </c>
      <c r="S456" s="1012" t="str">
        <f ca="1">IF($A456="","",IF(OR(IFERROR(SEARCH($R456,XKNVLSX!$X$1,1),0)&gt;=1,XKNVLSX!$X$1=""),$S$2,""))</f>
        <v/>
      </c>
      <c r="T456" s="1018" t="str">
        <f ca="1">IF($C456="","", IF(OR($P456=$V$1,$P456=$V$7,COUNTIFS($C$3:$C456,$C456,$E$3:$E456,$E456)&lt;=1),$P456,""    ))</f>
        <v/>
      </c>
      <c r="U456" s="1019" t="str">
        <f ca="1">IF(AND($P456=$V$2,COUNTIFS($C$3:$C456,$C456,$E$3:$E456,$E456,$G$3:$G456,$G456)&lt;=1),$P456,"")</f>
        <v/>
      </c>
    </row>
    <row r="457" spans="1:21">
      <c r="A457" s="991" t="str">
        <f ca="1">IFERROR(IF(COUNTIF($A$3:A456,A456)&lt; INDEX(TinhGia!$BH$10:$BH$81,MATCH($A456,TinhGia!$B$10:$B$81,0)),$A456,INDEX(TinhGia!$B$10:$B$81,MATCH($A456,TinhGia!$B$10:$B$81,0)+1)),"")</f>
        <v/>
      </c>
      <c r="B457" s="525" t="str">
        <f ca="1">IF(OR(A457="",A457=0),"",IF(COUNTIF($A$2:A457,$A457)=1,ROW(MauKoXoa!$C$108),$B456+1))</f>
        <v/>
      </c>
      <c r="C457" s="992" t="str">
        <f t="shared" ca="1" si="61"/>
        <v/>
      </c>
      <c r="D457" s="993" t="str">
        <f t="shared" ca="1" si="62"/>
        <v/>
      </c>
      <c r="E457" s="993" t="str">
        <f t="shared" ca="1" si="63"/>
        <v/>
      </c>
      <c r="F457" s="992" t="str">
        <f t="shared" ca="1" si="71"/>
        <v/>
      </c>
      <c r="G457" s="994">
        <f t="shared" ca="1" si="64"/>
        <v>0</v>
      </c>
      <c r="H457" s="913">
        <f t="shared" ca="1" si="65"/>
        <v>0</v>
      </c>
      <c r="I457" s="913">
        <f t="shared" ca="1" si="66"/>
        <v>0</v>
      </c>
      <c r="J457" s="995">
        <f t="shared" ca="1" si="72"/>
        <v>0</v>
      </c>
      <c r="K457" s="913">
        <f t="shared" ca="1" si="67"/>
        <v>0</v>
      </c>
      <c r="L457" s="995">
        <f t="shared" ca="1" si="73"/>
        <v>0</v>
      </c>
      <c r="M457" s="913">
        <f t="shared" ca="1" si="68"/>
        <v>0</v>
      </c>
      <c r="N457" s="996">
        <f t="shared" ca="1" si="69"/>
        <v>0</v>
      </c>
      <c r="O457" s="997">
        <f t="shared" ca="1" si="70"/>
        <v>0</v>
      </c>
      <c r="P457" s="1015" t="str">
        <f ca="1">IF($C457="","",INDEX(NVLSX!$N$2:$N$6941,MATCH($C457,NVLSX!$E$2:$E$6941,0)))</f>
        <v/>
      </c>
      <c r="Q457" s="1016" t="str">
        <f ca="1">IF($R457="","",IF(XKNVLSX!$X$1="",IF($P457=$V$7,$P457, IF(COUNTIFS($C$2:$C456,$C457,$E$2:$E456,$E457)&gt;=1,"",$P457)),     IF(AND(IFERROR(SEARCH($R457,XKNVLSX!$X$1,1),0)&gt;=1,$P457=$V$7),$P457, IF(OR($R457&lt;&gt;IF(IFERROR(SEARCH($R457,XKNVLSX!$X$1,1),0)&gt;=1,$R457,XKNVLSX!$X$1),COUNTIFS($C$2:$C456,$C457,$E$2:$E456,$E457,$Q$2:$Q456,$P457)&gt;=1),"",$P457))))</f>
        <v/>
      </c>
      <c r="R457" s="1017" t="str">
        <f ca="1">IF($A457="","",IFERROR(INDEX(TinhGia!$BF$10:$BF$81,MATCH($A457,TinhGia!$B$10:$B$81,0)),""))</f>
        <v/>
      </c>
      <c r="S457" s="1012" t="str">
        <f ca="1">IF($A457="","",IF(OR(IFERROR(SEARCH($R457,XKNVLSX!$X$1,1),0)&gt;=1,XKNVLSX!$X$1=""),$S$2,""))</f>
        <v/>
      </c>
      <c r="T457" s="1018" t="str">
        <f ca="1">IF($C457="","", IF(OR($P457=$V$1,$P457=$V$7,COUNTIFS($C$3:$C457,$C457,$E$3:$E457,$E457)&lt;=1),$P457,""    ))</f>
        <v/>
      </c>
      <c r="U457" s="1019" t="str">
        <f ca="1">IF(AND($P457=$V$2,COUNTIFS($C$3:$C457,$C457,$E$3:$E457,$E457,$G$3:$G457,$G457)&lt;=1),$P457,"")</f>
        <v/>
      </c>
    </row>
    <row r="458" spans="1:21">
      <c r="A458" s="991" t="str">
        <f ca="1">IFERROR(IF(COUNTIF($A$3:A457,A457)&lt; INDEX(TinhGia!$BH$10:$BH$81,MATCH($A457,TinhGia!$B$10:$B$81,0)),$A457,INDEX(TinhGia!$B$10:$B$81,MATCH($A457,TinhGia!$B$10:$B$81,0)+1)),"")</f>
        <v/>
      </c>
      <c r="B458" s="525" t="str">
        <f ca="1">IF(OR(A458="",A458=0),"",IF(COUNTIF($A$2:A458,$A458)=1,ROW(MauKoXoa!$C$108),$B457+1))</f>
        <v/>
      </c>
      <c r="C458" s="992" t="str">
        <f t="shared" ca="1" si="61"/>
        <v/>
      </c>
      <c r="D458" s="993" t="str">
        <f t="shared" ca="1" si="62"/>
        <v/>
      </c>
      <c r="E458" s="993" t="str">
        <f t="shared" ca="1" si="63"/>
        <v/>
      </c>
      <c r="F458" s="992" t="str">
        <f t="shared" ca="1" si="71"/>
        <v/>
      </c>
      <c r="G458" s="994">
        <f t="shared" ca="1" si="64"/>
        <v>0</v>
      </c>
      <c r="H458" s="913">
        <f t="shared" ca="1" si="65"/>
        <v>0</v>
      </c>
      <c r="I458" s="913">
        <f t="shared" ca="1" si="66"/>
        <v>0</v>
      </c>
      <c r="J458" s="995">
        <f t="shared" ca="1" si="72"/>
        <v>0</v>
      </c>
      <c r="K458" s="913">
        <f t="shared" ca="1" si="67"/>
        <v>0</v>
      </c>
      <c r="L458" s="995">
        <f t="shared" ca="1" si="73"/>
        <v>0</v>
      </c>
      <c r="M458" s="913">
        <f t="shared" ca="1" si="68"/>
        <v>0</v>
      </c>
      <c r="N458" s="996">
        <f t="shared" ca="1" si="69"/>
        <v>0</v>
      </c>
      <c r="O458" s="997">
        <f t="shared" ca="1" si="70"/>
        <v>0</v>
      </c>
      <c r="P458" s="1015" t="str">
        <f ca="1">IF($C458="","",INDEX(NVLSX!$N$2:$N$6941,MATCH($C458,NVLSX!$E$2:$E$6941,0)))</f>
        <v/>
      </c>
      <c r="Q458" s="1016" t="str">
        <f ca="1">IF($R458="","",IF(XKNVLSX!$X$1="",IF($P458=$V$7,$P458, IF(COUNTIFS($C$2:$C457,$C458,$E$2:$E457,$E458)&gt;=1,"",$P458)),     IF(AND(IFERROR(SEARCH($R458,XKNVLSX!$X$1,1),0)&gt;=1,$P458=$V$7),$P458, IF(OR($R458&lt;&gt;IF(IFERROR(SEARCH($R458,XKNVLSX!$X$1,1),0)&gt;=1,$R458,XKNVLSX!$X$1),COUNTIFS($C$2:$C457,$C458,$E$2:$E457,$E458,$Q$2:$Q457,$P458)&gt;=1),"",$P458))))</f>
        <v/>
      </c>
      <c r="R458" s="1017" t="str">
        <f ca="1">IF($A458="","",IFERROR(INDEX(TinhGia!$BF$10:$BF$81,MATCH($A458,TinhGia!$B$10:$B$81,0)),""))</f>
        <v/>
      </c>
      <c r="S458" s="1012" t="str">
        <f ca="1">IF($A458="","",IF(OR(IFERROR(SEARCH($R458,XKNVLSX!$X$1,1),0)&gt;=1,XKNVLSX!$X$1=""),$S$2,""))</f>
        <v/>
      </c>
      <c r="T458" s="1018" t="str">
        <f ca="1">IF($C458="","", IF(OR($P458=$V$1,$P458=$V$7,COUNTIFS($C$3:$C458,$C458,$E$3:$E458,$E458)&lt;=1),$P458,""    ))</f>
        <v/>
      </c>
      <c r="U458" s="1019" t="str">
        <f ca="1">IF(AND($P458=$V$2,COUNTIFS($C$3:$C458,$C458,$E$3:$E458,$E458,$G$3:$G458,$G458)&lt;=1),$P458,"")</f>
        <v/>
      </c>
    </row>
    <row r="459" spans="1:21">
      <c r="A459" s="991" t="str">
        <f ca="1">IFERROR(IF(COUNTIF($A$3:A458,A458)&lt; INDEX(TinhGia!$BH$10:$BH$81,MATCH($A458,TinhGia!$B$10:$B$81,0)),$A458,INDEX(TinhGia!$B$10:$B$81,MATCH($A458,TinhGia!$B$10:$B$81,0)+1)),"")</f>
        <v/>
      </c>
      <c r="B459" s="525" t="str">
        <f ca="1">IF(OR(A459="",A459=0),"",IF(COUNTIF($A$2:A459,$A459)=1,ROW(MauKoXoa!$C$108),$B458+1))</f>
        <v/>
      </c>
      <c r="C459" s="992" t="str">
        <f t="shared" ca="1" si="61"/>
        <v/>
      </c>
      <c r="D459" s="993" t="str">
        <f t="shared" ca="1" si="62"/>
        <v/>
      </c>
      <c r="E459" s="993" t="str">
        <f t="shared" ca="1" si="63"/>
        <v/>
      </c>
      <c r="F459" s="992" t="str">
        <f t="shared" ca="1" si="71"/>
        <v/>
      </c>
      <c r="G459" s="994">
        <f t="shared" ca="1" si="64"/>
        <v>0</v>
      </c>
      <c r="H459" s="913">
        <f t="shared" ca="1" si="65"/>
        <v>0</v>
      </c>
      <c r="I459" s="913">
        <f t="shared" ca="1" si="66"/>
        <v>0</v>
      </c>
      <c r="J459" s="995">
        <f t="shared" ca="1" si="72"/>
        <v>0</v>
      </c>
      <c r="K459" s="913">
        <f t="shared" ca="1" si="67"/>
        <v>0</v>
      </c>
      <c r="L459" s="995">
        <f t="shared" ca="1" si="73"/>
        <v>0</v>
      </c>
      <c r="M459" s="913">
        <f t="shared" ca="1" si="68"/>
        <v>0</v>
      </c>
      <c r="N459" s="996">
        <f t="shared" ca="1" si="69"/>
        <v>0</v>
      </c>
      <c r="O459" s="997">
        <f t="shared" ca="1" si="70"/>
        <v>0</v>
      </c>
      <c r="P459" s="1015" t="str">
        <f ca="1">IF($C459="","",INDEX(NVLSX!$N$2:$N$6941,MATCH($C459,NVLSX!$E$2:$E$6941,0)))</f>
        <v/>
      </c>
      <c r="Q459" s="1016" t="str">
        <f ca="1">IF($R459="","",IF(XKNVLSX!$X$1="",IF($P459=$V$7,$P459, IF(COUNTIFS($C$2:$C458,$C459,$E$2:$E458,$E459)&gt;=1,"",$P459)),     IF(AND(IFERROR(SEARCH($R459,XKNVLSX!$X$1,1),0)&gt;=1,$P459=$V$7),$P459, IF(OR($R459&lt;&gt;IF(IFERROR(SEARCH($R459,XKNVLSX!$X$1,1),0)&gt;=1,$R459,XKNVLSX!$X$1),COUNTIFS($C$2:$C458,$C459,$E$2:$E458,$E459,$Q$2:$Q458,$P459)&gt;=1),"",$P459))))</f>
        <v/>
      </c>
      <c r="R459" s="1017" t="str">
        <f ca="1">IF($A459="","",IFERROR(INDEX(TinhGia!$BF$10:$BF$81,MATCH($A459,TinhGia!$B$10:$B$81,0)),""))</f>
        <v/>
      </c>
      <c r="S459" s="1012" t="str">
        <f ca="1">IF($A459="","",IF(OR(IFERROR(SEARCH($R459,XKNVLSX!$X$1,1),0)&gt;=1,XKNVLSX!$X$1=""),$S$2,""))</f>
        <v/>
      </c>
      <c r="T459" s="1018" t="str">
        <f ca="1">IF($C459="","", IF(OR($P459=$V$1,$P459=$V$7,COUNTIFS($C$3:$C459,$C459,$E$3:$E459,$E459)&lt;=1),$P459,""    ))</f>
        <v/>
      </c>
      <c r="U459" s="1019" t="str">
        <f ca="1">IF(AND($P459=$V$2,COUNTIFS($C$3:$C459,$C459,$E$3:$E459,$E459,$G$3:$G459,$G459)&lt;=1),$P459,"")</f>
        <v/>
      </c>
    </row>
    <row r="460" spans="1:21">
      <c r="A460" s="991" t="str">
        <f ca="1">IFERROR(IF(COUNTIF($A$3:A459,A459)&lt; INDEX(TinhGia!$BH$10:$BH$81,MATCH($A459,TinhGia!$B$10:$B$81,0)),$A459,INDEX(TinhGia!$B$10:$B$81,MATCH($A459,TinhGia!$B$10:$B$81,0)+1)),"")</f>
        <v/>
      </c>
      <c r="B460" s="525" t="str">
        <f ca="1">IF(OR(A460="",A460=0),"",IF(COUNTIF($A$2:A460,$A460)=1,ROW(MauKoXoa!$C$108),$B459+1))</f>
        <v/>
      </c>
      <c r="C460" s="992" t="str">
        <f t="shared" ca="1" si="61"/>
        <v/>
      </c>
      <c r="D460" s="993" t="str">
        <f t="shared" ca="1" si="62"/>
        <v/>
      </c>
      <c r="E460" s="993" t="str">
        <f t="shared" ca="1" si="63"/>
        <v/>
      </c>
      <c r="F460" s="992" t="str">
        <f t="shared" ca="1" si="71"/>
        <v/>
      </c>
      <c r="G460" s="994">
        <f t="shared" ca="1" si="64"/>
        <v>0</v>
      </c>
      <c r="H460" s="913">
        <f t="shared" ca="1" si="65"/>
        <v>0</v>
      </c>
      <c r="I460" s="913">
        <f t="shared" ca="1" si="66"/>
        <v>0</v>
      </c>
      <c r="J460" s="995">
        <f t="shared" ca="1" si="72"/>
        <v>0</v>
      </c>
      <c r="K460" s="913">
        <f t="shared" ca="1" si="67"/>
        <v>0</v>
      </c>
      <c r="L460" s="995">
        <f t="shared" ca="1" si="73"/>
        <v>0</v>
      </c>
      <c r="M460" s="913">
        <f t="shared" ca="1" si="68"/>
        <v>0</v>
      </c>
      <c r="N460" s="996">
        <f t="shared" ca="1" si="69"/>
        <v>0</v>
      </c>
      <c r="O460" s="997">
        <f t="shared" ca="1" si="70"/>
        <v>0</v>
      </c>
      <c r="P460" s="1015" t="str">
        <f ca="1">IF($C460="","",INDEX(NVLSX!$N$2:$N$6941,MATCH($C460,NVLSX!$E$2:$E$6941,0)))</f>
        <v/>
      </c>
      <c r="Q460" s="1016" t="str">
        <f ca="1">IF($R460="","",IF(XKNVLSX!$X$1="",IF($P460=$V$7,$P460, IF(COUNTIFS($C$2:$C459,$C460,$E$2:$E459,$E460)&gt;=1,"",$P460)),     IF(AND(IFERROR(SEARCH($R460,XKNVLSX!$X$1,1),0)&gt;=1,$P460=$V$7),$P460, IF(OR($R460&lt;&gt;IF(IFERROR(SEARCH($R460,XKNVLSX!$X$1,1),0)&gt;=1,$R460,XKNVLSX!$X$1),COUNTIFS($C$2:$C459,$C460,$E$2:$E459,$E460,$Q$2:$Q459,$P460)&gt;=1),"",$P460))))</f>
        <v/>
      </c>
      <c r="R460" s="1017" t="str">
        <f ca="1">IF($A460="","",IFERROR(INDEX(TinhGia!$BF$10:$BF$81,MATCH($A460,TinhGia!$B$10:$B$81,0)),""))</f>
        <v/>
      </c>
      <c r="S460" s="1012" t="str">
        <f ca="1">IF($A460="","",IF(OR(IFERROR(SEARCH($R460,XKNVLSX!$X$1,1),0)&gt;=1,XKNVLSX!$X$1=""),$S$2,""))</f>
        <v/>
      </c>
      <c r="T460" s="1018" t="str">
        <f ca="1">IF($C460="","", IF(OR($P460=$V$1,$P460=$V$7,COUNTIFS($C$3:$C460,$C460,$E$3:$E460,$E460)&lt;=1),$P460,""    ))</f>
        <v/>
      </c>
      <c r="U460" s="1019" t="str">
        <f ca="1">IF(AND($P460=$V$2,COUNTIFS($C$3:$C460,$C460,$E$3:$E460,$E460,$G$3:$G460,$G460)&lt;=1),$P460,"")</f>
        <v/>
      </c>
    </row>
    <row r="461" spans="1:21">
      <c r="A461" s="991" t="str">
        <f ca="1">IFERROR(IF(COUNTIF($A$3:A460,A460)&lt; INDEX(TinhGia!$BH$10:$BH$81,MATCH($A460,TinhGia!$B$10:$B$81,0)),$A460,INDEX(TinhGia!$B$10:$B$81,MATCH($A460,TinhGia!$B$10:$B$81,0)+1)),"")</f>
        <v/>
      </c>
      <c r="B461" s="525" t="str">
        <f ca="1">IF(OR(A461="",A461=0),"",IF(COUNTIF($A$2:A461,$A461)=1,ROW(MauKoXoa!$C$108),$B460+1))</f>
        <v/>
      </c>
      <c r="C461" s="992" t="str">
        <f t="shared" ca="1" si="61"/>
        <v/>
      </c>
      <c r="D461" s="993" t="str">
        <f t="shared" ca="1" si="62"/>
        <v/>
      </c>
      <c r="E461" s="993" t="str">
        <f t="shared" ca="1" si="63"/>
        <v/>
      </c>
      <c r="F461" s="992" t="str">
        <f t="shared" ca="1" si="71"/>
        <v/>
      </c>
      <c r="G461" s="994">
        <f t="shared" ca="1" si="64"/>
        <v>0</v>
      </c>
      <c r="H461" s="913">
        <f t="shared" ca="1" si="65"/>
        <v>0</v>
      </c>
      <c r="I461" s="913">
        <f t="shared" ca="1" si="66"/>
        <v>0</v>
      </c>
      <c r="J461" s="995">
        <f t="shared" ca="1" si="72"/>
        <v>0</v>
      </c>
      <c r="K461" s="913">
        <f t="shared" ca="1" si="67"/>
        <v>0</v>
      </c>
      <c r="L461" s="995">
        <f t="shared" ca="1" si="73"/>
        <v>0</v>
      </c>
      <c r="M461" s="913">
        <f t="shared" ca="1" si="68"/>
        <v>0</v>
      </c>
      <c r="N461" s="996">
        <f t="shared" ca="1" si="69"/>
        <v>0</v>
      </c>
      <c r="O461" s="997">
        <f t="shared" ca="1" si="70"/>
        <v>0</v>
      </c>
      <c r="P461" s="1015" t="str">
        <f ca="1">IF($C461="","",INDEX(NVLSX!$N$2:$N$6941,MATCH($C461,NVLSX!$E$2:$E$6941,0)))</f>
        <v/>
      </c>
      <c r="Q461" s="1016" t="str">
        <f ca="1">IF($R461="","",IF(XKNVLSX!$X$1="",IF($P461=$V$7,$P461, IF(COUNTIFS($C$2:$C460,$C461,$E$2:$E460,$E461)&gt;=1,"",$P461)),     IF(AND(IFERROR(SEARCH($R461,XKNVLSX!$X$1,1),0)&gt;=1,$P461=$V$7),$P461, IF(OR($R461&lt;&gt;IF(IFERROR(SEARCH($R461,XKNVLSX!$X$1,1),0)&gt;=1,$R461,XKNVLSX!$X$1),COUNTIFS($C$2:$C460,$C461,$E$2:$E460,$E461,$Q$2:$Q460,$P461)&gt;=1),"",$P461))))</f>
        <v/>
      </c>
      <c r="R461" s="1017" t="str">
        <f ca="1">IF($A461="","",IFERROR(INDEX(TinhGia!$BF$10:$BF$81,MATCH($A461,TinhGia!$B$10:$B$81,0)),""))</f>
        <v/>
      </c>
      <c r="S461" s="1012" t="str">
        <f ca="1">IF($A461="","",IF(OR(IFERROR(SEARCH($R461,XKNVLSX!$X$1,1),0)&gt;=1,XKNVLSX!$X$1=""),$S$2,""))</f>
        <v/>
      </c>
      <c r="T461" s="1018" t="str">
        <f ca="1">IF($C461="","", IF(OR($P461=$V$1,$P461=$V$7,COUNTIFS($C$3:$C461,$C461,$E$3:$E461,$E461)&lt;=1),$P461,""    ))</f>
        <v/>
      </c>
      <c r="U461" s="1019" t="str">
        <f ca="1">IF(AND($P461=$V$2,COUNTIFS($C$3:$C461,$C461,$E$3:$E461,$E461,$G$3:$G461,$G461)&lt;=1),$P461,"")</f>
        <v/>
      </c>
    </row>
    <row r="462" spans="1:21">
      <c r="A462" s="991" t="str">
        <f ca="1">IFERROR(IF(COUNTIF($A$3:A461,A461)&lt; INDEX(TinhGia!$BH$10:$BH$81,MATCH($A461,TinhGia!$B$10:$B$81,0)),$A461,INDEX(TinhGia!$B$10:$B$81,MATCH($A461,TinhGia!$B$10:$B$81,0)+1)),"")</f>
        <v/>
      </c>
      <c r="B462" s="525" t="str">
        <f ca="1">IF(OR(A462="",A462=0),"",IF(COUNTIF($A$2:A462,$A462)=1,ROW(MauKoXoa!$C$108),$B461+1))</f>
        <v/>
      </c>
      <c r="C462" s="992" t="str">
        <f t="shared" ca="1" si="61"/>
        <v/>
      </c>
      <c r="D462" s="993" t="str">
        <f t="shared" ca="1" si="62"/>
        <v/>
      </c>
      <c r="E462" s="993" t="str">
        <f t="shared" ca="1" si="63"/>
        <v/>
      </c>
      <c r="F462" s="992" t="str">
        <f t="shared" ca="1" si="71"/>
        <v/>
      </c>
      <c r="G462" s="994">
        <f t="shared" ca="1" si="64"/>
        <v>0</v>
      </c>
      <c r="H462" s="913">
        <f t="shared" ca="1" si="65"/>
        <v>0</v>
      </c>
      <c r="I462" s="913">
        <f t="shared" ca="1" si="66"/>
        <v>0</v>
      </c>
      <c r="J462" s="995">
        <f t="shared" ca="1" si="72"/>
        <v>0</v>
      </c>
      <c r="K462" s="913">
        <f t="shared" ca="1" si="67"/>
        <v>0</v>
      </c>
      <c r="L462" s="995">
        <f t="shared" ca="1" si="73"/>
        <v>0</v>
      </c>
      <c r="M462" s="913">
        <f t="shared" ca="1" si="68"/>
        <v>0</v>
      </c>
      <c r="N462" s="996">
        <f t="shared" ca="1" si="69"/>
        <v>0</v>
      </c>
      <c r="O462" s="997">
        <f t="shared" ca="1" si="70"/>
        <v>0</v>
      </c>
      <c r="P462" s="1015" t="str">
        <f ca="1">IF($C462="","",INDEX(NVLSX!$N$2:$N$6941,MATCH($C462,NVLSX!$E$2:$E$6941,0)))</f>
        <v/>
      </c>
      <c r="Q462" s="1016" t="str">
        <f ca="1">IF($R462="","",IF(XKNVLSX!$X$1="",IF($P462=$V$7,$P462, IF(COUNTIFS($C$2:$C461,$C462,$E$2:$E461,$E462)&gt;=1,"",$P462)),     IF(AND(IFERROR(SEARCH($R462,XKNVLSX!$X$1,1),0)&gt;=1,$P462=$V$7),$P462, IF(OR($R462&lt;&gt;IF(IFERROR(SEARCH($R462,XKNVLSX!$X$1,1),0)&gt;=1,$R462,XKNVLSX!$X$1),COUNTIFS($C$2:$C461,$C462,$E$2:$E461,$E462,$Q$2:$Q461,$P462)&gt;=1),"",$P462))))</f>
        <v/>
      </c>
      <c r="R462" s="1017" t="str">
        <f ca="1">IF($A462="","",IFERROR(INDEX(TinhGia!$BF$10:$BF$81,MATCH($A462,TinhGia!$B$10:$B$81,0)),""))</f>
        <v/>
      </c>
      <c r="S462" s="1012" t="str">
        <f ca="1">IF($A462="","",IF(OR(IFERROR(SEARCH($R462,XKNVLSX!$X$1,1),0)&gt;=1,XKNVLSX!$X$1=""),$S$2,""))</f>
        <v/>
      </c>
      <c r="T462" s="1018" t="str">
        <f ca="1">IF($C462="","", IF(OR($P462=$V$1,$P462=$V$7,COUNTIFS($C$3:$C462,$C462,$E$3:$E462,$E462)&lt;=1),$P462,""    ))</f>
        <v/>
      </c>
      <c r="U462" s="1019" t="str">
        <f ca="1">IF(AND($P462=$V$2,COUNTIFS($C$3:$C462,$C462,$E$3:$E462,$E462,$G$3:$G462,$G462)&lt;=1),$P462,"")</f>
        <v/>
      </c>
    </row>
    <row r="463" spans="1:21">
      <c r="A463" s="991" t="str">
        <f ca="1">IFERROR(IF(COUNTIF($A$3:A462,A462)&lt; INDEX(TinhGia!$BH$10:$BH$81,MATCH($A462,TinhGia!$B$10:$B$81,0)),$A462,INDEX(TinhGia!$B$10:$B$81,MATCH($A462,TinhGia!$B$10:$B$81,0)+1)),"")</f>
        <v/>
      </c>
      <c r="B463" s="525" t="str">
        <f ca="1">IF(OR(A463="",A463=0),"",IF(COUNTIF($A$2:A463,$A463)=1,ROW(MauKoXoa!$C$108),$B462+1))</f>
        <v/>
      </c>
      <c r="C463" s="992" t="str">
        <f t="shared" ca="1" si="61"/>
        <v/>
      </c>
      <c r="D463" s="993" t="str">
        <f t="shared" ca="1" si="62"/>
        <v/>
      </c>
      <c r="E463" s="993" t="str">
        <f t="shared" ca="1" si="63"/>
        <v/>
      </c>
      <c r="F463" s="992" t="str">
        <f t="shared" ca="1" si="71"/>
        <v/>
      </c>
      <c r="G463" s="994">
        <f t="shared" ca="1" si="64"/>
        <v>0</v>
      </c>
      <c r="H463" s="913">
        <f t="shared" ca="1" si="65"/>
        <v>0</v>
      </c>
      <c r="I463" s="913">
        <f t="shared" ca="1" si="66"/>
        <v>0</v>
      </c>
      <c r="J463" s="995">
        <f t="shared" ca="1" si="72"/>
        <v>0</v>
      </c>
      <c r="K463" s="913">
        <f t="shared" ca="1" si="67"/>
        <v>0</v>
      </c>
      <c r="L463" s="995">
        <f t="shared" ca="1" si="73"/>
        <v>0</v>
      </c>
      <c r="M463" s="913">
        <f t="shared" ca="1" si="68"/>
        <v>0</v>
      </c>
      <c r="N463" s="996">
        <f t="shared" ca="1" si="69"/>
        <v>0</v>
      </c>
      <c r="O463" s="997">
        <f t="shared" ca="1" si="70"/>
        <v>0</v>
      </c>
      <c r="P463" s="1015" t="str">
        <f ca="1">IF($C463="","",INDEX(NVLSX!$N$2:$N$6941,MATCH($C463,NVLSX!$E$2:$E$6941,0)))</f>
        <v/>
      </c>
      <c r="Q463" s="1016" t="str">
        <f ca="1">IF($R463="","",IF(XKNVLSX!$X$1="",IF($P463=$V$7,$P463, IF(COUNTIFS($C$2:$C462,$C463,$E$2:$E462,$E463)&gt;=1,"",$P463)),     IF(AND(IFERROR(SEARCH($R463,XKNVLSX!$X$1,1),0)&gt;=1,$P463=$V$7),$P463, IF(OR($R463&lt;&gt;IF(IFERROR(SEARCH($R463,XKNVLSX!$X$1,1),0)&gt;=1,$R463,XKNVLSX!$X$1),COUNTIFS($C$2:$C462,$C463,$E$2:$E462,$E463,$Q$2:$Q462,$P463)&gt;=1),"",$P463))))</f>
        <v/>
      </c>
      <c r="R463" s="1017" t="str">
        <f ca="1">IF($A463="","",IFERROR(INDEX(TinhGia!$BF$10:$BF$81,MATCH($A463,TinhGia!$B$10:$B$81,0)),""))</f>
        <v/>
      </c>
      <c r="S463" s="1012" t="str">
        <f ca="1">IF($A463="","",IF(OR(IFERROR(SEARCH($R463,XKNVLSX!$X$1,1),0)&gt;=1,XKNVLSX!$X$1=""),$S$2,""))</f>
        <v/>
      </c>
      <c r="T463" s="1018" t="str">
        <f ca="1">IF($C463="","", IF(OR($P463=$V$1,$P463=$V$7,COUNTIFS($C$3:$C463,$C463,$E$3:$E463,$E463)&lt;=1),$P463,""    ))</f>
        <v/>
      </c>
      <c r="U463" s="1019" t="str">
        <f ca="1">IF(AND($P463=$V$2,COUNTIFS($C$3:$C463,$C463,$E$3:$E463,$E463,$G$3:$G463,$G463)&lt;=1),$P463,"")</f>
        <v/>
      </c>
    </row>
    <row r="464" spans="1:21">
      <c r="A464" s="991" t="str">
        <f ca="1">IFERROR(IF(COUNTIF($A$3:A463,A463)&lt; INDEX(TinhGia!$BH$10:$BH$81,MATCH($A463,TinhGia!$B$10:$B$81,0)),$A463,INDEX(TinhGia!$B$10:$B$81,MATCH($A463,TinhGia!$B$10:$B$81,0)+1)),"")</f>
        <v/>
      </c>
      <c r="B464" s="525" t="str">
        <f ca="1">IF(OR(A464="",A464=0),"",IF(COUNTIF($A$2:A464,$A464)=1,ROW(MauKoXoa!$C$108),$B463+1))</f>
        <v/>
      </c>
      <c r="C464" s="992" t="str">
        <f t="shared" ca="1" si="61"/>
        <v/>
      </c>
      <c r="D464" s="993" t="str">
        <f t="shared" ca="1" si="62"/>
        <v/>
      </c>
      <c r="E464" s="993" t="str">
        <f t="shared" ca="1" si="63"/>
        <v/>
      </c>
      <c r="F464" s="992" t="str">
        <f t="shared" ca="1" si="71"/>
        <v/>
      </c>
      <c r="G464" s="994">
        <f t="shared" ca="1" si="64"/>
        <v>0</v>
      </c>
      <c r="H464" s="913">
        <f t="shared" ca="1" si="65"/>
        <v>0</v>
      </c>
      <c r="I464" s="913">
        <f t="shared" ca="1" si="66"/>
        <v>0</v>
      </c>
      <c r="J464" s="995">
        <f t="shared" ca="1" si="72"/>
        <v>0</v>
      </c>
      <c r="K464" s="913">
        <f t="shared" ca="1" si="67"/>
        <v>0</v>
      </c>
      <c r="L464" s="995">
        <f t="shared" ca="1" si="73"/>
        <v>0</v>
      </c>
      <c r="M464" s="913">
        <f t="shared" ca="1" si="68"/>
        <v>0</v>
      </c>
      <c r="N464" s="996">
        <f t="shared" ca="1" si="69"/>
        <v>0</v>
      </c>
      <c r="O464" s="997">
        <f t="shared" ca="1" si="70"/>
        <v>0</v>
      </c>
      <c r="P464" s="1015" t="str">
        <f ca="1">IF($C464="","",INDEX(NVLSX!$N$2:$N$6941,MATCH($C464,NVLSX!$E$2:$E$6941,0)))</f>
        <v/>
      </c>
      <c r="Q464" s="1016" t="str">
        <f ca="1">IF($R464="","",IF(XKNVLSX!$X$1="",IF($P464=$V$7,$P464, IF(COUNTIFS($C$2:$C463,$C464,$E$2:$E463,$E464)&gt;=1,"",$P464)),     IF(AND(IFERROR(SEARCH($R464,XKNVLSX!$X$1,1),0)&gt;=1,$P464=$V$7),$P464, IF(OR($R464&lt;&gt;IF(IFERROR(SEARCH($R464,XKNVLSX!$X$1,1),0)&gt;=1,$R464,XKNVLSX!$X$1),COUNTIFS($C$2:$C463,$C464,$E$2:$E463,$E464,$Q$2:$Q463,$P464)&gt;=1),"",$P464))))</f>
        <v/>
      </c>
      <c r="R464" s="1017" t="str">
        <f ca="1">IF($A464="","",IFERROR(INDEX(TinhGia!$BF$10:$BF$81,MATCH($A464,TinhGia!$B$10:$B$81,0)),""))</f>
        <v/>
      </c>
      <c r="S464" s="1012" t="str">
        <f ca="1">IF($A464="","",IF(OR(IFERROR(SEARCH($R464,XKNVLSX!$X$1,1),0)&gt;=1,XKNVLSX!$X$1=""),$S$2,""))</f>
        <v/>
      </c>
      <c r="T464" s="1018" t="str">
        <f ca="1">IF($C464="","", IF(OR($P464=$V$1,$P464=$V$7,COUNTIFS($C$3:$C464,$C464,$E$3:$E464,$E464)&lt;=1),$P464,""    ))</f>
        <v/>
      </c>
      <c r="U464" s="1019" t="str">
        <f ca="1">IF(AND($P464=$V$2,COUNTIFS($C$3:$C464,$C464,$E$3:$E464,$E464,$G$3:$G464,$G464)&lt;=1),$P464,"")</f>
        <v/>
      </c>
    </row>
    <row r="465" spans="1:21">
      <c r="A465" s="991" t="str">
        <f ca="1">IFERROR(IF(COUNTIF($A$3:A464,A464)&lt; INDEX(TinhGia!$BH$10:$BH$81,MATCH($A464,TinhGia!$B$10:$B$81,0)),$A464,INDEX(TinhGia!$B$10:$B$81,MATCH($A464,TinhGia!$B$10:$B$81,0)+1)),"")</f>
        <v/>
      </c>
      <c r="B465" s="525" t="str">
        <f ca="1">IF(OR(A465="",A465=0),"",IF(COUNTIF($A$2:A465,$A465)=1,ROW(MauKoXoa!$C$108),$B464+1))</f>
        <v/>
      </c>
      <c r="C465" s="992" t="str">
        <f t="shared" ca="1" si="61"/>
        <v/>
      </c>
      <c r="D465" s="993" t="str">
        <f t="shared" ca="1" si="62"/>
        <v/>
      </c>
      <c r="E465" s="993" t="str">
        <f t="shared" ca="1" si="63"/>
        <v/>
      </c>
      <c r="F465" s="992" t="str">
        <f t="shared" ca="1" si="71"/>
        <v/>
      </c>
      <c r="G465" s="994">
        <f t="shared" ca="1" si="64"/>
        <v>0</v>
      </c>
      <c r="H465" s="913">
        <f t="shared" ca="1" si="65"/>
        <v>0</v>
      </c>
      <c r="I465" s="913">
        <f t="shared" ca="1" si="66"/>
        <v>0</v>
      </c>
      <c r="J465" s="995">
        <f t="shared" ca="1" si="72"/>
        <v>0</v>
      </c>
      <c r="K465" s="913">
        <f t="shared" ca="1" si="67"/>
        <v>0</v>
      </c>
      <c r="L465" s="995">
        <f t="shared" ca="1" si="73"/>
        <v>0</v>
      </c>
      <c r="M465" s="913">
        <f t="shared" ca="1" si="68"/>
        <v>0</v>
      </c>
      <c r="N465" s="996">
        <f t="shared" ca="1" si="69"/>
        <v>0</v>
      </c>
      <c r="O465" s="997">
        <f t="shared" ca="1" si="70"/>
        <v>0</v>
      </c>
      <c r="P465" s="1015" t="str">
        <f ca="1">IF($C465="","",INDEX(NVLSX!$N$2:$N$6941,MATCH($C465,NVLSX!$E$2:$E$6941,0)))</f>
        <v/>
      </c>
      <c r="Q465" s="1016" t="str">
        <f ca="1">IF($R465="","",IF(XKNVLSX!$X$1="",IF($P465=$V$7,$P465, IF(COUNTIFS($C$2:$C464,$C465,$E$2:$E464,$E465)&gt;=1,"",$P465)),     IF(AND(IFERROR(SEARCH($R465,XKNVLSX!$X$1,1),0)&gt;=1,$P465=$V$7),$P465, IF(OR($R465&lt;&gt;IF(IFERROR(SEARCH($R465,XKNVLSX!$X$1,1),0)&gt;=1,$R465,XKNVLSX!$X$1),COUNTIFS($C$2:$C464,$C465,$E$2:$E464,$E465,$Q$2:$Q464,$P465)&gt;=1),"",$P465))))</f>
        <v/>
      </c>
      <c r="R465" s="1017" t="str">
        <f ca="1">IF($A465="","",IFERROR(INDEX(TinhGia!$BF$10:$BF$81,MATCH($A465,TinhGia!$B$10:$B$81,0)),""))</f>
        <v/>
      </c>
      <c r="S465" s="1012" t="str">
        <f ca="1">IF($A465="","",IF(OR(IFERROR(SEARCH($R465,XKNVLSX!$X$1,1),0)&gt;=1,XKNVLSX!$X$1=""),$S$2,""))</f>
        <v/>
      </c>
      <c r="T465" s="1018" t="str">
        <f ca="1">IF($C465="","", IF(OR($P465=$V$1,$P465=$V$7,COUNTIFS($C$3:$C465,$C465,$E$3:$E465,$E465)&lt;=1),$P465,""    ))</f>
        <v/>
      </c>
      <c r="U465" s="1019" t="str">
        <f ca="1">IF(AND($P465=$V$2,COUNTIFS($C$3:$C465,$C465,$E$3:$E465,$E465,$G$3:$G465,$G465)&lt;=1),$P465,"")</f>
        <v/>
      </c>
    </row>
    <row r="466" spans="1:21">
      <c r="A466" s="991" t="str">
        <f ca="1">IFERROR(IF(COUNTIF($A$3:A465,A465)&lt; INDEX(TinhGia!$BH$10:$BH$81,MATCH($A465,TinhGia!$B$10:$B$81,0)),$A465,INDEX(TinhGia!$B$10:$B$81,MATCH($A465,TinhGia!$B$10:$B$81,0)+1)),"")</f>
        <v/>
      </c>
      <c r="B466" s="525" t="str">
        <f ca="1">IF(OR(A466="",A466=0),"",IF(COUNTIF($A$2:A466,$A466)=1,ROW(MauKoXoa!$C$108),$B465+1))</f>
        <v/>
      </c>
      <c r="C466" s="992" t="str">
        <f t="shared" ca="1" si="61"/>
        <v/>
      </c>
      <c r="D466" s="993" t="str">
        <f t="shared" ca="1" si="62"/>
        <v/>
      </c>
      <c r="E466" s="993" t="str">
        <f t="shared" ca="1" si="63"/>
        <v/>
      </c>
      <c r="F466" s="992" t="str">
        <f t="shared" ca="1" si="71"/>
        <v/>
      </c>
      <c r="G466" s="994">
        <f t="shared" ca="1" si="64"/>
        <v>0</v>
      </c>
      <c r="H466" s="913">
        <f t="shared" ca="1" si="65"/>
        <v>0</v>
      </c>
      <c r="I466" s="913">
        <f t="shared" ca="1" si="66"/>
        <v>0</v>
      </c>
      <c r="J466" s="995">
        <f t="shared" ca="1" si="72"/>
        <v>0</v>
      </c>
      <c r="K466" s="913">
        <f t="shared" ca="1" si="67"/>
        <v>0</v>
      </c>
      <c r="L466" s="995">
        <f t="shared" ca="1" si="73"/>
        <v>0</v>
      </c>
      <c r="M466" s="913">
        <f t="shared" ca="1" si="68"/>
        <v>0</v>
      </c>
      <c r="N466" s="996">
        <f t="shared" ca="1" si="69"/>
        <v>0</v>
      </c>
      <c r="O466" s="997">
        <f t="shared" ca="1" si="70"/>
        <v>0</v>
      </c>
      <c r="P466" s="1015" t="str">
        <f ca="1">IF($C466="","",INDEX(NVLSX!$N$2:$N$6941,MATCH($C466,NVLSX!$E$2:$E$6941,0)))</f>
        <v/>
      </c>
      <c r="Q466" s="1016" t="str">
        <f ca="1">IF($R466="","",IF(XKNVLSX!$X$1="",IF($P466=$V$7,$P466, IF(COUNTIFS($C$2:$C465,$C466,$E$2:$E465,$E466)&gt;=1,"",$P466)),     IF(AND(IFERROR(SEARCH($R466,XKNVLSX!$X$1,1),0)&gt;=1,$P466=$V$7),$P466, IF(OR($R466&lt;&gt;IF(IFERROR(SEARCH($R466,XKNVLSX!$X$1,1),0)&gt;=1,$R466,XKNVLSX!$X$1),COUNTIFS($C$2:$C465,$C466,$E$2:$E465,$E466,$Q$2:$Q465,$P466)&gt;=1),"",$P466))))</f>
        <v/>
      </c>
      <c r="R466" s="1017" t="str">
        <f ca="1">IF($A466="","",IFERROR(INDEX(TinhGia!$BF$10:$BF$81,MATCH($A466,TinhGia!$B$10:$B$81,0)),""))</f>
        <v/>
      </c>
      <c r="S466" s="1012" t="str">
        <f ca="1">IF($A466="","",IF(OR(IFERROR(SEARCH($R466,XKNVLSX!$X$1,1),0)&gt;=1,XKNVLSX!$X$1=""),$S$2,""))</f>
        <v/>
      </c>
      <c r="T466" s="1018" t="str">
        <f ca="1">IF($C466="","", IF(OR($P466=$V$1,$P466=$V$7,COUNTIFS($C$3:$C466,$C466,$E$3:$E466,$E466)&lt;=1),$P466,""    ))</f>
        <v/>
      </c>
      <c r="U466" s="1019" t="str">
        <f ca="1">IF(AND($P466=$V$2,COUNTIFS($C$3:$C466,$C466,$E$3:$E466,$E466,$G$3:$G466,$G466)&lt;=1),$P466,"")</f>
        <v/>
      </c>
    </row>
    <row r="467" spans="1:21">
      <c r="A467" s="991" t="str">
        <f ca="1">IFERROR(IF(COUNTIF($A$3:A466,A466)&lt; INDEX(TinhGia!$BH$10:$BH$81,MATCH($A466,TinhGia!$B$10:$B$81,0)),$A466,INDEX(TinhGia!$B$10:$B$81,MATCH($A466,TinhGia!$B$10:$B$81,0)+1)),"")</f>
        <v/>
      </c>
      <c r="B467" s="525" t="str">
        <f ca="1">IF(OR(A467="",A467=0),"",IF(COUNTIF($A$2:A467,$A467)=1,ROW(MauKoXoa!$C$108),$B466+1))</f>
        <v/>
      </c>
      <c r="C467" s="992" t="str">
        <f t="shared" ca="1" si="61"/>
        <v/>
      </c>
      <c r="D467" s="993" t="str">
        <f t="shared" ca="1" si="62"/>
        <v/>
      </c>
      <c r="E467" s="993" t="str">
        <f t="shared" ca="1" si="63"/>
        <v/>
      </c>
      <c r="F467" s="992" t="str">
        <f t="shared" ca="1" si="71"/>
        <v/>
      </c>
      <c r="G467" s="994">
        <f t="shared" ca="1" si="64"/>
        <v>0</v>
      </c>
      <c r="H467" s="913">
        <f t="shared" ca="1" si="65"/>
        <v>0</v>
      </c>
      <c r="I467" s="913">
        <f t="shared" ca="1" si="66"/>
        <v>0</v>
      </c>
      <c r="J467" s="995">
        <f t="shared" ca="1" si="72"/>
        <v>0</v>
      </c>
      <c r="K467" s="913">
        <f t="shared" ca="1" si="67"/>
        <v>0</v>
      </c>
      <c r="L467" s="995">
        <f t="shared" ca="1" si="73"/>
        <v>0</v>
      </c>
      <c r="M467" s="913">
        <f t="shared" ca="1" si="68"/>
        <v>0</v>
      </c>
      <c r="N467" s="996">
        <f t="shared" ca="1" si="69"/>
        <v>0</v>
      </c>
      <c r="O467" s="997">
        <f t="shared" ca="1" si="70"/>
        <v>0</v>
      </c>
      <c r="P467" s="1015" t="str">
        <f ca="1">IF($C467="","",INDEX(NVLSX!$N$2:$N$6941,MATCH($C467,NVLSX!$E$2:$E$6941,0)))</f>
        <v/>
      </c>
      <c r="Q467" s="1016" t="str">
        <f ca="1">IF($R467="","",IF(XKNVLSX!$X$1="",IF($P467=$V$7,$P467, IF(COUNTIFS($C$2:$C466,$C467,$E$2:$E466,$E467)&gt;=1,"",$P467)),     IF(AND(IFERROR(SEARCH($R467,XKNVLSX!$X$1,1),0)&gt;=1,$P467=$V$7),$P467, IF(OR($R467&lt;&gt;IF(IFERROR(SEARCH($R467,XKNVLSX!$X$1,1),0)&gt;=1,$R467,XKNVLSX!$X$1),COUNTIFS($C$2:$C466,$C467,$E$2:$E466,$E467,$Q$2:$Q466,$P467)&gt;=1),"",$P467))))</f>
        <v/>
      </c>
      <c r="R467" s="1017" t="str">
        <f ca="1">IF($A467="","",IFERROR(INDEX(TinhGia!$BF$10:$BF$81,MATCH($A467,TinhGia!$B$10:$B$81,0)),""))</f>
        <v/>
      </c>
      <c r="S467" s="1012" t="str">
        <f ca="1">IF($A467="","",IF(OR(IFERROR(SEARCH($R467,XKNVLSX!$X$1,1),0)&gt;=1,XKNVLSX!$X$1=""),$S$2,""))</f>
        <v/>
      </c>
      <c r="T467" s="1018" t="str">
        <f ca="1">IF($C467="","", IF(OR($P467=$V$1,$P467=$V$7,COUNTIFS($C$3:$C467,$C467,$E$3:$E467,$E467)&lt;=1),$P467,""    ))</f>
        <v/>
      </c>
      <c r="U467" s="1019" t="str">
        <f ca="1">IF(AND($P467=$V$2,COUNTIFS($C$3:$C467,$C467,$E$3:$E467,$E467,$G$3:$G467,$G467)&lt;=1),$P467,"")</f>
        <v/>
      </c>
    </row>
    <row r="468" spans="1:21">
      <c r="A468" s="991" t="str">
        <f ca="1">IFERROR(IF(COUNTIF($A$3:A467,A467)&lt; INDEX(TinhGia!$BH$10:$BH$81,MATCH($A467,TinhGia!$B$10:$B$81,0)),$A467,INDEX(TinhGia!$B$10:$B$81,MATCH($A467,TinhGia!$B$10:$B$81,0)+1)),"")</f>
        <v/>
      </c>
      <c r="B468" s="525" t="str">
        <f ca="1">IF(OR(A468="",A468=0),"",IF(COUNTIF($A$2:A468,$A468)=1,ROW(MauKoXoa!$C$108),$B467+1))</f>
        <v/>
      </c>
      <c r="C468" s="992" t="str">
        <f t="shared" ca="1" si="61"/>
        <v/>
      </c>
      <c r="D468" s="993" t="str">
        <f t="shared" ca="1" si="62"/>
        <v/>
      </c>
      <c r="E468" s="993" t="str">
        <f t="shared" ca="1" si="63"/>
        <v/>
      </c>
      <c r="F468" s="992" t="str">
        <f t="shared" ca="1" si="71"/>
        <v/>
      </c>
      <c r="G468" s="994">
        <f t="shared" ca="1" si="64"/>
        <v>0</v>
      </c>
      <c r="H468" s="913">
        <f t="shared" ca="1" si="65"/>
        <v>0</v>
      </c>
      <c r="I468" s="913">
        <f t="shared" ca="1" si="66"/>
        <v>0</v>
      </c>
      <c r="J468" s="995">
        <f t="shared" ca="1" si="72"/>
        <v>0</v>
      </c>
      <c r="K468" s="913">
        <f t="shared" ca="1" si="67"/>
        <v>0</v>
      </c>
      <c r="L468" s="995">
        <f t="shared" ca="1" si="73"/>
        <v>0</v>
      </c>
      <c r="M468" s="913">
        <f t="shared" ca="1" si="68"/>
        <v>0</v>
      </c>
      <c r="N468" s="996">
        <f t="shared" ca="1" si="69"/>
        <v>0</v>
      </c>
      <c r="O468" s="997">
        <f t="shared" ca="1" si="70"/>
        <v>0</v>
      </c>
      <c r="P468" s="1015" t="str">
        <f ca="1">IF($C468="","",INDEX(NVLSX!$N$2:$N$6941,MATCH($C468,NVLSX!$E$2:$E$6941,0)))</f>
        <v/>
      </c>
      <c r="Q468" s="1016" t="str">
        <f ca="1">IF($R468="","",IF(XKNVLSX!$X$1="",IF($P468=$V$7,$P468, IF(COUNTIFS($C$2:$C467,$C468,$E$2:$E467,$E468)&gt;=1,"",$P468)),     IF(AND(IFERROR(SEARCH($R468,XKNVLSX!$X$1,1),0)&gt;=1,$P468=$V$7),$P468, IF(OR($R468&lt;&gt;IF(IFERROR(SEARCH($R468,XKNVLSX!$X$1,1),0)&gt;=1,$R468,XKNVLSX!$X$1),COUNTIFS($C$2:$C467,$C468,$E$2:$E467,$E468,$Q$2:$Q467,$P468)&gt;=1),"",$P468))))</f>
        <v/>
      </c>
      <c r="R468" s="1017" t="str">
        <f ca="1">IF($A468="","",IFERROR(INDEX(TinhGia!$BF$10:$BF$81,MATCH($A468,TinhGia!$B$10:$B$81,0)),""))</f>
        <v/>
      </c>
      <c r="S468" s="1012" t="str">
        <f ca="1">IF($A468="","",IF(OR(IFERROR(SEARCH($R468,XKNVLSX!$X$1,1),0)&gt;=1,XKNVLSX!$X$1=""),$S$2,""))</f>
        <v/>
      </c>
      <c r="T468" s="1018" t="str">
        <f ca="1">IF($C468="","", IF(OR($P468=$V$1,$P468=$V$7,COUNTIFS($C$3:$C468,$C468,$E$3:$E468,$E468)&lt;=1),$P468,""    ))</f>
        <v/>
      </c>
      <c r="U468" s="1019" t="str">
        <f ca="1">IF(AND($P468=$V$2,COUNTIFS($C$3:$C468,$C468,$E$3:$E468,$E468,$G$3:$G468,$G468)&lt;=1),$P468,"")</f>
        <v/>
      </c>
    </row>
    <row r="469" spans="1:21">
      <c r="A469" s="991" t="str">
        <f ca="1">IFERROR(IF(COUNTIF($A$3:A468,A468)&lt; INDEX(TinhGia!$BH$10:$BH$81,MATCH($A468,TinhGia!$B$10:$B$81,0)),$A468,INDEX(TinhGia!$B$10:$B$81,MATCH($A468,TinhGia!$B$10:$B$81,0)+1)),"")</f>
        <v/>
      </c>
      <c r="B469" s="525" t="str">
        <f ca="1">IF(OR(A469="",A469=0),"",IF(COUNTIF($A$2:A469,$A469)=1,ROW(MauKoXoa!$C$108),$B468+1))</f>
        <v/>
      </c>
      <c r="C469" s="992" t="str">
        <f t="shared" ca="1" si="61"/>
        <v/>
      </c>
      <c r="D469" s="993" t="str">
        <f t="shared" ca="1" si="62"/>
        <v/>
      </c>
      <c r="E469" s="993" t="str">
        <f t="shared" ca="1" si="63"/>
        <v/>
      </c>
      <c r="F469" s="992" t="str">
        <f t="shared" ca="1" si="71"/>
        <v/>
      </c>
      <c r="G469" s="994">
        <f t="shared" ca="1" si="64"/>
        <v>0</v>
      </c>
      <c r="H469" s="913">
        <f t="shared" ca="1" si="65"/>
        <v>0</v>
      </c>
      <c r="I469" s="913">
        <f t="shared" ca="1" si="66"/>
        <v>0</v>
      </c>
      <c r="J469" s="995">
        <f t="shared" ca="1" si="72"/>
        <v>0</v>
      </c>
      <c r="K469" s="913">
        <f t="shared" ca="1" si="67"/>
        <v>0</v>
      </c>
      <c r="L469" s="995">
        <f t="shared" ca="1" si="73"/>
        <v>0</v>
      </c>
      <c r="M469" s="913">
        <f t="shared" ca="1" si="68"/>
        <v>0</v>
      </c>
      <c r="N469" s="996">
        <f t="shared" ca="1" si="69"/>
        <v>0</v>
      </c>
      <c r="O469" s="997">
        <f t="shared" ca="1" si="70"/>
        <v>0</v>
      </c>
      <c r="P469" s="1015" t="str">
        <f ca="1">IF($C469="","",INDEX(NVLSX!$N$2:$N$6941,MATCH($C469,NVLSX!$E$2:$E$6941,0)))</f>
        <v/>
      </c>
      <c r="Q469" s="1016" t="str">
        <f ca="1">IF($R469="","",IF(XKNVLSX!$X$1="",IF($P469=$V$7,$P469, IF(COUNTIFS($C$2:$C468,$C469,$E$2:$E468,$E469)&gt;=1,"",$P469)),     IF(AND(IFERROR(SEARCH($R469,XKNVLSX!$X$1,1),0)&gt;=1,$P469=$V$7),$P469, IF(OR($R469&lt;&gt;IF(IFERROR(SEARCH($R469,XKNVLSX!$X$1,1),0)&gt;=1,$R469,XKNVLSX!$X$1),COUNTIFS($C$2:$C468,$C469,$E$2:$E468,$E469,$Q$2:$Q468,$P469)&gt;=1),"",$P469))))</f>
        <v/>
      </c>
      <c r="R469" s="1017" t="str">
        <f ca="1">IF($A469="","",IFERROR(INDEX(TinhGia!$BF$10:$BF$81,MATCH($A469,TinhGia!$B$10:$B$81,0)),""))</f>
        <v/>
      </c>
      <c r="S469" s="1012" t="str">
        <f ca="1">IF($A469="","",IF(OR(IFERROR(SEARCH($R469,XKNVLSX!$X$1,1),0)&gt;=1,XKNVLSX!$X$1=""),$S$2,""))</f>
        <v/>
      </c>
      <c r="T469" s="1018" t="str">
        <f ca="1">IF($C469="","", IF(OR($P469=$V$1,$P469=$V$7,COUNTIFS($C$3:$C469,$C469,$E$3:$E469,$E469)&lt;=1),$P469,""    ))</f>
        <v/>
      </c>
      <c r="U469" s="1019" t="str">
        <f ca="1">IF(AND($P469=$V$2,COUNTIFS($C$3:$C469,$C469,$E$3:$E469,$E469,$G$3:$G469,$G469)&lt;=1),$P469,"")</f>
        <v/>
      </c>
    </row>
    <row r="470" spans="1:21">
      <c r="A470" s="991" t="str">
        <f ca="1">IFERROR(IF(COUNTIF($A$3:A469,A469)&lt; INDEX(TinhGia!$BH$10:$BH$81,MATCH($A469,TinhGia!$B$10:$B$81,0)),$A469,INDEX(TinhGia!$B$10:$B$81,MATCH($A469,TinhGia!$B$10:$B$81,0)+1)),"")</f>
        <v/>
      </c>
      <c r="B470" s="525" t="str">
        <f ca="1">IF(OR(A470="",A470=0),"",IF(COUNTIF($A$2:A470,$A470)=1,ROW(MauKoXoa!$C$108),$B469+1))</f>
        <v/>
      </c>
      <c r="C470" s="992" t="str">
        <f t="shared" ca="1" si="61"/>
        <v/>
      </c>
      <c r="D470" s="993" t="str">
        <f t="shared" ca="1" si="62"/>
        <v/>
      </c>
      <c r="E470" s="993" t="str">
        <f t="shared" ca="1" si="63"/>
        <v/>
      </c>
      <c r="F470" s="992" t="str">
        <f t="shared" ca="1" si="71"/>
        <v/>
      </c>
      <c r="G470" s="994">
        <f t="shared" ca="1" si="64"/>
        <v>0</v>
      </c>
      <c r="H470" s="913">
        <f t="shared" ca="1" si="65"/>
        <v>0</v>
      </c>
      <c r="I470" s="913">
        <f t="shared" ca="1" si="66"/>
        <v>0</v>
      </c>
      <c r="J470" s="995">
        <f t="shared" ca="1" si="72"/>
        <v>0</v>
      </c>
      <c r="K470" s="913">
        <f t="shared" ca="1" si="67"/>
        <v>0</v>
      </c>
      <c r="L470" s="995">
        <f t="shared" ca="1" si="73"/>
        <v>0</v>
      </c>
      <c r="M470" s="913">
        <f t="shared" ca="1" si="68"/>
        <v>0</v>
      </c>
      <c r="N470" s="996">
        <f t="shared" ca="1" si="69"/>
        <v>0</v>
      </c>
      <c r="O470" s="997">
        <f t="shared" ca="1" si="70"/>
        <v>0</v>
      </c>
      <c r="P470" s="1015" t="str">
        <f ca="1">IF($C470="","",INDEX(NVLSX!$N$2:$N$6941,MATCH($C470,NVLSX!$E$2:$E$6941,0)))</f>
        <v/>
      </c>
      <c r="Q470" s="1016" t="str">
        <f ca="1">IF($R470="","",IF(XKNVLSX!$X$1="",IF($P470=$V$7,$P470, IF(COUNTIFS($C$2:$C469,$C470,$E$2:$E469,$E470)&gt;=1,"",$P470)),     IF(AND(IFERROR(SEARCH($R470,XKNVLSX!$X$1,1),0)&gt;=1,$P470=$V$7),$P470, IF(OR($R470&lt;&gt;IF(IFERROR(SEARCH($R470,XKNVLSX!$X$1,1),0)&gt;=1,$R470,XKNVLSX!$X$1),COUNTIFS($C$2:$C469,$C470,$E$2:$E469,$E470,$Q$2:$Q469,$P470)&gt;=1),"",$P470))))</f>
        <v/>
      </c>
      <c r="R470" s="1017" t="str">
        <f ca="1">IF($A470="","",IFERROR(INDEX(TinhGia!$BF$10:$BF$81,MATCH($A470,TinhGia!$B$10:$B$81,0)),""))</f>
        <v/>
      </c>
      <c r="S470" s="1012" t="str">
        <f ca="1">IF($A470="","",IF(OR(IFERROR(SEARCH($R470,XKNVLSX!$X$1,1),0)&gt;=1,XKNVLSX!$X$1=""),$S$2,""))</f>
        <v/>
      </c>
      <c r="T470" s="1018" t="str">
        <f ca="1">IF($C470="","", IF(OR($P470=$V$1,$P470=$V$7,COUNTIFS($C$3:$C470,$C470,$E$3:$E470,$E470)&lt;=1),$P470,""    ))</f>
        <v/>
      </c>
      <c r="U470" s="1019" t="str">
        <f ca="1">IF(AND($P470=$V$2,COUNTIFS($C$3:$C470,$C470,$E$3:$E470,$E470,$G$3:$G470,$G470)&lt;=1),$P470,"")</f>
        <v/>
      </c>
    </row>
    <row r="471" spans="1:21">
      <c r="A471" s="991" t="str">
        <f ca="1">IFERROR(IF(COUNTIF($A$3:A470,A470)&lt; INDEX(TinhGia!$BH$10:$BH$81,MATCH($A470,TinhGia!$B$10:$B$81,0)),$A470,INDEX(TinhGia!$B$10:$B$81,MATCH($A470,TinhGia!$B$10:$B$81,0)+1)),"")</f>
        <v/>
      </c>
      <c r="B471" s="525" t="str">
        <f ca="1">IF(OR(A471="",A471=0),"",IF(COUNTIF($A$2:A471,$A471)=1,ROW(MauKoXoa!$C$108),$B470+1))</f>
        <v/>
      </c>
      <c r="C471" s="992" t="str">
        <f t="shared" ca="1" si="61"/>
        <v/>
      </c>
      <c r="D471" s="993" t="str">
        <f t="shared" ca="1" si="62"/>
        <v/>
      </c>
      <c r="E471" s="993" t="str">
        <f t="shared" ca="1" si="63"/>
        <v/>
      </c>
      <c r="F471" s="992" t="str">
        <f t="shared" ca="1" si="71"/>
        <v/>
      </c>
      <c r="G471" s="994">
        <f t="shared" ca="1" si="64"/>
        <v>0</v>
      </c>
      <c r="H471" s="913">
        <f t="shared" ca="1" si="65"/>
        <v>0</v>
      </c>
      <c r="I471" s="913">
        <f t="shared" ca="1" si="66"/>
        <v>0</v>
      </c>
      <c r="J471" s="995">
        <f t="shared" ca="1" si="72"/>
        <v>0</v>
      </c>
      <c r="K471" s="913">
        <f t="shared" ca="1" si="67"/>
        <v>0</v>
      </c>
      <c r="L471" s="995">
        <f t="shared" ca="1" si="73"/>
        <v>0</v>
      </c>
      <c r="M471" s="913">
        <f t="shared" ca="1" si="68"/>
        <v>0</v>
      </c>
      <c r="N471" s="996">
        <f t="shared" ca="1" si="69"/>
        <v>0</v>
      </c>
      <c r="O471" s="997">
        <f t="shared" ca="1" si="70"/>
        <v>0</v>
      </c>
      <c r="P471" s="1015" t="str">
        <f ca="1">IF($C471="","",INDEX(NVLSX!$N$2:$N$6941,MATCH($C471,NVLSX!$E$2:$E$6941,0)))</f>
        <v/>
      </c>
      <c r="Q471" s="1016" t="str">
        <f ca="1">IF($R471="","",IF(XKNVLSX!$X$1="",IF($P471=$V$7,$P471, IF(COUNTIFS($C$2:$C470,$C471,$E$2:$E470,$E471)&gt;=1,"",$P471)),     IF(AND(IFERROR(SEARCH($R471,XKNVLSX!$X$1,1),0)&gt;=1,$P471=$V$7),$P471, IF(OR($R471&lt;&gt;IF(IFERROR(SEARCH($R471,XKNVLSX!$X$1,1),0)&gt;=1,$R471,XKNVLSX!$X$1),COUNTIFS($C$2:$C470,$C471,$E$2:$E470,$E471,$Q$2:$Q470,$P471)&gt;=1),"",$P471))))</f>
        <v/>
      </c>
      <c r="R471" s="1017" t="str">
        <f ca="1">IF($A471="","",IFERROR(INDEX(TinhGia!$BF$10:$BF$81,MATCH($A471,TinhGia!$B$10:$B$81,0)),""))</f>
        <v/>
      </c>
      <c r="S471" s="1012" t="str">
        <f ca="1">IF($A471="","",IF(OR(IFERROR(SEARCH($R471,XKNVLSX!$X$1,1),0)&gt;=1,XKNVLSX!$X$1=""),$S$2,""))</f>
        <v/>
      </c>
      <c r="T471" s="1018" t="str">
        <f ca="1">IF($C471="","", IF(OR($P471=$V$1,$P471=$V$7,COUNTIFS($C$3:$C471,$C471,$E$3:$E471,$E471)&lt;=1),$P471,""    ))</f>
        <v/>
      </c>
      <c r="U471" s="1019" t="str">
        <f ca="1">IF(AND($P471=$V$2,COUNTIFS($C$3:$C471,$C471,$E$3:$E471,$E471,$G$3:$G471,$G471)&lt;=1),$P471,"")</f>
        <v/>
      </c>
    </row>
    <row r="472" spans="1:21">
      <c r="A472" s="991" t="str">
        <f ca="1">IFERROR(IF(COUNTIF($A$3:A471,A471)&lt; INDEX(TinhGia!$BH$10:$BH$81,MATCH($A471,TinhGia!$B$10:$B$81,0)),$A471,INDEX(TinhGia!$B$10:$B$81,MATCH($A471,TinhGia!$B$10:$B$81,0)+1)),"")</f>
        <v/>
      </c>
      <c r="B472" s="525" t="str">
        <f ca="1">IF(OR(A472="",A472=0),"",IF(COUNTIF($A$2:A472,$A472)=1,ROW(MauKoXoa!$C$108),$B471+1))</f>
        <v/>
      </c>
      <c r="C472" s="992" t="str">
        <f t="shared" ca="1" si="61"/>
        <v/>
      </c>
      <c r="D472" s="993" t="str">
        <f t="shared" ca="1" si="62"/>
        <v/>
      </c>
      <c r="E472" s="993" t="str">
        <f t="shared" ca="1" si="63"/>
        <v/>
      </c>
      <c r="F472" s="992" t="str">
        <f t="shared" ca="1" si="71"/>
        <v/>
      </c>
      <c r="G472" s="994">
        <f t="shared" ca="1" si="64"/>
        <v>0</v>
      </c>
      <c r="H472" s="913">
        <f t="shared" ca="1" si="65"/>
        <v>0</v>
      </c>
      <c r="I472" s="913">
        <f t="shared" ca="1" si="66"/>
        <v>0</v>
      </c>
      <c r="J472" s="995">
        <f t="shared" ca="1" si="72"/>
        <v>0</v>
      </c>
      <c r="K472" s="913">
        <f t="shared" ca="1" si="67"/>
        <v>0</v>
      </c>
      <c r="L472" s="995">
        <f t="shared" ca="1" si="73"/>
        <v>0</v>
      </c>
      <c r="M472" s="913">
        <f t="shared" ca="1" si="68"/>
        <v>0</v>
      </c>
      <c r="N472" s="996">
        <f t="shared" ca="1" si="69"/>
        <v>0</v>
      </c>
      <c r="O472" s="997">
        <f t="shared" ca="1" si="70"/>
        <v>0</v>
      </c>
      <c r="P472" s="1015" t="str">
        <f ca="1">IF($C472="","",INDEX(NVLSX!$N$2:$N$6941,MATCH($C472,NVLSX!$E$2:$E$6941,0)))</f>
        <v/>
      </c>
      <c r="Q472" s="1016" t="str">
        <f ca="1">IF($R472="","",IF(XKNVLSX!$X$1="",IF($P472=$V$7,$P472, IF(COUNTIFS($C$2:$C471,$C472,$E$2:$E471,$E472)&gt;=1,"",$P472)),     IF(AND(IFERROR(SEARCH($R472,XKNVLSX!$X$1,1),0)&gt;=1,$P472=$V$7),$P472, IF(OR($R472&lt;&gt;IF(IFERROR(SEARCH($R472,XKNVLSX!$X$1,1),0)&gt;=1,$R472,XKNVLSX!$X$1),COUNTIFS($C$2:$C471,$C472,$E$2:$E471,$E472,$Q$2:$Q471,$P472)&gt;=1),"",$P472))))</f>
        <v/>
      </c>
      <c r="R472" s="1017" t="str">
        <f ca="1">IF($A472="","",IFERROR(INDEX(TinhGia!$BF$10:$BF$81,MATCH($A472,TinhGia!$B$10:$B$81,0)),""))</f>
        <v/>
      </c>
      <c r="S472" s="1012" t="str">
        <f ca="1">IF($A472="","",IF(OR(IFERROR(SEARCH($R472,XKNVLSX!$X$1,1),0)&gt;=1,XKNVLSX!$X$1=""),$S$2,""))</f>
        <v/>
      </c>
      <c r="T472" s="1018" t="str">
        <f ca="1">IF($C472="","", IF(OR($P472=$V$1,$P472=$V$7,COUNTIFS($C$3:$C472,$C472,$E$3:$E472,$E472)&lt;=1),$P472,""    ))</f>
        <v/>
      </c>
      <c r="U472" s="1019" t="str">
        <f ca="1">IF(AND($P472=$V$2,COUNTIFS($C$3:$C472,$C472,$E$3:$E472,$E472,$G$3:$G472,$G472)&lt;=1),$P472,"")</f>
        <v/>
      </c>
    </row>
    <row r="473" spans="1:21">
      <c r="A473" s="991" t="str">
        <f ca="1">IFERROR(IF(COUNTIF($A$3:A472,A472)&lt; INDEX(TinhGia!$BH$10:$BH$81,MATCH($A472,TinhGia!$B$10:$B$81,0)),$A472,INDEX(TinhGia!$B$10:$B$81,MATCH($A472,TinhGia!$B$10:$B$81,0)+1)),"")</f>
        <v/>
      </c>
      <c r="B473" s="525" t="str">
        <f ca="1">IF(OR(A473="",A473=0),"",IF(COUNTIF($A$2:A473,$A473)=1,ROW(MauKoXoa!$C$108),$B472+1))</f>
        <v/>
      </c>
      <c r="C473" s="992" t="str">
        <f t="shared" ca="1" si="61"/>
        <v/>
      </c>
      <c r="D473" s="993" t="str">
        <f t="shared" ca="1" si="62"/>
        <v/>
      </c>
      <c r="E473" s="993" t="str">
        <f t="shared" ca="1" si="63"/>
        <v/>
      </c>
      <c r="F473" s="992" t="str">
        <f t="shared" ca="1" si="71"/>
        <v/>
      </c>
      <c r="G473" s="994">
        <f t="shared" ca="1" si="64"/>
        <v>0</v>
      </c>
      <c r="H473" s="913">
        <f t="shared" ca="1" si="65"/>
        <v>0</v>
      </c>
      <c r="I473" s="913">
        <f t="shared" ca="1" si="66"/>
        <v>0</v>
      </c>
      <c r="J473" s="995">
        <f t="shared" ca="1" si="72"/>
        <v>0</v>
      </c>
      <c r="K473" s="913">
        <f t="shared" ca="1" si="67"/>
        <v>0</v>
      </c>
      <c r="L473" s="995">
        <f t="shared" ca="1" si="73"/>
        <v>0</v>
      </c>
      <c r="M473" s="913">
        <f t="shared" ca="1" si="68"/>
        <v>0</v>
      </c>
      <c r="N473" s="996">
        <f t="shared" ca="1" si="69"/>
        <v>0</v>
      </c>
      <c r="O473" s="997">
        <f t="shared" ca="1" si="70"/>
        <v>0</v>
      </c>
      <c r="P473" s="1015" t="str">
        <f ca="1">IF($C473="","",INDEX(NVLSX!$N$2:$N$6941,MATCH($C473,NVLSX!$E$2:$E$6941,0)))</f>
        <v/>
      </c>
      <c r="Q473" s="1016" t="str">
        <f ca="1">IF($R473="","",IF(XKNVLSX!$X$1="",IF($P473=$V$7,$P473, IF(COUNTIFS($C$2:$C472,$C473,$E$2:$E472,$E473)&gt;=1,"",$P473)),     IF(AND(IFERROR(SEARCH($R473,XKNVLSX!$X$1,1),0)&gt;=1,$P473=$V$7),$P473, IF(OR($R473&lt;&gt;IF(IFERROR(SEARCH($R473,XKNVLSX!$X$1,1),0)&gt;=1,$R473,XKNVLSX!$X$1),COUNTIFS($C$2:$C472,$C473,$E$2:$E472,$E473,$Q$2:$Q472,$P473)&gt;=1),"",$P473))))</f>
        <v/>
      </c>
      <c r="R473" s="1017" t="str">
        <f ca="1">IF($A473="","",IFERROR(INDEX(TinhGia!$BF$10:$BF$81,MATCH($A473,TinhGia!$B$10:$B$81,0)),""))</f>
        <v/>
      </c>
      <c r="S473" s="1012" t="str">
        <f ca="1">IF($A473="","",IF(OR(IFERROR(SEARCH($R473,XKNVLSX!$X$1,1),0)&gt;=1,XKNVLSX!$X$1=""),$S$2,""))</f>
        <v/>
      </c>
      <c r="T473" s="1018" t="str">
        <f ca="1">IF($C473="","", IF(OR($P473=$V$1,$P473=$V$7,COUNTIFS($C$3:$C473,$C473,$E$3:$E473,$E473)&lt;=1),$P473,""    ))</f>
        <v/>
      </c>
      <c r="U473" s="1019" t="str">
        <f ca="1">IF(AND($P473=$V$2,COUNTIFS($C$3:$C473,$C473,$E$3:$E473,$E473,$G$3:$G473,$G473)&lt;=1),$P473,"")</f>
        <v/>
      </c>
    </row>
    <row r="474" spans="1:21">
      <c r="A474" s="991" t="str">
        <f ca="1">IFERROR(IF(COUNTIF($A$3:A473,A473)&lt; INDEX(TinhGia!$BH$10:$BH$81,MATCH($A473,TinhGia!$B$10:$B$81,0)),$A473,INDEX(TinhGia!$B$10:$B$81,MATCH($A473,TinhGia!$B$10:$B$81,0)+1)),"")</f>
        <v/>
      </c>
      <c r="B474" s="525" t="str">
        <f ca="1">IF(OR(A474="",A474=0),"",IF(COUNTIF($A$2:A474,$A474)=1,ROW(MauKoXoa!$C$108),$B473+1))</f>
        <v/>
      </c>
      <c r="C474" s="992" t="str">
        <f t="shared" ca="1" si="61"/>
        <v/>
      </c>
      <c r="D474" s="993" t="str">
        <f t="shared" ca="1" si="62"/>
        <v/>
      </c>
      <c r="E474" s="993" t="str">
        <f t="shared" ca="1" si="63"/>
        <v/>
      </c>
      <c r="F474" s="992" t="str">
        <f t="shared" ca="1" si="71"/>
        <v/>
      </c>
      <c r="G474" s="994">
        <f t="shared" ca="1" si="64"/>
        <v>0</v>
      </c>
      <c r="H474" s="913">
        <f t="shared" ca="1" si="65"/>
        <v>0</v>
      </c>
      <c r="I474" s="913">
        <f t="shared" ca="1" si="66"/>
        <v>0</v>
      </c>
      <c r="J474" s="995">
        <f t="shared" ca="1" si="72"/>
        <v>0</v>
      </c>
      <c r="K474" s="913">
        <f t="shared" ca="1" si="67"/>
        <v>0</v>
      </c>
      <c r="L474" s="995">
        <f t="shared" ca="1" si="73"/>
        <v>0</v>
      </c>
      <c r="M474" s="913">
        <f t="shared" ca="1" si="68"/>
        <v>0</v>
      </c>
      <c r="N474" s="996">
        <f t="shared" ca="1" si="69"/>
        <v>0</v>
      </c>
      <c r="O474" s="997">
        <f t="shared" ca="1" si="70"/>
        <v>0</v>
      </c>
      <c r="P474" s="1015" t="str">
        <f ca="1">IF($C474="","",INDEX(NVLSX!$N$2:$N$6941,MATCH($C474,NVLSX!$E$2:$E$6941,0)))</f>
        <v/>
      </c>
      <c r="Q474" s="1016" t="str">
        <f ca="1">IF($R474="","",IF(XKNVLSX!$X$1="",IF($P474=$V$7,$P474, IF(COUNTIFS($C$2:$C473,$C474,$E$2:$E473,$E474)&gt;=1,"",$P474)),     IF(AND(IFERROR(SEARCH($R474,XKNVLSX!$X$1,1),0)&gt;=1,$P474=$V$7),$P474, IF(OR($R474&lt;&gt;IF(IFERROR(SEARCH($R474,XKNVLSX!$X$1,1),0)&gt;=1,$R474,XKNVLSX!$X$1),COUNTIFS($C$2:$C473,$C474,$E$2:$E473,$E474,$Q$2:$Q473,$P474)&gt;=1),"",$P474))))</f>
        <v/>
      </c>
      <c r="R474" s="1017" t="str">
        <f ca="1">IF($A474="","",IFERROR(INDEX(TinhGia!$BF$10:$BF$81,MATCH($A474,TinhGia!$B$10:$B$81,0)),""))</f>
        <v/>
      </c>
      <c r="S474" s="1012" t="str">
        <f ca="1">IF($A474="","",IF(OR(IFERROR(SEARCH($R474,XKNVLSX!$X$1,1),0)&gt;=1,XKNVLSX!$X$1=""),$S$2,""))</f>
        <v/>
      </c>
      <c r="T474" s="1018" t="str">
        <f ca="1">IF($C474="","", IF(OR($P474=$V$1,$P474=$V$7,COUNTIFS($C$3:$C474,$C474,$E$3:$E474,$E474)&lt;=1),$P474,""    ))</f>
        <v/>
      </c>
      <c r="U474" s="1019" t="str">
        <f ca="1">IF(AND($P474=$V$2,COUNTIFS($C$3:$C474,$C474,$E$3:$E474,$E474,$G$3:$G474,$G474)&lt;=1),$P474,"")</f>
        <v/>
      </c>
    </row>
    <row r="475" spans="1:21">
      <c r="A475" s="991" t="str">
        <f ca="1">IFERROR(IF(COUNTIF($A$3:A474,A474)&lt; INDEX(TinhGia!$BH$10:$BH$81,MATCH($A474,TinhGia!$B$10:$B$81,0)),$A474,INDEX(TinhGia!$B$10:$B$81,MATCH($A474,TinhGia!$B$10:$B$81,0)+1)),"")</f>
        <v/>
      </c>
      <c r="B475" s="525" t="str">
        <f ca="1">IF(OR(A475="",A475=0),"",IF(COUNTIF($A$2:A475,$A475)=1,ROW(MauKoXoa!$C$108),$B474+1))</f>
        <v/>
      </c>
      <c r="C475" s="992" t="str">
        <f t="shared" ca="1" si="61"/>
        <v/>
      </c>
      <c r="D475" s="993" t="str">
        <f t="shared" ca="1" si="62"/>
        <v/>
      </c>
      <c r="E475" s="993" t="str">
        <f t="shared" ca="1" si="63"/>
        <v/>
      </c>
      <c r="F475" s="992" t="str">
        <f t="shared" ca="1" si="71"/>
        <v/>
      </c>
      <c r="G475" s="994">
        <f t="shared" ca="1" si="64"/>
        <v>0</v>
      </c>
      <c r="H475" s="913">
        <f t="shared" ca="1" si="65"/>
        <v>0</v>
      </c>
      <c r="I475" s="913">
        <f t="shared" ca="1" si="66"/>
        <v>0</v>
      </c>
      <c r="J475" s="995">
        <f t="shared" ca="1" si="72"/>
        <v>0</v>
      </c>
      <c r="K475" s="913">
        <f t="shared" ca="1" si="67"/>
        <v>0</v>
      </c>
      <c r="L475" s="995">
        <f t="shared" ca="1" si="73"/>
        <v>0</v>
      </c>
      <c r="M475" s="913">
        <f t="shared" ca="1" si="68"/>
        <v>0</v>
      </c>
      <c r="N475" s="996">
        <f t="shared" ca="1" si="69"/>
        <v>0</v>
      </c>
      <c r="O475" s="997">
        <f t="shared" ca="1" si="70"/>
        <v>0</v>
      </c>
      <c r="P475" s="1015" t="str">
        <f ca="1">IF($C475="","",INDEX(NVLSX!$N$2:$N$6941,MATCH($C475,NVLSX!$E$2:$E$6941,0)))</f>
        <v/>
      </c>
      <c r="Q475" s="1016" t="str">
        <f ca="1">IF($R475="","",IF(XKNVLSX!$X$1="",IF($P475=$V$7,$P475, IF(COUNTIFS($C$2:$C474,$C475,$E$2:$E474,$E475)&gt;=1,"",$P475)),     IF(AND(IFERROR(SEARCH($R475,XKNVLSX!$X$1,1),0)&gt;=1,$P475=$V$7),$P475, IF(OR($R475&lt;&gt;IF(IFERROR(SEARCH($R475,XKNVLSX!$X$1,1),0)&gt;=1,$R475,XKNVLSX!$X$1),COUNTIFS($C$2:$C474,$C475,$E$2:$E474,$E475,$Q$2:$Q474,$P475)&gt;=1),"",$P475))))</f>
        <v/>
      </c>
      <c r="R475" s="1017" t="str">
        <f ca="1">IF($A475="","",IFERROR(INDEX(TinhGia!$BF$10:$BF$81,MATCH($A475,TinhGia!$B$10:$B$81,0)),""))</f>
        <v/>
      </c>
      <c r="S475" s="1012" t="str">
        <f ca="1">IF($A475="","",IF(OR(IFERROR(SEARCH($R475,XKNVLSX!$X$1,1),0)&gt;=1,XKNVLSX!$X$1=""),$S$2,""))</f>
        <v/>
      </c>
      <c r="T475" s="1018" t="str">
        <f ca="1">IF($C475="","", IF(OR($P475=$V$1,$P475=$V$7,COUNTIFS($C$3:$C475,$C475,$E$3:$E475,$E475)&lt;=1),$P475,""    ))</f>
        <v/>
      </c>
      <c r="U475" s="1019" t="str">
        <f ca="1">IF(AND($P475=$V$2,COUNTIFS($C$3:$C475,$C475,$E$3:$E475,$E475,$G$3:$G475,$G475)&lt;=1),$P475,"")</f>
        <v/>
      </c>
    </row>
    <row r="476" spans="1:21">
      <c r="A476" s="991" t="str">
        <f ca="1">IFERROR(IF(COUNTIF($A$3:A475,A475)&lt; INDEX(TinhGia!$BH$10:$BH$81,MATCH($A475,TinhGia!$B$10:$B$81,0)),$A475,INDEX(TinhGia!$B$10:$B$81,MATCH($A475,TinhGia!$B$10:$B$81,0)+1)),"")</f>
        <v/>
      </c>
      <c r="B476" s="525" t="str">
        <f ca="1">IF(OR(A476="",A476=0),"",IF(COUNTIF($A$2:A476,$A476)=1,ROW(MauKoXoa!$C$108),$B475+1))</f>
        <v/>
      </c>
      <c r="C476" s="992" t="str">
        <f t="shared" ca="1" si="61"/>
        <v/>
      </c>
      <c r="D476" s="993" t="str">
        <f t="shared" ca="1" si="62"/>
        <v/>
      </c>
      <c r="E476" s="993" t="str">
        <f t="shared" ca="1" si="63"/>
        <v/>
      </c>
      <c r="F476" s="992" t="str">
        <f t="shared" ca="1" si="71"/>
        <v/>
      </c>
      <c r="G476" s="994">
        <f t="shared" ca="1" si="64"/>
        <v>0</v>
      </c>
      <c r="H476" s="913">
        <f t="shared" ca="1" si="65"/>
        <v>0</v>
      </c>
      <c r="I476" s="913">
        <f t="shared" ca="1" si="66"/>
        <v>0</v>
      </c>
      <c r="J476" s="995">
        <f t="shared" ca="1" si="72"/>
        <v>0</v>
      </c>
      <c r="K476" s="913">
        <f t="shared" ca="1" si="67"/>
        <v>0</v>
      </c>
      <c r="L476" s="995">
        <f t="shared" ca="1" si="73"/>
        <v>0</v>
      </c>
      <c r="M476" s="913">
        <f t="shared" ca="1" si="68"/>
        <v>0</v>
      </c>
      <c r="N476" s="996">
        <f t="shared" ca="1" si="69"/>
        <v>0</v>
      </c>
      <c r="O476" s="997">
        <f t="shared" ca="1" si="70"/>
        <v>0</v>
      </c>
      <c r="P476" s="1015" t="str">
        <f ca="1">IF($C476="","",INDEX(NVLSX!$N$2:$N$6941,MATCH($C476,NVLSX!$E$2:$E$6941,0)))</f>
        <v/>
      </c>
      <c r="Q476" s="1016" t="str">
        <f ca="1">IF($R476="","",IF(XKNVLSX!$X$1="",IF($P476=$V$7,$P476, IF(COUNTIFS($C$2:$C475,$C476,$E$2:$E475,$E476)&gt;=1,"",$P476)),     IF(AND(IFERROR(SEARCH($R476,XKNVLSX!$X$1,1),0)&gt;=1,$P476=$V$7),$P476, IF(OR($R476&lt;&gt;IF(IFERROR(SEARCH($R476,XKNVLSX!$X$1,1),0)&gt;=1,$R476,XKNVLSX!$X$1),COUNTIFS($C$2:$C475,$C476,$E$2:$E475,$E476,$Q$2:$Q475,$P476)&gt;=1),"",$P476))))</f>
        <v/>
      </c>
      <c r="R476" s="1017" t="str">
        <f ca="1">IF($A476="","",IFERROR(INDEX(TinhGia!$BF$10:$BF$81,MATCH($A476,TinhGia!$B$10:$B$81,0)),""))</f>
        <v/>
      </c>
      <c r="S476" s="1012" t="str">
        <f ca="1">IF($A476="","",IF(OR(IFERROR(SEARCH($R476,XKNVLSX!$X$1,1),0)&gt;=1,XKNVLSX!$X$1=""),$S$2,""))</f>
        <v/>
      </c>
      <c r="T476" s="1018" t="str">
        <f ca="1">IF($C476="","", IF(OR($P476=$V$1,$P476=$V$7,COUNTIFS($C$3:$C476,$C476,$E$3:$E476,$E476)&lt;=1),$P476,""    ))</f>
        <v/>
      </c>
      <c r="U476" s="1019" t="str">
        <f ca="1">IF(AND($P476=$V$2,COUNTIFS($C$3:$C476,$C476,$E$3:$E476,$E476,$G$3:$G476,$G476)&lt;=1),$P476,"")</f>
        <v/>
      </c>
    </row>
    <row r="477" spans="1:21">
      <c r="A477" s="991" t="str">
        <f ca="1">IFERROR(IF(COUNTIF($A$3:A476,A476)&lt; INDEX(TinhGia!$BH$10:$BH$81,MATCH($A476,TinhGia!$B$10:$B$81,0)),$A476,INDEX(TinhGia!$B$10:$B$81,MATCH($A476,TinhGia!$B$10:$B$81,0)+1)),"")</f>
        <v/>
      </c>
      <c r="B477" s="525" t="str">
        <f ca="1">IF(OR(A477="",A477=0),"",IF(COUNTIF($A$2:A477,$A477)=1,ROW(MauKoXoa!$C$108),$B476+1))</f>
        <v/>
      </c>
      <c r="C477" s="992" t="str">
        <f t="shared" ca="1" si="61"/>
        <v/>
      </c>
      <c r="D477" s="993" t="str">
        <f t="shared" ca="1" si="62"/>
        <v/>
      </c>
      <c r="E477" s="993" t="str">
        <f t="shared" ca="1" si="63"/>
        <v/>
      </c>
      <c r="F477" s="992" t="str">
        <f t="shared" ca="1" si="71"/>
        <v/>
      </c>
      <c r="G477" s="994">
        <f t="shared" ca="1" si="64"/>
        <v>0</v>
      </c>
      <c r="H477" s="913">
        <f t="shared" ca="1" si="65"/>
        <v>0</v>
      </c>
      <c r="I477" s="913">
        <f t="shared" ca="1" si="66"/>
        <v>0</v>
      </c>
      <c r="J477" s="995">
        <f t="shared" ca="1" si="72"/>
        <v>0</v>
      </c>
      <c r="K477" s="913">
        <f t="shared" ca="1" si="67"/>
        <v>0</v>
      </c>
      <c r="L477" s="995">
        <f t="shared" ca="1" si="73"/>
        <v>0</v>
      </c>
      <c r="M477" s="913">
        <f t="shared" ca="1" si="68"/>
        <v>0</v>
      </c>
      <c r="N477" s="996">
        <f t="shared" ca="1" si="69"/>
        <v>0</v>
      </c>
      <c r="O477" s="997">
        <f t="shared" ca="1" si="70"/>
        <v>0</v>
      </c>
      <c r="P477" s="1015" t="str">
        <f ca="1">IF($C477="","",INDEX(NVLSX!$N$2:$N$6941,MATCH($C477,NVLSX!$E$2:$E$6941,0)))</f>
        <v/>
      </c>
      <c r="Q477" s="1016" t="str">
        <f ca="1">IF($R477="","",IF(XKNVLSX!$X$1="",IF($P477=$V$7,$P477, IF(COUNTIFS($C$2:$C476,$C477,$E$2:$E476,$E477)&gt;=1,"",$P477)),     IF(AND(IFERROR(SEARCH($R477,XKNVLSX!$X$1,1),0)&gt;=1,$P477=$V$7),$P477, IF(OR($R477&lt;&gt;IF(IFERROR(SEARCH($R477,XKNVLSX!$X$1,1),0)&gt;=1,$R477,XKNVLSX!$X$1),COUNTIFS($C$2:$C476,$C477,$E$2:$E476,$E477,$Q$2:$Q476,$P477)&gt;=1),"",$P477))))</f>
        <v/>
      </c>
      <c r="R477" s="1017" t="str">
        <f ca="1">IF($A477="","",IFERROR(INDEX(TinhGia!$BF$10:$BF$81,MATCH($A477,TinhGia!$B$10:$B$81,0)),""))</f>
        <v/>
      </c>
      <c r="S477" s="1012" t="str">
        <f ca="1">IF($A477="","",IF(OR(IFERROR(SEARCH($R477,XKNVLSX!$X$1,1),0)&gt;=1,XKNVLSX!$X$1=""),$S$2,""))</f>
        <v/>
      </c>
      <c r="T477" s="1018" t="str">
        <f ca="1">IF($C477="","", IF(OR($P477=$V$1,$P477=$V$7,COUNTIFS($C$3:$C477,$C477,$E$3:$E477,$E477)&lt;=1),$P477,""    ))</f>
        <v/>
      </c>
      <c r="U477" s="1019" t="str">
        <f ca="1">IF(AND($P477=$V$2,COUNTIFS($C$3:$C477,$C477,$E$3:$E477,$E477,$G$3:$G477,$G477)&lt;=1),$P477,"")</f>
        <v/>
      </c>
    </row>
    <row r="478" spans="1:21">
      <c r="A478" s="991" t="str">
        <f ca="1">IFERROR(IF(COUNTIF($A$3:A477,A477)&lt; INDEX(TinhGia!$BH$10:$BH$81,MATCH($A477,TinhGia!$B$10:$B$81,0)),$A477,INDEX(TinhGia!$B$10:$B$81,MATCH($A477,TinhGia!$B$10:$B$81,0)+1)),"")</f>
        <v/>
      </c>
      <c r="B478" s="525" t="str">
        <f ca="1">IF(OR(A478="",A478=0),"",IF(COUNTIF($A$2:A478,$A478)=1,ROW(MauKoXoa!$C$108),$B477+1))</f>
        <v/>
      </c>
      <c r="C478" s="992" t="str">
        <f t="shared" ca="1" si="61"/>
        <v/>
      </c>
      <c r="D478" s="993" t="str">
        <f t="shared" ca="1" si="62"/>
        <v/>
      </c>
      <c r="E478" s="993" t="str">
        <f t="shared" ca="1" si="63"/>
        <v/>
      </c>
      <c r="F478" s="992" t="str">
        <f t="shared" ca="1" si="71"/>
        <v/>
      </c>
      <c r="G478" s="994">
        <f t="shared" ca="1" si="64"/>
        <v>0</v>
      </c>
      <c r="H478" s="913">
        <f t="shared" ca="1" si="65"/>
        <v>0</v>
      </c>
      <c r="I478" s="913">
        <f t="shared" ca="1" si="66"/>
        <v>0</v>
      </c>
      <c r="J478" s="995">
        <f t="shared" ca="1" si="72"/>
        <v>0</v>
      </c>
      <c r="K478" s="913">
        <f t="shared" ca="1" si="67"/>
        <v>0</v>
      </c>
      <c r="L478" s="995">
        <f t="shared" ca="1" si="73"/>
        <v>0</v>
      </c>
      <c r="M478" s="913">
        <f t="shared" ca="1" si="68"/>
        <v>0</v>
      </c>
      <c r="N478" s="996">
        <f t="shared" ca="1" si="69"/>
        <v>0</v>
      </c>
      <c r="O478" s="997">
        <f t="shared" ca="1" si="70"/>
        <v>0</v>
      </c>
      <c r="P478" s="1015" t="str">
        <f ca="1">IF($C478="","",INDEX(NVLSX!$N$2:$N$6941,MATCH($C478,NVLSX!$E$2:$E$6941,0)))</f>
        <v/>
      </c>
      <c r="Q478" s="1016" t="str">
        <f ca="1">IF($R478="","",IF(XKNVLSX!$X$1="",IF($P478=$V$7,$P478, IF(COUNTIFS($C$2:$C477,$C478,$E$2:$E477,$E478)&gt;=1,"",$P478)),     IF(AND(IFERROR(SEARCH($R478,XKNVLSX!$X$1,1),0)&gt;=1,$P478=$V$7),$P478, IF(OR($R478&lt;&gt;IF(IFERROR(SEARCH($R478,XKNVLSX!$X$1,1),0)&gt;=1,$R478,XKNVLSX!$X$1),COUNTIFS($C$2:$C477,$C478,$E$2:$E477,$E478,$Q$2:$Q477,$P478)&gt;=1),"",$P478))))</f>
        <v/>
      </c>
      <c r="R478" s="1017" t="str">
        <f ca="1">IF($A478="","",IFERROR(INDEX(TinhGia!$BF$10:$BF$81,MATCH($A478,TinhGia!$B$10:$B$81,0)),""))</f>
        <v/>
      </c>
      <c r="S478" s="1012" t="str">
        <f ca="1">IF($A478="","",IF(OR(IFERROR(SEARCH($R478,XKNVLSX!$X$1,1),0)&gt;=1,XKNVLSX!$X$1=""),$S$2,""))</f>
        <v/>
      </c>
      <c r="T478" s="1018" t="str">
        <f ca="1">IF($C478="","", IF(OR($P478=$V$1,$P478=$V$7,COUNTIFS($C$3:$C478,$C478,$E$3:$E478,$E478)&lt;=1),$P478,""    ))</f>
        <v/>
      </c>
      <c r="U478" s="1019" t="str">
        <f ca="1">IF(AND($P478=$V$2,COUNTIFS($C$3:$C478,$C478,$E$3:$E478,$E478,$G$3:$G478,$G478)&lt;=1),$P478,"")</f>
        <v/>
      </c>
    </row>
    <row r="479" spans="1:21">
      <c r="A479" s="991" t="str">
        <f ca="1">IFERROR(IF(COUNTIF($A$3:A478,A478)&lt; INDEX(TinhGia!$BH$10:$BH$81,MATCH($A478,TinhGia!$B$10:$B$81,0)),$A478,INDEX(TinhGia!$B$10:$B$81,MATCH($A478,TinhGia!$B$10:$B$81,0)+1)),"")</f>
        <v/>
      </c>
      <c r="B479" s="525" t="str">
        <f ca="1">IF(OR(A479="",A479=0),"",IF(COUNTIF($A$2:A479,$A479)=1,ROW(MauKoXoa!$C$108),$B478+1))</f>
        <v/>
      </c>
      <c r="C479" s="992" t="str">
        <f t="shared" ca="1" si="61"/>
        <v/>
      </c>
      <c r="D479" s="993" t="str">
        <f t="shared" ca="1" si="62"/>
        <v/>
      </c>
      <c r="E479" s="993" t="str">
        <f t="shared" ca="1" si="63"/>
        <v/>
      </c>
      <c r="F479" s="992" t="str">
        <f t="shared" ca="1" si="71"/>
        <v/>
      </c>
      <c r="G479" s="994">
        <f t="shared" ca="1" si="64"/>
        <v>0</v>
      </c>
      <c r="H479" s="913">
        <f t="shared" ca="1" si="65"/>
        <v>0</v>
      </c>
      <c r="I479" s="913">
        <f t="shared" ca="1" si="66"/>
        <v>0</v>
      </c>
      <c r="J479" s="995">
        <f t="shared" ca="1" si="72"/>
        <v>0</v>
      </c>
      <c r="K479" s="913">
        <f t="shared" ca="1" si="67"/>
        <v>0</v>
      </c>
      <c r="L479" s="995">
        <f t="shared" ca="1" si="73"/>
        <v>0</v>
      </c>
      <c r="M479" s="913">
        <f t="shared" ca="1" si="68"/>
        <v>0</v>
      </c>
      <c r="N479" s="996">
        <f t="shared" ca="1" si="69"/>
        <v>0</v>
      </c>
      <c r="O479" s="997">
        <f t="shared" ca="1" si="70"/>
        <v>0</v>
      </c>
      <c r="P479" s="1015" t="str">
        <f ca="1">IF($C479="","",INDEX(NVLSX!$N$2:$N$6941,MATCH($C479,NVLSX!$E$2:$E$6941,0)))</f>
        <v/>
      </c>
      <c r="Q479" s="1016" t="str">
        <f ca="1">IF($R479="","",IF(XKNVLSX!$X$1="",IF($P479=$V$7,$P479, IF(COUNTIFS($C$2:$C478,$C479,$E$2:$E478,$E479)&gt;=1,"",$P479)),     IF(AND(IFERROR(SEARCH($R479,XKNVLSX!$X$1,1),0)&gt;=1,$P479=$V$7),$P479, IF(OR($R479&lt;&gt;IF(IFERROR(SEARCH($R479,XKNVLSX!$X$1,1),0)&gt;=1,$R479,XKNVLSX!$X$1),COUNTIFS($C$2:$C478,$C479,$E$2:$E478,$E479,$Q$2:$Q478,$P479)&gt;=1),"",$P479))))</f>
        <v/>
      </c>
      <c r="R479" s="1017" t="str">
        <f ca="1">IF($A479="","",IFERROR(INDEX(TinhGia!$BF$10:$BF$81,MATCH($A479,TinhGia!$B$10:$B$81,0)),""))</f>
        <v/>
      </c>
      <c r="S479" s="1012" t="str">
        <f ca="1">IF($A479="","",IF(OR(IFERROR(SEARCH($R479,XKNVLSX!$X$1,1),0)&gt;=1,XKNVLSX!$X$1=""),$S$2,""))</f>
        <v/>
      </c>
      <c r="T479" s="1018" t="str">
        <f ca="1">IF($C479="","", IF(OR($P479=$V$1,$P479=$V$7,COUNTIFS($C$3:$C479,$C479,$E$3:$E479,$E479)&lt;=1),$P479,""    ))</f>
        <v/>
      </c>
      <c r="U479" s="1019" t="str">
        <f ca="1">IF(AND($P479=$V$2,COUNTIFS($C$3:$C479,$C479,$E$3:$E479,$E479,$G$3:$G479,$G479)&lt;=1),$P479,"")</f>
        <v/>
      </c>
    </row>
    <row r="480" spans="1:21">
      <c r="A480" s="991" t="str">
        <f ca="1">IFERROR(IF(COUNTIF($A$3:A479,A479)&lt; INDEX(TinhGia!$BH$10:$BH$81,MATCH($A479,TinhGia!$B$10:$B$81,0)),$A479,INDEX(TinhGia!$B$10:$B$81,MATCH($A479,TinhGia!$B$10:$B$81,0)+1)),"")</f>
        <v/>
      </c>
      <c r="B480" s="525" t="str">
        <f ca="1">IF(OR(A480="",A480=0),"",IF(COUNTIF($A$2:A480,$A480)=1,ROW(MauKoXoa!$C$108),$B479+1))</f>
        <v/>
      </c>
      <c r="C480" s="992" t="str">
        <f t="shared" ca="1" si="61"/>
        <v/>
      </c>
      <c r="D480" s="993" t="str">
        <f t="shared" ca="1" si="62"/>
        <v/>
      </c>
      <c r="E480" s="993" t="str">
        <f t="shared" ca="1" si="63"/>
        <v/>
      </c>
      <c r="F480" s="992" t="str">
        <f t="shared" ca="1" si="71"/>
        <v/>
      </c>
      <c r="G480" s="994">
        <f t="shared" ca="1" si="64"/>
        <v>0</v>
      </c>
      <c r="H480" s="913">
        <f t="shared" ca="1" si="65"/>
        <v>0</v>
      </c>
      <c r="I480" s="913">
        <f t="shared" ca="1" si="66"/>
        <v>0</v>
      </c>
      <c r="J480" s="995">
        <f t="shared" ca="1" si="72"/>
        <v>0</v>
      </c>
      <c r="K480" s="913">
        <f t="shared" ca="1" si="67"/>
        <v>0</v>
      </c>
      <c r="L480" s="995">
        <f t="shared" ca="1" si="73"/>
        <v>0</v>
      </c>
      <c r="M480" s="913">
        <f t="shared" ca="1" si="68"/>
        <v>0</v>
      </c>
      <c r="N480" s="996">
        <f t="shared" ca="1" si="69"/>
        <v>0</v>
      </c>
      <c r="O480" s="997">
        <f t="shared" ca="1" si="70"/>
        <v>0</v>
      </c>
      <c r="P480" s="1015" t="str">
        <f ca="1">IF($C480="","",INDEX(NVLSX!$N$2:$N$6941,MATCH($C480,NVLSX!$E$2:$E$6941,0)))</f>
        <v/>
      </c>
      <c r="Q480" s="1016" t="str">
        <f ca="1">IF($R480="","",IF(XKNVLSX!$X$1="",IF($P480=$V$7,$P480, IF(COUNTIFS($C$2:$C479,$C480,$E$2:$E479,$E480)&gt;=1,"",$P480)),     IF(AND(IFERROR(SEARCH($R480,XKNVLSX!$X$1,1),0)&gt;=1,$P480=$V$7),$P480, IF(OR($R480&lt;&gt;IF(IFERROR(SEARCH($R480,XKNVLSX!$X$1,1),0)&gt;=1,$R480,XKNVLSX!$X$1),COUNTIFS($C$2:$C479,$C480,$E$2:$E479,$E480,$Q$2:$Q479,$P480)&gt;=1),"",$P480))))</f>
        <v/>
      </c>
      <c r="R480" s="1017" t="str">
        <f ca="1">IF($A480="","",IFERROR(INDEX(TinhGia!$BF$10:$BF$81,MATCH($A480,TinhGia!$B$10:$B$81,0)),""))</f>
        <v/>
      </c>
      <c r="S480" s="1012" t="str">
        <f ca="1">IF($A480="","",IF(OR(IFERROR(SEARCH($R480,XKNVLSX!$X$1,1),0)&gt;=1,XKNVLSX!$X$1=""),$S$2,""))</f>
        <v/>
      </c>
      <c r="T480" s="1018" t="str">
        <f ca="1">IF($C480="","", IF(OR($P480=$V$1,$P480=$V$7,COUNTIFS($C$3:$C480,$C480,$E$3:$E480,$E480)&lt;=1),$P480,""    ))</f>
        <v/>
      </c>
      <c r="U480" s="1019" t="str">
        <f ca="1">IF(AND($P480=$V$2,COUNTIFS($C$3:$C480,$C480,$E$3:$E480,$E480,$G$3:$G480,$G480)&lt;=1),$P480,"")</f>
        <v/>
      </c>
    </row>
    <row r="481" spans="1:21">
      <c r="A481" s="991" t="str">
        <f ca="1">IFERROR(IF(COUNTIF($A$3:A480,A480)&lt; INDEX(TinhGia!$BH$10:$BH$81,MATCH($A480,TinhGia!$B$10:$B$81,0)),$A480,INDEX(TinhGia!$B$10:$B$81,MATCH($A480,TinhGia!$B$10:$B$81,0)+1)),"")</f>
        <v/>
      </c>
      <c r="B481" s="525" t="str">
        <f ca="1">IF(OR(A481="",A481=0),"",IF(COUNTIF($A$2:A481,$A481)=1,ROW(MauKoXoa!$C$108),$B480+1))</f>
        <v/>
      </c>
      <c r="C481" s="992" t="str">
        <f t="shared" ca="1" si="61"/>
        <v/>
      </c>
      <c r="D481" s="993" t="str">
        <f t="shared" ca="1" si="62"/>
        <v/>
      </c>
      <c r="E481" s="993" t="str">
        <f t="shared" ca="1" si="63"/>
        <v/>
      </c>
      <c r="F481" s="992" t="str">
        <f t="shared" ca="1" si="71"/>
        <v/>
      </c>
      <c r="G481" s="994">
        <f t="shared" ca="1" si="64"/>
        <v>0</v>
      </c>
      <c r="H481" s="913">
        <f t="shared" ca="1" si="65"/>
        <v>0</v>
      </c>
      <c r="I481" s="913">
        <f t="shared" ca="1" si="66"/>
        <v>0</v>
      </c>
      <c r="J481" s="995">
        <f t="shared" ca="1" si="72"/>
        <v>0</v>
      </c>
      <c r="K481" s="913">
        <f t="shared" ca="1" si="67"/>
        <v>0</v>
      </c>
      <c r="L481" s="995">
        <f t="shared" ca="1" si="73"/>
        <v>0</v>
      </c>
      <c r="M481" s="913">
        <f t="shared" ca="1" si="68"/>
        <v>0</v>
      </c>
      <c r="N481" s="996">
        <f t="shared" ca="1" si="69"/>
        <v>0</v>
      </c>
      <c r="O481" s="997">
        <f t="shared" ca="1" si="70"/>
        <v>0</v>
      </c>
      <c r="P481" s="1015" t="str">
        <f ca="1">IF($C481="","",INDEX(NVLSX!$N$2:$N$6941,MATCH($C481,NVLSX!$E$2:$E$6941,0)))</f>
        <v/>
      </c>
      <c r="Q481" s="1016" t="str">
        <f ca="1">IF($R481="","",IF(XKNVLSX!$X$1="",IF($P481=$V$7,$P481, IF(COUNTIFS($C$2:$C480,$C481,$E$2:$E480,$E481)&gt;=1,"",$P481)),     IF(AND(IFERROR(SEARCH($R481,XKNVLSX!$X$1,1),0)&gt;=1,$P481=$V$7),$P481, IF(OR($R481&lt;&gt;IF(IFERROR(SEARCH($R481,XKNVLSX!$X$1,1),0)&gt;=1,$R481,XKNVLSX!$X$1),COUNTIFS($C$2:$C480,$C481,$E$2:$E480,$E481,$Q$2:$Q480,$P481)&gt;=1),"",$P481))))</f>
        <v/>
      </c>
      <c r="R481" s="1017" t="str">
        <f ca="1">IF($A481="","",IFERROR(INDEX(TinhGia!$BF$10:$BF$81,MATCH($A481,TinhGia!$B$10:$B$81,0)),""))</f>
        <v/>
      </c>
      <c r="S481" s="1012" t="str">
        <f ca="1">IF($A481="","",IF(OR(IFERROR(SEARCH($R481,XKNVLSX!$X$1,1),0)&gt;=1,XKNVLSX!$X$1=""),$S$2,""))</f>
        <v/>
      </c>
      <c r="T481" s="1018" t="str">
        <f ca="1">IF($C481="","", IF(OR($P481=$V$1,$P481=$V$7,COUNTIFS($C$3:$C481,$C481,$E$3:$E481,$E481)&lt;=1),$P481,""    ))</f>
        <v/>
      </c>
      <c r="U481" s="1019" t="str">
        <f ca="1">IF(AND($P481=$V$2,COUNTIFS($C$3:$C481,$C481,$E$3:$E481,$E481,$G$3:$G481,$G481)&lt;=1),$P481,"")</f>
        <v/>
      </c>
    </row>
    <row r="482" spans="1:21">
      <c r="A482" s="991" t="str">
        <f ca="1">IFERROR(IF(COUNTIF($A$3:A481,A481)&lt; INDEX(TinhGia!$BH$10:$BH$81,MATCH($A481,TinhGia!$B$10:$B$81,0)),$A481,INDEX(TinhGia!$B$10:$B$81,MATCH($A481,TinhGia!$B$10:$B$81,0)+1)),"")</f>
        <v/>
      </c>
      <c r="B482" s="525" t="str">
        <f ca="1">IF(OR(A482="",A482=0),"",IF(COUNTIF($A$2:A482,$A482)=1,ROW(MauKoXoa!$C$108),$B481+1))</f>
        <v/>
      </c>
      <c r="C482" s="992" t="str">
        <f t="shared" ca="1" si="61"/>
        <v/>
      </c>
      <c r="D482" s="993" t="str">
        <f t="shared" ca="1" si="62"/>
        <v/>
      </c>
      <c r="E482" s="993" t="str">
        <f t="shared" ca="1" si="63"/>
        <v/>
      </c>
      <c r="F482" s="992" t="str">
        <f t="shared" ca="1" si="71"/>
        <v/>
      </c>
      <c r="G482" s="994">
        <f t="shared" ca="1" si="64"/>
        <v>0</v>
      </c>
      <c r="H482" s="913">
        <f t="shared" ca="1" si="65"/>
        <v>0</v>
      </c>
      <c r="I482" s="913">
        <f t="shared" ca="1" si="66"/>
        <v>0</v>
      </c>
      <c r="J482" s="995">
        <f t="shared" ca="1" si="72"/>
        <v>0</v>
      </c>
      <c r="K482" s="913">
        <f t="shared" ca="1" si="67"/>
        <v>0</v>
      </c>
      <c r="L482" s="995">
        <f t="shared" ca="1" si="73"/>
        <v>0</v>
      </c>
      <c r="M482" s="913">
        <f t="shared" ca="1" si="68"/>
        <v>0</v>
      </c>
      <c r="N482" s="996">
        <f t="shared" ca="1" si="69"/>
        <v>0</v>
      </c>
      <c r="O482" s="997">
        <f t="shared" ca="1" si="70"/>
        <v>0</v>
      </c>
      <c r="P482" s="1015" t="str">
        <f ca="1">IF($C482="","",INDEX(NVLSX!$N$2:$N$6941,MATCH($C482,NVLSX!$E$2:$E$6941,0)))</f>
        <v/>
      </c>
      <c r="Q482" s="1016" t="str">
        <f ca="1">IF($R482="","",IF(XKNVLSX!$X$1="",IF($P482=$V$7,$P482, IF(COUNTIFS($C$2:$C481,$C482,$E$2:$E481,$E482)&gt;=1,"",$P482)),     IF(AND(IFERROR(SEARCH($R482,XKNVLSX!$X$1,1),0)&gt;=1,$P482=$V$7),$P482, IF(OR($R482&lt;&gt;IF(IFERROR(SEARCH($R482,XKNVLSX!$X$1,1),0)&gt;=1,$R482,XKNVLSX!$X$1),COUNTIFS($C$2:$C481,$C482,$E$2:$E481,$E482,$Q$2:$Q481,$P482)&gt;=1),"",$P482))))</f>
        <v/>
      </c>
      <c r="R482" s="1017" t="str">
        <f ca="1">IF($A482="","",IFERROR(INDEX(TinhGia!$BF$10:$BF$81,MATCH($A482,TinhGia!$B$10:$B$81,0)),""))</f>
        <v/>
      </c>
      <c r="S482" s="1012" t="str">
        <f ca="1">IF($A482="","",IF(OR(IFERROR(SEARCH($R482,XKNVLSX!$X$1,1),0)&gt;=1,XKNVLSX!$X$1=""),$S$2,""))</f>
        <v/>
      </c>
      <c r="T482" s="1018" t="str">
        <f ca="1">IF($C482="","", IF(OR($P482=$V$1,$P482=$V$7,COUNTIFS($C$3:$C482,$C482,$E$3:$E482,$E482)&lt;=1),$P482,""    ))</f>
        <v/>
      </c>
      <c r="U482" s="1019" t="str">
        <f ca="1">IF(AND($P482=$V$2,COUNTIFS($C$3:$C482,$C482,$E$3:$E482,$E482,$G$3:$G482,$G482)&lt;=1),$P482,"")</f>
        <v/>
      </c>
    </row>
    <row r="483" spans="1:21">
      <c r="A483" s="991" t="str">
        <f ca="1">IFERROR(IF(COUNTIF($A$3:A482,A482)&lt; INDEX(TinhGia!$BH$10:$BH$81,MATCH($A482,TinhGia!$B$10:$B$81,0)),$A482,INDEX(TinhGia!$B$10:$B$81,MATCH($A482,TinhGia!$B$10:$B$81,0)+1)),"")</f>
        <v/>
      </c>
      <c r="B483" s="525" t="str">
        <f ca="1">IF(OR(A483="",A483=0),"",IF(COUNTIF($A$2:A483,$A483)=1,ROW(MauKoXoa!$C$108),$B482+1))</f>
        <v/>
      </c>
      <c r="C483" s="992" t="str">
        <f t="shared" ca="1" si="61"/>
        <v/>
      </c>
      <c r="D483" s="993" t="str">
        <f t="shared" ca="1" si="62"/>
        <v/>
      </c>
      <c r="E483" s="993" t="str">
        <f t="shared" ca="1" si="63"/>
        <v/>
      </c>
      <c r="F483" s="992" t="str">
        <f t="shared" ca="1" si="71"/>
        <v/>
      </c>
      <c r="G483" s="994">
        <f t="shared" ca="1" si="64"/>
        <v>0</v>
      </c>
      <c r="H483" s="913">
        <f t="shared" ca="1" si="65"/>
        <v>0</v>
      </c>
      <c r="I483" s="913">
        <f t="shared" ca="1" si="66"/>
        <v>0</v>
      </c>
      <c r="J483" s="995">
        <f t="shared" ca="1" si="72"/>
        <v>0</v>
      </c>
      <c r="K483" s="913">
        <f t="shared" ca="1" si="67"/>
        <v>0</v>
      </c>
      <c r="L483" s="995">
        <f t="shared" ca="1" si="73"/>
        <v>0</v>
      </c>
      <c r="M483" s="913">
        <f t="shared" ca="1" si="68"/>
        <v>0</v>
      </c>
      <c r="N483" s="996">
        <f t="shared" ca="1" si="69"/>
        <v>0</v>
      </c>
      <c r="O483" s="997">
        <f t="shared" ca="1" si="70"/>
        <v>0</v>
      </c>
      <c r="P483" s="1015" t="str">
        <f ca="1">IF($C483="","",INDEX(NVLSX!$N$2:$N$6941,MATCH($C483,NVLSX!$E$2:$E$6941,0)))</f>
        <v/>
      </c>
      <c r="Q483" s="1016" t="str">
        <f ca="1">IF($R483="","",IF(XKNVLSX!$X$1="",IF($P483=$V$7,$P483, IF(COUNTIFS($C$2:$C482,$C483,$E$2:$E482,$E483)&gt;=1,"",$P483)),     IF(AND(IFERROR(SEARCH($R483,XKNVLSX!$X$1,1),0)&gt;=1,$P483=$V$7),$P483, IF(OR($R483&lt;&gt;IF(IFERROR(SEARCH($R483,XKNVLSX!$X$1,1),0)&gt;=1,$R483,XKNVLSX!$X$1),COUNTIFS($C$2:$C482,$C483,$E$2:$E482,$E483,$Q$2:$Q482,$P483)&gt;=1),"",$P483))))</f>
        <v/>
      </c>
      <c r="R483" s="1017" t="str">
        <f ca="1">IF($A483="","",IFERROR(INDEX(TinhGia!$BF$10:$BF$81,MATCH($A483,TinhGia!$B$10:$B$81,0)),""))</f>
        <v/>
      </c>
      <c r="S483" s="1012" t="str">
        <f ca="1">IF($A483="","",IF(OR(IFERROR(SEARCH($R483,XKNVLSX!$X$1,1),0)&gt;=1,XKNVLSX!$X$1=""),$S$2,""))</f>
        <v/>
      </c>
      <c r="T483" s="1018" t="str">
        <f ca="1">IF($C483="","", IF(OR($P483=$V$1,$P483=$V$7,COUNTIFS($C$3:$C483,$C483,$E$3:$E483,$E483)&lt;=1),$P483,""    ))</f>
        <v/>
      </c>
      <c r="U483" s="1019" t="str">
        <f ca="1">IF(AND($P483=$V$2,COUNTIFS($C$3:$C483,$C483,$E$3:$E483,$E483,$G$3:$G483,$G483)&lt;=1),$P483,"")</f>
        <v/>
      </c>
    </row>
    <row r="484" spans="1:21">
      <c r="A484" s="991" t="str">
        <f ca="1">IFERROR(IF(COUNTIF($A$3:A483,A483)&lt; INDEX(TinhGia!$BH$10:$BH$81,MATCH($A483,TinhGia!$B$10:$B$81,0)),$A483,INDEX(TinhGia!$B$10:$B$81,MATCH($A483,TinhGia!$B$10:$B$81,0)+1)),"")</f>
        <v/>
      </c>
      <c r="B484" s="525" t="str">
        <f ca="1">IF(OR(A484="",A484=0),"",IF(COUNTIF($A$2:A484,$A484)=1,ROW(MauKoXoa!$C$108),$B483+1))</f>
        <v/>
      </c>
      <c r="C484" s="992" t="str">
        <f t="shared" ca="1" si="61"/>
        <v/>
      </c>
      <c r="D484" s="993" t="str">
        <f t="shared" ca="1" si="62"/>
        <v/>
      </c>
      <c r="E484" s="993" t="str">
        <f t="shared" ca="1" si="63"/>
        <v/>
      </c>
      <c r="F484" s="992" t="str">
        <f t="shared" ca="1" si="71"/>
        <v/>
      </c>
      <c r="G484" s="994">
        <f t="shared" ca="1" si="64"/>
        <v>0</v>
      </c>
      <c r="H484" s="913">
        <f t="shared" ca="1" si="65"/>
        <v>0</v>
      </c>
      <c r="I484" s="913">
        <f t="shared" ca="1" si="66"/>
        <v>0</v>
      </c>
      <c r="J484" s="995">
        <f t="shared" ca="1" si="72"/>
        <v>0</v>
      </c>
      <c r="K484" s="913">
        <f t="shared" ca="1" si="67"/>
        <v>0</v>
      </c>
      <c r="L484" s="995">
        <f t="shared" ca="1" si="73"/>
        <v>0</v>
      </c>
      <c r="M484" s="913">
        <f t="shared" ca="1" si="68"/>
        <v>0</v>
      </c>
      <c r="N484" s="996">
        <f t="shared" ca="1" si="69"/>
        <v>0</v>
      </c>
      <c r="O484" s="997">
        <f t="shared" ca="1" si="70"/>
        <v>0</v>
      </c>
      <c r="P484" s="1015" t="str">
        <f ca="1">IF($C484="","",INDEX(NVLSX!$N$2:$N$6941,MATCH($C484,NVLSX!$E$2:$E$6941,0)))</f>
        <v/>
      </c>
      <c r="Q484" s="1016" t="str">
        <f ca="1">IF($R484="","",IF(XKNVLSX!$X$1="",IF($P484=$V$7,$P484, IF(COUNTIFS($C$2:$C483,$C484,$E$2:$E483,$E484)&gt;=1,"",$P484)),     IF(AND(IFERROR(SEARCH($R484,XKNVLSX!$X$1,1),0)&gt;=1,$P484=$V$7),$P484, IF(OR($R484&lt;&gt;IF(IFERROR(SEARCH($R484,XKNVLSX!$X$1,1),0)&gt;=1,$R484,XKNVLSX!$X$1),COUNTIFS($C$2:$C483,$C484,$E$2:$E483,$E484,$Q$2:$Q483,$P484)&gt;=1),"",$P484))))</f>
        <v/>
      </c>
      <c r="R484" s="1017" t="str">
        <f ca="1">IF($A484="","",IFERROR(INDEX(TinhGia!$BF$10:$BF$81,MATCH($A484,TinhGia!$B$10:$B$81,0)),""))</f>
        <v/>
      </c>
      <c r="S484" s="1012" t="str">
        <f ca="1">IF($A484="","",IF(OR(IFERROR(SEARCH($R484,XKNVLSX!$X$1,1),0)&gt;=1,XKNVLSX!$X$1=""),$S$2,""))</f>
        <v/>
      </c>
      <c r="T484" s="1018" t="str">
        <f ca="1">IF($C484="","", IF(OR($P484=$V$1,$P484=$V$7,COUNTIFS($C$3:$C484,$C484,$E$3:$E484,$E484)&lt;=1),$P484,""    ))</f>
        <v/>
      </c>
      <c r="U484" s="1019" t="str">
        <f ca="1">IF(AND($P484=$V$2,COUNTIFS($C$3:$C484,$C484,$E$3:$E484,$E484,$G$3:$G484,$G484)&lt;=1),$P484,"")</f>
        <v/>
      </c>
    </row>
    <row r="485" spans="1:21">
      <c r="A485" s="991" t="str">
        <f ca="1">IFERROR(IF(COUNTIF($A$3:A484,A484)&lt; INDEX(TinhGia!$BH$10:$BH$81,MATCH($A484,TinhGia!$B$10:$B$81,0)),$A484,INDEX(TinhGia!$B$10:$B$81,MATCH($A484,TinhGia!$B$10:$B$81,0)+1)),"")</f>
        <v/>
      </c>
      <c r="B485" s="525" t="str">
        <f ca="1">IF(OR(A485="",A485=0),"",IF(COUNTIF($A$2:A485,$A485)=1,ROW(MauKoXoa!$C$108),$B484+1))</f>
        <v/>
      </c>
      <c r="C485" s="992" t="str">
        <f t="shared" ca="1" si="61"/>
        <v/>
      </c>
      <c r="D485" s="993" t="str">
        <f t="shared" ca="1" si="62"/>
        <v/>
      </c>
      <c r="E485" s="993" t="str">
        <f t="shared" ca="1" si="63"/>
        <v/>
      </c>
      <c r="F485" s="992" t="str">
        <f t="shared" ca="1" si="71"/>
        <v/>
      </c>
      <c r="G485" s="994">
        <f t="shared" ca="1" si="64"/>
        <v>0</v>
      </c>
      <c r="H485" s="913">
        <f t="shared" ca="1" si="65"/>
        <v>0</v>
      </c>
      <c r="I485" s="913">
        <f t="shared" ca="1" si="66"/>
        <v>0</v>
      </c>
      <c r="J485" s="995">
        <f t="shared" ca="1" si="72"/>
        <v>0</v>
      </c>
      <c r="K485" s="913">
        <f t="shared" ca="1" si="67"/>
        <v>0</v>
      </c>
      <c r="L485" s="995">
        <f t="shared" ca="1" si="73"/>
        <v>0</v>
      </c>
      <c r="M485" s="913">
        <f t="shared" ca="1" si="68"/>
        <v>0</v>
      </c>
      <c r="N485" s="996">
        <f t="shared" ca="1" si="69"/>
        <v>0</v>
      </c>
      <c r="O485" s="997">
        <f t="shared" ca="1" si="70"/>
        <v>0</v>
      </c>
      <c r="P485" s="1015" t="str">
        <f ca="1">IF($C485="","",INDEX(NVLSX!$N$2:$N$6941,MATCH($C485,NVLSX!$E$2:$E$6941,0)))</f>
        <v/>
      </c>
      <c r="Q485" s="1016" t="str">
        <f ca="1">IF($R485="","",IF(XKNVLSX!$X$1="",IF($P485=$V$7,$P485, IF(COUNTIFS($C$2:$C484,$C485,$E$2:$E484,$E485)&gt;=1,"",$P485)),     IF(AND(IFERROR(SEARCH($R485,XKNVLSX!$X$1,1),0)&gt;=1,$P485=$V$7),$P485, IF(OR($R485&lt;&gt;IF(IFERROR(SEARCH($R485,XKNVLSX!$X$1,1),0)&gt;=1,$R485,XKNVLSX!$X$1),COUNTIFS($C$2:$C484,$C485,$E$2:$E484,$E485,$Q$2:$Q484,$P485)&gt;=1),"",$P485))))</f>
        <v/>
      </c>
      <c r="R485" s="1017" t="str">
        <f ca="1">IF($A485="","",IFERROR(INDEX(TinhGia!$BF$10:$BF$81,MATCH($A485,TinhGia!$B$10:$B$81,0)),""))</f>
        <v/>
      </c>
      <c r="S485" s="1012" t="str">
        <f ca="1">IF($A485="","",IF(OR(IFERROR(SEARCH($R485,XKNVLSX!$X$1,1),0)&gt;=1,XKNVLSX!$X$1=""),$S$2,""))</f>
        <v/>
      </c>
      <c r="T485" s="1018" t="str">
        <f ca="1">IF($C485="","", IF(OR($P485=$V$1,$P485=$V$7,COUNTIFS($C$3:$C485,$C485,$E$3:$E485,$E485)&lt;=1),$P485,""    ))</f>
        <v/>
      </c>
      <c r="U485" s="1019" t="str">
        <f ca="1">IF(AND($P485=$V$2,COUNTIFS($C$3:$C485,$C485,$E$3:$E485,$E485,$G$3:$G485,$G485)&lt;=1),$P485,"")</f>
        <v/>
      </c>
    </row>
    <row r="486" spans="1:21">
      <c r="A486" s="991" t="str">
        <f ca="1">IFERROR(IF(COUNTIF($A$3:A485,A485)&lt; INDEX(TinhGia!$BH$10:$BH$81,MATCH($A485,TinhGia!$B$10:$B$81,0)),$A485,INDEX(TinhGia!$B$10:$B$81,MATCH($A485,TinhGia!$B$10:$B$81,0)+1)),"")</f>
        <v/>
      </c>
      <c r="B486" s="525" t="str">
        <f ca="1">IF(OR(A486="",A486=0),"",IF(COUNTIF($A$2:A486,$A486)=1,ROW(MauKoXoa!$C$108),$B485+1))</f>
        <v/>
      </c>
      <c r="C486" s="992" t="str">
        <f t="shared" ca="1" si="61"/>
        <v/>
      </c>
      <c r="D486" s="993" t="str">
        <f t="shared" ca="1" si="62"/>
        <v/>
      </c>
      <c r="E486" s="993" t="str">
        <f t="shared" ca="1" si="63"/>
        <v/>
      </c>
      <c r="F486" s="992" t="str">
        <f t="shared" ca="1" si="71"/>
        <v/>
      </c>
      <c r="G486" s="994">
        <f t="shared" ca="1" si="64"/>
        <v>0</v>
      </c>
      <c r="H486" s="913">
        <f t="shared" ca="1" si="65"/>
        <v>0</v>
      </c>
      <c r="I486" s="913">
        <f t="shared" ca="1" si="66"/>
        <v>0</v>
      </c>
      <c r="J486" s="995">
        <f t="shared" ca="1" si="72"/>
        <v>0</v>
      </c>
      <c r="K486" s="913">
        <f t="shared" ca="1" si="67"/>
        <v>0</v>
      </c>
      <c r="L486" s="995">
        <f t="shared" ca="1" si="73"/>
        <v>0</v>
      </c>
      <c r="M486" s="913">
        <f t="shared" ca="1" si="68"/>
        <v>0</v>
      </c>
      <c r="N486" s="996">
        <f t="shared" ca="1" si="69"/>
        <v>0</v>
      </c>
      <c r="O486" s="997">
        <f t="shared" ca="1" si="70"/>
        <v>0</v>
      </c>
      <c r="P486" s="1015" t="str">
        <f ca="1">IF($C486="","",INDEX(NVLSX!$N$2:$N$6941,MATCH($C486,NVLSX!$E$2:$E$6941,0)))</f>
        <v/>
      </c>
      <c r="Q486" s="1016" t="str">
        <f ca="1">IF($R486="","",IF(XKNVLSX!$X$1="",IF($P486=$V$7,$P486, IF(COUNTIFS($C$2:$C485,$C486,$E$2:$E485,$E486)&gt;=1,"",$P486)),     IF(AND(IFERROR(SEARCH($R486,XKNVLSX!$X$1,1),0)&gt;=1,$P486=$V$7),$P486, IF(OR($R486&lt;&gt;IF(IFERROR(SEARCH($R486,XKNVLSX!$X$1,1),0)&gt;=1,$R486,XKNVLSX!$X$1),COUNTIFS($C$2:$C485,$C486,$E$2:$E485,$E486,$Q$2:$Q485,$P486)&gt;=1),"",$P486))))</f>
        <v/>
      </c>
      <c r="R486" s="1017" t="str">
        <f ca="1">IF($A486="","",IFERROR(INDEX(TinhGia!$BF$10:$BF$81,MATCH($A486,TinhGia!$B$10:$B$81,0)),""))</f>
        <v/>
      </c>
      <c r="S486" s="1012" t="str">
        <f ca="1">IF($A486="","",IF(OR(IFERROR(SEARCH($R486,XKNVLSX!$X$1,1),0)&gt;=1,XKNVLSX!$X$1=""),$S$2,""))</f>
        <v/>
      </c>
      <c r="T486" s="1018" t="str">
        <f ca="1">IF($C486="","", IF(OR($P486=$V$1,$P486=$V$7,COUNTIFS($C$3:$C486,$C486,$E$3:$E486,$E486)&lt;=1),$P486,""    ))</f>
        <v/>
      </c>
      <c r="U486" s="1019" t="str">
        <f ca="1">IF(AND($P486=$V$2,COUNTIFS($C$3:$C486,$C486,$E$3:$E486,$E486,$G$3:$G486,$G486)&lt;=1),$P486,"")</f>
        <v/>
      </c>
    </row>
    <row r="487" spans="1:21">
      <c r="A487" s="991" t="str">
        <f ca="1">IFERROR(IF(COUNTIF($A$3:A486,A486)&lt; INDEX(TinhGia!$BH$10:$BH$81,MATCH($A486,TinhGia!$B$10:$B$81,0)),$A486,INDEX(TinhGia!$B$10:$B$81,MATCH($A486,TinhGia!$B$10:$B$81,0)+1)),"")</f>
        <v/>
      </c>
      <c r="B487" s="525" t="str">
        <f ca="1">IF(OR(A487="",A487=0),"",IF(COUNTIF($A$2:A487,$A487)=1,ROW(MauKoXoa!$C$108),$B486+1))</f>
        <v/>
      </c>
      <c r="C487" s="992" t="str">
        <f t="shared" ca="1" si="61"/>
        <v/>
      </c>
      <c r="D487" s="993" t="str">
        <f t="shared" ca="1" si="62"/>
        <v/>
      </c>
      <c r="E487" s="993" t="str">
        <f t="shared" ca="1" si="63"/>
        <v/>
      </c>
      <c r="F487" s="992" t="str">
        <f t="shared" ca="1" si="71"/>
        <v/>
      </c>
      <c r="G487" s="994">
        <f t="shared" ca="1" si="64"/>
        <v>0</v>
      </c>
      <c r="H487" s="913">
        <f t="shared" ca="1" si="65"/>
        <v>0</v>
      </c>
      <c r="I487" s="913">
        <f t="shared" ca="1" si="66"/>
        <v>0</v>
      </c>
      <c r="J487" s="995">
        <f t="shared" ca="1" si="72"/>
        <v>0</v>
      </c>
      <c r="K487" s="913">
        <f t="shared" ca="1" si="67"/>
        <v>0</v>
      </c>
      <c r="L487" s="995">
        <f t="shared" ca="1" si="73"/>
        <v>0</v>
      </c>
      <c r="M487" s="913">
        <f t="shared" ca="1" si="68"/>
        <v>0</v>
      </c>
      <c r="N487" s="996">
        <f t="shared" ca="1" si="69"/>
        <v>0</v>
      </c>
      <c r="O487" s="997">
        <f t="shared" ca="1" si="70"/>
        <v>0</v>
      </c>
      <c r="P487" s="1015" t="str">
        <f ca="1">IF($C487="","",INDEX(NVLSX!$N$2:$N$6941,MATCH($C487,NVLSX!$E$2:$E$6941,0)))</f>
        <v/>
      </c>
      <c r="Q487" s="1016" t="str">
        <f ca="1">IF($R487="","",IF(XKNVLSX!$X$1="",IF($P487=$V$7,$P487, IF(COUNTIFS($C$2:$C486,$C487,$E$2:$E486,$E487)&gt;=1,"",$P487)),     IF(AND(IFERROR(SEARCH($R487,XKNVLSX!$X$1,1),0)&gt;=1,$P487=$V$7),$P487, IF(OR($R487&lt;&gt;IF(IFERROR(SEARCH($R487,XKNVLSX!$X$1,1),0)&gt;=1,$R487,XKNVLSX!$X$1),COUNTIFS($C$2:$C486,$C487,$E$2:$E486,$E487,$Q$2:$Q486,$P487)&gt;=1),"",$P487))))</f>
        <v/>
      </c>
      <c r="R487" s="1017" t="str">
        <f ca="1">IF($A487="","",IFERROR(INDEX(TinhGia!$BF$10:$BF$81,MATCH($A487,TinhGia!$B$10:$B$81,0)),""))</f>
        <v/>
      </c>
      <c r="S487" s="1012" t="str">
        <f ca="1">IF($A487="","",IF(OR(IFERROR(SEARCH($R487,XKNVLSX!$X$1,1),0)&gt;=1,XKNVLSX!$X$1=""),$S$2,""))</f>
        <v/>
      </c>
      <c r="T487" s="1018" t="str">
        <f ca="1">IF($C487="","", IF(OR($P487=$V$1,$P487=$V$7,COUNTIFS($C$3:$C487,$C487,$E$3:$E487,$E487)&lt;=1),$P487,""    ))</f>
        <v/>
      </c>
      <c r="U487" s="1019" t="str">
        <f ca="1">IF(AND($P487=$V$2,COUNTIFS($C$3:$C487,$C487,$E$3:$E487,$E487,$G$3:$G487,$G487)&lt;=1),$P487,"")</f>
        <v/>
      </c>
    </row>
    <row r="488" spans="1:21">
      <c r="A488" s="991" t="str">
        <f ca="1">IFERROR(IF(COUNTIF($A$3:A487,A487)&lt; INDEX(TinhGia!$BH$10:$BH$81,MATCH($A487,TinhGia!$B$10:$B$81,0)),$A487,INDEX(TinhGia!$B$10:$B$81,MATCH($A487,TinhGia!$B$10:$B$81,0)+1)),"")</f>
        <v/>
      </c>
      <c r="B488" s="525" t="str">
        <f ca="1">IF(OR(A488="",A488=0),"",IF(COUNTIF($A$2:A488,$A488)=1,ROW(MauKoXoa!$C$108),$B487+1))</f>
        <v/>
      </c>
      <c r="C488" s="992" t="str">
        <f t="shared" ca="1" si="61"/>
        <v/>
      </c>
      <c r="D488" s="993" t="str">
        <f t="shared" ca="1" si="62"/>
        <v/>
      </c>
      <c r="E488" s="993" t="str">
        <f t="shared" ca="1" si="63"/>
        <v/>
      </c>
      <c r="F488" s="992" t="str">
        <f t="shared" ca="1" si="71"/>
        <v/>
      </c>
      <c r="G488" s="994">
        <f t="shared" ca="1" si="64"/>
        <v>0</v>
      </c>
      <c r="H488" s="913">
        <f t="shared" ca="1" si="65"/>
        <v>0</v>
      </c>
      <c r="I488" s="913">
        <f t="shared" ca="1" si="66"/>
        <v>0</v>
      </c>
      <c r="J488" s="995">
        <f t="shared" ca="1" si="72"/>
        <v>0</v>
      </c>
      <c r="K488" s="913">
        <f t="shared" ca="1" si="67"/>
        <v>0</v>
      </c>
      <c r="L488" s="995">
        <f t="shared" ca="1" si="73"/>
        <v>0</v>
      </c>
      <c r="M488" s="913">
        <f t="shared" ca="1" si="68"/>
        <v>0</v>
      </c>
      <c r="N488" s="996">
        <f t="shared" ca="1" si="69"/>
        <v>0</v>
      </c>
      <c r="O488" s="997">
        <f t="shared" ca="1" si="70"/>
        <v>0</v>
      </c>
      <c r="P488" s="1015" t="str">
        <f ca="1">IF($C488="","",INDEX(NVLSX!$N$2:$N$6941,MATCH($C488,NVLSX!$E$2:$E$6941,0)))</f>
        <v/>
      </c>
      <c r="Q488" s="1016" t="str">
        <f ca="1">IF($R488="","",IF(XKNVLSX!$X$1="",IF($P488=$V$7,$P488, IF(COUNTIFS($C$2:$C487,$C488,$E$2:$E487,$E488)&gt;=1,"",$P488)),     IF(AND(IFERROR(SEARCH($R488,XKNVLSX!$X$1,1),0)&gt;=1,$P488=$V$7),$P488, IF(OR($R488&lt;&gt;IF(IFERROR(SEARCH($R488,XKNVLSX!$X$1,1),0)&gt;=1,$R488,XKNVLSX!$X$1),COUNTIFS($C$2:$C487,$C488,$E$2:$E487,$E488,$Q$2:$Q487,$P488)&gt;=1),"",$P488))))</f>
        <v/>
      </c>
      <c r="R488" s="1017" t="str">
        <f ca="1">IF($A488="","",IFERROR(INDEX(TinhGia!$BF$10:$BF$81,MATCH($A488,TinhGia!$B$10:$B$81,0)),""))</f>
        <v/>
      </c>
      <c r="S488" s="1012" t="str">
        <f ca="1">IF($A488="","",IF(OR(IFERROR(SEARCH($R488,XKNVLSX!$X$1,1),0)&gt;=1,XKNVLSX!$X$1=""),$S$2,""))</f>
        <v/>
      </c>
      <c r="T488" s="1018" t="str">
        <f ca="1">IF($C488="","", IF(OR($P488=$V$1,$P488=$V$7,COUNTIFS($C$3:$C488,$C488,$E$3:$E488,$E488)&lt;=1),$P488,""    ))</f>
        <v/>
      </c>
      <c r="U488" s="1019" t="str">
        <f ca="1">IF(AND($P488=$V$2,COUNTIFS($C$3:$C488,$C488,$E$3:$E488,$E488,$G$3:$G488,$G488)&lt;=1),$P488,"")</f>
        <v/>
      </c>
    </row>
    <row r="489" spans="1:21">
      <c r="A489" s="991" t="str">
        <f ca="1">IFERROR(IF(COUNTIF($A$3:A488,A488)&lt; INDEX(TinhGia!$BH$10:$BH$81,MATCH($A488,TinhGia!$B$10:$B$81,0)),$A488,INDEX(TinhGia!$B$10:$B$81,MATCH($A488,TinhGia!$B$10:$B$81,0)+1)),"")</f>
        <v/>
      </c>
      <c r="B489" s="525" t="str">
        <f ca="1">IF(OR(A489="",A489=0),"",IF(COUNTIF($A$2:A489,$A489)=1,ROW(MauKoXoa!$C$108),$B488+1))</f>
        <v/>
      </c>
      <c r="C489" s="992" t="str">
        <f t="shared" ca="1" si="61"/>
        <v/>
      </c>
      <c r="D489" s="993" t="str">
        <f t="shared" ca="1" si="62"/>
        <v/>
      </c>
      <c r="E489" s="993" t="str">
        <f t="shared" ca="1" si="63"/>
        <v/>
      </c>
      <c r="F489" s="992" t="str">
        <f t="shared" ca="1" si="71"/>
        <v/>
      </c>
      <c r="G489" s="994">
        <f t="shared" ca="1" si="64"/>
        <v>0</v>
      </c>
      <c r="H489" s="913">
        <f t="shared" ca="1" si="65"/>
        <v>0</v>
      </c>
      <c r="I489" s="913">
        <f t="shared" ca="1" si="66"/>
        <v>0</v>
      </c>
      <c r="J489" s="995">
        <f t="shared" ca="1" si="72"/>
        <v>0</v>
      </c>
      <c r="K489" s="913">
        <f t="shared" ca="1" si="67"/>
        <v>0</v>
      </c>
      <c r="L489" s="995">
        <f t="shared" ca="1" si="73"/>
        <v>0</v>
      </c>
      <c r="M489" s="913">
        <f t="shared" ca="1" si="68"/>
        <v>0</v>
      </c>
      <c r="N489" s="996">
        <f t="shared" ca="1" si="69"/>
        <v>0</v>
      </c>
      <c r="O489" s="997">
        <f t="shared" ca="1" si="70"/>
        <v>0</v>
      </c>
      <c r="P489" s="1015" t="str">
        <f ca="1">IF($C489="","",INDEX(NVLSX!$N$2:$N$6941,MATCH($C489,NVLSX!$E$2:$E$6941,0)))</f>
        <v/>
      </c>
      <c r="Q489" s="1016" t="str">
        <f ca="1">IF($R489="","",IF(XKNVLSX!$X$1="",IF($P489=$V$7,$P489, IF(COUNTIFS($C$2:$C488,$C489,$E$2:$E488,$E489)&gt;=1,"",$P489)),     IF(AND(IFERROR(SEARCH($R489,XKNVLSX!$X$1,1),0)&gt;=1,$P489=$V$7),$P489, IF(OR($R489&lt;&gt;IF(IFERROR(SEARCH($R489,XKNVLSX!$X$1,1),0)&gt;=1,$R489,XKNVLSX!$X$1),COUNTIFS($C$2:$C488,$C489,$E$2:$E488,$E489,$Q$2:$Q488,$P489)&gt;=1),"",$P489))))</f>
        <v/>
      </c>
      <c r="R489" s="1017" t="str">
        <f ca="1">IF($A489="","",IFERROR(INDEX(TinhGia!$BF$10:$BF$81,MATCH($A489,TinhGia!$B$10:$B$81,0)),""))</f>
        <v/>
      </c>
      <c r="S489" s="1012" t="str">
        <f ca="1">IF($A489="","",IF(OR(IFERROR(SEARCH($R489,XKNVLSX!$X$1,1),0)&gt;=1,XKNVLSX!$X$1=""),$S$2,""))</f>
        <v/>
      </c>
      <c r="T489" s="1018" t="str">
        <f ca="1">IF($C489="","", IF(OR($P489=$V$1,$P489=$V$7,COUNTIFS($C$3:$C489,$C489,$E$3:$E489,$E489)&lt;=1),$P489,""    ))</f>
        <v/>
      </c>
      <c r="U489" s="1019" t="str">
        <f ca="1">IF(AND($P489=$V$2,COUNTIFS($C$3:$C489,$C489,$E$3:$E489,$E489,$G$3:$G489,$G489)&lt;=1),$P489,"")</f>
        <v/>
      </c>
    </row>
    <row r="490" spans="1:21">
      <c r="A490" s="991" t="str">
        <f ca="1">IFERROR(IF(COUNTIF($A$3:A489,A489)&lt; INDEX(TinhGia!$BH$10:$BH$81,MATCH($A489,TinhGia!$B$10:$B$81,0)),$A489,INDEX(TinhGia!$B$10:$B$81,MATCH($A489,TinhGia!$B$10:$B$81,0)+1)),"")</f>
        <v/>
      </c>
      <c r="B490" s="525" t="str">
        <f ca="1">IF(OR(A490="",A490=0),"",IF(COUNTIF($A$2:A490,$A490)=1,ROW(MauKoXoa!$C$108),$B489+1))</f>
        <v/>
      </c>
      <c r="C490" s="992" t="str">
        <f t="shared" ca="1" si="61"/>
        <v/>
      </c>
      <c r="D490" s="993" t="str">
        <f t="shared" ca="1" si="62"/>
        <v/>
      </c>
      <c r="E490" s="993" t="str">
        <f t="shared" ca="1" si="63"/>
        <v/>
      </c>
      <c r="F490" s="992" t="str">
        <f t="shared" ca="1" si="71"/>
        <v/>
      </c>
      <c r="G490" s="994">
        <f t="shared" ca="1" si="64"/>
        <v>0</v>
      </c>
      <c r="H490" s="913">
        <f t="shared" ca="1" si="65"/>
        <v>0</v>
      </c>
      <c r="I490" s="913">
        <f t="shared" ca="1" si="66"/>
        <v>0</v>
      </c>
      <c r="J490" s="995">
        <f t="shared" ca="1" si="72"/>
        <v>0</v>
      </c>
      <c r="K490" s="913">
        <f t="shared" ca="1" si="67"/>
        <v>0</v>
      </c>
      <c r="L490" s="995">
        <f t="shared" ca="1" si="73"/>
        <v>0</v>
      </c>
      <c r="M490" s="913">
        <f t="shared" ca="1" si="68"/>
        <v>0</v>
      </c>
      <c r="N490" s="996">
        <f t="shared" ca="1" si="69"/>
        <v>0</v>
      </c>
      <c r="O490" s="997">
        <f t="shared" ca="1" si="70"/>
        <v>0</v>
      </c>
      <c r="P490" s="1015" t="str">
        <f ca="1">IF($C490="","",INDEX(NVLSX!$N$2:$N$6941,MATCH($C490,NVLSX!$E$2:$E$6941,0)))</f>
        <v/>
      </c>
      <c r="Q490" s="1016" t="str">
        <f ca="1">IF($R490="","",IF(XKNVLSX!$X$1="",IF($P490=$V$7,$P490, IF(COUNTIFS($C$2:$C489,$C490,$E$2:$E489,$E490)&gt;=1,"",$P490)),     IF(AND(IFERROR(SEARCH($R490,XKNVLSX!$X$1,1),0)&gt;=1,$P490=$V$7),$P490, IF(OR($R490&lt;&gt;IF(IFERROR(SEARCH($R490,XKNVLSX!$X$1,1),0)&gt;=1,$R490,XKNVLSX!$X$1),COUNTIFS($C$2:$C489,$C490,$E$2:$E489,$E490,$Q$2:$Q489,$P490)&gt;=1),"",$P490))))</f>
        <v/>
      </c>
      <c r="R490" s="1017" t="str">
        <f ca="1">IF($A490="","",IFERROR(INDEX(TinhGia!$BF$10:$BF$81,MATCH($A490,TinhGia!$B$10:$B$81,0)),""))</f>
        <v/>
      </c>
      <c r="S490" s="1012" t="str">
        <f ca="1">IF($A490="","",IF(OR(IFERROR(SEARCH($R490,XKNVLSX!$X$1,1),0)&gt;=1,XKNVLSX!$X$1=""),$S$2,""))</f>
        <v/>
      </c>
      <c r="T490" s="1018" t="str">
        <f ca="1">IF($C490="","", IF(OR($P490=$V$1,$P490=$V$7,COUNTIFS($C$3:$C490,$C490,$E$3:$E490,$E490)&lt;=1),$P490,""    ))</f>
        <v/>
      </c>
      <c r="U490" s="1019" t="str">
        <f ca="1">IF(AND($P490=$V$2,COUNTIFS($C$3:$C490,$C490,$E$3:$E490,$E490,$G$3:$G490,$G490)&lt;=1),$P490,"")</f>
        <v/>
      </c>
    </row>
    <row r="491" spans="1:21">
      <c r="A491" s="991" t="str">
        <f ca="1">IFERROR(IF(COUNTIF($A$3:A490,A490)&lt; INDEX(TinhGia!$BH$10:$BH$81,MATCH($A490,TinhGia!$B$10:$B$81,0)),$A490,INDEX(TinhGia!$B$10:$B$81,MATCH($A490,TinhGia!$B$10:$B$81,0)+1)),"")</f>
        <v/>
      </c>
      <c r="B491" s="525" t="str">
        <f ca="1">IF(OR(A491="",A491=0),"",IF(COUNTIF($A$2:A491,$A491)=1,ROW(MauKoXoa!$C$108),$B490+1))</f>
        <v/>
      </c>
      <c r="C491" s="992" t="str">
        <f t="shared" ca="1" si="61"/>
        <v/>
      </c>
      <c r="D491" s="993" t="str">
        <f t="shared" ca="1" si="62"/>
        <v/>
      </c>
      <c r="E491" s="993" t="str">
        <f t="shared" ca="1" si="63"/>
        <v/>
      </c>
      <c r="F491" s="992" t="str">
        <f t="shared" ca="1" si="71"/>
        <v/>
      </c>
      <c r="G491" s="994">
        <f t="shared" ca="1" si="64"/>
        <v>0</v>
      </c>
      <c r="H491" s="913">
        <f t="shared" ca="1" si="65"/>
        <v>0</v>
      </c>
      <c r="I491" s="913">
        <f t="shared" ca="1" si="66"/>
        <v>0</v>
      </c>
      <c r="J491" s="995">
        <f t="shared" ca="1" si="72"/>
        <v>0</v>
      </c>
      <c r="K491" s="913">
        <f t="shared" ca="1" si="67"/>
        <v>0</v>
      </c>
      <c r="L491" s="995">
        <f t="shared" ca="1" si="73"/>
        <v>0</v>
      </c>
      <c r="M491" s="913">
        <f t="shared" ca="1" si="68"/>
        <v>0</v>
      </c>
      <c r="N491" s="996">
        <f t="shared" ca="1" si="69"/>
        <v>0</v>
      </c>
      <c r="O491" s="997">
        <f t="shared" ca="1" si="70"/>
        <v>0</v>
      </c>
      <c r="P491" s="1015" t="str">
        <f ca="1">IF($C491="","",INDEX(NVLSX!$N$2:$N$6941,MATCH($C491,NVLSX!$E$2:$E$6941,0)))</f>
        <v/>
      </c>
      <c r="Q491" s="1016" t="str">
        <f ca="1">IF($R491="","",IF(XKNVLSX!$X$1="",IF($P491=$V$7,$P491, IF(COUNTIFS($C$2:$C490,$C491,$E$2:$E490,$E491)&gt;=1,"",$P491)),     IF(AND(IFERROR(SEARCH($R491,XKNVLSX!$X$1,1),0)&gt;=1,$P491=$V$7),$P491, IF(OR($R491&lt;&gt;IF(IFERROR(SEARCH($R491,XKNVLSX!$X$1,1),0)&gt;=1,$R491,XKNVLSX!$X$1),COUNTIFS($C$2:$C490,$C491,$E$2:$E490,$E491,$Q$2:$Q490,$P491)&gt;=1),"",$P491))))</f>
        <v/>
      </c>
      <c r="R491" s="1017" t="str">
        <f ca="1">IF($A491="","",IFERROR(INDEX(TinhGia!$BF$10:$BF$81,MATCH($A491,TinhGia!$B$10:$B$81,0)),""))</f>
        <v/>
      </c>
      <c r="S491" s="1012" t="str">
        <f ca="1">IF($A491="","",IF(OR(IFERROR(SEARCH($R491,XKNVLSX!$X$1,1),0)&gt;=1,XKNVLSX!$X$1=""),$S$2,""))</f>
        <v/>
      </c>
      <c r="T491" s="1018" t="str">
        <f ca="1">IF($C491="","", IF(OR($P491=$V$1,$P491=$V$7,COUNTIFS($C$3:$C491,$C491,$E$3:$E491,$E491)&lt;=1),$P491,""    ))</f>
        <v/>
      </c>
      <c r="U491" s="1019" t="str">
        <f ca="1">IF(AND($P491=$V$2,COUNTIFS($C$3:$C491,$C491,$E$3:$E491,$E491,$G$3:$G491,$G491)&lt;=1),$P491,"")</f>
        <v/>
      </c>
    </row>
    <row r="492" spans="1:21">
      <c r="A492" s="991" t="str">
        <f ca="1">IFERROR(IF(COUNTIF($A$3:A491,A491)&lt; INDEX(TinhGia!$BH$10:$BH$81,MATCH($A491,TinhGia!$B$10:$B$81,0)),$A491,INDEX(TinhGia!$B$10:$B$81,MATCH($A491,TinhGia!$B$10:$B$81,0)+1)),"")</f>
        <v/>
      </c>
      <c r="B492" s="525" t="str">
        <f ca="1">IF(OR(A492="",A492=0),"",IF(COUNTIF($A$2:A492,$A492)=1,ROW(MauKoXoa!$C$108),$B491+1))</f>
        <v/>
      </c>
      <c r="C492" s="992" t="str">
        <f t="shared" ca="1" si="61"/>
        <v/>
      </c>
      <c r="D492" s="993" t="str">
        <f t="shared" ca="1" si="62"/>
        <v/>
      </c>
      <c r="E492" s="993" t="str">
        <f t="shared" ca="1" si="63"/>
        <v/>
      </c>
      <c r="F492" s="992" t="str">
        <f t="shared" ca="1" si="71"/>
        <v/>
      </c>
      <c r="G492" s="994">
        <f t="shared" ca="1" si="64"/>
        <v>0</v>
      </c>
      <c r="H492" s="913">
        <f t="shared" ca="1" si="65"/>
        <v>0</v>
      </c>
      <c r="I492" s="913">
        <f t="shared" ca="1" si="66"/>
        <v>0</v>
      </c>
      <c r="J492" s="995">
        <f t="shared" ca="1" si="72"/>
        <v>0</v>
      </c>
      <c r="K492" s="913">
        <f t="shared" ca="1" si="67"/>
        <v>0</v>
      </c>
      <c r="L492" s="995">
        <f t="shared" ca="1" si="73"/>
        <v>0</v>
      </c>
      <c r="M492" s="913">
        <f t="shared" ca="1" si="68"/>
        <v>0</v>
      </c>
      <c r="N492" s="996">
        <f t="shared" ca="1" si="69"/>
        <v>0</v>
      </c>
      <c r="O492" s="997">
        <f t="shared" ca="1" si="70"/>
        <v>0</v>
      </c>
      <c r="P492" s="1015" t="str">
        <f ca="1">IF($C492="","",INDEX(NVLSX!$N$2:$N$6941,MATCH($C492,NVLSX!$E$2:$E$6941,0)))</f>
        <v/>
      </c>
      <c r="Q492" s="1016" t="str">
        <f ca="1">IF($R492="","",IF(XKNVLSX!$X$1="",IF($P492=$V$7,$P492, IF(COUNTIFS($C$2:$C491,$C492,$E$2:$E491,$E492)&gt;=1,"",$P492)),     IF(AND(IFERROR(SEARCH($R492,XKNVLSX!$X$1,1),0)&gt;=1,$P492=$V$7),$P492, IF(OR($R492&lt;&gt;IF(IFERROR(SEARCH($R492,XKNVLSX!$X$1,1),0)&gt;=1,$R492,XKNVLSX!$X$1),COUNTIFS($C$2:$C491,$C492,$E$2:$E491,$E492,$Q$2:$Q491,$P492)&gt;=1),"",$P492))))</f>
        <v/>
      </c>
      <c r="R492" s="1017" t="str">
        <f ca="1">IF($A492="","",IFERROR(INDEX(TinhGia!$BF$10:$BF$81,MATCH($A492,TinhGia!$B$10:$B$81,0)),""))</f>
        <v/>
      </c>
      <c r="S492" s="1012" t="str">
        <f ca="1">IF($A492="","",IF(OR(IFERROR(SEARCH($R492,XKNVLSX!$X$1,1),0)&gt;=1,XKNVLSX!$X$1=""),$S$2,""))</f>
        <v/>
      </c>
      <c r="T492" s="1018" t="str">
        <f ca="1">IF($C492="","", IF(OR($P492=$V$1,$P492=$V$7,COUNTIFS($C$3:$C492,$C492,$E$3:$E492,$E492)&lt;=1),$P492,""    ))</f>
        <v/>
      </c>
      <c r="U492" s="1019" t="str">
        <f ca="1">IF(AND($P492=$V$2,COUNTIFS($C$3:$C492,$C492,$E$3:$E492,$E492,$G$3:$G492,$G492)&lt;=1),$P492,"")</f>
        <v/>
      </c>
    </row>
    <row r="493" spans="1:21">
      <c r="A493" s="991" t="str">
        <f ca="1">IFERROR(IF(COUNTIF($A$3:A492,A492)&lt; INDEX(TinhGia!$BH$10:$BH$81,MATCH($A492,TinhGia!$B$10:$B$81,0)),$A492,INDEX(TinhGia!$B$10:$B$81,MATCH($A492,TinhGia!$B$10:$B$81,0)+1)),"")</f>
        <v/>
      </c>
      <c r="B493" s="525" t="str">
        <f ca="1">IF(OR(A493="",A493=0),"",IF(COUNTIF($A$2:A493,$A493)=1,ROW(MauKoXoa!$C$108),$B492+1))</f>
        <v/>
      </c>
      <c r="C493" s="992" t="str">
        <f t="shared" ca="1" si="61"/>
        <v/>
      </c>
      <c r="D493" s="993" t="str">
        <f t="shared" ca="1" si="62"/>
        <v/>
      </c>
      <c r="E493" s="993" t="str">
        <f t="shared" ca="1" si="63"/>
        <v/>
      </c>
      <c r="F493" s="992" t="str">
        <f t="shared" ca="1" si="71"/>
        <v/>
      </c>
      <c r="G493" s="994">
        <f t="shared" ca="1" si="64"/>
        <v>0</v>
      </c>
      <c r="H493" s="913">
        <f t="shared" ca="1" si="65"/>
        <v>0</v>
      </c>
      <c r="I493" s="913">
        <f t="shared" ca="1" si="66"/>
        <v>0</v>
      </c>
      <c r="J493" s="995">
        <f t="shared" ca="1" si="72"/>
        <v>0</v>
      </c>
      <c r="K493" s="913">
        <f t="shared" ca="1" si="67"/>
        <v>0</v>
      </c>
      <c r="L493" s="995">
        <f t="shared" ca="1" si="73"/>
        <v>0</v>
      </c>
      <c r="M493" s="913">
        <f t="shared" ca="1" si="68"/>
        <v>0</v>
      </c>
      <c r="N493" s="996">
        <f t="shared" ca="1" si="69"/>
        <v>0</v>
      </c>
      <c r="O493" s="997">
        <f t="shared" ca="1" si="70"/>
        <v>0</v>
      </c>
      <c r="P493" s="1015" t="str">
        <f ca="1">IF($C493="","",INDEX(NVLSX!$N$2:$N$6941,MATCH($C493,NVLSX!$E$2:$E$6941,0)))</f>
        <v/>
      </c>
      <c r="Q493" s="1016" t="str">
        <f ca="1">IF($R493="","",IF(XKNVLSX!$X$1="",IF($P493=$V$7,$P493, IF(COUNTIFS($C$2:$C492,$C493,$E$2:$E492,$E493)&gt;=1,"",$P493)),     IF(AND(IFERROR(SEARCH($R493,XKNVLSX!$X$1,1),0)&gt;=1,$P493=$V$7),$P493, IF(OR($R493&lt;&gt;IF(IFERROR(SEARCH($R493,XKNVLSX!$X$1,1),0)&gt;=1,$R493,XKNVLSX!$X$1),COUNTIFS($C$2:$C492,$C493,$E$2:$E492,$E493,$Q$2:$Q492,$P493)&gt;=1),"",$P493))))</f>
        <v/>
      </c>
      <c r="R493" s="1017" t="str">
        <f ca="1">IF($A493="","",IFERROR(INDEX(TinhGia!$BF$10:$BF$81,MATCH($A493,TinhGia!$B$10:$B$81,0)),""))</f>
        <v/>
      </c>
      <c r="S493" s="1012" t="str">
        <f ca="1">IF($A493="","",IF(OR(IFERROR(SEARCH($R493,XKNVLSX!$X$1,1),0)&gt;=1,XKNVLSX!$X$1=""),$S$2,""))</f>
        <v/>
      </c>
      <c r="T493" s="1018" t="str">
        <f ca="1">IF($C493="","", IF(OR($P493=$V$1,$P493=$V$7,COUNTIFS($C$3:$C493,$C493,$E$3:$E493,$E493)&lt;=1),$P493,""    ))</f>
        <v/>
      </c>
      <c r="U493" s="1019" t="str">
        <f ca="1">IF(AND($P493=$V$2,COUNTIFS($C$3:$C493,$C493,$E$3:$E493,$E493,$G$3:$G493,$G493)&lt;=1),$P493,"")</f>
        <v/>
      </c>
    </row>
    <row r="494" spans="1:21">
      <c r="A494" s="991" t="str">
        <f ca="1">IFERROR(IF(COUNTIF($A$3:A493,A493)&lt; INDEX(TinhGia!$BH$10:$BH$81,MATCH($A493,TinhGia!$B$10:$B$81,0)),$A493,INDEX(TinhGia!$B$10:$B$81,MATCH($A493,TinhGia!$B$10:$B$81,0)+1)),"")</f>
        <v/>
      </c>
      <c r="B494" s="525" t="str">
        <f ca="1">IF(OR(A494="",A494=0),"",IF(COUNTIF($A$2:A494,$A494)=1,ROW(MauKoXoa!$C$108),$B493+1))</f>
        <v/>
      </c>
      <c r="C494" s="992" t="str">
        <f t="shared" ca="1" si="61"/>
        <v/>
      </c>
      <c r="D494" s="993" t="str">
        <f t="shared" ca="1" si="62"/>
        <v/>
      </c>
      <c r="E494" s="993" t="str">
        <f t="shared" ca="1" si="63"/>
        <v/>
      </c>
      <c r="F494" s="992" t="str">
        <f t="shared" ca="1" si="71"/>
        <v/>
      </c>
      <c r="G494" s="994">
        <f t="shared" ca="1" si="64"/>
        <v>0</v>
      </c>
      <c r="H494" s="913">
        <f t="shared" ca="1" si="65"/>
        <v>0</v>
      </c>
      <c r="I494" s="913">
        <f t="shared" ca="1" si="66"/>
        <v>0</v>
      </c>
      <c r="J494" s="995">
        <f t="shared" ca="1" si="72"/>
        <v>0</v>
      </c>
      <c r="K494" s="913">
        <f t="shared" ca="1" si="67"/>
        <v>0</v>
      </c>
      <c r="L494" s="995">
        <f t="shared" ca="1" si="73"/>
        <v>0</v>
      </c>
      <c r="M494" s="913">
        <f t="shared" ca="1" si="68"/>
        <v>0</v>
      </c>
      <c r="N494" s="996">
        <f t="shared" ca="1" si="69"/>
        <v>0</v>
      </c>
      <c r="O494" s="997">
        <f t="shared" ca="1" si="70"/>
        <v>0</v>
      </c>
      <c r="P494" s="1015" t="str">
        <f ca="1">IF($C494="","",INDEX(NVLSX!$N$2:$N$6941,MATCH($C494,NVLSX!$E$2:$E$6941,0)))</f>
        <v/>
      </c>
      <c r="Q494" s="1016" t="str">
        <f ca="1">IF($R494="","",IF(XKNVLSX!$X$1="",IF($P494=$V$7,$P494, IF(COUNTIFS($C$2:$C493,$C494,$E$2:$E493,$E494)&gt;=1,"",$P494)),     IF(AND(IFERROR(SEARCH($R494,XKNVLSX!$X$1,1),0)&gt;=1,$P494=$V$7),$P494, IF(OR($R494&lt;&gt;IF(IFERROR(SEARCH($R494,XKNVLSX!$X$1,1),0)&gt;=1,$R494,XKNVLSX!$X$1),COUNTIFS($C$2:$C493,$C494,$E$2:$E493,$E494,$Q$2:$Q493,$P494)&gt;=1),"",$P494))))</f>
        <v/>
      </c>
      <c r="R494" s="1017" t="str">
        <f ca="1">IF($A494="","",IFERROR(INDEX(TinhGia!$BF$10:$BF$81,MATCH($A494,TinhGia!$B$10:$B$81,0)),""))</f>
        <v/>
      </c>
      <c r="S494" s="1012" t="str">
        <f ca="1">IF($A494="","",IF(OR(IFERROR(SEARCH($R494,XKNVLSX!$X$1,1),0)&gt;=1,XKNVLSX!$X$1=""),$S$2,""))</f>
        <v/>
      </c>
      <c r="T494" s="1018" t="str">
        <f ca="1">IF($C494="","", IF(OR($P494=$V$1,$P494=$V$7,COUNTIFS($C$3:$C494,$C494,$E$3:$E494,$E494)&lt;=1),$P494,""    ))</f>
        <v/>
      </c>
      <c r="U494" s="1019" t="str">
        <f ca="1">IF(AND($P494=$V$2,COUNTIFS($C$3:$C494,$C494,$E$3:$E494,$E494,$G$3:$G494,$G494)&lt;=1),$P494,"")</f>
        <v/>
      </c>
    </row>
    <row r="495" spans="1:21">
      <c r="A495" s="991" t="str">
        <f ca="1">IFERROR(IF(COUNTIF($A$3:A494,A494)&lt; INDEX(TinhGia!$BH$10:$BH$81,MATCH($A494,TinhGia!$B$10:$B$81,0)),$A494,INDEX(TinhGia!$B$10:$B$81,MATCH($A494,TinhGia!$B$10:$B$81,0)+1)),"")</f>
        <v/>
      </c>
      <c r="B495" s="525" t="str">
        <f ca="1">IF(OR(A495="",A495=0),"",IF(COUNTIF($A$2:A495,$A495)=1,ROW(MauKoXoa!$C$108),$B494+1))</f>
        <v/>
      </c>
      <c r="C495" s="992" t="str">
        <f t="shared" ca="1" si="61"/>
        <v/>
      </c>
      <c r="D495" s="993" t="str">
        <f t="shared" ca="1" si="62"/>
        <v/>
      </c>
      <c r="E495" s="993" t="str">
        <f t="shared" ca="1" si="63"/>
        <v/>
      </c>
      <c r="F495" s="992" t="str">
        <f t="shared" ca="1" si="71"/>
        <v/>
      </c>
      <c r="G495" s="994">
        <f t="shared" ca="1" si="64"/>
        <v>0</v>
      </c>
      <c r="H495" s="913">
        <f t="shared" ca="1" si="65"/>
        <v>0</v>
      </c>
      <c r="I495" s="913">
        <f t="shared" ca="1" si="66"/>
        <v>0</v>
      </c>
      <c r="J495" s="995">
        <f t="shared" ca="1" si="72"/>
        <v>0</v>
      </c>
      <c r="K495" s="913">
        <f t="shared" ca="1" si="67"/>
        <v>0</v>
      </c>
      <c r="L495" s="995">
        <f t="shared" ca="1" si="73"/>
        <v>0</v>
      </c>
      <c r="M495" s="913">
        <f t="shared" ca="1" si="68"/>
        <v>0</v>
      </c>
      <c r="N495" s="996">
        <f t="shared" ca="1" si="69"/>
        <v>0</v>
      </c>
      <c r="O495" s="997">
        <f t="shared" ca="1" si="70"/>
        <v>0</v>
      </c>
      <c r="P495" s="1015" t="str">
        <f ca="1">IF($C495="","",INDEX(NVLSX!$N$2:$N$6941,MATCH($C495,NVLSX!$E$2:$E$6941,0)))</f>
        <v/>
      </c>
      <c r="Q495" s="1016" t="str">
        <f ca="1">IF($R495="","",IF(XKNVLSX!$X$1="",IF($P495=$V$7,$P495, IF(COUNTIFS($C$2:$C494,$C495,$E$2:$E494,$E495)&gt;=1,"",$P495)),     IF(AND(IFERROR(SEARCH($R495,XKNVLSX!$X$1,1),0)&gt;=1,$P495=$V$7),$P495, IF(OR($R495&lt;&gt;IF(IFERROR(SEARCH($R495,XKNVLSX!$X$1,1),0)&gt;=1,$R495,XKNVLSX!$X$1),COUNTIFS($C$2:$C494,$C495,$E$2:$E494,$E495,$Q$2:$Q494,$P495)&gt;=1),"",$P495))))</f>
        <v/>
      </c>
      <c r="R495" s="1017" t="str">
        <f ca="1">IF($A495="","",IFERROR(INDEX(TinhGia!$BF$10:$BF$81,MATCH($A495,TinhGia!$B$10:$B$81,0)),""))</f>
        <v/>
      </c>
      <c r="S495" s="1012" t="str">
        <f ca="1">IF($A495="","",IF(OR(IFERROR(SEARCH($R495,XKNVLSX!$X$1,1),0)&gt;=1,XKNVLSX!$X$1=""),$S$2,""))</f>
        <v/>
      </c>
      <c r="T495" s="1018" t="str">
        <f ca="1">IF($C495="","", IF(OR($P495=$V$1,$P495=$V$7,COUNTIFS($C$3:$C495,$C495,$E$3:$E495,$E495)&lt;=1),$P495,""    ))</f>
        <v/>
      </c>
      <c r="U495" s="1019" t="str">
        <f ca="1">IF(AND($P495=$V$2,COUNTIFS($C$3:$C495,$C495,$E$3:$E495,$E495,$G$3:$G495,$G495)&lt;=1),$P495,"")</f>
        <v/>
      </c>
    </row>
    <row r="496" spans="1:21">
      <c r="A496" s="991" t="str">
        <f ca="1">IFERROR(IF(COUNTIF($A$3:A495,A495)&lt; INDEX(TinhGia!$BH$10:$BH$81,MATCH($A495,TinhGia!$B$10:$B$81,0)),$A495,INDEX(TinhGia!$B$10:$B$81,MATCH($A495,TinhGia!$B$10:$B$81,0)+1)),"")</f>
        <v/>
      </c>
      <c r="B496" s="525" t="str">
        <f ca="1">IF(OR(A496="",A496=0),"",IF(COUNTIF($A$2:A496,$A496)=1,ROW(MauKoXoa!$C$108),$B495+1))</f>
        <v/>
      </c>
      <c r="C496" s="992" t="str">
        <f t="shared" ca="1" si="61"/>
        <v/>
      </c>
      <c r="D496" s="993" t="str">
        <f t="shared" ca="1" si="62"/>
        <v/>
      </c>
      <c r="E496" s="993" t="str">
        <f t="shared" ca="1" si="63"/>
        <v/>
      </c>
      <c r="F496" s="992" t="str">
        <f t="shared" ca="1" si="71"/>
        <v/>
      </c>
      <c r="G496" s="994">
        <f t="shared" ca="1" si="64"/>
        <v>0</v>
      </c>
      <c r="H496" s="913">
        <f t="shared" ca="1" si="65"/>
        <v>0</v>
      </c>
      <c r="I496" s="913">
        <f t="shared" ca="1" si="66"/>
        <v>0</v>
      </c>
      <c r="J496" s="995">
        <f t="shared" ca="1" si="72"/>
        <v>0</v>
      </c>
      <c r="K496" s="913">
        <f t="shared" ca="1" si="67"/>
        <v>0</v>
      </c>
      <c r="L496" s="995">
        <f t="shared" ca="1" si="73"/>
        <v>0</v>
      </c>
      <c r="M496" s="913">
        <f t="shared" ca="1" si="68"/>
        <v>0</v>
      </c>
      <c r="N496" s="996">
        <f t="shared" ca="1" si="69"/>
        <v>0</v>
      </c>
      <c r="O496" s="997">
        <f t="shared" ca="1" si="70"/>
        <v>0</v>
      </c>
      <c r="P496" s="1015" t="str">
        <f ca="1">IF($C496="","",INDEX(NVLSX!$N$2:$N$6941,MATCH($C496,NVLSX!$E$2:$E$6941,0)))</f>
        <v/>
      </c>
      <c r="Q496" s="1016" t="str">
        <f ca="1">IF($R496="","",IF(XKNVLSX!$X$1="",IF($P496=$V$7,$P496, IF(COUNTIFS($C$2:$C495,$C496,$E$2:$E495,$E496)&gt;=1,"",$P496)),     IF(AND(IFERROR(SEARCH($R496,XKNVLSX!$X$1,1),0)&gt;=1,$P496=$V$7),$P496, IF(OR($R496&lt;&gt;IF(IFERROR(SEARCH($R496,XKNVLSX!$X$1,1),0)&gt;=1,$R496,XKNVLSX!$X$1),COUNTIFS($C$2:$C495,$C496,$E$2:$E495,$E496,$Q$2:$Q495,$P496)&gt;=1),"",$P496))))</f>
        <v/>
      </c>
      <c r="R496" s="1017" t="str">
        <f ca="1">IF($A496="","",IFERROR(INDEX(TinhGia!$BF$10:$BF$81,MATCH($A496,TinhGia!$B$10:$B$81,0)),""))</f>
        <v/>
      </c>
      <c r="S496" s="1012" t="str">
        <f ca="1">IF($A496="","",IF(OR(IFERROR(SEARCH($R496,XKNVLSX!$X$1,1),0)&gt;=1,XKNVLSX!$X$1=""),$S$2,""))</f>
        <v/>
      </c>
      <c r="T496" s="1018" t="str">
        <f ca="1">IF($C496="","", IF(OR($P496=$V$1,$P496=$V$7,COUNTIFS($C$3:$C496,$C496,$E$3:$E496,$E496)&lt;=1),$P496,""    ))</f>
        <v/>
      </c>
      <c r="U496" s="1019" t="str">
        <f ca="1">IF(AND($P496=$V$2,COUNTIFS($C$3:$C496,$C496,$E$3:$E496,$E496,$G$3:$G496,$G496)&lt;=1),$P496,"")</f>
        <v/>
      </c>
    </row>
    <row r="497" spans="1:21">
      <c r="A497" s="991" t="str">
        <f ca="1">IFERROR(IF(COUNTIF($A$3:A496,A496)&lt; INDEX(TinhGia!$BH$10:$BH$81,MATCH($A496,TinhGia!$B$10:$B$81,0)),$A496,INDEX(TinhGia!$B$10:$B$81,MATCH($A496,TinhGia!$B$10:$B$81,0)+1)),"")</f>
        <v/>
      </c>
      <c r="B497" s="525" t="str">
        <f ca="1">IF(OR(A497="",A497=0),"",IF(COUNTIF($A$2:A497,$A497)=1,ROW(MauKoXoa!$C$108),$B496+1))</f>
        <v/>
      </c>
      <c r="C497" s="992" t="str">
        <f t="shared" ca="1" si="61"/>
        <v/>
      </c>
      <c r="D497" s="993" t="str">
        <f t="shared" ca="1" si="62"/>
        <v/>
      </c>
      <c r="E497" s="993" t="str">
        <f t="shared" ca="1" si="63"/>
        <v/>
      </c>
      <c r="F497" s="992" t="str">
        <f t="shared" ca="1" si="71"/>
        <v/>
      </c>
      <c r="G497" s="994">
        <f t="shared" ca="1" si="64"/>
        <v>0</v>
      </c>
      <c r="H497" s="913">
        <f t="shared" ca="1" si="65"/>
        <v>0</v>
      </c>
      <c r="I497" s="913">
        <f t="shared" ca="1" si="66"/>
        <v>0</v>
      </c>
      <c r="J497" s="995">
        <f t="shared" ca="1" si="72"/>
        <v>0</v>
      </c>
      <c r="K497" s="913">
        <f t="shared" ca="1" si="67"/>
        <v>0</v>
      </c>
      <c r="L497" s="995">
        <f t="shared" ca="1" si="73"/>
        <v>0</v>
      </c>
      <c r="M497" s="913">
        <f t="shared" ca="1" si="68"/>
        <v>0</v>
      </c>
      <c r="N497" s="996">
        <f t="shared" ca="1" si="69"/>
        <v>0</v>
      </c>
      <c r="O497" s="997">
        <f t="shared" ca="1" si="70"/>
        <v>0</v>
      </c>
      <c r="P497" s="1015" t="str">
        <f ca="1">IF($C497="","",INDEX(NVLSX!$N$2:$N$6941,MATCH($C497,NVLSX!$E$2:$E$6941,0)))</f>
        <v/>
      </c>
      <c r="Q497" s="1016" t="str">
        <f ca="1">IF($R497="","",IF(XKNVLSX!$X$1="",IF($P497=$V$7,$P497, IF(COUNTIFS($C$2:$C496,$C497,$E$2:$E496,$E497)&gt;=1,"",$P497)),     IF(AND(IFERROR(SEARCH($R497,XKNVLSX!$X$1,1),0)&gt;=1,$P497=$V$7),$P497, IF(OR($R497&lt;&gt;IF(IFERROR(SEARCH($R497,XKNVLSX!$X$1,1),0)&gt;=1,$R497,XKNVLSX!$X$1),COUNTIFS($C$2:$C496,$C497,$E$2:$E496,$E497,$Q$2:$Q496,$P497)&gt;=1),"",$P497))))</f>
        <v/>
      </c>
      <c r="R497" s="1017" t="str">
        <f ca="1">IF($A497="","",IFERROR(INDEX(TinhGia!$BF$10:$BF$81,MATCH($A497,TinhGia!$B$10:$B$81,0)),""))</f>
        <v/>
      </c>
      <c r="S497" s="1012" t="str">
        <f ca="1">IF($A497="","",IF(OR(IFERROR(SEARCH($R497,XKNVLSX!$X$1,1),0)&gt;=1,XKNVLSX!$X$1=""),$S$2,""))</f>
        <v/>
      </c>
      <c r="T497" s="1018" t="str">
        <f ca="1">IF($C497="","", IF(OR($P497=$V$1,$P497=$V$7,COUNTIFS($C$3:$C497,$C497,$E$3:$E497,$E497)&lt;=1),$P497,""    ))</f>
        <v/>
      </c>
      <c r="U497" s="1019" t="str">
        <f ca="1">IF(AND($P497=$V$2,COUNTIFS($C$3:$C497,$C497,$E$3:$E497,$E497,$G$3:$G497,$G497)&lt;=1),$P497,"")</f>
        <v/>
      </c>
    </row>
    <row r="498" spans="1:21">
      <c r="A498" s="991" t="str">
        <f ca="1">IFERROR(IF(COUNTIF($A$3:A497,A497)&lt; INDEX(TinhGia!$BH$10:$BH$81,MATCH($A497,TinhGia!$B$10:$B$81,0)),$A497,INDEX(TinhGia!$B$10:$B$81,MATCH($A497,TinhGia!$B$10:$B$81,0)+1)),"")</f>
        <v/>
      </c>
      <c r="B498" s="525" t="str">
        <f ca="1">IF(OR(A498="",A498=0),"",IF(COUNTIF($A$2:A498,$A498)=1,ROW(MauKoXoa!$C$108),$B497+1))</f>
        <v/>
      </c>
      <c r="C498" s="992" t="str">
        <f t="shared" ca="1" si="61"/>
        <v/>
      </c>
      <c r="D498" s="993" t="str">
        <f t="shared" ca="1" si="62"/>
        <v/>
      </c>
      <c r="E498" s="993" t="str">
        <f t="shared" ca="1" si="63"/>
        <v/>
      </c>
      <c r="F498" s="992" t="str">
        <f t="shared" ca="1" si="71"/>
        <v/>
      </c>
      <c r="G498" s="994">
        <f t="shared" ca="1" si="64"/>
        <v>0</v>
      </c>
      <c r="H498" s="913">
        <f t="shared" ca="1" si="65"/>
        <v>0</v>
      </c>
      <c r="I498" s="913">
        <f t="shared" ca="1" si="66"/>
        <v>0</v>
      </c>
      <c r="J498" s="995">
        <f t="shared" ca="1" si="72"/>
        <v>0</v>
      </c>
      <c r="K498" s="913">
        <f t="shared" ca="1" si="67"/>
        <v>0</v>
      </c>
      <c r="L498" s="995">
        <f t="shared" ca="1" si="73"/>
        <v>0</v>
      </c>
      <c r="M498" s="913">
        <f t="shared" ca="1" si="68"/>
        <v>0</v>
      </c>
      <c r="N498" s="996">
        <f t="shared" ca="1" si="69"/>
        <v>0</v>
      </c>
      <c r="O498" s="997">
        <f t="shared" ca="1" si="70"/>
        <v>0</v>
      </c>
      <c r="P498" s="1015" t="str">
        <f ca="1">IF($C498="","",INDEX(NVLSX!$N$2:$N$6941,MATCH($C498,NVLSX!$E$2:$E$6941,0)))</f>
        <v/>
      </c>
      <c r="Q498" s="1016" t="str">
        <f ca="1">IF($R498="","",IF(XKNVLSX!$X$1="",IF($P498=$V$7,$P498, IF(COUNTIFS($C$2:$C497,$C498,$E$2:$E497,$E498)&gt;=1,"",$P498)),     IF(AND(IFERROR(SEARCH($R498,XKNVLSX!$X$1,1),0)&gt;=1,$P498=$V$7),$P498, IF(OR($R498&lt;&gt;IF(IFERROR(SEARCH($R498,XKNVLSX!$X$1,1),0)&gt;=1,$R498,XKNVLSX!$X$1),COUNTIFS($C$2:$C497,$C498,$E$2:$E497,$E498,$Q$2:$Q497,$P498)&gt;=1),"",$P498))))</f>
        <v/>
      </c>
      <c r="R498" s="1017" t="str">
        <f ca="1">IF($A498="","",IFERROR(INDEX(TinhGia!$BF$10:$BF$81,MATCH($A498,TinhGia!$B$10:$B$81,0)),""))</f>
        <v/>
      </c>
      <c r="S498" s="1012" t="str">
        <f ca="1">IF($A498="","",IF(OR(IFERROR(SEARCH($R498,XKNVLSX!$X$1,1),0)&gt;=1,XKNVLSX!$X$1=""),$S$2,""))</f>
        <v/>
      </c>
      <c r="T498" s="1018" t="str">
        <f ca="1">IF($C498="","", IF(OR($P498=$V$1,$P498=$V$7,COUNTIFS($C$3:$C498,$C498,$E$3:$E498,$E498)&lt;=1),$P498,""    ))</f>
        <v/>
      </c>
      <c r="U498" s="1019" t="str">
        <f ca="1">IF(AND($P498=$V$2,COUNTIFS($C$3:$C498,$C498,$E$3:$E498,$E498,$G$3:$G498,$G498)&lt;=1),$P498,"")</f>
        <v/>
      </c>
    </row>
    <row r="499" spans="1:21">
      <c r="A499" s="991" t="str">
        <f ca="1">IFERROR(IF(COUNTIF($A$3:A498,A498)&lt; INDEX(TinhGia!$BH$10:$BH$81,MATCH($A498,TinhGia!$B$10:$B$81,0)),$A498,INDEX(TinhGia!$B$10:$B$81,MATCH($A498,TinhGia!$B$10:$B$81,0)+1)),"")</f>
        <v/>
      </c>
      <c r="B499" s="525" t="str">
        <f ca="1">IF(OR(A499="",A499=0),"",IF(COUNTIF($A$2:A499,$A499)=1,ROW(MauKoXoa!$C$108),$B498+1))</f>
        <v/>
      </c>
      <c r="C499" s="992" t="str">
        <f t="shared" ca="1" si="61"/>
        <v/>
      </c>
      <c r="D499" s="993" t="str">
        <f t="shared" ca="1" si="62"/>
        <v/>
      </c>
      <c r="E499" s="993" t="str">
        <f t="shared" ca="1" si="63"/>
        <v/>
      </c>
      <c r="F499" s="992" t="str">
        <f t="shared" ca="1" si="71"/>
        <v/>
      </c>
      <c r="G499" s="994">
        <f t="shared" ca="1" si="64"/>
        <v>0</v>
      </c>
      <c r="H499" s="913">
        <f t="shared" ca="1" si="65"/>
        <v>0</v>
      </c>
      <c r="I499" s="913">
        <f t="shared" ca="1" si="66"/>
        <v>0</v>
      </c>
      <c r="J499" s="995">
        <f t="shared" ca="1" si="72"/>
        <v>0</v>
      </c>
      <c r="K499" s="913">
        <f t="shared" ca="1" si="67"/>
        <v>0</v>
      </c>
      <c r="L499" s="995">
        <f t="shared" ca="1" si="73"/>
        <v>0</v>
      </c>
      <c r="M499" s="913">
        <f t="shared" ca="1" si="68"/>
        <v>0</v>
      </c>
      <c r="N499" s="996">
        <f t="shared" ca="1" si="69"/>
        <v>0</v>
      </c>
      <c r="O499" s="997">
        <f t="shared" ca="1" si="70"/>
        <v>0</v>
      </c>
      <c r="P499" s="1015" t="str">
        <f ca="1">IF($C499="","",INDEX(NVLSX!$N$2:$N$6941,MATCH($C499,NVLSX!$E$2:$E$6941,0)))</f>
        <v/>
      </c>
      <c r="Q499" s="1016" t="str">
        <f ca="1">IF($R499="","",IF(XKNVLSX!$X$1="",IF($P499=$V$7,$P499, IF(COUNTIFS($C$2:$C498,$C499,$E$2:$E498,$E499)&gt;=1,"",$P499)),     IF(AND(IFERROR(SEARCH($R499,XKNVLSX!$X$1,1),0)&gt;=1,$P499=$V$7),$P499, IF(OR($R499&lt;&gt;IF(IFERROR(SEARCH($R499,XKNVLSX!$X$1,1),0)&gt;=1,$R499,XKNVLSX!$X$1),COUNTIFS($C$2:$C498,$C499,$E$2:$E498,$E499,$Q$2:$Q498,$P499)&gt;=1),"",$P499))))</f>
        <v/>
      </c>
      <c r="R499" s="1017" t="str">
        <f ca="1">IF($A499="","",IFERROR(INDEX(TinhGia!$BF$10:$BF$81,MATCH($A499,TinhGia!$B$10:$B$81,0)),""))</f>
        <v/>
      </c>
      <c r="S499" s="1012" t="str">
        <f ca="1">IF($A499="","",IF(OR(IFERROR(SEARCH($R499,XKNVLSX!$X$1,1),0)&gt;=1,XKNVLSX!$X$1=""),$S$2,""))</f>
        <v/>
      </c>
      <c r="T499" s="1018" t="str">
        <f ca="1">IF($C499="","", IF(OR($P499=$V$1,$P499=$V$7,COUNTIFS($C$3:$C499,$C499,$E$3:$E499,$E499)&lt;=1),$P499,""    ))</f>
        <v/>
      </c>
      <c r="U499" s="1019" t="str">
        <f ca="1">IF(AND($P499=$V$2,COUNTIFS($C$3:$C499,$C499,$E$3:$E499,$E499,$G$3:$G499,$G499)&lt;=1),$P499,"")</f>
        <v/>
      </c>
    </row>
    <row r="500" spans="1:21">
      <c r="A500" s="991" t="str">
        <f ca="1">IFERROR(IF(COUNTIF($A$3:A499,A499)&lt; INDEX(TinhGia!$BH$10:$BH$81,MATCH($A499,TinhGia!$B$10:$B$81,0)),$A499,INDEX(TinhGia!$B$10:$B$81,MATCH($A499,TinhGia!$B$10:$B$81,0)+1)),"")</f>
        <v/>
      </c>
      <c r="B500" s="525" t="str">
        <f ca="1">IF(OR(A500="",A500=0),"",IF(COUNTIF($A$2:A500,$A500)=1,ROW(MauKoXoa!$C$108),$B499+1))</f>
        <v/>
      </c>
      <c r="C500" s="992" t="str">
        <f t="shared" ca="1" si="61"/>
        <v/>
      </c>
      <c r="D500" s="993" t="str">
        <f t="shared" ca="1" si="62"/>
        <v/>
      </c>
      <c r="E500" s="993" t="str">
        <f t="shared" ca="1" si="63"/>
        <v/>
      </c>
      <c r="F500" s="992" t="str">
        <f t="shared" ca="1" si="71"/>
        <v/>
      </c>
      <c r="G500" s="994">
        <f t="shared" ca="1" si="64"/>
        <v>0</v>
      </c>
      <c r="H500" s="913">
        <f t="shared" ca="1" si="65"/>
        <v>0</v>
      </c>
      <c r="I500" s="913">
        <f t="shared" ca="1" si="66"/>
        <v>0</v>
      </c>
      <c r="J500" s="995">
        <f t="shared" ca="1" si="72"/>
        <v>0</v>
      </c>
      <c r="K500" s="913">
        <f t="shared" ca="1" si="67"/>
        <v>0</v>
      </c>
      <c r="L500" s="995">
        <f t="shared" ca="1" si="73"/>
        <v>0</v>
      </c>
      <c r="M500" s="913">
        <f t="shared" ca="1" si="68"/>
        <v>0</v>
      </c>
      <c r="N500" s="996">
        <f t="shared" ca="1" si="69"/>
        <v>0</v>
      </c>
      <c r="O500" s="997">
        <f t="shared" ca="1" si="70"/>
        <v>0</v>
      </c>
      <c r="P500" s="1015" t="str">
        <f ca="1">IF($C500="","",INDEX(NVLSX!$N$2:$N$6941,MATCH($C500,NVLSX!$E$2:$E$6941,0)))</f>
        <v/>
      </c>
      <c r="Q500" s="1016" t="str">
        <f ca="1">IF($R500="","",IF(XKNVLSX!$X$1="",IF($P500=$V$7,$P500, IF(COUNTIFS($C$2:$C499,$C500,$E$2:$E499,$E500)&gt;=1,"",$P500)),     IF(AND(IFERROR(SEARCH($R500,XKNVLSX!$X$1,1),0)&gt;=1,$P500=$V$7),$P500, IF(OR($R500&lt;&gt;IF(IFERROR(SEARCH($R500,XKNVLSX!$X$1,1),0)&gt;=1,$R500,XKNVLSX!$X$1),COUNTIFS($C$2:$C499,$C500,$E$2:$E499,$E500,$Q$2:$Q499,$P500)&gt;=1),"",$P500))))</f>
        <v/>
      </c>
      <c r="R500" s="1017" t="str">
        <f ca="1">IF($A500="","",IFERROR(INDEX(TinhGia!$BF$10:$BF$81,MATCH($A500,TinhGia!$B$10:$B$81,0)),""))</f>
        <v/>
      </c>
      <c r="S500" s="1012" t="str">
        <f ca="1">IF($A500="","",IF(OR(IFERROR(SEARCH($R500,XKNVLSX!$X$1,1),0)&gt;=1,XKNVLSX!$X$1=""),$S$2,""))</f>
        <v/>
      </c>
      <c r="T500" s="1018" t="str">
        <f ca="1">IF($C500="","", IF(OR($P500=$V$1,$P500=$V$7,COUNTIFS($C$3:$C500,$C500,$E$3:$E500,$E500)&lt;=1),$P500,""    ))</f>
        <v/>
      </c>
      <c r="U500" s="1019" t="str">
        <f ca="1">IF(AND($P500=$V$2,COUNTIFS($C$3:$C500,$C500,$E$3:$E500,$E500,$G$3:$G500,$G500)&lt;=1),$P500,"")</f>
        <v/>
      </c>
    </row>
    <row r="501" spans="1:21">
      <c r="A501" s="991" t="str">
        <f ca="1">IFERROR(IF(COUNTIF($A$3:A500,A500)&lt; INDEX(TinhGia!$BH$10:$BH$81,MATCH($A500,TinhGia!$B$10:$B$81,0)),$A500,INDEX(TinhGia!$B$10:$B$81,MATCH($A500,TinhGia!$B$10:$B$81,0)+1)),"")</f>
        <v/>
      </c>
      <c r="B501" s="525" t="str">
        <f ca="1">IF(OR(A501="",A501=0),"",IF(COUNTIF($A$2:A501,$A501)=1,ROW(MauKoXoa!$C$108),$B500+1))</f>
        <v/>
      </c>
      <c r="C501" s="992" t="str">
        <f t="shared" ca="1" si="61"/>
        <v/>
      </c>
      <c r="D501" s="993" t="str">
        <f t="shared" ca="1" si="62"/>
        <v/>
      </c>
      <c r="E501" s="993" t="str">
        <f t="shared" ca="1" si="63"/>
        <v/>
      </c>
      <c r="F501" s="992" t="str">
        <f t="shared" ca="1" si="71"/>
        <v/>
      </c>
      <c r="G501" s="994">
        <f t="shared" ca="1" si="64"/>
        <v>0</v>
      </c>
      <c r="H501" s="913">
        <f t="shared" ca="1" si="65"/>
        <v>0</v>
      </c>
      <c r="I501" s="913">
        <f t="shared" ca="1" si="66"/>
        <v>0</v>
      </c>
      <c r="J501" s="995">
        <f t="shared" ca="1" si="72"/>
        <v>0</v>
      </c>
      <c r="K501" s="913">
        <f t="shared" ca="1" si="67"/>
        <v>0</v>
      </c>
      <c r="L501" s="995">
        <f t="shared" ca="1" si="73"/>
        <v>0</v>
      </c>
      <c r="M501" s="913">
        <f t="shared" ca="1" si="68"/>
        <v>0</v>
      </c>
      <c r="N501" s="996">
        <f t="shared" ca="1" si="69"/>
        <v>0</v>
      </c>
      <c r="O501" s="997">
        <f t="shared" ca="1" si="70"/>
        <v>0</v>
      </c>
      <c r="P501" s="1015" t="str">
        <f ca="1">IF($C501="","",INDEX(NVLSX!$N$2:$N$6941,MATCH($C501,NVLSX!$E$2:$E$6941,0)))</f>
        <v/>
      </c>
      <c r="Q501" s="1016" t="str">
        <f ca="1">IF($R501="","",IF(XKNVLSX!$X$1="",IF($P501=$V$7,$P501, IF(COUNTIFS($C$2:$C500,$C501,$E$2:$E500,$E501)&gt;=1,"",$P501)),     IF(AND(IFERROR(SEARCH($R501,XKNVLSX!$X$1,1),0)&gt;=1,$P501=$V$7),$P501, IF(OR($R501&lt;&gt;IF(IFERROR(SEARCH($R501,XKNVLSX!$X$1,1),0)&gt;=1,$R501,XKNVLSX!$X$1),COUNTIFS($C$2:$C500,$C501,$E$2:$E500,$E501,$Q$2:$Q500,$P501)&gt;=1),"",$P501))))</f>
        <v/>
      </c>
      <c r="R501" s="1017" t="str">
        <f ca="1">IF($A501="","",IFERROR(INDEX(TinhGia!$BF$10:$BF$81,MATCH($A501,TinhGia!$B$10:$B$81,0)),""))</f>
        <v/>
      </c>
      <c r="S501" s="1012" t="str">
        <f ca="1">IF($A501="","",IF(OR(IFERROR(SEARCH($R501,XKNVLSX!$X$1,1),0)&gt;=1,XKNVLSX!$X$1=""),$S$2,""))</f>
        <v/>
      </c>
      <c r="T501" s="1018" t="str">
        <f ca="1">IF($C501="","", IF(OR($P501=$V$1,$P501=$V$7,COUNTIFS($C$3:$C501,$C501,$E$3:$E501,$E501)&lt;=1),$P501,""    ))</f>
        <v/>
      </c>
      <c r="U501" s="1019" t="str">
        <f ca="1">IF(AND($P501=$V$2,COUNTIFS($C$3:$C501,$C501,$E$3:$E501,$E501,$G$3:$G501,$G501)&lt;=1),$P501,"")</f>
        <v/>
      </c>
    </row>
    <row r="502" spans="1:21">
      <c r="A502" s="991" t="str">
        <f ca="1">IFERROR(IF(COUNTIF($A$3:A501,A501)&lt; INDEX(TinhGia!$BH$10:$BH$81,MATCH($A501,TinhGia!$B$10:$B$81,0)),$A501,INDEX(TinhGia!$B$10:$B$81,MATCH($A501,TinhGia!$B$10:$B$81,0)+1)),"")</f>
        <v/>
      </c>
      <c r="B502" s="525" t="str">
        <f ca="1">IF(OR(A502="",A502=0),"",IF(COUNTIF($A$2:A502,$A502)=1,ROW(MauKoXoa!$C$108),$B501+1))</f>
        <v/>
      </c>
      <c r="C502" s="992" t="str">
        <f t="shared" ca="1" si="61"/>
        <v/>
      </c>
      <c r="D502" s="993" t="str">
        <f t="shared" ca="1" si="62"/>
        <v/>
      </c>
      <c r="E502" s="993" t="str">
        <f t="shared" ca="1" si="63"/>
        <v/>
      </c>
      <c r="F502" s="992" t="str">
        <f t="shared" ca="1" si="71"/>
        <v/>
      </c>
      <c r="G502" s="994">
        <f t="shared" ca="1" si="64"/>
        <v>0</v>
      </c>
      <c r="H502" s="913">
        <f t="shared" ca="1" si="65"/>
        <v>0</v>
      </c>
      <c r="I502" s="913">
        <f t="shared" ca="1" si="66"/>
        <v>0</v>
      </c>
      <c r="J502" s="995">
        <f t="shared" ca="1" si="72"/>
        <v>0</v>
      </c>
      <c r="K502" s="913">
        <f t="shared" ca="1" si="67"/>
        <v>0</v>
      </c>
      <c r="L502" s="995">
        <f t="shared" ca="1" si="73"/>
        <v>0</v>
      </c>
      <c r="M502" s="913">
        <f t="shared" ca="1" si="68"/>
        <v>0</v>
      </c>
      <c r="N502" s="996">
        <f t="shared" ca="1" si="69"/>
        <v>0</v>
      </c>
      <c r="O502" s="997">
        <f t="shared" ca="1" si="70"/>
        <v>0</v>
      </c>
      <c r="P502" s="1015" t="str">
        <f ca="1">IF($C502="","",INDEX(NVLSX!$N$2:$N$6941,MATCH($C502,NVLSX!$E$2:$E$6941,0)))</f>
        <v/>
      </c>
      <c r="Q502" s="1016" t="str">
        <f ca="1">IF($R502="","",IF(XKNVLSX!$X$1="",IF($P502=$V$7,$P502, IF(COUNTIFS($C$2:$C501,$C502,$E$2:$E501,$E502)&gt;=1,"",$P502)),     IF(AND(IFERROR(SEARCH($R502,XKNVLSX!$X$1,1),0)&gt;=1,$P502=$V$7),$P502, IF(OR($R502&lt;&gt;IF(IFERROR(SEARCH($R502,XKNVLSX!$X$1,1),0)&gt;=1,$R502,XKNVLSX!$X$1),COUNTIFS($C$2:$C501,$C502,$E$2:$E501,$E502,$Q$2:$Q501,$P502)&gt;=1),"",$P502))))</f>
        <v/>
      </c>
      <c r="R502" s="1017" t="str">
        <f ca="1">IF($A502="","",IFERROR(INDEX(TinhGia!$BF$10:$BF$81,MATCH($A502,TinhGia!$B$10:$B$81,0)),""))</f>
        <v/>
      </c>
      <c r="S502" s="1012" t="str">
        <f ca="1">IF($A502="","",IF(OR(IFERROR(SEARCH($R502,XKNVLSX!$X$1,1),0)&gt;=1,XKNVLSX!$X$1=""),$S$2,""))</f>
        <v/>
      </c>
      <c r="T502" s="1018" t="str">
        <f ca="1">IF($C502="","", IF(OR($P502=$V$1,$P502=$V$7,COUNTIFS($C$3:$C502,$C502,$E$3:$E502,$E502)&lt;=1),$P502,""    ))</f>
        <v/>
      </c>
      <c r="U502" s="1019" t="str">
        <f ca="1">IF(AND($P502=$V$2,COUNTIFS($C$3:$C502,$C502,$E$3:$E502,$E502,$G$3:$G502,$G502)&lt;=1),$P502,"")</f>
        <v/>
      </c>
    </row>
    <row r="503" spans="1:21">
      <c r="A503" s="991" t="str">
        <f ca="1">IFERROR(IF(COUNTIF($A$3:A502,A502)&lt; INDEX(TinhGia!$BH$10:$BH$81,MATCH($A502,TinhGia!$B$10:$B$81,0)),$A502,INDEX(TinhGia!$B$10:$B$81,MATCH($A502,TinhGia!$B$10:$B$81,0)+1)),"")</f>
        <v/>
      </c>
      <c r="B503" s="525" t="str">
        <f ca="1">IF(OR(A503="",A503=0),"",IF(COUNTIF($A$2:A503,$A503)=1,ROW(MauKoXoa!$C$108),$B502+1))</f>
        <v/>
      </c>
      <c r="C503" s="992" t="str">
        <f t="shared" ca="1" si="61"/>
        <v/>
      </c>
      <c r="D503" s="993" t="str">
        <f t="shared" ca="1" si="62"/>
        <v/>
      </c>
      <c r="E503" s="993" t="str">
        <f t="shared" ca="1" si="63"/>
        <v/>
      </c>
      <c r="F503" s="992" t="str">
        <f t="shared" ca="1" si="71"/>
        <v/>
      </c>
      <c r="G503" s="994">
        <f t="shared" ca="1" si="64"/>
        <v>0</v>
      </c>
      <c r="H503" s="913">
        <f t="shared" ca="1" si="65"/>
        <v>0</v>
      </c>
      <c r="I503" s="913">
        <f t="shared" ca="1" si="66"/>
        <v>0</v>
      </c>
      <c r="J503" s="995">
        <f t="shared" ca="1" si="72"/>
        <v>0</v>
      </c>
      <c r="K503" s="913">
        <f t="shared" ca="1" si="67"/>
        <v>0</v>
      </c>
      <c r="L503" s="995">
        <f t="shared" ca="1" si="73"/>
        <v>0</v>
      </c>
      <c r="M503" s="913">
        <f t="shared" ca="1" si="68"/>
        <v>0</v>
      </c>
      <c r="N503" s="996">
        <f t="shared" ca="1" si="69"/>
        <v>0</v>
      </c>
      <c r="O503" s="997">
        <f t="shared" ca="1" si="70"/>
        <v>0</v>
      </c>
      <c r="P503" s="1015" t="str">
        <f ca="1">IF($C503="","",INDEX(NVLSX!$N$2:$N$6941,MATCH($C503,NVLSX!$E$2:$E$6941,0)))</f>
        <v/>
      </c>
      <c r="Q503" s="1016" t="str">
        <f ca="1">IF($R503="","",IF(XKNVLSX!$X$1="",IF($P503=$V$7,$P503, IF(COUNTIFS($C$2:$C502,$C503,$E$2:$E502,$E503)&gt;=1,"",$P503)),     IF(AND(IFERROR(SEARCH($R503,XKNVLSX!$X$1,1),0)&gt;=1,$P503=$V$7),$P503, IF(OR($R503&lt;&gt;IF(IFERROR(SEARCH($R503,XKNVLSX!$X$1,1),0)&gt;=1,$R503,XKNVLSX!$X$1),COUNTIFS($C$2:$C502,$C503,$E$2:$E502,$E503,$Q$2:$Q502,$P503)&gt;=1),"",$P503))))</f>
        <v/>
      </c>
      <c r="R503" s="1017" t="str">
        <f ca="1">IF($A503="","",IFERROR(INDEX(TinhGia!$BF$10:$BF$81,MATCH($A503,TinhGia!$B$10:$B$81,0)),""))</f>
        <v/>
      </c>
      <c r="S503" s="1012" t="str">
        <f ca="1">IF($A503="","",IF(OR(IFERROR(SEARCH($R503,XKNVLSX!$X$1,1),0)&gt;=1,XKNVLSX!$X$1=""),$S$2,""))</f>
        <v/>
      </c>
      <c r="T503" s="1018" t="str">
        <f ca="1">IF($C503="","", IF(OR($P503=$V$1,$P503=$V$7,COUNTIFS($C$3:$C503,$C503,$E$3:$E503,$E503)&lt;=1),$P503,""    ))</f>
        <v/>
      </c>
      <c r="U503" s="1019" t="str">
        <f ca="1">IF(AND($P503=$V$2,COUNTIFS($C$3:$C503,$C503,$E$3:$E503,$E503,$G$3:$G503,$G503)&lt;=1),$P503,"")</f>
        <v/>
      </c>
    </row>
    <row r="504" spans="1:21">
      <c r="A504" s="991" t="str">
        <f ca="1">IFERROR(IF(COUNTIF($A$3:A503,A503)&lt; INDEX(TinhGia!$BH$10:$BH$81,MATCH($A503,TinhGia!$B$10:$B$81,0)),$A503,INDEX(TinhGia!$B$10:$B$81,MATCH($A503,TinhGia!$B$10:$B$81,0)+1)),"")</f>
        <v/>
      </c>
      <c r="B504" s="525" t="str">
        <f ca="1">IF(OR(A504="",A504=0),"",IF(COUNTIF($A$2:A504,$A504)=1,ROW(MauKoXoa!$C$108),$B503+1))</f>
        <v/>
      </c>
      <c r="C504" s="992" t="str">
        <f t="shared" ca="1" si="61"/>
        <v/>
      </c>
      <c r="D504" s="993" t="str">
        <f t="shared" ca="1" si="62"/>
        <v/>
      </c>
      <c r="E504" s="993" t="str">
        <f t="shared" ca="1" si="63"/>
        <v/>
      </c>
      <c r="F504" s="992" t="str">
        <f t="shared" ca="1" si="71"/>
        <v/>
      </c>
      <c r="G504" s="994">
        <f t="shared" ca="1" si="64"/>
        <v>0</v>
      </c>
      <c r="H504" s="913">
        <f t="shared" ca="1" si="65"/>
        <v>0</v>
      </c>
      <c r="I504" s="913">
        <f t="shared" ca="1" si="66"/>
        <v>0</v>
      </c>
      <c r="J504" s="995">
        <f t="shared" ca="1" si="72"/>
        <v>0</v>
      </c>
      <c r="K504" s="913">
        <f t="shared" ca="1" si="67"/>
        <v>0</v>
      </c>
      <c r="L504" s="995">
        <f t="shared" ca="1" si="73"/>
        <v>0</v>
      </c>
      <c r="M504" s="913">
        <f t="shared" ca="1" si="68"/>
        <v>0</v>
      </c>
      <c r="N504" s="996">
        <f t="shared" ca="1" si="69"/>
        <v>0</v>
      </c>
      <c r="O504" s="997">
        <f t="shared" ca="1" si="70"/>
        <v>0</v>
      </c>
      <c r="P504" s="1015" t="str">
        <f ca="1">IF($C504="","",INDEX(NVLSX!$N$2:$N$6941,MATCH($C504,NVLSX!$E$2:$E$6941,0)))</f>
        <v/>
      </c>
      <c r="Q504" s="1016" t="str">
        <f ca="1">IF($R504="","",IF(XKNVLSX!$X$1="",IF($P504=$V$7,$P504, IF(COUNTIFS($C$2:$C503,$C504,$E$2:$E503,$E504)&gt;=1,"",$P504)),     IF(AND(IFERROR(SEARCH($R504,XKNVLSX!$X$1,1),0)&gt;=1,$P504=$V$7),$P504, IF(OR($R504&lt;&gt;IF(IFERROR(SEARCH($R504,XKNVLSX!$X$1,1),0)&gt;=1,$R504,XKNVLSX!$X$1),COUNTIFS($C$2:$C503,$C504,$E$2:$E503,$E504,$Q$2:$Q503,$P504)&gt;=1),"",$P504))))</f>
        <v/>
      </c>
      <c r="R504" s="1017" t="str">
        <f ca="1">IF($A504="","",IFERROR(INDEX(TinhGia!$BF$10:$BF$81,MATCH($A504,TinhGia!$B$10:$B$81,0)),""))</f>
        <v/>
      </c>
      <c r="S504" s="1012" t="str">
        <f ca="1">IF($A504="","",IF(OR(IFERROR(SEARCH($R504,XKNVLSX!$X$1,1),0)&gt;=1,XKNVLSX!$X$1=""),$S$2,""))</f>
        <v/>
      </c>
      <c r="T504" s="1018" t="str">
        <f ca="1">IF($C504="","", IF(OR($P504=$V$1,$P504=$V$7,COUNTIFS($C$3:$C504,$C504,$E$3:$E504,$E504)&lt;=1),$P504,""    ))</f>
        <v/>
      </c>
      <c r="U504" s="1019" t="str">
        <f ca="1">IF(AND($P504=$V$2,COUNTIFS($C$3:$C504,$C504,$E$3:$E504,$E504,$G$3:$G504,$G504)&lt;=1),$P504,"")</f>
        <v/>
      </c>
    </row>
    <row r="505" spans="1:21">
      <c r="A505" s="991" t="str">
        <f ca="1">IFERROR(IF(COUNTIF($A$3:A504,A504)&lt; INDEX(TinhGia!$BH$10:$BH$81,MATCH($A504,TinhGia!$B$10:$B$81,0)),$A504,INDEX(TinhGia!$B$10:$B$81,MATCH($A504,TinhGia!$B$10:$B$81,0)+1)),"")</f>
        <v/>
      </c>
      <c r="B505" s="525" t="str">
        <f ca="1">IF(OR(A505="",A505=0),"",IF(COUNTIF($A$2:A505,$A505)=1,ROW(MauKoXoa!$C$108),$B504+1))</f>
        <v/>
      </c>
      <c r="C505" s="992" t="str">
        <f t="shared" ca="1" si="61"/>
        <v/>
      </c>
      <c r="D505" s="993" t="str">
        <f t="shared" ca="1" si="62"/>
        <v/>
      </c>
      <c r="E505" s="993" t="str">
        <f t="shared" ca="1" si="63"/>
        <v/>
      </c>
      <c r="F505" s="992" t="str">
        <f t="shared" ca="1" si="71"/>
        <v/>
      </c>
      <c r="G505" s="994">
        <f t="shared" ca="1" si="64"/>
        <v>0</v>
      </c>
      <c r="H505" s="913">
        <f t="shared" ca="1" si="65"/>
        <v>0</v>
      </c>
      <c r="I505" s="913">
        <f t="shared" ca="1" si="66"/>
        <v>0</v>
      </c>
      <c r="J505" s="995">
        <f t="shared" ca="1" si="72"/>
        <v>0</v>
      </c>
      <c r="K505" s="913">
        <f t="shared" ca="1" si="67"/>
        <v>0</v>
      </c>
      <c r="L505" s="995">
        <f t="shared" ca="1" si="73"/>
        <v>0</v>
      </c>
      <c r="M505" s="913">
        <f t="shared" ca="1" si="68"/>
        <v>0</v>
      </c>
      <c r="N505" s="996">
        <f t="shared" ca="1" si="69"/>
        <v>0</v>
      </c>
      <c r="O505" s="997">
        <f t="shared" ca="1" si="70"/>
        <v>0</v>
      </c>
      <c r="P505" s="1015" t="str">
        <f ca="1">IF($C505="","",INDEX(NVLSX!$N$2:$N$6941,MATCH($C505,NVLSX!$E$2:$E$6941,0)))</f>
        <v/>
      </c>
      <c r="Q505" s="1016" t="str">
        <f ca="1">IF($R505="","",IF(XKNVLSX!$X$1="",IF($P505=$V$7,$P505, IF(COUNTIFS($C$2:$C504,$C505,$E$2:$E504,$E505)&gt;=1,"",$P505)),     IF(AND(IFERROR(SEARCH($R505,XKNVLSX!$X$1,1),0)&gt;=1,$P505=$V$7),$P505, IF(OR($R505&lt;&gt;IF(IFERROR(SEARCH($R505,XKNVLSX!$X$1,1),0)&gt;=1,$R505,XKNVLSX!$X$1),COUNTIFS($C$2:$C504,$C505,$E$2:$E504,$E505,$Q$2:$Q504,$P505)&gt;=1),"",$P505))))</f>
        <v/>
      </c>
      <c r="R505" s="1017" t="str">
        <f ca="1">IF($A505="","",IFERROR(INDEX(TinhGia!$BF$10:$BF$81,MATCH($A505,TinhGia!$B$10:$B$81,0)),""))</f>
        <v/>
      </c>
      <c r="S505" s="1012" t="str">
        <f ca="1">IF($A505="","",IF(OR(IFERROR(SEARCH($R505,XKNVLSX!$X$1,1),0)&gt;=1,XKNVLSX!$X$1=""),$S$2,""))</f>
        <v/>
      </c>
      <c r="T505" s="1018" t="str">
        <f ca="1">IF($C505="","", IF(OR($P505=$V$1,$P505=$V$7,COUNTIFS($C$3:$C505,$C505,$E$3:$E505,$E505)&lt;=1),$P505,""    ))</f>
        <v/>
      </c>
      <c r="U505" s="1019" t="str">
        <f ca="1">IF(AND($P505=$V$2,COUNTIFS($C$3:$C505,$C505,$E$3:$E505,$E505,$G$3:$G505,$G505)&lt;=1),$P505,"")</f>
        <v/>
      </c>
    </row>
    <row r="506" spans="1:21">
      <c r="A506" s="991" t="str">
        <f ca="1">IFERROR(IF(COUNTIF($A$3:A505,A505)&lt; INDEX(TinhGia!$BH$10:$BH$81,MATCH($A505,TinhGia!$B$10:$B$81,0)),$A505,INDEX(TinhGia!$B$10:$B$81,MATCH($A505,TinhGia!$B$10:$B$81,0)+1)),"")</f>
        <v/>
      </c>
      <c r="B506" s="525" t="str">
        <f ca="1">IF(OR(A506="",A506=0),"",IF(COUNTIF($A$2:A506,$A506)=1,ROW(MauKoXoa!$C$108),$B505+1))</f>
        <v/>
      </c>
      <c r="C506" s="992" t="str">
        <f t="shared" ca="1" si="61"/>
        <v/>
      </c>
      <c r="D506" s="993" t="str">
        <f t="shared" ca="1" si="62"/>
        <v/>
      </c>
      <c r="E506" s="993" t="str">
        <f t="shared" ca="1" si="63"/>
        <v/>
      </c>
      <c r="F506" s="992" t="str">
        <f t="shared" ca="1" si="71"/>
        <v/>
      </c>
      <c r="G506" s="994">
        <f t="shared" ca="1" si="64"/>
        <v>0</v>
      </c>
      <c r="H506" s="913">
        <f t="shared" ca="1" si="65"/>
        <v>0</v>
      </c>
      <c r="I506" s="913">
        <f t="shared" ca="1" si="66"/>
        <v>0</v>
      </c>
      <c r="J506" s="995">
        <f t="shared" ca="1" si="72"/>
        <v>0</v>
      </c>
      <c r="K506" s="913">
        <f t="shared" ca="1" si="67"/>
        <v>0</v>
      </c>
      <c r="L506" s="995">
        <f t="shared" ca="1" si="73"/>
        <v>0</v>
      </c>
      <c r="M506" s="913">
        <f t="shared" ca="1" si="68"/>
        <v>0</v>
      </c>
      <c r="N506" s="996">
        <f t="shared" ca="1" si="69"/>
        <v>0</v>
      </c>
      <c r="O506" s="997">
        <f t="shared" ca="1" si="70"/>
        <v>0</v>
      </c>
      <c r="P506" s="1015" t="str">
        <f ca="1">IF($C506="","",INDEX(NVLSX!$N$2:$N$6941,MATCH($C506,NVLSX!$E$2:$E$6941,0)))</f>
        <v/>
      </c>
      <c r="Q506" s="1016" t="str">
        <f ca="1">IF($R506="","",IF(XKNVLSX!$X$1="",IF($P506=$V$7,$P506, IF(COUNTIFS($C$2:$C505,$C506,$E$2:$E505,$E506)&gt;=1,"",$P506)),     IF(AND(IFERROR(SEARCH($R506,XKNVLSX!$X$1,1),0)&gt;=1,$P506=$V$7),$P506, IF(OR($R506&lt;&gt;IF(IFERROR(SEARCH($R506,XKNVLSX!$X$1,1),0)&gt;=1,$R506,XKNVLSX!$X$1),COUNTIFS($C$2:$C505,$C506,$E$2:$E505,$E506,$Q$2:$Q505,$P506)&gt;=1),"",$P506))))</f>
        <v/>
      </c>
      <c r="R506" s="1017" t="str">
        <f ca="1">IF($A506="","",IFERROR(INDEX(TinhGia!$BF$10:$BF$81,MATCH($A506,TinhGia!$B$10:$B$81,0)),""))</f>
        <v/>
      </c>
      <c r="S506" s="1012" t="str">
        <f ca="1">IF($A506="","",IF(OR(IFERROR(SEARCH($R506,XKNVLSX!$X$1,1),0)&gt;=1,XKNVLSX!$X$1=""),$S$2,""))</f>
        <v/>
      </c>
      <c r="T506" s="1018" t="str">
        <f ca="1">IF($C506="","", IF(OR($P506=$V$1,$P506=$V$7,COUNTIFS($C$3:$C506,$C506,$E$3:$E506,$E506)&lt;=1),$P506,""    ))</f>
        <v/>
      </c>
      <c r="U506" s="1019" t="str">
        <f ca="1">IF(AND($P506=$V$2,COUNTIFS($C$3:$C506,$C506,$E$3:$E506,$E506,$G$3:$G506,$G506)&lt;=1),$P506,"")</f>
        <v/>
      </c>
    </row>
    <row r="507" spans="1:21">
      <c r="A507" s="991" t="str">
        <f ca="1">IFERROR(IF(COUNTIF($A$3:A506,A506)&lt; INDEX(TinhGia!$BH$10:$BH$81,MATCH($A506,TinhGia!$B$10:$B$81,0)),$A506,INDEX(TinhGia!$B$10:$B$81,MATCH($A506,TinhGia!$B$10:$B$81,0)+1)),"")</f>
        <v/>
      </c>
      <c r="B507" s="525" t="str">
        <f ca="1">IF(OR(A507="",A507=0),"",IF(COUNTIF($A$2:A507,$A507)=1,ROW(MauKoXoa!$C$108),$B506+1))</f>
        <v/>
      </c>
      <c r="C507" s="992" t="str">
        <f t="shared" ca="1" si="61"/>
        <v/>
      </c>
      <c r="D507" s="993" t="str">
        <f t="shared" ca="1" si="62"/>
        <v/>
      </c>
      <c r="E507" s="993" t="str">
        <f t="shared" ca="1" si="63"/>
        <v/>
      </c>
      <c r="F507" s="992" t="str">
        <f t="shared" ca="1" si="71"/>
        <v/>
      </c>
      <c r="G507" s="994">
        <f t="shared" ca="1" si="64"/>
        <v>0</v>
      </c>
      <c r="H507" s="913">
        <f t="shared" ca="1" si="65"/>
        <v>0</v>
      </c>
      <c r="I507" s="913">
        <f t="shared" ca="1" si="66"/>
        <v>0</v>
      </c>
      <c r="J507" s="995">
        <f t="shared" ca="1" si="72"/>
        <v>0</v>
      </c>
      <c r="K507" s="913">
        <f t="shared" ca="1" si="67"/>
        <v>0</v>
      </c>
      <c r="L507" s="995">
        <f t="shared" ca="1" si="73"/>
        <v>0</v>
      </c>
      <c r="M507" s="913">
        <f t="shared" ca="1" si="68"/>
        <v>0</v>
      </c>
      <c r="N507" s="996">
        <f t="shared" ca="1" si="69"/>
        <v>0</v>
      </c>
      <c r="O507" s="997">
        <f t="shared" ca="1" si="70"/>
        <v>0</v>
      </c>
      <c r="P507" s="1015" t="str">
        <f ca="1">IF($C507="","",INDEX(NVLSX!$N$2:$N$6941,MATCH($C507,NVLSX!$E$2:$E$6941,0)))</f>
        <v/>
      </c>
      <c r="Q507" s="1016" t="str">
        <f ca="1">IF($R507="","",IF(XKNVLSX!$X$1="",IF($P507=$V$7,$P507, IF(COUNTIFS($C$2:$C506,$C507,$E$2:$E506,$E507)&gt;=1,"",$P507)),     IF(AND(IFERROR(SEARCH($R507,XKNVLSX!$X$1,1),0)&gt;=1,$P507=$V$7),$P507, IF(OR($R507&lt;&gt;IF(IFERROR(SEARCH($R507,XKNVLSX!$X$1,1),0)&gt;=1,$R507,XKNVLSX!$X$1),COUNTIFS($C$2:$C506,$C507,$E$2:$E506,$E507,$Q$2:$Q506,$P507)&gt;=1),"",$P507))))</f>
        <v/>
      </c>
      <c r="R507" s="1017" t="str">
        <f ca="1">IF($A507="","",IFERROR(INDEX(TinhGia!$BF$10:$BF$81,MATCH($A507,TinhGia!$B$10:$B$81,0)),""))</f>
        <v/>
      </c>
      <c r="S507" s="1012" t="str">
        <f ca="1">IF($A507="","",IF(OR(IFERROR(SEARCH($R507,XKNVLSX!$X$1,1),0)&gt;=1,XKNVLSX!$X$1=""),$S$2,""))</f>
        <v/>
      </c>
      <c r="T507" s="1018" t="str">
        <f ca="1">IF($C507="","", IF(OR($P507=$V$1,$P507=$V$7,COUNTIFS($C$3:$C507,$C507,$E$3:$E507,$E507)&lt;=1),$P507,""    ))</f>
        <v/>
      </c>
      <c r="U507" s="1019" t="str">
        <f ca="1">IF(AND($P507=$V$2,COUNTIFS($C$3:$C507,$C507,$E$3:$E507,$E507,$G$3:$G507,$G507)&lt;=1),$P507,"")</f>
        <v/>
      </c>
    </row>
    <row r="508" spans="1:21">
      <c r="A508" s="991" t="str">
        <f ca="1">IFERROR(IF(COUNTIF($A$3:A507,A507)&lt; INDEX(TinhGia!$BH$10:$BH$81,MATCH($A507,TinhGia!$B$10:$B$81,0)),$A507,INDEX(TinhGia!$B$10:$B$81,MATCH($A507,TinhGia!$B$10:$B$81,0)+1)),"")</f>
        <v/>
      </c>
      <c r="B508" s="525" t="str">
        <f ca="1">IF(OR(A508="",A508=0),"",IF(COUNTIF($A$2:A508,$A508)=1,ROW(MauKoXoa!$C$108),$B507+1))</f>
        <v/>
      </c>
      <c r="C508" s="992" t="str">
        <f t="shared" ca="1" si="61"/>
        <v/>
      </c>
      <c r="D508" s="993" t="str">
        <f t="shared" ca="1" si="62"/>
        <v/>
      </c>
      <c r="E508" s="993" t="str">
        <f t="shared" ca="1" si="63"/>
        <v/>
      </c>
      <c r="F508" s="992" t="str">
        <f t="shared" ca="1" si="71"/>
        <v/>
      </c>
      <c r="G508" s="994">
        <f t="shared" ca="1" si="64"/>
        <v>0</v>
      </c>
      <c r="H508" s="913">
        <f t="shared" ca="1" si="65"/>
        <v>0</v>
      </c>
      <c r="I508" s="913">
        <f t="shared" ca="1" si="66"/>
        <v>0</v>
      </c>
      <c r="J508" s="995">
        <f t="shared" ca="1" si="72"/>
        <v>0</v>
      </c>
      <c r="K508" s="913">
        <f t="shared" ca="1" si="67"/>
        <v>0</v>
      </c>
      <c r="L508" s="995">
        <f t="shared" ca="1" si="73"/>
        <v>0</v>
      </c>
      <c r="M508" s="913">
        <f t="shared" ca="1" si="68"/>
        <v>0</v>
      </c>
      <c r="N508" s="996">
        <f t="shared" ca="1" si="69"/>
        <v>0</v>
      </c>
      <c r="O508" s="997">
        <f t="shared" ca="1" si="70"/>
        <v>0</v>
      </c>
      <c r="P508" s="1015" t="str">
        <f ca="1">IF($C508="","",INDEX(NVLSX!$N$2:$N$6941,MATCH($C508,NVLSX!$E$2:$E$6941,0)))</f>
        <v/>
      </c>
      <c r="Q508" s="1016" t="str">
        <f ca="1">IF($R508="","",IF(XKNVLSX!$X$1="",IF($P508=$V$7,$P508, IF(COUNTIFS($C$2:$C507,$C508,$E$2:$E507,$E508)&gt;=1,"",$P508)),     IF(AND(IFERROR(SEARCH($R508,XKNVLSX!$X$1,1),0)&gt;=1,$P508=$V$7),$P508, IF(OR($R508&lt;&gt;IF(IFERROR(SEARCH($R508,XKNVLSX!$X$1,1),0)&gt;=1,$R508,XKNVLSX!$X$1),COUNTIFS($C$2:$C507,$C508,$E$2:$E507,$E508,$Q$2:$Q507,$P508)&gt;=1),"",$P508))))</f>
        <v/>
      </c>
      <c r="R508" s="1017" t="str">
        <f ca="1">IF($A508="","",IFERROR(INDEX(TinhGia!$BF$10:$BF$81,MATCH($A508,TinhGia!$B$10:$B$81,0)),""))</f>
        <v/>
      </c>
      <c r="S508" s="1012" t="str">
        <f ca="1">IF($A508="","",IF(OR(IFERROR(SEARCH($R508,XKNVLSX!$X$1,1),0)&gt;=1,XKNVLSX!$X$1=""),$S$2,""))</f>
        <v/>
      </c>
      <c r="T508" s="1018" t="str">
        <f ca="1">IF($C508="","", IF(OR($P508=$V$1,$P508=$V$7,COUNTIFS($C$3:$C508,$C508,$E$3:$E508,$E508)&lt;=1),$P508,""    ))</f>
        <v/>
      </c>
      <c r="U508" s="1019" t="str">
        <f ca="1">IF(AND($P508=$V$2,COUNTIFS($C$3:$C508,$C508,$E$3:$E508,$E508,$G$3:$G508,$G508)&lt;=1),$P508,"")</f>
        <v/>
      </c>
    </row>
    <row r="509" spans="1:21">
      <c r="A509" s="991" t="str">
        <f ca="1">IFERROR(IF(COUNTIF($A$3:A508,A508)&lt; INDEX(TinhGia!$BH$10:$BH$81,MATCH($A508,TinhGia!$B$10:$B$81,0)),$A508,INDEX(TinhGia!$B$10:$B$81,MATCH($A508,TinhGia!$B$10:$B$81,0)+1)),"")</f>
        <v/>
      </c>
      <c r="B509" s="525" t="str">
        <f ca="1">IF(OR(A509="",A509=0),"",IF(COUNTIF($A$2:A509,$A509)=1,ROW(MauKoXoa!$C$108),$B508+1))</f>
        <v/>
      </c>
      <c r="C509" s="992" t="str">
        <f t="shared" ca="1" si="61"/>
        <v/>
      </c>
      <c r="D509" s="993" t="str">
        <f t="shared" ca="1" si="62"/>
        <v/>
      </c>
      <c r="E509" s="993" t="str">
        <f t="shared" ca="1" si="63"/>
        <v/>
      </c>
      <c r="F509" s="992" t="str">
        <f t="shared" ca="1" si="71"/>
        <v/>
      </c>
      <c r="G509" s="994">
        <f t="shared" ca="1" si="64"/>
        <v>0</v>
      </c>
      <c r="H509" s="913">
        <f t="shared" ca="1" si="65"/>
        <v>0</v>
      </c>
      <c r="I509" s="913">
        <f t="shared" ca="1" si="66"/>
        <v>0</v>
      </c>
      <c r="J509" s="995">
        <f t="shared" ca="1" si="72"/>
        <v>0</v>
      </c>
      <c r="K509" s="913">
        <f t="shared" ca="1" si="67"/>
        <v>0</v>
      </c>
      <c r="L509" s="995">
        <f t="shared" ca="1" si="73"/>
        <v>0</v>
      </c>
      <c r="M509" s="913">
        <f t="shared" ca="1" si="68"/>
        <v>0</v>
      </c>
      <c r="N509" s="996">
        <f t="shared" ca="1" si="69"/>
        <v>0</v>
      </c>
      <c r="O509" s="997">
        <f t="shared" ca="1" si="70"/>
        <v>0</v>
      </c>
      <c r="P509" s="1015" t="str">
        <f ca="1">IF($C509="","",INDEX(NVLSX!$N$2:$N$6941,MATCH($C509,NVLSX!$E$2:$E$6941,0)))</f>
        <v/>
      </c>
      <c r="Q509" s="1016" t="str">
        <f ca="1">IF($R509="","",IF(XKNVLSX!$X$1="",IF($P509=$V$7,$P509, IF(COUNTIFS($C$2:$C508,$C509,$E$2:$E508,$E509)&gt;=1,"",$P509)),     IF(AND(IFERROR(SEARCH($R509,XKNVLSX!$X$1,1),0)&gt;=1,$P509=$V$7),$P509, IF(OR($R509&lt;&gt;IF(IFERROR(SEARCH($R509,XKNVLSX!$X$1,1),0)&gt;=1,$R509,XKNVLSX!$X$1),COUNTIFS($C$2:$C508,$C509,$E$2:$E508,$E509,$Q$2:$Q508,$P509)&gt;=1),"",$P509))))</f>
        <v/>
      </c>
      <c r="R509" s="1017" t="str">
        <f ca="1">IF($A509="","",IFERROR(INDEX(TinhGia!$BF$10:$BF$81,MATCH($A509,TinhGia!$B$10:$B$81,0)),""))</f>
        <v/>
      </c>
      <c r="S509" s="1012" t="str">
        <f ca="1">IF($A509="","",IF(OR(IFERROR(SEARCH($R509,XKNVLSX!$X$1,1),0)&gt;=1,XKNVLSX!$X$1=""),$S$2,""))</f>
        <v/>
      </c>
      <c r="T509" s="1018" t="str">
        <f ca="1">IF($C509="","", IF(OR($P509=$V$1,$P509=$V$7,COUNTIFS($C$3:$C509,$C509,$E$3:$E509,$E509)&lt;=1),$P509,""    ))</f>
        <v/>
      </c>
      <c r="U509" s="1019" t="str">
        <f ca="1">IF(AND($P509=$V$2,COUNTIFS($C$3:$C509,$C509,$E$3:$E509,$E509,$G$3:$G509,$G509)&lt;=1),$P509,"")</f>
        <v/>
      </c>
    </row>
    <row r="510" spans="1:21">
      <c r="A510" s="991" t="str">
        <f ca="1">IFERROR(IF(COUNTIF($A$3:A509,A509)&lt; INDEX(TinhGia!$BH$10:$BH$81,MATCH($A509,TinhGia!$B$10:$B$81,0)),$A509,INDEX(TinhGia!$B$10:$B$81,MATCH($A509,TinhGia!$B$10:$B$81,0)+1)),"")</f>
        <v/>
      </c>
      <c r="B510" s="525" t="str">
        <f ca="1">IF(OR(A510="",A510=0),"",IF(COUNTIF($A$2:A510,$A510)=1,ROW(MauKoXoa!$C$108),$B509+1))</f>
        <v/>
      </c>
      <c r="C510" s="992" t="str">
        <f t="shared" ca="1" si="61"/>
        <v/>
      </c>
      <c r="D510" s="993" t="str">
        <f t="shared" ca="1" si="62"/>
        <v/>
      </c>
      <c r="E510" s="993" t="str">
        <f t="shared" ca="1" si="63"/>
        <v/>
      </c>
      <c r="F510" s="992" t="str">
        <f t="shared" ca="1" si="71"/>
        <v/>
      </c>
      <c r="G510" s="994">
        <f t="shared" ca="1" si="64"/>
        <v>0</v>
      </c>
      <c r="H510" s="913">
        <f t="shared" ca="1" si="65"/>
        <v>0</v>
      </c>
      <c r="I510" s="913">
        <f t="shared" ca="1" si="66"/>
        <v>0</v>
      </c>
      <c r="J510" s="995">
        <f t="shared" ca="1" si="72"/>
        <v>0</v>
      </c>
      <c r="K510" s="913">
        <f t="shared" ca="1" si="67"/>
        <v>0</v>
      </c>
      <c r="L510" s="995">
        <f t="shared" ca="1" si="73"/>
        <v>0</v>
      </c>
      <c r="M510" s="913">
        <f t="shared" ca="1" si="68"/>
        <v>0</v>
      </c>
      <c r="N510" s="996">
        <f t="shared" ca="1" si="69"/>
        <v>0</v>
      </c>
      <c r="O510" s="997">
        <f t="shared" ca="1" si="70"/>
        <v>0</v>
      </c>
      <c r="P510" s="1015" t="str">
        <f ca="1">IF($C510="","",INDEX(NVLSX!$N$2:$N$6941,MATCH($C510,NVLSX!$E$2:$E$6941,0)))</f>
        <v/>
      </c>
      <c r="Q510" s="1016" t="str">
        <f ca="1">IF($R510="","",IF(XKNVLSX!$X$1="",IF($P510=$V$7,$P510, IF(COUNTIFS($C$2:$C509,$C510,$E$2:$E509,$E510)&gt;=1,"",$P510)),     IF(AND(IFERROR(SEARCH($R510,XKNVLSX!$X$1,1),0)&gt;=1,$P510=$V$7),$P510, IF(OR($R510&lt;&gt;IF(IFERROR(SEARCH($R510,XKNVLSX!$X$1,1),0)&gt;=1,$R510,XKNVLSX!$X$1),COUNTIFS($C$2:$C509,$C510,$E$2:$E509,$E510,$Q$2:$Q509,$P510)&gt;=1),"",$P510))))</f>
        <v/>
      </c>
      <c r="R510" s="1017" t="str">
        <f ca="1">IF($A510="","",IFERROR(INDEX(TinhGia!$BF$10:$BF$81,MATCH($A510,TinhGia!$B$10:$B$81,0)),""))</f>
        <v/>
      </c>
      <c r="S510" s="1012" t="str">
        <f ca="1">IF($A510="","",IF(OR(IFERROR(SEARCH($R510,XKNVLSX!$X$1,1),0)&gt;=1,XKNVLSX!$X$1=""),$S$2,""))</f>
        <v/>
      </c>
      <c r="T510" s="1018" t="str">
        <f ca="1">IF($C510="","", IF(OR($P510=$V$1,$P510=$V$7,COUNTIFS($C$3:$C510,$C510,$E$3:$E510,$E510)&lt;=1),$P510,""    ))</f>
        <v/>
      </c>
      <c r="U510" s="1019" t="str">
        <f ca="1">IF(AND($P510=$V$2,COUNTIFS($C$3:$C510,$C510,$E$3:$E510,$E510,$G$3:$G510,$G510)&lt;=1),$P510,"")</f>
        <v/>
      </c>
    </row>
    <row r="511" spans="1:21">
      <c r="A511" s="991" t="str">
        <f ca="1">IFERROR(IF(COUNTIF($A$3:A510,A510)&lt; INDEX(TinhGia!$BH$10:$BH$81,MATCH($A510,TinhGia!$B$10:$B$81,0)),$A510,INDEX(TinhGia!$B$10:$B$81,MATCH($A510,TinhGia!$B$10:$B$81,0)+1)),"")</f>
        <v/>
      </c>
      <c r="B511" s="525" t="str">
        <f ca="1">IF(OR(A511="",A511=0),"",IF(COUNTIF($A$2:A511,$A511)=1,ROW(MauKoXoa!$C$108),$B510+1))</f>
        <v/>
      </c>
      <c r="C511" s="992" t="str">
        <f t="shared" ca="1" si="61"/>
        <v/>
      </c>
      <c r="D511" s="993" t="str">
        <f t="shared" ca="1" si="62"/>
        <v/>
      </c>
      <c r="E511" s="993" t="str">
        <f t="shared" ca="1" si="63"/>
        <v/>
      </c>
      <c r="F511" s="992" t="str">
        <f t="shared" ca="1" si="71"/>
        <v/>
      </c>
      <c r="G511" s="994">
        <f t="shared" ca="1" si="64"/>
        <v>0</v>
      </c>
      <c r="H511" s="913">
        <f t="shared" ca="1" si="65"/>
        <v>0</v>
      </c>
      <c r="I511" s="913">
        <f t="shared" ca="1" si="66"/>
        <v>0</v>
      </c>
      <c r="J511" s="995">
        <f t="shared" ca="1" si="72"/>
        <v>0</v>
      </c>
      <c r="K511" s="913">
        <f t="shared" ca="1" si="67"/>
        <v>0</v>
      </c>
      <c r="L511" s="995">
        <f t="shared" ca="1" si="73"/>
        <v>0</v>
      </c>
      <c r="M511" s="913">
        <f t="shared" ca="1" si="68"/>
        <v>0</v>
      </c>
      <c r="N511" s="996">
        <f t="shared" ca="1" si="69"/>
        <v>0</v>
      </c>
      <c r="O511" s="997">
        <f t="shared" ca="1" si="70"/>
        <v>0</v>
      </c>
      <c r="P511" s="1015" t="str">
        <f ca="1">IF($C511="","",INDEX(NVLSX!$N$2:$N$6941,MATCH($C511,NVLSX!$E$2:$E$6941,0)))</f>
        <v/>
      </c>
      <c r="Q511" s="1016" t="str">
        <f ca="1">IF($R511="","",IF(XKNVLSX!$X$1="",IF($P511=$V$7,$P511, IF(COUNTIFS($C$2:$C510,$C511,$E$2:$E510,$E511)&gt;=1,"",$P511)),     IF(AND(IFERROR(SEARCH($R511,XKNVLSX!$X$1,1),0)&gt;=1,$P511=$V$7),$P511, IF(OR($R511&lt;&gt;IF(IFERROR(SEARCH($R511,XKNVLSX!$X$1,1),0)&gt;=1,$R511,XKNVLSX!$X$1),COUNTIFS($C$2:$C510,$C511,$E$2:$E510,$E511,$Q$2:$Q510,$P511)&gt;=1),"",$P511))))</f>
        <v/>
      </c>
      <c r="R511" s="1017" t="str">
        <f ca="1">IF($A511="","",IFERROR(INDEX(TinhGia!$BF$10:$BF$81,MATCH($A511,TinhGia!$B$10:$B$81,0)),""))</f>
        <v/>
      </c>
      <c r="S511" s="1012" t="str">
        <f ca="1">IF($A511="","",IF(OR(IFERROR(SEARCH($R511,XKNVLSX!$X$1,1),0)&gt;=1,XKNVLSX!$X$1=""),$S$2,""))</f>
        <v/>
      </c>
      <c r="T511" s="1018" t="str">
        <f ca="1">IF($C511="","", IF(OR($P511=$V$1,$P511=$V$7,COUNTIFS($C$3:$C511,$C511,$E$3:$E511,$E511)&lt;=1),$P511,""    ))</f>
        <v/>
      </c>
      <c r="U511" s="1019" t="str">
        <f ca="1">IF(AND($P511=$V$2,COUNTIFS($C$3:$C511,$C511,$E$3:$E511,$E511,$G$3:$G511,$G511)&lt;=1),$P511,"")</f>
        <v/>
      </c>
    </row>
    <row r="512" spans="1:21">
      <c r="A512" s="991" t="str">
        <f ca="1">IFERROR(IF(COUNTIF($A$3:A511,A511)&lt; INDEX(TinhGia!$BH$10:$BH$81,MATCH($A511,TinhGia!$B$10:$B$81,0)),$A511,INDEX(TinhGia!$B$10:$B$81,MATCH($A511,TinhGia!$B$10:$B$81,0)+1)),"")</f>
        <v/>
      </c>
      <c r="B512" s="525" t="str">
        <f ca="1">IF(OR(A512="",A512=0),"",IF(COUNTIF($A$2:A512,$A512)=1,ROW(MauKoXoa!$C$108),$B511+1))</f>
        <v/>
      </c>
      <c r="C512" s="992" t="str">
        <f t="shared" ca="1" si="61"/>
        <v/>
      </c>
      <c r="D512" s="993" t="str">
        <f t="shared" ca="1" si="62"/>
        <v/>
      </c>
      <c r="E512" s="993" t="str">
        <f t="shared" ca="1" si="63"/>
        <v/>
      </c>
      <c r="F512" s="992" t="str">
        <f t="shared" ca="1" si="71"/>
        <v/>
      </c>
      <c r="G512" s="994">
        <f t="shared" ca="1" si="64"/>
        <v>0</v>
      </c>
      <c r="H512" s="913">
        <f t="shared" ca="1" si="65"/>
        <v>0</v>
      </c>
      <c r="I512" s="913">
        <f t="shared" ca="1" si="66"/>
        <v>0</v>
      </c>
      <c r="J512" s="995">
        <f t="shared" ca="1" si="72"/>
        <v>0</v>
      </c>
      <c r="K512" s="913">
        <f t="shared" ca="1" si="67"/>
        <v>0</v>
      </c>
      <c r="L512" s="995">
        <f t="shared" ca="1" si="73"/>
        <v>0</v>
      </c>
      <c r="M512" s="913">
        <f t="shared" ca="1" si="68"/>
        <v>0</v>
      </c>
      <c r="N512" s="996">
        <f t="shared" ca="1" si="69"/>
        <v>0</v>
      </c>
      <c r="O512" s="997">
        <f t="shared" ca="1" si="70"/>
        <v>0</v>
      </c>
      <c r="P512" s="1015" t="str">
        <f ca="1">IF($C512="","",INDEX(NVLSX!$N$2:$N$6941,MATCH($C512,NVLSX!$E$2:$E$6941,0)))</f>
        <v/>
      </c>
      <c r="Q512" s="1016" t="str">
        <f ca="1">IF($R512="","",IF(XKNVLSX!$X$1="",IF($P512=$V$7,$P512, IF(COUNTIFS($C$2:$C511,$C512,$E$2:$E511,$E512)&gt;=1,"",$P512)),     IF(AND(IFERROR(SEARCH($R512,XKNVLSX!$X$1,1),0)&gt;=1,$P512=$V$7),$P512, IF(OR($R512&lt;&gt;IF(IFERROR(SEARCH($R512,XKNVLSX!$X$1,1),0)&gt;=1,$R512,XKNVLSX!$X$1),COUNTIFS($C$2:$C511,$C512,$E$2:$E511,$E512,$Q$2:$Q511,$P512)&gt;=1),"",$P512))))</f>
        <v/>
      </c>
      <c r="R512" s="1017" t="str">
        <f ca="1">IF($A512="","",IFERROR(INDEX(TinhGia!$BF$10:$BF$81,MATCH($A512,TinhGia!$B$10:$B$81,0)),""))</f>
        <v/>
      </c>
      <c r="S512" s="1012" t="str">
        <f ca="1">IF($A512="","",IF(OR(IFERROR(SEARCH($R512,XKNVLSX!$X$1,1),0)&gt;=1,XKNVLSX!$X$1=""),$S$2,""))</f>
        <v/>
      </c>
      <c r="T512" s="1018" t="str">
        <f ca="1">IF($C512="","", IF(OR($P512=$V$1,$P512=$V$7,COUNTIFS($C$3:$C512,$C512,$E$3:$E512,$E512)&lt;=1),$P512,""    ))</f>
        <v/>
      </c>
      <c r="U512" s="1019" t="str">
        <f ca="1">IF(AND($P512=$V$2,COUNTIFS($C$3:$C512,$C512,$E$3:$E512,$E512,$G$3:$G512,$G512)&lt;=1),$P512,"")</f>
        <v/>
      </c>
    </row>
    <row r="513" spans="1:21">
      <c r="A513" s="991" t="str">
        <f ca="1">IFERROR(IF(COUNTIF($A$3:A512,A512)&lt; INDEX(TinhGia!$BH$10:$BH$81,MATCH($A512,TinhGia!$B$10:$B$81,0)),$A512,INDEX(TinhGia!$B$10:$B$81,MATCH($A512,TinhGia!$B$10:$B$81,0)+1)),"")</f>
        <v/>
      </c>
      <c r="B513" s="525" t="str">
        <f ca="1">IF(OR(A513="",A513=0),"",IF(COUNTIF($A$2:A513,$A513)=1,ROW(MauKoXoa!$C$108),$B512+1))</f>
        <v/>
      </c>
      <c r="C513" s="992" t="str">
        <f t="shared" ca="1" si="61"/>
        <v/>
      </c>
      <c r="D513" s="993" t="str">
        <f t="shared" ca="1" si="62"/>
        <v/>
      </c>
      <c r="E513" s="993" t="str">
        <f t="shared" ca="1" si="63"/>
        <v/>
      </c>
      <c r="F513" s="992" t="str">
        <f t="shared" ca="1" si="71"/>
        <v/>
      </c>
      <c r="G513" s="994">
        <f t="shared" ca="1" si="64"/>
        <v>0</v>
      </c>
      <c r="H513" s="913">
        <f t="shared" ca="1" si="65"/>
        <v>0</v>
      </c>
      <c r="I513" s="913">
        <f t="shared" ca="1" si="66"/>
        <v>0</v>
      </c>
      <c r="J513" s="995">
        <f t="shared" ca="1" si="72"/>
        <v>0</v>
      </c>
      <c r="K513" s="913">
        <f t="shared" ca="1" si="67"/>
        <v>0</v>
      </c>
      <c r="L513" s="995">
        <f t="shared" ca="1" si="73"/>
        <v>0</v>
      </c>
      <c r="M513" s="913">
        <f t="shared" ca="1" si="68"/>
        <v>0</v>
      </c>
      <c r="N513" s="996">
        <f t="shared" ca="1" si="69"/>
        <v>0</v>
      </c>
      <c r="O513" s="997">
        <f t="shared" ca="1" si="70"/>
        <v>0</v>
      </c>
      <c r="P513" s="1015" t="str">
        <f ca="1">IF($C513="","",INDEX(NVLSX!$N$2:$N$6941,MATCH($C513,NVLSX!$E$2:$E$6941,0)))</f>
        <v/>
      </c>
      <c r="Q513" s="1016" t="str">
        <f ca="1">IF($R513="","",IF(XKNVLSX!$X$1="",IF($P513=$V$7,$P513, IF(COUNTIFS($C$2:$C512,$C513,$E$2:$E512,$E513)&gt;=1,"",$P513)),     IF(AND(IFERROR(SEARCH($R513,XKNVLSX!$X$1,1),0)&gt;=1,$P513=$V$7),$P513, IF(OR($R513&lt;&gt;IF(IFERROR(SEARCH($R513,XKNVLSX!$X$1,1),0)&gt;=1,$R513,XKNVLSX!$X$1),COUNTIFS($C$2:$C512,$C513,$E$2:$E512,$E513,$Q$2:$Q512,$P513)&gt;=1),"",$P513))))</f>
        <v/>
      </c>
      <c r="R513" s="1017" t="str">
        <f ca="1">IF($A513="","",IFERROR(INDEX(TinhGia!$BF$10:$BF$81,MATCH($A513,TinhGia!$B$10:$B$81,0)),""))</f>
        <v/>
      </c>
      <c r="S513" s="1012" t="str">
        <f ca="1">IF($A513="","",IF(OR(IFERROR(SEARCH($R513,XKNVLSX!$X$1,1),0)&gt;=1,XKNVLSX!$X$1=""),$S$2,""))</f>
        <v/>
      </c>
      <c r="T513" s="1018" t="str">
        <f ca="1">IF($C513="","", IF(OR($P513=$V$1,$P513=$V$7,COUNTIFS($C$3:$C513,$C513,$E$3:$E513,$E513)&lt;=1),$P513,""    ))</f>
        <v/>
      </c>
      <c r="U513" s="1019" t="str">
        <f ca="1">IF(AND($P513=$V$2,COUNTIFS($C$3:$C513,$C513,$E$3:$E513,$E513,$G$3:$G513,$G513)&lt;=1),$P513,"")</f>
        <v/>
      </c>
    </row>
    <row r="514" spans="1:21">
      <c r="A514" s="991" t="str">
        <f ca="1">IFERROR(IF(COUNTIF($A$3:A513,A513)&lt; INDEX(TinhGia!$BH$10:$BH$81,MATCH($A513,TinhGia!$B$10:$B$81,0)),$A513,INDEX(TinhGia!$B$10:$B$81,MATCH($A513,TinhGia!$B$10:$B$81,0)+1)),"")</f>
        <v/>
      </c>
      <c r="B514" s="525" t="str">
        <f ca="1">IF(OR(A514="",A514=0),"",IF(COUNTIF($A$2:A514,$A514)=1,ROW(MauKoXoa!$C$108),$B513+1))</f>
        <v/>
      </c>
      <c r="C514" s="992" t="str">
        <f t="shared" ref="C514:C577" ca="1" si="74">IFERROR(INDIRECT("'" &amp; $A514 &amp; "'!" &amp; "C" &amp; $B514),"")</f>
        <v/>
      </c>
      <c r="D514" s="993" t="str">
        <f t="shared" ref="D514:D577" ca="1" si="75">IFERROR(INDIRECT("'" &amp; $A514 &amp; "'!" &amp; "D" &amp; $B514),"")</f>
        <v/>
      </c>
      <c r="E514" s="993" t="str">
        <f t="shared" ref="E514:E577" ca="1" si="76">IFERROR(INDIRECT("'" &amp; $A514 &amp; "'!" &amp; "P" &amp; $B514),"")</f>
        <v/>
      </c>
      <c r="F514" s="992" t="str">
        <f t="shared" ca="1" si="71"/>
        <v/>
      </c>
      <c r="G514" s="994">
        <f t="shared" ref="G514:G577" ca="1" si="77">IFERROR(INDIRECT("'" &amp; $A514 &amp; "'!" &amp; "F" &amp; $B514),0)</f>
        <v>0</v>
      </c>
      <c r="H514" s="913">
        <f t="shared" ref="H514:H577" ca="1" si="78">IFERROR(INDIRECT("'" &amp; $A514 &amp; "'!" &amp; "G" &amp; $B514),0)</f>
        <v>0</v>
      </c>
      <c r="I514" s="913">
        <f t="shared" ref="I514:I577" ca="1" si="79">IFERROR(INDIRECT("'" &amp; $A514 &amp; "'!" &amp; "H" &amp; $B514),0)</f>
        <v>0</v>
      </c>
      <c r="J514" s="995">
        <f t="shared" ca="1" si="72"/>
        <v>0</v>
      </c>
      <c r="K514" s="913">
        <f t="shared" ref="K514:K577" ca="1" si="80">IFERROR(INDIRECT("'" &amp; $A514 &amp; "'!" &amp; "L" &amp; $B514),0)</f>
        <v>0</v>
      </c>
      <c r="L514" s="995">
        <f t="shared" ca="1" si="73"/>
        <v>0</v>
      </c>
      <c r="M514" s="913">
        <f t="shared" ref="M514:M577" ca="1" si="81">IFERROR(INDIRECT("'" &amp; $A514 &amp; "'!" &amp; "M" &amp; $B514),0)</f>
        <v>0</v>
      </c>
      <c r="N514" s="996">
        <f t="shared" ref="N514:N577" ca="1" si="82">IFERROR(INDIRECT("'" &amp; $A514 &amp; "'!" &amp; "N" &amp; $B514),0)</f>
        <v>0</v>
      </c>
      <c r="O514" s="997">
        <f t="shared" ref="O514:O577" ca="1" si="83">IFERROR(INDIRECT("'" &amp; $A514 &amp; "'!" &amp; "O" &amp; $B514),0)</f>
        <v>0</v>
      </c>
      <c r="P514" s="1015" t="str">
        <f ca="1">IF($C514="","",INDEX(NVLSX!$N$2:$N$6941,MATCH($C514,NVLSX!$E$2:$E$6941,0)))</f>
        <v/>
      </c>
      <c r="Q514" s="1016" t="str">
        <f ca="1">IF($R514="","",IF(XKNVLSX!$X$1="",IF($P514=$V$7,$P514, IF(COUNTIFS($C$2:$C513,$C514,$E$2:$E513,$E514)&gt;=1,"",$P514)),     IF(AND(IFERROR(SEARCH($R514,XKNVLSX!$X$1,1),0)&gt;=1,$P514=$V$7),$P514, IF(OR($R514&lt;&gt;IF(IFERROR(SEARCH($R514,XKNVLSX!$X$1,1),0)&gt;=1,$R514,XKNVLSX!$X$1),COUNTIFS($C$2:$C513,$C514,$E$2:$E513,$E514,$Q$2:$Q513,$P514)&gt;=1),"",$P514))))</f>
        <v/>
      </c>
      <c r="R514" s="1017" t="str">
        <f ca="1">IF($A514="","",IFERROR(INDEX(TinhGia!$BF$10:$BF$81,MATCH($A514,TinhGia!$B$10:$B$81,0)),""))</f>
        <v/>
      </c>
      <c r="S514" s="1012" t="str">
        <f ca="1">IF($A514="","",IF(OR(IFERROR(SEARCH($R514,XKNVLSX!$X$1,1),0)&gt;=1,XKNVLSX!$X$1=""),$S$2,""))</f>
        <v/>
      </c>
      <c r="T514" s="1018" t="str">
        <f ca="1">IF($C514="","", IF(OR($P514=$V$1,$P514=$V$7,COUNTIFS($C$3:$C514,$C514,$E$3:$E514,$E514)&lt;=1),$P514,""    ))</f>
        <v/>
      </c>
      <c r="U514" s="1019" t="str">
        <f ca="1">IF(AND($P514=$V$2,COUNTIFS($C$3:$C514,$C514,$E$3:$E514,$E514,$G$3:$G514,$G514)&lt;=1),$P514,"")</f>
        <v/>
      </c>
    </row>
    <row r="515" spans="1:21">
      <c r="A515" s="991" t="str">
        <f ca="1">IFERROR(IF(COUNTIF($A$3:A514,A514)&lt; INDEX(TinhGia!$BH$10:$BH$81,MATCH($A514,TinhGia!$B$10:$B$81,0)),$A514,INDEX(TinhGia!$B$10:$B$81,MATCH($A514,TinhGia!$B$10:$B$81,0)+1)),"")</f>
        <v/>
      </c>
      <c r="B515" s="525" t="str">
        <f ca="1">IF(OR(A515="",A515=0),"",IF(COUNTIF($A$2:A515,$A515)=1,ROW(MauKoXoa!$C$108),$B514+1))</f>
        <v/>
      </c>
      <c r="C515" s="992" t="str">
        <f t="shared" ca="1" si="74"/>
        <v/>
      </c>
      <c r="D515" s="993" t="str">
        <f t="shared" ca="1" si="75"/>
        <v/>
      </c>
      <c r="E515" s="993" t="str">
        <f t="shared" ca="1" si="76"/>
        <v/>
      </c>
      <c r="F515" s="992" t="str">
        <f t="shared" ref="F515:F578" ca="1" si="84">IF($P515=$V$7, IFERROR(INDIRECT("'" &amp; $A515 &amp; "'!" &amp; "I" &amp; $B515),""),IFERROR(INDIRECT("'" &amp; $A515 &amp; "'!" &amp; "E" &amp; $B515),""))</f>
        <v/>
      </c>
      <c r="G515" s="994">
        <f t="shared" ca="1" si="77"/>
        <v>0</v>
      </c>
      <c r="H515" s="913">
        <f t="shared" ca="1" si="78"/>
        <v>0</v>
      </c>
      <c r="I515" s="913">
        <f t="shared" ca="1" si="79"/>
        <v>0</v>
      </c>
      <c r="J515" s="995">
        <f t="shared" ca="1" si="72"/>
        <v>0</v>
      </c>
      <c r="K515" s="913">
        <f t="shared" ca="1" si="80"/>
        <v>0</v>
      </c>
      <c r="L515" s="995">
        <f t="shared" ca="1" si="73"/>
        <v>0</v>
      </c>
      <c r="M515" s="913">
        <f t="shared" ca="1" si="81"/>
        <v>0</v>
      </c>
      <c r="N515" s="996">
        <f t="shared" ca="1" si="82"/>
        <v>0</v>
      </c>
      <c r="O515" s="997">
        <f t="shared" ca="1" si="83"/>
        <v>0</v>
      </c>
      <c r="P515" s="1015" t="str">
        <f ca="1">IF($C515="","",INDEX(NVLSX!$N$2:$N$6941,MATCH($C515,NVLSX!$E$2:$E$6941,0)))</f>
        <v/>
      </c>
      <c r="Q515" s="1016" t="str">
        <f ca="1">IF($R515="","",IF(XKNVLSX!$X$1="",IF($P515=$V$7,$P515, IF(COUNTIFS($C$2:$C514,$C515,$E$2:$E514,$E515)&gt;=1,"",$P515)),     IF(AND(IFERROR(SEARCH($R515,XKNVLSX!$X$1,1),0)&gt;=1,$P515=$V$7),$P515, IF(OR($R515&lt;&gt;IF(IFERROR(SEARCH($R515,XKNVLSX!$X$1,1),0)&gt;=1,$R515,XKNVLSX!$X$1),COUNTIFS($C$2:$C514,$C515,$E$2:$E514,$E515,$Q$2:$Q514,$P515)&gt;=1),"",$P515))))</f>
        <v/>
      </c>
      <c r="R515" s="1017" t="str">
        <f ca="1">IF($A515="","",IFERROR(INDEX(TinhGia!$BF$10:$BF$81,MATCH($A515,TinhGia!$B$10:$B$81,0)),""))</f>
        <v/>
      </c>
      <c r="S515" s="1012" t="str">
        <f ca="1">IF($A515="","",IF(OR(IFERROR(SEARCH($R515,XKNVLSX!$X$1,1),0)&gt;=1,XKNVLSX!$X$1=""),$S$2,""))</f>
        <v/>
      </c>
      <c r="T515" s="1018" t="str">
        <f ca="1">IF($C515="","", IF(OR($P515=$V$1,$P515=$V$7,COUNTIFS($C$3:$C515,$C515,$E$3:$E515,$E515)&lt;=1),$P515,""    ))</f>
        <v/>
      </c>
      <c r="U515" s="1019" t="str">
        <f ca="1">IF(AND($P515=$V$2,COUNTIFS($C$3:$C515,$C515,$E$3:$E515,$E515,$G$3:$G515,$G515)&lt;=1),$P515,"")</f>
        <v/>
      </c>
    </row>
    <row r="516" spans="1:21">
      <c r="A516" s="991" t="str">
        <f ca="1">IFERROR(IF(COUNTIF($A$3:A515,A515)&lt; INDEX(TinhGia!$BH$10:$BH$81,MATCH($A515,TinhGia!$B$10:$B$81,0)),$A515,INDEX(TinhGia!$B$10:$B$81,MATCH($A515,TinhGia!$B$10:$B$81,0)+1)),"")</f>
        <v/>
      </c>
      <c r="B516" s="525" t="str">
        <f ca="1">IF(OR(A516="",A516=0),"",IF(COUNTIF($A$2:A516,$A516)=1,ROW(MauKoXoa!$C$108),$B515+1))</f>
        <v/>
      </c>
      <c r="C516" s="992" t="str">
        <f t="shared" ca="1" si="74"/>
        <v/>
      </c>
      <c r="D516" s="993" t="str">
        <f t="shared" ca="1" si="75"/>
        <v/>
      </c>
      <c r="E516" s="993" t="str">
        <f t="shared" ca="1" si="76"/>
        <v/>
      </c>
      <c r="F516" s="992" t="str">
        <f t="shared" ca="1" si="84"/>
        <v/>
      </c>
      <c r="G516" s="994">
        <f t="shared" ca="1" si="77"/>
        <v>0</v>
      </c>
      <c r="H516" s="913">
        <f t="shared" ca="1" si="78"/>
        <v>0</v>
      </c>
      <c r="I516" s="913">
        <f t="shared" ca="1" si="79"/>
        <v>0</v>
      </c>
      <c r="J516" s="995">
        <f t="shared" ref="J516:J579" ca="1" si="85">IFERROR(INDIRECT("'" &amp; $A516 &amp; "'!" &amp; "J" &amp; $B516),0)</f>
        <v>0</v>
      </c>
      <c r="K516" s="913">
        <f t="shared" ca="1" si="80"/>
        <v>0</v>
      </c>
      <c r="L516" s="995">
        <f t="shared" ref="L516:L579" ca="1" si="86">+ IFERROR(INDIRECT("'" &amp; $A516 &amp; "'!" &amp; "K" &amp; $B516),0)</f>
        <v>0</v>
      </c>
      <c r="M516" s="913">
        <f t="shared" ca="1" si="81"/>
        <v>0</v>
      </c>
      <c r="N516" s="996">
        <f t="shared" ca="1" si="82"/>
        <v>0</v>
      </c>
      <c r="O516" s="997">
        <f t="shared" ca="1" si="83"/>
        <v>0</v>
      </c>
      <c r="P516" s="1015" t="str">
        <f ca="1">IF($C516="","",INDEX(NVLSX!$N$2:$N$6941,MATCH($C516,NVLSX!$E$2:$E$6941,0)))</f>
        <v/>
      </c>
      <c r="Q516" s="1016" t="str">
        <f ca="1">IF($R516="","",IF(XKNVLSX!$X$1="",IF($P516=$V$7,$P516, IF(COUNTIFS($C$2:$C515,$C516,$E$2:$E515,$E516)&gt;=1,"",$P516)),     IF(AND(IFERROR(SEARCH($R516,XKNVLSX!$X$1,1),0)&gt;=1,$P516=$V$7),$P516, IF(OR($R516&lt;&gt;IF(IFERROR(SEARCH($R516,XKNVLSX!$X$1,1),0)&gt;=1,$R516,XKNVLSX!$X$1),COUNTIFS($C$2:$C515,$C516,$E$2:$E515,$E516,$Q$2:$Q515,$P516)&gt;=1),"",$P516))))</f>
        <v/>
      </c>
      <c r="R516" s="1017" t="str">
        <f ca="1">IF($A516="","",IFERROR(INDEX(TinhGia!$BF$10:$BF$81,MATCH($A516,TinhGia!$B$10:$B$81,0)),""))</f>
        <v/>
      </c>
      <c r="S516" s="1012" t="str">
        <f ca="1">IF($A516="","",IF(OR(IFERROR(SEARCH($R516,XKNVLSX!$X$1,1),0)&gt;=1,XKNVLSX!$X$1=""),$S$2,""))</f>
        <v/>
      </c>
      <c r="T516" s="1018" t="str">
        <f ca="1">IF($C516="","", IF(OR($P516=$V$1,$P516=$V$7,COUNTIFS($C$3:$C516,$C516,$E$3:$E516,$E516)&lt;=1),$P516,""    ))</f>
        <v/>
      </c>
      <c r="U516" s="1019" t="str">
        <f ca="1">IF(AND($P516=$V$2,COUNTIFS($C$3:$C516,$C516,$E$3:$E516,$E516,$G$3:$G516,$G516)&lt;=1),$P516,"")</f>
        <v/>
      </c>
    </row>
    <row r="517" spans="1:21">
      <c r="A517" s="991" t="str">
        <f ca="1">IFERROR(IF(COUNTIF($A$3:A516,A516)&lt; INDEX(TinhGia!$BH$10:$BH$81,MATCH($A516,TinhGia!$B$10:$B$81,0)),$A516,INDEX(TinhGia!$B$10:$B$81,MATCH($A516,TinhGia!$B$10:$B$81,0)+1)),"")</f>
        <v/>
      </c>
      <c r="B517" s="525" t="str">
        <f ca="1">IF(OR(A517="",A517=0),"",IF(COUNTIF($A$2:A517,$A517)=1,ROW(MauKoXoa!$C$108),$B516+1))</f>
        <v/>
      </c>
      <c r="C517" s="992" t="str">
        <f t="shared" ca="1" si="74"/>
        <v/>
      </c>
      <c r="D517" s="993" t="str">
        <f t="shared" ca="1" si="75"/>
        <v/>
      </c>
      <c r="E517" s="993" t="str">
        <f t="shared" ca="1" si="76"/>
        <v/>
      </c>
      <c r="F517" s="992" t="str">
        <f t="shared" ca="1" si="84"/>
        <v/>
      </c>
      <c r="G517" s="994">
        <f t="shared" ca="1" si="77"/>
        <v>0</v>
      </c>
      <c r="H517" s="913">
        <f t="shared" ca="1" si="78"/>
        <v>0</v>
      </c>
      <c r="I517" s="913">
        <f t="shared" ca="1" si="79"/>
        <v>0</v>
      </c>
      <c r="J517" s="995">
        <f t="shared" ca="1" si="85"/>
        <v>0</v>
      </c>
      <c r="K517" s="913">
        <f t="shared" ca="1" si="80"/>
        <v>0</v>
      </c>
      <c r="L517" s="995">
        <f t="shared" ca="1" si="86"/>
        <v>0</v>
      </c>
      <c r="M517" s="913">
        <f t="shared" ca="1" si="81"/>
        <v>0</v>
      </c>
      <c r="N517" s="996">
        <f t="shared" ca="1" si="82"/>
        <v>0</v>
      </c>
      <c r="O517" s="997">
        <f t="shared" ca="1" si="83"/>
        <v>0</v>
      </c>
      <c r="P517" s="1015" t="str">
        <f ca="1">IF($C517="","",INDEX(NVLSX!$N$2:$N$6941,MATCH($C517,NVLSX!$E$2:$E$6941,0)))</f>
        <v/>
      </c>
      <c r="Q517" s="1016" t="str">
        <f ca="1">IF($R517="","",IF(XKNVLSX!$X$1="",IF($P517=$V$7,$P517, IF(COUNTIFS($C$2:$C516,$C517,$E$2:$E516,$E517)&gt;=1,"",$P517)),     IF(AND(IFERROR(SEARCH($R517,XKNVLSX!$X$1,1),0)&gt;=1,$P517=$V$7),$P517, IF(OR($R517&lt;&gt;IF(IFERROR(SEARCH($R517,XKNVLSX!$X$1,1),0)&gt;=1,$R517,XKNVLSX!$X$1),COUNTIFS($C$2:$C516,$C517,$E$2:$E516,$E517,$Q$2:$Q516,$P517)&gt;=1),"",$P517))))</f>
        <v/>
      </c>
      <c r="R517" s="1017" t="str">
        <f ca="1">IF($A517="","",IFERROR(INDEX(TinhGia!$BF$10:$BF$81,MATCH($A517,TinhGia!$B$10:$B$81,0)),""))</f>
        <v/>
      </c>
      <c r="S517" s="1012" t="str">
        <f ca="1">IF($A517="","",IF(OR(IFERROR(SEARCH($R517,XKNVLSX!$X$1,1),0)&gt;=1,XKNVLSX!$X$1=""),$S$2,""))</f>
        <v/>
      </c>
      <c r="T517" s="1018" t="str">
        <f ca="1">IF($C517="","", IF(OR($P517=$V$1,$P517=$V$7,COUNTIFS($C$3:$C517,$C517,$E$3:$E517,$E517)&lt;=1),$P517,""    ))</f>
        <v/>
      </c>
      <c r="U517" s="1019" t="str">
        <f ca="1">IF(AND($P517=$V$2,COUNTIFS($C$3:$C517,$C517,$E$3:$E517,$E517,$G$3:$G517,$G517)&lt;=1),$P517,"")</f>
        <v/>
      </c>
    </row>
    <row r="518" spans="1:21">
      <c r="A518" s="991" t="str">
        <f ca="1">IFERROR(IF(COUNTIF($A$3:A517,A517)&lt; INDEX(TinhGia!$BH$10:$BH$81,MATCH($A517,TinhGia!$B$10:$B$81,0)),$A517,INDEX(TinhGia!$B$10:$B$81,MATCH($A517,TinhGia!$B$10:$B$81,0)+1)),"")</f>
        <v/>
      </c>
      <c r="B518" s="525" t="str">
        <f ca="1">IF(OR(A518="",A518=0),"",IF(COUNTIF($A$2:A518,$A518)=1,ROW(MauKoXoa!$C$108),$B517+1))</f>
        <v/>
      </c>
      <c r="C518" s="992" t="str">
        <f t="shared" ca="1" si="74"/>
        <v/>
      </c>
      <c r="D518" s="993" t="str">
        <f t="shared" ca="1" si="75"/>
        <v/>
      </c>
      <c r="E518" s="993" t="str">
        <f t="shared" ca="1" si="76"/>
        <v/>
      </c>
      <c r="F518" s="992" t="str">
        <f t="shared" ca="1" si="84"/>
        <v/>
      </c>
      <c r="G518" s="994">
        <f t="shared" ca="1" si="77"/>
        <v>0</v>
      </c>
      <c r="H518" s="913">
        <f t="shared" ca="1" si="78"/>
        <v>0</v>
      </c>
      <c r="I518" s="913">
        <f t="shared" ca="1" si="79"/>
        <v>0</v>
      </c>
      <c r="J518" s="995">
        <f t="shared" ca="1" si="85"/>
        <v>0</v>
      </c>
      <c r="K518" s="913">
        <f t="shared" ca="1" si="80"/>
        <v>0</v>
      </c>
      <c r="L518" s="995">
        <f t="shared" ca="1" si="86"/>
        <v>0</v>
      </c>
      <c r="M518" s="913">
        <f t="shared" ca="1" si="81"/>
        <v>0</v>
      </c>
      <c r="N518" s="996">
        <f t="shared" ca="1" si="82"/>
        <v>0</v>
      </c>
      <c r="O518" s="997">
        <f t="shared" ca="1" si="83"/>
        <v>0</v>
      </c>
      <c r="P518" s="1015" t="str">
        <f ca="1">IF($C518="","",INDEX(NVLSX!$N$2:$N$6941,MATCH($C518,NVLSX!$E$2:$E$6941,0)))</f>
        <v/>
      </c>
      <c r="Q518" s="1016" t="str">
        <f ca="1">IF($R518="","",IF(XKNVLSX!$X$1="",IF($P518=$V$7,$P518, IF(COUNTIFS($C$2:$C517,$C518,$E$2:$E517,$E518)&gt;=1,"",$P518)),     IF(AND(IFERROR(SEARCH($R518,XKNVLSX!$X$1,1),0)&gt;=1,$P518=$V$7),$P518, IF(OR($R518&lt;&gt;IF(IFERROR(SEARCH($R518,XKNVLSX!$X$1,1),0)&gt;=1,$R518,XKNVLSX!$X$1),COUNTIFS($C$2:$C517,$C518,$E$2:$E517,$E518,$Q$2:$Q517,$P518)&gt;=1),"",$P518))))</f>
        <v/>
      </c>
      <c r="R518" s="1017" t="str">
        <f ca="1">IF($A518="","",IFERROR(INDEX(TinhGia!$BF$10:$BF$81,MATCH($A518,TinhGia!$B$10:$B$81,0)),""))</f>
        <v/>
      </c>
      <c r="S518" s="1012" t="str">
        <f ca="1">IF($A518="","",IF(OR(IFERROR(SEARCH($R518,XKNVLSX!$X$1,1),0)&gt;=1,XKNVLSX!$X$1=""),$S$2,""))</f>
        <v/>
      </c>
      <c r="T518" s="1018" t="str">
        <f ca="1">IF($C518="","", IF(OR($P518=$V$1,$P518=$V$7,COUNTIFS($C$3:$C518,$C518,$E$3:$E518,$E518)&lt;=1),$P518,""    ))</f>
        <v/>
      </c>
      <c r="U518" s="1019" t="str">
        <f ca="1">IF(AND($P518=$V$2,COUNTIFS($C$3:$C518,$C518,$E$3:$E518,$E518,$G$3:$G518,$G518)&lt;=1),$P518,"")</f>
        <v/>
      </c>
    </row>
    <row r="519" spans="1:21">
      <c r="A519" s="991" t="str">
        <f ca="1">IFERROR(IF(COUNTIF($A$3:A518,A518)&lt; INDEX(TinhGia!$BH$10:$BH$81,MATCH($A518,TinhGia!$B$10:$B$81,0)),$A518,INDEX(TinhGia!$B$10:$B$81,MATCH($A518,TinhGia!$B$10:$B$81,0)+1)),"")</f>
        <v/>
      </c>
      <c r="B519" s="525" t="str">
        <f ca="1">IF(OR(A519="",A519=0),"",IF(COUNTIF($A$2:A519,$A519)=1,ROW(MauKoXoa!$C$108),$B518+1))</f>
        <v/>
      </c>
      <c r="C519" s="992" t="str">
        <f t="shared" ca="1" si="74"/>
        <v/>
      </c>
      <c r="D519" s="993" t="str">
        <f t="shared" ca="1" si="75"/>
        <v/>
      </c>
      <c r="E519" s="993" t="str">
        <f t="shared" ca="1" si="76"/>
        <v/>
      </c>
      <c r="F519" s="992" t="str">
        <f t="shared" ca="1" si="84"/>
        <v/>
      </c>
      <c r="G519" s="994">
        <f t="shared" ca="1" si="77"/>
        <v>0</v>
      </c>
      <c r="H519" s="913">
        <f t="shared" ca="1" si="78"/>
        <v>0</v>
      </c>
      <c r="I519" s="913">
        <f t="shared" ca="1" si="79"/>
        <v>0</v>
      </c>
      <c r="J519" s="995">
        <f t="shared" ca="1" si="85"/>
        <v>0</v>
      </c>
      <c r="K519" s="913">
        <f t="shared" ca="1" si="80"/>
        <v>0</v>
      </c>
      <c r="L519" s="995">
        <f t="shared" ca="1" si="86"/>
        <v>0</v>
      </c>
      <c r="M519" s="913">
        <f t="shared" ca="1" si="81"/>
        <v>0</v>
      </c>
      <c r="N519" s="996">
        <f t="shared" ca="1" si="82"/>
        <v>0</v>
      </c>
      <c r="O519" s="997">
        <f t="shared" ca="1" si="83"/>
        <v>0</v>
      </c>
      <c r="P519" s="1015" t="str">
        <f ca="1">IF($C519="","",INDEX(NVLSX!$N$2:$N$6941,MATCH($C519,NVLSX!$E$2:$E$6941,0)))</f>
        <v/>
      </c>
      <c r="Q519" s="1016" t="str">
        <f ca="1">IF($R519="","",IF(XKNVLSX!$X$1="",IF($P519=$V$7,$P519, IF(COUNTIFS($C$2:$C518,$C519,$E$2:$E518,$E519)&gt;=1,"",$P519)),     IF(AND(IFERROR(SEARCH($R519,XKNVLSX!$X$1,1),0)&gt;=1,$P519=$V$7),$P519, IF(OR($R519&lt;&gt;IF(IFERROR(SEARCH($R519,XKNVLSX!$X$1,1),0)&gt;=1,$R519,XKNVLSX!$X$1),COUNTIFS($C$2:$C518,$C519,$E$2:$E518,$E519,$Q$2:$Q518,$P519)&gt;=1),"",$P519))))</f>
        <v/>
      </c>
      <c r="R519" s="1017" t="str">
        <f ca="1">IF($A519="","",IFERROR(INDEX(TinhGia!$BF$10:$BF$81,MATCH($A519,TinhGia!$B$10:$B$81,0)),""))</f>
        <v/>
      </c>
      <c r="S519" s="1012" t="str">
        <f ca="1">IF($A519="","",IF(OR(IFERROR(SEARCH($R519,XKNVLSX!$X$1,1),0)&gt;=1,XKNVLSX!$X$1=""),$S$2,""))</f>
        <v/>
      </c>
      <c r="T519" s="1018" t="str">
        <f ca="1">IF($C519="","", IF(OR($P519=$V$1,$P519=$V$7,COUNTIFS($C$3:$C519,$C519,$E$3:$E519,$E519)&lt;=1),$P519,""    ))</f>
        <v/>
      </c>
      <c r="U519" s="1019" t="str">
        <f ca="1">IF(AND($P519=$V$2,COUNTIFS($C$3:$C519,$C519,$E$3:$E519,$E519,$G$3:$G519,$G519)&lt;=1),$P519,"")</f>
        <v/>
      </c>
    </row>
    <row r="520" spans="1:21">
      <c r="A520" s="991" t="str">
        <f ca="1">IFERROR(IF(COUNTIF($A$3:A519,A519)&lt; INDEX(TinhGia!$BH$10:$BH$81,MATCH($A519,TinhGia!$B$10:$B$81,0)),$A519,INDEX(TinhGia!$B$10:$B$81,MATCH($A519,TinhGia!$B$10:$B$81,0)+1)),"")</f>
        <v/>
      </c>
      <c r="B520" s="525" t="str">
        <f ca="1">IF(OR(A520="",A520=0),"",IF(COUNTIF($A$2:A520,$A520)=1,ROW(MauKoXoa!$C$108),$B519+1))</f>
        <v/>
      </c>
      <c r="C520" s="992" t="str">
        <f t="shared" ca="1" si="74"/>
        <v/>
      </c>
      <c r="D520" s="993" t="str">
        <f t="shared" ca="1" si="75"/>
        <v/>
      </c>
      <c r="E520" s="993" t="str">
        <f t="shared" ca="1" si="76"/>
        <v/>
      </c>
      <c r="F520" s="992" t="str">
        <f t="shared" ca="1" si="84"/>
        <v/>
      </c>
      <c r="G520" s="994">
        <f t="shared" ca="1" si="77"/>
        <v>0</v>
      </c>
      <c r="H520" s="913">
        <f t="shared" ca="1" si="78"/>
        <v>0</v>
      </c>
      <c r="I520" s="913">
        <f t="shared" ca="1" si="79"/>
        <v>0</v>
      </c>
      <c r="J520" s="995">
        <f t="shared" ca="1" si="85"/>
        <v>0</v>
      </c>
      <c r="K520" s="913">
        <f t="shared" ca="1" si="80"/>
        <v>0</v>
      </c>
      <c r="L520" s="995">
        <f t="shared" ca="1" si="86"/>
        <v>0</v>
      </c>
      <c r="M520" s="913">
        <f t="shared" ca="1" si="81"/>
        <v>0</v>
      </c>
      <c r="N520" s="996">
        <f t="shared" ca="1" si="82"/>
        <v>0</v>
      </c>
      <c r="O520" s="997">
        <f t="shared" ca="1" si="83"/>
        <v>0</v>
      </c>
      <c r="P520" s="1015" t="str">
        <f ca="1">IF($C520="","",INDEX(NVLSX!$N$2:$N$6941,MATCH($C520,NVLSX!$E$2:$E$6941,0)))</f>
        <v/>
      </c>
      <c r="Q520" s="1016" t="str">
        <f ca="1">IF($R520="","",IF(XKNVLSX!$X$1="",IF($P520=$V$7,$P520, IF(COUNTIFS($C$2:$C519,$C520,$E$2:$E519,$E520)&gt;=1,"",$P520)),     IF(AND(IFERROR(SEARCH($R520,XKNVLSX!$X$1,1),0)&gt;=1,$P520=$V$7),$P520, IF(OR($R520&lt;&gt;IF(IFERROR(SEARCH($R520,XKNVLSX!$X$1,1),0)&gt;=1,$R520,XKNVLSX!$X$1),COUNTIFS($C$2:$C519,$C520,$E$2:$E519,$E520,$Q$2:$Q519,$P520)&gt;=1),"",$P520))))</f>
        <v/>
      </c>
      <c r="R520" s="1017" t="str">
        <f ca="1">IF($A520="","",IFERROR(INDEX(TinhGia!$BF$10:$BF$81,MATCH($A520,TinhGia!$B$10:$B$81,0)),""))</f>
        <v/>
      </c>
      <c r="S520" s="1012" t="str">
        <f ca="1">IF($A520="","",IF(OR(IFERROR(SEARCH($R520,XKNVLSX!$X$1,1),0)&gt;=1,XKNVLSX!$X$1=""),$S$2,""))</f>
        <v/>
      </c>
      <c r="T520" s="1018" t="str">
        <f ca="1">IF($C520="","", IF(OR($P520=$V$1,$P520=$V$7,COUNTIFS($C$3:$C520,$C520,$E$3:$E520,$E520)&lt;=1),$P520,""    ))</f>
        <v/>
      </c>
      <c r="U520" s="1019" t="str">
        <f ca="1">IF(AND($P520=$V$2,COUNTIFS($C$3:$C520,$C520,$E$3:$E520,$E520,$G$3:$G520,$G520)&lt;=1),$P520,"")</f>
        <v/>
      </c>
    </row>
    <row r="521" spans="1:21">
      <c r="A521" s="991" t="str">
        <f ca="1">IFERROR(IF(COUNTIF($A$3:A520,A520)&lt; INDEX(TinhGia!$BH$10:$BH$81,MATCH($A520,TinhGia!$B$10:$B$81,0)),$A520,INDEX(TinhGia!$B$10:$B$81,MATCH($A520,TinhGia!$B$10:$B$81,0)+1)),"")</f>
        <v/>
      </c>
      <c r="B521" s="525" t="str">
        <f ca="1">IF(OR(A521="",A521=0),"",IF(COUNTIF($A$2:A521,$A521)=1,ROW(MauKoXoa!$C$108),$B520+1))</f>
        <v/>
      </c>
      <c r="C521" s="992" t="str">
        <f t="shared" ca="1" si="74"/>
        <v/>
      </c>
      <c r="D521" s="993" t="str">
        <f t="shared" ca="1" si="75"/>
        <v/>
      </c>
      <c r="E521" s="993" t="str">
        <f t="shared" ca="1" si="76"/>
        <v/>
      </c>
      <c r="F521" s="992" t="str">
        <f t="shared" ca="1" si="84"/>
        <v/>
      </c>
      <c r="G521" s="994">
        <f t="shared" ca="1" si="77"/>
        <v>0</v>
      </c>
      <c r="H521" s="913">
        <f t="shared" ca="1" si="78"/>
        <v>0</v>
      </c>
      <c r="I521" s="913">
        <f t="shared" ca="1" si="79"/>
        <v>0</v>
      </c>
      <c r="J521" s="995">
        <f t="shared" ca="1" si="85"/>
        <v>0</v>
      </c>
      <c r="K521" s="913">
        <f t="shared" ca="1" si="80"/>
        <v>0</v>
      </c>
      <c r="L521" s="995">
        <f t="shared" ca="1" si="86"/>
        <v>0</v>
      </c>
      <c r="M521" s="913">
        <f t="shared" ca="1" si="81"/>
        <v>0</v>
      </c>
      <c r="N521" s="996">
        <f t="shared" ca="1" si="82"/>
        <v>0</v>
      </c>
      <c r="O521" s="997">
        <f t="shared" ca="1" si="83"/>
        <v>0</v>
      </c>
      <c r="P521" s="1015" t="str">
        <f ca="1">IF($C521="","",INDEX(NVLSX!$N$2:$N$6941,MATCH($C521,NVLSX!$E$2:$E$6941,0)))</f>
        <v/>
      </c>
      <c r="Q521" s="1016" t="str">
        <f ca="1">IF($R521="","",IF(XKNVLSX!$X$1="",IF($P521=$V$7,$P521, IF(COUNTIFS($C$2:$C520,$C521,$E$2:$E520,$E521)&gt;=1,"",$P521)),     IF(AND(IFERROR(SEARCH($R521,XKNVLSX!$X$1,1),0)&gt;=1,$P521=$V$7),$P521, IF(OR($R521&lt;&gt;IF(IFERROR(SEARCH($R521,XKNVLSX!$X$1,1),0)&gt;=1,$R521,XKNVLSX!$X$1),COUNTIFS($C$2:$C520,$C521,$E$2:$E520,$E521,$Q$2:$Q520,$P521)&gt;=1),"",$P521))))</f>
        <v/>
      </c>
      <c r="R521" s="1017" t="str">
        <f ca="1">IF($A521="","",IFERROR(INDEX(TinhGia!$BF$10:$BF$81,MATCH($A521,TinhGia!$B$10:$B$81,0)),""))</f>
        <v/>
      </c>
      <c r="S521" s="1012" t="str">
        <f ca="1">IF($A521="","",IF(OR(IFERROR(SEARCH($R521,XKNVLSX!$X$1,1),0)&gt;=1,XKNVLSX!$X$1=""),$S$2,""))</f>
        <v/>
      </c>
      <c r="T521" s="1018" t="str">
        <f ca="1">IF($C521="","", IF(OR($P521=$V$1,$P521=$V$7,COUNTIFS($C$3:$C521,$C521,$E$3:$E521,$E521)&lt;=1),$P521,""    ))</f>
        <v/>
      </c>
      <c r="U521" s="1019" t="str">
        <f ca="1">IF(AND($P521=$V$2,COUNTIFS($C$3:$C521,$C521,$E$3:$E521,$E521,$G$3:$G521,$G521)&lt;=1),$P521,"")</f>
        <v/>
      </c>
    </row>
    <row r="522" spans="1:21">
      <c r="A522" s="991" t="str">
        <f ca="1">IFERROR(IF(COUNTIF($A$3:A521,A521)&lt; INDEX(TinhGia!$BH$10:$BH$81,MATCH($A521,TinhGia!$B$10:$B$81,0)),$A521,INDEX(TinhGia!$B$10:$B$81,MATCH($A521,TinhGia!$B$10:$B$81,0)+1)),"")</f>
        <v/>
      </c>
      <c r="B522" s="525" t="str">
        <f ca="1">IF(OR(A522="",A522=0),"",IF(COUNTIF($A$2:A522,$A522)=1,ROW(MauKoXoa!$C$108),$B521+1))</f>
        <v/>
      </c>
      <c r="C522" s="992" t="str">
        <f t="shared" ca="1" si="74"/>
        <v/>
      </c>
      <c r="D522" s="993" t="str">
        <f t="shared" ca="1" si="75"/>
        <v/>
      </c>
      <c r="E522" s="993" t="str">
        <f t="shared" ca="1" si="76"/>
        <v/>
      </c>
      <c r="F522" s="992" t="str">
        <f t="shared" ca="1" si="84"/>
        <v/>
      </c>
      <c r="G522" s="994">
        <f t="shared" ca="1" si="77"/>
        <v>0</v>
      </c>
      <c r="H522" s="913">
        <f t="shared" ca="1" si="78"/>
        <v>0</v>
      </c>
      <c r="I522" s="913">
        <f t="shared" ca="1" si="79"/>
        <v>0</v>
      </c>
      <c r="J522" s="995">
        <f t="shared" ca="1" si="85"/>
        <v>0</v>
      </c>
      <c r="K522" s="913">
        <f t="shared" ca="1" si="80"/>
        <v>0</v>
      </c>
      <c r="L522" s="995">
        <f t="shared" ca="1" si="86"/>
        <v>0</v>
      </c>
      <c r="M522" s="913">
        <f t="shared" ca="1" si="81"/>
        <v>0</v>
      </c>
      <c r="N522" s="996">
        <f t="shared" ca="1" si="82"/>
        <v>0</v>
      </c>
      <c r="O522" s="997">
        <f t="shared" ca="1" si="83"/>
        <v>0</v>
      </c>
      <c r="P522" s="1015" t="str">
        <f ca="1">IF($C522="","",INDEX(NVLSX!$N$2:$N$6941,MATCH($C522,NVLSX!$E$2:$E$6941,0)))</f>
        <v/>
      </c>
      <c r="Q522" s="1016" t="str">
        <f ca="1">IF($R522="","",IF(XKNVLSX!$X$1="",IF($P522=$V$7,$P522, IF(COUNTIFS($C$2:$C521,$C522,$E$2:$E521,$E522)&gt;=1,"",$P522)),     IF(AND(IFERROR(SEARCH($R522,XKNVLSX!$X$1,1),0)&gt;=1,$P522=$V$7),$P522, IF(OR($R522&lt;&gt;IF(IFERROR(SEARCH($R522,XKNVLSX!$X$1,1),0)&gt;=1,$R522,XKNVLSX!$X$1),COUNTIFS($C$2:$C521,$C522,$E$2:$E521,$E522,$Q$2:$Q521,$P522)&gt;=1),"",$P522))))</f>
        <v/>
      </c>
      <c r="R522" s="1017" t="str">
        <f ca="1">IF($A522="","",IFERROR(INDEX(TinhGia!$BF$10:$BF$81,MATCH($A522,TinhGia!$B$10:$B$81,0)),""))</f>
        <v/>
      </c>
      <c r="S522" s="1012" t="str">
        <f ca="1">IF($A522="","",IF(OR(IFERROR(SEARCH($R522,XKNVLSX!$X$1,1),0)&gt;=1,XKNVLSX!$X$1=""),$S$2,""))</f>
        <v/>
      </c>
      <c r="T522" s="1018" t="str">
        <f ca="1">IF($C522="","", IF(OR($P522=$V$1,$P522=$V$7,COUNTIFS($C$3:$C522,$C522,$E$3:$E522,$E522)&lt;=1),$P522,""    ))</f>
        <v/>
      </c>
      <c r="U522" s="1019" t="str">
        <f ca="1">IF(AND($P522=$V$2,COUNTIFS($C$3:$C522,$C522,$E$3:$E522,$E522,$G$3:$G522,$G522)&lt;=1),$P522,"")</f>
        <v/>
      </c>
    </row>
    <row r="523" spans="1:21">
      <c r="A523" s="991" t="str">
        <f ca="1">IFERROR(IF(COUNTIF($A$3:A522,A522)&lt; INDEX(TinhGia!$BH$10:$BH$81,MATCH($A522,TinhGia!$B$10:$B$81,0)),$A522,INDEX(TinhGia!$B$10:$B$81,MATCH($A522,TinhGia!$B$10:$B$81,0)+1)),"")</f>
        <v/>
      </c>
      <c r="B523" s="525" t="str">
        <f ca="1">IF(OR(A523="",A523=0),"",IF(COUNTIF($A$2:A523,$A523)=1,ROW(MauKoXoa!$C$108),$B522+1))</f>
        <v/>
      </c>
      <c r="C523" s="992" t="str">
        <f t="shared" ca="1" si="74"/>
        <v/>
      </c>
      <c r="D523" s="993" t="str">
        <f t="shared" ca="1" si="75"/>
        <v/>
      </c>
      <c r="E523" s="993" t="str">
        <f t="shared" ca="1" si="76"/>
        <v/>
      </c>
      <c r="F523" s="992" t="str">
        <f t="shared" ca="1" si="84"/>
        <v/>
      </c>
      <c r="G523" s="994">
        <f t="shared" ca="1" si="77"/>
        <v>0</v>
      </c>
      <c r="H523" s="913">
        <f t="shared" ca="1" si="78"/>
        <v>0</v>
      </c>
      <c r="I523" s="913">
        <f t="shared" ca="1" si="79"/>
        <v>0</v>
      </c>
      <c r="J523" s="995">
        <f t="shared" ca="1" si="85"/>
        <v>0</v>
      </c>
      <c r="K523" s="913">
        <f t="shared" ca="1" si="80"/>
        <v>0</v>
      </c>
      <c r="L523" s="995">
        <f t="shared" ca="1" si="86"/>
        <v>0</v>
      </c>
      <c r="M523" s="913">
        <f t="shared" ca="1" si="81"/>
        <v>0</v>
      </c>
      <c r="N523" s="996">
        <f t="shared" ca="1" si="82"/>
        <v>0</v>
      </c>
      <c r="O523" s="997">
        <f t="shared" ca="1" si="83"/>
        <v>0</v>
      </c>
      <c r="P523" s="1015" t="str">
        <f ca="1">IF($C523="","",INDEX(NVLSX!$N$2:$N$6941,MATCH($C523,NVLSX!$E$2:$E$6941,0)))</f>
        <v/>
      </c>
      <c r="Q523" s="1016" t="str">
        <f ca="1">IF($R523="","",IF(XKNVLSX!$X$1="",IF($P523=$V$7,$P523, IF(COUNTIFS($C$2:$C522,$C523,$E$2:$E522,$E523)&gt;=1,"",$P523)),     IF(AND(IFERROR(SEARCH($R523,XKNVLSX!$X$1,1),0)&gt;=1,$P523=$V$7),$P523, IF(OR($R523&lt;&gt;IF(IFERROR(SEARCH($R523,XKNVLSX!$X$1,1),0)&gt;=1,$R523,XKNVLSX!$X$1),COUNTIFS($C$2:$C522,$C523,$E$2:$E522,$E523,$Q$2:$Q522,$P523)&gt;=1),"",$P523))))</f>
        <v/>
      </c>
      <c r="R523" s="1017" t="str">
        <f ca="1">IF($A523="","",IFERROR(INDEX(TinhGia!$BF$10:$BF$81,MATCH($A523,TinhGia!$B$10:$B$81,0)),""))</f>
        <v/>
      </c>
      <c r="S523" s="1012" t="str">
        <f ca="1">IF($A523="","",IF(OR(IFERROR(SEARCH($R523,XKNVLSX!$X$1,1),0)&gt;=1,XKNVLSX!$X$1=""),$S$2,""))</f>
        <v/>
      </c>
      <c r="T523" s="1018" t="str">
        <f ca="1">IF($C523="","", IF(OR($P523=$V$1,$P523=$V$7,COUNTIFS($C$3:$C523,$C523,$E$3:$E523,$E523)&lt;=1),$P523,""    ))</f>
        <v/>
      </c>
      <c r="U523" s="1019" t="str">
        <f ca="1">IF(AND($P523=$V$2,COUNTIFS($C$3:$C523,$C523,$E$3:$E523,$E523,$G$3:$G523,$G523)&lt;=1),$P523,"")</f>
        <v/>
      </c>
    </row>
    <row r="524" spans="1:21">
      <c r="A524" s="991" t="str">
        <f ca="1">IFERROR(IF(COUNTIF($A$3:A523,A523)&lt; INDEX(TinhGia!$BH$10:$BH$81,MATCH($A523,TinhGia!$B$10:$B$81,0)),$A523,INDEX(TinhGia!$B$10:$B$81,MATCH($A523,TinhGia!$B$10:$B$81,0)+1)),"")</f>
        <v/>
      </c>
      <c r="B524" s="525" t="str">
        <f ca="1">IF(OR(A524="",A524=0),"",IF(COUNTIF($A$2:A524,$A524)=1,ROW(MauKoXoa!$C$108),$B523+1))</f>
        <v/>
      </c>
      <c r="C524" s="992" t="str">
        <f t="shared" ca="1" si="74"/>
        <v/>
      </c>
      <c r="D524" s="993" t="str">
        <f t="shared" ca="1" si="75"/>
        <v/>
      </c>
      <c r="E524" s="993" t="str">
        <f t="shared" ca="1" si="76"/>
        <v/>
      </c>
      <c r="F524" s="992" t="str">
        <f t="shared" ca="1" si="84"/>
        <v/>
      </c>
      <c r="G524" s="994">
        <f t="shared" ca="1" si="77"/>
        <v>0</v>
      </c>
      <c r="H524" s="913">
        <f t="shared" ca="1" si="78"/>
        <v>0</v>
      </c>
      <c r="I524" s="913">
        <f t="shared" ca="1" si="79"/>
        <v>0</v>
      </c>
      <c r="J524" s="995">
        <f t="shared" ca="1" si="85"/>
        <v>0</v>
      </c>
      <c r="K524" s="913">
        <f t="shared" ca="1" si="80"/>
        <v>0</v>
      </c>
      <c r="L524" s="995">
        <f t="shared" ca="1" si="86"/>
        <v>0</v>
      </c>
      <c r="M524" s="913">
        <f t="shared" ca="1" si="81"/>
        <v>0</v>
      </c>
      <c r="N524" s="996">
        <f t="shared" ca="1" si="82"/>
        <v>0</v>
      </c>
      <c r="O524" s="997">
        <f t="shared" ca="1" si="83"/>
        <v>0</v>
      </c>
      <c r="P524" s="1015" t="str">
        <f ca="1">IF($C524="","",INDEX(NVLSX!$N$2:$N$6941,MATCH($C524,NVLSX!$E$2:$E$6941,0)))</f>
        <v/>
      </c>
      <c r="Q524" s="1016" t="str">
        <f ca="1">IF($R524="","",IF(XKNVLSX!$X$1="",IF($P524=$V$7,$P524, IF(COUNTIFS($C$2:$C523,$C524,$E$2:$E523,$E524)&gt;=1,"",$P524)),     IF(AND(IFERROR(SEARCH($R524,XKNVLSX!$X$1,1),0)&gt;=1,$P524=$V$7),$P524, IF(OR($R524&lt;&gt;IF(IFERROR(SEARCH($R524,XKNVLSX!$X$1,1),0)&gt;=1,$R524,XKNVLSX!$X$1),COUNTIFS($C$2:$C523,$C524,$E$2:$E523,$E524,$Q$2:$Q523,$P524)&gt;=1),"",$P524))))</f>
        <v/>
      </c>
      <c r="R524" s="1017" t="str">
        <f ca="1">IF($A524="","",IFERROR(INDEX(TinhGia!$BF$10:$BF$81,MATCH($A524,TinhGia!$B$10:$B$81,0)),""))</f>
        <v/>
      </c>
      <c r="S524" s="1012" t="str">
        <f ca="1">IF($A524="","",IF(OR(IFERROR(SEARCH($R524,XKNVLSX!$X$1,1),0)&gt;=1,XKNVLSX!$X$1=""),$S$2,""))</f>
        <v/>
      </c>
      <c r="T524" s="1018" t="str">
        <f ca="1">IF($C524="","", IF(OR($P524=$V$1,$P524=$V$7,COUNTIFS($C$3:$C524,$C524,$E$3:$E524,$E524)&lt;=1),$P524,""    ))</f>
        <v/>
      </c>
      <c r="U524" s="1019" t="str">
        <f ca="1">IF(AND($P524=$V$2,COUNTIFS($C$3:$C524,$C524,$E$3:$E524,$E524,$G$3:$G524,$G524)&lt;=1),$P524,"")</f>
        <v/>
      </c>
    </row>
    <row r="525" spans="1:21">
      <c r="A525" s="991" t="str">
        <f ca="1">IFERROR(IF(COUNTIF($A$3:A524,A524)&lt; INDEX(TinhGia!$BH$10:$BH$81,MATCH($A524,TinhGia!$B$10:$B$81,0)),$A524,INDEX(TinhGia!$B$10:$B$81,MATCH($A524,TinhGia!$B$10:$B$81,0)+1)),"")</f>
        <v/>
      </c>
      <c r="B525" s="525" t="str">
        <f ca="1">IF(OR(A525="",A525=0),"",IF(COUNTIF($A$2:A525,$A525)=1,ROW(MauKoXoa!$C$108),$B524+1))</f>
        <v/>
      </c>
      <c r="C525" s="992" t="str">
        <f t="shared" ca="1" si="74"/>
        <v/>
      </c>
      <c r="D525" s="993" t="str">
        <f t="shared" ca="1" si="75"/>
        <v/>
      </c>
      <c r="E525" s="993" t="str">
        <f t="shared" ca="1" si="76"/>
        <v/>
      </c>
      <c r="F525" s="992" t="str">
        <f t="shared" ca="1" si="84"/>
        <v/>
      </c>
      <c r="G525" s="994">
        <f t="shared" ca="1" si="77"/>
        <v>0</v>
      </c>
      <c r="H525" s="913">
        <f t="shared" ca="1" si="78"/>
        <v>0</v>
      </c>
      <c r="I525" s="913">
        <f t="shared" ca="1" si="79"/>
        <v>0</v>
      </c>
      <c r="J525" s="995">
        <f t="shared" ca="1" si="85"/>
        <v>0</v>
      </c>
      <c r="K525" s="913">
        <f t="shared" ca="1" si="80"/>
        <v>0</v>
      </c>
      <c r="L525" s="995">
        <f t="shared" ca="1" si="86"/>
        <v>0</v>
      </c>
      <c r="M525" s="913">
        <f t="shared" ca="1" si="81"/>
        <v>0</v>
      </c>
      <c r="N525" s="996">
        <f t="shared" ca="1" si="82"/>
        <v>0</v>
      </c>
      <c r="O525" s="997">
        <f t="shared" ca="1" si="83"/>
        <v>0</v>
      </c>
      <c r="P525" s="1015" t="str">
        <f ca="1">IF($C525="","",INDEX(NVLSX!$N$2:$N$6941,MATCH($C525,NVLSX!$E$2:$E$6941,0)))</f>
        <v/>
      </c>
      <c r="Q525" s="1016" t="str">
        <f ca="1">IF($R525="","",IF(XKNVLSX!$X$1="",IF($P525=$V$7,$P525, IF(COUNTIFS($C$2:$C524,$C525,$E$2:$E524,$E525)&gt;=1,"",$P525)),     IF(AND(IFERROR(SEARCH($R525,XKNVLSX!$X$1,1),0)&gt;=1,$P525=$V$7),$P525, IF(OR($R525&lt;&gt;IF(IFERROR(SEARCH($R525,XKNVLSX!$X$1,1),0)&gt;=1,$R525,XKNVLSX!$X$1),COUNTIFS($C$2:$C524,$C525,$E$2:$E524,$E525,$Q$2:$Q524,$P525)&gt;=1),"",$P525))))</f>
        <v/>
      </c>
      <c r="R525" s="1017" t="str">
        <f ca="1">IF($A525="","",IFERROR(INDEX(TinhGia!$BF$10:$BF$81,MATCH($A525,TinhGia!$B$10:$B$81,0)),""))</f>
        <v/>
      </c>
      <c r="S525" s="1012" t="str">
        <f ca="1">IF($A525="","",IF(OR(IFERROR(SEARCH($R525,XKNVLSX!$X$1,1),0)&gt;=1,XKNVLSX!$X$1=""),$S$2,""))</f>
        <v/>
      </c>
      <c r="T525" s="1018" t="str">
        <f ca="1">IF($C525="","", IF(OR($P525=$V$1,$P525=$V$7,COUNTIFS($C$3:$C525,$C525,$E$3:$E525,$E525)&lt;=1),$P525,""    ))</f>
        <v/>
      </c>
      <c r="U525" s="1019" t="str">
        <f ca="1">IF(AND($P525=$V$2,COUNTIFS($C$3:$C525,$C525,$E$3:$E525,$E525,$G$3:$G525,$G525)&lt;=1),$P525,"")</f>
        <v/>
      </c>
    </row>
    <row r="526" spans="1:21">
      <c r="A526" s="991" t="str">
        <f ca="1">IFERROR(IF(COUNTIF($A$3:A525,A525)&lt; INDEX(TinhGia!$BH$10:$BH$81,MATCH($A525,TinhGia!$B$10:$B$81,0)),$A525,INDEX(TinhGia!$B$10:$B$81,MATCH($A525,TinhGia!$B$10:$B$81,0)+1)),"")</f>
        <v/>
      </c>
      <c r="B526" s="525" t="str">
        <f ca="1">IF(OR(A526="",A526=0),"",IF(COUNTIF($A$2:A526,$A526)=1,ROW(MauKoXoa!$C$108),$B525+1))</f>
        <v/>
      </c>
      <c r="C526" s="992" t="str">
        <f t="shared" ca="1" si="74"/>
        <v/>
      </c>
      <c r="D526" s="993" t="str">
        <f t="shared" ca="1" si="75"/>
        <v/>
      </c>
      <c r="E526" s="993" t="str">
        <f t="shared" ca="1" si="76"/>
        <v/>
      </c>
      <c r="F526" s="992" t="str">
        <f t="shared" ca="1" si="84"/>
        <v/>
      </c>
      <c r="G526" s="994">
        <f t="shared" ca="1" si="77"/>
        <v>0</v>
      </c>
      <c r="H526" s="913">
        <f t="shared" ca="1" si="78"/>
        <v>0</v>
      </c>
      <c r="I526" s="913">
        <f t="shared" ca="1" si="79"/>
        <v>0</v>
      </c>
      <c r="J526" s="995">
        <f t="shared" ca="1" si="85"/>
        <v>0</v>
      </c>
      <c r="K526" s="913">
        <f t="shared" ca="1" si="80"/>
        <v>0</v>
      </c>
      <c r="L526" s="995">
        <f t="shared" ca="1" si="86"/>
        <v>0</v>
      </c>
      <c r="M526" s="913">
        <f t="shared" ca="1" si="81"/>
        <v>0</v>
      </c>
      <c r="N526" s="996">
        <f t="shared" ca="1" si="82"/>
        <v>0</v>
      </c>
      <c r="O526" s="997">
        <f t="shared" ca="1" si="83"/>
        <v>0</v>
      </c>
      <c r="P526" s="1015" t="str">
        <f ca="1">IF($C526="","",INDEX(NVLSX!$N$2:$N$6941,MATCH($C526,NVLSX!$E$2:$E$6941,0)))</f>
        <v/>
      </c>
      <c r="Q526" s="1016" t="str">
        <f ca="1">IF($R526="","",IF(XKNVLSX!$X$1="",IF($P526=$V$7,$P526, IF(COUNTIFS($C$2:$C525,$C526,$E$2:$E525,$E526)&gt;=1,"",$P526)),     IF(AND(IFERROR(SEARCH($R526,XKNVLSX!$X$1,1),0)&gt;=1,$P526=$V$7),$P526, IF(OR($R526&lt;&gt;IF(IFERROR(SEARCH($R526,XKNVLSX!$X$1,1),0)&gt;=1,$R526,XKNVLSX!$X$1),COUNTIFS($C$2:$C525,$C526,$E$2:$E525,$E526,$Q$2:$Q525,$P526)&gt;=1),"",$P526))))</f>
        <v/>
      </c>
      <c r="R526" s="1017" t="str">
        <f ca="1">IF($A526="","",IFERROR(INDEX(TinhGia!$BF$10:$BF$81,MATCH($A526,TinhGia!$B$10:$B$81,0)),""))</f>
        <v/>
      </c>
      <c r="S526" s="1012" t="str">
        <f ca="1">IF($A526="","",IF(OR(IFERROR(SEARCH($R526,XKNVLSX!$X$1,1),0)&gt;=1,XKNVLSX!$X$1=""),$S$2,""))</f>
        <v/>
      </c>
      <c r="T526" s="1018" t="str">
        <f ca="1">IF($C526="","", IF(OR($P526=$V$1,$P526=$V$7,COUNTIFS($C$3:$C526,$C526,$E$3:$E526,$E526)&lt;=1),$P526,""    ))</f>
        <v/>
      </c>
      <c r="U526" s="1019" t="str">
        <f ca="1">IF(AND($P526=$V$2,COUNTIFS($C$3:$C526,$C526,$E$3:$E526,$E526,$G$3:$G526,$G526)&lt;=1),$P526,"")</f>
        <v/>
      </c>
    </row>
    <row r="527" spans="1:21">
      <c r="A527" s="991" t="str">
        <f ca="1">IFERROR(IF(COUNTIF($A$3:A526,A526)&lt; INDEX(TinhGia!$BH$10:$BH$81,MATCH($A526,TinhGia!$B$10:$B$81,0)),$A526,INDEX(TinhGia!$B$10:$B$81,MATCH($A526,TinhGia!$B$10:$B$81,0)+1)),"")</f>
        <v/>
      </c>
      <c r="B527" s="525" t="str">
        <f ca="1">IF(OR(A527="",A527=0),"",IF(COUNTIF($A$2:A527,$A527)=1,ROW(MauKoXoa!$C$108),$B526+1))</f>
        <v/>
      </c>
      <c r="C527" s="992" t="str">
        <f t="shared" ca="1" si="74"/>
        <v/>
      </c>
      <c r="D527" s="993" t="str">
        <f t="shared" ca="1" si="75"/>
        <v/>
      </c>
      <c r="E527" s="993" t="str">
        <f t="shared" ca="1" si="76"/>
        <v/>
      </c>
      <c r="F527" s="992" t="str">
        <f t="shared" ca="1" si="84"/>
        <v/>
      </c>
      <c r="G527" s="994">
        <f t="shared" ca="1" si="77"/>
        <v>0</v>
      </c>
      <c r="H527" s="913">
        <f t="shared" ca="1" si="78"/>
        <v>0</v>
      </c>
      <c r="I527" s="913">
        <f t="shared" ca="1" si="79"/>
        <v>0</v>
      </c>
      <c r="J527" s="995">
        <f t="shared" ca="1" si="85"/>
        <v>0</v>
      </c>
      <c r="K527" s="913">
        <f t="shared" ca="1" si="80"/>
        <v>0</v>
      </c>
      <c r="L527" s="995">
        <f t="shared" ca="1" si="86"/>
        <v>0</v>
      </c>
      <c r="M527" s="913">
        <f t="shared" ca="1" si="81"/>
        <v>0</v>
      </c>
      <c r="N527" s="996">
        <f t="shared" ca="1" si="82"/>
        <v>0</v>
      </c>
      <c r="O527" s="997">
        <f t="shared" ca="1" si="83"/>
        <v>0</v>
      </c>
      <c r="P527" s="1015" t="str">
        <f ca="1">IF($C527="","",INDEX(NVLSX!$N$2:$N$6941,MATCH($C527,NVLSX!$E$2:$E$6941,0)))</f>
        <v/>
      </c>
      <c r="Q527" s="1016" t="str">
        <f ca="1">IF($R527="","",IF(XKNVLSX!$X$1="",IF($P527=$V$7,$P527, IF(COUNTIFS($C$2:$C526,$C527,$E$2:$E526,$E527)&gt;=1,"",$P527)),     IF(AND(IFERROR(SEARCH($R527,XKNVLSX!$X$1,1),0)&gt;=1,$P527=$V$7),$P527, IF(OR($R527&lt;&gt;IF(IFERROR(SEARCH($R527,XKNVLSX!$X$1,1),0)&gt;=1,$R527,XKNVLSX!$X$1),COUNTIFS($C$2:$C526,$C527,$E$2:$E526,$E527,$Q$2:$Q526,$P527)&gt;=1),"",$P527))))</f>
        <v/>
      </c>
      <c r="R527" s="1017" t="str">
        <f ca="1">IF($A527="","",IFERROR(INDEX(TinhGia!$BF$10:$BF$81,MATCH($A527,TinhGia!$B$10:$B$81,0)),""))</f>
        <v/>
      </c>
      <c r="S527" s="1012" t="str">
        <f ca="1">IF($A527="","",IF(OR(IFERROR(SEARCH($R527,XKNVLSX!$X$1,1),0)&gt;=1,XKNVLSX!$X$1=""),$S$2,""))</f>
        <v/>
      </c>
      <c r="T527" s="1018" t="str">
        <f ca="1">IF($C527="","", IF(OR($P527=$V$1,$P527=$V$7,COUNTIFS($C$3:$C527,$C527,$E$3:$E527,$E527)&lt;=1),$P527,""    ))</f>
        <v/>
      </c>
      <c r="U527" s="1019" t="str">
        <f ca="1">IF(AND($P527=$V$2,COUNTIFS($C$3:$C527,$C527,$E$3:$E527,$E527,$G$3:$G527,$G527)&lt;=1),$P527,"")</f>
        <v/>
      </c>
    </row>
    <row r="528" spans="1:21">
      <c r="A528" s="991" t="str">
        <f ca="1">IFERROR(IF(COUNTIF($A$3:A527,A527)&lt; INDEX(TinhGia!$BH$10:$BH$81,MATCH($A527,TinhGia!$B$10:$B$81,0)),$A527,INDEX(TinhGia!$B$10:$B$81,MATCH($A527,TinhGia!$B$10:$B$81,0)+1)),"")</f>
        <v/>
      </c>
      <c r="B528" s="525" t="str">
        <f ca="1">IF(OR(A528="",A528=0),"",IF(COUNTIF($A$2:A528,$A528)=1,ROW(MauKoXoa!$C$108),$B527+1))</f>
        <v/>
      </c>
      <c r="C528" s="992" t="str">
        <f t="shared" ca="1" si="74"/>
        <v/>
      </c>
      <c r="D528" s="993" t="str">
        <f t="shared" ca="1" si="75"/>
        <v/>
      </c>
      <c r="E528" s="993" t="str">
        <f t="shared" ca="1" si="76"/>
        <v/>
      </c>
      <c r="F528" s="992" t="str">
        <f t="shared" ca="1" si="84"/>
        <v/>
      </c>
      <c r="G528" s="994">
        <f t="shared" ca="1" si="77"/>
        <v>0</v>
      </c>
      <c r="H528" s="913">
        <f t="shared" ca="1" si="78"/>
        <v>0</v>
      </c>
      <c r="I528" s="913">
        <f t="shared" ca="1" si="79"/>
        <v>0</v>
      </c>
      <c r="J528" s="995">
        <f t="shared" ca="1" si="85"/>
        <v>0</v>
      </c>
      <c r="K528" s="913">
        <f t="shared" ca="1" si="80"/>
        <v>0</v>
      </c>
      <c r="L528" s="995">
        <f t="shared" ca="1" si="86"/>
        <v>0</v>
      </c>
      <c r="M528" s="913">
        <f t="shared" ca="1" si="81"/>
        <v>0</v>
      </c>
      <c r="N528" s="996">
        <f t="shared" ca="1" si="82"/>
        <v>0</v>
      </c>
      <c r="O528" s="997">
        <f t="shared" ca="1" si="83"/>
        <v>0</v>
      </c>
      <c r="P528" s="1015" t="str">
        <f ca="1">IF($C528="","",INDEX(NVLSX!$N$2:$N$6941,MATCH($C528,NVLSX!$E$2:$E$6941,0)))</f>
        <v/>
      </c>
      <c r="Q528" s="1016" t="str">
        <f ca="1">IF($R528="","",IF(XKNVLSX!$X$1="",IF($P528=$V$7,$P528, IF(COUNTIFS($C$2:$C527,$C528,$E$2:$E527,$E528)&gt;=1,"",$P528)),     IF(AND(IFERROR(SEARCH($R528,XKNVLSX!$X$1,1),0)&gt;=1,$P528=$V$7),$P528, IF(OR($R528&lt;&gt;IF(IFERROR(SEARCH($R528,XKNVLSX!$X$1,1),0)&gt;=1,$R528,XKNVLSX!$X$1),COUNTIFS($C$2:$C527,$C528,$E$2:$E527,$E528,$Q$2:$Q527,$P528)&gt;=1),"",$P528))))</f>
        <v/>
      </c>
      <c r="R528" s="1017" t="str">
        <f ca="1">IF($A528="","",IFERROR(INDEX(TinhGia!$BF$10:$BF$81,MATCH($A528,TinhGia!$B$10:$B$81,0)),""))</f>
        <v/>
      </c>
      <c r="S528" s="1012" t="str">
        <f ca="1">IF($A528="","",IF(OR(IFERROR(SEARCH($R528,XKNVLSX!$X$1,1),0)&gt;=1,XKNVLSX!$X$1=""),$S$2,""))</f>
        <v/>
      </c>
      <c r="T528" s="1018" t="str">
        <f ca="1">IF($C528="","", IF(OR($P528=$V$1,$P528=$V$7,COUNTIFS($C$3:$C528,$C528,$E$3:$E528,$E528)&lt;=1),$P528,""    ))</f>
        <v/>
      </c>
      <c r="U528" s="1019" t="str">
        <f ca="1">IF(AND($P528=$V$2,COUNTIFS($C$3:$C528,$C528,$E$3:$E528,$E528,$G$3:$G528,$G528)&lt;=1),$P528,"")</f>
        <v/>
      </c>
    </row>
    <row r="529" spans="1:21">
      <c r="A529" s="991" t="str">
        <f ca="1">IFERROR(IF(COUNTIF($A$3:A528,A528)&lt; INDEX(TinhGia!$BH$10:$BH$81,MATCH($A528,TinhGia!$B$10:$B$81,0)),$A528,INDEX(TinhGia!$B$10:$B$81,MATCH($A528,TinhGia!$B$10:$B$81,0)+1)),"")</f>
        <v/>
      </c>
      <c r="B529" s="525" t="str">
        <f ca="1">IF(OR(A529="",A529=0),"",IF(COUNTIF($A$2:A529,$A529)=1,ROW(MauKoXoa!$C$108),$B528+1))</f>
        <v/>
      </c>
      <c r="C529" s="992" t="str">
        <f t="shared" ca="1" si="74"/>
        <v/>
      </c>
      <c r="D529" s="993" t="str">
        <f t="shared" ca="1" si="75"/>
        <v/>
      </c>
      <c r="E529" s="993" t="str">
        <f t="shared" ca="1" si="76"/>
        <v/>
      </c>
      <c r="F529" s="992" t="str">
        <f t="shared" ca="1" si="84"/>
        <v/>
      </c>
      <c r="G529" s="994">
        <f t="shared" ca="1" si="77"/>
        <v>0</v>
      </c>
      <c r="H529" s="913">
        <f t="shared" ca="1" si="78"/>
        <v>0</v>
      </c>
      <c r="I529" s="913">
        <f t="shared" ca="1" si="79"/>
        <v>0</v>
      </c>
      <c r="J529" s="995">
        <f t="shared" ca="1" si="85"/>
        <v>0</v>
      </c>
      <c r="K529" s="913">
        <f t="shared" ca="1" si="80"/>
        <v>0</v>
      </c>
      <c r="L529" s="995">
        <f t="shared" ca="1" si="86"/>
        <v>0</v>
      </c>
      <c r="M529" s="913">
        <f t="shared" ca="1" si="81"/>
        <v>0</v>
      </c>
      <c r="N529" s="996">
        <f t="shared" ca="1" si="82"/>
        <v>0</v>
      </c>
      <c r="O529" s="997">
        <f t="shared" ca="1" si="83"/>
        <v>0</v>
      </c>
      <c r="P529" s="1015" t="str">
        <f ca="1">IF($C529="","",INDEX(NVLSX!$N$2:$N$6941,MATCH($C529,NVLSX!$E$2:$E$6941,0)))</f>
        <v/>
      </c>
      <c r="Q529" s="1016" t="str">
        <f ca="1">IF($R529="","",IF(XKNVLSX!$X$1="",IF($P529=$V$7,$P529, IF(COUNTIFS($C$2:$C528,$C529,$E$2:$E528,$E529)&gt;=1,"",$P529)),     IF(AND(IFERROR(SEARCH($R529,XKNVLSX!$X$1,1),0)&gt;=1,$P529=$V$7),$P529, IF(OR($R529&lt;&gt;IF(IFERROR(SEARCH($R529,XKNVLSX!$X$1,1),0)&gt;=1,$R529,XKNVLSX!$X$1),COUNTIFS($C$2:$C528,$C529,$E$2:$E528,$E529,$Q$2:$Q528,$P529)&gt;=1),"",$P529))))</f>
        <v/>
      </c>
      <c r="R529" s="1017" t="str">
        <f ca="1">IF($A529="","",IFERROR(INDEX(TinhGia!$BF$10:$BF$81,MATCH($A529,TinhGia!$B$10:$B$81,0)),""))</f>
        <v/>
      </c>
      <c r="S529" s="1012" t="str">
        <f ca="1">IF($A529="","",IF(OR(IFERROR(SEARCH($R529,XKNVLSX!$X$1,1),0)&gt;=1,XKNVLSX!$X$1=""),$S$2,""))</f>
        <v/>
      </c>
      <c r="T529" s="1018" t="str">
        <f ca="1">IF($C529="","", IF(OR($P529=$V$1,$P529=$V$7,COUNTIFS($C$3:$C529,$C529,$E$3:$E529,$E529)&lt;=1),$P529,""    ))</f>
        <v/>
      </c>
      <c r="U529" s="1019" t="str">
        <f ca="1">IF(AND($P529=$V$2,COUNTIFS($C$3:$C529,$C529,$E$3:$E529,$E529,$G$3:$G529,$G529)&lt;=1),$P529,"")</f>
        <v/>
      </c>
    </row>
    <row r="530" spans="1:21">
      <c r="A530" s="991" t="str">
        <f ca="1">IFERROR(IF(COUNTIF($A$3:A529,A529)&lt; INDEX(TinhGia!$BH$10:$BH$81,MATCH($A529,TinhGia!$B$10:$B$81,0)),$A529,INDEX(TinhGia!$B$10:$B$81,MATCH($A529,TinhGia!$B$10:$B$81,0)+1)),"")</f>
        <v/>
      </c>
      <c r="B530" s="525" t="str">
        <f ca="1">IF(OR(A530="",A530=0),"",IF(COUNTIF($A$2:A530,$A530)=1,ROW(MauKoXoa!$C$108),$B529+1))</f>
        <v/>
      </c>
      <c r="C530" s="992" t="str">
        <f t="shared" ca="1" si="74"/>
        <v/>
      </c>
      <c r="D530" s="993" t="str">
        <f t="shared" ca="1" si="75"/>
        <v/>
      </c>
      <c r="E530" s="993" t="str">
        <f t="shared" ca="1" si="76"/>
        <v/>
      </c>
      <c r="F530" s="992" t="str">
        <f t="shared" ca="1" si="84"/>
        <v/>
      </c>
      <c r="G530" s="994">
        <f t="shared" ca="1" si="77"/>
        <v>0</v>
      </c>
      <c r="H530" s="913">
        <f t="shared" ca="1" si="78"/>
        <v>0</v>
      </c>
      <c r="I530" s="913">
        <f t="shared" ca="1" si="79"/>
        <v>0</v>
      </c>
      <c r="J530" s="995">
        <f t="shared" ca="1" si="85"/>
        <v>0</v>
      </c>
      <c r="K530" s="913">
        <f t="shared" ca="1" si="80"/>
        <v>0</v>
      </c>
      <c r="L530" s="995">
        <f t="shared" ca="1" si="86"/>
        <v>0</v>
      </c>
      <c r="M530" s="913">
        <f t="shared" ca="1" si="81"/>
        <v>0</v>
      </c>
      <c r="N530" s="996">
        <f t="shared" ca="1" si="82"/>
        <v>0</v>
      </c>
      <c r="O530" s="997">
        <f t="shared" ca="1" si="83"/>
        <v>0</v>
      </c>
      <c r="P530" s="1015" t="str">
        <f ca="1">IF($C530="","",INDEX(NVLSX!$N$2:$N$6941,MATCH($C530,NVLSX!$E$2:$E$6941,0)))</f>
        <v/>
      </c>
      <c r="Q530" s="1016" t="str">
        <f ca="1">IF($R530="","",IF(XKNVLSX!$X$1="",IF($P530=$V$7,$P530, IF(COUNTIFS($C$2:$C529,$C530,$E$2:$E529,$E530)&gt;=1,"",$P530)),     IF(AND(IFERROR(SEARCH($R530,XKNVLSX!$X$1,1),0)&gt;=1,$P530=$V$7),$P530, IF(OR($R530&lt;&gt;IF(IFERROR(SEARCH($R530,XKNVLSX!$X$1,1),0)&gt;=1,$R530,XKNVLSX!$X$1),COUNTIFS($C$2:$C529,$C530,$E$2:$E529,$E530,$Q$2:$Q529,$P530)&gt;=1),"",$P530))))</f>
        <v/>
      </c>
      <c r="R530" s="1017" t="str">
        <f ca="1">IF($A530="","",IFERROR(INDEX(TinhGia!$BF$10:$BF$81,MATCH($A530,TinhGia!$B$10:$B$81,0)),""))</f>
        <v/>
      </c>
      <c r="S530" s="1012" t="str">
        <f ca="1">IF($A530="","",IF(OR(IFERROR(SEARCH($R530,XKNVLSX!$X$1,1),0)&gt;=1,XKNVLSX!$X$1=""),$S$2,""))</f>
        <v/>
      </c>
      <c r="T530" s="1018" t="str">
        <f ca="1">IF($C530="","", IF(OR($P530=$V$1,$P530=$V$7,COUNTIFS($C$3:$C530,$C530,$E$3:$E530,$E530)&lt;=1),$P530,""    ))</f>
        <v/>
      </c>
      <c r="U530" s="1019" t="str">
        <f ca="1">IF(AND($P530=$V$2,COUNTIFS($C$3:$C530,$C530,$E$3:$E530,$E530,$G$3:$G530,$G530)&lt;=1),$P530,"")</f>
        <v/>
      </c>
    </row>
    <row r="531" spans="1:21">
      <c r="A531" s="991" t="str">
        <f ca="1">IFERROR(IF(COUNTIF($A$3:A530,A530)&lt; INDEX(TinhGia!$BH$10:$BH$81,MATCH($A530,TinhGia!$B$10:$B$81,0)),$A530,INDEX(TinhGia!$B$10:$B$81,MATCH($A530,TinhGia!$B$10:$B$81,0)+1)),"")</f>
        <v/>
      </c>
      <c r="B531" s="525" t="str">
        <f ca="1">IF(OR(A531="",A531=0),"",IF(COUNTIF($A$2:A531,$A531)=1,ROW(MauKoXoa!$C$108),$B530+1))</f>
        <v/>
      </c>
      <c r="C531" s="992" t="str">
        <f t="shared" ca="1" si="74"/>
        <v/>
      </c>
      <c r="D531" s="993" t="str">
        <f t="shared" ca="1" si="75"/>
        <v/>
      </c>
      <c r="E531" s="993" t="str">
        <f t="shared" ca="1" si="76"/>
        <v/>
      </c>
      <c r="F531" s="992" t="str">
        <f t="shared" ca="1" si="84"/>
        <v/>
      </c>
      <c r="G531" s="994">
        <f t="shared" ca="1" si="77"/>
        <v>0</v>
      </c>
      <c r="H531" s="913">
        <f t="shared" ca="1" si="78"/>
        <v>0</v>
      </c>
      <c r="I531" s="913">
        <f t="shared" ca="1" si="79"/>
        <v>0</v>
      </c>
      <c r="J531" s="995">
        <f t="shared" ca="1" si="85"/>
        <v>0</v>
      </c>
      <c r="K531" s="913">
        <f t="shared" ca="1" si="80"/>
        <v>0</v>
      </c>
      <c r="L531" s="995">
        <f t="shared" ca="1" si="86"/>
        <v>0</v>
      </c>
      <c r="M531" s="913">
        <f t="shared" ca="1" si="81"/>
        <v>0</v>
      </c>
      <c r="N531" s="996">
        <f t="shared" ca="1" si="82"/>
        <v>0</v>
      </c>
      <c r="O531" s="997">
        <f t="shared" ca="1" si="83"/>
        <v>0</v>
      </c>
      <c r="P531" s="1015" t="str">
        <f ca="1">IF($C531="","",INDEX(NVLSX!$N$2:$N$6941,MATCH($C531,NVLSX!$E$2:$E$6941,0)))</f>
        <v/>
      </c>
      <c r="Q531" s="1016" t="str">
        <f ca="1">IF($R531="","",IF(XKNVLSX!$X$1="",IF($P531=$V$7,$P531, IF(COUNTIFS($C$2:$C530,$C531,$E$2:$E530,$E531)&gt;=1,"",$P531)),     IF(AND(IFERROR(SEARCH($R531,XKNVLSX!$X$1,1),0)&gt;=1,$P531=$V$7),$P531, IF(OR($R531&lt;&gt;IF(IFERROR(SEARCH($R531,XKNVLSX!$X$1,1),0)&gt;=1,$R531,XKNVLSX!$X$1),COUNTIFS($C$2:$C530,$C531,$E$2:$E530,$E531,$Q$2:$Q530,$P531)&gt;=1),"",$P531))))</f>
        <v/>
      </c>
      <c r="R531" s="1017" t="str">
        <f ca="1">IF($A531="","",IFERROR(INDEX(TinhGia!$BF$10:$BF$81,MATCH($A531,TinhGia!$B$10:$B$81,0)),""))</f>
        <v/>
      </c>
      <c r="S531" s="1012" t="str">
        <f ca="1">IF($A531="","",IF(OR(IFERROR(SEARCH($R531,XKNVLSX!$X$1,1),0)&gt;=1,XKNVLSX!$X$1=""),$S$2,""))</f>
        <v/>
      </c>
      <c r="T531" s="1018" t="str">
        <f ca="1">IF($C531="","", IF(OR($P531=$V$1,$P531=$V$7,COUNTIFS($C$3:$C531,$C531,$E$3:$E531,$E531)&lt;=1),$P531,""    ))</f>
        <v/>
      </c>
      <c r="U531" s="1019" t="str">
        <f ca="1">IF(AND($P531=$V$2,COUNTIFS($C$3:$C531,$C531,$E$3:$E531,$E531,$G$3:$G531,$G531)&lt;=1),$P531,"")</f>
        <v/>
      </c>
    </row>
    <row r="532" spans="1:21">
      <c r="A532" s="991" t="str">
        <f ca="1">IFERROR(IF(COUNTIF($A$3:A531,A531)&lt; INDEX(TinhGia!$BH$10:$BH$81,MATCH($A531,TinhGia!$B$10:$B$81,0)),$A531,INDEX(TinhGia!$B$10:$B$81,MATCH($A531,TinhGia!$B$10:$B$81,0)+1)),"")</f>
        <v/>
      </c>
      <c r="B532" s="525" t="str">
        <f ca="1">IF(OR(A532="",A532=0),"",IF(COUNTIF($A$2:A532,$A532)=1,ROW(MauKoXoa!$C$108),$B531+1))</f>
        <v/>
      </c>
      <c r="C532" s="992" t="str">
        <f t="shared" ca="1" si="74"/>
        <v/>
      </c>
      <c r="D532" s="993" t="str">
        <f t="shared" ca="1" si="75"/>
        <v/>
      </c>
      <c r="E532" s="993" t="str">
        <f t="shared" ca="1" si="76"/>
        <v/>
      </c>
      <c r="F532" s="992" t="str">
        <f t="shared" ca="1" si="84"/>
        <v/>
      </c>
      <c r="G532" s="994">
        <f t="shared" ca="1" si="77"/>
        <v>0</v>
      </c>
      <c r="H532" s="913">
        <f t="shared" ca="1" si="78"/>
        <v>0</v>
      </c>
      <c r="I532" s="913">
        <f t="shared" ca="1" si="79"/>
        <v>0</v>
      </c>
      <c r="J532" s="995">
        <f t="shared" ca="1" si="85"/>
        <v>0</v>
      </c>
      <c r="K532" s="913">
        <f t="shared" ca="1" si="80"/>
        <v>0</v>
      </c>
      <c r="L532" s="995">
        <f t="shared" ca="1" si="86"/>
        <v>0</v>
      </c>
      <c r="M532" s="913">
        <f t="shared" ca="1" si="81"/>
        <v>0</v>
      </c>
      <c r="N532" s="996">
        <f t="shared" ca="1" si="82"/>
        <v>0</v>
      </c>
      <c r="O532" s="997">
        <f t="shared" ca="1" si="83"/>
        <v>0</v>
      </c>
      <c r="P532" s="1015" t="str">
        <f ca="1">IF($C532="","",INDEX(NVLSX!$N$2:$N$6941,MATCH($C532,NVLSX!$E$2:$E$6941,0)))</f>
        <v/>
      </c>
      <c r="Q532" s="1016" t="str">
        <f ca="1">IF($R532="","",IF(XKNVLSX!$X$1="",IF($P532=$V$7,$P532, IF(COUNTIFS($C$2:$C531,$C532,$E$2:$E531,$E532)&gt;=1,"",$P532)),     IF(AND(IFERROR(SEARCH($R532,XKNVLSX!$X$1,1),0)&gt;=1,$P532=$V$7),$P532, IF(OR($R532&lt;&gt;IF(IFERROR(SEARCH($R532,XKNVLSX!$X$1,1),0)&gt;=1,$R532,XKNVLSX!$X$1),COUNTIFS($C$2:$C531,$C532,$E$2:$E531,$E532,$Q$2:$Q531,$P532)&gt;=1),"",$P532))))</f>
        <v/>
      </c>
      <c r="R532" s="1017" t="str">
        <f ca="1">IF($A532="","",IFERROR(INDEX(TinhGia!$BF$10:$BF$81,MATCH($A532,TinhGia!$B$10:$B$81,0)),""))</f>
        <v/>
      </c>
      <c r="S532" s="1012" t="str">
        <f ca="1">IF($A532="","",IF(OR(IFERROR(SEARCH($R532,XKNVLSX!$X$1,1),0)&gt;=1,XKNVLSX!$X$1=""),$S$2,""))</f>
        <v/>
      </c>
      <c r="T532" s="1018" t="str">
        <f ca="1">IF($C532="","", IF(OR($P532=$V$1,$P532=$V$7,COUNTIFS($C$3:$C532,$C532,$E$3:$E532,$E532)&lt;=1),$P532,""    ))</f>
        <v/>
      </c>
      <c r="U532" s="1019" t="str">
        <f ca="1">IF(AND($P532=$V$2,COUNTIFS($C$3:$C532,$C532,$E$3:$E532,$E532,$G$3:$G532,$G532)&lt;=1),$P532,"")</f>
        <v/>
      </c>
    </row>
    <row r="533" spans="1:21">
      <c r="A533" s="991" t="str">
        <f ca="1">IFERROR(IF(COUNTIF($A$3:A532,A532)&lt; INDEX(TinhGia!$BH$10:$BH$81,MATCH($A532,TinhGia!$B$10:$B$81,0)),$A532,INDEX(TinhGia!$B$10:$B$81,MATCH($A532,TinhGia!$B$10:$B$81,0)+1)),"")</f>
        <v/>
      </c>
      <c r="B533" s="525" t="str">
        <f ca="1">IF(OR(A533="",A533=0),"",IF(COUNTIF($A$2:A533,$A533)=1,ROW(MauKoXoa!$C$108),$B532+1))</f>
        <v/>
      </c>
      <c r="C533" s="992" t="str">
        <f t="shared" ca="1" si="74"/>
        <v/>
      </c>
      <c r="D533" s="993" t="str">
        <f t="shared" ca="1" si="75"/>
        <v/>
      </c>
      <c r="E533" s="993" t="str">
        <f t="shared" ca="1" si="76"/>
        <v/>
      </c>
      <c r="F533" s="992" t="str">
        <f t="shared" ca="1" si="84"/>
        <v/>
      </c>
      <c r="G533" s="994">
        <f t="shared" ca="1" si="77"/>
        <v>0</v>
      </c>
      <c r="H533" s="913">
        <f t="shared" ca="1" si="78"/>
        <v>0</v>
      </c>
      <c r="I533" s="913">
        <f t="shared" ca="1" si="79"/>
        <v>0</v>
      </c>
      <c r="J533" s="995">
        <f t="shared" ca="1" si="85"/>
        <v>0</v>
      </c>
      <c r="K533" s="913">
        <f t="shared" ca="1" si="80"/>
        <v>0</v>
      </c>
      <c r="L533" s="995">
        <f t="shared" ca="1" si="86"/>
        <v>0</v>
      </c>
      <c r="M533" s="913">
        <f t="shared" ca="1" si="81"/>
        <v>0</v>
      </c>
      <c r="N533" s="996">
        <f t="shared" ca="1" si="82"/>
        <v>0</v>
      </c>
      <c r="O533" s="997">
        <f t="shared" ca="1" si="83"/>
        <v>0</v>
      </c>
      <c r="P533" s="1015" t="str">
        <f ca="1">IF($C533="","",INDEX(NVLSX!$N$2:$N$6941,MATCH($C533,NVLSX!$E$2:$E$6941,0)))</f>
        <v/>
      </c>
      <c r="Q533" s="1016" t="str">
        <f ca="1">IF($R533="","",IF(XKNVLSX!$X$1="",IF($P533=$V$7,$P533, IF(COUNTIFS($C$2:$C532,$C533,$E$2:$E532,$E533)&gt;=1,"",$P533)),     IF(AND(IFERROR(SEARCH($R533,XKNVLSX!$X$1,1),0)&gt;=1,$P533=$V$7),$P533, IF(OR($R533&lt;&gt;IF(IFERROR(SEARCH($R533,XKNVLSX!$X$1,1),0)&gt;=1,$R533,XKNVLSX!$X$1),COUNTIFS($C$2:$C532,$C533,$E$2:$E532,$E533,$Q$2:$Q532,$P533)&gt;=1),"",$P533))))</f>
        <v/>
      </c>
      <c r="R533" s="1017" t="str">
        <f ca="1">IF($A533="","",IFERROR(INDEX(TinhGia!$BF$10:$BF$81,MATCH($A533,TinhGia!$B$10:$B$81,0)),""))</f>
        <v/>
      </c>
      <c r="S533" s="1012" t="str">
        <f ca="1">IF($A533="","",IF(OR(IFERROR(SEARCH($R533,XKNVLSX!$X$1,1),0)&gt;=1,XKNVLSX!$X$1=""),$S$2,""))</f>
        <v/>
      </c>
      <c r="T533" s="1018" t="str">
        <f ca="1">IF($C533="","", IF(OR($P533=$V$1,$P533=$V$7,COUNTIFS($C$3:$C533,$C533,$E$3:$E533,$E533)&lt;=1),$P533,""    ))</f>
        <v/>
      </c>
      <c r="U533" s="1019" t="str">
        <f ca="1">IF(AND($P533=$V$2,COUNTIFS($C$3:$C533,$C533,$E$3:$E533,$E533,$G$3:$G533,$G533)&lt;=1),$P533,"")</f>
        <v/>
      </c>
    </row>
    <row r="534" spans="1:21">
      <c r="A534" s="991" t="str">
        <f ca="1">IFERROR(IF(COUNTIF($A$3:A533,A533)&lt; INDEX(TinhGia!$BH$10:$BH$81,MATCH($A533,TinhGia!$B$10:$B$81,0)),$A533,INDEX(TinhGia!$B$10:$B$81,MATCH($A533,TinhGia!$B$10:$B$81,0)+1)),"")</f>
        <v/>
      </c>
      <c r="B534" s="525" t="str">
        <f ca="1">IF(OR(A534="",A534=0),"",IF(COUNTIF($A$2:A534,$A534)=1,ROW(MauKoXoa!$C$108),$B533+1))</f>
        <v/>
      </c>
      <c r="C534" s="992" t="str">
        <f t="shared" ca="1" si="74"/>
        <v/>
      </c>
      <c r="D534" s="993" t="str">
        <f t="shared" ca="1" si="75"/>
        <v/>
      </c>
      <c r="E534" s="993" t="str">
        <f t="shared" ca="1" si="76"/>
        <v/>
      </c>
      <c r="F534" s="992" t="str">
        <f t="shared" ca="1" si="84"/>
        <v/>
      </c>
      <c r="G534" s="994">
        <f t="shared" ca="1" si="77"/>
        <v>0</v>
      </c>
      <c r="H534" s="913">
        <f t="shared" ca="1" si="78"/>
        <v>0</v>
      </c>
      <c r="I534" s="913">
        <f t="shared" ca="1" si="79"/>
        <v>0</v>
      </c>
      <c r="J534" s="995">
        <f t="shared" ca="1" si="85"/>
        <v>0</v>
      </c>
      <c r="K534" s="913">
        <f t="shared" ca="1" si="80"/>
        <v>0</v>
      </c>
      <c r="L534" s="995">
        <f t="shared" ca="1" si="86"/>
        <v>0</v>
      </c>
      <c r="M534" s="913">
        <f t="shared" ca="1" si="81"/>
        <v>0</v>
      </c>
      <c r="N534" s="996">
        <f t="shared" ca="1" si="82"/>
        <v>0</v>
      </c>
      <c r="O534" s="997">
        <f t="shared" ca="1" si="83"/>
        <v>0</v>
      </c>
      <c r="P534" s="1015" t="str">
        <f ca="1">IF($C534="","",INDEX(NVLSX!$N$2:$N$6941,MATCH($C534,NVLSX!$E$2:$E$6941,0)))</f>
        <v/>
      </c>
      <c r="Q534" s="1016" t="str">
        <f ca="1">IF($R534="","",IF(XKNVLSX!$X$1="",IF($P534=$V$7,$P534, IF(COUNTIFS($C$2:$C533,$C534,$E$2:$E533,$E534)&gt;=1,"",$P534)),     IF(AND(IFERROR(SEARCH($R534,XKNVLSX!$X$1,1),0)&gt;=1,$P534=$V$7),$P534, IF(OR($R534&lt;&gt;IF(IFERROR(SEARCH($R534,XKNVLSX!$X$1,1),0)&gt;=1,$R534,XKNVLSX!$X$1),COUNTIFS($C$2:$C533,$C534,$E$2:$E533,$E534,$Q$2:$Q533,$P534)&gt;=1),"",$P534))))</f>
        <v/>
      </c>
      <c r="R534" s="1017" t="str">
        <f ca="1">IF($A534="","",IFERROR(INDEX(TinhGia!$BF$10:$BF$81,MATCH($A534,TinhGia!$B$10:$B$81,0)),""))</f>
        <v/>
      </c>
      <c r="S534" s="1012" t="str">
        <f ca="1">IF($A534="","",IF(OR(IFERROR(SEARCH($R534,XKNVLSX!$X$1,1),0)&gt;=1,XKNVLSX!$X$1=""),$S$2,""))</f>
        <v/>
      </c>
      <c r="T534" s="1018" t="str">
        <f ca="1">IF($C534="","", IF(OR($P534=$V$1,$P534=$V$7,COUNTIFS($C$3:$C534,$C534,$E$3:$E534,$E534)&lt;=1),$P534,""    ))</f>
        <v/>
      </c>
      <c r="U534" s="1019" t="str">
        <f ca="1">IF(AND($P534=$V$2,COUNTIFS($C$3:$C534,$C534,$E$3:$E534,$E534,$G$3:$G534,$G534)&lt;=1),$P534,"")</f>
        <v/>
      </c>
    </row>
    <row r="535" spans="1:21">
      <c r="A535" s="991" t="str">
        <f ca="1">IFERROR(IF(COUNTIF($A$3:A534,A534)&lt; INDEX(TinhGia!$BH$10:$BH$81,MATCH($A534,TinhGia!$B$10:$B$81,0)),$A534,INDEX(TinhGia!$B$10:$B$81,MATCH($A534,TinhGia!$B$10:$B$81,0)+1)),"")</f>
        <v/>
      </c>
      <c r="B535" s="525" t="str">
        <f ca="1">IF(OR(A535="",A535=0),"",IF(COUNTIF($A$2:A535,$A535)=1,ROW(MauKoXoa!$C$108),$B534+1))</f>
        <v/>
      </c>
      <c r="C535" s="992" t="str">
        <f t="shared" ca="1" si="74"/>
        <v/>
      </c>
      <c r="D535" s="993" t="str">
        <f t="shared" ca="1" si="75"/>
        <v/>
      </c>
      <c r="E535" s="993" t="str">
        <f t="shared" ca="1" si="76"/>
        <v/>
      </c>
      <c r="F535" s="992" t="str">
        <f t="shared" ca="1" si="84"/>
        <v/>
      </c>
      <c r="G535" s="994">
        <f t="shared" ca="1" si="77"/>
        <v>0</v>
      </c>
      <c r="H535" s="913">
        <f t="shared" ca="1" si="78"/>
        <v>0</v>
      </c>
      <c r="I535" s="913">
        <f t="shared" ca="1" si="79"/>
        <v>0</v>
      </c>
      <c r="J535" s="995">
        <f t="shared" ca="1" si="85"/>
        <v>0</v>
      </c>
      <c r="K535" s="913">
        <f t="shared" ca="1" si="80"/>
        <v>0</v>
      </c>
      <c r="L535" s="995">
        <f t="shared" ca="1" si="86"/>
        <v>0</v>
      </c>
      <c r="M535" s="913">
        <f t="shared" ca="1" si="81"/>
        <v>0</v>
      </c>
      <c r="N535" s="996">
        <f t="shared" ca="1" si="82"/>
        <v>0</v>
      </c>
      <c r="O535" s="997">
        <f t="shared" ca="1" si="83"/>
        <v>0</v>
      </c>
      <c r="P535" s="1015" t="str">
        <f ca="1">IF($C535="","",INDEX(NVLSX!$N$2:$N$6941,MATCH($C535,NVLSX!$E$2:$E$6941,0)))</f>
        <v/>
      </c>
      <c r="Q535" s="1016" t="str">
        <f ca="1">IF($R535="","",IF(XKNVLSX!$X$1="",IF($P535=$V$7,$P535, IF(COUNTIFS($C$2:$C534,$C535,$E$2:$E534,$E535)&gt;=1,"",$P535)),     IF(AND(IFERROR(SEARCH($R535,XKNVLSX!$X$1,1),0)&gt;=1,$P535=$V$7),$P535, IF(OR($R535&lt;&gt;IF(IFERROR(SEARCH($R535,XKNVLSX!$X$1,1),0)&gt;=1,$R535,XKNVLSX!$X$1),COUNTIFS($C$2:$C534,$C535,$E$2:$E534,$E535,$Q$2:$Q534,$P535)&gt;=1),"",$P535))))</f>
        <v/>
      </c>
      <c r="R535" s="1017" t="str">
        <f ca="1">IF($A535="","",IFERROR(INDEX(TinhGia!$BF$10:$BF$81,MATCH($A535,TinhGia!$B$10:$B$81,0)),""))</f>
        <v/>
      </c>
      <c r="S535" s="1012" t="str">
        <f ca="1">IF($A535="","",IF(OR(IFERROR(SEARCH($R535,XKNVLSX!$X$1,1),0)&gt;=1,XKNVLSX!$X$1=""),$S$2,""))</f>
        <v/>
      </c>
      <c r="T535" s="1018" t="str">
        <f ca="1">IF($C535="","", IF(OR($P535=$V$1,$P535=$V$7,COUNTIFS($C$3:$C535,$C535,$E$3:$E535,$E535)&lt;=1),$P535,""    ))</f>
        <v/>
      </c>
      <c r="U535" s="1019" t="str">
        <f ca="1">IF(AND($P535=$V$2,COUNTIFS($C$3:$C535,$C535,$E$3:$E535,$E535,$G$3:$G535,$G535)&lt;=1),$P535,"")</f>
        <v/>
      </c>
    </row>
    <row r="536" spans="1:21">
      <c r="A536" s="991" t="str">
        <f ca="1">IFERROR(IF(COUNTIF($A$3:A535,A535)&lt; INDEX(TinhGia!$BH$10:$BH$81,MATCH($A535,TinhGia!$B$10:$B$81,0)),$A535,INDEX(TinhGia!$B$10:$B$81,MATCH($A535,TinhGia!$B$10:$B$81,0)+1)),"")</f>
        <v/>
      </c>
      <c r="B536" s="525" t="str">
        <f ca="1">IF(OR(A536="",A536=0),"",IF(COUNTIF($A$2:A536,$A536)=1,ROW(MauKoXoa!$C$108),$B535+1))</f>
        <v/>
      </c>
      <c r="C536" s="992" t="str">
        <f t="shared" ca="1" si="74"/>
        <v/>
      </c>
      <c r="D536" s="993" t="str">
        <f t="shared" ca="1" si="75"/>
        <v/>
      </c>
      <c r="E536" s="993" t="str">
        <f t="shared" ca="1" si="76"/>
        <v/>
      </c>
      <c r="F536" s="992" t="str">
        <f t="shared" ca="1" si="84"/>
        <v/>
      </c>
      <c r="G536" s="994">
        <f t="shared" ca="1" si="77"/>
        <v>0</v>
      </c>
      <c r="H536" s="913">
        <f t="shared" ca="1" si="78"/>
        <v>0</v>
      </c>
      <c r="I536" s="913">
        <f t="shared" ca="1" si="79"/>
        <v>0</v>
      </c>
      <c r="J536" s="995">
        <f t="shared" ca="1" si="85"/>
        <v>0</v>
      </c>
      <c r="K536" s="913">
        <f t="shared" ca="1" si="80"/>
        <v>0</v>
      </c>
      <c r="L536" s="995">
        <f t="shared" ca="1" si="86"/>
        <v>0</v>
      </c>
      <c r="M536" s="913">
        <f t="shared" ca="1" si="81"/>
        <v>0</v>
      </c>
      <c r="N536" s="996">
        <f t="shared" ca="1" si="82"/>
        <v>0</v>
      </c>
      <c r="O536" s="997">
        <f t="shared" ca="1" si="83"/>
        <v>0</v>
      </c>
      <c r="P536" s="1015" t="str">
        <f ca="1">IF($C536="","",INDEX(NVLSX!$N$2:$N$6941,MATCH($C536,NVLSX!$E$2:$E$6941,0)))</f>
        <v/>
      </c>
      <c r="Q536" s="1016" t="str">
        <f ca="1">IF($R536="","",IF(XKNVLSX!$X$1="",IF($P536=$V$7,$P536, IF(COUNTIFS($C$2:$C535,$C536,$E$2:$E535,$E536)&gt;=1,"",$P536)),     IF(AND(IFERROR(SEARCH($R536,XKNVLSX!$X$1,1),0)&gt;=1,$P536=$V$7),$P536, IF(OR($R536&lt;&gt;IF(IFERROR(SEARCH($R536,XKNVLSX!$X$1,1),0)&gt;=1,$R536,XKNVLSX!$X$1),COUNTIFS($C$2:$C535,$C536,$E$2:$E535,$E536,$Q$2:$Q535,$P536)&gt;=1),"",$P536))))</f>
        <v/>
      </c>
      <c r="R536" s="1017" t="str">
        <f ca="1">IF($A536="","",IFERROR(INDEX(TinhGia!$BF$10:$BF$81,MATCH($A536,TinhGia!$B$10:$B$81,0)),""))</f>
        <v/>
      </c>
      <c r="S536" s="1012" t="str">
        <f ca="1">IF($A536="","",IF(OR(IFERROR(SEARCH($R536,XKNVLSX!$X$1,1),0)&gt;=1,XKNVLSX!$X$1=""),$S$2,""))</f>
        <v/>
      </c>
      <c r="T536" s="1018" t="str">
        <f ca="1">IF($C536="","", IF(OR($P536=$V$1,$P536=$V$7,COUNTIFS($C$3:$C536,$C536,$E$3:$E536,$E536)&lt;=1),$P536,""    ))</f>
        <v/>
      </c>
      <c r="U536" s="1019" t="str">
        <f ca="1">IF(AND($P536=$V$2,COUNTIFS($C$3:$C536,$C536,$E$3:$E536,$E536,$G$3:$G536,$G536)&lt;=1),$P536,"")</f>
        <v/>
      </c>
    </row>
    <row r="537" spans="1:21">
      <c r="A537" s="991" t="str">
        <f ca="1">IFERROR(IF(COUNTIF($A$3:A536,A536)&lt; INDEX(TinhGia!$BH$10:$BH$81,MATCH($A536,TinhGia!$B$10:$B$81,0)),$A536,INDEX(TinhGia!$B$10:$B$81,MATCH($A536,TinhGia!$B$10:$B$81,0)+1)),"")</f>
        <v/>
      </c>
      <c r="B537" s="525" t="str">
        <f ca="1">IF(OR(A537="",A537=0),"",IF(COUNTIF($A$2:A537,$A537)=1,ROW(MauKoXoa!$C$108),$B536+1))</f>
        <v/>
      </c>
      <c r="C537" s="992" t="str">
        <f t="shared" ca="1" si="74"/>
        <v/>
      </c>
      <c r="D537" s="993" t="str">
        <f t="shared" ca="1" si="75"/>
        <v/>
      </c>
      <c r="E537" s="993" t="str">
        <f t="shared" ca="1" si="76"/>
        <v/>
      </c>
      <c r="F537" s="992" t="str">
        <f t="shared" ca="1" si="84"/>
        <v/>
      </c>
      <c r="G537" s="994">
        <f t="shared" ca="1" si="77"/>
        <v>0</v>
      </c>
      <c r="H537" s="913">
        <f t="shared" ca="1" si="78"/>
        <v>0</v>
      </c>
      <c r="I537" s="913">
        <f t="shared" ca="1" si="79"/>
        <v>0</v>
      </c>
      <c r="J537" s="995">
        <f t="shared" ca="1" si="85"/>
        <v>0</v>
      </c>
      <c r="K537" s="913">
        <f t="shared" ca="1" si="80"/>
        <v>0</v>
      </c>
      <c r="L537" s="995">
        <f t="shared" ca="1" si="86"/>
        <v>0</v>
      </c>
      <c r="M537" s="913">
        <f t="shared" ca="1" si="81"/>
        <v>0</v>
      </c>
      <c r="N537" s="996">
        <f t="shared" ca="1" si="82"/>
        <v>0</v>
      </c>
      <c r="O537" s="997">
        <f t="shared" ca="1" si="83"/>
        <v>0</v>
      </c>
      <c r="P537" s="1015" t="str">
        <f ca="1">IF($C537="","",INDEX(NVLSX!$N$2:$N$6941,MATCH($C537,NVLSX!$E$2:$E$6941,0)))</f>
        <v/>
      </c>
      <c r="Q537" s="1016" t="str">
        <f ca="1">IF($R537="","",IF(XKNVLSX!$X$1="",IF($P537=$V$7,$P537, IF(COUNTIFS($C$2:$C536,$C537,$E$2:$E536,$E537)&gt;=1,"",$P537)),     IF(AND(IFERROR(SEARCH($R537,XKNVLSX!$X$1,1),0)&gt;=1,$P537=$V$7),$P537, IF(OR($R537&lt;&gt;IF(IFERROR(SEARCH($R537,XKNVLSX!$X$1,1),0)&gt;=1,$R537,XKNVLSX!$X$1),COUNTIFS($C$2:$C536,$C537,$E$2:$E536,$E537,$Q$2:$Q536,$P537)&gt;=1),"",$P537))))</f>
        <v/>
      </c>
      <c r="R537" s="1017" t="str">
        <f ca="1">IF($A537="","",IFERROR(INDEX(TinhGia!$BF$10:$BF$81,MATCH($A537,TinhGia!$B$10:$B$81,0)),""))</f>
        <v/>
      </c>
      <c r="S537" s="1012" t="str">
        <f ca="1">IF($A537="","",IF(OR(IFERROR(SEARCH($R537,XKNVLSX!$X$1,1),0)&gt;=1,XKNVLSX!$X$1=""),$S$2,""))</f>
        <v/>
      </c>
      <c r="T537" s="1018" t="str">
        <f ca="1">IF($C537="","", IF(OR($P537=$V$1,$P537=$V$7,COUNTIFS($C$3:$C537,$C537,$E$3:$E537,$E537)&lt;=1),$P537,""    ))</f>
        <v/>
      </c>
      <c r="U537" s="1019" t="str">
        <f ca="1">IF(AND($P537=$V$2,COUNTIFS($C$3:$C537,$C537,$E$3:$E537,$E537,$G$3:$G537,$G537)&lt;=1),$P537,"")</f>
        <v/>
      </c>
    </row>
    <row r="538" spans="1:21">
      <c r="A538" s="991" t="str">
        <f ca="1">IFERROR(IF(COUNTIF($A$3:A537,A537)&lt; INDEX(TinhGia!$BH$10:$BH$81,MATCH($A537,TinhGia!$B$10:$B$81,0)),$A537,INDEX(TinhGia!$B$10:$B$81,MATCH($A537,TinhGia!$B$10:$B$81,0)+1)),"")</f>
        <v/>
      </c>
      <c r="B538" s="525" t="str">
        <f ca="1">IF(OR(A538="",A538=0),"",IF(COUNTIF($A$2:A538,$A538)=1,ROW(MauKoXoa!$C$108),$B537+1))</f>
        <v/>
      </c>
      <c r="C538" s="992" t="str">
        <f t="shared" ca="1" si="74"/>
        <v/>
      </c>
      <c r="D538" s="993" t="str">
        <f t="shared" ca="1" si="75"/>
        <v/>
      </c>
      <c r="E538" s="993" t="str">
        <f t="shared" ca="1" si="76"/>
        <v/>
      </c>
      <c r="F538" s="992" t="str">
        <f t="shared" ca="1" si="84"/>
        <v/>
      </c>
      <c r="G538" s="994">
        <f t="shared" ca="1" si="77"/>
        <v>0</v>
      </c>
      <c r="H538" s="913">
        <f t="shared" ca="1" si="78"/>
        <v>0</v>
      </c>
      <c r="I538" s="913">
        <f t="shared" ca="1" si="79"/>
        <v>0</v>
      </c>
      <c r="J538" s="995">
        <f t="shared" ca="1" si="85"/>
        <v>0</v>
      </c>
      <c r="K538" s="913">
        <f t="shared" ca="1" si="80"/>
        <v>0</v>
      </c>
      <c r="L538" s="995">
        <f t="shared" ca="1" si="86"/>
        <v>0</v>
      </c>
      <c r="M538" s="913">
        <f t="shared" ca="1" si="81"/>
        <v>0</v>
      </c>
      <c r="N538" s="996">
        <f t="shared" ca="1" si="82"/>
        <v>0</v>
      </c>
      <c r="O538" s="997">
        <f t="shared" ca="1" si="83"/>
        <v>0</v>
      </c>
      <c r="P538" s="1015" t="str">
        <f ca="1">IF($C538="","",INDEX(NVLSX!$N$2:$N$6941,MATCH($C538,NVLSX!$E$2:$E$6941,0)))</f>
        <v/>
      </c>
      <c r="Q538" s="1016" t="str">
        <f ca="1">IF($R538="","",IF(XKNVLSX!$X$1="",IF($P538=$V$7,$P538, IF(COUNTIFS($C$2:$C537,$C538,$E$2:$E537,$E538)&gt;=1,"",$P538)),     IF(AND(IFERROR(SEARCH($R538,XKNVLSX!$X$1,1),0)&gt;=1,$P538=$V$7),$P538, IF(OR($R538&lt;&gt;IF(IFERROR(SEARCH($R538,XKNVLSX!$X$1,1),0)&gt;=1,$R538,XKNVLSX!$X$1),COUNTIFS($C$2:$C537,$C538,$E$2:$E537,$E538,$Q$2:$Q537,$P538)&gt;=1),"",$P538))))</f>
        <v/>
      </c>
      <c r="R538" s="1017" t="str">
        <f ca="1">IF($A538="","",IFERROR(INDEX(TinhGia!$BF$10:$BF$81,MATCH($A538,TinhGia!$B$10:$B$81,0)),""))</f>
        <v/>
      </c>
      <c r="S538" s="1012" t="str">
        <f ca="1">IF($A538="","",IF(OR(IFERROR(SEARCH($R538,XKNVLSX!$X$1,1),0)&gt;=1,XKNVLSX!$X$1=""),$S$2,""))</f>
        <v/>
      </c>
      <c r="T538" s="1018" t="str">
        <f ca="1">IF($C538="","", IF(OR($P538=$V$1,$P538=$V$7,COUNTIFS($C$3:$C538,$C538,$E$3:$E538,$E538)&lt;=1),$P538,""    ))</f>
        <v/>
      </c>
      <c r="U538" s="1019" t="str">
        <f ca="1">IF(AND($P538=$V$2,COUNTIFS($C$3:$C538,$C538,$E$3:$E538,$E538,$G$3:$G538,$G538)&lt;=1),$P538,"")</f>
        <v/>
      </c>
    </row>
    <row r="539" spans="1:21">
      <c r="A539" s="991" t="str">
        <f ca="1">IFERROR(IF(COUNTIF($A$3:A538,A538)&lt; INDEX(TinhGia!$BH$10:$BH$81,MATCH($A538,TinhGia!$B$10:$B$81,0)),$A538,INDEX(TinhGia!$B$10:$B$81,MATCH($A538,TinhGia!$B$10:$B$81,0)+1)),"")</f>
        <v/>
      </c>
      <c r="B539" s="525" t="str">
        <f ca="1">IF(OR(A539="",A539=0),"",IF(COUNTIF($A$2:A539,$A539)=1,ROW(MauKoXoa!$C$108),$B538+1))</f>
        <v/>
      </c>
      <c r="C539" s="992" t="str">
        <f t="shared" ca="1" si="74"/>
        <v/>
      </c>
      <c r="D539" s="993" t="str">
        <f t="shared" ca="1" si="75"/>
        <v/>
      </c>
      <c r="E539" s="993" t="str">
        <f t="shared" ca="1" si="76"/>
        <v/>
      </c>
      <c r="F539" s="992" t="str">
        <f t="shared" ca="1" si="84"/>
        <v/>
      </c>
      <c r="G539" s="994">
        <f t="shared" ca="1" si="77"/>
        <v>0</v>
      </c>
      <c r="H539" s="913">
        <f t="shared" ca="1" si="78"/>
        <v>0</v>
      </c>
      <c r="I539" s="913">
        <f t="shared" ca="1" si="79"/>
        <v>0</v>
      </c>
      <c r="J539" s="995">
        <f t="shared" ca="1" si="85"/>
        <v>0</v>
      </c>
      <c r="K539" s="913">
        <f t="shared" ca="1" si="80"/>
        <v>0</v>
      </c>
      <c r="L539" s="995">
        <f t="shared" ca="1" si="86"/>
        <v>0</v>
      </c>
      <c r="M539" s="913">
        <f t="shared" ca="1" si="81"/>
        <v>0</v>
      </c>
      <c r="N539" s="996">
        <f t="shared" ca="1" si="82"/>
        <v>0</v>
      </c>
      <c r="O539" s="997">
        <f t="shared" ca="1" si="83"/>
        <v>0</v>
      </c>
      <c r="P539" s="1015" t="str">
        <f ca="1">IF($C539="","",INDEX(NVLSX!$N$2:$N$6941,MATCH($C539,NVLSX!$E$2:$E$6941,0)))</f>
        <v/>
      </c>
      <c r="Q539" s="1016" t="str">
        <f ca="1">IF($R539="","",IF(XKNVLSX!$X$1="",IF($P539=$V$7,$P539, IF(COUNTIFS($C$2:$C538,$C539,$E$2:$E538,$E539)&gt;=1,"",$P539)),     IF(AND(IFERROR(SEARCH($R539,XKNVLSX!$X$1,1),0)&gt;=1,$P539=$V$7),$P539, IF(OR($R539&lt;&gt;IF(IFERROR(SEARCH($R539,XKNVLSX!$X$1,1),0)&gt;=1,$R539,XKNVLSX!$X$1),COUNTIFS($C$2:$C538,$C539,$E$2:$E538,$E539,$Q$2:$Q538,$P539)&gt;=1),"",$P539))))</f>
        <v/>
      </c>
      <c r="R539" s="1017" t="str">
        <f ca="1">IF($A539="","",IFERROR(INDEX(TinhGia!$BF$10:$BF$81,MATCH($A539,TinhGia!$B$10:$B$81,0)),""))</f>
        <v/>
      </c>
      <c r="S539" s="1012" t="str">
        <f ca="1">IF($A539="","",IF(OR(IFERROR(SEARCH($R539,XKNVLSX!$X$1,1),0)&gt;=1,XKNVLSX!$X$1=""),$S$2,""))</f>
        <v/>
      </c>
      <c r="T539" s="1018" t="str">
        <f ca="1">IF($C539="","", IF(OR($P539=$V$1,$P539=$V$7,COUNTIFS($C$3:$C539,$C539,$E$3:$E539,$E539)&lt;=1),$P539,""    ))</f>
        <v/>
      </c>
      <c r="U539" s="1019" t="str">
        <f ca="1">IF(AND($P539=$V$2,COUNTIFS($C$3:$C539,$C539,$E$3:$E539,$E539,$G$3:$G539,$G539)&lt;=1),$P539,"")</f>
        <v/>
      </c>
    </row>
    <row r="540" spans="1:21">
      <c r="A540" s="991" t="str">
        <f ca="1">IFERROR(IF(COUNTIF($A$3:A539,A539)&lt; INDEX(TinhGia!$BH$10:$BH$81,MATCH($A539,TinhGia!$B$10:$B$81,0)),$A539,INDEX(TinhGia!$B$10:$B$81,MATCH($A539,TinhGia!$B$10:$B$81,0)+1)),"")</f>
        <v/>
      </c>
      <c r="B540" s="525" t="str">
        <f ca="1">IF(OR(A540="",A540=0),"",IF(COUNTIF($A$2:A540,$A540)=1,ROW(MauKoXoa!$C$108),$B539+1))</f>
        <v/>
      </c>
      <c r="C540" s="992" t="str">
        <f t="shared" ca="1" si="74"/>
        <v/>
      </c>
      <c r="D540" s="993" t="str">
        <f t="shared" ca="1" si="75"/>
        <v/>
      </c>
      <c r="E540" s="993" t="str">
        <f t="shared" ca="1" si="76"/>
        <v/>
      </c>
      <c r="F540" s="992" t="str">
        <f t="shared" ca="1" si="84"/>
        <v/>
      </c>
      <c r="G540" s="994">
        <f t="shared" ca="1" si="77"/>
        <v>0</v>
      </c>
      <c r="H540" s="913">
        <f t="shared" ca="1" si="78"/>
        <v>0</v>
      </c>
      <c r="I540" s="913">
        <f t="shared" ca="1" si="79"/>
        <v>0</v>
      </c>
      <c r="J540" s="995">
        <f t="shared" ca="1" si="85"/>
        <v>0</v>
      </c>
      <c r="K540" s="913">
        <f t="shared" ca="1" si="80"/>
        <v>0</v>
      </c>
      <c r="L540" s="995">
        <f t="shared" ca="1" si="86"/>
        <v>0</v>
      </c>
      <c r="M540" s="913">
        <f t="shared" ca="1" si="81"/>
        <v>0</v>
      </c>
      <c r="N540" s="996">
        <f t="shared" ca="1" si="82"/>
        <v>0</v>
      </c>
      <c r="O540" s="997">
        <f t="shared" ca="1" si="83"/>
        <v>0</v>
      </c>
      <c r="P540" s="1015" t="str">
        <f ca="1">IF($C540="","",INDEX(NVLSX!$N$2:$N$6941,MATCH($C540,NVLSX!$E$2:$E$6941,0)))</f>
        <v/>
      </c>
      <c r="Q540" s="1016" t="str">
        <f ca="1">IF($R540="","",IF(XKNVLSX!$X$1="",IF($P540=$V$7,$P540, IF(COUNTIFS($C$2:$C539,$C540,$E$2:$E539,$E540)&gt;=1,"",$P540)),     IF(AND(IFERROR(SEARCH($R540,XKNVLSX!$X$1,1),0)&gt;=1,$P540=$V$7),$P540, IF(OR($R540&lt;&gt;IF(IFERROR(SEARCH($R540,XKNVLSX!$X$1,1),0)&gt;=1,$R540,XKNVLSX!$X$1),COUNTIFS($C$2:$C539,$C540,$E$2:$E539,$E540,$Q$2:$Q539,$P540)&gt;=1),"",$P540))))</f>
        <v/>
      </c>
      <c r="R540" s="1017" t="str">
        <f ca="1">IF($A540="","",IFERROR(INDEX(TinhGia!$BF$10:$BF$81,MATCH($A540,TinhGia!$B$10:$B$81,0)),""))</f>
        <v/>
      </c>
      <c r="S540" s="1012" t="str">
        <f ca="1">IF($A540="","",IF(OR(IFERROR(SEARCH($R540,XKNVLSX!$X$1,1),0)&gt;=1,XKNVLSX!$X$1=""),$S$2,""))</f>
        <v/>
      </c>
      <c r="T540" s="1018" t="str">
        <f ca="1">IF($C540="","", IF(OR($P540=$V$1,$P540=$V$7,COUNTIFS($C$3:$C540,$C540,$E$3:$E540,$E540)&lt;=1),$P540,""    ))</f>
        <v/>
      </c>
      <c r="U540" s="1019" t="str">
        <f ca="1">IF(AND($P540=$V$2,COUNTIFS($C$3:$C540,$C540,$E$3:$E540,$E540,$G$3:$G540,$G540)&lt;=1),$P540,"")</f>
        <v/>
      </c>
    </row>
    <row r="541" spans="1:21">
      <c r="A541" s="991" t="str">
        <f ca="1">IFERROR(IF(COUNTIF($A$3:A540,A540)&lt; INDEX(TinhGia!$BH$10:$BH$81,MATCH($A540,TinhGia!$B$10:$B$81,0)),$A540,INDEX(TinhGia!$B$10:$B$81,MATCH($A540,TinhGia!$B$10:$B$81,0)+1)),"")</f>
        <v/>
      </c>
      <c r="B541" s="525" t="str">
        <f ca="1">IF(OR(A541="",A541=0),"",IF(COUNTIF($A$2:A541,$A541)=1,ROW(MauKoXoa!$C$108),$B540+1))</f>
        <v/>
      </c>
      <c r="C541" s="992" t="str">
        <f t="shared" ca="1" si="74"/>
        <v/>
      </c>
      <c r="D541" s="993" t="str">
        <f t="shared" ca="1" si="75"/>
        <v/>
      </c>
      <c r="E541" s="993" t="str">
        <f t="shared" ca="1" si="76"/>
        <v/>
      </c>
      <c r="F541" s="992" t="str">
        <f t="shared" ca="1" si="84"/>
        <v/>
      </c>
      <c r="G541" s="994">
        <f t="shared" ca="1" si="77"/>
        <v>0</v>
      </c>
      <c r="H541" s="913">
        <f t="shared" ca="1" si="78"/>
        <v>0</v>
      </c>
      <c r="I541" s="913">
        <f t="shared" ca="1" si="79"/>
        <v>0</v>
      </c>
      <c r="J541" s="995">
        <f t="shared" ca="1" si="85"/>
        <v>0</v>
      </c>
      <c r="K541" s="913">
        <f t="shared" ca="1" si="80"/>
        <v>0</v>
      </c>
      <c r="L541" s="995">
        <f t="shared" ca="1" si="86"/>
        <v>0</v>
      </c>
      <c r="M541" s="913">
        <f t="shared" ca="1" si="81"/>
        <v>0</v>
      </c>
      <c r="N541" s="996">
        <f t="shared" ca="1" si="82"/>
        <v>0</v>
      </c>
      <c r="O541" s="997">
        <f t="shared" ca="1" si="83"/>
        <v>0</v>
      </c>
      <c r="P541" s="1015" t="str">
        <f ca="1">IF($C541="","",INDEX(NVLSX!$N$2:$N$6941,MATCH($C541,NVLSX!$E$2:$E$6941,0)))</f>
        <v/>
      </c>
      <c r="Q541" s="1016" t="str">
        <f ca="1">IF($R541="","",IF(XKNVLSX!$X$1="",IF($P541=$V$7,$P541, IF(COUNTIFS($C$2:$C540,$C541,$E$2:$E540,$E541)&gt;=1,"",$P541)),     IF(AND(IFERROR(SEARCH($R541,XKNVLSX!$X$1,1),0)&gt;=1,$P541=$V$7),$P541, IF(OR($R541&lt;&gt;IF(IFERROR(SEARCH($R541,XKNVLSX!$X$1,1),0)&gt;=1,$R541,XKNVLSX!$X$1),COUNTIFS($C$2:$C540,$C541,$E$2:$E540,$E541,$Q$2:$Q540,$P541)&gt;=1),"",$P541))))</f>
        <v/>
      </c>
      <c r="R541" s="1017" t="str">
        <f ca="1">IF($A541="","",IFERROR(INDEX(TinhGia!$BF$10:$BF$81,MATCH($A541,TinhGia!$B$10:$B$81,0)),""))</f>
        <v/>
      </c>
      <c r="S541" s="1012" t="str">
        <f ca="1">IF($A541="","",IF(OR(IFERROR(SEARCH($R541,XKNVLSX!$X$1,1),0)&gt;=1,XKNVLSX!$X$1=""),$S$2,""))</f>
        <v/>
      </c>
      <c r="T541" s="1018" t="str">
        <f ca="1">IF($C541="","", IF(OR($P541=$V$1,$P541=$V$7,COUNTIFS($C$3:$C541,$C541,$E$3:$E541,$E541)&lt;=1),$P541,""    ))</f>
        <v/>
      </c>
      <c r="U541" s="1019" t="str">
        <f ca="1">IF(AND($P541=$V$2,COUNTIFS($C$3:$C541,$C541,$E$3:$E541,$E541,$G$3:$G541,$G541)&lt;=1),$P541,"")</f>
        <v/>
      </c>
    </row>
    <row r="542" spans="1:21">
      <c r="A542" s="991" t="str">
        <f ca="1">IFERROR(IF(COUNTIF($A$3:A541,A541)&lt; INDEX(TinhGia!$BH$10:$BH$81,MATCH($A541,TinhGia!$B$10:$B$81,0)),$A541,INDEX(TinhGia!$B$10:$B$81,MATCH($A541,TinhGia!$B$10:$B$81,0)+1)),"")</f>
        <v/>
      </c>
      <c r="B542" s="525" t="str">
        <f ca="1">IF(OR(A542="",A542=0),"",IF(COUNTIF($A$2:A542,$A542)=1,ROW(MauKoXoa!$C$108),$B541+1))</f>
        <v/>
      </c>
      <c r="C542" s="992" t="str">
        <f t="shared" ca="1" si="74"/>
        <v/>
      </c>
      <c r="D542" s="993" t="str">
        <f t="shared" ca="1" si="75"/>
        <v/>
      </c>
      <c r="E542" s="993" t="str">
        <f t="shared" ca="1" si="76"/>
        <v/>
      </c>
      <c r="F542" s="992" t="str">
        <f t="shared" ca="1" si="84"/>
        <v/>
      </c>
      <c r="G542" s="994">
        <f t="shared" ca="1" si="77"/>
        <v>0</v>
      </c>
      <c r="H542" s="913">
        <f t="shared" ca="1" si="78"/>
        <v>0</v>
      </c>
      <c r="I542" s="913">
        <f t="shared" ca="1" si="79"/>
        <v>0</v>
      </c>
      <c r="J542" s="995">
        <f t="shared" ca="1" si="85"/>
        <v>0</v>
      </c>
      <c r="K542" s="913">
        <f t="shared" ca="1" si="80"/>
        <v>0</v>
      </c>
      <c r="L542" s="995">
        <f t="shared" ca="1" si="86"/>
        <v>0</v>
      </c>
      <c r="M542" s="913">
        <f t="shared" ca="1" si="81"/>
        <v>0</v>
      </c>
      <c r="N542" s="996">
        <f t="shared" ca="1" si="82"/>
        <v>0</v>
      </c>
      <c r="O542" s="997">
        <f t="shared" ca="1" si="83"/>
        <v>0</v>
      </c>
      <c r="P542" s="1015" t="str">
        <f ca="1">IF($C542="","",INDEX(NVLSX!$N$2:$N$6941,MATCH($C542,NVLSX!$E$2:$E$6941,0)))</f>
        <v/>
      </c>
      <c r="Q542" s="1016" t="str">
        <f ca="1">IF($R542="","",IF(XKNVLSX!$X$1="",IF($P542=$V$7,$P542, IF(COUNTIFS($C$2:$C541,$C542,$E$2:$E541,$E542)&gt;=1,"",$P542)),     IF(AND(IFERROR(SEARCH($R542,XKNVLSX!$X$1,1),0)&gt;=1,$P542=$V$7),$P542, IF(OR($R542&lt;&gt;IF(IFERROR(SEARCH($R542,XKNVLSX!$X$1,1),0)&gt;=1,$R542,XKNVLSX!$X$1),COUNTIFS($C$2:$C541,$C542,$E$2:$E541,$E542,$Q$2:$Q541,$P542)&gt;=1),"",$P542))))</f>
        <v/>
      </c>
      <c r="R542" s="1017" t="str">
        <f ca="1">IF($A542="","",IFERROR(INDEX(TinhGia!$BF$10:$BF$81,MATCH($A542,TinhGia!$B$10:$B$81,0)),""))</f>
        <v/>
      </c>
      <c r="S542" s="1012" t="str">
        <f ca="1">IF($A542="","",IF(OR(IFERROR(SEARCH($R542,XKNVLSX!$X$1,1),0)&gt;=1,XKNVLSX!$X$1=""),$S$2,""))</f>
        <v/>
      </c>
      <c r="T542" s="1018" t="str">
        <f ca="1">IF($C542="","", IF(OR($P542=$V$1,$P542=$V$7,COUNTIFS($C$3:$C542,$C542,$E$3:$E542,$E542)&lt;=1),$P542,""    ))</f>
        <v/>
      </c>
      <c r="U542" s="1019" t="str">
        <f ca="1">IF(AND($P542=$V$2,COUNTIFS($C$3:$C542,$C542,$E$3:$E542,$E542,$G$3:$G542,$G542)&lt;=1),$P542,"")</f>
        <v/>
      </c>
    </row>
    <row r="543" spans="1:21">
      <c r="A543" s="991" t="str">
        <f ca="1">IFERROR(IF(COUNTIF($A$3:A542,A542)&lt; INDEX(TinhGia!$BH$10:$BH$81,MATCH($A542,TinhGia!$B$10:$B$81,0)),$A542,INDEX(TinhGia!$B$10:$B$81,MATCH($A542,TinhGia!$B$10:$B$81,0)+1)),"")</f>
        <v/>
      </c>
      <c r="B543" s="525" t="str">
        <f ca="1">IF(OR(A543="",A543=0),"",IF(COUNTIF($A$2:A543,$A543)=1,ROW(MauKoXoa!$C$108),$B542+1))</f>
        <v/>
      </c>
      <c r="C543" s="992" t="str">
        <f t="shared" ca="1" si="74"/>
        <v/>
      </c>
      <c r="D543" s="993" t="str">
        <f t="shared" ca="1" si="75"/>
        <v/>
      </c>
      <c r="E543" s="993" t="str">
        <f t="shared" ca="1" si="76"/>
        <v/>
      </c>
      <c r="F543" s="992" t="str">
        <f t="shared" ca="1" si="84"/>
        <v/>
      </c>
      <c r="G543" s="994">
        <f t="shared" ca="1" si="77"/>
        <v>0</v>
      </c>
      <c r="H543" s="913">
        <f t="shared" ca="1" si="78"/>
        <v>0</v>
      </c>
      <c r="I543" s="913">
        <f t="shared" ca="1" si="79"/>
        <v>0</v>
      </c>
      <c r="J543" s="995">
        <f t="shared" ca="1" si="85"/>
        <v>0</v>
      </c>
      <c r="K543" s="913">
        <f t="shared" ca="1" si="80"/>
        <v>0</v>
      </c>
      <c r="L543" s="995">
        <f t="shared" ca="1" si="86"/>
        <v>0</v>
      </c>
      <c r="M543" s="913">
        <f t="shared" ca="1" si="81"/>
        <v>0</v>
      </c>
      <c r="N543" s="996">
        <f t="shared" ca="1" si="82"/>
        <v>0</v>
      </c>
      <c r="O543" s="997">
        <f t="shared" ca="1" si="83"/>
        <v>0</v>
      </c>
      <c r="P543" s="1015" t="str">
        <f ca="1">IF($C543="","",INDEX(NVLSX!$N$2:$N$6941,MATCH($C543,NVLSX!$E$2:$E$6941,0)))</f>
        <v/>
      </c>
      <c r="Q543" s="1016" t="str">
        <f ca="1">IF($R543="","",IF(XKNVLSX!$X$1="",IF($P543=$V$7,$P543, IF(COUNTIFS($C$2:$C542,$C543,$E$2:$E542,$E543)&gt;=1,"",$P543)),     IF(AND(IFERROR(SEARCH($R543,XKNVLSX!$X$1,1),0)&gt;=1,$P543=$V$7),$P543, IF(OR($R543&lt;&gt;IF(IFERROR(SEARCH($R543,XKNVLSX!$X$1,1),0)&gt;=1,$R543,XKNVLSX!$X$1),COUNTIFS($C$2:$C542,$C543,$E$2:$E542,$E543,$Q$2:$Q542,$P543)&gt;=1),"",$P543))))</f>
        <v/>
      </c>
      <c r="R543" s="1017" t="str">
        <f ca="1">IF($A543="","",IFERROR(INDEX(TinhGia!$BF$10:$BF$81,MATCH($A543,TinhGia!$B$10:$B$81,0)),""))</f>
        <v/>
      </c>
      <c r="S543" s="1012" t="str">
        <f ca="1">IF($A543="","",IF(OR(IFERROR(SEARCH($R543,XKNVLSX!$X$1,1),0)&gt;=1,XKNVLSX!$X$1=""),$S$2,""))</f>
        <v/>
      </c>
      <c r="T543" s="1018" t="str">
        <f ca="1">IF($C543="","", IF(OR($P543=$V$1,$P543=$V$7,COUNTIFS($C$3:$C543,$C543,$E$3:$E543,$E543)&lt;=1),$P543,""    ))</f>
        <v/>
      </c>
      <c r="U543" s="1019" t="str">
        <f ca="1">IF(AND($P543=$V$2,COUNTIFS($C$3:$C543,$C543,$E$3:$E543,$E543,$G$3:$G543,$G543)&lt;=1),$P543,"")</f>
        <v/>
      </c>
    </row>
    <row r="544" spans="1:21">
      <c r="A544" s="991" t="str">
        <f ca="1">IFERROR(IF(COUNTIF($A$3:A543,A543)&lt; INDEX(TinhGia!$BH$10:$BH$81,MATCH($A543,TinhGia!$B$10:$B$81,0)),$A543,INDEX(TinhGia!$B$10:$B$81,MATCH($A543,TinhGia!$B$10:$B$81,0)+1)),"")</f>
        <v/>
      </c>
      <c r="B544" s="525" t="str">
        <f ca="1">IF(OR(A544="",A544=0),"",IF(COUNTIF($A$2:A544,$A544)=1,ROW(MauKoXoa!$C$108),$B543+1))</f>
        <v/>
      </c>
      <c r="C544" s="992" t="str">
        <f t="shared" ca="1" si="74"/>
        <v/>
      </c>
      <c r="D544" s="993" t="str">
        <f t="shared" ca="1" si="75"/>
        <v/>
      </c>
      <c r="E544" s="993" t="str">
        <f t="shared" ca="1" si="76"/>
        <v/>
      </c>
      <c r="F544" s="992" t="str">
        <f t="shared" ca="1" si="84"/>
        <v/>
      </c>
      <c r="G544" s="994">
        <f t="shared" ca="1" si="77"/>
        <v>0</v>
      </c>
      <c r="H544" s="913">
        <f t="shared" ca="1" si="78"/>
        <v>0</v>
      </c>
      <c r="I544" s="913">
        <f t="shared" ca="1" si="79"/>
        <v>0</v>
      </c>
      <c r="J544" s="995">
        <f t="shared" ca="1" si="85"/>
        <v>0</v>
      </c>
      <c r="K544" s="913">
        <f t="shared" ca="1" si="80"/>
        <v>0</v>
      </c>
      <c r="L544" s="995">
        <f t="shared" ca="1" si="86"/>
        <v>0</v>
      </c>
      <c r="M544" s="913">
        <f t="shared" ca="1" si="81"/>
        <v>0</v>
      </c>
      <c r="N544" s="996">
        <f t="shared" ca="1" si="82"/>
        <v>0</v>
      </c>
      <c r="O544" s="997">
        <f t="shared" ca="1" si="83"/>
        <v>0</v>
      </c>
      <c r="P544" s="1015" t="str">
        <f ca="1">IF($C544="","",INDEX(NVLSX!$N$2:$N$6941,MATCH($C544,NVLSX!$E$2:$E$6941,0)))</f>
        <v/>
      </c>
      <c r="Q544" s="1016" t="str">
        <f ca="1">IF($R544="","",IF(XKNVLSX!$X$1="",IF($P544=$V$7,$P544, IF(COUNTIFS($C$2:$C543,$C544,$E$2:$E543,$E544)&gt;=1,"",$P544)),     IF(AND(IFERROR(SEARCH($R544,XKNVLSX!$X$1,1),0)&gt;=1,$P544=$V$7),$P544, IF(OR($R544&lt;&gt;IF(IFERROR(SEARCH($R544,XKNVLSX!$X$1,1),0)&gt;=1,$R544,XKNVLSX!$X$1),COUNTIFS($C$2:$C543,$C544,$E$2:$E543,$E544,$Q$2:$Q543,$P544)&gt;=1),"",$P544))))</f>
        <v/>
      </c>
      <c r="R544" s="1017" t="str">
        <f ca="1">IF($A544="","",IFERROR(INDEX(TinhGia!$BF$10:$BF$81,MATCH($A544,TinhGia!$B$10:$B$81,0)),""))</f>
        <v/>
      </c>
      <c r="S544" s="1012" t="str">
        <f ca="1">IF($A544="","",IF(OR(IFERROR(SEARCH($R544,XKNVLSX!$X$1,1),0)&gt;=1,XKNVLSX!$X$1=""),$S$2,""))</f>
        <v/>
      </c>
      <c r="T544" s="1018" t="str">
        <f ca="1">IF($C544="","", IF(OR($P544=$V$1,$P544=$V$7,COUNTIFS($C$3:$C544,$C544,$E$3:$E544,$E544)&lt;=1),$P544,""    ))</f>
        <v/>
      </c>
      <c r="U544" s="1019" t="str">
        <f ca="1">IF(AND($P544=$V$2,COUNTIFS($C$3:$C544,$C544,$E$3:$E544,$E544,$G$3:$G544,$G544)&lt;=1),$P544,"")</f>
        <v/>
      </c>
    </row>
    <row r="545" spans="1:21">
      <c r="A545" s="991" t="str">
        <f ca="1">IFERROR(IF(COUNTIF($A$3:A544,A544)&lt; INDEX(TinhGia!$BH$10:$BH$81,MATCH($A544,TinhGia!$B$10:$B$81,0)),$A544,INDEX(TinhGia!$B$10:$B$81,MATCH($A544,TinhGia!$B$10:$B$81,0)+1)),"")</f>
        <v/>
      </c>
      <c r="B545" s="525" t="str">
        <f ca="1">IF(OR(A545="",A545=0),"",IF(COUNTIF($A$2:A545,$A545)=1,ROW(MauKoXoa!$C$108),$B544+1))</f>
        <v/>
      </c>
      <c r="C545" s="992" t="str">
        <f t="shared" ca="1" si="74"/>
        <v/>
      </c>
      <c r="D545" s="993" t="str">
        <f t="shared" ca="1" si="75"/>
        <v/>
      </c>
      <c r="E545" s="993" t="str">
        <f t="shared" ca="1" si="76"/>
        <v/>
      </c>
      <c r="F545" s="992" t="str">
        <f t="shared" ca="1" si="84"/>
        <v/>
      </c>
      <c r="G545" s="994">
        <f t="shared" ca="1" si="77"/>
        <v>0</v>
      </c>
      <c r="H545" s="913">
        <f t="shared" ca="1" si="78"/>
        <v>0</v>
      </c>
      <c r="I545" s="913">
        <f t="shared" ca="1" si="79"/>
        <v>0</v>
      </c>
      <c r="J545" s="995">
        <f t="shared" ca="1" si="85"/>
        <v>0</v>
      </c>
      <c r="K545" s="913">
        <f t="shared" ca="1" si="80"/>
        <v>0</v>
      </c>
      <c r="L545" s="995">
        <f t="shared" ca="1" si="86"/>
        <v>0</v>
      </c>
      <c r="M545" s="913">
        <f t="shared" ca="1" si="81"/>
        <v>0</v>
      </c>
      <c r="N545" s="996">
        <f t="shared" ca="1" si="82"/>
        <v>0</v>
      </c>
      <c r="O545" s="997">
        <f t="shared" ca="1" si="83"/>
        <v>0</v>
      </c>
      <c r="P545" s="1015" t="str">
        <f ca="1">IF($C545="","",INDEX(NVLSX!$N$2:$N$6941,MATCH($C545,NVLSX!$E$2:$E$6941,0)))</f>
        <v/>
      </c>
      <c r="Q545" s="1016" t="str">
        <f ca="1">IF($R545="","",IF(XKNVLSX!$X$1="",IF($P545=$V$7,$P545, IF(COUNTIFS($C$2:$C544,$C545,$E$2:$E544,$E545)&gt;=1,"",$P545)),     IF(AND(IFERROR(SEARCH($R545,XKNVLSX!$X$1,1),0)&gt;=1,$P545=$V$7),$P545, IF(OR($R545&lt;&gt;IF(IFERROR(SEARCH($R545,XKNVLSX!$X$1,1),0)&gt;=1,$R545,XKNVLSX!$X$1),COUNTIFS($C$2:$C544,$C545,$E$2:$E544,$E545,$Q$2:$Q544,$P545)&gt;=1),"",$P545))))</f>
        <v/>
      </c>
      <c r="R545" s="1017" t="str">
        <f ca="1">IF($A545="","",IFERROR(INDEX(TinhGia!$BF$10:$BF$81,MATCH($A545,TinhGia!$B$10:$B$81,0)),""))</f>
        <v/>
      </c>
      <c r="S545" s="1012" t="str">
        <f ca="1">IF($A545="","",IF(OR(IFERROR(SEARCH($R545,XKNVLSX!$X$1,1),0)&gt;=1,XKNVLSX!$X$1=""),$S$2,""))</f>
        <v/>
      </c>
      <c r="T545" s="1018" t="str">
        <f ca="1">IF($C545="","", IF(OR($P545=$V$1,$P545=$V$7,COUNTIFS($C$3:$C545,$C545,$E$3:$E545,$E545)&lt;=1),$P545,""    ))</f>
        <v/>
      </c>
      <c r="U545" s="1019" t="str">
        <f ca="1">IF(AND($P545=$V$2,COUNTIFS($C$3:$C545,$C545,$E$3:$E545,$E545,$G$3:$G545,$G545)&lt;=1),$P545,"")</f>
        <v/>
      </c>
    </row>
    <row r="546" spans="1:21">
      <c r="A546" s="991" t="str">
        <f ca="1">IFERROR(IF(COUNTIF($A$3:A545,A545)&lt; INDEX(TinhGia!$BH$10:$BH$81,MATCH($A545,TinhGia!$B$10:$B$81,0)),$A545,INDEX(TinhGia!$B$10:$B$81,MATCH($A545,TinhGia!$B$10:$B$81,0)+1)),"")</f>
        <v/>
      </c>
      <c r="B546" s="525" t="str">
        <f ca="1">IF(OR(A546="",A546=0),"",IF(COUNTIF($A$2:A546,$A546)=1,ROW(MauKoXoa!$C$108),$B545+1))</f>
        <v/>
      </c>
      <c r="C546" s="992" t="str">
        <f t="shared" ca="1" si="74"/>
        <v/>
      </c>
      <c r="D546" s="993" t="str">
        <f t="shared" ca="1" si="75"/>
        <v/>
      </c>
      <c r="E546" s="993" t="str">
        <f t="shared" ca="1" si="76"/>
        <v/>
      </c>
      <c r="F546" s="992" t="str">
        <f t="shared" ca="1" si="84"/>
        <v/>
      </c>
      <c r="G546" s="994">
        <f t="shared" ca="1" si="77"/>
        <v>0</v>
      </c>
      <c r="H546" s="913">
        <f t="shared" ca="1" si="78"/>
        <v>0</v>
      </c>
      <c r="I546" s="913">
        <f t="shared" ca="1" si="79"/>
        <v>0</v>
      </c>
      <c r="J546" s="995">
        <f t="shared" ca="1" si="85"/>
        <v>0</v>
      </c>
      <c r="K546" s="913">
        <f t="shared" ca="1" si="80"/>
        <v>0</v>
      </c>
      <c r="L546" s="995">
        <f t="shared" ca="1" si="86"/>
        <v>0</v>
      </c>
      <c r="M546" s="913">
        <f t="shared" ca="1" si="81"/>
        <v>0</v>
      </c>
      <c r="N546" s="996">
        <f t="shared" ca="1" si="82"/>
        <v>0</v>
      </c>
      <c r="O546" s="997">
        <f t="shared" ca="1" si="83"/>
        <v>0</v>
      </c>
      <c r="P546" s="1015" t="str">
        <f ca="1">IF($C546="","",INDEX(NVLSX!$N$2:$N$6941,MATCH($C546,NVLSX!$E$2:$E$6941,0)))</f>
        <v/>
      </c>
      <c r="Q546" s="1016" t="str">
        <f ca="1">IF($R546="","",IF(XKNVLSX!$X$1="",IF($P546=$V$7,$P546, IF(COUNTIFS($C$2:$C545,$C546,$E$2:$E545,$E546)&gt;=1,"",$P546)),     IF(AND(IFERROR(SEARCH($R546,XKNVLSX!$X$1,1),0)&gt;=1,$P546=$V$7),$P546, IF(OR($R546&lt;&gt;IF(IFERROR(SEARCH($R546,XKNVLSX!$X$1,1),0)&gt;=1,$R546,XKNVLSX!$X$1),COUNTIFS($C$2:$C545,$C546,$E$2:$E545,$E546,$Q$2:$Q545,$P546)&gt;=1),"",$P546))))</f>
        <v/>
      </c>
      <c r="R546" s="1017" t="str">
        <f ca="1">IF($A546="","",IFERROR(INDEX(TinhGia!$BF$10:$BF$81,MATCH($A546,TinhGia!$B$10:$B$81,0)),""))</f>
        <v/>
      </c>
      <c r="S546" s="1012" t="str">
        <f ca="1">IF($A546="","",IF(OR(IFERROR(SEARCH($R546,XKNVLSX!$X$1,1),0)&gt;=1,XKNVLSX!$X$1=""),$S$2,""))</f>
        <v/>
      </c>
      <c r="T546" s="1018" t="str">
        <f ca="1">IF($C546="","", IF(OR($P546=$V$1,$P546=$V$7,COUNTIFS($C$3:$C546,$C546,$E$3:$E546,$E546)&lt;=1),$P546,""    ))</f>
        <v/>
      </c>
      <c r="U546" s="1019" t="str">
        <f ca="1">IF(AND($P546=$V$2,COUNTIFS($C$3:$C546,$C546,$E$3:$E546,$E546,$G$3:$G546,$G546)&lt;=1),$P546,"")</f>
        <v/>
      </c>
    </row>
    <row r="547" spans="1:21">
      <c r="A547" s="991" t="str">
        <f ca="1">IFERROR(IF(COUNTIF($A$3:A546,A546)&lt; INDEX(TinhGia!$BH$10:$BH$81,MATCH($A546,TinhGia!$B$10:$B$81,0)),$A546,INDEX(TinhGia!$B$10:$B$81,MATCH($A546,TinhGia!$B$10:$B$81,0)+1)),"")</f>
        <v/>
      </c>
      <c r="B547" s="525" t="str">
        <f ca="1">IF(OR(A547="",A547=0),"",IF(COUNTIF($A$2:A547,$A547)=1,ROW(MauKoXoa!$C$108),$B546+1))</f>
        <v/>
      </c>
      <c r="C547" s="992" t="str">
        <f t="shared" ca="1" si="74"/>
        <v/>
      </c>
      <c r="D547" s="993" t="str">
        <f t="shared" ca="1" si="75"/>
        <v/>
      </c>
      <c r="E547" s="993" t="str">
        <f t="shared" ca="1" si="76"/>
        <v/>
      </c>
      <c r="F547" s="992" t="str">
        <f t="shared" ca="1" si="84"/>
        <v/>
      </c>
      <c r="G547" s="994">
        <f t="shared" ca="1" si="77"/>
        <v>0</v>
      </c>
      <c r="H547" s="913">
        <f t="shared" ca="1" si="78"/>
        <v>0</v>
      </c>
      <c r="I547" s="913">
        <f t="shared" ca="1" si="79"/>
        <v>0</v>
      </c>
      <c r="J547" s="995">
        <f t="shared" ca="1" si="85"/>
        <v>0</v>
      </c>
      <c r="K547" s="913">
        <f t="shared" ca="1" si="80"/>
        <v>0</v>
      </c>
      <c r="L547" s="995">
        <f t="shared" ca="1" si="86"/>
        <v>0</v>
      </c>
      <c r="M547" s="913">
        <f t="shared" ca="1" si="81"/>
        <v>0</v>
      </c>
      <c r="N547" s="996">
        <f t="shared" ca="1" si="82"/>
        <v>0</v>
      </c>
      <c r="O547" s="997">
        <f t="shared" ca="1" si="83"/>
        <v>0</v>
      </c>
      <c r="P547" s="1015" t="str">
        <f ca="1">IF($C547="","",INDEX(NVLSX!$N$2:$N$6941,MATCH($C547,NVLSX!$E$2:$E$6941,0)))</f>
        <v/>
      </c>
      <c r="Q547" s="1016" t="str">
        <f ca="1">IF($R547="","",IF(XKNVLSX!$X$1="",IF($P547=$V$7,$P547, IF(COUNTIFS($C$2:$C546,$C547,$E$2:$E546,$E547)&gt;=1,"",$P547)),     IF(AND(IFERROR(SEARCH($R547,XKNVLSX!$X$1,1),0)&gt;=1,$P547=$V$7),$P547, IF(OR($R547&lt;&gt;IF(IFERROR(SEARCH($R547,XKNVLSX!$X$1,1),0)&gt;=1,$R547,XKNVLSX!$X$1),COUNTIFS($C$2:$C546,$C547,$E$2:$E546,$E547,$Q$2:$Q546,$P547)&gt;=1),"",$P547))))</f>
        <v/>
      </c>
      <c r="R547" s="1017" t="str">
        <f ca="1">IF($A547="","",IFERROR(INDEX(TinhGia!$BF$10:$BF$81,MATCH($A547,TinhGia!$B$10:$B$81,0)),""))</f>
        <v/>
      </c>
      <c r="S547" s="1012" t="str">
        <f ca="1">IF($A547="","",IF(OR(IFERROR(SEARCH($R547,XKNVLSX!$X$1,1),0)&gt;=1,XKNVLSX!$X$1=""),$S$2,""))</f>
        <v/>
      </c>
      <c r="T547" s="1018" t="str">
        <f ca="1">IF($C547="","", IF(OR($P547=$V$1,$P547=$V$7,COUNTIFS($C$3:$C547,$C547,$E$3:$E547,$E547)&lt;=1),$P547,""    ))</f>
        <v/>
      </c>
      <c r="U547" s="1019" t="str">
        <f ca="1">IF(AND($P547=$V$2,COUNTIFS($C$3:$C547,$C547,$E$3:$E547,$E547,$G$3:$G547,$G547)&lt;=1),$P547,"")</f>
        <v/>
      </c>
    </row>
    <row r="548" spans="1:21">
      <c r="A548" s="991" t="str">
        <f ca="1">IFERROR(IF(COUNTIF($A$3:A547,A547)&lt; INDEX(TinhGia!$BH$10:$BH$81,MATCH($A547,TinhGia!$B$10:$B$81,0)),$A547,INDEX(TinhGia!$B$10:$B$81,MATCH($A547,TinhGia!$B$10:$B$81,0)+1)),"")</f>
        <v/>
      </c>
      <c r="B548" s="525" t="str">
        <f ca="1">IF(OR(A548="",A548=0),"",IF(COUNTIF($A$2:A548,$A548)=1,ROW(MauKoXoa!$C$108),$B547+1))</f>
        <v/>
      </c>
      <c r="C548" s="992" t="str">
        <f t="shared" ca="1" si="74"/>
        <v/>
      </c>
      <c r="D548" s="993" t="str">
        <f t="shared" ca="1" si="75"/>
        <v/>
      </c>
      <c r="E548" s="993" t="str">
        <f t="shared" ca="1" si="76"/>
        <v/>
      </c>
      <c r="F548" s="992" t="str">
        <f t="shared" ca="1" si="84"/>
        <v/>
      </c>
      <c r="G548" s="994">
        <f t="shared" ca="1" si="77"/>
        <v>0</v>
      </c>
      <c r="H548" s="913">
        <f t="shared" ca="1" si="78"/>
        <v>0</v>
      </c>
      <c r="I548" s="913">
        <f t="shared" ca="1" si="79"/>
        <v>0</v>
      </c>
      <c r="J548" s="995">
        <f t="shared" ca="1" si="85"/>
        <v>0</v>
      </c>
      <c r="K548" s="913">
        <f t="shared" ca="1" si="80"/>
        <v>0</v>
      </c>
      <c r="L548" s="995">
        <f t="shared" ca="1" si="86"/>
        <v>0</v>
      </c>
      <c r="M548" s="913">
        <f t="shared" ca="1" si="81"/>
        <v>0</v>
      </c>
      <c r="N548" s="996">
        <f t="shared" ca="1" si="82"/>
        <v>0</v>
      </c>
      <c r="O548" s="997">
        <f t="shared" ca="1" si="83"/>
        <v>0</v>
      </c>
      <c r="P548" s="1015" t="str">
        <f ca="1">IF($C548="","",INDEX(NVLSX!$N$2:$N$6941,MATCH($C548,NVLSX!$E$2:$E$6941,0)))</f>
        <v/>
      </c>
      <c r="Q548" s="1016" t="str">
        <f ca="1">IF($R548="","",IF(XKNVLSX!$X$1="",IF($P548=$V$7,$P548, IF(COUNTIFS($C$2:$C547,$C548,$E$2:$E547,$E548)&gt;=1,"",$P548)),     IF(AND(IFERROR(SEARCH($R548,XKNVLSX!$X$1,1),0)&gt;=1,$P548=$V$7),$P548, IF(OR($R548&lt;&gt;IF(IFERROR(SEARCH($R548,XKNVLSX!$X$1,1),0)&gt;=1,$R548,XKNVLSX!$X$1),COUNTIFS($C$2:$C547,$C548,$E$2:$E547,$E548,$Q$2:$Q547,$P548)&gt;=1),"",$P548))))</f>
        <v/>
      </c>
      <c r="R548" s="1017" t="str">
        <f ca="1">IF($A548="","",IFERROR(INDEX(TinhGia!$BF$10:$BF$81,MATCH($A548,TinhGia!$B$10:$B$81,0)),""))</f>
        <v/>
      </c>
      <c r="S548" s="1012" t="str">
        <f ca="1">IF($A548="","",IF(OR(IFERROR(SEARCH($R548,XKNVLSX!$X$1,1),0)&gt;=1,XKNVLSX!$X$1=""),$S$2,""))</f>
        <v/>
      </c>
      <c r="T548" s="1018" t="str">
        <f ca="1">IF($C548="","", IF(OR($P548=$V$1,$P548=$V$7,COUNTIFS($C$3:$C548,$C548,$E$3:$E548,$E548)&lt;=1),$P548,""    ))</f>
        <v/>
      </c>
      <c r="U548" s="1019" t="str">
        <f ca="1">IF(AND($P548=$V$2,COUNTIFS($C$3:$C548,$C548,$E$3:$E548,$E548,$G$3:$G548,$G548)&lt;=1),$P548,"")</f>
        <v/>
      </c>
    </row>
    <row r="549" spans="1:21">
      <c r="A549" s="991" t="str">
        <f ca="1">IFERROR(IF(COUNTIF($A$3:A548,A548)&lt; INDEX(TinhGia!$BH$10:$BH$81,MATCH($A548,TinhGia!$B$10:$B$81,0)),$A548,INDEX(TinhGia!$B$10:$B$81,MATCH($A548,TinhGia!$B$10:$B$81,0)+1)),"")</f>
        <v/>
      </c>
      <c r="B549" s="525" t="str">
        <f ca="1">IF(OR(A549="",A549=0),"",IF(COUNTIF($A$2:A549,$A549)=1,ROW(MauKoXoa!$C$108),$B548+1))</f>
        <v/>
      </c>
      <c r="C549" s="992" t="str">
        <f t="shared" ca="1" si="74"/>
        <v/>
      </c>
      <c r="D549" s="993" t="str">
        <f t="shared" ca="1" si="75"/>
        <v/>
      </c>
      <c r="E549" s="993" t="str">
        <f t="shared" ca="1" si="76"/>
        <v/>
      </c>
      <c r="F549" s="992" t="str">
        <f t="shared" ca="1" si="84"/>
        <v/>
      </c>
      <c r="G549" s="994">
        <f t="shared" ca="1" si="77"/>
        <v>0</v>
      </c>
      <c r="H549" s="913">
        <f t="shared" ca="1" si="78"/>
        <v>0</v>
      </c>
      <c r="I549" s="913">
        <f t="shared" ca="1" si="79"/>
        <v>0</v>
      </c>
      <c r="J549" s="995">
        <f t="shared" ca="1" si="85"/>
        <v>0</v>
      </c>
      <c r="K549" s="913">
        <f t="shared" ca="1" si="80"/>
        <v>0</v>
      </c>
      <c r="L549" s="995">
        <f t="shared" ca="1" si="86"/>
        <v>0</v>
      </c>
      <c r="M549" s="913">
        <f t="shared" ca="1" si="81"/>
        <v>0</v>
      </c>
      <c r="N549" s="996">
        <f t="shared" ca="1" si="82"/>
        <v>0</v>
      </c>
      <c r="O549" s="997">
        <f t="shared" ca="1" si="83"/>
        <v>0</v>
      </c>
      <c r="P549" s="1015" t="str">
        <f ca="1">IF($C549="","",INDEX(NVLSX!$N$2:$N$6941,MATCH($C549,NVLSX!$E$2:$E$6941,0)))</f>
        <v/>
      </c>
      <c r="Q549" s="1016" t="str">
        <f ca="1">IF($R549="","",IF(XKNVLSX!$X$1="",IF($P549=$V$7,$P549, IF(COUNTIFS($C$2:$C548,$C549,$E$2:$E548,$E549)&gt;=1,"",$P549)),     IF(AND(IFERROR(SEARCH($R549,XKNVLSX!$X$1,1),0)&gt;=1,$P549=$V$7),$P549, IF(OR($R549&lt;&gt;IF(IFERROR(SEARCH($R549,XKNVLSX!$X$1,1),0)&gt;=1,$R549,XKNVLSX!$X$1),COUNTIFS($C$2:$C548,$C549,$E$2:$E548,$E549,$Q$2:$Q548,$P549)&gt;=1),"",$P549))))</f>
        <v/>
      </c>
      <c r="R549" s="1017" t="str">
        <f ca="1">IF($A549="","",IFERROR(INDEX(TinhGia!$BF$10:$BF$81,MATCH($A549,TinhGia!$B$10:$B$81,0)),""))</f>
        <v/>
      </c>
      <c r="S549" s="1012" t="str">
        <f ca="1">IF($A549="","",IF(OR(IFERROR(SEARCH($R549,XKNVLSX!$X$1,1),0)&gt;=1,XKNVLSX!$X$1=""),$S$2,""))</f>
        <v/>
      </c>
      <c r="T549" s="1018" t="str">
        <f ca="1">IF($C549="","", IF(OR($P549=$V$1,$P549=$V$7,COUNTIFS($C$3:$C549,$C549,$E$3:$E549,$E549)&lt;=1),$P549,""    ))</f>
        <v/>
      </c>
      <c r="U549" s="1019" t="str">
        <f ca="1">IF(AND($P549=$V$2,COUNTIFS($C$3:$C549,$C549,$E$3:$E549,$E549,$G$3:$G549,$G549)&lt;=1),$P549,"")</f>
        <v/>
      </c>
    </row>
    <row r="550" spans="1:21">
      <c r="A550" s="991" t="str">
        <f ca="1">IFERROR(IF(COUNTIF($A$3:A549,A549)&lt; INDEX(TinhGia!$BH$10:$BH$81,MATCH($A549,TinhGia!$B$10:$B$81,0)),$A549,INDEX(TinhGia!$B$10:$B$81,MATCH($A549,TinhGia!$B$10:$B$81,0)+1)),"")</f>
        <v/>
      </c>
      <c r="B550" s="525" t="str">
        <f ca="1">IF(OR(A550="",A550=0),"",IF(COUNTIF($A$2:A550,$A550)=1,ROW(MauKoXoa!$C$108),$B549+1))</f>
        <v/>
      </c>
      <c r="C550" s="992" t="str">
        <f t="shared" ca="1" si="74"/>
        <v/>
      </c>
      <c r="D550" s="993" t="str">
        <f t="shared" ca="1" si="75"/>
        <v/>
      </c>
      <c r="E550" s="993" t="str">
        <f t="shared" ca="1" si="76"/>
        <v/>
      </c>
      <c r="F550" s="992" t="str">
        <f t="shared" ca="1" si="84"/>
        <v/>
      </c>
      <c r="G550" s="994">
        <f t="shared" ca="1" si="77"/>
        <v>0</v>
      </c>
      <c r="H550" s="913">
        <f t="shared" ca="1" si="78"/>
        <v>0</v>
      </c>
      <c r="I550" s="913">
        <f t="shared" ca="1" si="79"/>
        <v>0</v>
      </c>
      <c r="J550" s="995">
        <f t="shared" ca="1" si="85"/>
        <v>0</v>
      </c>
      <c r="K550" s="913">
        <f t="shared" ca="1" si="80"/>
        <v>0</v>
      </c>
      <c r="L550" s="995">
        <f t="shared" ca="1" si="86"/>
        <v>0</v>
      </c>
      <c r="M550" s="913">
        <f t="shared" ca="1" si="81"/>
        <v>0</v>
      </c>
      <c r="N550" s="996">
        <f t="shared" ca="1" si="82"/>
        <v>0</v>
      </c>
      <c r="O550" s="997">
        <f t="shared" ca="1" si="83"/>
        <v>0</v>
      </c>
      <c r="P550" s="1015" t="str">
        <f ca="1">IF($C550="","",INDEX(NVLSX!$N$2:$N$6941,MATCH($C550,NVLSX!$E$2:$E$6941,0)))</f>
        <v/>
      </c>
      <c r="Q550" s="1016" t="str">
        <f ca="1">IF($R550="","",IF(XKNVLSX!$X$1="",IF($P550=$V$7,$P550, IF(COUNTIFS($C$2:$C549,$C550,$E$2:$E549,$E550)&gt;=1,"",$P550)),     IF(AND(IFERROR(SEARCH($R550,XKNVLSX!$X$1,1),0)&gt;=1,$P550=$V$7),$P550, IF(OR($R550&lt;&gt;IF(IFERROR(SEARCH($R550,XKNVLSX!$X$1,1),0)&gt;=1,$R550,XKNVLSX!$X$1),COUNTIFS($C$2:$C549,$C550,$E$2:$E549,$E550,$Q$2:$Q549,$P550)&gt;=1),"",$P550))))</f>
        <v/>
      </c>
      <c r="R550" s="1017" t="str">
        <f ca="1">IF($A550="","",IFERROR(INDEX(TinhGia!$BF$10:$BF$81,MATCH($A550,TinhGia!$B$10:$B$81,0)),""))</f>
        <v/>
      </c>
      <c r="S550" s="1012" t="str">
        <f ca="1">IF($A550="","",IF(OR(IFERROR(SEARCH($R550,XKNVLSX!$X$1,1),0)&gt;=1,XKNVLSX!$X$1=""),$S$2,""))</f>
        <v/>
      </c>
      <c r="T550" s="1018" t="str">
        <f ca="1">IF($C550="","", IF(OR($P550=$V$1,$P550=$V$7,COUNTIFS($C$3:$C550,$C550,$E$3:$E550,$E550)&lt;=1),$P550,""    ))</f>
        <v/>
      </c>
      <c r="U550" s="1019" t="str">
        <f ca="1">IF(AND($P550=$V$2,COUNTIFS($C$3:$C550,$C550,$E$3:$E550,$E550,$G$3:$G550,$G550)&lt;=1),$P550,"")</f>
        <v/>
      </c>
    </row>
    <row r="551" spans="1:21">
      <c r="A551" s="991" t="str">
        <f ca="1">IFERROR(IF(COUNTIF($A$3:A550,A550)&lt; INDEX(TinhGia!$BH$10:$BH$81,MATCH($A550,TinhGia!$B$10:$B$81,0)),$A550,INDEX(TinhGia!$B$10:$B$81,MATCH($A550,TinhGia!$B$10:$B$81,0)+1)),"")</f>
        <v/>
      </c>
      <c r="B551" s="525" t="str">
        <f ca="1">IF(OR(A551="",A551=0),"",IF(COUNTIF($A$2:A551,$A551)=1,ROW(MauKoXoa!$C$108),$B550+1))</f>
        <v/>
      </c>
      <c r="C551" s="992" t="str">
        <f t="shared" ca="1" si="74"/>
        <v/>
      </c>
      <c r="D551" s="993" t="str">
        <f t="shared" ca="1" si="75"/>
        <v/>
      </c>
      <c r="E551" s="993" t="str">
        <f t="shared" ca="1" si="76"/>
        <v/>
      </c>
      <c r="F551" s="992" t="str">
        <f t="shared" ca="1" si="84"/>
        <v/>
      </c>
      <c r="G551" s="994">
        <f t="shared" ca="1" si="77"/>
        <v>0</v>
      </c>
      <c r="H551" s="913">
        <f t="shared" ca="1" si="78"/>
        <v>0</v>
      </c>
      <c r="I551" s="913">
        <f t="shared" ca="1" si="79"/>
        <v>0</v>
      </c>
      <c r="J551" s="995">
        <f t="shared" ca="1" si="85"/>
        <v>0</v>
      </c>
      <c r="K551" s="913">
        <f t="shared" ca="1" si="80"/>
        <v>0</v>
      </c>
      <c r="L551" s="995">
        <f t="shared" ca="1" si="86"/>
        <v>0</v>
      </c>
      <c r="M551" s="913">
        <f t="shared" ca="1" si="81"/>
        <v>0</v>
      </c>
      <c r="N551" s="996">
        <f t="shared" ca="1" si="82"/>
        <v>0</v>
      </c>
      <c r="O551" s="997">
        <f t="shared" ca="1" si="83"/>
        <v>0</v>
      </c>
      <c r="P551" s="1015" t="str">
        <f ca="1">IF($C551="","",INDEX(NVLSX!$N$2:$N$6941,MATCH($C551,NVLSX!$E$2:$E$6941,0)))</f>
        <v/>
      </c>
      <c r="Q551" s="1016" t="str">
        <f ca="1">IF($R551="","",IF(XKNVLSX!$X$1="",IF($P551=$V$7,$P551, IF(COUNTIFS($C$2:$C550,$C551,$E$2:$E550,$E551)&gt;=1,"",$P551)),     IF(AND(IFERROR(SEARCH($R551,XKNVLSX!$X$1,1),0)&gt;=1,$P551=$V$7),$P551, IF(OR($R551&lt;&gt;IF(IFERROR(SEARCH($R551,XKNVLSX!$X$1,1),0)&gt;=1,$R551,XKNVLSX!$X$1),COUNTIFS($C$2:$C550,$C551,$E$2:$E550,$E551,$Q$2:$Q550,$P551)&gt;=1),"",$P551))))</f>
        <v/>
      </c>
      <c r="R551" s="1017" t="str">
        <f ca="1">IF($A551="","",IFERROR(INDEX(TinhGia!$BF$10:$BF$81,MATCH($A551,TinhGia!$B$10:$B$81,0)),""))</f>
        <v/>
      </c>
      <c r="S551" s="1012" t="str">
        <f ca="1">IF($A551="","",IF(OR(IFERROR(SEARCH($R551,XKNVLSX!$X$1,1),0)&gt;=1,XKNVLSX!$X$1=""),$S$2,""))</f>
        <v/>
      </c>
      <c r="T551" s="1018" t="str">
        <f ca="1">IF($C551="","", IF(OR($P551=$V$1,$P551=$V$7,COUNTIFS($C$3:$C551,$C551,$E$3:$E551,$E551)&lt;=1),$P551,""    ))</f>
        <v/>
      </c>
      <c r="U551" s="1019" t="str">
        <f ca="1">IF(AND($P551=$V$2,COUNTIFS($C$3:$C551,$C551,$E$3:$E551,$E551,$G$3:$G551,$G551)&lt;=1),$P551,"")</f>
        <v/>
      </c>
    </row>
    <row r="552" spans="1:21">
      <c r="A552" s="991" t="str">
        <f ca="1">IFERROR(IF(COUNTIF($A$3:A551,A551)&lt; INDEX(TinhGia!$BH$10:$BH$81,MATCH($A551,TinhGia!$B$10:$B$81,0)),$A551,INDEX(TinhGia!$B$10:$B$81,MATCH($A551,TinhGia!$B$10:$B$81,0)+1)),"")</f>
        <v/>
      </c>
      <c r="B552" s="525" t="str">
        <f ca="1">IF(OR(A552="",A552=0),"",IF(COUNTIF($A$2:A552,$A552)=1,ROW(MauKoXoa!$C$108),$B551+1))</f>
        <v/>
      </c>
      <c r="C552" s="992" t="str">
        <f t="shared" ca="1" si="74"/>
        <v/>
      </c>
      <c r="D552" s="993" t="str">
        <f t="shared" ca="1" si="75"/>
        <v/>
      </c>
      <c r="E552" s="993" t="str">
        <f t="shared" ca="1" si="76"/>
        <v/>
      </c>
      <c r="F552" s="992" t="str">
        <f t="shared" ca="1" si="84"/>
        <v/>
      </c>
      <c r="G552" s="994">
        <f t="shared" ca="1" si="77"/>
        <v>0</v>
      </c>
      <c r="H552" s="913">
        <f t="shared" ca="1" si="78"/>
        <v>0</v>
      </c>
      <c r="I552" s="913">
        <f t="shared" ca="1" si="79"/>
        <v>0</v>
      </c>
      <c r="J552" s="995">
        <f t="shared" ca="1" si="85"/>
        <v>0</v>
      </c>
      <c r="K552" s="913">
        <f t="shared" ca="1" si="80"/>
        <v>0</v>
      </c>
      <c r="L552" s="995">
        <f t="shared" ca="1" si="86"/>
        <v>0</v>
      </c>
      <c r="M552" s="913">
        <f t="shared" ca="1" si="81"/>
        <v>0</v>
      </c>
      <c r="N552" s="996">
        <f t="shared" ca="1" si="82"/>
        <v>0</v>
      </c>
      <c r="O552" s="997">
        <f t="shared" ca="1" si="83"/>
        <v>0</v>
      </c>
      <c r="P552" s="1015" t="str">
        <f ca="1">IF($C552="","",INDEX(NVLSX!$N$2:$N$6941,MATCH($C552,NVLSX!$E$2:$E$6941,0)))</f>
        <v/>
      </c>
      <c r="Q552" s="1016" t="str">
        <f ca="1">IF($R552="","",IF(XKNVLSX!$X$1="",IF($P552=$V$7,$P552, IF(COUNTIFS($C$2:$C551,$C552,$E$2:$E551,$E552)&gt;=1,"",$P552)),     IF(AND(IFERROR(SEARCH($R552,XKNVLSX!$X$1,1),0)&gt;=1,$P552=$V$7),$P552, IF(OR($R552&lt;&gt;IF(IFERROR(SEARCH($R552,XKNVLSX!$X$1,1),0)&gt;=1,$R552,XKNVLSX!$X$1),COUNTIFS($C$2:$C551,$C552,$E$2:$E551,$E552,$Q$2:$Q551,$P552)&gt;=1),"",$P552))))</f>
        <v/>
      </c>
      <c r="R552" s="1017" t="str">
        <f ca="1">IF($A552="","",IFERROR(INDEX(TinhGia!$BF$10:$BF$81,MATCH($A552,TinhGia!$B$10:$B$81,0)),""))</f>
        <v/>
      </c>
      <c r="S552" s="1012" t="str">
        <f ca="1">IF($A552="","",IF(OR(IFERROR(SEARCH($R552,XKNVLSX!$X$1,1),0)&gt;=1,XKNVLSX!$X$1=""),$S$2,""))</f>
        <v/>
      </c>
      <c r="T552" s="1018" t="str">
        <f ca="1">IF($C552="","", IF(OR($P552=$V$1,$P552=$V$7,COUNTIFS($C$3:$C552,$C552,$E$3:$E552,$E552)&lt;=1),$P552,""    ))</f>
        <v/>
      </c>
      <c r="U552" s="1019" t="str">
        <f ca="1">IF(AND($P552=$V$2,COUNTIFS($C$3:$C552,$C552,$E$3:$E552,$E552,$G$3:$G552,$G552)&lt;=1),$P552,"")</f>
        <v/>
      </c>
    </row>
    <row r="553" spans="1:21">
      <c r="A553" s="991" t="str">
        <f ca="1">IFERROR(IF(COUNTIF($A$3:A552,A552)&lt; INDEX(TinhGia!$BH$10:$BH$81,MATCH($A552,TinhGia!$B$10:$B$81,0)),$A552,INDEX(TinhGia!$B$10:$B$81,MATCH($A552,TinhGia!$B$10:$B$81,0)+1)),"")</f>
        <v/>
      </c>
      <c r="B553" s="525" t="str">
        <f ca="1">IF(OR(A553="",A553=0),"",IF(COUNTIF($A$2:A553,$A553)=1,ROW(MauKoXoa!$C$108),$B552+1))</f>
        <v/>
      </c>
      <c r="C553" s="992" t="str">
        <f t="shared" ca="1" si="74"/>
        <v/>
      </c>
      <c r="D553" s="993" t="str">
        <f t="shared" ca="1" si="75"/>
        <v/>
      </c>
      <c r="E553" s="993" t="str">
        <f t="shared" ca="1" si="76"/>
        <v/>
      </c>
      <c r="F553" s="992" t="str">
        <f t="shared" ca="1" si="84"/>
        <v/>
      </c>
      <c r="G553" s="994">
        <f t="shared" ca="1" si="77"/>
        <v>0</v>
      </c>
      <c r="H553" s="913">
        <f t="shared" ca="1" si="78"/>
        <v>0</v>
      </c>
      <c r="I553" s="913">
        <f t="shared" ca="1" si="79"/>
        <v>0</v>
      </c>
      <c r="J553" s="995">
        <f t="shared" ca="1" si="85"/>
        <v>0</v>
      </c>
      <c r="K553" s="913">
        <f t="shared" ca="1" si="80"/>
        <v>0</v>
      </c>
      <c r="L553" s="995">
        <f t="shared" ca="1" si="86"/>
        <v>0</v>
      </c>
      <c r="M553" s="913">
        <f t="shared" ca="1" si="81"/>
        <v>0</v>
      </c>
      <c r="N553" s="996">
        <f t="shared" ca="1" si="82"/>
        <v>0</v>
      </c>
      <c r="O553" s="997">
        <f t="shared" ca="1" si="83"/>
        <v>0</v>
      </c>
      <c r="P553" s="1015" t="str">
        <f ca="1">IF($C553="","",INDEX(NVLSX!$N$2:$N$6941,MATCH($C553,NVLSX!$E$2:$E$6941,0)))</f>
        <v/>
      </c>
      <c r="Q553" s="1016" t="str">
        <f ca="1">IF($R553="","",IF(XKNVLSX!$X$1="",IF($P553=$V$7,$P553, IF(COUNTIFS($C$2:$C552,$C553,$E$2:$E552,$E553)&gt;=1,"",$P553)),     IF(AND(IFERROR(SEARCH($R553,XKNVLSX!$X$1,1),0)&gt;=1,$P553=$V$7),$P553, IF(OR($R553&lt;&gt;IF(IFERROR(SEARCH($R553,XKNVLSX!$X$1,1),0)&gt;=1,$R553,XKNVLSX!$X$1),COUNTIFS($C$2:$C552,$C553,$E$2:$E552,$E553,$Q$2:$Q552,$P553)&gt;=1),"",$P553))))</f>
        <v/>
      </c>
      <c r="R553" s="1017" t="str">
        <f ca="1">IF($A553="","",IFERROR(INDEX(TinhGia!$BF$10:$BF$81,MATCH($A553,TinhGia!$B$10:$B$81,0)),""))</f>
        <v/>
      </c>
      <c r="S553" s="1012" t="str">
        <f ca="1">IF($A553="","",IF(OR(IFERROR(SEARCH($R553,XKNVLSX!$X$1,1),0)&gt;=1,XKNVLSX!$X$1=""),$S$2,""))</f>
        <v/>
      </c>
      <c r="T553" s="1018" t="str">
        <f ca="1">IF($C553="","", IF(OR($P553=$V$1,$P553=$V$7,COUNTIFS($C$3:$C553,$C553,$E$3:$E553,$E553)&lt;=1),$P553,""    ))</f>
        <v/>
      </c>
      <c r="U553" s="1019" t="str">
        <f ca="1">IF(AND($P553=$V$2,COUNTIFS($C$3:$C553,$C553,$E$3:$E553,$E553,$G$3:$G553,$G553)&lt;=1),$P553,"")</f>
        <v/>
      </c>
    </row>
    <row r="554" spans="1:21">
      <c r="A554" s="991" t="str">
        <f ca="1">IFERROR(IF(COUNTIF($A$3:A553,A553)&lt; INDEX(TinhGia!$BH$10:$BH$81,MATCH($A553,TinhGia!$B$10:$B$81,0)),$A553,INDEX(TinhGia!$B$10:$B$81,MATCH($A553,TinhGia!$B$10:$B$81,0)+1)),"")</f>
        <v/>
      </c>
      <c r="B554" s="525" t="str">
        <f ca="1">IF(OR(A554="",A554=0),"",IF(COUNTIF($A$2:A554,$A554)=1,ROW(MauKoXoa!$C$108),$B553+1))</f>
        <v/>
      </c>
      <c r="C554" s="992" t="str">
        <f t="shared" ca="1" si="74"/>
        <v/>
      </c>
      <c r="D554" s="993" t="str">
        <f t="shared" ca="1" si="75"/>
        <v/>
      </c>
      <c r="E554" s="993" t="str">
        <f t="shared" ca="1" si="76"/>
        <v/>
      </c>
      <c r="F554" s="992" t="str">
        <f t="shared" ca="1" si="84"/>
        <v/>
      </c>
      <c r="G554" s="994">
        <f t="shared" ca="1" si="77"/>
        <v>0</v>
      </c>
      <c r="H554" s="913">
        <f t="shared" ca="1" si="78"/>
        <v>0</v>
      </c>
      <c r="I554" s="913">
        <f t="shared" ca="1" si="79"/>
        <v>0</v>
      </c>
      <c r="J554" s="995">
        <f t="shared" ca="1" si="85"/>
        <v>0</v>
      </c>
      <c r="K554" s="913">
        <f t="shared" ca="1" si="80"/>
        <v>0</v>
      </c>
      <c r="L554" s="995">
        <f t="shared" ca="1" si="86"/>
        <v>0</v>
      </c>
      <c r="M554" s="913">
        <f t="shared" ca="1" si="81"/>
        <v>0</v>
      </c>
      <c r="N554" s="996">
        <f t="shared" ca="1" si="82"/>
        <v>0</v>
      </c>
      <c r="O554" s="997">
        <f t="shared" ca="1" si="83"/>
        <v>0</v>
      </c>
      <c r="P554" s="1015" t="str">
        <f ca="1">IF($C554="","",INDEX(NVLSX!$N$2:$N$6941,MATCH($C554,NVLSX!$E$2:$E$6941,0)))</f>
        <v/>
      </c>
      <c r="Q554" s="1016" t="str">
        <f ca="1">IF($R554="","",IF(XKNVLSX!$X$1="",IF($P554=$V$7,$P554, IF(COUNTIFS($C$2:$C553,$C554,$E$2:$E553,$E554)&gt;=1,"",$P554)),     IF(AND(IFERROR(SEARCH($R554,XKNVLSX!$X$1,1),0)&gt;=1,$P554=$V$7),$P554, IF(OR($R554&lt;&gt;IF(IFERROR(SEARCH($R554,XKNVLSX!$X$1,1),0)&gt;=1,$R554,XKNVLSX!$X$1),COUNTIFS($C$2:$C553,$C554,$E$2:$E553,$E554,$Q$2:$Q553,$P554)&gt;=1),"",$P554))))</f>
        <v/>
      </c>
      <c r="R554" s="1017" t="str">
        <f ca="1">IF($A554="","",IFERROR(INDEX(TinhGia!$BF$10:$BF$81,MATCH($A554,TinhGia!$B$10:$B$81,0)),""))</f>
        <v/>
      </c>
      <c r="S554" s="1012" t="str">
        <f ca="1">IF($A554="","",IF(OR(IFERROR(SEARCH($R554,XKNVLSX!$X$1,1),0)&gt;=1,XKNVLSX!$X$1=""),$S$2,""))</f>
        <v/>
      </c>
      <c r="T554" s="1018" t="str">
        <f ca="1">IF($C554="","", IF(OR($P554=$V$1,$P554=$V$7,COUNTIFS($C$3:$C554,$C554,$E$3:$E554,$E554)&lt;=1),$P554,""    ))</f>
        <v/>
      </c>
      <c r="U554" s="1019" t="str">
        <f ca="1">IF(AND($P554=$V$2,COUNTIFS($C$3:$C554,$C554,$E$3:$E554,$E554,$G$3:$G554,$G554)&lt;=1),$P554,"")</f>
        <v/>
      </c>
    </row>
    <row r="555" spans="1:21">
      <c r="A555" s="991" t="str">
        <f ca="1">IFERROR(IF(COUNTIF($A$3:A554,A554)&lt; INDEX(TinhGia!$BH$10:$BH$81,MATCH($A554,TinhGia!$B$10:$B$81,0)),$A554,INDEX(TinhGia!$B$10:$B$81,MATCH($A554,TinhGia!$B$10:$B$81,0)+1)),"")</f>
        <v/>
      </c>
      <c r="B555" s="525" t="str">
        <f ca="1">IF(OR(A555="",A555=0),"",IF(COUNTIF($A$2:A555,$A555)=1,ROW(MauKoXoa!$C$108),$B554+1))</f>
        <v/>
      </c>
      <c r="C555" s="992" t="str">
        <f t="shared" ca="1" si="74"/>
        <v/>
      </c>
      <c r="D555" s="993" t="str">
        <f t="shared" ca="1" si="75"/>
        <v/>
      </c>
      <c r="E555" s="993" t="str">
        <f t="shared" ca="1" si="76"/>
        <v/>
      </c>
      <c r="F555" s="992" t="str">
        <f t="shared" ca="1" si="84"/>
        <v/>
      </c>
      <c r="G555" s="994">
        <f t="shared" ca="1" si="77"/>
        <v>0</v>
      </c>
      <c r="H555" s="913">
        <f t="shared" ca="1" si="78"/>
        <v>0</v>
      </c>
      <c r="I555" s="913">
        <f t="shared" ca="1" si="79"/>
        <v>0</v>
      </c>
      <c r="J555" s="995">
        <f t="shared" ca="1" si="85"/>
        <v>0</v>
      </c>
      <c r="K555" s="913">
        <f t="shared" ca="1" si="80"/>
        <v>0</v>
      </c>
      <c r="L555" s="995">
        <f t="shared" ca="1" si="86"/>
        <v>0</v>
      </c>
      <c r="M555" s="913">
        <f t="shared" ca="1" si="81"/>
        <v>0</v>
      </c>
      <c r="N555" s="996">
        <f t="shared" ca="1" si="82"/>
        <v>0</v>
      </c>
      <c r="O555" s="997">
        <f t="shared" ca="1" si="83"/>
        <v>0</v>
      </c>
      <c r="P555" s="1015" t="str">
        <f ca="1">IF($C555="","",INDEX(NVLSX!$N$2:$N$6941,MATCH($C555,NVLSX!$E$2:$E$6941,0)))</f>
        <v/>
      </c>
      <c r="Q555" s="1016" t="str">
        <f ca="1">IF($R555="","",IF(XKNVLSX!$X$1="",IF($P555=$V$7,$P555, IF(COUNTIFS($C$2:$C554,$C555,$E$2:$E554,$E555)&gt;=1,"",$P555)),     IF(AND(IFERROR(SEARCH($R555,XKNVLSX!$X$1,1),0)&gt;=1,$P555=$V$7),$P555, IF(OR($R555&lt;&gt;IF(IFERROR(SEARCH($R555,XKNVLSX!$X$1,1),0)&gt;=1,$R555,XKNVLSX!$X$1),COUNTIFS($C$2:$C554,$C555,$E$2:$E554,$E555,$Q$2:$Q554,$P555)&gt;=1),"",$P555))))</f>
        <v/>
      </c>
      <c r="R555" s="1017" t="str">
        <f ca="1">IF($A555="","",IFERROR(INDEX(TinhGia!$BF$10:$BF$81,MATCH($A555,TinhGia!$B$10:$B$81,0)),""))</f>
        <v/>
      </c>
      <c r="S555" s="1012" t="str">
        <f ca="1">IF($A555="","",IF(OR(IFERROR(SEARCH($R555,XKNVLSX!$X$1,1),0)&gt;=1,XKNVLSX!$X$1=""),$S$2,""))</f>
        <v/>
      </c>
      <c r="T555" s="1018" t="str">
        <f ca="1">IF($C555="","", IF(OR($P555=$V$1,$P555=$V$7,COUNTIFS($C$3:$C555,$C555,$E$3:$E555,$E555)&lt;=1),$P555,""    ))</f>
        <v/>
      </c>
      <c r="U555" s="1019" t="str">
        <f ca="1">IF(AND($P555=$V$2,COUNTIFS($C$3:$C555,$C555,$E$3:$E555,$E555,$G$3:$G555,$G555)&lt;=1),$P555,"")</f>
        <v/>
      </c>
    </row>
    <row r="556" spans="1:21">
      <c r="A556" s="991" t="str">
        <f ca="1">IFERROR(IF(COUNTIF($A$3:A555,A555)&lt; INDEX(TinhGia!$BH$10:$BH$81,MATCH($A555,TinhGia!$B$10:$B$81,0)),$A555,INDEX(TinhGia!$B$10:$B$81,MATCH($A555,TinhGia!$B$10:$B$81,0)+1)),"")</f>
        <v/>
      </c>
      <c r="B556" s="525" t="str">
        <f ca="1">IF(OR(A556="",A556=0),"",IF(COUNTIF($A$2:A556,$A556)=1,ROW(MauKoXoa!$C$108),$B555+1))</f>
        <v/>
      </c>
      <c r="C556" s="992" t="str">
        <f t="shared" ca="1" si="74"/>
        <v/>
      </c>
      <c r="D556" s="993" t="str">
        <f t="shared" ca="1" si="75"/>
        <v/>
      </c>
      <c r="E556" s="993" t="str">
        <f t="shared" ca="1" si="76"/>
        <v/>
      </c>
      <c r="F556" s="992" t="str">
        <f t="shared" ca="1" si="84"/>
        <v/>
      </c>
      <c r="G556" s="994">
        <f t="shared" ca="1" si="77"/>
        <v>0</v>
      </c>
      <c r="H556" s="913">
        <f t="shared" ca="1" si="78"/>
        <v>0</v>
      </c>
      <c r="I556" s="913">
        <f t="shared" ca="1" si="79"/>
        <v>0</v>
      </c>
      <c r="J556" s="995">
        <f t="shared" ca="1" si="85"/>
        <v>0</v>
      </c>
      <c r="K556" s="913">
        <f t="shared" ca="1" si="80"/>
        <v>0</v>
      </c>
      <c r="L556" s="995">
        <f t="shared" ca="1" si="86"/>
        <v>0</v>
      </c>
      <c r="M556" s="913">
        <f t="shared" ca="1" si="81"/>
        <v>0</v>
      </c>
      <c r="N556" s="996">
        <f t="shared" ca="1" si="82"/>
        <v>0</v>
      </c>
      <c r="O556" s="997">
        <f t="shared" ca="1" si="83"/>
        <v>0</v>
      </c>
      <c r="P556" s="1015" t="str">
        <f ca="1">IF($C556="","",INDEX(NVLSX!$N$2:$N$6941,MATCH($C556,NVLSX!$E$2:$E$6941,0)))</f>
        <v/>
      </c>
      <c r="Q556" s="1016" t="str">
        <f ca="1">IF($R556="","",IF(XKNVLSX!$X$1="",IF($P556=$V$7,$P556, IF(COUNTIFS($C$2:$C555,$C556,$E$2:$E555,$E556)&gt;=1,"",$P556)),     IF(AND(IFERROR(SEARCH($R556,XKNVLSX!$X$1,1),0)&gt;=1,$P556=$V$7),$P556, IF(OR($R556&lt;&gt;IF(IFERROR(SEARCH($R556,XKNVLSX!$X$1,1),0)&gt;=1,$R556,XKNVLSX!$X$1),COUNTIFS($C$2:$C555,$C556,$E$2:$E555,$E556,$Q$2:$Q555,$P556)&gt;=1),"",$P556))))</f>
        <v/>
      </c>
      <c r="R556" s="1017" t="str">
        <f ca="1">IF($A556="","",IFERROR(INDEX(TinhGia!$BF$10:$BF$81,MATCH($A556,TinhGia!$B$10:$B$81,0)),""))</f>
        <v/>
      </c>
      <c r="S556" s="1012" t="str">
        <f ca="1">IF($A556="","",IF(OR(IFERROR(SEARCH($R556,XKNVLSX!$X$1,1),0)&gt;=1,XKNVLSX!$X$1=""),$S$2,""))</f>
        <v/>
      </c>
      <c r="T556" s="1018" t="str">
        <f ca="1">IF($C556="","", IF(OR($P556=$V$1,$P556=$V$7,COUNTIFS($C$3:$C556,$C556,$E$3:$E556,$E556)&lt;=1),$P556,""    ))</f>
        <v/>
      </c>
      <c r="U556" s="1019" t="str">
        <f ca="1">IF(AND($P556=$V$2,COUNTIFS($C$3:$C556,$C556,$E$3:$E556,$E556,$G$3:$G556,$G556)&lt;=1),$P556,"")</f>
        <v/>
      </c>
    </row>
    <row r="557" spans="1:21">
      <c r="A557" s="991" t="str">
        <f ca="1">IFERROR(IF(COUNTIF($A$3:A556,A556)&lt; INDEX(TinhGia!$BH$10:$BH$81,MATCH($A556,TinhGia!$B$10:$B$81,0)),$A556,INDEX(TinhGia!$B$10:$B$81,MATCH($A556,TinhGia!$B$10:$B$81,0)+1)),"")</f>
        <v/>
      </c>
      <c r="B557" s="525" t="str">
        <f ca="1">IF(OR(A557="",A557=0),"",IF(COUNTIF($A$2:A557,$A557)=1,ROW(MauKoXoa!$C$108),$B556+1))</f>
        <v/>
      </c>
      <c r="C557" s="992" t="str">
        <f t="shared" ca="1" si="74"/>
        <v/>
      </c>
      <c r="D557" s="993" t="str">
        <f t="shared" ca="1" si="75"/>
        <v/>
      </c>
      <c r="E557" s="993" t="str">
        <f t="shared" ca="1" si="76"/>
        <v/>
      </c>
      <c r="F557" s="992" t="str">
        <f t="shared" ca="1" si="84"/>
        <v/>
      </c>
      <c r="G557" s="994">
        <f t="shared" ca="1" si="77"/>
        <v>0</v>
      </c>
      <c r="H557" s="913">
        <f t="shared" ca="1" si="78"/>
        <v>0</v>
      </c>
      <c r="I557" s="913">
        <f t="shared" ca="1" si="79"/>
        <v>0</v>
      </c>
      <c r="J557" s="995">
        <f t="shared" ca="1" si="85"/>
        <v>0</v>
      </c>
      <c r="K557" s="913">
        <f t="shared" ca="1" si="80"/>
        <v>0</v>
      </c>
      <c r="L557" s="995">
        <f t="shared" ca="1" si="86"/>
        <v>0</v>
      </c>
      <c r="M557" s="913">
        <f t="shared" ca="1" si="81"/>
        <v>0</v>
      </c>
      <c r="N557" s="996">
        <f t="shared" ca="1" si="82"/>
        <v>0</v>
      </c>
      <c r="O557" s="997">
        <f t="shared" ca="1" si="83"/>
        <v>0</v>
      </c>
      <c r="P557" s="1015" t="str">
        <f ca="1">IF($C557="","",INDEX(NVLSX!$N$2:$N$6941,MATCH($C557,NVLSX!$E$2:$E$6941,0)))</f>
        <v/>
      </c>
      <c r="Q557" s="1016" t="str">
        <f ca="1">IF($R557="","",IF(XKNVLSX!$X$1="",IF($P557=$V$7,$P557, IF(COUNTIFS($C$2:$C556,$C557,$E$2:$E556,$E557)&gt;=1,"",$P557)),     IF(AND(IFERROR(SEARCH($R557,XKNVLSX!$X$1,1),0)&gt;=1,$P557=$V$7),$P557, IF(OR($R557&lt;&gt;IF(IFERROR(SEARCH($R557,XKNVLSX!$X$1,1),0)&gt;=1,$R557,XKNVLSX!$X$1),COUNTIFS($C$2:$C556,$C557,$E$2:$E556,$E557,$Q$2:$Q556,$P557)&gt;=1),"",$P557))))</f>
        <v/>
      </c>
      <c r="R557" s="1017" t="str">
        <f ca="1">IF($A557="","",IFERROR(INDEX(TinhGia!$BF$10:$BF$81,MATCH($A557,TinhGia!$B$10:$B$81,0)),""))</f>
        <v/>
      </c>
      <c r="S557" s="1012" t="str">
        <f ca="1">IF($A557="","",IF(OR(IFERROR(SEARCH($R557,XKNVLSX!$X$1,1),0)&gt;=1,XKNVLSX!$X$1=""),$S$2,""))</f>
        <v/>
      </c>
      <c r="T557" s="1018" t="str">
        <f ca="1">IF($C557="","", IF(OR($P557=$V$1,$P557=$V$7,COUNTIFS($C$3:$C557,$C557,$E$3:$E557,$E557)&lt;=1),$P557,""    ))</f>
        <v/>
      </c>
      <c r="U557" s="1019" t="str">
        <f ca="1">IF(AND($P557=$V$2,COUNTIFS($C$3:$C557,$C557,$E$3:$E557,$E557,$G$3:$G557,$G557)&lt;=1),$P557,"")</f>
        <v/>
      </c>
    </row>
    <row r="558" spans="1:21">
      <c r="A558" s="991" t="str">
        <f ca="1">IFERROR(IF(COUNTIF($A$3:A557,A557)&lt; INDEX(TinhGia!$BH$10:$BH$81,MATCH($A557,TinhGia!$B$10:$B$81,0)),$A557,INDEX(TinhGia!$B$10:$B$81,MATCH($A557,TinhGia!$B$10:$B$81,0)+1)),"")</f>
        <v/>
      </c>
      <c r="B558" s="525" t="str">
        <f ca="1">IF(OR(A558="",A558=0),"",IF(COUNTIF($A$2:A558,$A558)=1,ROW(MauKoXoa!$C$108),$B557+1))</f>
        <v/>
      </c>
      <c r="C558" s="992" t="str">
        <f t="shared" ca="1" si="74"/>
        <v/>
      </c>
      <c r="D558" s="993" t="str">
        <f t="shared" ca="1" si="75"/>
        <v/>
      </c>
      <c r="E558" s="993" t="str">
        <f t="shared" ca="1" si="76"/>
        <v/>
      </c>
      <c r="F558" s="992" t="str">
        <f t="shared" ca="1" si="84"/>
        <v/>
      </c>
      <c r="G558" s="994">
        <f t="shared" ca="1" si="77"/>
        <v>0</v>
      </c>
      <c r="H558" s="913">
        <f t="shared" ca="1" si="78"/>
        <v>0</v>
      </c>
      <c r="I558" s="913">
        <f t="shared" ca="1" si="79"/>
        <v>0</v>
      </c>
      <c r="J558" s="995">
        <f t="shared" ca="1" si="85"/>
        <v>0</v>
      </c>
      <c r="K558" s="913">
        <f t="shared" ca="1" si="80"/>
        <v>0</v>
      </c>
      <c r="L558" s="995">
        <f t="shared" ca="1" si="86"/>
        <v>0</v>
      </c>
      <c r="M558" s="913">
        <f t="shared" ca="1" si="81"/>
        <v>0</v>
      </c>
      <c r="N558" s="996">
        <f t="shared" ca="1" si="82"/>
        <v>0</v>
      </c>
      <c r="O558" s="997">
        <f t="shared" ca="1" si="83"/>
        <v>0</v>
      </c>
      <c r="P558" s="1015" t="str">
        <f ca="1">IF($C558="","",INDEX(NVLSX!$N$2:$N$6941,MATCH($C558,NVLSX!$E$2:$E$6941,0)))</f>
        <v/>
      </c>
      <c r="Q558" s="1016" t="str">
        <f ca="1">IF($R558="","",IF(XKNVLSX!$X$1="",IF($P558=$V$7,$P558, IF(COUNTIFS($C$2:$C557,$C558,$E$2:$E557,$E558)&gt;=1,"",$P558)),     IF(AND(IFERROR(SEARCH($R558,XKNVLSX!$X$1,1),0)&gt;=1,$P558=$V$7),$P558, IF(OR($R558&lt;&gt;IF(IFERROR(SEARCH($R558,XKNVLSX!$X$1,1),0)&gt;=1,$R558,XKNVLSX!$X$1),COUNTIFS($C$2:$C557,$C558,$E$2:$E557,$E558,$Q$2:$Q557,$P558)&gt;=1),"",$P558))))</f>
        <v/>
      </c>
      <c r="R558" s="1017" t="str">
        <f ca="1">IF($A558="","",IFERROR(INDEX(TinhGia!$BF$10:$BF$81,MATCH($A558,TinhGia!$B$10:$B$81,0)),""))</f>
        <v/>
      </c>
      <c r="S558" s="1012" t="str">
        <f ca="1">IF($A558="","",IF(OR(IFERROR(SEARCH($R558,XKNVLSX!$X$1,1),0)&gt;=1,XKNVLSX!$X$1=""),$S$2,""))</f>
        <v/>
      </c>
      <c r="T558" s="1018" t="str">
        <f ca="1">IF($C558="","", IF(OR($P558=$V$1,$P558=$V$7,COUNTIFS($C$3:$C558,$C558,$E$3:$E558,$E558)&lt;=1),$P558,""    ))</f>
        <v/>
      </c>
      <c r="U558" s="1019" t="str">
        <f ca="1">IF(AND($P558=$V$2,COUNTIFS($C$3:$C558,$C558,$E$3:$E558,$E558,$G$3:$G558,$G558)&lt;=1),$P558,"")</f>
        <v/>
      </c>
    </row>
    <row r="559" spans="1:21">
      <c r="A559" s="991" t="str">
        <f ca="1">IFERROR(IF(COUNTIF($A$3:A558,A558)&lt; INDEX(TinhGia!$BH$10:$BH$81,MATCH($A558,TinhGia!$B$10:$B$81,0)),$A558,INDEX(TinhGia!$B$10:$B$81,MATCH($A558,TinhGia!$B$10:$B$81,0)+1)),"")</f>
        <v/>
      </c>
      <c r="B559" s="525" t="str">
        <f ca="1">IF(OR(A559="",A559=0),"",IF(COUNTIF($A$2:A559,$A559)=1,ROW(MauKoXoa!$C$108),$B558+1))</f>
        <v/>
      </c>
      <c r="C559" s="992" t="str">
        <f t="shared" ca="1" si="74"/>
        <v/>
      </c>
      <c r="D559" s="993" t="str">
        <f t="shared" ca="1" si="75"/>
        <v/>
      </c>
      <c r="E559" s="993" t="str">
        <f t="shared" ca="1" si="76"/>
        <v/>
      </c>
      <c r="F559" s="992" t="str">
        <f t="shared" ca="1" si="84"/>
        <v/>
      </c>
      <c r="G559" s="994">
        <f t="shared" ca="1" si="77"/>
        <v>0</v>
      </c>
      <c r="H559" s="913">
        <f t="shared" ca="1" si="78"/>
        <v>0</v>
      </c>
      <c r="I559" s="913">
        <f t="shared" ca="1" si="79"/>
        <v>0</v>
      </c>
      <c r="J559" s="995">
        <f t="shared" ca="1" si="85"/>
        <v>0</v>
      </c>
      <c r="K559" s="913">
        <f t="shared" ca="1" si="80"/>
        <v>0</v>
      </c>
      <c r="L559" s="995">
        <f t="shared" ca="1" si="86"/>
        <v>0</v>
      </c>
      <c r="M559" s="913">
        <f t="shared" ca="1" si="81"/>
        <v>0</v>
      </c>
      <c r="N559" s="996">
        <f t="shared" ca="1" si="82"/>
        <v>0</v>
      </c>
      <c r="O559" s="997">
        <f t="shared" ca="1" si="83"/>
        <v>0</v>
      </c>
      <c r="P559" s="1015" t="str">
        <f ca="1">IF($C559="","",INDEX(NVLSX!$N$2:$N$6941,MATCH($C559,NVLSX!$E$2:$E$6941,0)))</f>
        <v/>
      </c>
      <c r="Q559" s="1016" t="str">
        <f ca="1">IF($R559="","",IF(XKNVLSX!$X$1="",IF($P559=$V$7,$P559, IF(COUNTIFS($C$2:$C558,$C559,$E$2:$E558,$E559)&gt;=1,"",$P559)),     IF(AND(IFERROR(SEARCH($R559,XKNVLSX!$X$1,1),0)&gt;=1,$P559=$V$7),$P559, IF(OR($R559&lt;&gt;IF(IFERROR(SEARCH($R559,XKNVLSX!$X$1,1),0)&gt;=1,$R559,XKNVLSX!$X$1),COUNTIFS($C$2:$C558,$C559,$E$2:$E558,$E559,$Q$2:$Q558,$P559)&gt;=1),"",$P559))))</f>
        <v/>
      </c>
      <c r="R559" s="1017" t="str">
        <f ca="1">IF($A559="","",IFERROR(INDEX(TinhGia!$BF$10:$BF$81,MATCH($A559,TinhGia!$B$10:$B$81,0)),""))</f>
        <v/>
      </c>
      <c r="S559" s="1012" t="str">
        <f ca="1">IF($A559="","",IF(OR(IFERROR(SEARCH($R559,XKNVLSX!$X$1,1),0)&gt;=1,XKNVLSX!$X$1=""),$S$2,""))</f>
        <v/>
      </c>
      <c r="T559" s="1018" t="str">
        <f ca="1">IF($C559="","", IF(OR($P559=$V$1,$P559=$V$7,COUNTIFS($C$3:$C559,$C559,$E$3:$E559,$E559)&lt;=1),$P559,""    ))</f>
        <v/>
      </c>
      <c r="U559" s="1019" t="str">
        <f ca="1">IF(AND($P559=$V$2,COUNTIFS($C$3:$C559,$C559,$E$3:$E559,$E559,$G$3:$G559,$G559)&lt;=1),$P559,"")</f>
        <v/>
      </c>
    </row>
    <row r="560" spans="1:21">
      <c r="A560" s="991" t="str">
        <f ca="1">IFERROR(IF(COUNTIF($A$3:A559,A559)&lt; INDEX(TinhGia!$BH$10:$BH$81,MATCH($A559,TinhGia!$B$10:$B$81,0)),$A559,INDEX(TinhGia!$B$10:$B$81,MATCH($A559,TinhGia!$B$10:$B$81,0)+1)),"")</f>
        <v/>
      </c>
      <c r="B560" s="525" t="str">
        <f ca="1">IF(OR(A560="",A560=0),"",IF(COUNTIF($A$2:A560,$A560)=1,ROW(MauKoXoa!$C$108),$B559+1))</f>
        <v/>
      </c>
      <c r="C560" s="992" t="str">
        <f t="shared" ca="1" si="74"/>
        <v/>
      </c>
      <c r="D560" s="993" t="str">
        <f t="shared" ca="1" si="75"/>
        <v/>
      </c>
      <c r="E560" s="993" t="str">
        <f t="shared" ca="1" si="76"/>
        <v/>
      </c>
      <c r="F560" s="992" t="str">
        <f t="shared" ca="1" si="84"/>
        <v/>
      </c>
      <c r="G560" s="994">
        <f t="shared" ca="1" si="77"/>
        <v>0</v>
      </c>
      <c r="H560" s="913">
        <f t="shared" ca="1" si="78"/>
        <v>0</v>
      </c>
      <c r="I560" s="913">
        <f t="shared" ca="1" si="79"/>
        <v>0</v>
      </c>
      <c r="J560" s="995">
        <f t="shared" ca="1" si="85"/>
        <v>0</v>
      </c>
      <c r="K560" s="913">
        <f t="shared" ca="1" si="80"/>
        <v>0</v>
      </c>
      <c r="L560" s="995">
        <f t="shared" ca="1" si="86"/>
        <v>0</v>
      </c>
      <c r="M560" s="913">
        <f t="shared" ca="1" si="81"/>
        <v>0</v>
      </c>
      <c r="N560" s="996">
        <f t="shared" ca="1" si="82"/>
        <v>0</v>
      </c>
      <c r="O560" s="997">
        <f t="shared" ca="1" si="83"/>
        <v>0</v>
      </c>
      <c r="P560" s="1015" t="str">
        <f ca="1">IF($C560="","",INDEX(NVLSX!$N$2:$N$6941,MATCH($C560,NVLSX!$E$2:$E$6941,0)))</f>
        <v/>
      </c>
      <c r="Q560" s="1016" t="str">
        <f ca="1">IF($R560="","",IF(XKNVLSX!$X$1="",IF($P560=$V$7,$P560, IF(COUNTIFS($C$2:$C559,$C560,$E$2:$E559,$E560)&gt;=1,"",$P560)),     IF(AND(IFERROR(SEARCH($R560,XKNVLSX!$X$1,1),0)&gt;=1,$P560=$V$7),$P560, IF(OR($R560&lt;&gt;IF(IFERROR(SEARCH($R560,XKNVLSX!$X$1,1),0)&gt;=1,$R560,XKNVLSX!$X$1),COUNTIFS($C$2:$C559,$C560,$E$2:$E559,$E560,$Q$2:$Q559,$P560)&gt;=1),"",$P560))))</f>
        <v/>
      </c>
      <c r="R560" s="1017" t="str">
        <f ca="1">IF($A560="","",IFERROR(INDEX(TinhGia!$BF$10:$BF$81,MATCH($A560,TinhGia!$B$10:$B$81,0)),""))</f>
        <v/>
      </c>
      <c r="S560" s="1012" t="str">
        <f ca="1">IF($A560="","",IF(OR(IFERROR(SEARCH($R560,XKNVLSX!$X$1,1),0)&gt;=1,XKNVLSX!$X$1=""),$S$2,""))</f>
        <v/>
      </c>
      <c r="T560" s="1018" t="str">
        <f ca="1">IF($C560="","", IF(OR($P560=$V$1,$P560=$V$7,COUNTIFS($C$3:$C560,$C560,$E$3:$E560,$E560)&lt;=1),$P560,""    ))</f>
        <v/>
      </c>
      <c r="U560" s="1019" t="str">
        <f ca="1">IF(AND($P560=$V$2,COUNTIFS($C$3:$C560,$C560,$E$3:$E560,$E560,$G$3:$G560,$G560)&lt;=1),$P560,"")</f>
        <v/>
      </c>
    </row>
    <row r="561" spans="1:21">
      <c r="A561" s="991" t="str">
        <f ca="1">IFERROR(IF(COUNTIF($A$3:A560,A560)&lt; INDEX(TinhGia!$BH$10:$BH$81,MATCH($A560,TinhGia!$B$10:$B$81,0)),$A560,INDEX(TinhGia!$B$10:$B$81,MATCH($A560,TinhGia!$B$10:$B$81,0)+1)),"")</f>
        <v/>
      </c>
      <c r="B561" s="525" t="str">
        <f ca="1">IF(OR(A561="",A561=0),"",IF(COUNTIF($A$2:A561,$A561)=1,ROW(MauKoXoa!$C$108),$B560+1))</f>
        <v/>
      </c>
      <c r="C561" s="992" t="str">
        <f t="shared" ca="1" si="74"/>
        <v/>
      </c>
      <c r="D561" s="993" t="str">
        <f t="shared" ca="1" si="75"/>
        <v/>
      </c>
      <c r="E561" s="993" t="str">
        <f t="shared" ca="1" si="76"/>
        <v/>
      </c>
      <c r="F561" s="992" t="str">
        <f t="shared" ca="1" si="84"/>
        <v/>
      </c>
      <c r="G561" s="994">
        <f t="shared" ca="1" si="77"/>
        <v>0</v>
      </c>
      <c r="H561" s="913">
        <f t="shared" ca="1" si="78"/>
        <v>0</v>
      </c>
      <c r="I561" s="913">
        <f t="shared" ca="1" si="79"/>
        <v>0</v>
      </c>
      <c r="J561" s="995">
        <f t="shared" ca="1" si="85"/>
        <v>0</v>
      </c>
      <c r="K561" s="913">
        <f t="shared" ca="1" si="80"/>
        <v>0</v>
      </c>
      <c r="L561" s="995">
        <f t="shared" ca="1" si="86"/>
        <v>0</v>
      </c>
      <c r="M561" s="913">
        <f t="shared" ca="1" si="81"/>
        <v>0</v>
      </c>
      <c r="N561" s="996">
        <f t="shared" ca="1" si="82"/>
        <v>0</v>
      </c>
      <c r="O561" s="997">
        <f t="shared" ca="1" si="83"/>
        <v>0</v>
      </c>
      <c r="P561" s="1015" t="str">
        <f ca="1">IF($C561="","",INDEX(NVLSX!$N$2:$N$6941,MATCH($C561,NVLSX!$E$2:$E$6941,0)))</f>
        <v/>
      </c>
      <c r="Q561" s="1016" t="str">
        <f ca="1">IF($R561="","",IF(XKNVLSX!$X$1="",IF($P561=$V$7,$P561, IF(COUNTIFS($C$2:$C560,$C561,$E$2:$E560,$E561)&gt;=1,"",$P561)),     IF(AND(IFERROR(SEARCH($R561,XKNVLSX!$X$1,1),0)&gt;=1,$P561=$V$7),$P561, IF(OR($R561&lt;&gt;IF(IFERROR(SEARCH($R561,XKNVLSX!$X$1,1),0)&gt;=1,$R561,XKNVLSX!$X$1),COUNTIFS($C$2:$C560,$C561,$E$2:$E560,$E561,$Q$2:$Q560,$P561)&gt;=1),"",$P561))))</f>
        <v/>
      </c>
      <c r="R561" s="1017" t="str">
        <f ca="1">IF($A561="","",IFERROR(INDEX(TinhGia!$BF$10:$BF$81,MATCH($A561,TinhGia!$B$10:$B$81,0)),""))</f>
        <v/>
      </c>
      <c r="S561" s="1012" t="str">
        <f ca="1">IF($A561="","",IF(OR(IFERROR(SEARCH($R561,XKNVLSX!$X$1,1),0)&gt;=1,XKNVLSX!$X$1=""),$S$2,""))</f>
        <v/>
      </c>
      <c r="T561" s="1018" t="str">
        <f ca="1">IF($C561="","", IF(OR($P561=$V$1,$P561=$V$7,COUNTIFS($C$3:$C561,$C561,$E$3:$E561,$E561)&lt;=1),$P561,""    ))</f>
        <v/>
      </c>
      <c r="U561" s="1019" t="str">
        <f ca="1">IF(AND($P561=$V$2,COUNTIFS($C$3:$C561,$C561,$E$3:$E561,$E561,$G$3:$G561,$G561)&lt;=1),$P561,"")</f>
        <v/>
      </c>
    </row>
    <row r="562" spans="1:21">
      <c r="A562" s="991" t="str">
        <f ca="1">IFERROR(IF(COUNTIF($A$3:A561,A561)&lt; INDEX(TinhGia!$BH$10:$BH$81,MATCH($A561,TinhGia!$B$10:$B$81,0)),$A561,INDEX(TinhGia!$B$10:$B$81,MATCH($A561,TinhGia!$B$10:$B$81,0)+1)),"")</f>
        <v/>
      </c>
      <c r="B562" s="525" t="str">
        <f ca="1">IF(OR(A562="",A562=0),"",IF(COUNTIF($A$2:A562,$A562)=1,ROW(MauKoXoa!$C$108),$B561+1))</f>
        <v/>
      </c>
      <c r="C562" s="992" t="str">
        <f t="shared" ca="1" si="74"/>
        <v/>
      </c>
      <c r="D562" s="993" t="str">
        <f t="shared" ca="1" si="75"/>
        <v/>
      </c>
      <c r="E562" s="993" t="str">
        <f t="shared" ca="1" si="76"/>
        <v/>
      </c>
      <c r="F562" s="992" t="str">
        <f t="shared" ca="1" si="84"/>
        <v/>
      </c>
      <c r="G562" s="994">
        <f t="shared" ca="1" si="77"/>
        <v>0</v>
      </c>
      <c r="H562" s="913">
        <f t="shared" ca="1" si="78"/>
        <v>0</v>
      </c>
      <c r="I562" s="913">
        <f t="shared" ca="1" si="79"/>
        <v>0</v>
      </c>
      <c r="J562" s="995">
        <f t="shared" ca="1" si="85"/>
        <v>0</v>
      </c>
      <c r="K562" s="913">
        <f t="shared" ca="1" si="80"/>
        <v>0</v>
      </c>
      <c r="L562" s="995">
        <f t="shared" ca="1" si="86"/>
        <v>0</v>
      </c>
      <c r="M562" s="913">
        <f t="shared" ca="1" si="81"/>
        <v>0</v>
      </c>
      <c r="N562" s="996">
        <f t="shared" ca="1" si="82"/>
        <v>0</v>
      </c>
      <c r="O562" s="997">
        <f t="shared" ca="1" si="83"/>
        <v>0</v>
      </c>
      <c r="P562" s="1015" t="str">
        <f ca="1">IF($C562="","",INDEX(NVLSX!$N$2:$N$6941,MATCH($C562,NVLSX!$E$2:$E$6941,0)))</f>
        <v/>
      </c>
      <c r="Q562" s="1016" t="str">
        <f ca="1">IF($R562="","",IF(XKNVLSX!$X$1="",IF($P562=$V$7,$P562, IF(COUNTIFS($C$2:$C561,$C562,$E$2:$E561,$E562)&gt;=1,"",$P562)),     IF(AND(IFERROR(SEARCH($R562,XKNVLSX!$X$1,1),0)&gt;=1,$P562=$V$7),$P562, IF(OR($R562&lt;&gt;IF(IFERROR(SEARCH($R562,XKNVLSX!$X$1,1),0)&gt;=1,$R562,XKNVLSX!$X$1),COUNTIFS($C$2:$C561,$C562,$E$2:$E561,$E562,$Q$2:$Q561,$P562)&gt;=1),"",$P562))))</f>
        <v/>
      </c>
      <c r="R562" s="1017" t="str">
        <f ca="1">IF($A562="","",IFERROR(INDEX(TinhGia!$BF$10:$BF$81,MATCH($A562,TinhGia!$B$10:$B$81,0)),""))</f>
        <v/>
      </c>
      <c r="S562" s="1012" t="str">
        <f ca="1">IF($A562="","",IF(OR(IFERROR(SEARCH($R562,XKNVLSX!$X$1,1),0)&gt;=1,XKNVLSX!$X$1=""),$S$2,""))</f>
        <v/>
      </c>
      <c r="T562" s="1018" t="str">
        <f ca="1">IF($C562="","", IF(OR($P562=$V$1,$P562=$V$7,COUNTIFS($C$3:$C562,$C562,$E$3:$E562,$E562)&lt;=1),$P562,""    ))</f>
        <v/>
      </c>
      <c r="U562" s="1019" t="str">
        <f ca="1">IF(AND($P562=$V$2,COUNTIFS($C$3:$C562,$C562,$E$3:$E562,$E562,$G$3:$G562,$G562)&lt;=1),$P562,"")</f>
        <v/>
      </c>
    </row>
    <row r="563" spans="1:21">
      <c r="A563" s="991" t="str">
        <f ca="1">IFERROR(IF(COUNTIF($A$3:A562,A562)&lt; INDEX(TinhGia!$BH$10:$BH$81,MATCH($A562,TinhGia!$B$10:$B$81,0)),$A562,INDEX(TinhGia!$B$10:$B$81,MATCH($A562,TinhGia!$B$10:$B$81,0)+1)),"")</f>
        <v/>
      </c>
      <c r="B563" s="525" t="str">
        <f ca="1">IF(OR(A563="",A563=0),"",IF(COUNTIF($A$2:A563,$A563)=1,ROW(MauKoXoa!$C$108),$B562+1))</f>
        <v/>
      </c>
      <c r="C563" s="992" t="str">
        <f t="shared" ca="1" si="74"/>
        <v/>
      </c>
      <c r="D563" s="993" t="str">
        <f t="shared" ca="1" si="75"/>
        <v/>
      </c>
      <c r="E563" s="993" t="str">
        <f t="shared" ca="1" si="76"/>
        <v/>
      </c>
      <c r="F563" s="992" t="str">
        <f t="shared" ca="1" si="84"/>
        <v/>
      </c>
      <c r="G563" s="994">
        <f t="shared" ca="1" si="77"/>
        <v>0</v>
      </c>
      <c r="H563" s="913">
        <f t="shared" ca="1" si="78"/>
        <v>0</v>
      </c>
      <c r="I563" s="913">
        <f t="shared" ca="1" si="79"/>
        <v>0</v>
      </c>
      <c r="J563" s="995">
        <f t="shared" ca="1" si="85"/>
        <v>0</v>
      </c>
      <c r="K563" s="913">
        <f t="shared" ca="1" si="80"/>
        <v>0</v>
      </c>
      <c r="L563" s="995">
        <f t="shared" ca="1" si="86"/>
        <v>0</v>
      </c>
      <c r="M563" s="913">
        <f t="shared" ca="1" si="81"/>
        <v>0</v>
      </c>
      <c r="N563" s="996">
        <f t="shared" ca="1" si="82"/>
        <v>0</v>
      </c>
      <c r="O563" s="997">
        <f t="shared" ca="1" si="83"/>
        <v>0</v>
      </c>
      <c r="P563" s="1015" t="str">
        <f ca="1">IF($C563="","",INDEX(NVLSX!$N$2:$N$6941,MATCH($C563,NVLSX!$E$2:$E$6941,0)))</f>
        <v/>
      </c>
      <c r="Q563" s="1016" t="str">
        <f ca="1">IF($R563="","",IF(XKNVLSX!$X$1="",IF($P563=$V$7,$P563, IF(COUNTIFS($C$2:$C562,$C563,$E$2:$E562,$E563)&gt;=1,"",$P563)),     IF(AND(IFERROR(SEARCH($R563,XKNVLSX!$X$1,1),0)&gt;=1,$P563=$V$7),$P563, IF(OR($R563&lt;&gt;IF(IFERROR(SEARCH($R563,XKNVLSX!$X$1,1),0)&gt;=1,$R563,XKNVLSX!$X$1),COUNTIFS($C$2:$C562,$C563,$E$2:$E562,$E563,$Q$2:$Q562,$P563)&gt;=1),"",$P563))))</f>
        <v/>
      </c>
      <c r="R563" s="1017" t="str">
        <f ca="1">IF($A563="","",IFERROR(INDEX(TinhGia!$BF$10:$BF$81,MATCH($A563,TinhGia!$B$10:$B$81,0)),""))</f>
        <v/>
      </c>
      <c r="S563" s="1012" t="str">
        <f ca="1">IF($A563="","",IF(OR(IFERROR(SEARCH($R563,XKNVLSX!$X$1,1),0)&gt;=1,XKNVLSX!$X$1=""),$S$2,""))</f>
        <v/>
      </c>
      <c r="T563" s="1018" t="str">
        <f ca="1">IF($C563="","", IF(OR($P563=$V$1,$P563=$V$7,COUNTIFS($C$3:$C563,$C563,$E$3:$E563,$E563)&lt;=1),$P563,""    ))</f>
        <v/>
      </c>
      <c r="U563" s="1019" t="str">
        <f ca="1">IF(AND($P563=$V$2,COUNTIFS($C$3:$C563,$C563,$E$3:$E563,$E563,$G$3:$G563,$G563)&lt;=1),$P563,"")</f>
        <v/>
      </c>
    </row>
    <row r="564" spans="1:21">
      <c r="A564" s="991" t="str">
        <f ca="1">IFERROR(IF(COUNTIF($A$3:A563,A563)&lt; INDEX(TinhGia!$BH$10:$BH$81,MATCH($A563,TinhGia!$B$10:$B$81,0)),$A563,INDEX(TinhGia!$B$10:$B$81,MATCH($A563,TinhGia!$B$10:$B$81,0)+1)),"")</f>
        <v/>
      </c>
      <c r="B564" s="525" t="str">
        <f ca="1">IF(OR(A564="",A564=0),"",IF(COUNTIF($A$2:A564,$A564)=1,ROW(MauKoXoa!$C$108),$B563+1))</f>
        <v/>
      </c>
      <c r="C564" s="992" t="str">
        <f t="shared" ca="1" si="74"/>
        <v/>
      </c>
      <c r="D564" s="993" t="str">
        <f t="shared" ca="1" si="75"/>
        <v/>
      </c>
      <c r="E564" s="993" t="str">
        <f t="shared" ca="1" si="76"/>
        <v/>
      </c>
      <c r="F564" s="992" t="str">
        <f t="shared" ca="1" si="84"/>
        <v/>
      </c>
      <c r="G564" s="994">
        <f t="shared" ca="1" si="77"/>
        <v>0</v>
      </c>
      <c r="H564" s="913">
        <f t="shared" ca="1" si="78"/>
        <v>0</v>
      </c>
      <c r="I564" s="913">
        <f t="shared" ca="1" si="79"/>
        <v>0</v>
      </c>
      <c r="J564" s="995">
        <f t="shared" ca="1" si="85"/>
        <v>0</v>
      </c>
      <c r="K564" s="913">
        <f t="shared" ca="1" si="80"/>
        <v>0</v>
      </c>
      <c r="L564" s="995">
        <f t="shared" ca="1" si="86"/>
        <v>0</v>
      </c>
      <c r="M564" s="913">
        <f t="shared" ca="1" si="81"/>
        <v>0</v>
      </c>
      <c r="N564" s="996">
        <f t="shared" ca="1" si="82"/>
        <v>0</v>
      </c>
      <c r="O564" s="997">
        <f t="shared" ca="1" si="83"/>
        <v>0</v>
      </c>
      <c r="P564" s="1015" t="str">
        <f ca="1">IF($C564="","",INDEX(NVLSX!$N$2:$N$6941,MATCH($C564,NVLSX!$E$2:$E$6941,0)))</f>
        <v/>
      </c>
      <c r="Q564" s="1016" t="str">
        <f ca="1">IF($R564="","",IF(XKNVLSX!$X$1="",IF($P564=$V$7,$P564, IF(COUNTIFS($C$2:$C563,$C564,$E$2:$E563,$E564)&gt;=1,"",$P564)),     IF(AND(IFERROR(SEARCH($R564,XKNVLSX!$X$1,1),0)&gt;=1,$P564=$V$7),$P564, IF(OR($R564&lt;&gt;IF(IFERROR(SEARCH($R564,XKNVLSX!$X$1,1),0)&gt;=1,$R564,XKNVLSX!$X$1),COUNTIFS($C$2:$C563,$C564,$E$2:$E563,$E564,$Q$2:$Q563,$P564)&gt;=1),"",$P564))))</f>
        <v/>
      </c>
      <c r="R564" s="1017" t="str">
        <f ca="1">IF($A564="","",IFERROR(INDEX(TinhGia!$BF$10:$BF$81,MATCH($A564,TinhGia!$B$10:$B$81,0)),""))</f>
        <v/>
      </c>
      <c r="S564" s="1012" t="str">
        <f ca="1">IF($A564="","",IF(OR(IFERROR(SEARCH($R564,XKNVLSX!$X$1,1),0)&gt;=1,XKNVLSX!$X$1=""),$S$2,""))</f>
        <v/>
      </c>
      <c r="T564" s="1018" t="str">
        <f ca="1">IF($C564="","", IF(OR($P564=$V$1,$P564=$V$7,COUNTIFS($C$3:$C564,$C564,$E$3:$E564,$E564)&lt;=1),$P564,""    ))</f>
        <v/>
      </c>
      <c r="U564" s="1019" t="str">
        <f ca="1">IF(AND($P564=$V$2,COUNTIFS($C$3:$C564,$C564,$E$3:$E564,$E564,$G$3:$G564,$G564)&lt;=1),$P564,"")</f>
        <v/>
      </c>
    </row>
    <row r="565" spans="1:21">
      <c r="A565" s="991" t="str">
        <f ca="1">IFERROR(IF(COUNTIF($A$3:A564,A564)&lt; INDEX(TinhGia!$BH$10:$BH$81,MATCH($A564,TinhGia!$B$10:$B$81,0)),$A564,INDEX(TinhGia!$B$10:$B$81,MATCH($A564,TinhGia!$B$10:$B$81,0)+1)),"")</f>
        <v/>
      </c>
      <c r="B565" s="525" t="str">
        <f ca="1">IF(OR(A565="",A565=0),"",IF(COUNTIF($A$2:A565,$A565)=1,ROW(MauKoXoa!$C$108),$B564+1))</f>
        <v/>
      </c>
      <c r="C565" s="992" t="str">
        <f t="shared" ca="1" si="74"/>
        <v/>
      </c>
      <c r="D565" s="993" t="str">
        <f t="shared" ca="1" si="75"/>
        <v/>
      </c>
      <c r="E565" s="993" t="str">
        <f t="shared" ca="1" si="76"/>
        <v/>
      </c>
      <c r="F565" s="992" t="str">
        <f t="shared" ca="1" si="84"/>
        <v/>
      </c>
      <c r="G565" s="994">
        <f t="shared" ca="1" si="77"/>
        <v>0</v>
      </c>
      <c r="H565" s="913">
        <f t="shared" ca="1" si="78"/>
        <v>0</v>
      </c>
      <c r="I565" s="913">
        <f t="shared" ca="1" si="79"/>
        <v>0</v>
      </c>
      <c r="J565" s="995">
        <f t="shared" ca="1" si="85"/>
        <v>0</v>
      </c>
      <c r="K565" s="913">
        <f t="shared" ca="1" si="80"/>
        <v>0</v>
      </c>
      <c r="L565" s="995">
        <f t="shared" ca="1" si="86"/>
        <v>0</v>
      </c>
      <c r="M565" s="913">
        <f t="shared" ca="1" si="81"/>
        <v>0</v>
      </c>
      <c r="N565" s="996">
        <f t="shared" ca="1" si="82"/>
        <v>0</v>
      </c>
      <c r="O565" s="997">
        <f t="shared" ca="1" si="83"/>
        <v>0</v>
      </c>
      <c r="P565" s="1015" t="str">
        <f ca="1">IF($C565="","",INDEX(NVLSX!$N$2:$N$6941,MATCH($C565,NVLSX!$E$2:$E$6941,0)))</f>
        <v/>
      </c>
      <c r="Q565" s="1016" t="str">
        <f ca="1">IF($R565="","",IF(XKNVLSX!$X$1="",IF($P565=$V$7,$P565, IF(COUNTIFS($C$2:$C564,$C565,$E$2:$E564,$E565)&gt;=1,"",$P565)),     IF(AND(IFERROR(SEARCH($R565,XKNVLSX!$X$1,1),0)&gt;=1,$P565=$V$7),$P565, IF(OR($R565&lt;&gt;IF(IFERROR(SEARCH($R565,XKNVLSX!$X$1,1),0)&gt;=1,$R565,XKNVLSX!$X$1),COUNTIFS($C$2:$C564,$C565,$E$2:$E564,$E565,$Q$2:$Q564,$P565)&gt;=1),"",$P565))))</f>
        <v/>
      </c>
      <c r="R565" s="1017" t="str">
        <f ca="1">IF($A565="","",IFERROR(INDEX(TinhGia!$BF$10:$BF$81,MATCH($A565,TinhGia!$B$10:$B$81,0)),""))</f>
        <v/>
      </c>
      <c r="S565" s="1012" t="str">
        <f ca="1">IF($A565="","",IF(OR(IFERROR(SEARCH($R565,XKNVLSX!$X$1,1),0)&gt;=1,XKNVLSX!$X$1=""),$S$2,""))</f>
        <v/>
      </c>
      <c r="T565" s="1018" t="str">
        <f ca="1">IF($C565="","", IF(OR($P565=$V$1,$P565=$V$7,COUNTIFS($C$3:$C565,$C565,$E$3:$E565,$E565)&lt;=1),$P565,""    ))</f>
        <v/>
      </c>
      <c r="U565" s="1019" t="str">
        <f ca="1">IF(AND($P565=$V$2,COUNTIFS($C$3:$C565,$C565,$E$3:$E565,$E565,$G$3:$G565,$G565)&lt;=1),$P565,"")</f>
        <v/>
      </c>
    </row>
    <row r="566" spans="1:21">
      <c r="A566" s="991" t="str">
        <f ca="1">IFERROR(IF(COUNTIF($A$3:A565,A565)&lt; INDEX(TinhGia!$BH$10:$BH$81,MATCH($A565,TinhGia!$B$10:$B$81,0)),$A565,INDEX(TinhGia!$B$10:$B$81,MATCH($A565,TinhGia!$B$10:$B$81,0)+1)),"")</f>
        <v/>
      </c>
      <c r="B566" s="525" t="str">
        <f ca="1">IF(OR(A566="",A566=0),"",IF(COUNTIF($A$2:A566,$A566)=1,ROW(MauKoXoa!$C$108),$B565+1))</f>
        <v/>
      </c>
      <c r="C566" s="992" t="str">
        <f t="shared" ca="1" si="74"/>
        <v/>
      </c>
      <c r="D566" s="993" t="str">
        <f t="shared" ca="1" si="75"/>
        <v/>
      </c>
      <c r="E566" s="993" t="str">
        <f t="shared" ca="1" si="76"/>
        <v/>
      </c>
      <c r="F566" s="992" t="str">
        <f t="shared" ca="1" si="84"/>
        <v/>
      </c>
      <c r="G566" s="994">
        <f t="shared" ca="1" si="77"/>
        <v>0</v>
      </c>
      <c r="H566" s="913">
        <f t="shared" ca="1" si="78"/>
        <v>0</v>
      </c>
      <c r="I566" s="913">
        <f t="shared" ca="1" si="79"/>
        <v>0</v>
      </c>
      <c r="J566" s="995">
        <f t="shared" ca="1" si="85"/>
        <v>0</v>
      </c>
      <c r="K566" s="913">
        <f t="shared" ca="1" si="80"/>
        <v>0</v>
      </c>
      <c r="L566" s="995">
        <f t="shared" ca="1" si="86"/>
        <v>0</v>
      </c>
      <c r="M566" s="913">
        <f t="shared" ca="1" si="81"/>
        <v>0</v>
      </c>
      <c r="N566" s="996">
        <f t="shared" ca="1" si="82"/>
        <v>0</v>
      </c>
      <c r="O566" s="997">
        <f t="shared" ca="1" si="83"/>
        <v>0</v>
      </c>
      <c r="P566" s="1015" t="str">
        <f ca="1">IF($C566="","",INDEX(NVLSX!$N$2:$N$6941,MATCH($C566,NVLSX!$E$2:$E$6941,0)))</f>
        <v/>
      </c>
      <c r="Q566" s="1016" t="str">
        <f ca="1">IF($R566="","",IF(XKNVLSX!$X$1="",IF($P566=$V$7,$P566, IF(COUNTIFS($C$2:$C565,$C566,$E$2:$E565,$E566)&gt;=1,"",$P566)),     IF(AND(IFERROR(SEARCH($R566,XKNVLSX!$X$1,1),0)&gt;=1,$P566=$V$7),$P566, IF(OR($R566&lt;&gt;IF(IFERROR(SEARCH($R566,XKNVLSX!$X$1,1),0)&gt;=1,$R566,XKNVLSX!$X$1),COUNTIFS($C$2:$C565,$C566,$E$2:$E565,$E566,$Q$2:$Q565,$P566)&gt;=1),"",$P566))))</f>
        <v/>
      </c>
      <c r="R566" s="1017" t="str">
        <f ca="1">IF($A566="","",IFERROR(INDEX(TinhGia!$BF$10:$BF$81,MATCH($A566,TinhGia!$B$10:$B$81,0)),""))</f>
        <v/>
      </c>
      <c r="S566" s="1012" t="str">
        <f ca="1">IF($A566="","",IF(OR(IFERROR(SEARCH($R566,XKNVLSX!$X$1,1),0)&gt;=1,XKNVLSX!$X$1=""),$S$2,""))</f>
        <v/>
      </c>
      <c r="T566" s="1018" t="str">
        <f ca="1">IF($C566="","", IF(OR($P566=$V$1,$P566=$V$7,COUNTIFS($C$3:$C566,$C566,$E$3:$E566,$E566)&lt;=1),$P566,""    ))</f>
        <v/>
      </c>
      <c r="U566" s="1019" t="str">
        <f ca="1">IF(AND($P566=$V$2,COUNTIFS($C$3:$C566,$C566,$E$3:$E566,$E566,$G$3:$G566,$G566)&lt;=1),$P566,"")</f>
        <v/>
      </c>
    </row>
    <row r="567" spans="1:21">
      <c r="A567" s="991" t="str">
        <f ca="1">IFERROR(IF(COUNTIF($A$3:A566,A566)&lt; INDEX(TinhGia!$BH$10:$BH$81,MATCH($A566,TinhGia!$B$10:$B$81,0)),$A566,INDEX(TinhGia!$B$10:$B$81,MATCH($A566,TinhGia!$B$10:$B$81,0)+1)),"")</f>
        <v/>
      </c>
      <c r="B567" s="525" t="str">
        <f ca="1">IF(OR(A567="",A567=0),"",IF(COUNTIF($A$2:A567,$A567)=1,ROW(MauKoXoa!$C$108),$B566+1))</f>
        <v/>
      </c>
      <c r="C567" s="992" t="str">
        <f t="shared" ca="1" si="74"/>
        <v/>
      </c>
      <c r="D567" s="993" t="str">
        <f t="shared" ca="1" si="75"/>
        <v/>
      </c>
      <c r="E567" s="993" t="str">
        <f t="shared" ca="1" si="76"/>
        <v/>
      </c>
      <c r="F567" s="992" t="str">
        <f t="shared" ca="1" si="84"/>
        <v/>
      </c>
      <c r="G567" s="994">
        <f t="shared" ca="1" si="77"/>
        <v>0</v>
      </c>
      <c r="H567" s="913">
        <f t="shared" ca="1" si="78"/>
        <v>0</v>
      </c>
      <c r="I567" s="913">
        <f t="shared" ca="1" si="79"/>
        <v>0</v>
      </c>
      <c r="J567" s="995">
        <f t="shared" ca="1" si="85"/>
        <v>0</v>
      </c>
      <c r="K567" s="913">
        <f t="shared" ca="1" si="80"/>
        <v>0</v>
      </c>
      <c r="L567" s="995">
        <f t="shared" ca="1" si="86"/>
        <v>0</v>
      </c>
      <c r="M567" s="913">
        <f t="shared" ca="1" si="81"/>
        <v>0</v>
      </c>
      <c r="N567" s="996">
        <f t="shared" ca="1" si="82"/>
        <v>0</v>
      </c>
      <c r="O567" s="997">
        <f t="shared" ca="1" si="83"/>
        <v>0</v>
      </c>
      <c r="P567" s="1015" t="str">
        <f ca="1">IF($C567="","",INDEX(NVLSX!$N$2:$N$6941,MATCH($C567,NVLSX!$E$2:$E$6941,0)))</f>
        <v/>
      </c>
      <c r="Q567" s="1016" t="str">
        <f ca="1">IF($R567="","",IF(XKNVLSX!$X$1="",IF($P567=$V$7,$P567, IF(COUNTIFS($C$2:$C566,$C567,$E$2:$E566,$E567)&gt;=1,"",$P567)),     IF(AND(IFERROR(SEARCH($R567,XKNVLSX!$X$1,1),0)&gt;=1,$P567=$V$7),$P567, IF(OR($R567&lt;&gt;IF(IFERROR(SEARCH($R567,XKNVLSX!$X$1,1),0)&gt;=1,$R567,XKNVLSX!$X$1),COUNTIFS($C$2:$C566,$C567,$E$2:$E566,$E567,$Q$2:$Q566,$P567)&gt;=1),"",$P567))))</f>
        <v/>
      </c>
      <c r="R567" s="1017" t="str">
        <f ca="1">IF($A567="","",IFERROR(INDEX(TinhGia!$BF$10:$BF$81,MATCH($A567,TinhGia!$B$10:$B$81,0)),""))</f>
        <v/>
      </c>
      <c r="S567" s="1012" t="str">
        <f ca="1">IF($A567="","",IF(OR(IFERROR(SEARCH($R567,XKNVLSX!$X$1,1),0)&gt;=1,XKNVLSX!$X$1=""),$S$2,""))</f>
        <v/>
      </c>
      <c r="T567" s="1018" t="str">
        <f ca="1">IF($C567="","", IF(OR($P567=$V$1,$P567=$V$7,COUNTIFS($C$3:$C567,$C567,$E$3:$E567,$E567)&lt;=1),$P567,""    ))</f>
        <v/>
      </c>
      <c r="U567" s="1019" t="str">
        <f ca="1">IF(AND($P567=$V$2,COUNTIFS($C$3:$C567,$C567,$E$3:$E567,$E567,$G$3:$G567,$G567)&lt;=1),$P567,"")</f>
        <v/>
      </c>
    </row>
    <row r="568" spans="1:21">
      <c r="A568" s="991" t="str">
        <f ca="1">IFERROR(IF(COUNTIF($A$3:A567,A567)&lt; INDEX(TinhGia!$BH$10:$BH$81,MATCH($A567,TinhGia!$B$10:$B$81,0)),$A567,INDEX(TinhGia!$B$10:$B$81,MATCH($A567,TinhGia!$B$10:$B$81,0)+1)),"")</f>
        <v/>
      </c>
      <c r="B568" s="525" t="str">
        <f ca="1">IF(OR(A568="",A568=0),"",IF(COUNTIF($A$2:A568,$A568)=1,ROW(MauKoXoa!$C$108),$B567+1))</f>
        <v/>
      </c>
      <c r="C568" s="992" t="str">
        <f t="shared" ca="1" si="74"/>
        <v/>
      </c>
      <c r="D568" s="993" t="str">
        <f t="shared" ca="1" si="75"/>
        <v/>
      </c>
      <c r="E568" s="993" t="str">
        <f t="shared" ca="1" si="76"/>
        <v/>
      </c>
      <c r="F568" s="992" t="str">
        <f t="shared" ca="1" si="84"/>
        <v/>
      </c>
      <c r="G568" s="994">
        <f t="shared" ca="1" si="77"/>
        <v>0</v>
      </c>
      <c r="H568" s="913">
        <f t="shared" ca="1" si="78"/>
        <v>0</v>
      </c>
      <c r="I568" s="913">
        <f t="shared" ca="1" si="79"/>
        <v>0</v>
      </c>
      <c r="J568" s="995">
        <f t="shared" ca="1" si="85"/>
        <v>0</v>
      </c>
      <c r="K568" s="913">
        <f t="shared" ca="1" si="80"/>
        <v>0</v>
      </c>
      <c r="L568" s="995">
        <f t="shared" ca="1" si="86"/>
        <v>0</v>
      </c>
      <c r="M568" s="913">
        <f t="shared" ca="1" si="81"/>
        <v>0</v>
      </c>
      <c r="N568" s="996">
        <f t="shared" ca="1" si="82"/>
        <v>0</v>
      </c>
      <c r="O568" s="997">
        <f t="shared" ca="1" si="83"/>
        <v>0</v>
      </c>
      <c r="P568" s="1015" t="str">
        <f ca="1">IF($C568="","",INDEX(NVLSX!$N$2:$N$6941,MATCH($C568,NVLSX!$E$2:$E$6941,0)))</f>
        <v/>
      </c>
      <c r="Q568" s="1016" t="str">
        <f ca="1">IF($R568="","",IF(XKNVLSX!$X$1="",IF($P568=$V$7,$P568, IF(COUNTIFS($C$2:$C567,$C568,$E$2:$E567,$E568)&gt;=1,"",$P568)),     IF(AND(IFERROR(SEARCH($R568,XKNVLSX!$X$1,1),0)&gt;=1,$P568=$V$7),$P568, IF(OR($R568&lt;&gt;IF(IFERROR(SEARCH($R568,XKNVLSX!$X$1,1),0)&gt;=1,$R568,XKNVLSX!$X$1),COUNTIFS($C$2:$C567,$C568,$E$2:$E567,$E568,$Q$2:$Q567,$P568)&gt;=1),"",$P568))))</f>
        <v/>
      </c>
      <c r="R568" s="1017" t="str">
        <f ca="1">IF($A568="","",IFERROR(INDEX(TinhGia!$BF$10:$BF$81,MATCH($A568,TinhGia!$B$10:$B$81,0)),""))</f>
        <v/>
      </c>
      <c r="S568" s="1012" t="str">
        <f ca="1">IF($A568="","",IF(OR(IFERROR(SEARCH($R568,XKNVLSX!$X$1,1),0)&gt;=1,XKNVLSX!$X$1=""),$S$2,""))</f>
        <v/>
      </c>
      <c r="T568" s="1018" t="str">
        <f ca="1">IF($C568="","", IF(OR($P568=$V$1,$P568=$V$7,COUNTIFS($C$3:$C568,$C568,$E$3:$E568,$E568)&lt;=1),$P568,""    ))</f>
        <v/>
      </c>
      <c r="U568" s="1019" t="str">
        <f ca="1">IF(AND($P568=$V$2,COUNTIFS($C$3:$C568,$C568,$E$3:$E568,$E568,$G$3:$G568,$G568)&lt;=1),$P568,"")</f>
        <v/>
      </c>
    </row>
    <row r="569" spans="1:21">
      <c r="A569" s="991" t="str">
        <f ca="1">IFERROR(IF(COUNTIF($A$3:A568,A568)&lt; INDEX(TinhGia!$BH$10:$BH$81,MATCH($A568,TinhGia!$B$10:$B$81,0)),$A568,INDEX(TinhGia!$B$10:$B$81,MATCH($A568,TinhGia!$B$10:$B$81,0)+1)),"")</f>
        <v/>
      </c>
      <c r="B569" s="525" t="str">
        <f ca="1">IF(OR(A569="",A569=0),"",IF(COUNTIF($A$2:A569,$A569)=1,ROW(MauKoXoa!$C$108),$B568+1))</f>
        <v/>
      </c>
      <c r="C569" s="992" t="str">
        <f t="shared" ca="1" si="74"/>
        <v/>
      </c>
      <c r="D569" s="993" t="str">
        <f t="shared" ca="1" si="75"/>
        <v/>
      </c>
      <c r="E569" s="993" t="str">
        <f t="shared" ca="1" si="76"/>
        <v/>
      </c>
      <c r="F569" s="992" t="str">
        <f t="shared" ca="1" si="84"/>
        <v/>
      </c>
      <c r="G569" s="994">
        <f t="shared" ca="1" si="77"/>
        <v>0</v>
      </c>
      <c r="H569" s="913">
        <f t="shared" ca="1" si="78"/>
        <v>0</v>
      </c>
      <c r="I569" s="913">
        <f t="shared" ca="1" si="79"/>
        <v>0</v>
      </c>
      <c r="J569" s="995">
        <f t="shared" ca="1" si="85"/>
        <v>0</v>
      </c>
      <c r="K569" s="913">
        <f t="shared" ca="1" si="80"/>
        <v>0</v>
      </c>
      <c r="L569" s="995">
        <f t="shared" ca="1" si="86"/>
        <v>0</v>
      </c>
      <c r="M569" s="913">
        <f t="shared" ca="1" si="81"/>
        <v>0</v>
      </c>
      <c r="N569" s="996">
        <f t="shared" ca="1" si="82"/>
        <v>0</v>
      </c>
      <c r="O569" s="997">
        <f t="shared" ca="1" si="83"/>
        <v>0</v>
      </c>
      <c r="P569" s="1015" t="str">
        <f ca="1">IF($C569="","",INDEX(NVLSX!$N$2:$N$6941,MATCH($C569,NVLSX!$E$2:$E$6941,0)))</f>
        <v/>
      </c>
      <c r="Q569" s="1016" t="str">
        <f ca="1">IF($R569="","",IF(XKNVLSX!$X$1="",IF($P569=$V$7,$P569, IF(COUNTIFS($C$2:$C568,$C569,$E$2:$E568,$E569)&gt;=1,"",$P569)),     IF(AND(IFERROR(SEARCH($R569,XKNVLSX!$X$1,1),0)&gt;=1,$P569=$V$7),$P569, IF(OR($R569&lt;&gt;IF(IFERROR(SEARCH($R569,XKNVLSX!$X$1,1),0)&gt;=1,$R569,XKNVLSX!$X$1),COUNTIFS($C$2:$C568,$C569,$E$2:$E568,$E569,$Q$2:$Q568,$P569)&gt;=1),"",$P569))))</f>
        <v/>
      </c>
      <c r="R569" s="1017" t="str">
        <f ca="1">IF($A569="","",IFERROR(INDEX(TinhGia!$BF$10:$BF$81,MATCH($A569,TinhGia!$B$10:$B$81,0)),""))</f>
        <v/>
      </c>
      <c r="S569" s="1012" t="str">
        <f ca="1">IF($A569="","",IF(OR(IFERROR(SEARCH($R569,XKNVLSX!$X$1,1),0)&gt;=1,XKNVLSX!$X$1=""),$S$2,""))</f>
        <v/>
      </c>
      <c r="T569" s="1018" t="str">
        <f ca="1">IF($C569="","", IF(OR($P569=$V$1,$P569=$V$7,COUNTIFS($C$3:$C569,$C569,$E$3:$E569,$E569)&lt;=1),$P569,""    ))</f>
        <v/>
      </c>
      <c r="U569" s="1019" t="str">
        <f ca="1">IF(AND($P569=$V$2,COUNTIFS($C$3:$C569,$C569,$E$3:$E569,$E569,$G$3:$G569,$G569)&lt;=1),$P569,"")</f>
        <v/>
      </c>
    </row>
    <row r="570" spans="1:21">
      <c r="A570" s="991" t="str">
        <f ca="1">IFERROR(IF(COUNTIF($A$3:A569,A569)&lt; INDEX(TinhGia!$BH$10:$BH$81,MATCH($A569,TinhGia!$B$10:$B$81,0)),$A569,INDEX(TinhGia!$B$10:$B$81,MATCH($A569,TinhGia!$B$10:$B$81,0)+1)),"")</f>
        <v/>
      </c>
      <c r="B570" s="525" t="str">
        <f ca="1">IF(OR(A570="",A570=0),"",IF(COUNTIF($A$2:A570,$A570)=1,ROW(MauKoXoa!$C$108),$B569+1))</f>
        <v/>
      </c>
      <c r="C570" s="992" t="str">
        <f t="shared" ca="1" si="74"/>
        <v/>
      </c>
      <c r="D570" s="993" t="str">
        <f t="shared" ca="1" si="75"/>
        <v/>
      </c>
      <c r="E570" s="993" t="str">
        <f t="shared" ca="1" si="76"/>
        <v/>
      </c>
      <c r="F570" s="992" t="str">
        <f t="shared" ca="1" si="84"/>
        <v/>
      </c>
      <c r="G570" s="994">
        <f t="shared" ca="1" si="77"/>
        <v>0</v>
      </c>
      <c r="H570" s="913">
        <f t="shared" ca="1" si="78"/>
        <v>0</v>
      </c>
      <c r="I570" s="913">
        <f t="shared" ca="1" si="79"/>
        <v>0</v>
      </c>
      <c r="J570" s="995">
        <f t="shared" ca="1" si="85"/>
        <v>0</v>
      </c>
      <c r="K570" s="913">
        <f t="shared" ca="1" si="80"/>
        <v>0</v>
      </c>
      <c r="L570" s="995">
        <f t="shared" ca="1" si="86"/>
        <v>0</v>
      </c>
      <c r="M570" s="913">
        <f t="shared" ca="1" si="81"/>
        <v>0</v>
      </c>
      <c r="N570" s="996">
        <f t="shared" ca="1" si="82"/>
        <v>0</v>
      </c>
      <c r="O570" s="997">
        <f t="shared" ca="1" si="83"/>
        <v>0</v>
      </c>
      <c r="P570" s="1015" t="str">
        <f ca="1">IF($C570="","",INDEX(NVLSX!$N$2:$N$6941,MATCH($C570,NVLSX!$E$2:$E$6941,0)))</f>
        <v/>
      </c>
      <c r="Q570" s="1016" t="str">
        <f ca="1">IF($R570="","",IF(XKNVLSX!$X$1="",IF($P570=$V$7,$P570, IF(COUNTIFS($C$2:$C569,$C570,$E$2:$E569,$E570)&gt;=1,"",$P570)),     IF(AND(IFERROR(SEARCH($R570,XKNVLSX!$X$1,1),0)&gt;=1,$P570=$V$7),$P570, IF(OR($R570&lt;&gt;IF(IFERROR(SEARCH($R570,XKNVLSX!$X$1,1),0)&gt;=1,$R570,XKNVLSX!$X$1),COUNTIFS($C$2:$C569,$C570,$E$2:$E569,$E570,$Q$2:$Q569,$P570)&gt;=1),"",$P570))))</f>
        <v/>
      </c>
      <c r="R570" s="1017" t="str">
        <f ca="1">IF($A570="","",IFERROR(INDEX(TinhGia!$BF$10:$BF$81,MATCH($A570,TinhGia!$B$10:$B$81,0)),""))</f>
        <v/>
      </c>
      <c r="S570" s="1012" t="str">
        <f ca="1">IF($A570="","",IF(OR(IFERROR(SEARCH($R570,XKNVLSX!$X$1,1),0)&gt;=1,XKNVLSX!$X$1=""),$S$2,""))</f>
        <v/>
      </c>
      <c r="T570" s="1018" t="str">
        <f ca="1">IF($C570="","", IF(OR($P570=$V$1,$P570=$V$7,COUNTIFS($C$3:$C570,$C570,$E$3:$E570,$E570)&lt;=1),$P570,""    ))</f>
        <v/>
      </c>
      <c r="U570" s="1019" t="str">
        <f ca="1">IF(AND($P570=$V$2,COUNTIFS($C$3:$C570,$C570,$E$3:$E570,$E570,$G$3:$G570,$G570)&lt;=1),$P570,"")</f>
        <v/>
      </c>
    </row>
    <row r="571" spans="1:21">
      <c r="A571" s="991" t="str">
        <f ca="1">IFERROR(IF(COUNTIF($A$3:A570,A570)&lt; INDEX(TinhGia!$BH$10:$BH$81,MATCH($A570,TinhGia!$B$10:$B$81,0)),$A570,INDEX(TinhGia!$B$10:$B$81,MATCH($A570,TinhGia!$B$10:$B$81,0)+1)),"")</f>
        <v/>
      </c>
      <c r="B571" s="525" t="str">
        <f ca="1">IF(OR(A571="",A571=0),"",IF(COUNTIF($A$2:A571,$A571)=1,ROW(MauKoXoa!$C$108),$B570+1))</f>
        <v/>
      </c>
      <c r="C571" s="992" t="str">
        <f t="shared" ca="1" si="74"/>
        <v/>
      </c>
      <c r="D571" s="993" t="str">
        <f t="shared" ca="1" si="75"/>
        <v/>
      </c>
      <c r="E571" s="993" t="str">
        <f t="shared" ca="1" si="76"/>
        <v/>
      </c>
      <c r="F571" s="992" t="str">
        <f t="shared" ca="1" si="84"/>
        <v/>
      </c>
      <c r="G571" s="994">
        <f t="shared" ca="1" si="77"/>
        <v>0</v>
      </c>
      <c r="H571" s="913">
        <f t="shared" ca="1" si="78"/>
        <v>0</v>
      </c>
      <c r="I571" s="913">
        <f t="shared" ca="1" si="79"/>
        <v>0</v>
      </c>
      <c r="J571" s="995">
        <f t="shared" ca="1" si="85"/>
        <v>0</v>
      </c>
      <c r="K571" s="913">
        <f t="shared" ca="1" si="80"/>
        <v>0</v>
      </c>
      <c r="L571" s="995">
        <f t="shared" ca="1" si="86"/>
        <v>0</v>
      </c>
      <c r="M571" s="913">
        <f t="shared" ca="1" si="81"/>
        <v>0</v>
      </c>
      <c r="N571" s="996">
        <f t="shared" ca="1" si="82"/>
        <v>0</v>
      </c>
      <c r="O571" s="997">
        <f t="shared" ca="1" si="83"/>
        <v>0</v>
      </c>
      <c r="P571" s="1015" t="str">
        <f ca="1">IF($C571="","",INDEX(NVLSX!$N$2:$N$6941,MATCH($C571,NVLSX!$E$2:$E$6941,0)))</f>
        <v/>
      </c>
      <c r="Q571" s="1016" t="str">
        <f ca="1">IF($R571="","",IF(XKNVLSX!$X$1="",IF($P571=$V$7,$P571, IF(COUNTIFS($C$2:$C570,$C571,$E$2:$E570,$E571)&gt;=1,"",$P571)),     IF(AND(IFERROR(SEARCH($R571,XKNVLSX!$X$1,1),0)&gt;=1,$P571=$V$7),$P571, IF(OR($R571&lt;&gt;IF(IFERROR(SEARCH($R571,XKNVLSX!$X$1,1),0)&gt;=1,$R571,XKNVLSX!$X$1),COUNTIFS($C$2:$C570,$C571,$E$2:$E570,$E571,$Q$2:$Q570,$P571)&gt;=1),"",$P571))))</f>
        <v/>
      </c>
      <c r="R571" s="1017" t="str">
        <f ca="1">IF($A571="","",IFERROR(INDEX(TinhGia!$BF$10:$BF$81,MATCH($A571,TinhGia!$B$10:$B$81,0)),""))</f>
        <v/>
      </c>
      <c r="S571" s="1012" t="str">
        <f ca="1">IF($A571="","",IF(OR(IFERROR(SEARCH($R571,XKNVLSX!$X$1,1),0)&gt;=1,XKNVLSX!$X$1=""),$S$2,""))</f>
        <v/>
      </c>
      <c r="T571" s="1018" t="str">
        <f ca="1">IF($C571="","", IF(OR($P571=$V$1,$P571=$V$7,COUNTIFS($C$3:$C571,$C571,$E$3:$E571,$E571)&lt;=1),$P571,""    ))</f>
        <v/>
      </c>
      <c r="U571" s="1019" t="str">
        <f ca="1">IF(AND($P571=$V$2,COUNTIFS($C$3:$C571,$C571,$E$3:$E571,$E571,$G$3:$G571,$G571)&lt;=1),$P571,"")</f>
        <v/>
      </c>
    </row>
    <row r="572" spans="1:21">
      <c r="A572" s="991" t="str">
        <f ca="1">IFERROR(IF(COUNTIF($A$3:A571,A571)&lt; INDEX(TinhGia!$BH$10:$BH$81,MATCH($A571,TinhGia!$B$10:$B$81,0)),$A571,INDEX(TinhGia!$B$10:$B$81,MATCH($A571,TinhGia!$B$10:$B$81,0)+1)),"")</f>
        <v/>
      </c>
      <c r="B572" s="525" t="str">
        <f ca="1">IF(OR(A572="",A572=0),"",IF(COUNTIF($A$2:A572,$A572)=1,ROW(MauKoXoa!$C$108),$B571+1))</f>
        <v/>
      </c>
      <c r="C572" s="992" t="str">
        <f t="shared" ca="1" si="74"/>
        <v/>
      </c>
      <c r="D572" s="993" t="str">
        <f t="shared" ca="1" si="75"/>
        <v/>
      </c>
      <c r="E572" s="993" t="str">
        <f t="shared" ca="1" si="76"/>
        <v/>
      </c>
      <c r="F572" s="992" t="str">
        <f t="shared" ca="1" si="84"/>
        <v/>
      </c>
      <c r="G572" s="994">
        <f t="shared" ca="1" si="77"/>
        <v>0</v>
      </c>
      <c r="H572" s="913">
        <f t="shared" ca="1" si="78"/>
        <v>0</v>
      </c>
      <c r="I572" s="913">
        <f t="shared" ca="1" si="79"/>
        <v>0</v>
      </c>
      <c r="J572" s="995">
        <f t="shared" ca="1" si="85"/>
        <v>0</v>
      </c>
      <c r="K572" s="913">
        <f t="shared" ca="1" si="80"/>
        <v>0</v>
      </c>
      <c r="L572" s="995">
        <f t="shared" ca="1" si="86"/>
        <v>0</v>
      </c>
      <c r="M572" s="913">
        <f t="shared" ca="1" si="81"/>
        <v>0</v>
      </c>
      <c r="N572" s="996">
        <f t="shared" ca="1" si="82"/>
        <v>0</v>
      </c>
      <c r="O572" s="997">
        <f t="shared" ca="1" si="83"/>
        <v>0</v>
      </c>
      <c r="P572" s="1015" t="str">
        <f ca="1">IF($C572="","",INDEX(NVLSX!$N$2:$N$6941,MATCH($C572,NVLSX!$E$2:$E$6941,0)))</f>
        <v/>
      </c>
      <c r="Q572" s="1016" t="str">
        <f ca="1">IF($R572="","",IF(XKNVLSX!$X$1="",IF($P572=$V$7,$P572, IF(COUNTIFS($C$2:$C571,$C572,$E$2:$E571,$E572)&gt;=1,"",$P572)),     IF(AND(IFERROR(SEARCH($R572,XKNVLSX!$X$1,1),0)&gt;=1,$P572=$V$7),$P572, IF(OR($R572&lt;&gt;IF(IFERROR(SEARCH($R572,XKNVLSX!$X$1,1),0)&gt;=1,$R572,XKNVLSX!$X$1),COUNTIFS($C$2:$C571,$C572,$E$2:$E571,$E572,$Q$2:$Q571,$P572)&gt;=1),"",$P572))))</f>
        <v/>
      </c>
      <c r="R572" s="1017" t="str">
        <f ca="1">IF($A572="","",IFERROR(INDEX(TinhGia!$BF$10:$BF$81,MATCH($A572,TinhGia!$B$10:$B$81,0)),""))</f>
        <v/>
      </c>
      <c r="S572" s="1012" t="str">
        <f ca="1">IF($A572="","",IF(OR(IFERROR(SEARCH($R572,XKNVLSX!$X$1,1),0)&gt;=1,XKNVLSX!$X$1=""),$S$2,""))</f>
        <v/>
      </c>
      <c r="T572" s="1018" t="str">
        <f ca="1">IF($C572="","", IF(OR($P572=$V$1,$P572=$V$7,COUNTIFS($C$3:$C572,$C572,$E$3:$E572,$E572)&lt;=1),$P572,""    ))</f>
        <v/>
      </c>
      <c r="U572" s="1019" t="str">
        <f ca="1">IF(AND($P572=$V$2,COUNTIFS($C$3:$C572,$C572,$E$3:$E572,$E572,$G$3:$G572,$G572)&lt;=1),$P572,"")</f>
        <v/>
      </c>
    </row>
    <row r="573" spans="1:21">
      <c r="A573" s="991" t="str">
        <f ca="1">IFERROR(IF(COUNTIF($A$3:A572,A572)&lt; INDEX(TinhGia!$BH$10:$BH$81,MATCH($A572,TinhGia!$B$10:$B$81,0)),$A572,INDEX(TinhGia!$B$10:$B$81,MATCH($A572,TinhGia!$B$10:$B$81,0)+1)),"")</f>
        <v/>
      </c>
      <c r="B573" s="525" t="str">
        <f ca="1">IF(OR(A573="",A573=0),"",IF(COUNTIF($A$2:A573,$A573)=1,ROW(MauKoXoa!$C$108),$B572+1))</f>
        <v/>
      </c>
      <c r="C573" s="992" t="str">
        <f t="shared" ca="1" si="74"/>
        <v/>
      </c>
      <c r="D573" s="993" t="str">
        <f t="shared" ca="1" si="75"/>
        <v/>
      </c>
      <c r="E573" s="993" t="str">
        <f t="shared" ca="1" si="76"/>
        <v/>
      </c>
      <c r="F573" s="992" t="str">
        <f t="shared" ca="1" si="84"/>
        <v/>
      </c>
      <c r="G573" s="994">
        <f t="shared" ca="1" si="77"/>
        <v>0</v>
      </c>
      <c r="H573" s="913">
        <f t="shared" ca="1" si="78"/>
        <v>0</v>
      </c>
      <c r="I573" s="913">
        <f t="shared" ca="1" si="79"/>
        <v>0</v>
      </c>
      <c r="J573" s="995">
        <f t="shared" ca="1" si="85"/>
        <v>0</v>
      </c>
      <c r="K573" s="913">
        <f t="shared" ca="1" si="80"/>
        <v>0</v>
      </c>
      <c r="L573" s="995">
        <f t="shared" ca="1" si="86"/>
        <v>0</v>
      </c>
      <c r="M573" s="913">
        <f t="shared" ca="1" si="81"/>
        <v>0</v>
      </c>
      <c r="N573" s="996">
        <f t="shared" ca="1" si="82"/>
        <v>0</v>
      </c>
      <c r="O573" s="997">
        <f t="shared" ca="1" si="83"/>
        <v>0</v>
      </c>
      <c r="P573" s="1015" t="str">
        <f ca="1">IF($C573="","",INDEX(NVLSX!$N$2:$N$6941,MATCH($C573,NVLSX!$E$2:$E$6941,0)))</f>
        <v/>
      </c>
      <c r="Q573" s="1016" t="str">
        <f ca="1">IF($R573="","",IF(XKNVLSX!$X$1="",IF($P573=$V$7,$P573, IF(COUNTIFS($C$2:$C572,$C573,$E$2:$E572,$E573)&gt;=1,"",$P573)),     IF(AND(IFERROR(SEARCH($R573,XKNVLSX!$X$1,1),0)&gt;=1,$P573=$V$7),$P573, IF(OR($R573&lt;&gt;IF(IFERROR(SEARCH($R573,XKNVLSX!$X$1,1),0)&gt;=1,$R573,XKNVLSX!$X$1),COUNTIFS($C$2:$C572,$C573,$E$2:$E572,$E573,$Q$2:$Q572,$P573)&gt;=1),"",$P573))))</f>
        <v/>
      </c>
      <c r="R573" s="1017" t="str">
        <f ca="1">IF($A573="","",IFERROR(INDEX(TinhGia!$BF$10:$BF$81,MATCH($A573,TinhGia!$B$10:$B$81,0)),""))</f>
        <v/>
      </c>
      <c r="S573" s="1012" t="str">
        <f ca="1">IF($A573="","",IF(OR(IFERROR(SEARCH($R573,XKNVLSX!$X$1,1),0)&gt;=1,XKNVLSX!$X$1=""),$S$2,""))</f>
        <v/>
      </c>
      <c r="T573" s="1018" t="str">
        <f ca="1">IF($C573="","", IF(OR($P573=$V$1,$P573=$V$7,COUNTIFS($C$3:$C573,$C573,$E$3:$E573,$E573)&lt;=1),$P573,""    ))</f>
        <v/>
      </c>
      <c r="U573" s="1019" t="str">
        <f ca="1">IF(AND($P573=$V$2,COUNTIFS($C$3:$C573,$C573,$E$3:$E573,$E573,$G$3:$G573,$G573)&lt;=1),$P573,"")</f>
        <v/>
      </c>
    </row>
    <row r="574" spans="1:21">
      <c r="A574" s="991" t="str">
        <f ca="1">IFERROR(IF(COUNTIF($A$3:A573,A573)&lt; INDEX(TinhGia!$BH$10:$BH$81,MATCH($A573,TinhGia!$B$10:$B$81,0)),$A573,INDEX(TinhGia!$B$10:$B$81,MATCH($A573,TinhGia!$B$10:$B$81,0)+1)),"")</f>
        <v/>
      </c>
      <c r="B574" s="525" t="str">
        <f ca="1">IF(OR(A574="",A574=0),"",IF(COUNTIF($A$2:A574,$A574)=1,ROW(MauKoXoa!$C$108),$B573+1))</f>
        <v/>
      </c>
      <c r="C574" s="992" t="str">
        <f t="shared" ca="1" si="74"/>
        <v/>
      </c>
      <c r="D574" s="993" t="str">
        <f t="shared" ca="1" si="75"/>
        <v/>
      </c>
      <c r="E574" s="993" t="str">
        <f t="shared" ca="1" si="76"/>
        <v/>
      </c>
      <c r="F574" s="992" t="str">
        <f t="shared" ca="1" si="84"/>
        <v/>
      </c>
      <c r="G574" s="994">
        <f t="shared" ca="1" si="77"/>
        <v>0</v>
      </c>
      <c r="H574" s="913">
        <f t="shared" ca="1" si="78"/>
        <v>0</v>
      </c>
      <c r="I574" s="913">
        <f t="shared" ca="1" si="79"/>
        <v>0</v>
      </c>
      <c r="J574" s="995">
        <f t="shared" ca="1" si="85"/>
        <v>0</v>
      </c>
      <c r="K574" s="913">
        <f t="shared" ca="1" si="80"/>
        <v>0</v>
      </c>
      <c r="L574" s="995">
        <f t="shared" ca="1" si="86"/>
        <v>0</v>
      </c>
      <c r="M574" s="913">
        <f t="shared" ca="1" si="81"/>
        <v>0</v>
      </c>
      <c r="N574" s="996">
        <f t="shared" ca="1" si="82"/>
        <v>0</v>
      </c>
      <c r="O574" s="997">
        <f t="shared" ca="1" si="83"/>
        <v>0</v>
      </c>
      <c r="P574" s="1015" t="str">
        <f ca="1">IF($C574="","",INDEX(NVLSX!$N$2:$N$6941,MATCH($C574,NVLSX!$E$2:$E$6941,0)))</f>
        <v/>
      </c>
      <c r="Q574" s="1016" t="str">
        <f ca="1">IF($R574="","",IF(XKNVLSX!$X$1="",IF($P574=$V$7,$P574, IF(COUNTIFS($C$2:$C573,$C574,$E$2:$E573,$E574)&gt;=1,"",$P574)),     IF(AND(IFERROR(SEARCH($R574,XKNVLSX!$X$1,1),0)&gt;=1,$P574=$V$7),$P574, IF(OR($R574&lt;&gt;IF(IFERROR(SEARCH($R574,XKNVLSX!$X$1,1),0)&gt;=1,$R574,XKNVLSX!$X$1),COUNTIFS($C$2:$C573,$C574,$E$2:$E573,$E574,$Q$2:$Q573,$P574)&gt;=1),"",$P574))))</f>
        <v/>
      </c>
      <c r="R574" s="1017" t="str">
        <f ca="1">IF($A574="","",IFERROR(INDEX(TinhGia!$BF$10:$BF$81,MATCH($A574,TinhGia!$B$10:$B$81,0)),""))</f>
        <v/>
      </c>
      <c r="S574" s="1012" t="str">
        <f ca="1">IF($A574="","",IF(OR(IFERROR(SEARCH($R574,XKNVLSX!$X$1,1),0)&gt;=1,XKNVLSX!$X$1=""),$S$2,""))</f>
        <v/>
      </c>
      <c r="T574" s="1018" t="str">
        <f ca="1">IF($C574="","", IF(OR($P574=$V$1,$P574=$V$7,COUNTIFS($C$3:$C574,$C574,$E$3:$E574,$E574)&lt;=1),$P574,""    ))</f>
        <v/>
      </c>
      <c r="U574" s="1019" t="str">
        <f ca="1">IF(AND($P574=$V$2,COUNTIFS($C$3:$C574,$C574,$E$3:$E574,$E574,$G$3:$G574,$G574)&lt;=1),$P574,"")</f>
        <v/>
      </c>
    </row>
    <row r="575" spans="1:21">
      <c r="A575" s="991" t="str">
        <f ca="1">IFERROR(IF(COUNTIF($A$3:A574,A574)&lt; INDEX(TinhGia!$BH$10:$BH$81,MATCH($A574,TinhGia!$B$10:$B$81,0)),$A574,INDEX(TinhGia!$B$10:$B$81,MATCH($A574,TinhGia!$B$10:$B$81,0)+1)),"")</f>
        <v/>
      </c>
      <c r="B575" s="525" t="str">
        <f ca="1">IF(OR(A575="",A575=0),"",IF(COUNTIF($A$2:A575,$A575)=1,ROW(MauKoXoa!$C$108),$B574+1))</f>
        <v/>
      </c>
      <c r="C575" s="992" t="str">
        <f t="shared" ca="1" si="74"/>
        <v/>
      </c>
      <c r="D575" s="993" t="str">
        <f t="shared" ca="1" si="75"/>
        <v/>
      </c>
      <c r="E575" s="993" t="str">
        <f t="shared" ca="1" si="76"/>
        <v/>
      </c>
      <c r="F575" s="992" t="str">
        <f t="shared" ca="1" si="84"/>
        <v/>
      </c>
      <c r="G575" s="994">
        <f t="shared" ca="1" si="77"/>
        <v>0</v>
      </c>
      <c r="H575" s="913">
        <f t="shared" ca="1" si="78"/>
        <v>0</v>
      </c>
      <c r="I575" s="913">
        <f t="shared" ca="1" si="79"/>
        <v>0</v>
      </c>
      <c r="J575" s="995">
        <f t="shared" ca="1" si="85"/>
        <v>0</v>
      </c>
      <c r="K575" s="913">
        <f t="shared" ca="1" si="80"/>
        <v>0</v>
      </c>
      <c r="L575" s="995">
        <f t="shared" ca="1" si="86"/>
        <v>0</v>
      </c>
      <c r="M575" s="913">
        <f t="shared" ca="1" si="81"/>
        <v>0</v>
      </c>
      <c r="N575" s="996">
        <f t="shared" ca="1" si="82"/>
        <v>0</v>
      </c>
      <c r="O575" s="997">
        <f t="shared" ca="1" si="83"/>
        <v>0</v>
      </c>
      <c r="P575" s="1015" t="str">
        <f ca="1">IF($C575="","",INDEX(NVLSX!$N$2:$N$6941,MATCH($C575,NVLSX!$E$2:$E$6941,0)))</f>
        <v/>
      </c>
      <c r="Q575" s="1016" t="str">
        <f ca="1">IF($R575="","",IF(XKNVLSX!$X$1="",IF($P575=$V$7,$P575, IF(COUNTIFS($C$2:$C574,$C575,$E$2:$E574,$E575)&gt;=1,"",$P575)),     IF(AND(IFERROR(SEARCH($R575,XKNVLSX!$X$1,1),0)&gt;=1,$P575=$V$7),$P575, IF(OR($R575&lt;&gt;IF(IFERROR(SEARCH($R575,XKNVLSX!$X$1,1),0)&gt;=1,$R575,XKNVLSX!$X$1),COUNTIFS($C$2:$C574,$C575,$E$2:$E574,$E575,$Q$2:$Q574,$P575)&gt;=1),"",$P575))))</f>
        <v/>
      </c>
      <c r="R575" s="1017" t="str">
        <f ca="1">IF($A575="","",IFERROR(INDEX(TinhGia!$BF$10:$BF$81,MATCH($A575,TinhGia!$B$10:$B$81,0)),""))</f>
        <v/>
      </c>
      <c r="S575" s="1012" t="str">
        <f ca="1">IF($A575="","",IF(OR(IFERROR(SEARCH($R575,XKNVLSX!$X$1,1),0)&gt;=1,XKNVLSX!$X$1=""),$S$2,""))</f>
        <v/>
      </c>
      <c r="T575" s="1018" t="str">
        <f ca="1">IF($C575="","", IF(OR($P575=$V$1,$P575=$V$7,COUNTIFS($C$3:$C575,$C575,$E$3:$E575,$E575)&lt;=1),$P575,""    ))</f>
        <v/>
      </c>
      <c r="U575" s="1019" t="str">
        <f ca="1">IF(AND($P575=$V$2,COUNTIFS($C$3:$C575,$C575,$E$3:$E575,$E575,$G$3:$G575,$G575)&lt;=1),$P575,"")</f>
        <v/>
      </c>
    </row>
    <row r="576" spans="1:21">
      <c r="A576" s="991" t="str">
        <f ca="1">IFERROR(IF(COUNTIF($A$3:A575,A575)&lt; INDEX(TinhGia!$BH$10:$BH$81,MATCH($A575,TinhGia!$B$10:$B$81,0)),$A575,INDEX(TinhGia!$B$10:$B$81,MATCH($A575,TinhGia!$B$10:$B$81,0)+1)),"")</f>
        <v/>
      </c>
      <c r="B576" s="525" t="str">
        <f ca="1">IF(OR(A576="",A576=0),"",IF(COUNTIF($A$2:A576,$A576)=1,ROW(MauKoXoa!$C$108),$B575+1))</f>
        <v/>
      </c>
      <c r="C576" s="992" t="str">
        <f t="shared" ca="1" si="74"/>
        <v/>
      </c>
      <c r="D576" s="993" t="str">
        <f t="shared" ca="1" si="75"/>
        <v/>
      </c>
      <c r="E576" s="993" t="str">
        <f t="shared" ca="1" si="76"/>
        <v/>
      </c>
      <c r="F576" s="992" t="str">
        <f t="shared" ca="1" si="84"/>
        <v/>
      </c>
      <c r="G576" s="994">
        <f t="shared" ca="1" si="77"/>
        <v>0</v>
      </c>
      <c r="H576" s="913">
        <f t="shared" ca="1" si="78"/>
        <v>0</v>
      </c>
      <c r="I576" s="913">
        <f t="shared" ca="1" si="79"/>
        <v>0</v>
      </c>
      <c r="J576" s="995">
        <f t="shared" ca="1" si="85"/>
        <v>0</v>
      </c>
      <c r="K576" s="913">
        <f t="shared" ca="1" si="80"/>
        <v>0</v>
      </c>
      <c r="L576" s="995">
        <f t="shared" ca="1" si="86"/>
        <v>0</v>
      </c>
      <c r="M576" s="913">
        <f t="shared" ca="1" si="81"/>
        <v>0</v>
      </c>
      <c r="N576" s="996">
        <f t="shared" ca="1" si="82"/>
        <v>0</v>
      </c>
      <c r="O576" s="997">
        <f t="shared" ca="1" si="83"/>
        <v>0</v>
      </c>
      <c r="P576" s="1015" t="str">
        <f ca="1">IF($C576="","",INDEX(NVLSX!$N$2:$N$6941,MATCH($C576,NVLSX!$E$2:$E$6941,0)))</f>
        <v/>
      </c>
      <c r="Q576" s="1016" t="str">
        <f ca="1">IF($R576="","",IF(XKNVLSX!$X$1="",IF($P576=$V$7,$P576, IF(COUNTIFS($C$2:$C575,$C576,$E$2:$E575,$E576)&gt;=1,"",$P576)),     IF(AND(IFERROR(SEARCH($R576,XKNVLSX!$X$1,1),0)&gt;=1,$P576=$V$7),$P576, IF(OR($R576&lt;&gt;IF(IFERROR(SEARCH($R576,XKNVLSX!$X$1,1),0)&gt;=1,$R576,XKNVLSX!$X$1),COUNTIFS($C$2:$C575,$C576,$E$2:$E575,$E576,$Q$2:$Q575,$P576)&gt;=1),"",$P576))))</f>
        <v/>
      </c>
      <c r="R576" s="1017" t="str">
        <f ca="1">IF($A576="","",IFERROR(INDEX(TinhGia!$BF$10:$BF$81,MATCH($A576,TinhGia!$B$10:$B$81,0)),""))</f>
        <v/>
      </c>
      <c r="S576" s="1012" t="str">
        <f ca="1">IF($A576="","",IF(OR(IFERROR(SEARCH($R576,XKNVLSX!$X$1,1),0)&gt;=1,XKNVLSX!$X$1=""),$S$2,""))</f>
        <v/>
      </c>
      <c r="T576" s="1018" t="str">
        <f ca="1">IF($C576="","", IF(OR($P576=$V$1,$P576=$V$7,COUNTIFS($C$3:$C576,$C576,$E$3:$E576,$E576)&lt;=1),$P576,""    ))</f>
        <v/>
      </c>
      <c r="U576" s="1019" t="str">
        <f ca="1">IF(AND($P576=$V$2,COUNTIFS($C$3:$C576,$C576,$E$3:$E576,$E576,$G$3:$G576,$G576)&lt;=1),$P576,"")</f>
        <v/>
      </c>
    </row>
    <row r="577" spans="1:21">
      <c r="A577" s="991" t="str">
        <f ca="1">IFERROR(IF(COUNTIF($A$3:A576,A576)&lt; INDEX(TinhGia!$BH$10:$BH$81,MATCH($A576,TinhGia!$B$10:$B$81,0)),$A576,INDEX(TinhGia!$B$10:$B$81,MATCH($A576,TinhGia!$B$10:$B$81,0)+1)),"")</f>
        <v/>
      </c>
      <c r="B577" s="525" t="str">
        <f ca="1">IF(OR(A577="",A577=0),"",IF(COUNTIF($A$2:A577,$A577)=1,ROW(MauKoXoa!$C$108),$B576+1))</f>
        <v/>
      </c>
      <c r="C577" s="992" t="str">
        <f t="shared" ca="1" si="74"/>
        <v/>
      </c>
      <c r="D577" s="993" t="str">
        <f t="shared" ca="1" si="75"/>
        <v/>
      </c>
      <c r="E577" s="993" t="str">
        <f t="shared" ca="1" si="76"/>
        <v/>
      </c>
      <c r="F577" s="992" t="str">
        <f t="shared" ca="1" si="84"/>
        <v/>
      </c>
      <c r="G577" s="994">
        <f t="shared" ca="1" si="77"/>
        <v>0</v>
      </c>
      <c r="H577" s="913">
        <f t="shared" ca="1" si="78"/>
        <v>0</v>
      </c>
      <c r="I577" s="913">
        <f t="shared" ca="1" si="79"/>
        <v>0</v>
      </c>
      <c r="J577" s="995">
        <f t="shared" ca="1" si="85"/>
        <v>0</v>
      </c>
      <c r="K577" s="913">
        <f t="shared" ca="1" si="80"/>
        <v>0</v>
      </c>
      <c r="L577" s="995">
        <f t="shared" ca="1" si="86"/>
        <v>0</v>
      </c>
      <c r="M577" s="913">
        <f t="shared" ca="1" si="81"/>
        <v>0</v>
      </c>
      <c r="N577" s="996">
        <f t="shared" ca="1" si="82"/>
        <v>0</v>
      </c>
      <c r="O577" s="997">
        <f t="shared" ca="1" si="83"/>
        <v>0</v>
      </c>
      <c r="P577" s="1015" t="str">
        <f ca="1">IF($C577="","",INDEX(NVLSX!$N$2:$N$6941,MATCH($C577,NVLSX!$E$2:$E$6941,0)))</f>
        <v/>
      </c>
      <c r="Q577" s="1016" t="str">
        <f ca="1">IF($R577="","",IF(XKNVLSX!$X$1="",IF($P577=$V$7,$P577, IF(COUNTIFS($C$2:$C576,$C577,$E$2:$E576,$E577)&gt;=1,"",$P577)),     IF(AND(IFERROR(SEARCH($R577,XKNVLSX!$X$1,1),0)&gt;=1,$P577=$V$7),$P577, IF(OR($R577&lt;&gt;IF(IFERROR(SEARCH($R577,XKNVLSX!$X$1,1),0)&gt;=1,$R577,XKNVLSX!$X$1),COUNTIFS($C$2:$C576,$C577,$E$2:$E576,$E577,$Q$2:$Q576,$P577)&gt;=1),"",$P577))))</f>
        <v/>
      </c>
      <c r="R577" s="1017" t="str">
        <f ca="1">IF($A577="","",IFERROR(INDEX(TinhGia!$BF$10:$BF$81,MATCH($A577,TinhGia!$B$10:$B$81,0)),""))</f>
        <v/>
      </c>
      <c r="S577" s="1012" t="str">
        <f ca="1">IF($A577="","",IF(OR(IFERROR(SEARCH($R577,XKNVLSX!$X$1,1),0)&gt;=1,XKNVLSX!$X$1=""),$S$2,""))</f>
        <v/>
      </c>
      <c r="T577" s="1018" t="str">
        <f ca="1">IF($C577="","", IF(OR($P577=$V$1,$P577=$V$7,COUNTIFS($C$3:$C577,$C577,$E$3:$E577,$E577)&lt;=1),$P577,""    ))</f>
        <v/>
      </c>
      <c r="U577" s="1019" t="str">
        <f ca="1">IF(AND($P577=$V$2,COUNTIFS($C$3:$C577,$C577,$E$3:$E577,$E577,$G$3:$G577,$G577)&lt;=1),$P577,"")</f>
        <v/>
      </c>
    </row>
    <row r="578" spans="1:21">
      <c r="A578" s="991" t="str">
        <f ca="1">IFERROR(IF(COUNTIF($A$3:A577,A577)&lt; INDEX(TinhGia!$BH$10:$BH$81,MATCH($A577,TinhGia!$B$10:$B$81,0)),$A577,INDEX(TinhGia!$B$10:$B$81,MATCH($A577,TinhGia!$B$10:$B$81,0)+1)),"")</f>
        <v/>
      </c>
      <c r="B578" s="525" t="str">
        <f ca="1">IF(OR(A578="",A578=0),"",IF(COUNTIF($A$2:A578,$A578)=1,ROW(MauKoXoa!$C$108),$B577+1))</f>
        <v/>
      </c>
      <c r="C578" s="992" t="str">
        <f t="shared" ref="C578:C641" ca="1" si="87">IFERROR(INDIRECT("'" &amp; $A578 &amp; "'!" &amp; "C" &amp; $B578),"")</f>
        <v/>
      </c>
      <c r="D578" s="993" t="str">
        <f t="shared" ref="D578:D641" ca="1" si="88">IFERROR(INDIRECT("'" &amp; $A578 &amp; "'!" &amp; "D" &amp; $B578),"")</f>
        <v/>
      </c>
      <c r="E578" s="993" t="str">
        <f t="shared" ref="E578:E641" ca="1" si="89">IFERROR(INDIRECT("'" &amp; $A578 &amp; "'!" &amp; "P" &amp; $B578),"")</f>
        <v/>
      </c>
      <c r="F578" s="992" t="str">
        <f t="shared" ca="1" si="84"/>
        <v/>
      </c>
      <c r="G578" s="994">
        <f t="shared" ref="G578:G641" ca="1" si="90">IFERROR(INDIRECT("'" &amp; $A578 &amp; "'!" &amp; "F" &amp; $B578),0)</f>
        <v>0</v>
      </c>
      <c r="H578" s="913">
        <f t="shared" ref="H578:H641" ca="1" si="91">IFERROR(INDIRECT("'" &amp; $A578 &amp; "'!" &amp; "G" &amp; $B578),0)</f>
        <v>0</v>
      </c>
      <c r="I578" s="913">
        <f t="shared" ref="I578:I641" ca="1" si="92">IFERROR(INDIRECT("'" &amp; $A578 &amp; "'!" &amp; "H" &amp; $B578),0)</f>
        <v>0</v>
      </c>
      <c r="J578" s="995">
        <f t="shared" ca="1" si="85"/>
        <v>0</v>
      </c>
      <c r="K578" s="913">
        <f t="shared" ref="K578:K641" ca="1" si="93">IFERROR(INDIRECT("'" &amp; $A578 &amp; "'!" &amp; "L" &amp; $B578),0)</f>
        <v>0</v>
      </c>
      <c r="L578" s="995">
        <f t="shared" ca="1" si="86"/>
        <v>0</v>
      </c>
      <c r="M578" s="913">
        <f t="shared" ref="M578:M641" ca="1" si="94">IFERROR(INDIRECT("'" &amp; $A578 &amp; "'!" &amp; "M" &amp; $B578),0)</f>
        <v>0</v>
      </c>
      <c r="N578" s="996">
        <f t="shared" ref="N578:N641" ca="1" si="95">IFERROR(INDIRECT("'" &amp; $A578 &amp; "'!" &amp; "N" &amp; $B578),0)</f>
        <v>0</v>
      </c>
      <c r="O578" s="997">
        <f t="shared" ref="O578:O641" ca="1" si="96">IFERROR(INDIRECT("'" &amp; $A578 &amp; "'!" &amp; "O" &amp; $B578),0)</f>
        <v>0</v>
      </c>
      <c r="P578" s="1015" t="str">
        <f ca="1">IF($C578="","",INDEX(NVLSX!$N$2:$N$6941,MATCH($C578,NVLSX!$E$2:$E$6941,0)))</f>
        <v/>
      </c>
      <c r="Q578" s="1016" t="str">
        <f ca="1">IF($R578="","",IF(XKNVLSX!$X$1="",IF($P578=$V$7,$P578, IF(COUNTIFS($C$2:$C577,$C578,$E$2:$E577,$E578)&gt;=1,"",$P578)),     IF(AND(IFERROR(SEARCH($R578,XKNVLSX!$X$1,1),0)&gt;=1,$P578=$V$7),$P578, IF(OR($R578&lt;&gt;IF(IFERROR(SEARCH($R578,XKNVLSX!$X$1,1),0)&gt;=1,$R578,XKNVLSX!$X$1),COUNTIFS($C$2:$C577,$C578,$E$2:$E577,$E578,$Q$2:$Q577,$P578)&gt;=1),"",$P578))))</f>
        <v/>
      </c>
      <c r="R578" s="1017" t="str">
        <f ca="1">IF($A578="","",IFERROR(INDEX(TinhGia!$BF$10:$BF$81,MATCH($A578,TinhGia!$B$10:$B$81,0)),""))</f>
        <v/>
      </c>
      <c r="S578" s="1012" t="str">
        <f ca="1">IF($A578="","",IF(OR(IFERROR(SEARCH($R578,XKNVLSX!$X$1,1),0)&gt;=1,XKNVLSX!$X$1=""),$S$2,""))</f>
        <v/>
      </c>
      <c r="T578" s="1018" t="str">
        <f ca="1">IF($C578="","", IF(OR($P578=$V$1,$P578=$V$7,COUNTIFS($C$3:$C578,$C578,$E$3:$E578,$E578)&lt;=1),$P578,""    ))</f>
        <v/>
      </c>
      <c r="U578" s="1019" t="str">
        <f ca="1">IF(AND($P578=$V$2,COUNTIFS($C$3:$C578,$C578,$E$3:$E578,$E578,$G$3:$G578,$G578)&lt;=1),$P578,"")</f>
        <v/>
      </c>
    </row>
    <row r="579" spans="1:21">
      <c r="A579" s="991" t="str">
        <f ca="1">IFERROR(IF(COUNTIF($A$3:A578,A578)&lt; INDEX(TinhGia!$BH$10:$BH$81,MATCH($A578,TinhGia!$B$10:$B$81,0)),$A578,INDEX(TinhGia!$B$10:$B$81,MATCH($A578,TinhGia!$B$10:$B$81,0)+1)),"")</f>
        <v/>
      </c>
      <c r="B579" s="525" t="str">
        <f ca="1">IF(OR(A579="",A579=0),"",IF(COUNTIF($A$2:A579,$A579)=1,ROW(MauKoXoa!$C$108),$B578+1))</f>
        <v/>
      </c>
      <c r="C579" s="992" t="str">
        <f t="shared" ca="1" si="87"/>
        <v/>
      </c>
      <c r="D579" s="993" t="str">
        <f t="shared" ca="1" si="88"/>
        <v/>
      </c>
      <c r="E579" s="993" t="str">
        <f t="shared" ca="1" si="89"/>
        <v/>
      </c>
      <c r="F579" s="992" t="str">
        <f t="shared" ref="F579:F642" ca="1" si="97">IF($P579=$V$7, IFERROR(INDIRECT("'" &amp; $A579 &amp; "'!" &amp; "I" &amp; $B579),""),IFERROR(INDIRECT("'" &amp; $A579 &amp; "'!" &amp; "E" &amp; $B579),""))</f>
        <v/>
      </c>
      <c r="G579" s="994">
        <f t="shared" ca="1" si="90"/>
        <v>0</v>
      </c>
      <c r="H579" s="913">
        <f t="shared" ca="1" si="91"/>
        <v>0</v>
      </c>
      <c r="I579" s="913">
        <f t="shared" ca="1" si="92"/>
        <v>0</v>
      </c>
      <c r="J579" s="995">
        <f t="shared" ca="1" si="85"/>
        <v>0</v>
      </c>
      <c r="K579" s="913">
        <f t="shared" ca="1" si="93"/>
        <v>0</v>
      </c>
      <c r="L579" s="995">
        <f t="shared" ca="1" si="86"/>
        <v>0</v>
      </c>
      <c r="M579" s="913">
        <f t="shared" ca="1" si="94"/>
        <v>0</v>
      </c>
      <c r="N579" s="996">
        <f t="shared" ca="1" si="95"/>
        <v>0</v>
      </c>
      <c r="O579" s="997">
        <f t="shared" ca="1" si="96"/>
        <v>0</v>
      </c>
      <c r="P579" s="1015" t="str">
        <f ca="1">IF($C579="","",INDEX(NVLSX!$N$2:$N$6941,MATCH($C579,NVLSX!$E$2:$E$6941,0)))</f>
        <v/>
      </c>
      <c r="Q579" s="1016" t="str">
        <f ca="1">IF($R579="","",IF(XKNVLSX!$X$1="",IF($P579=$V$7,$P579, IF(COUNTIFS($C$2:$C578,$C579,$E$2:$E578,$E579)&gt;=1,"",$P579)),     IF(AND(IFERROR(SEARCH($R579,XKNVLSX!$X$1,1),0)&gt;=1,$P579=$V$7),$P579, IF(OR($R579&lt;&gt;IF(IFERROR(SEARCH($R579,XKNVLSX!$X$1,1),0)&gt;=1,$R579,XKNVLSX!$X$1),COUNTIFS($C$2:$C578,$C579,$E$2:$E578,$E579,$Q$2:$Q578,$P579)&gt;=1),"",$P579))))</f>
        <v/>
      </c>
      <c r="R579" s="1017" t="str">
        <f ca="1">IF($A579="","",IFERROR(INDEX(TinhGia!$BF$10:$BF$81,MATCH($A579,TinhGia!$B$10:$B$81,0)),""))</f>
        <v/>
      </c>
      <c r="S579" s="1012" t="str">
        <f ca="1">IF($A579="","",IF(OR(IFERROR(SEARCH($R579,XKNVLSX!$X$1,1),0)&gt;=1,XKNVLSX!$X$1=""),$S$2,""))</f>
        <v/>
      </c>
      <c r="T579" s="1018" t="str">
        <f ca="1">IF($C579="","", IF(OR($P579=$V$1,$P579=$V$7,COUNTIFS($C$3:$C579,$C579,$E$3:$E579,$E579)&lt;=1),$P579,""    ))</f>
        <v/>
      </c>
      <c r="U579" s="1019" t="str">
        <f ca="1">IF(AND($P579=$V$2,COUNTIFS($C$3:$C579,$C579,$E$3:$E579,$E579,$G$3:$G579,$G579)&lt;=1),$P579,"")</f>
        <v/>
      </c>
    </row>
    <row r="580" spans="1:21">
      <c r="A580" s="991" t="str">
        <f ca="1">IFERROR(IF(COUNTIF($A$3:A579,A579)&lt; INDEX(TinhGia!$BH$10:$BH$81,MATCH($A579,TinhGia!$B$10:$B$81,0)),$A579,INDEX(TinhGia!$B$10:$B$81,MATCH($A579,TinhGia!$B$10:$B$81,0)+1)),"")</f>
        <v/>
      </c>
      <c r="B580" s="525" t="str">
        <f ca="1">IF(OR(A580="",A580=0),"",IF(COUNTIF($A$2:A580,$A580)=1,ROW(MauKoXoa!$C$108),$B579+1))</f>
        <v/>
      </c>
      <c r="C580" s="992" t="str">
        <f t="shared" ca="1" si="87"/>
        <v/>
      </c>
      <c r="D580" s="993" t="str">
        <f t="shared" ca="1" si="88"/>
        <v/>
      </c>
      <c r="E580" s="993" t="str">
        <f t="shared" ca="1" si="89"/>
        <v/>
      </c>
      <c r="F580" s="992" t="str">
        <f t="shared" ca="1" si="97"/>
        <v/>
      </c>
      <c r="G580" s="994">
        <f t="shared" ca="1" si="90"/>
        <v>0</v>
      </c>
      <c r="H580" s="913">
        <f t="shared" ca="1" si="91"/>
        <v>0</v>
      </c>
      <c r="I580" s="913">
        <f t="shared" ca="1" si="92"/>
        <v>0</v>
      </c>
      <c r="J580" s="995">
        <f t="shared" ref="J580:J643" ca="1" si="98">IFERROR(INDIRECT("'" &amp; $A580 &amp; "'!" &amp; "J" &amp; $B580),0)</f>
        <v>0</v>
      </c>
      <c r="K580" s="913">
        <f t="shared" ca="1" si="93"/>
        <v>0</v>
      </c>
      <c r="L580" s="995">
        <f t="shared" ref="L580:L643" ca="1" si="99">+ IFERROR(INDIRECT("'" &amp; $A580 &amp; "'!" &amp; "K" &amp; $B580),0)</f>
        <v>0</v>
      </c>
      <c r="M580" s="913">
        <f t="shared" ca="1" si="94"/>
        <v>0</v>
      </c>
      <c r="N580" s="996">
        <f t="shared" ca="1" si="95"/>
        <v>0</v>
      </c>
      <c r="O580" s="997">
        <f t="shared" ca="1" si="96"/>
        <v>0</v>
      </c>
      <c r="P580" s="1015" t="str">
        <f ca="1">IF($C580="","",INDEX(NVLSX!$N$2:$N$6941,MATCH($C580,NVLSX!$E$2:$E$6941,0)))</f>
        <v/>
      </c>
      <c r="Q580" s="1016" t="str">
        <f ca="1">IF($R580="","",IF(XKNVLSX!$X$1="",IF($P580=$V$7,$P580, IF(COUNTIFS($C$2:$C579,$C580,$E$2:$E579,$E580)&gt;=1,"",$P580)),     IF(AND(IFERROR(SEARCH($R580,XKNVLSX!$X$1,1),0)&gt;=1,$P580=$V$7),$P580, IF(OR($R580&lt;&gt;IF(IFERROR(SEARCH($R580,XKNVLSX!$X$1,1),0)&gt;=1,$R580,XKNVLSX!$X$1),COUNTIFS($C$2:$C579,$C580,$E$2:$E579,$E580,$Q$2:$Q579,$P580)&gt;=1),"",$P580))))</f>
        <v/>
      </c>
      <c r="R580" s="1017" t="str">
        <f ca="1">IF($A580="","",IFERROR(INDEX(TinhGia!$BF$10:$BF$81,MATCH($A580,TinhGia!$B$10:$B$81,0)),""))</f>
        <v/>
      </c>
      <c r="S580" s="1012" t="str">
        <f ca="1">IF($A580="","",IF(OR(IFERROR(SEARCH($R580,XKNVLSX!$X$1,1),0)&gt;=1,XKNVLSX!$X$1=""),$S$2,""))</f>
        <v/>
      </c>
      <c r="T580" s="1018" t="str">
        <f ca="1">IF($C580="","", IF(OR($P580=$V$1,$P580=$V$7,COUNTIFS($C$3:$C580,$C580,$E$3:$E580,$E580)&lt;=1),$P580,""    ))</f>
        <v/>
      </c>
      <c r="U580" s="1019" t="str">
        <f ca="1">IF(AND($P580=$V$2,COUNTIFS($C$3:$C580,$C580,$E$3:$E580,$E580,$G$3:$G580,$G580)&lt;=1),$P580,"")</f>
        <v/>
      </c>
    </row>
    <row r="581" spans="1:21">
      <c r="A581" s="991" t="str">
        <f ca="1">IFERROR(IF(COUNTIF($A$3:A580,A580)&lt; INDEX(TinhGia!$BH$10:$BH$81,MATCH($A580,TinhGia!$B$10:$B$81,0)),$A580,INDEX(TinhGia!$B$10:$B$81,MATCH($A580,TinhGia!$B$10:$B$81,0)+1)),"")</f>
        <v/>
      </c>
      <c r="B581" s="525" t="str">
        <f ca="1">IF(OR(A581="",A581=0),"",IF(COUNTIF($A$2:A581,$A581)=1,ROW(MauKoXoa!$C$108),$B580+1))</f>
        <v/>
      </c>
      <c r="C581" s="992" t="str">
        <f t="shared" ca="1" si="87"/>
        <v/>
      </c>
      <c r="D581" s="993" t="str">
        <f t="shared" ca="1" si="88"/>
        <v/>
      </c>
      <c r="E581" s="993" t="str">
        <f t="shared" ca="1" si="89"/>
        <v/>
      </c>
      <c r="F581" s="992" t="str">
        <f t="shared" ca="1" si="97"/>
        <v/>
      </c>
      <c r="G581" s="994">
        <f t="shared" ca="1" si="90"/>
        <v>0</v>
      </c>
      <c r="H581" s="913">
        <f t="shared" ca="1" si="91"/>
        <v>0</v>
      </c>
      <c r="I581" s="913">
        <f t="shared" ca="1" si="92"/>
        <v>0</v>
      </c>
      <c r="J581" s="995">
        <f t="shared" ca="1" si="98"/>
        <v>0</v>
      </c>
      <c r="K581" s="913">
        <f t="shared" ca="1" si="93"/>
        <v>0</v>
      </c>
      <c r="L581" s="995">
        <f t="shared" ca="1" si="99"/>
        <v>0</v>
      </c>
      <c r="M581" s="913">
        <f t="shared" ca="1" si="94"/>
        <v>0</v>
      </c>
      <c r="N581" s="996">
        <f t="shared" ca="1" si="95"/>
        <v>0</v>
      </c>
      <c r="O581" s="997">
        <f t="shared" ca="1" si="96"/>
        <v>0</v>
      </c>
      <c r="P581" s="1015" t="str">
        <f ca="1">IF($C581="","",INDEX(NVLSX!$N$2:$N$6941,MATCH($C581,NVLSX!$E$2:$E$6941,0)))</f>
        <v/>
      </c>
      <c r="Q581" s="1016" t="str">
        <f ca="1">IF($R581="","",IF(XKNVLSX!$X$1="",IF($P581=$V$7,$P581, IF(COUNTIFS($C$2:$C580,$C581,$E$2:$E580,$E581)&gt;=1,"",$P581)),     IF(AND(IFERROR(SEARCH($R581,XKNVLSX!$X$1,1),0)&gt;=1,$P581=$V$7),$P581, IF(OR($R581&lt;&gt;IF(IFERROR(SEARCH($R581,XKNVLSX!$X$1,1),0)&gt;=1,$R581,XKNVLSX!$X$1),COUNTIFS($C$2:$C580,$C581,$E$2:$E580,$E581,$Q$2:$Q580,$P581)&gt;=1),"",$P581))))</f>
        <v/>
      </c>
      <c r="R581" s="1017" t="str">
        <f ca="1">IF($A581="","",IFERROR(INDEX(TinhGia!$BF$10:$BF$81,MATCH($A581,TinhGia!$B$10:$B$81,0)),""))</f>
        <v/>
      </c>
      <c r="S581" s="1012" t="str">
        <f ca="1">IF($A581="","",IF(OR(IFERROR(SEARCH($R581,XKNVLSX!$X$1,1),0)&gt;=1,XKNVLSX!$X$1=""),$S$2,""))</f>
        <v/>
      </c>
      <c r="T581" s="1018" t="str">
        <f ca="1">IF($C581="","", IF(OR($P581=$V$1,$P581=$V$7,COUNTIFS($C$3:$C581,$C581,$E$3:$E581,$E581)&lt;=1),$P581,""    ))</f>
        <v/>
      </c>
      <c r="U581" s="1019" t="str">
        <f ca="1">IF(AND($P581=$V$2,COUNTIFS($C$3:$C581,$C581,$E$3:$E581,$E581,$G$3:$G581,$G581)&lt;=1),$P581,"")</f>
        <v/>
      </c>
    </row>
    <row r="582" spans="1:21">
      <c r="A582" s="991" t="str">
        <f ca="1">IFERROR(IF(COUNTIF($A$3:A581,A581)&lt; INDEX(TinhGia!$BH$10:$BH$81,MATCH($A581,TinhGia!$B$10:$B$81,0)),$A581,INDEX(TinhGia!$B$10:$B$81,MATCH($A581,TinhGia!$B$10:$B$81,0)+1)),"")</f>
        <v/>
      </c>
      <c r="B582" s="525" t="str">
        <f ca="1">IF(OR(A582="",A582=0),"",IF(COUNTIF($A$2:A582,$A582)=1,ROW(MauKoXoa!$C$108),$B581+1))</f>
        <v/>
      </c>
      <c r="C582" s="992" t="str">
        <f t="shared" ca="1" si="87"/>
        <v/>
      </c>
      <c r="D582" s="993" t="str">
        <f t="shared" ca="1" si="88"/>
        <v/>
      </c>
      <c r="E582" s="993" t="str">
        <f t="shared" ca="1" si="89"/>
        <v/>
      </c>
      <c r="F582" s="992" t="str">
        <f t="shared" ca="1" si="97"/>
        <v/>
      </c>
      <c r="G582" s="994">
        <f t="shared" ca="1" si="90"/>
        <v>0</v>
      </c>
      <c r="H582" s="913">
        <f t="shared" ca="1" si="91"/>
        <v>0</v>
      </c>
      <c r="I582" s="913">
        <f t="shared" ca="1" si="92"/>
        <v>0</v>
      </c>
      <c r="J582" s="995">
        <f t="shared" ca="1" si="98"/>
        <v>0</v>
      </c>
      <c r="K582" s="913">
        <f t="shared" ca="1" si="93"/>
        <v>0</v>
      </c>
      <c r="L582" s="995">
        <f t="shared" ca="1" si="99"/>
        <v>0</v>
      </c>
      <c r="M582" s="913">
        <f t="shared" ca="1" si="94"/>
        <v>0</v>
      </c>
      <c r="N582" s="996">
        <f t="shared" ca="1" si="95"/>
        <v>0</v>
      </c>
      <c r="O582" s="997">
        <f t="shared" ca="1" si="96"/>
        <v>0</v>
      </c>
      <c r="P582" s="1015" t="str">
        <f ca="1">IF($C582="","",INDEX(NVLSX!$N$2:$N$6941,MATCH($C582,NVLSX!$E$2:$E$6941,0)))</f>
        <v/>
      </c>
      <c r="Q582" s="1016" t="str">
        <f ca="1">IF($R582="","",IF(XKNVLSX!$X$1="",IF($P582=$V$7,$P582, IF(COUNTIFS($C$2:$C581,$C582,$E$2:$E581,$E582)&gt;=1,"",$P582)),     IF(AND(IFERROR(SEARCH($R582,XKNVLSX!$X$1,1),0)&gt;=1,$P582=$V$7),$P582, IF(OR($R582&lt;&gt;IF(IFERROR(SEARCH($R582,XKNVLSX!$X$1,1),0)&gt;=1,$R582,XKNVLSX!$X$1),COUNTIFS($C$2:$C581,$C582,$E$2:$E581,$E582,$Q$2:$Q581,$P582)&gt;=1),"",$P582))))</f>
        <v/>
      </c>
      <c r="R582" s="1017" t="str">
        <f ca="1">IF($A582="","",IFERROR(INDEX(TinhGia!$BF$10:$BF$81,MATCH($A582,TinhGia!$B$10:$B$81,0)),""))</f>
        <v/>
      </c>
      <c r="S582" s="1012" t="str">
        <f ca="1">IF($A582="","",IF(OR(IFERROR(SEARCH($R582,XKNVLSX!$X$1,1),0)&gt;=1,XKNVLSX!$X$1=""),$S$2,""))</f>
        <v/>
      </c>
      <c r="T582" s="1018" t="str">
        <f ca="1">IF($C582="","", IF(OR($P582=$V$1,$P582=$V$7,COUNTIFS($C$3:$C582,$C582,$E$3:$E582,$E582)&lt;=1),$P582,""    ))</f>
        <v/>
      </c>
      <c r="U582" s="1019" t="str">
        <f ca="1">IF(AND($P582=$V$2,COUNTIFS($C$3:$C582,$C582,$E$3:$E582,$E582,$G$3:$G582,$G582)&lt;=1),$P582,"")</f>
        <v/>
      </c>
    </row>
    <row r="583" spans="1:21">
      <c r="A583" s="991" t="str">
        <f ca="1">IFERROR(IF(COUNTIF($A$3:A582,A582)&lt; INDEX(TinhGia!$BH$10:$BH$81,MATCH($A582,TinhGia!$B$10:$B$81,0)),$A582,INDEX(TinhGia!$B$10:$B$81,MATCH($A582,TinhGia!$B$10:$B$81,0)+1)),"")</f>
        <v/>
      </c>
      <c r="B583" s="525" t="str">
        <f ca="1">IF(OR(A583="",A583=0),"",IF(COUNTIF($A$2:A583,$A583)=1,ROW(MauKoXoa!$C$108),$B582+1))</f>
        <v/>
      </c>
      <c r="C583" s="992" t="str">
        <f t="shared" ca="1" si="87"/>
        <v/>
      </c>
      <c r="D583" s="993" t="str">
        <f t="shared" ca="1" si="88"/>
        <v/>
      </c>
      <c r="E583" s="993" t="str">
        <f t="shared" ca="1" si="89"/>
        <v/>
      </c>
      <c r="F583" s="992" t="str">
        <f t="shared" ca="1" si="97"/>
        <v/>
      </c>
      <c r="G583" s="994">
        <f t="shared" ca="1" si="90"/>
        <v>0</v>
      </c>
      <c r="H583" s="913">
        <f t="shared" ca="1" si="91"/>
        <v>0</v>
      </c>
      <c r="I583" s="913">
        <f t="shared" ca="1" si="92"/>
        <v>0</v>
      </c>
      <c r="J583" s="995">
        <f t="shared" ca="1" si="98"/>
        <v>0</v>
      </c>
      <c r="K583" s="913">
        <f t="shared" ca="1" si="93"/>
        <v>0</v>
      </c>
      <c r="L583" s="995">
        <f t="shared" ca="1" si="99"/>
        <v>0</v>
      </c>
      <c r="M583" s="913">
        <f t="shared" ca="1" si="94"/>
        <v>0</v>
      </c>
      <c r="N583" s="996">
        <f t="shared" ca="1" si="95"/>
        <v>0</v>
      </c>
      <c r="O583" s="997">
        <f t="shared" ca="1" si="96"/>
        <v>0</v>
      </c>
      <c r="P583" s="1015" t="str">
        <f ca="1">IF($C583="","",INDEX(NVLSX!$N$2:$N$6941,MATCH($C583,NVLSX!$E$2:$E$6941,0)))</f>
        <v/>
      </c>
      <c r="Q583" s="1016" t="str">
        <f ca="1">IF($R583="","",IF(XKNVLSX!$X$1="",IF($P583=$V$7,$P583, IF(COUNTIFS($C$2:$C582,$C583,$E$2:$E582,$E583)&gt;=1,"",$P583)),     IF(AND(IFERROR(SEARCH($R583,XKNVLSX!$X$1,1),0)&gt;=1,$P583=$V$7),$P583, IF(OR($R583&lt;&gt;IF(IFERROR(SEARCH($R583,XKNVLSX!$X$1,1),0)&gt;=1,$R583,XKNVLSX!$X$1),COUNTIFS($C$2:$C582,$C583,$E$2:$E582,$E583,$Q$2:$Q582,$P583)&gt;=1),"",$P583))))</f>
        <v/>
      </c>
      <c r="R583" s="1017" t="str">
        <f ca="1">IF($A583="","",IFERROR(INDEX(TinhGia!$BF$10:$BF$81,MATCH($A583,TinhGia!$B$10:$B$81,0)),""))</f>
        <v/>
      </c>
      <c r="S583" s="1012" t="str">
        <f ca="1">IF($A583="","",IF(OR(IFERROR(SEARCH($R583,XKNVLSX!$X$1,1),0)&gt;=1,XKNVLSX!$X$1=""),$S$2,""))</f>
        <v/>
      </c>
      <c r="T583" s="1018" t="str">
        <f ca="1">IF($C583="","", IF(OR($P583=$V$1,$P583=$V$7,COUNTIFS($C$3:$C583,$C583,$E$3:$E583,$E583)&lt;=1),$P583,""    ))</f>
        <v/>
      </c>
      <c r="U583" s="1019" t="str">
        <f ca="1">IF(AND($P583=$V$2,COUNTIFS($C$3:$C583,$C583,$E$3:$E583,$E583,$G$3:$G583,$G583)&lt;=1),$P583,"")</f>
        <v/>
      </c>
    </row>
    <row r="584" spans="1:21">
      <c r="A584" s="991" t="str">
        <f ca="1">IFERROR(IF(COUNTIF($A$3:A583,A583)&lt; INDEX(TinhGia!$BH$10:$BH$81,MATCH($A583,TinhGia!$B$10:$B$81,0)),$A583,INDEX(TinhGia!$B$10:$B$81,MATCH($A583,TinhGia!$B$10:$B$81,0)+1)),"")</f>
        <v/>
      </c>
      <c r="B584" s="525" t="str">
        <f ca="1">IF(OR(A584="",A584=0),"",IF(COUNTIF($A$2:A584,$A584)=1,ROW(MauKoXoa!$C$108),$B583+1))</f>
        <v/>
      </c>
      <c r="C584" s="992" t="str">
        <f t="shared" ca="1" si="87"/>
        <v/>
      </c>
      <c r="D584" s="993" t="str">
        <f t="shared" ca="1" si="88"/>
        <v/>
      </c>
      <c r="E584" s="993" t="str">
        <f t="shared" ca="1" si="89"/>
        <v/>
      </c>
      <c r="F584" s="992" t="str">
        <f t="shared" ca="1" si="97"/>
        <v/>
      </c>
      <c r="G584" s="994">
        <f t="shared" ca="1" si="90"/>
        <v>0</v>
      </c>
      <c r="H584" s="913">
        <f t="shared" ca="1" si="91"/>
        <v>0</v>
      </c>
      <c r="I584" s="913">
        <f t="shared" ca="1" si="92"/>
        <v>0</v>
      </c>
      <c r="J584" s="995">
        <f t="shared" ca="1" si="98"/>
        <v>0</v>
      </c>
      <c r="K584" s="913">
        <f t="shared" ca="1" si="93"/>
        <v>0</v>
      </c>
      <c r="L584" s="995">
        <f t="shared" ca="1" si="99"/>
        <v>0</v>
      </c>
      <c r="M584" s="913">
        <f t="shared" ca="1" si="94"/>
        <v>0</v>
      </c>
      <c r="N584" s="996">
        <f t="shared" ca="1" si="95"/>
        <v>0</v>
      </c>
      <c r="O584" s="997">
        <f t="shared" ca="1" si="96"/>
        <v>0</v>
      </c>
      <c r="P584" s="1015" t="str">
        <f ca="1">IF($C584="","",INDEX(NVLSX!$N$2:$N$6941,MATCH($C584,NVLSX!$E$2:$E$6941,0)))</f>
        <v/>
      </c>
      <c r="Q584" s="1016" t="str">
        <f ca="1">IF($R584="","",IF(XKNVLSX!$X$1="",IF($P584=$V$7,$P584, IF(COUNTIFS($C$2:$C583,$C584,$E$2:$E583,$E584)&gt;=1,"",$P584)),     IF(AND(IFERROR(SEARCH($R584,XKNVLSX!$X$1,1),0)&gt;=1,$P584=$V$7),$P584, IF(OR($R584&lt;&gt;IF(IFERROR(SEARCH($R584,XKNVLSX!$X$1,1),0)&gt;=1,$R584,XKNVLSX!$X$1),COUNTIFS($C$2:$C583,$C584,$E$2:$E583,$E584,$Q$2:$Q583,$P584)&gt;=1),"",$P584))))</f>
        <v/>
      </c>
      <c r="R584" s="1017" t="str">
        <f ca="1">IF($A584="","",IFERROR(INDEX(TinhGia!$BF$10:$BF$81,MATCH($A584,TinhGia!$B$10:$B$81,0)),""))</f>
        <v/>
      </c>
      <c r="S584" s="1012" t="str">
        <f ca="1">IF($A584="","",IF(OR(IFERROR(SEARCH($R584,XKNVLSX!$X$1,1),0)&gt;=1,XKNVLSX!$X$1=""),$S$2,""))</f>
        <v/>
      </c>
      <c r="T584" s="1018" t="str">
        <f ca="1">IF($C584="","", IF(OR($P584=$V$1,$P584=$V$7,COUNTIFS($C$3:$C584,$C584,$E$3:$E584,$E584)&lt;=1),$P584,""    ))</f>
        <v/>
      </c>
      <c r="U584" s="1019" t="str">
        <f ca="1">IF(AND($P584=$V$2,COUNTIFS($C$3:$C584,$C584,$E$3:$E584,$E584,$G$3:$G584,$G584)&lt;=1),$P584,"")</f>
        <v/>
      </c>
    </row>
    <row r="585" spans="1:21">
      <c r="A585" s="991" t="str">
        <f ca="1">IFERROR(IF(COUNTIF($A$3:A584,A584)&lt; INDEX(TinhGia!$BH$10:$BH$81,MATCH($A584,TinhGia!$B$10:$B$81,0)),$A584,INDEX(TinhGia!$B$10:$B$81,MATCH($A584,TinhGia!$B$10:$B$81,0)+1)),"")</f>
        <v/>
      </c>
      <c r="B585" s="525" t="str">
        <f ca="1">IF(OR(A585="",A585=0),"",IF(COUNTIF($A$2:A585,$A585)=1,ROW(MauKoXoa!$C$108),$B584+1))</f>
        <v/>
      </c>
      <c r="C585" s="992" t="str">
        <f t="shared" ca="1" si="87"/>
        <v/>
      </c>
      <c r="D585" s="993" t="str">
        <f t="shared" ca="1" si="88"/>
        <v/>
      </c>
      <c r="E585" s="993" t="str">
        <f t="shared" ca="1" si="89"/>
        <v/>
      </c>
      <c r="F585" s="992" t="str">
        <f t="shared" ca="1" si="97"/>
        <v/>
      </c>
      <c r="G585" s="994">
        <f t="shared" ca="1" si="90"/>
        <v>0</v>
      </c>
      <c r="H585" s="913">
        <f t="shared" ca="1" si="91"/>
        <v>0</v>
      </c>
      <c r="I585" s="913">
        <f t="shared" ca="1" si="92"/>
        <v>0</v>
      </c>
      <c r="J585" s="995">
        <f t="shared" ca="1" si="98"/>
        <v>0</v>
      </c>
      <c r="K585" s="913">
        <f t="shared" ca="1" si="93"/>
        <v>0</v>
      </c>
      <c r="L585" s="995">
        <f t="shared" ca="1" si="99"/>
        <v>0</v>
      </c>
      <c r="M585" s="913">
        <f t="shared" ca="1" si="94"/>
        <v>0</v>
      </c>
      <c r="N585" s="996">
        <f t="shared" ca="1" si="95"/>
        <v>0</v>
      </c>
      <c r="O585" s="997">
        <f t="shared" ca="1" si="96"/>
        <v>0</v>
      </c>
      <c r="P585" s="1015" t="str">
        <f ca="1">IF($C585="","",INDEX(NVLSX!$N$2:$N$6941,MATCH($C585,NVLSX!$E$2:$E$6941,0)))</f>
        <v/>
      </c>
      <c r="Q585" s="1016" t="str">
        <f ca="1">IF($R585="","",IF(XKNVLSX!$X$1="",IF($P585=$V$7,$P585, IF(COUNTIFS($C$2:$C584,$C585,$E$2:$E584,$E585)&gt;=1,"",$P585)),     IF(AND(IFERROR(SEARCH($R585,XKNVLSX!$X$1,1),0)&gt;=1,$P585=$V$7),$P585, IF(OR($R585&lt;&gt;IF(IFERROR(SEARCH($R585,XKNVLSX!$X$1,1),0)&gt;=1,$R585,XKNVLSX!$X$1),COUNTIFS($C$2:$C584,$C585,$E$2:$E584,$E585,$Q$2:$Q584,$P585)&gt;=1),"",$P585))))</f>
        <v/>
      </c>
      <c r="R585" s="1017" t="str">
        <f ca="1">IF($A585="","",IFERROR(INDEX(TinhGia!$BF$10:$BF$81,MATCH($A585,TinhGia!$B$10:$B$81,0)),""))</f>
        <v/>
      </c>
      <c r="S585" s="1012" t="str">
        <f ca="1">IF($A585="","",IF(OR(IFERROR(SEARCH($R585,XKNVLSX!$X$1,1),0)&gt;=1,XKNVLSX!$X$1=""),$S$2,""))</f>
        <v/>
      </c>
      <c r="T585" s="1018" t="str">
        <f ca="1">IF($C585="","", IF(OR($P585=$V$1,$P585=$V$7,COUNTIFS($C$3:$C585,$C585,$E$3:$E585,$E585)&lt;=1),$P585,""    ))</f>
        <v/>
      </c>
      <c r="U585" s="1019" t="str">
        <f ca="1">IF(AND($P585=$V$2,COUNTIFS($C$3:$C585,$C585,$E$3:$E585,$E585,$G$3:$G585,$G585)&lt;=1),$P585,"")</f>
        <v/>
      </c>
    </row>
    <row r="586" spans="1:21">
      <c r="A586" s="991" t="str">
        <f ca="1">IFERROR(IF(COUNTIF($A$3:A585,A585)&lt; INDEX(TinhGia!$BH$10:$BH$81,MATCH($A585,TinhGia!$B$10:$B$81,0)),$A585,INDEX(TinhGia!$B$10:$B$81,MATCH($A585,TinhGia!$B$10:$B$81,0)+1)),"")</f>
        <v/>
      </c>
      <c r="B586" s="525" t="str">
        <f ca="1">IF(OR(A586="",A586=0),"",IF(COUNTIF($A$2:A586,$A586)=1,ROW(MauKoXoa!$C$108),$B585+1))</f>
        <v/>
      </c>
      <c r="C586" s="992" t="str">
        <f t="shared" ca="1" si="87"/>
        <v/>
      </c>
      <c r="D586" s="993" t="str">
        <f t="shared" ca="1" si="88"/>
        <v/>
      </c>
      <c r="E586" s="993" t="str">
        <f t="shared" ca="1" si="89"/>
        <v/>
      </c>
      <c r="F586" s="992" t="str">
        <f t="shared" ca="1" si="97"/>
        <v/>
      </c>
      <c r="G586" s="994">
        <f t="shared" ca="1" si="90"/>
        <v>0</v>
      </c>
      <c r="H586" s="913">
        <f t="shared" ca="1" si="91"/>
        <v>0</v>
      </c>
      <c r="I586" s="913">
        <f t="shared" ca="1" si="92"/>
        <v>0</v>
      </c>
      <c r="J586" s="995">
        <f t="shared" ca="1" si="98"/>
        <v>0</v>
      </c>
      <c r="K586" s="913">
        <f t="shared" ca="1" si="93"/>
        <v>0</v>
      </c>
      <c r="L586" s="995">
        <f t="shared" ca="1" si="99"/>
        <v>0</v>
      </c>
      <c r="M586" s="913">
        <f t="shared" ca="1" si="94"/>
        <v>0</v>
      </c>
      <c r="N586" s="996">
        <f t="shared" ca="1" si="95"/>
        <v>0</v>
      </c>
      <c r="O586" s="997">
        <f t="shared" ca="1" si="96"/>
        <v>0</v>
      </c>
      <c r="P586" s="1015" t="str">
        <f ca="1">IF($C586="","",INDEX(NVLSX!$N$2:$N$6941,MATCH($C586,NVLSX!$E$2:$E$6941,0)))</f>
        <v/>
      </c>
      <c r="Q586" s="1016" t="str">
        <f ca="1">IF($R586="","",IF(XKNVLSX!$X$1="",IF($P586=$V$7,$P586, IF(COUNTIFS($C$2:$C585,$C586,$E$2:$E585,$E586)&gt;=1,"",$P586)),     IF(AND(IFERROR(SEARCH($R586,XKNVLSX!$X$1,1),0)&gt;=1,$P586=$V$7),$P586, IF(OR($R586&lt;&gt;IF(IFERROR(SEARCH($R586,XKNVLSX!$X$1,1),0)&gt;=1,$R586,XKNVLSX!$X$1),COUNTIFS($C$2:$C585,$C586,$E$2:$E585,$E586,$Q$2:$Q585,$P586)&gt;=1),"",$P586))))</f>
        <v/>
      </c>
      <c r="R586" s="1017" t="str">
        <f ca="1">IF($A586="","",IFERROR(INDEX(TinhGia!$BF$10:$BF$81,MATCH($A586,TinhGia!$B$10:$B$81,0)),""))</f>
        <v/>
      </c>
      <c r="S586" s="1012" t="str">
        <f ca="1">IF($A586="","",IF(OR(IFERROR(SEARCH($R586,XKNVLSX!$X$1,1),0)&gt;=1,XKNVLSX!$X$1=""),$S$2,""))</f>
        <v/>
      </c>
      <c r="T586" s="1018" t="str">
        <f ca="1">IF($C586="","", IF(OR($P586=$V$1,$P586=$V$7,COUNTIFS($C$3:$C586,$C586,$E$3:$E586,$E586)&lt;=1),$P586,""    ))</f>
        <v/>
      </c>
      <c r="U586" s="1019" t="str">
        <f ca="1">IF(AND($P586=$V$2,COUNTIFS($C$3:$C586,$C586,$E$3:$E586,$E586,$G$3:$G586,$G586)&lt;=1),$P586,"")</f>
        <v/>
      </c>
    </row>
    <row r="587" spans="1:21">
      <c r="A587" s="991" t="str">
        <f ca="1">IFERROR(IF(COUNTIF($A$3:A586,A586)&lt; INDEX(TinhGia!$BH$10:$BH$81,MATCH($A586,TinhGia!$B$10:$B$81,0)),$A586,INDEX(TinhGia!$B$10:$B$81,MATCH($A586,TinhGia!$B$10:$B$81,0)+1)),"")</f>
        <v/>
      </c>
      <c r="B587" s="525" t="str">
        <f ca="1">IF(OR(A587="",A587=0),"",IF(COUNTIF($A$2:A587,$A587)=1,ROW(MauKoXoa!$C$108),$B586+1))</f>
        <v/>
      </c>
      <c r="C587" s="992" t="str">
        <f t="shared" ca="1" si="87"/>
        <v/>
      </c>
      <c r="D587" s="993" t="str">
        <f t="shared" ca="1" si="88"/>
        <v/>
      </c>
      <c r="E587" s="993" t="str">
        <f t="shared" ca="1" si="89"/>
        <v/>
      </c>
      <c r="F587" s="992" t="str">
        <f t="shared" ca="1" si="97"/>
        <v/>
      </c>
      <c r="G587" s="994">
        <f t="shared" ca="1" si="90"/>
        <v>0</v>
      </c>
      <c r="H587" s="913">
        <f t="shared" ca="1" si="91"/>
        <v>0</v>
      </c>
      <c r="I587" s="913">
        <f t="shared" ca="1" si="92"/>
        <v>0</v>
      </c>
      <c r="J587" s="995">
        <f t="shared" ca="1" si="98"/>
        <v>0</v>
      </c>
      <c r="K587" s="913">
        <f t="shared" ca="1" si="93"/>
        <v>0</v>
      </c>
      <c r="L587" s="995">
        <f t="shared" ca="1" si="99"/>
        <v>0</v>
      </c>
      <c r="M587" s="913">
        <f t="shared" ca="1" si="94"/>
        <v>0</v>
      </c>
      <c r="N587" s="996">
        <f t="shared" ca="1" si="95"/>
        <v>0</v>
      </c>
      <c r="O587" s="997">
        <f t="shared" ca="1" si="96"/>
        <v>0</v>
      </c>
      <c r="P587" s="1015" t="str">
        <f ca="1">IF($C587="","",INDEX(NVLSX!$N$2:$N$6941,MATCH($C587,NVLSX!$E$2:$E$6941,0)))</f>
        <v/>
      </c>
      <c r="Q587" s="1016" t="str">
        <f ca="1">IF($R587="","",IF(XKNVLSX!$X$1="",IF($P587=$V$7,$P587, IF(COUNTIFS($C$2:$C586,$C587,$E$2:$E586,$E587)&gt;=1,"",$P587)),     IF(AND(IFERROR(SEARCH($R587,XKNVLSX!$X$1,1),0)&gt;=1,$P587=$V$7),$P587, IF(OR($R587&lt;&gt;IF(IFERROR(SEARCH($R587,XKNVLSX!$X$1,1),0)&gt;=1,$R587,XKNVLSX!$X$1),COUNTIFS($C$2:$C586,$C587,$E$2:$E586,$E587,$Q$2:$Q586,$P587)&gt;=1),"",$P587))))</f>
        <v/>
      </c>
      <c r="R587" s="1017" t="str">
        <f ca="1">IF($A587="","",IFERROR(INDEX(TinhGia!$BF$10:$BF$81,MATCH($A587,TinhGia!$B$10:$B$81,0)),""))</f>
        <v/>
      </c>
      <c r="S587" s="1012" t="str">
        <f ca="1">IF($A587="","",IF(OR(IFERROR(SEARCH($R587,XKNVLSX!$X$1,1),0)&gt;=1,XKNVLSX!$X$1=""),$S$2,""))</f>
        <v/>
      </c>
      <c r="T587" s="1018" t="str">
        <f ca="1">IF($C587="","", IF(OR($P587=$V$1,$P587=$V$7,COUNTIFS($C$3:$C587,$C587,$E$3:$E587,$E587)&lt;=1),$P587,""    ))</f>
        <v/>
      </c>
      <c r="U587" s="1019" t="str">
        <f ca="1">IF(AND($P587=$V$2,COUNTIFS($C$3:$C587,$C587,$E$3:$E587,$E587,$G$3:$G587,$G587)&lt;=1),$P587,"")</f>
        <v/>
      </c>
    </row>
    <row r="588" spans="1:21">
      <c r="A588" s="991" t="str">
        <f ca="1">IFERROR(IF(COUNTIF($A$3:A587,A587)&lt; INDEX(TinhGia!$BH$10:$BH$81,MATCH($A587,TinhGia!$B$10:$B$81,0)),$A587,INDEX(TinhGia!$B$10:$B$81,MATCH($A587,TinhGia!$B$10:$B$81,0)+1)),"")</f>
        <v/>
      </c>
      <c r="B588" s="525" t="str">
        <f ca="1">IF(OR(A588="",A588=0),"",IF(COUNTIF($A$2:A588,$A588)=1,ROW(MauKoXoa!$C$108),$B587+1))</f>
        <v/>
      </c>
      <c r="C588" s="992" t="str">
        <f t="shared" ca="1" si="87"/>
        <v/>
      </c>
      <c r="D588" s="993" t="str">
        <f t="shared" ca="1" si="88"/>
        <v/>
      </c>
      <c r="E588" s="993" t="str">
        <f t="shared" ca="1" si="89"/>
        <v/>
      </c>
      <c r="F588" s="992" t="str">
        <f t="shared" ca="1" si="97"/>
        <v/>
      </c>
      <c r="G588" s="994">
        <f t="shared" ca="1" si="90"/>
        <v>0</v>
      </c>
      <c r="H588" s="913">
        <f t="shared" ca="1" si="91"/>
        <v>0</v>
      </c>
      <c r="I588" s="913">
        <f t="shared" ca="1" si="92"/>
        <v>0</v>
      </c>
      <c r="J588" s="995">
        <f t="shared" ca="1" si="98"/>
        <v>0</v>
      </c>
      <c r="K588" s="913">
        <f t="shared" ca="1" si="93"/>
        <v>0</v>
      </c>
      <c r="L588" s="995">
        <f t="shared" ca="1" si="99"/>
        <v>0</v>
      </c>
      <c r="M588" s="913">
        <f t="shared" ca="1" si="94"/>
        <v>0</v>
      </c>
      <c r="N588" s="996">
        <f t="shared" ca="1" si="95"/>
        <v>0</v>
      </c>
      <c r="O588" s="997">
        <f t="shared" ca="1" si="96"/>
        <v>0</v>
      </c>
      <c r="P588" s="1015" t="str">
        <f ca="1">IF($C588="","",INDEX(NVLSX!$N$2:$N$6941,MATCH($C588,NVLSX!$E$2:$E$6941,0)))</f>
        <v/>
      </c>
      <c r="Q588" s="1016" t="str">
        <f ca="1">IF($R588="","",IF(XKNVLSX!$X$1="",IF($P588=$V$7,$P588, IF(COUNTIFS($C$2:$C587,$C588,$E$2:$E587,$E588)&gt;=1,"",$P588)),     IF(AND(IFERROR(SEARCH($R588,XKNVLSX!$X$1,1),0)&gt;=1,$P588=$V$7),$P588, IF(OR($R588&lt;&gt;IF(IFERROR(SEARCH($R588,XKNVLSX!$X$1,1),0)&gt;=1,$R588,XKNVLSX!$X$1),COUNTIFS($C$2:$C587,$C588,$E$2:$E587,$E588,$Q$2:$Q587,$P588)&gt;=1),"",$P588))))</f>
        <v/>
      </c>
      <c r="R588" s="1017" t="str">
        <f ca="1">IF($A588="","",IFERROR(INDEX(TinhGia!$BF$10:$BF$81,MATCH($A588,TinhGia!$B$10:$B$81,0)),""))</f>
        <v/>
      </c>
      <c r="S588" s="1012" t="str">
        <f ca="1">IF($A588="","",IF(OR(IFERROR(SEARCH($R588,XKNVLSX!$X$1,1),0)&gt;=1,XKNVLSX!$X$1=""),$S$2,""))</f>
        <v/>
      </c>
      <c r="T588" s="1018" t="str">
        <f ca="1">IF($C588="","", IF(OR($P588=$V$1,$P588=$V$7,COUNTIFS($C$3:$C588,$C588,$E$3:$E588,$E588)&lt;=1),$P588,""    ))</f>
        <v/>
      </c>
      <c r="U588" s="1019" t="str">
        <f ca="1">IF(AND($P588=$V$2,COUNTIFS($C$3:$C588,$C588,$E$3:$E588,$E588,$G$3:$G588,$G588)&lt;=1),$P588,"")</f>
        <v/>
      </c>
    </row>
    <row r="589" spans="1:21">
      <c r="A589" s="991" t="str">
        <f ca="1">IFERROR(IF(COUNTIF($A$3:A588,A588)&lt; INDEX(TinhGia!$BH$10:$BH$81,MATCH($A588,TinhGia!$B$10:$B$81,0)),$A588,INDEX(TinhGia!$B$10:$B$81,MATCH($A588,TinhGia!$B$10:$B$81,0)+1)),"")</f>
        <v/>
      </c>
      <c r="B589" s="525" t="str">
        <f ca="1">IF(OR(A589="",A589=0),"",IF(COUNTIF($A$2:A589,$A589)=1,ROW(MauKoXoa!$C$108),$B588+1))</f>
        <v/>
      </c>
      <c r="C589" s="992" t="str">
        <f t="shared" ca="1" si="87"/>
        <v/>
      </c>
      <c r="D589" s="993" t="str">
        <f t="shared" ca="1" si="88"/>
        <v/>
      </c>
      <c r="E589" s="993" t="str">
        <f t="shared" ca="1" si="89"/>
        <v/>
      </c>
      <c r="F589" s="992" t="str">
        <f t="shared" ca="1" si="97"/>
        <v/>
      </c>
      <c r="G589" s="994">
        <f t="shared" ca="1" si="90"/>
        <v>0</v>
      </c>
      <c r="H589" s="913">
        <f t="shared" ca="1" si="91"/>
        <v>0</v>
      </c>
      <c r="I589" s="913">
        <f t="shared" ca="1" si="92"/>
        <v>0</v>
      </c>
      <c r="J589" s="995">
        <f t="shared" ca="1" si="98"/>
        <v>0</v>
      </c>
      <c r="K589" s="913">
        <f t="shared" ca="1" si="93"/>
        <v>0</v>
      </c>
      <c r="L589" s="995">
        <f t="shared" ca="1" si="99"/>
        <v>0</v>
      </c>
      <c r="M589" s="913">
        <f t="shared" ca="1" si="94"/>
        <v>0</v>
      </c>
      <c r="N589" s="996">
        <f t="shared" ca="1" si="95"/>
        <v>0</v>
      </c>
      <c r="O589" s="997">
        <f t="shared" ca="1" si="96"/>
        <v>0</v>
      </c>
      <c r="P589" s="1015" t="str">
        <f ca="1">IF($C589="","",INDEX(NVLSX!$N$2:$N$6941,MATCH($C589,NVLSX!$E$2:$E$6941,0)))</f>
        <v/>
      </c>
      <c r="Q589" s="1016" t="str">
        <f ca="1">IF($R589="","",IF(XKNVLSX!$X$1="",IF($P589=$V$7,$P589, IF(COUNTIFS($C$2:$C588,$C589,$E$2:$E588,$E589)&gt;=1,"",$P589)),     IF(AND(IFERROR(SEARCH($R589,XKNVLSX!$X$1,1),0)&gt;=1,$P589=$V$7),$P589, IF(OR($R589&lt;&gt;IF(IFERROR(SEARCH($R589,XKNVLSX!$X$1,1),0)&gt;=1,$R589,XKNVLSX!$X$1),COUNTIFS($C$2:$C588,$C589,$E$2:$E588,$E589,$Q$2:$Q588,$P589)&gt;=1),"",$P589))))</f>
        <v/>
      </c>
      <c r="R589" s="1017" t="str">
        <f ca="1">IF($A589="","",IFERROR(INDEX(TinhGia!$BF$10:$BF$81,MATCH($A589,TinhGia!$B$10:$B$81,0)),""))</f>
        <v/>
      </c>
      <c r="S589" s="1012" t="str">
        <f ca="1">IF($A589="","",IF(OR(IFERROR(SEARCH($R589,XKNVLSX!$X$1,1),0)&gt;=1,XKNVLSX!$X$1=""),$S$2,""))</f>
        <v/>
      </c>
      <c r="T589" s="1018" t="str">
        <f ca="1">IF($C589="","", IF(OR($P589=$V$1,$P589=$V$7,COUNTIFS($C$3:$C589,$C589,$E$3:$E589,$E589)&lt;=1),$P589,""    ))</f>
        <v/>
      </c>
      <c r="U589" s="1019" t="str">
        <f ca="1">IF(AND($P589=$V$2,COUNTIFS($C$3:$C589,$C589,$E$3:$E589,$E589,$G$3:$G589,$G589)&lt;=1),$P589,"")</f>
        <v/>
      </c>
    </row>
    <row r="590" spans="1:21">
      <c r="A590" s="991" t="str">
        <f ca="1">IFERROR(IF(COUNTIF($A$3:A589,A589)&lt; INDEX(TinhGia!$BH$10:$BH$81,MATCH($A589,TinhGia!$B$10:$B$81,0)),$A589,INDEX(TinhGia!$B$10:$B$81,MATCH($A589,TinhGia!$B$10:$B$81,0)+1)),"")</f>
        <v/>
      </c>
      <c r="B590" s="525" t="str">
        <f ca="1">IF(OR(A590="",A590=0),"",IF(COUNTIF($A$2:A590,$A590)=1,ROW(MauKoXoa!$C$108),$B589+1))</f>
        <v/>
      </c>
      <c r="C590" s="992" t="str">
        <f t="shared" ca="1" si="87"/>
        <v/>
      </c>
      <c r="D590" s="993" t="str">
        <f t="shared" ca="1" si="88"/>
        <v/>
      </c>
      <c r="E590" s="993" t="str">
        <f t="shared" ca="1" si="89"/>
        <v/>
      </c>
      <c r="F590" s="992" t="str">
        <f t="shared" ca="1" si="97"/>
        <v/>
      </c>
      <c r="G590" s="994">
        <f t="shared" ca="1" si="90"/>
        <v>0</v>
      </c>
      <c r="H590" s="913">
        <f t="shared" ca="1" si="91"/>
        <v>0</v>
      </c>
      <c r="I590" s="913">
        <f t="shared" ca="1" si="92"/>
        <v>0</v>
      </c>
      <c r="J590" s="995">
        <f t="shared" ca="1" si="98"/>
        <v>0</v>
      </c>
      <c r="K590" s="913">
        <f t="shared" ca="1" si="93"/>
        <v>0</v>
      </c>
      <c r="L590" s="995">
        <f t="shared" ca="1" si="99"/>
        <v>0</v>
      </c>
      <c r="M590" s="913">
        <f t="shared" ca="1" si="94"/>
        <v>0</v>
      </c>
      <c r="N590" s="996">
        <f t="shared" ca="1" si="95"/>
        <v>0</v>
      </c>
      <c r="O590" s="997">
        <f t="shared" ca="1" si="96"/>
        <v>0</v>
      </c>
      <c r="P590" s="1015" t="str">
        <f ca="1">IF($C590="","",INDEX(NVLSX!$N$2:$N$6941,MATCH($C590,NVLSX!$E$2:$E$6941,0)))</f>
        <v/>
      </c>
      <c r="Q590" s="1016" t="str">
        <f ca="1">IF($R590="","",IF(XKNVLSX!$X$1="",IF($P590=$V$7,$P590, IF(COUNTIFS($C$2:$C589,$C590,$E$2:$E589,$E590)&gt;=1,"",$P590)),     IF(AND(IFERROR(SEARCH($R590,XKNVLSX!$X$1,1),0)&gt;=1,$P590=$V$7),$P590, IF(OR($R590&lt;&gt;IF(IFERROR(SEARCH($R590,XKNVLSX!$X$1,1),0)&gt;=1,$R590,XKNVLSX!$X$1),COUNTIFS($C$2:$C589,$C590,$E$2:$E589,$E590,$Q$2:$Q589,$P590)&gt;=1),"",$P590))))</f>
        <v/>
      </c>
      <c r="R590" s="1017" t="str">
        <f ca="1">IF($A590="","",IFERROR(INDEX(TinhGia!$BF$10:$BF$81,MATCH($A590,TinhGia!$B$10:$B$81,0)),""))</f>
        <v/>
      </c>
      <c r="S590" s="1012" t="str">
        <f ca="1">IF($A590="","",IF(OR(IFERROR(SEARCH($R590,XKNVLSX!$X$1,1),0)&gt;=1,XKNVLSX!$X$1=""),$S$2,""))</f>
        <v/>
      </c>
      <c r="T590" s="1018" t="str">
        <f ca="1">IF($C590="","", IF(OR($P590=$V$1,$P590=$V$7,COUNTIFS($C$3:$C590,$C590,$E$3:$E590,$E590)&lt;=1),$P590,""    ))</f>
        <v/>
      </c>
      <c r="U590" s="1019" t="str">
        <f ca="1">IF(AND($P590=$V$2,COUNTIFS($C$3:$C590,$C590,$E$3:$E590,$E590,$G$3:$G590,$G590)&lt;=1),$P590,"")</f>
        <v/>
      </c>
    </row>
    <row r="591" spans="1:21">
      <c r="A591" s="991" t="str">
        <f ca="1">IFERROR(IF(COUNTIF($A$3:A590,A590)&lt; INDEX(TinhGia!$BH$10:$BH$81,MATCH($A590,TinhGia!$B$10:$B$81,0)),$A590,INDEX(TinhGia!$B$10:$B$81,MATCH($A590,TinhGia!$B$10:$B$81,0)+1)),"")</f>
        <v/>
      </c>
      <c r="B591" s="525" t="str">
        <f ca="1">IF(OR(A591="",A591=0),"",IF(COUNTIF($A$2:A591,$A591)=1,ROW(MauKoXoa!$C$108),$B590+1))</f>
        <v/>
      </c>
      <c r="C591" s="992" t="str">
        <f t="shared" ca="1" si="87"/>
        <v/>
      </c>
      <c r="D591" s="993" t="str">
        <f t="shared" ca="1" si="88"/>
        <v/>
      </c>
      <c r="E591" s="993" t="str">
        <f t="shared" ca="1" si="89"/>
        <v/>
      </c>
      <c r="F591" s="992" t="str">
        <f t="shared" ca="1" si="97"/>
        <v/>
      </c>
      <c r="G591" s="994">
        <f t="shared" ca="1" si="90"/>
        <v>0</v>
      </c>
      <c r="H591" s="913">
        <f t="shared" ca="1" si="91"/>
        <v>0</v>
      </c>
      <c r="I591" s="913">
        <f t="shared" ca="1" si="92"/>
        <v>0</v>
      </c>
      <c r="J591" s="995">
        <f t="shared" ca="1" si="98"/>
        <v>0</v>
      </c>
      <c r="K591" s="913">
        <f t="shared" ca="1" si="93"/>
        <v>0</v>
      </c>
      <c r="L591" s="995">
        <f t="shared" ca="1" si="99"/>
        <v>0</v>
      </c>
      <c r="M591" s="913">
        <f t="shared" ca="1" si="94"/>
        <v>0</v>
      </c>
      <c r="N591" s="996">
        <f t="shared" ca="1" si="95"/>
        <v>0</v>
      </c>
      <c r="O591" s="997">
        <f t="shared" ca="1" si="96"/>
        <v>0</v>
      </c>
      <c r="P591" s="1015" t="str">
        <f ca="1">IF($C591="","",INDEX(NVLSX!$N$2:$N$6941,MATCH($C591,NVLSX!$E$2:$E$6941,0)))</f>
        <v/>
      </c>
      <c r="Q591" s="1016" t="str">
        <f ca="1">IF($R591="","",IF(XKNVLSX!$X$1="",IF($P591=$V$7,$P591, IF(COUNTIFS($C$2:$C590,$C591,$E$2:$E590,$E591)&gt;=1,"",$P591)),     IF(AND(IFERROR(SEARCH($R591,XKNVLSX!$X$1,1),0)&gt;=1,$P591=$V$7),$P591, IF(OR($R591&lt;&gt;IF(IFERROR(SEARCH($R591,XKNVLSX!$X$1,1),0)&gt;=1,$R591,XKNVLSX!$X$1),COUNTIFS($C$2:$C590,$C591,$E$2:$E590,$E591,$Q$2:$Q590,$P591)&gt;=1),"",$P591))))</f>
        <v/>
      </c>
      <c r="R591" s="1017" t="str">
        <f ca="1">IF($A591="","",IFERROR(INDEX(TinhGia!$BF$10:$BF$81,MATCH($A591,TinhGia!$B$10:$B$81,0)),""))</f>
        <v/>
      </c>
      <c r="S591" s="1012" t="str">
        <f ca="1">IF($A591="","",IF(OR(IFERROR(SEARCH($R591,XKNVLSX!$X$1,1),0)&gt;=1,XKNVLSX!$X$1=""),$S$2,""))</f>
        <v/>
      </c>
      <c r="T591" s="1018" t="str">
        <f ca="1">IF($C591="","", IF(OR($P591=$V$1,$P591=$V$7,COUNTIFS($C$3:$C591,$C591,$E$3:$E591,$E591)&lt;=1),$P591,""    ))</f>
        <v/>
      </c>
      <c r="U591" s="1019" t="str">
        <f ca="1">IF(AND($P591=$V$2,COUNTIFS($C$3:$C591,$C591,$E$3:$E591,$E591,$G$3:$G591,$G591)&lt;=1),$P591,"")</f>
        <v/>
      </c>
    </row>
    <row r="592" spans="1:21">
      <c r="A592" s="991" t="str">
        <f ca="1">IFERROR(IF(COUNTIF($A$3:A591,A591)&lt; INDEX(TinhGia!$BH$10:$BH$81,MATCH($A591,TinhGia!$B$10:$B$81,0)),$A591,INDEX(TinhGia!$B$10:$B$81,MATCH($A591,TinhGia!$B$10:$B$81,0)+1)),"")</f>
        <v/>
      </c>
      <c r="B592" s="525" t="str">
        <f ca="1">IF(OR(A592="",A592=0),"",IF(COUNTIF($A$2:A592,$A592)=1,ROW(MauKoXoa!$C$108),$B591+1))</f>
        <v/>
      </c>
      <c r="C592" s="992" t="str">
        <f t="shared" ca="1" si="87"/>
        <v/>
      </c>
      <c r="D592" s="993" t="str">
        <f t="shared" ca="1" si="88"/>
        <v/>
      </c>
      <c r="E592" s="993" t="str">
        <f t="shared" ca="1" si="89"/>
        <v/>
      </c>
      <c r="F592" s="992" t="str">
        <f t="shared" ca="1" si="97"/>
        <v/>
      </c>
      <c r="G592" s="994">
        <f t="shared" ca="1" si="90"/>
        <v>0</v>
      </c>
      <c r="H592" s="913">
        <f t="shared" ca="1" si="91"/>
        <v>0</v>
      </c>
      <c r="I592" s="913">
        <f t="shared" ca="1" si="92"/>
        <v>0</v>
      </c>
      <c r="J592" s="995">
        <f t="shared" ca="1" si="98"/>
        <v>0</v>
      </c>
      <c r="K592" s="913">
        <f t="shared" ca="1" si="93"/>
        <v>0</v>
      </c>
      <c r="L592" s="995">
        <f t="shared" ca="1" si="99"/>
        <v>0</v>
      </c>
      <c r="M592" s="913">
        <f t="shared" ca="1" si="94"/>
        <v>0</v>
      </c>
      <c r="N592" s="996">
        <f t="shared" ca="1" si="95"/>
        <v>0</v>
      </c>
      <c r="O592" s="997">
        <f t="shared" ca="1" si="96"/>
        <v>0</v>
      </c>
      <c r="P592" s="1015" t="str">
        <f ca="1">IF($C592="","",INDEX(NVLSX!$N$2:$N$6941,MATCH($C592,NVLSX!$E$2:$E$6941,0)))</f>
        <v/>
      </c>
      <c r="Q592" s="1016" t="str">
        <f ca="1">IF($R592="","",IF(XKNVLSX!$X$1="",IF($P592=$V$7,$P592, IF(COUNTIFS($C$2:$C591,$C592,$E$2:$E591,$E592)&gt;=1,"",$P592)),     IF(AND(IFERROR(SEARCH($R592,XKNVLSX!$X$1,1),0)&gt;=1,$P592=$V$7),$P592, IF(OR($R592&lt;&gt;IF(IFERROR(SEARCH($R592,XKNVLSX!$X$1,1),0)&gt;=1,$R592,XKNVLSX!$X$1),COUNTIFS($C$2:$C591,$C592,$E$2:$E591,$E592,$Q$2:$Q591,$P592)&gt;=1),"",$P592))))</f>
        <v/>
      </c>
      <c r="R592" s="1017" t="str">
        <f ca="1">IF($A592="","",IFERROR(INDEX(TinhGia!$BF$10:$BF$81,MATCH($A592,TinhGia!$B$10:$B$81,0)),""))</f>
        <v/>
      </c>
      <c r="S592" s="1012" t="str">
        <f ca="1">IF($A592="","",IF(OR(IFERROR(SEARCH($R592,XKNVLSX!$X$1,1),0)&gt;=1,XKNVLSX!$X$1=""),$S$2,""))</f>
        <v/>
      </c>
      <c r="T592" s="1018" t="str">
        <f ca="1">IF($C592="","", IF(OR($P592=$V$1,$P592=$V$7,COUNTIFS($C$3:$C592,$C592,$E$3:$E592,$E592)&lt;=1),$P592,""    ))</f>
        <v/>
      </c>
      <c r="U592" s="1019" t="str">
        <f ca="1">IF(AND($P592=$V$2,COUNTIFS($C$3:$C592,$C592,$E$3:$E592,$E592,$G$3:$G592,$G592)&lt;=1),$P592,"")</f>
        <v/>
      </c>
    </row>
    <row r="593" spans="1:21">
      <c r="A593" s="991" t="str">
        <f ca="1">IFERROR(IF(COUNTIF($A$3:A592,A592)&lt; INDEX(TinhGia!$BH$10:$BH$81,MATCH($A592,TinhGia!$B$10:$B$81,0)),$A592,INDEX(TinhGia!$B$10:$B$81,MATCH($A592,TinhGia!$B$10:$B$81,0)+1)),"")</f>
        <v/>
      </c>
      <c r="B593" s="525" t="str">
        <f ca="1">IF(OR(A593="",A593=0),"",IF(COUNTIF($A$2:A593,$A593)=1,ROW(MauKoXoa!$C$108),$B592+1))</f>
        <v/>
      </c>
      <c r="C593" s="992" t="str">
        <f t="shared" ca="1" si="87"/>
        <v/>
      </c>
      <c r="D593" s="993" t="str">
        <f t="shared" ca="1" si="88"/>
        <v/>
      </c>
      <c r="E593" s="993" t="str">
        <f t="shared" ca="1" si="89"/>
        <v/>
      </c>
      <c r="F593" s="992" t="str">
        <f t="shared" ca="1" si="97"/>
        <v/>
      </c>
      <c r="G593" s="994">
        <f t="shared" ca="1" si="90"/>
        <v>0</v>
      </c>
      <c r="H593" s="913">
        <f t="shared" ca="1" si="91"/>
        <v>0</v>
      </c>
      <c r="I593" s="913">
        <f t="shared" ca="1" si="92"/>
        <v>0</v>
      </c>
      <c r="J593" s="995">
        <f t="shared" ca="1" si="98"/>
        <v>0</v>
      </c>
      <c r="K593" s="913">
        <f t="shared" ca="1" si="93"/>
        <v>0</v>
      </c>
      <c r="L593" s="995">
        <f t="shared" ca="1" si="99"/>
        <v>0</v>
      </c>
      <c r="M593" s="913">
        <f t="shared" ca="1" si="94"/>
        <v>0</v>
      </c>
      <c r="N593" s="996">
        <f t="shared" ca="1" si="95"/>
        <v>0</v>
      </c>
      <c r="O593" s="997">
        <f t="shared" ca="1" si="96"/>
        <v>0</v>
      </c>
      <c r="P593" s="1015" t="str">
        <f ca="1">IF($C593="","",INDEX(NVLSX!$N$2:$N$6941,MATCH($C593,NVLSX!$E$2:$E$6941,0)))</f>
        <v/>
      </c>
      <c r="Q593" s="1016" t="str">
        <f ca="1">IF($R593="","",IF(XKNVLSX!$X$1="",IF($P593=$V$7,$P593, IF(COUNTIFS($C$2:$C592,$C593,$E$2:$E592,$E593)&gt;=1,"",$P593)),     IF(AND(IFERROR(SEARCH($R593,XKNVLSX!$X$1,1),0)&gt;=1,$P593=$V$7),$P593, IF(OR($R593&lt;&gt;IF(IFERROR(SEARCH($R593,XKNVLSX!$X$1,1),0)&gt;=1,$R593,XKNVLSX!$X$1),COUNTIFS($C$2:$C592,$C593,$E$2:$E592,$E593,$Q$2:$Q592,$P593)&gt;=1),"",$P593))))</f>
        <v/>
      </c>
      <c r="R593" s="1017" t="str">
        <f ca="1">IF($A593="","",IFERROR(INDEX(TinhGia!$BF$10:$BF$81,MATCH($A593,TinhGia!$B$10:$B$81,0)),""))</f>
        <v/>
      </c>
      <c r="S593" s="1012" t="str">
        <f ca="1">IF($A593="","",IF(OR(IFERROR(SEARCH($R593,XKNVLSX!$X$1,1),0)&gt;=1,XKNVLSX!$X$1=""),$S$2,""))</f>
        <v/>
      </c>
      <c r="T593" s="1018" t="str">
        <f ca="1">IF($C593="","", IF(OR($P593=$V$1,$P593=$V$7,COUNTIFS($C$3:$C593,$C593,$E$3:$E593,$E593)&lt;=1),$P593,""    ))</f>
        <v/>
      </c>
      <c r="U593" s="1019" t="str">
        <f ca="1">IF(AND($P593=$V$2,COUNTIFS($C$3:$C593,$C593,$E$3:$E593,$E593,$G$3:$G593,$G593)&lt;=1),$P593,"")</f>
        <v/>
      </c>
    </row>
    <row r="594" spans="1:21">
      <c r="A594" s="991" t="str">
        <f ca="1">IFERROR(IF(COUNTIF($A$3:A593,A593)&lt; INDEX(TinhGia!$BH$10:$BH$81,MATCH($A593,TinhGia!$B$10:$B$81,0)),$A593,INDEX(TinhGia!$B$10:$B$81,MATCH($A593,TinhGia!$B$10:$B$81,0)+1)),"")</f>
        <v/>
      </c>
      <c r="B594" s="525" t="str">
        <f ca="1">IF(OR(A594="",A594=0),"",IF(COUNTIF($A$2:A594,$A594)=1,ROW(MauKoXoa!$C$108),$B593+1))</f>
        <v/>
      </c>
      <c r="C594" s="992" t="str">
        <f t="shared" ca="1" si="87"/>
        <v/>
      </c>
      <c r="D594" s="993" t="str">
        <f t="shared" ca="1" si="88"/>
        <v/>
      </c>
      <c r="E594" s="993" t="str">
        <f t="shared" ca="1" si="89"/>
        <v/>
      </c>
      <c r="F594" s="992" t="str">
        <f t="shared" ca="1" si="97"/>
        <v/>
      </c>
      <c r="G594" s="994">
        <f t="shared" ca="1" si="90"/>
        <v>0</v>
      </c>
      <c r="H594" s="913">
        <f t="shared" ca="1" si="91"/>
        <v>0</v>
      </c>
      <c r="I594" s="913">
        <f t="shared" ca="1" si="92"/>
        <v>0</v>
      </c>
      <c r="J594" s="995">
        <f t="shared" ca="1" si="98"/>
        <v>0</v>
      </c>
      <c r="K594" s="913">
        <f t="shared" ca="1" si="93"/>
        <v>0</v>
      </c>
      <c r="L594" s="995">
        <f t="shared" ca="1" si="99"/>
        <v>0</v>
      </c>
      <c r="M594" s="913">
        <f t="shared" ca="1" si="94"/>
        <v>0</v>
      </c>
      <c r="N594" s="996">
        <f t="shared" ca="1" si="95"/>
        <v>0</v>
      </c>
      <c r="O594" s="997">
        <f t="shared" ca="1" si="96"/>
        <v>0</v>
      </c>
      <c r="P594" s="1015" t="str">
        <f ca="1">IF($C594="","",INDEX(NVLSX!$N$2:$N$6941,MATCH($C594,NVLSX!$E$2:$E$6941,0)))</f>
        <v/>
      </c>
      <c r="Q594" s="1016" t="str">
        <f ca="1">IF($R594="","",IF(XKNVLSX!$X$1="",IF($P594=$V$7,$P594, IF(COUNTIFS($C$2:$C593,$C594,$E$2:$E593,$E594)&gt;=1,"",$P594)),     IF(AND(IFERROR(SEARCH($R594,XKNVLSX!$X$1,1),0)&gt;=1,$P594=$V$7),$P594, IF(OR($R594&lt;&gt;IF(IFERROR(SEARCH($R594,XKNVLSX!$X$1,1),0)&gt;=1,$R594,XKNVLSX!$X$1),COUNTIFS($C$2:$C593,$C594,$E$2:$E593,$E594,$Q$2:$Q593,$P594)&gt;=1),"",$P594))))</f>
        <v/>
      </c>
      <c r="R594" s="1017" t="str">
        <f ca="1">IF($A594="","",IFERROR(INDEX(TinhGia!$BF$10:$BF$81,MATCH($A594,TinhGia!$B$10:$B$81,0)),""))</f>
        <v/>
      </c>
      <c r="S594" s="1012" t="str">
        <f ca="1">IF($A594="","",IF(OR(IFERROR(SEARCH($R594,XKNVLSX!$X$1,1),0)&gt;=1,XKNVLSX!$X$1=""),$S$2,""))</f>
        <v/>
      </c>
      <c r="T594" s="1018" t="str">
        <f ca="1">IF($C594="","", IF(OR($P594=$V$1,$P594=$V$7,COUNTIFS($C$3:$C594,$C594,$E$3:$E594,$E594)&lt;=1),$P594,""    ))</f>
        <v/>
      </c>
      <c r="U594" s="1019" t="str">
        <f ca="1">IF(AND($P594=$V$2,COUNTIFS($C$3:$C594,$C594,$E$3:$E594,$E594,$G$3:$G594,$G594)&lt;=1),$P594,"")</f>
        <v/>
      </c>
    </row>
    <row r="595" spans="1:21">
      <c r="A595" s="991" t="str">
        <f ca="1">IFERROR(IF(COUNTIF($A$3:A594,A594)&lt; INDEX(TinhGia!$BH$10:$BH$81,MATCH($A594,TinhGia!$B$10:$B$81,0)),$A594,INDEX(TinhGia!$B$10:$B$81,MATCH($A594,TinhGia!$B$10:$B$81,0)+1)),"")</f>
        <v/>
      </c>
      <c r="B595" s="525" t="str">
        <f ca="1">IF(OR(A595="",A595=0),"",IF(COUNTIF($A$2:A595,$A595)=1,ROW(MauKoXoa!$C$108),$B594+1))</f>
        <v/>
      </c>
      <c r="C595" s="992" t="str">
        <f t="shared" ca="1" si="87"/>
        <v/>
      </c>
      <c r="D595" s="993" t="str">
        <f t="shared" ca="1" si="88"/>
        <v/>
      </c>
      <c r="E595" s="993" t="str">
        <f t="shared" ca="1" si="89"/>
        <v/>
      </c>
      <c r="F595" s="992" t="str">
        <f t="shared" ca="1" si="97"/>
        <v/>
      </c>
      <c r="G595" s="994">
        <f t="shared" ca="1" si="90"/>
        <v>0</v>
      </c>
      <c r="H595" s="913">
        <f t="shared" ca="1" si="91"/>
        <v>0</v>
      </c>
      <c r="I595" s="913">
        <f t="shared" ca="1" si="92"/>
        <v>0</v>
      </c>
      <c r="J595" s="995">
        <f t="shared" ca="1" si="98"/>
        <v>0</v>
      </c>
      <c r="K595" s="913">
        <f t="shared" ca="1" si="93"/>
        <v>0</v>
      </c>
      <c r="L595" s="995">
        <f t="shared" ca="1" si="99"/>
        <v>0</v>
      </c>
      <c r="M595" s="913">
        <f t="shared" ca="1" si="94"/>
        <v>0</v>
      </c>
      <c r="N595" s="996">
        <f t="shared" ca="1" si="95"/>
        <v>0</v>
      </c>
      <c r="O595" s="997">
        <f t="shared" ca="1" si="96"/>
        <v>0</v>
      </c>
      <c r="P595" s="1015" t="str">
        <f ca="1">IF($C595="","",INDEX(NVLSX!$N$2:$N$6941,MATCH($C595,NVLSX!$E$2:$E$6941,0)))</f>
        <v/>
      </c>
      <c r="Q595" s="1016" t="str">
        <f ca="1">IF($R595="","",IF(XKNVLSX!$X$1="",IF($P595=$V$7,$P595, IF(COUNTIFS($C$2:$C594,$C595,$E$2:$E594,$E595)&gt;=1,"",$P595)),     IF(AND(IFERROR(SEARCH($R595,XKNVLSX!$X$1,1),0)&gt;=1,$P595=$V$7),$P595, IF(OR($R595&lt;&gt;IF(IFERROR(SEARCH($R595,XKNVLSX!$X$1,1),0)&gt;=1,$R595,XKNVLSX!$X$1),COUNTIFS($C$2:$C594,$C595,$E$2:$E594,$E595,$Q$2:$Q594,$P595)&gt;=1),"",$P595))))</f>
        <v/>
      </c>
      <c r="R595" s="1017" t="str">
        <f ca="1">IF($A595="","",IFERROR(INDEX(TinhGia!$BF$10:$BF$81,MATCH($A595,TinhGia!$B$10:$B$81,0)),""))</f>
        <v/>
      </c>
      <c r="S595" s="1012" t="str">
        <f ca="1">IF($A595="","",IF(OR(IFERROR(SEARCH($R595,XKNVLSX!$X$1,1),0)&gt;=1,XKNVLSX!$X$1=""),$S$2,""))</f>
        <v/>
      </c>
      <c r="T595" s="1018" t="str">
        <f ca="1">IF($C595="","", IF(OR($P595=$V$1,$P595=$V$7,COUNTIFS($C$3:$C595,$C595,$E$3:$E595,$E595)&lt;=1),$P595,""    ))</f>
        <v/>
      </c>
      <c r="U595" s="1019" t="str">
        <f ca="1">IF(AND($P595=$V$2,COUNTIFS($C$3:$C595,$C595,$E$3:$E595,$E595,$G$3:$G595,$G595)&lt;=1),$P595,"")</f>
        <v/>
      </c>
    </row>
    <row r="596" spans="1:21">
      <c r="A596" s="991" t="str">
        <f ca="1">IFERROR(IF(COUNTIF($A$3:A595,A595)&lt; INDEX(TinhGia!$BH$10:$BH$81,MATCH($A595,TinhGia!$B$10:$B$81,0)),$A595,INDEX(TinhGia!$B$10:$B$81,MATCH($A595,TinhGia!$B$10:$B$81,0)+1)),"")</f>
        <v/>
      </c>
      <c r="B596" s="525" t="str">
        <f ca="1">IF(OR(A596="",A596=0),"",IF(COUNTIF($A$2:A596,$A596)=1,ROW(MauKoXoa!$C$108),$B595+1))</f>
        <v/>
      </c>
      <c r="C596" s="992" t="str">
        <f t="shared" ca="1" si="87"/>
        <v/>
      </c>
      <c r="D596" s="993" t="str">
        <f t="shared" ca="1" si="88"/>
        <v/>
      </c>
      <c r="E596" s="993" t="str">
        <f t="shared" ca="1" si="89"/>
        <v/>
      </c>
      <c r="F596" s="992" t="str">
        <f t="shared" ca="1" si="97"/>
        <v/>
      </c>
      <c r="G596" s="994">
        <f t="shared" ca="1" si="90"/>
        <v>0</v>
      </c>
      <c r="H596" s="913">
        <f t="shared" ca="1" si="91"/>
        <v>0</v>
      </c>
      <c r="I596" s="913">
        <f t="shared" ca="1" si="92"/>
        <v>0</v>
      </c>
      <c r="J596" s="995">
        <f t="shared" ca="1" si="98"/>
        <v>0</v>
      </c>
      <c r="K596" s="913">
        <f t="shared" ca="1" si="93"/>
        <v>0</v>
      </c>
      <c r="L596" s="995">
        <f t="shared" ca="1" si="99"/>
        <v>0</v>
      </c>
      <c r="M596" s="913">
        <f t="shared" ca="1" si="94"/>
        <v>0</v>
      </c>
      <c r="N596" s="996">
        <f t="shared" ca="1" si="95"/>
        <v>0</v>
      </c>
      <c r="O596" s="997">
        <f t="shared" ca="1" si="96"/>
        <v>0</v>
      </c>
      <c r="P596" s="1015" t="str">
        <f ca="1">IF($C596="","",INDEX(NVLSX!$N$2:$N$6941,MATCH($C596,NVLSX!$E$2:$E$6941,0)))</f>
        <v/>
      </c>
      <c r="Q596" s="1016" t="str">
        <f ca="1">IF($R596="","",IF(XKNVLSX!$X$1="",IF($P596=$V$7,$P596, IF(COUNTIFS($C$2:$C595,$C596,$E$2:$E595,$E596)&gt;=1,"",$P596)),     IF(AND(IFERROR(SEARCH($R596,XKNVLSX!$X$1,1),0)&gt;=1,$P596=$V$7),$P596, IF(OR($R596&lt;&gt;IF(IFERROR(SEARCH($R596,XKNVLSX!$X$1,1),0)&gt;=1,$R596,XKNVLSX!$X$1),COUNTIFS($C$2:$C595,$C596,$E$2:$E595,$E596,$Q$2:$Q595,$P596)&gt;=1),"",$P596))))</f>
        <v/>
      </c>
      <c r="R596" s="1017" t="str">
        <f ca="1">IF($A596="","",IFERROR(INDEX(TinhGia!$BF$10:$BF$81,MATCH($A596,TinhGia!$B$10:$B$81,0)),""))</f>
        <v/>
      </c>
      <c r="S596" s="1012" t="str">
        <f ca="1">IF($A596="","",IF(OR(IFERROR(SEARCH($R596,XKNVLSX!$X$1,1),0)&gt;=1,XKNVLSX!$X$1=""),$S$2,""))</f>
        <v/>
      </c>
      <c r="T596" s="1018" t="str">
        <f ca="1">IF($C596="","", IF(OR($P596=$V$1,$P596=$V$7,COUNTIFS($C$3:$C596,$C596,$E$3:$E596,$E596)&lt;=1),$P596,""    ))</f>
        <v/>
      </c>
      <c r="U596" s="1019" t="str">
        <f ca="1">IF(AND($P596=$V$2,COUNTIFS($C$3:$C596,$C596,$E$3:$E596,$E596,$G$3:$G596,$G596)&lt;=1),$P596,"")</f>
        <v/>
      </c>
    </row>
    <row r="597" spans="1:21">
      <c r="A597" s="991" t="str">
        <f ca="1">IFERROR(IF(COUNTIF($A$3:A596,A596)&lt; INDEX(TinhGia!$BH$10:$BH$81,MATCH($A596,TinhGia!$B$10:$B$81,0)),$A596,INDEX(TinhGia!$B$10:$B$81,MATCH($A596,TinhGia!$B$10:$B$81,0)+1)),"")</f>
        <v/>
      </c>
      <c r="B597" s="525" t="str">
        <f ca="1">IF(OR(A597="",A597=0),"",IF(COUNTIF($A$2:A597,$A597)=1,ROW(MauKoXoa!$C$108),$B596+1))</f>
        <v/>
      </c>
      <c r="C597" s="992" t="str">
        <f t="shared" ca="1" si="87"/>
        <v/>
      </c>
      <c r="D597" s="993" t="str">
        <f t="shared" ca="1" si="88"/>
        <v/>
      </c>
      <c r="E597" s="993" t="str">
        <f t="shared" ca="1" si="89"/>
        <v/>
      </c>
      <c r="F597" s="992" t="str">
        <f t="shared" ca="1" si="97"/>
        <v/>
      </c>
      <c r="G597" s="994">
        <f t="shared" ca="1" si="90"/>
        <v>0</v>
      </c>
      <c r="H597" s="913">
        <f t="shared" ca="1" si="91"/>
        <v>0</v>
      </c>
      <c r="I597" s="913">
        <f t="shared" ca="1" si="92"/>
        <v>0</v>
      </c>
      <c r="J597" s="995">
        <f t="shared" ca="1" si="98"/>
        <v>0</v>
      </c>
      <c r="K597" s="913">
        <f t="shared" ca="1" si="93"/>
        <v>0</v>
      </c>
      <c r="L597" s="995">
        <f t="shared" ca="1" si="99"/>
        <v>0</v>
      </c>
      <c r="M597" s="913">
        <f t="shared" ca="1" si="94"/>
        <v>0</v>
      </c>
      <c r="N597" s="996">
        <f t="shared" ca="1" si="95"/>
        <v>0</v>
      </c>
      <c r="O597" s="997">
        <f t="shared" ca="1" si="96"/>
        <v>0</v>
      </c>
      <c r="P597" s="1015" t="str">
        <f ca="1">IF($C597="","",INDEX(NVLSX!$N$2:$N$6941,MATCH($C597,NVLSX!$E$2:$E$6941,0)))</f>
        <v/>
      </c>
      <c r="Q597" s="1016" t="str">
        <f ca="1">IF($R597="","",IF(XKNVLSX!$X$1="",IF($P597=$V$7,$P597, IF(COUNTIFS($C$2:$C596,$C597,$E$2:$E596,$E597)&gt;=1,"",$P597)),     IF(AND(IFERROR(SEARCH($R597,XKNVLSX!$X$1,1),0)&gt;=1,$P597=$V$7),$P597, IF(OR($R597&lt;&gt;IF(IFERROR(SEARCH($R597,XKNVLSX!$X$1,1),0)&gt;=1,$R597,XKNVLSX!$X$1),COUNTIFS($C$2:$C596,$C597,$E$2:$E596,$E597,$Q$2:$Q596,$P597)&gt;=1),"",$P597))))</f>
        <v/>
      </c>
      <c r="R597" s="1017" t="str">
        <f ca="1">IF($A597="","",IFERROR(INDEX(TinhGia!$BF$10:$BF$81,MATCH($A597,TinhGia!$B$10:$B$81,0)),""))</f>
        <v/>
      </c>
      <c r="S597" s="1012" t="str">
        <f ca="1">IF($A597="","",IF(OR(IFERROR(SEARCH($R597,XKNVLSX!$X$1,1),0)&gt;=1,XKNVLSX!$X$1=""),$S$2,""))</f>
        <v/>
      </c>
      <c r="T597" s="1018" t="str">
        <f ca="1">IF($C597="","", IF(OR($P597=$V$1,$P597=$V$7,COUNTIFS($C$3:$C597,$C597,$E$3:$E597,$E597)&lt;=1),$P597,""    ))</f>
        <v/>
      </c>
      <c r="U597" s="1019" t="str">
        <f ca="1">IF(AND($P597=$V$2,COUNTIFS($C$3:$C597,$C597,$E$3:$E597,$E597,$G$3:$G597,$G597)&lt;=1),$P597,"")</f>
        <v/>
      </c>
    </row>
    <row r="598" spans="1:21">
      <c r="A598" s="991" t="str">
        <f ca="1">IFERROR(IF(COUNTIF($A$3:A597,A597)&lt; INDEX(TinhGia!$BH$10:$BH$81,MATCH($A597,TinhGia!$B$10:$B$81,0)),$A597,INDEX(TinhGia!$B$10:$B$81,MATCH($A597,TinhGia!$B$10:$B$81,0)+1)),"")</f>
        <v/>
      </c>
      <c r="B598" s="525" t="str">
        <f ca="1">IF(OR(A598="",A598=0),"",IF(COUNTIF($A$2:A598,$A598)=1,ROW(MauKoXoa!$C$108),$B597+1))</f>
        <v/>
      </c>
      <c r="C598" s="992" t="str">
        <f t="shared" ca="1" si="87"/>
        <v/>
      </c>
      <c r="D598" s="993" t="str">
        <f t="shared" ca="1" si="88"/>
        <v/>
      </c>
      <c r="E598" s="993" t="str">
        <f t="shared" ca="1" si="89"/>
        <v/>
      </c>
      <c r="F598" s="992" t="str">
        <f t="shared" ca="1" si="97"/>
        <v/>
      </c>
      <c r="G598" s="994">
        <f t="shared" ca="1" si="90"/>
        <v>0</v>
      </c>
      <c r="H598" s="913">
        <f t="shared" ca="1" si="91"/>
        <v>0</v>
      </c>
      <c r="I598" s="913">
        <f t="shared" ca="1" si="92"/>
        <v>0</v>
      </c>
      <c r="J598" s="995">
        <f t="shared" ca="1" si="98"/>
        <v>0</v>
      </c>
      <c r="K598" s="913">
        <f t="shared" ca="1" si="93"/>
        <v>0</v>
      </c>
      <c r="L598" s="995">
        <f t="shared" ca="1" si="99"/>
        <v>0</v>
      </c>
      <c r="M598" s="913">
        <f t="shared" ca="1" si="94"/>
        <v>0</v>
      </c>
      <c r="N598" s="996">
        <f t="shared" ca="1" si="95"/>
        <v>0</v>
      </c>
      <c r="O598" s="997">
        <f t="shared" ca="1" si="96"/>
        <v>0</v>
      </c>
      <c r="P598" s="1015" t="str">
        <f ca="1">IF($C598="","",INDEX(NVLSX!$N$2:$N$6941,MATCH($C598,NVLSX!$E$2:$E$6941,0)))</f>
        <v/>
      </c>
      <c r="Q598" s="1016" t="str">
        <f ca="1">IF($R598="","",IF(XKNVLSX!$X$1="",IF($P598=$V$7,$P598, IF(COUNTIFS($C$2:$C597,$C598,$E$2:$E597,$E598)&gt;=1,"",$P598)),     IF(AND(IFERROR(SEARCH($R598,XKNVLSX!$X$1,1),0)&gt;=1,$P598=$V$7),$P598, IF(OR($R598&lt;&gt;IF(IFERROR(SEARCH($R598,XKNVLSX!$X$1,1),0)&gt;=1,$R598,XKNVLSX!$X$1),COUNTIFS($C$2:$C597,$C598,$E$2:$E597,$E598,$Q$2:$Q597,$P598)&gt;=1),"",$P598))))</f>
        <v/>
      </c>
      <c r="R598" s="1017" t="str">
        <f ca="1">IF($A598="","",IFERROR(INDEX(TinhGia!$BF$10:$BF$81,MATCH($A598,TinhGia!$B$10:$B$81,0)),""))</f>
        <v/>
      </c>
      <c r="S598" s="1012" t="str">
        <f ca="1">IF($A598="","",IF(OR(IFERROR(SEARCH($R598,XKNVLSX!$X$1,1),0)&gt;=1,XKNVLSX!$X$1=""),$S$2,""))</f>
        <v/>
      </c>
      <c r="T598" s="1018" t="str">
        <f ca="1">IF($C598="","", IF(OR($P598=$V$1,$P598=$V$7,COUNTIFS($C$3:$C598,$C598,$E$3:$E598,$E598)&lt;=1),$P598,""    ))</f>
        <v/>
      </c>
      <c r="U598" s="1019" t="str">
        <f ca="1">IF(AND($P598=$V$2,COUNTIFS($C$3:$C598,$C598,$E$3:$E598,$E598,$G$3:$G598,$G598)&lt;=1),$P598,"")</f>
        <v/>
      </c>
    </row>
    <row r="599" spans="1:21">
      <c r="A599" s="991" t="str">
        <f ca="1">IFERROR(IF(COUNTIF($A$3:A598,A598)&lt; INDEX(TinhGia!$BH$10:$BH$81,MATCH($A598,TinhGia!$B$10:$B$81,0)),$A598,INDEX(TinhGia!$B$10:$B$81,MATCH($A598,TinhGia!$B$10:$B$81,0)+1)),"")</f>
        <v/>
      </c>
      <c r="B599" s="525" t="str">
        <f ca="1">IF(OR(A599="",A599=0),"",IF(COUNTIF($A$2:A599,$A599)=1,ROW(MauKoXoa!$C$108),$B598+1))</f>
        <v/>
      </c>
      <c r="C599" s="992" t="str">
        <f t="shared" ca="1" si="87"/>
        <v/>
      </c>
      <c r="D599" s="993" t="str">
        <f t="shared" ca="1" si="88"/>
        <v/>
      </c>
      <c r="E599" s="993" t="str">
        <f t="shared" ca="1" si="89"/>
        <v/>
      </c>
      <c r="F599" s="992" t="str">
        <f t="shared" ca="1" si="97"/>
        <v/>
      </c>
      <c r="G599" s="994">
        <f t="shared" ca="1" si="90"/>
        <v>0</v>
      </c>
      <c r="H599" s="913">
        <f t="shared" ca="1" si="91"/>
        <v>0</v>
      </c>
      <c r="I599" s="913">
        <f t="shared" ca="1" si="92"/>
        <v>0</v>
      </c>
      <c r="J599" s="995">
        <f t="shared" ca="1" si="98"/>
        <v>0</v>
      </c>
      <c r="K599" s="913">
        <f t="shared" ca="1" si="93"/>
        <v>0</v>
      </c>
      <c r="L599" s="995">
        <f t="shared" ca="1" si="99"/>
        <v>0</v>
      </c>
      <c r="M599" s="913">
        <f t="shared" ca="1" si="94"/>
        <v>0</v>
      </c>
      <c r="N599" s="996">
        <f t="shared" ca="1" si="95"/>
        <v>0</v>
      </c>
      <c r="O599" s="997">
        <f t="shared" ca="1" si="96"/>
        <v>0</v>
      </c>
      <c r="P599" s="1015" t="str">
        <f ca="1">IF($C599="","",INDEX(NVLSX!$N$2:$N$6941,MATCH($C599,NVLSX!$E$2:$E$6941,0)))</f>
        <v/>
      </c>
      <c r="Q599" s="1016" t="str">
        <f ca="1">IF($R599="","",IF(XKNVLSX!$X$1="",IF($P599=$V$7,$P599, IF(COUNTIFS($C$2:$C598,$C599,$E$2:$E598,$E599)&gt;=1,"",$P599)),     IF(AND(IFERROR(SEARCH($R599,XKNVLSX!$X$1,1),0)&gt;=1,$P599=$V$7),$P599, IF(OR($R599&lt;&gt;IF(IFERROR(SEARCH($R599,XKNVLSX!$X$1,1),0)&gt;=1,$R599,XKNVLSX!$X$1),COUNTIFS($C$2:$C598,$C599,$E$2:$E598,$E599,$Q$2:$Q598,$P599)&gt;=1),"",$P599))))</f>
        <v/>
      </c>
      <c r="R599" s="1017" t="str">
        <f ca="1">IF($A599="","",IFERROR(INDEX(TinhGia!$BF$10:$BF$81,MATCH($A599,TinhGia!$B$10:$B$81,0)),""))</f>
        <v/>
      </c>
      <c r="S599" s="1012" t="str">
        <f ca="1">IF($A599="","",IF(OR(IFERROR(SEARCH($R599,XKNVLSX!$X$1,1),0)&gt;=1,XKNVLSX!$X$1=""),$S$2,""))</f>
        <v/>
      </c>
      <c r="T599" s="1018" t="str">
        <f ca="1">IF($C599="","", IF(OR($P599=$V$1,$P599=$V$7,COUNTIFS($C$3:$C599,$C599,$E$3:$E599,$E599)&lt;=1),$P599,""    ))</f>
        <v/>
      </c>
      <c r="U599" s="1019" t="str">
        <f ca="1">IF(AND($P599=$V$2,COUNTIFS($C$3:$C599,$C599,$E$3:$E599,$E599,$G$3:$G599,$G599)&lt;=1),$P599,"")</f>
        <v/>
      </c>
    </row>
    <row r="600" spans="1:21">
      <c r="A600" s="991" t="str">
        <f ca="1">IFERROR(IF(COUNTIF($A$3:A599,A599)&lt; INDEX(TinhGia!$BH$10:$BH$81,MATCH($A599,TinhGia!$B$10:$B$81,0)),$A599,INDEX(TinhGia!$B$10:$B$81,MATCH($A599,TinhGia!$B$10:$B$81,0)+1)),"")</f>
        <v/>
      </c>
      <c r="B600" s="525" t="str">
        <f ca="1">IF(OR(A600="",A600=0),"",IF(COUNTIF($A$2:A600,$A600)=1,ROW(MauKoXoa!$C$108),$B599+1))</f>
        <v/>
      </c>
      <c r="C600" s="992" t="str">
        <f t="shared" ca="1" si="87"/>
        <v/>
      </c>
      <c r="D600" s="993" t="str">
        <f t="shared" ca="1" si="88"/>
        <v/>
      </c>
      <c r="E600" s="993" t="str">
        <f t="shared" ca="1" si="89"/>
        <v/>
      </c>
      <c r="F600" s="992" t="str">
        <f t="shared" ca="1" si="97"/>
        <v/>
      </c>
      <c r="G600" s="994">
        <f t="shared" ca="1" si="90"/>
        <v>0</v>
      </c>
      <c r="H600" s="913">
        <f t="shared" ca="1" si="91"/>
        <v>0</v>
      </c>
      <c r="I600" s="913">
        <f t="shared" ca="1" si="92"/>
        <v>0</v>
      </c>
      <c r="J600" s="995">
        <f t="shared" ca="1" si="98"/>
        <v>0</v>
      </c>
      <c r="K600" s="913">
        <f t="shared" ca="1" si="93"/>
        <v>0</v>
      </c>
      <c r="L600" s="995">
        <f t="shared" ca="1" si="99"/>
        <v>0</v>
      </c>
      <c r="M600" s="913">
        <f t="shared" ca="1" si="94"/>
        <v>0</v>
      </c>
      <c r="N600" s="996">
        <f t="shared" ca="1" si="95"/>
        <v>0</v>
      </c>
      <c r="O600" s="997">
        <f t="shared" ca="1" si="96"/>
        <v>0</v>
      </c>
      <c r="P600" s="1015" t="str">
        <f ca="1">IF($C600="","",INDEX(NVLSX!$N$2:$N$6941,MATCH($C600,NVLSX!$E$2:$E$6941,0)))</f>
        <v/>
      </c>
      <c r="Q600" s="1016" t="str">
        <f ca="1">IF($R600="","",IF(XKNVLSX!$X$1="",IF($P600=$V$7,$P600, IF(COUNTIFS($C$2:$C599,$C600,$E$2:$E599,$E600)&gt;=1,"",$P600)),     IF(AND(IFERROR(SEARCH($R600,XKNVLSX!$X$1,1),0)&gt;=1,$P600=$V$7),$P600, IF(OR($R600&lt;&gt;IF(IFERROR(SEARCH($R600,XKNVLSX!$X$1,1),0)&gt;=1,$R600,XKNVLSX!$X$1),COUNTIFS($C$2:$C599,$C600,$E$2:$E599,$E600,$Q$2:$Q599,$P600)&gt;=1),"",$P600))))</f>
        <v/>
      </c>
      <c r="R600" s="1017" t="str">
        <f ca="1">IF($A600="","",IFERROR(INDEX(TinhGia!$BF$10:$BF$81,MATCH($A600,TinhGia!$B$10:$B$81,0)),""))</f>
        <v/>
      </c>
      <c r="S600" s="1012" t="str">
        <f ca="1">IF($A600="","",IF(OR(IFERROR(SEARCH($R600,XKNVLSX!$X$1,1),0)&gt;=1,XKNVLSX!$X$1=""),$S$2,""))</f>
        <v/>
      </c>
      <c r="T600" s="1018" t="str">
        <f ca="1">IF($C600="","", IF(OR($P600=$V$1,$P600=$V$7,COUNTIFS($C$3:$C600,$C600,$E$3:$E600,$E600)&lt;=1),$P600,""    ))</f>
        <v/>
      </c>
      <c r="U600" s="1019" t="str">
        <f ca="1">IF(AND($P600=$V$2,COUNTIFS($C$3:$C600,$C600,$E$3:$E600,$E600,$G$3:$G600,$G600)&lt;=1),$P600,"")</f>
        <v/>
      </c>
    </row>
    <row r="601" spans="1:21">
      <c r="A601" s="991" t="str">
        <f ca="1">IFERROR(IF(COUNTIF($A$3:A600,A600)&lt; INDEX(TinhGia!$BH$10:$BH$81,MATCH($A600,TinhGia!$B$10:$B$81,0)),$A600,INDEX(TinhGia!$B$10:$B$81,MATCH($A600,TinhGia!$B$10:$B$81,0)+1)),"")</f>
        <v/>
      </c>
      <c r="B601" s="525" t="str">
        <f ca="1">IF(OR(A601="",A601=0),"",IF(COUNTIF($A$2:A601,$A601)=1,ROW(MauKoXoa!$C$108),$B600+1))</f>
        <v/>
      </c>
      <c r="C601" s="992" t="str">
        <f t="shared" ca="1" si="87"/>
        <v/>
      </c>
      <c r="D601" s="993" t="str">
        <f t="shared" ca="1" si="88"/>
        <v/>
      </c>
      <c r="E601" s="993" t="str">
        <f t="shared" ca="1" si="89"/>
        <v/>
      </c>
      <c r="F601" s="992" t="str">
        <f t="shared" ca="1" si="97"/>
        <v/>
      </c>
      <c r="G601" s="994">
        <f t="shared" ca="1" si="90"/>
        <v>0</v>
      </c>
      <c r="H601" s="913">
        <f t="shared" ca="1" si="91"/>
        <v>0</v>
      </c>
      <c r="I601" s="913">
        <f t="shared" ca="1" si="92"/>
        <v>0</v>
      </c>
      <c r="J601" s="995">
        <f t="shared" ca="1" si="98"/>
        <v>0</v>
      </c>
      <c r="K601" s="913">
        <f t="shared" ca="1" si="93"/>
        <v>0</v>
      </c>
      <c r="L601" s="995">
        <f t="shared" ca="1" si="99"/>
        <v>0</v>
      </c>
      <c r="M601" s="913">
        <f t="shared" ca="1" si="94"/>
        <v>0</v>
      </c>
      <c r="N601" s="996">
        <f t="shared" ca="1" si="95"/>
        <v>0</v>
      </c>
      <c r="O601" s="997">
        <f t="shared" ca="1" si="96"/>
        <v>0</v>
      </c>
      <c r="P601" s="1015" t="str">
        <f ca="1">IF($C601="","",INDEX(NVLSX!$N$2:$N$6941,MATCH($C601,NVLSX!$E$2:$E$6941,0)))</f>
        <v/>
      </c>
      <c r="Q601" s="1016" t="str">
        <f ca="1">IF($R601="","",IF(XKNVLSX!$X$1="",IF($P601=$V$7,$P601, IF(COUNTIFS($C$2:$C600,$C601,$E$2:$E600,$E601)&gt;=1,"",$P601)),     IF(AND(IFERROR(SEARCH($R601,XKNVLSX!$X$1,1),0)&gt;=1,$P601=$V$7),$P601, IF(OR($R601&lt;&gt;IF(IFERROR(SEARCH($R601,XKNVLSX!$X$1,1),0)&gt;=1,$R601,XKNVLSX!$X$1),COUNTIFS($C$2:$C600,$C601,$E$2:$E600,$E601,$Q$2:$Q600,$P601)&gt;=1),"",$P601))))</f>
        <v/>
      </c>
      <c r="R601" s="1017" t="str">
        <f ca="1">IF($A601="","",IFERROR(INDEX(TinhGia!$BF$10:$BF$81,MATCH($A601,TinhGia!$B$10:$B$81,0)),""))</f>
        <v/>
      </c>
      <c r="S601" s="1012" t="str">
        <f ca="1">IF($A601="","",IF(OR(IFERROR(SEARCH($R601,XKNVLSX!$X$1,1),0)&gt;=1,XKNVLSX!$X$1=""),$S$2,""))</f>
        <v/>
      </c>
      <c r="T601" s="1018" t="str">
        <f ca="1">IF($C601="","", IF(OR($P601=$V$1,$P601=$V$7,COUNTIFS($C$3:$C601,$C601,$E$3:$E601,$E601)&lt;=1),$P601,""    ))</f>
        <v/>
      </c>
      <c r="U601" s="1019" t="str">
        <f ca="1">IF(AND($P601=$V$2,COUNTIFS($C$3:$C601,$C601,$E$3:$E601,$E601,$G$3:$G601,$G601)&lt;=1),$P601,"")</f>
        <v/>
      </c>
    </row>
    <row r="602" spans="1:21">
      <c r="A602" s="991" t="str">
        <f ca="1">IFERROR(IF(COUNTIF($A$3:A601,A601)&lt; INDEX(TinhGia!$BH$10:$BH$81,MATCH($A601,TinhGia!$B$10:$B$81,0)),$A601,INDEX(TinhGia!$B$10:$B$81,MATCH($A601,TinhGia!$B$10:$B$81,0)+1)),"")</f>
        <v/>
      </c>
      <c r="B602" s="525" t="str">
        <f ca="1">IF(OR(A602="",A602=0),"",IF(COUNTIF($A$2:A602,$A602)=1,ROW(MauKoXoa!$C$108),$B601+1))</f>
        <v/>
      </c>
      <c r="C602" s="992" t="str">
        <f t="shared" ca="1" si="87"/>
        <v/>
      </c>
      <c r="D602" s="993" t="str">
        <f t="shared" ca="1" si="88"/>
        <v/>
      </c>
      <c r="E602" s="993" t="str">
        <f t="shared" ca="1" si="89"/>
        <v/>
      </c>
      <c r="F602" s="992" t="str">
        <f t="shared" ca="1" si="97"/>
        <v/>
      </c>
      <c r="G602" s="994">
        <f t="shared" ca="1" si="90"/>
        <v>0</v>
      </c>
      <c r="H602" s="913">
        <f t="shared" ca="1" si="91"/>
        <v>0</v>
      </c>
      <c r="I602" s="913">
        <f t="shared" ca="1" si="92"/>
        <v>0</v>
      </c>
      <c r="J602" s="995">
        <f t="shared" ca="1" si="98"/>
        <v>0</v>
      </c>
      <c r="K602" s="913">
        <f t="shared" ca="1" si="93"/>
        <v>0</v>
      </c>
      <c r="L602" s="995">
        <f t="shared" ca="1" si="99"/>
        <v>0</v>
      </c>
      <c r="M602" s="913">
        <f t="shared" ca="1" si="94"/>
        <v>0</v>
      </c>
      <c r="N602" s="996">
        <f t="shared" ca="1" si="95"/>
        <v>0</v>
      </c>
      <c r="O602" s="997">
        <f t="shared" ca="1" si="96"/>
        <v>0</v>
      </c>
      <c r="P602" s="1015" t="str">
        <f ca="1">IF($C602="","",INDEX(NVLSX!$N$2:$N$6941,MATCH($C602,NVLSX!$E$2:$E$6941,0)))</f>
        <v/>
      </c>
      <c r="Q602" s="1016" t="str">
        <f ca="1">IF($R602="","",IF(XKNVLSX!$X$1="",IF($P602=$V$7,$P602, IF(COUNTIFS($C$2:$C601,$C602,$E$2:$E601,$E602)&gt;=1,"",$P602)),     IF(AND(IFERROR(SEARCH($R602,XKNVLSX!$X$1,1),0)&gt;=1,$P602=$V$7),$P602, IF(OR($R602&lt;&gt;IF(IFERROR(SEARCH($R602,XKNVLSX!$X$1,1),0)&gt;=1,$R602,XKNVLSX!$X$1),COUNTIFS($C$2:$C601,$C602,$E$2:$E601,$E602,$Q$2:$Q601,$P602)&gt;=1),"",$P602))))</f>
        <v/>
      </c>
      <c r="R602" s="1017" t="str">
        <f ca="1">IF($A602="","",IFERROR(INDEX(TinhGia!$BF$10:$BF$81,MATCH($A602,TinhGia!$B$10:$B$81,0)),""))</f>
        <v/>
      </c>
      <c r="S602" s="1012" t="str">
        <f ca="1">IF($A602="","",IF(OR(IFERROR(SEARCH($R602,XKNVLSX!$X$1,1),0)&gt;=1,XKNVLSX!$X$1=""),$S$2,""))</f>
        <v/>
      </c>
      <c r="T602" s="1018" t="str">
        <f ca="1">IF($C602="","", IF(OR($P602=$V$1,$P602=$V$7,COUNTIFS($C$3:$C602,$C602,$E$3:$E602,$E602)&lt;=1),$P602,""    ))</f>
        <v/>
      </c>
      <c r="U602" s="1019" t="str">
        <f ca="1">IF(AND($P602=$V$2,COUNTIFS($C$3:$C602,$C602,$E$3:$E602,$E602,$G$3:$G602,$G602)&lt;=1),$P602,"")</f>
        <v/>
      </c>
    </row>
    <row r="603" spans="1:21">
      <c r="A603" s="991" t="str">
        <f ca="1">IFERROR(IF(COUNTIF($A$3:A602,A602)&lt; INDEX(TinhGia!$BH$10:$BH$81,MATCH($A602,TinhGia!$B$10:$B$81,0)),$A602,INDEX(TinhGia!$B$10:$B$81,MATCH($A602,TinhGia!$B$10:$B$81,0)+1)),"")</f>
        <v/>
      </c>
      <c r="B603" s="525" t="str">
        <f ca="1">IF(OR(A603="",A603=0),"",IF(COUNTIF($A$2:A603,$A603)=1,ROW(MauKoXoa!$C$108),$B602+1))</f>
        <v/>
      </c>
      <c r="C603" s="992" t="str">
        <f t="shared" ca="1" si="87"/>
        <v/>
      </c>
      <c r="D603" s="993" t="str">
        <f t="shared" ca="1" si="88"/>
        <v/>
      </c>
      <c r="E603" s="993" t="str">
        <f t="shared" ca="1" si="89"/>
        <v/>
      </c>
      <c r="F603" s="992" t="str">
        <f t="shared" ca="1" si="97"/>
        <v/>
      </c>
      <c r="G603" s="994">
        <f t="shared" ca="1" si="90"/>
        <v>0</v>
      </c>
      <c r="H603" s="913">
        <f t="shared" ca="1" si="91"/>
        <v>0</v>
      </c>
      <c r="I603" s="913">
        <f t="shared" ca="1" si="92"/>
        <v>0</v>
      </c>
      <c r="J603" s="995">
        <f t="shared" ca="1" si="98"/>
        <v>0</v>
      </c>
      <c r="K603" s="913">
        <f t="shared" ca="1" si="93"/>
        <v>0</v>
      </c>
      <c r="L603" s="995">
        <f t="shared" ca="1" si="99"/>
        <v>0</v>
      </c>
      <c r="M603" s="913">
        <f t="shared" ca="1" si="94"/>
        <v>0</v>
      </c>
      <c r="N603" s="996">
        <f t="shared" ca="1" si="95"/>
        <v>0</v>
      </c>
      <c r="O603" s="997">
        <f t="shared" ca="1" si="96"/>
        <v>0</v>
      </c>
      <c r="P603" s="1015" t="str">
        <f ca="1">IF($C603="","",INDEX(NVLSX!$N$2:$N$6941,MATCH($C603,NVLSX!$E$2:$E$6941,0)))</f>
        <v/>
      </c>
      <c r="Q603" s="1016" t="str">
        <f ca="1">IF($R603="","",IF(XKNVLSX!$X$1="",IF($P603=$V$7,$P603, IF(COUNTIFS($C$2:$C602,$C603,$E$2:$E602,$E603)&gt;=1,"",$P603)),     IF(AND(IFERROR(SEARCH($R603,XKNVLSX!$X$1,1),0)&gt;=1,$P603=$V$7),$P603, IF(OR($R603&lt;&gt;IF(IFERROR(SEARCH($R603,XKNVLSX!$X$1,1),0)&gt;=1,$R603,XKNVLSX!$X$1),COUNTIFS($C$2:$C602,$C603,$E$2:$E602,$E603,$Q$2:$Q602,$P603)&gt;=1),"",$P603))))</f>
        <v/>
      </c>
      <c r="R603" s="1017" t="str">
        <f ca="1">IF($A603="","",IFERROR(INDEX(TinhGia!$BF$10:$BF$81,MATCH($A603,TinhGia!$B$10:$B$81,0)),""))</f>
        <v/>
      </c>
      <c r="S603" s="1012" t="str">
        <f ca="1">IF($A603="","",IF(OR(IFERROR(SEARCH($R603,XKNVLSX!$X$1,1),0)&gt;=1,XKNVLSX!$X$1=""),$S$2,""))</f>
        <v/>
      </c>
      <c r="T603" s="1018" t="str">
        <f ca="1">IF($C603="","", IF(OR($P603=$V$1,$P603=$V$7,COUNTIFS($C$3:$C603,$C603,$E$3:$E603,$E603)&lt;=1),$P603,""    ))</f>
        <v/>
      </c>
      <c r="U603" s="1019" t="str">
        <f ca="1">IF(AND($P603=$V$2,COUNTIFS($C$3:$C603,$C603,$E$3:$E603,$E603,$G$3:$G603,$G603)&lt;=1),$P603,"")</f>
        <v/>
      </c>
    </row>
    <row r="604" spans="1:21">
      <c r="A604" s="991" t="str">
        <f ca="1">IFERROR(IF(COUNTIF($A$3:A603,A603)&lt; INDEX(TinhGia!$BH$10:$BH$81,MATCH($A603,TinhGia!$B$10:$B$81,0)),$A603,INDEX(TinhGia!$B$10:$B$81,MATCH($A603,TinhGia!$B$10:$B$81,0)+1)),"")</f>
        <v/>
      </c>
      <c r="B604" s="525" t="str">
        <f ca="1">IF(OR(A604="",A604=0),"",IF(COUNTIF($A$2:A604,$A604)=1,ROW(MauKoXoa!$C$108),$B603+1))</f>
        <v/>
      </c>
      <c r="C604" s="992" t="str">
        <f t="shared" ca="1" si="87"/>
        <v/>
      </c>
      <c r="D604" s="993" t="str">
        <f t="shared" ca="1" si="88"/>
        <v/>
      </c>
      <c r="E604" s="993" t="str">
        <f t="shared" ca="1" si="89"/>
        <v/>
      </c>
      <c r="F604" s="992" t="str">
        <f t="shared" ca="1" si="97"/>
        <v/>
      </c>
      <c r="G604" s="994">
        <f t="shared" ca="1" si="90"/>
        <v>0</v>
      </c>
      <c r="H604" s="913">
        <f t="shared" ca="1" si="91"/>
        <v>0</v>
      </c>
      <c r="I604" s="913">
        <f t="shared" ca="1" si="92"/>
        <v>0</v>
      </c>
      <c r="J604" s="995">
        <f t="shared" ca="1" si="98"/>
        <v>0</v>
      </c>
      <c r="K604" s="913">
        <f t="shared" ca="1" si="93"/>
        <v>0</v>
      </c>
      <c r="L604" s="995">
        <f t="shared" ca="1" si="99"/>
        <v>0</v>
      </c>
      <c r="M604" s="913">
        <f t="shared" ca="1" si="94"/>
        <v>0</v>
      </c>
      <c r="N604" s="996">
        <f t="shared" ca="1" si="95"/>
        <v>0</v>
      </c>
      <c r="O604" s="997">
        <f t="shared" ca="1" si="96"/>
        <v>0</v>
      </c>
      <c r="P604" s="1015" t="str">
        <f ca="1">IF($C604="","",INDEX(NVLSX!$N$2:$N$6941,MATCH($C604,NVLSX!$E$2:$E$6941,0)))</f>
        <v/>
      </c>
      <c r="Q604" s="1016" t="str">
        <f ca="1">IF($R604="","",IF(XKNVLSX!$X$1="",IF($P604=$V$7,$P604, IF(COUNTIFS($C$2:$C603,$C604,$E$2:$E603,$E604)&gt;=1,"",$P604)),     IF(AND(IFERROR(SEARCH($R604,XKNVLSX!$X$1,1),0)&gt;=1,$P604=$V$7),$P604, IF(OR($R604&lt;&gt;IF(IFERROR(SEARCH($R604,XKNVLSX!$X$1,1),0)&gt;=1,$R604,XKNVLSX!$X$1),COUNTIFS($C$2:$C603,$C604,$E$2:$E603,$E604,$Q$2:$Q603,$P604)&gt;=1),"",$P604))))</f>
        <v/>
      </c>
      <c r="R604" s="1017" t="str">
        <f ca="1">IF($A604="","",IFERROR(INDEX(TinhGia!$BF$10:$BF$81,MATCH($A604,TinhGia!$B$10:$B$81,0)),""))</f>
        <v/>
      </c>
      <c r="S604" s="1012" t="str">
        <f ca="1">IF($A604="","",IF(OR(IFERROR(SEARCH($R604,XKNVLSX!$X$1,1),0)&gt;=1,XKNVLSX!$X$1=""),$S$2,""))</f>
        <v/>
      </c>
      <c r="T604" s="1018" t="str">
        <f ca="1">IF($C604="","", IF(OR($P604=$V$1,$P604=$V$7,COUNTIFS($C$3:$C604,$C604,$E$3:$E604,$E604)&lt;=1),$P604,""    ))</f>
        <v/>
      </c>
      <c r="U604" s="1019" t="str">
        <f ca="1">IF(AND($P604=$V$2,COUNTIFS($C$3:$C604,$C604,$E$3:$E604,$E604,$G$3:$G604,$G604)&lt;=1),$P604,"")</f>
        <v/>
      </c>
    </row>
    <row r="605" spans="1:21">
      <c r="A605" s="991" t="str">
        <f ca="1">IFERROR(IF(COUNTIF($A$3:A604,A604)&lt; INDEX(TinhGia!$BH$10:$BH$81,MATCH($A604,TinhGia!$B$10:$B$81,0)),$A604,INDEX(TinhGia!$B$10:$B$81,MATCH($A604,TinhGia!$B$10:$B$81,0)+1)),"")</f>
        <v/>
      </c>
      <c r="B605" s="525" t="str">
        <f ca="1">IF(OR(A605="",A605=0),"",IF(COUNTIF($A$2:A605,$A605)=1,ROW(MauKoXoa!$C$108),$B604+1))</f>
        <v/>
      </c>
      <c r="C605" s="992" t="str">
        <f t="shared" ca="1" si="87"/>
        <v/>
      </c>
      <c r="D605" s="993" t="str">
        <f t="shared" ca="1" si="88"/>
        <v/>
      </c>
      <c r="E605" s="993" t="str">
        <f t="shared" ca="1" si="89"/>
        <v/>
      </c>
      <c r="F605" s="992" t="str">
        <f t="shared" ca="1" si="97"/>
        <v/>
      </c>
      <c r="G605" s="994">
        <f t="shared" ca="1" si="90"/>
        <v>0</v>
      </c>
      <c r="H605" s="913">
        <f t="shared" ca="1" si="91"/>
        <v>0</v>
      </c>
      <c r="I605" s="913">
        <f t="shared" ca="1" si="92"/>
        <v>0</v>
      </c>
      <c r="J605" s="995">
        <f t="shared" ca="1" si="98"/>
        <v>0</v>
      </c>
      <c r="K605" s="913">
        <f t="shared" ca="1" si="93"/>
        <v>0</v>
      </c>
      <c r="L605" s="995">
        <f t="shared" ca="1" si="99"/>
        <v>0</v>
      </c>
      <c r="M605" s="913">
        <f t="shared" ca="1" si="94"/>
        <v>0</v>
      </c>
      <c r="N605" s="996">
        <f t="shared" ca="1" si="95"/>
        <v>0</v>
      </c>
      <c r="O605" s="997">
        <f t="shared" ca="1" si="96"/>
        <v>0</v>
      </c>
      <c r="P605" s="1015" t="str">
        <f ca="1">IF($C605="","",INDEX(NVLSX!$N$2:$N$6941,MATCH($C605,NVLSX!$E$2:$E$6941,0)))</f>
        <v/>
      </c>
      <c r="Q605" s="1016" t="str">
        <f ca="1">IF($R605="","",IF(XKNVLSX!$X$1="",IF($P605=$V$7,$P605, IF(COUNTIFS($C$2:$C604,$C605,$E$2:$E604,$E605)&gt;=1,"",$P605)),     IF(AND(IFERROR(SEARCH($R605,XKNVLSX!$X$1,1),0)&gt;=1,$P605=$V$7),$P605, IF(OR($R605&lt;&gt;IF(IFERROR(SEARCH($R605,XKNVLSX!$X$1,1),0)&gt;=1,$R605,XKNVLSX!$X$1),COUNTIFS($C$2:$C604,$C605,$E$2:$E604,$E605,$Q$2:$Q604,$P605)&gt;=1),"",$P605))))</f>
        <v/>
      </c>
      <c r="R605" s="1017" t="str">
        <f ca="1">IF($A605="","",IFERROR(INDEX(TinhGia!$BF$10:$BF$81,MATCH($A605,TinhGia!$B$10:$B$81,0)),""))</f>
        <v/>
      </c>
      <c r="S605" s="1012" t="str">
        <f ca="1">IF($A605="","",IF(OR(IFERROR(SEARCH($R605,XKNVLSX!$X$1,1),0)&gt;=1,XKNVLSX!$X$1=""),$S$2,""))</f>
        <v/>
      </c>
      <c r="T605" s="1018" t="str">
        <f ca="1">IF($C605="","", IF(OR($P605=$V$1,$P605=$V$7,COUNTIFS($C$3:$C605,$C605,$E$3:$E605,$E605)&lt;=1),$P605,""    ))</f>
        <v/>
      </c>
      <c r="U605" s="1019" t="str">
        <f ca="1">IF(AND($P605=$V$2,COUNTIFS($C$3:$C605,$C605,$E$3:$E605,$E605,$G$3:$G605,$G605)&lt;=1),$P605,"")</f>
        <v/>
      </c>
    </row>
    <row r="606" spans="1:21">
      <c r="A606" s="991" t="str">
        <f ca="1">IFERROR(IF(COUNTIF($A$3:A605,A605)&lt; INDEX(TinhGia!$BH$10:$BH$81,MATCH($A605,TinhGia!$B$10:$B$81,0)),$A605,INDEX(TinhGia!$B$10:$B$81,MATCH($A605,TinhGia!$B$10:$B$81,0)+1)),"")</f>
        <v/>
      </c>
      <c r="B606" s="525" t="str">
        <f ca="1">IF(OR(A606="",A606=0),"",IF(COUNTIF($A$2:A606,$A606)=1,ROW(MauKoXoa!$C$108),$B605+1))</f>
        <v/>
      </c>
      <c r="C606" s="992" t="str">
        <f t="shared" ca="1" si="87"/>
        <v/>
      </c>
      <c r="D606" s="993" t="str">
        <f t="shared" ca="1" si="88"/>
        <v/>
      </c>
      <c r="E606" s="993" t="str">
        <f t="shared" ca="1" si="89"/>
        <v/>
      </c>
      <c r="F606" s="992" t="str">
        <f t="shared" ca="1" si="97"/>
        <v/>
      </c>
      <c r="G606" s="994">
        <f t="shared" ca="1" si="90"/>
        <v>0</v>
      </c>
      <c r="H606" s="913">
        <f t="shared" ca="1" si="91"/>
        <v>0</v>
      </c>
      <c r="I606" s="913">
        <f t="shared" ca="1" si="92"/>
        <v>0</v>
      </c>
      <c r="J606" s="995">
        <f t="shared" ca="1" si="98"/>
        <v>0</v>
      </c>
      <c r="K606" s="913">
        <f t="shared" ca="1" si="93"/>
        <v>0</v>
      </c>
      <c r="L606" s="995">
        <f t="shared" ca="1" si="99"/>
        <v>0</v>
      </c>
      <c r="M606" s="913">
        <f t="shared" ca="1" si="94"/>
        <v>0</v>
      </c>
      <c r="N606" s="996">
        <f t="shared" ca="1" si="95"/>
        <v>0</v>
      </c>
      <c r="O606" s="997">
        <f t="shared" ca="1" si="96"/>
        <v>0</v>
      </c>
      <c r="P606" s="1015" t="str">
        <f ca="1">IF($C606="","",INDEX(NVLSX!$N$2:$N$6941,MATCH($C606,NVLSX!$E$2:$E$6941,0)))</f>
        <v/>
      </c>
      <c r="Q606" s="1016" t="str">
        <f ca="1">IF($R606="","",IF(XKNVLSX!$X$1="",IF($P606=$V$7,$P606, IF(COUNTIFS($C$2:$C605,$C606,$E$2:$E605,$E606)&gt;=1,"",$P606)),     IF(AND(IFERROR(SEARCH($R606,XKNVLSX!$X$1,1),0)&gt;=1,$P606=$V$7),$P606, IF(OR($R606&lt;&gt;IF(IFERROR(SEARCH($R606,XKNVLSX!$X$1,1),0)&gt;=1,$R606,XKNVLSX!$X$1),COUNTIFS($C$2:$C605,$C606,$E$2:$E605,$E606,$Q$2:$Q605,$P606)&gt;=1),"",$P606))))</f>
        <v/>
      </c>
      <c r="R606" s="1017" t="str">
        <f ca="1">IF($A606="","",IFERROR(INDEX(TinhGia!$BF$10:$BF$81,MATCH($A606,TinhGia!$B$10:$B$81,0)),""))</f>
        <v/>
      </c>
      <c r="S606" s="1012" t="str">
        <f ca="1">IF($A606="","",IF(OR(IFERROR(SEARCH($R606,XKNVLSX!$X$1,1),0)&gt;=1,XKNVLSX!$X$1=""),$S$2,""))</f>
        <v/>
      </c>
      <c r="T606" s="1018" t="str">
        <f ca="1">IF($C606="","", IF(OR($P606=$V$1,$P606=$V$7,COUNTIFS($C$3:$C606,$C606,$E$3:$E606,$E606)&lt;=1),$P606,""    ))</f>
        <v/>
      </c>
      <c r="U606" s="1019" t="str">
        <f ca="1">IF(AND($P606=$V$2,COUNTIFS($C$3:$C606,$C606,$E$3:$E606,$E606,$G$3:$G606,$G606)&lt;=1),$P606,"")</f>
        <v/>
      </c>
    </row>
    <row r="607" spans="1:21">
      <c r="A607" s="991" t="str">
        <f ca="1">IFERROR(IF(COUNTIF($A$3:A606,A606)&lt; INDEX(TinhGia!$BH$10:$BH$81,MATCH($A606,TinhGia!$B$10:$B$81,0)),$A606,INDEX(TinhGia!$B$10:$B$81,MATCH($A606,TinhGia!$B$10:$B$81,0)+1)),"")</f>
        <v/>
      </c>
      <c r="B607" s="525" t="str">
        <f ca="1">IF(OR(A607="",A607=0),"",IF(COUNTIF($A$2:A607,$A607)=1,ROW(MauKoXoa!$C$108),$B606+1))</f>
        <v/>
      </c>
      <c r="C607" s="992" t="str">
        <f t="shared" ca="1" si="87"/>
        <v/>
      </c>
      <c r="D607" s="993" t="str">
        <f t="shared" ca="1" si="88"/>
        <v/>
      </c>
      <c r="E607" s="993" t="str">
        <f t="shared" ca="1" si="89"/>
        <v/>
      </c>
      <c r="F607" s="992" t="str">
        <f t="shared" ca="1" si="97"/>
        <v/>
      </c>
      <c r="G607" s="994">
        <f t="shared" ca="1" si="90"/>
        <v>0</v>
      </c>
      <c r="H607" s="913">
        <f t="shared" ca="1" si="91"/>
        <v>0</v>
      </c>
      <c r="I607" s="913">
        <f t="shared" ca="1" si="92"/>
        <v>0</v>
      </c>
      <c r="J607" s="995">
        <f t="shared" ca="1" si="98"/>
        <v>0</v>
      </c>
      <c r="K607" s="913">
        <f t="shared" ca="1" si="93"/>
        <v>0</v>
      </c>
      <c r="L607" s="995">
        <f t="shared" ca="1" si="99"/>
        <v>0</v>
      </c>
      <c r="M607" s="913">
        <f t="shared" ca="1" si="94"/>
        <v>0</v>
      </c>
      <c r="N607" s="996">
        <f t="shared" ca="1" si="95"/>
        <v>0</v>
      </c>
      <c r="O607" s="997">
        <f t="shared" ca="1" si="96"/>
        <v>0</v>
      </c>
      <c r="P607" s="1015" t="str">
        <f ca="1">IF($C607="","",INDEX(NVLSX!$N$2:$N$6941,MATCH($C607,NVLSX!$E$2:$E$6941,0)))</f>
        <v/>
      </c>
      <c r="Q607" s="1016" t="str">
        <f ca="1">IF($R607="","",IF(XKNVLSX!$X$1="",IF($P607=$V$7,$P607, IF(COUNTIFS($C$2:$C606,$C607,$E$2:$E606,$E607)&gt;=1,"",$P607)),     IF(AND(IFERROR(SEARCH($R607,XKNVLSX!$X$1,1),0)&gt;=1,$P607=$V$7),$P607, IF(OR($R607&lt;&gt;IF(IFERROR(SEARCH($R607,XKNVLSX!$X$1,1),0)&gt;=1,$R607,XKNVLSX!$X$1),COUNTIFS($C$2:$C606,$C607,$E$2:$E606,$E607,$Q$2:$Q606,$P607)&gt;=1),"",$P607))))</f>
        <v/>
      </c>
      <c r="R607" s="1017" t="str">
        <f ca="1">IF($A607="","",IFERROR(INDEX(TinhGia!$BF$10:$BF$81,MATCH($A607,TinhGia!$B$10:$B$81,0)),""))</f>
        <v/>
      </c>
      <c r="S607" s="1012" t="str">
        <f ca="1">IF($A607="","",IF(OR(IFERROR(SEARCH($R607,XKNVLSX!$X$1,1),0)&gt;=1,XKNVLSX!$X$1=""),$S$2,""))</f>
        <v/>
      </c>
      <c r="T607" s="1018" t="str">
        <f ca="1">IF($C607="","", IF(OR($P607=$V$1,$P607=$V$7,COUNTIFS($C$3:$C607,$C607,$E$3:$E607,$E607)&lt;=1),$P607,""    ))</f>
        <v/>
      </c>
      <c r="U607" s="1019" t="str">
        <f ca="1">IF(AND($P607=$V$2,COUNTIFS($C$3:$C607,$C607,$E$3:$E607,$E607,$G$3:$G607,$G607)&lt;=1),$P607,"")</f>
        <v/>
      </c>
    </row>
    <row r="608" spans="1:21">
      <c r="A608" s="991" t="str">
        <f ca="1">IFERROR(IF(COUNTIF($A$3:A607,A607)&lt; INDEX(TinhGia!$BH$10:$BH$81,MATCH($A607,TinhGia!$B$10:$B$81,0)),$A607,INDEX(TinhGia!$B$10:$B$81,MATCH($A607,TinhGia!$B$10:$B$81,0)+1)),"")</f>
        <v/>
      </c>
      <c r="B608" s="525" t="str">
        <f ca="1">IF(OR(A608="",A608=0),"",IF(COUNTIF($A$2:A608,$A608)=1,ROW(MauKoXoa!$C$108),$B607+1))</f>
        <v/>
      </c>
      <c r="C608" s="992" t="str">
        <f t="shared" ca="1" si="87"/>
        <v/>
      </c>
      <c r="D608" s="993" t="str">
        <f t="shared" ca="1" si="88"/>
        <v/>
      </c>
      <c r="E608" s="993" t="str">
        <f t="shared" ca="1" si="89"/>
        <v/>
      </c>
      <c r="F608" s="992" t="str">
        <f t="shared" ca="1" si="97"/>
        <v/>
      </c>
      <c r="G608" s="994">
        <f t="shared" ca="1" si="90"/>
        <v>0</v>
      </c>
      <c r="H608" s="913">
        <f t="shared" ca="1" si="91"/>
        <v>0</v>
      </c>
      <c r="I608" s="913">
        <f t="shared" ca="1" si="92"/>
        <v>0</v>
      </c>
      <c r="J608" s="995">
        <f t="shared" ca="1" si="98"/>
        <v>0</v>
      </c>
      <c r="K608" s="913">
        <f t="shared" ca="1" si="93"/>
        <v>0</v>
      </c>
      <c r="L608" s="995">
        <f t="shared" ca="1" si="99"/>
        <v>0</v>
      </c>
      <c r="M608" s="913">
        <f t="shared" ca="1" si="94"/>
        <v>0</v>
      </c>
      <c r="N608" s="996">
        <f t="shared" ca="1" si="95"/>
        <v>0</v>
      </c>
      <c r="O608" s="997">
        <f t="shared" ca="1" si="96"/>
        <v>0</v>
      </c>
      <c r="P608" s="1015" t="str">
        <f ca="1">IF($C608="","",INDEX(NVLSX!$N$2:$N$6941,MATCH($C608,NVLSX!$E$2:$E$6941,0)))</f>
        <v/>
      </c>
      <c r="Q608" s="1016" t="str">
        <f ca="1">IF($R608="","",IF(XKNVLSX!$X$1="",IF($P608=$V$7,$P608, IF(COUNTIFS($C$2:$C607,$C608,$E$2:$E607,$E608)&gt;=1,"",$P608)),     IF(AND(IFERROR(SEARCH($R608,XKNVLSX!$X$1,1),0)&gt;=1,$P608=$V$7),$P608, IF(OR($R608&lt;&gt;IF(IFERROR(SEARCH($R608,XKNVLSX!$X$1,1),0)&gt;=1,$R608,XKNVLSX!$X$1),COUNTIFS($C$2:$C607,$C608,$E$2:$E607,$E608,$Q$2:$Q607,$P608)&gt;=1),"",$P608))))</f>
        <v/>
      </c>
      <c r="R608" s="1017" t="str">
        <f ca="1">IF($A608="","",IFERROR(INDEX(TinhGia!$BF$10:$BF$81,MATCH($A608,TinhGia!$B$10:$B$81,0)),""))</f>
        <v/>
      </c>
      <c r="S608" s="1012" t="str">
        <f ca="1">IF($A608="","",IF(OR(IFERROR(SEARCH($R608,XKNVLSX!$X$1,1),0)&gt;=1,XKNVLSX!$X$1=""),$S$2,""))</f>
        <v/>
      </c>
      <c r="T608" s="1018" t="str">
        <f ca="1">IF($C608="","", IF(OR($P608=$V$1,$P608=$V$7,COUNTIFS($C$3:$C608,$C608,$E$3:$E608,$E608)&lt;=1),$P608,""    ))</f>
        <v/>
      </c>
      <c r="U608" s="1019" t="str">
        <f ca="1">IF(AND($P608=$V$2,COUNTIFS($C$3:$C608,$C608,$E$3:$E608,$E608,$G$3:$G608,$G608)&lt;=1),$P608,"")</f>
        <v/>
      </c>
    </row>
    <row r="609" spans="1:21">
      <c r="A609" s="991" t="str">
        <f ca="1">IFERROR(IF(COUNTIF($A$3:A608,A608)&lt; INDEX(TinhGia!$BH$10:$BH$81,MATCH($A608,TinhGia!$B$10:$B$81,0)),$A608,INDEX(TinhGia!$B$10:$B$81,MATCH($A608,TinhGia!$B$10:$B$81,0)+1)),"")</f>
        <v/>
      </c>
      <c r="B609" s="525" t="str">
        <f ca="1">IF(OR(A609="",A609=0),"",IF(COUNTIF($A$2:A609,$A609)=1,ROW(MauKoXoa!$C$108),$B608+1))</f>
        <v/>
      </c>
      <c r="C609" s="992" t="str">
        <f t="shared" ca="1" si="87"/>
        <v/>
      </c>
      <c r="D609" s="993" t="str">
        <f t="shared" ca="1" si="88"/>
        <v/>
      </c>
      <c r="E609" s="993" t="str">
        <f t="shared" ca="1" si="89"/>
        <v/>
      </c>
      <c r="F609" s="992" t="str">
        <f t="shared" ca="1" si="97"/>
        <v/>
      </c>
      <c r="G609" s="994">
        <f t="shared" ca="1" si="90"/>
        <v>0</v>
      </c>
      <c r="H609" s="913">
        <f t="shared" ca="1" si="91"/>
        <v>0</v>
      </c>
      <c r="I609" s="913">
        <f t="shared" ca="1" si="92"/>
        <v>0</v>
      </c>
      <c r="J609" s="995">
        <f t="shared" ca="1" si="98"/>
        <v>0</v>
      </c>
      <c r="K609" s="913">
        <f t="shared" ca="1" si="93"/>
        <v>0</v>
      </c>
      <c r="L609" s="995">
        <f t="shared" ca="1" si="99"/>
        <v>0</v>
      </c>
      <c r="M609" s="913">
        <f t="shared" ca="1" si="94"/>
        <v>0</v>
      </c>
      <c r="N609" s="996">
        <f t="shared" ca="1" si="95"/>
        <v>0</v>
      </c>
      <c r="O609" s="997">
        <f t="shared" ca="1" si="96"/>
        <v>0</v>
      </c>
      <c r="P609" s="1015" t="str">
        <f ca="1">IF($C609="","",INDEX(NVLSX!$N$2:$N$6941,MATCH($C609,NVLSX!$E$2:$E$6941,0)))</f>
        <v/>
      </c>
      <c r="Q609" s="1016" t="str">
        <f ca="1">IF($R609="","",IF(XKNVLSX!$X$1="",IF($P609=$V$7,$P609, IF(COUNTIFS($C$2:$C608,$C609,$E$2:$E608,$E609)&gt;=1,"",$P609)),     IF(AND(IFERROR(SEARCH($R609,XKNVLSX!$X$1,1),0)&gt;=1,$P609=$V$7),$P609, IF(OR($R609&lt;&gt;IF(IFERROR(SEARCH($R609,XKNVLSX!$X$1,1),0)&gt;=1,$R609,XKNVLSX!$X$1),COUNTIFS($C$2:$C608,$C609,$E$2:$E608,$E609,$Q$2:$Q608,$P609)&gt;=1),"",$P609))))</f>
        <v/>
      </c>
      <c r="R609" s="1017" t="str">
        <f ca="1">IF($A609="","",IFERROR(INDEX(TinhGia!$BF$10:$BF$81,MATCH($A609,TinhGia!$B$10:$B$81,0)),""))</f>
        <v/>
      </c>
      <c r="S609" s="1012" t="str">
        <f ca="1">IF($A609="","",IF(OR(IFERROR(SEARCH($R609,XKNVLSX!$X$1,1),0)&gt;=1,XKNVLSX!$X$1=""),$S$2,""))</f>
        <v/>
      </c>
      <c r="T609" s="1018" t="str">
        <f ca="1">IF($C609="","", IF(OR($P609=$V$1,$P609=$V$7,COUNTIFS($C$3:$C609,$C609,$E$3:$E609,$E609)&lt;=1),$P609,""    ))</f>
        <v/>
      </c>
      <c r="U609" s="1019" t="str">
        <f ca="1">IF(AND($P609=$V$2,COUNTIFS($C$3:$C609,$C609,$E$3:$E609,$E609,$G$3:$G609,$G609)&lt;=1),$P609,"")</f>
        <v/>
      </c>
    </row>
    <row r="610" spans="1:21">
      <c r="A610" s="991" t="str">
        <f ca="1">IFERROR(IF(COUNTIF($A$3:A609,A609)&lt; INDEX(TinhGia!$BH$10:$BH$81,MATCH($A609,TinhGia!$B$10:$B$81,0)),$A609,INDEX(TinhGia!$B$10:$B$81,MATCH($A609,TinhGia!$B$10:$B$81,0)+1)),"")</f>
        <v/>
      </c>
      <c r="B610" s="525" t="str">
        <f ca="1">IF(OR(A610="",A610=0),"",IF(COUNTIF($A$2:A610,$A610)=1,ROW(MauKoXoa!$C$108),$B609+1))</f>
        <v/>
      </c>
      <c r="C610" s="992" t="str">
        <f t="shared" ca="1" si="87"/>
        <v/>
      </c>
      <c r="D610" s="993" t="str">
        <f t="shared" ca="1" si="88"/>
        <v/>
      </c>
      <c r="E610" s="993" t="str">
        <f t="shared" ca="1" si="89"/>
        <v/>
      </c>
      <c r="F610" s="992" t="str">
        <f t="shared" ca="1" si="97"/>
        <v/>
      </c>
      <c r="G610" s="994">
        <f t="shared" ca="1" si="90"/>
        <v>0</v>
      </c>
      <c r="H610" s="913">
        <f t="shared" ca="1" si="91"/>
        <v>0</v>
      </c>
      <c r="I610" s="913">
        <f t="shared" ca="1" si="92"/>
        <v>0</v>
      </c>
      <c r="J610" s="995">
        <f t="shared" ca="1" si="98"/>
        <v>0</v>
      </c>
      <c r="K610" s="913">
        <f t="shared" ca="1" si="93"/>
        <v>0</v>
      </c>
      <c r="L610" s="995">
        <f t="shared" ca="1" si="99"/>
        <v>0</v>
      </c>
      <c r="M610" s="913">
        <f t="shared" ca="1" si="94"/>
        <v>0</v>
      </c>
      <c r="N610" s="996">
        <f t="shared" ca="1" si="95"/>
        <v>0</v>
      </c>
      <c r="O610" s="997">
        <f t="shared" ca="1" si="96"/>
        <v>0</v>
      </c>
      <c r="P610" s="1015" t="str">
        <f ca="1">IF($C610="","",INDEX(NVLSX!$N$2:$N$6941,MATCH($C610,NVLSX!$E$2:$E$6941,0)))</f>
        <v/>
      </c>
      <c r="Q610" s="1016" t="str">
        <f ca="1">IF($R610="","",IF(XKNVLSX!$X$1="",IF($P610=$V$7,$P610, IF(COUNTIFS($C$2:$C609,$C610,$E$2:$E609,$E610)&gt;=1,"",$P610)),     IF(AND(IFERROR(SEARCH($R610,XKNVLSX!$X$1,1),0)&gt;=1,$P610=$V$7),$P610, IF(OR($R610&lt;&gt;IF(IFERROR(SEARCH($R610,XKNVLSX!$X$1,1),0)&gt;=1,$R610,XKNVLSX!$X$1),COUNTIFS($C$2:$C609,$C610,$E$2:$E609,$E610,$Q$2:$Q609,$P610)&gt;=1),"",$P610))))</f>
        <v/>
      </c>
      <c r="R610" s="1017" t="str">
        <f ca="1">IF($A610="","",IFERROR(INDEX(TinhGia!$BF$10:$BF$81,MATCH($A610,TinhGia!$B$10:$B$81,0)),""))</f>
        <v/>
      </c>
      <c r="S610" s="1012" t="str">
        <f ca="1">IF($A610="","",IF(OR(IFERROR(SEARCH($R610,XKNVLSX!$X$1,1),0)&gt;=1,XKNVLSX!$X$1=""),$S$2,""))</f>
        <v/>
      </c>
      <c r="T610" s="1018" t="str">
        <f ca="1">IF($C610="","", IF(OR($P610=$V$1,$P610=$V$7,COUNTIFS($C$3:$C610,$C610,$E$3:$E610,$E610)&lt;=1),$P610,""    ))</f>
        <v/>
      </c>
      <c r="U610" s="1019" t="str">
        <f ca="1">IF(AND($P610=$V$2,COUNTIFS($C$3:$C610,$C610,$E$3:$E610,$E610,$G$3:$G610,$G610)&lt;=1),$P610,"")</f>
        <v/>
      </c>
    </row>
    <row r="611" spans="1:21">
      <c r="A611" s="991" t="str">
        <f ca="1">IFERROR(IF(COUNTIF($A$3:A610,A610)&lt; INDEX(TinhGia!$BH$10:$BH$81,MATCH($A610,TinhGia!$B$10:$B$81,0)),$A610,INDEX(TinhGia!$B$10:$B$81,MATCH($A610,TinhGia!$B$10:$B$81,0)+1)),"")</f>
        <v/>
      </c>
      <c r="B611" s="525" t="str">
        <f ca="1">IF(OR(A611="",A611=0),"",IF(COUNTIF($A$2:A611,$A611)=1,ROW(MauKoXoa!$C$108),$B610+1))</f>
        <v/>
      </c>
      <c r="C611" s="992" t="str">
        <f t="shared" ca="1" si="87"/>
        <v/>
      </c>
      <c r="D611" s="993" t="str">
        <f t="shared" ca="1" si="88"/>
        <v/>
      </c>
      <c r="E611" s="993" t="str">
        <f t="shared" ca="1" si="89"/>
        <v/>
      </c>
      <c r="F611" s="992" t="str">
        <f t="shared" ca="1" si="97"/>
        <v/>
      </c>
      <c r="G611" s="994">
        <f t="shared" ca="1" si="90"/>
        <v>0</v>
      </c>
      <c r="H611" s="913">
        <f t="shared" ca="1" si="91"/>
        <v>0</v>
      </c>
      <c r="I611" s="913">
        <f t="shared" ca="1" si="92"/>
        <v>0</v>
      </c>
      <c r="J611" s="995">
        <f t="shared" ca="1" si="98"/>
        <v>0</v>
      </c>
      <c r="K611" s="913">
        <f t="shared" ca="1" si="93"/>
        <v>0</v>
      </c>
      <c r="L611" s="995">
        <f t="shared" ca="1" si="99"/>
        <v>0</v>
      </c>
      <c r="M611" s="913">
        <f t="shared" ca="1" si="94"/>
        <v>0</v>
      </c>
      <c r="N611" s="996">
        <f t="shared" ca="1" si="95"/>
        <v>0</v>
      </c>
      <c r="O611" s="997">
        <f t="shared" ca="1" si="96"/>
        <v>0</v>
      </c>
      <c r="P611" s="1015" t="str">
        <f ca="1">IF($C611="","",INDEX(NVLSX!$N$2:$N$6941,MATCH($C611,NVLSX!$E$2:$E$6941,0)))</f>
        <v/>
      </c>
      <c r="Q611" s="1016" t="str">
        <f ca="1">IF($R611="","",IF(XKNVLSX!$X$1="",IF($P611=$V$7,$P611, IF(COUNTIFS($C$2:$C610,$C611,$E$2:$E610,$E611)&gt;=1,"",$P611)),     IF(AND(IFERROR(SEARCH($R611,XKNVLSX!$X$1,1),0)&gt;=1,$P611=$V$7),$P611, IF(OR($R611&lt;&gt;IF(IFERROR(SEARCH($R611,XKNVLSX!$X$1,1),0)&gt;=1,$R611,XKNVLSX!$X$1),COUNTIFS($C$2:$C610,$C611,$E$2:$E610,$E611,$Q$2:$Q610,$P611)&gt;=1),"",$P611))))</f>
        <v/>
      </c>
      <c r="R611" s="1017" t="str">
        <f ca="1">IF($A611="","",IFERROR(INDEX(TinhGia!$BF$10:$BF$81,MATCH($A611,TinhGia!$B$10:$B$81,0)),""))</f>
        <v/>
      </c>
      <c r="S611" s="1012" t="str">
        <f ca="1">IF($A611="","",IF(OR(IFERROR(SEARCH($R611,XKNVLSX!$X$1,1),0)&gt;=1,XKNVLSX!$X$1=""),$S$2,""))</f>
        <v/>
      </c>
      <c r="T611" s="1018" t="str">
        <f ca="1">IF($C611="","", IF(OR($P611=$V$1,$P611=$V$7,COUNTIFS($C$3:$C611,$C611,$E$3:$E611,$E611)&lt;=1),$P611,""    ))</f>
        <v/>
      </c>
      <c r="U611" s="1019" t="str">
        <f ca="1">IF(AND($P611=$V$2,COUNTIFS($C$3:$C611,$C611,$E$3:$E611,$E611,$G$3:$G611,$G611)&lt;=1),$P611,"")</f>
        <v/>
      </c>
    </row>
    <row r="612" spans="1:21">
      <c r="A612" s="991" t="str">
        <f ca="1">IFERROR(IF(COUNTIF($A$3:A611,A611)&lt; INDEX(TinhGia!$BH$10:$BH$81,MATCH($A611,TinhGia!$B$10:$B$81,0)),$A611,INDEX(TinhGia!$B$10:$B$81,MATCH($A611,TinhGia!$B$10:$B$81,0)+1)),"")</f>
        <v/>
      </c>
      <c r="B612" s="525" t="str">
        <f ca="1">IF(OR(A612="",A612=0),"",IF(COUNTIF($A$2:A612,$A612)=1,ROW(MauKoXoa!$C$108),$B611+1))</f>
        <v/>
      </c>
      <c r="C612" s="992" t="str">
        <f t="shared" ca="1" si="87"/>
        <v/>
      </c>
      <c r="D612" s="993" t="str">
        <f t="shared" ca="1" si="88"/>
        <v/>
      </c>
      <c r="E612" s="993" t="str">
        <f t="shared" ca="1" si="89"/>
        <v/>
      </c>
      <c r="F612" s="992" t="str">
        <f t="shared" ca="1" si="97"/>
        <v/>
      </c>
      <c r="G612" s="994">
        <f t="shared" ca="1" si="90"/>
        <v>0</v>
      </c>
      <c r="H612" s="913">
        <f t="shared" ca="1" si="91"/>
        <v>0</v>
      </c>
      <c r="I612" s="913">
        <f t="shared" ca="1" si="92"/>
        <v>0</v>
      </c>
      <c r="J612" s="995">
        <f t="shared" ca="1" si="98"/>
        <v>0</v>
      </c>
      <c r="K612" s="913">
        <f t="shared" ca="1" si="93"/>
        <v>0</v>
      </c>
      <c r="L612" s="995">
        <f t="shared" ca="1" si="99"/>
        <v>0</v>
      </c>
      <c r="M612" s="913">
        <f t="shared" ca="1" si="94"/>
        <v>0</v>
      </c>
      <c r="N612" s="996">
        <f t="shared" ca="1" si="95"/>
        <v>0</v>
      </c>
      <c r="O612" s="997">
        <f t="shared" ca="1" si="96"/>
        <v>0</v>
      </c>
      <c r="P612" s="1015" t="str">
        <f ca="1">IF($C612="","",INDEX(NVLSX!$N$2:$N$6941,MATCH($C612,NVLSX!$E$2:$E$6941,0)))</f>
        <v/>
      </c>
      <c r="Q612" s="1016" t="str">
        <f ca="1">IF($R612="","",IF(XKNVLSX!$X$1="",IF($P612=$V$7,$P612, IF(COUNTIFS($C$2:$C611,$C612,$E$2:$E611,$E612)&gt;=1,"",$P612)),     IF(AND(IFERROR(SEARCH($R612,XKNVLSX!$X$1,1),0)&gt;=1,$P612=$V$7),$P612, IF(OR($R612&lt;&gt;IF(IFERROR(SEARCH($R612,XKNVLSX!$X$1,1),0)&gt;=1,$R612,XKNVLSX!$X$1),COUNTIFS($C$2:$C611,$C612,$E$2:$E611,$E612,$Q$2:$Q611,$P612)&gt;=1),"",$P612))))</f>
        <v/>
      </c>
      <c r="R612" s="1017" t="str">
        <f ca="1">IF($A612="","",IFERROR(INDEX(TinhGia!$BF$10:$BF$81,MATCH($A612,TinhGia!$B$10:$B$81,0)),""))</f>
        <v/>
      </c>
      <c r="S612" s="1012" t="str">
        <f ca="1">IF($A612="","",IF(OR(IFERROR(SEARCH($R612,XKNVLSX!$X$1,1),0)&gt;=1,XKNVLSX!$X$1=""),$S$2,""))</f>
        <v/>
      </c>
      <c r="T612" s="1018" t="str">
        <f ca="1">IF($C612="","", IF(OR($P612=$V$1,$P612=$V$7,COUNTIFS($C$3:$C612,$C612,$E$3:$E612,$E612)&lt;=1),$P612,""    ))</f>
        <v/>
      </c>
      <c r="U612" s="1019" t="str">
        <f ca="1">IF(AND($P612=$V$2,COUNTIFS($C$3:$C612,$C612,$E$3:$E612,$E612,$G$3:$G612,$G612)&lt;=1),$P612,"")</f>
        <v/>
      </c>
    </row>
    <row r="613" spans="1:21">
      <c r="A613" s="991" t="str">
        <f ca="1">IFERROR(IF(COUNTIF($A$3:A612,A612)&lt; INDEX(TinhGia!$BH$10:$BH$81,MATCH($A612,TinhGia!$B$10:$B$81,0)),$A612,INDEX(TinhGia!$B$10:$B$81,MATCH($A612,TinhGia!$B$10:$B$81,0)+1)),"")</f>
        <v/>
      </c>
      <c r="B613" s="525" t="str">
        <f ca="1">IF(OR(A613="",A613=0),"",IF(COUNTIF($A$2:A613,$A613)=1,ROW(MauKoXoa!$C$108),$B612+1))</f>
        <v/>
      </c>
      <c r="C613" s="992" t="str">
        <f t="shared" ca="1" si="87"/>
        <v/>
      </c>
      <c r="D613" s="993" t="str">
        <f t="shared" ca="1" si="88"/>
        <v/>
      </c>
      <c r="E613" s="993" t="str">
        <f t="shared" ca="1" si="89"/>
        <v/>
      </c>
      <c r="F613" s="992" t="str">
        <f t="shared" ca="1" si="97"/>
        <v/>
      </c>
      <c r="G613" s="994">
        <f t="shared" ca="1" si="90"/>
        <v>0</v>
      </c>
      <c r="H613" s="913">
        <f t="shared" ca="1" si="91"/>
        <v>0</v>
      </c>
      <c r="I613" s="913">
        <f t="shared" ca="1" si="92"/>
        <v>0</v>
      </c>
      <c r="J613" s="995">
        <f t="shared" ca="1" si="98"/>
        <v>0</v>
      </c>
      <c r="K613" s="913">
        <f t="shared" ca="1" si="93"/>
        <v>0</v>
      </c>
      <c r="L613" s="995">
        <f t="shared" ca="1" si="99"/>
        <v>0</v>
      </c>
      <c r="M613" s="913">
        <f t="shared" ca="1" si="94"/>
        <v>0</v>
      </c>
      <c r="N613" s="996">
        <f t="shared" ca="1" si="95"/>
        <v>0</v>
      </c>
      <c r="O613" s="997">
        <f t="shared" ca="1" si="96"/>
        <v>0</v>
      </c>
      <c r="P613" s="1015" t="str">
        <f ca="1">IF($C613="","",INDEX(NVLSX!$N$2:$N$6941,MATCH($C613,NVLSX!$E$2:$E$6941,0)))</f>
        <v/>
      </c>
      <c r="Q613" s="1016" t="str">
        <f ca="1">IF($R613="","",IF(XKNVLSX!$X$1="",IF($P613=$V$7,$P613, IF(COUNTIFS($C$2:$C612,$C613,$E$2:$E612,$E613)&gt;=1,"",$P613)),     IF(AND(IFERROR(SEARCH($R613,XKNVLSX!$X$1,1),0)&gt;=1,$P613=$V$7),$P613, IF(OR($R613&lt;&gt;IF(IFERROR(SEARCH($R613,XKNVLSX!$X$1,1),0)&gt;=1,$R613,XKNVLSX!$X$1),COUNTIFS($C$2:$C612,$C613,$E$2:$E612,$E613,$Q$2:$Q612,$P613)&gt;=1),"",$P613))))</f>
        <v/>
      </c>
      <c r="R613" s="1017" t="str">
        <f ca="1">IF($A613="","",IFERROR(INDEX(TinhGia!$BF$10:$BF$81,MATCH($A613,TinhGia!$B$10:$B$81,0)),""))</f>
        <v/>
      </c>
      <c r="S613" s="1012" t="str">
        <f ca="1">IF($A613="","",IF(OR(IFERROR(SEARCH($R613,XKNVLSX!$X$1,1),0)&gt;=1,XKNVLSX!$X$1=""),$S$2,""))</f>
        <v/>
      </c>
      <c r="T613" s="1018" t="str">
        <f ca="1">IF($C613="","", IF(OR($P613=$V$1,$P613=$V$7,COUNTIFS($C$3:$C613,$C613,$E$3:$E613,$E613)&lt;=1),$P613,""    ))</f>
        <v/>
      </c>
      <c r="U613" s="1019" t="str">
        <f ca="1">IF(AND($P613=$V$2,COUNTIFS($C$3:$C613,$C613,$E$3:$E613,$E613,$G$3:$G613,$G613)&lt;=1),$P613,"")</f>
        <v/>
      </c>
    </row>
    <row r="614" spans="1:21">
      <c r="A614" s="991" t="str">
        <f ca="1">IFERROR(IF(COUNTIF($A$3:A613,A613)&lt; INDEX(TinhGia!$BH$10:$BH$81,MATCH($A613,TinhGia!$B$10:$B$81,0)),$A613,INDEX(TinhGia!$B$10:$B$81,MATCH($A613,TinhGia!$B$10:$B$81,0)+1)),"")</f>
        <v/>
      </c>
      <c r="B614" s="525" t="str">
        <f ca="1">IF(OR(A614="",A614=0),"",IF(COUNTIF($A$2:A614,$A614)=1,ROW(MauKoXoa!$C$108),$B613+1))</f>
        <v/>
      </c>
      <c r="C614" s="992" t="str">
        <f t="shared" ca="1" si="87"/>
        <v/>
      </c>
      <c r="D614" s="993" t="str">
        <f t="shared" ca="1" si="88"/>
        <v/>
      </c>
      <c r="E614" s="993" t="str">
        <f t="shared" ca="1" si="89"/>
        <v/>
      </c>
      <c r="F614" s="992" t="str">
        <f t="shared" ca="1" si="97"/>
        <v/>
      </c>
      <c r="G614" s="994">
        <f t="shared" ca="1" si="90"/>
        <v>0</v>
      </c>
      <c r="H614" s="913">
        <f t="shared" ca="1" si="91"/>
        <v>0</v>
      </c>
      <c r="I614" s="913">
        <f t="shared" ca="1" si="92"/>
        <v>0</v>
      </c>
      <c r="J614" s="995">
        <f t="shared" ca="1" si="98"/>
        <v>0</v>
      </c>
      <c r="K614" s="913">
        <f t="shared" ca="1" si="93"/>
        <v>0</v>
      </c>
      <c r="L614" s="995">
        <f t="shared" ca="1" si="99"/>
        <v>0</v>
      </c>
      <c r="M614" s="913">
        <f t="shared" ca="1" si="94"/>
        <v>0</v>
      </c>
      <c r="N614" s="996">
        <f t="shared" ca="1" si="95"/>
        <v>0</v>
      </c>
      <c r="O614" s="997">
        <f t="shared" ca="1" si="96"/>
        <v>0</v>
      </c>
      <c r="P614" s="1015" t="str">
        <f ca="1">IF($C614="","",INDEX(NVLSX!$N$2:$N$6941,MATCH($C614,NVLSX!$E$2:$E$6941,0)))</f>
        <v/>
      </c>
      <c r="Q614" s="1016" t="str">
        <f ca="1">IF($R614="","",IF(XKNVLSX!$X$1="",IF($P614=$V$7,$P614, IF(COUNTIFS($C$2:$C613,$C614,$E$2:$E613,$E614)&gt;=1,"",$P614)),     IF(AND(IFERROR(SEARCH($R614,XKNVLSX!$X$1,1),0)&gt;=1,$P614=$V$7),$P614, IF(OR($R614&lt;&gt;IF(IFERROR(SEARCH($R614,XKNVLSX!$X$1,1),0)&gt;=1,$R614,XKNVLSX!$X$1),COUNTIFS($C$2:$C613,$C614,$E$2:$E613,$E614,$Q$2:$Q613,$P614)&gt;=1),"",$P614))))</f>
        <v/>
      </c>
      <c r="R614" s="1017" t="str">
        <f ca="1">IF($A614="","",IFERROR(INDEX(TinhGia!$BF$10:$BF$81,MATCH($A614,TinhGia!$B$10:$B$81,0)),""))</f>
        <v/>
      </c>
      <c r="S614" s="1012" t="str">
        <f ca="1">IF($A614="","",IF(OR(IFERROR(SEARCH($R614,XKNVLSX!$X$1,1),0)&gt;=1,XKNVLSX!$X$1=""),$S$2,""))</f>
        <v/>
      </c>
      <c r="T614" s="1018" t="str">
        <f ca="1">IF($C614="","", IF(OR($P614=$V$1,$P614=$V$7,COUNTIFS($C$3:$C614,$C614,$E$3:$E614,$E614)&lt;=1),$P614,""    ))</f>
        <v/>
      </c>
      <c r="U614" s="1019" t="str">
        <f ca="1">IF(AND($P614=$V$2,COUNTIFS($C$3:$C614,$C614,$E$3:$E614,$E614,$G$3:$G614,$G614)&lt;=1),$P614,"")</f>
        <v/>
      </c>
    </row>
    <row r="615" spans="1:21">
      <c r="A615" s="991" t="str">
        <f ca="1">IFERROR(IF(COUNTIF($A$3:A614,A614)&lt; INDEX(TinhGia!$BH$10:$BH$81,MATCH($A614,TinhGia!$B$10:$B$81,0)),$A614,INDEX(TinhGia!$B$10:$B$81,MATCH($A614,TinhGia!$B$10:$B$81,0)+1)),"")</f>
        <v/>
      </c>
      <c r="B615" s="525" t="str">
        <f ca="1">IF(OR(A615="",A615=0),"",IF(COUNTIF($A$2:A615,$A615)=1,ROW(MauKoXoa!$C$108),$B614+1))</f>
        <v/>
      </c>
      <c r="C615" s="992" t="str">
        <f t="shared" ca="1" si="87"/>
        <v/>
      </c>
      <c r="D615" s="993" t="str">
        <f t="shared" ca="1" si="88"/>
        <v/>
      </c>
      <c r="E615" s="993" t="str">
        <f t="shared" ca="1" si="89"/>
        <v/>
      </c>
      <c r="F615" s="992" t="str">
        <f t="shared" ca="1" si="97"/>
        <v/>
      </c>
      <c r="G615" s="994">
        <f t="shared" ca="1" si="90"/>
        <v>0</v>
      </c>
      <c r="H615" s="913">
        <f t="shared" ca="1" si="91"/>
        <v>0</v>
      </c>
      <c r="I615" s="913">
        <f t="shared" ca="1" si="92"/>
        <v>0</v>
      </c>
      <c r="J615" s="995">
        <f t="shared" ca="1" si="98"/>
        <v>0</v>
      </c>
      <c r="K615" s="913">
        <f t="shared" ca="1" si="93"/>
        <v>0</v>
      </c>
      <c r="L615" s="995">
        <f t="shared" ca="1" si="99"/>
        <v>0</v>
      </c>
      <c r="M615" s="913">
        <f t="shared" ca="1" si="94"/>
        <v>0</v>
      </c>
      <c r="N615" s="996">
        <f t="shared" ca="1" si="95"/>
        <v>0</v>
      </c>
      <c r="O615" s="997">
        <f t="shared" ca="1" si="96"/>
        <v>0</v>
      </c>
      <c r="P615" s="1015" t="str">
        <f ca="1">IF($C615="","",INDEX(NVLSX!$N$2:$N$6941,MATCH($C615,NVLSX!$E$2:$E$6941,0)))</f>
        <v/>
      </c>
      <c r="Q615" s="1016" t="str">
        <f ca="1">IF($R615="","",IF(XKNVLSX!$X$1="",IF($P615=$V$7,$P615, IF(COUNTIFS($C$2:$C614,$C615,$E$2:$E614,$E615)&gt;=1,"",$P615)),     IF(AND(IFERROR(SEARCH($R615,XKNVLSX!$X$1,1),0)&gt;=1,$P615=$V$7),$P615, IF(OR($R615&lt;&gt;IF(IFERROR(SEARCH($R615,XKNVLSX!$X$1,1),0)&gt;=1,$R615,XKNVLSX!$X$1),COUNTIFS($C$2:$C614,$C615,$E$2:$E614,$E615,$Q$2:$Q614,$P615)&gt;=1),"",$P615))))</f>
        <v/>
      </c>
      <c r="R615" s="1017" t="str">
        <f ca="1">IF($A615="","",IFERROR(INDEX(TinhGia!$BF$10:$BF$81,MATCH($A615,TinhGia!$B$10:$B$81,0)),""))</f>
        <v/>
      </c>
      <c r="S615" s="1012" t="str">
        <f ca="1">IF($A615="","",IF(OR(IFERROR(SEARCH($R615,XKNVLSX!$X$1,1),0)&gt;=1,XKNVLSX!$X$1=""),$S$2,""))</f>
        <v/>
      </c>
      <c r="T615" s="1018" t="str">
        <f ca="1">IF($C615="","", IF(OR($P615=$V$1,$P615=$V$7,COUNTIFS($C$3:$C615,$C615,$E$3:$E615,$E615)&lt;=1),$P615,""    ))</f>
        <v/>
      </c>
      <c r="U615" s="1019" t="str">
        <f ca="1">IF(AND($P615=$V$2,COUNTIFS($C$3:$C615,$C615,$E$3:$E615,$E615,$G$3:$G615,$G615)&lt;=1),$P615,"")</f>
        <v/>
      </c>
    </row>
    <row r="616" spans="1:21">
      <c r="A616" s="991" t="str">
        <f ca="1">IFERROR(IF(COUNTIF($A$3:A615,A615)&lt; INDEX(TinhGia!$BH$10:$BH$81,MATCH($A615,TinhGia!$B$10:$B$81,0)),$A615,INDEX(TinhGia!$B$10:$B$81,MATCH($A615,TinhGia!$B$10:$B$81,0)+1)),"")</f>
        <v/>
      </c>
      <c r="B616" s="525" t="str">
        <f ca="1">IF(OR(A616="",A616=0),"",IF(COUNTIF($A$2:A616,$A616)=1,ROW(MauKoXoa!$C$108),$B615+1))</f>
        <v/>
      </c>
      <c r="C616" s="992" t="str">
        <f t="shared" ca="1" si="87"/>
        <v/>
      </c>
      <c r="D616" s="993" t="str">
        <f t="shared" ca="1" si="88"/>
        <v/>
      </c>
      <c r="E616" s="993" t="str">
        <f t="shared" ca="1" si="89"/>
        <v/>
      </c>
      <c r="F616" s="992" t="str">
        <f t="shared" ca="1" si="97"/>
        <v/>
      </c>
      <c r="G616" s="994">
        <f t="shared" ca="1" si="90"/>
        <v>0</v>
      </c>
      <c r="H616" s="913">
        <f t="shared" ca="1" si="91"/>
        <v>0</v>
      </c>
      <c r="I616" s="913">
        <f t="shared" ca="1" si="92"/>
        <v>0</v>
      </c>
      <c r="J616" s="995">
        <f t="shared" ca="1" si="98"/>
        <v>0</v>
      </c>
      <c r="K616" s="913">
        <f t="shared" ca="1" si="93"/>
        <v>0</v>
      </c>
      <c r="L616" s="995">
        <f t="shared" ca="1" si="99"/>
        <v>0</v>
      </c>
      <c r="M616" s="913">
        <f t="shared" ca="1" si="94"/>
        <v>0</v>
      </c>
      <c r="N616" s="996">
        <f t="shared" ca="1" si="95"/>
        <v>0</v>
      </c>
      <c r="O616" s="997">
        <f t="shared" ca="1" si="96"/>
        <v>0</v>
      </c>
      <c r="P616" s="1015" t="str">
        <f ca="1">IF($C616="","",INDEX(NVLSX!$N$2:$N$6941,MATCH($C616,NVLSX!$E$2:$E$6941,0)))</f>
        <v/>
      </c>
      <c r="Q616" s="1016" t="str">
        <f ca="1">IF($R616="","",IF(XKNVLSX!$X$1="",IF($P616=$V$7,$P616, IF(COUNTIFS($C$2:$C615,$C616,$E$2:$E615,$E616)&gt;=1,"",$P616)),     IF(AND(IFERROR(SEARCH($R616,XKNVLSX!$X$1,1),0)&gt;=1,$P616=$V$7),$P616, IF(OR($R616&lt;&gt;IF(IFERROR(SEARCH($R616,XKNVLSX!$X$1,1),0)&gt;=1,$R616,XKNVLSX!$X$1),COUNTIFS($C$2:$C615,$C616,$E$2:$E615,$E616,$Q$2:$Q615,$P616)&gt;=1),"",$P616))))</f>
        <v/>
      </c>
      <c r="R616" s="1017" t="str">
        <f ca="1">IF($A616="","",IFERROR(INDEX(TinhGia!$BF$10:$BF$81,MATCH($A616,TinhGia!$B$10:$B$81,0)),""))</f>
        <v/>
      </c>
      <c r="S616" s="1012" t="str">
        <f ca="1">IF($A616="","",IF(OR(IFERROR(SEARCH($R616,XKNVLSX!$X$1,1),0)&gt;=1,XKNVLSX!$X$1=""),$S$2,""))</f>
        <v/>
      </c>
      <c r="T616" s="1018" t="str">
        <f ca="1">IF($C616="","", IF(OR($P616=$V$1,$P616=$V$7,COUNTIFS($C$3:$C616,$C616,$E$3:$E616,$E616)&lt;=1),$P616,""    ))</f>
        <v/>
      </c>
      <c r="U616" s="1019" t="str">
        <f ca="1">IF(AND($P616=$V$2,COUNTIFS($C$3:$C616,$C616,$E$3:$E616,$E616,$G$3:$G616,$G616)&lt;=1),$P616,"")</f>
        <v/>
      </c>
    </row>
    <row r="617" spans="1:21">
      <c r="A617" s="991" t="str">
        <f ca="1">IFERROR(IF(COUNTIF($A$3:A616,A616)&lt; INDEX(TinhGia!$BH$10:$BH$81,MATCH($A616,TinhGia!$B$10:$B$81,0)),$A616,INDEX(TinhGia!$B$10:$B$81,MATCH($A616,TinhGia!$B$10:$B$81,0)+1)),"")</f>
        <v/>
      </c>
      <c r="B617" s="525" t="str">
        <f ca="1">IF(OR(A617="",A617=0),"",IF(COUNTIF($A$2:A617,$A617)=1,ROW(MauKoXoa!$C$108),$B616+1))</f>
        <v/>
      </c>
      <c r="C617" s="992" t="str">
        <f t="shared" ca="1" si="87"/>
        <v/>
      </c>
      <c r="D617" s="993" t="str">
        <f t="shared" ca="1" si="88"/>
        <v/>
      </c>
      <c r="E617" s="993" t="str">
        <f t="shared" ca="1" si="89"/>
        <v/>
      </c>
      <c r="F617" s="992" t="str">
        <f t="shared" ca="1" si="97"/>
        <v/>
      </c>
      <c r="G617" s="994">
        <f t="shared" ca="1" si="90"/>
        <v>0</v>
      </c>
      <c r="H617" s="913">
        <f t="shared" ca="1" si="91"/>
        <v>0</v>
      </c>
      <c r="I617" s="913">
        <f t="shared" ca="1" si="92"/>
        <v>0</v>
      </c>
      <c r="J617" s="995">
        <f t="shared" ca="1" si="98"/>
        <v>0</v>
      </c>
      <c r="K617" s="913">
        <f t="shared" ca="1" si="93"/>
        <v>0</v>
      </c>
      <c r="L617" s="995">
        <f t="shared" ca="1" si="99"/>
        <v>0</v>
      </c>
      <c r="M617" s="913">
        <f t="shared" ca="1" si="94"/>
        <v>0</v>
      </c>
      <c r="N617" s="996">
        <f t="shared" ca="1" si="95"/>
        <v>0</v>
      </c>
      <c r="O617" s="997">
        <f t="shared" ca="1" si="96"/>
        <v>0</v>
      </c>
      <c r="P617" s="1015" t="str">
        <f ca="1">IF($C617="","",INDEX(NVLSX!$N$2:$N$6941,MATCH($C617,NVLSX!$E$2:$E$6941,0)))</f>
        <v/>
      </c>
      <c r="Q617" s="1016" t="str">
        <f ca="1">IF($R617="","",IF(XKNVLSX!$X$1="",IF($P617=$V$7,$P617, IF(COUNTIFS($C$2:$C616,$C617,$E$2:$E616,$E617)&gt;=1,"",$P617)),     IF(AND(IFERROR(SEARCH($R617,XKNVLSX!$X$1,1),0)&gt;=1,$P617=$V$7),$P617, IF(OR($R617&lt;&gt;IF(IFERROR(SEARCH($R617,XKNVLSX!$X$1,1),0)&gt;=1,$R617,XKNVLSX!$X$1),COUNTIFS($C$2:$C616,$C617,$E$2:$E616,$E617,$Q$2:$Q616,$P617)&gt;=1),"",$P617))))</f>
        <v/>
      </c>
      <c r="R617" s="1017" t="str">
        <f ca="1">IF($A617="","",IFERROR(INDEX(TinhGia!$BF$10:$BF$81,MATCH($A617,TinhGia!$B$10:$B$81,0)),""))</f>
        <v/>
      </c>
      <c r="S617" s="1012" t="str">
        <f ca="1">IF($A617="","",IF(OR(IFERROR(SEARCH($R617,XKNVLSX!$X$1,1),0)&gt;=1,XKNVLSX!$X$1=""),$S$2,""))</f>
        <v/>
      </c>
      <c r="T617" s="1018" t="str">
        <f ca="1">IF($C617="","", IF(OR($P617=$V$1,$P617=$V$7,COUNTIFS($C$3:$C617,$C617,$E$3:$E617,$E617)&lt;=1),$P617,""    ))</f>
        <v/>
      </c>
      <c r="U617" s="1019" t="str">
        <f ca="1">IF(AND($P617=$V$2,COUNTIFS($C$3:$C617,$C617,$E$3:$E617,$E617,$G$3:$G617,$G617)&lt;=1),$P617,"")</f>
        <v/>
      </c>
    </row>
    <row r="618" spans="1:21">
      <c r="A618" s="991" t="str">
        <f ca="1">IFERROR(IF(COUNTIF($A$3:A617,A617)&lt; INDEX(TinhGia!$BH$10:$BH$81,MATCH($A617,TinhGia!$B$10:$B$81,0)),$A617,INDEX(TinhGia!$B$10:$B$81,MATCH($A617,TinhGia!$B$10:$B$81,0)+1)),"")</f>
        <v/>
      </c>
      <c r="B618" s="525" t="str">
        <f ca="1">IF(OR(A618="",A618=0),"",IF(COUNTIF($A$2:A618,$A618)=1,ROW(MauKoXoa!$C$108),$B617+1))</f>
        <v/>
      </c>
      <c r="C618" s="992" t="str">
        <f t="shared" ca="1" si="87"/>
        <v/>
      </c>
      <c r="D618" s="993" t="str">
        <f t="shared" ca="1" si="88"/>
        <v/>
      </c>
      <c r="E618" s="993" t="str">
        <f t="shared" ca="1" si="89"/>
        <v/>
      </c>
      <c r="F618" s="992" t="str">
        <f t="shared" ca="1" si="97"/>
        <v/>
      </c>
      <c r="G618" s="994">
        <f t="shared" ca="1" si="90"/>
        <v>0</v>
      </c>
      <c r="H618" s="913">
        <f t="shared" ca="1" si="91"/>
        <v>0</v>
      </c>
      <c r="I618" s="913">
        <f t="shared" ca="1" si="92"/>
        <v>0</v>
      </c>
      <c r="J618" s="995">
        <f t="shared" ca="1" si="98"/>
        <v>0</v>
      </c>
      <c r="K618" s="913">
        <f t="shared" ca="1" si="93"/>
        <v>0</v>
      </c>
      <c r="L618" s="995">
        <f t="shared" ca="1" si="99"/>
        <v>0</v>
      </c>
      <c r="M618" s="913">
        <f t="shared" ca="1" si="94"/>
        <v>0</v>
      </c>
      <c r="N618" s="996">
        <f t="shared" ca="1" si="95"/>
        <v>0</v>
      </c>
      <c r="O618" s="997">
        <f t="shared" ca="1" si="96"/>
        <v>0</v>
      </c>
      <c r="P618" s="1015" t="str">
        <f ca="1">IF($C618="","",INDEX(NVLSX!$N$2:$N$6941,MATCH($C618,NVLSX!$E$2:$E$6941,0)))</f>
        <v/>
      </c>
      <c r="Q618" s="1016" t="str">
        <f ca="1">IF($R618="","",IF(XKNVLSX!$X$1="",IF($P618=$V$7,$P618, IF(COUNTIFS($C$2:$C617,$C618,$E$2:$E617,$E618)&gt;=1,"",$P618)),     IF(AND(IFERROR(SEARCH($R618,XKNVLSX!$X$1,1),0)&gt;=1,$P618=$V$7),$P618, IF(OR($R618&lt;&gt;IF(IFERROR(SEARCH($R618,XKNVLSX!$X$1,1),0)&gt;=1,$R618,XKNVLSX!$X$1),COUNTIFS($C$2:$C617,$C618,$E$2:$E617,$E618,$Q$2:$Q617,$P618)&gt;=1),"",$P618))))</f>
        <v/>
      </c>
      <c r="R618" s="1017" t="str">
        <f ca="1">IF($A618="","",IFERROR(INDEX(TinhGia!$BF$10:$BF$81,MATCH($A618,TinhGia!$B$10:$B$81,0)),""))</f>
        <v/>
      </c>
      <c r="S618" s="1012" t="str">
        <f ca="1">IF($A618="","",IF(OR(IFERROR(SEARCH($R618,XKNVLSX!$X$1,1),0)&gt;=1,XKNVLSX!$X$1=""),$S$2,""))</f>
        <v/>
      </c>
      <c r="T618" s="1018" t="str">
        <f ca="1">IF($C618="","", IF(OR($P618=$V$1,$P618=$V$7,COUNTIFS($C$3:$C618,$C618,$E$3:$E618,$E618)&lt;=1),$P618,""    ))</f>
        <v/>
      </c>
      <c r="U618" s="1019" t="str">
        <f ca="1">IF(AND($P618=$V$2,COUNTIFS($C$3:$C618,$C618,$E$3:$E618,$E618,$G$3:$G618,$G618)&lt;=1),$P618,"")</f>
        <v/>
      </c>
    </row>
    <row r="619" spans="1:21">
      <c r="A619" s="991" t="str">
        <f ca="1">IFERROR(IF(COUNTIF($A$3:A618,A618)&lt; INDEX(TinhGia!$BH$10:$BH$81,MATCH($A618,TinhGia!$B$10:$B$81,0)),$A618,INDEX(TinhGia!$B$10:$B$81,MATCH($A618,TinhGia!$B$10:$B$81,0)+1)),"")</f>
        <v/>
      </c>
      <c r="B619" s="525" t="str">
        <f ca="1">IF(OR(A619="",A619=0),"",IF(COUNTIF($A$2:A619,$A619)=1,ROW(MauKoXoa!$C$108),$B618+1))</f>
        <v/>
      </c>
      <c r="C619" s="992" t="str">
        <f t="shared" ca="1" si="87"/>
        <v/>
      </c>
      <c r="D619" s="993" t="str">
        <f t="shared" ca="1" si="88"/>
        <v/>
      </c>
      <c r="E619" s="993" t="str">
        <f t="shared" ca="1" si="89"/>
        <v/>
      </c>
      <c r="F619" s="992" t="str">
        <f t="shared" ca="1" si="97"/>
        <v/>
      </c>
      <c r="G619" s="994">
        <f t="shared" ca="1" si="90"/>
        <v>0</v>
      </c>
      <c r="H619" s="913">
        <f t="shared" ca="1" si="91"/>
        <v>0</v>
      </c>
      <c r="I619" s="913">
        <f t="shared" ca="1" si="92"/>
        <v>0</v>
      </c>
      <c r="J619" s="995">
        <f t="shared" ca="1" si="98"/>
        <v>0</v>
      </c>
      <c r="K619" s="913">
        <f t="shared" ca="1" si="93"/>
        <v>0</v>
      </c>
      <c r="L619" s="995">
        <f t="shared" ca="1" si="99"/>
        <v>0</v>
      </c>
      <c r="M619" s="913">
        <f t="shared" ca="1" si="94"/>
        <v>0</v>
      </c>
      <c r="N619" s="996">
        <f t="shared" ca="1" si="95"/>
        <v>0</v>
      </c>
      <c r="O619" s="997">
        <f t="shared" ca="1" si="96"/>
        <v>0</v>
      </c>
      <c r="P619" s="1015" t="str">
        <f ca="1">IF($C619="","",INDEX(NVLSX!$N$2:$N$6941,MATCH($C619,NVLSX!$E$2:$E$6941,0)))</f>
        <v/>
      </c>
      <c r="Q619" s="1016" t="str">
        <f ca="1">IF($R619="","",IF(XKNVLSX!$X$1="",IF($P619=$V$7,$P619, IF(COUNTIFS($C$2:$C618,$C619,$E$2:$E618,$E619)&gt;=1,"",$P619)),     IF(AND(IFERROR(SEARCH($R619,XKNVLSX!$X$1,1),0)&gt;=1,$P619=$V$7),$P619, IF(OR($R619&lt;&gt;IF(IFERROR(SEARCH($R619,XKNVLSX!$X$1,1),0)&gt;=1,$R619,XKNVLSX!$X$1),COUNTIFS($C$2:$C618,$C619,$E$2:$E618,$E619,$Q$2:$Q618,$P619)&gt;=1),"",$P619))))</f>
        <v/>
      </c>
      <c r="R619" s="1017" t="str">
        <f ca="1">IF($A619="","",IFERROR(INDEX(TinhGia!$BF$10:$BF$81,MATCH($A619,TinhGia!$B$10:$B$81,0)),""))</f>
        <v/>
      </c>
      <c r="S619" s="1012" t="str">
        <f ca="1">IF($A619="","",IF(OR(IFERROR(SEARCH($R619,XKNVLSX!$X$1,1),0)&gt;=1,XKNVLSX!$X$1=""),$S$2,""))</f>
        <v/>
      </c>
      <c r="T619" s="1018" t="str">
        <f ca="1">IF($C619="","", IF(OR($P619=$V$1,$P619=$V$7,COUNTIFS($C$3:$C619,$C619,$E$3:$E619,$E619)&lt;=1),$P619,""    ))</f>
        <v/>
      </c>
      <c r="U619" s="1019" t="str">
        <f ca="1">IF(AND($P619=$V$2,COUNTIFS($C$3:$C619,$C619,$E$3:$E619,$E619,$G$3:$G619,$G619)&lt;=1),$P619,"")</f>
        <v/>
      </c>
    </row>
    <row r="620" spans="1:21">
      <c r="A620" s="991" t="str">
        <f ca="1">IFERROR(IF(COUNTIF($A$3:A619,A619)&lt; INDEX(TinhGia!$BH$10:$BH$81,MATCH($A619,TinhGia!$B$10:$B$81,0)),$A619,INDEX(TinhGia!$B$10:$B$81,MATCH($A619,TinhGia!$B$10:$B$81,0)+1)),"")</f>
        <v/>
      </c>
      <c r="B620" s="525" t="str">
        <f ca="1">IF(OR(A620="",A620=0),"",IF(COUNTIF($A$2:A620,$A620)=1,ROW(MauKoXoa!$C$108),$B619+1))</f>
        <v/>
      </c>
      <c r="C620" s="992" t="str">
        <f t="shared" ca="1" si="87"/>
        <v/>
      </c>
      <c r="D620" s="993" t="str">
        <f t="shared" ca="1" si="88"/>
        <v/>
      </c>
      <c r="E620" s="993" t="str">
        <f t="shared" ca="1" si="89"/>
        <v/>
      </c>
      <c r="F620" s="992" t="str">
        <f t="shared" ca="1" si="97"/>
        <v/>
      </c>
      <c r="G620" s="994">
        <f t="shared" ca="1" si="90"/>
        <v>0</v>
      </c>
      <c r="H620" s="913">
        <f t="shared" ca="1" si="91"/>
        <v>0</v>
      </c>
      <c r="I620" s="913">
        <f t="shared" ca="1" si="92"/>
        <v>0</v>
      </c>
      <c r="J620" s="995">
        <f t="shared" ca="1" si="98"/>
        <v>0</v>
      </c>
      <c r="K620" s="913">
        <f t="shared" ca="1" si="93"/>
        <v>0</v>
      </c>
      <c r="L620" s="995">
        <f t="shared" ca="1" si="99"/>
        <v>0</v>
      </c>
      <c r="M620" s="913">
        <f t="shared" ca="1" si="94"/>
        <v>0</v>
      </c>
      <c r="N620" s="996">
        <f t="shared" ca="1" si="95"/>
        <v>0</v>
      </c>
      <c r="O620" s="997">
        <f t="shared" ca="1" si="96"/>
        <v>0</v>
      </c>
      <c r="P620" s="1015" t="str">
        <f ca="1">IF($C620="","",INDEX(NVLSX!$N$2:$N$6941,MATCH($C620,NVLSX!$E$2:$E$6941,0)))</f>
        <v/>
      </c>
      <c r="Q620" s="1016" t="str">
        <f ca="1">IF($R620="","",IF(XKNVLSX!$X$1="",IF($P620=$V$7,$P620, IF(COUNTIFS($C$2:$C619,$C620,$E$2:$E619,$E620)&gt;=1,"",$P620)),     IF(AND(IFERROR(SEARCH($R620,XKNVLSX!$X$1,1),0)&gt;=1,$P620=$V$7),$P620, IF(OR($R620&lt;&gt;IF(IFERROR(SEARCH($R620,XKNVLSX!$X$1,1),0)&gt;=1,$R620,XKNVLSX!$X$1),COUNTIFS($C$2:$C619,$C620,$E$2:$E619,$E620,$Q$2:$Q619,$P620)&gt;=1),"",$P620))))</f>
        <v/>
      </c>
      <c r="R620" s="1017" t="str">
        <f ca="1">IF($A620="","",IFERROR(INDEX(TinhGia!$BF$10:$BF$81,MATCH($A620,TinhGia!$B$10:$B$81,0)),""))</f>
        <v/>
      </c>
      <c r="S620" s="1012" t="str">
        <f ca="1">IF($A620="","",IF(OR(IFERROR(SEARCH($R620,XKNVLSX!$X$1,1),0)&gt;=1,XKNVLSX!$X$1=""),$S$2,""))</f>
        <v/>
      </c>
      <c r="T620" s="1018" t="str">
        <f ca="1">IF($C620="","", IF(OR($P620=$V$1,$P620=$V$7,COUNTIFS($C$3:$C620,$C620,$E$3:$E620,$E620)&lt;=1),$P620,""    ))</f>
        <v/>
      </c>
      <c r="U620" s="1019" t="str">
        <f ca="1">IF(AND($P620=$V$2,COUNTIFS($C$3:$C620,$C620,$E$3:$E620,$E620,$G$3:$G620,$G620)&lt;=1),$P620,"")</f>
        <v/>
      </c>
    </row>
    <row r="621" spans="1:21">
      <c r="A621" s="991" t="str">
        <f ca="1">IFERROR(IF(COUNTIF($A$3:A620,A620)&lt; INDEX(TinhGia!$BH$10:$BH$81,MATCH($A620,TinhGia!$B$10:$B$81,0)),$A620,INDEX(TinhGia!$B$10:$B$81,MATCH($A620,TinhGia!$B$10:$B$81,0)+1)),"")</f>
        <v/>
      </c>
      <c r="B621" s="525" t="str">
        <f ca="1">IF(OR(A621="",A621=0),"",IF(COUNTIF($A$2:A621,$A621)=1,ROW(MauKoXoa!$C$108),$B620+1))</f>
        <v/>
      </c>
      <c r="C621" s="992" t="str">
        <f t="shared" ca="1" si="87"/>
        <v/>
      </c>
      <c r="D621" s="993" t="str">
        <f t="shared" ca="1" si="88"/>
        <v/>
      </c>
      <c r="E621" s="993" t="str">
        <f t="shared" ca="1" si="89"/>
        <v/>
      </c>
      <c r="F621" s="992" t="str">
        <f t="shared" ca="1" si="97"/>
        <v/>
      </c>
      <c r="G621" s="994">
        <f t="shared" ca="1" si="90"/>
        <v>0</v>
      </c>
      <c r="H621" s="913">
        <f t="shared" ca="1" si="91"/>
        <v>0</v>
      </c>
      <c r="I621" s="913">
        <f t="shared" ca="1" si="92"/>
        <v>0</v>
      </c>
      <c r="J621" s="995">
        <f t="shared" ca="1" si="98"/>
        <v>0</v>
      </c>
      <c r="K621" s="913">
        <f t="shared" ca="1" si="93"/>
        <v>0</v>
      </c>
      <c r="L621" s="995">
        <f t="shared" ca="1" si="99"/>
        <v>0</v>
      </c>
      <c r="M621" s="913">
        <f t="shared" ca="1" si="94"/>
        <v>0</v>
      </c>
      <c r="N621" s="996">
        <f t="shared" ca="1" si="95"/>
        <v>0</v>
      </c>
      <c r="O621" s="997">
        <f t="shared" ca="1" si="96"/>
        <v>0</v>
      </c>
      <c r="P621" s="1015" t="str">
        <f ca="1">IF($C621="","",INDEX(NVLSX!$N$2:$N$6941,MATCH($C621,NVLSX!$E$2:$E$6941,0)))</f>
        <v/>
      </c>
      <c r="Q621" s="1016" t="str">
        <f ca="1">IF($R621="","",IF(XKNVLSX!$X$1="",IF($P621=$V$7,$P621, IF(COUNTIFS($C$2:$C620,$C621,$E$2:$E620,$E621)&gt;=1,"",$P621)),     IF(AND(IFERROR(SEARCH($R621,XKNVLSX!$X$1,1),0)&gt;=1,$P621=$V$7),$P621, IF(OR($R621&lt;&gt;IF(IFERROR(SEARCH($R621,XKNVLSX!$X$1,1),0)&gt;=1,$R621,XKNVLSX!$X$1),COUNTIFS($C$2:$C620,$C621,$E$2:$E620,$E621,$Q$2:$Q620,$P621)&gt;=1),"",$P621))))</f>
        <v/>
      </c>
      <c r="R621" s="1017" t="str">
        <f ca="1">IF($A621="","",IFERROR(INDEX(TinhGia!$BF$10:$BF$81,MATCH($A621,TinhGia!$B$10:$B$81,0)),""))</f>
        <v/>
      </c>
      <c r="S621" s="1012" t="str">
        <f ca="1">IF($A621="","",IF(OR(IFERROR(SEARCH($R621,XKNVLSX!$X$1,1),0)&gt;=1,XKNVLSX!$X$1=""),$S$2,""))</f>
        <v/>
      </c>
      <c r="T621" s="1018" t="str">
        <f ca="1">IF($C621="","", IF(OR($P621=$V$1,$P621=$V$7,COUNTIFS($C$3:$C621,$C621,$E$3:$E621,$E621)&lt;=1),$P621,""    ))</f>
        <v/>
      </c>
      <c r="U621" s="1019" t="str">
        <f ca="1">IF(AND($P621=$V$2,COUNTIFS($C$3:$C621,$C621,$E$3:$E621,$E621,$G$3:$G621,$G621)&lt;=1),$P621,"")</f>
        <v/>
      </c>
    </row>
    <row r="622" spans="1:21">
      <c r="A622" s="991" t="str">
        <f ca="1">IFERROR(IF(COUNTIF($A$3:A621,A621)&lt; INDEX(TinhGia!$BH$10:$BH$81,MATCH($A621,TinhGia!$B$10:$B$81,0)),$A621,INDEX(TinhGia!$B$10:$B$81,MATCH($A621,TinhGia!$B$10:$B$81,0)+1)),"")</f>
        <v/>
      </c>
      <c r="B622" s="525" t="str">
        <f ca="1">IF(OR(A622="",A622=0),"",IF(COUNTIF($A$2:A622,$A622)=1,ROW(MauKoXoa!$C$108),$B621+1))</f>
        <v/>
      </c>
      <c r="C622" s="992" t="str">
        <f t="shared" ca="1" si="87"/>
        <v/>
      </c>
      <c r="D622" s="993" t="str">
        <f t="shared" ca="1" si="88"/>
        <v/>
      </c>
      <c r="E622" s="993" t="str">
        <f t="shared" ca="1" si="89"/>
        <v/>
      </c>
      <c r="F622" s="992" t="str">
        <f t="shared" ca="1" si="97"/>
        <v/>
      </c>
      <c r="G622" s="994">
        <f t="shared" ca="1" si="90"/>
        <v>0</v>
      </c>
      <c r="H622" s="913">
        <f t="shared" ca="1" si="91"/>
        <v>0</v>
      </c>
      <c r="I622" s="913">
        <f t="shared" ca="1" si="92"/>
        <v>0</v>
      </c>
      <c r="J622" s="995">
        <f t="shared" ca="1" si="98"/>
        <v>0</v>
      </c>
      <c r="K622" s="913">
        <f t="shared" ca="1" si="93"/>
        <v>0</v>
      </c>
      <c r="L622" s="995">
        <f t="shared" ca="1" si="99"/>
        <v>0</v>
      </c>
      <c r="M622" s="913">
        <f t="shared" ca="1" si="94"/>
        <v>0</v>
      </c>
      <c r="N622" s="996">
        <f t="shared" ca="1" si="95"/>
        <v>0</v>
      </c>
      <c r="O622" s="997">
        <f t="shared" ca="1" si="96"/>
        <v>0</v>
      </c>
      <c r="P622" s="1015" t="str">
        <f ca="1">IF($C622="","",INDEX(NVLSX!$N$2:$N$6941,MATCH($C622,NVLSX!$E$2:$E$6941,0)))</f>
        <v/>
      </c>
      <c r="Q622" s="1016" t="str">
        <f ca="1">IF($R622="","",IF(XKNVLSX!$X$1="",IF($P622=$V$7,$P622, IF(COUNTIFS($C$2:$C621,$C622,$E$2:$E621,$E622)&gt;=1,"",$P622)),     IF(AND(IFERROR(SEARCH($R622,XKNVLSX!$X$1,1),0)&gt;=1,$P622=$V$7),$P622, IF(OR($R622&lt;&gt;IF(IFERROR(SEARCH($R622,XKNVLSX!$X$1,1),0)&gt;=1,$R622,XKNVLSX!$X$1),COUNTIFS($C$2:$C621,$C622,$E$2:$E621,$E622,$Q$2:$Q621,$P622)&gt;=1),"",$P622))))</f>
        <v/>
      </c>
      <c r="R622" s="1017" t="str">
        <f ca="1">IF($A622="","",IFERROR(INDEX(TinhGia!$BF$10:$BF$81,MATCH($A622,TinhGia!$B$10:$B$81,0)),""))</f>
        <v/>
      </c>
      <c r="S622" s="1012" t="str">
        <f ca="1">IF($A622="","",IF(OR(IFERROR(SEARCH($R622,XKNVLSX!$X$1,1),0)&gt;=1,XKNVLSX!$X$1=""),$S$2,""))</f>
        <v/>
      </c>
      <c r="T622" s="1018" t="str">
        <f ca="1">IF($C622="","", IF(OR($P622=$V$1,$P622=$V$7,COUNTIFS($C$3:$C622,$C622,$E$3:$E622,$E622)&lt;=1),$P622,""    ))</f>
        <v/>
      </c>
      <c r="U622" s="1019" t="str">
        <f ca="1">IF(AND($P622=$V$2,COUNTIFS($C$3:$C622,$C622,$E$3:$E622,$E622,$G$3:$G622,$G622)&lt;=1),$P622,"")</f>
        <v/>
      </c>
    </row>
    <row r="623" spans="1:21">
      <c r="A623" s="991" t="str">
        <f ca="1">IFERROR(IF(COUNTIF($A$3:A622,A622)&lt; INDEX(TinhGia!$BH$10:$BH$81,MATCH($A622,TinhGia!$B$10:$B$81,0)),$A622,INDEX(TinhGia!$B$10:$B$81,MATCH($A622,TinhGia!$B$10:$B$81,0)+1)),"")</f>
        <v/>
      </c>
      <c r="B623" s="525" t="str">
        <f ca="1">IF(OR(A623="",A623=0),"",IF(COUNTIF($A$2:A623,$A623)=1,ROW(MauKoXoa!$C$108),$B622+1))</f>
        <v/>
      </c>
      <c r="C623" s="992" t="str">
        <f t="shared" ca="1" si="87"/>
        <v/>
      </c>
      <c r="D623" s="993" t="str">
        <f t="shared" ca="1" si="88"/>
        <v/>
      </c>
      <c r="E623" s="993" t="str">
        <f t="shared" ca="1" si="89"/>
        <v/>
      </c>
      <c r="F623" s="992" t="str">
        <f t="shared" ca="1" si="97"/>
        <v/>
      </c>
      <c r="G623" s="994">
        <f t="shared" ca="1" si="90"/>
        <v>0</v>
      </c>
      <c r="H623" s="913">
        <f t="shared" ca="1" si="91"/>
        <v>0</v>
      </c>
      <c r="I623" s="913">
        <f t="shared" ca="1" si="92"/>
        <v>0</v>
      </c>
      <c r="J623" s="995">
        <f t="shared" ca="1" si="98"/>
        <v>0</v>
      </c>
      <c r="K623" s="913">
        <f t="shared" ca="1" si="93"/>
        <v>0</v>
      </c>
      <c r="L623" s="995">
        <f t="shared" ca="1" si="99"/>
        <v>0</v>
      </c>
      <c r="M623" s="913">
        <f t="shared" ca="1" si="94"/>
        <v>0</v>
      </c>
      <c r="N623" s="996">
        <f t="shared" ca="1" si="95"/>
        <v>0</v>
      </c>
      <c r="O623" s="997">
        <f t="shared" ca="1" si="96"/>
        <v>0</v>
      </c>
      <c r="P623" s="1015" t="str">
        <f ca="1">IF($C623="","",INDEX(NVLSX!$N$2:$N$6941,MATCH($C623,NVLSX!$E$2:$E$6941,0)))</f>
        <v/>
      </c>
      <c r="Q623" s="1016" t="str">
        <f ca="1">IF($R623="","",IF(XKNVLSX!$X$1="",IF($P623=$V$7,$P623, IF(COUNTIFS($C$2:$C622,$C623,$E$2:$E622,$E623)&gt;=1,"",$P623)),     IF(AND(IFERROR(SEARCH($R623,XKNVLSX!$X$1,1),0)&gt;=1,$P623=$V$7),$P623, IF(OR($R623&lt;&gt;IF(IFERROR(SEARCH($R623,XKNVLSX!$X$1,1),0)&gt;=1,$R623,XKNVLSX!$X$1),COUNTIFS($C$2:$C622,$C623,$E$2:$E622,$E623,$Q$2:$Q622,$P623)&gt;=1),"",$P623))))</f>
        <v/>
      </c>
      <c r="R623" s="1017" t="str">
        <f ca="1">IF($A623="","",IFERROR(INDEX(TinhGia!$BF$10:$BF$81,MATCH($A623,TinhGia!$B$10:$B$81,0)),""))</f>
        <v/>
      </c>
      <c r="S623" s="1012" t="str">
        <f ca="1">IF($A623="","",IF(OR(IFERROR(SEARCH($R623,XKNVLSX!$X$1,1),0)&gt;=1,XKNVLSX!$X$1=""),$S$2,""))</f>
        <v/>
      </c>
      <c r="T623" s="1018" t="str">
        <f ca="1">IF($C623="","", IF(OR($P623=$V$1,$P623=$V$7,COUNTIFS($C$3:$C623,$C623,$E$3:$E623,$E623)&lt;=1),$P623,""    ))</f>
        <v/>
      </c>
      <c r="U623" s="1019" t="str">
        <f ca="1">IF(AND($P623=$V$2,COUNTIFS($C$3:$C623,$C623,$E$3:$E623,$E623,$G$3:$G623,$G623)&lt;=1),$P623,"")</f>
        <v/>
      </c>
    </row>
    <row r="624" spans="1:21">
      <c r="A624" s="991" t="str">
        <f ca="1">IFERROR(IF(COUNTIF($A$3:A623,A623)&lt; INDEX(TinhGia!$BH$10:$BH$81,MATCH($A623,TinhGia!$B$10:$B$81,0)),$A623,INDEX(TinhGia!$B$10:$B$81,MATCH($A623,TinhGia!$B$10:$B$81,0)+1)),"")</f>
        <v/>
      </c>
      <c r="B624" s="525" t="str">
        <f ca="1">IF(OR(A624="",A624=0),"",IF(COUNTIF($A$2:A624,$A624)=1,ROW(MauKoXoa!$C$108),$B623+1))</f>
        <v/>
      </c>
      <c r="C624" s="992" t="str">
        <f t="shared" ca="1" si="87"/>
        <v/>
      </c>
      <c r="D624" s="993" t="str">
        <f t="shared" ca="1" si="88"/>
        <v/>
      </c>
      <c r="E624" s="993" t="str">
        <f t="shared" ca="1" si="89"/>
        <v/>
      </c>
      <c r="F624" s="992" t="str">
        <f t="shared" ca="1" si="97"/>
        <v/>
      </c>
      <c r="G624" s="994">
        <f t="shared" ca="1" si="90"/>
        <v>0</v>
      </c>
      <c r="H624" s="913">
        <f t="shared" ca="1" si="91"/>
        <v>0</v>
      </c>
      <c r="I624" s="913">
        <f t="shared" ca="1" si="92"/>
        <v>0</v>
      </c>
      <c r="J624" s="995">
        <f t="shared" ca="1" si="98"/>
        <v>0</v>
      </c>
      <c r="K624" s="913">
        <f t="shared" ca="1" si="93"/>
        <v>0</v>
      </c>
      <c r="L624" s="995">
        <f t="shared" ca="1" si="99"/>
        <v>0</v>
      </c>
      <c r="M624" s="913">
        <f t="shared" ca="1" si="94"/>
        <v>0</v>
      </c>
      <c r="N624" s="996">
        <f t="shared" ca="1" si="95"/>
        <v>0</v>
      </c>
      <c r="O624" s="997">
        <f t="shared" ca="1" si="96"/>
        <v>0</v>
      </c>
      <c r="P624" s="1015" t="str">
        <f ca="1">IF($C624="","",INDEX(NVLSX!$N$2:$N$6941,MATCH($C624,NVLSX!$E$2:$E$6941,0)))</f>
        <v/>
      </c>
      <c r="Q624" s="1016" t="str">
        <f ca="1">IF($R624="","",IF(XKNVLSX!$X$1="",IF($P624=$V$7,$P624, IF(COUNTIFS($C$2:$C623,$C624,$E$2:$E623,$E624)&gt;=1,"",$P624)),     IF(AND(IFERROR(SEARCH($R624,XKNVLSX!$X$1,1),0)&gt;=1,$P624=$V$7),$P624, IF(OR($R624&lt;&gt;IF(IFERROR(SEARCH($R624,XKNVLSX!$X$1,1),0)&gt;=1,$R624,XKNVLSX!$X$1),COUNTIFS($C$2:$C623,$C624,$E$2:$E623,$E624,$Q$2:$Q623,$P624)&gt;=1),"",$P624))))</f>
        <v/>
      </c>
      <c r="R624" s="1017" t="str">
        <f ca="1">IF($A624="","",IFERROR(INDEX(TinhGia!$BF$10:$BF$81,MATCH($A624,TinhGia!$B$10:$B$81,0)),""))</f>
        <v/>
      </c>
      <c r="S624" s="1012" t="str">
        <f ca="1">IF($A624="","",IF(OR(IFERROR(SEARCH($R624,XKNVLSX!$X$1,1),0)&gt;=1,XKNVLSX!$X$1=""),$S$2,""))</f>
        <v/>
      </c>
      <c r="T624" s="1018" t="str">
        <f ca="1">IF($C624="","", IF(OR($P624=$V$1,$P624=$V$7,COUNTIFS($C$3:$C624,$C624,$E$3:$E624,$E624)&lt;=1),$P624,""    ))</f>
        <v/>
      </c>
      <c r="U624" s="1019" t="str">
        <f ca="1">IF(AND($P624=$V$2,COUNTIFS($C$3:$C624,$C624,$E$3:$E624,$E624,$G$3:$G624,$G624)&lt;=1),$P624,"")</f>
        <v/>
      </c>
    </row>
    <row r="625" spans="1:21">
      <c r="A625" s="991" t="str">
        <f ca="1">IFERROR(IF(COUNTIF($A$3:A624,A624)&lt; INDEX(TinhGia!$BH$10:$BH$81,MATCH($A624,TinhGia!$B$10:$B$81,0)),$A624,INDEX(TinhGia!$B$10:$B$81,MATCH($A624,TinhGia!$B$10:$B$81,0)+1)),"")</f>
        <v/>
      </c>
      <c r="B625" s="525" t="str">
        <f ca="1">IF(OR(A625="",A625=0),"",IF(COUNTIF($A$2:A625,$A625)=1,ROW(MauKoXoa!$C$108),$B624+1))</f>
        <v/>
      </c>
      <c r="C625" s="992" t="str">
        <f t="shared" ca="1" si="87"/>
        <v/>
      </c>
      <c r="D625" s="993" t="str">
        <f t="shared" ca="1" si="88"/>
        <v/>
      </c>
      <c r="E625" s="993" t="str">
        <f t="shared" ca="1" si="89"/>
        <v/>
      </c>
      <c r="F625" s="992" t="str">
        <f t="shared" ca="1" si="97"/>
        <v/>
      </c>
      <c r="G625" s="994">
        <f t="shared" ca="1" si="90"/>
        <v>0</v>
      </c>
      <c r="H625" s="913">
        <f t="shared" ca="1" si="91"/>
        <v>0</v>
      </c>
      <c r="I625" s="913">
        <f t="shared" ca="1" si="92"/>
        <v>0</v>
      </c>
      <c r="J625" s="995">
        <f t="shared" ca="1" si="98"/>
        <v>0</v>
      </c>
      <c r="K625" s="913">
        <f t="shared" ca="1" si="93"/>
        <v>0</v>
      </c>
      <c r="L625" s="995">
        <f t="shared" ca="1" si="99"/>
        <v>0</v>
      </c>
      <c r="M625" s="913">
        <f t="shared" ca="1" si="94"/>
        <v>0</v>
      </c>
      <c r="N625" s="996">
        <f t="shared" ca="1" si="95"/>
        <v>0</v>
      </c>
      <c r="O625" s="997">
        <f t="shared" ca="1" si="96"/>
        <v>0</v>
      </c>
      <c r="P625" s="1015" t="str">
        <f ca="1">IF($C625="","",INDEX(NVLSX!$N$2:$N$6941,MATCH($C625,NVLSX!$E$2:$E$6941,0)))</f>
        <v/>
      </c>
      <c r="Q625" s="1016" t="str">
        <f ca="1">IF($R625="","",IF(XKNVLSX!$X$1="",IF($P625=$V$7,$P625, IF(COUNTIFS($C$2:$C624,$C625,$E$2:$E624,$E625)&gt;=1,"",$P625)),     IF(AND(IFERROR(SEARCH($R625,XKNVLSX!$X$1,1),0)&gt;=1,$P625=$V$7),$P625, IF(OR($R625&lt;&gt;IF(IFERROR(SEARCH($R625,XKNVLSX!$X$1,1),0)&gt;=1,$R625,XKNVLSX!$X$1),COUNTIFS($C$2:$C624,$C625,$E$2:$E624,$E625,$Q$2:$Q624,$P625)&gt;=1),"",$P625))))</f>
        <v/>
      </c>
      <c r="R625" s="1017" t="str">
        <f ca="1">IF($A625="","",IFERROR(INDEX(TinhGia!$BF$10:$BF$81,MATCH($A625,TinhGia!$B$10:$B$81,0)),""))</f>
        <v/>
      </c>
      <c r="S625" s="1012" t="str">
        <f ca="1">IF($A625="","",IF(OR(IFERROR(SEARCH($R625,XKNVLSX!$X$1,1),0)&gt;=1,XKNVLSX!$X$1=""),$S$2,""))</f>
        <v/>
      </c>
      <c r="T625" s="1018" t="str">
        <f ca="1">IF($C625="","", IF(OR($P625=$V$1,$P625=$V$7,COUNTIFS($C$3:$C625,$C625,$E$3:$E625,$E625)&lt;=1),$P625,""    ))</f>
        <v/>
      </c>
      <c r="U625" s="1019" t="str">
        <f ca="1">IF(AND($P625=$V$2,COUNTIFS($C$3:$C625,$C625,$E$3:$E625,$E625,$G$3:$G625,$G625)&lt;=1),$P625,"")</f>
        <v/>
      </c>
    </row>
    <row r="626" spans="1:21">
      <c r="A626" s="991" t="str">
        <f ca="1">IFERROR(IF(COUNTIF($A$3:A625,A625)&lt; INDEX(TinhGia!$BH$10:$BH$81,MATCH($A625,TinhGia!$B$10:$B$81,0)),$A625,INDEX(TinhGia!$B$10:$B$81,MATCH($A625,TinhGia!$B$10:$B$81,0)+1)),"")</f>
        <v/>
      </c>
      <c r="B626" s="525" t="str">
        <f ca="1">IF(OR(A626="",A626=0),"",IF(COUNTIF($A$2:A626,$A626)=1,ROW(MauKoXoa!$C$108),$B625+1))</f>
        <v/>
      </c>
      <c r="C626" s="992" t="str">
        <f t="shared" ca="1" si="87"/>
        <v/>
      </c>
      <c r="D626" s="993" t="str">
        <f t="shared" ca="1" si="88"/>
        <v/>
      </c>
      <c r="E626" s="993" t="str">
        <f t="shared" ca="1" si="89"/>
        <v/>
      </c>
      <c r="F626" s="992" t="str">
        <f t="shared" ca="1" si="97"/>
        <v/>
      </c>
      <c r="G626" s="994">
        <f t="shared" ca="1" si="90"/>
        <v>0</v>
      </c>
      <c r="H626" s="913">
        <f t="shared" ca="1" si="91"/>
        <v>0</v>
      </c>
      <c r="I626" s="913">
        <f t="shared" ca="1" si="92"/>
        <v>0</v>
      </c>
      <c r="J626" s="995">
        <f t="shared" ca="1" si="98"/>
        <v>0</v>
      </c>
      <c r="K626" s="913">
        <f t="shared" ca="1" si="93"/>
        <v>0</v>
      </c>
      <c r="L626" s="995">
        <f t="shared" ca="1" si="99"/>
        <v>0</v>
      </c>
      <c r="M626" s="913">
        <f t="shared" ca="1" si="94"/>
        <v>0</v>
      </c>
      <c r="N626" s="996">
        <f t="shared" ca="1" si="95"/>
        <v>0</v>
      </c>
      <c r="O626" s="997">
        <f t="shared" ca="1" si="96"/>
        <v>0</v>
      </c>
      <c r="P626" s="1015" t="str">
        <f ca="1">IF($C626="","",INDEX(NVLSX!$N$2:$N$6941,MATCH($C626,NVLSX!$E$2:$E$6941,0)))</f>
        <v/>
      </c>
      <c r="Q626" s="1016" t="str">
        <f ca="1">IF($R626="","",IF(XKNVLSX!$X$1="",IF($P626=$V$7,$P626, IF(COUNTIFS($C$2:$C625,$C626,$E$2:$E625,$E626)&gt;=1,"",$P626)),     IF(AND(IFERROR(SEARCH($R626,XKNVLSX!$X$1,1),0)&gt;=1,$P626=$V$7),$P626, IF(OR($R626&lt;&gt;IF(IFERROR(SEARCH($R626,XKNVLSX!$X$1,1),0)&gt;=1,$R626,XKNVLSX!$X$1),COUNTIFS($C$2:$C625,$C626,$E$2:$E625,$E626,$Q$2:$Q625,$P626)&gt;=1),"",$P626))))</f>
        <v/>
      </c>
      <c r="R626" s="1017" t="str">
        <f ca="1">IF($A626="","",IFERROR(INDEX(TinhGia!$BF$10:$BF$81,MATCH($A626,TinhGia!$B$10:$B$81,0)),""))</f>
        <v/>
      </c>
      <c r="S626" s="1012" t="str">
        <f ca="1">IF($A626="","",IF(OR(IFERROR(SEARCH($R626,XKNVLSX!$X$1,1),0)&gt;=1,XKNVLSX!$X$1=""),$S$2,""))</f>
        <v/>
      </c>
      <c r="T626" s="1018" t="str">
        <f ca="1">IF($C626="","", IF(OR($P626=$V$1,$P626=$V$7,COUNTIFS($C$3:$C626,$C626,$E$3:$E626,$E626)&lt;=1),$P626,""    ))</f>
        <v/>
      </c>
      <c r="U626" s="1019" t="str">
        <f ca="1">IF(AND($P626=$V$2,COUNTIFS($C$3:$C626,$C626,$E$3:$E626,$E626,$G$3:$G626,$G626)&lt;=1),$P626,"")</f>
        <v/>
      </c>
    </row>
    <row r="627" spans="1:21">
      <c r="A627" s="991" t="str">
        <f ca="1">IFERROR(IF(COUNTIF($A$3:A626,A626)&lt; INDEX(TinhGia!$BH$10:$BH$81,MATCH($A626,TinhGia!$B$10:$B$81,0)),$A626,INDEX(TinhGia!$B$10:$B$81,MATCH($A626,TinhGia!$B$10:$B$81,0)+1)),"")</f>
        <v/>
      </c>
      <c r="B627" s="525" t="str">
        <f ca="1">IF(OR(A627="",A627=0),"",IF(COUNTIF($A$2:A627,$A627)=1,ROW(MauKoXoa!$C$108),$B626+1))</f>
        <v/>
      </c>
      <c r="C627" s="992" t="str">
        <f t="shared" ca="1" si="87"/>
        <v/>
      </c>
      <c r="D627" s="993" t="str">
        <f t="shared" ca="1" si="88"/>
        <v/>
      </c>
      <c r="E627" s="993" t="str">
        <f t="shared" ca="1" si="89"/>
        <v/>
      </c>
      <c r="F627" s="992" t="str">
        <f t="shared" ca="1" si="97"/>
        <v/>
      </c>
      <c r="G627" s="994">
        <f t="shared" ca="1" si="90"/>
        <v>0</v>
      </c>
      <c r="H627" s="913">
        <f t="shared" ca="1" si="91"/>
        <v>0</v>
      </c>
      <c r="I627" s="913">
        <f t="shared" ca="1" si="92"/>
        <v>0</v>
      </c>
      <c r="J627" s="995">
        <f t="shared" ca="1" si="98"/>
        <v>0</v>
      </c>
      <c r="K627" s="913">
        <f t="shared" ca="1" si="93"/>
        <v>0</v>
      </c>
      <c r="L627" s="995">
        <f t="shared" ca="1" si="99"/>
        <v>0</v>
      </c>
      <c r="M627" s="913">
        <f t="shared" ca="1" si="94"/>
        <v>0</v>
      </c>
      <c r="N627" s="996">
        <f t="shared" ca="1" si="95"/>
        <v>0</v>
      </c>
      <c r="O627" s="997">
        <f t="shared" ca="1" si="96"/>
        <v>0</v>
      </c>
      <c r="P627" s="1015" t="str">
        <f ca="1">IF($C627="","",INDEX(NVLSX!$N$2:$N$6941,MATCH($C627,NVLSX!$E$2:$E$6941,0)))</f>
        <v/>
      </c>
      <c r="Q627" s="1016" t="str">
        <f ca="1">IF($R627="","",IF(XKNVLSX!$X$1="",IF($P627=$V$7,$P627, IF(COUNTIFS($C$2:$C626,$C627,$E$2:$E626,$E627)&gt;=1,"",$P627)),     IF(AND(IFERROR(SEARCH($R627,XKNVLSX!$X$1,1),0)&gt;=1,$P627=$V$7),$P627, IF(OR($R627&lt;&gt;IF(IFERROR(SEARCH($R627,XKNVLSX!$X$1,1),0)&gt;=1,$R627,XKNVLSX!$X$1),COUNTIFS($C$2:$C626,$C627,$E$2:$E626,$E627,$Q$2:$Q626,$P627)&gt;=1),"",$P627))))</f>
        <v/>
      </c>
      <c r="R627" s="1017" t="str">
        <f ca="1">IF($A627="","",IFERROR(INDEX(TinhGia!$BF$10:$BF$81,MATCH($A627,TinhGia!$B$10:$B$81,0)),""))</f>
        <v/>
      </c>
      <c r="S627" s="1012" t="str">
        <f ca="1">IF($A627="","",IF(OR(IFERROR(SEARCH($R627,XKNVLSX!$X$1,1),0)&gt;=1,XKNVLSX!$X$1=""),$S$2,""))</f>
        <v/>
      </c>
      <c r="T627" s="1018" t="str">
        <f ca="1">IF($C627="","", IF(OR($P627=$V$1,$P627=$V$7,COUNTIFS($C$3:$C627,$C627,$E$3:$E627,$E627)&lt;=1),$P627,""    ))</f>
        <v/>
      </c>
      <c r="U627" s="1019" t="str">
        <f ca="1">IF(AND($P627=$V$2,COUNTIFS($C$3:$C627,$C627,$E$3:$E627,$E627,$G$3:$G627,$G627)&lt;=1),$P627,"")</f>
        <v/>
      </c>
    </row>
    <row r="628" spans="1:21">
      <c r="A628" s="991" t="str">
        <f ca="1">IFERROR(IF(COUNTIF($A$3:A627,A627)&lt; INDEX(TinhGia!$BH$10:$BH$81,MATCH($A627,TinhGia!$B$10:$B$81,0)),$A627,INDEX(TinhGia!$B$10:$B$81,MATCH($A627,TinhGia!$B$10:$B$81,0)+1)),"")</f>
        <v/>
      </c>
      <c r="B628" s="525" t="str">
        <f ca="1">IF(OR(A628="",A628=0),"",IF(COUNTIF($A$2:A628,$A628)=1,ROW(MauKoXoa!$C$108),$B627+1))</f>
        <v/>
      </c>
      <c r="C628" s="992" t="str">
        <f t="shared" ca="1" si="87"/>
        <v/>
      </c>
      <c r="D628" s="993" t="str">
        <f t="shared" ca="1" si="88"/>
        <v/>
      </c>
      <c r="E628" s="993" t="str">
        <f t="shared" ca="1" si="89"/>
        <v/>
      </c>
      <c r="F628" s="992" t="str">
        <f t="shared" ca="1" si="97"/>
        <v/>
      </c>
      <c r="G628" s="994">
        <f t="shared" ca="1" si="90"/>
        <v>0</v>
      </c>
      <c r="H628" s="913">
        <f t="shared" ca="1" si="91"/>
        <v>0</v>
      </c>
      <c r="I628" s="913">
        <f t="shared" ca="1" si="92"/>
        <v>0</v>
      </c>
      <c r="J628" s="995">
        <f t="shared" ca="1" si="98"/>
        <v>0</v>
      </c>
      <c r="K628" s="913">
        <f t="shared" ca="1" si="93"/>
        <v>0</v>
      </c>
      <c r="L628" s="995">
        <f t="shared" ca="1" si="99"/>
        <v>0</v>
      </c>
      <c r="M628" s="913">
        <f t="shared" ca="1" si="94"/>
        <v>0</v>
      </c>
      <c r="N628" s="996">
        <f t="shared" ca="1" si="95"/>
        <v>0</v>
      </c>
      <c r="O628" s="997">
        <f t="shared" ca="1" si="96"/>
        <v>0</v>
      </c>
      <c r="P628" s="1015" t="str">
        <f ca="1">IF($C628="","",INDEX(NVLSX!$N$2:$N$6941,MATCH($C628,NVLSX!$E$2:$E$6941,0)))</f>
        <v/>
      </c>
      <c r="Q628" s="1016" t="str">
        <f ca="1">IF($R628="","",IF(XKNVLSX!$X$1="",IF($P628=$V$7,$P628, IF(COUNTIFS($C$2:$C627,$C628,$E$2:$E627,$E628)&gt;=1,"",$P628)),     IF(AND(IFERROR(SEARCH($R628,XKNVLSX!$X$1,1),0)&gt;=1,$P628=$V$7),$P628, IF(OR($R628&lt;&gt;IF(IFERROR(SEARCH($R628,XKNVLSX!$X$1,1),0)&gt;=1,$R628,XKNVLSX!$X$1),COUNTIFS($C$2:$C627,$C628,$E$2:$E627,$E628,$Q$2:$Q627,$P628)&gt;=1),"",$P628))))</f>
        <v/>
      </c>
      <c r="R628" s="1017" t="str">
        <f ca="1">IF($A628="","",IFERROR(INDEX(TinhGia!$BF$10:$BF$81,MATCH($A628,TinhGia!$B$10:$B$81,0)),""))</f>
        <v/>
      </c>
      <c r="S628" s="1012" t="str">
        <f ca="1">IF($A628="","",IF(OR(IFERROR(SEARCH($R628,XKNVLSX!$X$1,1),0)&gt;=1,XKNVLSX!$X$1=""),$S$2,""))</f>
        <v/>
      </c>
      <c r="T628" s="1018" t="str">
        <f ca="1">IF($C628="","", IF(OR($P628=$V$1,$P628=$V$7,COUNTIFS($C$3:$C628,$C628,$E$3:$E628,$E628)&lt;=1),$P628,""    ))</f>
        <v/>
      </c>
      <c r="U628" s="1019" t="str">
        <f ca="1">IF(AND($P628=$V$2,COUNTIFS($C$3:$C628,$C628,$E$3:$E628,$E628,$G$3:$G628,$G628)&lt;=1),$P628,"")</f>
        <v/>
      </c>
    </row>
    <row r="629" spans="1:21">
      <c r="A629" s="991" t="str">
        <f ca="1">IFERROR(IF(COUNTIF($A$3:A628,A628)&lt; INDEX(TinhGia!$BH$10:$BH$81,MATCH($A628,TinhGia!$B$10:$B$81,0)),$A628,INDEX(TinhGia!$B$10:$B$81,MATCH($A628,TinhGia!$B$10:$B$81,0)+1)),"")</f>
        <v/>
      </c>
      <c r="B629" s="525" t="str">
        <f ca="1">IF(OR(A629="",A629=0),"",IF(COUNTIF($A$2:A629,$A629)=1,ROW(MauKoXoa!$C$108),$B628+1))</f>
        <v/>
      </c>
      <c r="C629" s="992" t="str">
        <f t="shared" ca="1" si="87"/>
        <v/>
      </c>
      <c r="D629" s="993" t="str">
        <f t="shared" ca="1" si="88"/>
        <v/>
      </c>
      <c r="E629" s="993" t="str">
        <f t="shared" ca="1" si="89"/>
        <v/>
      </c>
      <c r="F629" s="992" t="str">
        <f t="shared" ca="1" si="97"/>
        <v/>
      </c>
      <c r="G629" s="994">
        <f t="shared" ca="1" si="90"/>
        <v>0</v>
      </c>
      <c r="H629" s="913">
        <f t="shared" ca="1" si="91"/>
        <v>0</v>
      </c>
      <c r="I629" s="913">
        <f t="shared" ca="1" si="92"/>
        <v>0</v>
      </c>
      <c r="J629" s="995">
        <f t="shared" ca="1" si="98"/>
        <v>0</v>
      </c>
      <c r="K629" s="913">
        <f t="shared" ca="1" si="93"/>
        <v>0</v>
      </c>
      <c r="L629" s="995">
        <f t="shared" ca="1" si="99"/>
        <v>0</v>
      </c>
      <c r="M629" s="913">
        <f t="shared" ca="1" si="94"/>
        <v>0</v>
      </c>
      <c r="N629" s="996">
        <f t="shared" ca="1" si="95"/>
        <v>0</v>
      </c>
      <c r="O629" s="997">
        <f t="shared" ca="1" si="96"/>
        <v>0</v>
      </c>
      <c r="P629" s="1015" t="str">
        <f ca="1">IF($C629="","",INDEX(NVLSX!$N$2:$N$6941,MATCH($C629,NVLSX!$E$2:$E$6941,0)))</f>
        <v/>
      </c>
      <c r="Q629" s="1016" t="str">
        <f ca="1">IF($R629="","",IF(XKNVLSX!$X$1="",IF($P629=$V$7,$P629, IF(COUNTIFS($C$2:$C628,$C629,$E$2:$E628,$E629)&gt;=1,"",$P629)),     IF(AND(IFERROR(SEARCH($R629,XKNVLSX!$X$1,1),0)&gt;=1,$P629=$V$7),$P629, IF(OR($R629&lt;&gt;IF(IFERROR(SEARCH($R629,XKNVLSX!$X$1,1),0)&gt;=1,$R629,XKNVLSX!$X$1),COUNTIFS($C$2:$C628,$C629,$E$2:$E628,$E629,$Q$2:$Q628,$P629)&gt;=1),"",$P629))))</f>
        <v/>
      </c>
      <c r="R629" s="1017" t="str">
        <f ca="1">IF($A629="","",IFERROR(INDEX(TinhGia!$BF$10:$BF$81,MATCH($A629,TinhGia!$B$10:$B$81,0)),""))</f>
        <v/>
      </c>
      <c r="S629" s="1012" t="str">
        <f ca="1">IF($A629="","",IF(OR(IFERROR(SEARCH($R629,XKNVLSX!$X$1,1),0)&gt;=1,XKNVLSX!$X$1=""),$S$2,""))</f>
        <v/>
      </c>
      <c r="T629" s="1018" t="str">
        <f ca="1">IF($C629="","", IF(OR($P629=$V$1,$P629=$V$7,COUNTIFS($C$3:$C629,$C629,$E$3:$E629,$E629)&lt;=1),$P629,""    ))</f>
        <v/>
      </c>
      <c r="U629" s="1019" t="str">
        <f ca="1">IF(AND($P629=$V$2,COUNTIFS($C$3:$C629,$C629,$E$3:$E629,$E629,$G$3:$G629,$G629)&lt;=1),$P629,"")</f>
        <v/>
      </c>
    </row>
    <row r="630" spans="1:21">
      <c r="A630" s="991" t="str">
        <f ca="1">IFERROR(IF(COUNTIF($A$3:A629,A629)&lt; INDEX(TinhGia!$BH$10:$BH$81,MATCH($A629,TinhGia!$B$10:$B$81,0)),$A629,INDEX(TinhGia!$B$10:$B$81,MATCH($A629,TinhGia!$B$10:$B$81,0)+1)),"")</f>
        <v/>
      </c>
      <c r="B630" s="525" t="str">
        <f ca="1">IF(OR(A630="",A630=0),"",IF(COUNTIF($A$2:A630,$A630)=1,ROW(MauKoXoa!$C$108),$B629+1))</f>
        <v/>
      </c>
      <c r="C630" s="992" t="str">
        <f t="shared" ca="1" si="87"/>
        <v/>
      </c>
      <c r="D630" s="993" t="str">
        <f t="shared" ca="1" si="88"/>
        <v/>
      </c>
      <c r="E630" s="993" t="str">
        <f t="shared" ca="1" si="89"/>
        <v/>
      </c>
      <c r="F630" s="992" t="str">
        <f t="shared" ca="1" si="97"/>
        <v/>
      </c>
      <c r="G630" s="994">
        <f t="shared" ca="1" si="90"/>
        <v>0</v>
      </c>
      <c r="H630" s="913">
        <f t="shared" ca="1" si="91"/>
        <v>0</v>
      </c>
      <c r="I630" s="913">
        <f t="shared" ca="1" si="92"/>
        <v>0</v>
      </c>
      <c r="J630" s="995">
        <f t="shared" ca="1" si="98"/>
        <v>0</v>
      </c>
      <c r="K630" s="913">
        <f t="shared" ca="1" si="93"/>
        <v>0</v>
      </c>
      <c r="L630" s="995">
        <f t="shared" ca="1" si="99"/>
        <v>0</v>
      </c>
      <c r="M630" s="913">
        <f t="shared" ca="1" si="94"/>
        <v>0</v>
      </c>
      <c r="N630" s="996">
        <f t="shared" ca="1" si="95"/>
        <v>0</v>
      </c>
      <c r="O630" s="997">
        <f t="shared" ca="1" si="96"/>
        <v>0</v>
      </c>
      <c r="P630" s="1015" t="str">
        <f ca="1">IF($C630="","",INDEX(NVLSX!$N$2:$N$6941,MATCH($C630,NVLSX!$E$2:$E$6941,0)))</f>
        <v/>
      </c>
      <c r="Q630" s="1016" t="str">
        <f ca="1">IF($R630="","",IF(XKNVLSX!$X$1="",IF($P630=$V$7,$P630, IF(COUNTIFS($C$2:$C629,$C630,$E$2:$E629,$E630)&gt;=1,"",$P630)),     IF(AND(IFERROR(SEARCH($R630,XKNVLSX!$X$1,1),0)&gt;=1,$P630=$V$7),$P630, IF(OR($R630&lt;&gt;IF(IFERROR(SEARCH($R630,XKNVLSX!$X$1,1),0)&gt;=1,$R630,XKNVLSX!$X$1),COUNTIFS($C$2:$C629,$C630,$E$2:$E629,$E630,$Q$2:$Q629,$P630)&gt;=1),"",$P630))))</f>
        <v/>
      </c>
      <c r="R630" s="1017" t="str">
        <f ca="1">IF($A630="","",IFERROR(INDEX(TinhGia!$BF$10:$BF$81,MATCH($A630,TinhGia!$B$10:$B$81,0)),""))</f>
        <v/>
      </c>
      <c r="S630" s="1012" t="str">
        <f ca="1">IF($A630="","",IF(OR(IFERROR(SEARCH($R630,XKNVLSX!$X$1,1),0)&gt;=1,XKNVLSX!$X$1=""),$S$2,""))</f>
        <v/>
      </c>
      <c r="T630" s="1018" t="str">
        <f ca="1">IF($C630="","", IF(OR($P630=$V$1,$P630=$V$7,COUNTIFS($C$3:$C630,$C630,$E$3:$E630,$E630)&lt;=1),$P630,""    ))</f>
        <v/>
      </c>
      <c r="U630" s="1019" t="str">
        <f ca="1">IF(AND($P630=$V$2,COUNTIFS($C$3:$C630,$C630,$E$3:$E630,$E630,$G$3:$G630,$G630)&lt;=1),$P630,"")</f>
        <v/>
      </c>
    </row>
    <row r="631" spans="1:21">
      <c r="A631" s="991" t="str">
        <f ca="1">IFERROR(IF(COUNTIF($A$3:A630,A630)&lt; INDEX(TinhGia!$BH$10:$BH$81,MATCH($A630,TinhGia!$B$10:$B$81,0)),$A630,INDEX(TinhGia!$B$10:$B$81,MATCH($A630,TinhGia!$B$10:$B$81,0)+1)),"")</f>
        <v/>
      </c>
      <c r="B631" s="525" t="str">
        <f ca="1">IF(OR(A631="",A631=0),"",IF(COUNTIF($A$2:A631,$A631)=1,ROW(MauKoXoa!$C$108),$B630+1))</f>
        <v/>
      </c>
      <c r="C631" s="992" t="str">
        <f t="shared" ca="1" si="87"/>
        <v/>
      </c>
      <c r="D631" s="993" t="str">
        <f t="shared" ca="1" si="88"/>
        <v/>
      </c>
      <c r="E631" s="993" t="str">
        <f t="shared" ca="1" si="89"/>
        <v/>
      </c>
      <c r="F631" s="992" t="str">
        <f t="shared" ca="1" si="97"/>
        <v/>
      </c>
      <c r="G631" s="994">
        <f t="shared" ca="1" si="90"/>
        <v>0</v>
      </c>
      <c r="H631" s="913">
        <f t="shared" ca="1" si="91"/>
        <v>0</v>
      </c>
      <c r="I631" s="913">
        <f t="shared" ca="1" si="92"/>
        <v>0</v>
      </c>
      <c r="J631" s="995">
        <f t="shared" ca="1" si="98"/>
        <v>0</v>
      </c>
      <c r="K631" s="913">
        <f t="shared" ca="1" si="93"/>
        <v>0</v>
      </c>
      <c r="L631" s="995">
        <f t="shared" ca="1" si="99"/>
        <v>0</v>
      </c>
      <c r="M631" s="913">
        <f t="shared" ca="1" si="94"/>
        <v>0</v>
      </c>
      <c r="N631" s="996">
        <f t="shared" ca="1" si="95"/>
        <v>0</v>
      </c>
      <c r="O631" s="997">
        <f t="shared" ca="1" si="96"/>
        <v>0</v>
      </c>
      <c r="P631" s="1015" t="str">
        <f ca="1">IF($C631="","",INDEX(NVLSX!$N$2:$N$6941,MATCH($C631,NVLSX!$E$2:$E$6941,0)))</f>
        <v/>
      </c>
      <c r="Q631" s="1016" t="str">
        <f ca="1">IF($R631="","",IF(XKNVLSX!$X$1="",IF($P631=$V$7,$P631, IF(COUNTIFS($C$2:$C630,$C631,$E$2:$E630,$E631)&gt;=1,"",$P631)),     IF(AND(IFERROR(SEARCH($R631,XKNVLSX!$X$1,1),0)&gt;=1,$P631=$V$7),$P631, IF(OR($R631&lt;&gt;IF(IFERROR(SEARCH($R631,XKNVLSX!$X$1,1),0)&gt;=1,$R631,XKNVLSX!$X$1),COUNTIFS($C$2:$C630,$C631,$E$2:$E630,$E631,$Q$2:$Q630,$P631)&gt;=1),"",$P631))))</f>
        <v/>
      </c>
      <c r="R631" s="1017" t="str">
        <f ca="1">IF($A631="","",IFERROR(INDEX(TinhGia!$BF$10:$BF$81,MATCH($A631,TinhGia!$B$10:$B$81,0)),""))</f>
        <v/>
      </c>
      <c r="S631" s="1012" t="str">
        <f ca="1">IF($A631="","",IF(OR(IFERROR(SEARCH($R631,XKNVLSX!$X$1,1),0)&gt;=1,XKNVLSX!$X$1=""),$S$2,""))</f>
        <v/>
      </c>
      <c r="T631" s="1018" t="str">
        <f ca="1">IF($C631="","", IF(OR($P631=$V$1,$P631=$V$7,COUNTIFS($C$3:$C631,$C631,$E$3:$E631,$E631)&lt;=1),$P631,""    ))</f>
        <v/>
      </c>
      <c r="U631" s="1019" t="str">
        <f ca="1">IF(AND($P631=$V$2,COUNTIFS($C$3:$C631,$C631,$E$3:$E631,$E631,$G$3:$G631,$G631)&lt;=1),$P631,"")</f>
        <v/>
      </c>
    </row>
    <row r="632" spans="1:21">
      <c r="A632" s="991" t="str">
        <f ca="1">IFERROR(IF(COUNTIF($A$3:A631,A631)&lt; INDEX(TinhGia!$BH$10:$BH$81,MATCH($A631,TinhGia!$B$10:$B$81,0)),$A631,INDEX(TinhGia!$B$10:$B$81,MATCH($A631,TinhGia!$B$10:$B$81,0)+1)),"")</f>
        <v/>
      </c>
      <c r="B632" s="525" t="str">
        <f ca="1">IF(OR(A632="",A632=0),"",IF(COUNTIF($A$2:A632,$A632)=1,ROW(MauKoXoa!$C$108),$B631+1))</f>
        <v/>
      </c>
      <c r="C632" s="992" t="str">
        <f t="shared" ca="1" si="87"/>
        <v/>
      </c>
      <c r="D632" s="993" t="str">
        <f t="shared" ca="1" si="88"/>
        <v/>
      </c>
      <c r="E632" s="993" t="str">
        <f t="shared" ca="1" si="89"/>
        <v/>
      </c>
      <c r="F632" s="992" t="str">
        <f t="shared" ca="1" si="97"/>
        <v/>
      </c>
      <c r="G632" s="994">
        <f t="shared" ca="1" si="90"/>
        <v>0</v>
      </c>
      <c r="H632" s="913">
        <f t="shared" ca="1" si="91"/>
        <v>0</v>
      </c>
      <c r="I632" s="913">
        <f t="shared" ca="1" si="92"/>
        <v>0</v>
      </c>
      <c r="J632" s="995">
        <f t="shared" ca="1" si="98"/>
        <v>0</v>
      </c>
      <c r="K632" s="913">
        <f t="shared" ca="1" si="93"/>
        <v>0</v>
      </c>
      <c r="L632" s="995">
        <f t="shared" ca="1" si="99"/>
        <v>0</v>
      </c>
      <c r="M632" s="913">
        <f t="shared" ca="1" si="94"/>
        <v>0</v>
      </c>
      <c r="N632" s="996">
        <f t="shared" ca="1" si="95"/>
        <v>0</v>
      </c>
      <c r="O632" s="997">
        <f t="shared" ca="1" si="96"/>
        <v>0</v>
      </c>
      <c r="P632" s="1015" t="str">
        <f ca="1">IF($C632="","",INDEX(NVLSX!$N$2:$N$6941,MATCH($C632,NVLSX!$E$2:$E$6941,0)))</f>
        <v/>
      </c>
      <c r="Q632" s="1016" t="str">
        <f ca="1">IF($R632="","",IF(XKNVLSX!$X$1="",IF($P632=$V$7,$P632, IF(COUNTIFS($C$2:$C631,$C632,$E$2:$E631,$E632)&gt;=1,"",$P632)),     IF(AND(IFERROR(SEARCH($R632,XKNVLSX!$X$1,1),0)&gt;=1,$P632=$V$7),$P632, IF(OR($R632&lt;&gt;IF(IFERROR(SEARCH($R632,XKNVLSX!$X$1,1),0)&gt;=1,$R632,XKNVLSX!$X$1),COUNTIFS($C$2:$C631,$C632,$E$2:$E631,$E632,$Q$2:$Q631,$P632)&gt;=1),"",$P632))))</f>
        <v/>
      </c>
      <c r="R632" s="1017" t="str">
        <f ca="1">IF($A632="","",IFERROR(INDEX(TinhGia!$BF$10:$BF$81,MATCH($A632,TinhGia!$B$10:$B$81,0)),""))</f>
        <v/>
      </c>
      <c r="S632" s="1012" t="str">
        <f ca="1">IF($A632="","",IF(OR(IFERROR(SEARCH($R632,XKNVLSX!$X$1,1),0)&gt;=1,XKNVLSX!$X$1=""),$S$2,""))</f>
        <v/>
      </c>
      <c r="T632" s="1018" t="str">
        <f ca="1">IF($C632="","", IF(OR($P632=$V$1,$P632=$V$7,COUNTIFS($C$3:$C632,$C632,$E$3:$E632,$E632)&lt;=1),$P632,""    ))</f>
        <v/>
      </c>
      <c r="U632" s="1019" t="str">
        <f ca="1">IF(AND($P632=$V$2,COUNTIFS($C$3:$C632,$C632,$E$3:$E632,$E632,$G$3:$G632,$G632)&lt;=1),$P632,"")</f>
        <v/>
      </c>
    </row>
    <row r="633" spans="1:21">
      <c r="A633" s="991" t="str">
        <f ca="1">IFERROR(IF(COUNTIF($A$3:A632,A632)&lt; INDEX(TinhGia!$BH$10:$BH$81,MATCH($A632,TinhGia!$B$10:$B$81,0)),$A632,INDEX(TinhGia!$B$10:$B$81,MATCH($A632,TinhGia!$B$10:$B$81,0)+1)),"")</f>
        <v/>
      </c>
      <c r="B633" s="525" t="str">
        <f ca="1">IF(OR(A633="",A633=0),"",IF(COUNTIF($A$2:A633,$A633)=1,ROW(MauKoXoa!$C$108),$B632+1))</f>
        <v/>
      </c>
      <c r="C633" s="992" t="str">
        <f t="shared" ca="1" si="87"/>
        <v/>
      </c>
      <c r="D633" s="993" t="str">
        <f t="shared" ca="1" si="88"/>
        <v/>
      </c>
      <c r="E633" s="993" t="str">
        <f t="shared" ca="1" si="89"/>
        <v/>
      </c>
      <c r="F633" s="992" t="str">
        <f t="shared" ca="1" si="97"/>
        <v/>
      </c>
      <c r="G633" s="994">
        <f t="shared" ca="1" si="90"/>
        <v>0</v>
      </c>
      <c r="H633" s="913">
        <f t="shared" ca="1" si="91"/>
        <v>0</v>
      </c>
      <c r="I633" s="913">
        <f t="shared" ca="1" si="92"/>
        <v>0</v>
      </c>
      <c r="J633" s="995">
        <f t="shared" ca="1" si="98"/>
        <v>0</v>
      </c>
      <c r="K633" s="913">
        <f t="shared" ca="1" si="93"/>
        <v>0</v>
      </c>
      <c r="L633" s="995">
        <f t="shared" ca="1" si="99"/>
        <v>0</v>
      </c>
      <c r="M633" s="913">
        <f t="shared" ca="1" si="94"/>
        <v>0</v>
      </c>
      <c r="N633" s="996">
        <f t="shared" ca="1" si="95"/>
        <v>0</v>
      </c>
      <c r="O633" s="997">
        <f t="shared" ca="1" si="96"/>
        <v>0</v>
      </c>
      <c r="P633" s="1015" t="str">
        <f ca="1">IF($C633="","",INDEX(NVLSX!$N$2:$N$6941,MATCH($C633,NVLSX!$E$2:$E$6941,0)))</f>
        <v/>
      </c>
      <c r="Q633" s="1016" t="str">
        <f ca="1">IF($R633="","",IF(XKNVLSX!$X$1="",IF($P633=$V$7,$P633, IF(COUNTIFS($C$2:$C632,$C633,$E$2:$E632,$E633)&gt;=1,"",$P633)),     IF(AND(IFERROR(SEARCH($R633,XKNVLSX!$X$1,1),0)&gt;=1,$P633=$V$7),$P633, IF(OR($R633&lt;&gt;IF(IFERROR(SEARCH($R633,XKNVLSX!$X$1,1),0)&gt;=1,$R633,XKNVLSX!$X$1),COUNTIFS($C$2:$C632,$C633,$E$2:$E632,$E633,$Q$2:$Q632,$P633)&gt;=1),"",$P633))))</f>
        <v/>
      </c>
      <c r="R633" s="1017" t="str">
        <f ca="1">IF($A633="","",IFERROR(INDEX(TinhGia!$BF$10:$BF$81,MATCH($A633,TinhGia!$B$10:$B$81,0)),""))</f>
        <v/>
      </c>
      <c r="S633" s="1012" t="str">
        <f ca="1">IF($A633="","",IF(OR(IFERROR(SEARCH($R633,XKNVLSX!$X$1,1),0)&gt;=1,XKNVLSX!$X$1=""),$S$2,""))</f>
        <v/>
      </c>
      <c r="T633" s="1018" t="str">
        <f ca="1">IF($C633="","", IF(OR($P633=$V$1,$P633=$V$7,COUNTIFS($C$3:$C633,$C633,$E$3:$E633,$E633)&lt;=1),$P633,""    ))</f>
        <v/>
      </c>
      <c r="U633" s="1019" t="str">
        <f ca="1">IF(AND($P633=$V$2,COUNTIFS($C$3:$C633,$C633,$E$3:$E633,$E633,$G$3:$G633,$G633)&lt;=1),$P633,"")</f>
        <v/>
      </c>
    </row>
    <row r="634" spans="1:21">
      <c r="A634" s="991" t="str">
        <f ca="1">IFERROR(IF(COUNTIF($A$3:A633,A633)&lt; INDEX(TinhGia!$BH$10:$BH$81,MATCH($A633,TinhGia!$B$10:$B$81,0)),$A633,INDEX(TinhGia!$B$10:$B$81,MATCH($A633,TinhGia!$B$10:$B$81,0)+1)),"")</f>
        <v/>
      </c>
      <c r="B634" s="525" t="str">
        <f ca="1">IF(OR(A634="",A634=0),"",IF(COUNTIF($A$2:A634,$A634)=1,ROW(MauKoXoa!$C$108),$B633+1))</f>
        <v/>
      </c>
      <c r="C634" s="992" t="str">
        <f t="shared" ca="1" si="87"/>
        <v/>
      </c>
      <c r="D634" s="993" t="str">
        <f t="shared" ca="1" si="88"/>
        <v/>
      </c>
      <c r="E634" s="993" t="str">
        <f t="shared" ca="1" si="89"/>
        <v/>
      </c>
      <c r="F634" s="992" t="str">
        <f t="shared" ca="1" si="97"/>
        <v/>
      </c>
      <c r="G634" s="994">
        <f t="shared" ca="1" si="90"/>
        <v>0</v>
      </c>
      <c r="H634" s="913">
        <f t="shared" ca="1" si="91"/>
        <v>0</v>
      </c>
      <c r="I634" s="913">
        <f t="shared" ca="1" si="92"/>
        <v>0</v>
      </c>
      <c r="J634" s="995">
        <f t="shared" ca="1" si="98"/>
        <v>0</v>
      </c>
      <c r="K634" s="913">
        <f t="shared" ca="1" si="93"/>
        <v>0</v>
      </c>
      <c r="L634" s="995">
        <f t="shared" ca="1" si="99"/>
        <v>0</v>
      </c>
      <c r="M634" s="913">
        <f t="shared" ca="1" si="94"/>
        <v>0</v>
      </c>
      <c r="N634" s="996">
        <f t="shared" ca="1" si="95"/>
        <v>0</v>
      </c>
      <c r="O634" s="997">
        <f t="shared" ca="1" si="96"/>
        <v>0</v>
      </c>
      <c r="P634" s="1015" t="str">
        <f ca="1">IF($C634="","",INDEX(NVLSX!$N$2:$N$6941,MATCH($C634,NVLSX!$E$2:$E$6941,0)))</f>
        <v/>
      </c>
      <c r="Q634" s="1016" t="str">
        <f ca="1">IF($R634="","",IF(XKNVLSX!$X$1="",IF($P634=$V$7,$P634, IF(COUNTIFS($C$2:$C633,$C634,$E$2:$E633,$E634)&gt;=1,"",$P634)),     IF(AND(IFERROR(SEARCH($R634,XKNVLSX!$X$1,1),0)&gt;=1,$P634=$V$7),$P634, IF(OR($R634&lt;&gt;IF(IFERROR(SEARCH($R634,XKNVLSX!$X$1,1),0)&gt;=1,$R634,XKNVLSX!$X$1),COUNTIFS($C$2:$C633,$C634,$E$2:$E633,$E634,$Q$2:$Q633,$P634)&gt;=1),"",$P634))))</f>
        <v/>
      </c>
      <c r="R634" s="1017" t="str">
        <f ca="1">IF($A634="","",IFERROR(INDEX(TinhGia!$BF$10:$BF$81,MATCH($A634,TinhGia!$B$10:$B$81,0)),""))</f>
        <v/>
      </c>
      <c r="S634" s="1012" t="str">
        <f ca="1">IF($A634="","",IF(OR(IFERROR(SEARCH($R634,XKNVLSX!$X$1,1),0)&gt;=1,XKNVLSX!$X$1=""),$S$2,""))</f>
        <v/>
      </c>
      <c r="T634" s="1018" t="str">
        <f ca="1">IF($C634="","", IF(OR($P634=$V$1,$P634=$V$7,COUNTIFS($C$3:$C634,$C634,$E$3:$E634,$E634)&lt;=1),$P634,""    ))</f>
        <v/>
      </c>
      <c r="U634" s="1019" t="str">
        <f ca="1">IF(AND($P634=$V$2,COUNTIFS($C$3:$C634,$C634,$E$3:$E634,$E634,$G$3:$G634,$G634)&lt;=1),$P634,"")</f>
        <v/>
      </c>
    </row>
    <row r="635" spans="1:21">
      <c r="A635" s="991" t="str">
        <f ca="1">IFERROR(IF(COUNTIF($A$3:A634,A634)&lt; INDEX(TinhGia!$BH$10:$BH$81,MATCH($A634,TinhGia!$B$10:$B$81,0)),$A634,INDEX(TinhGia!$B$10:$B$81,MATCH($A634,TinhGia!$B$10:$B$81,0)+1)),"")</f>
        <v/>
      </c>
      <c r="B635" s="525" t="str">
        <f ca="1">IF(OR(A635="",A635=0),"",IF(COUNTIF($A$2:A635,$A635)=1,ROW(MauKoXoa!$C$108),$B634+1))</f>
        <v/>
      </c>
      <c r="C635" s="992" t="str">
        <f t="shared" ca="1" si="87"/>
        <v/>
      </c>
      <c r="D635" s="993" t="str">
        <f t="shared" ca="1" si="88"/>
        <v/>
      </c>
      <c r="E635" s="993" t="str">
        <f t="shared" ca="1" si="89"/>
        <v/>
      </c>
      <c r="F635" s="992" t="str">
        <f t="shared" ca="1" si="97"/>
        <v/>
      </c>
      <c r="G635" s="994">
        <f t="shared" ca="1" si="90"/>
        <v>0</v>
      </c>
      <c r="H635" s="913">
        <f t="shared" ca="1" si="91"/>
        <v>0</v>
      </c>
      <c r="I635" s="913">
        <f t="shared" ca="1" si="92"/>
        <v>0</v>
      </c>
      <c r="J635" s="995">
        <f t="shared" ca="1" si="98"/>
        <v>0</v>
      </c>
      <c r="K635" s="913">
        <f t="shared" ca="1" si="93"/>
        <v>0</v>
      </c>
      <c r="L635" s="995">
        <f t="shared" ca="1" si="99"/>
        <v>0</v>
      </c>
      <c r="M635" s="913">
        <f t="shared" ca="1" si="94"/>
        <v>0</v>
      </c>
      <c r="N635" s="996">
        <f t="shared" ca="1" si="95"/>
        <v>0</v>
      </c>
      <c r="O635" s="997">
        <f t="shared" ca="1" si="96"/>
        <v>0</v>
      </c>
      <c r="P635" s="1015" t="str">
        <f ca="1">IF($C635="","",INDEX(NVLSX!$N$2:$N$6941,MATCH($C635,NVLSX!$E$2:$E$6941,0)))</f>
        <v/>
      </c>
      <c r="Q635" s="1016" t="str">
        <f ca="1">IF($R635="","",IF(XKNVLSX!$X$1="",IF($P635=$V$7,$P635, IF(COUNTIFS($C$2:$C634,$C635,$E$2:$E634,$E635)&gt;=1,"",$P635)),     IF(AND(IFERROR(SEARCH($R635,XKNVLSX!$X$1,1),0)&gt;=1,$P635=$V$7),$P635, IF(OR($R635&lt;&gt;IF(IFERROR(SEARCH($R635,XKNVLSX!$X$1,1),0)&gt;=1,$R635,XKNVLSX!$X$1),COUNTIFS($C$2:$C634,$C635,$E$2:$E634,$E635,$Q$2:$Q634,$P635)&gt;=1),"",$P635))))</f>
        <v/>
      </c>
      <c r="R635" s="1017" t="str">
        <f ca="1">IF($A635="","",IFERROR(INDEX(TinhGia!$BF$10:$BF$81,MATCH($A635,TinhGia!$B$10:$B$81,0)),""))</f>
        <v/>
      </c>
      <c r="S635" s="1012" t="str">
        <f ca="1">IF($A635="","",IF(OR(IFERROR(SEARCH($R635,XKNVLSX!$X$1,1),0)&gt;=1,XKNVLSX!$X$1=""),$S$2,""))</f>
        <v/>
      </c>
      <c r="T635" s="1018" t="str">
        <f ca="1">IF($C635="","", IF(OR($P635=$V$1,$P635=$V$7,COUNTIFS($C$3:$C635,$C635,$E$3:$E635,$E635)&lt;=1),$P635,""    ))</f>
        <v/>
      </c>
      <c r="U635" s="1019" t="str">
        <f ca="1">IF(AND($P635=$V$2,COUNTIFS($C$3:$C635,$C635,$E$3:$E635,$E635,$G$3:$G635,$G635)&lt;=1),$P635,"")</f>
        <v/>
      </c>
    </row>
    <row r="636" spans="1:21">
      <c r="A636" s="991" t="str">
        <f ca="1">IFERROR(IF(COUNTIF($A$3:A635,A635)&lt; INDEX(TinhGia!$BH$10:$BH$81,MATCH($A635,TinhGia!$B$10:$B$81,0)),$A635,INDEX(TinhGia!$B$10:$B$81,MATCH($A635,TinhGia!$B$10:$B$81,0)+1)),"")</f>
        <v/>
      </c>
      <c r="B636" s="525" t="str">
        <f ca="1">IF(OR(A636="",A636=0),"",IF(COUNTIF($A$2:A636,$A636)=1,ROW(MauKoXoa!$C$108),$B635+1))</f>
        <v/>
      </c>
      <c r="C636" s="992" t="str">
        <f t="shared" ca="1" si="87"/>
        <v/>
      </c>
      <c r="D636" s="993" t="str">
        <f t="shared" ca="1" si="88"/>
        <v/>
      </c>
      <c r="E636" s="993" t="str">
        <f t="shared" ca="1" si="89"/>
        <v/>
      </c>
      <c r="F636" s="992" t="str">
        <f t="shared" ca="1" si="97"/>
        <v/>
      </c>
      <c r="G636" s="994">
        <f t="shared" ca="1" si="90"/>
        <v>0</v>
      </c>
      <c r="H636" s="913">
        <f t="shared" ca="1" si="91"/>
        <v>0</v>
      </c>
      <c r="I636" s="913">
        <f t="shared" ca="1" si="92"/>
        <v>0</v>
      </c>
      <c r="J636" s="995">
        <f t="shared" ca="1" si="98"/>
        <v>0</v>
      </c>
      <c r="K636" s="913">
        <f t="shared" ca="1" si="93"/>
        <v>0</v>
      </c>
      <c r="L636" s="995">
        <f t="shared" ca="1" si="99"/>
        <v>0</v>
      </c>
      <c r="M636" s="913">
        <f t="shared" ca="1" si="94"/>
        <v>0</v>
      </c>
      <c r="N636" s="996">
        <f t="shared" ca="1" si="95"/>
        <v>0</v>
      </c>
      <c r="O636" s="997">
        <f t="shared" ca="1" si="96"/>
        <v>0</v>
      </c>
      <c r="P636" s="1015" t="str">
        <f ca="1">IF($C636="","",INDEX(NVLSX!$N$2:$N$6941,MATCH($C636,NVLSX!$E$2:$E$6941,0)))</f>
        <v/>
      </c>
      <c r="Q636" s="1016" t="str">
        <f ca="1">IF($R636="","",IF(XKNVLSX!$X$1="",IF($P636=$V$7,$P636, IF(COUNTIFS($C$2:$C635,$C636,$E$2:$E635,$E636)&gt;=1,"",$P636)),     IF(AND(IFERROR(SEARCH($R636,XKNVLSX!$X$1,1),0)&gt;=1,$P636=$V$7),$P636, IF(OR($R636&lt;&gt;IF(IFERROR(SEARCH($R636,XKNVLSX!$X$1,1),0)&gt;=1,$R636,XKNVLSX!$X$1),COUNTIFS($C$2:$C635,$C636,$E$2:$E635,$E636,$Q$2:$Q635,$P636)&gt;=1),"",$P636))))</f>
        <v/>
      </c>
      <c r="R636" s="1017" t="str">
        <f ca="1">IF($A636="","",IFERROR(INDEX(TinhGia!$BF$10:$BF$81,MATCH($A636,TinhGia!$B$10:$B$81,0)),""))</f>
        <v/>
      </c>
      <c r="S636" s="1012" t="str">
        <f ca="1">IF($A636="","",IF(OR(IFERROR(SEARCH($R636,XKNVLSX!$X$1,1),0)&gt;=1,XKNVLSX!$X$1=""),$S$2,""))</f>
        <v/>
      </c>
      <c r="T636" s="1018" t="str">
        <f ca="1">IF($C636="","", IF(OR($P636=$V$1,$P636=$V$7,COUNTIFS($C$3:$C636,$C636,$E$3:$E636,$E636)&lt;=1),$P636,""    ))</f>
        <v/>
      </c>
      <c r="U636" s="1019" t="str">
        <f ca="1">IF(AND($P636=$V$2,COUNTIFS($C$3:$C636,$C636,$E$3:$E636,$E636,$G$3:$G636,$G636)&lt;=1),$P636,"")</f>
        <v/>
      </c>
    </row>
    <row r="637" spans="1:21">
      <c r="A637" s="991" t="str">
        <f ca="1">IFERROR(IF(COUNTIF($A$3:A636,A636)&lt; INDEX(TinhGia!$BH$10:$BH$81,MATCH($A636,TinhGia!$B$10:$B$81,0)),$A636,INDEX(TinhGia!$B$10:$B$81,MATCH($A636,TinhGia!$B$10:$B$81,0)+1)),"")</f>
        <v/>
      </c>
      <c r="B637" s="525" t="str">
        <f ca="1">IF(OR(A637="",A637=0),"",IF(COUNTIF($A$2:A637,$A637)=1,ROW(MauKoXoa!$C$108),$B636+1))</f>
        <v/>
      </c>
      <c r="C637" s="992" t="str">
        <f t="shared" ca="1" si="87"/>
        <v/>
      </c>
      <c r="D637" s="993" t="str">
        <f t="shared" ca="1" si="88"/>
        <v/>
      </c>
      <c r="E637" s="993" t="str">
        <f t="shared" ca="1" si="89"/>
        <v/>
      </c>
      <c r="F637" s="992" t="str">
        <f t="shared" ca="1" si="97"/>
        <v/>
      </c>
      <c r="G637" s="994">
        <f t="shared" ca="1" si="90"/>
        <v>0</v>
      </c>
      <c r="H637" s="913">
        <f t="shared" ca="1" si="91"/>
        <v>0</v>
      </c>
      <c r="I637" s="913">
        <f t="shared" ca="1" si="92"/>
        <v>0</v>
      </c>
      <c r="J637" s="995">
        <f t="shared" ca="1" si="98"/>
        <v>0</v>
      </c>
      <c r="K637" s="913">
        <f t="shared" ca="1" si="93"/>
        <v>0</v>
      </c>
      <c r="L637" s="995">
        <f t="shared" ca="1" si="99"/>
        <v>0</v>
      </c>
      <c r="M637" s="913">
        <f t="shared" ca="1" si="94"/>
        <v>0</v>
      </c>
      <c r="N637" s="996">
        <f t="shared" ca="1" si="95"/>
        <v>0</v>
      </c>
      <c r="O637" s="997">
        <f t="shared" ca="1" si="96"/>
        <v>0</v>
      </c>
      <c r="P637" s="1015" t="str">
        <f ca="1">IF($C637="","",INDEX(NVLSX!$N$2:$N$6941,MATCH($C637,NVLSX!$E$2:$E$6941,0)))</f>
        <v/>
      </c>
      <c r="Q637" s="1016" t="str">
        <f ca="1">IF($R637="","",IF(XKNVLSX!$X$1="",IF($P637=$V$7,$P637, IF(COUNTIFS($C$2:$C636,$C637,$E$2:$E636,$E637)&gt;=1,"",$P637)),     IF(AND(IFERROR(SEARCH($R637,XKNVLSX!$X$1,1),0)&gt;=1,$P637=$V$7),$P637, IF(OR($R637&lt;&gt;IF(IFERROR(SEARCH($R637,XKNVLSX!$X$1,1),0)&gt;=1,$R637,XKNVLSX!$X$1),COUNTIFS($C$2:$C636,$C637,$E$2:$E636,$E637,$Q$2:$Q636,$P637)&gt;=1),"",$P637))))</f>
        <v/>
      </c>
      <c r="R637" s="1017" t="str">
        <f ca="1">IF($A637="","",IFERROR(INDEX(TinhGia!$BF$10:$BF$81,MATCH($A637,TinhGia!$B$10:$B$81,0)),""))</f>
        <v/>
      </c>
      <c r="S637" s="1012" t="str">
        <f ca="1">IF($A637="","",IF(OR(IFERROR(SEARCH($R637,XKNVLSX!$X$1,1),0)&gt;=1,XKNVLSX!$X$1=""),$S$2,""))</f>
        <v/>
      </c>
      <c r="T637" s="1018" t="str">
        <f ca="1">IF($C637="","", IF(OR($P637=$V$1,$P637=$V$7,COUNTIFS($C$3:$C637,$C637,$E$3:$E637,$E637)&lt;=1),$P637,""    ))</f>
        <v/>
      </c>
      <c r="U637" s="1019" t="str">
        <f ca="1">IF(AND($P637=$V$2,COUNTIFS($C$3:$C637,$C637,$E$3:$E637,$E637,$G$3:$G637,$G637)&lt;=1),$P637,"")</f>
        <v/>
      </c>
    </row>
    <row r="638" spans="1:21">
      <c r="A638" s="991" t="str">
        <f ca="1">IFERROR(IF(COUNTIF($A$3:A637,A637)&lt; INDEX(TinhGia!$BH$10:$BH$81,MATCH($A637,TinhGia!$B$10:$B$81,0)),$A637,INDEX(TinhGia!$B$10:$B$81,MATCH($A637,TinhGia!$B$10:$B$81,0)+1)),"")</f>
        <v/>
      </c>
      <c r="B638" s="525" t="str">
        <f ca="1">IF(OR(A638="",A638=0),"",IF(COUNTIF($A$2:A638,$A638)=1,ROW(MauKoXoa!$C$108),$B637+1))</f>
        <v/>
      </c>
      <c r="C638" s="992" t="str">
        <f t="shared" ca="1" si="87"/>
        <v/>
      </c>
      <c r="D638" s="993" t="str">
        <f t="shared" ca="1" si="88"/>
        <v/>
      </c>
      <c r="E638" s="993" t="str">
        <f t="shared" ca="1" si="89"/>
        <v/>
      </c>
      <c r="F638" s="992" t="str">
        <f t="shared" ca="1" si="97"/>
        <v/>
      </c>
      <c r="G638" s="994">
        <f t="shared" ca="1" si="90"/>
        <v>0</v>
      </c>
      <c r="H638" s="913">
        <f t="shared" ca="1" si="91"/>
        <v>0</v>
      </c>
      <c r="I638" s="913">
        <f t="shared" ca="1" si="92"/>
        <v>0</v>
      </c>
      <c r="J638" s="995">
        <f t="shared" ca="1" si="98"/>
        <v>0</v>
      </c>
      <c r="K638" s="913">
        <f t="shared" ca="1" si="93"/>
        <v>0</v>
      </c>
      <c r="L638" s="995">
        <f t="shared" ca="1" si="99"/>
        <v>0</v>
      </c>
      <c r="M638" s="913">
        <f t="shared" ca="1" si="94"/>
        <v>0</v>
      </c>
      <c r="N638" s="996">
        <f t="shared" ca="1" si="95"/>
        <v>0</v>
      </c>
      <c r="O638" s="997">
        <f t="shared" ca="1" si="96"/>
        <v>0</v>
      </c>
      <c r="P638" s="1015" t="str">
        <f ca="1">IF($C638="","",INDEX(NVLSX!$N$2:$N$6941,MATCH($C638,NVLSX!$E$2:$E$6941,0)))</f>
        <v/>
      </c>
      <c r="Q638" s="1016" t="str">
        <f ca="1">IF($R638="","",IF(XKNVLSX!$X$1="",IF($P638=$V$7,$P638, IF(COUNTIFS($C$2:$C637,$C638,$E$2:$E637,$E638)&gt;=1,"",$P638)),     IF(AND(IFERROR(SEARCH($R638,XKNVLSX!$X$1,1),0)&gt;=1,$P638=$V$7),$P638, IF(OR($R638&lt;&gt;IF(IFERROR(SEARCH($R638,XKNVLSX!$X$1,1),0)&gt;=1,$R638,XKNVLSX!$X$1),COUNTIFS($C$2:$C637,$C638,$E$2:$E637,$E638,$Q$2:$Q637,$P638)&gt;=1),"",$P638))))</f>
        <v/>
      </c>
      <c r="R638" s="1017" t="str">
        <f ca="1">IF($A638="","",IFERROR(INDEX(TinhGia!$BF$10:$BF$81,MATCH($A638,TinhGia!$B$10:$B$81,0)),""))</f>
        <v/>
      </c>
      <c r="S638" s="1012" t="str">
        <f ca="1">IF($A638="","",IF(OR(IFERROR(SEARCH($R638,XKNVLSX!$X$1,1),0)&gt;=1,XKNVLSX!$X$1=""),$S$2,""))</f>
        <v/>
      </c>
      <c r="T638" s="1018" t="str">
        <f ca="1">IF($C638="","", IF(OR($P638=$V$1,$P638=$V$7,COUNTIFS($C$3:$C638,$C638,$E$3:$E638,$E638)&lt;=1),$P638,""    ))</f>
        <v/>
      </c>
      <c r="U638" s="1019" t="str">
        <f ca="1">IF(AND($P638=$V$2,COUNTIFS($C$3:$C638,$C638,$E$3:$E638,$E638,$G$3:$G638,$G638)&lt;=1),$P638,"")</f>
        <v/>
      </c>
    </row>
    <row r="639" spans="1:21">
      <c r="A639" s="991" t="str">
        <f ca="1">IFERROR(IF(COUNTIF($A$3:A638,A638)&lt; INDEX(TinhGia!$BH$10:$BH$81,MATCH($A638,TinhGia!$B$10:$B$81,0)),$A638,INDEX(TinhGia!$B$10:$B$81,MATCH($A638,TinhGia!$B$10:$B$81,0)+1)),"")</f>
        <v/>
      </c>
      <c r="B639" s="525" t="str">
        <f ca="1">IF(OR(A639="",A639=0),"",IF(COUNTIF($A$2:A639,$A639)=1,ROW(MauKoXoa!$C$108),$B638+1))</f>
        <v/>
      </c>
      <c r="C639" s="992" t="str">
        <f t="shared" ca="1" si="87"/>
        <v/>
      </c>
      <c r="D639" s="993" t="str">
        <f t="shared" ca="1" si="88"/>
        <v/>
      </c>
      <c r="E639" s="993" t="str">
        <f t="shared" ca="1" si="89"/>
        <v/>
      </c>
      <c r="F639" s="992" t="str">
        <f t="shared" ca="1" si="97"/>
        <v/>
      </c>
      <c r="G639" s="994">
        <f t="shared" ca="1" si="90"/>
        <v>0</v>
      </c>
      <c r="H639" s="913">
        <f t="shared" ca="1" si="91"/>
        <v>0</v>
      </c>
      <c r="I639" s="913">
        <f t="shared" ca="1" si="92"/>
        <v>0</v>
      </c>
      <c r="J639" s="995">
        <f t="shared" ca="1" si="98"/>
        <v>0</v>
      </c>
      <c r="K639" s="913">
        <f t="shared" ca="1" si="93"/>
        <v>0</v>
      </c>
      <c r="L639" s="995">
        <f t="shared" ca="1" si="99"/>
        <v>0</v>
      </c>
      <c r="M639" s="913">
        <f t="shared" ca="1" si="94"/>
        <v>0</v>
      </c>
      <c r="N639" s="996">
        <f t="shared" ca="1" si="95"/>
        <v>0</v>
      </c>
      <c r="O639" s="997">
        <f t="shared" ca="1" si="96"/>
        <v>0</v>
      </c>
      <c r="P639" s="1015" t="str">
        <f ca="1">IF($C639="","",INDEX(NVLSX!$N$2:$N$6941,MATCH($C639,NVLSX!$E$2:$E$6941,0)))</f>
        <v/>
      </c>
      <c r="Q639" s="1016" t="str">
        <f ca="1">IF($R639="","",IF(XKNVLSX!$X$1="",IF($P639=$V$7,$P639, IF(COUNTIFS($C$2:$C638,$C639,$E$2:$E638,$E639)&gt;=1,"",$P639)),     IF(AND(IFERROR(SEARCH($R639,XKNVLSX!$X$1,1),0)&gt;=1,$P639=$V$7),$P639, IF(OR($R639&lt;&gt;IF(IFERROR(SEARCH($R639,XKNVLSX!$X$1,1),0)&gt;=1,$R639,XKNVLSX!$X$1),COUNTIFS($C$2:$C638,$C639,$E$2:$E638,$E639,$Q$2:$Q638,$P639)&gt;=1),"",$P639))))</f>
        <v/>
      </c>
      <c r="R639" s="1017" t="str">
        <f ca="1">IF($A639="","",IFERROR(INDEX(TinhGia!$BF$10:$BF$81,MATCH($A639,TinhGia!$B$10:$B$81,0)),""))</f>
        <v/>
      </c>
      <c r="S639" s="1012" t="str">
        <f ca="1">IF($A639="","",IF(OR(IFERROR(SEARCH($R639,XKNVLSX!$X$1,1),0)&gt;=1,XKNVLSX!$X$1=""),$S$2,""))</f>
        <v/>
      </c>
      <c r="T639" s="1018" t="str">
        <f ca="1">IF($C639="","", IF(OR($P639=$V$1,$P639=$V$7,COUNTIFS($C$3:$C639,$C639,$E$3:$E639,$E639)&lt;=1),$P639,""    ))</f>
        <v/>
      </c>
      <c r="U639" s="1019" t="str">
        <f ca="1">IF(AND($P639=$V$2,COUNTIFS($C$3:$C639,$C639,$E$3:$E639,$E639,$G$3:$G639,$G639)&lt;=1),$P639,"")</f>
        <v/>
      </c>
    </row>
    <row r="640" spans="1:21">
      <c r="A640" s="991" t="str">
        <f ca="1">IFERROR(IF(COUNTIF($A$3:A639,A639)&lt; INDEX(TinhGia!$BH$10:$BH$81,MATCH($A639,TinhGia!$B$10:$B$81,0)),$A639,INDEX(TinhGia!$B$10:$B$81,MATCH($A639,TinhGia!$B$10:$B$81,0)+1)),"")</f>
        <v/>
      </c>
      <c r="B640" s="525" t="str">
        <f ca="1">IF(OR(A640="",A640=0),"",IF(COUNTIF($A$2:A640,$A640)=1,ROW(MauKoXoa!$C$108),$B639+1))</f>
        <v/>
      </c>
      <c r="C640" s="992" t="str">
        <f t="shared" ca="1" si="87"/>
        <v/>
      </c>
      <c r="D640" s="993" t="str">
        <f t="shared" ca="1" si="88"/>
        <v/>
      </c>
      <c r="E640" s="993" t="str">
        <f t="shared" ca="1" si="89"/>
        <v/>
      </c>
      <c r="F640" s="992" t="str">
        <f t="shared" ca="1" si="97"/>
        <v/>
      </c>
      <c r="G640" s="994">
        <f t="shared" ca="1" si="90"/>
        <v>0</v>
      </c>
      <c r="H640" s="913">
        <f t="shared" ca="1" si="91"/>
        <v>0</v>
      </c>
      <c r="I640" s="913">
        <f t="shared" ca="1" si="92"/>
        <v>0</v>
      </c>
      <c r="J640" s="995">
        <f t="shared" ca="1" si="98"/>
        <v>0</v>
      </c>
      <c r="K640" s="913">
        <f t="shared" ca="1" si="93"/>
        <v>0</v>
      </c>
      <c r="L640" s="995">
        <f t="shared" ca="1" si="99"/>
        <v>0</v>
      </c>
      <c r="M640" s="913">
        <f t="shared" ca="1" si="94"/>
        <v>0</v>
      </c>
      <c r="N640" s="996">
        <f t="shared" ca="1" si="95"/>
        <v>0</v>
      </c>
      <c r="O640" s="997">
        <f t="shared" ca="1" si="96"/>
        <v>0</v>
      </c>
      <c r="P640" s="1015" t="str">
        <f ca="1">IF($C640="","",INDEX(NVLSX!$N$2:$N$6941,MATCH($C640,NVLSX!$E$2:$E$6941,0)))</f>
        <v/>
      </c>
      <c r="Q640" s="1016" t="str">
        <f ca="1">IF($R640="","",IF(XKNVLSX!$X$1="",IF($P640=$V$7,$P640, IF(COUNTIFS($C$2:$C639,$C640,$E$2:$E639,$E640)&gt;=1,"",$P640)),     IF(AND(IFERROR(SEARCH($R640,XKNVLSX!$X$1,1),0)&gt;=1,$P640=$V$7),$P640, IF(OR($R640&lt;&gt;IF(IFERROR(SEARCH($R640,XKNVLSX!$X$1,1),0)&gt;=1,$R640,XKNVLSX!$X$1),COUNTIFS($C$2:$C639,$C640,$E$2:$E639,$E640,$Q$2:$Q639,$P640)&gt;=1),"",$P640))))</f>
        <v/>
      </c>
      <c r="R640" s="1017" t="str">
        <f ca="1">IF($A640="","",IFERROR(INDEX(TinhGia!$BF$10:$BF$81,MATCH($A640,TinhGia!$B$10:$B$81,0)),""))</f>
        <v/>
      </c>
      <c r="S640" s="1012" t="str">
        <f ca="1">IF($A640="","",IF(OR(IFERROR(SEARCH($R640,XKNVLSX!$X$1,1),0)&gt;=1,XKNVLSX!$X$1=""),$S$2,""))</f>
        <v/>
      </c>
      <c r="T640" s="1018" t="str">
        <f ca="1">IF($C640="","", IF(OR($P640=$V$1,$P640=$V$7,COUNTIFS($C$3:$C640,$C640,$E$3:$E640,$E640)&lt;=1),$P640,""    ))</f>
        <v/>
      </c>
      <c r="U640" s="1019" t="str">
        <f ca="1">IF(AND($P640=$V$2,COUNTIFS($C$3:$C640,$C640,$E$3:$E640,$E640,$G$3:$G640,$G640)&lt;=1),$P640,"")</f>
        <v/>
      </c>
    </row>
    <row r="641" spans="1:21">
      <c r="A641" s="991" t="str">
        <f ca="1">IFERROR(IF(COUNTIF($A$3:A640,A640)&lt; INDEX(TinhGia!$BH$10:$BH$81,MATCH($A640,TinhGia!$B$10:$B$81,0)),$A640,INDEX(TinhGia!$B$10:$B$81,MATCH($A640,TinhGia!$B$10:$B$81,0)+1)),"")</f>
        <v/>
      </c>
      <c r="B641" s="525" t="str">
        <f ca="1">IF(OR(A641="",A641=0),"",IF(COUNTIF($A$2:A641,$A641)=1,ROW(MauKoXoa!$C$108),$B640+1))</f>
        <v/>
      </c>
      <c r="C641" s="992" t="str">
        <f t="shared" ca="1" si="87"/>
        <v/>
      </c>
      <c r="D641" s="993" t="str">
        <f t="shared" ca="1" si="88"/>
        <v/>
      </c>
      <c r="E641" s="993" t="str">
        <f t="shared" ca="1" si="89"/>
        <v/>
      </c>
      <c r="F641" s="992" t="str">
        <f t="shared" ca="1" si="97"/>
        <v/>
      </c>
      <c r="G641" s="994">
        <f t="shared" ca="1" si="90"/>
        <v>0</v>
      </c>
      <c r="H641" s="913">
        <f t="shared" ca="1" si="91"/>
        <v>0</v>
      </c>
      <c r="I641" s="913">
        <f t="shared" ca="1" si="92"/>
        <v>0</v>
      </c>
      <c r="J641" s="995">
        <f t="shared" ca="1" si="98"/>
        <v>0</v>
      </c>
      <c r="K641" s="913">
        <f t="shared" ca="1" si="93"/>
        <v>0</v>
      </c>
      <c r="L641" s="995">
        <f t="shared" ca="1" si="99"/>
        <v>0</v>
      </c>
      <c r="M641" s="913">
        <f t="shared" ca="1" si="94"/>
        <v>0</v>
      </c>
      <c r="N641" s="996">
        <f t="shared" ca="1" si="95"/>
        <v>0</v>
      </c>
      <c r="O641" s="997">
        <f t="shared" ca="1" si="96"/>
        <v>0</v>
      </c>
      <c r="P641" s="1015" t="str">
        <f ca="1">IF($C641="","",INDEX(NVLSX!$N$2:$N$6941,MATCH($C641,NVLSX!$E$2:$E$6941,0)))</f>
        <v/>
      </c>
      <c r="Q641" s="1016" t="str">
        <f ca="1">IF($R641="","",IF(XKNVLSX!$X$1="",IF($P641=$V$7,$P641, IF(COUNTIFS($C$2:$C640,$C641,$E$2:$E640,$E641)&gt;=1,"",$P641)),     IF(AND(IFERROR(SEARCH($R641,XKNVLSX!$X$1,1),0)&gt;=1,$P641=$V$7),$P641, IF(OR($R641&lt;&gt;IF(IFERROR(SEARCH($R641,XKNVLSX!$X$1,1),0)&gt;=1,$R641,XKNVLSX!$X$1),COUNTIFS($C$2:$C640,$C641,$E$2:$E640,$E641,$Q$2:$Q640,$P641)&gt;=1),"",$P641))))</f>
        <v/>
      </c>
      <c r="R641" s="1017" t="str">
        <f ca="1">IF($A641="","",IFERROR(INDEX(TinhGia!$BF$10:$BF$81,MATCH($A641,TinhGia!$B$10:$B$81,0)),""))</f>
        <v/>
      </c>
      <c r="S641" s="1012" t="str">
        <f ca="1">IF($A641="","",IF(OR(IFERROR(SEARCH($R641,XKNVLSX!$X$1,1),0)&gt;=1,XKNVLSX!$X$1=""),$S$2,""))</f>
        <v/>
      </c>
      <c r="T641" s="1018" t="str">
        <f ca="1">IF($C641="","", IF(OR($P641=$V$1,$P641=$V$7,COUNTIFS($C$3:$C641,$C641,$E$3:$E641,$E641)&lt;=1),$P641,""    ))</f>
        <v/>
      </c>
      <c r="U641" s="1019" t="str">
        <f ca="1">IF(AND($P641=$V$2,COUNTIFS($C$3:$C641,$C641,$E$3:$E641,$E641,$G$3:$G641,$G641)&lt;=1),$P641,"")</f>
        <v/>
      </c>
    </row>
    <row r="642" spans="1:21">
      <c r="A642" s="991" t="str">
        <f ca="1">IFERROR(IF(COUNTIF($A$3:A641,A641)&lt; INDEX(TinhGia!$BH$10:$BH$81,MATCH($A641,TinhGia!$B$10:$B$81,0)),$A641,INDEX(TinhGia!$B$10:$B$81,MATCH($A641,TinhGia!$B$10:$B$81,0)+1)),"")</f>
        <v/>
      </c>
      <c r="B642" s="525" t="str">
        <f ca="1">IF(OR(A642="",A642=0),"",IF(COUNTIF($A$2:A642,$A642)=1,ROW(MauKoXoa!$C$108),$B641+1))</f>
        <v/>
      </c>
      <c r="C642" s="992" t="str">
        <f t="shared" ref="C642:C705" ca="1" si="100">IFERROR(INDIRECT("'" &amp; $A642 &amp; "'!" &amp; "C" &amp; $B642),"")</f>
        <v/>
      </c>
      <c r="D642" s="993" t="str">
        <f t="shared" ref="D642:D705" ca="1" si="101">IFERROR(INDIRECT("'" &amp; $A642 &amp; "'!" &amp; "D" &amp; $B642),"")</f>
        <v/>
      </c>
      <c r="E642" s="993" t="str">
        <f t="shared" ref="E642:E705" ca="1" si="102">IFERROR(INDIRECT("'" &amp; $A642 &amp; "'!" &amp; "P" &amp; $B642),"")</f>
        <v/>
      </c>
      <c r="F642" s="992" t="str">
        <f t="shared" ca="1" si="97"/>
        <v/>
      </c>
      <c r="G642" s="994">
        <f t="shared" ref="G642:G705" ca="1" si="103">IFERROR(INDIRECT("'" &amp; $A642 &amp; "'!" &amp; "F" &amp; $B642),0)</f>
        <v>0</v>
      </c>
      <c r="H642" s="913">
        <f t="shared" ref="H642:H705" ca="1" si="104">IFERROR(INDIRECT("'" &amp; $A642 &amp; "'!" &amp; "G" &amp; $B642),0)</f>
        <v>0</v>
      </c>
      <c r="I642" s="913">
        <f t="shared" ref="I642:I705" ca="1" si="105">IFERROR(INDIRECT("'" &amp; $A642 &amp; "'!" &amp; "H" &amp; $B642),0)</f>
        <v>0</v>
      </c>
      <c r="J642" s="995">
        <f t="shared" ca="1" si="98"/>
        <v>0</v>
      </c>
      <c r="K642" s="913">
        <f t="shared" ref="K642:K705" ca="1" si="106">IFERROR(INDIRECT("'" &amp; $A642 &amp; "'!" &amp; "L" &amp; $B642),0)</f>
        <v>0</v>
      </c>
      <c r="L642" s="995">
        <f t="shared" ca="1" si="99"/>
        <v>0</v>
      </c>
      <c r="M642" s="913">
        <f t="shared" ref="M642:M705" ca="1" si="107">IFERROR(INDIRECT("'" &amp; $A642 &amp; "'!" &amp; "M" &amp; $B642),0)</f>
        <v>0</v>
      </c>
      <c r="N642" s="996">
        <f t="shared" ref="N642:N705" ca="1" si="108">IFERROR(INDIRECT("'" &amp; $A642 &amp; "'!" &amp; "N" &amp; $B642),0)</f>
        <v>0</v>
      </c>
      <c r="O642" s="997">
        <f t="shared" ref="O642:O705" ca="1" si="109">IFERROR(INDIRECT("'" &amp; $A642 &amp; "'!" &amp; "O" &amp; $B642),0)</f>
        <v>0</v>
      </c>
      <c r="P642" s="1015" t="str">
        <f ca="1">IF($C642="","",INDEX(NVLSX!$N$2:$N$6941,MATCH($C642,NVLSX!$E$2:$E$6941,0)))</f>
        <v/>
      </c>
      <c r="Q642" s="1016" t="str">
        <f ca="1">IF($R642="","",IF(XKNVLSX!$X$1="",IF($P642=$V$7,$P642, IF(COUNTIFS($C$2:$C641,$C642,$E$2:$E641,$E642)&gt;=1,"",$P642)),     IF(AND(IFERROR(SEARCH($R642,XKNVLSX!$X$1,1),0)&gt;=1,$P642=$V$7),$P642, IF(OR($R642&lt;&gt;IF(IFERROR(SEARCH($R642,XKNVLSX!$X$1,1),0)&gt;=1,$R642,XKNVLSX!$X$1),COUNTIFS($C$2:$C641,$C642,$E$2:$E641,$E642,$Q$2:$Q641,$P642)&gt;=1),"",$P642))))</f>
        <v/>
      </c>
      <c r="R642" s="1017" t="str">
        <f ca="1">IF($A642="","",IFERROR(INDEX(TinhGia!$BF$10:$BF$81,MATCH($A642,TinhGia!$B$10:$B$81,0)),""))</f>
        <v/>
      </c>
      <c r="S642" s="1012" t="str">
        <f ca="1">IF($A642="","",IF(OR(IFERROR(SEARCH($R642,XKNVLSX!$X$1,1),0)&gt;=1,XKNVLSX!$X$1=""),$S$2,""))</f>
        <v/>
      </c>
      <c r="T642" s="1018" t="str">
        <f ca="1">IF($C642="","", IF(OR($P642=$V$1,$P642=$V$7,COUNTIFS($C$3:$C642,$C642,$E$3:$E642,$E642)&lt;=1),$P642,""    ))</f>
        <v/>
      </c>
      <c r="U642" s="1019" t="str">
        <f ca="1">IF(AND($P642=$V$2,COUNTIFS($C$3:$C642,$C642,$E$3:$E642,$E642,$G$3:$G642,$G642)&lt;=1),$P642,"")</f>
        <v/>
      </c>
    </row>
    <row r="643" spans="1:21">
      <c r="A643" s="991" t="str">
        <f ca="1">IFERROR(IF(COUNTIF($A$3:A642,A642)&lt; INDEX(TinhGia!$BH$10:$BH$81,MATCH($A642,TinhGia!$B$10:$B$81,0)),$A642,INDEX(TinhGia!$B$10:$B$81,MATCH($A642,TinhGia!$B$10:$B$81,0)+1)),"")</f>
        <v/>
      </c>
      <c r="B643" s="525" t="str">
        <f ca="1">IF(OR(A643="",A643=0),"",IF(COUNTIF($A$2:A643,$A643)=1,ROW(MauKoXoa!$C$108),$B642+1))</f>
        <v/>
      </c>
      <c r="C643" s="992" t="str">
        <f t="shared" ca="1" si="100"/>
        <v/>
      </c>
      <c r="D643" s="993" t="str">
        <f t="shared" ca="1" si="101"/>
        <v/>
      </c>
      <c r="E643" s="993" t="str">
        <f t="shared" ca="1" si="102"/>
        <v/>
      </c>
      <c r="F643" s="992" t="str">
        <f t="shared" ref="F643:F706" ca="1" si="110">IF($P643=$V$7, IFERROR(INDIRECT("'" &amp; $A643 &amp; "'!" &amp; "I" &amp; $B643),""),IFERROR(INDIRECT("'" &amp; $A643 &amp; "'!" &amp; "E" &amp; $B643),""))</f>
        <v/>
      </c>
      <c r="G643" s="994">
        <f t="shared" ca="1" si="103"/>
        <v>0</v>
      </c>
      <c r="H643" s="913">
        <f t="shared" ca="1" si="104"/>
        <v>0</v>
      </c>
      <c r="I643" s="913">
        <f t="shared" ca="1" si="105"/>
        <v>0</v>
      </c>
      <c r="J643" s="995">
        <f t="shared" ca="1" si="98"/>
        <v>0</v>
      </c>
      <c r="K643" s="913">
        <f t="shared" ca="1" si="106"/>
        <v>0</v>
      </c>
      <c r="L643" s="995">
        <f t="shared" ca="1" si="99"/>
        <v>0</v>
      </c>
      <c r="M643" s="913">
        <f t="shared" ca="1" si="107"/>
        <v>0</v>
      </c>
      <c r="N643" s="996">
        <f t="shared" ca="1" si="108"/>
        <v>0</v>
      </c>
      <c r="O643" s="997">
        <f t="shared" ca="1" si="109"/>
        <v>0</v>
      </c>
      <c r="P643" s="1015" t="str">
        <f ca="1">IF($C643="","",INDEX(NVLSX!$N$2:$N$6941,MATCH($C643,NVLSX!$E$2:$E$6941,0)))</f>
        <v/>
      </c>
      <c r="Q643" s="1016" t="str">
        <f ca="1">IF($R643="","",IF(XKNVLSX!$X$1="",IF($P643=$V$7,$P643, IF(COUNTIFS($C$2:$C642,$C643,$E$2:$E642,$E643)&gt;=1,"",$P643)),     IF(AND(IFERROR(SEARCH($R643,XKNVLSX!$X$1,1),0)&gt;=1,$P643=$V$7),$P643, IF(OR($R643&lt;&gt;IF(IFERROR(SEARCH($R643,XKNVLSX!$X$1,1),0)&gt;=1,$R643,XKNVLSX!$X$1),COUNTIFS($C$2:$C642,$C643,$E$2:$E642,$E643,$Q$2:$Q642,$P643)&gt;=1),"",$P643))))</f>
        <v/>
      </c>
      <c r="R643" s="1017" t="str">
        <f ca="1">IF($A643="","",IFERROR(INDEX(TinhGia!$BF$10:$BF$81,MATCH($A643,TinhGia!$B$10:$B$81,0)),""))</f>
        <v/>
      </c>
      <c r="S643" s="1012" t="str">
        <f ca="1">IF($A643="","",IF(OR(IFERROR(SEARCH($R643,XKNVLSX!$X$1,1),0)&gt;=1,XKNVLSX!$X$1=""),$S$2,""))</f>
        <v/>
      </c>
      <c r="T643" s="1018" t="str">
        <f ca="1">IF($C643="","", IF(OR($P643=$V$1,$P643=$V$7,COUNTIFS($C$3:$C643,$C643,$E$3:$E643,$E643)&lt;=1),$P643,""    ))</f>
        <v/>
      </c>
      <c r="U643" s="1019" t="str">
        <f ca="1">IF(AND($P643=$V$2,COUNTIFS($C$3:$C643,$C643,$E$3:$E643,$E643,$G$3:$G643,$G643)&lt;=1),$P643,"")</f>
        <v/>
      </c>
    </row>
    <row r="644" spans="1:21">
      <c r="A644" s="991" t="str">
        <f ca="1">IFERROR(IF(COUNTIF($A$3:A643,A643)&lt; INDEX(TinhGia!$BH$10:$BH$81,MATCH($A643,TinhGia!$B$10:$B$81,0)),$A643,INDEX(TinhGia!$B$10:$B$81,MATCH($A643,TinhGia!$B$10:$B$81,0)+1)),"")</f>
        <v/>
      </c>
      <c r="B644" s="525" t="str">
        <f ca="1">IF(OR(A644="",A644=0),"",IF(COUNTIF($A$2:A644,$A644)=1,ROW(MauKoXoa!$C$108),$B643+1))</f>
        <v/>
      </c>
      <c r="C644" s="992" t="str">
        <f t="shared" ca="1" si="100"/>
        <v/>
      </c>
      <c r="D644" s="993" t="str">
        <f t="shared" ca="1" si="101"/>
        <v/>
      </c>
      <c r="E644" s="993" t="str">
        <f t="shared" ca="1" si="102"/>
        <v/>
      </c>
      <c r="F644" s="992" t="str">
        <f t="shared" ca="1" si="110"/>
        <v/>
      </c>
      <c r="G644" s="994">
        <f t="shared" ca="1" si="103"/>
        <v>0</v>
      </c>
      <c r="H644" s="913">
        <f t="shared" ca="1" si="104"/>
        <v>0</v>
      </c>
      <c r="I644" s="913">
        <f t="shared" ca="1" si="105"/>
        <v>0</v>
      </c>
      <c r="J644" s="995">
        <f t="shared" ref="J644:J707" ca="1" si="111">IFERROR(INDIRECT("'" &amp; $A644 &amp; "'!" &amp; "J" &amp; $B644),0)</f>
        <v>0</v>
      </c>
      <c r="K644" s="913">
        <f t="shared" ca="1" si="106"/>
        <v>0</v>
      </c>
      <c r="L644" s="995">
        <f t="shared" ref="L644:L707" ca="1" si="112">+ IFERROR(INDIRECT("'" &amp; $A644 &amp; "'!" &amp; "K" &amp; $B644),0)</f>
        <v>0</v>
      </c>
      <c r="M644" s="913">
        <f t="shared" ca="1" si="107"/>
        <v>0</v>
      </c>
      <c r="N644" s="996">
        <f t="shared" ca="1" si="108"/>
        <v>0</v>
      </c>
      <c r="O644" s="997">
        <f t="shared" ca="1" si="109"/>
        <v>0</v>
      </c>
      <c r="P644" s="1015" t="str">
        <f ca="1">IF($C644="","",INDEX(NVLSX!$N$2:$N$6941,MATCH($C644,NVLSX!$E$2:$E$6941,0)))</f>
        <v/>
      </c>
      <c r="Q644" s="1016" t="str">
        <f ca="1">IF($R644="","",IF(XKNVLSX!$X$1="",IF($P644=$V$7,$P644, IF(COUNTIFS($C$2:$C643,$C644,$E$2:$E643,$E644)&gt;=1,"",$P644)),     IF(AND(IFERROR(SEARCH($R644,XKNVLSX!$X$1,1),0)&gt;=1,$P644=$V$7),$P644, IF(OR($R644&lt;&gt;IF(IFERROR(SEARCH($R644,XKNVLSX!$X$1,1),0)&gt;=1,$R644,XKNVLSX!$X$1),COUNTIFS($C$2:$C643,$C644,$E$2:$E643,$E644,$Q$2:$Q643,$P644)&gt;=1),"",$P644))))</f>
        <v/>
      </c>
      <c r="R644" s="1017" t="str">
        <f ca="1">IF($A644="","",IFERROR(INDEX(TinhGia!$BF$10:$BF$81,MATCH($A644,TinhGia!$B$10:$B$81,0)),""))</f>
        <v/>
      </c>
      <c r="S644" s="1012" t="str">
        <f ca="1">IF($A644="","",IF(OR(IFERROR(SEARCH($R644,XKNVLSX!$X$1,1),0)&gt;=1,XKNVLSX!$X$1=""),$S$2,""))</f>
        <v/>
      </c>
      <c r="T644" s="1018" t="str">
        <f ca="1">IF($C644="","", IF(OR($P644=$V$1,$P644=$V$7,COUNTIFS($C$3:$C644,$C644,$E$3:$E644,$E644)&lt;=1),$P644,""    ))</f>
        <v/>
      </c>
      <c r="U644" s="1019" t="str">
        <f ca="1">IF(AND($P644=$V$2,COUNTIFS($C$3:$C644,$C644,$E$3:$E644,$E644,$G$3:$G644,$G644)&lt;=1),$P644,"")</f>
        <v/>
      </c>
    </row>
    <row r="645" spans="1:21">
      <c r="A645" s="991" t="str">
        <f ca="1">IFERROR(IF(COUNTIF($A$3:A644,A644)&lt; INDEX(TinhGia!$BH$10:$BH$81,MATCH($A644,TinhGia!$B$10:$B$81,0)),$A644,INDEX(TinhGia!$B$10:$B$81,MATCH($A644,TinhGia!$B$10:$B$81,0)+1)),"")</f>
        <v/>
      </c>
      <c r="B645" s="525" t="str">
        <f ca="1">IF(OR(A645="",A645=0),"",IF(COUNTIF($A$2:A645,$A645)=1,ROW(MauKoXoa!$C$108),$B644+1))</f>
        <v/>
      </c>
      <c r="C645" s="992" t="str">
        <f t="shared" ca="1" si="100"/>
        <v/>
      </c>
      <c r="D645" s="993" t="str">
        <f t="shared" ca="1" si="101"/>
        <v/>
      </c>
      <c r="E645" s="993" t="str">
        <f t="shared" ca="1" si="102"/>
        <v/>
      </c>
      <c r="F645" s="992" t="str">
        <f t="shared" ca="1" si="110"/>
        <v/>
      </c>
      <c r="G645" s="994">
        <f t="shared" ca="1" si="103"/>
        <v>0</v>
      </c>
      <c r="H645" s="913">
        <f t="shared" ca="1" si="104"/>
        <v>0</v>
      </c>
      <c r="I645" s="913">
        <f t="shared" ca="1" si="105"/>
        <v>0</v>
      </c>
      <c r="J645" s="995">
        <f t="shared" ca="1" si="111"/>
        <v>0</v>
      </c>
      <c r="K645" s="913">
        <f t="shared" ca="1" si="106"/>
        <v>0</v>
      </c>
      <c r="L645" s="995">
        <f t="shared" ca="1" si="112"/>
        <v>0</v>
      </c>
      <c r="M645" s="913">
        <f t="shared" ca="1" si="107"/>
        <v>0</v>
      </c>
      <c r="N645" s="996">
        <f t="shared" ca="1" si="108"/>
        <v>0</v>
      </c>
      <c r="O645" s="997">
        <f t="shared" ca="1" si="109"/>
        <v>0</v>
      </c>
      <c r="P645" s="1015" t="str">
        <f ca="1">IF($C645="","",INDEX(NVLSX!$N$2:$N$6941,MATCH($C645,NVLSX!$E$2:$E$6941,0)))</f>
        <v/>
      </c>
      <c r="Q645" s="1016" t="str">
        <f ca="1">IF($R645="","",IF(XKNVLSX!$X$1="",IF($P645=$V$7,$P645, IF(COUNTIFS($C$2:$C644,$C645,$E$2:$E644,$E645)&gt;=1,"",$P645)),     IF(AND(IFERROR(SEARCH($R645,XKNVLSX!$X$1,1),0)&gt;=1,$P645=$V$7),$P645, IF(OR($R645&lt;&gt;IF(IFERROR(SEARCH($R645,XKNVLSX!$X$1,1),0)&gt;=1,$R645,XKNVLSX!$X$1),COUNTIFS($C$2:$C644,$C645,$E$2:$E644,$E645,$Q$2:$Q644,$P645)&gt;=1),"",$P645))))</f>
        <v/>
      </c>
      <c r="R645" s="1017" t="str">
        <f ca="1">IF($A645="","",IFERROR(INDEX(TinhGia!$BF$10:$BF$81,MATCH($A645,TinhGia!$B$10:$B$81,0)),""))</f>
        <v/>
      </c>
      <c r="S645" s="1012" t="str">
        <f ca="1">IF($A645="","",IF(OR(IFERROR(SEARCH($R645,XKNVLSX!$X$1,1),0)&gt;=1,XKNVLSX!$X$1=""),$S$2,""))</f>
        <v/>
      </c>
      <c r="T645" s="1018" t="str">
        <f ca="1">IF($C645="","", IF(OR($P645=$V$1,$P645=$V$7,COUNTIFS($C$3:$C645,$C645,$E$3:$E645,$E645)&lt;=1),$P645,""    ))</f>
        <v/>
      </c>
      <c r="U645" s="1019" t="str">
        <f ca="1">IF(AND($P645=$V$2,COUNTIFS($C$3:$C645,$C645,$E$3:$E645,$E645,$G$3:$G645,$G645)&lt;=1),$P645,"")</f>
        <v/>
      </c>
    </row>
    <row r="646" spans="1:21">
      <c r="A646" s="991" t="str">
        <f ca="1">IFERROR(IF(COUNTIF($A$3:A645,A645)&lt; INDEX(TinhGia!$BH$10:$BH$81,MATCH($A645,TinhGia!$B$10:$B$81,0)),$A645,INDEX(TinhGia!$B$10:$B$81,MATCH($A645,TinhGia!$B$10:$B$81,0)+1)),"")</f>
        <v/>
      </c>
      <c r="B646" s="525" t="str">
        <f ca="1">IF(OR(A646="",A646=0),"",IF(COUNTIF($A$2:A646,$A646)=1,ROW(MauKoXoa!$C$108),$B645+1))</f>
        <v/>
      </c>
      <c r="C646" s="992" t="str">
        <f t="shared" ca="1" si="100"/>
        <v/>
      </c>
      <c r="D646" s="993" t="str">
        <f t="shared" ca="1" si="101"/>
        <v/>
      </c>
      <c r="E646" s="993" t="str">
        <f t="shared" ca="1" si="102"/>
        <v/>
      </c>
      <c r="F646" s="992" t="str">
        <f t="shared" ca="1" si="110"/>
        <v/>
      </c>
      <c r="G646" s="994">
        <f t="shared" ca="1" si="103"/>
        <v>0</v>
      </c>
      <c r="H646" s="913">
        <f t="shared" ca="1" si="104"/>
        <v>0</v>
      </c>
      <c r="I646" s="913">
        <f t="shared" ca="1" si="105"/>
        <v>0</v>
      </c>
      <c r="J646" s="995">
        <f t="shared" ca="1" si="111"/>
        <v>0</v>
      </c>
      <c r="K646" s="913">
        <f t="shared" ca="1" si="106"/>
        <v>0</v>
      </c>
      <c r="L646" s="995">
        <f t="shared" ca="1" si="112"/>
        <v>0</v>
      </c>
      <c r="M646" s="913">
        <f t="shared" ca="1" si="107"/>
        <v>0</v>
      </c>
      <c r="N646" s="996">
        <f t="shared" ca="1" si="108"/>
        <v>0</v>
      </c>
      <c r="O646" s="997">
        <f t="shared" ca="1" si="109"/>
        <v>0</v>
      </c>
      <c r="P646" s="1015" t="str">
        <f ca="1">IF($C646="","",INDEX(NVLSX!$N$2:$N$6941,MATCH($C646,NVLSX!$E$2:$E$6941,0)))</f>
        <v/>
      </c>
      <c r="Q646" s="1016" t="str">
        <f ca="1">IF($R646="","",IF(XKNVLSX!$X$1="",IF($P646=$V$7,$P646, IF(COUNTIFS($C$2:$C645,$C646,$E$2:$E645,$E646)&gt;=1,"",$P646)),     IF(AND(IFERROR(SEARCH($R646,XKNVLSX!$X$1,1),0)&gt;=1,$P646=$V$7),$P646, IF(OR($R646&lt;&gt;IF(IFERROR(SEARCH($R646,XKNVLSX!$X$1,1),0)&gt;=1,$R646,XKNVLSX!$X$1),COUNTIFS($C$2:$C645,$C646,$E$2:$E645,$E646,$Q$2:$Q645,$P646)&gt;=1),"",$P646))))</f>
        <v/>
      </c>
      <c r="R646" s="1017" t="str">
        <f ca="1">IF($A646="","",IFERROR(INDEX(TinhGia!$BF$10:$BF$81,MATCH($A646,TinhGia!$B$10:$B$81,0)),""))</f>
        <v/>
      </c>
      <c r="S646" s="1012" t="str">
        <f ca="1">IF($A646="","",IF(OR(IFERROR(SEARCH($R646,XKNVLSX!$X$1,1),0)&gt;=1,XKNVLSX!$X$1=""),$S$2,""))</f>
        <v/>
      </c>
      <c r="T646" s="1018" t="str">
        <f ca="1">IF($C646="","", IF(OR($P646=$V$1,$P646=$V$7,COUNTIFS($C$3:$C646,$C646,$E$3:$E646,$E646)&lt;=1),$P646,""    ))</f>
        <v/>
      </c>
      <c r="U646" s="1019" t="str">
        <f ca="1">IF(AND($P646=$V$2,COUNTIFS($C$3:$C646,$C646,$E$3:$E646,$E646,$G$3:$G646,$G646)&lt;=1),$P646,"")</f>
        <v/>
      </c>
    </row>
    <row r="647" spans="1:21">
      <c r="A647" s="991" t="str">
        <f ca="1">IFERROR(IF(COUNTIF($A$3:A646,A646)&lt; INDEX(TinhGia!$BH$10:$BH$81,MATCH($A646,TinhGia!$B$10:$B$81,0)),$A646,INDEX(TinhGia!$B$10:$B$81,MATCH($A646,TinhGia!$B$10:$B$81,0)+1)),"")</f>
        <v/>
      </c>
      <c r="B647" s="525" t="str">
        <f ca="1">IF(OR(A647="",A647=0),"",IF(COUNTIF($A$2:A647,$A647)=1,ROW(MauKoXoa!$C$108),$B646+1))</f>
        <v/>
      </c>
      <c r="C647" s="992" t="str">
        <f t="shared" ca="1" si="100"/>
        <v/>
      </c>
      <c r="D647" s="993" t="str">
        <f t="shared" ca="1" si="101"/>
        <v/>
      </c>
      <c r="E647" s="993" t="str">
        <f t="shared" ca="1" si="102"/>
        <v/>
      </c>
      <c r="F647" s="992" t="str">
        <f t="shared" ca="1" si="110"/>
        <v/>
      </c>
      <c r="G647" s="994">
        <f t="shared" ca="1" si="103"/>
        <v>0</v>
      </c>
      <c r="H647" s="913">
        <f t="shared" ca="1" si="104"/>
        <v>0</v>
      </c>
      <c r="I647" s="913">
        <f t="shared" ca="1" si="105"/>
        <v>0</v>
      </c>
      <c r="J647" s="995">
        <f t="shared" ca="1" si="111"/>
        <v>0</v>
      </c>
      <c r="K647" s="913">
        <f t="shared" ca="1" si="106"/>
        <v>0</v>
      </c>
      <c r="L647" s="995">
        <f t="shared" ca="1" si="112"/>
        <v>0</v>
      </c>
      <c r="M647" s="913">
        <f t="shared" ca="1" si="107"/>
        <v>0</v>
      </c>
      <c r="N647" s="996">
        <f t="shared" ca="1" si="108"/>
        <v>0</v>
      </c>
      <c r="O647" s="997">
        <f t="shared" ca="1" si="109"/>
        <v>0</v>
      </c>
      <c r="P647" s="1015" t="str">
        <f ca="1">IF($C647="","",INDEX(NVLSX!$N$2:$N$6941,MATCH($C647,NVLSX!$E$2:$E$6941,0)))</f>
        <v/>
      </c>
      <c r="Q647" s="1016" t="str">
        <f ca="1">IF($R647="","",IF(XKNVLSX!$X$1="",IF($P647=$V$7,$P647, IF(COUNTIFS($C$2:$C646,$C647,$E$2:$E646,$E647)&gt;=1,"",$P647)),     IF(AND(IFERROR(SEARCH($R647,XKNVLSX!$X$1,1),0)&gt;=1,$P647=$V$7),$P647, IF(OR($R647&lt;&gt;IF(IFERROR(SEARCH($R647,XKNVLSX!$X$1,1),0)&gt;=1,$R647,XKNVLSX!$X$1),COUNTIFS($C$2:$C646,$C647,$E$2:$E646,$E647,$Q$2:$Q646,$P647)&gt;=1),"",$P647))))</f>
        <v/>
      </c>
      <c r="R647" s="1017" t="str">
        <f ca="1">IF($A647="","",IFERROR(INDEX(TinhGia!$BF$10:$BF$81,MATCH($A647,TinhGia!$B$10:$B$81,0)),""))</f>
        <v/>
      </c>
      <c r="S647" s="1012" t="str">
        <f ca="1">IF($A647="","",IF(OR(IFERROR(SEARCH($R647,XKNVLSX!$X$1,1),0)&gt;=1,XKNVLSX!$X$1=""),$S$2,""))</f>
        <v/>
      </c>
      <c r="T647" s="1018" t="str">
        <f ca="1">IF($C647="","", IF(OR($P647=$V$1,$P647=$V$7,COUNTIFS($C$3:$C647,$C647,$E$3:$E647,$E647)&lt;=1),$P647,""    ))</f>
        <v/>
      </c>
      <c r="U647" s="1019" t="str">
        <f ca="1">IF(AND($P647=$V$2,COUNTIFS($C$3:$C647,$C647,$E$3:$E647,$E647,$G$3:$G647,$G647)&lt;=1),$P647,"")</f>
        <v/>
      </c>
    </row>
    <row r="648" spans="1:21">
      <c r="A648" s="991" t="str">
        <f ca="1">IFERROR(IF(COUNTIF($A$3:A647,A647)&lt; INDEX(TinhGia!$BH$10:$BH$81,MATCH($A647,TinhGia!$B$10:$B$81,0)),$A647,INDEX(TinhGia!$B$10:$B$81,MATCH($A647,TinhGia!$B$10:$B$81,0)+1)),"")</f>
        <v/>
      </c>
      <c r="B648" s="525" t="str">
        <f ca="1">IF(OR(A648="",A648=0),"",IF(COUNTIF($A$2:A648,$A648)=1,ROW(MauKoXoa!$C$108),$B647+1))</f>
        <v/>
      </c>
      <c r="C648" s="992" t="str">
        <f t="shared" ca="1" si="100"/>
        <v/>
      </c>
      <c r="D648" s="993" t="str">
        <f t="shared" ca="1" si="101"/>
        <v/>
      </c>
      <c r="E648" s="993" t="str">
        <f t="shared" ca="1" si="102"/>
        <v/>
      </c>
      <c r="F648" s="992" t="str">
        <f t="shared" ca="1" si="110"/>
        <v/>
      </c>
      <c r="G648" s="994">
        <f t="shared" ca="1" si="103"/>
        <v>0</v>
      </c>
      <c r="H648" s="913">
        <f t="shared" ca="1" si="104"/>
        <v>0</v>
      </c>
      <c r="I648" s="913">
        <f t="shared" ca="1" si="105"/>
        <v>0</v>
      </c>
      <c r="J648" s="995">
        <f t="shared" ca="1" si="111"/>
        <v>0</v>
      </c>
      <c r="K648" s="913">
        <f t="shared" ca="1" si="106"/>
        <v>0</v>
      </c>
      <c r="L648" s="995">
        <f t="shared" ca="1" si="112"/>
        <v>0</v>
      </c>
      <c r="M648" s="913">
        <f t="shared" ca="1" si="107"/>
        <v>0</v>
      </c>
      <c r="N648" s="996">
        <f t="shared" ca="1" si="108"/>
        <v>0</v>
      </c>
      <c r="O648" s="997">
        <f t="shared" ca="1" si="109"/>
        <v>0</v>
      </c>
      <c r="P648" s="1015" t="str">
        <f ca="1">IF($C648="","",INDEX(NVLSX!$N$2:$N$6941,MATCH($C648,NVLSX!$E$2:$E$6941,0)))</f>
        <v/>
      </c>
      <c r="Q648" s="1016" t="str">
        <f ca="1">IF($R648="","",IF(XKNVLSX!$X$1="",IF($P648=$V$7,$P648, IF(COUNTIFS($C$2:$C647,$C648,$E$2:$E647,$E648)&gt;=1,"",$P648)),     IF(AND(IFERROR(SEARCH($R648,XKNVLSX!$X$1,1),0)&gt;=1,$P648=$V$7),$P648, IF(OR($R648&lt;&gt;IF(IFERROR(SEARCH($R648,XKNVLSX!$X$1,1),0)&gt;=1,$R648,XKNVLSX!$X$1),COUNTIFS($C$2:$C647,$C648,$E$2:$E647,$E648,$Q$2:$Q647,$P648)&gt;=1),"",$P648))))</f>
        <v/>
      </c>
      <c r="R648" s="1017" t="str">
        <f ca="1">IF($A648="","",IFERROR(INDEX(TinhGia!$BF$10:$BF$81,MATCH($A648,TinhGia!$B$10:$B$81,0)),""))</f>
        <v/>
      </c>
      <c r="S648" s="1012" t="str">
        <f ca="1">IF($A648="","",IF(OR(IFERROR(SEARCH($R648,XKNVLSX!$X$1,1),0)&gt;=1,XKNVLSX!$X$1=""),$S$2,""))</f>
        <v/>
      </c>
      <c r="T648" s="1018" t="str">
        <f ca="1">IF($C648="","", IF(OR($P648=$V$1,$P648=$V$7,COUNTIFS($C$3:$C648,$C648,$E$3:$E648,$E648)&lt;=1),$P648,""    ))</f>
        <v/>
      </c>
      <c r="U648" s="1019" t="str">
        <f ca="1">IF(AND($P648=$V$2,COUNTIFS($C$3:$C648,$C648,$E$3:$E648,$E648,$G$3:$G648,$G648)&lt;=1),$P648,"")</f>
        <v/>
      </c>
    </row>
    <row r="649" spans="1:21">
      <c r="A649" s="991" t="str">
        <f ca="1">IFERROR(IF(COUNTIF($A$3:A648,A648)&lt; INDEX(TinhGia!$BH$10:$BH$81,MATCH($A648,TinhGia!$B$10:$B$81,0)),$A648,INDEX(TinhGia!$B$10:$B$81,MATCH($A648,TinhGia!$B$10:$B$81,0)+1)),"")</f>
        <v/>
      </c>
      <c r="B649" s="525" t="str">
        <f ca="1">IF(OR(A649="",A649=0),"",IF(COUNTIF($A$2:A649,$A649)=1,ROW(MauKoXoa!$C$108),$B648+1))</f>
        <v/>
      </c>
      <c r="C649" s="992" t="str">
        <f t="shared" ca="1" si="100"/>
        <v/>
      </c>
      <c r="D649" s="993" t="str">
        <f t="shared" ca="1" si="101"/>
        <v/>
      </c>
      <c r="E649" s="993" t="str">
        <f t="shared" ca="1" si="102"/>
        <v/>
      </c>
      <c r="F649" s="992" t="str">
        <f t="shared" ca="1" si="110"/>
        <v/>
      </c>
      <c r="G649" s="994">
        <f t="shared" ca="1" si="103"/>
        <v>0</v>
      </c>
      <c r="H649" s="913">
        <f t="shared" ca="1" si="104"/>
        <v>0</v>
      </c>
      <c r="I649" s="913">
        <f t="shared" ca="1" si="105"/>
        <v>0</v>
      </c>
      <c r="J649" s="995">
        <f t="shared" ca="1" si="111"/>
        <v>0</v>
      </c>
      <c r="K649" s="913">
        <f t="shared" ca="1" si="106"/>
        <v>0</v>
      </c>
      <c r="L649" s="995">
        <f t="shared" ca="1" si="112"/>
        <v>0</v>
      </c>
      <c r="M649" s="913">
        <f t="shared" ca="1" si="107"/>
        <v>0</v>
      </c>
      <c r="N649" s="996">
        <f t="shared" ca="1" si="108"/>
        <v>0</v>
      </c>
      <c r="O649" s="997">
        <f t="shared" ca="1" si="109"/>
        <v>0</v>
      </c>
      <c r="P649" s="1015" t="str">
        <f ca="1">IF($C649="","",INDEX(NVLSX!$N$2:$N$6941,MATCH($C649,NVLSX!$E$2:$E$6941,0)))</f>
        <v/>
      </c>
      <c r="Q649" s="1016" t="str">
        <f ca="1">IF($R649="","",IF(XKNVLSX!$X$1="",IF($P649=$V$7,$P649, IF(COUNTIFS($C$2:$C648,$C649,$E$2:$E648,$E649)&gt;=1,"",$P649)),     IF(AND(IFERROR(SEARCH($R649,XKNVLSX!$X$1,1),0)&gt;=1,$P649=$V$7),$P649, IF(OR($R649&lt;&gt;IF(IFERROR(SEARCH($R649,XKNVLSX!$X$1,1),0)&gt;=1,$R649,XKNVLSX!$X$1),COUNTIFS($C$2:$C648,$C649,$E$2:$E648,$E649,$Q$2:$Q648,$P649)&gt;=1),"",$P649))))</f>
        <v/>
      </c>
      <c r="R649" s="1017" t="str">
        <f ca="1">IF($A649="","",IFERROR(INDEX(TinhGia!$BF$10:$BF$81,MATCH($A649,TinhGia!$B$10:$B$81,0)),""))</f>
        <v/>
      </c>
      <c r="S649" s="1012" t="str">
        <f ca="1">IF($A649="","",IF(OR(IFERROR(SEARCH($R649,XKNVLSX!$X$1,1),0)&gt;=1,XKNVLSX!$X$1=""),$S$2,""))</f>
        <v/>
      </c>
      <c r="T649" s="1018" t="str">
        <f ca="1">IF($C649="","", IF(OR($P649=$V$1,$P649=$V$7,COUNTIFS($C$3:$C649,$C649,$E$3:$E649,$E649)&lt;=1),$P649,""    ))</f>
        <v/>
      </c>
      <c r="U649" s="1019" t="str">
        <f ca="1">IF(AND($P649=$V$2,COUNTIFS($C$3:$C649,$C649,$E$3:$E649,$E649,$G$3:$G649,$G649)&lt;=1),$P649,"")</f>
        <v/>
      </c>
    </row>
    <row r="650" spans="1:21">
      <c r="A650" s="991" t="str">
        <f ca="1">IFERROR(IF(COUNTIF($A$3:A649,A649)&lt; INDEX(TinhGia!$BH$10:$BH$81,MATCH($A649,TinhGia!$B$10:$B$81,0)),$A649,INDEX(TinhGia!$B$10:$B$81,MATCH($A649,TinhGia!$B$10:$B$81,0)+1)),"")</f>
        <v/>
      </c>
      <c r="B650" s="525" t="str">
        <f ca="1">IF(OR(A650="",A650=0),"",IF(COUNTIF($A$2:A650,$A650)=1,ROW(MauKoXoa!$C$108),$B649+1))</f>
        <v/>
      </c>
      <c r="C650" s="992" t="str">
        <f t="shared" ca="1" si="100"/>
        <v/>
      </c>
      <c r="D650" s="993" t="str">
        <f t="shared" ca="1" si="101"/>
        <v/>
      </c>
      <c r="E650" s="993" t="str">
        <f t="shared" ca="1" si="102"/>
        <v/>
      </c>
      <c r="F650" s="992" t="str">
        <f t="shared" ca="1" si="110"/>
        <v/>
      </c>
      <c r="G650" s="994">
        <f t="shared" ca="1" si="103"/>
        <v>0</v>
      </c>
      <c r="H650" s="913">
        <f t="shared" ca="1" si="104"/>
        <v>0</v>
      </c>
      <c r="I650" s="913">
        <f t="shared" ca="1" si="105"/>
        <v>0</v>
      </c>
      <c r="J650" s="995">
        <f t="shared" ca="1" si="111"/>
        <v>0</v>
      </c>
      <c r="K650" s="913">
        <f t="shared" ca="1" si="106"/>
        <v>0</v>
      </c>
      <c r="L650" s="995">
        <f t="shared" ca="1" si="112"/>
        <v>0</v>
      </c>
      <c r="M650" s="913">
        <f t="shared" ca="1" si="107"/>
        <v>0</v>
      </c>
      <c r="N650" s="996">
        <f t="shared" ca="1" si="108"/>
        <v>0</v>
      </c>
      <c r="O650" s="997">
        <f t="shared" ca="1" si="109"/>
        <v>0</v>
      </c>
      <c r="P650" s="1015" t="str">
        <f ca="1">IF($C650="","",INDEX(NVLSX!$N$2:$N$6941,MATCH($C650,NVLSX!$E$2:$E$6941,0)))</f>
        <v/>
      </c>
      <c r="Q650" s="1016" t="str">
        <f ca="1">IF($R650="","",IF(XKNVLSX!$X$1="",IF($P650=$V$7,$P650, IF(COUNTIFS($C$2:$C649,$C650,$E$2:$E649,$E650)&gt;=1,"",$P650)),     IF(AND(IFERROR(SEARCH($R650,XKNVLSX!$X$1,1),0)&gt;=1,$P650=$V$7),$P650, IF(OR($R650&lt;&gt;IF(IFERROR(SEARCH($R650,XKNVLSX!$X$1,1),0)&gt;=1,$R650,XKNVLSX!$X$1),COUNTIFS($C$2:$C649,$C650,$E$2:$E649,$E650,$Q$2:$Q649,$P650)&gt;=1),"",$P650))))</f>
        <v/>
      </c>
      <c r="R650" s="1017" t="str">
        <f ca="1">IF($A650="","",IFERROR(INDEX(TinhGia!$BF$10:$BF$81,MATCH($A650,TinhGia!$B$10:$B$81,0)),""))</f>
        <v/>
      </c>
      <c r="S650" s="1012" t="str">
        <f ca="1">IF($A650="","",IF(OR(IFERROR(SEARCH($R650,XKNVLSX!$X$1,1),0)&gt;=1,XKNVLSX!$X$1=""),$S$2,""))</f>
        <v/>
      </c>
      <c r="T650" s="1018" t="str">
        <f ca="1">IF($C650="","", IF(OR($P650=$V$1,$P650=$V$7,COUNTIFS($C$3:$C650,$C650,$E$3:$E650,$E650)&lt;=1),$P650,""    ))</f>
        <v/>
      </c>
      <c r="U650" s="1019" t="str">
        <f ca="1">IF(AND($P650=$V$2,COUNTIFS($C$3:$C650,$C650,$E$3:$E650,$E650,$G$3:$G650,$G650)&lt;=1),$P650,"")</f>
        <v/>
      </c>
    </row>
    <row r="651" spans="1:21">
      <c r="A651" s="991" t="str">
        <f ca="1">IFERROR(IF(COUNTIF($A$3:A650,A650)&lt; INDEX(TinhGia!$BH$10:$BH$81,MATCH($A650,TinhGia!$B$10:$B$81,0)),$A650,INDEX(TinhGia!$B$10:$B$81,MATCH($A650,TinhGia!$B$10:$B$81,0)+1)),"")</f>
        <v/>
      </c>
      <c r="B651" s="525" t="str">
        <f ca="1">IF(OR(A651="",A651=0),"",IF(COUNTIF($A$2:A651,$A651)=1,ROW(MauKoXoa!$C$108),$B650+1))</f>
        <v/>
      </c>
      <c r="C651" s="992" t="str">
        <f t="shared" ca="1" si="100"/>
        <v/>
      </c>
      <c r="D651" s="993" t="str">
        <f t="shared" ca="1" si="101"/>
        <v/>
      </c>
      <c r="E651" s="993" t="str">
        <f t="shared" ca="1" si="102"/>
        <v/>
      </c>
      <c r="F651" s="992" t="str">
        <f t="shared" ca="1" si="110"/>
        <v/>
      </c>
      <c r="G651" s="994">
        <f t="shared" ca="1" si="103"/>
        <v>0</v>
      </c>
      <c r="H651" s="913">
        <f t="shared" ca="1" si="104"/>
        <v>0</v>
      </c>
      <c r="I651" s="913">
        <f t="shared" ca="1" si="105"/>
        <v>0</v>
      </c>
      <c r="J651" s="995">
        <f t="shared" ca="1" si="111"/>
        <v>0</v>
      </c>
      <c r="K651" s="913">
        <f t="shared" ca="1" si="106"/>
        <v>0</v>
      </c>
      <c r="L651" s="995">
        <f t="shared" ca="1" si="112"/>
        <v>0</v>
      </c>
      <c r="M651" s="913">
        <f t="shared" ca="1" si="107"/>
        <v>0</v>
      </c>
      <c r="N651" s="996">
        <f t="shared" ca="1" si="108"/>
        <v>0</v>
      </c>
      <c r="O651" s="997">
        <f t="shared" ca="1" si="109"/>
        <v>0</v>
      </c>
      <c r="P651" s="1015" t="str">
        <f ca="1">IF($C651="","",INDEX(NVLSX!$N$2:$N$6941,MATCH($C651,NVLSX!$E$2:$E$6941,0)))</f>
        <v/>
      </c>
      <c r="Q651" s="1016" t="str">
        <f ca="1">IF($R651="","",IF(XKNVLSX!$X$1="",IF($P651=$V$7,$P651, IF(COUNTIFS($C$2:$C650,$C651,$E$2:$E650,$E651)&gt;=1,"",$P651)),     IF(AND(IFERROR(SEARCH($R651,XKNVLSX!$X$1,1),0)&gt;=1,$P651=$V$7),$P651, IF(OR($R651&lt;&gt;IF(IFERROR(SEARCH($R651,XKNVLSX!$X$1,1),0)&gt;=1,$R651,XKNVLSX!$X$1),COUNTIFS($C$2:$C650,$C651,$E$2:$E650,$E651,$Q$2:$Q650,$P651)&gt;=1),"",$P651))))</f>
        <v/>
      </c>
      <c r="R651" s="1017" t="str">
        <f ca="1">IF($A651="","",IFERROR(INDEX(TinhGia!$BF$10:$BF$81,MATCH($A651,TinhGia!$B$10:$B$81,0)),""))</f>
        <v/>
      </c>
      <c r="S651" s="1012" t="str">
        <f ca="1">IF($A651="","",IF(OR(IFERROR(SEARCH($R651,XKNVLSX!$X$1,1),0)&gt;=1,XKNVLSX!$X$1=""),$S$2,""))</f>
        <v/>
      </c>
      <c r="T651" s="1018" t="str">
        <f ca="1">IF($C651="","", IF(OR($P651=$V$1,$P651=$V$7,COUNTIFS($C$3:$C651,$C651,$E$3:$E651,$E651)&lt;=1),$P651,""    ))</f>
        <v/>
      </c>
      <c r="U651" s="1019" t="str">
        <f ca="1">IF(AND($P651=$V$2,COUNTIFS($C$3:$C651,$C651,$E$3:$E651,$E651,$G$3:$G651,$G651)&lt;=1),$P651,"")</f>
        <v/>
      </c>
    </row>
    <row r="652" spans="1:21">
      <c r="A652" s="991" t="str">
        <f ca="1">IFERROR(IF(COUNTIF($A$3:A651,A651)&lt; INDEX(TinhGia!$BH$10:$BH$81,MATCH($A651,TinhGia!$B$10:$B$81,0)),$A651,INDEX(TinhGia!$B$10:$B$81,MATCH($A651,TinhGia!$B$10:$B$81,0)+1)),"")</f>
        <v/>
      </c>
      <c r="B652" s="525" t="str">
        <f ca="1">IF(OR(A652="",A652=0),"",IF(COUNTIF($A$2:A652,$A652)=1,ROW(MauKoXoa!$C$108),$B651+1))</f>
        <v/>
      </c>
      <c r="C652" s="992" t="str">
        <f t="shared" ca="1" si="100"/>
        <v/>
      </c>
      <c r="D652" s="993" t="str">
        <f t="shared" ca="1" si="101"/>
        <v/>
      </c>
      <c r="E652" s="993" t="str">
        <f t="shared" ca="1" si="102"/>
        <v/>
      </c>
      <c r="F652" s="992" t="str">
        <f t="shared" ca="1" si="110"/>
        <v/>
      </c>
      <c r="G652" s="994">
        <f t="shared" ca="1" si="103"/>
        <v>0</v>
      </c>
      <c r="H652" s="913">
        <f t="shared" ca="1" si="104"/>
        <v>0</v>
      </c>
      <c r="I652" s="913">
        <f t="shared" ca="1" si="105"/>
        <v>0</v>
      </c>
      <c r="J652" s="995">
        <f t="shared" ca="1" si="111"/>
        <v>0</v>
      </c>
      <c r="K652" s="913">
        <f t="shared" ca="1" si="106"/>
        <v>0</v>
      </c>
      <c r="L652" s="995">
        <f t="shared" ca="1" si="112"/>
        <v>0</v>
      </c>
      <c r="M652" s="913">
        <f t="shared" ca="1" si="107"/>
        <v>0</v>
      </c>
      <c r="N652" s="996">
        <f t="shared" ca="1" si="108"/>
        <v>0</v>
      </c>
      <c r="O652" s="997">
        <f t="shared" ca="1" si="109"/>
        <v>0</v>
      </c>
      <c r="P652" s="1015" t="str">
        <f ca="1">IF($C652="","",INDEX(NVLSX!$N$2:$N$6941,MATCH($C652,NVLSX!$E$2:$E$6941,0)))</f>
        <v/>
      </c>
      <c r="Q652" s="1016" t="str">
        <f ca="1">IF($R652="","",IF(XKNVLSX!$X$1="",IF($P652=$V$7,$P652, IF(COUNTIFS($C$2:$C651,$C652,$E$2:$E651,$E652)&gt;=1,"",$P652)),     IF(AND(IFERROR(SEARCH($R652,XKNVLSX!$X$1,1),0)&gt;=1,$P652=$V$7),$P652, IF(OR($R652&lt;&gt;IF(IFERROR(SEARCH($R652,XKNVLSX!$X$1,1),0)&gt;=1,$R652,XKNVLSX!$X$1),COUNTIFS($C$2:$C651,$C652,$E$2:$E651,$E652,$Q$2:$Q651,$P652)&gt;=1),"",$P652))))</f>
        <v/>
      </c>
      <c r="R652" s="1017" t="str">
        <f ca="1">IF($A652="","",IFERROR(INDEX(TinhGia!$BF$10:$BF$81,MATCH($A652,TinhGia!$B$10:$B$81,0)),""))</f>
        <v/>
      </c>
      <c r="S652" s="1012" t="str">
        <f ca="1">IF($A652="","",IF(OR(IFERROR(SEARCH($R652,XKNVLSX!$X$1,1),0)&gt;=1,XKNVLSX!$X$1=""),$S$2,""))</f>
        <v/>
      </c>
      <c r="T652" s="1018" t="str">
        <f ca="1">IF($C652="","", IF(OR($P652=$V$1,$P652=$V$7,COUNTIFS($C$3:$C652,$C652,$E$3:$E652,$E652)&lt;=1),$P652,""    ))</f>
        <v/>
      </c>
      <c r="U652" s="1019" t="str">
        <f ca="1">IF(AND($P652=$V$2,COUNTIFS($C$3:$C652,$C652,$E$3:$E652,$E652,$G$3:$G652,$G652)&lt;=1),$P652,"")</f>
        <v/>
      </c>
    </row>
    <row r="653" spans="1:21">
      <c r="A653" s="991" t="str">
        <f ca="1">IFERROR(IF(COUNTIF($A$3:A652,A652)&lt; INDEX(TinhGia!$BH$10:$BH$81,MATCH($A652,TinhGia!$B$10:$B$81,0)),$A652,INDEX(TinhGia!$B$10:$B$81,MATCH($A652,TinhGia!$B$10:$B$81,0)+1)),"")</f>
        <v/>
      </c>
      <c r="B653" s="525" t="str">
        <f ca="1">IF(OR(A653="",A653=0),"",IF(COUNTIF($A$2:A653,$A653)=1,ROW(MauKoXoa!$C$108),$B652+1))</f>
        <v/>
      </c>
      <c r="C653" s="992" t="str">
        <f t="shared" ca="1" si="100"/>
        <v/>
      </c>
      <c r="D653" s="993" t="str">
        <f t="shared" ca="1" si="101"/>
        <v/>
      </c>
      <c r="E653" s="993" t="str">
        <f t="shared" ca="1" si="102"/>
        <v/>
      </c>
      <c r="F653" s="992" t="str">
        <f t="shared" ca="1" si="110"/>
        <v/>
      </c>
      <c r="G653" s="994">
        <f t="shared" ca="1" si="103"/>
        <v>0</v>
      </c>
      <c r="H653" s="913">
        <f t="shared" ca="1" si="104"/>
        <v>0</v>
      </c>
      <c r="I653" s="913">
        <f t="shared" ca="1" si="105"/>
        <v>0</v>
      </c>
      <c r="J653" s="995">
        <f t="shared" ca="1" si="111"/>
        <v>0</v>
      </c>
      <c r="K653" s="913">
        <f t="shared" ca="1" si="106"/>
        <v>0</v>
      </c>
      <c r="L653" s="995">
        <f t="shared" ca="1" si="112"/>
        <v>0</v>
      </c>
      <c r="M653" s="913">
        <f t="shared" ca="1" si="107"/>
        <v>0</v>
      </c>
      <c r="N653" s="996">
        <f t="shared" ca="1" si="108"/>
        <v>0</v>
      </c>
      <c r="O653" s="997">
        <f t="shared" ca="1" si="109"/>
        <v>0</v>
      </c>
      <c r="P653" s="1015" t="str">
        <f ca="1">IF($C653="","",INDEX(NVLSX!$N$2:$N$6941,MATCH($C653,NVLSX!$E$2:$E$6941,0)))</f>
        <v/>
      </c>
      <c r="Q653" s="1016" t="str">
        <f ca="1">IF($R653="","",IF(XKNVLSX!$X$1="",IF($P653=$V$7,$P653, IF(COUNTIFS($C$2:$C652,$C653,$E$2:$E652,$E653)&gt;=1,"",$P653)),     IF(AND(IFERROR(SEARCH($R653,XKNVLSX!$X$1,1),0)&gt;=1,$P653=$V$7),$P653, IF(OR($R653&lt;&gt;IF(IFERROR(SEARCH($R653,XKNVLSX!$X$1,1),0)&gt;=1,$R653,XKNVLSX!$X$1),COUNTIFS($C$2:$C652,$C653,$E$2:$E652,$E653,$Q$2:$Q652,$P653)&gt;=1),"",$P653))))</f>
        <v/>
      </c>
      <c r="R653" s="1017" t="str">
        <f ca="1">IF($A653="","",IFERROR(INDEX(TinhGia!$BF$10:$BF$81,MATCH($A653,TinhGia!$B$10:$B$81,0)),""))</f>
        <v/>
      </c>
      <c r="S653" s="1012" t="str">
        <f ca="1">IF($A653="","",IF(OR(IFERROR(SEARCH($R653,XKNVLSX!$X$1,1),0)&gt;=1,XKNVLSX!$X$1=""),$S$2,""))</f>
        <v/>
      </c>
      <c r="T653" s="1018" t="str">
        <f ca="1">IF($C653="","", IF(OR($P653=$V$1,$P653=$V$7,COUNTIFS($C$3:$C653,$C653,$E$3:$E653,$E653)&lt;=1),$P653,""    ))</f>
        <v/>
      </c>
      <c r="U653" s="1019" t="str">
        <f ca="1">IF(AND($P653=$V$2,COUNTIFS($C$3:$C653,$C653,$E$3:$E653,$E653,$G$3:$G653,$G653)&lt;=1),$P653,"")</f>
        <v/>
      </c>
    </row>
    <row r="654" spans="1:21">
      <c r="A654" s="991" t="str">
        <f ca="1">IFERROR(IF(COUNTIF($A$3:A653,A653)&lt; INDEX(TinhGia!$BH$10:$BH$81,MATCH($A653,TinhGia!$B$10:$B$81,0)),$A653,INDEX(TinhGia!$B$10:$B$81,MATCH($A653,TinhGia!$B$10:$B$81,0)+1)),"")</f>
        <v/>
      </c>
      <c r="B654" s="525" t="str">
        <f ca="1">IF(OR(A654="",A654=0),"",IF(COUNTIF($A$2:A654,$A654)=1,ROW(MauKoXoa!$C$108),$B653+1))</f>
        <v/>
      </c>
      <c r="C654" s="992" t="str">
        <f t="shared" ca="1" si="100"/>
        <v/>
      </c>
      <c r="D654" s="993" t="str">
        <f t="shared" ca="1" si="101"/>
        <v/>
      </c>
      <c r="E654" s="993" t="str">
        <f t="shared" ca="1" si="102"/>
        <v/>
      </c>
      <c r="F654" s="992" t="str">
        <f t="shared" ca="1" si="110"/>
        <v/>
      </c>
      <c r="G654" s="994">
        <f t="shared" ca="1" si="103"/>
        <v>0</v>
      </c>
      <c r="H654" s="913">
        <f t="shared" ca="1" si="104"/>
        <v>0</v>
      </c>
      <c r="I654" s="913">
        <f t="shared" ca="1" si="105"/>
        <v>0</v>
      </c>
      <c r="J654" s="995">
        <f t="shared" ca="1" si="111"/>
        <v>0</v>
      </c>
      <c r="K654" s="913">
        <f t="shared" ca="1" si="106"/>
        <v>0</v>
      </c>
      <c r="L654" s="995">
        <f t="shared" ca="1" si="112"/>
        <v>0</v>
      </c>
      <c r="M654" s="913">
        <f t="shared" ca="1" si="107"/>
        <v>0</v>
      </c>
      <c r="N654" s="996">
        <f t="shared" ca="1" si="108"/>
        <v>0</v>
      </c>
      <c r="O654" s="997">
        <f t="shared" ca="1" si="109"/>
        <v>0</v>
      </c>
      <c r="P654" s="1015" t="str">
        <f ca="1">IF($C654="","",INDEX(NVLSX!$N$2:$N$6941,MATCH($C654,NVLSX!$E$2:$E$6941,0)))</f>
        <v/>
      </c>
      <c r="Q654" s="1016" t="str">
        <f ca="1">IF($R654="","",IF(XKNVLSX!$X$1="",IF($P654=$V$7,$P654, IF(COUNTIFS($C$2:$C653,$C654,$E$2:$E653,$E654)&gt;=1,"",$P654)),     IF(AND(IFERROR(SEARCH($R654,XKNVLSX!$X$1,1),0)&gt;=1,$P654=$V$7),$P654, IF(OR($R654&lt;&gt;IF(IFERROR(SEARCH($R654,XKNVLSX!$X$1,1),0)&gt;=1,$R654,XKNVLSX!$X$1),COUNTIFS($C$2:$C653,$C654,$E$2:$E653,$E654,$Q$2:$Q653,$P654)&gt;=1),"",$P654))))</f>
        <v/>
      </c>
      <c r="R654" s="1017" t="str">
        <f ca="1">IF($A654="","",IFERROR(INDEX(TinhGia!$BF$10:$BF$81,MATCH($A654,TinhGia!$B$10:$B$81,0)),""))</f>
        <v/>
      </c>
      <c r="S654" s="1012" t="str">
        <f ca="1">IF($A654="","",IF(OR(IFERROR(SEARCH($R654,XKNVLSX!$X$1,1),0)&gt;=1,XKNVLSX!$X$1=""),$S$2,""))</f>
        <v/>
      </c>
      <c r="T654" s="1018" t="str">
        <f ca="1">IF($C654="","", IF(OR($P654=$V$1,$P654=$V$7,COUNTIFS($C$3:$C654,$C654,$E$3:$E654,$E654)&lt;=1),$P654,""    ))</f>
        <v/>
      </c>
      <c r="U654" s="1019" t="str">
        <f ca="1">IF(AND($P654=$V$2,COUNTIFS($C$3:$C654,$C654,$E$3:$E654,$E654,$G$3:$G654,$G654)&lt;=1),$P654,"")</f>
        <v/>
      </c>
    </row>
    <row r="655" spans="1:21">
      <c r="A655" s="991" t="str">
        <f ca="1">IFERROR(IF(COUNTIF($A$3:A654,A654)&lt; INDEX(TinhGia!$BH$10:$BH$81,MATCH($A654,TinhGia!$B$10:$B$81,0)),$A654,INDEX(TinhGia!$B$10:$B$81,MATCH($A654,TinhGia!$B$10:$B$81,0)+1)),"")</f>
        <v/>
      </c>
      <c r="B655" s="525" t="str">
        <f ca="1">IF(OR(A655="",A655=0),"",IF(COUNTIF($A$2:A655,$A655)=1,ROW(MauKoXoa!$C$108),$B654+1))</f>
        <v/>
      </c>
      <c r="C655" s="992" t="str">
        <f t="shared" ca="1" si="100"/>
        <v/>
      </c>
      <c r="D655" s="993" t="str">
        <f t="shared" ca="1" si="101"/>
        <v/>
      </c>
      <c r="E655" s="993" t="str">
        <f t="shared" ca="1" si="102"/>
        <v/>
      </c>
      <c r="F655" s="992" t="str">
        <f t="shared" ca="1" si="110"/>
        <v/>
      </c>
      <c r="G655" s="994">
        <f t="shared" ca="1" si="103"/>
        <v>0</v>
      </c>
      <c r="H655" s="913">
        <f t="shared" ca="1" si="104"/>
        <v>0</v>
      </c>
      <c r="I655" s="913">
        <f t="shared" ca="1" si="105"/>
        <v>0</v>
      </c>
      <c r="J655" s="995">
        <f t="shared" ca="1" si="111"/>
        <v>0</v>
      </c>
      <c r="K655" s="913">
        <f t="shared" ca="1" si="106"/>
        <v>0</v>
      </c>
      <c r="L655" s="995">
        <f t="shared" ca="1" si="112"/>
        <v>0</v>
      </c>
      <c r="M655" s="913">
        <f t="shared" ca="1" si="107"/>
        <v>0</v>
      </c>
      <c r="N655" s="996">
        <f t="shared" ca="1" si="108"/>
        <v>0</v>
      </c>
      <c r="O655" s="997">
        <f t="shared" ca="1" si="109"/>
        <v>0</v>
      </c>
      <c r="P655" s="1015" t="str">
        <f ca="1">IF($C655="","",INDEX(NVLSX!$N$2:$N$6941,MATCH($C655,NVLSX!$E$2:$E$6941,0)))</f>
        <v/>
      </c>
      <c r="Q655" s="1016" t="str">
        <f ca="1">IF($R655="","",IF(XKNVLSX!$X$1="",IF($P655=$V$7,$P655, IF(COUNTIFS($C$2:$C654,$C655,$E$2:$E654,$E655)&gt;=1,"",$P655)),     IF(AND(IFERROR(SEARCH($R655,XKNVLSX!$X$1,1),0)&gt;=1,$P655=$V$7),$P655, IF(OR($R655&lt;&gt;IF(IFERROR(SEARCH($R655,XKNVLSX!$X$1,1),0)&gt;=1,$R655,XKNVLSX!$X$1),COUNTIFS($C$2:$C654,$C655,$E$2:$E654,$E655,$Q$2:$Q654,$P655)&gt;=1),"",$P655))))</f>
        <v/>
      </c>
      <c r="R655" s="1017" t="str">
        <f ca="1">IF($A655="","",IFERROR(INDEX(TinhGia!$BF$10:$BF$81,MATCH($A655,TinhGia!$B$10:$B$81,0)),""))</f>
        <v/>
      </c>
      <c r="S655" s="1012" t="str">
        <f ca="1">IF($A655="","",IF(OR(IFERROR(SEARCH($R655,XKNVLSX!$X$1,1),0)&gt;=1,XKNVLSX!$X$1=""),$S$2,""))</f>
        <v/>
      </c>
      <c r="T655" s="1018" t="str">
        <f ca="1">IF($C655="","", IF(OR($P655=$V$1,$P655=$V$7,COUNTIFS($C$3:$C655,$C655,$E$3:$E655,$E655)&lt;=1),$P655,""    ))</f>
        <v/>
      </c>
      <c r="U655" s="1019" t="str">
        <f ca="1">IF(AND($P655=$V$2,COUNTIFS($C$3:$C655,$C655,$E$3:$E655,$E655,$G$3:$G655,$G655)&lt;=1),$P655,"")</f>
        <v/>
      </c>
    </row>
    <row r="656" spans="1:21">
      <c r="A656" s="991" t="str">
        <f ca="1">IFERROR(IF(COUNTIF($A$3:A655,A655)&lt; INDEX(TinhGia!$BH$10:$BH$81,MATCH($A655,TinhGia!$B$10:$B$81,0)),$A655,INDEX(TinhGia!$B$10:$B$81,MATCH($A655,TinhGia!$B$10:$B$81,0)+1)),"")</f>
        <v/>
      </c>
      <c r="B656" s="525" t="str">
        <f ca="1">IF(OR(A656="",A656=0),"",IF(COUNTIF($A$2:A656,$A656)=1,ROW(MauKoXoa!$C$108),$B655+1))</f>
        <v/>
      </c>
      <c r="C656" s="992" t="str">
        <f t="shared" ca="1" si="100"/>
        <v/>
      </c>
      <c r="D656" s="993" t="str">
        <f t="shared" ca="1" si="101"/>
        <v/>
      </c>
      <c r="E656" s="993" t="str">
        <f t="shared" ca="1" si="102"/>
        <v/>
      </c>
      <c r="F656" s="992" t="str">
        <f t="shared" ca="1" si="110"/>
        <v/>
      </c>
      <c r="G656" s="994">
        <f t="shared" ca="1" si="103"/>
        <v>0</v>
      </c>
      <c r="H656" s="913">
        <f t="shared" ca="1" si="104"/>
        <v>0</v>
      </c>
      <c r="I656" s="913">
        <f t="shared" ca="1" si="105"/>
        <v>0</v>
      </c>
      <c r="J656" s="995">
        <f t="shared" ca="1" si="111"/>
        <v>0</v>
      </c>
      <c r="K656" s="913">
        <f t="shared" ca="1" si="106"/>
        <v>0</v>
      </c>
      <c r="L656" s="995">
        <f t="shared" ca="1" si="112"/>
        <v>0</v>
      </c>
      <c r="M656" s="913">
        <f t="shared" ca="1" si="107"/>
        <v>0</v>
      </c>
      <c r="N656" s="996">
        <f t="shared" ca="1" si="108"/>
        <v>0</v>
      </c>
      <c r="O656" s="997">
        <f t="shared" ca="1" si="109"/>
        <v>0</v>
      </c>
      <c r="P656" s="1015" t="str">
        <f ca="1">IF($C656="","",INDEX(NVLSX!$N$2:$N$6941,MATCH($C656,NVLSX!$E$2:$E$6941,0)))</f>
        <v/>
      </c>
      <c r="Q656" s="1016" t="str">
        <f ca="1">IF($R656="","",IF(XKNVLSX!$X$1="",IF($P656=$V$7,$P656, IF(COUNTIFS($C$2:$C655,$C656,$E$2:$E655,$E656)&gt;=1,"",$P656)),     IF(AND(IFERROR(SEARCH($R656,XKNVLSX!$X$1,1),0)&gt;=1,$P656=$V$7),$P656, IF(OR($R656&lt;&gt;IF(IFERROR(SEARCH($R656,XKNVLSX!$X$1,1),0)&gt;=1,$R656,XKNVLSX!$X$1),COUNTIFS($C$2:$C655,$C656,$E$2:$E655,$E656,$Q$2:$Q655,$P656)&gt;=1),"",$P656))))</f>
        <v/>
      </c>
      <c r="R656" s="1017" t="str">
        <f ca="1">IF($A656="","",IFERROR(INDEX(TinhGia!$BF$10:$BF$81,MATCH($A656,TinhGia!$B$10:$B$81,0)),""))</f>
        <v/>
      </c>
      <c r="S656" s="1012" t="str">
        <f ca="1">IF($A656="","",IF(OR(IFERROR(SEARCH($R656,XKNVLSX!$X$1,1),0)&gt;=1,XKNVLSX!$X$1=""),$S$2,""))</f>
        <v/>
      </c>
      <c r="T656" s="1018" t="str">
        <f ca="1">IF($C656="","", IF(OR($P656=$V$1,$P656=$V$7,COUNTIFS($C$3:$C656,$C656,$E$3:$E656,$E656)&lt;=1),$P656,""    ))</f>
        <v/>
      </c>
      <c r="U656" s="1019" t="str">
        <f ca="1">IF(AND($P656=$V$2,COUNTIFS($C$3:$C656,$C656,$E$3:$E656,$E656,$G$3:$G656,$G656)&lt;=1),$P656,"")</f>
        <v/>
      </c>
    </row>
    <row r="657" spans="1:21">
      <c r="A657" s="991" t="str">
        <f ca="1">IFERROR(IF(COUNTIF($A$3:A656,A656)&lt; INDEX(TinhGia!$BH$10:$BH$81,MATCH($A656,TinhGia!$B$10:$B$81,0)),$A656,INDEX(TinhGia!$B$10:$B$81,MATCH($A656,TinhGia!$B$10:$B$81,0)+1)),"")</f>
        <v/>
      </c>
      <c r="B657" s="525" t="str">
        <f ca="1">IF(OR(A657="",A657=0),"",IF(COUNTIF($A$2:A657,$A657)=1,ROW(MauKoXoa!$C$108),$B656+1))</f>
        <v/>
      </c>
      <c r="C657" s="992" t="str">
        <f t="shared" ca="1" si="100"/>
        <v/>
      </c>
      <c r="D657" s="993" t="str">
        <f t="shared" ca="1" si="101"/>
        <v/>
      </c>
      <c r="E657" s="993" t="str">
        <f t="shared" ca="1" si="102"/>
        <v/>
      </c>
      <c r="F657" s="992" t="str">
        <f t="shared" ca="1" si="110"/>
        <v/>
      </c>
      <c r="G657" s="994">
        <f t="shared" ca="1" si="103"/>
        <v>0</v>
      </c>
      <c r="H657" s="913">
        <f t="shared" ca="1" si="104"/>
        <v>0</v>
      </c>
      <c r="I657" s="913">
        <f t="shared" ca="1" si="105"/>
        <v>0</v>
      </c>
      <c r="J657" s="995">
        <f t="shared" ca="1" si="111"/>
        <v>0</v>
      </c>
      <c r="K657" s="913">
        <f t="shared" ca="1" si="106"/>
        <v>0</v>
      </c>
      <c r="L657" s="995">
        <f t="shared" ca="1" si="112"/>
        <v>0</v>
      </c>
      <c r="M657" s="913">
        <f t="shared" ca="1" si="107"/>
        <v>0</v>
      </c>
      <c r="N657" s="996">
        <f t="shared" ca="1" si="108"/>
        <v>0</v>
      </c>
      <c r="O657" s="997">
        <f t="shared" ca="1" si="109"/>
        <v>0</v>
      </c>
      <c r="P657" s="1015" t="str">
        <f ca="1">IF($C657="","",INDEX(NVLSX!$N$2:$N$6941,MATCH($C657,NVLSX!$E$2:$E$6941,0)))</f>
        <v/>
      </c>
      <c r="Q657" s="1016" t="str">
        <f ca="1">IF($R657="","",IF(XKNVLSX!$X$1="",IF($P657=$V$7,$P657, IF(COUNTIFS($C$2:$C656,$C657,$E$2:$E656,$E657)&gt;=1,"",$P657)),     IF(AND(IFERROR(SEARCH($R657,XKNVLSX!$X$1,1),0)&gt;=1,$P657=$V$7),$P657, IF(OR($R657&lt;&gt;IF(IFERROR(SEARCH($R657,XKNVLSX!$X$1,1),0)&gt;=1,$R657,XKNVLSX!$X$1),COUNTIFS($C$2:$C656,$C657,$E$2:$E656,$E657,$Q$2:$Q656,$P657)&gt;=1),"",$P657))))</f>
        <v/>
      </c>
      <c r="R657" s="1017" t="str">
        <f ca="1">IF($A657="","",IFERROR(INDEX(TinhGia!$BF$10:$BF$81,MATCH($A657,TinhGia!$B$10:$B$81,0)),""))</f>
        <v/>
      </c>
      <c r="S657" s="1012" t="str">
        <f ca="1">IF($A657="","",IF(OR(IFERROR(SEARCH($R657,XKNVLSX!$X$1,1),0)&gt;=1,XKNVLSX!$X$1=""),$S$2,""))</f>
        <v/>
      </c>
      <c r="T657" s="1018" t="str">
        <f ca="1">IF($C657="","", IF(OR($P657=$V$1,$P657=$V$7,COUNTIFS($C$3:$C657,$C657,$E$3:$E657,$E657)&lt;=1),$P657,""    ))</f>
        <v/>
      </c>
      <c r="U657" s="1019" t="str">
        <f ca="1">IF(AND($P657=$V$2,COUNTIFS($C$3:$C657,$C657,$E$3:$E657,$E657,$G$3:$G657,$G657)&lt;=1),$P657,"")</f>
        <v/>
      </c>
    </row>
    <row r="658" spans="1:21">
      <c r="A658" s="991" t="str">
        <f ca="1">IFERROR(IF(COUNTIF($A$3:A657,A657)&lt; INDEX(TinhGia!$BH$10:$BH$81,MATCH($A657,TinhGia!$B$10:$B$81,0)),$A657,INDEX(TinhGia!$B$10:$B$81,MATCH($A657,TinhGia!$B$10:$B$81,0)+1)),"")</f>
        <v/>
      </c>
      <c r="B658" s="525" t="str">
        <f ca="1">IF(OR(A658="",A658=0),"",IF(COUNTIF($A$2:A658,$A658)=1,ROW(MauKoXoa!$C$108),$B657+1))</f>
        <v/>
      </c>
      <c r="C658" s="992" t="str">
        <f t="shared" ca="1" si="100"/>
        <v/>
      </c>
      <c r="D658" s="993" t="str">
        <f t="shared" ca="1" si="101"/>
        <v/>
      </c>
      <c r="E658" s="993" t="str">
        <f t="shared" ca="1" si="102"/>
        <v/>
      </c>
      <c r="F658" s="992" t="str">
        <f t="shared" ca="1" si="110"/>
        <v/>
      </c>
      <c r="G658" s="994">
        <f t="shared" ca="1" si="103"/>
        <v>0</v>
      </c>
      <c r="H658" s="913">
        <f t="shared" ca="1" si="104"/>
        <v>0</v>
      </c>
      <c r="I658" s="913">
        <f t="shared" ca="1" si="105"/>
        <v>0</v>
      </c>
      <c r="J658" s="995">
        <f t="shared" ca="1" si="111"/>
        <v>0</v>
      </c>
      <c r="K658" s="913">
        <f t="shared" ca="1" si="106"/>
        <v>0</v>
      </c>
      <c r="L658" s="995">
        <f t="shared" ca="1" si="112"/>
        <v>0</v>
      </c>
      <c r="M658" s="913">
        <f t="shared" ca="1" si="107"/>
        <v>0</v>
      </c>
      <c r="N658" s="996">
        <f t="shared" ca="1" si="108"/>
        <v>0</v>
      </c>
      <c r="O658" s="997">
        <f t="shared" ca="1" si="109"/>
        <v>0</v>
      </c>
      <c r="P658" s="1015" t="str">
        <f ca="1">IF($C658="","",INDEX(NVLSX!$N$2:$N$6941,MATCH($C658,NVLSX!$E$2:$E$6941,0)))</f>
        <v/>
      </c>
      <c r="Q658" s="1016" t="str">
        <f ca="1">IF($R658="","",IF(XKNVLSX!$X$1="",IF($P658=$V$7,$P658, IF(COUNTIFS($C$2:$C657,$C658,$E$2:$E657,$E658)&gt;=1,"",$P658)),     IF(AND(IFERROR(SEARCH($R658,XKNVLSX!$X$1,1),0)&gt;=1,$P658=$V$7),$P658, IF(OR($R658&lt;&gt;IF(IFERROR(SEARCH($R658,XKNVLSX!$X$1,1),0)&gt;=1,$R658,XKNVLSX!$X$1),COUNTIFS($C$2:$C657,$C658,$E$2:$E657,$E658,$Q$2:$Q657,$P658)&gt;=1),"",$P658))))</f>
        <v/>
      </c>
      <c r="R658" s="1017" t="str">
        <f ca="1">IF($A658="","",IFERROR(INDEX(TinhGia!$BF$10:$BF$81,MATCH($A658,TinhGia!$B$10:$B$81,0)),""))</f>
        <v/>
      </c>
      <c r="S658" s="1012" t="str">
        <f ca="1">IF($A658="","",IF(OR(IFERROR(SEARCH($R658,XKNVLSX!$X$1,1),0)&gt;=1,XKNVLSX!$X$1=""),$S$2,""))</f>
        <v/>
      </c>
      <c r="T658" s="1018" t="str">
        <f ca="1">IF($C658="","", IF(OR($P658=$V$1,$P658=$V$7,COUNTIFS($C$3:$C658,$C658,$E$3:$E658,$E658)&lt;=1),$P658,""    ))</f>
        <v/>
      </c>
      <c r="U658" s="1019" t="str">
        <f ca="1">IF(AND($P658=$V$2,COUNTIFS($C$3:$C658,$C658,$E$3:$E658,$E658,$G$3:$G658,$G658)&lt;=1),$P658,"")</f>
        <v/>
      </c>
    </row>
    <row r="659" spans="1:21">
      <c r="A659" s="991" t="str">
        <f ca="1">IFERROR(IF(COUNTIF($A$3:A658,A658)&lt; INDEX(TinhGia!$BH$10:$BH$81,MATCH($A658,TinhGia!$B$10:$B$81,0)),$A658,INDEX(TinhGia!$B$10:$B$81,MATCH($A658,TinhGia!$B$10:$B$81,0)+1)),"")</f>
        <v/>
      </c>
      <c r="B659" s="525" t="str">
        <f ca="1">IF(OR(A659="",A659=0),"",IF(COUNTIF($A$2:A659,$A659)=1,ROW(MauKoXoa!$C$108),$B658+1))</f>
        <v/>
      </c>
      <c r="C659" s="992" t="str">
        <f t="shared" ca="1" si="100"/>
        <v/>
      </c>
      <c r="D659" s="993" t="str">
        <f t="shared" ca="1" si="101"/>
        <v/>
      </c>
      <c r="E659" s="993" t="str">
        <f t="shared" ca="1" si="102"/>
        <v/>
      </c>
      <c r="F659" s="992" t="str">
        <f t="shared" ca="1" si="110"/>
        <v/>
      </c>
      <c r="G659" s="994">
        <f t="shared" ca="1" si="103"/>
        <v>0</v>
      </c>
      <c r="H659" s="913">
        <f t="shared" ca="1" si="104"/>
        <v>0</v>
      </c>
      <c r="I659" s="913">
        <f t="shared" ca="1" si="105"/>
        <v>0</v>
      </c>
      <c r="J659" s="995">
        <f t="shared" ca="1" si="111"/>
        <v>0</v>
      </c>
      <c r="K659" s="913">
        <f t="shared" ca="1" si="106"/>
        <v>0</v>
      </c>
      <c r="L659" s="995">
        <f t="shared" ca="1" si="112"/>
        <v>0</v>
      </c>
      <c r="M659" s="913">
        <f t="shared" ca="1" si="107"/>
        <v>0</v>
      </c>
      <c r="N659" s="996">
        <f t="shared" ca="1" si="108"/>
        <v>0</v>
      </c>
      <c r="O659" s="997">
        <f t="shared" ca="1" si="109"/>
        <v>0</v>
      </c>
      <c r="P659" s="1015" t="str">
        <f ca="1">IF($C659="","",INDEX(NVLSX!$N$2:$N$6941,MATCH($C659,NVLSX!$E$2:$E$6941,0)))</f>
        <v/>
      </c>
      <c r="Q659" s="1016" t="str">
        <f ca="1">IF($R659="","",IF(XKNVLSX!$X$1="",IF($P659=$V$7,$P659, IF(COUNTIFS($C$2:$C658,$C659,$E$2:$E658,$E659)&gt;=1,"",$P659)),     IF(AND(IFERROR(SEARCH($R659,XKNVLSX!$X$1,1),0)&gt;=1,$P659=$V$7),$P659, IF(OR($R659&lt;&gt;IF(IFERROR(SEARCH($R659,XKNVLSX!$X$1,1),0)&gt;=1,$R659,XKNVLSX!$X$1),COUNTIFS($C$2:$C658,$C659,$E$2:$E658,$E659,$Q$2:$Q658,$P659)&gt;=1),"",$P659))))</f>
        <v/>
      </c>
      <c r="R659" s="1017" t="str">
        <f ca="1">IF($A659="","",IFERROR(INDEX(TinhGia!$BF$10:$BF$81,MATCH($A659,TinhGia!$B$10:$B$81,0)),""))</f>
        <v/>
      </c>
      <c r="S659" s="1012" t="str">
        <f ca="1">IF($A659="","",IF(OR(IFERROR(SEARCH($R659,XKNVLSX!$X$1,1),0)&gt;=1,XKNVLSX!$X$1=""),$S$2,""))</f>
        <v/>
      </c>
      <c r="T659" s="1018" t="str">
        <f ca="1">IF($C659="","", IF(OR($P659=$V$1,$P659=$V$7,COUNTIFS($C$3:$C659,$C659,$E$3:$E659,$E659)&lt;=1),$P659,""    ))</f>
        <v/>
      </c>
      <c r="U659" s="1019" t="str">
        <f ca="1">IF(AND($P659=$V$2,COUNTIFS($C$3:$C659,$C659,$E$3:$E659,$E659,$G$3:$G659,$G659)&lt;=1),$P659,"")</f>
        <v/>
      </c>
    </row>
    <row r="660" spans="1:21">
      <c r="A660" s="991" t="str">
        <f ca="1">IFERROR(IF(COUNTIF($A$3:A659,A659)&lt; INDEX(TinhGia!$BH$10:$BH$81,MATCH($A659,TinhGia!$B$10:$B$81,0)),$A659,INDEX(TinhGia!$B$10:$B$81,MATCH($A659,TinhGia!$B$10:$B$81,0)+1)),"")</f>
        <v/>
      </c>
      <c r="B660" s="525" t="str">
        <f ca="1">IF(OR(A660="",A660=0),"",IF(COUNTIF($A$2:A660,$A660)=1,ROW(MauKoXoa!$C$108),$B659+1))</f>
        <v/>
      </c>
      <c r="C660" s="992" t="str">
        <f t="shared" ca="1" si="100"/>
        <v/>
      </c>
      <c r="D660" s="993" t="str">
        <f t="shared" ca="1" si="101"/>
        <v/>
      </c>
      <c r="E660" s="993" t="str">
        <f t="shared" ca="1" si="102"/>
        <v/>
      </c>
      <c r="F660" s="992" t="str">
        <f t="shared" ca="1" si="110"/>
        <v/>
      </c>
      <c r="G660" s="994">
        <f t="shared" ca="1" si="103"/>
        <v>0</v>
      </c>
      <c r="H660" s="913">
        <f t="shared" ca="1" si="104"/>
        <v>0</v>
      </c>
      <c r="I660" s="913">
        <f t="shared" ca="1" si="105"/>
        <v>0</v>
      </c>
      <c r="J660" s="995">
        <f t="shared" ca="1" si="111"/>
        <v>0</v>
      </c>
      <c r="K660" s="913">
        <f t="shared" ca="1" si="106"/>
        <v>0</v>
      </c>
      <c r="L660" s="995">
        <f t="shared" ca="1" si="112"/>
        <v>0</v>
      </c>
      <c r="M660" s="913">
        <f t="shared" ca="1" si="107"/>
        <v>0</v>
      </c>
      <c r="N660" s="996">
        <f t="shared" ca="1" si="108"/>
        <v>0</v>
      </c>
      <c r="O660" s="997">
        <f t="shared" ca="1" si="109"/>
        <v>0</v>
      </c>
      <c r="P660" s="1015" t="str">
        <f ca="1">IF($C660="","",INDEX(NVLSX!$N$2:$N$6941,MATCH($C660,NVLSX!$E$2:$E$6941,0)))</f>
        <v/>
      </c>
      <c r="Q660" s="1016" t="str">
        <f ca="1">IF($R660="","",IF(XKNVLSX!$X$1="",IF($P660=$V$7,$P660, IF(COUNTIFS($C$2:$C659,$C660,$E$2:$E659,$E660)&gt;=1,"",$P660)),     IF(AND(IFERROR(SEARCH($R660,XKNVLSX!$X$1,1),0)&gt;=1,$P660=$V$7),$P660, IF(OR($R660&lt;&gt;IF(IFERROR(SEARCH($R660,XKNVLSX!$X$1,1),0)&gt;=1,$R660,XKNVLSX!$X$1),COUNTIFS($C$2:$C659,$C660,$E$2:$E659,$E660,$Q$2:$Q659,$P660)&gt;=1),"",$P660))))</f>
        <v/>
      </c>
      <c r="R660" s="1017" t="str">
        <f ca="1">IF($A660="","",IFERROR(INDEX(TinhGia!$BF$10:$BF$81,MATCH($A660,TinhGia!$B$10:$B$81,0)),""))</f>
        <v/>
      </c>
      <c r="S660" s="1012" t="str">
        <f ca="1">IF($A660="","",IF(OR(IFERROR(SEARCH($R660,XKNVLSX!$X$1,1),0)&gt;=1,XKNVLSX!$X$1=""),$S$2,""))</f>
        <v/>
      </c>
      <c r="T660" s="1018" t="str">
        <f ca="1">IF($C660="","", IF(OR($P660=$V$1,$P660=$V$7,COUNTIFS($C$3:$C660,$C660,$E$3:$E660,$E660)&lt;=1),$P660,""    ))</f>
        <v/>
      </c>
      <c r="U660" s="1019" t="str">
        <f ca="1">IF(AND($P660=$V$2,COUNTIFS($C$3:$C660,$C660,$E$3:$E660,$E660,$G$3:$G660,$G660)&lt;=1),$P660,"")</f>
        <v/>
      </c>
    </row>
    <row r="661" spans="1:21">
      <c r="A661" s="991" t="str">
        <f ca="1">IFERROR(IF(COUNTIF($A$3:A660,A660)&lt; INDEX(TinhGia!$BH$10:$BH$81,MATCH($A660,TinhGia!$B$10:$B$81,0)),$A660,INDEX(TinhGia!$B$10:$B$81,MATCH($A660,TinhGia!$B$10:$B$81,0)+1)),"")</f>
        <v/>
      </c>
      <c r="B661" s="525" t="str">
        <f ca="1">IF(OR(A661="",A661=0),"",IF(COUNTIF($A$2:A661,$A661)=1,ROW(MauKoXoa!$C$108),$B660+1))</f>
        <v/>
      </c>
      <c r="C661" s="992" t="str">
        <f t="shared" ca="1" si="100"/>
        <v/>
      </c>
      <c r="D661" s="993" t="str">
        <f t="shared" ca="1" si="101"/>
        <v/>
      </c>
      <c r="E661" s="993" t="str">
        <f t="shared" ca="1" si="102"/>
        <v/>
      </c>
      <c r="F661" s="992" t="str">
        <f t="shared" ca="1" si="110"/>
        <v/>
      </c>
      <c r="G661" s="994">
        <f t="shared" ca="1" si="103"/>
        <v>0</v>
      </c>
      <c r="H661" s="913">
        <f t="shared" ca="1" si="104"/>
        <v>0</v>
      </c>
      <c r="I661" s="913">
        <f t="shared" ca="1" si="105"/>
        <v>0</v>
      </c>
      <c r="J661" s="995">
        <f t="shared" ca="1" si="111"/>
        <v>0</v>
      </c>
      <c r="K661" s="913">
        <f t="shared" ca="1" si="106"/>
        <v>0</v>
      </c>
      <c r="L661" s="995">
        <f t="shared" ca="1" si="112"/>
        <v>0</v>
      </c>
      <c r="M661" s="913">
        <f t="shared" ca="1" si="107"/>
        <v>0</v>
      </c>
      <c r="N661" s="996">
        <f t="shared" ca="1" si="108"/>
        <v>0</v>
      </c>
      <c r="O661" s="997">
        <f t="shared" ca="1" si="109"/>
        <v>0</v>
      </c>
      <c r="P661" s="1015" t="str">
        <f ca="1">IF($C661="","",INDEX(NVLSX!$N$2:$N$6941,MATCH($C661,NVLSX!$E$2:$E$6941,0)))</f>
        <v/>
      </c>
      <c r="Q661" s="1016" t="str">
        <f ca="1">IF($R661="","",IF(XKNVLSX!$X$1="",IF($P661=$V$7,$P661, IF(COUNTIFS($C$2:$C660,$C661,$E$2:$E660,$E661)&gt;=1,"",$P661)),     IF(AND(IFERROR(SEARCH($R661,XKNVLSX!$X$1,1),0)&gt;=1,$P661=$V$7),$P661, IF(OR($R661&lt;&gt;IF(IFERROR(SEARCH($R661,XKNVLSX!$X$1,1),0)&gt;=1,$R661,XKNVLSX!$X$1),COUNTIFS($C$2:$C660,$C661,$E$2:$E660,$E661,$Q$2:$Q660,$P661)&gt;=1),"",$P661))))</f>
        <v/>
      </c>
      <c r="R661" s="1017" t="str">
        <f ca="1">IF($A661="","",IFERROR(INDEX(TinhGia!$BF$10:$BF$81,MATCH($A661,TinhGia!$B$10:$B$81,0)),""))</f>
        <v/>
      </c>
      <c r="S661" s="1012" t="str">
        <f ca="1">IF($A661="","",IF(OR(IFERROR(SEARCH($R661,XKNVLSX!$X$1,1),0)&gt;=1,XKNVLSX!$X$1=""),$S$2,""))</f>
        <v/>
      </c>
      <c r="T661" s="1018" t="str">
        <f ca="1">IF($C661="","", IF(OR($P661=$V$1,$P661=$V$7,COUNTIFS($C$3:$C661,$C661,$E$3:$E661,$E661)&lt;=1),$P661,""    ))</f>
        <v/>
      </c>
      <c r="U661" s="1019" t="str">
        <f ca="1">IF(AND($P661=$V$2,COUNTIFS($C$3:$C661,$C661,$E$3:$E661,$E661,$G$3:$G661,$G661)&lt;=1),$P661,"")</f>
        <v/>
      </c>
    </row>
    <row r="662" spans="1:21">
      <c r="A662" s="991" t="str">
        <f ca="1">IFERROR(IF(COUNTIF($A$3:A661,A661)&lt; INDEX(TinhGia!$BH$10:$BH$81,MATCH($A661,TinhGia!$B$10:$B$81,0)),$A661,INDEX(TinhGia!$B$10:$B$81,MATCH($A661,TinhGia!$B$10:$B$81,0)+1)),"")</f>
        <v/>
      </c>
      <c r="B662" s="525" t="str">
        <f ca="1">IF(OR(A662="",A662=0),"",IF(COUNTIF($A$2:A662,$A662)=1,ROW(MauKoXoa!$C$108),$B661+1))</f>
        <v/>
      </c>
      <c r="C662" s="992" t="str">
        <f t="shared" ca="1" si="100"/>
        <v/>
      </c>
      <c r="D662" s="993" t="str">
        <f t="shared" ca="1" si="101"/>
        <v/>
      </c>
      <c r="E662" s="993" t="str">
        <f t="shared" ca="1" si="102"/>
        <v/>
      </c>
      <c r="F662" s="992" t="str">
        <f t="shared" ca="1" si="110"/>
        <v/>
      </c>
      <c r="G662" s="994">
        <f t="shared" ca="1" si="103"/>
        <v>0</v>
      </c>
      <c r="H662" s="913">
        <f t="shared" ca="1" si="104"/>
        <v>0</v>
      </c>
      <c r="I662" s="913">
        <f t="shared" ca="1" si="105"/>
        <v>0</v>
      </c>
      <c r="J662" s="995">
        <f t="shared" ca="1" si="111"/>
        <v>0</v>
      </c>
      <c r="K662" s="913">
        <f t="shared" ca="1" si="106"/>
        <v>0</v>
      </c>
      <c r="L662" s="995">
        <f t="shared" ca="1" si="112"/>
        <v>0</v>
      </c>
      <c r="M662" s="913">
        <f t="shared" ca="1" si="107"/>
        <v>0</v>
      </c>
      <c r="N662" s="996">
        <f t="shared" ca="1" si="108"/>
        <v>0</v>
      </c>
      <c r="O662" s="997">
        <f t="shared" ca="1" si="109"/>
        <v>0</v>
      </c>
      <c r="P662" s="1015" t="str">
        <f ca="1">IF($C662="","",INDEX(NVLSX!$N$2:$N$6941,MATCH($C662,NVLSX!$E$2:$E$6941,0)))</f>
        <v/>
      </c>
      <c r="Q662" s="1016" t="str">
        <f ca="1">IF($R662="","",IF(XKNVLSX!$X$1="",IF($P662=$V$7,$P662, IF(COUNTIFS($C$2:$C661,$C662,$E$2:$E661,$E662)&gt;=1,"",$P662)),     IF(AND(IFERROR(SEARCH($R662,XKNVLSX!$X$1,1),0)&gt;=1,$P662=$V$7),$P662, IF(OR($R662&lt;&gt;IF(IFERROR(SEARCH($R662,XKNVLSX!$X$1,1),0)&gt;=1,$R662,XKNVLSX!$X$1),COUNTIFS($C$2:$C661,$C662,$E$2:$E661,$E662,$Q$2:$Q661,$P662)&gt;=1),"",$P662))))</f>
        <v/>
      </c>
      <c r="R662" s="1017" t="str">
        <f ca="1">IF($A662="","",IFERROR(INDEX(TinhGia!$BF$10:$BF$81,MATCH($A662,TinhGia!$B$10:$B$81,0)),""))</f>
        <v/>
      </c>
      <c r="S662" s="1012" t="str">
        <f ca="1">IF($A662="","",IF(OR(IFERROR(SEARCH($R662,XKNVLSX!$X$1,1),0)&gt;=1,XKNVLSX!$X$1=""),$S$2,""))</f>
        <v/>
      </c>
      <c r="T662" s="1018" t="str">
        <f ca="1">IF($C662="","", IF(OR($P662=$V$1,$P662=$V$7,COUNTIFS($C$3:$C662,$C662,$E$3:$E662,$E662)&lt;=1),$P662,""    ))</f>
        <v/>
      </c>
      <c r="U662" s="1019" t="str">
        <f ca="1">IF(AND($P662=$V$2,COUNTIFS($C$3:$C662,$C662,$E$3:$E662,$E662,$G$3:$G662,$G662)&lt;=1),$P662,"")</f>
        <v/>
      </c>
    </row>
    <row r="663" spans="1:21">
      <c r="A663" s="991" t="str">
        <f ca="1">IFERROR(IF(COUNTIF($A$3:A662,A662)&lt; INDEX(TinhGia!$BH$10:$BH$81,MATCH($A662,TinhGia!$B$10:$B$81,0)),$A662,INDEX(TinhGia!$B$10:$B$81,MATCH($A662,TinhGia!$B$10:$B$81,0)+1)),"")</f>
        <v/>
      </c>
      <c r="B663" s="525" t="str">
        <f ca="1">IF(OR(A663="",A663=0),"",IF(COUNTIF($A$2:A663,$A663)=1,ROW(MauKoXoa!$C$108),$B662+1))</f>
        <v/>
      </c>
      <c r="C663" s="992" t="str">
        <f t="shared" ca="1" si="100"/>
        <v/>
      </c>
      <c r="D663" s="993" t="str">
        <f t="shared" ca="1" si="101"/>
        <v/>
      </c>
      <c r="E663" s="993" t="str">
        <f t="shared" ca="1" si="102"/>
        <v/>
      </c>
      <c r="F663" s="992" t="str">
        <f t="shared" ca="1" si="110"/>
        <v/>
      </c>
      <c r="G663" s="994">
        <f t="shared" ca="1" si="103"/>
        <v>0</v>
      </c>
      <c r="H663" s="913">
        <f t="shared" ca="1" si="104"/>
        <v>0</v>
      </c>
      <c r="I663" s="913">
        <f t="shared" ca="1" si="105"/>
        <v>0</v>
      </c>
      <c r="J663" s="995">
        <f t="shared" ca="1" si="111"/>
        <v>0</v>
      </c>
      <c r="K663" s="913">
        <f t="shared" ca="1" si="106"/>
        <v>0</v>
      </c>
      <c r="L663" s="995">
        <f t="shared" ca="1" si="112"/>
        <v>0</v>
      </c>
      <c r="M663" s="913">
        <f t="shared" ca="1" si="107"/>
        <v>0</v>
      </c>
      <c r="N663" s="996">
        <f t="shared" ca="1" si="108"/>
        <v>0</v>
      </c>
      <c r="O663" s="997">
        <f t="shared" ca="1" si="109"/>
        <v>0</v>
      </c>
      <c r="P663" s="1015" t="str">
        <f ca="1">IF($C663="","",INDEX(NVLSX!$N$2:$N$6941,MATCH($C663,NVLSX!$E$2:$E$6941,0)))</f>
        <v/>
      </c>
      <c r="Q663" s="1016" t="str">
        <f ca="1">IF($R663="","",IF(XKNVLSX!$X$1="",IF($P663=$V$7,$P663, IF(COUNTIFS($C$2:$C662,$C663,$E$2:$E662,$E663)&gt;=1,"",$P663)),     IF(AND(IFERROR(SEARCH($R663,XKNVLSX!$X$1,1),0)&gt;=1,$P663=$V$7),$P663, IF(OR($R663&lt;&gt;IF(IFERROR(SEARCH($R663,XKNVLSX!$X$1,1),0)&gt;=1,$R663,XKNVLSX!$X$1),COUNTIFS($C$2:$C662,$C663,$E$2:$E662,$E663,$Q$2:$Q662,$P663)&gt;=1),"",$P663))))</f>
        <v/>
      </c>
      <c r="R663" s="1017" t="str">
        <f ca="1">IF($A663="","",IFERROR(INDEX(TinhGia!$BF$10:$BF$81,MATCH($A663,TinhGia!$B$10:$B$81,0)),""))</f>
        <v/>
      </c>
      <c r="S663" s="1012" t="str">
        <f ca="1">IF($A663="","",IF(OR(IFERROR(SEARCH($R663,XKNVLSX!$X$1,1),0)&gt;=1,XKNVLSX!$X$1=""),$S$2,""))</f>
        <v/>
      </c>
      <c r="T663" s="1018" t="str">
        <f ca="1">IF($C663="","", IF(OR($P663=$V$1,$P663=$V$7,COUNTIFS($C$3:$C663,$C663,$E$3:$E663,$E663)&lt;=1),$P663,""    ))</f>
        <v/>
      </c>
      <c r="U663" s="1019" t="str">
        <f ca="1">IF(AND($P663=$V$2,COUNTIFS($C$3:$C663,$C663,$E$3:$E663,$E663,$G$3:$G663,$G663)&lt;=1),$P663,"")</f>
        <v/>
      </c>
    </row>
    <row r="664" spans="1:21">
      <c r="A664" s="991" t="str">
        <f ca="1">IFERROR(IF(COUNTIF($A$3:A663,A663)&lt; INDEX(TinhGia!$BH$10:$BH$81,MATCH($A663,TinhGia!$B$10:$B$81,0)),$A663,INDEX(TinhGia!$B$10:$B$81,MATCH($A663,TinhGia!$B$10:$B$81,0)+1)),"")</f>
        <v/>
      </c>
      <c r="B664" s="525" t="str">
        <f ca="1">IF(OR(A664="",A664=0),"",IF(COUNTIF($A$2:A664,$A664)=1,ROW(MauKoXoa!$C$108),$B663+1))</f>
        <v/>
      </c>
      <c r="C664" s="992" t="str">
        <f t="shared" ca="1" si="100"/>
        <v/>
      </c>
      <c r="D664" s="993" t="str">
        <f t="shared" ca="1" si="101"/>
        <v/>
      </c>
      <c r="E664" s="993" t="str">
        <f t="shared" ca="1" si="102"/>
        <v/>
      </c>
      <c r="F664" s="992" t="str">
        <f t="shared" ca="1" si="110"/>
        <v/>
      </c>
      <c r="G664" s="994">
        <f t="shared" ca="1" si="103"/>
        <v>0</v>
      </c>
      <c r="H664" s="913">
        <f t="shared" ca="1" si="104"/>
        <v>0</v>
      </c>
      <c r="I664" s="913">
        <f t="shared" ca="1" si="105"/>
        <v>0</v>
      </c>
      <c r="J664" s="995">
        <f t="shared" ca="1" si="111"/>
        <v>0</v>
      </c>
      <c r="K664" s="913">
        <f t="shared" ca="1" si="106"/>
        <v>0</v>
      </c>
      <c r="L664" s="995">
        <f t="shared" ca="1" si="112"/>
        <v>0</v>
      </c>
      <c r="M664" s="913">
        <f t="shared" ca="1" si="107"/>
        <v>0</v>
      </c>
      <c r="N664" s="996">
        <f t="shared" ca="1" si="108"/>
        <v>0</v>
      </c>
      <c r="O664" s="997">
        <f t="shared" ca="1" si="109"/>
        <v>0</v>
      </c>
      <c r="P664" s="1015" t="str">
        <f ca="1">IF($C664="","",INDEX(NVLSX!$N$2:$N$6941,MATCH($C664,NVLSX!$E$2:$E$6941,0)))</f>
        <v/>
      </c>
      <c r="Q664" s="1016" t="str">
        <f ca="1">IF($R664="","",IF(XKNVLSX!$X$1="",IF($P664=$V$7,$P664, IF(COUNTIFS($C$2:$C663,$C664,$E$2:$E663,$E664)&gt;=1,"",$P664)),     IF(AND(IFERROR(SEARCH($R664,XKNVLSX!$X$1,1),0)&gt;=1,$P664=$V$7),$P664, IF(OR($R664&lt;&gt;IF(IFERROR(SEARCH($R664,XKNVLSX!$X$1,1),0)&gt;=1,$R664,XKNVLSX!$X$1),COUNTIFS($C$2:$C663,$C664,$E$2:$E663,$E664,$Q$2:$Q663,$P664)&gt;=1),"",$P664))))</f>
        <v/>
      </c>
      <c r="R664" s="1017" t="str">
        <f ca="1">IF($A664="","",IFERROR(INDEX(TinhGia!$BF$10:$BF$81,MATCH($A664,TinhGia!$B$10:$B$81,0)),""))</f>
        <v/>
      </c>
      <c r="S664" s="1012" t="str">
        <f ca="1">IF($A664="","",IF(OR(IFERROR(SEARCH($R664,XKNVLSX!$X$1,1),0)&gt;=1,XKNVLSX!$X$1=""),$S$2,""))</f>
        <v/>
      </c>
      <c r="T664" s="1018" t="str">
        <f ca="1">IF($C664="","", IF(OR($P664=$V$1,$P664=$V$7,COUNTIFS($C$3:$C664,$C664,$E$3:$E664,$E664)&lt;=1),$P664,""    ))</f>
        <v/>
      </c>
      <c r="U664" s="1019" t="str">
        <f ca="1">IF(AND($P664=$V$2,COUNTIFS($C$3:$C664,$C664,$E$3:$E664,$E664,$G$3:$G664,$G664)&lt;=1),$P664,"")</f>
        <v/>
      </c>
    </row>
    <row r="665" spans="1:21">
      <c r="A665" s="991" t="str">
        <f ca="1">IFERROR(IF(COUNTIF($A$3:A664,A664)&lt; INDEX(TinhGia!$BH$10:$BH$81,MATCH($A664,TinhGia!$B$10:$B$81,0)),$A664,INDEX(TinhGia!$B$10:$B$81,MATCH($A664,TinhGia!$B$10:$B$81,0)+1)),"")</f>
        <v/>
      </c>
      <c r="B665" s="525" t="str">
        <f ca="1">IF(OR(A665="",A665=0),"",IF(COUNTIF($A$2:A665,$A665)=1,ROW(MauKoXoa!$C$108),$B664+1))</f>
        <v/>
      </c>
      <c r="C665" s="992" t="str">
        <f t="shared" ca="1" si="100"/>
        <v/>
      </c>
      <c r="D665" s="993" t="str">
        <f t="shared" ca="1" si="101"/>
        <v/>
      </c>
      <c r="E665" s="993" t="str">
        <f t="shared" ca="1" si="102"/>
        <v/>
      </c>
      <c r="F665" s="992" t="str">
        <f t="shared" ca="1" si="110"/>
        <v/>
      </c>
      <c r="G665" s="994">
        <f t="shared" ca="1" si="103"/>
        <v>0</v>
      </c>
      <c r="H665" s="913">
        <f t="shared" ca="1" si="104"/>
        <v>0</v>
      </c>
      <c r="I665" s="913">
        <f t="shared" ca="1" si="105"/>
        <v>0</v>
      </c>
      <c r="J665" s="995">
        <f t="shared" ca="1" si="111"/>
        <v>0</v>
      </c>
      <c r="K665" s="913">
        <f t="shared" ca="1" si="106"/>
        <v>0</v>
      </c>
      <c r="L665" s="995">
        <f t="shared" ca="1" si="112"/>
        <v>0</v>
      </c>
      <c r="M665" s="913">
        <f t="shared" ca="1" si="107"/>
        <v>0</v>
      </c>
      <c r="N665" s="996">
        <f t="shared" ca="1" si="108"/>
        <v>0</v>
      </c>
      <c r="O665" s="997">
        <f t="shared" ca="1" si="109"/>
        <v>0</v>
      </c>
      <c r="P665" s="1015" t="str">
        <f ca="1">IF($C665="","",INDEX(NVLSX!$N$2:$N$6941,MATCH($C665,NVLSX!$E$2:$E$6941,0)))</f>
        <v/>
      </c>
      <c r="Q665" s="1016" t="str">
        <f ca="1">IF($R665="","",IF(XKNVLSX!$X$1="",IF($P665=$V$7,$P665, IF(COUNTIFS($C$2:$C664,$C665,$E$2:$E664,$E665)&gt;=1,"",$P665)),     IF(AND(IFERROR(SEARCH($R665,XKNVLSX!$X$1,1),0)&gt;=1,$P665=$V$7),$P665, IF(OR($R665&lt;&gt;IF(IFERROR(SEARCH($R665,XKNVLSX!$X$1,1),0)&gt;=1,$R665,XKNVLSX!$X$1),COUNTIFS($C$2:$C664,$C665,$E$2:$E664,$E665,$Q$2:$Q664,$P665)&gt;=1),"",$P665))))</f>
        <v/>
      </c>
      <c r="R665" s="1017" t="str">
        <f ca="1">IF($A665="","",IFERROR(INDEX(TinhGia!$BF$10:$BF$81,MATCH($A665,TinhGia!$B$10:$B$81,0)),""))</f>
        <v/>
      </c>
      <c r="S665" s="1012" t="str">
        <f ca="1">IF($A665="","",IF(OR(IFERROR(SEARCH($R665,XKNVLSX!$X$1,1),0)&gt;=1,XKNVLSX!$X$1=""),$S$2,""))</f>
        <v/>
      </c>
      <c r="T665" s="1018" t="str">
        <f ca="1">IF($C665="","", IF(OR($P665=$V$1,$P665=$V$7,COUNTIFS($C$3:$C665,$C665,$E$3:$E665,$E665)&lt;=1),$P665,""    ))</f>
        <v/>
      </c>
      <c r="U665" s="1019" t="str">
        <f ca="1">IF(AND($P665=$V$2,COUNTIFS($C$3:$C665,$C665,$E$3:$E665,$E665,$G$3:$G665,$G665)&lt;=1),$P665,"")</f>
        <v/>
      </c>
    </row>
    <row r="666" spans="1:21">
      <c r="A666" s="991" t="str">
        <f ca="1">IFERROR(IF(COUNTIF($A$3:A665,A665)&lt; INDEX(TinhGia!$BH$10:$BH$81,MATCH($A665,TinhGia!$B$10:$B$81,0)),$A665,INDEX(TinhGia!$B$10:$B$81,MATCH($A665,TinhGia!$B$10:$B$81,0)+1)),"")</f>
        <v/>
      </c>
      <c r="B666" s="525" t="str">
        <f ca="1">IF(OR(A666="",A666=0),"",IF(COUNTIF($A$2:A666,$A666)=1,ROW(MauKoXoa!$C$108),$B665+1))</f>
        <v/>
      </c>
      <c r="C666" s="992" t="str">
        <f t="shared" ca="1" si="100"/>
        <v/>
      </c>
      <c r="D666" s="993" t="str">
        <f t="shared" ca="1" si="101"/>
        <v/>
      </c>
      <c r="E666" s="993" t="str">
        <f t="shared" ca="1" si="102"/>
        <v/>
      </c>
      <c r="F666" s="992" t="str">
        <f t="shared" ca="1" si="110"/>
        <v/>
      </c>
      <c r="G666" s="994">
        <f t="shared" ca="1" si="103"/>
        <v>0</v>
      </c>
      <c r="H666" s="913">
        <f t="shared" ca="1" si="104"/>
        <v>0</v>
      </c>
      <c r="I666" s="913">
        <f t="shared" ca="1" si="105"/>
        <v>0</v>
      </c>
      <c r="J666" s="995">
        <f t="shared" ca="1" si="111"/>
        <v>0</v>
      </c>
      <c r="K666" s="913">
        <f t="shared" ca="1" si="106"/>
        <v>0</v>
      </c>
      <c r="L666" s="995">
        <f t="shared" ca="1" si="112"/>
        <v>0</v>
      </c>
      <c r="M666" s="913">
        <f t="shared" ca="1" si="107"/>
        <v>0</v>
      </c>
      <c r="N666" s="996">
        <f t="shared" ca="1" si="108"/>
        <v>0</v>
      </c>
      <c r="O666" s="997">
        <f t="shared" ca="1" si="109"/>
        <v>0</v>
      </c>
      <c r="P666" s="1015" t="str">
        <f ca="1">IF($C666="","",INDEX(NVLSX!$N$2:$N$6941,MATCH($C666,NVLSX!$E$2:$E$6941,0)))</f>
        <v/>
      </c>
      <c r="Q666" s="1016" t="str">
        <f ca="1">IF($R666="","",IF(XKNVLSX!$X$1="",IF($P666=$V$7,$P666, IF(COUNTIFS($C$2:$C665,$C666,$E$2:$E665,$E666)&gt;=1,"",$P666)),     IF(AND(IFERROR(SEARCH($R666,XKNVLSX!$X$1,1),0)&gt;=1,$P666=$V$7),$P666, IF(OR($R666&lt;&gt;IF(IFERROR(SEARCH($R666,XKNVLSX!$X$1,1),0)&gt;=1,$R666,XKNVLSX!$X$1),COUNTIFS($C$2:$C665,$C666,$E$2:$E665,$E666,$Q$2:$Q665,$P666)&gt;=1),"",$P666))))</f>
        <v/>
      </c>
      <c r="R666" s="1017" t="str">
        <f ca="1">IF($A666="","",IFERROR(INDEX(TinhGia!$BF$10:$BF$81,MATCH($A666,TinhGia!$B$10:$B$81,0)),""))</f>
        <v/>
      </c>
      <c r="S666" s="1012" t="str">
        <f ca="1">IF($A666="","",IF(OR(IFERROR(SEARCH($R666,XKNVLSX!$X$1,1),0)&gt;=1,XKNVLSX!$X$1=""),$S$2,""))</f>
        <v/>
      </c>
      <c r="T666" s="1018" t="str">
        <f ca="1">IF($C666="","", IF(OR($P666=$V$1,$P666=$V$7,COUNTIFS($C$3:$C666,$C666,$E$3:$E666,$E666)&lt;=1),$P666,""    ))</f>
        <v/>
      </c>
      <c r="U666" s="1019" t="str">
        <f ca="1">IF(AND($P666=$V$2,COUNTIFS($C$3:$C666,$C666,$E$3:$E666,$E666,$G$3:$G666,$G666)&lt;=1),$P666,"")</f>
        <v/>
      </c>
    </row>
    <row r="667" spans="1:21">
      <c r="A667" s="991" t="str">
        <f ca="1">IFERROR(IF(COUNTIF($A$3:A666,A666)&lt; INDEX(TinhGia!$BH$10:$BH$81,MATCH($A666,TinhGia!$B$10:$B$81,0)),$A666,INDEX(TinhGia!$B$10:$B$81,MATCH($A666,TinhGia!$B$10:$B$81,0)+1)),"")</f>
        <v/>
      </c>
      <c r="B667" s="525" t="str">
        <f ca="1">IF(OR(A667="",A667=0),"",IF(COUNTIF($A$2:A667,$A667)=1,ROW(MauKoXoa!$C$108),$B666+1))</f>
        <v/>
      </c>
      <c r="C667" s="992" t="str">
        <f t="shared" ca="1" si="100"/>
        <v/>
      </c>
      <c r="D667" s="993" t="str">
        <f t="shared" ca="1" si="101"/>
        <v/>
      </c>
      <c r="E667" s="993" t="str">
        <f t="shared" ca="1" si="102"/>
        <v/>
      </c>
      <c r="F667" s="992" t="str">
        <f t="shared" ca="1" si="110"/>
        <v/>
      </c>
      <c r="G667" s="994">
        <f t="shared" ca="1" si="103"/>
        <v>0</v>
      </c>
      <c r="H667" s="913">
        <f t="shared" ca="1" si="104"/>
        <v>0</v>
      </c>
      <c r="I667" s="913">
        <f t="shared" ca="1" si="105"/>
        <v>0</v>
      </c>
      <c r="J667" s="995">
        <f t="shared" ca="1" si="111"/>
        <v>0</v>
      </c>
      <c r="K667" s="913">
        <f t="shared" ca="1" si="106"/>
        <v>0</v>
      </c>
      <c r="L667" s="995">
        <f t="shared" ca="1" si="112"/>
        <v>0</v>
      </c>
      <c r="M667" s="913">
        <f t="shared" ca="1" si="107"/>
        <v>0</v>
      </c>
      <c r="N667" s="996">
        <f t="shared" ca="1" si="108"/>
        <v>0</v>
      </c>
      <c r="O667" s="997">
        <f t="shared" ca="1" si="109"/>
        <v>0</v>
      </c>
      <c r="P667" s="1015" t="str">
        <f ca="1">IF($C667="","",INDEX(NVLSX!$N$2:$N$6941,MATCH($C667,NVLSX!$E$2:$E$6941,0)))</f>
        <v/>
      </c>
      <c r="Q667" s="1016" t="str">
        <f ca="1">IF($R667="","",IF(XKNVLSX!$X$1="",IF($P667=$V$7,$P667, IF(COUNTIFS($C$2:$C666,$C667,$E$2:$E666,$E667)&gt;=1,"",$P667)),     IF(AND(IFERROR(SEARCH($R667,XKNVLSX!$X$1,1),0)&gt;=1,$P667=$V$7),$P667, IF(OR($R667&lt;&gt;IF(IFERROR(SEARCH($R667,XKNVLSX!$X$1,1),0)&gt;=1,$R667,XKNVLSX!$X$1),COUNTIFS($C$2:$C666,$C667,$E$2:$E666,$E667,$Q$2:$Q666,$P667)&gt;=1),"",$P667))))</f>
        <v/>
      </c>
      <c r="R667" s="1017" t="str">
        <f ca="1">IF($A667="","",IFERROR(INDEX(TinhGia!$BF$10:$BF$81,MATCH($A667,TinhGia!$B$10:$B$81,0)),""))</f>
        <v/>
      </c>
      <c r="S667" s="1012" t="str">
        <f ca="1">IF($A667="","",IF(OR(IFERROR(SEARCH($R667,XKNVLSX!$X$1,1),0)&gt;=1,XKNVLSX!$X$1=""),$S$2,""))</f>
        <v/>
      </c>
      <c r="T667" s="1018" t="str">
        <f ca="1">IF($C667="","", IF(OR($P667=$V$1,$P667=$V$7,COUNTIFS($C$3:$C667,$C667,$E$3:$E667,$E667)&lt;=1),$P667,""    ))</f>
        <v/>
      </c>
      <c r="U667" s="1019" t="str">
        <f ca="1">IF(AND($P667=$V$2,COUNTIFS($C$3:$C667,$C667,$E$3:$E667,$E667,$G$3:$G667,$G667)&lt;=1),$P667,"")</f>
        <v/>
      </c>
    </row>
    <row r="668" spans="1:21">
      <c r="A668" s="991" t="str">
        <f ca="1">IFERROR(IF(COUNTIF($A$3:A667,A667)&lt; INDEX(TinhGia!$BH$10:$BH$81,MATCH($A667,TinhGia!$B$10:$B$81,0)),$A667,INDEX(TinhGia!$B$10:$B$81,MATCH($A667,TinhGia!$B$10:$B$81,0)+1)),"")</f>
        <v/>
      </c>
      <c r="B668" s="525" t="str">
        <f ca="1">IF(OR(A668="",A668=0),"",IF(COUNTIF($A$2:A668,$A668)=1,ROW(MauKoXoa!$C$108),$B667+1))</f>
        <v/>
      </c>
      <c r="C668" s="992" t="str">
        <f t="shared" ca="1" si="100"/>
        <v/>
      </c>
      <c r="D668" s="993" t="str">
        <f t="shared" ca="1" si="101"/>
        <v/>
      </c>
      <c r="E668" s="993" t="str">
        <f t="shared" ca="1" si="102"/>
        <v/>
      </c>
      <c r="F668" s="992" t="str">
        <f t="shared" ca="1" si="110"/>
        <v/>
      </c>
      <c r="G668" s="994">
        <f t="shared" ca="1" si="103"/>
        <v>0</v>
      </c>
      <c r="H668" s="913">
        <f t="shared" ca="1" si="104"/>
        <v>0</v>
      </c>
      <c r="I668" s="913">
        <f t="shared" ca="1" si="105"/>
        <v>0</v>
      </c>
      <c r="J668" s="995">
        <f t="shared" ca="1" si="111"/>
        <v>0</v>
      </c>
      <c r="K668" s="913">
        <f t="shared" ca="1" si="106"/>
        <v>0</v>
      </c>
      <c r="L668" s="995">
        <f t="shared" ca="1" si="112"/>
        <v>0</v>
      </c>
      <c r="M668" s="913">
        <f t="shared" ca="1" si="107"/>
        <v>0</v>
      </c>
      <c r="N668" s="996">
        <f t="shared" ca="1" si="108"/>
        <v>0</v>
      </c>
      <c r="O668" s="997">
        <f t="shared" ca="1" si="109"/>
        <v>0</v>
      </c>
      <c r="P668" s="1015" t="str">
        <f ca="1">IF($C668="","",INDEX(NVLSX!$N$2:$N$6941,MATCH($C668,NVLSX!$E$2:$E$6941,0)))</f>
        <v/>
      </c>
      <c r="Q668" s="1016" t="str">
        <f ca="1">IF($R668="","",IF(XKNVLSX!$X$1="",IF($P668=$V$7,$P668, IF(COUNTIFS($C$2:$C667,$C668,$E$2:$E667,$E668)&gt;=1,"",$P668)),     IF(AND(IFERROR(SEARCH($R668,XKNVLSX!$X$1,1),0)&gt;=1,$P668=$V$7),$P668, IF(OR($R668&lt;&gt;IF(IFERROR(SEARCH($R668,XKNVLSX!$X$1,1),0)&gt;=1,$R668,XKNVLSX!$X$1),COUNTIFS($C$2:$C667,$C668,$E$2:$E667,$E668,$Q$2:$Q667,$P668)&gt;=1),"",$P668))))</f>
        <v/>
      </c>
      <c r="R668" s="1017" t="str">
        <f ca="1">IF($A668="","",IFERROR(INDEX(TinhGia!$BF$10:$BF$81,MATCH($A668,TinhGia!$B$10:$B$81,0)),""))</f>
        <v/>
      </c>
      <c r="S668" s="1012" t="str">
        <f ca="1">IF($A668="","",IF(OR(IFERROR(SEARCH($R668,XKNVLSX!$X$1,1),0)&gt;=1,XKNVLSX!$X$1=""),$S$2,""))</f>
        <v/>
      </c>
      <c r="T668" s="1018" t="str">
        <f ca="1">IF($C668="","", IF(OR($P668=$V$1,$P668=$V$7,COUNTIFS($C$3:$C668,$C668,$E$3:$E668,$E668)&lt;=1),$P668,""    ))</f>
        <v/>
      </c>
      <c r="U668" s="1019" t="str">
        <f ca="1">IF(AND($P668=$V$2,COUNTIFS($C$3:$C668,$C668,$E$3:$E668,$E668,$G$3:$G668,$G668)&lt;=1),$P668,"")</f>
        <v/>
      </c>
    </row>
    <row r="669" spans="1:21">
      <c r="A669" s="991" t="str">
        <f ca="1">IFERROR(IF(COUNTIF($A$3:A668,A668)&lt; INDEX(TinhGia!$BH$10:$BH$81,MATCH($A668,TinhGia!$B$10:$B$81,0)),$A668,INDEX(TinhGia!$B$10:$B$81,MATCH($A668,TinhGia!$B$10:$B$81,0)+1)),"")</f>
        <v/>
      </c>
      <c r="B669" s="525" t="str">
        <f ca="1">IF(OR(A669="",A669=0),"",IF(COUNTIF($A$2:A669,$A669)=1,ROW(MauKoXoa!$C$108),$B668+1))</f>
        <v/>
      </c>
      <c r="C669" s="992" t="str">
        <f t="shared" ca="1" si="100"/>
        <v/>
      </c>
      <c r="D669" s="993" t="str">
        <f t="shared" ca="1" si="101"/>
        <v/>
      </c>
      <c r="E669" s="993" t="str">
        <f t="shared" ca="1" si="102"/>
        <v/>
      </c>
      <c r="F669" s="992" t="str">
        <f t="shared" ca="1" si="110"/>
        <v/>
      </c>
      <c r="G669" s="994">
        <f t="shared" ca="1" si="103"/>
        <v>0</v>
      </c>
      <c r="H669" s="913">
        <f t="shared" ca="1" si="104"/>
        <v>0</v>
      </c>
      <c r="I669" s="913">
        <f t="shared" ca="1" si="105"/>
        <v>0</v>
      </c>
      <c r="J669" s="995">
        <f t="shared" ca="1" si="111"/>
        <v>0</v>
      </c>
      <c r="K669" s="913">
        <f t="shared" ca="1" si="106"/>
        <v>0</v>
      </c>
      <c r="L669" s="995">
        <f t="shared" ca="1" si="112"/>
        <v>0</v>
      </c>
      <c r="M669" s="913">
        <f t="shared" ca="1" si="107"/>
        <v>0</v>
      </c>
      <c r="N669" s="996">
        <f t="shared" ca="1" si="108"/>
        <v>0</v>
      </c>
      <c r="O669" s="997">
        <f t="shared" ca="1" si="109"/>
        <v>0</v>
      </c>
      <c r="P669" s="1015" t="str">
        <f ca="1">IF($C669="","",INDEX(NVLSX!$N$2:$N$6941,MATCH($C669,NVLSX!$E$2:$E$6941,0)))</f>
        <v/>
      </c>
      <c r="Q669" s="1016" t="str">
        <f ca="1">IF($R669="","",IF(XKNVLSX!$X$1="",IF($P669=$V$7,$P669, IF(COUNTIFS($C$2:$C668,$C669,$E$2:$E668,$E669)&gt;=1,"",$P669)),     IF(AND(IFERROR(SEARCH($R669,XKNVLSX!$X$1,1),0)&gt;=1,$P669=$V$7),$P669, IF(OR($R669&lt;&gt;IF(IFERROR(SEARCH($R669,XKNVLSX!$X$1,1),0)&gt;=1,$R669,XKNVLSX!$X$1),COUNTIFS($C$2:$C668,$C669,$E$2:$E668,$E669,$Q$2:$Q668,$P669)&gt;=1),"",$P669))))</f>
        <v/>
      </c>
      <c r="R669" s="1017" t="str">
        <f ca="1">IF($A669="","",IFERROR(INDEX(TinhGia!$BF$10:$BF$81,MATCH($A669,TinhGia!$B$10:$B$81,0)),""))</f>
        <v/>
      </c>
      <c r="S669" s="1012" t="str">
        <f ca="1">IF($A669="","",IF(OR(IFERROR(SEARCH($R669,XKNVLSX!$X$1,1),0)&gt;=1,XKNVLSX!$X$1=""),$S$2,""))</f>
        <v/>
      </c>
      <c r="T669" s="1018" t="str">
        <f ca="1">IF($C669="","", IF(OR($P669=$V$1,$P669=$V$7,COUNTIFS($C$3:$C669,$C669,$E$3:$E669,$E669)&lt;=1),$P669,""    ))</f>
        <v/>
      </c>
      <c r="U669" s="1019" t="str">
        <f ca="1">IF(AND($P669=$V$2,COUNTIFS($C$3:$C669,$C669,$E$3:$E669,$E669,$G$3:$G669,$G669)&lt;=1),$P669,"")</f>
        <v/>
      </c>
    </row>
    <row r="670" spans="1:21">
      <c r="A670" s="991" t="str">
        <f ca="1">IFERROR(IF(COUNTIF($A$3:A669,A669)&lt; INDEX(TinhGia!$BH$10:$BH$81,MATCH($A669,TinhGia!$B$10:$B$81,0)),$A669,INDEX(TinhGia!$B$10:$B$81,MATCH($A669,TinhGia!$B$10:$B$81,0)+1)),"")</f>
        <v/>
      </c>
      <c r="B670" s="525" t="str">
        <f ca="1">IF(OR(A670="",A670=0),"",IF(COUNTIF($A$2:A670,$A670)=1,ROW(MauKoXoa!$C$108),$B669+1))</f>
        <v/>
      </c>
      <c r="C670" s="992" t="str">
        <f t="shared" ca="1" si="100"/>
        <v/>
      </c>
      <c r="D670" s="993" t="str">
        <f t="shared" ca="1" si="101"/>
        <v/>
      </c>
      <c r="E670" s="993" t="str">
        <f t="shared" ca="1" si="102"/>
        <v/>
      </c>
      <c r="F670" s="992" t="str">
        <f t="shared" ca="1" si="110"/>
        <v/>
      </c>
      <c r="G670" s="994">
        <f t="shared" ca="1" si="103"/>
        <v>0</v>
      </c>
      <c r="H670" s="913">
        <f t="shared" ca="1" si="104"/>
        <v>0</v>
      </c>
      <c r="I670" s="913">
        <f t="shared" ca="1" si="105"/>
        <v>0</v>
      </c>
      <c r="J670" s="995">
        <f t="shared" ca="1" si="111"/>
        <v>0</v>
      </c>
      <c r="K670" s="913">
        <f t="shared" ca="1" si="106"/>
        <v>0</v>
      </c>
      <c r="L670" s="995">
        <f t="shared" ca="1" si="112"/>
        <v>0</v>
      </c>
      <c r="M670" s="913">
        <f t="shared" ca="1" si="107"/>
        <v>0</v>
      </c>
      <c r="N670" s="996">
        <f t="shared" ca="1" si="108"/>
        <v>0</v>
      </c>
      <c r="O670" s="997">
        <f t="shared" ca="1" si="109"/>
        <v>0</v>
      </c>
      <c r="P670" s="1015" t="str">
        <f ca="1">IF($C670="","",INDEX(NVLSX!$N$2:$N$6941,MATCH($C670,NVLSX!$E$2:$E$6941,0)))</f>
        <v/>
      </c>
      <c r="Q670" s="1016" t="str">
        <f ca="1">IF($R670="","",IF(XKNVLSX!$X$1="",IF($P670=$V$7,$P670, IF(COUNTIFS($C$2:$C669,$C670,$E$2:$E669,$E670)&gt;=1,"",$P670)),     IF(AND(IFERROR(SEARCH($R670,XKNVLSX!$X$1,1),0)&gt;=1,$P670=$V$7),$P670, IF(OR($R670&lt;&gt;IF(IFERROR(SEARCH($R670,XKNVLSX!$X$1,1),0)&gt;=1,$R670,XKNVLSX!$X$1),COUNTIFS($C$2:$C669,$C670,$E$2:$E669,$E670,$Q$2:$Q669,$P670)&gt;=1),"",$P670))))</f>
        <v/>
      </c>
      <c r="R670" s="1017" t="str">
        <f ca="1">IF($A670="","",IFERROR(INDEX(TinhGia!$BF$10:$BF$81,MATCH($A670,TinhGia!$B$10:$B$81,0)),""))</f>
        <v/>
      </c>
      <c r="S670" s="1012" t="str">
        <f ca="1">IF($A670="","",IF(OR(IFERROR(SEARCH($R670,XKNVLSX!$X$1,1),0)&gt;=1,XKNVLSX!$X$1=""),$S$2,""))</f>
        <v/>
      </c>
      <c r="T670" s="1018" t="str">
        <f ca="1">IF($C670="","", IF(OR($P670=$V$1,$P670=$V$7,COUNTIFS($C$3:$C670,$C670,$E$3:$E670,$E670)&lt;=1),$P670,""    ))</f>
        <v/>
      </c>
      <c r="U670" s="1019" t="str">
        <f ca="1">IF(AND($P670=$V$2,COUNTIFS($C$3:$C670,$C670,$E$3:$E670,$E670,$G$3:$G670,$G670)&lt;=1),$P670,"")</f>
        <v/>
      </c>
    </row>
    <row r="671" spans="1:21">
      <c r="A671" s="991" t="str">
        <f ca="1">IFERROR(IF(COUNTIF($A$3:A670,A670)&lt; INDEX(TinhGia!$BH$10:$BH$81,MATCH($A670,TinhGia!$B$10:$B$81,0)),$A670,INDEX(TinhGia!$B$10:$B$81,MATCH($A670,TinhGia!$B$10:$B$81,0)+1)),"")</f>
        <v/>
      </c>
      <c r="B671" s="525" t="str">
        <f ca="1">IF(OR(A671="",A671=0),"",IF(COUNTIF($A$2:A671,$A671)=1,ROW(MauKoXoa!$C$108),$B670+1))</f>
        <v/>
      </c>
      <c r="C671" s="992" t="str">
        <f t="shared" ca="1" si="100"/>
        <v/>
      </c>
      <c r="D671" s="993" t="str">
        <f t="shared" ca="1" si="101"/>
        <v/>
      </c>
      <c r="E671" s="993" t="str">
        <f t="shared" ca="1" si="102"/>
        <v/>
      </c>
      <c r="F671" s="992" t="str">
        <f t="shared" ca="1" si="110"/>
        <v/>
      </c>
      <c r="G671" s="994">
        <f t="shared" ca="1" si="103"/>
        <v>0</v>
      </c>
      <c r="H671" s="913">
        <f t="shared" ca="1" si="104"/>
        <v>0</v>
      </c>
      <c r="I671" s="913">
        <f t="shared" ca="1" si="105"/>
        <v>0</v>
      </c>
      <c r="J671" s="995">
        <f t="shared" ca="1" si="111"/>
        <v>0</v>
      </c>
      <c r="K671" s="913">
        <f t="shared" ca="1" si="106"/>
        <v>0</v>
      </c>
      <c r="L671" s="995">
        <f t="shared" ca="1" si="112"/>
        <v>0</v>
      </c>
      <c r="M671" s="913">
        <f t="shared" ca="1" si="107"/>
        <v>0</v>
      </c>
      <c r="N671" s="996">
        <f t="shared" ca="1" si="108"/>
        <v>0</v>
      </c>
      <c r="O671" s="997">
        <f t="shared" ca="1" si="109"/>
        <v>0</v>
      </c>
      <c r="P671" s="1015" t="str">
        <f ca="1">IF($C671="","",INDEX(NVLSX!$N$2:$N$6941,MATCH($C671,NVLSX!$E$2:$E$6941,0)))</f>
        <v/>
      </c>
      <c r="Q671" s="1016" t="str">
        <f ca="1">IF($R671="","",IF(XKNVLSX!$X$1="",IF($P671=$V$7,$P671, IF(COUNTIFS($C$2:$C670,$C671,$E$2:$E670,$E671)&gt;=1,"",$P671)),     IF(AND(IFERROR(SEARCH($R671,XKNVLSX!$X$1,1),0)&gt;=1,$P671=$V$7),$P671, IF(OR($R671&lt;&gt;IF(IFERROR(SEARCH($R671,XKNVLSX!$X$1,1),0)&gt;=1,$R671,XKNVLSX!$X$1),COUNTIFS($C$2:$C670,$C671,$E$2:$E670,$E671,$Q$2:$Q670,$P671)&gt;=1),"",$P671))))</f>
        <v/>
      </c>
      <c r="R671" s="1017" t="str">
        <f ca="1">IF($A671="","",IFERROR(INDEX(TinhGia!$BF$10:$BF$81,MATCH($A671,TinhGia!$B$10:$B$81,0)),""))</f>
        <v/>
      </c>
      <c r="S671" s="1012" t="str">
        <f ca="1">IF($A671="","",IF(OR(IFERROR(SEARCH($R671,XKNVLSX!$X$1,1),0)&gt;=1,XKNVLSX!$X$1=""),$S$2,""))</f>
        <v/>
      </c>
      <c r="T671" s="1018" t="str">
        <f ca="1">IF($C671="","", IF(OR($P671=$V$1,$P671=$V$7,COUNTIFS($C$3:$C671,$C671,$E$3:$E671,$E671)&lt;=1),$P671,""    ))</f>
        <v/>
      </c>
      <c r="U671" s="1019" t="str">
        <f ca="1">IF(AND($P671=$V$2,COUNTIFS($C$3:$C671,$C671,$E$3:$E671,$E671,$G$3:$G671,$G671)&lt;=1),$P671,"")</f>
        <v/>
      </c>
    </row>
    <row r="672" spans="1:21">
      <c r="A672" s="991" t="str">
        <f ca="1">IFERROR(IF(COUNTIF($A$3:A671,A671)&lt; INDEX(TinhGia!$BH$10:$BH$81,MATCH($A671,TinhGia!$B$10:$B$81,0)),$A671,INDEX(TinhGia!$B$10:$B$81,MATCH($A671,TinhGia!$B$10:$B$81,0)+1)),"")</f>
        <v/>
      </c>
      <c r="B672" s="525" t="str">
        <f ca="1">IF(OR(A672="",A672=0),"",IF(COUNTIF($A$2:A672,$A672)=1,ROW(MauKoXoa!$C$108),$B671+1))</f>
        <v/>
      </c>
      <c r="C672" s="992" t="str">
        <f t="shared" ca="1" si="100"/>
        <v/>
      </c>
      <c r="D672" s="993" t="str">
        <f t="shared" ca="1" si="101"/>
        <v/>
      </c>
      <c r="E672" s="993" t="str">
        <f t="shared" ca="1" si="102"/>
        <v/>
      </c>
      <c r="F672" s="992" t="str">
        <f t="shared" ca="1" si="110"/>
        <v/>
      </c>
      <c r="G672" s="994">
        <f t="shared" ca="1" si="103"/>
        <v>0</v>
      </c>
      <c r="H672" s="913">
        <f t="shared" ca="1" si="104"/>
        <v>0</v>
      </c>
      <c r="I672" s="913">
        <f t="shared" ca="1" si="105"/>
        <v>0</v>
      </c>
      <c r="J672" s="995">
        <f t="shared" ca="1" si="111"/>
        <v>0</v>
      </c>
      <c r="K672" s="913">
        <f t="shared" ca="1" si="106"/>
        <v>0</v>
      </c>
      <c r="L672" s="995">
        <f t="shared" ca="1" si="112"/>
        <v>0</v>
      </c>
      <c r="M672" s="913">
        <f t="shared" ca="1" si="107"/>
        <v>0</v>
      </c>
      <c r="N672" s="996">
        <f t="shared" ca="1" si="108"/>
        <v>0</v>
      </c>
      <c r="O672" s="997">
        <f t="shared" ca="1" si="109"/>
        <v>0</v>
      </c>
      <c r="P672" s="1015" t="str">
        <f ca="1">IF($C672="","",INDEX(NVLSX!$N$2:$N$6941,MATCH($C672,NVLSX!$E$2:$E$6941,0)))</f>
        <v/>
      </c>
      <c r="Q672" s="1016" t="str">
        <f ca="1">IF($R672="","",IF(XKNVLSX!$X$1="",IF($P672=$V$7,$P672, IF(COUNTIFS($C$2:$C671,$C672,$E$2:$E671,$E672)&gt;=1,"",$P672)),     IF(AND(IFERROR(SEARCH($R672,XKNVLSX!$X$1,1),0)&gt;=1,$P672=$V$7),$P672, IF(OR($R672&lt;&gt;IF(IFERROR(SEARCH($R672,XKNVLSX!$X$1,1),0)&gt;=1,$R672,XKNVLSX!$X$1),COUNTIFS($C$2:$C671,$C672,$E$2:$E671,$E672,$Q$2:$Q671,$P672)&gt;=1),"",$P672))))</f>
        <v/>
      </c>
      <c r="R672" s="1017" t="str">
        <f ca="1">IF($A672="","",IFERROR(INDEX(TinhGia!$BF$10:$BF$81,MATCH($A672,TinhGia!$B$10:$B$81,0)),""))</f>
        <v/>
      </c>
      <c r="S672" s="1012" t="str">
        <f ca="1">IF($A672="","",IF(OR(IFERROR(SEARCH($R672,XKNVLSX!$X$1,1),0)&gt;=1,XKNVLSX!$X$1=""),$S$2,""))</f>
        <v/>
      </c>
      <c r="T672" s="1018" t="str">
        <f ca="1">IF($C672="","", IF(OR($P672=$V$1,$P672=$V$7,COUNTIFS($C$3:$C672,$C672,$E$3:$E672,$E672)&lt;=1),$P672,""    ))</f>
        <v/>
      </c>
      <c r="U672" s="1019" t="str">
        <f ca="1">IF(AND($P672=$V$2,COUNTIFS($C$3:$C672,$C672,$E$3:$E672,$E672,$G$3:$G672,$G672)&lt;=1),$P672,"")</f>
        <v/>
      </c>
    </row>
    <row r="673" spans="1:21">
      <c r="A673" s="991" t="str">
        <f ca="1">IFERROR(IF(COUNTIF($A$3:A672,A672)&lt; INDEX(TinhGia!$BH$10:$BH$81,MATCH($A672,TinhGia!$B$10:$B$81,0)),$A672,INDEX(TinhGia!$B$10:$B$81,MATCH($A672,TinhGia!$B$10:$B$81,0)+1)),"")</f>
        <v/>
      </c>
      <c r="B673" s="525" t="str">
        <f ca="1">IF(OR(A673="",A673=0),"",IF(COUNTIF($A$2:A673,$A673)=1,ROW(MauKoXoa!$C$108),$B672+1))</f>
        <v/>
      </c>
      <c r="C673" s="992" t="str">
        <f t="shared" ca="1" si="100"/>
        <v/>
      </c>
      <c r="D673" s="993" t="str">
        <f t="shared" ca="1" si="101"/>
        <v/>
      </c>
      <c r="E673" s="993" t="str">
        <f t="shared" ca="1" si="102"/>
        <v/>
      </c>
      <c r="F673" s="992" t="str">
        <f t="shared" ca="1" si="110"/>
        <v/>
      </c>
      <c r="G673" s="994">
        <f t="shared" ca="1" si="103"/>
        <v>0</v>
      </c>
      <c r="H673" s="913">
        <f t="shared" ca="1" si="104"/>
        <v>0</v>
      </c>
      <c r="I673" s="913">
        <f t="shared" ca="1" si="105"/>
        <v>0</v>
      </c>
      <c r="J673" s="995">
        <f t="shared" ca="1" si="111"/>
        <v>0</v>
      </c>
      <c r="K673" s="913">
        <f t="shared" ca="1" si="106"/>
        <v>0</v>
      </c>
      <c r="L673" s="995">
        <f t="shared" ca="1" si="112"/>
        <v>0</v>
      </c>
      <c r="M673" s="913">
        <f t="shared" ca="1" si="107"/>
        <v>0</v>
      </c>
      <c r="N673" s="996">
        <f t="shared" ca="1" si="108"/>
        <v>0</v>
      </c>
      <c r="O673" s="997">
        <f t="shared" ca="1" si="109"/>
        <v>0</v>
      </c>
      <c r="P673" s="1015" t="str">
        <f ca="1">IF($C673="","",INDEX(NVLSX!$N$2:$N$6941,MATCH($C673,NVLSX!$E$2:$E$6941,0)))</f>
        <v/>
      </c>
      <c r="Q673" s="1016" t="str">
        <f ca="1">IF($R673="","",IF(XKNVLSX!$X$1="",IF($P673=$V$7,$P673, IF(COUNTIFS($C$2:$C672,$C673,$E$2:$E672,$E673)&gt;=1,"",$P673)),     IF(AND(IFERROR(SEARCH($R673,XKNVLSX!$X$1,1),0)&gt;=1,$P673=$V$7),$P673, IF(OR($R673&lt;&gt;IF(IFERROR(SEARCH($R673,XKNVLSX!$X$1,1),0)&gt;=1,$R673,XKNVLSX!$X$1),COUNTIFS($C$2:$C672,$C673,$E$2:$E672,$E673,$Q$2:$Q672,$P673)&gt;=1),"",$P673))))</f>
        <v/>
      </c>
      <c r="R673" s="1017" t="str">
        <f ca="1">IF($A673="","",IFERROR(INDEX(TinhGia!$BF$10:$BF$81,MATCH($A673,TinhGia!$B$10:$B$81,0)),""))</f>
        <v/>
      </c>
      <c r="S673" s="1012" t="str">
        <f ca="1">IF($A673="","",IF(OR(IFERROR(SEARCH($R673,XKNVLSX!$X$1,1),0)&gt;=1,XKNVLSX!$X$1=""),$S$2,""))</f>
        <v/>
      </c>
      <c r="T673" s="1018" t="str">
        <f ca="1">IF($C673="","", IF(OR($P673=$V$1,$P673=$V$7,COUNTIFS($C$3:$C673,$C673,$E$3:$E673,$E673)&lt;=1),$P673,""    ))</f>
        <v/>
      </c>
      <c r="U673" s="1019" t="str">
        <f ca="1">IF(AND($P673=$V$2,COUNTIFS($C$3:$C673,$C673,$E$3:$E673,$E673,$G$3:$G673,$G673)&lt;=1),$P673,"")</f>
        <v/>
      </c>
    </row>
    <row r="674" spans="1:21">
      <c r="A674" s="991" t="str">
        <f ca="1">IFERROR(IF(COUNTIF($A$3:A673,A673)&lt; INDEX(TinhGia!$BH$10:$BH$81,MATCH($A673,TinhGia!$B$10:$B$81,0)),$A673,INDEX(TinhGia!$B$10:$B$81,MATCH($A673,TinhGia!$B$10:$B$81,0)+1)),"")</f>
        <v/>
      </c>
      <c r="B674" s="525" t="str">
        <f ca="1">IF(OR(A674="",A674=0),"",IF(COUNTIF($A$2:A674,$A674)=1,ROW(MauKoXoa!$C$108),$B673+1))</f>
        <v/>
      </c>
      <c r="C674" s="992" t="str">
        <f t="shared" ca="1" si="100"/>
        <v/>
      </c>
      <c r="D674" s="993" t="str">
        <f t="shared" ca="1" si="101"/>
        <v/>
      </c>
      <c r="E674" s="993" t="str">
        <f t="shared" ca="1" si="102"/>
        <v/>
      </c>
      <c r="F674" s="992" t="str">
        <f t="shared" ca="1" si="110"/>
        <v/>
      </c>
      <c r="G674" s="994">
        <f t="shared" ca="1" si="103"/>
        <v>0</v>
      </c>
      <c r="H674" s="913">
        <f t="shared" ca="1" si="104"/>
        <v>0</v>
      </c>
      <c r="I674" s="913">
        <f t="shared" ca="1" si="105"/>
        <v>0</v>
      </c>
      <c r="J674" s="995">
        <f t="shared" ca="1" si="111"/>
        <v>0</v>
      </c>
      <c r="K674" s="913">
        <f t="shared" ca="1" si="106"/>
        <v>0</v>
      </c>
      <c r="L674" s="995">
        <f t="shared" ca="1" si="112"/>
        <v>0</v>
      </c>
      <c r="M674" s="913">
        <f t="shared" ca="1" si="107"/>
        <v>0</v>
      </c>
      <c r="N674" s="996">
        <f t="shared" ca="1" si="108"/>
        <v>0</v>
      </c>
      <c r="O674" s="997">
        <f t="shared" ca="1" si="109"/>
        <v>0</v>
      </c>
      <c r="P674" s="1015" t="str">
        <f ca="1">IF($C674="","",INDEX(NVLSX!$N$2:$N$6941,MATCH($C674,NVLSX!$E$2:$E$6941,0)))</f>
        <v/>
      </c>
      <c r="Q674" s="1016" t="str">
        <f ca="1">IF($R674="","",IF(XKNVLSX!$X$1="",IF($P674=$V$7,$P674, IF(COUNTIFS($C$2:$C673,$C674,$E$2:$E673,$E674)&gt;=1,"",$P674)),     IF(AND(IFERROR(SEARCH($R674,XKNVLSX!$X$1,1),0)&gt;=1,$P674=$V$7),$P674, IF(OR($R674&lt;&gt;IF(IFERROR(SEARCH($R674,XKNVLSX!$X$1,1),0)&gt;=1,$R674,XKNVLSX!$X$1),COUNTIFS($C$2:$C673,$C674,$E$2:$E673,$E674,$Q$2:$Q673,$P674)&gt;=1),"",$P674))))</f>
        <v/>
      </c>
      <c r="R674" s="1017" t="str">
        <f ca="1">IF($A674="","",IFERROR(INDEX(TinhGia!$BF$10:$BF$81,MATCH($A674,TinhGia!$B$10:$B$81,0)),""))</f>
        <v/>
      </c>
      <c r="S674" s="1012" t="str">
        <f ca="1">IF($A674="","",IF(OR(IFERROR(SEARCH($R674,XKNVLSX!$X$1,1),0)&gt;=1,XKNVLSX!$X$1=""),$S$2,""))</f>
        <v/>
      </c>
      <c r="T674" s="1018" t="str">
        <f ca="1">IF($C674="","", IF(OR($P674=$V$1,$P674=$V$7,COUNTIFS($C$3:$C674,$C674,$E$3:$E674,$E674)&lt;=1),$P674,""    ))</f>
        <v/>
      </c>
      <c r="U674" s="1019" t="str">
        <f ca="1">IF(AND($P674=$V$2,COUNTIFS($C$3:$C674,$C674,$E$3:$E674,$E674,$G$3:$G674,$G674)&lt;=1),$P674,"")</f>
        <v/>
      </c>
    </row>
    <row r="675" spans="1:21">
      <c r="A675" s="991" t="str">
        <f ca="1">IFERROR(IF(COUNTIF($A$3:A674,A674)&lt; INDEX(TinhGia!$BH$10:$BH$81,MATCH($A674,TinhGia!$B$10:$B$81,0)),$A674,INDEX(TinhGia!$B$10:$B$81,MATCH($A674,TinhGia!$B$10:$B$81,0)+1)),"")</f>
        <v/>
      </c>
      <c r="B675" s="525" t="str">
        <f ca="1">IF(OR(A675="",A675=0),"",IF(COUNTIF($A$2:A675,$A675)=1,ROW(MauKoXoa!$C$108),$B674+1))</f>
        <v/>
      </c>
      <c r="C675" s="992" t="str">
        <f t="shared" ca="1" si="100"/>
        <v/>
      </c>
      <c r="D675" s="993" t="str">
        <f t="shared" ca="1" si="101"/>
        <v/>
      </c>
      <c r="E675" s="993" t="str">
        <f t="shared" ca="1" si="102"/>
        <v/>
      </c>
      <c r="F675" s="992" t="str">
        <f t="shared" ca="1" si="110"/>
        <v/>
      </c>
      <c r="G675" s="994">
        <f t="shared" ca="1" si="103"/>
        <v>0</v>
      </c>
      <c r="H675" s="913">
        <f t="shared" ca="1" si="104"/>
        <v>0</v>
      </c>
      <c r="I675" s="913">
        <f t="shared" ca="1" si="105"/>
        <v>0</v>
      </c>
      <c r="J675" s="995">
        <f t="shared" ca="1" si="111"/>
        <v>0</v>
      </c>
      <c r="K675" s="913">
        <f t="shared" ca="1" si="106"/>
        <v>0</v>
      </c>
      <c r="L675" s="995">
        <f t="shared" ca="1" si="112"/>
        <v>0</v>
      </c>
      <c r="M675" s="913">
        <f t="shared" ca="1" si="107"/>
        <v>0</v>
      </c>
      <c r="N675" s="996">
        <f t="shared" ca="1" si="108"/>
        <v>0</v>
      </c>
      <c r="O675" s="997">
        <f t="shared" ca="1" si="109"/>
        <v>0</v>
      </c>
      <c r="P675" s="1015" t="str">
        <f ca="1">IF($C675="","",INDEX(NVLSX!$N$2:$N$6941,MATCH($C675,NVLSX!$E$2:$E$6941,0)))</f>
        <v/>
      </c>
      <c r="Q675" s="1016" t="str">
        <f ca="1">IF($R675="","",IF(XKNVLSX!$X$1="",IF($P675=$V$7,$P675, IF(COUNTIFS($C$2:$C674,$C675,$E$2:$E674,$E675)&gt;=1,"",$P675)),     IF(AND(IFERROR(SEARCH($R675,XKNVLSX!$X$1,1),0)&gt;=1,$P675=$V$7),$P675, IF(OR($R675&lt;&gt;IF(IFERROR(SEARCH($R675,XKNVLSX!$X$1,1),0)&gt;=1,$R675,XKNVLSX!$X$1),COUNTIFS($C$2:$C674,$C675,$E$2:$E674,$E675,$Q$2:$Q674,$P675)&gt;=1),"",$P675))))</f>
        <v/>
      </c>
      <c r="R675" s="1017" t="str">
        <f ca="1">IF($A675="","",IFERROR(INDEX(TinhGia!$BF$10:$BF$81,MATCH($A675,TinhGia!$B$10:$B$81,0)),""))</f>
        <v/>
      </c>
      <c r="S675" s="1012" t="str">
        <f ca="1">IF($A675="","",IF(OR(IFERROR(SEARCH($R675,XKNVLSX!$X$1,1),0)&gt;=1,XKNVLSX!$X$1=""),$S$2,""))</f>
        <v/>
      </c>
      <c r="T675" s="1018" t="str">
        <f ca="1">IF($C675="","", IF(OR($P675=$V$1,$P675=$V$7,COUNTIFS($C$3:$C675,$C675,$E$3:$E675,$E675)&lt;=1),$P675,""    ))</f>
        <v/>
      </c>
      <c r="U675" s="1019" t="str">
        <f ca="1">IF(AND($P675=$V$2,COUNTIFS($C$3:$C675,$C675,$E$3:$E675,$E675,$G$3:$G675,$G675)&lt;=1),$P675,"")</f>
        <v/>
      </c>
    </row>
    <row r="676" spans="1:21">
      <c r="A676" s="991" t="str">
        <f ca="1">IFERROR(IF(COUNTIF($A$3:A675,A675)&lt; INDEX(TinhGia!$BH$10:$BH$81,MATCH($A675,TinhGia!$B$10:$B$81,0)),$A675,INDEX(TinhGia!$B$10:$B$81,MATCH($A675,TinhGia!$B$10:$B$81,0)+1)),"")</f>
        <v/>
      </c>
      <c r="B676" s="525" t="str">
        <f ca="1">IF(OR(A676="",A676=0),"",IF(COUNTIF($A$2:A676,$A676)=1,ROW(MauKoXoa!$C$108),$B675+1))</f>
        <v/>
      </c>
      <c r="C676" s="992" t="str">
        <f t="shared" ca="1" si="100"/>
        <v/>
      </c>
      <c r="D676" s="993" t="str">
        <f t="shared" ca="1" si="101"/>
        <v/>
      </c>
      <c r="E676" s="993" t="str">
        <f t="shared" ca="1" si="102"/>
        <v/>
      </c>
      <c r="F676" s="992" t="str">
        <f t="shared" ca="1" si="110"/>
        <v/>
      </c>
      <c r="G676" s="994">
        <f t="shared" ca="1" si="103"/>
        <v>0</v>
      </c>
      <c r="H676" s="913">
        <f t="shared" ca="1" si="104"/>
        <v>0</v>
      </c>
      <c r="I676" s="913">
        <f t="shared" ca="1" si="105"/>
        <v>0</v>
      </c>
      <c r="J676" s="995">
        <f t="shared" ca="1" si="111"/>
        <v>0</v>
      </c>
      <c r="K676" s="913">
        <f t="shared" ca="1" si="106"/>
        <v>0</v>
      </c>
      <c r="L676" s="995">
        <f t="shared" ca="1" si="112"/>
        <v>0</v>
      </c>
      <c r="M676" s="913">
        <f t="shared" ca="1" si="107"/>
        <v>0</v>
      </c>
      <c r="N676" s="996">
        <f t="shared" ca="1" si="108"/>
        <v>0</v>
      </c>
      <c r="O676" s="997">
        <f t="shared" ca="1" si="109"/>
        <v>0</v>
      </c>
      <c r="P676" s="1015" t="str">
        <f ca="1">IF($C676="","",INDEX(NVLSX!$N$2:$N$6941,MATCH($C676,NVLSX!$E$2:$E$6941,0)))</f>
        <v/>
      </c>
      <c r="Q676" s="1016" t="str">
        <f ca="1">IF($R676="","",IF(XKNVLSX!$X$1="",IF($P676=$V$7,$P676, IF(COUNTIFS($C$2:$C675,$C676,$E$2:$E675,$E676)&gt;=1,"",$P676)),     IF(AND(IFERROR(SEARCH($R676,XKNVLSX!$X$1,1),0)&gt;=1,$P676=$V$7),$P676, IF(OR($R676&lt;&gt;IF(IFERROR(SEARCH($R676,XKNVLSX!$X$1,1),0)&gt;=1,$R676,XKNVLSX!$X$1),COUNTIFS($C$2:$C675,$C676,$E$2:$E675,$E676,$Q$2:$Q675,$P676)&gt;=1),"",$P676))))</f>
        <v/>
      </c>
      <c r="R676" s="1017" t="str">
        <f ca="1">IF($A676="","",IFERROR(INDEX(TinhGia!$BF$10:$BF$81,MATCH($A676,TinhGia!$B$10:$B$81,0)),""))</f>
        <v/>
      </c>
      <c r="S676" s="1012" t="str">
        <f ca="1">IF($A676="","",IF(OR(IFERROR(SEARCH($R676,XKNVLSX!$X$1,1),0)&gt;=1,XKNVLSX!$X$1=""),$S$2,""))</f>
        <v/>
      </c>
      <c r="T676" s="1018" t="str">
        <f ca="1">IF($C676="","", IF(OR($P676=$V$1,$P676=$V$7,COUNTIFS($C$3:$C676,$C676,$E$3:$E676,$E676)&lt;=1),$P676,""    ))</f>
        <v/>
      </c>
      <c r="U676" s="1019" t="str">
        <f ca="1">IF(AND($P676=$V$2,COUNTIFS($C$3:$C676,$C676,$E$3:$E676,$E676,$G$3:$G676,$G676)&lt;=1),$P676,"")</f>
        <v/>
      </c>
    </row>
    <row r="677" spans="1:21">
      <c r="A677" s="991" t="str">
        <f ca="1">IFERROR(IF(COUNTIF($A$3:A676,A676)&lt; INDEX(TinhGia!$BH$10:$BH$81,MATCH($A676,TinhGia!$B$10:$B$81,0)),$A676,INDEX(TinhGia!$B$10:$B$81,MATCH($A676,TinhGia!$B$10:$B$81,0)+1)),"")</f>
        <v/>
      </c>
      <c r="B677" s="525" t="str">
        <f ca="1">IF(OR(A677="",A677=0),"",IF(COUNTIF($A$2:A677,$A677)=1,ROW(MauKoXoa!$C$108),$B676+1))</f>
        <v/>
      </c>
      <c r="C677" s="992" t="str">
        <f t="shared" ca="1" si="100"/>
        <v/>
      </c>
      <c r="D677" s="993" t="str">
        <f t="shared" ca="1" si="101"/>
        <v/>
      </c>
      <c r="E677" s="993" t="str">
        <f t="shared" ca="1" si="102"/>
        <v/>
      </c>
      <c r="F677" s="992" t="str">
        <f t="shared" ca="1" si="110"/>
        <v/>
      </c>
      <c r="G677" s="994">
        <f t="shared" ca="1" si="103"/>
        <v>0</v>
      </c>
      <c r="H677" s="913">
        <f t="shared" ca="1" si="104"/>
        <v>0</v>
      </c>
      <c r="I677" s="913">
        <f t="shared" ca="1" si="105"/>
        <v>0</v>
      </c>
      <c r="J677" s="995">
        <f t="shared" ca="1" si="111"/>
        <v>0</v>
      </c>
      <c r="K677" s="913">
        <f t="shared" ca="1" si="106"/>
        <v>0</v>
      </c>
      <c r="L677" s="995">
        <f t="shared" ca="1" si="112"/>
        <v>0</v>
      </c>
      <c r="M677" s="913">
        <f t="shared" ca="1" si="107"/>
        <v>0</v>
      </c>
      <c r="N677" s="996">
        <f t="shared" ca="1" si="108"/>
        <v>0</v>
      </c>
      <c r="O677" s="997">
        <f t="shared" ca="1" si="109"/>
        <v>0</v>
      </c>
      <c r="P677" s="1015" t="str">
        <f ca="1">IF($C677="","",INDEX(NVLSX!$N$2:$N$6941,MATCH($C677,NVLSX!$E$2:$E$6941,0)))</f>
        <v/>
      </c>
      <c r="Q677" s="1016" t="str">
        <f ca="1">IF($R677="","",IF(XKNVLSX!$X$1="",IF($P677=$V$7,$P677, IF(COUNTIFS($C$2:$C676,$C677,$E$2:$E676,$E677)&gt;=1,"",$P677)),     IF(AND(IFERROR(SEARCH($R677,XKNVLSX!$X$1,1),0)&gt;=1,$P677=$V$7),$P677, IF(OR($R677&lt;&gt;IF(IFERROR(SEARCH($R677,XKNVLSX!$X$1,1),0)&gt;=1,$R677,XKNVLSX!$X$1),COUNTIFS($C$2:$C676,$C677,$E$2:$E676,$E677,$Q$2:$Q676,$P677)&gt;=1),"",$P677))))</f>
        <v/>
      </c>
      <c r="R677" s="1017" t="str">
        <f ca="1">IF($A677="","",IFERROR(INDEX(TinhGia!$BF$10:$BF$81,MATCH($A677,TinhGia!$B$10:$B$81,0)),""))</f>
        <v/>
      </c>
      <c r="S677" s="1012" t="str">
        <f ca="1">IF($A677="","",IF(OR(IFERROR(SEARCH($R677,XKNVLSX!$X$1,1),0)&gt;=1,XKNVLSX!$X$1=""),$S$2,""))</f>
        <v/>
      </c>
      <c r="T677" s="1018" t="str">
        <f ca="1">IF($C677="","", IF(OR($P677=$V$1,$P677=$V$7,COUNTIFS($C$3:$C677,$C677,$E$3:$E677,$E677)&lt;=1),$P677,""    ))</f>
        <v/>
      </c>
      <c r="U677" s="1019" t="str">
        <f ca="1">IF(AND($P677=$V$2,COUNTIFS($C$3:$C677,$C677,$E$3:$E677,$E677,$G$3:$G677,$G677)&lt;=1),$P677,"")</f>
        <v/>
      </c>
    </row>
    <row r="678" spans="1:21">
      <c r="A678" s="991" t="str">
        <f ca="1">IFERROR(IF(COUNTIF($A$3:A677,A677)&lt; INDEX(TinhGia!$BH$10:$BH$81,MATCH($A677,TinhGia!$B$10:$B$81,0)),$A677,INDEX(TinhGia!$B$10:$B$81,MATCH($A677,TinhGia!$B$10:$B$81,0)+1)),"")</f>
        <v/>
      </c>
      <c r="B678" s="525" t="str">
        <f ca="1">IF(OR(A678="",A678=0),"",IF(COUNTIF($A$2:A678,$A678)=1,ROW(MauKoXoa!$C$108),$B677+1))</f>
        <v/>
      </c>
      <c r="C678" s="992" t="str">
        <f t="shared" ca="1" si="100"/>
        <v/>
      </c>
      <c r="D678" s="993" t="str">
        <f t="shared" ca="1" si="101"/>
        <v/>
      </c>
      <c r="E678" s="993" t="str">
        <f t="shared" ca="1" si="102"/>
        <v/>
      </c>
      <c r="F678" s="992" t="str">
        <f t="shared" ca="1" si="110"/>
        <v/>
      </c>
      <c r="G678" s="994">
        <f t="shared" ca="1" si="103"/>
        <v>0</v>
      </c>
      <c r="H678" s="913">
        <f t="shared" ca="1" si="104"/>
        <v>0</v>
      </c>
      <c r="I678" s="913">
        <f t="shared" ca="1" si="105"/>
        <v>0</v>
      </c>
      <c r="J678" s="995">
        <f t="shared" ca="1" si="111"/>
        <v>0</v>
      </c>
      <c r="K678" s="913">
        <f t="shared" ca="1" si="106"/>
        <v>0</v>
      </c>
      <c r="L678" s="995">
        <f t="shared" ca="1" si="112"/>
        <v>0</v>
      </c>
      <c r="M678" s="913">
        <f t="shared" ca="1" si="107"/>
        <v>0</v>
      </c>
      <c r="N678" s="996">
        <f t="shared" ca="1" si="108"/>
        <v>0</v>
      </c>
      <c r="O678" s="997">
        <f t="shared" ca="1" si="109"/>
        <v>0</v>
      </c>
      <c r="P678" s="1015" t="str">
        <f ca="1">IF($C678="","",INDEX(NVLSX!$N$2:$N$6941,MATCH($C678,NVLSX!$E$2:$E$6941,0)))</f>
        <v/>
      </c>
      <c r="Q678" s="1016" t="str">
        <f ca="1">IF($R678="","",IF(XKNVLSX!$X$1="",IF($P678=$V$7,$P678, IF(COUNTIFS($C$2:$C677,$C678,$E$2:$E677,$E678)&gt;=1,"",$P678)),     IF(AND(IFERROR(SEARCH($R678,XKNVLSX!$X$1,1),0)&gt;=1,$P678=$V$7),$P678, IF(OR($R678&lt;&gt;IF(IFERROR(SEARCH($R678,XKNVLSX!$X$1,1),0)&gt;=1,$R678,XKNVLSX!$X$1),COUNTIFS($C$2:$C677,$C678,$E$2:$E677,$E678,$Q$2:$Q677,$P678)&gt;=1),"",$P678))))</f>
        <v/>
      </c>
      <c r="R678" s="1017" t="str">
        <f ca="1">IF($A678="","",IFERROR(INDEX(TinhGia!$BF$10:$BF$81,MATCH($A678,TinhGia!$B$10:$B$81,0)),""))</f>
        <v/>
      </c>
      <c r="S678" s="1012" t="str">
        <f ca="1">IF($A678="","",IF(OR(IFERROR(SEARCH($R678,XKNVLSX!$X$1,1),0)&gt;=1,XKNVLSX!$X$1=""),$S$2,""))</f>
        <v/>
      </c>
      <c r="T678" s="1018" t="str">
        <f ca="1">IF($C678="","", IF(OR($P678=$V$1,$P678=$V$7,COUNTIFS($C$3:$C678,$C678,$E$3:$E678,$E678)&lt;=1),$P678,""    ))</f>
        <v/>
      </c>
      <c r="U678" s="1019" t="str">
        <f ca="1">IF(AND($P678=$V$2,COUNTIFS($C$3:$C678,$C678,$E$3:$E678,$E678,$G$3:$G678,$G678)&lt;=1),$P678,"")</f>
        <v/>
      </c>
    </row>
    <row r="679" spans="1:21">
      <c r="A679" s="991" t="str">
        <f ca="1">IFERROR(IF(COUNTIF($A$3:A678,A678)&lt; INDEX(TinhGia!$BH$10:$BH$81,MATCH($A678,TinhGia!$B$10:$B$81,0)),$A678,INDEX(TinhGia!$B$10:$B$81,MATCH($A678,TinhGia!$B$10:$B$81,0)+1)),"")</f>
        <v/>
      </c>
      <c r="B679" s="525" t="str">
        <f ca="1">IF(OR(A679="",A679=0),"",IF(COUNTIF($A$2:A679,$A679)=1,ROW(MauKoXoa!$C$108),$B678+1))</f>
        <v/>
      </c>
      <c r="C679" s="992" t="str">
        <f t="shared" ca="1" si="100"/>
        <v/>
      </c>
      <c r="D679" s="993" t="str">
        <f t="shared" ca="1" si="101"/>
        <v/>
      </c>
      <c r="E679" s="993" t="str">
        <f t="shared" ca="1" si="102"/>
        <v/>
      </c>
      <c r="F679" s="992" t="str">
        <f t="shared" ca="1" si="110"/>
        <v/>
      </c>
      <c r="G679" s="994">
        <f t="shared" ca="1" si="103"/>
        <v>0</v>
      </c>
      <c r="H679" s="913">
        <f t="shared" ca="1" si="104"/>
        <v>0</v>
      </c>
      <c r="I679" s="913">
        <f t="shared" ca="1" si="105"/>
        <v>0</v>
      </c>
      <c r="J679" s="995">
        <f t="shared" ca="1" si="111"/>
        <v>0</v>
      </c>
      <c r="K679" s="913">
        <f t="shared" ca="1" si="106"/>
        <v>0</v>
      </c>
      <c r="L679" s="995">
        <f t="shared" ca="1" si="112"/>
        <v>0</v>
      </c>
      <c r="M679" s="913">
        <f t="shared" ca="1" si="107"/>
        <v>0</v>
      </c>
      <c r="N679" s="996">
        <f t="shared" ca="1" si="108"/>
        <v>0</v>
      </c>
      <c r="O679" s="997">
        <f t="shared" ca="1" si="109"/>
        <v>0</v>
      </c>
      <c r="P679" s="1015" t="str">
        <f ca="1">IF($C679="","",INDEX(NVLSX!$N$2:$N$6941,MATCH($C679,NVLSX!$E$2:$E$6941,0)))</f>
        <v/>
      </c>
      <c r="Q679" s="1016" t="str">
        <f ca="1">IF($R679="","",IF(XKNVLSX!$X$1="",IF($P679=$V$7,$P679, IF(COUNTIFS($C$2:$C678,$C679,$E$2:$E678,$E679)&gt;=1,"",$P679)),     IF(AND(IFERROR(SEARCH($R679,XKNVLSX!$X$1,1),0)&gt;=1,$P679=$V$7),$P679, IF(OR($R679&lt;&gt;IF(IFERROR(SEARCH($R679,XKNVLSX!$X$1,1),0)&gt;=1,$R679,XKNVLSX!$X$1),COUNTIFS($C$2:$C678,$C679,$E$2:$E678,$E679,$Q$2:$Q678,$P679)&gt;=1),"",$P679))))</f>
        <v/>
      </c>
      <c r="R679" s="1017" t="str">
        <f ca="1">IF($A679="","",IFERROR(INDEX(TinhGia!$BF$10:$BF$81,MATCH($A679,TinhGia!$B$10:$B$81,0)),""))</f>
        <v/>
      </c>
      <c r="S679" s="1012" t="str">
        <f ca="1">IF($A679="","",IF(OR(IFERROR(SEARCH($R679,XKNVLSX!$X$1,1),0)&gt;=1,XKNVLSX!$X$1=""),$S$2,""))</f>
        <v/>
      </c>
      <c r="T679" s="1018" t="str">
        <f ca="1">IF($C679="","", IF(OR($P679=$V$1,$P679=$V$7,COUNTIFS($C$3:$C679,$C679,$E$3:$E679,$E679)&lt;=1),$P679,""    ))</f>
        <v/>
      </c>
      <c r="U679" s="1019" t="str">
        <f ca="1">IF(AND($P679=$V$2,COUNTIFS($C$3:$C679,$C679,$E$3:$E679,$E679,$G$3:$G679,$G679)&lt;=1),$P679,"")</f>
        <v/>
      </c>
    </row>
    <row r="680" spans="1:21">
      <c r="A680" s="991" t="str">
        <f ca="1">IFERROR(IF(COUNTIF($A$3:A679,A679)&lt; INDEX(TinhGia!$BH$10:$BH$81,MATCH($A679,TinhGia!$B$10:$B$81,0)),$A679,INDEX(TinhGia!$B$10:$B$81,MATCH($A679,TinhGia!$B$10:$B$81,0)+1)),"")</f>
        <v/>
      </c>
      <c r="B680" s="525" t="str">
        <f ca="1">IF(OR(A680="",A680=0),"",IF(COUNTIF($A$2:A680,$A680)=1,ROW(MauKoXoa!$C$108),$B679+1))</f>
        <v/>
      </c>
      <c r="C680" s="992" t="str">
        <f t="shared" ca="1" si="100"/>
        <v/>
      </c>
      <c r="D680" s="993" t="str">
        <f t="shared" ca="1" si="101"/>
        <v/>
      </c>
      <c r="E680" s="993" t="str">
        <f t="shared" ca="1" si="102"/>
        <v/>
      </c>
      <c r="F680" s="992" t="str">
        <f t="shared" ca="1" si="110"/>
        <v/>
      </c>
      <c r="G680" s="994">
        <f t="shared" ca="1" si="103"/>
        <v>0</v>
      </c>
      <c r="H680" s="913">
        <f t="shared" ca="1" si="104"/>
        <v>0</v>
      </c>
      <c r="I680" s="913">
        <f t="shared" ca="1" si="105"/>
        <v>0</v>
      </c>
      <c r="J680" s="995">
        <f t="shared" ca="1" si="111"/>
        <v>0</v>
      </c>
      <c r="K680" s="913">
        <f t="shared" ca="1" si="106"/>
        <v>0</v>
      </c>
      <c r="L680" s="995">
        <f t="shared" ca="1" si="112"/>
        <v>0</v>
      </c>
      <c r="M680" s="913">
        <f t="shared" ca="1" si="107"/>
        <v>0</v>
      </c>
      <c r="N680" s="996">
        <f t="shared" ca="1" si="108"/>
        <v>0</v>
      </c>
      <c r="O680" s="997">
        <f t="shared" ca="1" si="109"/>
        <v>0</v>
      </c>
      <c r="P680" s="1015" t="str">
        <f ca="1">IF($C680="","",INDEX(NVLSX!$N$2:$N$6941,MATCH($C680,NVLSX!$E$2:$E$6941,0)))</f>
        <v/>
      </c>
      <c r="Q680" s="1016" t="str">
        <f ca="1">IF($R680="","",IF(XKNVLSX!$X$1="",IF($P680=$V$7,$P680, IF(COUNTIFS($C$2:$C679,$C680,$E$2:$E679,$E680)&gt;=1,"",$P680)),     IF(AND(IFERROR(SEARCH($R680,XKNVLSX!$X$1,1),0)&gt;=1,$P680=$V$7),$P680, IF(OR($R680&lt;&gt;IF(IFERROR(SEARCH($R680,XKNVLSX!$X$1,1),0)&gt;=1,$R680,XKNVLSX!$X$1),COUNTIFS($C$2:$C679,$C680,$E$2:$E679,$E680,$Q$2:$Q679,$P680)&gt;=1),"",$P680))))</f>
        <v/>
      </c>
      <c r="R680" s="1017" t="str">
        <f ca="1">IF($A680="","",IFERROR(INDEX(TinhGia!$BF$10:$BF$81,MATCH($A680,TinhGia!$B$10:$B$81,0)),""))</f>
        <v/>
      </c>
      <c r="S680" s="1012" t="str">
        <f ca="1">IF($A680="","",IF(OR(IFERROR(SEARCH($R680,XKNVLSX!$X$1,1),0)&gt;=1,XKNVLSX!$X$1=""),$S$2,""))</f>
        <v/>
      </c>
      <c r="T680" s="1018" t="str">
        <f ca="1">IF($C680="","", IF(OR($P680=$V$1,$P680=$V$7,COUNTIFS($C$3:$C680,$C680,$E$3:$E680,$E680)&lt;=1),$P680,""    ))</f>
        <v/>
      </c>
      <c r="U680" s="1019" t="str">
        <f ca="1">IF(AND($P680=$V$2,COUNTIFS($C$3:$C680,$C680,$E$3:$E680,$E680,$G$3:$G680,$G680)&lt;=1),$P680,"")</f>
        <v/>
      </c>
    </row>
    <row r="681" spans="1:21">
      <c r="A681" s="991" t="str">
        <f ca="1">IFERROR(IF(COUNTIF($A$3:A680,A680)&lt; INDEX(TinhGia!$BH$10:$BH$81,MATCH($A680,TinhGia!$B$10:$B$81,0)),$A680,INDEX(TinhGia!$B$10:$B$81,MATCH($A680,TinhGia!$B$10:$B$81,0)+1)),"")</f>
        <v/>
      </c>
      <c r="B681" s="525" t="str">
        <f ca="1">IF(OR(A681="",A681=0),"",IF(COUNTIF($A$2:A681,$A681)=1,ROW(MauKoXoa!$C$108),$B680+1))</f>
        <v/>
      </c>
      <c r="C681" s="992" t="str">
        <f t="shared" ca="1" si="100"/>
        <v/>
      </c>
      <c r="D681" s="993" t="str">
        <f t="shared" ca="1" si="101"/>
        <v/>
      </c>
      <c r="E681" s="993" t="str">
        <f t="shared" ca="1" si="102"/>
        <v/>
      </c>
      <c r="F681" s="992" t="str">
        <f t="shared" ca="1" si="110"/>
        <v/>
      </c>
      <c r="G681" s="994">
        <f t="shared" ca="1" si="103"/>
        <v>0</v>
      </c>
      <c r="H681" s="913">
        <f t="shared" ca="1" si="104"/>
        <v>0</v>
      </c>
      <c r="I681" s="913">
        <f t="shared" ca="1" si="105"/>
        <v>0</v>
      </c>
      <c r="J681" s="995">
        <f t="shared" ca="1" si="111"/>
        <v>0</v>
      </c>
      <c r="K681" s="913">
        <f t="shared" ca="1" si="106"/>
        <v>0</v>
      </c>
      <c r="L681" s="995">
        <f t="shared" ca="1" si="112"/>
        <v>0</v>
      </c>
      <c r="M681" s="913">
        <f t="shared" ca="1" si="107"/>
        <v>0</v>
      </c>
      <c r="N681" s="996">
        <f t="shared" ca="1" si="108"/>
        <v>0</v>
      </c>
      <c r="O681" s="997">
        <f t="shared" ca="1" si="109"/>
        <v>0</v>
      </c>
      <c r="P681" s="1015" t="str">
        <f ca="1">IF($C681="","",INDEX(NVLSX!$N$2:$N$6941,MATCH($C681,NVLSX!$E$2:$E$6941,0)))</f>
        <v/>
      </c>
      <c r="Q681" s="1016" t="str">
        <f ca="1">IF($R681="","",IF(XKNVLSX!$X$1="",IF($P681=$V$7,$P681, IF(COUNTIFS($C$2:$C680,$C681,$E$2:$E680,$E681)&gt;=1,"",$P681)),     IF(AND(IFERROR(SEARCH($R681,XKNVLSX!$X$1,1),0)&gt;=1,$P681=$V$7),$P681, IF(OR($R681&lt;&gt;IF(IFERROR(SEARCH($R681,XKNVLSX!$X$1,1),0)&gt;=1,$R681,XKNVLSX!$X$1),COUNTIFS($C$2:$C680,$C681,$E$2:$E680,$E681,$Q$2:$Q680,$P681)&gt;=1),"",$P681))))</f>
        <v/>
      </c>
      <c r="R681" s="1017" t="str">
        <f ca="1">IF($A681="","",IFERROR(INDEX(TinhGia!$BF$10:$BF$81,MATCH($A681,TinhGia!$B$10:$B$81,0)),""))</f>
        <v/>
      </c>
      <c r="S681" s="1012" t="str">
        <f ca="1">IF($A681="","",IF(OR(IFERROR(SEARCH($R681,XKNVLSX!$X$1,1),0)&gt;=1,XKNVLSX!$X$1=""),$S$2,""))</f>
        <v/>
      </c>
      <c r="T681" s="1018" t="str">
        <f ca="1">IF($C681="","", IF(OR($P681=$V$1,$P681=$V$7,COUNTIFS($C$3:$C681,$C681,$E$3:$E681,$E681)&lt;=1),$P681,""    ))</f>
        <v/>
      </c>
      <c r="U681" s="1019" t="str">
        <f ca="1">IF(AND($P681=$V$2,COUNTIFS($C$3:$C681,$C681,$E$3:$E681,$E681,$G$3:$G681,$G681)&lt;=1),$P681,"")</f>
        <v/>
      </c>
    </row>
    <row r="682" spans="1:21">
      <c r="A682" s="991" t="str">
        <f ca="1">IFERROR(IF(COUNTIF($A$3:A681,A681)&lt; INDEX(TinhGia!$BH$10:$BH$81,MATCH($A681,TinhGia!$B$10:$B$81,0)),$A681,INDEX(TinhGia!$B$10:$B$81,MATCH($A681,TinhGia!$B$10:$B$81,0)+1)),"")</f>
        <v/>
      </c>
      <c r="B682" s="525" t="str">
        <f ca="1">IF(OR(A682="",A682=0),"",IF(COUNTIF($A$2:A682,$A682)=1,ROW(MauKoXoa!$C$108),$B681+1))</f>
        <v/>
      </c>
      <c r="C682" s="992" t="str">
        <f t="shared" ca="1" si="100"/>
        <v/>
      </c>
      <c r="D682" s="993" t="str">
        <f t="shared" ca="1" si="101"/>
        <v/>
      </c>
      <c r="E682" s="993" t="str">
        <f t="shared" ca="1" si="102"/>
        <v/>
      </c>
      <c r="F682" s="992" t="str">
        <f t="shared" ca="1" si="110"/>
        <v/>
      </c>
      <c r="G682" s="994">
        <f t="shared" ca="1" si="103"/>
        <v>0</v>
      </c>
      <c r="H682" s="913">
        <f t="shared" ca="1" si="104"/>
        <v>0</v>
      </c>
      <c r="I682" s="913">
        <f t="shared" ca="1" si="105"/>
        <v>0</v>
      </c>
      <c r="J682" s="995">
        <f t="shared" ca="1" si="111"/>
        <v>0</v>
      </c>
      <c r="K682" s="913">
        <f t="shared" ca="1" si="106"/>
        <v>0</v>
      </c>
      <c r="L682" s="995">
        <f t="shared" ca="1" si="112"/>
        <v>0</v>
      </c>
      <c r="M682" s="913">
        <f t="shared" ca="1" si="107"/>
        <v>0</v>
      </c>
      <c r="N682" s="996">
        <f t="shared" ca="1" si="108"/>
        <v>0</v>
      </c>
      <c r="O682" s="997">
        <f t="shared" ca="1" si="109"/>
        <v>0</v>
      </c>
      <c r="P682" s="1015" t="str">
        <f ca="1">IF($C682="","",INDEX(NVLSX!$N$2:$N$6941,MATCH($C682,NVLSX!$E$2:$E$6941,0)))</f>
        <v/>
      </c>
      <c r="Q682" s="1016" t="str">
        <f ca="1">IF($R682="","",IF(XKNVLSX!$X$1="",IF($P682=$V$7,$P682, IF(COUNTIFS($C$2:$C681,$C682,$E$2:$E681,$E682)&gt;=1,"",$P682)),     IF(AND(IFERROR(SEARCH($R682,XKNVLSX!$X$1,1),0)&gt;=1,$P682=$V$7),$P682, IF(OR($R682&lt;&gt;IF(IFERROR(SEARCH($R682,XKNVLSX!$X$1,1),0)&gt;=1,$R682,XKNVLSX!$X$1),COUNTIFS($C$2:$C681,$C682,$E$2:$E681,$E682,$Q$2:$Q681,$P682)&gt;=1),"",$P682))))</f>
        <v/>
      </c>
      <c r="R682" s="1017" t="str">
        <f ca="1">IF($A682="","",IFERROR(INDEX(TinhGia!$BF$10:$BF$81,MATCH($A682,TinhGia!$B$10:$B$81,0)),""))</f>
        <v/>
      </c>
      <c r="S682" s="1012" t="str">
        <f ca="1">IF($A682="","",IF(OR(IFERROR(SEARCH($R682,XKNVLSX!$X$1,1),0)&gt;=1,XKNVLSX!$X$1=""),$S$2,""))</f>
        <v/>
      </c>
      <c r="T682" s="1018" t="str">
        <f ca="1">IF($C682="","", IF(OR($P682=$V$1,$P682=$V$7,COUNTIFS($C$3:$C682,$C682,$E$3:$E682,$E682)&lt;=1),$P682,""    ))</f>
        <v/>
      </c>
      <c r="U682" s="1019" t="str">
        <f ca="1">IF(AND($P682=$V$2,COUNTIFS($C$3:$C682,$C682,$E$3:$E682,$E682,$G$3:$G682,$G682)&lt;=1),$P682,"")</f>
        <v/>
      </c>
    </row>
    <row r="683" spans="1:21">
      <c r="A683" s="991" t="str">
        <f ca="1">IFERROR(IF(COUNTIF($A$3:A682,A682)&lt; INDEX(TinhGia!$BH$10:$BH$81,MATCH($A682,TinhGia!$B$10:$B$81,0)),$A682,INDEX(TinhGia!$B$10:$B$81,MATCH($A682,TinhGia!$B$10:$B$81,0)+1)),"")</f>
        <v/>
      </c>
      <c r="B683" s="525" t="str">
        <f ca="1">IF(OR(A683="",A683=0),"",IF(COUNTIF($A$2:A683,$A683)=1,ROW(MauKoXoa!$C$108),$B682+1))</f>
        <v/>
      </c>
      <c r="C683" s="992" t="str">
        <f t="shared" ca="1" si="100"/>
        <v/>
      </c>
      <c r="D683" s="993" t="str">
        <f t="shared" ca="1" si="101"/>
        <v/>
      </c>
      <c r="E683" s="993" t="str">
        <f t="shared" ca="1" si="102"/>
        <v/>
      </c>
      <c r="F683" s="992" t="str">
        <f t="shared" ca="1" si="110"/>
        <v/>
      </c>
      <c r="G683" s="994">
        <f t="shared" ca="1" si="103"/>
        <v>0</v>
      </c>
      <c r="H683" s="913">
        <f t="shared" ca="1" si="104"/>
        <v>0</v>
      </c>
      <c r="I683" s="913">
        <f t="shared" ca="1" si="105"/>
        <v>0</v>
      </c>
      <c r="J683" s="995">
        <f t="shared" ca="1" si="111"/>
        <v>0</v>
      </c>
      <c r="K683" s="913">
        <f t="shared" ca="1" si="106"/>
        <v>0</v>
      </c>
      <c r="L683" s="995">
        <f t="shared" ca="1" si="112"/>
        <v>0</v>
      </c>
      <c r="M683" s="913">
        <f t="shared" ca="1" si="107"/>
        <v>0</v>
      </c>
      <c r="N683" s="996">
        <f t="shared" ca="1" si="108"/>
        <v>0</v>
      </c>
      <c r="O683" s="997">
        <f t="shared" ca="1" si="109"/>
        <v>0</v>
      </c>
      <c r="P683" s="1015" t="str">
        <f ca="1">IF($C683="","",INDEX(NVLSX!$N$2:$N$6941,MATCH($C683,NVLSX!$E$2:$E$6941,0)))</f>
        <v/>
      </c>
      <c r="Q683" s="1016" t="str">
        <f ca="1">IF($R683="","",IF(XKNVLSX!$X$1="",IF($P683=$V$7,$P683, IF(COUNTIFS($C$2:$C682,$C683,$E$2:$E682,$E683)&gt;=1,"",$P683)),     IF(AND(IFERROR(SEARCH($R683,XKNVLSX!$X$1,1),0)&gt;=1,$P683=$V$7),$P683, IF(OR($R683&lt;&gt;IF(IFERROR(SEARCH($R683,XKNVLSX!$X$1,1),0)&gt;=1,$R683,XKNVLSX!$X$1),COUNTIFS($C$2:$C682,$C683,$E$2:$E682,$E683,$Q$2:$Q682,$P683)&gt;=1),"",$P683))))</f>
        <v/>
      </c>
      <c r="R683" s="1017" t="str">
        <f ca="1">IF($A683="","",IFERROR(INDEX(TinhGia!$BF$10:$BF$81,MATCH($A683,TinhGia!$B$10:$B$81,0)),""))</f>
        <v/>
      </c>
      <c r="S683" s="1012" t="str">
        <f ca="1">IF($A683="","",IF(OR(IFERROR(SEARCH($R683,XKNVLSX!$X$1,1),0)&gt;=1,XKNVLSX!$X$1=""),$S$2,""))</f>
        <v/>
      </c>
      <c r="T683" s="1018" t="str">
        <f ca="1">IF($C683="","", IF(OR($P683=$V$1,$P683=$V$7,COUNTIFS($C$3:$C683,$C683,$E$3:$E683,$E683)&lt;=1),$P683,""    ))</f>
        <v/>
      </c>
      <c r="U683" s="1019" t="str">
        <f ca="1">IF(AND($P683=$V$2,COUNTIFS($C$3:$C683,$C683,$E$3:$E683,$E683,$G$3:$G683,$G683)&lt;=1),$P683,"")</f>
        <v/>
      </c>
    </row>
    <row r="684" spans="1:21">
      <c r="A684" s="991" t="str">
        <f ca="1">IFERROR(IF(COUNTIF($A$3:A683,A683)&lt; INDEX(TinhGia!$BH$10:$BH$81,MATCH($A683,TinhGia!$B$10:$B$81,0)),$A683,INDEX(TinhGia!$B$10:$B$81,MATCH($A683,TinhGia!$B$10:$B$81,0)+1)),"")</f>
        <v/>
      </c>
      <c r="B684" s="525" t="str">
        <f ca="1">IF(OR(A684="",A684=0),"",IF(COUNTIF($A$2:A684,$A684)=1,ROW(MauKoXoa!$C$108),$B683+1))</f>
        <v/>
      </c>
      <c r="C684" s="992" t="str">
        <f t="shared" ca="1" si="100"/>
        <v/>
      </c>
      <c r="D684" s="993" t="str">
        <f t="shared" ca="1" si="101"/>
        <v/>
      </c>
      <c r="E684" s="993" t="str">
        <f t="shared" ca="1" si="102"/>
        <v/>
      </c>
      <c r="F684" s="992" t="str">
        <f t="shared" ca="1" si="110"/>
        <v/>
      </c>
      <c r="G684" s="994">
        <f t="shared" ca="1" si="103"/>
        <v>0</v>
      </c>
      <c r="H684" s="913">
        <f t="shared" ca="1" si="104"/>
        <v>0</v>
      </c>
      <c r="I684" s="913">
        <f t="shared" ca="1" si="105"/>
        <v>0</v>
      </c>
      <c r="J684" s="995">
        <f t="shared" ca="1" si="111"/>
        <v>0</v>
      </c>
      <c r="K684" s="913">
        <f t="shared" ca="1" si="106"/>
        <v>0</v>
      </c>
      <c r="L684" s="995">
        <f t="shared" ca="1" si="112"/>
        <v>0</v>
      </c>
      <c r="M684" s="913">
        <f t="shared" ca="1" si="107"/>
        <v>0</v>
      </c>
      <c r="N684" s="996">
        <f t="shared" ca="1" si="108"/>
        <v>0</v>
      </c>
      <c r="O684" s="997">
        <f t="shared" ca="1" si="109"/>
        <v>0</v>
      </c>
      <c r="P684" s="1015" t="str">
        <f ca="1">IF($C684="","",INDEX(NVLSX!$N$2:$N$6941,MATCH($C684,NVLSX!$E$2:$E$6941,0)))</f>
        <v/>
      </c>
      <c r="Q684" s="1016" t="str">
        <f ca="1">IF($R684="","",IF(XKNVLSX!$X$1="",IF($P684=$V$7,$P684, IF(COUNTIFS($C$2:$C683,$C684,$E$2:$E683,$E684)&gt;=1,"",$P684)),     IF(AND(IFERROR(SEARCH($R684,XKNVLSX!$X$1,1),0)&gt;=1,$P684=$V$7),$P684, IF(OR($R684&lt;&gt;IF(IFERROR(SEARCH($R684,XKNVLSX!$X$1,1),0)&gt;=1,$R684,XKNVLSX!$X$1),COUNTIFS($C$2:$C683,$C684,$E$2:$E683,$E684,$Q$2:$Q683,$P684)&gt;=1),"",$P684))))</f>
        <v/>
      </c>
      <c r="R684" s="1017" t="str">
        <f ca="1">IF($A684="","",IFERROR(INDEX(TinhGia!$BF$10:$BF$81,MATCH($A684,TinhGia!$B$10:$B$81,0)),""))</f>
        <v/>
      </c>
      <c r="S684" s="1012" t="str">
        <f ca="1">IF($A684="","",IF(OR(IFERROR(SEARCH($R684,XKNVLSX!$X$1,1),0)&gt;=1,XKNVLSX!$X$1=""),$S$2,""))</f>
        <v/>
      </c>
      <c r="T684" s="1018" t="str">
        <f ca="1">IF($C684="","", IF(OR($P684=$V$1,$P684=$V$7,COUNTIFS($C$3:$C684,$C684,$E$3:$E684,$E684)&lt;=1),$P684,""    ))</f>
        <v/>
      </c>
      <c r="U684" s="1019" t="str">
        <f ca="1">IF(AND($P684=$V$2,COUNTIFS($C$3:$C684,$C684,$E$3:$E684,$E684,$G$3:$G684,$G684)&lt;=1),$P684,"")</f>
        <v/>
      </c>
    </row>
    <row r="685" spans="1:21">
      <c r="A685" s="991" t="str">
        <f ca="1">IFERROR(IF(COUNTIF($A$3:A684,A684)&lt; INDEX(TinhGia!$BH$10:$BH$81,MATCH($A684,TinhGia!$B$10:$B$81,0)),$A684,INDEX(TinhGia!$B$10:$B$81,MATCH($A684,TinhGia!$B$10:$B$81,0)+1)),"")</f>
        <v/>
      </c>
      <c r="B685" s="525" t="str">
        <f ca="1">IF(OR(A685="",A685=0),"",IF(COUNTIF($A$2:A685,$A685)=1,ROW(MauKoXoa!$C$108),$B684+1))</f>
        <v/>
      </c>
      <c r="C685" s="992" t="str">
        <f t="shared" ca="1" si="100"/>
        <v/>
      </c>
      <c r="D685" s="993" t="str">
        <f t="shared" ca="1" si="101"/>
        <v/>
      </c>
      <c r="E685" s="993" t="str">
        <f t="shared" ca="1" si="102"/>
        <v/>
      </c>
      <c r="F685" s="992" t="str">
        <f t="shared" ca="1" si="110"/>
        <v/>
      </c>
      <c r="G685" s="994">
        <f t="shared" ca="1" si="103"/>
        <v>0</v>
      </c>
      <c r="H685" s="913">
        <f t="shared" ca="1" si="104"/>
        <v>0</v>
      </c>
      <c r="I685" s="913">
        <f t="shared" ca="1" si="105"/>
        <v>0</v>
      </c>
      <c r="J685" s="995">
        <f t="shared" ca="1" si="111"/>
        <v>0</v>
      </c>
      <c r="K685" s="913">
        <f t="shared" ca="1" si="106"/>
        <v>0</v>
      </c>
      <c r="L685" s="995">
        <f t="shared" ca="1" si="112"/>
        <v>0</v>
      </c>
      <c r="M685" s="913">
        <f t="shared" ca="1" si="107"/>
        <v>0</v>
      </c>
      <c r="N685" s="996">
        <f t="shared" ca="1" si="108"/>
        <v>0</v>
      </c>
      <c r="O685" s="997">
        <f t="shared" ca="1" si="109"/>
        <v>0</v>
      </c>
      <c r="P685" s="1015" t="str">
        <f ca="1">IF($C685="","",INDEX(NVLSX!$N$2:$N$6941,MATCH($C685,NVLSX!$E$2:$E$6941,0)))</f>
        <v/>
      </c>
      <c r="Q685" s="1016" t="str">
        <f ca="1">IF($R685="","",IF(XKNVLSX!$X$1="",IF($P685=$V$7,$P685, IF(COUNTIFS($C$2:$C684,$C685,$E$2:$E684,$E685)&gt;=1,"",$P685)),     IF(AND(IFERROR(SEARCH($R685,XKNVLSX!$X$1,1),0)&gt;=1,$P685=$V$7),$P685, IF(OR($R685&lt;&gt;IF(IFERROR(SEARCH($R685,XKNVLSX!$X$1,1),0)&gt;=1,$R685,XKNVLSX!$X$1),COUNTIFS($C$2:$C684,$C685,$E$2:$E684,$E685,$Q$2:$Q684,$P685)&gt;=1),"",$P685))))</f>
        <v/>
      </c>
      <c r="R685" s="1017" t="str">
        <f ca="1">IF($A685="","",IFERROR(INDEX(TinhGia!$BF$10:$BF$81,MATCH($A685,TinhGia!$B$10:$B$81,0)),""))</f>
        <v/>
      </c>
      <c r="S685" s="1012" t="str">
        <f ca="1">IF($A685="","",IF(OR(IFERROR(SEARCH($R685,XKNVLSX!$X$1,1),0)&gt;=1,XKNVLSX!$X$1=""),$S$2,""))</f>
        <v/>
      </c>
      <c r="T685" s="1018" t="str">
        <f ca="1">IF($C685="","", IF(OR($P685=$V$1,$P685=$V$7,COUNTIFS($C$3:$C685,$C685,$E$3:$E685,$E685)&lt;=1),$P685,""    ))</f>
        <v/>
      </c>
      <c r="U685" s="1019" t="str">
        <f ca="1">IF(AND($P685=$V$2,COUNTIFS($C$3:$C685,$C685,$E$3:$E685,$E685,$G$3:$G685,$G685)&lt;=1),$P685,"")</f>
        <v/>
      </c>
    </row>
    <row r="686" spans="1:21">
      <c r="A686" s="991" t="str">
        <f ca="1">IFERROR(IF(COUNTIF($A$3:A685,A685)&lt; INDEX(TinhGia!$BH$10:$BH$81,MATCH($A685,TinhGia!$B$10:$B$81,0)),$A685,INDEX(TinhGia!$B$10:$B$81,MATCH($A685,TinhGia!$B$10:$B$81,0)+1)),"")</f>
        <v/>
      </c>
      <c r="B686" s="525" t="str">
        <f ca="1">IF(OR(A686="",A686=0),"",IF(COUNTIF($A$2:A686,$A686)=1,ROW(MauKoXoa!$C$108),$B685+1))</f>
        <v/>
      </c>
      <c r="C686" s="992" t="str">
        <f t="shared" ca="1" si="100"/>
        <v/>
      </c>
      <c r="D686" s="993" t="str">
        <f t="shared" ca="1" si="101"/>
        <v/>
      </c>
      <c r="E686" s="993" t="str">
        <f t="shared" ca="1" si="102"/>
        <v/>
      </c>
      <c r="F686" s="992" t="str">
        <f t="shared" ca="1" si="110"/>
        <v/>
      </c>
      <c r="G686" s="994">
        <f t="shared" ca="1" si="103"/>
        <v>0</v>
      </c>
      <c r="H686" s="913">
        <f t="shared" ca="1" si="104"/>
        <v>0</v>
      </c>
      <c r="I686" s="913">
        <f t="shared" ca="1" si="105"/>
        <v>0</v>
      </c>
      <c r="J686" s="995">
        <f t="shared" ca="1" si="111"/>
        <v>0</v>
      </c>
      <c r="K686" s="913">
        <f t="shared" ca="1" si="106"/>
        <v>0</v>
      </c>
      <c r="L686" s="995">
        <f t="shared" ca="1" si="112"/>
        <v>0</v>
      </c>
      <c r="M686" s="913">
        <f t="shared" ca="1" si="107"/>
        <v>0</v>
      </c>
      <c r="N686" s="996">
        <f t="shared" ca="1" si="108"/>
        <v>0</v>
      </c>
      <c r="O686" s="997">
        <f t="shared" ca="1" si="109"/>
        <v>0</v>
      </c>
      <c r="P686" s="1015" t="str">
        <f ca="1">IF($C686="","",INDEX(NVLSX!$N$2:$N$6941,MATCH($C686,NVLSX!$E$2:$E$6941,0)))</f>
        <v/>
      </c>
      <c r="Q686" s="1016" t="str">
        <f ca="1">IF($R686="","",IF(XKNVLSX!$X$1="",IF($P686=$V$7,$P686, IF(COUNTIFS($C$2:$C685,$C686,$E$2:$E685,$E686)&gt;=1,"",$P686)),     IF(AND(IFERROR(SEARCH($R686,XKNVLSX!$X$1,1),0)&gt;=1,$P686=$V$7),$P686, IF(OR($R686&lt;&gt;IF(IFERROR(SEARCH($R686,XKNVLSX!$X$1,1),0)&gt;=1,$R686,XKNVLSX!$X$1),COUNTIFS($C$2:$C685,$C686,$E$2:$E685,$E686,$Q$2:$Q685,$P686)&gt;=1),"",$P686))))</f>
        <v/>
      </c>
      <c r="R686" s="1017" t="str">
        <f ca="1">IF($A686="","",IFERROR(INDEX(TinhGia!$BF$10:$BF$81,MATCH($A686,TinhGia!$B$10:$B$81,0)),""))</f>
        <v/>
      </c>
      <c r="S686" s="1012" t="str">
        <f ca="1">IF($A686="","",IF(OR(IFERROR(SEARCH($R686,XKNVLSX!$X$1,1),0)&gt;=1,XKNVLSX!$X$1=""),$S$2,""))</f>
        <v/>
      </c>
      <c r="T686" s="1018" t="str">
        <f ca="1">IF($C686="","", IF(OR($P686=$V$1,$P686=$V$7,COUNTIFS($C$3:$C686,$C686,$E$3:$E686,$E686)&lt;=1),$P686,""    ))</f>
        <v/>
      </c>
      <c r="U686" s="1019" t="str">
        <f ca="1">IF(AND($P686=$V$2,COUNTIFS($C$3:$C686,$C686,$E$3:$E686,$E686,$G$3:$G686,$G686)&lt;=1),$P686,"")</f>
        <v/>
      </c>
    </row>
    <row r="687" spans="1:21">
      <c r="A687" s="991" t="str">
        <f ca="1">IFERROR(IF(COUNTIF($A$3:A686,A686)&lt; INDEX(TinhGia!$BH$10:$BH$81,MATCH($A686,TinhGia!$B$10:$B$81,0)),$A686,INDEX(TinhGia!$B$10:$B$81,MATCH($A686,TinhGia!$B$10:$B$81,0)+1)),"")</f>
        <v/>
      </c>
      <c r="B687" s="525" t="str">
        <f ca="1">IF(OR(A687="",A687=0),"",IF(COUNTIF($A$2:A687,$A687)=1,ROW(MauKoXoa!$C$108),$B686+1))</f>
        <v/>
      </c>
      <c r="C687" s="992" t="str">
        <f t="shared" ca="1" si="100"/>
        <v/>
      </c>
      <c r="D687" s="993" t="str">
        <f t="shared" ca="1" si="101"/>
        <v/>
      </c>
      <c r="E687" s="993" t="str">
        <f t="shared" ca="1" si="102"/>
        <v/>
      </c>
      <c r="F687" s="992" t="str">
        <f t="shared" ca="1" si="110"/>
        <v/>
      </c>
      <c r="G687" s="994">
        <f t="shared" ca="1" si="103"/>
        <v>0</v>
      </c>
      <c r="H687" s="913">
        <f t="shared" ca="1" si="104"/>
        <v>0</v>
      </c>
      <c r="I687" s="913">
        <f t="shared" ca="1" si="105"/>
        <v>0</v>
      </c>
      <c r="J687" s="995">
        <f t="shared" ca="1" si="111"/>
        <v>0</v>
      </c>
      <c r="K687" s="913">
        <f t="shared" ca="1" si="106"/>
        <v>0</v>
      </c>
      <c r="L687" s="995">
        <f t="shared" ca="1" si="112"/>
        <v>0</v>
      </c>
      <c r="M687" s="913">
        <f t="shared" ca="1" si="107"/>
        <v>0</v>
      </c>
      <c r="N687" s="996">
        <f t="shared" ca="1" si="108"/>
        <v>0</v>
      </c>
      <c r="O687" s="997">
        <f t="shared" ca="1" si="109"/>
        <v>0</v>
      </c>
      <c r="P687" s="1015" t="str">
        <f ca="1">IF($C687="","",INDEX(NVLSX!$N$2:$N$6941,MATCH($C687,NVLSX!$E$2:$E$6941,0)))</f>
        <v/>
      </c>
      <c r="Q687" s="1016" t="str">
        <f ca="1">IF($R687="","",IF(XKNVLSX!$X$1="",IF($P687=$V$7,$P687, IF(COUNTIFS($C$2:$C686,$C687,$E$2:$E686,$E687)&gt;=1,"",$P687)),     IF(AND(IFERROR(SEARCH($R687,XKNVLSX!$X$1,1),0)&gt;=1,$P687=$V$7),$P687, IF(OR($R687&lt;&gt;IF(IFERROR(SEARCH($R687,XKNVLSX!$X$1,1),0)&gt;=1,$R687,XKNVLSX!$X$1),COUNTIFS($C$2:$C686,$C687,$E$2:$E686,$E687,$Q$2:$Q686,$P687)&gt;=1),"",$P687))))</f>
        <v/>
      </c>
      <c r="R687" s="1017" t="str">
        <f ca="1">IF($A687="","",IFERROR(INDEX(TinhGia!$BF$10:$BF$81,MATCH($A687,TinhGia!$B$10:$B$81,0)),""))</f>
        <v/>
      </c>
      <c r="S687" s="1012" t="str">
        <f ca="1">IF($A687="","",IF(OR(IFERROR(SEARCH($R687,XKNVLSX!$X$1,1),0)&gt;=1,XKNVLSX!$X$1=""),$S$2,""))</f>
        <v/>
      </c>
      <c r="T687" s="1018" t="str">
        <f ca="1">IF($C687="","", IF(OR($P687=$V$1,$P687=$V$7,COUNTIFS($C$3:$C687,$C687,$E$3:$E687,$E687)&lt;=1),$P687,""    ))</f>
        <v/>
      </c>
      <c r="U687" s="1019" t="str">
        <f ca="1">IF(AND($P687=$V$2,COUNTIFS($C$3:$C687,$C687,$E$3:$E687,$E687,$G$3:$G687,$G687)&lt;=1),$P687,"")</f>
        <v/>
      </c>
    </row>
    <row r="688" spans="1:21">
      <c r="A688" s="991" t="str">
        <f ca="1">IFERROR(IF(COUNTIF($A$3:A687,A687)&lt; INDEX(TinhGia!$BH$10:$BH$81,MATCH($A687,TinhGia!$B$10:$B$81,0)),$A687,INDEX(TinhGia!$B$10:$B$81,MATCH($A687,TinhGia!$B$10:$B$81,0)+1)),"")</f>
        <v/>
      </c>
      <c r="B688" s="525" t="str">
        <f ca="1">IF(OR(A688="",A688=0),"",IF(COUNTIF($A$2:A688,$A688)=1,ROW(MauKoXoa!$C$108),$B687+1))</f>
        <v/>
      </c>
      <c r="C688" s="992" t="str">
        <f t="shared" ca="1" si="100"/>
        <v/>
      </c>
      <c r="D688" s="993" t="str">
        <f t="shared" ca="1" si="101"/>
        <v/>
      </c>
      <c r="E688" s="993" t="str">
        <f t="shared" ca="1" si="102"/>
        <v/>
      </c>
      <c r="F688" s="992" t="str">
        <f t="shared" ca="1" si="110"/>
        <v/>
      </c>
      <c r="G688" s="994">
        <f t="shared" ca="1" si="103"/>
        <v>0</v>
      </c>
      <c r="H688" s="913">
        <f t="shared" ca="1" si="104"/>
        <v>0</v>
      </c>
      <c r="I688" s="913">
        <f t="shared" ca="1" si="105"/>
        <v>0</v>
      </c>
      <c r="J688" s="995">
        <f t="shared" ca="1" si="111"/>
        <v>0</v>
      </c>
      <c r="K688" s="913">
        <f t="shared" ca="1" si="106"/>
        <v>0</v>
      </c>
      <c r="L688" s="995">
        <f t="shared" ca="1" si="112"/>
        <v>0</v>
      </c>
      <c r="M688" s="913">
        <f t="shared" ca="1" si="107"/>
        <v>0</v>
      </c>
      <c r="N688" s="996">
        <f t="shared" ca="1" si="108"/>
        <v>0</v>
      </c>
      <c r="O688" s="997">
        <f t="shared" ca="1" si="109"/>
        <v>0</v>
      </c>
      <c r="P688" s="1015" t="str">
        <f ca="1">IF($C688="","",INDEX(NVLSX!$N$2:$N$6941,MATCH($C688,NVLSX!$E$2:$E$6941,0)))</f>
        <v/>
      </c>
      <c r="Q688" s="1016" t="str">
        <f ca="1">IF($R688="","",IF(XKNVLSX!$X$1="",IF($P688=$V$7,$P688, IF(COUNTIFS($C$2:$C687,$C688,$E$2:$E687,$E688)&gt;=1,"",$P688)),     IF(AND(IFERROR(SEARCH($R688,XKNVLSX!$X$1,1),0)&gt;=1,$P688=$V$7),$P688, IF(OR($R688&lt;&gt;IF(IFERROR(SEARCH($R688,XKNVLSX!$X$1,1),0)&gt;=1,$R688,XKNVLSX!$X$1),COUNTIFS($C$2:$C687,$C688,$E$2:$E687,$E688,$Q$2:$Q687,$P688)&gt;=1),"",$P688))))</f>
        <v/>
      </c>
      <c r="R688" s="1017" t="str">
        <f ca="1">IF($A688="","",IFERROR(INDEX(TinhGia!$BF$10:$BF$81,MATCH($A688,TinhGia!$B$10:$B$81,0)),""))</f>
        <v/>
      </c>
      <c r="S688" s="1012" t="str">
        <f ca="1">IF($A688="","",IF(OR(IFERROR(SEARCH($R688,XKNVLSX!$X$1,1),0)&gt;=1,XKNVLSX!$X$1=""),$S$2,""))</f>
        <v/>
      </c>
      <c r="T688" s="1018" t="str">
        <f ca="1">IF($C688="","", IF(OR($P688=$V$1,$P688=$V$7,COUNTIFS($C$3:$C688,$C688,$E$3:$E688,$E688)&lt;=1),$P688,""    ))</f>
        <v/>
      </c>
      <c r="U688" s="1019" t="str">
        <f ca="1">IF(AND($P688=$V$2,COUNTIFS($C$3:$C688,$C688,$E$3:$E688,$E688,$G$3:$G688,$G688)&lt;=1),$P688,"")</f>
        <v/>
      </c>
    </row>
    <row r="689" spans="1:21">
      <c r="A689" s="991" t="str">
        <f ca="1">IFERROR(IF(COUNTIF($A$3:A688,A688)&lt; INDEX(TinhGia!$BH$10:$BH$81,MATCH($A688,TinhGia!$B$10:$B$81,0)),$A688,INDEX(TinhGia!$B$10:$B$81,MATCH($A688,TinhGia!$B$10:$B$81,0)+1)),"")</f>
        <v/>
      </c>
      <c r="B689" s="525" t="str">
        <f ca="1">IF(OR(A689="",A689=0),"",IF(COUNTIF($A$2:A689,$A689)=1,ROW(MauKoXoa!$C$108),$B688+1))</f>
        <v/>
      </c>
      <c r="C689" s="992" t="str">
        <f t="shared" ca="1" si="100"/>
        <v/>
      </c>
      <c r="D689" s="993" t="str">
        <f t="shared" ca="1" si="101"/>
        <v/>
      </c>
      <c r="E689" s="993" t="str">
        <f t="shared" ca="1" si="102"/>
        <v/>
      </c>
      <c r="F689" s="992" t="str">
        <f t="shared" ca="1" si="110"/>
        <v/>
      </c>
      <c r="G689" s="994">
        <f t="shared" ca="1" si="103"/>
        <v>0</v>
      </c>
      <c r="H689" s="913">
        <f t="shared" ca="1" si="104"/>
        <v>0</v>
      </c>
      <c r="I689" s="913">
        <f t="shared" ca="1" si="105"/>
        <v>0</v>
      </c>
      <c r="J689" s="995">
        <f t="shared" ca="1" si="111"/>
        <v>0</v>
      </c>
      <c r="K689" s="913">
        <f t="shared" ca="1" si="106"/>
        <v>0</v>
      </c>
      <c r="L689" s="995">
        <f t="shared" ca="1" si="112"/>
        <v>0</v>
      </c>
      <c r="M689" s="913">
        <f t="shared" ca="1" si="107"/>
        <v>0</v>
      </c>
      <c r="N689" s="996">
        <f t="shared" ca="1" si="108"/>
        <v>0</v>
      </c>
      <c r="O689" s="997">
        <f t="shared" ca="1" si="109"/>
        <v>0</v>
      </c>
      <c r="P689" s="1015" t="str">
        <f ca="1">IF($C689="","",INDEX(NVLSX!$N$2:$N$6941,MATCH($C689,NVLSX!$E$2:$E$6941,0)))</f>
        <v/>
      </c>
      <c r="Q689" s="1016" t="str">
        <f ca="1">IF($R689="","",IF(XKNVLSX!$X$1="",IF($P689=$V$7,$P689, IF(COUNTIFS($C$2:$C688,$C689,$E$2:$E688,$E689)&gt;=1,"",$P689)),     IF(AND(IFERROR(SEARCH($R689,XKNVLSX!$X$1,1),0)&gt;=1,$P689=$V$7),$P689, IF(OR($R689&lt;&gt;IF(IFERROR(SEARCH($R689,XKNVLSX!$X$1,1),0)&gt;=1,$R689,XKNVLSX!$X$1),COUNTIFS($C$2:$C688,$C689,$E$2:$E688,$E689,$Q$2:$Q688,$P689)&gt;=1),"",$P689))))</f>
        <v/>
      </c>
      <c r="R689" s="1017" t="str">
        <f ca="1">IF($A689="","",IFERROR(INDEX(TinhGia!$BF$10:$BF$81,MATCH($A689,TinhGia!$B$10:$B$81,0)),""))</f>
        <v/>
      </c>
      <c r="S689" s="1012" t="str">
        <f ca="1">IF($A689="","",IF(OR(IFERROR(SEARCH($R689,XKNVLSX!$X$1,1),0)&gt;=1,XKNVLSX!$X$1=""),$S$2,""))</f>
        <v/>
      </c>
      <c r="T689" s="1018" t="str">
        <f ca="1">IF($C689="","", IF(OR($P689=$V$1,$P689=$V$7,COUNTIFS($C$3:$C689,$C689,$E$3:$E689,$E689)&lt;=1),$P689,""    ))</f>
        <v/>
      </c>
      <c r="U689" s="1019" t="str">
        <f ca="1">IF(AND($P689=$V$2,COUNTIFS($C$3:$C689,$C689,$E$3:$E689,$E689,$G$3:$G689,$G689)&lt;=1),$P689,"")</f>
        <v/>
      </c>
    </row>
    <row r="690" spans="1:21">
      <c r="A690" s="991" t="str">
        <f ca="1">IFERROR(IF(COUNTIF($A$3:A689,A689)&lt; INDEX(TinhGia!$BH$10:$BH$81,MATCH($A689,TinhGia!$B$10:$B$81,0)),$A689,INDEX(TinhGia!$B$10:$B$81,MATCH($A689,TinhGia!$B$10:$B$81,0)+1)),"")</f>
        <v/>
      </c>
      <c r="B690" s="525" t="str">
        <f ca="1">IF(OR(A690="",A690=0),"",IF(COUNTIF($A$2:A690,$A690)=1,ROW(MauKoXoa!$C$108),$B689+1))</f>
        <v/>
      </c>
      <c r="C690" s="992" t="str">
        <f t="shared" ca="1" si="100"/>
        <v/>
      </c>
      <c r="D690" s="993" t="str">
        <f t="shared" ca="1" si="101"/>
        <v/>
      </c>
      <c r="E690" s="993" t="str">
        <f t="shared" ca="1" si="102"/>
        <v/>
      </c>
      <c r="F690" s="992" t="str">
        <f t="shared" ca="1" si="110"/>
        <v/>
      </c>
      <c r="G690" s="994">
        <f t="shared" ca="1" si="103"/>
        <v>0</v>
      </c>
      <c r="H690" s="913">
        <f t="shared" ca="1" si="104"/>
        <v>0</v>
      </c>
      <c r="I690" s="913">
        <f t="shared" ca="1" si="105"/>
        <v>0</v>
      </c>
      <c r="J690" s="995">
        <f t="shared" ca="1" si="111"/>
        <v>0</v>
      </c>
      <c r="K690" s="913">
        <f t="shared" ca="1" si="106"/>
        <v>0</v>
      </c>
      <c r="L690" s="995">
        <f t="shared" ca="1" si="112"/>
        <v>0</v>
      </c>
      <c r="M690" s="913">
        <f t="shared" ca="1" si="107"/>
        <v>0</v>
      </c>
      <c r="N690" s="996">
        <f t="shared" ca="1" si="108"/>
        <v>0</v>
      </c>
      <c r="O690" s="997">
        <f t="shared" ca="1" si="109"/>
        <v>0</v>
      </c>
      <c r="P690" s="1015" t="str">
        <f ca="1">IF($C690="","",INDEX(NVLSX!$N$2:$N$6941,MATCH($C690,NVLSX!$E$2:$E$6941,0)))</f>
        <v/>
      </c>
      <c r="Q690" s="1016" t="str">
        <f ca="1">IF($R690="","",IF(XKNVLSX!$X$1="",IF($P690=$V$7,$P690, IF(COUNTIFS($C$2:$C689,$C690,$E$2:$E689,$E690)&gt;=1,"",$P690)),     IF(AND(IFERROR(SEARCH($R690,XKNVLSX!$X$1,1),0)&gt;=1,$P690=$V$7),$P690, IF(OR($R690&lt;&gt;IF(IFERROR(SEARCH($R690,XKNVLSX!$X$1,1),0)&gt;=1,$R690,XKNVLSX!$X$1),COUNTIFS($C$2:$C689,$C690,$E$2:$E689,$E690,$Q$2:$Q689,$P690)&gt;=1),"",$P690))))</f>
        <v/>
      </c>
      <c r="R690" s="1017" t="str">
        <f ca="1">IF($A690="","",IFERROR(INDEX(TinhGia!$BF$10:$BF$81,MATCH($A690,TinhGia!$B$10:$B$81,0)),""))</f>
        <v/>
      </c>
      <c r="S690" s="1012" t="str">
        <f ca="1">IF($A690="","",IF(OR(IFERROR(SEARCH($R690,XKNVLSX!$X$1,1),0)&gt;=1,XKNVLSX!$X$1=""),$S$2,""))</f>
        <v/>
      </c>
      <c r="T690" s="1018" t="str">
        <f ca="1">IF($C690="","", IF(OR($P690=$V$1,$P690=$V$7,COUNTIFS($C$3:$C690,$C690,$E$3:$E690,$E690)&lt;=1),$P690,""    ))</f>
        <v/>
      </c>
      <c r="U690" s="1019" t="str">
        <f ca="1">IF(AND($P690=$V$2,COUNTIFS($C$3:$C690,$C690,$E$3:$E690,$E690,$G$3:$G690,$G690)&lt;=1),$P690,"")</f>
        <v/>
      </c>
    </row>
    <row r="691" spans="1:21">
      <c r="A691" s="991" t="str">
        <f ca="1">IFERROR(IF(COUNTIF($A$3:A690,A690)&lt; INDEX(TinhGia!$BH$10:$BH$81,MATCH($A690,TinhGia!$B$10:$B$81,0)),$A690,INDEX(TinhGia!$B$10:$B$81,MATCH($A690,TinhGia!$B$10:$B$81,0)+1)),"")</f>
        <v/>
      </c>
      <c r="B691" s="525" t="str">
        <f ca="1">IF(OR(A691="",A691=0),"",IF(COUNTIF($A$2:A691,$A691)=1,ROW(MauKoXoa!$C$108),$B690+1))</f>
        <v/>
      </c>
      <c r="C691" s="992" t="str">
        <f t="shared" ca="1" si="100"/>
        <v/>
      </c>
      <c r="D691" s="993" t="str">
        <f t="shared" ca="1" si="101"/>
        <v/>
      </c>
      <c r="E691" s="993" t="str">
        <f t="shared" ca="1" si="102"/>
        <v/>
      </c>
      <c r="F691" s="992" t="str">
        <f t="shared" ca="1" si="110"/>
        <v/>
      </c>
      <c r="G691" s="994">
        <f t="shared" ca="1" si="103"/>
        <v>0</v>
      </c>
      <c r="H691" s="913">
        <f t="shared" ca="1" si="104"/>
        <v>0</v>
      </c>
      <c r="I691" s="913">
        <f t="shared" ca="1" si="105"/>
        <v>0</v>
      </c>
      <c r="J691" s="995">
        <f t="shared" ca="1" si="111"/>
        <v>0</v>
      </c>
      <c r="K691" s="913">
        <f t="shared" ca="1" si="106"/>
        <v>0</v>
      </c>
      <c r="L691" s="995">
        <f t="shared" ca="1" si="112"/>
        <v>0</v>
      </c>
      <c r="M691" s="913">
        <f t="shared" ca="1" si="107"/>
        <v>0</v>
      </c>
      <c r="N691" s="996">
        <f t="shared" ca="1" si="108"/>
        <v>0</v>
      </c>
      <c r="O691" s="997">
        <f t="shared" ca="1" si="109"/>
        <v>0</v>
      </c>
      <c r="P691" s="1015" t="str">
        <f ca="1">IF($C691="","",INDEX(NVLSX!$N$2:$N$6941,MATCH($C691,NVLSX!$E$2:$E$6941,0)))</f>
        <v/>
      </c>
      <c r="Q691" s="1016" t="str">
        <f ca="1">IF($R691="","",IF(XKNVLSX!$X$1="",IF($P691=$V$7,$P691, IF(COUNTIFS($C$2:$C690,$C691,$E$2:$E690,$E691)&gt;=1,"",$P691)),     IF(AND(IFERROR(SEARCH($R691,XKNVLSX!$X$1,1),0)&gt;=1,$P691=$V$7),$P691, IF(OR($R691&lt;&gt;IF(IFERROR(SEARCH($R691,XKNVLSX!$X$1,1),0)&gt;=1,$R691,XKNVLSX!$X$1),COUNTIFS($C$2:$C690,$C691,$E$2:$E690,$E691,$Q$2:$Q690,$P691)&gt;=1),"",$P691))))</f>
        <v/>
      </c>
      <c r="R691" s="1017" t="str">
        <f ca="1">IF($A691="","",IFERROR(INDEX(TinhGia!$BF$10:$BF$81,MATCH($A691,TinhGia!$B$10:$B$81,0)),""))</f>
        <v/>
      </c>
      <c r="S691" s="1012" t="str">
        <f ca="1">IF($A691="","",IF(OR(IFERROR(SEARCH($R691,XKNVLSX!$X$1,1),0)&gt;=1,XKNVLSX!$X$1=""),$S$2,""))</f>
        <v/>
      </c>
      <c r="T691" s="1018" t="str">
        <f ca="1">IF($C691="","", IF(OR($P691=$V$1,$P691=$V$7,COUNTIFS($C$3:$C691,$C691,$E$3:$E691,$E691)&lt;=1),$P691,""    ))</f>
        <v/>
      </c>
      <c r="U691" s="1019" t="str">
        <f ca="1">IF(AND($P691=$V$2,COUNTIFS($C$3:$C691,$C691,$E$3:$E691,$E691,$G$3:$G691,$G691)&lt;=1),$P691,"")</f>
        <v/>
      </c>
    </row>
    <row r="692" spans="1:21">
      <c r="A692" s="991" t="str">
        <f ca="1">IFERROR(IF(COUNTIF($A$3:A691,A691)&lt; INDEX(TinhGia!$BH$10:$BH$81,MATCH($A691,TinhGia!$B$10:$B$81,0)),$A691,INDEX(TinhGia!$B$10:$B$81,MATCH($A691,TinhGia!$B$10:$B$81,0)+1)),"")</f>
        <v/>
      </c>
      <c r="B692" s="525" t="str">
        <f ca="1">IF(OR(A692="",A692=0),"",IF(COUNTIF($A$2:A692,$A692)=1,ROW(MauKoXoa!$C$108),$B691+1))</f>
        <v/>
      </c>
      <c r="C692" s="992" t="str">
        <f t="shared" ca="1" si="100"/>
        <v/>
      </c>
      <c r="D692" s="993" t="str">
        <f t="shared" ca="1" si="101"/>
        <v/>
      </c>
      <c r="E692" s="993" t="str">
        <f t="shared" ca="1" si="102"/>
        <v/>
      </c>
      <c r="F692" s="992" t="str">
        <f t="shared" ca="1" si="110"/>
        <v/>
      </c>
      <c r="G692" s="994">
        <f t="shared" ca="1" si="103"/>
        <v>0</v>
      </c>
      <c r="H692" s="913">
        <f t="shared" ca="1" si="104"/>
        <v>0</v>
      </c>
      <c r="I692" s="913">
        <f t="shared" ca="1" si="105"/>
        <v>0</v>
      </c>
      <c r="J692" s="995">
        <f t="shared" ca="1" si="111"/>
        <v>0</v>
      </c>
      <c r="K692" s="913">
        <f t="shared" ca="1" si="106"/>
        <v>0</v>
      </c>
      <c r="L692" s="995">
        <f t="shared" ca="1" si="112"/>
        <v>0</v>
      </c>
      <c r="M692" s="913">
        <f t="shared" ca="1" si="107"/>
        <v>0</v>
      </c>
      <c r="N692" s="996">
        <f t="shared" ca="1" si="108"/>
        <v>0</v>
      </c>
      <c r="O692" s="997">
        <f t="shared" ca="1" si="109"/>
        <v>0</v>
      </c>
      <c r="P692" s="1015" t="str">
        <f ca="1">IF($C692="","",INDEX(NVLSX!$N$2:$N$6941,MATCH($C692,NVLSX!$E$2:$E$6941,0)))</f>
        <v/>
      </c>
      <c r="Q692" s="1016" t="str">
        <f ca="1">IF($R692="","",IF(XKNVLSX!$X$1="",IF($P692=$V$7,$P692, IF(COUNTIFS($C$2:$C691,$C692,$E$2:$E691,$E692)&gt;=1,"",$P692)),     IF(AND(IFERROR(SEARCH($R692,XKNVLSX!$X$1,1),0)&gt;=1,$P692=$V$7),$P692, IF(OR($R692&lt;&gt;IF(IFERROR(SEARCH($R692,XKNVLSX!$X$1,1),0)&gt;=1,$R692,XKNVLSX!$X$1),COUNTIFS($C$2:$C691,$C692,$E$2:$E691,$E692,$Q$2:$Q691,$P692)&gt;=1),"",$P692))))</f>
        <v/>
      </c>
      <c r="R692" s="1017" t="str">
        <f ca="1">IF($A692="","",IFERROR(INDEX(TinhGia!$BF$10:$BF$81,MATCH($A692,TinhGia!$B$10:$B$81,0)),""))</f>
        <v/>
      </c>
      <c r="S692" s="1012" t="str">
        <f ca="1">IF($A692="","",IF(OR(IFERROR(SEARCH($R692,XKNVLSX!$X$1,1),0)&gt;=1,XKNVLSX!$X$1=""),$S$2,""))</f>
        <v/>
      </c>
      <c r="T692" s="1018" t="str">
        <f ca="1">IF($C692="","", IF(OR($P692=$V$1,$P692=$V$7,COUNTIFS($C$3:$C692,$C692,$E$3:$E692,$E692)&lt;=1),$P692,""    ))</f>
        <v/>
      </c>
      <c r="U692" s="1019" t="str">
        <f ca="1">IF(AND($P692=$V$2,COUNTIFS($C$3:$C692,$C692,$E$3:$E692,$E692,$G$3:$G692,$G692)&lt;=1),$P692,"")</f>
        <v/>
      </c>
    </row>
    <row r="693" spans="1:21">
      <c r="A693" s="991" t="str">
        <f ca="1">IFERROR(IF(COUNTIF($A$3:A692,A692)&lt; INDEX(TinhGia!$BH$10:$BH$81,MATCH($A692,TinhGia!$B$10:$B$81,0)),$A692,INDEX(TinhGia!$B$10:$B$81,MATCH($A692,TinhGia!$B$10:$B$81,0)+1)),"")</f>
        <v/>
      </c>
      <c r="B693" s="525" t="str">
        <f ca="1">IF(OR(A693="",A693=0),"",IF(COUNTIF($A$2:A693,$A693)=1,ROW(MauKoXoa!$C$108),$B692+1))</f>
        <v/>
      </c>
      <c r="C693" s="992" t="str">
        <f t="shared" ca="1" si="100"/>
        <v/>
      </c>
      <c r="D693" s="993" t="str">
        <f t="shared" ca="1" si="101"/>
        <v/>
      </c>
      <c r="E693" s="993" t="str">
        <f t="shared" ca="1" si="102"/>
        <v/>
      </c>
      <c r="F693" s="992" t="str">
        <f t="shared" ca="1" si="110"/>
        <v/>
      </c>
      <c r="G693" s="994">
        <f t="shared" ca="1" si="103"/>
        <v>0</v>
      </c>
      <c r="H693" s="913">
        <f t="shared" ca="1" si="104"/>
        <v>0</v>
      </c>
      <c r="I693" s="913">
        <f t="shared" ca="1" si="105"/>
        <v>0</v>
      </c>
      <c r="J693" s="995">
        <f t="shared" ca="1" si="111"/>
        <v>0</v>
      </c>
      <c r="K693" s="913">
        <f t="shared" ca="1" si="106"/>
        <v>0</v>
      </c>
      <c r="L693" s="995">
        <f t="shared" ca="1" si="112"/>
        <v>0</v>
      </c>
      <c r="M693" s="913">
        <f t="shared" ca="1" si="107"/>
        <v>0</v>
      </c>
      <c r="N693" s="996">
        <f t="shared" ca="1" si="108"/>
        <v>0</v>
      </c>
      <c r="O693" s="997">
        <f t="shared" ca="1" si="109"/>
        <v>0</v>
      </c>
      <c r="P693" s="1015" t="str">
        <f ca="1">IF($C693="","",INDEX(NVLSX!$N$2:$N$6941,MATCH($C693,NVLSX!$E$2:$E$6941,0)))</f>
        <v/>
      </c>
      <c r="Q693" s="1016" t="str">
        <f ca="1">IF($R693="","",IF(XKNVLSX!$X$1="",IF($P693=$V$7,$P693, IF(COUNTIFS($C$2:$C692,$C693,$E$2:$E692,$E693)&gt;=1,"",$P693)),     IF(AND(IFERROR(SEARCH($R693,XKNVLSX!$X$1,1),0)&gt;=1,$P693=$V$7),$P693, IF(OR($R693&lt;&gt;IF(IFERROR(SEARCH($R693,XKNVLSX!$X$1,1),0)&gt;=1,$R693,XKNVLSX!$X$1),COUNTIFS($C$2:$C692,$C693,$E$2:$E692,$E693,$Q$2:$Q692,$P693)&gt;=1),"",$P693))))</f>
        <v/>
      </c>
      <c r="R693" s="1017" t="str">
        <f ca="1">IF($A693="","",IFERROR(INDEX(TinhGia!$BF$10:$BF$81,MATCH($A693,TinhGia!$B$10:$B$81,0)),""))</f>
        <v/>
      </c>
      <c r="S693" s="1012" t="str">
        <f ca="1">IF($A693="","",IF(OR(IFERROR(SEARCH($R693,XKNVLSX!$X$1,1),0)&gt;=1,XKNVLSX!$X$1=""),$S$2,""))</f>
        <v/>
      </c>
      <c r="T693" s="1018" t="str">
        <f ca="1">IF($C693="","", IF(OR($P693=$V$1,$P693=$V$7,COUNTIFS($C$3:$C693,$C693,$E$3:$E693,$E693)&lt;=1),$P693,""    ))</f>
        <v/>
      </c>
      <c r="U693" s="1019" t="str">
        <f ca="1">IF(AND($P693=$V$2,COUNTIFS($C$3:$C693,$C693,$E$3:$E693,$E693,$G$3:$G693,$G693)&lt;=1),$P693,"")</f>
        <v/>
      </c>
    </row>
    <row r="694" spans="1:21">
      <c r="A694" s="991" t="str">
        <f ca="1">IFERROR(IF(COUNTIF($A$3:A693,A693)&lt; INDEX(TinhGia!$BH$10:$BH$81,MATCH($A693,TinhGia!$B$10:$B$81,0)),$A693,INDEX(TinhGia!$B$10:$B$81,MATCH($A693,TinhGia!$B$10:$B$81,0)+1)),"")</f>
        <v/>
      </c>
      <c r="B694" s="525" t="str">
        <f ca="1">IF(OR(A694="",A694=0),"",IF(COUNTIF($A$2:A694,$A694)=1,ROW(MauKoXoa!$C$108),$B693+1))</f>
        <v/>
      </c>
      <c r="C694" s="992" t="str">
        <f t="shared" ca="1" si="100"/>
        <v/>
      </c>
      <c r="D694" s="993" t="str">
        <f t="shared" ca="1" si="101"/>
        <v/>
      </c>
      <c r="E694" s="993" t="str">
        <f t="shared" ca="1" si="102"/>
        <v/>
      </c>
      <c r="F694" s="992" t="str">
        <f t="shared" ca="1" si="110"/>
        <v/>
      </c>
      <c r="G694" s="994">
        <f t="shared" ca="1" si="103"/>
        <v>0</v>
      </c>
      <c r="H694" s="913">
        <f t="shared" ca="1" si="104"/>
        <v>0</v>
      </c>
      <c r="I694" s="913">
        <f t="shared" ca="1" si="105"/>
        <v>0</v>
      </c>
      <c r="J694" s="995">
        <f t="shared" ca="1" si="111"/>
        <v>0</v>
      </c>
      <c r="K694" s="913">
        <f t="shared" ca="1" si="106"/>
        <v>0</v>
      </c>
      <c r="L694" s="995">
        <f t="shared" ca="1" si="112"/>
        <v>0</v>
      </c>
      <c r="M694" s="913">
        <f t="shared" ca="1" si="107"/>
        <v>0</v>
      </c>
      <c r="N694" s="996">
        <f t="shared" ca="1" si="108"/>
        <v>0</v>
      </c>
      <c r="O694" s="997">
        <f t="shared" ca="1" si="109"/>
        <v>0</v>
      </c>
      <c r="P694" s="1015" t="str">
        <f ca="1">IF($C694="","",INDEX(NVLSX!$N$2:$N$6941,MATCH($C694,NVLSX!$E$2:$E$6941,0)))</f>
        <v/>
      </c>
      <c r="Q694" s="1016" t="str">
        <f ca="1">IF($R694="","",IF(XKNVLSX!$X$1="",IF($P694=$V$7,$P694, IF(COUNTIFS($C$2:$C693,$C694,$E$2:$E693,$E694)&gt;=1,"",$P694)),     IF(AND(IFERROR(SEARCH($R694,XKNVLSX!$X$1,1),0)&gt;=1,$P694=$V$7),$P694, IF(OR($R694&lt;&gt;IF(IFERROR(SEARCH($R694,XKNVLSX!$X$1,1),0)&gt;=1,$R694,XKNVLSX!$X$1),COUNTIFS($C$2:$C693,$C694,$E$2:$E693,$E694,$Q$2:$Q693,$P694)&gt;=1),"",$P694))))</f>
        <v/>
      </c>
      <c r="R694" s="1017" t="str">
        <f ca="1">IF($A694="","",IFERROR(INDEX(TinhGia!$BF$10:$BF$81,MATCH($A694,TinhGia!$B$10:$B$81,0)),""))</f>
        <v/>
      </c>
      <c r="S694" s="1012" t="str">
        <f ca="1">IF($A694="","",IF(OR(IFERROR(SEARCH($R694,XKNVLSX!$X$1,1),0)&gt;=1,XKNVLSX!$X$1=""),$S$2,""))</f>
        <v/>
      </c>
      <c r="T694" s="1018" t="str">
        <f ca="1">IF($C694="","", IF(OR($P694=$V$1,$P694=$V$7,COUNTIFS($C$3:$C694,$C694,$E$3:$E694,$E694)&lt;=1),$P694,""    ))</f>
        <v/>
      </c>
      <c r="U694" s="1019" t="str">
        <f ca="1">IF(AND($P694=$V$2,COUNTIFS($C$3:$C694,$C694,$E$3:$E694,$E694,$G$3:$G694,$G694)&lt;=1),$P694,"")</f>
        <v/>
      </c>
    </row>
    <row r="695" spans="1:21">
      <c r="A695" s="991" t="str">
        <f ca="1">IFERROR(IF(COUNTIF($A$3:A694,A694)&lt; INDEX(TinhGia!$BH$10:$BH$81,MATCH($A694,TinhGia!$B$10:$B$81,0)),$A694,INDEX(TinhGia!$B$10:$B$81,MATCH($A694,TinhGia!$B$10:$B$81,0)+1)),"")</f>
        <v/>
      </c>
      <c r="B695" s="525" t="str">
        <f ca="1">IF(OR(A695="",A695=0),"",IF(COUNTIF($A$2:A695,$A695)=1,ROW(MauKoXoa!$C$108),$B694+1))</f>
        <v/>
      </c>
      <c r="C695" s="992" t="str">
        <f t="shared" ca="1" si="100"/>
        <v/>
      </c>
      <c r="D695" s="993" t="str">
        <f t="shared" ca="1" si="101"/>
        <v/>
      </c>
      <c r="E695" s="993" t="str">
        <f t="shared" ca="1" si="102"/>
        <v/>
      </c>
      <c r="F695" s="992" t="str">
        <f t="shared" ca="1" si="110"/>
        <v/>
      </c>
      <c r="G695" s="994">
        <f t="shared" ca="1" si="103"/>
        <v>0</v>
      </c>
      <c r="H695" s="913">
        <f t="shared" ca="1" si="104"/>
        <v>0</v>
      </c>
      <c r="I695" s="913">
        <f t="shared" ca="1" si="105"/>
        <v>0</v>
      </c>
      <c r="J695" s="995">
        <f t="shared" ca="1" si="111"/>
        <v>0</v>
      </c>
      <c r="K695" s="913">
        <f t="shared" ca="1" si="106"/>
        <v>0</v>
      </c>
      <c r="L695" s="995">
        <f t="shared" ca="1" si="112"/>
        <v>0</v>
      </c>
      <c r="M695" s="913">
        <f t="shared" ca="1" si="107"/>
        <v>0</v>
      </c>
      <c r="N695" s="996">
        <f t="shared" ca="1" si="108"/>
        <v>0</v>
      </c>
      <c r="O695" s="997">
        <f t="shared" ca="1" si="109"/>
        <v>0</v>
      </c>
      <c r="P695" s="1015" t="str">
        <f ca="1">IF($C695="","",INDEX(NVLSX!$N$2:$N$6941,MATCH($C695,NVLSX!$E$2:$E$6941,0)))</f>
        <v/>
      </c>
      <c r="Q695" s="1016" t="str">
        <f ca="1">IF($R695="","",IF(XKNVLSX!$X$1="",IF($P695=$V$7,$P695, IF(COUNTIFS($C$2:$C694,$C695,$E$2:$E694,$E695)&gt;=1,"",$P695)),     IF(AND(IFERROR(SEARCH($R695,XKNVLSX!$X$1,1),0)&gt;=1,$P695=$V$7),$P695, IF(OR($R695&lt;&gt;IF(IFERROR(SEARCH($R695,XKNVLSX!$X$1,1),0)&gt;=1,$R695,XKNVLSX!$X$1),COUNTIFS($C$2:$C694,$C695,$E$2:$E694,$E695,$Q$2:$Q694,$P695)&gt;=1),"",$P695))))</f>
        <v/>
      </c>
      <c r="R695" s="1017" t="str">
        <f ca="1">IF($A695="","",IFERROR(INDEX(TinhGia!$BF$10:$BF$81,MATCH($A695,TinhGia!$B$10:$B$81,0)),""))</f>
        <v/>
      </c>
      <c r="S695" s="1012" t="str">
        <f ca="1">IF($A695="","",IF(OR(IFERROR(SEARCH($R695,XKNVLSX!$X$1,1),0)&gt;=1,XKNVLSX!$X$1=""),$S$2,""))</f>
        <v/>
      </c>
      <c r="T695" s="1018" t="str">
        <f ca="1">IF($C695="","", IF(OR($P695=$V$1,$P695=$V$7,COUNTIFS($C$3:$C695,$C695,$E$3:$E695,$E695)&lt;=1),$P695,""    ))</f>
        <v/>
      </c>
      <c r="U695" s="1019" t="str">
        <f ca="1">IF(AND($P695=$V$2,COUNTIFS($C$3:$C695,$C695,$E$3:$E695,$E695,$G$3:$G695,$G695)&lt;=1),$P695,"")</f>
        <v/>
      </c>
    </row>
    <row r="696" spans="1:21">
      <c r="A696" s="991" t="str">
        <f ca="1">IFERROR(IF(COUNTIF($A$3:A695,A695)&lt; INDEX(TinhGia!$BH$10:$BH$81,MATCH($A695,TinhGia!$B$10:$B$81,0)),$A695,INDEX(TinhGia!$B$10:$B$81,MATCH($A695,TinhGia!$B$10:$B$81,0)+1)),"")</f>
        <v/>
      </c>
      <c r="B696" s="525" t="str">
        <f ca="1">IF(OR(A696="",A696=0),"",IF(COUNTIF($A$2:A696,$A696)=1,ROW(MauKoXoa!$C$108),$B695+1))</f>
        <v/>
      </c>
      <c r="C696" s="992" t="str">
        <f t="shared" ca="1" si="100"/>
        <v/>
      </c>
      <c r="D696" s="993" t="str">
        <f t="shared" ca="1" si="101"/>
        <v/>
      </c>
      <c r="E696" s="993" t="str">
        <f t="shared" ca="1" si="102"/>
        <v/>
      </c>
      <c r="F696" s="992" t="str">
        <f t="shared" ca="1" si="110"/>
        <v/>
      </c>
      <c r="G696" s="994">
        <f t="shared" ca="1" si="103"/>
        <v>0</v>
      </c>
      <c r="H696" s="913">
        <f t="shared" ca="1" si="104"/>
        <v>0</v>
      </c>
      <c r="I696" s="913">
        <f t="shared" ca="1" si="105"/>
        <v>0</v>
      </c>
      <c r="J696" s="995">
        <f t="shared" ca="1" si="111"/>
        <v>0</v>
      </c>
      <c r="K696" s="913">
        <f t="shared" ca="1" si="106"/>
        <v>0</v>
      </c>
      <c r="L696" s="995">
        <f t="shared" ca="1" si="112"/>
        <v>0</v>
      </c>
      <c r="M696" s="913">
        <f t="shared" ca="1" si="107"/>
        <v>0</v>
      </c>
      <c r="N696" s="996">
        <f t="shared" ca="1" si="108"/>
        <v>0</v>
      </c>
      <c r="O696" s="997">
        <f t="shared" ca="1" si="109"/>
        <v>0</v>
      </c>
      <c r="P696" s="1015" t="str">
        <f ca="1">IF($C696="","",INDEX(NVLSX!$N$2:$N$6941,MATCH($C696,NVLSX!$E$2:$E$6941,0)))</f>
        <v/>
      </c>
      <c r="Q696" s="1016" t="str">
        <f ca="1">IF($R696="","",IF(XKNVLSX!$X$1="",IF($P696=$V$7,$P696, IF(COUNTIFS($C$2:$C695,$C696,$E$2:$E695,$E696)&gt;=1,"",$P696)),     IF(AND(IFERROR(SEARCH($R696,XKNVLSX!$X$1,1),0)&gt;=1,$P696=$V$7),$P696, IF(OR($R696&lt;&gt;IF(IFERROR(SEARCH($R696,XKNVLSX!$X$1,1),0)&gt;=1,$R696,XKNVLSX!$X$1),COUNTIFS($C$2:$C695,$C696,$E$2:$E695,$E696,$Q$2:$Q695,$P696)&gt;=1),"",$P696))))</f>
        <v/>
      </c>
      <c r="R696" s="1017" t="str">
        <f ca="1">IF($A696="","",IFERROR(INDEX(TinhGia!$BF$10:$BF$81,MATCH($A696,TinhGia!$B$10:$B$81,0)),""))</f>
        <v/>
      </c>
      <c r="S696" s="1012" t="str">
        <f ca="1">IF($A696="","",IF(OR(IFERROR(SEARCH($R696,XKNVLSX!$X$1,1),0)&gt;=1,XKNVLSX!$X$1=""),$S$2,""))</f>
        <v/>
      </c>
      <c r="T696" s="1018" t="str">
        <f ca="1">IF($C696="","", IF(OR($P696=$V$1,$P696=$V$7,COUNTIFS($C$3:$C696,$C696,$E$3:$E696,$E696)&lt;=1),$P696,""    ))</f>
        <v/>
      </c>
      <c r="U696" s="1019" t="str">
        <f ca="1">IF(AND($P696=$V$2,COUNTIFS($C$3:$C696,$C696,$E$3:$E696,$E696,$G$3:$G696,$G696)&lt;=1),$P696,"")</f>
        <v/>
      </c>
    </row>
    <row r="697" spans="1:21">
      <c r="A697" s="991" t="str">
        <f ca="1">IFERROR(IF(COUNTIF($A$3:A696,A696)&lt; INDEX(TinhGia!$BH$10:$BH$81,MATCH($A696,TinhGia!$B$10:$B$81,0)),$A696,INDEX(TinhGia!$B$10:$B$81,MATCH($A696,TinhGia!$B$10:$B$81,0)+1)),"")</f>
        <v/>
      </c>
      <c r="B697" s="525" t="str">
        <f ca="1">IF(OR(A697="",A697=0),"",IF(COUNTIF($A$2:A697,$A697)=1,ROW(MauKoXoa!$C$108),$B696+1))</f>
        <v/>
      </c>
      <c r="C697" s="992" t="str">
        <f t="shared" ca="1" si="100"/>
        <v/>
      </c>
      <c r="D697" s="993" t="str">
        <f t="shared" ca="1" si="101"/>
        <v/>
      </c>
      <c r="E697" s="993" t="str">
        <f t="shared" ca="1" si="102"/>
        <v/>
      </c>
      <c r="F697" s="992" t="str">
        <f t="shared" ca="1" si="110"/>
        <v/>
      </c>
      <c r="G697" s="994">
        <f t="shared" ca="1" si="103"/>
        <v>0</v>
      </c>
      <c r="H697" s="913">
        <f t="shared" ca="1" si="104"/>
        <v>0</v>
      </c>
      <c r="I697" s="913">
        <f t="shared" ca="1" si="105"/>
        <v>0</v>
      </c>
      <c r="J697" s="995">
        <f t="shared" ca="1" si="111"/>
        <v>0</v>
      </c>
      <c r="K697" s="913">
        <f t="shared" ca="1" si="106"/>
        <v>0</v>
      </c>
      <c r="L697" s="995">
        <f t="shared" ca="1" si="112"/>
        <v>0</v>
      </c>
      <c r="M697" s="913">
        <f t="shared" ca="1" si="107"/>
        <v>0</v>
      </c>
      <c r="N697" s="996">
        <f t="shared" ca="1" si="108"/>
        <v>0</v>
      </c>
      <c r="O697" s="997">
        <f t="shared" ca="1" si="109"/>
        <v>0</v>
      </c>
      <c r="P697" s="1015" t="str">
        <f ca="1">IF($C697="","",INDEX(NVLSX!$N$2:$N$6941,MATCH($C697,NVLSX!$E$2:$E$6941,0)))</f>
        <v/>
      </c>
      <c r="Q697" s="1016" t="str">
        <f ca="1">IF($R697="","",IF(XKNVLSX!$X$1="",IF($P697=$V$7,$P697, IF(COUNTIFS($C$2:$C696,$C697,$E$2:$E696,$E697)&gt;=1,"",$P697)),     IF(AND(IFERROR(SEARCH($R697,XKNVLSX!$X$1,1),0)&gt;=1,$P697=$V$7),$P697, IF(OR($R697&lt;&gt;IF(IFERROR(SEARCH($R697,XKNVLSX!$X$1,1),0)&gt;=1,$R697,XKNVLSX!$X$1),COUNTIFS($C$2:$C696,$C697,$E$2:$E696,$E697,$Q$2:$Q696,$P697)&gt;=1),"",$P697))))</f>
        <v/>
      </c>
      <c r="R697" s="1017" t="str">
        <f ca="1">IF($A697="","",IFERROR(INDEX(TinhGia!$BF$10:$BF$81,MATCH($A697,TinhGia!$B$10:$B$81,0)),""))</f>
        <v/>
      </c>
      <c r="S697" s="1012" t="str">
        <f ca="1">IF($A697="","",IF(OR(IFERROR(SEARCH($R697,XKNVLSX!$X$1,1),0)&gt;=1,XKNVLSX!$X$1=""),$S$2,""))</f>
        <v/>
      </c>
      <c r="T697" s="1018" t="str">
        <f ca="1">IF($C697="","", IF(OR($P697=$V$1,$P697=$V$7,COUNTIFS($C$3:$C697,$C697,$E$3:$E697,$E697)&lt;=1),$P697,""    ))</f>
        <v/>
      </c>
      <c r="U697" s="1019" t="str">
        <f ca="1">IF(AND($P697=$V$2,COUNTIFS($C$3:$C697,$C697,$E$3:$E697,$E697,$G$3:$G697,$G697)&lt;=1),$P697,"")</f>
        <v/>
      </c>
    </row>
    <row r="698" spans="1:21">
      <c r="A698" s="991" t="str">
        <f ca="1">IFERROR(IF(COUNTIF($A$3:A697,A697)&lt; INDEX(TinhGia!$BH$10:$BH$81,MATCH($A697,TinhGia!$B$10:$B$81,0)),$A697,INDEX(TinhGia!$B$10:$B$81,MATCH($A697,TinhGia!$B$10:$B$81,0)+1)),"")</f>
        <v/>
      </c>
      <c r="B698" s="525" t="str">
        <f ca="1">IF(OR(A698="",A698=0),"",IF(COUNTIF($A$2:A698,$A698)=1,ROW(MauKoXoa!$C$108),$B697+1))</f>
        <v/>
      </c>
      <c r="C698" s="992" t="str">
        <f t="shared" ca="1" si="100"/>
        <v/>
      </c>
      <c r="D698" s="993" t="str">
        <f t="shared" ca="1" si="101"/>
        <v/>
      </c>
      <c r="E698" s="993" t="str">
        <f t="shared" ca="1" si="102"/>
        <v/>
      </c>
      <c r="F698" s="992" t="str">
        <f t="shared" ca="1" si="110"/>
        <v/>
      </c>
      <c r="G698" s="994">
        <f t="shared" ca="1" si="103"/>
        <v>0</v>
      </c>
      <c r="H698" s="913">
        <f t="shared" ca="1" si="104"/>
        <v>0</v>
      </c>
      <c r="I698" s="913">
        <f t="shared" ca="1" si="105"/>
        <v>0</v>
      </c>
      <c r="J698" s="995">
        <f t="shared" ca="1" si="111"/>
        <v>0</v>
      </c>
      <c r="K698" s="913">
        <f t="shared" ca="1" si="106"/>
        <v>0</v>
      </c>
      <c r="L698" s="995">
        <f t="shared" ca="1" si="112"/>
        <v>0</v>
      </c>
      <c r="M698" s="913">
        <f t="shared" ca="1" si="107"/>
        <v>0</v>
      </c>
      <c r="N698" s="996">
        <f t="shared" ca="1" si="108"/>
        <v>0</v>
      </c>
      <c r="O698" s="997">
        <f t="shared" ca="1" si="109"/>
        <v>0</v>
      </c>
      <c r="P698" s="1015" t="str">
        <f ca="1">IF($C698="","",INDEX(NVLSX!$N$2:$N$6941,MATCH($C698,NVLSX!$E$2:$E$6941,0)))</f>
        <v/>
      </c>
      <c r="Q698" s="1016" t="str">
        <f ca="1">IF($R698="","",IF(XKNVLSX!$X$1="",IF($P698=$V$7,$P698, IF(COUNTIFS($C$2:$C697,$C698,$E$2:$E697,$E698)&gt;=1,"",$P698)),     IF(AND(IFERROR(SEARCH($R698,XKNVLSX!$X$1,1),0)&gt;=1,$P698=$V$7),$P698, IF(OR($R698&lt;&gt;IF(IFERROR(SEARCH($R698,XKNVLSX!$X$1,1),0)&gt;=1,$R698,XKNVLSX!$X$1),COUNTIFS($C$2:$C697,$C698,$E$2:$E697,$E698,$Q$2:$Q697,$P698)&gt;=1),"",$P698))))</f>
        <v/>
      </c>
      <c r="R698" s="1017" t="str">
        <f ca="1">IF($A698="","",IFERROR(INDEX(TinhGia!$BF$10:$BF$81,MATCH($A698,TinhGia!$B$10:$B$81,0)),""))</f>
        <v/>
      </c>
      <c r="S698" s="1012" t="str">
        <f ca="1">IF($A698="","",IF(OR(IFERROR(SEARCH($R698,XKNVLSX!$X$1,1),0)&gt;=1,XKNVLSX!$X$1=""),$S$2,""))</f>
        <v/>
      </c>
      <c r="T698" s="1018" t="str">
        <f ca="1">IF($C698="","", IF(OR($P698=$V$1,$P698=$V$7,COUNTIFS($C$3:$C698,$C698,$E$3:$E698,$E698)&lt;=1),$P698,""    ))</f>
        <v/>
      </c>
      <c r="U698" s="1019" t="str">
        <f ca="1">IF(AND($P698=$V$2,COUNTIFS($C$3:$C698,$C698,$E$3:$E698,$E698,$G$3:$G698,$G698)&lt;=1),$P698,"")</f>
        <v/>
      </c>
    </row>
    <row r="699" spans="1:21">
      <c r="A699" s="991" t="str">
        <f ca="1">IFERROR(IF(COUNTIF($A$3:A698,A698)&lt; INDEX(TinhGia!$BH$10:$BH$81,MATCH($A698,TinhGia!$B$10:$B$81,0)),$A698,INDEX(TinhGia!$B$10:$B$81,MATCH($A698,TinhGia!$B$10:$B$81,0)+1)),"")</f>
        <v/>
      </c>
      <c r="B699" s="525" t="str">
        <f ca="1">IF(OR(A699="",A699=0),"",IF(COUNTIF($A$2:A699,$A699)=1,ROW(MauKoXoa!$C$108),$B698+1))</f>
        <v/>
      </c>
      <c r="C699" s="992" t="str">
        <f t="shared" ca="1" si="100"/>
        <v/>
      </c>
      <c r="D699" s="993" t="str">
        <f t="shared" ca="1" si="101"/>
        <v/>
      </c>
      <c r="E699" s="993" t="str">
        <f t="shared" ca="1" si="102"/>
        <v/>
      </c>
      <c r="F699" s="992" t="str">
        <f t="shared" ca="1" si="110"/>
        <v/>
      </c>
      <c r="G699" s="994">
        <f t="shared" ca="1" si="103"/>
        <v>0</v>
      </c>
      <c r="H699" s="913">
        <f t="shared" ca="1" si="104"/>
        <v>0</v>
      </c>
      <c r="I699" s="913">
        <f t="shared" ca="1" si="105"/>
        <v>0</v>
      </c>
      <c r="J699" s="995">
        <f t="shared" ca="1" si="111"/>
        <v>0</v>
      </c>
      <c r="K699" s="913">
        <f t="shared" ca="1" si="106"/>
        <v>0</v>
      </c>
      <c r="L699" s="995">
        <f t="shared" ca="1" si="112"/>
        <v>0</v>
      </c>
      <c r="M699" s="913">
        <f t="shared" ca="1" si="107"/>
        <v>0</v>
      </c>
      <c r="N699" s="996">
        <f t="shared" ca="1" si="108"/>
        <v>0</v>
      </c>
      <c r="O699" s="997">
        <f t="shared" ca="1" si="109"/>
        <v>0</v>
      </c>
      <c r="P699" s="1015" t="str">
        <f ca="1">IF($C699="","",INDEX(NVLSX!$N$2:$N$6941,MATCH($C699,NVLSX!$E$2:$E$6941,0)))</f>
        <v/>
      </c>
      <c r="Q699" s="1016" t="str">
        <f ca="1">IF($R699="","",IF(XKNVLSX!$X$1="",IF($P699=$V$7,$P699, IF(COUNTIFS($C$2:$C698,$C699,$E$2:$E698,$E699)&gt;=1,"",$P699)),     IF(AND(IFERROR(SEARCH($R699,XKNVLSX!$X$1,1),0)&gt;=1,$P699=$V$7),$P699, IF(OR($R699&lt;&gt;IF(IFERROR(SEARCH($R699,XKNVLSX!$X$1,1),0)&gt;=1,$R699,XKNVLSX!$X$1),COUNTIFS($C$2:$C698,$C699,$E$2:$E698,$E699,$Q$2:$Q698,$P699)&gt;=1),"",$P699))))</f>
        <v/>
      </c>
      <c r="R699" s="1017" t="str">
        <f ca="1">IF($A699="","",IFERROR(INDEX(TinhGia!$BF$10:$BF$81,MATCH($A699,TinhGia!$B$10:$B$81,0)),""))</f>
        <v/>
      </c>
      <c r="S699" s="1012" t="str">
        <f ca="1">IF($A699="","",IF(OR(IFERROR(SEARCH($R699,XKNVLSX!$X$1,1),0)&gt;=1,XKNVLSX!$X$1=""),$S$2,""))</f>
        <v/>
      </c>
      <c r="T699" s="1018" t="str">
        <f ca="1">IF($C699="","", IF(OR($P699=$V$1,$P699=$V$7,COUNTIFS($C$3:$C699,$C699,$E$3:$E699,$E699)&lt;=1),$P699,""    ))</f>
        <v/>
      </c>
      <c r="U699" s="1019" t="str">
        <f ca="1">IF(AND($P699=$V$2,COUNTIFS($C$3:$C699,$C699,$E$3:$E699,$E699,$G$3:$G699,$G699)&lt;=1),$P699,"")</f>
        <v/>
      </c>
    </row>
    <row r="700" spans="1:21">
      <c r="A700" s="991" t="str">
        <f ca="1">IFERROR(IF(COUNTIF($A$3:A699,A699)&lt; INDEX(TinhGia!$BH$10:$BH$81,MATCH($A699,TinhGia!$B$10:$B$81,0)),$A699,INDEX(TinhGia!$B$10:$B$81,MATCH($A699,TinhGia!$B$10:$B$81,0)+1)),"")</f>
        <v/>
      </c>
      <c r="B700" s="525" t="str">
        <f ca="1">IF(OR(A700="",A700=0),"",IF(COUNTIF($A$2:A700,$A700)=1,ROW(MauKoXoa!$C$108),$B699+1))</f>
        <v/>
      </c>
      <c r="C700" s="992" t="str">
        <f t="shared" ca="1" si="100"/>
        <v/>
      </c>
      <c r="D700" s="993" t="str">
        <f t="shared" ca="1" si="101"/>
        <v/>
      </c>
      <c r="E700" s="993" t="str">
        <f t="shared" ca="1" si="102"/>
        <v/>
      </c>
      <c r="F700" s="992" t="str">
        <f t="shared" ca="1" si="110"/>
        <v/>
      </c>
      <c r="G700" s="994">
        <f t="shared" ca="1" si="103"/>
        <v>0</v>
      </c>
      <c r="H700" s="913">
        <f t="shared" ca="1" si="104"/>
        <v>0</v>
      </c>
      <c r="I700" s="913">
        <f t="shared" ca="1" si="105"/>
        <v>0</v>
      </c>
      <c r="J700" s="995">
        <f t="shared" ca="1" si="111"/>
        <v>0</v>
      </c>
      <c r="K700" s="913">
        <f t="shared" ca="1" si="106"/>
        <v>0</v>
      </c>
      <c r="L700" s="995">
        <f t="shared" ca="1" si="112"/>
        <v>0</v>
      </c>
      <c r="M700" s="913">
        <f t="shared" ca="1" si="107"/>
        <v>0</v>
      </c>
      <c r="N700" s="996">
        <f t="shared" ca="1" si="108"/>
        <v>0</v>
      </c>
      <c r="O700" s="997">
        <f t="shared" ca="1" si="109"/>
        <v>0</v>
      </c>
      <c r="P700" s="1015" t="str">
        <f ca="1">IF($C700="","",INDEX(NVLSX!$N$2:$N$6941,MATCH($C700,NVLSX!$E$2:$E$6941,0)))</f>
        <v/>
      </c>
      <c r="Q700" s="1016" t="str">
        <f ca="1">IF($R700="","",IF(XKNVLSX!$X$1="",IF($P700=$V$7,$P700, IF(COUNTIFS($C$2:$C699,$C700,$E$2:$E699,$E700)&gt;=1,"",$P700)),     IF(AND(IFERROR(SEARCH($R700,XKNVLSX!$X$1,1),0)&gt;=1,$P700=$V$7),$P700, IF(OR($R700&lt;&gt;IF(IFERROR(SEARCH($R700,XKNVLSX!$X$1,1),0)&gt;=1,$R700,XKNVLSX!$X$1),COUNTIFS($C$2:$C699,$C700,$E$2:$E699,$E700,$Q$2:$Q699,$P700)&gt;=1),"",$P700))))</f>
        <v/>
      </c>
      <c r="R700" s="1017" t="str">
        <f ca="1">IF($A700="","",IFERROR(INDEX(TinhGia!$BF$10:$BF$81,MATCH($A700,TinhGia!$B$10:$B$81,0)),""))</f>
        <v/>
      </c>
      <c r="S700" s="1012" t="str">
        <f ca="1">IF($A700="","",IF(OR(IFERROR(SEARCH($R700,XKNVLSX!$X$1,1),0)&gt;=1,XKNVLSX!$X$1=""),$S$2,""))</f>
        <v/>
      </c>
      <c r="T700" s="1018" t="str">
        <f ca="1">IF($C700="","", IF(OR($P700=$V$1,$P700=$V$7,COUNTIFS($C$3:$C700,$C700,$E$3:$E700,$E700)&lt;=1),$P700,""    ))</f>
        <v/>
      </c>
      <c r="U700" s="1019" t="str">
        <f ca="1">IF(AND($P700=$V$2,COUNTIFS($C$3:$C700,$C700,$E$3:$E700,$E700,$G$3:$G700,$G700)&lt;=1),$P700,"")</f>
        <v/>
      </c>
    </row>
    <row r="701" spans="1:21">
      <c r="A701" s="991" t="str">
        <f ca="1">IFERROR(IF(COUNTIF($A$3:A700,A700)&lt; INDEX(TinhGia!$BH$10:$BH$81,MATCH($A700,TinhGia!$B$10:$B$81,0)),$A700,INDEX(TinhGia!$B$10:$B$81,MATCH($A700,TinhGia!$B$10:$B$81,0)+1)),"")</f>
        <v/>
      </c>
      <c r="B701" s="525" t="str">
        <f ca="1">IF(OR(A701="",A701=0),"",IF(COUNTIF($A$2:A701,$A701)=1,ROW(MauKoXoa!$C$108),$B700+1))</f>
        <v/>
      </c>
      <c r="C701" s="992" t="str">
        <f t="shared" ca="1" si="100"/>
        <v/>
      </c>
      <c r="D701" s="993" t="str">
        <f t="shared" ca="1" si="101"/>
        <v/>
      </c>
      <c r="E701" s="993" t="str">
        <f t="shared" ca="1" si="102"/>
        <v/>
      </c>
      <c r="F701" s="992" t="str">
        <f t="shared" ca="1" si="110"/>
        <v/>
      </c>
      <c r="G701" s="994">
        <f t="shared" ca="1" si="103"/>
        <v>0</v>
      </c>
      <c r="H701" s="913">
        <f t="shared" ca="1" si="104"/>
        <v>0</v>
      </c>
      <c r="I701" s="913">
        <f t="shared" ca="1" si="105"/>
        <v>0</v>
      </c>
      <c r="J701" s="995">
        <f t="shared" ca="1" si="111"/>
        <v>0</v>
      </c>
      <c r="K701" s="913">
        <f t="shared" ca="1" si="106"/>
        <v>0</v>
      </c>
      <c r="L701" s="995">
        <f t="shared" ca="1" si="112"/>
        <v>0</v>
      </c>
      <c r="M701" s="913">
        <f t="shared" ca="1" si="107"/>
        <v>0</v>
      </c>
      <c r="N701" s="996">
        <f t="shared" ca="1" si="108"/>
        <v>0</v>
      </c>
      <c r="O701" s="997">
        <f t="shared" ca="1" si="109"/>
        <v>0</v>
      </c>
      <c r="P701" s="1015" t="str">
        <f ca="1">IF($C701="","",INDEX(NVLSX!$N$2:$N$6941,MATCH($C701,NVLSX!$E$2:$E$6941,0)))</f>
        <v/>
      </c>
      <c r="Q701" s="1016" t="str">
        <f ca="1">IF($R701="","",IF(XKNVLSX!$X$1="",IF($P701=$V$7,$P701, IF(COUNTIFS($C$2:$C700,$C701,$E$2:$E700,$E701)&gt;=1,"",$P701)),     IF(AND(IFERROR(SEARCH($R701,XKNVLSX!$X$1,1),0)&gt;=1,$P701=$V$7),$P701, IF(OR($R701&lt;&gt;IF(IFERROR(SEARCH($R701,XKNVLSX!$X$1,1),0)&gt;=1,$R701,XKNVLSX!$X$1),COUNTIFS($C$2:$C700,$C701,$E$2:$E700,$E701,$Q$2:$Q700,$P701)&gt;=1),"",$P701))))</f>
        <v/>
      </c>
      <c r="R701" s="1017" t="str">
        <f ca="1">IF($A701="","",IFERROR(INDEX(TinhGia!$BF$10:$BF$81,MATCH($A701,TinhGia!$B$10:$B$81,0)),""))</f>
        <v/>
      </c>
      <c r="S701" s="1012" t="str">
        <f ca="1">IF($A701="","",IF(OR(IFERROR(SEARCH($R701,XKNVLSX!$X$1,1),0)&gt;=1,XKNVLSX!$X$1=""),$S$2,""))</f>
        <v/>
      </c>
      <c r="T701" s="1018" t="str">
        <f ca="1">IF($C701="","", IF(OR($P701=$V$1,$P701=$V$7,COUNTIFS($C$3:$C701,$C701,$E$3:$E701,$E701)&lt;=1),$P701,""    ))</f>
        <v/>
      </c>
      <c r="U701" s="1019" t="str">
        <f ca="1">IF(AND($P701=$V$2,COUNTIFS($C$3:$C701,$C701,$E$3:$E701,$E701,$G$3:$G701,$G701)&lt;=1),$P701,"")</f>
        <v/>
      </c>
    </row>
    <row r="702" spans="1:21">
      <c r="A702" s="991" t="str">
        <f ca="1">IFERROR(IF(COUNTIF($A$3:A701,A701)&lt; INDEX(TinhGia!$BH$10:$BH$81,MATCH($A701,TinhGia!$B$10:$B$81,0)),$A701,INDEX(TinhGia!$B$10:$B$81,MATCH($A701,TinhGia!$B$10:$B$81,0)+1)),"")</f>
        <v/>
      </c>
      <c r="B702" s="525" t="str">
        <f ca="1">IF(OR(A702="",A702=0),"",IF(COUNTIF($A$2:A702,$A702)=1,ROW(MauKoXoa!$C$108),$B701+1))</f>
        <v/>
      </c>
      <c r="C702" s="992" t="str">
        <f t="shared" ca="1" si="100"/>
        <v/>
      </c>
      <c r="D702" s="993" t="str">
        <f t="shared" ca="1" si="101"/>
        <v/>
      </c>
      <c r="E702" s="993" t="str">
        <f t="shared" ca="1" si="102"/>
        <v/>
      </c>
      <c r="F702" s="992" t="str">
        <f t="shared" ca="1" si="110"/>
        <v/>
      </c>
      <c r="G702" s="994">
        <f t="shared" ca="1" si="103"/>
        <v>0</v>
      </c>
      <c r="H702" s="913">
        <f t="shared" ca="1" si="104"/>
        <v>0</v>
      </c>
      <c r="I702" s="913">
        <f t="shared" ca="1" si="105"/>
        <v>0</v>
      </c>
      <c r="J702" s="995">
        <f t="shared" ca="1" si="111"/>
        <v>0</v>
      </c>
      <c r="K702" s="913">
        <f t="shared" ca="1" si="106"/>
        <v>0</v>
      </c>
      <c r="L702" s="995">
        <f t="shared" ca="1" si="112"/>
        <v>0</v>
      </c>
      <c r="M702" s="913">
        <f t="shared" ca="1" si="107"/>
        <v>0</v>
      </c>
      <c r="N702" s="996">
        <f t="shared" ca="1" si="108"/>
        <v>0</v>
      </c>
      <c r="O702" s="997">
        <f t="shared" ca="1" si="109"/>
        <v>0</v>
      </c>
      <c r="P702" s="1015" t="str">
        <f ca="1">IF($C702="","",INDEX(NVLSX!$N$2:$N$6941,MATCH($C702,NVLSX!$E$2:$E$6941,0)))</f>
        <v/>
      </c>
      <c r="Q702" s="1016" t="str">
        <f ca="1">IF($R702="","",IF(XKNVLSX!$X$1="",IF($P702=$V$7,$P702, IF(COUNTIFS($C$2:$C701,$C702,$E$2:$E701,$E702)&gt;=1,"",$P702)),     IF(AND(IFERROR(SEARCH($R702,XKNVLSX!$X$1,1),0)&gt;=1,$P702=$V$7),$P702, IF(OR($R702&lt;&gt;IF(IFERROR(SEARCH($R702,XKNVLSX!$X$1,1),0)&gt;=1,$R702,XKNVLSX!$X$1),COUNTIFS($C$2:$C701,$C702,$E$2:$E701,$E702,$Q$2:$Q701,$P702)&gt;=1),"",$P702))))</f>
        <v/>
      </c>
      <c r="R702" s="1017" t="str">
        <f ca="1">IF($A702="","",IFERROR(INDEX(TinhGia!$BF$10:$BF$81,MATCH($A702,TinhGia!$B$10:$B$81,0)),""))</f>
        <v/>
      </c>
      <c r="S702" s="1012" t="str">
        <f ca="1">IF($A702="","",IF(OR(IFERROR(SEARCH($R702,XKNVLSX!$X$1,1),0)&gt;=1,XKNVLSX!$X$1=""),$S$2,""))</f>
        <v/>
      </c>
      <c r="T702" s="1018" t="str">
        <f ca="1">IF($C702="","", IF(OR($P702=$V$1,$P702=$V$7,COUNTIFS($C$3:$C702,$C702,$E$3:$E702,$E702)&lt;=1),$P702,""    ))</f>
        <v/>
      </c>
      <c r="U702" s="1019" t="str">
        <f ca="1">IF(AND($P702=$V$2,COUNTIFS($C$3:$C702,$C702,$E$3:$E702,$E702,$G$3:$G702,$G702)&lt;=1),$P702,"")</f>
        <v/>
      </c>
    </row>
    <row r="703" spans="1:21">
      <c r="A703" s="991" t="str">
        <f ca="1">IFERROR(IF(COUNTIF($A$3:A702,A702)&lt; INDEX(TinhGia!$BH$10:$BH$81,MATCH($A702,TinhGia!$B$10:$B$81,0)),$A702,INDEX(TinhGia!$B$10:$B$81,MATCH($A702,TinhGia!$B$10:$B$81,0)+1)),"")</f>
        <v/>
      </c>
      <c r="B703" s="525" t="str">
        <f ca="1">IF(OR(A703="",A703=0),"",IF(COUNTIF($A$2:A703,$A703)=1,ROW(MauKoXoa!$C$108),$B702+1))</f>
        <v/>
      </c>
      <c r="C703" s="992" t="str">
        <f t="shared" ca="1" si="100"/>
        <v/>
      </c>
      <c r="D703" s="993" t="str">
        <f t="shared" ca="1" si="101"/>
        <v/>
      </c>
      <c r="E703" s="993" t="str">
        <f t="shared" ca="1" si="102"/>
        <v/>
      </c>
      <c r="F703" s="992" t="str">
        <f t="shared" ca="1" si="110"/>
        <v/>
      </c>
      <c r="G703" s="994">
        <f t="shared" ca="1" si="103"/>
        <v>0</v>
      </c>
      <c r="H703" s="913">
        <f t="shared" ca="1" si="104"/>
        <v>0</v>
      </c>
      <c r="I703" s="913">
        <f t="shared" ca="1" si="105"/>
        <v>0</v>
      </c>
      <c r="J703" s="995">
        <f t="shared" ca="1" si="111"/>
        <v>0</v>
      </c>
      <c r="K703" s="913">
        <f t="shared" ca="1" si="106"/>
        <v>0</v>
      </c>
      <c r="L703" s="995">
        <f t="shared" ca="1" si="112"/>
        <v>0</v>
      </c>
      <c r="M703" s="913">
        <f t="shared" ca="1" si="107"/>
        <v>0</v>
      </c>
      <c r="N703" s="996">
        <f t="shared" ca="1" si="108"/>
        <v>0</v>
      </c>
      <c r="O703" s="997">
        <f t="shared" ca="1" si="109"/>
        <v>0</v>
      </c>
      <c r="P703" s="1015" t="str">
        <f ca="1">IF($C703="","",INDEX(NVLSX!$N$2:$N$6941,MATCH($C703,NVLSX!$E$2:$E$6941,0)))</f>
        <v/>
      </c>
      <c r="Q703" s="1016" t="str">
        <f ca="1">IF($R703="","",IF(XKNVLSX!$X$1="",IF($P703=$V$7,$P703, IF(COUNTIFS($C$2:$C702,$C703,$E$2:$E702,$E703)&gt;=1,"",$P703)),     IF(AND(IFERROR(SEARCH($R703,XKNVLSX!$X$1,1),0)&gt;=1,$P703=$V$7),$P703, IF(OR($R703&lt;&gt;IF(IFERROR(SEARCH($R703,XKNVLSX!$X$1,1),0)&gt;=1,$R703,XKNVLSX!$X$1),COUNTIFS($C$2:$C702,$C703,$E$2:$E702,$E703,$Q$2:$Q702,$P703)&gt;=1),"",$P703))))</f>
        <v/>
      </c>
      <c r="R703" s="1017" t="str">
        <f ca="1">IF($A703="","",IFERROR(INDEX(TinhGia!$BF$10:$BF$81,MATCH($A703,TinhGia!$B$10:$B$81,0)),""))</f>
        <v/>
      </c>
      <c r="S703" s="1012" t="str">
        <f ca="1">IF($A703="","",IF(OR(IFERROR(SEARCH($R703,XKNVLSX!$X$1,1),0)&gt;=1,XKNVLSX!$X$1=""),$S$2,""))</f>
        <v/>
      </c>
      <c r="T703" s="1018" t="str">
        <f ca="1">IF($C703="","", IF(OR($P703=$V$1,$P703=$V$7,COUNTIFS($C$3:$C703,$C703,$E$3:$E703,$E703)&lt;=1),$P703,""    ))</f>
        <v/>
      </c>
      <c r="U703" s="1019" t="str">
        <f ca="1">IF(AND($P703=$V$2,COUNTIFS($C$3:$C703,$C703,$E$3:$E703,$E703,$G$3:$G703,$G703)&lt;=1),$P703,"")</f>
        <v/>
      </c>
    </row>
    <row r="704" spans="1:21">
      <c r="A704" s="991" t="str">
        <f ca="1">IFERROR(IF(COUNTIF($A$3:A703,A703)&lt; INDEX(TinhGia!$BH$10:$BH$81,MATCH($A703,TinhGia!$B$10:$B$81,0)),$A703,INDEX(TinhGia!$B$10:$B$81,MATCH($A703,TinhGia!$B$10:$B$81,0)+1)),"")</f>
        <v/>
      </c>
      <c r="B704" s="525" t="str">
        <f ca="1">IF(OR(A704="",A704=0),"",IF(COUNTIF($A$2:A704,$A704)=1,ROW(MauKoXoa!$C$108),$B703+1))</f>
        <v/>
      </c>
      <c r="C704" s="992" t="str">
        <f t="shared" ca="1" si="100"/>
        <v/>
      </c>
      <c r="D704" s="993" t="str">
        <f t="shared" ca="1" si="101"/>
        <v/>
      </c>
      <c r="E704" s="993" t="str">
        <f t="shared" ca="1" si="102"/>
        <v/>
      </c>
      <c r="F704" s="992" t="str">
        <f t="shared" ca="1" si="110"/>
        <v/>
      </c>
      <c r="G704" s="994">
        <f t="shared" ca="1" si="103"/>
        <v>0</v>
      </c>
      <c r="H704" s="913">
        <f t="shared" ca="1" si="104"/>
        <v>0</v>
      </c>
      <c r="I704" s="913">
        <f t="shared" ca="1" si="105"/>
        <v>0</v>
      </c>
      <c r="J704" s="995">
        <f t="shared" ca="1" si="111"/>
        <v>0</v>
      </c>
      <c r="K704" s="913">
        <f t="shared" ca="1" si="106"/>
        <v>0</v>
      </c>
      <c r="L704" s="995">
        <f t="shared" ca="1" si="112"/>
        <v>0</v>
      </c>
      <c r="M704" s="913">
        <f t="shared" ca="1" si="107"/>
        <v>0</v>
      </c>
      <c r="N704" s="996">
        <f t="shared" ca="1" si="108"/>
        <v>0</v>
      </c>
      <c r="O704" s="997">
        <f t="shared" ca="1" si="109"/>
        <v>0</v>
      </c>
      <c r="P704" s="1015" t="str">
        <f ca="1">IF($C704="","",INDEX(NVLSX!$N$2:$N$6941,MATCH($C704,NVLSX!$E$2:$E$6941,0)))</f>
        <v/>
      </c>
      <c r="Q704" s="1016" t="str">
        <f ca="1">IF($R704="","",IF(XKNVLSX!$X$1="",IF($P704=$V$7,$P704, IF(COUNTIFS($C$2:$C703,$C704,$E$2:$E703,$E704)&gt;=1,"",$P704)),     IF(AND(IFERROR(SEARCH($R704,XKNVLSX!$X$1,1),0)&gt;=1,$P704=$V$7),$P704, IF(OR($R704&lt;&gt;IF(IFERROR(SEARCH($R704,XKNVLSX!$X$1,1),0)&gt;=1,$R704,XKNVLSX!$X$1),COUNTIFS($C$2:$C703,$C704,$E$2:$E703,$E704,$Q$2:$Q703,$P704)&gt;=1),"",$P704))))</f>
        <v/>
      </c>
      <c r="R704" s="1017" t="str">
        <f ca="1">IF($A704="","",IFERROR(INDEX(TinhGia!$BF$10:$BF$81,MATCH($A704,TinhGia!$B$10:$B$81,0)),""))</f>
        <v/>
      </c>
      <c r="S704" s="1012" t="str">
        <f ca="1">IF($A704="","",IF(OR(IFERROR(SEARCH($R704,XKNVLSX!$X$1,1),0)&gt;=1,XKNVLSX!$X$1=""),$S$2,""))</f>
        <v/>
      </c>
      <c r="T704" s="1018" t="str">
        <f ca="1">IF($C704="","", IF(OR($P704=$V$1,$P704=$V$7,COUNTIFS($C$3:$C704,$C704,$E$3:$E704,$E704)&lt;=1),$P704,""    ))</f>
        <v/>
      </c>
      <c r="U704" s="1019" t="str">
        <f ca="1">IF(AND($P704=$V$2,COUNTIFS($C$3:$C704,$C704,$E$3:$E704,$E704,$G$3:$G704,$G704)&lt;=1),$P704,"")</f>
        <v/>
      </c>
    </row>
    <row r="705" spans="1:21">
      <c r="A705" s="991" t="str">
        <f ca="1">IFERROR(IF(COUNTIF($A$3:A704,A704)&lt; INDEX(TinhGia!$BH$10:$BH$81,MATCH($A704,TinhGia!$B$10:$B$81,0)),$A704,INDEX(TinhGia!$B$10:$B$81,MATCH($A704,TinhGia!$B$10:$B$81,0)+1)),"")</f>
        <v/>
      </c>
      <c r="B705" s="525" t="str">
        <f ca="1">IF(OR(A705="",A705=0),"",IF(COUNTIF($A$2:A705,$A705)=1,ROW(MauKoXoa!$C$108),$B704+1))</f>
        <v/>
      </c>
      <c r="C705" s="992" t="str">
        <f t="shared" ca="1" si="100"/>
        <v/>
      </c>
      <c r="D705" s="993" t="str">
        <f t="shared" ca="1" si="101"/>
        <v/>
      </c>
      <c r="E705" s="993" t="str">
        <f t="shared" ca="1" si="102"/>
        <v/>
      </c>
      <c r="F705" s="992" t="str">
        <f t="shared" ca="1" si="110"/>
        <v/>
      </c>
      <c r="G705" s="994">
        <f t="shared" ca="1" si="103"/>
        <v>0</v>
      </c>
      <c r="H705" s="913">
        <f t="shared" ca="1" si="104"/>
        <v>0</v>
      </c>
      <c r="I705" s="913">
        <f t="shared" ca="1" si="105"/>
        <v>0</v>
      </c>
      <c r="J705" s="995">
        <f t="shared" ca="1" si="111"/>
        <v>0</v>
      </c>
      <c r="K705" s="913">
        <f t="shared" ca="1" si="106"/>
        <v>0</v>
      </c>
      <c r="L705" s="995">
        <f t="shared" ca="1" si="112"/>
        <v>0</v>
      </c>
      <c r="M705" s="913">
        <f t="shared" ca="1" si="107"/>
        <v>0</v>
      </c>
      <c r="N705" s="996">
        <f t="shared" ca="1" si="108"/>
        <v>0</v>
      </c>
      <c r="O705" s="997">
        <f t="shared" ca="1" si="109"/>
        <v>0</v>
      </c>
      <c r="P705" s="1015" t="str">
        <f ca="1">IF($C705="","",INDEX(NVLSX!$N$2:$N$6941,MATCH($C705,NVLSX!$E$2:$E$6941,0)))</f>
        <v/>
      </c>
      <c r="Q705" s="1016" t="str">
        <f ca="1">IF($R705="","",IF(XKNVLSX!$X$1="",IF($P705=$V$7,$P705, IF(COUNTIFS($C$2:$C704,$C705,$E$2:$E704,$E705)&gt;=1,"",$P705)),     IF(AND(IFERROR(SEARCH($R705,XKNVLSX!$X$1,1),0)&gt;=1,$P705=$V$7),$P705, IF(OR($R705&lt;&gt;IF(IFERROR(SEARCH($R705,XKNVLSX!$X$1,1),0)&gt;=1,$R705,XKNVLSX!$X$1),COUNTIFS($C$2:$C704,$C705,$E$2:$E704,$E705,$Q$2:$Q704,$P705)&gt;=1),"",$P705))))</f>
        <v/>
      </c>
      <c r="R705" s="1017" t="str">
        <f ca="1">IF($A705="","",IFERROR(INDEX(TinhGia!$BF$10:$BF$81,MATCH($A705,TinhGia!$B$10:$B$81,0)),""))</f>
        <v/>
      </c>
      <c r="S705" s="1012" t="str">
        <f ca="1">IF($A705="","",IF(OR(IFERROR(SEARCH($R705,XKNVLSX!$X$1,1),0)&gt;=1,XKNVLSX!$X$1=""),$S$2,""))</f>
        <v/>
      </c>
      <c r="T705" s="1018" t="str">
        <f ca="1">IF($C705="","", IF(OR($P705=$V$1,$P705=$V$7,COUNTIFS($C$3:$C705,$C705,$E$3:$E705,$E705)&lt;=1),$P705,""    ))</f>
        <v/>
      </c>
      <c r="U705" s="1019" t="str">
        <f ca="1">IF(AND($P705=$V$2,COUNTIFS($C$3:$C705,$C705,$E$3:$E705,$E705,$G$3:$G705,$G705)&lt;=1),$P705,"")</f>
        <v/>
      </c>
    </row>
    <row r="706" spans="1:21">
      <c r="A706" s="991" t="str">
        <f ca="1">IFERROR(IF(COUNTIF($A$3:A705,A705)&lt; INDEX(TinhGia!$BH$10:$BH$81,MATCH($A705,TinhGia!$B$10:$B$81,0)),$A705,INDEX(TinhGia!$B$10:$B$81,MATCH($A705,TinhGia!$B$10:$B$81,0)+1)),"")</f>
        <v/>
      </c>
      <c r="B706" s="525" t="str">
        <f ca="1">IF(OR(A706="",A706=0),"",IF(COUNTIF($A$2:A706,$A706)=1,ROW(MauKoXoa!$C$108),$B705+1))</f>
        <v/>
      </c>
      <c r="C706" s="992" t="str">
        <f t="shared" ref="C706:C769" ca="1" si="113">IFERROR(INDIRECT("'" &amp; $A706 &amp; "'!" &amp; "C" &amp; $B706),"")</f>
        <v/>
      </c>
      <c r="D706" s="993" t="str">
        <f t="shared" ref="D706:D769" ca="1" si="114">IFERROR(INDIRECT("'" &amp; $A706 &amp; "'!" &amp; "D" &amp; $B706),"")</f>
        <v/>
      </c>
      <c r="E706" s="993" t="str">
        <f t="shared" ref="E706:E769" ca="1" si="115">IFERROR(INDIRECT("'" &amp; $A706 &amp; "'!" &amp; "P" &amp; $B706),"")</f>
        <v/>
      </c>
      <c r="F706" s="992" t="str">
        <f t="shared" ca="1" si="110"/>
        <v/>
      </c>
      <c r="G706" s="994">
        <f t="shared" ref="G706:G769" ca="1" si="116">IFERROR(INDIRECT("'" &amp; $A706 &amp; "'!" &amp; "F" &amp; $B706),0)</f>
        <v>0</v>
      </c>
      <c r="H706" s="913">
        <f t="shared" ref="H706:H769" ca="1" si="117">IFERROR(INDIRECT("'" &amp; $A706 &amp; "'!" &amp; "G" &amp; $B706),0)</f>
        <v>0</v>
      </c>
      <c r="I706" s="913">
        <f t="shared" ref="I706:I769" ca="1" si="118">IFERROR(INDIRECT("'" &amp; $A706 &amp; "'!" &amp; "H" &amp; $B706),0)</f>
        <v>0</v>
      </c>
      <c r="J706" s="995">
        <f t="shared" ca="1" si="111"/>
        <v>0</v>
      </c>
      <c r="K706" s="913">
        <f t="shared" ref="K706:K769" ca="1" si="119">IFERROR(INDIRECT("'" &amp; $A706 &amp; "'!" &amp; "L" &amp; $B706),0)</f>
        <v>0</v>
      </c>
      <c r="L706" s="995">
        <f t="shared" ca="1" si="112"/>
        <v>0</v>
      </c>
      <c r="M706" s="913">
        <f t="shared" ref="M706:M769" ca="1" si="120">IFERROR(INDIRECT("'" &amp; $A706 &amp; "'!" &amp; "M" &amp; $B706),0)</f>
        <v>0</v>
      </c>
      <c r="N706" s="996">
        <f t="shared" ref="N706:N769" ca="1" si="121">IFERROR(INDIRECT("'" &amp; $A706 &amp; "'!" &amp; "N" &amp; $B706),0)</f>
        <v>0</v>
      </c>
      <c r="O706" s="997">
        <f t="shared" ref="O706:O769" ca="1" si="122">IFERROR(INDIRECT("'" &amp; $A706 &amp; "'!" &amp; "O" &amp; $B706),0)</f>
        <v>0</v>
      </c>
      <c r="P706" s="1015" t="str">
        <f ca="1">IF($C706="","",INDEX(NVLSX!$N$2:$N$6941,MATCH($C706,NVLSX!$E$2:$E$6941,0)))</f>
        <v/>
      </c>
      <c r="Q706" s="1016" t="str">
        <f ca="1">IF($R706="","",IF(XKNVLSX!$X$1="",IF($P706=$V$7,$P706, IF(COUNTIFS($C$2:$C705,$C706,$E$2:$E705,$E706)&gt;=1,"",$P706)),     IF(AND(IFERROR(SEARCH($R706,XKNVLSX!$X$1,1),0)&gt;=1,$P706=$V$7),$P706, IF(OR($R706&lt;&gt;IF(IFERROR(SEARCH($R706,XKNVLSX!$X$1,1),0)&gt;=1,$R706,XKNVLSX!$X$1),COUNTIFS($C$2:$C705,$C706,$E$2:$E705,$E706,$Q$2:$Q705,$P706)&gt;=1),"",$P706))))</f>
        <v/>
      </c>
      <c r="R706" s="1017" t="str">
        <f ca="1">IF($A706="","",IFERROR(INDEX(TinhGia!$BF$10:$BF$81,MATCH($A706,TinhGia!$B$10:$B$81,0)),""))</f>
        <v/>
      </c>
      <c r="S706" s="1012" t="str">
        <f ca="1">IF($A706="","",IF(OR(IFERROR(SEARCH($R706,XKNVLSX!$X$1,1),0)&gt;=1,XKNVLSX!$X$1=""),$S$2,""))</f>
        <v/>
      </c>
      <c r="T706" s="1018" t="str">
        <f ca="1">IF($C706="","", IF(OR($P706=$V$1,$P706=$V$7,COUNTIFS($C$3:$C706,$C706,$E$3:$E706,$E706)&lt;=1),$P706,""    ))</f>
        <v/>
      </c>
      <c r="U706" s="1019" t="str">
        <f ca="1">IF(AND($P706=$V$2,COUNTIFS($C$3:$C706,$C706,$E$3:$E706,$E706,$G$3:$G706,$G706)&lt;=1),$P706,"")</f>
        <v/>
      </c>
    </row>
    <row r="707" spans="1:21">
      <c r="A707" s="991" t="str">
        <f ca="1">IFERROR(IF(COUNTIF($A$3:A706,A706)&lt; INDEX(TinhGia!$BH$10:$BH$81,MATCH($A706,TinhGia!$B$10:$B$81,0)),$A706,INDEX(TinhGia!$B$10:$B$81,MATCH($A706,TinhGia!$B$10:$B$81,0)+1)),"")</f>
        <v/>
      </c>
      <c r="B707" s="525" t="str">
        <f ca="1">IF(OR(A707="",A707=0),"",IF(COUNTIF($A$2:A707,$A707)=1,ROW(MauKoXoa!$C$108),$B706+1))</f>
        <v/>
      </c>
      <c r="C707" s="992" t="str">
        <f t="shared" ca="1" si="113"/>
        <v/>
      </c>
      <c r="D707" s="993" t="str">
        <f t="shared" ca="1" si="114"/>
        <v/>
      </c>
      <c r="E707" s="993" t="str">
        <f t="shared" ca="1" si="115"/>
        <v/>
      </c>
      <c r="F707" s="992" t="str">
        <f t="shared" ref="F707:F770" ca="1" si="123">IF($P707=$V$7, IFERROR(INDIRECT("'" &amp; $A707 &amp; "'!" &amp; "I" &amp; $B707),""),IFERROR(INDIRECT("'" &amp; $A707 &amp; "'!" &amp; "E" &amp; $B707),""))</f>
        <v/>
      </c>
      <c r="G707" s="994">
        <f t="shared" ca="1" si="116"/>
        <v>0</v>
      </c>
      <c r="H707" s="913">
        <f t="shared" ca="1" si="117"/>
        <v>0</v>
      </c>
      <c r="I707" s="913">
        <f t="shared" ca="1" si="118"/>
        <v>0</v>
      </c>
      <c r="J707" s="995">
        <f t="shared" ca="1" si="111"/>
        <v>0</v>
      </c>
      <c r="K707" s="913">
        <f t="shared" ca="1" si="119"/>
        <v>0</v>
      </c>
      <c r="L707" s="995">
        <f t="shared" ca="1" si="112"/>
        <v>0</v>
      </c>
      <c r="M707" s="913">
        <f t="shared" ca="1" si="120"/>
        <v>0</v>
      </c>
      <c r="N707" s="996">
        <f t="shared" ca="1" si="121"/>
        <v>0</v>
      </c>
      <c r="O707" s="997">
        <f t="shared" ca="1" si="122"/>
        <v>0</v>
      </c>
      <c r="P707" s="1015" t="str">
        <f ca="1">IF($C707="","",INDEX(NVLSX!$N$2:$N$6941,MATCH($C707,NVLSX!$E$2:$E$6941,0)))</f>
        <v/>
      </c>
      <c r="Q707" s="1016" t="str">
        <f ca="1">IF($R707="","",IF(XKNVLSX!$X$1="",IF($P707=$V$7,$P707, IF(COUNTIFS($C$2:$C706,$C707,$E$2:$E706,$E707)&gt;=1,"",$P707)),     IF(AND(IFERROR(SEARCH($R707,XKNVLSX!$X$1,1),0)&gt;=1,$P707=$V$7),$P707, IF(OR($R707&lt;&gt;IF(IFERROR(SEARCH($R707,XKNVLSX!$X$1,1),0)&gt;=1,$R707,XKNVLSX!$X$1),COUNTIFS($C$2:$C706,$C707,$E$2:$E706,$E707,$Q$2:$Q706,$P707)&gt;=1),"",$P707))))</f>
        <v/>
      </c>
      <c r="R707" s="1017" t="str">
        <f ca="1">IF($A707="","",IFERROR(INDEX(TinhGia!$BF$10:$BF$81,MATCH($A707,TinhGia!$B$10:$B$81,0)),""))</f>
        <v/>
      </c>
      <c r="S707" s="1012" t="str">
        <f ca="1">IF($A707="","",IF(OR(IFERROR(SEARCH($R707,XKNVLSX!$X$1,1),0)&gt;=1,XKNVLSX!$X$1=""),$S$2,""))</f>
        <v/>
      </c>
      <c r="T707" s="1018" t="str">
        <f ca="1">IF($C707="","", IF(OR($P707=$V$1,$P707=$V$7,COUNTIFS($C$3:$C707,$C707,$E$3:$E707,$E707)&lt;=1),$P707,""    ))</f>
        <v/>
      </c>
      <c r="U707" s="1019" t="str">
        <f ca="1">IF(AND($P707=$V$2,COUNTIFS($C$3:$C707,$C707,$E$3:$E707,$E707,$G$3:$G707,$G707)&lt;=1),$P707,"")</f>
        <v/>
      </c>
    </row>
    <row r="708" spans="1:21">
      <c r="A708" s="991" t="str">
        <f ca="1">IFERROR(IF(COUNTIF($A$3:A707,A707)&lt; INDEX(TinhGia!$BH$10:$BH$81,MATCH($A707,TinhGia!$B$10:$B$81,0)),$A707,INDEX(TinhGia!$B$10:$B$81,MATCH($A707,TinhGia!$B$10:$B$81,0)+1)),"")</f>
        <v/>
      </c>
      <c r="B708" s="525" t="str">
        <f ca="1">IF(OR(A708="",A708=0),"",IF(COUNTIF($A$2:A708,$A708)=1,ROW(MauKoXoa!$C$108),$B707+1))</f>
        <v/>
      </c>
      <c r="C708" s="992" t="str">
        <f t="shared" ca="1" si="113"/>
        <v/>
      </c>
      <c r="D708" s="993" t="str">
        <f t="shared" ca="1" si="114"/>
        <v/>
      </c>
      <c r="E708" s="993" t="str">
        <f t="shared" ca="1" si="115"/>
        <v/>
      </c>
      <c r="F708" s="992" t="str">
        <f t="shared" ca="1" si="123"/>
        <v/>
      </c>
      <c r="G708" s="994">
        <f t="shared" ca="1" si="116"/>
        <v>0</v>
      </c>
      <c r="H708" s="913">
        <f t="shared" ca="1" si="117"/>
        <v>0</v>
      </c>
      <c r="I708" s="913">
        <f t="shared" ca="1" si="118"/>
        <v>0</v>
      </c>
      <c r="J708" s="995">
        <f t="shared" ref="J708:J771" ca="1" si="124">IFERROR(INDIRECT("'" &amp; $A708 &amp; "'!" &amp; "J" &amp; $B708),0)</f>
        <v>0</v>
      </c>
      <c r="K708" s="913">
        <f t="shared" ca="1" si="119"/>
        <v>0</v>
      </c>
      <c r="L708" s="995">
        <f t="shared" ref="L708:L771" ca="1" si="125">+ IFERROR(INDIRECT("'" &amp; $A708 &amp; "'!" &amp; "K" &amp; $B708),0)</f>
        <v>0</v>
      </c>
      <c r="M708" s="913">
        <f t="shared" ca="1" si="120"/>
        <v>0</v>
      </c>
      <c r="N708" s="996">
        <f t="shared" ca="1" si="121"/>
        <v>0</v>
      </c>
      <c r="O708" s="997">
        <f t="shared" ca="1" si="122"/>
        <v>0</v>
      </c>
      <c r="P708" s="1015" t="str">
        <f ca="1">IF($C708="","",INDEX(NVLSX!$N$2:$N$6941,MATCH($C708,NVLSX!$E$2:$E$6941,0)))</f>
        <v/>
      </c>
      <c r="Q708" s="1016" t="str">
        <f ca="1">IF($R708="","",IF(XKNVLSX!$X$1="",IF($P708=$V$7,$P708, IF(COUNTIFS($C$2:$C707,$C708,$E$2:$E707,$E708)&gt;=1,"",$P708)),     IF(AND(IFERROR(SEARCH($R708,XKNVLSX!$X$1,1),0)&gt;=1,$P708=$V$7),$P708, IF(OR($R708&lt;&gt;IF(IFERROR(SEARCH($R708,XKNVLSX!$X$1,1),0)&gt;=1,$R708,XKNVLSX!$X$1),COUNTIFS($C$2:$C707,$C708,$E$2:$E707,$E708,$Q$2:$Q707,$P708)&gt;=1),"",$P708))))</f>
        <v/>
      </c>
      <c r="R708" s="1017" t="str">
        <f ca="1">IF($A708="","",IFERROR(INDEX(TinhGia!$BF$10:$BF$81,MATCH($A708,TinhGia!$B$10:$B$81,0)),""))</f>
        <v/>
      </c>
      <c r="S708" s="1012" t="str">
        <f ca="1">IF($A708="","",IF(OR(IFERROR(SEARCH($R708,XKNVLSX!$X$1,1),0)&gt;=1,XKNVLSX!$X$1=""),$S$2,""))</f>
        <v/>
      </c>
      <c r="T708" s="1018" t="str">
        <f ca="1">IF($C708="","", IF(OR($P708=$V$1,$P708=$V$7,COUNTIFS($C$3:$C708,$C708,$E$3:$E708,$E708)&lt;=1),$P708,""    ))</f>
        <v/>
      </c>
      <c r="U708" s="1019" t="str">
        <f ca="1">IF(AND($P708=$V$2,COUNTIFS($C$3:$C708,$C708,$E$3:$E708,$E708,$G$3:$G708,$G708)&lt;=1),$P708,"")</f>
        <v/>
      </c>
    </row>
    <row r="709" spans="1:21">
      <c r="A709" s="991" t="str">
        <f ca="1">IFERROR(IF(COUNTIF($A$3:A708,A708)&lt; INDEX(TinhGia!$BH$10:$BH$81,MATCH($A708,TinhGia!$B$10:$B$81,0)),$A708,INDEX(TinhGia!$B$10:$B$81,MATCH($A708,TinhGia!$B$10:$B$81,0)+1)),"")</f>
        <v/>
      </c>
      <c r="B709" s="525" t="str">
        <f ca="1">IF(OR(A709="",A709=0),"",IF(COUNTIF($A$2:A709,$A709)=1,ROW(MauKoXoa!$C$108),$B708+1))</f>
        <v/>
      </c>
      <c r="C709" s="992" t="str">
        <f t="shared" ca="1" si="113"/>
        <v/>
      </c>
      <c r="D709" s="993" t="str">
        <f t="shared" ca="1" si="114"/>
        <v/>
      </c>
      <c r="E709" s="993" t="str">
        <f t="shared" ca="1" si="115"/>
        <v/>
      </c>
      <c r="F709" s="992" t="str">
        <f t="shared" ca="1" si="123"/>
        <v/>
      </c>
      <c r="G709" s="994">
        <f t="shared" ca="1" si="116"/>
        <v>0</v>
      </c>
      <c r="H709" s="913">
        <f t="shared" ca="1" si="117"/>
        <v>0</v>
      </c>
      <c r="I709" s="913">
        <f t="shared" ca="1" si="118"/>
        <v>0</v>
      </c>
      <c r="J709" s="995">
        <f t="shared" ca="1" si="124"/>
        <v>0</v>
      </c>
      <c r="K709" s="913">
        <f t="shared" ca="1" si="119"/>
        <v>0</v>
      </c>
      <c r="L709" s="995">
        <f t="shared" ca="1" si="125"/>
        <v>0</v>
      </c>
      <c r="M709" s="913">
        <f t="shared" ca="1" si="120"/>
        <v>0</v>
      </c>
      <c r="N709" s="996">
        <f t="shared" ca="1" si="121"/>
        <v>0</v>
      </c>
      <c r="O709" s="997">
        <f t="shared" ca="1" si="122"/>
        <v>0</v>
      </c>
      <c r="P709" s="1015" t="str">
        <f ca="1">IF($C709="","",INDEX(NVLSX!$N$2:$N$6941,MATCH($C709,NVLSX!$E$2:$E$6941,0)))</f>
        <v/>
      </c>
      <c r="Q709" s="1016" t="str">
        <f ca="1">IF($R709="","",IF(XKNVLSX!$X$1="",IF($P709=$V$7,$P709, IF(COUNTIFS($C$2:$C708,$C709,$E$2:$E708,$E709)&gt;=1,"",$P709)),     IF(AND(IFERROR(SEARCH($R709,XKNVLSX!$X$1,1),0)&gt;=1,$P709=$V$7),$P709, IF(OR($R709&lt;&gt;IF(IFERROR(SEARCH($R709,XKNVLSX!$X$1,1),0)&gt;=1,$R709,XKNVLSX!$X$1),COUNTIFS($C$2:$C708,$C709,$E$2:$E708,$E709,$Q$2:$Q708,$P709)&gt;=1),"",$P709))))</f>
        <v/>
      </c>
      <c r="R709" s="1017" t="str">
        <f ca="1">IF($A709="","",IFERROR(INDEX(TinhGia!$BF$10:$BF$81,MATCH($A709,TinhGia!$B$10:$B$81,0)),""))</f>
        <v/>
      </c>
      <c r="S709" s="1012" t="str">
        <f ca="1">IF($A709="","",IF(OR(IFERROR(SEARCH($R709,XKNVLSX!$X$1,1),0)&gt;=1,XKNVLSX!$X$1=""),$S$2,""))</f>
        <v/>
      </c>
      <c r="T709" s="1018" t="str">
        <f ca="1">IF($C709="","", IF(OR($P709=$V$1,$P709=$V$7,COUNTIFS($C$3:$C709,$C709,$E$3:$E709,$E709)&lt;=1),$P709,""    ))</f>
        <v/>
      </c>
      <c r="U709" s="1019" t="str">
        <f ca="1">IF(AND($P709=$V$2,COUNTIFS($C$3:$C709,$C709,$E$3:$E709,$E709,$G$3:$G709,$G709)&lt;=1),$P709,"")</f>
        <v/>
      </c>
    </row>
    <row r="710" spans="1:21">
      <c r="A710" s="991" t="str">
        <f ca="1">IFERROR(IF(COUNTIF($A$3:A709,A709)&lt; INDEX(TinhGia!$BH$10:$BH$81,MATCH($A709,TinhGia!$B$10:$B$81,0)),$A709,INDEX(TinhGia!$B$10:$B$81,MATCH($A709,TinhGia!$B$10:$B$81,0)+1)),"")</f>
        <v/>
      </c>
      <c r="B710" s="525" t="str">
        <f ca="1">IF(OR(A710="",A710=0),"",IF(COUNTIF($A$2:A710,$A710)=1,ROW(MauKoXoa!$C$108),$B709+1))</f>
        <v/>
      </c>
      <c r="C710" s="992" t="str">
        <f t="shared" ca="1" si="113"/>
        <v/>
      </c>
      <c r="D710" s="993" t="str">
        <f t="shared" ca="1" si="114"/>
        <v/>
      </c>
      <c r="E710" s="993" t="str">
        <f t="shared" ca="1" si="115"/>
        <v/>
      </c>
      <c r="F710" s="992" t="str">
        <f t="shared" ca="1" si="123"/>
        <v/>
      </c>
      <c r="G710" s="994">
        <f t="shared" ca="1" si="116"/>
        <v>0</v>
      </c>
      <c r="H710" s="913">
        <f t="shared" ca="1" si="117"/>
        <v>0</v>
      </c>
      <c r="I710" s="913">
        <f t="shared" ca="1" si="118"/>
        <v>0</v>
      </c>
      <c r="J710" s="995">
        <f t="shared" ca="1" si="124"/>
        <v>0</v>
      </c>
      <c r="K710" s="913">
        <f t="shared" ca="1" si="119"/>
        <v>0</v>
      </c>
      <c r="L710" s="995">
        <f t="shared" ca="1" si="125"/>
        <v>0</v>
      </c>
      <c r="M710" s="913">
        <f t="shared" ca="1" si="120"/>
        <v>0</v>
      </c>
      <c r="N710" s="996">
        <f t="shared" ca="1" si="121"/>
        <v>0</v>
      </c>
      <c r="O710" s="997">
        <f t="shared" ca="1" si="122"/>
        <v>0</v>
      </c>
      <c r="P710" s="1015" t="str">
        <f ca="1">IF($C710="","",INDEX(NVLSX!$N$2:$N$6941,MATCH($C710,NVLSX!$E$2:$E$6941,0)))</f>
        <v/>
      </c>
      <c r="Q710" s="1016" t="str">
        <f ca="1">IF($R710="","",IF(XKNVLSX!$X$1="",IF($P710=$V$7,$P710, IF(COUNTIFS($C$2:$C709,$C710,$E$2:$E709,$E710)&gt;=1,"",$P710)),     IF(AND(IFERROR(SEARCH($R710,XKNVLSX!$X$1,1),0)&gt;=1,$P710=$V$7),$P710, IF(OR($R710&lt;&gt;IF(IFERROR(SEARCH($R710,XKNVLSX!$X$1,1),0)&gt;=1,$R710,XKNVLSX!$X$1),COUNTIFS($C$2:$C709,$C710,$E$2:$E709,$E710,$Q$2:$Q709,$P710)&gt;=1),"",$P710))))</f>
        <v/>
      </c>
      <c r="R710" s="1017" t="str">
        <f ca="1">IF($A710="","",IFERROR(INDEX(TinhGia!$BF$10:$BF$81,MATCH($A710,TinhGia!$B$10:$B$81,0)),""))</f>
        <v/>
      </c>
      <c r="S710" s="1012" t="str">
        <f ca="1">IF($A710="","",IF(OR(IFERROR(SEARCH($R710,XKNVLSX!$X$1,1),0)&gt;=1,XKNVLSX!$X$1=""),$S$2,""))</f>
        <v/>
      </c>
      <c r="T710" s="1018" t="str">
        <f ca="1">IF($C710="","", IF(OR($P710=$V$1,$P710=$V$7,COUNTIFS($C$3:$C710,$C710,$E$3:$E710,$E710)&lt;=1),$P710,""    ))</f>
        <v/>
      </c>
      <c r="U710" s="1019" t="str">
        <f ca="1">IF(AND($P710=$V$2,COUNTIFS($C$3:$C710,$C710,$E$3:$E710,$E710,$G$3:$G710,$G710)&lt;=1),$P710,"")</f>
        <v/>
      </c>
    </row>
    <row r="711" spans="1:21">
      <c r="A711" s="991" t="str">
        <f ca="1">IFERROR(IF(COUNTIF($A$3:A710,A710)&lt; INDEX(TinhGia!$BH$10:$BH$81,MATCH($A710,TinhGia!$B$10:$B$81,0)),$A710,INDEX(TinhGia!$B$10:$B$81,MATCH($A710,TinhGia!$B$10:$B$81,0)+1)),"")</f>
        <v/>
      </c>
      <c r="B711" s="525" t="str">
        <f ca="1">IF(OR(A711="",A711=0),"",IF(COUNTIF($A$2:A711,$A711)=1,ROW(MauKoXoa!$C$108),$B710+1))</f>
        <v/>
      </c>
      <c r="C711" s="992" t="str">
        <f t="shared" ca="1" si="113"/>
        <v/>
      </c>
      <c r="D711" s="993" t="str">
        <f t="shared" ca="1" si="114"/>
        <v/>
      </c>
      <c r="E711" s="993" t="str">
        <f t="shared" ca="1" si="115"/>
        <v/>
      </c>
      <c r="F711" s="992" t="str">
        <f t="shared" ca="1" si="123"/>
        <v/>
      </c>
      <c r="G711" s="994">
        <f t="shared" ca="1" si="116"/>
        <v>0</v>
      </c>
      <c r="H711" s="913">
        <f t="shared" ca="1" si="117"/>
        <v>0</v>
      </c>
      <c r="I711" s="913">
        <f t="shared" ca="1" si="118"/>
        <v>0</v>
      </c>
      <c r="J711" s="995">
        <f t="shared" ca="1" si="124"/>
        <v>0</v>
      </c>
      <c r="K711" s="913">
        <f t="shared" ca="1" si="119"/>
        <v>0</v>
      </c>
      <c r="L711" s="995">
        <f t="shared" ca="1" si="125"/>
        <v>0</v>
      </c>
      <c r="M711" s="913">
        <f t="shared" ca="1" si="120"/>
        <v>0</v>
      </c>
      <c r="N711" s="996">
        <f t="shared" ca="1" si="121"/>
        <v>0</v>
      </c>
      <c r="O711" s="997">
        <f t="shared" ca="1" si="122"/>
        <v>0</v>
      </c>
      <c r="P711" s="1015" t="str">
        <f ca="1">IF($C711="","",INDEX(NVLSX!$N$2:$N$6941,MATCH($C711,NVLSX!$E$2:$E$6941,0)))</f>
        <v/>
      </c>
      <c r="Q711" s="1016" t="str">
        <f ca="1">IF($R711="","",IF(XKNVLSX!$X$1="",IF($P711=$V$7,$P711, IF(COUNTIFS($C$2:$C710,$C711,$E$2:$E710,$E711)&gt;=1,"",$P711)),     IF(AND(IFERROR(SEARCH($R711,XKNVLSX!$X$1,1),0)&gt;=1,$P711=$V$7),$P711, IF(OR($R711&lt;&gt;IF(IFERROR(SEARCH($R711,XKNVLSX!$X$1,1),0)&gt;=1,$R711,XKNVLSX!$X$1),COUNTIFS($C$2:$C710,$C711,$E$2:$E710,$E711,$Q$2:$Q710,$P711)&gt;=1),"",$P711))))</f>
        <v/>
      </c>
      <c r="R711" s="1017" t="str">
        <f ca="1">IF($A711="","",IFERROR(INDEX(TinhGia!$BF$10:$BF$81,MATCH($A711,TinhGia!$B$10:$B$81,0)),""))</f>
        <v/>
      </c>
      <c r="S711" s="1012" t="str">
        <f ca="1">IF($A711="","",IF(OR(IFERROR(SEARCH($R711,XKNVLSX!$X$1,1),0)&gt;=1,XKNVLSX!$X$1=""),$S$2,""))</f>
        <v/>
      </c>
      <c r="T711" s="1018" t="str">
        <f ca="1">IF($C711="","", IF(OR($P711=$V$1,$P711=$V$7,COUNTIFS($C$3:$C711,$C711,$E$3:$E711,$E711)&lt;=1),$P711,""    ))</f>
        <v/>
      </c>
      <c r="U711" s="1019" t="str">
        <f ca="1">IF(AND($P711=$V$2,COUNTIFS($C$3:$C711,$C711,$E$3:$E711,$E711,$G$3:$G711,$G711)&lt;=1),$P711,"")</f>
        <v/>
      </c>
    </row>
    <row r="712" spans="1:21">
      <c r="A712" s="991" t="str">
        <f ca="1">IFERROR(IF(COUNTIF($A$3:A711,A711)&lt; INDEX(TinhGia!$BH$10:$BH$81,MATCH($A711,TinhGia!$B$10:$B$81,0)),$A711,INDEX(TinhGia!$B$10:$B$81,MATCH($A711,TinhGia!$B$10:$B$81,0)+1)),"")</f>
        <v/>
      </c>
      <c r="B712" s="525" t="str">
        <f ca="1">IF(OR(A712="",A712=0),"",IF(COUNTIF($A$2:A712,$A712)=1,ROW(MauKoXoa!$C$108),$B711+1))</f>
        <v/>
      </c>
      <c r="C712" s="992" t="str">
        <f t="shared" ca="1" si="113"/>
        <v/>
      </c>
      <c r="D712" s="993" t="str">
        <f t="shared" ca="1" si="114"/>
        <v/>
      </c>
      <c r="E712" s="993" t="str">
        <f t="shared" ca="1" si="115"/>
        <v/>
      </c>
      <c r="F712" s="992" t="str">
        <f t="shared" ca="1" si="123"/>
        <v/>
      </c>
      <c r="G712" s="994">
        <f t="shared" ca="1" si="116"/>
        <v>0</v>
      </c>
      <c r="H712" s="913">
        <f t="shared" ca="1" si="117"/>
        <v>0</v>
      </c>
      <c r="I712" s="913">
        <f t="shared" ca="1" si="118"/>
        <v>0</v>
      </c>
      <c r="J712" s="995">
        <f t="shared" ca="1" si="124"/>
        <v>0</v>
      </c>
      <c r="K712" s="913">
        <f t="shared" ca="1" si="119"/>
        <v>0</v>
      </c>
      <c r="L712" s="995">
        <f t="shared" ca="1" si="125"/>
        <v>0</v>
      </c>
      <c r="M712" s="913">
        <f t="shared" ca="1" si="120"/>
        <v>0</v>
      </c>
      <c r="N712" s="996">
        <f t="shared" ca="1" si="121"/>
        <v>0</v>
      </c>
      <c r="O712" s="997">
        <f t="shared" ca="1" si="122"/>
        <v>0</v>
      </c>
      <c r="P712" s="1015" t="str">
        <f ca="1">IF($C712="","",INDEX(NVLSX!$N$2:$N$6941,MATCH($C712,NVLSX!$E$2:$E$6941,0)))</f>
        <v/>
      </c>
      <c r="Q712" s="1016" t="str">
        <f ca="1">IF($R712="","",IF(XKNVLSX!$X$1="",IF($P712=$V$7,$P712, IF(COUNTIFS($C$2:$C711,$C712,$E$2:$E711,$E712)&gt;=1,"",$P712)),     IF(AND(IFERROR(SEARCH($R712,XKNVLSX!$X$1,1),0)&gt;=1,$P712=$V$7),$P712, IF(OR($R712&lt;&gt;IF(IFERROR(SEARCH($R712,XKNVLSX!$X$1,1),0)&gt;=1,$R712,XKNVLSX!$X$1),COUNTIFS($C$2:$C711,$C712,$E$2:$E711,$E712,$Q$2:$Q711,$P712)&gt;=1),"",$P712))))</f>
        <v/>
      </c>
      <c r="R712" s="1017" t="str">
        <f ca="1">IF($A712="","",IFERROR(INDEX(TinhGia!$BF$10:$BF$81,MATCH($A712,TinhGia!$B$10:$B$81,0)),""))</f>
        <v/>
      </c>
      <c r="S712" s="1012" t="str">
        <f ca="1">IF($A712="","",IF(OR(IFERROR(SEARCH($R712,XKNVLSX!$X$1,1),0)&gt;=1,XKNVLSX!$X$1=""),$S$2,""))</f>
        <v/>
      </c>
      <c r="T712" s="1018" t="str">
        <f ca="1">IF($C712="","", IF(OR($P712=$V$1,$P712=$V$7,COUNTIFS($C$3:$C712,$C712,$E$3:$E712,$E712)&lt;=1),$P712,""    ))</f>
        <v/>
      </c>
      <c r="U712" s="1019" t="str">
        <f ca="1">IF(AND($P712=$V$2,COUNTIFS($C$3:$C712,$C712,$E$3:$E712,$E712,$G$3:$G712,$G712)&lt;=1),$P712,"")</f>
        <v/>
      </c>
    </row>
    <row r="713" spans="1:21">
      <c r="A713" s="991" t="str">
        <f ca="1">IFERROR(IF(COUNTIF($A$3:A712,A712)&lt; INDEX(TinhGia!$BH$10:$BH$81,MATCH($A712,TinhGia!$B$10:$B$81,0)),$A712,INDEX(TinhGia!$B$10:$B$81,MATCH($A712,TinhGia!$B$10:$B$81,0)+1)),"")</f>
        <v/>
      </c>
      <c r="B713" s="525" t="str">
        <f ca="1">IF(OR(A713="",A713=0),"",IF(COUNTIF($A$2:A713,$A713)=1,ROW(MauKoXoa!$C$108),$B712+1))</f>
        <v/>
      </c>
      <c r="C713" s="992" t="str">
        <f t="shared" ca="1" si="113"/>
        <v/>
      </c>
      <c r="D713" s="993" t="str">
        <f t="shared" ca="1" si="114"/>
        <v/>
      </c>
      <c r="E713" s="993" t="str">
        <f t="shared" ca="1" si="115"/>
        <v/>
      </c>
      <c r="F713" s="992" t="str">
        <f t="shared" ca="1" si="123"/>
        <v/>
      </c>
      <c r="G713" s="994">
        <f t="shared" ca="1" si="116"/>
        <v>0</v>
      </c>
      <c r="H713" s="913">
        <f t="shared" ca="1" si="117"/>
        <v>0</v>
      </c>
      <c r="I713" s="913">
        <f t="shared" ca="1" si="118"/>
        <v>0</v>
      </c>
      <c r="J713" s="995">
        <f t="shared" ca="1" si="124"/>
        <v>0</v>
      </c>
      <c r="K713" s="913">
        <f t="shared" ca="1" si="119"/>
        <v>0</v>
      </c>
      <c r="L713" s="995">
        <f t="shared" ca="1" si="125"/>
        <v>0</v>
      </c>
      <c r="M713" s="913">
        <f t="shared" ca="1" si="120"/>
        <v>0</v>
      </c>
      <c r="N713" s="996">
        <f t="shared" ca="1" si="121"/>
        <v>0</v>
      </c>
      <c r="O713" s="997">
        <f t="shared" ca="1" si="122"/>
        <v>0</v>
      </c>
      <c r="P713" s="1015" t="str">
        <f ca="1">IF($C713="","",INDEX(NVLSX!$N$2:$N$6941,MATCH($C713,NVLSX!$E$2:$E$6941,0)))</f>
        <v/>
      </c>
      <c r="Q713" s="1016" t="str">
        <f ca="1">IF($R713="","",IF(XKNVLSX!$X$1="",IF($P713=$V$7,$P713, IF(COUNTIFS($C$2:$C712,$C713,$E$2:$E712,$E713)&gt;=1,"",$P713)),     IF(AND(IFERROR(SEARCH($R713,XKNVLSX!$X$1,1),0)&gt;=1,$P713=$V$7),$P713, IF(OR($R713&lt;&gt;IF(IFERROR(SEARCH($R713,XKNVLSX!$X$1,1),0)&gt;=1,$R713,XKNVLSX!$X$1),COUNTIFS($C$2:$C712,$C713,$E$2:$E712,$E713,$Q$2:$Q712,$P713)&gt;=1),"",$P713))))</f>
        <v/>
      </c>
      <c r="R713" s="1017" t="str">
        <f ca="1">IF($A713="","",IFERROR(INDEX(TinhGia!$BF$10:$BF$81,MATCH($A713,TinhGia!$B$10:$B$81,0)),""))</f>
        <v/>
      </c>
      <c r="S713" s="1012" t="str">
        <f ca="1">IF($A713="","",IF(OR(IFERROR(SEARCH($R713,XKNVLSX!$X$1,1),0)&gt;=1,XKNVLSX!$X$1=""),$S$2,""))</f>
        <v/>
      </c>
      <c r="T713" s="1018" t="str">
        <f ca="1">IF($C713="","", IF(OR($P713=$V$1,$P713=$V$7,COUNTIFS($C$3:$C713,$C713,$E$3:$E713,$E713)&lt;=1),$P713,""    ))</f>
        <v/>
      </c>
      <c r="U713" s="1019" t="str">
        <f ca="1">IF(AND($P713=$V$2,COUNTIFS($C$3:$C713,$C713,$E$3:$E713,$E713,$G$3:$G713,$G713)&lt;=1),$P713,"")</f>
        <v/>
      </c>
    </row>
    <row r="714" spans="1:21">
      <c r="A714" s="991" t="str">
        <f ca="1">IFERROR(IF(COUNTIF($A$3:A713,A713)&lt; INDEX(TinhGia!$BH$10:$BH$81,MATCH($A713,TinhGia!$B$10:$B$81,0)),$A713,INDEX(TinhGia!$B$10:$B$81,MATCH($A713,TinhGia!$B$10:$B$81,0)+1)),"")</f>
        <v/>
      </c>
      <c r="B714" s="525" t="str">
        <f ca="1">IF(OR(A714="",A714=0),"",IF(COUNTIF($A$2:A714,$A714)=1,ROW(MauKoXoa!$C$108),$B713+1))</f>
        <v/>
      </c>
      <c r="C714" s="992" t="str">
        <f t="shared" ca="1" si="113"/>
        <v/>
      </c>
      <c r="D714" s="993" t="str">
        <f t="shared" ca="1" si="114"/>
        <v/>
      </c>
      <c r="E714" s="993" t="str">
        <f t="shared" ca="1" si="115"/>
        <v/>
      </c>
      <c r="F714" s="992" t="str">
        <f t="shared" ca="1" si="123"/>
        <v/>
      </c>
      <c r="G714" s="994">
        <f t="shared" ca="1" si="116"/>
        <v>0</v>
      </c>
      <c r="H714" s="913">
        <f t="shared" ca="1" si="117"/>
        <v>0</v>
      </c>
      <c r="I714" s="913">
        <f t="shared" ca="1" si="118"/>
        <v>0</v>
      </c>
      <c r="J714" s="995">
        <f t="shared" ca="1" si="124"/>
        <v>0</v>
      </c>
      <c r="K714" s="913">
        <f t="shared" ca="1" si="119"/>
        <v>0</v>
      </c>
      <c r="L714" s="995">
        <f t="shared" ca="1" si="125"/>
        <v>0</v>
      </c>
      <c r="M714" s="913">
        <f t="shared" ca="1" si="120"/>
        <v>0</v>
      </c>
      <c r="N714" s="996">
        <f t="shared" ca="1" si="121"/>
        <v>0</v>
      </c>
      <c r="O714" s="997">
        <f t="shared" ca="1" si="122"/>
        <v>0</v>
      </c>
      <c r="P714" s="1015" t="str">
        <f ca="1">IF($C714="","",INDEX(NVLSX!$N$2:$N$6941,MATCH($C714,NVLSX!$E$2:$E$6941,0)))</f>
        <v/>
      </c>
      <c r="Q714" s="1016" t="str">
        <f ca="1">IF($R714="","",IF(XKNVLSX!$X$1="",IF($P714=$V$7,$P714, IF(COUNTIFS($C$2:$C713,$C714,$E$2:$E713,$E714)&gt;=1,"",$P714)),     IF(AND(IFERROR(SEARCH($R714,XKNVLSX!$X$1,1),0)&gt;=1,$P714=$V$7),$P714, IF(OR($R714&lt;&gt;IF(IFERROR(SEARCH($R714,XKNVLSX!$X$1,1),0)&gt;=1,$R714,XKNVLSX!$X$1),COUNTIFS($C$2:$C713,$C714,$E$2:$E713,$E714,$Q$2:$Q713,$P714)&gt;=1),"",$P714))))</f>
        <v/>
      </c>
      <c r="R714" s="1017" t="str">
        <f ca="1">IF($A714="","",IFERROR(INDEX(TinhGia!$BF$10:$BF$81,MATCH($A714,TinhGia!$B$10:$B$81,0)),""))</f>
        <v/>
      </c>
      <c r="S714" s="1012" t="str">
        <f ca="1">IF($A714="","",IF(OR(IFERROR(SEARCH($R714,XKNVLSX!$X$1,1),0)&gt;=1,XKNVLSX!$X$1=""),$S$2,""))</f>
        <v/>
      </c>
      <c r="T714" s="1018" t="str">
        <f ca="1">IF($C714="","", IF(OR($P714=$V$1,$P714=$V$7,COUNTIFS($C$3:$C714,$C714,$E$3:$E714,$E714)&lt;=1),$P714,""    ))</f>
        <v/>
      </c>
      <c r="U714" s="1019" t="str">
        <f ca="1">IF(AND($P714=$V$2,COUNTIFS($C$3:$C714,$C714,$E$3:$E714,$E714,$G$3:$G714,$G714)&lt;=1),$P714,"")</f>
        <v/>
      </c>
    </row>
    <row r="715" spans="1:21">
      <c r="A715" s="991" t="str">
        <f ca="1">IFERROR(IF(COUNTIF($A$3:A714,A714)&lt; INDEX(TinhGia!$BH$10:$BH$81,MATCH($A714,TinhGia!$B$10:$B$81,0)),$A714,INDEX(TinhGia!$B$10:$B$81,MATCH($A714,TinhGia!$B$10:$B$81,0)+1)),"")</f>
        <v/>
      </c>
      <c r="B715" s="525" t="str">
        <f ca="1">IF(OR(A715="",A715=0),"",IF(COUNTIF($A$2:A715,$A715)=1,ROW(MauKoXoa!$C$108),$B714+1))</f>
        <v/>
      </c>
      <c r="C715" s="992" t="str">
        <f t="shared" ca="1" si="113"/>
        <v/>
      </c>
      <c r="D715" s="993" t="str">
        <f t="shared" ca="1" si="114"/>
        <v/>
      </c>
      <c r="E715" s="993" t="str">
        <f t="shared" ca="1" si="115"/>
        <v/>
      </c>
      <c r="F715" s="992" t="str">
        <f t="shared" ca="1" si="123"/>
        <v/>
      </c>
      <c r="G715" s="994">
        <f t="shared" ca="1" si="116"/>
        <v>0</v>
      </c>
      <c r="H715" s="913">
        <f t="shared" ca="1" si="117"/>
        <v>0</v>
      </c>
      <c r="I715" s="913">
        <f t="shared" ca="1" si="118"/>
        <v>0</v>
      </c>
      <c r="J715" s="995">
        <f t="shared" ca="1" si="124"/>
        <v>0</v>
      </c>
      <c r="K715" s="913">
        <f t="shared" ca="1" si="119"/>
        <v>0</v>
      </c>
      <c r="L715" s="995">
        <f t="shared" ca="1" si="125"/>
        <v>0</v>
      </c>
      <c r="M715" s="913">
        <f t="shared" ca="1" si="120"/>
        <v>0</v>
      </c>
      <c r="N715" s="996">
        <f t="shared" ca="1" si="121"/>
        <v>0</v>
      </c>
      <c r="O715" s="997">
        <f t="shared" ca="1" si="122"/>
        <v>0</v>
      </c>
      <c r="P715" s="1015" t="str">
        <f ca="1">IF($C715="","",INDEX(NVLSX!$N$2:$N$6941,MATCH($C715,NVLSX!$E$2:$E$6941,0)))</f>
        <v/>
      </c>
      <c r="Q715" s="1016" t="str">
        <f ca="1">IF($R715="","",IF(XKNVLSX!$X$1="",IF($P715=$V$7,$P715, IF(COUNTIFS($C$2:$C714,$C715,$E$2:$E714,$E715)&gt;=1,"",$P715)),     IF(AND(IFERROR(SEARCH($R715,XKNVLSX!$X$1,1),0)&gt;=1,$P715=$V$7),$P715, IF(OR($R715&lt;&gt;IF(IFERROR(SEARCH($R715,XKNVLSX!$X$1,1),0)&gt;=1,$R715,XKNVLSX!$X$1),COUNTIFS($C$2:$C714,$C715,$E$2:$E714,$E715,$Q$2:$Q714,$P715)&gt;=1),"",$P715))))</f>
        <v/>
      </c>
      <c r="R715" s="1017" t="str">
        <f ca="1">IF($A715="","",IFERROR(INDEX(TinhGia!$BF$10:$BF$81,MATCH($A715,TinhGia!$B$10:$B$81,0)),""))</f>
        <v/>
      </c>
      <c r="S715" s="1012" t="str">
        <f ca="1">IF($A715="","",IF(OR(IFERROR(SEARCH($R715,XKNVLSX!$X$1,1),0)&gt;=1,XKNVLSX!$X$1=""),$S$2,""))</f>
        <v/>
      </c>
      <c r="T715" s="1018" t="str">
        <f ca="1">IF($C715="","", IF(OR($P715=$V$1,$P715=$V$7,COUNTIFS($C$3:$C715,$C715,$E$3:$E715,$E715)&lt;=1),$P715,""    ))</f>
        <v/>
      </c>
      <c r="U715" s="1019" t="str">
        <f ca="1">IF(AND($P715=$V$2,COUNTIFS($C$3:$C715,$C715,$E$3:$E715,$E715,$G$3:$G715,$G715)&lt;=1),$P715,"")</f>
        <v/>
      </c>
    </row>
    <row r="716" spans="1:21">
      <c r="A716" s="991" t="str">
        <f ca="1">IFERROR(IF(COUNTIF($A$3:A715,A715)&lt; INDEX(TinhGia!$BH$10:$BH$81,MATCH($A715,TinhGia!$B$10:$B$81,0)),$A715,INDEX(TinhGia!$B$10:$B$81,MATCH($A715,TinhGia!$B$10:$B$81,0)+1)),"")</f>
        <v/>
      </c>
      <c r="B716" s="525" t="str">
        <f ca="1">IF(OR(A716="",A716=0),"",IF(COUNTIF($A$2:A716,$A716)=1,ROW(MauKoXoa!$C$108),$B715+1))</f>
        <v/>
      </c>
      <c r="C716" s="992" t="str">
        <f t="shared" ca="1" si="113"/>
        <v/>
      </c>
      <c r="D716" s="993" t="str">
        <f t="shared" ca="1" si="114"/>
        <v/>
      </c>
      <c r="E716" s="993" t="str">
        <f t="shared" ca="1" si="115"/>
        <v/>
      </c>
      <c r="F716" s="992" t="str">
        <f t="shared" ca="1" si="123"/>
        <v/>
      </c>
      <c r="G716" s="994">
        <f t="shared" ca="1" si="116"/>
        <v>0</v>
      </c>
      <c r="H716" s="913">
        <f t="shared" ca="1" si="117"/>
        <v>0</v>
      </c>
      <c r="I716" s="913">
        <f t="shared" ca="1" si="118"/>
        <v>0</v>
      </c>
      <c r="J716" s="995">
        <f t="shared" ca="1" si="124"/>
        <v>0</v>
      </c>
      <c r="K716" s="913">
        <f t="shared" ca="1" si="119"/>
        <v>0</v>
      </c>
      <c r="L716" s="995">
        <f t="shared" ca="1" si="125"/>
        <v>0</v>
      </c>
      <c r="M716" s="913">
        <f t="shared" ca="1" si="120"/>
        <v>0</v>
      </c>
      <c r="N716" s="996">
        <f t="shared" ca="1" si="121"/>
        <v>0</v>
      </c>
      <c r="O716" s="997">
        <f t="shared" ca="1" si="122"/>
        <v>0</v>
      </c>
      <c r="P716" s="1015" t="str">
        <f ca="1">IF($C716="","",INDEX(NVLSX!$N$2:$N$6941,MATCH($C716,NVLSX!$E$2:$E$6941,0)))</f>
        <v/>
      </c>
      <c r="Q716" s="1016" t="str">
        <f ca="1">IF($R716="","",IF(XKNVLSX!$X$1="",IF($P716=$V$7,$P716, IF(COUNTIFS($C$2:$C715,$C716,$E$2:$E715,$E716)&gt;=1,"",$P716)),     IF(AND(IFERROR(SEARCH($R716,XKNVLSX!$X$1,1),0)&gt;=1,$P716=$V$7),$P716, IF(OR($R716&lt;&gt;IF(IFERROR(SEARCH($R716,XKNVLSX!$X$1,1),0)&gt;=1,$R716,XKNVLSX!$X$1),COUNTIFS($C$2:$C715,$C716,$E$2:$E715,$E716,$Q$2:$Q715,$P716)&gt;=1),"",$P716))))</f>
        <v/>
      </c>
      <c r="R716" s="1017" t="str">
        <f ca="1">IF($A716="","",IFERROR(INDEX(TinhGia!$BF$10:$BF$81,MATCH($A716,TinhGia!$B$10:$B$81,0)),""))</f>
        <v/>
      </c>
      <c r="S716" s="1012" t="str">
        <f ca="1">IF($A716="","",IF(OR(IFERROR(SEARCH($R716,XKNVLSX!$X$1,1),0)&gt;=1,XKNVLSX!$X$1=""),$S$2,""))</f>
        <v/>
      </c>
      <c r="T716" s="1018" t="str">
        <f ca="1">IF($C716="","", IF(OR($P716=$V$1,$P716=$V$7,COUNTIFS($C$3:$C716,$C716,$E$3:$E716,$E716)&lt;=1),$P716,""    ))</f>
        <v/>
      </c>
      <c r="U716" s="1019" t="str">
        <f ca="1">IF(AND($P716=$V$2,COUNTIFS($C$3:$C716,$C716,$E$3:$E716,$E716,$G$3:$G716,$G716)&lt;=1),$P716,"")</f>
        <v/>
      </c>
    </row>
    <row r="717" spans="1:21">
      <c r="A717" s="991" t="str">
        <f ca="1">IFERROR(IF(COUNTIF($A$3:A716,A716)&lt; INDEX(TinhGia!$BH$10:$BH$81,MATCH($A716,TinhGia!$B$10:$B$81,0)),$A716,INDEX(TinhGia!$B$10:$B$81,MATCH($A716,TinhGia!$B$10:$B$81,0)+1)),"")</f>
        <v/>
      </c>
      <c r="B717" s="525" t="str">
        <f ca="1">IF(OR(A717="",A717=0),"",IF(COUNTIF($A$2:A717,$A717)=1,ROW(MauKoXoa!$C$108),$B716+1))</f>
        <v/>
      </c>
      <c r="C717" s="992" t="str">
        <f t="shared" ca="1" si="113"/>
        <v/>
      </c>
      <c r="D717" s="993" t="str">
        <f t="shared" ca="1" si="114"/>
        <v/>
      </c>
      <c r="E717" s="993" t="str">
        <f t="shared" ca="1" si="115"/>
        <v/>
      </c>
      <c r="F717" s="992" t="str">
        <f t="shared" ca="1" si="123"/>
        <v/>
      </c>
      <c r="G717" s="994">
        <f t="shared" ca="1" si="116"/>
        <v>0</v>
      </c>
      <c r="H717" s="913">
        <f t="shared" ca="1" si="117"/>
        <v>0</v>
      </c>
      <c r="I717" s="913">
        <f t="shared" ca="1" si="118"/>
        <v>0</v>
      </c>
      <c r="J717" s="995">
        <f t="shared" ca="1" si="124"/>
        <v>0</v>
      </c>
      <c r="K717" s="913">
        <f t="shared" ca="1" si="119"/>
        <v>0</v>
      </c>
      <c r="L717" s="995">
        <f t="shared" ca="1" si="125"/>
        <v>0</v>
      </c>
      <c r="M717" s="913">
        <f t="shared" ca="1" si="120"/>
        <v>0</v>
      </c>
      <c r="N717" s="996">
        <f t="shared" ca="1" si="121"/>
        <v>0</v>
      </c>
      <c r="O717" s="997">
        <f t="shared" ca="1" si="122"/>
        <v>0</v>
      </c>
      <c r="P717" s="1015" t="str">
        <f ca="1">IF($C717="","",INDEX(NVLSX!$N$2:$N$6941,MATCH($C717,NVLSX!$E$2:$E$6941,0)))</f>
        <v/>
      </c>
      <c r="Q717" s="1016" t="str">
        <f ca="1">IF($R717="","",IF(XKNVLSX!$X$1="",IF($P717=$V$7,$P717, IF(COUNTIFS($C$2:$C716,$C717,$E$2:$E716,$E717)&gt;=1,"",$P717)),     IF(AND(IFERROR(SEARCH($R717,XKNVLSX!$X$1,1),0)&gt;=1,$P717=$V$7),$P717, IF(OR($R717&lt;&gt;IF(IFERROR(SEARCH($R717,XKNVLSX!$X$1,1),0)&gt;=1,$R717,XKNVLSX!$X$1),COUNTIFS($C$2:$C716,$C717,$E$2:$E716,$E717,$Q$2:$Q716,$P717)&gt;=1),"",$P717))))</f>
        <v/>
      </c>
      <c r="R717" s="1017" t="str">
        <f ca="1">IF($A717="","",IFERROR(INDEX(TinhGia!$BF$10:$BF$81,MATCH($A717,TinhGia!$B$10:$B$81,0)),""))</f>
        <v/>
      </c>
      <c r="S717" s="1012" t="str">
        <f ca="1">IF($A717="","",IF(OR(IFERROR(SEARCH($R717,XKNVLSX!$X$1,1),0)&gt;=1,XKNVLSX!$X$1=""),$S$2,""))</f>
        <v/>
      </c>
      <c r="T717" s="1018" t="str">
        <f ca="1">IF($C717="","", IF(OR($P717=$V$1,$P717=$V$7,COUNTIFS($C$3:$C717,$C717,$E$3:$E717,$E717)&lt;=1),$P717,""    ))</f>
        <v/>
      </c>
      <c r="U717" s="1019" t="str">
        <f ca="1">IF(AND($P717=$V$2,COUNTIFS($C$3:$C717,$C717,$E$3:$E717,$E717,$G$3:$G717,$G717)&lt;=1),$P717,"")</f>
        <v/>
      </c>
    </row>
    <row r="718" spans="1:21">
      <c r="A718" s="991" t="str">
        <f ca="1">IFERROR(IF(COUNTIF($A$3:A717,A717)&lt; INDEX(TinhGia!$BH$10:$BH$81,MATCH($A717,TinhGia!$B$10:$B$81,0)),$A717,INDEX(TinhGia!$B$10:$B$81,MATCH($A717,TinhGia!$B$10:$B$81,0)+1)),"")</f>
        <v/>
      </c>
      <c r="B718" s="525" t="str">
        <f ca="1">IF(OR(A718="",A718=0),"",IF(COUNTIF($A$2:A718,$A718)=1,ROW(MauKoXoa!$C$108),$B717+1))</f>
        <v/>
      </c>
      <c r="C718" s="992" t="str">
        <f t="shared" ca="1" si="113"/>
        <v/>
      </c>
      <c r="D718" s="993" t="str">
        <f t="shared" ca="1" si="114"/>
        <v/>
      </c>
      <c r="E718" s="993" t="str">
        <f t="shared" ca="1" si="115"/>
        <v/>
      </c>
      <c r="F718" s="992" t="str">
        <f t="shared" ca="1" si="123"/>
        <v/>
      </c>
      <c r="G718" s="994">
        <f t="shared" ca="1" si="116"/>
        <v>0</v>
      </c>
      <c r="H718" s="913">
        <f t="shared" ca="1" si="117"/>
        <v>0</v>
      </c>
      <c r="I718" s="913">
        <f t="shared" ca="1" si="118"/>
        <v>0</v>
      </c>
      <c r="J718" s="995">
        <f t="shared" ca="1" si="124"/>
        <v>0</v>
      </c>
      <c r="K718" s="913">
        <f t="shared" ca="1" si="119"/>
        <v>0</v>
      </c>
      <c r="L718" s="995">
        <f t="shared" ca="1" si="125"/>
        <v>0</v>
      </c>
      <c r="M718" s="913">
        <f t="shared" ca="1" si="120"/>
        <v>0</v>
      </c>
      <c r="N718" s="996">
        <f t="shared" ca="1" si="121"/>
        <v>0</v>
      </c>
      <c r="O718" s="997">
        <f t="shared" ca="1" si="122"/>
        <v>0</v>
      </c>
      <c r="P718" s="1015" t="str">
        <f ca="1">IF($C718="","",INDEX(NVLSX!$N$2:$N$6941,MATCH($C718,NVLSX!$E$2:$E$6941,0)))</f>
        <v/>
      </c>
      <c r="Q718" s="1016" t="str">
        <f ca="1">IF($R718="","",IF(XKNVLSX!$X$1="",IF($P718=$V$7,$P718, IF(COUNTIFS($C$2:$C717,$C718,$E$2:$E717,$E718)&gt;=1,"",$P718)),     IF(AND(IFERROR(SEARCH($R718,XKNVLSX!$X$1,1),0)&gt;=1,$P718=$V$7),$P718, IF(OR($R718&lt;&gt;IF(IFERROR(SEARCH($R718,XKNVLSX!$X$1,1),0)&gt;=1,$R718,XKNVLSX!$X$1),COUNTIFS($C$2:$C717,$C718,$E$2:$E717,$E718,$Q$2:$Q717,$P718)&gt;=1),"",$P718))))</f>
        <v/>
      </c>
      <c r="R718" s="1017" t="str">
        <f ca="1">IF($A718="","",IFERROR(INDEX(TinhGia!$BF$10:$BF$81,MATCH($A718,TinhGia!$B$10:$B$81,0)),""))</f>
        <v/>
      </c>
      <c r="S718" s="1012" t="str">
        <f ca="1">IF($A718="","",IF(OR(IFERROR(SEARCH($R718,XKNVLSX!$X$1,1),0)&gt;=1,XKNVLSX!$X$1=""),$S$2,""))</f>
        <v/>
      </c>
      <c r="T718" s="1018" t="str">
        <f ca="1">IF($C718="","", IF(OR($P718=$V$1,$P718=$V$7,COUNTIFS($C$3:$C718,$C718,$E$3:$E718,$E718)&lt;=1),$P718,""    ))</f>
        <v/>
      </c>
      <c r="U718" s="1019" t="str">
        <f ca="1">IF(AND($P718=$V$2,COUNTIFS($C$3:$C718,$C718,$E$3:$E718,$E718,$G$3:$G718,$G718)&lt;=1),$P718,"")</f>
        <v/>
      </c>
    </row>
    <row r="719" spans="1:21">
      <c r="A719" s="991" t="str">
        <f ca="1">IFERROR(IF(COUNTIF($A$3:A718,A718)&lt; INDEX(TinhGia!$BH$10:$BH$81,MATCH($A718,TinhGia!$B$10:$B$81,0)),$A718,INDEX(TinhGia!$B$10:$B$81,MATCH($A718,TinhGia!$B$10:$B$81,0)+1)),"")</f>
        <v/>
      </c>
      <c r="B719" s="525" t="str">
        <f ca="1">IF(OR(A719="",A719=0),"",IF(COUNTIF($A$2:A719,$A719)=1,ROW(MauKoXoa!$C$108),$B718+1))</f>
        <v/>
      </c>
      <c r="C719" s="992" t="str">
        <f t="shared" ca="1" si="113"/>
        <v/>
      </c>
      <c r="D719" s="993" t="str">
        <f t="shared" ca="1" si="114"/>
        <v/>
      </c>
      <c r="E719" s="993" t="str">
        <f t="shared" ca="1" si="115"/>
        <v/>
      </c>
      <c r="F719" s="992" t="str">
        <f t="shared" ca="1" si="123"/>
        <v/>
      </c>
      <c r="G719" s="994">
        <f t="shared" ca="1" si="116"/>
        <v>0</v>
      </c>
      <c r="H719" s="913">
        <f t="shared" ca="1" si="117"/>
        <v>0</v>
      </c>
      <c r="I719" s="913">
        <f t="shared" ca="1" si="118"/>
        <v>0</v>
      </c>
      <c r="J719" s="995">
        <f t="shared" ca="1" si="124"/>
        <v>0</v>
      </c>
      <c r="K719" s="913">
        <f t="shared" ca="1" si="119"/>
        <v>0</v>
      </c>
      <c r="L719" s="995">
        <f t="shared" ca="1" si="125"/>
        <v>0</v>
      </c>
      <c r="M719" s="913">
        <f t="shared" ca="1" si="120"/>
        <v>0</v>
      </c>
      <c r="N719" s="996">
        <f t="shared" ca="1" si="121"/>
        <v>0</v>
      </c>
      <c r="O719" s="997">
        <f t="shared" ca="1" si="122"/>
        <v>0</v>
      </c>
      <c r="P719" s="1015" t="str">
        <f ca="1">IF($C719="","",INDEX(NVLSX!$N$2:$N$6941,MATCH($C719,NVLSX!$E$2:$E$6941,0)))</f>
        <v/>
      </c>
      <c r="Q719" s="1016" t="str">
        <f ca="1">IF($R719="","",IF(XKNVLSX!$X$1="",IF($P719=$V$7,$P719, IF(COUNTIFS($C$2:$C718,$C719,$E$2:$E718,$E719)&gt;=1,"",$P719)),     IF(AND(IFERROR(SEARCH($R719,XKNVLSX!$X$1,1),0)&gt;=1,$P719=$V$7),$P719, IF(OR($R719&lt;&gt;IF(IFERROR(SEARCH($R719,XKNVLSX!$X$1,1),0)&gt;=1,$R719,XKNVLSX!$X$1),COUNTIFS($C$2:$C718,$C719,$E$2:$E718,$E719,$Q$2:$Q718,$P719)&gt;=1),"",$P719))))</f>
        <v/>
      </c>
      <c r="R719" s="1017" t="str">
        <f ca="1">IF($A719="","",IFERROR(INDEX(TinhGia!$BF$10:$BF$81,MATCH($A719,TinhGia!$B$10:$B$81,0)),""))</f>
        <v/>
      </c>
      <c r="S719" s="1012" t="str">
        <f ca="1">IF($A719="","",IF(OR(IFERROR(SEARCH($R719,XKNVLSX!$X$1,1),0)&gt;=1,XKNVLSX!$X$1=""),$S$2,""))</f>
        <v/>
      </c>
      <c r="T719" s="1018" t="str">
        <f ca="1">IF($C719="","", IF(OR($P719=$V$1,$P719=$V$7,COUNTIFS($C$3:$C719,$C719,$E$3:$E719,$E719)&lt;=1),$P719,""    ))</f>
        <v/>
      </c>
      <c r="U719" s="1019" t="str">
        <f ca="1">IF(AND($P719=$V$2,COUNTIFS($C$3:$C719,$C719,$E$3:$E719,$E719,$G$3:$G719,$G719)&lt;=1),$P719,"")</f>
        <v/>
      </c>
    </row>
    <row r="720" spans="1:21">
      <c r="A720" s="991" t="str">
        <f ca="1">IFERROR(IF(COUNTIF($A$3:A719,A719)&lt; INDEX(TinhGia!$BH$10:$BH$81,MATCH($A719,TinhGia!$B$10:$B$81,0)),$A719,INDEX(TinhGia!$B$10:$B$81,MATCH($A719,TinhGia!$B$10:$B$81,0)+1)),"")</f>
        <v/>
      </c>
      <c r="B720" s="525" t="str">
        <f ca="1">IF(OR(A720="",A720=0),"",IF(COUNTIF($A$2:A720,$A720)=1,ROW(MauKoXoa!$C$108),$B719+1))</f>
        <v/>
      </c>
      <c r="C720" s="992" t="str">
        <f t="shared" ca="1" si="113"/>
        <v/>
      </c>
      <c r="D720" s="993" t="str">
        <f t="shared" ca="1" si="114"/>
        <v/>
      </c>
      <c r="E720" s="993" t="str">
        <f t="shared" ca="1" si="115"/>
        <v/>
      </c>
      <c r="F720" s="992" t="str">
        <f t="shared" ca="1" si="123"/>
        <v/>
      </c>
      <c r="G720" s="994">
        <f t="shared" ca="1" si="116"/>
        <v>0</v>
      </c>
      <c r="H720" s="913">
        <f t="shared" ca="1" si="117"/>
        <v>0</v>
      </c>
      <c r="I720" s="913">
        <f t="shared" ca="1" si="118"/>
        <v>0</v>
      </c>
      <c r="J720" s="995">
        <f t="shared" ca="1" si="124"/>
        <v>0</v>
      </c>
      <c r="K720" s="913">
        <f t="shared" ca="1" si="119"/>
        <v>0</v>
      </c>
      <c r="L720" s="995">
        <f t="shared" ca="1" si="125"/>
        <v>0</v>
      </c>
      <c r="M720" s="913">
        <f t="shared" ca="1" si="120"/>
        <v>0</v>
      </c>
      <c r="N720" s="996">
        <f t="shared" ca="1" si="121"/>
        <v>0</v>
      </c>
      <c r="O720" s="997">
        <f t="shared" ca="1" si="122"/>
        <v>0</v>
      </c>
      <c r="P720" s="1015" t="str">
        <f ca="1">IF($C720="","",INDEX(NVLSX!$N$2:$N$6941,MATCH($C720,NVLSX!$E$2:$E$6941,0)))</f>
        <v/>
      </c>
      <c r="Q720" s="1016" t="str">
        <f ca="1">IF($R720="","",IF(XKNVLSX!$X$1="",IF($P720=$V$7,$P720, IF(COUNTIFS($C$2:$C719,$C720,$E$2:$E719,$E720)&gt;=1,"",$P720)),     IF(AND(IFERROR(SEARCH($R720,XKNVLSX!$X$1,1),0)&gt;=1,$P720=$V$7),$P720, IF(OR($R720&lt;&gt;IF(IFERROR(SEARCH($R720,XKNVLSX!$X$1,1),0)&gt;=1,$R720,XKNVLSX!$X$1),COUNTIFS($C$2:$C719,$C720,$E$2:$E719,$E720,$Q$2:$Q719,$P720)&gt;=1),"",$P720))))</f>
        <v/>
      </c>
      <c r="R720" s="1017" t="str">
        <f ca="1">IF($A720="","",IFERROR(INDEX(TinhGia!$BF$10:$BF$81,MATCH($A720,TinhGia!$B$10:$B$81,0)),""))</f>
        <v/>
      </c>
      <c r="S720" s="1012" t="str">
        <f ca="1">IF($A720="","",IF(OR(IFERROR(SEARCH($R720,XKNVLSX!$X$1,1),0)&gt;=1,XKNVLSX!$X$1=""),$S$2,""))</f>
        <v/>
      </c>
      <c r="T720" s="1018" t="str">
        <f ca="1">IF($C720="","", IF(OR($P720=$V$1,$P720=$V$7,COUNTIFS($C$3:$C720,$C720,$E$3:$E720,$E720)&lt;=1),$P720,""    ))</f>
        <v/>
      </c>
      <c r="U720" s="1019" t="str">
        <f ca="1">IF(AND($P720=$V$2,COUNTIFS($C$3:$C720,$C720,$E$3:$E720,$E720,$G$3:$G720,$G720)&lt;=1),$P720,"")</f>
        <v/>
      </c>
    </row>
    <row r="721" spans="1:21">
      <c r="A721" s="991" t="str">
        <f ca="1">IFERROR(IF(COUNTIF($A$3:A720,A720)&lt; INDEX(TinhGia!$BH$10:$BH$81,MATCH($A720,TinhGia!$B$10:$B$81,0)),$A720,INDEX(TinhGia!$B$10:$B$81,MATCH($A720,TinhGia!$B$10:$B$81,0)+1)),"")</f>
        <v/>
      </c>
      <c r="B721" s="525" t="str">
        <f ca="1">IF(OR(A721="",A721=0),"",IF(COUNTIF($A$2:A721,$A721)=1,ROW(MauKoXoa!$C$108),$B720+1))</f>
        <v/>
      </c>
      <c r="C721" s="992" t="str">
        <f t="shared" ca="1" si="113"/>
        <v/>
      </c>
      <c r="D721" s="993" t="str">
        <f t="shared" ca="1" si="114"/>
        <v/>
      </c>
      <c r="E721" s="993" t="str">
        <f t="shared" ca="1" si="115"/>
        <v/>
      </c>
      <c r="F721" s="992" t="str">
        <f t="shared" ca="1" si="123"/>
        <v/>
      </c>
      <c r="G721" s="994">
        <f t="shared" ca="1" si="116"/>
        <v>0</v>
      </c>
      <c r="H721" s="913">
        <f t="shared" ca="1" si="117"/>
        <v>0</v>
      </c>
      <c r="I721" s="913">
        <f t="shared" ca="1" si="118"/>
        <v>0</v>
      </c>
      <c r="J721" s="995">
        <f t="shared" ca="1" si="124"/>
        <v>0</v>
      </c>
      <c r="K721" s="913">
        <f t="shared" ca="1" si="119"/>
        <v>0</v>
      </c>
      <c r="L721" s="995">
        <f t="shared" ca="1" si="125"/>
        <v>0</v>
      </c>
      <c r="M721" s="913">
        <f t="shared" ca="1" si="120"/>
        <v>0</v>
      </c>
      <c r="N721" s="996">
        <f t="shared" ca="1" si="121"/>
        <v>0</v>
      </c>
      <c r="O721" s="997">
        <f t="shared" ca="1" si="122"/>
        <v>0</v>
      </c>
      <c r="P721" s="1015" t="str">
        <f ca="1">IF($C721="","",INDEX(NVLSX!$N$2:$N$6941,MATCH($C721,NVLSX!$E$2:$E$6941,0)))</f>
        <v/>
      </c>
      <c r="Q721" s="1016" t="str">
        <f ca="1">IF($R721="","",IF(XKNVLSX!$X$1="",IF($P721=$V$7,$P721, IF(COUNTIFS($C$2:$C720,$C721,$E$2:$E720,$E721)&gt;=1,"",$P721)),     IF(AND(IFERROR(SEARCH($R721,XKNVLSX!$X$1,1),0)&gt;=1,$P721=$V$7),$P721, IF(OR($R721&lt;&gt;IF(IFERROR(SEARCH($R721,XKNVLSX!$X$1,1),0)&gt;=1,$R721,XKNVLSX!$X$1),COUNTIFS($C$2:$C720,$C721,$E$2:$E720,$E721,$Q$2:$Q720,$P721)&gt;=1),"",$P721))))</f>
        <v/>
      </c>
      <c r="R721" s="1017" t="str">
        <f ca="1">IF($A721="","",IFERROR(INDEX(TinhGia!$BF$10:$BF$81,MATCH($A721,TinhGia!$B$10:$B$81,0)),""))</f>
        <v/>
      </c>
      <c r="S721" s="1012" t="str">
        <f ca="1">IF($A721="","",IF(OR(IFERROR(SEARCH($R721,XKNVLSX!$X$1,1),0)&gt;=1,XKNVLSX!$X$1=""),$S$2,""))</f>
        <v/>
      </c>
      <c r="T721" s="1018" t="str">
        <f ca="1">IF($C721="","", IF(OR($P721=$V$1,$P721=$V$7,COUNTIFS($C$3:$C721,$C721,$E$3:$E721,$E721)&lt;=1),$P721,""    ))</f>
        <v/>
      </c>
      <c r="U721" s="1019" t="str">
        <f ca="1">IF(AND($P721=$V$2,COUNTIFS($C$3:$C721,$C721,$E$3:$E721,$E721,$G$3:$G721,$G721)&lt;=1),$P721,"")</f>
        <v/>
      </c>
    </row>
    <row r="722" spans="1:21">
      <c r="A722" s="991" t="str">
        <f ca="1">IFERROR(IF(COUNTIF($A$3:A721,A721)&lt; INDEX(TinhGia!$BH$10:$BH$81,MATCH($A721,TinhGia!$B$10:$B$81,0)),$A721,INDEX(TinhGia!$B$10:$B$81,MATCH($A721,TinhGia!$B$10:$B$81,0)+1)),"")</f>
        <v/>
      </c>
      <c r="B722" s="525" t="str">
        <f ca="1">IF(OR(A722="",A722=0),"",IF(COUNTIF($A$2:A722,$A722)=1,ROW(MauKoXoa!$C$108),$B721+1))</f>
        <v/>
      </c>
      <c r="C722" s="992" t="str">
        <f t="shared" ca="1" si="113"/>
        <v/>
      </c>
      <c r="D722" s="993" t="str">
        <f t="shared" ca="1" si="114"/>
        <v/>
      </c>
      <c r="E722" s="993" t="str">
        <f t="shared" ca="1" si="115"/>
        <v/>
      </c>
      <c r="F722" s="992" t="str">
        <f t="shared" ca="1" si="123"/>
        <v/>
      </c>
      <c r="G722" s="994">
        <f t="shared" ca="1" si="116"/>
        <v>0</v>
      </c>
      <c r="H722" s="913">
        <f t="shared" ca="1" si="117"/>
        <v>0</v>
      </c>
      <c r="I722" s="913">
        <f t="shared" ca="1" si="118"/>
        <v>0</v>
      </c>
      <c r="J722" s="995">
        <f t="shared" ca="1" si="124"/>
        <v>0</v>
      </c>
      <c r="K722" s="913">
        <f t="shared" ca="1" si="119"/>
        <v>0</v>
      </c>
      <c r="L722" s="995">
        <f t="shared" ca="1" si="125"/>
        <v>0</v>
      </c>
      <c r="M722" s="913">
        <f t="shared" ca="1" si="120"/>
        <v>0</v>
      </c>
      <c r="N722" s="996">
        <f t="shared" ca="1" si="121"/>
        <v>0</v>
      </c>
      <c r="O722" s="997">
        <f t="shared" ca="1" si="122"/>
        <v>0</v>
      </c>
      <c r="P722" s="1015" t="str">
        <f ca="1">IF($C722="","",INDEX(NVLSX!$N$2:$N$6941,MATCH($C722,NVLSX!$E$2:$E$6941,0)))</f>
        <v/>
      </c>
      <c r="Q722" s="1016" t="str">
        <f ca="1">IF($R722="","",IF(XKNVLSX!$X$1="",IF($P722=$V$7,$P722, IF(COUNTIFS($C$2:$C721,$C722,$E$2:$E721,$E722)&gt;=1,"",$P722)),     IF(AND(IFERROR(SEARCH($R722,XKNVLSX!$X$1,1),0)&gt;=1,$P722=$V$7),$P722, IF(OR($R722&lt;&gt;IF(IFERROR(SEARCH($R722,XKNVLSX!$X$1,1),0)&gt;=1,$R722,XKNVLSX!$X$1),COUNTIFS($C$2:$C721,$C722,$E$2:$E721,$E722,$Q$2:$Q721,$P722)&gt;=1),"",$P722))))</f>
        <v/>
      </c>
      <c r="R722" s="1017" t="str">
        <f ca="1">IF($A722="","",IFERROR(INDEX(TinhGia!$BF$10:$BF$81,MATCH($A722,TinhGia!$B$10:$B$81,0)),""))</f>
        <v/>
      </c>
      <c r="S722" s="1012" t="str">
        <f ca="1">IF($A722="","",IF(OR(IFERROR(SEARCH($R722,XKNVLSX!$X$1,1),0)&gt;=1,XKNVLSX!$X$1=""),$S$2,""))</f>
        <v/>
      </c>
      <c r="T722" s="1018" t="str">
        <f ca="1">IF($C722="","", IF(OR($P722=$V$1,$P722=$V$7,COUNTIFS($C$3:$C722,$C722,$E$3:$E722,$E722)&lt;=1),$P722,""    ))</f>
        <v/>
      </c>
      <c r="U722" s="1019" t="str">
        <f ca="1">IF(AND($P722=$V$2,COUNTIFS($C$3:$C722,$C722,$E$3:$E722,$E722,$G$3:$G722,$G722)&lt;=1),$P722,"")</f>
        <v/>
      </c>
    </row>
    <row r="723" spans="1:21">
      <c r="A723" s="991" t="str">
        <f ca="1">IFERROR(IF(COUNTIF($A$3:A722,A722)&lt; INDEX(TinhGia!$BH$10:$BH$81,MATCH($A722,TinhGia!$B$10:$B$81,0)),$A722,INDEX(TinhGia!$B$10:$B$81,MATCH($A722,TinhGia!$B$10:$B$81,0)+1)),"")</f>
        <v/>
      </c>
      <c r="B723" s="525" t="str">
        <f ca="1">IF(OR(A723="",A723=0),"",IF(COUNTIF($A$2:A723,$A723)=1,ROW(MauKoXoa!$C$108),$B722+1))</f>
        <v/>
      </c>
      <c r="C723" s="992" t="str">
        <f t="shared" ca="1" si="113"/>
        <v/>
      </c>
      <c r="D723" s="993" t="str">
        <f t="shared" ca="1" si="114"/>
        <v/>
      </c>
      <c r="E723" s="993" t="str">
        <f t="shared" ca="1" si="115"/>
        <v/>
      </c>
      <c r="F723" s="992" t="str">
        <f t="shared" ca="1" si="123"/>
        <v/>
      </c>
      <c r="G723" s="994">
        <f t="shared" ca="1" si="116"/>
        <v>0</v>
      </c>
      <c r="H723" s="913">
        <f t="shared" ca="1" si="117"/>
        <v>0</v>
      </c>
      <c r="I723" s="913">
        <f t="shared" ca="1" si="118"/>
        <v>0</v>
      </c>
      <c r="J723" s="995">
        <f t="shared" ca="1" si="124"/>
        <v>0</v>
      </c>
      <c r="K723" s="913">
        <f t="shared" ca="1" si="119"/>
        <v>0</v>
      </c>
      <c r="L723" s="995">
        <f t="shared" ca="1" si="125"/>
        <v>0</v>
      </c>
      <c r="M723" s="913">
        <f t="shared" ca="1" si="120"/>
        <v>0</v>
      </c>
      <c r="N723" s="996">
        <f t="shared" ca="1" si="121"/>
        <v>0</v>
      </c>
      <c r="O723" s="997">
        <f t="shared" ca="1" si="122"/>
        <v>0</v>
      </c>
      <c r="P723" s="1015" t="str">
        <f ca="1">IF($C723="","",INDEX(NVLSX!$N$2:$N$6941,MATCH($C723,NVLSX!$E$2:$E$6941,0)))</f>
        <v/>
      </c>
      <c r="Q723" s="1016" t="str">
        <f ca="1">IF($R723="","",IF(XKNVLSX!$X$1="",IF($P723=$V$7,$P723, IF(COUNTIFS($C$2:$C722,$C723,$E$2:$E722,$E723)&gt;=1,"",$P723)),     IF(AND(IFERROR(SEARCH($R723,XKNVLSX!$X$1,1),0)&gt;=1,$P723=$V$7),$P723, IF(OR($R723&lt;&gt;IF(IFERROR(SEARCH($R723,XKNVLSX!$X$1,1),0)&gt;=1,$R723,XKNVLSX!$X$1),COUNTIFS($C$2:$C722,$C723,$E$2:$E722,$E723,$Q$2:$Q722,$P723)&gt;=1),"",$P723))))</f>
        <v/>
      </c>
      <c r="R723" s="1017" t="str">
        <f ca="1">IF($A723="","",IFERROR(INDEX(TinhGia!$BF$10:$BF$81,MATCH($A723,TinhGia!$B$10:$B$81,0)),""))</f>
        <v/>
      </c>
      <c r="S723" s="1012" t="str">
        <f ca="1">IF($A723="","",IF(OR(IFERROR(SEARCH($R723,XKNVLSX!$X$1,1),0)&gt;=1,XKNVLSX!$X$1=""),$S$2,""))</f>
        <v/>
      </c>
      <c r="T723" s="1018" t="str">
        <f ca="1">IF($C723="","", IF(OR($P723=$V$1,$P723=$V$7,COUNTIFS($C$3:$C723,$C723,$E$3:$E723,$E723)&lt;=1),$P723,""    ))</f>
        <v/>
      </c>
      <c r="U723" s="1019" t="str">
        <f ca="1">IF(AND($P723=$V$2,COUNTIFS($C$3:$C723,$C723,$E$3:$E723,$E723,$G$3:$G723,$G723)&lt;=1),$P723,"")</f>
        <v/>
      </c>
    </row>
    <row r="724" spans="1:21">
      <c r="A724" s="991" t="str">
        <f ca="1">IFERROR(IF(COUNTIF($A$3:A723,A723)&lt; INDEX(TinhGia!$BH$10:$BH$81,MATCH($A723,TinhGia!$B$10:$B$81,0)),$A723,INDEX(TinhGia!$B$10:$B$81,MATCH($A723,TinhGia!$B$10:$B$81,0)+1)),"")</f>
        <v/>
      </c>
      <c r="B724" s="525" t="str">
        <f ca="1">IF(OR(A724="",A724=0),"",IF(COUNTIF($A$2:A724,$A724)=1,ROW(MauKoXoa!$C$108),$B723+1))</f>
        <v/>
      </c>
      <c r="C724" s="992" t="str">
        <f t="shared" ca="1" si="113"/>
        <v/>
      </c>
      <c r="D724" s="993" t="str">
        <f t="shared" ca="1" si="114"/>
        <v/>
      </c>
      <c r="E724" s="993" t="str">
        <f t="shared" ca="1" si="115"/>
        <v/>
      </c>
      <c r="F724" s="992" t="str">
        <f t="shared" ca="1" si="123"/>
        <v/>
      </c>
      <c r="G724" s="994">
        <f t="shared" ca="1" si="116"/>
        <v>0</v>
      </c>
      <c r="H724" s="913">
        <f t="shared" ca="1" si="117"/>
        <v>0</v>
      </c>
      <c r="I724" s="913">
        <f t="shared" ca="1" si="118"/>
        <v>0</v>
      </c>
      <c r="J724" s="995">
        <f t="shared" ca="1" si="124"/>
        <v>0</v>
      </c>
      <c r="K724" s="913">
        <f t="shared" ca="1" si="119"/>
        <v>0</v>
      </c>
      <c r="L724" s="995">
        <f t="shared" ca="1" si="125"/>
        <v>0</v>
      </c>
      <c r="M724" s="913">
        <f t="shared" ca="1" si="120"/>
        <v>0</v>
      </c>
      <c r="N724" s="996">
        <f t="shared" ca="1" si="121"/>
        <v>0</v>
      </c>
      <c r="O724" s="997">
        <f t="shared" ca="1" si="122"/>
        <v>0</v>
      </c>
      <c r="P724" s="1015" t="str">
        <f ca="1">IF($C724="","",INDEX(NVLSX!$N$2:$N$6941,MATCH($C724,NVLSX!$E$2:$E$6941,0)))</f>
        <v/>
      </c>
      <c r="Q724" s="1016" t="str">
        <f ca="1">IF($R724="","",IF(XKNVLSX!$X$1="",IF($P724=$V$7,$P724, IF(COUNTIFS($C$2:$C723,$C724,$E$2:$E723,$E724)&gt;=1,"",$P724)),     IF(AND(IFERROR(SEARCH($R724,XKNVLSX!$X$1,1),0)&gt;=1,$P724=$V$7),$P724, IF(OR($R724&lt;&gt;IF(IFERROR(SEARCH($R724,XKNVLSX!$X$1,1),0)&gt;=1,$R724,XKNVLSX!$X$1),COUNTIFS($C$2:$C723,$C724,$E$2:$E723,$E724,$Q$2:$Q723,$P724)&gt;=1),"",$P724))))</f>
        <v/>
      </c>
      <c r="R724" s="1017" t="str">
        <f ca="1">IF($A724="","",IFERROR(INDEX(TinhGia!$BF$10:$BF$81,MATCH($A724,TinhGia!$B$10:$B$81,0)),""))</f>
        <v/>
      </c>
      <c r="S724" s="1012" t="str">
        <f ca="1">IF($A724="","",IF(OR(IFERROR(SEARCH($R724,XKNVLSX!$X$1,1),0)&gt;=1,XKNVLSX!$X$1=""),$S$2,""))</f>
        <v/>
      </c>
      <c r="T724" s="1018" t="str">
        <f ca="1">IF($C724="","", IF(OR($P724=$V$1,$P724=$V$7,COUNTIFS($C$3:$C724,$C724,$E$3:$E724,$E724)&lt;=1),$P724,""    ))</f>
        <v/>
      </c>
      <c r="U724" s="1019" t="str">
        <f ca="1">IF(AND($P724=$V$2,COUNTIFS($C$3:$C724,$C724,$E$3:$E724,$E724,$G$3:$G724,$G724)&lt;=1),$P724,"")</f>
        <v/>
      </c>
    </row>
    <row r="725" spans="1:21">
      <c r="A725" s="991" t="str">
        <f ca="1">IFERROR(IF(COUNTIF($A$3:A724,A724)&lt; INDEX(TinhGia!$BH$10:$BH$81,MATCH($A724,TinhGia!$B$10:$B$81,0)),$A724,INDEX(TinhGia!$B$10:$B$81,MATCH($A724,TinhGia!$B$10:$B$81,0)+1)),"")</f>
        <v/>
      </c>
      <c r="B725" s="525" t="str">
        <f ca="1">IF(OR(A725="",A725=0),"",IF(COUNTIF($A$2:A725,$A725)=1,ROW(MauKoXoa!$C$108),$B724+1))</f>
        <v/>
      </c>
      <c r="C725" s="992" t="str">
        <f t="shared" ca="1" si="113"/>
        <v/>
      </c>
      <c r="D725" s="993" t="str">
        <f t="shared" ca="1" si="114"/>
        <v/>
      </c>
      <c r="E725" s="993" t="str">
        <f t="shared" ca="1" si="115"/>
        <v/>
      </c>
      <c r="F725" s="992" t="str">
        <f t="shared" ca="1" si="123"/>
        <v/>
      </c>
      <c r="G725" s="994">
        <f t="shared" ca="1" si="116"/>
        <v>0</v>
      </c>
      <c r="H725" s="913">
        <f t="shared" ca="1" si="117"/>
        <v>0</v>
      </c>
      <c r="I725" s="913">
        <f t="shared" ca="1" si="118"/>
        <v>0</v>
      </c>
      <c r="J725" s="995">
        <f t="shared" ca="1" si="124"/>
        <v>0</v>
      </c>
      <c r="K725" s="913">
        <f t="shared" ca="1" si="119"/>
        <v>0</v>
      </c>
      <c r="L725" s="995">
        <f t="shared" ca="1" si="125"/>
        <v>0</v>
      </c>
      <c r="M725" s="913">
        <f t="shared" ca="1" si="120"/>
        <v>0</v>
      </c>
      <c r="N725" s="996">
        <f t="shared" ca="1" si="121"/>
        <v>0</v>
      </c>
      <c r="O725" s="997">
        <f t="shared" ca="1" si="122"/>
        <v>0</v>
      </c>
      <c r="P725" s="1015" t="str">
        <f ca="1">IF($C725="","",INDEX(NVLSX!$N$2:$N$6941,MATCH($C725,NVLSX!$E$2:$E$6941,0)))</f>
        <v/>
      </c>
      <c r="Q725" s="1016" t="str">
        <f ca="1">IF($R725="","",IF(XKNVLSX!$X$1="",IF($P725=$V$7,$P725, IF(COUNTIFS($C$2:$C724,$C725,$E$2:$E724,$E725)&gt;=1,"",$P725)),     IF(AND(IFERROR(SEARCH($R725,XKNVLSX!$X$1,1),0)&gt;=1,$P725=$V$7),$P725, IF(OR($R725&lt;&gt;IF(IFERROR(SEARCH($R725,XKNVLSX!$X$1,1),0)&gt;=1,$R725,XKNVLSX!$X$1),COUNTIFS($C$2:$C724,$C725,$E$2:$E724,$E725,$Q$2:$Q724,$P725)&gt;=1),"",$P725))))</f>
        <v/>
      </c>
      <c r="R725" s="1017" t="str">
        <f ca="1">IF($A725="","",IFERROR(INDEX(TinhGia!$BF$10:$BF$81,MATCH($A725,TinhGia!$B$10:$B$81,0)),""))</f>
        <v/>
      </c>
      <c r="S725" s="1012" t="str">
        <f ca="1">IF($A725="","",IF(OR(IFERROR(SEARCH($R725,XKNVLSX!$X$1,1),0)&gt;=1,XKNVLSX!$X$1=""),$S$2,""))</f>
        <v/>
      </c>
      <c r="T725" s="1018" t="str">
        <f ca="1">IF($C725="","", IF(OR($P725=$V$1,$P725=$V$7,COUNTIFS($C$3:$C725,$C725,$E$3:$E725,$E725)&lt;=1),$P725,""    ))</f>
        <v/>
      </c>
      <c r="U725" s="1019" t="str">
        <f ca="1">IF(AND($P725=$V$2,COUNTIFS($C$3:$C725,$C725,$E$3:$E725,$E725,$G$3:$G725,$G725)&lt;=1),$P725,"")</f>
        <v/>
      </c>
    </row>
    <row r="726" spans="1:21">
      <c r="A726" s="991" t="str">
        <f ca="1">IFERROR(IF(COUNTIF($A$3:A725,A725)&lt; INDEX(TinhGia!$BH$10:$BH$81,MATCH($A725,TinhGia!$B$10:$B$81,0)),$A725,INDEX(TinhGia!$B$10:$B$81,MATCH($A725,TinhGia!$B$10:$B$81,0)+1)),"")</f>
        <v/>
      </c>
      <c r="B726" s="525" t="str">
        <f ca="1">IF(OR(A726="",A726=0),"",IF(COUNTIF($A$2:A726,$A726)=1,ROW(MauKoXoa!$C$108),$B725+1))</f>
        <v/>
      </c>
      <c r="C726" s="992" t="str">
        <f t="shared" ca="1" si="113"/>
        <v/>
      </c>
      <c r="D726" s="993" t="str">
        <f t="shared" ca="1" si="114"/>
        <v/>
      </c>
      <c r="E726" s="993" t="str">
        <f t="shared" ca="1" si="115"/>
        <v/>
      </c>
      <c r="F726" s="992" t="str">
        <f t="shared" ca="1" si="123"/>
        <v/>
      </c>
      <c r="G726" s="994">
        <f t="shared" ca="1" si="116"/>
        <v>0</v>
      </c>
      <c r="H726" s="913">
        <f t="shared" ca="1" si="117"/>
        <v>0</v>
      </c>
      <c r="I726" s="913">
        <f t="shared" ca="1" si="118"/>
        <v>0</v>
      </c>
      <c r="J726" s="995">
        <f t="shared" ca="1" si="124"/>
        <v>0</v>
      </c>
      <c r="K726" s="913">
        <f t="shared" ca="1" si="119"/>
        <v>0</v>
      </c>
      <c r="L726" s="995">
        <f t="shared" ca="1" si="125"/>
        <v>0</v>
      </c>
      <c r="M726" s="913">
        <f t="shared" ca="1" si="120"/>
        <v>0</v>
      </c>
      <c r="N726" s="996">
        <f t="shared" ca="1" si="121"/>
        <v>0</v>
      </c>
      <c r="O726" s="997">
        <f t="shared" ca="1" si="122"/>
        <v>0</v>
      </c>
      <c r="P726" s="1015" t="str">
        <f ca="1">IF($C726="","",INDEX(NVLSX!$N$2:$N$6941,MATCH($C726,NVLSX!$E$2:$E$6941,0)))</f>
        <v/>
      </c>
      <c r="Q726" s="1016" t="str">
        <f ca="1">IF($R726="","",IF(XKNVLSX!$X$1="",IF($P726=$V$7,$P726, IF(COUNTIFS($C$2:$C725,$C726,$E$2:$E725,$E726)&gt;=1,"",$P726)),     IF(AND(IFERROR(SEARCH($R726,XKNVLSX!$X$1,1),0)&gt;=1,$P726=$V$7),$P726, IF(OR($R726&lt;&gt;IF(IFERROR(SEARCH($R726,XKNVLSX!$X$1,1),0)&gt;=1,$R726,XKNVLSX!$X$1),COUNTIFS($C$2:$C725,$C726,$E$2:$E725,$E726,$Q$2:$Q725,$P726)&gt;=1),"",$P726))))</f>
        <v/>
      </c>
      <c r="R726" s="1017" t="str">
        <f ca="1">IF($A726="","",IFERROR(INDEX(TinhGia!$BF$10:$BF$81,MATCH($A726,TinhGia!$B$10:$B$81,0)),""))</f>
        <v/>
      </c>
      <c r="S726" s="1012" t="str">
        <f ca="1">IF($A726="","",IF(OR(IFERROR(SEARCH($R726,XKNVLSX!$X$1,1),0)&gt;=1,XKNVLSX!$X$1=""),$S$2,""))</f>
        <v/>
      </c>
      <c r="T726" s="1018" t="str">
        <f ca="1">IF($C726="","", IF(OR($P726=$V$1,$P726=$V$7,COUNTIFS($C$3:$C726,$C726,$E$3:$E726,$E726)&lt;=1),$P726,""    ))</f>
        <v/>
      </c>
      <c r="U726" s="1019" t="str">
        <f ca="1">IF(AND($P726=$V$2,COUNTIFS($C$3:$C726,$C726,$E$3:$E726,$E726,$G$3:$G726,$G726)&lt;=1),$P726,"")</f>
        <v/>
      </c>
    </row>
    <row r="727" spans="1:21">
      <c r="A727" s="991" t="str">
        <f ca="1">IFERROR(IF(COUNTIF($A$3:A726,A726)&lt; INDEX(TinhGia!$BH$10:$BH$81,MATCH($A726,TinhGia!$B$10:$B$81,0)),$A726,INDEX(TinhGia!$B$10:$B$81,MATCH($A726,TinhGia!$B$10:$B$81,0)+1)),"")</f>
        <v/>
      </c>
      <c r="B727" s="525" t="str">
        <f ca="1">IF(OR(A727="",A727=0),"",IF(COUNTIF($A$2:A727,$A727)=1,ROW(MauKoXoa!$C$108),$B726+1))</f>
        <v/>
      </c>
      <c r="C727" s="992" t="str">
        <f t="shared" ca="1" si="113"/>
        <v/>
      </c>
      <c r="D727" s="993" t="str">
        <f t="shared" ca="1" si="114"/>
        <v/>
      </c>
      <c r="E727" s="993" t="str">
        <f t="shared" ca="1" si="115"/>
        <v/>
      </c>
      <c r="F727" s="992" t="str">
        <f t="shared" ca="1" si="123"/>
        <v/>
      </c>
      <c r="G727" s="994">
        <f t="shared" ca="1" si="116"/>
        <v>0</v>
      </c>
      <c r="H727" s="913">
        <f t="shared" ca="1" si="117"/>
        <v>0</v>
      </c>
      <c r="I727" s="913">
        <f t="shared" ca="1" si="118"/>
        <v>0</v>
      </c>
      <c r="J727" s="995">
        <f t="shared" ca="1" si="124"/>
        <v>0</v>
      </c>
      <c r="K727" s="913">
        <f t="shared" ca="1" si="119"/>
        <v>0</v>
      </c>
      <c r="L727" s="995">
        <f t="shared" ca="1" si="125"/>
        <v>0</v>
      </c>
      <c r="M727" s="913">
        <f t="shared" ca="1" si="120"/>
        <v>0</v>
      </c>
      <c r="N727" s="996">
        <f t="shared" ca="1" si="121"/>
        <v>0</v>
      </c>
      <c r="O727" s="997">
        <f t="shared" ca="1" si="122"/>
        <v>0</v>
      </c>
      <c r="P727" s="1015" t="str">
        <f ca="1">IF($C727="","",INDEX(NVLSX!$N$2:$N$6941,MATCH($C727,NVLSX!$E$2:$E$6941,0)))</f>
        <v/>
      </c>
      <c r="Q727" s="1016" t="str">
        <f ca="1">IF($R727="","",IF(XKNVLSX!$X$1="",IF($P727=$V$7,$P727, IF(COUNTIFS($C$2:$C726,$C727,$E$2:$E726,$E727)&gt;=1,"",$P727)),     IF(AND(IFERROR(SEARCH($R727,XKNVLSX!$X$1,1),0)&gt;=1,$P727=$V$7),$P727, IF(OR($R727&lt;&gt;IF(IFERROR(SEARCH($R727,XKNVLSX!$X$1,1),0)&gt;=1,$R727,XKNVLSX!$X$1),COUNTIFS($C$2:$C726,$C727,$E$2:$E726,$E727,$Q$2:$Q726,$P727)&gt;=1),"",$P727))))</f>
        <v/>
      </c>
      <c r="R727" s="1017" t="str">
        <f ca="1">IF($A727="","",IFERROR(INDEX(TinhGia!$BF$10:$BF$81,MATCH($A727,TinhGia!$B$10:$B$81,0)),""))</f>
        <v/>
      </c>
      <c r="S727" s="1012" t="str">
        <f ca="1">IF($A727="","",IF(OR(IFERROR(SEARCH($R727,XKNVLSX!$X$1,1),0)&gt;=1,XKNVLSX!$X$1=""),$S$2,""))</f>
        <v/>
      </c>
      <c r="T727" s="1018" t="str">
        <f ca="1">IF($C727="","", IF(OR($P727=$V$1,$P727=$V$7,COUNTIFS($C$3:$C727,$C727,$E$3:$E727,$E727)&lt;=1),$P727,""    ))</f>
        <v/>
      </c>
      <c r="U727" s="1019" t="str">
        <f ca="1">IF(AND($P727=$V$2,COUNTIFS($C$3:$C727,$C727,$E$3:$E727,$E727,$G$3:$G727,$G727)&lt;=1),$P727,"")</f>
        <v/>
      </c>
    </row>
    <row r="728" spans="1:21">
      <c r="A728" s="991" t="str">
        <f ca="1">IFERROR(IF(COUNTIF($A$3:A727,A727)&lt; INDEX(TinhGia!$BH$10:$BH$81,MATCH($A727,TinhGia!$B$10:$B$81,0)),$A727,INDEX(TinhGia!$B$10:$B$81,MATCH($A727,TinhGia!$B$10:$B$81,0)+1)),"")</f>
        <v/>
      </c>
      <c r="B728" s="525" t="str">
        <f ca="1">IF(OR(A728="",A728=0),"",IF(COUNTIF($A$2:A728,$A728)=1,ROW(MauKoXoa!$C$108),$B727+1))</f>
        <v/>
      </c>
      <c r="C728" s="992" t="str">
        <f t="shared" ca="1" si="113"/>
        <v/>
      </c>
      <c r="D728" s="993" t="str">
        <f t="shared" ca="1" si="114"/>
        <v/>
      </c>
      <c r="E728" s="993" t="str">
        <f t="shared" ca="1" si="115"/>
        <v/>
      </c>
      <c r="F728" s="992" t="str">
        <f t="shared" ca="1" si="123"/>
        <v/>
      </c>
      <c r="G728" s="994">
        <f t="shared" ca="1" si="116"/>
        <v>0</v>
      </c>
      <c r="H728" s="913">
        <f t="shared" ca="1" si="117"/>
        <v>0</v>
      </c>
      <c r="I728" s="913">
        <f t="shared" ca="1" si="118"/>
        <v>0</v>
      </c>
      <c r="J728" s="995">
        <f t="shared" ca="1" si="124"/>
        <v>0</v>
      </c>
      <c r="K728" s="913">
        <f t="shared" ca="1" si="119"/>
        <v>0</v>
      </c>
      <c r="L728" s="995">
        <f t="shared" ca="1" si="125"/>
        <v>0</v>
      </c>
      <c r="M728" s="913">
        <f t="shared" ca="1" si="120"/>
        <v>0</v>
      </c>
      <c r="N728" s="996">
        <f t="shared" ca="1" si="121"/>
        <v>0</v>
      </c>
      <c r="O728" s="997">
        <f t="shared" ca="1" si="122"/>
        <v>0</v>
      </c>
      <c r="P728" s="1015" t="str">
        <f ca="1">IF($C728="","",INDEX(NVLSX!$N$2:$N$6941,MATCH($C728,NVLSX!$E$2:$E$6941,0)))</f>
        <v/>
      </c>
      <c r="Q728" s="1016" t="str">
        <f ca="1">IF($R728="","",IF(XKNVLSX!$X$1="",IF($P728=$V$7,$P728, IF(COUNTIFS($C$2:$C727,$C728,$E$2:$E727,$E728)&gt;=1,"",$P728)),     IF(AND(IFERROR(SEARCH($R728,XKNVLSX!$X$1,1),0)&gt;=1,$P728=$V$7),$P728, IF(OR($R728&lt;&gt;IF(IFERROR(SEARCH($R728,XKNVLSX!$X$1,1),0)&gt;=1,$R728,XKNVLSX!$X$1),COUNTIFS($C$2:$C727,$C728,$E$2:$E727,$E728,$Q$2:$Q727,$P728)&gt;=1),"",$P728))))</f>
        <v/>
      </c>
      <c r="R728" s="1017" t="str">
        <f ca="1">IF($A728="","",IFERROR(INDEX(TinhGia!$BF$10:$BF$81,MATCH($A728,TinhGia!$B$10:$B$81,0)),""))</f>
        <v/>
      </c>
      <c r="S728" s="1012" t="str">
        <f ca="1">IF($A728="","",IF(OR(IFERROR(SEARCH($R728,XKNVLSX!$X$1,1),0)&gt;=1,XKNVLSX!$X$1=""),$S$2,""))</f>
        <v/>
      </c>
      <c r="T728" s="1018" t="str">
        <f ca="1">IF($C728="","", IF(OR($P728=$V$1,$P728=$V$7,COUNTIFS($C$3:$C728,$C728,$E$3:$E728,$E728)&lt;=1),$P728,""    ))</f>
        <v/>
      </c>
      <c r="U728" s="1019" t="str">
        <f ca="1">IF(AND($P728=$V$2,COUNTIFS($C$3:$C728,$C728,$E$3:$E728,$E728,$G$3:$G728,$G728)&lt;=1),$P728,"")</f>
        <v/>
      </c>
    </row>
    <row r="729" spans="1:21">
      <c r="A729" s="991" t="str">
        <f ca="1">IFERROR(IF(COUNTIF($A$3:A728,A728)&lt; INDEX(TinhGia!$BH$10:$BH$81,MATCH($A728,TinhGia!$B$10:$B$81,0)),$A728,INDEX(TinhGia!$B$10:$B$81,MATCH($A728,TinhGia!$B$10:$B$81,0)+1)),"")</f>
        <v/>
      </c>
      <c r="B729" s="525" t="str">
        <f ca="1">IF(OR(A729="",A729=0),"",IF(COUNTIF($A$2:A729,$A729)=1,ROW(MauKoXoa!$C$108),$B728+1))</f>
        <v/>
      </c>
      <c r="C729" s="992" t="str">
        <f t="shared" ca="1" si="113"/>
        <v/>
      </c>
      <c r="D729" s="993" t="str">
        <f t="shared" ca="1" si="114"/>
        <v/>
      </c>
      <c r="E729" s="993" t="str">
        <f t="shared" ca="1" si="115"/>
        <v/>
      </c>
      <c r="F729" s="992" t="str">
        <f t="shared" ca="1" si="123"/>
        <v/>
      </c>
      <c r="G729" s="994">
        <f t="shared" ca="1" si="116"/>
        <v>0</v>
      </c>
      <c r="H729" s="913">
        <f t="shared" ca="1" si="117"/>
        <v>0</v>
      </c>
      <c r="I729" s="913">
        <f t="shared" ca="1" si="118"/>
        <v>0</v>
      </c>
      <c r="J729" s="995">
        <f t="shared" ca="1" si="124"/>
        <v>0</v>
      </c>
      <c r="K729" s="913">
        <f t="shared" ca="1" si="119"/>
        <v>0</v>
      </c>
      <c r="L729" s="995">
        <f t="shared" ca="1" si="125"/>
        <v>0</v>
      </c>
      <c r="M729" s="913">
        <f t="shared" ca="1" si="120"/>
        <v>0</v>
      </c>
      <c r="N729" s="996">
        <f t="shared" ca="1" si="121"/>
        <v>0</v>
      </c>
      <c r="O729" s="997">
        <f t="shared" ca="1" si="122"/>
        <v>0</v>
      </c>
      <c r="P729" s="1015" t="str">
        <f ca="1">IF($C729="","",INDEX(NVLSX!$N$2:$N$6941,MATCH($C729,NVLSX!$E$2:$E$6941,0)))</f>
        <v/>
      </c>
      <c r="Q729" s="1016" t="str">
        <f ca="1">IF($R729="","",IF(XKNVLSX!$X$1="",IF($P729=$V$7,$P729, IF(COUNTIFS($C$2:$C728,$C729,$E$2:$E728,$E729)&gt;=1,"",$P729)),     IF(AND(IFERROR(SEARCH($R729,XKNVLSX!$X$1,1),0)&gt;=1,$P729=$V$7),$P729, IF(OR($R729&lt;&gt;IF(IFERROR(SEARCH($R729,XKNVLSX!$X$1,1),0)&gt;=1,$R729,XKNVLSX!$X$1),COUNTIFS($C$2:$C728,$C729,$E$2:$E728,$E729,$Q$2:$Q728,$P729)&gt;=1),"",$P729))))</f>
        <v/>
      </c>
      <c r="R729" s="1017" t="str">
        <f ca="1">IF($A729="","",IFERROR(INDEX(TinhGia!$BF$10:$BF$81,MATCH($A729,TinhGia!$B$10:$B$81,0)),""))</f>
        <v/>
      </c>
      <c r="S729" s="1012" t="str">
        <f ca="1">IF($A729="","",IF(OR(IFERROR(SEARCH($R729,XKNVLSX!$X$1,1),0)&gt;=1,XKNVLSX!$X$1=""),$S$2,""))</f>
        <v/>
      </c>
      <c r="T729" s="1018" t="str">
        <f ca="1">IF($C729="","", IF(OR($P729=$V$1,$P729=$V$7,COUNTIFS($C$3:$C729,$C729,$E$3:$E729,$E729)&lt;=1),$P729,""    ))</f>
        <v/>
      </c>
      <c r="U729" s="1019" t="str">
        <f ca="1">IF(AND($P729=$V$2,COUNTIFS($C$3:$C729,$C729,$E$3:$E729,$E729,$G$3:$G729,$G729)&lt;=1),$P729,"")</f>
        <v/>
      </c>
    </row>
    <row r="730" spans="1:21">
      <c r="A730" s="991" t="str">
        <f ca="1">IFERROR(IF(COUNTIF($A$3:A729,A729)&lt; INDEX(TinhGia!$BH$10:$BH$81,MATCH($A729,TinhGia!$B$10:$B$81,0)),$A729,INDEX(TinhGia!$B$10:$B$81,MATCH($A729,TinhGia!$B$10:$B$81,0)+1)),"")</f>
        <v/>
      </c>
      <c r="B730" s="525" t="str">
        <f ca="1">IF(OR(A730="",A730=0),"",IF(COUNTIF($A$2:A730,$A730)=1,ROW(MauKoXoa!$C$108),$B729+1))</f>
        <v/>
      </c>
      <c r="C730" s="992" t="str">
        <f t="shared" ca="1" si="113"/>
        <v/>
      </c>
      <c r="D730" s="993" t="str">
        <f t="shared" ca="1" si="114"/>
        <v/>
      </c>
      <c r="E730" s="993" t="str">
        <f t="shared" ca="1" si="115"/>
        <v/>
      </c>
      <c r="F730" s="992" t="str">
        <f t="shared" ca="1" si="123"/>
        <v/>
      </c>
      <c r="G730" s="994">
        <f t="shared" ca="1" si="116"/>
        <v>0</v>
      </c>
      <c r="H730" s="913">
        <f t="shared" ca="1" si="117"/>
        <v>0</v>
      </c>
      <c r="I730" s="913">
        <f t="shared" ca="1" si="118"/>
        <v>0</v>
      </c>
      <c r="J730" s="995">
        <f t="shared" ca="1" si="124"/>
        <v>0</v>
      </c>
      <c r="K730" s="913">
        <f t="shared" ca="1" si="119"/>
        <v>0</v>
      </c>
      <c r="L730" s="995">
        <f t="shared" ca="1" si="125"/>
        <v>0</v>
      </c>
      <c r="M730" s="913">
        <f t="shared" ca="1" si="120"/>
        <v>0</v>
      </c>
      <c r="N730" s="996">
        <f t="shared" ca="1" si="121"/>
        <v>0</v>
      </c>
      <c r="O730" s="997">
        <f t="shared" ca="1" si="122"/>
        <v>0</v>
      </c>
      <c r="P730" s="1015" t="str">
        <f ca="1">IF($C730="","",INDEX(NVLSX!$N$2:$N$6941,MATCH($C730,NVLSX!$E$2:$E$6941,0)))</f>
        <v/>
      </c>
      <c r="Q730" s="1016" t="str">
        <f ca="1">IF($R730="","",IF(XKNVLSX!$X$1="",IF($P730=$V$7,$P730, IF(COUNTIFS($C$2:$C729,$C730,$E$2:$E729,$E730)&gt;=1,"",$P730)),     IF(AND(IFERROR(SEARCH($R730,XKNVLSX!$X$1,1),0)&gt;=1,$P730=$V$7),$P730, IF(OR($R730&lt;&gt;IF(IFERROR(SEARCH($R730,XKNVLSX!$X$1,1),0)&gt;=1,$R730,XKNVLSX!$X$1),COUNTIFS($C$2:$C729,$C730,$E$2:$E729,$E730,$Q$2:$Q729,$P730)&gt;=1),"",$P730))))</f>
        <v/>
      </c>
      <c r="R730" s="1017" t="str">
        <f ca="1">IF($A730="","",IFERROR(INDEX(TinhGia!$BF$10:$BF$81,MATCH($A730,TinhGia!$B$10:$B$81,0)),""))</f>
        <v/>
      </c>
      <c r="S730" s="1012" t="str">
        <f ca="1">IF($A730="","",IF(OR(IFERROR(SEARCH($R730,XKNVLSX!$X$1,1),0)&gt;=1,XKNVLSX!$X$1=""),$S$2,""))</f>
        <v/>
      </c>
      <c r="T730" s="1018" t="str">
        <f ca="1">IF($C730="","", IF(OR($P730=$V$1,$P730=$V$7,COUNTIFS($C$3:$C730,$C730,$E$3:$E730,$E730)&lt;=1),$P730,""    ))</f>
        <v/>
      </c>
      <c r="U730" s="1019" t="str">
        <f ca="1">IF(AND($P730=$V$2,COUNTIFS($C$3:$C730,$C730,$E$3:$E730,$E730,$G$3:$G730,$G730)&lt;=1),$P730,"")</f>
        <v/>
      </c>
    </row>
    <row r="731" spans="1:21">
      <c r="A731" s="991" t="str">
        <f ca="1">IFERROR(IF(COUNTIF($A$3:A730,A730)&lt; INDEX(TinhGia!$BH$10:$BH$81,MATCH($A730,TinhGia!$B$10:$B$81,0)),$A730,INDEX(TinhGia!$B$10:$B$81,MATCH($A730,TinhGia!$B$10:$B$81,0)+1)),"")</f>
        <v/>
      </c>
      <c r="B731" s="525" t="str">
        <f ca="1">IF(OR(A731="",A731=0),"",IF(COUNTIF($A$2:A731,$A731)=1,ROW(MauKoXoa!$C$108),$B730+1))</f>
        <v/>
      </c>
      <c r="C731" s="992" t="str">
        <f t="shared" ca="1" si="113"/>
        <v/>
      </c>
      <c r="D731" s="993" t="str">
        <f t="shared" ca="1" si="114"/>
        <v/>
      </c>
      <c r="E731" s="993" t="str">
        <f t="shared" ca="1" si="115"/>
        <v/>
      </c>
      <c r="F731" s="992" t="str">
        <f t="shared" ca="1" si="123"/>
        <v/>
      </c>
      <c r="G731" s="994">
        <f t="shared" ca="1" si="116"/>
        <v>0</v>
      </c>
      <c r="H731" s="913">
        <f t="shared" ca="1" si="117"/>
        <v>0</v>
      </c>
      <c r="I731" s="913">
        <f t="shared" ca="1" si="118"/>
        <v>0</v>
      </c>
      <c r="J731" s="995">
        <f t="shared" ca="1" si="124"/>
        <v>0</v>
      </c>
      <c r="K731" s="913">
        <f t="shared" ca="1" si="119"/>
        <v>0</v>
      </c>
      <c r="L731" s="995">
        <f t="shared" ca="1" si="125"/>
        <v>0</v>
      </c>
      <c r="M731" s="913">
        <f t="shared" ca="1" si="120"/>
        <v>0</v>
      </c>
      <c r="N731" s="996">
        <f t="shared" ca="1" si="121"/>
        <v>0</v>
      </c>
      <c r="O731" s="997">
        <f t="shared" ca="1" si="122"/>
        <v>0</v>
      </c>
      <c r="P731" s="1015" t="str">
        <f ca="1">IF($C731="","",INDEX(NVLSX!$N$2:$N$6941,MATCH($C731,NVLSX!$E$2:$E$6941,0)))</f>
        <v/>
      </c>
      <c r="Q731" s="1016" t="str">
        <f ca="1">IF($R731="","",IF(XKNVLSX!$X$1="",IF($P731=$V$7,$P731, IF(COUNTIFS($C$2:$C730,$C731,$E$2:$E730,$E731)&gt;=1,"",$P731)),     IF(AND(IFERROR(SEARCH($R731,XKNVLSX!$X$1,1),0)&gt;=1,$P731=$V$7),$P731, IF(OR($R731&lt;&gt;IF(IFERROR(SEARCH($R731,XKNVLSX!$X$1,1),0)&gt;=1,$R731,XKNVLSX!$X$1),COUNTIFS($C$2:$C730,$C731,$E$2:$E730,$E731,$Q$2:$Q730,$P731)&gt;=1),"",$P731))))</f>
        <v/>
      </c>
      <c r="R731" s="1017" t="str">
        <f ca="1">IF($A731="","",IFERROR(INDEX(TinhGia!$BF$10:$BF$81,MATCH($A731,TinhGia!$B$10:$B$81,0)),""))</f>
        <v/>
      </c>
      <c r="S731" s="1012" t="str">
        <f ca="1">IF($A731="","",IF(OR(IFERROR(SEARCH($R731,XKNVLSX!$X$1,1),0)&gt;=1,XKNVLSX!$X$1=""),$S$2,""))</f>
        <v/>
      </c>
      <c r="T731" s="1018" t="str">
        <f ca="1">IF($C731="","", IF(OR($P731=$V$1,$P731=$V$7,COUNTIFS($C$3:$C731,$C731,$E$3:$E731,$E731)&lt;=1),$P731,""    ))</f>
        <v/>
      </c>
      <c r="U731" s="1019" t="str">
        <f ca="1">IF(AND($P731=$V$2,COUNTIFS($C$3:$C731,$C731,$E$3:$E731,$E731,$G$3:$G731,$G731)&lt;=1),$P731,"")</f>
        <v/>
      </c>
    </row>
    <row r="732" spans="1:21">
      <c r="A732" s="991" t="str">
        <f ca="1">IFERROR(IF(COUNTIF($A$3:A731,A731)&lt; INDEX(TinhGia!$BH$10:$BH$81,MATCH($A731,TinhGia!$B$10:$B$81,0)),$A731,INDEX(TinhGia!$B$10:$B$81,MATCH($A731,TinhGia!$B$10:$B$81,0)+1)),"")</f>
        <v/>
      </c>
      <c r="B732" s="525" t="str">
        <f ca="1">IF(OR(A732="",A732=0),"",IF(COUNTIF($A$2:A732,$A732)=1,ROW(MauKoXoa!$C$108),$B731+1))</f>
        <v/>
      </c>
      <c r="C732" s="992" t="str">
        <f t="shared" ca="1" si="113"/>
        <v/>
      </c>
      <c r="D732" s="993" t="str">
        <f t="shared" ca="1" si="114"/>
        <v/>
      </c>
      <c r="E732" s="993" t="str">
        <f t="shared" ca="1" si="115"/>
        <v/>
      </c>
      <c r="F732" s="992" t="str">
        <f t="shared" ca="1" si="123"/>
        <v/>
      </c>
      <c r="G732" s="994">
        <f t="shared" ca="1" si="116"/>
        <v>0</v>
      </c>
      <c r="H732" s="913">
        <f t="shared" ca="1" si="117"/>
        <v>0</v>
      </c>
      <c r="I732" s="913">
        <f t="shared" ca="1" si="118"/>
        <v>0</v>
      </c>
      <c r="J732" s="995">
        <f t="shared" ca="1" si="124"/>
        <v>0</v>
      </c>
      <c r="K732" s="913">
        <f t="shared" ca="1" si="119"/>
        <v>0</v>
      </c>
      <c r="L732" s="995">
        <f t="shared" ca="1" si="125"/>
        <v>0</v>
      </c>
      <c r="M732" s="913">
        <f t="shared" ca="1" si="120"/>
        <v>0</v>
      </c>
      <c r="N732" s="996">
        <f t="shared" ca="1" si="121"/>
        <v>0</v>
      </c>
      <c r="O732" s="997">
        <f t="shared" ca="1" si="122"/>
        <v>0</v>
      </c>
      <c r="P732" s="1015" t="str">
        <f ca="1">IF($C732="","",INDEX(NVLSX!$N$2:$N$6941,MATCH($C732,NVLSX!$E$2:$E$6941,0)))</f>
        <v/>
      </c>
      <c r="Q732" s="1016" t="str">
        <f ca="1">IF($R732="","",IF(XKNVLSX!$X$1="",IF($P732=$V$7,$P732, IF(COUNTIFS($C$2:$C731,$C732,$E$2:$E731,$E732)&gt;=1,"",$P732)),     IF(AND(IFERROR(SEARCH($R732,XKNVLSX!$X$1,1),0)&gt;=1,$P732=$V$7),$P732, IF(OR($R732&lt;&gt;IF(IFERROR(SEARCH($R732,XKNVLSX!$X$1,1),0)&gt;=1,$R732,XKNVLSX!$X$1),COUNTIFS($C$2:$C731,$C732,$E$2:$E731,$E732,$Q$2:$Q731,$P732)&gt;=1),"",$P732))))</f>
        <v/>
      </c>
      <c r="R732" s="1017" t="str">
        <f ca="1">IF($A732="","",IFERROR(INDEX(TinhGia!$BF$10:$BF$81,MATCH($A732,TinhGia!$B$10:$B$81,0)),""))</f>
        <v/>
      </c>
      <c r="S732" s="1012" t="str">
        <f ca="1">IF($A732="","",IF(OR(IFERROR(SEARCH($R732,XKNVLSX!$X$1,1),0)&gt;=1,XKNVLSX!$X$1=""),$S$2,""))</f>
        <v/>
      </c>
      <c r="T732" s="1018" t="str">
        <f ca="1">IF($C732="","", IF(OR($P732=$V$1,$P732=$V$7,COUNTIFS($C$3:$C732,$C732,$E$3:$E732,$E732)&lt;=1),$P732,""    ))</f>
        <v/>
      </c>
      <c r="U732" s="1019" t="str">
        <f ca="1">IF(AND($P732=$V$2,COUNTIFS($C$3:$C732,$C732,$E$3:$E732,$E732,$G$3:$G732,$G732)&lt;=1),$P732,"")</f>
        <v/>
      </c>
    </row>
    <row r="733" spans="1:21">
      <c r="A733" s="991" t="str">
        <f ca="1">IFERROR(IF(COUNTIF($A$3:A732,A732)&lt; INDEX(TinhGia!$BH$10:$BH$81,MATCH($A732,TinhGia!$B$10:$B$81,0)),$A732,INDEX(TinhGia!$B$10:$B$81,MATCH($A732,TinhGia!$B$10:$B$81,0)+1)),"")</f>
        <v/>
      </c>
      <c r="B733" s="525" t="str">
        <f ca="1">IF(OR(A733="",A733=0),"",IF(COUNTIF($A$2:A733,$A733)=1,ROW(MauKoXoa!$C$108),$B732+1))</f>
        <v/>
      </c>
      <c r="C733" s="992" t="str">
        <f t="shared" ca="1" si="113"/>
        <v/>
      </c>
      <c r="D733" s="993" t="str">
        <f t="shared" ca="1" si="114"/>
        <v/>
      </c>
      <c r="E733" s="993" t="str">
        <f t="shared" ca="1" si="115"/>
        <v/>
      </c>
      <c r="F733" s="992" t="str">
        <f t="shared" ca="1" si="123"/>
        <v/>
      </c>
      <c r="G733" s="994">
        <f t="shared" ca="1" si="116"/>
        <v>0</v>
      </c>
      <c r="H733" s="913">
        <f t="shared" ca="1" si="117"/>
        <v>0</v>
      </c>
      <c r="I733" s="913">
        <f t="shared" ca="1" si="118"/>
        <v>0</v>
      </c>
      <c r="J733" s="995">
        <f t="shared" ca="1" si="124"/>
        <v>0</v>
      </c>
      <c r="K733" s="913">
        <f t="shared" ca="1" si="119"/>
        <v>0</v>
      </c>
      <c r="L733" s="995">
        <f t="shared" ca="1" si="125"/>
        <v>0</v>
      </c>
      <c r="M733" s="913">
        <f t="shared" ca="1" si="120"/>
        <v>0</v>
      </c>
      <c r="N733" s="996">
        <f t="shared" ca="1" si="121"/>
        <v>0</v>
      </c>
      <c r="O733" s="997">
        <f t="shared" ca="1" si="122"/>
        <v>0</v>
      </c>
      <c r="P733" s="1015" t="str">
        <f ca="1">IF($C733="","",INDEX(NVLSX!$N$2:$N$6941,MATCH($C733,NVLSX!$E$2:$E$6941,0)))</f>
        <v/>
      </c>
      <c r="Q733" s="1016" t="str">
        <f ca="1">IF($R733="","",IF(XKNVLSX!$X$1="",IF($P733=$V$7,$P733, IF(COUNTIFS($C$2:$C732,$C733,$E$2:$E732,$E733)&gt;=1,"",$P733)),     IF(AND(IFERROR(SEARCH($R733,XKNVLSX!$X$1,1),0)&gt;=1,$P733=$V$7),$P733, IF(OR($R733&lt;&gt;IF(IFERROR(SEARCH($R733,XKNVLSX!$X$1,1),0)&gt;=1,$R733,XKNVLSX!$X$1),COUNTIFS($C$2:$C732,$C733,$E$2:$E732,$E733,$Q$2:$Q732,$P733)&gt;=1),"",$P733))))</f>
        <v/>
      </c>
      <c r="R733" s="1017" t="str">
        <f ca="1">IF($A733="","",IFERROR(INDEX(TinhGia!$BF$10:$BF$81,MATCH($A733,TinhGia!$B$10:$B$81,0)),""))</f>
        <v/>
      </c>
      <c r="S733" s="1012" t="str">
        <f ca="1">IF($A733="","",IF(OR(IFERROR(SEARCH($R733,XKNVLSX!$X$1,1),0)&gt;=1,XKNVLSX!$X$1=""),$S$2,""))</f>
        <v/>
      </c>
      <c r="T733" s="1018" t="str">
        <f ca="1">IF($C733="","", IF(OR($P733=$V$1,$P733=$V$7,COUNTIFS($C$3:$C733,$C733,$E$3:$E733,$E733)&lt;=1),$P733,""    ))</f>
        <v/>
      </c>
      <c r="U733" s="1019" t="str">
        <f ca="1">IF(AND($P733=$V$2,COUNTIFS($C$3:$C733,$C733,$E$3:$E733,$E733,$G$3:$G733,$G733)&lt;=1),$P733,"")</f>
        <v/>
      </c>
    </row>
    <row r="734" spans="1:21">
      <c r="A734" s="991" t="str">
        <f ca="1">IFERROR(IF(COUNTIF($A$3:A733,A733)&lt; INDEX(TinhGia!$BH$10:$BH$81,MATCH($A733,TinhGia!$B$10:$B$81,0)),$A733,INDEX(TinhGia!$B$10:$B$81,MATCH($A733,TinhGia!$B$10:$B$81,0)+1)),"")</f>
        <v/>
      </c>
      <c r="B734" s="525" t="str">
        <f ca="1">IF(OR(A734="",A734=0),"",IF(COUNTIF($A$2:A734,$A734)=1,ROW(MauKoXoa!$C$108),$B733+1))</f>
        <v/>
      </c>
      <c r="C734" s="992" t="str">
        <f t="shared" ca="1" si="113"/>
        <v/>
      </c>
      <c r="D734" s="993" t="str">
        <f t="shared" ca="1" si="114"/>
        <v/>
      </c>
      <c r="E734" s="993" t="str">
        <f t="shared" ca="1" si="115"/>
        <v/>
      </c>
      <c r="F734" s="992" t="str">
        <f t="shared" ca="1" si="123"/>
        <v/>
      </c>
      <c r="G734" s="994">
        <f t="shared" ca="1" si="116"/>
        <v>0</v>
      </c>
      <c r="H734" s="913">
        <f t="shared" ca="1" si="117"/>
        <v>0</v>
      </c>
      <c r="I734" s="913">
        <f t="shared" ca="1" si="118"/>
        <v>0</v>
      </c>
      <c r="J734" s="995">
        <f t="shared" ca="1" si="124"/>
        <v>0</v>
      </c>
      <c r="K734" s="913">
        <f t="shared" ca="1" si="119"/>
        <v>0</v>
      </c>
      <c r="L734" s="995">
        <f t="shared" ca="1" si="125"/>
        <v>0</v>
      </c>
      <c r="M734" s="913">
        <f t="shared" ca="1" si="120"/>
        <v>0</v>
      </c>
      <c r="N734" s="996">
        <f t="shared" ca="1" si="121"/>
        <v>0</v>
      </c>
      <c r="O734" s="997">
        <f t="shared" ca="1" si="122"/>
        <v>0</v>
      </c>
      <c r="P734" s="1015" t="str">
        <f ca="1">IF($C734="","",INDEX(NVLSX!$N$2:$N$6941,MATCH($C734,NVLSX!$E$2:$E$6941,0)))</f>
        <v/>
      </c>
      <c r="Q734" s="1016" t="str">
        <f ca="1">IF($R734="","",IF(XKNVLSX!$X$1="",IF($P734=$V$7,$P734, IF(COUNTIFS($C$2:$C733,$C734,$E$2:$E733,$E734)&gt;=1,"",$P734)),     IF(AND(IFERROR(SEARCH($R734,XKNVLSX!$X$1,1),0)&gt;=1,$P734=$V$7),$P734, IF(OR($R734&lt;&gt;IF(IFERROR(SEARCH($R734,XKNVLSX!$X$1,1),0)&gt;=1,$R734,XKNVLSX!$X$1),COUNTIFS($C$2:$C733,$C734,$E$2:$E733,$E734,$Q$2:$Q733,$P734)&gt;=1),"",$P734))))</f>
        <v/>
      </c>
      <c r="R734" s="1017" t="str">
        <f ca="1">IF($A734="","",IFERROR(INDEX(TinhGia!$BF$10:$BF$81,MATCH($A734,TinhGia!$B$10:$B$81,0)),""))</f>
        <v/>
      </c>
      <c r="S734" s="1012" t="str">
        <f ca="1">IF($A734="","",IF(OR(IFERROR(SEARCH($R734,XKNVLSX!$X$1,1),0)&gt;=1,XKNVLSX!$X$1=""),$S$2,""))</f>
        <v/>
      </c>
      <c r="T734" s="1018" t="str">
        <f ca="1">IF($C734="","", IF(OR($P734=$V$1,$P734=$V$7,COUNTIFS($C$3:$C734,$C734,$E$3:$E734,$E734)&lt;=1),$P734,""    ))</f>
        <v/>
      </c>
      <c r="U734" s="1019" t="str">
        <f ca="1">IF(AND($P734=$V$2,COUNTIFS($C$3:$C734,$C734,$E$3:$E734,$E734,$G$3:$G734,$G734)&lt;=1),$P734,"")</f>
        <v/>
      </c>
    </row>
    <row r="735" spans="1:21">
      <c r="A735" s="991" t="str">
        <f ca="1">IFERROR(IF(COUNTIF($A$3:A734,A734)&lt; INDEX(TinhGia!$BH$10:$BH$81,MATCH($A734,TinhGia!$B$10:$B$81,0)),$A734,INDEX(TinhGia!$B$10:$B$81,MATCH($A734,TinhGia!$B$10:$B$81,0)+1)),"")</f>
        <v/>
      </c>
      <c r="B735" s="525" t="str">
        <f ca="1">IF(OR(A735="",A735=0),"",IF(COUNTIF($A$2:A735,$A735)=1,ROW(MauKoXoa!$C$108),$B734+1))</f>
        <v/>
      </c>
      <c r="C735" s="992" t="str">
        <f t="shared" ca="1" si="113"/>
        <v/>
      </c>
      <c r="D735" s="993" t="str">
        <f t="shared" ca="1" si="114"/>
        <v/>
      </c>
      <c r="E735" s="993" t="str">
        <f t="shared" ca="1" si="115"/>
        <v/>
      </c>
      <c r="F735" s="992" t="str">
        <f t="shared" ca="1" si="123"/>
        <v/>
      </c>
      <c r="G735" s="994">
        <f t="shared" ca="1" si="116"/>
        <v>0</v>
      </c>
      <c r="H735" s="913">
        <f t="shared" ca="1" si="117"/>
        <v>0</v>
      </c>
      <c r="I735" s="913">
        <f t="shared" ca="1" si="118"/>
        <v>0</v>
      </c>
      <c r="J735" s="995">
        <f t="shared" ca="1" si="124"/>
        <v>0</v>
      </c>
      <c r="K735" s="913">
        <f t="shared" ca="1" si="119"/>
        <v>0</v>
      </c>
      <c r="L735" s="995">
        <f t="shared" ca="1" si="125"/>
        <v>0</v>
      </c>
      <c r="M735" s="913">
        <f t="shared" ca="1" si="120"/>
        <v>0</v>
      </c>
      <c r="N735" s="996">
        <f t="shared" ca="1" si="121"/>
        <v>0</v>
      </c>
      <c r="O735" s="997">
        <f t="shared" ca="1" si="122"/>
        <v>0</v>
      </c>
      <c r="P735" s="1015" t="str">
        <f ca="1">IF($C735="","",INDEX(NVLSX!$N$2:$N$6941,MATCH($C735,NVLSX!$E$2:$E$6941,0)))</f>
        <v/>
      </c>
      <c r="Q735" s="1016" t="str">
        <f ca="1">IF($R735="","",IF(XKNVLSX!$X$1="",IF($P735=$V$7,$P735, IF(COUNTIFS($C$2:$C734,$C735,$E$2:$E734,$E735)&gt;=1,"",$P735)),     IF(AND(IFERROR(SEARCH($R735,XKNVLSX!$X$1,1),0)&gt;=1,$P735=$V$7),$P735, IF(OR($R735&lt;&gt;IF(IFERROR(SEARCH($R735,XKNVLSX!$X$1,1),0)&gt;=1,$R735,XKNVLSX!$X$1),COUNTIFS($C$2:$C734,$C735,$E$2:$E734,$E735,$Q$2:$Q734,$P735)&gt;=1),"",$P735))))</f>
        <v/>
      </c>
      <c r="R735" s="1017" t="str">
        <f ca="1">IF($A735="","",IFERROR(INDEX(TinhGia!$BF$10:$BF$81,MATCH($A735,TinhGia!$B$10:$B$81,0)),""))</f>
        <v/>
      </c>
      <c r="S735" s="1012" t="str">
        <f ca="1">IF($A735="","",IF(OR(IFERROR(SEARCH($R735,XKNVLSX!$X$1,1),0)&gt;=1,XKNVLSX!$X$1=""),$S$2,""))</f>
        <v/>
      </c>
      <c r="T735" s="1018" t="str">
        <f ca="1">IF($C735="","", IF(OR($P735=$V$1,$P735=$V$7,COUNTIFS($C$3:$C735,$C735,$E$3:$E735,$E735)&lt;=1),$P735,""    ))</f>
        <v/>
      </c>
      <c r="U735" s="1019" t="str">
        <f ca="1">IF(AND($P735=$V$2,COUNTIFS($C$3:$C735,$C735,$E$3:$E735,$E735,$G$3:$G735,$G735)&lt;=1),$P735,"")</f>
        <v/>
      </c>
    </row>
    <row r="736" spans="1:21">
      <c r="A736" s="991" t="str">
        <f ca="1">IFERROR(IF(COUNTIF($A$3:A735,A735)&lt; INDEX(TinhGia!$BH$10:$BH$81,MATCH($A735,TinhGia!$B$10:$B$81,0)),$A735,INDEX(TinhGia!$B$10:$B$81,MATCH($A735,TinhGia!$B$10:$B$81,0)+1)),"")</f>
        <v/>
      </c>
      <c r="B736" s="525" t="str">
        <f ca="1">IF(OR(A736="",A736=0),"",IF(COUNTIF($A$2:A736,$A736)=1,ROW(MauKoXoa!$C$108),$B735+1))</f>
        <v/>
      </c>
      <c r="C736" s="992" t="str">
        <f t="shared" ca="1" si="113"/>
        <v/>
      </c>
      <c r="D736" s="993" t="str">
        <f t="shared" ca="1" si="114"/>
        <v/>
      </c>
      <c r="E736" s="993" t="str">
        <f t="shared" ca="1" si="115"/>
        <v/>
      </c>
      <c r="F736" s="992" t="str">
        <f t="shared" ca="1" si="123"/>
        <v/>
      </c>
      <c r="G736" s="994">
        <f t="shared" ca="1" si="116"/>
        <v>0</v>
      </c>
      <c r="H736" s="913">
        <f t="shared" ca="1" si="117"/>
        <v>0</v>
      </c>
      <c r="I736" s="913">
        <f t="shared" ca="1" si="118"/>
        <v>0</v>
      </c>
      <c r="J736" s="995">
        <f t="shared" ca="1" si="124"/>
        <v>0</v>
      </c>
      <c r="K736" s="913">
        <f t="shared" ca="1" si="119"/>
        <v>0</v>
      </c>
      <c r="L736" s="995">
        <f t="shared" ca="1" si="125"/>
        <v>0</v>
      </c>
      <c r="M736" s="913">
        <f t="shared" ca="1" si="120"/>
        <v>0</v>
      </c>
      <c r="N736" s="996">
        <f t="shared" ca="1" si="121"/>
        <v>0</v>
      </c>
      <c r="O736" s="997">
        <f t="shared" ca="1" si="122"/>
        <v>0</v>
      </c>
      <c r="P736" s="1015" t="str">
        <f ca="1">IF($C736="","",INDEX(NVLSX!$N$2:$N$6941,MATCH($C736,NVLSX!$E$2:$E$6941,0)))</f>
        <v/>
      </c>
      <c r="Q736" s="1016" t="str">
        <f ca="1">IF($R736="","",IF(XKNVLSX!$X$1="",IF($P736=$V$7,$P736, IF(COUNTIFS($C$2:$C735,$C736,$E$2:$E735,$E736)&gt;=1,"",$P736)),     IF(AND(IFERROR(SEARCH($R736,XKNVLSX!$X$1,1),0)&gt;=1,$P736=$V$7),$P736, IF(OR($R736&lt;&gt;IF(IFERROR(SEARCH($R736,XKNVLSX!$X$1,1),0)&gt;=1,$R736,XKNVLSX!$X$1),COUNTIFS($C$2:$C735,$C736,$E$2:$E735,$E736,$Q$2:$Q735,$P736)&gt;=1),"",$P736))))</f>
        <v/>
      </c>
      <c r="R736" s="1017" t="str">
        <f ca="1">IF($A736="","",IFERROR(INDEX(TinhGia!$BF$10:$BF$81,MATCH($A736,TinhGia!$B$10:$B$81,0)),""))</f>
        <v/>
      </c>
      <c r="S736" s="1012" t="str">
        <f ca="1">IF($A736="","",IF(OR(IFERROR(SEARCH($R736,XKNVLSX!$X$1,1),0)&gt;=1,XKNVLSX!$X$1=""),$S$2,""))</f>
        <v/>
      </c>
      <c r="T736" s="1018" t="str">
        <f ca="1">IF($C736="","", IF(OR($P736=$V$1,$P736=$V$7,COUNTIFS($C$3:$C736,$C736,$E$3:$E736,$E736)&lt;=1),$P736,""    ))</f>
        <v/>
      </c>
      <c r="U736" s="1019" t="str">
        <f ca="1">IF(AND($P736=$V$2,COUNTIFS($C$3:$C736,$C736,$E$3:$E736,$E736,$G$3:$G736,$G736)&lt;=1),$P736,"")</f>
        <v/>
      </c>
    </row>
    <row r="737" spans="1:21">
      <c r="A737" s="991" t="str">
        <f ca="1">IFERROR(IF(COUNTIF($A$3:A736,A736)&lt; INDEX(TinhGia!$BH$10:$BH$81,MATCH($A736,TinhGia!$B$10:$B$81,0)),$A736,INDEX(TinhGia!$B$10:$B$81,MATCH($A736,TinhGia!$B$10:$B$81,0)+1)),"")</f>
        <v/>
      </c>
      <c r="B737" s="525" t="str">
        <f ca="1">IF(OR(A737="",A737=0),"",IF(COUNTIF($A$2:A737,$A737)=1,ROW(MauKoXoa!$C$108),$B736+1))</f>
        <v/>
      </c>
      <c r="C737" s="992" t="str">
        <f t="shared" ca="1" si="113"/>
        <v/>
      </c>
      <c r="D737" s="993" t="str">
        <f t="shared" ca="1" si="114"/>
        <v/>
      </c>
      <c r="E737" s="993" t="str">
        <f t="shared" ca="1" si="115"/>
        <v/>
      </c>
      <c r="F737" s="992" t="str">
        <f t="shared" ca="1" si="123"/>
        <v/>
      </c>
      <c r="G737" s="994">
        <f t="shared" ca="1" si="116"/>
        <v>0</v>
      </c>
      <c r="H737" s="913">
        <f t="shared" ca="1" si="117"/>
        <v>0</v>
      </c>
      <c r="I737" s="913">
        <f t="shared" ca="1" si="118"/>
        <v>0</v>
      </c>
      <c r="J737" s="995">
        <f t="shared" ca="1" si="124"/>
        <v>0</v>
      </c>
      <c r="K737" s="913">
        <f t="shared" ca="1" si="119"/>
        <v>0</v>
      </c>
      <c r="L737" s="995">
        <f t="shared" ca="1" si="125"/>
        <v>0</v>
      </c>
      <c r="M737" s="913">
        <f t="shared" ca="1" si="120"/>
        <v>0</v>
      </c>
      <c r="N737" s="996">
        <f t="shared" ca="1" si="121"/>
        <v>0</v>
      </c>
      <c r="O737" s="997">
        <f t="shared" ca="1" si="122"/>
        <v>0</v>
      </c>
      <c r="P737" s="1015" t="str">
        <f ca="1">IF($C737="","",INDEX(NVLSX!$N$2:$N$6941,MATCH($C737,NVLSX!$E$2:$E$6941,0)))</f>
        <v/>
      </c>
      <c r="Q737" s="1016" t="str">
        <f ca="1">IF($R737="","",IF(XKNVLSX!$X$1="",IF($P737=$V$7,$P737, IF(COUNTIFS($C$2:$C736,$C737,$E$2:$E736,$E737)&gt;=1,"",$P737)),     IF(AND(IFERROR(SEARCH($R737,XKNVLSX!$X$1,1),0)&gt;=1,$P737=$V$7),$P737, IF(OR($R737&lt;&gt;IF(IFERROR(SEARCH($R737,XKNVLSX!$X$1,1),0)&gt;=1,$R737,XKNVLSX!$X$1),COUNTIFS($C$2:$C736,$C737,$E$2:$E736,$E737,$Q$2:$Q736,$P737)&gt;=1),"",$P737))))</f>
        <v/>
      </c>
      <c r="R737" s="1017" t="str">
        <f ca="1">IF($A737="","",IFERROR(INDEX(TinhGia!$BF$10:$BF$81,MATCH($A737,TinhGia!$B$10:$B$81,0)),""))</f>
        <v/>
      </c>
      <c r="S737" s="1012" t="str">
        <f ca="1">IF($A737="","",IF(OR(IFERROR(SEARCH($R737,XKNVLSX!$X$1,1),0)&gt;=1,XKNVLSX!$X$1=""),$S$2,""))</f>
        <v/>
      </c>
      <c r="T737" s="1018" t="str">
        <f ca="1">IF($C737="","", IF(OR($P737=$V$1,$P737=$V$7,COUNTIFS($C$3:$C737,$C737,$E$3:$E737,$E737)&lt;=1),$P737,""    ))</f>
        <v/>
      </c>
      <c r="U737" s="1019" t="str">
        <f ca="1">IF(AND($P737=$V$2,COUNTIFS($C$3:$C737,$C737,$E$3:$E737,$E737,$G$3:$G737,$G737)&lt;=1),$P737,"")</f>
        <v/>
      </c>
    </row>
    <row r="738" spans="1:21">
      <c r="A738" s="991" t="str">
        <f ca="1">IFERROR(IF(COUNTIF($A$3:A737,A737)&lt; INDEX(TinhGia!$BH$10:$BH$81,MATCH($A737,TinhGia!$B$10:$B$81,0)),$A737,INDEX(TinhGia!$B$10:$B$81,MATCH($A737,TinhGia!$B$10:$B$81,0)+1)),"")</f>
        <v/>
      </c>
      <c r="B738" s="525" t="str">
        <f ca="1">IF(OR(A738="",A738=0),"",IF(COUNTIF($A$2:A738,$A738)=1,ROW(MauKoXoa!$C$108),$B737+1))</f>
        <v/>
      </c>
      <c r="C738" s="992" t="str">
        <f t="shared" ca="1" si="113"/>
        <v/>
      </c>
      <c r="D738" s="993" t="str">
        <f t="shared" ca="1" si="114"/>
        <v/>
      </c>
      <c r="E738" s="993" t="str">
        <f t="shared" ca="1" si="115"/>
        <v/>
      </c>
      <c r="F738" s="992" t="str">
        <f t="shared" ca="1" si="123"/>
        <v/>
      </c>
      <c r="G738" s="994">
        <f t="shared" ca="1" si="116"/>
        <v>0</v>
      </c>
      <c r="H738" s="913">
        <f t="shared" ca="1" si="117"/>
        <v>0</v>
      </c>
      <c r="I738" s="913">
        <f t="shared" ca="1" si="118"/>
        <v>0</v>
      </c>
      <c r="J738" s="995">
        <f t="shared" ca="1" si="124"/>
        <v>0</v>
      </c>
      <c r="K738" s="913">
        <f t="shared" ca="1" si="119"/>
        <v>0</v>
      </c>
      <c r="L738" s="995">
        <f t="shared" ca="1" si="125"/>
        <v>0</v>
      </c>
      <c r="M738" s="913">
        <f t="shared" ca="1" si="120"/>
        <v>0</v>
      </c>
      <c r="N738" s="996">
        <f t="shared" ca="1" si="121"/>
        <v>0</v>
      </c>
      <c r="O738" s="997">
        <f t="shared" ca="1" si="122"/>
        <v>0</v>
      </c>
      <c r="P738" s="1015" t="str">
        <f ca="1">IF($C738="","",INDEX(NVLSX!$N$2:$N$6941,MATCH($C738,NVLSX!$E$2:$E$6941,0)))</f>
        <v/>
      </c>
      <c r="Q738" s="1016" t="str">
        <f ca="1">IF($R738="","",IF(XKNVLSX!$X$1="",IF($P738=$V$7,$P738, IF(COUNTIFS($C$2:$C737,$C738,$E$2:$E737,$E738)&gt;=1,"",$P738)),     IF(AND(IFERROR(SEARCH($R738,XKNVLSX!$X$1,1),0)&gt;=1,$P738=$V$7),$P738, IF(OR($R738&lt;&gt;IF(IFERROR(SEARCH($R738,XKNVLSX!$X$1,1),0)&gt;=1,$R738,XKNVLSX!$X$1),COUNTIFS($C$2:$C737,$C738,$E$2:$E737,$E738,$Q$2:$Q737,$P738)&gt;=1),"",$P738))))</f>
        <v/>
      </c>
      <c r="R738" s="1017" t="str">
        <f ca="1">IF($A738="","",IFERROR(INDEX(TinhGia!$BF$10:$BF$81,MATCH($A738,TinhGia!$B$10:$B$81,0)),""))</f>
        <v/>
      </c>
      <c r="S738" s="1012" t="str">
        <f ca="1">IF($A738="","",IF(OR(IFERROR(SEARCH($R738,XKNVLSX!$X$1,1),0)&gt;=1,XKNVLSX!$X$1=""),$S$2,""))</f>
        <v/>
      </c>
      <c r="T738" s="1018" t="str">
        <f ca="1">IF($C738="","", IF(OR($P738=$V$1,$P738=$V$7,COUNTIFS($C$3:$C738,$C738,$E$3:$E738,$E738)&lt;=1),$P738,""    ))</f>
        <v/>
      </c>
      <c r="U738" s="1019" t="str">
        <f ca="1">IF(AND($P738=$V$2,COUNTIFS($C$3:$C738,$C738,$E$3:$E738,$E738,$G$3:$G738,$G738)&lt;=1),$P738,"")</f>
        <v/>
      </c>
    </row>
    <row r="739" spans="1:21">
      <c r="A739" s="991" t="str">
        <f ca="1">IFERROR(IF(COUNTIF($A$3:A738,A738)&lt; INDEX(TinhGia!$BH$10:$BH$81,MATCH($A738,TinhGia!$B$10:$B$81,0)),$A738,INDEX(TinhGia!$B$10:$B$81,MATCH($A738,TinhGia!$B$10:$B$81,0)+1)),"")</f>
        <v/>
      </c>
      <c r="B739" s="525" t="str">
        <f ca="1">IF(OR(A739="",A739=0),"",IF(COUNTIF($A$2:A739,$A739)=1,ROW(MauKoXoa!$C$108),$B738+1))</f>
        <v/>
      </c>
      <c r="C739" s="992" t="str">
        <f t="shared" ca="1" si="113"/>
        <v/>
      </c>
      <c r="D739" s="993" t="str">
        <f t="shared" ca="1" si="114"/>
        <v/>
      </c>
      <c r="E739" s="993" t="str">
        <f t="shared" ca="1" si="115"/>
        <v/>
      </c>
      <c r="F739" s="992" t="str">
        <f t="shared" ca="1" si="123"/>
        <v/>
      </c>
      <c r="G739" s="994">
        <f t="shared" ca="1" si="116"/>
        <v>0</v>
      </c>
      <c r="H739" s="913">
        <f t="shared" ca="1" si="117"/>
        <v>0</v>
      </c>
      <c r="I739" s="913">
        <f t="shared" ca="1" si="118"/>
        <v>0</v>
      </c>
      <c r="J739" s="995">
        <f t="shared" ca="1" si="124"/>
        <v>0</v>
      </c>
      <c r="K739" s="913">
        <f t="shared" ca="1" si="119"/>
        <v>0</v>
      </c>
      <c r="L739" s="995">
        <f t="shared" ca="1" si="125"/>
        <v>0</v>
      </c>
      <c r="M739" s="913">
        <f t="shared" ca="1" si="120"/>
        <v>0</v>
      </c>
      <c r="N739" s="996">
        <f t="shared" ca="1" si="121"/>
        <v>0</v>
      </c>
      <c r="O739" s="997">
        <f t="shared" ca="1" si="122"/>
        <v>0</v>
      </c>
      <c r="P739" s="1015" t="str">
        <f ca="1">IF($C739="","",INDEX(NVLSX!$N$2:$N$6941,MATCH($C739,NVLSX!$E$2:$E$6941,0)))</f>
        <v/>
      </c>
      <c r="Q739" s="1016" t="str">
        <f ca="1">IF($R739="","",IF(XKNVLSX!$X$1="",IF($P739=$V$7,$P739, IF(COUNTIFS($C$2:$C738,$C739,$E$2:$E738,$E739)&gt;=1,"",$P739)),     IF(AND(IFERROR(SEARCH($R739,XKNVLSX!$X$1,1),0)&gt;=1,$P739=$V$7),$P739, IF(OR($R739&lt;&gt;IF(IFERROR(SEARCH($R739,XKNVLSX!$X$1,1),0)&gt;=1,$R739,XKNVLSX!$X$1),COUNTIFS($C$2:$C738,$C739,$E$2:$E738,$E739,$Q$2:$Q738,$P739)&gt;=1),"",$P739))))</f>
        <v/>
      </c>
      <c r="R739" s="1017" t="str">
        <f ca="1">IF($A739="","",IFERROR(INDEX(TinhGia!$BF$10:$BF$81,MATCH($A739,TinhGia!$B$10:$B$81,0)),""))</f>
        <v/>
      </c>
      <c r="S739" s="1012" t="str">
        <f ca="1">IF($A739="","",IF(OR(IFERROR(SEARCH($R739,XKNVLSX!$X$1,1),0)&gt;=1,XKNVLSX!$X$1=""),$S$2,""))</f>
        <v/>
      </c>
      <c r="T739" s="1018" t="str">
        <f ca="1">IF($C739="","", IF(OR($P739=$V$1,$P739=$V$7,COUNTIFS($C$3:$C739,$C739,$E$3:$E739,$E739)&lt;=1),$P739,""    ))</f>
        <v/>
      </c>
      <c r="U739" s="1019" t="str">
        <f ca="1">IF(AND($P739=$V$2,COUNTIFS($C$3:$C739,$C739,$E$3:$E739,$E739,$G$3:$G739,$G739)&lt;=1),$P739,"")</f>
        <v/>
      </c>
    </row>
    <row r="740" spans="1:21">
      <c r="A740" s="991" t="str">
        <f ca="1">IFERROR(IF(COUNTIF($A$3:A739,A739)&lt; INDEX(TinhGia!$BH$10:$BH$81,MATCH($A739,TinhGia!$B$10:$B$81,0)),$A739,INDEX(TinhGia!$B$10:$B$81,MATCH($A739,TinhGia!$B$10:$B$81,0)+1)),"")</f>
        <v/>
      </c>
      <c r="B740" s="525" t="str">
        <f ca="1">IF(OR(A740="",A740=0),"",IF(COUNTIF($A$2:A740,$A740)=1,ROW(MauKoXoa!$C$108),$B739+1))</f>
        <v/>
      </c>
      <c r="C740" s="992" t="str">
        <f t="shared" ca="1" si="113"/>
        <v/>
      </c>
      <c r="D740" s="993" t="str">
        <f t="shared" ca="1" si="114"/>
        <v/>
      </c>
      <c r="E740" s="993" t="str">
        <f t="shared" ca="1" si="115"/>
        <v/>
      </c>
      <c r="F740" s="992" t="str">
        <f t="shared" ca="1" si="123"/>
        <v/>
      </c>
      <c r="G740" s="994">
        <f t="shared" ca="1" si="116"/>
        <v>0</v>
      </c>
      <c r="H740" s="913">
        <f t="shared" ca="1" si="117"/>
        <v>0</v>
      </c>
      <c r="I740" s="913">
        <f t="shared" ca="1" si="118"/>
        <v>0</v>
      </c>
      <c r="J740" s="995">
        <f t="shared" ca="1" si="124"/>
        <v>0</v>
      </c>
      <c r="K740" s="913">
        <f t="shared" ca="1" si="119"/>
        <v>0</v>
      </c>
      <c r="L740" s="995">
        <f t="shared" ca="1" si="125"/>
        <v>0</v>
      </c>
      <c r="M740" s="913">
        <f t="shared" ca="1" si="120"/>
        <v>0</v>
      </c>
      <c r="N740" s="996">
        <f t="shared" ca="1" si="121"/>
        <v>0</v>
      </c>
      <c r="O740" s="997">
        <f t="shared" ca="1" si="122"/>
        <v>0</v>
      </c>
      <c r="P740" s="1015" t="str">
        <f ca="1">IF($C740="","",INDEX(NVLSX!$N$2:$N$6941,MATCH($C740,NVLSX!$E$2:$E$6941,0)))</f>
        <v/>
      </c>
      <c r="Q740" s="1016" t="str">
        <f ca="1">IF($R740="","",IF(XKNVLSX!$X$1="",IF($P740=$V$7,$P740, IF(COUNTIFS($C$2:$C739,$C740,$E$2:$E739,$E740)&gt;=1,"",$P740)),     IF(AND(IFERROR(SEARCH($R740,XKNVLSX!$X$1,1),0)&gt;=1,$P740=$V$7),$P740, IF(OR($R740&lt;&gt;IF(IFERROR(SEARCH($R740,XKNVLSX!$X$1,1),0)&gt;=1,$R740,XKNVLSX!$X$1),COUNTIFS($C$2:$C739,$C740,$E$2:$E739,$E740,$Q$2:$Q739,$P740)&gt;=1),"",$P740))))</f>
        <v/>
      </c>
      <c r="R740" s="1017" t="str">
        <f ca="1">IF($A740="","",IFERROR(INDEX(TinhGia!$BF$10:$BF$81,MATCH($A740,TinhGia!$B$10:$B$81,0)),""))</f>
        <v/>
      </c>
      <c r="S740" s="1012" t="str">
        <f ca="1">IF($A740="","",IF(OR(IFERROR(SEARCH($R740,XKNVLSX!$X$1,1),0)&gt;=1,XKNVLSX!$X$1=""),$S$2,""))</f>
        <v/>
      </c>
      <c r="T740" s="1018" t="str">
        <f ca="1">IF($C740="","", IF(OR($P740=$V$1,$P740=$V$7,COUNTIFS($C$3:$C740,$C740,$E$3:$E740,$E740)&lt;=1),$P740,""    ))</f>
        <v/>
      </c>
      <c r="U740" s="1019" t="str">
        <f ca="1">IF(AND($P740=$V$2,COUNTIFS($C$3:$C740,$C740,$E$3:$E740,$E740,$G$3:$G740,$G740)&lt;=1),$P740,"")</f>
        <v/>
      </c>
    </row>
    <row r="741" spans="1:21">
      <c r="A741" s="991" t="str">
        <f ca="1">IFERROR(IF(COUNTIF($A$3:A740,A740)&lt; INDEX(TinhGia!$BH$10:$BH$81,MATCH($A740,TinhGia!$B$10:$B$81,0)),$A740,INDEX(TinhGia!$B$10:$B$81,MATCH($A740,TinhGia!$B$10:$B$81,0)+1)),"")</f>
        <v/>
      </c>
      <c r="B741" s="525" t="str">
        <f ca="1">IF(OR(A741="",A741=0),"",IF(COUNTIF($A$2:A741,$A741)=1,ROW(MauKoXoa!$C$108),$B740+1))</f>
        <v/>
      </c>
      <c r="C741" s="992" t="str">
        <f t="shared" ca="1" si="113"/>
        <v/>
      </c>
      <c r="D741" s="993" t="str">
        <f t="shared" ca="1" si="114"/>
        <v/>
      </c>
      <c r="E741" s="993" t="str">
        <f t="shared" ca="1" si="115"/>
        <v/>
      </c>
      <c r="F741" s="992" t="str">
        <f t="shared" ca="1" si="123"/>
        <v/>
      </c>
      <c r="G741" s="994">
        <f t="shared" ca="1" si="116"/>
        <v>0</v>
      </c>
      <c r="H741" s="913">
        <f t="shared" ca="1" si="117"/>
        <v>0</v>
      </c>
      <c r="I741" s="913">
        <f t="shared" ca="1" si="118"/>
        <v>0</v>
      </c>
      <c r="J741" s="995">
        <f t="shared" ca="1" si="124"/>
        <v>0</v>
      </c>
      <c r="K741" s="913">
        <f t="shared" ca="1" si="119"/>
        <v>0</v>
      </c>
      <c r="L741" s="995">
        <f t="shared" ca="1" si="125"/>
        <v>0</v>
      </c>
      <c r="M741" s="913">
        <f t="shared" ca="1" si="120"/>
        <v>0</v>
      </c>
      <c r="N741" s="996">
        <f t="shared" ca="1" si="121"/>
        <v>0</v>
      </c>
      <c r="O741" s="997">
        <f t="shared" ca="1" si="122"/>
        <v>0</v>
      </c>
      <c r="P741" s="1015" t="str">
        <f ca="1">IF($C741="","",INDEX(NVLSX!$N$2:$N$6941,MATCH($C741,NVLSX!$E$2:$E$6941,0)))</f>
        <v/>
      </c>
      <c r="Q741" s="1016" t="str">
        <f ca="1">IF($R741="","",IF(XKNVLSX!$X$1="",IF($P741=$V$7,$P741, IF(COUNTIFS($C$2:$C740,$C741,$E$2:$E740,$E741)&gt;=1,"",$P741)),     IF(AND(IFERROR(SEARCH($R741,XKNVLSX!$X$1,1),0)&gt;=1,$P741=$V$7),$P741, IF(OR($R741&lt;&gt;IF(IFERROR(SEARCH($R741,XKNVLSX!$X$1,1),0)&gt;=1,$R741,XKNVLSX!$X$1),COUNTIFS($C$2:$C740,$C741,$E$2:$E740,$E741,$Q$2:$Q740,$P741)&gt;=1),"",$P741))))</f>
        <v/>
      </c>
      <c r="R741" s="1017" t="str">
        <f ca="1">IF($A741="","",IFERROR(INDEX(TinhGia!$BF$10:$BF$81,MATCH($A741,TinhGia!$B$10:$B$81,0)),""))</f>
        <v/>
      </c>
      <c r="S741" s="1012" t="str">
        <f ca="1">IF($A741="","",IF(OR(IFERROR(SEARCH($R741,XKNVLSX!$X$1,1),0)&gt;=1,XKNVLSX!$X$1=""),$S$2,""))</f>
        <v/>
      </c>
      <c r="T741" s="1018" t="str">
        <f ca="1">IF($C741="","", IF(OR($P741=$V$1,$P741=$V$7,COUNTIFS($C$3:$C741,$C741,$E$3:$E741,$E741)&lt;=1),$P741,""    ))</f>
        <v/>
      </c>
      <c r="U741" s="1019" t="str">
        <f ca="1">IF(AND($P741=$V$2,COUNTIFS($C$3:$C741,$C741,$E$3:$E741,$E741,$G$3:$G741,$G741)&lt;=1),$P741,"")</f>
        <v/>
      </c>
    </row>
    <row r="742" spans="1:21">
      <c r="A742" s="991" t="str">
        <f ca="1">IFERROR(IF(COUNTIF($A$3:A741,A741)&lt; INDEX(TinhGia!$BH$10:$BH$81,MATCH($A741,TinhGia!$B$10:$B$81,0)),$A741,INDEX(TinhGia!$B$10:$B$81,MATCH($A741,TinhGia!$B$10:$B$81,0)+1)),"")</f>
        <v/>
      </c>
      <c r="B742" s="525" t="str">
        <f ca="1">IF(OR(A742="",A742=0),"",IF(COUNTIF($A$2:A742,$A742)=1,ROW(MauKoXoa!$C$108),$B741+1))</f>
        <v/>
      </c>
      <c r="C742" s="992" t="str">
        <f t="shared" ca="1" si="113"/>
        <v/>
      </c>
      <c r="D742" s="993" t="str">
        <f t="shared" ca="1" si="114"/>
        <v/>
      </c>
      <c r="E742" s="993" t="str">
        <f t="shared" ca="1" si="115"/>
        <v/>
      </c>
      <c r="F742" s="992" t="str">
        <f t="shared" ca="1" si="123"/>
        <v/>
      </c>
      <c r="G742" s="994">
        <f t="shared" ca="1" si="116"/>
        <v>0</v>
      </c>
      <c r="H742" s="913">
        <f t="shared" ca="1" si="117"/>
        <v>0</v>
      </c>
      <c r="I742" s="913">
        <f t="shared" ca="1" si="118"/>
        <v>0</v>
      </c>
      <c r="J742" s="995">
        <f t="shared" ca="1" si="124"/>
        <v>0</v>
      </c>
      <c r="K742" s="913">
        <f t="shared" ca="1" si="119"/>
        <v>0</v>
      </c>
      <c r="L742" s="995">
        <f t="shared" ca="1" si="125"/>
        <v>0</v>
      </c>
      <c r="M742" s="913">
        <f t="shared" ca="1" si="120"/>
        <v>0</v>
      </c>
      <c r="N742" s="996">
        <f t="shared" ca="1" si="121"/>
        <v>0</v>
      </c>
      <c r="O742" s="997">
        <f t="shared" ca="1" si="122"/>
        <v>0</v>
      </c>
      <c r="P742" s="1015" t="str">
        <f ca="1">IF($C742="","",INDEX(NVLSX!$N$2:$N$6941,MATCH($C742,NVLSX!$E$2:$E$6941,0)))</f>
        <v/>
      </c>
      <c r="Q742" s="1016" t="str">
        <f ca="1">IF($R742="","",IF(XKNVLSX!$X$1="",IF($P742=$V$7,$P742, IF(COUNTIFS($C$2:$C741,$C742,$E$2:$E741,$E742)&gt;=1,"",$P742)),     IF(AND(IFERROR(SEARCH($R742,XKNVLSX!$X$1,1),0)&gt;=1,$P742=$V$7),$P742, IF(OR($R742&lt;&gt;IF(IFERROR(SEARCH($R742,XKNVLSX!$X$1,1),0)&gt;=1,$R742,XKNVLSX!$X$1),COUNTIFS($C$2:$C741,$C742,$E$2:$E741,$E742,$Q$2:$Q741,$P742)&gt;=1),"",$P742))))</f>
        <v/>
      </c>
      <c r="R742" s="1017" t="str">
        <f ca="1">IF($A742="","",IFERROR(INDEX(TinhGia!$BF$10:$BF$81,MATCH($A742,TinhGia!$B$10:$B$81,0)),""))</f>
        <v/>
      </c>
      <c r="S742" s="1012" t="str">
        <f ca="1">IF($A742="","",IF(OR(IFERROR(SEARCH($R742,XKNVLSX!$X$1,1),0)&gt;=1,XKNVLSX!$X$1=""),$S$2,""))</f>
        <v/>
      </c>
      <c r="T742" s="1018" t="str">
        <f ca="1">IF($C742="","", IF(OR($P742=$V$1,$P742=$V$7,COUNTIFS($C$3:$C742,$C742,$E$3:$E742,$E742)&lt;=1),$P742,""    ))</f>
        <v/>
      </c>
      <c r="U742" s="1019" t="str">
        <f ca="1">IF(AND($P742=$V$2,COUNTIFS($C$3:$C742,$C742,$E$3:$E742,$E742,$G$3:$G742,$G742)&lt;=1),$P742,"")</f>
        <v/>
      </c>
    </row>
    <row r="743" spans="1:21">
      <c r="A743" s="991" t="str">
        <f ca="1">IFERROR(IF(COUNTIF($A$3:A742,A742)&lt; INDEX(TinhGia!$BH$10:$BH$81,MATCH($A742,TinhGia!$B$10:$B$81,0)),$A742,INDEX(TinhGia!$B$10:$B$81,MATCH($A742,TinhGia!$B$10:$B$81,0)+1)),"")</f>
        <v/>
      </c>
      <c r="B743" s="525" t="str">
        <f ca="1">IF(OR(A743="",A743=0),"",IF(COUNTIF($A$2:A743,$A743)=1,ROW(MauKoXoa!$C$108),$B742+1))</f>
        <v/>
      </c>
      <c r="C743" s="992" t="str">
        <f t="shared" ca="1" si="113"/>
        <v/>
      </c>
      <c r="D743" s="993" t="str">
        <f t="shared" ca="1" si="114"/>
        <v/>
      </c>
      <c r="E743" s="993" t="str">
        <f t="shared" ca="1" si="115"/>
        <v/>
      </c>
      <c r="F743" s="992" t="str">
        <f t="shared" ca="1" si="123"/>
        <v/>
      </c>
      <c r="G743" s="994">
        <f t="shared" ca="1" si="116"/>
        <v>0</v>
      </c>
      <c r="H743" s="913">
        <f t="shared" ca="1" si="117"/>
        <v>0</v>
      </c>
      <c r="I743" s="913">
        <f t="shared" ca="1" si="118"/>
        <v>0</v>
      </c>
      <c r="J743" s="995">
        <f t="shared" ca="1" si="124"/>
        <v>0</v>
      </c>
      <c r="K743" s="913">
        <f t="shared" ca="1" si="119"/>
        <v>0</v>
      </c>
      <c r="L743" s="995">
        <f t="shared" ca="1" si="125"/>
        <v>0</v>
      </c>
      <c r="M743" s="913">
        <f t="shared" ca="1" si="120"/>
        <v>0</v>
      </c>
      <c r="N743" s="996">
        <f t="shared" ca="1" si="121"/>
        <v>0</v>
      </c>
      <c r="O743" s="997">
        <f t="shared" ca="1" si="122"/>
        <v>0</v>
      </c>
      <c r="P743" s="1015" t="str">
        <f ca="1">IF($C743="","",INDEX(NVLSX!$N$2:$N$6941,MATCH($C743,NVLSX!$E$2:$E$6941,0)))</f>
        <v/>
      </c>
      <c r="Q743" s="1016" t="str">
        <f ca="1">IF($R743="","",IF(XKNVLSX!$X$1="",IF($P743=$V$7,$P743, IF(COUNTIFS($C$2:$C742,$C743,$E$2:$E742,$E743)&gt;=1,"",$P743)),     IF(AND(IFERROR(SEARCH($R743,XKNVLSX!$X$1,1),0)&gt;=1,$P743=$V$7),$P743, IF(OR($R743&lt;&gt;IF(IFERROR(SEARCH($R743,XKNVLSX!$X$1,1),0)&gt;=1,$R743,XKNVLSX!$X$1),COUNTIFS($C$2:$C742,$C743,$E$2:$E742,$E743,$Q$2:$Q742,$P743)&gt;=1),"",$P743))))</f>
        <v/>
      </c>
      <c r="R743" s="1017" t="str">
        <f ca="1">IF($A743="","",IFERROR(INDEX(TinhGia!$BF$10:$BF$81,MATCH($A743,TinhGia!$B$10:$B$81,0)),""))</f>
        <v/>
      </c>
      <c r="S743" s="1012" t="str">
        <f ca="1">IF($A743="","",IF(OR(IFERROR(SEARCH($R743,XKNVLSX!$X$1,1),0)&gt;=1,XKNVLSX!$X$1=""),$S$2,""))</f>
        <v/>
      </c>
      <c r="T743" s="1018" t="str">
        <f ca="1">IF($C743="","", IF(OR($P743=$V$1,$P743=$V$7,COUNTIFS($C$3:$C743,$C743,$E$3:$E743,$E743)&lt;=1),$P743,""    ))</f>
        <v/>
      </c>
      <c r="U743" s="1019" t="str">
        <f ca="1">IF(AND($P743=$V$2,COUNTIFS($C$3:$C743,$C743,$E$3:$E743,$E743,$G$3:$G743,$G743)&lt;=1),$P743,"")</f>
        <v/>
      </c>
    </row>
    <row r="744" spans="1:21">
      <c r="A744" s="991" t="str">
        <f ca="1">IFERROR(IF(COUNTIF($A$3:A743,A743)&lt; INDEX(TinhGia!$BH$10:$BH$81,MATCH($A743,TinhGia!$B$10:$B$81,0)),$A743,INDEX(TinhGia!$B$10:$B$81,MATCH($A743,TinhGia!$B$10:$B$81,0)+1)),"")</f>
        <v/>
      </c>
      <c r="B744" s="525" t="str">
        <f ca="1">IF(OR(A744="",A744=0),"",IF(COUNTIF($A$2:A744,$A744)=1,ROW(MauKoXoa!$C$108),$B743+1))</f>
        <v/>
      </c>
      <c r="C744" s="992" t="str">
        <f t="shared" ca="1" si="113"/>
        <v/>
      </c>
      <c r="D744" s="993" t="str">
        <f t="shared" ca="1" si="114"/>
        <v/>
      </c>
      <c r="E744" s="993" t="str">
        <f t="shared" ca="1" si="115"/>
        <v/>
      </c>
      <c r="F744" s="992" t="str">
        <f t="shared" ca="1" si="123"/>
        <v/>
      </c>
      <c r="G744" s="994">
        <f t="shared" ca="1" si="116"/>
        <v>0</v>
      </c>
      <c r="H744" s="913">
        <f t="shared" ca="1" si="117"/>
        <v>0</v>
      </c>
      <c r="I744" s="913">
        <f t="shared" ca="1" si="118"/>
        <v>0</v>
      </c>
      <c r="J744" s="995">
        <f t="shared" ca="1" si="124"/>
        <v>0</v>
      </c>
      <c r="K744" s="913">
        <f t="shared" ca="1" si="119"/>
        <v>0</v>
      </c>
      <c r="L744" s="995">
        <f t="shared" ca="1" si="125"/>
        <v>0</v>
      </c>
      <c r="M744" s="913">
        <f t="shared" ca="1" si="120"/>
        <v>0</v>
      </c>
      <c r="N744" s="996">
        <f t="shared" ca="1" si="121"/>
        <v>0</v>
      </c>
      <c r="O744" s="997">
        <f t="shared" ca="1" si="122"/>
        <v>0</v>
      </c>
      <c r="P744" s="1015" t="str">
        <f ca="1">IF($C744="","",INDEX(NVLSX!$N$2:$N$6941,MATCH($C744,NVLSX!$E$2:$E$6941,0)))</f>
        <v/>
      </c>
      <c r="Q744" s="1016" t="str">
        <f ca="1">IF($R744="","",IF(XKNVLSX!$X$1="",IF($P744=$V$7,$P744, IF(COUNTIFS($C$2:$C743,$C744,$E$2:$E743,$E744)&gt;=1,"",$P744)),     IF(AND(IFERROR(SEARCH($R744,XKNVLSX!$X$1,1),0)&gt;=1,$P744=$V$7),$P744, IF(OR($R744&lt;&gt;IF(IFERROR(SEARCH($R744,XKNVLSX!$X$1,1),0)&gt;=1,$R744,XKNVLSX!$X$1),COUNTIFS($C$2:$C743,$C744,$E$2:$E743,$E744,$Q$2:$Q743,$P744)&gt;=1),"",$P744))))</f>
        <v/>
      </c>
      <c r="R744" s="1017" t="str">
        <f ca="1">IF($A744="","",IFERROR(INDEX(TinhGia!$BF$10:$BF$81,MATCH($A744,TinhGia!$B$10:$B$81,0)),""))</f>
        <v/>
      </c>
      <c r="S744" s="1012" t="str">
        <f ca="1">IF($A744="","",IF(OR(IFERROR(SEARCH($R744,XKNVLSX!$X$1,1),0)&gt;=1,XKNVLSX!$X$1=""),$S$2,""))</f>
        <v/>
      </c>
      <c r="T744" s="1018" t="str">
        <f ca="1">IF($C744="","", IF(OR($P744=$V$1,$P744=$V$7,COUNTIFS($C$3:$C744,$C744,$E$3:$E744,$E744)&lt;=1),$P744,""    ))</f>
        <v/>
      </c>
      <c r="U744" s="1019" t="str">
        <f ca="1">IF(AND($P744=$V$2,COUNTIFS($C$3:$C744,$C744,$E$3:$E744,$E744,$G$3:$G744,$G744)&lt;=1),$P744,"")</f>
        <v/>
      </c>
    </row>
    <row r="745" spans="1:21">
      <c r="A745" s="991" t="str">
        <f ca="1">IFERROR(IF(COUNTIF($A$3:A744,A744)&lt; INDEX(TinhGia!$BH$10:$BH$81,MATCH($A744,TinhGia!$B$10:$B$81,0)),$A744,INDEX(TinhGia!$B$10:$B$81,MATCH($A744,TinhGia!$B$10:$B$81,0)+1)),"")</f>
        <v/>
      </c>
      <c r="B745" s="525" t="str">
        <f ca="1">IF(OR(A745="",A745=0),"",IF(COUNTIF($A$2:A745,$A745)=1,ROW(MauKoXoa!$C$108),$B744+1))</f>
        <v/>
      </c>
      <c r="C745" s="992" t="str">
        <f t="shared" ca="1" si="113"/>
        <v/>
      </c>
      <c r="D745" s="993" t="str">
        <f t="shared" ca="1" si="114"/>
        <v/>
      </c>
      <c r="E745" s="993" t="str">
        <f t="shared" ca="1" si="115"/>
        <v/>
      </c>
      <c r="F745" s="992" t="str">
        <f t="shared" ca="1" si="123"/>
        <v/>
      </c>
      <c r="G745" s="994">
        <f t="shared" ca="1" si="116"/>
        <v>0</v>
      </c>
      <c r="H745" s="913">
        <f t="shared" ca="1" si="117"/>
        <v>0</v>
      </c>
      <c r="I745" s="913">
        <f t="shared" ca="1" si="118"/>
        <v>0</v>
      </c>
      <c r="J745" s="995">
        <f t="shared" ca="1" si="124"/>
        <v>0</v>
      </c>
      <c r="K745" s="913">
        <f t="shared" ca="1" si="119"/>
        <v>0</v>
      </c>
      <c r="L745" s="995">
        <f t="shared" ca="1" si="125"/>
        <v>0</v>
      </c>
      <c r="M745" s="913">
        <f t="shared" ca="1" si="120"/>
        <v>0</v>
      </c>
      <c r="N745" s="996">
        <f t="shared" ca="1" si="121"/>
        <v>0</v>
      </c>
      <c r="O745" s="997">
        <f t="shared" ca="1" si="122"/>
        <v>0</v>
      </c>
      <c r="P745" s="1015" t="str">
        <f ca="1">IF($C745="","",INDEX(NVLSX!$N$2:$N$6941,MATCH($C745,NVLSX!$E$2:$E$6941,0)))</f>
        <v/>
      </c>
      <c r="Q745" s="1016" t="str">
        <f ca="1">IF($R745="","",IF(XKNVLSX!$X$1="",IF($P745=$V$7,$P745, IF(COUNTIFS($C$2:$C744,$C745,$E$2:$E744,$E745)&gt;=1,"",$P745)),     IF(AND(IFERROR(SEARCH($R745,XKNVLSX!$X$1,1),0)&gt;=1,$P745=$V$7),$P745, IF(OR($R745&lt;&gt;IF(IFERROR(SEARCH($R745,XKNVLSX!$X$1,1),0)&gt;=1,$R745,XKNVLSX!$X$1),COUNTIFS($C$2:$C744,$C745,$E$2:$E744,$E745,$Q$2:$Q744,$P745)&gt;=1),"",$P745))))</f>
        <v/>
      </c>
      <c r="R745" s="1017" t="str">
        <f ca="1">IF($A745="","",IFERROR(INDEX(TinhGia!$BF$10:$BF$81,MATCH($A745,TinhGia!$B$10:$B$81,0)),""))</f>
        <v/>
      </c>
      <c r="S745" s="1012" t="str">
        <f ca="1">IF($A745="","",IF(OR(IFERROR(SEARCH($R745,XKNVLSX!$X$1,1),0)&gt;=1,XKNVLSX!$X$1=""),$S$2,""))</f>
        <v/>
      </c>
      <c r="T745" s="1018" t="str">
        <f ca="1">IF($C745="","", IF(OR($P745=$V$1,$P745=$V$7,COUNTIFS($C$3:$C745,$C745,$E$3:$E745,$E745)&lt;=1),$P745,""    ))</f>
        <v/>
      </c>
      <c r="U745" s="1019" t="str">
        <f ca="1">IF(AND($P745=$V$2,COUNTIFS($C$3:$C745,$C745,$E$3:$E745,$E745,$G$3:$G745,$G745)&lt;=1),$P745,"")</f>
        <v/>
      </c>
    </row>
    <row r="746" spans="1:21">
      <c r="A746" s="991" t="str">
        <f ca="1">IFERROR(IF(COUNTIF($A$3:A745,A745)&lt; INDEX(TinhGia!$BH$10:$BH$81,MATCH($A745,TinhGia!$B$10:$B$81,0)),$A745,INDEX(TinhGia!$B$10:$B$81,MATCH($A745,TinhGia!$B$10:$B$81,0)+1)),"")</f>
        <v/>
      </c>
      <c r="B746" s="525" t="str">
        <f ca="1">IF(OR(A746="",A746=0),"",IF(COUNTIF($A$2:A746,$A746)=1,ROW(MauKoXoa!$C$108),$B745+1))</f>
        <v/>
      </c>
      <c r="C746" s="992" t="str">
        <f t="shared" ca="1" si="113"/>
        <v/>
      </c>
      <c r="D746" s="993" t="str">
        <f t="shared" ca="1" si="114"/>
        <v/>
      </c>
      <c r="E746" s="993" t="str">
        <f t="shared" ca="1" si="115"/>
        <v/>
      </c>
      <c r="F746" s="992" t="str">
        <f t="shared" ca="1" si="123"/>
        <v/>
      </c>
      <c r="G746" s="994">
        <f t="shared" ca="1" si="116"/>
        <v>0</v>
      </c>
      <c r="H746" s="913">
        <f t="shared" ca="1" si="117"/>
        <v>0</v>
      </c>
      <c r="I746" s="913">
        <f t="shared" ca="1" si="118"/>
        <v>0</v>
      </c>
      <c r="J746" s="995">
        <f t="shared" ca="1" si="124"/>
        <v>0</v>
      </c>
      <c r="K746" s="913">
        <f t="shared" ca="1" si="119"/>
        <v>0</v>
      </c>
      <c r="L746" s="995">
        <f t="shared" ca="1" si="125"/>
        <v>0</v>
      </c>
      <c r="M746" s="913">
        <f t="shared" ca="1" si="120"/>
        <v>0</v>
      </c>
      <c r="N746" s="996">
        <f t="shared" ca="1" si="121"/>
        <v>0</v>
      </c>
      <c r="O746" s="997">
        <f t="shared" ca="1" si="122"/>
        <v>0</v>
      </c>
      <c r="P746" s="1015" t="str">
        <f ca="1">IF($C746="","",INDEX(NVLSX!$N$2:$N$6941,MATCH($C746,NVLSX!$E$2:$E$6941,0)))</f>
        <v/>
      </c>
      <c r="Q746" s="1016" t="str">
        <f ca="1">IF($R746="","",IF(XKNVLSX!$X$1="",IF($P746=$V$7,$P746, IF(COUNTIFS($C$2:$C745,$C746,$E$2:$E745,$E746)&gt;=1,"",$P746)),     IF(AND(IFERROR(SEARCH($R746,XKNVLSX!$X$1,1),0)&gt;=1,$P746=$V$7),$P746, IF(OR($R746&lt;&gt;IF(IFERROR(SEARCH($R746,XKNVLSX!$X$1,1),0)&gt;=1,$R746,XKNVLSX!$X$1),COUNTIFS($C$2:$C745,$C746,$E$2:$E745,$E746,$Q$2:$Q745,$P746)&gt;=1),"",$P746))))</f>
        <v/>
      </c>
      <c r="R746" s="1017" t="str">
        <f ca="1">IF($A746="","",IFERROR(INDEX(TinhGia!$BF$10:$BF$81,MATCH($A746,TinhGia!$B$10:$B$81,0)),""))</f>
        <v/>
      </c>
      <c r="S746" s="1012" t="str">
        <f ca="1">IF($A746="","",IF(OR(IFERROR(SEARCH($R746,XKNVLSX!$X$1,1),0)&gt;=1,XKNVLSX!$X$1=""),$S$2,""))</f>
        <v/>
      </c>
      <c r="T746" s="1018" t="str">
        <f ca="1">IF($C746="","", IF(OR($P746=$V$1,$P746=$V$7,COUNTIFS($C$3:$C746,$C746,$E$3:$E746,$E746)&lt;=1),$P746,""    ))</f>
        <v/>
      </c>
      <c r="U746" s="1019" t="str">
        <f ca="1">IF(AND($P746=$V$2,COUNTIFS($C$3:$C746,$C746,$E$3:$E746,$E746,$G$3:$G746,$G746)&lt;=1),$P746,"")</f>
        <v/>
      </c>
    </row>
    <row r="747" spans="1:21">
      <c r="A747" s="991" t="str">
        <f ca="1">IFERROR(IF(COUNTIF($A$3:A746,A746)&lt; INDEX(TinhGia!$BH$10:$BH$81,MATCH($A746,TinhGia!$B$10:$B$81,0)),$A746,INDEX(TinhGia!$B$10:$B$81,MATCH($A746,TinhGia!$B$10:$B$81,0)+1)),"")</f>
        <v/>
      </c>
      <c r="B747" s="525" t="str">
        <f ca="1">IF(OR(A747="",A747=0),"",IF(COUNTIF($A$2:A747,$A747)=1,ROW(MauKoXoa!$C$108),$B746+1))</f>
        <v/>
      </c>
      <c r="C747" s="992" t="str">
        <f t="shared" ca="1" si="113"/>
        <v/>
      </c>
      <c r="D747" s="993" t="str">
        <f t="shared" ca="1" si="114"/>
        <v/>
      </c>
      <c r="E747" s="993" t="str">
        <f t="shared" ca="1" si="115"/>
        <v/>
      </c>
      <c r="F747" s="992" t="str">
        <f t="shared" ca="1" si="123"/>
        <v/>
      </c>
      <c r="G747" s="994">
        <f t="shared" ca="1" si="116"/>
        <v>0</v>
      </c>
      <c r="H747" s="913">
        <f t="shared" ca="1" si="117"/>
        <v>0</v>
      </c>
      <c r="I747" s="913">
        <f t="shared" ca="1" si="118"/>
        <v>0</v>
      </c>
      <c r="J747" s="995">
        <f t="shared" ca="1" si="124"/>
        <v>0</v>
      </c>
      <c r="K747" s="913">
        <f t="shared" ca="1" si="119"/>
        <v>0</v>
      </c>
      <c r="L747" s="995">
        <f t="shared" ca="1" si="125"/>
        <v>0</v>
      </c>
      <c r="M747" s="913">
        <f t="shared" ca="1" si="120"/>
        <v>0</v>
      </c>
      <c r="N747" s="996">
        <f t="shared" ca="1" si="121"/>
        <v>0</v>
      </c>
      <c r="O747" s="997">
        <f t="shared" ca="1" si="122"/>
        <v>0</v>
      </c>
      <c r="P747" s="1015" t="str">
        <f ca="1">IF($C747="","",INDEX(NVLSX!$N$2:$N$6941,MATCH($C747,NVLSX!$E$2:$E$6941,0)))</f>
        <v/>
      </c>
      <c r="Q747" s="1016" t="str">
        <f ca="1">IF($R747="","",IF(XKNVLSX!$X$1="",IF($P747=$V$7,$P747, IF(COUNTIFS($C$2:$C746,$C747,$E$2:$E746,$E747)&gt;=1,"",$P747)),     IF(AND(IFERROR(SEARCH($R747,XKNVLSX!$X$1,1),0)&gt;=1,$P747=$V$7),$P747, IF(OR($R747&lt;&gt;IF(IFERROR(SEARCH($R747,XKNVLSX!$X$1,1),0)&gt;=1,$R747,XKNVLSX!$X$1),COUNTIFS($C$2:$C746,$C747,$E$2:$E746,$E747,$Q$2:$Q746,$P747)&gt;=1),"",$P747))))</f>
        <v/>
      </c>
      <c r="R747" s="1017" t="str">
        <f ca="1">IF($A747="","",IFERROR(INDEX(TinhGia!$BF$10:$BF$81,MATCH($A747,TinhGia!$B$10:$B$81,0)),""))</f>
        <v/>
      </c>
      <c r="S747" s="1012" t="str">
        <f ca="1">IF($A747="","",IF(OR(IFERROR(SEARCH($R747,XKNVLSX!$X$1,1),0)&gt;=1,XKNVLSX!$X$1=""),$S$2,""))</f>
        <v/>
      </c>
      <c r="T747" s="1018" t="str">
        <f ca="1">IF($C747="","", IF(OR($P747=$V$1,$P747=$V$7,COUNTIFS($C$3:$C747,$C747,$E$3:$E747,$E747)&lt;=1),$P747,""    ))</f>
        <v/>
      </c>
      <c r="U747" s="1019" t="str">
        <f ca="1">IF(AND($P747=$V$2,COUNTIFS($C$3:$C747,$C747,$E$3:$E747,$E747,$G$3:$G747,$G747)&lt;=1),$P747,"")</f>
        <v/>
      </c>
    </row>
    <row r="748" spans="1:21">
      <c r="A748" s="991" t="str">
        <f ca="1">IFERROR(IF(COUNTIF($A$3:A747,A747)&lt; INDEX(TinhGia!$BH$10:$BH$81,MATCH($A747,TinhGia!$B$10:$B$81,0)),$A747,INDEX(TinhGia!$B$10:$B$81,MATCH($A747,TinhGia!$B$10:$B$81,0)+1)),"")</f>
        <v/>
      </c>
      <c r="B748" s="525" t="str">
        <f ca="1">IF(OR(A748="",A748=0),"",IF(COUNTIF($A$2:A748,$A748)=1,ROW(MauKoXoa!$C$108),$B747+1))</f>
        <v/>
      </c>
      <c r="C748" s="992" t="str">
        <f t="shared" ca="1" si="113"/>
        <v/>
      </c>
      <c r="D748" s="993" t="str">
        <f t="shared" ca="1" si="114"/>
        <v/>
      </c>
      <c r="E748" s="993" t="str">
        <f t="shared" ca="1" si="115"/>
        <v/>
      </c>
      <c r="F748" s="992" t="str">
        <f t="shared" ca="1" si="123"/>
        <v/>
      </c>
      <c r="G748" s="994">
        <f t="shared" ca="1" si="116"/>
        <v>0</v>
      </c>
      <c r="H748" s="913">
        <f t="shared" ca="1" si="117"/>
        <v>0</v>
      </c>
      <c r="I748" s="913">
        <f t="shared" ca="1" si="118"/>
        <v>0</v>
      </c>
      <c r="J748" s="995">
        <f t="shared" ca="1" si="124"/>
        <v>0</v>
      </c>
      <c r="K748" s="913">
        <f t="shared" ca="1" si="119"/>
        <v>0</v>
      </c>
      <c r="L748" s="995">
        <f t="shared" ca="1" si="125"/>
        <v>0</v>
      </c>
      <c r="M748" s="913">
        <f t="shared" ca="1" si="120"/>
        <v>0</v>
      </c>
      <c r="N748" s="996">
        <f t="shared" ca="1" si="121"/>
        <v>0</v>
      </c>
      <c r="O748" s="997">
        <f t="shared" ca="1" si="122"/>
        <v>0</v>
      </c>
      <c r="P748" s="1015" t="str">
        <f ca="1">IF($C748="","",INDEX(NVLSX!$N$2:$N$6941,MATCH($C748,NVLSX!$E$2:$E$6941,0)))</f>
        <v/>
      </c>
      <c r="Q748" s="1016" t="str">
        <f ca="1">IF($R748="","",IF(XKNVLSX!$X$1="",IF($P748=$V$7,$P748, IF(COUNTIFS($C$2:$C747,$C748,$E$2:$E747,$E748)&gt;=1,"",$P748)),     IF(AND(IFERROR(SEARCH($R748,XKNVLSX!$X$1,1),0)&gt;=1,$P748=$V$7),$P748, IF(OR($R748&lt;&gt;IF(IFERROR(SEARCH($R748,XKNVLSX!$X$1,1),0)&gt;=1,$R748,XKNVLSX!$X$1),COUNTIFS($C$2:$C747,$C748,$E$2:$E747,$E748,$Q$2:$Q747,$P748)&gt;=1),"",$P748))))</f>
        <v/>
      </c>
      <c r="R748" s="1017" t="str">
        <f ca="1">IF($A748="","",IFERROR(INDEX(TinhGia!$BF$10:$BF$81,MATCH($A748,TinhGia!$B$10:$B$81,0)),""))</f>
        <v/>
      </c>
      <c r="S748" s="1012" t="str">
        <f ca="1">IF($A748="","",IF(OR(IFERROR(SEARCH($R748,XKNVLSX!$X$1,1),0)&gt;=1,XKNVLSX!$X$1=""),$S$2,""))</f>
        <v/>
      </c>
      <c r="T748" s="1018" t="str">
        <f ca="1">IF($C748="","", IF(OR($P748=$V$1,$P748=$V$7,COUNTIFS($C$3:$C748,$C748,$E$3:$E748,$E748)&lt;=1),$P748,""    ))</f>
        <v/>
      </c>
      <c r="U748" s="1019" t="str">
        <f ca="1">IF(AND($P748=$V$2,COUNTIFS($C$3:$C748,$C748,$E$3:$E748,$E748,$G$3:$G748,$G748)&lt;=1),$P748,"")</f>
        <v/>
      </c>
    </row>
    <row r="749" spans="1:21">
      <c r="A749" s="991" t="str">
        <f ca="1">IFERROR(IF(COUNTIF($A$3:A748,A748)&lt; INDEX(TinhGia!$BH$10:$BH$81,MATCH($A748,TinhGia!$B$10:$B$81,0)),$A748,INDEX(TinhGia!$B$10:$B$81,MATCH($A748,TinhGia!$B$10:$B$81,0)+1)),"")</f>
        <v/>
      </c>
      <c r="B749" s="525" t="str">
        <f ca="1">IF(OR(A749="",A749=0),"",IF(COUNTIF($A$2:A749,$A749)=1,ROW(MauKoXoa!$C$108),$B748+1))</f>
        <v/>
      </c>
      <c r="C749" s="992" t="str">
        <f t="shared" ca="1" si="113"/>
        <v/>
      </c>
      <c r="D749" s="993" t="str">
        <f t="shared" ca="1" si="114"/>
        <v/>
      </c>
      <c r="E749" s="993" t="str">
        <f t="shared" ca="1" si="115"/>
        <v/>
      </c>
      <c r="F749" s="992" t="str">
        <f t="shared" ca="1" si="123"/>
        <v/>
      </c>
      <c r="G749" s="994">
        <f t="shared" ca="1" si="116"/>
        <v>0</v>
      </c>
      <c r="H749" s="913">
        <f t="shared" ca="1" si="117"/>
        <v>0</v>
      </c>
      <c r="I749" s="913">
        <f t="shared" ca="1" si="118"/>
        <v>0</v>
      </c>
      <c r="J749" s="995">
        <f t="shared" ca="1" si="124"/>
        <v>0</v>
      </c>
      <c r="K749" s="913">
        <f t="shared" ca="1" si="119"/>
        <v>0</v>
      </c>
      <c r="L749" s="995">
        <f t="shared" ca="1" si="125"/>
        <v>0</v>
      </c>
      <c r="M749" s="913">
        <f t="shared" ca="1" si="120"/>
        <v>0</v>
      </c>
      <c r="N749" s="996">
        <f t="shared" ca="1" si="121"/>
        <v>0</v>
      </c>
      <c r="O749" s="997">
        <f t="shared" ca="1" si="122"/>
        <v>0</v>
      </c>
      <c r="P749" s="1015" t="str">
        <f ca="1">IF($C749="","",INDEX(NVLSX!$N$2:$N$6941,MATCH($C749,NVLSX!$E$2:$E$6941,0)))</f>
        <v/>
      </c>
      <c r="Q749" s="1016" t="str">
        <f ca="1">IF($R749="","",IF(XKNVLSX!$X$1="",IF($P749=$V$7,$P749, IF(COUNTIFS($C$2:$C748,$C749,$E$2:$E748,$E749)&gt;=1,"",$P749)),     IF(AND(IFERROR(SEARCH($R749,XKNVLSX!$X$1,1),0)&gt;=1,$P749=$V$7),$P749, IF(OR($R749&lt;&gt;IF(IFERROR(SEARCH($R749,XKNVLSX!$X$1,1),0)&gt;=1,$R749,XKNVLSX!$X$1),COUNTIFS($C$2:$C748,$C749,$E$2:$E748,$E749,$Q$2:$Q748,$P749)&gt;=1),"",$P749))))</f>
        <v/>
      </c>
      <c r="R749" s="1017" t="str">
        <f ca="1">IF($A749="","",IFERROR(INDEX(TinhGia!$BF$10:$BF$81,MATCH($A749,TinhGia!$B$10:$B$81,0)),""))</f>
        <v/>
      </c>
      <c r="S749" s="1012" t="str">
        <f ca="1">IF($A749="","",IF(OR(IFERROR(SEARCH($R749,XKNVLSX!$X$1,1),0)&gt;=1,XKNVLSX!$X$1=""),$S$2,""))</f>
        <v/>
      </c>
      <c r="T749" s="1018" t="str">
        <f ca="1">IF($C749="","", IF(OR($P749=$V$1,$P749=$V$7,COUNTIFS($C$3:$C749,$C749,$E$3:$E749,$E749)&lt;=1),$P749,""    ))</f>
        <v/>
      </c>
      <c r="U749" s="1019" t="str">
        <f ca="1">IF(AND($P749=$V$2,COUNTIFS($C$3:$C749,$C749,$E$3:$E749,$E749,$G$3:$G749,$G749)&lt;=1),$P749,"")</f>
        <v/>
      </c>
    </row>
    <row r="750" spans="1:21">
      <c r="A750" s="991" t="str">
        <f ca="1">IFERROR(IF(COUNTIF($A$3:A749,A749)&lt; INDEX(TinhGia!$BH$10:$BH$81,MATCH($A749,TinhGia!$B$10:$B$81,0)),$A749,INDEX(TinhGia!$B$10:$B$81,MATCH($A749,TinhGia!$B$10:$B$81,0)+1)),"")</f>
        <v/>
      </c>
      <c r="B750" s="525" t="str">
        <f ca="1">IF(OR(A750="",A750=0),"",IF(COUNTIF($A$2:A750,$A750)=1,ROW(MauKoXoa!$C$108),$B749+1))</f>
        <v/>
      </c>
      <c r="C750" s="992" t="str">
        <f t="shared" ca="1" si="113"/>
        <v/>
      </c>
      <c r="D750" s="993" t="str">
        <f t="shared" ca="1" si="114"/>
        <v/>
      </c>
      <c r="E750" s="993" t="str">
        <f t="shared" ca="1" si="115"/>
        <v/>
      </c>
      <c r="F750" s="992" t="str">
        <f t="shared" ca="1" si="123"/>
        <v/>
      </c>
      <c r="G750" s="994">
        <f t="shared" ca="1" si="116"/>
        <v>0</v>
      </c>
      <c r="H750" s="913">
        <f t="shared" ca="1" si="117"/>
        <v>0</v>
      </c>
      <c r="I750" s="913">
        <f t="shared" ca="1" si="118"/>
        <v>0</v>
      </c>
      <c r="J750" s="995">
        <f t="shared" ca="1" si="124"/>
        <v>0</v>
      </c>
      <c r="K750" s="913">
        <f t="shared" ca="1" si="119"/>
        <v>0</v>
      </c>
      <c r="L750" s="995">
        <f t="shared" ca="1" si="125"/>
        <v>0</v>
      </c>
      <c r="M750" s="913">
        <f t="shared" ca="1" si="120"/>
        <v>0</v>
      </c>
      <c r="N750" s="996">
        <f t="shared" ca="1" si="121"/>
        <v>0</v>
      </c>
      <c r="O750" s="997">
        <f t="shared" ca="1" si="122"/>
        <v>0</v>
      </c>
      <c r="P750" s="1015" t="str">
        <f ca="1">IF($C750="","",INDEX(NVLSX!$N$2:$N$6941,MATCH($C750,NVLSX!$E$2:$E$6941,0)))</f>
        <v/>
      </c>
      <c r="Q750" s="1016" t="str">
        <f ca="1">IF($R750="","",IF(XKNVLSX!$X$1="",IF($P750=$V$7,$P750, IF(COUNTIFS($C$2:$C749,$C750,$E$2:$E749,$E750)&gt;=1,"",$P750)),     IF(AND(IFERROR(SEARCH($R750,XKNVLSX!$X$1,1),0)&gt;=1,$P750=$V$7),$P750, IF(OR($R750&lt;&gt;IF(IFERROR(SEARCH($R750,XKNVLSX!$X$1,1),0)&gt;=1,$R750,XKNVLSX!$X$1),COUNTIFS($C$2:$C749,$C750,$E$2:$E749,$E750,$Q$2:$Q749,$P750)&gt;=1),"",$P750))))</f>
        <v/>
      </c>
      <c r="R750" s="1017" t="str">
        <f ca="1">IF($A750="","",IFERROR(INDEX(TinhGia!$BF$10:$BF$81,MATCH($A750,TinhGia!$B$10:$B$81,0)),""))</f>
        <v/>
      </c>
      <c r="S750" s="1012" t="str">
        <f ca="1">IF($A750="","",IF(OR(IFERROR(SEARCH($R750,XKNVLSX!$X$1,1),0)&gt;=1,XKNVLSX!$X$1=""),$S$2,""))</f>
        <v/>
      </c>
      <c r="T750" s="1018" t="str">
        <f ca="1">IF($C750="","", IF(OR($P750=$V$1,$P750=$V$7,COUNTIFS($C$3:$C750,$C750,$E$3:$E750,$E750)&lt;=1),$P750,""    ))</f>
        <v/>
      </c>
      <c r="U750" s="1019" t="str">
        <f ca="1">IF(AND($P750=$V$2,COUNTIFS($C$3:$C750,$C750,$E$3:$E750,$E750,$G$3:$G750,$G750)&lt;=1),$P750,"")</f>
        <v/>
      </c>
    </row>
    <row r="751" spans="1:21">
      <c r="A751" s="991" t="str">
        <f ca="1">IFERROR(IF(COUNTIF($A$3:A750,A750)&lt; INDEX(TinhGia!$BH$10:$BH$81,MATCH($A750,TinhGia!$B$10:$B$81,0)),$A750,INDEX(TinhGia!$B$10:$B$81,MATCH($A750,TinhGia!$B$10:$B$81,0)+1)),"")</f>
        <v/>
      </c>
      <c r="B751" s="525" t="str">
        <f ca="1">IF(OR(A751="",A751=0),"",IF(COUNTIF($A$2:A751,$A751)=1,ROW(MauKoXoa!$C$108),$B750+1))</f>
        <v/>
      </c>
      <c r="C751" s="992" t="str">
        <f t="shared" ca="1" si="113"/>
        <v/>
      </c>
      <c r="D751" s="993" t="str">
        <f t="shared" ca="1" si="114"/>
        <v/>
      </c>
      <c r="E751" s="993" t="str">
        <f t="shared" ca="1" si="115"/>
        <v/>
      </c>
      <c r="F751" s="992" t="str">
        <f t="shared" ca="1" si="123"/>
        <v/>
      </c>
      <c r="G751" s="994">
        <f t="shared" ca="1" si="116"/>
        <v>0</v>
      </c>
      <c r="H751" s="913">
        <f t="shared" ca="1" si="117"/>
        <v>0</v>
      </c>
      <c r="I751" s="913">
        <f t="shared" ca="1" si="118"/>
        <v>0</v>
      </c>
      <c r="J751" s="995">
        <f t="shared" ca="1" si="124"/>
        <v>0</v>
      </c>
      <c r="K751" s="913">
        <f t="shared" ca="1" si="119"/>
        <v>0</v>
      </c>
      <c r="L751" s="995">
        <f t="shared" ca="1" si="125"/>
        <v>0</v>
      </c>
      <c r="M751" s="913">
        <f t="shared" ca="1" si="120"/>
        <v>0</v>
      </c>
      <c r="N751" s="996">
        <f t="shared" ca="1" si="121"/>
        <v>0</v>
      </c>
      <c r="O751" s="997">
        <f t="shared" ca="1" si="122"/>
        <v>0</v>
      </c>
      <c r="P751" s="1015" t="str">
        <f ca="1">IF($C751="","",INDEX(NVLSX!$N$2:$N$6941,MATCH($C751,NVLSX!$E$2:$E$6941,0)))</f>
        <v/>
      </c>
      <c r="Q751" s="1016" t="str">
        <f ca="1">IF($R751="","",IF(XKNVLSX!$X$1="",IF($P751=$V$7,$P751, IF(COUNTIFS($C$2:$C750,$C751,$E$2:$E750,$E751)&gt;=1,"",$P751)),     IF(AND(IFERROR(SEARCH($R751,XKNVLSX!$X$1,1),0)&gt;=1,$P751=$V$7),$P751, IF(OR($R751&lt;&gt;IF(IFERROR(SEARCH($R751,XKNVLSX!$X$1,1),0)&gt;=1,$R751,XKNVLSX!$X$1),COUNTIFS($C$2:$C750,$C751,$E$2:$E750,$E751,$Q$2:$Q750,$P751)&gt;=1),"",$P751))))</f>
        <v/>
      </c>
      <c r="R751" s="1017" t="str">
        <f ca="1">IF($A751="","",IFERROR(INDEX(TinhGia!$BF$10:$BF$81,MATCH($A751,TinhGia!$B$10:$B$81,0)),""))</f>
        <v/>
      </c>
      <c r="S751" s="1012" t="str">
        <f ca="1">IF($A751="","",IF(OR(IFERROR(SEARCH($R751,XKNVLSX!$X$1,1),0)&gt;=1,XKNVLSX!$X$1=""),$S$2,""))</f>
        <v/>
      </c>
      <c r="T751" s="1018" t="str">
        <f ca="1">IF($C751="","", IF(OR($P751=$V$1,$P751=$V$7,COUNTIFS($C$3:$C751,$C751,$E$3:$E751,$E751)&lt;=1),$P751,""    ))</f>
        <v/>
      </c>
      <c r="U751" s="1019" t="str">
        <f ca="1">IF(AND($P751=$V$2,COUNTIFS($C$3:$C751,$C751,$E$3:$E751,$E751,$G$3:$G751,$G751)&lt;=1),$P751,"")</f>
        <v/>
      </c>
    </row>
    <row r="752" spans="1:21">
      <c r="A752" s="991" t="str">
        <f ca="1">IFERROR(IF(COUNTIF($A$3:A751,A751)&lt; INDEX(TinhGia!$BH$10:$BH$81,MATCH($A751,TinhGia!$B$10:$B$81,0)),$A751,INDEX(TinhGia!$B$10:$B$81,MATCH($A751,TinhGia!$B$10:$B$81,0)+1)),"")</f>
        <v/>
      </c>
      <c r="B752" s="525" t="str">
        <f ca="1">IF(OR(A752="",A752=0),"",IF(COUNTIF($A$2:A752,$A752)=1,ROW(MauKoXoa!$C$108),$B751+1))</f>
        <v/>
      </c>
      <c r="C752" s="992" t="str">
        <f t="shared" ca="1" si="113"/>
        <v/>
      </c>
      <c r="D752" s="993" t="str">
        <f t="shared" ca="1" si="114"/>
        <v/>
      </c>
      <c r="E752" s="993" t="str">
        <f t="shared" ca="1" si="115"/>
        <v/>
      </c>
      <c r="F752" s="992" t="str">
        <f t="shared" ca="1" si="123"/>
        <v/>
      </c>
      <c r="G752" s="994">
        <f t="shared" ca="1" si="116"/>
        <v>0</v>
      </c>
      <c r="H752" s="913">
        <f t="shared" ca="1" si="117"/>
        <v>0</v>
      </c>
      <c r="I752" s="913">
        <f t="shared" ca="1" si="118"/>
        <v>0</v>
      </c>
      <c r="J752" s="995">
        <f t="shared" ca="1" si="124"/>
        <v>0</v>
      </c>
      <c r="K752" s="913">
        <f t="shared" ca="1" si="119"/>
        <v>0</v>
      </c>
      <c r="L752" s="995">
        <f t="shared" ca="1" si="125"/>
        <v>0</v>
      </c>
      <c r="M752" s="913">
        <f t="shared" ca="1" si="120"/>
        <v>0</v>
      </c>
      <c r="N752" s="996">
        <f t="shared" ca="1" si="121"/>
        <v>0</v>
      </c>
      <c r="O752" s="997">
        <f t="shared" ca="1" si="122"/>
        <v>0</v>
      </c>
      <c r="P752" s="1015" t="str">
        <f ca="1">IF($C752="","",INDEX(NVLSX!$N$2:$N$6941,MATCH($C752,NVLSX!$E$2:$E$6941,0)))</f>
        <v/>
      </c>
      <c r="Q752" s="1016" t="str">
        <f ca="1">IF($R752="","",IF(XKNVLSX!$X$1="",IF($P752=$V$7,$P752, IF(COUNTIFS($C$2:$C751,$C752,$E$2:$E751,$E752)&gt;=1,"",$P752)),     IF(AND(IFERROR(SEARCH($R752,XKNVLSX!$X$1,1),0)&gt;=1,$P752=$V$7),$P752, IF(OR($R752&lt;&gt;IF(IFERROR(SEARCH($R752,XKNVLSX!$X$1,1),0)&gt;=1,$R752,XKNVLSX!$X$1),COUNTIFS($C$2:$C751,$C752,$E$2:$E751,$E752,$Q$2:$Q751,$P752)&gt;=1),"",$P752))))</f>
        <v/>
      </c>
      <c r="R752" s="1017" t="str">
        <f ca="1">IF($A752="","",IFERROR(INDEX(TinhGia!$BF$10:$BF$81,MATCH($A752,TinhGia!$B$10:$B$81,0)),""))</f>
        <v/>
      </c>
      <c r="S752" s="1012" t="str">
        <f ca="1">IF($A752="","",IF(OR(IFERROR(SEARCH($R752,XKNVLSX!$X$1,1),0)&gt;=1,XKNVLSX!$X$1=""),$S$2,""))</f>
        <v/>
      </c>
      <c r="T752" s="1018" t="str">
        <f ca="1">IF($C752="","", IF(OR($P752=$V$1,$P752=$V$7,COUNTIFS($C$3:$C752,$C752,$E$3:$E752,$E752)&lt;=1),$P752,""    ))</f>
        <v/>
      </c>
      <c r="U752" s="1019" t="str">
        <f ca="1">IF(AND($P752=$V$2,COUNTIFS($C$3:$C752,$C752,$E$3:$E752,$E752,$G$3:$G752,$G752)&lt;=1),$P752,"")</f>
        <v/>
      </c>
    </row>
    <row r="753" spans="1:21">
      <c r="A753" s="991" t="str">
        <f ca="1">IFERROR(IF(COUNTIF($A$3:A752,A752)&lt; INDEX(TinhGia!$BH$10:$BH$81,MATCH($A752,TinhGia!$B$10:$B$81,0)),$A752,INDEX(TinhGia!$B$10:$B$81,MATCH($A752,TinhGia!$B$10:$B$81,0)+1)),"")</f>
        <v/>
      </c>
      <c r="B753" s="525" t="str">
        <f ca="1">IF(OR(A753="",A753=0),"",IF(COUNTIF($A$2:A753,$A753)=1,ROW(MauKoXoa!$C$108),$B752+1))</f>
        <v/>
      </c>
      <c r="C753" s="992" t="str">
        <f t="shared" ca="1" si="113"/>
        <v/>
      </c>
      <c r="D753" s="993" t="str">
        <f t="shared" ca="1" si="114"/>
        <v/>
      </c>
      <c r="E753" s="993" t="str">
        <f t="shared" ca="1" si="115"/>
        <v/>
      </c>
      <c r="F753" s="992" t="str">
        <f t="shared" ca="1" si="123"/>
        <v/>
      </c>
      <c r="G753" s="994">
        <f t="shared" ca="1" si="116"/>
        <v>0</v>
      </c>
      <c r="H753" s="913">
        <f t="shared" ca="1" si="117"/>
        <v>0</v>
      </c>
      <c r="I753" s="913">
        <f t="shared" ca="1" si="118"/>
        <v>0</v>
      </c>
      <c r="J753" s="995">
        <f t="shared" ca="1" si="124"/>
        <v>0</v>
      </c>
      <c r="K753" s="913">
        <f t="shared" ca="1" si="119"/>
        <v>0</v>
      </c>
      <c r="L753" s="995">
        <f t="shared" ca="1" si="125"/>
        <v>0</v>
      </c>
      <c r="M753" s="913">
        <f t="shared" ca="1" si="120"/>
        <v>0</v>
      </c>
      <c r="N753" s="996">
        <f t="shared" ca="1" si="121"/>
        <v>0</v>
      </c>
      <c r="O753" s="997">
        <f t="shared" ca="1" si="122"/>
        <v>0</v>
      </c>
      <c r="P753" s="1015" t="str">
        <f ca="1">IF($C753="","",INDEX(NVLSX!$N$2:$N$6941,MATCH($C753,NVLSX!$E$2:$E$6941,0)))</f>
        <v/>
      </c>
      <c r="Q753" s="1016" t="str">
        <f ca="1">IF($R753="","",IF(XKNVLSX!$X$1="",IF($P753=$V$7,$P753, IF(COUNTIFS($C$2:$C752,$C753,$E$2:$E752,$E753)&gt;=1,"",$P753)),     IF(AND(IFERROR(SEARCH($R753,XKNVLSX!$X$1,1),0)&gt;=1,$P753=$V$7),$P753, IF(OR($R753&lt;&gt;IF(IFERROR(SEARCH($R753,XKNVLSX!$X$1,1),0)&gt;=1,$R753,XKNVLSX!$X$1),COUNTIFS($C$2:$C752,$C753,$E$2:$E752,$E753,$Q$2:$Q752,$P753)&gt;=1),"",$P753))))</f>
        <v/>
      </c>
      <c r="R753" s="1017" t="str">
        <f ca="1">IF($A753="","",IFERROR(INDEX(TinhGia!$BF$10:$BF$81,MATCH($A753,TinhGia!$B$10:$B$81,0)),""))</f>
        <v/>
      </c>
      <c r="S753" s="1012" t="str">
        <f ca="1">IF($A753="","",IF(OR(IFERROR(SEARCH($R753,XKNVLSX!$X$1,1),0)&gt;=1,XKNVLSX!$X$1=""),$S$2,""))</f>
        <v/>
      </c>
      <c r="T753" s="1018" t="str">
        <f ca="1">IF($C753="","", IF(OR($P753=$V$1,$P753=$V$7,COUNTIFS($C$3:$C753,$C753,$E$3:$E753,$E753)&lt;=1),$P753,""    ))</f>
        <v/>
      </c>
      <c r="U753" s="1019" t="str">
        <f ca="1">IF(AND($P753=$V$2,COUNTIFS($C$3:$C753,$C753,$E$3:$E753,$E753,$G$3:$G753,$G753)&lt;=1),$P753,"")</f>
        <v/>
      </c>
    </row>
    <row r="754" spans="1:21">
      <c r="A754" s="991" t="str">
        <f ca="1">IFERROR(IF(COUNTIF($A$3:A753,A753)&lt; INDEX(TinhGia!$BH$10:$BH$81,MATCH($A753,TinhGia!$B$10:$B$81,0)),$A753,INDEX(TinhGia!$B$10:$B$81,MATCH($A753,TinhGia!$B$10:$B$81,0)+1)),"")</f>
        <v/>
      </c>
      <c r="B754" s="525" t="str">
        <f ca="1">IF(OR(A754="",A754=0),"",IF(COUNTIF($A$2:A754,$A754)=1,ROW(MauKoXoa!$C$108),$B753+1))</f>
        <v/>
      </c>
      <c r="C754" s="992" t="str">
        <f t="shared" ca="1" si="113"/>
        <v/>
      </c>
      <c r="D754" s="993" t="str">
        <f t="shared" ca="1" si="114"/>
        <v/>
      </c>
      <c r="E754" s="993" t="str">
        <f t="shared" ca="1" si="115"/>
        <v/>
      </c>
      <c r="F754" s="992" t="str">
        <f t="shared" ca="1" si="123"/>
        <v/>
      </c>
      <c r="G754" s="994">
        <f t="shared" ca="1" si="116"/>
        <v>0</v>
      </c>
      <c r="H754" s="913">
        <f t="shared" ca="1" si="117"/>
        <v>0</v>
      </c>
      <c r="I754" s="913">
        <f t="shared" ca="1" si="118"/>
        <v>0</v>
      </c>
      <c r="J754" s="995">
        <f t="shared" ca="1" si="124"/>
        <v>0</v>
      </c>
      <c r="K754" s="913">
        <f t="shared" ca="1" si="119"/>
        <v>0</v>
      </c>
      <c r="L754" s="995">
        <f t="shared" ca="1" si="125"/>
        <v>0</v>
      </c>
      <c r="M754" s="913">
        <f t="shared" ca="1" si="120"/>
        <v>0</v>
      </c>
      <c r="N754" s="996">
        <f t="shared" ca="1" si="121"/>
        <v>0</v>
      </c>
      <c r="O754" s="997">
        <f t="shared" ca="1" si="122"/>
        <v>0</v>
      </c>
      <c r="P754" s="1015" t="str">
        <f ca="1">IF($C754="","",INDEX(NVLSX!$N$2:$N$6941,MATCH($C754,NVLSX!$E$2:$E$6941,0)))</f>
        <v/>
      </c>
      <c r="Q754" s="1016" t="str">
        <f ca="1">IF($R754="","",IF(XKNVLSX!$X$1="",IF($P754=$V$7,$P754, IF(COUNTIFS($C$2:$C753,$C754,$E$2:$E753,$E754)&gt;=1,"",$P754)),     IF(AND(IFERROR(SEARCH($R754,XKNVLSX!$X$1,1),0)&gt;=1,$P754=$V$7),$P754, IF(OR($R754&lt;&gt;IF(IFERROR(SEARCH($R754,XKNVLSX!$X$1,1),0)&gt;=1,$R754,XKNVLSX!$X$1),COUNTIFS($C$2:$C753,$C754,$E$2:$E753,$E754,$Q$2:$Q753,$P754)&gt;=1),"",$P754))))</f>
        <v/>
      </c>
      <c r="R754" s="1017" t="str">
        <f ca="1">IF($A754="","",IFERROR(INDEX(TinhGia!$BF$10:$BF$81,MATCH($A754,TinhGia!$B$10:$B$81,0)),""))</f>
        <v/>
      </c>
      <c r="S754" s="1012" t="str">
        <f ca="1">IF($A754="","",IF(OR(IFERROR(SEARCH($R754,XKNVLSX!$X$1,1),0)&gt;=1,XKNVLSX!$X$1=""),$S$2,""))</f>
        <v/>
      </c>
      <c r="T754" s="1018" t="str">
        <f ca="1">IF($C754="","", IF(OR($P754=$V$1,$P754=$V$7,COUNTIFS($C$3:$C754,$C754,$E$3:$E754,$E754)&lt;=1),$P754,""    ))</f>
        <v/>
      </c>
      <c r="U754" s="1019" t="str">
        <f ca="1">IF(AND($P754=$V$2,COUNTIFS($C$3:$C754,$C754,$E$3:$E754,$E754,$G$3:$G754,$G754)&lt;=1),$P754,"")</f>
        <v/>
      </c>
    </row>
    <row r="755" spans="1:21">
      <c r="A755" s="991" t="str">
        <f ca="1">IFERROR(IF(COUNTIF($A$3:A754,A754)&lt; INDEX(TinhGia!$BH$10:$BH$81,MATCH($A754,TinhGia!$B$10:$B$81,0)),$A754,INDEX(TinhGia!$B$10:$B$81,MATCH($A754,TinhGia!$B$10:$B$81,0)+1)),"")</f>
        <v/>
      </c>
      <c r="B755" s="525" t="str">
        <f ca="1">IF(OR(A755="",A755=0),"",IF(COUNTIF($A$2:A755,$A755)=1,ROW(MauKoXoa!$C$108),$B754+1))</f>
        <v/>
      </c>
      <c r="C755" s="992" t="str">
        <f t="shared" ca="1" si="113"/>
        <v/>
      </c>
      <c r="D755" s="993" t="str">
        <f t="shared" ca="1" si="114"/>
        <v/>
      </c>
      <c r="E755" s="993" t="str">
        <f t="shared" ca="1" si="115"/>
        <v/>
      </c>
      <c r="F755" s="992" t="str">
        <f t="shared" ca="1" si="123"/>
        <v/>
      </c>
      <c r="G755" s="994">
        <f t="shared" ca="1" si="116"/>
        <v>0</v>
      </c>
      <c r="H755" s="913">
        <f t="shared" ca="1" si="117"/>
        <v>0</v>
      </c>
      <c r="I755" s="913">
        <f t="shared" ca="1" si="118"/>
        <v>0</v>
      </c>
      <c r="J755" s="995">
        <f t="shared" ca="1" si="124"/>
        <v>0</v>
      </c>
      <c r="K755" s="913">
        <f t="shared" ca="1" si="119"/>
        <v>0</v>
      </c>
      <c r="L755" s="995">
        <f t="shared" ca="1" si="125"/>
        <v>0</v>
      </c>
      <c r="M755" s="913">
        <f t="shared" ca="1" si="120"/>
        <v>0</v>
      </c>
      <c r="N755" s="996">
        <f t="shared" ca="1" si="121"/>
        <v>0</v>
      </c>
      <c r="O755" s="997">
        <f t="shared" ca="1" si="122"/>
        <v>0</v>
      </c>
      <c r="P755" s="1015" t="str">
        <f ca="1">IF($C755="","",INDEX(NVLSX!$N$2:$N$6941,MATCH($C755,NVLSX!$E$2:$E$6941,0)))</f>
        <v/>
      </c>
      <c r="Q755" s="1016" t="str">
        <f ca="1">IF($R755="","",IF(XKNVLSX!$X$1="",IF($P755=$V$7,$P755, IF(COUNTIFS($C$2:$C754,$C755,$E$2:$E754,$E755)&gt;=1,"",$P755)),     IF(AND(IFERROR(SEARCH($R755,XKNVLSX!$X$1,1),0)&gt;=1,$P755=$V$7),$P755, IF(OR($R755&lt;&gt;IF(IFERROR(SEARCH($R755,XKNVLSX!$X$1,1),0)&gt;=1,$R755,XKNVLSX!$X$1),COUNTIFS($C$2:$C754,$C755,$E$2:$E754,$E755,$Q$2:$Q754,$P755)&gt;=1),"",$P755))))</f>
        <v/>
      </c>
      <c r="R755" s="1017" t="str">
        <f ca="1">IF($A755="","",IFERROR(INDEX(TinhGia!$BF$10:$BF$81,MATCH($A755,TinhGia!$B$10:$B$81,0)),""))</f>
        <v/>
      </c>
      <c r="S755" s="1012" t="str">
        <f ca="1">IF($A755="","",IF(OR(IFERROR(SEARCH($R755,XKNVLSX!$X$1,1),0)&gt;=1,XKNVLSX!$X$1=""),$S$2,""))</f>
        <v/>
      </c>
      <c r="T755" s="1018" t="str">
        <f ca="1">IF($C755="","", IF(OR($P755=$V$1,$P755=$V$7,COUNTIFS($C$3:$C755,$C755,$E$3:$E755,$E755)&lt;=1),$P755,""    ))</f>
        <v/>
      </c>
      <c r="U755" s="1019" t="str">
        <f ca="1">IF(AND($P755=$V$2,COUNTIFS($C$3:$C755,$C755,$E$3:$E755,$E755,$G$3:$G755,$G755)&lt;=1),$P755,"")</f>
        <v/>
      </c>
    </row>
    <row r="756" spans="1:21">
      <c r="A756" s="991" t="str">
        <f ca="1">IFERROR(IF(COUNTIF($A$3:A755,A755)&lt; INDEX(TinhGia!$BH$10:$BH$81,MATCH($A755,TinhGia!$B$10:$B$81,0)),$A755,INDEX(TinhGia!$B$10:$B$81,MATCH($A755,TinhGia!$B$10:$B$81,0)+1)),"")</f>
        <v/>
      </c>
      <c r="B756" s="525" t="str">
        <f ca="1">IF(OR(A756="",A756=0),"",IF(COUNTIF($A$2:A756,$A756)=1,ROW(MauKoXoa!$C$108),$B755+1))</f>
        <v/>
      </c>
      <c r="C756" s="992" t="str">
        <f t="shared" ca="1" si="113"/>
        <v/>
      </c>
      <c r="D756" s="993" t="str">
        <f t="shared" ca="1" si="114"/>
        <v/>
      </c>
      <c r="E756" s="993" t="str">
        <f t="shared" ca="1" si="115"/>
        <v/>
      </c>
      <c r="F756" s="992" t="str">
        <f t="shared" ca="1" si="123"/>
        <v/>
      </c>
      <c r="G756" s="994">
        <f t="shared" ca="1" si="116"/>
        <v>0</v>
      </c>
      <c r="H756" s="913">
        <f t="shared" ca="1" si="117"/>
        <v>0</v>
      </c>
      <c r="I756" s="913">
        <f t="shared" ca="1" si="118"/>
        <v>0</v>
      </c>
      <c r="J756" s="995">
        <f t="shared" ca="1" si="124"/>
        <v>0</v>
      </c>
      <c r="K756" s="913">
        <f t="shared" ca="1" si="119"/>
        <v>0</v>
      </c>
      <c r="L756" s="995">
        <f t="shared" ca="1" si="125"/>
        <v>0</v>
      </c>
      <c r="M756" s="913">
        <f t="shared" ca="1" si="120"/>
        <v>0</v>
      </c>
      <c r="N756" s="996">
        <f t="shared" ca="1" si="121"/>
        <v>0</v>
      </c>
      <c r="O756" s="997">
        <f t="shared" ca="1" si="122"/>
        <v>0</v>
      </c>
      <c r="P756" s="1015" t="str">
        <f ca="1">IF($C756="","",INDEX(NVLSX!$N$2:$N$6941,MATCH($C756,NVLSX!$E$2:$E$6941,0)))</f>
        <v/>
      </c>
      <c r="Q756" s="1016" t="str">
        <f ca="1">IF($R756="","",IF(XKNVLSX!$X$1="",IF($P756=$V$7,$P756, IF(COUNTIFS($C$2:$C755,$C756,$E$2:$E755,$E756)&gt;=1,"",$P756)),     IF(AND(IFERROR(SEARCH($R756,XKNVLSX!$X$1,1),0)&gt;=1,$P756=$V$7),$P756, IF(OR($R756&lt;&gt;IF(IFERROR(SEARCH($R756,XKNVLSX!$X$1,1),0)&gt;=1,$R756,XKNVLSX!$X$1),COUNTIFS($C$2:$C755,$C756,$E$2:$E755,$E756,$Q$2:$Q755,$P756)&gt;=1),"",$P756))))</f>
        <v/>
      </c>
      <c r="R756" s="1017" t="str">
        <f ca="1">IF($A756="","",IFERROR(INDEX(TinhGia!$BF$10:$BF$81,MATCH($A756,TinhGia!$B$10:$B$81,0)),""))</f>
        <v/>
      </c>
      <c r="S756" s="1012" t="str">
        <f ca="1">IF($A756="","",IF(OR(IFERROR(SEARCH($R756,XKNVLSX!$X$1,1),0)&gt;=1,XKNVLSX!$X$1=""),$S$2,""))</f>
        <v/>
      </c>
      <c r="T756" s="1018" t="str">
        <f ca="1">IF($C756="","", IF(OR($P756=$V$1,$P756=$V$7,COUNTIFS($C$3:$C756,$C756,$E$3:$E756,$E756)&lt;=1),$P756,""    ))</f>
        <v/>
      </c>
      <c r="U756" s="1019" t="str">
        <f ca="1">IF(AND($P756=$V$2,COUNTIFS($C$3:$C756,$C756,$E$3:$E756,$E756,$G$3:$G756,$G756)&lt;=1),$P756,"")</f>
        <v/>
      </c>
    </row>
    <row r="757" spans="1:21">
      <c r="A757" s="991" t="str">
        <f ca="1">IFERROR(IF(COUNTIF($A$3:A756,A756)&lt; INDEX(TinhGia!$BH$10:$BH$81,MATCH($A756,TinhGia!$B$10:$B$81,0)),$A756,INDEX(TinhGia!$B$10:$B$81,MATCH($A756,TinhGia!$B$10:$B$81,0)+1)),"")</f>
        <v/>
      </c>
      <c r="B757" s="525" t="str">
        <f ca="1">IF(OR(A757="",A757=0),"",IF(COUNTIF($A$2:A757,$A757)=1,ROW(MauKoXoa!$C$108),$B756+1))</f>
        <v/>
      </c>
      <c r="C757" s="992" t="str">
        <f t="shared" ca="1" si="113"/>
        <v/>
      </c>
      <c r="D757" s="993" t="str">
        <f t="shared" ca="1" si="114"/>
        <v/>
      </c>
      <c r="E757" s="993" t="str">
        <f t="shared" ca="1" si="115"/>
        <v/>
      </c>
      <c r="F757" s="992" t="str">
        <f t="shared" ca="1" si="123"/>
        <v/>
      </c>
      <c r="G757" s="994">
        <f t="shared" ca="1" si="116"/>
        <v>0</v>
      </c>
      <c r="H757" s="913">
        <f t="shared" ca="1" si="117"/>
        <v>0</v>
      </c>
      <c r="I757" s="913">
        <f t="shared" ca="1" si="118"/>
        <v>0</v>
      </c>
      <c r="J757" s="995">
        <f t="shared" ca="1" si="124"/>
        <v>0</v>
      </c>
      <c r="K757" s="913">
        <f t="shared" ca="1" si="119"/>
        <v>0</v>
      </c>
      <c r="L757" s="995">
        <f t="shared" ca="1" si="125"/>
        <v>0</v>
      </c>
      <c r="M757" s="913">
        <f t="shared" ca="1" si="120"/>
        <v>0</v>
      </c>
      <c r="N757" s="996">
        <f t="shared" ca="1" si="121"/>
        <v>0</v>
      </c>
      <c r="O757" s="997">
        <f t="shared" ca="1" si="122"/>
        <v>0</v>
      </c>
      <c r="P757" s="1015" t="str">
        <f ca="1">IF($C757="","",INDEX(NVLSX!$N$2:$N$6941,MATCH($C757,NVLSX!$E$2:$E$6941,0)))</f>
        <v/>
      </c>
      <c r="Q757" s="1016" t="str">
        <f ca="1">IF($R757="","",IF(XKNVLSX!$X$1="",IF($P757=$V$7,$P757, IF(COUNTIFS($C$2:$C756,$C757,$E$2:$E756,$E757)&gt;=1,"",$P757)),     IF(AND(IFERROR(SEARCH($R757,XKNVLSX!$X$1,1),0)&gt;=1,$P757=$V$7),$P757, IF(OR($R757&lt;&gt;IF(IFERROR(SEARCH($R757,XKNVLSX!$X$1,1),0)&gt;=1,$R757,XKNVLSX!$X$1),COUNTIFS($C$2:$C756,$C757,$E$2:$E756,$E757,$Q$2:$Q756,$P757)&gt;=1),"",$P757))))</f>
        <v/>
      </c>
      <c r="R757" s="1017" t="str">
        <f ca="1">IF($A757="","",IFERROR(INDEX(TinhGia!$BF$10:$BF$81,MATCH($A757,TinhGia!$B$10:$B$81,0)),""))</f>
        <v/>
      </c>
      <c r="S757" s="1012" t="str">
        <f ca="1">IF($A757="","",IF(OR(IFERROR(SEARCH($R757,XKNVLSX!$X$1,1),0)&gt;=1,XKNVLSX!$X$1=""),$S$2,""))</f>
        <v/>
      </c>
      <c r="T757" s="1018" t="str">
        <f ca="1">IF($C757="","", IF(OR($P757=$V$1,$P757=$V$7,COUNTIFS($C$3:$C757,$C757,$E$3:$E757,$E757)&lt;=1),$P757,""    ))</f>
        <v/>
      </c>
      <c r="U757" s="1019" t="str">
        <f ca="1">IF(AND($P757=$V$2,COUNTIFS($C$3:$C757,$C757,$E$3:$E757,$E757,$G$3:$G757,$G757)&lt;=1),$P757,"")</f>
        <v/>
      </c>
    </row>
    <row r="758" spans="1:21">
      <c r="A758" s="991" t="str">
        <f ca="1">IFERROR(IF(COUNTIF($A$3:A757,A757)&lt; INDEX(TinhGia!$BH$10:$BH$81,MATCH($A757,TinhGia!$B$10:$B$81,0)),$A757,INDEX(TinhGia!$B$10:$B$81,MATCH($A757,TinhGia!$B$10:$B$81,0)+1)),"")</f>
        <v/>
      </c>
      <c r="B758" s="525" t="str">
        <f ca="1">IF(OR(A758="",A758=0),"",IF(COUNTIF($A$2:A758,$A758)=1,ROW(MauKoXoa!$C$108),$B757+1))</f>
        <v/>
      </c>
      <c r="C758" s="992" t="str">
        <f t="shared" ca="1" si="113"/>
        <v/>
      </c>
      <c r="D758" s="993" t="str">
        <f t="shared" ca="1" si="114"/>
        <v/>
      </c>
      <c r="E758" s="993" t="str">
        <f t="shared" ca="1" si="115"/>
        <v/>
      </c>
      <c r="F758" s="992" t="str">
        <f t="shared" ca="1" si="123"/>
        <v/>
      </c>
      <c r="G758" s="994">
        <f t="shared" ca="1" si="116"/>
        <v>0</v>
      </c>
      <c r="H758" s="913">
        <f t="shared" ca="1" si="117"/>
        <v>0</v>
      </c>
      <c r="I758" s="913">
        <f t="shared" ca="1" si="118"/>
        <v>0</v>
      </c>
      <c r="J758" s="995">
        <f t="shared" ca="1" si="124"/>
        <v>0</v>
      </c>
      <c r="K758" s="913">
        <f t="shared" ca="1" si="119"/>
        <v>0</v>
      </c>
      <c r="L758" s="995">
        <f t="shared" ca="1" si="125"/>
        <v>0</v>
      </c>
      <c r="M758" s="913">
        <f t="shared" ca="1" si="120"/>
        <v>0</v>
      </c>
      <c r="N758" s="996">
        <f t="shared" ca="1" si="121"/>
        <v>0</v>
      </c>
      <c r="O758" s="997">
        <f t="shared" ca="1" si="122"/>
        <v>0</v>
      </c>
      <c r="P758" s="1015" t="str">
        <f ca="1">IF($C758="","",INDEX(NVLSX!$N$2:$N$6941,MATCH($C758,NVLSX!$E$2:$E$6941,0)))</f>
        <v/>
      </c>
      <c r="Q758" s="1016" t="str">
        <f ca="1">IF($R758="","",IF(XKNVLSX!$X$1="",IF($P758=$V$7,$P758, IF(COUNTIFS($C$2:$C757,$C758,$E$2:$E757,$E758)&gt;=1,"",$P758)),     IF(AND(IFERROR(SEARCH($R758,XKNVLSX!$X$1,1),0)&gt;=1,$P758=$V$7),$P758, IF(OR($R758&lt;&gt;IF(IFERROR(SEARCH($R758,XKNVLSX!$X$1,1),0)&gt;=1,$R758,XKNVLSX!$X$1),COUNTIFS($C$2:$C757,$C758,$E$2:$E757,$E758,$Q$2:$Q757,$P758)&gt;=1),"",$P758))))</f>
        <v/>
      </c>
      <c r="R758" s="1017" t="str">
        <f ca="1">IF($A758="","",IFERROR(INDEX(TinhGia!$BF$10:$BF$81,MATCH($A758,TinhGia!$B$10:$B$81,0)),""))</f>
        <v/>
      </c>
      <c r="S758" s="1012" t="str">
        <f ca="1">IF($A758="","",IF(OR(IFERROR(SEARCH($R758,XKNVLSX!$X$1,1),0)&gt;=1,XKNVLSX!$X$1=""),$S$2,""))</f>
        <v/>
      </c>
      <c r="T758" s="1018" t="str">
        <f ca="1">IF($C758="","", IF(OR($P758=$V$1,$P758=$V$7,COUNTIFS($C$3:$C758,$C758,$E$3:$E758,$E758)&lt;=1),$P758,""    ))</f>
        <v/>
      </c>
      <c r="U758" s="1019" t="str">
        <f ca="1">IF(AND($P758=$V$2,COUNTIFS($C$3:$C758,$C758,$E$3:$E758,$E758,$G$3:$G758,$G758)&lt;=1),$P758,"")</f>
        <v/>
      </c>
    </row>
    <row r="759" spans="1:21">
      <c r="A759" s="991" t="str">
        <f ca="1">IFERROR(IF(COUNTIF($A$3:A758,A758)&lt; INDEX(TinhGia!$BH$10:$BH$81,MATCH($A758,TinhGia!$B$10:$B$81,0)),$A758,INDEX(TinhGia!$B$10:$B$81,MATCH($A758,TinhGia!$B$10:$B$81,0)+1)),"")</f>
        <v/>
      </c>
      <c r="B759" s="525" t="str">
        <f ca="1">IF(OR(A759="",A759=0),"",IF(COUNTIF($A$2:A759,$A759)=1,ROW(MauKoXoa!$C$108),$B758+1))</f>
        <v/>
      </c>
      <c r="C759" s="992" t="str">
        <f t="shared" ca="1" si="113"/>
        <v/>
      </c>
      <c r="D759" s="993" t="str">
        <f t="shared" ca="1" si="114"/>
        <v/>
      </c>
      <c r="E759" s="993" t="str">
        <f t="shared" ca="1" si="115"/>
        <v/>
      </c>
      <c r="F759" s="992" t="str">
        <f t="shared" ca="1" si="123"/>
        <v/>
      </c>
      <c r="G759" s="994">
        <f t="shared" ca="1" si="116"/>
        <v>0</v>
      </c>
      <c r="H759" s="913">
        <f t="shared" ca="1" si="117"/>
        <v>0</v>
      </c>
      <c r="I759" s="913">
        <f t="shared" ca="1" si="118"/>
        <v>0</v>
      </c>
      <c r="J759" s="995">
        <f t="shared" ca="1" si="124"/>
        <v>0</v>
      </c>
      <c r="K759" s="913">
        <f t="shared" ca="1" si="119"/>
        <v>0</v>
      </c>
      <c r="L759" s="995">
        <f t="shared" ca="1" si="125"/>
        <v>0</v>
      </c>
      <c r="M759" s="913">
        <f t="shared" ca="1" si="120"/>
        <v>0</v>
      </c>
      <c r="N759" s="996">
        <f t="shared" ca="1" si="121"/>
        <v>0</v>
      </c>
      <c r="O759" s="997">
        <f t="shared" ca="1" si="122"/>
        <v>0</v>
      </c>
      <c r="P759" s="1015" t="str">
        <f ca="1">IF($C759="","",INDEX(NVLSX!$N$2:$N$6941,MATCH($C759,NVLSX!$E$2:$E$6941,0)))</f>
        <v/>
      </c>
      <c r="Q759" s="1016" t="str">
        <f ca="1">IF($R759="","",IF(XKNVLSX!$X$1="",IF($P759=$V$7,$P759, IF(COUNTIFS($C$2:$C758,$C759,$E$2:$E758,$E759)&gt;=1,"",$P759)),     IF(AND(IFERROR(SEARCH($R759,XKNVLSX!$X$1,1),0)&gt;=1,$P759=$V$7),$P759, IF(OR($R759&lt;&gt;IF(IFERROR(SEARCH($R759,XKNVLSX!$X$1,1),0)&gt;=1,$R759,XKNVLSX!$X$1),COUNTIFS($C$2:$C758,$C759,$E$2:$E758,$E759,$Q$2:$Q758,$P759)&gt;=1),"",$P759))))</f>
        <v/>
      </c>
      <c r="R759" s="1017" t="str">
        <f ca="1">IF($A759="","",IFERROR(INDEX(TinhGia!$BF$10:$BF$81,MATCH($A759,TinhGia!$B$10:$B$81,0)),""))</f>
        <v/>
      </c>
      <c r="S759" s="1012" t="str">
        <f ca="1">IF($A759="","",IF(OR(IFERROR(SEARCH($R759,XKNVLSX!$X$1,1),0)&gt;=1,XKNVLSX!$X$1=""),$S$2,""))</f>
        <v/>
      </c>
      <c r="T759" s="1018" t="str">
        <f ca="1">IF($C759="","", IF(OR($P759=$V$1,$P759=$V$7,COUNTIFS($C$3:$C759,$C759,$E$3:$E759,$E759)&lt;=1),$P759,""    ))</f>
        <v/>
      </c>
      <c r="U759" s="1019" t="str">
        <f ca="1">IF(AND($P759=$V$2,COUNTIFS($C$3:$C759,$C759,$E$3:$E759,$E759,$G$3:$G759,$G759)&lt;=1),$P759,"")</f>
        <v/>
      </c>
    </row>
    <row r="760" spans="1:21">
      <c r="A760" s="991" t="str">
        <f ca="1">IFERROR(IF(COUNTIF($A$3:A759,A759)&lt; INDEX(TinhGia!$BH$10:$BH$81,MATCH($A759,TinhGia!$B$10:$B$81,0)),$A759,INDEX(TinhGia!$B$10:$B$81,MATCH($A759,TinhGia!$B$10:$B$81,0)+1)),"")</f>
        <v/>
      </c>
      <c r="B760" s="525" t="str">
        <f ca="1">IF(OR(A760="",A760=0),"",IF(COUNTIF($A$2:A760,$A760)=1,ROW(MauKoXoa!$C$108),$B759+1))</f>
        <v/>
      </c>
      <c r="C760" s="992" t="str">
        <f t="shared" ca="1" si="113"/>
        <v/>
      </c>
      <c r="D760" s="993" t="str">
        <f t="shared" ca="1" si="114"/>
        <v/>
      </c>
      <c r="E760" s="993" t="str">
        <f t="shared" ca="1" si="115"/>
        <v/>
      </c>
      <c r="F760" s="992" t="str">
        <f t="shared" ca="1" si="123"/>
        <v/>
      </c>
      <c r="G760" s="994">
        <f t="shared" ca="1" si="116"/>
        <v>0</v>
      </c>
      <c r="H760" s="913">
        <f t="shared" ca="1" si="117"/>
        <v>0</v>
      </c>
      <c r="I760" s="913">
        <f t="shared" ca="1" si="118"/>
        <v>0</v>
      </c>
      <c r="J760" s="995">
        <f t="shared" ca="1" si="124"/>
        <v>0</v>
      </c>
      <c r="K760" s="913">
        <f t="shared" ca="1" si="119"/>
        <v>0</v>
      </c>
      <c r="L760" s="995">
        <f t="shared" ca="1" si="125"/>
        <v>0</v>
      </c>
      <c r="M760" s="913">
        <f t="shared" ca="1" si="120"/>
        <v>0</v>
      </c>
      <c r="N760" s="996">
        <f t="shared" ca="1" si="121"/>
        <v>0</v>
      </c>
      <c r="O760" s="997">
        <f t="shared" ca="1" si="122"/>
        <v>0</v>
      </c>
      <c r="P760" s="1015" t="str">
        <f ca="1">IF($C760="","",INDEX(NVLSX!$N$2:$N$6941,MATCH($C760,NVLSX!$E$2:$E$6941,0)))</f>
        <v/>
      </c>
      <c r="Q760" s="1016" t="str">
        <f ca="1">IF($R760="","",IF(XKNVLSX!$X$1="",IF($P760=$V$7,$P760, IF(COUNTIFS($C$2:$C759,$C760,$E$2:$E759,$E760)&gt;=1,"",$P760)),     IF(AND(IFERROR(SEARCH($R760,XKNVLSX!$X$1,1),0)&gt;=1,$P760=$V$7),$P760, IF(OR($R760&lt;&gt;IF(IFERROR(SEARCH($R760,XKNVLSX!$X$1,1),0)&gt;=1,$R760,XKNVLSX!$X$1),COUNTIFS($C$2:$C759,$C760,$E$2:$E759,$E760,$Q$2:$Q759,$P760)&gt;=1),"",$P760))))</f>
        <v/>
      </c>
      <c r="R760" s="1017" t="str">
        <f ca="1">IF($A760="","",IFERROR(INDEX(TinhGia!$BF$10:$BF$81,MATCH($A760,TinhGia!$B$10:$B$81,0)),""))</f>
        <v/>
      </c>
      <c r="S760" s="1012" t="str">
        <f ca="1">IF($A760="","",IF(OR(IFERROR(SEARCH($R760,XKNVLSX!$X$1,1),0)&gt;=1,XKNVLSX!$X$1=""),$S$2,""))</f>
        <v/>
      </c>
      <c r="T760" s="1018" t="str">
        <f ca="1">IF($C760="","", IF(OR($P760=$V$1,$P760=$V$7,COUNTIFS($C$3:$C760,$C760,$E$3:$E760,$E760)&lt;=1),$P760,""    ))</f>
        <v/>
      </c>
      <c r="U760" s="1019" t="str">
        <f ca="1">IF(AND($P760=$V$2,COUNTIFS($C$3:$C760,$C760,$E$3:$E760,$E760,$G$3:$G760,$G760)&lt;=1),$P760,"")</f>
        <v/>
      </c>
    </row>
    <row r="761" spans="1:21">
      <c r="A761" s="991" t="str">
        <f ca="1">IFERROR(IF(COUNTIF($A$3:A760,A760)&lt; INDEX(TinhGia!$BH$10:$BH$81,MATCH($A760,TinhGia!$B$10:$B$81,0)),$A760,INDEX(TinhGia!$B$10:$B$81,MATCH($A760,TinhGia!$B$10:$B$81,0)+1)),"")</f>
        <v/>
      </c>
      <c r="B761" s="525" t="str">
        <f ca="1">IF(OR(A761="",A761=0),"",IF(COUNTIF($A$2:A761,$A761)=1,ROW(MauKoXoa!$C$108),$B760+1))</f>
        <v/>
      </c>
      <c r="C761" s="992" t="str">
        <f t="shared" ca="1" si="113"/>
        <v/>
      </c>
      <c r="D761" s="993" t="str">
        <f t="shared" ca="1" si="114"/>
        <v/>
      </c>
      <c r="E761" s="993" t="str">
        <f t="shared" ca="1" si="115"/>
        <v/>
      </c>
      <c r="F761" s="992" t="str">
        <f t="shared" ca="1" si="123"/>
        <v/>
      </c>
      <c r="G761" s="994">
        <f t="shared" ca="1" si="116"/>
        <v>0</v>
      </c>
      <c r="H761" s="913">
        <f t="shared" ca="1" si="117"/>
        <v>0</v>
      </c>
      <c r="I761" s="913">
        <f t="shared" ca="1" si="118"/>
        <v>0</v>
      </c>
      <c r="J761" s="995">
        <f t="shared" ca="1" si="124"/>
        <v>0</v>
      </c>
      <c r="K761" s="913">
        <f t="shared" ca="1" si="119"/>
        <v>0</v>
      </c>
      <c r="L761" s="995">
        <f t="shared" ca="1" si="125"/>
        <v>0</v>
      </c>
      <c r="M761" s="913">
        <f t="shared" ca="1" si="120"/>
        <v>0</v>
      </c>
      <c r="N761" s="996">
        <f t="shared" ca="1" si="121"/>
        <v>0</v>
      </c>
      <c r="O761" s="997">
        <f t="shared" ca="1" si="122"/>
        <v>0</v>
      </c>
      <c r="P761" s="1015" t="str">
        <f ca="1">IF($C761="","",INDEX(NVLSX!$N$2:$N$6941,MATCH($C761,NVLSX!$E$2:$E$6941,0)))</f>
        <v/>
      </c>
      <c r="Q761" s="1016" t="str">
        <f ca="1">IF($R761="","",IF(XKNVLSX!$X$1="",IF($P761=$V$7,$P761, IF(COUNTIFS($C$2:$C760,$C761,$E$2:$E760,$E761)&gt;=1,"",$P761)),     IF(AND(IFERROR(SEARCH($R761,XKNVLSX!$X$1,1),0)&gt;=1,$P761=$V$7),$P761, IF(OR($R761&lt;&gt;IF(IFERROR(SEARCH($R761,XKNVLSX!$X$1,1),0)&gt;=1,$R761,XKNVLSX!$X$1),COUNTIFS($C$2:$C760,$C761,$E$2:$E760,$E761,$Q$2:$Q760,$P761)&gt;=1),"",$P761))))</f>
        <v/>
      </c>
      <c r="R761" s="1017" t="str">
        <f ca="1">IF($A761="","",IFERROR(INDEX(TinhGia!$BF$10:$BF$81,MATCH($A761,TinhGia!$B$10:$B$81,0)),""))</f>
        <v/>
      </c>
      <c r="S761" s="1012" t="str">
        <f ca="1">IF($A761="","",IF(OR(IFERROR(SEARCH($R761,XKNVLSX!$X$1,1),0)&gt;=1,XKNVLSX!$X$1=""),$S$2,""))</f>
        <v/>
      </c>
      <c r="T761" s="1018" t="str">
        <f ca="1">IF($C761="","", IF(OR($P761=$V$1,$P761=$V$7,COUNTIFS($C$3:$C761,$C761,$E$3:$E761,$E761)&lt;=1),$P761,""    ))</f>
        <v/>
      </c>
      <c r="U761" s="1019" t="str">
        <f ca="1">IF(AND($P761=$V$2,COUNTIFS($C$3:$C761,$C761,$E$3:$E761,$E761,$G$3:$G761,$G761)&lt;=1),$P761,"")</f>
        <v/>
      </c>
    </row>
    <row r="762" spans="1:21">
      <c r="A762" s="991" t="str">
        <f ca="1">IFERROR(IF(COUNTIF($A$3:A761,A761)&lt; INDEX(TinhGia!$BH$10:$BH$81,MATCH($A761,TinhGia!$B$10:$B$81,0)),$A761,INDEX(TinhGia!$B$10:$B$81,MATCH($A761,TinhGia!$B$10:$B$81,0)+1)),"")</f>
        <v/>
      </c>
      <c r="B762" s="525" t="str">
        <f ca="1">IF(OR(A762="",A762=0),"",IF(COUNTIF($A$2:A762,$A762)=1,ROW(MauKoXoa!$C$108),$B761+1))</f>
        <v/>
      </c>
      <c r="C762" s="992" t="str">
        <f t="shared" ca="1" si="113"/>
        <v/>
      </c>
      <c r="D762" s="993" t="str">
        <f t="shared" ca="1" si="114"/>
        <v/>
      </c>
      <c r="E762" s="993" t="str">
        <f t="shared" ca="1" si="115"/>
        <v/>
      </c>
      <c r="F762" s="992" t="str">
        <f t="shared" ca="1" si="123"/>
        <v/>
      </c>
      <c r="G762" s="994">
        <f t="shared" ca="1" si="116"/>
        <v>0</v>
      </c>
      <c r="H762" s="913">
        <f t="shared" ca="1" si="117"/>
        <v>0</v>
      </c>
      <c r="I762" s="913">
        <f t="shared" ca="1" si="118"/>
        <v>0</v>
      </c>
      <c r="J762" s="995">
        <f t="shared" ca="1" si="124"/>
        <v>0</v>
      </c>
      <c r="K762" s="913">
        <f t="shared" ca="1" si="119"/>
        <v>0</v>
      </c>
      <c r="L762" s="995">
        <f t="shared" ca="1" si="125"/>
        <v>0</v>
      </c>
      <c r="M762" s="913">
        <f t="shared" ca="1" si="120"/>
        <v>0</v>
      </c>
      <c r="N762" s="996">
        <f t="shared" ca="1" si="121"/>
        <v>0</v>
      </c>
      <c r="O762" s="997">
        <f t="shared" ca="1" si="122"/>
        <v>0</v>
      </c>
      <c r="P762" s="1015" t="str">
        <f ca="1">IF($C762="","",INDEX(NVLSX!$N$2:$N$6941,MATCH($C762,NVLSX!$E$2:$E$6941,0)))</f>
        <v/>
      </c>
      <c r="Q762" s="1016" t="str">
        <f ca="1">IF($R762="","",IF(XKNVLSX!$X$1="",IF($P762=$V$7,$P762, IF(COUNTIFS($C$2:$C761,$C762,$E$2:$E761,$E762)&gt;=1,"",$P762)),     IF(AND(IFERROR(SEARCH($R762,XKNVLSX!$X$1,1),0)&gt;=1,$P762=$V$7),$P762, IF(OR($R762&lt;&gt;IF(IFERROR(SEARCH($R762,XKNVLSX!$X$1,1),0)&gt;=1,$R762,XKNVLSX!$X$1),COUNTIFS($C$2:$C761,$C762,$E$2:$E761,$E762,$Q$2:$Q761,$P762)&gt;=1),"",$P762))))</f>
        <v/>
      </c>
      <c r="R762" s="1017" t="str">
        <f ca="1">IF($A762="","",IFERROR(INDEX(TinhGia!$BF$10:$BF$81,MATCH($A762,TinhGia!$B$10:$B$81,0)),""))</f>
        <v/>
      </c>
      <c r="S762" s="1012" t="str">
        <f ca="1">IF($A762="","",IF(OR(IFERROR(SEARCH($R762,XKNVLSX!$X$1,1),0)&gt;=1,XKNVLSX!$X$1=""),$S$2,""))</f>
        <v/>
      </c>
      <c r="T762" s="1018" t="str">
        <f ca="1">IF($C762="","", IF(OR($P762=$V$1,$P762=$V$7,COUNTIFS($C$3:$C762,$C762,$E$3:$E762,$E762)&lt;=1),$P762,""    ))</f>
        <v/>
      </c>
      <c r="U762" s="1019" t="str">
        <f ca="1">IF(AND($P762=$V$2,COUNTIFS($C$3:$C762,$C762,$E$3:$E762,$E762,$G$3:$G762,$G762)&lt;=1),$P762,"")</f>
        <v/>
      </c>
    </row>
    <row r="763" spans="1:21">
      <c r="A763" s="991" t="str">
        <f ca="1">IFERROR(IF(COUNTIF($A$3:A762,A762)&lt; INDEX(TinhGia!$BH$10:$BH$81,MATCH($A762,TinhGia!$B$10:$B$81,0)),$A762,INDEX(TinhGia!$B$10:$B$81,MATCH($A762,TinhGia!$B$10:$B$81,0)+1)),"")</f>
        <v/>
      </c>
      <c r="B763" s="525" t="str">
        <f ca="1">IF(OR(A763="",A763=0),"",IF(COUNTIF($A$2:A763,$A763)=1,ROW(MauKoXoa!$C$108),$B762+1))</f>
        <v/>
      </c>
      <c r="C763" s="992" t="str">
        <f t="shared" ca="1" si="113"/>
        <v/>
      </c>
      <c r="D763" s="993" t="str">
        <f t="shared" ca="1" si="114"/>
        <v/>
      </c>
      <c r="E763" s="993" t="str">
        <f t="shared" ca="1" si="115"/>
        <v/>
      </c>
      <c r="F763" s="992" t="str">
        <f t="shared" ca="1" si="123"/>
        <v/>
      </c>
      <c r="G763" s="994">
        <f t="shared" ca="1" si="116"/>
        <v>0</v>
      </c>
      <c r="H763" s="913">
        <f t="shared" ca="1" si="117"/>
        <v>0</v>
      </c>
      <c r="I763" s="913">
        <f t="shared" ca="1" si="118"/>
        <v>0</v>
      </c>
      <c r="J763" s="995">
        <f t="shared" ca="1" si="124"/>
        <v>0</v>
      </c>
      <c r="K763" s="913">
        <f t="shared" ca="1" si="119"/>
        <v>0</v>
      </c>
      <c r="L763" s="995">
        <f t="shared" ca="1" si="125"/>
        <v>0</v>
      </c>
      <c r="M763" s="913">
        <f t="shared" ca="1" si="120"/>
        <v>0</v>
      </c>
      <c r="N763" s="996">
        <f t="shared" ca="1" si="121"/>
        <v>0</v>
      </c>
      <c r="O763" s="997">
        <f t="shared" ca="1" si="122"/>
        <v>0</v>
      </c>
      <c r="P763" s="1015" t="str">
        <f ca="1">IF($C763="","",INDEX(NVLSX!$N$2:$N$6941,MATCH($C763,NVLSX!$E$2:$E$6941,0)))</f>
        <v/>
      </c>
      <c r="Q763" s="1016" t="str">
        <f ca="1">IF($R763="","",IF(XKNVLSX!$X$1="",IF($P763=$V$7,$P763, IF(COUNTIFS($C$2:$C762,$C763,$E$2:$E762,$E763)&gt;=1,"",$P763)),     IF(AND(IFERROR(SEARCH($R763,XKNVLSX!$X$1,1),0)&gt;=1,$P763=$V$7),$P763, IF(OR($R763&lt;&gt;IF(IFERROR(SEARCH($R763,XKNVLSX!$X$1,1),0)&gt;=1,$R763,XKNVLSX!$X$1),COUNTIFS($C$2:$C762,$C763,$E$2:$E762,$E763,$Q$2:$Q762,$P763)&gt;=1),"",$P763))))</f>
        <v/>
      </c>
      <c r="R763" s="1017" t="str">
        <f ca="1">IF($A763="","",IFERROR(INDEX(TinhGia!$BF$10:$BF$81,MATCH($A763,TinhGia!$B$10:$B$81,0)),""))</f>
        <v/>
      </c>
      <c r="S763" s="1012" t="str">
        <f ca="1">IF($A763="","",IF(OR(IFERROR(SEARCH($R763,XKNVLSX!$X$1,1),0)&gt;=1,XKNVLSX!$X$1=""),$S$2,""))</f>
        <v/>
      </c>
      <c r="T763" s="1018" t="str">
        <f ca="1">IF($C763="","", IF(OR($P763=$V$1,$P763=$V$7,COUNTIFS($C$3:$C763,$C763,$E$3:$E763,$E763)&lt;=1),$P763,""    ))</f>
        <v/>
      </c>
      <c r="U763" s="1019" t="str">
        <f ca="1">IF(AND($P763=$V$2,COUNTIFS($C$3:$C763,$C763,$E$3:$E763,$E763,$G$3:$G763,$G763)&lt;=1),$P763,"")</f>
        <v/>
      </c>
    </row>
    <row r="764" spans="1:21">
      <c r="A764" s="991" t="str">
        <f ca="1">IFERROR(IF(COUNTIF($A$3:A763,A763)&lt; INDEX(TinhGia!$BH$10:$BH$81,MATCH($A763,TinhGia!$B$10:$B$81,0)),$A763,INDEX(TinhGia!$B$10:$B$81,MATCH($A763,TinhGia!$B$10:$B$81,0)+1)),"")</f>
        <v/>
      </c>
      <c r="B764" s="525" t="str">
        <f ca="1">IF(OR(A764="",A764=0),"",IF(COUNTIF($A$2:A764,$A764)=1,ROW(MauKoXoa!$C$108),$B763+1))</f>
        <v/>
      </c>
      <c r="C764" s="992" t="str">
        <f t="shared" ca="1" si="113"/>
        <v/>
      </c>
      <c r="D764" s="993" t="str">
        <f t="shared" ca="1" si="114"/>
        <v/>
      </c>
      <c r="E764" s="993" t="str">
        <f t="shared" ca="1" si="115"/>
        <v/>
      </c>
      <c r="F764" s="992" t="str">
        <f t="shared" ca="1" si="123"/>
        <v/>
      </c>
      <c r="G764" s="994">
        <f t="shared" ca="1" si="116"/>
        <v>0</v>
      </c>
      <c r="H764" s="913">
        <f t="shared" ca="1" si="117"/>
        <v>0</v>
      </c>
      <c r="I764" s="913">
        <f t="shared" ca="1" si="118"/>
        <v>0</v>
      </c>
      <c r="J764" s="995">
        <f t="shared" ca="1" si="124"/>
        <v>0</v>
      </c>
      <c r="K764" s="913">
        <f t="shared" ca="1" si="119"/>
        <v>0</v>
      </c>
      <c r="L764" s="995">
        <f t="shared" ca="1" si="125"/>
        <v>0</v>
      </c>
      <c r="M764" s="913">
        <f t="shared" ca="1" si="120"/>
        <v>0</v>
      </c>
      <c r="N764" s="996">
        <f t="shared" ca="1" si="121"/>
        <v>0</v>
      </c>
      <c r="O764" s="997">
        <f t="shared" ca="1" si="122"/>
        <v>0</v>
      </c>
      <c r="P764" s="1015" t="str">
        <f ca="1">IF($C764="","",INDEX(NVLSX!$N$2:$N$6941,MATCH($C764,NVLSX!$E$2:$E$6941,0)))</f>
        <v/>
      </c>
      <c r="Q764" s="1016" t="str">
        <f ca="1">IF($R764="","",IF(XKNVLSX!$X$1="",IF($P764=$V$7,$P764, IF(COUNTIFS($C$2:$C763,$C764,$E$2:$E763,$E764)&gt;=1,"",$P764)),     IF(AND(IFERROR(SEARCH($R764,XKNVLSX!$X$1,1),0)&gt;=1,$P764=$V$7),$P764, IF(OR($R764&lt;&gt;IF(IFERROR(SEARCH($R764,XKNVLSX!$X$1,1),0)&gt;=1,$R764,XKNVLSX!$X$1),COUNTIFS($C$2:$C763,$C764,$E$2:$E763,$E764,$Q$2:$Q763,$P764)&gt;=1),"",$P764))))</f>
        <v/>
      </c>
      <c r="R764" s="1017" t="str">
        <f ca="1">IF($A764="","",IFERROR(INDEX(TinhGia!$BF$10:$BF$81,MATCH($A764,TinhGia!$B$10:$B$81,0)),""))</f>
        <v/>
      </c>
      <c r="S764" s="1012" t="str">
        <f ca="1">IF($A764="","",IF(OR(IFERROR(SEARCH($R764,XKNVLSX!$X$1,1),0)&gt;=1,XKNVLSX!$X$1=""),$S$2,""))</f>
        <v/>
      </c>
      <c r="T764" s="1018" t="str">
        <f ca="1">IF($C764="","", IF(OR($P764=$V$1,$P764=$V$7,COUNTIFS($C$3:$C764,$C764,$E$3:$E764,$E764)&lt;=1),$P764,""    ))</f>
        <v/>
      </c>
      <c r="U764" s="1019" t="str">
        <f ca="1">IF(AND($P764=$V$2,COUNTIFS($C$3:$C764,$C764,$E$3:$E764,$E764,$G$3:$G764,$G764)&lt;=1),$P764,"")</f>
        <v/>
      </c>
    </row>
    <row r="765" spans="1:21">
      <c r="A765" s="991" t="str">
        <f ca="1">IFERROR(IF(COUNTIF($A$3:A764,A764)&lt; INDEX(TinhGia!$BH$10:$BH$81,MATCH($A764,TinhGia!$B$10:$B$81,0)),$A764,INDEX(TinhGia!$B$10:$B$81,MATCH($A764,TinhGia!$B$10:$B$81,0)+1)),"")</f>
        <v/>
      </c>
      <c r="B765" s="525" t="str">
        <f ca="1">IF(OR(A765="",A765=0),"",IF(COUNTIF($A$2:A765,$A765)=1,ROW(MauKoXoa!$C$108),$B764+1))</f>
        <v/>
      </c>
      <c r="C765" s="992" t="str">
        <f t="shared" ca="1" si="113"/>
        <v/>
      </c>
      <c r="D765" s="993" t="str">
        <f t="shared" ca="1" si="114"/>
        <v/>
      </c>
      <c r="E765" s="993" t="str">
        <f t="shared" ca="1" si="115"/>
        <v/>
      </c>
      <c r="F765" s="992" t="str">
        <f t="shared" ca="1" si="123"/>
        <v/>
      </c>
      <c r="G765" s="994">
        <f t="shared" ca="1" si="116"/>
        <v>0</v>
      </c>
      <c r="H765" s="913">
        <f t="shared" ca="1" si="117"/>
        <v>0</v>
      </c>
      <c r="I765" s="913">
        <f t="shared" ca="1" si="118"/>
        <v>0</v>
      </c>
      <c r="J765" s="995">
        <f t="shared" ca="1" si="124"/>
        <v>0</v>
      </c>
      <c r="K765" s="913">
        <f t="shared" ca="1" si="119"/>
        <v>0</v>
      </c>
      <c r="L765" s="995">
        <f t="shared" ca="1" si="125"/>
        <v>0</v>
      </c>
      <c r="M765" s="913">
        <f t="shared" ca="1" si="120"/>
        <v>0</v>
      </c>
      <c r="N765" s="996">
        <f t="shared" ca="1" si="121"/>
        <v>0</v>
      </c>
      <c r="O765" s="997">
        <f t="shared" ca="1" si="122"/>
        <v>0</v>
      </c>
      <c r="P765" s="1015" t="str">
        <f ca="1">IF($C765="","",INDEX(NVLSX!$N$2:$N$6941,MATCH($C765,NVLSX!$E$2:$E$6941,0)))</f>
        <v/>
      </c>
      <c r="Q765" s="1016" t="str">
        <f ca="1">IF($R765="","",IF(XKNVLSX!$X$1="",IF($P765=$V$7,$P765, IF(COUNTIFS($C$2:$C764,$C765,$E$2:$E764,$E765)&gt;=1,"",$P765)),     IF(AND(IFERROR(SEARCH($R765,XKNVLSX!$X$1,1),0)&gt;=1,$P765=$V$7),$P765, IF(OR($R765&lt;&gt;IF(IFERROR(SEARCH($R765,XKNVLSX!$X$1,1),0)&gt;=1,$R765,XKNVLSX!$X$1),COUNTIFS($C$2:$C764,$C765,$E$2:$E764,$E765,$Q$2:$Q764,$P765)&gt;=1),"",$P765))))</f>
        <v/>
      </c>
      <c r="R765" s="1017" t="str">
        <f ca="1">IF($A765="","",IFERROR(INDEX(TinhGia!$BF$10:$BF$81,MATCH($A765,TinhGia!$B$10:$B$81,0)),""))</f>
        <v/>
      </c>
      <c r="S765" s="1012" t="str">
        <f ca="1">IF($A765="","",IF(OR(IFERROR(SEARCH($R765,XKNVLSX!$X$1,1),0)&gt;=1,XKNVLSX!$X$1=""),$S$2,""))</f>
        <v/>
      </c>
      <c r="T765" s="1018" t="str">
        <f ca="1">IF($C765="","", IF(OR($P765=$V$1,$P765=$V$7,COUNTIFS($C$3:$C765,$C765,$E$3:$E765,$E765)&lt;=1),$P765,""    ))</f>
        <v/>
      </c>
      <c r="U765" s="1019" t="str">
        <f ca="1">IF(AND($P765=$V$2,COUNTIFS($C$3:$C765,$C765,$E$3:$E765,$E765,$G$3:$G765,$G765)&lt;=1),$P765,"")</f>
        <v/>
      </c>
    </row>
    <row r="766" spans="1:21">
      <c r="A766" s="991" t="str">
        <f ca="1">IFERROR(IF(COUNTIF($A$3:A765,A765)&lt; INDEX(TinhGia!$BH$10:$BH$81,MATCH($A765,TinhGia!$B$10:$B$81,0)),$A765,INDEX(TinhGia!$B$10:$B$81,MATCH($A765,TinhGia!$B$10:$B$81,0)+1)),"")</f>
        <v/>
      </c>
      <c r="B766" s="525" t="str">
        <f ca="1">IF(OR(A766="",A766=0),"",IF(COUNTIF($A$2:A766,$A766)=1,ROW(MauKoXoa!$C$108),$B765+1))</f>
        <v/>
      </c>
      <c r="C766" s="992" t="str">
        <f t="shared" ca="1" si="113"/>
        <v/>
      </c>
      <c r="D766" s="993" t="str">
        <f t="shared" ca="1" si="114"/>
        <v/>
      </c>
      <c r="E766" s="993" t="str">
        <f t="shared" ca="1" si="115"/>
        <v/>
      </c>
      <c r="F766" s="992" t="str">
        <f t="shared" ca="1" si="123"/>
        <v/>
      </c>
      <c r="G766" s="994">
        <f t="shared" ca="1" si="116"/>
        <v>0</v>
      </c>
      <c r="H766" s="913">
        <f t="shared" ca="1" si="117"/>
        <v>0</v>
      </c>
      <c r="I766" s="913">
        <f t="shared" ca="1" si="118"/>
        <v>0</v>
      </c>
      <c r="J766" s="995">
        <f t="shared" ca="1" si="124"/>
        <v>0</v>
      </c>
      <c r="K766" s="913">
        <f t="shared" ca="1" si="119"/>
        <v>0</v>
      </c>
      <c r="L766" s="995">
        <f t="shared" ca="1" si="125"/>
        <v>0</v>
      </c>
      <c r="M766" s="913">
        <f t="shared" ca="1" si="120"/>
        <v>0</v>
      </c>
      <c r="N766" s="996">
        <f t="shared" ca="1" si="121"/>
        <v>0</v>
      </c>
      <c r="O766" s="997">
        <f t="shared" ca="1" si="122"/>
        <v>0</v>
      </c>
      <c r="P766" s="1015" t="str">
        <f ca="1">IF($C766="","",INDEX(NVLSX!$N$2:$N$6941,MATCH($C766,NVLSX!$E$2:$E$6941,0)))</f>
        <v/>
      </c>
      <c r="Q766" s="1016" t="str">
        <f ca="1">IF($R766="","",IF(XKNVLSX!$X$1="",IF($P766=$V$7,$P766, IF(COUNTIFS($C$2:$C765,$C766,$E$2:$E765,$E766)&gt;=1,"",$P766)),     IF(AND(IFERROR(SEARCH($R766,XKNVLSX!$X$1,1),0)&gt;=1,$P766=$V$7),$P766, IF(OR($R766&lt;&gt;IF(IFERROR(SEARCH($R766,XKNVLSX!$X$1,1),0)&gt;=1,$R766,XKNVLSX!$X$1),COUNTIFS($C$2:$C765,$C766,$E$2:$E765,$E766,$Q$2:$Q765,$P766)&gt;=1),"",$P766))))</f>
        <v/>
      </c>
      <c r="R766" s="1017" t="str">
        <f ca="1">IF($A766="","",IFERROR(INDEX(TinhGia!$BF$10:$BF$81,MATCH($A766,TinhGia!$B$10:$B$81,0)),""))</f>
        <v/>
      </c>
      <c r="S766" s="1012" t="str">
        <f ca="1">IF($A766="","",IF(OR(IFERROR(SEARCH($R766,XKNVLSX!$X$1,1),0)&gt;=1,XKNVLSX!$X$1=""),$S$2,""))</f>
        <v/>
      </c>
      <c r="T766" s="1018" t="str">
        <f ca="1">IF($C766="","", IF(OR($P766=$V$1,$P766=$V$7,COUNTIFS($C$3:$C766,$C766,$E$3:$E766,$E766)&lt;=1),$P766,""    ))</f>
        <v/>
      </c>
      <c r="U766" s="1019" t="str">
        <f ca="1">IF(AND($P766=$V$2,COUNTIFS($C$3:$C766,$C766,$E$3:$E766,$E766,$G$3:$G766,$G766)&lt;=1),$P766,"")</f>
        <v/>
      </c>
    </row>
    <row r="767" spans="1:21">
      <c r="A767" s="991" t="str">
        <f ca="1">IFERROR(IF(COUNTIF($A$3:A766,A766)&lt; INDEX(TinhGia!$BH$10:$BH$81,MATCH($A766,TinhGia!$B$10:$B$81,0)),$A766,INDEX(TinhGia!$B$10:$B$81,MATCH($A766,TinhGia!$B$10:$B$81,0)+1)),"")</f>
        <v/>
      </c>
      <c r="B767" s="525" t="str">
        <f ca="1">IF(OR(A767="",A767=0),"",IF(COUNTIF($A$2:A767,$A767)=1,ROW(MauKoXoa!$C$108),$B766+1))</f>
        <v/>
      </c>
      <c r="C767" s="992" t="str">
        <f t="shared" ca="1" si="113"/>
        <v/>
      </c>
      <c r="D767" s="993" t="str">
        <f t="shared" ca="1" si="114"/>
        <v/>
      </c>
      <c r="E767" s="993" t="str">
        <f t="shared" ca="1" si="115"/>
        <v/>
      </c>
      <c r="F767" s="992" t="str">
        <f t="shared" ca="1" si="123"/>
        <v/>
      </c>
      <c r="G767" s="994">
        <f t="shared" ca="1" si="116"/>
        <v>0</v>
      </c>
      <c r="H767" s="913">
        <f t="shared" ca="1" si="117"/>
        <v>0</v>
      </c>
      <c r="I767" s="913">
        <f t="shared" ca="1" si="118"/>
        <v>0</v>
      </c>
      <c r="J767" s="995">
        <f t="shared" ca="1" si="124"/>
        <v>0</v>
      </c>
      <c r="K767" s="913">
        <f t="shared" ca="1" si="119"/>
        <v>0</v>
      </c>
      <c r="L767" s="995">
        <f t="shared" ca="1" si="125"/>
        <v>0</v>
      </c>
      <c r="M767" s="913">
        <f t="shared" ca="1" si="120"/>
        <v>0</v>
      </c>
      <c r="N767" s="996">
        <f t="shared" ca="1" si="121"/>
        <v>0</v>
      </c>
      <c r="O767" s="997">
        <f t="shared" ca="1" si="122"/>
        <v>0</v>
      </c>
      <c r="P767" s="1015" t="str">
        <f ca="1">IF($C767="","",INDEX(NVLSX!$N$2:$N$6941,MATCH($C767,NVLSX!$E$2:$E$6941,0)))</f>
        <v/>
      </c>
      <c r="Q767" s="1016" t="str">
        <f ca="1">IF($R767="","",IF(XKNVLSX!$X$1="",IF($P767=$V$7,$P767, IF(COUNTIFS($C$2:$C766,$C767,$E$2:$E766,$E767)&gt;=1,"",$P767)),     IF(AND(IFERROR(SEARCH($R767,XKNVLSX!$X$1,1),0)&gt;=1,$P767=$V$7),$P767, IF(OR($R767&lt;&gt;IF(IFERROR(SEARCH($R767,XKNVLSX!$X$1,1),0)&gt;=1,$R767,XKNVLSX!$X$1),COUNTIFS($C$2:$C766,$C767,$E$2:$E766,$E767,$Q$2:$Q766,$P767)&gt;=1),"",$P767))))</f>
        <v/>
      </c>
      <c r="R767" s="1017" t="str">
        <f ca="1">IF($A767="","",IFERROR(INDEX(TinhGia!$BF$10:$BF$81,MATCH($A767,TinhGia!$B$10:$B$81,0)),""))</f>
        <v/>
      </c>
      <c r="S767" s="1012" t="str">
        <f ca="1">IF($A767="","",IF(OR(IFERROR(SEARCH($R767,XKNVLSX!$X$1,1),0)&gt;=1,XKNVLSX!$X$1=""),$S$2,""))</f>
        <v/>
      </c>
      <c r="T767" s="1018" t="str">
        <f ca="1">IF($C767="","", IF(OR($P767=$V$1,$P767=$V$7,COUNTIFS($C$3:$C767,$C767,$E$3:$E767,$E767)&lt;=1),$P767,""    ))</f>
        <v/>
      </c>
      <c r="U767" s="1019" t="str">
        <f ca="1">IF(AND($P767=$V$2,COUNTIFS($C$3:$C767,$C767,$E$3:$E767,$E767,$G$3:$G767,$G767)&lt;=1),$P767,"")</f>
        <v/>
      </c>
    </row>
    <row r="768" spans="1:21">
      <c r="A768" s="991" t="str">
        <f ca="1">IFERROR(IF(COUNTIF($A$3:A767,A767)&lt; INDEX(TinhGia!$BH$10:$BH$81,MATCH($A767,TinhGia!$B$10:$B$81,0)),$A767,INDEX(TinhGia!$B$10:$B$81,MATCH($A767,TinhGia!$B$10:$B$81,0)+1)),"")</f>
        <v/>
      </c>
      <c r="B768" s="525" t="str">
        <f ca="1">IF(OR(A768="",A768=0),"",IF(COUNTIF($A$2:A768,$A768)=1,ROW(MauKoXoa!$C$108),$B767+1))</f>
        <v/>
      </c>
      <c r="C768" s="992" t="str">
        <f t="shared" ca="1" si="113"/>
        <v/>
      </c>
      <c r="D768" s="993" t="str">
        <f t="shared" ca="1" si="114"/>
        <v/>
      </c>
      <c r="E768" s="993" t="str">
        <f t="shared" ca="1" si="115"/>
        <v/>
      </c>
      <c r="F768" s="992" t="str">
        <f t="shared" ca="1" si="123"/>
        <v/>
      </c>
      <c r="G768" s="994">
        <f t="shared" ca="1" si="116"/>
        <v>0</v>
      </c>
      <c r="H768" s="913">
        <f t="shared" ca="1" si="117"/>
        <v>0</v>
      </c>
      <c r="I768" s="913">
        <f t="shared" ca="1" si="118"/>
        <v>0</v>
      </c>
      <c r="J768" s="995">
        <f t="shared" ca="1" si="124"/>
        <v>0</v>
      </c>
      <c r="K768" s="913">
        <f t="shared" ca="1" si="119"/>
        <v>0</v>
      </c>
      <c r="L768" s="995">
        <f t="shared" ca="1" si="125"/>
        <v>0</v>
      </c>
      <c r="M768" s="913">
        <f t="shared" ca="1" si="120"/>
        <v>0</v>
      </c>
      <c r="N768" s="996">
        <f t="shared" ca="1" si="121"/>
        <v>0</v>
      </c>
      <c r="O768" s="997">
        <f t="shared" ca="1" si="122"/>
        <v>0</v>
      </c>
      <c r="P768" s="1015" t="str">
        <f ca="1">IF($C768="","",INDEX(NVLSX!$N$2:$N$6941,MATCH($C768,NVLSX!$E$2:$E$6941,0)))</f>
        <v/>
      </c>
      <c r="Q768" s="1016" t="str">
        <f ca="1">IF($R768="","",IF(XKNVLSX!$X$1="",IF($P768=$V$7,$P768, IF(COUNTIFS($C$2:$C767,$C768,$E$2:$E767,$E768)&gt;=1,"",$P768)),     IF(AND(IFERROR(SEARCH($R768,XKNVLSX!$X$1,1),0)&gt;=1,$P768=$V$7),$P768, IF(OR($R768&lt;&gt;IF(IFERROR(SEARCH($R768,XKNVLSX!$X$1,1),0)&gt;=1,$R768,XKNVLSX!$X$1),COUNTIFS($C$2:$C767,$C768,$E$2:$E767,$E768,$Q$2:$Q767,$P768)&gt;=1),"",$P768))))</f>
        <v/>
      </c>
      <c r="R768" s="1017" t="str">
        <f ca="1">IF($A768="","",IFERROR(INDEX(TinhGia!$BF$10:$BF$81,MATCH($A768,TinhGia!$B$10:$B$81,0)),""))</f>
        <v/>
      </c>
      <c r="S768" s="1012" t="str">
        <f ca="1">IF($A768="","",IF(OR(IFERROR(SEARCH($R768,XKNVLSX!$X$1,1),0)&gt;=1,XKNVLSX!$X$1=""),$S$2,""))</f>
        <v/>
      </c>
      <c r="T768" s="1018" t="str">
        <f ca="1">IF($C768="","", IF(OR($P768=$V$1,$P768=$V$7,COUNTIFS($C$3:$C768,$C768,$E$3:$E768,$E768)&lt;=1),$P768,""    ))</f>
        <v/>
      </c>
      <c r="U768" s="1019" t="str">
        <f ca="1">IF(AND($P768=$V$2,COUNTIFS($C$3:$C768,$C768,$E$3:$E768,$E768,$G$3:$G768,$G768)&lt;=1),$P768,"")</f>
        <v/>
      </c>
    </row>
    <row r="769" spans="1:21">
      <c r="A769" s="991" t="str">
        <f ca="1">IFERROR(IF(COUNTIF($A$3:A768,A768)&lt; INDEX(TinhGia!$BH$10:$BH$81,MATCH($A768,TinhGia!$B$10:$B$81,0)),$A768,INDEX(TinhGia!$B$10:$B$81,MATCH($A768,TinhGia!$B$10:$B$81,0)+1)),"")</f>
        <v/>
      </c>
      <c r="B769" s="525" t="str">
        <f ca="1">IF(OR(A769="",A769=0),"",IF(COUNTIF($A$2:A769,$A769)=1,ROW(MauKoXoa!$C$108),$B768+1))</f>
        <v/>
      </c>
      <c r="C769" s="992" t="str">
        <f t="shared" ca="1" si="113"/>
        <v/>
      </c>
      <c r="D769" s="993" t="str">
        <f t="shared" ca="1" si="114"/>
        <v/>
      </c>
      <c r="E769" s="993" t="str">
        <f t="shared" ca="1" si="115"/>
        <v/>
      </c>
      <c r="F769" s="992" t="str">
        <f t="shared" ca="1" si="123"/>
        <v/>
      </c>
      <c r="G769" s="994">
        <f t="shared" ca="1" si="116"/>
        <v>0</v>
      </c>
      <c r="H769" s="913">
        <f t="shared" ca="1" si="117"/>
        <v>0</v>
      </c>
      <c r="I769" s="913">
        <f t="shared" ca="1" si="118"/>
        <v>0</v>
      </c>
      <c r="J769" s="995">
        <f t="shared" ca="1" si="124"/>
        <v>0</v>
      </c>
      <c r="K769" s="913">
        <f t="shared" ca="1" si="119"/>
        <v>0</v>
      </c>
      <c r="L769" s="995">
        <f t="shared" ca="1" si="125"/>
        <v>0</v>
      </c>
      <c r="M769" s="913">
        <f t="shared" ca="1" si="120"/>
        <v>0</v>
      </c>
      <c r="N769" s="996">
        <f t="shared" ca="1" si="121"/>
        <v>0</v>
      </c>
      <c r="O769" s="997">
        <f t="shared" ca="1" si="122"/>
        <v>0</v>
      </c>
      <c r="P769" s="1015" t="str">
        <f ca="1">IF($C769="","",INDEX(NVLSX!$N$2:$N$6941,MATCH($C769,NVLSX!$E$2:$E$6941,0)))</f>
        <v/>
      </c>
      <c r="Q769" s="1016" t="str">
        <f ca="1">IF($R769="","",IF(XKNVLSX!$X$1="",IF($P769=$V$7,$P769, IF(COUNTIFS($C$2:$C768,$C769,$E$2:$E768,$E769)&gt;=1,"",$P769)),     IF(AND(IFERROR(SEARCH($R769,XKNVLSX!$X$1,1),0)&gt;=1,$P769=$V$7),$P769, IF(OR($R769&lt;&gt;IF(IFERROR(SEARCH($R769,XKNVLSX!$X$1,1),0)&gt;=1,$R769,XKNVLSX!$X$1),COUNTIFS($C$2:$C768,$C769,$E$2:$E768,$E769,$Q$2:$Q768,$P769)&gt;=1),"",$P769))))</f>
        <v/>
      </c>
      <c r="R769" s="1017" t="str">
        <f ca="1">IF($A769="","",IFERROR(INDEX(TinhGia!$BF$10:$BF$81,MATCH($A769,TinhGia!$B$10:$B$81,0)),""))</f>
        <v/>
      </c>
      <c r="S769" s="1012" t="str">
        <f ca="1">IF($A769="","",IF(OR(IFERROR(SEARCH($R769,XKNVLSX!$X$1,1),0)&gt;=1,XKNVLSX!$X$1=""),$S$2,""))</f>
        <v/>
      </c>
      <c r="T769" s="1018" t="str">
        <f ca="1">IF($C769="","", IF(OR($P769=$V$1,$P769=$V$7,COUNTIFS($C$3:$C769,$C769,$E$3:$E769,$E769)&lt;=1),$P769,""    ))</f>
        <v/>
      </c>
      <c r="U769" s="1019" t="str">
        <f ca="1">IF(AND($P769=$V$2,COUNTIFS($C$3:$C769,$C769,$E$3:$E769,$E769,$G$3:$G769,$G769)&lt;=1),$P769,"")</f>
        <v/>
      </c>
    </row>
    <row r="770" spans="1:21">
      <c r="A770" s="991" t="str">
        <f ca="1">IFERROR(IF(COUNTIF($A$3:A769,A769)&lt; INDEX(TinhGia!$BH$10:$BH$81,MATCH($A769,TinhGia!$B$10:$B$81,0)),$A769,INDEX(TinhGia!$B$10:$B$81,MATCH($A769,TinhGia!$B$10:$B$81,0)+1)),"")</f>
        <v/>
      </c>
      <c r="B770" s="525" t="str">
        <f ca="1">IF(OR(A770="",A770=0),"",IF(COUNTIF($A$2:A770,$A770)=1,ROW(MauKoXoa!$C$108),$B769+1))</f>
        <v/>
      </c>
      <c r="C770" s="992" t="str">
        <f t="shared" ref="C770:C833" ca="1" si="126">IFERROR(INDIRECT("'" &amp; $A770 &amp; "'!" &amp; "C" &amp; $B770),"")</f>
        <v/>
      </c>
      <c r="D770" s="993" t="str">
        <f t="shared" ref="D770:D833" ca="1" si="127">IFERROR(INDIRECT("'" &amp; $A770 &amp; "'!" &amp; "D" &amp; $B770),"")</f>
        <v/>
      </c>
      <c r="E770" s="993" t="str">
        <f t="shared" ref="E770:E833" ca="1" si="128">IFERROR(INDIRECT("'" &amp; $A770 &amp; "'!" &amp; "P" &amp; $B770),"")</f>
        <v/>
      </c>
      <c r="F770" s="992" t="str">
        <f t="shared" ca="1" si="123"/>
        <v/>
      </c>
      <c r="G770" s="994">
        <f t="shared" ref="G770:G833" ca="1" si="129">IFERROR(INDIRECT("'" &amp; $A770 &amp; "'!" &amp; "F" &amp; $B770),0)</f>
        <v>0</v>
      </c>
      <c r="H770" s="913">
        <f t="shared" ref="H770:H833" ca="1" si="130">IFERROR(INDIRECT("'" &amp; $A770 &amp; "'!" &amp; "G" &amp; $B770),0)</f>
        <v>0</v>
      </c>
      <c r="I770" s="913">
        <f t="shared" ref="I770:I833" ca="1" si="131">IFERROR(INDIRECT("'" &amp; $A770 &amp; "'!" &amp; "H" &amp; $B770),0)</f>
        <v>0</v>
      </c>
      <c r="J770" s="995">
        <f t="shared" ca="1" si="124"/>
        <v>0</v>
      </c>
      <c r="K770" s="913">
        <f t="shared" ref="K770:K833" ca="1" si="132">IFERROR(INDIRECT("'" &amp; $A770 &amp; "'!" &amp; "L" &amp; $B770),0)</f>
        <v>0</v>
      </c>
      <c r="L770" s="995">
        <f t="shared" ca="1" si="125"/>
        <v>0</v>
      </c>
      <c r="M770" s="913">
        <f t="shared" ref="M770:M833" ca="1" si="133">IFERROR(INDIRECT("'" &amp; $A770 &amp; "'!" &amp; "M" &amp; $B770),0)</f>
        <v>0</v>
      </c>
      <c r="N770" s="996">
        <f t="shared" ref="N770:N833" ca="1" si="134">IFERROR(INDIRECT("'" &amp; $A770 &amp; "'!" &amp; "N" &amp; $B770),0)</f>
        <v>0</v>
      </c>
      <c r="O770" s="997">
        <f t="shared" ref="O770:O833" ca="1" si="135">IFERROR(INDIRECT("'" &amp; $A770 &amp; "'!" &amp; "O" &amp; $B770),0)</f>
        <v>0</v>
      </c>
      <c r="P770" s="1015" t="str">
        <f ca="1">IF($C770="","",INDEX(NVLSX!$N$2:$N$6941,MATCH($C770,NVLSX!$E$2:$E$6941,0)))</f>
        <v/>
      </c>
      <c r="Q770" s="1016" t="str">
        <f ca="1">IF($R770="","",IF(XKNVLSX!$X$1="",IF($P770=$V$7,$P770, IF(COUNTIFS($C$2:$C769,$C770,$E$2:$E769,$E770)&gt;=1,"",$P770)),     IF(AND(IFERROR(SEARCH($R770,XKNVLSX!$X$1,1),0)&gt;=1,$P770=$V$7),$P770, IF(OR($R770&lt;&gt;IF(IFERROR(SEARCH($R770,XKNVLSX!$X$1,1),0)&gt;=1,$R770,XKNVLSX!$X$1),COUNTIFS($C$2:$C769,$C770,$E$2:$E769,$E770,$Q$2:$Q769,$P770)&gt;=1),"",$P770))))</f>
        <v/>
      </c>
      <c r="R770" s="1017" t="str">
        <f ca="1">IF($A770="","",IFERROR(INDEX(TinhGia!$BF$10:$BF$81,MATCH($A770,TinhGia!$B$10:$B$81,0)),""))</f>
        <v/>
      </c>
      <c r="S770" s="1012" t="str">
        <f ca="1">IF($A770="","",IF(OR(IFERROR(SEARCH($R770,XKNVLSX!$X$1,1),0)&gt;=1,XKNVLSX!$X$1=""),$S$2,""))</f>
        <v/>
      </c>
      <c r="T770" s="1018" t="str">
        <f ca="1">IF($C770="","", IF(OR($P770=$V$1,$P770=$V$7,COUNTIFS($C$3:$C770,$C770,$E$3:$E770,$E770)&lt;=1),$P770,""    ))</f>
        <v/>
      </c>
      <c r="U770" s="1019" t="str">
        <f ca="1">IF(AND($P770=$V$2,COUNTIFS($C$3:$C770,$C770,$E$3:$E770,$E770,$G$3:$G770,$G770)&lt;=1),$P770,"")</f>
        <v/>
      </c>
    </row>
    <row r="771" spans="1:21">
      <c r="A771" s="991" t="str">
        <f ca="1">IFERROR(IF(COUNTIF($A$3:A770,A770)&lt; INDEX(TinhGia!$BH$10:$BH$81,MATCH($A770,TinhGia!$B$10:$B$81,0)),$A770,INDEX(TinhGia!$B$10:$B$81,MATCH($A770,TinhGia!$B$10:$B$81,0)+1)),"")</f>
        <v/>
      </c>
      <c r="B771" s="525" t="str">
        <f ca="1">IF(OR(A771="",A771=0),"",IF(COUNTIF($A$2:A771,$A771)=1,ROW(MauKoXoa!$C$108),$B770+1))</f>
        <v/>
      </c>
      <c r="C771" s="992" t="str">
        <f t="shared" ca="1" si="126"/>
        <v/>
      </c>
      <c r="D771" s="993" t="str">
        <f t="shared" ca="1" si="127"/>
        <v/>
      </c>
      <c r="E771" s="993" t="str">
        <f t="shared" ca="1" si="128"/>
        <v/>
      </c>
      <c r="F771" s="992" t="str">
        <f t="shared" ref="F771:F834" ca="1" si="136">IF($P771=$V$7, IFERROR(INDIRECT("'" &amp; $A771 &amp; "'!" &amp; "I" &amp; $B771),""),IFERROR(INDIRECT("'" &amp; $A771 &amp; "'!" &amp; "E" &amp; $B771),""))</f>
        <v/>
      </c>
      <c r="G771" s="994">
        <f t="shared" ca="1" si="129"/>
        <v>0</v>
      </c>
      <c r="H771" s="913">
        <f t="shared" ca="1" si="130"/>
        <v>0</v>
      </c>
      <c r="I771" s="913">
        <f t="shared" ca="1" si="131"/>
        <v>0</v>
      </c>
      <c r="J771" s="995">
        <f t="shared" ca="1" si="124"/>
        <v>0</v>
      </c>
      <c r="K771" s="913">
        <f t="shared" ca="1" si="132"/>
        <v>0</v>
      </c>
      <c r="L771" s="995">
        <f t="shared" ca="1" si="125"/>
        <v>0</v>
      </c>
      <c r="M771" s="913">
        <f t="shared" ca="1" si="133"/>
        <v>0</v>
      </c>
      <c r="N771" s="996">
        <f t="shared" ca="1" si="134"/>
        <v>0</v>
      </c>
      <c r="O771" s="997">
        <f t="shared" ca="1" si="135"/>
        <v>0</v>
      </c>
      <c r="P771" s="1015" t="str">
        <f ca="1">IF($C771="","",INDEX(NVLSX!$N$2:$N$6941,MATCH($C771,NVLSX!$E$2:$E$6941,0)))</f>
        <v/>
      </c>
      <c r="Q771" s="1016" t="str">
        <f ca="1">IF($R771="","",IF(XKNVLSX!$X$1="",IF($P771=$V$7,$P771, IF(COUNTIFS($C$2:$C770,$C771,$E$2:$E770,$E771)&gt;=1,"",$P771)),     IF(AND(IFERROR(SEARCH($R771,XKNVLSX!$X$1,1),0)&gt;=1,$P771=$V$7),$P771, IF(OR($R771&lt;&gt;IF(IFERROR(SEARCH($R771,XKNVLSX!$X$1,1),0)&gt;=1,$R771,XKNVLSX!$X$1),COUNTIFS($C$2:$C770,$C771,$E$2:$E770,$E771,$Q$2:$Q770,$P771)&gt;=1),"",$P771))))</f>
        <v/>
      </c>
      <c r="R771" s="1017" t="str">
        <f ca="1">IF($A771="","",IFERROR(INDEX(TinhGia!$BF$10:$BF$81,MATCH($A771,TinhGia!$B$10:$B$81,0)),""))</f>
        <v/>
      </c>
      <c r="S771" s="1012" t="str">
        <f ca="1">IF($A771="","",IF(OR(IFERROR(SEARCH($R771,XKNVLSX!$X$1,1),0)&gt;=1,XKNVLSX!$X$1=""),$S$2,""))</f>
        <v/>
      </c>
      <c r="T771" s="1018" t="str">
        <f ca="1">IF($C771="","", IF(OR($P771=$V$1,$P771=$V$7,COUNTIFS($C$3:$C771,$C771,$E$3:$E771,$E771)&lt;=1),$P771,""    ))</f>
        <v/>
      </c>
      <c r="U771" s="1019" t="str">
        <f ca="1">IF(AND($P771=$V$2,COUNTIFS($C$3:$C771,$C771,$E$3:$E771,$E771,$G$3:$G771,$G771)&lt;=1),$P771,"")</f>
        <v/>
      </c>
    </row>
    <row r="772" spans="1:21">
      <c r="A772" s="991" t="str">
        <f ca="1">IFERROR(IF(COUNTIF($A$3:A771,A771)&lt; INDEX(TinhGia!$BH$10:$BH$81,MATCH($A771,TinhGia!$B$10:$B$81,0)),$A771,INDEX(TinhGia!$B$10:$B$81,MATCH($A771,TinhGia!$B$10:$B$81,0)+1)),"")</f>
        <v/>
      </c>
      <c r="B772" s="525" t="str">
        <f ca="1">IF(OR(A772="",A772=0),"",IF(COUNTIF($A$2:A772,$A772)=1,ROW(MauKoXoa!$C$108),$B771+1))</f>
        <v/>
      </c>
      <c r="C772" s="992" t="str">
        <f t="shared" ca="1" si="126"/>
        <v/>
      </c>
      <c r="D772" s="993" t="str">
        <f t="shared" ca="1" si="127"/>
        <v/>
      </c>
      <c r="E772" s="993" t="str">
        <f t="shared" ca="1" si="128"/>
        <v/>
      </c>
      <c r="F772" s="992" t="str">
        <f t="shared" ca="1" si="136"/>
        <v/>
      </c>
      <c r="G772" s="994">
        <f t="shared" ca="1" si="129"/>
        <v>0</v>
      </c>
      <c r="H772" s="913">
        <f t="shared" ca="1" si="130"/>
        <v>0</v>
      </c>
      <c r="I772" s="913">
        <f t="shared" ca="1" si="131"/>
        <v>0</v>
      </c>
      <c r="J772" s="995">
        <f t="shared" ref="J772:J835" ca="1" si="137">IFERROR(INDIRECT("'" &amp; $A772 &amp; "'!" &amp; "J" &amp; $B772),0)</f>
        <v>0</v>
      </c>
      <c r="K772" s="913">
        <f t="shared" ca="1" si="132"/>
        <v>0</v>
      </c>
      <c r="L772" s="995">
        <f t="shared" ref="L772:L835" ca="1" si="138">+ IFERROR(INDIRECT("'" &amp; $A772 &amp; "'!" &amp; "K" &amp; $B772),0)</f>
        <v>0</v>
      </c>
      <c r="M772" s="913">
        <f t="shared" ca="1" si="133"/>
        <v>0</v>
      </c>
      <c r="N772" s="996">
        <f t="shared" ca="1" si="134"/>
        <v>0</v>
      </c>
      <c r="O772" s="997">
        <f t="shared" ca="1" si="135"/>
        <v>0</v>
      </c>
      <c r="P772" s="1015" t="str">
        <f ca="1">IF($C772="","",INDEX(NVLSX!$N$2:$N$6941,MATCH($C772,NVLSX!$E$2:$E$6941,0)))</f>
        <v/>
      </c>
      <c r="Q772" s="1016" t="str">
        <f ca="1">IF($R772="","",IF(XKNVLSX!$X$1="",IF($P772=$V$7,$P772, IF(COUNTIFS($C$2:$C771,$C772,$E$2:$E771,$E772)&gt;=1,"",$P772)),     IF(AND(IFERROR(SEARCH($R772,XKNVLSX!$X$1,1),0)&gt;=1,$P772=$V$7),$P772, IF(OR($R772&lt;&gt;IF(IFERROR(SEARCH($R772,XKNVLSX!$X$1,1),0)&gt;=1,$R772,XKNVLSX!$X$1),COUNTIFS($C$2:$C771,$C772,$E$2:$E771,$E772,$Q$2:$Q771,$P772)&gt;=1),"",$P772))))</f>
        <v/>
      </c>
      <c r="R772" s="1017" t="str">
        <f ca="1">IF($A772="","",IFERROR(INDEX(TinhGia!$BF$10:$BF$81,MATCH($A772,TinhGia!$B$10:$B$81,0)),""))</f>
        <v/>
      </c>
      <c r="S772" s="1012" t="str">
        <f ca="1">IF($A772="","",IF(OR(IFERROR(SEARCH($R772,XKNVLSX!$X$1,1),0)&gt;=1,XKNVLSX!$X$1=""),$S$2,""))</f>
        <v/>
      </c>
      <c r="T772" s="1018" t="str">
        <f ca="1">IF($C772="","", IF(OR($P772=$V$1,$P772=$V$7,COUNTIFS($C$3:$C772,$C772,$E$3:$E772,$E772)&lt;=1),$P772,""    ))</f>
        <v/>
      </c>
      <c r="U772" s="1019" t="str">
        <f ca="1">IF(AND($P772=$V$2,COUNTIFS($C$3:$C772,$C772,$E$3:$E772,$E772,$G$3:$G772,$G772)&lt;=1),$P772,"")</f>
        <v/>
      </c>
    </row>
    <row r="773" spans="1:21">
      <c r="A773" s="991" t="str">
        <f ca="1">IFERROR(IF(COUNTIF($A$3:A772,A772)&lt; INDEX(TinhGia!$BH$10:$BH$81,MATCH($A772,TinhGia!$B$10:$B$81,0)),$A772,INDEX(TinhGia!$B$10:$B$81,MATCH($A772,TinhGia!$B$10:$B$81,0)+1)),"")</f>
        <v/>
      </c>
      <c r="B773" s="525" t="str">
        <f ca="1">IF(OR(A773="",A773=0),"",IF(COUNTIF($A$2:A773,$A773)=1,ROW(MauKoXoa!$C$108),$B772+1))</f>
        <v/>
      </c>
      <c r="C773" s="992" t="str">
        <f t="shared" ca="1" si="126"/>
        <v/>
      </c>
      <c r="D773" s="993" t="str">
        <f t="shared" ca="1" si="127"/>
        <v/>
      </c>
      <c r="E773" s="993" t="str">
        <f t="shared" ca="1" si="128"/>
        <v/>
      </c>
      <c r="F773" s="992" t="str">
        <f t="shared" ca="1" si="136"/>
        <v/>
      </c>
      <c r="G773" s="994">
        <f t="shared" ca="1" si="129"/>
        <v>0</v>
      </c>
      <c r="H773" s="913">
        <f t="shared" ca="1" si="130"/>
        <v>0</v>
      </c>
      <c r="I773" s="913">
        <f t="shared" ca="1" si="131"/>
        <v>0</v>
      </c>
      <c r="J773" s="995">
        <f t="shared" ca="1" si="137"/>
        <v>0</v>
      </c>
      <c r="K773" s="913">
        <f t="shared" ca="1" si="132"/>
        <v>0</v>
      </c>
      <c r="L773" s="995">
        <f t="shared" ca="1" si="138"/>
        <v>0</v>
      </c>
      <c r="M773" s="913">
        <f t="shared" ca="1" si="133"/>
        <v>0</v>
      </c>
      <c r="N773" s="996">
        <f t="shared" ca="1" si="134"/>
        <v>0</v>
      </c>
      <c r="O773" s="997">
        <f t="shared" ca="1" si="135"/>
        <v>0</v>
      </c>
      <c r="P773" s="1015" t="str">
        <f ca="1">IF($C773="","",INDEX(NVLSX!$N$2:$N$6941,MATCH($C773,NVLSX!$E$2:$E$6941,0)))</f>
        <v/>
      </c>
      <c r="Q773" s="1016" t="str">
        <f ca="1">IF($R773="","",IF(XKNVLSX!$X$1="",IF($P773=$V$7,$P773, IF(COUNTIFS($C$2:$C772,$C773,$E$2:$E772,$E773)&gt;=1,"",$P773)),     IF(AND(IFERROR(SEARCH($R773,XKNVLSX!$X$1,1),0)&gt;=1,$P773=$V$7),$P773, IF(OR($R773&lt;&gt;IF(IFERROR(SEARCH($R773,XKNVLSX!$X$1,1),0)&gt;=1,$R773,XKNVLSX!$X$1),COUNTIFS($C$2:$C772,$C773,$E$2:$E772,$E773,$Q$2:$Q772,$P773)&gt;=1),"",$P773))))</f>
        <v/>
      </c>
      <c r="R773" s="1017" t="str">
        <f ca="1">IF($A773="","",IFERROR(INDEX(TinhGia!$BF$10:$BF$81,MATCH($A773,TinhGia!$B$10:$B$81,0)),""))</f>
        <v/>
      </c>
      <c r="S773" s="1012" t="str">
        <f ca="1">IF($A773="","",IF(OR(IFERROR(SEARCH($R773,XKNVLSX!$X$1,1),0)&gt;=1,XKNVLSX!$X$1=""),$S$2,""))</f>
        <v/>
      </c>
      <c r="T773" s="1018" t="str">
        <f ca="1">IF($C773="","", IF(OR($P773=$V$1,$P773=$V$7,COUNTIFS($C$3:$C773,$C773,$E$3:$E773,$E773)&lt;=1),$P773,""    ))</f>
        <v/>
      </c>
      <c r="U773" s="1019" t="str">
        <f ca="1">IF(AND($P773=$V$2,COUNTIFS($C$3:$C773,$C773,$E$3:$E773,$E773,$G$3:$G773,$G773)&lt;=1),$P773,"")</f>
        <v/>
      </c>
    </row>
    <row r="774" spans="1:21">
      <c r="A774" s="991" t="str">
        <f ca="1">IFERROR(IF(COUNTIF($A$3:A773,A773)&lt; INDEX(TinhGia!$BH$10:$BH$81,MATCH($A773,TinhGia!$B$10:$B$81,0)),$A773,INDEX(TinhGia!$B$10:$B$81,MATCH($A773,TinhGia!$B$10:$B$81,0)+1)),"")</f>
        <v/>
      </c>
      <c r="B774" s="525" t="str">
        <f ca="1">IF(OR(A774="",A774=0),"",IF(COUNTIF($A$2:A774,$A774)=1,ROW(MauKoXoa!$C$108),$B773+1))</f>
        <v/>
      </c>
      <c r="C774" s="992" t="str">
        <f t="shared" ca="1" si="126"/>
        <v/>
      </c>
      <c r="D774" s="993" t="str">
        <f t="shared" ca="1" si="127"/>
        <v/>
      </c>
      <c r="E774" s="993" t="str">
        <f t="shared" ca="1" si="128"/>
        <v/>
      </c>
      <c r="F774" s="992" t="str">
        <f t="shared" ca="1" si="136"/>
        <v/>
      </c>
      <c r="G774" s="994">
        <f t="shared" ca="1" si="129"/>
        <v>0</v>
      </c>
      <c r="H774" s="913">
        <f t="shared" ca="1" si="130"/>
        <v>0</v>
      </c>
      <c r="I774" s="913">
        <f t="shared" ca="1" si="131"/>
        <v>0</v>
      </c>
      <c r="J774" s="995">
        <f t="shared" ca="1" si="137"/>
        <v>0</v>
      </c>
      <c r="K774" s="913">
        <f t="shared" ca="1" si="132"/>
        <v>0</v>
      </c>
      <c r="L774" s="995">
        <f t="shared" ca="1" si="138"/>
        <v>0</v>
      </c>
      <c r="M774" s="913">
        <f t="shared" ca="1" si="133"/>
        <v>0</v>
      </c>
      <c r="N774" s="996">
        <f t="shared" ca="1" si="134"/>
        <v>0</v>
      </c>
      <c r="O774" s="997">
        <f t="shared" ca="1" si="135"/>
        <v>0</v>
      </c>
      <c r="P774" s="1015" t="str">
        <f ca="1">IF($C774="","",INDEX(NVLSX!$N$2:$N$6941,MATCH($C774,NVLSX!$E$2:$E$6941,0)))</f>
        <v/>
      </c>
      <c r="Q774" s="1016" t="str">
        <f ca="1">IF($R774="","",IF(XKNVLSX!$X$1="",IF($P774=$V$7,$P774, IF(COUNTIFS($C$2:$C773,$C774,$E$2:$E773,$E774)&gt;=1,"",$P774)),     IF(AND(IFERROR(SEARCH($R774,XKNVLSX!$X$1,1),0)&gt;=1,$P774=$V$7),$P774, IF(OR($R774&lt;&gt;IF(IFERROR(SEARCH($R774,XKNVLSX!$X$1,1),0)&gt;=1,$R774,XKNVLSX!$X$1),COUNTIFS($C$2:$C773,$C774,$E$2:$E773,$E774,$Q$2:$Q773,$P774)&gt;=1),"",$P774))))</f>
        <v/>
      </c>
      <c r="R774" s="1017" t="str">
        <f ca="1">IF($A774="","",IFERROR(INDEX(TinhGia!$BF$10:$BF$81,MATCH($A774,TinhGia!$B$10:$B$81,0)),""))</f>
        <v/>
      </c>
      <c r="S774" s="1012" t="str">
        <f ca="1">IF($A774="","",IF(OR(IFERROR(SEARCH($R774,XKNVLSX!$X$1,1),0)&gt;=1,XKNVLSX!$X$1=""),$S$2,""))</f>
        <v/>
      </c>
      <c r="T774" s="1018" t="str">
        <f ca="1">IF($C774="","", IF(OR($P774=$V$1,$P774=$V$7,COUNTIFS($C$3:$C774,$C774,$E$3:$E774,$E774)&lt;=1),$P774,""    ))</f>
        <v/>
      </c>
      <c r="U774" s="1019" t="str">
        <f ca="1">IF(AND($P774=$V$2,COUNTIFS($C$3:$C774,$C774,$E$3:$E774,$E774,$G$3:$G774,$G774)&lt;=1),$P774,"")</f>
        <v/>
      </c>
    </row>
    <row r="775" spans="1:21">
      <c r="A775" s="991" t="str">
        <f ca="1">IFERROR(IF(COUNTIF($A$3:A774,A774)&lt; INDEX(TinhGia!$BH$10:$BH$81,MATCH($A774,TinhGia!$B$10:$B$81,0)),$A774,INDEX(TinhGia!$B$10:$B$81,MATCH($A774,TinhGia!$B$10:$B$81,0)+1)),"")</f>
        <v/>
      </c>
      <c r="B775" s="525" t="str">
        <f ca="1">IF(OR(A775="",A775=0),"",IF(COUNTIF($A$2:A775,$A775)=1,ROW(MauKoXoa!$C$108),$B774+1))</f>
        <v/>
      </c>
      <c r="C775" s="992" t="str">
        <f t="shared" ca="1" si="126"/>
        <v/>
      </c>
      <c r="D775" s="993" t="str">
        <f t="shared" ca="1" si="127"/>
        <v/>
      </c>
      <c r="E775" s="993" t="str">
        <f t="shared" ca="1" si="128"/>
        <v/>
      </c>
      <c r="F775" s="992" t="str">
        <f t="shared" ca="1" si="136"/>
        <v/>
      </c>
      <c r="G775" s="994">
        <f t="shared" ca="1" si="129"/>
        <v>0</v>
      </c>
      <c r="H775" s="913">
        <f t="shared" ca="1" si="130"/>
        <v>0</v>
      </c>
      <c r="I775" s="913">
        <f t="shared" ca="1" si="131"/>
        <v>0</v>
      </c>
      <c r="J775" s="995">
        <f t="shared" ca="1" si="137"/>
        <v>0</v>
      </c>
      <c r="K775" s="913">
        <f t="shared" ca="1" si="132"/>
        <v>0</v>
      </c>
      <c r="L775" s="995">
        <f t="shared" ca="1" si="138"/>
        <v>0</v>
      </c>
      <c r="M775" s="913">
        <f t="shared" ca="1" si="133"/>
        <v>0</v>
      </c>
      <c r="N775" s="996">
        <f t="shared" ca="1" si="134"/>
        <v>0</v>
      </c>
      <c r="O775" s="997">
        <f t="shared" ca="1" si="135"/>
        <v>0</v>
      </c>
      <c r="P775" s="1015" t="str">
        <f ca="1">IF($C775="","",INDEX(NVLSX!$N$2:$N$6941,MATCH($C775,NVLSX!$E$2:$E$6941,0)))</f>
        <v/>
      </c>
      <c r="Q775" s="1016" t="str">
        <f ca="1">IF($R775="","",IF(XKNVLSX!$X$1="",IF($P775=$V$7,$P775, IF(COUNTIFS($C$2:$C774,$C775,$E$2:$E774,$E775)&gt;=1,"",$P775)),     IF(AND(IFERROR(SEARCH($R775,XKNVLSX!$X$1,1),0)&gt;=1,$P775=$V$7),$P775, IF(OR($R775&lt;&gt;IF(IFERROR(SEARCH($R775,XKNVLSX!$X$1,1),0)&gt;=1,$R775,XKNVLSX!$X$1),COUNTIFS($C$2:$C774,$C775,$E$2:$E774,$E775,$Q$2:$Q774,$P775)&gt;=1),"",$P775))))</f>
        <v/>
      </c>
      <c r="R775" s="1017" t="str">
        <f ca="1">IF($A775="","",IFERROR(INDEX(TinhGia!$BF$10:$BF$81,MATCH($A775,TinhGia!$B$10:$B$81,0)),""))</f>
        <v/>
      </c>
      <c r="S775" s="1012" t="str">
        <f ca="1">IF($A775="","",IF(OR(IFERROR(SEARCH($R775,XKNVLSX!$X$1,1),0)&gt;=1,XKNVLSX!$X$1=""),$S$2,""))</f>
        <v/>
      </c>
      <c r="T775" s="1018" t="str">
        <f ca="1">IF($C775="","", IF(OR($P775=$V$1,$P775=$V$7,COUNTIFS($C$3:$C775,$C775,$E$3:$E775,$E775)&lt;=1),$P775,""    ))</f>
        <v/>
      </c>
      <c r="U775" s="1019" t="str">
        <f ca="1">IF(AND($P775=$V$2,COUNTIFS($C$3:$C775,$C775,$E$3:$E775,$E775,$G$3:$G775,$G775)&lt;=1),$P775,"")</f>
        <v/>
      </c>
    </row>
    <row r="776" spans="1:21">
      <c r="A776" s="991" t="str">
        <f ca="1">IFERROR(IF(COUNTIF($A$3:A775,A775)&lt; INDEX(TinhGia!$BH$10:$BH$81,MATCH($A775,TinhGia!$B$10:$B$81,0)),$A775,INDEX(TinhGia!$B$10:$B$81,MATCH($A775,TinhGia!$B$10:$B$81,0)+1)),"")</f>
        <v/>
      </c>
      <c r="B776" s="525" t="str">
        <f ca="1">IF(OR(A776="",A776=0),"",IF(COUNTIF($A$2:A776,$A776)=1,ROW(MauKoXoa!$C$108),$B775+1))</f>
        <v/>
      </c>
      <c r="C776" s="992" t="str">
        <f t="shared" ca="1" si="126"/>
        <v/>
      </c>
      <c r="D776" s="993" t="str">
        <f t="shared" ca="1" si="127"/>
        <v/>
      </c>
      <c r="E776" s="993" t="str">
        <f t="shared" ca="1" si="128"/>
        <v/>
      </c>
      <c r="F776" s="992" t="str">
        <f t="shared" ca="1" si="136"/>
        <v/>
      </c>
      <c r="G776" s="994">
        <f t="shared" ca="1" si="129"/>
        <v>0</v>
      </c>
      <c r="H776" s="913">
        <f t="shared" ca="1" si="130"/>
        <v>0</v>
      </c>
      <c r="I776" s="913">
        <f t="shared" ca="1" si="131"/>
        <v>0</v>
      </c>
      <c r="J776" s="995">
        <f t="shared" ca="1" si="137"/>
        <v>0</v>
      </c>
      <c r="K776" s="913">
        <f t="shared" ca="1" si="132"/>
        <v>0</v>
      </c>
      <c r="L776" s="995">
        <f t="shared" ca="1" si="138"/>
        <v>0</v>
      </c>
      <c r="M776" s="913">
        <f t="shared" ca="1" si="133"/>
        <v>0</v>
      </c>
      <c r="N776" s="996">
        <f t="shared" ca="1" si="134"/>
        <v>0</v>
      </c>
      <c r="O776" s="997">
        <f t="shared" ca="1" si="135"/>
        <v>0</v>
      </c>
      <c r="P776" s="1015" t="str">
        <f ca="1">IF($C776="","",INDEX(NVLSX!$N$2:$N$6941,MATCH($C776,NVLSX!$E$2:$E$6941,0)))</f>
        <v/>
      </c>
      <c r="Q776" s="1016" t="str">
        <f ca="1">IF($R776="","",IF(XKNVLSX!$X$1="",IF($P776=$V$7,$P776, IF(COUNTIFS($C$2:$C775,$C776,$E$2:$E775,$E776)&gt;=1,"",$P776)),     IF(AND(IFERROR(SEARCH($R776,XKNVLSX!$X$1,1),0)&gt;=1,$P776=$V$7),$P776, IF(OR($R776&lt;&gt;IF(IFERROR(SEARCH($R776,XKNVLSX!$X$1,1),0)&gt;=1,$R776,XKNVLSX!$X$1),COUNTIFS($C$2:$C775,$C776,$E$2:$E775,$E776,$Q$2:$Q775,$P776)&gt;=1),"",$P776))))</f>
        <v/>
      </c>
      <c r="R776" s="1017" t="str">
        <f ca="1">IF($A776="","",IFERROR(INDEX(TinhGia!$BF$10:$BF$81,MATCH($A776,TinhGia!$B$10:$B$81,0)),""))</f>
        <v/>
      </c>
      <c r="S776" s="1012" t="str">
        <f ca="1">IF($A776="","",IF(OR(IFERROR(SEARCH($R776,XKNVLSX!$X$1,1),0)&gt;=1,XKNVLSX!$X$1=""),$S$2,""))</f>
        <v/>
      </c>
      <c r="T776" s="1018" t="str">
        <f ca="1">IF($C776="","", IF(OR($P776=$V$1,$P776=$V$7,COUNTIFS($C$3:$C776,$C776,$E$3:$E776,$E776)&lt;=1),$P776,""    ))</f>
        <v/>
      </c>
      <c r="U776" s="1019" t="str">
        <f ca="1">IF(AND($P776=$V$2,COUNTIFS($C$3:$C776,$C776,$E$3:$E776,$E776,$G$3:$G776,$G776)&lt;=1),$P776,"")</f>
        <v/>
      </c>
    </row>
    <row r="777" spans="1:21">
      <c r="A777" s="991" t="str">
        <f ca="1">IFERROR(IF(COUNTIF($A$3:A776,A776)&lt; INDEX(TinhGia!$BH$10:$BH$81,MATCH($A776,TinhGia!$B$10:$B$81,0)),$A776,INDEX(TinhGia!$B$10:$B$81,MATCH($A776,TinhGia!$B$10:$B$81,0)+1)),"")</f>
        <v/>
      </c>
      <c r="B777" s="525" t="str">
        <f ca="1">IF(OR(A777="",A777=0),"",IF(COUNTIF($A$2:A777,$A777)=1,ROW(MauKoXoa!$C$108),$B776+1))</f>
        <v/>
      </c>
      <c r="C777" s="992" t="str">
        <f t="shared" ca="1" si="126"/>
        <v/>
      </c>
      <c r="D777" s="993" t="str">
        <f t="shared" ca="1" si="127"/>
        <v/>
      </c>
      <c r="E777" s="993" t="str">
        <f t="shared" ca="1" si="128"/>
        <v/>
      </c>
      <c r="F777" s="992" t="str">
        <f t="shared" ca="1" si="136"/>
        <v/>
      </c>
      <c r="G777" s="994">
        <f t="shared" ca="1" si="129"/>
        <v>0</v>
      </c>
      <c r="H777" s="913">
        <f t="shared" ca="1" si="130"/>
        <v>0</v>
      </c>
      <c r="I777" s="913">
        <f t="shared" ca="1" si="131"/>
        <v>0</v>
      </c>
      <c r="J777" s="995">
        <f t="shared" ca="1" si="137"/>
        <v>0</v>
      </c>
      <c r="K777" s="913">
        <f t="shared" ca="1" si="132"/>
        <v>0</v>
      </c>
      <c r="L777" s="995">
        <f t="shared" ca="1" si="138"/>
        <v>0</v>
      </c>
      <c r="M777" s="913">
        <f t="shared" ca="1" si="133"/>
        <v>0</v>
      </c>
      <c r="N777" s="996">
        <f t="shared" ca="1" si="134"/>
        <v>0</v>
      </c>
      <c r="O777" s="997">
        <f t="shared" ca="1" si="135"/>
        <v>0</v>
      </c>
      <c r="P777" s="1015" t="str">
        <f ca="1">IF($C777="","",INDEX(NVLSX!$N$2:$N$6941,MATCH($C777,NVLSX!$E$2:$E$6941,0)))</f>
        <v/>
      </c>
      <c r="Q777" s="1016" t="str">
        <f ca="1">IF($R777="","",IF(XKNVLSX!$X$1="",IF($P777=$V$7,$P777, IF(COUNTIFS($C$2:$C776,$C777,$E$2:$E776,$E777)&gt;=1,"",$P777)),     IF(AND(IFERROR(SEARCH($R777,XKNVLSX!$X$1,1),0)&gt;=1,$P777=$V$7),$P777, IF(OR($R777&lt;&gt;IF(IFERROR(SEARCH($R777,XKNVLSX!$X$1,1),0)&gt;=1,$R777,XKNVLSX!$X$1),COUNTIFS($C$2:$C776,$C777,$E$2:$E776,$E777,$Q$2:$Q776,$P777)&gt;=1),"",$P777))))</f>
        <v/>
      </c>
      <c r="R777" s="1017" t="str">
        <f ca="1">IF($A777="","",IFERROR(INDEX(TinhGia!$BF$10:$BF$81,MATCH($A777,TinhGia!$B$10:$B$81,0)),""))</f>
        <v/>
      </c>
      <c r="S777" s="1012" t="str">
        <f ca="1">IF($A777="","",IF(OR(IFERROR(SEARCH($R777,XKNVLSX!$X$1,1),0)&gt;=1,XKNVLSX!$X$1=""),$S$2,""))</f>
        <v/>
      </c>
      <c r="T777" s="1018" t="str">
        <f ca="1">IF($C777="","", IF(OR($P777=$V$1,$P777=$V$7,COUNTIFS($C$3:$C777,$C777,$E$3:$E777,$E777)&lt;=1),$P777,""    ))</f>
        <v/>
      </c>
      <c r="U777" s="1019" t="str">
        <f ca="1">IF(AND($P777=$V$2,COUNTIFS($C$3:$C777,$C777,$E$3:$E777,$E777,$G$3:$G777,$G777)&lt;=1),$P777,"")</f>
        <v/>
      </c>
    </row>
    <row r="778" spans="1:21">
      <c r="A778" s="991" t="str">
        <f ca="1">IFERROR(IF(COUNTIF($A$3:A777,A777)&lt; INDEX(TinhGia!$BH$10:$BH$81,MATCH($A777,TinhGia!$B$10:$B$81,0)),$A777,INDEX(TinhGia!$B$10:$B$81,MATCH($A777,TinhGia!$B$10:$B$81,0)+1)),"")</f>
        <v/>
      </c>
      <c r="B778" s="525" t="str">
        <f ca="1">IF(OR(A778="",A778=0),"",IF(COUNTIF($A$2:A778,$A778)=1,ROW(MauKoXoa!$C$108),$B777+1))</f>
        <v/>
      </c>
      <c r="C778" s="992" t="str">
        <f t="shared" ca="1" si="126"/>
        <v/>
      </c>
      <c r="D778" s="993" t="str">
        <f t="shared" ca="1" si="127"/>
        <v/>
      </c>
      <c r="E778" s="993" t="str">
        <f t="shared" ca="1" si="128"/>
        <v/>
      </c>
      <c r="F778" s="992" t="str">
        <f t="shared" ca="1" si="136"/>
        <v/>
      </c>
      <c r="G778" s="994">
        <f t="shared" ca="1" si="129"/>
        <v>0</v>
      </c>
      <c r="H778" s="913">
        <f t="shared" ca="1" si="130"/>
        <v>0</v>
      </c>
      <c r="I778" s="913">
        <f t="shared" ca="1" si="131"/>
        <v>0</v>
      </c>
      <c r="J778" s="995">
        <f t="shared" ca="1" si="137"/>
        <v>0</v>
      </c>
      <c r="K778" s="913">
        <f t="shared" ca="1" si="132"/>
        <v>0</v>
      </c>
      <c r="L778" s="995">
        <f t="shared" ca="1" si="138"/>
        <v>0</v>
      </c>
      <c r="M778" s="913">
        <f t="shared" ca="1" si="133"/>
        <v>0</v>
      </c>
      <c r="N778" s="996">
        <f t="shared" ca="1" si="134"/>
        <v>0</v>
      </c>
      <c r="O778" s="997">
        <f t="shared" ca="1" si="135"/>
        <v>0</v>
      </c>
      <c r="P778" s="1015" t="str">
        <f ca="1">IF($C778="","",INDEX(NVLSX!$N$2:$N$6941,MATCH($C778,NVLSX!$E$2:$E$6941,0)))</f>
        <v/>
      </c>
      <c r="Q778" s="1016" t="str">
        <f ca="1">IF($R778="","",IF(XKNVLSX!$X$1="",IF($P778=$V$7,$P778, IF(COUNTIFS($C$2:$C777,$C778,$E$2:$E777,$E778)&gt;=1,"",$P778)),     IF(AND(IFERROR(SEARCH($R778,XKNVLSX!$X$1,1),0)&gt;=1,$P778=$V$7),$P778, IF(OR($R778&lt;&gt;IF(IFERROR(SEARCH($R778,XKNVLSX!$X$1,1),0)&gt;=1,$R778,XKNVLSX!$X$1),COUNTIFS($C$2:$C777,$C778,$E$2:$E777,$E778,$Q$2:$Q777,$P778)&gt;=1),"",$P778))))</f>
        <v/>
      </c>
      <c r="R778" s="1017" t="str">
        <f ca="1">IF($A778="","",IFERROR(INDEX(TinhGia!$BF$10:$BF$81,MATCH($A778,TinhGia!$B$10:$B$81,0)),""))</f>
        <v/>
      </c>
      <c r="S778" s="1012" t="str">
        <f ca="1">IF($A778="","",IF(OR(IFERROR(SEARCH($R778,XKNVLSX!$X$1,1),0)&gt;=1,XKNVLSX!$X$1=""),$S$2,""))</f>
        <v/>
      </c>
      <c r="T778" s="1018" t="str">
        <f ca="1">IF($C778="","", IF(OR($P778=$V$1,$P778=$V$7,COUNTIFS($C$3:$C778,$C778,$E$3:$E778,$E778)&lt;=1),$P778,""    ))</f>
        <v/>
      </c>
      <c r="U778" s="1019" t="str">
        <f ca="1">IF(AND($P778=$V$2,COUNTIFS($C$3:$C778,$C778,$E$3:$E778,$E778,$G$3:$G778,$G778)&lt;=1),$P778,"")</f>
        <v/>
      </c>
    </row>
    <row r="779" spans="1:21">
      <c r="A779" s="991" t="str">
        <f ca="1">IFERROR(IF(COUNTIF($A$3:A778,A778)&lt; INDEX(TinhGia!$BH$10:$BH$81,MATCH($A778,TinhGia!$B$10:$B$81,0)),$A778,INDEX(TinhGia!$B$10:$B$81,MATCH($A778,TinhGia!$B$10:$B$81,0)+1)),"")</f>
        <v/>
      </c>
      <c r="B779" s="525" t="str">
        <f ca="1">IF(OR(A779="",A779=0),"",IF(COUNTIF($A$2:A779,$A779)=1,ROW(MauKoXoa!$C$108),$B778+1))</f>
        <v/>
      </c>
      <c r="C779" s="992" t="str">
        <f t="shared" ca="1" si="126"/>
        <v/>
      </c>
      <c r="D779" s="993" t="str">
        <f t="shared" ca="1" si="127"/>
        <v/>
      </c>
      <c r="E779" s="993" t="str">
        <f t="shared" ca="1" si="128"/>
        <v/>
      </c>
      <c r="F779" s="992" t="str">
        <f t="shared" ca="1" si="136"/>
        <v/>
      </c>
      <c r="G779" s="994">
        <f t="shared" ca="1" si="129"/>
        <v>0</v>
      </c>
      <c r="H779" s="913">
        <f t="shared" ca="1" si="130"/>
        <v>0</v>
      </c>
      <c r="I779" s="913">
        <f t="shared" ca="1" si="131"/>
        <v>0</v>
      </c>
      <c r="J779" s="995">
        <f t="shared" ca="1" si="137"/>
        <v>0</v>
      </c>
      <c r="K779" s="913">
        <f t="shared" ca="1" si="132"/>
        <v>0</v>
      </c>
      <c r="L779" s="995">
        <f t="shared" ca="1" si="138"/>
        <v>0</v>
      </c>
      <c r="M779" s="913">
        <f t="shared" ca="1" si="133"/>
        <v>0</v>
      </c>
      <c r="N779" s="996">
        <f t="shared" ca="1" si="134"/>
        <v>0</v>
      </c>
      <c r="O779" s="997">
        <f t="shared" ca="1" si="135"/>
        <v>0</v>
      </c>
      <c r="P779" s="1015" t="str">
        <f ca="1">IF($C779="","",INDEX(NVLSX!$N$2:$N$6941,MATCH($C779,NVLSX!$E$2:$E$6941,0)))</f>
        <v/>
      </c>
      <c r="Q779" s="1016" t="str">
        <f ca="1">IF($R779="","",IF(XKNVLSX!$X$1="",IF($P779=$V$7,$P779, IF(COUNTIFS($C$2:$C778,$C779,$E$2:$E778,$E779)&gt;=1,"",$P779)),     IF(AND(IFERROR(SEARCH($R779,XKNVLSX!$X$1,1),0)&gt;=1,$P779=$V$7),$P779, IF(OR($R779&lt;&gt;IF(IFERROR(SEARCH($R779,XKNVLSX!$X$1,1),0)&gt;=1,$R779,XKNVLSX!$X$1),COUNTIFS($C$2:$C778,$C779,$E$2:$E778,$E779,$Q$2:$Q778,$P779)&gt;=1),"",$P779))))</f>
        <v/>
      </c>
      <c r="R779" s="1017" t="str">
        <f ca="1">IF($A779="","",IFERROR(INDEX(TinhGia!$BF$10:$BF$81,MATCH($A779,TinhGia!$B$10:$B$81,0)),""))</f>
        <v/>
      </c>
      <c r="S779" s="1012" t="str">
        <f ca="1">IF($A779="","",IF(OR(IFERROR(SEARCH($R779,XKNVLSX!$X$1,1),0)&gt;=1,XKNVLSX!$X$1=""),$S$2,""))</f>
        <v/>
      </c>
      <c r="T779" s="1018" t="str">
        <f ca="1">IF($C779="","", IF(OR($P779=$V$1,$P779=$V$7,COUNTIFS($C$3:$C779,$C779,$E$3:$E779,$E779)&lt;=1),$P779,""    ))</f>
        <v/>
      </c>
      <c r="U779" s="1019" t="str">
        <f ca="1">IF(AND($P779=$V$2,COUNTIFS($C$3:$C779,$C779,$E$3:$E779,$E779,$G$3:$G779,$G779)&lt;=1),$P779,"")</f>
        <v/>
      </c>
    </row>
    <row r="780" spans="1:21">
      <c r="A780" s="991" t="str">
        <f ca="1">IFERROR(IF(COUNTIF($A$3:A779,A779)&lt; INDEX(TinhGia!$BH$10:$BH$81,MATCH($A779,TinhGia!$B$10:$B$81,0)),$A779,INDEX(TinhGia!$B$10:$B$81,MATCH($A779,TinhGia!$B$10:$B$81,0)+1)),"")</f>
        <v/>
      </c>
      <c r="B780" s="525" t="str">
        <f ca="1">IF(OR(A780="",A780=0),"",IF(COUNTIF($A$2:A780,$A780)=1,ROW(MauKoXoa!$C$108),$B779+1))</f>
        <v/>
      </c>
      <c r="C780" s="992" t="str">
        <f t="shared" ca="1" si="126"/>
        <v/>
      </c>
      <c r="D780" s="993" t="str">
        <f t="shared" ca="1" si="127"/>
        <v/>
      </c>
      <c r="E780" s="993" t="str">
        <f t="shared" ca="1" si="128"/>
        <v/>
      </c>
      <c r="F780" s="992" t="str">
        <f t="shared" ca="1" si="136"/>
        <v/>
      </c>
      <c r="G780" s="994">
        <f t="shared" ca="1" si="129"/>
        <v>0</v>
      </c>
      <c r="H780" s="913">
        <f t="shared" ca="1" si="130"/>
        <v>0</v>
      </c>
      <c r="I780" s="913">
        <f t="shared" ca="1" si="131"/>
        <v>0</v>
      </c>
      <c r="J780" s="995">
        <f t="shared" ca="1" si="137"/>
        <v>0</v>
      </c>
      <c r="K780" s="913">
        <f t="shared" ca="1" si="132"/>
        <v>0</v>
      </c>
      <c r="L780" s="995">
        <f t="shared" ca="1" si="138"/>
        <v>0</v>
      </c>
      <c r="M780" s="913">
        <f t="shared" ca="1" si="133"/>
        <v>0</v>
      </c>
      <c r="N780" s="996">
        <f t="shared" ca="1" si="134"/>
        <v>0</v>
      </c>
      <c r="O780" s="997">
        <f t="shared" ca="1" si="135"/>
        <v>0</v>
      </c>
      <c r="P780" s="1015" t="str">
        <f ca="1">IF($C780="","",INDEX(NVLSX!$N$2:$N$6941,MATCH($C780,NVLSX!$E$2:$E$6941,0)))</f>
        <v/>
      </c>
      <c r="Q780" s="1016" t="str">
        <f ca="1">IF($R780="","",IF(XKNVLSX!$X$1="",IF($P780=$V$7,$P780, IF(COUNTIFS($C$2:$C779,$C780,$E$2:$E779,$E780)&gt;=1,"",$P780)),     IF(AND(IFERROR(SEARCH($R780,XKNVLSX!$X$1,1),0)&gt;=1,$P780=$V$7),$P780, IF(OR($R780&lt;&gt;IF(IFERROR(SEARCH($R780,XKNVLSX!$X$1,1),0)&gt;=1,$R780,XKNVLSX!$X$1),COUNTIFS($C$2:$C779,$C780,$E$2:$E779,$E780,$Q$2:$Q779,$P780)&gt;=1),"",$P780))))</f>
        <v/>
      </c>
      <c r="R780" s="1017" t="str">
        <f ca="1">IF($A780="","",IFERROR(INDEX(TinhGia!$BF$10:$BF$81,MATCH($A780,TinhGia!$B$10:$B$81,0)),""))</f>
        <v/>
      </c>
      <c r="S780" s="1012" t="str">
        <f ca="1">IF($A780="","",IF(OR(IFERROR(SEARCH($R780,XKNVLSX!$X$1,1),0)&gt;=1,XKNVLSX!$X$1=""),$S$2,""))</f>
        <v/>
      </c>
      <c r="T780" s="1018" t="str">
        <f ca="1">IF($C780="","", IF(OR($P780=$V$1,$P780=$V$7,COUNTIFS($C$3:$C780,$C780,$E$3:$E780,$E780)&lt;=1),$P780,""    ))</f>
        <v/>
      </c>
      <c r="U780" s="1019" t="str">
        <f ca="1">IF(AND($P780=$V$2,COUNTIFS($C$3:$C780,$C780,$E$3:$E780,$E780,$G$3:$G780,$G780)&lt;=1),$P780,"")</f>
        <v/>
      </c>
    </row>
    <row r="781" spans="1:21">
      <c r="A781" s="991" t="str">
        <f ca="1">IFERROR(IF(COUNTIF($A$3:A780,A780)&lt; INDEX(TinhGia!$BH$10:$BH$81,MATCH($A780,TinhGia!$B$10:$B$81,0)),$A780,INDEX(TinhGia!$B$10:$B$81,MATCH($A780,TinhGia!$B$10:$B$81,0)+1)),"")</f>
        <v/>
      </c>
      <c r="B781" s="525" t="str">
        <f ca="1">IF(OR(A781="",A781=0),"",IF(COUNTIF($A$2:A781,$A781)=1,ROW(MauKoXoa!$C$108),$B780+1))</f>
        <v/>
      </c>
      <c r="C781" s="992" t="str">
        <f t="shared" ca="1" si="126"/>
        <v/>
      </c>
      <c r="D781" s="993" t="str">
        <f t="shared" ca="1" si="127"/>
        <v/>
      </c>
      <c r="E781" s="993" t="str">
        <f t="shared" ca="1" si="128"/>
        <v/>
      </c>
      <c r="F781" s="992" t="str">
        <f t="shared" ca="1" si="136"/>
        <v/>
      </c>
      <c r="G781" s="994">
        <f t="shared" ca="1" si="129"/>
        <v>0</v>
      </c>
      <c r="H781" s="913">
        <f t="shared" ca="1" si="130"/>
        <v>0</v>
      </c>
      <c r="I781" s="913">
        <f t="shared" ca="1" si="131"/>
        <v>0</v>
      </c>
      <c r="J781" s="995">
        <f t="shared" ca="1" si="137"/>
        <v>0</v>
      </c>
      <c r="K781" s="913">
        <f t="shared" ca="1" si="132"/>
        <v>0</v>
      </c>
      <c r="L781" s="995">
        <f t="shared" ca="1" si="138"/>
        <v>0</v>
      </c>
      <c r="M781" s="913">
        <f t="shared" ca="1" si="133"/>
        <v>0</v>
      </c>
      <c r="N781" s="996">
        <f t="shared" ca="1" si="134"/>
        <v>0</v>
      </c>
      <c r="O781" s="997">
        <f t="shared" ca="1" si="135"/>
        <v>0</v>
      </c>
      <c r="P781" s="1015" t="str">
        <f ca="1">IF($C781="","",INDEX(NVLSX!$N$2:$N$6941,MATCH($C781,NVLSX!$E$2:$E$6941,0)))</f>
        <v/>
      </c>
      <c r="Q781" s="1016" t="str">
        <f ca="1">IF($R781="","",IF(XKNVLSX!$X$1="",IF($P781=$V$7,$P781, IF(COUNTIFS($C$2:$C780,$C781,$E$2:$E780,$E781)&gt;=1,"",$P781)),     IF(AND(IFERROR(SEARCH($R781,XKNVLSX!$X$1,1),0)&gt;=1,$P781=$V$7),$P781, IF(OR($R781&lt;&gt;IF(IFERROR(SEARCH($R781,XKNVLSX!$X$1,1),0)&gt;=1,$R781,XKNVLSX!$X$1),COUNTIFS($C$2:$C780,$C781,$E$2:$E780,$E781,$Q$2:$Q780,$P781)&gt;=1),"",$P781))))</f>
        <v/>
      </c>
      <c r="R781" s="1017" t="str">
        <f ca="1">IF($A781="","",IFERROR(INDEX(TinhGia!$BF$10:$BF$81,MATCH($A781,TinhGia!$B$10:$B$81,0)),""))</f>
        <v/>
      </c>
      <c r="S781" s="1012" t="str">
        <f ca="1">IF($A781="","",IF(OR(IFERROR(SEARCH($R781,XKNVLSX!$X$1,1),0)&gt;=1,XKNVLSX!$X$1=""),$S$2,""))</f>
        <v/>
      </c>
      <c r="T781" s="1018" t="str">
        <f ca="1">IF($C781="","", IF(OR($P781=$V$1,$P781=$V$7,COUNTIFS($C$3:$C781,$C781,$E$3:$E781,$E781)&lt;=1),$P781,""    ))</f>
        <v/>
      </c>
      <c r="U781" s="1019" t="str">
        <f ca="1">IF(AND($P781=$V$2,COUNTIFS($C$3:$C781,$C781,$E$3:$E781,$E781,$G$3:$G781,$G781)&lt;=1),$P781,"")</f>
        <v/>
      </c>
    </row>
    <row r="782" spans="1:21">
      <c r="A782" s="991" t="str">
        <f ca="1">IFERROR(IF(COUNTIF($A$3:A781,A781)&lt; INDEX(TinhGia!$BH$10:$BH$81,MATCH($A781,TinhGia!$B$10:$B$81,0)),$A781,INDEX(TinhGia!$B$10:$B$81,MATCH($A781,TinhGia!$B$10:$B$81,0)+1)),"")</f>
        <v/>
      </c>
      <c r="B782" s="525" t="str">
        <f ca="1">IF(OR(A782="",A782=0),"",IF(COUNTIF($A$2:A782,$A782)=1,ROW(MauKoXoa!$C$108),$B781+1))</f>
        <v/>
      </c>
      <c r="C782" s="992" t="str">
        <f t="shared" ca="1" si="126"/>
        <v/>
      </c>
      <c r="D782" s="993" t="str">
        <f t="shared" ca="1" si="127"/>
        <v/>
      </c>
      <c r="E782" s="993" t="str">
        <f t="shared" ca="1" si="128"/>
        <v/>
      </c>
      <c r="F782" s="992" t="str">
        <f t="shared" ca="1" si="136"/>
        <v/>
      </c>
      <c r="G782" s="994">
        <f t="shared" ca="1" si="129"/>
        <v>0</v>
      </c>
      <c r="H782" s="913">
        <f t="shared" ca="1" si="130"/>
        <v>0</v>
      </c>
      <c r="I782" s="913">
        <f t="shared" ca="1" si="131"/>
        <v>0</v>
      </c>
      <c r="J782" s="995">
        <f t="shared" ca="1" si="137"/>
        <v>0</v>
      </c>
      <c r="K782" s="913">
        <f t="shared" ca="1" si="132"/>
        <v>0</v>
      </c>
      <c r="L782" s="995">
        <f t="shared" ca="1" si="138"/>
        <v>0</v>
      </c>
      <c r="M782" s="913">
        <f t="shared" ca="1" si="133"/>
        <v>0</v>
      </c>
      <c r="N782" s="996">
        <f t="shared" ca="1" si="134"/>
        <v>0</v>
      </c>
      <c r="O782" s="997">
        <f t="shared" ca="1" si="135"/>
        <v>0</v>
      </c>
      <c r="P782" s="1015" t="str">
        <f ca="1">IF($C782="","",INDEX(NVLSX!$N$2:$N$6941,MATCH($C782,NVLSX!$E$2:$E$6941,0)))</f>
        <v/>
      </c>
      <c r="Q782" s="1016" t="str">
        <f ca="1">IF($R782="","",IF(XKNVLSX!$X$1="",IF($P782=$V$7,$P782, IF(COUNTIFS($C$2:$C781,$C782,$E$2:$E781,$E782)&gt;=1,"",$P782)),     IF(AND(IFERROR(SEARCH($R782,XKNVLSX!$X$1,1),0)&gt;=1,$P782=$V$7),$P782, IF(OR($R782&lt;&gt;IF(IFERROR(SEARCH($R782,XKNVLSX!$X$1,1),0)&gt;=1,$R782,XKNVLSX!$X$1),COUNTIFS($C$2:$C781,$C782,$E$2:$E781,$E782,$Q$2:$Q781,$P782)&gt;=1),"",$P782))))</f>
        <v/>
      </c>
      <c r="R782" s="1017" t="str">
        <f ca="1">IF($A782="","",IFERROR(INDEX(TinhGia!$BF$10:$BF$81,MATCH($A782,TinhGia!$B$10:$B$81,0)),""))</f>
        <v/>
      </c>
      <c r="S782" s="1012" t="str">
        <f ca="1">IF($A782="","",IF(OR(IFERROR(SEARCH($R782,XKNVLSX!$X$1,1),0)&gt;=1,XKNVLSX!$X$1=""),$S$2,""))</f>
        <v/>
      </c>
      <c r="T782" s="1018" t="str">
        <f ca="1">IF($C782="","", IF(OR($P782=$V$1,$P782=$V$7,COUNTIFS($C$3:$C782,$C782,$E$3:$E782,$E782)&lt;=1),$P782,""    ))</f>
        <v/>
      </c>
      <c r="U782" s="1019" t="str">
        <f ca="1">IF(AND($P782=$V$2,COUNTIFS($C$3:$C782,$C782,$E$3:$E782,$E782,$G$3:$G782,$G782)&lt;=1),$P782,"")</f>
        <v/>
      </c>
    </row>
    <row r="783" spans="1:21">
      <c r="A783" s="991" t="str">
        <f ca="1">IFERROR(IF(COUNTIF($A$3:A782,A782)&lt; INDEX(TinhGia!$BH$10:$BH$81,MATCH($A782,TinhGia!$B$10:$B$81,0)),$A782,INDEX(TinhGia!$B$10:$B$81,MATCH($A782,TinhGia!$B$10:$B$81,0)+1)),"")</f>
        <v/>
      </c>
      <c r="B783" s="525" t="str">
        <f ca="1">IF(OR(A783="",A783=0),"",IF(COUNTIF($A$2:A783,$A783)=1,ROW(MauKoXoa!$C$108),$B782+1))</f>
        <v/>
      </c>
      <c r="C783" s="992" t="str">
        <f t="shared" ca="1" si="126"/>
        <v/>
      </c>
      <c r="D783" s="993" t="str">
        <f t="shared" ca="1" si="127"/>
        <v/>
      </c>
      <c r="E783" s="993" t="str">
        <f t="shared" ca="1" si="128"/>
        <v/>
      </c>
      <c r="F783" s="992" t="str">
        <f t="shared" ca="1" si="136"/>
        <v/>
      </c>
      <c r="G783" s="994">
        <f t="shared" ca="1" si="129"/>
        <v>0</v>
      </c>
      <c r="H783" s="913">
        <f t="shared" ca="1" si="130"/>
        <v>0</v>
      </c>
      <c r="I783" s="913">
        <f t="shared" ca="1" si="131"/>
        <v>0</v>
      </c>
      <c r="J783" s="995">
        <f t="shared" ca="1" si="137"/>
        <v>0</v>
      </c>
      <c r="K783" s="913">
        <f t="shared" ca="1" si="132"/>
        <v>0</v>
      </c>
      <c r="L783" s="995">
        <f t="shared" ca="1" si="138"/>
        <v>0</v>
      </c>
      <c r="M783" s="913">
        <f t="shared" ca="1" si="133"/>
        <v>0</v>
      </c>
      <c r="N783" s="996">
        <f t="shared" ca="1" si="134"/>
        <v>0</v>
      </c>
      <c r="O783" s="997">
        <f t="shared" ca="1" si="135"/>
        <v>0</v>
      </c>
      <c r="P783" s="1015" t="str">
        <f ca="1">IF($C783="","",INDEX(NVLSX!$N$2:$N$6941,MATCH($C783,NVLSX!$E$2:$E$6941,0)))</f>
        <v/>
      </c>
      <c r="Q783" s="1016" t="str">
        <f ca="1">IF($R783="","",IF(XKNVLSX!$X$1="",IF($P783=$V$7,$P783, IF(COUNTIFS($C$2:$C782,$C783,$E$2:$E782,$E783)&gt;=1,"",$P783)),     IF(AND(IFERROR(SEARCH($R783,XKNVLSX!$X$1,1),0)&gt;=1,$P783=$V$7),$P783, IF(OR($R783&lt;&gt;IF(IFERROR(SEARCH($R783,XKNVLSX!$X$1,1),0)&gt;=1,$R783,XKNVLSX!$X$1),COUNTIFS($C$2:$C782,$C783,$E$2:$E782,$E783,$Q$2:$Q782,$P783)&gt;=1),"",$P783))))</f>
        <v/>
      </c>
      <c r="R783" s="1017" t="str">
        <f ca="1">IF($A783="","",IFERROR(INDEX(TinhGia!$BF$10:$BF$81,MATCH($A783,TinhGia!$B$10:$B$81,0)),""))</f>
        <v/>
      </c>
      <c r="S783" s="1012" t="str">
        <f ca="1">IF($A783="","",IF(OR(IFERROR(SEARCH($R783,XKNVLSX!$X$1,1),0)&gt;=1,XKNVLSX!$X$1=""),$S$2,""))</f>
        <v/>
      </c>
      <c r="T783" s="1018" t="str">
        <f ca="1">IF($C783="","", IF(OR($P783=$V$1,$P783=$V$7,COUNTIFS($C$3:$C783,$C783,$E$3:$E783,$E783)&lt;=1),$P783,""    ))</f>
        <v/>
      </c>
      <c r="U783" s="1019" t="str">
        <f ca="1">IF(AND($P783=$V$2,COUNTIFS($C$3:$C783,$C783,$E$3:$E783,$E783,$G$3:$G783,$G783)&lt;=1),$P783,"")</f>
        <v/>
      </c>
    </row>
    <row r="784" spans="1:21">
      <c r="A784" s="991" t="str">
        <f ca="1">IFERROR(IF(COUNTIF($A$3:A783,A783)&lt; INDEX(TinhGia!$BH$10:$BH$81,MATCH($A783,TinhGia!$B$10:$B$81,0)),$A783,INDEX(TinhGia!$B$10:$B$81,MATCH($A783,TinhGia!$B$10:$B$81,0)+1)),"")</f>
        <v/>
      </c>
      <c r="B784" s="525" t="str">
        <f ca="1">IF(OR(A784="",A784=0),"",IF(COUNTIF($A$2:A784,$A784)=1,ROW(MauKoXoa!$C$108),$B783+1))</f>
        <v/>
      </c>
      <c r="C784" s="992" t="str">
        <f t="shared" ca="1" si="126"/>
        <v/>
      </c>
      <c r="D784" s="993" t="str">
        <f t="shared" ca="1" si="127"/>
        <v/>
      </c>
      <c r="E784" s="993" t="str">
        <f t="shared" ca="1" si="128"/>
        <v/>
      </c>
      <c r="F784" s="992" t="str">
        <f t="shared" ca="1" si="136"/>
        <v/>
      </c>
      <c r="G784" s="994">
        <f t="shared" ca="1" si="129"/>
        <v>0</v>
      </c>
      <c r="H784" s="913">
        <f t="shared" ca="1" si="130"/>
        <v>0</v>
      </c>
      <c r="I784" s="913">
        <f t="shared" ca="1" si="131"/>
        <v>0</v>
      </c>
      <c r="J784" s="995">
        <f t="shared" ca="1" si="137"/>
        <v>0</v>
      </c>
      <c r="K784" s="913">
        <f t="shared" ca="1" si="132"/>
        <v>0</v>
      </c>
      <c r="L784" s="995">
        <f t="shared" ca="1" si="138"/>
        <v>0</v>
      </c>
      <c r="M784" s="913">
        <f t="shared" ca="1" si="133"/>
        <v>0</v>
      </c>
      <c r="N784" s="996">
        <f t="shared" ca="1" si="134"/>
        <v>0</v>
      </c>
      <c r="O784" s="997">
        <f t="shared" ca="1" si="135"/>
        <v>0</v>
      </c>
      <c r="P784" s="1015" t="str">
        <f ca="1">IF($C784="","",INDEX(NVLSX!$N$2:$N$6941,MATCH($C784,NVLSX!$E$2:$E$6941,0)))</f>
        <v/>
      </c>
      <c r="Q784" s="1016" t="str">
        <f ca="1">IF($R784="","",IF(XKNVLSX!$X$1="",IF($P784=$V$7,$P784, IF(COUNTIFS($C$2:$C783,$C784,$E$2:$E783,$E784)&gt;=1,"",$P784)),     IF(AND(IFERROR(SEARCH($R784,XKNVLSX!$X$1,1),0)&gt;=1,$P784=$V$7),$P784, IF(OR($R784&lt;&gt;IF(IFERROR(SEARCH($R784,XKNVLSX!$X$1,1),0)&gt;=1,$R784,XKNVLSX!$X$1),COUNTIFS($C$2:$C783,$C784,$E$2:$E783,$E784,$Q$2:$Q783,$P784)&gt;=1),"",$P784))))</f>
        <v/>
      </c>
      <c r="R784" s="1017" t="str">
        <f ca="1">IF($A784="","",IFERROR(INDEX(TinhGia!$BF$10:$BF$81,MATCH($A784,TinhGia!$B$10:$B$81,0)),""))</f>
        <v/>
      </c>
      <c r="S784" s="1012" t="str">
        <f ca="1">IF($A784="","",IF(OR(IFERROR(SEARCH($R784,XKNVLSX!$X$1,1),0)&gt;=1,XKNVLSX!$X$1=""),$S$2,""))</f>
        <v/>
      </c>
      <c r="T784" s="1018" t="str">
        <f ca="1">IF($C784="","", IF(OR($P784=$V$1,$P784=$V$7,COUNTIFS($C$3:$C784,$C784,$E$3:$E784,$E784)&lt;=1),$P784,""    ))</f>
        <v/>
      </c>
      <c r="U784" s="1019" t="str">
        <f ca="1">IF(AND($P784=$V$2,COUNTIFS($C$3:$C784,$C784,$E$3:$E784,$E784,$G$3:$G784,$G784)&lt;=1),$P784,"")</f>
        <v/>
      </c>
    </row>
    <row r="785" spans="1:21">
      <c r="A785" s="991" t="str">
        <f ca="1">IFERROR(IF(COUNTIF($A$3:A784,A784)&lt; INDEX(TinhGia!$BH$10:$BH$81,MATCH($A784,TinhGia!$B$10:$B$81,0)),$A784,INDEX(TinhGia!$B$10:$B$81,MATCH($A784,TinhGia!$B$10:$B$81,0)+1)),"")</f>
        <v/>
      </c>
      <c r="B785" s="525" t="str">
        <f ca="1">IF(OR(A785="",A785=0),"",IF(COUNTIF($A$2:A785,$A785)=1,ROW(MauKoXoa!$C$108),$B784+1))</f>
        <v/>
      </c>
      <c r="C785" s="992" t="str">
        <f t="shared" ca="1" si="126"/>
        <v/>
      </c>
      <c r="D785" s="993" t="str">
        <f t="shared" ca="1" si="127"/>
        <v/>
      </c>
      <c r="E785" s="993" t="str">
        <f t="shared" ca="1" si="128"/>
        <v/>
      </c>
      <c r="F785" s="992" t="str">
        <f t="shared" ca="1" si="136"/>
        <v/>
      </c>
      <c r="G785" s="994">
        <f t="shared" ca="1" si="129"/>
        <v>0</v>
      </c>
      <c r="H785" s="913">
        <f t="shared" ca="1" si="130"/>
        <v>0</v>
      </c>
      <c r="I785" s="913">
        <f t="shared" ca="1" si="131"/>
        <v>0</v>
      </c>
      <c r="J785" s="995">
        <f t="shared" ca="1" si="137"/>
        <v>0</v>
      </c>
      <c r="K785" s="913">
        <f t="shared" ca="1" si="132"/>
        <v>0</v>
      </c>
      <c r="L785" s="995">
        <f t="shared" ca="1" si="138"/>
        <v>0</v>
      </c>
      <c r="M785" s="913">
        <f t="shared" ca="1" si="133"/>
        <v>0</v>
      </c>
      <c r="N785" s="996">
        <f t="shared" ca="1" si="134"/>
        <v>0</v>
      </c>
      <c r="O785" s="997">
        <f t="shared" ca="1" si="135"/>
        <v>0</v>
      </c>
      <c r="P785" s="1015" t="str">
        <f ca="1">IF($C785="","",INDEX(NVLSX!$N$2:$N$6941,MATCH($C785,NVLSX!$E$2:$E$6941,0)))</f>
        <v/>
      </c>
      <c r="Q785" s="1016" t="str">
        <f ca="1">IF($R785="","",IF(XKNVLSX!$X$1="",IF($P785=$V$7,$P785, IF(COUNTIFS($C$2:$C784,$C785,$E$2:$E784,$E785)&gt;=1,"",$P785)),     IF(AND(IFERROR(SEARCH($R785,XKNVLSX!$X$1,1),0)&gt;=1,$P785=$V$7),$P785, IF(OR($R785&lt;&gt;IF(IFERROR(SEARCH($R785,XKNVLSX!$X$1,1),0)&gt;=1,$R785,XKNVLSX!$X$1),COUNTIFS($C$2:$C784,$C785,$E$2:$E784,$E785,$Q$2:$Q784,$P785)&gt;=1),"",$P785))))</f>
        <v/>
      </c>
      <c r="R785" s="1017" t="str">
        <f ca="1">IF($A785="","",IFERROR(INDEX(TinhGia!$BF$10:$BF$81,MATCH($A785,TinhGia!$B$10:$B$81,0)),""))</f>
        <v/>
      </c>
      <c r="S785" s="1012" t="str">
        <f ca="1">IF($A785="","",IF(OR(IFERROR(SEARCH($R785,XKNVLSX!$X$1,1),0)&gt;=1,XKNVLSX!$X$1=""),$S$2,""))</f>
        <v/>
      </c>
      <c r="T785" s="1018" t="str">
        <f ca="1">IF($C785="","", IF(OR($P785=$V$1,$P785=$V$7,COUNTIFS($C$3:$C785,$C785,$E$3:$E785,$E785)&lt;=1),$P785,""    ))</f>
        <v/>
      </c>
      <c r="U785" s="1019" t="str">
        <f ca="1">IF(AND($P785=$V$2,COUNTIFS($C$3:$C785,$C785,$E$3:$E785,$E785,$G$3:$G785,$G785)&lt;=1),$P785,"")</f>
        <v/>
      </c>
    </row>
    <row r="786" spans="1:21">
      <c r="A786" s="991" t="str">
        <f ca="1">IFERROR(IF(COUNTIF($A$3:A785,A785)&lt; INDEX(TinhGia!$BH$10:$BH$81,MATCH($A785,TinhGia!$B$10:$B$81,0)),$A785,INDEX(TinhGia!$B$10:$B$81,MATCH($A785,TinhGia!$B$10:$B$81,0)+1)),"")</f>
        <v/>
      </c>
      <c r="B786" s="525" t="str">
        <f ca="1">IF(OR(A786="",A786=0),"",IF(COUNTIF($A$2:A786,$A786)=1,ROW(MauKoXoa!$C$108),$B785+1))</f>
        <v/>
      </c>
      <c r="C786" s="992" t="str">
        <f t="shared" ca="1" si="126"/>
        <v/>
      </c>
      <c r="D786" s="993" t="str">
        <f t="shared" ca="1" si="127"/>
        <v/>
      </c>
      <c r="E786" s="993" t="str">
        <f t="shared" ca="1" si="128"/>
        <v/>
      </c>
      <c r="F786" s="992" t="str">
        <f t="shared" ca="1" si="136"/>
        <v/>
      </c>
      <c r="G786" s="994">
        <f t="shared" ca="1" si="129"/>
        <v>0</v>
      </c>
      <c r="H786" s="913">
        <f t="shared" ca="1" si="130"/>
        <v>0</v>
      </c>
      <c r="I786" s="913">
        <f t="shared" ca="1" si="131"/>
        <v>0</v>
      </c>
      <c r="J786" s="995">
        <f t="shared" ca="1" si="137"/>
        <v>0</v>
      </c>
      <c r="K786" s="913">
        <f t="shared" ca="1" si="132"/>
        <v>0</v>
      </c>
      <c r="L786" s="995">
        <f t="shared" ca="1" si="138"/>
        <v>0</v>
      </c>
      <c r="M786" s="913">
        <f t="shared" ca="1" si="133"/>
        <v>0</v>
      </c>
      <c r="N786" s="996">
        <f t="shared" ca="1" si="134"/>
        <v>0</v>
      </c>
      <c r="O786" s="997">
        <f t="shared" ca="1" si="135"/>
        <v>0</v>
      </c>
      <c r="P786" s="1015" t="str">
        <f ca="1">IF($C786="","",INDEX(NVLSX!$N$2:$N$6941,MATCH($C786,NVLSX!$E$2:$E$6941,0)))</f>
        <v/>
      </c>
      <c r="Q786" s="1016" t="str">
        <f ca="1">IF($R786="","",IF(XKNVLSX!$X$1="",IF($P786=$V$7,$P786, IF(COUNTIFS($C$2:$C785,$C786,$E$2:$E785,$E786)&gt;=1,"",$P786)),     IF(AND(IFERROR(SEARCH($R786,XKNVLSX!$X$1,1),0)&gt;=1,$P786=$V$7),$P786, IF(OR($R786&lt;&gt;IF(IFERROR(SEARCH($R786,XKNVLSX!$X$1,1),0)&gt;=1,$R786,XKNVLSX!$X$1),COUNTIFS($C$2:$C785,$C786,$E$2:$E785,$E786,$Q$2:$Q785,$P786)&gt;=1),"",$P786))))</f>
        <v/>
      </c>
      <c r="R786" s="1017" t="str">
        <f ca="1">IF($A786="","",IFERROR(INDEX(TinhGia!$BF$10:$BF$81,MATCH($A786,TinhGia!$B$10:$B$81,0)),""))</f>
        <v/>
      </c>
      <c r="S786" s="1012" t="str">
        <f ca="1">IF($A786="","",IF(OR(IFERROR(SEARCH($R786,XKNVLSX!$X$1,1),0)&gt;=1,XKNVLSX!$X$1=""),$S$2,""))</f>
        <v/>
      </c>
      <c r="T786" s="1018" t="str">
        <f ca="1">IF($C786="","", IF(OR($P786=$V$1,$P786=$V$7,COUNTIFS($C$3:$C786,$C786,$E$3:$E786,$E786)&lt;=1),$P786,""    ))</f>
        <v/>
      </c>
      <c r="U786" s="1019" t="str">
        <f ca="1">IF(AND($P786=$V$2,COUNTIFS($C$3:$C786,$C786,$E$3:$E786,$E786,$G$3:$G786,$G786)&lt;=1),$P786,"")</f>
        <v/>
      </c>
    </row>
    <row r="787" spans="1:21">
      <c r="A787" s="991" t="str">
        <f ca="1">IFERROR(IF(COUNTIF($A$3:A786,A786)&lt; INDEX(TinhGia!$BH$10:$BH$81,MATCH($A786,TinhGia!$B$10:$B$81,0)),$A786,INDEX(TinhGia!$B$10:$B$81,MATCH($A786,TinhGia!$B$10:$B$81,0)+1)),"")</f>
        <v/>
      </c>
      <c r="B787" s="525" t="str">
        <f ca="1">IF(OR(A787="",A787=0),"",IF(COUNTIF($A$2:A787,$A787)=1,ROW(MauKoXoa!$C$108),$B786+1))</f>
        <v/>
      </c>
      <c r="C787" s="992" t="str">
        <f t="shared" ca="1" si="126"/>
        <v/>
      </c>
      <c r="D787" s="993" t="str">
        <f t="shared" ca="1" si="127"/>
        <v/>
      </c>
      <c r="E787" s="993" t="str">
        <f t="shared" ca="1" si="128"/>
        <v/>
      </c>
      <c r="F787" s="992" t="str">
        <f t="shared" ca="1" si="136"/>
        <v/>
      </c>
      <c r="G787" s="994">
        <f t="shared" ca="1" si="129"/>
        <v>0</v>
      </c>
      <c r="H787" s="913">
        <f t="shared" ca="1" si="130"/>
        <v>0</v>
      </c>
      <c r="I787" s="913">
        <f t="shared" ca="1" si="131"/>
        <v>0</v>
      </c>
      <c r="J787" s="995">
        <f t="shared" ca="1" si="137"/>
        <v>0</v>
      </c>
      <c r="K787" s="913">
        <f t="shared" ca="1" si="132"/>
        <v>0</v>
      </c>
      <c r="L787" s="995">
        <f t="shared" ca="1" si="138"/>
        <v>0</v>
      </c>
      <c r="M787" s="913">
        <f t="shared" ca="1" si="133"/>
        <v>0</v>
      </c>
      <c r="N787" s="996">
        <f t="shared" ca="1" si="134"/>
        <v>0</v>
      </c>
      <c r="O787" s="997">
        <f t="shared" ca="1" si="135"/>
        <v>0</v>
      </c>
      <c r="P787" s="1015" t="str">
        <f ca="1">IF($C787="","",INDEX(NVLSX!$N$2:$N$6941,MATCH($C787,NVLSX!$E$2:$E$6941,0)))</f>
        <v/>
      </c>
      <c r="Q787" s="1016" t="str">
        <f ca="1">IF($R787="","",IF(XKNVLSX!$X$1="",IF($P787=$V$7,$P787, IF(COUNTIFS($C$2:$C786,$C787,$E$2:$E786,$E787)&gt;=1,"",$P787)),     IF(AND(IFERROR(SEARCH($R787,XKNVLSX!$X$1,1),0)&gt;=1,$P787=$V$7),$P787, IF(OR($R787&lt;&gt;IF(IFERROR(SEARCH($R787,XKNVLSX!$X$1,1),0)&gt;=1,$R787,XKNVLSX!$X$1),COUNTIFS($C$2:$C786,$C787,$E$2:$E786,$E787,$Q$2:$Q786,$P787)&gt;=1),"",$P787))))</f>
        <v/>
      </c>
      <c r="R787" s="1017" t="str">
        <f ca="1">IF($A787="","",IFERROR(INDEX(TinhGia!$BF$10:$BF$81,MATCH($A787,TinhGia!$B$10:$B$81,0)),""))</f>
        <v/>
      </c>
      <c r="S787" s="1012" t="str">
        <f ca="1">IF($A787="","",IF(OR(IFERROR(SEARCH($R787,XKNVLSX!$X$1,1),0)&gt;=1,XKNVLSX!$X$1=""),$S$2,""))</f>
        <v/>
      </c>
      <c r="T787" s="1018" t="str">
        <f ca="1">IF($C787="","", IF(OR($P787=$V$1,$P787=$V$7,COUNTIFS($C$3:$C787,$C787,$E$3:$E787,$E787)&lt;=1),$P787,""    ))</f>
        <v/>
      </c>
      <c r="U787" s="1019" t="str">
        <f ca="1">IF(AND($P787=$V$2,COUNTIFS($C$3:$C787,$C787,$E$3:$E787,$E787,$G$3:$G787,$G787)&lt;=1),$P787,"")</f>
        <v/>
      </c>
    </row>
    <row r="788" spans="1:21">
      <c r="A788" s="991" t="str">
        <f ca="1">IFERROR(IF(COUNTIF($A$3:A787,A787)&lt; INDEX(TinhGia!$BH$10:$BH$81,MATCH($A787,TinhGia!$B$10:$B$81,0)),$A787,INDEX(TinhGia!$B$10:$B$81,MATCH($A787,TinhGia!$B$10:$B$81,0)+1)),"")</f>
        <v/>
      </c>
      <c r="B788" s="525" t="str">
        <f ca="1">IF(OR(A788="",A788=0),"",IF(COUNTIF($A$2:A788,$A788)=1,ROW(MauKoXoa!$C$108),$B787+1))</f>
        <v/>
      </c>
      <c r="C788" s="992" t="str">
        <f t="shared" ca="1" si="126"/>
        <v/>
      </c>
      <c r="D788" s="993" t="str">
        <f t="shared" ca="1" si="127"/>
        <v/>
      </c>
      <c r="E788" s="993" t="str">
        <f t="shared" ca="1" si="128"/>
        <v/>
      </c>
      <c r="F788" s="992" t="str">
        <f t="shared" ca="1" si="136"/>
        <v/>
      </c>
      <c r="G788" s="994">
        <f t="shared" ca="1" si="129"/>
        <v>0</v>
      </c>
      <c r="H788" s="913">
        <f t="shared" ca="1" si="130"/>
        <v>0</v>
      </c>
      <c r="I788" s="913">
        <f t="shared" ca="1" si="131"/>
        <v>0</v>
      </c>
      <c r="J788" s="995">
        <f t="shared" ca="1" si="137"/>
        <v>0</v>
      </c>
      <c r="K788" s="913">
        <f t="shared" ca="1" si="132"/>
        <v>0</v>
      </c>
      <c r="L788" s="995">
        <f t="shared" ca="1" si="138"/>
        <v>0</v>
      </c>
      <c r="M788" s="913">
        <f t="shared" ca="1" si="133"/>
        <v>0</v>
      </c>
      <c r="N788" s="996">
        <f t="shared" ca="1" si="134"/>
        <v>0</v>
      </c>
      <c r="O788" s="997">
        <f t="shared" ca="1" si="135"/>
        <v>0</v>
      </c>
      <c r="P788" s="1015" t="str">
        <f ca="1">IF($C788="","",INDEX(NVLSX!$N$2:$N$6941,MATCH($C788,NVLSX!$E$2:$E$6941,0)))</f>
        <v/>
      </c>
      <c r="Q788" s="1016" t="str">
        <f ca="1">IF($R788="","",IF(XKNVLSX!$X$1="",IF($P788=$V$7,$P788, IF(COUNTIFS($C$2:$C787,$C788,$E$2:$E787,$E788)&gt;=1,"",$P788)),     IF(AND(IFERROR(SEARCH($R788,XKNVLSX!$X$1,1),0)&gt;=1,$P788=$V$7),$P788, IF(OR($R788&lt;&gt;IF(IFERROR(SEARCH($R788,XKNVLSX!$X$1,1),0)&gt;=1,$R788,XKNVLSX!$X$1),COUNTIFS($C$2:$C787,$C788,$E$2:$E787,$E788,$Q$2:$Q787,$P788)&gt;=1),"",$P788))))</f>
        <v/>
      </c>
      <c r="R788" s="1017" t="str">
        <f ca="1">IF($A788="","",IFERROR(INDEX(TinhGia!$BF$10:$BF$81,MATCH($A788,TinhGia!$B$10:$B$81,0)),""))</f>
        <v/>
      </c>
      <c r="S788" s="1012" t="str">
        <f ca="1">IF($A788="","",IF(OR(IFERROR(SEARCH($R788,XKNVLSX!$X$1,1),0)&gt;=1,XKNVLSX!$X$1=""),$S$2,""))</f>
        <v/>
      </c>
      <c r="T788" s="1018" t="str">
        <f ca="1">IF($C788="","", IF(OR($P788=$V$1,$P788=$V$7,COUNTIFS($C$3:$C788,$C788,$E$3:$E788,$E788)&lt;=1),$P788,""    ))</f>
        <v/>
      </c>
      <c r="U788" s="1019" t="str">
        <f ca="1">IF(AND($P788=$V$2,COUNTIFS($C$3:$C788,$C788,$E$3:$E788,$E788,$G$3:$G788,$G788)&lt;=1),$P788,"")</f>
        <v/>
      </c>
    </row>
    <row r="789" spans="1:21">
      <c r="A789" s="991" t="str">
        <f ca="1">IFERROR(IF(COUNTIF($A$3:A788,A788)&lt; INDEX(TinhGia!$BH$10:$BH$81,MATCH($A788,TinhGia!$B$10:$B$81,0)),$A788,INDEX(TinhGia!$B$10:$B$81,MATCH($A788,TinhGia!$B$10:$B$81,0)+1)),"")</f>
        <v/>
      </c>
      <c r="B789" s="525" t="str">
        <f ca="1">IF(OR(A789="",A789=0),"",IF(COUNTIF($A$2:A789,$A789)=1,ROW(MauKoXoa!$C$108),$B788+1))</f>
        <v/>
      </c>
      <c r="C789" s="992" t="str">
        <f t="shared" ca="1" si="126"/>
        <v/>
      </c>
      <c r="D789" s="993" t="str">
        <f t="shared" ca="1" si="127"/>
        <v/>
      </c>
      <c r="E789" s="993" t="str">
        <f t="shared" ca="1" si="128"/>
        <v/>
      </c>
      <c r="F789" s="992" t="str">
        <f t="shared" ca="1" si="136"/>
        <v/>
      </c>
      <c r="G789" s="994">
        <f t="shared" ca="1" si="129"/>
        <v>0</v>
      </c>
      <c r="H789" s="913">
        <f t="shared" ca="1" si="130"/>
        <v>0</v>
      </c>
      <c r="I789" s="913">
        <f t="shared" ca="1" si="131"/>
        <v>0</v>
      </c>
      <c r="J789" s="995">
        <f t="shared" ca="1" si="137"/>
        <v>0</v>
      </c>
      <c r="K789" s="913">
        <f t="shared" ca="1" si="132"/>
        <v>0</v>
      </c>
      <c r="L789" s="995">
        <f t="shared" ca="1" si="138"/>
        <v>0</v>
      </c>
      <c r="M789" s="913">
        <f t="shared" ca="1" si="133"/>
        <v>0</v>
      </c>
      <c r="N789" s="996">
        <f t="shared" ca="1" si="134"/>
        <v>0</v>
      </c>
      <c r="O789" s="997">
        <f t="shared" ca="1" si="135"/>
        <v>0</v>
      </c>
      <c r="P789" s="1015" t="str">
        <f ca="1">IF($C789="","",INDEX(NVLSX!$N$2:$N$6941,MATCH($C789,NVLSX!$E$2:$E$6941,0)))</f>
        <v/>
      </c>
      <c r="Q789" s="1016" t="str">
        <f ca="1">IF($R789="","",IF(XKNVLSX!$X$1="",IF($P789=$V$7,$P789, IF(COUNTIFS($C$2:$C788,$C789,$E$2:$E788,$E789)&gt;=1,"",$P789)),     IF(AND(IFERROR(SEARCH($R789,XKNVLSX!$X$1,1),0)&gt;=1,$P789=$V$7),$P789, IF(OR($R789&lt;&gt;IF(IFERROR(SEARCH($R789,XKNVLSX!$X$1,1),0)&gt;=1,$R789,XKNVLSX!$X$1),COUNTIFS($C$2:$C788,$C789,$E$2:$E788,$E789,$Q$2:$Q788,$P789)&gt;=1),"",$P789))))</f>
        <v/>
      </c>
      <c r="R789" s="1017" t="str">
        <f ca="1">IF($A789="","",IFERROR(INDEX(TinhGia!$BF$10:$BF$81,MATCH($A789,TinhGia!$B$10:$B$81,0)),""))</f>
        <v/>
      </c>
      <c r="S789" s="1012" t="str">
        <f ca="1">IF($A789="","",IF(OR(IFERROR(SEARCH($R789,XKNVLSX!$X$1,1),0)&gt;=1,XKNVLSX!$X$1=""),$S$2,""))</f>
        <v/>
      </c>
      <c r="T789" s="1018" t="str">
        <f ca="1">IF($C789="","", IF(OR($P789=$V$1,$P789=$V$7,COUNTIFS($C$3:$C789,$C789,$E$3:$E789,$E789)&lt;=1),$P789,""    ))</f>
        <v/>
      </c>
      <c r="U789" s="1019" t="str">
        <f ca="1">IF(AND($P789=$V$2,COUNTIFS($C$3:$C789,$C789,$E$3:$E789,$E789,$G$3:$G789,$G789)&lt;=1),$P789,"")</f>
        <v/>
      </c>
    </row>
    <row r="790" spans="1:21">
      <c r="A790" s="991" t="str">
        <f ca="1">IFERROR(IF(COUNTIF($A$3:A789,A789)&lt; INDEX(TinhGia!$BH$10:$BH$81,MATCH($A789,TinhGia!$B$10:$B$81,0)),$A789,INDEX(TinhGia!$B$10:$B$81,MATCH($A789,TinhGia!$B$10:$B$81,0)+1)),"")</f>
        <v/>
      </c>
      <c r="B790" s="525" t="str">
        <f ca="1">IF(OR(A790="",A790=0),"",IF(COUNTIF($A$2:A790,$A790)=1,ROW(MauKoXoa!$C$108),$B789+1))</f>
        <v/>
      </c>
      <c r="C790" s="992" t="str">
        <f t="shared" ca="1" si="126"/>
        <v/>
      </c>
      <c r="D790" s="993" t="str">
        <f t="shared" ca="1" si="127"/>
        <v/>
      </c>
      <c r="E790" s="993" t="str">
        <f t="shared" ca="1" si="128"/>
        <v/>
      </c>
      <c r="F790" s="992" t="str">
        <f t="shared" ca="1" si="136"/>
        <v/>
      </c>
      <c r="G790" s="994">
        <f t="shared" ca="1" si="129"/>
        <v>0</v>
      </c>
      <c r="H790" s="913">
        <f t="shared" ca="1" si="130"/>
        <v>0</v>
      </c>
      <c r="I790" s="913">
        <f t="shared" ca="1" si="131"/>
        <v>0</v>
      </c>
      <c r="J790" s="995">
        <f t="shared" ca="1" si="137"/>
        <v>0</v>
      </c>
      <c r="K790" s="913">
        <f t="shared" ca="1" si="132"/>
        <v>0</v>
      </c>
      <c r="L790" s="995">
        <f t="shared" ca="1" si="138"/>
        <v>0</v>
      </c>
      <c r="M790" s="913">
        <f t="shared" ca="1" si="133"/>
        <v>0</v>
      </c>
      <c r="N790" s="996">
        <f t="shared" ca="1" si="134"/>
        <v>0</v>
      </c>
      <c r="O790" s="997">
        <f t="shared" ca="1" si="135"/>
        <v>0</v>
      </c>
      <c r="P790" s="1015" t="str">
        <f ca="1">IF($C790="","",INDEX(NVLSX!$N$2:$N$6941,MATCH($C790,NVLSX!$E$2:$E$6941,0)))</f>
        <v/>
      </c>
      <c r="Q790" s="1016" t="str">
        <f ca="1">IF($R790="","",IF(XKNVLSX!$X$1="",IF($P790=$V$7,$P790, IF(COUNTIFS($C$2:$C789,$C790,$E$2:$E789,$E790)&gt;=1,"",$P790)),     IF(AND(IFERROR(SEARCH($R790,XKNVLSX!$X$1,1),0)&gt;=1,$P790=$V$7),$P790, IF(OR($R790&lt;&gt;IF(IFERROR(SEARCH($R790,XKNVLSX!$X$1,1),0)&gt;=1,$R790,XKNVLSX!$X$1),COUNTIFS($C$2:$C789,$C790,$E$2:$E789,$E790,$Q$2:$Q789,$P790)&gt;=1),"",$P790))))</f>
        <v/>
      </c>
      <c r="R790" s="1017" t="str">
        <f ca="1">IF($A790="","",IFERROR(INDEX(TinhGia!$BF$10:$BF$81,MATCH($A790,TinhGia!$B$10:$B$81,0)),""))</f>
        <v/>
      </c>
      <c r="S790" s="1012" t="str">
        <f ca="1">IF($A790="","",IF(OR(IFERROR(SEARCH($R790,XKNVLSX!$X$1,1),0)&gt;=1,XKNVLSX!$X$1=""),$S$2,""))</f>
        <v/>
      </c>
      <c r="T790" s="1018" t="str">
        <f ca="1">IF($C790="","", IF(OR($P790=$V$1,$P790=$V$7,COUNTIFS($C$3:$C790,$C790,$E$3:$E790,$E790)&lt;=1),$P790,""    ))</f>
        <v/>
      </c>
      <c r="U790" s="1019" t="str">
        <f ca="1">IF(AND($P790=$V$2,COUNTIFS($C$3:$C790,$C790,$E$3:$E790,$E790,$G$3:$G790,$G790)&lt;=1),$P790,"")</f>
        <v/>
      </c>
    </row>
    <row r="791" spans="1:21">
      <c r="A791" s="991" t="str">
        <f ca="1">IFERROR(IF(COUNTIF($A$3:A790,A790)&lt; INDEX(TinhGia!$BH$10:$BH$81,MATCH($A790,TinhGia!$B$10:$B$81,0)),$A790,INDEX(TinhGia!$B$10:$B$81,MATCH($A790,TinhGia!$B$10:$B$81,0)+1)),"")</f>
        <v/>
      </c>
      <c r="B791" s="525" t="str">
        <f ca="1">IF(OR(A791="",A791=0),"",IF(COUNTIF($A$2:A791,$A791)=1,ROW(MauKoXoa!$C$108),$B790+1))</f>
        <v/>
      </c>
      <c r="C791" s="992" t="str">
        <f t="shared" ca="1" si="126"/>
        <v/>
      </c>
      <c r="D791" s="993" t="str">
        <f t="shared" ca="1" si="127"/>
        <v/>
      </c>
      <c r="E791" s="993" t="str">
        <f t="shared" ca="1" si="128"/>
        <v/>
      </c>
      <c r="F791" s="992" t="str">
        <f t="shared" ca="1" si="136"/>
        <v/>
      </c>
      <c r="G791" s="994">
        <f t="shared" ca="1" si="129"/>
        <v>0</v>
      </c>
      <c r="H791" s="913">
        <f t="shared" ca="1" si="130"/>
        <v>0</v>
      </c>
      <c r="I791" s="913">
        <f t="shared" ca="1" si="131"/>
        <v>0</v>
      </c>
      <c r="J791" s="995">
        <f t="shared" ca="1" si="137"/>
        <v>0</v>
      </c>
      <c r="K791" s="913">
        <f t="shared" ca="1" si="132"/>
        <v>0</v>
      </c>
      <c r="L791" s="995">
        <f t="shared" ca="1" si="138"/>
        <v>0</v>
      </c>
      <c r="M791" s="913">
        <f t="shared" ca="1" si="133"/>
        <v>0</v>
      </c>
      <c r="N791" s="996">
        <f t="shared" ca="1" si="134"/>
        <v>0</v>
      </c>
      <c r="O791" s="997">
        <f t="shared" ca="1" si="135"/>
        <v>0</v>
      </c>
      <c r="P791" s="1015" t="str">
        <f ca="1">IF($C791="","",INDEX(NVLSX!$N$2:$N$6941,MATCH($C791,NVLSX!$E$2:$E$6941,0)))</f>
        <v/>
      </c>
      <c r="Q791" s="1016" t="str">
        <f ca="1">IF($R791="","",IF(XKNVLSX!$X$1="",IF($P791=$V$7,$P791, IF(COUNTIFS($C$2:$C790,$C791,$E$2:$E790,$E791)&gt;=1,"",$P791)),     IF(AND(IFERROR(SEARCH($R791,XKNVLSX!$X$1,1),0)&gt;=1,$P791=$V$7),$P791, IF(OR($R791&lt;&gt;IF(IFERROR(SEARCH($R791,XKNVLSX!$X$1,1),0)&gt;=1,$R791,XKNVLSX!$X$1),COUNTIFS($C$2:$C790,$C791,$E$2:$E790,$E791,$Q$2:$Q790,$P791)&gt;=1),"",$P791))))</f>
        <v/>
      </c>
      <c r="R791" s="1017" t="str">
        <f ca="1">IF($A791="","",IFERROR(INDEX(TinhGia!$BF$10:$BF$81,MATCH($A791,TinhGia!$B$10:$B$81,0)),""))</f>
        <v/>
      </c>
      <c r="S791" s="1012" t="str">
        <f ca="1">IF($A791="","",IF(OR(IFERROR(SEARCH($R791,XKNVLSX!$X$1,1),0)&gt;=1,XKNVLSX!$X$1=""),$S$2,""))</f>
        <v/>
      </c>
      <c r="T791" s="1018" t="str">
        <f ca="1">IF($C791="","", IF(OR($P791=$V$1,$P791=$V$7,COUNTIFS($C$3:$C791,$C791,$E$3:$E791,$E791)&lt;=1),$P791,""    ))</f>
        <v/>
      </c>
      <c r="U791" s="1019" t="str">
        <f ca="1">IF(AND($P791=$V$2,COUNTIFS($C$3:$C791,$C791,$E$3:$E791,$E791,$G$3:$G791,$G791)&lt;=1),$P791,"")</f>
        <v/>
      </c>
    </row>
    <row r="792" spans="1:21">
      <c r="A792" s="991" t="str">
        <f ca="1">IFERROR(IF(COUNTIF($A$3:A791,A791)&lt; INDEX(TinhGia!$BH$10:$BH$81,MATCH($A791,TinhGia!$B$10:$B$81,0)),$A791,INDEX(TinhGia!$B$10:$B$81,MATCH($A791,TinhGia!$B$10:$B$81,0)+1)),"")</f>
        <v/>
      </c>
      <c r="B792" s="525" t="str">
        <f ca="1">IF(OR(A792="",A792=0),"",IF(COUNTIF($A$2:A792,$A792)=1,ROW(MauKoXoa!$C$108),$B791+1))</f>
        <v/>
      </c>
      <c r="C792" s="992" t="str">
        <f t="shared" ca="1" si="126"/>
        <v/>
      </c>
      <c r="D792" s="993" t="str">
        <f t="shared" ca="1" si="127"/>
        <v/>
      </c>
      <c r="E792" s="993" t="str">
        <f t="shared" ca="1" si="128"/>
        <v/>
      </c>
      <c r="F792" s="992" t="str">
        <f t="shared" ca="1" si="136"/>
        <v/>
      </c>
      <c r="G792" s="994">
        <f t="shared" ca="1" si="129"/>
        <v>0</v>
      </c>
      <c r="H792" s="913">
        <f t="shared" ca="1" si="130"/>
        <v>0</v>
      </c>
      <c r="I792" s="913">
        <f t="shared" ca="1" si="131"/>
        <v>0</v>
      </c>
      <c r="J792" s="995">
        <f t="shared" ca="1" si="137"/>
        <v>0</v>
      </c>
      <c r="K792" s="913">
        <f t="shared" ca="1" si="132"/>
        <v>0</v>
      </c>
      <c r="L792" s="995">
        <f t="shared" ca="1" si="138"/>
        <v>0</v>
      </c>
      <c r="M792" s="913">
        <f t="shared" ca="1" si="133"/>
        <v>0</v>
      </c>
      <c r="N792" s="996">
        <f t="shared" ca="1" si="134"/>
        <v>0</v>
      </c>
      <c r="O792" s="997">
        <f t="shared" ca="1" si="135"/>
        <v>0</v>
      </c>
      <c r="P792" s="1015" t="str">
        <f ca="1">IF($C792="","",INDEX(NVLSX!$N$2:$N$6941,MATCH($C792,NVLSX!$E$2:$E$6941,0)))</f>
        <v/>
      </c>
      <c r="Q792" s="1016" t="str">
        <f ca="1">IF($R792="","",IF(XKNVLSX!$X$1="",IF($P792=$V$7,$P792, IF(COUNTIFS($C$2:$C791,$C792,$E$2:$E791,$E792)&gt;=1,"",$P792)),     IF(AND(IFERROR(SEARCH($R792,XKNVLSX!$X$1,1),0)&gt;=1,$P792=$V$7),$P792, IF(OR($R792&lt;&gt;IF(IFERROR(SEARCH($R792,XKNVLSX!$X$1,1),0)&gt;=1,$R792,XKNVLSX!$X$1),COUNTIFS($C$2:$C791,$C792,$E$2:$E791,$E792,$Q$2:$Q791,$P792)&gt;=1),"",$P792))))</f>
        <v/>
      </c>
      <c r="R792" s="1017" t="str">
        <f ca="1">IF($A792="","",IFERROR(INDEX(TinhGia!$BF$10:$BF$81,MATCH($A792,TinhGia!$B$10:$B$81,0)),""))</f>
        <v/>
      </c>
      <c r="S792" s="1012" t="str">
        <f ca="1">IF($A792="","",IF(OR(IFERROR(SEARCH($R792,XKNVLSX!$X$1,1),0)&gt;=1,XKNVLSX!$X$1=""),$S$2,""))</f>
        <v/>
      </c>
      <c r="T792" s="1018" t="str">
        <f ca="1">IF($C792="","", IF(OR($P792=$V$1,$P792=$V$7,COUNTIFS($C$3:$C792,$C792,$E$3:$E792,$E792)&lt;=1),$P792,""    ))</f>
        <v/>
      </c>
      <c r="U792" s="1019" t="str">
        <f ca="1">IF(AND($P792=$V$2,COUNTIFS($C$3:$C792,$C792,$E$3:$E792,$E792,$G$3:$G792,$G792)&lt;=1),$P792,"")</f>
        <v/>
      </c>
    </row>
    <row r="793" spans="1:21">
      <c r="A793" s="991" t="str">
        <f ca="1">IFERROR(IF(COUNTIF($A$3:A792,A792)&lt; INDEX(TinhGia!$BH$10:$BH$81,MATCH($A792,TinhGia!$B$10:$B$81,0)),$A792,INDEX(TinhGia!$B$10:$B$81,MATCH($A792,TinhGia!$B$10:$B$81,0)+1)),"")</f>
        <v/>
      </c>
      <c r="B793" s="525" t="str">
        <f ca="1">IF(OR(A793="",A793=0),"",IF(COUNTIF($A$2:A793,$A793)=1,ROW(MauKoXoa!$C$108),$B792+1))</f>
        <v/>
      </c>
      <c r="C793" s="992" t="str">
        <f t="shared" ca="1" si="126"/>
        <v/>
      </c>
      <c r="D793" s="993" t="str">
        <f t="shared" ca="1" si="127"/>
        <v/>
      </c>
      <c r="E793" s="993" t="str">
        <f t="shared" ca="1" si="128"/>
        <v/>
      </c>
      <c r="F793" s="992" t="str">
        <f t="shared" ca="1" si="136"/>
        <v/>
      </c>
      <c r="G793" s="994">
        <f t="shared" ca="1" si="129"/>
        <v>0</v>
      </c>
      <c r="H793" s="913">
        <f t="shared" ca="1" si="130"/>
        <v>0</v>
      </c>
      <c r="I793" s="913">
        <f t="shared" ca="1" si="131"/>
        <v>0</v>
      </c>
      <c r="J793" s="995">
        <f t="shared" ca="1" si="137"/>
        <v>0</v>
      </c>
      <c r="K793" s="913">
        <f t="shared" ca="1" si="132"/>
        <v>0</v>
      </c>
      <c r="L793" s="995">
        <f t="shared" ca="1" si="138"/>
        <v>0</v>
      </c>
      <c r="M793" s="913">
        <f t="shared" ca="1" si="133"/>
        <v>0</v>
      </c>
      <c r="N793" s="996">
        <f t="shared" ca="1" si="134"/>
        <v>0</v>
      </c>
      <c r="O793" s="997">
        <f t="shared" ca="1" si="135"/>
        <v>0</v>
      </c>
      <c r="P793" s="1015" t="str">
        <f ca="1">IF($C793="","",INDEX(NVLSX!$N$2:$N$6941,MATCH($C793,NVLSX!$E$2:$E$6941,0)))</f>
        <v/>
      </c>
      <c r="Q793" s="1016" t="str">
        <f ca="1">IF($R793="","",IF(XKNVLSX!$X$1="",IF($P793=$V$7,$P793, IF(COUNTIFS($C$2:$C792,$C793,$E$2:$E792,$E793)&gt;=1,"",$P793)),     IF(AND(IFERROR(SEARCH($R793,XKNVLSX!$X$1,1),0)&gt;=1,$P793=$V$7),$P793, IF(OR($R793&lt;&gt;IF(IFERROR(SEARCH($R793,XKNVLSX!$X$1,1),0)&gt;=1,$R793,XKNVLSX!$X$1),COUNTIFS($C$2:$C792,$C793,$E$2:$E792,$E793,$Q$2:$Q792,$P793)&gt;=1),"",$P793))))</f>
        <v/>
      </c>
      <c r="R793" s="1017" t="str">
        <f ca="1">IF($A793="","",IFERROR(INDEX(TinhGia!$BF$10:$BF$81,MATCH($A793,TinhGia!$B$10:$B$81,0)),""))</f>
        <v/>
      </c>
      <c r="S793" s="1012" t="str">
        <f ca="1">IF($A793="","",IF(OR(IFERROR(SEARCH($R793,XKNVLSX!$X$1,1),0)&gt;=1,XKNVLSX!$X$1=""),$S$2,""))</f>
        <v/>
      </c>
      <c r="T793" s="1018" t="str">
        <f ca="1">IF($C793="","", IF(OR($P793=$V$1,$P793=$V$7,COUNTIFS($C$3:$C793,$C793,$E$3:$E793,$E793)&lt;=1),$P793,""    ))</f>
        <v/>
      </c>
      <c r="U793" s="1019" t="str">
        <f ca="1">IF(AND($P793=$V$2,COUNTIFS($C$3:$C793,$C793,$E$3:$E793,$E793,$G$3:$G793,$G793)&lt;=1),$P793,"")</f>
        <v/>
      </c>
    </row>
    <row r="794" spans="1:21">
      <c r="A794" s="991" t="str">
        <f ca="1">IFERROR(IF(COUNTIF($A$3:A793,A793)&lt; INDEX(TinhGia!$BH$10:$BH$81,MATCH($A793,TinhGia!$B$10:$B$81,0)),$A793,INDEX(TinhGia!$B$10:$B$81,MATCH($A793,TinhGia!$B$10:$B$81,0)+1)),"")</f>
        <v/>
      </c>
      <c r="B794" s="525" t="str">
        <f ca="1">IF(OR(A794="",A794=0),"",IF(COUNTIF($A$2:A794,$A794)=1,ROW(MauKoXoa!$C$108),$B793+1))</f>
        <v/>
      </c>
      <c r="C794" s="992" t="str">
        <f t="shared" ca="1" si="126"/>
        <v/>
      </c>
      <c r="D794" s="993" t="str">
        <f t="shared" ca="1" si="127"/>
        <v/>
      </c>
      <c r="E794" s="993" t="str">
        <f t="shared" ca="1" si="128"/>
        <v/>
      </c>
      <c r="F794" s="992" t="str">
        <f t="shared" ca="1" si="136"/>
        <v/>
      </c>
      <c r="G794" s="994">
        <f t="shared" ca="1" si="129"/>
        <v>0</v>
      </c>
      <c r="H794" s="913">
        <f t="shared" ca="1" si="130"/>
        <v>0</v>
      </c>
      <c r="I794" s="913">
        <f t="shared" ca="1" si="131"/>
        <v>0</v>
      </c>
      <c r="J794" s="995">
        <f t="shared" ca="1" si="137"/>
        <v>0</v>
      </c>
      <c r="K794" s="913">
        <f t="shared" ca="1" si="132"/>
        <v>0</v>
      </c>
      <c r="L794" s="995">
        <f t="shared" ca="1" si="138"/>
        <v>0</v>
      </c>
      <c r="M794" s="913">
        <f t="shared" ca="1" si="133"/>
        <v>0</v>
      </c>
      <c r="N794" s="996">
        <f t="shared" ca="1" si="134"/>
        <v>0</v>
      </c>
      <c r="O794" s="997">
        <f t="shared" ca="1" si="135"/>
        <v>0</v>
      </c>
      <c r="P794" s="1015" t="str">
        <f ca="1">IF($C794="","",INDEX(NVLSX!$N$2:$N$6941,MATCH($C794,NVLSX!$E$2:$E$6941,0)))</f>
        <v/>
      </c>
      <c r="Q794" s="1016" t="str">
        <f ca="1">IF($R794="","",IF(XKNVLSX!$X$1="",IF($P794=$V$7,$P794, IF(COUNTIFS($C$2:$C793,$C794,$E$2:$E793,$E794)&gt;=1,"",$P794)),     IF(AND(IFERROR(SEARCH($R794,XKNVLSX!$X$1,1),0)&gt;=1,$P794=$V$7),$P794, IF(OR($R794&lt;&gt;IF(IFERROR(SEARCH($R794,XKNVLSX!$X$1,1),0)&gt;=1,$R794,XKNVLSX!$X$1),COUNTIFS($C$2:$C793,$C794,$E$2:$E793,$E794,$Q$2:$Q793,$P794)&gt;=1),"",$P794))))</f>
        <v/>
      </c>
      <c r="R794" s="1017" t="str">
        <f ca="1">IF($A794="","",IFERROR(INDEX(TinhGia!$BF$10:$BF$81,MATCH($A794,TinhGia!$B$10:$B$81,0)),""))</f>
        <v/>
      </c>
      <c r="S794" s="1012" t="str">
        <f ca="1">IF($A794="","",IF(OR(IFERROR(SEARCH($R794,XKNVLSX!$X$1,1),0)&gt;=1,XKNVLSX!$X$1=""),$S$2,""))</f>
        <v/>
      </c>
      <c r="T794" s="1018" t="str">
        <f ca="1">IF($C794="","", IF(OR($P794=$V$1,$P794=$V$7,COUNTIFS($C$3:$C794,$C794,$E$3:$E794,$E794)&lt;=1),$P794,""    ))</f>
        <v/>
      </c>
      <c r="U794" s="1019" t="str">
        <f ca="1">IF(AND($P794=$V$2,COUNTIFS($C$3:$C794,$C794,$E$3:$E794,$E794,$G$3:$G794,$G794)&lt;=1),$P794,"")</f>
        <v/>
      </c>
    </row>
    <row r="795" spans="1:21">
      <c r="A795" s="991" t="str">
        <f ca="1">IFERROR(IF(COUNTIF($A$3:A794,A794)&lt; INDEX(TinhGia!$BH$10:$BH$81,MATCH($A794,TinhGia!$B$10:$B$81,0)),$A794,INDEX(TinhGia!$B$10:$B$81,MATCH($A794,TinhGia!$B$10:$B$81,0)+1)),"")</f>
        <v/>
      </c>
      <c r="B795" s="525" t="str">
        <f ca="1">IF(OR(A795="",A795=0),"",IF(COUNTIF($A$2:A795,$A795)=1,ROW(MauKoXoa!$C$108),$B794+1))</f>
        <v/>
      </c>
      <c r="C795" s="992" t="str">
        <f t="shared" ca="1" si="126"/>
        <v/>
      </c>
      <c r="D795" s="993" t="str">
        <f t="shared" ca="1" si="127"/>
        <v/>
      </c>
      <c r="E795" s="993" t="str">
        <f t="shared" ca="1" si="128"/>
        <v/>
      </c>
      <c r="F795" s="992" t="str">
        <f t="shared" ca="1" si="136"/>
        <v/>
      </c>
      <c r="G795" s="994">
        <f t="shared" ca="1" si="129"/>
        <v>0</v>
      </c>
      <c r="H795" s="913">
        <f t="shared" ca="1" si="130"/>
        <v>0</v>
      </c>
      <c r="I795" s="913">
        <f t="shared" ca="1" si="131"/>
        <v>0</v>
      </c>
      <c r="J795" s="995">
        <f t="shared" ca="1" si="137"/>
        <v>0</v>
      </c>
      <c r="K795" s="913">
        <f t="shared" ca="1" si="132"/>
        <v>0</v>
      </c>
      <c r="L795" s="995">
        <f t="shared" ca="1" si="138"/>
        <v>0</v>
      </c>
      <c r="M795" s="913">
        <f t="shared" ca="1" si="133"/>
        <v>0</v>
      </c>
      <c r="N795" s="996">
        <f t="shared" ca="1" si="134"/>
        <v>0</v>
      </c>
      <c r="O795" s="997">
        <f t="shared" ca="1" si="135"/>
        <v>0</v>
      </c>
      <c r="P795" s="1015" t="str">
        <f ca="1">IF($C795="","",INDEX(NVLSX!$N$2:$N$6941,MATCH($C795,NVLSX!$E$2:$E$6941,0)))</f>
        <v/>
      </c>
      <c r="Q795" s="1016" t="str">
        <f ca="1">IF($R795="","",IF(XKNVLSX!$X$1="",IF($P795=$V$7,$P795, IF(COUNTIFS($C$2:$C794,$C795,$E$2:$E794,$E795)&gt;=1,"",$P795)),     IF(AND(IFERROR(SEARCH($R795,XKNVLSX!$X$1,1),0)&gt;=1,$P795=$V$7),$P795, IF(OR($R795&lt;&gt;IF(IFERROR(SEARCH($R795,XKNVLSX!$X$1,1),0)&gt;=1,$R795,XKNVLSX!$X$1),COUNTIFS($C$2:$C794,$C795,$E$2:$E794,$E795,$Q$2:$Q794,$P795)&gt;=1),"",$P795))))</f>
        <v/>
      </c>
      <c r="R795" s="1017" t="str">
        <f ca="1">IF($A795="","",IFERROR(INDEX(TinhGia!$BF$10:$BF$81,MATCH($A795,TinhGia!$B$10:$B$81,0)),""))</f>
        <v/>
      </c>
      <c r="S795" s="1012" t="str">
        <f ca="1">IF($A795="","",IF(OR(IFERROR(SEARCH($R795,XKNVLSX!$X$1,1),0)&gt;=1,XKNVLSX!$X$1=""),$S$2,""))</f>
        <v/>
      </c>
      <c r="T795" s="1018" t="str">
        <f ca="1">IF($C795="","", IF(OR($P795=$V$1,$P795=$V$7,COUNTIFS($C$3:$C795,$C795,$E$3:$E795,$E795)&lt;=1),$P795,""    ))</f>
        <v/>
      </c>
      <c r="U795" s="1019" t="str">
        <f ca="1">IF(AND($P795=$V$2,COUNTIFS($C$3:$C795,$C795,$E$3:$E795,$E795,$G$3:$G795,$G795)&lt;=1),$P795,"")</f>
        <v/>
      </c>
    </row>
    <row r="796" spans="1:21">
      <c r="A796" s="991" t="str">
        <f ca="1">IFERROR(IF(COUNTIF($A$3:A795,A795)&lt; INDEX(TinhGia!$BH$10:$BH$81,MATCH($A795,TinhGia!$B$10:$B$81,0)),$A795,INDEX(TinhGia!$B$10:$B$81,MATCH($A795,TinhGia!$B$10:$B$81,0)+1)),"")</f>
        <v/>
      </c>
      <c r="B796" s="525" t="str">
        <f ca="1">IF(OR(A796="",A796=0),"",IF(COUNTIF($A$2:A796,$A796)=1,ROW(MauKoXoa!$C$108),$B795+1))</f>
        <v/>
      </c>
      <c r="C796" s="992" t="str">
        <f t="shared" ca="1" si="126"/>
        <v/>
      </c>
      <c r="D796" s="993" t="str">
        <f t="shared" ca="1" si="127"/>
        <v/>
      </c>
      <c r="E796" s="993" t="str">
        <f t="shared" ca="1" si="128"/>
        <v/>
      </c>
      <c r="F796" s="992" t="str">
        <f t="shared" ca="1" si="136"/>
        <v/>
      </c>
      <c r="G796" s="994">
        <f t="shared" ca="1" si="129"/>
        <v>0</v>
      </c>
      <c r="H796" s="913">
        <f t="shared" ca="1" si="130"/>
        <v>0</v>
      </c>
      <c r="I796" s="913">
        <f t="shared" ca="1" si="131"/>
        <v>0</v>
      </c>
      <c r="J796" s="995">
        <f t="shared" ca="1" si="137"/>
        <v>0</v>
      </c>
      <c r="K796" s="913">
        <f t="shared" ca="1" si="132"/>
        <v>0</v>
      </c>
      <c r="L796" s="995">
        <f t="shared" ca="1" si="138"/>
        <v>0</v>
      </c>
      <c r="M796" s="913">
        <f t="shared" ca="1" si="133"/>
        <v>0</v>
      </c>
      <c r="N796" s="996">
        <f t="shared" ca="1" si="134"/>
        <v>0</v>
      </c>
      <c r="O796" s="997">
        <f t="shared" ca="1" si="135"/>
        <v>0</v>
      </c>
      <c r="P796" s="1015" t="str">
        <f ca="1">IF($C796="","",INDEX(NVLSX!$N$2:$N$6941,MATCH($C796,NVLSX!$E$2:$E$6941,0)))</f>
        <v/>
      </c>
      <c r="Q796" s="1016" t="str">
        <f ca="1">IF($R796="","",IF(XKNVLSX!$X$1="",IF($P796=$V$7,$P796, IF(COUNTIFS($C$2:$C795,$C796,$E$2:$E795,$E796)&gt;=1,"",$P796)),     IF(AND(IFERROR(SEARCH($R796,XKNVLSX!$X$1,1),0)&gt;=1,$P796=$V$7),$P796, IF(OR($R796&lt;&gt;IF(IFERROR(SEARCH($R796,XKNVLSX!$X$1,1),0)&gt;=1,$R796,XKNVLSX!$X$1),COUNTIFS($C$2:$C795,$C796,$E$2:$E795,$E796,$Q$2:$Q795,$P796)&gt;=1),"",$P796))))</f>
        <v/>
      </c>
      <c r="R796" s="1017" t="str">
        <f ca="1">IF($A796="","",IFERROR(INDEX(TinhGia!$BF$10:$BF$81,MATCH($A796,TinhGia!$B$10:$B$81,0)),""))</f>
        <v/>
      </c>
      <c r="S796" s="1012" t="str">
        <f ca="1">IF($A796="","",IF(OR(IFERROR(SEARCH($R796,XKNVLSX!$X$1,1),0)&gt;=1,XKNVLSX!$X$1=""),$S$2,""))</f>
        <v/>
      </c>
      <c r="T796" s="1018" t="str">
        <f ca="1">IF($C796="","", IF(OR($P796=$V$1,$P796=$V$7,COUNTIFS($C$3:$C796,$C796,$E$3:$E796,$E796)&lt;=1),$P796,""    ))</f>
        <v/>
      </c>
      <c r="U796" s="1019" t="str">
        <f ca="1">IF(AND($P796=$V$2,COUNTIFS($C$3:$C796,$C796,$E$3:$E796,$E796,$G$3:$G796,$G796)&lt;=1),$P796,"")</f>
        <v/>
      </c>
    </row>
    <row r="797" spans="1:21">
      <c r="A797" s="991" t="str">
        <f ca="1">IFERROR(IF(COUNTIF($A$3:A796,A796)&lt; INDEX(TinhGia!$BH$10:$BH$81,MATCH($A796,TinhGia!$B$10:$B$81,0)),$A796,INDEX(TinhGia!$B$10:$B$81,MATCH($A796,TinhGia!$B$10:$B$81,0)+1)),"")</f>
        <v/>
      </c>
      <c r="B797" s="525" t="str">
        <f ca="1">IF(OR(A797="",A797=0),"",IF(COUNTIF($A$2:A797,$A797)=1,ROW(MauKoXoa!$C$108),$B796+1))</f>
        <v/>
      </c>
      <c r="C797" s="992" t="str">
        <f t="shared" ca="1" si="126"/>
        <v/>
      </c>
      <c r="D797" s="993" t="str">
        <f t="shared" ca="1" si="127"/>
        <v/>
      </c>
      <c r="E797" s="993" t="str">
        <f t="shared" ca="1" si="128"/>
        <v/>
      </c>
      <c r="F797" s="992" t="str">
        <f t="shared" ca="1" si="136"/>
        <v/>
      </c>
      <c r="G797" s="994">
        <f t="shared" ca="1" si="129"/>
        <v>0</v>
      </c>
      <c r="H797" s="913">
        <f t="shared" ca="1" si="130"/>
        <v>0</v>
      </c>
      <c r="I797" s="913">
        <f t="shared" ca="1" si="131"/>
        <v>0</v>
      </c>
      <c r="J797" s="995">
        <f t="shared" ca="1" si="137"/>
        <v>0</v>
      </c>
      <c r="K797" s="913">
        <f t="shared" ca="1" si="132"/>
        <v>0</v>
      </c>
      <c r="L797" s="995">
        <f t="shared" ca="1" si="138"/>
        <v>0</v>
      </c>
      <c r="M797" s="913">
        <f t="shared" ca="1" si="133"/>
        <v>0</v>
      </c>
      <c r="N797" s="996">
        <f t="shared" ca="1" si="134"/>
        <v>0</v>
      </c>
      <c r="O797" s="997">
        <f t="shared" ca="1" si="135"/>
        <v>0</v>
      </c>
      <c r="P797" s="1015" t="str">
        <f ca="1">IF($C797="","",INDEX(NVLSX!$N$2:$N$6941,MATCH($C797,NVLSX!$E$2:$E$6941,0)))</f>
        <v/>
      </c>
      <c r="Q797" s="1016" t="str">
        <f ca="1">IF($R797="","",IF(XKNVLSX!$X$1="",IF($P797=$V$7,$P797, IF(COUNTIFS($C$2:$C796,$C797,$E$2:$E796,$E797)&gt;=1,"",$P797)),     IF(AND(IFERROR(SEARCH($R797,XKNVLSX!$X$1,1),0)&gt;=1,$P797=$V$7),$P797, IF(OR($R797&lt;&gt;IF(IFERROR(SEARCH($R797,XKNVLSX!$X$1,1),0)&gt;=1,$R797,XKNVLSX!$X$1),COUNTIFS($C$2:$C796,$C797,$E$2:$E796,$E797,$Q$2:$Q796,$P797)&gt;=1),"",$P797))))</f>
        <v/>
      </c>
      <c r="R797" s="1017" t="str">
        <f ca="1">IF($A797="","",IFERROR(INDEX(TinhGia!$BF$10:$BF$81,MATCH($A797,TinhGia!$B$10:$B$81,0)),""))</f>
        <v/>
      </c>
      <c r="S797" s="1012" t="str">
        <f ca="1">IF($A797="","",IF(OR(IFERROR(SEARCH($R797,XKNVLSX!$X$1,1),0)&gt;=1,XKNVLSX!$X$1=""),$S$2,""))</f>
        <v/>
      </c>
      <c r="T797" s="1018" t="str">
        <f ca="1">IF($C797="","", IF(OR($P797=$V$1,$P797=$V$7,COUNTIFS($C$3:$C797,$C797,$E$3:$E797,$E797)&lt;=1),$P797,""    ))</f>
        <v/>
      </c>
      <c r="U797" s="1019" t="str">
        <f ca="1">IF(AND($P797=$V$2,COUNTIFS($C$3:$C797,$C797,$E$3:$E797,$E797,$G$3:$G797,$G797)&lt;=1),$P797,"")</f>
        <v/>
      </c>
    </row>
    <row r="798" spans="1:21">
      <c r="A798" s="991" t="str">
        <f ca="1">IFERROR(IF(COUNTIF($A$3:A797,A797)&lt; INDEX(TinhGia!$BH$10:$BH$81,MATCH($A797,TinhGia!$B$10:$B$81,0)),$A797,INDEX(TinhGia!$B$10:$B$81,MATCH($A797,TinhGia!$B$10:$B$81,0)+1)),"")</f>
        <v/>
      </c>
      <c r="B798" s="525" t="str">
        <f ca="1">IF(OR(A798="",A798=0),"",IF(COUNTIF($A$2:A798,$A798)=1,ROW(MauKoXoa!$C$108),$B797+1))</f>
        <v/>
      </c>
      <c r="C798" s="992" t="str">
        <f t="shared" ca="1" si="126"/>
        <v/>
      </c>
      <c r="D798" s="993" t="str">
        <f t="shared" ca="1" si="127"/>
        <v/>
      </c>
      <c r="E798" s="993" t="str">
        <f t="shared" ca="1" si="128"/>
        <v/>
      </c>
      <c r="F798" s="992" t="str">
        <f t="shared" ca="1" si="136"/>
        <v/>
      </c>
      <c r="G798" s="994">
        <f t="shared" ca="1" si="129"/>
        <v>0</v>
      </c>
      <c r="H798" s="913">
        <f t="shared" ca="1" si="130"/>
        <v>0</v>
      </c>
      <c r="I798" s="913">
        <f t="shared" ca="1" si="131"/>
        <v>0</v>
      </c>
      <c r="J798" s="995">
        <f t="shared" ca="1" si="137"/>
        <v>0</v>
      </c>
      <c r="K798" s="913">
        <f t="shared" ca="1" si="132"/>
        <v>0</v>
      </c>
      <c r="L798" s="995">
        <f t="shared" ca="1" si="138"/>
        <v>0</v>
      </c>
      <c r="M798" s="913">
        <f t="shared" ca="1" si="133"/>
        <v>0</v>
      </c>
      <c r="N798" s="996">
        <f t="shared" ca="1" si="134"/>
        <v>0</v>
      </c>
      <c r="O798" s="997">
        <f t="shared" ca="1" si="135"/>
        <v>0</v>
      </c>
      <c r="P798" s="1015" t="str">
        <f ca="1">IF($C798="","",INDEX(NVLSX!$N$2:$N$6941,MATCH($C798,NVLSX!$E$2:$E$6941,0)))</f>
        <v/>
      </c>
      <c r="Q798" s="1016" t="str">
        <f ca="1">IF($R798="","",IF(XKNVLSX!$X$1="",IF($P798=$V$7,$P798, IF(COUNTIFS($C$2:$C797,$C798,$E$2:$E797,$E798)&gt;=1,"",$P798)),     IF(AND(IFERROR(SEARCH($R798,XKNVLSX!$X$1,1),0)&gt;=1,$P798=$V$7),$P798, IF(OR($R798&lt;&gt;IF(IFERROR(SEARCH($R798,XKNVLSX!$X$1,1),0)&gt;=1,$R798,XKNVLSX!$X$1),COUNTIFS($C$2:$C797,$C798,$E$2:$E797,$E798,$Q$2:$Q797,$P798)&gt;=1),"",$P798))))</f>
        <v/>
      </c>
      <c r="R798" s="1017" t="str">
        <f ca="1">IF($A798="","",IFERROR(INDEX(TinhGia!$BF$10:$BF$81,MATCH($A798,TinhGia!$B$10:$B$81,0)),""))</f>
        <v/>
      </c>
      <c r="S798" s="1012" t="str">
        <f ca="1">IF($A798="","",IF(OR(IFERROR(SEARCH($R798,XKNVLSX!$X$1,1),0)&gt;=1,XKNVLSX!$X$1=""),$S$2,""))</f>
        <v/>
      </c>
      <c r="T798" s="1018" t="str">
        <f ca="1">IF($C798="","", IF(OR($P798=$V$1,$P798=$V$7,COUNTIFS($C$3:$C798,$C798,$E$3:$E798,$E798)&lt;=1),$P798,""    ))</f>
        <v/>
      </c>
      <c r="U798" s="1019" t="str">
        <f ca="1">IF(AND($P798=$V$2,COUNTIFS($C$3:$C798,$C798,$E$3:$E798,$E798,$G$3:$G798,$G798)&lt;=1),$P798,"")</f>
        <v/>
      </c>
    </row>
    <row r="799" spans="1:21">
      <c r="A799" s="991" t="str">
        <f ca="1">IFERROR(IF(COUNTIF($A$3:A798,A798)&lt; INDEX(TinhGia!$BH$10:$BH$81,MATCH($A798,TinhGia!$B$10:$B$81,0)),$A798,INDEX(TinhGia!$B$10:$B$81,MATCH($A798,TinhGia!$B$10:$B$81,0)+1)),"")</f>
        <v/>
      </c>
      <c r="B799" s="525" t="str">
        <f ca="1">IF(OR(A799="",A799=0),"",IF(COUNTIF($A$2:A799,$A799)=1,ROW(MauKoXoa!$C$108),$B798+1))</f>
        <v/>
      </c>
      <c r="C799" s="992" t="str">
        <f t="shared" ca="1" si="126"/>
        <v/>
      </c>
      <c r="D799" s="993" t="str">
        <f t="shared" ca="1" si="127"/>
        <v/>
      </c>
      <c r="E799" s="993" t="str">
        <f t="shared" ca="1" si="128"/>
        <v/>
      </c>
      <c r="F799" s="992" t="str">
        <f t="shared" ca="1" si="136"/>
        <v/>
      </c>
      <c r="G799" s="994">
        <f t="shared" ca="1" si="129"/>
        <v>0</v>
      </c>
      <c r="H799" s="913">
        <f t="shared" ca="1" si="130"/>
        <v>0</v>
      </c>
      <c r="I799" s="913">
        <f t="shared" ca="1" si="131"/>
        <v>0</v>
      </c>
      <c r="J799" s="995">
        <f t="shared" ca="1" si="137"/>
        <v>0</v>
      </c>
      <c r="K799" s="913">
        <f t="shared" ca="1" si="132"/>
        <v>0</v>
      </c>
      <c r="L799" s="995">
        <f t="shared" ca="1" si="138"/>
        <v>0</v>
      </c>
      <c r="M799" s="913">
        <f t="shared" ca="1" si="133"/>
        <v>0</v>
      </c>
      <c r="N799" s="996">
        <f t="shared" ca="1" si="134"/>
        <v>0</v>
      </c>
      <c r="O799" s="997">
        <f t="shared" ca="1" si="135"/>
        <v>0</v>
      </c>
      <c r="P799" s="1015" t="str">
        <f ca="1">IF($C799="","",INDEX(NVLSX!$N$2:$N$6941,MATCH($C799,NVLSX!$E$2:$E$6941,0)))</f>
        <v/>
      </c>
      <c r="Q799" s="1016" t="str">
        <f ca="1">IF($R799="","",IF(XKNVLSX!$X$1="",IF($P799=$V$7,$P799, IF(COUNTIFS($C$2:$C798,$C799,$E$2:$E798,$E799)&gt;=1,"",$P799)),     IF(AND(IFERROR(SEARCH($R799,XKNVLSX!$X$1,1),0)&gt;=1,$P799=$V$7),$P799, IF(OR($R799&lt;&gt;IF(IFERROR(SEARCH($R799,XKNVLSX!$X$1,1),0)&gt;=1,$R799,XKNVLSX!$X$1),COUNTIFS($C$2:$C798,$C799,$E$2:$E798,$E799,$Q$2:$Q798,$P799)&gt;=1),"",$P799))))</f>
        <v/>
      </c>
      <c r="R799" s="1017" t="str">
        <f ca="1">IF($A799="","",IFERROR(INDEX(TinhGia!$BF$10:$BF$81,MATCH($A799,TinhGia!$B$10:$B$81,0)),""))</f>
        <v/>
      </c>
      <c r="S799" s="1012" t="str">
        <f ca="1">IF($A799="","",IF(OR(IFERROR(SEARCH($R799,XKNVLSX!$X$1,1),0)&gt;=1,XKNVLSX!$X$1=""),$S$2,""))</f>
        <v/>
      </c>
      <c r="T799" s="1018" t="str">
        <f ca="1">IF($C799="","", IF(OR($P799=$V$1,$P799=$V$7,COUNTIFS($C$3:$C799,$C799,$E$3:$E799,$E799)&lt;=1),$P799,""    ))</f>
        <v/>
      </c>
      <c r="U799" s="1019" t="str">
        <f ca="1">IF(AND($P799=$V$2,COUNTIFS($C$3:$C799,$C799,$E$3:$E799,$E799,$G$3:$G799,$G799)&lt;=1),$P799,"")</f>
        <v/>
      </c>
    </row>
    <row r="800" spans="1:21">
      <c r="A800" s="991" t="str">
        <f ca="1">IFERROR(IF(COUNTIF($A$3:A799,A799)&lt; INDEX(TinhGia!$BH$10:$BH$81,MATCH($A799,TinhGia!$B$10:$B$81,0)),$A799,INDEX(TinhGia!$B$10:$B$81,MATCH($A799,TinhGia!$B$10:$B$81,0)+1)),"")</f>
        <v/>
      </c>
      <c r="B800" s="525" t="str">
        <f ca="1">IF(OR(A800="",A800=0),"",IF(COUNTIF($A$2:A800,$A800)=1,ROW(MauKoXoa!$C$108),$B799+1))</f>
        <v/>
      </c>
      <c r="C800" s="992" t="str">
        <f t="shared" ca="1" si="126"/>
        <v/>
      </c>
      <c r="D800" s="993" t="str">
        <f t="shared" ca="1" si="127"/>
        <v/>
      </c>
      <c r="E800" s="993" t="str">
        <f t="shared" ca="1" si="128"/>
        <v/>
      </c>
      <c r="F800" s="992" t="str">
        <f t="shared" ca="1" si="136"/>
        <v/>
      </c>
      <c r="G800" s="994">
        <f t="shared" ca="1" si="129"/>
        <v>0</v>
      </c>
      <c r="H800" s="913">
        <f t="shared" ca="1" si="130"/>
        <v>0</v>
      </c>
      <c r="I800" s="913">
        <f t="shared" ca="1" si="131"/>
        <v>0</v>
      </c>
      <c r="J800" s="995">
        <f t="shared" ca="1" si="137"/>
        <v>0</v>
      </c>
      <c r="K800" s="913">
        <f t="shared" ca="1" si="132"/>
        <v>0</v>
      </c>
      <c r="L800" s="995">
        <f t="shared" ca="1" si="138"/>
        <v>0</v>
      </c>
      <c r="M800" s="913">
        <f t="shared" ca="1" si="133"/>
        <v>0</v>
      </c>
      <c r="N800" s="996">
        <f t="shared" ca="1" si="134"/>
        <v>0</v>
      </c>
      <c r="O800" s="997">
        <f t="shared" ca="1" si="135"/>
        <v>0</v>
      </c>
      <c r="P800" s="1015" t="str">
        <f ca="1">IF($C800="","",INDEX(NVLSX!$N$2:$N$6941,MATCH($C800,NVLSX!$E$2:$E$6941,0)))</f>
        <v/>
      </c>
      <c r="Q800" s="1016" t="str">
        <f ca="1">IF($R800="","",IF(XKNVLSX!$X$1="",IF($P800=$V$7,$P800, IF(COUNTIFS($C$2:$C799,$C800,$E$2:$E799,$E800)&gt;=1,"",$P800)),     IF(AND(IFERROR(SEARCH($R800,XKNVLSX!$X$1,1),0)&gt;=1,$P800=$V$7),$P800, IF(OR($R800&lt;&gt;IF(IFERROR(SEARCH($R800,XKNVLSX!$X$1,1),0)&gt;=1,$R800,XKNVLSX!$X$1),COUNTIFS($C$2:$C799,$C800,$E$2:$E799,$E800,$Q$2:$Q799,$P800)&gt;=1),"",$P800))))</f>
        <v/>
      </c>
      <c r="R800" s="1017" t="str">
        <f ca="1">IF($A800="","",IFERROR(INDEX(TinhGia!$BF$10:$BF$81,MATCH($A800,TinhGia!$B$10:$B$81,0)),""))</f>
        <v/>
      </c>
      <c r="S800" s="1012" t="str">
        <f ca="1">IF($A800="","",IF(OR(IFERROR(SEARCH($R800,XKNVLSX!$X$1,1),0)&gt;=1,XKNVLSX!$X$1=""),$S$2,""))</f>
        <v/>
      </c>
      <c r="T800" s="1018" t="str">
        <f ca="1">IF($C800="","", IF(OR($P800=$V$1,$P800=$V$7,COUNTIFS($C$3:$C800,$C800,$E$3:$E800,$E800)&lt;=1),$P800,""    ))</f>
        <v/>
      </c>
      <c r="U800" s="1019" t="str">
        <f ca="1">IF(AND($P800=$V$2,COUNTIFS($C$3:$C800,$C800,$E$3:$E800,$E800,$G$3:$G800,$G800)&lt;=1),$P800,"")</f>
        <v/>
      </c>
    </row>
    <row r="801" spans="1:21">
      <c r="A801" s="991" t="str">
        <f ca="1">IFERROR(IF(COUNTIF($A$3:A800,A800)&lt; INDEX(TinhGia!$BH$10:$BH$81,MATCH($A800,TinhGia!$B$10:$B$81,0)),$A800,INDEX(TinhGia!$B$10:$B$81,MATCH($A800,TinhGia!$B$10:$B$81,0)+1)),"")</f>
        <v/>
      </c>
      <c r="B801" s="525" t="str">
        <f ca="1">IF(OR(A801="",A801=0),"",IF(COUNTIF($A$2:A801,$A801)=1,ROW(MauKoXoa!$C$108),$B800+1))</f>
        <v/>
      </c>
      <c r="C801" s="992" t="str">
        <f t="shared" ca="1" si="126"/>
        <v/>
      </c>
      <c r="D801" s="993" t="str">
        <f t="shared" ca="1" si="127"/>
        <v/>
      </c>
      <c r="E801" s="993" t="str">
        <f t="shared" ca="1" si="128"/>
        <v/>
      </c>
      <c r="F801" s="992" t="str">
        <f t="shared" ca="1" si="136"/>
        <v/>
      </c>
      <c r="G801" s="994">
        <f t="shared" ca="1" si="129"/>
        <v>0</v>
      </c>
      <c r="H801" s="913">
        <f t="shared" ca="1" si="130"/>
        <v>0</v>
      </c>
      <c r="I801" s="913">
        <f t="shared" ca="1" si="131"/>
        <v>0</v>
      </c>
      <c r="J801" s="995">
        <f t="shared" ca="1" si="137"/>
        <v>0</v>
      </c>
      <c r="K801" s="913">
        <f t="shared" ca="1" si="132"/>
        <v>0</v>
      </c>
      <c r="L801" s="995">
        <f t="shared" ca="1" si="138"/>
        <v>0</v>
      </c>
      <c r="M801" s="913">
        <f t="shared" ca="1" si="133"/>
        <v>0</v>
      </c>
      <c r="N801" s="996">
        <f t="shared" ca="1" si="134"/>
        <v>0</v>
      </c>
      <c r="O801" s="997">
        <f t="shared" ca="1" si="135"/>
        <v>0</v>
      </c>
      <c r="P801" s="1015" t="str">
        <f ca="1">IF($C801="","",INDEX(NVLSX!$N$2:$N$6941,MATCH($C801,NVLSX!$E$2:$E$6941,0)))</f>
        <v/>
      </c>
      <c r="Q801" s="1016" t="str">
        <f ca="1">IF($R801="","",IF(XKNVLSX!$X$1="",IF($P801=$V$7,$P801, IF(COUNTIFS($C$2:$C800,$C801,$E$2:$E800,$E801)&gt;=1,"",$P801)),     IF(AND(IFERROR(SEARCH($R801,XKNVLSX!$X$1,1),0)&gt;=1,$P801=$V$7),$P801, IF(OR($R801&lt;&gt;IF(IFERROR(SEARCH($R801,XKNVLSX!$X$1,1),0)&gt;=1,$R801,XKNVLSX!$X$1),COUNTIFS($C$2:$C800,$C801,$E$2:$E800,$E801,$Q$2:$Q800,$P801)&gt;=1),"",$P801))))</f>
        <v/>
      </c>
      <c r="R801" s="1017" t="str">
        <f ca="1">IF($A801="","",IFERROR(INDEX(TinhGia!$BF$10:$BF$81,MATCH($A801,TinhGia!$B$10:$B$81,0)),""))</f>
        <v/>
      </c>
      <c r="S801" s="1012" t="str">
        <f ca="1">IF($A801="","",IF(OR(IFERROR(SEARCH($R801,XKNVLSX!$X$1,1),0)&gt;=1,XKNVLSX!$X$1=""),$S$2,""))</f>
        <v/>
      </c>
      <c r="T801" s="1018" t="str">
        <f ca="1">IF($C801="","", IF(OR($P801=$V$1,$P801=$V$7,COUNTIFS($C$3:$C801,$C801,$E$3:$E801,$E801)&lt;=1),$P801,""    ))</f>
        <v/>
      </c>
      <c r="U801" s="1019" t="str">
        <f ca="1">IF(AND($P801=$V$2,COUNTIFS($C$3:$C801,$C801,$E$3:$E801,$E801,$G$3:$G801,$G801)&lt;=1),$P801,"")</f>
        <v/>
      </c>
    </row>
    <row r="802" spans="1:21">
      <c r="A802" s="991" t="str">
        <f ca="1">IFERROR(IF(COUNTIF($A$3:A801,A801)&lt; INDEX(TinhGia!$BH$10:$BH$81,MATCH($A801,TinhGia!$B$10:$B$81,0)),$A801,INDEX(TinhGia!$B$10:$B$81,MATCH($A801,TinhGia!$B$10:$B$81,0)+1)),"")</f>
        <v/>
      </c>
      <c r="B802" s="525" t="str">
        <f ca="1">IF(OR(A802="",A802=0),"",IF(COUNTIF($A$2:A802,$A802)=1,ROW(MauKoXoa!$C$108),$B801+1))</f>
        <v/>
      </c>
      <c r="C802" s="992" t="str">
        <f t="shared" ca="1" si="126"/>
        <v/>
      </c>
      <c r="D802" s="993" t="str">
        <f t="shared" ca="1" si="127"/>
        <v/>
      </c>
      <c r="E802" s="993" t="str">
        <f t="shared" ca="1" si="128"/>
        <v/>
      </c>
      <c r="F802" s="992" t="str">
        <f t="shared" ca="1" si="136"/>
        <v/>
      </c>
      <c r="G802" s="994">
        <f t="shared" ca="1" si="129"/>
        <v>0</v>
      </c>
      <c r="H802" s="913">
        <f t="shared" ca="1" si="130"/>
        <v>0</v>
      </c>
      <c r="I802" s="913">
        <f t="shared" ca="1" si="131"/>
        <v>0</v>
      </c>
      <c r="J802" s="995">
        <f t="shared" ca="1" si="137"/>
        <v>0</v>
      </c>
      <c r="K802" s="913">
        <f t="shared" ca="1" si="132"/>
        <v>0</v>
      </c>
      <c r="L802" s="995">
        <f t="shared" ca="1" si="138"/>
        <v>0</v>
      </c>
      <c r="M802" s="913">
        <f t="shared" ca="1" si="133"/>
        <v>0</v>
      </c>
      <c r="N802" s="996">
        <f t="shared" ca="1" si="134"/>
        <v>0</v>
      </c>
      <c r="O802" s="997">
        <f t="shared" ca="1" si="135"/>
        <v>0</v>
      </c>
      <c r="P802" s="1015" t="str">
        <f ca="1">IF($C802="","",INDEX(NVLSX!$N$2:$N$6941,MATCH($C802,NVLSX!$E$2:$E$6941,0)))</f>
        <v/>
      </c>
      <c r="Q802" s="1016" t="str">
        <f ca="1">IF($R802="","",IF(XKNVLSX!$X$1="",IF($P802=$V$7,$P802, IF(COUNTIFS($C$2:$C801,$C802,$E$2:$E801,$E802)&gt;=1,"",$P802)),     IF(AND(IFERROR(SEARCH($R802,XKNVLSX!$X$1,1),0)&gt;=1,$P802=$V$7),$P802, IF(OR($R802&lt;&gt;IF(IFERROR(SEARCH($R802,XKNVLSX!$X$1,1),0)&gt;=1,$R802,XKNVLSX!$X$1),COUNTIFS($C$2:$C801,$C802,$E$2:$E801,$E802,$Q$2:$Q801,$P802)&gt;=1),"",$P802))))</f>
        <v/>
      </c>
      <c r="R802" s="1017" t="str">
        <f ca="1">IF($A802="","",IFERROR(INDEX(TinhGia!$BF$10:$BF$81,MATCH($A802,TinhGia!$B$10:$B$81,0)),""))</f>
        <v/>
      </c>
      <c r="S802" s="1012" t="str">
        <f ca="1">IF($A802="","",IF(OR(IFERROR(SEARCH($R802,XKNVLSX!$X$1,1),0)&gt;=1,XKNVLSX!$X$1=""),$S$2,""))</f>
        <v/>
      </c>
      <c r="T802" s="1018" t="str">
        <f ca="1">IF($C802="","", IF(OR($P802=$V$1,$P802=$V$7,COUNTIFS($C$3:$C802,$C802,$E$3:$E802,$E802)&lt;=1),$P802,""    ))</f>
        <v/>
      </c>
      <c r="U802" s="1019" t="str">
        <f ca="1">IF(AND($P802=$V$2,COUNTIFS($C$3:$C802,$C802,$E$3:$E802,$E802,$G$3:$G802,$G802)&lt;=1),$P802,"")</f>
        <v/>
      </c>
    </row>
    <row r="803" spans="1:21">
      <c r="A803" s="991" t="str">
        <f ca="1">IFERROR(IF(COUNTIF($A$3:A802,A802)&lt; INDEX(TinhGia!$BH$10:$BH$81,MATCH($A802,TinhGia!$B$10:$B$81,0)),$A802,INDEX(TinhGia!$B$10:$B$81,MATCH($A802,TinhGia!$B$10:$B$81,0)+1)),"")</f>
        <v/>
      </c>
      <c r="B803" s="525" t="str">
        <f ca="1">IF(OR(A803="",A803=0),"",IF(COUNTIF($A$2:A803,$A803)=1,ROW(MauKoXoa!$C$108),$B802+1))</f>
        <v/>
      </c>
      <c r="C803" s="992" t="str">
        <f t="shared" ca="1" si="126"/>
        <v/>
      </c>
      <c r="D803" s="993" t="str">
        <f t="shared" ca="1" si="127"/>
        <v/>
      </c>
      <c r="E803" s="993" t="str">
        <f t="shared" ca="1" si="128"/>
        <v/>
      </c>
      <c r="F803" s="992" t="str">
        <f t="shared" ca="1" si="136"/>
        <v/>
      </c>
      <c r="G803" s="994">
        <f t="shared" ca="1" si="129"/>
        <v>0</v>
      </c>
      <c r="H803" s="913">
        <f t="shared" ca="1" si="130"/>
        <v>0</v>
      </c>
      <c r="I803" s="913">
        <f t="shared" ca="1" si="131"/>
        <v>0</v>
      </c>
      <c r="J803" s="995">
        <f t="shared" ca="1" si="137"/>
        <v>0</v>
      </c>
      <c r="K803" s="913">
        <f t="shared" ca="1" si="132"/>
        <v>0</v>
      </c>
      <c r="L803" s="995">
        <f t="shared" ca="1" si="138"/>
        <v>0</v>
      </c>
      <c r="M803" s="913">
        <f t="shared" ca="1" si="133"/>
        <v>0</v>
      </c>
      <c r="N803" s="996">
        <f t="shared" ca="1" si="134"/>
        <v>0</v>
      </c>
      <c r="O803" s="997">
        <f t="shared" ca="1" si="135"/>
        <v>0</v>
      </c>
      <c r="P803" s="1015" t="str">
        <f ca="1">IF($C803="","",INDEX(NVLSX!$N$2:$N$6941,MATCH($C803,NVLSX!$E$2:$E$6941,0)))</f>
        <v/>
      </c>
      <c r="Q803" s="1016" t="str">
        <f ca="1">IF($R803="","",IF(XKNVLSX!$X$1="",IF($P803=$V$7,$P803, IF(COUNTIFS($C$2:$C802,$C803,$E$2:$E802,$E803)&gt;=1,"",$P803)),     IF(AND(IFERROR(SEARCH($R803,XKNVLSX!$X$1,1),0)&gt;=1,$P803=$V$7),$P803, IF(OR($R803&lt;&gt;IF(IFERROR(SEARCH($R803,XKNVLSX!$X$1,1),0)&gt;=1,$R803,XKNVLSX!$X$1),COUNTIFS($C$2:$C802,$C803,$E$2:$E802,$E803,$Q$2:$Q802,$P803)&gt;=1),"",$P803))))</f>
        <v/>
      </c>
      <c r="R803" s="1017" t="str">
        <f ca="1">IF($A803="","",IFERROR(INDEX(TinhGia!$BF$10:$BF$81,MATCH($A803,TinhGia!$B$10:$B$81,0)),""))</f>
        <v/>
      </c>
      <c r="S803" s="1012" t="str">
        <f ca="1">IF($A803="","",IF(OR(IFERROR(SEARCH($R803,XKNVLSX!$X$1,1),0)&gt;=1,XKNVLSX!$X$1=""),$S$2,""))</f>
        <v/>
      </c>
      <c r="T803" s="1018" t="str">
        <f ca="1">IF($C803="","", IF(OR($P803=$V$1,$P803=$V$7,COUNTIFS($C$3:$C803,$C803,$E$3:$E803,$E803)&lt;=1),$P803,""    ))</f>
        <v/>
      </c>
      <c r="U803" s="1019" t="str">
        <f ca="1">IF(AND($P803=$V$2,COUNTIFS($C$3:$C803,$C803,$E$3:$E803,$E803,$G$3:$G803,$G803)&lt;=1),$P803,"")</f>
        <v/>
      </c>
    </row>
    <row r="804" spans="1:21">
      <c r="A804" s="991" t="str">
        <f ca="1">IFERROR(IF(COUNTIF($A$3:A803,A803)&lt; INDEX(TinhGia!$BH$10:$BH$81,MATCH($A803,TinhGia!$B$10:$B$81,0)),$A803,INDEX(TinhGia!$B$10:$B$81,MATCH($A803,TinhGia!$B$10:$B$81,0)+1)),"")</f>
        <v/>
      </c>
      <c r="B804" s="525" t="str">
        <f ca="1">IF(OR(A804="",A804=0),"",IF(COUNTIF($A$2:A804,$A804)=1,ROW(MauKoXoa!$C$108),$B803+1))</f>
        <v/>
      </c>
      <c r="C804" s="992" t="str">
        <f t="shared" ca="1" si="126"/>
        <v/>
      </c>
      <c r="D804" s="993" t="str">
        <f t="shared" ca="1" si="127"/>
        <v/>
      </c>
      <c r="E804" s="993" t="str">
        <f t="shared" ca="1" si="128"/>
        <v/>
      </c>
      <c r="F804" s="992" t="str">
        <f t="shared" ca="1" si="136"/>
        <v/>
      </c>
      <c r="G804" s="994">
        <f t="shared" ca="1" si="129"/>
        <v>0</v>
      </c>
      <c r="H804" s="913">
        <f t="shared" ca="1" si="130"/>
        <v>0</v>
      </c>
      <c r="I804" s="913">
        <f t="shared" ca="1" si="131"/>
        <v>0</v>
      </c>
      <c r="J804" s="995">
        <f t="shared" ca="1" si="137"/>
        <v>0</v>
      </c>
      <c r="K804" s="913">
        <f t="shared" ca="1" si="132"/>
        <v>0</v>
      </c>
      <c r="L804" s="995">
        <f t="shared" ca="1" si="138"/>
        <v>0</v>
      </c>
      <c r="M804" s="913">
        <f t="shared" ca="1" si="133"/>
        <v>0</v>
      </c>
      <c r="N804" s="996">
        <f t="shared" ca="1" si="134"/>
        <v>0</v>
      </c>
      <c r="O804" s="997">
        <f t="shared" ca="1" si="135"/>
        <v>0</v>
      </c>
      <c r="P804" s="1015" t="str">
        <f ca="1">IF($C804="","",INDEX(NVLSX!$N$2:$N$6941,MATCH($C804,NVLSX!$E$2:$E$6941,0)))</f>
        <v/>
      </c>
      <c r="Q804" s="1016" t="str">
        <f ca="1">IF($R804="","",IF(XKNVLSX!$X$1="",IF($P804=$V$7,$P804, IF(COUNTIFS($C$2:$C803,$C804,$E$2:$E803,$E804)&gt;=1,"",$P804)),     IF(AND(IFERROR(SEARCH($R804,XKNVLSX!$X$1,1),0)&gt;=1,$P804=$V$7),$P804, IF(OR($R804&lt;&gt;IF(IFERROR(SEARCH($R804,XKNVLSX!$X$1,1),0)&gt;=1,$R804,XKNVLSX!$X$1),COUNTIFS($C$2:$C803,$C804,$E$2:$E803,$E804,$Q$2:$Q803,$P804)&gt;=1),"",$P804))))</f>
        <v/>
      </c>
      <c r="R804" s="1017" t="str">
        <f ca="1">IF($A804="","",IFERROR(INDEX(TinhGia!$BF$10:$BF$81,MATCH($A804,TinhGia!$B$10:$B$81,0)),""))</f>
        <v/>
      </c>
      <c r="S804" s="1012" t="str">
        <f ca="1">IF($A804="","",IF(OR(IFERROR(SEARCH($R804,XKNVLSX!$X$1,1),0)&gt;=1,XKNVLSX!$X$1=""),$S$2,""))</f>
        <v/>
      </c>
      <c r="T804" s="1018" t="str">
        <f ca="1">IF($C804="","", IF(OR($P804=$V$1,$P804=$V$7,COUNTIFS($C$3:$C804,$C804,$E$3:$E804,$E804)&lt;=1),$P804,""    ))</f>
        <v/>
      </c>
      <c r="U804" s="1019" t="str">
        <f ca="1">IF(AND($P804=$V$2,COUNTIFS($C$3:$C804,$C804,$E$3:$E804,$E804,$G$3:$G804,$G804)&lt;=1),$P804,"")</f>
        <v/>
      </c>
    </row>
    <row r="805" spans="1:21">
      <c r="A805" s="991" t="str">
        <f ca="1">IFERROR(IF(COUNTIF($A$3:A804,A804)&lt; INDEX(TinhGia!$BH$10:$BH$81,MATCH($A804,TinhGia!$B$10:$B$81,0)),$A804,INDEX(TinhGia!$B$10:$B$81,MATCH($A804,TinhGia!$B$10:$B$81,0)+1)),"")</f>
        <v/>
      </c>
      <c r="B805" s="525" t="str">
        <f ca="1">IF(OR(A805="",A805=0),"",IF(COUNTIF($A$2:A805,$A805)=1,ROW(MauKoXoa!$C$108),$B804+1))</f>
        <v/>
      </c>
      <c r="C805" s="992" t="str">
        <f t="shared" ca="1" si="126"/>
        <v/>
      </c>
      <c r="D805" s="993" t="str">
        <f t="shared" ca="1" si="127"/>
        <v/>
      </c>
      <c r="E805" s="993" t="str">
        <f t="shared" ca="1" si="128"/>
        <v/>
      </c>
      <c r="F805" s="992" t="str">
        <f t="shared" ca="1" si="136"/>
        <v/>
      </c>
      <c r="G805" s="994">
        <f t="shared" ca="1" si="129"/>
        <v>0</v>
      </c>
      <c r="H805" s="913">
        <f t="shared" ca="1" si="130"/>
        <v>0</v>
      </c>
      <c r="I805" s="913">
        <f t="shared" ca="1" si="131"/>
        <v>0</v>
      </c>
      <c r="J805" s="995">
        <f t="shared" ca="1" si="137"/>
        <v>0</v>
      </c>
      <c r="K805" s="913">
        <f t="shared" ca="1" si="132"/>
        <v>0</v>
      </c>
      <c r="L805" s="995">
        <f t="shared" ca="1" si="138"/>
        <v>0</v>
      </c>
      <c r="M805" s="913">
        <f t="shared" ca="1" si="133"/>
        <v>0</v>
      </c>
      <c r="N805" s="996">
        <f t="shared" ca="1" si="134"/>
        <v>0</v>
      </c>
      <c r="O805" s="997">
        <f t="shared" ca="1" si="135"/>
        <v>0</v>
      </c>
      <c r="P805" s="1015" t="str">
        <f ca="1">IF($C805="","",INDEX(NVLSX!$N$2:$N$6941,MATCH($C805,NVLSX!$E$2:$E$6941,0)))</f>
        <v/>
      </c>
      <c r="Q805" s="1016" t="str">
        <f ca="1">IF($R805="","",IF(XKNVLSX!$X$1="",IF($P805=$V$7,$P805, IF(COUNTIFS($C$2:$C804,$C805,$E$2:$E804,$E805)&gt;=1,"",$P805)),     IF(AND(IFERROR(SEARCH($R805,XKNVLSX!$X$1,1),0)&gt;=1,$P805=$V$7),$P805, IF(OR($R805&lt;&gt;IF(IFERROR(SEARCH($R805,XKNVLSX!$X$1,1),0)&gt;=1,$R805,XKNVLSX!$X$1),COUNTIFS($C$2:$C804,$C805,$E$2:$E804,$E805,$Q$2:$Q804,$P805)&gt;=1),"",$P805))))</f>
        <v/>
      </c>
      <c r="R805" s="1017" t="str">
        <f ca="1">IF($A805="","",IFERROR(INDEX(TinhGia!$BF$10:$BF$81,MATCH($A805,TinhGia!$B$10:$B$81,0)),""))</f>
        <v/>
      </c>
      <c r="S805" s="1012" t="str">
        <f ca="1">IF($A805="","",IF(OR(IFERROR(SEARCH($R805,XKNVLSX!$X$1,1),0)&gt;=1,XKNVLSX!$X$1=""),$S$2,""))</f>
        <v/>
      </c>
      <c r="T805" s="1018" t="str">
        <f ca="1">IF($C805="","", IF(OR($P805=$V$1,$P805=$V$7,COUNTIFS($C$3:$C805,$C805,$E$3:$E805,$E805)&lt;=1),$P805,""    ))</f>
        <v/>
      </c>
      <c r="U805" s="1019" t="str">
        <f ca="1">IF(AND($P805=$V$2,COUNTIFS($C$3:$C805,$C805,$E$3:$E805,$E805,$G$3:$G805,$G805)&lt;=1),$P805,"")</f>
        <v/>
      </c>
    </row>
    <row r="806" spans="1:21">
      <c r="A806" s="991" t="str">
        <f ca="1">IFERROR(IF(COUNTIF($A$3:A805,A805)&lt; INDEX(TinhGia!$BH$10:$BH$81,MATCH($A805,TinhGia!$B$10:$B$81,0)),$A805,INDEX(TinhGia!$B$10:$B$81,MATCH($A805,TinhGia!$B$10:$B$81,0)+1)),"")</f>
        <v/>
      </c>
      <c r="B806" s="525" t="str">
        <f ca="1">IF(OR(A806="",A806=0),"",IF(COUNTIF($A$2:A806,$A806)=1,ROW(MauKoXoa!$C$108),$B805+1))</f>
        <v/>
      </c>
      <c r="C806" s="992" t="str">
        <f t="shared" ca="1" si="126"/>
        <v/>
      </c>
      <c r="D806" s="993" t="str">
        <f t="shared" ca="1" si="127"/>
        <v/>
      </c>
      <c r="E806" s="993" t="str">
        <f t="shared" ca="1" si="128"/>
        <v/>
      </c>
      <c r="F806" s="992" t="str">
        <f t="shared" ca="1" si="136"/>
        <v/>
      </c>
      <c r="G806" s="994">
        <f t="shared" ca="1" si="129"/>
        <v>0</v>
      </c>
      <c r="H806" s="913">
        <f t="shared" ca="1" si="130"/>
        <v>0</v>
      </c>
      <c r="I806" s="913">
        <f t="shared" ca="1" si="131"/>
        <v>0</v>
      </c>
      <c r="J806" s="995">
        <f t="shared" ca="1" si="137"/>
        <v>0</v>
      </c>
      <c r="K806" s="913">
        <f t="shared" ca="1" si="132"/>
        <v>0</v>
      </c>
      <c r="L806" s="995">
        <f t="shared" ca="1" si="138"/>
        <v>0</v>
      </c>
      <c r="M806" s="913">
        <f t="shared" ca="1" si="133"/>
        <v>0</v>
      </c>
      <c r="N806" s="996">
        <f t="shared" ca="1" si="134"/>
        <v>0</v>
      </c>
      <c r="O806" s="997">
        <f t="shared" ca="1" si="135"/>
        <v>0</v>
      </c>
      <c r="P806" s="1015" t="str">
        <f ca="1">IF($C806="","",INDEX(NVLSX!$N$2:$N$6941,MATCH($C806,NVLSX!$E$2:$E$6941,0)))</f>
        <v/>
      </c>
      <c r="Q806" s="1016" t="str">
        <f ca="1">IF($R806="","",IF(XKNVLSX!$X$1="",IF($P806=$V$7,$P806, IF(COUNTIFS($C$2:$C805,$C806,$E$2:$E805,$E806)&gt;=1,"",$P806)),     IF(AND(IFERROR(SEARCH($R806,XKNVLSX!$X$1,1),0)&gt;=1,$P806=$V$7),$P806, IF(OR($R806&lt;&gt;IF(IFERROR(SEARCH($R806,XKNVLSX!$X$1,1),0)&gt;=1,$R806,XKNVLSX!$X$1),COUNTIFS($C$2:$C805,$C806,$E$2:$E805,$E806,$Q$2:$Q805,$P806)&gt;=1),"",$P806))))</f>
        <v/>
      </c>
      <c r="R806" s="1017" t="str">
        <f ca="1">IF($A806="","",IFERROR(INDEX(TinhGia!$BF$10:$BF$81,MATCH($A806,TinhGia!$B$10:$B$81,0)),""))</f>
        <v/>
      </c>
      <c r="S806" s="1012" t="str">
        <f ca="1">IF($A806="","",IF(OR(IFERROR(SEARCH($R806,XKNVLSX!$X$1,1),0)&gt;=1,XKNVLSX!$X$1=""),$S$2,""))</f>
        <v/>
      </c>
      <c r="T806" s="1018" t="str">
        <f ca="1">IF($C806="","", IF(OR($P806=$V$1,$P806=$V$7,COUNTIFS($C$3:$C806,$C806,$E$3:$E806,$E806)&lt;=1),$P806,""    ))</f>
        <v/>
      </c>
      <c r="U806" s="1019" t="str">
        <f ca="1">IF(AND($P806=$V$2,COUNTIFS($C$3:$C806,$C806,$E$3:$E806,$E806,$G$3:$G806,$G806)&lt;=1),$P806,"")</f>
        <v/>
      </c>
    </row>
    <row r="807" spans="1:21">
      <c r="A807" s="991" t="str">
        <f ca="1">IFERROR(IF(COUNTIF($A$3:A806,A806)&lt; INDEX(TinhGia!$BH$10:$BH$81,MATCH($A806,TinhGia!$B$10:$B$81,0)),$A806,INDEX(TinhGia!$B$10:$B$81,MATCH($A806,TinhGia!$B$10:$B$81,0)+1)),"")</f>
        <v/>
      </c>
      <c r="B807" s="525" t="str">
        <f ca="1">IF(OR(A807="",A807=0),"",IF(COUNTIF($A$2:A807,$A807)=1,ROW(MauKoXoa!$C$108),$B806+1))</f>
        <v/>
      </c>
      <c r="C807" s="992" t="str">
        <f t="shared" ca="1" si="126"/>
        <v/>
      </c>
      <c r="D807" s="993" t="str">
        <f t="shared" ca="1" si="127"/>
        <v/>
      </c>
      <c r="E807" s="993" t="str">
        <f t="shared" ca="1" si="128"/>
        <v/>
      </c>
      <c r="F807" s="992" t="str">
        <f t="shared" ca="1" si="136"/>
        <v/>
      </c>
      <c r="G807" s="994">
        <f t="shared" ca="1" si="129"/>
        <v>0</v>
      </c>
      <c r="H807" s="913">
        <f t="shared" ca="1" si="130"/>
        <v>0</v>
      </c>
      <c r="I807" s="913">
        <f t="shared" ca="1" si="131"/>
        <v>0</v>
      </c>
      <c r="J807" s="995">
        <f t="shared" ca="1" si="137"/>
        <v>0</v>
      </c>
      <c r="K807" s="913">
        <f t="shared" ca="1" si="132"/>
        <v>0</v>
      </c>
      <c r="L807" s="995">
        <f t="shared" ca="1" si="138"/>
        <v>0</v>
      </c>
      <c r="M807" s="913">
        <f t="shared" ca="1" si="133"/>
        <v>0</v>
      </c>
      <c r="N807" s="996">
        <f t="shared" ca="1" si="134"/>
        <v>0</v>
      </c>
      <c r="O807" s="997">
        <f t="shared" ca="1" si="135"/>
        <v>0</v>
      </c>
      <c r="P807" s="1015" t="str">
        <f ca="1">IF($C807="","",INDEX(NVLSX!$N$2:$N$6941,MATCH($C807,NVLSX!$E$2:$E$6941,0)))</f>
        <v/>
      </c>
      <c r="Q807" s="1016" t="str">
        <f ca="1">IF($R807="","",IF(XKNVLSX!$X$1="",IF($P807=$V$7,$P807, IF(COUNTIFS($C$2:$C806,$C807,$E$2:$E806,$E807)&gt;=1,"",$P807)),     IF(AND(IFERROR(SEARCH($R807,XKNVLSX!$X$1,1),0)&gt;=1,$P807=$V$7),$P807, IF(OR($R807&lt;&gt;IF(IFERROR(SEARCH($R807,XKNVLSX!$X$1,1),0)&gt;=1,$R807,XKNVLSX!$X$1),COUNTIFS($C$2:$C806,$C807,$E$2:$E806,$E807,$Q$2:$Q806,$P807)&gt;=1),"",$P807))))</f>
        <v/>
      </c>
      <c r="R807" s="1017" t="str">
        <f ca="1">IF($A807="","",IFERROR(INDEX(TinhGia!$BF$10:$BF$81,MATCH($A807,TinhGia!$B$10:$B$81,0)),""))</f>
        <v/>
      </c>
      <c r="S807" s="1012" t="str">
        <f ca="1">IF($A807="","",IF(OR(IFERROR(SEARCH($R807,XKNVLSX!$X$1,1),0)&gt;=1,XKNVLSX!$X$1=""),$S$2,""))</f>
        <v/>
      </c>
      <c r="T807" s="1018" t="str">
        <f ca="1">IF($C807="","", IF(OR($P807=$V$1,$P807=$V$7,COUNTIFS($C$3:$C807,$C807,$E$3:$E807,$E807)&lt;=1),$P807,""    ))</f>
        <v/>
      </c>
      <c r="U807" s="1019" t="str">
        <f ca="1">IF(AND($P807=$V$2,COUNTIFS($C$3:$C807,$C807,$E$3:$E807,$E807,$G$3:$G807,$G807)&lt;=1),$P807,"")</f>
        <v/>
      </c>
    </row>
    <row r="808" spans="1:21">
      <c r="A808" s="991" t="str">
        <f ca="1">IFERROR(IF(COUNTIF($A$3:A807,A807)&lt; INDEX(TinhGia!$BH$10:$BH$81,MATCH($A807,TinhGia!$B$10:$B$81,0)),$A807,INDEX(TinhGia!$B$10:$B$81,MATCH($A807,TinhGia!$B$10:$B$81,0)+1)),"")</f>
        <v/>
      </c>
      <c r="B808" s="525" t="str">
        <f ca="1">IF(OR(A808="",A808=0),"",IF(COUNTIF($A$2:A808,$A808)=1,ROW(MauKoXoa!$C$108),$B807+1))</f>
        <v/>
      </c>
      <c r="C808" s="992" t="str">
        <f t="shared" ca="1" si="126"/>
        <v/>
      </c>
      <c r="D808" s="993" t="str">
        <f t="shared" ca="1" si="127"/>
        <v/>
      </c>
      <c r="E808" s="993" t="str">
        <f t="shared" ca="1" si="128"/>
        <v/>
      </c>
      <c r="F808" s="992" t="str">
        <f t="shared" ca="1" si="136"/>
        <v/>
      </c>
      <c r="G808" s="994">
        <f t="shared" ca="1" si="129"/>
        <v>0</v>
      </c>
      <c r="H808" s="913">
        <f t="shared" ca="1" si="130"/>
        <v>0</v>
      </c>
      <c r="I808" s="913">
        <f t="shared" ca="1" si="131"/>
        <v>0</v>
      </c>
      <c r="J808" s="995">
        <f t="shared" ca="1" si="137"/>
        <v>0</v>
      </c>
      <c r="K808" s="913">
        <f t="shared" ca="1" si="132"/>
        <v>0</v>
      </c>
      <c r="L808" s="995">
        <f t="shared" ca="1" si="138"/>
        <v>0</v>
      </c>
      <c r="M808" s="913">
        <f t="shared" ca="1" si="133"/>
        <v>0</v>
      </c>
      <c r="N808" s="996">
        <f t="shared" ca="1" si="134"/>
        <v>0</v>
      </c>
      <c r="O808" s="997">
        <f t="shared" ca="1" si="135"/>
        <v>0</v>
      </c>
      <c r="P808" s="1015" t="str">
        <f ca="1">IF($C808="","",INDEX(NVLSX!$N$2:$N$6941,MATCH($C808,NVLSX!$E$2:$E$6941,0)))</f>
        <v/>
      </c>
      <c r="Q808" s="1016" t="str">
        <f ca="1">IF($R808="","",IF(XKNVLSX!$X$1="",IF($P808=$V$7,$P808, IF(COUNTIFS($C$2:$C807,$C808,$E$2:$E807,$E808)&gt;=1,"",$P808)),     IF(AND(IFERROR(SEARCH($R808,XKNVLSX!$X$1,1),0)&gt;=1,$P808=$V$7),$P808, IF(OR($R808&lt;&gt;IF(IFERROR(SEARCH($R808,XKNVLSX!$X$1,1),0)&gt;=1,$R808,XKNVLSX!$X$1),COUNTIFS($C$2:$C807,$C808,$E$2:$E807,$E808,$Q$2:$Q807,$P808)&gt;=1),"",$P808))))</f>
        <v/>
      </c>
      <c r="R808" s="1017" t="str">
        <f ca="1">IF($A808="","",IFERROR(INDEX(TinhGia!$BF$10:$BF$81,MATCH($A808,TinhGia!$B$10:$B$81,0)),""))</f>
        <v/>
      </c>
      <c r="S808" s="1012" t="str">
        <f ca="1">IF($A808="","",IF(OR(IFERROR(SEARCH($R808,XKNVLSX!$X$1,1),0)&gt;=1,XKNVLSX!$X$1=""),$S$2,""))</f>
        <v/>
      </c>
      <c r="T808" s="1018" t="str">
        <f ca="1">IF($C808="","", IF(OR($P808=$V$1,$P808=$V$7,COUNTIFS($C$3:$C808,$C808,$E$3:$E808,$E808)&lt;=1),$P808,""    ))</f>
        <v/>
      </c>
      <c r="U808" s="1019" t="str">
        <f ca="1">IF(AND($P808=$V$2,COUNTIFS($C$3:$C808,$C808,$E$3:$E808,$E808,$G$3:$G808,$G808)&lt;=1),$P808,"")</f>
        <v/>
      </c>
    </row>
    <row r="809" spans="1:21">
      <c r="A809" s="991" t="str">
        <f ca="1">IFERROR(IF(COUNTIF($A$3:A808,A808)&lt; INDEX(TinhGia!$BH$10:$BH$81,MATCH($A808,TinhGia!$B$10:$B$81,0)),$A808,INDEX(TinhGia!$B$10:$B$81,MATCH($A808,TinhGia!$B$10:$B$81,0)+1)),"")</f>
        <v/>
      </c>
      <c r="B809" s="525" t="str">
        <f ca="1">IF(OR(A809="",A809=0),"",IF(COUNTIF($A$2:A809,$A809)=1,ROW(MauKoXoa!$C$108),$B808+1))</f>
        <v/>
      </c>
      <c r="C809" s="992" t="str">
        <f t="shared" ca="1" si="126"/>
        <v/>
      </c>
      <c r="D809" s="993" t="str">
        <f t="shared" ca="1" si="127"/>
        <v/>
      </c>
      <c r="E809" s="993" t="str">
        <f t="shared" ca="1" si="128"/>
        <v/>
      </c>
      <c r="F809" s="992" t="str">
        <f t="shared" ca="1" si="136"/>
        <v/>
      </c>
      <c r="G809" s="994">
        <f t="shared" ca="1" si="129"/>
        <v>0</v>
      </c>
      <c r="H809" s="913">
        <f t="shared" ca="1" si="130"/>
        <v>0</v>
      </c>
      <c r="I809" s="913">
        <f t="shared" ca="1" si="131"/>
        <v>0</v>
      </c>
      <c r="J809" s="995">
        <f t="shared" ca="1" si="137"/>
        <v>0</v>
      </c>
      <c r="K809" s="913">
        <f t="shared" ca="1" si="132"/>
        <v>0</v>
      </c>
      <c r="L809" s="995">
        <f t="shared" ca="1" si="138"/>
        <v>0</v>
      </c>
      <c r="M809" s="913">
        <f t="shared" ca="1" si="133"/>
        <v>0</v>
      </c>
      <c r="N809" s="996">
        <f t="shared" ca="1" si="134"/>
        <v>0</v>
      </c>
      <c r="O809" s="997">
        <f t="shared" ca="1" si="135"/>
        <v>0</v>
      </c>
      <c r="P809" s="1015" t="str">
        <f ca="1">IF($C809="","",INDEX(NVLSX!$N$2:$N$6941,MATCH($C809,NVLSX!$E$2:$E$6941,0)))</f>
        <v/>
      </c>
      <c r="Q809" s="1016" t="str">
        <f ca="1">IF($R809="","",IF(XKNVLSX!$X$1="",IF($P809=$V$7,$P809, IF(COUNTIFS($C$2:$C808,$C809,$E$2:$E808,$E809)&gt;=1,"",$P809)),     IF(AND(IFERROR(SEARCH($R809,XKNVLSX!$X$1,1),0)&gt;=1,$P809=$V$7),$P809, IF(OR($R809&lt;&gt;IF(IFERROR(SEARCH($R809,XKNVLSX!$X$1,1),0)&gt;=1,$R809,XKNVLSX!$X$1),COUNTIFS($C$2:$C808,$C809,$E$2:$E808,$E809,$Q$2:$Q808,$P809)&gt;=1),"",$P809))))</f>
        <v/>
      </c>
      <c r="R809" s="1017" t="str">
        <f ca="1">IF($A809="","",IFERROR(INDEX(TinhGia!$BF$10:$BF$81,MATCH($A809,TinhGia!$B$10:$B$81,0)),""))</f>
        <v/>
      </c>
      <c r="S809" s="1012" t="str">
        <f ca="1">IF($A809="","",IF(OR(IFERROR(SEARCH($R809,XKNVLSX!$X$1,1),0)&gt;=1,XKNVLSX!$X$1=""),$S$2,""))</f>
        <v/>
      </c>
      <c r="T809" s="1018" t="str">
        <f ca="1">IF($C809="","", IF(OR($P809=$V$1,$P809=$V$7,COUNTIFS($C$3:$C809,$C809,$E$3:$E809,$E809)&lt;=1),$P809,""    ))</f>
        <v/>
      </c>
      <c r="U809" s="1019" t="str">
        <f ca="1">IF(AND($P809=$V$2,COUNTIFS($C$3:$C809,$C809,$E$3:$E809,$E809,$G$3:$G809,$G809)&lt;=1),$P809,"")</f>
        <v/>
      </c>
    </row>
    <row r="810" spans="1:21">
      <c r="A810" s="991" t="str">
        <f ca="1">IFERROR(IF(COUNTIF($A$3:A809,A809)&lt; INDEX(TinhGia!$BH$10:$BH$81,MATCH($A809,TinhGia!$B$10:$B$81,0)),$A809,INDEX(TinhGia!$B$10:$B$81,MATCH($A809,TinhGia!$B$10:$B$81,0)+1)),"")</f>
        <v/>
      </c>
      <c r="B810" s="525" t="str">
        <f ca="1">IF(OR(A810="",A810=0),"",IF(COUNTIF($A$2:A810,$A810)=1,ROW(MauKoXoa!$C$108),$B809+1))</f>
        <v/>
      </c>
      <c r="C810" s="992" t="str">
        <f t="shared" ca="1" si="126"/>
        <v/>
      </c>
      <c r="D810" s="993" t="str">
        <f t="shared" ca="1" si="127"/>
        <v/>
      </c>
      <c r="E810" s="993" t="str">
        <f t="shared" ca="1" si="128"/>
        <v/>
      </c>
      <c r="F810" s="992" t="str">
        <f t="shared" ca="1" si="136"/>
        <v/>
      </c>
      <c r="G810" s="994">
        <f t="shared" ca="1" si="129"/>
        <v>0</v>
      </c>
      <c r="H810" s="913">
        <f t="shared" ca="1" si="130"/>
        <v>0</v>
      </c>
      <c r="I810" s="913">
        <f t="shared" ca="1" si="131"/>
        <v>0</v>
      </c>
      <c r="J810" s="995">
        <f t="shared" ca="1" si="137"/>
        <v>0</v>
      </c>
      <c r="K810" s="913">
        <f t="shared" ca="1" si="132"/>
        <v>0</v>
      </c>
      <c r="L810" s="995">
        <f t="shared" ca="1" si="138"/>
        <v>0</v>
      </c>
      <c r="M810" s="913">
        <f t="shared" ca="1" si="133"/>
        <v>0</v>
      </c>
      <c r="N810" s="996">
        <f t="shared" ca="1" si="134"/>
        <v>0</v>
      </c>
      <c r="O810" s="997">
        <f t="shared" ca="1" si="135"/>
        <v>0</v>
      </c>
      <c r="P810" s="1015" t="str">
        <f ca="1">IF($C810="","",INDEX(NVLSX!$N$2:$N$6941,MATCH($C810,NVLSX!$E$2:$E$6941,0)))</f>
        <v/>
      </c>
      <c r="Q810" s="1016" t="str">
        <f ca="1">IF($R810="","",IF(XKNVLSX!$X$1="",IF($P810=$V$7,$P810, IF(COUNTIFS($C$2:$C809,$C810,$E$2:$E809,$E810)&gt;=1,"",$P810)),     IF(AND(IFERROR(SEARCH($R810,XKNVLSX!$X$1,1),0)&gt;=1,$P810=$V$7),$P810, IF(OR($R810&lt;&gt;IF(IFERROR(SEARCH($R810,XKNVLSX!$X$1,1),0)&gt;=1,$R810,XKNVLSX!$X$1),COUNTIFS($C$2:$C809,$C810,$E$2:$E809,$E810,$Q$2:$Q809,$P810)&gt;=1),"",$P810))))</f>
        <v/>
      </c>
      <c r="R810" s="1017" t="str">
        <f ca="1">IF($A810="","",IFERROR(INDEX(TinhGia!$BF$10:$BF$81,MATCH($A810,TinhGia!$B$10:$B$81,0)),""))</f>
        <v/>
      </c>
      <c r="S810" s="1012" t="str">
        <f ca="1">IF($A810="","",IF(OR(IFERROR(SEARCH($R810,XKNVLSX!$X$1,1),0)&gt;=1,XKNVLSX!$X$1=""),$S$2,""))</f>
        <v/>
      </c>
      <c r="T810" s="1018" t="str">
        <f ca="1">IF($C810="","", IF(OR($P810=$V$1,$P810=$V$7,COUNTIFS($C$3:$C810,$C810,$E$3:$E810,$E810)&lt;=1),$P810,""    ))</f>
        <v/>
      </c>
      <c r="U810" s="1019" t="str">
        <f ca="1">IF(AND($P810=$V$2,COUNTIFS($C$3:$C810,$C810,$E$3:$E810,$E810,$G$3:$G810,$G810)&lt;=1),$P810,"")</f>
        <v/>
      </c>
    </row>
    <row r="811" spans="1:21">
      <c r="A811" s="991" t="str">
        <f ca="1">IFERROR(IF(COUNTIF($A$3:A810,A810)&lt; INDEX(TinhGia!$BH$10:$BH$81,MATCH($A810,TinhGia!$B$10:$B$81,0)),$A810,INDEX(TinhGia!$B$10:$B$81,MATCH($A810,TinhGia!$B$10:$B$81,0)+1)),"")</f>
        <v/>
      </c>
      <c r="B811" s="525" t="str">
        <f ca="1">IF(OR(A811="",A811=0),"",IF(COUNTIF($A$2:A811,$A811)=1,ROW(MauKoXoa!$C$108),$B810+1))</f>
        <v/>
      </c>
      <c r="C811" s="992" t="str">
        <f t="shared" ca="1" si="126"/>
        <v/>
      </c>
      <c r="D811" s="993" t="str">
        <f t="shared" ca="1" si="127"/>
        <v/>
      </c>
      <c r="E811" s="993" t="str">
        <f t="shared" ca="1" si="128"/>
        <v/>
      </c>
      <c r="F811" s="992" t="str">
        <f t="shared" ca="1" si="136"/>
        <v/>
      </c>
      <c r="G811" s="994">
        <f t="shared" ca="1" si="129"/>
        <v>0</v>
      </c>
      <c r="H811" s="913">
        <f t="shared" ca="1" si="130"/>
        <v>0</v>
      </c>
      <c r="I811" s="913">
        <f t="shared" ca="1" si="131"/>
        <v>0</v>
      </c>
      <c r="J811" s="995">
        <f t="shared" ca="1" si="137"/>
        <v>0</v>
      </c>
      <c r="K811" s="913">
        <f t="shared" ca="1" si="132"/>
        <v>0</v>
      </c>
      <c r="L811" s="995">
        <f t="shared" ca="1" si="138"/>
        <v>0</v>
      </c>
      <c r="M811" s="913">
        <f t="shared" ca="1" si="133"/>
        <v>0</v>
      </c>
      <c r="N811" s="996">
        <f t="shared" ca="1" si="134"/>
        <v>0</v>
      </c>
      <c r="O811" s="997">
        <f t="shared" ca="1" si="135"/>
        <v>0</v>
      </c>
      <c r="P811" s="1015" t="str">
        <f ca="1">IF($C811="","",INDEX(NVLSX!$N$2:$N$6941,MATCH($C811,NVLSX!$E$2:$E$6941,0)))</f>
        <v/>
      </c>
      <c r="Q811" s="1016" t="str">
        <f ca="1">IF($R811="","",IF(XKNVLSX!$X$1="",IF($P811=$V$7,$P811, IF(COUNTIFS($C$2:$C810,$C811,$E$2:$E810,$E811)&gt;=1,"",$P811)),     IF(AND(IFERROR(SEARCH($R811,XKNVLSX!$X$1,1),0)&gt;=1,$P811=$V$7),$P811, IF(OR($R811&lt;&gt;IF(IFERROR(SEARCH($R811,XKNVLSX!$X$1,1),0)&gt;=1,$R811,XKNVLSX!$X$1),COUNTIFS($C$2:$C810,$C811,$E$2:$E810,$E811,$Q$2:$Q810,$P811)&gt;=1),"",$P811))))</f>
        <v/>
      </c>
      <c r="R811" s="1017" t="str">
        <f ca="1">IF($A811="","",IFERROR(INDEX(TinhGia!$BF$10:$BF$81,MATCH($A811,TinhGia!$B$10:$B$81,0)),""))</f>
        <v/>
      </c>
      <c r="S811" s="1012" t="str">
        <f ca="1">IF($A811="","",IF(OR(IFERROR(SEARCH($R811,XKNVLSX!$X$1,1),0)&gt;=1,XKNVLSX!$X$1=""),$S$2,""))</f>
        <v/>
      </c>
      <c r="T811" s="1018" t="str">
        <f ca="1">IF($C811="","", IF(OR($P811=$V$1,$P811=$V$7,COUNTIFS($C$3:$C811,$C811,$E$3:$E811,$E811)&lt;=1),$P811,""    ))</f>
        <v/>
      </c>
      <c r="U811" s="1019" t="str">
        <f ca="1">IF(AND($P811=$V$2,COUNTIFS($C$3:$C811,$C811,$E$3:$E811,$E811,$G$3:$G811,$G811)&lt;=1),$P811,"")</f>
        <v/>
      </c>
    </row>
    <row r="812" spans="1:21">
      <c r="A812" s="991" t="str">
        <f ca="1">IFERROR(IF(COUNTIF($A$3:A811,A811)&lt; INDEX(TinhGia!$BH$10:$BH$81,MATCH($A811,TinhGia!$B$10:$B$81,0)),$A811,INDEX(TinhGia!$B$10:$B$81,MATCH($A811,TinhGia!$B$10:$B$81,0)+1)),"")</f>
        <v/>
      </c>
      <c r="B812" s="525" t="str">
        <f ca="1">IF(OR(A812="",A812=0),"",IF(COUNTIF($A$2:A812,$A812)=1,ROW(MauKoXoa!$C$108),$B811+1))</f>
        <v/>
      </c>
      <c r="C812" s="992" t="str">
        <f t="shared" ca="1" si="126"/>
        <v/>
      </c>
      <c r="D812" s="993" t="str">
        <f t="shared" ca="1" si="127"/>
        <v/>
      </c>
      <c r="E812" s="993" t="str">
        <f t="shared" ca="1" si="128"/>
        <v/>
      </c>
      <c r="F812" s="992" t="str">
        <f t="shared" ca="1" si="136"/>
        <v/>
      </c>
      <c r="G812" s="994">
        <f t="shared" ca="1" si="129"/>
        <v>0</v>
      </c>
      <c r="H812" s="913">
        <f t="shared" ca="1" si="130"/>
        <v>0</v>
      </c>
      <c r="I812" s="913">
        <f t="shared" ca="1" si="131"/>
        <v>0</v>
      </c>
      <c r="J812" s="995">
        <f t="shared" ca="1" si="137"/>
        <v>0</v>
      </c>
      <c r="K812" s="913">
        <f t="shared" ca="1" si="132"/>
        <v>0</v>
      </c>
      <c r="L812" s="995">
        <f t="shared" ca="1" si="138"/>
        <v>0</v>
      </c>
      <c r="M812" s="913">
        <f t="shared" ca="1" si="133"/>
        <v>0</v>
      </c>
      <c r="N812" s="996">
        <f t="shared" ca="1" si="134"/>
        <v>0</v>
      </c>
      <c r="O812" s="997">
        <f t="shared" ca="1" si="135"/>
        <v>0</v>
      </c>
      <c r="P812" s="1015" t="str">
        <f ca="1">IF($C812="","",INDEX(NVLSX!$N$2:$N$6941,MATCH($C812,NVLSX!$E$2:$E$6941,0)))</f>
        <v/>
      </c>
      <c r="Q812" s="1016" t="str">
        <f ca="1">IF($R812="","",IF(XKNVLSX!$X$1="",IF($P812=$V$7,$P812, IF(COUNTIFS($C$2:$C811,$C812,$E$2:$E811,$E812)&gt;=1,"",$P812)),     IF(AND(IFERROR(SEARCH($R812,XKNVLSX!$X$1,1),0)&gt;=1,$P812=$V$7),$P812, IF(OR($R812&lt;&gt;IF(IFERROR(SEARCH($R812,XKNVLSX!$X$1,1),0)&gt;=1,$R812,XKNVLSX!$X$1),COUNTIFS($C$2:$C811,$C812,$E$2:$E811,$E812,$Q$2:$Q811,$P812)&gt;=1),"",$P812))))</f>
        <v/>
      </c>
      <c r="R812" s="1017" t="str">
        <f ca="1">IF($A812="","",IFERROR(INDEX(TinhGia!$BF$10:$BF$81,MATCH($A812,TinhGia!$B$10:$B$81,0)),""))</f>
        <v/>
      </c>
      <c r="S812" s="1012" t="str">
        <f ca="1">IF($A812="","",IF(OR(IFERROR(SEARCH($R812,XKNVLSX!$X$1,1),0)&gt;=1,XKNVLSX!$X$1=""),$S$2,""))</f>
        <v/>
      </c>
      <c r="T812" s="1018" t="str">
        <f ca="1">IF($C812="","", IF(OR($P812=$V$1,$P812=$V$7,COUNTIFS($C$3:$C812,$C812,$E$3:$E812,$E812)&lt;=1),$P812,""    ))</f>
        <v/>
      </c>
      <c r="U812" s="1019" t="str">
        <f ca="1">IF(AND($P812=$V$2,COUNTIFS($C$3:$C812,$C812,$E$3:$E812,$E812,$G$3:$G812,$G812)&lt;=1),$P812,"")</f>
        <v/>
      </c>
    </row>
    <row r="813" spans="1:21">
      <c r="A813" s="991" t="str">
        <f ca="1">IFERROR(IF(COUNTIF($A$3:A812,A812)&lt; INDEX(TinhGia!$BH$10:$BH$81,MATCH($A812,TinhGia!$B$10:$B$81,0)),$A812,INDEX(TinhGia!$B$10:$B$81,MATCH($A812,TinhGia!$B$10:$B$81,0)+1)),"")</f>
        <v/>
      </c>
      <c r="B813" s="525" t="str">
        <f ca="1">IF(OR(A813="",A813=0),"",IF(COUNTIF($A$2:A813,$A813)=1,ROW(MauKoXoa!$C$108),$B812+1))</f>
        <v/>
      </c>
      <c r="C813" s="992" t="str">
        <f t="shared" ca="1" si="126"/>
        <v/>
      </c>
      <c r="D813" s="993" t="str">
        <f t="shared" ca="1" si="127"/>
        <v/>
      </c>
      <c r="E813" s="993" t="str">
        <f t="shared" ca="1" si="128"/>
        <v/>
      </c>
      <c r="F813" s="992" t="str">
        <f t="shared" ca="1" si="136"/>
        <v/>
      </c>
      <c r="G813" s="994">
        <f t="shared" ca="1" si="129"/>
        <v>0</v>
      </c>
      <c r="H813" s="913">
        <f t="shared" ca="1" si="130"/>
        <v>0</v>
      </c>
      <c r="I813" s="913">
        <f t="shared" ca="1" si="131"/>
        <v>0</v>
      </c>
      <c r="J813" s="995">
        <f t="shared" ca="1" si="137"/>
        <v>0</v>
      </c>
      <c r="K813" s="913">
        <f t="shared" ca="1" si="132"/>
        <v>0</v>
      </c>
      <c r="L813" s="995">
        <f t="shared" ca="1" si="138"/>
        <v>0</v>
      </c>
      <c r="M813" s="913">
        <f t="shared" ca="1" si="133"/>
        <v>0</v>
      </c>
      <c r="N813" s="996">
        <f t="shared" ca="1" si="134"/>
        <v>0</v>
      </c>
      <c r="O813" s="997">
        <f t="shared" ca="1" si="135"/>
        <v>0</v>
      </c>
      <c r="P813" s="1015" t="str">
        <f ca="1">IF($C813="","",INDEX(NVLSX!$N$2:$N$6941,MATCH($C813,NVLSX!$E$2:$E$6941,0)))</f>
        <v/>
      </c>
      <c r="Q813" s="1016" t="str">
        <f ca="1">IF($R813="","",IF(XKNVLSX!$X$1="",IF($P813=$V$7,$P813, IF(COUNTIFS($C$2:$C812,$C813,$E$2:$E812,$E813)&gt;=1,"",$P813)),     IF(AND(IFERROR(SEARCH($R813,XKNVLSX!$X$1,1),0)&gt;=1,$P813=$V$7),$P813, IF(OR($R813&lt;&gt;IF(IFERROR(SEARCH($R813,XKNVLSX!$X$1,1),0)&gt;=1,$R813,XKNVLSX!$X$1),COUNTIFS($C$2:$C812,$C813,$E$2:$E812,$E813,$Q$2:$Q812,$P813)&gt;=1),"",$P813))))</f>
        <v/>
      </c>
      <c r="R813" s="1017" t="str">
        <f ca="1">IF($A813="","",IFERROR(INDEX(TinhGia!$BF$10:$BF$81,MATCH($A813,TinhGia!$B$10:$B$81,0)),""))</f>
        <v/>
      </c>
      <c r="S813" s="1012" t="str">
        <f ca="1">IF($A813="","",IF(OR(IFERROR(SEARCH($R813,XKNVLSX!$X$1,1),0)&gt;=1,XKNVLSX!$X$1=""),$S$2,""))</f>
        <v/>
      </c>
      <c r="T813" s="1018" t="str">
        <f ca="1">IF($C813="","", IF(OR($P813=$V$1,$P813=$V$7,COUNTIFS($C$3:$C813,$C813,$E$3:$E813,$E813)&lt;=1),$P813,""    ))</f>
        <v/>
      </c>
      <c r="U813" s="1019" t="str">
        <f ca="1">IF(AND($P813=$V$2,COUNTIFS($C$3:$C813,$C813,$E$3:$E813,$E813,$G$3:$G813,$G813)&lt;=1),$P813,"")</f>
        <v/>
      </c>
    </row>
    <row r="814" spans="1:21">
      <c r="A814" s="991" t="str">
        <f ca="1">IFERROR(IF(COUNTIF($A$3:A813,A813)&lt; INDEX(TinhGia!$BH$10:$BH$81,MATCH($A813,TinhGia!$B$10:$B$81,0)),$A813,INDEX(TinhGia!$B$10:$B$81,MATCH($A813,TinhGia!$B$10:$B$81,0)+1)),"")</f>
        <v/>
      </c>
      <c r="B814" s="525" t="str">
        <f ca="1">IF(OR(A814="",A814=0),"",IF(COUNTIF($A$2:A814,$A814)=1,ROW(MauKoXoa!$C$108),$B813+1))</f>
        <v/>
      </c>
      <c r="C814" s="992" t="str">
        <f t="shared" ca="1" si="126"/>
        <v/>
      </c>
      <c r="D814" s="993" t="str">
        <f t="shared" ca="1" si="127"/>
        <v/>
      </c>
      <c r="E814" s="993" t="str">
        <f t="shared" ca="1" si="128"/>
        <v/>
      </c>
      <c r="F814" s="992" t="str">
        <f t="shared" ca="1" si="136"/>
        <v/>
      </c>
      <c r="G814" s="994">
        <f t="shared" ca="1" si="129"/>
        <v>0</v>
      </c>
      <c r="H814" s="913">
        <f t="shared" ca="1" si="130"/>
        <v>0</v>
      </c>
      <c r="I814" s="913">
        <f t="shared" ca="1" si="131"/>
        <v>0</v>
      </c>
      <c r="J814" s="995">
        <f t="shared" ca="1" si="137"/>
        <v>0</v>
      </c>
      <c r="K814" s="913">
        <f t="shared" ca="1" si="132"/>
        <v>0</v>
      </c>
      <c r="L814" s="995">
        <f t="shared" ca="1" si="138"/>
        <v>0</v>
      </c>
      <c r="M814" s="913">
        <f t="shared" ca="1" si="133"/>
        <v>0</v>
      </c>
      <c r="N814" s="996">
        <f t="shared" ca="1" si="134"/>
        <v>0</v>
      </c>
      <c r="O814" s="997">
        <f t="shared" ca="1" si="135"/>
        <v>0</v>
      </c>
      <c r="P814" s="1015" t="str">
        <f ca="1">IF($C814="","",INDEX(NVLSX!$N$2:$N$6941,MATCH($C814,NVLSX!$E$2:$E$6941,0)))</f>
        <v/>
      </c>
      <c r="Q814" s="1016" t="str">
        <f ca="1">IF($R814="","",IF(XKNVLSX!$X$1="",IF($P814=$V$7,$P814, IF(COUNTIFS($C$2:$C813,$C814,$E$2:$E813,$E814)&gt;=1,"",$P814)),     IF(AND(IFERROR(SEARCH($R814,XKNVLSX!$X$1,1),0)&gt;=1,$P814=$V$7),$P814, IF(OR($R814&lt;&gt;IF(IFERROR(SEARCH($R814,XKNVLSX!$X$1,1),0)&gt;=1,$R814,XKNVLSX!$X$1),COUNTIFS($C$2:$C813,$C814,$E$2:$E813,$E814,$Q$2:$Q813,$P814)&gt;=1),"",$P814))))</f>
        <v/>
      </c>
      <c r="R814" s="1017" t="str">
        <f ca="1">IF($A814="","",IFERROR(INDEX(TinhGia!$BF$10:$BF$81,MATCH($A814,TinhGia!$B$10:$B$81,0)),""))</f>
        <v/>
      </c>
      <c r="S814" s="1012" t="str">
        <f ca="1">IF($A814="","",IF(OR(IFERROR(SEARCH($R814,XKNVLSX!$X$1,1),0)&gt;=1,XKNVLSX!$X$1=""),$S$2,""))</f>
        <v/>
      </c>
      <c r="T814" s="1018" t="str">
        <f ca="1">IF($C814="","", IF(OR($P814=$V$1,$P814=$V$7,COUNTIFS($C$3:$C814,$C814,$E$3:$E814,$E814)&lt;=1),$P814,""    ))</f>
        <v/>
      </c>
      <c r="U814" s="1019" t="str">
        <f ca="1">IF(AND($P814=$V$2,COUNTIFS($C$3:$C814,$C814,$E$3:$E814,$E814,$G$3:$G814,$G814)&lt;=1),$P814,"")</f>
        <v/>
      </c>
    </row>
    <row r="815" spans="1:21">
      <c r="A815" s="991" t="str">
        <f ca="1">IFERROR(IF(COUNTIF($A$3:A814,A814)&lt; INDEX(TinhGia!$BH$10:$BH$81,MATCH($A814,TinhGia!$B$10:$B$81,0)),$A814,INDEX(TinhGia!$B$10:$B$81,MATCH($A814,TinhGia!$B$10:$B$81,0)+1)),"")</f>
        <v/>
      </c>
      <c r="B815" s="525" t="str">
        <f ca="1">IF(OR(A815="",A815=0),"",IF(COUNTIF($A$2:A815,$A815)=1,ROW(MauKoXoa!$C$108),$B814+1))</f>
        <v/>
      </c>
      <c r="C815" s="992" t="str">
        <f t="shared" ca="1" si="126"/>
        <v/>
      </c>
      <c r="D815" s="993" t="str">
        <f t="shared" ca="1" si="127"/>
        <v/>
      </c>
      <c r="E815" s="993" t="str">
        <f t="shared" ca="1" si="128"/>
        <v/>
      </c>
      <c r="F815" s="992" t="str">
        <f t="shared" ca="1" si="136"/>
        <v/>
      </c>
      <c r="G815" s="994">
        <f t="shared" ca="1" si="129"/>
        <v>0</v>
      </c>
      <c r="H815" s="913">
        <f t="shared" ca="1" si="130"/>
        <v>0</v>
      </c>
      <c r="I815" s="913">
        <f t="shared" ca="1" si="131"/>
        <v>0</v>
      </c>
      <c r="J815" s="995">
        <f t="shared" ca="1" si="137"/>
        <v>0</v>
      </c>
      <c r="K815" s="913">
        <f t="shared" ca="1" si="132"/>
        <v>0</v>
      </c>
      <c r="L815" s="995">
        <f t="shared" ca="1" si="138"/>
        <v>0</v>
      </c>
      <c r="M815" s="913">
        <f t="shared" ca="1" si="133"/>
        <v>0</v>
      </c>
      <c r="N815" s="996">
        <f t="shared" ca="1" si="134"/>
        <v>0</v>
      </c>
      <c r="O815" s="997">
        <f t="shared" ca="1" si="135"/>
        <v>0</v>
      </c>
      <c r="P815" s="1015" t="str">
        <f ca="1">IF($C815="","",INDEX(NVLSX!$N$2:$N$6941,MATCH($C815,NVLSX!$E$2:$E$6941,0)))</f>
        <v/>
      </c>
      <c r="Q815" s="1016" t="str">
        <f ca="1">IF($R815="","",IF(XKNVLSX!$X$1="",IF($P815=$V$7,$P815, IF(COUNTIFS($C$2:$C814,$C815,$E$2:$E814,$E815)&gt;=1,"",$P815)),     IF(AND(IFERROR(SEARCH($R815,XKNVLSX!$X$1,1),0)&gt;=1,$P815=$V$7),$P815, IF(OR($R815&lt;&gt;IF(IFERROR(SEARCH($R815,XKNVLSX!$X$1,1),0)&gt;=1,$R815,XKNVLSX!$X$1),COUNTIFS($C$2:$C814,$C815,$E$2:$E814,$E815,$Q$2:$Q814,$P815)&gt;=1),"",$P815))))</f>
        <v/>
      </c>
      <c r="R815" s="1017" t="str">
        <f ca="1">IF($A815="","",IFERROR(INDEX(TinhGia!$BF$10:$BF$81,MATCH($A815,TinhGia!$B$10:$B$81,0)),""))</f>
        <v/>
      </c>
      <c r="S815" s="1012" t="str">
        <f ca="1">IF($A815="","",IF(OR(IFERROR(SEARCH($R815,XKNVLSX!$X$1,1),0)&gt;=1,XKNVLSX!$X$1=""),$S$2,""))</f>
        <v/>
      </c>
      <c r="T815" s="1018" t="str">
        <f ca="1">IF($C815="","", IF(OR($P815=$V$1,$P815=$V$7,COUNTIFS($C$3:$C815,$C815,$E$3:$E815,$E815)&lt;=1),$P815,""    ))</f>
        <v/>
      </c>
      <c r="U815" s="1019" t="str">
        <f ca="1">IF(AND($P815=$V$2,COUNTIFS($C$3:$C815,$C815,$E$3:$E815,$E815,$G$3:$G815,$G815)&lt;=1),$P815,"")</f>
        <v/>
      </c>
    </row>
    <row r="816" spans="1:21">
      <c r="A816" s="991" t="str">
        <f ca="1">IFERROR(IF(COUNTIF($A$3:A815,A815)&lt; INDEX(TinhGia!$BH$10:$BH$81,MATCH($A815,TinhGia!$B$10:$B$81,0)),$A815,INDEX(TinhGia!$B$10:$B$81,MATCH($A815,TinhGia!$B$10:$B$81,0)+1)),"")</f>
        <v/>
      </c>
      <c r="B816" s="525" t="str">
        <f ca="1">IF(OR(A816="",A816=0),"",IF(COUNTIF($A$2:A816,$A816)=1,ROW(MauKoXoa!$C$108),$B815+1))</f>
        <v/>
      </c>
      <c r="C816" s="992" t="str">
        <f t="shared" ca="1" si="126"/>
        <v/>
      </c>
      <c r="D816" s="993" t="str">
        <f t="shared" ca="1" si="127"/>
        <v/>
      </c>
      <c r="E816" s="993" t="str">
        <f t="shared" ca="1" si="128"/>
        <v/>
      </c>
      <c r="F816" s="992" t="str">
        <f t="shared" ca="1" si="136"/>
        <v/>
      </c>
      <c r="G816" s="994">
        <f t="shared" ca="1" si="129"/>
        <v>0</v>
      </c>
      <c r="H816" s="913">
        <f t="shared" ca="1" si="130"/>
        <v>0</v>
      </c>
      <c r="I816" s="913">
        <f t="shared" ca="1" si="131"/>
        <v>0</v>
      </c>
      <c r="J816" s="995">
        <f t="shared" ca="1" si="137"/>
        <v>0</v>
      </c>
      <c r="K816" s="913">
        <f t="shared" ca="1" si="132"/>
        <v>0</v>
      </c>
      <c r="L816" s="995">
        <f t="shared" ca="1" si="138"/>
        <v>0</v>
      </c>
      <c r="M816" s="913">
        <f t="shared" ca="1" si="133"/>
        <v>0</v>
      </c>
      <c r="N816" s="996">
        <f t="shared" ca="1" si="134"/>
        <v>0</v>
      </c>
      <c r="O816" s="997">
        <f t="shared" ca="1" si="135"/>
        <v>0</v>
      </c>
      <c r="P816" s="1015" t="str">
        <f ca="1">IF($C816="","",INDEX(NVLSX!$N$2:$N$6941,MATCH($C816,NVLSX!$E$2:$E$6941,0)))</f>
        <v/>
      </c>
      <c r="Q816" s="1016" t="str">
        <f ca="1">IF($R816="","",IF(XKNVLSX!$X$1="",IF($P816=$V$7,$P816, IF(COUNTIFS($C$2:$C815,$C816,$E$2:$E815,$E816)&gt;=1,"",$P816)),     IF(AND(IFERROR(SEARCH($R816,XKNVLSX!$X$1,1),0)&gt;=1,$P816=$V$7),$P816, IF(OR($R816&lt;&gt;IF(IFERROR(SEARCH($R816,XKNVLSX!$X$1,1),0)&gt;=1,$R816,XKNVLSX!$X$1),COUNTIFS($C$2:$C815,$C816,$E$2:$E815,$E816,$Q$2:$Q815,$P816)&gt;=1),"",$P816))))</f>
        <v/>
      </c>
      <c r="R816" s="1017" t="str">
        <f ca="1">IF($A816="","",IFERROR(INDEX(TinhGia!$BF$10:$BF$81,MATCH($A816,TinhGia!$B$10:$B$81,0)),""))</f>
        <v/>
      </c>
      <c r="S816" s="1012" t="str">
        <f ca="1">IF($A816="","",IF(OR(IFERROR(SEARCH($R816,XKNVLSX!$X$1,1),0)&gt;=1,XKNVLSX!$X$1=""),$S$2,""))</f>
        <v/>
      </c>
      <c r="T816" s="1018" t="str">
        <f ca="1">IF($C816="","", IF(OR($P816=$V$1,$P816=$V$7,COUNTIFS($C$3:$C816,$C816,$E$3:$E816,$E816)&lt;=1),$P816,""    ))</f>
        <v/>
      </c>
      <c r="U816" s="1019" t="str">
        <f ca="1">IF(AND($P816=$V$2,COUNTIFS($C$3:$C816,$C816,$E$3:$E816,$E816,$G$3:$G816,$G816)&lt;=1),$P816,"")</f>
        <v/>
      </c>
    </row>
    <row r="817" spans="1:21">
      <c r="A817" s="991" t="str">
        <f ca="1">IFERROR(IF(COUNTIF($A$3:A816,A816)&lt; INDEX(TinhGia!$BH$10:$BH$81,MATCH($A816,TinhGia!$B$10:$B$81,0)),$A816,INDEX(TinhGia!$B$10:$B$81,MATCH($A816,TinhGia!$B$10:$B$81,0)+1)),"")</f>
        <v/>
      </c>
      <c r="B817" s="525" t="str">
        <f ca="1">IF(OR(A817="",A817=0),"",IF(COUNTIF($A$2:A817,$A817)=1,ROW(MauKoXoa!$C$108),$B816+1))</f>
        <v/>
      </c>
      <c r="C817" s="992" t="str">
        <f t="shared" ca="1" si="126"/>
        <v/>
      </c>
      <c r="D817" s="993" t="str">
        <f t="shared" ca="1" si="127"/>
        <v/>
      </c>
      <c r="E817" s="993" t="str">
        <f t="shared" ca="1" si="128"/>
        <v/>
      </c>
      <c r="F817" s="992" t="str">
        <f t="shared" ca="1" si="136"/>
        <v/>
      </c>
      <c r="G817" s="994">
        <f t="shared" ca="1" si="129"/>
        <v>0</v>
      </c>
      <c r="H817" s="913">
        <f t="shared" ca="1" si="130"/>
        <v>0</v>
      </c>
      <c r="I817" s="913">
        <f t="shared" ca="1" si="131"/>
        <v>0</v>
      </c>
      <c r="J817" s="995">
        <f t="shared" ca="1" si="137"/>
        <v>0</v>
      </c>
      <c r="K817" s="913">
        <f t="shared" ca="1" si="132"/>
        <v>0</v>
      </c>
      <c r="L817" s="995">
        <f t="shared" ca="1" si="138"/>
        <v>0</v>
      </c>
      <c r="M817" s="913">
        <f t="shared" ca="1" si="133"/>
        <v>0</v>
      </c>
      <c r="N817" s="996">
        <f t="shared" ca="1" si="134"/>
        <v>0</v>
      </c>
      <c r="O817" s="997">
        <f t="shared" ca="1" si="135"/>
        <v>0</v>
      </c>
      <c r="P817" s="1015" t="str">
        <f ca="1">IF($C817="","",INDEX(NVLSX!$N$2:$N$6941,MATCH($C817,NVLSX!$E$2:$E$6941,0)))</f>
        <v/>
      </c>
      <c r="Q817" s="1016" t="str">
        <f ca="1">IF($R817="","",IF(XKNVLSX!$X$1="",IF($P817=$V$7,$P817, IF(COUNTIFS($C$2:$C816,$C817,$E$2:$E816,$E817)&gt;=1,"",$P817)),     IF(AND(IFERROR(SEARCH($R817,XKNVLSX!$X$1,1),0)&gt;=1,$P817=$V$7),$P817, IF(OR($R817&lt;&gt;IF(IFERROR(SEARCH($R817,XKNVLSX!$X$1,1),0)&gt;=1,$R817,XKNVLSX!$X$1),COUNTIFS($C$2:$C816,$C817,$E$2:$E816,$E817,$Q$2:$Q816,$P817)&gt;=1),"",$P817))))</f>
        <v/>
      </c>
      <c r="R817" s="1017" t="str">
        <f ca="1">IF($A817="","",IFERROR(INDEX(TinhGia!$BF$10:$BF$81,MATCH($A817,TinhGia!$B$10:$B$81,0)),""))</f>
        <v/>
      </c>
      <c r="S817" s="1012" t="str">
        <f ca="1">IF($A817="","",IF(OR(IFERROR(SEARCH($R817,XKNVLSX!$X$1,1),0)&gt;=1,XKNVLSX!$X$1=""),$S$2,""))</f>
        <v/>
      </c>
      <c r="T817" s="1018" t="str">
        <f ca="1">IF($C817="","", IF(OR($P817=$V$1,$P817=$V$7,COUNTIFS($C$3:$C817,$C817,$E$3:$E817,$E817)&lt;=1),$P817,""    ))</f>
        <v/>
      </c>
      <c r="U817" s="1019" t="str">
        <f ca="1">IF(AND($P817=$V$2,COUNTIFS($C$3:$C817,$C817,$E$3:$E817,$E817,$G$3:$G817,$G817)&lt;=1),$P817,"")</f>
        <v/>
      </c>
    </row>
    <row r="818" spans="1:21">
      <c r="A818" s="991" t="str">
        <f ca="1">IFERROR(IF(COUNTIF($A$3:A817,A817)&lt; INDEX(TinhGia!$BH$10:$BH$81,MATCH($A817,TinhGia!$B$10:$B$81,0)),$A817,INDEX(TinhGia!$B$10:$B$81,MATCH($A817,TinhGia!$B$10:$B$81,0)+1)),"")</f>
        <v/>
      </c>
      <c r="B818" s="525" t="str">
        <f ca="1">IF(OR(A818="",A818=0),"",IF(COUNTIF($A$2:A818,$A818)=1,ROW(MauKoXoa!$C$108),$B817+1))</f>
        <v/>
      </c>
      <c r="C818" s="992" t="str">
        <f t="shared" ca="1" si="126"/>
        <v/>
      </c>
      <c r="D818" s="993" t="str">
        <f t="shared" ca="1" si="127"/>
        <v/>
      </c>
      <c r="E818" s="993" t="str">
        <f t="shared" ca="1" si="128"/>
        <v/>
      </c>
      <c r="F818" s="992" t="str">
        <f t="shared" ca="1" si="136"/>
        <v/>
      </c>
      <c r="G818" s="994">
        <f t="shared" ca="1" si="129"/>
        <v>0</v>
      </c>
      <c r="H818" s="913">
        <f t="shared" ca="1" si="130"/>
        <v>0</v>
      </c>
      <c r="I818" s="913">
        <f t="shared" ca="1" si="131"/>
        <v>0</v>
      </c>
      <c r="J818" s="995">
        <f t="shared" ca="1" si="137"/>
        <v>0</v>
      </c>
      <c r="K818" s="913">
        <f t="shared" ca="1" si="132"/>
        <v>0</v>
      </c>
      <c r="L818" s="995">
        <f t="shared" ca="1" si="138"/>
        <v>0</v>
      </c>
      <c r="M818" s="913">
        <f t="shared" ca="1" si="133"/>
        <v>0</v>
      </c>
      <c r="N818" s="996">
        <f t="shared" ca="1" si="134"/>
        <v>0</v>
      </c>
      <c r="O818" s="997">
        <f t="shared" ca="1" si="135"/>
        <v>0</v>
      </c>
      <c r="P818" s="1015" t="str">
        <f ca="1">IF($C818="","",INDEX(NVLSX!$N$2:$N$6941,MATCH($C818,NVLSX!$E$2:$E$6941,0)))</f>
        <v/>
      </c>
      <c r="Q818" s="1016" t="str">
        <f ca="1">IF($R818="","",IF(XKNVLSX!$X$1="",IF($P818=$V$7,$P818, IF(COUNTIFS($C$2:$C817,$C818,$E$2:$E817,$E818)&gt;=1,"",$P818)),     IF(AND(IFERROR(SEARCH($R818,XKNVLSX!$X$1,1),0)&gt;=1,$P818=$V$7),$P818, IF(OR($R818&lt;&gt;IF(IFERROR(SEARCH($R818,XKNVLSX!$X$1,1),0)&gt;=1,$R818,XKNVLSX!$X$1),COUNTIFS($C$2:$C817,$C818,$E$2:$E817,$E818,$Q$2:$Q817,$P818)&gt;=1),"",$P818))))</f>
        <v/>
      </c>
      <c r="R818" s="1017" t="str">
        <f ca="1">IF($A818="","",IFERROR(INDEX(TinhGia!$BF$10:$BF$81,MATCH($A818,TinhGia!$B$10:$B$81,0)),""))</f>
        <v/>
      </c>
      <c r="S818" s="1012" t="str">
        <f ca="1">IF($A818="","",IF(OR(IFERROR(SEARCH($R818,XKNVLSX!$X$1,1),0)&gt;=1,XKNVLSX!$X$1=""),$S$2,""))</f>
        <v/>
      </c>
      <c r="T818" s="1018" t="str">
        <f ca="1">IF($C818="","", IF(OR($P818=$V$1,$P818=$V$7,COUNTIFS($C$3:$C818,$C818,$E$3:$E818,$E818)&lt;=1),$P818,""    ))</f>
        <v/>
      </c>
      <c r="U818" s="1019" t="str">
        <f ca="1">IF(AND($P818=$V$2,COUNTIFS($C$3:$C818,$C818,$E$3:$E818,$E818,$G$3:$G818,$G818)&lt;=1),$P818,"")</f>
        <v/>
      </c>
    </row>
    <row r="819" spans="1:21">
      <c r="A819" s="991" t="str">
        <f ca="1">IFERROR(IF(COUNTIF($A$3:A818,A818)&lt; INDEX(TinhGia!$BH$10:$BH$81,MATCH($A818,TinhGia!$B$10:$B$81,0)),$A818,INDEX(TinhGia!$B$10:$B$81,MATCH($A818,TinhGia!$B$10:$B$81,0)+1)),"")</f>
        <v/>
      </c>
      <c r="B819" s="525" t="str">
        <f ca="1">IF(OR(A819="",A819=0),"",IF(COUNTIF($A$2:A819,$A819)=1,ROW(MauKoXoa!$C$108),$B818+1))</f>
        <v/>
      </c>
      <c r="C819" s="992" t="str">
        <f t="shared" ca="1" si="126"/>
        <v/>
      </c>
      <c r="D819" s="993" t="str">
        <f t="shared" ca="1" si="127"/>
        <v/>
      </c>
      <c r="E819" s="993" t="str">
        <f t="shared" ca="1" si="128"/>
        <v/>
      </c>
      <c r="F819" s="992" t="str">
        <f t="shared" ca="1" si="136"/>
        <v/>
      </c>
      <c r="G819" s="994">
        <f t="shared" ca="1" si="129"/>
        <v>0</v>
      </c>
      <c r="H819" s="913">
        <f t="shared" ca="1" si="130"/>
        <v>0</v>
      </c>
      <c r="I819" s="913">
        <f t="shared" ca="1" si="131"/>
        <v>0</v>
      </c>
      <c r="J819" s="995">
        <f t="shared" ca="1" si="137"/>
        <v>0</v>
      </c>
      <c r="K819" s="913">
        <f t="shared" ca="1" si="132"/>
        <v>0</v>
      </c>
      <c r="L819" s="995">
        <f t="shared" ca="1" si="138"/>
        <v>0</v>
      </c>
      <c r="M819" s="913">
        <f t="shared" ca="1" si="133"/>
        <v>0</v>
      </c>
      <c r="N819" s="996">
        <f t="shared" ca="1" si="134"/>
        <v>0</v>
      </c>
      <c r="O819" s="997">
        <f t="shared" ca="1" si="135"/>
        <v>0</v>
      </c>
      <c r="P819" s="1015" t="str">
        <f ca="1">IF($C819="","",INDEX(NVLSX!$N$2:$N$6941,MATCH($C819,NVLSX!$E$2:$E$6941,0)))</f>
        <v/>
      </c>
      <c r="Q819" s="1016" t="str">
        <f ca="1">IF($R819="","",IF(XKNVLSX!$X$1="",IF($P819=$V$7,$P819, IF(COUNTIFS($C$2:$C818,$C819,$E$2:$E818,$E819)&gt;=1,"",$P819)),     IF(AND(IFERROR(SEARCH($R819,XKNVLSX!$X$1,1),0)&gt;=1,$P819=$V$7),$P819, IF(OR($R819&lt;&gt;IF(IFERROR(SEARCH($R819,XKNVLSX!$X$1,1),0)&gt;=1,$R819,XKNVLSX!$X$1),COUNTIFS($C$2:$C818,$C819,$E$2:$E818,$E819,$Q$2:$Q818,$P819)&gt;=1),"",$P819))))</f>
        <v/>
      </c>
      <c r="R819" s="1017" t="str">
        <f ca="1">IF($A819="","",IFERROR(INDEX(TinhGia!$BF$10:$BF$81,MATCH($A819,TinhGia!$B$10:$B$81,0)),""))</f>
        <v/>
      </c>
      <c r="S819" s="1012" t="str">
        <f ca="1">IF($A819="","",IF(OR(IFERROR(SEARCH($R819,XKNVLSX!$X$1,1),0)&gt;=1,XKNVLSX!$X$1=""),$S$2,""))</f>
        <v/>
      </c>
      <c r="T819" s="1018" t="str">
        <f ca="1">IF($C819="","", IF(OR($P819=$V$1,$P819=$V$7,COUNTIFS($C$3:$C819,$C819,$E$3:$E819,$E819)&lt;=1),$P819,""    ))</f>
        <v/>
      </c>
      <c r="U819" s="1019" t="str">
        <f ca="1">IF(AND($P819=$V$2,COUNTIFS($C$3:$C819,$C819,$E$3:$E819,$E819,$G$3:$G819,$G819)&lt;=1),$P819,"")</f>
        <v/>
      </c>
    </row>
    <row r="820" spans="1:21">
      <c r="A820" s="991" t="str">
        <f ca="1">IFERROR(IF(COUNTIF($A$3:A819,A819)&lt; INDEX(TinhGia!$BH$10:$BH$81,MATCH($A819,TinhGia!$B$10:$B$81,0)),$A819,INDEX(TinhGia!$B$10:$B$81,MATCH($A819,TinhGia!$B$10:$B$81,0)+1)),"")</f>
        <v/>
      </c>
      <c r="B820" s="525" t="str">
        <f ca="1">IF(OR(A820="",A820=0),"",IF(COUNTIF($A$2:A820,$A820)=1,ROW(MauKoXoa!$C$108),$B819+1))</f>
        <v/>
      </c>
      <c r="C820" s="992" t="str">
        <f t="shared" ca="1" si="126"/>
        <v/>
      </c>
      <c r="D820" s="993" t="str">
        <f t="shared" ca="1" si="127"/>
        <v/>
      </c>
      <c r="E820" s="993" t="str">
        <f t="shared" ca="1" si="128"/>
        <v/>
      </c>
      <c r="F820" s="992" t="str">
        <f t="shared" ca="1" si="136"/>
        <v/>
      </c>
      <c r="G820" s="994">
        <f t="shared" ca="1" si="129"/>
        <v>0</v>
      </c>
      <c r="H820" s="913">
        <f t="shared" ca="1" si="130"/>
        <v>0</v>
      </c>
      <c r="I820" s="913">
        <f t="shared" ca="1" si="131"/>
        <v>0</v>
      </c>
      <c r="J820" s="995">
        <f t="shared" ca="1" si="137"/>
        <v>0</v>
      </c>
      <c r="K820" s="913">
        <f t="shared" ca="1" si="132"/>
        <v>0</v>
      </c>
      <c r="L820" s="995">
        <f t="shared" ca="1" si="138"/>
        <v>0</v>
      </c>
      <c r="M820" s="913">
        <f t="shared" ca="1" si="133"/>
        <v>0</v>
      </c>
      <c r="N820" s="996">
        <f t="shared" ca="1" si="134"/>
        <v>0</v>
      </c>
      <c r="O820" s="997">
        <f t="shared" ca="1" si="135"/>
        <v>0</v>
      </c>
      <c r="P820" s="1015" t="str">
        <f ca="1">IF($C820="","",INDEX(NVLSX!$N$2:$N$6941,MATCH($C820,NVLSX!$E$2:$E$6941,0)))</f>
        <v/>
      </c>
      <c r="Q820" s="1016" t="str">
        <f ca="1">IF($R820="","",IF(XKNVLSX!$X$1="",IF($P820=$V$7,$P820, IF(COUNTIFS($C$2:$C819,$C820,$E$2:$E819,$E820)&gt;=1,"",$P820)),     IF(AND(IFERROR(SEARCH($R820,XKNVLSX!$X$1,1),0)&gt;=1,$P820=$V$7),$P820, IF(OR($R820&lt;&gt;IF(IFERROR(SEARCH($R820,XKNVLSX!$X$1,1),0)&gt;=1,$R820,XKNVLSX!$X$1),COUNTIFS($C$2:$C819,$C820,$E$2:$E819,$E820,$Q$2:$Q819,$P820)&gt;=1),"",$P820))))</f>
        <v/>
      </c>
      <c r="R820" s="1017" t="str">
        <f ca="1">IF($A820="","",IFERROR(INDEX(TinhGia!$BF$10:$BF$81,MATCH($A820,TinhGia!$B$10:$B$81,0)),""))</f>
        <v/>
      </c>
      <c r="S820" s="1012" t="str">
        <f ca="1">IF($A820="","",IF(OR(IFERROR(SEARCH($R820,XKNVLSX!$X$1,1),0)&gt;=1,XKNVLSX!$X$1=""),$S$2,""))</f>
        <v/>
      </c>
      <c r="T820" s="1018" t="str">
        <f ca="1">IF($C820="","", IF(OR($P820=$V$1,$P820=$V$7,COUNTIFS($C$3:$C820,$C820,$E$3:$E820,$E820)&lt;=1),$P820,""    ))</f>
        <v/>
      </c>
      <c r="U820" s="1019" t="str">
        <f ca="1">IF(AND($P820=$V$2,COUNTIFS($C$3:$C820,$C820,$E$3:$E820,$E820,$G$3:$G820,$G820)&lt;=1),$P820,"")</f>
        <v/>
      </c>
    </row>
    <row r="821" spans="1:21">
      <c r="A821" s="991" t="str">
        <f ca="1">IFERROR(IF(COUNTIF($A$3:A820,A820)&lt; INDEX(TinhGia!$BH$10:$BH$81,MATCH($A820,TinhGia!$B$10:$B$81,0)),$A820,INDEX(TinhGia!$B$10:$B$81,MATCH($A820,TinhGia!$B$10:$B$81,0)+1)),"")</f>
        <v/>
      </c>
      <c r="B821" s="525" t="str">
        <f ca="1">IF(OR(A821="",A821=0),"",IF(COUNTIF($A$2:A821,$A821)=1,ROW(MauKoXoa!$C$108),$B820+1))</f>
        <v/>
      </c>
      <c r="C821" s="992" t="str">
        <f t="shared" ca="1" si="126"/>
        <v/>
      </c>
      <c r="D821" s="993" t="str">
        <f t="shared" ca="1" si="127"/>
        <v/>
      </c>
      <c r="E821" s="993" t="str">
        <f t="shared" ca="1" si="128"/>
        <v/>
      </c>
      <c r="F821" s="992" t="str">
        <f t="shared" ca="1" si="136"/>
        <v/>
      </c>
      <c r="G821" s="994">
        <f t="shared" ca="1" si="129"/>
        <v>0</v>
      </c>
      <c r="H821" s="913">
        <f t="shared" ca="1" si="130"/>
        <v>0</v>
      </c>
      <c r="I821" s="913">
        <f t="shared" ca="1" si="131"/>
        <v>0</v>
      </c>
      <c r="J821" s="995">
        <f t="shared" ca="1" si="137"/>
        <v>0</v>
      </c>
      <c r="K821" s="913">
        <f t="shared" ca="1" si="132"/>
        <v>0</v>
      </c>
      <c r="L821" s="995">
        <f t="shared" ca="1" si="138"/>
        <v>0</v>
      </c>
      <c r="M821" s="913">
        <f t="shared" ca="1" si="133"/>
        <v>0</v>
      </c>
      <c r="N821" s="996">
        <f t="shared" ca="1" si="134"/>
        <v>0</v>
      </c>
      <c r="O821" s="997">
        <f t="shared" ca="1" si="135"/>
        <v>0</v>
      </c>
      <c r="P821" s="1015" t="str">
        <f ca="1">IF($C821="","",INDEX(NVLSX!$N$2:$N$6941,MATCH($C821,NVLSX!$E$2:$E$6941,0)))</f>
        <v/>
      </c>
      <c r="Q821" s="1016" t="str">
        <f ca="1">IF($R821="","",IF(XKNVLSX!$X$1="",IF($P821=$V$7,$P821, IF(COUNTIFS($C$2:$C820,$C821,$E$2:$E820,$E821)&gt;=1,"",$P821)),     IF(AND(IFERROR(SEARCH($R821,XKNVLSX!$X$1,1),0)&gt;=1,$P821=$V$7),$P821, IF(OR($R821&lt;&gt;IF(IFERROR(SEARCH($R821,XKNVLSX!$X$1,1),0)&gt;=1,$R821,XKNVLSX!$X$1),COUNTIFS($C$2:$C820,$C821,$E$2:$E820,$E821,$Q$2:$Q820,$P821)&gt;=1),"",$P821))))</f>
        <v/>
      </c>
      <c r="R821" s="1017" t="str">
        <f ca="1">IF($A821="","",IFERROR(INDEX(TinhGia!$BF$10:$BF$81,MATCH($A821,TinhGia!$B$10:$B$81,0)),""))</f>
        <v/>
      </c>
      <c r="S821" s="1012" t="str">
        <f ca="1">IF($A821="","",IF(OR(IFERROR(SEARCH($R821,XKNVLSX!$X$1,1),0)&gt;=1,XKNVLSX!$X$1=""),$S$2,""))</f>
        <v/>
      </c>
      <c r="T821" s="1018" t="str">
        <f ca="1">IF($C821="","", IF(OR($P821=$V$1,$P821=$V$7,COUNTIFS($C$3:$C821,$C821,$E$3:$E821,$E821)&lt;=1),$P821,""    ))</f>
        <v/>
      </c>
      <c r="U821" s="1019" t="str">
        <f ca="1">IF(AND($P821=$V$2,COUNTIFS($C$3:$C821,$C821,$E$3:$E821,$E821,$G$3:$G821,$G821)&lt;=1),$P821,"")</f>
        <v/>
      </c>
    </row>
    <row r="822" spans="1:21">
      <c r="A822" s="991" t="str">
        <f ca="1">IFERROR(IF(COUNTIF($A$3:A821,A821)&lt; INDEX(TinhGia!$BH$10:$BH$81,MATCH($A821,TinhGia!$B$10:$B$81,0)),$A821,INDEX(TinhGia!$B$10:$B$81,MATCH($A821,TinhGia!$B$10:$B$81,0)+1)),"")</f>
        <v/>
      </c>
      <c r="B822" s="525" t="str">
        <f ca="1">IF(OR(A822="",A822=0),"",IF(COUNTIF($A$2:A822,$A822)=1,ROW(MauKoXoa!$C$108),$B821+1))</f>
        <v/>
      </c>
      <c r="C822" s="992" t="str">
        <f t="shared" ca="1" si="126"/>
        <v/>
      </c>
      <c r="D822" s="993" t="str">
        <f t="shared" ca="1" si="127"/>
        <v/>
      </c>
      <c r="E822" s="993" t="str">
        <f t="shared" ca="1" si="128"/>
        <v/>
      </c>
      <c r="F822" s="992" t="str">
        <f t="shared" ca="1" si="136"/>
        <v/>
      </c>
      <c r="G822" s="994">
        <f t="shared" ca="1" si="129"/>
        <v>0</v>
      </c>
      <c r="H822" s="913">
        <f t="shared" ca="1" si="130"/>
        <v>0</v>
      </c>
      <c r="I822" s="913">
        <f t="shared" ca="1" si="131"/>
        <v>0</v>
      </c>
      <c r="J822" s="995">
        <f t="shared" ca="1" si="137"/>
        <v>0</v>
      </c>
      <c r="K822" s="913">
        <f t="shared" ca="1" si="132"/>
        <v>0</v>
      </c>
      <c r="L822" s="995">
        <f t="shared" ca="1" si="138"/>
        <v>0</v>
      </c>
      <c r="M822" s="913">
        <f t="shared" ca="1" si="133"/>
        <v>0</v>
      </c>
      <c r="N822" s="996">
        <f t="shared" ca="1" si="134"/>
        <v>0</v>
      </c>
      <c r="O822" s="997">
        <f t="shared" ca="1" si="135"/>
        <v>0</v>
      </c>
      <c r="P822" s="1015" t="str">
        <f ca="1">IF($C822="","",INDEX(NVLSX!$N$2:$N$6941,MATCH($C822,NVLSX!$E$2:$E$6941,0)))</f>
        <v/>
      </c>
      <c r="Q822" s="1016" t="str">
        <f ca="1">IF($R822="","",IF(XKNVLSX!$X$1="",IF($P822=$V$7,$P822, IF(COUNTIFS($C$2:$C821,$C822,$E$2:$E821,$E822)&gt;=1,"",$P822)),     IF(AND(IFERROR(SEARCH($R822,XKNVLSX!$X$1,1),0)&gt;=1,$P822=$V$7),$P822, IF(OR($R822&lt;&gt;IF(IFERROR(SEARCH($R822,XKNVLSX!$X$1,1),0)&gt;=1,$R822,XKNVLSX!$X$1),COUNTIFS($C$2:$C821,$C822,$E$2:$E821,$E822,$Q$2:$Q821,$P822)&gt;=1),"",$P822))))</f>
        <v/>
      </c>
      <c r="R822" s="1017" t="str">
        <f ca="1">IF($A822="","",IFERROR(INDEX(TinhGia!$BF$10:$BF$81,MATCH($A822,TinhGia!$B$10:$B$81,0)),""))</f>
        <v/>
      </c>
      <c r="S822" s="1012" t="str">
        <f ca="1">IF($A822="","",IF(OR(IFERROR(SEARCH($R822,XKNVLSX!$X$1,1),0)&gt;=1,XKNVLSX!$X$1=""),$S$2,""))</f>
        <v/>
      </c>
      <c r="T822" s="1018" t="str">
        <f ca="1">IF($C822="","", IF(OR($P822=$V$1,$P822=$V$7,COUNTIFS($C$3:$C822,$C822,$E$3:$E822,$E822)&lt;=1),$P822,""    ))</f>
        <v/>
      </c>
      <c r="U822" s="1019" t="str">
        <f ca="1">IF(AND($P822=$V$2,COUNTIFS($C$3:$C822,$C822,$E$3:$E822,$E822,$G$3:$G822,$G822)&lt;=1),$P822,"")</f>
        <v/>
      </c>
    </row>
    <row r="823" spans="1:21">
      <c r="A823" s="991" t="str">
        <f ca="1">IFERROR(IF(COUNTIF($A$3:A822,A822)&lt; INDEX(TinhGia!$BH$10:$BH$81,MATCH($A822,TinhGia!$B$10:$B$81,0)),$A822,INDEX(TinhGia!$B$10:$B$81,MATCH($A822,TinhGia!$B$10:$B$81,0)+1)),"")</f>
        <v/>
      </c>
      <c r="B823" s="525" t="str">
        <f ca="1">IF(OR(A823="",A823=0),"",IF(COUNTIF($A$2:A823,$A823)=1,ROW(MauKoXoa!$C$108),$B822+1))</f>
        <v/>
      </c>
      <c r="C823" s="992" t="str">
        <f t="shared" ca="1" si="126"/>
        <v/>
      </c>
      <c r="D823" s="993" t="str">
        <f t="shared" ca="1" si="127"/>
        <v/>
      </c>
      <c r="E823" s="993" t="str">
        <f t="shared" ca="1" si="128"/>
        <v/>
      </c>
      <c r="F823" s="992" t="str">
        <f t="shared" ca="1" si="136"/>
        <v/>
      </c>
      <c r="G823" s="994">
        <f t="shared" ca="1" si="129"/>
        <v>0</v>
      </c>
      <c r="H823" s="913">
        <f t="shared" ca="1" si="130"/>
        <v>0</v>
      </c>
      <c r="I823" s="913">
        <f t="shared" ca="1" si="131"/>
        <v>0</v>
      </c>
      <c r="J823" s="995">
        <f t="shared" ca="1" si="137"/>
        <v>0</v>
      </c>
      <c r="K823" s="913">
        <f t="shared" ca="1" si="132"/>
        <v>0</v>
      </c>
      <c r="L823" s="995">
        <f t="shared" ca="1" si="138"/>
        <v>0</v>
      </c>
      <c r="M823" s="913">
        <f t="shared" ca="1" si="133"/>
        <v>0</v>
      </c>
      <c r="N823" s="996">
        <f t="shared" ca="1" si="134"/>
        <v>0</v>
      </c>
      <c r="O823" s="997">
        <f t="shared" ca="1" si="135"/>
        <v>0</v>
      </c>
      <c r="P823" s="1015" t="str">
        <f ca="1">IF($C823="","",INDEX(NVLSX!$N$2:$N$6941,MATCH($C823,NVLSX!$E$2:$E$6941,0)))</f>
        <v/>
      </c>
      <c r="Q823" s="1016" t="str">
        <f ca="1">IF($R823="","",IF(XKNVLSX!$X$1="",IF($P823=$V$7,$P823, IF(COUNTIFS($C$2:$C822,$C823,$E$2:$E822,$E823)&gt;=1,"",$P823)),     IF(AND(IFERROR(SEARCH($R823,XKNVLSX!$X$1,1),0)&gt;=1,$P823=$V$7),$P823, IF(OR($R823&lt;&gt;IF(IFERROR(SEARCH($R823,XKNVLSX!$X$1,1),0)&gt;=1,$R823,XKNVLSX!$X$1),COUNTIFS($C$2:$C822,$C823,$E$2:$E822,$E823,$Q$2:$Q822,$P823)&gt;=1),"",$P823))))</f>
        <v/>
      </c>
      <c r="R823" s="1017" t="str">
        <f ca="1">IF($A823="","",IFERROR(INDEX(TinhGia!$BF$10:$BF$81,MATCH($A823,TinhGia!$B$10:$B$81,0)),""))</f>
        <v/>
      </c>
      <c r="S823" s="1012" t="str">
        <f ca="1">IF($A823="","",IF(OR(IFERROR(SEARCH($R823,XKNVLSX!$X$1,1),0)&gt;=1,XKNVLSX!$X$1=""),$S$2,""))</f>
        <v/>
      </c>
      <c r="T823" s="1018" t="str">
        <f ca="1">IF($C823="","", IF(OR($P823=$V$1,$P823=$V$7,COUNTIFS($C$3:$C823,$C823,$E$3:$E823,$E823)&lt;=1),$P823,""    ))</f>
        <v/>
      </c>
      <c r="U823" s="1019" t="str">
        <f ca="1">IF(AND($P823=$V$2,COUNTIFS($C$3:$C823,$C823,$E$3:$E823,$E823,$G$3:$G823,$G823)&lt;=1),$P823,"")</f>
        <v/>
      </c>
    </row>
    <row r="824" spans="1:21">
      <c r="A824" s="991" t="str">
        <f ca="1">IFERROR(IF(COUNTIF($A$3:A823,A823)&lt; INDEX(TinhGia!$BH$10:$BH$81,MATCH($A823,TinhGia!$B$10:$B$81,0)),$A823,INDEX(TinhGia!$B$10:$B$81,MATCH($A823,TinhGia!$B$10:$B$81,0)+1)),"")</f>
        <v/>
      </c>
      <c r="B824" s="525" t="str">
        <f ca="1">IF(OR(A824="",A824=0),"",IF(COUNTIF($A$2:A824,$A824)=1,ROW(MauKoXoa!$C$108),$B823+1))</f>
        <v/>
      </c>
      <c r="C824" s="992" t="str">
        <f t="shared" ca="1" si="126"/>
        <v/>
      </c>
      <c r="D824" s="993" t="str">
        <f t="shared" ca="1" si="127"/>
        <v/>
      </c>
      <c r="E824" s="993" t="str">
        <f t="shared" ca="1" si="128"/>
        <v/>
      </c>
      <c r="F824" s="992" t="str">
        <f t="shared" ca="1" si="136"/>
        <v/>
      </c>
      <c r="G824" s="994">
        <f t="shared" ca="1" si="129"/>
        <v>0</v>
      </c>
      <c r="H824" s="913">
        <f t="shared" ca="1" si="130"/>
        <v>0</v>
      </c>
      <c r="I824" s="913">
        <f t="shared" ca="1" si="131"/>
        <v>0</v>
      </c>
      <c r="J824" s="995">
        <f t="shared" ca="1" si="137"/>
        <v>0</v>
      </c>
      <c r="K824" s="913">
        <f t="shared" ca="1" si="132"/>
        <v>0</v>
      </c>
      <c r="L824" s="995">
        <f t="shared" ca="1" si="138"/>
        <v>0</v>
      </c>
      <c r="M824" s="913">
        <f t="shared" ca="1" si="133"/>
        <v>0</v>
      </c>
      <c r="N824" s="996">
        <f t="shared" ca="1" si="134"/>
        <v>0</v>
      </c>
      <c r="O824" s="997">
        <f t="shared" ca="1" si="135"/>
        <v>0</v>
      </c>
      <c r="P824" s="1015" t="str">
        <f ca="1">IF($C824="","",INDEX(NVLSX!$N$2:$N$6941,MATCH($C824,NVLSX!$E$2:$E$6941,0)))</f>
        <v/>
      </c>
      <c r="Q824" s="1016" t="str">
        <f ca="1">IF($R824="","",IF(XKNVLSX!$X$1="",IF($P824=$V$7,$P824, IF(COUNTIFS($C$2:$C823,$C824,$E$2:$E823,$E824)&gt;=1,"",$P824)),     IF(AND(IFERROR(SEARCH($R824,XKNVLSX!$X$1,1),0)&gt;=1,$P824=$V$7),$P824, IF(OR($R824&lt;&gt;IF(IFERROR(SEARCH($R824,XKNVLSX!$X$1,1),0)&gt;=1,$R824,XKNVLSX!$X$1),COUNTIFS($C$2:$C823,$C824,$E$2:$E823,$E824,$Q$2:$Q823,$P824)&gt;=1),"",$P824))))</f>
        <v/>
      </c>
      <c r="R824" s="1017" t="str">
        <f ca="1">IF($A824="","",IFERROR(INDEX(TinhGia!$BF$10:$BF$81,MATCH($A824,TinhGia!$B$10:$B$81,0)),""))</f>
        <v/>
      </c>
      <c r="S824" s="1012" t="str">
        <f ca="1">IF($A824="","",IF(OR(IFERROR(SEARCH($R824,XKNVLSX!$X$1,1),0)&gt;=1,XKNVLSX!$X$1=""),$S$2,""))</f>
        <v/>
      </c>
      <c r="T824" s="1018" t="str">
        <f ca="1">IF($C824="","", IF(OR($P824=$V$1,$P824=$V$7,COUNTIFS($C$3:$C824,$C824,$E$3:$E824,$E824)&lt;=1),$P824,""    ))</f>
        <v/>
      </c>
      <c r="U824" s="1019" t="str">
        <f ca="1">IF(AND($P824=$V$2,COUNTIFS($C$3:$C824,$C824,$E$3:$E824,$E824,$G$3:$G824,$G824)&lt;=1),$P824,"")</f>
        <v/>
      </c>
    </row>
    <row r="825" spans="1:21">
      <c r="A825" s="991" t="str">
        <f ca="1">IFERROR(IF(COUNTIF($A$3:A824,A824)&lt; INDEX(TinhGia!$BH$10:$BH$81,MATCH($A824,TinhGia!$B$10:$B$81,0)),$A824,INDEX(TinhGia!$B$10:$B$81,MATCH($A824,TinhGia!$B$10:$B$81,0)+1)),"")</f>
        <v/>
      </c>
      <c r="B825" s="525" t="str">
        <f ca="1">IF(OR(A825="",A825=0),"",IF(COUNTIF($A$2:A825,$A825)=1,ROW(MauKoXoa!$C$108),$B824+1))</f>
        <v/>
      </c>
      <c r="C825" s="992" t="str">
        <f t="shared" ca="1" si="126"/>
        <v/>
      </c>
      <c r="D825" s="993" t="str">
        <f t="shared" ca="1" si="127"/>
        <v/>
      </c>
      <c r="E825" s="993" t="str">
        <f t="shared" ca="1" si="128"/>
        <v/>
      </c>
      <c r="F825" s="992" t="str">
        <f t="shared" ca="1" si="136"/>
        <v/>
      </c>
      <c r="G825" s="994">
        <f t="shared" ca="1" si="129"/>
        <v>0</v>
      </c>
      <c r="H825" s="913">
        <f t="shared" ca="1" si="130"/>
        <v>0</v>
      </c>
      <c r="I825" s="913">
        <f t="shared" ca="1" si="131"/>
        <v>0</v>
      </c>
      <c r="J825" s="995">
        <f t="shared" ca="1" si="137"/>
        <v>0</v>
      </c>
      <c r="K825" s="913">
        <f t="shared" ca="1" si="132"/>
        <v>0</v>
      </c>
      <c r="L825" s="995">
        <f t="shared" ca="1" si="138"/>
        <v>0</v>
      </c>
      <c r="M825" s="913">
        <f t="shared" ca="1" si="133"/>
        <v>0</v>
      </c>
      <c r="N825" s="996">
        <f t="shared" ca="1" si="134"/>
        <v>0</v>
      </c>
      <c r="O825" s="997">
        <f t="shared" ca="1" si="135"/>
        <v>0</v>
      </c>
      <c r="P825" s="1015" t="str">
        <f ca="1">IF($C825="","",INDEX(NVLSX!$N$2:$N$6941,MATCH($C825,NVLSX!$E$2:$E$6941,0)))</f>
        <v/>
      </c>
      <c r="Q825" s="1016" t="str">
        <f ca="1">IF($R825="","",IF(XKNVLSX!$X$1="",IF($P825=$V$7,$P825, IF(COUNTIFS($C$2:$C824,$C825,$E$2:$E824,$E825)&gt;=1,"",$P825)),     IF(AND(IFERROR(SEARCH($R825,XKNVLSX!$X$1,1),0)&gt;=1,$P825=$V$7),$P825, IF(OR($R825&lt;&gt;IF(IFERROR(SEARCH($R825,XKNVLSX!$X$1,1),0)&gt;=1,$R825,XKNVLSX!$X$1),COUNTIFS($C$2:$C824,$C825,$E$2:$E824,$E825,$Q$2:$Q824,$P825)&gt;=1),"",$P825))))</f>
        <v/>
      </c>
      <c r="R825" s="1017" t="str">
        <f ca="1">IF($A825="","",IFERROR(INDEX(TinhGia!$BF$10:$BF$81,MATCH($A825,TinhGia!$B$10:$B$81,0)),""))</f>
        <v/>
      </c>
      <c r="S825" s="1012" t="str">
        <f ca="1">IF($A825="","",IF(OR(IFERROR(SEARCH($R825,XKNVLSX!$X$1,1),0)&gt;=1,XKNVLSX!$X$1=""),$S$2,""))</f>
        <v/>
      </c>
      <c r="T825" s="1018" t="str">
        <f ca="1">IF($C825="","", IF(OR($P825=$V$1,$P825=$V$7,COUNTIFS($C$3:$C825,$C825,$E$3:$E825,$E825)&lt;=1),$P825,""    ))</f>
        <v/>
      </c>
      <c r="U825" s="1019" t="str">
        <f ca="1">IF(AND($P825=$V$2,COUNTIFS($C$3:$C825,$C825,$E$3:$E825,$E825,$G$3:$G825,$G825)&lt;=1),$P825,"")</f>
        <v/>
      </c>
    </row>
    <row r="826" spans="1:21">
      <c r="A826" s="991" t="str">
        <f ca="1">IFERROR(IF(COUNTIF($A$3:A825,A825)&lt; INDEX(TinhGia!$BH$10:$BH$81,MATCH($A825,TinhGia!$B$10:$B$81,0)),$A825,INDEX(TinhGia!$B$10:$B$81,MATCH($A825,TinhGia!$B$10:$B$81,0)+1)),"")</f>
        <v/>
      </c>
      <c r="B826" s="525" t="str">
        <f ca="1">IF(OR(A826="",A826=0),"",IF(COUNTIF($A$2:A826,$A826)=1,ROW(MauKoXoa!$C$108),$B825+1))</f>
        <v/>
      </c>
      <c r="C826" s="992" t="str">
        <f t="shared" ca="1" si="126"/>
        <v/>
      </c>
      <c r="D826" s="993" t="str">
        <f t="shared" ca="1" si="127"/>
        <v/>
      </c>
      <c r="E826" s="993" t="str">
        <f t="shared" ca="1" si="128"/>
        <v/>
      </c>
      <c r="F826" s="992" t="str">
        <f t="shared" ca="1" si="136"/>
        <v/>
      </c>
      <c r="G826" s="994">
        <f t="shared" ca="1" si="129"/>
        <v>0</v>
      </c>
      <c r="H826" s="913">
        <f t="shared" ca="1" si="130"/>
        <v>0</v>
      </c>
      <c r="I826" s="913">
        <f t="shared" ca="1" si="131"/>
        <v>0</v>
      </c>
      <c r="J826" s="995">
        <f t="shared" ca="1" si="137"/>
        <v>0</v>
      </c>
      <c r="K826" s="913">
        <f t="shared" ca="1" si="132"/>
        <v>0</v>
      </c>
      <c r="L826" s="995">
        <f t="shared" ca="1" si="138"/>
        <v>0</v>
      </c>
      <c r="M826" s="913">
        <f t="shared" ca="1" si="133"/>
        <v>0</v>
      </c>
      <c r="N826" s="996">
        <f t="shared" ca="1" si="134"/>
        <v>0</v>
      </c>
      <c r="O826" s="997">
        <f t="shared" ca="1" si="135"/>
        <v>0</v>
      </c>
      <c r="P826" s="1015" t="str">
        <f ca="1">IF($C826="","",INDEX(NVLSX!$N$2:$N$6941,MATCH($C826,NVLSX!$E$2:$E$6941,0)))</f>
        <v/>
      </c>
      <c r="Q826" s="1016" t="str">
        <f ca="1">IF($R826="","",IF(XKNVLSX!$X$1="",IF($P826=$V$7,$P826, IF(COUNTIFS($C$2:$C825,$C826,$E$2:$E825,$E826)&gt;=1,"",$P826)),     IF(AND(IFERROR(SEARCH($R826,XKNVLSX!$X$1,1),0)&gt;=1,$P826=$V$7),$P826, IF(OR($R826&lt;&gt;IF(IFERROR(SEARCH($R826,XKNVLSX!$X$1,1),0)&gt;=1,$R826,XKNVLSX!$X$1),COUNTIFS($C$2:$C825,$C826,$E$2:$E825,$E826,$Q$2:$Q825,$P826)&gt;=1),"",$P826))))</f>
        <v/>
      </c>
      <c r="R826" s="1017" t="str">
        <f ca="1">IF($A826="","",IFERROR(INDEX(TinhGia!$BF$10:$BF$81,MATCH($A826,TinhGia!$B$10:$B$81,0)),""))</f>
        <v/>
      </c>
      <c r="S826" s="1012" t="str">
        <f ca="1">IF($A826="","",IF(OR(IFERROR(SEARCH($R826,XKNVLSX!$X$1,1),0)&gt;=1,XKNVLSX!$X$1=""),$S$2,""))</f>
        <v/>
      </c>
      <c r="T826" s="1018" t="str">
        <f ca="1">IF($C826="","", IF(OR($P826=$V$1,$P826=$V$7,COUNTIFS($C$3:$C826,$C826,$E$3:$E826,$E826)&lt;=1),$P826,""    ))</f>
        <v/>
      </c>
      <c r="U826" s="1019" t="str">
        <f ca="1">IF(AND($P826=$V$2,COUNTIFS($C$3:$C826,$C826,$E$3:$E826,$E826,$G$3:$G826,$G826)&lt;=1),$P826,"")</f>
        <v/>
      </c>
    </row>
    <row r="827" spans="1:21">
      <c r="A827" s="991" t="str">
        <f ca="1">IFERROR(IF(COUNTIF($A$3:A826,A826)&lt; INDEX(TinhGia!$BH$10:$BH$81,MATCH($A826,TinhGia!$B$10:$B$81,0)),$A826,INDEX(TinhGia!$B$10:$B$81,MATCH($A826,TinhGia!$B$10:$B$81,0)+1)),"")</f>
        <v/>
      </c>
      <c r="B827" s="525" t="str">
        <f ca="1">IF(OR(A827="",A827=0),"",IF(COUNTIF($A$2:A827,$A827)=1,ROW(MauKoXoa!$C$108),$B826+1))</f>
        <v/>
      </c>
      <c r="C827" s="992" t="str">
        <f t="shared" ca="1" si="126"/>
        <v/>
      </c>
      <c r="D827" s="993" t="str">
        <f t="shared" ca="1" si="127"/>
        <v/>
      </c>
      <c r="E827" s="993" t="str">
        <f t="shared" ca="1" si="128"/>
        <v/>
      </c>
      <c r="F827" s="992" t="str">
        <f t="shared" ca="1" si="136"/>
        <v/>
      </c>
      <c r="G827" s="994">
        <f t="shared" ca="1" si="129"/>
        <v>0</v>
      </c>
      <c r="H827" s="913">
        <f t="shared" ca="1" si="130"/>
        <v>0</v>
      </c>
      <c r="I827" s="913">
        <f t="shared" ca="1" si="131"/>
        <v>0</v>
      </c>
      <c r="J827" s="995">
        <f t="shared" ca="1" si="137"/>
        <v>0</v>
      </c>
      <c r="K827" s="913">
        <f t="shared" ca="1" si="132"/>
        <v>0</v>
      </c>
      <c r="L827" s="995">
        <f t="shared" ca="1" si="138"/>
        <v>0</v>
      </c>
      <c r="M827" s="913">
        <f t="shared" ca="1" si="133"/>
        <v>0</v>
      </c>
      <c r="N827" s="996">
        <f t="shared" ca="1" si="134"/>
        <v>0</v>
      </c>
      <c r="O827" s="997">
        <f t="shared" ca="1" si="135"/>
        <v>0</v>
      </c>
      <c r="P827" s="1015" t="str">
        <f ca="1">IF($C827="","",INDEX(NVLSX!$N$2:$N$6941,MATCH($C827,NVLSX!$E$2:$E$6941,0)))</f>
        <v/>
      </c>
      <c r="Q827" s="1016" t="str">
        <f ca="1">IF($R827="","",IF(XKNVLSX!$X$1="",IF($P827=$V$7,$P827, IF(COUNTIFS($C$2:$C826,$C827,$E$2:$E826,$E827)&gt;=1,"",$P827)),     IF(AND(IFERROR(SEARCH($R827,XKNVLSX!$X$1,1),0)&gt;=1,$P827=$V$7),$P827, IF(OR($R827&lt;&gt;IF(IFERROR(SEARCH($R827,XKNVLSX!$X$1,1),0)&gt;=1,$R827,XKNVLSX!$X$1),COUNTIFS($C$2:$C826,$C827,$E$2:$E826,$E827,$Q$2:$Q826,$P827)&gt;=1),"",$P827))))</f>
        <v/>
      </c>
      <c r="R827" s="1017" t="str">
        <f ca="1">IF($A827="","",IFERROR(INDEX(TinhGia!$BF$10:$BF$81,MATCH($A827,TinhGia!$B$10:$B$81,0)),""))</f>
        <v/>
      </c>
      <c r="S827" s="1012" t="str">
        <f ca="1">IF($A827="","",IF(OR(IFERROR(SEARCH($R827,XKNVLSX!$X$1,1),0)&gt;=1,XKNVLSX!$X$1=""),$S$2,""))</f>
        <v/>
      </c>
      <c r="T827" s="1018" t="str">
        <f ca="1">IF($C827="","", IF(OR($P827=$V$1,$P827=$V$7,COUNTIFS($C$3:$C827,$C827,$E$3:$E827,$E827)&lt;=1),$P827,""    ))</f>
        <v/>
      </c>
      <c r="U827" s="1019" t="str">
        <f ca="1">IF(AND($P827=$V$2,COUNTIFS($C$3:$C827,$C827,$E$3:$E827,$E827,$G$3:$G827,$G827)&lt;=1),$P827,"")</f>
        <v/>
      </c>
    </row>
    <row r="828" spans="1:21">
      <c r="A828" s="991" t="str">
        <f ca="1">IFERROR(IF(COUNTIF($A$3:A827,A827)&lt; INDEX(TinhGia!$BH$10:$BH$81,MATCH($A827,TinhGia!$B$10:$B$81,0)),$A827,INDEX(TinhGia!$B$10:$B$81,MATCH($A827,TinhGia!$B$10:$B$81,0)+1)),"")</f>
        <v/>
      </c>
      <c r="B828" s="525" t="str">
        <f ca="1">IF(OR(A828="",A828=0),"",IF(COUNTIF($A$2:A828,$A828)=1,ROW(MauKoXoa!$C$108),$B827+1))</f>
        <v/>
      </c>
      <c r="C828" s="992" t="str">
        <f t="shared" ca="1" si="126"/>
        <v/>
      </c>
      <c r="D828" s="993" t="str">
        <f t="shared" ca="1" si="127"/>
        <v/>
      </c>
      <c r="E828" s="993" t="str">
        <f t="shared" ca="1" si="128"/>
        <v/>
      </c>
      <c r="F828" s="992" t="str">
        <f t="shared" ca="1" si="136"/>
        <v/>
      </c>
      <c r="G828" s="994">
        <f t="shared" ca="1" si="129"/>
        <v>0</v>
      </c>
      <c r="H828" s="913">
        <f t="shared" ca="1" si="130"/>
        <v>0</v>
      </c>
      <c r="I828" s="913">
        <f t="shared" ca="1" si="131"/>
        <v>0</v>
      </c>
      <c r="J828" s="995">
        <f t="shared" ca="1" si="137"/>
        <v>0</v>
      </c>
      <c r="K828" s="913">
        <f t="shared" ca="1" si="132"/>
        <v>0</v>
      </c>
      <c r="L828" s="995">
        <f t="shared" ca="1" si="138"/>
        <v>0</v>
      </c>
      <c r="M828" s="913">
        <f t="shared" ca="1" si="133"/>
        <v>0</v>
      </c>
      <c r="N828" s="996">
        <f t="shared" ca="1" si="134"/>
        <v>0</v>
      </c>
      <c r="O828" s="997">
        <f t="shared" ca="1" si="135"/>
        <v>0</v>
      </c>
      <c r="P828" s="1015" t="str">
        <f ca="1">IF($C828="","",INDEX(NVLSX!$N$2:$N$6941,MATCH($C828,NVLSX!$E$2:$E$6941,0)))</f>
        <v/>
      </c>
      <c r="Q828" s="1016" t="str">
        <f ca="1">IF($R828="","",IF(XKNVLSX!$X$1="",IF($P828=$V$7,$P828, IF(COUNTIFS($C$2:$C827,$C828,$E$2:$E827,$E828)&gt;=1,"",$P828)),     IF(AND(IFERROR(SEARCH($R828,XKNVLSX!$X$1,1),0)&gt;=1,$P828=$V$7),$P828, IF(OR($R828&lt;&gt;IF(IFERROR(SEARCH($R828,XKNVLSX!$X$1,1),0)&gt;=1,$R828,XKNVLSX!$X$1),COUNTIFS($C$2:$C827,$C828,$E$2:$E827,$E828,$Q$2:$Q827,$P828)&gt;=1),"",$P828))))</f>
        <v/>
      </c>
      <c r="R828" s="1017" t="str">
        <f ca="1">IF($A828="","",IFERROR(INDEX(TinhGia!$BF$10:$BF$81,MATCH($A828,TinhGia!$B$10:$B$81,0)),""))</f>
        <v/>
      </c>
      <c r="S828" s="1012" t="str">
        <f ca="1">IF($A828="","",IF(OR(IFERROR(SEARCH($R828,XKNVLSX!$X$1,1),0)&gt;=1,XKNVLSX!$X$1=""),$S$2,""))</f>
        <v/>
      </c>
      <c r="T828" s="1018" t="str">
        <f ca="1">IF($C828="","", IF(OR($P828=$V$1,$P828=$V$7,COUNTIFS($C$3:$C828,$C828,$E$3:$E828,$E828)&lt;=1),$P828,""    ))</f>
        <v/>
      </c>
      <c r="U828" s="1019" t="str">
        <f ca="1">IF(AND($P828=$V$2,COUNTIFS($C$3:$C828,$C828,$E$3:$E828,$E828,$G$3:$G828,$G828)&lt;=1),$P828,"")</f>
        <v/>
      </c>
    </row>
    <row r="829" spans="1:21">
      <c r="A829" s="991" t="str">
        <f ca="1">IFERROR(IF(COUNTIF($A$3:A828,A828)&lt; INDEX(TinhGia!$BH$10:$BH$81,MATCH($A828,TinhGia!$B$10:$B$81,0)),$A828,INDEX(TinhGia!$B$10:$B$81,MATCH($A828,TinhGia!$B$10:$B$81,0)+1)),"")</f>
        <v/>
      </c>
      <c r="B829" s="525" t="str">
        <f ca="1">IF(OR(A829="",A829=0),"",IF(COUNTIF($A$2:A829,$A829)=1,ROW(MauKoXoa!$C$108),$B828+1))</f>
        <v/>
      </c>
      <c r="C829" s="992" t="str">
        <f t="shared" ca="1" si="126"/>
        <v/>
      </c>
      <c r="D829" s="993" t="str">
        <f t="shared" ca="1" si="127"/>
        <v/>
      </c>
      <c r="E829" s="993" t="str">
        <f t="shared" ca="1" si="128"/>
        <v/>
      </c>
      <c r="F829" s="992" t="str">
        <f t="shared" ca="1" si="136"/>
        <v/>
      </c>
      <c r="G829" s="994">
        <f t="shared" ca="1" si="129"/>
        <v>0</v>
      </c>
      <c r="H829" s="913">
        <f t="shared" ca="1" si="130"/>
        <v>0</v>
      </c>
      <c r="I829" s="913">
        <f t="shared" ca="1" si="131"/>
        <v>0</v>
      </c>
      <c r="J829" s="995">
        <f t="shared" ca="1" si="137"/>
        <v>0</v>
      </c>
      <c r="K829" s="913">
        <f t="shared" ca="1" si="132"/>
        <v>0</v>
      </c>
      <c r="L829" s="995">
        <f t="shared" ca="1" si="138"/>
        <v>0</v>
      </c>
      <c r="M829" s="913">
        <f t="shared" ca="1" si="133"/>
        <v>0</v>
      </c>
      <c r="N829" s="996">
        <f t="shared" ca="1" si="134"/>
        <v>0</v>
      </c>
      <c r="O829" s="997">
        <f t="shared" ca="1" si="135"/>
        <v>0</v>
      </c>
      <c r="P829" s="1015" t="str">
        <f ca="1">IF($C829="","",INDEX(NVLSX!$N$2:$N$6941,MATCH($C829,NVLSX!$E$2:$E$6941,0)))</f>
        <v/>
      </c>
      <c r="Q829" s="1016" t="str">
        <f ca="1">IF($R829="","",IF(XKNVLSX!$X$1="",IF($P829=$V$7,$P829, IF(COUNTIFS($C$2:$C828,$C829,$E$2:$E828,$E829)&gt;=1,"",$P829)),     IF(AND(IFERROR(SEARCH($R829,XKNVLSX!$X$1,1),0)&gt;=1,$P829=$V$7),$P829, IF(OR($R829&lt;&gt;IF(IFERROR(SEARCH($R829,XKNVLSX!$X$1,1),0)&gt;=1,$R829,XKNVLSX!$X$1),COUNTIFS($C$2:$C828,$C829,$E$2:$E828,$E829,$Q$2:$Q828,$P829)&gt;=1),"",$P829))))</f>
        <v/>
      </c>
      <c r="R829" s="1017" t="str">
        <f ca="1">IF($A829="","",IFERROR(INDEX(TinhGia!$BF$10:$BF$81,MATCH($A829,TinhGia!$B$10:$B$81,0)),""))</f>
        <v/>
      </c>
      <c r="S829" s="1012" t="str">
        <f ca="1">IF($A829="","",IF(OR(IFERROR(SEARCH($R829,XKNVLSX!$X$1,1),0)&gt;=1,XKNVLSX!$X$1=""),$S$2,""))</f>
        <v/>
      </c>
      <c r="T829" s="1018" t="str">
        <f ca="1">IF($C829="","", IF(OR($P829=$V$1,$P829=$V$7,COUNTIFS($C$3:$C829,$C829,$E$3:$E829,$E829)&lt;=1),$P829,""    ))</f>
        <v/>
      </c>
      <c r="U829" s="1019" t="str">
        <f ca="1">IF(AND($P829=$V$2,COUNTIFS($C$3:$C829,$C829,$E$3:$E829,$E829,$G$3:$G829,$G829)&lt;=1),$P829,"")</f>
        <v/>
      </c>
    </row>
    <row r="830" spans="1:21">
      <c r="A830" s="991" t="str">
        <f ca="1">IFERROR(IF(COUNTIF($A$3:A829,A829)&lt; INDEX(TinhGia!$BH$10:$BH$81,MATCH($A829,TinhGia!$B$10:$B$81,0)),$A829,INDEX(TinhGia!$B$10:$B$81,MATCH($A829,TinhGia!$B$10:$B$81,0)+1)),"")</f>
        <v/>
      </c>
      <c r="B830" s="525" t="str">
        <f ca="1">IF(OR(A830="",A830=0),"",IF(COUNTIF($A$2:A830,$A830)=1,ROW(MauKoXoa!$C$108),$B829+1))</f>
        <v/>
      </c>
      <c r="C830" s="992" t="str">
        <f t="shared" ca="1" si="126"/>
        <v/>
      </c>
      <c r="D830" s="993" t="str">
        <f t="shared" ca="1" si="127"/>
        <v/>
      </c>
      <c r="E830" s="993" t="str">
        <f t="shared" ca="1" si="128"/>
        <v/>
      </c>
      <c r="F830" s="992" t="str">
        <f t="shared" ca="1" si="136"/>
        <v/>
      </c>
      <c r="G830" s="994">
        <f t="shared" ca="1" si="129"/>
        <v>0</v>
      </c>
      <c r="H830" s="913">
        <f t="shared" ca="1" si="130"/>
        <v>0</v>
      </c>
      <c r="I830" s="913">
        <f t="shared" ca="1" si="131"/>
        <v>0</v>
      </c>
      <c r="J830" s="995">
        <f t="shared" ca="1" si="137"/>
        <v>0</v>
      </c>
      <c r="K830" s="913">
        <f t="shared" ca="1" si="132"/>
        <v>0</v>
      </c>
      <c r="L830" s="995">
        <f t="shared" ca="1" si="138"/>
        <v>0</v>
      </c>
      <c r="M830" s="913">
        <f t="shared" ca="1" si="133"/>
        <v>0</v>
      </c>
      <c r="N830" s="996">
        <f t="shared" ca="1" si="134"/>
        <v>0</v>
      </c>
      <c r="O830" s="997">
        <f t="shared" ca="1" si="135"/>
        <v>0</v>
      </c>
      <c r="P830" s="1015" t="str">
        <f ca="1">IF($C830="","",INDEX(NVLSX!$N$2:$N$6941,MATCH($C830,NVLSX!$E$2:$E$6941,0)))</f>
        <v/>
      </c>
      <c r="Q830" s="1016" t="str">
        <f ca="1">IF($R830="","",IF(XKNVLSX!$X$1="",IF($P830=$V$7,$P830, IF(COUNTIFS($C$2:$C829,$C830,$E$2:$E829,$E830)&gt;=1,"",$P830)),     IF(AND(IFERROR(SEARCH($R830,XKNVLSX!$X$1,1),0)&gt;=1,$P830=$V$7),$P830, IF(OR($R830&lt;&gt;IF(IFERROR(SEARCH($R830,XKNVLSX!$X$1,1),0)&gt;=1,$R830,XKNVLSX!$X$1),COUNTIFS($C$2:$C829,$C830,$E$2:$E829,$E830,$Q$2:$Q829,$P830)&gt;=1),"",$P830))))</f>
        <v/>
      </c>
      <c r="R830" s="1017" t="str">
        <f ca="1">IF($A830="","",IFERROR(INDEX(TinhGia!$BF$10:$BF$81,MATCH($A830,TinhGia!$B$10:$B$81,0)),""))</f>
        <v/>
      </c>
      <c r="S830" s="1012" t="str">
        <f ca="1">IF($A830="","",IF(OR(IFERROR(SEARCH($R830,XKNVLSX!$X$1,1),0)&gt;=1,XKNVLSX!$X$1=""),$S$2,""))</f>
        <v/>
      </c>
      <c r="T830" s="1018" t="str">
        <f ca="1">IF($C830="","", IF(OR($P830=$V$1,$P830=$V$7,COUNTIFS($C$3:$C830,$C830,$E$3:$E830,$E830)&lt;=1),$P830,""    ))</f>
        <v/>
      </c>
      <c r="U830" s="1019" t="str">
        <f ca="1">IF(AND($P830=$V$2,COUNTIFS($C$3:$C830,$C830,$E$3:$E830,$E830,$G$3:$G830,$G830)&lt;=1),$P830,"")</f>
        <v/>
      </c>
    </row>
    <row r="831" spans="1:21">
      <c r="A831" s="991" t="str">
        <f ca="1">IFERROR(IF(COUNTIF($A$3:A830,A830)&lt; INDEX(TinhGia!$BH$10:$BH$81,MATCH($A830,TinhGia!$B$10:$B$81,0)),$A830,INDEX(TinhGia!$B$10:$B$81,MATCH($A830,TinhGia!$B$10:$B$81,0)+1)),"")</f>
        <v/>
      </c>
      <c r="B831" s="525" t="str">
        <f ca="1">IF(OR(A831="",A831=0),"",IF(COUNTIF($A$2:A831,$A831)=1,ROW(MauKoXoa!$C$108),$B830+1))</f>
        <v/>
      </c>
      <c r="C831" s="992" t="str">
        <f t="shared" ca="1" si="126"/>
        <v/>
      </c>
      <c r="D831" s="993" t="str">
        <f t="shared" ca="1" si="127"/>
        <v/>
      </c>
      <c r="E831" s="993" t="str">
        <f t="shared" ca="1" si="128"/>
        <v/>
      </c>
      <c r="F831" s="992" t="str">
        <f t="shared" ca="1" si="136"/>
        <v/>
      </c>
      <c r="G831" s="994">
        <f t="shared" ca="1" si="129"/>
        <v>0</v>
      </c>
      <c r="H831" s="913">
        <f t="shared" ca="1" si="130"/>
        <v>0</v>
      </c>
      <c r="I831" s="913">
        <f t="shared" ca="1" si="131"/>
        <v>0</v>
      </c>
      <c r="J831" s="995">
        <f t="shared" ca="1" si="137"/>
        <v>0</v>
      </c>
      <c r="K831" s="913">
        <f t="shared" ca="1" si="132"/>
        <v>0</v>
      </c>
      <c r="L831" s="995">
        <f t="shared" ca="1" si="138"/>
        <v>0</v>
      </c>
      <c r="M831" s="913">
        <f t="shared" ca="1" si="133"/>
        <v>0</v>
      </c>
      <c r="N831" s="996">
        <f t="shared" ca="1" si="134"/>
        <v>0</v>
      </c>
      <c r="O831" s="997">
        <f t="shared" ca="1" si="135"/>
        <v>0</v>
      </c>
      <c r="P831" s="1015" t="str">
        <f ca="1">IF($C831="","",INDEX(NVLSX!$N$2:$N$6941,MATCH($C831,NVLSX!$E$2:$E$6941,0)))</f>
        <v/>
      </c>
      <c r="Q831" s="1016" t="str">
        <f ca="1">IF($R831="","",IF(XKNVLSX!$X$1="",IF($P831=$V$7,$P831, IF(COUNTIFS($C$2:$C830,$C831,$E$2:$E830,$E831)&gt;=1,"",$P831)),     IF(AND(IFERROR(SEARCH($R831,XKNVLSX!$X$1,1),0)&gt;=1,$P831=$V$7),$P831, IF(OR($R831&lt;&gt;IF(IFERROR(SEARCH($R831,XKNVLSX!$X$1,1),0)&gt;=1,$R831,XKNVLSX!$X$1),COUNTIFS($C$2:$C830,$C831,$E$2:$E830,$E831,$Q$2:$Q830,$P831)&gt;=1),"",$P831))))</f>
        <v/>
      </c>
      <c r="R831" s="1017" t="str">
        <f ca="1">IF($A831="","",IFERROR(INDEX(TinhGia!$BF$10:$BF$81,MATCH($A831,TinhGia!$B$10:$B$81,0)),""))</f>
        <v/>
      </c>
      <c r="S831" s="1012" t="str">
        <f ca="1">IF($A831="","",IF(OR(IFERROR(SEARCH($R831,XKNVLSX!$X$1,1),0)&gt;=1,XKNVLSX!$X$1=""),$S$2,""))</f>
        <v/>
      </c>
      <c r="T831" s="1018" t="str">
        <f ca="1">IF($C831="","", IF(OR($P831=$V$1,$P831=$V$7,COUNTIFS($C$3:$C831,$C831,$E$3:$E831,$E831)&lt;=1),$P831,""    ))</f>
        <v/>
      </c>
      <c r="U831" s="1019" t="str">
        <f ca="1">IF(AND($P831=$V$2,COUNTIFS($C$3:$C831,$C831,$E$3:$E831,$E831,$G$3:$G831,$G831)&lt;=1),$P831,"")</f>
        <v/>
      </c>
    </row>
    <row r="832" spans="1:21">
      <c r="A832" s="991" t="str">
        <f ca="1">IFERROR(IF(COUNTIF($A$3:A831,A831)&lt; INDEX(TinhGia!$BH$10:$BH$81,MATCH($A831,TinhGia!$B$10:$B$81,0)),$A831,INDEX(TinhGia!$B$10:$B$81,MATCH($A831,TinhGia!$B$10:$B$81,0)+1)),"")</f>
        <v/>
      </c>
      <c r="B832" s="525" t="str">
        <f ca="1">IF(OR(A832="",A832=0),"",IF(COUNTIF($A$2:A832,$A832)=1,ROW(MauKoXoa!$C$108),$B831+1))</f>
        <v/>
      </c>
      <c r="C832" s="992" t="str">
        <f t="shared" ca="1" si="126"/>
        <v/>
      </c>
      <c r="D832" s="993" t="str">
        <f t="shared" ca="1" si="127"/>
        <v/>
      </c>
      <c r="E832" s="993" t="str">
        <f t="shared" ca="1" si="128"/>
        <v/>
      </c>
      <c r="F832" s="992" t="str">
        <f t="shared" ca="1" si="136"/>
        <v/>
      </c>
      <c r="G832" s="994">
        <f t="shared" ca="1" si="129"/>
        <v>0</v>
      </c>
      <c r="H832" s="913">
        <f t="shared" ca="1" si="130"/>
        <v>0</v>
      </c>
      <c r="I832" s="913">
        <f t="shared" ca="1" si="131"/>
        <v>0</v>
      </c>
      <c r="J832" s="995">
        <f t="shared" ca="1" si="137"/>
        <v>0</v>
      </c>
      <c r="K832" s="913">
        <f t="shared" ca="1" si="132"/>
        <v>0</v>
      </c>
      <c r="L832" s="995">
        <f t="shared" ca="1" si="138"/>
        <v>0</v>
      </c>
      <c r="M832" s="913">
        <f t="shared" ca="1" si="133"/>
        <v>0</v>
      </c>
      <c r="N832" s="996">
        <f t="shared" ca="1" si="134"/>
        <v>0</v>
      </c>
      <c r="O832" s="997">
        <f t="shared" ca="1" si="135"/>
        <v>0</v>
      </c>
      <c r="P832" s="1015" t="str">
        <f ca="1">IF($C832="","",INDEX(NVLSX!$N$2:$N$6941,MATCH($C832,NVLSX!$E$2:$E$6941,0)))</f>
        <v/>
      </c>
      <c r="Q832" s="1016" t="str">
        <f ca="1">IF($R832="","",IF(XKNVLSX!$X$1="",IF($P832=$V$7,$P832, IF(COUNTIFS($C$2:$C831,$C832,$E$2:$E831,$E832)&gt;=1,"",$P832)),     IF(AND(IFERROR(SEARCH($R832,XKNVLSX!$X$1,1),0)&gt;=1,$P832=$V$7),$P832, IF(OR($R832&lt;&gt;IF(IFERROR(SEARCH($R832,XKNVLSX!$X$1,1),0)&gt;=1,$R832,XKNVLSX!$X$1),COUNTIFS($C$2:$C831,$C832,$E$2:$E831,$E832,$Q$2:$Q831,$P832)&gt;=1),"",$P832))))</f>
        <v/>
      </c>
      <c r="R832" s="1017" t="str">
        <f ca="1">IF($A832="","",IFERROR(INDEX(TinhGia!$BF$10:$BF$81,MATCH($A832,TinhGia!$B$10:$B$81,0)),""))</f>
        <v/>
      </c>
      <c r="S832" s="1012" t="str">
        <f ca="1">IF($A832="","",IF(OR(IFERROR(SEARCH($R832,XKNVLSX!$X$1,1),0)&gt;=1,XKNVLSX!$X$1=""),$S$2,""))</f>
        <v/>
      </c>
      <c r="T832" s="1018" t="str">
        <f ca="1">IF($C832="","", IF(OR($P832=$V$1,$P832=$V$7,COUNTIFS($C$3:$C832,$C832,$E$3:$E832,$E832)&lt;=1),$P832,""    ))</f>
        <v/>
      </c>
      <c r="U832" s="1019" t="str">
        <f ca="1">IF(AND($P832=$V$2,COUNTIFS($C$3:$C832,$C832,$E$3:$E832,$E832,$G$3:$G832,$G832)&lt;=1),$P832,"")</f>
        <v/>
      </c>
    </row>
    <row r="833" spans="1:21">
      <c r="A833" s="991" t="str">
        <f ca="1">IFERROR(IF(COUNTIF($A$3:A832,A832)&lt; INDEX(TinhGia!$BH$10:$BH$81,MATCH($A832,TinhGia!$B$10:$B$81,0)),$A832,INDEX(TinhGia!$B$10:$B$81,MATCH($A832,TinhGia!$B$10:$B$81,0)+1)),"")</f>
        <v/>
      </c>
      <c r="B833" s="525" t="str">
        <f ca="1">IF(OR(A833="",A833=0),"",IF(COUNTIF($A$2:A833,$A833)=1,ROW(MauKoXoa!$C$108),$B832+1))</f>
        <v/>
      </c>
      <c r="C833" s="992" t="str">
        <f t="shared" ca="1" si="126"/>
        <v/>
      </c>
      <c r="D833" s="993" t="str">
        <f t="shared" ca="1" si="127"/>
        <v/>
      </c>
      <c r="E833" s="993" t="str">
        <f t="shared" ca="1" si="128"/>
        <v/>
      </c>
      <c r="F833" s="992" t="str">
        <f t="shared" ca="1" si="136"/>
        <v/>
      </c>
      <c r="G833" s="994">
        <f t="shared" ca="1" si="129"/>
        <v>0</v>
      </c>
      <c r="H833" s="913">
        <f t="shared" ca="1" si="130"/>
        <v>0</v>
      </c>
      <c r="I833" s="913">
        <f t="shared" ca="1" si="131"/>
        <v>0</v>
      </c>
      <c r="J833" s="995">
        <f t="shared" ca="1" si="137"/>
        <v>0</v>
      </c>
      <c r="K833" s="913">
        <f t="shared" ca="1" si="132"/>
        <v>0</v>
      </c>
      <c r="L833" s="995">
        <f t="shared" ca="1" si="138"/>
        <v>0</v>
      </c>
      <c r="M833" s="913">
        <f t="shared" ca="1" si="133"/>
        <v>0</v>
      </c>
      <c r="N833" s="996">
        <f t="shared" ca="1" si="134"/>
        <v>0</v>
      </c>
      <c r="O833" s="997">
        <f t="shared" ca="1" si="135"/>
        <v>0</v>
      </c>
      <c r="P833" s="1015" t="str">
        <f ca="1">IF($C833="","",INDEX(NVLSX!$N$2:$N$6941,MATCH($C833,NVLSX!$E$2:$E$6941,0)))</f>
        <v/>
      </c>
      <c r="Q833" s="1016" t="str">
        <f ca="1">IF($R833="","",IF(XKNVLSX!$X$1="",IF($P833=$V$7,$P833, IF(COUNTIFS($C$2:$C832,$C833,$E$2:$E832,$E833)&gt;=1,"",$P833)),     IF(AND(IFERROR(SEARCH($R833,XKNVLSX!$X$1,1),0)&gt;=1,$P833=$V$7),$P833, IF(OR($R833&lt;&gt;IF(IFERROR(SEARCH($R833,XKNVLSX!$X$1,1),0)&gt;=1,$R833,XKNVLSX!$X$1),COUNTIFS($C$2:$C832,$C833,$E$2:$E832,$E833,$Q$2:$Q832,$P833)&gt;=1),"",$P833))))</f>
        <v/>
      </c>
      <c r="R833" s="1017" t="str">
        <f ca="1">IF($A833="","",IFERROR(INDEX(TinhGia!$BF$10:$BF$81,MATCH($A833,TinhGia!$B$10:$B$81,0)),""))</f>
        <v/>
      </c>
      <c r="S833" s="1012" t="str">
        <f ca="1">IF($A833="","",IF(OR(IFERROR(SEARCH($R833,XKNVLSX!$X$1,1),0)&gt;=1,XKNVLSX!$X$1=""),$S$2,""))</f>
        <v/>
      </c>
      <c r="T833" s="1018" t="str">
        <f ca="1">IF($C833="","", IF(OR($P833=$V$1,$P833=$V$7,COUNTIFS($C$3:$C833,$C833,$E$3:$E833,$E833)&lt;=1),$P833,""    ))</f>
        <v/>
      </c>
      <c r="U833" s="1019" t="str">
        <f ca="1">IF(AND($P833=$V$2,COUNTIFS($C$3:$C833,$C833,$E$3:$E833,$E833,$G$3:$G833,$G833)&lt;=1),$P833,"")</f>
        <v/>
      </c>
    </row>
    <row r="834" spans="1:21">
      <c r="A834" s="991" t="str">
        <f ca="1">IFERROR(IF(COUNTIF($A$3:A833,A833)&lt; INDEX(TinhGia!$BH$10:$BH$81,MATCH($A833,TinhGia!$B$10:$B$81,0)),$A833,INDEX(TinhGia!$B$10:$B$81,MATCH($A833,TinhGia!$B$10:$B$81,0)+1)),"")</f>
        <v/>
      </c>
      <c r="B834" s="525" t="str">
        <f ca="1">IF(OR(A834="",A834=0),"",IF(COUNTIF($A$2:A834,$A834)=1,ROW(MauKoXoa!$C$108),$B833+1))</f>
        <v/>
      </c>
      <c r="C834" s="992" t="str">
        <f t="shared" ref="C834:C897" ca="1" si="139">IFERROR(INDIRECT("'" &amp; $A834 &amp; "'!" &amp; "C" &amp; $B834),"")</f>
        <v/>
      </c>
      <c r="D834" s="993" t="str">
        <f t="shared" ref="D834:D897" ca="1" si="140">IFERROR(INDIRECT("'" &amp; $A834 &amp; "'!" &amp; "D" &amp; $B834),"")</f>
        <v/>
      </c>
      <c r="E834" s="993" t="str">
        <f t="shared" ref="E834:E897" ca="1" si="141">IFERROR(INDIRECT("'" &amp; $A834 &amp; "'!" &amp; "P" &amp; $B834),"")</f>
        <v/>
      </c>
      <c r="F834" s="992" t="str">
        <f t="shared" ca="1" si="136"/>
        <v/>
      </c>
      <c r="G834" s="994">
        <f t="shared" ref="G834:G897" ca="1" si="142">IFERROR(INDIRECT("'" &amp; $A834 &amp; "'!" &amp; "F" &amp; $B834),0)</f>
        <v>0</v>
      </c>
      <c r="H834" s="913">
        <f t="shared" ref="H834:H897" ca="1" si="143">IFERROR(INDIRECT("'" &amp; $A834 &amp; "'!" &amp; "G" &amp; $B834),0)</f>
        <v>0</v>
      </c>
      <c r="I834" s="913">
        <f t="shared" ref="I834:I897" ca="1" si="144">IFERROR(INDIRECT("'" &amp; $A834 &amp; "'!" &amp; "H" &amp; $B834),0)</f>
        <v>0</v>
      </c>
      <c r="J834" s="995">
        <f t="shared" ca="1" si="137"/>
        <v>0</v>
      </c>
      <c r="K834" s="913">
        <f t="shared" ref="K834:K897" ca="1" si="145">IFERROR(INDIRECT("'" &amp; $A834 &amp; "'!" &amp; "L" &amp; $B834),0)</f>
        <v>0</v>
      </c>
      <c r="L834" s="995">
        <f t="shared" ca="1" si="138"/>
        <v>0</v>
      </c>
      <c r="M834" s="913">
        <f t="shared" ref="M834:M897" ca="1" si="146">IFERROR(INDIRECT("'" &amp; $A834 &amp; "'!" &amp; "M" &amp; $B834),0)</f>
        <v>0</v>
      </c>
      <c r="N834" s="996">
        <f t="shared" ref="N834:N897" ca="1" si="147">IFERROR(INDIRECT("'" &amp; $A834 &amp; "'!" &amp; "N" &amp; $B834),0)</f>
        <v>0</v>
      </c>
      <c r="O834" s="997">
        <f t="shared" ref="O834:O897" ca="1" si="148">IFERROR(INDIRECT("'" &amp; $A834 &amp; "'!" &amp; "O" &amp; $B834),0)</f>
        <v>0</v>
      </c>
      <c r="P834" s="1015" t="str">
        <f ca="1">IF($C834="","",INDEX(NVLSX!$N$2:$N$6941,MATCH($C834,NVLSX!$E$2:$E$6941,0)))</f>
        <v/>
      </c>
      <c r="Q834" s="1016" t="str">
        <f ca="1">IF($R834="","",IF(XKNVLSX!$X$1="",IF($P834=$V$7,$P834, IF(COUNTIFS($C$2:$C833,$C834,$E$2:$E833,$E834)&gt;=1,"",$P834)),     IF(AND(IFERROR(SEARCH($R834,XKNVLSX!$X$1,1),0)&gt;=1,$P834=$V$7),$P834, IF(OR($R834&lt;&gt;IF(IFERROR(SEARCH($R834,XKNVLSX!$X$1,1),0)&gt;=1,$R834,XKNVLSX!$X$1),COUNTIFS($C$2:$C833,$C834,$E$2:$E833,$E834,$Q$2:$Q833,$P834)&gt;=1),"",$P834))))</f>
        <v/>
      </c>
      <c r="R834" s="1017" t="str">
        <f ca="1">IF($A834="","",IFERROR(INDEX(TinhGia!$BF$10:$BF$81,MATCH($A834,TinhGia!$B$10:$B$81,0)),""))</f>
        <v/>
      </c>
      <c r="S834" s="1012" t="str">
        <f ca="1">IF($A834="","",IF(OR(IFERROR(SEARCH($R834,XKNVLSX!$X$1,1),0)&gt;=1,XKNVLSX!$X$1=""),$S$2,""))</f>
        <v/>
      </c>
      <c r="T834" s="1018" t="str">
        <f ca="1">IF($C834="","", IF(OR($P834=$V$1,$P834=$V$7,COUNTIFS($C$3:$C834,$C834,$E$3:$E834,$E834)&lt;=1),$P834,""    ))</f>
        <v/>
      </c>
      <c r="U834" s="1019" t="str">
        <f ca="1">IF(AND($P834=$V$2,COUNTIFS($C$3:$C834,$C834,$E$3:$E834,$E834,$G$3:$G834,$G834)&lt;=1),$P834,"")</f>
        <v/>
      </c>
    </row>
    <row r="835" spans="1:21">
      <c r="A835" s="991" t="str">
        <f ca="1">IFERROR(IF(COUNTIF($A$3:A834,A834)&lt; INDEX(TinhGia!$BH$10:$BH$81,MATCH($A834,TinhGia!$B$10:$B$81,0)),$A834,INDEX(TinhGia!$B$10:$B$81,MATCH($A834,TinhGia!$B$10:$B$81,0)+1)),"")</f>
        <v/>
      </c>
      <c r="B835" s="525" t="str">
        <f ca="1">IF(OR(A835="",A835=0),"",IF(COUNTIF($A$2:A835,$A835)=1,ROW(MauKoXoa!$C$108),$B834+1))</f>
        <v/>
      </c>
      <c r="C835" s="992" t="str">
        <f t="shared" ca="1" si="139"/>
        <v/>
      </c>
      <c r="D835" s="993" t="str">
        <f t="shared" ca="1" si="140"/>
        <v/>
      </c>
      <c r="E835" s="993" t="str">
        <f t="shared" ca="1" si="141"/>
        <v/>
      </c>
      <c r="F835" s="992" t="str">
        <f t="shared" ref="F835:F898" ca="1" si="149">IF($P835=$V$7, IFERROR(INDIRECT("'" &amp; $A835 &amp; "'!" &amp; "I" &amp; $B835),""),IFERROR(INDIRECT("'" &amp; $A835 &amp; "'!" &amp; "E" &amp; $B835),""))</f>
        <v/>
      </c>
      <c r="G835" s="994">
        <f t="shared" ca="1" si="142"/>
        <v>0</v>
      </c>
      <c r="H835" s="913">
        <f t="shared" ca="1" si="143"/>
        <v>0</v>
      </c>
      <c r="I835" s="913">
        <f t="shared" ca="1" si="144"/>
        <v>0</v>
      </c>
      <c r="J835" s="995">
        <f t="shared" ca="1" si="137"/>
        <v>0</v>
      </c>
      <c r="K835" s="913">
        <f t="shared" ca="1" si="145"/>
        <v>0</v>
      </c>
      <c r="L835" s="995">
        <f t="shared" ca="1" si="138"/>
        <v>0</v>
      </c>
      <c r="M835" s="913">
        <f t="shared" ca="1" si="146"/>
        <v>0</v>
      </c>
      <c r="N835" s="996">
        <f t="shared" ca="1" si="147"/>
        <v>0</v>
      </c>
      <c r="O835" s="997">
        <f t="shared" ca="1" si="148"/>
        <v>0</v>
      </c>
      <c r="P835" s="1015" t="str">
        <f ca="1">IF($C835="","",INDEX(NVLSX!$N$2:$N$6941,MATCH($C835,NVLSX!$E$2:$E$6941,0)))</f>
        <v/>
      </c>
      <c r="Q835" s="1016" t="str">
        <f ca="1">IF($R835="","",IF(XKNVLSX!$X$1="",IF($P835=$V$7,$P835, IF(COUNTIFS($C$2:$C834,$C835,$E$2:$E834,$E835)&gt;=1,"",$P835)),     IF(AND(IFERROR(SEARCH($R835,XKNVLSX!$X$1,1),0)&gt;=1,$P835=$V$7),$P835, IF(OR($R835&lt;&gt;IF(IFERROR(SEARCH($R835,XKNVLSX!$X$1,1),0)&gt;=1,$R835,XKNVLSX!$X$1),COUNTIFS($C$2:$C834,$C835,$E$2:$E834,$E835,$Q$2:$Q834,$P835)&gt;=1),"",$P835))))</f>
        <v/>
      </c>
      <c r="R835" s="1017" t="str">
        <f ca="1">IF($A835="","",IFERROR(INDEX(TinhGia!$BF$10:$BF$81,MATCH($A835,TinhGia!$B$10:$B$81,0)),""))</f>
        <v/>
      </c>
      <c r="S835" s="1012" t="str">
        <f ca="1">IF($A835="","",IF(OR(IFERROR(SEARCH($R835,XKNVLSX!$X$1,1),0)&gt;=1,XKNVLSX!$X$1=""),$S$2,""))</f>
        <v/>
      </c>
      <c r="T835" s="1018" t="str">
        <f ca="1">IF($C835="","", IF(OR($P835=$V$1,$P835=$V$7,COUNTIFS($C$3:$C835,$C835,$E$3:$E835,$E835)&lt;=1),$P835,""    ))</f>
        <v/>
      </c>
      <c r="U835" s="1019" t="str">
        <f ca="1">IF(AND($P835=$V$2,COUNTIFS($C$3:$C835,$C835,$E$3:$E835,$E835,$G$3:$G835,$G835)&lt;=1),$P835,"")</f>
        <v/>
      </c>
    </row>
    <row r="836" spans="1:21">
      <c r="A836" s="991" t="str">
        <f ca="1">IFERROR(IF(COUNTIF($A$3:A835,A835)&lt; INDEX(TinhGia!$BH$10:$BH$81,MATCH($A835,TinhGia!$B$10:$B$81,0)),$A835,INDEX(TinhGia!$B$10:$B$81,MATCH($A835,TinhGia!$B$10:$B$81,0)+1)),"")</f>
        <v/>
      </c>
      <c r="B836" s="525" t="str">
        <f ca="1">IF(OR(A836="",A836=0),"",IF(COUNTIF($A$2:A836,$A836)=1,ROW(MauKoXoa!$C$108),$B835+1))</f>
        <v/>
      </c>
      <c r="C836" s="992" t="str">
        <f t="shared" ca="1" si="139"/>
        <v/>
      </c>
      <c r="D836" s="993" t="str">
        <f t="shared" ca="1" si="140"/>
        <v/>
      </c>
      <c r="E836" s="993" t="str">
        <f t="shared" ca="1" si="141"/>
        <v/>
      </c>
      <c r="F836" s="992" t="str">
        <f t="shared" ca="1" si="149"/>
        <v/>
      </c>
      <c r="G836" s="994">
        <f t="shared" ca="1" si="142"/>
        <v>0</v>
      </c>
      <c r="H836" s="913">
        <f t="shared" ca="1" si="143"/>
        <v>0</v>
      </c>
      <c r="I836" s="913">
        <f t="shared" ca="1" si="144"/>
        <v>0</v>
      </c>
      <c r="J836" s="995">
        <f t="shared" ref="J836:J899" ca="1" si="150">IFERROR(INDIRECT("'" &amp; $A836 &amp; "'!" &amp; "J" &amp; $B836),0)</f>
        <v>0</v>
      </c>
      <c r="K836" s="913">
        <f t="shared" ca="1" si="145"/>
        <v>0</v>
      </c>
      <c r="L836" s="995">
        <f t="shared" ref="L836:L899" ca="1" si="151">+ IFERROR(INDIRECT("'" &amp; $A836 &amp; "'!" &amp; "K" &amp; $B836),0)</f>
        <v>0</v>
      </c>
      <c r="M836" s="913">
        <f t="shared" ca="1" si="146"/>
        <v>0</v>
      </c>
      <c r="N836" s="996">
        <f t="shared" ca="1" si="147"/>
        <v>0</v>
      </c>
      <c r="O836" s="997">
        <f t="shared" ca="1" si="148"/>
        <v>0</v>
      </c>
      <c r="P836" s="1015" t="str">
        <f ca="1">IF($C836="","",INDEX(NVLSX!$N$2:$N$6941,MATCH($C836,NVLSX!$E$2:$E$6941,0)))</f>
        <v/>
      </c>
      <c r="Q836" s="1016" t="str">
        <f ca="1">IF($R836="","",IF(XKNVLSX!$X$1="",IF($P836=$V$7,$P836, IF(COUNTIFS($C$2:$C835,$C836,$E$2:$E835,$E836)&gt;=1,"",$P836)),     IF(AND(IFERROR(SEARCH($R836,XKNVLSX!$X$1,1),0)&gt;=1,$P836=$V$7),$P836, IF(OR($R836&lt;&gt;IF(IFERROR(SEARCH($R836,XKNVLSX!$X$1,1),0)&gt;=1,$R836,XKNVLSX!$X$1),COUNTIFS($C$2:$C835,$C836,$E$2:$E835,$E836,$Q$2:$Q835,$P836)&gt;=1),"",$P836))))</f>
        <v/>
      </c>
      <c r="R836" s="1017" t="str">
        <f ca="1">IF($A836="","",IFERROR(INDEX(TinhGia!$BF$10:$BF$81,MATCH($A836,TinhGia!$B$10:$B$81,0)),""))</f>
        <v/>
      </c>
      <c r="S836" s="1012" t="str">
        <f ca="1">IF($A836="","",IF(OR(IFERROR(SEARCH($R836,XKNVLSX!$X$1,1),0)&gt;=1,XKNVLSX!$X$1=""),$S$2,""))</f>
        <v/>
      </c>
      <c r="T836" s="1018" t="str">
        <f ca="1">IF($C836="","", IF(OR($P836=$V$1,$P836=$V$7,COUNTIFS($C$3:$C836,$C836,$E$3:$E836,$E836)&lt;=1),$P836,""    ))</f>
        <v/>
      </c>
      <c r="U836" s="1019" t="str">
        <f ca="1">IF(AND($P836=$V$2,COUNTIFS($C$3:$C836,$C836,$E$3:$E836,$E836,$G$3:$G836,$G836)&lt;=1),$P836,"")</f>
        <v/>
      </c>
    </row>
    <row r="837" spans="1:21">
      <c r="A837" s="991" t="str">
        <f ca="1">IFERROR(IF(COUNTIF($A$3:A836,A836)&lt; INDEX(TinhGia!$BH$10:$BH$81,MATCH($A836,TinhGia!$B$10:$B$81,0)),$A836,INDEX(TinhGia!$B$10:$B$81,MATCH($A836,TinhGia!$B$10:$B$81,0)+1)),"")</f>
        <v/>
      </c>
      <c r="B837" s="525" t="str">
        <f ca="1">IF(OR(A837="",A837=0),"",IF(COUNTIF($A$2:A837,$A837)=1,ROW(MauKoXoa!$C$108),$B836+1))</f>
        <v/>
      </c>
      <c r="C837" s="992" t="str">
        <f t="shared" ca="1" si="139"/>
        <v/>
      </c>
      <c r="D837" s="993" t="str">
        <f t="shared" ca="1" si="140"/>
        <v/>
      </c>
      <c r="E837" s="993" t="str">
        <f t="shared" ca="1" si="141"/>
        <v/>
      </c>
      <c r="F837" s="992" t="str">
        <f t="shared" ca="1" si="149"/>
        <v/>
      </c>
      <c r="G837" s="994">
        <f t="shared" ca="1" si="142"/>
        <v>0</v>
      </c>
      <c r="H837" s="913">
        <f t="shared" ca="1" si="143"/>
        <v>0</v>
      </c>
      <c r="I837" s="913">
        <f t="shared" ca="1" si="144"/>
        <v>0</v>
      </c>
      <c r="J837" s="995">
        <f t="shared" ca="1" si="150"/>
        <v>0</v>
      </c>
      <c r="K837" s="913">
        <f t="shared" ca="1" si="145"/>
        <v>0</v>
      </c>
      <c r="L837" s="995">
        <f t="shared" ca="1" si="151"/>
        <v>0</v>
      </c>
      <c r="M837" s="913">
        <f t="shared" ca="1" si="146"/>
        <v>0</v>
      </c>
      <c r="N837" s="996">
        <f t="shared" ca="1" si="147"/>
        <v>0</v>
      </c>
      <c r="O837" s="997">
        <f t="shared" ca="1" si="148"/>
        <v>0</v>
      </c>
      <c r="P837" s="1015" t="str">
        <f ca="1">IF($C837="","",INDEX(NVLSX!$N$2:$N$6941,MATCH($C837,NVLSX!$E$2:$E$6941,0)))</f>
        <v/>
      </c>
      <c r="Q837" s="1016" t="str">
        <f ca="1">IF($R837="","",IF(XKNVLSX!$X$1="",IF($P837=$V$7,$P837, IF(COUNTIFS($C$2:$C836,$C837,$E$2:$E836,$E837)&gt;=1,"",$P837)),     IF(AND(IFERROR(SEARCH($R837,XKNVLSX!$X$1,1),0)&gt;=1,$P837=$V$7),$P837, IF(OR($R837&lt;&gt;IF(IFERROR(SEARCH($R837,XKNVLSX!$X$1,1),0)&gt;=1,$R837,XKNVLSX!$X$1),COUNTIFS($C$2:$C836,$C837,$E$2:$E836,$E837,$Q$2:$Q836,$P837)&gt;=1),"",$P837))))</f>
        <v/>
      </c>
      <c r="R837" s="1017" t="str">
        <f ca="1">IF($A837="","",IFERROR(INDEX(TinhGia!$BF$10:$BF$81,MATCH($A837,TinhGia!$B$10:$B$81,0)),""))</f>
        <v/>
      </c>
      <c r="S837" s="1012" t="str">
        <f ca="1">IF($A837="","",IF(OR(IFERROR(SEARCH($R837,XKNVLSX!$X$1,1),0)&gt;=1,XKNVLSX!$X$1=""),$S$2,""))</f>
        <v/>
      </c>
      <c r="T837" s="1018" t="str">
        <f ca="1">IF($C837="","", IF(OR($P837=$V$1,$P837=$V$7,COUNTIFS($C$3:$C837,$C837,$E$3:$E837,$E837)&lt;=1),$P837,""    ))</f>
        <v/>
      </c>
      <c r="U837" s="1019" t="str">
        <f ca="1">IF(AND($P837=$V$2,COUNTIFS($C$3:$C837,$C837,$E$3:$E837,$E837,$G$3:$G837,$G837)&lt;=1),$P837,"")</f>
        <v/>
      </c>
    </row>
    <row r="838" spans="1:21">
      <c r="A838" s="991" t="str">
        <f ca="1">IFERROR(IF(COUNTIF($A$3:A837,A837)&lt; INDEX(TinhGia!$BH$10:$BH$81,MATCH($A837,TinhGia!$B$10:$B$81,0)),$A837,INDEX(TinhGia!$B$10:$B$81,MATCH($A837,TinhGia!$B$10:$B$81,0)+1)),"")</f>
        <v/>
      </c>
      <c r="B838" s="525" t="str">
        <f ca="1">IF(OR(A838="",A838=0),"",IF(COUNTIF($A$2:A838,$A838)=1,ROW(MauKoXoa!$C$108),$B837+1))</f>
        <v/>
      </c>
      <c r="C838" s="992" t="str">
        <f t="shared" ca="1" si="139"/>
        <v/>
      </c>
      <c r="D838" s="993" t="str">
        <f t="shared" ca="1" si="140"/>
        <v/>
      </c>
      <c r="E838" s="993" t="str">
        <f t="shared" ca="1" si="141"/>
        <v/>
      </c>
      <c r="F838" s="992" t="str">
        <f t="shared" ca="1" si="149"/>
        <v/>
      </c>
      <c r="G838" s="994">
        <f t="shared" ca="1" si="142"/>
        <v>0</v>
      </c>
      <c r="H838" s="913">
        <f t="shared" ca="1" si="143"/>
        <v>0</v>
      </c>
      <c r="I838" s="913">
        <f t="shared" ca="1" si="144"/>
        <v>0</v>
      </c>
      <c r="J838" s="995">
        <f t="shared" ca="1" si="150"/>
        <v>0</v>
      </c>
      <c r="K838" s="913">
        <f t="shared" ca="1" si="145"/>
        <v>0</v>
      </c>
      <c r="L838" s="995">
        <f t="shared" ca="1" si="151"/>
        <v>0</v>
      </c>
      <c r="M838" s="913">
        <f t="shared" ca="1" si="146"/>
        <v>0</v>
      </c>
      <c r="N838" s="996">
        <f t="shared" ca="1" si="147"/>
        <v>0</v>
      </c>
      <c r="O838" s="997">
        <f t="shared" ca="1" si="148"/>
        <v>0</v>
      </c>
      <c r="P838" s="1015" t="str">
        <f ca="1">IF($C838="","",INDEX(NVLSX!$N$2:$N$6941,MATCH($C838,NVLSX!$E$2:$E$6941,0)))</f>
        <v/>
      </c>
      <c r="Q838" s="1016" t="str">
        <f ca="1">IF($R838="","",IF(XKNVLSX!$X$1="",IF($P838=$V$7,$P838, IF(COUNTIFS($C$2:$C837,$C838,$E$2:$E837,$E838)&gt;=1,"",$P838)),     IF(AND(IFERROR(SEARCH($R838,XKNVLSX!$X$1,1),0)&gt;=1,$P838=$V$7),$P838, IF(OR($R838&lt;&gt;IF(IFERROR(SEARCH($R838,XKNVLSX!$X$1,1),0)&gt;=1,$R838,XKNVLSX!$X$1),COUNTIFS($C$2:$C837,$C838,$E$2:$E837,$E838,$Q$2:$Q837,$P838)&gt;=1),"",$P838))))</f>
        <v/>
      </c>
      <c r="R838" s="1017" t="str">
        <f ca="1">IF($A838="","",IFERROR(INDEX(TinhGia!$BF$10:$BF$81,MATCH($A838,TinhGia!$B$10:$B$81,0)),""))</f>
        <v/>
      </c>
      <c r="S838" s="1012" t="str">
        <f ca="1">IF($A838="","",IF(OR(IFERROR(SEARCH($R838,XKNVLSX!$X$1,1),0)&gt;=1,XKNVLSX!$X$1=""),$S$2,""))</f>
        <v/>
      </c>
      <c r="T838" s="1018" t="str">
        <f ca="1">IF($C838="","", IF(OR($P838=$V$1,$P838=$V$7,COUNTIFS($C$3:$C838,$C838,$E$3:$E838,$E838)&lt;=1),$P838,""    ))</f>
        <v/>
      </c>
      <c r="U838" s="1019" t="str">
        <f ca="1">IF(AND($P838=$V$2,COUNTIFS($C$3:$C838,$C838,$E$3:$E838,$E838,$G$3:$G838,$G838)&lt;=1),$P838,"")</f>
        <v/>
      </c>
    </row>
    <row r="839" spans="1:21">
      <c r="A839" s="991" t="str">
        <f ca="1">IFERROR(IF(COUNTIF($A$3:A838,A838)&lt; INDEX(TinhGia!$BH$10:$BH$81,MATCH($A838,TinhGia!$B$10:$B$81,0)),$A838,INDEX(TinhGia!$B$10:$B$81,MATCH($A838,TinhGia!$B$10:$B$81,0)+1)),"")</f>
        <v/>
      </c>
      <c r="B839" s="525" t="str">
        <f ca="1">IF(OR(A839="",A839=0),"",IF(COUNTIF($A$2:A839,$A839)=1,ROW(MauKoXoa!$C$108),$B838+1))</f>
        <v/>
      </c>
      <c r="C839" s="992" t="str">
        <f t="shared" ca="1" si="139"/>
        <v/>
      </c>
      <c r="D839" s="993" t="str">
        <f t="shared" ca="1" si="140"/>
        <v/>
      </c>
      <c r="E839" s="993" t="str">
        <f t="shared" ca="1" si="141"/>
        <v/>
      </c>
      <c r="F839" s="992" t="str">
        <f t="shared" ca="1" si="149"/>
        <v/>
      </c>
      <c r="G839" s="994">
        <f t="shared" ca="1" si="142"/>
        <v>0</v>
      </c>
      <c r="H839" s="913">
        <f t="shared" ca="1" si="143"/>
        <v>0</v>
      </c>
      <c r="I839" s="913">
        <f t="shared" ca="1" si="144"/>
        <v>0</v>
      </c>
      <c r="J839" s="995">
        <f t="shared" ca="1" si="150"/>
        <v>0</v>
      </c>
      <c r="K839" s="913">
        <f t="shared" ca="1" si="145"/>
        <v>0</v>
      </c>
      <c r="L839" s="995">
        <f t="shared" ca="1" si="151"/>
        <v>0</v>
      </c>
      <c r="M839" s="913">
        <f t="shared" ca="1" si="146"/>
        <v>0</v>
      </c>
      <c r="N839" s="996">
        <f t="shared" ca="1" si="147"/>
        <v>0</v>
      </c>
      <c r="O839" s="997">
        <f t="shared" ca="1" si="148"/>
        <v>0</v>
      </c>
      <c r="P839" s="1015" t="str">
        <f ca="1">IF($C839="","",INDEX(NVLSX!$N$2:$N$6941,MATCH($C839,NVLSX!$E$2:$E$6941,0)))</f>
        <v/>
      </c>
      <c r="Q839" s="1016" t="str">
        <f ca="1">IF($R839="","",IF(XKNVLSX!$X$1="",IF($P839=$V$7,$P839, IF(COUNTIFS($C$2:$C838,$C839,$E$2:$E838,$E839)&gt;=1,"",$P839)),     IF(AND(IFERROR(SEARCH($R839,XKNVLSX!$X$1,1),0)&gt;=1,$P839=$V$7),$P839, IF(OR($R839&lt;&gt;IF(IFERROR(SEARCH($R839,XKNVLSX!$X$1,1),0)&gt;=1,$R839,XKNVLSX!$X$1),COUNTIFS($C$2:$C838,$C839,$E$2:$E838,$E839,$Q$2:$Q838,$P839)&gt;=1),"",$P839))))</f>
        <v/>
      </c>
      <c r="R839" s="1017" t="str">
        <f ca="1">IF($A839="","",IFERROR(INDEX(TinhGia!$BF$10:$BF$81,MATCH($A839,TinhGia!$B$10:$B$81,0)),""))</f>
        <v/>
      </c>
      <c r="S839" s="1012" t="str">
        <f ca="1">IF($A839="","",IF(OR(IFERROR(SEARCH($R839,XKNVLSX!$X$1,1),0)&gt;=1,XKNVLSX!$X$1=""),$S$2,""))</f>
        <v/>
      </c>
      <c r="T839" s="1018" t="str">
        <f ca="1">IF($C839="","", IF(OR($P839=$V$1,$P839=$V$7,COUNTIFS($C$3:$C839,$C839,$E$3:$E839,$E839)&lt;=1),$P839,""    ))</f>
        <v/>
      </c>
      <c r="U839" s="1019" t="str">
        <f ca="1">IF(AND($P839=$V$2,COUNTIFS($C$3:$C839,$C839,$E$3:$E839,$E839,$G$3:$G839,$G839)&lt;=1),$P839,"")</f>
        <v/>
      </c>
    </row>
    <row r="840" spans="1:21">
      <c r="A840" s="991" t="str">
        <f ca="1">IFERROR(IF(COUNTIF($A$3:A839,A839)&lt; INDEX(TinhGia!$BH$10:$BH$81,MATCH($A839,TinhGia!$B$10:$B$81,0)),$A839,INDEX(TinhGia!$B$10:$B$81,MATCH($A839,TinhGia!$B$10:$B$81,0)+1)),"")</f>
        <v/>
      </c>
      <c r="B840" s="525" t="str">
        <f ca="1">IF(OR(A840="",A840=0),"",IF(COUNTIF($A$2:A840,$A840)=1,ROW(MauKoXoa!$C$108),$B839+1))</f>
        <v/>
      </c>
      <c r="C840" s="992" t="str">
        <f t="shared" ca="1" si="139"/>
        <v/>
      </c>
      <c r="D840" s="993" t="str">
        <f t="shared" ca="1" si="140"/>
        <v/>
      </c>
      <c r="E840" s="993" t="str">
        <f t="shared" ca="1" si="141"/>
        <v/>
      </c>
      <c r="F840" s="992" t="str">
        <f t="shared" ca="1" si="149"/>
        <v/>
      </c>
      <c r="G840" s="994">
        <f t="shared" ca="1" si="142"/>
        <v>0</v>
      </c>
      <c r="H840" s="913">
        <f t="shared" ca="1" si="143"/>
        <v>0</v>
      </c>
      <c r="I840" s="913">
        <f t="shared" ca="1" si="144"/>
        <v>0</v>
      </c>
      <c r="J840" s="995">
        <f t="shared" ca="1" si="150"/>
        <v>0</v>
      </c>
      <c r="K840" s="913">
        <f t="shared" ca="1" si="145"/>
        <v>0</v>
      </c>
      <c r="L840" s="995">
        <f t="shared" ca="1" si="151"/>
        <v>0</v>
      </c>
      <c r="M840" s="913">
        <f t="shared" ca="1" si="146"/>
        <v>0</v>
      </c>
      <c r="N840" s="996">
        <f t="shared" ca="1" si="147"/>
        <v>0</v>
      </c>
      <c r="O840" s="997">
        <f t="shared" ca="1" si="148"/>
        <v>0</v>
      </c>
      <c r="P840" s="1015" t="str">
        <f ca="1">IF($C840="","",INDEX(NVLSX!$N$2:$N$6941,MATCH($C840,NVLSX!$E$2:$E$6941,0)))</f>
        <v/>
      </c>
      <c r="Q840" s="1016" t="str">
        <f ca="1">IF($R840="","",IF(XKNVLSX!$X$1="",IF($P840=$V$7,$P840, IF(COUNTIFS($C$2:$C839,$C840,$E$2:$E839,$E840)&gt;=1,"",$P840)),     IF(AND(IFERROR(SEARCH($R840,XKNVLSX!$X$1,1),0)&gt;=1,$P840=$V$7),$P840, IF(OR($R840&lt;&gt;IF(IFERROR(SEARCH($R840,XKNVLSX!$X$1,1),0)&gt;=1,$R840,XKNVLSX!$X$1),COUNTIFS($C$2:$C839,$C840,$E$2:$E839,$E840,$Q$2:$Q839,$P840)&gt;=1),"",$P840))))</f>
        <v/>
      </c>
      <c r="R840" s="1017" t="str">
        <f ca="1">IF($A840="","",IFERROR(INDEX(TinhGia!$BF$10:$BF$81,MATCH($A840,TinhGia!$B$10:$B$81,0)),""))</f>
        <v/>
      </c>
      <c r="S840" s="1012" t="str">
        <f ca="1">IF($A840="","",IF(OR(IFERROR(SEARCH($R840,XKNVLSX!$X$1,1),0)&gt;=1,XKNVLSX!$X$1=""),$S$2,""))</f>
        <v/>
      </c>
      <c r="T840" s="1018" t="str">
        <f ca="1">IF($C840="","", IF(OR($P840=$V$1,$P840=$V$7,COUNTIFS($C$3:$C840,$C840,$E$3:$E840,$E840)&lt;=1),$P840,""    ))</f>
        <v/>
      </c>
      <c r="U840" s="1019" t="str">
        <f ca="1">IF(AND($P840=$V$2,COUNTIFS($C$3:$C840,$C840,$E$3:$E840,$E840,$G$3:$G840,$G840)&lt;=1),$P840,"")</f>
        <v/>
      </c>
    </row>
    <row r="841" spans="1:21">
      <c r="A841" s="991" t="str">
        <f ca="1">IFERROR(IF(COUNTIF($A$3:A840,A840)&lt; INDEX(TinhGia!$BH$10:$BH$81,MATCH($A840,TinhGia!$B$10:$B$81,0)),$A840,INDEX(TinhGia!$B$10:$B$81,MATCH($A840,TinhGia!$B$10:$B$81,0)+1)),"")</f>
        <v/>
      </c>
      <c r="B841" s="525" t="str">
        <f ca="1">IF(OR(A841="",A841=0),"",IF(COUNTIF($A$2:A841,$A841)=1,ROW(MauKoXoa!$C$108),$B840+1))</f>
        <v/>
      </c>
      <c r="C841" s="992" t="str">
        <f t="shared" ca="1" si="139"/>
        <v/>
      </c>
      <c r="D841" s="993" t="str">
        <f t="shared" ca="1" si="140"/>
        <v/>
      </c>
      <c r="E841" s="993" t="str">
        <f t="shared" ca="1" si="141"/>
        <v/>
      </c>
      <c r="F841" s="992" t="str">
        <f t="shared" ca="1" si="149"/>
        <v/>
      </c>
      <c r="G841" s="994">
        <f t="shared" ca="1" si="142"/>
        <v>0</v>
      </c>
      <c r="H841" s="913">
        <f t="shared" ca="1" si="143"/>
        <v>0</v>
      </c>
      <c r="I841" s="913">
        <f t="shared" ca="1" si="144"/>
        <v>0</v>
      </c>
      <c r="J841" s="995">
        <f t="shared" ca="1" si="150"/>
        <v>0</v>
      </c>
      <c r="K841" s="913">
        <f t="shared" ca="1" si="145"/>
        <v>0</v>
      </c>
      <c r="L841" s="995">
        <f t="shared" ca="1" si="151"/>
        <v>0</v>
      </c>
      <c r="M841" s="913">
        <f t="shared" ca="1" si="146"/>
        <v>0</v>
      </c>
      <c r="N841" s="996">
        <f t="shared" ca="1" si="147"/>
        <v>0</v>
      </c>
      <c r="O841" s="997">
        <f t="shared" ca="1" si="148"/>
        <v>0</v>
      </c>
      <c r="P841" s="1015" t="str">
        <f ca="1">IF($C841="","",INDEX(NVLSX!$N$2:$N$6941,MATCH($C841,NVLSX!$E$2:$E$6941,0)))</f>
        <v/>
      </c>
      <c r="Q841" s="1016" t="str">
        <f ca="1">IF($R841="","",IF(XKNVLSX!$X$1="",IF($P841=$V$7,$P841, IF(COUNTIFS($C$2:$C840,$C841,$E$2:$E840,$E841)&gt;=1,"",$P841)),     IF(AND(IFERROR(SEARCH($R841,XKNVLSX!$X$1,1),0)&gt;=1,$P841=$V$7),$P841, IF(OR($R841&lt;&gt;IF(IFERROR(SEARCH($R841,XKNVLSX!$X$1,1),0)&gt;=1,$R841,XKNVLSX!$X$1),COUNTIFS($C$2:$C840,$C841,$E$2:$E840,$E841,$Q$2:$Q840,$P841)&gt;=1),"",$P841))))</f>
        <v/>
      </c>
      <c r="R841" s="1017" t="str">
        <f ca="1">IF($A841="","",IFERROR(INDEX(TinhGia!$BF$10:$BF$81,MATCH($A841,TinhGia!$B$10:$B$81,0)),""))</f>
        <v/>
      </c>
      <c r="S841" s="1012" t="str">
        <f ca="1">IF($A841="","",IF(OR(IFERROR(SEARCH($R841,XKNVLSX!$X$1,1),0)&gt;=1,XKNVLSX!$X$1=""),$S$2,""))</f>
        <v/>
      </c>
      <c r="T841" s="1018" t="str">
        <f ca="1">IF($C841="","", IF(OR($P841=$V$1,$P841=$V$7,COUNTIFS($C$3:$C841,$C841,$E$3:$E841,$E841)&lt;=1),$P841,""    ))</f>
        <v/>
      </c>
      <c r="U841" s="1019" t="str">
        <f ca="1">IF(AND($P841=$V$2,COUNTIFS($C$3:$C841,$C841,$E$3:$E841,$E841,$G$3:$G841,$G841)&lt;=1),$P841,"")</f>
        <v/>
      </c>
    </row>
    <row r="842" spans="1:21">
      <c r="A842" s="991" t="str">
        <f ca="1">IFERROR(IF(COUNTIF($A$3:A841,A841)&lt; INDEX(TinhGia!$BH$10:$BH$81,MATCH($A841,TinhGia!$B$10:$B$81,0)),$A841,INDEX(TinhGia!$B$10:$B$81,MATCH($A841,TinhGia!$B$10:$B$81,0)+1)),"")</f>
        <v/>
      </c>
      <c r="B842" s="525" t="str">
        <f ca="1">IF(OR(A842="",A842=0),"",IF(COUNTIF($A$2:A842,$A842)=1,ROW(MauKoXoa!$C$108),$B841+1))</f>
        <v/>
      </c>
      <c r="C842" s="992" t="str">
        <f t="shared" ca="1" si="139"/>
        <v/>
      </c>
      <c r="D842" s="993" t="str">
        <f t="shared" ca="1" si="140"/>
        <v/>
      </c>
      <c r="E842" s="993" t="str">
        <f t="shared" ca="1" si="141"/>
        <v/>
      </c>
      <c r="F842" s="992" t="str">
        <f t="shared" ca="1" si="149"/>
        <v/>
      </c>
      <c r="G842" s="994">
        <f t="shared" ca="1" si="142"/>
        <v>0</v>
      </c>
      <c r="H842" s="913">
        <f t="shared" ca="1" si="143"/>
        <v>0</v>
      </c>
      <c r="I842" s="913">
        <f t="shared" ca="1" si="144"/>
        <v>0</v>
      </c>
      <c r="J842" s="995">
        <f t="shared" ca="1" si="150"/>
        <v>0</v>
      </c>
      <c r="K842" s="913">
        <f t="shared" ca="1" si="145"/>
        <v>0</v>
      </c>
      <c r="L842" s="995">
        <f t="shared" ca="1" si="151"/>
        <v>0</v>
      </c>
      <c r="M842" s="913">
        <f t="shared" ca="1" si="146"/>
        <v>0</v>
      </c>
      <c r="N842" s="996">
        <f t="shared" ca="1" si="147"/>
        <v>0</v>
      </c>
      <c r="O842" s="997">
        <f t="shared" ca="1" si="148"/>
        <v>0</v>
      </c>
      <c r="P842" s="1015" t="str">
        <f ca="1">IF($C842="","",INDEX(NVLSX!$N$2:$N$6941,MATCH($C842,NVLSX!$E$2:$E$6941,0)))</f>
        <v/>
      </c>
      <c r="Q842" s="1016" t="str">
        <f ca="1">IF($R842="","",IF(XKNVLSX!$X$1="",IF($P842=$V$7,$P842, IF(COUNTIFS($C$2:$C841,$C842,$E$2:$E841,$E842)&gt;=1,"",$P842)),     IF(AND(IFERROR(SEARCH($R842,XKNVLSX!$X$1,1),0)&gt;=1,$P842=$V$7),$P842, IF(OR($R842&lt;&gt;IF(IFERROR(SEARCH($R842,XKNVLSX!$X$1,1),0)&gt;=1,$R842,XKNVLSX!$X$1),COUNTIFS($C$2:$C841,$C842,$E$2:$E841,$E842,$Q$2:$Q841,$P842)&gt;=1),"",$P842))))</f>
        <v/>
      </c>
      <c r="R842" s="1017" t="str">
        <f ca="1">IF($A842="","",IFERROR(INDEX(TinhGia!$BF$10:$BF$81,MATCH($A842,TinhGia!$B$10:$B$81,0)),""))</f>
        <v/>
      </c>
      <c r="S842" s="1012" t="str">
        <f ca="1">IF($A842="","",IF(OR(IFERROR(SEARCH($R842,XKNVLSX!$X$1,1),0)&gt;=1,XKNVLSX!$X$1=""),$S$2,""))</f>
        <v/>
      </c>
      <c r="T842" s="1018" t="str">
        <f ca="1">IF($C842="","", IF(OR($P842=$V$1,$P842=$V$7,COUNTIFS($C$3:$C842,$C842,$E$3:$E842,$E842)&lt;=1),$P842,""    ))</f>
        <v/>
      </c>
      <c r="U842" s="1019" t="str">
        <f ca="1">IF(AND($P842=$V$2,COUNTIFS($C$3:$C842,$C842,$E$3:$E842,$E842,$G$3:$G842,$G842)&lt;=1),$P842,"")</f>
        <v/>
      </c>
    </row>
    <row r="843" spans="1:21">
      <c r="A843" s="991" t="str">
        <f ca="1">IFERROR(IF(COUNTIF($A$3:A842,A842)&lt; INDEX(TinhGia!$BH$10:$BH$81,MATCH($A842,TinhGia!$B$10:$B$81,0)),$A842,INDEX(TinhGia!$B$10:$B$81,MATCH($A842,TinhGia!$B$10:$B$81,0)+1)),"")</f>
        <v/>
      </c>
      <c r="B843" s="525" t="str">
        <f ca="1">IF(OR(A843="",A843=0),"",IF(COUNTIF($A$2:A843,$A843)=1,ROW(MauKoXoa!$C$108),$B842+1))</f>
        <v/>
      </c>
      <c r="C843" s="992" t="str">
        <f t="shared" ca="1" si="139"/>
        <v/>
      </c>
      <c r="D843" s="993" t="str">
        <f t="shared" ca="1" si="140"/>
        <v/>
      </c>
      <c r="E843" s="993" t="str">
        <f t="shared" ca="1" si="141"/>
        <v/>
      </c>
      <c r="F843" s="992" t="str">
        <f t="shared" ca="1" si="149"/>
        <v/>
      </c>
      <c r="G843" s="994">
        <f t="shared" ca="1" si="142"/>
        <v>0</v>
      </c>
      <c r="H843" s="913">
        <f t="shared" ca="1" si="143"/>
        <v>0</v>
      </c>
      <c r="I843" s="913">
        <f t="shared" ca="1" si="144"/>
        <v>0</v>
      </c>
      <c r="J843" s="995">
        <f t="shared" ca="1" si="150"/>
        <v>0</v>
      </c>
      <c r="K843" s="913">
        <f t="shared" ca="1" si="145"/>
        <v>0</v>
      </c>
      <c r="L843" s="995">
        <f t="shared" ca="1" si="151"/>
        <v>0</v>
      </c>
      <c r="M843" s="913">
        <f t="shared" ca="1" si="146"/>
        <v>0</v>
      </c>
      <c r="N843" s="996">
        <f t="shared" ca="1" si="147"/>
        <v>0</v>
      </c>
      <c r="O843" s="997">
        <f t="shared" ca="1" si="148"/>
        <v>0</v>
      </c>
      <c r="P843" s="1015" t="str">
        <f ca="1">IF($C843="","",INDEX(NVLSX!$N$2:$N$6941,MATCH($C843,NVLSX!$E$2:$E$6941,0)))</f>
        <v/>
      </c>
      <c r="Q843" s="1016" t="str">
        <f ca="1">IF($R843="","",IF(XKNVLSX!$X$1="",IF($P843=$V$7,$P843, IF(COUNTIFS($C$2:$C842,$C843,$E$2:$E842,$E843)&gt;=1,"",$P843)),     IF(AND(IFERROR(SEARCH($R843,XKNVLSX!$X$1,1),0)&gt;=1,$P843=$V$7),$P843, IF(OR($R843&lt;&gt;IF(IFERROR(SEARCH($R843,XKNVLSX!$X$1,1),0)&gt;=1,$R843,XKNVLSX!$X$1),COUNTIFS($C$2:$C842,$C843,$E$2:$E842,$E843,$Q$2:$Q842,$P843)&gt;=1),"",$P843))))</f>
        <v/>
      </c>
      <c r="R843" s="1017" t="str">
        <f ca="1">IF($A843="","",IFERROR(INDEX(TinhGia!$BF$10:$BF$81,MATCH($A843,TinhGia!$B$10:$B$81,0)),""))</f>
        <v/>
      </c>
      <c r="S843" s="1012" t="str">
        <f ca="1">IF($A843="","",IF(OR(IFERROR(SEARCH($R843,XKNVLSX!$X$1,1),0)&gt;=1,XKNVLSX!$X$1=""),$S$2,""))</f>
        <v/>
      </c>
      <c r="T843" s="1018" t="str">
        <f ca="1">IF($C843="","", IF(OR($P843=$V$1,$P843=$V$7,COUNTIFS($C$3:$C843,$C843,$E$3:$E843,$E843)&lt;=1),$P843,""    ))</f>
        <v/>
      </c>
      <c r="U843" s="1019" t="str">
        <f ca="1">IF(AND($P843=$V$2,COUNTIFS($C$3:$C843,$C843,$E$3:$E843,$E843,$G$3:$G843,$G843)&lt;=1),$P843,"")</f>
        <v/>
      </c>
    </row>
    <row r="844" spans="1:21">
      <c r="A844" s="991" t="str">
        <f ca="1">IFERROR(IF(COUNTIF($A$3:A843,A843)&lt; INDEX(TinhGia!$BH$10:$BH$81,MATCH($A843,TinhGia!$B$10:$B$81,0)),$A843,INDEX(TinhGia!$B$10:$B$81,MATCH($A843,TinhGia!$B$10:$B$81,0)+1)),"")</f>
        <v/>
      </c>
      <c r="B844" s="525" t="str">
        <f ca="1">IF(OR(A844="",A844=0),"",IF(COUNTIF($A$2:A844,$A844)=1,ROW(MauKoXoa!$C$108),$B843+1))</f>
        <v/>
      </c>
      <c r="C844" s="992" t="str">
        <f t="shared" ca="1" si="139"/>
        <v/>
      </c>
      <c r="D844" s="993" t="str">
        <f t="shared" ca="1" si="140"/>
        <v/>
      </c>
      <c r="E844" s="993" t="str">
        <f t="shared" ca="1" si="141"/>
        <v/>
      </c>
      <c r="F844" s="992" t="str">
        <f t="shared" ca="1" si="149"/>
        <v/>
      </c>
      <c r="G844" s="994">
        <f t="shared" ca="1" si="142"/>
        <v>0</v>
      </c>
      <c r="H844" s="913">
        <f t="shared" ca="1" si="143"/>
        <v>0</v>
      </c>
      <c r="I844" s="913">
        <f t="shared" ca="1" si="144"/>
        <v>0</v>
      </c>
      <c r="J844" s="995">
        <f t="shared" ca="1" si="150"/>
        <v>0</v>
      </c>
      <c r="K844" s="913">
        <f t="shared" ca="1" si="145"/>
        <v>0</v>
      </c>
      <c r="L844" s="995">
        <f t="shared" ca="1" si="151"/>
        <v>0</v>
      </c>
      <c r="M844" s="913">
        <f t="shared" ca="1" si="146"/>
        <v>0</v>
      </c>
      <c r="N844" s="996">
        <f t="shared" ca="1" si="147"/>
        <v>0</v>
      </c>
      <c r="O844" s="997">
        <f t="shared" ca="1" si="148"/>
        <v>0</v>
      </c>
      <c r="P844" s="1015" t="str">
        <f ca="1">IF($C844="","",INDEX(NVLSX!$N$2:$N$6941,MATCH($C844,NVLSX!$E$2:$E$6941,0)))</f>
        <v/>
      </c>
      <c r="Q844" s="1016" t="str">
        <f ca="1">IF($R844="","",IF(XKNVLSX!$X$1="",IF($P844=$V$7,$P844, IF(COUNTIFS($C$2:$C843,$C844,$E$2:$E843,$E844)&gt;=1,"",$P844)),     IF(AND(IFERROR(SEARCH($R844,XKNVLSX!$X$1,1),0)&gt;=1,$P844=$V$7),$P844, IF(OR($R844&lt;&gt;IF(IFERROR(SEARCH($R844,XKNVLSX!$X$1,1),0)&gt;=1,$R844,XKNVLSX!$X$1),COUNTIFS($C$2:$C843,$C844,$E$2:$E843,$E844,$Q$2:$Q843,$P844)&gt;=1),"",$P844))))</f>
        <v/>
      </c>
      <c r="R844" s="1017" t="str">
        <f ca="1">IF($A844="","",IFERROR(INDEX(TinhGia!$BF$10:$BF$81,MATCH($A844,TinhGia!$B$10:$B$81,0)),""))</f>
        <v/>
      </c>
      <c r="S844" s="1012" t="str">
        <f ca="1">IF($A844="","",IF(OR(IFERROR(SEARCH($R844,XKNVLSX!$X$1,1),0)&gt;=1,XKNVLSX!$X$1=""),$S$2,""))</f>
        <v/>
      </c>
      <c r="T844" s="1018" t="str">
        <f ca="1">IF($C844="","", IF(OR($P844=$V$1,$P844=$V$7,COUNTIFS($C$3:$C844,$C844,$E$3:$E844,$E844)&lt;=1),$P844,""    ))</f>
        <v/>
      </c>
      <c r="U844" s="1019" t="str">
        <f ca="1">IF(AND($P844=$V$2,COUNTIFS($C$3:$C844,$C844,$E$3:$E844,$E844,$G$3:$G844,$G844)&lt;=1),$P844,"")</f>
        <v/>
      </c>
    </row>
    <row r="845" spans="1:21">
      <c r="A845" s="991" t="str">
        <f ca="1">IFERROR(IF(COUNTIF($A$3:A844,A844)&lt; INDEX(TinhGia!$BH$10:$BH$81,MATCH($A844,TinhGia!$B$10:$B$81,0)),$A844,INDEX(TinhGia!$B$10:$B$81,MATCH($A844,TinhGia!$B$10:$B$81,0)+1)),"")</f>
        <v/>
      </c>
      <c r="B845" s="525" t="str">
        <f ca="1">IF(OR(A845="",A845=0),"",IF(COUNTIF($A$2:A845,$A845)=1,ROW(MauKoXoa!$C$108),$B844+1))</f>
        <v/>
      </c>
      <c r="C845" s="992" t="str">
        <f t="shared" ca="1" si="139"/>
        <v/>
      </c>
      <c r="D845" s="993" t="str">
        <f t="shared" ca="1" si="140"/>
        <v/>
      </c>
      <c r="E845" s="993" t="str">
        <f t="shared" ca="1" si="141"/>
        <v/>
      </c>
      <c r="F845" s="992" t="str">
        <f t="shared" ca="1" si="149"/>
        <v/>
      </c>
      <c r="G845" s="994">
        <f t="shared" ca="1" si="142"/>
        <v>0</v>
      </c>
      <c r="H845" s="913">
        <f t="shared" ca="1" si="143"/>
        <v>0</v>
      </c>
      <c r="I845" s="913">
        <f t="shared" ca="1" si="144"/>
        <v>0</v>
      </c>
      <c r="J845" s="995">
        <f t="shared" ca="1" si="150"/>
        <v>0</v>
      </c>
      <c r="K845" s="913">
        <f t="shared" ca="1" si="145"/>
        <v>0</v>
      </c>
      <c r="L845" s="995">
        <f t="shared" ca="1" si="151"/>
        <v>0</v>
      </c>
      <c r="M845" s="913">
        <f t="shared" ca="1" si="146"/>
        <v>0</v>
      </c>
      <c r="N845" s="996">
        <f t="shared" ca="1" si="147"/>
        <v>0</v>
      </c>
      <c r="O845" s="997">
        <f t="shared" ca="1" si="148"/>
        <v>0</v>
      </c>
      <c r="P845" s="1015" t="str">
        <f ca="1">IF($C845="","",INDEX(NVLSX!$N$2:$N$6941,MATCH($C845,NVLSX!$E$2:$E$6941,0)))</f>
        <v/>
      </c>
      <c r="Q845" s="1016" t="str">
        <f ca="1">IF($R845="","",IF(XKNVLSX!$X$1="",IF($P845=$V$7,$P845, IF(COUNTIFS($C$2:$C844,$C845,$E$2:$E844,$E845)&gt;=1,"",$P845)),     IF(AND(IFERROR(SEARCH($R845,XKNVLSX!$X$1,1),0)&gt;=1,$P845=$V$7),$P845, IF(OR($R845&lt;&gt;IF(IFERROR(SEARCH($R845,XKNVLSX!$X$1,1),0)&gt;=1,$R845,XKNVLSX!$X$1),COUNTIFS($C$2:$C844,$C845,$E$2:$E844,$E845,$Q$2:$Q844,$P845)&gt;=1),"",$P845))))</f>
        <v/>
      </c>
      <c r="R845" s="1017" t="str">
        <f ca="1">IF($A845="","",IFERROR(INDEX(TinhGia!$BF$10:$BF$81,MATCH($A845,TinhGia!$B$10:$B$81,0)),""))</f>
        <v/>
      </c>
      <c r="S845" s="1012" t="str">
        <f ca="1">IF($A845="","",IF(OR(IFERROR(SEARCH($R845,XKNVLSX!$X$1,1),0)&gt;=1,XKNVLSX!$X$1=""),$S$2,""))</f>
        <v/>
      </c>
      <c r="T845" s="1018" t="str">
        <f ca="1">IF($C845="","", IF(OR($P845=$V$1,$P845=$V$7,COUNTIFS($C$3:$C845,$C845,$E$3:$E845,$E845)&lt;=1),$P845,""    ))</f>
        <v/>
      </c>
      <c r="U845" s="1019" t="str">
        <f ca="1">IF(AND($P845=$V$2,COUNTIFS($C$3:$C845,$C845,$E$3:$E845,$E845,$G$3:$G845,$G845)&lt;=1),$P845,"")</f>
        <v/>
      </c>
    </row>
    <row r="846" spans="1:21">
      <c r="A846" s="991" t="str">
        <f ca="1">IFERROR(IF(COUNTIF($A$3:A845,A845)&lt; INDEX(TinhGia!$BH$10:$BH$81,MATCH($A845,TinhGia!$B$10:$B$81,0)),$A845,INDEX(TinhGia!$B$10:$B$81,MATCH($A845,TinhGia!$B$10:$B$81,0)+1)),"")</f>
        <v/>
      </c>
      <c r="B846" s="525" t="str">
        <f ca="1">IF(OR(A846="",A846=0),"",IF(COUNTIF($A$2:A846,$A846)=1,ROW(MauKoXoa!$C$108),$B845+1))</f>
        <v/>
      </c>
      <c r="C846" s="992" t="str">
        <f t="shared" ca="1" si="139"/>
        <v/>
      </c>
      <c r="D846" s="993" t="str">
        <f t="shared" ca="1" si="140"/>
        <v/>
      </c>
      <c r="E846" s="993" t="str">
        <f t="shared" ca="1" si="141"/>
        <v/>
      </c>
      <c r="F846" s="992" t="str">
        <f t="shared" ca="1" si="149"/>
        <v/>
      </c>
      <c r="G846" s="994">
        <f t="shared" ca="1" si="142"/>
        <v>0</v>
      </c>
      <c r="H846" s="913">
        <f t="shared" ca="1" si="143"/>
        <v>0</v>
      </c>
      <c r="I846" s="913">
        <f t="shared" ca="1" si="144"/>
        <v>0</v>
      </c>
      <c r="J846" s="995">
        <f t="shared" ca="1" si="150"/>
        <v>0</v>
      </c>
      <c r="K846" s="913">
        <f t="shared" ca="1" si="145"/>
        <v>0</v>
      </c>
      <c r="L846" s="995">
        <f t="shared" ca="1" si="151"/>
        <v>0</v>
      </c>
      <c r="M846" s="913">
        <f t="shared" ca="1" si="146"/>
        <v>0</v>
      </c>
      <c r="N846" s="996">
        <f t="shared" ca="1" si="147"/>
        <v>0</v>
      </c>
      <c r="O846" s="997">
        <f t="shared" ca="1" si="148"/>
        <v>0</v>
      </c>
      <c r="P846" s="1015" t="str">
        <f ca="1">IF($C846="","",INDEX(NVLSX!$N$2:$N$6941,MATCH($C846,NVLSX!$E$2:$E$6941,0)))</f>
        <v/>
      </c>
      <c r="Q846" s="1016" t="str">
        <f ca="1">IF($R846="","",IF(XKNVLSX!$X$1="",IF($P846=$V$7,$P846, IF(COUNTIFS($C$2:$C845,$C846,$E$2:$E845,$E846)&gt;=1,"",$P846)),     IF(AND(IFERROR(SEARCH($R846,XKNVLSX!$X$1,1),0)&gt;=1,$P846=$V$7),$P846, IF(OR($R846&lt;&gt;IF(IFERROR(SEARCH($R846,XKNVLSX!$X$1,1),0)&gt;=1,$R846,XKNVLSX!$X$1),COUNTIFS($C$2:$C845,$C846,$E$2:$E845,$E846,$Q$2:$Q845,$P846)&gt;=1),"",$P846))))</f>
        <v/>
      </c>
      <c r="R846" s="1017" t="str">
        <f ca="1">IF($A846="","",IFERROR(INDEX(TinhGia!$BF$10:$BF$81,MATCH($A846,TinhGia!$B$10:$B$81,0)),""))</f>
        <v/>
      </c>
      <c r="S846" s="1012" t="str">
        <f ca="1">IF($A846="","",IF(OR(IFERROR(SEARCH($R846,XKNVLSX!$X$1,1),0)&gt;=1,XKNVLSX!$X$1=""),$S$2,""))</f>
        <v/>
      </c>
      <c r="T846" s="1018" t="str">
        <f ca="1">IF($C846="","", IF(OR($P846=$V$1,$P846=$V$7,COUNTIFS($C$3:$C846,$C846,$E$3:$E846,$E846)&lt;=1),$P846,""    ))</f>
        <v/>
      </c>
      <c r="U846" s="1019" t="str">
        <f ca="1">IF(AND($P846=$V$2,COUNTIFS($C$3:$C846,$C846,$E$3:$E846,$E846,$G$3:$G846,$G846)&lt;=1),$P846,"")</f>
        <v/>
      </c>
    </row>
    <row r="847" spans="1:21">
      <c r="A847" s="991" t="str">
        <f ca="1">IFERROR(IF(COUNTIF($A$3:A846,A846)&lt; INDEX(TinhGia!$BH$10:$BH$81,MATCH($A846,TinhGia!$B$10:$B$81,0)),$A846,INDEX(TinhGia!$B$10:$B$81,MATCH($A846,TinhGia!$B$10:$B$81,0)+1)),"")</f>
        <v/>
      </c>
      <c r="B847" s="525" t="str">
        <f ca="1">IF(OR(A847="",A847=0),"",IF(COUNTIF($A$2:A847,$A847)=1,ROW(MauKoXoa!$C$108),$B846+1))</f>
        <v/>
      </c>
      <c r="C847" s="992" t="str">
        <f t="shared" ca="1" si="139"/>
        <v/>
      </c>
      <c r="D847" s="993" t="str">
        <f t="shared" ca="1" si="140"/>
        <v/>
      </c>
      <c r="E847" s="993" t="str">
        <f t="shared" ca="1" si="141"/>
        <v/>
      </c>
      <c r="F847" s="992" t="str">
        <f t="shared" ca="1" si="149"/>
        <v/>
      </c>
      <c r="G847" s="994">
        <f t="shared" ca="1" si="142"/>
        <v>0</v>
      </c>
      <c r="H847" s="913">
        <f t="shared" ca="1" si="143"/>
        <v>0</v>
      </c>
      <c r="I847" s="913">
        <f t="shared" ca="1" si="144"/>
        <v>0</v>
      </c>
      <c r="J847" s="995">
        <f t="shared" ca="1" si="150"/>
        <v>0</v>
      </c>
      <c r="K847" s="913">
        <f t="shared" ca="1" si="145"/>
        <v>0</v>
      </c>
      <c r="L847" s="995">
        <f t="shared" ca="1" si="151"/>
        <v>0</v>
      </c>
      <c r="M847" s="913">
        <f t="shared" ca="1" si="146"/>
        <v>0</v>
      </c>
      <c r="N847" s="996">
        <f t="shared" ca="1" si="147"/>
        <v>0</v>
      </c>
      <c r="O847" s="997">
        <f t="shared" ca="1" si="148"/>
        <v>0</v>
      </c>
      <c r="P847" s="1015" t="str">
        <f ca="1">IF($C847="","",INDEX(NVLSX!$N$2:$N$6941,MATCH($C847,NVLSX!$E$2:$E$6941,0)))</f>
        <v/>
      </c>
      <c r="Q847" s="1016" t="str">
        <f ca="1">IF($R847="","",IF(XKNVLSX!$X$1="",IF($P847=$V$7,$P847, IF(COUNTIFS($C$2:$C846,$C847,$E$2:$E846,$E847)&gt;=1,"",$P847)),     IF(AND(IFERROR(SEARCH($R847,XKNVLSX!$X$1,1),0)&gt;=1,$P847=$V$7),$P847, IF(OR($R847&lt;&gt;IF(IFERROR(SEARCH($R847,XKNVLSX!$X$1,1),0)&gt;=1,$R847,XKNVLSX!$X$1),COUNTIFS($C$2:$C846,$C847,$E$2:$E846,$E847,$Q$2:$Q846,$P847)&gt;=1),"",$P847))))</f>
        <v/>
      </c>
      <c r="R847" s="1017" t="str">
        <f ca="1">IF($A847="","",IFERROR(INDEX(TinhGia!$BF$10:$BF$81,MATCH($A847,TinhGia!$B$10:$B$81,0)),""))</f>
        <v/>
      </c>
      <c r="S847" s="1012" t="str">
        <f ca="1">IF($A847="","",IF(OR(IFERROR(SEARCH($R847,XKNVLSX!$X$1,1),0)&gt;=1,XKNVLSX!$X$1=""),$S$2,""))</f>
        <v/>
      </c>
      <c r="T847" s="1018" t="str">
        <f ca="1">IF($C847="","", IF(OR($P847=$V$1,$P847=$V$7,COUNTIFS($C$3:$C847,$C847,$E$3:$E847,$E847)&lt;=1),$P847,""    ))</f>
        <v/>
      </c>
      <c r="U847" s="1019" t="str">
        <f ca="1">IF(AND($P847=$V$2,COUNTIFS($C$3:$C847,$C847,$E$3:$E847,$E847,$G$3:$G847,$G847)&lt;=1),$P847,"")</f>
        <v/>
      </c>
    </row>
    <row r="848" spans="1:21">
      <c r="A848" s="991" t="str">
        <f ca="1">IFERROR(IF(COUNTIF($A$3:A847,A847)&lt; INDEX(TinhGia!$BH$10:$BH$81,MATCH($A847,TinhGia!$B$10:$B$81,0)),$A847,INDEX(TinhGia!$B$10:$B$81,MATCH($A847,TinhGia!$B$10:$B$81,0)+1)),"")</f>
        <v/>
      </c>
      <c r="B848" s="525" t="str">
        <f ca="1">IF(OR(A848="",A848=0),"",IF(COUNTIF($A$2:A848,$A848)=1,ROW(MauKoXoa!$C$108),$B847+1))</f>
        <v/>
      </c>
      <c r="C848" s="992" t="str">
        <f t="shared" ca="1" si="139"/>
        <v/>
      </c>
      <c r="D848" s="993" t="str">
        <f t="shared" ca="1" si="140"/>
        <v/>
      </c>
      <c r="E848" s="993" t="str">
        <f t="shared" ca="1" si="141"/>
        <v/>
      </c>
      <c r="F848" s="992" t="str">
        <f t="shared" ca="1" si="149"/>
        <v/>
      </c>
      <c r="G848" s="994">
        <f t="shared" ca="1" si="142"/>
        <v>0</v>
      </c>
      <c r="H848" s="913">
        <f t="shared" ca="1" si="143"/>
        <v>0</v>
      </c>
      <c r="I848" s="913">
        <f t="shared" ca="1" si="144"/>
        <v>0</v>
      </c>
      <c r="J848" s="995">
        <f t="shared" ca="1" si="150"/>
        <v>0</v>
      </c>
      <c r="K848" s="913">
        <f t="shared" ca="1" si="145"/>
        <v>0</v>
      </c>
      <c r="L848" s="995">
        <f t="shared" ca="1" si="151"/>
        <v>0</v>
      </c>
      <c r="M848" s="913">
        <f t="shared" ca="1" si="146"/>
        <v>0</v>
      </c>
      <c r="N848" s="996">
        <f t="shared" ca="1" si="147"/>
        <v>0</v>
      </c>
      <c r="O848" s="997">
        <f t="shared" ca="1" si="148"/>
        <v>0</v>
      </c>
      <c r="P848" s="1015" t="str">
        <f ca="1">IF($C848="","",INDEX(NVLSX!$N$2:$N$6941,MATCH($C848,NVLSX!$E$2:$E$6941,0)))</f>
        <v/>
      </c>
      <c r="Q848" s="1016" t="str">
        <f ca="1">IF($R848="","",IF(XKNVLSX!$X$1="",IF($P848=$V$7,$P848, IF(COUNTIFS($C$2:$C847,$C848,$E$2:$E847,$E848)&gt;=1,"",$P848)),     IF(AND(IFERROR(SEARCH($R848,XKNVLSX!$X$1,1),0)&gt;=1,$P848=$V$7),$P848, IF(OR($R848&lt;&gt;IF(IFERROR(SEARCH($R848,XKNVLSX!$X$1,1),0)&gt;=1,$R848,XKNVLSX!$X$1),COUNTIFS($C$2:$C847,$C848,$E$2:$E847,$E848,$Q$2:$Q847,$P848)&gt;=1),"",$P848))))</f>
        <v/>
      </c>
      <c r="R848" s="1017" t="str">
        <f ca="1">IF($A848="","",IFERROR(INDEX(TinhGia!$BF$10:$BF$81,MATCH($A848,TinhGia!$B$10:$B$81,0)),""))</f>
        <v/>
      </c>
      <c r="S848" s="1012" t="str">
        <f ca="1">IF($A848="","",IF(OR(IFERROR(SEARCH($R848,XKNVLSX!$X$1,1),0)&gt;=1,XKNVLSX!$X$1=""),$S$2,""))</f>
        <v/>
      </c>
      <c r="T848" s="1018" t="str">
        <f ca="1">IF($C848="","", IF(OR($P848=$V$1,$P848=$V$7,COUNTIFS($C$3:$C848,$C848,$E$3:$E848,$E848)&lt;=1),$P848,""    ))</f>
        <v/>
      </c>
      <c r="U848" s="1019" t="str">
        <f ca="1">IF(AND($P848=$V$2,COUNTIFS($C$3:$C848,$C848,$E$3:$E848,$E848,$G$3:$G848,$G848)&lt;=1),$P848,"")</f>
        <v/>
      </c>
    </row>
    <row r="849" spans="1:21">
      <c r="A849" s="991" t="str">
        <f ca="1">IFERROR(IF(COUNTIF($A$3:A848,A848)&lt; INDEX(TinhGia!$BH$10:$BH$81,MATCH($A848,TinhGia!$B$10:$B$81,0)),$A848,INDEX(TinhGia!$B$10:$B$81,MATCH($A848,TinhGia!$B$10:$B$81,0)+1)),"")</f>
        <v/>
      </c>
      <c r="B849" s="525" t="str">
        <f ca="1">IF(OR(A849="",A849=0),"",IF(COUNTIF($A$2:A849,$A849)=1,ROW(MauKoXoa!$C$108),$B848+1))</f>
        <v/>
      </c>
      <c r="C849" s="992" t="str">
        <f t="shared" ca="1" si="139"/>
        <v/>
      </c>
      <c r="D849" s="993" t="str">
        <f t="shared" ca="1" si="140"/>
        <v/>
      </c>
      <c r="E849" s="993" t="str">
        <f t="shared" ca="1" si="141"/>
        <v/>
      </c>
      <c r="F849" s="992" t="str">
        <f t="shared" ca="1" si="149"/>
        <v/>
      </c>
      <c r="G849" s="994">
        <f t="shared" ca="1" si="142"/>
        <v>0</v>
      </c>
      <c r="H849" s="913">
        <f t="shared" ca="1" si="143"/>
        <v>0</v>
      </c>
      <c r="I849" s="913">
        <f t="shared" ca="1" si="144"/>
        <v>0</v>
      </c>
      <c r="J849" s="995">
        <f t="shared" ca="1" si="150"/>
        <v>0</v>
      </c>
      <c r="K849" s="913">
        <f t="shared" ca="1" si="145"/>
        <v>0</v>
      </c>
      <c r="L849" s="995">
        <f t="shared" ca="1" si="151"/>
        <v>0</v>
      </c>
      <c r="M849" s="913">
        <f t="shared" ca="1" si="146"/>
        <v>0</v>
      </c>
      <c r="N849" s="996">
        <f t="shared" ca="1" si="147"/>
        <v>0</v>
      </c>
      <c r="O849" s="997">
        <f t="shared" ca="1" si="148"/>
        <v>0</v>
      </c>
      <c r="P849" s="1015" t="str">
        <f ca="1">IF($C849="","",INDEX(NVLSX!$N$2:$N$6941,MATCH($C849,NVLSX!$E$2:$E$6941,0)))</f>
        <v/>
      </c>
      <c r="Q849" s="1016" t="str">
        <f ca="1">IF($R849="","",IF(XKNVLSX!$X$1="",IF($P849=$V$7,$P849, IF(COUNTIFS($C$2:$C848,$C849,$E$2:$E848,$E849)&gt;=1,"",$P849)),     IF(AND(IFERROR(SEARCH($R849,XKNVLSX!$X$1,1),0)&gt;=1,$P849=$V$7),$P849, IF(OR($R849&lt;&gt;IF(IFERROR(SEARCH($R849,XKNVLSX!$X$1,1),0)&gt;=1,$R849,XKNVLSX!$X$1),COUNTIFS($C$2:$C848,$C849,$E$2:$E848,$E849,$Q$2:$Q848,$P849)&gt;=1),"",$P849))))</f>
        <v/>
      </c>
      <c r="R849" s="1017" t="str">
        <f ca="1">IF($A849="","",IFERROR(INDEX(TinhGia!$BF$10:$BF$81,MATCH($A849,TinhGia!$B$10:$B$81,0)),""))</f>
        <v/>
      </c>
      <c r="S849" s="1012" t="str">
        <f ca="1">IF($A849="","",IF(OR(IFERROR(SEARCH($R849,XKNVLSX!$X$1,1),0)&gt;=1,XKNVLSX!$X$1=""),$S$2,""))</f>
        <v/>
      </c>
      <c r="T849" s="1018" t="str">
        <f ca="1">IF($C849="","", IF(OR($P849=$V$1,$P849=$V$7,COUNTIFS($C$3:$C849,$C849,$E$3:$E849,$E849)&lt;=1),$P849,""    ))</f>
        <v/>
      </c>
      <c r="U849" s="1019" t="str">
        <f ca="1">IF(AND($P849=$V$2,COUNTIFS($C$3:$C849,$C849,$E$3:$E849,$E849,$G$3:$G849,$G849)&lt;=1),$P849,"")</f>
        <v/>
      </c>
    </row>
    <row r="850" spans="1:21">
      <c r="A850" s="991" t="str">
        <f ca="1">IFERROR(IF(COUNTIF($A$3:A849,A849)&lt; INDEX(TinhGia!$BH$10:$BH$81,MATCH($A849,TinhGia!$B$10:$B$81,0)),$A849,INDEX(TinhGia!$B$10:$B$81,MATCH($A849,TinhGia!$B$10:$B$81,0)+1)),"")</f>
        <v/>
      </c>
      <c r="B850" s="525" t="str">
        <f ca="1">IF(OR(A850="",A850=0),"",IF(COUNTIF($A$2:A850,$A850)=1,ROW(MauKoXoa!$C$108),$B849+1))</f>
        <v/>
      </c>
      <c r="C850" s="992" t="str">
        <f t="shared" ca="1" si="139"/>
        <v/>
      </c>
      <c r="D850" s="993" t="str">
        <f t="shared" ca="1" si="140"/>
        <v/>
      </c>
      <c r="E850" s="993" t="str">
        <f t="shared" ca="1" si="141"/>
        <v/>
      </c>
      <c r="F850" s="992" t="str">
        <f t="shared" ca="1" si="149"/>
        <v/>
      </c>
      <c r="G850" s="994">
        <f t="shared" ca="1" si="142"/>
        <v>0</v>
      </c>
      <c r="H850" s="913">
        <f t="shared" ca="1" si="143"/>
        <v>0</v>
      </c>
      <c r="I850" s="913">
        <f t="shared" ca="1" si="144"/>
        <v>0</v>
      </c>
      <c r="J850" s="995">
        <f t="shared" ca="1" si="150"/>
        <v>0</v>
      </c>
      <c r="K850" s="913">
        <f t="shared" ca="1" si="145"/>
        <v>0</v>
      </c>
      <c r="L850" s="995">
        <f t="shared" ca="1" si="151"/>
        <v>0</v>
      </c>
      <c r="M850" s="913">
        <f t="shared" ca="1" si="146"/>
        <v>0</v>
      </c>
      <c r="N850" s="996">
        <f t="shared" ca="1" si="147"/>
        <v>0</v>
      </c>
      <c r="O850" s="997">
        <f t="shared" ca="1" si="148"/>
        <v>0</v>
      </c>
      <c r="P850" s="1015" t="str">
        <f ca="1">IF($C850="","",INDEX(NVLSX!$N$2:$N$6941,MATCH($C850,NVLSX!$E$2:$E$6941,0)))</f>
        <v/>
      </c>
      <c r="Q850" s="1016" t="str">
        <f ca="1">IF($R850="","",IF(XKNVLSX!$X$1="",IF($P850=$V$7,$P850, IF(COUNTIFS($C$2:$C849,$C850,$E$2:$E849,$E850)&gt;=1,"",$P850)),     IF(AND(IFERROR(SEARCH($R850,XKNVLSX!$X$1,1),0)&gt;=1,$P850=$V$7),$P850, IF(OR($R850&lt;&gt;IF(IFERROR(SEARCH($R850,XKNVLSX!$X$1,1),0)&gt;=1,$R850,XKNVLSX!$X$1),COUNTIFS($C$2:$C849,$C850,$E$2:$E849,$E850,$Q$2:$Q849,$P850)&gt;=1),"",$P850))))</f>
        <v/>
      </c>
      <c r="R850" s="1017" t="str">
        <f ca="1">IF($A850="","",IFERROR(INDEX(TinhGia!$BF$10:$BF$81,MATCH($A850,TinhGia!$B$10:$B$81,0)),""))</f>
        <v/>
      </c>
      <c r="S850" s="1012" t="str">
        <f ca="1">IF($A850="","",IF(OR(IFERROR(SEARCH($R850,XKNVLSX!$X$1,1),0)&gt;=1,XKNVLSX!$X$1=""),$S$2,""))</f>
        <v/>
      </c>
      <c r="T850" s="1018" t="str">
        <f ca="1">IF($C850="","", IF(OR($P850=$V$1,$P850=$V$7,COUNTIFS($C$3:$C850,$C850,$E$3:$E850,$E850)&lt;=1),$P850,""    ))</f>
        <v/>
      </c>
      <c r="U850" s="1019" t="str">
        <f ca="1">IF(AND($P850=$V$2,COUNTIFS($C$3:$C850,$C850,$E$3:$E850,$E850,$G$3:$G850,$G850)&lt;=1),$P850,"")</f>
        <v/>
      </c>
    </row>
    <row r="851" spans="1:21">
      <c r="A851" s="991" t="str">
        <f ca="1">IFERROR(IF(COUNTIF($A$3:A850,A850)&lt; INDEX(TinhGia!$BH$10:$BH$81,MATCH($A850,TinhGia!$B$10:$B$81,0)),$A850,INDEX(TinhGia!$B$10:$B$81,MATCH($A850,TinhGia!$B$10:$B$81,0)+1)),"")</f>
        <v/>
      </c>
      <c r="B851" s="525" t="str">
        <f ca="1">IF(OR(A851="",A851=0),"",IF(COUNTIF($A$2:A851,$A851)=1,ROW(MauKoXoa!$C$108),$B850+1))</f>
        <v/>
      </c>
      <c r="C851" s="992" t="str">
        <f t="shared" ca="1" si="139"/>
        <v/>
      </c>
      <c r="D851" s="993" t="str">
        <f t="shared" ca="1" si="140"/>
        <v/>
      </c>
      <c r="E851" s="993" t="str">
        <f t="shared" ca="1" si="141"/>
        <v/>
      </c>
      <c r="F851" s="992" t="str">
        <f t="shared" ca="1" si="149"/>
        <v/>
      </c>
      <c r="G851" s="994">
        <f t="shared" ca="1" si="142"/>
        <v>0</v>
      </c>
      <c r="H851" s="913">
        <f t="shared" ca="1" si="143"/>
        <v>0</v>
      </c>
      <c r="I851" s="913">
        <f t="shared" ca="1" si="144"/>
        <v>0</v>
      </c>
      <c r="J851" s="995">
        <f t="shared" ca="1" si="150"/>
        <v>0</v>
      </c>
      <c r="K851" s="913">
        <f t="shared" ca="1" si="145"/>
        <v>0</v>
      </c>
      <c r="L851" s="995">
        <f t="shared" ca="1" si="151"/>
        <v>0</v>
      </c>
      <c r="M851" s="913">
        <f t="shared" ca="1" si="146"/>
        <v>0</v>
      </c>
      <c r="N851" s="996">
        <f t="shared" ca="1" si="147"/>
        <v>0</v>
      </c>
      <c r="O851" s="997">
        <f t="shared" ca="1" si="148"/>
        <v>0</v>
      </c>
      <c r="P851" s="1015" t="str">
        <f ca="1">IF($C851="","",INDEX(NVLSX!$N$2:$N$6941,MATCH($C851,NVLSX!$E$2:$E$6941,0)))</f>
        <v/>
      </c>
      <c r="Q851" s="1016" t="str">
        <f ca="1">IF($R851="","",IF(XKNVLSX!$X$1="",IF($P851=$V$7,$P851, IF(COUNTIFS($C$2:$C850,$C851,$E$2:$E850,$E851)&gt;=1,"",$P851)),     IF(AND(IFERROR(SEARCH($R851,XKNVLSX!$X$1,1),0)&gt;=1,$P851=$V$7),$P851, IF(OR($R851&lt;&gt;IF(IFERROR(SEARCH($R851,XKNVLSX!$X$1,1),0)&gt;=1,$R851,XKNVLSX!$X$1),COUNTIFS($C$2:$C850,$C851,$E$2:$E850,$E851,$Q$2:$Q850,$P851)&gt;=1),"",$P851))))</f>
        <v/>
      </c>
      <c r="R851" s="1017" t="str">
        <f ca="1">IF($A851="","",IFERROR(INDEX(TinhGia!$BF$10:$BF$81,MATCH($A851,TinhGia!$B$10:$B$81,0)),""))</f>
        <v/>
      </c>
      <c r="S851" s="1012" t="str">
        <f ca="1">IF($A851="","",IF(OR(IFERROR(SEARCH($R851,XKNVLSX!$X$1,1),0)&gt;=1,XKNVLSX!$X$1=""),$S$2,""))</f>
        <v/>
      </c>
      <c r="T851" s="1018" t="str">
        <f ca="1">IF($C851="","", IF(OR($P851=$V$1,$P851=$V$7,COUNTIFS($C$3:$C851,$C851,$E$3:$E851,$E851)&lt;=1),$P851,""    ))</f>
        <v/>
      </c>
      <c r="U851" s="1019" t="str">
        <f ca="1">IF(AND($P851=$V$2,COUNTIFS($C$3:$C851,$C851,$E$3:$E851,$E851,$G$3:$G851,$G851)&lt;=1),$P851,"")</f>
        <v/>
      </c>
    </row>
    <row r="852" spans="1:21">
      <c r="A852" s="991" t="str">
        <f ca="1">IFERROR(IF(COUNTIF($A$3:A851,A851)&lt; INDEX(TinhGia!$BH$10:$BH$81,MATCH($A851,TinhGia!$B$10:$B$81,0)),$A851,INDEX(TinhGia!$B$10:$B$81,MATCH($A851,TinhGia!$B$10:$B$81,0)+1)),"")</f>
        <v/>
      </c>
      <c r="B852" s="525" t="str">
        <f ca="1">IF(OR(A852="",A852=0),"",IF(COUNTIF($A$2:A852,$A852)=1,ROW(MauKoXoa!$C$108),$B851+1))</f>
        <v/>
      </c>
      <c r="C852" s="992" t="str">
        <f t="shared" ca="1" si="139"/>
        <v/>
      </c>
      <c r="D852" s="993" t="str">
        <f t="shared" ca="1" si="140"/>
        <v/>
      </c>
      <c r="E852" s="993" t="str">
        <f t="shared" ca="1" si="141"/>
        <v/>
      </c>
      <c r="F852" s="992" t="str">
        <f t="shared" ca="1" si="149"/>
        <v/>
      </c>
      <c r="G852" s="994">
        <f t="shared" ca="1" si="142"/>
        <v>0</v>
      </c>
      <c r="H852" s="913">
        <f t="shared" ca="1" si="143"/>
        <v>0</v>
      </c>
      <c r="I852" s="913">
        <f t="shared" ca="1" si="144"/>
        <v>0</v>
      </c>
      <c r="J852" s="995">
        <f t="shared" ca="1" si="150"/>
        <v>0</v>
      </c>
      <c r="K852" s="913">
        <f t="shared" ca="1" si="145"/>
        <v>0</v>
      </c>
      <c r="L852" s="995">
        <f t="shared" ca="1" si="151"/>
        <v>0</v>
      </c>
      <c r="M852" s="913">
        <f t="shared" ca="1" si="146"/>
        <v>0</v>
      </c>
      <c r="N852" s="996">
        <f t="shared" ca="1" si="147"/>
        <v>0</v>
      </c>
      <c r="O852" s="997">
        <f t="shared" ca="1" si="148"/>
        <v>0</v>
      </c>
      <c r="P852" s="1015" t="str">
        <f ca="1">IF($C852="","",INDEX(NVLSX!$N$2:$N$6941,MATCH($C852,NVLSX!$E$2:$E$6941,0)))</f>
        <v/>
      </c>
      <c r="Q852" s="1016" t="str">
        <f ca="1">IF($R852="","",IF(XKNVLSX!$X$1="",IF($P852=$V$7,$P852, IF(COUNTIFS($C$2:$C851,$C852,$E$2:$E851,$E852)&gt;=1,"",$P852)),     IF(AND(IFERROR(SEARCH($R852,XKNVLSX!$X$1,1),0)&gt;=1,$P852=$V$7),$P852, IF(OR($R852&lt;&gt;IF(IFERROR(SEARCH($R852,XKNVLSX!$X$1,1),0)&gt;=1,$R852,XKNVLSX!$X$1),COUNTIFS($C$2:$C851,$C852,$E$2:$E851,$E852,$Q$2:$Q851,$P852)&gt;=1),"",$P852))))</f>
        <v/>
      </c>
      <c r="R852" s="1017" t="str">
        <f ca="1">IF($A852="","",IFERROR(INDEX(TinhGia!$BF$10:$BF$81,MATCH($A852,TinhGia!$B$10:$B$81,0)),""))</f>
        <v/>
      </c>
      <c r="S852" s="1012" t="str">
        <f ca="1">IF($A852="","",IF(OR(IFERROR(SEARCH($R852,XKNVLSX!$X$1,1),0)&gt;=1,XKNVLSX!$X$1=""),$S$2,""))</f>
        <v/>
      </c>
      <c r="T852" s="1018" t="str">
        <f ca="1">IF($C852="","", IF(OR($P852=$V$1,$P852=$V$7,COUNTIFS($C$3:$C852,$C852,$E$3:$E852,$E852)&lt;=1),$P852,""    ))</f>
        <v/>
      </c>
      <c r="U852" s="1019" t="str">
        <f ca="1">IF(AND($P852=$V$2,COUNTIFS($C$3:$C852,$C852,$E$3:$E852,$E852,$G$3:$G852,$G852)&lt;=1),$P852,"")</f>
        <v/>
      </c>
    </row>
    <row r="853" spans="1:21">
      <c r="A853" s="991" t="str">
        <f ca="1">IFERROR(IF(COUNTIF($A$3:A852,A852)&lt; INDEX(TinhGia!$BH$10:$BH$81,MATCH($A852,TinhGia!$B$10:$B$81,0)),$A852,INDEX(TinhGia!$B$10:$B$81,MATCH($A852,TinhGia!$B$10:$B$81,0)+1)),"")</f>
        <v/>
      </c>
      <c r="B853" s="525" t="str">
        <f ca="1">IF(OR(A853="",A853=0),"",IF(COUNTIF($A$2:A853,$A853)=1,ROW(MauKoXoa!$C$108),$B852+1))</f>
        <v/>
      </c>
      <c r="C853" s="992" t="str">
        <f t="shared" ca="1" si="139"/>
        <v/>
      </c>
      <c r="D853" s="993" t="str">
        <f t="shared" ca="1" si="140"/>
        <v/>
      </c>
      <c r="E853" s="993" t="str">
        <f t="shared" ca="1" si="141"/>
        <v/>
      </c>
      <c r="F853" s="992" t="str">
        <f t="shared" ca="1" si="149"/>
        <v/>
      </c>
      <c r="G853" s="994">
        <f t="shared" ca="1" si="142"/>
        <v>0</v>
      </c>
      <c r="H853" s="913">
        <f t="shared" ca="1" si="143"/>
        <v>0</v>
      </c>
      <c r="I853" s="913">
        <f t="shared" ca="1" si="144"/>
        <v>0</v>
      </c>
      <c r="J853" s="995">
        <f t="shared" ca="1" si="150"/>
        <v>0</v>
      </c>
      <c r="K853" s="913">
        <f t="shared" ca="1" si="145"/>
        <v>0</v>
      </c>
      <c r="L853" s="995">
        <f t="shared" ca="1" si="151"/>
        <v>0</v>
      </c>
      <c r="M853" s="913">
        <f t="shared" ca="1" si="146"/>
        <v>0</v>
      </c>
      <c r="N853" s="996">
        <f t="shared" ca="1" si="147"/>
        <v>0</v>
      </c>
      <c r="O853" s="997">
        <f t="shared" ca="1" si="148"/>
        <v>0</v>
      </c>
      <c r="P853" s="1015" t="str">
        <f ca="1">IF($C853="","",INDEX(NVLSX!$N$2:$N$6941,MATCH($C853,NVLSX!$E$2:$E$6941,0)))</f>
        <v/>
      </c>
      <c r="Q853" s="1016" t="str">
        <f ca="1">IF($R853="","",IF(XKNVLSX!$X$1="",IF($P853=$V$7,$P853, IF(COUNTIFS($C$2:$C852,$C853,$E$2:$E852,$E853)&gt;=1,"",$P853)),     IF(AND(IFERROR(SEARCH($R853,XKNVLSX!$X$1,1),0)&gt;=1,$P853=$V$7),$P853, IF(OR($R853&lt;&gt;IF(IFERROR(SEARCH($R853,XKNVLSX!$X$1,1),0)&gt;=1,$R853,XKNVLSX!$X$1),COUNTIFS($C$2:$C852,$C853,$E$2:$E852,$E853,$Q$2:$Q852,$P853)&gt;=1),"",$P853))))</f>
        <v/>
      </c>
      <c r="R853" s="1017" t="str">
        <f ca="1">IF($A853="","",IFERROR(INDEX(TinhGia!$BF$10:$BF$81,MATCH($A853,TinhGia!$B$10:$B$81,0)),""))</f>
        <v/>
      </c>
      <c r="S853" s="1012" t="str">
        <f ca="1">IF($A853="","",IF(OR(IFERROR(SEARCH($R853,XKNVLSX!$X$1,1),0)&gt;=1,XKNVLSX!$X$1=""),$S$2,""))</f>
        <v/>
      </c>
      <c r="T853" s="1018" t="str">
        <f ca="1">IF($C853="","", IF(OR($P853=$V$1,$P853=$V$7,COUNTIFS($C$3:$C853,$C853,$E$3:$E853,$E853)&lt;=1),$P853,""    ))</f>
        <v/>
      </c>
      <c r="U853" s="1019" t="str">
        <f ca="1">IF(AND($P853=$V$2,COUNTIFS($C$3:$C853,$C853,$E$3:$E853,$E853,$G$3:$G853,$G853)&lt;=1),$P853,"")</f>
        <v/>
      </c>
    </row>
    <row r="854" spans="1:21">
      <c r="A854" s="991" t="str">
        <f ca="1">IFERROR(IF(COUNTIF($A$3:A853,A853)&lt; INDEX(TinhGia!$BH$10:$BH$81,MATCH($A853,TinhGia!$B$10:$B$81,0)),$A853,INDEX(TinhGia!$B$10:$B$81,MATCH($A853,TinhGia!$B$10:$B$81,0)+1)),"")</f>
        <v/>
      </c>
      <c r="B854" s="525" t="str">
        <f ca="1">IF(OR(A854="",A854=0),"",IF(COUNTIF($A$2:A854,$A854)=1,ROW(MauKoXoa!$C$108),$B853+1))</f>
        <v/>
      </c>
      <c r="C854" s="992" t="str">
        <f t="shared" ca="1" si="139"/>
        <v/>
      </c>
      <c r="D854" s="993" t="str">
        <f t="shared" ca="1" si="140"/>
        <v/>
      </c>
      <c r="E854" s="993" t="str">
        <f t="shared" ca="1" si="141"/>
        <v/>
      </c>
      <c r="F854" s="992" t="str">
        <f t="shared" ca="1" si="149"/>
        <v/>
      </c>
      <c r="G854" s="994">
        <f t="shared" ca="1" si="142"/>
        <v>0</v>
      </c>
      <c r="H854" s="913">
        <f t="shared" ca="1" si="143"/>
        <v>0</v>
      </c>
      <c r="I854" s="913">
        <f t="shared" ca="1" si="144"/>
        <v>0</v>
      </c>
      <c r="J854" s="995">
        <f t="shared" ca="1" si="150"/>
        <v>0</v>
      </c>
      <c r="K854" s="913">
        <f t="shared" ca="1" si="145"/>
        <v>0</v>
      </c>
      <c r="L854" s="995">
        <f t="shared" ca="1" si="151"/>
        <v>0</v>
      </c>
      <c r="M854" s="913">
        <f t="shared" ca="1" si="146"/>
        <v>0</v>
      </c>
      <c r="N854" s="996">
        <f t="shared" ca="1" si="147"/>
        <v>0</v>
      </c>
      <c r="O854" s="997">
        <f t="shared" ca="1" si="148"/>
        <v>0</v>
      </c>
      <c r="P854" s="1015" t="str">
        <f ca="1">IF($C854="","",INDEX(NVLSX!$N$2:$N$6941,MATCH($C854,NVLSX!$E$2:$E$6941,0)))</f>
        <v/>
      </c>
      <c r="Q854" s="1016" t="str">
        <f ca="1">IF($R854="","",IF(XKNVLSX!$X$1="",IF($P854=$V$7,$P854, IF(COUNTIFS($C$2:$C853,$C854,$E$2:$E853,$E854)&gt;=1,"",$P854)),     IF(AND(IFERROR(SEARCH($R854,XKNVLSX!$X$1,1),0)&gt;=1,$P854=$V$7),$P854, IF(OR($R854&lt;&gt;IF(IFERROR(SEARCH($R854,XKNVLSX!$X$1,1),0)&gt;=1,$R854,XKNVLSX!$X$1),COUNTIFS($C$2:$C853,$C854,$E$2:$E853,$E854,$Q$2:$Q853,$P854)&gt;=1),"",$P854))))</f>
        <v/>
      </c>
      <c r="R854" s="1017" t="str">
        <f ca="1">IF($A854="","",IFERROR(INDEX(TinhGia!$BF$10:$BF$81,MATCH($A854,TinhGia!$B$10:$B$81,0)),""))</f>
        <v/>
      </c>
      <c r="S854" s="1012" t="str">
        <f ca="1">IF($A854="","",IF(OR(IFERROR(SEARCH($R854,XKNVLSX!$X$1,1),0)&gt;=1,XKNVLSX!$X$1=""),$S$2,""))</f>
        <v/>
      </c>
      <c r="T854" s="1018" t="str">
        <f ca="1">IF($C854="","", IF(OR($P854=$V$1,$P854=$V$7,COUNTIFS($C$3:$C854,$C854,$E$3:$E854,$E854)&lt;=1),$P854,""    ))</f>
        <v/>
      </c>
      <c r="U854" s="1019" t="str">
        <f ca="1">IF(AND($P854=$V$2,COUNTIFS($C$3:$C854,$C854,$E$3:$E854,$E854,$G$3:$G854,$G854)&lt;=1),$P854,"")</f>
        <v/>
      </c>
    </row>
    <row r="855" spans="1:21">
      <c r="A855" s="991" t="str">
        <f ca="1">IFERROR(IF(COUNTIF($A$3:A854,A854)&lt; INDEX(TinhGia!$BH$10:$BH$81,MATCH($A854,TinhGia!$B$10:$B$81,0)),$A854,INDEX(TinhGia!$B$10:$B$81,MATCH($A854,TinhGia!$B$10:$B$81,0)+1)),"")</f>
        <v/>
      </c>
      <c r="B855" s="525" t="str">
        <f ca="1">IF(OR(A855="",A855=0),"",IF(COUNTIF($A$2:A855,$A855)=1,ROW(MauKoXoa!$C$108),$B854+1))</f>
        <v/>
      </c>
      <c r="C855" s="992" t="str">
        <f t="shared" ca="1" si="139"/>
        <v/>
      </c>
      <c r="D855" s="993" t="str">
        <f t="shared" ca="1" si="140"/>
        <v/>
      </c>
      <c r="E855" s="993" t="str">
        <f t="shared" ca="1" si="141"/>
        <v/>
      </c>
      <c r="F855" s="992" t="str">
        <f t="shared" ca="1" si="149"/>
        <v/>
      </c>
      <c r="G855" s="994">
        <f t="shared" ca="1" si="142"/>
        <v>0</v>
      </c>
      <c r="H855" s="913">
        <f t="shared" ca="1" si="143"/>
        <v>0</v>
      </c>
      <c r="I855" s="913">
        <f t="shared" ca="1" si="144"/>
        <v>0</v>
      </c>
      <c r="J855" s="995">
        <f t="shared" ca="1" si="150"/>
        <v>0</v>
      </c>
      <c r="K855" s="913">
        <f t="shared" ca="1" si="145"/>
        <v>0</v>
      </c>
      <c r="L855" s="995">
        <f t="shared" ca="1" si="151"/>
        <v>0</v>
      </c>
      <c r="M855" s="913">
        <f t="shared" ca="1" si="146"/>
        <v>0</v>
      </c>
      <c r="N855" s="996">
        <f t="shared" ca="1" si="147"/>
        <v>0</v>
      </c>
      <c r="O855" s="997">
        <f t="shared" ca="1" si="148"/>
        <v>0</v>
      </c>
      <c r="P855" s="1015" t="str">
        <f ca="1">IF($C855="","",INDEX(NVLSX!$N$2:$N$6941,MATCH($C855,NVLSX!$E$2:$E$6941,0)))</f>
        <v/>
      </c>
      <c r="Q855" s="1016" t="str">
        <f ca="1">IF($R855="","",IF(XKNVLSX!$X$1="",IF($P855=$V$7,$P855, IF(COUNTIFS($C$2:$C854,$C855,$E$2:$E854,$E855)&gt;=1,"",$P855)),     IF(AND(IFERROR(SEARCH($R855,XKNVLSX!$X$1,1),0)&gt;=1,$P855=$V$7),$P855, IF(OR($R855&lt;&gt;IF(IFERROR(SEARCH($R855,XKNVLSX!$X$1,1),0)&gt;=1,$R855,XKNVLSX!$X$1),COUNTIFS($C$2:$C854,$C855,$E$2:$E854,$E855,$Q$2:$Q854,$P855)&gt;=1),"",$P855))))</f>
        <v/>
      </c>
      <c r="R855" s="1017" t="str">
        <f ca="1">IF($A855="","",IFERROR(INDEX(TinhGia!$BF$10:$BF$81,MATCH($A855,TinhGia!$B$10:$B$81,0)),""))</f>
        <v/>
      </c>
      <c r="S855" s="1012" t="str">
        <f ca="1">IF($A855="","",IF(OR(IFERROR(SEARCH($R855,XKNVLSX!$X$1,1),0)&gt;=1,XKNVLSX!$X$1=""),$S$2,""))</f>
        <v/>
      </c>
      <c r="T855" s="1018" t="str">
        <f ca="1">IF($C855="","", IF(OR($P855=$V$1,$P855=$V$7,COUNTIFS($C$3:$C855,$C855,$E$3:$E855,$E855)&lt;=1),$P855,""    ))</f>
        <v/>
      </c>
      <c r="U855" s="1019" t="str">
        <f ca="1">IF(AND($P855=$V$2,COUNTIFS($C$3:$C855,$C855,$E$3:$E855,$E855,$G$3:$G855,$G855)&lt;=1),$P855,"")</f>
        <v/>
      </c>
    </row>
    <row r="856" spans="1:21">
      <c r="A856" s="991" t="str">
        <f ca="1">IFERROR(IF(COUNTIF($A$3:A855,A855)&lt; INDEX(TinhGia!$BH$10:$BH$81,MATCH($A855,TinhGia!$B$10:$B$81,0)),$A855,INDEX(TinhGia!$B$10:$B$81,MATCH($A855,TinhGia!$B$10:$B$81,0)+1)),"")</f>
        <v/>
      </c>
      <c r="B856" s="525" t="str">
        <f ca="1">IF(OR(A856="",A856=0),"",IF(COUNTIF($A$2:A856,$A856)=1,ROW(MauKoXoa!$C$108),$B855+1))</f>
        <v/>
      </c>
      <c r="C856" s="992" t="str">
        <f t="shared" ca="1" si="139"/>
        <v/>
      </c>
      <c r="D856" s="993" t="str">
        <f t="shared" ca="1" si="140"/>
        <v/>
      </c>
      <c r="E856" s="993" t="str">
        <f t="shared" ca="1" si="141"/>
        <v/>
      </c>
      <c r="F856" s="992" t="str">
        <f t="shared" ca="1" si="149"/>
        <v/>
      </c>
      <c r="G856" s="994">
        <f t="shared" ca="1" si="142"/>
        <v>0</v>
      </c>
      <c r="H856" s="913">
        <f t="shared" ca="1" si="143"/>
        <v>0</v>
      </c>
      <c r="I856" s="913">
        <f t="shared" ca="1" si="144"/>
        <v>0</v>
      </c>
      <c r="J856" s="995">
        <f t="shared" ca="1" si="150"/>
        <v>0</v>
      </c>
      <c r="K856" s="913">
        <f t="shared" ca="1" si="145"/>
        <v>0</v>
      </c>
      <c r="L856" s="995">
        <f t="shared" ca="1" si="151"/>
        <v>0</v>
      </c>
      <c r="M856" s="913">
        <f t="shared" ca="1" si="146"/>
        <v>0</v>
      </c>
      <c r="N856" s="996">
        <f t="shared" ca="1" si="147"/>
        <v>0</v>
      </c>
      <c r="O856" s="997">
        <f t="shared" ca="1" si="148"/>
        <v>0</v>
      </c>
      <c r="P856" s="1015" t="str">
        <f ca="1">IF($C856="","",INDEX(NVLSX!$N$2:$N$6941,MATCH($C856,NVLSX!$E$2:$E$6941,0)))</f>
        <v/>
      </c>
      <c r="Q856" s="1016" t="str">
        <f ca="1">IF($R856="","",IF(XKNVLSX!$X$1="",IF($P856=$V$7,$P856, IF(COUNTIFS($C$2:$C855,$C856,$E$2:$E855,$E856)&gt;=1,"",$P856)),     IF(AND(IFERROR(SEARCH($R856,XKNVLSX!$X$1,1),0)&gt;=1,$P856=$V$7),$P856, IF(OR($R856&lt;&gt;IF(IFERROR(SEARCH($R856,XKNVLSX!$X$1,1),0)&gt;=1,$R856,XKNVLSX!$X$1),COUNTIFS($C$2:$C855,$C856,$E$2:$E855,$E856,$Q$2:$Q855,$P856)&gt;=1),"",$P856))))</f>
        <v/>
      </c>
      <c r="R856" s="1017" t="str">
        <f ca="1">IF($A856="","",IFERROR(INDEX(TinhGia!$BF$10:$BF$81,MATCH($A856,TinhGia!$B$10:$B$81,0)),""))</f>
        <v/>
      </c>
      <c r="S856" s="1012" t="str">
        <f ca="1">IF($A856="","",IF(OR(IFERROR(SEARCH($R856,XKNVLSX!$X$1,1),0)&gt;=1,XKNVLSX!$X$1=""),$S$2,""))</f>
        <v/>
      </c>
      <c r="T856" s="1018" t="str">
        <f ca="1">IF($C856="","", IF(OR($P856=$V$1,$P856=$V$7,COUNTIFS($C$3:$C856,$C856,$E$3:$E856,$E856)&lt;=1),$P856,""    ))</f>
        <v/>
      </c>
      <c r="U856" s="1019" t="str">
        <f ca="1">IF(AND($P856=$V$2,COUNTIFS($C$3:$C856,$C856,$E$3:$E856,$E856,$G$3:$G856,$G856)&lt;=1),$P856,"")</f>
        <v/>
      </c>
    </row>
    <row r="857" spans="1:21">
      <c r="A857" s="991" t="str">
        <f ca="1">IFERROR(IF(COUNTIF($A$3:A856,A856)&lt; INDEX(TinhGia!$BH$10:$BH$81,MATCH($A856,TinhGia!$B$10:$B$81,0)),$A856,INDEX(TinhGia!$B$10:$B$81,MATCH($A856,TinhGia!$B$10:$B$81,0)+1)),"")</f>
        <v/>
      </c>
      <c r="B857" s="525" t="str">
        <f ca="1">IF(OR(A857="",A857=0),"",IF(COUNTIF($A$2:A857,$A857)=1,ROW(MauKoXoa!$C$108),$B856+1))</f>
        <v/>
      </c>
      <c r="C857" s="992" t="str">
        <f t="shared" ca="1" si="139"/>
        <v/>
      </c>
      <c r="D857" s="993" t="str">
        <f t="shared" ca="1" si="140"/>
        <v/>
      </c>
      <c r="E857" s="993" t="str">
        <f t="shared" ca="1" si="141"/>
        <v/>
      </c>
      <c r="F857" s="992" t="str">
        <f t="shared" ca="1" si="149"/>
        <v/>
      </c>
      <c r="G857" s="994">
        <f t="shared" ca="1" si="142"/>
        <v>0</v>
      </c>
      <c r="H857" s="913">
        <f t="shared" ca="1" si="143"/>
        <v>0</v>
      </c>
      <c r="I857" s="913">
        <f t="shared" ca="1" si="144"/>
        <v>0</v>
      </c>
      <c r="J857" s="995">
        <f t="shared" ca="1" si="150"/>
        <v>0</v>
      </c>
      <c r="K857" s="913">
        <f t="shared" ca="1" si="145"/>
        <v>0</v>
      </c>
      <c r="L857" s="995">
        <f t="shared" ca="1" si="151"/>
        <v>0</v>
      </c>
      <c r="M857" s="913">
        <f t="shared" ca="1" si="146"/>
        <v>0</v>
      </c>
      <c r="N857" s="996">
        <f t="shared" ca="1" si="147"/>
        <v>0</v>
      </c>
      <c r="O857" s="997">
        <f t="shared" ca="1" si="148"/>
        <v>0</v>
      </c>
      <c r="P857" s="1015" t="str">
        <f ca="1">IF($C857="","",INDEX(NVLSX!$N$2:$N$6941,MATCH($C857,NVLSX!$E$2:$E$6941,0)))</f>
        <v/>
      </c>
      <c r="Q857" s="1016" t="str">
        <f ca="1">IF($R857="","",IF(XKNVLSX!$X$1="",IF($P857=$V$7,$P857, IF(COUNTIFS($C$2:$C856,$C857,$E$2:$E856,$E857)&gt;=1,"",$P857)),     IF(AND(IFERROR(SEARCH($R857,XKNVLSX!$X$1,1),0)&gt;=1,$P857=$V$7),$P857, IF(OR($R857&lt;&gt;IF(IFERROR(SEARCH($R857,XKNVLSX!$X$1,1),0)&gt;=1,$R857,XKNVLSX!$X$1),COUNTIFS($C$2:$C856,$C857,$E$2:$E856,$E857,$Q$2:$Q856,$P857)&gt;=1),"",$P857))))</f>
        <v/>
      </c>
      <c r="R857" s="1017" t="str">
        <f ca="1">IF($A857="","",IFERROR(INDEX(TinhGia!$BF$10:$BF$81,MATCH($A857,TinhGia!$B$10:$B$81,0)),""))</f>
        <v/>
      </c>
      <c r="S857" s="1012" t="str">
        <f ca="1">IF($A857="","",IF(OR(IFERROR(SEARCH($R857,XKNVLSX!$X$1,1),0)&gt;=1,XKNVLSX!$X$1=""),$S$2,""))</f>
        <v/>
      </c>
      <c r="T857" s="1018" t="str">
        <f ca="1">IF($C857="","", IF(OR($P857=$V$1,$P857=$V$7,COUNTIFS($C$3:$C857,$C857,$E$3:$E857,$E857)&lt;=1),$P857,""    ))</f>
        <v/>
      </c>
      <c r="U857" s="1019" t="str">
        <f ca="1">IF(AND($P857=$V$2,COUNTIFS($C$3:$C857,$C857,$E$3:$E857,$E857,$G$3:$G857,$G857)&lt;=1),$P857,"")</f>
        <v/>
      </c>
    </row>
    <row r="858" spans="1:21">
      <c r="A858" s="991" t="str">
        <f ca="1">IFERROR(IF(COUNTIF($A$3:A857,A857)&lt; INDEX(TinhGia!$BH$10:$BH$81,MATCH($A857,TinhGia!$B$10:$B$81,0)),$A857,INDEX(TinhGia!$B$10:$B$81,MATCH($A857,TinhGia!$B$10:$B$81,0)+1)),"")</f>
        <v/>
      </c>
      <c r="B858" s="525" t="str">
        <f ca="1">IF(OR(A858="",A858=0),"",IF(COUNTIF($A$2:A858,$A858)=1,ROW(MauKoXoa!$C$108),$B857+1))</f>
        <v/>
      </c>
      <c r="C858" s="992" t="str">
        <f t="shared" ca="1" si="139"/>
        <v/>
      </c>
      <c r="D858" s="993" t="str">
        <f t="shared" ca="1" si="140"/>
        <v/>
      </c>
      <c r="E858" s="993" t="str">
        <f t="shared" ca="1" si="141"/>
        <v/>
      </c>
      <c r="F858" s="992" t="str">
        <f t="shared" ca="1" si="149"/>
        <v/>
      </c>
      <c r="G858" s="994">
        <f t="shared" ca="1" si="142"/>
        <v>0</v>
      </c>
      <c r="H858" s="913">
        <f t="shared" ca="1" si="143"/>
        <v>0</v>
      </c>
      <c r="I858" s="913">
        <f t="shared" ca="1" si="144"/>
        <v>0</v>
      </c>
      <c r="J858" s="995">
        <f t="shared" ca="1" si="150"/>
        <v>0</v>
      </c>
      <c r="K858" s="913">
        <f t="shared" ca="1" si="145"/>
        <v>0</v>
      </c>
      <c r="L858" s="995">
        <f t="shared" ca="1" si="151"/>
        <v>0</v>
      </c>
      <c r="M858" s="913">
        <f t="shared" ca="1" si="146"/>
        <v>0</v>
      </c>
      <c r="N858" s="996">
        <f t="shared" ca="1" si="147"/>
        <v>0</v>
      </c>
      <c r="O858" s="997">
        <f t="shared" ca="1" si="148"/>
        <v>0</v>
      </c>
      <c r="P858" s="1015" t="str">
        <f ca="1">IF($C858="","",INDEX(NVLSX!$N$2:$N$6941,MATCH($C858,NVLSX!$E$2:$E$6941,0)))</f>
        <v/>
      </c>
      <c r="Q858" s="1016" t="str">
        <f ca="1">IF($R858="","",IF(XKNVLSX!$X$1="",IF($P858=$V$7,$P858, IF(COUNTIFS($C$2:$C857,$C858,$E$2:$E857,$E858)&gt;=1,"",$P858)),     IF(AND(IFERROR(SEARCH($R858,XKNVLSX!$X$1,1),0)&gt;=1,$P858=$V$7),$P858, IF(OR($R858&lt;&gt;IF(IFERROR(SEARCH($R858,XKNVLSX!$X$1,1),0)&gt;=1,$R858,XKNVLSX!$X$1),COUNTIFS($C$2:$C857,$C858,$E$2:$E857,$E858,$Q$2:$Q857,$P858)&gt;=1),"",$P858))))</f>
        <v/>
      </c>
      <c r="R858" s="1017" t="str">
        <f ca="1">IF($A858="","",IFERROR(INDEX(TinhGia!$BF$10:$BF$81,MATCH($A858,TinhGia!$B$10:$B$81,0)),""))</f>
        <v/>
      </c>
      <c r="S858" s="1012" t="str">
        <f ca="1">IF($A858="","",IF(OR(IFERROR(SEARCH($R858,XKNVLSX!$X$1,1),0)&gt;=1,XKNVLSX!$X$1=""),$S$2,""))</f>
        <v/>
      </c>
      <c r="T858" s="1018" t="str">
        <f ca="1">IF($C858="","", IF(OR($P858=$V$1,$P858=$V$7,COUNTIFS($C$3:$C858,$C858,$E$3:$E858,$E858)&lt;=1),$P858,""    ))</f>
        <v/>
      </c>
      <c r="U858" s="1019" t="str">
        <f ca="1">IF(AND($P858=$V$2,COUNTIFS($C$3:$C858,$C858,$E$3:$E858,$E858,$G$3:$G858,$G858)&lt;=1),$P858,"")</f>
        <v/>
      </c>
    </row>
    <row r="859" spans="1:21">
      <c r="A859" s="991" t="str">
        <f ca="1">IFERROR(IF(COUNTIF($A$3:A858,A858)&lt; INDEX(TinhGia!$BH$10:$BH$81,MATCH($A858,TinhGia!$B$10:$B$81,0)),$A858,INDEX(TinhGia!$B$10:$B$81,MATCH($A858,TinhGia!$B$10:$B$81,0)+1)),"")</f>
        <v/>
      </c>
      <c r="B859" s="525" t="str">
        <f ca="1">IF(OR(A859="",A859=0),"",IF(COUNTIF($A$2:A859,$A859)=1,ROW(MauKoXoa!$C$108),$B858+1))</f>
        <v/>
      </c>
      <c r="C859" s="992" t="str">
        <f t="shared" ca="1" si="139"/>
        <v/>
      </c>
      <c r="D859" s="993" t="str">
        <f t="shared" ca="1" si="140"/>
        <v/>
      </c>
      <c r="E859" s="993" t="str">
        <f t="shared" ca="1" si="141"/>
        <v/>
      </c>
      <c r="F859" s="992" t="str">
        <f t="shared" ca="1" si="149"/>
        <v/>
      </c>
      <c r="G859" s="994">
        <f t="shared" ca="1" si="142"/>
        <v>0</v>
      </c>
      <c r="H859" s="913">
        <f t="shared" ca="1" si="143"/>
        <v>0</v>
      </c>
      <c r="I859" s="913">
        <f t="shared" ca="1" si="144"/>
        <v>0</v>
      </c>
      <c r="J859" s="995">
        <f t="shared" ca="1" si="150"/>
        <v>0</v>
      </c>
      <c r="K859" s="913">
        <f t="shared" ca="1" si="145"/>
        <v>0</v>
      </c>
      <c r="L859" s="995">
        <f t="shared" ca="1" si="151"/>
        <v>0</v>
      </c>
      <c r="M859" s="913">
        <f t="shared" ca="1" si="146"/>
        <v>0</v>
      </c>
      <c r="N859" s="996">
        <f t="shared" ca="1" si="147"/>
        <v>0</v>
      </c>
      <c r="O859" s="997">
        <f t="shared" ca="1" si="148"/>
        <v>0</v>
      </c>
      <c r="P859" s="1015" t="str">
        <f ca="1">IF($C859="","",INDEX(NVLSX!$N$2:$N$6941,MATCH($C859,NVLSX!$E$2:$E$6941,0)))</f>
        <v/>
      </c>
      <c r="Q859" s="1016" t="str">
        <f ca="1">IF($R859="","",IF(XKNVLSX!$X$1="",IF($P859=$V$7,$P859, IF(COUNTIFS($C$2:$C858,$C859,$E$2:$E858,$E859)&gt;=1,"",$P859)),     IF(AND(IFERROR(SEARCH($R859,XKNVLSX!$X$1,1),0)&gt;=1,$P859=$V$7),$P859, IF(OR($R859&lt;&gt;IF(IFERROR(SEARCH($R859,XKNVLSX!$X$1,1),0)&gt;=1,$R859,XKNVLSX!$X$1),COUNTIFS($C$2:$C858,$C859,$E$2:$E858,$E859,$Q$2:$Q858,$P859)&gt;=1),"",$P859))))</f>
        <v/>
      </c>
      <c r="R859" s="1017" t="str">
        <f ca="1">IF($A859="","",IFERROR(INDEX(TinhGia!$BF$10:$BF$81,MATCH($A859,TinhGia!$B$10:$B$81,0)),""))</f>
        <v/>
      </c>
      <c r="S859" s="1012" t="str">
        <f ca="1">IF($A859="","",IF(OR(IFERROR(SEARCH($R859,XKNVLSX!$X$1,1),0)&gt;=1,XKNVLSX!$X$1=""),$S$2,""))</f>
        <v/>
      </c>
      <c r="T859" s="1018" t="str">
        <f ca="1">IF($C859="","", IF(OR($P859=$V$1,$P859=$V$7,COUNTIFS($C$3:$C859,$C859,$E$3:$E859,$E859)&lt;=1),$P859,""    ))</f>
        <v/>
      </c>
      <c r="U859" s="1019" t="str">
        <f ca="1">IF(AND($P859=$V$2,COUNTIFS($C$3:$C859,$C859,$E$3:$E859,$E859,$G$3:$G859,$G859)&lt;=1),$P859,"")</f>
        <v/>
      </c>
    </row>
    <row r="860" spans="1:21">
      <c r="A860" s="991" t="str">
        <f ca="1">IFERROR(IF(COUNTIF($A$3:A859,A859)&lt; INDEX(TinhGia!$BH$10:$BH$81,MATCH($A859,TinhGia!$B$10:$B$81,0)),$A859,INDEX(TinhGia!$B$10:$B$81,MATCH($A859,TinhGia!$B$10:$B$81,0)+1)),"")</f>
        <v/>
      </c>
      <c r="B860" s="525" t="str">
        <f ca="1">IF(OR(A860="",A860=0),"",IF(COUNTIF($A$2:A860,$A860)=1,ROW(MauKoXoa!$C$108),$B859+1))</f>
        <v/>
      </c>
      <c r="C860" s="992" t="str">
        <f t="shared" ca="1" si="139"/>
        <v/>
      </c>
      <c r="D860" s="993" t="str">
        <f t="shared" ca="1" si="140"/>
        <v/>
      </c>
      <c r="E860" s="993" t="str">
        <f t="shared" ca="1" si="141"/>
        <v/>
      </c>
      <c r="F860" s="992" t="str">
        <f t="shared" ca="1" si="149"/>
        <v/>
      </c>
      <c r="G860" s="994">
        <f t="shared" ca="1" si="142"/>
        <v>0</v>
      </c>
      <c r="H860" s="913">
        <f t="shared" ca="1" si="143"/>
        <v>0</v>
      </c>
      <c r="I860" s="913">
        <f t="shared" ca="1" si="144"/>
        <v>0</v>
      </c>
      <c r="J860" s="995">
        <f t="shared" ca="1" si="150"/>
        <v>0</v>
      </c>
      <c r="K860" s="913">
        <f t="shared" ca="1" si="145"/>
        <v>0</v>
      </c>
      <c r="L860" s="995">
        <f t="shared" ca="1" si="151"/>
        <v>0</v>
      </c>
      <c r="M860" s="913">
        <f t="shared" ca="1" si="146"/>
        <v>0</v>
      </c>
      <c r="N860" s="996">
        <f t="shared" ca="1" si="147"/>
        <v>0</v>
      </c>
      <c r="O860" s="997">
        <f t="shared" ca="1" si="148"/>
        <v>0</v>
      </c>
      <c r="P860" s="1015" t="str">
        <f ca="1">IF($C860="","",INDEX(NVLSX!$N$2:$N$6941,MATCH($C860,NVLSX!$E$2:$E$6941,0)))</f>
        <v/>
      </c>
      <c r="Q860" s="1016" t="str">
        <f ca="1">IF($R860="","",IF(XKNVLSX!$X$1="",IF($P860=$V$7,$P860, IF(COUNTIFS($C$2:$C859,$C860,$E$2:$E859,$E860)&gt;=1,"",$P860)),     IF(AND(IFERROR(SEARCH($R860,XKNVLSX!$X$1,1),0)&gt;=1,$P860=$V$7),$P860, IF(OR($R860&lt;&gt;IF(IFERROR(SEARCH($R860,XKNVLSX!$X$1,1),0)&gt;=1,$R860,XKNVLSX!$X$1),COUNTIFS($C$2:$C859,$C860,$E$2:$E859,$E860,$Q$2:$Q859,$P860)&gt;=1),"",$P860))))</f>
        <v/>
      </c>
      <c r="R860" s="1017" t="str">
        <f ca="1">IF($A860="","",IFERROR(INDEX(TinhGia!$BF$10:$BF$81,MATCH($A860,TinhGia!$B$10:$B$81,0)),""))</f>
        <v/>
      </c>
      <c r="S860" s="1012" t="str">
        <f ca="1">IF($A860="","",IF(OR(IFERROR(SEARCH($R860,XKNVLSX!$X$1,1),0)&gt;=1,XKNVLSX!$X$1=""),$S$2,""))</f>
        <v/>
      </c>
      <c r="T860" s="1018" t="str">
        <f ca="1">IF($C860="","", IF(OR($P860=$V$1,$P860=$V$7,COUNTIFS($C$3:$C860,$C860,$E$3:$E860,$E860)&lt;=1),$P860,""    ))</f>
        <v/>
      </c>
      <c r="U860" s="1019" t="str">
        <f ca="1">IF(AND($P860=$V$2,COUNTIFS($C$3:$C860,$C860,$E$3:$E860,$E860,$G$3:$G860,$G860)&lt;=1),$P860,"")</f>
        <v/>
      </c>
    </row>
    <row r="861" spans="1:21">
      <c r="A861" s="991" t="str">
        <f ca="1">IFERROR(IF(COUNTIF($A$3:A860,A860)&lt; INDEX(TinhGia!$BH$10:$BH$81,MATCH($A860,TinhGia!$B$10:$B$81,0)),$A860,INDEX(TinhGia!$B$10:$B$81,MATCH($A860,TinhGia!$B$10:$B$81,0)+1)),"")</f>
        <v/>
      </c>
      <c r="B861" s="525" t="str">
        <f ca="1">IF(OR(A861="",A861=0),"",IF(COUNTIF($A$2:A861,$A861)=1,ROW(MauKoXoa!$C$108),$B860+1))</f>
        <v/>
      </c>
      <c r="C861" s="992" t="str">
        <f t="shared" ca="1" si="139"/>
        <v/>
      </c>
      <c r="D861" s="993" t="str">
        <f t="shared" ca="1" si="140"/>
        <v/>
      </c>
      <c r="E861" s="993" t="str">
        <f t="shared" ca="1" si="141"/>
        <v/>
      </c>
      <c r="F861" s="992" t="str">
        <f t="shared" ca="1" si="149"/>
        <v/>
      </c>
      <c r="G861" s="994">
        <f t="shared" ca="1" si="142"/>
        <v>0</v>
      </c>
      <c r="H861" s="913">
        <f t="shared" ca="1" si="143"/>
        <v>0</v>
      </c>
      <c r="I861" s="913">
        <f t="shared" ca="1" si="144"/>
        <v>0</v>
      </c>
      <c r="J861" s="995">
        <f t="shared" ca="1" si="150"/>
        <v>0</v>
      </c>
      <c r="K861" s="913">
        <f t="shared" ca="1" si="145"/>
        <v>0</v>
      </c>
      <c r="L861" s="995">
        <f t="shared" ca="1" si="151"/>
        <v>0</v>
      </c>
      <c r="M861" s="913">
        <f t="shared" ca="1" si="146"/>
        <v>0</v>
      </c>
      <c r="N861" s="996">
        <f t="shared" ca="1" si="147"/>
        <v>0</v>
      </c>
      <c r="O861" s="997">
        <f t="shared" ca="1" si="148"/>
        <v>0</v>
      </c>
      <c r="P861" s="1015" t="str">
        <f ca="1">IF($C861="","",INDEX(NVLSX!$N$2:$N$6941,MATCH($C861,NVLSX!$E$2:$E$6941,0)))</f>
        <v/>
      </c>
      <c r="Q861" s="1016" t="str">
        <f ca="1">IF($R861="","",IF(XKNVLSX!$X$1="",IF($P861=$V$7,$P861, IF(COUNTIFS($C$2:$C860,$C861,$E$2:$E860,$E861)&gt;=1,"",$P861)),     IF(AND(IFERROR(SEARCH($R861,XKNVLSX!$X$1,1),0)&gt;=1,$P861=$V$7),$P861, IF(OR($R861&lt;&gt;IF(IFERROR(SEARCH($R861,XKNVLSX!$X$1,1),0)&gt;=1,$R861,XKNVLSX!$X$1),COUNTIFS($C$2:$C860,$C861,$E$2:$E860,$E861,$Q$2:$Q860,$P861)&gt;=1),"",$P861))))</f>
        <v/>
      </c>
      <c r="R861" s="1017" t="str">
        <f ca="1">IF($A861="","",IFERROR(INDEX(TinhGia!$BF$10:$BF$81,MATCH($A861,TinhGia!$B$10:$B$81,0)),""))</f>
        <v/>
      </c>
      <c r="S861" s="1012" t="str">
        <f ca="1">IF($A861="","",IF(OR(IFERROR(SEARCH($R861,XKNVLSX!$X$1,1),0)&gt;=1,XKNVLSX!$X$1=""),$S$2,""))</f>
        <v/>
      </c>
      <c r="T861" s="1018" t="str">
        <f ca="1">IF($C861="","", IF(OR($P861=$V$1,$P861=$V$7,COUNTIFS($C$3:$C861,$C861,$E$3:$E861,$E861)&lt;=1),$P861,""    ))</f>
        <v/>
      </c>
      <c r="U861" s="1019" t="str">
        <f ca="1">IF(AND($P861=$V$2,COUNTIFS($C$3:$C861,$C861,$E$3:$E861,$E861,$G$3:$G861,$G861)&lt;=1),$P861,"")</f>
        <v/>
      </c>
    </row>
    <row r="862" spans="1:21">
      <c r="A862" s="991" t="str">
        <f ca="1">IFERROR(IF(COUNTIF($A$3:A861,A861)&lt; INDEX(TinhGia!$BH$10:$BH$81,MATCH($A861,TinhGia!$B$10:$B$81,0)),$A861,INDEX(TinhGia!$B$10:$B$81,MATCH($A861,TinhGia!$B$10:$B$81,0)+1)),"")</f>
        <v/>
      </c>
      <c r="B862" s="525" t="str">
        <f ca="1">IF(OR(A862="",A862=0),"",IF(COUNTIF($A$2:A862,$A862)=1,ROW(MauKoXoa!$C$108),$B861+1))</f>
        <v/>
      </c>
      <c r="C862" s="992" t="str">
        <f t="shared" ca="1" si="139"/>
        <v/>
      </c>
      <c r="D862" s="993" t="str">
        <f t="shared" ca="1" si="140"/>
        <v/>
      </c>
      <c r="E862" s="993" t="str">
        <f t="shared" ca="1" si="141"/>
        <v/>
      </c>
      <c r="F862" s="992" t="str">
        <f t="shared" ca="1" si="149"/>
        <v/>
      </c>
      <c r="G862" s="994">
        <f t="shared" ca="1" si="142"/>
        <v>0</v>
      </c>
      <c r="H862" s="913">
        <f t="shared" ca="1" si="143"/>
        <v>0</v>
      </c>
      <c r="I862" s="913">
        <f t="shared" ca="1" si="144"/>
        <v>0</v>
      </c>
      <c r="J862" s="995">
        <f t="shared" ca="1" si="150"/>
        <v>0</v>
      </c>
      <c r="K862" s="913">
        <f t="shared" ca="1" si="145"/>
        <v>0</v>
      </c>
      <c r="L862" s="995">
        <f t="shared" ca="1" si="151"/>
        <v>0</v>
      </c>
      <c r="M862" s="913">
        <f t="shared" ca="1" si="146"/>
        <v>0</v>
      </c>
      <c r="N862" s="996">
        <f t="shared" ca="1" si="147"/>
        <v>0</v>
      </c>
      <c r="O862" s="997">
        <f t="shared" ca="1" si="148"/>
        <v>0</v>
      </c>
      <c r="P862" s="1015" t="str">
        <f ca="1">IF($C862="","",INDEX(NVLSX!$N$2:$N$6941,MATCH($C862,NVLSX!$E$2:$E$6941,0)))</f>
        <v/>
      </c>
      <c r="Q862" s="1016" t="str">
        <f ca="1">IF($R862="","",IF(XKNVLSX!$X$1="",IF($P862=$V$7,$P862, IF(COUNTIFS($C$2:$C861,$C862,$E$2:$E861,$E862)&gt;=1,"",$P862)),     IF(AND(IFERROR(SEARCH($R862,XKNVLSX!$X$1,1),0)&gt;=1,$P862=$V$7),$P862, IF(OR($R862&lt;&gt;IF(IFERROR(SEARCH($R862,XKNVLSX!$X$1,1),0)&gt;=1,$R862,XKNVLSX!$X$1),COUNTIFS($C$2:$C861,$C862,$E$2:$E861,$E862,$Q$2:$Q861,$P862)&gt;=1),"",$P862))))</f>
        <v/>
      </c>
      <c r="R862" s="1017" t="str">
        <f ca="1">IF($A862="","",IFERROR(INDEX(TinhGia!$BF$10:$BF$81,MATCH($A862,TinhGia!$B$10:$B$81,0)),""))</f>
        <v/>
      </c>
      <c r="S862" s="1012" t="str">
        <f ca="1">IF($A862="","",IF(OR(IFERROR(SEARCH($R862,XKNVLSX!$X$1,1),0)&gt;=1,XKNVLSX!$X$1=""),$S$2,""))</f>
        <v/>
      </c>
      <c r="T862" s="1018" t="str">
        <f ca="1">IF($C862="","", IF(OR($P862=$V$1,$P862=$V$7,COUNTIFS($C$3:$C862,$C862,$E$3:$E862,$E862)&lt;=1),$P862,""    ))</f>
        <v/>
      </c>
      <c r="U862" s="1019" t="str">
        <f ca="1">IF(AND($P862=$V$2,COUNTIFS($C$3:$C862,$C862,$E$3:$E862,$E862,$G$3:$G862,$G862)&lt;=1),$P862,"")</f>
        <v/>
      </c>
    </row>
    <row r="863" spans="1:21">
      <c r="A863" s="991" t="str">
        <f ca="1">IFERROR(IF(COUNTIF($A$3:A862,A862)&lt; INDEX(TinhGia!$BH$10:$BH$81,MATCH($A862,TinhGia!$B$10:$B$81,0)),$A862,INDEX(TinhGia!$B$10:$B$81,MATCH($A862,TinhGia!$B$10:$B$81,0)+1)),"")</f>
        <v/>
      </c>
      <c r="B863" s="525" t="str">
        <f ca="1">IF(OR(A863="",A863=0),"",IF(COUNTIF($A$2:A863,$A863)=1,ROW(MauKoXoa!$C$108),$B862+1))</f>
        <v/>
      </c>
      <c r="C863" s="992" t="str">
        <f t="shared" ca="1" si="139"/>
        <v/>
      </c>
      <c r="D863" s="993" t="str">
        <f t="shared" ca="1" si="140"/>
        <v/>
      </c>
      <c r="E863" s="993" t="str">
        <f t="shared" ca="1" si="141"/>
        <v/>
      </c>
      <c r="F863" s="992" t="str">
        <f t="shared" ca="1" si="149"/>
        <v/>
      </c>
      <c r="G863" s="994">
        <f t="shared" ca="1" si="142"/>
        <v>0</v>
      </c>
      <c r="H863" s="913">
        <f t="shared" ca="1" si="143"/>
        <v>0</v>
      </c>
      <c r="I863" s="913">
        <f t="shared" ca="1" si="144"/>
        <v>0</v>
      </c>
      <c r="J863" s="995">
        <f t="shared" ca="1" si="150"/>
        <v>0</v>
      </c>
      <c r="K863" s="913">
        <f t="shared" ca="1" si="145"/>
        <v>0</v>
      </c>
      <c r="L863" s="995">
        <f t="shared" ca="1" si="151"/>
        <v>0</v>
      </c>
      <c r="M863" s="913">
        <f t="shared" ca="1" si="146"/>
        <v>0</v>
      </c>
      <c r="N863" s="996">
        <f t="shared" ca="1" si="147"/>
        <v>0</v>
      </c>
      <c r="O863" s="997">
        <f t="shared" ca="1" si="148"/>
        <v>0</v>
      </c>
      <c r="P863" s="1015" t="str">
        <f ca="1">IF($C863="","",INDEX(NVLSX!$N$2:$N$6941,MATCH($C863,NVLSX!$E$2:$E$6941,0)))</f>
        <v/>
      </c>
      <c r="Q863" s="1016" t="str">
        <f ca="1">IF($R863="","",IF(XKNVLSX!$X$1="",IF($P863=$V$7,$P863, IF(COUNTIFS($C$2:$C862,$C863,$E$2:$E862,$E863)&gt;=1,"",$P863)),     IF(AND(IFERROR(SEARCH($R863,XKNVLSX!$X$1,1),0)&gt;=1,$P863=$V$7),$P863, IF(OR($R863&lt;&gt;IF(IFERROR(SEARCH($R863,XKNVLSX!$X$1,1),0)&gt;=1,$R863,XKNVLSX!$X$1),COUNTIFS($C$2:$C862,$C863,$E$2:$E862,$E863,$Q$2:$Q862,$P863)&gt;=1),"",$P863))))</f>
        <v/>
      </c>
      <c r="R863" s="1017" t="str">
        <f ca="1">IF($A863="","",IFERROR(INDEX(TinhGia!$BF$10:$BF$81,MATCH($A863,TinhGia!$B$10:$B$81,0)),""))</f>
        <v/>
      </c>
      <c r="S863" s="1012" t="str">
        <f ca="1">IF($A863="","",IF(OR(IFERROR(SEARCH($R863,XKNVLSX!$X$1,1),0)&gt;=1,XKNVLSX!$X$1=""),$S$2,""))</f>
        <v/>
      </c>
      <c r="T863" s="1018" t="str">
        <f ca="1">IF($C863="","", IF(OR($P863=$V$1,$P863=$V$7,COUNTIFS($C$3:$C863,$C863,$E$3:$E863,$E863)&lt;=1),$P863,""    ))</f>
        <v/>
      </c>
      <c r="U863" s="1019" t="str">
        <f ca="1">IF(AND($P863=$V$2,COUNTIFS($C$3:$C863,$C863,$E$3:$E863,$E863,$G$3:$G863,$G863)&lt;=1),$P863,"")</f>
        <v/>
      </c>
    </row>
    <row r="864" spans="1:21">
      <c r="A864" s="991" t="str">
        <f ca="1">IFERROR(IF(COUNTIF($A$3:A863,A863)&lt; INDEX(TinhGia!$BH$10:$BH$81,MATCH($A863,TinhGia!$B$10:$B$81,0)),$A863,INDEX(TinhGia!$B$10:$B$81,MATCH($A863,TinhGia!$B$10:$B$81,0)+1)),"")</f>
        <v/>
      </c>
      <c r="B864" s="525" t="str">
        <f ca="1">IF(OR(A864="",A864=0),"",IF(COUNTIF($A$2:A864,$A864)=1,ROW(MauKoXoa!$C$108),$B863+1))</f>
        <v/>
      </c>
      <c r="C864" s="992" t="str">
        <f t="shared" ca="1" si="139"/>
        <v/>
      </c>
      <c r="D864" s="993" t="str">
        <f t="shared" ca="1" si="140"/>
        <v/>
      </c>
      <c r="E864" s="993" t="str">
        <f t="shared" ca="1" si="141"/>
        <v/>
      </c>
      <c r="F864" s="992" t="str">
        <f t="shared" ca="1" si="149"/>
        <v/>
      </c>
      <c r="G864" s="994">
        <f t="shared" ca="1" si="142"/>
        <v>0</v>
      </c>
      <c r="H864" s="913">
        <f t="shared" ca="1" si="143"/>
        <v>0</v>
      </c>
      <c r="I864" s="913">
        <f t="shared" ca="1" si="144"/>
        <v>0</v>
      </c>
      <c r="J864" s="995">
        <f t="shared" ca="1" si="150"/>
        <v>0</v>
      </c>
      <c r="K864" s="913">
        <f t="shared" ca="1" si="145"/>
        <v>0</v>
      </c>
      <c r="L864" s="995">
        <f t="shared" ca="1" si="151"/>
        <v>0</v>
      </c>
      <c r="M864" s="913">
        <f t="shared" ca="1" si="146"/>
        <v>0</v>
      </c>
      <c r="N864" s="996">
        <f t="shared" ca="1" si="147"/>
        <v>0</v>
      </c>
      <c r="O864" s="997">
        <f t="shared" ca="1" si="148"/>
        <v>0</v>
      </c>
      <c r="P864" s="1015" t="str">
        <f ca="1">IF($C864="","",INDEX(NVLSX!$N$2:$N$6941,MATCH($C864,NVLSX!$E$2:$E$6941,0)))</f>
        <v/>
      </c>
      <c r="Q864" s="1016" t="str">
        <f ca="1">IF($R864="","",IF(XKNVLSX!$X$1="",IF($P864=$V$7,$P864, IF(COUNTIFS($C$2:$C863,$C864,$E$2:$E863,$E864)&gt;=1,"",$P864)),     IF(AND(IFERROR(SEARCH($R864,XKNVLSX!$X$1,1),0)&gt;=1,$P864=$V$7),$P864, IF(OR($R864&lt;&gt;IF(IFERROR(SEARCH($R864,XKNVLSX!$X$1,1),0)&gt;=1,$R864,XKNVLSX!$X$1),COUNTIFS($C$2:$C863,$C864,$E$2:$E863,$E864,$Q$2:$Q863,$P864)&gt;=1),"",$P864))))</f>
        <v/>
      </c>
      <c r="R864" s="1017" t="str">
        <f ca="1">IF($A864="","",IFERROR(INDEX(TinhGia!$BF$10:$BF$81,MATCH($A864,TinhGia!$B$10:$B$81,0)),""))</f>
        <v/>
      </c>
      <c r="S864" s="1012" t="str">
        <f ca="1">IF($A864="","",IF(OR(IFERROR(SEARCH($R864,XKNVLSX!$X$1,1),0)&gt;=1,XKNVLSX!$X$1=""),$S$2,""))</f>
        <v/>
      </c>
      <c r="T864" s="1018" t="str">
        <f ca="1">IF($C864="","", IF(OR($P864=$V$1,$P864=$V$7,COUNTIFS($C$3:$C864,$C864,$E$3:$E864,$E864)&lt;=1),$P864,""    ))</f>
        <v/>
      </c>
      <c r="U864" s="1019" t="str">
        <f ca="1">IF(AND($P864=$V$2,COUNTIFS($C$3:$C864,$C864,$E$3:$E864,$E864,$G$3:$G864,$G864)&lt;=1),$P864,"")</f>
        <v/>
      </c>
    </row>
    <row r="865" spans="1:21">
      <c r="A865" s="991" t="str">
        <f ca="1">IFERROR(IF(COUNTIF($A$3:A864,A864)&lt; INDEX(TinhGia!$BH$10:$BH$81,MATCH($A864,TinhGia!$B$10:$B$81,0)),$A864,INDEX(TinhGia!$B$10:$B$81,MATCH($A864,TinhGia!$B$10:$B$81,0)+1)),"")</f>
        <v/>
      </c>
      <c r="B865" s="525" t="str">
        <f ca="1">IF(OR(A865="",A865=0),"",IF(COUNTIF($A$2:A865,$A865)=1,ROW(MauKoXoa!$C$108),$B864+1))</f>
        <v/>
      </c>
      <c r="C865" s="992" t="str">
        <f t="shared" ca="1" si="139"/>
        <v/>
      </c>
      <c r="D865" s="993" t="str">
        <f t="shared" ca="1" si="140"/>
        <v/>
      </c>
      <c r="E865" s="993" t="str">
        <f t="shared" ca="1" si="141"/>
        <v/>
      </c>
      <c r="F865" s="992" t="str">
        <f t="shared" ca="1" si="149"/>
        <v/>
      </c>
      <c r="G865" s="994">
        <f t="shared" ca="1" si="142"/>
        <v>0</v>
      </c>
      <c r="H865" s="913">
        <f t="shared" ca="1" si="143"/>
        <v>0</v>
      </c>
      <c r="I865" s="913">
        <f t="shared" ca="1" si="144"/>
        <v>0</v>
      </c>
      <c r="J865" s="995">
        <f t="shared" ca="1" si="150"/>
        <v>0</v>
      </c>
      <c r="K865" s="913">
        <f t="shared" ca="1" si="145"/>
        <v>0</v>
      </c>
      <c r="L865" s="995">
        <f t="shared" ca="1" si="151"/>
        <v>0</v>
      </c>
      <c r="M865" s="913">
        <f t="shared" ca="1" si="146"/>
        <v>0</v>
      </c>
      <c r="N865" s="996">
        <f t="shared" ca="1" si="147"/>
        <v>0</v>
      </c>
      <c r="O865" s="997">
        <f t="shared" ca="1" si="148"/>
        <v>0</v>
      </c>
      <c r="P865" s="1015" t="str">
        <f ca="1">IF($C865="","",INDEX(NVLSX!$N$2:$N$6941,MATCH($C865,NVLSX!$E$2:$E$6941,0)))</f>
        <v/>
      </c>
      <c r="Q865" s="1016" t="str">
        <f ca="1">IF($R865="","",IF(XKNVLSX!$X$1="",IF($P865=$V$7,$P865, IF(COUNTIFS($C$2:$C864,$C865,$E$2:$E864,$E865)&gt;=1,"",$P865)),     IF(AND(IFERROR(SEARCH($R865,XKNVLSX!$X$1,1),0)&gt;=1,$P865=$V$7),$P865, IF(OR($R865&lt;&gt;IF(IFERROR(SEARCH($R865,XKNVLSX!$X$1,1),0)&gt;=1,$R865,XKNVLSX!$X$1),COUNTIFS($C$2:$C864,$C865,$E$2:$E864,$E865,$Q$2:$Q864,$P865)&gt;=1),"",$P865))))</f>
        <v/>
      </c>
      <c r="R865" s="1017" t="str">
        <f ca="1">IF($A865="","",IFERROR(INDEX(TinhGia!$BF$10:$BF$81,MATCH($A865,TinhGia!$B$10:$B$81,0)),""))</f>
        <v/>
      </c>
      <c r="S865" s="1012" t="str">
        <f ca="1">IF($A865="","",IF(OR(IFERROR(SEARCH($R865,XKNVLSX!$X$1,1),0)&gt;=1,XKNVLSX!$X$1=""),$S$2,""))</f>
        <v/>
      </c>
      <c r="T865" s="1018" t="str">
        <f ca="1">IF($C865="","", IF(OR($P865=$V$1,$P865=$V$7,COUNTIFS($C$3:$C865,$C865,$E$3:$E865,$E865)&lt;=1),$P865,""    ))</f>
        <v/>
      </c>
      <c r="U865" s="1019" t="str">
        <f ca="1">IF(AND($P865=$V$2,COUNTIFS($C$3:$C865,$C865,$E$3:$E865,$E865,$G$3:$G865,$G865)&lt;=1),$P865,"")</f>
        <v/>
      </c>
    </row>
    <row r="866" spans="1:21">
      <c r="A866" s="991" t="str">
        <f ca="1">IFERROR(IF(COUNTIF($A$3:A865,A865)&lt; INDEX(TinhGia!$BH$10:$BH$81,MATCH($A865,TinhGia!$B$10:$B$81,0)),$A865,INDEX(TinhGia!$B$10:$B$81,MATCH($A865,TinhGia!$B$10:$B$81,0)+1)),"")</f>
        <v/>
      </c>
      <c r="B866" s="525" t="str">
        <f ca="1">IF(OR(A866="",A866=0),"",IF(COUNTIF($A$2:A866,$A866)=1,ROW(MauKoXoa!$C$108),$B865+1))</f>
        <v/>
      </c>
      <c r="C866" s="992" t="str">
        <f t="shared" ca="1" si="139"/>
        <v/>
      </c>
      <c r="D866" s="993" t="str">
        <f t="shared" ca="1" si="140"/>
        <v/>
      </c>
      <c r="E866" s="993" t="str">
        <f t="shared" ca="1" si="141"/>
        <v/>
      </c>
      <c r="F866" s="992" t="str">
        <f t="shared" ca="1" si="149"/>
        <v/>
      </c>
      <c r="G866" s="994">
        <f t="shared" ca="1" si="142"/>
        <v>0</v>
      </c>
      <c r="H866" s="913">
        <f t="shared" ca="1" si="143"/>
        <v>0</v>
      </c>
      <c r="I866" s="913">
        <f t="shared" ca="1" si="144"/>
        <v>0</v>
      </c>
      <c r="J866" s="995">
        <f t="shared" ca="1" si="150"/>
        <v>0</v>
      </c>
      <c r="K866" s="913">
        <f t="shared" ca="1" si="145"/>
        <v>0</v>
      </c>
      <c r="L866" s="995">
        <f t="shared" ca="1" si="151"/>
        <v>0</v>
      </c>
      <c r="M866" s="913">
        <f t="shared" ca="1" si="146"/>
        <v>0</v>
      </c>
      <c r="N866" s="996">
        <f t="shared" ca="1" si="147"/>
        <v>0</v>
      </c>
      <c r="O866" s="997">
        <f t="shared" ca="1" si="148"/>
        <v>0</v>
      </c>
      <c r="P866" s="1015" t="str">
        <f ca="1">IF($C866="","",INDEX(NVLSX!$N$2:$N$6941,MATCH($C866,NVLSX!$E$2:$E$6941,0)))</f>
        <v/>
      </c>
      <c r="Q866" s="1016" t="str">
        <f ca="1">IF($R866="","",IF(XKNVLSX!$X$1="",IF($P866=$V$7,$P866, IF(COUNTIFS($C$2:$C865,$C866,$E$2:$E865,$E866)&gt;=1,"",$P866)),     IF(AND(IFERROR(SEARCH($R866,XKNVLSX!$X$1,1),0)&gt;=1,$P866=$V$7),$P866, IF(OR($R866&lt;&gt;IF(IFERROR(SEARCH($R866,XKNVLSX!$X$1,1),0)&gt;=1,$R866,XKNVLSX!$X$1),COUNTIFS($C$2:$C865,$C866,$E$2:$E865,$E866,$Q$2:$Q865,$P866)&gt;=1),"",$P866))))</f>
        <v/>
      </c>
      <c r="R866" s="1017" t="str">
        <f ca="1">IF($A866="","",IFERROR(INDEX(TinhGia!$BF$10:$BF$81,MATCH($A866,TinhGia!$B$10:$B$81,0)),""))</f>
        <v/>
      </c>
      <c r="S866" s="1012" t="str">
        <f ca="1">IF($A866="","",IF(OR(IFERROR(SEARCH($R866,XKNVLSX!$X$1,1),0)&gt;=1,XKNVLSX!$X$1=""),$S$2,""))</f>
        <v/>
      </c>
      <c r="T866" s="1018" t="str">
        <f ca="1">IF($C866="","", IF(OR($P866=$V$1,$P866=$V$7,COUNTIFS($C$3:$C866,$C866,$E$3:$E866,$E866)&lt;=1),$P866,""    ))</f>
        <v/>
      </c>
      <c r="U866" s="1019" t="str">
        <f ca="1">IF(AND($P866=$V$2,COUNTIFS($C$3:$C866,$C866,$E$3:$E866,$E866,$G$3:$G866,$G866)&lt;=1),$P866,"")</f>
        <v/>
      </c>
    </row>
    <row r="867" spans="1:21">
      <c r="A867" s="991" t="str">
        <f ca="1">IFERROR(IF(COUNTIF($A$3:A866,A866)&lt; INDEX(TinhGia!$BH$10:$BH$81,MATCH($A866,TinhGia!$B$10:$B$81,0)),$A866,INDEX(TinhGia!$B$10:$B$81,MATCH($A866,TinhGia!$B$10:$B$81,0)+1)),"")</f>
        <v/>
      </c>
      <c r="B867" s="525" t="str">
        <f ca="1">IF(OR(A867="",A867=0),"",IF(COUNTIF($A$2:A867,$A867)=1,ROW(MauKoXoa!$C$108),$B866+1))</f>
        <v/>
      </c>
      <c r="C867" s="992" t="str">
        <f t="shared" ca="1" si="139"/>
        <v/>
      </c>
      <c r="D867" s="993" t="str">
        <f t="shared" ca="1" si="140"/>
        <v/>
      </c>
      <c r="E867" s="993" t="str">
        <f t="shared" ca="1" si="141"/>
        <v/>
      </c>
      <c r="F867" s="992" t="str">
        <f t="shared" ca="1" si="149"/>
        <v/>
      </c>
      <c r="G867" s="994">
        <f t="shared" ca="1" si="142"/>
        <v>0</v>
      </c>
      <c r="H867" s="913">
        <f t="shared" ca="1" si="143"/>
        <v>0</v>
      </c>
      <c r="I867" s="913">
        <f t="shared" ca="1" si="144"/>
        <v>0</v>
      </c>
      <c r="J867" s="995">
        <f t="shared" ca="1" si="150"/>
        <v>0</v>
      </c>
      <c r="K867" s="913">
        <f t="shared" ca="1" si="145"/>
        <v>0</v>
      </c>
      <c r="L867" s="995">
        <f t="shared" ca="1" si="151"/>
        <v>0</v>
      </c>
      <c r="M867" s="913">
        <f t="shared" ca="1" si="146"/>
        <v>0</v>
      </c>
      <c r="N867" s="996">
        <f t="shared" ca="1" si="147"/>
        <v>0</v>
      </c>
      <c r="O867" s="997">
        <f t="shared" ca="1" si="148"/>
        <v>0</v>
      </c>
      <c r="P867" s="1015" t="str">
        <f ca="1">IF($C867="","",INDEX(NVLSX!$N$2:$N$6941,MATCH($C867,NVLSX!$E$2:$E$6941,0)))</f>
        <v/>
      </c>
      <c r="Q867" s="1016" t="str">
        <f ca="1">IF($R867="","",IF(XKNVLSX!$X$1="",IF($P867=$V$7,$P867, IF(COUNTIFS($C$2:$C866,$C867,$E$2:$E866,$E867)&gt;=1,"",$P867)),     IF(AND(IFERROR(SEARCH($R867,XKNVLSX!$X$1,1),0)&gt;=1,$P867=$V$7),$P867, IF(OR($R867&lt;&gt;IF(IFERROR(SEARCH($R867,XKNVLSX!$X$1,1),0)&gt;=1,$R867,XKNVLSX!$X$1),COUNTIFS($C$2:$C866,$C867,$E$2:$E866,$E867,$Q$2:$Q866,$P867)&gt;=1),"",$P867))))</f>
        <v/>
      </c>
      <c r="R867" s="1017" t="str">
        <f ca="1">IF($A867="","",IFERROR(INDEX(TinhGia!$BF$10:$BF$81,MATCH($A867,TinhGia!$B$10:$B$81,0)),""))</f>
        <v/>
      </c>
      <c r="S867" s="1012" t="str">
        <f ca="1">IF($A867="","",IF(OR(IFERROR(SEARCH($R867,XKNVLSX!$X$1,1),0)&gt;=1,XKNVLSX!$X$1=""),$S$2,""))</f>
        <v/>
      </c>
      <c r="T867" s="1018" t="str">
        <f ca="1">IF($C867="","", IF(OR($P867=$V$1,$P867=$V$7,COUNTIFS($C$3:$C867,$C867,$E$3:$E867,$E867)&lt;=1),$P867,""    ))</f>
        <v/>
      </c>
      <c r="U867" s="1019" t="str">
        <f ca="1">IF(AND($P867=$V$2,COUNTIFS($C$3:$C867,$C867,$E$3:$E867,$E867,$G$3:$G867,$G867)&lt;=1),$P867,"")</f>
        <v/>
      </c>
    </row>
    <row r="868" spans="1:21">
      <c r="A868" s="991" t="str">
        <f ca="1">IFERROR(IF(COUNTIF($A$3:A867,A867)&lt; INDEX(TinhGia!$BH$10:$BH$81,MATCH($A867,TinhGia!$B$10:$B$81,0)),$A867,INDEX(TinhGia!$B$10:$B$81,MATCH($A867,TinhGia!$B$10:$B$81,0)+1)),"")</f>
        <v/>
      </c>
      <c r="B868" s="525" t="str">
        <f ca="1">IF(OR(A868="",A868=0),"",IF(COUNTIF($A$2:A868,$A868)=1,ROW(MauKoXoa!$C$108),$B867+1))</f>
        <v/>
      </c>
      <c r="C868" s="992" t="str">
        <f t="shared" ca="1" si="139"/>
        <v/>
      </c>
      <c r="D868" s="993" t="str">
        <f t="shared" ca="1" si="140"/>
        <v/>
      </c>
      <c r="E868" s="993" t="str">
        <f t="shared" ca="1" si="141"/>
        <v/>
      </c>
      <c r="F868" s="992" t="str">
        <f t="shared" ca="1" si="149"/>
        <v/>
      </c>
      <c r="G868" s="994">
        <f t="shared" ca="1" si="142"/>
        <v>0</v>
      </c>
      <c r="H868" s="913">
        <f t="shared" ca="1" si="143"/>
        <v>0</v>
      </c>
      <c r="I868" s="913">
        <f t="shared" ca="1" si="144"/>
        <v>0</v>
      </c>
      <c r="J868" s="995">
        <f t="shared" ca="1" si="150"/>
        <v>0</v>
      </c>
      <c r="K868" s="913">
        <f t="shared" ca="1" si="145"/>
        <v>0</v>
      </c>
      <c r="L868" s="995">
        <f t="shared" ca="1" si="151"/>
        <v>0</v>
      </c>
      <c r="M868" s="913">
        <f t="shared" ca="1" si="146"/>
        <v>0</v>
      </c>
      <c r="N868" s="996">
        <f t="shared" ca="1" si="147"/>
        <v>0</v>
      </c>
      <c r="O868" s="997">
        <f t="shared" ca="1" si="148"/>
        <v>0</v>
      </c>
      <c r="P868" s="1015" t="str">
        <f ca="1">IF($C868="","",INDEX(NVLSX!$N$2:$N$6941,MATCH($C868,NVLSX!$E$2:$E$6941,0)))</f>
        <v/>
      </c>
      <c r="Q868" s="1016" t="str">
        <f ca="1">IF($R868="","",IF(XKNVLSX!$X$1="",IF($P868=$V$7,$P868, IF(COUNTIFS($C$2:$C867,$C868,$E$2:$E867,$E868)&gt;=1,"",$P868)),     IF(AND(IFERROR(SEARCH($R868,XKNVLSX!$X$1,1),0)&gt;=1,$P868=$V$7),$P868, IF(OR($R868&lt;&gt;IF(IFERROR(SEARCH($R868,XKNVLSX!$X$1,1),0)&gt;=1,$R868,XKNVLSX!$X$1),COUNTIFS($C$2:$C867,$C868,$E$2:$E867,$E868,$Q$2:$Q867,$P868)&gt;=1),"",$P868))))</f>
        <v/>
      </c>
      <c r="R868" s="1017" t="str">
        <f ca="1">IF($A868="","",IFERROR(INDEX(TinhGia!$BF$10:$BF$81,MATCH($A868,TinhGia!$B$10:$B$81,0)),""))</f>
        <v/>
      </c>
      <c r="S868" s="1012" t="str">
        <f ca="1">IF($A868="","",IF(OR(IFERROR(SEARCH($R868,XKNVLSX!$X$1,1),0)&gt;=1,XKNVLSX!$X$1=""),$S$2,""))</f>
        <v/>
      </c>
      <c r="T868" s="1018" t="str">
        <f ca="1">IF($C868="","", IF(OR($P868=$V$1,$P868=$V$7,COUNTIFS($C$3:$C868,$C868,$E$3:$E868,$E868)&lt;=1),$P868,""    ))</f>
        <v/>
      </c>
      <c r="U868" s="1019" t="str">
        <f ca="1">IF(AND($P868=$V$2,COUNTIFS($C$3:$C868,$C868,$E$3:$E868,$E868,$G$3:$G868,$G868)&lt;=1),$P868,"")</f>
        <v/>
      </c>
    </row>
    <row r="869" spans="1:21">
      <c r="A869" s="991" t="str">
        <f ca="1">IFERROR(IF(COUNTIF($A$3:A868,A868)&lt; INDEX(TinhGia!$BH$10:$BH$81,MATCH($A868,TinhGia!$B$10:$B$81,0)),$A868,INDEX(TinhGia!$B$10:$B$81,MATCH($A868,TinhGia!$B$10:$B$81,0)+1)),"")</f>
        <v/>
      </c>
      <c r="B869" s="525" t="str">
        <f ca="1">IF(OR(A869="",A869=0),"",IF(COUNTIF($A$2:A869,$A869)=1,ROW(MauKoXoa!$C$108),$B868+1))</f>
        <v/>
      </c>
      <c r="C869" s="992" t="str">
        <f t="shared" ca="1" si="139"/>
        <v/>
      </c>
      <c r="D869" s="993" t="str">
        <f t="shared" ca="1" si="140"/>
        <v/>
      </c>
      <c r="E869" s="993" t="str">
        <f t="shared" ca="1" si="141"/>
        <v/>
      </c>
      <c r="F869" s="992" t="str">
        <f t="shared" ca="1" si="149"/>
        <v/>
      </c>
      <c r="G869" s="994">
        <f t="shared" ca="1" si="142"/>
        <v>0</v>
      </c>
      <c r="H869" s="913">
        <f t="shared" ca="1" si="143"/>
        <v>0</v>
      </c>
      <c r="I869" s="913">
        <f t="shared" ca="1" si="144"/>
        <v>0</v>
      </c>
      <c r="J869" s="995">
        <f t="shared" ca="1" si="150"/>
        <v>0</v>
      </c>
      <c r="K869" s="913">
        <f t="shared" ca="1" si="145"/>
        <v>0</v>
      </c>
      <c r="L869" s="995">
        <f t="shared" ca="1" si="151"/>
        <v>0</v>
      </c>
      <c r="M869" s="913">
        <f t="shared" ca="1" si="146"/>
        <v>0</v>
      </c>
      <c r="N869" s="996">
        <f t="shared" ca="1" si="147"/>
        <v>0</v>
      </c>
      <c r="O869" s="997">
        <f t="shared" ca="1" si="148"/>
        <v>0</v>
      </c>
      <c r="P869" s="1015" t="str">
        <f ca="1">IF($C869="","",INDEX(NVLSX!$N$2:$N$6941,MATCH($C869,NVLSX!$E$2:$E$6941,0)))</f>
        <v/>
      </c>
      <c r="Q869" s="1016" t="str">
        <f ca="1">IF($R869="","",IF(XKNVLSX!$X$1="",IF($P869=$V$7,$P869, IF(COUNTIFS($C$2:$C868,$C869,$E$2:$E868,$E869)&gt;=1,"",$P869)),     IF(AND(IFERROR(SEARCH($R869,XKNVLSX!$X$1,1),0)&gt;=1,$P869=$V$7),$P869, IF(OR($R869&lt;&gt;IF(IFERROR(SEARCH($R869,XKNVLSX!$X$1,1),0)&gt;=1,$R869,XKNVLSX!$X$1),COUNTIFS($C$2:$C868,$C869,$E$2:$E868,$E869,$Q$2:$Q868,$P869)&gt;=1),"",$P869))))</f>
        <v/>
      </c>
      <c r="R869" s="1017" t="str">
        <f ca="1">IF($A869="","",IFERROR(INDEX(TinhGia!$BF$10:$BF$81,MATCH($A869,TinhGia!$B$10:$B$81,0)),""))</f>
        <v/>
      </c>
      <c r="S869" s="1012" t="str">
        <f ca="1">IF($A869="","",IF(OR(IFERROR(SEARCH($R869,XKNVLSX!$X$1,1),0)&gt;=1,XKNVLSX!$X$1=""),$S$2,""))</f>
        <v/>
      </c>
      <c r="T869" s="1018" t="str">
        <f ca="1">IF($C869="","", IF(OR($P869=$V$1,$P869=$V$7,COUNTIFS($C$3:$C869,$C869,$E$3:$E869,$E869)&lt;=1),$P869,""    ))</f>
        <v/>
      </c>
      <c r="U869" s="1019" t="str">
        <f ca="1">IF(AND($P869=$V$2,COUNTIFS($C$3:$C869,$C869,$E$3:$E869,$E869,$G$3:$G869,$G869)&lt;=1),$P869,"")</f>
        <v/>
      </c>
    </row>
    <row r="870" spans="1:21">
      <c r="A870" s="991" t="str">
        <f ca="1">IFERROR(IF(COUNTIF($A$3:A869,A869)&lt; INDEX(TinhGia!$BH$10:$BH$81,MATCH($A869,TinhGia!$B$10:$B$81,0)),$A869,INDEX(TinhGia!$B$10:$B$81,MATCH($A869,TinhGia!$B$10:$B$81,0)+1)),"")</f>
        <v/>
      </c>
      <c r="B870" s="525" t="str">
        <f ca="1">IF(OR(A870="",A870=0),"",IF(COUNTIF($A$2:A870,$A870)=1,ROW(MauKoXoa!$C$108),$B869+1))</f>
        <v/>
      </c>
      <c r="C870" s="992" t="str">
        <f t="shared" ca="1" si="139"/>
        <v/>
      </c>
      <c r="D870" s="993" t="str">
        <f t="shared" ca="1" si="140"/>
        <v/>
      </c>
      <c r="E870" s="993" t="str">
        <f t="shared" ca="1" si="141"/>
        <v/>
      </c>
      <c r="F870" s="992" t="str">
        <f t="shared" ca="1" si="149"/>
        <v/>
      </c>
      <c r="G870" s="994">
        <f t="shared" ca="1" si="142"/>
        <v>0</v>
      </c>
      <c r="H870" s="913">
        <f t="shared" ca="1" si="143"/>
        <v>0</v>
      </c>
      <c r="I870" s="913">
        <f t="shared" ca="1" si="144"/>
        <v>0</v>
      </c>
      <c r="J870" s="995">
        <f t="shared" ca="1" si="150"/>
        <v>0</v>
      </c>
      <c r="K870" s="913">
        <f t="shared" ca="1" si="145"/>
        <v>0</v>
      </c>
      <c r="L870" s="995">
        <f t="shared" ca="1" si="151"/>
        <v>0</v>
      </c>
      <c r="M870" s="913">
        <f t="shared" ca="1" si="146"/>
        <v>0</v>
      </c>
      <c r="N870" s="996">
        <f t="shared" ca="1" si="147"/>
        <v>0</v>
      </c>
      <c r="O870" s="997">
        <f t="shared" ca="1" si="148"/>
        <v>0</v>
      </c>
      <c r="P870" s="1015" t="str">
        <f ca="1">IF($C870="","",INDEX(NVLSX!$N$2:$N$6941,MATCH($C870,NVLSX!$E$2:$E$6941,0)))</f>
        <v/>
      </c>
      <c r="Q870" s="1016" t="str">
        <f ca="1">IF($R870="","",IF(XKNVLSX!$X$1="",IF($P870=$V$7,$P870, IF(COUNTIFS($C$2:$C869,$C870,$E$2:$E869,$E870)&gt;=1,"",$P870)),     IF(AND(IFERROR(SEARCH($R870,XKNVLSX!$X$1,1),0)&gt;=1,$P870=$V$7),$P870, IF(OR($R870&lt;&gt;IF(IFERROR(SEARCH($R870,XKNVLSX!$X$1,1),0)&gt;=1,$R870,XKNVLSX!$X$1),COUNTIFS($C$2:$C869,$C870,$E$2:$E869,$E870,$Q$2:$Q869,$P870)&gt;=1),"",$P870))))</f>
        <v/>
      </c>
      <c r="R870" s="1017" t="str">
        <f ca="1">IF($A870="","",IFERROR(INDEX(TinhGia!$BF$10:$BF$81,MATCH($A870,TinhGia!$B$10:$B$81,0)),""))</f>
        <v/>
      </c>
      <c r="S870" s="1012" t="str">
        <f ca="1">IF($A870="","",IF(OR(IFERROR(SEARCH($R870,XKNVLSX!$X$1,1),0)&gt;=1,XKNVLSX!$X$1=""),$S$2,""))</f>
        <v/>
      </c>
      <c r="T870" s="1018" t="str">
        <f ca="1">IF($C870="","", IF(OR($P870=$V$1,$P870=$V$7,COUNTIFS($C$3:$C870,$C870,$E$3:$E870,$E870)&lt;=1),$P870,""    ))</f>
        <v/>
      </c>
      <c r="U870" s="1019" t="str">
        <f ca="1">IF(AND($P870=$V$2,COUNTIFS($C$3:$C870,$C870,$E$3:$E870,$E870,$G$3:$G870,$G870)&lt;=1),$P870,"")</f>
        <v/>
      </c>
    </row>
    <row r="871" spans="1:21">
      <c r="A871" s="991" t="str">
        <f ca="1">IFERROR(IF(COUNTIF($A$3:A870,A870)&lt; INDEX(TinhGia!$BH$10:$BH$81,MATCH($A870,TinhGia!$B$10:$B$81,0)),$A870,INDEX(TinhGia!$B$10:$B$81,MATCH($A870,TinhGia!$B$10:$B$81,0)+1)),"")</f>
        <v/>
      </c>
      <c r="B871" s="525" t="str">
        <f ca="1">IF(OR(A871="",A871=0),"",IF(COUNTIF($A$2:A871,$A871)=1,ROW(MauKoXoa!$C$108),$B870+1))</f>
        <v/>
      </c>
      <c r="C871" s="992" t="str">
        <f t="shared" ca="1" si="139"/>
        <v/>
      </c>
      <c r="D871" s="993" t="str">
        <f t="shared" ca="1" si="140"/>
        <v/>
      </c>
      <c r="E871" s="993" t="str">
        <f t="shared" ca="1" si="141"/>
        <v/>
      </c>
      <c r="F871" s="992" t="str">
        <f t="shared" ca="1" si="149"/>
        <v/>
      </c>
      <c r="G871" s="994">
        <f t="shared" ca="1" si="142"/>
        <v>0</v>
      </c>
      <c r="H871" s="913">
        <f t="shared" ca="1" si="143"/>
        <v>0</v>
      </c>
      <c r="I871" s="913">
        <f t="shared" ca="1" si="144"/>
        <v>0</v>
      </c>
      <c r="J871" s="995">
        <f t="shared" ca="1" si="150"/>
        <v>0</v>
      </c>
      <c r="K871" s="913">
        <f t="shared" ca="1" si="145"/>
        <v>0</v>
      </c>
      <c r="L871" s="995">
        <f t="shared" ca="1" si="151"/>
        <v>0</v>
      </c>
      <c r="M871" s="913">
        <f t="shared" ca="1" si="146"/>
        <v>0</v>
      </c>
      <c r="N871" s="996">
        <f t="shared" ca="1" si="147"/>
        <v>0</v>
      </c>
      <c r="O871" s="997">
        <f t="shared" ca="1" si="148"/>
        <v>0</v>
      </c>
      <c r="P871" s="1015" t="str">
        <f ca="1">IF($C871="","",INDEX(NVLSX!$N$2:$N$6941,MATCH($C871,NVLSX!$E$2:$E$6941,0)))</f>
        <v/>
      </c>
      <c r="Q871" s="1016" t="str">
        <f ca="1">IF($R871="","",IF(XKNVLSX!$X$1="",IF($P871=$V$7,$P871, IF(COUNTIFS($C$2:$C870,$C871,$E$2:$E870,$E871)&gt;=1,"",$P871)),     IF(AND(IFERROR(SEARCH($R871,XKNVLSX!$X$1,1),0)&gt;=1,$P871=$V$7),$P871, IF(OR($R871&lt;&gt;IF(IFERROR(SEARCH($R871,XKNVLSX!$X$1,1),0)&gt;=1,$R871,XKNVLSX!$X$1),COUNTIFS($C$2:$C870,$C871,$E$2:$E870,$E871,$Q$2:$Q870,$P871)&gt;=1),"",$P871))))</f>
        <v/>
      </c>
      <c r="R871" s="1017" t="str">
        <f ca="1">IF($A871="","",IFERROR(INDEX(TinhGia!$BF$10:$BF$81,MATCH($A871,TinhGia!$B$10:$B$81,0)),""))</f>
        <v/>
      </c>
      <c r="S871" s="1012" t="str">
        <f ca="1">IF($A871="","",IF(OR(IFERROR(SEARCH($R871,XKNVLSX!$X$1,1),0)&gt;=1,XKNVLSX!$X$1=""),$S$2,""))</f>
        <v/>
      </c>
      <c r="T871" s="1018" t="str">
        <f ca="1">IF($C871="","", IF(OR($P871=$V$1,$P871=$V$7,COUNTIFS($C$3:$C871,$C871,$E$3:$E871,$E871)&lt;=1),$P871,""    ))</f>
        <v/>
      </c>
      <c r="U871" s="1019" t="str">
        <f ca="1">IF(AND($P871=$V$2,COUNTIFS($C$3:$C871,$C871,$E$3:$E871,$E871,$G$3:$G871,$G871)&lt;=1),$P871,"")</f>
        <v/>
      </c>
    </row>
    <row r="872" spans="1:21">
      <c r="A872" s="991" t="str">
        <f ca="1">IFERROR(IF(COUNTIF($A$3:A871,A871)&lt; INDEX(TinhGia!$BH$10:$BH$81,MATCH($A871,TinhGia!$B$10:$B$81,0)),$A871,INDEX(TinhGia!$B$10:$B$81,MATCH($A871,TinhGia!$B$10:$B$81,0)+1)),"")</f>
        <v/>
      </c>
      <c r="B872" s="525" t="str">
        <f ca="1">IF(OR(A872="",A872=0),"",IF(COUNTIF($A$2:A872,$A872)=1,ROW(MauKoXoa!$C$108),$B871+1))</f>
        <v/>
      </c>
      <c r="C872" s="992" t="str">
        <f t="shared" ca="1" si="139"/>
        <v/>
      </c>
      <c r="D872" s="993" t="str">
        <f t="shared" ca="1" si="140"/>
        <v/>
      </c>
      <c r="E872" s="993" t="str">
        <f t="shared" ca="1" si="141"/>
        <v/>
      </c>
      <c r="F872" s="992" t="str">
        <f t="shared" ca="1" si="149"/>
        <v/>
      </c>
      <c r="G872" s="994">
        <f t="shared" ca="1" si="142"/>
        <v>0</v>
      </c>
      <c r="H872" s="913">
        <f t="shared" ca="1" si="143"/>
        <v>0</v>
      </c>
      <c r="I872" s="913">
        <f t="shared" ca="1" si="144"/>
        <v>0</v>
      </c>
      <c r="J872" s="995">
        <f t="shared" ca="1" si="150"/>
        <v>0</v>
      </c>
      <c r="K872" s="913">
        <f t="shared" ca="1" si="145"/>
        <v>0</v>
      </c>
      <c r="L872" s="995">
        <f t="shared" ca="1" si="151"/>
        <v>0</v>
      </c>
      <c r="M872" s="913">
        <f t="shared" ca="1" si="146"/>
        <v>0</v>
      </c>
      <c r="N872" s="996">
        <f t="shared" ca="1" si="147"/>
        <v>0</v>
      </c>
      <c r="O872" s="997">
        <f t="shared" ca="1" si="148"/>
        <v>0</v>
      </c>
      <c r="P872" s="1015" t="str">
        <f ca="1">IF($C872="","",INDEX(NVLSX!$N$2:$N$6941,MATCH($C872,NVLSX!$E$2:$E$6941,0)))</f>
        <v/>
      </c>
      <c r="Q872" s="1016" t="str">
        <f ca="1">IF($R872="","",IF(XKNVLSX!$X$1="",IF($P872=$V$7,$P872, IF(COUNTIFS($C$2:$C871,$C872,$E$2:$E871,$E872)&gt;=1,"",$P872)),     IF(AND(IFERROR(SEARCH($R872,XKNVLSX!$X$1,1),0)&gt;=1,$P872=$V$7),$P872, IF(OR($R872&lt;&gt;IF(IFERROR(SEARCH($R872,XKNVLSX!$X$1,1),0)&gt;=1,$R872,XKNVLSX!$X$1),COUNTIFS($C$2:$C871,$C872,$E$2:$E871,$E872,$Q$2:$Q871,$P872)&gt;=1),"",$P872))))</f>
        <v/>
      </c>
      <c r="R872" s="1017" t="str">
        <f ca="1">IF($A872="","",IFERROR(INDEX(TinhGia!$BF$10:$BF$81,MATCH($A872,TinhGia!$B$10:$B$81,0)),""))</f>
        <v/>
      </c>
      <c r="S872" s="1012" t="str">
        <f ca="1">IF($A872="","",IF(OR(IFERROR(SEARCH($R872,XKNVLSX!$X$1,1),0)&gt;=1,XKNVLSX!$X$1=""),$S$2,""))</f>
        <v/>
      </c>
      <c r="T872" s="1018" t="str">
        <f ca="1">IF($C872="","", IF(OR($P872=$V$1,$P872=$V$7,COUNTIFS($C$3:$C872,$C872,$E$3:$E872,$E872)&lt;=1),$P872,""    ))</f>
        <v/>
      </c>
      <c r="U872" s="1019" t="str">
        <f ca="1">IF(AND($P872=$V$2,COUNTIFS($C$3:$C872,$C872,$E$3:$E872,$E872,$G$3:$G872,$G872)&lt;=1),$P872,"")</f>
        <v/>
      </c>
    </row>
    <row r="873" spans="1:21">
      <c r="A873" s="991" t="str">
        <f ca="1">IFERROR(IF(COUNTIF($A$3:A872,A872)&lt; INDEX(TinhGia!$BH$10:$BH$81,MATCH($A872,TinhGia!$B$10:$B$81,0)),$A872,INDEX(TinhGia!$B$10:$B$81,MATCH($A872,TinhGia!$B$10:$B$81,0)+1)),"")</f>
        <v/>
      </c>
      <c r="B873" s="525" t="str">
        <f ca="1">IF(OR(A873="",A873=0),"",IF(COUNTIF($A$2:A873,$A873)=1,ROW(MauKoXoa!$C$108),$B872+1))</f>
        <v/>
      </c>
      <c r="C873" s="992" t="str">
        <f t="shared" ca="1" si="139"/>
        <v/>
      </c>
      <c r="D873" s="993" t="str">
        <f t="shared" ca="1" si="140"/>
        <v/>
      </c>
      <c r="E873" s="993" t="str">
        <f t="shared" ca="1" si="141"/>
        <v/>
      </c>
      <c r="F873" s="992" t="str">
        <f t="shared" ca="1" si="149"/>
        <v/>
      </c>
      <c r="G873" s="994">
        <f t="shared" ca="1" si="142"/>
        <v>0</v>
      </c>
      <c r="H873" s="913">
        <f t="shared" ca="1" si="143"/>
        <v>0</v>
      </c>
      <c r="I873" s="913">
        <f t="shared" ca="1" si="144"/>
        <v>0</v>
      </c>
      <c r="J873" s="995">
        <f t="shared" ca="1" si="150"/>
        <v>0</v>
      </c>
      <c r="K873" s="913">
        <f t="shared" ca="1" si="145"/>
        <v>0</v>
      </c>
      <c r="L873" s="995">
        <f t="shared" ca="1" si="151"/>
        <v>0</v>
      </c>
      <c r="M873" s="913">
        <f t="shared" ca="1" si="146"/>
        <v>0</v>
      </c>
      <c r="N873" s="996">
        <f t="shared" ca="1" si="147"/>
        <v>0</v>
      </c>
      <c r="O873" s="997">
        <f t="shared" ca="1" si="148"/>
        <v>0</v>
      </c>
      <c r="P873" s="1015" t="str">
        <f ca="1">IF($C873="","",INDEX(NVLSX!$N$2:$N$6941,MATCH($C873,NVLSX!$E$2:$E$6941,0)))</f>
        <v/>
      </c>
      <c r="Q873" s="1016" t="str">
        <f ca="1">IF($R873="","",IF(XKNVLSX!$X$1="",IF($P873=$V$7,$P873, IF(COUNTIFS($C$2:$C872,$C873,$E$2:$E872,$E873)&gt;=1,"",$P873)),     IF(AND(IFERROR(SEARCH($R873,XKNVLSX!$X$1,1),0)&gt;=1,$P873=$V$7),$P873, IF(OR($R873&lt;&gt;IF(IFERROR(SEARCH($R873,XKNVLSX!$X$1,1),0)&gt;=1,$R873,XKNVLSX!$X$1),COUNTIFS($C$2:$C872,$C873,$E$2:$E872,$E873,$Q$2:$Q872,$P873)&gt;=1),"",$P873))))</f>
        <v/>
      </c>
      <c r="R873" s="1017" t="str">
        <f ca="1">IF($A873="","",IFERROR(INDEX(TinhGia!$BF$10:$BF$81,MATCH($A873,TinhGia!$B$10:$B$81,0)),""))</f>
        <v/>
      </c>
      <c r="S873" s="1012" t="str">
        <f ca="1">IF($A873="","",IF(OR(IFERROR(SEARCH($R873,XKNVLSX!$X$1,1),0)&gt;=1,XKNVLSX!$X$1=""),$S$2,""))</f>
        <v/>
      </c>
      <c r="T873" s="1018" t="str">
        <f ca="1">IF($C873="","", IF(OR($P873=$V$1,$P873=$V$7,COUNTIFS($C$3:$C873,$C873,$E$3:$E873,$E873)&lt;=1),$P873,""    ))</f>
        <v/>
      </c>
      <c r="U873" s="1019" t="str">
        <f ca="1">IF(AND($P873=$V$2,COUNTIFS($C$3:$C873,$C873,$E$3:$E873,$E873,$G$3:$G873,$G873)&lt;=1),$P873,"")</f>
        <v/>
      </c>
    </row>
    <row r="874" spans="1:21">
      <c r="A874" s="991" t="str">
        <f ca="1">IFERROR(IF(COUNTIF($A$3:A873,A873)&lt; INDEX(TinhGia!$BH$10:$BH$81,MATCH($A873,TinhGia!$B$10:$B$81,0)),$A873,INDEX(TinhGia!$B$10:$B$81,MATCH($A873,TinhGia!$B$10:$B$81,0)+1)),"")</f>
        <v/>
      </c>
      <c r="B874" s="525" t="str">
        <f ca="1">IF(OR(A874="",A874=0),"",IF(COUNTIF($A$2:A874,$A874)=1,ROW(MauKoXoa!$C$108),$B873+1))</f>
        <v/>
      </c>
      <c r="C874" s="992" t="str">
        <f t="shared" ca="1" si="139"/>
        <v/>
      </c>
      <c r="D874" s="993" t="str">
        <f t="shared" ca="1" si="140"/>
        <v/>
      </c>
      <c r="E874" s="993" t="str">
        <f t="shared" ca="1" si="141"/>
        <v/>
      </c>
      <c r="F874" s="992" t="str">
        <f t="shared" ca="1" si="149"/>
        <v/>
      </c>
      <c r="G874" s="994">
        <f t="shared" ca="1" si="142"/>
        <v>0</v>
      </c>
      <c r="H874" s="913">
        <f t="shared" ca="1" si="143"/>
        <v>0</v>
      </c>
      <c r="I874" s="913">
        <f t="shared" ca="1" si="144"/>
        <v>0</v>
      </c>
      <c r="J874" s="995">
        <f t="shared" ca="1" si="150"/>
        <v>0</v>
      </c>
      <c r="K874" s="913">
        <f t="shared" ca="1" si="145"/>
        <v>0</v>
      </c>
      <c r="L874" s="995">
        <f t="shared" ca="1" si="151"/>
        <v>0</v>
      </c>
      <c r="M874" s="913">
        <f t="shared" ca="1" si="146"/>
        <v>0</v>
      </c>
      <c r="N874" s="996">
        <f t="shared" ca="1" si="147"/>
        <v>0</v>
      </c>
      <c r="O874" s="997">
        <f t="shared" ca="1" si="148"/>
        <v>0</v>
      </c>
      <c r="P874" s="1015" t="str">
        <f ca="1">IF($C874="","",INDEX(NVLSX!$N$2:$N$6941,MATCH($C874,NVLSX!$E$2:$E$6941,0)))</f>
        <v/>
      </c>
      <c r="Q874" s="1016" t="str">
        <f ca="1">IF($R874="","",IF(XKNVLSX!$X$1="",IF($P874=$V$7,$P874, IF(COUNTIFS($C$2:$C873,$C874,$E$2:$E873,$E874)&gt;=1,"",$P874)),     IF(AND(IFERROR(SEARCH($R874,XKNVLSX!$X$1,1),0)&gt;=1,$P874=$V$7),$P874, IF(OR($R874&lt;&gt;IF(IFERROR(SEARCH($R874,XKNVLSX!$X$1,1),0)&gt;=1,$R874,XKNVLSX!$X$1),COUNTIFS($C$2:$C873,$C874,$E$2:$E873,$E874,$Q$2:$Q873,$P874)&gt;=1),"",$P874))))</f>
        <v/>
      </c>
      <c r="R874" s="1017" t="str">
        <f ca="1">IF($A874="","",IFERROR(INDEX(TinhGia!$BF$10:$BF$81,MATCH($A874,TinhGia!$B$10:$B$81,0)),""))</f>
        <v/>
      </c>
      <c r="S874" s="1012" t="str">
        <f ca="1">IF($A874="","",IF(OR(IFERROR(SEARCH($R874,XKNVLSX!$X$1,1),0)&gt;=1,XKNVLSX!$X$1=""),$S$2,""))</f>
        <v/>
      </c>
      <c r="T874" s="1018" t="str">
        <f ca="1">IF($C874="","", IF(OR($P874=$V$1,$P874=$V$7,COUNTIFS($C$3:$C874,$C874,$E$3:$E874,$E874)&lt;=1),$P874,""    ))</f>
        <v/>
      </c>
      <c r="U874" s="1019" t="str">
        <f ca="1">IF(AND($P874=$V$2,COUNTIFS($C$3:$C874,$C874,$E$3:$E874,$E874,$G$3:$G874,$G874)&lt;=1),$P874,"")</f>
        <v/>
      </c>
    </row>
    <row r="875" spans="1:21">
      <c r="A875" s="991" t="str">
        <f ca="1">IFERROR(IF(COUNTIF($A$3:A874,A874)&lt; INDEX(TinhGia!$BH$10:$BH$81,MATCH($A874,TinhGia!$B$10:$B$81,0)),$A874,INDEX(TinhGia!$B$10:$B$81,MATCH($A874,TinhGia!$B$10:$B$81,0)+1)),"")</f>
        <v/>
      </c>
      <c r="B875" s="525" t="str">
        <f ca="1">IF(OR(A875="",A875=0),"",IF(COUNTIF($A$2:A875,$A875)=1,ROW(MauKoXoa!$C$108),$B874+1))</f>
        <v/>
      </c>
      <c r="C875" s="992" t="str">
        <f t="shared" ca="1" si="139"/>
        <v/>
      </c>
      <c r="D875" s="993" t="str">
        <f t="shared" ca="1" si="140"/>
        <v/>
      </c>
      <c r="E875" s="993" t="str">
        <f t="shared" ca="1" si="141"/>
        <v/>
      </c>
      <c r="F875" s="992" t="str">
        <f t="shared" ca="1" si="149"/>
        <v/>
      </c>
      <c r="G875" s="994">
        <f t="shared" ca="1" si="142"/>
        <v>0</v>
      </c>
      <c r="H875" s="913">
        <f t="shared" ca="1" si="143"/>
        <v>0</v>
      </c>
      <c r="I875" s="913">
        <f t="shared" ca="1" si="144"/>
        <v>0</v>
      </c>
      <c r="J875" s="995">
        <f t="shared" ca="1" si="150"/>
        <v>0</v>
      </c>
      <c r="K875" s="913">
        <f t="shared" ca="1" si="145"/>
        <v>0</v>
      </c>
      <c r="L875" s="995">
        <f t="shared" ca="1" si="151"/>
        <v>0</v>
      </c>
      <c r="M875" s="913">
        <f t="shared" ca="1" si="146"/>
        <v>0</v>
      </c>
      <c r="N875" s="996">
        <f t="shared" ca="1" si="147"/>
        <v>0</v>
      </c>
      <c r="O875" s="997">
        <f t="shared" ca="1" si="148"/>
        <v>0</v>
      </c>
      <c r="P875" s="1015" t="str">
        <f ca="1">IF($C875="","",INDEX(NVLSX!$N$2:$N$6941,MATCH($C875,NVLSX!$E$2:$E$6941,0)))</f>
        <v/>
      </c>
      <c r="Q875" s="1016" t="str">
        <f ca="1">IF($R875="","",IF(XKNVLSX!$X$1="",IF($P875=$V$7,$P875, IF(COUNTIFS($C$2:$C874,$C875,$E$2:$E874,$E875)&gt;=1,"",$P875)),     IF(AND(IFERROR(SEARCH($R875,XKNVLSX!$X$1,1),0)&gt;=1,$P875=$V$7),$P875, IF(OR($R875&lt;&gt;IF(IFERROR(SEARCH($R875,XKNVLSX!$X$1,1),0)&gt;=1,$R875,XKNVLSX!$X$1),COUNTIFS($C$2:$C874,$C875,$E$2:$E874,$E875,$Q$2:$Q874,$P875)&gt;=1),"",$P875))))</f>
        <v/>
      </c>
      <c r="R875" s="1017" t="str">
        <f ca="1">IF($A875="","",IFERROR(INDEX(TinhGia!$BF$10:$BF$81,MATCH($A875,TinhGia!$B$10:$B$81,0)),""))</f>
        <v/>
      </c>
      <c r="S875" s="1012" t="str">
        <f ca="1">IF($A875="","",IF(OR(IFERROR(SEARCH($R875,XKNVLSX!$X$1,1),0)&gt;=1,XKNVLSX!$X$1=""),$S$2,""))</f>
        <v/>
      </c>
      <c r="T875" s="1018" t="str">
        <f ca="1">IF($C875="","", IF(OR($P875=$V$1,$P875=$V$7,COUNTIFS($C$3:$C875,$C875,$E$3:$E875,$E875)&lt;=1),$P875,""    ))</f>
        <v/>
      </c>
      <c r="U875" s="1019" t="str">
        <f ca="1">IF(AND($P875=$V$2,COUNTIFS($C$3:$C875,$C875,$E$3:$E875,$E875,$G$3:$G875,$G875)&lt;=1),$P875,"")</f>
        <v/>
      </c>
    </row>
    <row r="876" spans="1:21">
      <c r="A876" s="991" t="str">
        <f ca="1">IFERROR(IF(COUNTIF($A$3:A875,A875)&lt; INDEX(TinhGia!$BH$10:$BH$81,MATCH($A875,TinhGia!$B$10:$B$81,0)),$A875,INDEX(TinhGia!$B$10:$B$81,MATCH($A875,TinhGia!$B$10:$B$81,0)+1)),"")</f>
        <v/>
      </c>
      <c r="B876" s="525" t="str">
        <f ca="1">IF(OR(A876="",A876=0),"",IF(COUNTIF($A$2:A876,$A876)=1,ROW(MauKoXoa!$C$108),$B875+1))</f>
        <v/>
      </c>
      <c r="C876" s="992" t="str">
        <f t="shared" ca="1" si="139"/>
        <v/>
      </c>
      <c r="D876" s="993" t="str">
        <f t="shared" ca="1" si="140"/>
        <v/>
      </c>
      <c r="E876" s="993" t="str">
        <f t="shared" ca="1" si="141"/>
        <v/>
      </c>
      <c r="F876" s="992" t="str">
        <f t="shared" ca="1" si="149"/>
        <v/>
      </c>
      <c r="G876" s="994">
        <f t="shared" ca="1" si="142"/>
        <v>0</v>
      </c>
      <c r="H876" s="913">
        <f t="shared" ca="1" si="143"/>
        <v>0</v>
      </c>
      <c r="I876" s="913">
        <f t="shared" ca="1" si="144"/>
        <v>0</v>
      </c>
      <c r="J876" s="995">
        <f t="shared" ca="1" si="150"/>
        <v>0</v>
      </c>
      <c r="K876" s="913">
        <f t="shared" ca="1" si="145"/>
        <v>0</v>
      </c>
      <c r="L876" s="995">
        <f t="shared" ca="1" si="151"/>
        <v>0</v>
      </c>
      <c r="M876" s="913">
        <f t="shared" ca="1" si="146"/>
        <v>0</v>
      </c>
      <c r="N876" s="996">
        <f t="shared" ca="1" si="147"/>
        <v>0</v>
      </c>
      <c r="O876" s="997">
        <f t="shared" ca="1" si="148"/>
        <v>0</v>
      </c>
      <c r="P876" s="1015" t="str">
        <f ca="1">IF($C876="","",INDEX(NVLSX!$N$2:$N$6941,MATCH($C876,NVLSX!$E$2:$E$6941,0)))</f>
        <v/>
      </c>
      <c r="Q876" s="1016" t="str">
        <f ca="1">IF($R876="","",IF(XKNVLSX!$X$1="",IF($P876=$V$7,$P876, IF(COUNTIFS($C$2:$C875,$C876,$E$2:$E875,$E876)&gt;=1,"",$P876)),     IF(AND(IFERROR(SEARCH($R876,XKNVLSX!$X$1,1),0)&gt;=1,$P876=$V$7),$P876, IF(OR($R876&lt;&gt;IF(IFERROR(SEARCH($R876,XKNVLSX!$X$1,1),0)&gt;=1,$R876,XKNVLSX!$X$1),COUNTIFS($C$2:$C875,$C876,$E$2:$E875,$E876,$Q$2:$Q875,$P876)&gt;=1),"",$P876))))</f>
        <v/>
      </c>
      <c r="R876" s="1017" t="str">
        <f ca="1">IF($A876="","",IFERROR(INDEX(TinhGia!$BF$10:$BF$81,MATCH($A876,TinhGia!$B$10:$B$81,0)),""))</f>
        <v/>
      </c>
      <c r="S876" s="1012" t="str">
        <f ca="1">IF($A876="","",IF(OR(IFERROR(SEARCH($R876,XKNVLSX!$X$1,1),0)&gt;=1,XKNVLSX!$X$1=""),$S$2,""))</f>
        <v/>
      </c>
      <c r="T876" s="1018" t="str">
        <f ca="1">IF($C876="","", IF(OR($P876=$V$1,$P876=$V$7,COUNTIFS($C$3:$C876,$C876,$E$3:$E876,$E876)&lt;=1),$P876,""    ))</f>
        <v/>
      </c>
      <c r="U876" s="1019" t="str">
        <f ca="1">IF(AND($P876=$V$2,COUNTIFS($C$3:$C876,$C876,$E$3:$E876,$E876,$G$3:$G876,$G876)&lt;=1),$P876,"")</f>
        <v/>
      </c>
    </row>
    <row r="877" spans="1:21">
      <c r="A877" s="991" t="str">
        <f ca="1">IFERROR(IF(COUNTIF($A$3:A876,A876)&lt; INDEX(TinhGia!$BH$10:$BH$81,MATCH($A876,TinhGia!$B$10:$B$81,0)),$A876,INDEX(TinhGia!$B$10:$B$81,MATCH($A876,TinhGia!$B$10:$B$81,0)+1)),"")</f>
        <v/>
      </c>
      <c r="B877" s="525" t="str">
        <f ca="1">IF(OR(A877="",A877=0),"",IF(COUNTIF($A$2:A877,$A877)=1,ROW(MauKoXoa!$C$108),$B876+1))</f>
        <v/>
      </c>
      <c r="C877" s="992" t="str">
        <f t="shared" ca="1" si="139"/>
        <v/>
      </c>
      <c r="D877" s="993" t="str">
        <f t="shared" ca="1" si="140"/>
        <v/>
      </c>
      <c r="E877" s="993" t="str">
        <f t="shared" ca="1" si="141"/>
        <v/>
      </c>
      <c r="F877" s="992" t="str">
        <f t="shared" ca="1" si="149"/>
        <v/>
      </c>
      <c r="G877" s="994">
        <f t="shared" ca="1" si="142"/>
        <v>0</v>
      </c>
      <c r="H877" s="913">
        <f t="shared" ca="1" si="143"/>
        <v>0</v>
      </c>
      <c r="I877" s="913">
        <f t="shared" ca="1" si="144"/>
        <v>0</v>
      </c>
      <c r="J877" s="995">
        <f t="shared" ca="1" si="150"/>
        <v>0</v>
      </c>
      <c r="K877" s="913">
        <f t="shared" ca="1" si="145"/>
        <v>0</v>
      </c>
      <c r="L877" s="995">
        <f t="shared" ca="1" si="151"/>
        <v>0</v>
      </c>
      <c r="M877" s="913">
        <f t="shared" ca="1" si="146"/>
        <v>0</v>
      </c>
      <c r="N877" s="996">
        <f t="shared" ca="1" si="147"/>
        <v>0</v>
      </c>
      <c r="O877" s="997">
        <f t="shared" ca="1" si="148"/>
        <v>0</v>
      </c>
      <c r="P877" s="1015" t="str">
        <f ca="1">IF($C877="","",INDEX(NVLSX!$N$2:$N$6941,MATCH($C877,NVLSX!$E$2:$E$6941,0)))</f>
        <v/>
      </c>
      <c r="Q877" s="1016" t="str">
        <f ca="1">IF($R877="","",IF(XKNVLSX!$X$1="",IF($P877=$V$7,$P877, IF(COUNTIFS($C$2:$C876,$C877,$E$2:$E876,$E877)&gt;=1,"",$P877)),     IF(AND(IFERROR(SEARCH($R877,XKNVLSX!$X$1,1),0)&gt;=1,$P877=$V$7),$P877, IF(OR($R877&lt;&gt;IF(IFERROR(SEARCH($R877,XKNVLSX!$X$1,1),0)&gt;=1,$R877,XKNVLSX!$X$1),COUNTIFS($C$2:$C876,$C877,$E$2:$E876,$E877,$Q$2:$Q876,$P877)&gt;=1),"",$P877))))</f>
        <v/>
      </c>
      <c r="R877" s="1017" t="str">
        <f ca="1">IF($A877="","",IFERROR(INDEX(TinhGia!$BF$10:$BF$81,MATCH($A877,TinhGia!$B$10:$B$81,0)),""))</f>
        <v/>
      </c>
      <c r="S877" s="1012" t="str">
        <f ca="1">IF($A877="","",IF(OR(IFERROR(SEARCH($R877,XKNVLSX!$X$1,1),0)&gt;=1,XKNVLSX!$X$1=""),$S$2,""))</f>
        <v/>
      </c>
      <c r="T877" s="1018" t="str">
        <f ca="1">IF($C877="","", IF(OR($P877=$V$1,$P877=$V$7,COUNTIFS($C$3:$C877,$C877,$E$3:$E877,$E877)&lt;=1),$P877,""    ))</f>
        <v/>
      </c>
      <c r="U877" s="1019" t="str">
        <f ca="1">IF(AND($P877=$V$2,COUNTIFS($C$3:$C877,$C877,$E$3:$E877,$E877,$G$3:$G877,$G877)&lt;=1),$P877,"")</f>
        <v/>
      </c>
    </row>
    <row r="878" spans="1:21">
      <c r="A878" s="991" t="str">
        <f ca="1">IFERROR(IF(COUNTIF($A$3:A877,A877)&lt; INDEX(TinhGia!$BH$10:$BH$81,MATCH($A877,TinhGia!$B$10:$B$81,0)),$A877,INDEX(TinhGia!$B$10:$B$81,MATCH($A877,TinhGia!$B$10:$B$81,0)+1)),"")</f>
        <v/>
      </c>
      <c r="B878" s="525" t="str">
        <f ca="1">IF(OR(A878="",A878=0),"",IF(COUNTIF($A$2:A878,$A878)=1,ROW(MauKoXoa!$C$108),$B877+1))</f>
        <v/>
      </c>
      <c r="C878" s="992" t="str">
        <f t="shared" ca="1" si="139"/>
        <v/>
      </c>
      <c r="D878" s="993" t="str">
        <f t="shared" ca="1" si="140"/>
        <v/>
      </c>
      <c r="E878" s="993" t="str">
        <f t="shared" ca="1" si="141"/>
        <v/>
      </c>
      <c r="F878" s="992" t="str">
        <f t="shared" ca="1" si="149"/>
        <v/>
      </c>
      <c r="G878" s="994">
        <f t="shared" ca="1" si="142"/>
        <v>0</v>
      </c>
      <c r="H878" s="913">
        <f t="shared" ca="1" si="143"/>
        <v>0</v>
      </c>
      <c r="I878" s="913">
        <f t="shared" ca="1" si="144"/>
        <v>0</v>
      </c>
      <c r="J878" s="995">
        <f t="shared" ca="1" si="150"/>
        <v>0</v>
      </c>
      <c r="K878" s="913">
        <f t="shared" ca="1" si="145"/>
        <v>0</v>
      </c>
      <c r="L878" s="995">
        <f t="shared" ca="1" si="151"/>
        <v>0</v>
      </c>
      <c r="M878" s="913">
        <f t="shared" ca="1" si="146"/>
        <v>0</v>
      </c>
      <c r="N878" s="996">
        <f t="shared" ca="1" si="147"/>
        <v>0</v>
      </c>
      <c r="O878" s="997">
        <f t="shared" ca="1" si="148"/>
        <v>0</v>
      </c>
      <c r="P878" s="1015" t="str">
        <f ca="1">IF($C878="","",INDEX(NVLSX!$N$2:$N$6941,MATCH($C878,NVLSX!$E$2:$E$6941,0)))</f>
        <v/>
      </c>
      <c r="Q878" s="1016" t="str">
        <f ca="1">IF($R878="","",IF(XKNVLSX!$X$1="",IF($P878=$V$7,$P878, IF(COUNTIFS($C$2:$C877,$C878,$E$2:$E877,$E878)&gt;=1,"",$P878)),     IF(AND(IFERROR(SEARCH($R878,XKNVLSX!$X$1,1),0)&gt;=1,$P878=$V$7),$P878, IF(OR($R878&lt;&gt;IF(IFERROR(SEARCH($R878,XKNVLSX!$X$1,1),0)&gt;=1,$R878,XKNVLSX!$X$1),COUNTIFS($C$2:$C877,$C878,$E$2:$E877,$E878,$Q$2:$Q877,$P878)&gt;=1),"",$P878))))</f>
        <v/>
      </c>
      <c r="R878" s="1017" t="str">
        <f ca="1">IF($A878="","",IFERROR(INDEX(TinhGia!$BF$10:$BF$81,MATCH($A878,TinhGia!$B$10:$B$81,0)),""))</f>
        <v/>
      </c>
      <c r="S878" s="1012" t="str">
        <f ca="1">IF($A878="","",IF(OR(IFERROR(SEARCH($R878,XKNVLSX!$X$1,1),0)&gt;=1,XKNVLSX!$X$1=""),$S$2,""))</f>
        <v/>
      </c>
      <c r="T878" s="1018" t="str">
        <f ca="1">IF($C878="","", IF(OR($P878=$V$1,$P878=$V$7,COUNTIFS($C$3:$C878,$C878,$E$3:$E878,$E878)&lt;=1),$P878,""    ))</f>
        <v/>
      </c>
      <c r="U878" s="1019" t="str">
        <f ca="1">IF(AND($P878=$V$2,COUNTIFS($C$3:$C878,$C878,$E$3:$E878,$E878,$G$3:$G878,$G878)&lt;=1),$P878,"")</f>
        <v/>
      </c>
    </row>
    <row r="879" spans="1:21">
      <c r="A879" s="991" t="str">
        <f ca="1">IFERROR(IF(COUNTIF($A$3:A878,A878)&lt; INDEX(TinhGia!$BH$10:$BH$81,MATCH($A878,TinhGia!$B$10:$B$81,0)),$A878,INDEX(TinhGia!$B$10:$B$81,MATCH($A878,TinhGia!$B$10:$B$81,0)+1)),"")</f>
        <v/>
      </c>
      <c r="B879" s="525" t="str">
        <f ca="1">IF(OR(A879="",A879=0),"",IF(COUNTIF($A$2:A879,$A879)=1,ROW(MauKoXoa!$C$108),$B878+1))</f>
        <v/>
      </c>
      <c r="C879" s="992" t="str">
        <f t="shared" ca="1" si="139"/>
        <v/>
      </c>
      <c r="D879" s="993" t="str">
        <f t="shared" ca="1" si="140"/>
        <v/>
      </c>
      <c r="E879" s="993" t="str">
        <f t="shared" ca="1" si="141"/>
        <v/>
      </c>
      <c r="F879" s="992" t="str">
        <f t="shared" ca="1" si="149"/>
        <v/>
      </c>
      <c r="G879" s="994">
        <f t="shared" ca="1" si="142"/>
        <v>0</v>
      </c>
      <c r="H879" s="913">
        <f t="shared" ca="1" si="143"/>
        <v>0</v>
      </c>
      <c r="I879" s="913">
        <f t="shared" ca="1" si="144"/>
        <v>0</v>
      </c>
      <c r="J879" s="995">
        <f t="shared" ca="1" si="150"/>
        <v>0</v>
      </c>
      <c r="K879" s="913">
        <f t="shared" ca="1" si="145"/>
        <v>0</v>
      </c>
      <c r="L879" s="995">
        <f t="shared" ca="1" si="151"/>
        <v>0</v>
      </c>
      <c r="M879" s="913">
        <f t="shared" ca="1" si="146"/>
        <v>0</v>
      </c>
      <c r="N879" s="996">
        <f t="shared" ca="1" si="147"/>
        <v>0</v>
      </c>
      <c r="O879" s="997">
        <f t="shared" ca="1" si="148"/>
        <v>0</v>
      </c>
      <c r="P879" s="1015" t="str">
        <f ca="1">IF($C879="","",INDEX(NVLSX!$N$2:$N$6941,MATCH($C879,NVLSX!$E$2:$E$6941,0)))</f>
        <v/>
      </c>
      <c r="Q879" s="1016" t="str">
        <f ca="1">IF($R879="","",IF(XKNVLSX!$X$1="",IF($P879=$V$7,$P879, IF(COUNTIFS($C$2:$C878,$C879,$E$2:$E878,$E879)&gt;=1,"",$P879)),     IF(AND(IFERROR(SEARCH($R879,XKNVLSX!$X$1,1),0)&gt;=1,$P879=$V$7),$P879, IF(OR($R879&lt;&gt;IF(IFERROR(SEARCH($R879,XKNVLSX!$X$1,1),0)&gt;=1,$R879,XKNVLSX!$X$1),COUNTIFS($C$2:$C878,$C879,$E$2:$E878,$E879,$Q$2:$Q878,$P879)&gt;=1),"",$P879))))</f>
        <v/>
      </c>
      <c r="R879" s="1017" t="str">
        <f ca="1">IF($A879="","",IFERROR(INDEX(TinhGia!$BF$10:$BF$81,MATCH($A879,TinhGia!$B$10:$B$81,0)),""))</f>
        <v/>
      </c>
      <c r="S879" s="1012" t="str">
        <f ca="1">IF($A879="","",IF(OR(IFERROR(SEARCH($R879,XKNVLSX!$X$1,1),0)&gt;=1,XKNVLSX!$X$1=""),$S$2,""))</f>
        <v/>
      </c>
      <c r="T879" s="1018" t="str">
        <f ca="1">IF($C879="","", IF(OR($P879=$V$1,$P879=$V$7,COUNTIFS($C$3:$C879,$C879,$E$3:$E879,$E879)&lt;=1),$P879,""    ))</f>
        <v/>
      </c>
      <c r="U879" s="1019" t="str">
        <f ca="1">IF(AND($P879=$V$2,COUNTIFS($C$3:$C879,$C879,$E$3:$E879,$E879,$G$3:$G879,$G879)&lt;=1),$P879,"")</f>
        <v/>
      </c>
    </row>
    <row r="880" spans="1:21">
      <c r="A880" s="991" t="str">
        <f ca="1">IFERROR(IF(COUNTIF($A$3:A879,A879)&lt; INDEX(TinhGia!$BH$10:$BH$81,MATCH($A879,TinhGia!$B$10:$B$81,0)),$A879,INDEX(TinhGia!$B$10:$B$81,MATCH($A879,TinhGia!$B$10:$B$81,0)+1)),"")</f>
        <v/>
      </c>
      <c r="B880" s="525" t="str">
        <f ca="1">IF(OR(A880="",A880=0),"",IF(COUNTIF($A$2:A880,$A880)=1,ROW(MauKoXoa!$C$108),$B879+1))</f>
        <v/>
      </c>
      <c r="C880" s="992" t="str">
        <f t="shared" ca="1" si="139"/>
        <v/>
      </c>
      <c r="D880" s="993" t="str">
        <f t="shared" ca="1" si="140"/>
        <v/>
      </c>
      <c r="E880" s="993" t="str">
        <f t="shared" ca="1" si="141"/>
        <v/>
      </c>
      <c r="F880" s="992" t="str">
        <f t="shared" ca="1" si="149"/>
        <v/>
      </c>
      <c r="G880" s="994">
        <f t="shared" ca="1" si="142"/>
        <v>0</v>
      </c>
      <c r="H880" s="913">
        <f t="shared" ca="1" si="143"/>
        <v>0</v>
      </c>
      <c r="I880" s="913">
        <f t="shared" ca="1" si="144"/>
        <v>0</v>
      </c>
      <c r="J880" s="995">
        <f t="shared" ca="1" si="150"/>
        <v>0</v>
      </c>
      <c r="K880" s="913">
        <f t="shared" ca="1" si="145"/>
        <v>0</v>
      </c>
      <c r="L880" s="995">
        <f t="shared" ca="1" si="151"/>
        <v>0</v>
      </c>
      <c r="M880" s="913">
        <f t="shared" ca="1" si="146"/>
        <v>0</v>
      </c>
      <c r="N880" s="996">
        <f t="shared" ca="1" si="147"/>
        <v>0</v>
      </c>
      <c r="O880" s="997">
        <f t="shared" ca="1" si="148"/>
        <v>0</v>
      </c>
      <c r="P880" s="1015" t="str">
        <f ca="1">IF($C880="","",INDEX(NVLSX!$N$2:$N$6941,MATCH($C880,NVLSX!$E$2:$E$6941,0)))</f>
        <v/>
      </c>
      <c r="Q880" s="1016" t="str">
        <f ca="1">IF($R880="","",IF(XKNVLSX!$X$1="",IF($P880=$V$7,$P880, IF(COUNTIFS($C$2:$C879,$C880,$E$2:$E879,$E880)&gt;=1,"",$P880)),     IF(AND(IFERROR(SEARCH($R880,XKNVLSX!$X$1,1),0)&gt;=1,$P880=$V$7),$P880, IF(OR($R880&lt;&gt;IF(IFERROR(SEARCH($R880,XKNVLSX!$X$1,1),0)&gt;=1,$R880,XKNVLSX!$X$1),COUNTIFS($C$2:$C879,$C880,$E$2:$E879,$E880,$Q$2:$Q879,$P880)&gt;=1),"",$P880))))</f>
        <v/>
      </c>
      <c r="R880" s="1017" t="str">
        <f ca="1">IF($A880="","",IFERROR(INDEX(TinhGia!$BF$10:$BF$81,MATCH($A880,TinhGia!$B$10:$B$81,0)),""))</f>
        <v/>
      </c>
      <c r="S880" s="1012" t="str">
        <f ca="1">IF($A880="","",IF(OR(IFERROR(SEARCH($R880,XKNVLSX!$X$1,1),0)&gt;=1,XKNVLSX!$X$1=""),$S$2,""))</f>
        <v/>
      </c>
      <c r="T880" s="1018" t="str">
        <f ca="1">IF($C880="","", IF(OR($P880=$V$1,$P880=$V$7,COUNTIFS($C$3:$C880,$C880,$E$3:$E880,$E880)&lt;=1),$P880,""    ))</f>
        <v/>
      </c>
      <c r="U880" s="1019" t="str">
        <f ca="1">IF(AND($P880=$V$2,COUNTIFS($C$3:$C880,$C880,$E$3:$E880,$E880,$G$3:$G880,$G880)&lt;=1),$P880,"")</f>
        <v/>
      </c>
    </row>
    <row r="881" spans="1:21">
      <c r="A881" s="991" t="str">
        <f ca="1">IFERROR(IF(COUNTIF($A$3:A880,A880)&lt; INDEX(TinhGia!$BH$10:$BH$81,MATCH($A880,TinhGia!$B$10:$B$81,0)),$A880,INDEX(TinhGia!$B$10:$B$81,MATCH($A880,TinhGia!$B$10:$B$81,0)+1)),"")</f>
        <v/>
      </c>
      <c r="B881" s="525" t="str">
        <f ca="1">IF(OR(A881="",A881=0),"",IF(COUNTIF($A$2:A881,$A881)=1,ROW(MauKoXoa!$C$108),$B880+1))</f>
        <v/>
      </c>
      <c r="C881" s="992" t="str">
        <f t="shared" ca="1" si="139"/>
        <v/>
      </c>
      <c r="D881" s="993" t="str">
        <f t="shared" ca="1" si="140"/>
        <v/>
      </c>
      <c r="E881" s="993" t="str">
        <f t="shared" ca="1" si="141"/>
        <v/>
      </c>
      <c r="F881" s="992" t="str">
        <f t="shared" ca="1" si="149"/>
        <v/>
      </c>
      <c r="G881" s="994">
        <f t="shared" ca="1" si="142"/>
        <v>0</v>
      </c>
      <c r="H881" s="913">
        <f t="shared" ca="1" si="143"/>
        <v>0</v>
      </c>
      <c r="I881" s="913">
        <f t="shared" ca="1" si="144"/>
        <v>0</v>
      </c>
      <c r="J881" s="995">
        <f t="shared" ca="1" si="150"/>
        <v>0</v>
      </c>
      <c r="K881" s="913">
        <f t="shared" ca="1" si="145"/>
        <v>0</v>
      </c>
      <c r="L881" s="995">
        <f t="shared" ca="1" si="151"/>
        <v>0</v>
      </c>
      <c r="M881" s="913">
        <f t="shared" ca="1" si="146"/>
        <v>0</v>
      </c>
      <c r="N881" s="996">
        <f t="shared" ca="1" si="147"/>
        <v>0</v>
      </c>
      <c r="O881" s="997">
        <f t="shared" ca="1" si="148"/>
        <v>0</v>
      </c>
      <c r="P881" s="1015" t="str">
        <f ca="1">IF($C881="","",INDEX(NVLSX!$N$2:$N$6941,MATCH($C881,NVLSX!$E$2:$E$6941,0)))</f>
        <v/>
      </c>
      <c r="Q881" s="1016" t="str">
        <f ca="1">IF($R881="","",IF(XKNVLSX!$X$1="",IF($P881=$V$7,$P881, IF(COUNTIFS($C$2:$C880,$C881,$E$2:$E880,$E881)&gt;=1,"",$P881)),     IF(AND(IFERROR(SEARCH($R881,XKNVLSX!$X$1,1),0)&gt;=1,$P881=$V$7),$P881, IF(OR($R881&lt;&gt;IF(IFERROR(SEARCH($R881,XKNVLSX!$X$1,1),0)&gt;=1,$R881,XKNVLSX!$X$1),COUNTIFS($C$2:$C880,$C881,$E$2:$E880,$E881,$Q$2:$Q880,$P881)&gt;=1),"",$P881))))</f>
        <v/>
      </c>
      <c r="R881" s="1017" t="str">
        <f ca="1">IF($A881="","",IFERROR(INDEX(TinhGia!$BF$10:$BF$81,MATCH($A881,TinhGia!$B$10:$B$81,0)),""))</f>
        <v/>
      </c>
      <c r="S881" s="1012" t="str">
        <f ca="1">IF($A881="","",IF(OR(IFERROR(SEARCH($R881,XKNVLSX!$X$1,1),0)&gt;=1,XKNVLSX!$X$1=""),$S$2,""))</f>
        <v/>
      </c>
      <c r="T881" s="1018" t="str">
        <f ca="1">IF($C881="","", IF(OR($P881=$V$1,$P881=$V$7,COUNTIFS($C$3:$C881,$C881,$E$3:$E881,$E881)&lt;=1),$P881,""    ))</f>
        <v/>
      </c>
      <c r="U881" s="1019" t="str">
        <f ca="1">IF(AND($P881=$V$2,COUNTIFS($C$3:$C881,$C881,$E$3:$E881,$E881,$G$3:$G881,$G881)&lt;=1),$P881,"")</f>
        <v/>
      </c>
    </row>
    <row r="882" spans="1:21">
      <c r="A882" s="991" t="str">
        <f ca="1">IFERROR(IF(COUNTIF($A$3:A881,A881)&lt; INDEX(TinhGia!$BH$10:$BH$81,MATCH($A881,TinhGia!$B$10:$B$81,0)),$A881,INDEX(TinhGia!$B$10:$B$81,MATCH($A881,TinhGia!$B$10:$B$81,0)+1)),"")</f>
        <v/>
      </c>
      <c r="B882" s="525" t="str">
        <f ca="1">IF(OR(A882="",A882=0),"",IF(COUNTIF($A$2:A882,$A882)=1,ROW(MauKoXoa!$C$108),$B881+1))</f>
        <v/>
      </c>
      <c r="C882" s="992" t="str">
        <f t="shared" ca="1" si="139"/>
        <v/>
      </c>
      <c r="D882" s="993" t="str">
        <f t="shared" ca="1" si="140"/>
        <v/>
      </c>
      <c r="E882" s="993" t="str">
        <f t="shared" ca="1" si="141"/>
        <v/>
      </c>
      <c r="F882" s="992" t="str">
        <f t="shared" ca="1" si="149"/>
        <v/>
      </c>
      <c r="G882" s="994">
        <f t="shared" ca="1" si="142"/>
        <v>0</v>
      </c>
      <c r="H882" s="913">
        <f t="shared" ca="1" si="143"/>
        <v>0</v>
      </c>
      <c r="I882" s="913">
        <f t="shared" ca="1" si="144"/>
        <v>0</v>
      </c>
      <c r="J882" s="995">
        <f t="shared" ca="1" si="150"/>
        <v>0</v>
      </c>
      <c r="K882" s="913">
        <f t="shared" ca="1" si="145"/>
        <v>0</v>
      </c>
      <c r="L882" s="995">
        <f t="shared" ca="1" si="151"/>
        <v>0</v>
      </c>
      <c r="M882" s="913">
        <f t="shared" ca="1" si="146"/>
        <v>0</v>
      </c>
      <c r="N882" s="996">
        <f t="shared" ca="1" si="147"/>
        <v>0</v>
      </c>
      <c r="O882" s="997">
        <f t="shared" ca="1" si="148"/>
        <v>0</v>
      </c>
      <c r="P882" s="1015" t="str">
        <f ca="1">IF($C882="","",INDEX(NVLSX!$N$2:$N$6941,MATCH($C882,NVLSX!$E$2:$E$6941,0)))</f>
        <v/>
      </c>
      <c r="Q882" s="1016" t="str">
        <f ca="1">IF($R882="","",IF(XKNVLSX!$X$1="",IF($P882=$V$7,$P882, IF(COUNTIFS($C$2:$C881,$C882,$E$2:$E881,$E882)&gt;=1,"",$P882)),     IF(AND(IFERROR(SEARCH($R882,XKNVLSX!$X$1,1),0)&gt;=1,$P882=$V$7),$P882, IF(OR($R882&lt;&gt;IF(IFERROR(SEARCH($R882,XKNVLSX!$X$1,1),0)&gt;=1,$R882,XKNVLSX!$X$1),COUNTIFS($C$2:$C881,$C882,$E$2:$E881,$E882,$Q$2:$Q881,$P882)&gt;=1),"",$P882))))</f>
        <v/>
      </c>
      <c r="R882" s="1017" t="str">
        <f ca="1">IF($A882="","",IFERROR(INDEX(TinhGia!$BF$10:$BF$81,MATCH($A882,TinhGia!$B$10:$B$81,0)),""))</f>
        <v/>
      </c>
      <c r="S882" s="1012" t="str">
        <f ca="1">IF($A882="","",IF(OR(IFERROR(SEARCH($R882,XKNVLSX!$X$1,1),0)&gt;=1,XKNVLSX!$X$1=""),$S$2,""))</f>
        <v/>
      </c>
      <c r="T882" s="1018" t="str">
        <f ca="1">IF($C882="","", IF(OR($P882=$V$1,$P882=$V$7,COUNTIFS($C$3:$C882,$C882,$E$3:$E882,$E882)&lt;=1),$P882,""    ))</f>
        <v/>
      </c>
      <c r="U882" s="1019" t="str">
        <f ca="1">IF(AND($P882=$V$2,COUNTIFS($C$3:$C882,$C882,$E$3:$E882,$E882,$G$3:$G882,$G882)&lt;=1),$P882,"")</f>
        <v/>
      </c>
    </row>
    <row r="883" spans="1:21">
      <c r="A883" s="991" t="str">
        <f ca="1">IFERROR(IF(COUNTIF($A$3:A882,A882)&lt; INDEX(TinhGia!$BH$10:$BH$81,MATCH($A882,TinhGia!$B$10:$B$81,0)),$A882,INDEX(TinhGia!$B$10:$B$81,MATCH($A882,TinhGia!$B$10:$B$81,0)+1)),"")</f>
        <v/>
      </c>
      <c r="B883" s="525" t="str">
        <f ca="1">IF(OR(A883="",A883=0),"",IF(COUNTIF($A$2:A883,$A883)=1,ROW(MauKoXoa!$C$108),$B882+1))</f>
        <v/>
      </c>
      <c r="C883" s="992" t="str">
        <f t="shared" ca="1" si="139"/>
        <v/>
      </c>
      <c r="D883" s="993" t="str">
        <f t="shared" ca="1" si="140"/>
        <v/>
      </c>
      <c r="E883" s="993" t="str">
        <f t="shared" ca="1" si="141"/>
        <v/>
      </c>
      <c r="F883" s="992" t="str">
        <f t="shared" ca="1" si="149"/>
        <v/>
      </c>
      <c r="G883" s="994">
        <f t="shared" ca="1" si="142"/>
        <v>0</v>
      </c>
      <c r="H883" s="913">
        <f t="shared" ca="1" si="143"/>
        <v>0</v>
      </c>
      <c r="I883" s="913">
        <f t="shared" ca="1" si="144"/>
        <v>0</v>
      </c>
      <c r="J883" s="995">
        <f t="shared" ca="1" si="150"/>
        <v>0</v>
      </c>
      <c r="K883" s="913">
        <f t="shared" ca="1" si="145"/>
        <v>0</v>
      </c>
      <c r="L883" s="995">
        <f t="shared" ca="1" si="151"/>
        <v>0</v>
      </c>
      <c r="M883" s="913">
        <f t="shared" ca="1" si="146"/>
        <v>0</v>
      </c>
      <c r="N883" s="996">
        <f t="shared" ca="1" si="147"/>
        <v>0</v>
      </c>
      <c r="O883" s="997">
        <f t="shared" ca="1" si="148"/>
        <v>0</v>
      </c>
      <c r="P883" s="1015" t="str">
        <f ca="1">IF($C883="","",INDEX(NVLSX!$N$2:$N$6941,MATCH($C883,NVLSX!$E$2:$E$6941,0)))</f>
        <v/>
      </c>
      <c r="Q883" s="1016" t="str">
        <f ca="1">IF($R883="","",IF(XKNVLSX!$X$1="",IF($P883=$V$7,$P883, IF(COUNTIFS($C$2:$C882,$C883,$E$2:$E882,$E883)&gt;=1,"",$P883)),     IF(AND(IFERROR(SEARCH($R883,XKNVLSX!$X$1,1),0)&gt;=1,$P883=$V$7),$P883, IF(OR($R883&lt;&gt;IF(IFERROR(SEARCH($R883,XKNVLSX!$X$1,1),0)&gt;=1,$R883,XKNVLSX!$X$1),COUNTIFS($C$2:$C882,$C883,$E$2:$E882,$E883,$Q$2:$Q882,$P883)&gt;=1),"",$P883))))</f>
        <v/>
      </c>
      <c r="R883" s="1017" t="str">
        <f ca="1">IF($A883="","",IFERROR(INDEX(TinhGia!$BF$10:$BF$81,MATCH($A883,TinhGia!$B$10:$B$81,0)),""))</f>
        <v/>
      </c>
      <c r="S883" s="1012" t="str">
        <f ca="1">IF($A883="","",IF(OR(IFERROR(SEARCH($R883,XKNVLSX!$X$1,1),0)&gt;=1,XKNVLSX!$X$1=""),$S$2,""))</f>
        <v/>
      </c>
      <c r="T883" s="1018" t="str">
        <f ca="1">IF($C883="","", IF(OR($P883=$V$1,$P883=$V$7,COUNTIFS($C$3:$C883,$C883,$E$3:$E883,$E883)&lt;=1),$P883,""    ))</f>
        <v/>
      </c>
      <c r="U883" s="1019" t="str">
        <f ca="1">IF(AND($P883=$V$2,COUNTIFS($C$3:$C883,$C883,$E$3:$E883,$E883,$G$3:$G883,$G883)&lt;=1),$P883,"")</f>
        <v/>
      </c>
    </row>
    <row r="884" spans="1:21">
      <c r="A884" s="991" t="str">
        <f ca="1">IFERROR(IF(COUNTIF($A$3:A883,A883)&lt; INDEX(TinhGia!$BH$10:$BH$81,MATCH($A883,TinhGia!$B$10:$B$81,0)),$A883,INDEX(TinhGia!$B$10:$B$81,MATCH($A883,TinhGia!$B$10:$B$81,0)+1)),"")</f>
        <v/>
      </c>
      <c r="B884" s="525" t="str">
        <f ca="1">IF(OR(A884="",A884=0),"",IF(COUNTIF($A$2:A884,$A884)=1,ROW(MauKoXoa!$C$108),$B883+1))</f>
        <v/>
      </c>
      <c r="C884" s="992" t="str">
        <f t="shared" ca="1" si="139"/>
        <v/>
      </c>
      <c r="D884" s="993" t="str">
        <f t="shared" ca="1" si="140"/>
        <v/>
      </c>
      <c r="E884" s="993" t="str">
        <f t="shared" ca="1" si="141"/>
        <v/>
      </c>
      <c r="F884" s="992" t="str">
        <f t="shared" ca="1" si="149"/>
        <v/>
      </c>
      <c r="G884" s="994">
        <f t="shared" ca="1" si="142"/>
        <v>0</v>
      </c>
      <c r="H884" s="913">
        <f t="shared" ca="1" si="143"/>
        <v>0</v>
      </c>
      <c r="I884" s="913">
        <f t="shared" ca="1" si="144"/>
        <v>0</v>
      </c>
      <c r="J884" s="995">
        <f t="shared" ca="1" si="150"/>
        <v>0</v>
      </c>
      <c r="K884" s="913">
        <f t="shared" ca="1" si="145"/>
        <v>0</v>
      </c>
      <c r="L884" s="995">
        <f t="shared" ca="1" si="151"/>
        <v>0</v>
      </c>
      <c r="M884" s="913">
        <f t="shared" ca="1" si="146"/>
        <v>0</v>
      </c>
      <c r="N884" s="996">
        <f t="shared" ca="1" si="147"/>
        <v>0</v>
      </c>
      <c r="O884" s="997">
        <f t="shared" ca="1" si="148"/>
        <v>0</v>
      </c>
      <c r="P884" s="1015" t="str">
        <f ca="1">IF($C884="","",INDEX(NVLSX!$N$2:$N$6941,MATCH($C884,NVLSX!$E$2:$E$6941,0)))</f>
        <v/>
      </c>
      <c r="Q884" s="1016" t="str">
        <f ca="1">IF($R884="","",IF(XKNVLSX!$X$1="",IF($P884=$V$7,$P884, IF(COUNTIFS($C$2:$C883,$C884,$E$2:$E883,$E884)&gt;=1,"",$P884)),     IF(AND(IFERROR(SEARCH($R884,XKNVLSX!$X$1,1),0)&gt;=1,$P884=$V$7),$P884, IF(OR($R884&lt;&gt;IF(IFERROR(SEARCH($R884,XKNVLSX!$X$1,1),0)&gt;=1,$R884,XKNVLSX!$X$1),COUNTIFS($C$2:$C883,$C884,$E$2:$E883,$E884,$Q$2:$Q883,$P884)&gt;=1),"",$P884))))</f>
        <v/>
      </c>
      <c r="R884" s="1017" t="str">
        <f ca="1">IF($A884="","",IFERROR(INDEX(TinhGia!$BF$10:$BF$81,MATCH($A884,TinhGia!$B$10:$B$81,0)),""))</f>
        <v/>
      </c>
      <c r="S884" s="1012" t="str">
        <f ca="1">IF($A884="","",IF(OR(IFERROR(SEARCH($R884,XKNVLSX!$X$1,1),0)&gt;=1,XKNVLSX!$X$1=""),$S$2,""))</f>
        <v/>
      </c>
      <c r="T884" s="1018" t="str">
        <f ca="1">IF($C884="","", IF(OR($P884=$V$1,$P884=$V$7,COUNTIFS($C$3:$C884,$C884,$E$3:$E884,$E884)&lt;=1),$P884,""    ))</f>
        <v/>
      </c>
      <c r="U884" s="1019" t="str">
        <f ca="1">IF(AND($P884=$V$2,COUNTIFS($C$3:$C884,$C884,$E$3:$E884,$E884,$G$3:$G884,$G884)&lt;=1),$P884,"")</f>
        <v/>
      </c>
    </row>
    <row r="885" spans="1:21">
      <c r="A885" s="991" t="str">
        <f ca="1">IFERROR(IF(COUNTIF($A$3:A884,A884)&lt; INDEX(TinhGia!$BH$10:$BH$81,MATCH($A884,TinhGia!$B$10:$B$81,0)),$A884,INDEX(TinhGia!$B$10:$B$81,MATCH($A884,TinhGia!$B$10:$B$81,0)+1)),"")</f>
        <v/>
      </c>
      <c r="B885" s="525" t="str">
        <f ca="1">IF(OR(A885="",A885=0),"",IF(COUNTIF($A$2:A885,$A885)=1,ROW(MauKoXoa!$C$108),$B884+1))</f>
        <v/>
      </c>
      <c r="C885" s="992" t="str">
        <f t="shared" ca="1" si="139"/>
        <v/>
      </c>
      <c r="D885" s="993" t="str">
        <f t="shared" ca="1" si="140"/>
        <v/>
      </c>
      <c r="E885" s="993" t="str">
        <f t="shared" ca="1" si="141"/>
        <v/>
      </c>
      <c r="F885" s="992" t="str">
        <f t="shared" ca="1" si="149"/>
        <v/>
      </c>
      <c r="G885" s="994">
        <f t="shared" ca="1" si="142"/>
        <v>0</v>
      </c>
      <c r="H885" s="913">
        <f t="shared" ca="1" si="143"/>
        <v>0</v>
      </c>
      <c r="I885" s="913">
        <f t="shared" ca="1" si="144"/>
        <v>0</v>
      </c>
      <c r="J885" s="995">
        <f t="shared" ca="1" si="150"/>
        <v>0</v>
      </c>
      <c r="K885" s="913">
        <f t="shared" ca="1" si="145"/>
        <v>0</v>
      </c>
      <c r="L885" s="995">
        <f t="shared" ca="1" si="151"/>
        <v>0</v>
      </c>
      <c r="M885" s="913">
        <f t="shared" ca="1" si="146"/>
        <v>0</v>
      </c>
      <c r="N885" s="996">
        <f t="shared" ca="1" si="147"/>
        <v>0</v>
      </c>
      <c r="O885" s="997">
        <f t="shared" ca="1" si="148"/>
        <v>0</v>
      </c>
      <c r="P885" s="1015" t="str">
        <f ca="1">IF($C885="","",INDEX(NVLSX!$N$2:$N$6941,MATCH($C885,NVLSX!$E$2:$E$6941,0)))</f>
        <v/>
      </c>
      <c r="Q885" s="1016" t="str">
        <f ca="1">IF($R885="","",IF(XKNVLSX!$X$1="",IF($P885=$V$7,$P885, IF(COUNTIFS($C$2:$C884,$C885,$E$2:$E884,$E885)&gt;=1,"",$P885)),     IF(AND(IFERROR(SEARCH($R885,XKNVLSX!$X$1,1),0)&gt;=1,$P885=$V$7),$P885, IF(OR($R885&lt;&gt;IF(IFERROR(SEARCH($R885,XKNVLSX!$X$1,1),0)&gt;=1,$R885,XKNVLSX!$X$1),COUNTIFS($C$2:$C884,$C885,$E$2:$E884,$E885,$Q$2:$Q884,$P885)&gt;=1),"",$P885))))</f>
        <v/>
      </c>
      <c r="R885" s="1017" t="str">
        <f ca="1">IF($A885="","",IFERROR(INDEX(TinhGia!$BF$10:$BF$81,MATCH($A885,TinhGia!$B$10:$B$81,0)),""))</f>
        <v/>
      </c>
      <c r="S885" s="1012" t="str">
        <f ca="1">IF($A885="","",IF(OR(IFERROR(SEARCH($R885,XKNVLSX!$X$1,1),0)&gt;=1,XKNVLSX!$X$1=""),$S$2,""))</f>
        <v/>
      </c>
      <c r="T885" s="1018" t="str">
        <f ca="1">IF($C885="","", IF(OR($P885=$V$1,$P885=$V$7,COUNTIFS($C$3:$C885,$C885,$E$3:$E885,$E885)&lt;=1),$P885,""    ))</f>
        <v/>
      </c>
      <c r="U885" s="1019" t="str">
        <f ca="1">IF(AND($P885=$V$2,COUNTIFS($C$3:$C885,$C885,$E$3:$E885,$E885,$G$3:$G885,$G885)&lt;=1),$P885,"")</f>
        <v/>
      </c>
    </row>
    <row r="886" spans="1:21">
      <c r="A886" s="991" t="str">
        <f ca="1">IFERROR(IF(COUNTIF($A$3:A885,A885)&lt; INDEX(TinhGia!$BH$10:$BH$81,MATCH($A885,TinhGia!$B$10:$B$81,0)),$A885,INDEX(TinhGia!$B$10:$B$81,MATCH($A885,TinhGia!$B$10:$B$81,0)+1)),"")</f>
        <v/>
      </c>
      <c r="B886" s="525" t="str">
        <f ca="1">IF(OR(A886="",A886=0),"",IF(COUNTIF($A$2:A886,$A886)=1,ROW(MauKoXoa!$C$108),$B885+1))</f>
        <v/>
      </c>
      <c r="C886" s="992" t="str">
        <f t="shared" ca="1" si="139"/>
        <v/>
      </c>
      <c r="D886" s="993" t="str">
        <f t="shared" ca="1" si="140"/>
        <v/>
      </c>
      <c r="E886" s="993" t="str">
        <f t="shared" ca="1" si="141"/>
        <v/>
      </c>
      <c r="F886" s="992" t="str">
        <f t="shared" ca="1" si="149"/>
        <v/>
      </c>
      <c r="G886" s="994">
        <f t="shared" ca="1" si="142"/>
        <v>0</v>
      </c>
      <c r="H886" s="913">
        <f t="shared" ca="1" si="143"/>
        <v>0</v>
      </c>
      <c r="I886" s="913">
        <f t="shared" ca="1" si="144"/>
        <v>0</v>
      </c>
      <c r="J886" s="995">
        <f t="shared" ca="1" si="150"/>
        <v>0</v>
      </c>
      <c r="K886" s="913">
        <f t="shared" ca="1" si="145"/>
        <v>0</v>
      </c>
      <c r="L886" s="995">
        <f t="shared" ca="1" si="151"/>
        <v>0</v>
      </c>
      <c r="M886" s="913">
        <f t="shared" ca="1" si="146"/>
        <v>0</v>
      </c>
      <c r="N886" s="996">
        <f t="shared" ca="1" si="147"/>
        <v>0</v>
      </c>
      <c r="O886" s="997">
        <f t="shared" ca="1" si="148"/>
        <v>0</v>
      </c>
      <c r="P886" s="1015" t="str">
        <f ca="1">IF($C886="","",INDEX(NVLSX!$N$2:$N$6941,MATCH($C886,NVLSX!$E$2:$E$6941,0)))</f>
        <v/>
      </c>
      <c r="Q886" s="1016" t="str">
        <f ca="1">IF($R886="","",IF(XKNVLSX!$X$1="",IF($P886=$V$7,$P886, IF(COUNTIFS($C$2:$C885,$C886,$E$2:$E885,$E886)&gt;=1,"",$P886)),     IF(AND(IFERROR(SEARCH($R886,XKNVLSX!$X$1,1),0)&gt;=1,$P886=$V$7),$P886, IF(OR($R886&lt;&gt;IF(IFERROR(SEARCH($R886,XKNVLSX!$X$1,1),0)&gt;=1,$R886,XKNVLSX!$X$1),COUNTIFS($C$2:$C885,$C886,$E$2:$E885,$E886,$Q$2:$Q885,$P886)&gt;=1),"",$P886))))</f>
        <v/>
      </c>
      <c r="R886" s="1017" t="str">
        <f ca="1">IF($A886="","",IFERROR(INDEX(TinhGia!$BF$10:$BF$81,MATCH($A886,TinhGia!$B$10:$B$81,0)),""))</f>
        <v/>
      </c>
      <c r="S886" s="1012" t="str">
        <f ca="1">IF($A886="","",IF(OR(IFERROR(SEARCH($R886,XKNVLSX!$X$1,1),0)&gt;=1,XKNVLSX!$X$1=""),$S$2,""))</f>
        <v/>
      </c>
      <c r="T886" s="1018" t="str">
        <f ca="1">IF($C886="","", IF(OR($P886=$V$1,$P886=$V$7,COUNTIFS($C$3:$C886,$C886,$E$3:$E886,$E886)&lt;=1),$P886,""    ))</f>
        <v/>
      </c>
      <c r="U886" s="1019" t="str">
        <f ca="1">IF(AND($P886=$V$2,COUNTIFS($C$3:$C886,$C886,$E$3:$E886,$E886,$G$3:$G886,$G886)&lt;=1),$P886,"")</f>
        <v/>
      </c>
    </row>
    <row r="887" spans="1:21">
      <c r="A887" s="991" t="str">
        <f ca="1">IFERROR(IF(COUNTIF($A$3:A886,A886)&lt; INDEX(TinhGia!$BH$10:$BH$81,MATCH($A886,TinhGia!$B$10:$B$81,0)),$A886,INDEX(TinhGia!$B$10:$B$81,MATCH($A886,TinhGia!$B$10:$B$81,0)+1)),"")</f>
        <v/>
      </c>
      <c r="B887" s="525" t="str">
        <f ca="1">IF(OR(A887="",A887=0),"",IF(COUNTIF($A$2:A887,$A887)=1,ROW(MauKoXoa!$C$108),$B886+1))</f>
        <v/>
      </c>
      <c r="C887" s="992" t="str">
        <f t="shared" ca="1" si="139"/>
        <v/>
      </c>
      <c r="D887" s="993" t="str">
        <f t="shared" ca="1" si="140"/>
        <v/>
      </c>
      <c r="E887" s="993" t="str">
        <f t="shared" ca="1" si="141"/>
        <v/>
      </c>
      <c r="F887" s="992" t="str">
        <f t="shared" ca="1" si="149"/>
        <v/>
      </c>
      <c r="G887" s="994">
        <f t="shared" ca="1" si="142"/>
        <v>0</v>
      </c>
      <c r="H887" s="913">
        <f t="shared" ca="1" si="143"/>
        <v>0</v>
      </c>
      <c r="I887" s="913">
        <f t="shared" ca="1" si="144"/>
        <v>0</v>
      </c>
      <c r="J887" s="995">
        <f t="shared" ca="1" si="150"/>
        <v>0</v>
      </c>
      <c r="K887" s="913">
        <f t="shared" ca="1" si="145"/>
        <v>0</v>
      </c>
      <c r="L887" s="995">
        <f t="shared" ca="1" si="151"/>
        <v>0</v>
      </c>
      <c r="M887" s="913">
        <f t="shared" ca="1" si="146"/>
        <v>0</v>
      </c>
      <c r="N887" s="996">
        <f t="shared" ca="1" si="147"/>
        <v>0</v>
      </c>
      <c r="O887" s="997">
        <f t="shared" ca="1" si="148"/>
        <v>0</v>
      </c>
      <c r="P887" s="1015" t="str">
        <f ca="1">IF($C887="","",INDEX(NVLSX!$N$2:$N$6941,MATCH($C887,NVLSX!$E$2:$E$6941,0)))</f>
        <v/>
      </c>
      <c r="Q887" s="1016" t="str">
        <f ca="1">IF($R887="","",IF(XKNVLSX!$X$1="",IF($P887=$V$7,$P887, IF(COUNTIFS($C$2:$C886,$C887,$E$2:$E886,$E887)&gt;=1,"",$P887)),     IF(AND(IFERROR(SEARCH($R887,XKNVLSX!$X$1,1),0)&gt;=1,$P887=$V$7),$P887, IF(OR($R887&lt;&gt;IF(IFERROR(SEARCH($R887,XKNVLSX!$X$1,1),0)&gt;=1,$R887,XKNVLSX!$X$1),COUNTIFS($C$2:$C886,$C887,$E$2:$E886,$E887,$Q$2:$Q886,$P887)&gt;=1),"",$P887))))</f>
        <v/>
      </c>
      <c r="R887" s="1017" t="str">
        <f ca="1">IF($A887="","",IFERROR(INDEX(TinhGia!$BF$10:$BF$81,MATCH($A887,TinhGia!$B$10:$B$81,0)),""))</f>
        <v/>
      </c>
      <c r="S887" s="1012" t="str">
        <f ca="1">IF($A887="","",IF(OR(IFERROR(SEARCH($R887,XKNVLSX!$X$1,1),0)&gt;=1,XKNVLSX!$X$1=""),$S$2,""))</f>
        <v/>
      </c>
      <c r="T887" s="1018" t="str">
        <f ca="1">IF($C887="","", IF(OR($P887=$V$1,$P887=$V$7,COUNTIFS($C$3:$C887,$C887,$E$3:$E887,$E887)&lt;=1),$P887,""    ))</f>
        <v/>
      </c>
      <c r="U887" s="1019" t="str">
        <f ca="1">IF(AND($P887=$V$2,COUNTIFS($C$3:$C887,$C887,$E$3:$E887,$E887,$G$3:$G887,$G887)&lt;=1),$P887,"")</f>
        <v/>
      </c>
    </row>
    <row r="888" spans="1:21">
      <c r="A888" s="991" t="str">
        <f ca="1">IFERROR(IF(COUNTIF($A$3:A887,A887)&lt; INDEX(TinhGia!$BH$10:$BH$81,MATCH($A887,TinhGia!$B$10:$B$81,0)),$A887,INDEX(TinhGia!$B$10:$B$81,MATCH($A887,TinhGia!$B$10:$B$81,0)+1)),"")</f>
        <v/>
      </c>
      <c r="B888" s="525" t="str">
        <f ca="1">IF(OR(A888="",A888=0),"",IF(COUNTIF($A$2:A888,$A888)=1,ROW(MauKoXoa!$C$108),$B887+1))</f>
        <v/>
      </c>
      <c r="C888" s="992" t="str">
        <f t="shared" ca="1" si="139"/>
        <v/>
      </c>
      <c r="D888" s="993" t="str">
        <f t="shared" ca="1" si="140"/>
        <v/>
      </c>
      <c r="E888" s="993" t="str">
        <f t="shared" ca="1" si="141"/>
        <v/>
      </c>
      <c r="F888" s="992" t="str">
        <f t="shared" ca="1" si="149"/>
        <v/>
      </c>
      <c r="G888" s="994">
        <f t="shared" ca="1" si="142"/>
        <v>0</v>
      </c>
      <c r="H888" s="913">
        <f t="shared" ca="1" si="143"/>
        <v>0</v>
      </c>
      <c r="I888" s="913">
        <f t="shared" ca="1" si="144"/>
        <v>0</v>
      </c>
      <c r="J888" s="995">
        <f t="shared" ca="1" si="150"/>
        <v>0</v>
      </c>
      <c r="K888" s="913">
        <f t="shared" ca="1" si="145"/>
        <v>0</v>
      </c>
      <c r="L888" s="995">
        <f t="shared" ca="1" si="151"/>
        <v>0</v>
      </c>
      <c r="M888" s="913">
        <f t="shared" ca="1" si="146"/>
        <v>0</v>
      </c>
      <c r="N888" s="996">
        <f t="shared" ca="1" si="147"/>
        <v>0</v>
      </c>
      <c r="O888" s="997">
        <f t="shared" ca="1" si="148"/>
        <v>0</v>
      </c>
      <c r="P888" s="1015" t="str">
        <f ca="1">IF($C888="","",INDEX(NVLSX!$N$2:$N$6941,MATCH($C888,NVLSX!$E$2:$E$6941,0)))</f>
        <v/>
      </c>
      <c r="Q888" s="1016" t="str">
        <f ca="1">IF($R888="","",IF(XKNVLSX!$X$1="",IF($P888=$V$7,$P888, IF(COUNTIFS($C$2:$C887,$C888,$E$2:$E887,$E888)&gt;=1,"",$P888)),     IF(AND(IFERROR(SEARCH($R888,XKNVLSX!$X$1,1),0)&gt;=1,$P888=$V$7),$P888, IF(OR($R888&lt;&gt;IF(IFERROR(SEARCH($R888,XKNVLSX!$X$1,1),0)&gt;=1,$R888,XKNVLSX!$X$1),COUNTIFS($C$2:$C887,$C888,$E$2:$E887,$E888,$Q$2:$Q887,$P888)&gt;=1),"",$P888))))</f>
        <v/>
      </c>
      <c r="R888" s="1017" t="str">
        <f ca="1">IF($A888="","",IFERROR(INDEX(TinhGia!$BF$10:$BF$81,MATCH($A888,TinhGia!$B$10:$B$81,0)),""))</f>
        <v/>
      </c>
      <c r="S888" s="1012" t="str">
        <f ca="1">IF($A888="","",IF(OR(IFERROR(SEARCH($R888,XKNVLSX!$X$1,1),0)&gt;=1,XKNVLSX!$X$1=""),$S$2,""))</f>
        <v/>
      </c>
      <c r="T888" s="1018" t="str">
        <f ca="1">IF($C888="","", IF(OR($P888=$V$1,$P888=$V$7,COUNTIFS($C$3:$C888,$C888,$E$3:$E888,$E888)&lt;=1),$P888,""    ))</f>
        <v/>
      </c>
      <c r="U888" s="1019" t="str">
        <f ca="1">IF(AND($P888=$V$2,COUNTIFS($C$3:$C888,$C888,$E$3:$E888,$E888,$G$3:$G888,$G888)&lt;=1),$P888,"")</f>
        <v/>
      </c>
    </row>
    <row r="889" spans="1:21">
      <c r="A889" s="991" t="str">
        <f ca="1">IFERROR(IF(COUNTIF($A$3:A888,A888)&lt; INDEX(TinhGia!$BH$10:$BH$81,MATCH($A888,TinhGia!$B$10:$B$81,0)),$A888,INDEX(TinhGia!$B$10:$B$81,MATCH($A888,TinhGia!$B$10:$B$81,0)+1)),"")</f>
        <v/>
      </c>
      <c r="B889" s="525" t="str">
        <f ca="1">IF(OR(A889="",A889=0),"",IF(COUNTIF($A$2:A889,$A889)=1,ROW(MauKoXoa!$C$108),$B888+1))</f>
        <v/>
      </c>
      <c r="C889" s="992" t="str">
        <f t="shared" ca="1" si="139"/>
        <v/>
      </c>
      <c r="D889" s="993" t="str">
        <f t="shared" ca="1" si="140"/>
        <v/>
      </c>
      <c r="E889" s="993" t="str">
        <f t="shared" ca="1" si="141"/>
        <v/>
      </c>
      <c r="F889" s="992" t="str">
        <f t="shared" ca="1" si="149"/>
        <v/>
      </c>
      <c r="G889" s="994">
        <f t="shared" ca="1" si="142"/>
        <v>0</v>
      </c>
      <c r="H889" s="913">
        <f t="shared" ca="1" si="143"/>
        <v>0</v>
      </c>
      <c r="I889" s="913">
        <f t="shared" ca="1" si="144"/>
        <v>0</v>
      </c>
      <c r="J889" s="995">
        <f t="shared" ca="1" si="150"/>
        <v>0</v>
      </c>
      <c r="K889" s="913">
        <f t="shared" ca="1" si="145"/>
        <v>0</v>
      </c>
      <c r="L889" s="995">
        <f t="shared" ca="1" si="151"/>
        <v>0</v>
      </c>
      <c r="M889" s="913">
        <f t="shared" ca="1" si="146"/>
        <v>0</v>
      </c>
      <c r="N889" s="996">
        <f t="shared" ca="1" si="147"/>
        <v>0</v>
      </c>
      <c r="O889" s="997">
        <f t="shared" ca="1" si="148"/>
        <v>0</v>
      </c>
      <c r="P889" s="1015" t="str">
        <f ca="1">IF($C889="","",INDEX(NVLSX!$N$2:$N$6941,MATCH($C889,NVLSX!$E$2:$E$6941,0)))</f>
        <v/>
      </c>
      <c r="Q889" s="1016" t="str">
        <f ca="1">IF($R889="","",IF(XKNVLSX!$X$1="",IF($P889=$V$7,$P889, IF(COUNTIFS($C$2:$C888,$C889,$E$2:$E888,$E889)&gt;=1,"",$P889)),     IF(AND(IFERROR(SEARCH($R889,XKNVLSX!$X$1,1),0)&gt;=1,$P889=$V$7),$P889, IF(OR($R889&lt;&gt;IF(IFERROR(SEARCH($R889,XKNVLSX!$X$1,1),0)&gt;=1,$R889,XKNVLSX!$X$1),COUNTIFS($C$2:$C888,$C889,$E$2:$E888,$E889,$Q$2:$Q888,$P889)&gt;=1),"",$P889))))</f>
        <v/>
      </c>
      <c r="R889" s="1017" t="str">
        <f ca="1">IF($A889="","",IFERROR(INDEX(TinhGia!$BF$10:$BF$81,MATCH($A889,TinhGia!$B$10:$B$81,0)),""))</f>
        <v/>
      </c>
      <c r="S889" s="1012" t="str">
        <f ca="1">IF($A889="","",IF(OR(IFERROR(SEARCH($R889,XKNVLSX!$X$1,1),0)&gt;=1,XKNVLSX!$X$1=""),$S$2,""))</f>
        <v/>
      </c>
      <c r="T889" s="1018" t="str">
        <f ca="1">IF($C889="","", IF(OR($P889=$V$1,$P889=$V$7,COUNTIFS($C$3:$C889,$C889,$E$3:$E889,$E889)&lt;=1),$P889,""    ))</f>
        <v/>
      </c>
      <c r="U889" s="1019" t="str">
        <f ca="1">IF(AND($P889=$V$2,COUNTIFS($C$3:$C889,$C889,$E$3:$E889,$E889,$G$3:$G889,$G889)&lt;=1),$P889,"")</f>
        <v/>
      </c>
    </row>
    <row r="890" spans="1:21">
      <c r="A890" s="991" t="str">
        <f ca="1">IFERROR(IF(COUNTIF($A$3:A889,A889)&lt; INDEX(TinhGia!$BH$10:$BH$81,MATCH($A889,TinhGia!$B$10:$B$81,0)),$A889,INDEX(TinhGia!$B$10:$B$81,MATCH($A889,TinhGia!$B$10:$B$81,0)+1)),"")</f>
        <v/>
      </c>
      <c r="B890" s="525" t="str">
        <f ca="1">IF(OR(A890="",A890=0),"",IF(COUNTIF($A$2:A890,$A890)=1,ROW(MauKoXoa!$C$108),$B889+1))</f>
        <v/>
      </c>
      <c r="C890" s="992" t="str">
        <f t="shared" ca="1" si="139"/>
        <v/>
      </c>
      <c r="D890" s="993" t="str">
        <f t="shared" ca="1" si="140"/>
        <v/>
      </c>
      <c r="E890" s="993" t="str">
        <f t="shared" ca="1" si="141"/>
        <v/>
      </c>
      <c r="F890" s="992" t="str">
        <f t="shared" ca="1" si="149"/>
        <v/>
      </c>
      <c r="G890" s="994">
        <f t="shared" ca="1" si="142"/>
        <v>0</v>
      </c>
      <c r="H890" s="913">
        <f t="shared" ca="1" si="143"/>
        <v>0</v>
      </c>
      <c r="I890" s="913">
        <f t="shared" ca="1" si="144"/>
        <v>0</v>
      </c>
      <c r="J890" s="995">
        <f t="shared" ca="1" si="150"/>
        <v>0</v>
      </c>
      <c r="K890" s="913">
        <f t="shared" ca="1" si="145"/>
        <v>0</v>
      </c>
      <c r="L890" s="995">
        <f t="shared" ca="1" si="151"/>
        <v>0</v>
      </c>
      <c r="M890" s="913">
        <f t="shared" ca="1" si="146"/>
        <v>0</v>
      </c>
      <c r="N890" s="996">
        <f t="shared" ca="1" si="147"/>
        <v>0</v>
      </c>
      <c r="O890" s="997">
        <f t="shared" ca="1" si="148"/>
        <v>0</v>
      </c>
      <c r="P890" s="1015" t="str">
        <f ca="1">IF($C890="","",INDEX(NVLSX!$N$2:$N$6941,MATCH($C890,NVLSX!$E$2:$E$6941,0)))</f>
        <v/>
      </c>
      <c r="Q890" s="1016" t="str">
        <f ca="1">IF($R890="","",IF(XKNVLSX!$X$1="",IF($P890=$V$7,$P890, IF(COUNTIFS($C$2:$C889,$C890,$E$2:$E889,$E890)&gt;=1,"",$P890)),     IF(AND(IFERROR(SEARCH($R890,XKNVLSX!$X$1,1),0)&gt;=1,$P890=$V$7),$P890, IF(OR($R890&lt;&gt;IF(IFERROR(SEARCH($R890,XKNVLSX!$X$1,1),0)&gt;=1,$R890,XKNVLSX!$X$1),COUNTIFS($C$2:$C889,$C890,$E$2:$E889,$E890,$Q$2:$Q889,$P890)&gt;=1),"",$P890))))</f>
        <v/>
      </c>
      <c r="R890" s="1017" t="str">
        <f ca="1">IF($A890="","",IFERROR(INDEX(TinhGia!$BF$10:$BF$81,MATCH($A890,TinhGia!$B$10:$B$81,0)),""))</f>
        <v/>
      </c>
      <c r="S890" s="1012" t="str">
        <f ca="1">IF($A890="","",IF(OR(IFERROR(SEARCH($R890,XKNVLSX!$X$1,1),0)&gt;=1,XKNVLSX!$X$1=""),$S$2,""))</f>
        <v/>
      </c>
      <c r="T890" s="1018" t="str">
        <f ca="1">IF($C890="","", IF(OR($P890=$V$1,$P890=$V$7,COUNTIFS($C$3:$C890,$C890,$E$3:$E890,$E890)&lt;=1),$P890,""    ))</f>
        <v/>
      </c>
      <c r="U890" s="1019" t="str">
        <f ca="1">IF(AND($P890=$V$2,COUNTIFS($C$3:$C890,$C890,$E$3:$E890,$E890,$G$3:$G890,$G890)&lt;=1),$P890,"")</f>
        <v/>
      </c>
    </row>
    <row r="891" spans="1:21">
      <c r="A891" s="991" t="str">
        <f ca="1">IFERROR(IF(COUNTIF($A$3:A890,A890)&lt; INDEX(TinhGia!$BH$10:$BH$81,MATCH($A890,TinhGia!$B$10:$B$81,0)),$A890,INDEX(TinhGia!$B$10:$B$81,MATCH($A890,TinhGia!$B$10:$B$81,0)+1)),"")</f>
        <v/>
      </c>
      <c r="B891" s="525" t="str">
        <f ca="1">IF(OR(A891="",A891=0),"",IF(COUNTIF($A$2:A891,$A891)=1,ROW(MauKoXoa!$C$108),$B890+1))</f>
        <v/>
      </c>
      <c r="C891" s="992" t="str">
        <f t="shared" ca="1" si="139"/>
        <v/>
      </c>
      <c r="D891" s="993" t="str">
        <f t="shared" ca="1" si="140"/>
        <v/>
      </c>
      <c r="E891" s="993" t="str">
        <f t="shared" ca="1" si="141"/>
        <v/>
      </c>
      <c r="F891" s="992" t="str">
        <f t="shared" ca="1" si="149"/>
        <v/>
      </c>
      <c r="G891" s="994">
        <f t="shared" ca="1" si="142"/>
        <v>0</v>
      </c>
      <c r="H891" s="913">
        <f t="shared" ca="1" si="143"/>
        <v>0</v>
      </c>
      <c r="I891" s="913">
        <f t="shared" ca="1" si="144"/>
        <v>0</v>
      </c>
      <c r="J891" s="995">
        <f t="shared" ca="1" si="150"/>
        <v>0</v>
      </c>
      <c r="K891" s="913">
        <f t="shared" ca="1" si="145"/>
        <v>0</v>
      </c>
      <c r="L891" s="995">
        <f t="shared" ca="1" si="151"/>
        <v>0</v>
      </c>
      <c r="M891" s="913">
        <f t="shared" ca="1" si="146"/>
        <v>0</v>
      </c>
      <c r="N891" s="996">
        <f t="shared" ca="1" si="147"/>
        <v>0</v>
      </c>
      <c r="O891" s="997">
        <f t="shared" ca="1" si="148"/>
        <v>0</v>
      </c>
      <c r="P891" s="1015" t="str">
        <f ca="1">IF($C891="","",INDEX(NVLSX!$N$2:$N$6941,MATCH($C891,NVLSX!$E$2:$E$6941,0)))</f>
        <v/>
      </c>
      <c r="Q891" s="1016" t="str">
        <f ca="1">IF($R891="","",IF(XKNVLSX!$X$1="",IF($P891=$V$7,$P891, IF(COUNTIFS($C$2:$C890,$C891,$E$2:$E890,$E891)&gt;=1,"",$P891)),     IF(AND(IFERROR(SEARCH($R891,XKNVLSX!$X$1,1),0)&gt;=1,$P891=$V$7),$P891, IF(OR($R891&lt;&gt;IF(IFERROR(SEARCH($R891,XKNVLSX!$X$1,1),0)&gt;=1,$R891,XKNVLSX!$X$1),COUNTIFS($C$2:$C890,$C891,$E$2:$E890,$E891,$Q$2:$Q890,$P891)&gt;=1),"",$P891))))</f>
        <v/>
      </c>
      <c r="R891" s="1017" t="str">
        <f ca="1">IF($A891="","",IFERROR(INDEX(TinhGia!$BF$10:$BF$81,MATCH($A891,TinhGia!$B$10:$B$81,0)),""))</f>
        <v/>
      </c>
      <c r="S891" s="1012" t="str">
        <f ca="1">IF($A891="","",IF(OR(IFERROR(SEARCH($R891,XKNVLSX!$X$1,1),0)&gt;=1,XKNVLSX!$X$1=""),$S$2,""))</f>
        <v/>
      </c>
      <c r="T891" s="1018" t="str">
        <f ca="1">IF($C891="","", IF(OR($P891=$V$1,$P891=$V$7,COUNTIFS($C$3:$C891,$C891,$E$3:$E891,$E891)&lt;=1),$P891,""    ))</f>
        <v/>
      </c>
      <c r="U891" s="1019" t="str">
        <f ca="1">IF(AND($P891=$V$2,COUNTIFS($C$3:$C891,$C891,$E$3:$E891,$E891,$G$3:$G891,$G891)&lt;=1),$P891,"")</f>
        <v/>
      </c>
    </row>
    <row r="892" spans="1:21">
      <c r="A892" s="991" t="str">
        <f ca="1">IFERROR(IF(COUNTIF($A$3:A891,A891)&lt; INDEX(TinhGia!$BH$10:$BH$81,MATCH($A891,TinhGia!$B$10:$B$81,0)),$A891,INDEX(TinhGia!$B$10:$B$81,MATCH($A891,TinhGia!$B$10:$B$81,0)+1)),"")</f>
        <v/>
      </c>
      <c r="B892" s="525" t="str">
        <f ca="1">IF(OR(A892="",A892=0),"",IF(COUNTIF($A$2:A892,$A892)=1,ROW(MauKoXoa!$C$108),$B891+1))</f>
        <v/>
      </c>
      <c r="C892" s="992" t="str">
        <f t="shared" ca="1" si="139"/>
        <v/>
      </c>
      <c r="D892" s="993" t="str">
        <f t="shared" ca="1" si="140"/>
        <v/>
      </c>
      <c r="E892" s="993" t="str">
        <f t="shared" ca="1" si="141"/>
        <v/>
      </c>
      <c r="F892" s="992" t="str">
        <f t="shared" ca="1" si="149"/>
        <v/>
      </c>
      <c r="G892" s="994">
        <f t="shared" ca="1" si="142"/>
        <v>0</v>
      </c>
      <c r="H892" s="913">
        <f t="shared" ca="1" si="143"/>
        <v>0</v>
      </c>
      <c r="I892" s="913">
        <f t="shared" ca="1" si="144"/>
        <v>0</v>
      </c>
      <c r="J892" s="995">
        <f t="shared" ca="1" si="150"/>
        <v>0</v>
      </c>
      <c r="K892" s="913">
        <f t="shared" ca="1" si="145"/>
        <v>0</v>
      </c>
      <c r="L892" s="995">
        <f t="shared" ca="1" si="151"/>
        <v>0</v>
      </c>
      <c r="M892" s="913">
        <f t="shared" ca="1" si="146"/>
        <v>0</v>
      </c>
      <c r="N892" s="996">
        <f t="shared" ca="1" si="147"/>
        <v>0</v>
      </c>
      <c r="O892" s="997">
        <f t="shared" ca="1" si="148"/>
        <v>0</v>
      </c>
      <c r="P892" s="1015" t="str">
        <f ca="1">IF($C892="","",INDEX(NVLSX!$N$2:$N$6941,MATCH($C892,NVLSX!$E$2:$E$6941,0)))</f>
        <v/>
      </c>
      <c r="Q892" s="1016" t="str">
        <f ca="1">IF($R892="","",IF(XKNVLSX!$X$1="",IF($P892=$V$7,$P892, IF(COUNTIFS($C$2:$C891,$C892,$E$2:$E891,$E892)&gt;=1,"",$P892)),     IF(AND(IFERROR(SEARCH($R892,XKNVLSX!$X$1,1),0)&gt;=1,$P892=$V$7),$P892, IF(OR($R892&lt;&gt;IF(IFERROR(SEARCH($R892,XKNVLSX!$X$1,1),0)&gt;=1,$R892,XKNVLSX!$X$1),COUNTIFS($C$2:$C891,$C892,$E$2:$E891,$E892,$Q$2:$Q891,$P892)&gt;=1),"",$P892))))</f>
        <v/>
      </c>
      <c r="R892" s="1017" t="str">
        <f ca="1">IF($A892="","",IFERROR(INDEX(TinhGia!$BF$10:$BF$81,MATCH($A892,TinhGia!$B$10:$B$81,0)),""))</f>
        <v/>
      </c>
      <c r="S892" s="1012" t="str">
        <f ca="1">IF($A892="","",IF(OR(IFERROR(SEARCH($R892,XKNVLSX!$X$1,1),0)&gt;=1,XKNVLSX!$X$1=""),$S$2,""))</f>
        <v/>
      </c>
      <c r="T892" s="1018" t="str">
        <f ca="1">IF($C892="","", IF(OR($P892=$V$1,$P892=$V$7,COUNTIFS($C$3:$C892,$C892,$E$3:$E892,$E892)&lt;=1),$P892,""    ))</f>
        <v/>
      </c>
      <c r="U892" s="1019" t="str">
        <f ca="1">IF(AND($P892=$V$2,COUNTIFS($C$3:$C892,$C892,$E$3:$E892,$E892,$G$3:$G892,$G892)&lt;=1),$P892,"")</f>
        <v/>
      </c>
    </row>
    <row r="893" spans="1:21">
      <c r="A893" s="991" t="str">
        <f ca="1">IFERROR(IF(COUNTIF($A$3:A892,A892)&lt; INDEX(TinhGia!$BH$10:$BH$81,MATCH($A892,TinhGia!$B$10:$B$81,0)),$A892,INDEX(TinhGia!$B$10:$B$81,MATCH($A892,TinhGia!$B$10:$B$81,0)+1)),"")</f>
        <v/>
      </c>
      <c r="B893" s="525" t="str">
        <f ca="1">IF(OR(A893="",A893=0),"",IF(COUNTIF($A$2:A893,$A893)=1,ROW(MauKoXoa!$C$108),$B892+1))</f>
        <v/>
      </c>
      <c r="C893" s="992" t="str">
        <f t="shared" ca="1" si="139"/>
        <v/>
      </c>
      <c r="D893" s="993" t="str">
        <f t="shared" ca="1" si="140"/>
        <v/>
      </c>
      <c r="E893" s="993" t="str">
        <f t="shared" ca="1" si="141"/>
        <v/>
      </c>
      <c r="F893" s="992" t="str">
        <f t="shared" ca="1" si="149"/>
        <v/>
      </c>
      <c r="G893" s="994">
        <f t="shared" ca="1" si="142"/>
        <v>0</v>
      </c>
      <c r="H893" s="913">
        <f t="shared" ca="1" si="143"/>
        <v>0</v>
      </c>
      <c r="I893" s="913">
        <f t="shared" ca="1" si="144"/>
        <v>0</v>
      </c>
      <c r="J893" s="995">
        <f t="shared" ca="1" si="150"/>
        <v>0</v>
      </c>
      <c r="K893" s="913">
        <f t="shared" ca="1" si="145"/>
        <v>0</v>
      </c>
      <c r="L893" s="995">
        <f t="shared" ca="1" si="151"/>
        <v>0</v>
      </c>
      <c r="M893" s="913">
        <f t="shared" ca="1" si="146"/>
        <v>0</v>
      </c>
      <c r="N893" s="996">
        <f t="shared" ca="1" si="147"/>
        <v>0</v>
      </c>
      <c r="O893" s="997">
        <f t="shared" ca="1" si="148"/>
        <v>0</v>
      </c>
      <c r="P893" s="1015" t="str">
        <f ca="1">IF($C893="","",INDEX(NVLSX!$N$2:$N$6941,MATCH($C893,NVLSX!$E$2:$E$6941,0)))</f>
        <v/>
      </c>
      <c r="Q893" s="1016" t="str">
        <f ca="1">IF($R893="","",IF(XKNVLSX!$X$1="",IF($P893=$V$7,$P893, IF(COUNTIFS($C$2:$C892,$C893,$E$2:$E892,$E893)&gt;=1,"",$P893)),     IF(AND(IFERROR(SEARCH($R893,XKNVLSX!$X$1,1),0)&gt;=1,$P893=$V$7),$P893, IF(OR($R893&lt;&gt;IF(IFERROR(SEARCH($R893,XKNVLSX!$X$1,1),0)&gt;=1,$R893,XKNVLSX!$X$1),COUNTIFS($C$2:$C892,$C893,$E$2:$E892,$E893,$Q$2:$Q892,$P893)&gt;=1),"",$P893))))</f>
        <v/>
      </c>
      <c r="R893" s="1017" t="str">
        <f ca="1">IF($A893="","",IFERROR(INDEX(TinhGia!$BF$10:$BF$81,MATCH($A893,TinhGia!$B$10:$B$81,0)),""))</f>
        <v/>
      </c>
      <c r="S893" s="1012" t="str">
        <f ca="1">IF($A893="","",IF(OR(IFERROR(SEARCH($R893,XKNVLSX!$X$1,1),0)&gt;=1,XKNVLSX!$X$1=""),$S$2,""))</f>
        <v/>
      </c>
      <c r="T893" s="1018" t="str">
        <f ca="1">IF($C893="","", IF(OR($P893=$V$1,$P893=$V$7,COUNTIFS($C$3:$C893,$C893,$E$3:$E893,$E893)&lt;=1),$P893,""    ))</f>
        <v/>
      </c>
      <c r="U893" s="1019" t="str">
        <f ca="1">IF(AND($P893=$V$2,COUNTIFS($C$3:$C893,$C893,$E$3:$E893,$E893,$G$3:$G893,$G893)&lt;=1),$P893,"")</f>
        <v/>
      </c>
    </row>
    <row r="894" spans="1:21">
      <c r="A894" s="991" t="str">
        <f ca="1">IFERROR(IF(COUNTIF($A$3:A893,A893)&lt; INDEX(TinhGia!$BH$10:$BH$81,MATCH($A893,TinhGia!$B$10:$B$81,0)),$A893,INDEX(TinhGia!$B$10:$B$81,MATCH($A893,TinhGia!$B$10:$B$81,0)+1)),"")</f>
        <v/>
      </c>
      <c r="B894" s="525" t="str">
        <f ca="1">IF(OR(A894="",A894=0),"",IF(COUNTIF($A$2:A894,$A894)=1,ROW(MauKoXoa!$C$108),$B893+1))</f>
        <v/>
      </c>
      <c r="C894" s="992" t="str">
        <f t="shared" ca="1" si="139"/>
        <v/>
      </c>
      <c r="D894" s="993" t="str">
        <f t="shared" ca="1" si="140"/>
        <v/>
      </c>
      <c r="E894" s="993" t="str">
        <f t="shared" ca="1" si="141"/>
        <v/>
      </c>
      <c r="F894" s="992" t="str">
        <f t="shared" ca="1" si="149"/>
        <v/>
      </c>
      <c r="G894" s="994">
        <f t="shared" ca="1" si="142"/>
        <v>0</v>
      </c>
      <c r="H894" s="913">
        <f t="shared" ca="1" si="143"/>
        <v>0</v>
      </c>
      <c r="I894" s="913">
        <f t="shared" ca="1" si="144"/>
        <v>0</v>
      </c>
      <c r="J894" s="995">
        <f t="shared" ca="1" si="150"/>
        <v>0</v>
      </c>
      <c r="K894" s="913">
        <f t="shared" ca="1" si="145"/>
        <v>0</v>
      </c>
      <c r="L894" s="995">
        <f t="shared" ca="1" si="151"/>
        <v>0</v>
      </c>
      <c r="M894" s="913">
        <f t="shared" ca="1" si="146"/>
        <v>0</v>
      </c>
      <c r="N894" s="996">
        <f t="shared" ca="1" si="147"/>
        <v>0</v>
      </c>
      <c r="O894" s="997">
        <f t="shared" ca="1" si="148"/>
        <v>0</v>
      </c>
      <c r="P894" s="1015" t="str">
        <f ca="1">IF($C894="","",INDEX(NVLSX!$N$2:$N$6941,MATCH($C894,NVLSX!$E$2:$E$6941,0)))</f>
        <v/>
      </c>
      <c r="Q894" s="1016" t="str">
        <f ca="1">IF($R894="","",IF(XKNVLSX!$X$1="",IF($P894=$V$7,$P894, IF(COUNTIFS($C$2:$C893,$C894,$E$2:$E893,$E894)&gt;=1,"",$P894)),     IF(AND(IFERROR(SEARCH($R894,XKNVLSX!$X$1,1),0)&gt;=1,$P894=$V$7),$P894, IF(OR($R894&lt;&gt;IF(IFERROR(SEARCH($R894,XKNVLSX!$X$1,1),0)&gt;=1,$R894,XKNVLSX!$X$1),COUNTIFS($C$2:$C893,$C894,$E$2:$E893,$E894,$Q$2:$Q893,$P894)&gt;=1),"",$P894))))</f>
        <v/>
      </c>
      <c r="R894" s="1017" t="str">
        <f ca="1">IF($A894="","",IFERROR(INDEX(TinhGia!$BF$10:$BF$81,MATCH($A894,TinhGia!$B$10:$B$81,0)),""))</f>
        <v/>
      </c>
      <c r="S894" s="1012" t="str">
        <f ca="1">IF($A894="","",IF(OR(IFERROR(SEARCH($R894,XKNVLSX!$X$1,1),0)&gt;=1,XKNVLSX!$X$1=""),$S$2,""))</f>
        <v/>
      </c>
      <c r="T894" s="1018" t="str">
        <f ca="1">IF($C894="","", IF(OR($P894=$V$1,$P894=$V$7,COUNTIFS($C$3:$C894,$C894,$E$3:$E894,$E894)&lt;=1),$P894,""    ))</f>
        <v/>
      </c>
      <c r="U894" s="1019" t="str">
        <f ca="1">IF(AND($P894=$V$2,COUNTIFS($C$3:$C894,$C894,$E$3:$E894,$E894,$G$3:$G894,$G894)&lt;=1),$P894,"")</f>
        <v/>
      </c>
    </row>
    <row r="895" spans="1:21">
      <c r="A895" s="991" t="str">
        <f ca="1">IFERROR(IF(COUNTIF($A$3:A894,A894)&lt; INDEX(TinhGia!$BH$10:$BH$81,MATCH($A894,TinhGia!$B$10:$B$81,0)),$A894,INDEX(TinhGia!$B$10:$B$81,MATCH($A894,TinhGia!$B$10:$B$81,0)+1)),"")</f>
        <v/>
      </c>
      <c r="B895" s="525" t="str">
        <f ca="1">IF(OR(A895="",A895=0),"",IF(COUNTIF($A$2:A895,$A895)=1,ROW(MauKoXoa!$C$108),$B894+1))</f>
        <v/>
      </c>
      <c r="C895" s="992" t="str">
        <f t="shared" ca="1" si="139"/>
        <v/>
      </c>
      <c r="D895" s="993" t="str">
        <f t="shared" ca="1" si="140"/>
        <v/>
      </c>
      <c r="E895" s="993" t="str">
        <f t="shared" ca="1" si="141"/>
        <v/>
      </c>
      <c r="F895" s="992" t="str">
        <f t="shared" ca="1" si="149"/>
        <v/>
      </c>
      <c r="G895" s="994">
        <f t="shared" ca="1" si="142"/>
        <v>0</v>
      </c>
      <c r="H895" s="913">
        <f t="shared" ca="1" si="143"/>
        <v>0</v>
      </c>
      <c r="I895" s="913">
        <f t="shared" ca="1" si="144"/>
        <v>0</v>
      </c>
      <c r="J895" s="995">
        <f t="shared" ca="1" si="150"/>
        <v>0</v>
      </c>
      <c r="K895" s="913">
        <f t="shared" ca="1" si="145"/>
        <v>0</v>
      </c>
      <c r="L895" s="995">
        <f t="shared" ca="1" si="151"/>
        <v>0</v>
      </c>
      <c r="M895" s="913">
        <f t="shared" ca="1" si="146"/>
        <v>0</v>
      </c>
      <c r="N895" s="996">
        <f t="shared" ca="1" si="147"/>
        <v>0</v>
      </c>
      <c r="O895" s="997">
        <f t="shared" ca="1" si="148"/>
        <v>0</v>
      </c>
      <c r="P895" s="1015" t="str">
        <f ca="1">IF($C895="","",INDEX(NVLSX!$N$2:$N$6941,MATCH($C895,NVLSX!$E$2:$E$6941,0)))</f>
        <v/>
      </c>
      <c r="Q895" s="1016" t="str">
        <f ca="1">IF($R895="","",IF(XKNVLSX!$X$1="",IF($P895=$V$7,$P895, IF(COUNTIFS($C$2:$C894,$C895,$E$2:$E894,$E895)&gt;=1,"",$P895)),     IF(AND(IFERROR(SEARCH($R895,XKNVLSX!$X$1,1),0)&gt;=1,$P895=$V$7),$P895, IF(OR($R895&lt;&gt;IF(IFERROR(SEARCH($R895,XKNVLSX!$X$1,1),0)&gt;=1,$R895,XKNVLSX!$X$1),COUNTIFS($C$2:$C894,$C895,$E$2:$E894,$E895,$Q$2:$Q894,$P895)&gt;=1),"",$P895))))</f>
        <v/>
      </c>
      <c r="R895" s="1017" t="str">
        <f ca="1">IF($A895="","",IFERROR(INDEX(TinhGia!$BF$10:$BF$81,MATCH($A895,TinhGia!$B$10:$B$81,0)),""))</f>
        <v/>
      </c>
      <c r="S895" s="1012" t="str">
        <f ca="1">IF($A895="","",IF(OR(IFERROR(SEARCH($R895,XKNVLSX!$X$1,1),0)&gt;=1,XKNVLSX!$X$1=""),$S$2,""))</f>
        <v/>
      </c>
      <c r="T895" s="1018" t="str">
        <f ca="1">IF($C895="","", IF(OR($P895=$V$1,$P895=$V$7,COUNTIFS($C$3:$C895,$C895,$E$3:$E895,$E895)&lt;=1),$P895,""    ))</f>
        <v/>
      </c>
      <c r="U895" s="1019" t="str">
        <f ca="1">IF(AND($P895=$V$2,COUNTIFS($C$3:$C895,$C895,$E$3:$E895,$E895,$G$3:$G895,$G895)&lt;=1),$P895,"")</f>
        <v/>
      </c>
    </row>
    <row r="896" spans="1:21">
      <c r="A896" s="991" t="str">
        <f ca="1">IFERROR(IF(COUNTIF($A$3:A895,A895)&lt; INDEX(TinhGia!$BH$10:$BH$81,MATCH($A895,TinhGia!$B$10:$B$81,0)),$A895,INDEX(TinhGia!$B$10:$B$81,MATCH($A895,TinhGia!$B$10:$B$81,0)+1)),"")</f>
        <v/>
      </c>
      <c r="B896" s="525" t="str">
        <f ca="1">IF(OR(A896="",A896=0),"",IF(COUNTIF($A$2:A896,$A896)=1,ROW(MauKoXoa!$C$108),$B895+1))</f>
        <v/>
      </c>
      <c r="C896" s="992" t="str">
        <f t="shared" ca="1" si="139"/>
        <v/>
      </c>
      <c r="D896" s="993" t="str">
        <f t="shared" ca="1" si="140"/>
        <v/>
      </c>
      <c r="E896" s="993" t="str">
        <f t="shared" ca="1" si="141"/>
        <v/>
      </c>
      <c r="F896" s="992" t="str">
        <f t="shared" ca="1" si="149"/>
        <v/>
      </c>
      <c r="G896" s="994">
        <f t="shared" ca="1" si="142"/>
        <v>0</v>
      </c>
      <c r="H896" s="913">
        <f t="shared" ca="1" si="143"/>
        <v>0</v>
      </c>
      <c r="I896" s="913">
        <f t="shared" ca="1" si="144"/>
        <v>0</v>
      </c>
      <c r="J896" s="995">
        <f t="shared" ca="1" si="150"/>
        <v>0</v>
      </c>
      <c r="K896" s="913">
        <f t="shared" ca="1" si="145"/>
        <v>0</v>
      </c>
      <c r="L896" s="995">
        <f t="shared" ca="1" si="151"/>
        <v>0</v>
      </c>
      <c r="M896" s="913">
        <f t="shared" ca="1" si="146"/>
        <v>0</v>
      </c>
      <c r="N896" s="996">
        <f t="shared" ca="1" si="147"/>
        <v>0</v>
      </c>
      <c r="O896" s="997">
        <f t="shared" ca="1" si="148"/>
        <v>0</v>
      </c>
      <c r="P896" s="1015" t="str">
        <f ca="1">IF($C896="","",INDEX(NVLSX!$N$2:$N$6941,MATCH($C896,NVLSX!$E$2:$E$6941,0)))</f>
        <v/>
      </c>
      <c r="Q896" s="1016" t="str">
        <f ca="1">IF($R896="","",IF(XKNVLSX!$X$1="",IF($P896=$V$7,$P896, IF(COUNTIFS($C$2:$C895,$C896,$E$2:$E895,$E896)&gt;=1,"",$P896)),     IF(AND(IFERROR(SEARCH($R896,XKNVLSX!$X$1,1),0)&gt;=1,$P896=$V$7),$P896, IF(OR($R896&lt;&gt;IF(IFERROR(SEARCH($R896,XKNVLSX!$X$1,1),0)&gt;=1,$R896,XKNVLSX!$X$1),COUNTIFS($C$2:$C895,$C896,$E$2:$E895,$E896,$Q$2:$Q895,$P896)&gt;=1),"",$P896))))</f>
        <v/>
      </c>
      <c r="R896" s="1017" t="str">
        <f ca="1">IF($A896="","",IFERROR(INDEX(TinhGia!$BF$10:$BF$81,MATCH($A896,TinhGia!$B$10:$B$81,0)),""))</f>
        <v/>
      </c>
      <c r="S896" s="1012" t="str">
        <f ca="1">IF($A896="","",IF(OR(IFERROR(SEARCH($R896,XKNVLSX!$X$1,1),0)&gt;=1,XKNVLSX!$X$1=""),$S$2,""))</f>
        <v/>
      </c>
      <c r="T896" s="1018" t="str">
        <f ca="1">IF($C896="","", IF(OR($P896=$V$1,$P896=$V$7,COUNTIFS($C$3:$C896,$C896,$E$3:$E896,$E896)&lt;=1),$P896,""    ))</f>
        <v/>
      </c>
      <c r="U896" s="1019" t="str">
        <f ca="1">IF(AND($P896=$V$2,COUNTIFS($C$3:$C896,$C896,$E$3:$E896,$E896,$G$3:$G896,$G896)&lt;=1),$P896,"")</f>
        <v/>
      </c>
    </row>
    <row r="897" spans="1:21">
      <c r="A897" s="991" t="str">
        <f ca="1">IFERROR(IF(COUNTIF($A$3:A896,A896)&lt; INDEX(TinhGia!$BH$10:$BH$81,MATCH($A896,TinhGia!$B$10:$B$81,0)),$A896,INDEX(TinhGia!$B$10:$B$81,MATCH($A896,TinhGia!$B$10:$B$81,0)+1)),"")</f>
        <v/>
      </c>
      <c r="B897" s="525" t="str">
        <f ca="1">IF(OR(A897="",A897=0),"",IF(COUNTIF($A$2:A897,$A897)=1,ROW(MauKoXoa!$C$108),$B896+1))</f>
        <v/>
      </c>
      <c r="C897" s="992" t="str">
        <f t="shared" ca="1" si="139"/>
        <v/>
      </c>
      <c r="D897" s="993" t="str">
        <f t="shared" ca="1" si="140"/>
        <v/>
      </c>
      <c r="E897" s="993" t="str">
        <f t="shared" ca="1" si="141"/>
        <v/>
      </c>
      <c r="F897" s="992" t="str">
        <f t="shared" ca="1" si="149"/>
        <v/>
      </c>
      <c r="G897" s="994">
        <f t="shared" ca="1" si="142"/>
        <v>0</v>
      </c>
      <c r="H897" s="913">
        <f t="shared" ca="1" si="143"/>
        <v>0</v>
      </c>
      <c r="I897" s="913">
        <f t="shared" ca="1" si="144"/>
        <v>0</v>
      </c>
      <c r="J897" s="995">
        <f t="shared" ca="1" si="150"/>
        <v>0</v>
      </c>
      <c r="K897" s="913">
        <f t="shared" ca="1" si="145"/>
        <v>0</v>
      </c>
      <c r="L897" s="995">
        <f t="shared" ca="1" si="151"/>
        <v>0</v>
      </c>
      <c r="M897" s="913">
        <f t="shared" ca="1" si="146"/>
        <v>0</v>
      </c>
      <c r="N897" s="996">
        <f t="shared" ca="1" si="147"/>
        <v>0</v>
      </c>
      <c r="O897" s="997">
        <f t="shared" ca="1" si="148"/>
        <v>0</v>
      </c>
      <c r="P897" s="1015" t="str">
        <f ca="1">IF($C897="","",INDEX(NVLSX!$N$2:$N$6941,MATCH($C897,NVLSX!$E$2:$E$6941,0)))</f>
        <v/>
      </c>
      <c r="Q897" s="1016" t="str">
        <f ca="1">IF($R897="","",IF(XKNVLSX!$X$1="",IF($P897=$V$7,$P897, IF(COUNTIFS($C$2:$C896,$C897,$E$2:$E896,$E897)&gt;=1,"",$P897)),     IF(AND(IFERROR(SEARCH($R897,XKNVLSX!$X$1,1),0)&gt;=1,$P897=$V$7),$P897, IF(OR($R897&lt;&gt;IF(IFERROR(SEARCH($R897,XKNVLSX!$X$1,1),0)&gt;=1,$R897,XKNVLSX!$X$1),COUNTIFS($C$2:$C896,$C897,$E$2:$E896,$E897,$Q$2:$Q896,$P897)&gt;=1),"",$P897))))</f>
        <v/>
      </c>
      <c r="R897" s="1017" t="str">
        <f ca="1">IF($A897="","",IFERROR(INDEX(TinhGia!$BF$10:$BF$81,MATCH($A897,TinhGia!$B$10:$B$81,0)),""))</f>
        <v/>
      </c>
      <c r="S897" s="1012" t="str">
        <f ca="1">IF($A897="","",IF(OR(IFERROR(SEARCH($R897,XKNVLSX!$X$1,1),0)&gt;=1,XKNVLSX!$X$1=""),$S$2,""))</f>
        <v/>
      </c>
      <c r="T897" s="1018" t="str">
        <f ca="1">IF($C897="","", IF(OR($P897=$V$1,$P897=$V$7,COUNTIFS($C$3:$C897,$C897,$E$3:$E897,$E897)&lt;=1),$P897,""    ))</f>
        <v/>
      </c>
      <c r="U897" s="1019" t="str">
        <f ca="1">IF(AND($P897=$V$2,COUNTIFS($C$3:$C897,$C897,$E$3:$E897,$E897,$G$3:$G897,$G897)&lt;=1),$P897,"")</f>
        <v/>
      </c>
    </row>
    <row r="898" spans="1:21">
      <c r="A898" s="991" t="str">
        <f ca="1">IFERROR(IF(COUNTIF($A$3:A897,A897)&lt; INDEX(TinhGia!$BH$10:$BH$81,MATCH($A897,TinhGia!$B$10:$B$81,0)),$A897,INDEX(TinhGia!$B$10:$B$81,MATCH($A897,TinhGia!$B$10:$B$81,0)+1)),"")</f>
        <v/>
      </c>
      <c r="B898" s="525" t="str">
        <f ca="1">IF(OR(A898="",A898=0),"",IF(COUNTIF($A$2:A898,$A898)=1,ROW(MauKoXoa!$C$108),$B897+1))</f>
        <v/>
      </c>
      <c r="C898" s="992" t="str">
        <f t="shared" ref="C898:C961" ca="1" si="152">IFERROR(INDIRECT("'" &amp; $A898 &amp; "'!" &amp; "C" &amp; $B898),"")</f>
        <v/>
      </c>
      <c r="D898" s="993" t="str">
        <f t="shared" ref="D898:D961" ca="1" si="153">IFERROR(INDIRECT("'" &amp; $A898 &amp; "'!" &amp; "D" &amp; $B898),"")</f>
        <v/>
      </c>
      <c r="E898" s="993" t="str">
        <f t="shared" ref="E898:E961" ca="1" si="154">IFERROR(INDIRECT("'" &amp; $A898 &amp; "'!" &amp; "P" &amp; $B898),"")</f>
        <v/>
      </c>
      <c r="F898" s="992" t="str">
        <f t="shared" ca="1" si="149"/>
        <v/>
      </c>
      <c r="G898" s="994">
        <f t="shared" ref="G898:G961" ca="1" si="155">IFERROR(INDIRECT("'" &amp; $A898 &amp; "'!" &amp; "F" &amp; $B898),0)</f>
        <v>0</v>
      </c>
      <c r="H898" s="913">
        <f t="shared" ref="H898:H961" ca="1" si="156">IFERROR(INDIRECT("'" &amp; $A898 &amp; "'!" &amp; "G" &amp; $B898),0)</f>
        <v>0</v>
      </c>
      <c r="I898" s="913">
        <f t="shared" ref="I898:I961" ca="1" si="157">IFERROR(INDIRECT("'" &amp; $A898 &amp; "'!" &amp; "H" &amp; $B898),0)</f>
        <v>0</v>
      </c>
      <c r="J898" s="995">
        <f t="shared" ca="1" si="150"/>
        <v>0</v>
      </c>
      <c r="K898" s="913">
        <f t="shared" ref="K898:K961" ca="1" si="158">IFERROR(INDIRECT("'" &amp; $A898 &amp; "'!" &amp; "L" &amp; $B898),0)</f>
        <v>0</v>
      </c>
      <c r="L898" s="995">
        <f t="shared" ca="1" si="151"/>
        <v>0</v>
      </c>
      <c r="M898" s="913">
        <f t="shared" ref="M898:M961" ca="1" si="159">IFERROR(INDIRECT("'" &amp; $A898 &amp; "'!" &amp; "M" &amp; $B898),0)</f>
        <v>0</v>
      </c>
      <c r="N898" s="996">
        <f t="shared" ref="N898:N961" ca="1" si="160">IFERROR(INDIRECT("'" &amp; $A898 &amp; "'!" &amp; "N" &amp; $B898),0)</f>
        <v>0</v>
      </c>
      <c r="O898" s="997">
        <f t="shared" ref="O898:O961" ca="1" si="161">IFERROR(INDIRECT("'" &amp; $A898 &amp; "'!" &amp; "O" &amp; $B898),0)</f>
        <v>0</v>
      </c>
      <c r="P898" s="1015" t="str">
        <f ca="1">IF($C898="","",INDEX(NVLSX!$N$2:$N$6941,MATCH($C898,NVLSX!$E$2:$E$6941,0)))</f>
        <v/>
      </c>
      <c r="Q898" s="1016" t="str">
        <f ca="1">IF($R898="","",IF(XKNVLSX!$X$1="",IF($P898=$V$7,$P898, IF(COUNTIFS($C$2:$C897,$C898,$E$2:$E897,$E898)&gt;=1,"",$P898)),     IF(AND(IFERROR(SEARCH($R898,XKNVLSX!$X$1,1),0)&gt;=1,$P898=$V$7),$P898, IF(OR($R898&lt;&gt;IF(IFERROR(SEARCH($R898,XKNVLSX!$X$1,1),0)&gt;=1,$R898,XKNVLSX!$X$1),COUNTIFS($C$2:$C897,$C898,$E$2:$E897,$E898,$Q$2:$Q897,$P898)&gt;=1),"",$P898))))</f>
        <v/>
      </c>
      <c r="R898" s="1017" t="str">
        <f ca="1">IF($A898="","",IFERROR(INDEX(TinhGia!$BF$10:$BF$81,MATCH($A898,TinhGia!$B$10:$B$81,0)),""))</f>
        <v/>
      </c>
      <c r="S898" s="1012" t="str">
        <f ca="1">IF($A898="","",IF(OR(IFERROR(SEARCH($R898,XKNVLSX!$X$1,1),0)&gt;=1,XKNVLSX!$X$1=""),$S$2,""))</f>
        <v/>
      </c>
      <c r="T898" s="1018" t="str">
        <f ca="1">IF($C898="","", IF(OR($P898=$V$1,$P898=$V$7,COUNTIFS($C$3:$C898,$C898,$E$3:$E898,$E898)&lt;=1),$P898,""    ))</f>
        <v/>
      </c>
      <c r="U898" s="1019" t="str">
        <f ca="1">IF(AND($P898=$V$2,COUNTIFS($C$3:$C898,$C898,$E$3:$E898,$E898,$G$3:$G898,$G898)&lt;=1),$P898,"")</f>
        <v/>
      </c>
    </row>
    <row r="899" spans="1:21">
      <c r="A899" s="991" t="str">
        <f ca="1">IFERROR(IF(COUNTIF($A$3:A898,A898)&lt; INDEX(TinhGia!$BH$10:$BH$81,MATCH($A898,TinhGia!$B$10:$B$81,0)),$A898,INDEX(TinhGia!$B$10:$B$81,MATCH($A898,TinhGia!$B$10:$B$81,0)+1)),"")</f>
        <v/>
      </c>
      <c r="B899" s="525" t="str">
        <f ca="1">IF(OR(A899="",A899=0),"",IF(COUNTIF($A$2:A899,$A899)=1,ROW(MauKoXoa!$C$108),$B898+1))</f>
        <v/>
      </c>
      <c r="C899" s="992" t="str">
        <f t="shared" ca="1" si="152"/>
        <v/>
      </c>
      <c r="D899" s="993" t="str">
        <f t="shared" ca="1" si="153"/>
        <v/>
      </c>
      <c r="E899" s="993" t="str">
        <f t="shared" ca="1" si="154"/>
        <v/>
      </c>
      <c r="F899" s="992" t="str">
        <f t="shared" ref="F899:F962" ca="1" si="162">IF($P899=$V$7, IFERROR(INDIRECT("'" &amp; $A899 &amp; "'!" &amp; "I" &amp; $B899),""),IFERROR(INDIRECT("'" &amp; $A899 &amp; "'!" &amp; "E" &amp; $B899),""))</f>
        <v/>
      </c>
      <c r="G899" s="994">
        <f t="shared" ca="1" si="155"/>
        <v>0</v>
      </c>
      <c r="H899" s="913">
        <f t="shared" ca="1" si="156"/>
        <v>0</v>
      </c>
      <c r="I899" s="913">
        <f t="shared" ca="1" si="157"/>
        <v>0</v>
      </c>
      <c r="J899" s="995">
        <f t="shared" ca="1" si="150"/>
        <v>0</v>
      </c>
      <c r="K899" s="913">
        <f t="shared" ca="1" si="158"/>
        <v>0</v>
      </c>
      <c r="L899" s="995">
        <f t="shared" ca="1" si="151"/>
        <v>0</v>
      </c>
      <c r="M899" s="913">
        <f t="shared" ca="1" si="159"/>
        <v>0</v>
      </c>
      <c r="N899" s="996">
        <f t="shared" ca="1" si="160"/>
        <v>0</v>
      </c>
      <c r="O899" s="997">
        <f t="shared" ca="1" si="161"/>
        <v>0</v>
      </c>
      <c r="P899" s="1015" t="str">
        <f ca="1">IF($C899="","",INDEX(NVLSX!$N$2:$N$6941,MATCH($C899,NVLSX!$E$2:$E$6941,0)))</f>
        <v/>
      </c>
      <c r="Q899" s="1016" t="str">
        <f ca="1">IF($R899="","",IF(XKNVLSX!$X$1="",IF($P899=$V$7,$P899, IF(COUNTIFS($C$2:$C898,$C899,$E$2:$E898,$E899)&gt;=1,"",$P899)),     IF(AND(IFERROR(SEARCH($R899,XKNVLSX!$X$1,1),0)&gt;=1,$P899=$V$7),$P899, IF(OR($R899&lt;&gt;IF(IFERROR(SEARCH($R899,XKNVLSX!$X$1,1),0)&gt;=1,$R899,XKNVLSX!$X$1),COUNTIFS($C$2:$C898,$C899,$E$2:$E898,$E899,$Q$2:$Q898,$P899)&gt;=1),"",$P899))))</f>
        <v/>
      </c>
      <c r="R899" s="1017" t="str">
        <f ca="1">IF($A899="","",IFERROR(INDEX(TinhGia!$BF$10:$BF$81,MATCH($A899,TinhGia!$B$10:$B$81,0)),""))</f>
        <v/>
      </c>
      <c r="S899" s="1012" t="str">
        <f ca="1">IF($A899="","",IF(OR(IFERROR(SEARCH($R899,XKNVLSX!$X$1,1),0)&gt;=1,XKNVLSX!$X$1=""),$S$2,""))</f>
        <v/>
      </c>
      <c r="T899" s="1018" t="str">
        <f ca="1">IF($C899="","", IF(OR($P899=$V$1,$P899=$V$7,COUNTIFS($C$3:$C899,$C899,$E$3:$E899,$E899)&lt;=1),$P899,""    ))</f>
        <v/>
      </c>
      <c r="U899" s="1019" t="str">
        <f ca="1">IF(AND($P899=$V$2,COUNTIFS($C$3:$C899,$C899,$E$3:$E899,$E899,$G$3:$G899,$G899)&lt;=1),$P899,"")</f>
        <v/>
      </c>
    </row>
    <row r="900" spans="1:21">
      <c r="A900" s="991" t="str">
        <f ca="1">IFERROR(IF(COUNTIF($A$3:A899,A899)&lt; INDEX(TinhGia!$BH$10:$BH$81,MATCH($A899,TinhGia!$B$10:$B$81,0)),$A899,INDEX(TinhGia!$B$10:$B$81,MATCH($A899,TinhGia!$B$10:$B$81,0)+1)),"")</f>
        <v/>
      </c>
      <c r="B900" s="525" t="str">
        <f ca="1">IF(OR(A900="",A900=0),"",IF(COUNTIF($A$2:A900,$A900)=1,ROW(MauKoXoa!$C$108),$B899+1))</f>
        <v/>
      </c>
      <c r="C900" s="992" t="str">
        <f t="shared" ca="1" si="152"/>
        <v/>
      </c>
      <c r="D900" s="993" t="str">
        <f t="shared" ca="1" si="153"/>
        <v/>
      </c>
      <c r="E900" s="993" t="str">
        <f t="shared" ca="1" si="154"/>
        <v/>
      </c>
      <c r="F900" s="992" t="str">
        <f t="shared" ca="1" si="162"/>
        <v/>
      </c>
      <c r="G900" s="994">
        <f t="shared" ca="1" si="155"/>
        <v>0</v>
      </c>
      <c r="H900" s="913">
        <f t="shared" ca="1" si="156"/>
        <v>0</v>
      </c>
      <c r="I900" s="913">
        <f t="shared" ca="1" si="157"/>
        <v>0</v>
      </c>
      <c r="J900" s="995">
        <f t="shared" ref="J900:J963" ca="1" si="163">IFERROR(INDIRECT("'" &amp; $A900 &amp; "'!" &amp; "J" &amp; $B900),0)</f>
        <v>0</v>
      </c>
      <c r="K900" s="913">
        <f t="shared" ca="1" si="158"/>
        <v>0</v>
      </c>
      <c r="L900" s="995">
        <f t="shared" ref="L900:L963" ca="1" si="164">+ IFERROR(INDIRECT("'" &amp; $A900 &amp; "'!" &amp; "K" &amp; $B900),0)</f>
        <v>0</v>
      </c>
      <c r="M900" s="913">
        <f t="shared" ca="1" si="159"/>
        <v>0</v>
      </c>
      <c r="N900" s="996">
        <f t="shared" ca="1" si="160"/>
        <v>0</v>
      </c>
      <c r="O900" s="997">
        <f t="shared" ca="1" si="161"/>
        <v>0</v>
      </c>
      <c r="P900" s="1015" t="str">
        <f ca="1">IF($C900="","",INDEX(NVLSX!$N$2:$N$6941,MATCH($C900,NVLSX!$E$2:$E$6941,0)))</f>
        <v/>
      </c>
      <c r="Q900" s="1016" t="str">
        <f ca="1">IF($R900="","",IF(XKNVLSX!$X$1="",IF($P900=$V$7,$P900, IF(COUNTIFS($C$2:$C899,$C900,$E$2:$E899,$E900)&gt;=1,"",$P900)),     IF(AND(IFERROR(SEARCH($R900,XKNVLSX!$X$1,1),0)&gt;=1,$P900=$V$7),$P900, IF(OR($R900&lt;&gt;IF(IFERROR(SEARCH($R900,XKNVLSX!$X$1,1),0)&gt;=1,$R900,XKNVLSX!$X$1),COUNTIFS($C$2:$C899,$C900,$E$2:$E899,$E900,$Q$2:$Q899,$P900)&gt;=1),"",$P900))))</f>
        <v/>
      </c>
      <c r="R900" s="1017" t="str">
        <f ca="1">IF($A900="","",IFERROR(INDEX(TinhGia!$BF$10:$BF$81,MATCH($A900,TinhGia!$B$10:$B$81,0)),""))</f>
        <v/>
      </c>
      <c r="S900" s="1012" t="str">
        <f ca="1">IF($A900="","",IF(OR(IFERROR(SEARCH($R900,XKNVLSX!$X$1,1),0)&gt;=1,XKNVLSX!$X$1=""),$S$2,""))</f>
        <v/>
      </c>
      <c r="T900" s="1018" t="str">
        <f ca="1">IF($C900="","", IF(OR($P900=$V$1,$P900=$V$7,COUNTIFS($C$3:$C900,$C900,$E$3:$E900,$E900)&lt;=1),$P900,""    ))</f>
        <v/>
      </c>
      <c r="U900" s="1019" t="str">
        <f ca="1">IF(AND($P900=$V$2,COUNTIFS($C$3:$C900,$C900,$E$3:$E900,$E900,$G$3:$G900,$G900)&lt;=1),$P900,"")</f>
        <v/>
      </c>
    </row>
    <row r="901" spans="1:21">
      <c r="A901" s="991" t="str">
        <f ca="1">IFERROR(IF(COUNTIF($A$3:A900,A900)&lt; INDEX(TinhGia!$BH$10:$BH$81,MATCH($A900,TinhGia!$B$10:$B$81,0)),$A900,INDEX(TinhGia!$B$10:$B$81,MATCH($A900,TinhGia!$B$10:$B$81,0)+1)),"")</f>
        <v/>
      </c>
      <c r="B901" s="525" t="str">
        <f ca="1">IF(OR(A901="",A901=0),"",IF(COUNTIF($A$2:A901,$A901)=1,ROW(MauKoXoa!$C$108),$B900+1))</f>
        <v/>
      </c>
      <c r="C901" s="992" t="str">
        <f t="shared" ca="1" si="152"/>
        <v/>
      </c>
      <c r="D901" s="993" t="str">
        <f t="shared" ca="1" si="153"/>
        <v/>
      </c>
      <c r="E901" s="993" t="str">
        <f t="shared" ca="1" si="154"/>
        <v/>
      </c>
      <c r="F901" s="992" t="str">
        <f t="shared" ca="1" si="162"/>
        <v/>
      </c>
      <c r="G901" s="994">
        <f t="shared" ca="1" si="155"/>
        <v>0</v>
      </c>
      <c r="H901" s="913">
        <f t="shared" ca="1" si="156"/>
        <v>0</v>
      </c>
      <c r="I901" s="913">
        <f t="shared" ca="1" si="157"/>
        <v>0</v>
      </c>
      <c r="J901" s="995">
        <f t="shared" ca="1" si="163"/>
        <v>0</v>
      </c>
      <c r="K901" s="913">
        <f t="shared" ca="1" si="158"/>
        <v>0</v>
      </c>
      <c r="L901" s="995">
        <f t="shared" ca="1" si="164"/>
        <v>0</v>
      </c>
      <c r="M901" s="913">
        <f t="shared" ca="1" si="159"/>
        <v>0</v>
      </c>
      <c r="N901" s="996">
        <f t="shared" ca="1" si="160"/>
        <v>0</v>
      </c>
      <c r="O901" s="997">
        <f t="shared" ca="1" si="161"/>
        <v>0</v>
      </c>
      <c r="P901" s="1015" t="str">
        <f ca="1">IF($C901="","",INDEX(NVLSX!$N$2:$N$6941,MATCH($C901,NVLSX!$E$2:$E$6941,0)))</f>
        <v/>
      </c>
      <c r="Q901" s="1016" t="str">
        <f ca="1">IF($R901="","",IF(XKNVLSX!$X$1="",IF($P901=$V$7,$P901, IF(COUNTIFS($C$2:$C900,$C901,$E$2:$E900,$E901)&gt;=1,"",$P901)),     IF(AND(IFERROR(SEARCH($R901,XKNVLSX!$X$1,1),0)&gt;=1,$P901=$V$7),$P901, IF(OR($R901&lt;&gt;IF(IFERROR(SEARCH($R901,XKNVLSX!$X$1,1),0)&gt;=1,$R901,XKNVLSX!$X$1),COUNTIFS($C$2:$C900,$C901,$E$2:$E900,$E901,$Q$2:$Q900,$P901)&gt;=1),"",$P901))))</f>
        <v/>
      </c>
      <c r="R901" s="1017" t="str">
        <f ca="1">IF($A901="","",IFERROR(INDEX(TinhGia!$BF$10:$BF$81,MATCH($A901,TinhGia!$B$10:$B$81,0)),""))</f>
        <v/>
      </c>
      <c r="S901" s="1012" t="str">
        <f ca="1">IF($A901="","",IF(OR(IFERROR(SEARCH($R901,XKNVLSX!$X$1,1),0)&gt;=1,XKNVLSX!$X$1=""),$S$2,""))</f>
        <v/>
      </c>
      <c r="T901" s="1018" t="str">
        <f ca="1">IF($C901="","", IF(OR($P901=$V$1,$P901=$V$7,COUNTIFS($C$3:$C901,$C901,$E$3:$E901,$E901)&lt;=1),$P901,""    ))</f>
        <v/>
      </c>
      <c r="U901" s="1019" t="str">
        <f ca="1">IF(AND($P901=$V$2,COUNTIFS($C$3:$C901,$C901,$E$3:$E901,$E901,$G$3:$G901,$G901)&lt;=1),$P901,"")</f>
        <v/>
      </c>
    </row>
    <row r="902" spans="1:21">
      <c r="A902" s="991" t="str">
        <f ca="1">IFERROR(IF(COUNTIF($A$3:A901,A901)&lt; INDEX(TinhGia!$BH$10:$BH$81,MATCH($A901,TinhGia!$B$10:$B$81,0)),$A901,INDEX(TinhGia!$B$10:$B$81,MATCH($A901,TinhGia!$B$10:$B$81,0)+1)),"")</f>
        <v/>
      </c>
      <c r="B902" s="525" t="str">
        <f ca="1">IF(OR(A902="",A902=0),"",IF(COUNTIF($A$2:A902,$A902)=1,ROW(MauKoXoa!$C$108),$B901+1))</f>
        <v/>
      </c>
      <c r="C902" s="992" t="str">
        <f t="shared" ca="1" si="152"/>
        <v/>
      </c>
      <c r="D902" s="993" t="str">
        <f t="shared" ca="1" si="153"/>
        <v/>
      </c>
      <c r="E902" s="993" t="str">
        <f t="shared" ca="1" si="154"/>
        <v/>
      </c>
      <c r="F902" s="992" t="str">
        <f t="shared" ca="1" si="162"/>
        <v/>
      </c>
      <c r="G902" s="994">
        <f t="shared" ca="1" si="155"/>
        <v>0</v>
      </c>
      <c r="H902" s="913">
        <f t="shared" ca="1" si="156"/>
        <v>0</v>
      </c>
      <c r="I902" s="913">
        <f t="shared" ca="1" si="157"/>
        <v>0</v>
      </c>
      <c r="J902" s="995">
        <f t="shared" ca="1" si="163"/>
        <v>0</v>
      </c>
      <c r="K902" s="913">
        <f t="shared" ca="1" si="158"/>
        <v>0</v>
      </c>
      <c r="L902" s="995">
        <f t="shared" ca="1" si="164"/>
        <v>0</v>
      </c>
      <c r="M902" s="913">
        <f t="shared" ca="1" si="159"/>
        <v>0</v>
      </c>
      <c r="N902" s="996">
        <f t="shared" ca="1" si="160"/>
        <v>0</v>
      </c>
      <c r="O902" s="997">
        <f t="shared" ca="1" si="161"/>
        <v>0</v>
      </c>
      <c r="P902" s="1015" t="str">
        <f ca="1">IF($C902="","",INDEX(NVLSX!$N$2:$N$6941,MATCH($C902,NVLSX!$E$2:$E$6941,0)))</f>
        <v/>
      </c>
      <c r="Q902" s="1016" t="str">
        <f ca="1">IF($R902="","",IF(XKNVLSX!$X$1="",IF($P902=$V$7,$P902, IF(COUNTIFS($C$2:$C901,$C902,$E$2:$E901,$E902)&gt;=1,"",$P902)),     IF(AND(IFERROR(SEARCH($R902,XKNVLSX!$X$1,1),0)&gt;=1,$P902=$V$7),$P902, IF(OR($R902&lt;&gt;IF(IFERROR(SEARCH($R902,XKNVLSX!$X$1,1),0)&gt;=1,$R902,XKNVLSX!$X$1),COUNTIFS($C$2:$C901,$C902,$E$2:$E901,$E902,$Q$2:$Q901,$P902)&gt;=1),"",$P902))))</f>
        <v/>
      </c>
      <c r="R902" s="1017" t="str">
        <f ca="1">IF($A902="","",IFERROR(INDEX(TinhGia!$BF$10:$BF$81,MATCH($A902,TinhGia!$B$10:$B$81,0)),""))</f>
        <v/>
      </c>
      <c r="S902" s="1012" t="str">
        <f ca="1">IF($A902="","",IF(OR(IFERROR(SEARCH($R902,XKNVLSX!$X$1,1),0)&gt;=1,XKNVLSX!$X$1=""),$S$2,""))</f>
        <v/>
      </c>
      <c r="T902" s="1018" t="str">
        <f ca="1">IF($C902="","", IF(OR($P902=$V$1,$P902=$V$7,COUNTIFS($C$3:$C902,$C902,$E$3:$E902,$E902)&lt;=1),$P902,""    ))</f>
        <v/>
      </c>
      <c r="U902" s="1019" t="str">
        <f ca="1">IF(AND($P902=$V$2,COUNTIFS($C$3:$C902,$C902,$E$3:$E902,$E902,$G$3:$G902,$G902)&lt;=1),$P902,"")</f>
        <v/>
      </c>
    </row>
    <row r="903" spans="1:21">
      <c r="A903" s="991" t="str">
        <f ca="1">IFERROR(IF(COUNTIF($A$3:A902,A902)&lt; INDEX(TinhGia!$BH$10:$BH$81,MATCH($A902,TinhGia!$B$10:$B$81,0)),$A902,INDEX(TinhGia!$B$10:$B$81,MATCH($A902,TinhGia!$B$10:$B$81,0)+1)),"")</f>
        <v/>
      </c>
      <c r="B903" s="525" t="str">
        <f ca="1">IF(OR(A903="",A903=0),"",IF(COUNTIF($A$2:A903,$A903)=1,ROW(MauKoXoa!$C$108),$B902+1))</f>
        <v/>
      </c>
      <c r="C903" s="992" t="str">
        <f t="shared" ca="1" si="152"/>
        <v/>
      </c>
      <c r="D903" s="993" t="str">
        <f t="shared" ca="1" si="153"/>
        <v/>
      </c>
      <c r="E903" s="993" t="str">
        <f t="shared" ca="1" si="154"/>
        <v/>
      </c>
      <c r="F903" s="992" t="str">
        <f t="shared" ca="1" si="162"/>
        <v/>
      </c>
      <c r="G903" s="994">
        <f t="shared" ca="1" si="155"/>
        <v>0</v>
      </c>
      <c r="H903" s="913">
        <f t="shared" ca="1" si="156"/>
        <v>0</v>
      </c>
      <c r="I903" s="913">
        <f t="shared" ca="1" si="157"/>
        <v>0</v>
      </c>
      <c r="J903" s="995">
        <f t="shared" ca="1" si="163"/>
        <v>0</v>
      </c>
      <c r="K903" s="913">
        <f t="shared" ca="1" si="158"/>
        <v>0</v>
      </c>
      <c r="L903" s="995">
        <f t="shared" ca="1" si="164"/>
        <v>0</v>
      </c>
      <c r="M903" s="913">
        <f t="shared" ca="1" si="159"/>
        <v>0</v>
      </c>
      <c r="N903" s="996">
        <f t="shared" ca="1" si="160"/>
        <v>0</v>
      </c>
      <c r="O903" s="997">
        <f t="shared" ca="1" si="161"/>
        <v>0</v>
      </c>
      <c r="P903" s="1015" t="str">
        <f ca="1">IF($C903="","",INDEX(NVLSX!$N$2:$N$6941,MATCH($C903,NVLSX!$E$2:$E$6941,0)))</f>
        <v/>
      </c>
      <c r="Q903" s="1016" t="str">
        <f ca="1">IF($R903="","",IF(XKNVLSX!$X$1="",IF($P903=$V$7,$P903, IF(COUNTIFS($C$2:$C902,$C903,$E$2:$E902,$E903)&gt;=1,"",$P903)),     IF(AND(IFERROR(SEARCH($R903,XKNVLSX!$X$1,1),0)&gt;=1,$P903=$V$7),$P903, IF(OR($R903&lt;&gt;IF(IFERROR(SEARCH($R903,XKNVLSX!$X$1,1),0)&gt;=1,$R903,XKNVLSX!$X$1),COUNTIFS($C$2:$C902,$C903,$E$2:$E902,$E903,$Q$2:$Q902,$P903)&gt;=1),"",$P903))))</f>
        <v/>
      </c>
      <c r="R903" s="1017" t="str">
        <f ca="1">IF($A903="","",IFERROR(INDEX(TinhGia!$BF$10:$BF$81,MATCH($A903,TinhGia!$B$10:$B$81,0)),""))</f>
        <v/>
      </c>
      <c r="S903" s="1012" t="str">
        <f ca="1">IF($A903="","",IF(OR(IFERROR(SEARCH($R903,XKNVLSX!$X$1,1),0)&gt;=1,XKNVLSX!$X$1=""),$S$2,""))</f>
        <v/>
      </c>
      <c r="T903" s="1018" t="str">
        <f ca="1">IF($C903="","", IF(OR($P903=$V$1,$P903=$V$7,COUNTIFS($C$3:$C903,$C903,$E$3:$E903,$E903)&lt;=1),$P903,""    ))</f>
        <v/>
      </c>
      <c r="U903" s="1019" t="str">
        <f ca="1">IF(AND($P903=$V$2,COUNTIFS($C$3:$C903,$C903,$E$3:$E903,$E903,$G$3:$G903,$G903)&lt;=1),$P903,"")</f>
        <v/>
      </c>
    </row>
    <row r="904" spans="1:21">
      <c r="A904" s="991" t="str">
        <f ca="1">IFERROR(IF(COUNTIF($A$3:A903,A903)&lt; INDEX(TinhGia!$BH$10:$BH$81,MATCH($A903,TinhGia!$B$10:$B$81,0)),$A903,INDEX(TinhGia!$B$10:$B$81,MATCH($A903,TinhGia!$B$10:$B$81,0)+1)),"")</f>
        <v/>
      </c>
      <c r="B904" s="525" t="str">
        <f ca="1">IF(OR(A904="",A904=0),"",IF(COUNTIF($A$2:A904,$A904)=1,ROW(MauKoXoa!$C$108),$B903+1))</f>
        <v/>
      </c>
      <c r="C904" s="992" t="str">
        <f t="shared" ca="1" si="152"/>
        <v/>
      </c>
      <c r="D904" s="993" t="str">
        <f t="shared" ca="1" si="153"/>
        <v/>
      </c>
      <c r="E904" s="993" t="str">
        <f t="shared" ca="1" si="154"/>
        <v/>
      </c>
      <c r="F904" s="992" t="str">
        <f t="shared" ca="1" si="162"/>
        <v/>
      </c>
      <c r="G904" s="994">
        <f t="shared" ca="1" si="155"/>
        <v>0</v>
      </c>
      <c r="H904" s="913">
        <f t="shared" ca="1" si="156"/>
        <v>0</v>
      </c>
      <c r="I904" s="913">
        <f t="shared" ca="1" si="157"/>
        <v>0</v>
      </c>
      <c r="J904" s="995">
        <f t="shared" ca="1" si="163"/>
        <v>0</v>
      </c>
      <c r="K904" s="913">
        <f t="shared" ca="1" si="158"/>
        <v>0</v>
      </c>
      <c r="L904" s="995">
        <f t="shared" ca="1" si="164"/>
        <v>0</v>
      </c>
      <c r="M904" s="913">
        <f t="shared" ca="1" si="159"/>
        <v>0</v>
      </c>
      <c r="N904" s="996">
        <f t="shared" ca="1" si="160"/>
        <v>0</v>
      </c>
      <c r="O904" s="997">
        <f t="shared" ca="1" si="161"/>
        <v>0</v>
      </c>
      <c r="P904" s="1015" t="str">
        <f ca="1">IF($C904="","",INDEX(NVLSX!$N$2:$N$6941,MATCH($C904,NVLSX!$E$2:$E$6941,0)))</f>
        <v/>
      </c>
      <c r="Q904" s="1016" t="str">
        <f ca="1">IF($R904="","",IF(XKNVLSX!$X$1="",IF($P904=$V$7,$P904, IF(COUNTIFS($C$2:$C903,$C904,$E$2:$E903,$E904)&gt;=1,"",$P904)),     IF(AND(IFERROR(SEARCH($R904,XKNVLSX!$X$1,1),0)&gt;=1,$P904=$V$7),$P904, IF(OR($R904&lt;&gt;IF(IFERROR(SEARCH($R904,XKNVLSX!$X$1,1),0)&gt;=1,$R904,XKNVLSX!$X$1),COUNTIFS($C$2:$C903,$C904,$E$2:$E903,$E904,$Q$2:$Q903,$P904)&gt;=1),"",$P904))))</f>
        <v/>
      </c>
      <c r="R904" s="1017" t="str">
        <f ca="1">IF($A904="","",IFERROR(INDEX(TinhGia!$BF$10:$BF$81,MATCH($A904,TinhGia!$B$10:$B$81,0)),""))</f>
        <v/>
      </c>
      <c r="S904" s="1012" t="str">
        <f ca="1">IF($A904="","",IF(OR(IFERROR(SEARCH($R904,XKNVLSX!$X$1,1),0)&gt;=1,XKNVLSX!$X$1=""),$S$2,""))</f>
        <v/>
      </c>
      <c r="T904" s="1018" t="str">
        <f ca="1">IF($C904="","", IF(OR($P904=$V$1,$P904=$V$7,COUNTIFS($C$3:$C904,$C904,$E$3:$E904,$E904)&lt;=1),$P904,""    ))</f>
        <v/>
      </c>
      <c r="U904" s="1019" t="str">
        <f ca="1">IF(AND($P904=$V$2,COUNTIFS($C$3:$C904,$C904,$E$3:$E904,$E904,$G$3:$G904,$G904)&lt;=1),$P904,"")</f>
        <v/>
      </c>
    </row>
    <row r="905" spans="1:21">
      <c r="A905" s="991" t="str">
        <f ca="1">IFERROR(IF(COUNTIF($A$3:A904,A904)&lt; INDEX(TinhGia!$BH$10:$BH$81,MATCH($A904,TinhGia!$B$10:$B$81,0)),$A904,INDEX(TinhGia!$B$10:$B$81,MATCH($A904,TinhGia!$B$10:$B$81,0)+1)),"")</f>
        <v/>
      </c>
      <c r="B905" s="525" t="str">
        <f ca="1">IF(OR(A905="",A905=0),"",IF(COUNTIF($A$2:A905,$A905)=1,ROW(MauKoXoa!$C$108),$B904+1))</f>
        <v/>
      </c>
      <c r="C905" s="992" t="str">
        <f t="shared" ca="1" si="152"/>
        <v/>
      </c>
      <c r="D905" s="993" t="str">
        <f t="shared" ca="1" si="153"/>
        <v/>
      </c>
      <c r="E905" s="993" t="str">
        <f t="shared" ca="1" si="154"/>
        <v/>
      </c>
      <c r="F905" s="992" t="str">
        <f t="shared" ca="1" si="162"/>
        <v/>
      </c>
      <c r="G905" s="994">
        <f t="shared" ca="1" si="155"/>
        <v>0</v>
      </c>
      <c r="H905" s="913">
        <f t="shared" ca="1" si="156"/>
        <v>0</v>
      </c>
      <c r="I905" s="913">
        <f t="shared" ca="1" si="157"/>
        <v>0</v>
      </c>
      <c r="J905" s="995">
        <f t="shared" ca="1" si="163"/>
        <v>0</v>
      </c>
      <c r="K905" s="913">
        <f t="shared" ca="1" si="158"/>
        <v>0</v>
      </c>
      <c r="L905" s="995">
        <f t="shared" ca="1" si="164"/>
        <v>0</v>
      </c>
      <c r="M905" s="913">
        <f t="shared" ca="1" si="159"/>
        <v>0</v>
      </c>
      <c r="N905" s="996">
        <f t="shared" ca="1" si="160"/>
        <v>0</v>
      </c>
      <c r="O905" s="997">
        <f t="shared" ca="1" si="161"/>
        <v>0</v>
      </c>
      <c r="P905" s="1015" t="str">
        <f ca="1">IF($C905="","",INDEX(NVLSX!$N$2:$N$6941,MATCH($C905,NVLSX!$E$2:$E$6941,0)))</f>
        <v/>
      </c>
      <c r="Q905" s="1016" t="str">
        <f ca="1">IF($R905="","",IF(XKNVLSX!$X$1="",IF($P905=$V$7,$P905, IF(COUNTIFS($C$2:$C904,$C905,$E$2:$E904,$E905)&gt;=1,"",$P905)),     IF(AND(IFERROR(SEARCH($R905,XKNVLSX!$X$1,1),0)&gt;=1,$P905=$V$7),$P905, IF(OR($R905&lt;&gt;IF(IFERROR(SEARCH($R905,XKNVLSX!$X$1,1),0)&gt;=1,$R905,XKNVLSX!$X$1),COUNTIFS($C$2:$C904,$C905,$E$2:$E904,$E905,$Q$2:$Q904,$P905)&gt;=1),"",$P905))))</f>
        <v/>
      </c>
      <c r="R905" s="1017" t="str">
        <f ca="1">IF($A905="","",IFERROR(INDEX(TinhGia!$BF$10:$BF$81,MATCH($A905,TinhGia!$B$10:$B$81,0)),""))</f>
        <v/>
      </c>
      <c r="S905" s="1012" t="str">
        <f ca="1">IF($A905="","",IF(OR(IFERROR(SEARCH($R905,XKNVLSX!$X$1,1),0)&gt;=1,XKNVLSX!$X$1=""),$S$2,""))</f>
        <v/>
      </c>
      <c r="T905" s="1018" t="str">
        <f ca="1">IF($C905="","", IF(OR($P905=$V$1,$P905=$V$7,COUNTIFS($C$3:$C905,$C905,$E$3:$E905,$E905)&lt;=1),$P905,""    ))</f>
        <v/>
      </c>
      <c r="U905" s="1019" t="str">
        <f ca="1">IF(AND($P905=$V$2,COUNTIFS($C$3:$C905,$C905,$E$3:$E905,$E905,$G$3:$G905,$G905)&lt;=1),$P905,"")</f>
        <v/>
      </c>
    </row>
    <row r="906" spans="1:21">
      <c r="A906" s="991" t="str">
        <f ca="1">IFERROR(IF(COUNTIF($A$3:A905,A905)&lt; INDEX(TinhGia!$BH$10:$BH$81,MATCH($A905,TinhGia!$B$10:$B$81,0)),$A905,INDEX(TinhGia!$B$10:$B$81,MATCH($A905,TinhGia!$B$10:$B$81,0)+1)),"")</f>
        <v/>
      </c>
      <c r="B906" s="525" t="str">
        <f ca="1">IF(OR(A906="",A906=0),"",IF(COUNTIF($A$2:A906,$A906)=1,ROW(MauKoXoa!$C$108),$B905+1))</f>
        <v/>
      </c>
      <c r="C906" s="992" t="str">
        <f t="shared" ca="1" si="152"/>
        <v/>
      </c>
      <c r="D906" s="993" t="str">
        <f t="shared" ca="1" si="153"/>
        <v/>
      </c>
      <c r="E906" s="993" t="str">
        <f t="shared" ca="1" si="154"/>
        <v/>
      </c>
      <c r="F906" s="992" t="str">
        <f t="shared" ca="1" si="162"/>
        <v/>
      </c>
      <c r="G906" s="994">
        <f t="shared" ca="1" si="155"/>
        <v>0</v>
      </c>
      <c r="H906" s="913">
        <f t="shared" ca="1" si="156"/>
        <v>0</v>
      </c>
      <c r="I906" s="913">
        <f t="shared" ca="1" si="157"/>
        <v>0</v>
      </c>
      <c r="J906" s="995">
        <f t="shared" ca="1" si="163"/>
        <v>0</v>
      </c>
      <c r="K906" s="913">
        <f t="shared" ca="1" si="158"/>
        <v>0</v>
      </c>
      <c r="L906" s="995">
        <f t="shared" ca="1" si="164"/>
        <v>0</v>
      </c>
      <c r="M906" s="913">
        <f t="shared" ca="1" si="159"/>
        <v>0</v>
      </c>
      <c r="N906" s="996">
        <f t="shared" ca="1" si="160"/>
        <v>0</v>
      </c>
      <c r="O906" s="997">
        <f t="shared" ca="1" si="161"/>
        <v>0</v>
      </c>
      <c r="P906" s="1015" t="str">
        <f ca="1">IF($C906="","",INDEX(NVLSX!$N$2:$N$6941,MATCH($C906,NVLSX!$E$2:$E$6941,0)))</f>
        <v/>
      </c>
      <c r="Q906" s="1016" t="str">
        <f ca="1">IF($R906="","",IF(XKNVLSX!$X$1="",IF($P906=$V$7,$P906, IF(COUNTIFS($C$2:$C905,$C906,$E$2:$E905,$E906)&gt;=1,"",$P906)),     IF(AND(IFERROR(SEARCH($R906,XKNVLSX!$X$1,1),0)&gt;=1,$P906=$V$7),$P906, IF(OR($R906&lt;&gt;IF(IFERROR(SEARCH($R906,XKNVLSX!$X$1,1),0)&gt;=1,$R906,XKNVLSX!$X$1),COUNTIFS($C$2:$C905,$C906,$E$2:$E905,$E906,$Q$2:$Q905,$P906)&gt;=1),"",$P906))))</f>
        <v/>
      </c>
      <c r="R906" s="1017" t="str">
        <f ca="1">IF($A906="","",IFERROR(INDEX(TinhGia!$BF$10:$BF$81,MATCH($A906,TinhGia!$B$10:$B$81,0)),""))</f>
        <v/>
      </c>
      <c r="S906" s="1012" t="str">
        <f ca="1">IF($A906="","",IF(OR(IFERROR(SEARCH($R906,XKNVLSX!$X$1,1),0)&gt;=1,XKNVLSX!$X$1=""),$S$2,""))</f>
        <v/>
      </c>
      <c r="T906" s="1018" t="str">
        <f ca="1">IF($C906="","", IF(OR($P906=$V$1,$P906=$V$7,COUNTIFS($C$3:$C906,$C906,$E$3:$E906,$E906)&lt;=1),$P906,""    ))</f>
        <v/>
      </c>
      <c r="U906" s="1019" t="str">
        <f ca="1">IF(AND($P906=$V$2,COUNTIFS($C$3:$C906,$C906,$E$3:$E906,$E906,$G$3:$G906,$G906)&lt;=1),$P906,"")</f>
        <v/>
      </c>
    </row>
    <row r="907" spans="1:21">
      <c r="A907" s="991" t="str">
        <f ca="1">IFERROR(IF(COUNTIF($A$3:A906,A906)&lt; INDEX(TinhGia!$BH$10:$BH$81,MATCH($A906,TinhGia!$B$10:$B$81,0)),$A906,INDEX(TinhGia!$B$10:$B$81,MATCH($A906,TinhGia!$B$10:$B$81,0)+1)),"")</f>
        <v/>
      </c>
      <c r="B907" s="525" t="str">
        <f ca="1">IF(OR(A907="",A907=0),"",IF(COUNTIF($A$2:A907,$A907)=1,ROW(MauKoXoa!$C$108),$B906+1))</f>
        <v/>
      </c>
      <c r="C907" s="992" t="str">
        <f t="shared" ca="1" si="152"/>
        <v/>
      </c>
      <c r="D907" s="993" t="str">
        <f t="shared" ca="1" si="153"/>
        <v/>
      </c>
      <c r="E907" s="993" t="str">
        <f t="shared" ca="1" si="154"/>
        <v/>
      </c>
      <c r="F907" s="992" t="str">
        <f t="shared" ca="1" si="162"/>
        <v/>
      </c>
      <c r="G907" s="994">
        <f t="shared" ca="1" si="155"/>
        <v>0</v>
      </c>
      <c r="H907" s="913">
        <f t="shared" ca="1" si="156"/>
        <v>0</v>
      </c>
      <c r="I907" s="913">
        <f t="shared" ca="1" si="157"/>
        <v>0</v>
      </c>
      <c r="J907" s="995">
        <f t="shared" ca="1" si="163"/>
        <v>0</v>
      </c>
      <c r="K907" s="913">
        <f t="shared" ca="1" si="158"/>
        <v>0</v>
      </c>
      <c r="L907" s="995">
        <f t="shared" ca="1" si="164"/>
        <v>0</v>
      </c>
      <c r="M907" s="913">
        <f t="shared" ca="1" si="159"/>
        <v>0</v>
      </c>
      <c r="N907" s="996">
        <f t="shared" ca="1" si="160"/>
        <v>0</v>
      </c>
      <c r="O907" s="997">
        <f t="shared" ca="1" si="161"/>
        <v>0</v>
      </c>
      <c r="P907" s="1015" t="str">
        <f ca="1">IF($C907="","",INDEX(NVLSX!$N$2:$N$6941,MATCH($C907,NVLSX!$E$2:$E$6941,0)))</f>
        <v/>
      </c>
      <c r="Q907" s="1016" t="str">
        <f ca="1">IF($R907="","",IF(XKNVLSX!$X$1="",IF($P907=$V$7,$P907, IF(COUNTIFS($C$2:$C906,$C907,$E$2:$E906,$E907)&gt;=1,"",$P907)),     IF(AND(IFERROR(SEARCH($R907,XKNVLSX!$X$1,1),0)&gt;=1,$P907=$V$7),$P907, IF(OR($R907&lt;&gt;IF(IFERROR(SEARCH($R907,XKNVLSX!$X$1,1),0)&gt;=1,$R907,XKNVLSX!$X$1),COUNTIFS($C$2:$C906,$C907,$E$2:$E906,$E907,$Q$2:$Q906,$P907)&gt;=1),"",$P907))))</f>
        <v/>
      </c>
      <c r="R907" s="1017" t="str">
        <f ca="1">IF($A907="","",IFERROR(INDEX(TinhGia!$BF$10:$BF$81,MATCH($A907,TinhGia!$B$10:$B$81,0)),""))</f>
        <v/>
      </c>
      <c r="S907" s="1012" t="str">
        <f ca="1">IF($A907="","",IF(OR(IFERROR(SEARCH($R907,XKNVLSX!$X$1,1),0)&gt;=1,XKNVLSX!$X$1=""),$S$2,""))</f>
        <v/>
      </c>
      <c r="T907" s="1018" t="str">
        <f ca="1">IF($C907="","", IF(OR($P907=$V$1,$P907=$V$7,COUNTIFS($C$3:$C907,$C907,$E$3:$E907,$E907)&lt;=1),$P907,""    ))</f>
        <v/>
      </c>
      <c r="U907" s="1019" t="str">
        <f ca="1">IF(AND($P907=$V$2,COUNTIFS($C$3:$C907,$C907,$E$3:$E907,$E907,$G$3:$G907,$G907)&lt;=1),$P907,"")</f>
        <v/>
      </c>
    </row>
    <row r="908" spans="1:21">
      <c r="A908" s="991" t="str">
        <f ca="1">IFERROR(IF(COUNTIF($A$3:A907,A907)&lt; INDEX(TinhGia!$BH$10:$BH$81,MATCH($A907,TinhGia!$B$10:$B$81,0)),$A907,INDEX(TinhGia!$B$10:$B$81,MATCH($A907,TinhGia!$B$10:$B$81,0)+1)),"")</f>
        <v/>
      </c>
      <c r="B908" s="525" t="str">
        <f ca="1">IF(OR(A908="",A908=0),"",IF(COUNTIF($A$2:A908,$A908)=1,ROW(MauKoXoa!$C$108),$B907+1))</f>
        <v/>
      </c>
      <c r="C908" s="992" t="str">
        <f t="shared" ca="1" si="152"/>
        <v/>
      </c>
      <c r="D908" s="993" t="str">
        <f t="shared" ca="1" si="153"/>
        <v/>
      </c>
      <c r="E908" s="993" t="str">
        <f t="shared" ca="1" si="154"/>
        <v/>
      </c>
      <c r="F908" s="992" t="str">
        <f t="shared" ca="1" si="162"/>
        <v/>
      </c>
      <c r="G908" s="994">
        <f t="shared" ca="1" si="155"/>
        <v>0</v>
      </c>
      <c r="H908" s="913">
        <f t="shared" ca="1" si="156"/>
        <v>0</v>
      </c>
      <c r="I908" s="913">
        <f t="shared" ca="1" si="157"/>
        <v>0</v>
      </c>
      <c r="J908" s="995">
        <f t="shared" ca="1" si="163"/>
        <v>0</v>
      </c>
      <c r="K908" s="913">
        <f t="shared" ca="1" si="158"/>
        <v>0</v>
      </c>
      <c r="L908" s="995">
        <f t="shared" ca="1" si="164"/>
        <v>0</v>
      </c>
      <c r="M908" s="913">
        <f t="shared" ca="1" si="159"/>
        <v>0</v>
      </c>
      <c r="N908" s="996">
        <f t="shared" ca="1" si="160"/>
        <v>0</v>
      </c>
      <c r="O908" s="997">
        <f t="shared" ca="1" si="161"/>
        <v>0</v>
      </c>
      <c r="P908" s="1015" t="str">
        <f ca="1">IF($C908="","",INDEX(NVLSX!$N$2:$N$6941,MATCH($C908,NVLSX!$E$2:$E$6941,0)))</f>
        <v/>
      </c>
      <c r="Q908" s="1016" t="str">
        <f ca="1">IF($R908="","",IF(XKNVLSX!$X$1="",IF($P908=$V$7,$P908, IF(COUNTIFS($C$2:$C907,$C908,$E$2:$E907,$E908)&gt;=1,"",$P908)),     IF(AND(IFERROR(SEARCH($R908,XKNVLSX!$X$1,1),0)&gt;=1,$P908=$V$7),$P908, IF(OR($R908&lt;&gt;IF(IFERROR(SEARCH($R908,XKNVLSX!$X$1,1),0)&gt;=1,$R908,XKNVLSX!$X$1),COUNTIFS($C$2:$C907,$C908,$E$2:$E907,$E908,$Q$2:$Q907,$P908)&gt;=1),"",$P908))))</f>
        <v/>
      </c>
      <c r="R908" s="1017" t="str">
        <f ca="1">IF($A908="","",IFERROR(INDEX(TinhGia!$BF$10:$BF$81,MATCH($A908,TinhGia!$B$10:$B$81,0)),""))</f>
        <v/>
      </c>
      <c r="S908" s="1012" t="str">
        <f ca="1">IF($A908="","",IF(OR(IFERROR(SEARCH($R908,XKNVLSX!$X$1,1),0)&gt;=1,XKNVLSX!$X$1=""),$S$2,""))</f>
        <v/>
      </c>
      <c r="T908" s="1018" t="str">
        <f ca="1">IF($C908="","", IF(OR($P908=$V$1,$P908=$V$7,COUNTIFS($C$3:$C908,$C908,$E$3:$E908,$E908)&lt;=1),$P908,""    ))</f>
        <v/>
      </c>
      <c r="U908" s="1019" t="str">
        <f ca="1">IF(AND($P908=$V$2,COUNTIFS($C$3:$C908,$C908,$E$3:$E908,$E908,$G$3:$G908,$G908)&lt;=1),$P908,"")</f>
        <v/>
      </c>
    </row>
    <row r="909" spans="1:21">
      <c r="A909" s="991" t="str">
        <f ca="1">IFERROR(IF(COUNTIF($A$3:A908,A908)&lt; INDEX(TinhGia!$BH$10:$BH$81,MATCH($A908,TinhGia!$B$10:$B$81,0)),$A908,INDEX(TinhGia!$B$10:$B$81,MATCH($A908,TinhGia!$B$10:$B$81,0)+1)),"")</f>
        <v/>
      </c>
      <c r="B909" s="525" t="str">
        <f ca="1">IF(OR(A909="",A909=0),"",IF(COUNTIF($A$2:A909,$A909)=1,ROW(MauKoXoa!$C$108),$B908+1))</f>
        <v/>
      </c>
      <c r="C909" s="992" t="str">
        <f t="shared" ca="1" si="152"/>
        <v/>
      </c>
      <c r="D909" s="993" t="str">
        <f t="shared" ca="1" si="153"/>
        <v/>
      </c>
      <c r="E909" s="993" t="str">
        <f t="shared" ca="1" si="154"/>
        <v/>
      </c>
      <c r="F909" s="992" t="str">
        <f t="shared" ca="1" si="162"/>
        <v/>
      </c>
      <c r="G909" s="994">
        <f t="shared" ca="1" si="155"/>
        <v>0</v>
      </c>
      <c r="H909" s="913">
        <f t="shared" ca="1" si="156"/>
        <v>0</v>
      </c>
      <c r="I909" s="913">
        <f t="shared" ca="1" si="157"/>
        <v>0</v>
      </c>
      <c r="J909" s="995">
        <f t="shared" ca="1" si="163"/>
        <v>0</v>
      </c>
      <c r="K909" s="913">
        <f t="shared" ca="1" si="158"/>
        <v>0</v>
      </c>
      <c r="L909" s="995">
        <f t="shared" ca="1" si="164"/>
        <v>0</v>
      </c>
      <c r="M909" s="913">
        <f t="shared" ca="1" si="159"/>
        <v>0</v>
      </c>
      <c r="N909" s="996">
        <f t="shared" ca="1" si="160"/>
        <v>0</v>
      </c>
      <c r="O909" s="997">
        <f t="shared" ca="1" si="161"/>
        <v>0</v>
      </c>
      <c r="P909" s="1015" t="str">
        <f ca="1">IF($C909="","",INDEX(NVLSX!$N$2:$N$6941,MATCH($C909,NVLSX!$E$2:$E$6941,0)))</f>
        <v/>
      </c>
      <c r="Q909" s="1016" t="str">
        <f ca="1">IF($R909="","",IF(XKNVLSX!$X$1="",IF($P909=$V$7,$P909, IF(COUNTIFS($C$2:$C908,$C909,$E$2:$E908,$E909)&gt;=1,"",$P909)),     IF(AND(IFERROR(SEARCH($R909,XKNVLSX!$X$1,1),0)&gt;=1,$P909=$V$7),$P909, IF(OR($R909&lt;&gt;IF(IFERROR(SEARCH($R909,XKNVLSX!$X$1,1),0)&gt;=1,$R909,XKNVLSX!$X$1),COUNTIFS($C$2:$C908,$C909,$E$2:$E908,$E909,$Q$2:$Q908,$P909)&gt;=1),"",$P909))))</f>
        <v/>
      </c>
      <c r="R909" s="1017" t="str">
        <f ca="1">IF($A909="","",IFERROR(INDEX(TinhGia!$BF$10:$BF$81,MATCH($A909,TinhGia!$B$10:$B$81,0)),""))</f>
        <v/>
      </c>
      <c r="S909" s="1012" t="str">
        <f ca="1">IF($A909="","",IF(OR(IFERROR(SEARCH($R909,XKNVLSX!$X$1,1),0)&gt;=1,XKNVLSX!$X$1=""),$S$2,""))</f>
        <v/>
      </c>
      <c r="T909" s="1018" t="str">
        <f ca="1">IF($C909="","", IF(OR($P909=$V$1,$P909=$V$7,COUNTIFS($C$3:$C909,$C909,$E$3:$E909,$E909)&lt;=1),$P909,""    ))</f>
        <v/>
      </c>
      <c r="U909" s="1019" t="str">
        <f ca="1">IF(AND($P909=$V$2,COUNTIFS($C$3:$C909,$C909,$E$3:$E909,$E909,$G$3:$G909,$G909)&lt;=1),$P909,"")</f>
        <v/>
      </c>
    </row>
    <row r="910" spans="1:21">
      <c r="A910" s="991" t="str">
        <f ca="1">IFERROR(IF(COUNTIF($A$3:A909,A909)&lt; INDEX(TinhGia!$BH$10:$BH$81,MATCH($A909,TinhGia!$B$10:$B$81,0)),$A909,INDEX(TinhGia!$B$10:$B$81,MATCH($A909,TinhGia!$B$10:$B$81,0)+1)),"")</f>
        <v/>
      </c>
      <c r="B910" s="525" t="str">
        <f ca="1">IF(OR(A910="",A910=0),"",IF(COUNTIF($A$2:A910,$A910)=1,ROW(MauKoXoa!$C$108),$B909+1))</f>
        <v/>
      </c>
      <c r="C910" s="992" t="str">
        <f t="shared" ca="1" si="152"/>
        <v/>
      </c>
      <c r="D910" s="993" t="str">
        <f t="shared" ca="1" si="153"/>
        <v/>
      </c>
      <c r="E910" s="993" t="str">
        <f t="shared" ca="1" si="154"/>
        <v/>
      </c>
      <c r="F910" s="992" t="str">
        <f t="shared" ca="1" si="162"/>
        <v/>
      </c>
      <c r="G910" s="994">
        <f t="shared" ca="1" si="155"/>
        <v>0</v>
      </c>
      <c r="H910" s="913">
        <f t="shared" ca="1" si="156"/>
        <v>0</v>
      </c>
      <c r="I910" s="913">
        <f t="shared" ca="1" si="157"/>
        <v>0</v>
      </c>
      <c r="J910" s="995">
        <f t="shared" ca="1" si="163"/>
        <v>0</v>
      </c>
      <c r="K910" s="913">
        <f t="shared" ca="1" si="158"/>
        <v>0</v>
      </c>
      <c r="L910" s="995">
        <f t="shared" ca="1" si="164"/>
        <v>0</v>
      </c>
      <c r="M910" s="913">
        <f t="shared" ca="1" si="159"/>
        <v>0</v>
      </c>
      <c r="N910" s="996">
        <f t="shared" ca="1" si="160"/>
        <v>0</v>
      </c>
      <c r="O910" s="997">
        <f t="shared" ca="1" si="161"/>
        <v>0</v>
      </c>
      <c r="P910" s="1015" t="str">
        <f ca="1">IF($C910="","",INDEX(NVLSX!$N$2:$N$6941,MATCH($C910,NVLSX!$E$2:$E$6941,0)))</f>
        <v/>
      </c>
      <c r="Q910" s="1016" t="str">
        <f ca="1">IF($R910="","",IF(XKNVLSX!$X$1="",IF($P910=$V$7,$P910, IF(COUNTIFS($C$2:$C909,$C910,$E$2:$E909,$E910)&gt;=1,"",$P910)),     IF(AND(IFERROR(SEARCH($R910,XKNVLSX!$X$1,1),0)&gt;=1,$P910=$V$7),$P910, IF(OR($R910&lt;&gt;IF(IFERROR(SEARCH($R910,XKNVLSX!$X$1,1),0)&gt;=1,$R910,XKNVLSX!$X$1),COUNTIFS($C$2:$C909,$C910,$E$2:$E909,$E910,$Q$2:$Q909,$P910)&gt;=1),"",$P910))))</f>
        <v/>
      </c>
      <c r="R910" s="1017" t="str">
        <f ca="1">IF($A910="","",IFERROR(INDEX(TinhGia!$BF$10:$BF$81,MATCH($A910,TinhGia!$B$10:$B$81,0)),""))</f>
        <v/>
      </c>
      <c r="S910" s="1012" t="str">
        <f ca="1">IF($A910="","",IF(OR(IFERROR(SEARCH($R910,XKNVLSX!$X$1,1),0)&gt;=1,XKNVLSX!$X$1=""),$S$2,""))</f>
        <v/>
      </c>
      <c r="T910" s="1018" t="str">
        <f ca="1">IF($C910="","", IF(OR($P910=$V$1,$P910=$V$7,COUNTIFS($C$3:$C910,$C910,$E$3:$E910,$E910)&lt;=1),$P910,""    ))</f>
        <v/>
      </c>
      <c r="U910" s="1019" t="str">
        <f ca="1">IF(AND($P910=$V$2,COUNTIFS($C$3:$C910,$C910,$E$3:$E910,$E910,$G$3:$G910,$G910)&lt;=1),$P910,"")</f>
        <v/>
      </c>
    </row>
    <row r="911" spans="1:21">
      <c r="A911" s="991" t="str">
        <f ca="1">IFERROR(IF(COUNTIF($A$3:A910,A910)&lt; INDEX(TinhGia!$BH$10:$BH$81,MATCH($A910,TinhGia!$B$10:$B$81,0)),$A910,INDEX(TinhGia!$B$10:$B$81,MATCH($A910,TinhGia!$B$10:$B$81,0)+1)),"")</f>
        <v/>
      </c>
      <c r="B911" s="525" t="str">
        <f ca="1">IF(OR(A911="",A911=0),"",IF(COUNTIF($A$2:A911,$A911)=1,ROW(MauKoXoa!$C$108),$B910+1))</f>
        <v/>
      </c>
      <c r="C911" s="992" t="str">
        <f t="shared" ca="1" si="152"/>
        <v/>
      </c>
      <c r="D911" s="993" t="str">
        <f t="shared" ca="1" si="153"/>
        <v/>
      </c>
      <c r="E911" s="993" t="str">
        <f t="shared" ca="1" si="154"/>
        <v/>
      </c>
      <c r="F911" s="992" t="str">
        <f t="shared" ca="1" si="162"/>
        <v/>
      </c>
      <c r="G911" s="994">
        <f t="shared" ca="1" si="155"/>
        <v>0</v>
      </c>
      <c r="H911" s="913">
        <f t="shared" ca="1" si="156"/>
        <v>0</v>
      </c>
      <c r="I911" s="913">
        <f t="shared" ca="1" si="157"/>
        <v>0</v>
      </c>
      <c r="J911" s="995">
        <f t="shared" ca="1" si="163"/>
        <v>0</v>
      </c>
      <c r="K911" s="913">
        <f t="shared" ca="1" si="158"/>
        <v>0</v>
      </c>
      <c r="L911" s="995">
        <f t="shared" ca="1" si="164"/>
        <v>0</v>
      </c>
      <c r="M911" s="913">
        <f t="shared" ca="1" si="159"/>
        <v>0</v>
      </c>
      <c r="N911" s="996">
        <f t="shared" ca="1" si="160"/>
        <v>0</v>
      </c>
      <c r="O911" s="997">
        <f t="shared" ca="1" si="161"/>
        <v>0</v>
      </c>
      <c r="P911" s="1015" t="str">
        <f ca="1">IF($C911="","",INDEX(NVLSX!$N$2:$N$6941,MATCH($C911,NVLSX!$E$2:$E$6941,0)))</f>
        <v/>
      </c>
      <c r="Q911" s="1016" t="str">
        <f ca="1">IF($R911="","",IF(XKNVLSX!$X$1="",IF($P911=$V$7,$P911, IF(COUNTIFS($C$2:$C910,$C911,$E$2:$E910,$E911)&gt;=1,"",$P911)),     IF(AND(IFERROR(SEARCH($R911,XKNVLSX!$X$1,1),0)&gt;=1,$P911=$V$7),$P911, IF(OR($R911&lt;&gt;IF(IFERROR(SEARCH($R911,XKNVLSX!$X$1,1),0)&gt;=1,$R911,XKNVLSX!$X$1),COUNTIFS($C$2:$C910,$C911,$E$2:$E910,$E911,$Q$2:$Q910,$P911)&gt;=1),"",$P911))))</f>
        <v/>
      </c>
      <c r="R911" s="1017" t="str">
        <f ca="1">IF($A911="","",IFERROR(INDEX(TinhGia!$BF$10:$BF$81,MATCH($A911,TinhGia!$B$10:$B$81,0)),""))</f>
        <v/>
      </c>
      <c r="S911" s="1012" t="str">
        <f ca="1">IF($A911="","",IF(OR(IFERROR(SEARCH($R911,XKNVLSX!$X$1,1),0)&gt;=1,XKNVLSX!$X$1=""),$S$2,""))</f>
        <v/>
      </c>
      <c r="T911" s="1018" t="str">
        <f ca="1">IF($C911="","", IF(OR($P911=$V$1,$P911=$V$7,COUNTIFS($C$3:$C911,$C911,$E$3:$E911,$E911)&lt;=1),$P911,""    ))</f>
        <v/>
      </c>
      <c r="U911" s="1019" t="str">
        <f ca="1">IF(AND($P911=$V$2,COUNTIFS($C$3:$C911,$C911,$E$3:$E911,$E911,$G$3:$G911,$G911)&lt;=1),$P911,"")</f>
        <v/>
      </c>
    </row>
    <row r="912" spans="1:21">
      <c r="A912" s="991" t="str">
        <f ca="1">IFERROR(IF(COUNTIF($A$3:A911,A911)&lt; INDEX(TinhGia!$BH$10:$BH$81,MATCH($A911,TinhGia!$B$10:$B$81,0)),$A911,INDEX(TinhGia!$B$10:$B$81,MATCH($A911,TinhGia!$B$10:$B$81,0)+1)),"")</f>
        <v/>
      </c>
      <c r="B912" s="525" t="str">
        <f ca="1">IF(OR(A912="",A912=0),"",IF(COUNTIF($A$2:A912,$A912)=1,ROW(MauKoXoa!$C$108),$B911+1))</f>
        <v/>
      </c>
      <c r="C912" s="992" t="str">
        <f t="shared" ca="1" si="152"/>
        <v/>
      </c>
      <c r="D912" s="993" t="str">
        <f t="shared" ca="1" si="153"/>
        <v/>
      </c>
      <c r="E912" s="993" t="str">
        <f t="shared" ca="1" si="154"/>
        <v/>
      </c>
      <c r="F912" s="992" t="str">
        <f t="shared" ca="1" si="162"/>
        <v/>
      </c>
      <c r="G912" s="994">
        <f t="shared" ca="1" si="155"/>
        <v>0</v>
      </c>
      <c r="H912" s="913">
        <f t="shared" ca="1" si="156"/>
        <v>0</v>
      </c>
      <c r="I912" s="913">
        <f t="shared" ca="1" si="157"/>
        <v>0</v>
      </c>
      <c r="J912" s="995">
        <f t="shared" ca="1" si="163"/>
        <v>0</v>
      </c>
      <c r="K912" s="913">
        <f t="shared" ca="1" si="158"/>
        <v>0</v>
      </c>
      <c r="L912" s="995">
        <f t="shared" ca="1" si="164"/>
        <v>0</v>
      </c>
      <c r="M912" s="913">
        <f t="shared" ca="1" si="159"/>
        <v>0</v>
      </c>
      <c r="N912" s="996">
        <f t="shared" ca="1" si="160"/>
        <v>0</v>
      </c>
      <c r="O912" s="997">
        <f t="shared" ca="1" si="161"/>
        <v>0</v>
      </c>
      <c r="P912" s="1015" t="str">
        <f ca="1">IF($C912="","",INDEX(NVLSX!$N$2:$N$6941,MATCH($C912,NVLSX!$E$2:$E$6941,0)))</f>
        <v/>
      </c>
      <c r="Q912" s="1016" t="str">
        <f ca="1">IF($R912="","",IF(XKNVLSX!$X$1="",IF($P912=$V$7,$P912, IF(COUNTIFS($C$2:$C911,$C912,$E$2:$E911,$E912)&gt;=1,"",$P912)),     IF(AND(IFERROR(SEARCH($R912,XKNVLSX!$X$1,1),0)&gt;=1,$P912=$V$7),$P912, IF(OR($R912&lt;&gt;IF(IFERROR(SEARCH($R912,XKNVLSX!$X$1,1),0)&gt;=1,$R912,XKNVLSX!$X$1),COUNTIFS($C$2:$C911,$C912,$E$2:$E911,$E912,$Q$2:$Q911,$P912)&gt;=1),"",$P912))))</f>
        <v/>
      </c>
      <c r="R912" s="1017" t="str">
        <f ca="1">IF($A912="","",IFERROR(INDEX(TinhGia!$BF$10:$BF$81,MATCH($A912,TinhGia!$B$10:$B$81,0)),""))</f>
        <v/>
      </c>
      <c r="S912" s="1012" t="str">
        <f ca="1">IF($A912="","",IF(OR(IFERROR(SEARCH($R912,XKNVLSX!$X$1,1),0)&gt;=1,XKNVLSX!$X$1=""),$S$2,""))</f>
        <v/>
      </c>
      <c r="T912" s="1018" t="str">
        <f ca="1">IF($C912="","", IF(OR($P912=$V$1,$P912=$V$7,COUNTIFS($C$3:$C912,$C912,$E$3:$E912,$E912)&lt;=1),$P912,""    ))</f>
        <v/>
      </c>
      <c r="U912" s="1019" t="str">
        <f ca="1">IF(AND($P912=$V$2,COUNTIFS($C$3:$C912,$C912,$E$3:$E912,$E912,$G$3:$G912,$G912)&lt;=1),$P912,"")</f>
        <v/>
      </c>
    </row>
    <row r="913" spans="1:21">
      <c r="A913" s="991" t="str">
        <f ca="1">IFERROR(IF(COUNTIF($A$3:A912,A912)&lt; INDEX(TinhGia!$BH$10:$BH$81,MATCH($A912,TinhGia!$B$10:$B$81,0)),$A912,INDEX(TinhGia!$B$10:$B$81,MATCH($A912,TinhGia!$B$10:$B$81,0)+1)),"")</f>
        <v/>
      </c>
      <c r="B913" s="525" t="str">
        <f ca="1">IF(OR(A913="",A913=0),"",IF(COUNTIF($A$2:A913,$A913)=1,ROW(MauKoXoa!$C$108),$B912+1))</f>
        <v/>
      </c>
      <c r="C913" s="992" t="str">
        <f t="shared" ca="1" si="152"/>
        <v/>
      </c>
      <c r="D913" s="993" t="str">
        <f t="shared" ca="1" si="153"/>
        <v/>
      </c>
      <c r="E913" s="993" t="str">
        <f t="shared" ca="1" si="154"/>
        <v/>
      </c>
      <c r="F913" s="992" t="str">
        <f t="shared" ca="1" si="162"/>
        <v/>
      </c>
      <c r="G913" s="994">
        <f t="shared" ca="1" si="155"/>
        <v>0</v>
      </c>
      <c r="H913" s="913">
        <f t="shared" ca="1" si="156"/>
        <v>0</v>
      </c>
      <c r="I913" s="913">
        <f t="shared" ca="1" si="157"/>
        <v>0</v>
      </c>
      <c r="J913" s="995">
        <f t="shared" ca="1" si="163"/>
        <v>0</v>
      </c>
      <c r="K913" s="913">
        <f t="shared" ca="1" si="158"/>
        <v>0</v>
      </c>
      <c r="L913" s="995">
        <f t="shared" ca="1" si="164"/>
        <v>0</v>
      </c>
      <c r="M913" s="913">
        <f t="shared" ca="1" si="159"/>
        <v>0</v>
      </c>
      <c r="N913" s="996">
        <f t="shared" ca="1" si="160"/>
        <v>0</v>
      </c>
      <c r="O913" s="997">
        <f t="shared" ca="1" si="161"/>
        <v>0</v>
      </c>
      <c r="P913" s="1015" t="str">
        <f ca="1">IF($C913="","",INDEX(NVLSX!$N$2:$N$6941,MATCH($C913,NVLSX!$E$2:$E$6941,0)))</f>
        <v/>
      </c>
      <c r="Q913" s="1016" t="str">
        <f ca="1">IF($R913="","",IF(XKNVLSX!$X$1="",IF($P913=$V$7,$P913, IF(COUNTIFS($C$2:$C912,$C913,$E$2:$E912,$E913)&gt;=1,"",$P913)),     IF(AND(IFERROR(SEARCH($R913,XKNVLSX!$X$1,1),0)&gt;=1,$P913=$V$7),$P913, IF(OR($R913&lt;&gt;IF(IFERROR(SEARCH($R913,XKNVLSX!$X$1,1),0)&gt;=1,$R913,XKNVLSX!$X$1),COUNTIFS($C$2:$C912,$C913,$E$2:$E912,$E913,$Q$2:$Q912,$P913)&gt;=1),"",$P913))))</f>
        <v/>
      </c>
      <c r="R913" s="1017" t="str">
        <f ca="1">IF($A913="","",IFERROR(INDEX(TinhGia!$BF$10:$BF$81,MATCH($A913,TinhGia!$B$10:$B$81,0)),""))</f>
        <v/>
      </c>
      <c r="S913" s="1012" t="str">
        <f ca="1">IF($A913="","",IF(OR(IFERROR(SEARCH($R913,XKNVLSX!$X$1,1),0)&gt;=1,XKNVLSX!$X$1=""),$S$2,""))</f>
        <v/>
      </c>
      <c r="T913" s="1018" t="str">
        <f ca="1">IF($C913="","", IF(OR($P913=$V$1,$P913=$V$7,COUNTIFS($C$3:$C913,$C913,$E$3:$E913,$E913)&lt;=1),$P913,""    ))</f>
        <v/>
      </c>
      <c r="U913" s="1019" t="str">
        <f ca="1">IF(AND($P913=$V$2,COUNTIFS($C$3:$C913,$C913,$E$3:$E913,$E913,$G$3:$G913,$G913)&lt;=1),$P913,"")</f>
        <v/>
      </c>
    </row>
    <row r="914" spans="1:21">
      <c r="A914" s="991" t="str">
        <f ca="1">IFERROR(IF(COUNTIF($A$3:A913,A913)&lt; INDEX(TinhGia!$BH$10:$BH$81,MATCH($A913,TinhGia!$B$10:$B$81,0)),$A913,INDEX(TinhGia!$B$10:$B$81,MATCH($A913,TinhGia!$B$10:$B$81,0)+1)),"")</f>
        <v/>
      </c>
      <c r="B914" s="525" t="str">
        <f ca="1">IF(OR(A914="",A914=0),"",IF(COUNTIF($A$2:A914,$A914)=1,ROW(MauKoXoa!$C$108),$B913+1))</f>
        <v/>
      </c>
      <c r="C914" s="992" t="str">
        <f t="shared" ca="1" si="152"/>
        <v/>
      </c>
      <c r="D914" s="993" t="str">
        <f t="shared" ca="1" si="153"/>
        <v/>
      </c>
      <c r="E914" s="993" t="str">
        <f t="shared" ca="1" si="154"/>
        <v/>
      </c>
      <c r="F914" s="992" t="str">
        <f t="shared" ca="1" si="162"/>
        <v/>
      </c>
      <c r="G914" s="994">
        <f t="shared" ca="1" si="155"/>
        <v>0</v>
      </c>
      <c r="H914" s="913">
        <f t="shared" ca="1" si="156"/>
        <v>0</v>
      </c>
      <c r="I914" s="913">
        <f t="shared" ca="1" si="157"/>
        <v>0</v>
      </c>
      <c r="J914" s="995">
        <f t="shared" ca="1" si="163"/>
        <v>0</v>
      </c>
      <c r="K914" s="913">
        <f t="shared" ca="1" si="158"/>
        <v>0</v>
      </c>
      <c r="L914" s="995">
        <f t="shared" ca="1" si="164"/>
        <v>0</v>
      </c>
      <c r="M914" s="913">
        <f t="shared" ca="1" si="159"/>
        <v>0</v>
      </c>
      <c r="N914" s="996">
        <f t="shared" ca="1" si="160"/>
        <v>0</v>
      </c>
      <c r="O914" s="997">
        <f t="shared" ca="1" si="161"/>
        <v>0</v>
      </c>
      <c r="P914" s="1015" t="str">
        <f ca="1">IF($C914="","",INDEX(NVLSX!$N$2:$N$6941,MATCH($C914,NVLSX!$E$2:$E$6941,0)))</f>
        <v/>
      </c>
      <c r="Q914" s="1016" t="str">
        <f ca="1">IF($R914="","",IF(XKNVLSX!$X$1="",IF($P914=$V$7,$P914, IF(COUNTIFS($C$2:$C913,$C914,$E$2:$E913,$E914)&gt;=1,"",$P914)),     IF(AND(IFERROR(SEARCH($R914,XKNVLSX!$X$1,1),0)&gt;=1,$P914=$V$7),$P914, IF(OR($R914&lt;&gt;IF(IFERROR(SEARCH($R914,XKNVLSX!$X$1,1),0)&gt;=1,$R914,XKNVLSX!$X$1),COUNTIFS($C$2:$C913,$C914,$E$2:$E913,$E914,$Q$2:$Q913,$P914)&gt;=1),"",$P914))))</f>
        <v/>
      </c>
      <c r="R914" s="1017" t="str">
        <f ca="1">IF($A914="","",IFERROR(INDEX(TinhGia!$BF$10:$BF$81,MATCH($A914,TinhGia!$B$10:$B$81,0)),""))</f>
        <v/>
      </c>
      <c r="S914" s="1012" t="str">
        <f ca="1">IF($A914="","",IF(OR(IFERROR(SEARCH($R914,XKNVLSX!$X$1,1),0)&gt;=1,XKNVLSX!$X$1=""),$S$2,""))</f>
        <v/>
      </c>
      <c r="T914" s="1018" t="str">
        <f ca="1">IF($C914="","", IF(OR($P914=$V$1,$P914=$V$7,COUNTIFS($C$3:$C914,$C914,$E$3:$E914,$E914)&lt;=1),$P914,""    ))</f>
        <v/>
      </c>
      <c r="U914" s="1019" t="str">
        <f ca="1">IF(AND($P914=$V$2,COUNTIFS($C$3:$C914,$C914,$E$3:$E914,$E914,$G$3:$G914,$G914)&lt;=1),$P914,"")</f>
        <v/>
      </c>
    </row>
    <row r="915" spans="1:21">
      <c r="A915" s="991" t="str">
        <f ca="1">IFERROR(IF(COUNTIF($A$3:A914,A914)&lt; INDEX(TinhGia!$BH$10:$BH$81,MATCH($A914,TinhGia!$B$10:$B$81,0)),$A914,INDEX(TinhGia!$B$10:$B$81,MATCH($A914,TinhGia!$B$10:$B$81,0)+1)),"")</f>
        <v/>
      </c>
      <c r="B915" s="525" t="str">
        <f ca="1">IF(OR(A915="",A915=0),"",IF(COUNTIF($A$2:A915,$A915)=1,ROW(MauKoXoa!$C$108),$B914+1))</f>
        <v/>
      </c>
      <c r="C915" s="992" t="str">
        <f t="shared" ca="1" si="152"/>
        <v/>
      </c>
      <c r="D915" s="993" t="str">
        <f t="shared" ca="1" si="153"/>
        <v/>
      </c>
      <c r="E915" s="993" t="str">
        <f t="shared" ca="1" si="154"/>
        <v/>
      </c>
      <c r="F915" s="992" t="str">
        <f t="shared" ca="1" si="162"/>
        <v/>
      </c>
      <c r="G915" s="994">
        <f t="shared" ca="1" si="155"/>
        <v>0</v>
      </c>
      <c r="H915" s="913">
        <f t="shared" ca="1" si="156"/>
        <v>0</v>
      </c>
      <c r="I915" s="913">
        <f t="shared" ca="1" si="157"/>
        <v>0</v>
      </c>
      <c r="J915" s="995">
        <f t="shared" ca="1" si="163"/>
        <v>0</v>
      </c>
      <c r="K915" s="913">
        <f t="shared" ca="1" si="158"/>
        <v>0</v>
      </c>
      <c r="L915" s="995">
        <f t="shared" ca="1" si="164"/>
        <v>0</v>
      </c>
      <c r="M915" s="913">
        <f t="shared" ca="1" si="159"/>
        <v>0</v>
      </c>
      <c r="N915" s="996">
        <f t="shared" ca="1" si="160"/>
        <v>0</v>
      </c>
      <c r="O915" s="997">
        <f t="shared" ca="1" si="161"/>
        <v>0</v>
      </c>
      <c r="P915" s="1015" t="str">
        <f ca="1">IF($C915="","",INDEX(NVLSX!$N$2:$N$6941,MATCH($C915,NVLSX!$E$2:$E$6941,0)))</f>
        <v/>
      </c>
      <c r="Q915" s="1016" t="str">
        <f ca="1">IF($R915="","",IF(XKNVLSX!$X$1="",IF($P915=$V$7,$P915, IF(COUNTIFS($C$2:$C914,$C915,$E$2:$E914,$E915)&gt;=1,"",$P915)),     IF(AND(IFERROR(SEARCH($R915,XKNVLSX!$X$1,1),0)&gt;=1,$P915=$V$7),$P915, IF(OR($R915&lt;&gt;IF(IFERROR(SEARCH($R915,XKNVLSX!$X$1,1),0)&gt;=1,$R915,XKNVLSX!$X$1),COUNTIFS($C$2:$C914,$C915,$E$2:$E914,$E915,$Q$2:$Q914,$P915)&gt;=1),"",$P915))))</f>
        <v/>
      </c>
      <c r="R915" s="1017" t="str">
        <f ca="1">IF($A915="","",IFERROR(INDEX(TinhGia!$BF$10:$BF$81,MATCH($A915,TinhGia!$B$10:$B$81,0)),""))</f>
        <v/>
      </c>
      <c r="S915" s="1012" t="str">
        <f ca="1">IF($A915="","",IF(OR(IFERROR(SEARCH($R915,XKNVLSX!$X$1,1),0)&gt;=1,XKNVLSX!$X$1=""),$S$2,""))</f>
        <v/>
      </c>
      <c r="T915" s="1018" t="str">
        <f ca="1">IF($C915="","", IF(OR($P915=$V$1,$P915=$V$7,COUNTIFS($C$3:$C915,$C915,$E$3:$E915,$E915)&lt;=1),$P915,""    ))</f>
        <v/>
      </c>
      <c r="U915" s="1019" t="str">
        <f ca="1">IF(AND($P915=$V$2,COUNTIFS($C$3:$C915,$C915,$E$3:$E915,$E915,$G$3:$G915,$G915)&lt;=1),$P915,"")</f>
        <v/>
      </c>
    </row>
    <row r="916" spans="1:21">
      <c r="A916" s="991" t="str">
        <f ca="1">IFERROR(IF(COUNTIF($A$3:A915,A915)&lt; INDEX(TinhGia!$BH$10:$BH$81,MATCH($A915,TinhGia!$B$10:$B$81,0)),$A915,INDEX(TinhGia!$B$10:$B$81,MATCH($A915,TinhGia!$B$10:$B$81,0)+1)),"")</f>
        <v/>
      </c>
      <c r="B916" s="525" t="str">
        <f ca="1">IF(OR(A916="",A916=0),"",IF(COUNTIF($A$2:A916,$A916)=1,ROW(MauKoXoa!$C$108),$B915+1))</f>
        <v/>
      </c>
      <c r="C916" s="992" t="str">
        <f t="shared" ca="1" si="152"/>
        <v/>
      </c>
      <c r="D916" s="993" t="str">
        <f t="shared" ca="1" si="153"/>
        <v/>
      </c>
      <c r="E916" s="993" t="str">
        <f t="shared" ca="1" si="154"/>
        <v/>
      </c>
      <c r="F916" s="992" t="str">
        <f t="shared" ca="1" si="162"/>
        <v/>
      </c>
      <c r="G916" s="994">
        <f t="shared" ca="1" si="155"/>
        <v>0</v>
      </c>
      <c r="H916" s="913">
        <f t="shared" ca="1" si="156"/>
        <v>0</v>
      </c>
      <c r="I916" s="913">
        <f t="shared" ca="1" si="157"/>
        <v>0</v>
      </c>
      <c r="J916" s="995">
        <f t="shared" ca="1" si="163"/>
        <v>0</v>
      </c>
      <c r="K916" s="913">
        <f t="shared" ca="1" si="158"/>
        <v>0</v>
      </c>
      <c r="L916" s="995">
        <f t="shared" ca="1" si="164"/>
        <v>0</v>
      </c>
      <c r="M916" s="913">
        <f t="shared" ca="1" si="159"/>
        <v>0</v>
      </c>
      <c r="N916" s="996">
        <f t="shared" ca="1" si="160"/>
        <v>0</v>
      </c>
      <c r="O916" s="997">
        <f t="shared" ca="1" si="161"/>
        <v>0</v>
      </c>
      <c r="P916" s="1015" t="str">
        <f ca="1">IF($C916="","",INDEX(NVLSX!$N$2:$N$6941,MATCH($C916,NVLSX!$E$2:$E$6941,0)))</f>
        <v/>
      </c>
      <c r="Q916" s="1016" t="str">
        <f ca="1">IF($R916="","",IF(XKNVLSX!$X$1="",IF($P916=$V$7,$P916, IF(COUNTIFS($C$2:$C915,$C916,$E$2:$E915,$E916)&gt;=1,"",$P916)),     IF(AND(IFERROR(SEARCH($R916,XKNVLSX!$X$1,1),0)&gt;=1,$P916=$V$7),$P916, IF(OR($R916&lt;&gt;IF(IFERROR(SEARCH($R916,XKNVLSX!$X$1,1),0)&gt;=1,$R916,XKNVLSX!$X$1),COUNTIFS($C$2:$C915,$C916,$E$2:$E915,$E916,$Q$2:$Q915,$P916)&gt;=1),"",$P916))))</f>
        <v/>
      </c>
      <c r="R916" s="1017" t="str">
        <f ca="1">IF($A916="","",IFERROR(INDEX(TinhGia!$BF$10:$BF$81,MATCH($A916,TinhGia!$B$10:$B$81,0)),""))</f>
        <v/>
      </c>
      <c r="S916" s="1012" t="str">
        <f ca="1">IF($A916="","",IF(OR(IFERROR(SEARCH($R916,XKNVLSX!$X$1,1),0)&gt;=1,XKNVLSX!$X$1=""),$S$2,""))</f>
        <v/>
      </c>
      <c r="T916" s="1018" t="str">
        <f ca="1">IF($C916="","", IF(OR($P916=$V$1,$P916=$V$7,COUNTIFS($C$3:$C916,$C916,$E$3:$E916,$E916)&lt;=1),$P916,""    ))</f>
        <v/>
      </c>
      <c r="U916" s="1019" t="str">
        <f ca="1">IF(AND($P916=$V$2,COUNTIFS($C$3:$C916,$C916,$E$3:$E916,$E916,$G$3:$G916,$G916)&lt;=1),$P916,"")</f>
        <v/>
      </c>
    </row>
    <row r="917" spans="1:21">
      <c r="A917" s="991" t="str">
        <f ca="1">IFERROR(IF(COUNTIF($A$3:A916,A916)&lt; INDEX(TinhGia!$BH$10:$BH$81,MATCH($A916,TinhGia!$B$10:$B$81,0)),$A916,INDEX(TinhGia!$B$10:$B$81,MATCH($A916,TinhGia!$B$10:$B$81,0)+1)),"")</f>
        <v/>
      </c>
      <c r="B917" s="525" t="str">
        <f ca="1">IF(OR(A917="",A917=0),"",IF(COUNTIF($A$2:A917,$A917)=1,ROW(MauKoXoa!$C$108),$B916+1))</f>
        <v/>
      </c>
      <c r="C917" s="992" t="str">
        <f t="shared" ca="1" si="152"/>
        <v/>
      </c>
      <c r="D917" s="993" t="str">
        <f t="shared" ca="1" si="153"/>
        <v/>
      </c>
      <c r="E917" s="993" t="str">
        <f t="shared" ca="1" si="154"/>
        <v/>
      </c>
      <c r="F917" s="992" t="str">
        <f t="shared" ca="1" si="162"/>
        <v/>
      </c>
      <c r="G917" s="994">
        <f t="shared" ca="1" si="155"/>
        <v>0</v>
      </c>
      <c r="H917" s="913">
        <f t="shared" ca="1" si="156"/>
        <v>0</v>
      </c>
      <c r="I917" s="913">
        <f t="shared" ca="1" si="157"/>
        <v>0</v>
      </c>
      <c r="J917" s="995">
        <f t="shared" ca="1" si="163"/>
        <v>0</v>
      </c>
      <c r="K917" s="913">
        <f t="shared" ca="1" si="158"/>
        <v>0</v>
      </c>
      <c r="L917" s="995">
        <f t="shared" ca="1" si="164"/>
        <v>0</v>
      </c>
      <c r="M917" s="913">
        <f t="shared" ca="1" si="159"/>
        <v>0</v>
      </c>
      <c r="N917" s="996">
        <f t="shared" ca="1" si="160"/>
        <v>0</v>
      </c>
      <c r="O917" s="997">
        <f t="shared" ca="1" si="161"/>
        <v>0</v>
      </c>
      <c r="P917" s="1015" t="str">
        <f ca="1">IF($C917="","",INDEX(NVLSX!$N$2:$N$6941,MATCH($C917,NVLSX!$E$2:$E$6941,0)))</f>
        <v/>
      </c>
      <c r="Q917" s="1016" t="str">
        <f ca="1">IF($R917="","",IF(XKNVLSX!$X$1="",IF($P917=$V$7,$P917, IF(COUNTIFS($C$2:$C916,$C917,$E$2:$E916,$E917)&gt;=1,"",$P917)),     IF(AND(IFERROR(SEARCH($R917,XKNVLSX!$X$1,1),0)&gt;=1,$P917=$V$7),$P917, IF(OR($R917&lt;&gt;IF(IFERROR(SEARCH($R917,XKNVLSX!$X$1,1),0)&gt;=1,$R917,XKNVLSX!$X$1),COUNTIFS($C$2:$C916,$C917,$E$2:$E916,$E917,$Q$2:$Q916,$P917)&gt;=1),"",$P917))))</f>
        <v/>
      </c>
      <c r="R917" s="1017" t="str">
        <f ca="1">IF($A917="","",IFERROR(INDEX(TinhGia!$BF$10:$BF$81,MATCH($A917,TinhGia!$B$10:$B$81,0)),""))</f>
        <v/>
      </c>
      <c r="S917" s="1012" t="str">
        <f ca="1">IF($A917="","",IF(OR(IFERROR(SEARCH($R917,XKNVLSX!$X$1,1),0)&gt;=1,XKNVLSX!$X$1=""),$S$2,""))</f>
        <v/>
      </c>
      <c r="T917" s="1018" t="str">
        <f ca="1">IF($C917="","", IF(OR($P917=$V$1,$P917=$V$7,COUNTIFS($C$3:$C917,$C917,$E$3:$E917,$E917)&lt;=1),$P917,""    ))</f>
        <v/>
      </c>
      <c r="U917" s="1019" t="str">
        <f ca="1">IF(AND($P917=$V$2,COUNTIFS($C$3:$C917,$C917,$E$3:$E917,$E917,$G$3:$G917,$G917)&lt;=1),$P917,"")</f>
        <v/>
      </c>
    </row>
    <row r="918" spans="1:21">
      <c r="A918" s="991" t="str">
        <f ca="1">IFERROR(IF(COUNTIF($A$3:A917,A917)&lt; INDEX(TinhGia!$BH$10:$BH$81,MATCH($A917,TinhGia!$B$10:$B$81,0)),$A917,INDEX(TinhGia!$B$10:$B$81,MATCH($A917,TinhGia!$B$10:$B$81,0)+1)),"")</f>
        <v/>
      </c>
      <c r="B918" s="525" t="str">
        <f ca="1">IF(OR(A918="",A918=0),"",IF(COUNTIF($A$2:A918,$A918)=1,ROW(MauKoXoa!$C$108),$B917+1))</f>
        <v/>
      </c>
      <c r="C918" s="992" t="str">
        <f t="shared" ca="1" si="152"/>
        <v/>
      </c>
      <c r="D918" s="993" t="str">
        <f t="shared" ca="1" si="153"/>
        <v/>
      </c>
      <c r="E918" s="993" t="str">
        <f t="shared" ca="1" si="154"/>
        <v/>
      </c>
      <c r="F918" s="992" t="str">
        <f t="shared" ca="1" si="162"/>
        <v/>
      </c>
      <c r="G918" s="994">
        <f t="shared" ca="1" si="155"/>
        <v>0</v>
      </c>
      <c r="H918" s="913">
        <f t="shared" ca="1" si="156"/>
        <v>0</v>
      </c>
      <c r="I918" s="913">
        <f t="shared" ca="1" si="157"/>
        <v>0</v>
      </c>
      <c r="J918" s="995">
        <f t="shared" ca="1" si="163"/>
        <v>0</v>
      </c>
      <c r="K918" s="913">
        <f t="shared" ca="1" si="158"/>
        <v>0</v>
      </c>
      <c r="L918" s="995">
        <f t="shared" ca="1" si="164"/>
        <v>0</v>
      </c>
      <c r="M918" s="913">
        <f t="shared" ca="1" si="159"/>
        <v>0</v>
      </c>
      <c r="N918" s="996">
        <f t="shared" ca="1" si="160"/>
        <v>0</v>
      </c>
      <c r="O918" s="997">
        <f t="shared" ca="1" si="161"/>
        <v>0</v>
      </c>
      <c r="P918" s="1015" t="str">
        <f ca="1">IF($C918="","",INDEX(NVLSX!$N$2:$N$6941,MATCH($C918,NVLSX!$E$2:$E$6941,0)))</f>
        <v/>
      </c>
      <c r="Q918" s="1016" t="str">
        <f ca="1">IF($R918="","",IF(XKNVLSX!$X$1="",IF($P918=$V$7,$P918, IF(COUNTIFS($C$2:$C917,$C918,$E$2:$E917,$E918)&gt;=1,"",$P918)),     IF(AND(IFERROR(SEARCH($R918,XKNVLSX!$X$1,1),0)&gt;=1,$P918=$V$7),$P918, IF(OR($R918&lt;&gt;IF(IFERROR(SEARCH($R918,XKNVLSX!$X$1,1),0)&gt;=1,$R918,XKNVLSX!$X$1),COUNTIFS($C$2:$C917,$C918,$E$2:$E917,$E918,$Q$2:$Q917,$P918)&gt;=1),"",$P918))))</f>
        <v/>
      </c>
      <c r="R918" s="1017" t="str">
        <f ca="1">IF($A918="","",IFERROR(INDEX(TinhGia!$BF$10:$BF$81,MATCH($A918,TinhGia!$B$10:$B$81,0)),""))</f>
        <v/>
      </c>
      <c r="S918" s="1012" t="str">
        <f ca="1">IF($A918="","",IF(OR(IFERROR(SEARCH($R918,XKNVLSX!$X$1,1),0)&gt;=1,XKNVLSX!$X$1=""),$S$2,""))</f>
        <v/>
      </c>
      <c r="T918" s="1018" t="str">
        <f ca="1">IF($C918="","", IF(OR($P918=$V$1,$P918=$V$7,COUNTIFS($C$3:$C918,$C918,$E$3:$E918,$E918)&lt;=1),$P918,""    ))</f>
        <v/>
      </c>
      <c r="U918" s="1019" t="str">
        <f ca="1">IF(AND($P918=$V$2,COUNTIFS($C$3:$C918,$C918,$E$3:$E918,$E918,$G$3:$G918,$G918)&lt;=1),$P918,"")</f>
        <v/>
      </c>
    </row>
    <row r="919" spans="1:21">
      <c r="A919" s="991" t="str">
        <f ca="1">IFERROR(IF(COUNTIF($A$3:A918,A918)&lt; INDEX(TinhGia!$BH$10:$BH$81,MATCH($A918,TinhGia!$B$10:$B$81,0)),$A918,INDEX(TinhGia!$B$10:$B$81,MATCH($A918,TinhGia!$B$10:$B$81,0)+1)),"")</f>
        <v/>
      </c>
      <c r="B919" s="525" t="str">
        <f ca="1">IF(OR(A919="",A919=0),"",IF(COUNTIF($A$2:A919,$A919)=1,ROW(MauKoXoa!$C$108),$B918+1))</f>
        <v/>
      </c>
      <c r="C919" s="992" t="str">
        <f t="shared" ca="1" si="152"/>
        <v/>
      </c>
      <c r="D919" s="993" t="str">
        <f t="shared" ca="1" si="153"/>
        <v/>
      </c>
      <c r="E919" s="993" t="str">
        <f t="shared" ca="1" si="154"/>
        <v/>
      </c>
      <c r="F919" s="992" t="str">
        <f t="shared" ca="1" si="162"/>
        <v/>
      </c>
      <c r="G919" s="994">
        <f t="shared" ca="1" si="155"/>
        <v>0</v>
      </c>
      <c r="H919" s="913">
        <f t="shared" ca="1" si="156"/>
        <v>0</v>
      </c>
      <c r="I919" s="913">
        <f t="shared" ca="1" si="157"/>
        <v>0</v>
      </c>
      <c r="J919" s="995">
        <f t="shared" ca="1" si="163"/>
        <v>0</v>
      </c>
      <c r="K919" s="913">
        <f t="shared" ca="1" si="158"/>
        <v>0</v>
      </c>
      <c r="L919" s="995">
        <f t="shared" ca="1" si="164"/>
        <v>0</v>
      </c>
      <c r="M919" s="913">
        <f t="shared" ca="1" si="159"/>
        <v>0</v>
      </c>
      <c r="N919" s="996">
        <f t="shared" ca="1" si="160"/>
        <v>0</v>
      </c>
      <c r="O919" s="997">
        <f t="shared" ca="1" si="161"/>
        <v>0</v>
      </c>
      <c r="P919" s="1015" t="str">
        <f ca="1">IF($C919="","",INDEX(NVLSX!$N$2:$N$6941,MATCH($C919,NVLSX!$E$2:$E$6941,0)))</f>
        <v/>
      </c>
      <c r="Q919" s="1016" t="str">
        <f ca="1">IF($R919="","",IF(XKNVLSX!$X$1="",IF($P919=$V$7,$P919, IF(COUNTIFS($C$2:$C918,$C919,$E$2:$E918,$E919)&gt;=1,"",$P919)),     IF(AND(IFERROR(SEARCH($R919,XKNVLSX!$X$1,1),0)&gt;=1,$P919=$V$7),$P919, IF(OR($R919&lt;&gt;IF(IFERROR(SEARCH($R919,XKNVLSX!$X$1,1),0)&gt;=1,$R919,XKNVLSX!$X$1),COUNTIFS($C$2:$C918,$C919,$E$2:$E918,$E919,$Q$2:$Q918,$P919)&gt;=1),"",$P919))))</f>
        <v/>
      </c>
      <c r="R919" s="1017" t="str">
        <f ca="1">IF($A919="","",IFERROR(INDEX(TinhGia!$BF$10:$BF$81,MATCH($A919,TinhGia!$B$10:$B$81,0)),""))</f>
        <v/>
      </c>
      <c r="S919" s="1012" t="str">
        <f ca="1">IF($A919="","",IF(OR(IFERROR(SEARCH($R919,XKNVLSX!$X$1,1),0)&gt;=1,XKNVLSX!$X$1=""),$S$2,""))</f>
        <v/>
      </c>
      <c r="T919" s="1018" t="str">
        <f ca="1">IF($C919="","", IF(OR($P919=$V$1,$P919=$V$7,COUNTIFS($C$3:$C919,$C919,$E$3:$E919,$E919)&lt;=1),$P919,""    ))</f>
        <v/>
      </c>
      <c r="U919" s="1019" t="str">
        <f ca="1">IF(AND($P919=$V$2,COUNTIFS($C$3:$C919,$C919,$E$3:$E919,$E919,$G$3:$G919,$G919)&lt;=1),$P919,"")</f>
        <v/>
      </c>
    </row>
    <row r="920" spans="1:21">
      <c r="A920" s="991" t="str">
        <f ca="1">IFERROR(IF(COUNTIF($A$3:A919,A919)&lt; INDEX(TinhGia!$BH$10:$BH$81,MATCH($A919,TinhGia!$B$10:$B$81,0)),$A919,INDEX(TinhGia!$B$10:$B$81,MATCH($A919,TinhGia!$B$10:$B$81,0)+1)),"")</f>
        <v/>
      </c>
      <c r="B920" s="525" t="str">
        <f ca="1">IF(OR(A920="",A920=0),"",IF(COUNTIF($A$2:A920,$A920)=1,ROW(MauKoXoa!$C$108),$B919+1))</f>
        <v/>
      </c>
      <c r="C920" s="992" t="str">
        <f t="shared" ca="1" si="152"/>
        <v/>
      </c>
      <c r="D920" s="993" t="str">
        <f t="shared" ca="1" si="153"/>
        <v/>
      </c>
      <c r="E920" s="993" t="str">
        <f t="shared" ca="1" si="154"/>
        <v/>
      </c>
      <c r="F920" s="992" t="str">
        <f t="shared" ca="1" si="162"/>
        <v/>
      </c>
      <c r="G920" s="994">
        <f t="shared" ca="1" si="155"/>
        <v>0</v>
      </c>
      <c r="H920" s="913">
        <f t="shared" ca="1" si="156"/>
        <v>0</v>
      </c>
      <c r="I920" s="913">
        <f t="shared" ca="1" si="157"/>
        <v>0</v>
      </c>
      <c r="J920" s="995">
        <f t="shared" ca="1" si="163"/>
        <v>0</v>
      </c>
      <c r="K920" s="913">
        <f t="shared" ca="1" si="158"/>
        <v>0</v>
      </c>
      <c r="L920" s="995">
        <f t="shared" ca="1" si="164"/>
        <v>0</v>
      </c>
      <c r="M920" s="913">
        <f t="shared" ca="1" si="159"/>
        <v>0</v>
      </c>
      <c r="N920" s="996">
        <f t="shared" ca="1" si="160"/>
        <v>0</v>
      </c>
      <c r="O920" s="997">
        <f t="shared" ca="1" si="161"/>
        <v>0</v>
      </c>
      <c r="P920" s="1015" t="str">
        <f ca="1">IF($C920="","",INDEX(NVLSX!$N$2:$N$6941,MATCH($C920,NVLSX!$E$2:$E$6941,0)))</f>
        <v/>
      </c>
      <c r="Q920" s="1016" t="str">
        <f ca="1">IF($R920="","",IF(XKNVLSX!$X$1="",IF($P920=$V$7,$P920, IF(COUNTIFS($C$2:$C919,$C920,$E$2:$E919,$E920)&gt;=1,"",$P920)),     IF(AND(IFERROR(SEARCH($R920,XKNVLSX!$X$1,1),0)&gt;=1,$P920=$V$7),$P920, IF(OR($R920&lt;&gt;IF(IFERROR(SEARCH($R920,XKNVLSX!$X$1,1),0)&gt;=1,$R920,XKNVLSX!$X$1),COUNTIFS($C$2:$C919,$C920,$E$2:$E919,$E920,$Q$2:$Q919,$P920)&gt;=1),"",$P920))))</f>
        <v/>
      </c>
      <c r="R920" s="1017" t="str">
        <f ca="1">IF($A920="","",IFERROR(INDEX(TinhGia!$BF$10:$BF$81,MATCH($A920,TinhGia!$B$10:$B$81,0)),""))</f>
        <v/>
      </c>
      <c r="S920" s="1012" t="str">
        <f ca="1">IF($A920="","",IF(OR(IFERROR(SEARCH($R920,XKNVLSX!$X$1,1),0)&gt;=1,XKNVLSX!$X$1=""),$S$2,""))</f>
        <v/>
      </c>
      <c r="T920" s="1018" t="str">
        <f ca="1">IF($C920="","", IF(OR($P920=$V$1,$P920=$V$7,COUNTIFS($C$3:$C920,$C920,$E$3:$E920,$E920)&lt;=1),$P920,""    ))</f>
        <v/>
      </c>
      <c r="U920" s="1019" t="str">
        <f ca="1">IF(AND($P920=$V$2,COUNTIFS($C$3:$C920,$C920,$E$3:$E920,$E920,$G$3:$G920,$G920)&lt;=1),$P920,"")</f>
        <v/>
      </c>
    </row>
    <row r="921" spans="1:21">
      <c r="A921" s="991" t="str">
        <f ca="1">IFERROR(IF(COUNTIF($A$3:A920,A920)&lt; INDEX(TinhGia!$BH$10:$BH$81,MATCH($A920,TinhGia!$B$10:$B$81,0)),$A920,INDEX(TinhGia!$B$10:$B$81,MATCH($A920,TinhGia!$B$10:$B$81,0)+1)),"")</f>
        <v/>
      </c>
      <c r="B921" s="525" t="str">
        <f ca="1">IF(OR(A921="",A921=0),"",IF(COUNTIF($A$2:A921,$A921)=1,ROW(MauKoXoa!$C$108),$B920+1))</f>
        <v/>
      </c>
      <c r="C921" s="992" t="str">
        <f t="shared" ca="1" si="152"/>
        <v/>
      </c>
      <c r="D921" s="993" t="str">
        <f t="shared" ca="1" si="153"/>
        <v/>
      </c>
      <c r="E921" s="993" t="str">
        <f t="shared" ca="1" si="154"/>
        <v/>
      </c>
      <c r="F921" s="992" t="str">
        <f t="shared" ca="1" si="162"/>
        <v/>
      </c>
      <c r="G921" s="994">
        <f t="shared" ca="1" si="155"/>
        <v>0</v>
      </c>
      <c r="H921" s="913">
        <f t="shared" ca="1" si="156"/>
        <v>0</v>
      </c>
      <c r="I921" s="913">
        <f t="shared" ca="1" si="157"/>
        <v>0</v>
      </c>
      <c r="J921" s="995">
        <f t="shared" ca="1" si="163"/>
        <v>0</v>
      </c>
      <c r="K921" s="913">
        <f t="shared" ca="1" si="158"/>
        <v>0</v>
      </c>
      <c r="L921" s="995">
        <f t="shared" ca="1" si="164"/>
        <v>0</v>
      </c>
      <c r="M921" s="913">
        <f t="shared" ca="1" si="159"/>
        <v>0</v>
      </c>
      <c r="N921" s="996">
        <f t="shared" ca="1" si="160"/>
        <v>0</v>
      </c>
      <c r="O921" s="997">
        <f t="shared" ca="1" si="161"/>
        <v>0</v>
      </c>
      <c r="P921" s="1015" t="str">
        <f ca="1">IF($C921="","",INDEX(NVLSX!$N$2:$N$6941,MATCH($C921,NVLSX!$E$2:$E$6941,0)))</f>
        <v/>
      </c>
      <c r="Q921" s="1016" t="str">
        <f ca="1">IF($R921="","",IF(XKNVLSX!$X$1="",IF($P921=$V$7,$P921, IF(COUNTIFS($C$2:$C920,$C921,$E$2:$E920,$E921)&gt;=1,"",$P921)),     IF(AND(IFERROR(SEARCH($R921,XKNVLSX!$X$1,1),0)&gt;=1,$P921=$V$7),$P921, IF(OR($R921&lt;&gt;IF(IFERROR(SEARCH($R921,XKNVLSX!$X$1,1),0)&gt;=1,$R921,XKNVLSX!$X$1),COUNTIFS($C$2:$C920,$C921,$E$2:$E920,$E921,$Q$2:$Q920,$P921)&gt;=1),"",$P921))))</f>
        <v/>
      </c>
      <c r="R921" s="1017" t="str">
        <f ca="1">IF($A921="","",IFERROR(INDEX(TinhGia!$BF$10:$BF$81,MATCH($A921,TinhGia!$B$10:$B$81,0)),""))</f>
        <v/>
      </c>
      <c r="S921" s="1012" t="str">
        <f ca="1">IF($A921="","",IF(OR(IFERROR(SEARCH($R921,XKNVLSX!$X$1,1),0)&gt;=1,XKNVLSX!$X$1=""),$S$2,""))</f>
        <v/>
      </c>
      <c r="T921" s="1018" t="str">
        <f ca="1">IF($C921="","", IF(OR($P921=$V$1,$P921=$V$7,COUNTIFS($C$3:$C921,$C921,$E$3:$E921,$E921)&lt;=1),$P921,""    ))</f>
        <v/>
      </c>
      <c r="U921" s="1019" t="str">
        <f ca="1">IF(AND($P921=$V$2,COUNTIFS($C$3:$C921,$C921,$E$3:$E921,$E921,$G$3:$G921,$G921)&lt;=1),$P921,"")</f>
        <v/>
      </c>
    </row>
    <row r="922" spans="1:21">
      <c r="A922" s="991" t="str">
        <f ca="1">IFERROR(IF(COUNTIF($A$3:A921,A921)&lt; INDEX(TinhGia!$BH$10:$BH$81,MATCH($A921,TinhGia!$B$10:$B$81,0)),$A921,INDEX(TinhGia!$B$10:$B$81,MATCH($A921,TinhGia!$B$10:$B$81,0)+1)),"")</f>
        <v/>
      </c>
      <c r="B922" s="525" t="str">
        <f ca="1">IF(OR(A922="",A922=0),"",IF(COUNTIF($A$2:A922,$A922)=1,ROW(MauKoXoa!$C$108),$B921+1))</f>
        <v/>
      </c>
      <c r="C922" s="992" t="str">
        <f t="shared" ca="1" si="152"/>
        <v/>
      </c>
      <c r="D922" s="993" t="str">
        <f t="shared" ca="1" si="153"/>
        <v/>
      </c>
      <c r="E922" s="993" t="str">
        <f t="shared" ca="1" si="154"/>
        <v/>
      </c>
      <c r="F922" s="992" t="str">
        <f t="shared" ca="1" si="162"/>
        <v/>
      </c>
      <c r="G922" s="994">
        <f t="shared" ca="1" si="155"/>
        <v>0</v>
      </c>
      <c r="H922" s="913">
        <f t="shared" ca="1" si="156"/>
        <v>0</v>
      </c>
      <c r="I922" s="913">
        <f t="shared" ca="1" si="157"/>
        <v>0</v>
      </c>
      <c r="J922" s="995">
        <f t="shared" ca="1" si="163"/>
        <v>0</v>
      </c>
      <c r="K922" s="913">
        <f t="shared" ca="1" si="158"/>
        <v>0</v>
      </c>
      <c r="L922" s="995">
        <f t="shared" ca="1" si="164"/>
        <v>0</v>
      </c>
      <c r="M922" s="913">
        <f t="shared" ca="1" si="159"/>
        <v>0</v>
      </c>
      <c r="N922" s="996">
        <f t="shared" ca="1" si="160"/>
        <v>0</v>
      </c>
      <c r="O922" s="997">
        <f t="shared" ca="1" si="161"/>
        <v>0</v>
      </c>
      <c r="P922" s="1015" t="str">
        <f ca="1">IF($C922="","",INDEX(NVLSX!$N$2:$N$6941,MATCH($C922,NVLSX!$E$2:$E$6941,0)))</f>
        <v/>
      </c>
      <c r="Q922" s="1016" t="str">
        <f ca="1">IF($R922="","",IF(XKNVLSX!$X$1="",IF($P922=$V$7,$P922, IF(COUNTIFS($C$2:$C921,$C922,$E$2:$E921,$E922)&gt;=1,"",$P922)),     IF(AND(IFERROR(SEARCH($R922,XKNVLSX!$X$1,1),0)&gt;=1,$P922=$V$7),$P922, IF(OR($R922&lt;&gt;IF(IFERROR(SEARCH($R922,XKNVLSX!$X$1,1),0)&gt;=1,$R922,XKNVLSX!$X$1),COUNTIFS($C$2:$C921,$C922,$E$2:$E921,$E922,$Q$2:$Q921,$P922)&gt;=1),"",$P922))))</f>
        <v/>
      </c>
      <c r="R922" s="1017" t="str">
        <f ca="1">IF($A922="","",IFERROR(INDEX(TinhGia!$BF$10:$BF$81,MATCH($A922,TinhGia!$B$10:$B$81,0)),""))</f>
        <v/>
      </c>
      <c r="S922" s="1012" t="str">
        <f ca="1">IF($A922="","",IF(OR(IFERROR(SEARCH($R922,XKNVLSX!$X$1,1),0)&gt;=1,XKNVLSX!$X$1=""),$S$2,""))</f>
        <v/>
      </c>
      <c r="T922" s="1018" t="str">
        <f ca="1">IF($C922="","", IF(OR($P922=$V$1,$P922=$V$7,COUNTIFS($C$3:$C922,$C922,$E$3:$E922,$E922)&lt;=1),$P922,""    ))</f>
        <v/>
      </c>
      <c r="U922" s="1019" t="str">
        <f ca="1">IF(AND($P922=$V$2,COUNTIFS($C$3:$C922,$C922,$E$3:$E922,$E922,$G$3:$G922,$G922)&lt;=1),$P922,"")</f>
        <v/>
      </c>
    </row>
    <row r="923" spans="1:21">
      <c r="A923" s="991" t="str">
        <f ca="1">IFERROR(IF(COUNTIF($A$3:A922,A922)&lt; INDEX(TinhGia!$BH$10:$BH$81,MATCH($A922,TinhGia!$B$10:$B$81,0)),$A922,INDEX(TinhGia!$B$10:$B$81,MATCH($A922,TinhGia!$B$10:$B$81,0)+1)),"")</f>
        <v/>
      </c>
      <c r="B923" s="525" t="str">
        <f ca="1">IF(OR(A923="",A923=0),"",IF(COUNTIF($A$2:A923,$A923)=1,ROW(MauKoXoa!$C$108),$B922+1))</f>
        <v/>
      </c>
      <c r="C923" s="992" t="str">
        <f t="shared" ca="1" si="152"/>
        <v/>
      </c>
      <c r="D923" s="993" t="str">
        <f t="shared" ca="1" si="153"/>
        <v/>
      </c>
      <c r="E923" s="993" t="str">
        <f t="shared" ca="1" si="154"/>
        <v/>
      </c>
      <c r="F923" s="992" t="str">
        <f t="shared" ca="1" si="162"/>
        <v/>
      </c>
      <c r="G923" s="994">
        <f t="shared" ca="1" si="155"/>
        <v>0</v>
      </c>
      <c r="H923" s="913">
        <f t="shared" ca="1" si="156"/>
        <v>0</v>
      </c>
      <c r="I923" s="913">
        <f t="shared" ca="1" si="157"/>
        <v>0</v>
      </c>
      <c r="J923" s="995">
        <f t="shared" ca="1" si="163"/>
        <v>0</v>
      </c>
      <c r="K923" s="913">
        <f t="shared" ca="1" si="158"/>
        <v>0</v>
      </c>
      <c r="L923" s="995">
        <f t="shared" ca="1" si="164"/>
        <v>0</v>
      </c>
      <c r="M923" s="913">
        <f t="shared" ca="1" si="159"/>
        <v>0</v>
      </c>
      <c r="N923" s="996">
        <f t="shared" ca="1" si="160"/>
        <v>0</v>
      </c>
      <c r="O923" s="997">
        <f t="shared" ca="1" si="161"/>
        <v>0</v>
      </c>
      <c r="P923" s="1015" t="str">
        <f ca="1">IF($C923="","",INDEX(NVLSX!$N$2:$N$6941,MATCH($C923,NVLSX!$E$2:$E$6941,0)))</f>
        <v/>
      </c>
      <c r="Q923" s="1016" t="str">
        <f ca="1">IF($R923="","",IF(XKNVLSX!$X$1="",IF($P923=$V$7,$P923, IF(COUNTIFS($C$2:$C922,$C923,$E$2:$E922,$E923)&gt;=1,"",$P923)),     IF(AND(IFERROR(SEARCH($R923,XKNVLSX!$X$1,1),0)&gt;=1,$P923=$V$7),$P923, IF(OR($R923&lt;&gt;IF(IFERROR(SEARCH($R923,XKNVLSX!$X$1,1),0)&gt;=1,$R923,XKNVLSX!$X$1),COUNTIFS($C$2:$C922,$C923,$E$2:$E922,$E923,$Q$2:$Q922,$P923)&gt;=1),"",$P923))))</f>
        <v/>
      </c>
      <c r="R923" s="1017" t="str">
        <f ca="1">IF($A923="","",IFERROR(INDEX(TinhGia!$BF$10:$BF$81,MATCH($A923,TinhGia!$B$10:$B$81,0)),""))</f>
        <v/>
      </c>
      <c r="S923" s="1012" t="str">
        <f ca="1">IF($A923="","",IF(OR(IFERROR(SEARCH($R923,XKNVLSX!$X$1,1),0)&gt;=1,XKNVLSX!$X$1=""),$S$2,""))</f>
        <v/>
      </c>
      <c r="T923" s="1018" t="str">
        <f ca="1">IF($C923="","", IF(OR($P923=$V$1,$P923=$V$7,COUNTIFS($C$3:$C923,$C923,$E$3:$E923,$E923)&lt;=1),$P923,""    ))</f>
        <v/>
      </c>
      <c r="U923" s="1019" t="str">
        <f ca="1">IF(AND($P923=$V$2,COUNTIFS($C$3:$C923,$C923,$E$3:$E923,$E923,$G$3:$G923,$G923)&lt;=1),$P923,"")</f>
        <v/>
      </c>
    </row>
    <row r="924" spans="1:21">
      <c r="A924" s="991" t="str">
        <f ca="1">IFERROR(IF(COUNTIF($A$3:A923,A923)&lt; INDEX(TinhGia!$BH$10:$BH$81,MATCH($A923,TinhGia!$B$10:$B$81,0)),$A923,INDEX(TinhGia!$B$10:$B$81,MATCH($A923,TinhGia!$B$10:$B$81,0)+1)),"")</f>
        <v/>
      </c>
      <c r="B924" s="525" t="str">
        <f ca="1">IF(OR(A924="",A924=0),"",IF(COUNTIF($A$2:A924,$A924)=1,ROW(MauKoXoa!$C$108),$B923+1))</f>
        <v/>
      </c>
      <c r="C924" s="992" t="str">
        <f t="shared" ca="1" si="152"/>
        <v/>
      </c>
      <c r="D924" s="993" t="str">
        <f t="shared" ca="1" si="153"/>
        <v/>
      </c>
      <c r="E924" s="993" t="str">
        <f t="shared" ca="1" si="154"/>
        <v/>
      </c>
      <c r="F924" s="992" t="str">
        <f t="shared" ca="1" si="162"/>
        <v/>
      </c>
      <c r="G924" s="994">
        <f t="shared" ca="1" si="155"/>
        <v>0</v>
      </c>
      <c r="H924" s="913">
        <f t="shared" ca="1" si="156"/>
        <v>0</v>
      </c>
      <c r="I924" s="913">
        <f t="shared" ca="1" si="157"/>
        <v>0</v>
      </c>
      <c r="J924" s="995">
        <f t="shared" ca="1" si="163"/>
        <v>0</v>
      </c>
      <c r="K924" s="913">
        <f t="shared" ca="1" si="158"/>
        <v>0</v>
      </c>
      <c r="L924" s="995">
        <f t="shared" ca="1" si="164"/>
        <v>0</v>
      </c>
      <c r="M924" s="913">
        <f t="shared" ca="1" si="159"/>
        <v>0</v>
      </c>
      <c r="N924" s="996">
        <f t="shared" ca="1" si="160"/>
        <v>0</v>
      </c>
      <c r="O924" s="997">
        <f t="shared" ca="1" si="161"/>
        <v>0</v>
      </c>
      <c r="P924" s="1015" t="str">
        <f ca="1">IF($C924="","",INDEX(NVLSX!$N$2:$N$6941,MATCH($C924,NVLSX!$E$2:$E$6941,0)))</f>
        <v/>
      </c>
      <c r="Q924" s="1016" t="str">
        <f ca="1">IF($R924="","",IF(XKNVLSX!$X$1="",IF($P924=$V$7,$P924, IF(COUNTIFS($C$2:$C923,$C924,$E$2:$E923,$E924)&gt;=1,"",$P924)),     IF(AND(IFERROR(SEARCH($R924,XKNVLSX!$X$1,1),0)&gt;=1,$P924=$V$7),$P924, IF(OR($R924&lt;&gt;IF(IFERROR(SEARCH($R924,XKNVLSX!$X$1,1),0)&gt;=1,$R924,XKNVLSX!$X$1),COUNTIFS($C$2:$C923,$C924,$E$2:$E923,$E924,$Q$2:$Q923,$P924)&gt;=1),"",$P924))))</f>
        <v/>
      </c>
      <c r="R924" s="1017" t="str">
        <f ca="1">IF($A924="","",IFERROR(INDEX(TinhGia!$BF$10:$BF$81,MATCH($A924,TinhGia!$B$10:$B$81,0)),""))</f>
        <v/>
      </c>
      <c r="S924" s="1012" t="str">
        <f ca="1">IF($A924="","",IF(OR(IFERROR(SEARCH($R924,XKNVLSX!$X$1,1),0)&gt;=1,XKNVLSX!$X$1=""),$S$2,""))</f>
        <v/>
      </c>
      <c r="T924" s="1018" t="str">
        <f ca="1">IF($C924="","", IF(OR($P924=$V$1,$P924=$V$7,COUNTIFS($C$3:$C924,$C924,$E$3:$E924,$E924)&lt;=1),$P924,""    ))</f>
        <v/>
      </c>
      <c r="U924" s="1019" t="str">
        <f ca="1">IF(AND($P924=$V$2,COUNTIFS($C$3:$C924,$C924,$E$3:$E924,$E924,$G$3:$G924,$G924)&lt;=1),$P924,"")</f>
        <v/>
      </c>
    </row>
    <row r="925" spans="1:21">
      <c r="A925" s="991" t="str">
        <f ca="1">IFERROR(IF(COUNTIF($A$3:A924,A924)&lt; INDEX(TinhGia!$BH$10:$BH$81,MATCH($A924,TinhGia!$B$10:$B$81,0)),$A924,INDEX(TinhGia!$B$10:$B$81,MATCH($A924,TinhGia!$B$10:$B$81,0)+1)),"")</f>
        <v/>
      </c>
      <c r="B925" s="525" t="str">
        <f ca="1">IF(OR(A925="",A925=0),"",IF(COUNTIF($A$2:A925,$A925)=1,ROW(MauKoXoa!$C$108),$B924+1))</f>
        <v/>
      </c>
      <c r="C925" s="992" t="str">
        <f t="shared" ca="1" si="152"/>
        <v/>
      </c>
      <c r="D925" s="993" t="str">
        <f t="shared" ca="1" si="153"/>
        <v/>
      </c>
      <c r="E925" s="993" t="str">
        <f t="shared" ca="1" si="154"/>
        <v/>
      </c>
      <c r="F925" s="992" t="str">
        <f t="shared" ca="1" si="162"/>
        <v/>
      </c>
      <c r="G925" s="994">
        <f t="shared" ca="1" si="155"/>
        <v>0</v>
      </c>
      <c r="H925" s="913">
        <f t="shared" ca="1" si="156"/>
        <v>0</v>
      </c>
      <c r="I925" s="913">
        <f t="shared" ca="1" si="157"/>
        <v>0</v>
      </c>
      <c r="J925" s="995">
        <f t="shared" ca="1" si="163"/>
        <v>0</v>
      </c>
      <c r="K925" s="913">
        <f t="shared" ca="1" si="158"/>
        <v>0</v>
      </c>
      <c r="L925" s="995">
        <f t="shared" ca="1" si="164"/>
        <v>0</v>
      </c>
      <c r="M925" s="913">
        <f t="shared" ca="1" si="159"/>
        <v>0</v>
      </c>
      <c r="N925" s="996">
        <f t="shared" ca="1" si="160"/>
        <v>0</v>
      </c>
      <c r="O925" s="997">
        <f t="shared" ca="1" si="161"/>
        <v>0</v>
      </c>
      <c r="P925" s="1015" t="str">
        <f ca="1">IF($C925="","",INDEX(NVLSX!$N$2:$N$6941,MATCH($C925,NVLSX!$E$2:$E$6941,0)))</f>
        <v/>
      </c>
      <c r="Q925" s="1016" t="str">
        <f ca="1">IF($R925="","",IF(XKNVLSX!$X$1="",IF($P925=$V$7,$P925, IF(COUNTIFS($C$2:$C924,$C925,$E$2:$E924,$E925)&gt;=1,"",$P925)),     IF(AND(IFERROR(SEARCH($R925,XKNVLSX!$X$1,1),0)&gt;=1,$P925=$V$7),$P925, IF(OR($R925&lt;&gt;IF(IFERROR(SEARCH($R925,XKNVLSX!$X$1,1),0)&gt;=1,$R925,XKNVLSX!$X$1),COUNTIFS($C$2:$C924,$C925,$E$2:$E924,$E925,$Q$2:$Q924,$P925)&gt;=1),"",$P925))))</f>
        <v/>
      </c>
      <c r="R925" s="1017" t="str">
        <f ca="1">IF($A925="","",IFERROR(INDEX(TinhGia!$BF$10:$BF$81,MATCH($A925,TinhGia!$B$10:$B$81,0)),""))</f>
        <v/>
      </c>
      <c r="S925" s="1012" t="str">
        <f ca="1">IF($A925="","",IF(OR(IFERROR(SEARCH($R925,XKNVLSX!$X$1,1),0)&gt;=1,XKNVLSX!$X$1=""),$S$2,""))</f>
        <v/>
      </c>
      <c r="T925" s="1018" t="str">
        <f ca="1">IF($C925="","", IF(OR($P925=$V$1,$P925=$V$7,COUNTIFS($C$3:$C925,$C925,$E$3:$E925,$E925)&lt;=1),$P925,""    ))</f>
        <v/>
      </c>
      <c r="U925" s="1019" t="str">
        <f ca="1">IF(AND($P925=$V$2,COUNTIFS($C$3:$C925,$C925,$E$3:$E925,$E925,$G$3:$G925,$G925)&lt;=1),$P925,"")</f>
        <v/>
      </c>
    </row>
    <row r="926" spans="1:21">
      <c r="A926" s="991" t="str">
        <f ca="1">IFERROR(IF(COUNTIF($A$3:A925,A925)&lt; INDEX(TinhGia!$BH$10:$BH$81,MATCH($A925,TinhGia!$B$10:$B$81,0)),$A925,INDEX(TinhGia!$B$10:$B$81,MATCH($A925,TinhGia!$B$10:$B$81,0)+1)),"")</f>
        <v/>
      </c>
      <c r="B926" s="525" t="str">
        <f ca="1">IF(OR(A926="",A926=0),"",IF(COUNTIF($A$2:A926,$A926)=1,ROW(MauKoXoa!$C$108),$B925+1))</f>
        <v/>
      </c>
      <c r="C926" s="992" t="str">
        <f t="shared" ca="1" si="152"/>
        <v/>
      </c>
      <c r="D926" s="993" t="str">
        <f t="shared" ca="1" si="153"/>
        <v/>
      </c>
      <c r="E926" s="993" t="str">
        <f t="shared" ca="1" si="154"/>
        <v/>
      </c>
      <c r="F926" s="992" t="str">
        <f t="shared" ca="1" si="162"/>
        <v/>
      </c>
      <c r="G926" s="994">
        <f t="shared" ca="1" si="155"/>
        <v>0</v>
      </c>
      <c r="H926" s="913">
        <f t="shared" ca="1" si="156"/>
        <v>0</v>
      </c>
      <c r="I926" s="913">
        <f t="shared" ca="1" si="157"/>
        <v>0</v>
      </c>
      <c r="J926" s="995">
        <f t="shared" ca="1" si="163"/>
        <v>0</v>
      </c>
      <c r="K926" s="913">
        <f t="shared" ca="1" si="158"/>
        <v>0</v>
      </c>
      <c r="L926" s="995">
        <f t="shared" ca="1" si="164"/>
        <v>0</v>
      </c>
      <c r="M926" s="913">
        <f t="shared" ca="1" si="159"/>
        <v>0</v>
      </c>
      <c r="N926" s="996">
        <f t="shared" ca="1" si="160"/>
        <v>0</v>
      </c>
      <c r="O926" s="997">
        <f t="shared" ca="1" si="161"/>
        <v>0</v>
      </c>
      <c r="P926" s="1015" t="str">
        <f ca="1">IF($C926="","",INDEX(NVLSX!$N$2:$N$6941,MATCH($C926,NVLSX!$E$2:$E$6941,0)))</f>
        <v/>
      </c>
      <c r="Q926" s="1016" t="str">
        <f ca="1">IF($R926="","",IF(XKNVLSX!$X$1="",IF($P926=$V$7,$P926, IF(COUNTIFS($C$2:$C925,$C926,$E$2:$E925,$E926)&gt;=1,"",$P926)),     IF(AND(IFERROR(SEARCH($R926,XKNVLSX!$X$1,1),0)&gt;=1,$P926=$V$7),$P926, IF(OR($R926&lt;&gt;IF(IFERROR(SEARCH($R926,XKNVLSX!$X$1,1),0)&gt;=1,$R926,XKNVLSX!$X$1),COUNTIFS($C$2:$C925,$C926,$E$2:$E925,$E926,$Q$2:$Q925,$P926)&gt;=1),"",$P926))))</f>
        <v/>
      </c>
      <c r="R926" s="1017" t="str">
        <f ca="1">IF($A926="","",IFERROR(INDEX(TinhGia!$BF$10:$BF$81,MATCH($A926,TinhGia!$B$10:$B$81,0)),""))</f>
        <v/>
      </c>
      <c r="S926" s="1012" t="str">
        <f ca="1">IF($A926="","",IF(OR(IFERROR(SEARCH($R926,XKNVLSX!$X$1,1),0)&gt;=1,XKNVLSX!$X$1=""),$S$2,""))</f>
        <v/>
      </c>
      <c r="T926" s="1018" t="str">
        <f ca="1">IF($C926="","", IF(OR($P926=$V$1,$P926=$V$7,COUNTIFS($C$3:$C926,$C926,$E$3:$E926,$E926)&lt;=1),$P926,""    ))</f>
        <v/>
      </c>
      <c r="U926" s="1019" t="str">
        <f ca="1">IF(AND($P926=$V$2,COUNTIFS($C$3:$C926,$C926,$E$3:$E926,$E926,$G$3:$G926,$G926)&lt;=1),$P926,"")</f>
        <v/>
      </c>
    </row>
    <row r="927" spans="1:21">
      <c r="A927" s="991" t="str">
        <f ca="1">IFERROR(IF(COUNTIF($A$3:A926,A926)&lt; INDEX(TinhGia!$BH$10:$BH$81,MATCH($A926,TinhGia!$B$10:$B$81,0)),$A926,INDEX(TinhGia!$B$10:$B$81,MATCH($A926,TinhGia!$B$10:$B$81,0)+1)),"")</f>
        <v/>
      </c>
      <c r="B927" s="525" t="str">
        <f ca="1">IF(OR(A927="",A927=0),"",IF(COUNTIF($A$2:A927,$A927)=1,ROW(MauKoXoa!$C$108),$B926+1))</f>
        <v/>
      </c>
      <c r="C927" s="992" t="str">
        <f t="shared" ca="1" si="152"/>
        <v/>
      </c>
      <c r="D927" s="993" t="str">
        <f t="shared" ca="1" si="153"/>
        <v/>
      </c>
      <c r="E927" s="993" t="str">
        <f t="shared" ca="1" si="154"/>
        <v/>
      </c>
      <c r="F927" s="992" t="str">
        <f t="shared" ca="1" si="162"/>
        <v/>
      </c>
      <c r="G927" s="994">
        <f t="shared" ca="1" si="155"/>
        <v>0</v>
      </c>
      <c r="H927" s="913">
        <f t="shared" ca="1" si="156"/>
        <v>0</v>
      </c>
      <c r="I927" s="913">
        <f t="shared" ca="1" si="157"/>
        <v>0</v>
      </c>
      <c r="J927" s="995">
        <f t="shared" ca="1" si="163"/>
        <v>0</v>
      </c>
      <c r="K927" s="913">
        <f t="shared" ca="1" si="158"/>
        <v>0</v>
      </c>
      <c r="L927" s="995">
        <f t="shared" ca="1" si="164"/>
        <v>0</v>
      </c>
      <c r="M927" s="913">
        <f t="shared" ca="1" si="159"/>
        <v>0</v>
      </c>
      <c r="N927" s="996">
        <f t="shared" ca="1" si="160"/>
        <v>0</v>
      </c>
      <c r="O927" s="997">
        <f t="shared" ca="1" si="161"/>
        <v>0</v>
      </c>
      <c r="P927" s="1015" t="str">
        <f ca="1">IF($C927="","",INDEX(NVLSX!$N$2:$N$6941,MATCH($C927,NVLSX!$E$2:$E$6941,0)))</f>
        <v/>
      </c>
      <c r="Q927" s="1016" t="str">
        <f ca="1">IF($R927="","",IF(XKNVLSX!$X$1="",IF($P927=$V$7,$P927, IF(COUNTIFS($C$2:$C926,$C927,$E$2:$E926,$E927)&gt;=1,"",$P927)),     IF(AND(IFERROR(SEARCH($R927,XKNVLSX!$X$1,1),0)&gt;=1,$P927=$V$7),$P927, IF(OR($R927&lt;&gt;IF(IFERROR(SEARCH($R927,XKNVLSX!$X$1,1),0)&gt;=1,$R927,XKNVLSX!$X$1),COUNTIFS($C$2:$C926,$C927,$E$2:$E926,$E927,$Q$2:$Q926,$P927)&gt;=1),"",$P927))))</f>
        <v/>
      </c>
      <c r="R927" s="1017" t="str">
        <f ca="1">IF($A927="","",IFERROR(INDEX(TinhGia!$BF$10:$BF$81,MATCH($A927,TinhGia!$B$10:$B$81,0)),""))</f>
        <v/>
      </c>
      <c r="S927" s="1012" t="str">
        <f ca="1">IF($A927="","",IF(OR(IFERROR(SEARCH($R927,XKNVLSX!$X$1,1),0)&gt;=1,XKNVLSX!$X$1=""),$S$2,""))</f>
        <v/>
      </c>
      <c r="T927" s="1018" t="str">
        <f ca="1">IF($C927="","", IF(OR($P927=$V$1,$P927=$V$7,COUNTIFS($C$3:$C927,$C927,$E$3:$E927,$E927)&lt;=1),$P927,""    ))</f>
        <v/>
      </c>
      <c r="U927" s="1019" t="str">
        <f ca="1">IF(AND($P927=$V$2,COUNTIFS($C$3:$C927,$C927,$E$3:$E927,$E927,$G$3:$G927,$G927)&lt;=1),$P927,"")</f>
        <v/>
      </c>
    </row>
    <row r="928" spans="1:21">
      <c r="A928" s="991" t="str">
        <f ca="1">IFERROR(IF(COUNTIF($A$3:A927,A927)&lt; INDEX(TinhGia!$BH$10:$BH$81,MATCH($A927,TinhGia!$B$10:$B$81,0)),$A927,INDEX(TinhGia!$B$10:$B$81,MATCH($A927,TinhGia!$B$10:$B$81,0)+1)),"")</f>
        <v/>
      </c>
      <c r="B928" s="525" t="str">
        <f ca="1">IF(OR(A928="",A928=0),"",IF(COUNTIF($A$2:A928,$A928)=1,ROW(MauKoXoa!$C$108),$B927+1))</f>
        <v/>
      </c>
      <c r="C928" s="992" t="str">
        <f t="shared" ca="1" si="152"/>
        <v/>
      </c>
      <c r="D928" s="993" t="str">
        <f t="shared" ca="1" si="153"/>
        <v/>
      </c>
      <c r="E928" s="993" t="str">
        <f t="shared" ca="1" si="154"/>
        <v/>
      </c>
      <c r="F928" s="992" t="str">
        <f t="shared" ca="1" si="162"/>
        <v/>
      </c>
      <c r="G928" s="994">
        <f t="shared" ca="1" si="155"/>
        <v>0</v>
      </c>
      <c r="H928" s="913">
        <f t="shared" ca="1" si="156"/>
        <v>0</v>
      </c>
      <c r="I928" s="913">
        <f t="shared" ca="1" si="157"/>
        <v>0</v>
      </c>
      <c r="J928" s="995">
        <f t="shared" ca="1" si="163"/>
        <v>0</v>
      </c>
      <c r="K928" s="913">
        <f t="shared" ca="1" si="158"/>
        <v>0</v>
      </c>
      <c r="L928" s="995">
        <f t="shared" ca="1" si="164"/>
        <v>0</v>
      </c>
      <c r="M928" s="913">
        <f t="shared" ca="1" si="159"/>
        <v>0</v>
      </c>
      <c r="N928" s="996">
        <f t="shared" ca="1" si="160"/>
        <v>0</v>
      </c>
      <c r="O928" s="997">
        <f t="shared" ca="1" si="161"/>
        <v>0</v>
      </c>
      <c r="P928" s="1015" t="str">
        <f ca="1">IF($C928="","",INDEX(NVLSX!$N$2:$N$6941,MATCH($C928,NVLSX!$E$2:$E$6941,0)))</f>
        <v/>
      </c>
      <c r="Q928" s="1016" t="str">
        <f ca="1">IF($R928="","",IF(XKNVLSX!$X$1="",IF($P928=$V$7,$P928, IF(COUNTIFS($C$2:$C927,$C928,$E$2:$E927,$E928)&gt;=1,"",$P928)),     IF(AND(IFERROR(SEARCH($R928,XKNVLSX!$X$1,1),0)&gt;=1,$P928=$V$7),$P928, IF(OR($R928&lt;&gt;IF(IFERROR(SEARCH($R928,XKNVLSX!$X$1,1),0)&gt;=1,$R928,XKNVLSX!$X$1),COUNTIFS($C$2:$C927,$C928,$E$2:$E927,$E928,$Q$2:$Q927,$P928)&gt;=1),"",$P928))))</f>
        <v/>
      </c>
      <c r="R928" s="1017" t="str">
        <f ca="1">IF($A928="","",IFERROR(INDEX(TinhGia!$BF$10:$BF$81,MATCH($A928,TinhGia!$B$10:$B$81,0)),""))</f>
        <v/>
      </c>
      <c r="S928" s="1012" t="str">
        <f ca="1">IF($A928="","",IF(OR(IFERROR(SEARCH($R928,XKNVLSX!$X$1,1),0)&gt;=1,XKNVLSX!$X$1=""),$S$2,""))</f>
        <v/>
      </c>
      <c r="T928" s="1018" t="str">
        <f ca="1">IF($C928="","", IF(OR($P928=$V$1,$P928=$V$7,COUNTIFS($C$3:$C928,$C928,$E$3:$E928,$E928)&lt;=1),$P928,""    ))</f>
        <v/>
      </c>
      <c r="U928" s="1019" t="str">
        <f ca="1">IF(AND($P928=$V$2,COUNTIFS($C$3:$C928,$C928,$E$3:$E928,$E928,$G$3:$G928,$G928)&lt;=1),$P928,"")</f>
        <v/>
      </c>
    </row>
    <row r="929" spans="1:21">
      <c r="A929" s="991" t="str">
        <f ca="1">IFERROR(IF(COUNTIF($A$3:A928,A928)&lt; INDEX(TinhGia!$BH$10:$BH$81,MATCH($A928,TinhGia!$B$10:$B$81,0)),$A928,INDEX(TinhGia!$B$10:$B$81,MATCH($A928,TinhGia!$B$10:$B$81,0)+1)),"")</f>
        <v/>
      </c>
      <c r="B929" s="525" t="str">
        <f ca="1">IF(OR(A929="",A929=0),"",IF(COUNTIF($A$2:A929,$A929)=1,ROW(MauKoXoa!$C$108),$B928+1))</f>
        <v/>
      </c>
      <c r="C929" s="992" t="str">
        <f t="shared" ca="1" si="152"/>
        <v/>
      </c>
      <c r="D929" s="993" t="str">
        <f t="shared" ca="1" si="153"/>
        <v/>
      </c>
      <c r="E929" s="993" t="str">
        <f t="shared" ca="1" si="154"/>
        <v/>
      </c>
      <c r="F929" s="992" t="str">
        <f t="shared" ca="1" si="162"/>
        <v/>
      </c>
      <c r="G929" s="994">
        <f t="shared" ca="1" si="155"/>
        <v>0</v>
      </c>
      <c r="H929" s="913">
        <f t="shared" ca="1" si="156"/>
        <v>0</v>
      </c>
      <c r="I929" s="913">
        <f t="shared" ca="1" si="157"/>
        <v>0</v>
      </c>
      <c r="J929" s="995">
        <f t="shared" ca="1" si="163"/>
        <v>0</v>
      </c>
      <c r="K929" s="913">
        <f t="shared" ca="1" si="158"/>
        <v>0</v>
      </c>
      <c r="L929" s="995">
        <f t="shared" ca="1" si="164"/>
        <v>0</v>
      </c>
      <c r="M929" s="913">
        <f t="shared" ca="1" si="159"/>
        <v>0</v>
      </c>
      <c r="N929" s="996">
        <f t="shared" ca="1" si="160"/>
        <v>0</v>
      </c>
      <c r="O929" s="997">
        <f t="shared" ca="1" si="161"/>
        <v>0</v>
      </c>
      <c r="P929" s="1015" t="str">
        <f ca="1">IF($C929="","",INDEX(NVLSX!$N$2:$N$6941,MATCH($C929,NVLSX!$E$2:$E$6941,0)))</f>
        <v/>
      </c>
      <c r="Q929" s="1016" t="str">
        <f ca="1">IF($R929="","",IF(XKNVLSX!$X$1="",IF($P929=$V$7,$P929, IF(COUNTIFS($C$2:$C928,$C929,$E$2:$E928,$E929)&gt;=1,"",$P929)),     IF(AND(IFERROR(SEARCH($R929,XKNVLSX!$X$1,1),0)&gt;=1,$P929=$V$7),$P929, IF(OR($R929&lt;&gt;IF(IFERROR(SEARCH($R929,XKNVLSX!$X$1,1),0)&gt;=1,$R929,XKNVLSX!$X$1),COUNTIFS($C$2:$C928,$C929,$E$2:$E928,$E929,$Q$2:$Q928,$P929)&gt;=1),"",$P929))))</f>
        <v/>
      </c>
      <c r="R929" s="1017" t="str">
        <f ca="1">IF($A929="","",IFERROR(INDEX(TinhGia!$BF$10:$BF$81,MATCH($A929,TinhGia!$B$10:$B$81,0)),""))</f>
        <v/>
      </c>
      <c r="S929" s="1012" t="str">
        <f ca="1">IF($A929="","",IF(OR(IFERROR(SEARCH($R929,XKNVLSX!$X$1,1),0)&gt;=1,XKNVLSX!$X$1=""),$S$2,""))</f>
        <v/>
      </c>
      <c r="T929" s="1018" t="str">
        <f ca="1">IF($C929="","", IF(OR($P929=$V$1,$P929=$V$7,COUNTIFS($C$3:$C929,$C929,$E$3:$E929,$E929)&lt;=1),$P929,""    ))</f>
        <v/>
      </c>
      <c r="U929" s="1019" t="str">
        <f ca="1">IF(AND($P929=$V$2,COUNTIFS($C$3:$C929,$C929,$E$3:$E929,$E929,$G$3:$G929,$G929)&lt;=1),$P929,"")</f>
        <v/>
      </c>
    </row>
    <row r="930" spans="1:21">
      <c r="A930" s="991" t="str">
        <f ca="1">IFERROR(IF(COUNTIF($A$3:A929,A929)&lt; INDEX(TinhGia!$BH$10:$BH$81,MATCH($A929,TinhGia!$B$10:$B$81,0)),$A929,INDEX(TinhGia!$B$10:$B$81,MATCH($A929,TinhGia!$B$10:$B$81,0)+1)),"")</f>
        <v/>
      </c>
      <c r="B930" s="525" t="str">
        <f ca="1">IF(OR(A930="",A930=0),"",IF(COUNTIF($A$2:A930,$A930)=1,ROW(MauKoXoa!$C$108),$B929+1))</f>
        <v/>
      </c>
      <c r="C930" s="992" t="str">
        <f t="shared" ca="1" si="152"/>
        <v/>
      </c>
      <c r="D930" s="993" t="str">
        <f t="shared" ca="1" si="153"/>
        <v/>
      </c>
      <c r="E930" s="993" t="str">
        <f t="shared" ca="1" si="154"/>
        <v/>
      </c>
      <c r="F930" s="992" t="str">
        <f t="shared" ca="1" si="162"/>
        <v/>
      </c>
      <c r="G930" s="994">
        <f t="shared" ca="1" si="155"/>
        <v>0</v>
      </c>
      <c r="H930" s="913">
        <f t="shared" ca="1" si="156"/>
        <v>0</v>
      </c>
      <c r="I930" s="913">
        <f t="shared" ca="1" si="157"/>
        <v>0</v>
      </c>
      <c r="J930" s="995">
        <f t="shared" ca="1" si="163"/>
        <v>0</v>
      </c>
      <c r="K930" s="913">
        <f t="shared" ca="1" si="158"/>
        <v>0</v>
      </c>
      <c r="L930" s="995">
        <f t="shared" ca="1" si="164"/>
        <v>0</v>
      </c>
      <c r="M930" s="913">
        <f t="shared" ca="1" si="159"/>
        <v>0</v>
      </c>
      <c r="N930" s="996">
        <f t="shared" ca="1" si="160"/>
        <v>0</v>
      </c>
      <c r="O930" s="997">
        <f t="shared" ca="1" si="161"/>
        <v>0</v>
      </c>
      <c r="P930" s="1015" t="str">
        <f ca="1">IF($C930="","",INDEX(NVLSX!$N$2:$N$6941,MATCH($C930,NVLSX!$E$2:$E$6941,0)))</f>
        <v/>
      </c>
      <c r="Q930" s="1016" t="str">
        <f ca="1">IF($R930="","",IF(XKNVLSX!$X$1="",IF($P930=$V$7,$P930, IF(COUNTIFS($C$2:$C929,$C930,$E$2:$E929,$E930)&gt;=1,"",$P930)),     IF(AND(IFERROR(SEARCH($R930,XKNVLSX!$X$1,1),0)&gt;=1,$P930=$V$7),$P930, IF(OR($R930&lt;&gt;IF(IFERROR(SEARCH($R930,XKNVLSX!$X$1,1),0)&gt;=1,$R930,XKNVLSX!$X$1),COUNTIFS($C$2:$C929,$C930,$E$2:$E929,$E930,$Q$2:$Q929,$P930)&gt;=1),"",$P930))))</f>
        <v/>
      </c>
      <c r="R930" s="1017" t="str">
        <f ca="1">IF($A930="","",IFERROR(INDEX(TinhGia!$BF$10:$BF$81,MATCH($A930,TinhGia!$B$10:$B$81,0)),""))</f>
        <v/>
      </c>
      <c r="S930" s="1012" t="str">
        <f ca="1">IF($A930="","",IF(OR(IFERROR(SEARCH($R930,XKNVLSX!$X$1,1),0)&gt;=1,XKNVLSX!$X$1=""),$S$2,""))</f>
        <v/>
      </c>
      <c r="T930" s="1018" t="str">
        <f ca="1">IF($C930="","", IF(OR($P930=$V$1,$P930=$V$7,COUNTIFS($C$3:$C930,$C930,$E$3:$E930,$E930)&lt;=1),$P930,""    ))</f>
        <v/>
      </c>
      <c r="U930" s="1019" t="str">
        <f ca="1">IF(AND($P930=$V$2,COUNTIFS($C$3:$C930,$C930,$E$3:$E930,$E930,$G$3:$G930,$G930)&lt;=1),$P930,"")</f>
        <v/>
      </c>
    </row>
    <row r="931" spans="1:21">
      <c r="A931" s="991" t="str">
        <f ca="1">IFERROR(IF(COUNTIF($A$3:A930,A930)&lt; INDEX(TinhGia!$BH$10:$BH$81,MATCH($A930,TinhGia!$B$10:$B$81,0)),$A930,INDEX(TinhGia!$B$10:$B$81,MATCH($A930,TinhGia!$B$10:$B$81,0)+1)),"")</f>
        <v/>
      </c>
      <c r="B931" s="525" t="str">
        <f ca="1">IF(OR(A931="",A931=0),"",IF(COUNTIF($A$2:A931,$A931)=1,ROW(MauKoXoa!$C$108),$B930+1))</f>
        <v/>
      </c>
      <c r="C931" s="992" t="str">
        <f t="shared" ca="1" si="152"/>
        <v/>
      </c>
      <c r="D931" s="993" t="str">
        <f t="shared" ca="1" si="153"/>
        <v/>
      </c>
      <c r="E931" s="993" t="str">
        <f t="shared" ca="1" si="154"/>
        <v/>
      </c>
      <c r="F931" s="992" t="str">
        <f t="shared" ca="1" si="162"/>
        <v/>
      </c>
      <c r="G931" s="994">
        <f t="shared" ca="1" si="155"/>
        <v>0</v>
      </c>
      <c r="H931" s="913">
        <f t="shared" ca="1" si="156"/>
        <v>0</v>
      </c>
      <c r="I931" s="913">
        <f t="shared" ca="1" si="157"/>
        <v>0</v>
      </c>
      <c r="J931" s="995">
        <f t="shared" ca="1" si="163"/>
        <v>0</v>
      </c>
      <c r="K931" s="913">
        <f t="shared" ca="1" si="158"/>
        <v>0</v>
      </c>
      <c r="L931" s="995">
        <f t="shared" ca="1" si="164"/>
        <v>0</v>
      </c>
      <c r="M931" s="913">
        <f t="shared" ca="1" si="159"/>
        <v>0</v>
      </c>
      <c r="N931" s="996">
        <f t="shared" ca="1" si="160"/>
        <v>0</v>
      </c>
      <c r="O931" s="997">
        <f t="shared" ca="1" si="161"/>
        <v>0</v>
      </c>
      <c r="P931" s="1015" t="str">
        <f ca="1">IF($C931="","",INDEX(NVLSX!$N$2:$N$6941,MATCH($C931,NVLSX!$E$2:$E$6941,0)))</f>
        <v/>
      </c>
      <c r="Q931" s="1016" t="str">
        <f ca="1">IF($R931="","",IF(XKNVLSX!$X$1="",IF($P931=$V$7,$P931, IF(COUNTIFS($C$2:$C930,$C931,$E$2:$E930,$E931)&gt;=1,"",$P931)),     IF(AND(IFERROR(SEARCH($R931,XKNVLSX!$X$1,1),0)&gt;=1,$P931=$V$7),$P931, IF(OR($R931&lt;&gt;IF(IFERROR(SEARCH($R931,XKNVLSX!$X$1,1),0)&gt;=1,$R931,XKNVLSX!$X$1),COUNTIFS($C$2:$C930,$C931,$E$2:$E930,$E931,$Q$2:$Q930,$P931)&gt;=1),"",$P931))))</f>
        <v/>
      </c>
      <c r="R931" s="1017" t="str">
        <f ca="1">IF($A931="","",IFERROR(INDEX(TinhGia!$BF$10:$BF$81,MATCH($A931,TinhGia!$B$10:$B$81,0)),""))</f>
        <v/>
      </c>
      <c r="S931" s="1012" t="str">
        <f ca="1">IF($A931="","",IF(OR(IFERROR(SEARCH($R931,XKNVLSX!$X$1,1),0)&gt;=1,XKNVLSX!$X$1=""),$S$2,""))</f>
        <v/>
      </c>
      <c r="T931" s="1018" t="str">
        <f ca="1">IF($C931="","", IF(OR($P931=$V$1,$P931=$V$7,COUNTIFS($C$3:$C931,$C931,$E$3:$E931,$E931)&lt;=1),$P931,""    ))</f>
        <v/>
      </c>
      <c r="U931" s="1019" t="str">
        <f ca="1">IF(AND($P931=$V$2,COUNTIFS($C$3:$C931,$C931,$E$3:$E931,$E931,$G$3:$G931,$G931)&lt;=1),$P931,"")</f>
        <v/>
      </c>
    </row>
    <row r="932" spans="1:21">
      <c r="A932" s="991" t="str">
        <f ca="1">IFERROR(IF(COUNTIF($A$3:A931,A931)&lt; INDEX(TinhGia!$BH$10:$BH$81,MATCH($A931,TinhGia!$B$10:$B$81,0)),$A931,INDEX(TinhGia!$B$10:$B$81,MATCH($A931,TinhGia!$B$10:$B$81,0)+1)),"")</f>
        <v/>
      </c>
      <c r="B932" s="525" t="str">
        <f ca="1">IF(OR(A932="",A932=0),"",IF(COUNTIF($A$2:A932,$A932)=1,ROW(MauKoXoa!$C$108),$B931+1))</f>
        <v/>
      </c>
      <c r="C932" s="992" t="str">
        <f t="shared" ca="1" si="152"/>
        <v/>
      </c>
      <c r="D932" s="993" t="str">
        <f t="shared" ca="1" si="153"/>
        <v/>
      </c>
      <c r="E932" s="993" t="str">
        <f t="shared" ca="1" si="154"/>
        <v/>
      </c>
      <c r="F932" s="992" t="str">
        <f t="shared" ca="1" si="162"/>
        <v/>
      </c>
      <c r="G932" s="994">
        <f t="shared" ca="1" si="155"/>
        <v>0</v>
      </c>
      <c r="H932" s="913">
        <f t="shared" ca="1" si="156"/>
        <v>0</v>
      </c>
      <c r="I932" s="913">
        <f t="shared" ca="1" si="157"/>
        <v>0</v>
      </c>
      <c r="J932" s="995">
        <f t="shared" ca="1" si="163"/>
        <v>0</v>
      </c>
      <c r="K932" s="913">
        <f t="shared" ca="1" si="158"/>
        <v>0</v>
      </c>
      <c r="L932" s="995">
        <f t="shared" ca="1" si="164"/>
        <v>0</v>
      </c>
      <c r="M932" s="913">
        <f t="shared" ca="1" si="159"/>
        <v>0</v>
      </c>
      <c r="N932" s="996">
        <f t="shared" ca="1" si="160"/>
        <v>0</v>
      </c>
      <c r="O932" s="997">
        <f t="shared" ca="1" si="161"/>
        <v>0</v>
      </c>
      <c r="P932" s="1015" t="str">
        <f ca="1">IF($C932="","",INDEX(NVLSX!$N$2:$N$6941,MATCH($C932,NVLSX!$E$2:$E$6941,0)))</f>
        <v/>
      </c>
      <c r="Q932" s="1016" t="str">
        <f ca="1">IF($R932="","",IF(XKNVLSX!$X$1="",IF($P932=$V$7,$P932, IF(COUNTIFS($C$2:$C931,$C932,$E$2:$E931,$E932)&gt;=1,"",$P932)),     IF(AND(IFERROR(SEARCH($R932,XKNVLSX!$X$1,1),0)&gt;=1,$P932=$V$7),$P932, IF(OR($R932&lt;&gt;IF(IFERROR(SEARCH($R932,XKNVLSX!$X$1,1),0)&gt;=1,$R932,XKNVLSX!$X$1),COUNTIFS($C$2:$C931,$C932,$E$2:$E931,$E932,$Q$2:$Q931,$P932)&gt;=1),"",$P932))))</f>
        <v/>
      </c>
      <c r="R932" s="1017" t="str">
        <f ca="1">IF($A932="","",IFERROR(INDEX(TinhGia!$BF$10:$BF$81,MATCH($A932,TinhGia!$B$10:$B$81,0)),""))</f>
        <v/>
      </c>
      <c r="S932" s="1012" t="str">
        <f ca="1">IF($A932="","",IF(OR(IFERROR(SEARCH($R932,XKNVLSX!$X$1,1),0)&gt;=1,XKNVLSX!$X$1=""),$S$2,""))</f>
        <v/>
      </c>
      <c r="T932" s="1018" t="str">
        <f ca="1">IF($C932="","", IF(OR($P932=$V$1,$P932=$V$7,COUNTIFS($C$3:$C932,$C932,$E$3:$E932,$E932)&lt;=1),$P932,""    ))</f>
        <v/>
      </c>
      <c r="U932" s="1019" t="str">
        <f ca="1">IF(AND($P932=$V$2,COUNTIFS($C$3:$C932,$C932,$E$3:$E932,$E932,$G$3:$G932,$G932)&lt;=1),$P932,"")</f>
        <v/>
      </c>
    </row>
    <row r="933" spans="1:21">
      <c r="A933" s="991" t="str">
        <f ca="1">IFERROR(IF(COUNTIF($A$3:A932,A932)&lt; INDEX(TinhGia!$BH$10:$BH$81,MATCH($A932,TinhGia!$B$10:$B$81,0)),$A932,INDEX(TinhGia!$B$10:$B$81,MATCH($A932,TinhGia!$B$10:$B$81,0)+1)),"")</f>
        <v/>
      </c>
      <c r="B933" s="525" t="str">
        <f ca="1">IF(OR(A933="",A933=0),"",IF(COUNTIF($A$2:A933,$A933)=1,ROW(MauKoXoa!$C$108),$B932+1))</f>
        <v/>
      </c>
      <c r="C933" s="992" t="str">
        <f t="shared" ca="1" si="152"/>
        <v/>
      </c>
      <c r="D933" s="993" t="str">
        <f t="shared" ca="1" si="153"/>
        <v/>
      </c>
      <c r="E933" s="993" t="str">
        <f t="shared" ca="1" si="154"/>
        <v/>
      </c>
      <c r="F933" s="992" t="str">
        <f t="shared" ca="1" si="162"/>
        <v/>
      </c>
      <c r="G933" s="994">
        <f t="shared" ca="1" si="155"/>
        <v>0</v>
      </c>
      <c r="H933" s="913">
        <f t="shared" ca="1" si="156"/>
        <v>0</v>
      </c>
      <c r="I933" s="913">
        <f t="shared" ca="1" si="157"/>
        <v>0</v>
      </c>
      <c r="J933" s="995">
        <f t="shared" ca="1" si="163"/>
        <v>0</v>
      </c>
      <c r="K933" s="913">
        <f t="shared" ca="1" si="158"/>
        <v>0</v>
      </c>
      <c r="L933" s="995">
        <f t="shared" ca="1" si="164"/>
        <v>0</v>
      </c>
      <c r="M933" s="913">
        <f t="shared" ca="1" si="159"/>
        <v>0</v>
      </c>
      <c r="N933" s="996">
        <f t="shared" ca="1" si="160"/>
        <v>0</v>
      </c>
      <c r="O933" s="997">
        <f t="shared" ca="1" si="161"/>
        <v>0</v>
      </c>
      <c r="P933" s="1015" t="str">
        <f ca="1">IF($C933="","",INDEX(NVLSX!$N$2:$N$6941,MATCH($C933,NVLSX!$E$2:$E$6941,0)))</f>
        <v/>
      </c>
      <c r="Q933" s="1016" t="str">
        <f ca="1">IF($R933="","",IF(XKNVLSX!$X$1="",IF($P933=$V$7,$P933, IF(COUNTIFS($C$2:$C932,$C933,$E$2:$E932,$E933)&gt;=1,"",$P933)),     IF(AND(IFERROR(SEARCH($R933,XKNVLSX!$X$1,1),0)&gt;=1,$P933=$V$7),$P933, IF(OR($R933&lt;&gt;IF(IFERROR(SEARCH($R933,XKNVLSX!$X$1,1),0)&gt;=1,$R933,XKNVLSX!$X$1),COUNTIFS($C$2:$C932,$C933,$E$2:$E932,$E933,$Q$2:$Q932,$P933)&gt;=1),"",$P933))))</f>
        <v/>
      </c>
      <c r="R933" s="1017" t="str">
        <f ca="1">IF($A933="","",IFERROR(INDEX(TinhGia!$BF$10:$BF$81,MATCH($A933,TinhGia!$B$10:$B$81,0)),""))</f>
        <v/>
      </c>
      <c r="S933" s="1012" t="str">
        <f ca="1">IF($A933="","",IF(OR(IFERROR(SEARCH($R933,XKNVLSX!$X$1,1),0)&gt;=1,XKNVLSX!$X$1=""),$S$2,""))</f>
        <v/>
      </c>
      <c r="T933" s="1018" t="str">
        <f ca="1">IF($C933="","", IF(OR($P933=$V$1,$P933=$V$7,COUNTIFS($C$3:$C933,$C933,$E$3:$E933,$E933)&lt;=1),$P933,""    ))</f>
        <v/>
      </c>
      <c r="U933" s="1019" t="str">
        <f ca="1">IF(AND($P933=$V$2,COUNTIFS($C$3:$C933,$C933,$E$3:$E933,$E933,$G$3:$G933,$G933)&lt;=1),$P933,"")</f>
        <v/>
      </c>
    </row>
    <row r="934" spans="1:21">
      <c r="A934" s="991" t="str">
        <f ca="1">IFERROR(IF(COUNTIF($A$3:A933,A933)&lt; INDEX(TinhGia!$BH$10:$BH$81,MATCH($A933,TinhGia!$B$10:$B$81,0)),$A933,INDEX(TinhGia!$B$10:$B$81,MATCH($A933,TinhGia!$B$10:$B$81,0)+1)),"")</f>
        <v/>
      </c>
      <c r="B934" s="525" t="str">
        <f ca="1">IF(OR(A934="",A934=0),"",IF(COUNTIF($A$2:A934,$A934)=1,ROW(MauKoXoa!$C$108),$B933+1))</f>
        <v/>
      </c>
      <c r="C934" s="992" t="str">
        <f t="shared" ca="1" si="152"/>
        <v/>
      </c>
      <c r="D934" s="993" t="str">
        <f t="shared" ca="1" si="153"/>
        <v/>
      </c>
      <c r="E934" s="993" t="str">
        <f t="shared" ca="1" si="154"/>
        <v/>
      </c>
      <c r="F934" s="992" t="str">
        <f t="shared" ca="1" si="162"/>
        <v/>
      </c>
      <c r="G934" s="994">
        <f t="shared" ca="1" si="155"/>
        <v>0</v>
      </c>
      <c r="H934" s="913">
        <f t="shared" ca="1" si="156"/>
        <v>0</v>
      </c>
      <c r="I934" s="913">
        <f t="shared" ca="1" si="157"/>
        <v>0</v>
      </c>
      <c r="J934" s="995">
        <f t="shared" ca="1" si="163"/>
        <v>0</v>
      </c>
      <c r="K934" s="913">
        <f t="shared" ca="1" si="158"/>
        <v>0</v>
      </c>
      <c r="L934" s="995">
        <f t="shared" ca="1" si="164"/>
        <v>0</v>
      </c>
      <c r="M934" s="913">
        <f t="shared" ca="1" si="159"/>
        <v>0</v>
      </c>
      <c r="N934" s="996">
        <f t="shared" ca="1" si="160"/>
        <v>0</v>
      </c>
      <c r="O934" s="997">
        <f t="shared" ca="1" si="161"/>
        <v>0</v>
      </c>
      <c r="P934" s="1015" t="str">
        <f ca="1">IF($C934="","",INDEX(NVLSX!$N$2:$N$6941,MATCH($C934,NVLSX!$E$2:$E$6941,0)))</f>
        <v/>
      </c>
      <c r="Q934" s="1016" t="str">
        <f ca="1">IF($R934="","",IF(XKNVLSX!$X$1="",IF($P934=$V$7,$P934, IF(COUNTIFS($C$2:$C933,$C934,$E$2:$E933,$E934)&gt;=1,"",$P934)),     IF(AND(IFERROR(SEARCH($R934,XKNVLSX!$X$1,1),0)&gt;=1,$P934=$V$7),$P934, IF(OR($R934&lt;&gt;IF(IFERROR(SEARCH($R934,XKNVLSX!$X$1,1),0)&gt;=1,$R934,XKNVLSX!$X$1),COUNTIFS($C$2:$C933,$C934,$E$2:$E933,$E934,$Q$2:$Q933,$P934)&gt;=1),"",$P934))))</f>
        <v/>
      </c>
      <c r="R934" s="1017" t="str">
        <f ca="1">IF($A934="","",IFERROR(INDEX(TinhGia!$BF$10:$BF$81,MATCH($A934,TinhGia!$B$10:$B$81,0)),""))</f>
        <v/>
      </c>
      <c r="S934" s="1012" t="str">
        <f ca="1">IF($A934="","",IF(OR(IFERROR(SEARCH($R934,XKNVLSX!$X$1,1),0)&gt;=1,XKNVLSX!$X$1=""),$S$2,""))</f>
        <v/>
      </c>
      <c r="T934" s="1018" t="str">
        <f ca="1">IF($C934="","", IF(OR($P934=$V$1,$P934=$V$7,COUNTIFS($C$3:$C934,$C934,$E$3:$E934,$E934)&lt;=1),$P934,""    ))</f>
        <v/>
      </c>
      <c r="U934" s="1019" t="str">
        <f ca="1">IF(AND($P934=$V$2,COUNTIFS($C$3:$C934,$C934,$E$3:$E934,$E934,$G$3:$G934,$G934)&lt;=1),$P934,"")</f>
        <v/>
      </c>
    </row>
    <row r="935" spans="1:21">
      <c r="A935" s="991" t="str">
        <f ca="1">IFERROR(IF(COUNTIF($A$3:A934,A934)&lt; INDEX(TinhGia!$BH$10:$BH$81,MATCH($A934,TinhGia!$B$10:$B$81,0)),$A934,INDEX(TinhGia!$B$10:$B$81,MATCH($A934,TinhGia!$B$10:$B$81,0)+1)),"")</f>
        <v/>
      </c>
      <c r="B935" s="525" t="str">
        <f ca="1">IF(OR(A935="",A935=0),"",IF(COUNTIF($A$2:A935,$A935)=1,ROW(MauKoXoa!$C$108),$B934+1))</f>
        <v/>
      </c>
      <c r="C935" s="992" t="str">
        <f t="shared" ca="1" si="152"/>
        <v/>
      </c>
      <c r="D935" s="993" t="str">
        <f t="shared" ca="1" si="153"/>
        <v/>
      </c>
      <c r="E935" s="993" t="str">
        <f t="shared" ca="1" si="154"/>
        <v/>
      </c>
      <c r="F935" s="992" t="str">
        <f t="shared" ca="1" si="162"/>
        <v/>
      </c>
      <c r="G935" s="994">
        <f t="shared" ca="1" si="155"/>
        <v>0</v>
      </c>
      <c r="H935" s="913">
        <f t="shared" ca="1" si="156"/>
        <v>0</v>
      </c>
      <c r="I935" s="913">
        <f t="shared" ca="1" si="157"/>
        <v>0</v>
      </c>
      <c r="J935" s="995">
        <f t="shared" ca="1" si="163"/>
        <v>0</v>
      </c>
      <c r="K935" s="913">
        <f t="shared" ca="1" si="158"/>
        <v>0</v>
      </c>
      <c r="L935" s="995">
        <f t="shared" ca="1" si="164"/>
        <v>0</v>
      </c>
      <c r="M935" s="913">
        <f t="shared" ca="1" si="159"/>
        <v>0</v>
      </c>
      <c r="N935" s="996">
        <f t="shared" ca="1" si="160"/>
        <v>0</v>
      </c>
      <c r="O935" s="997">
        <f t="shared" ca="1" si="161"/>
        <v>0</v>
      </c>
      <c r="P935" s="1015" t="str">
        <f ca="1">IF($C935="","",INDEX(NVLSX!$N$2:$N$6941,MATCH($C935,NVLSX!$E$2:$E$6941,0)))</f>
        <v/>
      </c>
      <c r="Q935" s="1016" t="str">
        <f ca="1">IF($R935="","",IF(XKNVLSX!$X$1="",IF($P935=$V$7,$P935, IF(COUNTIFS($C$2:$C934,$C935,$E$2:$E934,$E935)&gt;=1,"",$P935)),     IF(AND(IFERROR(SEARCH($R935,XKNVLSX!$X$1,1),0)&gt;=1,$P935=$V$7),$P935, IF(OR($R935&lt;&gt;IF(IFERROR(SEARCH($R935,XKNVLSX!$X$1,1),0)&gt;=1,$R935,XKNVLSX!$X$1),COUNTIFS($C$2:$C934,$C935,$E$2:$E934,$E935,$Q$2:$Q934,$P935)&gt;=1),"",$P935))))</f>
        <v/>
      </c>
      <c r="R935" s="1017" t="str">
        <f ca="1">IF($A935="","",IFERROR(INDEX(TinhGia!$BF$10:$BF$81,MATCH($A935,TinhGia!$B$10:$B$81,0)),""))</f>
        <v/>
      </c>
      <c r="S935" s="1012" t="str">
        <f ca="1">IF($A935="","",IF(OR(IFERROR(SEARCH($R935,XKNVLSX!$X$1,1),0)&gt;=1,XKNVLSX!$X$1=""),$S$2,""))</f>
        <v/>
      </c>
      <c r="T935" s="1018" t="str">
        <f ca="1">IF($C935="","", IF(OR($P935=$V$1,$P935=$V$7,COUNTIFS($C$3:$C935,$C935,$E$3:$E935,$E935)&lt;=1),$P935,""    ))</f>
        <v/>
      </c>
      <c r="U935" s="1019" t="str">
        <f ca="1">IF(AND($P935=$V$2,COUNTIFS($C$3:$C935,$C935,$E$3:$E935,$E935,$G$3:$G935,$G935)&lt;=1),$P935,"")</f>
        <v/>
      </c>
    </row>
    <row r="936" spans="1:21">
      <c r="A936" s="991" t="str">
        <f ca="1">IFERROR(IF(COUNTIF($A$3:A935,A935)&lt; INDEX(TinhGia!$BH$10:$BH$81,MATCH($A935,TinhGia!$B$10:$B$81,0)),$A935,INDEX(TinhGia!$B$10:$B$81,MATCH($A935,TinhGia!$B$10:$B$81,0)+1)),"")</f>
        <v/>
      </c>
      <c r="B936" s="525" t="str">
        <f ca="1">IF(OR(A936="",A936=0),"",IF(COUNTIF($A$2:A936,$A936)=1,ROW(MauKoXoa!$C$108),$B935+1))</f>
        <v/>
      </c>
      <c r="C936" s="992" t="str">
        <f t="shared" ca="1" si="152"/>
        <v/>
      </c>
      <c r="D936" s="993" t="str">
        <f t="shared" ca="1" si="153"/>
        <v/>
      </c>
      <c r="E936" s="993" t="str">
        <f t="shared" ca="1" si="154"/>
        <v/>
      </c>
      <c r="F936" s="992" t="str">
        <f t="shared" ca="1" si="162"/>
        <v/>
      </c>
      <c r="G936" s="994">
        <f t="shared" ca="1" si="155"/>
        <v>0</v>
      </c>
      <c r="H936" s="913">
        <f t="shared" ca="1" si="156"/>
        <v>0</v>
      </c>
      <c r="I936" s="913">
        <f t="shared" ca="1" si="157"/>
        <v>0</v>
      </c>
      <c r="J936" s="995">
        <f t="shared" ca="1" si="163"/>
        <v>0</v>
      </c>
      <c r="K936" s="913">
        <f t="shared" ca="1" si="158"/>
        <v>0</v>
      </c>
      <c r="L936" s="995">
        <f t="shared" ca="1" si="164"/>
        <v>0</v>
      </c>
      <c r="M936" s="913">
        <f t="shared" ca="1" si="159"/>
        <v>0</v>
      </c>
      <c r="N936" s="996">
        <f t="shared" ca="1" si="160"/>
        <v>0</v>
      </c>
      <c r="O936" s="997">
        <f t="shared" ca="1" si="161"/>
        <v>0</v>
      </c>
      <c r="P936" s="1015" t="str">
        <f ca="1">IF($C936="","",INDEX(NVLSX!$N$2:$N$6941,MATCH($C936,NVLSX!$E$2:$E$6941,0)))</f>
        <v/>
      </c>
      <c r="Q936" s="1016" t="str">
        <f ca="1">IF($R936="","",IF(XKNVLSX!$X$1="",IF($P936=$V$7,$P936, IF(COUNTIFS($C$2:$C935,$C936,$E$2:$E935,$E936)&gt;=1,"",$P936)),     IF(AND(IFERROR(SEARCH($R936,XKNVLSX!$X$1,1),0)&gt;=1,$P936=$V$7),$P936, IF(OR($R936&lt;&gt;IF(IFERROR(SEARCH($R936,XKNVLSX!$X$1,1),0)&gt;=1,$R936,XKNVLSX!$X$1),COUNTIFS($C$2:$C935,$C936,$E$2:$E935,$E936,$Q$2:$Q935,$P936)&gt;=1),"",$P936))))</f>
        <v/>
      </c>
      <c r="R936" s="1017" t="str">
        <f ca="1">IF($A936="","",IFERROR(INDEX(TinhGia!$BF$10:$BF$81,MATCH($A936,TinhGia!$B$10:$B$81,0)),""))</f>
        <v/>
      </c>
      <c r="S936" s="1012" t="str">
        <f ca="1">IF($A936="","",IF(OR(IFERROR(SEARCH($R936,XKNVLSX!$X$1,1),0)&gt;=1,XKNVLSX!$X$1=""),$S$2,""))</f>
        <v/>
      </c>
      <c r="T936" s="1018" t="str">
        <f ca="1">IF($C936="","", IF(OR($P936=$V$1,$P936=$V$7,COUNTIFS($C$3:$C936,$C936,$E$3:$E936,$E936)&lt;=1),$P936,""    ))</f>
        <v/>
      </c>
      <c r="U936" s="1019" t="str">
        <f ca="1">IF(AND($P936=$V$2,COUNTIFS($C$3:$C936,$C936,$E$3:$E936,$E936,$G$3:$G936,$G936)&lt;=1),$P936,"")</f>
        <v/>
      </c>
    </row>
    <row r="937" spans="1:21">
      <c r="A937" s="991" t="str">
        <f ca="1">IFERROR(IF(COUNTIF($A$3:A936,A936)&lt; INDEX(TinhGia!$BH$10:$BH$81,MATCH($A936,TinhGia!$B$10:$B$81,0)),$A936,INDEX(TinhGia!$B$10:$B$81,MATCH($A936,TinhGia!$B$10:$B$81,0)+1)),"")</f>
        <v/>
      </c>
      <c r="B937" s="525" t="str">
        <f ca="1">IF(OR(A937="",A937=0),"",IF(COUNTIF($A$2:A937,$A937)=1,ROW(MauKoXoa!$C$108),$B936+1))</f>
        <v/>
      </c>
      <c r="C937" s="992" t="str">
        <f t="shared" ca="1" si="152"/>
        <v/>
      </c>
      <c r="D937" s="993" t="str">
        <f t="shared" ca="1" si="153"/>
        <v/>
      </c>
      <c r="E937" s="993" t="str">
        <f t="shared" ca="1" si="154"/>
        <v/>
      </c>
      <c r="F937" s="992" t="str">
        <f t="shared" ca="1" si="162"/>
        <v/>
      </c>
      <c r="G937" s="994">
        <f t="shared" ca="1" si="155"/>
        <v>0</v>
      </c>
      <c r="H937" s="913">
        <f t="shared" ca="1" si="156"/>
        <v>0</v>
      </c>
      <c r="I937" s="913">
        <f t="shared" ca="1" si="157"/>
        <v>0</v>
      </c>
      <c r="J937" s="995">
        <f t="shared" ca="1" si="163"/>
        <v>0</v>
      </c>
      <c r="K937" s="913">
        <f t="shared" ca="1" si="158"/>
        <v>0</v>
      </c>
      <c r="L937" s="995">
        <f t="shared" ca="1" si="164"/>
        <v>0</v>
      </c>
      <c r="M937" s="913">
        <f t="shared" ca="1" si="159"/>
        <v>0</v>
      </c>
      <c r="N937" s="996">
        <f t="shared" ca="1" si="160"/>
        <v>0</v>
      </c>
      <c r="O937" s="997">
        <f t="shared" ca="1" si="161"/>
        <v>0</v>
      </c>
      <c r="P937" s="1015" t="str">
        <f ca="1">IF($C937="","",INDEX(NVLSX!$N$2:$N$6941,MATCH($C937,NVLSX!$E$2:$E$6941,0)))</f>
        <v/>
      </c>
      <c r="Q937" s="1016" t="str">
        <f ca="1">IF($R937="","",IF(XKNVLSX!$X$1="",IF($P937=$V$7,$P937, IF(COUNTIFS($C$2:$C936,$C937,$E$2:$E936,$E937)&gt;=1,"",$P937)),     IF(AND(IFERROR(SEARCH($R937,XKNVLSX!$X$1,1),0)&gt;=1,$P937=$V$7),$P937, IF(OR($R937&lt;&gt;IF(IFERROR(SEARCH($R937,XKNVLSX!$X$1,1),0)&gt;=1,$R937,XKNVLSX!$X$1),COUNTIFS($C$2:$C936,$C937,$E$2:$E936,$E937,$Q$2:$Q936,$P937)&gt;=1),"",$P937))))</f>
        <v/>
      </c>
      <c r="R937" s="1017" t="str">
        <f ca="1">IF($A937="","",IFERROR(INDEX(TinhGia!$BF$10:$BF$81,MATCH($A937,TinhGia!$B$10:$B$81,0)),""))</f>
        <v/>
      </c>
      <c r="S937" s="1012" t="str">
        <f ca="1">IF($A937="","",IF(OR(IFERROR(SEARCH($R937,XKNVLSX!$X$1,1),0)&gt;=1,XKNVLSX!$X$1=""),$S$2,""))</f>
        <v/>
      </c>
      <c r="T937" s="1018" t="str">
        <f ca="1">IF($C937="","", IF(OR($P937=$V$1,$P937=$V$7,COUNTIFS($C$3:$C937,$C937,$E$3:$E937,$E937)&lt;=1),$P937,""    ))</f>
        <v/>
      </c>
      <c r="U937" s="1019" t="str">
        <f ca="1">IF(AND($P937=$V$2,COUNTIFS($C$3:$C937,$C937,$E$3:$E937,$E937,$G$3:$G937,$G937)&lt;=1),$P937,"")</f>
        <v/>
      </c>
    </row>
    <row r="938" spans="1:21">
      <c r="A938" s="991" t="str">
        <f ca="1">IFERROR(IF(COUNTIF($A$3:A937,A937)&lt; INDEX(TinhGia!$BH$10:$BH$81,MATCH($A937,TinhGia!$B$10:$B$81,0)),$A937,INDEX(TinhGia!$B$10:$B$81,MATCH($A937,TinhGia!$B$10:$B$81,0)+1)),"")</f>
        <v/>
      </c>
      <c r="B938" s="525" t="str">
        <f ca="1">IF(OR(A938="",A938=0),"",IF(COUNTIF($A$2:A938,$A938)=1,ROW(MauKoXoa!$C$108),$B937+1))</f>
        <v/>
      </c>
      <c r="C938" s="992" t="str">
        <f t="shared" ca="1" si="152"/>
        <v/>
      </c>
      <c r="D938" s="993" t="str">
        <f t="shared" ca="1" si="153"/>
        <v/>
      </c>
      <c r="E938" s="993" t="str">
        <f t="shared" ca="1" si="154"/>
        <v/>
      </c>
      <c r="F938" s="992" t="str">
        <f t="shared" ca="1" si="162"/>
        <v/>
      </c>
      <c r="G938" s="994">
        <f t="shared" ca="1" si="155"/>
        <v>0</v>
      </c>
      <c r="H938" s="913">
        <f t="shared" ca="1" si="156"/>
        <v>0</v>
      </c>
      <c r="I938" s="913">
        <f t="shared" ca="1" si="157"/>
        <v>0</v>
      </c>
      <c r="J938" s="995">
        <f t="shared" ca="1" si="163"/>
        <v>0</v>
      </c>
      <c r="K938" s="913">
        <f t="shared" ca="1" si="158"/>
        <v>0</v>
      </c>
      <c r="L938" s="995">
        <f t="shared" ca="1" si="164"/>
        <v>0</v>
      </c>
      <c r="M938" s="913">
        <f t="shared" ca="1" si="159"/>
        <v>0</v>
      </c>
      <c r="N938" s="996">
        <f t="shared" ca="1" si="160"/>
        <v>0</v>
      </c>
      <c r="O938" s="997">
        <f t="shared" ca="1" si="161"/>
        <v>0</v>
      </c>
      <c r="P938" s="1015" t="str">
        <f ca="1">IF($C938="","",INDEX(NVLSX!$N$2:$N$6941,MATCH($C938,NVLSX!$E$2:$E$6941,0)))</f>
        <v/>
      </c>
      <c r="Q938" s="1016" t="str">
        <f ca="1">IF($R938="","",IF(XKNVLSX!$X$1="",IF($P938=$V$7,$P938, IF(COUNTIFS($C$2:$C937,$C938,$E$2:$E937,$E938)&gt;=1,"",$P938)),     IF(AND(IFERROR(SEARCH($R938,XKNVLSX!$X$1,1),0)&gt;=1,$P938=$V$7),$P938, IF(OR($R938&lt;&gt;IF(IFERROR(SEARCH($R938,XKNVLSX!$X$1,1),0)&gt;=1,$R938,XKNVLSX!$X$1),COUNTIFS($C$2:$C937,$C938,$E$2:$E937,$E938,$Q$2:$Q937,$P938)&gt;=1),"",$P938))))</f>
        <v/>
      </c>
      <c r="R938" s="1017" t="str">
        <f ca="1">IF($A938="","",IFERROR(INDEX(TinhGia!$BF$10:$BF$81,MATCH($A938,TinhGia!$B$10:$B$81,0)),""))</f>
        <v/>
      </c>
      <c r="S938" s="1012" t="str">
        <f ca="1">IF($A938="","",IF(OR(IFERROR(SEARCH($R938,XKNVLSX!$X$1,1),0)&gt;=1,XKNVLSX!$X$1=""),$S$2,""))</f>
        <v/>
      </c>
      <c r="T938" s="1018" t="str">
        <f ca="1">IF($C938="","", IF(OR($P938=$V$1,$P938=$V$7,COUNTIFS($C$3:$C938,$C938,$E$3:$E938,$E938)&lt;=1),$P938,""    ))</f>
        <v/>
      </c>
      <c r="U938" s="1019" t="str">
        <f ca="1">IF(AND($P938=$V$2,COUNTIFS($C$3:$C938,$C938,$E$3:$E938,$E938,$G$3:$G938,$G938)&lt;=1),$P938,"")</f>
        <v/>
      </c>
    </row>
    <row r="939" spans="1:21">
      <c r="A939" s="991" t="str">
        <f ca="1">IFERROR(IF(COUNTIF($A$3:A938,A938)&lt; INDEX(TinhGia!$BH$10:$BH$81,MATCH($A938,TinhGia!$B$10:$B$81,0)),$A938,INDEX(TinhGia!$B$10:$B$81,MATCH($A938,TinhGia!$B$10:$B$81,0)+1)),"")</f>
        <v/>
      </c>
      <c r="B939" s="525" t="str">
        <f ca="1">IF(OR(A939="",A939=0),"",IF(COUNTIF($A$2:A939,$A939)=1,ROW(MauKoXoa!$C$108),$B938+1))</f>
        <v/>
      </c>
      <c r="C939" s="992" t="str">
        <f t="shared" ca="1" si="152"/>
        <v/>
      </c>
      <c r="D939" s="993" t="str">
        <f t="shared" ca="1" si="153"/>
        <v/>
      </c>
      <c r="E939" s="993" t="str">
        <f t="shared" ca="1" si="154"/>
        <v/>
      </c>
      <c r="F939" s="992" t="str">
        <f t="shared" ca="1" si="162"/>
        <v/>
      </c>
      <c r="G939" s="994">
        <f t="shared" ca="1" si="155"/>
        <v>0</v>
      </c>
      <c r="H939" s="913">
        <f t="shared" ca="1" si="156"/>
        <v>0</v>
      </c>
      <c r="I939" s="913">
        <f t="shared" ca="1" si="157"/>
        <v>0</v>
      </c>
      <c r="J939" s="995">
        <f t="shared" ca="1" si="163"/>
        <v>0</v>
      </c>
      <c r="K939" s="913">
        <f t="shared" ca="1" si="158"/>
        <v>0</v>
      </c>
      <c r="L939" s="995">
        <f t="shared" ca="1" si="164"/>
        <v>0</v>
      </c>
      <c r="M939" s="913">
        <f t="shared" ca="1" si="159"/>
        <v>0</v>
      </c>
      <c r="N939" s="996">
        <f t="shared" ca="1" si="160"/>
        <v>0</v>
      </c>
      <c r="O939" s="997">
        <f t="shared" ca="1" si="161"/>
        <v>0</v>
      </c>
      <c r="P939" s="1015" t="str">
        <f ca="1">IF($C939="","",INDEX(NVLSX!$N$2:$N$6941,MATCH($C939,NVLSX!$E$2:$E$6941,0)))</f>
        <v/>
      </c>
      <c r="Q939" s="1016" t="str">
        <f ca="1">IF($R939="","",IF(XKNVLSX!$X$1="",IF($P939=$V$7,$P939, IF(COUNTIFS($C$2:$C938,$C939,$E$2:$E938,$E939)&gt;=1,"",$P939)),     IF(AND(IFERROR(SEARCH($R939,XKNVLSX!$X$1,1),0)&gt;=1,$P939=$V$7),$P939, IF(OR($R939&lt;&gt;IF(IFERROR(SEARCH($R939,XKNVLSX!$X$1,1),0)&gt;=1,$R939,XKNVLSX!$X$1),COUNTIFS($C$2:$C938,$C939,$E$2:$E938,$E939,$Q$2:$Q938,$P939)&gt;=1),"",$P939))))</f>
        <v/>
      </c>
      <c r="R939" s="1017" t="str">
        <f ca="1">IF($A939="","",IFERROR(INDEX(TinhGia!$BF$10:$BF$81,MATCH($A939,TinhGia!$B$10:$B$81,0)),""))</f>
        <v/>
      </c>
      <c r="S939" s="1012" t="str">
        <f ca="1">IF($A939="","",IF(OR(IFERROR(SEARCH($R939,XKNVLSX!$X$1,1),0)&gt;=1,XKNVLSX!$X$1=""),$S$2,""))</f>
        <v/>
      </c>
      <c r="T939" s="1018" t="str">
        <f ca="1">IF($C939="","", IF(OR($P939=$V$1,$P939=$V$7,COUNTIFS($C$3:$C939,$C939,$E$3:$E939,$E939)&lt;=1),$P939,""    ))</f>
        <v/>
      </c>
      <c r="U939" s="1019" t="str">
        <f ca="1">IF(AND($P939=$V$2,COUNTIFS($C$3:$C939,$C939,$E$3:$E939,$E939,$G$3:$G939,$G939)&lt;=1),$P939,"")</f>
        <v/>
      </c>
    </row>
    <row r="940" spans="1:21">
      <c r="A940" s="991" t="str">
        <f ca="1">IFERROR(IF(COUNTIF($A$3:A939,A939)&lt; INDEX(TinhGia!$BH$10:$BH$81,MATCH($A939,TinhGia!$B$10:$B$81,0)),$A939,INDEX(TinhGia!$B$10:$B$81,MATCH($A939,TinhGia!$B$10:$B$81,0)+1)),"")</f>
        <v/>
      </c>
      <c r="B940" s="525" t="str">
        <f ca="1">IF(OR(A940="",A940=0),"",IF(COUNTIF($A$2:A940,$A940)=1,ROW(MauKoXoa!$C$108),$B939+1))</f>
        <v/>
      </c>
      <c r="C940" s="992" t="str">
        <f t="shared" ca="1" si="152"/>
        <v/>
      </c>
      <c r="D940" s="993" t="str">
        <f t="shared" ca="1" si="153"/>
        <v/>
      </c>
      <c r="E940" s="993" t="str">
        <f t="shared" ca="1" si="154"/>
        <v/>
      </c>
      <c r="F940" s="992" t="str">
        <f t="shared" ca="1" si="162"/>
        <v/>
      </c>
      <c r="G940" s="994">
        <f t="shared" ca="1" si="155"/>
        <v>0</v>
      </c>
      <c r="H940" s="913">
        <f t="shared" ca="1" si="156"/>
        <v>0</v>
      </c>
      <c r="I940" s="913">
        <f t="shared" ca="1" si="157"/>
        <v>0</v>
      </c>
      <c r="J940" s="995">
        <f t="shared" ca="1" si="163"/>
        <v>0</v>
      </c>
      <c r="K940" s="913">
        <f t="shared" ca="1" si="158"/>
        <v>0</v>
      </c>
      <c r="L940" s="995">
        <f t="shared" ca="1" si="164"/>
        <v>0</v>
      </c>
      <c r="M940" s="913">
        <f t="shared" ca="1" si="159"/>
        <v>0</v>
      </c>
      <c r="N940" s="996">
        <f t="shared" ca="1" si="160"/>
        <v>0</v>
      </c>
      <c r="O940" s="997">
        <f t="shared" ca="1" si="161"/>
        <v>0</v>
      </c>
      <c r="P940" s="1015" t="str">
        <f ca="1">IF($C940="","",INDEX(NVLSX!$N$2:$N$6941,MATCH($C940,NVLSX!$E$2:$E$6941,0)))</f>
        <v/>
      </c>
      <c r="Q940" s="1016" t="str">
        <f ca="1">IF($R940="","",IF(XKNVLSX!$X$1="",IF($P940=$V$7,$P940, IF(COUNTIFS($C$2:$C939,$C940,$E$2:$E939,$E940)&gt;=1,"",$P940)),     IF(AND(IFERROR(SEARCH($R940,XKNVLSX!$X$1,1),0)&gt;=1,$P940=$V$7),$P940, IF(OR($R940&lt;&gt;IF(IFERROR(SEARCH($R940,XKNVLSX!$X$1,1),0)&gt;=1,$R940,XKNVLSX!$X$1),COUNTIFS($C$2:$C939,$C940,$E$2:$E939,$E940,$Q$2:$Q939,$P940)&gt;=1),"",$P940))))</f>
        <v/>
      </c>
      <c r="R940" s="1017" t="str">
        <f ca="1">IF($A940="","",IFERROR(INDEX(TinhGia!$BF$10:$BF$81,MATCH($A940,TinhGia!$B$10:$B$81,0)),""))</f>
        <v/>
      </c>
      <c r="S940" s="1012" t="str">
        <f ca="1">IF($A940="","",IF(OR(IFERROR(SEARCH($R940,XKNVLSX!$X$1,1),0)&gt;=1,XKNVLSX!$X$1=""),$S$2,""))</f>
        <v/>
      </c>
      <c r="T940" s="1018" t="str">
        <f ca="1">IF($C940="","", IF(OR($P940=$V$1,$P940=$V$7,COUNTIFS($C$3:$C940,$C940,$E$3:$E940,$E940)&lt;=1),$P940,""    ))</f>
        <v/>
      </c>
      <c r="U940" s="1019" t="str">
        <f ca="1">IF(AND($P940=$V$2,COUNTIFS($C$3:$C940,$C940,$E$3:$E940,$E940,$G$3:$G940,$G940)&lt;=1),$P940,"")</f>
        <v/>
      </c>
    </row>
    <row r="941" spans="1:21">
      <c r="A941" s="991" t="str">
        <f ca="1">IFERROR(IF(COUNTIF($A$3:A940,A940)&lt; INDEX(TinhGia!$BH$10:$BH$81,MATCH($A940,TinhGia!$B$10:$B$81,0)),$A940,INDEX(TinhGia!$B$10:$B$81,MATCH($A940,TinhGia!$B$10:$B$81,0)+1)),"")</f>
        <v/>
      </c>
      <c r="B941" s="525" t="str">
        <f ca="1">IF(OR(A941="",A941=0),"",IF(COUNTIF($A$2:A941,$A941)=1,ROW(MauKoXoa!$C$108),$B940+1))</f>
        <v/>
      </c>
      <c r="C941" s="992" t="str">
        <f t="shared" ca="1" si="152"/>
        <v/>
      </c>
      <c r="D941" s="993" t="str">
        <f t="shared" ca="1" si="153"/>
        <v/>
      </c>
      <c r="E941" s="993" t="str">
        <f t="shared" ca="1" si="154"/>
        <v/>
      </c>
      <c r="F941" s="992" t="str">
        <f t="shared" ca="1" si="162"/>
        <v/>
      </c>
      <c r="G941" s="994">
        <f t="shared" ca="1" si="155"/>
        <v>0</v>
      </c>
      <c r="H941" s="913">
        <f t="shared" ca="1" si="156"/>
        <v>0</v>
      </c>
      <c r="I941" s="913">
        <f t="shared" ca="1" si="157"/>
        <v>0</v>
      </c>
      <c r="J941" s="995">
        <f t="shared" ca="1" si="163"/>
        <v>0</v>
      </c>
      <c r="K941" s="913">
        <f t="shared" ca="1" si="158"/>
        <v>0</v>
      </c>
      <c r="L941" s="995">
        <f t="shared" ca="1" si="164"/>
        <v>0</v>
      </c>
      <c r="M941" s="913">
        <f t="shared" ca="1" si="159"/>
        <v>0</v>
      </c>
      <c r="N941" s="996">
        <f t="shared" ca="1" si="160"/>
        <v>0</v>
      </c>
      <c r="O941" s="997">
        <f t="shared" ca="1" si="161"/>
        <v>0</v>
      </c>
      <c r="P941" s="1015" t="str">
        <f ca="1">IF($C941="","",INDEX(NVLSX!$N$2:$N$6941,MATCH($C941,NVLSX!$E$2:$E$6941,0)))</f>
        <v/>
      </c>
      <c r="Q941" s="1016" t="str">
        <f ca="1">IF($R941="","",IF(XKNVLSX!$X$1="",IF($P941=$V$7,$P941, IF(COUNTIFS($C$2:$C940,$C941,$E$2:$E940,$E941)&gt;=1,"",$P941)),     IF(AND(IFERROR(SEARCH($R941,XKNVLSX!$X$1,1),0)&gt;=1,$P941=$V$7),$P941, IF(OR($R941&lt;&gt;IF(IFERROR(SEARCH($R941,XKNVLSX!$X$1,1),0)&gt;=1,$R941,XKNVLSX!$X$1),COUNTIFS($C$2:$C940,$C941,$E$2:$E940,$E941,$Q$2:$Q940,$P941)&gt;=1),"",$P941))))</f>
        <v/>
      </c>
      <c r="R941" s="1017" t="str">
        <f ca="1">IF($A941="","",IFERROR(INDEX(TinhGia!$BF$10:$BF$81,MATCH($A941,TinhGia!$B$10:$B$81,0)),""))</f>
        <v/>
      </c>
      <c r="S941" s="1012" t="str">
        <f ca="1">IF($A941="","",IF(OR(IFERROR(SEARCH($R941,XKNVLSX!$X$1,1),0)&gt;=1,XKNVLSX!$X$1=""),$S$2,""))</f>
        <v/>
      </c>
      <c r="T941" s="1018" t="str">
        <f ca="1">IF($C941="","", IF(OR($P941=$V$1,$P941=$V$7,COUNTIFS($C$3:$C941,$C941,$E$3:$E941,$E941)&lt;=1),$P941,""    ))</f>
        <v/>
      </c>
      <c r="U941" s="1019" t="str">
        <f ca="1">IF(AND($P941=$V$2,COUNTIFS($C$3:$C941,$C941,$E$3:$E941,$E941,$G$3:$G941,$G941)&lt;=1),$P941,"")</f>
        <v/>
      </c>
    </row>
    <row r="942" spans="1:21">
      <c r="A942" s="991" t="str">
        <f ca="1">IFERROR(IF(COUNTIF($A$3:A941,A941)&lt; INDEX(TinhGia!$BH$10:$BH$81,MATCH($A941,TinhGia!$B$10:$B$81,0)),$A941,INDEX(TinhGia!$B$10:$B$81,MATCH($A941,TinhGia!$B$10:$B$81,0)+1)),"")</f>
        <v/>
      </c>
      <c r="B942" s="525" t="str">
        <f ca="1">IF(OR(A942="",A942=0),"",IF(COUNTIF($A$2:A942,$A942)=1,ROW(MauKoXoa!$C$108),$B941+1))</f>
        <v/>
      </c>
      <c r="C942" s="992" t="str">
        <f t="shared" ca="1" si="152"/>
        <v/>
      </c>
      <c r="D942" s="993" t="str">
        <f t="shared" ca="1" si="153"/>
        <v/>
      </c>
      <c r="E942" s="993" t="str">
        <f t="shared" ca="1" si="154"/>
        <v/>
      </c>
      <c r="F942" s="992" t="str">
        <f t="shared" ca="1" si="162"/>
        <v/>
      </c>
      <c r="G942" s="994">
        <f t="shared" ca="1" si="155"/>
        <v>0</v>
      </c>
      <c r="H942" s="913">
        <f t="shared" ca="1" si="156"/>
        <v>0</v>
      </c>
      <c r="I942" s="913">
        <f t="shared" ca="1" si="157"/>
        <v>0</v>
      </c>
      <c r="J942" s="995">
        <f t="shared" ca="1" si="163"/>
        <v>0</v>
      </c>
      <c r="K942" s="913">
        <f t="shared" ca="1" si="158"/>
        <v>0</v>
      </c>
      <c r="L942" s="995">
        <f t="shared" ca="1" si="164"/>
        <v>0</v>
      </c>
      <c r="M942" s="913">
        <f t="shared" ca="1" si="159"/>
        <v>0</v>
      </c>
      <c r="N942" s="996">
        <f t="shared" ca="1" si="160"/>
        <v>0</v>
      </c>
      <c r="O942" s="997">
        <f t="shared" ca="1" si="161"/>
        <v>0</v>
      </c>
      <c r="P942" s="1015" t="str">
        <f ca="1">IF($C942="","",INDEX(NVLSX!$N$2:$N$6941,MATCH($C942,NVLSX!$E$2:$E$6941,0)))</f>
        <v/>
      </c>
      <c r="Q942" s="1016" t="str">
        <f ca="1">IF($R942="","",IF(XKNVLSX!$X$1="",IF($P942=$V$7,$P942, IF(COUNTIFS($C$2:$C941,$C942,$E$2:$E941,$E942)&gt;=1,"",$P942)),     IF(AND(IFERROR(SEARCH($R942,XKNVLSX!$X$1,1),0)&gt;=1,$P942=$V$7),$P942, IF(OR($R942&lt;&gt;IF(IFERROR(SEARCH($R942,XKNVLSX!$X$1,1),0)&gt;=1,$R942,XKNVLSX!$X$1),COUNTIFS($C$2:$C941,$C942,$E$2:$E941,$E942,$Q$2:$Q941,$P942)&gt;=1),"",$P942))))</f>
        <v/>
      </c>
      <c r="R942" s="1017" t="str">
        <f ca="1">IF($A942="","",IFERROR(INDEX(TinhGia!$BF$10:$BF$81,MATCH($A942,TinhGia!$B$10:$B$81,0)),""))</f>
        <v/>
      </c>
      <c r="S942" s="1012" t="str">
        <f ca="1">IF($A942="","",IF(OR(IFERROR(SEARCH($R942,XKNVLSX!$X$1,1),0)&gt;=1,XKNVLSX!$X$1=""),$S$2,""))</f>
        <v/>
      </c>
      <c r="T942" s="1018" t="str">
        <f ca="1">IF($C942="","", IF(OR($P942=$V$1,$P942=$V$7,COUNTIFS($C$3:$C942,$C942,$E$3:$E942,$E942)&lt;=1),$P942,""    ))</f>
        <v/>
      </c>
      <c r="U942" s="1019" t="str">
        <f ca="1">IF(AND($P942=$V$2,COUNTIFS($C$3:$C942,$C942,$E$3:$E942,$E942,$G$3:$G942,$G942)&lt;=1),$P942,"")</f>
        <v/>
      </c>
    </row>
    <row r="943" spans="1:21">
      <c r="A943" s="991" t="str">
        <f ca="1">IFERROR(IF(COUNTIF($A$3:A942,A942)&lt; INDEX(TinhGia!$BH$10:$BH$81,MATCH($A942,TinhGia!$B$10:$B$81,0)),$A942,INDEX(TinhGia!$B$10:$B$81,MATCH($A942,TinhGia!$B$10:$B$81,0)+1)),"")</f>
        <v/>
      </c>
      <c r="B943" s="525" t="str">
        <f ca="1">IF(OR(A943="",A943=0),"",IF(COUNTIF($A$2:A943,$A943)=1,ROW(MauKoXoa!$C$108),$B942+1))</f>
        <v/>
      </c>
      <c r="C943" s="992" t="str">
        <f t="shared" ca="1" si="152"/>
        <v/>
      </c>
      <c r="D943" s="993" t="str">
        <f t="shared" ca="1" si="153"/>
        <v/>
      </c>
      <c r="E943" s="993" t="str">
        <f t="shared" ca="1" si="154"/>
        <v/>
      </c>
      <c r="F943" s="992" t="str">
        <f t="shared" ca="1" si="162"/>
        <v/>
      </c>
      <c r="G943" s="994">
        <f t="shared" ca="1" si="155"/>
        <v>0</v>
      </c>
      <c r="H943" s="913">
        <f t="shared" ca="1" si="156"/>
        <v>0</v>
      </c>
      <c r="I943" s="913">
        <f t="shared" ca="1" si="157"/>
        <v>0</v>
      </c>
      <c r="J943" s="995">
        <f t="shared" ca="1" si="163"/>
        <v>0</v>
      </c>
      <c r="K943" s="913">
        <f t="shared" ca="1" si="158"/>
        <v>0</v>
      </c>
      <c r="L943" s="995">
        <f t="shared" ca="1" si="164"/>
        <v>0</v>
      </c>
      <c r="M943" s="913">
        <f t="shared" ca="1" si="159"/>
        <v>0</v>
      </c>
      <c r="N943" s="996">
        <f t="shared" ca="1" si="160"/>
        <v>0</v>
      </c>
      <c r="O943" s="997">
        <f t="shared" ca="1" si="161"/>
        <v>0</v>
      </c>
      <c r="P943" s="1015" t="str">
        <f ca="1">IF($C943="","",INDEX(NVLSX!$N$2:$N$6941,MATCH($C943,NVLSX!$E$2:$E$6941,0)))</f>
        <v/>
      </c>
      <c r="Q943" s="1016" t="str">
        <f ca="1">IF($R943="","",IF(XKNVLSX!$X$1="",IF($P943=$V$7,$P943, IF(COUNTIFS($C$2:$C942,$C943,$E$2:$E942,$E943)&gt;=1,"",$P943)),     IF(AND(IFERROR(SEARCH($R943,XKNVLSX!$X$1,1),0)&gt;=1,$P943=$V$7),$P943, IF(OR($R943&lt;&gt;IF(IFERROR(SEARCH($R943,XKNVLSX!$X$1,1),0)&gt;=1,$R943,XKNVLSX!$X$1),COUNTIFS($C$2:$C942,$C943,$E$2:$E942,$E943,$Q$2:$Q942,$P943)&gt;=1),"",$P943))))</f>
        <v/>
      </c>
      <c r="R943" s="1017" t="str">
        <f ca="1">IF($A943="","",IFERROR(INDEX(TinhGia!$BF$10:$BF$81,MATCH($A943,TinhGia!$B$10:$B$81,0)),""))</f>
        <v/>
      </c>
      <c r="S943" s="1012" t="str">
        <f ca="1">IF($A943="","",IF(OR(IFERROR(SEARCH($R943,XKNVLSX!$X$1,1),0)&gt;=1,XKNVLSX!$X$1=""),$S$2,""))</f>
        <v/>
      </c>
      <c r="T943" s="1018" t="str">
        <f ca="1">IF($C943="","", IF(OR($P943=$V$1,$P943=$V$7,COUNTIFS($C$3:$C943,$C943,$E$3:$E943,$E943)&lt;=1),$P943,""    ))</f>
        <v/>
      </c>
      <c r="U943" s="1019" t="str">
        <f ca="1">IF(AND($P943=$V$2,COUNTIFS($C$3:$C943,$C943,$E$3:$E943,$E943,$G$3:$G943,$G943)&lt;=1),$P943,"")</f>
        <v/>
      </c>
    </row>
    <row r="944" spans="1:21">
      <c r="A944" s="991" t="str">
        <f ca="1">IFERROR(IF(COUNTIF($A$3:A943,A943)&lt; INDEX(TinhGia!$BH$10:$BH$81,MATCH($A943,TinhGia!$B$10:$B$81,0)),$A943,INDEX(TinhGia!$B$10:$B$81,MATCH($A943,TinhGia!$B$10:$B$81,0)+1)),"")</f>
        <v/>
      </c>
      <c r="B944" s="525" t="str">
        <f ca="1">IF(OR(A944="",A944=0),"",IF(COUNTIF($A$2:A944,$A944)=1,ROW(MauKoXoa!$C$108),$B943+1))</f>
        <v/>
      </c>
      <c r="C944" s="992" t="str">
        <f t="shared" ca="1" si="152"/>
        <v/>
      </c>
      <c r="D944" s="993" t="str">
        <f t="shared" ca="1" si="153"/>
        <v/>
      </c>
      <c r="E944" s="993" t="str">
        <f t="shared" ca="1" si="154"/>
        <v/>
      </c>
      <c r="F944" s="992" t="str">
        <f t="shared" ca="1" si="162"/>
        <v/>
      </c>
      <c r="G944" s="994">
        <f t="shared" ca="1" si="155"/>
        <v>0</v>
      </c>
      <c r="H944" s="913">
        <f t="shared" ca="1" si="156"/>
        <v>0</v>
      </c>
      <c r="I944" s="913">
        <f t="shared" ca="1" si="157"/>
        <v>0</v>
      </c>
      <c r="J944" s="995">
        <f t="shared" ca="1" si="163"/>
        <v>0</v>
      </c>
      <c r="K944" s="913">
        <f t="shared" ca="1" si="158"/>
        <v>0</v>
      </c>
      <c r="L944" s="995">
        <f t="shared" ca="1" si="164"/>
        <v>0</v>
      </c>
      <c r="M944" s="913">
        <f t="shared" ca="1" si="159"/>
        <v>0</v>
      </c>
      <c r="N944" s="996">
        <f t="shared" ca="1" si="160"/>
        <v>0</v>
      </c>
      <c r="O944" s="997">
        <f t="shared" ca="1" si="161"/>
        <v>0</v>
      </c>
      <c r="P944" s="1015" t="str">
        <f ca="1">IF($C944="","",INDEX(NVLSX!$N$2:$N$6941,MATCH($C944,NVLSX!$E$2:$E$6941,0)))</f>
        <v/>
      </c>
      <c r="Q944" s="1016" t="str">
        <f ca="1">IF($R944="","",IF(XKNVLSX!$X$1="",IF($P944=$V$7,$P944, IF(COUNTIFS($C$2:$C943,$C944,$E$2:$E943,$E944)&gt;=1,"",$P944)),     IF(AND(IFERROR(SEARCH($R944,XKNVLSX!$X$1,1),0)&gt;=1,$P944=$V$7),$P944, IF(OR($R944&lt;&gt;IF(IFERROR(SEARCH($R944,XKNVLSX!$X$1,1),0)&gt;=1,$R944,XKNVLSX!$X$1),COUNTIFS($C$2:$C943,$C944,$E$2:$E943,$E944,$Q$2:$Q943,$P944)&gt;=1),"",$P944))))</f>
        <v/>
      </c>
      <c r="R944" s="1017" t="str">
        <f ca="1">IF($A944="","",IFERROR(INDEX(TinhGia!$BF$10:$BF$81,MATCH($A944,TinhGia!$B$10:$B$81,0)),""))</f>
        <v/>
      </c>
      <c r="S944" s="1012" t="str">
        <f ca="1">IF($A944="","",IF(OR(IFERROR(SEARCH($R944,XKNVLSX!$X$1,1),0)&gt;=1,XKNVLSX!$X$1=""),$S$2,""))</f>
        <v/>
      </c>
      <c r="T944" s="1018" t="str">
        <f ca="1">IF($C944="","", IF(OR($P944=$V$1,$P944=$V$7,COUNTIFS($C$3:$C944,$C944,$E$3:$E944,$E944)&lt;=1),$P944,""    ))</f>
        <v/>
      </c>
      <c r="U944" s="1019" t="str">
        <f ca="1">IF(AND($P944=$V$2,COUNTIFS($C$3:$C944,$C944,$E$3:$E944,$E944,$G$3:$G944,$G944)&lt;=1),$P944,"")</f>
        <v/>
      </c>
    </row>
    <row r="945" spans="1:21">
      <c r="A945" s="991" t="str">
        <f ca="1">IFERROR(IF(COUNTIF($A$3:A944,A944)&lt; INDEX(TinhGia!$BH$10:$BH$81,MATCH($A944,TinhGia!$B$10:$B$81,0)),$A944,INDEX(TinhGia!$B$10:$B$81,MATCH($A944,TinhGia!$B$10:$B$81,0)+1)),"")</f>
        <v/>
      </c>
      <c r="B945" s="525" t="str">
        <f ca="1">IF(OR(A945="",A945=0),"",IF(COUNTIF($A$2:A945,$A945)=1,ROW(MauKoXoa!$C$108),$B944+1))</f>
        <v/>
      </c>
      <c r="C945" s="992" t="str">
        <f t="shared" ca="1" si="152"/>
        <v/>
      </c>
      <c r="D945" s="993" t="str">
        <f t="shared" ca="1" si="153"/>
        <v/>
      </c>
      <c r="E945" s="993" t="str">
        <f t="shared" ca="1" si="154"/>
        <v/>
      </c>
      <c r="F945" s="992" t="str">
        <f t="shared" ca="1" si="162"/>
        <v/>
      </c>
      <c r="G945" s="994">
        <f t="shared" ca="1" si="155"/>
        <v>0</v>
      </c>
      <c r="H945" s="913">
        <f t="shared" ca="1" si="156"/>
        <v>0</v>
      </c>
      <c r="I945" s="913">
        <f t="shared" ca="1" si="157"/>
        <v>0</v>
      </c>
      <c r="J945" s="995">
        <f t="shared" ca="1" si="163"/>
        <v>0</v>
      </c>
      <c r="K945" s="913">
        <f t="shared" ca="1" si="158"/>
        <v>0</v>
      </c>
      <c r="L945" s="995">
        <f t="shared" ca="1" si="164"/>
        <v>0</v>
      </c>
      <c r="M945" s="913">
        <f t="shared" ca="1" si="159"/>
        <v>0</v>
      </c>
      <c r="N945" s="996">
        <f t="shared" ca="1" si="160"/>
        <v>0</v>
      </c>
      <c r="O945" s="997">
        <f t="shared" ca="1" si="161"/>
        <v>0</v>
      </c>
      <c r="P945" s="1015" t="str">
        <f ca="1">IF($C945="","",INDEX(NVLSX!$N$2:$N$6941,MATCH($C945,NVLSX!$E$2:$E$6941,0)))</f>
        <v/>
      </c>
      <c r="Q945" s="1016" t="str">
        <f ca="1">IF($R945="","",IF(XKNVLSX!$X$1="",IF($P945=$V$7,$P945, IF(COUNTIFS($C$2:$C944,$C945,$E$2:$E944,$E945)&gt;=1,"",$P945)),     IF(AND(IFERROR(SEARCH($R945,XKNVLSX!$X$1,1),0)&gt;=1,$P945=$V$7),$P945, IF(OR($R945&lt;&gt;IF(IFERROR(SEARCH($R945,XKNVLSX!$X$1,1),0)&gt;=1,$R945,XKNVLSX!$X$1),COUNTIFS($C$2:$C944,$C945,$E$2:$E944,$E945,$Q$2:$Q944,$P945)&gt;=1),"",$P945))))</f>
        <v/>
      </c>
      <c r="R945" s="1017" t="str">
        <f ca="1">IF($A945="","",IFERROR(INDEX(TinhGia!$BF$10:$BF$81,MATCH($A945,TinhGia!$B$10:$B$81,0)),""))</f>
        <v/>
      </c>
      <c r="S945" s="1012" t="str">
        <f ca="1">IF($A945="","",IF(OR(IFERROR(SEARCH($R945,XKNVLSX!$X$1,1),0)&gt;=1,XKNVLSX!$X$1=""),$S$2,""))</f>
        <v/>
      </c>
      <c r="T945" s="1018" t="str">
        <f ca="1">IF($C945="","", IF(OR($P945=$V$1,$P945=$V$7,COUNTIFS($C$3:$C945,$C945,$E$3:$E945,$E945)&lt;=1),$P945,""    ))</f>
        <v/>
      </c>
      <c r="U945" s="1019" t="str">
        <f ca="1">IF(AND($P945=$V$2,COUNTIFS($C$3:$C945,$C945,$E$3:$E945,$E945,$G$3:$G945,$G945)&lt;=1),$P945,"")</f>
        <v/>
      </c>
    </row>
    <row r="946" spans="1:21">
      <c r="A946" s="991" t="str">
        <f ca="1">IFERROR(IF(COUNTIF($A$3:A945,A945)&lt; INDEX(TinhGia!$BH$10:$BH$81,MATCH($A945,TinhGia!$B$10:$B$81,0)),$A945,INDEX(TinhGia!$B$10:$B$81,MATCH($A945,TinhGia!$B$10:$B$81,0)+1)),"")</f>
        <v/>
      </c>
      <c r="B946" s="525" t="str">
        <f ca="1">IF(OR(A946="",A946=0),"",IF(COUNTIF($A$2:A946,$A946)=1,ROW(MauKoXoa!$C$108),$B945+1))</f>
        <v/>
      </c>
      <c r="C946" s="992" t="str">
        <f t="shared" ca="1" si="152"/>
        <v/>
      </c>
      <c r="D946" s="993" t="str">
        <f t="shared" ca="1" si="153"/>
        <v/>
      </c>
      <c r="E946" s="993" t="str">
        <f t="shared" ca="1" si="154"/>
        <v/>
      </c>
      <c r="F946" s="992" t="str">
        <f t="shared" ca="1" si="162"/>
        <v/>
      </c>
      <c r="G946" s="994">
        <f t="shared" ca="1" si="155"/>
        <v>0</v>
      </c>
      <c r="H946" s="913">
        <f t="shared" ca="1" si="156"/>
        <v>0</v>
      </c>
      <c r="I946" s="913">
        <f t="shared" ca="1" si="157"/>
        <v>0</v>
      </c>
      <c r="J946" s="995">
        <f t="shared" ca="1" si="163"/>
        <v>0</v>
      </c>
      <c r="K946" s="913">
        <f t="shared" ca="1" si="158"/>
        <v>0</v>
      </c>
      <c r="L946" s="995">
        <f t="shared" ca="1" si="164"/>
        <v>0</v>
      </c>
      <c r="M946" s="913">
        <f t="shared" ca="1" si="159"/>
        <v>0</v>
      </c>
      <c r="N946" s="996">
        <f t="shared" ca="1" si="160"/>
        <v>0</v>
      </c>
      <c r="O946" s="997">
        <f t="shared" ca="1" si="161"/>
        <v>0</v>
      </c>
      <c r="P946" s="1015" t="str">
        <f ca="1">IF($C946="","",INDEX(NVLSX!$N$2:$N$6941,MATCH($C946,NVLSX!$E$2:$E$6941,0)))</f>
        <v/>
      </c>
      <c r="Q946" s="1016" t="str">
        <f ca="1">IF($R946="","",IF(XKNVLSX!$X$1="",IF($P946=$V$7,$P946, IF(COUNTIFS($C$2:$C945,$C946,$E$2:$E945,$E946)&gt;=1,"",$P946)),     IF(AND(IFERROR(SEARCH($R946,XKNVLSX!$X$1,1),0)&gt;=1,$P946=$V$7),$P946, IF(OR($R946&lt;&gt;IF(IFERROR(SEARCH($R946,XKNVLSX!$X$1,1),0)&gt;=1,$R946,XKNVLSX!$X$1),COUNTIFS($C$2:$C945,$C946,$E$2:$E945,$E946,$Q$2:$Q945,$P946)&gt;=1),"",$P946))))</f>
        <v/>
      </c>
      <c r="R946" s="1017" t="str">
        <f ca="1">IF($A946="","",IFERROR(INDEX(TinhGia!$BF$10:$BF$81,MATCH($A946,TinhGia!$B$10:$B$81,0)),""))</f>
        <v/>
      </c>
      <c r="S946" s="1012" t="str">
        <f ca="1">IF($A946="","",IF(OR(IFERROR(SEARCH($R946,XKNVLSX!$X$1,1),0)&gt;=1,XKNVLSX!$X$1=""),$S$2,""))</f>
        <v/>
      </c>
      <c r="T946" s="1018" t="str">
        <f ca="1">IF($C946="","", IF(OR($P946=$V$1,$P946=$V$7,COUNTIFS($C$3:$C946,$C946,$E$3:$E946,$E946)&lt;=1),$P946,""    ))</f>
        <v/>
      </c>
      <c r="U946" s="1019" t="str">
        <f ca="1">IF(AND($P946=$V$2,COUNTIFS($C$3:$C946,$C946,$E$3:$E946,$E946,$G$3:$G946,$G946)&lt;=1),$P946,"")</f>
        <v/>
      </c>
    </row>
    <row r="947" spans="1:21">
      <c r="A947" s="991" t="str">
        <f ca="1">IFERROR(IF(COUNTIF($A$3:A946,A946)&lt; INDEX(TinhGia!$BH$10:$BH$81,MATCH($A946,TinhGia!$B$10:$B$81,0)),$A946,INDEX(TinhGia!$B$10:$B$81,MATCH($A946,TinhGia!$B$10:$B$81,0)+1)),"")</f>
        <v/>
      </c>
      <c r="B947" s="525" t="str">
        <f ca="1">IF(OR(A947="",A947=0),"",IF(COUNTIF($A$2:A947,$A947)=1,ROW(MauKoXoa!$C$108),$B946+1))</f>
        <v/>
      </c>
      <c r="C947" s="992" t="str">
        <f t="shared" ca="1" si="152"/>
        <v/>
      </c>
      <c r="D947" s="993" t="str">
        <f t="shared" ca="1" si="153"/>
        <v/>
      </c>
      <c r="E947" s="993" t="str">
        <f t="shared" ca="1" si="154"/>
        <v/>
      </c>
      <c r="F947" s="992" t="str">
        <f t="shared" ca="1" si="162"/>
        <v/>
      </c>
      <c r="G947" s="994">
        <f t="shared" ca="1" si="155"/>
        <v>0</v>
      </c>
      <c r="H947" s="913">
        <f t="shared" ca="1" si="156"/>
        <v>0</v>
      </c>
      <c r="I947" s="913">
        <f t="shared" ca="1" si="157"/>
        <v>0</v>
      </c>
      <c r="J947" s="995">
        <f t="shared" ca="1" si="163"/>
        <v>0</v>
      </c>
      <c r="K947" s="913">
        <f t="shared" ca="1" si="158"/>
        <v>0</v>
      </c>
      <c r="L947" s="995">
        <f t="shared" ca="1" si="164"/>
        <v>0</v>
      </c>
      <c r="M947" s="913">
        <f t="shared" ca="1" si="159"/>
        <v>0</v>
      </c>
      <c r="N947" s="996">
        <f t="shared" ca="1" si="160"/>
        <v>0</v>
      </c>
      <c r="O947" s="997">
        <f t="shared" ca="1" si="161"/>
        <v>0</v>
      </c>
      <c r="P947" s="1015" t="str">
        <f ca="1">IF($C947="","",INDEX(NVLSX!$N$2:$N$6941,MATCH($C947,NVLSX!$E$2:$E$6941,0)))</f>
        <v/>
      </c>
      <c r="Q947" s="1016" t="str">
        <f ca="1">IF($R947="","",IF(XKNVLSX!$X$1="",IF($P947=$V$7,$P947, IF(COUNTIFS($C$2:$C946,$C947,$E$2:$E946,$E947)&gt;=1,"",$P947)),     IF(AND(IFERROR(SEARCH($R947,XKNVLSX!$X$1,1),0)&gt;=1,$P947=$V$7),$P947, IF(OR($R947&lt;&gt;IF(IFERROR(SEARCH($R947,XKNVLSX!$X$1,1),0)&gt;=1,$R947,XKNVLSX!$X$1),COUNTIFS($C$2:$C946,$C947,$E$2:$E946,$E947,$Q$2:$Q946,$P947)&gt;=1),"",$P947))))</f>
        <v/>
      </c>
      <c r="R947" s="1017" t="str">
        <f ca="1">IF($A947="","",IFERROR(INDEX(TinhGia!$BF$10:$BF$81,MATCH($A947,TinhGia!$B$10:$B$81,0)),""))</f>
        <v/>
      </c>
      <c r="S947" s="1012" t="str">
        <f ca="1">IF($A947="","",IF(OR(IFERROR(SEARCH($R947,XKNVLSX!$X$1,1),0)&gt;=1,XKNVLSX!$X$1=""),$S$2,""))</f>
        <v/>
      </c>
      <c r="T947" s="1018" t="str">
        <f ca="1">IF($C947="","", IF(OR($P947=$V$1,$P947=$V$7,COUNTIFS($C$3:$C947,$C947,$E$3:$E947,$E947)&lt;=1),$P947,""    ))</f>
        <v/>
      </c>
      <c r="U947" s="1019" t="str">
        <f ca="1">IF(AND($P947=$V$2,COUNTIFS($C$3:$C947,$C947,$E$3:$E947,$E947,$G$3:$G947,$G947)&lt;=1),$P947,"")</f>
        <v/>
      </c>
    </row>
    <row r="948" spans="1:21">
      <c r="A948" s="991" t="str">
        <f ca="1">IFERROR(IF(COUNTIF($A$3:A947,A947)&lt; INDEX(TinhGia!$BH$10:$BH$81,MATCH($A947,TinhGia!$B$10:$B$81,0)),$A947,INDEX(TinhGia!$B$10:$B$81,MATCH($A947,TinhGia!$B$10:$B$81,0)+1)),"")</f>
        <v/>
      </c>
      <c r="B948" s="525" t="str">
        <f ca="1">IF(OR(A948="",A948=0),"",IF(COUNTIF($A$2:A948,$A948)=1,ROW(MauKoXoa!$C$108),$B947+1))</f>
        <v/>
      </c>
      <c r="C948" s="992" t="str">
        <f t="shared" ca="1" si="152"/>
        <v/>
      </c>
      <c r="D948" s="993" t="str">
        <f t="shared" ca="1" si="153"/>
        <v/>
      </c>
      <c r="E948" s="993" t="str">
        <f t="shared" ca="1" si="154"/>
        <v/>
      </c>
      <c r="F948" s="992" t="str">
        <f t="shared" ca="1" si="162"/>
        <v/>
      </c>
      <c r="G948" s="994">
        <f t="shared" ca="1" si="155"/>
        <v>0</v>
      </c>
      <c r="H948" s="913">
        <f t="shared" ca="1" si="156"/>
        <v>0</v>
      </c>
      <c r="I948" s="913">
        <f t="shared" ca="1" si="157"/>
        <v>0</v>
      </c>
      <c r="J948" s="995">
        <f t="shared" ca="1" si="163"/>
        <v>0</v>
      </c>
      <c r="K948" s="913">
        <f t="shared" ca="1" si="158"/>
        <v>0</v>
      </c>
      <c r="L948" s="995">
        <f t="shared" ca="1" si="164"/>
        <v>0</v>
      </c>
      <c r="M948" s="913">
        <f t="shared" ca="1" si="159"/>
        <v>0</v>
      </c>
      <c r="N948" s="996">
        <f t="shared" ca="1" si="160"/>
        <v>0</v>
      </c>
      <c r="O948" s="997">
        <f t="shared" ca="1" si="161"/>
        <v>0</v>
      </c>
      <c r="P948" s="1015" t="str">
        <f ca="1">IF($C948="","",INDEX(NVLSX!$N$2:$N$6941,MATCH($C948,NVLSX!$E$2:$E$6941,0)))</f>
        <v/>
      </c>
      <c r="Q948" s="1016" t="str">
        <f ca="1">IF($R948="","",IF(XKNVLSX!$X$1="",IF($P948=$V$7,$P948, IF(COUNTIFS($C$2:$C947,$C948,$E$2:$E947,$E948)&gt;=1,"",$P948)),     IF(AND(IFERROR(SEARCH($R948,XKNVLSX!$X$1,1),0)&gt;=1,$P948=$V$7),$P948, IF(OR($R948&lt;&gt;IF(IFERROR(SEARCH($R948,XKNVLSX!$X$1,1),0)&gt;=1,$R948,XKNVLSX!$X$1),COUNTIFS($C$2:$C947,$C948,$E$2:$E947,$E948,$Q$2:$Q947,$P948)&gt;=1),"",$P948))))</f>
        <v/>
      </c>
      <c r="R948" s="1017" t="str">
        <f ca="1">IF($A948="","",IFERROR(INDEX(TinhGia!$BF$10:$BF$81,MATCH($A948,TinhGia!$B$10:$B$81,0)),""))</f>
        <v/>
      </c>
      <c r="S948" s="1012" t="str">
        <f ca="1">IF($A948="","",IF(OR(IFERROR(SEARCH($R948,XKNVLSX!$X$1,1),0)&gt;=1,XKNVLSX!$X$1=""),$S$2,""))</f>
        <v/>
      </c>
      <c r="T948" s="1018" t="str">
        <f ca="1">IF($C948="","", IF(OR($P948=$V$1,$P948=$V$7,COUNTIFS($C$3:$C948,$C948,$E$3:$E948,$E948)&lt;=1),$P948,""    ))</f>
        <v/>
      </c>
      <c r="U948" s="1019" t="str">
        <f ca="1">IF(AND($P948=$V$2,COUNTIFS($C$3:$C948,$C948,$E$3:$E948,$E948,$G$3:$G948,$G948)&lt;=1),$P948,"")</f>
        <v/>
      </c>
    </row>
    <row r="949" spans="1:21">
      <c r="A949" s="991" t="str">
        <f ca="1">IFERROR(IF(COUNTIF($A$3:A948,A948)&lt; INDEX(TinhGia!$BH$10:$BH$81,MATCH($A948,TinhGia!$B$10:$B$81,0)),$A948,INDEX(TinhGia!$B$10:$B$81,MATCH($A948,TinhGia!$B$10:$B$81,0)+1)),"")</f>
        <v/>
      </c>
      <c r="B949" s="525" t="str">
        <f ca="1">IF(OR(A949="",A949=0),"",IF(COUNTIF($A$2:A949,$A949)=1,ROW(MauKoXoa!$C$108),$B948+1))</f>
        <v/>
      </c>
      <c r="C949" s="992" t="str">
        <f t="shared" ca="1" si="152"/>
        <v/>
      </c>
      <c r="D949" s="993" t="str">
        <f t="shared" ca="1" si="153"/>
        <v/>
      </c>
      <c r="E949" s="993" t="str">
        <f t="shared" ca="1" si="154"/>
        <v/>
      </c>
      <c r="F949" s="992" t="str">
        <f t="shared" ca="1" si="162"/>
        <v/>
      </c>
      <c r="G949" s="994">
        <f t="shared" ca="1" si="155"/>
        <v>0</v>
      </c>
      <c r="H949" s="913">
        <f t="shared" ca="1" si="156"/>
        <v>0</v>
      </c>
      <c r="I949" s="913">
        <f t="shared" ca="1" si="157"/>
        <v>0</v>
      </c>
      <c r="J949" s="995">
        <f t="shared" ca="1" si="163"/>
        <v>0</v>
      </c>
      <c r="K949" s="913">
        <f t="shared" ca="1" si="158"/>
        <v>0</v>
      </c>
      <c r="L949" s="995">
        <f t="shared" ca="1" si="164"/>
        <v>0</v>
      </c>
      <c r="M949" s="913">
        <f t="shared" ca="1" si="159"/>
        <v>0</v>
      </c>
      <c r="N949" s="996">
        <f t="shared" ca="1" si="160"/>
        <v>0</v>
      </c>
      <c r="O949" s="997">
        <f t="shared" ca="1" si="161"/>
        <v>0</v>
      </c>
      <c r="P949" s="1015" t="str">
        <f ca="1">IF($C949="","",INDEX(NVLSX!$N$2:$N$6941,MATCH($C949,NVLSX!$E$2:$E$6941,0)))</f>
        <v/>
      </c>
      <c r="Q949" s="1016" t="str">
        <f ca="1">IF($R949="","",IF(XKNVLSX!$X$1="",IF($P949=$V$7,$P949, IF(COUNTIFS($C$2:$C948,$C949,$E$2:$E948,$E949)&gt;=1,"",$P949)),     IF(AND(IFERROR(SEARCH($R949,XKNVLSX!$X$1,1),0)&gt;=1,$P949=$V$7),$P949, IF(OR($R949&lt;&gt;IF(IFERROR(SEARCH($R949,XKNVLSX!$X$1,1),0)&gt;=1,$R949,XKNVLSX!$X$1),COUNTIFS($C$2:$C948,$C949,$E$2:$E948,$E949,$Q$2:$Q948,$P949)&gt;=1),"",$P949))))</f>
        <v/>
      </c>
      <c r="R949" s="1017" t="str">
        <f ca="1">IF($A949="","",IFERROR(INDEX(TinhGia!$BF$10:$BF$81,MATCH($A949,TinhGia!$B$10:$B$81,0)),""))</f>
        <v/>
      </c>
      <c r="S949" s="1012" t="str">
        <f ca="1">IF($A949="","",IF(OR(IFERROR(SEARCH($R949,XKNVLSX!$X$1,1),0)&gt;=1,XKNVLSX!$X$1=""),$S$2,""))</f>
        <v/>
      </c>
      <c r="T949" s="1018" t="str">
        <f ca="1">IF($C949="","", IF(OR($P949=$V$1,$P949=$V$7,COUNTIFS($C$3:$C949,$C949,$E$3:$E949,$E949)&lt;=1),$P949,""    ))</f>
        <v/>
      </c>
      <c r="U949" s="1019" t="str">
        <f ca="1">IF(AND($P949=$V$2,COUNTIFS($C$3:$C949,$C949,$E$3:$E949,$E949,$G$3:$G949,$G949)&lt;=1),$P949,"")</f>
        <v/>
      </c>
    </row>
    <row r="950" spans="1:21">
      <c r="A950" s="991" t="str">
        <f ca="1">IFERROR(IF(COUNTIF($A$3:A949,A949)&lt; INDEX(TinhGia!$BH$10:$BH$81,MATCH($A949,TinhGia!$B$10:$B$81,0)),$A949,INDEX(TinhGia!$B$10:$B$81,MATCH($A949,TinhGia!$B$10:$B$81,0)+1)),"")</f>
        <v/>
      </c>
      <c r="B950" s="525" t="str">
        <f ca="1">IF(OR(A950="",A950=0),"",IF(COUNTIF($A$2:A950,$A950)=1,ROW(MauKoXoa!$C$108),$B949+1))</f>
        <v/>
      </c>
      <c r="C950" s="992" t="str">
        <f t="shared" ca="1" si="152"/>
        <v/>
      </c>
      <c r="D950" s="993" t="str">
        <f t="shared" ca="1" si="153"/>
        <v/>
      </c>
      <c r="E950" s="993" t="str">
        <f t="shared" ca="1" si="154"/>
        <v/>
      </c>
      <c r="F950" s="992" t="str">
        <f t="shared" ca="1" si="162"/>
        <v/>
      </c>
      <c r="G950" s="994">
        <f t="shared" ca="1" si="155"/>
        <v>0</v>
      </c>
      <c r="H950" s="913">
        <f t="shared" ca="1" si="156"/>
        <v>0</v>
      </c>
      <c r="I950" s="913">
        <f t="shared" ca="1" si="157"/>
        <v>0</v>
      </c>
      <c r="J950" s="995">
        <f t="shared" ca="1" si="163"/>
        <v>0</v>
      </c>
      <c r="K950" s="913">
        <f t="shared" ca="1" si="158"/>
        <v>0</v>
      </c>
      <c r="L950" s="995">
        <f t="shared" ca="1" si="164"/>
        <v>0</v>
      </c>
      <c r="M950" s="913">
        <f t="shared" ca="1" si="159"/>
        <v>0</v>
      </c>
      <c r="N950" s="996">
        <f t="shared" ca="1" si="160"/>
        <v>0</v>
      </c>
      <c r="O950" s="997">
        <f t="shared" ca="1" si="161"/>
        <v>0</v>
      </c>
      <c r="P950" s="1015" t="str">
        <f ca="1">IF($C950="","",INDEX(NVLSX!$N$2:$N$6941,MATCH($C950,NVLSX!$E$2:$E$6941,0)))</f>
        <v/>
      </c>
      <c r="Q950" s="1016" t="str">
        <f ca="1">IF($R950="","",IF(XKNVLSX!$X$1="",IF($P950=$V$7,$P950, IF(COUNTIFS($C$2:$C949,$C950,$E$2:$E949,$E950)&gt;=1,"",$P950)),     IF(AND(IFERROR(SEARCH($R950,XKNVLSX!$X$1,1),0)&gt;=1,$P950=$V$7),$P950, IF(OR($R950&lt;&gt;IF(IFERROR(SEARCH($R950,XKNVLSX!$X$1,1),0)&gt;=1,$R950,XKNVLSX!$X$1),COUNTIFS($C$2:$C949,$C950,$E$2:$E949,$E950,$Q$2:$Q949,$P950)&gt;=1),"",$P950))))</f>
        <v/>
      </c>
      <c r="R950" s="1017" t="str">
        <f ca="1">IF($A950="","",IFERROR(INDEX(TinhGia!$BF$10:$BF$81,MATCH($A950,TinhGia!$B$10:$B$81,0)),""))</f>
        <v/>
      </c>
      <c r="S950" s="1012" t="str">
        <f ca="1">IF($A950="","",IF(OR(IFERROR(SEARCH($R950,XKNVLSX!$X$1,1),0)&gt;=1,XKNVLSX!$X$1=""),$S$2,""))</f>
        <v/>
      </c>
      <c r="T950" s="1018" t="str">
        <f ca="1">IF($C950="","", IF(OR($P950=$V$1,$P950=$V$7,COUNTIFS($C$3:$C950,$C950,$E$3:$E950,$E950)&lt;=1),$P950,""    ))</f>
        <v/>
      </c>
      <c r="U950" s="1019" t="str">
        <f ca="1">IF(AND($P950=$V$2,COUNTIFS($C$3:$C950,$C950,$E$3:$E950,$E950,$G$3:$G950,$G950)&lt;=1),$P950,"")</f>
        <v/>
      </c>
    </row>
    <row r="951" spans="1:21">
      <c r="A951" s="991" t="str">
        <f ca="1">IFERROR(IF(COUNTIF($A$3:A950,A950)&lt; INDEX(TinhGia!$BH$10:$BH$81,MATCH($A950,TinhGia!$B$10:$B$81,0)),$A950,INDEX(TinhGia!$B$10:$B$81,MATCH($A950,TinhGia!$B$10:$B$81,0)+1)),"")</f>
        <v/>
      </c>
      <c r="B951" s="525" t="str">
        <f ca="1">IF(OR(A951="",A951=0),"",IF(COUNTIF($A$2:A951,$A951)=1,ROW(MauKoXoa!$C$108),$B950+1))</f>
        <v/>
      </c>
      <c r="C951" s="992" t="str">
        <f t="shared" ca="1" si="152"/>
        <v/>
      </c>
      <c r="D951" s="993" t="str">
        <f t="shared" ca="1" si="153"/>
        <v/>
      </c>
      <c r="E951" s="993" t="str">
        <f t="shared" ca="1" si="154"/>
        <v/>
      </c>
      <c r="F951" s="992" t="str">
        <f t="shared" ca="1" si="162"/>
        <v/>
      </c>
      <c r="G951" s="994">
        <f t="shared" ca="1" si="155"/>
        <v>0</v>
      </c>
      <c r="H951" s="913">
        <f t="shared" ca="1" si="156"/>
        <v>0</v>
      </c>
      <c r="I951" s="913">
        <f t="shared" ca="1" si="157"/>
        <v>0</v>
      </c>
      <c r="J951" s="995">
        <f t="shared" ca="1" si="163"/>
        <v>0</v>
      </c>
      <c r="K951" s="913">
        <f t="shared" ca="1" si="158"/>
        <v>0</v>
      </c>
      <c r="L951" s="995">
        <f t="shared" ca="1" si="164"/>
        <v>0</v>
      </c>
      <c r="M951" s="913">
        <f t="shared" ca="1" si="159"/>
        <v>0</v>
      </c>
      <c r="N951" s="996">
        <f t="shared" ca="1" si="160"/>
        <v>0</v>
      </c>
      <c r="O951" s="997">
        <f t="shared" ca="1" si="161"/>
        <v>0</v>
      </c>
      <c r="P951" s="1015" t="str">
        <f ca="1">IF($C951="","",INDEX(NVLSX!$N$2:$N$6941,MATCH($C951,NVLSX!$E$2:$E$6941,0)))</f>
        <v/>
      </c>
      <c r="Q951" s="1016" t="str">
        <f ca="1">IF($R951="","",IF(XKNVLSX!$X$1="",IF($P951=$V$7,$P951, IF(COUNTIFS($C$2:$C950,$C951,$E$2:$E950,$E951)&gt;=1,"",$P951)),     IF(AND(IFERROR(SEARCH($R951,XKNVLSX!$X$1,1),0)&gt;=1,$P951=$V$7),$P951, IF(OR($R951&lt;&gt;IF(IFERROR(SEARCH($R951,XKNVLSX!$X$1,1),0)&gt;=1,$R951,XKNVLSX!$X$1),COUNTIFS($C$2:$C950,$C951,$E$2:$E950,$E951,$Q$2:$Q950,$P951)&gt;=1),"",$P951))))</f>
        <v/>
      </c>
      <c r="R951" s="1017" t="str">
        <f ca="1">IF($A951="","",IFERROR(INDEX(TinhGia!$BF$10:$BF$81,MATCH($A951,TinhGia!$B$10:$B$81,0)),""))</f>
        <v/>
      </c>
      <c r="S951" s="1012" t="str">
        <f ca="1">IF($A951="","",IF(OR(IFERROR(SEARCH($R951,XKNVLSX!$X$1,1),0)&gt;=1,XKNVLSX!$X$1=""),$S$2,""))</f>
        <v/>
      </c>
      <c r="T951" s="1018" t="str">
        <f ca="1">IF($C951="","", IF(OR($P951=$V$1,$P951=$V$7,COUNTIFS($C$3:$C951,$C951,$E$3:$E951,$E951)&lt;=1),$P951,""    ))</f>
        <v/>
      </c>
      <c r="U951" s="1019" t="str">
        <f ca="1">IF(AND($P951=$V$2,COUNTIFS($C$3:$C951,$C951,$E$3:$E951,$E951,$G$3:$G951,$G951)&lt;=1),$P951,"")</f>
        <v/>
      </c>
    </row>
    <row r="952" spans="1:21">
      <c r="A952" s="991" t="str">
        <f ca="1">IFERROR(IF(COUNTIF($A$3:A951,A951)&lt; INDEX(TinhGia!$BH$10:$BH$81,MATCH($A951,TinhGia!$B$10:$B$81,0)),$A951,INDEX(TinhGia!$B$10:$B$81,MATCH($A951,TinhGia!$B$10:$B$81,0)+1)),"")</f>
        <v/>
      </c>
      <c r="B952" s="525" t="str">
        <f ca="1">IF(OR(A952="",A952=0),"",IF(COUNTIF($A$2:A952,$A952)=1,ROW(MauKoXoa!$C$108),$B951+1))</f>
        <v/>
      </c>
      <c r="C952" s="992" t="str">
        <f t="shared" ca="1" si="152"/>
        <v/>
      </c>
      <c r="D952" s="993" t="str">
        <f t="shared" ca="1" si="153"/>
        <v/>
      </c>
      <c r="E952" s="993" t="str">
        <f t="shared" ca="1" si="154"/>
        <v/>
      </c>
      <c r="F952" s="992" t="str">
        <f t="shared" ca="1" si="162"/>
        <v/>
      </c>
      <c r="G952" s="994">
        <f t="shared" ca="1" si="155"/>
        <v>0</v>
      </c>
      <c r="H952" s="913">
        <f t="shared" ca="1" si="156"/>
        <v>0</v>
      </c>
      <c r="I952" s="913">
        <f t="shared" ca="1" si="157"/>
        <v>0</v>
      </c>
      <c r="J952" s="995">
        <f t="shared" ca="1" si="163"/>
        <v>0</v>
      </c>
      <c r="K952" s="913">
        <f t="shared" ca="1" si="158"/>
        <v>0</v>
      </c>
      <c r="L952" s="995">
        <f t="shared" ca="1" si="164"/>
        <v>0</v>
      </c>
      <c r="M952" s="913">
        <f t="shared" ca="1" si="159"/>
        <v>0</v>
      </c>
      <c r="N952" s="996">
        <f t="shared" ca="1" si="160"/>
        <v>0</v>
      </c>
      <c r="O952" s="997">
        <f t="shared" ca="1" si="161"/>
        <v>0</v>
      </c>
      <c r="P952" s="1015" t="str">
        <f ca="1">IF($C952="","",INDEX(NVLSX!$N$2:$N$6941,MATCH($C952,NVLSX!$E$2:$E$6941,0)))</f>
        <v/>
      </c>
      <c r="Q952" s="1016" t="str">
        <f ca="1">IF($R952="","",IF(XKNVLSX!$X$1="",IF($P952=$V$7,$P952, IF(COUNTIFS($C$2:$C951,$C952,$E$2:$E951,$E952)&gt;=1,"",$P952)),     IF(AND(IFERROR(SEARCH($R952,XKNVLSX!$X$1,1),0)&gt;=1,$P952=$V$7),$P952, IF(OR($R952&lt;&gt;IF(IFERROR(SEARCH($R952,XKNVLSX!$X$1,1),0)&gt;=1,$R952,XKNVLSX!$X$1),COUNTIFS($C$2:$C951,$C952,$E$2:$E951,$E952,$Q$2:$Q951,$P952)&gt;=1),"",$P952))))</f>
        <v/>
      </c>
      <c r="R952" s="1017" t="str">
        <f ca="1">IF($A952="","",IFERROR(INDEX(TinhGia!$BF$10:$BF$81,MATCH($A952,TinhGia!$B$10:$B$81,0)),""))</f>
        <v/>
      </c>
      <c r="S952" s="1012" t="str">
        <f ca="1">IF($A952="","",IF(OR(IFERROR(SEARCH($R952,XKNVLSX!$X$1,1),0)&gt;=1,XKNVLSX!$X$1=""),$S$2,""))</f>
        <v/>
      </c>
      <c r="T952" s="1018" t="str">
        <f ca="1">IF($C952="","", IF(OR($P952=$V$1,$P952=$V$7,COUNTIFS($C$3:$C952,$C952,$E$3:$E952,$E952)&lt;=1),$P952,""    ))</f>
        <v/>
      </c>
      <c r="U952" s="1019" t="str">
        <f ca="1">IF(AND($P952=$V$2,COUNTIFS($C$3:$C952,$C952,$E$3:$E952,$E952,$G$3:$G952,$G952)&lt;=1),$P952,"")</f>
        <v/>
      </c>
    </row>
    <row r="953" spans="1:21">
      <c r="A953" s="991" t="str">
        <f ca="1">IFERROR(IF(COUNTIF($A$3:A952,A952)&lt; INDEX(TinhGia!$BH$10:$BH$81,MATCH($A952,TinhGia!$B$10:$B$81,0)),$A952,INDEX(TinhGia!$B$10:$B$81,MATCH($A952,TinhGia!$B$10:$B$81,0)+1)),"")</f>
        <v/>
      </c>
      <c r="B953" s="525" t="str">
        <f ca="1">IF(OR(A953="",A953=0),"",IF(COUNTIF($A$2:A953,$A953)=1,ROW(MauKoXoa!$C$108),$B952+1))</f>
        <v/>
      </c>
      <c r="C953" s="992" t="str">
        <f t="shared" ca="1" si="152"/>
        <v/>
      </c>
      <c r="D953" s="993" t="str">
        <f t="shared" ca="1" si="153"/>
        <v/>
      </c>
      <c r="E953" s="993" t="str">
        <f t="shared" ca="1" si="154"/>
        <v/>
      </c>
      <c r="F953" s="992" t="str">
        <f t="shared" ca="1" si="162"/>
        <v/>
      </c>
      <c r="G953" s="994">
        <f t="shared" ca="1" si="155"/>
        <v>0</v>
      </c>
      <c r="H953" s="913">
        <f t="shared" ca="1" si="156"/>
        <v>0</v>
      </c>
      <c r="I953" s="913">
        <f t="shared" ca="1" si="157"/>
        <v>0</v>
      </c>
      <c r="J953" s="995">
        <f t="shared" ca="1" si="163"/>
        <v>0</v>
      </c>
      <c r="K953" s="913">
        <f t="shared" ca="1" si="158"/>
        <v>0</v>
      </c>
      <c r="L953" s="995">
        <f t="shared" ca="1" si="164"/>
        <v>0</v>
      </c>
      <c r="M953" s="913">
        <f t="shared" ca="1" si="159"/>
        <v>0</v>
      </c>
      <c r="N953" s="996">
        <f t="shared" ca="1" si="160"/>
        <v>0</v>
      </c>
      <c r="O953" s="997">
        <f t="shared" ca="1" si="161"/>
        <v>0</v>
      </c>
      <c r="P953" s="1015" t="str">
        <f ca="1">IF($C953="","",INDEX(NVLSX!$N$2:$N$6941,MATCH($C953,NVLSX!$E$2:$E$6941,0)))</f>
        <v/>
      </c>
      <c r="Q953" s="1016" t="str">
        <f ca="1">IF($R953="","",IF(XKNVLSX!$X$1="",IF($P953=$V$7,$P953, IF(COUNTIFS($C$2:$C952,$C953,$E$2:$E952,$E953)&gt;=1,"",$P953)),     IF(AND(IFERROR(SEARCH($R953,XKNVLSX!$X$1,1),0)&gt;=1,$P953=$V$7),$P953, IF(OR($R953&lt;&gt;IF(IFERROR(SEARCH($R953,XKNVLSX!$X$1,1),0)&gt;=1,$R953,XKNVLSX!$X$1),COUNTIFS($C$2:$C952,$C953,$E$2:$E952,$E953,$Q$2:$Q952,$P953)&gt;=1),"",$P953))))</f>
        <v/>
      </c>
      <c r="R953" s="1017" t="str">
        <f ca="1">IF($A953="","",IFERROR(INDEX(TinhGia!$BF$10:$BF$81,MATCH($A953,TinhGia!$B$10:$B$81,0)),""))</f>
        <v/>
      </c>
      <c r="S953" s="1012" t="str">
        <f ca="1">IF($A953="","",IF(OR(IFERROR(SEARCH($R953,XKNVLSX!$X$1,1),0)&gt;=1,XKNVLSX!$X$1=""),$S$2,""))</f>
        <v/>
      </c>
      <c r="T953" s="1018" t="str">
        <f ca="1">IF($C953="","", IF(OR($P953=$V$1,$P953=$V$7,COUNTIFS($C$3:$C953,$C953,$E$3:$E953,$E953)&lt;=1),$P953,""    ))</f>
        <v/>
      </c>
      <c r="U953" s="1019" t="str">
        <f ca="1">IF(AND($P953=$V$2,COUNTIFS($C$3:$C953,$C953,$E$3:$E953,$E953,$G$3:$G953,$G953)&lt;=1),$P953,"")</f>
        <v/>
      </c>
    </row>
    <row r="954" spans="1:21">
      <c r="A954" s="991" t="str">
        <f ca="1">IFERROR(IF(COUNTIF($A$3:A953,A953)&lt; INDEX(TinhGia!$BH$10:$BH$81,MATCH($A953,TinhGia!$B$10:$B$81,0)),$A953,INDEX(TinhGia!$B$10:$B$81,MATCH($A953,TinhGia!$B$10:$B$81,0)+1)),"")</f>
        <v/>
      </c>
      <c r="B954" s="525" t="str">
        <f ca="1">IF(OR(A954="",A954=0),"",IF(COUNTIF($A$2:A954,$A954)=1,ROW(MauKoXoa!$C$108),$B953+1))</f>
        <v/>
      </c>
      <c r="C954" s="992" t="str">
        <f t="shared" ca="1" si="152"/>
        <v/>
      </c>
      <c r="D954" s="993" t="str">
        <f t="shared" ca="1" si="153"/>
        <v/>
      </c>
      <c r="E954" s="993" t="str">
        <f t="shared" ca="1" si="154"/>
        <v/>
      </c>
      <c r="F954" s="992" t="str">
        <f t="shared" ca="1" si="162"/>
        <v/>
      </c>
      <c r="G954" s="994">
        <f t="shared" ca="1" si="155"/>
        <v>0</v>
      </c>
      <c r="H954" s="913">
        <f t="shared" ca="1" si="156"/>
        <v>0</v>
      </c>
      <c r="I954" s="913">
        <f t="shared" ca="1" si="157"/>
        <v>0</v>
      </c>
      <c r="J954" s="995">
        <f t="shared" ca="1" si="163"/>
        <v>0</v>
      </c>
      <c r="K954" s="913">
        <f t="shared" ca="1" si="158"/>
        <v>0</v>
      </c>
      <c r="L954" s="995">
        <f t="shared" ca="1" si="164"/>
        <v>0</v>
      </c>
      <c r="M954" s="913">
        <f t="shared" ca="1" si="159"/>
        <v>0</v>
      </c>
      <c r="N954" s="996">
        <f t="shared" ca="1" si="160"/>
        <v>0</v>
      </c>
      <c r="O954" s="997">
        <f t="shared" ca="1" si="161"/>
        <v>0</v>
      </c>
      <c r="P954" s="1015" t="str">
        <f ca="1">IF($C954="","",INDEX(NVLSX!$N$2:$N$6941,MATCH($C954,NVLSX!$E$2:$E$6941,0)))</f>
        <v/>
      </c>
      <c r="Q954" s="1016" t="str">
        <f ca="1">IF($R954="","",IF(XKNVLSX!$X$1="",IF($P954=$V$7,$P954, IF(COUNTIFS($C$2:$C953,$C954,$E$2:$E953,$E954)&gt;=1,"",$P954)),     IF(AND(IFERROR(SEARCH($R954,XKNVLSX!$X$1,1),0)&gt;=1,$P954=$V$7),$P954, IF(OR($R954&lt;&gt;IF(IFERROR(SEARCH($R954,XKNVLSX!$X$1,1),0)&gt;=1,$R954,XKNVLSX!$X$1),COUNTIFS($C$2:$C953,$C954,$E$2:$E953,$E954,$Q$2:$Q953,$P954)&gt;=1),"",$P954))))</f>
        <v/>
      </c>
      <c r="R954" s="1017" t="str">
        <f ca="1">IF($A954="","",IFERROR(INDEX(TinhGia!$BF$10:$BF$81,MATCH($A954,TinhGia!$B$10:$B$81,0)),""))</f>
        <v/>
      </c>
      <c r="S954" s="1012" t="str">
        <f ca="1">IF($A954="","",IF(OR(IFERROR(SEARCH($R954,XKNVLSX!$X$1,1),0)&gt;=1,XKNVLSX!$X$1=""),$S$2,""))</f>
        <v/>
      </c>
      <c r="T954" s="1018" t="str">
        <f ca="1">IF($C954="","", IF(OR($P954=$V$1,$P954=$V$7,COUNTIFS($C$3:$C954,$C954,$E$3:$E954,$E954)&lt;=1),$P954,""    ))</f>
        <v/>
      </c>
      <c r="U954" s="1019" t="str">
        <f ca="1">IF(AND($P954=$V$2,COUNTIFS($C$3:$C954,$C954,$E$3:$E954,$E954,$G$3:$G954,$G954)&lt;=1),$P954,"")</f>
        <v/>
      </c>
    </row>
    <row r="955" spans="1:21">
      <c r="A955" s="991" t="str">
        <f ca="1">IFERROR(IF(COUNTIF($A$3:A954,A954)&lt; INDEX(TinhGia!$BH$10:$BH$81,MATCH($A954,TinhGia!$B$10:$B$81,0)),$A954,INDEX(TinhGia!$B$10:$B$81,MATCH($A954,TinhGia!$B$10:$B$81,0)+1)),"")</f>
        <v/>
      </c>
      <c r="B955" s="525" t="str">
        <f ca="1">IF(OR(A955="",A955=0),"",IF(COUNTIF($A$2:A955,$A955)=1,ROW(MauKoXoa!$C$108),$B954+1))</f>
        <v/>
      </c>
      <c r="C955" s="992" t="str">
        <f t="shared" ca="1" si="152"/>
        <v/>
      </c>
      <c r="D955" s="993" t="str">
        <f t="shared" ca="1" si="153"/>
        <v/>
      </c>
      <c r="E955" s="993" t="str">
        <f t="shared" ca="1" si="154"/>
        <v/>
      </c>
      <c r="F955" s="992" t="str">
        <f t="shared" ca="1" si="162"/>
        <v/>
      </c>
      <c r="G955" s="994">
        <f t="shared" ca="1" si="155"/>
        <v>0</v>
      </c>
      <c r="H955" s="913">
        <f t="shared" ca="1" si="156"/>
        <v>0</v>
      </c>
      <c r="I955" s="913">
        <f t="shared" ca="1" si="157"/>
        <v>0</v>
      </c>
      <c r="J955" s="995">
        <f t="shared" ca="1" si="163"/>
        <v>0</v>
      </c>
      <c r="K955" s="913">
        <f t="shared" ca="1" si="158"/>
        <v>0</v>
      </c>
      <c r="L955" s="995">
        <f t="shared" ca="1" si="164"/>
        <v>0</v>
      </c>
      <c r="M955" s="913">
        <f t="shared" ca="1" si="159"/>
        <v>0</v>
      </c>
      <c r="N955" s="996">
        <f t="shared" ca="1" si="160"/>
        <v>0</v>
      </c>
      <c r="O955" s="997">
        <f t="shared" ca="1" si="161"/>
        <v>0</v>
      </c>
      <c r="P955" s="1015" t="str">
        <f ca="1">IF($C955="","",INDEX(NVLSX!$N$2:$N$6941,MATCH($C955,NVLSX!$E$2:$E$6941,0)))</f>
        <v/>
      </c>
      <c r="Q955" s="1016" t="str">
        <f ca="1">IF($R955="","",IF(XKNVLSX!$X$1="",IF($P955=$V$7,$P955, IF(COUNTIFS($C$2:$C954,$C955,$E$2:$E954,$E955)&gt;=1,"",$P955)),     IF(AND(IFERROR(SEARCH($R955,XKNVLSX!$X$1,1),0)&gt;=1,$P955=$V$7),$P955, IF(OR($R955&lt;&gt;IF(IFERROR(SEARCH($R955,XKNVLSX!$X$1,1),0)&gt;=1,$R955,XKNVLSX!$X$1),COUNTIFS($C$2:$C954,$C955,$E$2:$E954,$E955,$Q$2:$Q954,$P955)&gt;=1),"",$P955))))</f>
        <v/>
      </c>
      <c r="R955" s="1017" t="str">
        <f ca="1">IF($A955="","",IFERROR(INDEX(TinhGia!$BF$10:$BF$81,MATCH($A955,TinhGia!$B$10:$B$81,0)),""))</f>
        <v/>
      </c>
      <c r="S955" s="1012" t="str">
        <f ca="1">IF($A955="","",IF(OR(IFERROR(SEARCH($R955,XKNVLSX!$X$1,1),0)&gt;=1,XKNVLSX!$X$1=""),$S$2,""))</f>
        <v/>
      </c>
      <c r="T955" s="1018" t="str">
        <f ca="1">IF($C955="","", IF(OR($P955=$V$1,$P955=$V$7,COUNTIFS($C$3:$C955,$C955,$E$3:$E955,$E955)&lt;=1),$P955,""    ))</f>
        <v/>
      </c>
      <c r="U955" s="1019" t="str">
        <f ca="1">IF(AND($P955=$V$2,COUNTIFS($C$3:$C955,$C955,$E$3:$E955,$E955,$G$3:$G955,$G955)&lt;=1),$P955,"")</f>
        <v/>
      </c>
    </row>
    <row r="956" spans="1:21">
      <c r="A956" s="991" t="str">
        <f ca="1">IFERROR(IF(COUNTIF($A$3:A955,A955)&lt; INDEX(TinhGia!$BH$10:$BH$81,MATCH($A955,TinhGia!$B$10:$B$81,0)),$A955,INDEX(TinhGia!$B$10:$B$81,MATCH($A955,TinhGia!$B$10:$B$81,0)+1)),"")</f>
        <v/>
      </c>
      <c r="B956" s="525" t="str">
        <f ca="1">IF(OR(A956="",A956=0),"",IF(COUNTIF($A$2:A956,$A956)=1,ROW(MauKoXoa!$C$108),$B955+1))</f>
        <v/>
      </c>
      <c r="C956" s="992" t="str">
        <f t="shared" ca="1" si="152"/>
        <v/>
      </c>
      <c r="D956" s="993" t="str">
        <f t="shared" ca="1" si="153"/>
        <v/>
      </c>
      <c r="E956" s="993" t="str">
        <f t="shared" ca="1" si="154"/>
        <v/>
      </c>
      <c r="F956" s="992" t="str">
        <f t="shared" ca="1" si="162"/>
        <v/>
      </c>
      <c r="G956" s="994">
        <f t="shared" ca="1" si="155"/>
        <v>0</v>
      </c>
      <c r="H956" s="913">
        <f t="shared" ca="1" si="156"/>
        <v>0</v>
      </c>
      <c r="I956" s="913">
        <f t="shared" ca="1" si="157"/>
        <v>0</v>
      </c>
      <c r="J956" s="995">
        <f t="shared" ca="1" si="163"/>
        <v>0</v>
      </c>
      <c r="K956" s="913">
        <f t="shared" ca="1" si="158"/>
        <v>0</v>
      </c>
      <c r="L956" s="995">
        <f t="shared" ca="1" si="164"/>
        <v>0</v>
      </c>
      <c r="M956" s="913">
        <f t="shared" ca="1" si="159"/>
        <v>0</v>
      </c>
      <c r="N956" s="996">
        <f t="shared" ca="1" si="160"/>
        <v>0</v>
      </c>
      <c r="O956" s="997">
        <f t="shared" ca="1" si="161"/>
        <v>0</v>
      </c>
      <c r="P956" s="1015" t="str">
        <f ca="1">IF($C956="","",INDEX(NVLSX!$N$2:$N$6941,MATCH($C956,NVLSX!$E$2:$E$6941,0)))</f>
        <v/>
      </c>
      <c r="Q956" s="1016" t="str">
        <f ca="1">IF($R956="","",IF(XKNVLSX!$X$1="",IF($P956=$V$7,$P956, IF(COUNTIFS($C$2:$C955,$C956,$E$2:$E955,$E956)&gt;=1,"",$P956)),     IF(AND(IFERROR(SEARCH($R956,XKNVLSX!$X$1,1),0)&gt;=1,$P956=$V$7),$P956, IF(OR($R956&lt;&gt;IF(IFERROR(SEARCH($R956,XKNVLSX!$X$1,1),0)&gt;=1,$R956,XKNVLSX!$X$1),COUNTIFS($C$2:$C955,$C956,$E$2:$E955,$E956,$Q$2:$Q955,$P956)&gt;=1),"",$P956))))</f>
        <v/>
      </c>
      <c r="R956" s="1017" t="str">
        <f ca="1">IF($A956="","",IFERROR(INDEX(TinhGia!$BF$10:$BF$81,MATCH($A956,TinhGia!$B$10:$B$81,0)),""))</f>
        <v/>
      </c>
      <c r="S956" s="1012" t="str">
        <f ca="1">IF($A956="","",IF(OR(IFERROR(SEARCH($R956,XKNVLSX!$X$1,1),0)&gt;=1,XKNVLSX!$X$1=""),$S$2,""))</f>
        <v/>
      </c>
      <c r="T956" s="1018" t="str">
        <f ca="1">IF($C956="","", IF(OR($P956=$V$1,$P956=$V$7,COUNTIFS($C$3:$C956,$C956,$E$3:$E956,$E956)&lt;=1),$P956,""    ))</f>
        <v/>
      </c>
      <c r="U956" s="1019" t="str">
        <f ca="1">IF(AND($P956=$V$2,COUNTIFS($C$3:$C956,$C956,$E$3:$E956,$E956,$G$3:$G956,$G956)&lt;=1),$P956,"")</f>
        <v/>
      </c>
    </row>
    <row r="957" spans="1:21">
      <c r="A957" s="991" t="str">
        <f ca="1">IFERROR(IF(COUNTIF($A$3:A956,A956)&lt; INDEX(TinhGia!$BH$10:$BH$81,MATCH($A956,TinhGia!$B$10:$B$81,0)),$A956,INDEX(TinhGia!$B$10:$B$81,MATCH($A956,TinhGia!$B$10:$B$81,0)+1)),"")</f>
        <v/>
      </c>
      <c r="B957" s="525" t="str">
        <f ca="1">IF(OR(A957="",A957=0),"",IF(COUNTIF($A$2:A957,$A957)=1,ROW(MauKoXoa!$C$108),$B956+1))</f>
        <v/>
      </c>
      <c r="C957" s="992" t="str">
        <f t="shared" ca="1" si="152"/>
        <v/>
      </c>
      <c r="D957" s="993" t="str">
        <f t="shared" ca="1" si="153"/>
        <v/>
      </c>
      <c r="E957" s="993" t="str">
        <f t="shared" ca="1" si="154"/>
        <v/>
      </c>
      <c r="F957" s="992" t="str">
        <f t="shared" ca="1" si="162"/>
        <v/>
      </c>
      <c r="G957" s="994">
        <f t="shared" ca="1" si="155"/>
        <v>0</v>
      </c>
      <c r="H957" s="913">
        <f t="shared" ca="1" si="156"/>
        <v>0</v>
      </c>
      <c r="I957" s="913">
        <f t="shared" ca="1" si="157"/>
        <v>0</v>
      </c>
      <c r="J957" s="995">
        <f t="shared" ca="1" si="163"/>
        <v>0</v>
      </c>
      <c r="K957" s="913">
        <f t="shared" ca="1" si="158"/>
        <v>0</v>
      </c>
      <c r="L957" s="995">
        <f t="shared" ca="1" si="164"/>
        <v>0</v>
      </c>
      <c r="M957" s="913">
        <f t="shared" ca="1" si="159"/>
        <v>0</v>
      </c>
      <c r="N957" s="996">
        <f t="shared" ca="1" si="160"/>
        <v>0</v>
      </c>
      <c r="O957" s="997">
        <f t="shared" ca="1" si="161"/>
        <v>0</v>
      </c>
      <c r="P957" s="1015" t="str">
        <f ca="1">IF($C957="","",INDEX(NVLSX!$N$2:$N$6941,MATCH($C957,NVLSX!$E$2:$E$6941,0)))</f>
        <v/>
      </c>
      <c r="Q957" s="1016" t="str">
        <f ca="1">IF($R957="","",IF(XKNVLSX!$X$1="",IF($P957=$V$7,$P957, IF(COUNTIFS($C$2:$C956,$C957,$E$2:$E956,$E957)&gt;=1,"",$P957)),     IF(AND(IFERROR(SEARCH($R957,XKNVLSX!$X$1,1),0)&gt;=1,$P957=$V$7),$P957, IF(OR($R957&lt;&gt;IF(IFERROR(SEARCH($R957,XKNVLSX!$X$1,1),0)&gt;=1,$R957,XKNVLSX!$X$1),COUNTIFS($C$2:$C956,$C957,$E$2:$E956,$E957,$Q$2:$Q956,$P957)&gt;=1),"",$P957))))</f>
        <v/>
      </c>
      <c r="R957" s="1017" t="str">
        <f ca="1">IF($A957="","",IFERROR(INDEX(TinhGia!$BF$10:$BF$81,MATCH($A957,TinhGia!$B$10:$B$81,0)),""))</f>
        <v/>
      </c>
      <c r="S957" s="1012" t="str">
        <f ca="1">IF($A957="","",IF(OR(IFERROR(SEARCH($R957,XKNVLSX!$X$1,1),0)&gt;=1,XKNVLSX!$X$1=""),$S$2,""))</f>
        <v/>
      </c>
      <c r="T957" s="1018" t="str">
        <f ca="1">IF($C957="","", IF(OR($P957=$V$1,$P957=$V$7,COUNTIFS($C$3:$C957,$C957,$E$3:$E957,$E957)&lt;=1),$P957,""    ))</f>
        <v/>
      </c>
      <c r="U957" s="1019" t="str">
        <f ca="1">IF(AND($P957=$V$2,COUNTIFS($C$3:$C957,$C957,$E$3:$E957,$E957,$G$3:$G957,$G957)&lt;=1),$P957,"")</f>
        <v/>
      </c>
    </row>
    <row r="958" spans="1:21">
      <c r="A958" s="991" t="str">
        <f ca="1">IFERROR(IF(COUNTIF($A$3:A957,A957)&lt; INDEX(TinhGia!$BH$10:$BH$81,MATCH($A957,TinhGia!$B$10:$B$81,0)),$A957,INDEX(TinhGia!$B$10:$B$81,MATCH($A957,TinhGia!$B$10:$B$81,0)+1)),"")</f>
        <v/>
      </c>
      <c r="B958" s="525" t="str">
        <f ca="1">IF(OR(A958="",A958=0),"",IF(COUNTIF($A$2:A958,$A958)=1,ROW(MauKoXoa!$C$108),$B957+1))</f>
        <v/>
      </c>
      <c r="C958" s="992" t="str">
        <f t="shared" ca="1" si="152"/>
        <v/>
      </c>
      <c r="D958" s="993" t="str">
        <f t="shared" ca="1" si="153"/>
        <v/>
      </c>
      <c r="E958" s="993" t="str">
        <f t="shared" ca="1" si="154"/>
        <v/>
      </c>
      <c r="F958" s="992" t="str">
        <f t="shared" ca="1" si="162"/>
        <v/>
      </c>
      <c r="G958" s="994">
        <f t="shared" ca="1" si="155"/>
        <v>0</v>
      </c>
      <c r="H958" s="913">
        <f t="shared" ca="1" si="156"/>
        <v>0</v>
      </c>
      <c r="I958" s="913">
        <f t="shared" ca="1" si="157"/>
        <v>0</v>
      </c>
      <c r="J958" s="995">
        <f t="shared" ca="1" si="163"/>
        <v>0</v>
      </c>
      <c r="K958" s="913">
        <f t="shared" ca="1" si="158"/>
        <v>0</v>
      </c>
      <c r="L958" s="995">
        <f t="shared" ca="1" si="164"/>
        <v>0</v>
      </c>
      <c r="M958" s="913">
        <f t="shared" ca="1" si="159"/>
        <v>0</v>
      </c>
      <c r="N958" s="996">
        <f t="shared" ca="1" si="160"/>
        <v>0</v>
      </c>
      <c r="O958" s="997">
        <f t="shared" ca="1" si="161"/>
        <v>0</v>
      </c>
      <c r="P958" s="1015" t="str">
        <f ca="1">IF($C958="","",INDEX(NVLSX!$N$2:$N$6941,MATCH($C958,NVLSX!$E$2:$E$6941,0)))</f>
        <v/>
      </c>
      <c r="Q958" s="1016" t="str">
        <f ca="1">IF($R958="","",IF(XKNVLSX!$X$1="",IF($P958=$V$7,$P958, IF(COUNTIFS($C$2:$C957,$C958,$E$2:$E957,$E958)&gt;=1,"",$P958)),     IF(AND(IFERROR(SEARCH($R958,XKNVLSX!$X$1,1),0)&gt;=1,$P958=$V$7),$P958, IF(OR($R958&lt;&gt;IF(IFERROR(SEARCH($R958,XKNVLSX!$X$1,1),0)&gt;=1,$R958,XKNVLSX!$X$1),COUNTIFS($C$2:$C957,$C958,$E$2:$E957,$E958,$Q$2:$Q957,$P958)&gt;=1),"",$P958))))</f>
        <v/>
      </c>
      <c r="R958" s="1017" t="str">
        <f ca="1">IF($A958="","",IFERROR(INDEX(TinhGia!$BF$10:$BF$81,MATCH($A958,TinhGia!$B$10:$B$81,0)),""))</f>
        <v/>
      </c>
      <c r="S958" s="1012" t="str">
        <f ca="1">IF($A958="","",IF(OR(IFERROR(SEARCH($R958,XKNVLSX!$X$1,1),0)&gt;=1,XKNVLSX!$X$1=""),$S$2,""))</f>
        <v/>
      </c>
      <c r="T958" s="1018" t="str">
        <f ca="1">IF($C958="","", IF(OR($P958=$V$1,$P958=$V$7,COUNTIFS($C$3:$C958,$C958,$E$3:$E958,$E958)&lt;=1),$P958,""    ))</f>
        <v/>
      </c>
      <c r="U958" s="1019" t="str">
        <f ca="1">IF(AND($P958=$V$2,COUNTIFS($C$3:$C958,$C958,$E$3:$E958,$E958,$G$3:$G958,$G958)&lt;=1),$P958,"")</f>
        <v/>
      </c>
    </row>
    <row r="959" spans="1:21">
      <c r="A959" s="991" t="str">
        <f ca="1">IFERROR(IF(COUNTIF($A$3:A958,A958)&lt; INDEX(TinhGia!$BH$10:$BH$81,MATCH($A958,TinhGia!$B$10:$B$81,0)),$A958,INDEX(TinhGia!$B$10:$B$81,MATCH($A958,TinhGia!$B$10:$B$81,0)+1)),"")</f>
        <v/>
      </c>
      <c r="B959" s="525" t="str">
        <f ca="1">IF(OR(A959="",A959=0),"",IF(COUNTIF($A$2:A959,$A959)=1,ROW(MauKoXoa!$C$108),$B958+1))</f>
        <v/>
      </c>
      <c r="C959" s="992" t="str">
        <f t="shared" ca="1" si="152"/>
        <v/>
      </c>
      <c r="D959" s="993" t="str">
        <f t="shared" ca="1" si="153"/>
        <v/>
      </c>
      <c r="E959" s="993" t="str">
        <f t="shared" ca="1" si="154"/>
        <v/>
      </c>
      <c r="F959" s="992" t="str">
        <f t="shared" ca="1" si="162"/>
        <v/>
      </c>
      <c r="G959" s="994">
        <f t="shared" ca="1" si="155"/>
        <v>0</v>
      </c>
      <c r="H959" s="913">
        <f t="shared" ca="1" si="156"/>
        <v>0</v>
      </c>
      <c r="I959" s="913">
        <f t="shared" ca="1" si="157"/>
        <v>0</v>
      </c>
      <c r="J959" s="995">
        <f t="shared" ca="1" si="163"/>
        <v>0</v>
      </c>
      <c r="K959" s="913">
        <f t="shared" ca="1" si="158"/>
        <v>0</v>
      </c>
      <c r="L959" s="995">
        <f t="shared" ca="1" si="164"/>
        <v>0</v>
      </c>
      <c r="M959" s="913">
        <f t="shared" ca="1" si="159"/>
        <v>0</v>
      </c>
      <c r="N959" s="996">
        <f t="shared" ca="1" si="160"/>
        <v>0</v>
      </c>
      <c r="O959" s="997">
        <f t="shared" ca="1" si="161"/>
        <v>0</v>
      </c>
      <c r="P959" s="1015" t="str">
        <f ca="1">IF($C959="","",INDEX(NVLSX!$N$2:$N$6941,MATCH($C959,NVLSX!$E$2:$E$6941,0)))</f>
        <v/>
      </c>
      <c r="Q959" s="1016" t="str">
        <f ca="1">IF($R959="","",IF(XKNVLSX!$X$1="",IF($P959=$V$7,$P959, IF(COUNTIFS($C$2:$C958,$C959,$E$2:$E958,$E959)&gt;=1,"",$P959)),     IF(AND(IFERROR(SEARCH($R959,XKNVLSX!$X$1,1),0)&gt;=1,$P959=$V$7),$P959, IF(OR($R959&lt;&gt;IF(IFERROR(SEARCH($R959,XKNVLSX!$X$1,1),0)&gt;=1,$R959,XKNVLSX!$X$1),COUNTIFS($C$2:$C958,$C959,$E$2:$E958,$E959,$Q$2:$Q958,$P959)&gt;=1),"",$P959))))</f>
        <v/>
      </c>
      <c r="R959" s="1017" t="str">
        <f ca="1">IF($A959="","",IFERROR(INDEX(TinhGia!$BF$10:$BF$81,MATCH($A959,TinhGia!$B$10:$B$81,0)),""))</f>
        <v/>
      </c>
      <c r="S959" s="1012" t="str">
        <f ca="1">IF($A959="","",IF(OR(IFERROR(SEARCH($R959,XKNVLSX!$X$1,1),0)&gt;=1,XKNVLSX!$X$1=""),$S$2,""))</f>
        <v/>
      </c>
      <c r="T959" s="1018" t="str">
        <f ca="1">IF($C959="","", IF(OR($P959=$V$1,$P959=$V$7,COUNTIFS($C$3:$C959,$C959,$E$3:$E959,$E959)&lt;=1),$P959,""    ))</f>
        <v/>
      </c>
      <c r="U959" s="1019" t="str">
        <f ca="1">IF(AND($P959=$V$2,COUNTIFS($C$3:$C959,$C959,$E$3:$E959,$E959,$G$3:$G959,$G959)&lt;=1),$P959,"")</f>
        <v/>
      </c>
    </row>
    <row r="960" spans="1:21">
      <c r="A960" s="991" t="str">
        <f ca="1">IFERROR(IF(COUNTIF($A$3:A959,A959)&lt; INDEX(TinhGia!$BH$10:$BH$81,MATCH($A959,TinhGia!$B$10:$B$81,0)),$A959,INDEX(TinhGia!$B$10:$B$81,MATCH($A959,TinhGia!$B$10:$B$81,0)+1)),"")</f>
        <v/>
      </c>
      <c r="B960" s="525" t="str">
        <f ca="1">IF(OR(A960="",A960=0),"",IF(COUNTIF($A$2:A960,$A960)=1,ROW(MauKoXoa!$C$108),$B959+1))</f>
        <v/>
      </c>
      <c r="C960" s="992" t="str">
        <f t="shared" ca="1" si="152"/>
        <v/>
      </c>
      <c r="D960" s="993" t="str">
        <f t="shared" ca="1" si="153"/>
        <v/>
      </c>
      <c r="E960" s="993" t="str">
        <f t="shared" ca="1" si="154"/>
        <v/>
      </c>
      <c r="F960" s="992" t="str">
        <f t="shared" ca="1" si="162"/>
        <v/>
      </c>
      <c r="G960" s="994">
        <f t="shared" ca="1" si="155"/>
        <v>0</v>
      </c>
      <c r="H960" s="913">
        <f t="shared" ca="1" si="156"/>
        <v>0</v>
      </c>
      <c r="I960" s="913">
        <f t="shared" ca="1" si="157"/>
        <v>0</v>
      </c>
      <c r="J960" s="995">
        <f t="shared" ca="1" si="163"/>
        <v>0</v>
      </c>
      <c r="K960" s="913">
        <f t="shared" ca="1" si="158"/>
        <v>0</v>
      </c>
      <c r="L960" s="995">
        <f t="shared" ca="1" si="164"/>
        <v>0</v>
      </c>
      <c r="M960" s="913">
        <f t="shared" ca="1" si="159"/>
        <v>0</v>
      </c>
      <c r="N960" s="996">
        <f t="shared" ca="1" si="160"/>
        <v>0</v>
      </c>
      <c r="O960" s="997">
        <f t="shared" ca="1" si="161"/>
        <v>0</v>
      </c>
      <c r="P960" s="1015" t="str">
        <f ca="1">IF($C960="","",INDEX(NVLSX!$N$2:$N$6941,MATCH($C960,NVLSX!$E$2:$E$6941,0)))</f>
        <v/>
      </c>
      <c r="Q960" s="1016" t="str">
        <f ca="1">IF($R960="","",IF(XKNVLSX!$X$1="",IF($P960=$V$7,$P960, IF(COUNTIFS($C$2:$C959,$C960,$E$2:$E959,$E960)&gt;=1,"",$P960)),     IF(AND(IFERROR(SEARCH($R960,XKNVLSX!$X$1,1),0)&gt;=1,$P960=$V$7),$P960, IF(OR($R960&lt;&gt;IF(IFERROR(SEARCH($R960,XKNVLSX!$X$1,1),0)&gt;=1,$R960,XKNVLSX!$X$1),COUNTIFS($C$2:$C959,$C960,$E$2:$E959,$E960,$Q$2:$Q959,$P960)&gt;=1),"",$P960))))</f>
        <v/>
      </c>
      <c r="R960" s="1017" t="str">
        <f ca="1">IF($A960="","",IFERROR(INDEX(TinhGia!$BF$10:$BF$81,MATCH($A960,TinhGia!$B$10:$B$81,0)),""))</f>
        <v/>
      </c>
      <c r="S960" s="1012" t="str">
        <f ca="1">IF($A960="","",IF(OR(IFERROR(SEARCH($R960,XKNVLSX!$X$1,1),0)&gt;=1,XKNVLSX!$X$1=""),$S$2,""))</f>
        <v/>
      </c>
      <c r="T960" s="1018" t="str">
        <f ca="1">IF($C960="","", IF(OR($P960=$V$1,$P960=$V$7,COUNTIFS($C$3:$C960,$C960,$E$3:$E960,$E960)&lt;=1),$P960,""    ))</f>
        <v/>
      </c>
      <c r="U960" s="1019" t="str">
        <f ca="1">IF(AND($P960=$V$2,COUNTIFS($C$3:$C960,$C960,$E$3:$E960,$E960,$G$3:$G960,$G960)&lt;=1),$P960,"")</f>
        <v/>
      </c>
    </row>
    <row r="961" spans="1:21">
      <c r="A961" s="991" t="str">
        <f ca="1">IFERROR(IF(COUNTIF($A$3:A960,A960)&lt; INDEX(TinhGia!$BH$10:$BH$81,MATCH($A960,TinhGia!$B$10:$B$81,0)),$A960,INDEX(TinhGia!$B$10:$B$81,MATCH($A960,TinhGia!$B$10:$B$81,0)+1)),"")</f>
        <v/>
      </c>
      <c r="B961" s="525" t="str">
        <f ca="1">IF(OR(A961="",A961=0),"",IF(COUNTIF($A$2:A961,$A961)=1,ROW(MauKoXoa!$C$108),$B960+1))</f>
        <v/>
      </c>
      <c r="C961" s="992" t="str">
        <f t="shared" ca="1" si="152"/>
        <v/>
      </c>
      <c r="D961" s="993" t="str">
        <f t="shared" ca="1" si="153"/>
        <v/>
      </c>
      <c r="E961" s="993" t="str">
        <f t="shared" ca="1" si="154"/>
        <v/>
      </c>
      <c r="F961" s="992" t="str">
        <f t="shared" ca="1" si="162"/>
        <v/>
      </c>
      <c r="G961" s="994">
        <f t="shared" ca="1" si="155"/>
        <v>0</v>
      </c>
      <c r="H961" s="913">
        <f t="shared" ca="1" si="156"/>
        <v>0</v>
      </c>
      <c r="I961" s="913">
        <f t="shared" ca="1" si="157"/>
        <v>0</v>
      </c>
      <c r="J961" s="995">
        <f t="shared" ca="1" si="163"/>
        <v>0</v>
      </c>
      <c r="K961" s="913">
        <f t="shared" ca="1" si="158"/>
        <v>0</v>
      </c>
      <c r="L961" s="995">
        <f t="shared" ca="1" si="164"/>
        <v>0</v>
      </c>
      <c r="M961" s="913">
        <f t="shared" ca="1" si="159"/>
        <v>0</v>
      </c>
      <c r="N961" s="996">
        <f t="shared" ca="1" si="160"/>
        <v>0</v>
      </c>
      <c r="O961" s="997">
        <f t="shared" ca="1" si="161"/>
        <v>0</v>
      </c>
      <c r="P961" s="1015" t="str">
        <f ca="1">IF($C961="","",INDEX(NVLSX!$N$2:$N$6941,MATCH($C961,NVLSX!$E$2:$E$6941,0)))</f>
        <v/>
      </c>
      <c r="Q961" s="1016" t="str">
        <f ca="1">IF($R961="","",IF(XKNVLSX!$X$1="",IF($P961=$V$7,$P961, IF(COUNTIFS($C$2:$C960,$C961,$E$2:$E960,$E961)&gt;=1,"",$P961)),     IF(AND(IFERROR(SEARCH($R961,XKNVLSX!$X$1,1),0)&gt;=1,$P961=$V$7),$P961, IF(OR($R961&lt;&gt;IF(IFERROR(SEARCH($R961,XKNVLSX!$X$1,1),0)&gt;=1,$R961,XKNVLSX!$X$1),COUNTIFS($C$2:$C960,$C961,$E$2:$E960,$E961,$Q$2:$Q960,$P961)&gt;=1),"",$P961))))</f>
        <v/>
      </c>
      <c r="R961" s="1017" t="str">
        <f ca="1">IF($A961="","",IFERROR(INDEX(TinhGia!$BF$10:$BF$81,MATCH($A961,TinhGia!$B$10:$B$81,0)),""))</f>
        <v/>
      </c>
      <c r="S961" s="1012" t="str">
        <f ca="1">IF($A961="","",IF(OR(IFERROR(SEARCH($R961,XKNVLSX!$X$1,1),0)&gt;=1,XKNVLSX!$X$1=""),$S$2,""))</f>
        <v/>
      </c>
      <c r="T961" s="1018" t="str">
        <f ca="1">IF($C961="","", IF(OR($P961=$V$1,$P961=$V$7,COUNTIFS($C$3:$C961,$C961,$E$3:$E961,$E961)&lt;=1),$P961,""    ))</f>
        <v/>
      </c>
      <c r="U961" s="1019" t="str">
        <f ca="1">IF(AND($P961=$V$2,COUNTIFS($C$3:$C961,$C961,$E$3:$E961,$E961,$G$3:$G961,$G961)&lt;=1),$P961,"")</f>
        <v/>
      </c>
    </row>
    <row r="962" spans="1:21">
      <c r="A962" s="991" t="str">
        <f ca="1">IFERROR(IF(COUNTIF($A$3:A961,A961)&lt; INDEX(TinhGia!$BH$10:$BH$81,MATCH($A961,TinhGia!$B$10:$B$81,0)),$A961,INDEX(TinhGia!$B$10:$B$81,MATCH($A961,TinhGia!$B$10:$B$81,0)+1)),"")</f>
        <v/>
      </c>
      <c r="B962" s="525" t="str">
        <f ca="1">IF(OR(A962="",A962=0),"",IF(COUNTIF($A$2:A962,$A962)=1,ROW(MauKoXoa!$C$108),$B961+1))</f>
        <v/>
      </c>
      <c r="C962" s="992" t="str">
        <f t="shared" ref="C962:C1215" ca="1" si="165">IFERROR(INDIRECT("'" &amp; $A962 &amp; "'!" &amp; "C" &amp; $B962),"")</f>
        <v/>
      </c>
      <c r="D962" s="993" t="str">
        <f t="shared" ref="D962:D1215" ca="1" si="166">IFERROR(INDIRECT("'" &amp; $A962 &amp; "'!" &amp; "D" &amp; $B962),"")</f>
        <v/>
      </c>
      <c r="E962" s="993" t="str">
        <f t="shared" ref="E962:E1215" ca="1" si="167">IFERROR(INDIRECT("'" &amp; $A962 &amp; "'!" &amp; "P" &amp; $B962),"")</f>
        <v/>
      </c>
      <c r="F962" s="992" t="str">
        <f t="shared" ca="1" si="162"/>
        <v/>
      </c>
      <c r="G962" s="994">
        <f t="shared" ref="G962:G1215" ca="1" si="168">IFERROR(INDIRECT("'" &amp; $A962 &amp; "'!" &amp; "F" &amp; $B962),0)</f>
        <v>0</v>
      </c>
      <c r="H962" s="913">
        <f t="shared" ref="H962:H1215" ca="1" si="169">IFERROR(INDIRECT("'" &amp; $A962 &amp; "'!" &amp; "G" &amp; $B962),0)</f>
        <v>0</v>
      </c>
      <c r="I962" s="913">
        <f t="shared" ref="I962:I1215" ca="1" si="170">IFERROR(INDIRECT("'" &amp; $A962 &amp; "'!" &amp; "H" &amp; $B962),0)</f>
        <v>0</v>
      </c>
      <c r="J962" s="995">
        <f t="shared" ca="1" si="163"/>
        <v>0</v>
      </c>
      <c r="K962" s="913">
        <f t="shared" ref="K962:K1215" ca="1" si="171">IFERROR(INDIRECT("'" &amp; $A962 &amp; "'!" &amp; "L" &amp; $B962),0)</f>
        <v>0</v>
      </c>
      <c r="L962" s="995">
        <f t="shared" ca="1" si="164"/>
        <v>0</v>
      </c>
      <c r="M962" s="913">
        <f t="shared" ref="M962:M1215" ca="1" si="172">IFERROR(INDIRECT("'" &amp; $A962 &amp; "'!" &amp; "M" &amp; $B962),0)</f>
        <v>0</v>
      </c>
      <c r="N962" s="996">
        <f t="shared" ref="N962:N1215" ca="1" si="173">IFERROR(INDIRECT("'" &amp; $A962 &amp; "'!" &amp; "N" &amp; $B962),0)</f>
        <v>0</v>
      </c>
      <c r="O962" s="997">
        <f t="shared" ref="O962:O1215" ca="1" si="174">IFERROR(INDIRECT("'" &amp; $A962 &amp; "'!" &amp; "O" &amp; $B962),0)</f>
        <v>0</v>
      </c>
      <c r="P962" s="1015" t="str">
        <f ca="1">IF($C962="","",INDEX(NVLSX!$N$2:$N$6941,MATCH($C962,NVLSX!$E$2:$E$6941,0)))</f>
        <v/>
      </c>
      <c r="Q962" s="1016" t="str">
        <f ca="1">IF($R962="","",IF(XKNVLSX!$X$1="",IF($P962=$V$7,$P962, IF(COUNTIFS($C$2:$C961,$C962,$E$2:$E961,$E962)&gt;=1,"",$P962)),     IF(AND(IFERROR(SEARCH($R962,XKNVLSX!$X$1,1),0)&gt;=1,$P962=$V$7),$P962, IF(OR($R962&lt;&gt;IF(IFERROR(SEARCH($R962,XKNVLSX!$X$1,1),0)&gt;=1,$R962,XKNVLSX!$X$1),COUNTIFS($C$2:$C961,$C962,$E$2:$E961,$E962,$Q$2:$Q961,$P962)&gt;=1),"",$P962))))</f>
        <v/>
      </c>
      <c r="R962" s="1017" t="str">
        <f ca="1">IF($A962="","",IFERROR(INDEX(TinhGia!$BF$10:$BF$81,MATCH($A962,TinhGia!$B$10:$B$81,0)),""))</f>
        <v/>
      </c>
      <c r="S962" s="1012" t="str">
        <f ca="1">IF($A962="","",IF(OR(IFERROR(SEARCH($R962,XKNVLSX!$X$1,1),0)&gt;=1,XKNVLSX!$X$1=""),$S$2,""))</f>
        <v/>
      </c>
      <c r="T962" s="1018" t="str">
        <f ca="1">IF($C962="","", IF(OR($P962=$V$1,$P962=$V$7,COUNTIFS($C$3:$C962,$C962,$E$3:$E962,$E962)&lt;=1),$P962,""    ))</f>
        <v/>
      </c>
      <c r="U962" s="1019" t="str">
        <f ca="1">IF(AND($P962=$V$2,COUNTIFS($C$3:$C962,$C962,$E$3:$E962,$E962,$G$3:$G962,$G962)&lt;=1),$P962,"")</f>
        <v/>
      </c>
    </row>
    <row r="963" spans="1:21">
      <c r="A963" s="991" t="str">
        <f ca="1">IFERROR(IF(COUNTIF($A$3:A962,A962)&lt; INDEX(TinhGia!$BH$10:$BH$81,MATCH($A962,TinhGia!$B$10:$B$81,0)),$A962,INDEX(TinhGia!$B$10:$B$81,MATCH($A962,TinhGia!$B$10:$B$81,0)+1)),"")</f>
        <v/>
      </c>
      <c r="B963" s="525" t="str">
        <f ca="1">IF(OR(A963="",A963=0),"",IF(COUNTIF($A$2:A963,$A963)=1,ROW(MauKoXoa!$C$108),$B962+1))</f>
        <v/>
      </c>
      <c r="C963" s="992" t="str">
        <f t="shared" ca="1" si="165"/>
        <v/>
      </c>
      <c r="D963" s="993" t="str">
        <f t="shared" ca="1" si="166"/>
        <v/>
      </c>
      <c r="E963" s="993" t="str">
        <f t="shared" ca="1" si="167"/>
        <v/>
      </c>
      <c r="F963" s="992" t="str">
        <f t="shared" ref="F963:F1026" ca="1" si="175">IF($P963=$V$7, IFERROR(INDIRECT("'" &amp; $A963 &amp; "'!" &amp; "I" &amp; $B963),""),IFERROR(INDIRECT("'" &amp; $A963 &amp; "'!" &amp; "E" &amp; $B963),""))</f>
        <v/>
      </c>
      <c r="G963" s="994">
        <f t="shared" ca="1" si="168"/>
        <v>0</v>
      </c>
      <c r="H963" s="913">
        <f t="shared" ca="1" si="169"/>
        <v>0</v>
      </c>
      <c r="I963" s="913">
        <f t="shared" ca="1" si="170"/>
        <v>0</v>
      </c>
      <c r="J963" s="995">
        <f t="shared" ca="1" si="163"/>
        <v>0</v>
      </c>
      <c r="K963" s="913">
        <f t="shared" ca="1" si="171"/>
        <v>0</v>
      </c>
      <c r="L963" s="995">
        <f t="shared" ca="1" si="164"/>
        <v>0</v>
      </c>
      <c r="M963" s="913">
        <f t="shared" ca="1" si="172"/>
        <v>0</v>
      </c>
      <c r="N963" s="996">
        <f t="shared" ca="1" si="173"/>
        <v>0</v>
      </c>
      <c r="O963" s="997">
        <f t="shared" ca="1" si="174"/>
        <v>0</v>
      </c>
      <c r="P963" s="1015" t="str">
        <f ca="1">IF($C963="","",INDEX(NVLSX!$N$2:$N$6941,MATCH($C963,NVLSX!$E$2:$E$6941,0)))</f>
        <v/>
      </c>
      <c r="Q963" s="1016" t="str">
        <f ca="1">IF($R963="","",IF(XKNVLSX!$X$1="",IF($P963=$V$7,$P963, IF(COUNTIFS($C$2:$C962,$C963,$E$2:$E962,$E963)&gt;=1,"",$P963)),     IF(AND(IFERROR(SEARCH($R963,XKNVLSX!$X$1,1),0)&gt;=1,$P963=$V$7),$P963, IF(OR($R963&lt;&gt;IF(IFERROR(SEARCH($R963,XKNVLSX!$X$1,1),0)&gt;=1,$R963,XKNVLSX!$X$1),COUNTIFS($C$2:$C962,$C963,$E$2:$E962,$E963,$Q$2:$Q962,$P963)&gt;=1),"",$P963))))</f>
        <v/>
      </c>
      <c r="R963" s="1017" t="str">
        <f ca="1">IF($A963="","",IFERROR(INDEX(TinhGia!$BF$10:$BF$81,MATCH($A963,TinhGia!$B$10:$B$81,0)),""))</f>
        <v/>
      </c>
      <c r="S963" s="1012" t="str">
        <f ca="1">IF($A963="","",IF(OR(IFERROR(SEARCH($R963,XKNVLSX!$X$1,1),0)&gt;=1,XKNVLSX!$X$1=""),$S$2,""))</f>
        <v/>
      </c>
      <c r="T963" s="1018" t="str">
        <f ca="1">IF($C963="","", IF(OR($P963=$V$1,$P963=$V$7,COUNTIFS($C$3:$C963,$C963,$E$3:$E963,$E963)&lt;=1),$P963,""    ))</f>
        <v/>
      </c>
      <c r="U963" s="1019" t="str">
        <f ca="1">IF(AND($P963=$V$2,COUNTIFS($C$3:$C963,$C963,$E$3:$E963,$E963,$G$3:$G963,$G963)&lt;=1),$P963,"")</f>
        <v/>
      </c>
    </row>
    <row r="964" spans="1:21">
      <c r="A964" s="991" t="str">
        <f ca="1">IFERROR(IF(COUNTIF($A$3:A963,A963)&lt; INDEX(TinhGia!$BH$10:$BH$81,MATCH($A963,TinhGia!$B$10:$B$81,0)),$A963,INDEX(TinhGia!$B$10:$B$81,MATCH($A963,TinhGia!$B$10:$B$81,0)+1)),"")</f>
        <v/>
      </c>
      <c r="B964" s="525" t="str">
        <f ca="1">IF(OR(A964="",A964=0),"",IF(COUNTIF($A$2:A964,$A964)=1,ROW(MauKoXoa!$C$108),$B963+1))</f>
        <v/>
      </c>
      <c r="C964" s="992" t="str">
        <f t="shared" ca="1" si="165"/>
        <v/>
      </c>
      <c r="D964" s="993" t="str">
        <f t="shared" ca="1" si="166"/>
        <v/>
      </c>
      <c r="E964" s="993" t="str">
        <f t="shared" ca="1" si="167"/>
        <v/>
      </c>
      <c r="F964" s="992" t="str">
        <f t="shared" ca="1" si="175"/>
        <v/>
      </c>
      <c r="G964" s="994">
        <f t="shared" ca="1" si="168"/>
        <v>0</v>
      </c>
      <c r="H964" s="913">
        <f t="shared" ca="1" si="169"/>
        <v>0</v>
      </c>
      <c r="I964" s="913">
        <f t="shared" ca="1" si="170"/>
        <v>0</v>
      </c>
      <c r="J964" s="995">
        <f t="shared" ref="J964:J1027" ca="1" si="176">IFERROR(INDIRECT("'" &amp; $A964 &amp; "'!" &amp; "J" &amp; $B964),0)</f>
        <v>0</v>
      </c>
      <c r="K964" s="913">
        <f t="shared" ca="1" si="171"/>
        <v>0</v>
      </c>
      <c r="L964" s="995">
        <f t="shared" ref="L964:L1027" ca="1" si="177">+ IFERROR(INDIRECT("'" &amp; $A964 &amp; "'!" &amp; "K" &amp; $B964),0)</f>
        <v>0</v>
      </c>
      <c r="M964" s="913">
        <f t="shared" ca="1" si="172"/>
        <v>0</v>
      </c>
      <c r="N964" s="996">
        <f t="shared" ca="1" si="173"/>
        <v>0</v>
      </c>
      <c r="O964" s="997">
        <f t="shared" ca="1" si="174"/>
        <v>0</v>
      </c>
      <c r="P964" s="1015" t="str">
        <f ca="1">IF($C964="","",INDEX(NVLSX!$N$2:$N$6941,MATCH($C964,NVLSX!$E$2:$E$6941,0)))</f>
        <v/>
      </c>
      <c r="Q964" s="1016" t="str">
        <f ca="1">IF($R964="","",IF(XKNVLSX!$X$1="",IF($P964=$V$7,$P964, IF(COUNTIFS($C$2:$C963,$C964,$E$2:$E963,$E964)&gt;=1,"",$P964)),     IF(AND(IFERROR(SEARCH($R964,XKNVLSX!$X$1,1),0)&gt;=1,$P964=$V$7),$P964, IF(OR($R964&lt;&gt;IF(IFERROR(SEARCH($R964,XKNVLSX!$X$1,1),0)&gt;=1,$R964,XKNVLSX!$X$1),COUNTIFS($C$2:$C963,$C964,$E$2:$E963,$E964,$Q$2:$Q963,$P964)&gt;=1),"",$P964))))</f>
        <v/>
      </c>
      <c r="R964" s="1017" t="str">
        <f ca="1">IF($A964="","",IFERROR(INDEX(TinhGia!$BF$10:$BF$81,MATCH($A964,TinhGia!$B$10:$B$81,0)),""))</f>
        <v/>
      </c>
      <c r="S964" s="1012" t="str">
        <f ca="1">IF($A964="","",IF(OR(IFERROR(SEARCH($R964,XKNVLSX!$X$1,1),0)&gt;=1,XKNVLSX!$X$1=""),$S$2,""))</f>
        <v/>
      </c>
      <c r="T964" s="1018" t="str">
        <f ca="1">IF($C964="","", IF(OR($P964=$V$1,$P964=$V$7,COUNTIFS($C$3:$C964,$C964,$E$3:$E964,$E964)&lt;=1),$P964,""    ))</f>
        <v/>
      </c>
      <c r="U964" s="1019" t="str">
        <f ca="1">IF(AND($P964=$V$2,COUNTIFS($C$3:$C964,$C964,$E$3:$E964,$E964,$G$3:$G964,$G964)&lt;=1),$P964,"")</f>
        <v/>
      </c>
    </row>
    <row r="965" spans="1:21">
      <c r="A965" s="991" t="str">
        <f ca="1">IFERROR(IF(COUNTIF($A$3:A964,A964)&lt; INDEX(TinhGia!$BH$10:$BH$81,MATCH($A964,TinhGia!$B$10:$B$81,0)),$A964,INDEX(TinhGia!$B$10:$B$81,MATCH($A964,TinhGia!$B$10:$B$81,0)+1)),"")</f>
        <v/>
      </c>
      <c r="B965" s="525" t="str">
        <f ca="1">IF(OR(A965="",A965=0),"",IF(COUNTIF($A$2:A965,$A965)=1,ROW(MauKoXoa!$C$108),$B964+1))</f>
        <v/>
      </c>
      <c r="C965" s="992" t="str">
        <f t="shared" ca="1" si="165"/>
        <v/>
      </c>
      <c r="D965" s="993" t="str">
        <f t="shared" ca="1" si="166"/>
        <v/>
      </c>
      <c r="E965" s="993" t="str">
        <f t="shared" ca="1" si="167"/>
        <v/>
      </c>
      <c r="F965" s="992" t="str">
        <f t="shared" ca="1" si="175"/>
        <v/>
      </c>
      <c r="G965" s="994">
        <f t="shared" ca="1" si="168"/>
        <v>0</v>
      </c>
      <c r="H965" s="913">
        <f t="shared" ca="1" si="169"/>
        <v>0</v>
      </c>
      <c r="I965" s="913">
        <f t="shared" ca="1" si="170"/>
        <v>0</v>
      </c>
      <c r="J965" s="995">
        <f t="shared" ca="1" si="176"/>
        <v>0</v>
      </c>
      <c r="K965" s="913">
        <f t="shared" ca="1" si="171"/>
        <v>0</v>
      </c>
      <c r="L965" s="995">
        <f t="shared" ca="1" si="177"/>
        <v>0</v>
      </c>
      <c r="M965" s="913">
        <f t="shared" ca="1" si="172"/>
        <v>0</v>
      </c>
      <c r="N965" s="996">
        <f t="shared" ca="1" si="173"/>
        <v>0</v>
      </c>
      <c r="O965" s="997">
        <f t="shared" ca="1" si="174"/>
        <v>0</v>
      </c>
      <c r="P965" s="1015" t="str">
        <f ca="1">IF($C965="","",INDEX(NVLSX!$N$2:$N$6941,MATCH($C965,NVLSX!$E$2:$E$6941,0)))</f>
        <v/>
      </c>
      <c r="Q965" s="1016" t="str">
        <f ca="1">IF($R965="","",IF(XKNVLSX!$X$1="",IF($P965=$V$7,$P965, IF(COUNTIFS($C$2:$C964,$C965,$E$2:$E964,$E965)&gt;=1,"",$P965)),     IF(AND(IFERROR(SEARCH($R965,XKNVLSX!$X$1,1),0)&gt;=1,$P965=$V$7),$P965, IF(OR($R965&lt;&gt;IF(IFERROR(SEARCH($R965,XKNVLSX!$X$1,1),0)&gt;=1,$R965,XKNVLSX!$X$1),COUNTIFS($C$2:$C964,$C965,$E$2:$E964,$E965,$Q$2:$Q964,$P965)&gt;=1),"",$P965))))</f>
        <v/>
      </c>
      <c r="R965" s="1017" t="str">
        <f ca="1">IF($A965="","",IFERROR(INDEX(TinhGia!$BF$10:$BF$81,MATCH($A965,TinhGia!$B$10:$B$81,0)),""))</f>
        <v/>
      </c>
      <c r="S965" s="1012" t="str">
        <f ca="1">IF($A965="","",IF(OR(IFERROR(SEARCH($R965,XKNVLSX!$X$1,1),0)&gt;=1,XKNVLSX!$X$1=""),$S$2,""))</f>
        <v/>
      </c>
      <c r="T965" s="1018" t="str">
        <f ca="1">IF($C965="","", IF(OR($P965=$V$1,$P965=$V$7,COUNTIFS($C$3:$C965,$C965,$E$3:$E965,$E965)&lt;=1),$P965,""    ))</f>
        <v/>
      </c>
      <c r="U965" s="1019" t="str">
        <f ca="1">IF(AND($P965=$V$2,COUNTIFS($C$3:$C965,$C965,$E$3:$E965,$E965,$G$3:$G965,$G965)&lt;=1),$P965,"")</f>
        <v/>
      </c>
    </row>
    <row r="966" spans="1:21">
      <c r="A966" s="991" t="str">
        <f ca="1">IFERROR(IF(COUNTIF($A$3:A965,A965)&lt; INDEX(TinhGia!$BH$10:$BH$81,MATCH($A965,TinhGia!$B$10:$B$81,0)),$A965,INDEX(TinhGia!$B$10:$B$81,MATCH($A965,TinhGia!$B$10:$B$81,0)+1)),"")</f>
        <v/>
      </c>
      <c r="B966" s="525" t="str">
        <f ca="1">IF(OR(A966="",A966=0),"",IF(COUNTIF($A$2:A966,$A966)=1,ROW(MauKoXoa!$C$108),$B965+1))</f>
        <v/>
      </c>
      <c r="C966" s="992" t="str">
        <f t="shared" ca="1" si="165"/>
        <v/>
      </c>
      <c r="D966" s="993" t="str">
        <f t="shared" ca="1" si="166"/>
        <v/>
      </c>
      <c r="E966" s="993" t="str">
        <f t="shared" ca="1" si="167"/>
        <v/>
      </c>
      <c r="F966" s="992" t="str">
        <f t="shared" ca="1" si="175"/>
        <v/>
      </c>
      <c r="G966" s="994">
        <f t="shared" ca="1" si="168"/>
        <v>0</v>
      </c>
      <c r="H966" s="913">
        <f t="shared" ca="1" si="169"/>
        <v>0</v>
      </c>
      <c r="I966" s="913">
        <f t="shared" ca="1" si="170"/>
        <v>0</v>
      </c>
      <c r="J966" s="995">
        <f t="shared" ca="1" si="176"/>
        <v>0</v>
      </c>
      <c r="K966" s="913">
        <f t="shared" ca="1" si="171"/>
        <v>0</v>
      </c>
      <c r="L966" s="995">
        <f t="shared" ca="1" si="177"/>
        <v>0</v>
      </c>
      <c r="M966" s="913">
        <f t="shared" ca="1" si="172"/>
        <v>0</v>
      </c>
      <c r="N966" s="996">
        <f t="shared" ca="1" si="173"/>
        <v>0</v>
      </c>
      <c r="O966" s="997">
        <f t="shared" ca="1" si="174"/>
        <v>0</v>
      </c>
      <c r="P966" s="1015" t="str">
        <f ca="1">IF($C966="","",INDEX(NVLSX!$N$2:$N$6941,MATCH($C966,NVLSX!$E$2:$E$6941,0)))</f>
        <v/>
      </c>
      <c r="Q966" s="1016" t="str">
        <f ca="1">IF($R966="","",IF(XKNVLSX!$X$1="",IF($P966=$V$7,$P966, IF(COUNTIFS($C$2:$C965,$C966,$E$2:$E965,$E966)&gt;=1,"",$P966)),     IF(AND(IFERROR(SEARCH($R966,XKNVLSX!$X$1,1),0)&gt;=1,$P966=$V$7),$P966, IF(OR($R966&lt;&gt;IF(IFERROR(SEARCH($R966,XKNVLSX!$X$1,1),0)&gt;=1,$R966,XKNVLSX!$X$1),COUNTIFS($C$2:$C965,$C966,$E$2:$E965,$E966,$Q$2:$Q965,$P966)&gt;=1),"",$P966))))</f>
        <v/>
      </c>
      <c r="R966" s="1017" t="str">
        <f ca="1">IF($A966="","",IFERROR(INDEX(TinhGia!$BF$10:$BF$81,MATCH($A966,TinhGia!$B$10:$B$81,0)),""))</f>
        <v/>
      </c>
      <c r="S966" s="1012" t="str">
        <f ca="1">IF($A966="","",IF(OR(IFERROR(SEARCH($R966,XKNVLSX!$X$1,1),0)&gt;=1,XKNVLSX!$X$1=""),$S$2,""))</f>
        <v/>
      </c>
      <c r="T966" s="1018" t="str">
        <f ca="1">IF($C966="","", IF(OR($P966=$V$1,$P966=$V$7,COUNTIFS($C$3:$C966,$C966,$E$3:$E966,$E966)&lt;=1),$P966,""    ))</f>
        <v/>
      </c>
      <c r="U966" s="1019" t="str">
        <f ca="1">IF(AND($P966=$V$2,COUNTIFS($C$3:$C966,$C966,$E$3:$E966,$E966,$G$3:$G966,$G966)&lt;=1),$P966,"")</f>
        <v/>
      </c>
    </row>
    <row r="967" spans="1:21">
      <c r="A967" s="991" t="str">
        <f ca="1">IFERROR(IF(COUNTIF($A$3:A966,A966)&lt; INDEX(TinhGia!$BH$10:$BH$81,MATCH($A966,TinhGia!$B$10:$B$81,0)),$A966,INDEX(TinhGia!$B$10:$B$81,MATCH($A966,TinhGia!$B$10:$B$81,0)+1)),"")</f>
        <v/>
      </c>
      <c r="B967" s="525" t="str">
        <f ca="1">IF(OR(A967="",A967=0),"",IF(COUNTIF($A$2:A967,$A967)=1,ROW(MauKoXoa!$C$108),$B966+1))</f>
        <v/>
      </c>
      <c r="C967" s="992" t="str">
        <f t="shared" ca="1" si="165"/>
        <v/>
      </c>
      <c r="D967" s="993" t="str">
        <f t="shared" ca="1" si="166"/>
        <v/>
      </c>
      <c r="E967" s="993" t="str">
        <f t="shared" ca="1" si="167"/>
        <v/>
      </c>
      <c r="F967" s="992" t="str">
        <f t="shared" ca="1" si="175"/>
        <v/>
      </c>
      <c r="G967" s="994">
        <f t="shared" ca="1" si="168"/>
        <v>0</v>
      </c>
      <c r="H967" s="913">
        <f t="shared" ca="1" si="169"/>
        <v>0</v>
      </c>
      <c r="I967" s="913">
        <f t="shared" ca="1" si="170"/>
        <v>0</v>
      </c>
      <c r="J967" s="995">
        <f t="shared" ca="1" si="176"/>
        <v>0</v>
      </c>
      <c r="K967" s="913">
        <f t="shared" ca="1" si="171"/>
        <v>0</v>
      </c>
      <c r="L967" s="995">
        <f t="shared" ca="1" si="177"/>
        <v>0</v>
      </c>
      <c r="M967" s="913">
        <f t="shared" ca="1" si="172"/>
        <v>0</v>
      </c>
      <c r="N967" s="996">
        <f t="shared" ca="1" si="173"/>
        <v>0</v>
      </c>
      <c r="O967" s="997">
        <f t="shared" ca="1" si="174"/>
        <v>0</v>
      </c>
      <c r="P967" s="1015" t="str">
        <f ca="1">IF($C967="","",INDEX(NVLSX!$N$2:$N$6941,MATCH($C967,NVLSX!$E$2:$E$6941,0)))</f>
        <v/>
      </c>
      <c r="Q967" s="1016" t="str">
        <f ca="1">IF($R967="","",IF(XKNVLSX!$X$1="",IF($P967=$V$7,$P967, IF(COUNTIFS($C$2:$C966,$C967,$E$2:$E966,$E967)&gt;=1,"",$P967)),     IF(AND(IFERROR(SEARCH($R967,XKNVLSX!$X$1,1),0)&gt;=1,$P967=$V$7),$P967, IF(OR($R967&lt;&gt;IF(IFERROR(SEARCH($R967,XKNVLSX!$X$1,1),0)&gt;=1,$R967,XKNVLSX!$X$1),COUNTIFS($C$2:$C966,$C967,$E$2:$E966,$E967,$Q$2:$Q966,$P967)&gt;=1),"",$P967))))</f>
        <v/>
      </c>
      <c r="R967" s="1017" t="str">
        <f ca="1">IF($A967="","",IFERROR(INDEX(TinhGia!$BF$10:$BF$81,MATCH($A967,TinhGia!$B$10:$B$81,0)),""))</f>
        <v/>
      </c>
      <c r="S967" s="1012" t="str">
        <f ca="1">IF($A967="","",IF(OR(IFERROR(SEARCH($R967,XKNVLSX!$X$1,1),0)&gt;=1,XKNVLSX!$X$1=""),$S$2,""))</f>
        <v/>
      </c>
      <c r="T967" s="1018" t="str">
        <f ca="1">IF($C967="","", IF(OR($P967=$V$1,$P967=$V$7,COUNTIFS($C$3:$C967,$C967,$E$3:$E967,$E967)&lt;=1),$P967,""    ))</f>
        <v/>
      </c>
      <c r="U967" s="1019" t="str">
        <f ca="1">IF(AND($P967=$V$2,COUNTIFS($C$3:$C967,$C967,$E$3:$E967,$E967,$G$3:$G967,$G967)&lt;=1),$P967,"")</f>
        <v/>
      </c>
    </row>
    <row r="968" spans="1:21">
      <c r="A968" s="991" t="str">
        <f ca="1">IFERROR(IF(COUNTIF($A$3:A967,A967)&lt; INDEX(TinhGia!$BH$10:$BH$81,MATCH($A967,TinhGia!$B$10:$B$81,0)),$A967,INDEX(TinhGia!$B$10:$B$81,MATCH($A967,TinhGia!$B$10:$B$81,0)+1)),"")</f>
        <v/>
      </c>
      <c r="B968" s="525" t="str">
        <f ca="1">IF(OR(A968="",A968=0),"",IF(COUNTIF($A$2:A968,$A968)=1,ROW(MauKoXoa!$C$108),$B967+1))</f>
        <v/>
      </c>
      <c r="C968" s="992" t="str">
        <f t="shared" ca="1" si="165"/>
        <v/>
      </c>
      <c r="D968" s="993" t="str">
        <f t="shared" ca="1" si="166"/>
        <v/>
      </c>
      <c r="E968" s="993" t="str">
        <f t="shared" ca="1" si="167"/>
        <v/>
      </c>
      <c r="F968" s="992" t="str">
        <f t="shared" ca="1" si="175"/>
        <v/>
      </c>
      <c r="G968" s="994">
        <f t="shared" ca="1" si="168"/>
        <v>0</v>
      </c>
      <c r="H968" s="913">
        <f t="shared" ca="1" si="169"/>
        <v>0</v>
      </c>
      <c r="I968" s="913">
        <f t="shared" ca="1" si="170"/>
        <v>0</v>
      </c>
      <c r="J968" s="995">
        <f t="shared" ca="1" si="176"/>
        <v>0</v>
      </c>
      <c r="K968" s="913">
        <f t="shared" ca="1" si="171"/>
        <v>0</v>
      </c>
      <c r="L968" s="995">
        <f t="shared" ca="1" si="177"/>
        <v>0</v>
      </c>
      <c r="M968" s="913">
        <f t="shared" ca="1" si="172"/>
        <v>0</v>
      </c>
      <c r="N968" s="996">
        <f t="shared" ca="1" si="173"/>
        <v>0</v>
      </c>
      <c r="O968" s="997">
        <f t="shared" ca="1" si="174"/>
        <v>0</v>
      </c>
      <c r="P968" s="1015" t="str">
        <f ca="1">IF($C968="","",INDEX(NVLSX!$N$2:$N$6941,MATCH($C968,NVLSX!$E$2:$E$6941,0)))</f>
        <v/>
      </c>
      <c r="Q968" s="1016" t="str">
        <f ca="1">IF($R968="","",IF(XKNVLSX!$X$1="",IF($P968=$V$7,$P968, IF(COUNTIFS($C$2:$C967,$C968,$E$2:$E967,$E968)&gt;=1,"",$P968)),     IF(AND(IFERROR(SEARCH($R968,XKNVLSX!$X$1,1),0)&gt;=1,$P968=$V$7),$P968, IF(OR($R968&lt;&gt;IF(IFERROR(SEARCH($R968,XKNVLSX!$X$1,1),0)&gt;=1,$R968,XKNVLSX!$X$1),COUNTIFS($C$2:$C967,$C968,$E$2:$E967,$E968,$Q$2:$Q967,$P968)&gt;=1),"",$P968))))</f>
        <v/>
      </c>
      <c r="R968" s="1017" t="str">
        <f ca="1">IF($A968="","",IFERROR(INDEX(TinhGia!$BF$10:$BF$81,MATCH($A968,TinhGia!$B$10:$B$81,0)),""))</f>
        <v/>
      </c>
      <c r="S968" s="1012" t="str">
        <f ca="1">IF($A968="","",IF(OR(IFERROR(SEARCH($R968,XKNVLSX!$X$1,1),0)&gt;=1,XKNVLSX!$X$1=""),$S$2,""))</f>
        <v/>
      </c>
      <c r="T968" s="1018" t="str">
        <f ca="1">IF($C968="","", IF(OR($P968=$V$1,$P968=$V$7,COUNTIFS($C$3:$C968,$C968,$E$3:$E968,$E968)&lt;=1),$P968,""    ))</f>
        <v/>
      </c>
      <c r="U968" s="1019" t="str">
        <f ca="1">IF(AND($P968=$V$2,COUNTIFS($C$3:$C968,$C968,$E$3:$E968,$E968,$G$3:$G968,$G968)&lt;=1),$P968,"")</f>
        <v/>
      </c>
    </row>
    <row r="969" spans="1:21">
      <c r="A969" s="991" t="str">
        <f ca="1">IFERROR(IF(COUNTIF($A$3:A968,A968)&lt; INDEX(TinhGia!$BH$10:$BH$81,MATCH($A968,TinhGia!$B$10:$B$81,0)),$A968,INDEX(TinhGia!$B$10:$B$81,MATCH($A968,TinhGia!$B$10:$B$81,0)+1)),"")</f>
        <v/>
      </c>
      <c r="B969" s="525" t="str">
        <f ca="1">IF(OR(A969="",A969=0),"",IF(COUNTIF($A$2:A969,$A969)=1,ROW(MauKoXoa!$C$108),$B968+1))</f>
        <v/>
      </c>
      <c r="C969" s="992" t="str">
        <f t="shared" ca="1" si="165"/>
        <v/>
      </c>
      <c r="D969" s="993" t="str">
        <f t="shared" ca="1" si="166"/>
        <v/>
      </c>
      <c r="E969" s="993" t="str">
        <f t="shared" ca="1" si="167"/>
        <v/>
      </c>
      <c r="F969" s="992" t="str">
        <f t="shared" ca="1" si="175"/>
        <v/>
      </c>
      <c r="G969" s="994">
        <f t="shared" ca="1" si="168"/>
        <v>0</v>
      </c>
      <c r="H969" s="913">
        <f t="shared" ca="1" si="169"/>
        <v>0</v>
      </c>
      <c r="I969" s="913">
        <f t="shared" ca="1" si="170"/>
        <v>0</v>
      </c>
      <c r="J969" s="995">
        <f t="shared" ca="1" si="176"/>
        <v>0</v>
      </c>
      <c r="K969" s="913">
        <f t="shared" ca="1" si="171"/>
        <v>0</v>
      </c>
      <c r="L969" s="995">
        <f t="shared" ca="1" si="177"/>
        <v>0</v>
      </c>
      <c r="M969" s="913">
        <f t="shared" ca="1" si="172"/>
        <v>0</v>
      </c>
      <c r="N969" s="996">
        <f t="shared" ca="1" si="173"/>
        <v>0</v>
      </c>
      <c r="O969" s="997">
        <f t="shared" ca="1" si="174"/>
        <v>0</v>
      </c>
      <c r="P969" s="1015" t="str">
        <f ca="1">IF($C969="","",INDEX(NVLSX!$N$2:$N$6941,MATCH($C969,NVLSX!$E$2:$E$6941,0)))</f>
        <v/>
      </c>
      <c r="Q969" s="1016" t="str">
        <f ca="1">IF($R969="","",IF(XKNVLSX!$X$1="",IF($P969=$V$7,$P969, IF(COUNTIFS($C$2:$C968,$C969,$E$2:$E968,$E969)&gt;=1,"",$P969)),     IF(AND(IFERROR(SEARCH($R969,XKNVLSX!$X$1,1),0)&gt;=1,$P969=$V$7),$P969, IF(OR($R969&lt;&gt;IF(IFERROR(SEARCH($R969,XKNVLSX!$X$1,1),0)&gt;=1,$R969,XKNVLSX!$X$1),COUNTIFS($C$2:$C968,$C969,$E$2:$E968,$E969,$Q$2:$Q968,$P969)&gt;=1),"",$P969))))</f>
        <v/>
      </c>
      <c r="R969" s="1017" t="str">
        <f ca="1">IF($A969="","",IFERROR(INDEX(TinhGia!$BF$10:$BF$81,MATCH($A969,TinhGia!$B$10:$B$81,0)),""))</f>
        <v/>
      </c>
      <c r="S969" s="1012" t="str">
        <f ca="1">IF($A969="","",IF(OR(IFERROR(SEARCH($R969,XKNVLSX!$X$1,1),0)&gt;=1,XKNVLSX!$X$1=""),$S$2,""))</f>
        <v/>
      </c>
      <c r="T969" s="1018" t="str">
        <f ca="1">IF($C969="","", IF(OR($P969=$V$1,$P969=$V$7,COUNTIFS($C$3:$C969,$C969,$E$3:$E969,$E969)&lt;=1),$P969,""    ))</f>
        <v/>
      </c>
      <c r="U969" s="1019" t="str">
        <f ca="1">IF(AND($P969=$V$2,COUNTIFS($C$3:$C969,$C969,$E$3:$E969,$E969,$G$3:$G969,$G969)&lt;=1),$P969,"")</f>
        <v/>
      </c>
    </row>
    <row r="970" spans="1:21">
      <c r="A970" s="991" t="str">
        <f ca="1">IFERROR(IF(COUNTIF($A$3:A969,A969)&lt; INDEX(TinhGia!$BH$10:$BH$81,MATCH($A969,TinhGia!$B$10:$B$81,0)),$A969,INDEX(TinhGia!$B$10:$B$81,MATCH($A969,TinhGia!$B$10:$B$81,0)+1)),"")</f>
        <v/>
      </c>
      <c r="B970" s="525" t="str">
        <f ca="1">IF(OR(A970="",A970=0),"",IF(COUNTIF($A$2:A970,$A970)=1,ROW(MauKoXoa!$C$108),$B969+1))</f>
        <v/>
      </c>
      <c r="C970" s="992" t="str">
        <f t="shared" ca="1" si="165"/>
        <v/>
      </c>
      <c r="D970" s="993" t="str">
        <f t="shared" ca="1" si="166"/>
        <v/>
      </c>
      <c r="E970" s="993" t="str">
        <f t="shared" ca="1" si="167"/>
        <v/>
      </c>
      <c r="F970" s="992" t="str">
        <f t="shared" ca="1" si="175"/>
        <v/>
      </c>
      <c r="G970" s="994">
        <f t="shared" ca="1" si="168"/>
        <v>0</v>
      </c>
      <c r="H970" s="913">
        <f t="shared" ca="1" si="169"/>
        <v>0</v>
      </c>
      <c r="I970" s="913">
        <f t="shared" ca="1" si="170"/>
        <v>0</v>
      </c>
      <c r="J970" s="995">
        <f t="shared" ca="1" si="176"/>
        <v>0</v>
      </c>
      <c r="K970" s="913">
        <f t="shared" ca="1" si="171"/>
        <v>0</v>
      </c>
      <c r="L970" s="995">
        <f t="shared" ca="1" si="177"/>
        <v>0</v>
      </c>
      <c r="M970" s="913">
        <f t="shared" ca="1" si="172"/>
        <v>0</v>
      </c>
      <c r="N970" s="996">
        <f t="shared" ca="1" si="173"/>
        <v>0</v>
      </c>
      <c r="O970" s="997">
        <f t="shared" ca="1" si="174"/>
        <v>0</v>
      </c>
      <c r="P970" s="1015" t="str">
        <f ca="1">IF($C970="","",INDEX(NVLSX!$N$2:$N$6941,MATCH($C970,NVLSX!$E$2:$E$6941,0)))</f>
        <v/>
      </c>
      <c r="Q970" s="1016" t="str">
        <f ca="1">IF($R970="","",IF(XKNVLSX!$X$1="",IF($P970=$V$7,$P970, IF(COUNTIFS($C$2:$C969,$C970,$E$2:$E969,$E970)&gt;=1,"",$P970)),     IF(AND(IFERROR(SEARCH($R970,XKNVLSX!$X$1,1),0)&gt;=1,$P970=$V$7),$P970, IF(OR($R970&lt;&gt;IF(IFERROR(SEARCH($R970,XKNVLSX!$X$1,1),0)&gt;=1,$R970,XKNVLSX!$X$1),COUNTIFS($C$2:$C969,$C970,$E$2:$E969,$E970,$Q$2:$Q969,$P970)&gt;=1),"",$P970))))</f>
        <v/>
      </c>
      <c r="R970" s="1017" t="str">
        <f ca="1">IF($A970="","",IFERROR(INDEX(TinhGia!$BF$10:$BF$81,MATCH($A970,TinhGia!$B$10:$B$81,0)),""))</f>
        <v/>
      </c>
      <c r="S970" s="1012" t="str">
        <f ca="1">IF($A970="","",IF(OR(IFERROR(SEARCH($R970,XKNVLSX!$X$1,1),0)&gt;=1,XKNVLSX!$X$1=""),$S$2,""))</f>
        <v/>
      </c>
      <c r="T970" s="1018" t="str">
        <f ca="1">IF($C970="","", IF(OR($P970=$V$1,$P970=$V$7,COUNTIFS($C$3:$C970,$C970,$E$3:$E970,$E970)&lt;=1),$P970,""    ))</f>
        <v/>
      </c>
      <c r="U970" s="1019" t="str">
        <f ca="1">IF(AND($P970=$V$2,COUNTIFS($C$3:$C970,$C970,$E$3:$E970,$E970,$G$3:$G970,$G970)&lt;=1),$P970,"")</f>
        <v/>
      </c>
    </row>
    <row r="971" spans="1:21">
      <c r="A971" s="991" t="str">
        <f ca="1">IFERROR(IF(COUNTIF($A$3:A970,A970)&lt; INDEX(TinhGia!$BH$10:$BH$81,MATCH($A970,TinhGia!$B$10:$B$81,0)),$A970,INDEX(TinhGia!$B$10:$B$81,MATCH($A970,TinhGia!$B$10:$B$81,0)+1)),"")</f>
        <v/>
      </c>
      <c r="B971" s="525" t="str">
        <f ca="1">IF(OR(A971="",A971=0),"",IF(COUNTIF($A$2:A971,$A971)=1,ROW(MauKoXoa!$C$108),$B970+1))</f>
        <v/>
      </c>
      <c r="C971" s="992" t="str">
        <f t="shared" ca="1" si="165"/>
        <v/>
      </c>
      <c r="D971" s="993" t="str">
        <f t="shared" ca="1" si="166"/>
        <v/>
      </c>
      <c r="E971" s="993" t="str">
        <f t="shared" ca="1" si="167"/>
        <v/>
      </c>
      <c r="F971" s="992" t="str">
        <f t="shared" ca="1" si="175"/>
        <v/>
      </c>
      <c r="G971" s="994">
        <f t="shared" ca="1" si="168"/>
        <v>0</v>
      </c>
      <c r="H971" s="913">
        <f t="shared" ca="1" si="169"/>
        <v>0</v>
      </c>
      <c r="I971" s="913">
        <f t="shared" ca="1" si="170"/>
        <v>0</v>
      </c>
      <c r="J971" s="995">
        <f t="shared" ca="1" si="176"/>
        <v>0</v>
      </c>
      <c r="K971" s="913">
        <f t="shared" ca="1" si="171"/>
        <v>0</v>
      </c>
      <c r="L971" s="995">
        <f t="shared" ca="1" si="177"/>
        <v>0</v>
      </c>
      <c r="M971" s="913">
        <f t="shared" ca="1" si="172"/>
        <v>0</v>
      </c>
      <c r="N971" s="996">
        <f t="shared" ca="1" si="173"/>
        <v>0</v>
      </c>
      <c r="O971" s="997">
        <f t="shared" ca="1" si="174"/>
        <v>0</v>
      </c>
      <c r="P971" s="1015" t="str">
        <f ca="1">IF($C971="","",INDEX(NVLSX!$N$2:$N$6941,MATCH($C971,NVLSX!$E$2:$E$6941,0)))</f>
        <v/>
      </c>
      <c r="Q971" s="1016" t="str">
        <f ca="1">IF($R971="","",IF(XKNVLSX!$X$1="",IF($P971=$V$7,$P971, IF(COUNTIFS($C$2:$C970,$C971,$E$2:$E970,$E971)&gt;=1,"",$P971)),     IF(AND(IFERROR(SEARCH($R971,XKNVLSX!$X$1,1),0)&gt;=1,$P971=$V$7),$P971, IF(OR($R971&lt;&gt;IF(IFERROR(SEARCH($R971,XKNVLSX!$X$1,1),0)&gt;=1,$R971,XKNVLSX!$X$1),COUNTIFS($C$2:$C970,$C971,$E$2:$E970,$E971,$Q$2:$Q970,$P971)&gt;=1),"",$P971))))</f>
        <v/>
      </c>
      <c r="R971" s="1017" t="str">
        <f ca="1">IF($A971="","",IFERROR(INDEX(TinhGia!$BF$10:$BF$81,MATCH($A971,TinhGia!$B$10:$B$81,0)),""))</f>
        <v/>
      </c>
      <c r="S971" s="1012" t="str">
        <f ca="1">IF($A971="","",IF(OR(IFERROR(SEARCH($R971,XKNVLSX!$X$1,1),0)&gt;=1,XKNVLSX!$X$1=""),$S$2,""))</f>
        <v/>
      </c>
      <c r="T971" s="1018" t="str">
        <f ca="1">IF($C971="","", IF(OR($P971=$V$1,$P971=$V$7,COUNTIFS($C$3:$C971,$C971,$E$3:$E971,$E971)&lt;=1),$P971,""    ))</f>
        <v/>
      </c>
      <c r="U971" s="1019" t="str">
        <f ca="1">IF(AND($P971=$V$2,COUNTIFS($C$3:$C971,$C971,$E$3:$E971,$E971,$G$3:$G971,$G971)&lt;=1),$P971,"")</f>
        <v/>
      </c>
    </row>
    <row r="972" spans="1:21">
      <c r="A972" s="991" t="str">
        <f ca="1">IFERROR(IF(COUNTIF($A$3:A971,A971)&lt; INDEX(TinhGia!$BH$10:$BH$81,MATCH($A971,TinhGia!$B$10:$B$81,0)),$A971,INDEX(TinhGia!$B$10:$B$81,MATCH($A971,TinhGia!$B$10:$B$81,0)+1)),"")</f>
        <v/>
      </c>
      <c r="B972" s="525" t="str">
        <f ca="1">IF(OR(A972="",A972=0),"",IF(COUNTIF($A$2:A972,$A972)=1,ROW(MauKoXoa!$C$108),$B971+1))</f>
        <v/>
      </c>
      <c r="C972" s="992" t="str">
        <f t="shared" ca="1" si="165"/>
        <v/>
      </c>
      <c r="D972" s="993" t="str">
        <f t="shared" ca="1" si="166"/>
        <v/>
      </c>
      <c r="E972" s="993" t="str">
        <f t="shared" ca="1" si="167"/>
        <v/>
      </c>
      <c r="F972" s="992" t="str">
        <f t="shared" ca="1" si="175"/>
        <v/>
      </c>
      <c r="G972" s="994">
        <f t="shared" ca="1" si="168"/>
        <v>0</v>
      </c>
      <c r="H972" s="913">
        <f t="shared" ca="1" si="169"/>
        <v>0</v>
      </c>
      <c r="I972" s="913">
        <f t="shared" ca="1" si="170"/>
        <v>0</v>
      </c>
      <c r="J972" s="995">
        <f t="shared" ca="1" si="176"/>
        <v>0</v>
      </c>
      <c r="K972" s="913">
        <f t="shared" ca="1" si="171"/>
        <v>0</v>
      </c>
      <c r="L972" s="995">
        <f t="shared" ca="1" si="177"/>
        <v>0</v>
      </c>
      <c r="M972" s="913">
        <f t="shared" ca="1" si="172"/>
        <v>0</v>
      </c>
      <c r="N972" s="996">
        <f t="shared" ca="1" si="173"/>
        <v>0</v>
      </c>
      <c r="O972" s="997">
        <f t="shared" ca="1" si="174"/>
        <v>0</v>
      </c>
      <c r="P972" s="1015" t="str">
        <f ca="1">IF($C972="","",INDEX(NVLSX!$N$2:$N$6941,MATCH($C972,NVLSX!$E$2:$E$6941,0)))</f>
        <v/>
      </c>
      <c r="Q972" s="1016" t="str">
        <f ca="1">IF($R972="","",IF(XKNVLSX!$X$1="",IF($P972=$V$7,$P972, IF(COUNTIFS($C$2:$C971,$C972,$E$2:$E971,$E972)&gt;=1,"",$P972)),     IF(AND(IFERROR(SEARCH($R972,XKNVLSX!$X$1,1),0)&gt;=1,$P972=$V$7),$P972, IF(OR($R972&lt;&gt;IF(IFERROR(SEARCH($R972,XKNVLSX!$X$1,1),0)&gt;=1,$R972,XKNVLSX!$X$1),COUNTIFS($C$2:$C971,$C972,$E$2:$E971,$E972,$Q$2:$Q971,$P972)&gt;=1),"",$P972))))</f>
        <v/>
      </c>
      <c r="R972" s="1017" t="str">
        <f ca="1">IF($A972="","",IFERROR(INDEX(TinhGia!$BF$10:$BF$81,MATCH($A972,TinhGia!$B$10:$B$81,0)),""))</f>
        <v/>
      </c>
      <c r="S972" s="1012" t="str">
        <f ca="1">IF($A972="","",IF(OR(IFERROR(SEARCH($R972,XKNVLSX!$X$1,1),0)&gt;=1,XKNVLSX!$X$1=""),$S$2,""))</f>
        <v/>
      </c>
      <c r="T972" s="1018" t="str">
        <f ca="1">IF($C972="","", IF(OR($P972=$V$1,$P972=$V$7,COUNTIFS($C$3:$C972,$C972,$E$3:$E972,$E972)&lt;=1),$P972,""    ))</f>
        <v/>
      </c>
      <c r="U972" s="1019" t="str">
        <f ca="1">IF(AND($P972=$V$2,COUNTIFS($C$3:$C972,$C972,$E$3:$E972,$E972,$G$3:$G972,$G972)&lt;=1),$P972,"")</f>
        <v/>
      </c>
    </row>
    <row r="973" spans="1:21">
      <c r="A973" s="991" t="str">
        <f ca="1">IFERROR(IF(COUNTIF($A$3:A972,A972)&lt; INDEX(TinhGia!$BH$10:$BH$81,MATCH($A972,TinhGia!$B$10:$B$81,0)),$A972,INDEX(TinhGia!$B$10:$B$81,MATCH($A972,TinhGia!$B$10:$B$81,0)+1)),"")</f>
        <v/>
      </c>
      <c r="B973" s="525" t="str">
        <f ca="1">IF(OR(A973="",A973=0),"",IF(COUNTIF($A$2:A973,$A973)=1,ROW(MauKoXoa!$C$108),$B972+1))</f>
        <v/>
      </c>
      <c r="C973" s="992" t="str">
        <f t="shared" ca="1" si="165"/>
        <v/>
      </c>
      <c r="D973" s="993" t="str">
        <f t="shared" ca="1" si="166"/>
        <v/>
      </c>
      <c r="E973" s="993" t="str">
        <f t="shared" ca="1" si="167"/>
        <v/>
      </c>
      <c r="F973" s="992" t="str">
        <f t="shared" ca="1" si="175"/>
        <v/>
      </c>
      <c r="G973" s="994">
        <f t="shared" ca="1" si="168"/>
        <v>0</v>
      </c>
      <c r="H973" s="913">
        <f t="shared" ca="1" si="169"/>
        <v>0</v>
      </c>
      <c r="I973" s="913">
        <f t="shared" ca="1" si="170"/>
        <v>0</v>
      </c>
      <c r="J973" s="995">
        <f t="shared" ca="1" si="176"/>
        <v>0</v>
      </c>
      <c r="K973" s="913">
        <f t="shared" ca="1" si="171"/>
        <v>0</v>
      </c>
      <c r="L973" s="995">
        <f t="shared" ca="1" si="177"/>
        <v>0</v>
      </c>
      <c r="M973" s="913">
        <f t="shared" ca="1" si="172"/>
        <v>0</v>
      </c>
      <c r="N973" s="996">
        <f t="shared" ca="1" si="173"/>
        <v>0</v>
      </c>
      <c r="O973" s="997">
        <f t="shared" ca="1" si="174"/>
        <v>0</v>
      </c>
      <c r="P973" s="1015" t="str">
        <f ca="1">IF($C973="","",INDEX(NVLSX!$N$2:$N$6941,MATCH($C973,NVLSX!$E$2:$E$6941,0)))</f>
        <v/>
      </c>
      <c r="Q973" s="1016" t="str">
        <f ca="1">IF($R973="","",IF(XKNVLSX!$X$1="",IF($P973=$V$7,$P973, IF(COUNTIFS($C$2:$C972,$C973,$E$2:$E972,$E973)&gt;=1,"",$P973)),     IF(AND(IFERROR(SEARCH($R973,XKNVLSX!$X$1,1),0)&gt;=1,$P973=$V$7),$P973, IF(OR($R973&lt;&gt;IF(IFERROR(SEARCH($R973,XKNVLSX!$X$1,1),0)&gt;=1,$R973,XKNVLSX!$X$1),COUNTIFS($C$2:$C972,$C973,$E$2:$E972,$E973,$Q$2:$Q972,$P973)&gt;=1),"",$P973))))</f>
        <v/>
      </c>
      <c r="R973" s="1017" t="str">
        <f ca="1">IF($A973="","",IFERROR(INDEX(TinhGia!$BF$10:$BF$81,MATCH($A973,TinhGia!$B$10:$B$81,0)),""))</f>
        <v/>
      </c>
      <c r="S973" s="1012" t="str">
        <f ca="1">IF($A973="","",IF(OR(IFERROR(SEARCH($R973,XKNVLSX!$X$1,1),0)&gt;=1,XKNVLSX!$X$1=""),$S$2,""))</f>
        <v/>
      </c>
      <c r="T973" s="1018" t="str">
        <f ca="1">IF($C973="","", IF(OR($P973=$V$1,$P973=$V$7,COUNTIFS($C$3:$C973,$C973,$E$3:$E973,$E973)&lt;=1),$P973,""    ))</f>
        <v/>
      </c>
      <c r="U973" s="1019" t="str">
        <f ca="1">IF(AND($P973=$V$2,COUNTIFS($C$3:$C973,$C973,$E$3:$E973,$E973,$G$3:$G973,$G973)&lt;=1),$P973,"")</f>
        <v/>
      </c>
    </row>
    <row r="974" spans="1:21">
      <c r="A974" s="991" t="str">
        <f ca="1">IFERROR(IF(COUNTIF($A$3:A973,A973)&lt; INDEX(TinhGia!$BH$10:$BH$81,MATCH($A973,TinhGia!$B$10:$B$81,0)),$A973,INDEX(TinhGia!$B$10:$B$81,MATCH($A973,TinhGia!$B$10:$B$81,0)+1)),"")</f>
        <v/>
      </c>
      <c r="B974" s="525" t="str">
        <f ca="1">IF(OR(A974="",A974=0),"",IF(COUNTIF($A$2:A974,$A974)=1,ROW(MauKoXoa!$C$108),$B973+1))</f>
        <v/>
      </c>
      <c r="C974" s="992" t="str">
        <f t="shared" ca="1" si="165"/>
        <v/>
      </c>
      <c r="D974" s="993" t="str">
        <f t="shared" ca="1" si="166"/>
        <v/>
      </c>
      <c r="E974" s="993" t="str">
        <f t="shared" ca="1" si="167"/>
        <v/>
      </c>
      <c r="F974" s="992" t="str">
        <f t="shared" ca="1" si="175"/>
        <v/>
      </c>
      <c r="G974" s="994">
        <f t="shared" ca="1" si="168"/>
        <v>0</v>
      </c>
      <c r="H974" s="913">
        <f t="shared" ca="1" si="169"/>
        <v>0</v>
      </c>
      <c r="I974" s="913">
        <f t="shared" ca="1" si="170"/>
        <v>0</v>
      </c>
      <c r="J974" s="995">
        <f t="shared" ca="1" si="176"/>
        <v>0</v>
      </c>
      <c r="K974" s="913">
        <f t="shared" ca="1" si="171"/>
        <v>0</v>
      </c>
      <c r="L974" s="995">
        <f t="shared" ca="1" si="177"/>
        <v>0</v>
      </c>
      <c r="M974" s="913">
        <f t="shared" ca="1" si="172"/>
        <v>0</v>
      </c>
      <c r="N974" s="996">
        <f t="shared" ca="1" si="173"/>
        <v>0</v>
      </c>
      <c r="O974" s="997">
        <f t="shared" ca="1" si="174"/>
        <v>0</v>
      </c>
      <c r="P974" s="1015" t="str">
        <f ca="1">IF($C974="","",INDEX(NVLSX!$N$2:$N$6941,MATCH($C974,NVLSX!$E$2:$E$6941,0)))</f>
        <v/>
      </c>
      <c r="Q974" s="1016" t="str">
        <f ca="1">IF($R974="","",IF(XKNVLSX!$X$1="",IF($P974=$V$7,$P974, IF(COUNTIFS($C$2:$C973,$C974,$E$2:$E973,$E974)&gt;=1,"",$P974)),     IF(AND(IFERROR(SEARCH($R974,XKNVLSX!$X$1,1),0)&gt;=1,$P974=$V$7),$P974, IF(OR($R974&lt;&gt;IF(IFERROR(SEARCH($R974,XKNVLSX!$X$1,1),0)&gt;=1,$R974,XKNVLSX!$X$1),COUNTIFS($C$2:$C973,$C974,$E$2:$E973,$E974,$Q$2:$Q973,$P974)&gt;=1),"",$P974))))</f>
        <v/>
      </c>
      <c r="R974" s="1017" t="str">
        <f ca="1">IF($A974="","",IFERROR(INDEX(TinhGia!$BF$10:$BF$81,MATCH($A974,TinhGia!$B$10:$B$81,0)),""))</f>
        <v/>
      </c>
      <c r="S974" s="1012" t="str">
        <f ca="1">IF($A974="","",IF(OR(IFERROR(SEARCH($R974,XKNVLSX!$X$1,1),0)&gt;=1,XKNVLSX!$X$1=""),$S$2,""))</f>
        <v/>
      </c>
      <c r="T974" s="1018" t="str">
        <f ca="1">IF($C974="","", IF(OR($P974=$V$1,$P974=$V$7,COUNTIFS($C$3:$C974,$C974,$E$3:$E974,$E974)&lt;=1),$P974,""    ))</f>
        <v/>
      </c>
      <c r="U974" s="1019" t="str">
        <f ca="1">IF(AND($P974=$V$2,COUNTIFS($C$3:$C974,$C974,$E$3:$E974,$E974,$G$3:$G974,$G974)&lt;=1),$P974,"")</f>
        <v/>
      </c>
    </row>
    <row r="975" spans="1:21">
      <c r="A975" s="991" t="str">
        <f ca="1">IFERROR(IF(COUNTIF($A$3:A974,A974)&lt; INDEX(TinhGia!$BH$10:$BH$81,MATCH($A974,TinhGia!$B$10:$B$81,0)),$A974,INDEX(TinhGia!$B$10:$B$81,MATCH($A974,TinhGia!$B$10:$B$81,0)+1)),"")</f>
        <v/>
      </c>
      <c r="B975" s="525" t="str">
        <f ca="1">IF(OR(A975="",A975=0),"",IF(COUNTIF($A$2:A975,$A975)=1,ROW(MauKoXoa!$C$108),$B974+1))</f>
        <v/>
      </c>
      <c r="C975" s="992" t="str">
        <f t="shared" ca="1" si="165"/>
        <v/>
      </c>
      <c r="D975" s="993" t="str">
        <f t="shared" ca="1" si="166"/>
        <v/>
      </c>
      <c r="E975" s="993" t="str">
        <f t="shared" ca="1" si="167"/>
        <v/>
      </c>
      <c r="F975" s="992" t="str">
        <f t="shared" ca="1" si="175"/>
        <v/>
      </c>
      <c r="G975" s="994">
        <f t="shared" ca="1" si="168"/>
        <v>0</v>
      </c>
      <c r="H975" s="913">
        <f t="shared" ca="1" si="169"/>
        <v>0</v>
      </c>
      <c r="I975" s="913">
        <f t="shared" ca="1" si="170"/>
        <v>0</v>
      </c>
      <c r="J975" s="995">
        <f t="shared" ca="1" si="176"/>
        <v>0</v>
      </c>
      <c r="K975" s="913">
        <f t="shared" ca="1" si="171"/>
        <v>0</v>
      </c>
      <c r="L975" s="995">
        <f t="shared" ca="1" si="177"/>
        <v>0</v>
      </c>
      <c r="M975" s="913">
        <f t="shared" ca="1" si="172"/>
        <v>0</v>
      </c>
      <c r="N975" s="996">
        <f t="shared" ca="1" si="173"/>
        <v>0</v>
      </c>
      <c r="O975" s="997">
        <f t="shared" ca="1" si="174"/>
        <v>0</v>
      </c>
      <c r="P975" s="1015" t="str">
        <f ca="1">IF($C975="","",INDEX(NVLSX!$N$2:$N$6941,MATCH($C975,NVLSX!$E$2:$E$6941,0)))</f>
        <v/>
      </c>
      <c r="Q975" s="1016" t="str">
        <f ca="1">IF($R975="","",IF(XKNVLSX!$X$1="",IF($P975=$V$7,$P975, IF(COUNTIFS($C$2:$C974,$C975,$E$2:$E974,$E975)&gt;=1,"",$P975)),     IF(AND(IFERROR(SEARCH($R975,XKNVLSX!$X$1,1),0)&gt;=1,$P975=$V$7),$P975, IF(OR($R975&lt;&gt;IF(IFERROR(SEARCH($R975,XKNVLSX!$X$1,1),0)&gt;=1,$R975,XKNVLSX!$X$1),COUNTIFS($C$2:$C974,$C975,$E$2:$E974,$E975,$Q$2:$Q974,$P975)&gt;=1),"",$P975))))</f>
        <v/>
      </c>
      <c r="R975" s="1017" t="str">
        <f ca="1">IF($A975="","",IFERROR(INDEX(TinhGia!$BF$10:$BF$81,MATCH($A975,TinhGia!$B$10:$B$81,0)),""))</f>
        <v/>
      </c>
      <c r="S975" s="1012" t="str">
        <f ca="1">IF($A975="","",IF(OR(IFERROR(SEARCH($R975,XKNVLSX!$X$1,1),0)&gt;=1,XKNVLSX!$X$1=""),$S$2,""))</f>
        <v/>
      </c>
      <c r="T975" s="1018" t="str">
        <f ca="1">IF($C975="","", IF(OR($P975=$V$1,$P975=$V$7,COUNTIFS($C$3:$C975,$C975,$E$3:$E975,$E975)&lt;=1),$P975,""    ))</f>
        <v/>
      </c>
      <c r="U975" s="1019" t="str">
        <f ca="1">IF(AND($P975=$V$2,COUNTIFS($C$3:$C975,$C975,$E$3:$E975,$E975,$G$3:$G975,$G975)&lt;=1),$P975,"")</f>
        <v/>
      </c>
    </row>
    <row r="976" spans="1:21">
      <c r="A976" s="991" t="str">
        <f ca="1">IFERROR(IF(COUNTIF($A$3:A975,A975)&lt; INDEX(TinhGia!$BH$10:$BH$81,MATCH($A975,TinhGia!$B$10:$B$81,0)),$A975,INDEX(TinhGia!$B$10:$B$81,MATCH($A975,TinhGia!$B$10:$B$81,0)+1)),"")</f>
        <v/>
      </c>
      <c r="B976" s="525" t="str">
        <f ca="1">IF(OR(A976="",A976=0),"",IF(COUNTIF($A$2:A976,$A976)=1,ROW(MauKoXoa!$C$108),$B975+1))</f>
        <v/>
      </c>
      <c r="C976" s="992" t="str">
        <f t="shared" ca="1" si="165"/>
        <v/>
      </c>
      <c r="D976" s="993" t="str">
        <f t="shared" ca="1" si="166"/>
        <v/>
      </c>
      <c r="E976" s="993" t="str">
        <f t="shared" ca="1" si="167"/>
        <v/>
      </c>
      <c r="F976" s="992" t="str">
        <f t="shared" ca="1" si="175"/>
        <v/>
      </c>
      <c r="G976" s="994">
        <f t="shared" ca="1" si="168"/>
        <v>0</v>
      </c>
      <c r="H976" s="913">
        <f t="shared" ca="1" si="169"/>
        <v>0</v>
      </c>
      <c r="I976" s="913">
        <f t="shared" ca="1" si="170"/>
        <v>0</v>
      </c>
      <c r="J976" s="995">
        <f t="shared" ca="1" si="176"/>
        <v>0</v>
      </c>
      <c r="K976" s="913">
        <f t="shared" ca="1" si="171"/>
        <v>0</v>
      </c>
      <c r="L976" s="995">
        <f t="shared" ca="1" si="177"/>
        <v>0</v>
      </c>
      <c r="M976" s="913">
        <f t="shared" ca="1" si="172"/>
        <v>0</v>
      </c>
      <c r="N976" s="996">
        <f t="shared" ca="1" si="173"/>
        <v>0</v>
      </c>
      <c r="O976" s="997">
        <f t="shared" ca="1" si="174"/>
        <v>0</v>
      </c>
      <c r="P976" s="1015" t="str">
        <f ca="1">IF($C976="","",INDEX(NVLSX!$N$2:$N$6941,MATCH($C976,NVLSX!$E$2:$E$6941,0)))</f>
        <v/>
      </c>
      <c r="Q976" s="1016" t="str">
        <f ca="1">IF($R976="","",IF(XKNVLSX!$X$1="",IF($P976=$V$7,$P976, IF(COUNTIFS($C$2:$C975,$C976,$E$2:$E975,$E976)&gt;=1,"",$P976)),     IF(AND(IFERROR(SEARCH($R976,XKNVLSX!$X$1,1),0)&gt;=1,$P976=$V$7),$P976, IF(OR($R976&lt;&gt;IF(IFERROR(SEARCH($R976,XKNVLSX!$X$1,1),0)&gt;=1,$R976,XKNVLSX!$X$1),COUNTIFS($C$2:$C975,$C976,$E$2:$E975,$E976,$Q$2:$Q975,$P976)&gt;=1),"",$P976))))</f>
        <v/>
      </c>
      <c r="R976" s="1017" t="str">
        <f ca="1">IF($A976="","",IFERROR(INDEX(TinhGia!$BF$10:$BF$81,MATCH($A976,TinhGia!$B$10:$B$81,0)),""))</f>
        <v/>
      </c>
      <c r="S976" s="1012" t="str">
        <f ca="1">IF($A976="","",IF(OR(IFERROR(SEARCH($R976,XKNVLSX!$X$1,1),0)&gt;=1,XKNVLSX!$X$1=""),$S$2,""))</f>
        <v/>
      </c>
      <c r="T976" s="1018" t="str">
        <f ca="1">IF($C976="","", IF(OR($P976=$V$1,$P976=$V$7,COUNTIFS($C$3:$C976,$C976,$E$3:$E976,$E976)&lt;=1),$P976,""    ))</f>
        <v/>
      </c>
      <c r="U976" s="1019" t="str">
        <f ca="1">IF(AND($P976=$V$2,COUNTIFS($C$3:$C976,$C976,$E$3:$E976,$E976,$G$3:$G976,$G976)&lt;=1),$P976,"")</f>
        <v/>
      </c>
    </row>
    <row r="977" spans="1:21">
      <c r="A977" s="991" t="str">
        <f ca="1">IFERROR(IF(COUNTIF($A$3:A976,A976)&lt; INDEX(TinhGia!$BH$10:$BH$81,MATCH($A976,TinhGia!$B$10:$B$81,0)),$A976,INDEX(TinhGia!$B$10:$B$81,MATCH($A976,TinhGia!$B$10:$B$81,0)+1)),"")</f>
        <v/>
      </c>
      <c r="B977" s="525" t="str">
        <f ca="1">IF(OR(A977="",A977=0),"",IF(COUNTIF($A$2:A977,$A977)=1,ROW(MauKoXoa!$C$108),$B976+1))</f>
        <v/>
      </c>
      <c r="C977" s="992" t="str">
        <f t="shared" ca="1" si="165"/>
        <v/>
      </c>
      <c r="D977" s="993" t="str">
        <f t="shared" ca="1" si="166"/>
        <v/>
      </c>
      <c r="E977" s="993" t="str">
        <f t="shared" ca="1" si="167"/>
        <v/>
      </c>
      <c r="F977" s="992" t="str">
        <f t="shared" ca="1" si="175"/>
        <v/>
      </c>
      <c r="G977" s="994">
        <f t="shared" ca="1" si="168"/>
        <v>0</v>
      </c>
      <c r="H977" s="913">
        <f t="shared" ca="1" si="169"/>
        <v>0</v>
      </c>
      <c r="I977" s="913">
        <f t="shared" ca="1" si="170"/>
        <v>0</v>
      </c>
      <c r="J977" s="995">
        <f t="shared" ca="1" si="176"/>
        <v>0</v>
      </c>
      <c r="K977" s="913">
        <f t="shared" ca="1" si="171"/>
        <v>0</v>
      </c>
      <c r="L977" s="995">
        <f t="shared" ca="1" si="177"/>
        <v>0</v>
      </c>
      <c r="M977" s="913">
        <f t="shared" ca="1" si="172"/>
        <v>0</v>
      </c>
      <c r="N977" s="996">
        <f t="shared" ca="1" si="173"/>
        <v>0</v>
      </c>
      <c r="O977" s="997">
        <f t="shared" ca="1" si="174"/>
        <v>0</v>
      </c>
      <c r="P977" s="1015" t="str">
        <f ca="1">IF($C977="","",INDEX(NVLSX!$N$2:$N$6941,MATCH($C977,NVLSX!$E$2:$E$6941,0)))</f>
        <v/>
      </c>
      <c r="Q977" s="1016" t="str">
        <f ca="1">IF($R977="","",IF(XKNVLSX!$X$1="",IF($P977=$V$7,$P977, IF(COUNTIFS($C$2:$C976,$C977,$E$2:$E976,$E977)&gt;=1,"",$P977)),     IF(AND(IFERROR(SEARCH($R977,XKNVLSX!$X$1,1),0)&gt;=1,$P977=$V$7),$P977, IF(OR($R977&lt;&gt;IF(IFERROR(SEARCH($R977,XKNVLSX!$X$1,1),0)&gt;=1,$R977,XKNVLSX!$X$1),COUNTIFS($C$2:$C976,$C977,$E$2:$E976,$E977,$Q$2:$Q976,$P977)&gt;=1),"",$P977))))</f>
        <v/>
      </c>
      <c r="R977" s="1017" t="str">
        <f ca="1">IF($A977="","",IFERROR(INDEX(TinhGia!$BF$10:$BF$81,MATCH($A977,TinhGia!$B$10:$B$81,0)),""))</f>
        <v/>
      </c>
      <c r="S977" s="1012" t="str">
        <f ca="1">IF($A977="","",IF(OR(IFERROR(SEARCH($R977,XKNVLSX!$X$1,1),0)&gt;=1,XKNVLSX!$X$1=""),$S$2,""))</f>
        <v/>
      </c>
      <c r="T977" s="1018" t="str">
        <f ca="1">IF($C977="","", IF(OR($P977=$V$1,$P977=$V$7,COUNTIFS($C$3:$C977,$C977,$E$3:$E977,$E977)&lt;=1),$P977,""    ))</f>
        <v/>
      </c>
      <c r="U977" s="1019" t="str">
        <f ca="1">IF(AND($P977=$V$2,COUNTIFS($C$3:$C977,$C977,$E$3:$E977,$E977,$G$3:$G977,$G977)&lt;=1),$P977,"")</f>
        <v/>
      </c>
    </row>
    <row r="978" spans="1:21">
      <c r="A978" s="991" t="str">
        <f ca="1">IFERROR(IF(COUNTIF($A$3:A977,A977)&lt; INDEX(TinhGia!$BH$10:$BH$81,MATCH($A977,TinhGia!$B$10:$B$81,0)),$A977,INDEX(TinhGia!$B$10:$B$81,MATCH($A977,TinhGia!$B$10:$B$81,0)+1)),"")</f>
        <v/>
      </c>
      <c r="B978" s="525" t="str">
        <f ca="1">IF(OR(A978="",A978=0),"",IF(COUNTIF($A$2:A978,$A978)=1,ROW(MauKoXoa!$C$108),$B977+1))</f>
        <v/>
      </c>
      <c r="C978" s="992" t="str">
        <f t="shared" ca="1" si="165"/>
        <v/>
      </c>
      <c r="D978" s="993" t="str">
        <f t="shared" ca="1" si="166"/>
        <v/>
      </c>
      <c r="E978" s="993" t="str">
        <f t="shared" ca="1" si="167"/>
        <v/>
      </c>
      <c r="F978" s="992" t="str">
        <f t="shared" ca="1" si="175"/>
        <v/>
      </c>
      <c r="G978" s="994">
        <f t="shared" ca="1" si="168"/>
        <v>0</v>
      </c>
      <c r="H978" s="913">
        <f t="shared" ca="1" si="169"/>
        <v>0</v>
      </c>
      <c r="I978" s="913">
        <f t="shared" ca="1" si="170"/>
        <v>0</v>
      </c>
      <c r="J978" s="995">
        <f t="shared" ca="1" si="176"/>
        <v>0</v>
      </c>
      <c r="K978" s="913">
        <f t="shared" ca="1" si="171"/>
        <v>0</v>
      </c>
      <c r="L978" s="995">
        <f t="shared" ca="1" si="177"/>
        <v>0</v>
      </c>
      <c r="M978" s="913">
        <f t="shared" ca="1" si="172"/>
        <v>0</v>
      </c>
      <c r="N978" s="996">
        <f t="shared" ca="1" si="173"/>
        <v>0</v>
      </c>
      <c r="O978" s="997">
        <f t="shared" ca="1" si="174"/>
        <v>0</v>
      </c>
      <c r="P978" s="1015" t="str">
        <f ca="1">IF($C978="","",INDEX(NVLSX!$N$2:$N$6941,MATCH($C978,NVLSX!$E$2:$E$6941,0)))</f>
        <v/>
      </c>
      <c r="Q978" s="1016" t="str">
        <f ca="1">IF($R978="","",IF(XKNVLSX!$X$1="",IF($P978=$V$7,$P978, IF(COUNTIFS($C$2:$C977,$C978,$E$2:$E977,$E978)&gt;=1,"",$P978)),     IF(AND(IFERROR(SEARCH($R978,XKNVLSX!$X$1,1),0)&gt;=1,$P978=$V$7),$P978, IF(OR($R978&lt;&gt;IF(IFERROR(SEARCH($R978,XKNVLSX!$X$1,1),0)&gt;=1,$R978,XKNVLSX!$X$1),COUNTIFS($C$2:$C977,$C978,$E$2:$E977,$E978,$Q$2:$Q977,$P978)&gt;=1),"",$P978))))</f>
        <v/>
      </c>
      <c r="R978" s="1017" t="str">
        <f ca="1">IF($A978="","",IFERROR(INDEX(TinhGia!$BF$10:$BF$81,MATCH($A978,TinhGia!$B$10:$B$81,0)),""))</f>
        <v/>
      </c>
      <c r="S978" s="1012" t="str">
        <f ca="1">IF($A978="","",IF(OR(IFERROR(SEARCH($R978,XKNVLSX!$X$1,1),0)&gt;=1,XKNVLSX!$X$1=""),$S$2,""))</f>
        <v/>
      </c>
      <c r="T978" s="1018" t="str">
        <f ca="1">IF($C978="","", IF(OR($P978=$V$1,$P978=$V$7,COUNTIFS($C$3:$C978,$C978,$E$3:$E978,$E978)&lt;=1),$P978,""    ))</f>
        <v/>
      </c>
      <c r="U978" s="1019" t="str">
        <f ca="1">IF(AND($P978=$V$2,COUNTIFS($C$3:$C978,$C978,$E$3:$E978,$E978,$G$3:$G978,$G978)&lt;=1),$P978,"")</f>
        <v/>
      </c>
    </row>
    <row r="979" spans="1:21">
      <c r="A979" s="991" t="str">
        <f ca="1">IFERROR(IF(COUNTIF($A$3:A978,A978)&lt; INDEX(TinhGia!$BH$10:$BH$81,MATCH($A978,TinhGia!$B$10:$B$81,0)),$A978,INDEX(TinhGia!$B$10:$B$81,MATCH($A978,TinhGia!$B$10:$B$81,0)+1)),"")</f>
        <v/>
      </c>
      <c r="B979" s="525" t="str">
        <f ca="1">IF(OR(A979="",A979=0),"",IF(COUNTIF($A$2:A979,$A979)=1,ROW(MauKoXoa!$C$108),$B978+1))</f>
        <v/>
      </c>
      <c r="C979" s="992" t="str">
        <f t="shared" ca="1" si="165"/>
        <v/>
      </c>
      <c r="D979" s="993" t="str">
        <f t="shared" ca="1" si="166"/>
        <v/>
      </c>
      <c r="E979" s="993" t="str">
        <f t="shared" ca="1" si="167"/>
        <v/>
      </c>
      <c r="F979" s="992" t="str">
        <f t="shared" ca="1" si="175"/>
        <v/>
      </c>
      <c r="G979" s="994">
        <f t="shared" ca="1" si="168"/>
        <v>0</v>
      </c>
      <c r="H979" s="913">
        <f t="shared" ca="1" si="169"/>
        <v>0</v>
      </c>
      <c r="I979" s="913">
        <f t="shared" ca="1" si="170"/>
        <v>0</v>
      </c>
      <c r="J979" s="995">
        <f t="shared" ca="1" si="176"/>
        <v>0</v>
      </c>
      <c r="K979" s="913">
        <f t="shared" ca="1" si="171"/>
        <v>0</v>
      </c>
      <c r="L979" s="995">
        <f t="shared" ca="1" si="177"/>
        <v>0</v>
      </c>
      <c r="M979" s="913">
        <f t="shared" ca="1" si="172"/>
        <v>0</v>
      </c>
      <c r="N979" s="996">
        <f t="shared" ca="1" si="173"/>
        <v>0</v>
      </c>
      <c r="O979" s="997">
        <f t="shared" ca="1" si="174"/>
        <v>0</v>
      </c>
      <c r="P979" s="1015" t="str">
        <f ca="1">IF($C979="","",INDEX(NVLSX!$N$2:$N$6941,MATCH($C979,NVLSX!$E$2:$E$6941,0)))</f>
        <v/>
      </c>
      <c r="Q979" s="1016" t="str">
        <f ca="1">IF($R979="","",IF(XKNVLSX!$X$1="",IF($P979=$V$7,$P979, IF(COUNTIFS($C$2:$C978,$C979,$E$2:$E978,$E979)&gt;=1,"",$P979)),     IF(AND(IFERROR(SEARCH($R979,XKNVLSX!$X$1,1),0)&gt;=1,$P979=$V$7),$P979, IF(OR($R979&lt;&gt;IF(IFERROR(SEARCH($R979,XKNVLSX!$X$1,1),0)&gt;=1,$R979,XKNVLSX!$X$1),COUNTIFS($C$2:$C978,$C979,$E$2:$E978,$E979,$Q$2:$Q978,$P979)&gt;=1),"",$P979))))</f>
        <v/>
      </c>
      <c r="R979" s="1017" t="str">
        <f ca="1">IF($A979="","",IFERROR(INDEX(TinhGia!$BF$10:$BF$81,MATCH($A979,TinhGia!$B$10:$B$81,0)),""))</f>
        <v/>
      </c>
      <c r="S979" s="1012" t="str">
        <f ca="1">IF($A979="","",IF(OR(IFERROR(SEARCH($R979,XKNVLSX!$X$1,1),0)&gt;=1,XKNVLSX!$X$1=""),$S$2,""))</f>
        <v/>
      </c>
      <c r="T979" s="1018" t="str">
        <f ca="1">IF($C979="","", IF(OR($P979=$V$1,$P979=$V$7,COUNTIFS($C$3:$C979,$C979,$E$3:$E979,$E979)&lt;=1),$P979,""    ))</f>
        <v/>
      </c>
      <c r="U979" s="1019" t="str">
        <f ca="1">IF(AND($P979=$V$2,COUNTIFS($C$3:$C979,$C979,$E$3:$E979,$E979,$G$3:$G979,$G979)&lt;=1),$P979,"")</f>
        <v/>
      </c>
    </row>
    <row r="980" spans="1:21">
      <c r="A980" s="991" t="str">
        <f ca="1">IFERROR(IF(COUNTIF($A$3:A979,A979)&lt; INDEX(TinhGia!$BH$10:$BH$81,MATCH($A979,TinhGia!$B$10:$B$81,0)),$A979,INDEX(TinhGia!$B$10:$B$81,MATCH($A979,TinhGia!$B$10:$B$81,0)+1)),"")</f>
        <v/>
      </c>
      <c r="B980" s="525" t="str">
        <f ca="1">IF(OR(A980="",A980=0),"",IF(COUNTIF($A$2:A980,$A980)=1,ROW(MauKoXoa!$C$108),$B979+1))</f>
        <v/>
      </c>
      <c r="C980" s="992" t="str">
        <f t="shared" ca="1" si="165"/>
        <v/>
      </c>
      <c r="D980" s="993" t="str">
        <f t="shared" ca="1" si="166"/>
        <v/>
      </c>
      <c r="E980" s="993" t="str">
        <f t="shared" ca="1" si="167"/>
        <v/>
      </c>
      <c r="F980" s="992" t="str">
        <f t="shared" ca="1" si="175"/>
        <v/>
      </c>
      <c r="G980" s="994">
        <f t="shared" ca="1" si="168"/>
        <v>0</v>
      </c>
      <c r="H980" s="913">
        <f t="shared" ca="1" si="169"/>
        <v>0</v>
      </c>
      <c r="I980" s="913">
        <f t="shared" ca="1" si="170"/>
        <v>0</v>
      </c>
      <c r="J980" s="995">
        <f t="shared" ca="1" si="176"/>
        <v>0</v>
      </c>
      <c r="K980" s="913">
        <f t="shared" ca="1" si="171"/>
        <v>0</v>
      </c>
      <c r="L980" s="995">
        <f t="shared" ca="1" si="177"/>
        <v>0</v>
      </c>
      <c r="M980" s="913">
        <f t="shared" ca="1" si="172"/>
        <v>0</v>
      </c>
      <c r="N980" s="996">
        <f t="shared" ca="1" si="173"/>
        <v>0</v>
      </c>
      <c r="O980" s="997">
        <f t="shared" ca="1" si="174"/>
        <v>0</v>
      </c>
      <c r="P980" s="1015" t="str">
        <f ca="1">IF($C980="","",INDEX(NVLSX!$N$2:$N$6941,MATCH($C980,NVLSX!$E$2:$E$6941,0)))</f>
        <v/>
      </c>
      <c r="Q980" s="1016" t="str">
        <f ca="1">IF($R980="","",IF(XKNVLSX!$X$1="",IF($P980=$V$7,$P980, IF(COUNTIFS($C$2:$C979,$C980,$E$2:$E979,$E980)&gt;=1,"",$P980)),     IF(AND(IFERROR(SEARCH($R980,XKNVLSX!$X$1,1),0)&gt;=1,$P980=$V$7),$P980, IF(OR($R980&lt;&gt;IF(IFERROR(SEARCH($R980,XKNVLSX!$X$1,1),0)&gt;=1,$R980,XKNVLSX!$X$1),COUNTIFS($C$2:$C979,$C980,$E$2:$E979,$E980,$Q$2:$Q979,$P980)&gt;=1),"",$P980))))</f>
        <v/>
      </c>
      <c r="R980" s="1017" t="str">
        <f ca="1">IF($A980="","",IFERROR(INDEX(TinhGia!$BF$10:$BF$81,MATCH($A980,TinhGia!$B$10:$B$81,0)),""))</f>
        <v/>
      </c>
      <c r="S980" s="1012" t="str">
        <f ca="1">IF($A980="","",IF(OR(IFERROR(SEARCH($R980,XKNVLSX!$X$1,1),0)&gt;=1,XKNVLSX!$X$1=""),$S$2,""))</f>
        <v/>
      </c>
      <c r="T980" s="1018" t="str">
        <f ca="1">IF($C980="","", IF(OR($P980=$V$1,$P980=$V$7,COUNTIFS($C$3:$C980,$C980,$E$3:$E980,$E980)&lt;=1),$P980,""    ))</f>
        <v/>
      </c>
      <c r="U980" s="1019" t="str">
        <f ca="1">IF(AND($P980=$V$2,COUNTIFS($C$3:$C980,$C980,$E$3:$E980,$E980,$G$3:$G980,$G980)&lt;=1),$P980,"")</f>
        <v/>
      </c>
    </row>
    <row r="981" spans="1:21">
      <c r="A981" s="991" t="str">
        <f ca="1">IFERROR(IF(COUNTIF($A$3:A980,A980)&lt; INDEX(TinhGia!$BH$10:$BH$81,MATCH($A980,TinhGia!$B$10:$B$81,0)),$A980,INDEX(TinhGia!$B$10:$B$81,MATCH($A980,TinhGia!$B$10:$B$81,0)+1)),"")</f>
        <v/>
      </c>
      <c r="B981" s="525" t="str">
        <f ca="1">IF(OR(A981="",A981=0),"",IF(COUNTIF($A$2:A981,$A981)=1,ROW(MauKoXoa!$C$108),$B980+1))</f>
        <v/>
      </c>
      <c r="C981" s="992" t="str">
        <f t="shared" ca="1" si="165"/>
        <v/>
      </c>
      <c r="D981" s="993" t="str">
        <f t="shared" ca="1" si="166"/>
        <v/>
      </c>
      <c r="E981" s="993" t="str">
        <f t="shared" ca="1" si="167"/>
        <v/>
      </c>
      <c r="F981" s="992" t="str">
        <f t="shared" ca="1" si="175"/>
        <v/>
      </c>
      <c r="G981" s="994">
        <f t="shared" ca="1" si="168"/>
        <v>0</v>
      </c>
      <c r="H981" s="913">
        <f t="shared" ca="1" si="169"/>
        <v>0</v>
      </c>
      <c r="I981" s="913">
        <f t="shared" ca="1" si="170"/>
        <v>0</v>
      </c>
      <c r="J981" s="995">
        <f t="shared" ca="1" si="176"/>
        <v>0</v>
      </c>
      <c r="K981" s="913">
        <f t="shared" ca="1" si="171"/>
        <v>0</v>
      </c>
      <c r="L981" s="995">
        <f t="shared" ca="1" si="177"/>
        <v>0</v>
      </c>
      <c r="M981" s="913">
        <f t="shared" ca="1" si="172"/>
        <v>0</v>
      </c>
      <c r="N981" s="996">
        <f t="shared" ca="1" si="173"/>
        <v>0</v>
      </c>
      <c r="O981" s="997">
        <f t="shared" ca="1" si="174"/>
        <v>0</v>
      </c>
      <c r="P981" s="1015" t="str">
        <f ca="1">IF($C981="","",INDEX(NVLSX!$N$2:$N$6941,MATCH($C981,NVLSX!$E$2:$E$6941,0)))</f>
        <v/>
      </c>
      <c r="Q981" s="1016" t="str">
        <f ca="1">IF($R981="","",IF(XKNVLSX!$X$1="",IF($P981=$V$7,$P981, IF(COUNTIFS($C$2:$C980,$C981,$E$2:$E980,$E981)&gt;=1,"",$P981)),     IF(AND(IFERROR(SEARCH($R981,XKNVLSX!$X$1,1),0)&gt;=1,$P981=$V$7),$P981, IF(OR($R981&lt;&gt;IF(IFERROR(SEARCH($R981,XKNVLSX!$X$1,1),0)&gt;=1,$R981,XKNVLSX!$X$1),COUNTIFS($C$2:$C980,$C981,$E$2:$E980,$E981,$Q$2:$Q980,$P981)&gt;=1),"",$P981))))</f>
        <v/>
      </c>
      <c r="R981" s="1017" t="str">
        <f ca="1">IF($A981="","",IFERROR(INDEX(TinhGia!$BF$10:$BF$81,MATCH($A981,TinhGia!$B$10:$B$81,0)),""))</f>
        <v/>
      </c>
      <c r="S981" s="1012" t="str">
        <f ca="1">IF($A981="","",IF(OR(IFERROR(SEARCH($R981,XKNVLSX!$X$1,1),0)&gt;=1,XKNVLSX!$X$1=""),$S$2,""))</f>
        <v/>
      </c>
      <c r="T981" s="1018" t="str">
        <f ca="1">IF($C981="","", IF(OR($P981=$V$1,$P981=$V$7,COUNTIFS($C$3:$C981,$C981,$E$3:$E981,$E981)&lt;=1),$P981,""    ))</f>
        <v/>
      </c>
      <c r="U981" s="1019" t="str">
        <f ca="1">IF(AND($P981=$V$2,COUNTIFS($C$3:$C981,$C981,$E$3:$E981,$E981,$G$3:$G981,$G981)&lt;=1),$P981,"")</f>
        <v/>
      </c>
    </row>
    <row r="982" spans="1:21">
      <c r="A982" s="991" t="str">
        <f ca="1">IFERROR(IF(COUNTIF($A$3:A981,A981)&lt; INDEX(TinhGia!$BH$10:$BH$81,MATCH($A981,TinhGia!$B$10:$B$81,0)),$A981,INDEX(TinhGia!$B$10:$B$81,MATCH($A981,TinhGia!$B$10:$B$81,0)+1)),"")</f>
        <v/>
      </c>
      <c r="B982" s="525" t="str">
        <f ca="1">IF(OR(A982="",A982=0),"",IF(COUNTIF($A$2:A982,$A982)=1,ROW(MauKoXoa!$C$108),$B981+1))</f>
        <v/>
      </c>
      <c r="C982" s="992" t="str">
        <f t="shared" ca="1" si="165"/>
        <v/>
      </c>
      <c r="D982" s="993" t="str">
        <f t="shared" ca="1" si="166"/>
        <v/>
      </c>
      <c r="E982" s="993" t="str">
        <f t="shared" ca="1" si="167"/>
        <v/>
      </c>
      <c r="F982" s="992" t="str">
        <f t="shared" ca="1" si="175"/>
        <v/>
      </c>
      <c r="G982" s="994">
        <f t="shared" ca="1" si="168"/>
        <v>0</v>
      </c>
      <c r="H982" s="913">
        <f t="shared" ca="1" si="169"/>
        <v>0</v>
      </c>
      <c r="I982" s="913">
        <f t="shared" ca="1" si="170"/>
        <v>0</v>
      </c>
      <c r="J982" s="995">
        <f t="shared" ca="1" si="176"/>
        <v>0</v>
      </c>
      <c r="K982" s="913">
        <f t="shared" ca="1" si="171"/>
        <v>0</v>
      </c>
      <c r="L982" s="995">
        <f t="shared" ca="1" si="177"/>
        <v>0</v>
      </c>
      <c r="M982" s="913">
        <f t="shared" ca="1" si="172"/>
        <v>0</v>
      </c>
      <c r="N982" s="996">
        <f t="shared" ca="1" si="173"/>
        <v>0</v>
      </c>
      <c r="O982" s="997">
        <f t="shared" ca="1" si="174"/>
        <v>0</v>
      </c>
      <c r="P982" s="1015" t="str">
        <f ca="1">IF($C982="","",INDEX(NVLSX!$N$2:$N$6941,MATCH($C982,NVLSX!$E$2:$E$6941,0)))</f>
        <v/>
      </c>
      <c r="Q982" s="1016" t="str">
        <f ca="1">IF($R982="","",IF(XKNVLSX!$X$1="",IF($P982=$V$7,$P982, IF(COUNTIFS($C$2:$C981,$C982,$E$2:$E981,$E982)&gt;=1,"",$P982)),     IF(AND(IFERROR(SEARCH($R982,XKNVLSX!$X$1,1),0)&gt;=1,$P982=$V$7),$P982, IF(OR($R982&lt;&gt;IF(IFERROR(SEARCH($R982,XKNVLSX!$X$1,1),0)&gt;=1,$R982,XKNVLSX!$X$1),COUNTIFS($C$2:$C981,$C982,$E$2:$E981,$E982,$Q$2:$Q981,$P982)&gt;=1),"",$P982))))</f>
        <v/>
      </c>
      <c r="R982" s="1017" t="str">
        <f ca="1">IF($A982="","",IFERROR(INDEX(TinhGia!$BF$10:$BF$81,MATCH($A982,TinhGia!$B$10:$B$81,0)),""))</f>
        <v/>
      </c>
      <c r="S982" s="1012" t="str">
        <f ca="1">IF($A982="","",IF(OR(IFERROR(SEARCH($R982,XKNVLSX!$X$1,1),0)&gt;=1,XKNVLSX!$X$1=""),$S$2,""))</f>
        <v/>
      </c>
      <c r="T982" s="1018" t="str">
        <f ca="1">IF($C982="","", IF(OR($P982=$V$1,$P982=$V$7,COUNTIFS($C$3:$C982,$C982,$E$3:$E982,$E982)&lt;=1),$P982,""    ))</f>
        <v/>
      </c>
      <c r="U982" s="1019" t="str">
        <f ca="1">IF(AND($P982=$V$2,COUNTIFS($C$3:$C982,$C982,$E$3:$E982,$E982,$G$3:$G982,$G982)&lt;=1),$P982,"")</f>
        <v/>
      </c>
    </row>
    <row r="983" spans="1:21">
      <c r="A983" s="991" t="str">
        <f ca="1">IFERROR(IF(COUNTIF($A$3:A982,A982)&lt; INDEX(TinhGia!$BH$10:$BH$81,MATCH($A982,TinhGia!$B$10:$B$81,0)),$A982,INDEX(TinhGia!$B$10:$B$81,MATCH($A982,TinhGia!$B$10:$B$81,0)+1)),"")</f>
        <v/>
      </c>
      <c r="B983" s="525" t="str">
        <f ca="1">IF(OR(A983="",A983=0),"",IF(COUNTIF($A$2:A983,$A983)=1,ROW(MauKoXoa!$C$108),$B982+1))</f>
        <v/>
      </c>
      <c r="C983" s="992" t="str">
        <f t="shared" ca="1" si="165"/>
        <v/>
      </c>
      <c r="D983" s="993" t="str">
        <f t="shared" ca="1" si="166"/>
        <v/>
      </c>
      <c r="E983" s="993" t="str">
        <f t="shared" ca="1" si="167"/>
        <v/>
      </c>
      <c r="F983" s="992" t="str">
        <f t="shared" ca="1" si="175"/>
        <v/>
      </c>
      <c r="G983" s="994">
        <f t="shared" ca="1" si="168"/>
        <v>0</v>
      </c>
      <c r="H983" s="913">
        <f t="shared" ca="1" si="169"/>
        <v>0</v>
      </c>
      <c r="I983" s="913">
        <f t="shared" ca="1" si="170"/>
        <v>0</v>
      </c>
      <c r="J983" s="995">
        <f t="shared" ca="1" si="176"/>
        <v>0</v>
      </c>
      <c r="K983" s="913">
        <f t="shared" ca="1" si="171"/>
        <v>0</v>
      </c>
      <c r="L983" s="995">
        <f t="shared" ca="1" si="177"/>
        <v>0</v>
      </c>
      <c r="M983" s="913">
        <f t="shared" ca="1" si="172"/>
        <v>0</v>
      </c>
      <c r="N983" s="996">
        <f t="shared" ca="1" si="173"/>
        <v>0</v>
      </c>
      <c r="O983" s="997">
        <f t="shared" ca="1" si="174"/>
        <v>0</v>
      </c>
      <c r="P983" s="1015" t="str">
        <f ca="1">IF($C983="","",INDEX(NVLSX!$N$2:$N$6941,MATCH($C983,NVLSX!$E$2:$E$6941,0)))</f>
        <v/>
      </c>
      <c r="Q983" s="1016" t="str">
        <f ca="1">IF($R983="","",IF(XKNVLSX!$X$1="",IF($P983=$V$7,$P983, IF(COUNTIFS($C$2:$C982,$C983,$E$2:$E982,$E983)&gt;=1,"",$P983)),     IF(AND(IFERROR(SEARCH($R983,XKNVLSX!$X$1,1),0)&gt;=1,$P983=$V$7),$P983, IF(OR($R983&lt;&gt;IF(IFERROR(SEARCH($R983,XKNVLSX!$X$1,1),0)&gt;=1,$R983,XKNVLSX!$X$1),COUNTIFS($C$2:$C982,$C983,$E$2:$E982,$E983,$Q$2:$Q982,$P983)&gt;=1),"",$P983))))</f>
        <v/>
      </c>
      <c r="R983" s="1017" t="str">
        <f ca="1">IF($A983="","",IFERROR(INDEX(TinhGia!$BF$10:$BF$81,MATCH($A983,TinhGia!$B$10:$B$81,0)),""))</f>
        <v/>
      </c>
      <c r="S983" s="1012" t="str">
        <f ca="1">IF($A983="","",IF(OR(IFERROR(SEARCH($R983,XKNVLSX!$X$1,1),0)&gt;=1,XKNVLSX!$X$1=""),$S$2,""))</f>
        <v/>
      </c>
      <c r="T983" s="1018" t="str">
        <f ca="1">IF($C983="","", IF(OR($P983=$V$1,$P983=$V$7,COUNTIFS($C$3:$C983,$C983,$E$3:$E983,$E983)&lt;=1),$P983,""    ))</f>
        <v/>
      </c>
      <c r="U983" s="1019" t="str">
        <f ca="1">IF(AND($P983=$V$2,COUNTIFS($C$3:$C983,$C983,$E$3:$E983,$E983,$G$3:$G983,$G983)&lt;=1),$P983,"")</f>
        <v/>
      </c>
    </row>
    <row r="984" spans="1:21">
      <c r="A984" s="991" t="str">
        <f ca="1">IFERROR(IF(COUNTIF($A$3:A983,A983)&lt; INDEX(TinhGia!$BH$10:$BH$81,MATCH($A983,TinhGia!$B$10:$B$81,0)),$A983,INDEX(TinhGia!$B$10:$B$81,MATCH($A983,TinhGia!$B$10:$B$81,0)+1)),"")</f>
        <v/>
      </c>
      <c r="B984" s="525" t="str">
        <f ca="1">IF(OR(A984="",A984=0),"",IF(COUNTIF($A$2:A984,$A984)=1,ROW(MauKoXoa!$C$108),$B983+1))</f>
        <v/>
      </c>
      <c r="C984" s="992" t="str">
        <f t="shared" ca="1" si="165"/>
        <v/>
      </c>
      <c r="D984" s="993" t="str">
        <f t="shared" ca="1" si="166"/>
        <v/>
      </c>
      <c r="E984" s="993" t="str">
        <f t="shared" ca="1" si="167"/>
        <v/>
      </c>
      <c r="F984" s="992" t="str">
        <f t="shared" ca="1" si="175"/>
        <v/>
      </c>
      <c r="G984" s="994">
        <f t="shared" ca="1" si="168"/>
        <v>0</v>
      </c>
      <c r="H984" s="913">
        <f t="shared" ca="1" si="169"/>
        <v>0</v>
      </c>
      <c r="I984" s="913">
        <f t="shared" ca="1" si="170"/>
        <v>0</v>
      </c>
      <c r="J984" s="995">
        <f t="shared" ca="1" si="176"/>
        <v>0</v>
      </c>
      <c r="K984" s="913">
        <f t="shared" ca="1" si="171"/>
        <v>0</v>
      </c>
      <c r="L984" s="995">
        <f t="shared" ca="1" si="177"/>
        <v>0</v>
      </c>
      <c r="M984" s="913">
        <f t="shared" ca="1" si="172"/>
        <v>0</v>
      </c>
      <c r="N984" s="996">
        <f t="shared" ca="1" si="173"/>
        <v>0</v>
      </c>
      <c r="O984" s="997">
        <f t="shared" ca="1" si="174"/>
        <v>0</v>
      </c>
      <c r="P984" s="1015" t="str">
        <f ca="1">IF($C984="","",INDEX(NVLSX!$N$2:$N$6941,MATCH($C984,NVLSX!$E$2:$E$6941,0)))</f>
        <v/>
      </c>
      <c r="Q984" s="1016" t="str">
        <f ca="1">IF($R984="","",IF(XKNVLSX!$X$1="",IF($P984=$V$7,$P984, IF(COUNTIFS($C$2:$C983,$C984,$E$2:$E983,$E984)&gt;=1,"",$P984)),     IF(AND(IFERROR(SEARCH($R984,XKNVLSX!$X$1,1),0)&gt;=1,$P984=$V$7),$P984, IF(OR($R984&lt;&gt;IF(IFERROR(SEARCH($R984,XKNVLSX!$X$1,1),0)&gt;=1,$R984,XKNVLSX!$X$1),COUNTIFS($C$2:$C983,$C984,$E$2:$E983,$E984,$Q$2:$Q983,$P984)&gt;=1),"",$P984))))</f>
        <v/>
      </c>
      <c r="R984" s="1017" t="str">
        <f ca="1">IF($A984="","",IFERROR(INDEX(TinhGia!$BF$10:$BF$81,MATCH($A984,TinhGia!$B$10:$B$81,0)),""))</f>
        <v/>
      </c>
      <c r="S984" s="1012" t="str">
        <f ca="1">IF($A984="","",IF(OR(IFERROR(SEARCH($R984,XKNVLSX!$X$1,1),0)&gt;=1,XKNVLSX!$X$1=""),$S$2,""))</f>
        <v/>
      </c>
      <c r="T984" s="1018" t="str">
        <f ca="1">IF($C984="","", IF(OR($P984=$V$1,$P984=$V$7,COUNTIFS($C$3:$C984,$C984,$E$3:$E984,$E984)&lt;=1),$P984,""    ))</f>
        <v/>
      </c>
      <c r="U984" s="1019" t="str">
        <f ca="1">IF(AND($P984=$V$2,COUNTIFS($C$3:$C984,$C984,$E$3:$E984,$E984,$G$3:$G984,$G984)&lt;=1),$P984,"")</f>
        <v/>
      </c>
    </row>
    <row r="985" spans="1:21">
      <c r="A985" s="991" t="str">
        <f ca="1">IFERROR(IF(COUNTIF($A$3:A984,A984)&lt; INDEX(TinhGia!$BH$10:$BH$81,MATCH($A984,TinhGia!$B$10:$B$81,0)),$A984,INDEX(TinhGia!$B$10:$B$81,MATCH($A984,TinhGia!$B$10:$B$81,0)+1)),"")</f>
        <v/>
      </c>
      <c r="B985" s="525" t="str">
        <f ca="1">IF(OR(A985="",A985=0),"",IF(COUNTIF($A$2:A985,$A985)=1,ROW(MauKoXoa!$C$108),$B984+1))</f>
        <v/>
      </c>
      <c r="C985" s="992" t="str">
        <f t="shared" ca="1" si="165"/>
        <v/>
      </c>
      <c r="D985" s="993" t="str">
        <f t="shared" ca="1" si="166"/>
        <v/>
      </c>
      <c r="E985" s="993" t="str">
        <f t="shared" ca="1" si="167"/>
        <v/>
      </c>
      <c r="F985" s="992" t="str">
        <f t="shared" ca="1" si="175"/>
        <v/>
      </c>
      <c r="G985" s="994">
        <f t="shared" ca="1" si="168"/>
        <v>0</v>
      </c>
      <c r="H985" s="913">
        <f t="shared" ca="1" si="169"/>
        <v>0</v>
      </c>
      <c r="I985" s="913">
        <f t="shared" ca="1" si="170"/>
        <v>0</v>
      </c>
      <c r="J985" s="995">
        <f t="shared" ca="1" si="176"/>
        <v>0</v>
      </c>
      <c r="K985" s="913">
        <f t="shared" ca="1" si="171"/>
        <v>0</v>
      </c>
      <c r="L985" s="995">
        <f t="shared" ca="1" si="177"/>
        <v>0</v>
      </c>
      <c r="M985" s="913">
        <f t="shared" ca="1" si="172"/>
        <v>0</v>
      </c>
      <c r="N985" s="996">
        <f t="shared" ca="1" si="173"/>
        <v>0</v>
      </c>
      <c r="O985" s="997">
        <f t="shared" ca="1" si="174"/>
        <v>0</v>
      </c>
      <c r="P985" s="1015" t="str">
        <f ca="1">IF($C985="","",INDEX(NVLSX!$N$2:$N$6941,MATCH($C985,NVLSX!$E$2:$E$6941,0)))</f>
        <v/>
      </c>
      <c r="Q985" s="1016" t="str">
        <f ca="1">IF($R985="","",IF(XKNVLSX!$X$1="",IF($P985=$V$7,$P985, IF(COUNTIFS($C$2:$C984,$C985,$E$2:$E984,$E985)&gt;=1,"",$P985)),     IF(AND(IFERROR(SEARCH($R985,XKNVLSX!$X$1,1),0)&gt;=1,$P985=$V$7),$P985, IF(OR($R985&lt;&gt;IF(IFERROR(SEARCH($R985,XKNVLSX!$X$1,1),0)&gt;=1,$R985,XKNVLSX!$X$1),COUNTIFS($C$2:$C984,$C985,$E$2:$E984,$E985,$Q$2:$Q984,$P985)&gt;=1),"",$P985))))</f>
        <v/>
      </c>
      <c r="R985" s="1017" t="str">
        <f ca="1">IF($A985="","",IFERROR(INDEX(TinhGia!$BF$10:$BF$81,MATCH($A985,TinhGia!$B$10:$B$81,0)),""))</f>
        <v/>
      </c>
      <c r="S985" s="1012" t="str">
        <f ca="1">IF($A985="","",IF(OR(IFERROR(SEARCH($R985,XKNVLSX!$X$1,1),0)&gt;=1,XKNVLSX!$X$1=""),$S$2,""))</f>
        <v/>
      </c>
      <c r="T985" s="1018" t="str">
        <f ca="1">IF($C985="","", IF(OR($P985=$V$1,$P985=$V$7,COUNTIFS($C$3:$C985,$C985,$E$3:$E985,$E985)&lt;=1),$P985,""    ))</f>
        <v/>
      </c>
      <c r="U985" s="1019" t="str">
        <f ca="1">IF(AND($P985=$V$2,COUNTIFS($C$3:$C985,$C985,$E$3:$E985,$E985,$G$3:$G985,$G985)&lt;=1),$P985,"")</f>
        <v/>
      </c>
    </row>
    <row r="986" spans="1:21">
      <c r="A986" s="991" t="str">
        <f ca="1">IFERROR(IF(COUNTIF($A$3:A985,A985)&lt; INDEX(TinhGia!$BH$10:$BH$81,MATCH($A985,TinhGia!$B$10:$B$81,0)),$A985,INDEX(TinhGia!$B$10:$B$81,MATCH($A985,TinhGia!$B$10:$B$81,0)+1)),"")</f>
        <v/>
      </c>
      <c r="B986" s="525" t="str">
        <f ca="1">IF(OR(A986="",A986=0),"",IF(COUNTIF($A$2:A986,$A986)=1,ROW(MauKoXoa!$C$108),$B985+1))</f>
        <v/>
      </c>
      <c r="C986" s="992" t="str">
        <f t="shared" ca="1" si="165"/>
        <v/>
      </c>
      <c r="D986" s="993" t="str">
        <f t="shared" ca="1" si="166"/>
        <v/>
      </c>
      <c r="E986" s="993" t="str">
        <f t="shared" ca="1" si="167"/>
        <v/>
      </c>
      <c r="F986" s="992" t="str">
        <f t="shared" ca="1" si="175"/>
        <v/>
      </c>
      <c r="G986" s="994">
        <f t="shared" ca="1" si="168"/>
        <v>0</v>
      </c>
      <c r="H986" s="913">
        <f t="shared" ca="1" si="169"/>
        <v>0</v>
      </c>
      <c r="I986" s="913">
        <f t="shared" ca="1" si="170"/>
        <v>0</v>
      </c>
      <c r="J986" s="995">
        <f t="shared" ca="1" si="176"/>
        <v>0</v>
      </c>
      <c r="K986" s="913">
        <f t="shared" ca="1" si="171"/>
        <v>0</v>
      </c>
      <c r="L986" s="995">
        <f t="shared" ca="1" si="177"/>
        <v>0</v>
      </c>
      <c r="M986" s="913">
        <f t="shared" ca="1" si="172"/>
        <v>0</v>
      </c>
      <c r="N986" s="996">
        <f t="shared" ca="1" si="173"/>
        <v>0</v>
      </c>
      <c r="O986" s="997">
        <f t="shared" ca="1" si="174"/>
        <v>0</v>
      </c>
      <c r="P986" s="1015" t="str">
        <f ca="1">IF($C986="","",INDEX(NVLSX!$N$2:$N$6941,MATCH($C986,NVLSX!$E$2:$E$6941,0)))</f>
        <v/>
      </c>
      <c r="Q986" s="1016" t="str">
        <f ca="1">IF($R986="","",IF(XKNVLSX!$X$1="",IF($P986=$V$7,$P986, IF(COUNTIFS($C$2:$C985,$C986,$E$2:$E985,$E986)&gt;=1,"",$P986)),     IF(AND(IFERROR(SEARCH($R986,XKNVLSX!$X$1,1),0)&gt;=1,$P986=$V$7),$P986, IF(OR($R986&lt;&gt;IF(IFERROR(SEARCH($R986,XKNVLSX!$X$1,1),0)&gt;=1,$R986,XKNVLSX!$X$1),COUNTIFS($C$2:$C985,$C986,$E$2:$E985,$E986,$Q$2:$Q985,$P986)&gt;=1),"",$P986))))</f>
        <v/>
      </c>
      <c r="R986" s="1017" t="str">
        <f ca="1">IF($A986="","",IFERROR(INDEX(TinhGia!$BF$10:$BF$81,MATCH($A986,TinhGia!$B$10:$B$81,0)),""))</f>
        <v/>
      </c>
      <c r="S986" s="1012" t="str">
        <f ca="1">IF($A986="","",IF(OR(IFERROR(SEARCH($R986,XKNVLSX!$X$1,1),0)&gt;=1,XKNVLSX!$X$1=""),$S$2,""))</f>
        <v/>
      </c>
      <c r="T986" s="1018" t="str">
        <f ca="1">IF($C986="","", IF(OR($P986=$V$1,$P986=$V$7,COUNTIFS($C$3:$C986,$C986,$E$3:$E986,$E986)&lt;=1),$P986,""    ))</f>
        <v/>
      </c>
      <c r="U986" s="1019" t="str">
        <f ca="1">IF(AND($P986=$V$2,COUNTIFS($C$3:$C986,$C986,$E$3:$E986,$E986,$G$3:$G986,$G986)&lt;=1),$P986,"")</f>
        <v/>
      </c>
    </row>
    <row r="987" spans="1:21">
      <c r="A987" s="991" t="str">
        <f ca="1">IFERROR(IF(COUNTIF($A$3:A986,A986)&lt; INDEX(TinhGia!$BH$10:$BH$81,MATCH($A986,TinhGia!$B$10:$B$81,0)),$A986,INDEX(TinhGia!$B$10:$B$81,MATCH($A986,TinhGia!$B$10:$B$81,0)+1)),"")</f>
        <v/>
      </c>
      <c r="B987" s="525" t="str">
        <f ca="1">IF(OR(A987="",A987=0),"",IF(COUNTIF($A$2:A987,$A987)=1,ROW(MauKoXoa!$C$108),$B986+1))</f>
        <v/>
      </c>
      <c r="C987" s="992" t="str">
        <f t="shared" ca="1" si="165"/>
        <v/>
      </c>
      <c r="D987" s="993" t="str">
        <f t="shared" ca="1" si="166"/>
        <v/>
      </c>
      <c r="E987" s="993" t="str">
        <f t="shared" ca="1" si="167"/>
        <v/>
      </c>
      <c r="F987" s="992" t="str">
        <f t="shared" ca="1" si="175"/>
        <v/>
      </c>
      <c r="G987" s="994">
        <f t="shared" ca="1" si="168"/>
        <v>0</v>
      </c>
      <c r="H987" s="913">
        <f t="shared" ca="1" si="169"/>
        <v>0</v>
      </c>
      <c r="I987" s="913">
        <f t="shared" ca="1" si="170"/>
        <v>0</v>
      </c>
      <c r="J987" s="995">
        <f t="shared" ca="1" si="176"/>
        <v>0</v>
      </c>
      <c r="K987" s="913">
        <f t="shared" ca="1" si="171"/>
        <v>0</v>
      </c>
      <c r="L987" s="995">
        <f t="shared" ca="1" si="177"/>
        <v>0</v>
      </c>
      <c r="M987" s="913">
        <f t="shared" ca="1" si="172"/>
        <v>0</v>
      </c>
      <c r="N987" s="996">
        <f t="shared" ca="1" si="173"/>
        <v>0</v>
      </c>
      <c r="O987" s="997">
        <f t="shared" ca="1" si="174"/>
        <v>0</v>
      </c>
      <c r="P987" s="1015" t="str">
        <f ca="1">IF($C987="","",INDEX(NVLSX!$N$2:$N$6941,MATCH($C987,NVLSX!$E$2:$E$6941,0)))</f>
        <v/>
      </c>
      <c r="Q987" s="1016" t="str">
        <f ca="1">IF($R987="","",IF(XKNVLSX!$X$1="",IF($P987=$V$7,$P987, IF(COUNTIFS($C$2:$C986,$C987,$E$2:$E986,$E987)&gt;=1,"",$P987)),     IF(AND(IFERROR(SEARCH($R987,XKNVLSX!$X$1,1),0)&gt;=1,$P987=$V$7),$P987, IF(OR($R987&lt;&gt;IF(IFERROR(SEARCH($R987,XKNVLSX!$X$1,1),0)&gt;=1,$R987,XKNVLSX!$X$1),COUNTIFS($C$2:$C986,$C987,$E$2:$E986,$E987,$Q$2:$Q986,$P987)&gt;=1),"",$P987))))</f>
        <v/>
      </c>
      <c r="R987" s="1017" t="str">
        <f ca="1">IF($A987="","",IFERROR(INDEX(TinhGia!$BF$10:$BF$81,MATCH($A987,TinhGia!$B$10:$B$81,0)),""))</f>
        <v/>
      </c>
      <c r="S987" s="1012" t="str">
        <f ca="1">IF($A987="","",IF(OR(IFERROR(SEARCH($R987,XKNVLSX!$X$1,1),0)&gt;=1,XKNVLSX!$X$1=""),$S$2,""))</f>
        <v/>
      </c>
      <c r="T987" s="1018" t="str">
        <f ca="1">IF($C987="","", IF(OR($P987=$V$1,$P987=$V$7,COUNTIFS($C$3:$C987,$C987,$E$3:$E987,$E987)&lt;=1),$P987,""    ))</f>
        <v/>
      </c>
      <c r="U987" s="1019" t="str">
        <f ca="1">IF(AND($P987=$V$2,COUNTIFS($C$3:$C987,$C987,$E$3:$E987,$E987,$G$3:$G987,$G987)&lt;=1),$P987,"")</f>
        <v/>
      </c>
    </row>
    <row r="988" spans="1:21">
      <c r="A988" s="991" t="str">
        <f ca="1">IFERROR(IF(COUNTIF($A$3:A987,A987)&lt; INDEX(TinhGia!$BH$10:$BH$81,MATCH($A987,TinhGia!$B$10:$B$81,0)),$A987,INDEX(TinhGia!$B$10:$B$81,MATCH($A987,TinhGia!$B$10:$B$81,0)+1)),"")</f>
        <v/>
      </c>
      <c r="B988" s="525" t="str">
        <f ca="1">IF(OR(A988="",A988=0),"",IF(COUNTIF($A$2:A988,$A988)=1,ROW(MauKoXoa!$C$108),$B987+1))</f>
        <v/>
      </c>
      <c r="C988" s="992" t="str">
        <f t="shared" ca="1" si="165"/>
        <v/>
      </c>
      <c r="D988" s="993" t="str">
        <f t="shared" ca="1" si="166"/>
        <v/>
      </c>
      <c r="E988" s="993" t="str">
        <f t="shared" ca="1" si="167"/>
        <v/>
      </c>
      <c r="F988" s="992" t="str">
        <f t="shared" ca="1" si="175"/>
        <v/>
      </c>
      <c r="G988" s="994">
        <f t="shared" ca="1" si="168"/>
        <v>0</v>
      </c>
      <c r="H988" s="913">
        <f t="shared" ca="1" si="169"/>
        <v>0</v>
      </c>
      <c r="I988" s="913">
        <f t="shared" ca="1" si="170"/>
        <v>0</v>
      </c>
      <c r="J988" s="995">
        <f t="shared" ca="1" si="176"/>
        <v>0</v>
      </c>
      <c r="K988" s="913">
        <f t="shared" ca="1" si="171"/>
        <v>0</v>
      </c>
      <c r="L988" s="995">
        <f t="shared" ca="1" si="177"/>
        <v>0</v>
      </c>
      <c r="M988" s="913">
        <f t="shared" ca="1" si="172"/>
        <v>0</v>
      </c>
      <c r="N988" s="996">
        <f t="shared" ca="1" si="173"/>
        <v>0</v>
      </c>
      <c r="O988" s="997">
        <f t="shared" ca="1" si="174"/>
        <v>0</v>
      </c>
      <c r="P988" s="1015" t="str">
        <f ca="1">IF($C988="","",INDEX(NVLSX!$N$2:$N$6941,MATCH($C988,NVLSX!$E$2:$E$6941,0)))</f>
        <v/>
      </c>
      <c r="Q988" s="1016" t="str">
        <f ca="1">IF($R988="","",IF(XKNVLSX!$X$1="",IF($P988=$V$7,$P988, IF(COUNTIFS($C$2:$C987,$C988,$E$2:$E987,$E988)&gt;=1,"",$P988)),     IF(AND(IFERROR(SEARCH($R988,XKNVLSX!$X$1,1),0)&gt;=1,$P988=$V$7),$P988, IF(OR($R988&lt;&gt;IF(IFERROR(SEARCH($R988,XKNVLSX!$X$1,1),0)&gt;=1,$R988,XKNVLSX!$X$1),COUNTIFS($C$2:$C987,$C988,$E$2:$E987,$E988,$Q$2:$Q987,$P988)&gt;=1),"",$P988))))</f>
        <v/>
      </c>
      <c r="R988" s="1017" t="str">
        <f ca="1">IF($A988="","",IFERROR(INDEX(TinhGia!$BF$10:$BF$81,MATCH($A988,TinhGia!$B$10:$B$81,0)),""))</f>
        <v/>
      </c>
      <c r="S988" s="1012" t="str">
        <f ca="1">IF($A988="","",IF(OR(IFERROR(SEARCH($R988,XKNVLSX!$X$1,1),0)&gt;=1,XKNVLSX!$X$1=""),$S$2,""))</f>
        <v/>
      </c>
      <c r="T988" s="1018" t="str">
        <f ca="1">IF($C988="","", IF(OR($P988=$V$1,$P988=$V$7,COUNTIFS($C$3:$C988,$C988,$E$3:$E988,$E988)&lt;=1),$P988,""    ))</f>
        <v/>
      </c>
      <c r="U988" s="1019" t="str">
        <f ca="1">IF(AND($P988=$V$2,COUNTIFS($C$3:$C988,$C988,$E$3:$E988,$E988,$G$3:$G988,$G988)&lt;=1),$P988,"")</f>
        <v/>
      </c>
    </row>
    <row r="989" spans="1:21">
      <c r="A989" s="991" t="str">
        <f ca="1">IFERROR(IF(COUNTIF($A$3:A988,A988)&lt; INDEX(TinhGia!$BH$10:$BH$81,MATCH($A988,TinhGia!$B$10:$B$81,0)),$A988,INDEX(TinhGia!$B$10:$B$81,MATCH($A988,TinhGia!$B$10:$B$81,0)+1)),"")</f>
        <v/>
      </c>
      <c r="B989" s="525" t="str">
        <f ca="1">IF(OR(A989="",A989=0),"",IF(COUNTIF($A$2:A989,$A989)=1,ROW(MauKoXoa!$C$108),$B988+1))</f>
        <v/>
      </c>
      <c r="C989" s="992" t="str">
        <f t="shared" ca="1" si="165"/>
        <v/>
      </c>
      <c r="D989" s="993" t="str">
        <f t="shared" ca="1" si="166"/>
        <v/>
      </c>
      <c r="E989" s="993" t="str">
        <f t="shared" ca="1" si="167"/>
        <v/>
      </c>
      <c r="F989" s="992" t="str">
        <f t="shared" ca="1" si="175"/>
        <v/>
      </c>
      <c r="G989" s="994">
        <f t="shared" ca="1" si="168"/>
        <v>0</v>
      </c>
      <c r="H989" s="913">
        <f t="shared" ca="1" si="169"/>
        <v>0</v>
      </c>
      <c r="I989" s="913">
        <f t="shared" ca="1" si="170"/>
        <v>0</v>
      </c>
      <c r="J989" s="995">
        <f t="shared" ca="1" si="176"/>
        <v>0</v>
      </c>
      <c r="K989" s="913">
        <f t="shared" ca="1" si="171"/>
        <v>0</v>
      </c>
      <c r="L989" s="995">
        <f t="shared" ca="1" si="177"/>
        <v>0</v>
      </c>
      <c r="M989" s="913">
        <f t="shared" ca="1" si="172"/>
        <v>0</v>
      </c>
      <c r="N989" s="996">
        <f t="shared" ca="1" si="173"/>
        <v>0</v>
      </c>
      <c r="O989" s="997">
        <f t="shared" ca="1" si="174"/>
        <v>0</v>
      </c>
      <c r="P989" s="1015" t="str">
        <f ca="1">IF($C989="","",INDEX(NVLSX!$N$2:$N$6941,MATCH($C989,NVLSX!$E$2:$E$6941,0)))</f>
        <v/>
      </c>
      <c r="Q989" s="1016" t="str">
        <f ca="1">IF($R989="","",IF(XKNVLSX!$X$1="",IF($P989=$V$7,$P989, IF(COUNTIFS($C$2:$C988,$C989,$E$2:$E988,$E989)&gt;=1,"",$P989)),     IF(AND(IFERROR(SEARCH($R989,XKNVLSX!$X$1,1),0)&gt;=1,$P989=$V$7),$P989, IF(OR($R989&lt;&gt;IF(IFERROR(SEARCH($R989,XKNVLSX!$X$1,1),0)&gt;=1,$R989,XKNVLSX!$X$1),COUNTIFS($C$2:$C988,$C989,$E$2:$E988,$E989,$Q$2:$Q988,$P989)&gt;=1),"",$P989))))</f>
        <v/>
      </c>
      <c r="R989" s="1017" t="str">
        <f ca="1">IF($A989="","",IFERROR(INDEX(TinhGia!$BF$10:$BF$81,MATCH($A989,TinhGia!$B$10:$B$81,0)),""))</f>
        <v/>
      </c>
      <c r="S989" s="1012" t="str">
        <f ca="1">IF($A989="","",IF(OR(IFERROR(SEARCH($R989,XKNVLSX!$X$1,1),0)&gt;=1,XKNVLSX!$X$1=""),$S$2,""))</f>
        <v/>
      </c>
      <c r="T989" s="1018" t="str">
        <f ca="1">IF($C989="","", IF(OR($P989=$V$1,$P989=$V$7,COUNTIFS($C$3:$C989,$C989,$E$3:$E989,$E989)&lt;=1),$P989,""    ))</f>
        <v/>
      </c>
      <c r="U989" s="1019" t="str">
        <f ca="1">IF(AND($P989=$V$2,COUNTIFS($C$3:$C989,$C989,$E$3:$E989,$E989,$G$3:$G989,$G989)&lt;=1),$P989,"")</f>
        <v/>
      </c>
    </row>
    <row r="990" spans="1:21">
      <c r="A990" s="991" t="str">
        <f ca="1">IFERROR(IF(COUNTIF($A$3:A989,A989)&lt; INDEX(TinhGia!$BH$10:$BH$81,MATCH($A989,TinhGia!$B$10:$B$81,0)),$A989,INDEX(TinhGia!$B$10:$B$81,MATCH($A989,TinhGia!$B$10:$B$81,0)+1)),"")</f>
        <v/>
      </c>
      <c r="B990" s="525" t="str">
        <f ca="1">IF(OR(A990="",A990=0),"",IF(COUNTIF($A$2:A990,$A990)=1,ROW(MauKoXoa!$C$108),$B989+1))</f>
        <v/>
      </c>
      <c r="C990" s="992" t="str">
        <f t="shared" ca="1" si="165"/>
        <v/>
      </c>
      <c r="D990" s="993" t="str">
        <f t="shared" ca="1" si="166"/>
        <v/>
      </c>
      <c r="E990" s="993" t="str">
        <f t="shared" ca="1" si="167"/>
        <v/>
      </c>
      <c r="F990" s="992" t="str">
        <f t="shared" ca="1" si="175"/>
        <v/>
      </c>
      <c r="G990" s="994">
        <f t="shared" ca="1" si="168"/>
        <v>0</v>
      </c>
      <c r="H990" s="913">
        <f t="shared" ca="1" si="169"/>
        <v>0</v>
      </c>
      <c r="I990" s="913">
        <f t="shared" ca="1" si="170"/>
        <v>0</v>
      </c>
      <c r="J990" s="995">
        <f t="shared" ca="1" si="176"/>
        <v>0</v>
      </c>
      <c r="K990" s="913">
        <f t="shared" ca="1" si="171"/>
        <v>0</v>
      </c>
      <c r="L990" s="995">
        <f t="shared" ca="1" si="177"/>
        <v>0</v>
      </c>
      <c r="M990" s="913">
        <f t="shared" ca="1" si="172"/>
        <v>0</v>
      </c>
      <c r="N990" s="996">
        <f t="shared" ca="1" si="173"/>
        <v>0</v>
      </c>
      <c r="O990" s="997">
        <f t="shared" ca="1" si="174"/>
        <v>0</v>
      </c>
      <c r="P990" s="1015" t="str">
        <f ca="1">IF($C990="","",INDEX(NVLSX!$N$2:$N$6941,MATCH($C990,NVLSX!$E$2:$E$6941,0)))</f>
        <v/>
      </c>
      <c r="Q990" s="1016" t="str">
        <f ca="1">IF($R990="","",IF(XKNVLSX!$X$1="",IF($P990=$V$7,$P990, IF(COUNTIFS($C$2:$C989,$C990,$E$2:$E989,$E990)&gt;=1,"",$P990)),     IF(AND(IFERROR(SEARCH($R990,XKNVLSX!$X$1,1),0)&gt;=1,$P990=$V$7),$P990, IF(OR($R990&lt;&gt;IF(IFERROR(SEARCH($R990,XKNVLSX!$X$1,1),0)&gt;=1,$R990,XKNVLSX!$X$1),COUNTIFS($C$2:$C989,$C990,$E$2:$E989,$E990,$Q$2:$Q989,$P990)&gt;=1),"",$P990))))</f>
        <v/>
      </c>
      <c r="R990" s="1017" t="str">
        <f ca="1">IF($A990="","",IFERROR(INDEX(TinhGia!$BF$10:$BF$81,MATCH($A990,TinhGia!$B$10:$B$81,0)),""))</f>
        <v/>
      </c>
      <c r="S990" s="1012" t="str">
        <f ca="1">IF($A990="","",IF(OR(IFERROR(SEARCH($R990,XKNVLSX!$X$1,1),0)&gt;=1,XKNVLSX!$X$1=""),$S$2,""))</f>
        <v/>
      </c>
      <c r="T990" s="1018" t="str">
        <f ca="1">IF($C990="","", IF(OR($P990=$V$1,$P990=$V$7,COUNTIFS($C$3:$C990,$C990,$E$3:$E990,$E990)&lt;=1),$P990,""    ))</f>
        <v/>
      </c>
      <c r="U990" s="1019" t="str">
        <f ca="1">IF(AND($P990=$V$2,COUNTIFS($C$3:$C990,$C990,$E$3:$E990,$E990,$G$3:$G990,$G990)&lt;=1),$P990,"")</f>
        <v/>
      </c>
    </row>
    <row r="991" spans="1:21">
      <c r="A991" s="991" t="str">
        <f ca="1">IFERROR(IF(COUNTIF($A$3:A990,A990)&lt; INDEX(TinhGia!$BH$10:$BH$81,MATCH($A990,TinhGia!$B$10:$B$81,0)),$A990,INDEX(TinhGia!$B$10:$B$81,MATCH($A990,TinhGia!$B$10:$B$81,0)+1)),"")</f>
        <v/>
      </c>
      <c r="B991" s="525" t="str">
        <f ca="1">IF(OR(A991="",A991=0),"",IF(COUNTIF($A$2:A991,$A991)=1,ROW(MauKoXoa!$C$108),$B990+1))</f>
        <v/>
      </c>
      <c r="C991" s="992" t="str">
        <f t="shared" ca="1" si="165"/>
        <v/>
      </c>
      <c r="D991" s="993" t="str">
        <f t="shared" ca="1" si="166"/>
        <v/>
      </c>
      <c r="E991" s="993" t="str">
        <f t="shared" ca="1" si="167"/>
        <v/>
      </c>
      <c r="F991" s="992" t="str">
        <f t="shared" ca="1" si="175"/>
        <v/>
      </c>
      <c r="G991" s="994">
        <f t="shared" ca="1" si="168"/>
        <v>0</v>
      </c>
      <c r="H991" s="913">
        <f t="shared" ca="1" si="169"/>
        <v>0</v>
      </c>
      <c r="I991" s="913">
        <f t="shared" ca="1" si="170"/>
        <v>0</v>
      </c>
      <c r="J991" s="995">
        <f t="shared" ca="1" si="176"/>
        <v>0</v>
      </c>
      <c r="K991" s="913">
        <f t="shared" ca="1" si="171"/>
        <v>0</v>
      </c>
      <c r="L991" s="995">
        <f t="shared" ca="1" si="177"/>
        <v>0</v>
      </c>
      <c r="M991" s="913">
        <f t="shared" ca="1" si="172"/>
        <v>0</v>
      </c>
      <c r="N991" s="996">
        <f t="shared" ca="1" si="173"/>
        <v>0</v>
      </c>
      <c r="O991" s="997">
        <f t="shared" ca="1" si="174"/>
        <v>0</v>
      </c>
      <c r="P991" s="1015" t="str">
        <f ca="1">IF($C991="","",INDEX(NVLSX!$N$2:$N$6941,MATCH($C991,NVLSX!$E$2:$E$6941,0)))</f>
        <v/>
      </c>
      <c r="Q991" s="1016" t="str">
        <f ca="1">IF($R991="","",IF(XKNVLSX!$X$1="",IF($P991=$V$7,$P991, IF(COUNTIFS($C$2:$C990,$C991,$E$2:$E990,$E991)&gt;=1,"",$P991)),     IF(AND(IFERROR(SEARCH($R991,XKNVLSX!$X$1,1),0)&gt;=1,$P991=$V$7),$P991, IF(OR($R991&lt;&gt;IF(IFERROR(SEARCH($R991,XKNVLSX!$X$1,1),0)&gt;=1,$R991,XKNVLSX!$X$1),COUNTIFS($C$2:$C990,$C991,$E$2:$E990,$E991,$Q$2:$Q990,$P991)&gt;=1),"",$P991))))</f>
        <v/>
      </c>
      <c r="R991" s="1017" t="str">
        <f ca="1">IF($A991="","",IFERROR(INDEX(TinhGia!$BF$10:$BF$81,MATCH($A991,TinhGia!$B$10:$B$81,0)),""))</f>
        <v/>
      </c>
      <c r="S991" s="1012" t="str">
        <f ca="1">IF($A991="","",IF(OR(IFERROR(SEARCH($R991,XKNVLSX!$X$1,1),0)&gt;=1,XKNVLSX!$X$1=""),$S$2,""))</f>
        <v/>
      </c>
      <c r="T991" s="1018" t="str">
        <f ca="1">IF($C991="","", IF(OR($P991=$V$1,$P991=$V$7,COUNTIFS($C$3:$C991,$C991,$E$3:$E991,$E991)&lt;=1),$P991,""    ))</f>
        <v/>
      </c>
      <c r="U991" s="1019" t="str">
        <f ca="1">IF(AND($P991=$V$2,COUNTIFS($C$3:$C991,$C991,$E$3:$E991,$E991,$G$3:$G991,$G991)&lt;=1),$P991,"")</f>
        <v/>
      </c>
    </row>
    <row r="992" spans="1:21">
      <c r="A992" s="991" t="str">
        <f ca="1">IFERROR(IF(COUNTIF($A$3:A991,A991)&lt; INDEX(TinhGia!$BH$10:$BH$81,MATCH($A991,TinhGia!$B$10:$B$81,0)),$A991,INDEX(TinhGia!$B$10:$B$81,MATCH($A991,TinhGia!$B$10:$B$81,0)+1)),"")</f>
        <v/>
      </c>
      <c r="B992" s="525" t="str">
        <f ca="1">IF(OR(A992="",A992=0),"",IF(COUNTIF($A$2:A992,$A992)=1,ROW(MauKoXoa!$C$108),$B991+1))</f>
        <v/>
      </c>
      <c r="C992" s="992" t="str">
        <f t="shared" ca="1" si="165"/>
        <v/>
      </c>
      <c r="D992" s="993" t="str">
        <f t="shared" ca="1" si="166"/>
        <v/>
      </c>
      <c r="E992" s="993" t="str">
        <f t="shared" ca="1" si="167"/>
        <v/>
      </c>
      <c r="F992" s="992" t="str">
        <f t="shared" ca="1" si="175"/>
        <v/>
      </c>
      <c r="G992" s="994">
        <f t="shared" ca="1" si="168"/>
        <v>0</v>
      </c>
      <c r="H992" s="913">
        <f t="shared" ca="1" si="169"/>
        <v>0</v>
      </c>
      <c r="I992" s="913">
        <f t="shared" ca="1" si="170"/>
        <v>0</v>
      </c>
      <c r="J992" s="995">
        <f t="shared" ca="1" si="176"/>
        <v>0</v>
      </c>
      <c r="K992" s="913">
        <f t="shared" ca="1" si="171"/>
        <v>0</v>
      </c>
      <c r="L992" s="995">
        <f t="shared" ca="1" si="177"/>
        <v>0</v>
      </c>
      <c r="M992" s="913">
        <f t="shared" ca="1" si="172"/>
        <v>0</v>
      </c>
      <c r="N992" s="996">
        <f t="shared" ca="1" si="173"/>
        <v>0</v>
      </c>
      <c r="O992" s="997">
        <f t="shared" ca="1" si="174"/>
        <v>0</v>
      </c>
      <c r="P992" s="1015" t="str">
        <f ca="1">IF($C992="","",INDEX(NVLSX!$N$2:$N$6941,MATCH($C992,NVLSX!$E$2:$E$6941,0)))</f>
        <v/>
      </c>
      <c r="Q992" s="1016" t="str">
        <f ca="1">IF($R992="","",IF(XKNVLSX!$X$1="",IF($P992=$V$7,$P992, IF(COUNTIFS($C$2:$C991,$C992,$E$2:$E991,$E992)&gt;=1,"",$P992)),     IF(AND(IFERROR(SEARCH($R992,XKNVLSX!$X$1,1),0)&gt;=1,$P992=$V$7),$P992, IF(OR($R992&lt;&gt;IF(IFERROR(SEARCH($R992,XKNVLSX!$X$1,1),0)&gt;=1,$R992,XKNVLSX!$X$1),COUNTIFS($C$2:$C991,$C992,$E$2:$E991,$E992,$Q$2:$Q991,$P992)&gt;=1),"",$P992))))</f>
        <v/>
      </c>
      <c r="R992" s="1017" t="str">
        <f ca="1">IF($A992="","",IFERROR(INDEX(TinhGia!$BF$10:$BF$81,MATCH($A992,TinhGia!$B$10:$B$81,0)),""))</f>
        <v/>
      </c>
      <c r="S992" s="1012" t="str">
        <f ca="1">IF($A992="","",IF(OR(IFERROR(SEARCH($R992,XKNVLSX!$X$1,1),0)&gt;=1,XKNVLSX!$X$1=""),$S$2,""))</f>
        <v/>
      </c>
      <c r="T992" s="1018" t="str">
        <f ca="1">IF($C992="","", IF(OR($P992=$V$1,$P992=$V$7,COUNTIFS($C$3:$C992,$C992,$E$3:$E992,$E992)&lt;=1),$P992,""    ))</f>
        <v/>
      </c>
      <c r="U992" s="1019" t="str">
        <f ca="1">IF(AND($P992=$V$2,COUNTIFS($C$3:$C992,$C992,$E$3:$E992,$E992,$G$3:$G992,$G992)&lt;=1),$P992,"")</f>
        <v/>
      </c>
    </row>
    <row r="993" spans="1:21">
      <c r="A993" s="991" t="str">
        <f ca="1">IFERROR(IF(COUNTIF($A$3:A992,A992)&lt; INDEX(TinhGia!$BH$10:$BH$81,MATCH($A992,TinhGia!$B$10:$B$81,0)),$A992,INDEX(TinhGia!$B$10:$B$81,MATCH($A992,TinhGia!$B$10:$B$81,0)+1)),"")</f>
        <v/>
      </c>
      <c r="B993" s="525" t="str">
        <f ca="1">IF(OR(A993="",A993=0),"",IF(COUNTIF($A$2:A993,$A993)=1,ROW(MauKoXoa!$C$108),$B992+1))</f>
        <v/>
      </c>
      <c r="C993" s="992" t="str">
        <f t="shared" ca="1" si="165"/>
        <v/>
      </c>
      <c r="D993" s="993" t="str">
        <f t="shared" ca="1" si="166"/>
        <v/>
      </c>
      <c r="E993" s="993" t="str">
        <f t="shared" ca="1" si="167"/>
        <v/>
      </c>
      <c r="F993" s="992" t="str">
        <f t="shared" ca="1" si="175"/>
        <v/>
      </c>
      <c r="G993" s="994">
        <f t="shared" ca="1" si="168"/>
        <v>0</v>
      </c>
      <c r="H993" s="913">
        <f t="shared" ca="1" si="169"/>
        <v>0</v>
      </c>
      <c r="I993" s="913">
        <f t="shared" ca="1" si="170"/>
        <v>0</v>
      </c>
      <c r="J993" s="995">
        <f t="shared" ca="1" si="176"/>
        <v>0</v>
      </c>
      <c r="K993" s="913">
        <f t="shared" ca="1" si="171"/>
        <v>0</v>
      </c>
      <c r="L993" s="995">
        <f t="shared" ca="1" si="177"/>
        <v>0</v>
      </c>
      <c r="M993" s="913">
        <f t="shared" ca="1" si="172"/>
        <v>0</v>
      </c>
      <c r="N993" s="996">
        <f t="shared" ca="1" si="173"/>
        <v>0</v>
      </c>
      <c r="O993" s="997">
        <f t="shared" ca="1" si="174"/>
        <v>0</v>
      </c>
      <c r="P993" s="1015" t="str">
        <f ca="1">IF($C993="","",INDEX(NVLSX!$N$2:$N$6941,MATCH($C993,NVLSX!$E$2:$E$6941,0)))</f>
        <v/>
      </c>
      <c r="Q993" s="1016" t="str">
        <f ca="1">IF($R993="","",IF(XKNVLSX!$X$1="",IF($P993=$V$7,$P993, IF(COUNTIFS($C$2:$C992,$C993,$E$2:$E992,$E993)&gt;=1,"",$P993)),     IF(AND(IFERROR(SEARCH($R993,XKNVLSX!$X$1,1),0)&gt;=1,$P993=$V$7),$P993, IF(OR($R993&lt;&gt;IF(IFERROR(SEARCH($R993,XKNVLSX!$X$1,1),0)&gt;=1,$R993,XKNVLSX!$X$1),COUNTIFS($C$2:$C992,$C993,$E$2:$E992,$E993,$Q$2:$Q992,$P993)&gt;=1),"",$P993))))</f>
        <v/>
      </c>
      <c r="R993" s="1017" t="str">
        <f ca="1">IF($A993="","",IFERROR(INDEX(TinhGia!$BF$10:$BF$81,MATCH($A993,TinhGia!$B$10:$B$81,0)),""))</f>
        <v/>
      </c>
      <c r="S993" s="1012" t="str">
        <f ca="1">IF($A993="","",IF(OR(IFERROR(SEARCH($R993,XKNVLSX!$X$1,1),0)&gt;=1,XKNVLSX!$X$1=""),$S$2,""))</f>
        <v/>
      </c>
      <c r="T993" s="1018" t="str">
        <f ca="1">IF($C993="","", IF(OR($P993=$V$1,$P993=$V$7,COUNTIFS($C$3:$C993,$C993,$E$3:$E993,$E993)&lt;=1),$P993,""    ))</f>
        <v/>
      </c>
      <c r="U993" s="1019" t="str">
        <f ca="1">IF(AND($P993=$V$2,COUNTIFS($C$3:$C993,$C993,$E$3:$E993,$E993,$G$3:$G993,$G993)&lt;=1),$P993,"")</f>
        <v/>
      </c>
    </row>
    <row r="994" spans="1:21">
      <c r="A994" s="991" t="str">
        <f ca="1">IFERROR(IF(COUNTIF($A$3:A993,A993)&lt; INDEX(TinhGia!$BH$10:$BH$81,MATCH($A993,TinhGia!$B$10:$B$81,0)),$A993,INDEX(TinhGia!$B$10:$B$81,MATCH($A993,TinhGia!$B$10:$B$81,0)+1)),"")</f>
        <v/>
      </c>
      <c r="B994" s="525" t="str">
        <f ca="1">IF(OR(A994="",A994=0),"",IF(COUNTIF($A$2:A994,$A994)=1,ROW(MauKoXoa!$C$108),$B993+1))</f>
        <v/>
      </c>
      <c r="C994" s="992" t="str">
        <f t="shared" ca="1" si="165"/>
        <v/>
      </c>
      <c r="D994" s="993" t="str">
        <f t="shared" ca="1" si="166"/>
        <v/>
      </c>
      <c r="E994" s="993" t="str">
        <f t="shared" ca="1" si="167"/>
        <v/>
      </c>
      <c r="F994" s="992" t="str">
        <f t="shared" ca="1" si="175"/>
        <v/>
      </c>
      <c r="G994" s="994">
        <f t="shared" ca="1" si="168"/>
        <v>0</v>
      </c>
      <c r="H994" s="913">
        <f t="shared" ca="1" si="169"/>
        <v>0</v>
      </c>
      <c r="I994" s="913">
        <f t="shared" ca="1" si="170"/>
        <v>0</v>
      </c>
      <c r="J994" s="995">
        <f t="shared" ca="1" si="176"/>
        <v>0</v>
      </c>
      <c r="K994" s="913">
        <f t="shared" ca="1" si="171"/>
        <v>0</v>
      </c>
      <c r="L994" s="995">
        <f t="shared" ca="1" si="177"/>
        <v>0</v>
      </c>
      <c r="M994" s="913">
        <f t="shared" ca="1" si="172"/>
        <v>0</v>
      </c>
      <c r="N994" s="996">
        <f t="shared" ca="1" si="173"/>
        <v>0</v>
      </c>
      <c r="O994" s="997">
        <f t="shared" ca="1" si="174"/>
        <v>0</v>
      </c>
      <c r="P994" s="1015" t="str">
        <f ca="1">IF($C994="","",INDEX(NVLSX!$N$2:$N$6941,MATCH($C994,NVLSX!$E$2:$E$6941,0)))</f>
        <v/>
      </c>
      <c r="Q994" s="1016" t="str">
        <f ca="1">IF($R994="","",IF(XKNVLSX!$X$1="",IF($P994=$V$7,$P994, IF(COUNTIFS($C$2:$C993,$C994,$E$2:$E993,$E994)&gt;=1,"",$P994)),     IF(AND(IFERROR(SEARCH($R994,XKNVLSX!$X$1,1),0)&gt;=1,$P994=$V$7),$P994, IF(OR($R994&lt;&gt;IF(IFERROR(SEARCH($R994,XKNVLSX!$X$1,1),0)&gt;=1,$R994,XKNVLSX!$X$1),COUNTIFS($C$2:$C993,$C994,$E$2:$E993,$E994,$Q$2:$Q993,$P994)&gt;=1),"",$P994))))</f>
        <v/>
      </c>
      <c r="R994" s="1017" t="str">
        <f ca="1">IF($A994="","",IFERROR(INDEX(TinhGia!$BF$10:$BF$81,MATCH($A994,TinhGia!$B$10:$B$81,0)),""))</f>
        <v/>
      </c>
      <c r="S994" s="1012" t="str">
        <f ca="1">IF($A994="","",IF(OR(IFERROR(SEARCH($R994,XKNVLSX!$X$1,1),0)&gt;=1,XKNVLSX!$X$1=""),$S$2,""))</f>
        <v/>
      </c>
      <c r="T994" s="1018" t="str">
        <f ca="1">IF($C994="","", IF(OR($P994=$V$1,$P994=$V$7,COUNTIFS($C$3:$C994,$C994,$E$3:$E994,$E994)&lt;=1),$P994,""    ))</f>
        <v/>
      </c>
      <c r="U994" s="1019" t="str">
        <f ca="1">IF(AND($P994=$V$2,COUNTIFS($C$3:$C994,$C994,$E$3:$E994,$E994,$G$3:$G994,$G994)&lt;=1),$P994,"")</f>
        <v/>
      </c>
    </row>
    <row r="995" spans="1:21">
      <c r="A995" s="991" t="str">
        <f ca="1">IFERROR(IF(COUNTIF($A$3:A994,A994)&lt; INDEX(TinhGia!$BH$10:$BH$81,MATCH($A994,TinhGia!$B$10:$B$81,0)),$A994,INDEX(TinhGia!$B$10:$B$81,MATCH($A994,TinhGia!$B$10:$B$81,0)+1)),"")</f>
        <v/>
      </c>
      <c r="B995" s="525" t="str">
        <f ca="1">IF(OR(A995="",A995=0),"",IF(COUNTIF($A$2:A995,$A995)=1,ROW(MauKoXoa!$C$108),$B994+1))</f>
        <v/>
      </c>
      <c r="C995" s="992" t="str">
        <f t="shared" ca="1" si="165"/>
        <v/>
      </c>
      <c r="D995" s="993" t="str">
        <f t="shared" ca="1" si="166"/>
        <v/>
      </c>
      <c r="E995" s="993" t="str">
        <f t="shared" ca="1" si="167"/>
        <v/>
      </c>
      <c r="F995" s="992" t="str">
        <f t="shared" ca="1" si="175"/>
        <v/>
      </c>
      <c r="G995" s="994">
        <f t="shared" ca="1" si="168"/>
        <v>0</v>
      </c>
      <c r="H995" s="913">
        <f t="shared" ca="1" si="169"/>
        <v>0</v>
      </c>
      <c r="I995" s="913">
        <f t="shared" ca="1" si="170"/>
        <v>0</v>
      </c>
      <c r="J995" s="995">
        <f t="shared" ca="1" si="176"/>
        <v>0</v>
      </c>
      <c r="K995" s="913">
        <f t="shared" ca="1" si="171"/>
        <v>0</v>
      </c>
      <c r="L995" s="995">
        <f t="shared" ca="1" si="177"/>
        <v>0</v>
      </c>
      <c r="M995" s="913">
        <f t="shared" ca="1" si="172"/>
        <v>0</v>
      </c>
      <c r="N995" s="996">
        <f t="shared" ca="1" si="173"/>
        <v>0</v>
      </c>
      <c r="O995" s="997">
        <f t="shared" ca="1" si="174"/>
        <v>0</v>
      </c>
      <c r="P995" s="1015" t="str">
        <f ca="1">IF($C995="","",INDEX(NVLSX!$N$2:$N$6941,MATCH($C995,NVLSX!$E$2:$E$6941,0)))</f>
        <v/>
      </c>
      <c r="Q995" s="1016" t="str">
        <f ca="1">IF($R995="","",IF(XKNVLSX!$X$1="",IF($P995=$V$7,$P995, IF(COUNTIFS($C$2:$C994,$C995,$E$2:$E994,$E995)&gt;=1,"",$P995)),     IF(AND(IFERROR(SEARCH($R995,XKNVLSX!$X$1,1),0)&gt;=1,$P995=$V$7),$P995, IF(OR($R995&lt;&gt;IF(IFERROR(SEARCH($R995,XKNVLSX!$X$1,1),0)&gt;=1,$R995,XKNVLSX!$X$1),COUNTIFS($C$2:$C994,$C995,$E$2:$E994,$E995,$Q$2:$Q994,$P995)&gt;=1),"",$P995))))</f>
        <v/>
      </c>
      <c r="R995" s="1017" t="str">
        <f ca="1">IF($A995="","",IFERROR(INDEX(TinhGia!$BF$10:$BF$81,MATCH($A995,TinhGia!$B$10:$B$81,0)),""))</f>
        <v/>
      </c>
      <c r="S995" s="1012" t="str">
        <f ca="1">IF($A995="","",IF(OR(IFERROR(SEARCH($R995,XKNVLSX!$X$1,1),0)&gt;=1,XKNVLSX!$X$1=""),$S$2,""))</f>
        <v/>
      </c>
      <c r="T995" s="1018" t="str">
        <f ca="1">IF($C995="","", IF(OR($P995=$V$1,$P995=$V$7,COUNTIFS($C$3:$C995,$C995,$E$3:$E995,$E995)&lt;=1),$P995,""    ))</f>
        <v/>
      </c>
      <c r="U995" s="1019" t="str">
        <f ca="1">IF(AND($P995=$V$2,COUNTIFS($C$3:$C995,$C995,$E$3:$E995,$E995,$G$3:$G995,$G995)&lt;=1),$P995,"")</f>
        <v/>
      </c>
    </row>
    <row r="996" spans="1:21">
      <c r="A996" s="991" t="str">
        <f ca="1">IFERROR(IF(COUNTIF($A$3:A995,A995)&lt; INDEX(TinhGia!$BH$10:$BH$81,MATCH($A995,TinhGia!$B$10:$B$81,0)),$A995,INDEX(TinhGia!$B$10:$B$81,MATCH($A995,TinhGia!$B$10:$B$81,0)+1)),"")</f>
        <v/>
      </c>
      <c r="B996" s="525" t="str">
        <f ca="1">IF(OR(A996="",A996=0),"",IF(COUNTIF($A$2:A996,$A996)=1,ROW(MauKoXoa!$C$108),$B995+1))</f>
        <v/>
      </c>
      <c r="C996" s="992" t="str">
        <f t="shared" ca="1" si="165"/>
        <v/>
      </c>
      <c r="D996" s="993" t="str">
        <f t="shared" ca="1" si="166"/>
        <v/>
      </c>
      <c r="E996" s="993" t="str">
        <f t="shared" ca="1" si="167"/>
        <v/>
      </c>
      <c r="F996" s="992" t="str">
        <f t="shared" ca="1" si="175"/>
        <v/>
      </c>
      <c r="G996" s="994">
        <f t="shared" ca="1" si="168"/>
        <v>0</v>
      </c>
      <c r="H996" s="913">
        <f t="shared" ca="1" si="169"/>
        <v>0</v>
      </c>
      <c r="I996" s="913">
        <f t="shared" ca="1" si="170"/>
        <v>0</v>
      </c>
      <c r="J996" s="995">
        <f t="shared" ca="1" si="176"/>
        <v>0</v>
      </c>
      <c r="K996" s="913">
        <f t="shared" ca="1" si="171"/>
        <v>0</v>
      </c>
      <c r="L996" s="995">
        <f t="shared" ca="1" si="177"/>
        <v>0</v>
      </c>
      <c r="M996" s="913">
        <f t="shared" ca="1" si="172"/>
        <v>0</v>
      </c>
      <c r="N996" s="996">
        <f t="shared" ca="1" si="173"/>
        <v>0</v>
      </c>
      <c r="O996" s="997">
        <f t="shared" ca="1" si="174"/>
        <v>0</v>
      </c>
      <c r="P996" s="1015" t="str">
        <f ca="1">IF($C996="","",INDEX(NVLSX!$N$2:$N$6941,MATCH($C996,NVLSX!$E$2:$E$6941,0)))</f>
        <v/>
      </c>
      <c r="Q996" s="1016" t="str">
        <f ca="1">IF($R996="","",IF(XKNVLSX!$X$1="",IF($P996=$V$7,$P996, IF(COUNTIFS($C$2:$C995,$C996,$E$2:$E995,$E996)&gt;=1,"",$P996)),     IF(AND(IFERROR(SEARCH($R996,XKNVLSX!$X$1,1),0)&gt;=1,$P996=$V$7),$P996, IF(OR($R996&lt;&gt;IF(IFERROR(SEARCH($R996,XKNVLSX!$X$1,1),0)&gt;=1,$R996,XKNVLSX!$X$1),COUNTIFS($C$2:$C995,$C996,$E$2:$E995,$E996,$Q$2:$Q995,$P996)&gt;=1),"",$P996))))</f>
        <v/>
      </c>
      <c r="R996" s="1017" t="str">
        <f ca="1">IF($A996="","",IFERROR(INDEX(TinhGia!$BF$10:$BF$81,MATCH($A996,TinhGia!$B$10:$B$81,0)),""))</f>
        <v/>
      </c>
      <c r="S996" s="1012" t="str">
        <f ca="1">IF($A996="","",IF(OR(IFERROR(SEARCH($R996,XKNVLSX!$X$1,1),0)&gt;=1,XKNVLSX!$X$1=""),$S$2,""))</f>
        <v/>
      </c>
      <c r="T996" s="1018" t="str">
        <f ca="1">IF($C996="","", IF(OR($P996=$V$1,$P996=$V$7,COUNTIFS($C$3:$C996,$C996,$E$3:$E996,$E996)&lt;=1),$P996,""    ))</f>
        <v/>
      </c>
      <c r="U996" s="1019" t="str">
        <f ca="1">IF(AND($P996=$V$2,COUNTIFS($C$3:$C996,$C996,$E$3:$E996,$E996,$G$3:$G996,$G996)&lt;=1),$P996,"")</f>
        <v/>
      </c>
    </row>
    <row r="997" spans="1:21">
      <c r="A997" s="991" t="str">
        <f ca="1">IFERROR(IF(COUNTIF($A$3:A996,A996)&lt; INDEX(TinhGia!$BH$10:$BH$81,MATCH($A996,TinhGia!$B$10:$B$81,0)),$A996,INDEX(TinhGia!$B$10:$B$81,MATCH($A996,TinhGia!$B$10:$B$81,0)+1)),"")</f>
        <v/>
      </c>
      <c r="B997" s="525" t="str">
        <f ca="1">IF(OR(A997="",A997=0),"",IF(COUNTIF($A$2:A997,$A997)=1,ROW(MauKoXoa!$C$108),$B996+1))</f>
        <v/>
      </c>
      <c r="C997" s="992" t="str">
        <f t="shared" ca="1" si="165"/>
        <v/>
      </c>
      <c r="D997" s="993" t="str">
        <f t="shared" ca="1" si="166"/>
        <v/>
      </c>
      <c r="E997" s="993" t="str">
        <f t="shared" ca="1" si="167"/>
        <v/>
      </c>
      <c r="F997" s="992" t="str">
        <f t="shared" ca="1" si="175"/>
        <v/>
      </c>
      <c r="G997" s="994">
        <f t="shared" ca="1" si="168"/>
        <v>0</v>
      </c>
      <c r="H997" s="913">
        <f t="shared" ca="1" si="169"/>
        <v>0</v>
      </c>
      <c r="I997" s="913">
        <f t="shared" ca="1" si="170"/>
        <v>0</v>
      </c>
      <c r="J997" s="995">
        <f t="shared" ca="1" si="176"/>
        <v>0</v>
      </c>
      <c r="K997" s="913">
        <f t="shared" ca="1" si="171"/>
        <v>0</v>
      </c>
      <c r="L997" s="995">
        <f t="shared" ca="1" si="177"/>
        <v>0</v>
      </c>
      <c r="M997" s="913">
        <f t="shared" ca="1" si="172"/>
        <v>0</v>
      </c>
      <c r="N997" s="996">
        <f t="shared" ca="1" si="173"/>
        <v>0</v>
      </c>
      <c r="O997" s="997">
        <f t="shared" ca="1" si="174"/>
        <v>0</v>
      </c>
      <c r="P997" s="1015" t="str">
        <f ca="1">IF($C997="","",INDEX(NVLSX!$N$2:$N$6941,MATCH($C997,NVLSX!$E$2:$E$6941,0)))</f>
        <v/>
      </c>
      <c r="Q997" s="1016" t="str">
        <f ca="1">IF($R997="","",IF(XKNVLSX!$X$1="",IF($P997=$V$7,$P997, IF(COUNTIFS($C$2:$C996,$C997,$E$2:$E996,$E997)&gt;=1,"",$P997)),     IF(AND(IFERROR(SEARCH($R997,XKNVLSX!$X$1,1),0)&gt;=1,$P997=$V$7),$P997, IF(OR($R997&lt;&gt;IF(IFERROR(SEARCH($R997,XKNVLSX!$X$1,1),0)&gt;=1,$R997,XKNVLSX!$X$1),COUNTIFS($C$2:$C996,$C997,$E$2:$E996,$E997,$Q$2:$Q996,$P997)&gt;=1),"",$P997))))</f>
        <v/>
      </c>
      <c r="R997" s="1017" t="str">
        <f ca="1">IF($A997="","",IFERROR(INDEX(TinhGia!$BF$10:$BF$81,MATCH($A997,TinhGia!$B$10:$B$81,0)),""))</f>
        <v/>
      </c>
      <c r="S997" s="1012" t="str">
        <f ca="1">IF($A997="","",IF(OR(IFERROR(SEARCH($R997,XKNVLSX!$X$1,1),0)&gt;=1,XKNVLSX!$X$1=""),$S$2,""))</f>
        <v/>
      </c>
      <c r="T997" s="1018" t="str">
        <f ca="1">IF($C997="","", IF(OR($P997=$V$1,$P997=$V$7,COUNTIFS($C$3:$C997,$C997,$E$3:$E997,$E997)&lt;=1),$P997,""    ))</f>
        <v/>
      </c>
      <c r="U997" s="1019" t="str">
        <f ca="1">IF(AND($P997=$V$2,COUNTIFS($C$3:$C997,$C997,$E$3:$E997,$E997,$G$3:$G997,$G997)&lt;=1),$P997,"")</f>
        <v/>
      </c>
    </row>
    <row r="998" spans="1:21">
      <c r="A998" s="991" t="str">
        <f ca="1">IFERROR(IF(COUNTIF($A$3:A997,A997)&lt; INDEX(TinhGia!$BH$10:$BH$81,MATCH($A997,TinhGia!$B$10:$B$81,0)),$A997,INDEX(TinhGia!$B$10:$B$81,MATCH($A997,TinhGia!$B$10:$B$81,0)+1)),"")</f>
        <v/>
      </c>
      <c r="B998" s="525" t="str">
        <f ca="1">IF(OR(A998="",A998=0),"",IF(COUNTIF($A$2:A998,$A998)=1,ROW(MauKoXoa!$C$108),$B997+1))</f>
        <v/>
      </c>
      <c r="C998" s="992" t="str">
        <f t="shared" ca="1" si="165"/>
        <v/>
      </c>
      <c r="D998" s="993" t="str">
        <f t="shared" ca="1" si="166"/>
        <v/>
      </c>
      <c r="E998" s="993" t="str">
        <f t="shared" ca="1" si="167"/>
        <v/>
      </c>
      <c r="F998" s="992" t="str">
        <f t="shared" ca="1" si="175"/>
        <v/>
      </c>
      <c r="G998" s="994">
        <f t="shared" ca="1" si="168"/>
        <v>0</v>
      </c>
      <c r="H998" s="913">
        <f t="shared" ca="1" si="169"/>
        <v>0</v>
      </c>
      <c r="I998" s="913">
        <f t="shared" ca="1" si="170"/>
        <v>0</v>
      </c>
      <c r="J998" s="995">
        <f t="shared" ca="1" si="176"/>
        <v>0</v>
      </c>
      <c r="K998" s="913">
        <f t="shared" ca="1" si="171"/>
        <v>0</v>
      </c>
      <c r="L998" s="995">
        <f t="shared" ca="1" si="177"/>
        <v>0</v>
      </c>
      <c r="M998" s="913">
        <f t="shared" ca="1" si="172"/>
        <v>0</v>
      </c>
      <c r="N998" s="996">
        <f t="shared" ca="1" si="173"/>
        <v>0</v>
      </c>
      <c r="O998" s="997">
        <f t="shared" ca="1" si="174"/>
        <v>0</v>
      </c>
      <c r="P998" s="1015" t="str">
        <f ca="1">IF($C998="","",INDEX(NVLSX!$N$2:$N$6941,MATCH($C998,NVLSX!$E$2:$E$6941,0)))</f>
        <v/>
      </c>
      <c r="Q998" s="1016" t="str">
        <f ca="1">IF($R998="","",IF(XKNVLSX!$X$1="",IF($P998=$V$7,$P998, IF(COUNTIFS($C$2:$C997,$C998,$E$2:$E997,$E998)&gt;=1,"",$P998)),     IF(AND(IFERROR(SEARCH($R998,XKNVLSX!$X$1,1),0)&gt;=1,$P998=$V$7),$P998, IF(OR($R998&lt;&gt;IF(IFERROR(SEARCH($R998,XKNVLSX!$X$1,1),0)&gt;=1,$R998,XKNVLSX!$X$1),COUNTIFS($C$2:$C997,$C998,$E$2:$E997,$E998,$Q$2:$Q997,$P998)&gt;=1),"",$P998))))</f>
        <v/>
      </c>
      <c r="R998" s="1017" t="str">
        <f ca="1">IF($A998="","",IFERROR(INDEX(TinhGia!$BF$10:$BF$81,MATCH($A998,TinhGia!$B$10:$B$81,0)),""))</f>
        <v/>
      </c>
      <c r="S998" s="1012" t="str">
        <f ca="1">IF($A998="","",IF(OR(IFERROR(SEARCH($R998,XKNVLSX!$X$1,1),0)&gt;=1,XKNVLSX!$X$1=""),$S$2,""))</f>
        <v/>
      </c>
      <c r="T998" s="1018" t="str">
        <f ca="1">IF($C998="","", IF(OR($P998=$V$1,$P998=$V$7,COUNTIFS($C$3:$C998,$C998,$E$3:$E998,$E998)&lt;=1),$P998,""    ))</f>
        <v/>
      </c>
      <c r="U998" s="1019" t="str">
        <f ca="1">IF(AND($P998=$V$2,COUNTIFS($C$3:$C998,$C998,$E$3:$E998,$E998,$G$3:$G998,$G998)&lt;=1),$P998,"")</f>
        <v/>
      </c>
    </row>
    <row r="999" spans="1:21">
      <c r="A999" s="991" t="str">
        <f ca="1">IFERROR(IF(COUNTIF($A$3:A998,A998)&lt; INDEX(TinhGia!$BH$10:$BH$81,MATCH($A998,TinhGia!$B$10:$B$81,0)),$A998,INDEX(TinhGia!$B$10:$B$81,MATCH($A998,TinhGia!$B$10:$B$81,0)+1)),"")</f>
        <v/>
      </c>
      <c r="B999" s="525" t="str">
        <f ca="1">IF(OR(A999="",A999=0),"",IF(COUNTIF($A$2:A999,$A999)=1,ROW(MauKoXoa!$C$108),$B998+1))</f>
        <v/>
      </c>
      <c r="C999" s="992" t="str">
        <f t="shared" ca="1" si="165"/>
        <v/>
      </c>
      <c r="D999" s="993" t="str">
        <f t="shared" ca="1" si="166"/>
        <v/>
      </c>
      <c r="E999" s="993" t="str">
        <f t="shared" ca="1" si="167"/>
        <v/>
      </c>
      <c r="F999" s="992" t="str">
        <f t="shared" ca="1" si="175"/>
        <v/>
      </c>
      <c r="G999" s="994">
        <f t="shared" ca="1" si="168"/>
        <v>0</v>
      </c>
      <c r="H999" s="913">
        <f t="shared" ca="1" si="169"/>
        <v>0</v>
      </c>
      <c r="I999" s="913">
        <f t="shared" ca="1" si="170"/>
        <v>0</v>
      </c>
      <c r="J999" s="995">
        <f t="shared" ca="1" si="176"/>
        <v>0</v>
      </c>
      <c r="K999" s="913">
        <f t="shared" ca="1" si="171"/>
        <v>0</v>
      </c>
      <c r="L999" s="995">
        <f t="shared" ca="1" si="177"/>
        <v>0</v>
      </c>
      <c r="M999" s="913">
        <f t="shared" ca="1" si="172"/>
        <v>0</v>
      </c>
      <c r="N999" s="996">
        <f t="shared" ca="1" si="173"/>
        <v>0</v>
      </c>
      <c r="O999" s="997">
        <f t="shared" ca="1" si="174"/>
        <v>0</v>
      </c>
      <c r="P999" s="1015" t="str">
        <f ca="1">IF($C999="","",INDEX(NVLSX!$N$2:$N$6941,MATCH($C999,NVLSX!$E$2:$E$6941,0)))</f>
        <v/>
      </c>
      <c r="Q999" s="1016" t="str">
        <f ca="1">IF($R999="","",IF(XKNVLSX!$X$1="",IF($P999=$V$7,$P999, IF(COUNTIFS($C$2:$C998,$C999,$E$2:$E998,$E999)&gt;=1,"",$P999)),     IF(AND(IFERROR(SEARCH($R999,XKNVLSX!$X$1,1),0)&gt;=1,$P999=$V$7),$P999, IF(OR($R999&lt;&gt;IF(IFERROR(SEARCH($R999,XKNVLSX!$X$1,1),0)&gt;=1,$R999,XKNVLSX!$X$1),COUNTIFS($C$2:$C998,$C999,$E$2:$E998,$E999,$Q$2:$Q998,$P999)&gt;=1),"",$P999))))</f>
        <v/>
      </c>
      <c r="R999" s="1017" t="str">
        <f ca="1">IF($A999="","",IFERROR(INDEX(TinhGia!$BF$10:$BF$81,MATCH($A999,TinhGia!$B$10:$B$81,0)),""))</f>
        <v/>
      </c>
      <c r="S999" s="1012" t="str">
        <f ca="1">IF($A999="","",IF(OR(IFERROR(SEARCH($R999,XKNVLSX!$X$1,1),0)&gt;=1,XKNVLSX!$X$1=""),$S$2,""))</f>
        <v/>
      </c>
      <c r="T999" s="1018" t="str">
        <f ca="1">IF($C999="","", IF(OR($P999=$V$1,$P999=$V$7,COUNTIFS($C$3:$C999,$C999,$E$3:$E999,$E999)&lt;=1),$P999,""    ))</f>
        <v/>
      </c>
      <c r="U999" s="1019" t="str">
        <f ca="1">IF(AND($P999=$V$2,COUNTIFS($C$3:$C999,$C999,$E$3:$E999,$E999,$G$3:$G999,$G999)&lt;=1),$P999,"")</f>
        <v/>
      </c>
    </row>
    <row r="1000" spans="1:21">
      <c r="A1000" s="991" t="str">
        <f ca="1">IFERROR(IF(COUNTIF($A$3:A999,A999)&lt; INDEX(TinhGia!$BH$10:$BH$81,MATCH($A999,TinhGia!$B$10:$B$81,0)),$A999,INDEX(TinhGia!$B$10:$B$81,MATCH($A999,TinhGia!$B$10:$B$81,0)+1)),"")</f>
        <v/>
      </c>
      <c r="B1000" s="525" t="str">
        <f ca="1">IF(OR(A1000="",A1000=0),"",IF(COUNTIF($A$2:A1000,$A1000)=1,ROW(MauKoXoa!$C$108),$B999+1))</f>
        <v/>
      </c>
      <c r="C1000" s="992" t="str">
        <f t="shared" ca="1" si="165"/>
        <v/>
      </c>
      <c r="D1000" s="993" t="str">
        <f t="shared" ca="1" si="166"/>
        <v/>
      </c>
      <c r="E1000" s="993" t="str">
        <f t="shared" ca="1" si="167"/>
        <v/>
      </c>
      <c r="F1000" s="992" t="str">
        <f t="shared" ca="1" si="175"/>
        <v/>
      </c>
      <c r="G1000" s="994">
        <f t="shared" ca="1" si="168"/>
        <v>0</v>
      </c>
      <c r="H1000" s="913">
        <f t="shared" ca="1" si="169"/>
        <v>0</v>
      </c>
      <c r="I1000" s="913">
        <f t="shared" ca="1" si="170"/>
        <v>0</v>
      </c>
      <c r="J1000" s="995">
        <f t="shared" ca="1" si="176"/>
        <v>0</v>
      </c>
      <c r="K1000" s="913">
        <f t="shared" ca="1" si="171"/>
        <v>0</v>
      </c>
      <c r="L1000" s="995">
        <f t="shared" ca="1" si="177"/>
        <v>0</v>
      </c>
      <c r="M1000" s="913">
        <f t="shared" ca="1" si="172"/>
        <v>0</v>
      </c>
      <c r="N1000" s="996">
        <f t="shared" ca="1" si="173"/>
        <v>0</v>
      </c>
      <c r="O1000" s="997">
        <f t="shared" ca="1" si="174"/>
        <v>0</v>
      </c>
      <c r="P1000" s="1015" t="str">
        <f ca="1">IF($C1000="","",INDEX(NVLSX!$N$2:$N$6941,MATCH($C1000,NVLSX!$E$2:$E$6941,0)))</f>
        <v/>
      </c>
      <c r="Q1000" s="1016" t="str">
        <f ca="1">IF($R1000="","",IF(XKNVLSX!$X$1="",IF($P1000=$V$7,$P1000, IF(COUNTIFS($C$2:$C999,$C1000,$E$2:$E999,$E1000)&gt;=1,"",$P1000)),     IF(AND(IFERROR(SEARCH($R1000,XKNVLSX!$X$1,1),0)&gt;=1,$P1000=$V$7),$P1000, IF(OR($R1000&lt;&gt;IF(IFERROR(SEARCH($R1000,XKNVLSX!$X$1,1),0)&gt;=1,$R1000,XKNVLSX!$X$1),COUNTIFS($C$2:$C999,$C1000,$E$2:$E999,$E1000,$Q$2:$Q999,$P1000)&gt;=1),"",$P1000))))</f>
        <v/>
      </c>
      <c r="R1000" s="1017" t="str">
        <f ca="1">IF($A1000="","",IFERROR(INDEX(TinhGia!$BF$10:$BF$81,MATCH($A1000,TinhGia!$B$10:$B$81,0)),""))</f>
        <v/>
      </c>
      <c r="S1000" s="1012" t="str">
        <f ca="1">IF($A1000="","",IF(OR(IFERROR(SEARCH($R1000,XKNVLSX!$X$1,1),0)&gt;=1,XKNVLSX!$X$1=""),$S$2,""))</f>
        <v/>
      </c>
      <c r="T1000" s="1018" t="str">
        <f ca="1">IF($C1000="","", IF(OR($P1000=$V$1,$P1000=$V$7,COUNTIFS($C$3:$C1000,$C1000,$E$3:$E1000,$E1000)&lt;=1),$P1000,""    ))</f>
        <v/>
      </c>
      <c r="U1000" s="1019" t="str">
        <f ca="1">IF(AND($P1000=$V$2,COUNTIFS($C$3:$C1000,$C1000,$E$3:$E1000,$E1000,$G$3:$G1000,$G1000)&lt;=1),$P1000,"")</f>
        <v/>
      </c>
    </row>
    <row r="1001" spans="1:21">
      <c r="A1001" s="991" t="str">
        <f ca="1">IFERROR(IF(COUNTIF($A$3:A1000,A1000)&lt; INDEX(TinhGia!$BH$10:$BH$81,MATCH($A1000,TinhGia!$B$10:$B$81,0)),$A1000,INDEX(TinhGia!$B$10:$B$81,MATCH($A1000,TinhGia!$B$10:$B$81,0)+1)),"")</f>
        <v/>
      </c>
      <c r="B1001" s="525" t="str">
        <f ca="1">IF(OR(A1001="",A1001=0),"",IF(COUNTIF($A$2:A1001,$A1001)=1,ROW(MauKoXoa!$C$108),$B1000+1))</f>
        <v/>
      </c>
      <c r="C1001" s="992" t="str">
        <f t="shared" ca="1" si="165"/>
        <v/>
      </c>
      <c r="D1001" s="993" t="str">
        <f t="shared" ca="1" si="166"/>
        <v/>
      </c>
      <c r="E1001" s="993" t="str">
        <f t="shared" ca="1" si="167"/>
        <v/>
      </c>
      <c r="F1001" s="992" t="str">
        <f t="shared" ca="1" si="175"/>
        <v/>
      </c>
      <c r="G1001" s="994">
        <f t="shared" ca="1" si="168"/>
        <v>0</v>
      </c>
      <c r="H1001" s="913">
        <f t="shared" ca="1" si="169"/>
        <v>0</v>
      </c>
      <c r="I1001" s="913">
        <f t="shared" ca="1" si="170"/>
        <v>0</v>
      </c>
      <c r="J1001" s="995">
        <f t="shared" ca="1" si="176"/>
        <v>0</v>
      </c>
      <c r="K1001" s="913">
        <f t="shared" ca="1" si="171"/>
        <v>0</v>
      </c>
      <c r="L1001" s="995">
        <f t="shared" ca="1" si="177"/>
        <v>0</v>
      </c>
      <c r="M1001" s="913">
        <f t="shared" ca="1" si="172"/>
        <v>0</v>
      </c>
      <c r="N1001" s="996">
        <f t="shared" ca="1" si="173"/>
        <v>0</v>
      </c>
      <c r="O1001" s="997">
        <f t="shared" ca="1" si="174"/>
        <v>0</v>
      </c>
      <c r="P1001" s="1015" t="str">
        <f ca="1">IF($C1001="","",INDEX(NVLSX!$N$2:$N$6941,MATCH($C1001,NVLSX!$E$2:$E$6941,0)))</f>
        <v/>
      </c>
      <c r="Q1001" s="1016" t="str">
        <f ca="1">IF($R1001="","",IF(XKNVLSX!$X$1="",IF($P1001=$V$7,$P1001, IF(COUNTIFS($C$2:$C1000,$C1001,$E$2:$E1000,$E1001)&gt;=1,"",$P1001)),     IF(AND(IFERROR(SEARCH($R1001,XKNVLSX!$X$1,1),0)&gt;=1,$P1001=$V$7),$P1001, IF(OR($R1001&lt;&gt;IF(IFERROR(SEARCH($R1001,XKNVLSX!$X$1,1),0)&gt;=1,$R1001,XKNVLSX!$X$1),COUNTIFS($C$2:$C1000,$C1001,$E$2:$E1000,$E1001,$Q$2:$Q1000,$P1001)&gt;=1),"",$P1001))))</f>
        <v/>
      </c>
      <c r="R1001" s="1017" t="str">
        <f ca="1">IF($A1001="","",IFERROR(INDEX(TinhGia!$BF$10:$BF$81,MATCH($A1001,TinhGia!$B$10:$B$81,0)),""))</f>
        <v/>
      </c>
      <c r="S1001" s="1012" t="str">
        <f ca="1">IF($A1001="","",IF(OR(IFERROR(SEARCH($R1001,XKNVLSX!$X$1,1),0)&gt;=1,XKNVLSX!$X$1=""),$S$2,""))</f>
        <v/>
      </c>
      <c r="T1001" s="1018" t="str">
        <f ca="1">IF($C1001="","", IF(OR($P1001=$V$1,$P1001=$V$7,COUNTIFS($C$3:$C1001,$C1001,$E$3:$E1001,$E1001)&lt;=1),$P1001,""    ))</f>
        <v/>
      </c>
      <c r="U1001" s="1019" t="str">
        <f ca="1">IF(AND($P1001=$V$2,COUNTIFS($C$3:$C1001,$C1001,$E$3:$E1001,$E1001,$G$3:$G1001,$G1001)&lt;=1),$P1001,"")</f>
        <v/>
      </c>
    </row>
    <row r="1002" spans="1:21">
      <c r="A1002" s="991" t="str">
        <f ca="1">IFERROR(IF(COUNTIF($A$3:A1001,A1001)&lt; INDEX(TinhGia!$BH$10:$BH$81,MATCH($A1001,TinhGia!$B$10:$B$81,0)),$A1001,INDEX(TinhGia!$B$10:$B$81,MATCH($A1001,TinhGia!$B$10:$B$81,0)+1)),"")</f>
        <v/>
      </c>
      <c r="B1002" s="525" t="str">
        <f ca="1">IF(OR(A1002="",A1002=0),"",IF(COUNTIF($A$2:A1002,$A1002)=1,ROW(MauKoXoa!$C$108),$B1001+1))</f>
        <v/>
      </c>
      <c r="C1002" s="992" t="str">
        <f t="shared" ca="1" si="165"/>
        <v/>
      </c>
      <c r="D1002" s="993" t="str">
        <f t="shared" ca="1" si="166"/>
        <v/>
      </c>
      <c r="E1002" s="993" t="str">
        <f t="shared" ca="1" si="167"/>
        <v/>
      </c>
      <c r="F1002" s="992" t="str">
        <f t="shared" ca="1" si="175"/>
        <v/>
      </c>
      <c r="G1002" s="994">
        <f t="shared" ca="1" si="168"/>
        <v>0</v>
      </c>
      <c r="H1002" s="913">
        <f t="shared" ca="1" si="169"/>
        <v>0</v>
      </c>
      <c r="I1002" s="913">
        <f t="shared" ca="1" si="170"/>
        <v>0</v>
      </c>
      <c r="J1002" s="995">
        <f t="shared" ca="1" si="176"/>
        <v>0</v>
      </c>
      <c r="K1002" s="913">
        <f t="shared" ca="1" si="171"/>
        <v>0</v>
      </c>
      <c r="L1002" s="995">
        <f t="shared" ca="1" si="177"/>
        <v>0</v>
      </c>
      <c r="M1002" s="913">
        <f t="shared" ca="1" si="172"/>
        <v>0</v>
      </c>
      <c r="N1002" s="996">
        <f t="shared" ca="1" si="173"/>
        <v>0</v>
      </c>
      <c r="O1002" s="997">
        <f t="shared" ca="1" si="174"/>
        <v>0</v>
      </c>
      <c r="P1002" s="1015" t="str">
        <f ca="1">IF($C1002="","",INDEX(NVLSX!$N$2:$N$6941,MATCH($C1002,NVLSX!$E$2:$E$6941,0)))</f>
        <v/>
      </c>
      <c r="Q1002" s="1016" t="str">
        <f ca="1">IF($R1002="","",IF(XKNVLSX!$X$1="",IF($P1002=$V$7,$P1002, IF(COUNTIFS($C$2:$C1001,$C1002,$E$2:$E1001,$E1002)&gt;=1,"",$P1002)),     IF(AND(IFERROR(SEARCH($R1002,XKNVLSX!$X$1,1),0)&gt;=1,$P1002=$V$7),$P1002, IF(OR($R1002&lt;&gt;IF(IFERROR(SEARCH($R1002,XKNVLSX!$X$1,1),0)&gt;=1,$R1002,XKNVLSX!$X$1),COUNTIFS($C$2:$C1001,$C1002,$E$2:$E1001,$E1002,$Q$2:$Q1001,$P1002)&gt;=1),"",$P1002))))</f>
        <v/>
      </c>
      <c r="R1002" s="1017" t="str">
        <f ca="1">IF($A1002="","",IFERROR(INDEX(TinhGia!$BF$10:$BF$81,MATCH($A1002,TinhGia!$B$10:$B$81,0)),""))</f>
        <v/>
      </c>
      <c r="S1002" s="1012" t="str">
        <f ca="1">IF($A1002="","",IF(OR(IFERROR(SEARCH($R1002,XKNVLSX!$X$1,1),0)&gt;=1,XKNVLSX!$X$1=""),$S$2,""))</f>
        <v/>
      </c>
      <c r="T1002" s="1018" t="str">
        <f ca="1">IF($C1002="","", IF(OR($P1002=$V$1,$P1002=$V$7,COUNTIFS($C$3:$C1002,$C1002,$E$3:$E1002,$E1002)&lt;=1),$P1002,""    ))</f>
        <v/>
      </c>
      <c r="U1002" s="1019" t="str">
        <f ca="1">IF(AND($P1002=$V$2,COUNTIFS($C$3:$C1002,$C1002,$E$3:$E1002,$E1002,$G$3:$G1002,$G1002)&lt;=1),$P1002,"")</f>
        <v/>
      </c>
    </row>
    <row r="1003" spans="1:21">
      <c r="A1003" s="991" t="str">
        <f ca="1">IFERROR(IF(COUNTIF($A$3:A1002,A1002)&lt; INDEX(TinhGia!$BH$10:$BH$81,MATCH($A1002,TinhGia!$B$10:$B$81,0)),$A1002,INDEX(TinhGia!$B$10:$B$81,MATCH($A1002,TinhGia!$B$10:$B$81,0)+1)),"")</f>
        <v/>
      </c>
      <c r="B1003" s="525" t="str">
        <f ca="1">IF(OR(A1003="",A1003=0),"",IF(COUNTIF($A$2:A1003,$A1003)=1,ROW(MauKoXoa!$C$108),$B1002+1))</f>
        <v/>
      </c>
      <c r="C1003" s="992" t="str">
        <f t="shared" ca="1" si="165"/>
        <v/>
      </c>
      <c r="D1003" s="993" t="str">
        <f t="shared" ca="1" si="166"/>
        <v/>
      </c>
      <c r="E1003" s="993" t="str">
        <f t="shared" ca="1" si="167"/>
        <v/>
      </c>
      <c r="F1003" s="992" t="str">
        <f t="shared" ca="1" si="175"/>
        <v/>
      </c>
      <c r="G1003" s="994">
        <f t="shared" ca="1" si="168"/>
        <v>0</v>
      </c>
      <c r="H1003" s="913">
        <f t="shared" ca="1" si="169"/>
        <v>0</v>
      </c>
      <c r="I1003" s="913">
        <f t="shared" ca="1" si="170"/>
        <v>0</v>
      </c>
      <c r="J1003" s="995">
        <f t="shared" ca="1" si="176"/>
        <v>0</v>
      </c>
      <c r="K1003" s="913">
        <f t="shared" ca="1" si="171"/>
        <v>0</v>
      </c>
      <c r="L1003" s="995">
        <f t="shared" ca="1" si="177"/>
        <v>0</v>
      </c>
      <c r="M1003" s="913">
        <f t="shared" ca="1" si="172"/>
        <v>0</v>
      </c>
      <c r="N1003" s="996">
        <f t="shared" ca="1" si="173"/>
        <v>0</v>
      </c>
      <c r="O1003" s="997">
        <f t="shared" ca="1" si="174"/>
        <v>0</v>
      </c>
      <c r="P1003" s="1015" t="str">
        <f ca="1">IF($C1003="","",INDEX(NVLSX!$N$2:$N$6941,MATCH($C1003,NVLSX!$E$2:$E$6941,0)))</f>
        <v/>
      </c>
      <c r="Q1003" s="1016" t="str">
        <f ca="1">IF($R1003="","",IF(XKNVLSX!$X$1="",IF($P1003=$V$7,$P1003, IF(COUNTIFS($C$2:$C1002,$C1003,$E$2:$E1002,$E1003)&gt;=1,"",$P1003)),     IF(AND(IFERROR(SEARCH($R1003,XKNVLSX!$X$1,1),0)&gt;=1,$P1003=$V$7),$P1003, IF(OR($R1003&lt;&gt;IF(IFERROR(SEARCH($R1003,XKNVLSX!$X$1,1),0)&gt;=1,$R1003,XKNVLSX!$X$1),COUNTIFS($C$2:$C1002,$C1003,$E$2:$E1002,$E1003,$Q$2:$Q1002,$P1003)&gt;=1),"",$P1003))))</f>
        <v/>
      </c>
      <c r="R1003" s="1017" t="str">
        <f ca="1">IF($A1003="","",IFERROR(INDEX(TinhGia!$BF$10:$BF$81,MATCH($A1003,TinhGia!$B$10:$B$81,0)),""))</f>
        <v/>
      </c>
      <c r="S1003" s="1012" t="str">
        <f ca="1">IF($A1003="","",IF(OR(IFERROR(SEARCH($R1003,XKNVLSX!$X$1,1),0)&gt;=1,XKNVLSX!$X$1=""),$S$2,""))</f>
        <v/>
      </c>
      <c r="T1003" s="1018" t="str">
        <f ca="1">IF($C1003="","", IF(OR($P1003=$V$1,$P1003=$V$7,COUNTIFS($C$3:$C1003,$C1003,$E$3:$E1003,$E1003)&lt;=1),$P1003,""    ))</f>
        <v/>
      </c>
      <c r="U1003" s="1019" t="str">
        <f ca="1">IF(AND($P1003=$V$2,COUNTIFS($C$3:$C1003,$C1003,$E$3:$E1003,$E1003,$G$3:$G1003,$G1003)&lt;=1),$P1003,"")</f>
        <v/>
      </c>
    </row>
    <row r="1004" spans="1:21">
      <c r="A1004" s="991" t="str">
        <f ca="1">IFERROR(IF(COUNTIF($A$3:A1003,A1003)&lt; INDEX(TinhGia!$BH$10:$BH$81,MATCH($A1003,TinhGia!$B$10:$B$81,0)),$A1003,INDEX(TinhGia!$B$10:$B$81,MATCH($A1003,TinhGia!$B$10:$B$81,0)+1)),"")</f>
        <v/>
      </c>
      <c r="B1004" s="525" t="str">
        <f ca="1">IF(OR(A1004="",A1004=0),"",IF(COUNTIF($A$2:A1004,$A1004)=1,ROW(MauKoXoa!$C$108),$B1003+1))</f>
        <v/>
      </c>
      <c r="C1004" s="992" t="str">
        <f t="shared" ca="1" si="165"/>
        <v/>
      </c>
      <c r="D1004" s="993" t="str">
        <f t="shared" ca="1" si="166"/>
        <v/>
      </c>
      <c r="E1004" s="993" t="str">
        <f t="shared" ca="1" si="167"/>
        <v/>
      </c>
      <c r="F1004" s="992" t="str">
        <f t="shared" ca="1" si="175"/>
        <v/>
      </c>
      <c r="G1004" s="994">
        <f t="shared" ca="1" si="168"/>
        <v>0</v>
      </c>
      <c r="H1004" s="913">
        <f t="shared" ca="1" si="169"/>
        <v>0</v>
      </c>
      <c r="I1004" s="913">
        <f t="shared" ca="1" si="170"/>
        <v>0</v>
      </c>
      <c r="J1004" s="995">
        <f t="shared" ca="1" si="176"/>
        <v>0</v>
      </c>
      <c r="K1004" s="913">
        <f t="shared" ca="1" si="171"/>
        <v>0</v>
      </c>
      <c r="L1004" s="995">
        <f t="shared" ca="1" si="177"/>
        <v>0</v>
      </c>
      <c r="M1004" s="913">
        <f t="shared" ca="1" si="172"/>
        <v>0</v>
      </c>
      <c r="N1004" s="996">
        <f t="shared" ca="1" si="173"/>
        <v>0</v>
      </c>
      <c r="O1004" s="997">
        <f t="shared" ca="1" si="174"/>
        <v>0</v>
      </c>
      <c r="P1004" s="1015" t="str">
        <f ca="1">IF($C1004="","",INDEX(NVLSX!$N$2:$N$6941,MATCH($C1004,NVLSX!$E$2:$E$6941,0)))</f>
        <v/>
      </c>
      <c r="Q1004" s="1016" t="str">
        <f ca="1">IF($R1004="","",IF(XKNVLSX!$X$1="",IF($P1004=$V$7,$P1004, IF(COUNTIFS($C$2:$C1003,$C1004,$E$2:$E1003,$E1004)&gt;=1,"",$P1004)),     IF(AND(IFERROR(SEARCH($R1004,XKNVLSX!$X$1,1),0)&gt;=1,$P1004=$V$7),$P1004, IF(OR($R1004&lt;&gt;IF(IFERROR(SEARCH($R1004,XKNVLSX!$X$1,1),0)&gt;=1,$R1004,XKNVLSX!$X$1),COUNTIFS($C$2:$C1003,$C1004,$E$2:$E1003,$E1004,$Q$2:$Q1003,$P1004)&gt;=1),"",$P1004))))</f>
        <v/>
      </c>
      <c r="R1004" s="1017" t="str">
        <f ca="1">IF($A1004="","",IFERROR(INDEX(TinhGia!$BF$10:$BF$81,MATCH($A1004,TinhGia!$B$10:$B$81,0)),""))</f>
        <v/>
      </c>
      <c r="S1004" s="1012" t="str">
        <f ca="1">IF($A1004="","",IF(OR(IFERROR(SEARCH($R1004,XKNVLSX!$X$1,1),0)&gt;=1,XKNVLSX!$X$1=""),$S$2,""))</f>
        <v/>
      </c>
      <c r="T1004" s="1018" t="str">
        <f ca="1">IF($C1004="","", IF(OR($P1004=$V$1,$P1004=$V$7,COUNTIFS($C$3:$C1004,$C1004,$E$3:$E1004,$E1004)&lt;=1),$P1004,""    ))</f>
        <v/>
      </c>
      <c r="U1004" s="1019" t="str">
        <f ca="1">IF(AND($P1004=$V$2,COUNTIFS($C$3:$C1004,$C1004,$E$3:$E1004,$E1004,$G$3:$G1004,$G1004)&lt;=1),$P1004,"")</f>
        <v/>
      </c>
    </row>
    <row r="1005" spans="1:21">
      <c r="A1005" s="991" t="str">
        <f ca="1">IFERROR(IF(COUNTIF($A$3:A1004,A1004)&lt; INDEX(TinhGia!$BH$10:$BH$81,MATCH($A1004,TinhGia!$B$10:$B$81,0)),$A1004,INDEX(TinhGia!$B$10:$B$81,MATCH($A1004,TinhGia!$B$10:$B$81,0)+1)),"")</f>
        <v/>
      </c>
      <c r="B1005" s="525" t="str">
        <f ca="1">IF(OR(A1005="",A1005=0),"",IF(COUNTIF($A$2:A1005,$A1005)=1,ROW(MauKoXoa!$C$108),$B1004+1))</f>
        <v/>
      </c>
      <c r="C1005" s="992" t="str">
        <f t="shared" ca="1" si="165"/>
        <v/>
      </c>
      <c r="D1005" s="993" t="str">
        <f t="shared" ca="1" si="166"/>
        <v/>
      </c>
      <c r="E1005" s="993" t="str">
        <f t="shared" ca="1" si="167"/>
        <v/>
      </c>
      <c r="F1005" s="992" t="str">
        <f t="shared" ca="1" si="175"/>
        <v/>
      </c>
      <c r="G1005" s="994">
        <f t="shared" ca="1" si="168"/>
        <v>0</v>
      </c>
      <c r="H1005" s="913">
        <f t="shared" ca="1" si="169"/>
        <v>0</v>
      </c>
      <c r="I1005" s="913">
        <f t="shared" ca="1" si="170"/>
        <v>0</v>
      </c>
      <c r="J1005" s="995">
        <f t="shared" ca="1" si="176"/>
        <v>0</v>
      </c>
      <c r="K1005" s="913">
        <f t="shared" ca="1" si="171"/>
        <v>0</v>
      </c>
      <c r="L1005" s="995">
        <f t="shared" ca="1" si="177"/>
        <v>0</v>
      </c>
      <c r="M1005" s="913">
        <f t="shared" ca="1" si="172"/>
        <v>0</v>
      </c>
      <c r="N1005" s="996">
        <f t="shared" ca="1" si="173"/>
        <v>0</v>
      </c>
      <c r="O1005" s="997">
        <f t="shared" ca="1" si="174"/>
        <v>0</v>
      </c>
      <c r="P1005" s="1015" t="str">
        <f ca="1">IF($C1005="","",INDEX(NVLSX!$N$2:$N$6941,MATCH($C1005,NVLSX!$E$2:$E$6941,0)))</f>
        <v/>
      </c>
      <c r="Q1005" s="1016" t="str">
        <f ca="1">IF($R1005="","",IF(XKNVLSX!$X$1="",IF($P1005=$V$7,$P1005, IF(COUNTIFS($C$2:$C1004,$C1005,$E$2:$E1004,$E1005)&gt;=1,"",$P1005)),     IF(AND(IFERROR(SEARCH($R1005,XKNVLSX!$X$1,1),0)&gt;=1,$P1005=$V$7),$P1005, IF(OR($R1005&lt;&gt;IF(IFERROR(SEARCH($R1005,XKNVLSX!$X$1,1),0)&gt;=1,$R1005,XKNVLSX!$X$1),COUNTIFS($C$2:$C1004,$C1005,$E$2:$E1004,$E1005,$Q$2:$Q1004,$P1005)&gt;=1),"",$P1005))))</f>
        <v/>
      </c>
      <c r="R1005" s="1017" t="str">
        <f ca="1">IF($A1005="","",IFERROR(INDEX(TinhGia!$BF$10:$BF$81,MATCH($A1005,TinhGia!$B$10:$B$81,0)),""))</f>
        <v/>
      </c>
      <c r="S1005" s="1012" t="str">
        <f ca="1">IF($A1005="","",IF(OR(IFERROR(SEARCH($R1005,XKNVLSX!$X$1,1),0)&gt;=1,XKNVLSX!$X$1=""),$S$2,""))</f>
        <v/>
      </c>
      <c r="T1005" s="1018" t="str">
        <f ca="1">IF($C1005="","", IF(OR($P1005=$V$1,$P1005=$V$7,COUNTIFS($C$3:$C1005,$C1005,$E$3:$E1005,$E1005)&lt;=1),$P1005,""    ))</f>
        <v/>
      </c>
      <c r="U1005" s="1019" t="str">
        <f ca="1">IF(AND($P1005=$V$2,COUNTIFS($C$3:$C1005,$C1005,$E$3:$E1005,$E1005,$G$3:$G1005,$G1005)&lt;=1),$P1005,"")</f>
        <v/>
      </c>
    </row>
    <row r="1006" spans="1:21">
      <c r="A1006" s="991" t="str">
        <f ca="1">IFERROR(IF(COUNTIF($A$3:A1005,A1005)&lt; INDEX(TinhGia!$BH$10:$BH$81,MATCH($A1005,TinhGia!$B$10:$B$81,0)),$A1005,INDEX(TinhGia!$B$10:$B$81,MATCH($A1005,TinhGia!$B$10:$B$81,0)+1)),"")</f>
        <v/>
      </c>
      <c r="B1006" s="525" t="str">
        <f ca="1">IF(OR(A1006="",A1006=0),"",IF(COUNTIF($A$2:A1006,$A1006)=1,ROW(MauKoXoa!$C$108),$B1005+1))</f>
        <v/>
      </c>
      <c r="C1006" s="992" t="str">
        <f t="shared" ca="1" si="165"/>
        <v/>
      </c>
      <c r="D1006" s="993" t="str">
        <f t="shared" ca="1" si="166"/>
        <v/>
      </c>
      <c r="E1006" s="993" t="str">
        <f t="shared" ca="1" si="167"/>
        <v/>
      </c>
      <c r="F1006" s="992" t="str">
        <f t="shared" ca="1" si="175"/>
        <v/>
      </c>
      <c r="G1006" s="994">
        <f t="shared" ca="1" si="168"/>
        <v>0</v>
      </c>
      <c r="H1006" s="913">
        <f t="shared" ca="1" si="169"/>
        <v>0</v>
      </c>
      <c r="I1006" s="913">
        <f t="shared" ca="1" si="170"/>
        <v>0</v>
      </c>
      <c r="J1006" s="995">
        <f t="shared" ca="1" si="176"/>
        <v>0</v>
      </c>
      <c r="K1006" s="913">
        <f t="shared" ca="1" si="171"/>
        <v>0</v>
      </c>
      <c r="L1006" s="995">
        <f t="shared" ca="1" si="177"/>
        <v>0</v>
      </c>
      <c r="M1006" s="913">
        <f t="shared" ca="1" si="172"/>
        <v>0</v>
      </c>
      <c r="N1006" s="996">
        <f t="shared" ca="1" si="173"/>
        <v>0</v>
      </c>
      <c r="O1006" s="997">
        <f t="shared" ca="1" si="174"/>
        <v>0</v>
      </c>
      <c r="P1006" s="1015" t="str">
        <f ca="1">IF($C1006="","",INDEX(NVLSX!$N$2:$N$6941,MATCH($C1006,NVLSX!$E$2:$E$6941,0)))</f>
        <v/>
      </c>
      <c r="Q1006" s="1016" t="str">
        <f ca="1">IF($R1006="","",IF(XKNVLSX!$X$1="",IF($P1006=$V$7,$P1006, IF(COUNTIFS($C$2:$C1005,$C1006,$E$2:$E1005,$E1006)&gt;=1,"",$P1006)),     IF(AND(IFERROR(SEARCH($R1006,XKNVLSX!$X$1,1),0)&gt;=1,$P1006=$V$7),$P1006, IF(OR($R1006&lt;&gt;IF(IFERROR(SEARCH($R1006,XKNVLSX!$X$1,1),0)&gt;=1,$R1006,XKNVLSX!$X$1),COUNTIFS($C$2:$C1005,$C1006,$E$2:$E1005,$E1006,$Q$2:$Q1005,$P1006)&gt;=1),"",$P1006))))</f>
        <v/>
      </c>
      <c r="R1006" s="1017" t="str">
        <f ca="1">IF($A1006="","",IFERROR(INDEX(TinhGia!$BF$10:$BF$81,MATCH($A1006,TinhGia!$B$10:$B$81,0)),""))</f>
        <v/>
      </c>
      <c r="S1006" s="1012" t="str">
        <f ca="1">IF($A1006="","",IF(OR(IFERROR(SEARCH($R1006,XKNVLSX!$X$1,1),0)&gt;=1,XKNVLSX!$X$1=""),$S$2,""))</f>
        <v/>
      </c>
      <c r="T1006" s="1018" t="str">
        <f ca="1">IF($C1006="","", IF(OR($P1006=$V$1,$P1006=$V$7,COUNTIFS($C$3:$C1006,$C1006,$E$3:$E1006,$E1006)&lt;=1),$P1006,""    ))</f>
        <v/>
      </c>
      <c r="U1006" s="1019" t="str">
        <f ca="1">IF(AND($P1006=$V$2,COUNTIFS($C$3:$C1006,$C1006,$E$3:$E1006,$E1006,$G$3:$G1006,$G1006)&lt;=1),$P1006,"")</f>
        <v/>
      </c>
    </row>
    <row r="1007" spans="1:21">
      <c r="A1007" s="991" t="str">
        <f ca="1">IFERROR(IF(COUNTIF($A$3:A1006,A1006)&lt; INDEX(TinhGia!$BH$10:$BH$81,MATCH($A1006,TinhGia!$B$10:$B$81,0)),$A1006,INDEX(TinhGia!$B$10:$B$81,MATCH($A1006,TinhGia!$B$10:$B$81,0)+1)),"")</f>
        <v/>
      </c>
      <c r="B1007" s="525" t="str">
        <f ca="1">IF(OR(A1007="",A1007=0),"",IF(COUNTIF($A$2:A1007,$A1007)=1,ROW(MauKoXoa!$C$108),$B1006+1))</f>
        <v/>
      </c>
      <c r="C1007" s="992" t="str">
        <f t="shared" ca="1" si="165"/>
        <v/>
      </c>
      <c r="D1007" s="993" t="str">
        <f t="shared" ca="1" si="166"/>
        <v/>
      </c>
      <c r="E1007" s="993" t="str">
        <f t="shared" ca="1" si="167"/>
        <v/>
      </c>
      <c r="F1007" s="992" t="str">
        <f t="shared" ca="1" si="175"/>
        <v/>
      </c>
      <c r="G1007" s="994">
        <f t="shared" ca="1" si="168"/>
        <v>0</v>
      </c>
      <c r="H1007" s="913">
        <f t="shared" ca="1" si="169"/>
        <v>0</v>
      </c>
      <c r="I1007" s="913">
        <f t="shared" ca="1" si="170"/>
        <v>0</v>
      </c>
      <c r="J1007" s="995">
        <f t="shared" ca="1" si="176"/>
        <v>0</v>
      </c>
      <c r="K1007" s="913">
        <f t="shared" ca="1" si="171"/>
        <v>0</v>
      </c>
      <c r="L1007" s="995">
        <f t="shared" ca="1" si="177"/>
        <v>0</v>
      </c>
      <c r="M1007" s="913">
        <f t="shared" ca="1" si="172"/>
        <v>0</v>
      </c>
      <c r="N1007" s="996">
        <f t="shared" ca="1" si="173"/>
        <v>0</v>
      </c>
      <c r="O1007" s="997">
        <f t="shared" ca="1" si="174"/>
        <v>0</v>
      </c>
      <c r="P1007" s="1015" t="str">
        <f ca="1">IF($C1007="","",INDEX(NVLSX!$N$2:$N$6941,MATCH($C1007,NVLSX!$E$2:$E$6941,0)))</f>
        <v/>
      </c>
      <c r="Q1007" s="1016" t="str">
        <f ca="1">IF($R1007="","",IF(XKNVLSX!$X$1="",IF($P1007=$V$7,$P1007, IF(COUNTIFS($C$2:$C1006,$C1007,$E$2:$E1006,$E1007)&gt;=1,"",$P1007)),     IF(AND(IFERROR(SEARCH($R1007,XKNVLSX!$X$1,1),0)&gt;=1,$P1007=$V$7),$P1007, IF(OR($R1007&lt;&gt;IF(IFERROR(SEARCH($R1007,XKNVLSX!$X$1,1),0)&gt;=1,$R1007,XKNVLSX!$X$1),COUNTIFS($C$2:$C1006,$C1007,$E$2:$E1006,$E1007,$Q$2:$Q1006,$P1007)&gt;=1),"",$P1007))))</f>
        <v/>
      </c>
      <c r="R1007" s="1017" t="str">
        <f ca="1">IF($A1007="","",IFERROR(INDEX(TinhGia!$BF$10:$BF$81,MATCH($A1007,TinhGia!$B$10:$B$81,0)),""))</f>
        <v/>
      </c>
      <c r="S1007" s="1012" t="str">
        <f ca="1">IF($A1007="","",IF(OR(IFERROR(SEARCH($R1007,XKNVLSX!$X$1,1),0)&gt;=1,XKNVLSX!$X$1=""),$S$2,""))</f>
        <v/>
      </c>
      <c r="T1007" s="1018" t="str">
        <f ca="1">IF($C1007="","", IF(OR($P1007=$V$1,$P1007=$V$7,COUNTIFS($C$3:$C1007,$C1007,$E$3:$E1007,$E1007)&lt;=1),$P1007,""    ))</f>
        <v/>
      </c>
      <c r="U1007" s="1019" t="str">
        <f ca="1">IF(AND($P1007=$V$2,COUNTIFS($C$3:$C1007,$C1007,$E$3:$E1007,$E1007,$G$3:$G1007,$G1007)&lt;=1),$P1007,"")</f>
        <v/>
      </c>
    </row>
    <row r="1008" spans="1:21">
      <c r="A1008" s="991" t="str">
        <f ca="1">IFERROR(IF(COUNTIF($A$3:A1007,A1007)&lt; INDEX(TinhGia!$BH$10:$BH$81,MATCH($A1007,TinhGia!$B$10:$B$81,0)),$A1007,INDEX(TinhGia!$B$10:$B$81,MATCH($A1007,TinhGia!$B$10:$B$81,0)+1)),"")</f>
        <v/>
      </c>
      <c r="B1008" s="525" t="str">
        <f ca="1">IF(OR(A1008="",A1008=0),"",IF(COUNTIF($A$2:A1008,$A1008)=1,ROW(MauKoXoa!$C$108),$B1007+1))</f>
        <v/>
      </c>
      <c r="C1008" s="992" t="str">
        <f t="shared" ca="1" si="165"/>
        <v/>
      </c>
      <c r="D1008" s="993" t="str">
        <f t="shared" ca="1" si="166"/>
        <v/>
      </c>
      <c r="E1008" s="993" t="str">
        <f t="shared" ca="1" si="167"/>
        <v/>
      </c>
      <c r="F1008" s="992" t="str">
        <f t="shared" ca="1" si="175"/>
        <v/>
      </c>
      <c r="G1008" s="994">
        <f t="shared" ca="1" si="168"/>
        <v>0</v>
      </c>
      <c r="H1008" s="913">
        <f t="shared" ca="1" si="169"/>
        <v>0</v>
      </c>
      <c r="I1008" s="913">
        <f t="shared" ca="1" si="170"/>
        <v>0</v>
      </c>
      <c r="J1008" s="995">
        <f t="shared" ca="1" si="176"/>
        <v>0</v>
      </c>
      <c r="K1008" s="913">
        <f t="shared" ca="1" si="171"/>
        <v>0</v>
      </c>
      <c r="L1008" s="995">
        <f t="shared" ca="1" si="177"/>
        <v>0</v>
      </c>
      <c r="M1008" s="913">
        <f t="shared" ca="1" si="172"/>
        <v>0</v>
      </c>
      <c r="N1008" s="996">
        <f t="shared" ca="1" si="173"/>
        <v>0</v>
      </c>
      <c r="O1008" s="997">
        <f t="shared" ca="1" si="174"/>
        <v>0</v>
      </c>
      <c r="P1008" s="1015" t="str">
        <f ca="1">IF($C1008="","",INDEX(NVLSX!$N$2:$N$6941,MATCH($C1008,NVLSX!$E$2:$E$6941,0)))</f>
        <v/>
      </c>
      <c r="Q1008" s="1016" t="str">
        <f ca="1">IF($R1008="","",IF(XKNVLSX!$X$1="",IF($P1008=$V$7,$P1008, IF(COUNTIFS($C$2:$C1007,$C1008,$E$2:$E1007,$E1008)&gt;=1,"",$P1008)),     IF(AND(IFERROR(SEARCH($R1008,XKNVLSX!$X$1,1),0)&gt;=1,$P1008=$V$7),$P1008, IF(OR($R1008&lt;&gt;IF(IFERROR(SEARCH($R1008,XKNVLSX!$X$1,1),0)&gt;=1,$R1008,XKNVLSX!$X$1),COUNTIFS($C$2:$C1007,$C1008,$E$2:$E1007,$E1008,$Q$2:$Q1007,$P1008)&gt;=1),"",$P1008))))</f>
        <v/>
      </c>
      <c r="R1008" s="1017" t="str">
        <f ca="1">IF($A1008="","",IFERROR(INDEX(TinhGia!$BF$10:$BF$81,MATCH($A1008,TinhGia!$B$10:$B$81,0)),""))</f>
        <v/>
      </c>
      <c r="S1008" s="1012" t="str">
        <f ca="1">IF($A1008="","",IF(OR(IFERROR(SEARCH($R1008,XKNVLSX!$X$1,1),0)&gt;=1,XKNVLSX!$X$1=""),$S$2,""))</f>
        <v/>
      </c>
      <c r="T1008" s="1018" t="str">
        <f ca="1">IF($C1008="","", IF(OR($P1008=$V$1,$P1008=$V$7,COUNTIFS($C$3:$C1008,$C1008,$E$3:$E1008,$E1008)&lt;=1),$P1008,""    ))</f>
        <v/>
      </c>
      <c r="U1008" s="1019" t="str">
        <f ca="1">IF(AND($P1008=$V$2,COUNTIFS($C$3:$C1008,$C1008,$E$3:$E1008,$E1008,$G$3:$G1008,$G1008)&lt;=1),$P1008,"")</f>
        <v/>
      </c>
    </row>
    <row r="1009" spans="1:21">
      <c r="A1009" s="991" t="str">
        <f ca="1">IFERROR(IF(COUNTIF($A$3:A1008,A1008)&lt; INDEX(TinhGia!$BH$10:$BH$81,MATCH($A1008,TinhGia!$B$10:$B$81,0)),$A1008,INDEX(TinhGia!$B$10:$B$81,MATCH($A1008,TinhGia!$B$10:$B$81,0)+1)),"")</f>
        <v/>
      </c>
      <c r="B1009" s="525" t="str">
        <f ca="1">IF(OR(A1009="",A1009=0),"",IF(COUNTIF($A$2:A1009,$A1009)=1,ROW(MauKoXoa!$C$108),$B1008+1))</f>
        <v/>
      </c>
      <c r="C1009" s="992" t="str">
        <f t="shared" ca="1" si="165"/>
        <v/>
      </c>
      <c r="D1009" s="993" t="str">
        <f t="shared" ca="1" si="166"/>
        <v/>
      </c>
      <c r="E1009" s="993" t="str">
        <f t="shared" ca="1" si="167"/>
        <v/>
      </c>
      <c r="F1009" s="992" t="str">
        <f t="shared" ca="1" si="175"/>
        <v/>
      </c>
      <c r="G1009" s="994">
        <f t="shared" ca="1" si="168"/>
        <v>0</v>
      </c>
      <c r="H1009" s="913">
        <f t="shared" ca="1" si="169"/>
        <v>0</v>
      </c>
      <c r="I1009" s="913">
        <f t="shared" ca="1" si="170"/>
        <v>0</v>
      </c>
      <c r="J1009" s="995">
        <f t="shared" ca="1" si="176"/>
        <v>0</v>
      </c>
      <c r="K1009" s="913">
        <f t="shared" ca="1" si="171"/>
        <v>0</v>
      </c>
      <c r="L1009" s="995">
        <f t="shared" ca="1" si="177"/>
        <v>0</v>
      </c>
      <c r="M1009" s="913">
        <f t="shared" ca="1" si="172"/>
        <v>0</v>
      </c>
      <c r="N1009" s="996">
        <f t="shared" ca="1" si="173"/>
        <v>0</v>
      </c>
      <c r="O1009" s="997">
        <f t="shared" ca="1" si="174"/>
        <v>0</v>
      </c>
      <c r="P1009" s="1015" t="str">
        <f ca="1">IF($C1009="","",INDEX(NVLSX!$N$2:$N$6941,MATCH($C1009,NVLSX!$E$2:$E$6941,0)))</f>
        <v/>
      </c>
      <c r="Q1009" s="1016" t="str">
        <f ca="1">IF($R1009="","",IF(XKNVLSX!$X$1="",IF($P1009=$V$7,$P1009, IF(COUNTIFS($C$2:$C1008,$C1009,$E$2:$E1008,$E1009)&gt;=1,"",$P1009)),     IF(AND(IFERROR(SEARCH($R1009,XKNVLSX!$X$1,1),0)&gt;=1,$P1009=$V$7),$P1009, IF(OR($R1009&lt;&gt;IF(IFERROR(SEARCH($R1009,XKNVLSX!$X$1,1),0)&gt;=1,$R1009,XKNVLSX!$X$1),COUNTIFS($C$2:$C1008,$C1009,$E$2:$E1008,$E1009,$Q$2:$Q1008,$P1009)&gt;=1),"",$P1009))))</f>
        <v/>
      </c>
      <c r="R1009" s="1017" t="str">
        <f ca="1">IF($A1009="","",IFERROR(INDEX(TinhGia!$BF$10:$BF$81,MATCH($A1009,TinhGia!$B$10:$B$81,0)),""))</f>
        <v/>
      </c>
      <c r="S1009" s="1012" t="str">
        <f ca="1">IF($A1009="","",IF(OR(IFERROR(SEARCH($R1009,XKNVLSX!$X$1,1),0)&gt;=1,XKNVLSX!$X$1=""),$S$2,""))</f>
        <v/>
      </c>
      <c r="T1009" s="1018" t="str">
        <f ca="1">IF($C1009="","", IF(OR($P1009=$V$1,$P1009=$V$7,COUNTIFS($C$3:$C1009,$C1009,$E$3:$E1009,$E1009)&lt;=1),$P1009,""    ))</f>
        <v/>
      </c>
      <c r="U1009" s="1019" t="str">
        <f ca="1">IF(AND($P1009=$V$2,COUNTIFS($C$3:$C1009,$C1009,$E$3:$E1009,$E1009,$G$3:$G1009,$G1009)&lt;=1),$P1009,"")</f>
        <v/>
      </c>
    </row>
    <row r="1010" spans="1:21">
      <c r="A1010" s="991" t="str">
        <f ca="1">IFERROR(IF(COUNTIF($A$3:A1009,A1009)&lt; INDEX(TinhGia!$BH$10:$BH$81,MATCH($A1009,TinhGia!$B$10:$B$81,0)),$A1009,INDEX(TinhGia!$B$10:$B$81,MATCH($A1009,TinhGia!$B$10:$B$81,0)+1)),"")</f>
        <v/>
      </c>
      <c r="B1010" s="525" t="str">
        <f ca="1">IF(OR(A1010="",A1010=0),"",IF(COUNTIF($A$2:A1010,$A1010)=1,ROW(MauKoXoa!$C$108),$B1009+1))</f>
        <v/>
      </c>
      <c r="C1010" s="992" t="str">
        <f t="shared" ca="1" si="165"/>
        <v/>
      </c>
      <c r="D1010" s="993" t="str">
        <f t="shared" ca="1" si="166"/>
        <v/>
      </c>
      <c r="E1010" s="993" t="str">
        <f t="shared" ca="1" si="167"/>
        <v/>
      </c>
      <c r="F1010" s="992" t="str">
        <f t="shared" ca="1" si="175"/>
        <v/>
      </c>
      <c r="G1010" s="994">
        <f t="shared" ca="1" si="168"/>
        <v>0</v>
      </c>
      <c r="H1010" s="913">
        <f t="shared" ca="1" si="169"/>
        <v>0</v>
      </c>
      <c r="I1010" s="913">
        <f t="shared" ca="1" si="170"/>
        <v>0</v>
      </c>
      <c r="J1010" s="995">
        <f t="shared" ca="1" si="176"/>
        <v>0</v>
      </c>
      <c r="K1010" s="913">
        <f t="shared" ca="1" si="171"/>
        <v>0</v>
      </c>
      <c r="L1010" s="995">
        <f t="shared" ca="1" si="177"/>
        <v>0</v>
      </c>
      <c r="M1010" s="913">
        <f t="shared" ca="1" si="172"/>
        <v>0</v>
      </c>
      <c r="N1010" s="996">
        <f t="shared" ca="1" si="173"/>
        <v>0</v>
      </c>
      <c r="O1010" s="997">
        <f t="shared" ca="1" si="174"/>
        <v>0</v>
      </c>
      <c r="P1010" s="1015" t="str">
        <f ca="1">IF($C1010="","",INDEX(NVLSX!$N$2:$N$6941,MATCH($C1010,NVLSX!$E$2:$E$6941,0)))</f>
        <v/>
      </c>
      <c r="Q1010" s="1016" t="str">
        <f ca="1">IF($R1010="","",IF(XKNVLSX!$X$1="",IF($P1010=$V$7,$P1010, IF(COUNTIFS($C$2:$C1009,$C1010,$E$2:$E1009,$E1010)&gt;=1,"",$P1010)),     IF(AND(IFERROR(SEARCH($R1010,XKNVLSX!$X$1,1),0)&gt;=1,$P1010=$V$7),$P1010, IF(OR($R1010&lt;&gt;IF(IFERROR(SEARCH($R1010,XKNVLSX!$X$1,1),0)&gt;=1,$R1010,XKNVLSX!$X$1),COUNTIFS($C$2:$C1009,$C1010,$E$2:$E1009,$E1010,$Q$2:$Q1009,$P1010)&gt;=1),"",$P1010))))</f>
        <v/>
      </c>
      <c r="R1010" s="1017" t="str">
        <f ca="1">IF($A1010="","",IFERROR(INDEX(TinhGia!$BF$10:$BF$81,MATCH($A1010,TinhGia!$B$10:$B$81,0)),""))</f>
        <v/>
      </c>
      <c r="S1010" s="1012" t="str">
        <f ca="1">IF($A1010="","",IF(OR(IFERROR(SEARCH($R1010,XKNVLSX!$X$1,1),0)&gt;=1,XKNVLSX!$X$1=""),$S$2,""))</f>
        <v/>
      </c>
      <c r="T1010" s="1018" t="str">
        <f ca="1">IF($C1010="","", IF(OR($P1010=$V$1,$P1010=$V$7,COUNTIFS($C$3:$C1010,$C1010,$E$3:$E1010,$E1010)&lt;=1),$P1010,""    ))</f>
        <v/>
      </c>
      <c r="U1010" s="1019" t="str">
        <f ca="1">IF(AND($P1010=$V$2,COUNTIFS($C$3:$C1010,$C1010,$E$3:$E1010,$E1010,$G$3:$G1010,$G1010)&lt;=1),$P1010,"")</f>
        <v/>
      </c>
    </row>
    <row r="1011" spans="1:21">
      <c r="A1011" s="991" t="str">
        <f ca="1">IFERROR(IF(COUNTIF($A$3:A1010,A1010)&lt; INDEX(TinhGia!$BH$10:$BH$81,MATCH($A1010,TinhGia!$B$10:$B$81,0)),$A1010,INDEX(TinhGia!$B$10:$B$81,MATCH($A1010,TinhGia!$B$10:$B$81,0)+1)),"")</f>
        <v/>
      </c>
      <c r="B1011" s="525" t="str">
        <f ca="1">IF(OR(A1011="",A1011=0),"",IF(COUNTIF($A$2:A1011,$A1011)=1,ROW(MauKoXoa!$C$108),$B1010+1))</f>
        <v/>
      </c>
      <c r="C1011" s="992" t="str">
        <f t="shared" ca="1" si="165"/>
        <v/>
      </c>
      <c r="D1011" s="993" t="str">
        <f t="shared" ca="1" si="166"/>
        <v/>
      </c>
      <c r="E1011" s="993" t="str">
        <f t="shared" ca="1" si="167"/>
        <v/>
      </c>
      <c r="F1011" s="992" t="str">
        <f t="shared" ca="1" si="175"/>
        <v/>
      </c>
      <c r="G1011" s="994">
        <f t="shared" ca="1" si="168"/>
        <v>0</v>
      </c>
      <c r="H1011" s="913">
        <f t="shared" ca="1" si="169"/>
        <v>0</v>
      </c>
      <c r="I1011" s="913">
        <f t="shared" ca="1" si="170"/>
        <v>0</v>
      </c>
      <c r="J1011" s="995">
        <f t="shared" ca="1" si="176"/>
        <v>0</v>
      </c>
      <c r="K1011" s="913">
        <f t="shared" ca="1" si="171"/>
        <v>0</v>
      </c>
      <c r="L1011" s="995">
        <f t="shared" ca="1" si="177"/>
        <v>0</v>
      </c>
      <c r="M1011" s="913">
        <f t="shared" ca="1" si="172"/>
        <v>0</v>
      </c>
      <c r="N1011" s="996">
        <f t="shared" ca="1" si="173"/>
        <v>0</v>
      </c>
      <c r="O1011" s="997">
        <f t="shared" ca="1" si="174"/>
        <v>0</v>
      </c>
      <c r="P1011" s="1015" t="str">
        <f ca="1">IF($C1011="","",INDEX(NVLSX!$N$2:$N$6941,MATCH($C1011,NVLSX!$E$2:$E$6941,0)))</f>
        <v/>
      </c>
      <c r="Q1011" s="1016" t="str">
        <f ca="1">IF($R1011="","",IF(XKNVLSX!$X$1="",IF($P1011=$V$7,$P1011, IF(COUNTIFS($C$2:$C1010,$C1011,$E$2:$E1010,$E1011)&gt;=1,"",$P1011)),     IF(AND(IFERROR(SEARCH($R1011,XKNVLSX!$X$1,1),0)&gt;=1,$P1011=$V$7),$P1011, IF(OR($R1011&lt;&gt;IF(IFERROR(SEARCH($R1011,XKNVLSX!$X$1,1),0)&gt;=1,$R1011,XKNVLSX!$X$1),COUNTIFS($C$2:$C1010,$C1011,$E$2:$E1010,$E1011,$Q$2:$Q1010,$P1011)&gt;=1),"",$P1011))))</f>
        <v/>
      </c>
      <c r="R1011" s="1017" t="str">
        <f ca="1">IF($A1011="","",IFERROR(INDEX(TinhGia!$BF$10:$BF$81,MATCH($A1011,TinhGia!$B$10:$B$81,0)),""))</f>
        <v/>
      </c>
      <c r="S1011" s="1012" t="str">
        <f ca="1">IF($A1011="","",IF(OR(IFERROR(SEARCH($R1011,XKNVLSX!$X$1,1),0)&gt;=1,XKNVLSX!$X$1=""),$S$2,""))</f>
        <v/>
      </c>
      <c r="T1011" s="1018" t="str">
        <f ca="1">IF($C1011="","", IF(OR($P1011=$V$1,$P1011=$V$7,COUNTIFS($C$3:$C1011,$C1011,$E$3:$E1011,$E1011)&lt;=1),$P1011,""    ))</f>
        <v/>
      </c>
      <c r="U1011" s="1019" t="str">
        <f ca="1">IF(AND($P1011=$V$2,COUNTIFS($C$3:$C1011,$C1011,$E$3:$E1011,$E1011,$G$3:$G1011,$G1011)&lt;=1),$P1011,"")</f>
        <v/>
      </c>
    </row>
    <row r="1012" spans="1:21">
      <c r="A1012" s="991" t="str">
        <f ca="1">IFERROR(IF(COUNTIF($A$3:A1011,A1011)&lt; INDEX(TinhGia!$BH$10:$BH$81,MATCH($A1011,TinhGia!$B$10:$B$81,0)),$A1011,INDEX(TinhGia!$B$10:$B$81,MATCH($A1011,TinhGia!$B$10:$B$81,0)+1)),"")</f>
        <v/>
      </c>
      <c r="B1012" s="525" t="str">
        <f ca="1">IF(OR(A1012="",A1012=0),"",IF(COUNTIF($A$2:A1012,$A1012)=1,ROW(MauKoXoa!$C$108),$B1011+1))</f>
        <v/>
      </c>
      <c r="C1012" s="992" t="str">
        <f t="shared" ca="1" si="165"/>
        <v/>
      </c>
      <c r="D1012" s="993" t="str">
        <f t="shared" ca="1" si="166"/>
        <v/>
      </c>
      <c r="E1012" s="993" t="str">
        <f t="shared" ca="1" si="167"/>
        <v/>
      </c>
      <c r="F1012" s="992" t="str">
        <f t="shared" ca="1" si="175"/>
        <v/>
      </c>
      <c r="G1012" s="994">
        <f t="shared" ca="1" si="168"/>
        <v>0</v>
      </c>
      <c r="H1012" s="913">
        <f t="shared" ca="1" si="169"/>
        <v>0</v>
      </c>
      <c r="I1012" s="913">
        <f t="shared" ca="1" si="170"/>
        <v>0</v>
      </c>
      <c r="J1012" s="995">
        <f t="shared" ca="1" si="176"/>
        <v>0</v>
      </c>
      <c r="K1012" s="913">
        <f t="shared" ca="1" si="171"/>
        <v>0</v>
      </c>
      <c r="L1012" s="995">
        <f t="shared" ca="1" si="177"/>
        <v>0</v>
      </c>
      <c r="M1012" s="913">
        <f t="shared" ca="1" si="172"/>
        <v>0</v>
      </c>
      <c r="N1012" s="996">
        <f t="shared" ca="1" si="173"/>
        <v>0</v>
      </c>
      <c r="O1012" s="997">
        <f t="shared" ca="1" si="174"/>
        <v>0</v>
      </c>
      <c r="P1012" s="1015" t="str">
        <f ca="1">IF($C1012="","",INDEX(NVLSX!$N$2:$N$6941,MATCH($C1012,NVLSX!$E$2:$E$6941,0)))</f>
        <v/>
      </c>
      <c r="Q1012" s="1016" t="str">
        <f ca="1">IF($R1012="","",IF(XKNVLSX!$X$1="",IF($P1012=$V$7,$P1012, IF(COUNTIFS($C$2:$C1011,$C1012,$E$2:$E1011,$E1012)&gt;=1,"",$P1012)),     IF(AND(IFERROR(SEARCH($R1012,XKNVLSX!$X$1,1),0)&gt;=1,$P1012=$V$7),$P1012, IF(OR($R1012&lt;&gt;IF(IFERROR(SEARCH($R1012,XKNVLSX!$X$1,1),0)&gt;=1,$R1012,XKNVLSX!$X$1),COUNTIFS($C$2:$C1011,$C1012,$E$2:$E1011,$E1012,$Q$2:$Q1011,$P1012)&gt;=1),"",$P1012))))</f>
        <v/>
      </c>
      <c r="R1012" s="1017" t="str">
        <f ca="1">IF($A1012="","",IFERROR(INDEX(TinhGia!$BF$10:$BF$81,MATCH($A1012,TinhGia!$B$10:$B$81,0)),""))</f>
        <v/>
      </c>
      <c r="S1012" s="1012" t="str">
        <f ca="1">IF($A1012="","",IF(OR(IFERROR(SEARCH($R1012,XKNVLSX!$X$1,1),0)&gt;=1,XKNVLSX!$X$1=""),$S$2,""))</f>
        <v/>
      </c>
      <c r="T1012" s="1018" t="str">
        <f ca="1">IF($C1012="","", IF(OR($P1012=$V$1,$P1012=$V$7,COUNTIFS($C$3:$C1012,$C1012,$E$3:$E1012,$E1012)&lt;=1),$P1012,""    ))</f>
        <v/>
      </c>
      <c r="U1012" s="1019" t="str">
        <f ca="1">IF(AND($P1012=$V$2,COUNTIFS($C$3:$C1012,$C1012,$E$3:$E1012,$E1012,$G$3:$G1012,$G1012)&lt;=1),$P1012,"")</f>
        <v/>
      </c>
    </row>
    <row r="1013" spans="1:21">
      <c r="A1013" s="991" t="str">
        <f ca="1">IFERROR(IF(COUNTIF($A$3:A1012,A1012)&lt; INDEX(TinhGia!$BH$10:$BH$81,MATCH($A1012,TinhGia!$B$10:$B$81,0)),$A1012,INDEX(TinhGia!$B$10:$B$81,MATCH($A1012,TinhGia!$B$10:$B$81,0)+1)),"")</f>
        <v/>
      </c>
      <c r="B1013" s="525" t="str">
        <f ca="1">IF(OR(A1013="",A1013=0),"",IF(COUNTIF($A$2:A1013,$A1013)=1,ROW(MauKoXoa!$C$108),$B1012+1))</f>
        <v/>
      </c>
      <c r="C1013" s="992" t="str">
        <f t="shared" ca="1" si="165"/>
        <v/>
      </c>
      <c r="D1013" s="993" t="str">
        <f t="shared" ca="1" si="166"/>
        <v/>
      </c>
      <c r="E1013" s="993" t="str">
        <f t="shared" ca="1" si="167"/>
        <v/>
      </c>
      <c r="F1013" s="992" t="str">
        <f t="shared" ca="1" si="175"/>
        <v/>
      </c>
      <c r="G1013" s="994">
        <f t="shared" ca="1" si="168"/>
        <v>0</v>
      </c>
      <c r="H1013" s="913">
        <f t="shared" ca="1" si="169"/>
        <v>0</v>
      </c>
      <c r="I1013" s="913">
        <f t="shared" ca="1" si="170"/>
        <v>0</v>
      </c>
      <c r="J1013" s="995">
        <f t="shared" ca="1" si="176"/>
        <v>0</v>
      </c>
      <c r="K1013" s="913">
        <f t="shared" ca="1" si="171"/>
        <v>0</v>
      </c>
      <c r="L1013" s="995">
        <f t="shared" ca="1" si="177"/>
        <v>0</v>
      </c>
      <c r="M1013" s="913">
        <f t="shared" ca="1" si="172"/>
        <v>0</v>
      </c>
      <c r="N1013" s="996">
        <f t="shared" ca="1" si="173"/>
        <v>0</v>
      </c>
      <c r="O1013" s="997">
        <f t="shared" ca="1" si="174"/>
        <v>0</v>
      </c>
      <c r="P1013" s="1015" t="str">
        <f ca="1">IF($C1013="","",INDEX(NVLSX!$N$2:$N$6941,MATCH($C1013,NVLSX!$E$2:$E$6941,0)))</f>
        <v/>
      </c>
      <c r="Q1013" s="1016" t="str">
        <f ca="1">IF($R1013="","",IF(XKNVLSX!$X$1="",IF($P1013=$V$7,$P1013, IF(COUNTIFS($C$2:$C1012,$C1013,$E$2:$E1012,$E1013)&gt;=1,"",$P1013)),     IF(AND(IFERROR(SEARCH($R1013,XKNVLSX!$X$1,1),0)&gt;=1,$P1013=$V$7),$P1013, IF(OR($R1013&lt;&gt;IF(IFERROR(SEARCH($R1013,XKNVLSX!$X$1,1),0)&gt;=1,$R1013,XKNVLSX!$X$1),COUNTIFS($C$2:$C1012,$C1013,$E$2:$E1012,$E1013,$Q$2:$Q1012,$P1013)&gt;=1),"",$P1013))))</f>
        <v/>
      </c>
      <c r="R1013" s="1017" t="str">
        <f ca="1">IF($A1013="","",IFERROR(INDEX(TinhGia!$BF$10:$BF$81,MATCH($A1013,TinhGia!$B$10:$B$81,0)),""))</f>
        <v/>
      </c>
      <c r="S1013" s="1012" t="str">
        <f ca="1">IF($A1013="","",IF(OR(IFERROR(SEARCH($R1013,XKNVLSX!$X$1,1),0)&gt;=1,XKNVLSX!$X$1=""),$S$2,""))</f>
        <v/>
      </c>
      <c r="T1013" s="1018" t="str">
        <f ca="1">IF($C1013="","", IF(OR($P1013=$V$1,$P1013=$V$7,COUNTIFS($C$3:$C1013,$C1013,$E$3:$E1013,$E1013)&lt;=1),$P1013,""    ))</f>
        <v/>
      </c>
      <c r="U1013" s="1019" t="str">
        <f ca="1">IF(AND($P1013=$V$2,COUNTIFS($C$3:$C1013,$C1013,$E$3:$E1013,$E1013,$G$3:$G1013,$G1013)&lt;=1),$P1013,"")</f>
        <v/>
      </c>
    </row>
    <row r="1014" spans="1:21">
      <c r="A1014" s="991" t="str">
        <f ca="1">IFERROR(IF(COUNTIF($A$3:A1013,A1013)&lt; INDEX(TinhGia!$BH$10:$BH$81,MATCH($A1013,TinhGia!$B$10:$B$81,0)),$A1013,INDEX(TinhGia!$B$10:$B$81,MATCH($A1013,TinhGia!$B$10:$B$81,0)+1)),"")</f>
        <v/>
      </c>
      <c r="B1014" s="525" t="str">
        <f ca="1">IF(OR(A1014="",A1014=0),"",IF(COUNTIF($A$2:A1014,$A1014)=1,ROW(MauKoXoa!$C$108),$B1013+1))</f>
        <v/>
      </c>
      <c r="C1014" s="992" t="str">
        <f t="shared" ca="1" si="165"/>
        <v/>
      </c>
      <c r="D1014" s="993" t="str">
        <f t="shared" ca="1" si="166"/>
        <v/>
      </c>
      <c r="E1014" s="993" t="str">
        <f t="shared" ca="1" si="167"/>
        <v/>
      </c>
      <c r="F1014" s="992" t="str">
        <f t="shared" ca="1" si="175"/>
        <v/>
      </c>
      <c r="G1014" s="994">
        <f t="shared" ca="1" si="168"/>
        <v>0</v>
      </c>
      <c r="H1014" s="913">
        <f t="shared" ca="1" si="169"/>
        <v>0</v>
      </c>
      <c r="I1014" s="913">
        <f t="shared" ca="1" si="170"/>
        <v>0</v>
      </c>
      <c r="J1014" s="995">
        <f t="shared" ca="1" si="176"/>
        <v>0</v>
      </c>
      <c r="K1014" s="913">
        <f t="shared" ca="1" si="171"/>
        <v>0</v>
      </c>
      <c r="L1014" s="995">
        <f t="shared" ca="1" si="177"/>
        <v>0</v>
      </c>
      <c r="M1014" s="913">
        <f t="shared" ca="1" si="172"/>
        <v>0</v>
      </c>
      <c r="N1014" s="996">
        <f t="shared" ca="1" si="173"/>
        <v>0</v>
      </c>
      <c r="O1014" s="997">
        <f t="shared" ca="1" si="174"/>
        <v>0</v>
      </c>
      <c r="P1014" s="1015" t="str">
        <f ca="1">IF($C1014="","",INDEX(NVLSX!$N$2:$N$6941,MATCH($C1014,NVLSX!$E$2:$E$6941,0)))</f>
        <v/>
      </c>
      <c r="Q1014" s="1016" t="str">
        <f ca="1">IF($R1014="","",IF(XKNVLSX!$X$1="",IF($P1014=$V$7,$P1014, IF(COUNTIFS($C$2:$C1013,$C1014,$E$2:$E1013,$E1014)&gt;=1,"",$P1014)),     IF(AND(IFERROR(SEARCH($R1014,XKNVLSX!$X$1,1),0)&gt;=1,$P1014=$V$7),$P1014, IF(OR($R1014&lt;&gt;IF(IFERROR(SEARCH($R1014,XKNVLSX!$X$1,1),0)&gt;=1,$R1014,XKNVLSX!$X$1),COUNTIFS($C$2:$C1013,$C1014,$E$2:$E1013,$E1014,$Q$2:$Q1013,$P1014)&gt;=1),"",$P1014))))</f>
        <v/>
      </c>
      <c r="R1014" s="1017" t="str">
        <f ca="1">IF($A1014="","",IFERROR(INDEX(TinhGia!$BF$10:$BF$81,MATCH($A1014,TinhGia!$B$10:$B$81,0)),""))</f>
        <v/>
      </c>
      <c r="S1014" s="1012" t="str">
        <f ca="1">IF($A1014="","",IF(OR(IFERROR(SEARCH($R1014,XKNVLSX!$X$1,1),0)&gt;=1,XKNVLSX!$X$1=""),$S$2,""))</f>
        <v/>
      </c>
      <c r="T1014" s="1018" t="str">
        <f ca="1">IF($C1014="","", IF(OR($P1014=$V$1,$P1014=$V$7,COUNTIFS($C$3:$C1014,$C1014,$E$3:$E1014,$E1014)&lt;=1),$P1014,""    ))</f>
        <v/>
      </c>
      <c r="U1014" s="1019" t="str">
        <f ca="1">IF(AND($P1014=$V$2,COUNTIFS($C$3:$C1014,$C1014,$E$3:$E1014,$E1014,$G$3:$G1014,$G1014)&lt;=1),$P1014,"")</f>
        <v/>
      </c>
    </row>
    <row r="1015" spans="1:21">
      <c r="A1015" s="991" t="str">
        <f ca="1">IFERROR(IF(COUNTIF($A$3:A1014,A1014)&lt; INDEX(TinhGia!$BH$10:$BH$81,MATCH($A1014,TinhGia!$B$10:$B$81,0)),$A1014,INDEX(TinhGia!$B$10:$B$81,MATCH($A1014,TinhGia!$B$10:$B$81,0)+1)),"")</f>
        <v/>
      </c>
      <c r="B1015" s="525" t="str">
        <f ca="1">IF(OR(A1015="",A1015=0),"",IF(COUNTIF($A$2:A1015,$A1015)=1,ROW(MauKoXoa!$C$108),$B1014+1))</f>
        <v/>
      </c>
      <c r="C1015" s="992" t="str">
        <f t="shared" ca="1" si="165"/>
        <v/>
      </c>
      <c r="D1015" s="993" t="str">
        <f t="shared" ca="1" si="166"/>
        <v/>
      </c>
      <c r="E1015" s="993" t="str">
        <f t="shared" ca="1" si="167"/>
        <v/>
      </c>
      <c r="F1015" s="992" t="str">
        <f t="shared" ca="1" si="175"/>
        <v/>
      </c>
      <c r="G1015" s="994">
        <f t="shared" ca="1" si="168"/>
        <v>0</v>
      </c>
      <c r="H1015" s="913">
        <f t="shared" ca="1" si="169"/>
        <v>0</v>
      </c>
      <c r="I1015" s="913">
        <f t="shared" ca="1" si="170"/>
        <v>0</v>
      </c>
      <c r="J1015" s="995">
        <f t="shared" ca="1" si="176"/>
        <v>0</v>
      </c>
      <c r="K1015" s="913">
        <f t="shared" ca="1" si="171"/>
        <v>0</v>
      </c>
      <c r="L1015" s="995">
        <f t="shared" ca="1" si="177"/>
        <v>0</v>
      </c>
      <c r="M1015" s="913">
        <f t="shared" ca="1" si="172"/>
        <v>0</v>
      </c>
      <c r="N1015" s="996">
        <f t="shared" ca="1" si="173"/>
        <v>0</v>
      </c>
      <c r="O1015" s="997">
        <f t="shared" ca="1" si="174"/>
        <v>0</v>
      </c>
      <c r="P1015" s="1015" t="str">
        <f ca="1">IF($C1015="","",INDEX(NVLSX!$N$2:$N$6941,MATCH($C1015,NVLSX!$E$2:$E$6941,0)))</f>
        <v/>
      </c>
      <c r="Q1015" s="1016" t="str">
        <f ca="1">IF($R1015="","",IF(XKNVLSX!$X$1="",IF($P1015=$V$7,$P1015, IF(COUNTIFS($C$2:$C1014,$C1015,$E$2:$E1014,$E1015)&gt;=1,"",$P1015)),     IF(AND(IFERROR(SEARCH($R1015,XKNVLSX!$X$1,1),0)&gt;=1,$P1015=$V$7),$P1015, IF(OR($R1015&lt;&gt;IF(IFERROR(SEARCH($R1015,XKNVLSX!$X$1,1),0)&gt;=1,$R1015,XKNVLSX!$X$1),COUNTIFS($C$2:$C1014,$C1015,$E$2:$E1014,$E1015,$Q$2:$Q1014,$P1015)&gt;=1),"",$P1015))))</f>
        <v/>
      </c>
      <c r="R1015" s="1017" t="str">
        <f ca="1">IF($A1015="","",IFERROR(INDEX(TinhGia!$BF$10:$BF$81,MATCH($A1015,TinhGia!$B$10:$B$81,0)),""))</f>
        <v/>
      </c>
      <c r="S1015" s="1012" t="str">
        <f ca="1">IF($A1015="","",IF(OR(IFERROR(SEARCH($R1015,XKNVLSX!$X$1,1),0)&gt;=1,XKNVLSX!$X$1=""),$S$2,""))</f>
        <v/>
      </c>
      <c r="T1015" s="1018" t="str">
        <f ca="1">IF($C1015="","", IF(OR($P1015=$V$1,$P1015=$V$7,COUNTIFS($C$3:$C1015,$C1015,$E$3:$E1015,$E1015)&lt;=1),$P1015,""    ))</f>
        <v/>
      </c>
      <c r="U1015" s="1019" t="str">
        <f ca="1">IF(AND($P1015=$V$2,COUNTIFS($C$3:$C1015,$C1015,$E$3:$E1015,$E1015,$G$3:$G1015,$G1015)&lt;=1),$P1015,"")</f>
        <v/>
      </c>
    </row>
    <row r="1016" spans="1:21">
      <c r="A1016" s="991" t="str">
        <f ca="1">IFERROR(IF(COUNTIF($A$3:A1015,A1015)&lt; INDEX(TinhGia!$BH$10:$BH$81,MATCH($A1015,TinhGia!$B$10:$B$81,0)),$A1015,INDEX(TinhGia!$B$10:$B$81,MATCH($A1015,TinhGia!$B$10:$B$81,0)+1)),"")</f>
        <v/>
      </c>
      <c r="B1016" s="525" t="str">
        <f ca="1">IF(OR(A1016="",A1016=0),"",IF(COUNTIF($A$2:A1016,$A1016)=1,ROW(MauKoXoa!$C$108),$B1015+1))</f>
        <v/>
      </c>
      <c r="C1016" s="992" t="str">
        <f t="shared" ca="1" si="165"/>
        <v/>
      </c>
      <c r="D1016" s="993" t="str">
        <f t="shared" ca="1" si="166"/>
        <v/>
      </c>
      <c r="E1016" s="993" t="str">
        <f t="shared" ca="1" si="167"/>
        <v/>
      </c>
      <c r="F1016" s="992" t="str">
        <f t="shared" ca="1" si="175"/>
        <v/>
      </c>
      <c r="G1016" s="994">
        <f t="shared" ca="1" si="168"/>
        <v>0</v>
      </c>
      <c r="H1016" s="913">
        <f t="shared" ca="1" si="169"/>
        <v>0</v>
      </c>
      <c r="I1016" s="913">
        <f t="shared" ca="1" si="170"/>
        <v>0</v>
      </c>
      <c r="J1016" s="995">
        <f t="shared" ca="1" si="176"/>
        <v>0</v>
      </c>
      <c r="K1016" s="913">
        <f t="shared" ca="1" si="171"/>
        <v>0</v>
      </c>
      <c r="L1016" s="995">
        <f t="shared" ca="1" si="177"/>
        <v>0</v>
      </c>
      <c r="M1016" s="913">
        <f t="shared" ca="1" si="172"/>
        <v>0</v>
      </c>
      <c r="N1016" s="996">
        <f t="shared" ca="1" si="173"/>
        <v>0</v>
      </c>
      <c r="O1016" s="997">
        <f t="shared" ca="1" si="174"/>
        <v>0</v>
      </c>
      <c r="P1016" s="1015" t="str">
        <f ca="1">IF($C1016="","",INDEX(NVLSX!$N$2:$N$6941,MATCH($C1016,NVLSX!$E$2:$E$6941,0)))</f>
        <v/>
      </c>
      <c r="Q1016" s="1016" t="str">
        <f ca="1">IF($R1016="","",IF(XKNVLSX!$X$1="",IF($P1016=$V$7,$P1016, IF(COUNTIFS($C$2:$C1015,$C1016,$E$2:$E1015,$E1016)&gt;=1,"",$P1016)),     IF(AND(IFERROR(SEARCH($R1016,XKNVLSX!$X$1,1),0)&gt;=1,$P1016=$V$7),$P1016, IF(OR($R1016&lt;&gt;IF(IFERROR(SEARCH($R1016,XKNVLSX!$X$1,1),0)&gt;=1,$R1016,XKNVLSX!$X$1),COUNTIFS($C$2:$C1015,$C1016,$E$2:$E1015,$E1016,$Q$2:$Q1015,$P1016)&gt;=1),"",$P1016))))</f>
        <v/>
      </c>
      <c r="R1016" s="1017" t="str">
        <f ca="1">IF($A1016="","",IFERROR(INDEX(TinhGia!$BF$10:$BF$81,MATCH($A1016,TinhGia!$B$10:$B$81,0)),""))</f>
        <v/>
      </c>
      <c r="S1016" s="1012" t="str">
        <f ca="1">IF($A1016="","",IF(OR(IFERROR(SEARCH($R1016,XKNVLSX!$X$1,1),0)&gt;=1,XKNVLSX!$X$1=""),$S$2,""))</f>
        <v/>
      </c>
      <c r="T1016" s="1018" t="str">
        <f ca="1">IF($C1016="","", IF(OR($P1016=$V$1,$P1016=$V$7,COUNTIFS($C$3:$C1016,$C1016,$E$3:$E1016,$E1016)&lt;=1),$P1016,""    ))</f>
        <v/>
      </c>
      <c r="U1016" s="1019" t="str">
        <f ca="1">IF(AND($P1016=$V$2,COUNTIFS($C$3:$C1016,$C1016,$E$3:$E1016,$E1016,$G$3:$G1016,$G1016)&lt;=1),$P1016,"")</f>
        <v/>
      </c>
    </row>
    <row r="1017" spans="1:21">
      <c r="A1017" s="991" t="str">
        <f ca="1">IFERROR(IF(COUNTIF($A$3:A1016,A1016)&lt; INDEX(TinhGia!$BH$10:$BH$81,MATCH($A1016,TinhGia!$B$10:$B$81,0)),$A1016,INDEX(TinhGia!$B$10:$B$81,MATCH($A1016,TinhGia!$B$10:$B$81,0)+1)),"")</f>
        <v/>
      </c>
      <c r="B1017" s="525" t="str">
        <f ca="1">IF(OR(A1017="",A1017=0),"",IF(COUNTIF($A$2:A1017,$A1017)=1,ROW(MauKoXoa!$C$108),$B1016+1))</f>
        <v/>
      </c>
      <c r="C1017" s="992" t="str">
        <f t="shared" ca="1" si="165"/>
        <v/>
      </c>
      <c r="D1017" s="993" t="str">
        <f t="shared" ca="1" si="166"/>
        <v/>
      </c>
      <c r="E1017" s="993" t="str">
        <f t="shared" ca="1" si="167"/>
        <v/>
      </c>
      <c r="F1017" s="992" t="str">
        <f t="shared" ca="1" si="175"/>
        <v/>
      </c>
      <c r="G1017" s="994">
        <f t="shared" ca="1" si="168"/>
        <v>0</v>
      </c>
      <c r="H1017" s="913">
        <f t="shared" ca="1" si="169"/>
        <v>0</v>
      </c>
      <c r="I1017" s="913">
        <f t="shared" ca="1" si="170"/>
        <v>0</v>
      </c>
      <c r="J1017" s="995">
        <f t="shared" ca="1" si="176"/>
        <v>0</v>
      </c>
      <c r="K1017" s="913">
        <f t="shared" ca="1" si="171"/>
        <v>0</v>
      </c>
      <c r="L1017" s="995">
        <f t="shared" ca="1" si="177"/>
        <v>0</v>
      </c>
      <c r="M1017" s="913">
        <f t="shared" ca="1" si="172"/>
        <v>0</v>
      </c>
      <c r="N1017" s="996">
        <f t="shared" ca="1" si="173"/>
        <v>0</v>
      </c>
      <c r="O1017" s="997">
        <f t="shared" ca="1" si="174"/>
        <v>0</v>
      </c>
      <c r="P1017" s="1015" t="str">
        <f ca="1">IF($C1017="","",INDEX(NVLSX!$N$2:$N$6941,MATCH($C1017,NVLSX!$E$2:$E$6941,0)))</f>
        <v/>
      </c>
      <c r="Q1017" s="1016" t="str">
        <f ca="1">IF($R1017="","",IF(XKNVLSX!$X$1="",IF($P1017=$V$7,$P1017, IF(COUNTIFS($C$2:$C1016,$C1017,$E$2:$E1016,$E1017)&gt;=1,"",$P1017)),     IF(AND(IFERROR(SEARCH($R1017,XKNVLSX!$X$1,1),0)&gt;=1,$P1017=$V$7),$P1017, IF(OR($R1017&lt;&gt;IF(IFERROR(SEARCH($R1017,XKNVLSX!$X$1,1),0)&gt;=1,$R1017,XKNVLSX!$X$1),COUNTIFS($C$2:$C1016,$C1017,$E$2:$E1016,$E1017,$Q$2:$Q1016,$P1017)&gt;=1),"",$P1017))))</f>
        <v/>
      </c>
      <c r="R1017" s="1017" t="str">
        <f ca="1">IF($A1017="","",IFERROR(INDEX(TinhGia!$BF$10:$BF$81,MATCH($A1017,TinhGia!$B$10:$B$81,0)),""))</f>
        <v/>
      </c>
      <c r="S1017" s="1012" t="str">
        <f ca="1">IF($A1017="","",IF(OR(IFERROR(SEARCH($R1017,XKNVLSX!$X$1,1),0)&gt;=1,XKNVLSX!$X$1=""),$S$2,""))</f>
        <v/>
      </c>
      <c r="T1017" s="1018" t="str">
        <f ca="1">IF($C1017="","", IF(OR($P1017=$V$1,$P1017=$V$7,COUNTIFS($C$3:$C1017,$C1017,$E$3:$E1017,$E1017)&lt;=1),$P1017,""    ))</f>
        <v/>
      </c>
      <c r="U1017" s="1019" t="str">
        <f ca="1">IF(AND($P1017=$V$2,COUNTIFS($C$3:$C1017,$C1017,$E$3:$E1017,$E1017,$G$3:$G1017,$G1017)&lt;=1),$P1017,"")</f>
        <v/>
      </c>
    </row>
    <row r="1018" spans="1:21">
      <c r="A1018" s="991" t="str">
        <f ca="1">IFERROR(IF(COUNTIF($A$3:A1017,A1017)&lt; INDEX(TinhGia!$BH$10:$BH$81,MATCH($A1017,TinhGia!$B$10:$B$81,0)),$A1017,INDEX(TinhGia!$B$10:$B$81,MATCH($A1017,TinhGia!$B$10:$B$81,0)+1)),"")</f>
        <v/>
      </c>
      <c r="B1018" s="525" t="str">
        <f ca="1">IF(OR(A1018="",A1018=0),"",IF(COUNTIF($A$2:A1018,$A1018)=1,ROW(MauKoXoa!$C$108),$B1017+1))</f>
        <v/>
      </c>
      <c r="C1018" s="992" t="str">
        <f t="shared" ca="1" si="165"/>
        <v/>
      </c>
      <c r="D1018" s="993" t="str">
        <f t="shared" ca="1" si="166"/>
        <v/>
      </c>
      <c r="E1018" s="993" t="str">
        <f t="shared" ca="1" si="167"/>
        <v/>
      </c>
      <c r="F1018" s="992" t="str">
        <f t="shared" ca="1" si="175"/>
        <v/>
      </c>
      <c r="G1018" s="994">
        <f t="shared" ca="1" si="168"/>
        <v>0</v>
      </c>
      <c r="H1018" s="913">
        <f t="shared" ca="1" si="169"/>
        <v>0</v>
      </c>
      <c r="I1018" s="913">
        <f t="shared" ca="1" si="170"/>
        <v>0</v>
      </c>
      <c r="J1018" s="995">
        <f t="shared" ca="1" si="176"/>
        <v>0</v>
      </c>
      <c r="K1018" s="913">
        <f t="shared" ca="1" si="171"/>
        <v>0</v>
      </c>
      <c r="L1018" s="995">
        <f t="shared" ca="1" si="177"/>
        <v>0</v>
      </c>
      <c r="M1018" s="913">
        <f t="shared" ca="1" si="172"/>
        <v>0</v>
      </c>
      <c r="N1018" s="996">
        <f t="shared" ca="1" si="173"/>
        <v>0</v>
      </c>
      <c r="O1018" s="997">
        <f t="shared" ca="1" si="174"/>
        <v>0</v>
      </c>
      <c r="P1018" s="1015" t="str">
        <f ca="1">IF($C1018="","",INDEX(NVLSX!$N$2:$N$6941,MATCH($C1018,NVLSX!$E$2:$E$6941,0)))</f>
        <v/>
      </c>
      <c r="Q1018" s="1016" t="str">
        <f ca="1">IF($R1018="","",IF(XKNVLSX!$X$1="",IF($P1018=$V$7,$P1018, IF(COUNTIFS($C$2:$C1017,$C1018,$E$2:$E1017,$E1018)&gt;=1,"",$P1018)),     IF(AND(IFERROR(SEARCH($R1018,XKNVLSX!$X$1,1),0)&gt;=1,$P1018=$V$7),$P1018, IF(OR($R1018&lt;&gt;IF(IFERROR(SEARCH($R1018,XKNVLSX!$X$1,1),0)&gt;=1,$R1018,XKNVLSX!$X$1),COUNTIFS($C$2:$C1017,$C1018,$E$2:$E1017,$E1018,$Q$2:$Q1017,$P1018)&gt;=1),"",$P1018))))</f>
        <v/>
      </c>
      <c r="R1018" s="1017" t="str">
        <f ca="1">IF($A1018="","",IFERROR(INDEX(TinhGia!$BF$10:$BF$81,MATCH($A1018,TinhGia!$B$10:$B$81,0)),""))</f>
        <v/>
      </c>
      <c r="S1018" s="1012" t="str">
        <f ca="1">IF($A1018="","",IF(OR(IFERROR(SEARCH($R1018,XKNVLSX!$X$1,1),0)&gt;=1,XKNVLSX!$X$1=""),$S$2,""))</f>
        <v/>
      </c>
      <c r="T1018" s="1018" t="str">
        <f ca="1">IF($C1018="","", IF(OR($P1018=$V$1,$P1018=$V$7,COUNTIFS($C$3:$C1018,$C1018,$E$3:$E1018,$E1018)&lt;=1),$P1018,""    ))</f>
        <v/>
      </c>
      <c r="U1018" s="1019" t="str">
        <f ca="1">IF(AND($P1018=$V$2,COUNTIFS($C$3:$C1018,$C1018,$E$3:$E1018,$E1018,$G$3:$G1018,$G1018)&lt;=1),$P1018,"")</f>
        <v/>
      </c>
    </row>
    <row r="1019" spans="1:21">
      <c r="A1019" s="991" t="str">
        <f ca="1">IFERROR(IF(COUNTIF($A$3:A1018,A1018)&lt; INDEX(TinhGia!$BH$10:$BH$81,MATCH($A1018,TinhGia!$B$10:$B$81,0)),$A1018,INDEX(TinhGia!$B$10:$B$81,MATCH($A1018,TinhGia!$B$10:$B$81,0)+1)),"")</f>
        <v/>
      </c>
      <c r="B1019" s="525" t="str">
        <f ca="1">IF(OR(A1019="",A1019=0),"",IF(COUNTIF($A$2:A1019,$A1019)=1,ROW(MauKoXoa!$C$108),$B1018+1))</f>
        <v/>
      </c>
      <c r="C1019" s="992" t="str">
        <f t="shared" ca="1" si="165"/>
        <v/>
      </c>
      <c r="D1019" s="993" t="str">
        <f t="shared" ca="1" si="166"/>
        <v/>
      </c>
      <c r="E1019" s="993" t="str">
        <f t="shared" ca="1" si="167"/>
        <v/>
      </c>
      <c r="F1019" s="992" t="str">
        <f t="shared" ca="1" si="175"/>
        <v/>
      </c>
      <c r="G1019" s="994">
        <f t="shared" ca="1" si="168"/>
        <v>0</v>
      </c>
      <c r="H1019" s="913">
        <f t="shared" ca="1" si="169"/>
        <v>0</v>
      </c>
      <c r="I1019" s="913">
        <f t="shared" ca="1" si="170"/>
        <v>0</v>
      </c>
      <c r="J1019" s="995">
        <f t="shared" ca="1" si="176"/>
        <v>0</v>
      </c>
      <c r="K1019" s="913">
        <f t="shared" ca="1" si="171"/>
        <v>0</v>
      </c>
      <c r="L1019" s="995">
        <f t="shared" ca="1" si="177"/>
        <v>0</v>
      </c>
      <c r="M1019" s="913">
        <f t="shared" ca="1" si="172"/>
        <v>0</v>
      </c>
      <c r="N1019" s="996">
        <f t="shared" ca="1" si="173"/>
        <v>0</v>
      </c>
      <c r="O1019" s="997">
        <f t="shared" ca="1" si="174"/>
        <v>0</v>
      </c>
      <c r="P1019" s="1015" t="str">
        <f ca="1">IF($C1019="","",INDEX(NVLSX!$N$2:$N$6941,MATCH($C1019,NVLSX!$E$2:$E$6941,0)))</f>
        <v/>
      </c>
      <c r="Q1019" s="1016" t="str">
        <f ca="1">IF($R1019="","",IF(XKNVLSX!$X$1="",IF($P1019=$V$7,$P1019, IF(COUNTIFS($C$2:$C1018,$C1019,$E$2:$E1018,$E1019)&gt;=1,"",$P1019)),     IF(AND(IFERROR(SEARCH($R1019,XKNVLSX!$X$1,1),0)&gt;=1,$P1019=$V$7),$P1019, IF(OR($R1019&lt;&gt;IF(IFERROR(SEARCH($R1019,XKNVLSX!$X$1,1),0)&gt;=1,$R1019,XKNVLSX!$X$1),COUNTIFS($C$2:$C1018,$C1019,$E$2:$E1018,$E1019,$Q$2:$Q1018,$P1019)&gt;=1),"",$P1019))))</f>
        <v/>
      </c>
      <c r="R1019" s="1017" t="str">
        <f ca="1">IF($A1019="","",IFERROR(INDEX(TinhGia!$BF$10:$BF$81,MATCH($A1019,TinhGia!$B$10:$B$81,0)),""))</f>
        <v/>
      </c>
      <c r="S1019" s="1012" t="str">
        <f ca="1">IF($A1019="","",IF(OR(IFERROR(SEARCH($R1019,XKNVLSX!$X$1,1),0)&gt;=1,XKNVLSX!$X$1=""),$S$2,""))</f>
        <v/>
      </c>
      <c r="T1019" s="1018" t="str">
        <f ca="1">IF($C1019="","", IF(OR($P1019=$V$1,$P1019=$V$7,COUNTIFS($C$3:$C1019,$C1019,$E$3:$E1019,$E1019)&lt;=1),$P1019,""    ))</f>
        <v/>
      </c>
      <c r="U1019" s="1019" t="str">
        <f ca="1">IF(AND($P1019=$V$2,COUNTIFS($C$3:$C1019,$C1019,$E$3:$E1019,$E1019,$G$3:$G1019,$G1019)&lt;=1),$P1019,"")</f>
        <v/>
      </c>
    </row>
    <row r="1020" spans="1:21">
      <c r="A1020" s="991" t="str">
        <f ca="1">IFERROR(IF(COUNTIF($A$3:A1019,A1019)&lt; INDEX(TinhGia!$BH$10:$BH$81,MATCH($A1019,TinhGia!$B$10:$B$81,0)),$A1019,INDEX(TinhGia!$B$10:$B$81,MATCH($A1019,TinhGia!$B$10:$B$81,0)+1)),"")</f>
        <v/>
      </c>
      <c r="B1020" s="525" t="str">
        <f ca="1">IF(OR(A1020="",A1020=0),"",IF(COUNTIF($A$2:A1020,$A1020)=1,ROW(MauKoXoa!$C$108),$B1019+1))</f>
        <v/>
      </c>
      <c r="C1020" s="992" t="str">
        <f t="shared" ca="1" si="165"/>
        <v/>
      </c>
      <c r="D1020" s="993" t="str">
        <f t="shared" ca="1" si="166"/>
        <v/>
      </c>
      <c r="E1020" s="993" t="str">
        <f t="shared" ca="1" si="167"/>
        <v/>
      </c>
      <c r="F1020" s="992" t="str">
        <f t="shared" ca="1" si="175"/>
        <v/>
      </c>
      <c r="G1020" s="994">
        <f t="shared" ca="1" si="168"/>
        <v>0</v>
      </c>
      <c r="H1020" s="913">
        <f t="shared" ca="1" si="169"/>
        <v>0</v>
      </c>
      <c r="I1020" s="913">
        <f t="shared" ca="1" si="170"/>
        <v>0</v>
      </c>
      <c r="J1020" s="995">
        <f t="shared" ca="1" si="176"/>
        <v>0</v>
      </c>
      <c r="K1020" s="913">
        <f t="shared" ca="1" si="171"/>
        <v>0</v>
      </c>
      <c r="L1020" s="995">
        <f t="shared" ca="1" si="177"/>
        <v>0</v>
      </c>
      <c r="M1020" s="913">
        <f t="shared" ca="1" si="172"/>
        <v>0</v>
      </c>
      <c r="N1020" s="996">
        <f t="shared" ca="1" si="173"/>
        <v>0</v>
      </c>
      <c r="O1020" s="997">
        <f t="shared" ca="1" si="174"/>
        <v>0</v>
      </c>
      <c r="P1020" s="1015" t="str">
        <f ca="1">IF($C1020="","",INDEX(NVLSX!$N$2:$N$6941,MATCH($C1020,NVLSX!$E$2:$E$6941,0)))</f>
        <v/>
      </c>
      <c r="Q1020" s="1016" t="str">
        <f ca="1">IF($R1020="","",IF(XKNVLSX!$X$1="",IF($P1020=$V$7,$P1020, IF(COUNTIFS($C$2:$C1019,$C1020,$E$2:$E1019,$E1020)&gt;=1,"",$P1020)),     IF(AND(IFERROR(SEARCH($R1020,XKNVLSX!$X$1,1),0)&gt;=1,$P1020=$V$7),$P1020, IF(OR($R1020&lt;&gt;IF(IFERROR(SEARCH($R1020,XKNVLSX!$X$1,1),0)&gt;=1,$R1020,XKNVLSX!$X$1),COUNTIFS($C$2:$C1019,$C1020,$E$2:$E1019,$E1020,$Q$2:$Q1019,$P1020)&gt;=1),"",$P1020))))</f>
        <v/>
      </c>
      <c r="R1020" s="1017" t="str">
        <f ca="1">IF($A1020="","",IFERROR(INDEX(TinhGia!$BF$10:$BF$81,MATCH($A1020,TinhGia!$B$10:$B$81,0)),""))</f>
        <v/>
      </c>
      <c r="S1020" s="1012" t="str">
        <f ca="1">IF($A1020="","",IF(OR(IFERROR(SEARCH($R1020,XKNVLSX!$X$1,1),0)&gt;=1,XKNVLSX!$X$1=""),$S$2,""))</f>
        <v/>
      </c>
      <c r="T1020" s="1018" t="str">
        <f ca="1">IF($C1020="","", IF(OR($P1020=$V$1,$P1020=$V$7,COUNTIFS($C$3:$C1020,$C1020,$E$3:$E1020,$E1020)&lt;=1),$P1020,""    ))</f>
        <v/>
      </c>
      <c r="U1020" s="1019" t="str">
        <f ca="1">IF(AND($P1020=$V$2,COUNTIFS($C$3:$C1020,$C1020,$E$3:$E1020,$E1020,$G$3:$G1020,$G1020)&lt;=1),$P1020,"")</f>
        <v/>
      </c>
    </row>
    <row r="1021" spans="1:21">
      <c r="A1021" s="991" t="str">
        <f ca="1">IFERROR(IF(COUNTIF($A$3:A1020,A1020)&lt; INDEX(TinhGia!$BH$10:$BH$81,MATCH($A1020,TinhGia!$B$10:$B$81,0)),$A1020,INDEX(TinhGia!$B$10:$B$81,MATCH($A1020,TinhGia!$B$10:$B$81,0)+1)),"")</f>
        <v/>
      </c>
      <c r="B1021" s="525" t="str">
        <f ca="1">IF(OR(A1021="",A1021=0),"",IF(COUNTIF($A$2:A1021,$A1021)=1,ROW(MauKoXoa!$C$108),$B1020+1))</f>
        <v/>
      </c>
      <c r="C1021" s="992" t="str">
        <f t="shared" ca="1" si="165"/>
        <v/>
      </c>
      <c r="D1021" s="993" t="str">
        <f t="shared" ca="1" si="166"/>
        <v/>
      </c>
      <c r="E1021" s="993" t="str">
        <f t="shared" ca="1" si="167"/>
        <v/>
      </c>
      <c r="F1021" s="992" t="str">
        <f t="shared" ca="1" si="175"/>
        <v/>
      </c>
      <c r="G1021" s="994">
        <f t="shared" ca="1" si="168"/>
        <v>0</v>
      </c>
      <c r="H1021" s="913">
        <f t="shared" ca="1" si="169"/>
        <v>0</v>
      </c>
      <c r="I1021" s="913">
        <f t="shared" ca="1" si="170"/>
        <v>0</v>
      </c>
      <c r="J1021" s="995">
        <f t="shared" ca="1" si="176"/>
        <v>0</v>
      </c>
      <c r="K1021" s="913">
        <f t="shared" ca="1" si="171"/>
        <v>0</v>
      </c>
      <c r="L1021" s="995">
        <f t="shared" ca="1" si="177"/>
        <v>0</v>
      </c>
      <c r="M1021" s="913">
        <f t="shared" ca="1" si="172"/>
        <v>0</v>
      </c>
      <c r="N1021" s="996">
        <f t="shared" ca="1" si="173"/>
        <v>0</v>
      </c>
      <c r="O1021" s="997">
        <f t="shared" ca="1" si="174"/>
        <v>0</v>
      </c>
      <c r="P1021" s="1015" t="str">
        <f ca="1">IF($C1021="","",INDEX(NVLSX!$N$2:$N$6941,MATCH($C1021,NVLSX!$E$2:$E$6941,0)))</f>
        <v/>
      </c>
      <c r="Q1021" s="1016" t="str">
        <f ca="1">IF($R1021="","",IF(XKNVLSX!$X$1="",IF($P1021=$V$7,$P1021, IF(COUNTIFS($C$2:$C1020,$C1021,$E$2:$E1020,$E1021)&gt;=1,"",$P1021)),     IF(AND(IFERROR(SEARCH($R1021,XKNVLSX!$X$1,1),0)&gt;=1,$P1021=$V$7),$P1021, IF(OR($R1021&lt;&gt;IF(IFERROR(SEARCH($R1021,XKNVLSX!$X$1,1),0)&gt;=1,$R1021,XKNVLSX!$X$1),COUNTIFS($C$2:$C1020,$C1021,$E$2:$E1020,$E1021,$Q$2:$Q1020,$P1021)&gt;=1),"",$P1021))))</f>
        <v/>
      </c>
      <c r="R1021" s="1017" t="str">
        <f ca="1">IF($A1021="","",IFERROR(INDEX(TinhGia!$BF$10:$BF$81,MATCH($A1021,TinhGia!$B$10:$B$81,0)),""))</f>
        <v/>
      </c>
      <c r="S1021" s="1012" t="str">
        <f ca="1">IF($A1021="","",IF(OR(IFERROR(SEARCH($R1021,XKNVLSX!$X$1,1),0)&gt;=1,XKNVLSX!$X$1=""),$S$2,""))</f>
        <v/>
      </c>
      <c r="T1021" s="1018" t="str">
        <f ca="1">IF($C1021="","", IF(OR($P1021=$V$1,$P1021=$V$7,COUNTIFS($C$3:$C1021,$C1021,$E$3:$E1021,$E1021)&lt;=1),$P1021,""    ))</f>
        <v/>
      </c>
      <c r="U1021" s="1019" t="str">
        <f ca="1">IF(AND($P1021=$V$2,COUNTIFS($C$3:$C1021,$C1021,$E$3:$E1021,$E1021,$G$3:$G1021,$G1021)&lt;=1),$P1021,"")</f>
        <v/>
      </c>
    </row>
    <row r="1022" spans="1:21">
      <c r="A1022" s="991" t="str">
        <f ca="1">IFERROR(IF(COUNTIF($A$3:A1021,A1021)&lt; INDEX(TinhGia!$BH$10:$BH$81,MATCH($A1021,TinhGia!$B$10:$B$81,0)),$A1021,INDEX(TinhGia!$B$10:$B$81,MATCH($A1021,TinhGia!$B$10:$B$81,0)+1)),"")</f>
        <v/>
      </c>
      <c r="B1022" s="525" t="str">
        <f ca="1">IF(OR(A1022="",A1022=0),"",IF(COUNTIF($A$2:A1022,$A1022)=1,ROW(MauKoXoa!$C$108),$B1021+1))</f>
        <v/>
      </c>
      <c r="C1022" s="992" t="str">
        <f t="shared" ca="1" si="165"/>
        <v/>
      </c>
      <c r="D1022" s="993" t="str">
        <f t="shared" ca="1" si="166"/>
        <v/>
      </c>
      <c r="E1022" s="993" t="str">
        <f t="shared" ca="1" si="167"/>
        <v/>
      </c>
      <c r="F1022" s="992" t="str">
        <f t="shared" ca="1" si="175"/>
        <v/>
      </c>
      <c r="G1022" s="994">
        <f t="shared" ca="1" si="168"/>
        <v>0</v>
      </c>
      <c r="H1022" s="913">
        <f t="shared" ca="1" si="169"/>
        <v>0</v>
      </c>
      <c r="I1022" s="913">
        <f t="shared" ca="1" si="170"/>
        <v>0</v>
      </c>
      <c r="J1022" s="995">
        <f t="shared" ca="1" si="176"/>
        <v>0</v>
      </c>
      <c r="K1022" s="913">
        <f t="shared" ca="1" si="171"/>
        <v>0</v>
      </c>
      <c r="L1022" s="995">
        <f t="shared" ca="1" si="177"/>
        <v>0</v>
      </c>
      <c r="M1022" s="913">
        <f t="shared" ca="1" si="172"/>
        <v>0</v>
      </c>
      <c r="N1022" s="996">
        <f t="shared" ca="1" si="173"/>
        <v>0</v>
      </c>
      <c r="O1022" s="997">
        <f t="shared" ca="1" si="174"/>
        <v>0</v>
      </c>
      <c r="P1022" s="1015" t="str">
        <f ca="1">IF($C1022="","",INDEX(NVLSX!$N$2:$N$6941,MATCH($C1022,NVLSX!$E$2:$E$6941,0)))</f>
        <v/>
      </c>
      <c r="Q1022" s="1016" t="str">
        <f ca="1">IF($R1022="","",IF(XKNVLSX!$X$1="",IF($P1022=$V$7,$P1022, IF(COUNTIFS($C$2:$C1021,$C1022,$E$2:$E1021,$E1022)&gt;=1,"",$P1022)),     IF(AND(IFERROR(SEARCH($R1022,XKNVLSX!$X$1,1),0)&gt;=1,$P1022=$V$7),$P1022, IF(OR($R1022&lt;&gt;IF(IFERROR(SEARCH($R1022,XKNVLSX!$X$1,1),0)&gt;=1,$R1022,XKNVLSX!$X$1),COUNTIFS($C$2:$C1021,$C1022,$E$2:$E1021,$E1022,$Q$2:$Q1021,$P1022)&gt;=1),"",$P1022))))</f>
        <v/>
      </c>
      <c r="R1022" s="1017" t="str">
        <f ca="1">IF($A1022="","",IFERROR(INDEX(TinhGia!$BF$10:$BF$81,MATCH($A1022,TinhGia!$B$10:$B$81,0)),""))</f>
        <v/>
      </c>
      <c r="S1022" s="1012" t="str">
        <f ca="1">IF($A1022="","",IF(OR(IFERROR(SEARCH($R1022,XKNVLSX!$X$1,1),0)&gt;=1,XKNVLSX!$X$1=""),$S$2,""))</f>
        <v/>
      </c>
      <c r="T1022" s="1018" t="str">
        <f ca="1">IF($C1022="","", IF(OR($P1022=$V$1,$P1022=$V$7,COUNTIFS($C$3:$C1022,$C1022,$E$3:$E1022,$E1022)&lt;=1),$P1022,""    ))</f>
        <v/>
      </c>
      <c r="U1022" s="1019" t="str">
        <f ca="1">IF(AND($P1022=$V$2,COUNTIFS($C$3:$C1022,$C1022,$E$3:$E1022,$E1022,$G$3:$G1022,$G1022)&lt;=1),$P1022,"")</f>
        <v/>
      </c>
    </row>
    <row r="1023" spans="1:21">
      <c r="A1023" s="991" t="str">
        <f ca="1">IFERROR(IF(COUNTIF($A$3:A1022,A1022)&lt; INDEX(TinhGia!$BH$10:$BH$81,MATCH($A1022,TinhGia!$B$10:$B$81,0)),$A1022,INDEX(TinhGia!$B$10:$B$81,MATCH($A1022,TinhGia!$B$10:$B$81,0)+1)),"")</f>
        <v/>
      </c>
      <c r="B1023" s="525" t="str">
        <f ca="1">IF(OR(A1023="",A1023=0),"",IF(COUNTIF($A$2:A1023,$A1023)=1,ROW(MauKoXoa!$C$108),$B1022+1))</f>
        <v/>
      </c>
      <c r="C1023" s="992" t="str">
        <f t="shared" ca="1" si="165"/>
        <v/>
      </c>
      <c r="D1023" s="993" t="str">
        <f t="shared" ca="1" si="166"/>
        <v/>
      </c>
      <c r="E1023" s="993" t="str">
        <f t="shared" ca="1" si="167"/>
        <v/>
      </c>
      <c r="F1023" s="992" t="str">
        <f t="shared" ca="1" si="175"/>
        <v/>
      </c>
      <c r="G1023" s="994">
        <f t="shared" ca="1" si="168"/>
        <v>0</v>
      </c>
      <c r="H1023" s="913">
        <f t="shared" ca="1" si="169"/>
        <v>0</v>
      </c>
      <c r="I1023" s="913">
        <f t="shared" ca="1" si="170"/>
        <v>0</v>
      </c>
      <c r="J1023" s="995">
        <f t="shared" ca="1" si="176"/>
        <v>0</v>
      </c>
      <c r="K1023" s="913">
        <f t="shared" ca="1" si="171"/>
        <v>0</v>
      </c>
      <c r="L1023" s="995">
        <f t="shared" ca="1" si="177"/>
        <v>0</v>
      </c>
      <c r="M1023" s="913">
        <f t="shared" ca="1" si="172"/>
        <v>0</v>
      </c>
      <c r="N1023" s="996">
        <f t="shared" ca="1" si="173"/>
        <v>0</v>
      </c>
      <c r="O1023" s="997">
        <f t="shared" ca="1" si="174"/>
        <v>0</v>
      </c>
      <c r="P1023" s="1015" t="str">
        <f ca="1">IF($C1023="","",INDEX(NVLSX!$N$2:$N$6941,MATCH($C1023,NVLSX!$E$2:$E$6941,0)))</f>
        <v/>
      </c>
      <c r="Q1023" s="1016" t="str">
        <f ca="1">IF($R1023="","",IF(XKNVLSX!$X$1="",IF($P1023=$V$7,$P1023, IF(COUNTIFS($C$2:$C1022,$C1023,$E$2:$E1022,$E1023)&gt;=1,"",$P1023)),     IF(AND(IFERROR(SEARCH($R1023,XKNVLSX!$X$1,1),0)&gt;=1,$P1023=$V$7),$P1023, IF(OR($R1023&lt;&gt;IF(IFERROR(SEARCH($R1023,XKNVLSX!$X$1,1),0)&gt;=1,$R1023,XKNVLSX!$X$1),COUNTIFS($C$2:$C1022,$C1023,$E$2:$E1022,$E1023,$Q$2:$Q1022,$P1023)&gt;=1),"",$P1023))))</f>
        <v/>
      </c>
      <c r="R1023" s="1017" t="str">
        <f ca="1">IF($A1023="","",IFERROR(INDEX(TinhGia!$BF$10:$BF$81,MATCH($A1023,TinhGia!$B$10:$B$81,0)),""))</f>
        <v/>
      </c>
      <c r="S1023" s="1012" t="str">
        <f ca="1">IF($A1023="","",IF(OR(IFERROR(SEARCH($R1023,XKNVLSX!$X$1,1),0)&gt;=1,XKNVLSX!$X$1=""),$S$2,""))</f>
        <v/>
      </c>
      <c r="T1023" s="1018" t="str">
        <f ca="1">IF($C1023="","", IF(OR($P1023=$V$1,$P1023=$V$7,COUNTIFS($C$3:$C1023,$C1023,$E$3:$E1023,$E1023)&lt;=1),$P1023,""    ))</f>
        <v/>
      </c>
      <c r="U1023" s="1019" t="str">
        <f ca="1">IF(AND($P1023=$V$2,COUNTIFS($C$3:$C1023,$C1023,$E$3:$E1023,$E1023,$G$3:$G1023,$G1023)&lt;=1),$P1023,"")</f>
        <v/>
      </c>
    </row>
    <row r="1024" spans="1:21">
      <c r="A1024" s="991" t="str">
        <f ca="1">IFERROR(IF(COUNTIF($A$3:A1023,A1023)&lt; INDEX(TinhGia!$BH$10:$BH$81,MATCH($A1023,TinhGia!$B$10:$B$81,0)),$A1023,INDEX(TinhGia!$B$10:$B$81,MATCH($A1023,TinhGia!$B$10:$B$81,0)+1)),"")</f>
        <v/>
      </c>
      <c r="B1024" s="525" t="str">
        <f ca="1">IF(OR(A1024="",A1024=0),"",IF(COUNTIF($A$2:A1024,$A1024)=1,ROW(MauKoXoa!$C$108),$B1023+1))</f>
        <v/>
      </c>
      <c r="C1024" s="992" t="str">
        <f t="shared" ca="1" si="165"/>
        <v/>
      </c>
      <c r="D1024" s="993" t="str">
        <f t="shared" ca="1" si="166"/>
        <v/>
      </c>
      <c r="E1024" s="993" t="str">
        <f t="shared" ca="1" si="167"/>
        <v/>
      </c>
      <c r="F1024" s="992" t="str">
        <f t="shared" ca="1" si="175"/>
        <v/>
      </c>
      <c r="G1024" s="994">
        <f t="shared" ca="1" si="168"/>
        <v>0</v>
      </c>
      <c r="H1024" s="913">
        <f t="shared" ca="1" si="169"/>
        <v>0</v>
      </c>
      <c r="I1024" s="913">
        <f t="shared" ca="1" si="170"/>
        <v>0</v>
      </c>
      <c r="J1024" s="995">
        <f t="shared" ca="1" si="176"/>
        <v>0</v>
      </c>
      <c r="K1024" s="913">
        <f t="shared" ca="1" si="171"/>
        <v>0</v>
      </c>
      <c r="L1024" s="995">
        <f t="shared" ca="1" si="177"/>
        <v>0</v>
      </c>
      <c r="M1024" s="913">
        <f t="shared" ca="1" si="172"/>
        <v>0</v>
      </c>
      <c r="N1024" s="996">
        <f t="shared" ca="1" si="173"/>
        <v>0</v>
      </c>
      <c r="O1024" s="997">
        <f t="shared" ca="1" si="174"/>
        <v>0</v>
      </c>
      <c r="P1024" s="1015" t="str">
        <f ca="1">IF($C1024="","",INDEX(NVLSX!$N$2:$N$6941,MATCH($C1024,NVLSX!$E$2:$E$6941,0)))</f>
        <v/>
      </c>
      <c r="Q1024" s="1016" t="str">
        <f ca="1">IF($R1024="","",IF(XKNVLSX!$X$1="",IF($P1024=$V$7,$P1024, IF(COUNTIFS($C$2:$C1023,$C1024,$E$2:$E1023,$E1024)&gt;=1,"",$P1024)),     IF(AND(IFERROR(SEARCH($R1024,XKNVLSX!$X$1,1),0)&gt;=1,$P1024=$V$7),$P1024, IF(OR($R1024&lt;&gt;IF(IFERROR(SEARCH($R1024,XKNVLSX!$X$1,1),0)&gt;=1,$R1024,XKNVLSX!$X$1),COUNTIFS($C$2:$C1023,$C1024,$E$2:$E1023,$E1024,$Q$2:$Q1023,$P1024)&gt;=1),"",$P1024))))</f>
        <v/>
      </c>
      <c r="R1024" s="1017" t="str">
        <f ca="1">IF($A1024="","",IFERROR(INDEX(TinhGia!$BF$10:$BF$81,MATCH($A1024,TinhGia!$B$10:$B$81,0)),""))</f>
        <v/>
      </c>
      <c r="S1024" s="1012" t="str">
        <f ca="1">IF($A1024="","",IF(OR(IFERROR(SEARCH($R1024,XKNVLSX!$X$1,1),0)&gt;=1,XKNVLSX!$X$1=""),$S$2,""))</f>
        <v/>
      </c>
      <c r="T1024" s="1018" t="str">
        <f ca="1">IF($C1024="","", IF(OR($P1024=$V$1,$P1024=$V$7,COUNTIFS($C$3:$C1024,$C1024,$E$3:$E1024,$E1024)&lt;=1),$P1024,""    ))</f>
        <v/>
      </c>
      <c r="U1024" s="1019" t="str">
        <f ca="1">IF(AND($P1024=$V$2,COUNTIFS($C$3:$C1024,$C1024,$E$3:$E1024,$E1024,$G$3:$G1024,$G1024)&lt;=1),$P1024,"")</f>
        <v/>
      </c>
    </row>
    <row r="1025" spans="1:21">
      <c r="A1025" s="991" t="str">
        <f ca="1">IFERROR(IF(COUNTIF($A$3:A1024,A1024)&lt; INDEX(TinhGia!$BH$10:$BH$81,MATCH($A1024,TinhGia!$B$10:$B$81,0)),$A1024,INDEX(TinhGia!$B$10:$B$81,MATCH($A1024,TinhGia!$B$10:$B$81,0)+1)),"")</f>
        <v/>
      </c>
      <c r="B1025" s="525" t="str">
        <f ca="1">IF(OR(A1025="",A1025=0),"",IF(COUNTIF($A$2:A1025,$A1025)=1,ROW(MauKoXoa!$C$108),$B1024+1))</f>
        <v/>
      </c>
      <c r="C1025" s="992" t="str">
        <f t="shared" ca="1" si="165"/>
        <v/>
      </c>
      <c r="D1025" s="993" t="str">
        <f t="shared" ca="1" si="166"/>
        <v/>
      </c>
      <c r="E1025" s="993" t="str">
        <f t="shared" ca="1" si="167"/>
        <v/>
      </c>
      <c r="F1025" s="992" t="str">
        <f t="shared" ca="1" si="175"/>
        <v/>
      </c>
      <c r="G1025" s="994">
        <f t="shared" ca="1" si="168"/>
        <v>0</v>
      </c>
      <c r="H1025" s="913">
        <f t="shared" ca="1" si="169"/>
        <v>0</v>
      </c>
      <c r="I1025" s="913">
        <f t="shared" ca="1" si="170"/>
        <v>0</v>
      </c>
      <c r="J1025" s="995">
        <f t="shared" ca="1" si="176"/>
        <v>0</v>
      </c>
      <c r="K1025" s="913">
        <f t="shared" ca="1" si="171"/>
        <v>0</v>
      </c>
      <c r="L1025" s="995">
        <f t="shared" ca="1" si="177"/>
        <v>0</v>
      </c>
      <c r="M1025" s="913">
        <f t="shared" ca="1" si="172"/>
        <v>0</v>
      </c>
      <c r="N1025" s="996">
        <f t="shared" ca="1" si="173"/>
        <v>0</v>
      </c>
      <c r="O1025" s="997">
        <f t="shared" ca="1" si="174"/>
        <v>0</v>
      </c>
      <c r="P1025" s="1015" t="str">
        <f ca="1">IF($C1025="","",INDEX(NVLSX!$N$2:$N$6941,MATCH($C1025,NVLSX!$E$2:$E$6941,0)))</f>
        <v/>
      </c>
      <c r="Q1025" s="1016" t="str">
        <f ca="1">IF($R1025="","",IF(XKNVLSX!$X$1="",IF($P1025=$V$7,$P1025, IF(COUNTIFS($C$2:$C1024,$C1025,$E$2:$E1024,$E1025)&gt;=1,"",$P1025)),     IF(AND(IFERROR(SEARCH($R1025,XKNVLSX!$X$1,1),0)&gt;=1,$P1025=$V$7),$P1025, IF(OR($R1025&lt;&gt;IF(IFERROR(SEARCH($R1025,XKNVLSX!$X$1,1),0)&gt;=1,$R1025,XKNVLSX!$X$1),COUNTIFS($C$2:$C1024,$C1025,$E$2:$E1024,$E1025,$Q$2:$Q1024,$P1025)&gt;=1),"",$P1025))))</f>
        <v/>
      </c>
      <c r="R1025" s="1017" t="str">
        <f ca="1">IF($A1025="","",IFERROR(INDEX(TinhGia!$BF$10:$BF$81,MATCH($A1025,TinhGia!$B$10:$B$81,0)),""))</f>
        <v/>
      </c>
      <c r="S1025" s="1012" t="str">
        <f ca="1">IF($A1025="","",IF(OR(IFERROR(SEARCH($R1025,XKNVLSX!$X$1,1),0)&gt;=1,XKNVLSX!$X$1=""),$S$2,""))</f>
        <v/>
      </c>
      <c r="T1025" s="1018" t="str">
        <f ca="1">IF($C1025="","", IF(OR($P1025=$V$1,$P1025=$V$7,COUNTIFS($C$3:$C1025,$C1025,$E$3:$E1025,$E1025)&lt;=1),$P1025,""    ))</f>
        <v/>
      </c>
      <c r="U1025" s="1019" t="str">
        <f ca="1">IF(AND($P1025=$V$2,COUNTIFS($C$3:$C1025,$C1025,$E$3:$E1025,$E1025,$G$3:$G1025,$G1025)&lt;=1),$P1025,"")</f>
        <v/>
      </c>
    </row>
    <row r="1026" spans="1:21">
      <c r="A1026" s="991" t="str">
        <f ca="1">IFERROR(IF(COUNTIF($A$3:A1025,A1025)&lt; INDEX(TinhGia!$BH$10:$BH$81,MATCH($A1025,TinhGia!$B$10:$B$81,0)),$A1025,INDEX(TinhGia!$B$10:$B$81,MATCH($A1025,TinhGia!$B$10:$B$81,0)+1)),"")</f>
        <v/>
      </c>
      <c r="B1026" s="525" t="str">
        <f ca="1">IF(OR(A1026="",A1026=0),"",IF(COUNTIF($A$2:A1026,$A1026)=1,ROW(MauKoXoa!$C$108),$B1025+1))</f>
        <v/>
      </c>
      <c r="C1026" s="992" t="str">
        <f t="shared" ca="1" si="165"/>
        <v/>
      </c>
      <c r="D1026" s="993" t="str">
        <f t="shared" ca="1" si="166"/>
        <v/>
      </c>
      <c r="E1026" s="993" t="str">
        <f t="shared" ca="1" si="167"/>
        <v/>
      </c>
      <c r="F1026" s="992" t="str">
        <f t="shared" ca="1" si="175"/>
        <v/>
      </c>
      <c r="G1026" s="994">
        <f t="shared" ca="1" si="168"/>
        <v>0</v>
      </c>
      <c r="H1026" s="913">
        <f t="shared" ca="1" si="169"/>
        <v>0</v>
      </c>
      <c r="I1026" s="913">
        <f t="shared" ca="1" si="170"/>
        <v>0</v>
      </c>
      <c r="J1026" s="995">
        <f t="shared" ca="1" si="176"/>
        <v>0</v>
      </c>
      <c r="K1026" s="913">
        <f t="shared" ca="1" si="171"/>
        <v>0</v>
      </c>
      <c r="L1026" s="995">
        <f t="shared" ca="1" si="177"/>
        <v>0</v>
      </c>
      <c r="M1026" s="913">
        <f t="shared" ca="1" si="172"/>
        <v>0</v>
      </c>
      <c r="N1026" s="996">
        <f t="shared" ca="1" si="173"/>
        <v>0</v>
      </c>
      <c r="O1026" s="997">
        <f t="shared" ca="1" si="174"/>
        <v>0</v>
      </c>
      <c r="P1026" s="1015" t="str">
        <f ca="1">IF($C1026="","",INDEX(NVLSX!$N$2:$N$6941,MATCH($C1026,NVLSX!$E$2:$E$6941,0)))</f>
        <v/>
      </c>
      <c r="Q1026" s="1016" t="str">
        <f ca="1">IF($R1026="","",IF(XKNVLSX!$X$1="",IF($P1026=$V$7,$P1026, IF(COUNTIFS($C$2:$C1025,$C1026,$E$2:$E1025,$E1026)&gt;=1,"",$P1026)),     IF(AND(IFERROR(SEARCH($R1026,XKNVLSX!$X$1,1),0)&gt;=1,$P1026=$V$7),$P1026, IF(OR($R1026&lt;&gt;IF(IFERROR(SEARCH($R1026,XKNVLSX!$X$1,1),0)&gt;=1,$R1026,XKNVLSX!$X$1),COUNTIFS($C$2:$C1025,$C1026,$E$2:$E1025,$E1026,$Q$2:$Q1025,$P1026)&gt;=1),"",$P1026))))</f>
        <v/>
      </c>
      <c r="R1026" s="1017" t="str">
        <f ca="1">IF($A1026="","",IFERROR(INDEX(TinhGia!$BF$10:$BF$81,MATCH($A1026,TinhGia!$B$10:$B$81,0)),""))</f>
        <v/>
      </c>
      <c r="S1026" s="1012" t="str">
        <f ca="1">IF($A1026="","",IF(OR(IFERROR(SEARCH($R1026,XKNVLSX!$X$1,1),0)&gt;=1,XKNVLSX!$X$1=""),$S$2,""))</f>
        <v/>
      </c>
      <c r="T1026" s="1018" t="str">
        <f ca="1">IF($C1026="","", IF(OR($P1026=$V$1,$P1026=$V$7,COUNTIFS($C$3:$C1026,$C1026,$E$3:$E1026,$E1026)&lt;=1),$P1026,""    ))</f>
        <v/>
      </c>
      <c r="U1026" s="1019" t="str">
        <f ca="1">IF(AND($P1026=$V$2,COUNTIFS($C$3:$C1026,$C1026,$E$3:$E1026,$E1026,$G$3:$G1026,$G1026)&lt;=1),$P1026,"")</f>
        <v/>
      </c>
    </row>
    <row r="1027" spans="1:21">
      <c r="A1027" s="991" t="str">
        <f ca="1">IFERROR(IF(COUNTIF($A$3:A1026,A1026)&lt; INDEX(TinhGia!$BH$10:$BH$81,MATCH($A1026,TinhGia!$B$10:$B$81,0)),$A1026,INDEX(TinhGia!$B$10:$B$81,MATCH($A1026,TinhGia!$B$10:$B$81,0)+1)),"")</f>
        <v/>
      </c>
      <c r="B1027" s="525" t="str">
        <f ca="1">IF(OR(A1027="",A1027=0),"",IF(COUNTIF($A$2:A1027,$A1027)=1,ROW(MauKoXoa!$C$108),$B1026+1))</f>
        <v/>
      </c>
      <c r="C1027" s="992" t="str">
        <f t="shared" ca="1" si="165"/>
        <v/>
      </c>
      <c r="D1027" s="993" t="str">
        <f t="shared" ca="1" si="166"/>
        <v/>
      </c>
      <c r="E1027" s="993" t="str">
        <f t="shared" ca="1" si="167"/>
        <v/>
      </c>
      <c r="F1027" s="992" t="str">
        <f t="shared" ref="F1027:F1090" ca="1" si="178">IF($P1027=$V$7, IFERROR(INDIRECT("'" &amp; $A1027 &amp; "'!" &amp; "I" &amp; $B1027),""),IFERROR(INDIRECT("'" &amp; $A1027 &amp; "'!" &amp; "E" &amp; $B1027),""))</f>
        <v/>
      </c>
      <c r="G1027" s="994">
        <f t="shared" ca="1" si="168"/>
        <v>0</v>
      </c>
      <c r="H1027" s="913">
        <f t="shared" ca="1" si="169"/>
        <v>0</v>
      </c>
      <c r="I1027" s="913">
        <f t="shared" ca="1" si="170"/>
        <v>0</v>
      </c>
      <c r="J1027" s="995">
        <f t="shared" ca="1" si="176"/>
        <v>0</v>
      </c>
      <c r="K1027" s="913">
        <f t="shared" ca="1" si="171"/>
        <v>0</v>
      </c>
      <c r="L1027" s="995">
        <f t="shared" ca="1" si="177"/>
        <v>0</v>
      </c>
      <c r="M1027" s="913">
        <f t="shared" ca="1" si="172"/>
        <v>0</v>
      </c>
      <c r="N1027" s="996">
        <f t="shared" ca="1" si="173"/>
        <v>0</v>
      </c>
      <c r="O1027" s="997">
        <f t="shared" ca="1" si="174"/>
        <v>0</v>
      </c>
      <c r="P1027" s="1015" t="str">
        <f ca="1">IF($C1027="","",INDEX(NVLSX!$N$2:$N$6941,MATCH($C1027,NVLSX!$E$2:$E$6941,0)))</f>
        <v/>
      </c>
      <c r="Q1027" s="1016" t="str">
        <f ca="1">IF($R1027="","",IF(XKNVLSX!$X$1="",IF($P1027=$V$7,$P1027, IF(COUNTIFS($C$2:$C1026,$C1027,$E$2:$E1026,$E1027)&gt;=1,"",$P1027)),     IF(AND(IFERROR(SEARCH($R1027,XKNVLSX!$X$1,1),0)&gt;=1,$P1027=$V$7),$P1027, IF(OR($R1027&lt;&gt;IF(IFERROR(SEARCH($R1027,XKNVLSX!$X$1,1),0)&gt;=1,$R1027,XKNVLSX!$X$1),COUNTIFS($C$2:$C1026,$C1027,$E$2:$E1026,$E1027,$Q$2:$Q1026,$P1027)&gt;=1),"",$P1027))))</f>
        <v/>
      </c>
      <c r="R1027" s="1017" t="str">
        <f ca="1">IF($A1027="","",IFERROR(INDEX(TinhGia!$BF$10:$BF$81,MATCH($A1027,TinhGia!$B$10:$B$81,0)),""))</f>
        <v/>
      </c>
      <c r="S1027" s="1012" t="str">
        <f ca="1">IF($A1027="","",IF(OR(IFERROR(SEARCH($R1027,XKNVLSX!$X$1,1),0)&gt;=1,XKNVLSX!$X$1=""),$S$2,""))</f>
        <v/>
      </c>
      <c r="T1027" s="1018" t="str">
        <f ca="1">IF($C1027="","", IF(OR($P1027=$V$1,$P1027=$V$7,COUNTIFS($C$3:$C1027,$C1027,$E$3:$E1027,$E1027)&lt;=1),$P1027,""    ))</f>
        <v/>
      </c>
      <c r="U1027" s="1019" t="str">
        <f ca="1">IF(AND($P1027=$V$2,COUNTIFS($C$3:$C1027,$C1027,$E$3:$E1027,$E1027,$G$3:$G1027,$G1027)&lt;=1),$P1027,"")</f>
        <v/>
      </c>
    </row>
    <row r="1028" spans="1:21">
      <c r="A1028" s="991" t="str">
        <f ca="1">IFERROR(IF(COUNTIF($A$3:A1027,A1027)&lt; INDEX(TinhGia!$BH$10:$BH$81,MATCH($A1027,TinhGia!$B$10:$B$81,0)),$A1027,INDEX(TinhGia!$B$10:$B$81,MATCH($A1027,TinhGia!$B$10:$B$81,0)+1)),"")</f>
        <v/>
      </c>
      <c r="B1028" s="525" t="str">
        <f ca="1">IF(OR(A1028="",A1028=0),"",IF(COUNTIF($A$2:A1028,$A1028)=1,ROW(MauKoXoa!$C$108),$B1027+1))</f>
        <v/>
      </c>
      <c r="C1028" s="992" t="str">
        <f t="shared" ca="1" si="165"/>
        <v/>
      </c>
      <c r="D1028" s="993" t="str">
        <f t="shared" ca="1" si="166"/>
        <v/>
      </c>
      <c r="E1028" s="993" t="str">
        <f t="shared" ca="1" si="167"/>
        <v/>
      </c>
      <c r="F1028" s="992" t="str">
        <f t="shared" ca="1" si="178"/>
        <v/>
      </c>
      <c r="G1028" s="994">
        <f t="shared" ca="1" si="168"/>
        <v>0</v>
      </c>
      <c r="H1028" s="913">
        <f t="shared" ca="1" si="169"/>
        <v>0</v>
      </c>
      <c r="I1028" s="913">
        <f t="shared" ca="1" si="170"/>
        <v>0</v>
      </c>
      <c r="J1028" s="995">
        <f t="shared" ref="J1028:J1091" ca="1" si="179">IFERROR(INDIRECT("'" &amp; $A1028 &amp; "'!" &amp; "J" &amp; $B1028),0)</f>
        <v>0</v>
      </c>
      <c r="K1028" s="913">
        <f t="shared" ca="1" si="171"/>
        <v>0</v>
      </c>
      <c r="L1028" s="995">
        <f t="shared" ref="L1028:L1091" ca="1" si="180">+ IFERROR(INDIRECT("'" &amp; $A1028 &amp; "'!" &amp; "K" &amp; $B1028),0)</f>
        <v>0</v>
      </c>
      <c r="M1028" s="913">
        <f t="shared" ca="1" si="172"/>
        <v>0</v>
      </c>
      <c r="N1028" s="996">
        <f t="shared" ca="1" si="173"/>
        <v>0</v>
      </c>
      <c r="O1028" s="997">
        <f t="shared" ca="1" si="174"/>
        <v>0</v>
      </c>
      <c r="P1028" s="1015" t="str">
        <f ca="1">IF($C1028="","",INDEX(NVLSX!$N$2:$N$6941,MATCH($C1028,NVLSX!$E$2:$E$6941,0)))</f>
        <v/>
      </c>
      <c r="Q1028" s="1016" t="str">
        <f ca="1">IF($R1028="","",IF(XKNVLSX!$X$1="",IF($P1028=$V$7,$P1028, IF(COUNTIFS($C$2:$C1027,$C1028,$E$2:$E1027,$E1028)&gt;=1,"",$P1028)),     IF(AND(IFERROR(SEARCH($R1028,XKNVLSX!$X$1,1),0)&gt;=1,$P1028=$V$7),$P1028, IF(OR($R1028&lt;&gt;IF(IFERROR(SEARCH($R1028,XKNVLSX!$X$1,1),0)&gt;=1,$R1028,XKNVLSX!$X$1),COUNTIFS($C$2:$C1027,$C1028,$E$2:$E1027,$E1028,$Q$2:$Q1027,$P1028)&gt;=1),"",$P1028))))</f>
        <v/>
      </c>
      <c r="R1028" s="1017" t="str">
        <f ca="1">IF($A1028="","",IFERROR(INDEX(TinhGia!$BF$10:$BF$81,MATCH($A1028,TinhGia!$B$10:$B$81,0)),""))</f>
        <v/>
      </c>
      <c r="S1028" s="1012" t="str">
        <f ca="1">IF($A1028="","",IF(OR(IFERROR(SEARCH($R1028,XKNVLSX!$X$1,1),0)&gt;=1,XKNVLSX!$X$1=""),$S$2,""))</f>
        <v/>
      </c>
      <c r="T1028" s="1018" t="str">
        <f ca="1">IF($C1028="","", IF(OR($P1028=$V$1,$P1028=$V$7,COUNTIFS($C$3:$C1028,$C1028,$E$3:$E1028,$E1028)&lt;=1),$P1028,""    ))</f>
        <v/>
      </c>
      <c r="U1028" s="1019" t="str">
        <f ca="1">IF(AND($P1028=$V$2,COUNTIFS($C$3:$C1028,$C1028,$E$3:$E1028,$E1028,$G$3:$G1028,$G1028)&lt;=1),$P1028,"")</f>
        <v/>
      </c>
    </row>
    <row r="1029" spans="1:21">
      <c r="A1029" s="991" t="str">
        <f ca="1">IFERROR(IF(COUNTIF($A$3:A1028,A1028)&lt; INDEX(TinhGia!$BH$10:$BH$81,MATCH($A1028,TinhGia!$B$10:$B$81,0)),$A1028,INDEX(TinhGia!$B$10:$B$81,MATCH($A1028,TinhGia!$B$10:$B$81,0)+1)),"")</f>
        <v/>
      </c>
      <c r="B1029" s="525" t="str">
        <f ca="1">IF(OR(A1029="",A1029=0),"",IF(COUNTIF($A$2:A1029,$A1029)=1,ROW(MauKoXoa!$C$108),$B1028+1))</f>
        <v/>
      </c>
      <c r="C1029" s="992" t="str">
        <f t="shared" ca="1" si="165"/>
        <v/>
      </c>
      <c r="D1029" s="993" t="str">
        <f t="shared" ca="1" si="166"/>
        <v/>
      </c>
      <c r="E1029" s="993" t="str">
        <f t="shared" ca="1" si="167"/>
        <v/>
      </c>
      <c r="F1029" s="992" t="str">
        <f t="shared" ca="1" si="178"/>
        <v/>
      </c>
      <c r="G1029" s="994">
        <f t="shared" ca="1" si="168"/>
        <v>0</v>
      </c>
      <c r="H1029" s="913">
        <f t="shared" ca="1" si="169"/>
        <v>0</v>
      </c>
      <c r="I1029" s="913">
        <f t="shared" ca="1" si="170"/>
        <v>0</v>
      </c>
      <c r="J1029" s="995">
        <f t="shared" ca="1" si="179"/>
        <v>0</v>
      </c>
      <c r="K1029" s="913">
        <f t="shared" ca="1" si="171"/>
        <v>0</v>
      </c>
      <c r="L1029" s="995">
        <f t="shared" ca="1" si="180"/>
        <v>0</v>
      </c>
      <c r="M1029" s="913">
        <f t="shared" ca="1" si="172"/>
        <v>0</v>
      </c>
      <c r="N1029" s="996">
        <f t="shared" ca="1" si="173"/>
        <v>0</v>
      </c>
      <c r="O1029" s="997">
        <f t="shared" ca="1" si="174"/>
        <v>0</v>
      </c>
      <c r="P1029" s="1015" t="str">
        <f ca="1">IF($C1029="","",INDEX(NVLSX!$N$2:$N$6941,MATCH($C1029,NVLSX!$E$2:$E$6941,0)))</f>
        <v/>
      </c>
      <c r="Q1029" s="1016" t="str">
        <f ca="1">IF($R1029="","",IF(XKNVLSX!$X$1="",IF($P1029=$V$7,$P1029, IF(COUNTIFS($C$2:$C1028,$C1029,$E$2:$E1028,$E1029)&gt;=1,"",$P1029)),     IF(AND(IFERROR(SEARCH($R1029,XKNVLSX!$X$1,1),0)&gt;=1,$P1029=$V$7),$P1029, IF(OR($R1029&lt;&gt;IF(IFERROR(SEARCH($R1029,XKNVLSX!$X$1,1),0)&gt;=1,$R1029,XKNVLSX!$X$1),COUNTIFS($C$2:$C1028,$C1029,$E$2:$E1028,$E1029,$Q$2:$Q1028,$P1029)&gt;=1),"",$P1029))))</f>
        <v/>
      </c>
      <c r="R1029" s="1017" t="str">
        <f ca="1">IF($A1029="","",IFERROR(INDEX(TinhGia!$BF$10:$BF$81,MATCH($A1029,TinhGia!$B$10:$B$81,0)),""))</f>
        <v/>
      </c>
      <c r="S1029" s="1012" t="str">
        <f ca="1">IF($A1029="","",IF(OR(IFERROR(SEARCH($R1029,XKNVLSX!$X$1,1),0)&gt;=1,XKNVLSX!$X$1=""),$S$2,""))</f>
        <v/>
      </c>
      <c r="T1029" s="1018" t="str">
        <f ca="1">IF($C1029="","", IF(OR($P1029=$V$1,$P1029=$V$7,COUNTIFS($C$3:$C1029,$C1029,$E$3:$E1029,$E1029)&lt;=1),$P1029,""    ))</f>
        <v/>
      </c>
      <c r="U1029" s="1019" t="str">
        <f ca="1">IF(AND($P1029=$V$2,COUNTIFS($C$3:$C1029,$C1029,$E$3:$E1029,$E1029,$G$3:$G1029,$G1029)&lt;=1),$P1029,"")</f>
        <v/>
      </c>
    </row>
    <row r="1030" spans="1:21">
      <c r="A1030" s="991" t="str">
        <f ca="1">IFERROR(IF(COUNTIF($A$3:A1029,A1029)&lt; INDEX(TinhGia!$BH$10:$BH$81,MATCH($A1029,TinhGia!$B$10:$B$81,0)),$A1029,INDEX(TinhGia!$B$10:$B$81,MATCH($A1029,TinhGia!$B$10:$B$81,0)+1)),"")</f>
        <v/>
      </c>
      <c r="B1030" s="525" t="str">
        <f ca="1">IF(OR(A1030="",A1030=0),"",IF(COUNTIF($A$2:A1030,$A1030)=1,ROW(MauKoXoa!$C$108),$B1029+1))</f>
        <v/>
      </c>
      <c r="C1030" s="992" t="str">
        <f t="shared" ca="1" si="165"/>
        <v/>
      </c>
      <c r="D1030" s="993" t="str">
        <f t="shared" ca="1" si="166"/>
        <v/>
      </c>
      <c r="E1030" s="993" t="str">
        <f t="shared" ca="1" si="167"/>
        <v/>
      </c>
      <c r="F1030" s="992" t="str">
        <f t="shared" ca="1" si="178"/>
        <v/>
      </c>
      <c r="G1030" s="994">
        <f t="shared" ca="1" si="168"/>
        <v>0</v>
      </c>
      <c r="H1030" s="913">
        <f t="shared" ca="1" si="169"/>
        <v>0</v>
      </c>
      <c r="I1030" s="913">
        <f t="shared" ca="1" si="170"/>
        <v>0</v>
      </c>
      <c r="J1030" s="995">
        <f t="shared" ca="1" si="179"/>
        <v>0</v>
      </c>
      <c r="K1030" s="913">
        <f t="shared" ca="1" si="171"/>
        <v>0</v>
      </c>
      <c r="L1030" s="995">
        <f t="shared" ca="1" si="180"/>
        <v>0</v>
      </c>
      <c r="M1030" s="913">
        <f t="shared" ca="1" si="172"/>
        <v>0</v>
      </c>
      <c r="N1030" s="996">
        <f t="shared" ca="1" si="173"/>
        <v>0</v>
      </c>
      <c r="O1030" s="997">
        <f t="shared" ca="1" si="174"/>
        <v>0</v>
      </c>
      <c r="P1030" s="1015" t="str">
        <f ca="1">IF($C1030="","",INDEX(NVLSX!$N$2:$N$6941,MATCH($C1030,NVLSX!$E$2:$E$6941,0)))</f>
        <v/>
      </c>
      <c r="Q1030" s="1016" t="str">
        <f ca="1">IF($R1030="","",IF(XKNVLSX!$X$1="",IF($P1030=$V$7,$P1030, IF(COUNTIFS($C$2:$C1029,$C1030,$E$2:$E1029,$E1030)&gt;=1,"",$P1030)),     IF(AND(IFERROR(SEARCH($R1030,XKNVLSX!$X$1,1),0)&gt;=1,$P1030=$V$7),$P1030, IF(OR($R1030&lt;&gt;IF(IFERROR(SEARCH($R1030,XKNVLSX!$X$1,1),0)&gt;=1,$R1030,XKNVLSX!$X$1),COUNTIFS($C$2:$C1029,$C1030,$E$2:$E1029,$E1030,$Q$2:$Q1029,$P1030)&gt;=1),"",$P1030))))</f>
        <v/>
      </c>
      <c r="R1030" s="1017" t="str">
        <f ca="1">IF($A1030="","",IFERROR(INDEX(TinhGia!$BF$10:$BF$81,MATCH($A1030,TinhGia!$B$10:$B$81,0)),""))</f>
        <v/>
      </c>
      <c r="S1030" s="1012" t="str">
        <f ca="1">IF($A1030="","",IF(OR(IFERROR(SEARCH($R1030,XKNVLSX!$X$1,1),0)&gt;=1,XKNVLSX!$X$1=""),$S$2,""))</f>
        <v/>
      </c>
      <c r="T1030" s="1018" t="str">
        <f ca="1">IF($C1030="","", IF(OR($P1030=$V$1,$P1030=$V$7,COUNTIFS($C$3:$C1030,$C1030,$E$3:$E1030,$E1030)&lt;=1),$P1030,""    ))</f>
        <v/>
      </c>
      <c r="U1030" s="1019" t="str">
        <f ca="1">IF(AND($P1030=$V$2,COUNTIFS($C$3:$C1030,$C1030,$E$3:$E1030,$E1030,$G$3:$G1030,$G1030)&lt;=1),$P1030,"")</f>
        <v/>
      </c>
    </row>
    <row r="1031" spans="1:21">
      <c r="A1031" s="991" t="str">
        <f ca="1">IFERROR(IF(COUNTIF($A$3:A1030,A1030)&lt; INDEX(TinhGia!$BH$10:$BH$81,MATCH($A1030,TinhGia!$B$10:$B$81,0)),$A1030,INDEX(TinhGia!$B$10:$B$81,MATCH($A1030,TinhGia!$B$10:$B$81,0)+1)),"")</f>
        <v/>
      </c>
      <c r="B1031" s="525" t="str">
        <f ca="1">IF(OR(A1031="",A1031=0),"",IF(COUNTIF($A$2:A1031,$A1031)=1,ROW(MauKoXoa!$C$108),$B1030+1))</f>
        <v/>
      </c>
      <c r="C1031" s="992" t="str">
        <f t="shared" ca="1" si="165"/>
        <v/>
      </c>
      <c r="D1031" s="993" t="str">
        <f t="shared" ca="1" si="166"/>
        <v/>
      </c>
      <c r="E1031" s="993" t="str">
        <f t="shared" ca="1" si="167"/>
        <v/>
      </c>
      <c r="F1031" s="992" t="str">
        <f t="shared" ca="1" si="178"/>
        <v/>
      </c>
      <c r="G1031" s="994">
        <f t="shared" ca="1" si="168"/>
        <v>0</v>
      </c>
      <c r="H1031" s="913">
        <f t="shared" ca="1" si="169"/>
        <v>0</v>
      </c>
      <c r="I1031" s="913">
        <f t="shared" ca="1" si="170"/>
        <v>0</v>
      </c>
      <c r="J1031" s="995">
        <f t="shared" ca="1" si="179"/>
        <v>0</v>
      </c>
      <c r="K1031" s="913">
        <f t="shared" ca="1" si="171"/>
        <v>0</v>
      </c>
      <c r="L1031" s="995">
        <f t="shared" ca="1" si="180"/>
        <v>0</v>
      </c>
      <c r="M1031" s="913">
        <f t="shared" ca="1" si="172"/>
        <v>0</v>
      </c>
      <c r="N1031" s="996">
        <f t="shared" ca="1" si="173"/>
        <v>0</v>
      </c>
      <c r="O1031" s="997">
        <f t="shared" ca="1" si="174"/>
        <v>0</v>
      </c>
      <c r="P1031" s="1015" t="str">
        <f ca="1">IF($C1031="","",INDEX(NVLSX!$N$2:$N$6941,MATCH($C1031,NVLSX!$E$2:$E$6941,0)))</f>
        <v/>
      </c>
      <c r="Q1031" s="1016" t="str">
        <f ca="1">IF($R1031="","",IF(XKNVLSX!$X$1="",IF($P1031=$V$7,$P1031, IF(COUNTIFS($C$2:$C1030,$C1031,$E$2:$E1030,$E1031)&gt;=1,"",$P1031)),     IF(AND(IFERROR(SEARCH($R1031,XKNVLSX!$X$1,1),0)&gt;=1,$P1031=$V$7),$P1031, IF(OR($R1031&lt;&gt;IF(IFERROR(SEARCH($R1031,XKNVLSX!$X$1,1),0)&gt;=1,$R1031,XKNVLSX!$X$1),COUNTIFS($C$2:$C1030,$C1031,$E$2:$E1030,$E1031,$Q$2:$Q1030,$P1031)&gt;=1),"",$P1031))))</f>
        <v/>
      </c>
      <c r="R1031" s="1017" t="str">
        <f ca="1">IF($A1031="","",IFERROR(INDEX(TinhGia!$BF$10:$BF$81,MATCH($A1031,TinhGia!$B$10:$B$81,0)),""))</f>
        <v/>
      </c>
      <c r="S1031" s="1012" t="str">
        <f ca="1">IF($A1031="","",IF(OR(IFERROR(SEARCH($R1031,XKNVLSX!$X$1,1),0)&gt;=1,XKNVLSX!$X$1=""),$S$2,""))</f>
        <v/>
      </c>
      <c r="T1031" s="1018" t="str">
        <f ca="1">IF($C1031="","", IF(OR($P1031=$V$1,$P1031=$V$7,COUNTIFS($C$3:$C1031,$C1031,$E$3:$E1031,$E1031)&lt;=1),$P1031,""    ))</f>
        <v/>
      </c>
      <c r="U1031" s="1019" t="str">
        <f ca="1">IF(AND($P1031=$V$2,COUNTIFS($C$3:$C1031,$C1031,$E$3:$E1031,$E1031,$G$3:$G1031,$G1031)&lt;=1),$P1031,"")</f>
        <v/>
      </c>
    </row>
    <row r="1032" spans="1:21">
      <c r="A1032" s="991" t="str">
        <f ca="1">IFERROR(IF(COUNTIF($A$3:A1031,A1031)&lt; INDEX(TinhGia!$BH$10:$BH$81,MATCH($A1031,TinhGia!$B$10:$B$81,0)),$A1031,INDEX(TinhGia!$B$10:$B$81,MATCH($A1031,TinhGia!$B$10:$B$81,0)+1)),"")</f>
        <v/>
      </c>
      <c r="B1032" s="525" t="str">
        <f ca="1">IF(OR(A1032="",A1032=0),"",IF(COUNTIF($A$2:A1032,$A1032)=1,ROW(MauKoXoa!$C$108),$B1031+1))</f>
        <v/>
      </c>
      <c r="C1032" s="992" t="str">
        <f t="shared" ca="1" si="165"/>
        <v/>
      </c>
      <c r="D1032" s="993" t="str">
        <f t="shared" ca="1" si="166"/>
        <v/>
      </c>
      <c r="E1032" s="993" t="str">
        <f t="shared" ca="1" si="167"/>
        <v/>
      </c>
      <c r="F1032" s="992" t="str">
        <f t="shared" ca="1" si="178"/>
        <v/>
      </c>
      <c r="G1032" s="994">
        <f t="shared" ca="1" si="168"/>
        <v>0</v>
      </c>
      <c r="H1032" s="913">
        <f t="shared" ca="1" si="169"/>
        <v>0</v>
      </c>
      <c r="I1032" s="913">
        <f t="shared" ca="1" si="170"/>
        <v>0</v>
      </c>
      <c r="J1032" s="995">
        <f t="shared" ca="1" si="179"/>
        <v>0</v>
      </c>
      <c r="K1032" s="913">
        <f t="shared" ca="1" si="171"/>
        <v>0</v>
      </c>
      <c r="L1032" s="995">
        <f t="shared" ca="1" si="180"/>
        <v>0</v>
      </c>
      <c r="M1032" s="913">
        <f t="shared" ca="1" si="172"/>
        <v>0</v>
      </c>
      <c r="N1032" s="996">
        <f t="shared" ca="1" si="173"/>
        <v>0</v>
      </c>
      <c r="O1032" s="997">
        <f t="shared" ca="1" si="174"/>
        <v>0</v>
      </c>
      <c r="P1032" s="1015" t="str">
        <f ca="1">IF($C1032="","",INDEX(NVLSX!$N$2:$N$6941,MATCH($C1032,NVLSX!$E$2:$E$6941,0)))</f>
        <v/>
      </c>
      <c r="Q1032" s="1016" t="str">
        <f ca="1">IF($R1032="","",IF(XKNVLSX!$X$1="",IF($P1032=$V$7,$P1032, IF(COUNTIFS($C$2:$C1031,$C1032,$E$2:$E1031,$E1032)&gt;=1,"",$P1032)),     IF(AND(IFERROR(SEARCH($R1032,XKNVLSX!$X$1,1),0)&gt;=1,$P1032=$V$7),$P1032, IF(OR($R1032&lt;&gt;IF(IFERROR(SEARCH($R1032,XKNVLSX!$X$1,1),0)&gt;=1,$R1032,XKNVLSX!$X$1),COUNTIFS($C$2:$C1031,$C1032,$E$2:$E1031,$E1032,$Q$2:$Q1031,$P1032)&gt;=1),"",$P1032))))</f>
        <v/>
      </c>
      <c r="R1032" s="1017" t="str">
        <f ca="1">IF($A1032="","",IFERROR(INDEX(TinhGia!$BF$10:$BF$81,MATCH($A1032,TinhGia!$B$10:$B$81,0)),""))</f>
        <v/>
      </c>
      <c r="S1032" s="1012" t="str">
        <f ca="1">IF($A1032="","",IF(OR(IFERROR(SEARCH($R1032,XKNVLSX!$X$1,1),0)&gt;=1,XKNVLSX!$X$1=""),$S$2,""))</f>
        <v/>
      </c>
      <c r="T1032" s="1018" t="str">
        <f ca="1">IF($C1032="","", IF(OR($P1032=$V$1,$P1032=$V$7,COUNTIFS($C$3:$C1032,$C1032,$E$3:$E1032,$E1032)&lt;=1),$P1032,""    ))</f>
        <v/>
      </c>
      <c r="U1032" s="1019" t="str">
        <f ca="1">IF(AND($P1032=$V$2,COUNTIFS($C$3:$C1032,$C1032,$E$3:$E1032,$E1032,$G$3:$G1032,$G1032)&lt;=1),$P1032,"")</f>
        <v/>
      </c>
    </row>
    <row r="1033" spans="1:21">
      <c r="A1033" s="991" t="str">
        <f ca="1">IFERROR(IF(COUNTIF($A$3:A1032,A1032)&lt; INDEX(TinhGia!$BH$10:$BH$81,MATCH($A1032,TinhGia!$B$10:$B$81,0)),$A1032,INDEX(TinhGia!$B$10:$B$81,MATCH($A1032,TinhGia!$B$10:$B$81,0)+1)),"")</f>
        <v/>
      </c>
      <c r="B1033" s="525" t="str">
        <f ca="1">IF(OR(A1033="",A1033=0),"",IF(COUNTIF($A$2:A1033,$A1033)=1,ROW(MauKoXoa!$C$108),$B1032+1))</f>
        <v/>
      </c>
      <c r="C1033" s="992" t="str">
        <f t="shared" ca="1" si="165"/>
        <v/>
      </c>
      <c r="D1033" s="993" t="str">
        <f t="shared" ca="1" si="166"/>
        <v/>
      </c>
      <c r="E1033" s="993" t="str">
        <f t="shared" ca="1" si="167"/>
        <v/>
      </c>
      <c r="F1033" s="992" t="str">
        <f t="shared" ca="1" si="178"/>
        <v/>
      </c>
      <c r="G1033" s="994">
        <f t="shared" ca="1" si="168"/>
        <v>0</v>
      </c>
      <c r="H1033" s="913">
        <f t="shared" ca="1" si="169"/>
        <v>0</v>
      </c>
      <c r="I1033" s="913">
        <f t="shared" ca="1" si="170"/>
        <v>0</v>
      </c>
      <c r="J1033" s="995">
        <f t="shared" ca="1" si="179"/>
        <v>0</v>
      </c>
      <c r="K1033" s="913">
        <f t="shared" ca="1" si="171"/>
        <v>0</v>
      </c>
      <c r="L1033" s="995">
        <f t="shared" ca="1" si="180"/>
        <v>0</v>
      </c>
      <c r="M1033" s="913">
        <f t="shared" ca="1" si="172"/>
        <v>0</v>
      </c>
      <c r="N1033" s="996">
        <f t="shared" ca="1" si="173"/>
        <v>0</v>
      </c>
      <c r="O1033" s="997">
        <f t="shared" ca="1" si="174"/>
        <v>0</v>
      </c>
      <c r="P1033" s="1015" t="str">
        <f ca="1">IF($C1033="","",INDEX(NVLSX!$N$2:$N$6941,MATCH($C1033,NVLSX!$E$2:$E$6941,0)))</f>
        <v/>
      </c>
      <c r="Q1033" s="1016" t="str">
        <f ca="1">IF($R1033="","",IF(XKNVLSX!$X$1="",IF($P1033=$V$7,$P1033, IF(COUNTIFS($C$2:$C1032,$C1033,$E$2:$E1032,$E1033)&gt;=1,"",$P1033)),     IF(AND(IFERROR(SEARCH($R1033,XKNVLSX!$X$1,1),0)&gt;=1,$P1033=$V$7),$P1033, IF(OR($R1033&lt;&gt;IF(IFERROR(SEARCH($R1033,XKNVLSX!$X$1,1),0)&gt;=1,$R1033,XKNVLSX!$X$1),COUNTIFS($C$2:$C1032,$C1033,$E$2:$E1032,$E1033,$Q$2:$Q1032,$P1033)&gt;=1),"",$P1033))))</f>
        <v/>
      </c>
      <c r="R1033" s="1017" t="str">
        <f ca="1">IF($A1033="","",IFERROR(INDEX(TinhGia!$BF$10:$BF$81,MATCH($A1033,TinhGia!$B$10:$B$81,0)),""))</f>
        <v/>
      </c>
      <c r="S1033" s="1012" t="str">
        <f ca="1">IF($A1033="","",IF(OR(IFERROR(SEARCH($R1033,XKNVLSX!$X$1,1),0)&gt;=1,XKNVLSX!$X$1=""),$S$2,""))</f>
        <v/>
      </c>
      <c r="T1033" s="1018" t="str">
        <f ca="1">IF($C1033="","", IF(OR($P1033=$V$1,$P1033=$V$7,COUNTIFS($C$3:$C1033,$C1033,$E$3:$E1033,$E1033)&lt;=1),$P1033,""    ))</f>
        <v/>
      </c>
      <c r="U1033" s="1019" t="str">
        <f ca="1">IF(AND($P1033=$V$2,COUNTIFS($C$3:$C1033,$C1033,$E$3:$E1033,$E1033,$G$3:$G1033,$G1033)&lt;=1),$P1033,"")</f>
        <v/>
      </c>
    </row>
    <row r="1034" spans="1:21">
      <c r="A1034" s="991" t="str">
        <f ca="1">IFERROR(IF(COUNTIF($A$3:A1033,A1033)&lt; INDEX(TinhGia!$BH$10:$BH$81,MATCH($A1033,TinhGia!$B$10:$B$81,0)),$A1033,INDEX(TinhGia!$B$10:$B$81,MATCH($A1033,TinhGia!$B$10:$B$81,0)+1)),"")</f>
        <v/>
      </c>
      <c r="B1034" s="525" t="str">
        <f ca="1">IF(OR(A1034="",A1034=0),"",IF(COUNTIF($A$2:A1034,$A1034)=1,ROW(MauKoXoa!$C$108),$B1033+1))</f>
        <v/>
      </c>
      <c r="C1034" s="992" t="str">
        <f t="shared" ca="1" si="165"/>
        <v/>
      </c>
      <c r="D1034" s="993" t="str">
        <f t="shared" ca="1" si="166"/>
        <v/>
      </c>
      <c r="E1034" s="993" t="str">
        <f t="shared" ca="1" si="167"/>
        <v/>
      </c>
      <c r="F1034" s="992" t="str">
        <f t="shared" ca="1" si="178"/>
        <v/>
      </c>
      <c r="G1034" s="994">
        <f t="shared" ca="1" si="168"/>
        <v>0</v>
      </c>
      <c r="H1034" s="913">
        <f t="shared" ca="1" si="169"/>
        <v>0</v>
      </c>
      <c r="I1034" s="913">
        <f t="shared" ca="1" si="170"/>
        <v>0</v>
      </c>
      <c r="J1034" s="995">
        <f t="shared" ca="1" si="179"/>
        <v>0</v>
      </c>
      <c r="K1034" s="913">
        <f t="shared" ca="1" si="171"/>
        <v>0</v>
      </c>
      <c r="L1034" s="995">
        <f t="shared" ca="1" si="180"/>
        <v>0</v>
      </c>
      <c r="M1034" s="913">
        <f t="shared" ca="1" si="172"/>
        <v>0</v>
      </c>
      <c r="N1034" s="996">
        <f t="shared" ca="1" si="173"/>
        <v>0</v>
      </c>
      <c r="O1034" s="997">
        <f t="shared" ca="1" si="174"/>
        <v>0</v>
      </c>
      <c r="P1034" s="1015" t="str">
        <f ca="1">IF($C1034="","",INDEX(NVLSX!$N$2:$N$6941,MATCH($C1034,NVLSX!$E$2:$E$6941,0)))</f>
        <v/>
      </c>
      <c r="Q1034" s="1016" t="str">
        <f ca="1">IF($R1034="","",IF(XKNVLSX!$X$1="",IF($P1034=$V$7,$P1034, IF(COUNTIFS($C$2:$C1033,$C1034,$E$2:$E1033,$E1034)&gt;=1,"",$P1034)),     IF(AND(IFERROR(SEARCH($R1034,XKNVLSX!$X$1,1),0)&gt;=1,$P1034=$V$7),$P1034, IF(OR($R1034&lt;&gt;IF(IFERROR(SEARCH($R1034,XKNVLSX!$X$1,1),0)&gt;=1,$R1034,XKNVLSX!$X$1),COUNTIFS($C$2:$C1033,$C1034,$E$2:$E1033,$E1034,$Q$2:$Q1033,$P1034)&gt;=1),"",$P1034))))</f>
        <v/>
      </c>
      <c r="R1034" s="1017" t="str">
        <f ca="1">IF($A1034="","",IFERROR(INDEX(TinhGia!$BF$10:$BF$81,MATCH($A1034,TinhGia!$B$10:$B$81,0)),""))</f>
        <v/>
      </c>
      <c r="S1034" s="1012" t="str">
        <f ca="1">IF($A1034="","",IF(OR(IFERROR(SEARCH($R1034,XKNVLSX!$X$1,1),0)&gt;=1,XKNVLSX!$X$1=""),$S$2,""))</f>
        <v/>
      </c>
      <c r="T1034" s="1018" t="str">
        <f ca="1">IF($C1034="","", IF(OR($P1034=$V$1,$P1034=$V$7,COUNTIFS($C$3:$C1034,$C1034,$E$3:$E1034,$E1034)&lt;=1),$P1034,""    ))</f>
        <v/>
      </c>
      <c r="U1034" s="1019" t="str">
        <f ca="1">IF(AND($P1034=$V$2,COUNTIFS($C$3:$C1034,$C1034,$E$3:$E1034,$E1034,$G$3:$G1034,$G1034)&lt;=1),$P1034,"")</f>
        <v/>
      </c>
    </row>
    <row r="1035" spans="1:21">
      <c r="A1035" s="991" t="str">
        <f ca="1">IFERROR(IF(COUNTIF($A$3:A1034,A1034)&lt; INDEX(TinhGia!$BH$10:$BH$81,MATCH($A1034,TinhGia!$B$10:$B$81,0)),$A1034,INDEX(TinhGia!$B$10:$B$81,MATCH($A1034,TinhGia!$B$10:$B$81,0)+1)),"")</f>
        <v/>
      </c>
      <c r="B1035" s="525" t="str">
        <f ca="1">IF(OR(A1035="",A1035=0),"",IF(COUNTIF($A$2:A1035,$A1035)=1,ROW(MauKoXoa!$C$108),$B1034+1))</f>
        <v/>
      </c>
      <c r="C1035" s="992" t="str">
        <f t="shared" ca="1" si="165"/>
        <v/>
      </c>
      <c r="D1035" s="993" t="str">
        <f t="shared" ca="1" si="166"/>
        <v/>
      </c>
      <c r="E1035" s="993" t="str">
        <f t="shared" ca="1" si="167"/>
        <v/>
      </c>
      <c r="F1035" s="992" t="str">
        <f t="shared" ca="1" si="178"/>
        <v/>
      </c>
      <c r="G1035" s="994">
        <f t="shared" ca="1" si="168"/>
        <v>0</v>
      </c>
      <c r="H1035" s="913">
        <f t="shared" ca="1" si="169"/>
        <v>0</v>
      </c>
      <c r="I1035" s="913">
        <f t="shared" ca="1" si="170"/>
        <v>0</v>
      </c>
      <c r="J1035" s="995">
        <f t="shared" ca="1" si="179"/>
        <v>0</v>
      </c>
      <c r="K1035" s="913">
        <f t="shared" ca="1" si="171"/>
        <v>0</v>
      </c>
      <c r="L1035" s="995">
        <f t="shared" ca="1" si="180"/>
        <v>0</v>
      </c>
      <c r="M1035" s="913">
        <f t="shared" ca="1" si="172"/>
        <v>0</v>
      </c>
      <c r="N1035" s="996">
        <f t="shared" ca="1" si="173"/>
        <v>0</v>
      </c>
      <c r="O1035" s="997">
        <f t="shared" ca="1" si="174"/>
        <v>0</v>
      </c>
      <c r="P1035" s="1015" t="str">
        <f ca="1">IF($C1035="","",INDEX(NVLSX!$N$2:$N$6941,MATCH($C1035,NVLSX!$E$2:$E$6941,0)))</f>
        <v/>
      </c>
      <c r="Q1035" s="1016" t="str">
        <f ca="1">IF($R1035="","",IF(XKNVLSX!$X$1="",IF($P1035=$V$7,$P1035, IF(COUNTIFS($C$2:$C1034,$C1035,$E$2:$E1034,$E1035)&gt;=1,"",$P1035)),     IF(AND(IFERROR(SEARCH($R1035,XKNVLSX!$X$1,1),0)&gt;=1,$P1035=$V$7),$P1035, IF(OR($R1035&lt;&gt;IF(IFERROR(SEARCH($R1035,XKNVLSX!$X$1,1),0)&gt;=1,$R1035,XKNVLSX!$X$1),COUNTIFS($C$2:$C1034,$C1035,$E$2:$E1034,$E1035,$Q$2:$Q1034,$P1035)&gt;=1),"",$P1035))))</f>
        <v/>
      </c>
      <c r="R1035" s="1017" t="str">
        <f ca="1">IF($A1035="","",IFERROR(INDEX(TinhGia!$BF$10:$BF$81,MATCH($A1035,TinhGia!$B$10:$B$81,0)),""))</f>
        <v/>
      </c>
      <c r="S1035" s="1012" t="str">
        <f ca="1">IF($A1035="","",IF(OR(IFERROR(SEARCH($R1035,XKNVLSX!$X$1,1),0)&gt;=1,XKNVLSX!$X$1=""),$S$2,""))</f>
        <v/>
      </c>
      <c r="T1035" s="1018" t="str">
        <f ca="1">IF($C1035="","", IF(OR($P1035=$V$1,$P1035=$V$7,COUNTIFS($C$3:$C1035,$C1035,$E$3:$E1035,$E1035)&lt;=1),$P1035,""    ))</f>
        <v/>
      </c>
      <c r="U1035" s="1019" t="str">
        <f ca="1">IF(AND($P1035=$V$2,COUNTIFS($C$3:$C1035,$C1035,$E$3:$E1035,$E1035,$G$3:$G1035,$G1035)&lt;=1),$P1035,"")</f>
        <v/>
      </c>
    </row>
    <row r="1036" spans="1:21">
      <c r="A1036" s="991" t="str">
        <f ca="1">IFERROR(IF(COUNTIF($A$3:A1035,A1035)&lt; INDEX(TinhGia!$BH$10:$BH$81,MATCH($A1035,TinhGia!$B$10:$B$81,0)),$A1035,INDEX(TinhGia!$B$10:$B$81,MATCH($A1035,TinhGia!$B$10:$B$81,0)+1)),"")</f>
        <v/>
      </c>
      <c r="B1036" s="525" t="str">
        <f ca="1">IF(OR(A1036="",A1036=0),"",IF(COUNTIF($A$2:A1036,$A1036)=1,ROW(MauKoXoa!$C$108),$B1035+1))</f>
        <v/>
      </c>
      <c r="C1036" s="992" t="str">
        <f t="shared" ca="1" si="165"/>
        <v/>
      </c>
      <c r="D1036" s="993" t="str">
        <f t="shared" ca="1" si="166"/>
        <v/>
      </c>
      <c r="E1036" s="993" t="str">
        <f t="shared" ca="1" si="167"/>
        <v/>
      </c>
      <c r="F1036" s="992" t="str">
        <f t="shared" ca="1" si="178"/>
        <v/>
      </c>
      <c r="G1036" s="994">
        <f t="shared" ca="1" si="168"/>
        <v>0</v>
      </c>
      <c r="H1036" s="913">
        <f t="shared" ca="1" si="169"/>
        <v>0</v>
      </c>
      <c r="I1036" s="913">
        <f t="shared" ca="1" si="170"/>
        <v>0</v>
      </c>
      <c r="J1036" s="995">
        <f t="shared" ca="1" si="179"/>
        <v>0</v>
      </c>
      <c r="K1036" s="913">
        <f t="shared" ca="1" si="171"/>
        <v>0</v>
      </c>
      <c r="L1036" s="995">
        <f t="shared" ca="1" si="180"/>
        <v>0</v>
      </c>
      <c r="M1036" s="913">
        <f t="shared" ca="1" si="172"/>
        <v>0</v>
      </c>
      <c r="N1036" s="996">
        <f t="shared" ca="1" si="173"/>
        <v>0</v>
      </c>
      <c r="O1036" s="997">
        <f t="shared" ca="1" si="174"/>
        <v>0</v>
      </c>
      <c r="P1036" s="1015" t="str">
        <f ca="1">IF($C1036="","",INDEX(NVLSX!$N$2:$N$6941,MATCH($C1036,NVLSX!$E$2:$E$6941,0)))</f>
        <v/>
      </c>
      <c r="Q1036" s="1016" t="str">
        <f ca="1">IF($R1036="","",IF(XKNVLSX!$X$1="",IF($P1036=$V$7,$P1036, IF(COUNTIFS($C$2:$C1035,$C1036,$E$2:$E1035,$E1036)&gt;=1,"",$P1036)),     IF(AND(IFERROR(SEARCH($R1036,XKNVLSX!$X$1,1),0)&gt;=1,$P1036=$V$7),$P1036, IF(OR($R1036&lt;&gt;IF(IFERROR(SEARCH($R1036,XKNVLSX!$X$1,1),0)&gt;=1,$R1036,XKNVLSX!$X$1),COUNTIFS($C$2:$C1035,$C1036,$E$2:$E1035,$E1036,$Q$2:$Q1035,$P1036)&gt;=1),"",$P1036))))</f>
        <v/>
      </c>
      <c r="R1036" s="1017" t="str">
        <f ca="1">IF($A1036="","",IFERROR(INDEX(TinhGia!$BF$10:$BF$81,MATCH($A1036,TinhGia!$B$10:$B$81,0)),""))</f>
        <v/>
      </c>
      <c r="S1036" s="1012" t="str">
        <f ca="1">IF($A1036="","",IF(OR(IFERROR(SEARCH($R1036,XKNVLSX!$X$1,1),0)&gt;=1,XKNVLSX!$X$1=""),$S$2,""))</f>
        <v/>
      </c>
      <c r="T1036" s="1018" t="str">
        <f ca="1">IF($C1036="","", IF(OR($P1036=$V$1,$P1036=$V$7,COUNTIFS($C$3:$C1036,$C1036,$E$3:$E1036,$E1036)&lt;=1),$P1036,""    ))</f>
        <v/>
      </c>
      <c r="U1036" s="1019" t="str">
        <f ca="1">IF(AND($P1036=$V$2,COUNTIFS($C$3:$C1036,$C1036,$E$3:$E1036,$E1036,$G$3:$G1036,$G1036)&lt;=1),$P1036,"")</f>
        <v/>
      </c>
    </row>
    <row r="1037" spans="1:21">
      <c r="A1037" s="991" t="str">
        <f ca="1">IFERROR(IF(COUNTIF($A$3:A1036,A1036)&lt; INDEX(TinhGia!$BH$10:$BH$81,MATCH($A1036,TinhGia!$B$10:$B$81,0)),$A1036,INDEX(TinhGia!$B$10:$B$81,MATCH($A1036,TinhGia!$B$10:$B$81,0)+1)),"")</f>
        <v/>
      </c>
      <c r="B1037" s="525" t="str">
        <f ca="1">IF(OR(A1037="",A1037=0),"",IF(COUNTIF($A$2:A1037,$A1037)=1,ROW(MauKoXoa!$C$108),$B1036+1))</f>
        <v/>
      </c>
      <c r="C1037" s="992" t="str">
        <f t="shared" ca="1" si="165"/>
        <v/>
      </c>
      <c r="D1037" s="993" t="str">
        <f t="shared" ca="1" si="166"/>
        <v/>
      </c>
      <c r="E1037" s="993" t="str">
        <f t="shared" ca="1" si="167"/>
        <v/>
      </c>
      <c r="F1037" s="992" t="str">
        <f t="shared" ca="1" si="178"/>
        <v/>
      </c>
      <c r="G1037" s="994">
        <f t="shared" ca="1" si="168"/>
        <v>0</v>
      </c>
      <c r="H1037" s="913">
        <f t="shared" ca="1" si="169"/>
        <v>0</v>
      </c>
      <c r="I1037" s="913">
        <f t="shared" ca="1" si="170"/>
        <v>0</v>
      </c>
      <c r="J1037" s="995">
        <f t="shared" ca="1" si="179"/>
        <v>0</v>
      </c>
      <c r="K1037" s="913">
        <f t="shared" ca="1" si="171"/>
        <v>0</v>
      </c>
      <c r="L1037" s="995">
        <f t="shared" ca="1" si="180"/>
        <v>0</v>
      </c>
      <c r="M1037" s="913">
        <f t="shared" ca="1" si="172"/>
        <v>0</v>
      </c>
      <c r="N1037" s="996">
        <f t="shared" ca="1" si="173"/>
        <v>0</v>
      </c>
      <c r="O1037" s="997">
        <f t="shared" ca="1" si="174"/>
        <v>0</v>
      </c>
      <c r="P1037" s="1015" t="str">
        <f ca="1">IF($C1037="","",INDEX(NVLSX!$N$2:$N$6941,MATCH($C1037,NVLSX!$E$2:$E$6941,0)))</f>
        <v/>
      </c>
      <c r="Q1037" s="1016" t="str">
        <f ca="1">IF($R1037="","",IF(XKNVLSX!$X$1="",IF($P1037=$V$7,$P1037, IF(COUNTIFS($C$2:$C1036,$C1037,$E$2:$E1036,$E1037)&gt;=1,"",$P1037)),     IF(AND(IFERROR(SEARCH($R1037,XKNVLSX!$X$1,1),0)&gt;=1,$P1037=$V$7),$P1037, IF(OR($R1037&lt;&gt;IF(IFERROR(SEARCH($R1037,XKNVLSX!$X$1,1),0)&gt;=1,$R1037,XKNVLSX!$X$1),COUNTIFS($C$2:$C1036,$C1037,$E$2:$E1036,$E1037,$Q$2:$Q1036,$P1037)&gt;=1),"",$P1037))))</f>
        <v/>
      </c>
      <c r="R1037" s="1017" t="str">
        <f ca="1">IF($A1037="","",IFERROR(INDEX(TinhGia!$BF$10:$BF$81,MATCH($A1037,TinhGia!$B$10:$B$81,0)),""))</f>
        <v/>
      </c>
      <c r="S1037" s="1012" t="str">
        <f ca="1">IF($A1037="","",IF(OR(IFERROR(SEARCH($R1037,XKNVLSX!$X$1,1),0)&gt;=1,XKNVLSX!$X$1=""),$S$2,""))</f>
        <v/>
      </c>
      <c r="T1037" s="1018" t="str">
        <f ca="1">IF($C1037="","", IF(OR($P1037=$V$1,$P1037=$V$7,COUNTIFS($C$3:$C1037,$C1037,$E$3:$E1037,$E1037)&lt;=1),$P1037,""    ))</f>
        <v/>
      </c>
      <c r="U1037" s="1019" t="str">
        <f ca="1">IF(AND($P1037=$V$2,COUNTIFS($C$3:$C1037,$C1037,$E$3:$E1037,$E1037,$G$3:$G1037,$G1037)&lt;=1),$P1037,"")</f>
        <v/>
      </c>
    </row>
    <row r="1038" spans="1:21">
      <c r="A1038" s="991" t="str">
        <f ca="1">IFERROR(IF(COUNTIF($A$3:A1037,A1037)&lt; INDEX(TinhGia!$BH$10:$BH$81,MATCH($A1037,TinhGia!$B$10:$B$81,0)),$A1037,INDEX(TinhGia!$B$10:$B$81,MATCH($A1037,TinhGia!$B$10:$B$81,0)+1)),"")</f>
        <v/>
      </c>
      <c r="B1038" s="525" t="str">
        <f ca="1">IF(OR(A1038="",A1038=0),"",IF(COUNTIF($A$2:A1038,$A1038)=1,ROW(MauKoXoa!$C$108),$B1037+1))</f>
        <v/>
      </c>
      <c r="C1038" s="992" t="str">
        <f t="shared" ca="1" si="165"/>
        <v/>
      </c>
      <c r="D1038" s="993" t="str">
        <f t="shared" ca="1" si="166"/>
        <v/>
      </c>
      <c r="E1038" s="993" t="str">
        <f t="shared" ca="1" si="167"/>
        <v/>
      </c>
      <c r="F1038" s="992" t="str">
        <f t="shared" ca="1" si="178"/>
        <v/>
      </c>
      <c r="G1038" s="994">
        <f t="shared" ca="1" si="168"/>
        <v>0</v>
      </c>
      <c r="H1038" s="913">
        <f t="shared" ca="1" si="169"/>
        <v>0</v>
      </c>
      <c r="I1038" s="913">
        <f t="shared" ca="1" si="170"/>
        <v>0</v>
      </c>
      <c r="J1038" s="995">
        <f t="shared" ca="1" si="179"/>
        <v>0</v>
      </c>
      <c r="K1038" s="913">
        <f t="shared" ca="1" si="171"/>
        <v>0</v>
      </c>
      <c r="L1038" s="995">
        <f t="shared" ca="1" si="180"/>
        <v>0</v>
      </c>
      <c r="M1038" s="913">
        <f t="shared" ca="1" si="172"/>
        <v>0</v>
      </c>
      <c r="N1038" s="996">
        <f t="shared" ca="1" si="173"/>
        <v>0</v>
      </c>
      <c r="O1038" s="997">
        <f t="shared" ca="1" si="174"/>
        <v>0</v>
      </c>
      <c r="P1038" s="1015" t="str">
        <f ca="1">IF($C1038="","",INDEX(NVLSX!$N$2:$N$6941,MATCH($C1038,NVLSX!$E$2:$E$6941,0)))</f>
        <v/>
      </c>
      <c r="Q1038" s="1016" t="str">
        <f ca="1">IF($R1038="","",IF(XKNVLSX!$X$1="",IF($P1038=$V$7,$P1038, IF(COUNTIFS($C$2:$C1037,$C1038,$E$2:$E1037,$E1038)&gt;=1,"",$P1038)),     IF(AND(IFERROR(SEARCH($R1038,XKNVLSX!$X$1,1),0)&gt;=1,$P1038=$V$7),$P1038, IF(OR($R1038&lt;&gt;IF(IFERROR(SEARCH($R1038,XKNVLSX!$X$1,1),0)&gt;=1,$R1038,XKNVLSX!$X$1),COUNTIFS($C$2:$C1037,$C1038,$E$2:$E1037,$E1038,$Q$2:$Q1037,$P1038)&gt;=1),"",$P1038))))</f>
        <v/>
      </c>
      <c r="R1038" s="1017" t="str">
        <f ca="1">IF($A1038="","",IFERROR(INDEX(TinhGia!$BF$10:$BF$81,MATCH($A1038,TinhGia!$B$10:$B$81,0)),""))</f>
        <v/>
      </c>
      <c r="S1038" s="1012" t="str">
        <f ca="1">IF($A1038="","",IF(OR(IFERROR(SEARCH($R1038,XKNVLSX!$X$1,1),0)&gt;=1,XKNVLSX!$X$1=""),$S$2,""))</f>
        <v/>
      </c>
      <c r="T1038" s="1018" t="str">
        <f ca="1">IF($C1038="","", IF(OR($P1038=$V$1,$P1038=$V$7,COUNTIFS($C$3:$C1038,$C1038,$E$3:$E1038,$E1038)&lt;=1),$P1038,""    ))</f>
        <v/>
      </c>
      <c r="U1038" s="1019" t="str">
        <f ca="1">IF(AND($P1038=$V$2,COUNTIFS($C$3:$C1038,$C1038,$E$3:$E1038,$E1038,$G$3:$G1038,$G1038)&lt;=1),$P1038,"")</f>
        <v/>
      </c>
    </row>
    <row r="1039" spans="1:21">
      <c r="A1039" s="991" t="str">
        <f ca="1">IFERROR(IF(COUNTIF($A$3:A1038,A1038)&lt; INDEX(TinhGia!$BH$10:$BH$81,MATCH($A1038,TinhGia!$B$10:$B$81,0)),$A1038,INDEX(TinhGia!$B$10:$B$81,MATCH($A1038,TinhGia!$B$10:$B$81,0)+1)),"")</f>
        <v/>
      </c>
      <c r="B1039" s="525" t="str">
        <f ca="1">IF(OR(A1039="",A1039=0),"",IF(COUNTIF($A$2:A1039,$A1039)=1,ROW(MauKoXoa!$C$108),$B1038+1))</f>
        <v/>
      </c>
      <c r="C1039" s="992" t="str">
        <f t="shared" ca="1" si="165"/>
        <v/>
      </c>
      <c r="D1039" s="993" t="str">
        <f t="shared" ca="1" si="166"/>
        <v/>
      </c>
      <c r="E1039" s="993" t="str">
        <f t="shared" ca="1" si="167"/>
        <v/>
      </c>
      <c r="F1039" s="992" t="str">
        <f t="shared" ca="1" si="178"/>
        <v/>
      </c>
      <c r="G1039" s="994">
        <f t="shared" ca="1" si="168"/>
        <v>0</v>
      </c>
      <c r="H1039" s="913">
        <f t="shared" ca="1" si="169"/>
        <v>0</v>
      </c>
      <c r="I1039" s="913">
        <f t="shared" ca="1" si="170"/>
        <v>0</v>
      </c>
      <c r="J1039" s="995">
        <f t="shared" ca="1" si="179"/>
        <v>0</v>
      </c>
      <c r="K1039" s="913">
        <f t="shared" ca="1" si="171"/>
        <v>0</v>
      </c>
      <c r="L1039" s="995">
        <f t="shared" ca="1" si="180"/>
        <v>0</v>
      </c>
      <c r="M1039" s="913">
        <f t="shared" ca="1" si="172"/>
        <v>0</v>
      </c>
      <c r="N1039" s="996">
        <f t="shared" ca="1" si="173"/>
        <v>0</v>
      </c>
      <c r="O1039" s="997">
        <f t="shared" ca="1" si="174"/>
        <v>0</v>
      </c>
      <c r="P1039" s="1015" t="str">
        <f ca="1">IF($C1039="","",INDEX(NVLSX!$N$2:$N$6941,MATCH($C1039,NVLSX!$E$2:$E$6941,0)))</f>
        <v/>
      </c>
      <c r="Q1039" s="1016" t="str">
        <f ca="1">IF($R1039="","",IF(XKNVLSX!$X$1="",IF($P1039=$V$7,$P1039, IF(COUNTIFS($C$2:$C1038,$C1039,$E$2:$E1038,$E1039)&gt;=1,"",$P1039)),     IF(AND(IFERROR(SEARCH($R1039,XKNVLSX!$X$1,1),0)&gt;=1,$P1039=$V$7),$P1039, IF(OR($R1039&lt;&gt;IF(IFERROR(SEARCH($R1039,XKNVLSX!$X$1,1),0)&gt;=1,$R1039,XKNVLSX!$X$1),COUNTIFS($C$2:$C1038,$C1039,$E$2:$E1038,$E1039,$Q$2:$Q1038,$P1039)&gt;=1),"",$P1039))))</f>
        <v/>
      </c>
      <c r="R1039" s="1017" t="str">
        <f ca="1">IF($A1039="","",IFERROR(INDEX(TinhGia!$BF$10:$BF$81,MATCH($A1039,TinhGia!$B$10:$B$81,0)),""))</f>
        <v/>
      </c>
      <c r="S1039" s="1012" t="str">
        <f ca="1">IF($A1039="","",IF(OR(IFERROR(SEARCH($R1039,XKNVLSX!$X$1,1),0)&gt;=1,XKNVLSX!$X$1=""),$S$2,""))</f>
        <v/>
      </c>
      <c r="T1039" s="1018" t="str">
        <f ca="1">IF($C1039="","", IF(OR($P1039=$V$1,$P1039=$V$7,COUNTIFS($C$3:$C1039,$C1039,$E$3:$E1039,$E1039)&lt;=1),$P1039,""    ))</f>
        <v/>
      </c>
      <c r="U1039" s="1019" t="str">
        <f ca="1">IF(AND($P1039=$V$2,COUNTIFS($C$3:$C1039,$C1039,$E$3:$E1039,$E1039,$G$3:$G1039,$G1039)&lt;=1),$P1039,"")</f>
        <v/>
      </c>
    </row>
    <row r="1040" spans="1:21">
      <c r="A1040" s="991" t="str">
        <f ca="1">IFERROR(IF(COUNTIF($A$3:A1039,A1039)&lt; INDEX(TinhGia!$BH$10:$BH$81,MATCH($A1039,TinhGia!$B$10:$B$81,0)),$A1039,INDEX(TinhGia!$B$10:$B$81,MATCH($A1039,TinhGia!$B$10:$B$81,0)+1)),"")</f>
        <v/>
      </c>
      <c r="B1040" s="525" t="str">
        <f ca="1">IF(OR(A1040="",A1040=0),"",IF(COUNTIF($A$2:A1040,$A1040)=1,ROW(MauKoXoa!$C$108),$B1039+1))</f>
        <v/>
      </c>
      <c r="C1040" s="992" t="str">
        <f t="shared" ca="1" si="165"/>
        <v/>
      </c>
      <c r="D1040" s="993" t="str">
        <f t="shared" ca="1" si="166"/>
        <v/>
      </c>
      <c r="E1040" s="993" t="str">
        <f t="shared" ca="1" si="167"/>
        <v/>
      </c>
      <c r="F1040" s="992" t="str">
        <f t="shared" ca="1" si="178"/>
        <v/>
      </c>
      <c r="G1040" s="994">
        <f t="shared" ca="1" si="168"/>
        <v>0</v>
      </c>
      <c r="H1040" s="913">
        <f t="shared" ca="1" si="169"/>
        <v>0</v>
      </c>
      <c r="I1040" s="913">
        <f t="shared" ca="1" si="170"/>
        <v>0</v>
      </c>
      <c r="J1040" s="995">
        <f t="shared" ca="1" si="179"/>
        <v>0</v>
      </c>
      <c r="K1040" s="913">
        <f t="shared" ca="1" si="171"/>
        <v>0</v>
      </c>
      <c r="L1040" s="995">
        <f t="shared" ca="1" si="180"/>
        <v>0</v>
      </c>
      <c r="M1040" s="913">
        <f t="shared" ca="1" si="172"/>
        <v>0</v>
      </c>
      <c r="N1040" s="996">
        <f t="shared" ca="1" si="173"/>
        <v>0</v>
      </c>
      <c r="O1040" s="997">
        <f t="shared" ca="1" si="174"/>
        <v>0</v>
      </c>
      <c r="P1040" s="1015" t="str">
        <f ca="1">IF($C1040="","",INDEX(NVLSX!$N$2:$N$6941,MATCH($C1040,NVLSX!$E$2:$E$6941,0)))</f>
        <v/>
      </c>
      <c r="Q1040" s="1016" t="str">
        <f ca="1">IF($R1040="","",IF(XKNVLSX!$X$1="",IF($P1040=$V$7,$P1040, IF(COUNTIFS($C$2:$C1039,$C1040,$E$2:$E1039,$E1040)&gt;=1,"",$P1040)),     IF(AND(IFERROR(SEARCH($R1040,XKNVLSX!$X$1,1),0)&gt;=1,$P1040=$V$7),$P1040, IF(OR($R1040&lt;&gt;IF(IFERROR(SEARCH($R1040,XKNVLSX!$X$1,1),0)&gt;=1,$R1040,XKNVLSX!$X$1),COUNTIFS($C$2:$C1039,$C1040,$E$2:$E1039,$E1040,$Q$2:$Q1039,$P1040)&gt;=1),"",$P1040))))</f>
        <v/>
      </c>
      <c r="R1040" s="1017" t="str">
        <f ca="1">IF($A1040="","",IFERROR(INDEX(TinhGia!$BF$10:$BF$81,MATCH($A1040,TinhGia!$B$10:$B$81,0)),""))</f>
        <v/>
      </c>
      <c r="S1040" s="1012" t="str">
        <f ca="1">IF($A1040="","",IF(OR(IFERROR(SEARCH($R1040,XKNVLSX!$X$1,1),0)&gt;=1,XKNVLSX!$X$1=""),$S$2,""))</f>
        <v/>
      </c>
      <c r="T1040" s="1018" t="str">
        <f ca="1">IF($C1040="","", IF(OR($P1040=$V$1,$P1040=$V$7,COUNTIFS($C$3:$C1040,$C1040,$E$3:$E1040,$E1040)&lt;=1),$P1040,""    ))</f>
        <v/>
      </c>
      <c r="U1040" s="1019" t="str">
        <f ca="1">IF(AND($P1040=$V$2,COUNTIFS($C$3:$C1040,$C1040,$E$3:$E1040,$E1040,$G$3:$G1040,$G1040)&lt;=1),$P1040,"")</f>
        <v/>
      </c>
    </row>
    <row r="1041" spans="1:21">
      <c r="A1041" s="991" t="str">
        <f ca="1">IFERROR(IF(COUNTIF($A$3:A1040,A1040)&lt; INDEX(TinhGia!$BH$10:$BH$81,MATCH($A1040,TinhGia!$B$10:$B$81,0)),$A1040,INDEX(TinhGia!$B$10:$B$81,MATCH($A1040,TinhGia!$B$10:$B$81,0)+1)),"")</f>
        <v/>
      </c>
      <c r="B1041" s="525" t="str">
        <f ca="1">IF(OR(A1041="",A1041=0),"",IF(COUNTIF($A$2:A1041,$A1041)=1,ROW(MauKoXoa!$C$108),$B1040+1))</f>
        <v/>
      </c>
      <c r="C1041" s="992" t="str">
        <f t="shared" ca="1" si="165"/>
        <v/>
      </c>
      <c r="D1041" s="993" t="str">
        <f t="shared" ca="1" si="166"/>
        <v/>
      </c>
      <c r="E1041" s="993" t="str">
        <f t="shared" ca="1" si="167"/>
        <v/>
      </c>
      <c r="F1041" s="992" t="str">
        <f t="shared" ca="1" si="178"/>
        <v/>
      </c>
      <c r="G1041" s="994">
        <f t="shared" ca="1" si="168"/>
        <v>0</v>
      </c>
      <c r="H1041" s="913">
        <f t="shared" ca="1" si="169"/>
        <v>0</v>
      </c>
      <c r="I1041" s="913">
        <f t="shared" ca="1" si="170"/>
        <v>0</v>
      </c>
      <c r="J1041" s="995">
        <f t="shared" ca="1" si="179"/>
        <v>0</v>
      </c>
      <c r="K1041" s="913">
        <f t="shared" ca="1" si="171"/>
        <v>0</v>
      </c>
      <c r="L1041" s="995">
        <f t="shared" ca="1" si="180"/>
        <v>0</v>
      </c>
      <c r="M1041" s="913">
        <f t="shared" ca="1" si="172"/>
        <v>0</v>
      </c>
      <c r="N1041" s="996">
        <f t="shared" ca="1" si="173"/>
        <v>0</v>
      </c>
      <c r="O1041" s="997">
        <f t="shared" ca="1" si="174"/>
        <v>0</v>
      </c>
      <c r="P1041" s="1015" t="str">
        <f ca="1">IF($C1041="","",INDEX(NVLSX!$N$2:$N$6941,MATCH($C1041,NVLSX!$E$2:$E$6941,0)))</f>
        <v/>
      </c>
      <c r="Q1041" s="1016" t="str">
        <f ca="1">IF($R1041="","",IF(XKNVLSX!$X$1="",IF($P1041=$V$7,$P1041, IF(COUNTIFS($C$2:$C1040,$C1041,$E$2:$E1040,$E1041)&gt;=1,"",$P1041)),     IF(AND(IFERROR(SEARCH($R1041,XKNVLSX!$X$1,1),0)&gt;=1,$P1041=$V$7),$P1041, IF(OR($R1041&lt;&gt;IF(IFERROR(SEARCH($R1041,XKNVLSX!$X$1,1),0)&gt;=1,$R1041,XKNVLSX!$X$1),COUNTIFS($C$2:$C1040,$C1041,$E$2:$E1040,$E1041,$Q$2:$Q1040,$P1041)&gt;=1),"",$P1041))))</f>
        <v/>
      </c>
      <c r="R1041" s="1017" t="str">
        <f ca="1">IF($A1041="","",IFERROR(INDEX(TinhGia!$BF$10:$BF$81,MATCH($A1041,TinhGia!$B$10:$B$81,0)),""))</f>
        <v/>
      </c>
      <c r="S1041" s="1012" t="str">
        <f ca="1">IF($A1041="","",IF(OR(IFERROR(SEARCH($R1041,XKNVLSX!$X$1,1),0)&gt;=1,XKNVLSX!$X$1=""),$S$2,""))</f>
        <v/>
      </c>
      <c r="T1041" s="1018" t="str">
        <f ca="1">IF($C1041="","", IF(OR($P1041=$V$1,$P1041=$V$7,COUNTIFS($C$3:$C1041,$C1041,$E$3:$E1041,$E1041)&lt;=1),$P1041,""    ))</f>
        <v/>
      </c>
      <c r="U1041" s="1019" t="str">
        <f ca="1">IF(AND($P1041=$V$2,COUNTIFS($C$3:$C1041,$C1041,$E$3:$E1041,$E1041,$G$3:$G1041,$G1041)&lt;=1),$P1041,"")</f>
        <v/>
      </c>
    </row>
    <row r="1042" spans="1:21">
      <c r="A1042" s="991" t="str">
        <f ca="1">IFERROR(IF(COUNTIF($A$3:A1041,A1041)&lt; INDEX(TinhGia!$BH$10:$BH$81,MATCH($A1041,TinhGia!$B$10:$B$81,0)),$A1041,INDEX(TinhGia!$B$10:$B$81,MATCH($A1041,TinhGia!$B$10:$B$81,0)+1)),"")</f>
        <v/>
      </c>
      <c r="B1042" s="525" t="str">
        <f ca="1">IF(OR(A1042="",A1042=0),"",IF(COUNTIF($A$2:A1042,$A1042)=1,ROW(MauKoXoa!$C$108),$B1041+1))</f>
        <v/>
      </c>
      <c r="C1042" s="992" t="str">
        <f t="shared" ca="1" si="165"/>
        <v/>
      </c>
      <c r="D1042" s="993" t="str">
        <f t="shared" ca="1" si="166"/>
        <v/>
      </c>
      <c r="E1042" s="993" t="str">
        <f t="shared" ca="1" si="167"/>
        <v/>
      </c>
      <c r="F1042" s="992" t="str">
        <f t="shared" ca="1" si="178"/>
        <v/>
      </c>
      <c r="G1042" s="994">
        <f t="shared" ca="1" si="168"/>
        <v>0</v>
      </c>
      <c r="H1042" s="913">
        <f t="shared" ca="1" si="169"/>
        <v>0</v>
      </c>
      <c r="I1042" s="913">
        <f t="shared" ca="1" si="170"/>
        <v>0</v>
      </c>
      <c r="J1042" s="995">
        <f t="shared" ca="1" si="179"/>
        <v>0</v>
      </c>
      <c r="K1042" s="913">
        <f t="shared" ca="1" si="171"/>
        <v>0</v>
      </c>
      <c r="L1042" s="995">
        <f t="shared" ca="1" si="180"/>
        <v>0</v>
      </c>
      <c r="M1042" s="913">
        <f t="shared" ca="1" si="172"/>
        <v>0</v>
      </c>
      <c r="N1042" s="996">
        <f t="shared" ca="1" si="173"/>
        <v>0</v>
      </c>
      <c r="O1042" s="997">
        <f t="shared" ca="1" si="174"/>
        <v>0</v>
      </c>
      <c r="P1042" s="1015" t="str">
        <f ca="1">IF($C1042="","",INDEX(NVLSX!$N$2:$N$6941,MATCH($C1042,NVLSX!$E$2:$E$6941,0)))</f>
        <v/>
      </c>
      <c r="Q1042" s="1016" t="str">
        <f ca="1">IF($R1042="","",IF(XKNVLSX!$X$1="",IF($P1042=$V$7,$P1042, IF(COUNTIFS($C$2:$C1041,$C1042,$E$2:$E1041,$E1042)&gt;=1,"",$P1042)),     IF(AND(IFERROR(SEARCH($R1042,XKNVLSX!$X$1,1),0)&gt;=1,$P1042=$V$7),$P1042, IF(OR($R1042&lt;&gt;IF(IFERROR(SEARCH($R1042,XKNVLSX!$X$1,1),0)&gt;=1,$R1042,XKNVLSX!$X$1),COUNTIFS($C$2:$C1041,$C1042,$E$2:$E1041,$E1042,$Q$2:$Q1041,$P1042)&gt;=1),"",$P1042))))</f>
        <v/>
      </c>
      <c r="R1042" s="1017" t="str">
        <f ca="1">IF($A1042="","",IFERROR(INDEX(TinhGia!$BF$10:$BF$81,MATCH($A1042,TinhGia!$B$10:$B$81,0)),""))</f>
        <v/>
      </c>
      <c r="S1042" s="1012" t="str">
        <f ca="1">IF($A1042="","",IF(OR(IFERROR(SEARCH($R1042,XKNVLSX!$X$1,1),0)&gt;=1,XKNVLSX!$X$1=""),$S$2,""))</f>
        <v/>
      </c>
      <c r="T1042" s="1018" t="str">
        <f ca="1">IF($C1042="","", IF(OR($P1042=$V$1,$P1042=$V$7,COUNTIFS($C$3:$C1042,$C1042,$E$3:$E1042,$E1042)&lt;=1),$P1042,""    ))</f>
        <v/>
      </c>
      <c r="U1042" s="1019" t="str">
        <f ca="1">IF(AND($P1042=$V$2,COUNTIFS($C$3:$C1042,$C1042,$E$3:$E1042,$E1042,$G$3:$G1042,$G1042)&lt;=1),$P1042,"")</f>
        <v/>
      </c>
    </row>
    <row r="1043" spans="1:21">
      <c r="A1043" s="991" t="str">
        <f ca="1">IFERROR(IF(COUNTIF($A$3:A1042,A1042)&lt; INDEX(TinhGia!$BH$10:$BH$81,MATCH($A1042,TinhGia!$B$10:$B$81,0)),$A1042,INDEX(TinhGia!$B$10:$B$81,MATCH($A1042,TinhGia!$B$10:$B$81,0)+1)),"")</f>
        <v/>
      </c>
      <c r="B1043" s="525" t="str">
        <f ca="1">IF(OR(A1043="",A1043=0),"",IF(COUNTIF($A$2:A1043,$A1043)=1,ROW(MauKoXoa!$C$108),$B1042+1))</f>
        <v/>
      </c>
      <c r="C1043" s="992" t="str">
        <f t="shared" ca="1" si="165"/>
        <v/>
      </c>
      <c r="D1043" s="993" t="str">
        <f t="shared" ca="1" si="166"/>
        <v/>
      </c>
      <c r="E1043" s="993" t="str">
        <f t="shared" ca="1" si="167"/>
        <v/>
      </c>
      <c r="F1043" s="992" t="str">
        <f t="shared" ca="1" si="178"/>
        <v/>
      </c>
      <c r="G1043" s="994">
        <f t="shared" ca="1" si="168"/>
        <v>0</v>
      </c>
      <c r="H1043" s="913">
        <f t="shared" ca="1" si="169"/>
        <v>0</v>
      </c>
      <c r="I1043" s="913">
        <f t="shared" ca="1" si="170"/>
        <v>0</v>
      </c>
      <c r="J1043" s="995">
        <f t="shared" ca="1" si="179"/>
        <v>0</v>
      </c>
      <c r="K1043" s="913">
        <f t="shared" ca="1" si="171"/>
        <v>0</v>
      </c>
      <c r="L1043" s="995">
        <f t="shared" ca="1" si="180"/>
        <v>0</v>
      </c>
      <c r="M1043" s="913">
        <f t="shared" ca="1" si="172"/>
        <v>0</v>
      </c>
      <c r="N1043" s="996">
        <f t="shared" ca="1" si="173"/>
        <v>0</v>
      </c>
      <c r="O1043" s="997">
        <f t="shared" ca="1" si="174"/>
        <v>0</v>
      </c>
      <c r="P1043" s="1015" t="str">
        <f ca="1">IF($C1043="","",INDEX(NVLSX!$N$2:$N$6941,MATCH($C1043,NVLSX!$E$2:$E$6941,0)))</f>
        <v/>
      </c>
      <c r="Q1043" s="1016" t="str">
        <f ca="1">IF($R1043="","",IF(XKNVLSX!$X$1="",IF($P1043=$V$7,$P1043, IF(COUNTIFS($C$2:$C1042,$C1043,$E$2:$E1042,$E1043)&gt;=1,"",$P1043)),     IF(AND(IFERROR(SEARCH($R1043,XKNVLSX!$X$1,1),0)&gt;=1,$P1043=$V$7),$P1043, IF(OR($R1043&lt;&gt;IF(IFERROR(SEARCH($R1043,XKNVLSX!$X$1,1),0)&gt;=1,$R1043,XKNVLSX!$X$1),COUNTIFS($C$2:$C1042,$C1043,$E$2:$E1042,$E1043,$Q$2:$Q1042,$P1043)&gt;=1),"",$P1043))))</f>
        <v/>
      </c>
      <c r="R1043" s="1017" t="str">
        <f ca="1">IF($A1043="","",IFERROR(INDEX(TinhGia!$BF$10:$BF$81,MATCH($A1043,TinhGia!$B$10:$B$81,0)),""))</f>
        <v/>
      </c>
      <c r="S1043" s="1012" t="str">
        <f ca="1">IF($A1043="","",IF(OR(IFERROR(SEARCH($R1043,XKNVLSX!$X$1,1),0)&gt;=1,XKNVLSX!$X$1=""),$S$2,""))</f>
        <v/>
      </c>
      <c r="T1043" s="1018" t="str">
        <f ca="1">IF($C1043="","", IF(OR($P1043=$V$1,$P1043=$V$7,COUNTIFS($C$3:$C1043,$C1043,$E$3:$E1043,$E1043)&lt;=1),$P1043,""    ))</f>
        <v/>
      </c>
      <c r="U1043" s="1019" t="str">
        <f ca="1">IF(AND($P1043=$V$2,COUNTIFS($C$3:$C1043,$C1043,$E$3:$E1043,$E1043,$G$3:$G1043,$G1043)&lt;=1),$P1043,"")</f>
        <v/>
      </c>
    </row>
    <row r="1044" spans="1:21">
      <c r="A1044" s="991" t="str">
        <f ca="1">IFERROR(IF(COUNTIF($A$3:A1043,A1043)&lt; INDEX(TinhGia!$BH$10:$BH$81,MATCH($A1043,TinhGia!$B$10:$B$81,0)),$A1043,INDEX(TinhGia!$B$10:$B$81,MATCH($A1043,TinhGia!$B$10:$B$81,0)+1)),"")</f>
        <v/>
      </c>
      <c r="B1044" s="525" t="str">
        <f ca="1">IF(OR(A1044="",A1044=0),"",IF(COUNTIF($A$2:A1044,$A1044)=1,ROW(MauKoXoa!$C$108),$B1043+1))</f>
        <v/>
      </c>
      <c r="C1044" s="992" t="str">
        <f t="shared" ca="1" si="165"/>
        <v/>
      </c>
      <c r="D1044" s="993" t="str">
        <f t="shared" ca="1" si="166"/>
        <v/>
      </c>
      <c r="E1044" s="993" t="str">
        <f t="shared" ca="1" si="167"/>
        <v/>
      </c>
      <c r="F1044" s="992" t="str">
        <f t="shared" ca="1" si="178"/>
        <v/>
      </c>
      <c r="G1044" s="994">
        <f t="shared" ca="1" si="168"/>
        <v>0</v>
      </c>
      <c r="H1044" s="913">
        <f t="shared" ca="1" si="169"/>
        <v>0</v>
      </c>
      <c r="I1044" s="913">
        <f t="shared" ca="1" si="170"/>
        <v>0</v>
      </c>
      <c r="J1044" s="995">
        <f t="shared" ca="1" si="179"/>
        <v>0</v>
      </c>
      <c r="K1044" s="913">
        <f t="shared" ca="1" si="171"/>
        <v>0</v>
      </c>
      <c r="L1044" s="995">
        <f t="shared" ca="1" si="180"/>
        <v>0</v>
      </c>
      <c r="M1044" s="913">
        <f t="shared" ca="1" si="172"/>
        <v>0</v>
      </c>
      <c r="N1044" s="996">
        <f t="shared" ca="1" si="173"/>
        <v>0</v>
      </c>
      <c r="O1044" s="997">
        <f t="shared" ca="1" si="174"/>
        <v>0</v>
      </c>
      <c r="P1044" s="1015" t="str">
        <f ca="1">IF($C1044="","",INDEX(NVLSX!$N$2:$N$6941,MATCH($C1044,NVLSX!$E$2:$E$6941,0)))</f>
        <v/>
      </c>
      <c r="Q1044" s="1016" t="str">
        <f ca="1">IF($R1044="","",IF(XKNVLSX!$X$1="",IF($P1044=$V$7,$P1044, IF(COUNTIFS($C$2:$C1043,$C1044,$E$2:$E1043,$E1044)&gt;=1,"",$P1044)),     IF(AND(IFERROR(SEARCH($R1044,XKNVLSX!$X$1,1),0)&gt;=1,$P1044=$V$7),$P1044, IF(OR($R1044&lt;&gt;IF(IFERROR(SEARCH($R1044,XKNVLSX!$X$1,1),0)&gt;=1,$R1044,XKNVLSX!$X$1),COUNTIFS($C$2:$C1043,$C1044,$E$2:$E1043,$E1044,$Q$2:$Q1043,$P1044)&gt;=1),"",$P1044))))</f>
        <v/>
      </c>
      <c r="R1044" s="1017" t="str">
        <f ca="1">IF($A1044="","",IFERROR(INDEX(TinhGia!$BF$10:$BF$81,MATCH($A1044,TinhGia!$B$10:$B$81,0)),""))</f>
        <v/>
      </c>
      <c r="S1044" s="1012" t="str">
        <f ca="1">IF($A1044="","",IF(OR(IFERROR(SEARCH($R1044,XKNVLSX!$X$1,1),0)&gt;=1,XKNVLSX!$X$1=""),$S$2,""))</f>
        <v/>
      </c>
      <c r="T1044" s="1018" t="str">
        <f ca="1">IF($C1044="","", IF(OR($P1044=$V$1,$P1044=$V$7,COUNTIFS($C$3:$C1044,$C1044,$E$3:$E1044,$E1044)&lt;=1),$P1044,""    ))</f>
        <v/>
      </c>
      <c r="U1044" s="1019" t="str">
        <f ca="1">IF(AND($P1044=$V$2,COUNTIFS($C$3:$C1044,$C1044,$E$3:$E1044,$E1044,$G$3:$G1044,$G1044)&lt;=1),$P1044,"")</f>
        <v/>
      </c>
    </row>
    <row r="1045" spans="1:21">
      <c r="A1045" s="991" t="str">
        <f ca="1">IFERROR(IF(COUNTIF($A$3:A1044,A1044)&lt; INDEX(TinhGia!$BH$10:$BH$81,MATCH($A1044,TinhGia!$B$10:$B$81,0)),$A1044,INDEX(TinhGia!$B$10:$B$81,MATCH($A1044,TinhGia!$B$10:$B$81,0)+1)),"")</f>
        <v/>
      </c>
      <c r="B1045" s="525" t="str">
        <f ca="1">IF(OR(A1045="",A1045=0),"",IF(COUNTIF($A$2:A1045,$A1045)=1,ROW(MauKoXoa!$C$108),$B1044+1))</f>
        <v/>
      </c>
      <c r="C1045" s="992" t="str">
        <f t="shared" ca="1" si="165"/>
        <v/>
      </c>
      <c r="D1045" s="993" t="str">
        <f t="shared" ca="1" si="166"/>
        <v/>
      </c>
      <c r="E1045" s="993" t="str">
        <f t="shared" ca="1" si="167"/>
        <v/>
      </c>
      <c r="F1045" s="992" t="str">
        <f t="shared" ca="1" si="178"/>
        <v/>
      </c>
      <c r="G1045" s="994">
        <f t="shared" ca="1" si="168"/>
        <v>0</v>
      </c>
      <c r="H1045" s="913">
        <f t="shared" ca="1" si="169"/>
        <v>0</v>
      </c>
      <c r="I1045" s="913">
        <f t="shared" ca="1" si="170"/>
        <v>0</v>
      </c>
      <c r="J1045" s="995">
        <f t="shared" ca="1" si="179"/>
        <v>0</v>
      </c>
      <c r="K1045" s="913">
        <f t="shared" ca="1" si="171"/>
        <v>0</v>
      </c>
      <c r="L1045" s="995">
        <f t="shared" ca="1" si="180"/>
        <v>0</v>
      </c>
      <c r="M1045" s="913">
        <f t="shared" ca="1" si="172"/>
        <v>0</v>
      </c>
      <c r="N1045" s="996">
        <f t="shared" ca="1" si="173"/>
        <v>0</v>
      </c>
      <c r="O1045" s="997">
        <f t="shared" ca="1" si="174"/>
        <v>0</v>
      </c>
      <c r="P1045" s="1015" t="str">
        <f ca="1">IF($C1045="","",INDEX(NVLSX!$N$2:$N$6941,MATCH($C1045,NVLSX!$E$2:$E$6941,0)))</f>
        <v/>
      </c>
      <c r="Q1045" s="1016" t="str">
        <f ca="1">IF($R1045="","",IF(XKNVLSX!$X$1="",IF($P1045=$V$7,$P1045, IF(COUNTIFS($C$2:$C1044,$C1045,$E$2:$E1044,$E1045)&gt;=1,"",$P1045)),     IF(AND(IFERROR(SEARCH($R1045,XKNVLSX!$X$1,1),0)&gt;=1,$P1045=$V$7),$P1045, IF(OR($R1045&lt;&gt;IF(IFERROR(SEARCH($R1045,XKNVLSX!$X$1,1),0)&gt;=1,$R1045,XKNVLSX!$X$1),COUNTIFS($C$2:$C1044,$C1045,$E$2:$E1044,$E1045,$Q$2:$Q1044,$P1045)&gt;=1),"",$P1045))))</f>
        <v/>
      </c>
      <c r="R1045" s="1017" t="str">
        <f ca="1">IF($A1045="","",IFERROR(INDEX(TinhGia!$BF$10:$BF$81,MATCH($A1045,TinhGia!$B$10:$B$81,0)),""))</f>
        <v/>
      </c>
      <c r="S1045" s="1012" t="str">
        <f ca="1">IF($A1045="","",IF(OR(IFERROR(SEARCH($R1045,XKNVLSX!$X$1,1),0)&gt;=1,XKNVLSX!$X$1=""),$S$2,""))</f>
        <v/>
      </c>
      <c r="T1045" s="1018" t="str">
        <f ca="1">IF($C1045="","", IF(OR($P1045=$V$1,$P1045=$V$7,COUNTIFS($C$3:$C1045,$C1045,$E$3:$E1045,$E1045)&lt;=1),$P1045,""    ))</f>
        <v/>
      </c>
      <c r="U1045" s="1019" t="str">
        <f ca="1">IF(AND($P1045=$V$2,COUNTIFS($C$3:$C1045,$C1045,$E$3:$E1045,$E1045,$G$3:$G1045,$G1045)&lt;=1),$P1045,"")</f>
        <v/>
      </c>
    </row>
    <row r="1046" spans="1:21">
      <c r="A1046" s="991" t="str">
        <f ca="1">IFERROR(IF(COUNTIF($A$3:A1045,A1045)&lt; INDEX(TinhGia!$BH$10:$BH$81,MATCH($A1045,TinhGia!$B$10:$B$81,0)),$A1045,INDEX(TinhGia!$B$10:$B$81,MATCH($A1045,TinhGia!$B$10:$B$81,0)+1)),"")</f>
        <v/>
      </c>
      <c r="B1046" s="525" t="str">
        <f ca="1">IF(OR(A1046="",A1046=0),"",IF(COUNTIF($A$2:A1046,$A1046)=1,ROW(MauKoXoa!$C$108),$B1045+1))</f>
        <v/>
      </c>
      <c r="C1046" s="992" t="str">
        <f t="shared" ca="1" si="165"/>
        <v/>
      </c>
      <c r="D1046" s="993" t="str">
        <f t="shared" ca="1" si="166"/>
        <v/>
      </c>
      <c r="E1046" s="993" t="str">
        <f t="shared" ca="1" si="167"/>
        <v/>
      </c>
      <c r="F1046" s="992" t="str">
        <f t="shared" ca="1" si="178"/>
        <v/>
      </c>
      <c r="G1046" s="994">
        <f t="shared" ca="1" si="168"/>
        <v>0</v>
      </c>
      <c r="H1046" s="913">
        <f t="shared" ca="1" si="169"/>
        <v>0</v>
      </c>
      <c r="I1046" s="913">
        <f t="shared" ca="1" si="170"/>
        <v>0</v>
      </c>
      <c r="J1046" s="995">
        <f t="shared" ca="1" si="179"/>
        <v>0</v>
      </c>
      <c r="K1046" s="913">
        <f t="shared" ca="1" si="171"/>
        <v>0</v>
      </c>
      <c r="L1046" s="995">
        <f t="shared" ca="1" si="180"/>
        <v>0</v>
      </c>
      <c r="M1046" s="913">
        <f t="shared" ca="1" si="172"/>
        <v>0</v>
      </c>
      <c r="N1046" s="996">
        <f t="shared" ca="1" si="173"/>
        <v>0</v>
      </c>
      <c r="O1046" s="997">
        <f t="shared" ca="1" si="174"/>
        <v>0</v>
      </c>
      <c r="P1046" s="1015" t="str">
        <f ca="1">IF($C1046="","",INDEX(NVLSX!$N$2:$N$6941,MATCH($C1046,NVLSX!$E$2:$E$6941,0)))</f>
        <v/>
      </c>
      <c r="Q1046" s="1016" t="str">
        <f ca="1">IF($R1046="","",IF(XKNVLSX!$X$1="",IF($P1046=$V$7,$P1046, IF(COUNTIFS($C$2:$C1045,$C1046,$E$2:$E1045,$E1046)&gt;=1,"",$P1046)),     IF(AND(IFERROR(SEARCH($R1046,XKNVLSX!$X$1,1),0)&gt;=1,$P1046=$V$7),$P1046, IF(OR($R1046&lt;&gt;IF(IFERROR(SEARCH($R1046,XKNVLSX!$X$1,1),0)&gt;=1,$R1046,XKNVLSX!$X$1),COUNTIFS($C$2:$C1045,$C1046,$E$2:$E1045,$E1046,$Q$2:$Q1045,$P1046)&gt;=1),"",$P1046))))</f>
        <v/>
      </c>
      <c r="R1046" s="1017" t="str">
        <f ca="1">IF($A1046="","",IFERROR(INDEX(TinhGia!$BF$10:$BF$81,MATCH($A1046,TinhGia!$B$10:$B$81,0)),""))</f>
        <v/>
      </c>
      <c r="S1046" s="1012" t="str">
        <f ca="1">IF($A1046="","",IF(OR(IFERROR(SEARCH($R1046,XKNVLSX!$X$1,1),0)&gt;=1,XKNVLSX!$X$1=""),$S$2,""))</f>
        <v/>
      </c>
      <c r="T1046" s="1018" t="str">
        <f ca="1">IF($C1046="","", IF(OR($P1046=$V$1,$P1046=$V$7,COUNTIFS($C$3:$C1046,$C1046,$E$3:$E1046,$E1046)&lt;=1),$P1046,""    ))</f>
        <v/>
      </c>
      <c r="U1046" s="1019" t="str">
        <f ca="1">IF(AND($P1046=$V$2,COUNTIFS($C$3:$C1046,$C1046,$E$3:$E1046,$E1046,$G$3:$G1046,$G1046)&lt;=1),$P1046,"")</f>
        <v/>
      </c>
    </row>
    <row r="1047" spans="1:21">
      <c r="A1047" s="991" t="str">
        <f ca="1">IFERROR(IF(COUNTIF($A$3:A1046,A1046)&lt; INDEX(TinhGia!$BH$10:$BH$81,MATCH($A1046,TinhGia!$B$10:$B$81,0)),$A1046,INDEX(TinhGia!$B$10:$B$81,MATCH($A1046,TinhGia!$B$10:$B$81,0)+1)),"")</f>
        <v/>
      </c>
      <c r="B1047" s="525" t="str">
        <f ca="1">IF(OR(A1047="",A1047=0),"",IF(COUNTIF($A$2:A1047,$A1047)=1,ROW(MauKoXoa!$C$108),$B1046+1))</f>
        <v/>
      </c>
      <c r="C1047" s="992" t="str">
        <f t="shared" ca="1" si="165"/>
        <v/>
      </c>
      <c r="D1047" s="993" t="str">
        <f t="shared" ca="1" si="166"/>
        <v/>
      </c>
      <c r="E1047" s="993" t="str">
        <f t="shared" ca="1" si="167"/>
        <v/>
      </c>
      <c r="F1047" s="992" t="str">
        <f t="shared" ca="1" si="178"/>
        <v/>
      </c>
      <c r="G1047" s="994">
        <f t="shared" ca="1" si="168"/>
        <v>0</v>
      </c>
      <c r="H1047" s="913">
        <f t="shared" ca="1" si="169"/>
        <v>0</v>
      </c>
      <c r="I1047" s="913">
        <f t="shared" ca="1" si="170"/>
        <v>0</v>
      </c>
      <c r="J1047" s="995">
        <f t="shared" ca="1" si="179"/>
        <v>0</v>
      </c>
      <c r="K1047" s="913">
        <f t="shared" ca="1" si="171"/>
        <v>0</v>
      </c>
      <c r="L1047" s="995">
        <f t="shared" ca="1" si="180"/>
        <v>0</v>
      </c>
      <c r="M1047" s="913">
        <f t="shared" ca="1" si="172"/>
        <v>0</v>
      </c>
      <c r="N1047" s="996">
        <f t="shared" ca="1" si="173"/>
        <v>0</v>
      </c>
      <c r="O1047" s="997">
        <f t="shared" ca="1" si="174"/>
        <v>0</v>
      </c>
      <c r="P1047" s="1015" t="str">
        <f ca="1">IF($C1047="","",INDEX(NVLSX!$N$2:$N$6941,MATCH($C1047,NVLSX!$E$2:$E$6941,0)))</f>
        <v/>
      </c>
      <c r="Q1047" s="1016" t="str">
        <f ca="1">IF($R1047="","",IF(XKNVLSX!$X$1="",IF($P1047=$V$7,$P1047, IF(COUNTIFS($C$2:$C1046,$C1047,$E$2:$E1046,$E1047)&gt;=1,"",$P1047)),     IF(AND(IFERROR(SEARCH($R1047,XKNVLSX!$X$1,1),0)&gt;=1,$P1047=$V$7),$P1047, IF(OR($R1047&lt;&gt;IF(IFERROR(SEARCH($R1047,XKNVLSX!$X$1,1),0)&gt;=1,$R1047,XKNVLSX!$X$1),COUNTIFS($C$2:$C1046,$C1047,$E$2:$E1046,$E1047,$Q$2:$Q1046,$P1047)&gt;=1),"",$P1047))))</f>
        <v/>
      </c>
      <c r="R1047" s="1017" t="str">
        <f ca="1">IF($A1047="","",IFERROR(INDEX(TinhGia!$BF$10:$BF$81,MATCH($A1047,TinhGia!$B$10:$B$81,0)),""))</f>
        <v/>
      </c>
      <c r="S1047" s="1012" t="str">
        <f ca="1">IF($A1047="","",IF(OR(IFERROR(SEARCH($R1047,XKNVLSX!$X$1,1),0)&gt;=1,XKNVLSX!$X$1=""),$S$2,""))</f>
        <v/>
      </c>
      <c r="T1047" s="1018" t="str">
        <f ca="1">IF($C1047="","", IF(OR($P1047=$V$1,$P1047=$V$7,COUNTIFS($C$3:$C1047,$C1047,$E$3:$E1047,$E1047)&lt;=1),$P1047,""    ))</f>
        <v/>
      </c>
      <c r="U1047" s="1019" t="str">
        <f ca="1">IF(AND($P1047=$V$2,COUNTIFS($C$3:$C1047,$C1047,$E$3:$E1047,$E1047,$G$3:$G1047,$G1047)&lt;=1),$P1047,"")</f>
        <v/>
      </c>
    </row>
    <row r="1048" spans="1:21">
      <c r="A1048" s="991" t="str">
        <f ca="1">IFERROR(IF(COUNTIF($A$3:A1047,A1047)&lt; INDEX(TinhGia!$BH$10:$BH$81,MATCH($A1047,TinhGia!$B$10:$B$81,0)),$A1047,INDEX(TinhGia!$B$10:$B$81,MATCH($A1047,TinhGia!$B$10:$B$81,0)+1)),"")</f>
        <v/>
      </c>
      <c r="B1048" s="525" t="str">
        <f ca="1">IF(OR(A1048="",A1048=0),"",IF(COUNTIF($A$2:A1048,$A1048)=1,ROW(MauKoXoa!$C$108),$B1047+1))</f>
        <v/>
      </c>
      <c r="C1048" s="992" t="str">
        <f t="shared" ca="1" si="165"/>
        <v/>
      </c>
      <c r="D1048" s="993" t="str">
        <f t="shared" ca="1" si="166"/>
        <v/>
      </c>
      <c r="E1048" s="993" t="str">
        <f t="shared" ca="1" si="167"/>
        <v/>
      </c>
      <c r="F1048" s="992" t="str">
        <f t="shared" ca="1" si="178"/>
        <v/>
      </c>
      <c r="G1048" s="994">
        <f t="shared" ca="1" si="168"/>
        <v>0</v>
      </c>
      <c r="H1048" s="913">
        <f t="shared" ca="1" si="169"/>
        <v>0</v>
      </c>
      <c r="I1048" s="913">
        <f t="shared" ca="1" si="170"/>
        <v>0</v>
      </c>
      <c r="J1048" s="995">
        <f t="shared" ca="1" si="179"/>
        <v>0</v>
      </c>
      <c r="K1048" s="913">
        <f t="shared" ca="1" si="171"/>
        <v>0</v>
      </c>
      <c r="L1048" s="995">
        <f t="shared" ca="1" si="180"/>
        <v>0</v>
      </c>
      <c r="M1048" s="913">
        <f t="shared" ca="1" si="172"/>
        <v>0</v>
      </c>
      <c r="N1048" s="996">
        <f t="shared" ca="1" si="173"/>
        <v>0</v>
      </c>
      <c r="O1048" s="997">
        <f t="shared" ca="1" si="174"/>
        <v>0</v>
      </c>
      <c r="P1048" s="1015" t="str">
        <f ca="1">IF($C1048="","",INDEX(NVLSX!$N$2:$N$6941,MATCH($C1048,NVLSX!$E$2:$E$6941,0)))</f>
        <v/>
      </c>
      <c r="Q1048" s="1016" t="str">
        <f ca="1">IF($R1048="","",IF(XKNVLSX!$X$1="",IF($P1048=$V$7,$P1048, IF(COUNTIFS($C$2:$C1047,$C1048,$E$2:$E1047,$E1048)&gt;=1,"",$P1048)),     IF(AND(IFERROR(SEARCH($R1048,XKNVLSX!$X$1,1),0)&gt;=1,$P1048=$V$7),$P1048, IF(OR($R1048&lt;&gt;IF(IFERROR(SEARCH($R1048,XKNVLSX!$X$1,1),0)&gt;=1,$R1048,XKNVLSX!$X$1),COUNTIFS($C$2:$C1047,$C1048,$E$2:$E1047,$E1048,$Q$2:$Q1047,$P1048)&gt;=1),"",$P1048))))</f>
        <v/>
      </c>
      <c r="R1048" s="1017" t="str">
        <f ca="1">IF($A1048="","",IFERROR(INDEX(TinhGia!$BF$10:$BF$81,MATCH($A1048,TinhGia!$B$10:$B$81,0)),""))</f>
        <v/>
      </c>
      <c r="S1048" s="1012" t="str">
        <f ca="1">IF($A1048="","",IF(OR(IFERROR(SEARCH($R1048,XKNVLSX!$X$1,1),0)&gt;=1,XKNVLSX!$X$1=""),$S$2,""))</f>
        <v/>
      </c>
      <c r="T1048" s="1018" t="str">
        <f ca="1">IF($C1048="","", IF(OR($P1048=$V$1,$P1048=$V$7,COUNTIFS($C$3:$C1048,$C1048,$E$3:$E1048,$E1048)&lt;=1),$P1048,""    ))</f>
        <v/>
      </c>
      <c r="U1048" s="1019" t="str">
        <f ca="1">IF(AND($P1048=$V$2,COUNTIFS($C$3:$C1048,$C1048,$E$3:$E1048,$E1048,$G$3:$G1048,$G1048)&lt;=1),$P1048,"")</f>
        <v/>
      </c>
    </row>
    <row r="1049" spans="1:21">
      <c r="A1049" s="991" t="str">
        <f ca="1">IFERROR(IF(COUNTIF($A$3:A1048,A1048)&lt; INDEX(TinhGia!$BH$10:$BH$81,MATCH($A1048,TinhGia!$B$10:$B$81,0)),$A1048,INDEX(TinhGia!$B$10:$B$81,MATCH($A1048,TinhGia!$B$10:$B$81,0)+1)),"")</f>
        <v/>
      </c>
      <c r="B1049" s="525" t="str">
        <f ca="1">IF(OR(A1049="",A1049=0),"",IF(COUNTIF($A$2:A1049,$A1049)=1,ROW(MauKoXoa!$C$108),$B1048+1))</f>
        <v/>
      </c>
      <c r="C1049" s="992" t="str">
        <f t="shared" ca="1" si="165"/>
        <v/>
      </c>
      <c r="D1049" s="993" t="str">
        <f t="shared" ca="1" si="166"/>
        <v/>
      </c>
      <c r="E1049" s="993" t="str">
        <f t="shared" ca="1" si="167"/>
        <v/>
      </c>
      <c r="F1049" s="992" t="str">
        <f t="shared" ca="1" si="178"/>
        <v/>
      </c>
      <c r="G1049" s="994">
        <f t="shared" ca="1" si="168"/>
        <v>0</v>
      </c>
      <c r="H1049" s="913">
        <f t="shared" ca="1" si="169"/>
        <v>0</v>
      </c>
      <c r="I1049" s="913">
        <f t="shared" ca="1" si="170"/>
        <v>0</v>
      </c>
      <c r="J1049" s="995">
        <f t="shared" ca="1" si="179"/>
        <v>0</v>
      </c>
      <c r="K1049" s="913">
        <f t="shared" ca="1" si="171"/>
        <v>0</v>
      </c>
      <c r="L1049" s="995">
        <f t="shared" ca="1" si="180"/>
        <v>0</v>
      </c>
      <c r="M1049" s="913">
        <f t="shared" ca="1" si="172"/>
        <v>0</v>
      </c>
      <c r="N1049" s="996">
        <f t="shared" ca="1" si="173"/>
        <v>0</v>
      </c>
      <c r="O1049" s="997">
        <f t="shared" ca="1" si="174"/>
        <v>0</v>
      </c>
      <c r="P1049" s="1015" t="str">
        <f ca="1">IF($C1049="","",INDEX(NVLSX!$N$2:$N$6941,MATCH($C1049,NVLSX!$E$2:$E$6941,0)))</f>
        <v/>
      </c>
      <c r="Q1049" s="1016" t="str">
        <f ca="1">IF($R1049="","",IF(XKNVLSX!$X$1="",IF($P1049=$V$7,$P1049, IF(COUNTIFS($C$2:$C1048,$C1049,$E$2:$E1048,$E1049)&gt;=1,"",$P1049)),     IF(AND(IFERROR(SEARCH($R1049,XKNVLSX!$X$1,1),0)&gt;=1,$P1049=$V$7),$P1049, IF(OR($R1049&lt;&gt;IF(IFERROR(SEARCH($R1049,XKNVLSX!$X$1,1),0)&gt;=1,$R1049,XKNVLSX!$X$1),COUNTIFS($C$2:$C1048,$C1049,$E$2:$E1048,$E1049,$Q$2:$Q1048,$P1049)&gt;=1),"",$P1049))))</f>
        <v/>
      </c>
      <c r="R1049" s="1017" t="str">
        <f ca="1">IF($A1049="","",IFERROR(INDEX(TinhGia!$BF$10:$BF$81,MATCH($A1049,TinhGia!$B$10:$B$81,0)),""))</f>
        <v/>
      </c>
      <c r="S1049" s="1012" t="str">
        <f ca="1">IF($A1049="","",IF(OR(IFERROR(SEARCH($R1049,XKNVLSX!$X$1,1),0)&gt;=1,XKNVLSX!$X$1=""),$S$2,""))</f>
        <v/>
      </c>
      <c r="T1049" s="1018" t="str">
        <f ca="1">IF($C1049="","", IF(OR($P1049=$V$1,$P1049=$V$7,COUNTIFS($C$3:$C1049,$C1049,$E$3:$E1049,$E1049)&lt;=1),$P1049,""    ))</f>
        <v/>
      </c>
      <c r="U1049" s="1019" t="str">
        <f ca="1">IF(AND($P1049=$V$2,COUNTIFS($C$3:$C1049,$C1049,$E$3:$E1049,$E1049,$G$3:$G1049,$G1049)&lt;=1),$P1049,"")</f>
        <v/>
      </c>
    </row>
    <row r="1050" spans="1:21">
      <c r="A1050" s="991" t="str">
        <f ca="1">IFERROR(IF(COUNTIF($A$3:A1049,A1049)&lt; INDEX(TinhGia!$BH$10:$BH$81,MATCH($A1049,TinhGia!$B$10:$B$81,0)),$A1049,INDEX(TinhGia!$B$10:$B$81,MATCH($A1049,TinhGia!$B$10:$B$81,0)+1)),"")</f>
        <v/>
      </c>
      <c r="B1050" s="525" t="str">
        <f ca="1">IF(OR(A1050="",A1050=0),"",IF(COUNTIF($A$2:A1050,$A1050)=1,ROW(MauKoXoa!$C$108),$B1049+1))</f>
        <v/>
      </c>
      <c r="C1050" s="992" t="str">
        <f t="shared" ca="1" si="165"/>
        <v/>
      </c>
      <c r="D1050" s="993" t="str">
        <f t="shared" ca="1" si="166"/>
        <v/>
      </c>
      <c r="E1050" s="993" t="str">
        <f t="shared" ca="1" si="167"/>
        <v/>
      </c>
      <c r="F1050" s="992" t="str">
        <f t="shared" ca="1" si="178"/>
        <v/>
      </c>
      <c r="G1050" s="994">
        <f t="shared" ca="1" si="168"/>
        <v>0</v>
      </c>
      <c r="H1050" s="913">
        <f t="shared" ca="1" si="169"/>
        <v>0</v>
      </c>
      <c r="I1050" s="913">
        <f t="shared" ca="1" si="170"/>
        <v>0</v>
      </c>
      <c r="J1050" s="995">
        <f t="shared" ca="1" si="179"/>
        <v>0</v>
      </c>
      <c r="K1050" s="913">
        <f t="shared" ca="1" si="171"/>
        <v>0</v>
      </c>
      <c r="L1050" s="995">
        <f t="shared" ca="1" si="180"/>
        <v>0</v>
      </c>
      <c r="M1050" s="913">
        <f t="shared" ca="1" si="172"/>
        <v>0</v>
      </c>
      <c r="N1050" s="996">
        <f t="shared" ca="1" si="173"/>
        <v>0</v>
      </c>
      <c r="O1050" s="997">
        <f t="shared" ca="1" si="174"/>
        <v>0</v>
      </c>
      <c r="P1050" s="1015" t="str">
        <f ca="1">IF($C1050="","",INDEX(NVLSX!$N$2:$N$6941,MATCH($C1050,NVLSX!$E$2:$E$6941,0)))</f>
        <v/>
      </c>
      <c r="Q1050" s="1016" t="str">
        <f ca="1">IF($R1050="","",IF(XKNVLSX!$X$1="",IF($P1050=$V$7,$P1050, IF(COUNTIFS($C$2:$C1049,$C1050,$E$2:$E1049,$E1050)&gt;=1,"",$P1050)),     IF(AND(IFERROR(SEARCH($R1050,XKNVLSX!$X$1,1),0)&gt;=1,$P1050=$V$7),$P1050, IF(OR($R1050&lt;&gt;IF(IFERROR(SEARCH($R1050,XKNVLSX!$X$1,1),0)&gt;=1,$R1050,XKNVLSX!$X$1),COUNTIFS($C$2:$C1049,$C1050,$E$2:$E1049,$E1050,$Q$2:$Q1049,$P1050)&gt;=1),"",$P1050))))</f>
        <v/>
      </c>
      <c r="R1050" s="1017" t="str">
        <f ca="1">IF($A1050="","",IFERROR(INDEX(TinhGia!$BF$10:$BF$81,MATCH($A1050,TinhGia!$B$10:$B$81,0)),""))</f>
        <v/>
      </c>
      <c r="S1050" s="1012" t="str">
        <f ca="1">IF($A1050="","",IF(OR(IFERROR(SEARCH($R1050,XKNVLSX!$X$1,1),0)&gt;=1,XKNVLSX!$X$1=""),$S$2,""))</f>
        <v/>
      </c>
      <c r="T1050" s="1018" t="str">
        <f ca="1">IF($C1050="","", IF(OR($P1050=$V$1,$P1050=$V$7,COUNTIFS($C$3:$C1050,$C1050,$E$3:$E1050,$E1050)&lt;=1),$P1050,""    ))</f>
        <v/>
      </c>
      <c r="U1050" s="1019" t="str">
        <f ca="1">IF(AND($P1050=$V$2,COUNTIFS($C$3:$C1050,$C1050,$E$3:$E1050,$E1050,$G$3:$G1050,$G1050)&lt;=1),$P1050,"")</f>
        <v/>
      </c>
    </row>
    <row r="1051" spans="1:21">
      <c r="A1051" s="991" t="str">
        <f ca="1">IFERROR(IF(COUNTIF($A$3:A1050,A1050)&lt; INDEX(TinhGia!$BH$10:$BH$81,MATCH($A1050,TinhGia!$B$10:$B$81,0)),$A1050,INDEX(TinhGia!$B$10:$B$81,MATCH($A1050,TinhGia!$B$10:$B$81,0)+1)),"")</f>
        <v/>
      </c>
      <c r="B1051" s="525" t="str">
        <f ca="1">IF(OR(A1051="",A1051=0),"",IF(COUNTIF($A$2:A1051,$A1051)=1,ROW(MauKoXoa!$C$108),$B1050+1))</f>
        <v/>
      </c>
      <c r="C1051" s="992" t="str">
        <f t="shared" ca="1" si="165"/>
        <v/>
      </c>
      <c r="D1051" s="993" t="str">
        <f t="shared" ca="1" si="166"/>
        <v/>
      </c>
      <c r="E1051" s="993" t="str">
        <f t="shared" ca="1" si="167"/>
        <v/>
      </c>
      <c r="F1051" s="992" t="str">
        <f t="shared" ca="1" si="178"/>
        <v/>
      </c>
      <c r="G1051" s="994">
        <f t="shared" ca="1" si="168"/>
        <v>0</v>
      </c>
      <c r="H1051" s="913">
        <f t="shared" ca="1" si="169"/>
        <v>0</v>
      </c>
      <c r="I1051" s="913">
        <f t="shared" ca="1" si="170"/>
        <v>0</v>
      </c>
      <c r="J1051" s="995">
        <f t="shared" ca="1" si="179"/>
        <v>0</v>
      </c>
      <c r="K1051" s="913">
        <f t="shared" ca="1" si="171"/>
        <v>0</v>
      </c>
      <c r="L1051" s="995">
        <f t="shared" ca="1" si="180"/>
        <v>0</v>
      </c>
      <c r="M1051" s="913">
        <f t="shared" ca="1" si="172"/>
        <v>0</v>
      </c>
      <c r="N1051" s="996">
        <f t="shared" ca="1" si="173"/>
        <v>0</v>
      </c>
      <c r="O1051" s="997">
        <f t="shared" ca="1" si="174"/>
        <v>0</v>
      </c>
      <c r="P1051" s="1015" t="str">
        <f ca="1">IF($C1051="","",INDEX(NVLSX!$N$2:$N$6941,MATCH($C1051,NVLSX!$E$2:$E$6941,0)))</f>
        <v/>
      </c>
      <c r="Q1051" s="1016" t="str">
        <f ca="1">IF($R1051="","",IF(XKNVLSX!$X$1="",IF($P1051=$V$7,$P1051, IF(COUNTIFS($C$2:$C1050,$C1051,$E$2:$E1050,$E1051)&gt;=1,"",$P1051)),     IF(AND(IFERROR(SEARCH($R1051,XKNVLSX!$X$1,1),0)&gt;=1,$P1051=$V$7),$P1051, IF(OR($R1051&lt;&gt;IF(IFERROR(SEARCH($R1051,XKNVLSX!$X$1,1),0)&gt;=1,$R1051,XKNVLSX!$X$1),COUNTIFS($C$2:$C1050,$C1051,$E$2:$E1050,$E1051,$Q$2:$Q1050,$P1051)&gt;=1),"",$P1051))))</f>
        <v/>
      </c>
      <c r="R1051" s="1017" t="str">
        <f ca="1">IF($A1051="","",IFERROR(INDEX(TinhGia!$BF$10:$BF$81,MATCH($A1051,TinhGia!$B$10:$B$81,0)),""))</f>
        <v/>
      </c>
      <c r="S1051" s="1012" t="str">
        <f ca="1">IF($A1051="","",IF(OR(IFERROR(SEARCH($R1051,XKNVLSX!$X$1,1),0)&gt;=1,XKNVLSX!$X$1=""),$S$2,""))</f>
        <v/>
      </c>
      <c r="T1051" s="1018" t="str">
        <f ca="1">IF($C1051="","", IF(OR($P1051=$V$1,$P1051=$V$7,COUNTIFS($C$3:$C1051,$C1051,$E$3:$E1051,$E1051)&lt;=1),$P1051,""    ))</f>
        <v/>
      </c>
      <c r="U1051" s="1019" t="str">
        <f ca="1">IF(AND($P1051=$V$2,COUNTIFS($C$3:$C1051,$C1051,$E$3:$E1051,$E1051,$G$3:$G1051,$G1051)&lt;=1),$P1051,"")</f>
        <v/>
      </c>
    </row>
    <row r="1052" spans="1:21">
      <c r="A1052" s="991" t="str">
        <f ca="1">IFERROR(IF(COUNTIF($A$3:A1051,A1051)&lt; INDEX(TinhGia!$BH$10:$BH$81,MATCH($A1051,TinhGia!$B$10:$B$81,0)),$A1051,INDEX(TinhGia!$B$10:$B$81,MATCH($A1051,TinhGia!$B$10:$B$81,0)+1)),"")</f>
        <v/>
      </c>
      <c r="B1052" s="525" t="str">
        <f ca="1">IF(OR(A1052="",A1052=0),"",IF(COUNTIF($A$2:A1052,$A1052)=1,ROW(MauKoXoa!$C$108),$B1051+1))</f>
        <v/>
      </c>
      <c r="C1052" s="992" t="str">
        <f t="shared" ca="1" si="165"/>
        <v/>
      </c>
      <c r="D1052" s="993" t="str">
        <f t="shared" ca="1" si="166"/>
        <v/>
      </c>
      <c r="E1052" s="993" t="str">
        <f t="shared" ca="1" si="167"/>
        <v/>
      </c>
      <c r="F1052" s="992" t="str">
        <f t="shared" ca="1" si="178"/>
        <v/>
      </c>
      <c r="G1052" s="994">
        <f t="shared" ca="1" si="168"/>
        <v>0</v>
      </c>
      <c r="H1052" s="913">
        <f t="shared" ca="1" si="169"/>
        <v>0</v>
      </c>
      <c r="I1052" s="913">
        <f t="shared" ca="1" si="170"/>
        <v>0</v>
      </c>
      <c r="J1052" s="995">
        <f t="shared" ca="1" si="179"/>
        <v>0</v>
      </c>
      <c r="K1052" s="913">
        <f t="shared" ca="1" si="171"/>
        <v>0</v>
      </c>
      <c r="L1052" s="995">
        <f t="shared" ca="1" si="180"/>
        <v>0</v>
      </c>
      <c r="M1052" s="913">
        <f t="shared" ca="1" si="172"/>
        <v>0</v>
      </c>
      <c r="N1052" s="996">
        <f t="shared" ca="1" si="173"/>
        <v>0</v>
      </c>
      <c r="O1052" s="997">
        <f t="shared" ca="1" si="174"/>
        <v>0</v>
      </c>
      <c r="P1052" s="1015" t="str">
        <f ca="1">IF($C1052="","",INDEX(NVLSX!$N$2:$N$6941,MATCH($C1052,NVLSX!$E$2:$E$6941,0)))</f>
        <v/>
      </c>
      <c r="Q1052" s="1016" t="str">
        <f ca="1">IF($R1052="","",IF(XKNVLSX!$X$1="",IF($P1052=$V$7,$P1052, IF(COUNTIFS($C$2:$C1051,$C1052,$E$2:$E1051,$E1052)&gt;=1,"",$P1052)),     IF(AND(IFERROR(SEARCH($R1052,XKNVLSX!$X$1,1),0)&gt;=1,$P1052=$V$7),$P1052, IF(OR($R1052&lt;&gt;IF(IFERROR(SEARCH($R1052,XKNVLSX!$X$1,1),0)&gt;=1,$R1052,XKNVLSX!$X$1),COUNTIFS($C$2:$C1051,$C1052,$E$2:$E1051,$E1052,$Q$2:$Q1051,$P1052)&gt;=1),"",$P1052))))</f>
        <v/>
      </c>
      <c r="R1052" s="1017" t="str">
        <f ca="1">IF($A1052="","",IFERROR(INDEX(TinhGia!$BF$10:$BF$81,MATCH($A1052,TinhGia!$B$10:$B$81,0)),""))</f>
        <v/>
      </c>
      <c r="S1052" s="1012" t="str">
        <f ca="1">IF($A1052="","",IF(OR(IFERROR(SEARCH($R1052,XKNVLSX!$X$1,1),0)&gt;=1,XKNVLSX!$X$1=""),$S$2,""))</f>
        <v/>
      </c>
      <c r="T1052" s="1018" t="str">
        <f ca="1">IF($C1052="","", IF(OR($P1052=$V$1,$P1052=$V$7,COUNTIFS($C$3:$C1052,$C1052,$E$3:$E1052,$E1052)&lt;=1),$P1052,""    ))</f>
        <v/>
      </c>
      <c r="U1052" s="1019" t="str">
        <f ca="1">IF(AND($P1052=$V$2,COUNTIFS($C$3:$C1052,$C1052,$E$3:$E1052,$E1052,$G$3:$G1052,$G1052)&lt;=1),$P1052,"")</f>
        <v/>
      </c>
    </row>
    <row r="1053" spans="1:21">
      <c r="A1053" s="991" t="str">
        <f ca="1">IFERROR(IF(COUNTIF($A$3:A1052,A1052)&lt; INDEX(TinhGia!$BH$10:$BH$81,MATCH($A1052,TinhGia!$B$10:$B$81,0)),$A1052,INDEX(TinhGia!$B$10:$B$81,MATCH($A1052,TinhGia!$B$10:$B$81,0)+1)),"")</f>
        <v/>
      </c>
      <c r="B1053" s="525" t="str">
        <f ca="1">IF(OR(A1053="",A1053=0),"",IF(COUNTIF($A$2:A1053,$A1053)=1,ROW(MauKoXoa!$C$108),$B1052+1))</f>
        <v/>
      </c>
      <c r="C1053" s="992" t="str">
        <f t="shared" ca="1" si="165"/>
        <v/>
      </c>
      <c r="D1053" s="993" t="str">
        <f t="shared" ca="1" si="166"/>
        <v/>
      </c>
      <c r="E1053" s="993" t="str">
        <f t="shared" ca="1" si="167"/>
        <v/>
      </c>
      <c r="F1053" s="992" t="str">
        <f t="shared" ca="1" si="178"/>
        <v/>
      </c>
      <c r="G1053" s="994">
        <f t="shared" ca="1" si="168"/>
        <v>0</v>
      </c>
      <c r="H1053" s="913">
        <f t="shared" ca="1" si="169"/>
        <v>0</v>
      </c>
      <c r="I1053" s="913">
        <f t="shared" ca="1" si="170"/>
        <v>0</v>
      </c>
      <c r="J1053" s="995">
        <f t="shared" ca="1" si="179"/>
        <v>0</v>
      </c>
      <c r="K1053" s="913">
        <f t="shared" ca="1" si="171"/>
        <v>0</v>
      </c>
      <c r="L1053" s="995">
        <f t="shared" ca="1" si="180"/>
        <v>0</v>
      </c>
      <c r="M1053" s="913">
        <f t="shared" ca="1" si="172"/>
        <v>0</v>
      </c>
      <c r="N1053" s="996">
        <f t="shared" ca="1" si="173"/>
        <v>0</v>
      </c>
      <c r="O1053" s="997">
        <f t="shared" ca="1" si="174"/>
        <v>0</v>
      </c>
      <c r="P1053" s="1015" t="str">
        <f ca="1">IF($C1053="","",INDEX(NVLSX!$N$2:$N$6941,MATCH($C1053,NVLSX!$E$2:$E$6941,0)))</f>
        <v/>
      </c>
      <c r="Q1053" s="1016" t="str">
        <f ca="1">IF($R1053="","",IF(XKNVLSX!$X$1="",IF($P1053=$V$7,$P1053, IF(COUNTIFS($C$2:$C1052,$C1053,$E$2:$E1052,$E1053)&gt;=1,"",$P1053)),     IF(AND(IFERROR(SEARCH($R1053,XKNVLSX!$X$1,1),0)&gt;=1,$P1053=$V$7),$P1053, IF(OR($R1053&lt;&gt;IF(IFERROR(SEARCH($R1053,XKNVLSX!$X$1,1),0)&gt;=1,$R1053,XKNVLSX!$X$1),COUNTIFS($C$2:$C1052,$C1053,$E$2:$E1052,$E1053,$Q$2:$Q1052,$P1053)&gt;=1),"",$P1053))))</f>
        <v/>
      </c>
      <c r="R1053" s="1017" t="str">
        <f ca="1">IF($A1053="","",IFERROR(INDEX(TinhGia!$BF$10:$BF$81,MATCH($A1053,TinhGia!$B$10:$B$81,0)),""))</f>
        <v/>
      </c>
      <c r="S1053" s="1012" t="str">
        <f ca="1">IF($A1053="","",IF(OR(IFERROR(SEARCH($R1053,XKNVLSX!$X$1,1),0)&gt;=1,XKNVLSX!$X$1=""),$S$2,""))</f>
        <v/>
      </c>
      <c r="T1053" s="1018" t="str">
        <f ca="1">IF($C1053="","", IF(OR($P1053=$V$1,$P1053=$V$7,COUNTIFS($C$3:$C1053,$C1053,$E$3:$E1053,$E1053)&lt;=1),$P1053,""    ))</f>
        <v/>
      </c>
      <c r="U1053" s="1019" t="str">
        <f ca="1">IF(AND($P1053=$V$2,COUNTIFS($C$3:$C1053,$C1053,$E$3:$E1053,$E1053,$G$3:$G1053,$G1053)&lt;=1),$P1053,"")</f>
        <v/>
      </c>
    </row>
    <row r="1054" spans="1:21">
      <c r="A1054" s="991" t="str">
        <f ca="1">IFERROR(IF(COUNTIF($A$3:A1053,A1053)&lt; INDEX(TinhGia!$BH$10:$BH$81,MATCH($A1053,TinhGia!$B$10:$B$81,0)),$A1053,INDEX(TinhGia!$B$10:$B$81,MATCH($A1053,TinhGia!$B$10:$B$81,0)+1)),"")</f>
        <v/>
      </c>
      <c r="B1054" s="525" t="str">
        <f ca="1">IF(OR(A1054="",A1054=0),"",IF(COUNTIF($A$2:A1054,$A1054)=1,ROW(MauKoXoa!$C$108),$B1053+1))</f>
        <v/>
      </c>
      <c r="C1054" s="992" t="str">
        <f t="shared" ca="1" si="165"/>
        <v/>
      </c>
      <c r="D1054" s="993" t="str">
        <f t="shared" ca="1" si="166"/>
        <v/>
      </c>
      <c r="E1054" s="993" t="str">
        <f t="shared" ca="1" si="167"/>
        <v/>
      </c>
      <c r="F1054" s="992" t="str">
        <f t="shared" ca="1" si="178"/>
        <v/>
      </c>
      <c r="G1054" s="994">
        <f t="shared" ca="1" si="168"/>
        <v>0</v>
      </c>
      <c r="H1054" s="913">
        <f t="shared" ca="1" si="169"/>
        <v>0</v>
      </c>
      <c r="I1054" s="913">
        <f t="shared" ca="1" si="170"/>
        <v>0</v>
      </c>
      <c r="J1054" s="995">
        <f t="shared" ca="1" si="179"/>
        <v>0</v>
      </c>
      <c r="K1054" s="913">
        <f t="shared" ca="1" si="171"/>
        <v>0</v>
      </c>
      <c r="L1054" s="995">
        <f t="shared" ca="1" si="180"/>
        <v>0</v>
      </c>
      <c r="M1054" s="913">
        <f t="shared" ca="1" si="172"/>
        <v>0</v>
      </c>
      <c r="N1054" s="996">
        <f t="shared" ca="1" si="173"/>
        <v>0</v>
      </c>
      <c r="O1054" s="997">
        <f t="shared" ca="1" si="174"/>
        <v>0</v>
      </c>
      <c r="P1054" s="1015" t="str">
        <f ca="1">IF($C1054="","",INDEX(NVLSX!$N$2:$N$6941,MATCH($C1054,NVLSX!$E$2:$E$6941,0)))</f>
        <v/>
      </c>
      <c r="Q1054" s="1016" t="str">
        <f ca="1">IF($R1054="","",IF(XKNVLSX!$X$1="",IF($P1054=$V$7,$P1054, IF(COUNTIFS($C$2:$C1053,$C1054,$E$2:$E1053,$E1054)&gt;=1,"",$P1054)),     IF(AND(IFERROR(SEARCH($R1054,XKNVLSX!$X$1,1),0)&gt;=1,$P1054=$V$7),$P1054, IF(OR($R1054&lt;&gt;IF(IFERROR(SEARCH($R1054,XKNVLSX!$X$1,1),0)&gt;=1,$R1054,XKNVLSX!$X$1),COUNTIFS($C$2:$C1053,$C1054,$E$2:$E1053,$E1054,$Q$2:$Q1053,$P1054)&gt;=1),"",$P1054))))</f>
        <v/>
      </c>
      <c r="R1054" s="1017" t="str">
        <f ca="1">IF($A1054="","",IFERROR(INDEX(TinhGia!$BF$10:$BF$81,MATCH($A1054,TinhGia!$B$10:$B$81,0)),""))</f>
        <v/>
      </c>
      <c r="S1054" s="1012" t="str">
        <f ca="1">IF($A1054="","",IF(OR(IFERROR(SEARCH($R1054,XKNVLSX!$X$1,1),0)&gt;=1,XKNVLSX!$X$1=""),$S$2,""))</f>
        <v/>
      </c>
      <c r="T1054" s="1018" t="str">
        <f ca="1">IF($C1054="","", IF(OR($P1054=$V$1,$P1054=$V$7,COUNTIFS($C$3:$C1054,$C1054,$E$3:$E1054,$E1054)&lt;=1),$P1054,""    ))</f>
        <v/>
      </c>
      <c r="U1054" s="1019" t="str">
        <f ca="1">IF(AND($P1054=$V$2,COUNTIFS($C$3:$C1054,$C1054,$E$3:$E1054,$E1054,$G$3:$G1054,$G1054)&lt;=1),$P1054,"")</f>
        <v/>
      </c>
    </row>
    <row r="1055" spans="1:21">
      <c r="A1055" s="991" t="str">
        <f ca="1">IFERROR(IF(COUNTIF($A$3:A1054,A1054)&lt; INDEX(TinhGia!$BH$10:$BH$81,MATCH($A1054,TinhGia!$B$10:$B$81,0)),$A1054,INDEX(TinhGia!$B$10:$B$81,MATCH($A1054,TinhGia!$B$10:$B$81,0)+1)),"")</f>
        <v/>
      </c>
      <c r="B1055" s="525" t="str">
        <f ca="1">IF(OR(A1055="",A1055=0),"",IF(COUNTIF($A$2:A1055,$A1055)=1,ROW(MauKoXoa!$C$108),$B1054+1))</f>
        <v/>
      </c>
      <c r="C1055" s="992" t="str">
        <f t="shared" ca="1" si="165"/>
        <v/>
      </c>
      <c r="D1055" s="993" t="str">
        <f t="shared" ca="1" si="166"/>
        <v/>
      </c>
      <c r="E1055" s="993" t="str">
        <f t="shared" ca="1" si="167"/>
        <v/>
      </c>
      <c r="F1055" s="992" t="str">
        <f t="shared" ca="1" si="178"/>
        <v/>
      </c>
      <c r="G1055" s="994">
        <f t="shared" ca="1" si="168"/>
        <v>0</v>
      </c>
      <c r="H1055" s="913">
        <f t="shared" ca="1" si="169"/>
        <v>0</v>
      </c>
      <c r="I1055" s="913">
        <f t="shared" ca="1" si="170"/>
        <v>0</v>
      </c>
      <c r="J1055" s="995">
        <f t="shared" ca="1" si="179"/>
        <v>0</v>
      </c>
      <c r="K1055" s="913">
        <f t="shared" ca="1" si="171"/>
        <v>0</v>
      </c>
      <c r="L1055" s="995">
        <f t="shared" ca="1" si="180"/>
        <v>0</v>
      </c>
      <c r="M1055" s="913">
        <f t="shared" ca="1" si="172"/>
        <v>0</v>
      </c>
      <c r="N1055" s="996">
        <f t="shared" ca="1" si="173"/>
        <v>0</v>
      </c>
      <c r="O1055" s="997">
        <f t="shared" ca="1" si="174"/>
        <v>0</v>
      </c>
      <c r="P1055" s="1015" t="str">
        <f ca="1">IF($C1055="","",INDEX(NVLSX!$N$2:$N$6941,MATCH($C1055,NVLSX!$E$2:$E$6941,0)))</f>
        <v/>
      </c>
      <c r="Q1055" s="1016" t="str">
        <f ca="1">IF($R1055="","",IF(XKNVLSX!$X$1="",IF($P1055=$V$7,$P1055, IF(COUNTIFS($C$2:$C1054,$C1055,$E$2:$E1054,$E1055)&gt;=1,"",$P1055)),     IF(AND(IFERROR(SEARCH($R1055,XKNVLSX!$X$1,1),0)&gt;=1,$P1055=$V$7),$P1055, IF(OR($R1055&lt;&gt;IF(IFERROR(SEARCH($R1055,XKNVLSX!$X$1,1),0)&gt;=1,$R1055,XKNVLSX!$X$1),COUNTIFS($C$2:$C1054,$C1055,$E$2:$E1054,$E1055,$Q$2:$Q1054,$P1055)&gt;=1),"",$P1055))))</f>
        <v/>
      </c>
      <c r="R1055" s="1017" t="str">
        <f ca="1">IF($A1055="","",IFERROR(INDEX(TinhGia!$BF$10:$BF$81,MATCH($A1055,TinhGia!$B$10:$B$81,0)),""))</f>
        <v/>
      </c>
      <c r="S1055" s="1012" t="str">
        <f ca="1">IF($A1055="","",IF(OR(IFERROR(SEARCH($R1055,XKNVLSX!$X$1,1),0)&gt;=1,XKNVLSX!$X$1=""),$S$2,""))</f>
        <v/>
      </c>
      <c r="T1055" s="1018" t="str">
        <f ca="1">IF($C1055="","", IF(OR($P1055=$V$1,$P1055=$V$7,COUNTIFS($C$3:$C1055,$C1055,$E$3:$E1055,$E1055)&lt;=1),$P1055,""    ))</f>
        <v/>
      </c>
      <c r="U1055" s="1019" t="str">
        <f ca="1">IF(AND($P1055=$V$2,COUNTIFS($C$3:$C1055,$C1055,$E$3:$E1055,$E1055,$G$3:$G1055,$G1055)&lt;=1),$P1055,"")</f>
        <v/>
      </c>
    </row>
    <row r="1056" spans="1:21">
      <c r="A1056" s="991" t="str">
        <f ca="1">IFERROR(IF(COUNTIF($A$3:A1055,A1055)&lt; INDEX(TinhGia!$BH$10:$BH$81,MATCH($A1055,TinhGia!$B$10:$B$81,0)),$A1055,INDEX(TinhGia!$B$10:$B$81,MATCH($A1055,TinhGia!$B$10:$B$81,0)+1)),"")</f>
        <v/>
      </c>
      <c r="B1056" s="525" t="str">
        <f ca="1">IF(OR(A1056="",A1056=0),"",IF(COUNTIF($A$2:A1056,$A1056)=1,ROW(MauKoXoa!$C$108),$B1055+1))</f>
        <v/>
      </c>
      <c r="C1056" s="992" t="str">
        <f t="shared" ca="1" si="165"/>
        <v/>
      </c>
      <c r="D1056" s="993" t="str">
        <f t="shared" ca="1" si="166"/>
        <v/>
      </c>
      <c r="E1056" s="993" t="str">
        <f t="shared" ca="1" si="167"/>
        <v/>
      </c>
      <c r="F1056" s="992" t="str">
        <f t="shared" ca="1" si="178"/>
        <v/>
      </c>
      <c r="G1056" s="994">
        <f t="shared" ca="1" si="168"/>
        <v>0</v>
      </c>
      <c r="H1056" s="913">
        <f t="shared" ca="1" si="169"/>
        <v>0</v>
      </c>
      <c r="I1056" s="913">
        <f t="shared" ca="1" si="170"/>
        <v>0</v>
      </c>
      <c r="J1056" s="995">
        <f t="shared" ca="1" si="179"/>
        <v>0</v>
      </c>
      <c r="K1056" s="913">
        <f t="shared" ca="1" si="171"/>
        <v>0</v>
      </c>
      <c r="L1056" s="995">
        <f t="shared" ca="1" si="180"/>
        <v>0</v>
      </c>
      <c r="M1056" s="913">
        <f t="shared" ca="1" si="172"/>
        <v>0</v>
      </c>
      <c r="N1056" s="996">
        <f t="shared" ca="1" si="173"/>
        <v>0</v>
      </c>
      <c r="O1056" s="997">
        <f t="shared" ca="1" si="174"/>
        <v>0</v>
      </c>
      <c r="P1056" s="1015" t="str">
        <f ca="1">IF($C1056="","",INDEX(NVLSX!$N$2:$N$6941,MATCH($C1056,NVLSX!$E$2:$E$6941,0)))</f>
        <v/>
      </c>
      <c r="Q1056" s="1016" t="str">
        <f ca="1">IF($R1056="","",IF(XKNVLSX!$X$1="",IF($P1056=$V$7,$P1056, IF(COUNTIFS($C$2:$C1055,$C1056,$E$2:$E1055,$E1056)&gt;=1,"",$P1056)),     IF(AND(IFERROR(SEARCH($R1056,XKNVLSX!$X$1,1),0)&gt;=1,$P1056=$V$7),$P1056, IF(OR($R1056&lt;&gt;IF(IFERROR(SEARCH($R1056,XKNVLSX!$X$1,1),0)&gt;=1,$R1056,XKNVLSX!$X$1),COUNTIFS($C$2:$C1055,$C1056,$E$2:$E1055,$E1056,$Q$2:$Q1055,$P1056)&gt;=1),"",$P1056))))</f>
        <v/>
      </c>
      <c r="R1056" s="1017" t="str">
        <f ca="1">IF($A1056="","",IFERROR(INDEX(TinhGia!$BF$10:$BF$81,MATCH($A1056,TinhGia!$B$10:$B$81,0)),""))</f>
        <v/>
      </c>
      <c r="S1056" s="1012" t="str">
        <f ca="1">IF($A1056="","",IF(OR(IFERROR(SEARCH($R1056,XKNVLSX!$X$1,1),0)&gt;=1,XKNVLSX!$X$1=""),$S$2,""))</f>
        <v/>
      </c>
      <c r="T1056" s="1018" t="str">
        <f ca="1">IF($C1056="","", IF(OR($P1056=$V$1,$P1056=$V$7,COUNTIFS($C$3:$C1056,$C1056,$E$3:$E1056,$E1056)&lt;=1),$P1056,""    ))</f>
        <v/>
      </c>
      <c r="U1056" s="1019" t="str">
        <f ca="1">IF(AND($P1056=$V$2,COUNTIFS($C$3:$C1056,$C1056,$E$3:$E1056,$E1056,$G$3:$G1056,$G1056)&lt;=1),$P1056,"")</f>
        <v/>
      </c>
    </row>
    <row r="1057" spans="1:21">
      <c r="A1057" s="991" t="str">
        <f ca="1">IFERROR(IF(COUNTIF($A$3:A1056,A1056)&lt; INDEX(TinhGia!$BH$10:$BH$81,MATCH($A1056,TinhGia!$B$10:$B$81,0)),$A1056,INDEX(TinhGia!$B$10:$B$81,MATCH($A1056,TinhGia!$B$10:$B$81,0)+1)),"")</f>
        <v/>
      </c>
      <c r="B1057" s="525" t="str">
        <f ca="1">IF(OR(A1057="",A1057=0),"",IF(COUNTIF($A$2:A1057,$A1057)=1,ROW(MauKoXoa!$C$108),$B1056+1))</f>
        <v/>
      </c>
      <c r="C1057" s="992" t="str">
        <f t="shared" ca="1" si="165"/>
        <v/>
      </c>
      <c r="D1057" s="993" t="str">
        <f t="shared" ca="1" si="166"/>
        <v/>
      </c>
      <c r="E1057" s="993" t="str">
        <f t="shared" ca="1" si="167"/>
        <v/>
      </c>
      <c r="F1057" s="992" t="str">
        <f t="shared" ca="1" si="178"/>
        <v/>
      </c>
      <c r="G1057" s="994">
        <f t="shared" ca="1" si="168"/>
        <v>0</v>
      </c>
      <c r="H1057" s="913">
        <f t="shared" ca="1" si="169"/>
        <v>0</v>
      </c>
      <c r="I1057" s="913">
        <f t="shared" ca="1" si="170"/>
        <v>0</v>
      </c>
      <c r="J1057" s="995">
        <f t="shared" ca="1" si="179"/>
        <v>0</v>
      </c>
      <c r="K1057" s="913">
        <f t="shared" ca="1" si="171"/>
        <v>0</v>
      </c>
      <c r="L1057" s="995">
        <f t="shared" ca="1" si="180"/>
        <v>0</v>
      </c>
      <c r="M1057" s="913">
        <f t="shared" ca="1" si="172"/>
        <v>0</v>
      </c>
      <c r="N1057" s="996">
        <f t="shared" ca="1" si="173"/>
        <v>0</v>
      </c>
      <c r="O1057" s="997">
        <f t="shared" ca="1" si="174"/>
        <v>0</v>
      </c>
      <c r="P1057" s="1015" t="str">
        <f ca="1">IF($C1057="","",INDEX(NVLSX!$N$2:$N$6941,MATCH($C1057,NVLSX!$E$2:$E$6941,0)))</f>
        <v/>
      </c>
      <c r="Q1057" s="1016" t="str">
        <f ca="1">IF($R1057="","",IF(XKNVLSX!$X$1="",IF($P1057=$V$7,$P1057, IF(COUNTIFS($C$2:$C1056,$C1057,$E$2:$E1056,$E1057)&gt;=1,"",$P1057)),     IF(AND(IFERROR(SEARCH($R1057,XKNVLSX!$X$1,1),0)&gt;=1,$P1057=$V$7),$P1057, IF(OR($R1057&lt;&gt;IF(IFERROR(SEARCH($R1057,XKNVLSX!$X$1,1),0)&gt;=1,$R1057,XKNVLSX!$X$1),COUNTIFS($C$2:$C1056,$C1057,$E$2:$E1056,$E1057,$Q$2:$Q1056,$P1057)&gt;=1),"",$P1057))))</f>
        <v/>
      </c>
      <c r="R1057" s="1017" t="str">
        <f ca="1">IF($A1057="","",IFERROR(INDEX(TinhGia!$BF$10:$BF$81,MATCH($A1057,TinhGia!$B$10:$B$81,0)),""))</f>
        <v/>
      </c>
      <c r="S1057" s="1012" t="str">
        <f ca="1">IF($A1057="","",IF(OR(IFERROR(SEARCH($R1057,XKNVLSX!$X$1,1),0)&gt;=1,XKNVLSX!$X$1=""),$S$2,""))</f>
        <v/>
      </c>
      <c r="T1057" s="1018" t="str">
        <f ca="1">IF($C1057="","", IF(OR($P1057=$V$1,$P1057=$V$7,COUNTIFS($C$3:$C1057,$C1057,$E$3:$E1057,$E1057)&lt;=1),$P1057,""    ))</f>
        <v/>
      </c>
      <c r="U1057" s="1019" t="str">
        <f ca="1">IF(AND($P1057=$V$2,COUNTIFS($C$3:$C1057,$C1057,$E$3:$E1057,$E1057,$G$3:$G1057,$G1057)&lt;=1),$P1057,"")</f>
        <v/>
      </c>
    </row>
    <row r="1058" spans="1:21">
      <c r="A1058" s="991" t="str">
        <f ca="1">IFERROR(IF(COUNTIF($A$3:A1057,A1057)&lt; INDEX(TinhGia!$BH$10:$BH$81,MATCH($A1057,TinhGia!$B$10:$B$81,0)),$A1057,INDEX(TinhGia!$B$10:$B$81,MATCH($A1057,TinhGia!$B$10:$B$81,0)+1)),"")</f>
        <v/>
      </c>
      <c r="B1058" s="525" t="str">
        <f ca="1">IF(OR(A1058="",A1058=0),"",IF(COUNTIF($A$2:A1058,$A1058)=1,ROW(MauKoXoa!$C$108),$B1057+1))</f>
        <v/>
      </c>
      <c r="C1058" s="992" t="str">
        <f t="shared" ca="1" si="165"/>
        <v/>
      </c>
      <c r="D1058" s="993" t="str">
        <f t="shared" ca="1" si="166"/>
        <v/>
      </c>
      <c r="E1058" s="993" t="str">
        <f t="shared" ca="1" si="167"/>
        <v/>
      </c>
      <c r="F1058" s="992" t="str">
        <f t="shared" ca="1" si="178"/>
        <v/>
      </c>
      <c r="G1058" s="994">
        <f t="shared" ca="1" si="168"/>
        <v>0</v>
      </c>
      <c r="H1058" s="913">
        <f t="shared" ca="1" si="169"/>
        <v>0</v>
      </c>
      <c r="I1058" s="913">
        <f t="shared" ca="1" si="170"/>
        <v>0</v>
      </c>
      <c r="J1058" s="995">
        <f t="shared" ca="1" si="179"/>
        <v>0</v>
      </c>
      <c r="K1058" s="913">
        <f t="shared" ca="1" si="171"/>
        <v>0</v>
      </c>
      <c r="L1058" s="995">
        <f t="shared" ca="1" si="180"/>
        <v>0</v>
      </c>
      <c r="M1058" s="913">
        <f t="shared" ca="1" si="172"/>
        <v>0</v>
      </c>
      <c r="N1058" s="996">
        <f t="shared" ca="1" si="173"/>
        <v>0</v>
      </c>
      <c r="O1058" s="997">
        <f t="shared" ca="1" si="174"/>
        <v>0</v>
      </c>
      <c r="P1058" s="1015" t="str">
        <f ca="1">IF($C1058="","",INDEX(NVLSX!$N$2:$N$6941,MATCH($C1058,NVLSX!$E$2:$E$6941,0)))</f>
        <v/>
      </c>
      <c r="Q1058" s="1016" t="str">
        <f ca="1">IF($R1058="","",IF(XKNVLSX!$X$1="",IF($P1058=$V$7,$P1058, IF(COUNTIFS($C$2:$C1057,$C1058,$E$2:$E1057,$E1058)&gt;=1,"",$P1058)),     IF(AND(IFERROR(SEARCH($R1058,XKNVLSX!$X$1,1),0)&gt;=1,$P1058=$V$7),$P1058, IF(OR($R1058&lt;&gt;IF(IFERROR(SEARCH($R1058,XKNVLSX!$X$1,1),0)&gt;=1,$R1058,XKNVLSX!$X$1),COUNTIFS($C$2:$C1057,$C1058,$E$2:$E1057,$E1058,$Q$2:$Q1057,$P1058)&gt;=1),"",$P1058))))</f>
        <v/>
      </c>
      <c r="R1058" s="1017" t="str">
        <f ca="1">IF($A1058="","",IFERROR(INDEX(TinhGia!$BF$10:$BF$81,MATCH($A1058,TinhGia!$B$10:$B$81,0)),""))</f>
        <v/>
      </c>
      <c r="S1058" s="1012" t="str">
        <f ca="1">IF($A1058="","",IF(OR(IFERROR(SEARCH($R1058,XKNVLSX!$X$1,1),0)&gt;=1,XKNVLSX!$X$1=""),$S$2,""))</f>
        <v/>
      </c>
      <c r="T1058" s="1018" t="str">
        <f ca="1">IF($C1058="","", IF(OR($P1058=$V$1,$P1058=$V$7,COUNTIFS($C$3:$C1058,$C1058,$E$3:$E1058,$E1058)&lt;=1),$P1058,""    ))</f>
        <v/>
      </c>
      <c r="U1058" s="1019" t="str">
        <f ca="1">IF(AND($P1058=$V$2,COUNTIFS($C$3:$C1058,$C1058,$E$3:$E1058,$E1058,$G$3:$G1058,$G1058)&lt;=1),$P1058,"")</f>
        <v/>
      </c>
    </row>
    <row r="1059" spans="1:21">
      <c r="A1059" s="991" t="str">
        <f ca="1">IFERROR(IF(COUNTIF($A$3:A1058,A1058)&lt; INDEX(TinhGia!$BH$10:$BH$81,MATCH($A1058,TinhGia!$B$10:$B$81,0)),$A1058,INDEX(TinhGia!$B$10:$B$81,MATCH($A1058,TinhGia!$B$10:$B$81,0)+1)),"")</f>
        <v/>
      </c>
      <c r="B1059" s="525" t="str">
        <f ca="1">IF(OR(A1059="",A1059=0),"",IF(COUNTIF($A$2:A1059,$A1059)=1,ROW(MauKoXoa!$C$108),$B1058+1))</f>
        <v/>
      </c>
      <c r="C1059" s="992" t="str">
        <f t="shared" ca="1" si="165"/>
        <v/>
      </c>
      <c r="D1059" s="993" t="str">
        <f t="shared" ca="1" si="166"/>
        <v/>
      </c>
      <c r="E1059" s="993" t="str">
        <f t="shared" ca="1" si="167"/>
        <v/>
      </c>
      <c r="F1059" s="992" t="str">
        <f t="shared" ca="1" si="178"/>
        <v/>
      </c>
      <c r="G1059" s="994">
        <f t="shared" ca="1" si="168"/>
        <v>0</v>
      </c>
      <c r="H1059" s="913">
        <f t="shared" ca="1" si="169"/>
        <v>0</v>
      </c>
      <c r="I1059" s="913">
        <f t="shared" ca="1" si="170"/>
        <v>0</v>
      </c>
      <c r="J1059" s="995">
        <f t="shared" ca="1" si="179"/>
        <v>0</v>
      </c>
      <c r="K1059" s="913">
        <f t="shared" ca="1" si="171"/>
        <v>0</v>
      </c>
      <c r="L1059" s="995">
        <f t="shared" ca="1" si="180"/>
        <v>0</v>
      </c>
      <c r="M1059" s="913">
        <f t="shared" ca="1" si="172"/>
        <v>0</v>
      </c>
      <c r="N1059" s="996">
        <f t="shared" ca="1" si="173"/>
        <v>0</v>
      </c>
      <c r="O1059" s="997">
        <f t="shared" ca="1" si="174"/>
        <v>0</v>
      </c>
      <c r="P1059" s="1015" t="str">
        <f ca="1">IF($C1059="","",INDEX(NVLSX!$N$2:$N$6941,MATCH($C1059,NVLSX!$E$2:$E$6941,0)))</f>
        <v/>
      </c>
      <c r="Q1059" s="1016" t="str">
        <f ca="1">IF($R1059="","",IF(XKNVLSX!$X$1="",IF($P1059=$V$7,$P1059, IF(COUNTIFS($C$2:$C1058,$C1059,$E$2:$E1058,$E1059)&gt;=1,"",$P1059)),     IF(AND(IFERROR(SEARCH($R1059,XKNVLSX!$X$1,1),0)&gt;=1,$P1059=$V$7),$P1059, IF(OR($R1059&lt;&gt;IF(IFERROR(SEARCH($R1059,XKNVLSX!$X$1,1),0)&gt;=1,$R1059,XKNVLSX!$X$1),COUNTIFS($C$2:$C1058,$C1059,$E$2:$E1058,$E1059,$Q$2:$Q1058,$P1059)&gt;=1),"",$P1059))))</f>
        <v/>
      </c>
      <c r="R1059" s="1017" t="str">
        <f ca="1">IF($A1059="","",IFERROR(INDEX(TinhGia!$BF$10:$BF$81,MATCH($A1059,TinhGia!$B$10:$B$81,0)),""))</f>
        <v/>
      </c>
      <c r="S1059" s="1012" t="str">
        <f ca="1">IF($A1059="","",IF(OR(IFERROR(SEARCH($R1059,XKNVLSX!$X$1,1),0)&gt;=1,XKNVLSX!$X$1=""),$S$2,""))</f>
        <v/>
      </c>
      <c r="T1059" s="1018" t="str">
        <f ca="1">IF($C1059="","", IF(OR($P1059=$V$1,$P1059=$V$7,COUNTIFS($C$3:$C1059,$C1059,$E$3:$E1059,$E1059)&lt;=1),$P1059,""    ))</f>
        <v/>
      </c>
      <c r="U1059" s="1019" t="str">
        <f ca="1">IF(AND($P1059=$V$2,COUNTIFS($C$3:$C1059,$C1059,$E$3:$E1059,$E1059,$G$3:$G1059,$G1059)&lt;=1),$P1059,"")</f>
        <v/>
      </c>
    </row>
    <row r="1060" spans="1:21">
      <c r="A1060" s="991" t="str">
        <f ca="1">IFERROR(IF(COUNTIF($A$3:A1059,A1059)&lt; INDEX(TinhGia!$BH$10:$BH$81,MATCH($A1059,TinhGia!$B$10:$B$81,0)),$A1059,INDEX(TinhGia!$B$10:$B$81,MATCH($A1059,TinhGia!$B$10:$B$81,0)+1)),"")</f>
        <v/>
      </c>
      <c r="B1060" s="525" t="str">
        <f ca="1">IF(OR(A1060="",A1060=0),"",IF(COUNTIF($A$2:A1060,$A1060)=1,ROW(MauKoXoa!$C$108),$B1059+1))</f>
        <v/>
      </c>
      <c r="C1060" s="992" t="str">
        <f t="shared" ca="1" si="165"/>
        <v/>
      </c>
      <c r="D1060" s="993" t="str">
        <f t="shared" ca="1" si="166"/>
        <v/>
      </c>
      <c r="E1060" s="993" t="str">
        <f t="shared" ca="1" si="167"/>
        <v/>
      </c>
      <c r="F1060" s="992" t="str">
        <f t="shared" ca="1" si="178"/>
        <v/>
      </c>
      <c r="G1060" s="994">
        <f t="shared" ca="1" si="168"/>
        <v>0</v>
      </c>
      <c r="H1060" s="913">
        <f t="shared" ca="1" si="169"/>
        <v>0</v>
      </c>
      <c r="I1060" s="913">
        <f t="shared" ca="1" si="170"/>
        <v>0</v>
      </c>
      <c r="J1060" s="995">
        <f t="shared" ca="1" si="179"/>
        <v>0</v>
      </c>
      <c r="K1060" s="913">
        <f t="shared" ca="1" si="171"/>
        <v>0</v>
      </c>
      <c r="L1060" s="995">
        <f t="shared" ca="1" si="180"/>
        <v>0</v>
      </c>
      <c r="M1060" s="913">
        <f t="shared" ca="1" si="172"/>
        <v>0</v>
      </c>
      <c r="N1060" s="996">
        <f t="shared" ca="1" si="173"/>
        <v>0</v>
      </c>
      <c r="O1060" s="997">
        <f t="shared" ca="1" si="174"/>
        <v>0</v>
      </c>
      <c r="P1060" s="1015" t="str">
        <f ca="1">IF($C1060="","",INDEX(NVLSX!$N$2:$N$6941,MATCH($C1060,NVLSX!$E$2:$E$6941,0)))</f>
        <v/>
      </c>
      <c r="Q1060" s="1016" t="str">
        <f ca="1">IF($R1060="","",IF(XKNVLSX!$X$1="",IF($P1060=$V$7,$P1060, IF(COUNTIFS($C$2:$C1059,$C1060,$E$2:$E1059,$E1060)&gt;=1,"",$P1060)),     IF(AND(IFERROR(SEARCH($R1060,XKNVLSX!$X$1,1),0)&gt;=1,$P1060=$V$7),$P1060, IF(OR($R1060&lt;&gt;IF(IFERROR(SEARCH($R1060,XKNVLSX!$X$1,1),0)&gt;=1,$R1060,XKNVLSX!$X$1),COUNTIFS($C$2:$C1059,$C1060,$E$2:$E1059,$E1060,$Q$2:$Q1059,$P1060)&gt;=1),"",$P1060))))</f>
        <v/>
      </c>
      <c r="R1060" s="1017" t="str">
        <f ca="1">IF($A1060="","",IFERROR(INDEX(TinhGia!$BF$10:$BF$81,MATCH($A1060,TinhGia!$B$10:$B$81,0)),""))</f>
        <v/>
      </c>
      <c r="S1060" s="1012" t="str">
        <f ca="1">IF($A1060="","",IF(OR(IFERROR(SEARCH($R1060,XKNVLSX!$X$1,1),0)&gt;=1,XKNVLSX!$X$1=""),$S$2,""))</f>
        <v/>
      </c>
      <c r="T1060" s="1018" t="str">
        <f ca="1">IF($C1060="","", IF(OR($P1060=$V$1,$P1060=$V$7,COUNTIFS($C$3:$C1060,$C1060,$E$3:$E1060,$E1060)&lt;=1),$P1060,""    ))</f>
        <v/>
      </c>
      <c r="U1060" s="1019" t="str">
        <f ca="1">IF(AND($P1060=$V$2,COUNTIFS($C$3:$C1060,$C1060,$E$3:$E1060,$E1060,$G$3:$G1060,$G1060)&lt;=1),$P1060,"")</f>
        <v/>
      </c>
    </row>
    <row r="1061" spans="1:21">
      <c r="A1061" s="991" t="str">
        <f ca="1">IFERROR(IF(COUNTIF($A$3:A1060,A1060)&lt; INDEX(TinhGia!$BH$10:$BH$81,MATCH($A1060,TinhGia!$B$10:$B$81,0)),$A1060,INDEX(TinhGia!$B$10:$B$81,MATCH($A1060,TinhGia!$B$10:$B$81,0)+1)),"")</f>
        <v/>
      </c>
      <c r="B1061" s="525" t="str">
        <f ca="1">IF(OR(A1061="",A1061=0),"",IF(COUNTIF($A$2:A1061,$A1061)=1,ROW(MauKoXoa!$C$108),$B1060+1))</f>
        <v/>
      </c>
      <c r="C1061" s="992" t="str">
        <f t="shared" ca="1" si="165"/>
        <v/>
      </c>
      <c r="D1061" s="993" t="str">
        <f t="shared" ca="1" si="166"/>
        <v/>
      </c>
      <c r="E1061" s="993" t="str">
        <f t="shared" ca="1" si="167"/>
        <v/>
      </c>
      <c r="F1061" s="992" t="str">
        <f t="shared" ca="1" si="178"/>
        <v/>
      </c>
      <c r="G1061" s="994">
        <f t="shared" ca="1" si="168"/>
        <v>0</v>
      </c>
      <c r="H1061" s="913">
        <f t="shared" ca="1" si="169"/>
        <v>0</v>
      </c>
      <c r="I1061" s="913">
        <f t="shared" ca="1" si="170"/>
        <v>0</v>
      </c>
      <c r="J1061" s="995">
        <f t="shared" ca="1" si="179"/>
        <v>0</v>
      </c>
      <c r="K1061" s="913">
        <f t="shared" ca="1" si="171"/>
        <v>0</v>
      </c>
      <c r="L1061" s="995">
        <f t="shared" ca="1" si="180"/>
        <v>0</v>
      </c>
      <c r="M1061" s="913">
        <f t="shared" ca="1" si="172"/>
        <v>0</v>
      </c>
      <c r="N1061" s="996">
        <f t="shared" ca="1" si="173"/>
        <v>0</v>
      </c>
      <c r="O1061" s="997">
        <f t="shared" ca="1" si="174"/>
        <v>0</v>
      </c>
      <c r="P1061" s="1015" t="str">
        <f ca="1">IF($C1061="","",INDEX(NVLSX!$N$2:$N$6941,MATCH($C1061,NVLSX!$E$2:$E$6941,0)))</f>
        <v/>
      </c>
      <c r="Q1061" s="1016" t="str">
        <f ca="1">IF($R1061="","",IF(XKNVLSX!$X$1="",IF($P1061=$V$7,$P1061, IF(COUNTIFS($C$2:$C1060,$C1061,$E$2:$E1060,$E1061)&gt;=1,"",$P1061)),     IF(AND(IFERROR(SEARCH($R1061,XKNVLSX!$X$1,1),0)&gt;=1,$P1061=$V$7),$P1061, IF(OR($R1061&lt;&gt;IF(IFERROR(SEARCH($R1061,XKNVLSX!$X$1,1),0)&gt;=1,$R1061,XKNVLSX!$X$1),COUNTIFS($C$2:$C1060,$C1061,$E$2:$E1060,$E1061,$Q$2:$Q1060,$P1061)&gt;=1),"",$P1061))))</f>
        <v/>
      </c>
      <c r="R1061" s="1017" t="str">
        <f ca="1">IF($A1061="","",IFERROR(INDEX(TinhGia!$BF$10:$BF$81,MATCH($A1061,TinhGia!$B$10:$B$81,0)),""))</f>
        <v/>
      </c>
      <c r="S1061" s="1012" t="str">
        <f ca="1">IF($A1061="","",IF(OR(IFERROR(SEARCH($R1061,XKNVLSX!$X$1,1),0)&gt;=1,XKNVLSX!$X$1=""),$S$2,""))</f>
        <v/>
      </c>
      <c r="T1061" s="1018" t="str">
        <f ca="1">IF($C1061="","", IF(OR($P1061=$V$1,$P1061=$V$7,COUNTIFS($C$3:$C1061,$C1061,$E$3:$E1061,$E1061)&lt;=1),$P1061,""    ))</f>
        <v/>
      </c>
      <c r="U1061" s="1019" t="str">
        <f ca="1">IF(AND($P1061=$V$2,COUNTIFS($C$3:$C1061,$C1061,$E$3:$E1061,$E1061,$G$3:$G1061,$G1061)&lt;=1),$P1061,"")</f>
        <v/>
      </c>
    </row>
    <row r="1062" spans="1:21">
      <c r="A1062" s="991" t="str">
        <f ca="1">IFERROR(IF(COUNTIF($A$3:A1061,A1061)&lt; INDEX(TinhGia!$BH$10:$BH$81,MATCH($A1061,TinhGia!$B$10:$B$81,0)),$A1061,INDEX(TinhGia!$B$10:$B$81,MATCH($A1061,TinhGia!$B$10:$B$81,0)+1)),"")</f>
        <v/>
      </c>
      <c r="B1062" s="525" t="str">
        <f ca="1">IF(OR(A1062="",A1062=0),"",IF(COUNTIF($A$2:A1062,$A1062)=1,ROW(MauKoXoa!$C$108),$B1061+1))</f>
        <v/>
      </c>
      <c r="C1062" s="992" t="str">
        <f t="shared" ca="1" si="165"/>
        <v/>
      </c>
      <c r="D1062" s="993" t="str">
        <f t="shared" ca="1" si="166"/>
        <v/>
      </c>
      <c r="E1062" s="993" t="str">
        <f t="shared" ca="1" si="167"/>
        <v/>
      </c>
      <c r="F1062" s="992" t="str">
        <f t="shared" ca="1" si="178"/>
        <v/>
      </c>
      <c r="G1062" s="994">
        <f t="shared" ca="1" si="168"/>
        <v>0</v>
      </c>
      <c r="H1062" s="913">
        <f t="shared" ca="1" si="169"/>
        <v>0</v>
      </c>
      <c r="I1062" s="913">
        <f t="shared" ca="1" si="170"/>
        <v>0</v>
      </c>
      <c r="J1062" s="995">
        <f t="shared" ca="1" si="179"/>
        <v>0</v>
      </c>
      <c r="K1062" s="913">
        <f t="shared" ca="1" si="171"/>
        <v>0</v>
      </c>
      <c r="L1062" s="995">
        <f t="shared" ca="1" si="180"/>
        <v>0</v>
      </c>
      <c r="M1062" s="913">
        <f t="shared" ca="1" si="172"/>
        <v>0</v>
      </c>
      <c r="N1062" s="996">
        <f t="shared" ca="1" si="173"/>
        <v>0</v>
      </c>
      <c r="O1062" s="997">
        <f t="shared" ca="1" si="174"/>
        <v>0</v>
      </c>
      <c r="P1062" s="1015" t="str">
        <f ca="1">IF($C1062="","",INDEX(NVLSX!$N$2:$N$6941,MATCH($C1062,NVLSX!$E$2:$E$6941,0)))</f>
        <v/>
      </c>
      <c r="Q1062" s="1016" t="str">
        <f ca="1">IF($R1062="","",IF(XKNVLSX!$X$1="",IF($P1062=$V$7,$P1062, IF(COUNTIFS($C$2:$C1061,$C1062,$E$2:$E1061,$E1062)&gt;=1,"",$P1062)),     IF(AND(IFERROR(SEARCH($R1062,XKNVLSX!$X$1,1),0)&gt;=1,$P1062=$V$7),$P1062, IF(OR($R1062&lt;&gt;IF(IFERROR(SEARCH($R1062,XKNVLSX!$X$1,1),0)&gt;=1,$R1062,XKNVLSX!$X$1),COUNTIFS($C$2:$C1061,$C1062,$E$2:$E1061,$E1062,$Q$2:$Q1061,$P1062)&gt;=1),"",$P1062))))</f>
        <v/>
      </c>
      <c r="R1062" s="1017" t="str">
        <f ca="1">IF($A1062="","",IFERROR(INDEX(TinhGia!$BF$10:$BF$81,MATCH($A1062,TinhGia!$B$10:$B$81,0)),""))</f>
        <v/>
      </c>
      <c r="S1062" s="1012" t="str">
        <f ca="1">IF($A1062="","",IF(OR(IFERROR(SEARCH($R1062,XKNVLSX!$X$1,1),0)&gt;=1,XKNVLSX!$X$1=""),$S$2,""))</f>
        <v/>
      </c>
      <c r="T1062" s="1018" t="str">
        <f ca="1">IF($C1062="","", IF(OR($P1062=$V$1,$P1062=$V$7,COUNTIFS($C$3:$C1062,$C1062,$E$3:$E1062,$E1062)&lt;=1),$P1062,""    ))</f>
        <v/>
      </c>
      <c r="U1062" s="1019" t="str">
        <f ca="1">IF(AND($P1062=$V$2,COUNTIFS($C$3:$C1062,$C1062,$E$3:$E1062,$E1062,$G$3:$G1062,$G1062)&lt;=1),$P1062,"")</f>
        <v/>
      </c>
    </row>
    <row r="1063" spans="1:21">
      <c r="A1063" s="991" t="str">
        <f ca="1">IFERROR(IF(COUNTIF($A$3:A1062,A1062)&lt; INDEX(TinhGia!$BH$10:$BH$81,MATCH($A1062,TinhGia!$B$10:$B$81,0)),$A1062,INDEX(TinhGia!$B$10:$B$81,MATCH($A1062,TinhGia!$B$10:$B$81,0)+1)),"")</f>
        <v/>
      </c>
      <c r="B1063" s="525" t="str">
        <f ca="1">IF(OR(A1063="",A1063=0),"",IF(COUNTIF($A$2:A1063,$A1063)=1,ROW(MauKoXoa!$C$108),$B1062+1))</f>
        <v/>
      </c>
      <c r="C1063" s="992" t="str">
        <f t="shared" ca="1" si="165"/>
        <v/>
      </c>
      <c r="D1063" s="993" t="str">
        <f t="shared" ca="1" si="166"/>
        <v/>
      </c>
      <c r="E1063" s="993" t="str">
        <f t="shared" ca="1" si="167"/>
        <v/>
      </c>
      <c r="F1063" s="992" t="str">
        <f t="shared" ca="1" si="178"/>
        <v/>
      </c>
      <c r="G1063" s="994">
        <f t="shared" ca="1" si="168"/>
        <v>0</v>
      </c>
      <c r="H1063" s="913">
        <f t="shared" ca="1" si="169"/>
        <v>0</v>
      </c>
      <c r="I1063" s="913">
        <f t="shared" ca="1" si="170"/>
        <v>0</v>
      </c>
      <c r="J1063" s="995">
        <f t="shared" ca="1" si="179"/>
        <v>0</v>
      </c>
      <c r="K1063" s="913">
        <f t="shared" ca="1" si="171"/>
        <v>0</v>
      </c>
      <c r="L1063" s="995">
        <f t="shared" ca="1" si="180"/>
        <v>0</v>
      </c>
      <c r="M1063" s="913">
        <f t="shared" ca="1" si="172"/>
        <v>0</v>
      </c>
      <c r="N1063" s="996">
        <f t="shared" ca="1" si="173"/>
        <v>0</v>
      </c>
      <c r="O1063" s="997">
        <f t="shared" ca="1" si="174"/>
        <v>0</v>
      </c>
      <c r="P1063" s="1015" t="str">
        <f ca="1">IF($C1063="","",INDEX(NVLSX!$N$2:$N$6941,MATCH($C1063,NVLSX!$E$2:$E$6941,0)))</f>
        <v/>
      </c>
      <c r="Q1063" s="1016" t="str">
        <f ca="1">IF($R1063="","",IF(XKNVLSX!$X$1="",IF($P1063=$V$7,$P1063, IF(COUNTIFS($C$2:$C1062,$C1063,$E$2:$E1062,$E1063)&gt;=1,"",$P1063)),     IF(AND(IFERROR(SEARCH($R1063,XKNVLSX!$X$1,1),0)&gt;=1,$P1063=$V$7),$P1063, IF(OR($R1063&lt;&gt;IF(IFERROR(SEARCH($R1063,XKNVLSX!$X$1,1),0)&gt;=1,$R1063,XKNVLSX!$X$1),COUNTIFS($C$2:$C1062,$C1063,$E$2:$E1062,$E1063,$Q$2:$Q1062,$P1063)&gt;=1),"",$P1063))))</f>
        <v/>
      </c>
      <c r="R1063" s="1017" t="str">
        <f ca="1">IF($A1063="","",IFERROR(INDEX(TinhGia!$BF$10:$BF$81,MATCH($A1063,TinhGia!$B$10:$B$81,0)),""))</f>
        <v/>
      </c>
      <c r="S1063" s="1012" t="str">
        <f ca="1">IF($A1063="","",IF(OR(IFERROR(SEARCH($R1063,XKNVLSX!$X$1,1),0)&gt;=1,XKNVLSX!$X$1=""),$S$2,""))</f>
        <v/>
      </c>
      <c r="T1063" s="1018" t="str">
        <f ca="1">IF($C1063="","", IF(OR($P1063=$V$1,$P1063=$V$7,COUNTIFS($C$3:$C1063,$C1063,$E$3:$E1063,$E1063)&lt;=1),$P1063,""    ))</f>
        <v/>
      </c>
      <c r="U1063" s="1019" t="str">
        <f ca="1">IF(AND($P1063=$V$2,COUNTIFS($C$3:$C1063,$C1063,$E$3:$E1063,$E1063,$G$3:$G1063,$G1063)&lt;=1),$P1063,"")</f>
        <v/>
      </c>
    </row>
    <row r="1064" spans="1:21">
      <c r="A1064" s="991" t="str">
        <f ca="1">IFERROR(IF(COUNTIF($A$3:A1063,A1063)&lt; INDEX(TinhGia!$BH$10:$BH$81,MATCH($A1063,TinhGia!$B$10:$B$81,0)),$A1063,INDEX(TinhGia!$B$10:$B$81,MATCH($A1063,TinhGia!$B$10:$B$81,0)+1)),"")</f>
        <v/>
      </c>
      <c r="B1064" s="525" t="str">
        <f ca="1">IF(OR(A1064="",A1064=0),"",IF(COUNTIF($A$2:A1064,$A1064)=1,ROW(MauKoXoa!$C$108),$B1063+1))</f>
        <v/>
      </c>
      <c r="C1064" s="992" t="str">
        <f t="shared" ca="1" si="165"/>
        <v/>
      </c>
      <c r="D1064" s="993" t="str">
        <f t="shared" ca="1" si="166"/>
        <v/>
      </c>
      <c r="E1064" s="993" t="str">
        <f t="shared" ca="1" si="167"/>
        <v/>
      </c>
      <c r="F1064" s="992" t="str">
        <f t="shared" ca="1" si="178"/>
        <v/>
      </c>
      <c r="G1064" s="994">
        <f t="shared" ca="1" si="168"/>
        <v>0</v>
      </c>
      <c r="H1064" s="913">
        <f t="shared" ca="1" si="169"/>
        <v>0</v>
      </c>
      <c r="I1064" s="913">
        <f t="shared" ca="1" si="170"/>
        <v>0</v>
      </c>
      <c r="J1064" s="995">
        <f t="shared" ca="1" si="179"/>
        <v>0</v>
      </c>
      <c r="K1064" s="913">
        <f t="shared" ca="1" si="171"/>
        <v>0</v>
      </c>
      <c r="L1064" s="995">
        <f t="shared" ca="1" si="180"/>
        <v>0</v>
      </c>
      <c r="M1064" s="913">
        <f t="shared" ca="1" si="172"/>
        <v>0</v>
      </c>
      <c r="N1064" s="996">
        <f t="shared" ca="1" si="173"/>
        <v>0</v>
      </c>
      <c r="O1064" s="997">
        <f t="shared" ca="1" si="174"/>
        <v>0</v>
      </c>
      <c r="P1064" s="1015" t="str">
        <f ca="1">IF($C1064="","",INDEX(NVLSX!$N$2:$N$6941,MATCH($C1064,NVLSX!$E$2:$E$6941,0)))</f>
        <v/>
      </c>
      <c r="Q1064" s="1016" t="str">
        <f ca="1">IF($R1064="","",IF(XKNVLSX!$X$1="",IF($P1064=$V$7,$P1064, IF(COUNTIFS($C$2:$C1063,$C1064,$E$2:$E1063,$E1064)&gt;=1,"",$P1064)),     IF(AND(IFERROR(SEARCH($R1064,XKNVLSX!$X$1,1),0)&gt;=1,$P1064=$V$7),$P1064, IF(OR($R1064&lt;&gt;IF(IFERROR(SEARCH($R1064,XKNVLSX!$X$1,1),0)&gt;=1,$R1064,XKNVLSX!$X$1),COUNTIFS($C$2:$C1063,$C1064,$E$2:$E1063,$E1064,$Q$2:$Q1063,$P1064)&gt;=1),"",$P1064))))</f>
        <v/>
      </c>
      <c r="R1064" s="1017" t="str">
        <f ca="1">IF($A1064="","",IFERROR(INDEX(TinhGia!$BF$10:$BF$81,MATCH($A1064,TinhGia!$B$10:$B$81,0)),""))</f>
        <v/>
      </c>
      <c r="S1064" s="1012" t="str">
        <f ca="1">IF($A1064="","",IF(OR(IFERROR(SEARCH($R1064,XKNVLSX!$X$1,1),0)&gt;=1,XKNVLSX!$X$1=""),$S$2,""))</f>
        <v/>
      </c>
      <c r="T1064" s="1018" t="str">
        <f ca="1">IF($C1064="","", IF(OR($P1064=$V$1,$P1064=$V$7,COUNTIFS($C$3:$C1064,$C1064,$E$3:$E1064,$E1064)&lt;=1),$P1064,""    ))</f>
        <v/>
      </c>
      <c r="U1064" s="1019" t="str">
        <f ca="1">IF(AND($P1064=$V$2,COUNTIFS($C$3:$C1064,$C1064,$E$3:$E1064,$E1064,$G$3:$G1064,$G1064)&lt;=1),$P1064,"")</f>
        <v/>
      </c>
    </row>
    <row r="1065" spans="1:21">
      <c r="A1065" s="991" t="str">
        <f ca="1">IFERROR(IF(COUNTIF($A$3:A1064,A1064)&lt; INDEX(TinhGia!$BH$10:$BH$81,MATCH($A1064,TinhGia!$B$10:$B$81,0)),$A1064,INDEX(TinhGia!$B$10:$B$81,MATCH($A1064,TinhGia!$B$10:$B$81,0)+1)),"")</f>
        <v/>
      </c>
      <c r="B1065" s="525" t="str">
        <f ca="1">IF(OR(A1065="",A1065=0),"",IF(COUNTIF($A$2:A1065,$A1065)=1,ROW(MauKoXoa!$C$108),$B1064+1))</f>
        <v/>
      </c>
      <c r="C1065" s="992" t="str">
        <f t="shared" ca="1" si="165"/>
        <v/>
      </c>
      <c r="D1065" s="993" t="str">
        <f t="shared" ca="1" si="166"/>
        <v/>
      </c>
      <c r="E1065" s="993" t="str">
        <f t="shared" ca="1" si="167"/>
        <v/>
      </c>
      <c r="F1065" s="992" t="str">
        <f t="shared" ca="1" si="178"/>
        <v/>
      </c>
      <c r="G1065" s="994">
        <f t="shared" ca="1" si="168"/>
        <v>0</v>
      </c>
      <c r="H1065" s="913">
        <f t="shared" ca="1" si="169"/>
        <v>0</v>
      </c>
      <c r="I1065" s="913">
        <f t="shared" ca="1" si="170"/>
        <v>0</v>
      </c>
      <c r="J1065" s="995">
        <f t="shared" ca="1" si="179"/>
        <v>0</v>
      </c>
      <c r="K1065" s="913">
        <f t="shared" ca="1" si="171"/>
        <v>0</v>
      </c>
      <c r="L1065" s="995">
        <f t="shared" ca="1" si="180"/>
        <v>0</v>
      </c>
      <c r="M1065" s="913">
        <f t="shared" ca="1" si="172"/>
        <v>0</v>
      </c>
      <c r="N1065" s="996">
        <f t="shared" ca="1" si="173"/>
        <v>0</v>
      </c>
      <c r="O1065" s="997">
        <f t="shared" ca="1" si="174"/>
        <v>0</v>
      </c>
      <c r="P1065" s="1015" t="str">
        <f ca="1">IF($C1065="","",INDEX(NVLSX!$N$2:$N$6941,MATCH($C1065,NVLSX!$E$2:$E$6941,0)))</f>
        <v/>
      </c>
      <c r="Q1065" s="1016" t="str">
        <f ca="1">IF($R1065="","",IF(XKNVLSX!$X$1="",IF($P1065=$V$7,$P1065, IF(COUNTIFS($C$2:$C1064,$C1065,$E$2:$E1064,$E1065)&gt;=1,"",$P1065)),     IF(AND(IFERROR(SEARCH($R1065,XKNVLSX!$X$1,1),0)&gt;=1,$P1065=$V$7),$P1065, IF(OR($R1065&lt;&gt;IF(IFERROR(SEARCH($R1065,XKNVLSX!$X$1,1),0)&gt;=1,$R1065,XKNVLSX!$X$1),COUNTIFS($C$2:$C1064,$C1065,$E$2:$E1064,$E1065,$Q$2:$Q1064,$P1065)&gt;=1),"",$P1065))))</f>
        <v/>
      </c>
      <c r="R1065" s="1017" t="str">
        <f ca="1">IF($A1065="","",IFERROR(INDEX(TinhGia!$BF$10:$BF$81,MATCH($A1065,TinhGia!$B$10:$B$81,0)),""))</f>
        <v/>
      </c>
      <c r="S1065" s="1012" t="str">
        <f ca="1">IF($A1065="","",IF(OR(IFERROR(SEARCH($R1065,XKNVLSX!$X$1,1),0)&gt;=1,XKNVLSX!$X$1=""),$S$2,""))</f>
        <v/>
      </c>
      <c r="T1065" s="1018" t="str">
        <f ca="1">IF($C1065="","", IF(OR($P1065=$V$1,$P1065=$V$7,COUNTIFS($C$3:$C1065,$C1065,$E$3:$E1065,$E1065)&lt;=1),$P1065,""    ))</f>
        <v/>
      </c>
      <c r="U1065" s="1019" t="str">
        <f ca="1">IF(AND($P1065=$V$2,COUNTIFS($C$3:$C1065,$C1065,$E$3:$E1065,$E1065,$G$3:$G1065,$G1065)&lt;=1),$P1065,"")</f>
        <v/>
      </c>
    </row>
    <row r="1066" spans="1:21">
      <c r="A1066" s="991" t="str">
        <f ca="1">IFERROR(IF(COUNTIF($A$3:A1065,A1065)&lt; INDEX(TinhGia!$BH$10:$BH$81,MATCH($A1065,TinhGia!$B$10:$B$81,0)),$A1065,INDEX(TinhGia!$B$10:$B$81,MATCH($A1065,TinhGia!$B$10:$B$81,0)+1)),"")</f>
        <v/>
      </c>
      <c r="B1066" s="525" t="str">
        <f ca="1">IF(OR(A1066="",A1066=0),"",IF(COUNTIF($A$2:A1066,$A1066)=1,ROW(MauKoXoa!$C$108),$B1065+1))</f>
        <v/>
      </c>
      <c r="C1066" s="992" t="str">
        <f t="shared" ca="1" si="165"/>
        <v/>
      </c>
      <c r="D1066" s="993" t="str">
        <f t="shared" ca="1" si="166"/>
        <v/>
      </c>
      <c r="E1066" s="993" t="str">
        <f t="shared" ca="1" si="167"/>
        <v/>
      </c>
      <c r="F1066" s="992" t="str">
        <f t="shared" ca="1" si="178"/>
        <v/>
      </c>
      <c r="G1066" s="994">
        <f t="shared" ca="1" si="168"/>
        <v>0</v>
      </c>
      <c r="H1066" s="913">
        <f t="shared" ca="1" si="169"/>
        <v>0</v>
      </c>
      <c r="I1066" s="913">
        <f t="shared" ca="1" si="170"/>
        <v>0</v>
      </c>
      <c r="J1066" s="995">
        <f t="shared" ca="1" si="179"/>
        <v>0</v>
      </c>
      <c r="K1066" s="913">
        <f t="shared" ca="1" si="171"/>
        <v>0</v>
      </c>
      <c r="L1066" s="995">
        <f t="shared" ca="1" si="180"/>
        <v>0</v>
      </c>
      <c r="M1066" s="913">
        <f t="shared" ca="1" si="172"/>
        <v>0</v>
      </c>
      <c r="N1066" s="996">
        <f t="shared" ca="1" si="173"/>
        <v>0</v>
      </c>
      <c r="O1066" s="997">
        <f t="shared" ca="1" si="174"/>
        <v>0</v>
      </c>
      <c r="P1066" s="1015" t="str">
        <f ca="1">IF($C1066="","",INDEX(NVLSX!$N$2:$N$6941,MATCH($C1066,NVLSX!$E$2:$E$6941,0)))</f>
        <v/>
      </c>
      <c r="Q1066" s="1016" t="str">
        <f ca="1">IF($R1066="","",IF(XKNVLSX!$X$1="",IF($P1066=$V$7,$P1066, IF(COUNTIFS($C$2:$C1065,$C1066,$E$2:$E1065,$E1066)&gt;=1,"",$P1066)),     IF(AND(IFERROR(SEARCH($R1066,XKNVLSX!$X$1,1),0)&gt;=1,$P1066=$V$7),$P1066, IF(OR($R1066&lt;&gt;IF(IFERROR(SEARCH($R1066,XKNVLSX!$X$1,1),0)&gt;=1,$R1066,XKNVLSX!$X$1),COUNTIFS($C$2:$C1065,$C1066,$E$2:$E1065,$E1066,$Q$2:$Q1065,$P1066)&gt;=1),"",$P1066))))</f>
        <v/>
      </c>
      <c r="R1066" s="1017" t="str">
        <f ca="1">IF($A1066="","",IFERROR(INDEX(TinhGia!$BF$10:$BF$81,MATCH($A1066,TinhGia!$B$10:$B$81,0)),""))</f>
        <v/>
      </c>
      <c r="S1066" s="1012" t="str">
        <f ca="1">IF($A1066="","",IF(OR(IFERROR(SEARCH($R1066,XKNVLSX!$X$1,1),0)&gt;=1,XKNVLSX!$X$1=""),$S$2,""))</f>
        <v/>
      </c>
      <c r="T1066" s="1018" t="str">
        <f ca="1">IF($C1066="","", IF(OR($P1066=$V$1,$P1066=$V$7,COUNTIFS($C$3:$C1066,$C1066,$E$3:$E1066,$E1066)&lt;=1),$P1066,""    ))</f>
        <v/>
      </c>
      <c r="U1066" s="1019" t="str">
        <f ca="1">IF(AND($P1066=$V$2,COUNTIFS($C$3:$C1066,$C1066,$E$3:$E1066,$E1066,$G$3:$G1066,$G1066)&lt;=1),$P1066,"")</f>
        <v/>
      </c>
    </row>
    <row r="1067" spans="1:21">
      <c r="A1067" s="991" t="str">
        <f ca="1">IFERROR(IF(COUNTIF($A$3:A1066,A1066)&lt; INDEX(TinhGia!$BH$10:$BH$81,MATCH($A1066,TinhGia!$B$10:$B$81,0)),$A1066,INDEX(TinhGia!$B$10:$B$81,MATCH($A1066,TinhGia!$B$10:$B$81,0)+1)),"")</f>
        <v/>
      </c>
      <c r="B1067" s="525" t="str">
        <f ca="1">IF(OR(A1067="",A1067=0),"",IF(COUNTIF($A$2:A1067,$A1067)=1,ROW(MauKoXoa!$C$108),$B1066+1))</f>
        <v/>
      </c>
      <c r="C1067" s="992" t="str">
        <f t="shared" ca="1" si="165"/>
        <v/>
      </c>
      <c r="D1067" s="993" t="str">
        <f t="shared" ca="1" si="166"/>
        <v/>
      </c>
      <c r="E1067" s="993" t="str">
        <f t="shared" ca="1" si="167"/>
        <v/>
      </c>
      <c r="F1067" s="992" t="str">
        <f t="shared" ca="1" si="178"/>
        <v/>
      </c>
      <c r="G1067" s="994">
        <f t="shared" ca="1" si="168"/>
        <v>0</v>
      </c>
      <c r="H1067" s="913">
        <f t="shared" ca="1" si="169"/>
        <v>0</v>
      </c>
      <c r="I1067" s="913">
        <f t="shared" ca="1" si="170"/>
        <v>0</v>
      </c>
      <c r="J1067" s="995">
        <f t="shared" ca="1" si="179"/>
        <v>0</v>
      </c>
      <c r="K1067" s="913">
        <f t="shared" ca="1" si="171"/>
        <v>0</v>
      </c>
      <c r="L1067" s="995">
        <f t="shared" ca="1" si="180"/>
        <v>0</v>
      </c>
      <c r="M1067" s="913">
        <f t="shared" ca="1" si="172"/>
        <v>0</v>
      </c>
      <c r="N1067" s="996">
        <f t="shared" ca="1" si="173"/>
        <v>0</v>
      </c>
      <c r="O1067" s="997">
        <f t="shared" ca="1" si="174"/>
        <v>0</v>
      </c>
      <c r="P1067" s="1015" t="str">
        <f ca="1">IF($C1067="","",INDEX(NVLSX!$N$2:$N$6941,MATCH($C1067,NVLSX!$E$2:$E$6941,0)))</f>
        <v/>
      </c>
      <c r="Q1067" s="1016" t="str">
        <f ca="1">IF($R1067="","",IF(XKNVLSX!$X$1="",IF($P1067=$V$7,$P1067, IF(COUNTIFS($C$2:$C1066,$C1067,$E$2:$E1066,$E1067)&gt;=1,"",$P1067)),     IF(AND(IFERROR(SEARCH($R1067,XKNVLSX!$X$1,1),0)&gt;=1,$P1067=$V$7),$P1067, IF(OR($R1067&lt;&gt;IF(IFERROR(SEARCH($R1067,XKNVLSX!$X$1,1),0)&gt;=1,$R1067,XKNVLSX!$X$1),COUNTIFS($C$2:$C1066,$C1067,$E$2:$E1066,$E1067,$Q$2:$Q1066,$P1067)&gt;=1),"",$P1067))))</f>
        <v/>
      </c>
      <c r="R1067" s="1017" t="str">
        <f ca="1">IF($A1067="","",IFERROR(INDEX(TinhGia!$BF$10:$BF$81,MATCH($A1067,TinhGia!$B$10:$B$81,0)),""))</f>
        <v/>
      </c>
      <c r="S1067" s="1012" t="str">
        <f ca="1">IF($A1067="","",IF(OR(IFERROR(SEARCH($R1067,XKNVLSX!$X$1,1),0)&gt;=1,XKNVLSX!$X$1=""),$S$2,""))</f>
        <v/>
      </c>
      <c r="T1067" s="1018" t="str">
        <f ca="1">IF($C1067="","", IF(OR($P1067=$V$1,$P1067=$V$7,COUNTIFS($C$3:$C1067,$C1067,$E$3:$E1067,$E1067)&lt;=1),$P1067,""    ))</f>
        <v/>
      </c>
      <c r="U1067" s="1019" t="str">
        <f ca="1">IF(AND($P1067=$V$2,COUNTIFS($C$3:$C1067,$C1067,$E$3:$E1067,$E1067,$G$3:$G1067,$G1067)&lt;=1),$P1067,"")</f>
        <v/>
      </c>
    </row>
    <row r="1068" spans="1:21">
      <c r="A1068" s="991" t="str">
        <f ca="1">IFERROR(IF(COUNTIF($A$3:A1067,A1067)&lt; INDEX(TinhGia!$BH$10:$BH$81,MATCH($A1067,TinhGia!$B$10:$B$81,0)),$A1067,INDEX(TinhGia!$B$10:$B$81,MATCH($A1067,TinhGia!$B$10:$B$81,0)+1)),"")</f>
        <v/>
      </c>
      <c r="B1068" s="525" t="str">
        <f ca="1">IF(OR(A1068="",A1068=0),"",IF(COUNTIF($A$2:A1068,$A1068)=1,ROW(MauKoXoa!$C$108),$B1067+1))</f>
        <v/>
      </c>
      <c r="C1068" s="992" t="str">
        <f t="shared" ca="1" si="165"/>
        <v/>
      </c>
      <c r="D1068" s="993" t="str">
        <f t="shared" ca="1" si="166"/>
        <v/>
      </c>
      <c r="E1068" s="993" t="str">
        <f t="shared" ca="1" si="167"/>
        <v/>
      </c>
      <c r="F1068" s="992" t="str">
        <f t="shared" ca="1" si="178"/>
        <v/>
      </c>
      <c r="G1068" s="994">
        <f t="shared" ca="1" si="168"/>
        <v>0</v>
      </c>
      <c r="H1068" s="913">
        <f t="shared" ca="1" si="169"/>
        <v>0</v>
      </c>
      <c r="I1068" s="913">
        <f t="shared" ca="1" si="170"/>
        <v>0</v>
      </c>
      <c r="J1068" s="995">
        <f t="shared" ca="1" si="179"/>
        <v>0</v>
      </c>
      <c r="K1068" s="913">
        <f t="shared" ca="1" si="171"/>
        <v>0</v>
      </c>
      <c r="L1068" s="995">
        <f t="shared" ca="1" si="180"/>
        <v>0</v>
      </c>
      <c r="M1068" s="913">
        <f t="shared" ca="1" si="172"/>
        <v>0</v>
      </c>
      <c r="N1068" s="996">
        <f t="shared" ca="1" si="173"/>
        <v>0</v>
      </c>
      <c r="O1068" s="997">
        <f t="shared" ca="1" si="174"/>
        <v>0</v>
      </c>
      <c r="P1068" s="1015" t="str">
        <f ca="1">IF($C1068="","",INDEX(NVLSX!$N$2:$N$6941,MATCH($C1068,NVLSX!$E$2:$E$6941,0)))</f>
        <v/>
      </c>
      <c r="Q1068" s="1016" t="str">
        <f ca="1">IF($R1068="","",IF(XKNVLSX!$X$1="",IF($P1068=$V$7,$P1068, IF(COUNTIFS($C$2:$C1067,$C1068,$E$2:$E1067,$E1068)&gt;=1,"",$P1068)),     IF(AND(IFERROR(SEARCH($R1068,XKNVLSX!$X$1,1),0)&gt;=1,$P1068=$V$7),$P1068, IF(OR($R1068&lt;&gt;IF(IFERROR(SEARCH($R1068,XKNVLSX!$X$1,1),0)&gt;=1,$R1068,XKNVLSX!$X$1),COUNTIFS($C$2:$C1067,$C1068,$E$2:$E1067,$E1068,$Q$2:$Q1067,$P1068)&gt;=1),"",$P1068))))</f>
        <v/>
      </c>
      <c r="R1068" s="1017" t="str">
        <f ca="1">IF($A1068="","",IFERROR(INDEX(TinhGia!$BF$10:$BF$81,MATCH($A1068,TinhGia!$B$10:$B$81,0)),""))</f>
        <v/>
      </c>
      <c r="S1068" s="1012" t="str">
        <f ca="1">IF($A1068="","",IF(OR(IFERROR(SEARCH($R1068,XKNVLSX!$X$1,1),0)&gt;=1,XKNVLSX!$X$1=""),$S$2,""))</f>
        <v/>
      </c>
      <c r="T1068" s="1018" t="str">
        <f ca="1">IF($C1068="","", IF(OR($P1068=$V$1,$P1068=$V$7,COUNTIFS($C$3:$C1068,$C1068,$E$3:$E1068,$E1068)&lt;=1),$P1068,""    ))</f>
        <v/>
      </c>
      <c r="U1068" s="1019" t="str">
        <f ca="1">IF(AND($P1068=$V$2,COUNTIFS($C$3:$C1068,$C1068,$E$3:$E1068,$E1068,$G$3:$G1068,$G1068)&lt;=1),$P1068,"")</f>
        <v/>
      </c>
    </row>
    <row r="1069" spans="1:21">
      <c r="A1069" s="991" t="str">
        <f ca="1">IFERROR(IF(COUNTIF($A$3:A1068,A1068)&lt; INDEX(TinhGia!$BH$10:$BH$81,MATCH($A1068,TinhGia!$B$10:$B$81,0)),$A1068,INDEX(TinhGia!$B$10:$B$81,MATCH($A1068,TinhGia!$B$10:$B$81,0)+1)),"")</f>
        <v/>
      </c>
      <c r="B1069" s="525" t="str">
        <f ca="1">IF(OR(A1069="",A1069=0),"",IF(COUNTIF($A$2:A1069,$A1069)=1,ROW(MauKoXoa!$C$108),$B1068+1))</f>
        <v/>
      </c>
      <c r="C1069" s="992" t="str">
        <f t="shared" ca="1" si="165"/>
        <v/>
      </c>
      <c r="D1069" s="993" t="str">
        <f t="shared" ca="1" si="166"/>
        <v/>
      </c>
      <c r="E1069" s="993" t="str">
        <f t="shared" ca="1" si="167"/>
        <v/>
      </c>
      <c r="F1069" s="992" t="str">
        <f t="shared" ca="1" si="178"/>
        <v/>
      </c>
      <c r="G1069" s="994">
        <f t="shared" ca="1" si="168"/>
        <v>0</v>
      </c>
      <c r="H1069" s="913">
        <f t="shared" ca="1" si="169"/>
        <v>0</v>
      </c>
      <c r="I1069" s="913">
        <f t="shared" ca="1" si="170"/>
        <v>0</v>
      </c>
      <c r="J1069" s="995">
        <f t="shared" ca="1" si="179"/>
        <v>0</v>
      </c>
      <c r="K1069" s="913">
        <f t="shared" ca="1" si="171"/>
        <v>0</v>
      </c>
      <c r="L1069" s="995">
        <f t="shared" ca="1" si="180"/>
        <v>0</v>
      </c>
      <c r="M1069" s="913">
        <f t="shared" ca="1" si="172"/>
        <v>0</v>
      </c>
      <c r="N1069" s="996">
        <f t="shared" ca="1" si="173"/>
        <v>0</v>
      </c>
      <c r="O1069" s="997">
        <f t="shared" ca="1" si="174"/>
        <v>0</v>
      </c>
      <c r="P1069" s="1015" t="str">
        <f ca="1">IF($C1069="","",INDEX(NVLSX!$N$2:$N$6941,MATCH($C1069,NVLSX!$E$2:$E$6941,0)))</f>
        <v/>
      </c>
      <c r="Q1069" s="1016" t="str">
        <f ca="1">IF($R1069="","",IF(XKNVLSX!$X$1="",IF($P1069=$V$7,$P1069, IF(COUNTIFS($C$2:$C1068,$C1069,$E$2:$E1068,$E1069)&gt;=1,"",$P1069)),     IF(AND(IFERROR(SEARCH($R1069,XKNVLSX!$X$1,1),0)&gt;=1,$P1069=$V$7),$P1069, IF(OR($R1069&lt;&gt;IF(IFERROR(SEARCH($R1069,XKNVLSX!$X$1,1),0)&gt;=1,$R1069,XKNVLSX!$X$1),COUNTIFS($C$2:$C1068,$C1069,$E$2:$E1068,$E1069,$Q$2:$Q1068,$P1069)&gt;=1),"",$P1069))))</f>
        <v/>
      </c>
      <c r="R1069" s="1017" t="str">
        <f ca="1">IF($A1069="","",IFERROR(INDEX(TinhGia!$BF$10:$BF$81,MATCH($A1069,TinhGia!$B$10:$B$81,0)),""))</f>
        <v/>
      </c>
      <c r="S1069" s="1012" t="str">
        <f ca="1">IF($A1069="","",IF(OR(IFERROR(SEARCH($R1069,XKNVLSX!$X$1,1),0)&gt;=1,XKNVLSX!$X$1=""),$S$2,""))</f>
        <v/>
      </c>
      <c r="T1069" s="1018" t="str">
        <f ca="1">IF($C1069="","", IF(OR($P1069=$V$1,$P1069=$V$7,COUNTIFS($C$3:$C1069,$C1069,$E$3:$E1069,$E1069)&lt;=1),$P1069,""    ))</f>
        <v/>
      </c>
      <c r="U1069" s="1019" t="str">
        <f ca="1">IF(AND($P1069=$V$2,COUNTIFS($C$3:$C1069,$C1069,$E$3:$E1069,$E1069,$G$3:$G1069,$G1069)&lt;=1),$P1069,"")</f>
        <v/>
      </c>
    </row>
    <row r="1070" spans="1:21">
      <c r="A1070" s="991" t="str">
        <f ca="1">IFERROR(IF(COUNTIF($A$3:A1069,A1069)&lt; INDEX(TinhGia!$BH$10:$BH$81,MATCH($A1069,TinhGia!$B$10:$B$81,0)),$A1069,INDEX(TinhGia!$B$10:$B$81,MATCH($A1069,TinhGia!$B$10:$B$81,0)+1)),"")</f>
        <v/>
      </c>
      <c r="B1070" s="525" t="str">
        <f ca="1">IF(OR(A1070="",A1070=0),"",IF(COUNTIF($A$2:A1070,$A1070)=1,ROW(MauKoXoa!$C$108),$B1069+1))</f>
        <v/>
      </c>
      <c r="C1070" s="992" t="str">
        <f t="shared" ca="1" si="165"/>
        <v/>
      </c>
      <c r="D1070" s="993" t="str">
        <f t="shared" ca="1" si="166"/>
        <v/>
      </c>
      <c r="E1070" s="993" t="str">
        <f t="shared" ca="1" si="167"/>
        <v/>
      </c>
      <c r="F1070" s="992" t="str">
        <f t="shared" ca="1" si="178"/>
        <v/>
      </c>
      <c r="G1070" s="994">
        <f t="shared" ca="1" si="168"/>
        <v>0</v>
      </c>
      <c r="H1070" s="913">
        <f t="shared" ca="1" si="169"/>
        <v>0</v>
      </c>
      <c r="I1070" s="913">
        <f t="shared" ca="1" si="170"/>
        <v>0</v>
      </c>
      <c r="J1070" s="995">
        <f t="shared" ca="1" si="179"/>
        <v>0</v>
      </c>
      <c r="K1070" s="913">
        <f t="shared" ca="1" si="171"/>
        <v>0</v>
      </c>
      <c r="L1070" s="995">
        <f t="shared" ca="1" si="180"/>
        <v>0</v>
      </c>
      <c r="M1070" s="913">
        <f t="shared" ca="1" si="172"/>
        <v>0</v>
      </c>
      <c r="N1070" s="996">
        <f t="shared" ca="1" si="173"/>
        <v>0</v>
      </c>
      <c r="O1070" s="997">
        <f t="shared" ca="1" si="174"/>
        <v>0</v>
      </c>
      <c r="P1070" s="1015" t="str">
        <f ca="1">IF($C1070="","",INDEX(NVLSX!$N$2:$N$6941,MATCH($C1070,NVLSX!$E$2:$E$6941,0)))</f>
        <v/>
      </c>
      <c r="Q1070" s="1016" t="str">
        <f ca="1">IF($R1070="","",IF(XKNVLSX!$X$1="",IF($P1070=$V$7,$P1070, IF(COUNTIFS($C$2:$C1069,$C1070,$E$2:$E1069,$E1070)&gt;=1,"",$P1070)),     IF(AND(IFERROR(SEARCH($R1070,XKNVLSX!$X$1,1),0)&gt;=1,$P1070=$V$7),$P1070, IF(OR($R1070&lt;&gt;IF(IFERROR(SEARCH($R1070,XKNVLSX!$X$1,1),0)&gt;=1,$R1070,XKNVLSX!$X$1),COUNTIFS($C$2:$C1069,$C1070,$E$2:$E1069,$E1070,$Q$2:$Q1069,$P1070)&gt;=1),"",$P1070))))</f>
        <v/>
      </c>
      <c r="R1070" s="1017" t="str">
        <f ca="1">IF($A1070="","",IFERROR(INDEX(TinhGia!$BF$10:$BF$81,MATCH($A1070,TinhGia!$B$10:$B$81,0)),""))</f>
        <v/>
      </c>
      <c r="S1070" s="1012" t="str">
        <f ca="1">IF($A1070="","",IF(OR(IFERROR(SEARCH($R1070,XKNVLSX!$X$1,1),0)&gt;=1,XKNVLSX!$X$1=""),$S$2,""))</f>
        <v/>
      </c>
      <c r="T1070" s="1018" t="str">
        <f ca="1">IF($C1070="","", IF(OR($P1070=$V$1,$P1070=$V$7,COUNTIFS($C$3:$C1070,$C1070,$E$3:$E1070,$E1070)&lt;=1),$P1070,""    ))</f>
        <v/>
      </c>
      <c r="U1070" s="1019" t="str">
        <f ca="1">IF(AND($P1070=$V$2,COUNTIFS($C$3:$C1070,$C1070,$E$3:$E1070,$E1070,$G$3:$G1070,$G1070)&lt;=1),$P1070,"")</f>
        <v/>
      </c>
    </row>
    <row r="1071" spans="1:21">
      <c r="A1071" s="991" t="str">
        <f ca="1">IFERROR(IF(COUNTIF($A$3:A1070,A1070)&lt; INDEX(TinhGia!$BH$10:$BH$81,MATCH($A1070,TinhGia!$B$10:$B$81,0)),$A1070,INDEX(TinhGia!$B$10:$B$81,MATCH($A1070,TinhGia!$B$10:$B$81,0)+1)),"")</f>
        <v/>
      </c>
      <c r="B1071" s="525" t="str">
        <f ca="1">IF(OR(A1071="",A1071=0),"",IF(COUNTIF($A$2:A1071,$A1071)=1,ROW(MauKoXoa!$C$108),$B1070+1))</f>
        <v/>
      </c>
      <c r="C1071" s="992" t="str">
        <f t="shared" ca="1" si="165"/>
        <v/>
      </c>
      <c r="D1071" s="993" t="str">
        <f t="shared" ca="1" si="166"/>
        <v/>
      </c>
      <c r="E1071" s="993" t="str">
        <f t="shared" ca="1" si="167"/>
        <v/>
      </c>
      <c r="F1071" s="992" t="str">
        <f t="shared" ca="1" si="178"/>
        <v/>
      </c>
      <c r="G1071" s="994">
        <f t="shared" ca="1" si="168"/>
        <v>0</v>
      </c>
      <c r="H1071" s="913">
        <f t="shared" ca="1" si="169"/>
        <v>0</v>
      </c>
      <c r="I1071" s="913">
        <f t="shared" ca="1" si="170"/>
        <v>0</v>
      </c>
      <c r="J1071" s="995">
        <f t="shared" ca="1" si="179"/>
        <v>0</v>
      </c>
      <c r="K1071" s="913">
        <f t="shared" ca="1" si="171"/>
        <v>0</v>
      </c>
      <c r="L1071" s="995">
        <f t="shared" ca="1" si="180"/>
        <v>0</v>
      </c>
      <c r="M1071" s="913">
        <f t="shared" ca="1" si="172"/>
        <v>0</v>
      </c>
      <c r="N1071" s="996">
        <f t="shared" ca="1" si="173"/>
        <v>0</v>
      </c>
      <c r="O1071" s="997">
        <f t="shared" ca="1" si="174"/>
        <v>0</v>
      </c>
      <c r="P1071" s="1015" t="str">
        <f ca="1">IF($C1071="","",INDEX(NVLSX!$N$2:$N$6941,MATCH($C1071,NVLSX!$E$2:$E$6941,0)))</f>
        <v/>
      </c>
      <c r="Q1071" s="1016" t="str">
        <f ca="1">IF($R1071="","",IF(XKNVLSX!$X$1="",IF($P1071=$V$7,$P1071, IF(COUNTIFS($C$2:$C1070,$C1071,$E$2:$E1070,$E1071)&gt;=1,"",$P1071)),     IF(AND(IFERROR(SEARCH($R1071,XKNVLSX!$X$1,1),0)&gt;=1,$P1071=$V$7),$P1071, IF(OR($R1071&lt;&gt;IF(IFERROR(SEARCH($R1071,XKNVLSX!$X$1,1),0)&gt;=1,$R1071,XKNVLSX!$X$1),COUNTIFS($C$2:$C1070,$C1071,$E$2:$E1070,$E1071,$Q$2:$Q1070,$P1071)&gt;=1),"",$P1071))))</f>
        <v/>
      </c>
      <c r="R1071" s="1017" t="str">
        <f ca="1">IF($A1071="","",IFERROR(INDEX(TinhGia!$BF$10:$BF$81,MATCH($A1071,TinhGia!$B$10:$B$81,0)),""))</f>
        <v/>
      </c>
      <c r="S1071" s="1012" t="str">
        <f ca="1">IF($A1071="","",IF(OR(IFERROR(SEARCH($R1071,XKNVLSX!$X$1,1),0)&gt;=1,XKNVLSX!$X$1=""),$S$2,""))</f>
        <v/>
      </c>
      <c r="T1071" s="1018" t="str">
        <f ca="1">IF($C1071="","", IF(OR($P1071=$V$1,$P1071=$V$7,COUNTIFS($C$3:$C1071,$C1071,$E$3:$E1071,$E1071)&lt;=1),$P1071,""    ))</f>
        <v/>
      </c>
      <c r="U1071" s="1019" t="str">
        <f ca="1">IF(AND($P1071=$V$2,COUNTIFS($C$3:$C1071,$C1071,$E$3:$E1071,$E1071,$G$3:$G1071,$G1071)&lt;=1),$P1071,"")</f>
        <v/>
      </c>
    </row>
    <row r="1072" spans="1:21">
      <c r="A1072" s="991" t="str">
        <f ca="1">IFERROR(IF(COUNTIF($A$3:A1071,A1071)&lt; INDEX(TinhGia!$BH$10:$BH$81,MATCH($A1071,TinhGia!$B$10:$B$81,0)),$A1071,INDEX(TinhGia!$B$10:$B$81,MATCH($A1071,TinhGia!$B$10:$B$81,0)+1)),"")</f>
        <v/>
      </c>
      <c r="B1072" s="525" t="str">
        <f ca="1">IF(OR(A1072="",A1072=0),"",IF(COUNTIF($A$2:A1072,$A1072)=1,ROW(MauKoXoa!$C$108),$B1071+1))</f>
        <v/>
      </c>
      <c r="C1072" s="992" t="str">
        <f t="shared" ca="1" si="165"/>
        <v/>
      </c>
      <c r="D1072" s="993" t="str">
        <f t="shared" ca="1" si="166"/>
        <v/>
      </c>
      <c r="E1072" s="993" t="str">
        <f t="shared" ca="1" si="167"/>
        <v/>
      </c>
      <c r="F1072" s="992" t="str">
        <f t="shared" ca="1" si="178"/>
        <v/>
      </c>
      <c r="G1072" s="994">
        <f t="shared" ca="1" si="168"/>
        <v>0</v>
      </c>
      <c r="H1072" s="913">
        <f t="shared" ca="1" si="169"/>
        <v>0</v>
      </c>
      <c r="I1072" s="913">
        <f t="shared" ca="1" si="170"/>
        <v>0</v>
      </c>
      <c r="J1072" s="995">
        <f t="shared" ca="1" si="179"/>
        <v>0</v>
      </c>
      <c r="K1072" s="913">
        <f t="shared" ca="1" si="171"/>
        <v>0</v>
      </c>
      <c r="L1072" s="995">
        <f t="shared" ca="1" si="180"/>
        <v>0</v>
      </c>
      <c r="M1072" s="913">
        <f t="shared" ca="1" si="172"/>
        <v>0</v>
      </c>
      <c r="N1072" s="996">
        <f t="shared" ca="1" si="173"/>
        <v>0</v>
      </c>
      <c r="O1072" s="997">
        <f t="shared" ca="1" si="174"/>
        <v>0</v>
      </c>
      <c r="P1072" s="1015" t="str">
        <f ca="1">IF($C1072="","",INDEX(NVLSX!$N$2:$N$6941,MATCH($C1072,NVLSX!$E$2:$E$6941,0)))</f>
        <v/>
      </c>
      <c r="Q1072" s="1016" t="str">
        <f ca="1">IF($R1072="","",IF(XKNVLSX!$X$1="",IF($P1072=$V$7,$P1072, IF(COUNTIFS($C$2:$C1071,$C1072,$E$2:$E1071,$E1072)&gt;=1,"",$P1072)),     IF(AND(IFERROR(SEARCH($R1072,XKNVLSX!$X$1,1),0)&gt;=1,$P1072=$V$7),$P1072, IF(OR($R1072&lt;&gt;IF(IFERROR(SEARCH($R1072,XKNVLSX!$X$1,1),0)&gt;=1,$R1072,XKNVLSX!$X$1),COUNTIFS($C$2:$C1071,$C1072,$E$2:$E1071,$E1072,$Q$2:$Q1071,$P1072)&gt;=1),"",$P1072))))</f>
        <v/>
      </c>
      <c r="R1072" s="1017" t="str">
        <f ca="1">IF($A1072="","",IFERROR(INDEX(TinhGia!$BF$10:$BF$81,MATCH($A1072,TinhGia!$B$10:$B$81,0)),""))</f>
        <v/>
      </c>
      <c r="S1072" s="1012" t="str">
        <f ca="1">IF($A1072="","",IF(OR(IFERROR(SEARCH($R1072,XKNVLSX!$X$1,1),0)&gt;=1,XKNVLSX!$X$1=""),$S$2,""))</f>
        <v/>
      </c>
      <c r="T1072" s="1018" t="str">
        <f ca="1">IF($C1072="","", IF(OR($P1072=$V$1,$P1072=$V$7,COUNTIFS($C$3:$C1072,$C1072,$E$3:$E1072,$E1072)&lt;=1),$P1072,""    ))</f>
        <v/>
      </c>
      <c r="U1072" s="1019" t="str">
        <f ca="1">IF(AND($P1072=$V$2,COUNTIFS($C$3:$C1072,$C1072,$E$3:$E1072,$E1072,$G$3:$G1072,$G1072)&lt;=1),$P1072,"")</f>
        <v/>
      </c>
    </row>
    <row r="1073" spans="1:21">
      <c r="A1073" s="991" t="str">
        <f ca="1">IFERROR(IF(COUNTIF($A$3:A1072,A1072)&lt; INDEX(TinhGia!$BH$10:$BH$81,MATCH($A1072,TinhGia!$B$10:$B$81,0)),$A1072,INDEX(TinhGia!$B$10:$B$81,MATCH($A1072,TinhGia!$B$10:$B$81,0)+1)),"")</f>
        <v/>
      </c>
      <c r="B1073" s="525" t="str">
        <f ca="1">IF(OR(A1073="",A1073=0),"",IF(COUNTIF($A$2:A1073,$A1073)=1,ROW(MauKoXoa!$C$108),$B1072+1))</f>
        <v/>
      </c>
      <c r="C1073" s="992" t="str">
        <f t="shared" ca="1" si="165"/>
        <v/>
      </c>
      <c r="D1073" s="993" t="str">
        <f t="shared" ca="1" si="166"/>
        <v/>
      </c>
      <c r="E1073" s="993" t="str">
        <f t="shared" ca="1" si="167"/>
        <v/>
      </c>
      <c r="F1073" s="992" t="str">
        <f t="shared" ca="1" si="178"/>
        <v/>
      </c>
      <c r="G1073" s="994">
        <f t="shared" ca="1" si="168"/>
        <v>0</v>
      </c>
      <c r="H1073" s="913">
        <f t="shared" ca="1" si="169"/>
        <v>0</v>
      </c>
      <c r="I1073" s="913">
        <f t="shared" ca="1" si="170"/>
        <v>0</v>
      </c>
      <c r="J1073" s="995">
        <f t="shared" ca="1" si="179"/>
        <v>0</v>
      </c>
      <c r="K1073" s="913">
        <f t="shared" ca="1" si="171"/>
        <v>0</v>
      </c>
      <c r="L1073" s="995">
        <f t="shared" ca="1" si="180"/>
        <v>0</v>
      </c>
      <c r="M1073" s="913">
        <f t="shared" ca="1" si="172"/>
        <v>0</v>
      </c>
      <c r="N1073" s="996">
        <f t="shared" ca="1" si="173"/>
        <v>0</v>
      </c>
      <c r="O1073" s="997">
        <f t="shared" ca="1" si="174"/>
        <v>0</v>
      </c>
      <c r="P1073" s="1015" t="str">
        <f ca="1">IF($C1073="","",INDEX(NVLSX!$N$2:$N$6941,MATCH($C1073,NVLSX!$E$2:$E$6941,0)))</f>
        <v/>
      </c>
      <c r="Q1073" s="1016" t="str">
        <f ca="1">IF($R1073="","",IF(XKNVLSX!$X$1="",IF($P1073=$V$7,$P1073, IF(COUNTIFS($C$2:$C1072,$C1073,$E$2:$E1072,$E1073)&gt;=1,"",$P1073)),     IF(AND(IFERROR(SEARCH($R1073,XKNVLSX!$X$1,1),0)&gt;=1,$P1073=$V$7),$P1073, IF(OR($R1073&lt;&gt;IF(IFERROR(SEARCH($R1073,XKNVLSX!$X$1,1),0)&gt;=1,$R1073,XKNVLSX!$X$1),COUNTIFS($C$2:$C1072,$C1073,$E$2:$E1072,$E1073,$Q$2:$Q1072,$P1073)&gt;=1),"",$P1073))))</f>
        <v/>
      </c>
      <c r="R1073" s="1017" t="str">
        <f ca="1">IF($A1073="","",IFERROR(INDEX(TinhGia!$BF$10:$BF$81,MATCH($A1073,TinhGia!$B$10:$B$81,0)),""))</f>
        <v/>
      </c>
      <c r="S1073" s="1012" t="str">
        <f ca="1">IF($A1073="","",IF(OR(IFERROR(SEARCH($R1073,XKNVLSX!$X$1,1),0)&gt;=1,XKNVLSX!$X$1=""),$S$2,""))</f>
        <v/>
      </c>
      <c r="T1073" s="1018" t="str">
        <f ca="1">IF($C1073="","", IF(OR($P1073=$V$1,$P1073=$V$7,COUNTIFS($C$3:$C1073,$C1073,$E$3:$E1073,$E1073)&lt;=1),$P1073,""    ))</f>
        <v/>
      </c>
      <c r="U1073" s="1019" t="str">
        <f ca="1">IF(AND($P1073=$V$2,COUNTIFS($C$3:$C1073,$C1073,$E$3:$E1073,$E1073,$G$3:$G1073,$G1073)&lt;=1),$P1073,"")</f>
        <v/>
      </c>
    </row>
    <row r="1074" spans="1:21">
      <c r="A1074" s="991" t="str">
        <f ca="1">IFERROR(IF(COUNTIF($A$3:A1073,A1073)&lt; INDEX(TinhGia!$BH$10:$BH$81,MATCH($A1073,TinhGia!$B$10:$B$81,0)),$A1073,INDEX(TinhGia!$B$10:$B$81,MATCH($A1073,TinhGia!$B$10:$B$81,0)+1)),"")</f>
        <v/>
      </c>
      <c r="B1074" s="525" t="str">
        <f ca="1">IF(OR(A1074="",A1074=0),"",IF(COUNTIF($A$2:A1074,$A1074)=1,ROW(MauKoXoa!$C$108),$B1073+1))</f>
        <v/>
      </c>
      <c r="C1074" s="992" t="str">
        <f t="shared" ca="1" si="165"/>
        <v/>
      </c>
      <c r="D1074" s="993" t="str">
        <f t="shared" ca="1" si="166"/>
        <v/>
      </c>
      <c r="E1074" s="993" t="str">
        <f t="shared" ca="1" si="167"/>
        <v/>
      </c>
      <c r="F1074" s="992" t="str">
        <f t="shared" ca="1" si="178"/>
        <v/>
      </c>
      <c r="G1074" s="994">
        <f t="shared" ca="1" si="168"/>
        <v>0</v>
      </c>
      <c r="H1074" s="913">
        <f t="shared" ca="1" si="169"/>
        <v>0</v>
      </c>
      <c r="I1074" s="913">
        <f t="shared" ca="1" si="170"/>
        <v>0</v>
      </c>
      <c r="J1074" s="995">
        <f t="shared" ca="1" si="179"/>
        <v>0</v>
      </c>
      <c r="K1074" s="913">
        <f t="shared" ca="1" si="171"/>
        <v>0</v>
      </c>
      <c r="L1074" s="995">
        <f t="shared" ca="1" si="180"/>
        <v>0</v>
      </c>
      <c r="M1074" s="913">
        <f t="shared" ca="1" si="172"/>
        <v>0</v>
      </c>
      <c r="N1074" s="996">
        <f t="shared" ca="1" si="173"/>
        <v>0</v>
      </c>
      <c r="O1074" s="997">
        <f t="shared" ca="1" si="174"/>
        <v>0</v>
      </c>
      <c r="P1074" s="1015" t="str">
        <f ca="1">IF($C1074="","",INDEX(NVLSX!$N$2:$N$6941,MATCH($C1074,NVLSX!$E$2:$E$6941,0)))</f>
        <v/>
      </c>
      <c r="Q1074" s="1016" t="str">
        <f ca="1">IF($R1074="","",IF(XKNVLSX!$X$1="",IF($P1074=$V$7,$P1074, IF(COUNTIFS($C$2:$C1073,$C1074,$E$2:$E1073,$E1074)&gt;=1,"",$P1074)),     IF(AND(IFERROR(SEARCH($R1074,XKNVLSX!$X$1,1),0)&gt;=1,$P1074=$V$7),$P1074, IF(OR($R1074&lt;&gt;IF(IFERROR(SEARCH($R1074,XKNVLSX!$X$1,1),0)&gt;=1,$R1074,XKNVLSX!$X$1),COUNTIFS($C$2:$C1073,$C1074,$E$2:$E1073,$E1074,$Q$2:$Q1073,$P1074)&gt;=1),"",$P1074))))</f>
        <v/>
      </c>
      <c r="R1074" s="1017" t="str">
        <f ca="1">IF($A1074="","",IFERROR(INDEX(TinhGia!$BF$10:$BF$81,MATCH($A1074,TinhGia!$B$10:$B$81,0)),""))</f>
        <v/>
      </c>
      <c r="S1074" s="1012" t="str">
        <f ca="1">IF($A1074="","",IF(OR(IFERROR(SEARCH($R1074,XKNVLSX!$X$1,1),0)&gt;=1,XKNVLSX!$X$1=""),$S$2,""))</f>
        <v/>
      </c>
      <c r="T1074" s="1018" t="str">
        <f ca="1">IF($C1074="","", IF(OR($P1074=$V$1,$P1074=$V$7,COUNTIFS($C$3:$C1074,$C1074,$E$3:$E1074,$E1074)&lt;=1),$P1074,""    ))</f>
        <v/>
      </c>
      <c r="U1074" s="1019" t="str">
        <f ca="1">IF(AND($P1074=$V$2,COUNTIFS($C$3:$C1074,$C1074,$E$3:$E1074,$E1074,$G$3:$G1074,$G1074)&lt;=1),$P1074,"")</f>
        <v/>
      </c>
    </row>
    <row r="1075" spans="1:21">
      <c r="A1075" s="991" t="str">
        <f ca="1">IFERROR(IF(COUNTIF($A$3:A1074,A1074)&lt; INDEX(TinhGia!$BH$10:$BH$81,MATCH($A1074,TinhGia!$B$10:$B$81,0)),$A1074,INDEX(TinhGia!$B$10:$B$81,MATCH($A1074,TinhGia!$B$10:$B$81,0)+1)),"")</f>
        <v/>
      </c>
      <c r="B1075" s="525" t="str">
        <f ca="1">IF(OR(A1075="",A1075=0),"",IF(COUNTIF($A$2:A1075,$A1075)=1,ROW(MauKoXoa!$C$108),$B1074+1))</f>
        <v/>
      </c>
      <c r="C1075" s="992" t="str">
        <f t="shared" ca="1" si="165"/>
        <v/>
      </c>
      <c r="D1075" s="993" t="str">
        <f t="shared" ca="1" si="166"/>
        <v/>
      </c>
      <c r="E1075" s="993" t="str">
        <f t="shared" ca="1" si="167"/>
        <v/>
      </c>
      <c r="F1075" s="992" t="str">
        <f t="shared" ca="1" si="178"/>
        <v/>
      </c>
      <c r="G1075" s="994">
        <f t="shared" ca="1" si="168"/>
        <v>0</v>
      </c>
      <c r="H1075" s="913">
        <f t="shared" ca="1" si="169"/>
        <v>0</v>
      </c>
      <c r="I1075" s="913">
        <f t="shared" ca="1" si="170"/>
        <v>0</v>
      </c>
      <c r="J1075" s="995">
        <f t="shared" ca="1" si="179"/>
        <v>0</v>
      </c>
      <c r="K1075" s="913">
        <f t="shared" ca="1" si="171"/>
        <v>0</v>
      </c>
      <c r="L1075" s="995">
        <f t="shared" ca="1" si="180"/>
        <v>0</v>
      </c>
      <c r="M1075" s="913">
        <f t="shared" ca="1" si="172"/>
        <v>0</v>
      </c>
      <c r="N1075" s="996">
        <f t="shared" ca="1" si="173"/>
        <v>0</v>
      </c>
      <c r="O1075" s="997">
        <f t="shared" ca="1" si="174"/>
        <v>0</v>
      </c>
      <c r="P1075" s="1015" t="str">
        <f ca="1">IF($C1075="","",INDEX(NVLSX!$N$2:$N$6941,MATCH($C1075,NVLSX!$E$2:$E$6941,0)))</f>
        <v/>
      </c>
      <c r="Q1075" s="1016" t="str">
        <f ca="1">IF($R1075="","",IF(XKNVLSX!$X$1="",IF($P1075=$V$7,$P1075, IF(COUNTIFS($C$2:$C1074,$C1075,$E$2:$E1074,$E1075)&gt;=1,"",$P1075)),     IF(AND(IFERROR(SEARCH($R1075,XKNVLSX!$X$1,1),0)&gt;=1,$P1075=$V$7),$P1075, IF(OR($R1075&lt;&gt;IF(IFERROR(SEARCH($R1075,XKNVLSX!$X$1,1),0)&gt;=1,$R1075,XKNVLSX!$X$1),COUNTIFS($C$2:$C1074,$C1075,$E$2:$E1074,$E1075,$Q$2:$Q1074,$P1075)&gt;=1),"",$P1075))))</f>
        <v/>
      </c>
      <c r="R1075" s="1017" t="str">
        <f ca="1">IF($A1075="","",IFERROR(INDEX(TinhGia!$BF$10:$BF$81,MATCH($A1075,TinhGia!$B$10:$B$81,0)),""))</f>
        <v/>
      </c>
      <c r="S1075" s="1012" t="str">
        <f ca="1">IF($A1075="","",IF(OR(IFERROR(SEARCH($R1075,XKNVLSX!$X$1,1),0)&gt;=1,XKNVLSX!$X$1=""),$S$2,""))</f>
        <v/>
      </c>
      <c r="T1075" s="1018" t="str">
        <f ca="1">IF($C1075="","", IF(OR($P1075=$V$1,$P1075=$V$7,COUNTIFS($C$3:$C1075,$C1075,$E$3:$E1075,$E1075)&lt;=1),$P1075,""    ))</f>
        <v/>
      </c>
      <c r="U1075" s="1019" t="str">
        <f ca="1">IF(AND($P1075=$V$2,COUNTIFS($C$3:$C1075,$C1075,$E$3:$E1075,$E1075,$G$3:$G1075,$G1075)&lt;=1),$P1075,"")</f>
        <v/>
      </c>
    </row>
    <row r="1076" spans="1:21">
      <c r="A1076" s="991" t="str">
        <f ca="1">IFERROR(IF(COUNTIF($A$3:A1075,A1075)&lt; INDEX(TinhGia!$BH$10:$BH$81,MATCH($A1075,TinhGia!$B$10:$B$81,0)),$A1075,INDEX(TinhGia!$B$10:$B$81,MATCH($A1075,TinhGia!$B$10:$B$81,0)+1)),"")</f>
        <v/>
      </c>
      <c r="B1076" s="525" t="str">
        <f ca="1">IF(OR(A1076="",A1076=0),"",IF(COUNTIF($A$2:A1076,$A1076)=1,ROW(MauKoXoa!$C$108),$B1075+1))</f>
        <v/>
      </c>
      <c r="C1076" s="992" t="str">
        <f t="shared" ca="1" si="165"/>
        <v/>
      </c>
      <c r="D1076" s="993" t="str">
        <f t="shared" ca="1" si="166"/>
        <v/>
      </c>
      <c r="E1076" s="993" t="str">
        <f t="shared" ca="1" si="167"/>
        <v/>
      </c>
      <c r="F1076" s="992" t="str">
        <f t="shared" ca="1" si="178"/>
        <v/>
      </c>
      <c r="G1076" s="994">
        <f t="shared" ca="1" si="168"/>
        <v>0</v>
      </c>
      <c r="H1076" s="913">
        <f t="shared" ca="1" si="169"/>
        <v>0</v>
      </c>
      <c r="I1076" s="913">
        <f t="shared" ca="1" si="170"/>
        <v>0</v>
      </c>
      <c r="J1076" s="995">
        <f t="shared" ca="1" si="179"/>
        <v>0</v>
      </c>
      <c r="K1076" s="913">
        <f t="shared" ca="1" si="171"/>
        <v>0</v>
      </c>
      <c r="L1076" s="995">
        <f t="shared" ca="1" si="180"/>
        <v>0</v>
      </c>
      <c r="M1076" s="913">
        <f t="shared" ca="1" si="172"/>
        <v>0</v>
      </c>
      <c r="N1076" s="996">
        <f t="shared" ca="1" si="173"/>
        <v>0</v>
      </c>
      <c r="O1076" s="997">
        <f t="shared" ca="1" si="174"/>
        <v>0</v>
      </c>
      <c r="P1076" s="1015" t="str">
        <f ca="1">IF($C1076="","",INDEX(NVLSX!$N$2:$N$6941,MATCH($C1076,NVLSX!$E$2:$E$6941,0)))</f>
        <v/>
      </c>
      <c r="Q1076" s="1016" t="str">
        <f ca="1">IF($R1076="","",IF(XKNVLSX!$X$1="",IF($P1076=$V$7,$P1076, IF(COUNTIFS($C$2:$C1075,$C1076,$E$2:$E1075,$E1076)&gt;=1,"",$P1076)),     IF(AND(IFERROR(SEARCH($R1076,XKNVLSX!$X$1,1),0)&gt;=1,$P1076=$V$7),$P1076, IF(OR($R1076&lt;&gt;IF(IFERROR(SEARCH($R1076,XKNVLSX!$X$1,1),0)&gt;=1,$R1076,XKNVLSX!$X$1),COUNTIFS($C$2:$C1075,$C1076,$E$2:$E1075,$E1076,$Q$2:$Q1075,$P1076)&gt;=1),"",$P1076))))</f>
        <v/>
      </c>
      <c r="R1076" s="1017" t="str">
        <f ca="1">IF($A1076="","",IFERROR(INDEX(TinhGia!$BF$10:$BF$81,MATCH($A1076,TinhGia!$B$10:$B$81,0)),""))</f>
        <v/>
      </c>
      <c r="S1076" s="1012" t="str">
        <f ca="1">IF($A1076="","",IF(OR(IFERROR(SEARCH($R1076,XKNVLSX!$X$1,1),0)&gt;=1,XKNVLSX!$X$1=""),$S$2,""))</f>
        <v/>
      </c>
      <c r="T1076" s="1018" t="str">
        <f ca="1">IF($C1076="","", IF(OR($P1076=$V$1,$P1076=$V$7,COUNTIFS($C$3:$C1076,$C1076,$E$3:$E1076,$E1076)&lt;=1),$P1076,""    ))</f>
        <v/>
      </c>
      <c r="U1076" s="1019" t="str">
        <f ca="1">IF(AND($P1076=$V$2,COUNTIFS($C$3:$C1076,$C1076,$E$3:$E1076,$E1076,$G$3:$G1076,$G1076)&lt;=1),$P1076,"")</f>
        <v/>
      </c>
    </row>
    <row r="1077" spans="1:21">
      <c r="A1077" s="991" t="str">
        <f ca="1">IFERROR(IF(COUNTIF($A$3:A1076,A1076)&lt; INDEX(TinhGia!$BH$10:$BH$81,MATCH($A1076,TinhGia!$B$10:$B$81,0)),$A1076,INDEX(TinhGia!$B$10:$B$81,MATCH($A1076,TinhGia!$B$10:$B$81,0)+1)),"")</f>
        <v/>
      </c>
      <c r="B1077" s="525" t="str">
        <f ca="1">IF(OR(A1077="",A1077=0),"",IF(COUNTIF($A$2:A1077,$A1077)=1,ROW(MauKoXoa!$C$108),$B1076+1))</f>
        <v/>
      </c>
      <c r="C1077" s="992" t="str">
        <f t="shared" ca="1" si="165"/>
        <v/>
      </c>
      <c r="D1077" s="993" t="str">
        <f t="shared" ca="1" si="166"/>
        <v/>
      </c>
      <c r="E1077" s="993" t="str">
        <f t="shared" ca="1" si="167"/>
        <v/>
      </c>
      <c r="F1077" s="992" t="str">
        <f t="shared" ca="1" si="178"/>
        <v/>
      </c>
      <c r="G1077" s="994">
        <f t="shared" ca="1" si="168"/>
        <v>0</v>
      </c>
      <c r="H1077" s="913">
        <f t="shared" ca="1" si="169"/>
        <v>0</v>
      </c>
      <c r="I1077" s="913">
        <f t="shared" ca="1" si="170"/>
        <v>0</v>
      </c>
      <c r="J1077" s="995">
        <f t="shared" ca="1" si="179"/>
        <v>0</v>
      </c>
      <c r="K1077" s="913">
        <f t="shared" ca="1" si="171"/>
        <v>0</v>
      </c>
      <c r="L1077" s="995">
        <f t="shared" ca="1" si="180"/>
        <v>0</v>
      </c>
      <c r="M1077" s="913">
        <f t="shared" ca="1" si="172"/>
        <v>0</v>
      </c>
      <c r="N1077" s="996">
        <f t="shared" ca="1" si="173"/>
        <v>0</v>
      </c>
      <c r="O1077" s="997">
        <f t="shared" ca="1" si="174"/>
        <v>0</v>
      </c>
      <c r="P1077" s="1015" t="str">
        <f ca="1">IF($C1077="","",INDEX(NVLSX!$N$2:$N$6941,MATCH($C1077,NVLSX!$E$2:$E$6941,0)))</f>
        <v/>
      </c>
      <c r="Q1077" s="1016" t="str">
        <f ca="1">IF($R1077="","",IF(XKNVLSX!$X$1="",IF($P1077=$V$7,$P1077, IF(COUNTIFS($C$2:$C1076,$C1077,$E$2:$E1076,$E1077)&gt;=1,"",$P1077)),     IF(AND(IFERROR(SEARCH($R1077,XKNVLSX!$X$1,1),0)&gt;=1,$P1077=$V$7),$P1077, IF(OR($R1077&lt;&gt;IF(IFERROR(SEARCH($R1077,XKNVLSX!$X$1,1),0)&gt;=1,$R1077,XKNVLSX!$X$1),COUNTIFS($C$2:$C1076,$C1077,$E$2:$E1076,$E1077,$Q$2:$Q1076,$P1077)&gt;=1),"",$P1077))))</f>
        <v/>
      </c>
      <c r="R1077" s="1017" t="str">
        <f ca="1">IF($A1077="","",IFERROR(INDEX(TinhGia!$BF$10:$BF$81,MATCH($A1077,TinhGia!$B$10:$B$81,0)),""))</f>
        <v/>
      </c>
      <c r="S1077" s="1012" t="str">
        <f ca="1">IF($A1077="","",IF(OR(IFERROR(SEARCH($R1077,XKNVLSX!$X$1,1),0)&gt;=1,XKNVLSX!$X$1=""),$S$2,""))</f>
        <v/>
      </c>
      <c r="T1077" s="1018" t="str">
        <f ca="1">IF($C1077="","", IF(OR($P1077=$V$1,$P1077=$V$7,COUNTIFS($C$3:$C1077,$C1077,$E$3:$E1077,$E1077)&lt;=1),$P1077,""    ))</f>
        <v/>
      </c>
      <c r="U1077" s="1019" t="str">
        <f ca="1">IF(AND($P1077=$V$2,COUNTIFS($C$3:$C1077,$C1077,$E$3:$E1077,$E1077,$G$3:$G1077,$G1077)&lt;=1),$P1077,"")</f>
        <v/>
      </c>
    </row>
    <row r="1078" spans="1:21">
      <c r="A1078" s="991" t="str">
        <f ca="1">IFERROR(IF(COUNTIF($A$3:A1077,A1077)&lt; INDEX(TinhGia!$BH$10:$BH$81,MATCH($A1077,TinhGia!$B$10:$B$81,0)),$A1077,INDEX(TinhGia!$B$10:$B$81,MATCH($A1077,TinhGia!$B$10:$B$81,0)+1)),"")</f>
        <v/>
      </c>
      <c r="B1078" s="525" t="str">
        <f ca="1">IF(OR(A1078="",A1078=0),"",IF(COUNTIF($A$2:A1078,$A1078)=1,ROW(MauKoXoa!$C$108),$B1077+1))</f>
        <v/>
      </c>
      <c r="C1078" s="992" t="str">
        <f t="shared" ca="1" si="165"/>
        <v/>
      </c>
      <c r="D1078" s="993" t="str">
        <f t="shared" ca="1" si="166"/>
        <v/>
      </c>
      <c r="E1078" s="993" t="str">
        <f t="shared" ca="1" si="167"/>
        <v/>
      </c>
      <c r="F1078" s="992" t="str">
        <f t="shared" ca="1" si="178"/>
        <v/>
      </c>
      <c r="G1078" s="994">
        <f t="shared" ca="1" si="168"/>
        <v>0</v>
      </c>
      <c r="H1078" s="913">
        <f t="shared" ca="1" si="169"/>
        <v>0</v>
      </c>
      <c r="I1078" s="913">
        <f t="shared" ca="1" si="170"/>
        <v>0</v>
      </c>
      <c r="J1078" s="995">
        <f t="shared" ca="1" si="179"/>
        <v>0</v>
      </c>
      <c r="K1078" s="913">
        <f t="shared" ca="1" si="171"/>
        <v>0</v>
      </c>
      <c r="L1078" s="995">
        <f t="shared" ca="1" si="180"/>
        <v>0</v>
      </c>
      <c r="M1078" s="913">
        <f t="shared" ca="1" si="172"/>
        <v>0</v>
      </c>
      <c r="N1078" s="996">
        <f t="shared" ca="1" si="173"/>
        <v>0</v>
      </c>
      <c r="O1078" s="997">
        <f t="shared" ca="1" si="174"/>
        <v>0</v>
      </c>
      <c r="P1078" s="1015" t="str">
        <f ca="1">IF($C1078="","",INDEX(NVLSX!$N$2:$N$6941,MATCH($C1078,NVLSX!$E$2:$E$6941,0)))</f>
        <v/>
      </c>
      <c r="Q1078" s="1016" t="str">
        <f ca="1">IF($R1078="","",IF(XKNVLSX!$X$1="",IF($P1078=$V$7,$P1078, IF(COUNTIFS($C$2:$C1077,$C1078,$E$2:$E1077,$E1078)&gt;=1,"",$P1078)),     IF(AND(IFERROR(SEARCH($R1078,XKNVLSX!$X$1,1),0)&gt;=1,$P1078=$V$7),$P1078, IF(OR($R1078&lt;&gt;IF(IFERROR(SEARCH($R1078,XKNVLSX!$X$1,1),0)&gt;=1,$R1078,XKNVLSX!$X$1),COUNTIFS($C$2:$C1077,$C1078,$E$2:$E1077,$E1078,$Q$2:$Q1077,$P1078)&gt;=1),"",$P1078))))</f>
        <v/>
      </c>
      <c r="R1078" s="1017" t="str">
        <f ca="1">IF($A1078="","",IFERROR(INDEX(TinhGia!$BF$10:$BF$81,MATCH($A1078,TinhGia!$B$10:$B$81,0)),""))</f>
        <v/>
      </c>
      <c r="S1078" s="1012" t="str">
        <f ca="1">IF($A1078="","",IF(OR(IFERROR(SEARCH($R1078,XKNVLSX!$X$1,1),0)&gt;=1,XKNVLSX!$X$1=""),$S$2,""))</f>
        <v/>
      </c>
      <c r="T1078" s="1018" t="str">
        <f ca="1">IF($C1078="","", IF(OR($P1078=$V$1,$P1078=$V$7,COUNTIFS($C$3:$C1078,$C1078,$E$3:$E1078,$E1078)&lt;=1),$P1078,""    ))</f>
        <v/>
      </c>
      <c r="U1078" s="1019" t="str">
        <f ca="1">IF(AND($P1078=$V$2,COUNTIFS($C$3:$C1078,$C1078,$E$3:$E1078,$E1078,$G$3:$G1078,$G1078)&lt;=1),$P1078,"")</f>
        <v/>
      </c>
    </row>
    <row r="1079" spans="1:21">
      <c r="A1079" s="991" t="str">
        <f ca="1">IFERROR(IF(COUNTIF($A$3:A1078,A1078)&lt; INDEX(TinhGia!$BH$10:$BH$81,MATCH($A1078,TinhGia!$B$10:$B$81,0)),$A1078,INDEX(TinhGia!$B$10:$B$81,MATCH($A1078,TinhGia!$B$10:$B$81,0)+1)),"")</f>
        <v/>
      </c>
      <c r="B1079" s="525" t="str">
        <f ca="1">IF(OR(A1079="",A1079=0),"",IF(COUNTIF($A$2:A1079,$A1079)=1,ROW(MauKoXoa!$C$108),$B1078+1))</f>
        <v/>
      </c>
      <c r="C1079" s="992" t="str">
        <f t="shared" ca="1" si="165"/>
        <v/>
      </c>
      <c r="D1079" s="993" t="str">
        <f t="shared" ca="1" si="166"/>
        <v/>
      </c>
      <c r="E1079" s="993" t="str">
        <f t="shared" ca="1" si="167"/>
        <v/>
      </c>
      <c r="F1079" s="992" t="str">
        <f t="shared" ca="1" si="178"/>
        <v/>
      </c>
      <c r="G1079" s="994">
        <f t="shared" ca="1" si="168"/>
        <v>0</v>
      </c>
      <c r="H1079" s="913">
        <f t="shared" ca="1" si="169"/>
        <v>0</v>
      </c>
      <c r="I1079" s="913">
        <f t="shared" ca="1" si="170"/>
        <v>0</v>
      </c>
      <c r="J1079" s="995">
        <f t="shared" ca="1" si="179"/>
        <v>0</v>
      </c>
      <c r="K1079" s="913">
        <f t="shared" ca="1" si="171"/>
        <v>0</v>
      </c>
      <c r="L1079" s="995">
        <f t="shared" ca="1" si="180"/>
        <v>0</v>
      </c>
      <c r="M1079" s="913">
        <f t="shared" ca="1" si="172"/>
        <v>0</v>
      </c>
      <c r="N1079" s="996">
        <f t="shared" ca="1" si="173"/>
        <v>0</v>
      </c>
      <c r="O1079" s="997">
        <f t="shared" ca="1" si="174"/>
        <v>0</v>
      </c>
      <c r="P1079" s="1015" t="str">
        <f ca="1">IF($C1079="","",INDEX(NVLSX!$N$2:$N$6941,MATCH($C1079,NVLSX!$E$2:$E$6941,0)))</f>
        <v/>
      </c>
      <c r="Q1079" s="1016" t="str">
        <f ca="1">IF($R1079="","",IF(XKNVLSX!$X$1="",IF($P1079=$V$7,$P1079, IF(COUNTIFS($C$2:$C1078,$C1079,$E$2:$E1078,$E1079)&gt;=1,"",$P1079)),     IF(AND(IFERROR(SEARCH($R1079,XKNVLSX!$X$1,1),0)&gt;=1,$P1079=$V$7),$P1079, IF(OR($R1079&lt;&gt;IF(IFERROR(SEARCH($R1079,XKNVLSX!$X$1,1),0)&gt;=1,$R1079,XKNVLSX!$X$1),COUNTIFS($C$2:$C1078,$C1079,$E$2:$E1078,$E1079,$Q$2:$Q1078,$P1079)&gt;=1),"",$P1079))))</f>
        <v/>
      </c>
      <c r="R1079" s="1017" t="str">
        <f ca="1">IF($A1079="","",IFERROR(INDEX(TinhGia!$BF$10:$BF$81,MATCH($A1079,TinhGia!$B$10:$B$81,0)),""))</f>
        <v/>
      </c>
      <c r="S1079" s="1012" t="str">
        <f ca="1">IF($A1079="","",IF(OR(IFERROR(SEARCH($R1079,XKNVLSX!$X$1,1),0)&gt;=1,XKNVLSX!$X$1=""),$S$2,""))</f>
        <v/>
      </c>
      <c r="T1079" s="1018" t="str">
        <f ca="1">IF($C1079="","", IF(OR($P1079=$V$1,$P1079=$V$7,COUNTIFS($C$3:$C1079,$C1079,$E$3:$E1079,$E1079)&lt;=1),$P1079,""    ))</f>
        <v/>
      </c>
      <c r="U1079" s="1019" t="str">
        <f ca="1">IF(AND($P1079=$V$2,COUNTIFS($C$3:$C1079,$C1079,$E$3:$E1079,$E1079,$G$3:$G1079,$G1079)&lt;=1),$P1079,"")</f>
        <v/>
      </c>
    </row>
    <row r="1080" spans="1:21">
      <c r="A1080" s="991" t="str">
        <f ca="1">IFERROR(IF(COUNTIF($A$3:A1079,A1079)&lt; INDEX(TinhGia!$BH$10:$BH$81,MATCH($A1079,TinhGia!$B$10:$B$81,0)),$A1079,INDEX(TinhGia!$B$10:$B$81,MATCH($A1079,TinhGia!$B$10:$B$81,0)+1)),"")</f>
        <v/>
      </c>
      <c r="B1080" s="525" t="str">
        <f ca="1">IF(OR(A1080="",A1080=0),"",IF(COUNTIF($A$2:A1080,$A1080)=1,ROW(MauKoXoa!$C$108),$B1079+1))</f>
        <v/>
      </c>
      <c r="C1080" s="992" t="str">
        <f t="shared" ca="1" si="165"/>
        <v/>
      </c>
      <c r="D1080" s="993" t="str">
        <f t="shared" ca="1" si="166"/>
        <v/>
      </c>
      <c r="E1080" s="993" t="str">
        <f t="shared" ca="1" si="167"/>
        <v/>
      </c>
      <c r="F1080" s="992" t="str">
        <f t="shared" ca="1" si="178"/>
        <v/>
      </c>
      <c r="G1080" s="994">
        <f t="shared" ca="1" si="168"/>
        <v>0</v>
      </c>
      <c r="H1080" s="913">
        <f t="shared" ca="1" si="169"/>
        <v>0</v>
      </c>
      <c r="I1080" s="913">
        <f t="shared" ca="1" si="170"/>
        <v>0</v>
      </c>
      <c r="J1080" s="995">
        <f t="shared" ca="1" si="179"/>
        <v>0</v>
      </c>
      <c r="K1080" s="913">
        <f t="shared" ca="1" si="171"/>
        <v>0</v>
      </c>
      <c r="L1080" s="995">
        <f t="shared" ca="1" si="180"/>
        <v>0</v>
      </c>
      <c r="M1080" s="913">
        <f t="shared" ca="1" si="172"/>
        <v>0</v>
      </c>
      <c r="N1080" s="996">
        <f t="shared" ca="1" si="173"/>
        <v>0</v>
      </c>
      <c r="O1080" s="997">
        <f t="shared" ca="1" si="174"/>
        <v>0</v>
      </c>
      <c r="P1080" s="1015" t="str">
        <f ca="1">IF($C1080="","",INDEX(NVLSX!$N$2:$N$6941,MATCH($C1080,NVLSX!$E$2:$E$6941,0)))</f>
        <v/>
      </c>
      <c r="Q1080" s="1016" t="str">
        <f ca="1">IF($R1080="","",IF(XKNVLSX!$X$1="",IF($P1080=$V$7,$P1080, IF(COUNTIFS($C$2:$C1079,$C1080,$E$2:$E1079,$E1080)&gt;=1,"",$P1080)),     IF(AND(IFERROR(SEARCH($R1080,XKNVLSX!$X$1,1),0)&gt;=1,$P1080=$V$7),$P1080, IF(OR($R1080&lt;&gt;IF(IFERROR(SEARCH($R1080,XKNVLSX!$X$1,1),0)&gt;=1,$R1080,XKNVLSX!$X$1),COUNTIFS($C$2:$C1079,$C1080,$E$2:$E1079,$E1080,$Q$2:$Q1079,$P1080)&gt;=1),"",$P1080))))</f>
        <v/>
      </c>
      <c r="R1080" s="1017" t="str">
        <f ca="1">IF($A1080="","",IFERROR(INDEX(TinhGia!$BF$10:$BF$81,MATCH($A1080,TinhGia!$B$10:$B$81,0)),""))</f>
        <v/>
      </c>
      <c r="S1080" s="1012" t="str">
        <f ca="1">IF($A1080="","",IF(OR(IFERROR(SEARCH($R1080,XKNVLSX!$X$1,1),0)&gt;=1,XKNVLSX!$X$1=""),$S$2,""))</f>
        <v/>
      </c>
      <c r="T1080" s="1018" t="str">
        <f ca="1">IF($C1080="","", IF(OR($P1080=$V$1,$P1080=$V$7,COUNTIFS($C$3:$C1080,$C1080,$E$3:$E1080,$E1080)&lt;=1),$P1080,""    ))</f>
        <v/>
      </c>
      <c r="U1080" s="1019" t="str">
        <f ca="1">IF(AND($P1080=$V$2,COUNTIFS($C$3:$C1080,$C1080,$E$3:$E1080,$E1080,$G$3:$G1080,$G1080)&lt;=1),$P1080,"")</f>
        <v/>
      </c>
    </row>
    <row r="1081" spans="1:21">
      <c r="A1081" s="991" t="str">
        <f ca="1">IFERROR(IF(COUNTIF($A$3:A1080,A1080)&lt; INDEX(TinhGia!$BH$10:$BH$81,MATCH($A1080,TinhGia!$B$10:$B$81,0)),$A1080,INDEX(TinhGia!$B$10:$B$81,MATCH($A1080,TinhGia!$B$10:$B$81,0)+1)),"")</f>
        <v/>
      </c>
      <c r="B1081" s="525" t="str">
        <f ca="1">IF(OR(A1081="",A1081=0),"",IF(COUNTIF($A$2:A1081,$A1081)=1,ROW(MauKoXoa!$C$108),$B1080+1))</f>
        <v/>
      </c>
      <c r="C1081" s="992" t="str">
        <f t="shared" ca="1" si="165"/>
        <v/>
      </c>
      <c r="D1081" s="993" t="str">
        <f t="shared" ca="1" si="166"/>
        <v/>
      </c>
      <c r="E1081" s="993" t="str">
        <f t="shared" ca="1" si="167"/>
        <v/>
      </c>
      <c r="F1081" s="992" t="str">
        <f t="shared" ca="1" si="178"/>
        <v/>
      </c>
      <c r="G1081" s="994">
        <f t="shared" ca="1" si="168"/>
        <v>0</v>
      </c>
      <c r="H1081" s="913">
        <f t="shared" ca="1" si="169"/>
        <v>0</v>
      </c>
      <c r="I1081" s="913">
        <f t="shared" ca="1" si="170"/>
        <v>0</v>
      </c>
      <c r="J1081" s="995">
        <f t="shared" ca="1" si="179"/>
        <v>0</v>
      </c>
      <c r="K1081" s="913">
        <f t="shared" ca="1" si="171"/>
        <v>0</v>
      </c>
      <c r="L1081" s="995">
        <f t="shared" ca="1" si="180"/>
        <v>0</v>
      </c>
      <c r="M1081" s="913">
        <f t="shared" ca="1" si="172"/>
        <v>0</v>
      </c>
      <c r="N1081" s="996">
        <f t="shared" ca="1" si="173"/>
        <v>0</v>
      </c>
      <c r="O1081" s="997">
        <f t="shared" ca="1" si="174"/>
        <v>0</v>
      </c>
      <c r="P1081" s="1015" t="str">
        <f ca="1">IF($C1081="","",INDEX(NVLSX!$N$2:$N$6941,MATCH($C1081,NVLSX!$E$2:$E$6941,0)))</f>
        <v/>
      </c>
      <c r="Q1081" s="1016" t="str">
        <f ca="1">IF($R1081="","",IF(XKNVLSX!$X$1="",IF($P1081=$V$7,$P1081, IF(COUNTIFS($C$2:$C1080,$C1081,$E$2:$E1080,$E1081)&gt;=1,"",$P1081)),     IF(AND(IFERROR(SEARCH($R1081,XKNVLSX!$X$1,1),0)&gt;=1,$P1081=$V$7),$P1081, IF(OR($R1081&lt;&gt;IF(IFERROR(SEARCH($R1081,XKNVLSX!$X$1,1),0)&gt;=1,$R1081,XKNVLSX!$X$1),COUNTIFS($C$2:$C1080,$C1081,$E$2:$E1080,$E1081,$Q$2:$Q1080,$P1081)&gt;=1),"",$P1081))))</f>
        <v/>
      </c>
      <c r="R1081" s="1017" t="str">
        <f ca="1">IF($A1081="","",IFERROR(INDEX(TinhGia!$BF$10:$BF$81,MATCH($A1081,TinhGia!$B$10:$B$81,0)),""))</f>
        <v/>
      </c>
      <c r="S1081" s="1012" t="str">
        <f ca="1">IF($A1081="","",IF(OR(IFERROR(SEARCH($R1081,XKNVLSX!$X$1,1),0)&gt;=1,XKNVLSX!$X$1=""),$S$2,""))</f>
        <v/>
      </c>
      <c r="T1081" s="1018" t="str">
        <f ca="1">IF($C1081="","", IF(OR($P1081=$V$1,$P1081=$V$7,COUNTIFS($C$3:$C1081,$C1081,$E$3:$E1081,$E1081)&lt;=1),$P1081,""    ))</f>
        <v/>
      </c>
      <c r="U1081" s="1019" t="str">
        <f ca="1">IF(AND($P1081=$V$2,COUNTIFS($C$3:$C1081,$C1081,$E$3:$E1081,$E1081,$G$3:$G1081,$G1081)&lt;=1),$P1081,"")</f>
        <v/>
      </c>
    </row>
    <row r="1082" spans="1:21">
      <c r="A1082" s="991" t="str">
        <f ca="1">IFERROR(IF(COUNTIF($A$3:A1081,A1081)&lt; INDEX(TinhGia!$BH$10:$BH$81,MATCH($A1081,TinhGia!$B$10:$B$81,0)),$A1081,INDEX(TinhGia!$B$10:$B$81,MATCH($A1081,TinhGia!$B$10:$B$81,0)+1)),"")</f>
        <v/>
      </c>
      <c r="B1082" s="525" t="str">
        <f ca="1">IF(OR(A1082="",A1082=0),"",IF(COUNTIF($A$2:A1082,$A1082)=1,ROW(MauKoXoa!$C$108),$B1081+1))</f>
        <v/>
      </c>
      <c r="C1082" s="992" t="str">
        <f t="shared" ca="1" si="165"/>
        <v/>
      </c>
      <c r="D1082" s="993" t="str">
        <f t="shared" ca="1" si="166"/>
        <v/>
      </c>
      <c r="E1082" s="993" t="str">
        <f t="shared" ca="1" si="167"/>
        <v/>
      </c>
      <c r="F1082" s="992" t="str">
        <f t="shared" ca="1" si="178"/>
        <v/>
      </c>
      <c r="G1082" s="994">
        <f t="shared" ca="1" si="168"/>
        <v>0</v>
      </c>
      <c r="H1082" s="913">
        <f t="shared" ca="1" si="169"/>
        <v>0</v>
      </c>
      <c r="I1082" s="913">
        <f t="shared" ca="1" si="170"/>
        <v>0</v>
      </c>
      <c r="J1082" s="995">
        <f t="shared" ca="1" si="179"/>
        <v>0</v>
      </c>
      <c r="K1082" s="913">
        <f t="shared" ca="1" si="171"/>
        <v>0</v>
      </c>
      <c r="L1082" s="995">
        <f t="shared" ca="1" si="180"/>
        <v>0</v>
      </c>
      <c r="M1082" s="913">
        <f t="shared" ca="1" si="172"/>
        <v>0</v>
      </c>
      <c r="N1082" s="996">
        <f t="shared" ca="1" si="173"/>
        <v>0</v>
      </c>
      <c r="O1082" s="997">
        <f t="shared" ca="1" si="174"/>
        <v>0</v>
      </c>
      <c r="P1082" s="1015" t="str">
        <f ca="1">IF($C1082="","",INDEX(NVLSX!$N$2:$N$6941,MATCH($C1082,NVLSX!$E$2:$E$6941,0)))</f>
        <v/>
      </c>
      <c r="Q1082" s="1016" t="str">
        <f ca="1">IF($R1082="","",IF(XKNVLSX!$X$1="",IF($P1082=$V$7,$P1082, IF(COUNTIFS($C$2:$C1081,$C1082,$E$2:$E1081,$E1082)&gt;=1,"",$P1082)),     IF(AND(IFERROR(SEARCH($R1082,XKNVLSX!$X$1,1),0)&gt;=1,$P1082=$V$7),$P1082, IF(OR($R1082&lt;&gt;IF(IFERROR(SEARCH($R1082,XKNVLSX!$X$1,1),0)&gt;=1,$R1082,XKNVLSX!$X$1),COUNTIFS($C$2:$C1081,$C1082,$E$2:$E1081,$E1082,$Q$2:$Q1081,$P1082)&gt;=1),"",$P1082))))</f>
        <v/>
      </c>
      <c r="R1082" s="1017" t="str">
        <f ca="1">IF($A1082="","",IFERROR(INDEX(TinhGia!$BF$10:$BF$81,MATCH($A1082,TinhGia!$B$10:$B$81,0)),""))</f>
        <v/>
      </c>
      <c r="S1082" s="1012" t="str">
        <f ca="1">IF($A1082="","",IF(OR(IFERROR(SEARCH($R1082,XKNVLSX!$X$1,1),0)&gt;=1,XKNVLSX!$X$1=""),$S$2,""))</f>
        <v/>
      </c>
      <c r="T1082" s="1018" t="str">
        <f ca="1">IF($C1082="","", IF(OR($P1082=$V$1,$P1082=$V$7,COUNTIFS($C$3:$C1082,$C1082,$E$3:$E1082,$E1082)&lt;=1),$P1082,""    ))</f>
        <v/>
      </c>
      <c r="U1082" s="1019" t="str">
        <f ca="1">IF(AND($P1082=$V$2,COUNTIFS($C$3:$C1082,$C1082,$E$3:$E1082,$E1082,$G$3:$G1082,$G1082)&lt;=1),$P1082,"")</f>
        <v/>
      </c>
    </row>
    <row r="1083" spans="1:21">
      <c r="A1083" s="991" t="str">
        <f ca="1">IFERROR(IF(COUNTIF($A$3:A1082,A1082)&lt; INDEX(TinhGia!$BH$10:$BH$81,MATCH($A1082,TinhGia!$B$10:$B$81,0)),$A1082,INDEX(TinhGia!$B$10:$B$81,MATCH($A1082,TinhGia!$B$10:$B$81,0)+1)),"")</f>
        <v/>
      </c>
      <c r="B1083" s="525" t="str">
        <f ca="1">IF(OR(A1083="",A1083=0),"",IF(COUNTIF($A$2:A1083,$A1083)=1,ROW(MauKoXoa!$C$108),$B1082+1))</f>
        <v/>
      </c>
      <c r="C1083" s="992" t="str">
        <f t="shared" ca="1" si="165"/>
        <v/>
      </c>
      <c r="D1083" s="993" t="str">
        <f t="shared" ca="1" si="166"/>
        <v/>
      </c>
      <c r="E1083" s="993" t="str">
        <f t="shared" ca="1" si="167"/>
        <v/>
      </c>
      <c r="F1083" s="992" t="str">
        <f t="shared" ca="1" si="178"/>
        <v/>
      </c>
      <c r="G1083" s="994">
        <f t="shared" ca="1" si="168"/>
        <v>0</v>
      </c>
      <c r="H1083" s="913">
        <f t="shared" ca="1" si="169"/>
        <v>0</v>
      </c>
      <c r="I1083" s="913">
        <f t="shared" ca="1" si="170"/>
        <v>0</v>
      </c>
      <c r="J1083" s="995">
        <f t="shared" ca="1" si="179"/>
        <v>0</v>
      </c>
      <c r="K1083" s="913">
        <f t="shared" ca="1" si="171"/>
        <v>0</v>
      </c>
      <c r="L1083" s="995">
        <f t="shared" ca="1" si="180"/>
        <v>0</v>
      </c>
      <c r="M1083" s="913">
        <f t="shared" ca="1" si="172"/>
        <v>0</v>
      </c>
      <c r="N1083" s="996">
        <f t="shared" ca="1" si="173"/>
        <v>0</v>
      </c>
      <c r="O1083" s="997">
        <f t="shared" ca="1" si="174"/>
        <v>0</v>
      </c>
      <c r="P1083" s="1015" t="str">
        <f ca="1">IF($C1083="","",INDEX(NVLSX!$N$2:$N$6941,MATCH($C1083,NVLSX!$E$2:$E$6941,0)))</f>
        <v/>
      </c>
      <c r="Q1083" s="1016" t="str">
        <f ca="1">IF($R1083="","",IF(XKNVLSX!$X$1="",IF($P1083=$V$7,$P1083, IF(COUNTIFS($C$2:$C1082,$C1083,$E$2:$E1082,$E1083)&gt;=1,"",$P1083)),     IF(AND(IFERROR(SEARCH($R1083,XKNVLSX!$X$1,1),0)&gt;=1,$P1083=$V$7),$P1083, IF(OR($R1083&lt;&gt;IF(IFERROR(SEARCH($R1083,XKNVLSX!$X$1,1),0)&gt;=1,$R1083,XKNVLSX!$X$1),COUNTIFS($C$2:$C1082,$C1083,$E$2:$E1082,$E1083,$Q$2:$Q1082,$P1083)&gt;=1),"",$P1083))))</f>
        <v/>
      </c>
      <c r="R1083" s="1017" t="str">
        <f ca="1">IF($A1083="","",IFERROR(INDEX(TinhGia!$BF$10:$BF$81,MATCH($A1083,TinhGia!$B$10:$B$81,0)),""))</f>
        <v/>
      </c>
      <c r="S1083" s="1012" t="str">
        <f ca="1">IF($A1083="","",IF(OR(IFERROR(SEARCH($R1083,XKNVLSX!$X$1,1),0)&gt;=1,XKNVLSX!$X$1=""),$S$2,""))</f>
        <v/>
      </c>
      <c r="T1083" s="1018" t="str">
        <f ca="1">IF($C1083="","", IF(OR($P1083=$V$1,$P1083=$V$7,COUNTIFS($C$3:$C1083,$C1083,$E$3:$E1083,$E1083)&lt;=1),$P1083,""    ))</f>
        <v/>
      </c>
      <c r="U1083" s="1019" t="str">
        <f ca="1">IF(AND($P1083=$V$2,COUNTIFS($C$3:$C1083,$C1083,$E$3:$E1083,$E1083,$G$3:$G1083,$G1083)&lt;=1),$P1083,"")</f>
        <v/>
      </c>
    </row>
    <row r="1084" spans="1:21">
      <c r="A1084" s="991" t="str">
        <f ca="1">IFERROR(IF(COUNTIF($A$3:A1083,A1083)&lt; INDEX(TinhGia!$BH$10:$BH$81,MATCH($A1083,TinhGia!$B$10:$B$81,0)),$A1083,INDEX(TinhGia!$B$10:$B$81,MATCH($A1083,TinhGia!$B$10:$B$81,0)+1)),"")</f>
        <v/>
      </c>
      <c r="B1084" s="525" t="str">
        <f ca="1">IF(OR(A1084="",A1084=0),"",IF(COUNTIF($A$2:A1084,$A1084)=1,ROW(MauKoXoa!$C$108),$B1083+1))</f>
        <v/>
      </c>
      <c r="C1084" s="992" t="str">
        <f t="shared" ca="1" si="165"/>
        <v/>
      </c>
      <c r="D1084" s="993" t="str">
        <f t="shared" ca="1" si="166"/>
        <v/>
      </c>
      <c r="E1084" s="993" t="str">
        <f t="shared" ca="1" si="167"/>
        <v/>
      </c>
      <c r="F1084" s="992" t="str">
        <f t="shared" ca="1" si="178"/>
        <v/>
      </c>
      <c r="G1084" s="994">
        <f t="shared" ca="1" si="168"/>
        <v>0</v>
      </c>
      <c r="H1084" s="913">
        <f t="shared" ca="1" si="169"/>
        <v>0</v>
      </c>
      <c r="I1084" s="913">
        <f t="shared" ca="1" si="170"/>
        <v>0</v>
      </c>
      <c r="J1084" s="995">
        <f t="shared" ca="1" si="179"/>
        <v>0</v>
      </c>
      <c r="K1084" s="913">
        <f t="shared" ca="1" si="171"/>
        <v>0</v>
      </c>
      <c r="L1084" s="995">
        <f t="shared" ca="1" si="180"/>
        <v>0</v>
      </c>
      <c r="M1084" s="913">
        <f t="shared" ca="1" si="172"/>
        <v>0</v>
      </c>
      <c r="N1084" s="996">
        <f t="shared" ca="1" si="173"/>
        <v>0</v>
      </c>
      <c r="O1084" s="997">
        <f t="shared" ca="1" si="174"/>
        <v>0</v>
      </c>
      <c r="P1084" s="1015" t="str">
        <f ca="1">IF($C1084="","",INDEX(NVLSX!$N$2:$N$6941,MATCH($C1084,NVLSX!$E$2:$E$6941,0)))</f>
        <v/>
      </c>
      <c r="Q1084" s="1016" t="str">
        <f ca="1">IF($R1084="","",IF(XKNVLSX!$X$1="",IF($P1084=$V$7,$P1084, IF(COUNTIFS($C$2:$C1083,$C1084,$E$2:$E1083,$E1084)&gt;=1,"",$P1084)),     IF(AND(IFERROR(SEARCH($R1084,XKNVLSX!$X$1,1),0)&gt;=1,$P1084=$V$7),$P1084, IF(OR($R1084&lt;&gt;IF(IFERROR(SEARCH($R1084,XKNVLSX!$X$1,1),0)&gt;=1,$R1084,XKNVLSX!$X$1),COUNTIFS($C$2:$C1083,$C1084,$E$2:$E1083,$E1084,$Q$2:$Q1083,$P1084)&gt;=1),"",$P1084))))</f>
        <v/>
      </c>
      <c r="R1084" s="1017" t="str">
        <f ca="1">IF($A1084="","",IFERROR(INDEX(TinhGia!$BF$10:$BF$81,MATCH($A1084,TinhGia!$B$10:$B$81,0)),""))</f>
        <v/>
      </c>
      <c r="S1084" s="1012" t="str">
        <f ca="1">IF($A1084="","",IF(OR(IFERROR(SEARCH($R1084,XKNVLSX!$X$1,1),0)&gt;=1,XKNVLSX!$X$1=""),$S$2,""))</f>
        <v/>
      </c>
      <c r="T1084" s="1018" t="str">
        <f ca="1">IF($C1084="","", IF(OR($P1084=$V$1,$P1084=$V$7,COUNTIFS($C$3:$C1084,$C1084,$E$3:$E1084,$E1084)&lt;=1),$P1084,""    ))</f>
        <v/>
      </c>
      <c r="U1084" s="1019" t="str">
        <f ca="1">IF(AND($P1084=$V$2,COUNTIFS($C$3:$C1084,$C1084,$E$3:$E1084,$E1084,$G$3:$G1084,$G1084)&lt;=1),$P1084,"")</f>
        <v/>
      </c>
    </row>
    <row r="1085" spans="1:21">
      <c r="A1085" s="991" t="str">
        <f ca="1">IFERROR(IF(COUNTIF($A$3:A1084,A1084)&lt; INDEX(TinhGia!$BH$10:$BH$81,MATCH($A1084,TinhGia!$B$10:$B$81,0)),$A1084,INDEX(TinhGia!$B$10:$B$81,MATCH($A1084,TinhGia!$B$10:$B$81,0)+1)),"")</f>
        <v/>
      </c>
      <c r="B1085" s="525" t="str">
        <f ca="1">IF(OR(A1085="",A1085=0),"",IF(COUNTIF($A$2:A1085,$A1085)=1,ROW(MauKoXoa!$C$108),$B1084+1))</f>
        <v/>
      </c>
      <c r="C1085" s="992" t="str">
        <f t="shared" ca="1" si="165"/>
        <v/>
      </c>
      <c r="D1085" s="993" t="str">
        <f t="shared" ca="1" si="166"/>
        <v/>
      </c>
      <c r="E1085" s="993" t="str">
        <f t="shared" ca="1" si="167"/>
        <v/>
      </c>
      <c r="F1085" s="992" t="str">
        <f t="shared" ca="1" si="178"/>
        <v/>
      </c>
      <c r="G1085" s="994">
        <f t="shared" ca="1" si="168"/>
        <v>0</v>
      </c>
      <c r="H1085" s="913">
        <f t="shared" ca="1" si="169"/>
        <v>0</v>
      </c>
      <c r="I1085" s="913">
        <f t="shared" ca="1" si="170"/>
        <v>0</v>
      </c>
      <c r="J1085" s="995">
        <f t="shared" ca="1" si="179"/>
        <v>0</v>
      </c>
      <c r="K1085" s="913">
        <f t="shared" ca="1" si="171"/>
        <v>0</v>
      </c>
      <c r="L1085" s="995">
        <f t="shared" ca="1" si="180"/>
        <v>0</v>
      </c>
      <c r="M1085" s="913">
        <f t="shared" ca="1" si="172"/>
        <v>0</v>
      </c>
      <c r="N1085" s="996">
        <f t="shared" ca="1" si="173"/>
        <v>0</v>
      </c>
      <c r="O1085" s="997">
        <f t="shared" ca="1" si="174"/>
        <v>0</v>
      </c>
      <c r="P1085" s="1015" t="str">
        <f ca="1">IF($C1085="","",INDEX(NVLSX!$N$2:$N$6941,MATCH($C1085,NVLSX!$E$2:$E$6941,0)))</f>
        <v/>
      </c>
      <c r="Q1085" s="1016" t="str">
        <f ca="1">IF($R1085="","",IF(XKNVLSX!$X$1="",IF($P1085=$V$7,$P1085, IF(COUNTIFS($C$2:$C1084,$C1085,$E$2:$E1084,$E1085)&gt;=1,"",$P1085)),     IF(AND(IFERROR(SEARCH($R1085,XKNVLSX!$X$1,1),0)&gt;=1,$P1085=$V$7),$P1085, IF(OR($R1085&lt;&gt;IF(IFERROR(SEARCH($R1085,XKNVLSX!$X$1,1),0)&gt;=1,$R1085,XKNVLSX!$X$1),COUNTIFS($C$2:$C1084,$C1085,$E$2:$E1084,$E1085,$Q$2:$Q1084,$P1085)&gt;=1),"",$P1085))))</f>
        <v/>
      </c>
      <c r="R1085" s="1017" t="str">
        <f ca="1">IF($A1085="","",IFERROR(INDEX(TinhGia!$BF$10:$BF$81,MATCH($A1085,TinhGia!$B$10:$B$81,0)),""))</f>
        <v/>
      </c>
      <c r="S1085" s="1012" t="str">
        <f ca="1">IF($A1085="","",IF(OR(IFERROR(SEARCH($R1085,XKNVLSX!$X$1,1),0)&gt;=1,XKNVLSX!$X$1=""),$S$2,""))</f>
        <v/>
      </c>
      <c r="T1085" s="1018" t="str">
        <f ca="1">IF($C1085="","", IF(OR($P1085=$V$1,$P1085=$V$7,COUNTIFS($C$3:$C1085,$C1085,$E$3:$E1085,$E1085)&lt;=1),$P1085,""    ))</f>
        <v/>
      </c>
      <c r="U1085" s="1019" t="str">
        <f ca="1">IF(AND($P1085=$V$2,COUNTIFS($C$3:$C1085,$C1085,$E$3:$E1085,$E1085,$G$3:$G1085,$G1085)&lt;=1),$P1085,"")</f>
        <v/>
      </c>
    </row>
    <row r="1086" spans="1:21">
      <c r="A1086" s="991" t="str">
        <f ca="1">IFERROR(IF(COUNTIF($A$3:A1085,A1085)&lt; INDEX(TinhGia!$BH$10:$BH$81,MATCH($A1085,TinhGia!$B$10:$B$81,0)),$A1085,INDEX(TinhGia!$B$10:$B$81,MATCH($A1085,TinhGia!$B$10:$B$81,0)+1)),"")</f>
        <v/>
      </c>
      <c r="B1086" s="525" t="str">
        <f ca="1">IF(OR(A1086="",A1086=0),"",IF(COUNTIF($A$2:A1086,$A1086)=1,ROW(MauKoXoa!$C$108),$B1085+1))</f>
        <v/>
      </c>
      <c r="C1086" s="992" t="str">
        <f t="shared" ca="1" si="165"/>
        <v/>
      </c>
      <c r="D1086" s="993" t="str">
        <f t="shared" ca="1" si="166"/>
        <v/>
      </c>
      <c r="E1086" s="993" t="str">
        <f t="shared" ca="1" si="167"/>
        <v/>
      </c>
      <c r="F1086" s="992" t="str">
        <f t="shared" ca="1" si="178"/>
        <v/>
      </c>
      <c r="G1086" s="994">
        <f t="shared" ca="1" si="168"/>
        <v>0</v>
      </c>
      <c r="H1086" s="913">
        <f t="shared" ca="1" si="169"/>
        <v>0</v>
      </c>
      <c r="I1086" s="913">
        <f t="shared" ca="1" si="170"/>
        <v>0</v>
      </c>
      <c r="J1086" s="995">
        <f t="shared" ca="1" si="179"/>
        <v>0</v>
      </c>
      <c r="K1086" s="913">
        <f t="shared" ca="1" si="171"/>
        <v>0</v>
      </c>
      <c r="L1086" s="995">
        <f t="shared" ca="1" si="180"/>
        <v>0</v>
      </c>
      <c r="M1086" s="913">
        <f t="shared" ca="1" si="172"/>
        <v>0</v>
      </c>
      <c r="N1086" s="996">
        <f t="shared" ca="1" si="173"/>
        <v>0</v>
      </c>
      <c r="O1086" s="997">
        <f t="shared" ca="1" si="174"/>
        <v>0</v>
      </c>
      <c r="P1086" s="1015" t="str">
        <f ca="1">IF($C1086="","",INDEX(NVLSX!$N$2:$N$6941,MATCH($C1086,NVLSX!$E$2:$E$6941,0)))</f>
        <v/>
      </c>
      <c r="Q1086" s="1016" t="str">
        <f ca="1">IF($R1086="","",IF(XKNVLSX!$X$1="",IF($P1086=$V$7,$P1086, IF(COUNTIFS($C$2:$C1085,$C1086,$E$2:$E1085,$E1086)&gt;=1,"",$P1086)),     IF(AND(IFERROR(SEARCH($R1086,XKNVLSX!$X$1,1),0)&gt;=1,$P1086=$V$7),$P1086, IF(OR($R1086&lt;&gt;IF(IFERROR(SEARCH($R1086,XKNVLSX!$X$1,1),0)&gt;=1,$R1086,XKNVLSX!$X$1),COUNTIFS($C$2:$C1085,$C1086,$E$2:$E1085,$E1086,$Q$2:$Q1085,$P1086)&gt;=1),"",$P1086))))</f>
        <v/>
      </c>
      <c r="R1086" s="1017" t="str">
        <f ca="1">IF($A1086="","",IFERROR(INDEX(TinhGia!$BF$10:$BF$81,MATCH($A1086,TinhGia!$B$10:$B$81,0)),""))</f>
        <v/>
      </c>
      <c r="S1086" s="1012" t="str">
        <f ca="1">IF($A1086="","",IF(OR(IFERROR(SEARCH($R1086,XKNVLSX!$X$1,1),0)&gt;=1,XKNVLSX!$X$1=""),$S$2,""))</f>
        <v/>
      </c>
      <c r="T1086" s="1018" t="str">
        <f ca="1">IF($C1086="","", IF(OR($P1086=$V$1,$P1086=$V$7,COUNTIFS($C$3:$C1086,$C1086,$E$3:$E1086,$E1086)&lt;=1),$P1086,""    ))</f>
        <v/>
      </c>
      <c r="U1086" s="1019" t="str">
        <f ca="1">IF(AND($P1086=$V$2,COUNTIFS($C$3:$C1086,$C1086,$E$3:$E1086,$E1086,$G$3:$G1086,$G1086)&lt;=1),$P1086,"")</f>
        <v/>
      </c>
    </row>
    <row r="1087" spans="1:21">
      <c r="A1087" s="991" t="str">
        <f ca="1">IFERROR(IF(COUNTIF($A$3:A1086,A1086)&lt; INDEX(TinhGia!$BH$10:$BH$81,MATCH($A1086,TinhGia!$B$10:$B$81,0)),$A1086,INDEX(TinhGia!$B$10:$B$81,MATCH($A1086,TinhGia!$B$10:$B$81,0)+1)),"")</f>
        <v/>
      </c>
      <c r="B1087" s="525" t="str">
        <f ca="1">IF(OR(A1087="",A1087=0),"",IF(COUNTIF($A$2:A1087,$A1087)=1,ROW(MauKoXoa!$C$108),$B1086+1))</f>
        <v/>
      </c>
      <c r="C1087" s="992" t="str">
        <f t="shared" ca="1" si="165"/>
        <v/>
      </c>
      <c r="D1087" s="993" t="str">
        <f t="shared" ca="1" si="166"/>
        <v/>
      </c>
      <c r="E1087" s="993" t="str">
        <f t="shared" ca="1" si="167"/>
        <v/>
      </c>
      <c r="F1087" s="992" t="str">
        <f t="shared" ca="1" si="178"/>
        <v/>
      </c>
      <c r="G1087" s="994">
        <f t="shared" ca="1" si="168"/>
        <v>0</v>
      </c>
      <c r="H1087" s="913">
        <f t="shared" ca="1" si="169"/>
        <v>0</v>
      </c>
      <c r="I1087" s="913">
        <f t="shared" ca="1" si="170"/>
        <v>0</v>
      </c>
      <c r="J1087" s="995">
        <f t="shared" ca="1" si="179"/>
        <v>0</v>
      </c>
      <c r="K1087" s="913">
        <f t="shared" ca="1" si="171"/>
        <v>0</v>
      </c>
      <c r="L1087" s="995">
        <f t="shared" ca="1" si="180"/>
        <v>0</v>
      </c>
      <c r="M1087" s="913">
        <f t="shared" ca="1" si="172"/>
        <v>0</v>
      </c>
      <c r="N1087" s="996">
        <f t="shared" ca="1" si="173"/>
        <v>0</v>
      </c>
      <c r="O1087" s="997">
        <f t="shared" ca="1" si="174"/>
        <v>0</v>
      </c>
      <c r="P1087" s="1015" t="str">
        <f ca="1">IF($C1087="","",INDEX(NVLSX!$N$2:$N$6941,MATCH($C1087,NVLSX!$E$2:$E$6941,0)))</f>
        <v/>
      </c>
      <c r="Q1087" s="1016" t="str">
        <f ca="1">IF($R1087="","",IF(XKNVLSX!$X$1="",IF($P1087=$V$7,$P1087, IF(COUNTIFS($C$2:$C1086,$C1087,$E$2:$E1086,$E1087)&gt;=1,"",$P1087)),     IF(AND(IFERROR(SEARCH($R1087,XKNVLSX!$X$1,1),0)&gt;=1,$P1087=$V$7),$P1087, IF(OR($R1087&lt;&gt;IF(IFERROR(SEARCH($R1087,XKNVLSX!$X$1,1),0)&gt;=1,$R1087,XKNVLSX!$X$1),COUNTIFS($C$2:$C1086,$C1087,$E$2:$E1086,$E1087,$Q$2:$Q1086,$P1087)&gt;=1),"",$P1087))))</f>
        <v/>
      </c>
      <c r="R1087" s="1017" t="str">
        <f ca="1">IF($A1087="","",IFERROR(INDEX(TinhGia!$BF$10:$BF$81,MATCH($A1087,TinhGia!$B$10:$B$81,0)),""))</f>
        <v/>
      </c>
      <c r="S1087" s="1012" t="str">
        <f ca="1">IF($A1087="","",IF(OR(IFERROR(SEARCH($R1087,XKNVLSX!$X$1,1),0)&gt;=1,XKNVLSX!$X$1=""),$S$2,""))</f>
        <v/>
      </c>
      <c r="T1087" s="1018" t="str">
        <f ca="1">IF($C1087="","", IF(OR($P1087=$V$1,$P1087=$V$7,COUNTIFS($C$3:$C1087,$C1087,$E$3:$E1087,$E1087)&lt;=1),$P1087,""    ))</f>
        <v/>
      </c>
      <c r="U1087" s="1019" t="str">
        <f ca="1">IF(AND($P1087=$V$2,COUNTIFS($C$3:$C1087,$C1087,$E$3:$E1087,$E1087,$G$3:$G1087,$G1087)&lt;=1),$P1087,"")</f>
        <v/>
      </c>
    </row>
    <row r="1088" spans="1:21">
      <c r="A1088" s="991" t="str">
        <f ca="1">IFERROR(IF(COUNTIF($A$3:A1087,A1087)&lt; INDEX(TinhGia!$BH$10:$BH$81,MATCH($A1087,TinhGia!$B$10:$B$81,0)),$A1087,INDEX(TinhGia!$B$10:$B$81,MATCH($A1087,TinhGia!$B$10:$B$81,0)+1)),"")</f>
        <v/>
      </c>
      <c r="B1088" s="525" t="str">
        <f ca="1">IF(OR(A1088="",A1088=0),"",IF(COUNTIF($A$2:A1088,$A1088)=1,ROW(MauKoXoa!$C$108),$B1087+1))</f>
        <v/>
      </c>
      <c r="C1088" s="992" t="str">
        <f t="shared" ca="1" si="165"/>
        <v/>
      </c>
      <c r="D1088" s="993" t="str">
        <f t="shared" ca="1" si="166"/>
        <v/>
      </c>
      <c r="E1088" s="993" t="str">
        <f t="shared" ca="1" si="167"/>
        <v/>
      </c>
      <c r="F1088" s="992" t="str">
        <f t="shared" ca="1" si="178"/>
        <v/>
      </c>
      <c r="G1088" s="994">
        <f t="shared" ca="1" si="168"/>
        <v>0</v>
      </c>
      <c r="H1088" s="913">
        <f t="shared" ca="1" si="169"/>
        <v>0</v>
      </c>
      <c r="I1088" s="913">
        <f t="shared" ca="1" si="170"/>
        <v>0</v>
      </c>
      <c r="J1088" s="995">
        <f t="shared" ca="1" si="179"/>
        <v>0</v>
      </c>
      <c r="K1088" s="913">
        <f t="shared" ca="1" si="171"/>
        <v>0</v>
      </c>
      <c r="L1088" s="995">
        <f t="shared" ca="1" si="180"/>
        <v>0</v>
      </c>
      <c r="M1088" s="913">
        <f t="shared" ca="1" si="172"/>
        <v>0</v>
      </c>
      <c r="N1088" s="996">
        <f t="shared" ca="1" si="173"/>
        <v>0</v>
      </c>
      <c r="O1088" s="997">
        <f t="shared" ca="1" si="174"/>
        <v>0</v>
      </c>
      <c r="P1088" s="1015" t="str">
        <f ca="1">IF($C1088="","",INDEX(NVLSX!$N$2:$N$6941,MATCH($C1088,NVLSX!$E$2:$E$6941,0)))</f>
        <v/>
      </c>
      <c r="Q1088" s="1016" t="str">
        <f ca="1">IF($R1088="","",IF(XKNVLSX!$X$1="",IF($P1088=$V$7,$P1088, IF(COUNTIFS($C$2:$C1087,$C1088,$E$2:$E1087,$E1088)&gt;=1,"",$P1088)),     IF(AND(IFERROR(SEARCH($R1088,XKNVLSX!$X$1,1),0)&gt;=1,$P1088=$V$7),$P1088, IF(OR($R1088&lt;&gt;IF(IFERROR(SEARCH($R1088,XKNVLSX!$X$1,1),0)&gt;=1,$R1088,XKNVLSX!$X$1),COUNTIFS($C$2:$C1087,$C1088,$E$2:$E1087,$E1088,$Q$2:$Q1087,$P1088)&gt;=1),"",$P1088))))</f>
        <v/>
      </c>
      <c r="R1088" s="1017" t="str">
        <f ca="1">IF($A1088="","",IFERROR(INDEX(TinhGia!$BF$10:$BF$81,MATCH($A1088,TinhGia!$B$10:$B$81,0)),""))</f>
        <v/>
      </c>
      <c r="S1088" s="1012" t="str">
        <f ca="1">IF($A1088="","",IF(OR(IFERROR(SEARCH($R1088,XKNVLSX!$X$1,1),0)&gt;=1,XKNVLSX!$X$1=""),$S$2,""))</f>
        <v/>
      </c>
      <c r="T1088" s="1018" t="str">
        <f ca="1">IF($C1088="","", IF(OR($P1088=$V$1,$P1088=$V$7,COUNTIFS($C$3:$C1088,$C1088,$E$3:$E1088,$E1088)&lt;=1),$P1088,""    ))</f>
        <v/>
      </c>
      <c r="U1088" s="1019" t="str">
        <f ca="1">IF(AND($P1088=$V$2,COUNTIFS($C$3:$C1088,$C1088,$E$3:$E1088,$E1088,$G$3:$G1088,$G1088)&lt;=1),$P1088,"")</f>
        <v/>
      </c>
    </row>
    <row r="1089" spans="1:21">
      <c r="A1089" s="991" t="str">
        <f ca="1">IFERROR(IF(COUNTIF($A$3:A1088,A1088)&lt; INDEX(TinhGia!$BH$10:$BH$81,MATCH($A1088,TinhGia!$B$10:$B$81,0)),$A1088,INDEX(TinhGia!$B$10:$B$81,MATCH($A1088,TinhGia!$B$10:$B$81,0)+1)),"")</f>
        <v/>
      </c>
      <c r="B1089" s="525" t="str">
        <f ca="1">IF(OR(A1089="",A1089=0),"",IF(COUNTIF($A$2:A1089,$A1089)=1,ROW(MauKoXoa!$C$108),$B1088+1))</f>
        <v/>
      </c>
      <c r="C1089" s="992" t="str">
        <f t="shared" ca="1" si="165"/>
        <v/>
      </c>
      <c r="D1089" s="993" t="str">
        <f t="shared" ca="1" si="166"/>
        <v/>
      </c>
      <c r="E1089" s="993" t="str">
        <f t="shared" ca="1" si="167"/>
        <v/>
      </c>
      <c r="F1089" s="992" t="str">
        <f t="shared" ca="1" si="178"/>
        <v/>
      </c>
      <c r="G1089" s="994">
        <f t="shared" ca="1" si="168"/>
        <v>0</v>
      </c>
      <c r="H1089" s="913">
        <f t="shared" ca="1" si="169"/>
        <v>0</v>
      </c>
      <c r="I1089" s="913">
        <f t="shared" ca="1" si="170"/>
        <v>0</v>
      </c>
      <c r="J1089" s="995">
        <f t="shared" ca="1" si="179"/>
        <v>0</v>
      </c>
      <c r="K1089" s="913">
        <f t="shared" ca="1" si="171"/>
        <v>0</v>
      </c>
      <c r="L1089" s="995">
        <f t="shared" ca="1" si="180"/>
        <v>0</v>
      </c>
      <c r="M1089" s="913">
        <f t="shared" ca="1" si="172"/>
        <v>0</v>
      </c>
      <c r="N1089" s="996">
        <f t="shared" ca="1" si="173"/>
        <v>0</v>
      </c>
      <c r="O1089" s="997">
        <f t="shared" ca="1" si="174"/>
        <v>0</v>
      </c>
      <c r="P1089" s="1015" t="str">
        <f ca="1">IF($C1089="","",INDEX(NVLSX!$N$2:$N$6941,MATCH($C1089,NVLSX!$E$2:$E$6941,0)))</f>
        <v/>
      </c>
      <c r="Q1089" s="1016" t="str">
        <f ca="1">IF($R1089="","",IF(XKNVLSX!$X$1="",IF($P1089=$V$7,$P1089, IF(COUNTIFS($C$2:$C1088,$C1089,$E$2:$E1088,$E1089)&gt;=1,"",$P1089)),     IF(AND(IFERROR(SEARCH($R1089,XKNVLSX!$X$1,1),0)&gt;=1,$P1089=$V$7),$P1089, IF(OR($R1089&lt;&gt;IF(IFERROR(SEARCH($R1089,XKNVLSX!$X$1,1),0)&gt;=1,$R1089,XKNVLSX!$X$1),COUNTIFS($C$2:$C1088,$C1089,$E$2:$E1088,$E1089,$Q$2:$Q1088,$P1089)&gt;=1),"",$P1089))))</f>
        <v/>
      </c>
      <c r="R1089" s="1017" t="str">
        <f ca="1">IF($A1089="","",IFERROR(INDEX(TinhGia!$BF$10:$BF$81,MATCH($A1089,TinhGia!$B$10:$B$81,0)),""))</f>
        <v/>
      </c>
      <c r="S1089" s="1012" t="str">
        <f ca="1">IF($A1089="","",IF(OR(IFERROR(SEARCH($R1089,XKNVLSX!$X$1,1),0)&gt;=1,XKNVLSX!$X$1=""),$S$2,""))</f>
        <v/>
      </c>
      <c r="T1089" s="1018" t="str">
        <f ca="1">IF($C1089="","", IF(OR($P1089=$V$1,$P1089=$V$7,COUNTIFS($C$3:$C1089,$C1089,$E$3:$E1089,$E1089)&lt;=1),$P1089,""    ))</f>
        <v/>
      </c>
      <c r="U1089" s="1019" t="str">
        <f ca="1">IF(AND($P1089=$V$2,COUNTIFS($C$3:$C1089,$C1089,$E$3:$E1089,$E1089,$G$3:$G1089,$G1089)&lt;=1),$P1089,"")</f>
        <v/>
      </c>
    </row>
    <row r="1090" spans="1:21">
      <c r="A1090" s="991" t="str">
        <f ca="1">IFERROR(IF(COUNTIF($A$3:A1089,A1089)&lt; INDEX(TinhGia!$BH$10:$BH$81,MATCH($A1089,TinhGia!$B$10:$B$81,0)),$A1089,INDEX(TinhGia!$B$10:$B$81,MATCH($A1089,TinhGia!$B$10:$B$81,0)+1)),"")</f>
        <v/>
      </c>
      <c r="B1090" s="525" t="str">
        <f ca="1">IF(OR(A1090="",A1090=0),"",IF(COUNTIF($A$2:A1090,$A1090)=1,ROW(MauKoXoa!$C$108),$B1089+1))</f>
        <v/>
      </c>
      <c r="C1090" s="992" t="str">
        <f t="shared" ca="1" si="165"/>
        <v/>
      </c>
      <c r="D1090" s="993" t="str">
        <f t="shared" ca="1" si="166"/>
        <v/>
      </c>
      <c r="E1090" s="993" t="str">
        <f t="shared" ca="1" si="167"/>
        <v/>
      </c>
      <c r="F1090" s="992" t="str">
        <f t="shared" ca="1" si="178"/>
        <v/>
      </c>
      <c r="G1090" s="994">
        <f t="shared" ca="1" si="168"/>
        <v>0</v>
      </c>
      <c r="H1090" s="913">
        <f t="shared" ca="1" si="169"/>
        <v>0</v>
      </c>
      <c r="I1090" s="913">
        <f t="shared" ca="1" si="170"/>
        <v>0</v>
      </c>
      <c r="J1090" s="995">
        <f t="shared" ca="1" si="179"/>
        <v>0</v>
      </c>
      <c r="K1090" s="913">
        <f t="shared" ca="1" si="171"/>
        <v>0</v>
      </c>
      <c r="L1090" s="995">
        <f t="shared" ca="1" si="180"/>
        <v>0</v>
      </c>
      <c r="M1090" s="913">
        <f t="shared" ca="1" si="172"/>
        <v>0</v>
      </c>
      <c r="N1090" s="996">
        <f t="shared" ca="1" si="173"/>
        <v>0</v>
      </c>
      <c r="O1090" s="997">
        <f t="shared" ca="1" si="174"/>
        <v>0</v>
      </c>
      <c r="P1090" s="1015" t="str">
        <f ca="1">IF($C1090="","",INDEX(NVLSX!$N$2:$N$6941,MATCH($C1090,NVLSX!$E$2:$E$6941,0)))</f>
        <v/>
      </c>
      <c r="Q1090" s="1016" t="str">
        <f ca="1">IF($R1090="","",IF(XKNVLSX!$X$1="",IF($P1090=$V$7,$P1090, IF(COUNTIFS($C$2:$C1089,$C1090,$E$2:$E1089,$E1090)&gt;=1,"",$P1090)),     IF(AND(IFERROR(SEARCH($R1090,XKNVLSX!$X$1,1),0)&gt;=1,$P1090=$V$7),$P1090, IF(OR($R1090&lt;&gt;IF(IFERROR(SEARCH($R1090,XKNVLSX!$X$1,1),0)&gt;=1,$R1090,XKNVLSX!$X$1),COUNTIFS($C$2:$C1089,$C1090,$E$2:$E1089,$E1090,$Q$2:$Q1089,$P1090)&gt;=1),"",$P1090))))</f>
        <v/>
      </c>
      <c r="R1090" s="1017" t="str">
        <f ca="1">IF($A1090="","",IFERROR(INDEX(TinhGia!$BF$10:$BF$81,MATCH($A1090,TinhGia!$B$10:$B$81,0)),""))</f>
        <v/>
      </c>
      <c r="S1090" s="1012" t="str">
        <f ca="1">IF($A1090="","",IF(OR(IFERROR(SEARCH($R1090,XKNVLSX!$X$1,1),0)&gt;=1,XKNVLSX!$X$1=""),$S$2,""))</f>
        <v/>
      </c>
      <c r="T1090" s="1018" t="str">
        <f ca="1">IF($C1090="","", IF(OR($P1090=$V$1,$P1090=$V$7,COUNTIFS($C$3:$C1090,$C1090,$E$3:$E1090,$E1090)&lt;=1),$P1090,""    ))</f>
        <v/>
      </c>
      <c r="U1090" s="1019" t="str">
        <f ca="1">IF(AND($P1090=$V$2,COUNTIFS($C$3:$C1090,$C1090,$E$3:$E1090,$E1090,$G$3:$G1090,$G1090)&lt;=1),$P1090,"")</f>
        <v/>
      </c>
    </row>
    <row r="1091" spans="1:21">
      <c r="A1091" s="991" t="str">
        <f ca="1">IFERROR(IF(COUNTIF($A$3:A1090,A1090)&lt; INDEX(TinhGia!$BH$10:$BH$81,MATCH($A1090,TinhGia!$B$10:$B$81,0)),$A1090,INDEX(TinhGia!$B$10:$B$81,MATCH($A1090,TinhGia!$B$10:$B$81,0)+1)),"")</f>
        <v/>
      </c>
      <c r="B1091" s="525" t="str">
        <f ca="1">IF(OR(A1091="",A1091=0),"",IF(COUNTIF($A$2:A1091,$A1091)=1,ROW(MauKoXoa!$C$108),$B1090+1))</f>
        <v/>
      </c>
      <c r="C1091" s="992" t="str">
        <f t="shared" ca="1" si="165"/>
        <v/>
      </c>
      <c r="D1091" s="993" t="str">
        <f t="shared" ca="1" si="166"/>
        <v/>
      </c>
      <c r="E1091" s="993" t="str">
        <f t="shared" ca="1" si="167"/>
        <v/>
      </c>
      <c r="F1091" s="992" t="str">
        <f t="shared" ref="F1091:F1154" ca="1" si="181">IF($P1091=$V$7, IFERROR(INDIRECT("'" &amp; $A1091 &amp; "'!" &amp; "I" &amp; $B1091),""),IFERROR(INDIRECT("'" &amp; $A1091 &amp; "'!" &amp; "E" &amp; $B1091),""))</f>
        <v/>
      </c>
      <c r="G1091" s="994">
        <f t="shared" ca="1" si="168"/>
        <v>0</v>
      </c>
      <c r="H1091" s="913">
        <f t="shared" ca="1" si="169"/>
        <v>0</v>
      </c>
      <c r="I1091" s="913">
        <f t="shared" ca="1" si="170"/>
        <v>0</v>
      </c>
      <c r="J1091" s="995">
        <f t="shared" ca="1" si="179"/>
        <v>0</v>
      </c>
      <c r="K1091" s="913">
        <f t="shared" ca="1" si="171"/>
        <v>0</v>
      </c>
      <c r="L1091" s="995">
        <f t="shared" ca="1" si="180"/>
        <v>0</v>
      </c>
      <c r="M1091" s="913">
        <f t="shared" ca="1" si="172"/>
        <v>0</v>
      </c>
      <c r="N1091" s="996">
        <f t="shared" ca="1" si="173"/>
        <v>0</v>
      </c>
      <c r="O1091" s="997">
        <f t="shared" ca="1" si="174"/>
        <v>0</v>
      </c>
      <c r="P1091" s="1015" t="str">
        <f ca="1">IF($C1091="","",INDEX(NVLSX!$N$2:$N$6941,MATCH($C1091,NVLSX!$E$2:$E$6941,0)))</f>
        <v/>
      </c>
      <c r="Q1091" s="1016" t="str">
        <f ca="1">IF($R1091="","",IF(XKNVLSX!$X$1="",IF($P1091=$V$7,$P1091, IF(COUNTIFS($C$2:$C1090,$C1091,$E$2:$E1090,$E1091)&gt;=1,"",$P1091)),     IF(AND(IFERROR(SEARCH($R1091,XKNVLSX!$X$1,1),0)&gt;=1,$P1091=$V$7),$P1091, IF(OR($R1091&lt;&gt;IF(IFERROR(SEARCH($R1091,XKNVLSX!$X$1,1),0)&gt;=1,$R1091,XKNVLSX!$X$1),COUNTIFS($C$2:$C1090,$C1091,$E$2:$E1090,$E1091,$Q$2:$Q1090,$P1091)&gt;=1),"",$P1091))))</f>
        <v/>
      </c>
      <c r="R1091" s="1017" t="str">
        <f ca="1">IF($A1091="","",IFERROR(INDEX(TinhGia!$BF$10:$BF$81,MATCH($A1091,TinhGia!$B$10:$B$81,0)),""))</f>
        <v/>
      </c>
      <c r="S1091" s="1012" t="str">
        <f ca="1">IF($A1091="","",IF(OR(IFERROR(SEARCH($R1091,XKNVLSX!$X$1,1),0)&gt;=1,XKNVLSX!$X$1=""),$S$2,""))</f>
        <v/>
      </c>
      <c r="T1091" s="1018" t="str">
        <f ca="1">IF($C1091="","", IF(OR($P1091=$V$1,$P1091=$V$7,COUNTIFS($C$3:$C1091,$C1091,$E$3:$E1091,$E1091)&lt;=1),$P1091,""    ))</f>
        <v/>
      </c>
      <c r="U1091" s="1019" t="str">
        <f ca="1">IF(AND($P1091=$V$2,COUNTIFS($C$3:$C1091,$C1091,$E$3:$E1091,$E1091,$G$3:$G1091,$G1091)&lt;=1),$P1091,"")</f>
        <v/>
      </c>
    </row>
    <row r="1092" spans="1:21">
      <c r="A1092" s="991" t="str">
        <f ca="1">IFERROR(IF(COUNTIF($A$3:A1091,A1091)&lt; INDEX(TinhGia!$BH$10:$BH$81,MATCH($A1091,TinhGia!$B$10:$B$81,0)),$A1091,INDEX(TinhGia!$B$10:$B$81,MATCH($A1091,TinhGia!$B$10:$B$81,0)+1)),"")</f>
        <v/>
      </c>
      <c r="B1092" s="525" t="str">
        <f ca="1">IF(OR(A1092="",A1092=0),"",IF(COUNTIF($A$2:A1092,$A1092)=1,ROW(MauKoXoa!$C$108),$B1091+1))</f>
        <v/>
      </c>
      <c r="C1092" s="992" t="str">
        <f t="shared" ca="1" si="165"/>
        <v/>
      </c>
      <c r="D1092" s="993" t="str">
        <f t="shared" ca="1" si="166"/>
        <v/>
      </c>
      <c r="E1092" s="993" t="str">
        <f t="shared" ca="1" si="167"/>
        <v/>
      </c>
      <c r="F1092" s="992" t="str">
        <f t="shared" ca="1" si="181"/>
        <v/>
      </c>
      <c r="G1092" s="994">
        <f t="shared" ca="1" si="168"/>
        <v>0</v>
      </c>
      <c r="H1092" s="913">
        <f t="shared" ca="1" si="169"/>
        <v>0</v>
      </c>
      <c r="I1092" s="913">
        <f t="shared" ca="1" si="170"/>
        <v>0</v>
      </c>
      <c r="J1092" s="995">
        <f t="shared" ref="J1092:J1155" ca="1" si="182">IFERROR(INDIRECT("'" &amp; $A1092 &amp; "'!" &amp; "J" &amp; $B1092),0)</f>
        <v>0</v>
      </c>
      <c r="K1092" s="913">
        <f t="shared" ca="1" si="171"/>
        <v>0</v>
      </c>
      <c r="L1092" s="995">
        <f t="shared" ref="L1092:L1155" ca="1" si="183">+ IFERROR(INDIRECT("'" &amp; $A1092 &amp; "'!" &amp; "K" &amp; $B1092),0)</f>
        <v>0</v>
      </c>
      <c r="M1092" s="913">
        <f t="shared" ca="1" si="172"/>
        <v>0</v>
      </c>
      <c r="N1092" s="996">
        <f t="shared" ca="1" si="173"/>
        <v>0</v>
      </c>
      <c r="O1092" s="997">
        <f t="shared" ca="1" si="174"/>
        <v>0</v>
      </c>
      <c r="P1092" s="1015" t="str">
        <f ca="1">IF($C1092="","",INDEX(NVLSX!$N$2:$N$6941,MATCH($C1092,NVLSX!$E$2:$E$6941,0)))</f>
        <v/>
      </c>
      <c r="Q1092" s="1016" t="str">
        <f ca="1">IF($R1092="","",IF(XKNVLSX!$X$1="",IF($P1092=$V$7,$P1092, IF(COUNTIFS($C$2:$C1091,$C1092,$E$2:$E1091,$E1092)&gt;=1,"",$P1092)),     IF(AND(IFERROR(SEARCH($R1092,XKNVLSX!$X$1,1),0)&gt;=1,$P1092=$V$7),$P1092, IF(OR($R1092&lt;&gt;IF(IFERROR(SEARCH($R1092,XKNVLSX!$X$1,1),0)&gt;=1,$R1092,XKNVLSX!$X$1),COUNTIFS($C$2:$C1091,$C1092,$E$2:$E1091,$E1092,$Q$2:$Q1091,$P1092)&gt;=1),"",$P1092))))</f>
        <v/>
      </c>
      <c r="R1092" s="1017" t="str">
        <f ca="1">IF($A1092="","",IFERROR(INDEX(TinhGia!$BF$10:$BF$81,MATCH($A1092,TinhGia!$B$10:$B$81,0)),""))</f>
        <v/>
      </c>
      <c r="S1092" s="1012" t="str">
        <f ca="1">IF($A1092="","",IF(OR(IFERROR(SEARCH($R1092,XKNVLSX!$X$1,1),0)&gt;=1,XKNVLSX!$X$1=""),$S$2,""))</f>
        <v/>
      </c>
      <c r="T1092" s="1018" t="str">
        <f ca="1">IF($C1092="","", IF(OR($P1092=$V$1,$P1092=$V$7,COUNTIFS($C$3:$C1092,$C1092,$E$3:$E1092,$E1092)&lt;=1),$P1092,""    ))</f>
        <v/>
      </c>
      <c r="U1092" s="1019" t="str">
        <f ca="1">IF(AND($P1092=$V$2,COUNTIFS($C$3:$C1092,$C1092,$E$3:$E1092,$E1092,$G$3:$G1092,$G1092)&lt;=1),$P1092,"")</f>
        <v/>
      </c>
    </row>
    <row r="1093" spans="1:21">
      <c r="A1093" s="991" t="str">
        <f ca="1">IFERROR(IF(COUNTIF($A$3:A1092,A1092)&lt; INDEX(TinhGia!$BH$10:$BH$81,MATCH($A1092,TinhGia!$B$10:$B$81,0)),$A1092,INDEX(TinhGia!$B$10:$B$81,MATCH($A1092,TinhGia!$B$10:$B$81,0)+1)),"")</f>
        <v/>
      </c>
      <c r="B1093" s="525" t="str">
        <f ca="1">IF(OR(A1093="",A1093=0),"",IF(COUNTIF($A$2:A1093,$A1093)=1,ROW(MauKoXoa!$C$108),$B1092+1))</f>
        <v/>
      </c>
      <c r="C1093" s="992" t="str">
        <f t="shared" ca="1" si="165"/>
        <v/>
      </c>
      <c r="D1093" s="993" t="str">
        <f t="shared" ca="1" si="166"/>
        <v/>
      </c>
      <c r="E1093" s="993" t="str">
        <f t="shared" ca="1" si="167"/>
        <v/>
      </c>
      <c r="F1093" s="992" t="str">
        <f t="shared" ca="1" si="181"/>
        <v/>
      </c>
      <c r="G1093" s="994">
        <f t="shared" ca="1" si="168"/>
        <v>0</v>
      </c>
      <c r="H1093" s="913">
        <f t="shared" ca="1" si="169"/>
        <v>0</v>
      </c>
      <c r="I1093" s="913">
        <f t="shared" ca="1" si="170"/>
        <v>0</v>
      </c>
      <c r="J1093" s="995">
        <f t="shared" ca="1" si="182"/>
        <v>0</v>
      </c>
      <c r="K1093" s="913">
        <f t="shared" ca="1" si="171"/>
        <v>0</v>
      </c>
      <c r="L1093" s="995">
        <f t="shared" ca="1" si="183"/>
        <v>0</v>
      </c>
      <c r="M1093" s="913">
        <f t="shared" ca="1" si="172"/>
        <v>0</v>
      </c>
      <c r="N1093" s="996">
        <f t="shared" ca="1" si="173"/>
        <v>0</v>
      </c>
      <c r="O1093" s="997">
        <f t="shared" ca="1" si="174"/>
        <v>0</v>
      </c>
      <c r="P1093" s="1015" t="str">
        <f ca="1">IF($C1093="","",INDEX(NVLSX!$N$2:$N$6941,MATCH($C1093,NVLSX!$E$2:$E$6941,0)))</f>
        <v/>
      </c>
      <c r="Q1093" s="1016" t="str">
        <f ca="1">IF($R1093="","",IF(XKNVLSX!$X$1="",IF($P1093=$V$7,$P1093, IF(COUNTIFS($C$2:$C1092,$C1093,$E$2:$E1092,$E1093)&gt;=1,"",$P1093)),     IF(AND(IFERROR(SEARCH($R1093,XKNVLSX!$X$1,1),0)&gt;=1,$P1093=$V$7),$P1093, IF(OR($R1093&lt;&gt;IF(IFERROR(SEARCH($R1093,XKNVLSX!$X$1,1),0)&gt;=1,$R1093,XKNVLSX!$X$1),COUNTIFS($C$2:$C1092,$C1093,$E$2:$E1092,$E1093,$Q$2:$Q1092,$P1093)&gt;=1),"",$P1093))))</f>
        <v/>
      </c>
      <c r="R1093" s="1017" t="str">
        <f ca="1">IF($A1093="","",IFERROR(INDEX(TinhGia!$BF$10:$BF$81,MATCH($A1093,TinhGia!$B$10:$B$81,0)),""))</f>
        <v/>
      </c>
      <c r="S1093" s="1012" t="str">
        <f ca="1">IF($A1093="","",IF(OR(IFERROR(SEARCH($R1093,XKNVLSX!$X$1,1),0)&gt;=1,XKNVLSX!$X$1=""),$S$2,""))</f>
        <v/>
      </c>
      <c r="T1093" s="1018" t="str">
        <f ca="1">IF($C1093="","", IF(OR($P1093=$V$1,$P1093=$V$7,COUNTIFS($C$3:$C1093,$C1093,$E$3:$E1093,$E1093)&lt;=1),$P1093,""    ))</f>
        <v/>
      </c>
      <c r="U1093" s="1019" t="str">
        <f ca="1">IF(AND($P1093=$V$2,COUNTIFS($C$3:$C1093,$C1093,$E$3:$E1093,$E1093,$G$3:$G1093,$G1093)&lt;=1),$P1093,"")</f>
        <v/>
      </c>
    </row>
    <row r="1094" spans="1:21">
      <c r="A1094" s="991" t="str">
        <f ca="1">IFERROR(IF(COUNTIF($A$3:A1093,A1093)&lt; INDEX(TinhGia!$BH$10:$BH$81,MATCH($A1093,TinhGia!$B$10:$B$81,0)),$A1093,INDEX(TinhGia!$B$10:$B$81,MATCH($A1093,TinhGia!$B$10:$B$81,0)+1)),"")</f>
        <v/>
      </c>
      <c r="B1094" s="525" t="str">
        <f ca="1">IF(OR(A1094="",A1094=0),"",IF(COUNTIF($A$2:A1094,$A1094)=1,ROW(MauKoXoa!$C$108),$B1093+1))</f>
        <v/>
      </c>
      <c r="C1094" s="992" t="str">
        <f t="shared" ca="1" si="165"/>
        <v/>
      </c>
      <c r="D1094" s="993" t="str">
        <f t="shared" ca="1" si="166"/>
        <v/>
      </c>
      <c r="E1094" s="993" t="str">
        <f t="shared" ca="1" si="167"/>
        <v/>
      </c>
      <c r="F1094" s="992" t="str">
        <f t="shared" ca="1" si="181"/>
        <v/>
      </c>
      <c r="G1094" s="994">
        <f t="shared" ca="1" si="168"/>
        <v>0</v>
      </c>
      <c r="H1094" s="913">
        <f t="shared" ca="1" si="169"/>
        <v>0</v>
      </c>
      <c r="I1094" s="913">
        <f t="shared" ca="1" si="170"/>
        <v>0</v>
      </c>
      <c r="J1094" s="995">
        <f t="shared" ca="1" si="182"/>
        <v>0</v>
      </c>
      <c r="K1094" s="913">
        <f t="shared" ca="1" si="171"/>
        <v>0</v>
      </c>
      <c r="L1094" s="995">
        <f t="shared" ca="1" si="183"/>
        <v>0</v>
      </c>
      <c r="M1094" s="913">
        <f t="shared" ca="1" si="172"/>
        <v>0</v>
      </c>
      <c r="N1094" s="996">
        <f t="shared" ca="1" si="173"/>
        <v>0</v>
      </c>
      <c r="O1094" s="997">
        <f t="shared" ca="1" si="174"/>
        <v>0</v>
      </c>
      <c r="P1094" s="1015" t="str">
        <f ca="1">IF($C1094="","",INDEX(NVLSX!$N$2:$N$6941,MATCH($C1094,NVLSX!$E$2:$E$6941,0)))</f>
        <v/>
      </c>
      <c r="Q1094" s="1016" t="str">
        <f ca="1">IF($R1094="","",IF(XKNVLSX!$X$1="",IF($P1094=$V$7,$P1094, IF(COUNTIFS($C$2:$C1093,$C1094,$E$2:$E1093,$E1094)&gt;=1,"",$P1094)),     IF(AND(IFERROR(SEARCH($R1094,XKNVLSX!$X$1,1),0)&gt;=1,$P1094=$V$7),$P1094, IF(OR($R1094&lt;&gt;IF(IFERROR(SEARCH($R1094,XKNVLSX!$X$1,1),0)&gt;=1,$R1094,XKNVLSX!$X$1),COUNTIFS($C$2:$C1093,$C1094,$E$2:$E1093,$E1094,$Q$2:$Q1093,$P1094)&gt;=1),"",$P1094))))</f>
        <v/>
      </c>
      <c r="R1094" s="1017" t="str">
        <f ca="1">IF($A1094="","",IFERROR(INDEX(TinhGia!$BF$10:$BF$81,MATCH($A1094,TinhGia!$B$10:$B$81,0)),""))</f>
        <v/>
      </c>
      <c r="S1094" s="1012" t="str">
        <f ca="1">IF($A1094="","",IF(OR(IFERROR(SEARCH($R1094,XKNVLSX!$X$1,1),0)&gt;=1,XKNVLSX!$X$1=""),$S$2,""))</f>
        <v/>
      </c>
      <c r="T1094" s="1018" t="str">
        <f ca="1">IF($C1094="","", IF(OR($P1094=$V$1,$P1094=$V$7,COUNTIFS($C$3:$C1094,$C1094,$E$3:$E1094,$E1094)&lt;=1),$P1094,""    ))</f>
        <v/>
      </c>
      <c r="U1094" s="1019" t="str">
        <f ca="1">IF(AND($P1094=$V$2,COUNTIFS($C$3:$C1094,$C1094,$E$3:$E1094,$E1094,$G$3:$G1094,$G1094)&lt;=1),$P1094,"")</f>
        <v/>
      </c>
    </row>
    <row r="1095" spans="1:21">
      <c r="A1095" s="991" t="str">
        <f ca="1">IFERROR(IF(COUNTIF($A$3:A1094,A1094)&lt; INDEX(TinhGia!$BH$10:$BH$81,MATCH($A1094,TinhGia!$B$10:$B$81,0)),$A1094,INDEX(TinhGia!$B$10:$B$81,MATCH($A1094,TinhGia!$B$10:$B$81,0)+1)),"")</f>
        <v/>
      </c>
      <c r="B1095" s="525" t="str">
        <f ca="1">IF(OR(A1095="",A1095=0),"",IF(COUNTIF($A$2:A1095,$A1095)=1,ROW(MauKoXoa!$C$108),$B1094+1))</f>
        <v/>
      </c>
      <c r="C1095" s="992" t="str">
        <f t="shared" ca="1" si="165"/>
        <v/>
      </c>
      <c r="D1095" s="993" t="str">
        <f t="shared" ca="1" si="166"/>
        <v/>
      </c>
      <c r="E1095" s="993" t="str">
        <f t="shared" ca="1" si="167"/>
        <v/>
      </c>
      <c r="F1095" s="992" t="str">
        <f t="shared" ca="1" si="181"/>
        <v/>
      </c>
      <c r="G1095" s="994">
        <f t="shared" ca="1" si="168"/>
        <v>0</v>
      </c>
      <c r="H1095" s="913">
        <f t="shared" ca="1" si="169"/>
        <v>0</v>
      </c>
      <c r="I1095" s="913">
        <f t="shared" ca="1" si="170"/>
        <v>0</v>
      </c>
      <c r="J1095" s="995">
        <f t="shared" ca="1" si="182"/>
        <v>0</v>
      </c>
      <c r="K1095" s="913">
        <f t="shared" ca="1" si="171"/>
        <v>0</v>
      </c>
      <c r="L1095" s="995">
        <f t="shared" ca="1" si="183"/>
        <v>0</v>
      </c>
      <c r="M1095" s="913">
        <f t="shared" ca="1" si="172"/>
        <v>0</v>
      </c>
      <c r="N1095" s="996">
        <f t="shared" ca="1" si="173"/>
        <v>0</v>
      </c>
      <c r="O1095" s="997">
        <f t="shared" ca="1" si="174"/>
        <v>0</v>
      </c>
      <c r="P1095" s="1015" t="str">
        <f ca="1">IF($C1095="","",INDEX(NVLSX!$N$2:$N$6941,MATCH($C1095,NVLSX!$E$2:$E$6941,0)))</f>
        <v/>
      </c>
      <c r="Q1095" s="1016" t="str">
        <f ca="1">IF($R1095="","",IF(XKNVLSX!$X$1="",IF($P1095=$V$7,$P1095, IF(COUNTIFS($C$2:$C1094,$C1095,$E$2:$E1094,$E1095)&gt;=1,"",$P1095)),     IF(AND(IFERROR(SEARCH($R1095,XKNVLSX!$X$1,1),0)&gt;=1,$P1095=$V$7),$P1095, IF(OR($R1095&lt;&gt;IF(IFERROR(SEARCH($R1095,XKNVLSX!$X$1,1),0)&gt;=1,$R1095,XKNVLSX!$X$1),COUNTIFS($C$2:$C1094,$C1095,$E$2:$E1094,$E1095,$Q$2:$Q1094,$P1095)&gt;=1),"",$P1095))))</f>
        <v/>
      </c>
      <c r="R1095" s="1017" t="str">
        <f ca="1">IF($A1095="","",IFERROR(INDEX(TinhGia!$BF$10:$BF$81,MATCH($A1095,TinhGia!$B$10:$B$81,0)),""))</f>
        <v/>
      </c>
      <c r="S1095" s="1012" t="str">
        <f ca="1">IF($A1095="","",IF(OR(IFERROR(SEARCH($R1095,XKNVLSX!$X$1,1),0)&gt;=1,XKNVLSX!$X$1=""),$S$2,""))</f>
        <v/>
      </c>
      <c r="T1095" s="1018" t="str">
        <f ca="1">IF($C1095="","", IF(OR($P1095=$V$1,$P1095=$V$7,COUNTIFS($C$3:$C1095,$C1095,$E$3:$E1095,$E1095)&lt;=1),$P1095,""    ))</f>
        <v/>
      </c>
      <c r="U1095" s="1019" t="str">
        <f ca="1">IF(AND($P1095=$V$2,COUNTIFS($C$3:$C1095,$C1095,$E$3:$E1095,$E1095,$G$3:$G1095,$G1095)&lt;=1),$P1095,"")</f>
        <v/>
      </c>
    </row>
    <row r="1096" spans="1:21">
      <c r="A1096" s="991" t="str">
        <f ca="1">IFERROR(IF(COUNTIF($A$3:A1095,A1095)&lt; INDEX(TinhGia!$BH$10:$BH$81,MATCH($A1095,TinhGia!$B$10:$B$81,0)),$A1095,INDEX(TinhGia!$B$10:$B$81,MATCH($A1095,TinhGia!$B$10:$B$81,0)+1)),"")</f>
        <v/>
      </c>
      <c r="B1096" s="525" t="str">
        <f ca="1">IF(OR(A1096="",A1096=0),"",IF(COUNTIF($A$2:A1096,$A1096)=1,ROW(MauKoXoa!$C$108),$B1095+1))</f>
        <v/>
      </c>
      <c r="C1096" s="992" t="str">
        <f t="shared" ca="1" si="165"/>
        <v/>
      </c>
      <c r="D1096" s="993" t="str">
        <f t="shared" ca="1" si="166"/>
        <v/>
      </c>
      <c r="E1096" s="993" t="str">
        <f t="shared" ca="1" si="167"/>
        <v/>
      </c>
      <c r="F1096" s="992" t="str">
        <f t="shared" ca="1" si="181"/>
        <v/>
      </c>
      <c r="G1096" s="994">
        <f t="shared" ca="1" si="168"/>
        <v>0</v>
      </c>
      <c r="H1096" s="913">
        <f t="shared" ca="1" si="169"/>
        <v>0</v>
      </c>
      <c r="I1096" s="913">
        <f t="shared" ca="1" si="170"/>
        <v>0</v>
      </c>
      <c r="J1096" s="995">
        <f t="shared" ca="1" si="182"/>
        <v>0</v>
      </c>
      <c r="K1096" s="913">
        <f t="shared" ca="1" si="171"/>
        <v>0</v>
      </c>
      <c r="L1096" s="995">
        <f t="shared" ca="1" si="183"/>
        <v>0</v>
      </c>
      <c r="M1096" s="913">
        <f t="shared" ca="1" si="172"/>
        <v>0</v>
      </c>
      <c r="N1096" s="996">
        <f t="shared" ca="1" si="173"/>
        <v>0</v>
      </c>
      <c r="O1096" s="997">
        <f t="shared" ca="1" si="174"/>
        <v>0</v>
      </c>
      <c r="P1096" s="1015" t="str">
        <f ca="1">IF($C1096="","",INDEX(NVLSX!$N$2:$N$6941,MATCH($C1096,NVLSX!$E$2:$E$6941,0)))</f>
        <v/>
      </c>
      <c r="Q1096" s="1016" t="str">
        <f ca="1">IF($R1096="","",IF(XKNVLSX!$X$1="",IF($P1096=$V$7,$P1096, IF(COUNTIFS($C$2:$C1095,$C1096,$E$2:$E1095,$E1096)&gt;=1,"",$P1096)),     IF(AND(IFERROR(SEARCH($R1096,XKNVLSX!$X$1,1),0)&gt;=1,$P1096=$V$7),$P1096, IF(OR($R1096&lt;&gt;IF(IFERROR(SEARCH($R1096,XKNVLSX!$X$1,1),0)&gt;=1,$R1096,XKNVLSX!$X$1),COUNTIFS($C$2:$C1095,$C1096,$E$2:$E1095,$E1096,$Q$2:$Q1095,$P1096)&gt;=1),"",$P1096))))</f>
        <v/>
      </c>
      <c r="R1096" s="1017" t="str">
        <f ca="1">IF($A1096="","",IFERROR(INDEX(TinhGia!$BF$10:$BF$81,MATCH($A1096,TinhGia!$B$10:$B$81,0)),""))</f>
        <v/>
      </c>
      <c r="S1096" s="1012" t="str">
        <f ca="1">IF($A1096="","",IF(OR(IFERROR(SEARCH($R1096,XKNVLSX!$X$1,1),0)&gt;=1,XKNVLSX!$X$1=""),$S$2,""))</f>
        <v/>
      </c>
      <c r="T1096" s="1018" t="str">
        <f ca="1">IF($C1096="","", IF(OR($P1096=$V$1,$P1096=$V$7,COUNTIFS($C$3:$C1096,$C1096,$E$3:$E1096,$E1096)&lt;=1),$P1096,""    ))</f>
        <v/>
      </c>
      <c r="U1096" s="1019" t="str">
        <f ca="1">IF(AND($P1096=$V$2,COUNTIFS($C$3:$C1096,$C1096,$E$3:$E1096,$E1096,$G$3:$G1096,$G1096)&lt;=1),$P1096,"")</f>
        <v/>
      </c>
    </row>
    <row r="1097" spans="1:21">
      <c r="A1097" s="991" t="str">
        <f ca="1">IFERROR(IF(COUNTIF($A$3:A1096,A1096)&lt; INDEX(TinhGia!$BH$10:$BH$81,MATCH($A1096,TinhGia!$B$10:$B$81,0)),$A1096,INDEX(TinhGia!$B$10:$B$81,MATCH($A1096,TinhGia!$B$10:$B$81,0)+1)),"")</f>
        <v/>
      </c>
      <c r="B1097" s="525" t="str">
        <f ca="1">IF(OR(A1097="",A1097=0),"",IF(COUNTIF($A$2:A1097,$A1097)=1,ROW(MauKoXoa!$C$108),$B1096+1))</f>
        <v/>
      </c>
      <c r="C1097" s="992" t="str">
        <f t="shared" ca="1" si="165"/>
        <v/>
      </c>
      <c r="D1097" s="993" t="str">
        <f t="shared" ca="1" si="166"/>
        <v/>
      </c>
      <c r="E1097" s="993" t="str">
        <f t="shared" ca="1" si="167"/>
        <v/>
      </c>
      <c r="F1097" s="992" t="str">
        <f t="shared" ca="1" si="181"/>
        <v/>
      </c>
      <c r="G1097" s="994">
        <f t="shared" ca="1" si="168"/>
        <v>0</v>
      </c>
      <c r="H1097" s="913">
        <f t="shared" ca="1" si="169"/>
        <v>0</v>
      </c>
      <c r="I1097" s="913">
        <f t="shared" ca="1" si="170"/>
        <v>0</v>
      </c>
      <c r="J1097" s="995">
        <f t="shared" ca="1" si="182"/>
        <v>0</v>
      </c>
      <c r="K1097" s="913">
        <f t="shared" ca="1" si="171"/>
        <v>0</v>
      </c>
      <c r="L1097" s="995">
        <f t="shared" ca="1" si="183"/>
        <v>0</v>
      </c>
      <c r="M1097" s="913">
        <f t="shared" ca="1" si="172"/>
        <v>0</v>
      </c>
      <c r="N1097" s="996">
        <f t="shared" ca="1" si="173"/>
        <v>0</v>
      </c>
      <c r="O1097" s="997">
        <f t="shared" ca="1" si="174"/>
        <v>0</v>
      </c>
      <c r="P1097" s="1015" t="str">
        <f ca="1">IF($C1097="","",INDEX(NVLSX!$N$2:$N$6941,MATCH($C1097,NVLSX!$E$2:$E$6941,0)))</f>
        <v/>
      </c>
      <c r="Q1097" s="1016" t="str">
        <f ca="1">IF($R1097="","",IF(XKNVLSX!$X$1="",IF($P1097=$V$7,$P1097, IF(COUNTIFS($C$2:$C1096,$C1097,$E$2:$E1096,$E1097)&gt;=1,"",$P1097)),     IF(AND(IFERROR(SEARCH($R1097,XKNVLSX!$X$1,1),0)&gt;=1,$P1097=$V$7),$P1097, IF(OR($R1097&lt;&gt;IF(IFERROR(SEARCH($R1097,XKNVLSX!$X$1,1),0)&gt;=1,$R1097,XKNVLSX!$X$1),COUNTIFS($C$2:$C1096,$C1097,$E$2:$E1096,$E1097,$Q$2:$Q1096,$P1097)&gt;=1),"",$P1097))))</f>
        <v/>
      </c>
      <c r="R1097" s="1017" t="str">
        <f ca="1">IF($A1097="","",IFERROR(INDEX(TinhGia!$BF$10:$BF$81,MATCH($A1097,TinhGia!$B$10:$B$81,0)),""))</f>
        <v/>
      </c>
      <c r="S1097" s="1012" t="str">
        <f ca="1">IF($A1097="","",IF(OR(IFERROR(SEARCH($R1097,XKNVLSX!$X$1,1),0)&gt;=1,XKNVLSX!$X$1=""),$S$2,""))</f>
        <v/>
      </c>
      <c r="T1097" s="1018" t="str">
        <f ca="1">IF($C1097="","", IF(OR($P1097=$V$1,$P1097=$V$7,COUNTIFS($C$3:$C1097,$C1097,$E$3:$E1097,$E1097)&lt;=1),$P1097,""    ))</f>
        <v/>
      </c>
      <c r="U1097" s="1019" t="str">
        <f ca="1">IF(AND($P1097=$V$2,COUNTIFS($C$3:$C1097,$C1097,$E$3:$E1097,$E1097,$G$3:$G1097,$G1097)&lt;=1),$P1097,"")</f>
        <v/>
      </c>
    </row>
    <row r="1098" spans="1:21">
      <c r="A1098" s="991" t="str">
        <f ca="1">IFERROR(IF(COUNTIF($A$3:A1097,A1097)&lt; INDEX(TinhGia!$BH$10:$BH$81,MATCH($A1097,TinhGia!$B$10:$B$81,0)),$A1097,INDEX(TinhGia!$B$10:$B$81,MATCH($A1097,TinhGia!$B$10:$B$81,0)+1)),"")</f>
        <v/>
      </c>
      <c r="B1098" s="525" t="str">
        <f ca="1">IF(OR(A1098="",A1098=0),"",IF(COUNTIF($A$2:A1098,$A1098)=1,ROW(MauKoXoa!$C$108),$B1097+1))</f>
        <v/>
      </c>
      <c r="C1098" s="992" t="str">
        <f t="shared" ca="1" si="165"/>
        <v/>
      </c>
      <c r="D1098" s="993" t="str">
        <f t="shared" ca="1" si="166"/>
        <v/>
      </c>
      <c r="E1098" s="993" t="str">
        <f t="shared" ca="1" si="167"/>
        <v/>
      </c>
      <c r="F1098" s="992" t="str">
        <f t="shared" ca="1" si="181"/>
        <v/>
      </c>
      <c r="G1098" s="994">
        <f t="shared" ca="1" si="168"/>
        <v>0</v>
      </c>
      <c r="H1098" s="913">
        <f t="shared" ca="1" si="169"/>
        <v>0</v>
      </c>
      <c r="I1098" s="913">
        <f t="shared" ca="1" si="170"/>
        <v>0</v>
      </c>
      <c r="J1098" s="995">
        <f t="shared" ca="1" si="182"/>
        <v>0</v>
      </c>
      <c r="K1098" s="913">
        <f t="shared" ca="1" si="171"/>
        <v>0</v>
      </c>
      <c r="L1098" s="995">
        <f t="shared" ca="1" si="183"/>
        <v>0</v>
      </c>
      <c r="M1098" s="913">
        <f t="shared" ca="1" si="172"/>
        <v>0</v>
      </c>
      <c r="N1098" s="996">
        <f t="shared" ca="1" si="173"/>
        <v>0</v>
      </c>
      <c r="O1098" s="997">
        <f t="shared" ca="1" si="174"/>
        <v>0</v>
      </c>
      <c r="P1098" s="1015" t="str">
        <f ca="1">IF($C1098="","",INDEX(NVLSX!$N$2:$N$6941,MATCH($C1098,NVLSX!$E$2:$E$6941,0)))</f>
        <v/>
      </c>
      <c r="Q1098" s="1016" t="str">
        <f ca="1">IF($R1098="","",IF(XKNVLSX!$X$1="",IF($P1098=$V$7,$P1098, IF(COUNTIFS($C$2:$C1097,$C1098,$E$2:$E1097,$E1098)&gt;=1,"",$P1098)),     IF(AND(IFERROR(SEARCH($R1098,XKNVLSX!$X$1,1),0)&gt;=1,$P1098=$V$7),$P1098, IF(OR($R1098&lt;&gt;IF(IFERROR(SEARCH($R1098,XKNVLSX!$X$1,1),0)&gt;=1,$R1098,XKNVLSX!$X$1),COUNTIFS($C$2:$C1097,$C1098,$E$2:$E1097,$E1098,$Q$2:$Q1097,$P1098)&gt;=1),"",$P1098))))</f>
        <v/>
      </c>
      <c r="R1098" s="1017" t="str">
        <f ca="1">IF($A1098="","",IFERROR(INDEX(TinhGia!$BF$10:$BF$81,MATCH($A1098,TinhGia!$B$10:$B$81,0)),""))</f>
        <v/>
      </c>
      <c r="S1098" s="1012" t="str">
        <f ca="1">IF($A1098="","",IF(OR(IFERROR(SEARCH($R1098,XKNVLSX!$X$1,1),0)&gt;=1,XKNVLSX!$X$1=""),$S$2,""))</f>
        <v/>
      </c>
      <c r="T1098" s="1018" t="str">
        <f ca="1">IF($C1098="","", IF(OR($P1098=$V$1,$P1098=$V$7,COUNTIFS($C$3:$C1098,$C1098,$E$3:$E1098,$E1098)&lt;=1),$P1098,""    ))</f>
        <v/>
      </c>
      <c r="U1098" s="1019" t="str">
        <f ca="1">IF(AND($P1098=$V$2,COUNTIFS($C$3:$C1098,$C1098,$E$3:$E1098,$E1098,$G$3:$G1098,$G1098)&lt;=1),$P1098,"")</f>
        <v/>
      </c>
    </row>
    <row r="1099" spans="1:21">
      <c r="A1099" s="991" t="str">
        <f ca="1">IFERROR(IF(COUNTIF($A$3:A1098,A1098)&lt; INDEX(TinhGia!$BH$10:$BH$81,MATCH($A1098,TinhGia!$B$10:$B$81,0)),$A1098,INDEX(TinhGia!$B$10:$B$81,MATCH($A1098,TinhGia!$B$10:$B$81,0)+1)),"")</f>
        <v/>
      </c>
      <c r="B1099" s="525" t="str">
        <f ca="1">IF(OR(A1099="",A1099=0),"",IF(COUNTIF($A$2:A1099,$A1099)=1,ROW(MauKoXoa!$C$108),$B1098+1))</f>
        <v/>
      </c>
      <c r="C1099" s="992" t="str">
        <f t="shared" ca="1" si="165"/>
        <v/>
      </c>
      <c r="D1099" s="993" t="str">
        <f t="shared" ca="1" si="166"/>
        <v/>
      </c>
      <c r="E1099" s="993" t="str">
        <f t="shared" ca="1" si="167"/>
        <v/>
      </c>
      <c r="F1099" s="992" t="str">
        <f t="shared" ca="1" si="181"/>
        <v/>
      </c>
      <c r="G1099" s="994">
        <f t="shared" ca="1" si="168"/>
        <v>0</v>
      </c>
      <c r="H1099" s="913">
        <f t="shared" ca="1" si="169"/>
        <v>0</v>
      </c>
      <c r="I1099" s="913">
        <f t="shared" ca="1" si="170"/>
        <v>0</v>
      </c>
      <c r="J1099" s="995">
        <f t="shared" ca="1" si="182"/>
        <v>0</v>
      </c>
      <c r="K1099" s="913">
        <f t="shared" ca="1" si="171"/>
        <v>0</v>
      </c>
      <c r="L1099" s="995">
        <f t="shared" ca="1" si="183"/>
        <v>0</v>
      </c>
      <c r="M1099" s="913">
        <f t="shared" ca="1" si="172"/>
        <v>0</v>
      </c>
      <c r="N1099" s="996">
        <f t="shared" ca="1" si="173"/>
        <v>0</v>
      </c>
      <c r="O1099" s="997">
        <f t="shared" ca="1" si="174"/>
        <v>0</v>
      </c>
      <c r="P1099" s="1015" t="str">
        <f ca="1">IF($C1099="","",INDEX(NVLSX!$N$2:$N$6941,MATCH($C1099,NVLSX!$E$2:$E$6941,0)))</f>
        <v/>
      </c>
      <c r="Q1099" s="1016" t="str">
        <f ca="1">IF($R1099="","",IF(XKNVLSX!$X$1="",IF($P1099=$V$7,$P1099, IF(COUNTIFS($C$2:$C1098,$C1099,$E$2:$E1098,$E1099)&gt;=1,"",$P1099)),     IF(AND(IFERROR(SEARCH($R1099,XKNVLSX!$X$1,1),0)&gt;=1,$P1099=$V$7),$P1099, IF(OR($R1099&lt;&gt;IF(IFERROR(SEARCH($R1099,XKNVLSX!$X$1,1),0)&gt;=1,$R1099,XKNVLSX!$X$1),COUNTIFS($C$2:$C1098,$C1099,$E$2:$E1098,$E1099,$Q$2:$Q1098,$P1099)&gt;=1),"",$P1099))))</f>
        <v/>
      </c>
      <c r="R1099" s="1017" t="str">
        <f ca="1">IF($A1099="","",IFERROR(INDEX(TinhGia!$BF$10:$BF$81,MATCH($A1099,TinhGia!$B$10:$B$81,0)),""))</f>
        <v/>
      </c>
      <c r="S1099" s="1012" t="str">
        <f ca="1">IF($A1099="","",IF(OR(IFERROR(SEARCH($R1099,XKNVLSX!$X$1,1),0)&gt;=1,XKNVLSX!$X$1=""),$S$2,""))</f>
        <v/>
      </c>
      <c r="T1099" s="1018" t="str">
        <f ca="1">IF($C1099="","", IF(OR($P1099=$V$1,$P1099=$V$7,COUNTIFS($C$3:$C1099,$C1099,$E$3:$E1099,$E1099)&lt;=1),$P1099,""    ))</f>
        <v/>
      </c>
      <c r="U1099" s="1019" t="str">
        <f ca="1">IF(AND($P1099=$V$2,COUNTIFS($C$3:$C1099,$C1099,$E$3:$E1099,$E1099,$G$3:$G1099,$G1099)&lt;=1),$P1099,"")</f>
        <v/>
      </c>
    </row>
    <row r="1100" spans="1:21">
      <c r="A1100" s="991" t="str">
        <f ca="1">IFERROR(IF(COUNTIF($A$3:A1099,A1099)&lt; INDEX(TinhGia!$BH$10:$BH$81,MATCH($A1099,TinhGia!$B$10:$B$81,0)),$A1099,INDEX(TinhGia!$B$10:$B$81,MATCH($A1099,TinhGia!$B$10:$B$81,0)+1)),"")</f>
        <v/>
      </c>
      <c r="B1100" s="525" t="str">
        <f ca="1">IF(OR(A1100="",A1100=0),"",IF(COUNTIF($A$2:A1100,$A1100)=1,ROW(MauKoXoa!$C$108),$B1099+1))</f>
        <v/>
      </c>
      <c r="C1100" s="992" t="str">
        <f t="shared" ca="1" si="165"/>
        <v/>
      </c>
      <c r="D1100" s="993" t="str">
        <f t="shared" ca="1" si="166"/>
        <v/>
      </c>
      <c r="E1100" s="993" t="str">
        <f t="shared" ca="1" si="167"/>
        <v/>
      </c>
      <c r="F1100" s="992" t="str">
        <f t="shared" ca="1" si="181"/>
        <v/>
      </c>
      <c r="G1100" s="994">
        <f t="shared" ca="1" si="168"/>
        <v>0</v>
      </c>
      <c r="H1100" s="913">
        <f t="shared" ca="1" si="169"/>
        <v>0</v>
      </c>
      <c r="I1100" s="913">
        <f t="shared" ca="1" si="170"/>
        <v>0</v>
      </c>
      <c r="J1100" s="995">
        <f t="shared" ca="1" si="182"/>
        <v>0</v>
      </c>
      <c r="K1100" s="913">
        <f t="shared" ca="1" si="171"/>
        <v>0</v>
      </c>
      <c r="L1100" s="995">
        <f t="shared" ca="1" si="183"/>
        <v>0</v>
      </c>
      <c r="M1100" s="913">
        <f t="shared" ca="1" si="172"/>
        <v>0</v>
      </c>
      <c r="N1100" s="996">
        <f t="shared" ca="1" si="173"/>
        <v>0</v>
      </c>
      <c r="O1100" s="997">
        <f t="shared" ca="1" si="174"/>
        <v>0</v>
      </c>
      <c r="P1100" s="1015" t="str">
        <f ca="1">IF($C1100="","",INDEX(NVLSX!$N$2:$N$6941,MATCH($C1100,NVLSX!$E$2:$E$6941,0)))</f>
        <v/>
      </c>
      <c r="Q1100" s="1016" t="str">
        <f ca="1">IF($R1100="","",IF(XKNVLSX!$X$1="",IF($P1100=$V$7,$P1100, IF(COUNTIFS($C$2:$C1099,$C1100,$E$2:$E1099,$E1100)&gt;=1,"",$P1100)),     IF(AND(IFERROR(SEARCH($R1100,XKNVLSX!$X$1,1),0)&gt;=1,$P1100=$V$7),$P1100, IF(OR($R1100&lt;&gt;IF(IFERROR(SEARCH($R1100,XKNVLSX!$X$1,1),0)&gt;=1,$R1100,XKNVLSX!$X$1),COUNTIFS($C$2:$C1099,$C1100,$E$2:$E1099,$E1100,$Q$2:$Q1099,$P1100)&gt;=1),"",$P1100))))</f>
        <v/>
      </c>
      <c r="R1100" s="1017" t="str">
        <f ca="1">IF($A1100="","",IFERROR(INDEX(TinhGia!$BF$10:$BF$81,MATCH($A1100,TinhGia!$B$10:$B$81,0)),""))</f>
        <v/>
      </c>
      <c r="S1100" s="1012" t="str">
        <f ca="1">IF($A1100="","",IF(OR(IFERROR(SEARCH($R1100,XKNVLSX!$X$1,1),0)&gt;=1,XKNVLSX!$X$1=""),$S$2,""))</f>
        <v/>
      </c>
      <c r="T1100" s="1018" t="str">
        <f ca="1">IF($C1100="","", IF(OR($P1100=$V$1,$P1100=$V$7,COUNTIFS($C$3:$C1100,$C1100,$E$3:$E1100,$E1100)&lt;=1),$P1100,""    ))</f>
        <v/>
      </c>
      <c r="U1100" s="1019" t="str">
        <f ca="1">IF(AND($P1100=$V$2,COUNTIFS($C$3:$C1100,$C1100,$E$3:$E1100,$E1100,$G$3:$G1100,$G1100)&lt;=1),$P1100,"")</f>
        <v/>
      </c>
    </row>
    <row r="1101" spans="1:21">
      <c r="A1101" s="991" t="str">
        <f ca="1">IFERROR(IF(COUNTIF($A$3:A1100,A1100)&lt; INDEX(TinhGia!$BH$10:$BH$81,MATCH($A1100,TinhGia!$B$10:$B$81,0)),$A1100,INDEX(TinhGia!$B$10:$B$81,MATCH($A1100,TinhGia!$B$10:$B$81,0)+1)),"")</f>
        <v/>
      </c>
      <c r="B1101" s="525" t="str">
        <f ca="1">IF(OR(A1101="",A1101=0),"",IF(COUNTIF($A$2:A1101,$A1101)=1,ROW(MauKoXoa!$C$108),$B1100+1))</f>
        <v/>
      </c>
      <c r="C1101" s="992" t="str">
        <f t="shared" ca="1" si="165"/>
        <v/>
      </c>
      <c r="D1101" s="993" t="str">
        <f t="shared" ca="1" si="166"/>
        <v/>
      </c>
      <c r="E1101" s="993" t="str">
        <f t="shared" ca="1" si="167"/>
        <v/>
      </c>
      <c r="F1101" s="992" t="str">
        <f t="shared" ca="1" si="181"/>
        <v/>
      </c>
      <c r="G1101" s="994">
        <f t="shared" ca="1" si="168"/>
        <v>0</v>
      </c>
      <c r="H1101" s="913">
        <f t="shared" ca="1" si="169"/>
        <v>0</v>
      </c>
      <c r="I1101" s="913">
        <f t="shared" ca="1" si="170"/>
        <v>0</v>
      </c>
      <c r="J1101" s="995">
        <f t="shared" ca="1" si="182"/>
        <v>0</v>
      </c>
      <c r="K1101" s="913">
        <f t="shared" ca="1" si="171"/>
        <v>0</v>
      </c>
      <c r="L1101" s="995">
        <f t="shared" ca="1" si="183"/>
        <v>0</v>
      </c>
      <c r="M1101" s="913">
        <f t="shared" ca="1" si="172"/>
        <v>0</v>
      </c>
      <c r="N1101" s="996">
        <f t="shared" ca="1" si="173"/>
        <v>0</v>
      </c>
      <c r="O1101" s="997">
        <f t="shared" ca="1" si="174"/>
        <v>0</v>
      </c>
      <c r="P1101" s="1015" t="str">
        <f ca="1">IF($C1101="","",INDEX(NVLSX!$N$2:$N$6941,MATCH($C1101,NVLSX!$E$2:$E$6941,0)))</f>
        <v/>
      </c>
      <c r="Q1101" s="1016" t="str">
        <f ca="1">IF($R1101="","",IF(XKNVLSX!$X$1="",IF($P1101=$V$7,$P1101, IF(COUNTIFS($C$2:$C1100,$C1101,$E$2:$E1100,$E1101)&gt;=1,"",$P1101)),     IF(AND(IFERROR(SEARCH($R1101,XKNVLSX!$X$1,1),0)&gt;=1,$P1101=$V$7),$P1101, IF(OR($R1101&lt;&gt;IF(IFERROR(SEARCH($R1101,XKNVLSX!$X$1,1),0)&gt;=1,$R1101,XKNVLSX!$X$1),COUNTIFS($C$2:$C1100,$C1101,$E$2:$E1100,$E1101,$Q$2:$Q1100,$P1101)&gt;=1),"",$P1101))))</f>
        <v/>
      </c>
      <c r="R1101" s="1017" t="str">
        <f ca="1">IF($A1101="","",IFERROR(INDEX(TinhGia!$BF$10:$BF$81,MATCH($A1101,TinhGia!$B$10:$B$81,0)),""))</f>
        <v/>
      </c>
      <c r="S1101" s="1012" t="str">
        <f ca="1">IF($A1101="","",IF(OR(IFERROR(SEARCH($R1101,XKNVLSX!$X$1,1),0)&gt;=1,XKNVLSX!$X$1=""),$S$2,""))</f>
        <v/>
      </c>
      <c r="T1101" s="1018" t="str">
        <f ca="1">IF($C1101="","", IF(OR($P1101=$V$1,$P1101=$V$7,COUNTIFS($C$3:$C1101,$C1101,$E$3:$E1101,$E1101)&lt;=1),$P1101,""    ))</f>
        <v/>
      </c>
      <c r="U1101" s="1019" t="str">
        <f ca="1">IF(AND($P1101=$V$2,COUNTIFS($C$3:$C1101,$C1101,$E$3:$E1101,$E1101,$G$3:$G1101,$G1101)&lt;=1),$P1101,"")</f>
        <v/>
      </c>
    </row>
    <row r="1102" spans="1:21">
      <c r="A1102" s="991" t="str">
        <f ca="1">IFERROR(IF(COUNTIF($A$3:A1101,A1101)&lt; INDEX(TinhGia!$BH$10:$BH$81,MATCH($A1101,TinhGia!$B$10:$B$81,0)),$A1101,INDEX(TinhGia!$B$10:$B$81,MATCH($A1101,TinhGia!$B$10:$B$81,0)+1)),"")</f>
        <v/>
      </c>
      <c r="B1102" s="525" t="str">
        <f ca="1">IF(OR(A1102="",A1102=0),"",IF(COUNTIF($A$2:A1102,$A1102)=1,ROW(MauKoXoa!$C$108),$B1101+1))</f>
        <v/>
      </c>
      <c r="C1102" s="992" t="str">
        <f t="shared" ca="1" si="165"/>
        <v/>
      </c>
      <c r="D1102" s="993" t="str">
        <f t="shared" ca="1" si="166"/>
        <v/>
      </c>
      <c r="E1102" s="993" t="str">
        <f t="shared" ca="1" si="167"/>
        <v/>
      </c>
      <c r="F1102" s="992" t="str">
        <f t="shared" ca="1" si="181"/>
        <v/>
      </c>
      <c r="G1102" s="994">
        <f t="shared" ca="1" si="168"/>
        <v>0</v>
      </c>
      <c r="H1102" s="913">
        <f t="shared" ca="1" si="169"/>
        <v>0</v>
      </c>
      <c r="I1102" s="913">
        <f t="shared" ca="1" si="170"/>
        <v>0</v>
      </c>
      <c r="J1102" s="995">
        <f t="shared" ca="1" si="182"/>
        <v>0</v>
      </c>
      <c r="K1102" s="913">
        <f t="shared" ca="1" si="171"/>
        <v>0</v>
      </c>
      <c r="L1102" s="995">
        <f t="shared" ca="1" si="183"/>
        <v>0</v>
      </c>
      <c r="M1102" s="913">
        <f t="shared" ca="1" si="172"/>
        <v>0</v>
      </c>
      <c r="N1102" s="996">
        <f t="shared" ca="1" si="173"/>
        <v>0</v>
      </c>
      <c r="O1102" s="997">
        <f t="shared" ca="1" si="174"/>
        <v>0</v>
      </c>
      <c r="P1102" s="1015" t="str">
        <f ca="1">IF($C1102="","",INDEX(NVLSX!$N$2:$N$6941,MATCH($C1102,NVLSX!$E$2:$E$6941,0)))</f>
        <v/>
      </c>
      <c r="Q1102" s="1016" t="str">
        <f ca="1">IF($R1102="","",IF(XKNVLSX!$X$1="",IF($P1102=$V$7,$P1102, IF(COUNTIFS($C$2:$C1101,$C1102,$E$2:$E1101,$E1102)&gt;=1,"",$P1102)),     IF(AND(IFERROR(SEARCH($R1102,XKNVLSX!$X$1,1),0)&gt;=1,$P1102=$V$7),$P1102, IF(OR($R1102&lt;&gt;IF(IFERROR(SEARCH($R1102,XKNVLSX!$X$1,1),0)&gt;=1,$R1102,XKNVLSX!$X$1),COUNTIFS($C$2:$C1101,$C1102,$E$2:$E1101,$E1102,$Q$2:$Q1101,$P1102)&gt;=1),"",$P1102))))</f>
        <v/>
      </c>
      <c r="R1102" s="1017" t="str">
        <f ca="1">IF($A1102="","",IFERROR(INDEX(TinhGia!$BF$10:$BF$81,MATCH($A1102,TinhGia!$B$10:$B$81,0)),""))</f>
        <v/>
      </c>
      <c r="S1102" s="1012" t="str">
        <f ca="1">IF($A1102="","",IF(OR(IFERROR(SEARCH($R1102,XKNVLSX!$X$1,1),0)&gt;=1,XKNVLSX!$X$1=""),$S$2,""))</f>
        <v/>
      </c>
      <c r="T1102" s="1018" t="str">
        <f ca="1">IF($C1102="","", IF(OR($P1102=$V$1,$P1102=$V$7,COUNTIFS($C$3:$C1102,$C1102,$E$3:$E1102,$E1102)&lt;=1),$P1102,""    ))</f>
        <v/>
      </c>
      <c r="U1102" s="1019" t="str">
        <f ca="1">IF(AND($P1102=$V$2,COUNTIFS($C$3:$C1102,$C1102,$E$3:$E1102,$E1102,$G$3:$G1102,$G1102)&lt;=1),$P1102,"")</f>
        <v/>
      </c>
    </row>
    <row r="1103" spans="1:21">
      <c r="A1103" s="991" t="str">
        <f ca="1">IFERROR(IF(COUNTIF($A$3:A1102,A1102)&lt; INDEX(TinhGia!$BH$10:$BH$81,MATCH($A1102,TinhGia!$B$10:$B$81,0)),$A1102,INDEX(TinhGia!$B$10:$B$81,MATCH($A1102,TinhGia!$B$10:$B$81,0)+1)),"")</f>
        <v/>
      </c>
      <c r="B1103" s="525" t="str">
        <f ca="1">IF(OR(A1103="",A1103=0),"",IF(COUNTIF($A$2:A1103,$A1103)=1,ROW(MauKoXoa!$C$108),$B1102+1))</f>
        <v/>
      </c>
      <c r="C1103" s="992" t="str">
        <f t="shared" ca="1" si="165"/>
        <v/>
      </c>
      <c r="D1103" s="993" t="str">
        <f t="shared" ca="1" si="166"/>
        <v/>
      </c>
      <c r="E1103" s="993" t="str">
        <f t="shared" ca="1" si="167"/>
        <v/>
      </c>
      <c r="F1103" s="992" t="str">
        <f t="shared" ca="1" si="181"/>
        <v/>
      </c>
      <c r="G1103" s="994">
        <f t="shared" ca="1" si="168"/>
        <v>0</v>
      </c>
      <c r="H1103" s="913">
        <f t="shared" ca="1" si="169"/>
        <v>0</v>
      </c>
      <c r="I1103" s="913">
        <f t="shared" ca="1" si="170"/>
        <v>0</v>
      </c>
      <c r="J1103" s="995">
        <f t="shared" ca="1" si="182"/>
        <v>0</v>
      </c>
      <c r="K1103" s="913">
        <f t="shared" ca="1" si="171"/>
        <v>0</v>
      </c>
      <c r="L1103" s="995">
        <f t="shared" ca="1" si="183"/>
        <v>0</v>
      </c>
      <c r="M1103" s="913">
        <f t="shared" ca="1" si="172"/>
        <v>0</v>
      </c>
      <c r="N1103" s="996">
        <f t="shared" ca="1" si="173"/>
        <v>0</v>
      </c>
      <c r="O1103" s="997">
        <f t="shared" ca="1" si="174"/>
        <v>0</v>
      </c>
      <c r="P1103" s="1015" t="str">
        <f ca="1">IF($C1103="","",INDEX(NVLSX!$N$2:$N$6941,MATCH($C1103,NVLSX!$E$2:$E$6941,0)))</f>
        <v/>
      </c>
      <c r="Q1103" s="1016" t="str">
        <f ca="1">IF($R1103="","",IF(XKNVLSX!$X$1="",IF($P1103=$V$7,$P1103, IF(COUNTIFS($C$2:$C1102,$C1103,$E$2:$E1102,$E1103)&gt;=1,"",$P1103)),     IF(AND(IFERROR(SEARCH($R1103,XKNVLSX!$X$1,1),0)&gt;=1,$P1103=$V$7),$P1103, IF(OR($R1103&lt;&gt;IF(IFERROR(SEARCH($R1103,XKNVLSX!$X$1,1),0)&gt;=1,$R1103,XKNVLSX!$X$1),COUNTIFS($C$2:$C1102,$C1103,$E$2:$E1102,$E1103,$Q$2:$Q1102,$P1103)&gt;=1),"",$P1103))))</f>
        <v/>
      </c>
      <c r="R1103" s="1017" t="str">
        <f ca="1">IF($A1103="","",IFERROR(INDEX(TinhGia!$BF$10:$BF$81,MATCH($A1103,TinhGia!$B$10:$B$81,0)),""))</f>
        <v/>
      </c>
      <c r="S1103" s="1012" t="str">
        <f ca="1">IF($A1103="","",IF(OR(IFERROR(SEARCH($R1103,XKNVLSX!$X$1,1),0)&gt;=1,XKNVLSX!$X$1=""),$S$2,""))</f>
        <v/>
      </c>
      <c r="T1103" s="1018" t="str">
        <f ca="1">IF($C1103="","", IF(OR($P1103=$V$1,$P1103=$V$7,COUNTIFS($C$3:$C1103,$C1103,$E$3:$E1103,$E1103)&lt;=1),$P1103,""    ))</f>
        <v/>
      </c>
      <c r="U1103" s="1019" t="str">
        <f ca="1">IF(AND($P1103=$V$2,COUNTIFS($C$3:$C1103,$C1103,$E$3:$E1103,$E1103,$G$3:$G1103,$G1103)&lt;=1),$P1103,"")</f>
        <v/>
      </c>
    </row>
    <row r="1104" spans="1:21">
      <c r="A1104" s="991" t="str">
        <f ca="1">IFERROR(IF(COUNTIF($A$3:A1103,A1103)&lt; INDEX(TinhGia!$BH$10:$BH$81,MATCH($A1103,TinhGia!$B$10:$B$81,0)),$A1103,INDEX(TinhGia!$B$10:$B$81,MATCH($A1103,TinhGia!$B$10:$B$81,0)+1)),"")</f>
        <v/>
      </c>
      <c r="B1104" s="525" t="str">
        <f ca="1">IF(OR(A1104="",A1104=0),"",IF(COUNTIF($A$2:A1104,$A1104)=1,ROW(MauKoXoa!$C$108),$B1103+1))</f>
        <v/>
      </c>
      <c r="C1104" s="992" t="str">
        <f t="shared" ca="1" si="165"/>
        <v/>
      </c>
      <c r="D1104" s="993" t="str">
        <f t="shared" ca="1" si="166"/>
        <v/>
      </c>
      <c r="E1104" s="993" t="str">
        <f t="shared" ca="1" si="167"/>
        <v/>
      </c>
      <c r="F1104" s="992" t="str">
        <f t="shared" ca="1" si="181"/>
        <v/>
      </c>
      <c r="G1104" s="994">
        <f t="shared" ca="1" si="168"/>
        <v>0</v>
      </c>
      <c r="H1104" s="913">
        <f t="shared" ca="1" si="169"/>
        <v>0</v>
      </c>
      <c r="I1104" s="913">
        <f t="shared" ca="1" si="170"/>
        <v>0</v>
      </c>
      <c r="J1104" s="995">
        <f t="shared" ca="1" si="182"/>
        <v>0</v>
      </c>
      <c r="K1104" s="913">
        <f t="shared" ca="1" si="171"/>
        <v>0</v>
      </c>
      <c r="L1104" s="995">
        <f t="shared" ca="1" si="183"/>
        <v>0</v>
      </c>
      <c r="M1104" s="913">
        <f t="shared" ca="1" si="172"/>
        <v>0</v>
      </c>
      <c r="N1104" s="996">
        <f t="shared" ca="1" si="173"/>
        <v>0</v>
      </c>
      <c r="O1104" s="997">
        <f t="shared" ca="1" si="174"/>
        <v>0</v>
      </c>
      <c r="P1104" s="1015" t="str">
        <f ca="1">IF($C1104="","",INDEX(NVLSX!$N$2:$N$6941,MATCH($C1104,NVLSX!$E$2:$E$6941,0)))</f>
        <v/>
      </c>
      <c r="Q1104" s="1016" t="str">
        <f ca="1">IF($R1104="","",IF(XKNVLSX!$X$1="",IF($P1104=$V$7,$P1104, IF(COUNTIFS($C$2:$C1103,$C1104,$E$2:$E1103,$E1104)&gt;=1,"",$P1104)),     IF(AND(IFERROR(SEARCH($R1104,XKNVLSX!$X$1,1),0)&gt;=1,$P1104=$V$7),$P1104, IF(OR($R1104&lt;&gt;IF(IFERROR(SEARCH($R1104,XKNVLSX!$X$1,1),0)&gt;=1,$R1104,XKNVLSX!$X$1),COUNTIFS($C$2:$C1103,$C1104,$E$2:$E1103,$E1104,$Q$2:$Q1103,$P1104)&gt;=1),"",$P1104))))</f>
        <v/>
      </c>
      <c r="R1104" s="1017" t="str">
        <f ca="1">IF($A1104="","",IFERROR(INDEX(TinhGia!$BF$10:$BF$81,MATCH($A1104,TinhGia!$B$10:$B$81,0)),""))</f>
        <v/>
      </c>
      <c r="S1104" s="1012" t="str">
        <f ca="1">IF($A1104="","",IF(OR(IFERROR(SEARCH($R1104,XKNVLSX!$X$1,1),0)&gt;=1,XKNVLSX!$X$1=""),$S$2,""))</f>
        <v/>
      </c>
      <c r="T1104" s="1018" t="str">
        <f ca="1">IF($C1104="","", IF(OR($P1104=$V$1,$P1104=$V$7,COUNTIFS($C$3:$C1104,$C1104,$E$3:$E1104,$E1104)&lt;=1),$P1104,""    ))</f>
        <v/>
      </c>
      <c r="U1104" s="1019" t="str">
        <f ca="1">IF(AND($P1104=$V$2,COUNTIFS($C$3:$C1104,$C1104,$E$3:$E1104,$E1104,$G$3:$G1104,$G1104)&lt;=1),$P1104,"")</f>
        <v/>
      </c>
    </row>
    <row r="1105" spans="1:21">
      <c r="A1105" s="991" t="str">
        <f ca="1">IFERROR(IF(COUNTIF($A$3:A1104,A1104)&lt; INDEX(TinhGia!$BH$10:$BH$81,MATCH($A1104,TinhGia!$B$10:$B$81,0)),$A1104,INDEX(TinhGia!$B$10:$B$81,MATCH($A1104,TinhGia!$B$10:$B$81,0)+1)),"")</f>
        <v/>
      </c>
      <c r="B1105" s="525" t="str">
        <f ca="1">IF(OR(A1105="",A1105=0),"",IF(COUNTIF($A$2:A1105,$A1105)=1,ROW(MauKoXoa!$C$108),$B1104+1))</f>
        <v/>
      </c>
      <c r="C1105" s="992" t="str">
        <f t="shared" ca="1" si="165"/>
        <v/>
      </c>
      <c r="D1105" s="993" t="str">
        <f t="shared" ca="1" si="166"/>
        <v/>
      </c>
      <c r="E1105" s="993" t="str">
        <f t="shared" ca="1" si="167"/>
        <v/>
      </c>
      <c r="F1105" s="992" t="str">
        <f t="shared" ca="1" si="181"/>
        <v/>
      </c>
      <c r="G1105" s="994">
        <f t="shared" ca="1" si="168"/>
        <v>0</v>
      </c>
      <c r="H1105" s="913">
        <f t="shared" ca="1" si="169"/>
        <v>0</v>
      </c>
      <c r="I1105" s="913">
        <f t="shared" ca="1" si="170"/>
        <v>0</v>
      </c>
      <c r="J1105" s="995">
        <f t="shared" ca="1" si="182"/>
        <v>0</v>
      </c>
      <c r="K1105" s="913">
        <f t="shared" ca="1" si="171"/>
        <v>0</v>
      </c>
      <c r="L1105" s="995">
        <f t="shared" ca="1" si="183"/>
        <v>0</v>
      </c>
      <c r="M1105" s="913">
        <f t="shared" ca="1" si="172"/>
        <v>0</v>
      </c>
      <c r="N1105" s="996">
        <f t="shared" ca="1" si="173"/>
        <v>0</v>
      </c>
      <c r="O1105" s="997">
        <f t="shared" ca="1" si="174"/>
        <v>0</v>
      </c>
      <c r="P1105" s="1015" t="str">
        <f ca="1">IF($C1105="","",INDEX(NVLSX!$N$2:$N$6941,MATCH($C1105,NVLSX!$E$2:$E$6941,0)))</f>
        <v/>
      </c>
      <c r="Q1105" s="1016" t="str">
        <f ca="1">IF($R1105="","",IF(XKNVLSX!$X$1="",IF($P1105=$V$7,$P1105, IF(COUNTIFS($C$2:$C1104,$C1105,$E$2:$E1104,$E1105)&gt;=1,"",$P1105)),     IF(AND(IFERROR(SEARCH($R1105,XKNVLSX!$X$1,1),0)&gt;=1,$P1105=$V$7),$P1105, IF(OR($R1105&lt;&gt;IF(IFERROR(SEARCH($R1105,XKNVLSX!$X$1,1),0)&gt;=1,$R1105,XKNVLSX!$X$1),COUNTIFS($C$2:$C1104,$C1105,$E$2:$E1104,$E1105,$Q$2:$Q1104,$P1105)&gt;=1),"",$P1105))))</f>
        <v/>
      </c>
      <c r="R1105" s="1017" t="str">
        <f ca="1">IF($A1105="","",IFERROR(INDEX(TinhGia!$BF$10:$BF$81,MATCH($A1105,TinhGia!$B$10:$B$81,0)),""))</f>
        <v/>
      </c>
      <c r="S1105" s="1012" t="str">
        <f ca="1">IF($A1105="","",IF(OR(IFERROR(SEARCH($R1105,XKNVLSX!$X$1,1),0)&gt;=1,XKNVLSX!$X$1=""),$S$2,""))</f>
        <v/>
      </c>
      <c r="T1105" s="1018" t="str">
        <f ca="1">IF($C1105="","", IF(OR($P1105=$V$1,$P1105=$V$7,COUNTIFS($C$3:$C1105,$C1105,$E$3:$E1105,$E1105)&lt;=1),$P1105,""    ))</f>
        <v/>
      </c>
      <c r="U1105" s="1019" t="str">
        <f ca="1">IF(AND($P1105=$V$2,COUNTIFS($C$3:$C1105,$C1105,$E$3:$E1105,$E1105,$G$3:$G1105,$G1105)&lt;=1),$P1105,"")</f>
        <v/>
      </c>
    </row>
    <row r="1106" spans="1:21">
      <c r="A1106" s="991" t="str">
        <f ca="1">IFERROR(IF(COUNTIF($A$3:A1105,A1105)&lt; INDEX(TinhGia!$BH$10:$BH$81,MATCH($A1105,TinhGia!$B$10:$B$81,0)),$A1105,INDEX(TinhGia!$B$10:$B$81,MATCH($A1105,TinhGia!$B$10:$B$81,0)+1)),"")</f>
        <v/>
      </c>
      <c r="B1106" s="525" t="str">
        <f ca="1">IF(OR(A1106="",A1106=0),"",IF(COUNTIF($A$2:A1106,$A1106)=1,ROW(MauKoXoa!$C$108),$B1105+1))</f>
        <v/>
      </c>
      <c r="C1106" s="992" t="str">
        <f t="shared" ca="1" si="165"/>
        <v/>
      </c>
      <c r="D1106" s="993" t="str">
        <f t="shared" ca="1" si="166"/>
        <v/>
      </c>
      <c r="E1106" s="993" t="str">
        <f t="shared" ca="1" si="167"/>
        <v/>
      </c>
      <c r="F1106" s="992" t="str">
        <f t="shared" ca="1" si="181"/>
        <v/>
      </c>
      <c r="G1106" s="994">
        <f t="shared" ca="1" si="168"/>
        <v>0</v>
      </c>
      <c r="H1106" s="913">
        <f t="shared" ca="1" si="169"/>
        <v>0</v>
      </c>
      <c r="I1106" s="913">
        <f t="shared" ca="1" si="170"/>
        <v>0</v>
      </c>
      <c r="J1106" s="995">
        <f t="shared" ca="1" si="182"/>
        <v>0</v>
      </c>
      <c r="K1106" s="913">
        <f t="shared" ca="1" si="171"/>
        <v>0</v>
      </c>
      <c r="L1106" s="995">
        <f t="shared" ca="1" si="183"/>
        <v>0</v>
      </c>
      <c r="M1106" s="913">
        <f t="shared" ca="1" si="172"/>
        <v>0</v>
      </c>
      <c r="N1106" s="996">
        <f t="shared" ca="1" si="173"/>
        <v>0</v>
      </c>
      <c r="O1106" s="997">
        <f t="shared" ca="1" si="174"/>
        <v>0</v>
      </c>
      <c r="P1106" s="1015" t="str">
        <f ca="1">IF($C1106="","",INDEX(NVLSX!$N$2:$N$6941,MATCH($C1106,NVLSX!$E$2:$E$6941,0)))</f>
        <v/>
      </c>
      <c r="Q1106" s="1016" t="str">
        <f ca="1">IF($R1106="","",IF(XKNVLSX!$X$1="",IF($P1106=$V$7,$P1106, IF(COUNTIFS($C$2:$C1105,$C1106,$E$2:$E1105,$E1106)&gt;=1,"",$P1106)),     IF(AND(IFERROR(SEARCH($R1106,XKNVLSX!$X$1,1),0)&gt;=1,$P1106=$V$7),$P1106, IF(OR($R1106&lt;&gt;IF(IFERROR(SEARCH($R1106,XKNVLSX!$X$1,1),0)&gt;=1,$R1106,XKNVLSX!$X$1),COUNTIFS($C$2:$C1105,$C1106,$E$2:$E1105,$E1106,$Q$2:$Q1105,$P1106)&gt;=1),"",$P1106))))</f>
        <v/>
      </c>
      <c r="R1106" s="1017" t="str">
        <f ca="1">IF($A1106="","",IFERROR(INDEX(TinhGia!$BF$10:$BF$81,MATCH($A1106,TinhGia!$B$10:$B$81,0)),""))</f>
        <v/>
      </c>
      <c r="S1106" s="1012" t="str">
        <f ca="1">IF($A1106="","",IF(OR(IFERROR(SEARCH($R1106,XKNVLSX!$X$1,1),0)&gt;=1,XKNVLSX!$X$1=""),$S$2,""))</f>
        <v/>
      </c>
      <c r="T1106" s="1018" t="str">
        <f ca="1">IF($C1106="","", IF(OR($P1106=$V$1,$P1106=$V$7,COUNTIFS($C$3:$C1106,$C1106,$E$3:$E1106,$E1106)&lt;=1),$P1106,""    ))</f>
        <v/>
      </c>
      <c r="U1106" s="1019" t="str">
        <f ca="1">IF(AND($P1106=$V$2,COUNTIFS($C$3:$C1106,$C1106,$E$3:$E1106,$E1106,$G$3:$G1106,$G1106)&lt;=1),$P1106,"")</f>
        <v/>
      </c>
    </row>
    <row r="1107" spans="1:21">
      <c r="A1107" s="991" t="str">
        <f ca="1">IFERROR(IF(COUNTIF($A$3:A1106,A1106)&lt; INDEX(TinhGia!$BH$10:$BH$81,MATCH($A1106,TinhGia!$B$10:$B$81,0)),$A1106,INDEX(TinhGia!$B$10:$B$81,MATCH($A1106,TinhGia!$B$10:$B$81,0)+1)),"")</f>
        <v/>
      </c>
      <c r="B1107" s="525" t="str">
        <f ca="1">IF(OR(A1107="",A1107=0),"",IF(COUNTIF($A$2:A1107,$A1107)=1,ROW(MauKoXoa!$C$108),$B1106+1))</f>
        <v/>
      </c>
      <c r="C1107" s="992" t="str">
        <f t="shared" ca="1" si="165"/>
        <v/>
      </c>
      <c r="D1107" s="993" t="str">
        <f t="shared" ca="1" si="166"/>
        <v/>
      </c>
      <c r="E1107" s="993" t="str">
        <f t="shared" ca="1" si="167"/>
        <v/>
      </c>
      <c r="F1107" s="992" t="str">
        <f t="shared" ca="1" si="181"/>
        <v/>
      </c>
      <c r="G1107" s="994">
        <f t="shared" ca="1" si="168"/>
        <v>0</v>
      </c>
      <c r="H1107" s="913">
        <f t="shared" ca="1" si="169"/>
        <v>0</v>
      </c>
      <c r="I1107" s="913">
        <f t="shared" ca="1" si="170"/>
        <v>0</v>
      </c>
      <c r="J1107" s="995">
        <f t="shared" ca="1" si="182"/>
        <v>0</v>
      </c>
      <c r="K1107" s="913">
        <f t="shared" ca="1" si="171"/>
        <v>0</v>
      </c>
      <c r="L1107" s="995">
        <f t="shared" ca="1" si="183"/>
        <v>0</v>
      </c>
      <c r="M1107" s="913">
        <f t="shared" ca="1" si="172"/>
        <v>0</v>
      </c>
      <c r="N1107" s="996">
        <f t="shared" ca="1" si="173"/>
        <v>0</v>
      </c>
      <c r="O1107" s="997">
        <f t="shared" ca="1" si="174"/>
        <v>0</v>
      </c>
      <c r="P1107" s="1015" t="str">
        <f ca="1">IF($C1107="","",INDEX(NVLSX!$N$2:$N$6941,MATCH($C1107,NVLSX!$E$2:$E$6941,0)))</f>
        <v/>
      </c>
      <c r="Q1107" s="1016" t="str">
        <f ca="1">IF($R1107="","",IF(XKNVLSX!$X$1="",IF($P1107=$V$7,$P1107, IF(COUNTIFS($C$2:$C1106,$C1107,$E$2:$E1106,$E1107)&gt;=1,"",$P1107)),     IF(AND(IFERROR(SEARCH($R1107,XKNVLSX!$X$1,1),0)&gt;=1,$P1107=$V$7),$P1107, IF(OR($R1107&lt;&gt;IF(IFERROR(SEARCH($R1107,XKNVLSX!$X$1,1),0)&gt;=1,$R1107,XKNVLSX!$X$1),COUNTIFS($C$2:$C1106,$C1107,$E$2:$E1106,$E1107,$Q$2:$Q1106,$P1107)&gt;=1),"",$P1107))))</f>
        <v/>
      </c>
      <c r="R1107" s="1017" t="str">
        <f ca="1">IF($A1107="","",IFERROR(INDEX(TinhGia!$BF$10:$BF$81,MATCH($A1107,TinhGia!$B$10:$B$81,0)),""))</f>
        <v/>
      </c>
      <c r="S1107" s="1012" t="str">
        <f ca="1">IF($A1107="","",IF(OR(IFERROR(SEARCH($R1107,XKNVLSX!$X$1,1),0)&gt;=1,XKNVLSX!$X$1=""),$S$2,""))</f>
        <v/>
      </c>
      <c r="T1107" s="1018" t="str">
        <f ca="1">IF($C1107="","", IF(OR($P1107=$V$1,$P1107=$V$7,COUNTIFS($C$3:$C1107,$C1107,$E$3:$E1107,$E1107)&lt;=1),$P1107,""    ))</f>
        <v/>
      </c>
      <c r="U1107" s="1019" t="str">
        <f ca="1">IF(AND($P1107=$V$2,COUNTIFS($C$3:$C1107,$C1107,$E$3:$E1107,$E1107,$G$3:$G1107,$G1107)&lt;=1),$P1107,"")</f>
        <v/>
      </c>
    </row>
    <row r="1108" spans="1:21">
      <c r="A1108" s="991" t="str">
        <f ca="1">IFERROR(IF(COUNTIF($A$3:A1107,A1107)&lt; INDEX(TinhGia!$BH$10:$BH$81,MATCH($A1107,TinhGia!$B$10:$B$81,0)),$A1107,INDEX(TinhGia!$B$10:$B$81,MATCH($A1107,TinhGia!$B$10:$B$81,0)+1)),"")</f>
        <v/>
      </c>
      <c r="B1108" s="525" t="str">
        <f ca="1">IF(OR(A1108="",A1108=0),"",IF(COUNTIF($A$2:A1108,$A1108)=1,ROW(MauKoXoa!$C$108),$B1107+1))</f>
        <v/>
      </c>
      <c r="C1108" s="992" t="str">
        <f t="shared" ca="1" si="165"/>
        <v/>
      </c>
      <c r="D1108" s="993" t="str">
        <f t="shared" ca="1" si="166"/>
        <v/>
      </c>
      <c r="E1108" s="993" t="str">
        <f t="shared" ca="1" si="167"/>
        <v/>
      </c>
      <c r="F1108" s="992" t="str">
        <f t="shared" ca="1" si="181"/>
        <v/>
      </c>
      <c r="G1108" s="994">
        <f t="shared" ca="1" si="168"/>
        <v>0</v>
      </c>
      <c r="H1108" s="913">
        <f t="shared" ca="1" si="169"/>
        <v>0</v>
      </c>
      <c r="I1108" s="913">
        <f t="shared" ca="1" si="170"/>
        <v>0</v>
      </c>
      <c r="J1108" s="995">
        <f t="shared" ca="1" si="182"/>
        <v>0</v>
      </c>
      <c r="K1108" s="913">
        <f t="shared" ca="1" si="171"/>
        <v>0</v>
      </c>
      <c r="L1108" s="995">
        <f t="shared" ca="1" si="183"/>
        <v>0</v>
      </c>
      <c r="M1108" s="913">
        <f t="shared" ca="1" si="172"/>
        <v>0</v>
      </c>
      <c r="N1108" s="996">
        <f t="shared" ca="1" si="173"/>
        <v>0</v>
      </c>
      <c r="O1108" s="997">
        <f t="shared" ca="1" si="174"/>
        <v>0</v>
      </c>
      <c r="P1108" s="1015" t="str">
        <f ca="1">IF($C1108="","",INDEX(NVLSX!$N$2:$N$6941,MATCH($C1108,NVLSX!$E$2:$E$6941,0)))</f>
        <v/>
      </c>
      <c r="Q1108" s="1016" t="str">
        <f ca="1">IF($R1108="","",IF(XKNVLSX!$X$1="",IF($P1108=$V$7,$P1108, IF(COUNTIFS($C$2:$C1107,$C1108,$E$2:$E1107,$E1108)&gt;=1,"",$P1108)),     IF(AND(IFERROR(SEARCH($R1108,XKNVLSX!$X$1,1),0)&gt;=1,$P1108=$V$7),$P1108, IF(OR($R1108&lt;&gt;IF(IFERROR(SEARCH($R1108,XKNVLSX!$X$1,1),0)&gt;=1,$R1108,XKNVLSX!$X$1),COUNTIFS($C$2:$C1107,$C1108,$E$2:$E1107,$E1108,$Q$2:$Q1107,$P1108)&gt;=1),"",$P1108))))</f>
        <v/>
      </c>
      <c r="R1108" s="1017" t="str">
        <f ca="1">IF($A1108="","",IFERROR(INDEX(TinhGia!$BF$10:$BF$81,MATCH($A1108,TinhGia!$B$10:$B$81,0)),""))</f>
        <v/>
      </c>
      <c r="S1108" s="1012" t="str">
        <f ca="1">IF($A1108="","",IF(OR(IFERROR(SEARCH($R1108,XKNVLSX!$X$1,1),0)&gt;=1,XKNVLSX!$X$1=""),$S$2,""))</f>
        <v/>
      </c>
      <c r="T1108" s="1018" t="str">
        <f ca="1">IF($C1108="","", IF(OR($P1108=$V$1,$P1108=$V$7,COUNTIFS($C$3:$C1108,$C1108,$E$3:$E1108,$E1108)&lt;=1),$P1108,""    ))</f>
        <v/>
      </c>
      <c r="U1108" s="1019" t="str">
        <f ca="1">IF(AND($P1108=$V$2,COUNTIFS($C$3:$C1108,$C1108,$E$3:$E1108,$E1108,$G$3:$G1108,$G1108)&lt;=1),$P1108,"")</f>
        <v/>
      </c>
    </row>
    <row r="1109" spans="1:21">
      <c r="A1109" s="991" t="str">
        <f ca="1">IFERROR(IF(COUNTIF($A$3:A1108,A1108)&lt; INDEX(TinhGia!$BH$10:$BH$81,MATCH($A1108,TinhGia!$B$10:$B$81,0)),$A1108,INDEX(TinhGia!$B$10:$B$81,MATCH($A1108,TinhGia!$B$10:$B$81,0)+1)),"")</f>
        <v/>
      </c>
      <c r="B1109" s="525" t="str">
        <f ca="1">IF(OR(A1109="",A1109=0),"",IF(COUNTIF($A$2:A1109,$A1109)=1,ROW(MauKoXoa!$C$108),$B1108+1))</f>
        <v/>
      </c>
      <c r="C1109" s="992" t="str">
        <f t="shared" ca="1" si="165"/>
        <v/>
      </c>
      <c r="D1109" s="993" t="str">
        <f t="shared" ca="1" si="166"/>
        <v/>
      </c>
      <c r="E1109" s="993" t="str">
        <f t="shared" ca="1" si="167"/>
        <v/>
      </c>
      <c r="F1109" s="992" t="str">
        <f t="shared" ca="1" si="181"/>
        <v/>
      </c>
      <c r="G1109" s="994">
        <f t="shared" ca="1" si="168"/>
        <v>0</v>
      </c>
      <c r="H1109" s="913">
        <f t="shared" ca="1" si="169"/>
        <v>0</v>
      </c>
      <c r="I1109" s="913">
        <f t="shared" ca="1" si="170"/>
        <v>0</v>
      </c>
      <c r="J1109" s="995">
        <f t="shared" ca="1" si="182"/>
        <v>0</v>
      </c>
      <c r="K1109" s="913">
        <f t="shared" ca="1" si="171"/>
        <v>0</v>
      </c>
      <c r="L1109" s="995">
        <f t="shared" ca="1" si="183"/>
        <v>0</v>
      </c>
      <c r="M1109" s="913">
        <f t="shared" ca="1" si="172"/>
        <v>0</v>
      </c>
      <c r="N1109" s="996">
        <f t="shared" ca="1" si="173"/>
        <v>0</v>
      </c>
      <c r="O1109" s="997">
        <f t="shared" ca="1" si="174"/>
        <v>0</v>
      </c>
      <c r="P1109" s="1015" t="str">
        <f ca="1">IF($C1109="","",INDEX(NVLSX!$N$2:$N$6941,MATCH($C1109,NVLSX!$E$2:$E$6941,0)))</f>
        <v/>
      </c>
      <c r="Q1109" s="1016" t="str">
        <f ca="1">IF($R1109="","",IF(XKNVLSX!$X$1="",IF($P1109=$V$7,$P1109, IF(COUNTIFS($C$2:$C1108,$C1109,$E$2:$E1108,$E1109)&gt;=1,"",$P1109)),     IF(AND(IFERROR(SEARCH($R1109,XKNVLSX!$X$1,1),0)&gt;=1,$P1109=$V$7),$P1109, IF(OR($R1109&lt;&gt;IF(IFERROR(SEARCH($R1109,XKNVLSX!$X$1,1),0)&gt;=1,$R1109,XKNVLSX!$X$1),COUNTIFS($C$2:$C1108,$C1109,$E$2:$E1108,$E1109,$Q$2:$Q1108,$P1109)&gt;=1),"",$P1109))))</f>
        <v/>
      </c>
      <c r="R1109" s="1017" t="str">
        <f ca="1">IF($A1109="","",IFERROR(INDEX(TinhGia!$BF$10:$BF$81,MATCH($A1109,TinhGia!$B$10:$B$81,0)),""))</f>
        <v/>
      </c>
      <c r="S1109" s="1012" t="str">
        <f ca="1">IF($A1109="","",IF(OR(IFERROR(SEARCH($R1109,XKNVLSX!$X$1,1),0)&gt;=1,XKNVLSX!$X$1=""),$S$2,""))</f>
        <v/>
      </c>
      <c r="T1109" s="1018" t="str">
        <f ca="1">IF($C1109="","", IF(OR($P1109=$V$1,$P1109=$V$7,COUNTIFS($C$3:$C1109,$C1109,$E$3:$E1109,$E1109)&lt;=1),$P1109,""    ))</f>
        <v/>
      </c>
      <c r="U1109" s="1019" t="str">
        <f ca="1">IF(AND($P1109=$V$2,COUNTIFS($C$3:$C1109,$C1109,$E$3:$E1109,$E1109,$G$3:$G1109,$G1109)&lt;=1),$P1109,"")</f>
        <v/>
      </c>
    </row>
    <row r="1110" spans="1:21">
      <c r="A1110" s="991" t="str">
        <f ca="1">IFERROR(IF(COUNTIF($A$3:A1109,A1109)&lt; INDEX(TinhGia!$BH$10:$BH$81,MATCH($A1109,TinhGia!$B$10:$B$81,0)),$A1109,INDEX(TinhGia!$B$10:$B$81,MATCH($A1109,TinhGia!$B$10:$B$81,0)+1)),"")</f>
        <v/>
      </c>
      <c r="B1110" s="525" t="str">
        <f ca="1">IF(OR(A1110="",A1110=0),"",IF(COUNTIF($A$2:A1110,$A1110)=1,ROW(MauKoXoa!$C$108),$B1109+1))</f>
        <v/>
      </c>
      <c r="C1110" s="992" t="str">
        <f t="shared" ca="1" si="165"/>
        <v/>
      </c>
      <c r="D1110" s="993" t="str">
        <f t="shared" ca="1" si="166"/>
        <v/>
      </c>
      <c r="E1110" s="993" t="str">
        <f t="shared" ca="1" si="167"/>
        <v/>
      </c>
      <c r="F1110" s="992" t="str">
        <f t="shared" ca="1" si="181"/>
        <v/>
      </c>
      <c r="G1110" s="994">
        <f t="shared" ca="1" si="168"/>
        <v>0</v>
      </c>
      <c r="H1110" s="913">
        <f t="shared" ca="1" si="169"/>
        <v>0</v>
      </c>
      <c r="I1110" s="913">
        <f t="shared" ca="1" si="170"/>
        <v>0</v>
      </c>
      <c r="J1110" s="995">
        <f t="shared" ca="1" si="182"/>
        <v>0</v>
      </c>
      <c r="K1110" s="913">
        <f t="shared" ca="1" si="171"/>
        <v>0</v>
      </c>
      <c r="L1110" s="995">
        <f t="shared" ca="1" si="183"/>
        <v>0</v>
      </c>
      <c r="M1110" s="913">
        <f t="shared" ca="1" si="172"/>
        <v>0</v>
      </c>
      <c r="N1110" s="996">
        <f t="shared" ca="1" si="173"/>
        <v>0</v>
      </c>
      <c r="O1110" s="997">
        <f t="shared" ca="1" si="174"/>
        <v>0</v>
      </c>
      <c r="P1110" s="1015" t="str">
        <f ca="1">IF($C1110="","",INDEX(NVLSX!$N$2:$N$6941,MATCH($C1110,NVLSX!$E$2:$E$6941,0)))</f>
        <v/>
      </c>
      <c r="Q1110" s="1016" t="str">
        <f ca="1">IF($R1110="","",IF(XKNVLSX!$X$1="",IF($P1110=$V$7,$P1110, IF(COUNTIFS($C$2:$C1109,$C1110,$E$2:$E1109,$E1110)&gt;=1,"",$P1110)),     IF(AND(IFERROR(SEARCH($R1110,XKNVLSX!$X$1,1),0)&gt;=1,$P1110=$V$7),$P1110, IF(OR($R1110&lt;&gt;IF(IFERROR(SEARCH($R1110,XKNVLSX!$X$1,1),0)&gt;=1,$R1110,XKNVLSX!$X$1),COUNTIFS($C$2:$C1109,$C1110,$E$2:$E1109,$E1110,$Q$2:$Q1109,$P1110)&gt;=1),"",$P1110))))</f>
        <v/>
      </c>
      <c r="R1110" s="1017" t="str">
        <f ca="1">IF($A1110="","",IFERROR(INDEX(TinhGia!$BF$10:$BF$81,MATCH($A1110,TinhGia!$B$10:$B$81,0)),""))</f>
        <v/>
      </c>
      <c r="S1110" s="1012" t="str">
        <f ca="1">IF($A1110="","",IF(OR(IFERROR(SEARCH($R1110,XKNVLSX!$X$1,1),0)&gt;=1,XKNVLSX!$X$1=""),$S$2,""))</f>
        <v/>
      </c>
      <c r="T1110" s="1018" t="str">
        <f ca="1">IF($C1110="","", IF(OR($P1110=$V$1,$P1110=$V$7,COUNTIFS($C$3:$C1110,$C1110,$E$3:$E1110,$E1110)&lt;=1),$P1110,""    ))</f>
        <v/>
      </c>
      <c r="U1110" s="1019" t="str">
        <f ca="1">IF(AND($P1110=$V$2,COUNTIFS($C$3:$C1110,$C1110,$E$3:$E1110,$E1110,$G$3:$G1110,$G1110)&lt;=1),$P1110,"")</f>
        <v/>
      </c>
    </row>
    <row r="1111" spans="1:21">
      <c r="A1111" s="991" t="str">
        <f ca="1">IFERROR(IF(COUNTIF($A$3:A1110,A1110)&lt; INDEX(TinhGia!$BH$10:$BH$81,MATCH($A1110,TinhGia!$B$10:$B$81,0)),$A1110,INDEX(TinhGia!$B$10:$B$81,MATCH($A1110,TinhGia!$B$10:$B$81,0)+1)),"")</f>
        <v/>
      </c>
      <c r="B1111" s="525" t="str">
        <f ca="1">IF(OR(A1111="",A1111=0),"",IF(COUNTIF($A$2:A1111,$A1111)=1,ROW(MauKoXoa!$C$108),$B1110+1))</f>
        <v/>
      </c>
      <c r="C1111" s="992" t="str">
        <f t="shared" ca="1" si="165"/>
        <v/>
      </c>
      <c r="D1111" s="993" t="str">
        <f t="shared" ca="1" si="166"/>
        <v/>
      </c>
      <c r="E1111" s="993" t="str">
        <f t="shared" ca="1" si="167"/>
        <v/>
      </c>
      <c r="F1111" s="992" t="str">
        <f t="shared" ca="1" si="181"/>
        <v/>
      </c>
      <c r="G1111" s="994">
        <f t="shared" ca="1" si="168"/>
        <v>0</v>
      </c>
      <c r="H1111" s="913">
        <f t="shared" ca="1" si="169"/>
        <v>0</v>
      </c>
      <c r="I1111" s="913">
        <f t="shared" ca="1" si="170"/>
        <v>0</v>
      </c>
      <c r="J1111" s="995">
        <f t="shared" ca="1" si="182"/>
        <v>0</v>
      </c>
      <c r="K1111" s="913">
        <f t="shared" ca="1" si="171"/>
        <v>0</v>
      </c>
      <c r="L1111" s="995">
        <f t="shared" ca="1" si="183"/>
        <v>0</v>
      </c>
      <c r="M1111" s="913">
        <f t="shared" ca="1" si="172"/>
        <v>0</v>
      </c>
      <c r="N1111" s="996">
        <f t="shared" ca="1" si="173"/>
        <v>0</v>
      </c>
      <c r="O1111" s="997">
        <f t="shared" ca="1" si="174"/>
        <v>0</v>
      </c>
      <c r="P1111" s="1015" t="str">
        <f ca="1">IF($C1111="","",INDEX(NVLSX!$N$2:$N$6941,MATCH($C1111,NVLSX!$E$2:$E$6941,0)))</f>
        <v/>
      </c>
      <c r="Q1111" s="1016" t="str">
        <f ca="1">IF($R1111="","",IF(XKNVLSX!$X$1="",IF($P1111=$V$7,$P1111, IF(COUNTIFS($C$2:$C1110,$C1111,$E$2:$E1110,$E1111)&gt;=1,"",$P1111)),     IF(AND(IFERROR(SEARCH($R1111,XKNVLSX!$X$1,1),0)&gt;=1,$P1111=$V$7),$P1111, IF(OR($R1111&lt;&gt;IF(IFERROR(SEARCH($R1111,XKNVLSX!$X$1,1),0)&gt;=1,$R1111,XKNVLSX!$X$1),COUNTIFS($C$2:$C1110,$C1111,$E$2:$E1110,$E1111,$Q$2:$Q1110,$P1111)&gt;=1),"",$P1111))))</f>
        <v/>
      </c>
      <c r="R1111" s="1017" t="str">
        <f ca="1">IF($A1111="","",IFERROR(INDEX(TinhGia!$BF$10:$BF$81,MATCH($A1111,TinhGia!$B$10:$B$81,0)),""))</f>
        <v/>
      </c>
      <c r="S1111" s="1012" t="str">
        <f ca="1">IF($A1111="","",IF(OR(IFERROR(SEARCH($R1111,XKNVLSX!$X$1,1),0)&gt;=1,XKNVLSX!$X$1=""),$S$2,""))</f>
        <v/>
      </c>
      <c r="T1111" s="1018" t="str">
        <f ca="1">IF($C1111="","", IF(OR($P1111=$V$1,$P1111=$V$7,COUNTIFS($C$3:$C1111,$C1111,$E$3:$E1111,$E1111)&lt;=1),$P1111,""    ))</f>
        <v/>
      </c>
      <c r="U1111" s="1019" t="str">
        <f ca="1">IF(AND($P1111=$V$2,COUNTIFS($C$3:$C1111,$C1111,$E$3:$E1111,$E1111,$G$3:$G1111,$G1111)&lt;=1),$P1111,"")</f>
        <v/>
      </c>
    </row>
    <row r="1112" spans="1:21">
      <c r="A1112" s="991" t="str">
        <f ca="1">IFERROR(IF(COUNTIF($A$3:A1111,A1111)&lt; INDEX(TinhGia!$BH$10:$BH$81,MATCH($A1111,TinhGia!$B$10:$B$81,0)),$A1111,INDEX(TinhGia!$B$10:$B$81,MATCH($A1111,TinhGia!$B$10:$B$81,0)+1)),"")</f>
        <v/>
      </c>
      <c r="B1112" s="525" t="str">
        <f ca="1">IF(OR(A1112="",A1112=0),"",IF(COUNTIF($A$2:A1112,$A1112)=1,ROW(MauKoXoa!$C$108),$B1111+1))</f>
        <v/>
      </c>
      <c r="C1112" s="992" t="str">
        <f t="shared" ca="1" si="165"/>
        <v/>
      </c>
      <c r="D1112" s="993" t="str">
        <f t="shared" ca="1" si="166"/>
        <v/>
      </c>
      <c r="E1112" s="993" t="str">
        <f t="shared" ca="1" si="167"/>
        <v/>
      </c>
      <c r="F1112" s="992" t="str">
        <f t="shared" ca="1" si="181"/>
        <v/>
      </c>
      <c r="G1112" s="994">
        <f t="shared" ca="1" si="168"/>
        <v>0</v>
      </c>
      <c r="H1112" s="913">
        <f t="shared" ca="1" si="169"/>
        <v>0</v>
      </c>
      <c r="I1112" s="913">
        <f t="shared" ca="1" si="170"/>
        <v>0</v>
      </c>
      <c r="J1112" s="995">
        <f t="shared" ca="1" si="182"/>
        <v>0</v>
      </c>
      <c r="K1112" s="913">
        <f t="shared" ca="1" si="171"/>
        <v>0</v>
      </c>
      <c r="L1112" s="995">
        <f t="shared" ca="1" si="183"/>
        <v>0</v>
      </c>
      <c r="M1112" s="913">
        <f t="shared" ca="1" si="172"/>
        <v>0</v>
      </c>
      <c r="N1112" s="996">
        <f t="shared" ca="1" si="173"/>
        <v>0</v>
      </c>
      <c r="O1112" s="997">
        <f t="shared" ca="1" si="174"/>
        <v>0</v>
      </c>
      <c r="P1112" s="1015" t="str">
        <f ca="1">IF($C1112="","",INDEX(NVLSX!$N$2:$N$6941,MATCH($C1112,NVLSX!$E$2:$E$6941,0)))</f>
        <v/>
      </c>
      <c r="Q1112" s="1016" t="str">
        <f ca="1">IF($R1112="","",IF(XKNVLSX!$X$1="",IF($P1112=$V$7,$P1112, IF(COUNTIFS($C$2:$C1111,$C1112,$E$2:$E1111,$E1112)&gt;=1,"",$P1112)),     IF(AND(IFERROR(SEARCH($R1112,XKNVLSX!$X$1,1),0)&gt;=1,$P1112=$V$7),$P1112, IF(OR($R1112&lt;&gt;IF(IFERROR(SEARCH($R1112,XKNVLSX!$X$1,1),0)&gt;=1,$R1112,XKNVLSX!$X$1),COUNTIFS($C$2:$C1111,$C1112,$E$2:$E1111,$E1112,$Q$2:$Q1111,$P1112)&gt;=1),"",$P1112))))</f>
        <v/>
      </c>
      <c r="R1112" s="1017" t="str">
        <f ca="1">IF($A1112="","",IFERROR(INDEX(TinhGia!$BF$10:$BF$81,MATCH($A1112,TinhGia!$B$10:$B$81,0)),""))</f>
        <v/>
      </c>
      <c r="S1112" s="1012" t="str">
        <f ca="1">IF($A1112="","",IF(OR(IFERROR(SEARCH($R1112,XKNVLSX!$X$1,1),0)&gt;=1,XKNVLSX!$X$1=""),$S$2,""))</f>
        <v/>
      </c>
      <c r="T1112" s="1018" t="str">
        <f ca="1">IF($C1112="","", IF(OR($P1112=$V$1,$P1112=$V$7,COUNTIFS($C$3:$C1112,$C1112,$E$3:$E1112,$E1112)&lt;=1),$P1112,""    ))</f>
        <v/>
      </c>
      <c r="U1112" s="1019" t="str">
        <f ca="1">IF(AND($P1112=$V$2,COUNTIFS($C$3:$C1112,$C1112,$E$3:$E1112,$E1112,$G$3:$G1112,$G1112)&lt;=1),$P1112,"")</f>
        <v/>
      </c>
    </row>
    <row r="1113" spans="1:21">
      <c r="A1113" s="991" t="str">
        <f ca="1">IFERROR(IF(COUNTIF($A$3:A1112,A1112)&lt; INDEX(TinhGia!$BH$10:$BH$81,MATCH($A1112,TinhGia!$B$10:$B$81,0)),$A1112,INDEX(TinhGia!$B$10:$B$81,MATCH($A1112,TinhGia!$B$10:$B$81,0)+1)),"")</f>
        <v/>
      </c>
      <c r="B1113" s="525" t="str">
        <f ca="1">IF(OR(A1113="",A1113=0),"",IF(COUNTIF($A$2:A1113,$A1113)=1,ROW(MauKoXoa!$C$108),$B1112+1))</f>
        <v/>
      </c>
      <c r="C1113" s="992" t="str">
        <f t="shared" ca="1" si="165"/>
        <v/>
      </c>
      <c r="D1113" s="993" t="str">
        <f t="shared" ca="1" si="166"/>
        <v/>
      </c>
      <c r="E1113" s="993" t="str">
        <f t="shared" ca="1" si="167"/>
        <v/>
      </c>
      <c r="F1113" s="992" t="str">
        <f t="shared" ca="1" si="181"/>
        <v/>
      </c>
      <c r="G1113" s="994">
        <f t="shared" ca="1" si="168"/>
        <v>0</v>
      </c>
      <c r="H1113" s="913">
        <f t="shared" ca="1" si="169"/>
        <v>0</v>
      </c>
      <c r="I1113" s="913">
        <f t="shared" ca="1" si="170"/>
        <v>0</v>
      </c>
      <c r="J1113" s="995">
        <f t="shared" ca="1" si="182"/>
        <v>0</v>
      </c>
      <c r="K1113" s="913">
        <f t="shared" ca="1" si="171"/>
        <v>0</v>
      </c>
      <c r="L1113" s="995">
        <f t="shared" ca="1" si="183"/>
        <v>0</v>
      </c>
      <c r="M1113" s="913">
        <f t="shared" ca="1" si="172"/>
        <v>0</v>
      </c>
      <c r="N1113" s="996">
        <f t="shared" ca="1" si="173"/>
        <v>0</v>
      </c>
      <c r="O1113" s="997">
        <f t="shared" ca="1" si="174"/>
        <v>0</v>
      </c>
      <c r="P1113" s="1015" t="str">
        <f ca="1">IF($C1113="","",INDEX(NVLSX!$N$2:$N$6941,MATCH($C1113,NVLSX!$E$2:$E$6941,0)))</f>
        <v/>
      </c>
      <c r="Q1113" s="1016" t="str">
        <f ca="1">IF($R1113="","",IF(XKNVLSX!$X$1="",IF($P1113=$V$7,$P1113, IF(COUNTIFS($C$2:$C1112,$C1113,$E$2:$E1112,$E1113)&gt;=1,"",$P1113)),     IF(AND(IFERROR(SEARCH($R1113,XKNVLSX!$X$1,1),0)&gt;=1,$P1113=$V$7),$P1113, IF(OR($R1113&lt;&gt;IF(IFERROR(SEARCH($R1113,XKNVLSX!$X$1,1),0)&gt;=1,$R1113,XKNVLSX!$X$1),COUNTIFS($C$2:$C1112,$C1113,$E$2:$E1112,$E1113,$Q$2:$Q1112,$P1113)&gt;=1),"",$P1113))))</f>
        <v/>
      </c>
      <c r="R1113" s="1017" t="str">
        <f ca="1">IF($A1113="","",IFERROR(INDEX(TinhGia!$BF$10:$BF$81,MATCH($A1113,TinhGia!$B$10:$B$81,0)),""))</f>
        <v/>
      </c>
      <c r="S1113" s="1012" t="str">
        <f ca="1">IF($A1113="","",IF(OR(IFERROR(SEARCH($R1113,XKNVLSX!$X$1,1),0)&gt;=1,XKNVLSX!$X$1=""),$S$2,""))</f>
        <v/>
      </c>
      <c r="T1113" s="1018" t="str">
        <f ca="1">IF($C1113="","", IF(OR($P1113=$V$1,$P1113=$V$7,COUNTIFS($C$3:$C1113,$C1113,$E$3:$E1113,$E1113)&lt;=1),$P1113,""    ))</f>
        <v/>
      </c>
      <c r="U1113" s="1019" t="str">
        <f ca="1">IF(AND($P1113=$V$2,COUNTIFS($C$3:$C1113,$C1113,$E$3:$E1113,$E1113,$G$3:$G1113,$G1113)&lt;=1),$P1113,"")</f>
        <v/>
      </c>
    </row>
    <row r="1114" spans="1:21">
      <c r="A1114" s="991" t="str">
        <f ca="1">IFERROR(IF(COUNTIF($A$3:A1113,A1113)&lt; INDEX(TinhGia!$BH$10:$BH$81,MATCH($A1113,TinhGia!$B$10:$B$81,0)),$A1113,INDEX(TinhGia!$B$10:$B$81,MATCH($A1113,TinhGia!$B$10:$B$81,0)+1)),"")</f>
        <v/>
      </c>
      <c r="B1114" s="525" t="str">
        <f ca="1">IF(OR(A1114="",A1114=0),"",IF(COUNTIF($A$2:A1114,$A1114)=1,ROW(MauKoXoa!$C$108),$B1113+1))</f>
        <v/>
      </c>
      <c r="C1114" s="992" t="str">
        <f t="shared" ca="1" si="165"/>
        <v/>
      </c>
      <c r="D1114" s="993" t="str">
        <f t="shared" ca="1" si="166"/>
        <v/>
      </c>
      <c r="E1114" s="993" t="str">
        <f t="shared" ca="1" si="167"/>
        <v/>
      </c>
      <c r="F1114" s="992" t="str">
        <f t="shared" ca="1" si="181"/>
        <v/>
      </c>
      <c r="G1114" s="994">
        <f t="shared" ca="1" si="168"/>
        <v>0</v>
      </c>
      <c r="H1114" s="913">
        <f t="shared" ca="1" si="169"/>
        <v>0</v>
      </c>
      <c r="I1114" s="913">
        <f t="shared" ca="1" si="170"/>
        <v>0</v>
      </c>
      <c r="J1114" s="995">
        <f t="shared" ca="1" si="182"/>
        <v>0</v>
      </c>
      <c r="K1114" s="913">
        <f t="shared" ca="1" si="171"/>
        <v>0</v>
      </c>
      <c r="L1114" s="995">
        <f t="shared" ca="1" si="183"/>
        <v>0</v>
      </c>
      <c r="M1114" s="913">
        <f t="shared" ca="1" si="172"/>
        <v>0</v>
      </c>
      <c r="N1114" s="996">
        <f t="shared" ca="1" si="173"/>
        <v>0</v>
      </c>
      <c r="O1114" s="997">
        <f t="shared" ca="1" si="174"/>
        <v>0</v>
      </c>
      <c r="P1114" s="1015" t="str">
        <f ca="1">IF($C1114="","",INDEX(NVLSX!$N$2:$N$6941,MATCH($C1114,NVLSX!$E$2:$E$6941,0)))</f>
        <v/>
      </c>
      <c r="Q1114" s="1016" t="str">
        <f ca="1">IF($R1114="","",IF(XKNVLSX!$X$1="",IF($P1114=$V$7,$P1114, IF(COUNTIFS($C$2:$C1113,$C1114,$E$2:$E1113,$E1114)&gt;=1,"",$P1114)),     IF(AND(IFERROR(SEARCH($R1114,XKNVLSX!$X$1,1),0)&gt;=1,$P1114=$V$7),$P1114, IF(OR($R1114&lt;&gt;IF(IFERROR(SEARCH($R1114,XKNVLSX!$X$1,1),0)&gt;=1,$R1114,XKNVLSX!$X$1),COUNTIFS($C$2:$C1113,$C1114,$E$2:$E1113,$E1114,$Q$2:$Q1113,$P1114)&gt;=1),"",$P1114))))</f>
        <v/>
      </c>
      <c r="R1114" s="1017" t="str">
        <f ca="1">IF($A1114="","",IFERROR(INDEX(TinhGia!$BF$10:$BF$81,MATCH($A1114,TinhGia!$B$10:$B$81,0)),""))</f>
        <v/>
      </c>
      <c r="S1114" s="1012" t="str">
        <f ca="1">IF($A1114="","",IF(OR(IFERROR(SEARCH($R1114,XKNVLSX!$X$1,1),0)&gt;=1,XKNVLSX!$X$1=""),$S$2,""))</f>
        <v/>
      </c>
      <c r="T1114" s="1018" t="str">
        <f ca="1">IF($C1114="","", IF(OR($P1114=$V$1,$P1114=$V$7,COUNTIFS($C$3:$C1114,$C1114,$E$3:$E1114,$E1114)&lt;=1),$P1114,""    ))</f>
        <v/>
      </c>
      <c r="U1114" s="1019" t="str">
        <f ca="1">IF(AND($P1114=$V$2,COUNTIFS($C$3:$C1114,$C1114,$E$3:$E1114,$E1114,$G$3:$G1114,$G1114)&lt;=1),$P1114,"")</f>
        <v/>
      </c>
    </row>
    <row r="1115" spans="1:21">
      <c r="A1115" s="991" t="str">
        <f ca="1">IFERROR(IF(COUNTIF($A$3:A1114,A1114)&lt; INDEX(TinhGia!$BH$10:$BH$81,MATCH($A1114,TinhGia!$B$10:$B$81,0)),$A1114,INDEX(TinhGia!$B$10:$B$81,MATCH($A1114,TinhGia!$B$10:$B$81,0)+1)),"")</f>
        <v/>
      </c>
      <c r="B1115" s="525" t="str">
        <f ca="1">IF(OR(A1115="",A1115=0),"",IF(COUNTIF($A$2:A1115,$A1115)=1,ROW(MauKoXoa!$C$108),$B1114+1))</f>
        <v/>
      </c>
      <c r="C1115" s="992" t="str">
        <f t="shared" ca="1" si="165"/>
        <v/>
      </c>
      <c r="D1115" s="993" t="str">
        <f t="shared" ca="1" si="166"/>
        <v/>
      </c>
      <c r="E1115" s="993" t="str">
        <f t="shared" ca="1" si="167"/>
        <v/>
      </c>
      <c r="F1115" s="992" t="str">
        <f t="shared" ca="1" si="181"/>
        <v/>
      </c>
      <c r="G1115" s="994">
        <f t="shared" ca="1" si="168"/>
        <v>0</v>
      </c>
      <c r="H1115" s="913">
        <f t="shared" ca="1" si="169"/>
        <v>0</v>
      </c>
      <c r="I1115" s="913">
        <f t="shared" ca="1" si="170"/>
        <v>0</v>
      </c>
      <c r="J1115" s="995">
        <f t="shared" ca="1" si="182"/>
        <v>0</v>
      </c>
      <c r="K1115" s="913">
        <f t="shared" ca="1" si="171"/>
        <v>0</v>
      </c>
      <c r="L1115" s="995">
        <f t="shared" ca="1" si="183"/>
        <v>0</v>
      </c>
      <c r="M1115" s="913">
        <f t="shared" ca="1" si="172"/>
        <v>0</v>
      </c>
      <c r="N1115" s="996">
        <f t="shared" ca="1" si="173"/>
        <v>0</v>
      </c>
      <c r="O1115" s="997">
        <f t="shared" ca="1" si="174"/>
        <v>0</v>
      </c>
      <c r="P1115" s="1015" t="str">
        <f ca="1">IF($C1115="","",INDEX(NVLSX!$N$2:$N$6941,MATCH($C1115,NVLSX!$E$2:$E$6941,0)))</f>
        <v/>
      </c>
      <c r="Q1115" s="1016" t="str">
        <f ca="1">IF($R1115="","",IF(XKNVLSX!$X$1="",IF($P1115=$V$7,$P1115, IF(COUNTIFS($C$2:$C1114,$C1115,$E$2:$E1114,$E1115)&gt;=1,"",$P1115)),     IF(AND(IFERROR(SEARCH($R1115,XKNVLSX!$X$1,1),0)&gt;=1,$P1115=$V$7),$P1115, IF(OR($R1115&lt;&gt;IF(IFERROR(SEARCH($R1115,XKNVLSX!$X$1,1),0)&gt;=1,$R1115,XKNVLSX!$X$1),COUNTIFS($C$2:$C1114,$C1115,$E$2:$E1114,$E1115,$Q$2:$Q1114,$P1115)&gt;=1),"",$P1115))))</f>
        <v/>
      </c>
      <c r="R1115" s="1017" t="str">
        <f ca="1">IF($A1115="","",IFERROR(INDEX(TinhGia!$BF$10:$BF$81,MATCH($A1115,TinhGia!$B$10:$B$81,0)),""))</f>
        <v/>
      </c>
      <c r="S1115" s="1012" t="str">
        <f ca="1">IF($A1115="","",IF(OR(IFERROR(SEARCH($R1115,XKNVLSX!$X$1,1),0)&gt;=1,XKNVLSX!$X$1=""),$S$2,""))</f>
        <v/>
      </c>
      <c r="T1115" s="1018" t="str">
        <f ca="1">IF($C1115="","", IF(OR($P1115=$V$1,$P1115=$V$7,COUNTIFS($C$3:$C1115,$C1115,$E$3:$E1115,$E1115)&lt;=1),$P1115,""    ))</f>
        <v/>
      </c>
      <c r="U1115" s="1019" t="str">
        <f ca="1">IF(AND($P1115=$V$2,COUNTIFS($C$3:$C1115,$C1115,$E$3:$E1115,$E1115,$G$3:$G1115,$G1115)&lt;=1),$P1115,"")</f>
        <v/>
      </c>
    </row>
    <row r="1116" spans="1:21">
      <c r="A1116" s="991" t="str">
        <f ca="1">IFERROR(IF(COUNTIF($A$3:A1115,A1115)&lt; INDEX(TinhGia!$BH$10:$BH$81,MATCH($A1115,TinhGia!$B$10:$B$81,0)),$A1115,INDEX(TinhGia!$B$10:$B$81,MATCH($A1115,TinhGia!$B$10:$B$81,0)+1)),"")</f>
        <v/>
      </c>
      <c r="B1116" s="525" t="str">
        <f ca="1">IF(OR(A1116="",A1116=0),"",IF(COUNTIF($A$2:A1116,$A1116)=1,ROW(MauKoXoa!$C$108),$B1115+1))</f>
        <v/>
      </c>
      <c r="C1116" s="992" t="str">
        <f t="shared" ca="1" si="165"/>
        <v/>
      </c>
      <c r="D1116" s="993" t="str">
        <f t="shared" ca="1" si="166"/>
        <v/>
      </c>
      <c r="E1116" s="993" t="str">
        <f t="shared" ca="1" si="167"/>
        <v/>
      </c>
      <c r="F1116" s="992" t="str">
        <f t="shared" ca="1" si="181"/>
        <v/>
      </c>
      <c r="G1116" s="994">
        <f t="shared" ca="1" si="168"/>
        <v>0</v>
      </c>
      <c r="H1116" s="913">
        <f t="shared" ca="1" si="169"/>
        <v>0</v>
      </c>
      <c r="I1116" s="913">
        <f t="shared" ca="1" si="170"/>
        <v>0</v>
      </c>
      <c r="J1116" s="995">
        <f t="shared" ca="1" si="182"/>
        <v>0</v>
      </c>
      <c r="K1116" s="913">
        <f t="shared" ca="1" si="171"/>
        <v>0</v>
      </c>
      <c r="L1116" s="995">
        <f t="shared" ca="1" si="183"/>
        <v>0</v>
      </c>
      <c r="M1116" s="913">
        <f t="shared" ca="1" si="172"/>
        <v>0</v>
      </c>
      <c r="N1116" s="996">
        <f t="shared" ca="1" si="173"/>
        <v>0</v>
      </c>
      <c r="O1116" s="997">
        <f t="shared" ca="1" si="174"/>
        <v>0</v>
      </c>
      <c r="P1116" s="1015" t="str">
        <f ca="1">IF($C1116="","",INDEX(NVLSX!$N$2:$N$6941,MATCH($C1116,NVLSX!$E$2:$E$6941,0)))</f>
        <v/>
      </c>
      <c r="Q1116" s="1016" t="str">
        <f ca="1">IF($R1116="","",IF(XKNVLSX!$X$1="",IF($P1116=$V$7,$P1116, IF(COUNTIFS($C$2:$C1115,$C1116,$E$2:$E1115,$E1116)&gt;=1,"",$P1116)),     IF(AND(IFERROR(SEARCH($R1116,XKNVLSX!$X$1,1),0)&gt;=1,$P1116=$V$7),$P1116, IF(OR($R1116&lt;&gt;IF(IFERROR(SEARCH($R1116,XKNVLSX!$X$1,1),0)&gt;=1,$R1116,XKNVLSX!$X$1),COUNTIFS($C$2:$C1115,$C1116,$E$2:$E1115,$E1116,$Q$2:$Q1115,$P1116)&gt;=1),"",$P1116))))</f>
        <v/>
      </c>
      <c r="R1116" s="1017" t="str">
        <f ca="1">IF($A1116="","",IFERROR(INDEX(TinhGia!$BF$10:$BF$81,MATCH($A1116,TinhGia!$B$10:$B$81,0)),""))</f>
        <v/>
      </c>
      <c r="S1116" s="1012" t="str">
        <f ca="1">IF($A1116="","",IF(OR(IFERROR(SEARCH($R1116,XKNVLSX!$X$1,1),0)&gt;=1,XKNVLSX!$X$1=""),$S$2,""))</f>
        <v/>
      </c>
      <c r="T1116" s="1018" t="str">
        <f ca="1">IF($C1116="","", IF(OR($P1116=$V$1,$P1116=$V$7,COUNTIFS($C$3:$C1116,$C1116,$E$3:$E1116,$E1116)&lt;=1),$P1116,""    ))</f>
        <v/>
      </c>
      <c r="U1116" s="1019" t="str">
        <f ca="1">IF(AND($P1116=$V$2,COUNTIFS($C$3:$C1116,$C1116,$E$3:$E1116,$E1116,$G$3:$G1116,$G1116)&lt;=1),$P1116,"")</f>
        <v/>
      </c>
    </row>
    <row r="1117" spans="1:21">
      <c r="A1117" s="991" t="str">
        <f ca="1">IFERROR(IF(COUNTIF($A$3:A1116,A1116)&lt; INDEX(TinhGia!$BH$10:$BH$81,MATCH($A1116,TinhGia!$B$10:$B$81,0)),$A1116,INDEX(TinhGia!$B$10:$B$81,MATCH($A1116,TinhGia!$B$10:$B$81,0)+1)),"")</f>
        <v/>
      </c>
      <c r="B1117" s="525" t="str">
        <f ca="1">IF(OR(A1117="",A1117=0),"",IF(COUNTIF($A$2:A1117,$A1117)=1,ROW(MauKoXoa!$C$108),$B1116+1))</f>
        <v/>
      </c>
      <c r="C1117" s="992" t="str">
        <f t="shared" ca="1" si="165"/>
        <v/>
      </c>
      <c r="D1117" s="993" t="str">
        <f t="shared" ca="1" si="166"/>
        <v/>
      </c>
      <c r="E1117" s="993" t="str">
        <f t="shared" ca="1" si="167"/>
        <v/>
      </c>
      <c r="F1117" s="992" t="str">
        <f t="shared" ca="1" si="181"/>
        <v/>
      </c>
      <c r="G1117" s="994">
        <f t="shared" ca="1" si="168"/>
        <v>0</v>
      </c>
      <c r="H1117" s="913">
        <f t="shared" ca="1" si="169"/>
        <v>0</v>
      </c>
      <c r="I1117" s="913">
        <f t="shared" ca="1" si="170"/>
        <v>0</v>
      </c>
      <c r="J1117" s="995">
        <f t="shared" ca="1" si="182"/>
        <v>0</v>
      </c>
      <c r="K1117" s="913">
        <f t="shared" ca="1" si="171"/>
        <v>0</v>
      </c>
      <c r="L1117" s="995">
        <f t="shared" ca="1" si="183"/>
        <v>0</v>
      </c>
      <c r="M1117" s="913">
        <f t="shared" ca="1" si="172"/>
        <v>0</v>
      </c>
      <c r="N1117" s="996">
        <f t="shared" ca="1" si="173"/>
        <v>0</v>
      </c>
      <c r="O1117" s="997">
        <f t="shared" ca="1" si="174"/>
        <v>0</v>
      </c>
      <c r="P1117" s="1015" t="str">
        <f ca="1">IF($C1117="","",INDEX(NVLSX!$N$2:$N$6941,MATCH($C1117,NVLSX!$E$2:$E$6941,0)))</f>
        <v/>
      </c>
      <c r="Q1117" s="1016" t="str">
        <f ca="1">IF($R1117="","",IF(XKNVLSX!$X$1="",IF($P1117=$V$7,$P1117, IF(COUNTIFS($C$2:$C1116,$C1117,$E$2:$E1116,$E1117)&gt;=1,"",$P1117)),     IF(AND(IFERROR(SEARCH($R1117,XKNVLSX!$X$1,1),0)&gt;=1,$P1117=$V$7),$P1117, IF(OR($R1117&lt;&gt;IF(IFERROR(SEARCH($R1117,XKNVLSX!$X$1,1),0)&gt;=1,$R1117,XKNVLSX!$X$1),COUNTIFS($C$2:$C1116,$C1117,$E$2:$E1116,$E1117,$Q$2:$Q1116,$P1117)&gt;=1),"",$P1117))))</f>
        <v/>
      </c>
      <c r="R1117" s="1017" t="str">
        <f ca="1">IF($A1117="","",IFERROR(INDEX(TinhGia!$BF$10:$BF$81,MATCH($A1117,TinhGia!$B$10:$B$81,0)),""))</f>
        <v/>
      </c>
      <c r="S1117" s="1012" t="str">
        <f ca="1">IF($A1117="","",IF(OR(IFERROR(SEARCH($R1117,XKNVLSX!$X$1,1),0)&gt;=1,XKNVLSX!$X$1=""),$S$2,""))</f>
        <v/>
      </c>
      <c r="T1117" s="1018" t="str">
        <f ca="1">IF($C1117="","", IF(OR($P1117=$V$1,$P1117=$V$7,COUNTIFS($C$3:$C1117,$C1117,$E$3:$E1117,$E1117)&lt;=1),$P1117,""    ))</f>
        <v/>
      </c>
      <c r="U1117" s="1019" t="str">
        <f ca="1">IF(AND($P1117=$V$2,COUNTIFS($C$3:$C1117,$C1117,$E$3:$E1117,$E1117,$G$3:$G1117,$G1117)&lt;=1),$P1117,"")</f>
        <v/>
      </c>
    </row>
    <row r="1118" spans="1:21">
      <c r="A1118" s="991" t="str">
        <f ca="1">IFERROR(IF(COUNTIF($A$3:A1117,A1117)&lt; INDEX(TinhGia!$BH$10:$BH$81,MATCH($A1117,TinhGia!$B$10:$B$81,0)),$A1117,INDEX(TinhGia!$B$10:$B$81,MATCH($A1117,TinhGia!$B$10:$B$81,0)+1)),"")</f>
        <v/>
      </c>
      <c r="B1118" s="525" t="str">
        <f ca="1">IF(OR(A1118="",A1118=0),"",IF(COUNTIF($A$2:A1118,$A1118)=1,ROW(MauKoXoa!$C$108),$B1117+1))</f>
        <v/>
      </c>
      <c r="C1118" s="992" t="str">
        <f t="shared" ca="1" si="165"/>
        <v/>
      </c>
      <c r="D1118" s="993" t="str">
        <f t="shared" ca="1" si="166"/>
        <v/>
      </c>
      <c r="E1118" s="993" t="str">
        <f t="shared" ca="1" si="167"/>
        <v/>
      </c>
      <c r="F1118" s="992" t="str">
        <f t="shared" ca="1" si="181"/>
        <v/>
      </c>
      <c r="G1118" s="994">
        <f t="shared" ca="1" si="168"/>
        <v>0</v>
      </c>
      <c r="H1118" s="913">
        <f t="shared" ca="1" si="169"/>
        <v>0</v>
      </c>
      <c r="I1118" s="913">
        <f t="shared" ca="1" si="170"/>
        <v>0</v>
      </c>
      <c r="J1118" s="995">
        <f t="shared" ca="1" si="182"/>
        <v>0</v>
      </c>
      <c r="K1118" s="913">
        <f t="shared" ca="1" si="171"/>
        <v>0</v>
      </c>
      <c r="L1118" s="995">
        <f t="shared" ca="1" si="183"/>
        <v>0</v>
      </c>
      <c r="M1118" s="913">
        <f t="shared" ca="1" si="172"/>
        <v>0</v>
      </c>
      <c r="N1118" s="996">
        <f t="shared" ca="1" si="173"/>
        <v>0</v>
      </c>
      <c r="O1118" s="997">
        <f t="shared" ca="1" si="174"/>
        <v>0</v>
      </c>
      <c r="P1118" s="1015" t="str">
        <f ca="1">IF($C1118="","",INDEX(NVLSX!$N$2:$N$6941,MATCH($C1118,NVLSX!$E$2:$E$6941,0)))</f>
        <v/>
      </c>
      <c r="Q1118" s="1016" t="str">
        <f ca="1">IF($R1118="","",IF(XKNVLSX!$X$1="",IF($P1118=$V$7,$P1118, IF(COUNTIFS($C$2:$C1117,$C1118,$E$2:$E1117,$E1118)&gt;=1,"",$P1118)),     IF(AND(IFERROR(SEARCH($R1118,XKNVLSX!$X$1,1),0)&gt;=1,$P1118=$V$7),$P1118, IF(OR($R1118&lt;&gt;IF(IFERROR(SEARCH($R1118,XKNVLSX!$X$1,1),0)&gt;=1,$R1118,XKNVLSX!$X$1),COUNTIFS($C$2:$C1117,$C1118,$E$2:$E1117,$E1118,$Q$2:$Q1117,$P1118)&gt;=1),"",$P1118))))</f>
        <v/>
      </c>
      <c r="R1118" s="1017" t="str">
        <f ca="1">IF($A1118="","",IFERROR(INDEX(TinhGia!$BF$10:$BF$81,MATCH($A1118,TinhGia!$B$10:$B$81,0)),""))</f>
        <v/>
      </c>
      <c r="S1118" s="1012" t="str">
        <f ca="1">IF($A1118="","",IF(OR(IFERROR(SEARCH($R1118,XKNVLSX!$X$1,1),0)&gt;=1,XKNVLSX!$X$1=""),$S$2,""))</f>
        <v/>
      </c>
      <c r="T1118" s="1018" t="str">
        <f ca="1">IF($C1118="","", IF(OR($P1118=$V$1,$P1118=$V$7,COUNTIFS($C$3:$C1118,$C1118,$E$3:$E1118,$E1118)&lt;=1),$P1118,""    ))</f>
        <v/>
      </c>
      <c r="U1118" s="1019" t="str">
        <f ca="1">IF(AND($P1118=$V$2,COUNTIFS($C$3:$C1118,$C1118,$E$3:$E1118,$E1118,$G$3:$G1118,$G1118)&lt;=1),$P1118,"")</f>
        <v/>
      </c>
    </row>
    <row r="1119" spans="1:21">
      <c r="A1119" s="991" t="str">
        <f ca="1">IFERROR(IF(COUNTIF($A$3:A1118,A1118)&lt; INDEX(TinhGia!$BH$10:$BH$81,MATCH($A1118,TinhGia!$B$10:$B$81,0)),$A1118,INDEX(TinhGia!$B$10:$B$81,MATCH($A1118,TinhGia!$B$10:$B$81,0)+1)),"")</f>
        <v/>
      </c>
      <c r="B1119" s="525" t="str">
        <f ca="1">IF(OR(A1119="",A1119=0),"",IF(COUNTIF($A$2:A1119,$A1119)=1,ROW(MauKoXoa!$C$108),$B1118+1))</f>
        <v/>
      </c>
      <c r="C1119" s="992" t="str">
        <f t="shared" ca="1" si="165"/>
        <v/>
      </c>
      <c r="D1119" s="993" t="str">
        <f t="shared" ca="1" si="166"/>
        <v/>
      </c>
      <c r="E1119" s="993" t="str">
        <f t="shared" ca="1" si="167"/>
        <v/>
      </c>
      <c r="F1119" s="992" t="str">
        <f t="shared" ca="1" si="181"/>
        <v/>
      </c>
      <c r="G1119" s="994">
        <f t="shared" ca="1" si="168"/>
        <v>0</v>
      </c>
      <c r="H1119" s="913">
        <f t="shared" ca="1" si="169"/>
        <v>0</v>
      </c>
      <c r="I1119" s="913">
        <f t="shared" ca="1" si="170"/>
        <v>0</v>
      </c>
      <c r="J1119" s="995">
        <f t="shared" ca="1" si="182"/>
        <v>0</v>
      </c>
      <c r="K1119" s="913">
        <f t="shared" ca="1" si="171"/>
        <v>0</v>
      </c>
      <c r="L1119" s="995">
        <f t="shared" ca="1" si="183"/>
        <v>0</v>
      </c>
      <c r="M1119" s="913">
        <f t="shared" ca="1" si="172"/>
        <v>0</v>
      </c>
      <c r="N1119" s="996">
        <f t="shared" ca="1" si="173"/>
        <v>0</v>
      </c>
      <c r="O1119" s="997">
        <f t="shared" ca="1" si="174"/>
        <v>0</v>
      </c>
      <c r="P1119" s="1015" t="str">
        <f ca="1">IF($C1119="","",INDEX(NVLSX!$N$2:$N$6941,MATCH($C1119,NVLSX!$E$2:$E$6941,0)))</f>
        <v/>
      </c>
      <c r="Q1119" s="1016" t="str">
        <f ca="1">IF($R1119="","",IF(XKNVLSX!$X$1="",IF($P1119=$V$7,$P1119, IF(COUNTIFS($C$2:$C1118,$C1119,$E$2:$E1118,$E1119)&gt;=1,"",$P1119)),     IF(AND(IFERROR(SEARCH($R1119,XKNVLSX!$X$1,1),0)&gt;=1,$P1119=$V$7),$P1119, IF(OR($R1119&lt;&gt;IF(IFERROR(SEARCH($R1119,XKNVLSX!$X$1,1),0)&gt;=1,$R1119,XKNVLSX!$X$1),COUNTIFS($C$2:$C1118,$C1119,$E$2:$E1118,$E1119,$Q$2:$Q1118,$P1119)&gt;=1),"",$P1119))))</f>
        <v/>
      </c>
      <c r="R1119" s="1017" t="str">
        <f ca="1">IF($A1119="","",IFERROR(INDEX(TinhGia!$BF$10:$BF$81,MATCH($A1119,TinhGia!$B$10:$B$81,0)),""))</f>
        <v/>
      </c>
      <c r="S1119" s="1012" t="str">
        <f ca="1">IF($A1119="","",IF(OR(IFERROR(SEARCH($R1119,XKNVLSX!$X$1,1),0)&gt;=1,XKNVLSX!$X$1=""),$S$2,""))</f>
        <v/>
      </c>
      <c r="T1119" s="1018" t="str">
        <f ca="1">IF($C1119="","", IF(OR($P1119=$V$1,$P1119=$V$7,COUNTIFS($C$3:$C1119,$C1119,$E$3:$E1119,$E1119)&lt;=1),$P1119,""    ))</f>
        <v/>
      </c>
      <c r="U1119" s="1019" t="str">
        <f ca="1">IF(AND($P1119=$V$2,COUNTIFS($C$3:$C1119,$C1119,$E$3:$E1119,$E1119,$G$3:$G1119,$G1119)&lt;=1),$P1119,"")</f>
        <v/>
      </c>
    </row>
    <row r="1120" spans="1:21">
      <c r="A1120" s="991" t="str">
        <f ca="1">IFERROR(IF(COUNTIF($A$3:A1119,A1119)&lt; INDEX(TinhGia!$BH$10:$BH$81,MATCH($A1119,TinhGia!$B$10:$B$81,0)),$A1119,INDEX(TinhGia!$B$10:$B$81,MATCH($A1119,TinhGia!$B$10:$B$81,0)+1)),"")</f>
        <v/>
      </c>
      <c r="B1120" s="525" t="str">
        <f ca="1">IF(OR(A1120="",A1120=0),"",IF(COUNTIF($A$2:A1120,$A1120)=1,ROW(MauKoXoa!$C$108),$B1119+1))</f>
        <v/>
      </c>
      <c r="C1120" s="992" t="str">
        <f t="shared" ca="1" si="165"/>
        <v/>
      </c>
      <c r="D1120" s="993" t="str">
        <f t="shared" ca="1" si="166"/>
        <v/>
      </c>
      <c r="E1120" s="993" t="str">
        <f t="shared" ca="1" si="167"/>
        <v/>
      </c>
      <c r="F1120" s="992" t="str">
        <f t="shared" ca="1" si="181"/>
        <v/>
      </c>
      <c r="G1120" s="994">
        <f t="shared" ca="1" si="168"/>
        <v>0</v>
      </c>
      <c r="H1120" s="913">
        <f t="shared" ca="1" si="169"/>
        <v>0</v>
      </c>
      <c r="I1120" s="913">
        <f t="shared" ca="1" si="170"/>
        <v>0</v>
      </c>
      <c r="J1120" s="995">
        <f t="shared" ca="1" si="182"/>
        <v>0</v>
      </c>
      <c r="K1120" s="913">
        <f t="shared" ca="1" si="171"/>
        <v>0</v>
      </c>
      <c r="L1120" s="995">
        <f t="shared" ca="1" si="183"/>
        <v>0</v>
      </c>
      <c r="M1120" s="913">
        <f t="shared" ca="1" si="172"/>
        <v>0</v>
      </c>
      <c r="N1120" s="996">
        <f t="shared" ca="1" si="173"/>
        <v>0</v>
      </c>
      <c r="O1120" s="997">
        <f t="shared" ca="1" si="174"/>
        <v>0</v>
      </c>
      <c r="P1120" s="1015" t="str">
        <f ca="1">IF($C1120="","",INDEX(NVLSX!$N$2:$N$6941,MATCH($C1120,NVLSX!$E$2:$E$6941,0)))</f>
        <v/>
      </c>
      <c r="Q1120" s="1016" t="str">
        <f ca="1">IF($R1120="","",IF(XKNVLSX!$X$1="",IF($P1120=$V$7,$P1120, IF(COUNTIFS($C$2:$C1119,$C1120,$E$2:$E1119,$E1120)&gt;=1,"",$P1120)),     IF(AND(IFERROR(SEARCH($R1120,XKNVLSX!$X$1,1),0)&gt;=1,$P1120=$V$7),$P1120, IF(OR($R1120&lt;&gt;IF(IFERROR(SEARCH($R1120,XKNVLSX!$X$1,1),0)&gt;=1,$R1120,XKNVLSX!$X$1),COUNTIFS($C$2:$C1119,$C1120,$E$2:$E1119,$E1120,$Q$2:$Q1119,$P1120)&gt;=1),"",$P1120))))</f>
        <v/>
      </c>
      <c r="R1120" s="1017" t="str">
        <f ca="1">IF($A1120="","",IFERROR(INDEX(TinhGia!$BF$10:$BF$81,MATCH($A1120,TinhGia!$B$10:$B$81,0)),""))</f>
        <v/>
      </c>
      <c r="S1120" s="1012" t="str">
        <f ca="1">IF($A1120="","",IF(OR(IFERROR(SEARCH($R1120,XKNVLSX!$X$1,1),0)&gt;=1,XKNVLSX!$X$1=""),$S$2,""))</f>
        <v/>
      </c>
      <c r="T1120" s="1018" t="str">
        <f ca="1">IF($C1120="","", IF(OR($P1120=$V$1,$P1120=$V$7,COUNTIFS($C$3:$C1120,$C1120,$E$3:$E1120,$E1120)&lt;=1),$P1120,""    ))</f>
        <v/>
      </c>
      <c r="U1120" s="1019" t="str">
        <f ca="1">IF(AND($P1120=$V$2,COUNTIFS($C$3:$C1120,$C1120,$E$3:$E1120,$E1120,$G$3:$G1120,$G1120)&lt;=1),$P1120,"")</f>
        <v/>
      </c>
    </row>
    <row r="1121" spans="1:21">
      <c r="A1121" s="991" t="str">
        <f ca="1">IFERROR(IF(COUNTIF($A$3:A1120,A1120)&lt; INDEX(TinhGia!$BH$10:$BH$81,MATCH($A1120,TinhGia!$B$10:$B$81,0)),$A1120,INDEX(TinhGia!$B$10:$B$81,MATCH($A1120,TinhGia!$B$10:$B$81,0)+1)),"")</f>
        <v/>
      </c>
      <c r="B1121" s="525" t="str">
        <f ca="1">IF(OR(A1121="",A1121=0),"",IF(COUNTIF($A$2:A1121,$A1121)=1,ROW(MauKoXoa!$C$108),$B1120+1))</f>
        <v/>
      </c>
      <c r="C1121" s="992" t="str">
        <f t="shared" ca="1" si="165"/>
        <v/>
      </c>
      <c r="D1121" s="993" t="str">
        <f t="shared" ca="1" si="166"/>
        <v/>
      </c>
      <c r="E1121" s="993" t="str">
        <f t="shared" ca="1" si="167"/>
        <v/>
      </c>
      <c r="F1121" s="992" t="str">
        <f t="shared" ca="1" si="181"/>
        <v/>
      </c>
      <c r="G1121" s="994">
        <f t="shared" ca="1" si="168"/>
        <v>0</v>
      </c>
      <c r="H1121" s="913">
        <f t="shared" ca="1" si="169"/>
        <v>0</v>
      </c>
      <c r="I1121" s="913">
        <f t="shared" ca="1" si="170"/>
        <v>0</v>
      </c>
      <c r="J1121" s="995">
        <f t="shared" ca="1" si="182"/>
        <v>0</v>
      </c>
      <c r="K1121" s="913">
        <f t="shared" ca="1" si="171"/>
        <v>0</v>
      </c>
      <c r="L1121" s="995">
        <f t="shared" ca="1" si="183"/>
        <v>0</v>
      </c>
      <c r="M1121" s="913">
        <f t="shared" ca="1" si="172"/>
        <v>0</v>
      </c>
      <c r="N1121" s="996">
        <f t="shared" ca="1" si="173"/>
        <v>0</v>
      </c>
      <c r="O1121" s="997">
        <f t="shared" ca="1" si="174"/>
        <v>0</v>
      </c>
      <c r="P1121" s="1015" t="str">
        <f ca="1">IF($C1121="","",INDEX(NVLSX!$N$2:$N$6941,MATCH($C1121,NVLSX!$E$2:$E$6941,0)))</f>
        <v/>
      </c>
      <c r="Q1121" s="1016" t="str">
        <f ca="1">IF($R1121="","",IF(XKNVLSX!$X$1="",IF($P1121=$V$7,$P1121, IF(COUNTIFS($C$2:$C1120,$C1121,$E$2:$E1120,$E1121)&gt;=1,"",$P1121)),     IF(AND(IFERROR(SEARCH($R1121,XKNVLSX!$X$1,1),0)&gt;=1,$P1121=$V$7),$P1121, IF(OR($R1121&lt;&gt;IF(IFERROR(SEARCH($R1121,XKNVLSX!$X$1,1),0)&gt;=1,$R1121,XKNVLSX!$X$1),COUNTIFS($C$2:$C1120,$C1121,$E$2:$E1120,$E1121,$Q$2:$Q1120,$P1121)&gt;=1),"",$P1121))))</f>
        <v/>
      </c>
      <c r="R1121" s="1017" t="str">
        <f ca="1">IF($A1121="","",IFERROR(INDEX(TinhGia!$BF$10:$BF$81,MATCH($A1121,TinhGia!$B$10:$B$81,0)),""))</f>
        <v/>
      </c>
      <c r="S1121" s="1012" t="str">
        <f ca="1">IF($A1121="","",IF(OR(IFERROR(SEARCH($R1121,XKNVLSX!$X$1,1),0)&gt;=1,XKNVLSX!$X$1=""),$S$2,""))</f>
        <v/>
      </c>
      <c r="T1121" s="1018" t="str">
        <f ca="1">IF($C1121="","", IF(OR($P1121=$V$1,$P1121=$V$7,COUNTIFS($C$3:$C1121,$C1121,$E$3:$E1121,$E1121)&lt;=1),$P1121,""    ))</f>
        <v/>
      </c>
      <c r="U1121" s="1019" t="str">
        <f ca="1">IF(AND($P1121=$V$2,COUNTIFS($C$3:$C1121,$C1121,$E$3:$E1121,$E1121,$G$3:$G1121,$G1121)&lt;=1),$P1121,"")</f>
        <v/>
      </c>
    </row>
    <row r="1122" spans="1:21">
      <c r="A1122" s="991" t="str">
        <f ca="1">IFERROR(IF(COUNTIF($A$3:A1121,A1121)&lt; INDEX(TinhGia!$BH$10:$BH$81,MATCH($A1121,TinhGia!$B$10:$B$81,0)),$A1121,INDEX(TinhGia!$B$10:$B$81,MATCH($A1121,TinhGia!$B$10:$B$81,0)+1)),"")</f>
        <v/>
      </c>
      <c r="B1122" s="525" t="str">
        <f ca="1">IF(OR(A1122="",A1122=0),"",IF(COUNTIF($A$2:A1122,$A1122)=1,ROW(MauKoXoa!$C$108),$B1121+1))</f>
        <v/>
      </c>
      <c r="C1122" s="992" t="str">
        <f t="shared" ca="1" si="165"/>
        <v/>
      </c>
      <c r="D1122" s="993" t="str">
        <f t="shared" ca="1" si="166"/>
        <v/>
      </c>
      <c r="E1122" s="993" t="str">
        <f t="shared" ca="1" si="167"/>
        <v/>
      </c>
      <c r="F1122" s="992" t="str">
        <f t="shared" ca="1" si="181"/>
        <v/>
      </c>
      <c r="G1122" s="994">
        <f t="shared" ca="1" si="168"/>
        <v>0</v>
      </c>
      <c r="H1122" s="913">
        <f t="shared" ca="1" si="169"/>
        <v>0</v>
      </c>
      <c r="I1122" s="913">
        <f t="shared" ca="1" si="170"/>
        <v>0</v>
      </c>
      <c r="J1122" s="995">
        <f t="shared" ca="1" si="182"/>
        <v>0</v>
      </c>
      <c r="K1122" s="913">
        <f t="shared" ca="1" si="171"/>
        <v>0</v>
      </c>
      <c r="L1122" s="995">
        <f t="shared" ca="1" si="183"/>
        <v>0</v>
      </c>
      <c r="M1122" s="913">
        <f t="shared" ca="1" si="172"/>
        <v>0</v>
      </c>
      <c r="N1122" s="996">
        <f t="shared" ca="1" si="173"/>
        <v>0</v>
      </c>
      <c r="O1122" s="997">
        <f t="shared" ca="1" si="174"/>
        <v>0</v>
      </c>
      <c r="P1122" s="1015" t="str">
        <f ca="1">IF($C1122="","",INDEX(NVLSX!$N$2:$N$6941,MATCH($C1122,NVLSX!$E$2:$E$6941,0)))</f>
        <v/>
      </c>
      <c r="Q1122" s="1016" t="str">
        <f ca="1">IF($R1122="","",IF(XKNVLSX!$X$1="",IF($P1122=$V$7,$P1122, IF(COUNTIFS($C$2:$C1121,$C1122,$E$2:$E1121,$E1122)&gt;=1,"",$P1122)),     IF(AND(IFERROR(SEARCH($R1122,XKNVLSX!$X$1,1),0)&gt;=1,$P1122=$V$7),$P1122, IF(OR($R1122&lt;&gt;IF(IFERROR(SEARCH($R1122,XKNVLSX!$X$1,1),0)&gt;=1,$R1122,XKNVLSX!$X$1),COUNTIFS($C$2:$C1121,$C1122,$E$2:$E1121,$E1122,$Q$2:$Q1121,$P1122)&gt;=1),"",$P1122))))</f>
        <v/>
      </c>
      <c r="R1122" s="1017" t="str">
        <f ca="1">IF($A1122="","",IFERROR(INDEX(TinhGia!$BF$10:$BF$81,MATCH($A1122,TinhGia!$B$10:$B$81,0)),""))</f>
        <v/>
      </c>
      <c r="S1122" s="1012" t="str">
        <f ca="1">IF($A1122="","",IF(OR(IFERROR(SEARCH($R1122,XKNVLSX!$X$1,1),0)&gt;=1,XKNVLSX!$X$1=""),$S$2,""))</f>
        <v/>
      </c>
      <c r="T1122" s="1018" t="str">
        <f ca="1">IF($C1122="","", IF(OR($P1122=$V$1,$P1122=$V$7,COUNTIFS($C$3:$C1122,$C1122,$E$3:$E1122,$E1122)&lt;=1),$P1122,""    ))</f>
        <v/>
      </c>
      <c r="U1122" s="1019" t="str">
        <f ca="1">IF(AND($P1122=$V$2,COUNTIFS($C$3:$C1122,$C1122,$E$3:$E1122,$E1122,$G$3:$G1122,$G1122)&lt;=1),$P1122,"")</f>
        <v/>
      </c>
    </row>
    <row r="1123" spans="1:21">
      <c r="A1123" s="991" t="str">
        <f ca="1">IFERROR(IF(COUNTIF($A$3:A1122,A1122)&lt; INDEX(TinhGia!$BH$10:$BH$81,MATCH($A1122,TinhGia!$B$10:$B$81,0)),$A1122,INDEX(TinhGia!$B$10:$B$81,MATCH($A1122,TinhGia!$B$10:$B$81,0)+1)),"")</f>
        <v/>
      </c>
      <c r="B1123" s="525" t="str">
        <f ca="1">IF(OR(A1123="",A1123=0),"",IF(COUNTIF($A$2:A1123,$A1123)=1,ROW(MauKoXoa!$C$108),$B1122+1))</f>
        <v/>
      </c>
      <c r="C1123" s="992" t="str">
        <f t="shared" ca="1" si="165"/>
        <v/>
      </c>
      <c r="D1123" s="993" t="str">
        <f t="shared" ca="1" si="166"/>
        <v/>
      </c>
      <c r="E1123" s="993" t="str">
        <f t="shared" ca="1" si="167"/>
        <v/>
      </c>
      <c r="F1123" s="992" t="str">
        <f t="shared" ca="1" si="181"/>
        <v/>
      </c>
      <c r="G1123" s="994">
        <f t="shared" ca="1" si="168"/>
        <v>0</v>
      </c>
      <c r="H1123" s="913">
        <f t="shared" ca="1" si="169"/>
        <v>0</v>
      </c>
      <c r="I1123" s="913">
        <f t="shared" ca="1" si="170"/>
        <v>0</v>
      </c>
      <c r="J1123" s="995">
        <f t="shared" ca="1" si="182"/>
        <v>0</v>
      </c>
      <c r="K1123" s="913">
        <f t="shared" ca="1" si="171"/>
        <v>0</v>
      </c>
      <c r="L1123" s="995">
        <f t="shared" ca="1" si="183"/>
        <v>0</v>
      </c>
      <c r="M1123" s="913">
        <f t="shared" ca="1" si="172"/>
        <v>0</v>
      </c>
      <c r="N1123" s="996">
        <f t="shared" ca="1" si="173"/>
        <v>0</v>
      </c>
      <c r="O1123" s="997">
        <f t="shared" ca="1" si="174"/>
        <v>0</v>
      </c>
      <c r="P1123" s="1015" t="str">
        <f ca="1">IF($C1123="","",INDEX(NVLSX!$N$2:$N$6941,MATCH($C1123,NVLSX!$E$2:$E$6941,0)))</f>
        <v/>
      </c>
      <c r="Q1123" s="1016" t="str">
        <f ca="1">IF($R1123="","",IF(XKNVLSX!$X$1="",IF($P1123=$V$7,$P1123, IF(COUNTIFS($C$2:$C1122,$C1123,$E$2:$E1122,$E1123)&gt;=1,"",$P1123)),     IF(AND(IFERROR(SEARCH($R1123,XKNVLSX!$X$1,1),0)&gt;=1,$P1123=$V$7),$P1123, IF(OR($R1123&lt;&gt;IF(IFERROR(SEARCH($R1123,XKNVLSX!$X$1,1),0)&gt;=1,$R1123,XKNVLSX!$X$1),COUNTIFS($C$2:$C1122,$C1123,$E$2:$E1122,$E1123,$Q$2:$Q1122,$P1123)&gt;=1),"",$P1123))))</f>
        <v/>
      </c>
      <c r="R1123" s="1017" t="str">
        <f ca="1">IF($A1123="","",IFERROR(INDEX(TinhGia!$BF$10:$BF$81,MATCH($A1123,TinhGia!$B$10:$B$81,0)),""))</f>
        <v/>
      </c>
      <c r="S1123" s="1012" t="str">
        <f ca="1">IF($A1123="","",IF(OR(IFERROR(SEARCH($R1123,XKNVLSX!$X$1,1),0)&gt;=1,XKNVLSX!$X$1=""),$S$2,""))</f>
        <v/>
      </c>
      <c r="T1123" s="1018" t="str">
        <f ca="1">IF($C1123="","", IF(OR($P1123=$V$1,$P1123=$V$7,COUNTIFS($C$3:$C1123,$C1123,$E$3:$E1123,$E1123)&lt;=1),$P1123,""    ))</f>
        <v/>
      </c>
      <c r="U1123" s="1019" t="str">
        <f ca="1">IF(AND($P1123=$V$2,COUNTIFS($C$3:$C1123,$C1123,$E$3:$E1123,$E1123,$G$3:$G1123,$G1123)&lt;=1),$P1123,"")</f>
        <v/>
      </c>
    </row>
    <row r="1124" spans="1:21">
      <c r="A1124" s="991" t="str">
        <f ca="1">IFERROR(IF(COUNTIF($A$3:A1123,A1123)&lt; INDEX(TinhGia!$BH$10:$BH$81,MATCH($A1123,TinhGia!$B$10:$B$81,0)),$A1123,INDEX(TinhGia!$B$10:$B$81,MATCH($A1123,TinhGia!$B$10:$B$81,0)+1)),"")</f>
        <v/>
      </c>
      <c r="B1124" s="525" t="str">
        <f ca="1">IF(OR(A1124="",A1124=0),"",IF(COUNTIF($A$2:A1124,$A1124)=1,ROW(MauKoXoa!$C$108),$B1123+1))</f>
        <v/>
      </c>
      <c r="C1124" s="992" t="str">
        <f t="shared" ca="1" si="165"/>
        <v/>
      </c>
      <c r="D1124" s="993" t="str">
        <f t="shared" ca="1" si="166"/>
        <v/>
      </c>
      <c r="E1124" s="993" t="str">
        <f t="shared" ca="1" si="167"/>
        <v/>
      </c>
      <c r="F1124" s="992" t="str">
        <f t="shared" ca="1" si="181"/>
        <v/>
      </c>
      <c r="G1124" s="994">
        <f t="shared" ca="1" si="168"/>
        <v>0</v>
      </c>
      <c r="H1124" s="913">
        <f t="shared" ca="1" si="169"/>
        <v>0</v>
      </c>
      <c r="I1124" s="913">
        <f t="shared" ca="1" si="170"/>
        <v>0</v>
      </c>
      <c r="J1124" s="995">
        <f t="shared" ca="1" si="182"/>
        <v>0</v>
      </c>
      <c r="K1124" s="913">
        <f t="shared" ca="1" si="171"/>
        <v>0</v>
      </c>
      <c r="L1124" s="995">
        <f t="shared" ca="1" si="183"/>
        <v>0</v>
      </c>
      <c r="M1124" s="913">
        <f t="shared" ca="1" si="172"/>
        <v>0</v>
      </c>
      <c r="N1124" s="996">
        <f t="shared" ca="1" si="173"/>
        <v>0</v>
      </c>
      <c r="O1124" s="997">
        <f t="shared" ca="1" si="174"/>
        <v>0</v>
      </c>
      <c r="P1124" s="1015" t="str">
        <f ca="1">IF($C1124="","",INDEX(NVLSX!$N$2:$N$6941,MATCH($C1124,NVLSX!$E$2:$E$6941,0)))</f>
        <v/>
      </c>
      <c r="Q1124" s="1016" t="str">
        <f ca="1">IF($R1124="","",IF(XKNVLSX!$X$1="",IF($P1124=$V$7,$P1124, IF(COUNTIFS($C$2:$C1123,$C1124,$E$2:$E1123,$E1124)&gt;=1,"",$P1124)),     IF(AND(IFERROR(SEARCH($R1124,XKNVLSX!$X$1,1),0)&gt;=1,$P1124=$V$7),$P1124, IF(OR($R1124&lt;&gt;IF(IFERROR(SEARCH($R1124,XKNVLSX!$X$1,1),0)&gt;=1,$R1124,XKNVLSX!$X$1),COUNTIFS($C$2:$C1123,$C1124,$E$2:$E1123,$E1124,$Q$2:$Q1123,$P1124)&gt;=1),"",$P1124))))</f>
        <v/>
      </c>
      <c r="R1124" s="1017" t="str">
        <f ca="1">IF($A1124="","",IFERROR(INDEX(TinhGia!$BF$10:$BF$81,MATCH($A1124,TinhGia!$B$10:$B$81,0)),""))</f>
        <v/>
      </c>
      <c r="S1124" s="1012" t="str">
        <f ca="1">IF($A1124="","",IF(OR(IFERROR(SEARCH($R1124,XKNVLSX!$X$1,1),0)&gt;=1,XKNVLSX!$X$1=""),$S$2,""))</f>
        <v/>
      </c>
      <c r="T1124" s="1018" t="str">
        <f ca="1">IF($C1124="","", IF(OR($P1124=$V$1,$P1124=$V$7,COUNTIFS($C$3:$C1124,$C1124,$E$3:$E1124,$E1124)&lt;=1),$P1124,""    ))</f>
        <v/>
      </c>
      <c r="U1124" s="1019" t="str">
        <f ca="1">IF(AND($P1124=$V$2,COUNTIFS($C$3:$C1124,$C1124,$E$3:$E1124,$E1124,$G$3:$G1124,$G1124)&lt;=1),$P1124,"")</f>
        <v/>
      </c>
    </row>
    <row r="1125" spans="1:21">
      <c r="A1125" s="991" t="str">
        <f ca="1">IFERROR(IF(COUNTIF($A$3:A1124,A1124)&lt; INDEX(TinhGia!$BH$10:$BH$81,MATCH($A1124,TinhGia!$B$10:$B$81,0)),$A1124,INDEX(TinhGia!$B$10:$B$81,MATCH($A1124,TinhGia!$B$10:$B$81,0)+1)),"")</f>
        <v/>
      </c>
      <c r="B1125" s="525" t="str">
        <f ca="1">IF(OR(A1125="",A1125=0),"",IF(COUNTIF($A$2:A1125,$A1125)=1,ROW(MauKoXoa!$C$108),$B1124+1))</f>
        <v/>
      </c>
      <c r="C1125" s="992" t="str">
        <f t="shared" ca="1" si="165"/>
        <v/>
      </c>
      <c r="D1125" s="993" t="str">
        <f t="shared" ca="1" si="166"/>
        <v/>
      </c>
      <c r="E1125" s="993" t="str">
        <f t="shared" ca="1" si="167"/>
        <v/>
      </c>
      <c r="F1125" s="992" t="str">
        <f t="shared" ca="1" si="181"/>
        <v/>
      </c>
      <c r="G1125" s="994">
        <f t="shared" ca="1" si="168"/>
        <v>0</v>
      </c>
      <c r="H1125" s="913">
        <f t="shared" ca="1" si="169"/>
        <v>0</v>
      </c>
      <c r="I1125" s="913">
        <f t="shared" ca="1" si="170"/>
        <v>0</v>
      </c>
      <c r="J1125" s="995">
        <f t="shared" ca="1" si="182"/>
        <v>0</v>
      </c>
      <c r="K1125" s="913">
        <f t="shared" ca="1" si="171"/>
        <v>0</v>
      </c>
      <c r="L1125" s="995">
        <f t="shared" ca="1" si="183"/>
        <v>0</v>
      </c>
      <c r="M1125" s="913">
        <f t="shared" ca="1" si="172"/>
        <v>0</v>
      </c>
      <c r="N1125" s="996">
        <f t="shared" ca="1" si="173"/>
        <v>0</v>
      </c>
      <c r="O1125" s="997">
        <f t="shared" ca="1" si="174"/>
        <v>0</v>
      </c>
      <c r="P1125" s="1015" t="str">
        <f ca="1">IF($C1125="","",INDEX(NVLSX!$N$2:$N$6941,MATCH($C1125,NVLSX!$E$2:$E$6941,0)))</f>
        <v/>
      </c>
      <c r="Q1125" s="1016" t="str">
        <f ca="1">IF($R1125="","",IF(XKNVLSX!$X$1="",IF($P1125=$V$7,$P1125, IF(COUNTIFS($C$2:$C1124,$C1125,$E$2:$E1124,$E1125)&gt;=1,"",$P1125)),     IF(AND(IFERROR(SEARCH($R1125,XKNVLSX!$X$1,1),0)&gt;=1,$P1125=$V$7),$P1125, IF(OR($R1125&lt;&gt;IF(IFERROR(SEARCH($R1125,XKNVLSX!$X$1,1),0)&gt;=1,$R1125,XKNVLSX!$X$1),COUNTIFS($C$2:$C1124,$C1125,$E$2:$E1124,$E1125,$Q$2:$Q1124,$P1125)&gt;=1),"",$P1125))))</f>
        <v/>
      </c>
      <c r="R1125" s="1017" t="str">
        <f ca="1">IF($A1125="","",IFERROR(INDEX(TinhGia!$BF$10:$BF$81,MATCH($A1125,TinhGia!$B$10:$B$81,0)),""))</f>
        <v/>
      </c>
      <c r="S1125" s="1012" t="str">
        <f ca="1">IF($A1125="","",IF(OR(IFERROR(SEARCH($R1125,XKNVLSX!$X$1,1),0)&gt;=1,XKNVLSX!$X$1=""),$S$2,""))</f>
        <v/>
      </c>
      <c r="T1125" s="1018" t="str">
        <f ca="1">IF($C1125="","", IF(OR($P1125=$V$1,$P1125=$V$7,COUNTIFS($C$3:$C1125,$C1125,$E$3:$E1125,$E1125)&lt;=1),$P1125,""    ))</f>
        <v/>
      </c>
      <c r="U1125" s="1019" t="str">
        <f ca="1">IF(AND($P1125=$V$2,COUNTIFS($C$3:$C1125,$C1125,$E$3:$E1125,$E1125,$G$3:$G1125,$G1125)&lt;=1),$P1125,"")</f>
        <v/>
      </c>
    </row>
    <row r="1126" spans="1:21">
      <c r="A1126" s="991" t="str">
        <f ca="1">IFERROR(IF(COUNTIF($A$3:A1125,A1125)&lt; INDEX(TinhGia!$BH$10:$BH$81,MATCH($A1125,TinhGia!$B$10:$B$81,0)),$A1125,INDEX(TinhGia!$B$10:$B$81,MATCH($A1125,TinhGia!$B$10:$B$81,0)+1)),"")</f>
        <v/>
      </c>
      <c r="B1126" s="525" t="str">
        <f ca="1">IF(OR(A1126="",A1126=0),"",IF(COUNTIF($A$2:A1126,$A1126)=1,ROW(MauKoXoa!$C$108),$B1125+1))</f>
        <v/>
      </c>
      <c r="C1126" s="992" t="str">
        <f t="shared" ca="1" si="165"/>
        <v/>
      </c>
      <c r="D1126" s="993" t="str">
        <f t="shared" ca="1" si="166"/>
        <v/>
      </c>
      <c r="E1126" s="993" t="str">
        <f t="shared" ca="1" si="167"/>
        <v/>
      </c>
      <c r="F1126" s="992" t="str">
        <f t="shared" ca="1" si="181"/>
        <v/>
      </c>
      <c r="G1126" s="994">
        <f t="shared" ca="1" si="168"/>
        <v>0</v>
      </c>
      <c r="H1126" s="913">
        <f t="shared" ca="1" si="169"/>
        <v>0</v>
      </c>
      <c r="I1126" s="913">
        <f t="shared" ca="1" si="170"/>
        <v>0</v>
      </c>
      <c r="J1126" s="995">
        <f t="shared" ca="1" si="182"/>
        <v>0</v>
      </c>
      <c r="K1126" s="913">
        <f t="shared" ca="1" si="171"/>
        <v>0</v>
      </c>
      <c r="L1126" s="995">
        <f t="shared" ca="1" si="183"/>
        <v>0</v>
      </c>
      <c r="M1126" s="913">
        <f t="shared" ca="1" si="172"/>
        <v>0</v>
      </c>
      <c r="N1126" s="996">
        <f t="shared" ca="1" si="173"/>
        <v>0</v>
      </c>
      <c r="O1126" s="997">
        <f t="shared" ca="1" si="174"/>
        <v>0</v>
      </c>
      <c r="P1126" s="1015" t="str">
        <f ca="1">IF($C1126="","",INDEX(NVLSX!$N$2:$N$6941,MATCH($C1126,NVLSX!$E$2:$E$6941,0)))</f>
        <v/>
      </c>
      <c r="Q1126" s="1016" t="str">
        <f ca="1">IF($R1126="","",IF(XKNVLSX!$X$1="",IF($P1126=$V$7,$P1126, IF(COUNTIFS($C$2:$C1125,$C1126,$E$2:$E1125,$E1126)&gt;=1,"",$P1126)),     IF(AND(IFERROR(SEARCH($R1126,XKNVLSX!$X$1,1),0)&gt;=1,$P1126=$V$7),$P1126, IF(OR($R1126&lt;&gt;IF(IFERROR(SEARCH($R1126,XKNVLSX!$X$1,1),0)&gt;=1,$R1126,XKNVLSX!$X$1),COUNTIFS($C$2:$C1125,$C1126,$E$2:$E1125,$E1126,$Q$2:$Q1125,$P1126)&gt;=1),"",$P1126))))</f>
        <v/>
      </c>
      <c r="R1126" s="1017" t="str">
        <f ca="1">IF($A1126="","",IFERROR(INDEX(TinhGia!$BF$10:$BF$81,MATCH($A1126,TinhGia!$B$10:$B$81,0)),""))</f>
        <v/>
      </c>
      <c r="S1126" s="1012" t="str">
        <f ca="1">IF($A1126="","",IF(OR(IFERROR(SEARCH($R1126,XKNVLSX!$X$1,1),0)&gt;=1,XKNVLSX!$X$1=""),$S$2,""))</f>
        <v/>
      </c>
      <c r="T1126" s="1018" t="str">
        <f ca="1">IF($C1126="","", IF(OR($P1126=$V$1,$P1126=$V$7,COUNTIFS($C$3:$C1126,$C1126,$E$3:$E1126,$E1126)&lt;=1),$P1126,""    ))</f>
        <v/>
      </c>
      <c r="U1126" s="1019" t="str">
        <f ca="1">IF(AND($P1126=$V$2,COUNTIFS($C$3:$C1126,$C1126,$E$3:$E1126,$E1126,$G$3:$G1126,$G1126)&lt;=1),$P1126,"")</f>
        <v/>
      </c>
    </row>
    <row r="1127" spans="1:21">
      <c r="A1127" s="991" t="str">
        <f ca="1">IFERROR(IF(COUNTIF($A$3:A1126,A1126)&lt; INDEX(TinhGia!$BH$10:$BH$81,MATCH($A1126,TinhGia!$B$10:$B$81,0)),$A1126,INDEX(TinhGia!$B$10:$B$81,MATCH($A1126,TinhGia!$B$10:$B$81,0)+1)),"")</f>
        <v/>
      </c>
      <c r="B1127" s="525" t="str">
        <f ca="1">IF(OR(A1127="",A1127=0),"",IF(COUNTIF($A$2:A1127,$A1127)=1,ROW(MauKoXoa!$C$108),$B1126+1))</f>
        <v/>
      </c>
      <c r="C1127" s="992" t="str">
        <f t="shared" ca="1" si="165"/>
        <v/>
      </c>
      <c r="D1127" s="993" t="str">
        <f t="shared" ca="1" si="166"/>
        <v/>
      </c>
      <c r="E1127" s="993" t="str">
        <f t="shared" ca="1" si="167"/>
        <v/>
      </c>
      <c r="F1127" s="992" t="str">
        <f t="shared" ca="1" si="181"/>
        <v/>
      </c>
      <c r="G1127" s="994">
        <f t="shared" ca="1" si="168"/>
        <v>0</v>
      </c>
      <c r="H1127" s="913">
        <f t="shared" ca="1" si="169"/>
        <v>0</v>
      </c>
      <c r="I1127" s="913">
        <f t="shared" ca="1" si="170"/>
        <v>0</v>
      </c>
      <c r="J1127" s="995">
        <f t="shared" ca="1" si="182"/>
        <v>0</v>
      </c>
      <c r="K1127" s="913">
        <f t="shared" ca="1" si="171"/>
        <v>0</v>
      </c>
      <c r="L1127" s="995">
        <f t="shared" ca="1" si="183"/>
        <v>0</v>
      </c>
      <c r="M1127" s="913">
        <f t="shared" ca="1" si="172"/>
        <v>0</v>
      </c>
      <c r="N1127" s="996">
        <f t="shared" ca="1" si="173"/>
        <v>0</v>
      </c>
      <c r="O1127" s="997">
        <f t="shared" ca="1" si="174"/>
        <v>0</v>
      </c>
      <c r="P1127" s="1015" t="str">
        <f ca="1">IF($C1127="","",INDEX(NVLSX!$N$2:$N$6941,MATCH($C1127,NVLSX!$E$2:$E$6941,0)))</f>
        <v/>
      </c>
      <c r="Q1127" s="1016" t="str">
        <f ca="1">IF($R1127="","",IF(XKNVLSX!$X$1="",IF($P1127=$V$7,$P1127, IF(COUNTIFS($C$2:$C1126,$C1127,$E$2:$E1126,$E1127)&gt;=1,"",$P1127)),     IF(AND(IFERROR(SEARCH($R1127,XKNVLSX!$X$1,1),0)&gt;=1,$P1127=$V$7),$P1127, IF(OR($R1127&lt;&gt;IF(IFERROR(SEARCH($R1127,XKNVLSX!$X$1,1),0)&gt;=1,$R1127,XKNVLSX!$X$1),COUNTIFS($C$2:$C1126,$C1127,$E$2:$E1126,$E1127,$Q$2:$Q1126,$P1127)&gt;=1),"",$P1127))))</f>
        <v/>
      </c>
      <c r="R1127" s="1017" t="str">
        <f ca="1">IF($A1127="","",IFERROR(INDEX(TinhGia!$BF$10:$BF$81,MATCH($A1127,TinhGia!$B$10:$B$81,0)),""))</f>
        <v/>
      </c>
      <c r="S1127" s="1012" t="str">
        <f ca="1">IF($A1127="","",IF(OR(IFERROR(SEARCH($R1127,XKNVLSX!$X$1,1),0)&gt;=1,XKNVLSX!$X$1=""),$S$2,""))</f>
        <v/>
      </c>
      <c r="T1127" s="1018" t="str">
        <f ca="1">IF($C1127="","", IF(OR($P1127=$V$1,$P1127=$V$7,COUNTIFS($C$3:$C1127,$C1127,$E$3:$E1127,$E1127)&lt;=1),$P1127,""    ))</f>
        <v/>
      </c>
      <c r="U1127" s="1019" t="str">
        <f ca="1">IF(AND($P1127=$V$2,COUNTIFS($C$3:$C1127,$C1127,$E$3:$E1127,$E1127,$G$3:$G1127,$G1127)&lt;=1),$P1127,"")</f>
        <v/>
      </c>
    </row>
    <row r="1128" spans="1:21">
      <c r="A1128" s="991" t="str">
        <f ca="1">IFERROR(IF(COUNTIF($A$3:A1127,A1127)&lt; INDEX(TinhGia!$BH$10:$BH$81,MATCH($A1127,TinhGia!$B$10:$B$81,0)),$A1127,INDEX(TinhGia!$B$10:$B$81,MATCH($A1127,TinhGia!$B$10:$B$81,0)+1)),"")</f>
        <v/>
      </c>
      <c r="B1128" s="525" t="str">
        <f ca="1">IF(OR(A1128="",A1128=0),"",IF(COUNTIF($A$2:A1128,$A1128)=1,ROW(MauKoXoa!$C$108),$B1127+1))</f>
        <v/>
      </c>
      <c r="C1128" s="992" t="str">
        <f t="shared" ca="1" si="165"/>
        <v/>
      </c>
      <c r="D1128" s="993" t="str">
        <f t="shared" ca="1" si="166"/>
        <v/>
      </c>
      <c r="E1128" s="993" t="str">
        <f t="shared" ca="1" si="167"/>
        <v/>
      </c>
      <c r="F1128" s="992" t="str">
        <f t="shared" ca="1" si="181"/>
        <v/>
      </c>
      <c r="G1128" s="994">
        <f t="shared" ca="1" si="168"/>
        <v>0</v>
      </c>
      <c r="H1128" s="913">
        <f t="shared" ca="1" si="169"/>
        <v>0</v>
      </c>
      <c r="I1128" s="913">
        <f t="shared" ca="1" si="170"/>
        <v>0</v>
      </c>
      <c r="J1128" s="995">
        <f t="shared" ca="1" si="182"/>
        <v>0</v>
      </c>
      <c r="K1128" s="913">
        <f t="shared" ca="1" si="171"/>
        <v>0</v>
      </c>
      <c r="L1128" s="995">
        <f t="shared" ca="1" si="183"/>
        <v>0</v>
      </c>
      <c r="M1128" s="913">
        <f t="shared" ca="1" si="172"/>
        <v>0</v>
      </c>
      <c r="N1128" s="996">
        <f t="shared" ca="1" si="173"/>
        <v>0</v>
      </c>
      <c r="O1128" s="997">
        <f t="shared" ca="1" si="174"/>
        <v>0</v>
      </c>
      <c r="P1128" s="1015" t="str">
        <f ca="1">IF($C1128="","",INDEX(NVLSX!$N$2:$N$6941,MATCH($C1128,NVLSX!$E$2:$E$6941,0)))</f>
        <v/>
      </c>
      <c r="Q1128" s="1016" t="str">
        <f ca="1">IF($R1128="","",IF(XKNVLSX!$X$1="",IF($P1128=$V$7,$P1128, IF(COUNTIFS($C$2:$C1127,$C1128,$E$2:$E1127,$E1128)&gt;=1,"",$P1128)),     IF(AND(IFERROR(SEARCH($R1128,XKNVLSX!$X$1,1),0)&gt;=1,$P1128=$V$7),$P1128, IF(OR($R1128&lt;&gt;IF(IFERROR(SEARCH($R1128,XKNVLSX!$X$1,1),0)&gt;=1,$R1128,XKNVLSX!$X$1),COUNTIFS($C$2:$C1127,$C1128,$E$2:$E1127,$E1128,$Q$2:$Q1127,$P1128)&gt;=1),"",$P1128))))</f>
        <v/>
      </c>
      <c r="R1128" s="1017" t="str">
        <f ca="1">IF($A1128="","",IFERROR(INDEX(TinhGia!$BF$10:$BF$81,MATCH($A1128,TinhGia!$B$10:$B$81,0)),""))</f>
        <v/>
      </c>
      <c r="S1128" s="1012" t="str">
        <f ca="1">IF($A1128="","",IF(OR(IFERROR(SEARCH($R1128,XKNVLSX!$X$1,1),0)&gt;=1,XKNVLSX!$X$1=""),$S$2,""))</f>
        <v/>
      </c>
      <c r="T1128" s="1018" t="str">
        <f ca="1">IF($C1128="","", IF(OR($P1128=$V$1,$P1128=$V$7,COUNTIFS($C$3:$C1128,$C1128,$E$3:$E1128,$E1128)&lt;=1),$P1128,""    ))</f>
        <v/>
      </c>
      <c r="U1128" s="1019" t="str">
        <f ca="1">IF(AND($P1128=$V$2,COUNTIFS($C$3:$C1128,$C1128,$E$3:$E1128,$E1128,$G$3:$G1128,$G1128)&lt;=1),$P1128,"")</f>
        <v/>
      </c>
    </row>
    <row r="1129" spans="1:21">
      <c r="A1129" s="991" t="str">
        <f ca="1">IFERROR(IF(COUNTIF($A$3:A1128,A1128)&lt; INDEX(TinhGia!$BH$10:$BH$81,MATCH($A1128,TinhGia!$B$10:$B$81,0)),$A1128,INDEX(TinhGia!$B$10:$B$81,MATCH($A1128,TinhGia!$B$10:$B$81,0)+1)),"")</f>
        <v/>
      </c>
      <c r="B1129" s="525" t="str">
        <f ca="1">IF(OR(A1129="",A1129=0),"",IF(COUNTIF($A$2:A1129,$A1129)=1,ROW(MauKoXoa!$C$108),$B1128+1))</f>
        <v/>
      </c>
      <c r="C1129" s="992" t="str">
        <f t="shared" ca="1" si="165"/>
        <v/>
      </c>
      <c r="D1129" s="993" t="str">
        <f t="shared" ca="1" si="166"/>
        <v/>
      </c>
      <c r="E1129" s="993" t="str">
        <f t="shared" ca="1" si="167"/>
        <v/>
      </c>
      <c r="F1129" s="992" t="str">
        <f t="shared" ca="1" si="181"/>
        <v/>
      </c>
      <c r="G1129" s="994">
        <f t="shared" ca="1" si="168"/>
        <v>0</v>
      </c>
      <c r="H1129" s="913">
        <f t="shared" ca="1" si="169"/>
        <v>0</v>
      </c>
      <c r="I1129" s="913">
        <f t="shared" ca="1" si="170"/>
        <v>0</v>
      </c>
      <c r="J1129" s="995">
        <f t="shared" ca="1" si="182"/>
        <v>0</v>
      </c>
      <c r="K1129" s="913">
        <f t="shared" ca="1" si="171"/>
        <v>0</v>
      </c>
      <c r="L1129" s="995">
        <f t="shared" ca="1" si="183"/>
        <v>0</v>
      </c>
      <c r="M1129" s="913">
        <f t="shared" ca="1" si="172"/>
        <v>0</v>
      </c>
      <c r="N1129" s="996">
        <f t="shared" ca="1" si="173"/>
        <v>0</v>
      </c>
      <c r="O1129" s="997">
        <f t="shared" ca="1" si="174"/>
        <v>0</v>
      </c>
      <c r="P1129" s="1015" t="str">
        <f ca="1">IF($C1129="","",INDEX(NVLSX!$N$2:$N$6941,MATCH($C1129,NVLSX!$E$2:$E$6941,0)))</f>
        <v/>
      </c>
      <c r="Q1129" s="1016" t="str">
        <f ca="1">IF($R1129="","",IF(XKNVLSX!$X$1="",IF($P1129=$V$7,$P1129, IF(COUNTIFS($C$2:$C1128,$C1129,$E$2:$E1128,$E1129)&gt;=1,"",$P1129)),     IF(AND(IFERROR(SEARCH($R1129,XKNVLSX!$X$1,1),0)&gt;=1,$P1129=$V$7),$P1129, IF(OR($R1129&lt;&gt;IF(IFERROR(SEARCH($R1129,XKNVLSX!$X$1,1),0)&gt;=1,$R1129,XKNVLSX!$X$1),COUNTIFS($C$2:$C1128,$C1129,$E$2:$E1128,$E1129,$Q$2:$Q1128,$P1129)&gt;=1),"",$P1129))))</f>
        <v/>
      </c>
      <c r="R1129" s="1017" t="str">
        <f ca="1">IF($A1129="","",IFERROR(INDEX(TinhGia!$BF$10:$BF$81,MATCH($A1129,TinhGia!$B$10:$B$81,0)),""))</f>
        <v/>
      </c>
      <c r="S1129" s="1012" t="str">
        <f ca="1">IF($A1129="","",IF(OR(IFERROR(SEARCH($R1129,XKNVLSX!$X$1,1),0)&gt;=1,XKNVLSX!$X$1=""),$S$2,""))</f>
        <v/>
      </c>
      <c r="T1129" s="1018" t="str">
        <f ca="1">IF($C1129="","", IF(OR($P1129=$V$1,$P1129=$V$7,COUNTIFS($C$3:$C1129,$C1129,$E$3:$E1129,$E1129)&lt;=1),$P1129,""    ))</f>
        <v/>
      </c>
      <c r="U1129" s="1019" t="str">
        <f ca="1">IF(AND($P1129=$V$2,COUNTIFS($C$3:$C1129,$C1129,$E$3:$E1129,$E1129,$G$3:$G1129,$G1129)&lt;=1),$P1129,"")</f>
        <v/>
      </c>
    </row>
    <row r="1130" spans="1:21">
      <c r="A1130" s="991" t="str">
        <f ca="1">IFERROR(IF(COUNTIF($A$3:A1129,A1129)&lt; INDEX(TinhGia!$BH$10:$BH$81,MATCH($A1129,TinhGia!$B$10:$B$81,0)),$A1129,INDEX(TinhGia!$B$10:$B$81,MATCH($A1129,TinhGia!$B$10:$B$81,0)+1)),"")</f>
        <v/>
      </c>
      <c r="B1130" s="525" t="str">
        <f ca="1">IF(OR(A1130="",A1130=0),"",IF(COUNTIF($A$2:A1130,$A1130)=1,ROW(MauKoXoa!$C$108),$B1129+1))</f>
        <v/>
      </c>
      <c r="C1130" s="992" t="str">
        <f t="shared" ca="1" si="165"/>
        <v/>
      </c>
      <c r="D1130" s="993" t="str">
        <f t="shared" ca="1" si="166"/>
        <v/>
      </c>
      <c r="E1130" s="993" t="str">
        <f t="shared" ca="1" si="167"/>
        <v/>
      </c>
      <c r="F1130" s="992" t="str">
        <f t="shared" ca="1" si="181"/>
        <v/>
      </c>
      <c r="G1130" s="994">
        <f t="shared" ca="1" si="168"/>
        <v>0</v>
      </c>
      <c r="H1130" s="913">
        <f t="shared" ca="1" si="169"/>
        <v>0</v>
      </c>
      <c r="I1130" s="913">
        <f t="shared" ca="1" si="170"/>
        <v>0</v>
      </c>
      <c r="J1130" s="995">
        <f t="shared" ca="1" si="182"/>
        <v>0</v>
      </c>
      <c r="K1130" s="913">
        <f t="shared" ca="1" si="171"/>
        <v>0</v>
      </c>
      <c r="L1130" s="995">
        <f t="shared" ca="1" si="183"/>
        <v>0</v>
      </c>
      <c r="M1130" s="913">
        <f t="shared" ca="1" si="172"/>
        <v>0</v>
      </c>
      <c r="N1130" s="996">
        <f t="shared" ca="1" si="173"/>
        <v>0</v>
      </c>
      <c r="O1130" s="997">
        <f t="shared" ca="1" si="174"/>
        <v>0</v>
      </c>
      <c r="P1130" s="1015" t="str">
        <f ca="1">IF($C1130="","",INDEX(NVLSX!$N$2:$N$6941,MATCH($C1130,NVLSX!$E$2:$E$6941,0)))</f>
        <v/>
      </c>
      <c r="Q1130" s="1016" t="str">
        <f ca="1">IF($R1130="","",IF(XKNVLSX!$X$1="",IF($P1130=$V$7,$P1130, IF(COUNTIFS($C$2:$C1129,$C1130,$E$2:$E1129,$E1130)&gt;=1,"",$P1130)),     IF(AND(IFERROR(SEARCH($R1130,XKNVLSX!$X$1,1),0)&gt;=1,$P1130=$V$7),$P1130, IF(OR($R1130&lt;&gt;IF(IFERROR(SEARCH($R1130,XKNVLSX!$X$1,1),0)&gt;=1,$R1130,XKNVLSX!$X$1),COUNTIFS($C$2:$C1129,$C1130,$E$2:$E1129,$E1130,$Q$2:$Q1129,$P1130)&gt;=1),"",$P1130))))</f>
        <v/>
      </c>
      <c r="R1130" s="1017" t="str">
        <f ca="1">IF($A1130="","",IFERROR(INDEX(TinhGia!$BF$10:$BF$81,MATCH($A1130,TinhGia!$B$10:$B$81,0)),""))</f>
        <v/>
      </c>
      <c r="S1130" s="1012" t="str">
        <f ca="1">IF($A1130="","",IF(OR(IFERROR(SEARCH($R1130,XKNVLSX!$X$1,1),0)&gt;=1,XKNVLSX!$X$1=""),$S$2,""))</f>
        <v/>
      </c>
      <c r="T1130" s="1018" t="str">
        <f ca="1">IF($C1130="","", IF(OR($P1130=$V$1,$P1130=$V$7,COUNTIFS($C$3:$C1130,$C1130,$E$3:$E1130,$E1130)&lt;=1),$P1130,""    ))</f>
        <v/>
      </c>
      <c r="U1130" s="1019" t="str">
        <f ca="1">IF(AND($P1130=$V$2,COUNTIFS($C$3:$C1130,$C1130,$E$3:$E1130,$E1130,$G$3:$G1130,$G1130)&lt;=1),$P1130,"")</f>
        <v/>
      </c>
    </row>
    <row r="1131" spans="1:21">
      <c r="A1131" s="991" t="str">
        <f ca="1">IFERROR(IF(COUNTIF($A$3:A1130,A1130)&lt; INDEX(TinhGia!$BH$10:$BH$81,MATCH($A1130,TinhGia!$B$10:$B$81,0)),$A1130,INDEX(TinhGia!$B$10:$B$81,MATCH($A1130,TinhGia!$B$10:$B$81,0)+1)),"")</f>
        <v/>
      </c>
      <c r="B1131" s="525" t="str">
        <f ca="1">IF(OR(A1131="",A1131=0),"",IF(COUNTIF($A$2:A1131,$A1131)=1,ROW(MauKoXoa!$C$108),$B1130+1))</f>
        <v/>
      </c>
      <c r="C1131" s="992" t="str">
        <f t="shared" ca="1" si="165"/>
        <v/>
      </c>
      <c r="D1131" s="993" t="str">
        <f t="shared" ca="1" si="166"/>
        <v/>
      </c>
      <c r="E1131" s="993" t="str">
        <f t="shared" ca="1" si="167"/>
        <v/>
      </c>
      <c r="F1131" s="992" t="str">
        <f t="shared" ca="1" si="181"/>
        <v/>
      </c>
      <c r="G1131" s="994">
        <f t="shared" ca="1" si="168"/>
        <v>0</v>
      </c>
      <c r="H1131" s="913">
        <f t="shared" ca="1" si="169"/>
        <v>0</v>
      </c>
      <c r="I1131" s="913">
        <f t="shared" ca="1" si="170"/>
        <v>0</v>
      </c>
      <c r="J1131" s="995">
        <f t="shared" ca="1" si="182"/>
        <v>0</v>
      </c>
      <c r="K1131" s="913">
        <f t="shared" ca="1" si="171"/>
        <v>0</v>
      </c>
      <c r="L1131" s="995">
        <f t="shared" ca="1" si="183"/>
        <v>0</v>
      </c>
      <c r="M1131" s="913">
        <f t="shared" ca="1" si="172"/>
        <v>0</v>
      </c>
      <c r="N1131" s="996">
        <f t="shared" ca="1" si="173"/>
        <v>0</v>
      </c>
      <c r="O1131" s="997">
        <f t="shared" ca="1" si="174"/>
        <v>0</v>
      </c>
      <c r="P1131" s="1015" t="str">
        <f ca="1">IF($C1131="","",INDEX(NVLSX!$N$2:$N$6941,MATCH($C1131,NVLSX!$E$2:$E$6941,0)))</f>
        <v/>
      </c>
      <c r="Q1131" s="1016" t="str">
        <f ca="1">IF($R1131="","",IF(XKNVLSX!$X$1="",IF($P1131=$V$7,$P1131, IF(COUNTIFS($C$2:$C1130,$C1131,$E$2:$E1130,$E1131)&gt;=1,"",$P1131)),     IF(AND(IFERROR(SEARCH($R1131,XKNVLSX!$X$1,1),0)&gt;=1,$P1131=$V$7),$P1131, IF(OR($R1131&lt;&gt;IF(IFERROR(SEARCH($R1131,XKNVLSX!$X$1,1),0)&gt;=1,$R1131,XKNVLSX!$X$1),COUNTIFS($C$2:$C1130,$C1131,$E$2:$E1130,$E1131,$Q$2:$Q1130,$P1131)&gt;=1),"",$P1131))))</f>
        <v/>
      </c>
      <c r="R1131" s="1017" t="str">
        <f ca="1">IF($A1131="","",IFERROR(INDEX(TinhGia!$BF$10:$BF$81,MATCH($A1131,TinhGia!$B$10:$B$81,0)),""))</f>
        <v/>
      </c>
      <c r="S1131" s="1012" t="str">
        <f ca="1">IF($A1131="","",IF(OR(IFERROR(SEARCH($R1131,XKNVLSX!$X$1,1),0)&gt;=1,XKNVLSX!$X$1=""),$S$2,""))</f>
        <v/>
      </c>
      <c r="T1131" s="1018" t="str">
        <f ca="1">IF($C1131="","", IF(OR($P1131=$V$1,$P1131=$V$7,COUNTIFS($C$3:$C1131,$C1131,$E$3:$E1131,$E1131)&lt;=1),$P1131,""    ))</f>
        <v/>
      </c>
      <c r="U1131" s="1019" t="str">
        <f ca="1">IF(AND($P1131=$V$2,COUNTIFS($C$3:$C1131,$C1131,$E$3:$E1131,$E1131,$G$3:$G1131,$G1131)&lt;=1),$P1131,"")</f>
        <v/>
      </c>
    </row>
    <row r="1132" spans="1:21">
      <c r="A1132" s="991" t="str">
        <f ca="1">IFERROR(IF(COUNTIF($A$3:A1131,A1131)&lt; INDEX(TinhGia!$BH$10:$BH$81,MATCH($A1131,TinhGia!$B$10:$B$81,0)),$A1131,INDEX(TinhGia!$B$10:$B$81,MATCH($A1131,TinhGia!$B$10:$B$81,0)+1)),"")</f>
        <v/>
      </c>
      <c r="B1132" s="525" t="str">
        <f ca="1">IF(OR(A1132="",A1132=0),"",IF(COUNTIF($A$2:A1132,$A1132)=1,ROW(MauKoXoa!$C$108),$B1131+1))</f>
        <v/>
      </c>
      <c r="C1132" s="992" t="str">
        <f t="shared" ca="1" si="165"/>
        <v/>
      </c>
      <c r="D1132" s="993" t="str">
        <f t="shared" ca="1" si="166"/>
        <v/>
      </c>
      <c r="E1132" s="993" t="str">
        <f t="shared" ca="1" si="167"/>
        <v/>
      </c>
      <c r="F1132" s="992" t="str">
        <f t="shared" ca="1" si="181"/>
        <v/>
      </c>
      <c r="G1132" s="994">
        <f t="shared" ca="1" si="168"/>
        <v>0</v>
      </c>
      <c r="H1132" s="913">
        <f t="shared" ca="1" si="169"/>
        <v>0</v>
      </c>
      <c r="I1132" s="913">
        <f t="shared" ca="1" si="170"/>
        <v>0</v>
      </c>
      <c r="J1132" s="995">
        <f t="shared" ca="1" si="182"/>
        <v>0</v>
      </c>
      <c r="K1132" s="913">
        <f t="shared" ca="1" si="171"/>
        <v>0</v>
      </c>
      <c r="L1132" s="995">
        <f t="shared" ca="1" si="183"/>
        <v>0</v>
      </c>
      <c r="M1132" s="913">
        <f t="shared" ca="1" si="172"/>
        <v>0</v>
      </c>
      <c r="N1132" s="996">
        <f t="shared" ca="1" si="173"/>
        <v>0</v>
      </c>
      <c r="O1132" s="997">
        <f t="shared" ca="1" si="174"/>
        <v>0</v>
      </c>
      <c r="P1132" s="1015" t="str">
        <f ca="1">IF($C1132="","",INDEX(NVLSX!$N$2:$N$6941,MATCH($C1132,NVLSX!$E$2:$E$6941,0)))</f>
        <v/>
      </c>
      <c r="Q1132" s="1016" t="str">
        <f ca="1">IF($R1132="","",IF(XKNVLSX!$X$1="",IF($P1132=$V$7,$P1132, IF(COUNTIFS($C$2:$C1131,$C1132,$E$2:$E1131,$E1132)&gt;=1,"",$P1132)),     IF(AND(IFERROR(SEARCH($R1132,XKNVLSX!$X$1,1),0)&gt;=1,$P1132=$V$7),$P1132, IF(OR($R1132&lt;&gt;IF(IFERROR(SEARCH($R1132,XKNVLSX!$X$1,1),0)&gt;=1,$R1132,XKNVLSX!$X$1),COUNTIFS($C$2:$C1131,$C1132,$E$2:$E1131,$E1132,$Q$2:$Q1131,$P1132)&gt;=1),"",$P1132))))</f>
        <v/>
      </c>
      <c r="R1132" s="1017" t="str">
        <f ca="1">IF($A1132="","",IFERROR(INDEX(TinhGia!$BF$10:$BF$81,MATCH($A1132,TinhGia!$B$10:$B$81,0)),""))</f>
        <v/>
      </c>
      <c r="S1132" s="1012" t="str">
        <f ca="1">IF($A1132="","",IF(OR(IFERROR(SEARCH($R1132,XKNVLSX!$X$1,1),0)&gt;=1,XKNVLSX!$X$1=""),$S$2,""))</f>
        <v/>
      </c>
      <c r="T1132" s="1018" t="str">
        <f ca="1">IF($C1132="","", IF(OR($P1132=$V$1,$P1132=$V$7,COUNTIFS($C$3:$C1132,$C1132,$E$3:$E1132,$E1132)&lt;=1),$P1132,""    ))</f>
        <v/>
      </c>
      <c r="U1132" s="1019" t="str">
        <f ca="1">IF(AND($P1132=$V$2,COUNTIFS($C$3:$C1132,$C1132,$E$3:$E1132,$E1132,$G$3:$G1132,$G1132)&lt;=1),$P1132,"")</f>
        <v/>
      </c>
    </row>
    <row r="1133" spans="1:21">
      <c r="A1133" s="991" t="str">
        <f ca="1">IFERROR(IF(COUNTIF($A$3:A1132,A1132)&lt; INDEX(TinhGia!$BH$10:$BH$81,MATCH($A1132,TinhGia!$B$10:$B$81,0)),$A1132,INDEX(TinhGia!$B$10:$B$81,MATCH($A1132,TinhGia!$B$10:$B$81,0)+1)),"")</f>
        <v/>
      </c>
      <c r="B1133" s="525" t="str">
        <f ca="1">IF(OR(A1133="",A1133=0),"",IF(COUNTIF($A$2:A1133,$A1133)=1,ROW(MauKoXoa!$C$108),$B1132+1))</f>
        <v/>
      </c>
      <c r="C1133" s="992" t="str">
        <f t="shared" ca="1" si="165"/>
        <v/>
      </c>
      <c r="D1133" s="993" t="str">
        <f t="shared" ca="1" si="166"/>
        <v/>
      </c>
      <c r="E1133" s="993" t="str">
        <f t="shared" ca="1" si="167"/>
        <v/>
      </c>
      <c r="F1133" s="992" t="str">
        <f t="shared" ca="1" si="181"/>
        <v/>
      </c>
      <c r="G1133" s="994">
        <f t="shared" ca="1" si="168"/>
        <v>0</v>
      </c>
      <c r="H1133" s="913">
        <f t="shared" ca="1" si="169"/>
        <v>0</v>
      </c>
      <c r="I1133" s="913">
        <f t="shared" ca="1" si="170"/>
        <v>0</v>
      </c>
      <c r="J1133" s="995">
        <f t="shared" ca="1" si="182"/>
        <v>0</v>
      </c>
      <c r="K1133" s="913">
        <f t="shared" ca="1" si="171"/>
        <v>0</v>
      </c>
      <c r="L1133" s="995">
        <f t="shared" ca="1" si="183"/>
        <v>0</v>
      </c>
      <c r="M1133" s="913">
        <f t="shared" ca="1" si="172"/>
        <v>0</v>
      </c>
      <c r="N1133" s="996">
        <f t="shared" ca="1" si="173"/>
        <v>0</v>
      </c>
      <c r="O1133" s="997">
        <f t="shared" ca="1" si="174"/>
        <v>0</v>
      </c>
      <c r="P1133" s="1015" t="str">
        <f ca="1">IF($C1133="","",INDEX(NVLSX!$N$2:$N$6941,MATCH($C1133,NVLSX!$E$2:$E$6941,0)))</f>
        <v/>
      </c>
      <c r="Q1133" s="1016" t="str">
        <f ca="1">IF($R1133="","",IF(XKNVLSX!$X$1="",IF($P1133=$V$7,$P1133, IF(COUNTIFS($C$2:$C1132,$C1133,$E$2:$E1132,$E1133)&gt;=1,"",$P1133)),     IF(AND(IFERROR(SEARCH($R1133,XKNVLSX!$X$1,1),0)&gt;=1,$P1133=$V$7),$P1133, IF(OR($R1133&lt;&gt;IF(IFERROR(SEARCH($R1133,XKNVLSX!$X$1,1),0)&gt;=1,$R1133,XKNVLSX!$X$1),COUNTIFS($C$2:$C1132,$C1133,$E$2:$E1132,$E1133,$Q$2:$Q1132,$P1133)&gt;=1),"",$P1133))))</f>
        <v/>
      </c>
      <c r="R1133" s="1017" t="str">
        <f ca="1">IF($A1133="","",IFERROR(INDEX(TinhGia!$BF$10:$BF$81,MATCH($A1133,TinhGia!$B$10:$B$81,0)),""))</f>
        <v/>
      </c>
      <c r="S1133" s="1012" t="str">
        <f ca="1">IF($A1133="","",IF(OR(IFERROR(SEARCH($R1133,XKNVLSX!$X$1,1),0)&gt;=1,XKNVLSX!$X$1=""),$S$2,""))</f>
        <v/>
      </c>
      <c r="T1133" s="1018" t="str">
        <f ca="1">IF($C1133="","", IF(OR($P1133=$V$1,$P1133=$V$7,COUNTIFS($C$3:$C1133,$C1133,$E$3:$E1133,$E1133)&lt;=1),$P1133,""    ))</f>
        <v/>
      </c>
      <c r="U1133" s="1019" t="str">
        <f ca="1">IF(AND($P1133=$V$2,COUNTIFS($C$3:$C1133,$C1133,$E$3:$E1133,$E1133,$G$3:$G1133,$G1133)&lt;=1),$P1133,"")</f>
        <v/>
      </c>
    </row>
    <row r="1134" spans="1:21">
      <c r="A1134" s="991" t="str">
        <f ca="1">IFERROR(IF(COUNTIF($A$3:A1133,A1133)&lt; INDEX(TinhGia!$BH$10:$BH$81,MATCH($A1133,TinhGia!$B$10:$B$81,0)),$A1133,INDEX(TinhGia!$B$10:$B$81,MATCH($A1133,TinhGia!$B$10:$B$81,0)+1)),"")</f>
        <v/>
      </c>
      <c r="B1134" s="525" t="str">
        <f ca="1">IF(OR(A1134="",A1134=0),"",IF(COUNTIF($A$2:A1134,$A1134)=1,ROW(MauKoXoa!$C$108),$B1133+1))</f>
        <v/>
      </c>
      <c r="C1134" s="992" t="str">
        <f t="shared" ca="1" si="165"/>
        <v/>
      </c>
      <c r="D1134" s="993" t="str">
        <f t="shared" ca="1" si="166"/>
        <v/>
      </c>
      <c r="E1134" s="993" t="str">
        <f t="shared" ca="1" si="167"/>
        <v/>
      </c>
      <c r="F1134" s="992" t="str">
        <f t="shared" ca="1" si="181"/>
        <v/>
      </c>
      <c r="G1134" s="994">
        <f t="shared" ca="1" si="168"/>
        <v>0</v>
      </c>
      <c r="H1134" s="913">
        <f t="shared" ca="1" si="169"/>
        <v>0</v>
      </c>
      <c r="I1134" s="913">
        <f t="shared" ca="1" si="170"/>
        <v>0</v>
      </c>
      <c r="J1134" s="995">
        <f t="shared" ca="1" si="182"/>
        <v>0</v>
      </c>
      <c r="K1134" s="913">
        <f t="shared" ca="1" si="171"/>
        <v>0</v>
      </c>
      <c r="L1134" s="995">
        <f t="shared" ca="1" si="183"/>
        <v>0</v>
      </c>
      <c r="M1134" s="913">
        <f t="shared" ca="1" si="172"/>
        <v>0</v>
      </c>
      <c r="N1134" s="996">
        <f t="shared" ca="1" si="173"/>
        <v>0</v>
      </c>
      <c r="O1134" s="997">
        <f t="shared" ca="1" si="174"/>
        <v>0</v>
      </c>
      <c r="P1134" s="1015" t="str">
        <f ca="1">IF($C1134="","",INDEX(NVLSX!$N$2:$N$6941,MATCH($C1134,NVLSX!$E$2:$E$6941,0)))</f>
        <v/>
      </c>
      <c r="Q1134" s="1016" t="str">
        <f ca="1">IF($R1134="","",IF(XKNVLSX!$X$1="",IF($P1134=$V$7,$P1134, IF(COUNTIFS($C$2:$C1133,$C1134,$E$2:$E1133,$E1134)&gt;=1,"",$P1134)),     IF(AND(IFERROR(SEARCH($R1134,XKNVLSX!$X$1,1),0)&gt;=1,$P1134=$V$7),$P1134, IF(OR($R1134&lt;&gt;IF(IFERROR(SEARCH($R1134,XKNVLSX!$X$1,1),0)&gt;=1,$R1134,XKNVLSX!$X$1),COUNTIFS($C$2:$C1133,$C1134,$E$2:$E1133,$E1134,$Q$2:$Q1133,$P1134)&gt;=1),"",$P1134))))</f>
        <v/>
      </c>
      <c r="R1134" s="1017" t="str">
        <f ca="1">IF($A1134="","",IFERROR(INDEX(TinhGia!$BF$10:$BF$81,MATCH($A1134,TinhGia!$B$10:$B$81,0)),""))</f>
        <v/>
      </c>
      <c r="S1134" s="1012" t="str">
        <f ca="1">IF($A1134="","",IF(OR(IFERROR(SEARCH($R1134,XKNVLSX!$X$1,1),0)&gt;=1,XKNVLSX!$X$1=""),$S$2,""))</f>
        <v/>
      </c>
      <c r="T1134" s="1018" t="str">
        <f ca="1">IF($C1134="","", IF(OR($P1134=$V$1,$P1134=$V$7,COUNTIFS($C$3:$C1134,$C1134,$E$3:$E1134,$E1134)&lt;=1),$P1134,""    ))</f>
        <v/>
      </c>
      <c r="U1134" s="1019" t="str">
        <f ca="1">IF(AND($P1134=$V$2,COUNTIFS($C$3:$C1134,$C1134,$E$3:$E1134,$E1134,$G$3:$G1134,$G1134)&lt;=1),$P1134,"")</f>
        <v/>
      </c>
    </row>
    <row r="1135" spans="1:21">
      <c r="A1135" s="991" t="str">
        <f ca="1">IFERROR(IF(COUNTIF($A$3:A1134,A1134)&lt; INDEX(TinhGia!$BH$10:$BH$81,MATCH($A1134,TinhGia!$B$10:$B$81,0)),$A1134,INDEX(TinhGia!$B$10:$B$81,MATCH($A1134,TinhGia!$B$10:$B$81,0)+1)),"")</f>
        <v/>
      </c>
      <c r="B1135" s="525" t="str">
        <f ca="1">IF(OR(A1135="",A1135=0),"",IF(COUNTIF($A$2:A1135,$A1135)=1,ROW(MauKoXoa!$C$108),$B1134+1))</f>
        <v/>
      </c>
      <c r="C1135" s="992" t="str">
        <f t="shared" ca="1" si="165"/>
        <v/>
      </c>
      <c r="D1135" s="993" t="str">
        <f t="shared" ca="1" si="166"/>
        <v/>
      </c>
      <c r="E1135" s="993" t="str">
        <f t="shared" ca="1" si="167"/>
        <v/>
      </c>
      <c r="F1135" s="992" t="str">
        <f t="shared" ca="1" si="181"/>
        <v/>
      </c>
      <c r="G1135" s="994">
        <f t="shared" ca="1" si="168"/>
        <v>0</v>
      </c>
      <c r="H1135" s="913">
        <f t="shared" ca="1" si="169"/>
        <v>0</v>
      </c>
      <c r="I1135" s="913">
        <f t="shared" ca="1" si="170"/>
        <v>0</v>
      </c>
      <c r="J1135" s="995">
        <f t="shared" ca="1" si="182"/>
        <v>0</v>
      </c>
      <c r="K1135" s="913">
        <f t="shared" ca="1" si="171"/>
        <v>0</v>
      </c>
      <c r="L1135" s="995">
        <f t="shared" ca="1" si="183"/>
        <v>0</v>
      </c>
      <c r="M1135" s="913">
        <f t="shared" ca="1" si="172"/>
        <v>0</v>
      </c>
      <c r="N1135" s="996">
        <f t="shared" ca="1" si="173"/>
        <v>0</v>
      </c>
      <c r="O1135" s="997">
        <f t="shared" ca="1" si="174"/>
        <v>0</v>
      </c>
      <c r="P1135" s="1015" t="str">
        <f ca="1">IF($C1135="","",INDEX(NVLSX!$N$2:$N$6941,MATCH($C1135,NVLSX!$E$2:$E$6941,0)))</f>
        <v/>
      </c>
      <c r="Q1135" s="1016" t="str">
        <f ca="1">IF($R1135="","",IF(XKNVLSX!$X$1="",IF($P1135=$V$7,$P1135, IF(COUNTIFS($C$2:$C1134,$C1135,$E$2:$E1134,$E1135)&gt;=1,"",$P1135)),     IF(AND(IFERROR(SEARCH($R1135,XKNVLSX!$X$1,1),0)&gt;=1,$P1135=$V$7),$P1135, IF(OR($R1135&lt;&gt;IF(IFERROR(SEARCH($R1135,XKNVLSX!$X$1,1),0)&gt;=1,$R1135,XKNVLSX!$X$1),COUNTIFS($C$2:$C1134,$C1135,$E$2:$E1134,$E1135,$Q$2:$Q1134,$P1135)&gt;=1),"",$P1135))))</f>
        <v/>
      </c>
      <c r="R1135" s="1017" t="str">
        <f ca="1">IF($A1135="","",IFERROR(INDEX(TinhGia!$BF$10:$BF$81,MATCH($A1135,TinhGia!$B$10:$B$81,0)),""))</f>
        <v/>
      </c>
      <c r="S1135" s="1012" t="str">
        <f ca="1">IF($A1135="","",IF(OR(IFERROR(SEARCH($R1135,XKNVLSX!$X$1,1),0)&gt;=1,XKNVLSX!$X$1=""),$S$2,""))</f>
        <v/>
      </c>
      <c r="T1135" s="1018" t="str">
        <f ca="1">IF($C1135="","", IF(OR($P1135=$V$1,$P1135=$V$7,COUNTIFS($C$3:$C1135,$C1135,$E$3:$E1135,$E1135)&lt;=1),$P1135,""    ))</f>
        <v/>
      </c>
      <c r="U1135" s="1019" t="str">
        <f ca="1">IF(AND($P1135=$V$2,COUNTIFS($C$3:$C1135,$C1135,$E$3:$E1135,$E1135,$G$3:$G1135,$G1135)&lt;=1),$P1135,"")</f>
        <v/>
      </c>
    </row>
    <row r="1136" spans="1:21">
      <c r="A1136" s="991" t="str">
        <f ca="1">IFERROR(IF(COUNTIF($A$3:A1135,A1135)&lt; INDEX(TinhGia!$BH$10:$BH$81,MATCH($A1135,TinhGia!$B$10:$B$81,0)),$A1135,INDEX(TinhGia!$B$10:$B$81,MATCH($A1135,TinhGia!$B$10:$B$81,0)+1)),"")</f>
        <v/>
      </c>
      <c r="B1136" s="525" t="str">
        <f ca="1">IF(OR(A1136="",A1136=0),"",IF(COUNTIF($A$2:A1136,$A1136)=1,ROW(MauKoXoa!$C$108),$B1135+1))</f>
        <v/>
      </c>
      <c r="C1136" s="992" t="str">
        <f t="shared" ca="1" si="165"/>
        <v/>
      </c>
      <c r="D1136" s="993" t="str">
        <f t="shared" ca="1" si="166"/>
        <v/>
      </c>
      <c r="E1136" s="993" t="str">
        <f t="shared" ca="1" si="167"/>
        <v/>
      </c>
      <c r="F1136" s="992" t="str">
        <f t="shared" ca="1" si="181"/>
        <v/>
      </c>
      <c r="G1136" s="994">
        <f t="shared" ca="1" si="168"/>
        <v>0</v>
      </c>
      <c r="H1136" s="913">
        <f t="shared" ca="1" si="169"/>
        <v>0</v>
      </c>
      <c r="I1136" s="913">
        <f t="shared" ca="1" si="170"/>
        <v>0</v>
      </c>
      <c r="J1136" s="995">
        <f t="shared" ca="1" si="182"/>
        <v>0</v>
      </c>
      <c r="K1136" s="913">
        <f t="shared" ca="1" si="171"/>
        <v>0</v>
      </c>
      <c r="L1136" s="995">
        <f t="shared" ca="1" si="183"/>
        <v>0</v>
      </c>
      <c r="M1136" s="913">
        <f t="shared" ca="1" si="172"/>
        <v>0</v>
      </c>
      <c r="N1136" s="996">
        <f t="shared" ca="1" si="173"/>
        <v>0</v>
      </c>
      <c r="O1136" s="997">
        <f t="shared" ca="1" si="174"/>
        <v>0</v>
      </c>
      <c r="P1136" s="1015" t="str">
        <f ca="1">IF($C1136="","",INDEX(NVLSX!$N$2:$N$6941,MATCH($C1136,NVLSX!$E$2:$E$6941,0)))</f>
        <v/>
      </c>
      <c r="Q1136" s="1016" t="str">
        <f ca="1">IF($R1136="","",IF(XKNVLSX!$X$1="",IF($P1136=$V$7,$P1136, IF(COUNTIFS($C$2:$C1135,$C1136,$E$2:$E1135,$E1136)&gt;=1,"",$P1136)),     IF(AND(IFERROR(SEARCH($R1136,XKNVLSX!$X$1,1),0)&gt;=1,$P1136=$V$7),$P1136, IF(OR($R1136&lt;&gt;IF(IFERROR(SEARCH($R1136,XKNVLSX!$X$1,1),0)&gt;=1,$R1136,XKNVLSX!$X$1),COUNTIFS($C$2:$C1135,$C1136,$E$2:$E1135,$E1136,$Q$2:$Q1135,$P1136)&gt;=1),"",$P1136))))</f>
        <v/>
      </c>
      <c r="R1136" s="1017" t="str">
        <f ca="1">IF($A1136="","",IFERROR(INDEX(TinhGia!$BF$10:$BF$81,MATCH($A1136,TinhGia!$B$10:$B$81,0)),""))</f>
        <v/>
      </c>
      <c r="S1136" s="1012" t="str">
        <f ca="1">IF($A1136="","",IF(OR(IFERROR(SEARCH($R1136,XKNVLSX!$X$1,1),0)&gt;=1,XKNVLSX!$X$1=""),$S$2,""))</f>
        <v/>
      </c>
      <c r="T1136" s="1018" t="str">
        <f ca="1">IF($C1136="","", IF(OR($P1136=$V$1,$P1136=$V$7,COUNTIFS($C$3:$C1136,$C1136,$E$3:$E1136,$E1136)&lt;=1),$P1136,""    ))</f>
        <v/>
      </c>
      <c r="U1136" s="1019" t="str">
        <f ca="1">IF(AND($P1136=$V$2,COUNTIFS($C$3:$C1136,$C1136,$E$3:$E1136,$E1136,$G$3:$G1136,$G1136)&lt;=1),$P1136,"")</f>
        <v/>
      </c>
    </row>
    <row r="1137" spans="1:21">
      <c r="A1137" s="991" t="str">
        <f ca="1">IFERROR(IF(COUNTIF($A$3:A1136,A1136)&lt; INDEX(TinhGia!$BH$10:$BH$81,MATCH($A1136,TinhGia!$B$10:$B$81,0)),$A1136,INDEX(TinhGia!$B$10:$B$81,MATCH($A1136,TinhGia!$B$10:$B$81,0)+1)),"")</f>
        <v/>
      </c>
      <c r="B1137" s="525" t="str">
        <f ca="1">IF(OR(A1137="",A1137=0),"",IF(COUNTIF($A$2:A1137,$A1137)=1,ROW(MauKoXoa!$C$108),$B1136+1))</f>
        <v/>
      </c>
      <c r="C1137" s="992" t="str">
        <f t="shared" ca="1" si="165"/>
        <v/>
      </c>
      <c r="D1137" s="993" t="str">
        <f t="shared" ca="1" si="166"/>
        <v/>
      </c>
      <c r="E1137" s="993" t="str">
        <f t="shared" ca="1" si="167"/>
        <v/>
      </c>
      <c r="F1137" s="992" t="str">
        <f t="shared" ca="1" si="181"/>
        <v/>
      </c>
      <c r="G1137" s="994">
        <f t="shared" ca="1" si="168"/>
        <v>0</v>
      </c>
      <c r="H1137" s="913">
        <f t="shared" ca="1" si="169"/>
        <v>0</v>
      </c>
      <c r="I1137" s="913">
        <f t="shared" ca="1" si="170"/>
        <v>0</v>
      </c>
      <c r="J1137" s="995">
        <f t="shared" ca="1" si="182"/>
        <v>0</v>
      </c>
      <c r="K1137" s="913">
        <f t="shared" ca="1" si="171"/>
        <v>0</v>
      </c>
      <c r="L1137" s="995">
        <f t="shared" ca="1" si="183"/>
        <v>0</v>
      </c>
      <c r="M1137" s="913">
        <f t="shared" ca="1" si="172"/>
        <v>0</v>
      </c>
      <c r="N1137" s="996">
        <f t="shared" ca="1" si="173"/>
        <v>0</v>
      </c>
      <c r="O1137" s="997">
        <f t="shared" ca="1" si="174"/>
        <v>0</v>
      </c>
      <c r="P1137" s="1015" t="str">
        <f ca="1">IF($C1137="","",INDEX(NVLSX!$N$2:$N$6941,MATCH($C1137,NVLSX!$E$2:$E$6941,0)))</f>
        <v/>
      </c>
      <c r="Q1137" s="1016" t="str">
        <f ca="1">IF($R1137="","",IF(XKNVLSX!$X$1="",IF($P1137=$V$7,$P1137, IF(COUNTIFS($C$2:$C1136,$C1137,$E$2:$E1136,$E1137)&gt;=1,"",$P1137)),     IF(AND(IFERROR(SEARCH($R1137,XKNVLSX!$X$1,1),0)&gt;=1,$P1137=$V$7),$P1137, IF(OR($R1137&lt;&gt;IF(IFERROR(SEARCH($R1137,XKNVLSX!$X$1,1),0)&gt;=1,$R1137,XKNVLSX!$X$1),COUNTIFS($C$2:$C1136,$C1137,$E$2:$E1136,$E1137,$Q$2:$Q1136,$P1137)&gt;=1),"",$P1137))))</f>
        <v/>
      </c>
      <c r="R1137" s="1017" t="str">
        <f ca="1">IF($A1137="","",IFERROR(INDEX(TinhGia!$BF$10:$BF$81,MATCH($A1137,TinhGia!$B$10:$B$81,0)),""))</f>
        <v/>
      </c>
      <c r="S1137" s="1012" t="str">
        <f ca="1">IF($A1137="","",IF(OR(IFERROR(SEARCH($R1137,XKNVLSX!$X$1,1),0)&gt;=1,XKNVLSX!$X$1=""),$S$2,""))</f>
        <v/>
      </c>
      <c r="T1137" s="1018" t="str">
        <f ca="1">IF($C1137="","", IF(OR($P1137=$V$1,$P1137=$V$7,COUNTIFS($C$3:$C1137,$C1137,$E$3:$E1137,$E1137)&lt;=1),$P1137,""    ))</f>
        <v/>
      </c>
      <c r="U1137" s="1019" t="str">
        <f ca="1">IF(AND($P1137=$V$2,COUNTIFS($C$3:$C1137,$C1137,$E$3:$E1137,$E1137,$G$3:$G1137,$G1137)&lt;=1),$P1137,"")</f>
        <v/>
      </c>
    </row>
    <row r="1138" spans="1:21">
      <c r="A1138" s="991" t="str">
        <f ca="1">IFERROR(IF(COUNTIF($A$3:A1137,A1137)&lt; INDEX(TinhGia!$BH$10:$BH$81,MATCH($A1137,TinhGia!$B$10:$B$81,0)),$A1137,INDEX(TinhGia!$B$10:$B$81,MATCH($A1137,TinhGia!$B$10:$B$81,0)+1)),"")</f>
        <v/>
      </c>
      <c r="B1138" s="525" t="str">
        <f ca="1">IF(OR(A1138="",A1138=0),"",IF(COUNTIF($A$2:A1138,$A1138)=1,ROW(MauKoXoa!$C$108),$B1137+1))</f>
        <v/>
      </c>
      <c r="C1138" s="992" t="str">
        <f t="shared" ca="1" si="165"/>
        <v/>
      </c>
      <c r="D1138" s="993" t="str">
        <f t="shared" ca="1" si="166"/>
        <v/>
      </c>
      <c r="E1138" s="993" t="str">
        <f t="shared" ca="1" si="167"/>
        <v/>
      </c>
      <c r="F1138" s="992" t="str">
        <f t="shared" ca="1" si="181"/>
        <v/>
      </c>
      <c r="G1138" s="994">
        <f t="shared" ca="1" si="168"/>
        <v>0</v>
      </c>
      <c r="H1138" s="913">
        <f t="shared" ca="1" si="169"/>
        <v>0</v>
      </c>
      <c r="I1138" s="913">
        <f t="shared" ca="1" si="170"/>
        <v>0</v>
      </c>
      <c r="J1138" s="995">
        <f t="shared" ca="1" si="182"/>
        <v>0</v>
      </c>
      <c r="K1138" s="913">
        <f t="shared" ca="1" si="171"/>
        <v>0</v>
      </c>
      <c r="L1138" s="995">
        <f t="shared" ca="1" si="183"/>
        <v>0</v>
      </c>
      <c r="M1138" s="913">
        <f t="shared" ca="1" si="172"/>
        <v>0</v>
      </c>
      <c r="N1138" s="996">
        <f t="shared" ca="1" si="173"/>
        <v>0</v>
      </c>
      <c r="O1138" s="997">
        <f t="shared" ca="1" si="174"/>
        <v>0</v>
      </c>
      <c r="P1138" s="1015" t="str">
        <f ca="1">IF($C1138="","",INDEX(NVLSX!$N$2:$N$6941,MATCH($C1138,NVLSX!$E$2:$E$6941,0)))</f>
        <v/>
      </c>
      <c r="Q1138" s="1016" t="str">
        <f ca="1">IF($R1138="","",IF(XKNVLSX!$X$1="",IF($P1138=$V$7,$P1138, IF(COUNTIFS($C$2:$C1137,$C1138,$E$2:$E1137,$E1138)&gt;=1,"",$P1138)),     IF(AND(IFERROR(SEARCH($R1138,XKNVLSX!$X$1,1),0)&gt;=1,$P1138=$V$7),$P1138, IF(OR($R1138&lt;&gt;IF(IFERROR(SEARCH($R1138,XKNVLSX!$X$1,1),0)&gt;=1,$R1138,XKNVLSX!$X$1),COUNTIFS($C$2:$C1137,$C1138,$E$2:$E1137,$E1138,$Q$2:$Q1137,$P1138)&gt;=1),"",$P1138))))</f>
        <v/>
      </c>
      <c r="R1138" s="1017" t="str">
        <f ca="1">IF($A1138="","",IFERROR(INDEX(TinhGia!$BF$10:$BF$81,MATCH($A1138,TinhGia!$B$10:$B$81,0)),""))</f>
        <v/>
      </c>
      <c r="S1138" s="1012" t="str">
        <f ca="1">IF($A1138="","",IF(OR(IFERROR(SEARCH($R1138,XKNVLSX!$X$1,1),0)&gt;=1,XKNVLSX!$X$1=""),$S$2,""))</f>
        <v/>
      </c>
      <c r="T1138" s="1018" t="str">
        <f ca="1">IF($C1138="","", IF(OR($P1138=$V$1,$P1138=$V$7,COUNTIFS($C$3:$C1138,$C1138,$E$3:$E1138,$E1138)&lt;=1),$P1138,""    ))</f>
        <v/>
      </c>
      <c r="U1138" s="1019" t="str">
        <f ca="1">IF(AND($P1138=$V$2,COUNTIFS($C$3:$C1138,$C1138,$E$3:$E1138,$E1138,$G$3:$G1138,$G1138)&lt;=1),$P1138,"")</f>
        <v/>
      </c>
    </row>
    <row r="1139" spans="1:21">
      <c r="A1139" s="991" t="str">
        <f ca="1">IFERROR(IF(COUNTIF($A$3:A1138,A1138)&lt; INDEX(TinhGia!$BH$10:$BH$81,MATCH($A1138,TinhGia!$B$10:$B$81,0)),$A1138,INDEX(TinhGia!$B$10:$B$81,MATCH($A1138,TinhGia!$B$10:$B$81,0)+1)),"")</f>
        <v/>
      </c>
      <c r="B1139" s="525" t="str">
        <f ca="1">IF(OR(A1139="",A1139=0),"",IF(COUNTIF($A$2:A1139,$A1139)=1,ROW(MauKoXoa!$C$108),$B1138+1))</f>
        <v/>
      </c>
      <c r="C1139" s="992" t="str">
        <f t="shared" ca="1" si="165"/>
        <v/>
      </c>
      <c r="D1139" s="993" t="str">
        <f t="shared" ca="1" si="166"/>
        <v/>
      </c>
      <c r="E1139" s="993" t="str">
        <f t="shared" ca="1" si="167"/>
        <v/>
      </c>
      <c r="F1139" s="992" t="str">
        <f t="shared" ca="1" si="181"/>
        <v/>
      </c>
      <c r="G1139" s="994">
        <f t="shared" ca="1" si="168"/>
        <v>0</v>
      </c>
      <c r="H1139" s="913">
        <f t="shared" ca="1" si="169"/>
        <v>0</v>
      </c>
      <c r="I1139" s="913">
        <f t="shared" ca="1" si="170"/>
        <v>0</v>
      </c>
      <c r="J1139" s="995">
        <f t="shared" ca="1" si="182"/>
        <v>0</v>
      </c>
      <c r="K1139" s="913">
        <f t="shared" ca="1" si="171"/>
        <v>0</v>
      </c>
      <c r="L1139" s="995">
        <f t="shared" ca="1" si="183"/>
        <v>0</v>
      </c>
      <c r="M1139" s="913">
        <f t="shared" ca="1" si="172"/>
        <v>0</v>
      </c>
      <c r="N1139" s="996">
        <f t="shared" ca="1" si="173"/>
        <v>0</v>
      </c>
      <c r="O1139" s="997">
        <f t="shared" ca="1" si="174"/>
        <v>0</v>
      </c>
      <c r="P1139" s="1015" t="str">
        <f ca="1">IF($C1139="","",INDEX(NVLSX!$N$2:$N$6941,MATCH($C1139,NVLSX!$E$2:$E$6941,0)))</f>
        <v/>
      </c>
      <c r="Q1139" s="1016" t="str">
        <f ca="1">IF($R1139="","",IF(XKNVLSX!$X$1="",IF($P1139=$V$7,$P1139, IF(COUNTIFS($C$2:$C1138,$C1139,$E$2:$E1138,$E1139)&gt;=1,"",$P1139)),     IF(AND(IFERROR(SEARCH($R1139,XKNVLSX!$X$1,1),0)&gt;=1,$P1139=$V$7),$P1139, IF(OR($R1139&lt;&gt;IF(IFERROR(SEARCH($R1139,XKNVLSX!$X$1,1),0)&gt;=1,$R1139,XKNVLSX!$X$1),COUNTIFS($C$2:$C1138,$C1139,$E$2:$E1138,$E1139,$Q$2:$Q1138,$P1139)&gt;=1),"",$P1139))))</f>
        <v/>
      </c>
      <c r="R1139" s="1017" t="str">
        <f ca="1">IF($A1139="","",IFERROR(INDEX(TinhGia!$BF$10:$BF$81,MATCH($A1139,TinhGia!$B$10:$B$81,0)),""))</f>
        <v/>
      </c>
      <c r="S1139" s="1012" t="str">
        <f ca="1">IF($A1139="","",IF(OR(IFERROR(SEARCH($R1139,XKNVLSX!$X$1,1),0)&gt;=1,XKNVLSX!$X$1=""),$S$2,""))</f>
        <v/>
      </c>
      <c r="T1139" s="1018" t="str">
        <f ca="1">IF($C1139="","", IF(OR($P1139=$V$1,$P1139=$V$7,COUNTIFS($C$3:$C1139,$C1139,$E$3:$E1139,$E1139)&lt;=1),$P1139,""    ))</f>
        <v/>
      </c>
      <c r="U1139" s="1019" t="str">
        <f ca="1">IF(AND($P1139=$V$2,COUNTIFS($C$3:$C1139,$C1139,$E$3:$E1139,$E1139,$G$3:$G1139,$G1139)&lt;=1),$P1139,"")</f>
        <v/>
      </c>
    </row>
    <row r="1140" spans="1:21">
      <c r="A1140" s="991" t="str">
        <f ca="1">IFERROR(IF(COUNTIF($A$3:A1139,A1139)&lt; INDEX(TinhGia!$BH$10:$BH$81,MATCH($A1139,TinhGia!$B$10:$B$81,0)),$A1139,INDEX(TinhGia!$B$10:$B$81,MATCH($A1139,TinhGia!$B$10:$B$81,0)+1)),"")</f>
        <v/>
      </c>
      <c r="B1140" s="525" t="str">
        <f ca="1">IF(OR(A1140="",A1140=0),"",IF(COUNTIF($A$2:A1140,$A1140)=1,ROW(MauKoXoa!$C$108),$B1139+1))</f>
        <v/>
      </c>
      <c r="C1140" s="992" t="str">
        <f t="shared" ca="1" si="165"/>
        <v/>
      </c>
      <c r="D1140" s="993" t="str">
        <f t="shared" ca="1" si="166"/>
        <v/>
      </c>
      <c r="E1140" s="993" t="str">
        <f t="shared" ca="1" si="167"/>
        <v/>
      </c>
      <c r="F1140" s="992" t="str">
        <f t="shared" ca="1" si="181"/>
        <v/>
      </c>
      <c r="G1140" s="994">
        <f t="shared" ca="1" si="168"/>
        <v>0</v>
      </c>
      <c r="H1140" s="913">
        <f t="shared" ca="1" si="169"/>
        <v>0</v>
      </c>
      <c r="I1140" s="913">
        <f t="shared" ca="1" si="170"/>
        <v>0</v>
      </c>
      <c r="J1140" s="995">
        <f t="shared" ca="1" si="182"/>
        <v>0</v>
      </c>
      <c r="K1140" s="913">
        <f t="shared" ca="1" si="171"/>
        <v>0</v>
      </c>
      <c r="L1140" s="995">
        <f t="shared" ca="1" si="183"/>
        <v>0</v>
      </c>
      <c r="M1140" s="913">
        <f t="shared" ca="1" si="172"/>
        <v>0</v>
      </c>
      <c r="N1140" s="996">
        <f t="shared" ca="1" si="173"/>
        <v>0</v>
      </c>
      <c r="O1140" s="997">
        <f t="shared" ca="1" si="174"/>
        <v>0</v>
      </c>
      <c r="P1140" s="1015" t="str">
        <f ca="1">IF($C1140="","",INDEX(NVLSX!$N$2:$N$6941,MATCH($C1140,NVLSX!$E$2:$E$6941,0)))</f>
        <v/>
      </c>
      <c r="Q1140" s="1016" t="str">
        <f ca="1">IF($R1140="","",IF(XKNVLSX!$X$1="",IF($P1140=$V$7,$P1140, IF(COUNTIFS($C$2:$C1139,$C1140,$E$2:$E1139,$E1140)&gt;=1,"",$P1140)),     IF(AND(IFERROR(SEARCH($R1140,XKNVLSX!$X$1,1),0)&gt;=1,$P1140=$V$7),$P1140, IF(OR($R1140&lt;&gt;IF(IFERROR(SEARCH($R1140,XKNVLSX!$X$1,1),0)&gt;=1,$R1140,XKNVLSX!$X$1),COUNTIFS($C$2:$C1139,$C1140,$E$2:$E1139,$E1140,$Q$2:$Q1139,$P1140)&gt;=1),"",$P1140))))</f>
        <v/>
      </c>
      <c r="R1140" s="1017" t="str">
        <f ca="1">IF($A1140="","",IFERROR(INDEX(TinhGia!$BF$10:$BF$81,MATCH($A1140,TinhGia!$B$10:$B$81,0)),""))</f>
        <v/>
      </c>
      <c r="S1140" s="1012" t="str">
        <f ca="1">IF($A1140="","",IF(OR(IFERROR(SEARCH($R1140,XKNVLSX!$X$1,1),0)&gt;=1,XKNVLSX!$X$1=""),$S$2,""))</f>
        <v/>
      </c>
      <c r="T1140" s="1018" t="str">
        <f ca="1">IF($C1140="","", IF(OR($P1140=$V$1,$P1140=$V$7,COUNTIFS($C$3:$C1140,$C1140,$E$3:$E1140,$E1140)&lt;=1),$P1140,""    ))</f>
        <v/>
      </c>
      <c r="U1140" s="1019" t="str">
        <f ca="1">IF(AND($P1140=$V$2,COUNTIFS($C$3:$C1140,$C1140,$E$3:$E1140,$E1140,$G$3:$G1140,$G1140)&lt;=1),$P1140,"")</f>
        <v/>
      </c>
    </row>
    <row r="1141" spans="1:21">
      <c r="A1141" s="991" t="str">
        <f ca="1">IFERROR(IF(COUNTIF($A$3:A1140,A1140)&lt; INDEX(TinhGia!$BH$10:$BH$81,MATCH($A1140,TinhGia!$B$10:$B$81,0)),$A1140,INDEX(TinhGia!$B$10:$B$81,MATCH($A1140,TinhGia!$B$10:$B$81,0)+1)),"")</f>
        <v/>
      </c>
      <c r="B1141" s="525" t="str">
        <f ca="1">IF(OR(A1141="",A1141=0),"",IF(COUNTIF($A$2:A1141,$A1141)=1,ROW(MauKoXoa!$C$108),$B1140+1))</f>
        <v/>
      </c>
      <c r="C1141" s="992" t="str">
        <f t="shared" ca="1" si="165"/>
        <v/>
      </c>
      <c r="D1141" s="993" t="str">
        <f t="shared" ca="1" si="166"/>
        <v/>
      </c>
      <c r="E1141" s="993" t="str">
        <f t="shared" ca="1" si="167"/>
        <v/>
      </c>
      <c r="F1141" s="992" t="str">
        <f t="shared" ca="1" si="181"/>
        <v/>
      </c>
      <c r="G1141" s="994">
        <f t="shared" ca="1" si="168"/>
        <v>0</v>
      </c>
      <c r="H1141" s="913">
        <f t="shared" ca="1" si="169"/>
        <v>0</v>
      </c>
      <c r="I1141" s="913">
        <f t="shared" ca="1" si="170"/>
        <v>0</v>
      </c>
      <c r="J1141" s="995">
        <f t="shared" ca="1" si="182"/>
        <v>0</v>
      </c>
      <c r="K1141" s="913">
        <f t="shared" ca="1" si="171"/>
        <v>0</v>
      </c>
      <c r="L1141" s="995">
        <f t="shared" ca="1" si="183"/>
        <v>0</v>
      </c>
      <c r="M1141" s="913">
        <f t="shared" ca="1" si="172"/>
        <v>0</v>
      </c>
      <c r="N1141" s="996">
        <f t="shared" ca="1" si="173"/>
        <v>0</v>
      </c>
      <c r="O1141" s="997">
        <f t="shared" ca="1" si="174"/>
        <v>0</v>
      </c>
      <c r="P1141" s="1015" t="str">
        <f ca="1">IF($C1141="","",INDEX(NVLSX!$N$2:$N$6941,MATCH($C1141,NVLSX!$E$2:$E$6941,0)))</f>
        <v/>
      </c>
      <c r="Q1141" s="1016" t="str">
        <f ca="1">IF($R1141="","",IF(XKNVLSX!$X$1="",IF($P1141=$V$7,$P1141, IF(COUNTIFS($C$2:$C1140,$C1141,$E$2:$E1140,$E1141)&gt;=1,"",$P1141)),     IF(AND(IFERROR(SEARCH($R1141,XKNVLSX!$X$1,1),0)&gt;=1,$P1141=$V$7),$P1141, IF(OR($R1141&lt;&gt;IF(IFERROR(SEARCH($R1141,XKNVLSX!$X$1,1),0)&gt;=1,$R1141,XKNVLSX!$X$1),COUNTIFS($C$2:$C1140,$C1141,$E$2:$E1140,$E1141,$Q$2:$Q1140,$P1141)&gt;=1),"",$P1141))))</f>
        <v/>
      </c>
      <c r="R1141" s="1017" t="str">
        <f ca="1">IF($A1141="","",IFERROR(INDEX(TinhGia!$BF$10:$BF$81,MATCH($A1141,TinhGia!$B$10:$B$81,0)),""))</f>
        <v/>
      </c>
      <c r="S1141" s="1012" t="str">
        <f ca="1">IF($A1141="","",IF(OR(IFERROR(SEARCH($R1141,XKNVLSX!$X$1,1),0)&gt;=1,XKNVLSX!$X$1=""),$S$2,""))</f>
        <v/>
      </c>
      <c r="T1141" s="1018" t="str">
        <f ca="1">IF($C1141="","", IF(OR($P1141=$V$1,$P1141=$V$7,COUNTIFS($C$3:$C1141,$C1141,$E$3:$E1141,$E1141)&lt;=1),$P1141,""    ))</f>
        <v/>
      </c>
      <c r="U1141" s="1019" t="str">
        <f ca="1">IF(AND($P1141=$V$2,COUNTIFS($C$3:$C1141,$C1141,$E$3:$E1141,$E1141,$G$3:$G1141,$G1141)&lt;=1),$P1141,"")</f>
        <v/>
      </c>
    </row>
    <row r="1142" spans="1:21">
      <c r="A1142" s="991" t="str">
        <f ca="1">IFERROR(IF(COUNTIF($A$3:A1141,A1141)&lt; INDEX(TinhGia!$BH$10:$BH$81,MATCH($A1141,TinhGia!$B$10:$B$81,0)),$A1141,INDEX(TinhGia!$B$10:$B$81,MATCH($A1141,TinhGia!$B$10:$B$81,0)+1)),"")</f>
        <v/>
      </c>
      <c r="B1142" s="525" t="str">
        <f ca="1">IF(OR(A1142="",A1142=0),"",IF(COUNTIF($A$2:A1142,$A1142)=1,ROW(MauKoXoa!$C$108),$B1141+1))</f>
        <v/>
      </c>
      <c r="C1142" s="992" t="str">
        <f t="shared" ca="1" si="165"/>
        <v/>
      </c>
      <c r="D1142" s="993" t="str">
        <f t="shared" ca="1" si="166"/>
        <v/>
      </c>
      <c r="E1142" s="993" t="str">
        <f t="shared" ca="1" si="167"/>
        <v/>
      </c>
      <c r="F1142" s="992" t="str">
        <f t="shared" ca="1" si="181"/>
        <v/>
      </c>
      <c r="G1142" s="994">
        <f t="shared" ca="1" si="168"/>
        <v>0</v>
      </c>
      <c r="H1142" s="913">
        <f t="shared" ca="1" si="169"/>
        <v>0</v>
      </c>
      <c r="I1142" s="913">
        <f t="shared" ca="1" si="170"/>
        <v>0</v>
      </c>
      <c r="J1142" s="995">
        <f t="shared" ca="1" si="182"/>
        <v>0</v>
      </c>
      <c r="K1142" s="913">
        <f t="shared" ca="1" si="171"/>
        <v>0</v>
      </c>
      <c r="L1142" s="995">
        <f t="shared" ca="1" si="183"/>
        <v>0</v>
      </c>
      <c r="M1142" s="913">
        <f t="shared" ca="1" si="172"/>
        <v>0</v>
      </c>
      <c r="N1142" s="996">
        <f t="shared" ca="1" si="173"/>
        <v>0</v>
      </c>
      <c r="O1142" s="997">
        <f t="shared" ca="1" si="174"/>
        <v>0</v>
      </c>
      <c r="P1142" s="1015" t="str">
        <f ca="1">IF($C1142="","",INDEX(NVLSX!$N$2:$N$6941,MATCH($C1142,NVLSX!$E$2:$E$6941,0)))</f>
        <v/>
      </c>
      <c r="Q1142" s="1016" t="str">
        <f ca="1">IF($R1142="","",IF(XKNVLSX!$X$1="",IF($P1142=$V$7,$P1142, IF(COUNTIFS($C$2:$C1141,$C1142,$E$2:$E1141,$E1142)&gt;=1,"",$P1142)),     IF(AND(IFERROR(SEARCH($R1142,XKNVLSX!$X$1,1),0)&gt;=1,$P1142=$V$7),$P1142, IF(OR($R1142&lt;&gt;IF(IFERROR(SEARCH($R1142,XKNVLSX!$X$1,1),0)&gt;=1,$R1142,XKNVLSX!$X$1),COUNTIFS($C$2:$C1141,$C1142,$E$2:$E1141,$E1142,$Q$2:$Q1141,$P1142)&gt;=1),"",$P1142))))</f>
        <v/>
      </c>
      <c r="R1142" s="1017" t="str">
        <f ca="1">IF($A1142="","",IFERROR(INDEX(TinhGia!$BF$10:$BF$81,MATCH($A1142,TinhGia!$B$10:$B$81,0)),""))</f>
        <v/>
      </c>
      <c r="S1142" s="1012" t="str">
        <f ca="1">IF($A1142="","",IF(OR(IFERROR(SEARCH($R1142,XKNVLSX!$X$1,1),0)&gt;=1,XKNVLSX!$X$1=""),$S$2,""))</f>
        <v/>
      </c>
      <c r="T1142" s="1018" t="str">
        <f ca="1">IF($C1142="","", IF(OR($P1142=$V$1,$P1142=$V$7,COUNTIFS($C$3:$C1142,$C1142,$E$3:$E1142,$E1142)&lt;=1),$P1142,""    ))</f>
        <v/>
      </c>
      <c r="U1142" s="1019" t="str">
        <f ca="1">IF(AND($P1142=$V$2,COUNTIFS($C$3:$C1142,$C1142,$E$3:$E1142,$E1142,$G$3:$G1142,$G1142)&lt;=1),$P1142,"")</f>
        <v/>
      </c>
    </row>
    <row r="1143" spans="1:21">
      <c r="A1143" s="991" t="str">
        <f ca="1">IFERROR(IF(COUNTIF($A$3:A1142,A1142)&lt; INDEX(TinhGia!$BH$10:$BH$81,MATCH($A1142,TinhGia!$B$10:$B$81,0)),$A1142,INDEX(TinhGia!$B$10:$B$81,MATCH($A1142,TinhGia!$B$10:$B$81,0)+1)),"")</f>
        <v/>
      </c>
      <c r="B1143" s="525" t="str">
        <f ca="1">IF(OR(A1143="",A1143=0),"",IF(COUNTIF($A$2:A1143,$A1143)=1,ROW(MauKoXoa!$C$108),$B1142+1))</f>
        <v/>
      </c>
      <c r="C1143" s="992" t="str">
        <f t="shared" ca="1" si="165"/>
        <v/>
      </c>
      <c r="D1143" s="993" t="str">
        <f t="shared" ca="1" si="166"/>
        <v/>
      </c>
      <c r="E1143" s="993" t="str">
        <f t="shared" ca="1" si="167"/>
        <v/>
      </c>
      <c r="F1143" s="992" t="str">
        <f t="shared" ca="1" si="181"/>
        <v/>
      </c>
      <c r="G1143" s="994">
        <f t="shared" ca="1" si="168"/>
        <v>0</v>
      </c>
      <c r="H1143" s="913">
        <f t="shared" ca="1" si="169"/>
        <v>0</v>
      </c>
      <c r="I1143" s="913">
        <f t="shared" ca="1" si="170"/>
        <v>0</v>
      </c>
      <c r="J1143" s="995">
        <f t="shared" ca="1" si="182"/>
        <v>0</v>
      </c>
      <c r="K1143" s="913">
        <f t="shared" ca="1" si="171"/>
        <v>0</v>
      </c>
      <c r="L1143" s="995">
        <f t="shared" ca="1" si="183"/>
        <v>0</v>
      </c>
      <c r="M1143" s="913">
        <f t="shared" ca="1" si="172"/>
        <v>0</v>
      </c>
      <c r="N1143" s="996">
        <f t="shared" ca="1" si="173"/>
        <v>0</v>
      </c>
      <c r="O1143" s="997">
        <f t="shared" ca="1" si="174"/>
        <v>0</v>
      </c>
      <c r="P1143" s="1015" t="str">
        <f ca="1">IF($C1143="","",INDEX(NVLSX!$N$2:$N$6941,MATCH($C1143,NVLSX!$E$2:$E$6941,0)))</f>
        <v/>
      </c>
      <c r="Q1143" s="1016" t="str">
        <f ca="1">IF($R1143="","",IF(XKNVLSX!$X$1="",IF($P1143=$V$7,$P1143, IF(COUNTIFS($C$2:$C1142,$C1143,$E$2:$E1142,$E1143)&gt;=1,"",$P1143)),     IF(AND(IFERROR(SEARCH($R1143,XKNVLSX!$X$1,1),0)&gt;=1,$P1143=$V$7),$P1143, IF(OR($R1143&lt;&gt;IF(IFERROR(SEARCH($R1143,XKNVLSX!$X$1,1),0)&gt;=1,$R1143,XKNVLSX!$X$1),COUNTIFS($C$2:$C1142,$C1143,$E$2:$E1142,$E1143,$Q$2:$Q1142,$P1143)&gt;=1),"",$P1143))))</f>
        <v/>
      </c>
      <c r="R1143" s="1017" t="str">
        <f ca="1">IF($A1143="","",IFERROR(INDEX(TinhGia!$BF$10:$BF$81,MATCH($A1143,TinhGia!$B$10:$B$81,0)),""))</f>
        <v/>
      </c>
      <c r="S1143" s="1012" t="str">
        <f ca="1">IF($A1143="","",IF(OR(IFERROR(SEARCH($R1143,XKNVLSX!$X$1,1),0)&gt;=1,XKNVLSX!$X$1=""),$S$2,""))</f>
        <v/>
      </c>
      <c r="T1143" s="1018" t="str">
        <f ca="1">IF($C1143="","", IF(OR($P1143=$V$1,$P1143=$V$7,COUNTIFS($C$3:$C1143,$C1143,$E$3:$E1143,$E1143)&lt;=1),$P1143,""    ))</f>
        <v/>
      </c>
      <c r="U1143" s="1019" t="str">
        <f ca="1">IF(AND($P1143=$V$2,COUNTIFS($C$3:$C1143,$C1143,$E$3:$E1143,$E1143,$G$3:$G1143,$G1143)&lt;=1),$P1143,"")</f>
        <v/>
      </c>
    </row>
    <row r="1144" spans="1:21">
      <c r="A1144" s="991" t="str">
        <f ca="1">IFERROR(IF(COUNTIF($A$3:A1143,A1143)&lt; INDEX(TinhGia!$BH$10:$BH$81,MATCH($A1143,TinhGia!$B$10:$B$81,0)),$A1143,INDEX(TinhGia!$B$10:$B$81,MATCH($A1143,TinhGia!$B$10:$B$81,0)+1)),"")</f>
        <v/>
      </c>
      <c r="B1144" s="525" t="str">
        <f ca="1">IF(OR(A1144="",A1144=0),"",IF(COUNTIF($A$2:A1144,$A1144)=1,ROW(MauKoXoa!$C$108),$B1143+1))</f>
        <v/>
      </c>
      <c r="C1144" s="992" t="str">
        <f t="shared" ca="1" si="165"/>
        <v/>
      </c>
      <c r="D1144" s="993" t="str">
        <f t="shared" ca="1" si="166"/>
        <v/>
      </c>
      <c r="E1144" s="993" t="str">
        <f t="shared" ca="1" si="167"/>
        <v/>
      </c>
      <c r="F1144" s="992" t="str">
        <f t="shared" ca="1" si="181"/>
        <v/>
      </c>
      <c r="G1144" s="994">
        <f t="shared" ca="1" si="168"/>
        <v>0</v>
      </c>
      <c r="H1144" s="913">
        <f t="shared" ca="1" si="169"/>
        <v>0</v>
      </c>
      <c r="I1144" s="913">
        <f t="shared" ca="1" si="170"/>
        <v>0</v>
      </c>
      <c r="J1144" s="995">
        <f t="shared" ca="1" si="182"/>
        <v>0</v>
      </c>
      <c r="K1144" s="913">
        <f t="shared" ca="1" si="171"/>
        <v>0</v>
      </c>
      <c r="L1144" s="995">
        <f t="shared" ca="1" si="183"/>
        <v>0</v>
      </c>
      <c r="M1144" s="913">
        <f t="shared" ca="1" si="172"/>
        <v>0</v>
      </c>
      <c r="N1144" s="996">
        <f t="shared" ca="1" si="173"/>
        <v>0</v>
      </c>
      <c r="O1144" s="997">
        <f t="shared" ca="1" si="174"/>
        <v>0</v>
      </c>
      <c r="P1144" s="1015" t="str">
        <f ca="1">IF($C1144="","",INDEX(NVLSX!$N$2:$N$6941,MATCH($C1144,NVLSX!$E$2:$E$6941,0)))</f>
        <v/>
      </c>
      <c r="Q1144" s="1016" t="str">
        <f ca="1">IF($R1144="","",IF(XKNVLSX!$X$1="",IF($P1144=$V$7,$P1144, IF(COUNTIFS($C$2:$C1143,$C1144,$E$2:$E1143,$E1144)&gt;=1,"",$P1144)),     IF(AND(IFERROR(SEARCH($R1144,XKNVLSX!$X$1,1),0)&gt;=1,$P1144=$V$7),$P1144, IF(OR($R1144&lt;&gt;IF(IFERROR(SEARCH($R1144,XKNVLSX!$X$1,1),0)&gt;=1,$R1144,XKNVLSX!$X$1),COUNTIFS($C$2:$C1143,$C1144,$E$2:$E1143,$E1144,$Q$2:$Q1143,$P1144)&gt;=1),"",$P1144))))</f>
        <v/>
      </c>
      <c r="R1144" s="1017" t="str">
        <f ca="1">IF($A1144="","",IFERROR(INDEX(TinhGia!$BF$10:$BF$81,MATCH($A1144,TinhGia!$B$10:$B$81,0)),""))</f>
        <v/>
      </c>
      <c r="S1144" s="1012" t="str">
        <f ca="1">IF($A1144="","",IF(OR(IFERROR(SEARCH($R1144,XKNVLSX!$X$1,1),0)&gt;=1,XKNVLSX!$X$1=""),$S$2,""))</f>
        <v/>
      </c>
      <c r="T1144" s="1018" t="str">
        <f ca="1">IF($C1144="","", IF(OR($P1144=$V$1,$P1144=$V$7,COUNTIFS($C$3:$C1144,$C1144,$E$3:$E1144,$E1144)&lt;=1),$P1144,""    ))</f>
        <v/>
      </c>
      <c r="U1144" s="1019" t="str">
        <f ca="1">IF(AND($P1144=$V$2,COUNTIFS($C$3:$C1144,$C1144,$E$3:$E1144,$E1144,$G$3:$G1144,$G1144)&lt;=1),$P1144,"")</f>
        <v/>
      </c>
    </row>
    <row r="1145" spans="1:21">
      <c r="A1145" s="991" t="str">
        <f ca="1">IFERROR(IF(COUNTIF($A$3:A1144,A1144)&lt; INDEX(TinhGia!$BH$10:$BH$81,MATCH($A1144,TinhGia!$B$10:$B$81,0)),$A1144,INDEX(TinhGia!$B$10:$B$81,MATCH($A1144,TinhGia!$B$10:$B$81,0)+1)),"")</f>
        <v/>
      </c>
      <c r="B1145" s="525" t="str">
        <f ca="1">IF(OR(A1145="",A1145=0),"",IF(COUNTIF($A$2:A1145,$A1145)=1,ROW(MauKoXoa!$C$108),$B1144+1))</f>
        <v/>
      </c>
      <c r="C1145" s="992" t="str">
        <f t="shared" ca="1" si="165"/>
        <v/>
      </c>
      <c r="D1145" s="993" t="str">
        <f t="shared" ca="1" si="166"/>
        <v/>
      </c>
      <c r="E1145" s="993" t="str">
        <f t="shared" ca="1" si="167"/>
        <v/>
      </c>
      <c r="F1145" s="992" t="str">
        <f t="shared" ca="1" si="181"/>
        <v/>
      </c>
      <c r="G1145" s="994">
        <f t="shared" ca="1" si="168"/>
        <v>0</v>
      </c>
      <c r="H1145" s="913">
        <f t="shared" ca="1" si="169"/>
        <v>0</v>
      </c>
      <c r="I1145" s="913">
        <f t="shared" ca="1" si="170"/>
        <v>0</v>
      </c>
      <c r="J1145" s="995">
        <f t="shared" ca="1" si="182"/>
        <v>0</v>
      </c>
      <c r="K1145" s="913">
        <f t="shared" ca="1" si="171"/>
        <v>0</v>
      </c>
      <c r="L1145" s="995">
        <f t="shared" ca="1" si="183"/>
        <v>0</v>
      </c>
      <c r="M1145" s="913">
        <f t="shared" ca="1" si="172"/>
        <v>0</v>
      </c>
      <c r="N1145" s="996">
        <f t="shared" ca="1" si="173"/>
        <v>0</v>
      </c>
      <c r="O1145" s="997">
        <f t="shared" ca="1" si="174"/>
        <v>0</v>
      </c>
      <c r="P1145" s="1015" t="str">
        <f ca="1">IF($C1145="","",INDEX(NVLSX!$N$2:$N$6941,MATCH($C1145,NVLSX!$E$2:$E$6941,0)))</f>
        <v/>
      </c>
      <c r="Q1145" s="1016" t="str">
        <f ca="1">IF($R1145="","",IF(XKNVLSX!$X$1="",IF($P1145=$V$7,$P1145, IF(COUNTIFS($C$2:$C1144,$C1145,$E$2:$E1144,$E1145)&gt;=1,"",$P1145)),     IF(AND(IFERROR(SEARCH($R1145,XKNVLSX!$X$1,1),0)&gt;=1,$P1145=$V$7),$P1145, IF(OR($R1145&lt;&gt;IF(IFERROR(SEARCH($R1145,XKNVLSX!$X$1,1),0)&gt;=1,$R1145,XKNVLSX!$X$1),COUNTIFS($C$2:$C1144,$C1145,$E$2:$E1144,$E1145,$Q$2:$Q1144,$P1145)&gt;=1),"",$P1145))))</f>
        <v/>
      </c>
      <c r="R1145" s="1017" t="str">
        <f ca="1">IF($A1145="","",IFERROR(INDEX(TinhGia!$BF$10:$BF$81,MATCH($A1145,TinhGia!$B$10:$B$81,0)),""))</f>
        <v/>
      </c>
      <c r="S1145" s="1012" t="str">
        <f ca="1">IF($A1145="","",IF(OR(IFERROR(SEARCH($R1145,XKNVLSX!$X$1,1),0)&gt;=1,XKNVLSX!$X$1=""),$S$2,""))</f>
        <v/>
      </c>
      <c r="T1145" s="1018" t="str">
        <f ca="1">IF($C1145="","", IF(OR($P1145=$V$1,$P1145=$V$7,COUNTIFS($C$3:$C1145,$C1145,$E$3:$E1145,$E1145)&lt;=1),$P1145,""    ))</f>
        <v/>
      </c>
      <c r="U1145" s="1019" t="str">
        <f ca="1">IF(AND($P1145=$V$2,COUNTIFS($C$3:$C1145,$C1145,$E$3:$E1145,$E1145,$G$3:$G1145,$G1145)&lt;=1),$P1145,"")</f>
        <v/>
      </c>
    </row>
    <row r="1146" spans="1:21">
      <c r="A1146" s="991" t="str">
        <f ca="1">IFERROR(IF(COUNTIF($A$3:A1145,A1145)&lt; INDEX(TinhGia!$BH$10:$BH$81,MATCH($A1145,TinhGia!$B$10:$B$81,0)),$A1145,INDEX(TinhGia!$B$10:$B$81,MATCH($A1145,TinhGia!$B$10:$B$81,0)+1)),"")</f>
        <v/>
      </c>
      <c r="B1146" s="525" t="str">
        <f ca="1">IF(OR(A1146="",A1146=0),"",IF(COUNTIF($A$2:A1146,$A1146)=1,ROW(MauKoXoa!$C$108),$B1145+1))</f>
        <v/>
      </c>
      <c r="C1146" s="992" t="str">
        <f t="shared" ca="1" si="165"/>
        <v/>
      </c>
      <c r="D1146" s="993" t="str">
        <f t="shared" ca="1" si="166"/>
        <v/>
      </c>
      <c r="E1146" s="993" t="str">
        <f t="shared" ca="1" si="167"/>
        <v/>
      </c>
      <c r="F1146" s="992" t="str">
        <f t="shared" ca="1" si="181"/>
        <v/>
      </c>
      <c r="G1146" s="994">
        <f t="shared" ca="1" si="168"/>
        <v>0</v>
      </c>
      <c r="H1146" s="913">
        <f t="shared" ca="1" si="169"/>
        <v>0</v>
      </c>
      <c r="I1146" s="913">
        <f t="shared" ca="1" si="170"/>
        <v>0</v>
      </c>
      <c r="J1146" s="995">
        <f t="shared" ca="1" si="182"/>
        <v>0</v>
      </c>
      <c r="K1146" s="913">
        <f t="shared" ca="1" si="171"/>
        <v>0</v>
      </c>
      <c r="L1146" s="995">
        <f t="shared" ca="1" si="183"/>
        <v>0</v>
      </c>
      <c r="M1146" s="913">
        <f t="shared" ca="1" si="172"/>
        <v>0</v>
      </c>
      <c r="N1146" s="996">
        <f t="shared" ca="1" si="173"/>
        <v>0</v>
      </c>
      <c r="O1146" s="997">
        <f t="shared" ca="1" si="174"/>
        <v>0</v>
      </c>
      <c r="P1146" s="1015" t="str">
        <f ca="1">IF($C1146="","",INDEX(NVLSX!$N$2:$N$6941,MATCH($C1146,NVLSX!$E$2:$E$6941,0)))</f>
        <v/>
      </c>
      <c r="Q1146" s="1016" t="str">
        <f ca="1">IF($R1146="","",IF(XKNVLSX!$X$1="",IF($P1146=$V$7,$P1146, IF(COUNTIFS($C$2:$C1145,$C1146,$E$2:$E1145,$E1146)&gt;=1,"",$P1146)),     IF(AND(IFERROR(SEARCH($R1146,XKNVLSX!$X$1,1),0)&gt;=1,$P1146=$V$7),$P1146, IF(OR($R1146&lt;&gt;IF(IFERROR(SEARCH($R1146,XKNVLSX!$X$1,1),0)&gt;=1,$R1146,XKNVLSX!$X$1),COUNTIFS($C$2:$C1145,$C1146,$E$2:$E1145,$E1146,$Q$2:$Q1145,$P1146)&gt;=1),"",$P1146))))</f>
        <v/>
      </c>
      <c r="R1146" s="1017" t="str">
        <f ca="1">IF($A1146="","",IFERROR(INDEX(TinhGia!$BF$10:$BF$81,MATCH($A1146,TinhGia!$B$10:$B$81,0)),""))</f>
        <v/>
      </c>
      <c r="S1146" s="1012" t="str">
        <f ca="1">IF($A1146="","",IF(OR(IFERROR(SEARCH($R1146,XKNVLSX!$X$1,1),0)&gt;=1,XKNVLSX!$X$1=""),$S$2,""))</f>
        <v/>
      </c>
      <c r="T1146" s="1018" t="str">
        <f ca="1">IF($C1146="","", IF(OR($P1146=$V$1,$P1146=$V$7,COUNTIFS($C$3:$C1146,$C1146,$E$3:$E1146,$E1146)&lt;=1),$P1146,""    ))</f>
        <v/>
      </c>
      <c r="U1146" s="1019" t="str">
        <f ca="1">IF(AND($P1146=$V$2,COUNTIFS($C$3:$C1146,$C1146,$E$3:$E1146,$E1146,$G$3:$G1146,$G1146)&lt;=1),$P1146,"")</f>
        <v/>
      </c>
    </row>
    <row r="1147" spans="1:21">
      <c r="A1147" s="991" t="str">
        <f ca="1">IFERROR(IF(COUNTIF($A$3:A1146,A1146)&lt; INDEX(TinhGia!$BH$10:$BH$81,MATCH($A1146,TinhGia!$B$10:$B$81,0)),$A1146,INDEX(TinhGia!$B$10:$B$81,MATCH($A1146,TinhGia!$B$10:$B$81,0)+1)),"")</f>
        <v/>
      </c>
      <c r="B1147" s="525" t="str">
        <f ca="1">IF(OR(A1147="",A1147=0),"",IF(COUNTIF($A$2:A1147,$A1147)=1,ROW(MauKoXoa!$C$108),$B1146+1))</f>
        <v/>
      </c>
      <c r="C1147" s="992" t="str">
        <f t="shared" ca="1" si="165"/>
        <v/>
      </c>
      <c r="D1147" s="993" t="str">
        <f t="shared" ca="1" si="166"/>
        <v/>
      </c>
      <c r="E1147" s="993" t="str">
        <f t="shared" ca="1" si="167"/>
        <v/>
      </c>
      <c r="F1147" s="992" t="str">
        <f t="shared" ca="1" si="181"/>
        <v/>
      </c>
      <c r="G1147" s="994">
        <f t="shared" ca="1" si="168"/>
        <v>0</v>
      </c>
      <c r="H1147" s="913">
        <f t="shared" ca="1" si="169"/>
        <v>0</v>
      </c>
      <c r="I1147" s="913">
        <f t="shared" ca="1" si="170"/>
        <v>0</v>
      </c>
      <c r="J1147" s="995">
        <f t="shared" ca="1" si="182"/>
        <v>0</v>
      </c>
      <c r="K1147" s="913">
        <f t="shared" ca="1" si="171"/>
        <v>0</v>
      </c>
      <c r="L1147" s="995">
        <f t="shared" ca="1" si="183"/>
        <v>0</v>
      </c>
      <c r="M1147" s="913">
        <f t="shared" ca="1" si="172"/>
        <v>0</v>
      </c>
      <c r="N1147" s="996">
        <f t="shared" ca="1" si="173"/>
        <v>0</v>
      </c>
      <c r="O1147" s="997">
        <f t="shared" ca="1" si="174"/>
        <v>0</v>
      </c>
      <c r="P1147" s="1015" t="str">
        <f ca="1">IF($C1147="","",INDEX(NVLSX!$N$2:$N$6941,MATCH($C1147,NVLSX!$E$2:$E$6941,0)))</f>
        <v/>
      </c>
      <c r="Q1147" s="1016" t="str">
        <f ca="1">IF($R1147="","",IF(XKNVLSX!$X$1="",IF($P1147=$V$7,$P1147, IF(COUNTIFS($C$2:$C1146,$C1147,$E$2:$E1146,$E1147)&gt;=1,"",$P1147)),     IF(AND(IFERROR(SEARCH($R1147,XKNVLSX!$X$1,1),0)&gt;=1,$P1147=$V$7),$P1147, IF(OR($R1147&lt;&gt;IF(IFERROR(SEARCH($R1147,XKNVLSX!$X$1,1),0)&gt;=1,$R1147,XKNVLSX!$X$1),COUNTIFS($C$2:$C1146,$C1147,$E$2:$E1146,$E1147,$Q$2:$Q1146,$P1147)&gt;=1),"",$P1147))))</f>
        <v/>
      </c>
      <c r="R1147" s="1017" t="str">
        <f ca="1">IF($A1147="","",IFERROR(INDEX(TinhGia!$BF$10:$BF$81,MATCH($A1147,TinhGia!$B$10:$B$81,0)),""))</f>
        <v/>
      </c>
      <c r="S1147" s="1012" t="str">
        <f ca="1">IF($A1147="","",IF(OR(IFERROR(SEARCH($R1147,XKNVLSX!$X$1,1),0)&gt;=1,XKNVLSX!$X$1=""),$S$2,""))</f>
        <v/>
      </c>
      <c r="T1147" s="1018" t="str">
        <f ca="1">IF($C1147="","", IF(OR($P1147=$V$1,$P1147=$V$7,COUNTIFS($C$3:$C1147,$C1147,$E$3:$E1147,$E1147)&lt;=1),$P1147,""    ))</f>
        <v/>
      </c>
      <c r="U1147" s="1019" t="str">
        <f ca="1">IF(AND($P1147=$V$2,COUNTIFS($C$3:$C1147,$C1147,$E$3:$E1147,$E1147,$G$3:$G1147,$G1147)&lt;=1),$P1147,"")</f>
        <v/>
      </c>
    </row>
    <row r="1148" spans="1:21">
      <c r="A1148" s="991" t="str">
        <f ca="1">IFERROR(IF(COUNTIF($A$3:A1147,A1147)&lt; INDEX(TinhGia!$BH$10:$BH$81,MATCH($A1147,TinhGia!$B$10:$B$81,0)),$A1147,INDEX(TinhGia!$B$10:$B$81,MATCH($A1147,TinhGia!$B$10:$B$81,0)+1)),"")</f>
        <v/>
      </c>
      <c r="B1148" s="525" t="str">
        <f ca="1">IF(OR(A1148="",A1148=0),"",IF(COUNTIF($A$2:A1148,$A1148)=1,ROW(MauKoXoa!$C$108),$B1147+1))</f>
        <v/>
      </c>
      <c r="C1148" s="992" t="str">
        <f t="shared" ca="1" si="165"/>
        <v/>
      </c>
      <c r="D1148" s="993" t="str">
        <f t="shared" ca="1" si="166"/>
        <v/>
      </c>
      <c r="E1148" s="993" t="str">
        <f t="shared" ca="1" si="167"/>
        <v/>
      </c>
      <c r="F1148" s="992" t="str">
        <f t="shared" ca="1" si="181"/>
        <v/>
      </c>
      <c r="G1148" s="994">
        <f t="shared" ca="1" si="168"/>
        <v>0</v>
      </c>
      <c r="H1148" s="913">
        <f t="shared" ca="1" si="169"/>
        <v>0</v>
      </c>
      <c r="I1148" s="913">
        <f t="shared" ca="1" si="170"/>
        <v>0</v>
      </c>
      <c r="J1148" s="995">
        <f t="shared" ca="1" si="182"/>
        <v>0</v>
      </c>
      <c r="K1148" s="913">
        <f t="shared" ca="1" si="171"/>
        <v>0</v>
      </c>
      <c r="L1148" s="995">
        <f t="shared" ca="1" si="183"/>
        <v>0</v>
      </c>
      <c r="M1148" s="913">
        <f t="shared" ca="1" si="172"/>
        <v>0</v>
      </c>
      <c r="N1148" s="996">
        <f t="shared" ca="1" si="173"/>
        <v>0</v>
      </c>
      <c r="O1148" s="997">
        <f t="shared" ca="1" si="174"/>
        <v>0</v>
      </c>
      <c r="P1148" s="1015" t="str">
        <f ca="1">IF($C1148="","",INDEX(NVLSX!$N$2:$N$6941,MATCH($C1148,NVLSX!$E$2:$E$6941,0)))</f>
        <v/>
      </c>
      <c r="Q1148" s="1016" t="str">
        <f ca="1">IF($R1148="","",IF(XKNVLSX!$X$1="",IF($P1148=$V$7,$P1148, IF(COUNTIFS($C$2:$C1147,$C1148,$E$2:$E1147,$E1148)&gt;=1,"",$P1148)),     IF(AND(IFERROR(SEARCH($R1148,XKNVLSX!$X$1,1),0)&gt;=1,$P1148=$V$7),$P1148, IF(OR($R1148&lt;&gt;IF(IFERROR(SEARCH($R1148,XKNVLSX!$X$1,1),0)&gt;=1,$R1148,XKNVLSX!$X$1),COUNTIFS($C$2:$C1147,$C1148,$E$2:$E1147,$E1148,$Q$2:$Q1147,$P1148)&gt;=1),"",$P1148))))</f>
        <v/>
      </c>
      <c r="R1148" s="1017" t="str">
        <f ca="1">IF($A1148="","",IFERROR(INDEX(TinhGia!$BF$10:$BF$81,MATCH($A1148,TinhGia!$B$10:$B$81,0)),""))</f>
        <v/>
      </c>
      <c r="S1148" s="1012" t="str">
        <f ca="1">IF($A1148="","",IF(OR(IFERROR(SEARCH($R1148,XKNVLSX!$X$1,1),0)&gt;=1,XKNVLSX!$X$1=""),$S$2,""))</f>
        <v/>
      </c>
      <c r="T1148" s="1018" t="str">
        <f ca="1">IF($C1148="","", IF(OR($P1148=$V$1,$P1148=$V$7,COUNTIFS($C$3:$C1148,$C1148,$E$3:$E1148,$E1148)&lt;=1),$P1148,""    ))</f>
        <v/>
      </c>
      <c r="U1148" s="1019" t="str">
        <f ca="1">IF(AND($P1148=$V$2,COUNTIFS($C$3:$C1148,$C1148,$E$3:$E1148,$E1148,$G$3:$G1148,$G1148)&lt;=1),$P1148,"")</f>
        <v/>
      </c>
    </row>
    <row r="1149" spans="1:21">
      <c r="A1149" s="991" t="str">
        <f ca="1">IFERROR(IF(COUNTIF($A$3:A1148,A1148)&lt; INDEX(TinhGia!$BH$10:$BH$81,MATCH($A1148,TinhGia!$B$10:$B$81,0)),$A1148,INDEX(TinhGia!$B$10:$B$81,MATCH($A1148,TinhGia!$B$10:$B$81,0)+1)),"")</f>
        <v/>
      </c>
      <c r="B1149" s="525" t="str">
        <f ca="1">IF(OR(A1149="",A1149=0),"",IF(COUNTIF($A$2:A1149,$A1149)=1,ROW(MauKoXoa!$C$108),$B1148+1))</f>
        <v/>
      </c>
      <c r="C1149" s="992" t="str">
        <f t="shared" ca="1" si="165"/>
        <v/>
      </c>
      <c r="D1149" s="993" t="str">
        <f t="shared" ca="1" si="166"/>
        <v/>
      </c>
      <c r="E1149" s="993" t="str">
        <f t="shared" ca="1" si="167"/>
        <v/>
      </c>
      <c r="F1149" s="992" t="str">
        <f t="shared" ca="1" si="181"/>
        <v/>
      </c>
      <c r="G1149" s="994">
        <f t="shared" ca="1" si="168"/>
        <v>0</v>
      </c>
      <c r="H1149" s="913">
        <f t="shared" ca="1" si="169"/>
        <v>0</v>
      </c>
      <c r="I1149" s="913">
        <f t="shared" ca="1" si="170"/>
        <v>0</v>
      </c>
      <c r="J1149" s="995">
        <f t="shared" ca="1" si="182"/>
        <v>0</v>
      </c>
      <c r="K1149" s="913">
        <f t="shared" ca="1" si="171"/>
        <v>0</v>
      </c>
      <c r="L1149" s="995">
        <f t="shared" ca="1" si="183"/>
        <v>0</v>
      </c>
      <c r="M1149" s="913">
        <f t="shared" ca="1" si="172"/>
        <v>0</v>
      </c>
      <c r="N1149" s="996">
        <f t="shared" ca="1" si="173"/>
        <v>0</v>
      </c>
      <c r="O1149" s="997">
        <f t="shared" ca="1" si="174"/>
        <v>0</v>
      </c>
      <c r="P1149" s="1015" t="str">
        <f ca="1">IF($C1149="","",INDEX(NVLSX!$N$2:$N$6941,MATCH($C1149,NVLSX!$E$2:$E$6941,0)))</f>
        <v/>
      </c>
      <c r="Q1149" s="1016" t="str">
        <f ca="1">IF($R1149="","",IF(XKNVLSX!$X$1="",IF($P1149=$V$7,$P1149, IF(COUNTIFS($C$2:$C1148,$C1149,$E$2:$E1148,$E1149)&gt;=1,"",$P1149)),     IF(AND(IFERROR(SEARCH($R1149,XKNVLSX!$X$1,1),0)&gt;=1,$P1149=$V$7),$P1149, IF(OR($R1149&lt;&gt;IF(IFERROR(SEARCH($R1149,XKNVLSX!$X$1,1),0)&gt;=1,$R1149,XKNVLSX!$X$1),COUNTIFS($C$2:$C1148,$C1149,$E$2:$E1148,$E1149,$Q$2:$Q1148,$P1149)&gt;=1),"",$P1149))))</f>
        <v/>
      </c>
      <c r="R1149" s="1017" t="str">
        <f ca="1">IF($A1149="","",IFERROR(INDEX(TinhGia!$BF$10:$BF$81,MATCH($A1149,TinhGia!$B$10:$B$81,0)),""))</f>
        <v/>
      </c>
      <c r="S1149" s="1012" t="str">
        <f ca="1">IF($A1149="","",IF(OR(IFERROR(SEARCH($R1149,XKNVLSX!$X$1,1),0)&gt;=1,XKNVLSX!$X$1=""),$S$2,""))</f>
        <v/>
      </c>
      <c r="T1149" s="1018" t="str">
        <f ca="1">IF($C1149="","", IF(OR($P1149=$V$1,$P1149=$V$7,COUNTIFS($C$3:$C1149,$C1149,$E$3:$E1149,$E1149)&lt;=1),$P1149,""    ))</f>
        <v/>
      </c>
      <c r="U1149" s="1019" t="str">
        <f ca="1">IF(AND($P1149=$V$2,COUNTIFS($C$3:$C1149,$C1149,$E$3:$E1149,$E1149,$G$3:$G1149,$G1149)&lt;=1),$P1149,"")</f>
        <v/>
      </c>
    </row>
    <row r="1150" spans="1:21">
      <c r="A1150" s="991" t="str">
        <f ca="1">IFERROR(IF(COUNTIF($A$3:A1149,A1149)&lt; INDEX(TinhGia!$BH$10:$BH$81,MATCH($A1149,TinhGia!$B$10:$B$81,0)),$A1149,INDEX(TinhGia!$B$10:$B$81,MATCH($A1149,TinhGia!$B$10:$B$81,0)+1)),"")</f>
        <v/>
      </c>
      <c r="B1150" s="525" t="str">
        <f ca="1">IF(OR(A1150="",A1150=0),"",IF(COUNTIF($A$2:A1150,$A1150)=1,ROW(MauKoXoa!$C$108),$B1149+1))</f>
        <v/>
      </c>
      <c r="C1150" s="992" t="str">
        <f t="shared" ca="1" si="165"/>
        <v/>
      </c>
      <c r="D1150" s="993" t="str">
        <f t="shared" ca="1" si="166"/>
        <v/>
      </c>
      <c r="E1150" s="993" t="str">
        <f t="shared" ca="1" si="167"/>
        <v/>
      </c>
      <c r="F1150" s="992" t="str">
        <f t="shared" ca="1" si="181"/>
        <v/>
      </c>
      <c r="G1150" s="994">
        <f t="shared" ca="1" si="168"/>
        <v>0</v>
      </c>
      <c r="H1150" s="913">
        <f t="shared" ca="1" si="169"/>
        <v>0</v>
      </c>
      <c r="I1150" s="913">
        <f t="shared" ca="1" si="170"/>
        <v>0</v>
      </c>
      <c r="J1150" s="995">
        <f t="shared" ca="1" si="182"/>
        <v>0</v>
      </c>
      <c r="K1150" s="913">
        <f t="shared" ca="1" si="171"/>
        <v>0</v>
      </c>
      <c r="L1150" s="995">
        <f t="shared" ca="1" si="183"/>
        <v>0</v>
      </c>
      <c r="M1150" s="913">
        <f t="shared" ca="1" si="172"/>
        <v>0</v>
      </c>
      <c r="N1150" s="996">
        <f t="shared" ca="1" si="173"/>
        <v>0</v>
      </c>
      <c r="O1150" s="997">
        <f t="shared" ca="1" si="174"/>
        <v>0</v>
      </c>
      <c r="P1150" s="1015" t="str">
        <f ca="1">IF($C1150="","",INDEX(NVLSX!$N$2:$N$6941,MATCH($C1150,NVLSX!$E$2:$E$6941,0)))</f>
        <v/>
      </c>
      <c r="Q1150" s="1016" t="str">
        <f ca="1">IF($R1150="","",IF(XKNVLSX!$X$1="",IF($P1150=$V$7,$P1150, IF(COUNTIFS($C$2:$C1149,$C1150,$E$2:$E1149,$E1150)&gt;=1,"",$P1150)),     IF(AND(IFERROR(SEARCH($R1150,XKNVLSX!$X$1,1),0)&gt;=1,$P1150=$V$7),$P1150, IF(OR($R1150&lt;&gt;IF(IFERROR(SEARCH($R1150,XKNVLSX!$X$1,1),0)&gt;=1,$R1150,XKNVLSX!$X$1),COUNTIFS($C$2:$C1149,$C1150,$E$2:$E1149,$E1150,$Q$2:$Q1149,$P1150)&gt;=1),"",$P1150))))</f>
        <v/>
      </c>
      <c r="R1150" s="1017" t="str">
        <f ca="1">IF($A1150="","",IFERROR(INDEX(TinhGia!$BF$10:$BF$81,MATCH($A1150,TinhGia!$B$10:$B$81,0)),""))</f>
        <v/>
      </c>
      <c r="S1150" s="1012" t="str">
        <f ca="1">IF($A1150="","",IF(OR(IFERROR(SEARCH($R1150,XKNVLSX!$X$1,1),0)&gt;=1,XKNVLSX!$X$1=""),$S$2,""))</f>
        <v/>
      </c>
      <c r="T1150" s="1018" t="str">
        <f ca="1">IF($C1150="","", IF(OR($P1150=$V$1,$P1150=$V$7,COUNTIFS($C$3:$C1150,$C1150,$E$3:$E1150,$E1150)&lt;=1),$P1150,""    ))</f>
        <v/>
      </c>
      <c r="U1150" s="1019" t="str">
        <f ca="1">IF(AND($P1150=$V$2,COUNTIFS($C$3:$C1150,$C1150,$E$3:$E1150,$E1150,$G$3:$G1150,$G1150)&lt;=1),$P1150,"")</f>
        <v/>
      </c>
    </row>
    <row r="1151" spans="1:21">
      <c r="A1151" s="991" t="str">
        <f ca="1">IFERROR(IF(COUNTIF($A$3:A1150,A1150)&lt; INDEX(TinhGia!$BH$10:$BH$81,MATCH($A1150,TinhGia!$B$10:$B$81,0)),$A1150,INDEX(TinhGia!$B$10:$B$81,MATCH($A1150,TinhGia!$B$10:$B$81,0)+1)),"")</f>
        <v/>
      </c>
      <c r="B1151" s="525" t="str">
        <f ca="1">IF(OR(A1151="",A1151=0),"",IF(COUNTIF($A$2:A1151,$A1151)=1,ROW(MauKoXoa!$C$108),$B1150+1))</f>
        <v/>
      </c>
      <c r="C1151" s="992" t="str">
        <f t="shared" ca="1" si="165"/>
        <v/>
      </c>
      <c r="D1151" s="993" t="str">
        <f t="shared" ca="1" si="166"/>
        <v/>
      </c>
      <c r="E1151" s="993" t="str">
        <f t="shared" ca="1" si="167"/>
        <v/>
      </c>
      <c r="F1151" s="992" t="str">
        <f t="shared" ca="1" si="181"/>
        <v/>
      </c>
      <c r="G1151" s="994">
        <f t="shared" ca="1" si="168"/>
        <v>0</v>
      </c>
      <c r="H1151" s="913">
        <f t="shared" ca="1" si="169"/>
        <v>0</v>
      </c>
      <c r="I1151" s="913">
        <f t="shared" ca="1" si="170"/>
        <v>0</v>
      </c>
      <c r="J1151" s="995">
        <f t="shared" ca="1" si="182"/>
        <v>0</v>
      </c>
      <c r="K1151" s="913">
        <f t="shared" ca="1" si="171"/>
        <v>0</v>
      </c>
      <c r="L1151" s="995">
        <f t="shared" ca="1" si="183"/>
        <v>0</v>
      </c>
      <c r="M1151" s="913">
        <f t="shared" ca="1" si="172"/>
        <v>0</v>
      </c>
      <c r="N1151" s="996">
        <f t="shared" ca="1" si="173"/>
        <v>0</v>
      </c>
      <c r="O1151" s="997">
        <f t="shared" ca="1" si="174"/>
        <v>0</v>
      </c>
      <c r="P1151" s="1015" t="str">
        <f ca="1">IF($C1151="","",INDEX(NVLSX!$N$2:$N$6941,MATCH($C1151,NVLSX!$E$2:$E$6941,0)))</f>
        <v/>
      </c>
      <c r="Q1151" s="1016" t="str">
        <f ca="1">IF($R1151="","",IF(XKNVLSX!$X$1="",IF($P1151=$V$7,$P1151, IF(COUNTIFS($C$2:$C1150,$C1151,$E$2:$E1150,$E1151)&gt;=1,"",$P1151)),     IF(AND(IFERROR(SEARCH($R1151,XKNVLSX!$X$1,1),0)&gt;=1,$P1151=$V$7),$P1151, IF(OR($R1151&lt;&gt;IF(IFERROR(SEARCH($R1151,XKNVLSX!$X$1,1),0)&gt;=1,$R1151,XKNVLSX!$X$1),COUNTIFS($C$2:$C1150,$C1151,$E$2:$E1150,$E1151,$Q$2:$Q1150,$P1151)&gt;=1),"",$P1151))))</f>
        <v/>
      </c>
      <c r="R1151" s="1017" t="str">
        <f ca="1">IF($A1151="","",IFERROR(INDEX(TinhGia!$BF$10:$BF$81,MATCH($A1151,TinhGia!$B$10:$B$81,0)),""))</f>
        <v/>
      </c>
      <c r="S1151" s="1012" t="str">
        <f ca="1">IF($A1151="","",IF(OR(IFERROR(SEARCH($R1151,XKNVLSX!$X$1,1),0)&gt;=1,XKNVLSX!$X$1=""),$S$2,""))</f>
        <v/>
      </c>
      <c r="T1151" s="1018" t="str">
        <f ca="1">IF($C1151="","", IF(OR($P1151=$V$1,$P1151=$V$7,COUNTIFS($C$3:$C1151,$C1151,$E$3:$E1151,$E1151)&lt;=1),$P1151,""    ))</f>
        <v/>
      </c>
      <c r="U1151" s="1019" t="str">
        <f ca="1">IF(AND($P1151=$V$2,COUNTIFS($C$3:$C1151,$C1151,$E$3:$E1151,$E1151,$G$3:$G1151,$G1151)&lt;=1),$P1151,"")</f>
        <v/>
      </c>
    </row>
    <row r="1152" spans="1:21">
      <c r="A1152" s="991" t="str">
        <f ca="1">IFERROR(IF(COUNTIF($A$3:A1151,A1151)&lt; INDEX(TinhGia!$BH$10:$BH$81,MATCH($A1151,TinhGia!$B$10:$B$81,0)),$A1151,INDEX(TinhGia!$B$10:$B$81,MATCH($A1151,TinhGia!$B$10:$B$81,0)+1)),"")</f>
        <v/>
      </c>
      <c r="B1152" s="525" t="str">
        <f ca="1">IF(OR(A1152="",A1152=0),"",IF(COUNTIF($A$2:A1152,$A1152)=1,ROW(MauKoXoa!$C$108),$B1151+1))</f>
        <v/>
      </c>
      <c r="C1152" s="992" t="str">
        <f t="shared" ca="1" si="165"/>
        <v/>
      </c>
      <c r="D1152" s="993" t="str">
        <f t="shared" ca="1" si="166"/>
        <v/>
      </c>
      <c r="E1152" s="993" t="str">
        <f t="shared" ca="1" si="167"/>
        <v/>
      </c>
      <c r="F1152" s="992" t="str">
        <f t="shared" ca="1" si="181"/>
        <v/>
      </c>
      <c r="G1152" s="994">
        <f t="shared" ca="1" si="168"/>
        <v>0</v>
      </c>
      <c r="H1152" s="913">
        <f t="shared" ca="1" si="169"/>
        <v>0</v>
      </c>
      <c r="I1152" s="913">
        <f t="shared" ca="1" si="170"/>
        <v>0</v>
      </c>
      <c r="J1152" s="995">
        <f t="shared" ca="1" si="182"/>
        <v>0</v>
      </c>
      <c r="K1152" s="913">
        <f t="shared" ca="1" si="171"/>
        <v>0</v>
      </c>
      <c r="L1152" s="995">
        <f t="shared" ca="1" si="183"/>
        <v>0</v>
      </c>
      <c r="M1152" s="913">
        <f t="shared" ca="1" si="172"/>
        <v>0</v>
      </c>
      <c r="N1152" s="996">
        <f t="shared" ca="1" si="173"/>
        <v>0</v>
      </c>
      <c r="O1152" s="997">
        <f t="shared" ca="1" si="174"/>
        <v>0</v>
      </c>
      <c r="P1152" s="1015" t="str">
        <f ca="1">IF($C1152="","",INDEX(NVLSX!$N$2:$N$6941,MATCH($C1152,NVLSX!$E$2:$E$6941,0)))</f>
        <v/>
      </c>
      <c r="Q1152" s="1016" t="str">
        <f ca="1">IF($R1152="","",IF(XKNVLSX!$X$1="",IF($P1152=$V$7,$P1152, IF(COUNTIFS($C$2:$C1151,$C1152,$E$2:$E1151,$E1152)&gt;=1,"",$P1152)),     IF(AND(IFERROR(SEARCH($R1152,XKNVLSX!$X$1,1),0)&gt;=1,$P1152=$V$7),$P1152, IF(OR($R1152&lt;&gt;IF(IFERROR(SEARCH($R1152,XKNVLSX!$X$1,1),0)&gt;=1,$R1152,XKNVLSX!$X$1),COUNTIFS($C$2:$C1151,$C1152,$E$2:$E1151,$E1152,$Q$2:$Q1151,$P1152)&gt;=1),"",$P1152))))</f>
        <v/>
      </c>
      <c r="R1152" s="1017" t="str">
        <f ca="1">IF($A1152="","",IFERROR(INDEX(TinhGia!$BF$10:$BF$81,MATCH($A1152,TinhGia!$B$10:$B$81,0)),""))</f>
        <v/>
      </c>
      <c r="S1152" s="1012" t="str">
        <f ca="1">IF($A1152="","",IF(OR(IFERROR(SEARCH($R1152,XKNVLSX!$X$1,1),0)&gt;=1,XKNVLSX!$X$1=""),$S$2,""))</f>
        <v/>
      </c>
      <c r="T1152" s="1018" t="str">
        <f ca="1">IF($C1152="","", IF(OR($P1152=$V$1,$P1152=$V$7,COUNTIFS($C$3:$C1152,$C1152,$E$3:$E1152,$E1152)&lt;=1),$P1152,""    ))</f>
        <v/>
      </c>
      <c r="U1152" s="1019" t="str">
        <f ca="1">IF(AND($P1152=$V$2,COUNTIFS($C$3:$C1152,$C1152,$E$3:$E1152,$E1152,$G$3:$G1152,$G1152)&lt;=1),$P1152,"")</f>
        <v/>
      </c>
    </row>
    <row r="1153" spans="1:21">
      <c r="A1153" s="991" t="str">
        <f ca="1">IFERROR(IF(COUNTIF($A$3:A1152,A1152)&lt; INDEX(TinhGia!$BH$10:$BH$81,MATCH($A1152,TinhGia!$B$10:$B$81,0)),$A1152,INDEX(TinhGia!$B$10:$B$81,MATCH($A1152,TinhGia!$B$10:$B$81,0)+1)),"")</f>
        <v/>
      </c>
      <c r="B1153" s="525" t="str">
        <f ca="1">IF(OR(A1153="",A1153=0),"",IF(COUNTIF($A$2:A1153,$A1153)=1,ROW(MauKoXoa!$C$108),$B1152+1))</f>
        <v/>
      </c>
      <c r="C1153" s="992" t="str">
        <f t="shared" ca="1" si="165"/>
        <v/>
      </c>
      <c r="D1153" s="993" t="str">
        <f t="shared" ca="1" si="166"/>
        <v/>
      </c>
      <c r="E1153" s="993" t="str">
        <f t="shared" ca="1" si="167"/>
        <v/>
      </c>
      <c r="F1153" s="992" t="str">
        <f t="shared" ca="1" si="181"/>
        <v/>
      </c>
      <c r="G1153" s="994">
        <f t="shared" ca="1" si="168"/>
        <v>0</v>
      </c>
      <c r="H1153" s="913">
        <f t="shared" ca="1" si="169"/>
        <v>0</v>
      </c>
      <c r="I1153" s="913">
        <f t="shared" ca="1" si="170"/>
        <v>0</v>
      </c>
      <c r="J1153" s="995">
        <f t="shared" ca="1" si="182"/>
        <v>0</v>
      </c>
      <c r="K1153" s="913">
        <f t="shared" ca="1" si="171"/>
        <v>0</v>
      </c>
      <c r="L1153" s="995">
        <f t="shared" ca="1" si="183"/>
        <v>0</v>
      </c>
      <c r="M1153" s="913">
        <f t="shared" ca="1" si="172"/>
        <v>0</v>
      </c>
      <c r="N1153" s="996">
        <f t="shared" ca="1" si="173"/>
        <v>0</v>
      </c>
      <c r="O1153" s="997">
        <f t="shared" ca="1" si="174"/>
        <v>0</v>
      </c>
      <c r="P1153" s="1015" t="str">
        <f ca="1">IF($C1153="","",INDEX(NVLSX!$N$2:$N$6941,MATCH($C1153,NVLSX!$E$2:$E$6941,0)))</f>
        <v/>
      </c>
      <c r="Q1153" s="1016" t="str">
        <f ca="1">IF($R1153="","",IF(XKNVLSX!$X$1="",IF($P1153=$V$7,$P1153, IF(COUNTIFS($C$2:$C1152,$C1153,$E$2:$E1152,$E1153)&gt;=1,"",$P1153)),     IF(AND(IFERROR(SEARCH($R1153,XKNVLSX!$X$1,1),0)&gt;=1,$P1153=$V$7),$P1153, IF(OR($R1153&lt;&gt;IF(IFERROR(SEARCH($R1153,XKNVLSX!$X$1,1),0)&gt;=1,$R1153,XKNVLSX!$X$1),COUNTIFS($C$2:$C1152,$C1153,$E$2:$E1152,$E1153,$Q$2:$Q1152,$P1153)&gt;=1),"",$P1153))))</f>
        <v/>
      </c>
      <c r="R1153" s="1017" t="str">
        <f ca="1">IF($A1153="","",IFERROR(INDEX(TinhGia!$BF$10:$BF$81,MATCH($A1153,TinhGia!$B$10:$B$81,0)),""))</f>
        <v/>
      </c>
      <c r="S1153" s="1012" t="str">
        <f ca="1">IF($A1153="","",IF(OR(IFERROR(SEARCH($R1153,XKNVLSX!$X$1,1),0)&gt;=1,XKNVLSX!$X$1=""),$S$2,""))</f>
        <v/>
      </c>
      <c r="T1153" s="1018" t="str">
        <f ca="1">IF($C1153="","", IF(OR($P1153=$V$1,$P1153=$V$7,COUNTIFS($C$3:$C1153,$C1153,$E$3:$E1153,$E1153)&lt;=1),$P1153,""    ))</f>
        <v/>
      </c>
      <c r="U1153" s="1019" t="str">
        <f ca="1">IF(AND($P1153=$V$2,COUNTIFS($C$3:$C1153,$C1153,$E$3:$E1153,$E1153,$G$3:$G1153,$G1153)&lt;=1),$P1153,"")</f>
        <v/>
      </c>
    </row>
    <row r="1154" spans="1:21">
      <c r="A1154" s="991" t="str">
        <f ca="1">IFERROR(IF(COUNTIF($A$3:A1153,A1153)&lt; INDEX(TinhGia!$BH$10:$BH$81,MATCH($A1153,TinhGia!$B$10:$B$81,0)),$A1153,INDEX(TinhGia!$B$10:$B$81,MATCH($A1153,TinhGia!$B$10:$B$81,0)+1)),"")</f>
        <v/>
      </c>
      <c r="B1154" s="525" t="str">
        <f ca="1">IF(OR(A1154="",A1154=0),"",IF(COUNTIF($A$2:A1154,$A1154)=1,ROW(MauKoXoa!$C$108),$B1153+1))</f>
        <v/>
      </c>
      <c r="C1154" s="992" t="str">
        <f t="shared" ca="1" si="165"/>
        <v/>
      </c>
      <c r="D1154" s="993" t="str">
        <f t="shared" ca="1" si="166"/>
        <v/>
      </c>
      <c r="E1154" s="993" t="str">
        <f t="shared" ca="1" si="167"/>
        <v/>
      </c>
      <c r="F1154" s="992" t="str">
        <f t="shared" ca="1" si="181"/>
        <v/>
      </c>
      <c r="G1154" s="994">
        <f t="shared" ca="1" si="168"/>
        <v>0</v>
      </c>
      <c r="H1154" s="913">
        <f t="shared" ca="1" si="169"/>
        <v>0</v>
      </c>
      <c r="I1154" s="913">
        <f t="shared" ca="1" si="170"/>
        <v>0</v>
      </c>
      <c r="J1154" s="995">
        <f t="shared" ca="1" si="182"/>
        <v>0</v>
      </c>
      <c r="K1154" s="913">
        <f t="shared" ca="1" si="171"/>
        <v>0</v>
      </c>
      <c r="L1154" s="995">
        <f t="shared" ca="1" si="183"/>
        <v>0</v>
      </c>
      <c r="M1154" s="913">
        <f t="shared" ca="1" si="172"/>
        <v>0</v>
      </c>
      <c r="N1154" s="996">
        <f t="shared" ca="1" si="173"/>
        <v>0</v>
      </c>
      <c r="O1154" s="997">
        <f t="shared" ca="1" si="174"/>
        <v>0</v>
      </c>
      <c r="P1154" s="1015" t="str">
        <f ca="1">IF($C1154="","",INDEX(NVLSX!$N$2:$N$6941,MATCH($C1154,NVLSX!$E$2:$E$6941,0)))</f>
        <v/>
      </c>
      <c r="Q1154" s="1016" t="str">
        <f ca="1">IF($R1154="","",IF(XKNVLSX!$X$1="",IF($P1154=$V$7,$P1154, IF(COUNTIFS($C$2:$C1153,$C1154,$E$2:$E1153,$E1154)&gt;=1,"",$P1154)),     IF(AND(IFERROR(SEARCH($R1154,XKNVLSX!$X$1,1),0)&gt;=1,$P1154=$V$7),$P1154, IF(OR($R1154&lt;&gt;IF(IFERROR(SEARCH($R1154,XKNVLSX!$X$1,1),0)&gt;=1,$R1154,XKNVLSX!$X$1),COUNTIFS($C$2:$C1153,$C1154,$E$2:$E1153,$E1154,$Q$2:$Q1153,$P1154)&gt;=1),"",$P1154))))</f>
        <v/>
      </c>
      <c r="R1154" s="1017" t="str">
        <f ca="1">IF($A1154="","",IFERROR(INDEX(TinhGia!$BF$10:$BF$81,MATCH($A1154,TinhGia!$B$10:$B$81,0)),""))</f>
        <v/>
      </c>
      <c r="S1154" s="1012" t="str">
        <f ca="1">IF($A1154="","",IF(OR(IFERROR(SEARCH($R1154,XKNVLSX!$X$1,1),0)&gt;=1,XKNVLSX!$X$1=""),$S$2,""))</f>
        <v/>
      </c>
      <c r="T1154" s="1018" t="str">
        <f ca="1">IF($C1154="","", IF(OR($P1154=$V$1,$P1154=$V$7,COUNTIFS($C$3:$C1154,$C1154,$E$3:$E1154,$E1154)&lt;=1),$P1154,""    ))</f>
        <v/>
      </c>
      <c r="U1154" s="1019" t="str">
        <f ca="1">IF(AND($P1154=$V$2,COUNTIFS($C$3:$C1154,$C1154,$E$3:$E1154,$E1154,$G$3:$G1154,$G1154)&lt;=1),$P1154,"")</f>
        <v/>
      </c>
    </row>
    <row r="1155" spans="1:21">
      <c r="A1155" s="991" t="str">
        <f ca="1">IFERROR(IF(COUNTIF($A$3:A1154,A1154)&lt; INDEX(TinhGia!$BH$10:$BH$81,MATCH($A1154,TinhGia!$B$10:$B$81,0)),$A1154,INDEX(TinhGia!$B$10:$B$81,MATCH($A1154,TinhGia!$B$10:$B$81,0)+1)),"")</f>
        <v/>
      </c>
      <c r="B1155" s="525" t="str">
        <f ca="1">IF(OR(A1155="",A1155=0),"",IF(COUNTIF($A$2:A1155,$A1155)=1,ROW(MauKoXoa!$C$108),$B1154+1))</f>
        <v/>
      </c>
      <c r="C1155" s="992" t="str">
        <f t="shared" ca="1" si="165"/>
        <v/>
      </c>
      <c r="D1155" s="993" t="str">
        <f t="shared" ca="1" si="166"/>
        <v/>
      </c>
      <c r="E1155" s="993" t="str">
        <f t="shared" ca="1" si="167"/>
        <v/>
      </c>
      <c r="F1155" s="992" t="str">
        <f t="shared" ref="F1155:F1218" ca="1" si="184">IF($P1155=$V$7, IFERROR(INDIRECT("'" &amp; $A1155 &amp; "'!" &amp; "I" &amp; $B1155),""),IFERROR(INDIRECT("'" &amp; $A1155 &amp; "'!" &amp; "E" &amp; $B1155),""))</f>
        <v/>
      </c>
      <c r="G1155" s="994">
        <f t="shared" ca="1" si="168"/>
        <v>0</v>
      </c>
      <c r="H1155" s="913">
        <f t="shared" ca="1" si="169"/>
        <v>0</v>
      </c>
      <c r="I1155" s="913">
        <f t="shared" ca="1" si="170"/>
        <v>0</v>
      </c>
      <c r="J1155" s="995">
        <f t="shared" ca="1" si="182"/>
        <v>0</v>
      </c>
      <c r="K1155" s="913">
        <f t="shared" ca="1" si="171"/>
        <v>0</v>
      </c>
      <c r="L1155" s="995">
        <f t="shared" ca="1" si="183"/>
        <v>0</v>
      </c>
      <c r="M1155" s="913">
        <f t="shared" ca="1" si="172"/>
        <v>0</v>
      </c>
      <c r="N1155" s="996">
        <f t="shared" ca="1" si="173"/>
        <v>0</v>
      </c>
      <c r="O1155" s="997">
        <f t="shared" ca="1" si="174"/>
        <v>0</v>
      </c>
      <c r="P1155" s="1015" t="str">
        <f ca="1">IF($C1155="","",INDEX(NVLSX!$N$2:$N$6941,MATCH($C1155,NVLSX!$E$2:$E$6941,0)))</f>
        <v/>
      </c>
      <c r="Q1155" s="1016" t="str">
        <f ca="1">IF($R1155="","",IF(XKNVLSX!$X$1="",IF($P1155=$V$7,$P1155, IF(COUNTIFS($C$2:$C1154,$C1155,$E$2:$E1154,$E1155)&gt;=1,"",$P1155)),     IF(AND(IFERROR(SEARCH($R1155,XKNVLSX!$X$1,1),0)&gt;=1,$P1155=$V$7),$P1155, IF(OR($R1155&lt;&gt;IF(IFERROR(SEARCH($R1155,XKNVLSX!$X$1,1),0)&gt;=1,$R1155,XKNVLSX!$X$1),COUNTIFS($C$2:$C1154,$C1155,$E$2:$E1154,$E1155,$Q$2:$Q1154,$P1155)&gt;=1),"",$P1155))))</f>
        <v/>
      </c>
      <c r="R1155" s="1017" t="str">
        <f ca="1">IF($A1155="","",IFERROR(INDEX(TinhGia!$BF$10:$BF$81,MATCH($A1155,TinhGia!$B$10:$B$81,0)),""))</f>
        <v/>
      </c>
      <c r="S1155" s="1012" t="str">
        <f ca="1">IF($A1155="","",IF(OR(IFERROR(SEARCH($R1155,XKNVLSX!$X$1,1),0)&gt;=1,XKNVLSX!$X$1=""),$S$2,""))</f>
        <v/>
      </c>
      <c r="T1155" s="1018" t="str">
        <f ca="1">IF($C1155="","", IF(OR($P1155=$V$1,$P1155=$V$7,COUNTIFS($C$3:$C1155,$C1155,$E$3:$E1155,$E1155)&lt;=1),$P1155,""    ))</f>
        <v/>
      </c>
      <c r="U1155" s="1019" t="str">
        <f ca="1">IF(AND($P1155=$V$2,COUNTIFS($C$3:$C1155,$C1155,$E$3:$E1155,$E1155,$G$3:$G1155,$G1155)&lt;=1),$P1155,"")</f>
        <v/>
      </c>
    </row>
    <row r="1156" spans="1:21">
      <c r="A1156" s="991" t="str">
        <f ca="1">IFERROR(IF(COUNTIF($A$3:A1155,A1155)&lt; INDEX(TinhGia!$BH$10:$BH$81,MATCH($A1155,TinhGia!$B$10:$B$81,0)),$A1155,INDEX(TinhGia!$B$10:$B$81,MATCH($A1155,TinhGia!$B$10:$B$81,0)+1)),"")</f>
        <v/>
      </c>
      <c r="B1156" s="525" t="str">
        <f ca="1">IF(OR(A1156="",A1156=0),"",IF(COUNTIF($A$2:A1156,$A1156)=1,ROW(MauKoXoa!$C$108),$B1155+1))</f>
        <v/>
      </c>
      <c r="C1156" s="992" t="str">
        <f t="shared" ca="1" si="165"/>
        <v/>
      </c>
      <c r="D1156" s="993" t="str">
        <f t="shared" ca="1" si="166"/>
        <v/>
      </c>
      <c r="E1156" s="993" t="str">
        <f t="shared" ca="1" si="167"/>
        <v/>
      </c>
      <c r="F1156" s="992" t="str">
        <f t="shared" ca="1" si="184"/>
        <v/>
      </c>
      <c r="G1156" s="994">
        <f t="shared" ca="1" si="168"/>
        <v>0</v>
      </c>
      <c r="H1156" s="913">
        <f t="shared" ca="1" si="169"/>
        <v>0</v>
      </c>
      <c r="I1156" s="913">
        <f t="shared" ca="1" si="170"/>
        <v>0</v>
      </c>
      <c r="J1156" s="995">
        <f t="shared" ref="J1156:J1219" ca="1" si="185">IFERROR(INDIRECT("'" &amp; $A1156 &amp; "'!" &amp; "J" &amp; $B1156),0)</f>
        <v>0</v>
      </c>
      <c r="K1156" s="913">
        <f t="shared" ca="1" si="171"/>
        <v>0</v>
      </c>
      <c r="L1156" s="995">
        <f t="shared" ref="L1156:L1219" ca="1" si="186">+ IFERROR(INDIRECT("'" &amp; $A1156 &amp; "'!" &amp; "K" &amp; $B1156),0)</f>
        <v>0</v>
      </c>
      <c r="M1156" s="913">
        <f t="shared" ca="1" si="172"/>
        <v>0</v>
      </c>
      <c r="N1156" s="996">
        <f t="shared" ca="1" si="173"/>
        <v>0</v>
      </c>
      <c r="O1156" s="997">
        <f t="shared" ca="1" si="174"/>
        <v>0</v>
      </c>
      <c r="P1156" s="1015" t="str">
        <f ca="1">IF($C1156="","",INDEX(NVLSX!$N$2:$N$6941,MATCH($C1156,NVLSX!$E$2:$E$6941,0)))</f>
        <v/>
      </c>
      <c r="Q1156" s="1016" t="str">
        <f ca="1">IF($R1156="","",IF(XKNVLSX!$X$1="",IF($P1156=$V$7,$P1156, IF(COUNTIFS($C$2:$C1155,$C1156,$E$2:$E1155,$E1156)&gt;=1,"",$P1156)),     IF(AND(IFERROR(SEARCH($R1156,XKNVLSX!$X$1,1),0)&gt;=1,$P1156=$V$7),$P1156, IF(OR($R1156&lt;&gt;IF(IFERROR(SEARCH($R1156,XKNVLSX!$X$1,1),0)&gt;=1,$R1156,XKNVLSX!$X$1),COUNTIFS($C$2:$C1155,$C1156,$E$2:$E1155,$E1156,$Q$2:$Q1155,$P1156)&gt;=1),"",$P1156))))</f>
        <v/>
      </c>
      <c r="R1156" s="1017" t="str">
        <f ca="1">IF($A1156="","",IFERROR(INDEX(TinhGia!$BF$10:$BF$81,MATCH($A1156,TinhGia!$B$10:$B$81,0)),""))</f>
        <v/>
      </c>
      <c r="S1156" s="1012" t="str">
        <f ca="1">IF($A1156="","",IF(OR(IFERROR(SEARCH($R1156,XKNVLSX!$X$1,1),0)&gt;=1,XKNVLSX!$X$1=""),$S$2,""))</f>
        <v/>
      </c>
      <c r="T1156" s="1018" t="str">
        <f ca="1">IF($C1156="","", IF(OR($P1156=$V$1,$P1156=$V$7,COUNTIFS($C$3:$C1156,$C1156,$E$3:$E1156,$E1156)&lt;=1),$P1156,""    ))</f>
        <v/>
      </c>
      <c r="U1156" s="1019" t="str">
        <f ca="1">IF(AND($P1156=$V$2,COUNTIFS($C$3:$C1156,$C1156,$E$3:$E1156,$E1156,$G$3:$G1156,$G1156)&lt;=1),$P1156,"")</f>
        <v/>
      </c>
    </row>
    <row r="1157" spans="1:21">
      <c r="A1157" s="991" t="str">
        <f ca="1">IFERROR(IF(COUNTIF($A$3:A1156,A1156)&lt; INDEX(TinhGia!$BH$10:$BH$81,MATCH($A1156,TinhGia!$B$10:$B$81,0)),$A1156,INDEX(TinhGia!$B$10:$B$81,MATCH($A1156,TinhGia!$B$10:$B$81,0)+1)),"")</f>
        <v/>
      </c>
      <c r="B1157" s="525" t="str">
        <f ca="1">IF(OR(A1157="",A1157=0),"",IF(COUNTIF($A$2:A1157,$A1157)=1,ROW(MauKoXoa!$C$108),$B1156+1))</f>
        <v/>
      </c>
      <c r="C1157" s="992" t="str">
        <f t="shared" ca="1" si="165"/>
        <v/>
      </c>
      <c r="D1157" s="993" t="str">
        <f t="shared" ca="1" si="166"/>
        <v/>
      </c>
      <c r="E1157" s="993" t="str">
        <f t="shared" ca="1" si="167"/>
        <v/>
      </c>
      <c r="F1157" s="992" t="str">
        <f t="shared" ca="1" si="184"/>
        <v/>
      </c>
      <c r="G1157" s="994">
        <f t="shared" ca="1" si="168"/>
        <v>0</v>
      </c>
      <c r="H1157" s="913">
        <f t="shared" ca="1" si="169"/>
        <v>0</v>
      </c>
      <c r="I1157" s="913">
        <f t="shared" ca="1" si="170"/>
        <v>0</v>
      </c>
      <c r="J1157" s="995">
        <f t="shared" ca="1" si="185"/>
        <v>0</v>
      </c>
      <c r="K1157" s="913">
        <f t="shared" ca="1" si="171"/>
        <v>0</v>
      </c>
      <c r="L1157" s="995">
        <f t="shared" ca="1" si="186"/>
        <v>0</v>
      </c>
      <c r="M1157" s="913">
        <f t="shared" ca="1" si="172"/>
        <v>0</v>
      </c>
      <c r="N1157" s="996">
        <f t="shared" ca="1" si="173"/>
        <v>0</v>
      </c>
      <c r="O1157" s="997">
        <f t="shared" ca="1" si="174"/>
        <v>0</v>
      </c>
      <c r="P1157" s="1015" t="str">
        <f ca="1">IF($C1157="","",INDEX(NVLSX!$N$2:$N$6941,MATCH($C1157,NVLSX!$E$2:$E$6941,0)))</f>
        <v/>
      </c>
      <c r="Q1157" s="1016" t="str">
        <f ca="1">IF($R1157="","",IF(XKNVLSX!$X$1="",IF($P1157=$V$7,$P1157, IF(COUNTIFS($C$2:$C1156,$C1157,$E$2:$E1156,$E1157)&gt;=1,"",$P1157)),     IF(AND(IFERROR(SEARCH($R1157,XKNVLSX!$X$1,1),0)&gt;=1,$P1157=$V$7),$P1157, IF(OR($R1157&lt;&gt;IF(IFERROR(SEARCH($R1157,XKNVLSX!$X$1,1),0)&gt;=1,$R1157,XKNVLSX!$X$1),COUNTIFS($C$2:$C1156,$C1157,$E$2:$E1156,$E1157,$Q$2:$Q1156,$P1157)&gt;=1),"",$P1157))))</f>
        <v/>
      </c>
      <c r="R1157" s="1017" t="str">
        <f ca="1">IF($A1157="","",IFERROR(INDEX(TinhGia!$BF$10:$BF$81,MATCH($A1157,TinhGia!$B$10:$B$81,0)),""))</f>
        <v/>
      </c>
      <c r="S1157" s="1012" t="str">
        <f ca="1">IF($A1157="","",IF(OR(IFERROR(SEARCH($R1157,XKNVLSX!$X$1,1),0)&gt;=1,XKNVLSX!$X$1=""),$S$2,""))</f>
        <v/>
      </c>
      <c r="T1157" s="1018" t="str">
        <f ca="1">IF($C1157="","", IF(OR($P1157=$V$1,$P1157=$V$7,COUNTIFS($C$3:$C1157,$C1157,$E$3:$E1157,$E1157)&lt;=1),$P1157,""    ))</f>
        <v/>
      </c>
      <c r="U1157" s="1019" t="str">
        <f ca="1">IF(AND($P1157=$V$2,COUNTIFS($C$3:$C1157,$C1157,$E$3:$E1157,$E1157,$G$3:$G1157,$G1157)&lt;=1),$P1157,"")</f>
        <v/>
      </c>
    </row>
    <row r="1158" spans="1:21">
      <c r="A1158" s="991" t="str">
        <f ca="1">IFERROR(IF(COUNTIF($A$3:A1157,A1157)&lt; INDEX(TinhGia!$BH$10:$BH$81,MATCH($A1157,TinhGia!$B$10:$B$81,0)),$A1157,INDEX(TinhGia!$B$10:$B$81,MATCH($A1157,TinhGia!$B$10:$B$81,0)+1)),"")</f>
        <v/>
      </c>
      <c r="B1158" s="525" t="str">
        <f ca="1">IF(OR(A1158="",A1158=0),"",IF(COUNTIF($A$2:A1158,$A1158)=1,ROW(MauKoXoa!$C$108),$B1157+1))</f>
        <v/>
      </c>
      <c r="C1158" s="992" t="str">
        <f t="shared" ca="1" si="165"/>
        <v/>
      </c>
      <c r="D1158" s="993" t="str">
        <f t="shared" ca="1" si="166"/>
        <v/>
      </c>
      <c r="E1158" s="993" t="str">
        <f t="shared" ca="1" si="167"/>
        <v/>
      </c>
      <c r="F1158" s="992" t="str">
        <f t="shared" ca="1" si="184"/>
        <v/>
      </c>
      <c r="G1158" s="994">
        <f t="shared" ca="1" si="168"/>
        <v>0</v>
      </c>
      <c r="H1158" s="913">
        <f t="shared" ca="1" si="169"/>
        <v>0</v>
      </c>
      <c r="I1158" s="913">
        <f t="shared" ca="1" si="170"/>
        <v>0</v>
      </c>
      <c r="J1158" s="995">
        <f t="shared" ca="1" si="185"/>
        <v>0</v>
      </c>
      <c r="K1158" s="913">
        <f t="shared" ca="1" si="171"/>
        <v>0</v>
      </c>
      <c r="L1158" s="995">
        <f t="shared" ca="1" si="186"/>
        <v>0</v>
      </c>
      <c r="M1158" s="913">
        <f t="shared" ca="1" si="172"/>
        <v>0</v>
      </c>
      <c r="N1158" s="996">
        <f t="shared" ca="1" si="173"/>
        <v>0</v>
      </c>
      <c r="O1158" s="997">
        <f t="shared" ca="1" si="174"/>
        <v>0</v>
      </c>
      <c r="P1158" s="1015" t="str">
        <f ca="1">IF($C1158="","",INDEX(NVLSX!$N$2:$N$6941,MATCH($C1158,NVLSX!$E$2:$E$6941,0)))</f>
        <v/>
      </c>
      <c r="Q1158" s="1016" t="str">
        <f ca="1">IF($R1158="","",IF(XKNVLSX!$X$1="",IF($P1158=$V$7,$P1158, IF(COUNTIFS($C$2:$C1157,$C1158,$E$2:$E1157,$E1158)&gt;=1,"",$P1158)),     IF(AND(IFERROR(SEARCH($R1158,XKNVLSX!$X$1,1),0)&gt;=1,$P1158=$V$7),$P1158, IF(OR($R1158&lt;&gt;IF(IFERROR(SEARCH($R1158,XKNVLSX!$X$1,1),0)&gt;=1,$R1158,XKNVLSX!$X$1),COUNTIFS($C$2:$C1157,$C1158,$E$2:$E1157,$E1158,$Q$2:$Q1157,$P1158)&gt;=1),"",$P1158))))</f>
        <v/>
      </c>
      <c r="R1158" s="1017" t="str">
        <f ca="1">IF($A1158="","",IFERROR(INDEX(TinhGia!$BF$10:$BF$81,MATCH($A1158,TinhGia!$B$10:$B$81,0)),""))</f>
        <v/>
      </c>
      <c r="S1158" s="1012" t="str">
        <f ca="1">IF($A1158="","",IF(OR(IFERROR(SEARCH($R1158,XKNVLSX!$X$1,1),0)&gt;=1,XKNVLSX!$X$1=""),$S$2,""))</f>
        <v/>
      </c>
      <c r="T1158" s="1018" t="str">
        <f ca="1">IF($C1158="","", IF(OR($P1158=$V$1,$P1158=$V$7,COUNTIFS($C$3:$C1158,$C1158,$E$3:$E1158,$E1158)&lt;=1),$P1158,""    ))</f>
        <v/>
      </c>
      <c r="U1158" s="1019" t="str">
        <f ca="1">IF(AND($P1158=$V$2,COUNTIFS($C$3:$C1158,$C1158,$E$3:$E1158,$E1158,$G$3:$G1158,$G1158)&lt;=1),$P1158,"")</f>
        <v/>
      </c>
    </row>
    <row r="1159" spans="1:21">
      <c r="A1159" s="991" t="str">
        <f ca="1">IFERROR(IF(COUNTIF($A$3:A1158,A1158)&lt; INDEX(TinhGia!$BH$10:$BH$81,MATCH($A1158,TinhGia!$B$10:$B$81,0)),$A1158,INDEX(TinhGia!$B$10:$B$81,MATCH($A1158,TinhGia!$B$10:$B$81,0)+1)),"")</f>
        <v/>
      </c>
      <c r="B1159" s="525" t="str">
        <f ca="1">IF(OR(A1159="",A1159=0),"",IF(COUNTIF($A$2:A1159,$A1159)=1,ROW(MauKoXoa!$C$108),$B1158+1))</f>
        <v/>
      </c>
      <c r="C1159" s="992" t="str">
        <f t="shared" ca="1" si="165"/>
        <v/>
      </c>
      <c r="D1159" s="993" t="str">
        <f t="shared" ca="1" si="166"/>
        <v/>
      </c>
      <c r="E1159" s="993" t="str">
        <f t="shared" ca="1" si="167"/>
        <v/>
      </c>
      <c r="F1159" s="992" t="str">
        <f t="shared" ca="1" si="184"/>
        <v/>
      </c>
      <c r="G1159" s="994">
        <f t="shared" ca="1" si="168"/>
        <v>0</v>
      </c>
      <c r="H1159" s="913">
        <f t="shared" ca="1" si="169"/>
        <v>0</v>
      </c>
      <c r="I1159" s="913">
        <f t="shared" ca="1" si="170"/>
        <v>0</v>
      </c>
      <c r="J1159" s="995">
        <f t="shared" ca="1" si="185"/>
        <v>0</v>
      </c>
      <c r="K1159" s="913">
        <f t="shared" ca="1" si="171"/>
        <v>0</v>
      </c>
      <c r="L1159" s="995">
        <f t="shared" ca="1" si="186"/>
        <v>0</v>
      </c>
      <c r="M1159" s="913">
        <f t="shared" ca="1" si="172"/>
        <v>0</v>
      </c>
      <c r="N1159" s="996">
        <f t="shared" ca="1" si="173"/>
        <v>0</v>
      </c>
      <c r="O1159" s="997">
        <f t="shared" ca="1" si="174"/>
        <v>0</v>
      </c>
      <c r="P1159" s="1015" t="str">
        <f ca="1">IF($C1159="","",INDEX(NVLSX!$N$2:$N$6941,MATCH($C1159,NVLSX!$E$2:$E$6941,0)))</f>
        <v/>
      </c>
      <c r="Q1159" s="1016" t="str">
        <f ca="1">IF($R1159="","",IF(XKNVLSX!$X$1="",IF($P1159=$V$7,$P1159, IF(COUNTIFS($C$2:$C1158,$C1159,$E$2:$E1158,$E1159)&gt;=1,"",$P1159)),     IF(AND(IFERROR(SEARCH($R1159,XKNVLSX!$X$1,1),0)&gt;=1,$P1159=$V$7),$P1159, IF(OR($R1159&lt;&gt;IF(IFERROR(SEARCH($R1159,XKNVLSX!$X$1,1),0)&gt;=1,$R1159,XKNVLSX!$X$1),COUNTIFS($C$2:$C1158,$C1159,$E$2:$E1158,$E1159,$Q$2:$Q1158,$P1159)&gt;=1),"",$P1159))))</f>
        <v/>
      </c>
      <c r="R1159" s="1017" t="str">
        <f ca="1">IF($A1159="","",IFERROR(INDEX(TinhGia!$BF$10:$BF$81,MATCH($A1159,TinhGia!$B$10:$B$81,0)),""))</f>
        <v/>
      </c>
      <c r="S1159" s="1012" t="str">
        <f ca="1">IF($A1159="","",IF(OR(IFERROR(SEARCH($R1159,XKNVLSX!$X$1,1),0)&gt;=1,XKNVLSX!$X$1=""),$S$2,""))</f>
        <v/>
      </c>
      <c r="T1159" s="1018" t="str">
        <f ca="1">IF($C1159="","", IF(OR($P1159=$V$1,$P1159=$V$7,COUNTIFS($C$3:$C1159,$C1159,$E$3:$E1159,$E1159)&lt;=1),$P1159,""    ))</f>
        <v/>
      </c>
      <c r="U1159" s="1019" t="str">
        <f ca="1">IF(AND($P1159=$V$2,COUNTIFS($C$3:$C1159,$C1159,$E$3:$E1159,$E1159,$G$3:$G1159,$G1159)&lt;=1),$P1159,"")</f>
        <v/>
      </c>
    </row>
    <row r="1160" spans="1:21">
      <c r="A1160" s="991" t="str">
        <f ca="1">IFERROR(IF(COUNTIF($A$3:A1159,A1159)&lt; INDEX(TinhGia!$BH$10:$BH$81,MATCH($A1159,TinhGia!$B$10:$B$81,0)),$A1159,INDEX(TinhGia!$B$10:$B$81,MATCH($A1159,TinhGia!$B$10:$B$81,0)+1)),"")</f>
        <v/>
      </c>
      <c r="B1160" s="525" t="str">
        <f ca="1">IF(OR(A1160="",A1160=0),"",IF(COUNTIF($A$2:A1160,$A1160)=1,ROW(MauKoXoa!$C$108),$B1159+1))</f>
        <v/>
      </c>
      <c r="C1160" s="992" t="str">
        <f t="shared" ca="1" si="165"/>
        <v/>
      </c>
      <c r="D1160" s="993" t="str">
        <f t="shared" ca="1" si="166"/>
        <v/>
      </c>
      <c r="E1160" s="993" t="str">
        <f t="shared" ca="1" si="167"/>
        <v/>
      </c>
      <c r="F1160" s="992" t="str">
        <f t="shared" ca="1" si="184"/>
        <v/>
      </c>
      <c r="G1160" s="994">
        <f t="shared" ca="1" si="168"/>
        <v>0</v>
      </c>
      <c r="H1160" s="913">
        <f t="shared" ca="1" si="169"/>
        <v>0</v>
      </c>
      <c r="I1160" s="913">
        <f t="shared" ca="1" si="170"/>
        <v>0</v>
      </c>
      <c r="J1160" s="995">
        <f t="shared" ca="1" si="185"/>
        <v>0</v>
      </c>
      <c r="K1160" s="913">
        <f t="shared" ca="1" si="171"/>
        <v>0</v>
      </c>
      <c r="L1160" s="995">
        <f t="shared" ca="1" si="186"/>
        <v>0</v>
      </c>
      <c r="M1160" s="913">
        <f t="shared" ca="1" si="172"/>
        <v>0</v>
      </c>
      <c r="N1160" s="996">
        <f t="shared" ca="1" si="173"/>
        <v>0</v>
      </c>
      <c r="O1160" s="997">
        <f t="shared" ca="1" si="174"/>
        <v>0</v>
      </c>
      <c r="P1160" s="1015" t="str">
        <f ca="1">IF($C1160="","",INDEX(NVLSX!$N$2:$N$6941,MATCH($C1160,NVLSX!$E$2:$E$6941,0)))</f>
        <v/>
      </c>
      <c r="Q1160" s="1016" t="str">
        <f ca="1">IF($R1160="","",IF(XKNVLSX!$X$1="",IF($P1160=$V$7,$P1160, IF(COUNTIFS($C$2:$C1159,$C1160,$E$2:$E1159,$E1160)&gt;=1,"",$P1160)),     IF(AND(IFERROR(SEARCH($R1160,XKNVLSX!$X$1,1),0)&gt;=1,$P1160=$V$7),$P1160, IF(OR($R1160&lt;&gt;IF(IFERROR(SEARCH($R1160,XKNVLSX!$X$1,1),0)&gt;=1,$R1160,XKNVLSX!$X$1),COUNTIFS($C$2:$C1159,$C1160,$E$2:$E1159,$E1160,$Q$2:$Q1159,$P1160)&gt;=1),"",$P1160))))</f>
        <v/>
      </c>
      <c r="R1160" s="1017" t="str">
        <f ca="1">IF($A1160="","",IFERROR(INDEX(TinhGia!$BF$10:$BF$81,MATCH($A1160,TinhGia!$B$10:$B$81,0)),""))</f>
        <v/>
      </c>
      <c r="S1160" s="1012" t="str">
        <f ca="1">IF($A1160="","",IF(OR(IFERROR(SEARCH($R1160,XKNVLSX!$X$1,1),0)&gt;=1,XKNVLSX!$X$1=""),$S$2,""))</f>
        <v/>
      </c>
      <c r="T1160" s="1018" t="str">
        <f ca="1">IF($C1160="","", IF(OR($P1160=$V$1,$P1160=$V$7,COUNTIFS($C$3:$C1160,$C1160,$E$3:$E1160,$E1160)&lt;=1),$P1160,""    ))</f>
        <v/>
      </c>
      <c r="U1160" s="1019" t="str">
        <f ca="1">IF(AND($P1160=$V$2,COUNTIFS($C$3:$C1160,$C1160,$E$3:$E1160,$E1160,$G$3:$G1160,$G1160)&lt;=1),$P1160,"")</f>
        <v/>
      </c>
    </row>
    <row r="1161" spans="1:21">
      <c r="A1161" s="991" t="str">
        <f ca="1">IFERROR(IF(COUNTIF($A$3:A1160,A1160)&lt; INDEX(TinhGia!$BH$10:$BH$81,MATCH($A1160,TinhGia!$B$10:$B$81,0)),$A1160,INDEX(TinhGia!$B$10:$B$81,MATCH($A1160,TinhGia!$B$10:$B$81,0)+1)),"")</f>
        <v/>
      </c>
      <c r="B1161" s="525" t="str">
        <f ca="1">IF(OR(A1161="",A1161=0),"",IF(COUNTIF($A$2:A1161,$A1161)=1,ROW(MauKoXoa!$C$108),$B1160+1))</f>
        <v/>
      </c>
      <c r="C1161" s="992" t="str">
        <f t="shared" ca="1" si="165"/>
        <v/>
      </c>
      <c r="D1161" s="993" t="str">
        <f t="shared" ca="1" si="166"/>
        <v/>
      </c>
      <c r="E1161" s="993" t="str">
        <f t="shared" ca="1" si="167"/>
        <v/>
      </c>
      <c r="F1161" s="992" t="str">
        <f t="shared" ca="1" si="184"/>
        <v/>
      </c>
      <c r="G1161" s="994">
        <f t="shared" ca="1" si="168"/>
        <v>0</v>
      </c>
      <c r="H1161" s="913">
        <f t="shared" ca="1" si="169"/>
        <v>0</v>
      </c>
      <c r="I1161" s="913">
        <f t="shared" ca="1" si="170"/>
        <v>0</v>
      </c>
      <c r="J1161" s="995">
        <f t="shared" ca="1" si="185"/>
        <v>0</v>
      </c>
      <c r="K1161" s="913">
        <f t="shared" ca="1" si="171"/>
        <v>0</v>
      </c>
      <c r="L1161" s="995">
        <f t="shared" ca="1" si="186"/>
        <v>0</v>
      </c>
      <c r="M1161" s="913">
        <f t="shared" ca="1" si="172"/>
        <v>0</v>
      </c>
      <c r="N1161" s="996">
        <f t="shared" ca="1" si="173"/>
        <v>0</v>
      </c>
      <c r="O1161" s="997">
        <f t="shared" ca="1" si="174"/>
        <v>0</v>
      </c>
      <c r="P1161" s="1015" t="str">
        <f ca="1">IF($C1161="","",INDEX(NVLSX!$N$2:$N$6941,MATCH($C1161,NVLSX!$E$2:$E$6941,0)))</f>
        <v/>
      </c>
      <c r="Q1161" s="1016" t="str">
        <f ca="1">IF($R1161="","",IF(XKNVLSX!$X$1="",IF($P1161=$V$7,$P1161, IF(COUNTIFS($C$2:$C1160,$C1161,$E$2:$E1160,$E1161)&gt;=1,"",$P1161)),     IF(AND(IFERROR(SEARCH($R1161,XKNVLSX!$X$1,1),0)&gt;=1,$P1161=$V$7),$P1161, IF(OR($R1161&lt;&gt;IF(IFERROR(SEARCH($R1161,XKNVLSX!$X$1,1),0)&gt;=1,$R1161,XKNVLSX!$X$1),COUNTIFS($C$2:$C1160,$C1161,$E$2:$E1160,$E1161,$Q$2:$Q1160,$P1161)&gt;=1),"",$P1161))))</f>
        <v/>
      </c>
      <c r="R1161" s="1017" t="str">
        <f ca="1">IF($A1161="","",IFERROR(INDEX(TinhGia!$BF$10:$BF$81,MATCH($A1161,TinhGia!$B$10:$B$81,0)),""))</f>
        <v/>
      </c>
      <c r="S1161" s="1012" t="str">
        <f ca="1">IF($A1161="","",IF(OR(IFERROR(SEARCH($R1161,XKNVLSX!$X$1,1),0)&gt;=1,XKNVLSX!$X$1=""),$S$2,""))</f>
        <v/>
      </c>
      <c r="T1161" s="1018" t="str">
        <f ca="1">IF($C1161="","", IF(OR($P1161=$V$1,$P1161=$V$7,COUNTIFS($C$3:$C1161,$C1161,$E$3:$E1161,$E1161)&lt;=1),$P1161,""    ))</f>
        <v/>
      </c>
      <c r="U1161" s="1019" t="str">
        <f ca="1">IF(AND($P1161=$V$2,COUNTIFS($C$3:$C1161,$C1161,$E$3:$E1161,$E1161,$G$3:$G1161,$G1161)&lt;=1),$P1161,"")</f>
        <v/>
      </c>
    </row>
    <row r="1162" spans="1:21">
      <c r="A1162" s="991" t="str">
        <f ca="1">IFERROR(IF(COUNTIF($A$3:A1161,A1161)&lt; INDEX(TinhGia!$BH$10:$BH$81,MATCH($A1161,TinhGia!$B$10:$B$81,0)),$A1161,INDEX(TinhGia!$B$10:$B$81,MATCH($A1161,TinhGia!$B$10:$B$81,0)+1)),"")</f>
        <v/>
      </c>
      <c r="B1162" s="525" t="str">
        <f ca="1">IF(OR(A1162="",A1162=0),"",IF(COUNTIF($A$2:A1162,$A1162)=1,ROW(MauKoXoa!$C$108),$B1161+1))</f>
        <v/>
      </c>
      <c r="C1162" s="992" t="str">
        <f t="shared" ca="1" si="165"/>
        <v/>
      </c>
      <c r="D1162" s="993" t="str">
        <f t="shared" ca="1" si="166"/>
        <v/>
      </c>
      <c r="E1162" s="993" t="str">
        <f t="shared" ca="1" si="167"/>
        <v/>
      </c>
      <c r="F1162" s="992" t="str">
        <f t="shared" ca="1" si="184"/>
        <v/>
      </c>
      <c r="G1162" s="994">
        <f t="shared" ca="1" si="168"/>
        <v>0</v>
      </c>
      <c r="H1162" s="913">
        <f t="shared" ca="1" si="169"/>
        <v>0</v>
      </c>
      <c r="I1162" s="913">
        <f t="shared" ca="1" si="170"/>
        <v>0</v>
      </c>
      <c r="J1162" s="995">
        <f t="shared" ca="1" si="185"/>
        <v>0</v>
      </c>
      <c r="K1162" s="913">
        <f t="shared" ca="1" si="171"/>
        <v>0</v>
      </c>
      <c r="L1162" s="995">
        <f t="shared" ca="1" si="186"/>
        <v>0</v>
      </c>
      <c r="M1162" s="913">
        <f t="shared" ca="1" si="172"/>
        <v>0</v>
      </c>
      <c r="N1162" s="996">
        <f t="shared" ca="1" si="173"/>
        <v>0</v>
      </c>
      <c r="O1162" s="997">
        <f t="shared" ca="1" si="174"/>
        <v>0</v>
      </c>
      <c r="P1162" s="1015" t="str">
        <f ca="1">IF($C1162="","",INDEX(NVLSX!$N$2:$N$6941,MATCH($C1162,NVLSX!$E$2:$E$6941,0)))</f>
        <v/>
      </c>
      <c r="Q1162" s="1016" t="str">
        <f ca="1">IF($R1162="","",IF(XKNVLSX!$X$1="",IF($P1162=$V$7,$P1162, IF(COUNTIFS($C$2:$C1161,$C1162,$E$2:$E1161,$E1162)&gt;=1,"",$P1162)),     IF(AND(IFERROR(SEARCH($R1162,XKNVLSX!$X$1,1),0)&gt;=1,$P1162=$V$7),$P1162, IF(OR($R1162&lt;&gt;IF(IFERROR(SEARCH($R1162,XKNVLSX!$X$1,1),0)&gt;=1,$R1162,XKNVLSX!$X$1),COUNTIFS($C$2:$C1161,$C1162,$E$2:$E1161,$E1162,$Q$2:$Q1161,$P1162)&gt;=1),"",$P1162))))</f>
        <v/>
      </c>
      <c r="R1162" s="1017" t="str">
        <f ca="1">IF($A1162="","",IFERROR(INDEX(TinhGia!$BF$10:$BF$81,MATCH($A1162,TinhGia!$B$10:$B$81,0)),""))</f>
        <v/>
      </c>
      <c r="S1162" s="1012" t="str">
        <f ca="1">IF($A1162="","",IF(OR(IFERROR(SEARCH($R1162,XKNVLSX!$X$1,1),0)&gt;=1,XKNVLSX!$X$1=""),$S$2,""))</f>
        <v/>
      </c>
      <c r="T1162" s="1018" t="str">
        <f ca="1">IF($C1162="","", IF(OR($P1162=$V$1,$P1162=$V$7,COUNTIFS($C$3:$C1162,$C1162,$E$3:$E1162,$E1162)&lt;=1),$P1162,""    ))</f>
        <v/>
      </c>
      <c r="U1162" s="1019" t="str">
        <f ca="1">IF(AND($P1162=$V$2,COUNTIFS($C$3:$C1162,$C1162,$E$3:$E1162,$E1162,$G$3:$G1162,$G1162)&lt;=1),$P1162,"")</f>
        <v/>
      </c>
    </row>
    <row r="1163" spans="1:21">
      <c r="A1163" s="991" t="str">
        <f ca="1">IFERROR(IF(COUNTIF($A$3:A1162,A1162)&lt; INDEX(TinhGia!$BH$10:$BH$81,MATCH($A1162,TinhGia!$B$10:$B$81,0)),$A1162,INDEX(TinhGia!$B$10:$B$81,MATCH($A1162,TinhGia!$B$10:$B$81,0)+1)),"")</f>
        <v/>
      </c>
      <c r="B1163" s="525" t="str">
        <f ca="1">IF(OR(A1163="",A1163=0),"",IF(COUNTIF($A$2:A1163,$A1163)=1,ROW(MauKoXoa!$C$108),$B1162+1))</f>
        <v/>
      </c>
      <c r="C1163" s="992" t="str">
        <f t="shared" ca="1" si="165"/>
        <v/>
      </c>
      <c r="D1163" s="993" t="str">
        <f t="shared" ca="1" si="166"/>
        <v/>
      </c>
      <c r="E1163" s="993" t="str">
        <f t="shared" ca="1" si="167"/>
        <v/>
      </c>
      <c r="F1163" s="992" t="str">
        <f t="shared" ca="1" si="184"/>
        <v/>
      </c>
      <c r="G1163" s="994">
        <f t="shared" ca="1" si="168"/>
        <v>0</v>
      </c>
      <c r="H1163" s="913">
        <f t="shared" ca="1" si="169"/>
        <v>0</v>
      </c>
      <c r="I1163" s="913">
        <f t="shared" ca="1" si="170"/>
        <v>0</v>
      </c>
      <c r="J1163" s="995">
        <f t="shared" ca="1" si="185"/>
        <v>0</v>
      </c>
      <c r="K1163" s="913">
        <f t="shared" ca="1" si="171"/>
        <v>0</v>
      </c>
      <c r="L1163" s="995">
        <f t="shared" ca="1" si="186"/>
        <v>0</v>
      </c>
      <c r="M1163" s="913">
        <f t="shared" ca="1" si="172"/>
        <v>0</v>
      </c>
      <c r="N1163" s="996">
        <f t="shared" ca="1" si="173"/>
        <v>0</v>
      </c>
      <c r="O1163" s="997">
        <f t="shared" ca="1" si="174"/>
        <v>0</v>
      </c>
      <c r="P1163" s="1015" t="str">
        <f ca="1">IF($C1163="","",INDEX(NVLSX!$N$2:$N$6941,MATCH($C1163,NVLSX!$E$2:$E$6941,0)))</f>
        <v/>
      </c>
      <c r="Q1163" s="1016" t="str">
        <f ca="1">IF($R1163="","",IF(XKNVLSX!$X$1="",IF($P1163=$V$7,$P1163, IF(COUNTIFS($C$2:$C1162,$C1163,$E$2:$E1162,$E1163)&gt;=1,"",$P1163)),     IF(AND(IFERROR(SEARCH($R1163,XKNVLSX!$X$1,1),0)&gt;=1,$P1163=$V$7),$P1163, IF(OR($R1163&lt;&gt;IF(IFERROR(SEARCH($R1163,XKNVLSX!$X$1,1),0)&gt;=1,$R1163,XKNVLSX!$X$1),COUNTIFS($C$2:$C1162,$C1163,$E$2:$E1162,$E1163,$Q$2:$Q1162,$P1163)&gt;=1),"",$P1163))))</f>
        <v/>
      </c>
      <c r="R1163" s="1017" t="str">
        <f ca="1">IF($A1163="","",IFERROR(INDEX(TinhGia!$BF$10:$BF$81,MATCH($A1163,TinhGia!$B$10:$B$81,0)),""))</f>
        <v/>
      </c>
      <c r="S1163" s="1012" t="str">
        <f ca="1">IF($A1163="","",IF(OR(IFERROR(SEARCH($R1163,XKNVLSX!$X$1,1),0)&gt;=1,XKNVLSX!$X$1=""),$S$2,""))</f>
        <v/>
      </c>
      <c r="T1163" s="1018" t="str">
        <f ca="1">IF($C1163="","", IF(OR($P1163=$V$1,$P1163=$V$7,COUNTIFS($C$3:$C1163,$C1163,$E$3:$E1163,$E1163)&lt;=1),$P1163,""    ))</f>
        <v/>
      </c>
      <c r="U1163" s="1019" t="str">
        <f ca="1">IF(AND($P1163=$V$2,COUNTIFS($C$3:$C1163,$C1163,$E$3:$E1163,$E1163,$G$3:$G1163,$G1163)&lt;=1),$P1163,"")</f>
        <v/>
      </c>
    </row>
    <row r="1164" spans="1:21">
      <c r="A1164" s="991" t="str">
        <f ca="1">IFERROR(IF(COUNTIF($A$3:A1163,A1163)&lt; INDEX(TinhGia!$BH$10:$BH$81,MATCH($A1163,TinhGia!$B$10:$B$81,0)),$A1163,INDEX(TinhGia!$B$10:$B$81,MATCH($A1163,TinhGia!$B$10:$B$81,0)+1)),"")</f>
        <v/>
      </c>
      <c r="B1164" s="525" t="str">
        <f ca="1">IF(OR(A1164="",A1164=0),"",IF(COUNTIF($A$2:A1164,$A1164)=1,ROW(MauKoXoa!$C$108),$B1163+1))</f>
        <v/>
      </c>
      <c r="C1164" s="992" t="str">
        <f t="shared" ca="1" si="165"/>
        <v/>
      </c>
      <c r="D1164" s="993" t="str">
        <f t="shared" ca="1" si="166"/>
        <v/>
      </c>
      <c r="E1164" s="993" t="str">
        <f t="shared" ca="1" si="167"/>
        <v/>
      </c>
      <c r="F1164" s="992" t="str">
        <f t="shared" ca="1" si="184"/>
        <v/>
      </c>
      <c r="G1164" s="994">
        <f t="shared" ca="1" si="168"/>
        <v>0</v>
      </c>
      <c r="H1164" s="913">
        <f t="shared" ca="1" si="169"/>
        <v>0</v>
      </c>
      <c r="I1164" s="913">
        <f t="shared" ca="1" si="170"/>
        <v>0</v>
      </c>
      <c r="J1164" s="995">
        <f t="shared" ca="1" si="185"/>
        <v>0</v>
      </c>
      <c r="K1164" s="913">
        <f t="shared" ca="1" si="171"/>
        <v>0</v>
      </c>
      <c r="L1164" s="995">
        <f t="shared" ca="1" si="186"/>
        <v>0</v>
      </c>
      <c r="M1164" s="913">
        <f t="shared" ca="1" si="172"/>
        <v>0</v>
      </c>
      <c r="N1164" s="996">
        <f t="shared" ca="1" si="173"/>
        <v>0</v>
      </c>
      <c r="O1164" s="997">
        <f t="shared" ca="1" si="174"/>
        <v>0</v>
      </c>
      <c r="P1164" s="1015" t="str">
        <f ca="1">IF($C1164="","",INDEX(NVLSX!$N$2:$N$6941,MATCH($C1164,NVLSX!$E$2:$E$6941,0)))</f>
        <v/>
      </c>
      <c r="Q1164" s="1016" t="str">
        <f ca="1">IF($R1164="","",IF(XKNVLSX!$X$1="",IF($P1164=$V$7,$P1164, IF(COUNTIFS($C$2:$C1163,$C1164,$E$2:$E1163,$E1164)&gt;=1,"",$P1164)),     IF(AND(IFERROR(SEARCH($R1164,XKNVLSX!$X$1,1),0)&gt;=1,$P1164=$V$7),$P1164, IF(OR($R1164&lt;&gt;IF(IFERROR(SEARCH($R1164,XKNVLSX!$X$1,1),0)&gt;=1,$R1164,XKNVLSX!$X$1),COUNTIFS($C$2:$C1163,$C1164,$E$2:$E1163,$E1164,$Q$2:$Q1163,$P1164)&gt;=1),"",$P1164))))</f>
        <v/>
      </c>
      <c r="R1164" s="1017" t="str">
        <f ca="1">IF($A1164="","",IFERROR(INDEX(TinhGia!$BF$10:$BF$81,MATCH($A1164,TinhGia!$B$10:$B$81,0)),""))</f>
        <v/>
      </c>
      <c r="S1164" s="1012" t="str">
        <f ca="1">IF($A1164="","",IF(OR(IFERROR(SEARCH($R1164,XKNVLSX!$X$1,1),0)&gt;=1,XKNVLSX!$X$1=""),$S$2,""))</f>
        <v/>
      </c>
      <c r="T1164" s="1018" t="str">
        <f ca="1">IF($C1164="","", IF(OR($P1164=$V$1,$P1164=$V$7,COUNTIFS($C$3:$C1164,$C1164,$E$3:$E1164,$E1164)&lt;=1),$P1164,""    ))</f>
        <v/>
      </c>
      <c r="U1164" s="1019" t="str">
        <f ca="1">IF(AND($P1164=$V$2,COUNTIFS($C$3:$C1164,$C1164,$E$3:$E1164,$E1164,$G$3:$G1164,$G1164)&lt;=1),$P1164,"")</f>
        <v/>
      </c>
    </row>
    <row r="1165" spans="1:21">
      <c r="A1165" s="991" t="str">
        <f ca="1">IFERROR(IF(COUNTIF($A$3:A1164,A1164)&lt; INDEX(TinhGia!$BH$10:$BH$81,MATCH($A1164,TinhGia!$B$10:$B$81,0)),$A1164,INDEX(TinhGia!$B$10:$B$81,MATCH($A1164,TinhGia!$B$10:$B$81,0)+1)),"")</f>
        <v/>
      </c>
      <c r="B1165" s="525" t="str">
        <f ca="1">IF(OR(A1165="",A1165=0),"",IF(COUNTIF($A$2:A1165,$A1165)=1,ROW(MauKoXoa!$C$108),$B1164+1))</f>
        <v/>
      </c>
      <c r="C1165" s="992" t="str">
        <f t="shared" ca="1" si="165"/>
        <v/>
      </c>
      <c r="D1165" s="993" t="str">
        <f t="shared" ca="1" si="166"/>
        <v/>
      </c>
      <c r="E1165" s="993" t="str">
        <f t="shared" ca="1" si="167"/>
        <v/>
      </c>
      <c r="F1165" s="992" t="str">
        <f t="shared" ca="1" si="184"/>
        <v/>
      </c>
      <c r="G1165" s="994">
        <f t="shared" ca="1" si="168"/>
        <v>0</v>
      </c>
      <c r="H1165" s="913">
        <f t="shared" ca="1" si="169"/>
        <v>0</v>
      </c>
      <c r="I1165" s="913">
        <f t="shared" ca="1" si="170"/>
        <v>0</v>
      </c>
      <c r="J1165" s="995">
        <f t="shared" ca="1" si="185"/>
        <v>0</v>
      </c>
      <c r="K1165" s="913">
        <f t="shared" ca="1" si="171"/>
        <v>0</v>
      </c>
      <c r="L1165" s="995">
        <f t="shared" ca="1" si="186"/>
        <v>0</v>
      </c>
      <c r="M1165" s="913">
        <f t="shared" ca="1" si="172"/>
        <v>0</v>
      </c>
      <c r="N1165" s="996">
        <f t="shared" ca="1" si="173"/>
        <v>0</v>
      </c>
      <c r="O1165" s="997">
        <f t="shared" ca="1" si="174"/>
        <v>0</v>
      </c>
      <c r="P1165" s="1015" t="str">
        <f ca="1">IF($C1165="","",INDEX(NVLSX!$N$2:$N$6941,MATCH($C1165,NVLSX!$E$2:$E$6941,0)))</f>
        <v/>
      </c>
      <c r="Q1165" s="1016" t="str">
        <f ca="1">IF($R1165="","",IF(XKNVLSX!$X$1="",IF($P1165=$V$7,$P1165, IF(COUNTIFS($C$2:$C1164,$C1165,$E$2:$E1164,$E1165)&gt;=1,"",$P1165)),     IF(AND(IFERROR(SEARCH($R1165,XKNVLSX!$X$1,1),0)&gt;=1,$P1165=$V$7),$P1165, IF(OR($R1165&lt;&gt;IF(IFERROR(SEARCH($R1165,XKNVLSX!$X$1,1),0)&gt;=1,$R1165,XKNVLSX!$X$1),COUNTIFS($C$2:$C1164,$C1165,$E$2:$E1164,$E1165,$Q$2:$Q1164,$P1165)&gt;=1),"",$P1165))))</f>
        <v/>
      </c>
      <c r="R1165" s="1017" t="str">
        <f ca="1">IF($A1165="","",IFERROR(INDEX(TinhGia!$BF$10:$BF$81,MATCH($A1165,TinhGia!$B$10:$B$81,0)),""))</f>
        <v/>
      </c>
      <c r="S1165" s="1012" t="str">
        <f ca="1">IF($A1165="","",IF(OR(IFERROR(SEARCH($R1165,XKNVLSX!$X$1,1),0)&gt;=1,XKNVLSX!$X$1=""),$S$2,""))</f>
        <v/>
      </c>
      <c r="T1165" s="1018" t="str">
        <f ca="1">IF($C1165="","", IF(OR($P1165=$V$1,$P1165=$V$7,COUNTIFS($C$3:$C1165,$C1165,$E$3:$E1165,$E1165)&lt;=1),$P1165,""    ))</f>
        <v/>
      </c>
      <c r="U1165" s="1019" t="str">
        <f ca="1">IF(AND($P1165=$V$2,COUNTIFS($C$3:$C1165,$C1165,$E$3:$E1165,$E1165,$G$3:$G1165,$G1165)&lt;=1),$P1165,"")</f>
        <v/>
      </c>
    </row>
    <row r="1166" spans="1:21">
      <c r="A1166" s="991" t="str">
        <f ca="1">IFERROR(IF(COUNTIF($A$3:A1165,A1165)&lt; INDEX(TinhGia!$BH$10:$BH$81,MATCH($A1165,TinhGia!$B$10:$B$81,0)),$A1165,INDEX(TinhGia!$B$10:$B$81,MATCH($A1165,TinhGia!$B$10:$B$81,0)+1)),"")</f>
        <v/>
      </c>
      <c r="B1166" s="525" t="str">
        <f ca="1">IF(OR(A1166="",A1166=0),"",IF(COUNTIF($A$2:A1166,$A1166)=1,ROW(MauKoXoa!$C$108),$B1165+1))</f>
        <v/>
      </c>
      <c r="C1166" s="992" t="str">
        <f t="shared" ca="1" si="165"/>
        <v/>
      </c>
      <c r="D1166" s="993" t="str">
        <f t="shared" ca="1" si="166"/>
        <v/>
      </c>
      <c r="E1166" s="993" t="str">
        <f t="shared" ca="1" si="167"/>
        <v/>
      </c>
      <c r="F1166" s="992" t="str">
        <f t="shared" ca="1" si="184"/>
        <v/>
      </c>
      <c r="G1166" s="994">
        <f t="shared" ca="1" si="168"/>
        <v>0</v>
      </c>
      <c r="H1166" s="913">
        <f t="shared" ca="1" si="169"/>
        <v>0</v>
      </c>
      <c r="I1166" s="913">
        <f t="shared" ca="1" si="170"/>
        <v>0</v>
      </c>
      <c r="J1166" s="995">
        <f t="shared" ca="1" si="185"/>
        <v>0</v>
      </c>
      <c r="K1166" s="913">
        <f t="shared" ca="1" si="171"/>
        <v>0</v>
      </c>
      <c r="L1166" s="995">
        <f t="shared" ca="1" si="186"/>
        <v>0</v>
      </c>
      <c r="M1166" s="913">
        <f t="shared" ca="1" si="172"/>
        <v>0</v>
      </c>
      <c r="N1166" s="996">
        <f t="shared" ca="1" si="173"/>
        <v>0</v>
      </c>
      <c r="O1166" s="997">
        <f t="shared" ca="1" si="174"/>
        <v>0</v>
      </c>
      <c r="P1166" s="1015" t="str">
        <f ca="1">IF($C1166="","",INDEX(NVLSX!$N$2:$N$6941,MATCH($C1166,NVLSX!$E$2:$E$6941,0)))</f>
        <v/>
      </c>
      <c r="Q1166" s="1016" t="str">
        <f ca="1">IF($R1166="","",IF(XKNVLSX!$X$1="",IF($P1166=$V$7,$P1166, IF(COUNTIFS($C$2:$C1165,$C1166,$E$2:$E1165,$E1166)&gt;=1,"",$P1166)),     IF(AND(IFERROR(SEARCH($R1166,XKNVLSX!$X$1,1),0)&gt;=1,$P1166=$V$7),$P1166, IF(OR($R1166&lt;&gt;IF(IFERROR(SEARCH($R1166,XKNVLSX!$X$1,1),0)&gt;=1,$R1166,XKNVLSX!$X$1),COUNTIFS($C$2:$C1165,$C1166,$E$2:$E1165,$E1166,$Q$2:$Q1165,$P1166)&gt;=1),"",$P1166))))</f>
        <v/>
      </c>
      <c r="R1166" s="1017" t="str">
        <f ca="1">IF($A1166="","",IFERROR(INDEX(TinhGia!$BF$10:$BF$81,MATCH($A1166,TinhGia!$B$10:$B$81,0)),""))</f>
        <v/>
      </c>
      <c r="S1166" s="1012" t="str">
        <f ca="1">IF($A1166="","",IF(OR(IFERROR(SEARCH($R1166,XKNVLSX!$X$1,1),0)&gt;=1,XKNVLSX!$X$1=""),$S$2,""))</f>
        <v/>
      </c>
      <c r="T1166" s="1018" t="str">
        <f ca="1">IF($C1166="","", IF(OR($P1166=$V$1,$P1166=$V$7,COUNTIFS($C$3:$C1166,$C1166,$E$3:$E1166,$E1166)&lt;=1),$P1166,""    ))</f>
        <v/>
      </c>
      <c r="U1166" s="1019" t="str">
        <f ca="1">IF(AND($P1166=$V$2,COUNTIFS($C$3:$C1166,$C1166,$E$3:$E1166,$E1166,$G$3:$G1166,$G1166)&lt;=1),$P1166,"")</f>
        <v/>
      </c>
    </row>
    <row r="1167" spans="1:21">
      <c r="A1167" s="991" t="str">
        <f ca="1">IFERROR(IF(COUNTIF($A$3:A1166,A1166)&lt; INDEX(TinhGia!$BH$10:$BH$81,MATCH($A1166,TinhGia!$B$10:$B$81,0)),$A1166,INDEX(TinhGia!$B$10:$B$81,MATCH($A1166,TinhGia!$B$10:$B$81,0)+1)),"")</f>
        <v/>
      </c>
      <c r="B1167" s="525" t="str">
        <f ca="1">IF(OR(A1167="",A1167=0),"",IF(COUNTIF($A$2:A1167,$A1167)=1,ROW(MauKoXoa!$C$108),$B1166+1))</f>
        <v/>
      </c>
      <c r="C1167" s="992" t="str">
        <f t="shared" ca="1" si="165"/>
        <v/>
      </c>
      <c r="D1167" s="993" t="str">
        <f t="shared" ca="1" si="166"/>
        <v/>
      </c>
      <c r="E1167" s="993" t="str">
        <f t="shared" ca="1" si="167"/>
        <v/>
      </c>
      <c r="F1167" s="992" t="str">
        <f t="shared" ca="1" si="184"/>
        <v/>
      </c>
      <c r="G1167" s="994">
        <f t="shared" ca="1" si="168"/>
        <v>0</v>
      </c>
      <c r="H1167" s="913">
        <f t="shared" ca="1" si="169"/>
        <v>0</v>
      </c>
      <c r="I1167" s="913">
        <f t="shared" ca="1" si="170"/>
        <v>0</v>
      </c>
      <c r="J1167" s="995">
        <f t="shared" ca="1" si="185"/>
        <v>0</v>
      </c>
      <c r="K1167" s="913">
        <f t="shared" ca="1" si="171"/>
        <v>0</v>
      </c>
      <c r="L1167" s="995">
        <f t="shared" ca="1" si="186"/>
        <v>0</v>
      </c>
      <c r="M1167" s="913">
        <f t="shared" ca="1" si="172"/>
        <v>0</v>
      </c>
      <c r="N1167" s="996">
        <f t="shared" ca="1" si="173"/>
        <v>0</v>
      </c>
      <c r="O1167" s="997">
        <f t="shared" ca="1" si="174"/>
        <v>0</v>
      </c>
      <c r="P1167" s="1015" t="str">
        <f ca="1">IF($C1167="","",INDEX(NVLSX!$N$2:$N$6941,MATCH($C1167,NVLSX!$E$2:$E$6941,0)))</f>
        <v/>
      </c>
      <c r="Q1167" s="1016" t="str">
        <f ca="1">IF($R1167="","",IF(XKNVLSX!$X$1="",IF($P1167=$V$7,$P1167, IF(COUNTIFS($C$2:$C1166,$C1167,$E$2:$E1166,$E1167)&gt;=1,"",$P1167)),     IF(AND(IFERROR(SEARCH($R1167,XKNVLSX!$X$1,1),0)&gt;=1,$P1167=$V$7),$P1167, IF(OR($R1167&lt;&gt;IF(IFERROR(SEARCH($R1167,XKNVLSX!$X$1,1),0)&gt;=1,$R1167,XKNVLSX!$X$1),COUNTIFS($C$2:$C1166,$C1167,$E$2:$E1166,$E1167,$Q$2:$Q1166,$P1167)&gt;=1),"",$P1167))))</f>
        <v/>
      </c>
      <c r="R1167" s="1017" t="str">
        <f ca="1">IF($A1167="","",IFERROR(INDEX(TinhGia!$BF$10:$BF$81,MATCH($A1167,TinhGia!$B$10:$B$81,0)),""))</f>
        <v/>
      </c>
      <c r="S1167" s="1012" t="str">
        <f ca="1">IF($A1167="","",IF(OR(IFERROR(SEARCH($R1167,XKNVLSX!$X$1,1),0)&gt;=1,XKNVLSX!$X$1=""),$S$2,""))</f>
        <v/>
      </c>
      <c r="T1167" s="1018" t="str">
        <f ca="1">IF($C1167="","", IF(OR($P1167=$V$1,$P1167=$V$7,COUNTIFS($C$3:$C1167,$C1167,$E$3:$E1167,$E1167)&lt;=1),$P1167,""    ))</f>
        <v/>
      </c>
      <c r="U1167" s="1019" t="str">
        <f ca="1">IF(AND($P1167=$V$2,COUNTIFS($C$3:$C1167,$C1167,$E$3:$E1167,$E1167,$G$3:$G1167,$G1167)&lt;=1),$P1167,"")</f>
        <v/>
      </c>
    </row>
    <row r="1168" spans="1:21">
      <c r="A1168" s="991" t="str">
        <f ca="1">IFERROR(IF(COUNTIF($A$3:A1167,A1167)&lt; INDEX(TinhGia!$BH$10:$BH$81,MATCH($A1167,TinhGia!$B$10:$B$81,0)),$A1167,INDEX(TinhGia!$B$10:$B$81,MATCH($A1167,TinhGia!$B$10:$B$81,0)+1)),"")</f>
        <v/>
      </c>
      <c r="B1168" s="525" t="str">
        <f ca="1">IF(OR(A1168="",A1168=0),"",IF(COUNTIF($A$2:A1168,$A1168)=1,ROW(MauKoXoa!$C$108),$B1167+1))</f>
        <v/>
      </c>
      <c r="C1168" s="992" t="str">
        <f t="shared" ca="1" si="165"/>
        <v/>
      </c>
      <c r="D1168" s="993" t="str">
        <f t="shared" ca="1" si="166"/>
        <v/>
      </c>
      <c r="E1168" s="993" t="str">
        <f t="shared" ca="1" si="167"/>
        <v/>
      </c>
      <c r="F1168" s="992" t="str">
        <f t="shared" ca="1" si="184"/>
        <v/>
      </c>
      <c r="G1168" s="994">
        <f t="shared" ca="1" si="168"/>
        <v>0</v>
      </c>
      <c r="H1168" s="913">
        <f t="shared" ca="1" si="169"/>
        <v>0</v>
      </c>
      <c r="I1168" s="913">
        <f t="shared" ca="1" si="170"/>
        <v>0</v>
      </c>
      <c r="J1168" s="995">
        <f t="shared" ca="1" si="185"/>
        <v>0</v>
      </c>
      <c r="K1168" s="913">
        <f t="shared" ca="1" si="171"/>
        <v>0</v>
      </c>
      <c r="L1168" s="995">
        <f t="shared" ca="1" si="186"/>
        <v>0</v>
      </c>
      <c r="M1168" s="913">
        <f t="shared" ca="1" si="172"/>
        <v>0</v>
      </c>
      <c r="N1168" s="996">
        <f t="shared" ca="1" si="173"/>
        <v>0</v>
      </c>
      <c r="O1168" s="997">
        <f t="shared" ca="1" si="174"/>
        <v>0</v>
      </c>
      <c r="P1168" s="1015" t="str">
        <f ca="1">IF($C1168="","",INDEX(NVLSX!$N$2:$N$6941,MATCH($C1168,NVLSX!$E$2:$E$6941,0)))</f>
        <v/>
      </c>
      <c r="Q1168" s="1016" t="str">
        <f ca="1">IF($R1168="","",IF(XKNVLSX!$X$1="",IF($P1168=$V$7,$P1168, IF(COUNTIFS($C$2:$C1167,$C1168,$E$2:$E1167,$E1168)&gt;=1,"",$P1168)),     IF(AND(IFERROR(SEARCH($R1168,XKNVLSX!$X$1,1),0)&gt;=1,$P1168=$V$7),$P1168, IF(OR($R1168&lt;&gt;IF(IFERROR(SEARCH($R1168,XKNVLSX!$X$1,1),0)&gt;=1,$R1168,XKNVLSX!$X$1),COUNTIFS($C$2:$C1167,$C1168,$E$2:$E1167,$E1168,$Q$2:$Q1167,$P1168)&gt;=1),"",$P1168))))</f>
        <v/>
      </c>
      <c r="R1168" s="1017" t="str">
        <f ca="1">IF($A1168="","",IFERROR(INDEX(TinhGia!$BF$10:$BF$81,MATCH($A1168,TinhGia!$B$10:$B$81,0)),""))</f>
        <v/>
      </c>
      <c r="S1168" s="1012" t="str">
        <f ca="1">IF($A1168="","",IF(OR(IFERROR(SEARCH($R1168,XKNVLSX!$X$1,1),0)&gt;=1,XKNVLSX!$X$1=""),$S$2,""))</f>
        <v/>
      </c>
      <c r="T1168" s="1018" t="str">
        <f ca="1">IF($C1168="","", IF(OR($P1168=$V$1,$P1168=$V$7,COUNTIFS($C$3:$C1168,$C1168,$E$3:$E1168,$E1168)&lt;=1),$P1168,""    ))</f>
        <v/>
      </c>
      <c r="U1168" s="1019" t="str">
        <f ca="1">IF(AND($P1168=$V$2,COUNTIFS($C$3:$C1168,$C1168,$E$3:$E1168,$E1168,$G$3:$G1168,$G1168)&lt;=1),$P1168,"")</f>
        <v/>
      </c>
    </row>
    <row r="1169" spans="1:21">
      <c r="A1169" s="991" t="str">
        <f ca="1">IFERROR(IF(COUNTIF($A$3:A1168,A1168)&lt; INDEX(TinhGia!$BH$10:$BH$81,MATCH($A1168,TinhGia!$B$10:$B$81,0)),$A1168,INDEX(TinhGia!$B$10:$B$81,MATCH($A1168,TinhGia!$B$10:$B$81,0)+1)),"")</f>
        <v/>
      </c>
      <c r="B1169" s="525" t="str">
        <f ca="1">IF(OR(A1169="",A1169=0),"",IF(COUNTIF($A$2:A1169,$A1169)=1,ROW(MauKoXoa!$C$108),$B1168+1))</f>
        <v/>
      </c>
      <c r="C1169" s="992" t="str">
        <f t="shared" ca="1" si="165"/>
        <v/>
      </c>
      <c r="D1169" s="993" t="str">
        <f t="shared" ca="1" si="166"/>
        <v/>
      </c>
      <c r="E1169" s="993" t="str">
        <f t="shared" ca="1" si="167"/>
        <v/>
      </c>
      <c r="F1169" s="992" t="str">
        <f t="shared" ca="1" si="184"/>
        <v/>
      </c>
      <c r="G1169" s="994">
        <f t="shared" ca="1" si="168"/>
        <v>0</v>
      </c>
      <c r="H1169" s="913">
        <f t="shared" ca="1" si="169"/>
        <v>0</v>
      </c>
      <c r="I1169" s="913">
        <f t="shared" ca="1" si="170"/>
        <v>0</v>
      </c>
      <c r="J1169" s="995">
        <f t="shared" ca="1" si="185"/>
        <v>0</v>
      </c>
      <c r="K1169" s="913">
        <f t="shared" ca="1" si="171"/>
        <v>0</v>
      </c>
      <c r="L1169" s="995">
        <f t="shared" ca="1" si="186"/>
        <v>0</v>
      </c>
      <c r="M1169" s="913">
        <f t="shared" ca="1" si="172"/>
        <v>0</v>
      </c>
      <c r="N1169" s="996">
        <f t="shared" ca="1" si="173"/>
        <v>0</v>
      </c>
      <c r="O1169" s="997">
        <f t="shared" ca="1" si="174"/>
        <v>0</v>
      </c>
      <c r="P1169" s="1015" t="str">
        <f ca="1">IF($C1169="","",INDEX(NVLSX!$N$2:$N$6941,MATCH($C1169,NVLSX!$E$2:$E$6941,0)))</f>
        <v/>
      </c>
      <c r="Q1169" s="1016" t="str">
        <f ca="1">IF($R1169="","",IF(XKNVLSX!$X$1="",IF($P1169=$V$7,$P1169, IF(COUNTIFS($C$2:$C1168,$C1169,$E$2:$E1168,$E1169)&gt;=1,"",$P1169)),     IF(AND(IFERROR(SEARCH($R1169,XKNVLSX!$X$1,1),0)&gt;=1,$P1169=$V$7),$P1169, IF(OR($R1169&lt;&gt;IF(IFERROR(SEARCH($R1169,XKNVLSX!$X$1,1),0)&gt;=1,$R1169,XKNVLSX!$X$1),COUNTIFS($C$2:$C1168,$C1169,$E$2:$E1168,$E1169,$Q$2:$Q1168,$P1169)&gt;=1),"",$P1169))))</f>
        <v/>
      </c>
      <c r="R1169" s="1017" t="str">
        <f ca="1">IF($A1169="","",IFERROR(INDEX(TinhGia!$BF$10:$BF$81,MATCH($A1169,TinhGia!$B$10:$B$81,0)),""))</f>
        <v/>
      </c>
      <c r="S1169" s="1012" t="str">
        <f ca="1">IF($A1169="","",IF(OR(IFERROR(SEARCH($R1169,XKNVLSX!$X$1,1),0)&gt;=1,XKNVLSX!$X$1=""),$S$2,""))</f>
        <v/>
      </c>
      <c r="T1169" s="1018" t="str">
        <f ca="1">IF($C1169="","", IF(OR($P1169=$V$1,$P1169=$V$7,COUNTIFS($C$3:$C1169,$C1169,$E$3:$E1169,$E1169)&lt;=1),$P1169,""    ))</f>
        <v/>
      </c>
      <c r="U1169" s="1019" t="str">
        <f ca="1">IF(AND($P1169=$V$2,COUNTIFS($C$3:$C1169,$C1169,$E$3:$E1169,$E1169,$G$3:$G1169,$G1169)&lt;=1),$P1169,"")</f>
        <v/>
      </c>
    </row>
    <row r="1170" spans="1:21">
      <c r="A1170" s="991" t="str">
        <f ca="1">IFERROR(IF(COUNTIF($A$3:A1169,A1169)&lt; INDEX(TinhGia!$BH$10:$BH$81,MATCH($A1169,TinhGia!$B$10:$B$81,0)),$A1169,INDEX(TinhGia!$B$10:$B$81,MATCH($A1169,TinhGia!$B$10:$B$81,0)+1)),"")</f>
        <v/>
      </c>
      <c r="B1170" s="525" t="str">
        <f ca="1">IF(OR(A1170="",A1170=0),"",IF(COUNTIF($A$2:A1170,$A1170)=1,ROW(MauKoXoa!$C$108),$B1169+1))</f>
        <v/>
      </c>
      <c r="C1170" s="992" t="str">
        <f t="shared" ca="1" si="165"/>
        <v/>
      </c>
      <c r="D1170" s="993" t="str">
        <f t="shared" ca="1" si="166"/>
        <v/>
      </c>
      <c r="E1170" s="993" t="str">
        <f t="shared" ca="1" si="167"/>
        <v/>
      </c>
      <c r="F1170" s="992" t="str">
        <f t="shared" ca="1" si="184"/>
        <v/>
      </c>
      <c r="G1170" s="994">
        <f t="shared" ca="1" si="168"/>
        <v>0</v>
      </c>
      <c r="H1170" s="913">
        <f t="shared" ca="1" si="169"/>
        <v>0</v>
      </c>
      <c r="I1170" s="913">
        <f t="shared" ca="1" si="170"/>
        <v>0</v>
      </c>
      <c r="J1170" s="995">
        <f t="shared" ca="1" si="185"/>
        <v>0</v>
      </c>
      <c r="K1170" s="913">
        <f t="shared" ca="1" si="171"/>
        <v>0</v>
      </c>
      <c r="L1170" s="995">
        <f t="shared" ca="1" si="186"/>
        <v>0</v>
      </c>
      <c r="M1170" s="913">
        <f t="shared" ca="1" si="172"/>
        <v>0</v>
      </c>
      <c r="N1170" s="996">
        <f t="shared" ca="1" si="173"/>
        <v>0</v>
      </c>
      <c r="O1170" s="997">
        <f t="shared" ca="1" si="174"/>
        <v>0</v>
      </c>
      <c r="P1170" s="1015" t="str">
        <f ca="1">IF($C1170="","",INDEX(NVLSX!$N$2:$N$6941,MATCH($C1170,NVLSX!$E$2:$E$6941,0)))</f>
        <v/>
      </c>
      <c r="Q1170" s="1016" t="str">
        <f ca="1">IF($R1170="","",IF(XKNVLSX!$X$1="",IF($P1170=$V$7,$P1170, IF(COUNTIFS($C$2:$C1169,$C1170,$E$2:$E1169,$E1170)&gt;=1,"",$P1170)),     IF(AND(IFERROR(SEARCH($R1170,XKNVLSX!$X$1,1),0)&gt;=1,$P1170=$V$7),$P1170, IF(OR($R1170&lt;&gt;IF(IFERROR(SEARCH($R1170,XKNVLSX!$X$1,1),0)&gt;=1,$R1170,XKNVLSX!$X$1),COUNTIFS($C$2:$C1169,$C1170,$E$2:$E1169,$E1170,$Q$2:$Q1169,$P1170)&gt;=1),"",$P1170))))</f>
        <v/>
      </c>
      <c r="R1170" s="1017" t="str">
        <f ca="1">IF($A1170="","",IFERROR(INDEX(TinhGia!$BF$10:$BF$81,MATCH($A1170,TinhGia!$B$10:$B$81,0)),""))</f>
        <v/>
      </c>
      <c r="S1170" s="1012" t="str">
        <f ca="1">IF($A1170="","",IF(OR(IFERROR(SEARCH($R1170,XKNVLSX!$X$1,1),0)&gt;=1,XKNVLSX!$X$1=""),$S$2,""))</f>
        <v/>
      </c>
      <c r="T1170" s="1018" t="str">
        <f ca="1">IF($C1170="","", IF(OR($P1170=$V$1,$P1170=$V$7,COUNTIFS($C$3:$C1170,$C1170,$E$3:$E1170,$E1170)&lt;=1),$P1170,""    ))</f>
        <v/>
      </c>
      <c r="U1170" s="1019" t="str">
        <f ca="1">IF(AND($P1170=$V$2,COUNTIFS($C$3:$C1170,$C1170,$E$3:$E1170,$E1170,$G$3:$G1170,$G1170)&lt;=1),$P1170,"")</f>
        <v/>
      </c>
    </row>
    <row r="1171" spans="1:21">
      <c r="A1171" s="991" t="str">
        <f ca="1">IFERROR(IF(COUNTIF($A$3:A1170,A1170)&lt; INDEX(TinhGia!$BH$10:$BH$81,MATCH($A1170,TinhGia!$B$10:$B$81,0)),$A1170,INDEX(TinhGia!$B$10:$B$81,MATCH($A1170,TinhGia!$B$10:$B$81,0)+1)),"")</f>
        <v/>
      </c>
      <c r="B1171" s="525" t="str">
        <f ca="1">IF(OR(A1171="",A1171=0),"",IF(COUNTIF($A$2:A1171,$A1171)=1,ROW(MauKoXoa!$C$108),$B1170+1))</f>
        <v/>
      </c>
      <c r="C1171" s="992" t="str">
        <f t="shared" ca="1" si="165"/>
        <v/>
      </c>
      <c r="D1171" s="993" t="str">
        <f t="shared" ca="1" si="166"/>
        <v/>
      </c>
      <c r="E1171" s="993" t="str">
        <f t="shared" ca="1" si="167"/>
        <v/>
      </c>
      <c r="F1171" s="992" t="str">
        <f t="shared" ca="1" si="184"/>
        <v/>
      </c>
      <c r="G1171" s="994">
        <f t="shared" ca="1" si="168"/>
        <v>0</v>
      </c>
      <c r="H1171" s="913">
        <f t="shared" ca="1" si="169"/>
        <v>0</v>
      </c>
      <c r="I1171" s="913">
        <f t="shared" ca="1" si="170"/>
        <v>0</v>
      </c>
      <c r="J1171" s="995">
        <f t="shared" ca="1" si="185"/>
        <v>0</v>
      </c>
      <c r="K1171" s="913">
        <f t="shared" ca="1" si="171"/>
        <v>0</v>
      </c>
      <c r="L1171" s="995">
        <f t="shared" ca="1" si="186"/>
        <v>0</v>
      </c>
      <c r="M1171" s="913">
        <f t="shared" ca="1" si="172"/>
        <v>0</v>
      </c>
      <c r="N1171" s="996">
        <f t="shared" ca="1" si="173"/>
        <v>0</v>
      </c>
      <c r="O1171" s="997">
        <f t="shared" ca="1" si="174"/>
        <v>0</v>
      </c>
      <c r="P1171" s="1015" t="str">
        <f ca="1">IF($C1171="","",INDEX(NVLSX!$N$2:$N$6941,MATCH($C1171,NVLSX!$E$2:$E$6941,0)))</f>
        <v/>
      </c>
      <c r="Q1171" s="1016" t="str">
        <f ca="1">IF($R1171="","",IF(XKNVLSX!$X$1="",IF($P1171=$V$7,$P1171, IF(COUNTIFS($C$2:$C1170,$C1171,$E$2:$E1170,$E1171)&gt;=1,"",$P1171)),     IF(AND(IFERROR(SEARCH($R1171,XKNVLSX!$X$1,1),0)&gt;=1,$P1171=$V$7),$P1171, IF(OR($R1171&lt;&gt;IF(IFERROR(SEARCH($R1171,XKNVLSX!$X$1,1),0)&gt;=1,$R1171,XKNVLSX!$X$1),COUNTIFS($C$2:$C1170,$C1171,$E$2:$E1170,$E1171,$Q$2:$Q1170,$P1171)&gt;=1),"",$P1171))))</f>
        <v/>
      </c>
      <c r="R1171" s="1017" t="str">
        <f ca="1">IF($A1171="","",IFERROR(INDEX(TinhGia!$BF$10:$BF$81,MATCH($A1171,TinhGia!$B$10:$B$81,0)),""))</f>
        <v/>
      </c>
      <c r="S1171" s="1012" t="str">
        <f ca="1">IF($A1171="","",IF(OR(IFERROR(SEARCH($R1171,XKNVLSX!$X$1,1),0)&gt;=1,XKNVLSX!$X$1=""),$S$2,""))</f>
        <v/>
      </c>
      <c r="T1171" s="1018" t="str">
        <f ca="1">IF($C1171="","", IF(OR($P1171=$V$1,$P1171=$V$7,COUNTIFS($C$3:$C1171,$C1171,$E$3:$E1171,$E1171)&lt;=1),$P1171,""    ))</f>
        <v/>
      </c>
      <c r="U1171" s="1019" t="str">
        <f ca="1">IF(AND($P1171=$V$2,COUNTIFS($C$3:$C1171,$C1171,$E$3:$E1171,$E1171,$G$3:$G1171,$G1171)&lt;=1),$P1171,"")</f>
        <v/>
      </c>
    </row>
    <row r="1172" spans="1:21">
      <c r="A1172" s="991" t="str">
        <f ca="1">IFERROR(IF(COUNTIF($A$3:A1171,A1171)&lt; INDEX(TinhGia!$BH$10:$BH$81,MATCH($A1171,TinhGia!$B$10:$B$81,0)),$A1171,INDEX(TinhGia!$B$10:$B$81,MATCH($A1171,TinhGia!$B$10:$B$81,0)+1)),"")</f>
        <v/>
      </c>
      <c r="B1172" s="525" t="str">
        <f ca="1">IF(OR(A1172="",A1172=0),"",IF(COUNTIF($A$2:A1172,$A1172)=1,ROW(MauKoXoa!$C$108),$B1171+1))</f>
        <v/>
      </c>
      <c r="C1172" s="992" t="str">
        <f t="shared" ca="1" si="165"/>
        <v/>
      </c>
      <c r="D1172" s="993" t="str">
        <f t="shared" ca="1" si="166"/>
        <v/>
      </c>
      <c r="E1172" s="993" t="str">
        <f t="shared" ca="1" si="167"/>
        <v/>
      </c>
      <c r="F1172" s="992" t="str">
        <f t="shared" ca="1" si="184"/>
        <v/>
      </c>
      <c r="G1172" s="994">
        <f t="shared" ca="1" si="168"/>
        <v>0</v>
      </c>
      <c r="H1172" s="913">
        <f t="shared" ca="1" si="169"/>
        <v>0</v>
      </c>
      <c r="I1172" s="913">
        <f t="shared" ca="1" si="170"/>
        <v>0</v>
      </c>
      <c r="J1172" s="995">
        <f t="shared" ca="1" si="185"/>
        <v>0</v>
      </c>
      <c r="K1172" s="913">
        <f t="shared" ca="1" si="171"/>
        <v>0</v>
      </c>
      <c r="L1172" s="995">
        <f t="shared" ca="1" si="186"/>
        <v>0</v>
      </c>
      <c r="M1172" s="913">
        <f t="shared" ca="1" si="172"/>
        <v>0</v>
      </c>
      <c r="N1172" s="996">
        <f t="shared" ca="1" si="173"/>
        <v>0</v>
      </c>
      <c r="O1172" s="997">
        <f t="shared" ca="1" si="174"/>
        <v>0</v>
      </c>
      <c r="P1172" s="1015" t="str">
        <f ca="1">IF($C1172="","",INDEX(NVLSX!$N$2:$N$6941,MATCH($C1172,NVLSX!$E$2:$E$6941,0)))</f>
        <v/>
      </c>
      <c r="Q1172" s="1016" t="str">
        <f ca="1">IF($R1172="","",IF(XKNVLSX!$X$1="",IF($P1172=$V$7,$P1172, IF(COUNTIFS($C$2:$C1171,$C1172,$E$2:$E1171,$E1172)&gt;=1,"",$P1172)),     IF(AND(IFERROR(SEARCH($R1172,XKNVLSX!$X$1,1),0)&gt;=1,$P1172=$V$7),$P1172, IF(OR($R1172&lt;&gt;IF(IFERROR(SEARCH($R1172,XKNVLSX!$X$1,1),0)&gt;=1,$R1172,XKNVLSX!$X$1),COUNTIFS($C$2:$C1171,$C1172,$E$2:$E1171,$E1172,$Q$2:$Q1171,$P1172)&gt;=1),"",$P1172))))</f>
        <v/>
      </c>
      <c r="R1172" s="1017" t="str">
        <f ca="1">IF($A1172="","",IFERROR(INDEX(TinhGia!$BF$10:$BF$81,MATCH($A1172,TinhGia!$B$10:$B$81,0)),""))</f>
        <v/>
      </c>
      <c r="S1172" s="1012" t="str">
        <f ca="1">IF($A1172="","",IF(OR(IFERROR(SEARCH($R1172,XKNVLSX!$X$1,1),0)&gt;=1,XKNVLSX!$X$1=""),$S$2,""))</f>
        <v/>
      </c>
      <c r="T1172" s="1018" t="str">
        <f ca="1">IF($C1172="","", IF(OR($P1172=$V$1,$P1172=$V$7,COUNTIFS($C$3:$C1172,$C1172,$E$3:$E1172,$E1172)&lt;=1),$P1172,""    ))</f>
        <v/>
      </c>
      <c r="U1172" s="1019" t="str">
        <f ca="1">IF(AND($P1172=$V$2,COUNTIFS($C$3:$C1172,$C1172,$E$3:$E1172,$E1172,$G$3:$G1172,$G1172)&lt;=1),$P1172,"")</f>
        <v/>
      </c>
    </row>
    <row r="1173" spans="1:21">
      <c r="A1173" s="991" t="str">
        <f ca="1">IFERROR(IF(COUNTIF($A$3:A1172,A1172)&lt; INDEX(TinhGia!$BH$10:$BH$81,MATCH($A1172,TinhGia!$B$10:$B$81,0)),$A1172,INDEX(TinhGia!$B$10:$B$81,MATCH($A1172,TinhGia!$B$10:$B$81,0)+1)),"")</f>
        <v/>
      </c>
      <c r="B1173" s="525" t="str">
        <f ca="1">IF(OR(A1173="",A1173=0),"",IF(COUNTIF($A$2:A1173,$A1173)=1,ROW(MauKoXoa!$C$108),$B1172+1))</f>
        <v/>
      </c>
      <c r="C1173" s="992" t="str">
        <f t="shared" ca="1" si="165"/>
        <v/>
      </c>
      <c r="D1173" s="993" t="str">
        <f t="shared" ca="1" si="166"/>
        <v/>
      </c>
      <c r="E1173" s="993" t="str">
        <f t="shared" ca="1" si="167"/>
        <v/>
      </c>
      <c r="F1173" s="992" t="str">
        <f t="shared" ca="1" si="184"/>
        <v/>
      </c>
      <c r="G1173" s="994">
        <f t="shared" ca="1" si="168"/>
        <v>0</v>
      </c>
      <c r="H1173" s="913">
        <f t="shared" ca="1" si="169"/>
        <v>0</v>
      </c>
      <c r="I1173" s="913">
        <f t="shared" ca="1" si="170"/>
        <v>0</v>
      </c>
      <c r="J1173" s="995">
        <f t="shared" ca="1" si="185"/>
        <v>0</v>
      </c>
      <c r="K1173" s="913">
        <f t="shared" ca="1" si="171"/>
        <v>0</v>
      </c>
      <c r="L1173" s="995">
        <f t="shared" ca="1" si="186"/>
        <v>0</v>
      </c>
      <c r="M1173" s="913">
        <f t="shared" ca="1" si="172"/>
        <v>0</v>
      </c>
      <c r="N1173" s="996">
        <f t="shared" ca="1" si="173"/>
        <v>0</v>
      </c>
      <c r="O1173" s="997">
        <f t="shared" ca="1" si="174"/>
        <v>0</v>
      </c>
      <c r="P1173" s="1015" t="str">
        <f ca="1">IF($C1173="","",INDEX(NVLSX!$N$2:$N$6941,MATCH($C1173,NVLSX!$E$2:$E$6941,0)))</f>
        <v/>
      </c>
      <c r="Q1173" s="1016" t="str">
        <f ca="1">IF($R1173="","",IF(XKNVLSX!$X$1="",IF($P1173=$V$7,$P1173, IF(COUNTIFS($C$2:$C1172,$C1173,$E$2:$E1172,$E1173)&gt;=1,"",$P1173)),     IF(AND(IFERROR(SEARCH($R1173,XKNVLSX!$X$1,1),0)&gt;=1,$P1173=$V$7),$P1173, IF(OR($R1173&lt;&gt;IF(IFERROR(SEARCH($R1173,XKNVLSX!$X$1,1),0)&gt;=1,$R1173,XKNVLSX!$X$1),COUNTIFS($C$2:$C1172,$C1173,$E$2:$E1172,$E1173,$Q$2:$Q1172,$P1173)&gt;=1),"",$P1173))))</f>
        <v/>
      </c>
      <c r="R1173" s="1017" t="str">
        <f ca="1">IF($A1173="","",IFERROR(INDEX(TinhGia!$BF$10:$BF$81,MATCH($A1173,TinhGia!$B$10:$B$81,0)),""))</f>
        <v/>
      </c>
      <c r="S1173" s="1012" t="str">
        <f ca="1">IF($A1173="","",IF(OR(IFERROR(SEARCH($R1173,XKNVLSX!$X$1,1),0)&gt;=1,XKNVLSX!$X$1=""),$S$2,""))</f>
        <v/>
      </c>
      <c r="T1173" s="1018" t="str">
        <f ca="1">IF($C1173="","", IF(OR($P1173=$V$1,$P1173=$V$7,COUNTIFS($C$3:$C1173,$C1173,$E$3:$E1173,$E1173)&lt;=1),$P1173,""    ))</f>
        <v/>
      </c>
      <c r="U1173" s="1019" t="str">
        <f ca="1">IF(AND($P1173=$V$2,COUNTIFS($C$3:$C1173,$C1173,$E$3:$E1173,$E1173,$G$3:$G1173,$G1173)&lt;=1),$P1173,"")</f>
        <v/>
      </c>
    </row>
    <row r="1174" spans="1:21">
      <c r="A1174" s="991" t="str">
        <f ca="1">IFERROR(IF(COUNTIF($A$3:A1173,A1173)&lt; INDEX(TinhGia!$BH$10:$BH$81,MATCH($A1173,TinhGia!$B$10:$B$81,0)),$A1173,INDEX(TinhGia!$B$10:$B$81,MATCH($A1173,TinhGia!$B$10:$B$81,0)+1)),"")</f>
        <v/>
      </c>
      <c r="B1174" s="525" t="str">
        <f ca="1">IF(OR(A1174="",A1174=0),"",IF(COUNTIF($A$2:A1174,$A1174)=1,ROW(MauKoXoa!$C$108),$B1173+1))</f>
        <v/>
      </c>
      <c r="C1174" s="992" t="str">
        <f t="shared" ca="1" si="165"/>
        <v/>
      </c>
      <c r="D1174" s="993" t="str">
        <f t="shared" ca="1" si="166"/>
        <v/>
      </c>
      <c r="E1174" s="993" t="str">
        <f t="shared" ca="1" si="167"/>
        <v/>
      </c>
      <c r="F1174" s="992" t="str">
        <f t="shared" ca="1" si="184"/>
        <v/>
      </c>
      <c r="G1174" s="994">
        <f t="shared" ca="1" si="168"/>
        <v>0</v>
      </c>
      <c r="H1174" s="913">
        <f t="shared" ca="1" si="169"/>
        <v>0</v>
      </c>
      <c r="I1174" s="913">
        <f t="shared" ca="1" si="170"/>
        <v>0</v>
      </c>
      <c r="J1174" s="995">
        <f t="shared" ca="1" si="185"/>
        <v>0</v>
      </c>
      <c r="K1174" s="913">
        <f t="shared" ca="1" si="171"/>
        <v>0</v>
      </c>
      <c r="L1174" s="995">
        <f t="shared" ca="1" si="186"/>
        <v>0</v>
      </c>
      <c r="M1174" s="913">
        <f t="shared" ca="1" si="172"/>
        <v>0</v>
      </c>
      <c r="N1174" s="996">
        <f t="shared" ca="1" si="173"/>
        <v>0</v>
      </c>
      <c r="O1174" s="997">
        <f t="shared" ca="1" si="174"/>
        <v>0</v>
      </c>
      <c r="P1174" s="1015" t="str">
        <f ca="1">IF($C1174="","",INDEX(NVLSX!$N$2:$N$6941,MATCH($C1174,NVLSX!$E$2:$E$6941,0)))</f>
        <v/>
      </c>
      <c r="Q1174" s="1016" t="str">
        <f ca="1">IF($R1174="","",IF(XKNVLSX!$X$1="",IF($P1174=$V$7,$P1174, IF(COUNTIFS($C$2:$C1173,$C1174,$E$2:$E1173,$E1174)&gt;=1,"",$P1174)),     IF(AND(IFERROR(SEARCH($R1174,XKNVLSX!$X$1,1),0)&gt;=1,$P1174=$V$7),$P1174, IF(OR($R1174&lt;&gt;IF(IFERROR(SEARCH($R1174,XKNVLSX!$X$1,1),0)&gt;=1,$R1174,XKNVLSX!$X$1),COUNTIFS($C$2:$C1173,$C1174,$E$2:$E1173,$E1174,$Q$2:$Q1173,$P1174)&gt;=1),"",$P1174))))</f>
        <v/>
      </c>
      <c r="R1174" s="1017" t="str">
        <f ca="1">IF($A1174="","",IFERROR(INDEX(TinhGia!$BF$10:$BF$81,MATCH($A1174,TinhGia!$B$10:$B$81,0)),""))</f>
        <v/>
      </c>
      <c r="S1174" s="1012" t="str">
        <f ca="1">IF($A1174="","",IF(OR(IFERROR(SEARCH($R1174,XKNVLSX!$X$1,1),0)&gt;=1,XKNVLSX!$X$1=""),$S$2,""))</f>
        <v/>
      </c>
      <c r="T1174" s="1018" t="str">
        <f ca="1">IF($C1174="","", IF(OR($P1174=$V$1,$P1174=$V$7,COUNTIFS($C$3:$C1174,$C1174,$E$3:$E1174,$E1174)&lt;=1),$P1174,""    ))</f>
        <v/>
      </c>
      <c r="U1174" s="1019" t="str">
        <f ca="1">IF(AND($P1174=$V$2,COUNTIFS($C$3:$C1174,$C1174,$E$3:$E1174,$E1174,$G$3:$G1174,$G1174)&lt;=1),$P1174,"")</f>
        <v/>
      </c>
    </row>
    <row r="1175" spans="1:21">
      <c r="A1175" s="991" t="str">
        <f ca="1">IFERROR(IF(COUNTIF($A$3:A1174,A1174)&lt; INDEX(TinhGia!$BH$10:$BH$81,MATCH($A1174,TinhGia!$B$10:$B$81,0)),$A1174,INDEX(TinhGia!$B$10:$B$81,MATCH($A1174,TinhGia!$B$10:$B$81,0)+1)),"")</f>
        <v/>
      </c>
      <c r="B1175" s="525" t="str">
        <f ca="1">IF(OR(A1175="",A1175=0),"",IF(COUNTIF($A$2:A1175,$A1175)=1,ROW(MauKoXoa!$C$108),$B1174+1))</f>
        <v/>
      </c>
      <c r="C1175" s="992" t="str">
        <f t="shared" ca="1" si="165"/>
        <v/>
      </c>
      <c r="D1175" s="993" t="str">
        <f t="shared" ca="1" si="166"/>
        <v/>
      </c>
      <c r="E1175" s="993" t="str">
        <f t="shared" ca="1" si="167"/>
        <v/>
      </c>
      <c r="F1175" s="992" t="str">
        <f t="shared" ca="1" si="184"/>
        <v/>
      </c>
      <c r="G1175" s="994">
        <f t="shared" ca="1" si="168"/>
        <v>0</v>
      </c>
      <c r="H1175" s="913">
        <f t="shared" ca="1" si="169"/>
        <v>0</v>
      </c>
      <c r="I1175" s="913">
        <f t="shared" ca="1" si="170"/>
        <v>0</v>
      </c>
      <c r="J1175" s="995">
        <f t="shared" ca="1" si="185"/>
        <v>0</v>
      </c>
      <c r="K1175" s="913">
        <f t="shared" ca="1" si="171"/>
        <v>0</v>
      </c>
      <c r="L1175" s="995">
        <f t="shared" ca="1" si="186"/>
        <v>0</v>
      </c>
      <c r="M1175" s="913">
        <f t="shared" ca="1" si="172"/>
        <v>0</v>
      </c>
      <c r="N1175" s="996">
        <f t="shared" ca="1" si="173"/>
        <v>0</v>
      </c>
      <c r="O1175" s="997">
        <f t="shared" ca="1" si="174"/>
        <v>0</v>
      </c>
      <c r="P1175" s="1015" t="str">
        <f ca="1">IF($C1175="","",INDEX(NVLSX!$N$2:$N$6941,MATCH($C1175,NVLSX!$E$2:$E$6941,0)))</f>
        <v/>
      </c>
      <c r="Q1175" s="1016" t="str">
        <f ca="1">IF($R1175="","",IF(XKNVLSX!$X$1="",IF($P1175=$V$7,$P1175, IF(COUNTIFS($C$2:$C1174,$C1175,$E$2:$E1174,$E1175)&gt;=1,"",$P1175)),     IF(AND(IFERROR(SEARCH($R1175,XKNVLSX!$X$1,1),0)&gt;=1,$P1175=$V$7),$P1175, IF(OR($R1175&lt;&gt;IF(IFERROR(SEARCH($R1175,XKNVLSX!$X$1,1),0)&gt;=1,$R1175,XKNVLSX!$X$1),COUNTIFS($C$2:$C1174,$C1175,$E$2:$E1174,$E1175,$Q$2:$Q1174,$P1175)&gt;=1),"",$P1175))))</f>
        <v/>
      </c>
      <c r="R1175" s="1017" t="str">
        <f ca="1">IF($A1175="","",IFERROR(INDEX(TinhGia!$BF$10:$BF$81,MATCH($A1175,TinhGia!$B$10:$B$81,0)),""))</f>
        <v/>
      </c>
      <c r="S1175" s="1012" t="str">
        <f ca="1">IF($A1175="","",IF(OR(IFERROR(SEARCH($R1175,XKNVLSX!$X$1,1),0)&gt;=1,XKNVLSX!$X$1=""),$S$2,""))</f>
        <v/>
      </c>
      <c r="T1175" s="1018" t="str">
        <f ca="1">IF($C1175="","", IF(OR($P1175=$V$1,$P1175=$V$7,COUNTIFS($C$3:$C1175,$C1175,$E$3:$E1175,$E1175)&lt;=1),$P1175,""    ))</f>
        <v/>
      </c>
      <c r="U1175" s="1019" t="str">
        <f ca="1">IF(AND($P1175=$V$2,COUNTIFS($C$3:$C1175,$C1175,$E$3:$E1175,$E1175,$G$3:$G1175,$G1175)&lt;=1),$P1175,"")</f>
        <v/>
      </c>
    </row>
    <row r="1176" spans="1:21">
      <c r="A1176" s="991" t="str">
        <f ca="1">IFERROR(IF(COUNTIF($A$3:A1175,A1175)&lt; INDEX(TinhGia!$BH$10:$BH$81,MATCH($A1175,TinhGia!$B$10:$B$81,0)),$A1175,INDEX(TinhGia!$B$10:$B$81,MATCH($A1175,TinhGia!$B$10:$B$81,0)+1)),"")</f>
        <v/>
      </c>
      <c r="B1176" s="525" t="str">
        <f ca="1">IF(OR(A1176="",A1176=0),"",IF(COUNTIF($A$2:A1176,$A1176)=1,ROW(MauKoXoa!$C$108),$B1175+1))</f>
        <v/>
      </c>
      <c r="C1176" s="992" t="str">
        <f t="shared" ca="1" si="165"/>
        <v/>
      </c>
      <c r="D1176" s="993" t="str">
        <f t="shared" ca="1" si="166"/>
        <v/>
      </c>
      <c r="E1176" s="993" t="str">
        <f t="shared" ca="1" si="167"/>
        <v/>
      </c>
      <c r="F1176" s="992" t="str">
        <f t="shared" ca="1" si="184"/>
        <v/>
      </c>
      <c r="G1176" s="994">
        <f t="shared" ca="1" si="168"/>
        <v>0</v>
      </c>
      <c r="H1176" s="913">
        <f t="shared" ca="1" si="169"/>
        <v>0</v>
      </c>
      <c r="I1176" s="913">
        <f t="shared" ca="1" si="170"/>
        <v>0</v>
      </c>
      <c r="J1176" s="995">
        <f t="shared" ca="1" si="185"/>
        <v>0</v>
      </c>
      <c r="K1176" s="913">
        <f t="shared" ca="1" si="171"/>
        <v>0</v>
      </c>
      <c r="L1176" s="995">
        <f t="shared" ca="1" si="186"/>
        <v>0</v>
      </c>
      <c r="M1176" s="913">
        <f t="shared" ca="1" si="172"/>
        <v>0</v>
      </c>
      <c r="N1176" s="996">
        <f t="shared" ca="1" si="173"/>
        <v>0</v>
      </c>
      <c r="O1176" s="997">
        <f t="shared" ca="1" si="174"/>
        <v>0</v>
      </c>
      <c r="P1176" s="1015" t="str">
        <f ca="1">IF($C1176="","",INDEX(NVLSX!$N$2:$N$6941,MATCH($C1176,NVLSX!$E$2:$E$6941,0)))</f>
        <v/>
      </c>
      <c r="Q1176" s="1016" t="str">
        <f ca="1">IF($R1176="","",IF(XKNVLSX!$X$1="",IF($P1176=$V$7,$P1176, IF(COUNTIFS($C$2:$C1175,$C1176,$E$2:$E1175,$E1176)&gt;=1,"",$P1176)),     IF(AND(IFERROR(SEARCH($R1176,XKNVLSX!$X$1,1),0)&gt;=1,$P1176=$V$7),$P1176, IF(OR($R1176&lt;&gt;IF(IFERROR(SEARCH($R1176,XKNVLSX!$X$1,1),0)&gt;=1,$R1176,XKNVLSX!$X$1),COUNTIFS($C$2:$C1175,$C1176,$E$2:$E1175,$E1176,$Q$2:$Q1175,$P1176)&gt;=1),"",$P1176))))</f>
        <v/>
      </c>
      <c r="R1176" s="1017" t="str">
        <f ca="1">IF($A1176="","",IFERROR(INDEX(TinhGia!$BF$10:$BF$81,MATCH($A1176,TinhGia!$B$10:$B$81,0)),""))</f>
        <v/>
      </c>
      <c r="S1176" s="1012" t="str">
        <f ca="1">IF($A1176="","",IF(OR(IFERROR(SEARCH($R1176,XKNVLSX!$X$1,1),0)&gt;=1,XKNVLSX!$X$1=""),$S$2,""))</f>
        <v/>
      </c>
      <c r="T1176" s="1018" t="str">
        <f ca="1">IF($C1176="","", IF(OR($P1176=$V$1,$P1176=$V$7,COUNTIFS($C$3:$C1176,$C1176,$E$3:$E1176,$E1176)&lt;=1),$P1176,""    ))</f>
        <v/>
      </c>
      <c r="U1176" s="1019" t="str">
        <f ca="1">IF(AND($P1176=$V$2,COUNTIFS($C$3:$C1176,$C1176,$E$3:$E1176,$E1176,$G$3:$G1176,$G1176)&lt;=1),$P1176,"")</f>
        <v/>
      </c>
    </row>
    <row r="1177" spans="1:21">
      <c r="A1177" s="991" t="str">
        <f ca="1">IFERROR(IF(COUNTIF($A$3:A1176,A1176)&lt; INDEX(TinhGia!$BH$10:$BH$81,MATCH($A1176,TinhGia!$B$10:$B$81,0)),$A1176,INDEX(TinhGia!$B$10:$B$81,MATCH($A1176,TinhGia!$B$10:$B$81,0)+1)),"")</f>
        <v/>
      </c>
      <c r="B1177" s="525" t="str">
        <f ca="1">IF(OR(A1177="",A1177=0),"",IF(COUNTIF($A$2:A1177,$A1177)=1,ROW(MauKoXoa!$C$108),$B1176+1))</f>
        <v/>
      </c>
      <c r="C1177" s="992" t="str">
        <f t="shared" ca="1" si="165"/>
        <v/>
      </c>
      <c r="D1177" s="993" t="str">
        <f t="shared" ca="1" si="166"/>
        <v/>
      </c>
      <c r="E1177" s="993" t="str">
        <f t="shared" ca="1" si="167"/>
        <v/>
      </c>
      <c r="F1177" s="992" t="str">
        <f t="shared" ca="1" si="184"/>
        <v/>
      </c>
      <c r="G1177" s="994">
        <f t="shared" ca="1" si="168"/>
        <v>0</v>
      </c>
      <c r="H1177" s="913">
        <f t="shared" ca="1" si="169"/>
        <v>0</v>
      </c>
      <c r="I1177" s="913">
        <f t="shared" ca="1" si="170"/>
        <v>0</v>
      </c>
      <c r="J1177" s="995">
        <f t="shared" ca="1" si="185"/>
        <v>0</v>
      </c>
      <c r="K1177" s="913">
        <f t="shared" ca="1" si="171"/>
        <v>0</v>
      </c>
      <c r="L1177" s="995">
        <f t="shared" ca="1" si="186"/>
        <v>0</v>
      </c>
      <c r="M1177" s="913">
        <f t="shared" ca="1" si="172"/>
        <v>0</v>
      </c>
      <c r="N1177" s="996">
        <f t="shared" ca="1" si="173"/>
        <v>0</v>
      </c>
      <c r="O1177" s="997">
        <f t="shared" ca="1" si="174"/>
        <v>0</v>
      </c>
      <c r="P1177" s="1015" t="str">
        <f ca="1">IF($C1177="","",INDEX(NVLSX!$N$2:$N$6941,MATCH($C1177,NVLSX!$E$2:$E$6941,0)))</f>
        <v/>
      </c>
      <c r="Q1177" s="1016" t="str">
        <f ca="1">IF($R1177="","",IF(XKNVLSX!$X$1="",IF($P1177=$V$7,$P1177, IF(COUNTIFS($C$2:$C1176,$C1177,$E$2:$E1176,$E1177)&gt;=1,"",$P1177)),     IF(AND(IFERROR(SEARCH($R1177,XKNVLSX!$X$1,1),0)&gt;=1,$P1177=$V$7),$P1177, IF(OR($R1177&lt;&gt;IF(IFERROR(SEARCH($R1177,XKNVLSX!$X$1,1),0)&gt;=1,$R1177,XKNVLSX!$X$1),COUNTIFS($C$2:$C1176,$C1177,$E$2:$E1176,$E1177,$Q$2:$Q1176,$P1177)&gt;=1),"",$P1177))))</f>
        <v/>
      </c>
      <c r="R1177" s="1017" t="str">
        <f ca="1">IF($A1177="","",IFERROR(INDEX(TinhGia!$BF$10:$BF$81,MATCH($A1177,TinhGia!$B$10:$B$81,0)),""))</f>
        <v/>
      </c>
      <c r="S1177" s="1012" t="str">
        <f ca="1">IF($A1177="","",IF(OR(IFERROR(SEARCH($R1177,XKNVLSX!$X$1,1),0)&gt;=1,XKNVLSX!$X$1=""),$S$2,""))</f>
        <v/>
      </c>
      <c r="T1177" s="1018" t="str">
        <f ca="1">IF($C1177="","", IF(OR($P1177=$V$1,$P1177=$V$7,COUNTIFS($C$3:$C1177,$C1177,$E$3:$E1177,$E1177)&lt;=1),$P1177,""    ))</f>
        <v/>
      </c>
      <c r="U1177" s="1019" t="str">
        <f ca="1">IF(AND($P1177=$V$2,COUNTIFS($C$3:$C1177,$C1177,$E$3:$E1177,$E1177,$G$3:$G1177,$G1177)&lt;=1),$P1177,"")</f>
        <v/>
      </c>
    </row>
    <row r="1178" spans="1:21">
      <c r="A1178" s="991" t="str">
        <f ca="1">IFERROR(IF(COUNTIF($A$3:A1177,A1177)&lt; INDEX(TinhGia!$BH$10:$BH$81,MATCH($A1177,TinhGia!$B$10:$B$81,0)),$A1177,INDEX(TinhGia!$B$10:$B$81,MATCH($A1177,TinhGia!$B$10:$B$81,0)+1)),"")</f>
        <v/>
      </c>
      <c r="B1178" s="525" t="str">
        <f ca="1">IF(OR(A1178="",A1178=0),"",IF(COUNTIF($A$2:A1178,$A1178)=1,ROW(MauKoXoa!$C$108),$B1177+1))</f>
        <v/>
      </c>
      <c r="C1178" s="992" t="str">
        <f t="shared" ca="1" si="165"/>
        <v/>
      </c>
      <c r="D1178" s="993" t="str">
        <f t="shared" ca="1" si="166"/>
        <v/>
      </c>
      <c r="E1178" s="993" t="str">
        <f t="shared" ca="1" si="167"/>
        <v/>
      </c>
      <c r="F1178" s="992" t="str">
        <f t="shared" ca="1" si="184"/>
        <v/>
      </c>
      <c r="G1178" s="994">
        <f t="shared" ca="1" si="168"/>
        <v>0</v>
      </c>
      <c r="H1178" s="913">
        <f t="shared" ca="1" si="169"/>
        <v>0</v>
      </c>
      <c r="I1178" s="913">
        <f t="shared" ca="1" si="170"/>
        <v>0</v>
      </c>
      <c r="J1178" s="995">
        <f t="shared" ca="1" si="185"/>
        <v>0</v>
      </c>
      <c r="K1178" s="913">
        <f t="shared" ca="1" si="171"/>
        <v>0</v>
      </c>
      <c r="L1178" s="995">
        <f t="shared" ca="1" si="186"/>
        <v>0</v>
      </c>
      <c r="M1178" s="913">
        <f t="shared" ca="1" si="172"/>
        <v>0</v>
      </c>
      <c r="N1178" s="996">
        <f t="shared" ca="1" si="173"/>
        <v>0</v>
      </c>
      <c r="O1178" s="997">
        <f t="shared" ca="1" si="174"/>
        <v>0</v>
      </c>
      <c r="P1178" s="1015" t="str">
        <f ca="1">IF($C1178="","",INDEX(NVLSX!$N$2:$N$6941,MATCH($C1178,NVLSX!$E$2:$E$6941,0)))</f>
        <v/>
      </c>
      <c r="Q1178" s="1016" t="str">
        <f ca="1">IF($R1178="","",IF(XKNVLSX!$X$1="",IF($P1178=$V$7,$P1178, IF(COUNTIFS($C$2:$C1177,$C1178,$E$2:$E1177,$E1178)&gt;=1,"",$P1178)),     IF(AND(IFERROR(SEARCH($R1178,XKNVLSX!$X$1,1),0)&gt;=1,$P1178=$V$7),$P1178, IF(OR($R1178&lt;&gt;IF(IFERROR(SEARCH($R1178,XKNVLSX!$X$1,1),0)&gt;=1,$R1178,XKNVLSX!$X$1),COUNTIFS($C$2:$C1177,$C1178,$E$2:$E1177,$E1178,$Q$2:$Q1177,$P1178)&gt;=1),"",$P1178))))</f>
        <v/>
      </c>
      <c r="R1178" s="1017" t="str">
        <f ca="1">IF($A1178="","",IFERROR(INDEX(TinhGia!$BF$10:$BF$81,MATCH($A1178,TinhGia!$B$10:$B$81,0)),""))</f>
        <v/>
      </c>
      <c r="S1178" s="1012" t="str">
        <f ca="1">IF($A1178="","",IF(OR(IFERROR(SEARCH($R1178,XKNVLSX!$X$1,1),0)&gt;=1,XKNVLSX!$X$1=""),$S$2,""))</f>
        <v/>
      </c>
      <c r="T1178" s="1018" t="str">
        <f ca="1">IF($C1178="","", IF(OR($P1178=$V$1,$P1178=$V$7,COUNTIFS($C$3:$C1178,$C1178,$E$3:$E1178,$E1178)&lt;=1),$P1178,""    ))</f>
        <v/>
      </c>
      <c r="U1178" s="1019" t="str">
        <f ca="1">IF(AND($P1178=$V$2,COUNTIFS($C$3:$C1178,$C1178,$E$3:$E1178,$E1178,$G$3:$G1178,$G1178)&lt;=1),$P1178,"")</f>
        <v/>
      </c>
    </row>
    <row r="1179" spans="1:21">
      <c r="A1179" s="991" t="str">
        <f ca="1">IFERROR(IF(COUNTIF($A$3:A1178,A1178)&lt; INDEX(TinhGia!$BH$10:$BH$81,MATCH($A1178,TinhGia!$B$10:$B$81,0)),$A1178,INDEX(TinhGia!$B$10:$B$81,MATCH($A1178,TinhGia!$B$10:$B$81,0)+1)),"")</f>
        <v/>
      </c>
      <c r="B1179" s="525" t="str">
        <f ca="1">IF(OR(A1179="",A1179=0),"",IF(COUNTIF($A$2:A1179,$A1179)=1,ROW(MauKoXoa!$C$108),$B1178+1))</f>
        <v/>
      </c>
      <c r="C1179" s="992" t="str">
        <f t="shared" ca="1" si="165"/>
        <v/>
      </c>
      <c r="D1179" s="993" t="str">
        <f t="shared" ca="1" si="166"/>
        <v/>
      </c>
      <c r="E1179" s="993" t="str">
        <f t="shared" ca="1" si="167"/>
        <v/>
      </c>
      <c r="F1179" s="992" t="str">
        <f t="shared" ca="1" si="184"/>
        <v/>
      </c>
      <c r="G1179" s="994">
        <f t="shared" ca="1" si="168"/>
        <v>0</v>
      </c>
      <c r="H1179" s="913">
        <f t="shared" ca="1" si="169"/>
        <v>0</v>
      </c>
      <c r="I1179" s="913">
        <f t="shared" ca="1" si="170"/>
        <v>0</v>
      </c>
      <c r="J1179" s="995">
        <f t="shared" ca="1" si="185"/>
        <v>0</v>
      </c>
      <c r="K1179" s="913">
        <f t="shared" ca="1" si="171"/>
        <v>0</v>
      </c>
      <c r="L1179" s="995">
        <f t="shared" ca="1" si="186"/>
        <v>0</v>
      </c>
      <c r="M1179" s="913">
        <f t="shared" ca="1" si="172"/>
        <v>0</v>
      </c>
      <c r="N1179" s="996">
        <f t="shared" ca="1" si="173"/>
        <v>0</v>
      </c>
      <c r="O1179" s="997">
        <f t="shared" ca="1" si="174"/>
        <v>0</v>
      </c>
      <c r="P1179" s="1015" t="str">
        <f ca="1">IF($C1179="","",INDEX(NVLSX!$N$2:$N$6941,MATCH($C1179,NVLSX!$E$2:$E$6941,0)))</f>
        <v/>
      </c>
      <c r="Q1179" s="1016" t="str">
        <f ca="1">IF($R1179="","",IF(XKNVLSX!$X$1="",IF($P1179=$V$7,$P1179, IF(COUNTIFS($C$2:$C1178,$C1179,$E$2:$E1178,$E1179)&gt;=1,"",$P1179)),     IF(AND(IFERROR(SEARCH($R1179,XKNVLSX!$X$1,1),0)&gt;=1,$P1179=$V$7),$P1179, IF(OR($R1179&lt;&gt;IF(IFERROR(SEARCH($R1179,XKNVLSX!$X$1,1),0)&gt;=1,$R1179,XKNVLSX!$X$1),COUNTIFS($C$2:$C1178,$C1179,$E$2:$E1178,$E1179,$Q$2:$Q1178,$P1179)&gt;=1),"",$P1179))))</f>
        <v/>
      </c>
      <c r="R1179" s="1017" t="str">
        <f ca="1">IF($A1179="","",IFERROR(INDEX(TinhGia!$BF$10:$BF$81,MATCH($A1179,TinhGia!$B$10:$B$81,0)),""))</f>
        <v/>
      </c>
      <c r="S1179" s="1012" t="str">
        <f ca="1">IF($A1179="","",IF(OR(IFERROR(SEARCH($R1179,XKNVLSX!$X$1,1),0)&gt;=1,XKNVLSX!$X$1=""),$S$2,""))</f>
        <v/>
      </c>
      <c r="T1179" s="1018" t="str">
        <f ca="1">IF($C1179="","", IF(OR($P1179=$V$1,$P1179=$V$7,COUNTIFS($C$3:$C1179,$C1179,$E$3:$E1179,$E1179)&lt;=1),$P1179,""    ))</f>
        <v/>
      </c>
      <c r="U1179" s="1019" t="str">
        <f ca="1">IF(AND($P1179=$V$2,COUNTIFS($C$3:$C1179,$C1179,$E$3:$E1179,$E1179,$G$3:$G1179,$G1179)&lt;=1),$P1179,"")</f>
        <v/>
      </c>
    </row>
    <row r="1180" spans="1:21">
      <c r="A1180" s="991" t="str">
        <f ca="1">IFERROR(IF(COUNTIF($A$3:A1179,A1179)&lt; INDEX(TinhGia!$BH$10:$BH$81,MATCH($A1179,TinhGia!$B$10:$B$81,0)),$A1179,INDEX(TinhGia!$B$10:$B$81,MATCH($A1179,TinhGia!$B$10:$B$81,0)+1)),"")</f>
        <v/>
      </c>
      <c r="B1180" s="525" t="str">
        <f ca="1">IF(OR(A1180="",A1180=0),"",IF(COUNTIF($A$2:A1180,$A1180)=1,ROW(MauKoXoa!$C$108),$B1179+1))</f>
        <v/>
      </c>
      <c r="C1180" s="992" t="str">
        <f t="shared" ca="1" si="165"/>
        <v/>
      </c>
      <c r="D1180" s="993" t="str">
        <f t="shared" ca="1" si="166"/>
        <v/>
      </c>
      <c r="E1180" s="993" t="str">
        <f t="shared" ca="1" si="167"/>
        <v/>
      </c>
      <c r="F1180" s="992" t="str">
        <f t="shared" ca="1" si="184"/>
        <v/>
      </c>
      <c r="G1180" s="994">
        <f t="shared" ca="1" si="168"/>
        <v>0</v>
      </c>
      <c r="H1180" s="913">
        <f t="shared" ca="1" si="169"/>
        <v>0</v>
      </c>
      <c r="I1180" s="913">
        <f t="shared" ca="1" si="170"/>
        <v>0</v>
      </c>
      <c r="J1180" s="995">
        <f t="shared" ca="1" si="185"/>
        <v>0</v>
      </c>
      <c r="K1180" s="913">
        <f t="shared" ca="1" si="171"/>
        <v>0</v>
      </c>
      <c r="L1180" s="995">
        <f t="shared" ca="1" si="186"/>
        <v>0</v>
      </c>
      <c r="M1180" s="913">
        <f t="shared" ca="1" si="172"/>
        <v>0</v>
      </c>
      <c r="N1180" s="996">
        <f t="shared" ca="1" si="173"/>
        <v>0</v>
      </c>
      <c r="O1180" s="997">
        <f t="shared" ca="1" si="174"/>
        <v>0</v>
      </c>
      <c r="P1180" s="1015" t="str">
        <f ca="1">IF($C1180="","",INDEX(NVLSX!$N$2:$N$6941,MATCH($C1180,NVLSX!$E$2:$E$6941,0)))</f>
        <v/>
      </c>
      <c r="Q1180" s="1016" t="str">
        <f ca="1">IF($R1180="","",IF(XKNVLSX!$X$1="",IF($P1180=$V$7,$P1180, IF(COUNTIFS($C$2:$C1179,$C1180,$E$2:$E1179,$E1180)&gt;=1,"",$P1180)),     IF(AND(IFERROR(SEARCH($R1180,XKNVLSX!$X$1,1),0)&gt;=1,$P1180=$V$7),$P1180, IF(OR($R1180&lt;&gt;IF(IFERROR(SEARCH($R1180,XKNVLSX!$X$1,1),0)&gt;=1,$R1180,XKNVLSX!$X$1),COUNTIFS($C$2:$C1179,$C1180,$E$2:$E1179,$E1180,$Q$2:$Q1179,$P1180)&gt;=1),"",$P1180))))</f>
        <v/>
      </c>
      <c r="R1180" s="1017" t="str">
        <f ca="1">IF($A1180="","",IFERROR(INDEX(TinhGia!$BF$10:$BF$81,MATCH($A1180,TinhGia!$B$10:$B$81,0)),""))</f>
        <v/>
      </c>
      <c r="S1180" s="1012" t="str">
        <f ca="1">IF($A1180="","",IF(OR(IFERROR(SEARCH($R1180,XKNVLSX!$X$1,1),0)&gt;=1,XKNVLSX!$X$1=""),$S$2,""))</f>
        <v/>
      </c>
      <c r="T1180" s="1018" t="str">
        <f ca="1">IF($C1180="","", IF(OR($P1180=$V$1,$P1180=$V$7,COUNTIFS($C$3:$C1180,$C1180,$E$3:$E1180,$E1180)&lt;=1),$P1180,""    ))</f>
        <v/>
      </c>
      <c r="U1180" s="1019" t="str">
        <f ca="1">IF(AND($P1180=$V$2,COUNTIFS($C$3:$C1180,$C1180,$E$3:$E1180,$E1180,$G$3:$G1180,$G1180)&lt;=1),$P1180,"")</f>
        <v/>
      </c>
    </row>
    <row r="1181" spans="1:21">
      <c r="A1181" s="991" t="str">
        <f ca="1">IFERROR(IF(COUNTIF($A$3:A1180,A1180)&lt; INDEX(TinhGia!$BH$10:$BH$81,MATCH($A1180,TinhGia!$B$10:$B$81,0)),$A1180,INDEX(TinhGia!$B$10:$B$81,MATCH($A1180,TinhGia!$B$10:$B$81,0)+1)),"")</f>
        <v/>
      </c>
      <c r="B1181" s="525" t="str">
        <f ca="1">IF(OR(A1181="",A1181=0),"",IF(COUNTIF($A$2:A1181,$A1181)=1,ROW(MauKoXoa!$C$108),$B1180+1))</f>
        <v/>
      </c>
      <c r="C1181" s="992" t="str">
        <f t="shared" ca="1" si="165"/>
        <v/>
      </c>
      <c r="D1181" s="993" t="str">
        <f t="shared" ca="1" si="166"/>
        <v/>
      </c>
      <c r="E1181" s="993" t="str">
        <f t="shared" ca="1" si="167"/>
        <v/>
      </c>
      <c r="F1181" s="992" t="str">
        <f t="shared" ca="1" si="184"/>
        <v/>
      </c>
      <c r="G1181" s="994">
        <f t="shared" ca="1" si="168"/>
        <v>0</v>
      </c>
      <c r="H1181" s="913">
        <f t="shared" ca="1" si="169"/>
        <v>0</v>
      </c>
      <c r="I1181" s="913">
        <f t="shared" ca="1" si="170"/>
        <v>0</v>
      </c>
      <c r="J1181" s="995">
        <f t="shared" ca="1" si="185"/>
        <v>0</v>
      </c>
      <c r="K1181" s="913">
        <f t="shared" ca="1" si="171"/>
        <v>0</v>
      </c>
      <c r="L1181" s="995">
        <f t="shared" ca="1" si="186"/>
        <v>0</v>
      </c>
      <c r="M1181" s="913">
        <f t="shared" ca="1" si="172"/>
        <v>0</v>
      </c>
      <c r="N1181" s="996">
        <f t="shared" ca="1" si="173"/>
        <v>0</v>
      </c>
      <c r="O1181" s="997">
        <f t="shared" ca="1" si="174"/>
        <v>0</v>
      </c>
      <c r="P1181" s="1015" t="str">
        <f ca="1">IF($C1181="","",INDEX(NVLSX!$N$2:$N$6941,MATCH($C1181,NVLSX!$E$2:$E$6941,0)))</f>
        <v/>
      </c>
      <c r="Q1181" s="1016" t="str">
        <f ca="1">IF($R1181="","",IF(XKNVLSX!$X$1="",IF($P1181=$V$7,$P1181, IF(COUNTIFS($C$2:$C1180,$C1181,$E$2:$E1180,$E1181)&gt;=1,"",$P1181)),     IF(AND(IFERROR(SEARCH($R1181,XKNVLSX!$X$1,1),0)&gt;=1,$P1181=$V$7),$P1181, IF(OR($R1181&lt;&gt;IF(IFERROR(SEARCH($R1181,XKNVLSX!$X$1,1),0)&gt;=1,$R1181,XKNVLSX!$X$1),COUNTIFS($C$2:$C1180,$C1181,$E$2:$E1180,$E1181,$Q$2:$Q1180,$P1181)&gt;=1),"",$P1181))))</f>
        <v/>
      </c>
      <c r="R1181" s="1017" t="str">
        <f ca="1">IF($A1181="","",IFERROR(INDEX(TinhGia!$BF$10:$BF$81,MATCH($A1181,TinhGia!$B$10:$B$81,0)),""))</f>
        <v/>
      </c>
      <c r="S1181" s="1012" t="str">
        <f ca="1">IF($A1181="","",IF(OR(IFERROR(SEARCH($R1181,XKNVLSX!$X$1,1),0)&gt;=1,XKNVLSX!$X$1=""),$S$2,""))</f>
        <v/>
      </c>
      <c r="T1181" s="1018" t="str">
        <f ca="1">IF($C1181="","", IF(OR($P1181=$V$1,$P1181=$V$7,COUNTIFS($C$3:$C1181,$C1181,$E$3:$E1181,$E1181)&lt;=1),$P1181,""    ))</f>
        <v/>
      </c>
      <c r="U1181" s="1019" t="str">
        <f ca="1">IF(AND($P1181=$V$2,COUNTIFS($C$3:$C1181,$C1181,$E$3:$E1181,$E1181,$G$3:$G1181,$G1181)&lt;=1),$P1181,"")</f>
        <v/>
      </c>
    </row>
    <row r="1182" spans="1:21">
      <c r="A1182" s="991" t="str">
        <f ca="1">IFERROR(IF(COUNTIF($A$3:A1181,A1181)&lt; INDEX(TinhGia!$BH$10:$BH$81,MATCH($A1181,TinhGia!$B$10:$B$81,0)),$A1181,INDEX(TinhGia!$B$10:$B$81,MATCH($A1181,TinhGia!$B$10:$B$81,0)+1)),"")</f>
        <v/>
      </c>
      <c r="B1182" s="525" t="str">
        <f ca="1">IF(OR(A1182="",A1182=0),"",IF(COUNTIF($A$2:A1182,$A1182)=1,ROW(MauKoXoa!$C$108),$B1181+1))</f>
        <v/>
      </c>
      <c r="C1182" s="992" t="str">
        <f t="shared" ca="1" si="165"/>
        <v/>
      </c>
      <c r="D1182" s="993" t="str">
        <f t="shared" ca="1" si="166"/>
        <v/>
      </c>
      <c r="E1182" s="993" t="str">
        <f t="shared" ca="1" si="167"/>
        <v/>
      </c>
      <c r="F1182" s="992" t="str">
        <f t="shared" ca="1" si="184"/>
        <v/>
      </c>
      <c r="G1182" s="994">
        <f t="shared" ca="1" si="168"/>
        <v>0</v>
      </c>
      <c r="H1182" s="913">
        <f t="shared" ca="1" si="169"/>
        <v>0</v>
      </c>
      <c r="I1182" s="913">
        <f t="shared" ca="1" si="170"/>
        <v>0</v>
      </c>
      <c r="J1182" s="995">
        <f t="shared" ca="1" si="185"/>
        <v>0</v>
      </c>
      <c r="K1182" s="913">
        <f t="shared" ca="1" si="171"/>
        <v>0</v>
      </c>
      <c r="L1182" s="995">
        <f t="shared" ca="1" si="186"/>
        <v>0</v>
      </c>
      <c r="M1182" s="913">
        <f t="shared" ca="1" si="172"/>
        <v>0</v>
      </c>
      <c r="N1182" s="996">
        <f t="shared" ca="1" si="173"/>
        <v>0</v>
      </c>
      <c r="O1182" s="997">
        <f t="shared" ca="1" si="174"/>
        <v>0</v>
      </c>
      <c r="P1182" s="1015" t="str">
        <f ca="1">IF($C1182="","",INDEX(NVLSX!$N$2:$N$6941,MATCH($C1182,NVLSX!$E$2:$E$6941,0)))</f>
        <v/>
      </c>
      <c r="Q1182" s="1016" t="str">
        <f ca="1">IF($R1182="","",IF(XKNVLSX!$X$1="",IF($P1182=$V$7,$P1182, IF(COUNTIFS($C$2:$C1181,$C1182,$E$2:$E1181,$E1182)&gt;=1,"",$P1182)),     IF(AND(IFERROR(SEARCH($R1182,XKNVLSX!$X$1,1),0)&gt;=1,$P1182=$V$7),$P1182, IF(OR($R1182&lt;&gt;IF(IFERROR(SEARCH($R1182,XKNVLSX!$X$1,1),0)&gt;=1,$R1182,XKNVLSX!$X$1),COUNTIFS($C$2:$C1181,$C1182,$E$2:$E1181,$E1182,$Q$2:$Q1181,$P1182)&gt;=1),"",$P1182))))</f>
        <v/>
      </c>
      <c r="R1182" s="1017" t="str">
        <f ca="1">IF($A1182="","",IFERROR(INDEX(TinhGia!$BF$10:$BF$81,MATCH($A1182,TinhGia!$B$10:$B$81,0)),""))</f>
        <v/>
      </c>
      <c r="S1182" s="1012" t="str">
        <f ca="1">IF($A1182="","",IF(OR(IFERROR(SEARCH($R1182,XKNVLSX!$X$1,1),0)&gt;=1,XKNVLSX!$X$1=""),$S$2,""))</f>
        <v/>
      </c>
      <c r="T1182" s="1018" t="str">
        <f ca="1">IF($C1182="","", IF(OR($P1182=$V$1,$P1182=$V$7,COUNTIFS($C$3:$C1182,$C1182,$E$3:$E1182,$E1182)&lt;=1),$P1182,""    ))</f>
        <v/>
      </c>
      <c r="U1182" s="1019" t="str">
        <f ca="1">IF(AND($P1182=$V$2,COUNTIFS($C$3:$C1182,$C1182,$E$3:$E1182,$E1182,$G$3:$G1182,$G1182)&lt;=1),$P1182,"")</f>
        <v/>
      </c>
    </row>
    <row r="1183" spans="1:21">
      <c r="A1183" s="991" t="str">
        <f ca="1">IFERROR(IF(COUNTIF($A$3:A1182,A1182)&lt; INDEX(TinhGia!$BH$10:$BH$81,MATCH($A1182,TinhGia!$B$10:$B$81,0)),$A1182,INDEX(TinhGia!$B$10:$B$81,MATCH($A1182,TinhGia!$B$10:$B$81,0)+1)),"")</f>
        <v/>
      </c>
      <c r="B1183" s="525" t="str">
        <f ca="1">IF(OR(A1183="",A1183=0),"",IF(COUNTIF($A$2:A1183,$A1183)=1,ROW(MauKoXoa!$C$108),$B1182+1))</f>
        <v/>
      </c>
      <c r="C1183" s="992" t="str">
        <f t="shared" ca="1" si="165"/>
        <v/>
      </c>
      <c r="D1183" s="993" t="str">
        <f t="shared" ca="1" si="166"/>
        <v/>
      </c>
      <c r="E1183" s="993" t="str">
        <f t="shared" ca="1" si="167"/>
        <v/>
      </c>
      <c r="F1183" s="992" t="str">
        <f t="shared" ca="1" si="184"/>
        <v/>
      </c>
      <c r="G1183" s="994">
        <f t="shared" ca="1" si="168"/>
        <v>0</v>
      </c>
      <c r="H1183" s="913">
        <f t="shared" ca="1" si="169"/>
        <v>0</v>
      </c>
      <c r="I1183" s="913">
        <f t="shared" ca="1" si="170"/>
        <v>0</v>
      </c>
      <c r="J1183" s="995">
        <f t="shared" ca="1" si="185"/>
        <v>0</v>
      </c>
      <c r="K1183" s="913">
        <f t="shared" ca="1" si="171"/>
        <v>0</v>
      </c>
      <c r="L1183" s="995">
        <f t="shared" ca="1" si="186"/>
        <v>0</v>
      </c>
      <c r="M1183" s="913">
        <f t="shared" ca="1" si="172"/>
        <v>0</v>
      </c>
      <c r="N1183" s="996">
        <f t="shared" ca="1" si="173"/>
        <v>0</v>
      </c>
      <c r="O1183" s="997">
        <f t="shared" ca="1" si="174"/>
        <v>0</v>
      </c>
      <c r="P1183" s="1015" t="str">
        <f ca="1">IF($C1183="","",INDEX(NVLSX!$N$2:$N$6941,MATCH($C1183,NVLSX!$E$2:$E$6941,0)))</f>
        <v/>
      </c>
      <c r="Q1183" s="1016" t="str">
        <f ca="1">IF($R1183="","",IF(XKNVLSX!$X$1="",IF($P1183=$V$7,$P1183, IF(COUNTIFS($C$2:$C1182,$C1183,$E$2:$E1182,$E1183)&gt;=1,"",$P1183)),     IF(AND(IFERROR(SEARCH($R1183,XKNVLSX!$X$1,1),0)&gt;=1,$P1183=$V$7),$P1183, IF(OR($R1183&lt;&gt;IF(IFERROR(SEARCH($R1183,XKNVLSX!$X$1,1),0)&gt;=1,$R1183,XKNVLSX!$X$1),COUNTIFS($C$2:$C1182,$C1183,$E$2:$E1182,$E1183,$Q$2:$Q1182,$P1183)&gt;=1),"",$P1183))))</f>
        <v/>
      </c>
      <c r="R1183" s="1017" t="str">
        <f ca="1">IF($A1183="","",IFERROR(INDEX(TinhGia!$BF$10:$BF$81,MATCH($A1183,TinhGia!$B$10:$B$81,0)),""))</f>
        <v/>
      </c>
      <c r="S1183" s="1012" t="str">
        <f ca="1">IF($A1183="","",IF(OR(IFERROR(SEARCH($R1183,XKNVLSX!$X$1,1),0)&gt;=1,XKNVLSX!$X$1=""),$S$2,""))</f>
        <v/>
      </c>
      <c r="T1183" s="1018" t="str">
        <f ca="1">IF($C1183="","", IF(OR($P1183=$V$1,$P1183=$V$7,COUNTIFS($C$3:$C1183,$C1183,$E$3:$E1183,$E1183)&lt;=1),$P1183,""    ))</f>
        <v/>
      </c>
      <c r="U1183" s="1019" t="str">
        <f ca="1">IF(AND($P1183=$V$2,COUNTIFS($C$3:$C1183,$C1183,$E$3:$E1183,$E1183,$G$3:$G1183,$G1183)&lt;=1),$P1183,"")</f>
        <v/>
      </c>
    </row>
    <row r="1184" spans="1:21">
      <c r="A1184" s="991" t="str">
        <f ca="1">IFERROR(IF(COUNTIF($A$3:A1183,A1183)&lt; INDEX(TinhGia!$BH$10:$BH$81,MATCH($A1183,TinhGia!$B$10:$B$81,0)),$A1183,INDEX(TinhGia!$B$10:$B$81,MATCH($A1183,TinhGia!$B$10:$B$81,0)+1)),"")</f>
        <v/>
      </c>
      <c r="B1184" s="525" t="str">
        <f ca="1">IF(OR(A1184="",A1184=0),"",IF(COUNTIF($A$2:A1184,$A1184)=1,ROW(MauKoXoa!$C$108),$B1183+1))</f>
        <v/>
      </c>
      <c r="C1184" s="992" t="str">
        <f t="shared" ca="1" si="165"/>
        <v/>
      </c>
      <c r="D1184" s="993" t="str">
        <f t="shared" ca="1" si="166"/>
        <v/>
      </c>
      <c r="E1184" s="993" t="str">
        <f t="shared" ca="1" si="167"/>
        <v/>
      </c>
      <c r="F1184" s="992" t="str">
        <f t="shared" ca="1" si="184"/>
        <v/>
      </c>
      <c r="G1184" s="994">
        <f t="shared" ca="1" si="168"/>
        <v>0</v>
      </c>
      <c r="H1184" s="913">
        <f t="shared" ca="1" si="169"/>
        <v>0</v>
      </c>
      <c r="I1184" s="913">
        <f t="shared" ca="1" si="170"/>
        <v>0</v>
      </c>
      <c r="J1184" s="995">
        <f t="shared" ca="1" si="185"/>
        <v>0</v>
      </c>
      <c r="K1184" s="913">
        <f t="shared" ca="1" si="171"/>
        <v>0</v>
      </c>
      <c r="L1184" s="995">
        <f t="shared" ca="1" si="186"/>
        <v>0</v>
      </c>
      <c r="M1184" s="913">
        <f t="shared" ca="1" si="172"/>
        <v>0</v>
      </c>
      <c r="N1184" s="996">
        <f t="shared" ca="1" si="173"/>
        <v>0</v>
      </c>
      <c r="O1184" s="997">
        <f t="shared" ca="1" si="174"/>
        <v>0</v>
      </c>
      <c r="P1184" s="1015" t="str">
        <f ca="1">IF($C1184="","",INDEX(NVLSX!$N$2:$N$6941,MATCH($C1184,NVLSX!$E$2:$E$6941,0)))</f>
        <v/>
      </c>
      <c r="Q1184" s="1016" t="str">
        <f ca="1">IF($R1184="","",IF(XKNVLSX!$X$1="",IF($P1184=$V$7,$P1184, IF(COUNTIFS($C$2:$C1183,$C1184,$E$2:$E1183,$E1184)&gt;=1,"",$P1184)),     IF(AND(IFERROR(SEARCH($R1184,XKNVLSX!$X$1,1),0)&gt;=1,$P1184=$V$7),$P1184, IF(OR($R1184&lt;&gt;IF(IFERROR(SEARCH($R1184,XKNVLSX!$X$1,1),0)&gt;=1,$R1184,XKNVLSX!$X$1),COUNTIFS($C$2:$C1183,$C1184,$E$2:$E1183,$E1184,$Q$2:$Q1183,$P1184)&gt;=1),"",$P1184))))</f>
        <v/>
      </c>
      <c r="R1184" s="1017" t="str">
        <f ca="1">IF($A1184="","",IFERROR(INDEX(TinhGia!$BF$10:$BF$81,MATCH($A1184,TinhGia!$B$10:$B$81,0)),""))</f>
        <v/>
      </c>
      <c r="S1184" s="1012" t="str">
        <f ca="1">IF($A1184="","",IF(OR(IFERROR(SEARCH($R1184,XKNVLSX!$X$1,1),0)&gt;=1,XKNVLSX!$X$1=""),$S$2,""))</f>
        <v/>
      </c>
      <c r="T1184" s="1018" t="str">
        <f ca="1">IF($C1184="","", IF(OR($P1184=$V$1,$P1184=$V$7,COUNTIFS($C$3:$C1184,$C1184,$E$3:$E1184,$E1184)&lt;=1),$P1184,""    ))</f>
        <v/>
      </c>
      <c r="U1184" s="1019" t="str">
        <f ca="1">IF(AND($P1184=$V$2,COUNTIFS($C$3:$C1184,$C1184,$E$3:$E1184,$E1184,$G$3:$G1184,$G1184)&lt;=1),$P1184,"")</f>
        <v/>
      </c>
    </row>
    <row r="1185" spans="1:21">
      <c r="A1185" s="991" t="str">
        <f ca="1">IFERROR(IF(COUNTIF($A$3:A1184,A1184)&lt; INDEX(TinhGia!$BH$10:$BH$81,MATCH($A1184,TinhGia!$B$10:$B$81,0)),$A1184,INDEX(TinhGia!$B$10:$B$81,MATCH($A1184,TinhGia!$B$10:$B$81,0)+1)),"")</f>
        <v/>
      </c>
      <c r="B1185" s="525" t="str">
        <f ca="1">IF(OR(A1185="",A1185=0),"",IF(COUNTIF($A$2:A1185,$A1185)=1,ROW(MauKoXoa!$C$108),$B1184+1))</f>
        <v/>
      </c>
      <c r="C1185" s="992" t="str">
        <f t="shared" ca="1" si="165"/>
        <v/>
      </c>
      <c r="D1185" s="993" t="str">
        <f t="shared" ca="1" si="166"/>
        <v/>
      </c>
      <c r="E1185" s="993" t="str">
        <f t="shared" ca="1" si="167"/>
        <v/>
      </c>
      <c r="F1185" s="992" t="str">
        <f t="shared" ca="1" si="184"/>
        <v/>
      </c>
      <c r="G1185" s="994">
        <f t="shared" ca="1" si="168"/>
        <v>0</v>
      </c>
      <c r="H1185" s="913">
        <f t="shared" ca="1" si="169"/>
        <v>0</v>
      </c>
      <c r="I1185" s="913">
        <f t="shared" ca="1" si="170"/>
        <v>0</v>
      </c>
      <c r="J1185" s="995">
        <f t="shared" ca="1" si="185"/>
        <v>0</v>
      </c>
      <c r="K1185" s="913">
        <f t="shared" ca="1" si="171"/>
        <v>0</v>
      </c>
      <c r="L1185" s="995">
        <f t="shared" ca="1" si="186"/>
        <v>0</v>
      </c>
      <c r="M1185" s="913">
        <f t="shared" ca="1" si="172"/>
        <v>0</v>
      </c>
      <c r="N1185" s="996">
        <f t="shared" ca="1" si="173"/>
        <v>0</v>
      </c>
      <c r="O1185" s="997">
        <f t="shared" ca="1" si="174"/>
        <v>0</v>
      </c>
      <c r="P1185" s="1015" t="str">
        <f ca="1">IF($C1185="","",INDEX(NVLSX!$N$2:$N$6941,MATCH($C1185,NVLSX!$E$2:$E$6941,0)))</f>
        <v/>
      </c>
      <c r="Q1185" s="1016" t="str">
        <f ca="1">IF($R1185="","",IF(XKNVLSX!$X$1="",IF($P1185=$V$7,$P1185, IF(COUNTIFS($C$2:$C1184,$C1185,$E$2:$E1184,$E1185)&gt;=1,"",$P1185)),     IF(AND(IFERROR(SEARCH($R1185,XKNVLSX!$X$1,1),0)&gt;=1,$P1185=$V$7),$P1185, IF(OR($R1185&lt;&gt;IF(IFERROR(SEARCH($R1185,XKNVLSX!$X$1,1),0)&gt;=1,$R1185,XKNVLSX!$X$1),COUNTIFS($C$2:$C1184,$C1185,$E$2:$E1184,$E1185,$Q$2:$Q1184,$P1185)&gt;=1),"",$P1185))))</f>
        <v/>
      </c>
      <c r="R1185" s="1017" t="str">
        <f ca="1">IF($A1185="","",IFERROR(INDEX(TinhGia!$BF$10:$BF$81,MATCH($A1185,TinhGia!$B$10:$B$81,0)),""))</f>
        <v/>
      </c>
      <c r="S1185" s="1012" t="str">
        <f ca="1">IF($A1185="","",IF(OR(IFERROR(SEARCH($R1185,XKNVLSX!$X$1,1),0)&gt;=1,XKNVLSX!$X$1=""),$S$2,""))</f>
        <v/>
      </c>
      <c r="T1185" s="1018" t="str">
        <f ca="1">IF($C1185="","", IF(OR($P1185=$V$1,$P1185=$V$7,COUNTIFS($C$3:$C1185,$C1185,$E$3:$E1185,$E1185)&lt;=1),$P1185,""    ))</f>
        <v/>
      </c>
      <c r="U1185" s="1019" t="str">
        <f ca="1">IF(AND($P1185=$V$2,COUNTIFS($C$3:$C1185,$C1185,$E$3:$E1185,$E1185,$G$3:$G1185,$G1185)&lt;=1),$P1185,"")</f>
        <v/>
      </c>
    </row>
    <row r="1186" spans="1:21">
      <c r="A1186" s="991" t="str">
        <f ca="1">IFERROR(IF(COUNTIF($A$3:A1185,A1185)&lt; INDEX(TinhGia!$BH$10:$BH$81,MATCH($A1185,TinhGia!$B$10:$B$81,0)),$A1185,INDEX(TinhGia!$B$10:$B$81,MATCH($A1185,TinhGia!$B$10:$B$81,0)+1)),"")</f>
        <v/>
      </c>
      <c r="B1186" s="525" t="str">
        <f ca="1">IF(OR(A1186="",A1186=0),"",IF(COUNTIF($A$2:A1186,$A1186)=1,ROW(MauKoXoa!$C$108),$B1185+1))</f>
        <v/>
      </c>
      <c r="C1186" s="992" t="str">
        <f t="shared" ca="1" si="165"/>
        <v/>
      </c>
      <c r="D1186" s="993" t="str">
        <f t="shared" ca="1" si="166"/>
        <v/>
      </c>
      <c r="E1186" s="993" t="str">
        <f t="shared" ca="1" si="167"/>
        <v/>
      </c>
      <c r="F1186" s="992" t="str">
        <f t="shared" ca="1" si="184"/>
        <v/>
      </c>
      <c r="G1186" s="994">
        <f t="shared" ca="1" si="168"/>
        <v>0</v>
      </c>
      <c r="H1186" s="913">
        <f t="shared" ca="1" si="169"/>
        <v>0</v>
      </c>
      <c r="I1186" s="913">
        <f t="shared" ca="1" si="170"/>
        <v>0</v>
      </c>
      <c r="J1186" s="995">
        <f t="shared" ca="1" si="185"/>
        <v>0</v>
      </c>
      <c r="K1186" s="913">
        <f t="shared" ca="1" si="171"/>
        <v>0</v>
      </c>
      <c r="L1186" s="995">
        <f t="shared" ca="1" si="186"/>
        <v>0</v>
      </c>
      <c r="M1186" s="913">
        <f t="shared" ca="1" si="172"/>
        <v>0</v>
      </c>
      <c r="N1186" s="996">
        <f t="shared" ca="1" si="173"/>
        <v>0</v>
      </c>
      <c r="O1186" s="997">
        <f t="shared" ca="1" si="174"/>
        <v>0</v>
      </c>
      <c r="P1186" s="1015" t="str">
        <f ca="1">IF($C1186="","",INDEX(NVLSX!$N$2:$N$6941,MATCH($C1186,NVLSX!$E$2:$E$6941,0)))</f>
        <v/>
      </c>
      <c r="Q1186" s="1016" t="str">
        <f ca="1">IF($R1186="","",IF(XKNVLSX!$X$1="",IF($P1186=$V$7,$P1186, IF(COUNTIFS($C$2:$C1185,$C1186,$E$2:$E1185,$E1186)&gt;=1,"",$P1186)),     IF(AND(IFERROR(SEARCH($R1186,XKNVLSX!$X$1,1),0)&gt;=1,$P1186=$V$7),$P1186, IF(OR($R1186&lt;&gt;IF(IFERROR(SEARCH($R1186,XKNVLSX!$X$1,1),0)&gt;=1,$R1186,XKNVLSX!$X$1),COUNTIFS($C$2:$C1185,$C1186,$E$2:$E1185,$E1186,$Q$2:$Q1185,$P1186)&gt;=1),"",$P1186))))</f>
        <v/>
      </c>
      <c r="R1186" s="1017" t="str">
        <f ca="1">IF($A1186="","",IFERROR(INDEX(TinhGia!$BF$10:$BF$81,MATCH($A1186,TinhGia!$B$10:$B$81,0)),""))</f>
        <v/>
      </c>
      <c r="S1186" s="1012" t="str">
        <f ca="1">IF($A1186="","",IF(OR(IFERROR(SEARCH($R1186,XKNVLSX!$X$1,1),0)&gt;=1,XKNVLSX!$X$1=""),$S$2,""))</f>
        <v/>
      </c>
      <c r="T1186" s="1018" t="str">
        <f ca="1">IF($C1186="","", IF(OR($P1186=$V$1,$P1186=$V$7,COUNTIFS($C$3:$C1186,$C1186,$E$3:$E1186,$E1186)&lt;=1),$P1186,""    ))</f>
        <v/>
      </c>
      <c r="U1186" s="1019" t="str">
        <f ca="1">IF(AND($P1186=$V$2,COUNTIFS($C$3:$C1186,$C1186,$E$3:$E1186,$E1186,$G$3:$G1186,$G1186)&lt;=1),$P1186,"")</f>
        <v/>
      </c>
    </row>
    <row r="1187" spans="1:21">
      <c r="A1187" s="991" t="str">
        <f ca="1">IFERROR(IF(COUNTIF($A$3:A1186,A1186)&lt; INDEX(TinhGia!$BH$10:$BH$81,MATCH($A1186,TinhGia!$B$10:$B$81,0)),$A1186,INDEX(TinhGia!$B$10:$B$81,MATCH($A1186,TinhGia!$B$10:$B$81,0)+1)),"")</f>
        <v/>
      </c>
      <c r="B1187" s="525" t="str">
        <f ca="1">IF(OR(A1187="",A1187=0),"",IF(COUNTIF($A$2:A1187,$A1187)=1,ROW(MauKoXoa!$C$108),$B1186+1))</f>
        <v/>
      </c>
      <c r="C1187" s="992" t="str">
        <f t="shared" ca="1" si="165"/>
        <v/>
      </c>
      <c r="D1187" s="993" t="str">
        <f t="shared" ca="1" si="166"/>
        <v/>
      </c>
      <c r="E1187" s="993" t="str">
        <f t="shared" ca="1" si="167"/>
        <v/>
      </c>
      <c r="F1187" s="992" t="str">
        <f t="shared" ca="1" si="184"/>
        <v/>
      </c>
      <c r="G1187" s="994">
        <f t="shared" ca="1" si="168"/>
        <v>0</v>
      </c>
      <c r="H1187" s="913">
        <f t="shared" ca="1" si="169"/>
        <v>0</v>
      </c>
      <c r="I1187" s="913">
        <f t="shared" ca="1" si="170"/>
        <v>0</v>
      </c>
      <c r="J1187" s="995">
        <f t="shared" ca="1" si="185"/>
        <v>0</v>
      </c>
      <c r="K1187" s="913">
        <f t="shared" ca="1" si="171"/>
        <v>0</v>
      </c>
      <c r="L1187" s="995">
        <f t="shared" ca="1" si="186"/>
        <v>0</v>
      </c>
      <c r="M1187" s="913">
        <f t="shared" ca="1" si="172"/>
        <v>0</v>
      </c>
      <c r="N1187" s="996">
        <f t="shared" ca="1" si="173"/>
        <v>0</v>
      </c>
      <c r="O1187" s="997">
        <f t="shared" ca="1" si="174"/>
        <v>0</v>
      </c>
      <c r="P1187" s="1015" t="str">
        <f ca="1">IF($C1187="","",INDEX(NVLSX!$N$2:$N$6941,MATCH($C1187,NVLSX!$E$2:$E$6941,0)))</f>
        <v/>
      </c>
      <c r="Q1187" s="1016" t="str">
        <f ca="1">IF($R1187="","",IF(XKNVLSX!$X$1="",IF($P1187=$V$7,$P1187, IF(COUNTIFS($C$2:$C1186,$C1187,$E$2:$E1186,$E1187)&gt;=1,"",$P1187)),     IF(AND(IFERROR(SEARCH($R1187,XKNVLSX!$X$1,1),0)&gt;=1,$P1187=$V$7),$P1187, IF(OR($R1187&lt;&gt;IF(IFERROR(SEARCH($R1187,XKNVLSX!$X$1,1),0)&gt;=1,$R1187,XKNVLSX!$X$1),COUNTIFS($C$2:$C1186,$C1187,$E$2:$E1186,$E1187,$Q$2:$Q1186,$P1187)&gt;=1),"",$P1187))))</f>
        <v/>
      </c>
      <c r="R1187" s="1017" t="str">
        <f ca="1">IF($A1187="","",IFERROR(INDEX(TinhGia!$BF$10:$BF$81,MATCH($A1187,TinhGia!$B$10:$B$81,0)),""))</f>
        <v/>
      </c>
      <c r="S1187" s="1012" t="str">
        <f ca="1">IF($A1187="","",IF(OR(IFERROR(SEARCH($R1187,XKNVLSX!$X$1,1),0)&gt;=1,XKNVLSX!$X$1=""),$S$2,""))</f>
        <v/>
      </c>
      <c r="T1187" s="1018" t="str">
        <f ca="1">IF($C1187="","", IF(OR($P1187=$V$1,$P1187=$V$7,COUNTIFS($C$3:$C1187,$C1187,$E$3:$E1187,$E1187)&lt;=1),$P1187,""    ))</f>
        <v/>
      </c>
      <c r="U1187" s="1019" t="str">
        <f ca="1">IF(AND($P1187=$V$2,COUNTIFS($C$3:$C1187,$C1187,$E$3:$E1187,$E1187,$G$3:$G1187,$G1187)&lt;=1),$P1187,"")</f>
        <v/>
      </c>
    </row>
    <row r="1188" spans="1:21">
      <c r="A1188" s="991" t="str">
        <f ca="1">IFERROR(IF(COUNTIF($A$3:A1187,A1187)&lt; INDEX(TinhGia!$BH$10:$BH$81,MATCH($A1187,TinhGia!$B$10:$B$81,0)),$A1187,INDEX(TinhGia!$B$10:$B$81,MATCH($A1187,TinhGia!$B$10:$B$81,0)+1)),"")</f>
        <v/>
      </c>
      <c r="B1188" s="525" t="str">
        <f ca="1">IF(OR(A1188="",A1188=0),"",IF(COUNTIF($A$2:A1188,$A1188)=1,ROW(MauKoXoa!$C$108),$B1187+1))</f>
        <v/>
      </c>
      <c r="C1188" s="992" t="str">
        <f t="shared" ca="1" si="165"/>
        <v/>
      </c>
      <c r="D1188" s="993" t="str">
        <f t="shared" ca="1" si="166"/>
        <v/>
      </c>
      <c r="E1188" s="993" t="str">
        <f t="shared" ca="1" si="167"/>
        <v/>
      </c>
      <c r="F1188" s="992" t="str">
        <f t="shared" ca="1" si="184"/>
        <v/>
      </c>
      <c r="G1188" s="994">
        <f t="shared" ca="1" si="168"/>
        <v>0</v>
      </c>
      <c r="H1188" s="913">
        <f t="shared" ca="1" si="169"/>
        <v>0</v>
      </c>
      <c r="I1188" s="913">
        <f t="shared" ca="1" si="170"/>
        <v>0</v>
      </c>
      <c r="J1188" s="995">
        <f t="shared" ca="1" si="185"/>
        <v>0</v>
      </c>
      <c r="K1188" s="913">
        <f t="shared" ca="1" si="171"/>
        <v>0</v>
      </c>
      <c r="L1188" s="995">
        <f t="shared" ca="1" si="186"/>
        <v>0</v>
      </c>
      <c r="M1188" s="913">
        <f t="shared" ca="1" si="172"/>
        <v>0</v>
      </c>
      <c r="N1188" s="996">
        <f t="shared" ca="1" si="173"/>
        <v>0</v>
      </c>
      <c r="O1188" s="997">
        <f t="shared" ca="1" si="174"/>
        <v>0</v>
      </c>
      <c r="P1188" s="1015" t="str">
        <f ca="1">IF($C1188="","",INDEX(NVLSX!$N$2:$N$6941,MATCH($C1188,NVLSX!$E$2:$E$6941,0)))</f>
        <v/>
      </c>
      <c r="Q1188" s="1016" t="str">
        <f ca="1">IF($R1188="","",IF(XKNVLSX!$X$1="",IF($P1188=$V$7,$P1188, IF(COUNTIFS($C$2:$C1187,$C1188,$E$2:$E1187,$E1188)&gt;=1,"",$P1188)),     IF(AND(IFERROR(SEARCH($R1188,XKNVLSX!$X$1,1),0)&gt;=1,$P1188=$V$7),$P1188, IF(OR($R1188&lt;&gt;IF(IFERROR(SEARCH($R1188,XKNVLSX!$X$1,1),0)&gt;=1,$R1188,XKNVLSX!$X$1),COUNTIFS($C$2:$C1187,$C1188,$E$2:$E1187,$E1188,$Q$2:$Q1187,$P1188)&gt;=1),"",$P1188))))</f>
        <v/>
      </c>
      <c r="R1188" s="1017" t="str">
        <f ca="1">IF($A1188="","",IFERROR(INDEX(TinhGia!$BF$10:$BF$81,MATCH($A1188,TinhGia!$B$10:$B$81,0)),""))</f>
        <v/>
      </c>
      <c r="S1188" s="1012" t="str">
        <f ca="1">IF($A1188="","",IF(OR(IFERROR(SEARCH($R1188,XKNVLSX!$X$1,1),0)&gt;=1,XKNVLSX!$X$1=""),$S$2,""))</f>
        <v/>
      </c>
      <c r="T1188" s="1018" t="str">
        <f ca="1">IF($C1188="","", IF(OR($P1188=$V$1,$P1188=$V$7,COUNTIFS($C$3:$C1188,$C1188,$E$3:$E1188,$E1188)&lt;=1),$P1188,""    ))</f>
        <v/>
      </c>
      <c r="U1188" s="1019" t="str">
        <f ca="1">IF(AND($P1188=$V$2,COUNTIFS($C$3:$C1188,$C1188,$E$3:$E1188,$E1188,$G$3:$G1188,$G1188)&lt;=1),$P1188,"")</f>
        <v/>
      </c>
    </row>
    <row r="1189" spans="1:21">
      <c r="A1189" s="991" t="str">
        <f ca="1">IFERROR(IF(COUNTIF($A$3:A1188,A1188)&lt; INDEX(TinhGia!$BH$10:$BH$81,MATCH($A1188,TinhGia!$B$10:$B$81,0)),$A1188,INDEX(TinhGia!$B$10:$B$81,MATCH($A1188,TinhGia!$B$10:$B$81,0)+1)),"")</f>
        <v/>
      </c>
      <c r="B1189" s="525" t="str">
        <f ca="1">IF(OR(A1189="",A1189=0),"",IF(COUNTIF($A$2:A1189,$A1189)=1,ROW(MauKoXoa!$C$108),$B1188+1))</f>
        <v/>
      </c>
      <c r="C1189" s="992" t="str">
        <f t="shared" ca="1" si="165"/>
        <v/>
      </c>
      <c r="D1189" s="993" t="str">
        <f t="shared" ca="1" si="166"/>
        <v/>
      </c>
      <c r="E1189" s="993" t="str">
        <f t="shared" ca="1" si="167"/>
        <v/>
      </c>
      <c r="F1189" s="992" t="str">
        <f t="shared" ca="1" si="184"/>
        <v/>
      </c>
      <c r="G1189" s="994">
        <f t="shared" ca="1" si="168"/>
        <v>0</v>
      </c>
      <c r="H1189" s="913">
        <f t="shared" ca="1" si="169"/>
        <v>0</v>
      </c>
      <c r="I1189" s="913">
        <f t="shared" ca="1" si="170"/>
        <v>0</v>
      </c>
      <c r="J1189" s="995">
        <f t="shared" ca="1" si="185"/>
        <v>0</v>
      </c>
      <c r="K1189" s="913">
        <f t="shared" ca="1" si="171"/>
        <v>0</v>
      </c>
      <c r="L1189" s="995">
        <f t="shared" ca="1" si="186"/>
        <v>0</v>
      </c>
      <c r="M1189" s="913">
        <f t="shared" ca="1" si="172"/>
        <v>0</v>
      </c>
      <c r="N1189" s="996">
        <f t="shared" ca="1" si="173"/>
        <v>0</v>
      </c>
      <c r="O1189" s="997">
        <f t="shared" ca="1" si="174"/>
        <v>0</v>
      </c>
      <c r="P1189" s="1015" t="str">
        <f ca="1">IF($C1189="","",INDEX(NVLSX!$N$2:$N$6941,MATCH($C1189,NVLSX!$E$2:$E$6941,0)))</f>
        <v/>
      </c>
      <c r="Q1189" s="1016" t="str">
        <f ca="1">IF($R1189="","",IF(XKNVLSX!$X$1="",IF($P1189=$V$7,$P1189, IF(COUNTIFS($C$2:$C1188,$C1189,$E$2:$E1188,$E1189)&gt;=1,"",$P1189)),     IF(AND(IFERROR(SEARCH($R1189,XKNVLSX!$X$1,1),0)&gt;=1,$P1189=$V$7),$P1189, IF(OR($R1189&lt;&gt;IF(IFERROR(SEARCH($R1189,XKNVLSX!$X$1,1),0)&gt;=1,$R1189,XKNVLSX!$X$1),COUNTIFS($C$2:$C1188,$C1189,$E$2:$E1188,$E1189,$Q$2:$Q1188,$P1189)&gt;=1),"",$P1189))))</f>
        <v/>
      </c>
      <c r="R1189" s="1017" t="str">
        <f ca="1">IF($A1189="","",IFERROR(INDEX(TinhGia!$BF$10:$BF$81,MATCH($A1189,TinhGia!$B$10:$B$81,0)),""))</f>
        <v/>
      </c>
      <c r="S1189" s="1012" t="str">
        <f ca="1">IF($A1189="","",IF(OR(IFERROR(SEARCH($R1189,XKNVLSX!$X$1,1),0)&gt;=1,XKNVLSX!$X$1=""),$S$2,""))</f>
        <v/>
      </c>
      <c r="T1189" s="1018" t="str">
        <f ca="1">IF($C1189="","", IF(OR($P1189=$V$1,$P1189=$V$7,COUNTIFS($C$3:$C1189,$C1189,$E$3:$E1189,$E1189)&lt;=1),$P1189,""    ))</f>
        <v/>
      </c>
      <c r="U1189" s="1019" t="str">
        <f ca="1">IF(AND($P1189=$V$2,COUNTIFS($C$3:$C1189,$C1189,$E$3:$E1189,$E1189,$G$3:$G1189,$G1189)&lt;=1),$P1189,"")</f>
        <v/>
      </c>
    </row>
    <row r="1190" spans="1:21">
      <c r="A1190" s="991" t="str">
        <f ca="1">IFERROR(IF(COUNTIF($A$3:A1189,A1189)&lt; INDEX(TinhGia!$BH$10:$BH$81,MATCH($A1189,TinhGia!$B$10:$B$81,0)),$A1189,INDEX(TinhGia!$B$10:$B$81,MATCH($A1189,TinhGia!$B$10:$B$81,0)+1)),"")</f>
        <v/>
      </c>
      <c r="B1190" s="525" t="str">
        <f ca="1">IF(OR(A1190="",A1190=0),"",IF(COUNTIF($A$2:A1190,$A1190)=1,ROW(MauKoXoa!$C$108),$B1189+1))</f>
        <v/>
      </c>
      <c r="C1190" s="992" t="str">
        <f t="shared" ca="1" si="165"/>
        <v/>
      </c>
      <c r="D1190" s="993" t="str">
        <f t="shared" ca="1" si="166"/>
        <v/>
      </c>
      <c r="E1190" s="993" t="str">
        <f t="shared" ca="1" si="167"/>
        <v/>
      </c>
      <c r="F1190" s="992" t="str">
        <f t="shared" ca="1" si="184"/>
        <v/>
      </c>
      <c r="G1190" s="994">
        <f t="shared" ca="1" si="168"/>
        <v>0</v>
      </c>
      <c r="H1190" s="913">
        <f t="shared" ca="1" si="169"/>
        <v>0</v>
      </c>
      <c r="I1190" s="913">
        <f t="shared" ca="1" si="170"/>
        <v>0</v>
      </c>
      <c r="J1190" s="995">
        <f t="shared" ca="1" si="185"/>
        <v>0</v>
      </c>
      <c r="K1190" s="913">
        <f t="shared" ca="1" si="171"/>
        <v>0</v>
      </c>
      <c r="L1190" s="995">
        <f t="shared" ca="1" si="186"/>
        <v>0</v>
      </c>
      <c r="M1190" s="913">
        <f t="shared" ca="1" si="172"/>
        <v>0</v>
      </c>
      <c r="N1190" s="996">
        <f t="shared" ca="1" si="173"/>
        <v>0</v>
      </c>
      <c r="O1190" s="997">
        <f t="shared" ca="1" si="174"/>
        <v>0</v>
      </c>
      <c r="P1190" s="1015" t="str">
        <f ca="1">IF($C1190="","",INDEX(NVLSX!$N$2:$N$6941,MATCH($C1190,NVLSX!$E$2:$E$6941,0)))</f>
        <v/>
      </c>
      <c r="Q1190" s="1016" t="str">
        <f ca="1">IF($R1190="","",IF(XKNVLSX!$X$1="",IF($P1190=$V$7,$P1190, IF(COUNTIFS($C$2:$C1189,$C1190,$E$2:$E1189,$E1190)&gt;=1,"",$P1190)),     IF(AND(IFERROR(SEARCH($R1190,XKNVLSX!$X$1,1),0)&gt;=1,$P1190=$V$7),$P1190, IF(OR($R1190&lt;&gt;IF(IFERROR(SEARCH($R1190,XKNVLSX!$X$1,1),0)&gt;=1,$R1190,XKNVLSX!$X$1),COUNTIFS($C$2:$C1189,$C1190,$E$2:$E1189,$E1190,$Q$2:$Q1189,$P1190)&gt;=1),"",$P1190))))</f>
        <v/>
      </c>
      <c r="R1190" s="1017" t="str">
        <f ca="1">IF($A1190="","",IFERROR(INDEX(TinhGia!$BF$10:$BF$81,MATCH($A1190,TinhGia!$B$10:$B$81,0)),""))</f>
        <v/>
      </c>
      <c r="S1190" s="1012" t="str">
        <f ca="1">IF($A1190="","",IF(OR(IFERROR(SEARCH($R1190,XKNVLSX!$X$1,1),0)&gt;=1,XKNVLSX!$X$1=""),$S$2,""))</f>
        <v/>
      </c>
      <c r="T1190" s="1018" t="str">
        <f ca="1">IF($C1190="","", IF(OR($P1190=$V$1,$P1190=$V$7,COUNTIFS($C$3:$C1190,$C1190,$E$3:$E1190,$E1190)&lt;=1),$P1190,""    ))</f>
        <v/>
      </c>
      <c r="U1190" s="1019" t="str">
        <f ca="1">IF(AND($P1190=$V$2,COUNTIFS($C$3:$C1190,$C1190,$E$3:$E1190,$E1190,$G$3:$G1190,$G1190)&lt;=1),$P1190,"")</f>
        <v/>
      </c>
    </row>
    <row r="1191" spans="1:21">
      <c r="A1191" s="991" t="str">
        <f ca="1">IFERROR(IF(COUNTIF($A$3:A1190,A1190)&lt; INDEX(TinhGia!$BH$10:$BH$81,MATCH($A1190,TinhGia!$B$10:$B$81,0)),$A1190,INDEX(TinhGia!$B$10:$B$81,MATCH($A1190,TinhGia!$B$10:$B$81,0)+1)),"")</f>
        <v/>
      </c>
      <c r="B1191" s="525" t="str">
        <f ca="1">IF(OR(A1191="",A1191=0),"",IF(COUNTIF($A$2:A1191,$A1191)=1,ROW(MauKoXoa!$C$108),$B1190+1))</f>
        <v/>
      </c>
      <c r="C1191" s="992" t="str">
        <f t="shared" ca="1" si="165"/>
        <v/>
      </c>
      <c r="D1191" s="993" t="str">
        <f t="shared" ca="1" si="166"/>
        <v/>
      </c>
      <c r="E1191" s="993" t="str">
        <f t="shared" ca="1" si="167"/>
        <v/>
      </c>
      <c r="F1191" s="992" t="str">
        <f t="shared" ca="1" si="184"/>
        <v/>
      </c>
      <c r="G1191" s="994">
        <f t="shared" ca="1" si="168"/>
        <v>0</v>
      </c>
      <c r="H1191" s="913">
        <f t="shared" ca="1" si="169"/>
        <v>0</v>
      </c>
      <c r="I1191" s="913">
        <f t="shared" ca="1" si="170"/>
        <v>0</v>
      </c>
      <c r="J1191" s="995">
        <f t="shared" ca="1" si="185"/>
        <v>0</v>
      </c>
      <c r="K1191" s="913">
        <f t="shared" ca="1" si="171"/>
        <v>0</v>
      </c>
      <c r="L1191" s="995">
        <f t="shared" ca="1" si="186"/>
        <v>0</v>
      </c>
      <c r="M1191" s="913">
        <f t="shared" ca="1" si="172"/>
        <v>0</v>
      </c>
      <c r="N1191" s="996">
        <f t="shared" ca="1" si="173"/>
        <v>0</v>
      </c>
      <c r="O1191" s="997">
        <f t="shared" ca="1" si="174"/>
        <v>0</v>
      </c>
      <c r="P1191" s="1015" t="str">
        <f ca="1">IF($C1191="","",INDEX(NVLSX!$N$2:$N$6941,MATCH($C1191,NVLSX!$E$2:$E$6941,0)))</f>
        <v/>
      </c>
      <c r="Q1191" s="1016" t="str">
        <f ca="1">IF($R1191="","",IF(XKNVLSX!$X$1="",IF($P1191=$V$7,$P1191, IF(COUNTIFS($C$2:$C1190,$C1191,$E$2:$E1190,$E1191)&gt;=1,"",$P1191)),     IF(AND(IFERROR(SEARCH($R1191,XKNVLSX!$X$1,1),0)&gt;=1,$P1191=$V$7),$P1191, IF(OR($R1191&lt;&gt;IF(IFERROR(SEARCH($R1191,XKNVLSX!$X$1,1),0)&gt;=1,$R1191,XKNVLSX!$X$1),COUNTIFS($C$2:$C1190,$C1191,$E$2:$E1190,$E1191,$Q$2:$Q1190,$P1191)&gt;=1),"",$P1191))))</f>
        <v/>
      </c>
      <c r="R1191" s="1017" t="str">
        <f ca="1">IF($A1191="","",IFERROR(INDEX(TinhGia!$BF$10:$BF$81,MATCH($A1191,TinhGia!$B$10:$B$81,0)),""))</f>
        <v/>
      </c>
      <c r="S1191" s="1012" t="str">
        <f ca="1">IF($A1191="","",IF(OR(IFERROR(SEARCH($R1191,XKNVLSX!$X$1,1),0)&gt;=1,XKNVLSX!$X$1=""),$S$2,""))</f>
        <v/>
      </c>
      <c r="T1191" s="1018" t="str">
        <f ca="1">IF($C1191="","", IF(OR($P1191=$V$1,$P1191=$V$7,COUNTIFS($C$3:$C1191,$C1191,$E$3:$E1191,$E1191)&lt;=1),$P1191,""    ))</f>
        <v/>
      </c>
      <c r="U1191" s="1019" t="str">
        <f ca="1">IF(AND($P1191=$V$2,COUNTIFS($C$3:$C1191,$C1191,$E$3:$E1191,$E1191,$G$3:$G1191,$G1191)&lt;=1),$P1191,"")</f>
        <v/>
      </c>
    </row>
    <row r="1192" spans="1:21">
      <c r="A1192" s="991" t="str">
        <f ca="1">IFERROR(IF(COUNTIF($A$3:A1191,A1191)&lt; INDEX(TinhGia!$BH$10:$BH$81,MATCH($A1191,TinhGia!$B$10:$B$81,0)),$A1191,INDEX(TinhGia!$B$10:$B$81,MATCH($A1191,TinhGia!$B$10:$B$81,0)+1)),"")</f>
        <v/>
      </c>
      <c r="B1192" s="525" t="str">
        <f ca="1">IF(OR(A1192="",A1192=0),"",IF(COUNTIF($A$2:A1192,$A1192)=1,ROW(MauKoXoa!$C$108),$B1191+1))</f>
        <v/>
      </c>
      <c r="C1192" s="992" t="str">
        <f t="shared" ca="1" si="165"/>
        <v/>
      </c>
      <c r="D1192" s="993" t="str">
        <f t="shared" ca="1" si="166"/>
        <v/>
      </c>
      <c r="E1192" s="993" t="str">
        <f t="shared" ca="1" si="167"/>
        <v/>
      </c>
      <c r="F1192" s="992" t="str">
        <f t="shared" ca="1" si="184"/>
        <v/>
      </c>
      <c r="G1192" s="994">
        <f t="shared" ca="1" si="168"/>
        <v>0</v>
      </c>
      <c r="H1192" s="913">
        <f t="shared" ca="1" si="169"/>
        <v>0</v>
      </c>
      <c r="I1192" s="913">
        <f t="shared" ca="1" si="170"/>
        <v>0</v>
      </c>
      <c r="J1192" s="995">
        <f t="shared" ca="1" si="185"/>
        <v>0</v>
      </c>
      <c r="K1192" s="913">
        <f t="shared" ca="1" si="171"/>
        <v>0</v>
      </c>
      <c r="L1192" s="995">
        <f t="shared" ca="1" si="186"/>
        <v>0</v>
      </c>
      <c r="M1192" s="913">
        <f t="shared" ca="1" si="172"/>
        <v>0</v>
      </c>
      <c r="N1192" s="996">
        <f t="shared" ca="1" si="173"/>
        <v>0</v>
      </c>
      <c r="O1192" s="997">
        <f t="shared" ca="1" si="174"/>
        <v>0</v>
      </c>
      <c r="P1192" s="1015" t="str">
        <f ca="1">IF($C1192="","",INDEX(NVLSX!$N$2:$N$6941,MATCH($C1192,NVLSX!$E$2:$E$6941,0)))</f>
        <v/>
      </c>
      <c r="Q1192" s="1016" t="str">
        <f ca="1">IF($R1192="","",IF(XKNVLSX!$X$1="",IF($P1192=$V$7,$P1192, IF(COUNTIFS($C$2:$C1191,$C1192,$E$2:$E1191,$E1192)&gt;=1,"",$P1192)),     IF(AND(IFERROR(SEARCH($R1192,XKNVLSX!$X$1,1),0)&gt;=1,$P1192=$V$7),$P1192, IF(OR($R1192&lt;&gt;IF(IFERROR(SEARCH($R1192,XKNVLSX!$X$1,1),0)&gt;=1,$R1192,XKNVLSX!$X$1),COUNTIFS($C$2:$C1191,$C1192,$E$2:$E1191,$E1192,$Q$2:$Q1191,$P1192)&gt;=1),"",$P1192))))</f>
        <v/>
      </c>
      <c r="R1192" s="1017" t="str">
        <f ca="1">IF($A1192="","",IFERROR(INDEX(TinhGia!$BF$10:$BF$81,MATCH($A1192,TinhGia!$B$10:$B$81,0)),""))</f>
        <v/>
      </c>
      <c r="S1192" s="1012" t="str">
        <f ca="1">IF($A1192="","",IF(OR(IFERROR(SEARCH($R1192,XKNVLSX!$X$1,1),0)&gt;=1,XKNVLSX!$X$1=""),$S$2,""))</f>
        <v/>
      </c>
      <c r="T1192" s="1018" t="str">
        <f ca="1">IF($C1192="","", IF(OR($P1192=$V$1,$P1192=$V$7,COUNTIFS($C$3:$C1192,$C1192,$E$3:$E1192,$E1192)&lt;=1),$P1192,""    ))</f>
        <v/>
      </c>
      <c r="U1192" s="1019" t="str">
        <f ca="1">IF(AND($P1192=$V$2,COUNTIFS($C$3:$C1192,$C1192,$E$3:$E1192,$E1192,$G$3:$G1192,$G1192)&lt;=1),$P1192,"")</f>
        <v/>
      </c>
    </row>
    <row r="1193" spans="1:21">
      <c r="A1193" s="991" t="str">
        <f ca="1">IFERROR(IF(COUNTIF($A$3:A1192,A1192)&lt; INDEX(TinhGia!$BH$10:$BH$81,MATCH($A1192,TinhGia!$B$10:$B$81,0)),$A1192,INDEX(TinhGia!$B$10:$B$81,MATCH($A1192,TinhGia!$B$10:$B$81,0)+1)),"")</f>
        <v/>
      </c>
      <c r="B1193" s="525" t="str">
        <f ca="1">IF(OR(A1193="",A1193=0),"",IF(COUNTIF($A$2:A1193,$A1193)=1,ROW(MauKoXoa!$C$108),$B1192+1))</f>
        <v/>
      </c>
      <c r="C1193" s="992" t="str">
        <f t="shared" ca="1" si="165"/>
        <v/>
      </c>
      <c r="D1193" s="993" t="str">
        <f t="shared" ca="1" si="166"/>
        <v/>
      </c>
      <c r="E1193" s="993" t="str">
        <f t="shared" ca="1" si="167"/>
        <v/>
      </c>
      <c r="F1193" s="992" t="str">
        <f t="shared" ca="1" si="184"/>
        <v/>
      </c>
      <c r="G1193" s="994">
        <f t="shared" ca="1" si="168"/>
        <v>0</v>
      </c>
      <c r="H1193" s="913">
        <f t="shared" ca="1" si="169"/>
        <v>0</v>
      </c>
      <c r="I1193" s="913">
        <f t="shared" ca="1" si="170"/>
        <v>0</v>
      </c>
      <c r="J1193" s="995">
        <f t="shared" ca="1" si="185"/>
        <v>0</v>
      </c>
      <c r="K1193" s="913">
        <f t="shared" ca="1" si="171"/>
        <v>0</v>
      </c>
      <c r="L1193" s="995">
        <f t="shared" ca="1" si="186"/>
        <v>0</v>
      </c>
      <c r="M1193" s="913">
        <f t="shared" ca="1" si="172"/>
        <v>0</v>
      </c>
      <c r="N1193" s="996">
        <f t="shared" ca="1" si="173"/>
        <v>0</v>
      </c>
      <c r="O1193" s="997">
        <f t="shared" ca="1" si="174"/>
        <v>0</v>
      </c>
      <c r="P1193" s="1015" t="str">
        <f ca="1">IF($C1193="","",INDEX(NVLSX!$N$2:$N$6941,MATCH($C1193,NVLSX!$E$2:$E$6941,0)))</f>
        <v/>
      </c>
      <c r="Q1193" s="1016" t="str">
        <f ca="1">IF($R1193="","",IF(XKNVLSX!$X$1="",IF($P1193=$V$7,$P1193, IF(COUNTIFS($C$2:$C1192,$C1193,$E$2:$E1192,$E1193)&gt;=1,"",$P1193)),     IF(AND(IFERROR(SEARCH($R1193,XKNVLSX!$X$1,1),0)&gt;=1,$P1193=$V$7),$P1193, IF(OR($R1193&lt;&gt;IF(IFERROR(SEARCH($R1193,XKNVLSX!$X$1,1),0)&gt;=1,$R1193,XKNVLSX!$X$1),COUNTIFS($C$2:$C1192,$C1193,$E$2:$E1192,$E1193,$Q$2:$Q1192,$P1193)&gt;=1),"",$P1193))))</f>
        <v/>
      </c>
      <c r="R1193" s="1017" t="str">
        <f ca="1">IF($A1193="","",IFERROR(INDEX(TinhGia!$BF$10:$BF$81,MATCH($A1193,TinhGia!$B$10:$B$81,0)),""))</f>
        <v/>
      </c>
      <c r="S1193" s="1012" t="str">
        <f ca="1">IF($A1193="","",IF(OR(IFERROR(SEARCH($R1193,XKNVLSX!$X$1,1),0)&gt;=1,XKNVLSX!$X$1=""),$S$2,""))</f>
        <v/>
      </c>
      <c r="T1193" s="1018" t="str">
        <f ca="1">IF($C1193="","", IF(OR($P1193=$V$1,$P1193=$V$7,COUNTIFS($C$3:$C1193,$C1193,$E$3:$E1193,$E1193)&lt;=1),$P1193,""    ))</f>
        <v/>
      </c>
      <c r="U1193" s="1019" t="str">
        <f ca="1">IF(AND($P1193=$V$2,COUNTIFS($C$3:$C1193,$C1193,$E$3:$E1193,$E1193,$G$3:$G1193,$G1193)&lt;=1),$P1193,"")</f>
        <v/>
      </c>
    </row>
    <row r="1194" spans="1:21">
      <c r="A1194" s="991" t="str">
        <f ca="1">IFERROR(IF(COUNTIF($A$3:A1193,A1193)&lt; INDEX(TinhGia!$BH$10:$BH$81,MATCH($A1193,TinhGia!$B$10:$B$81,0)),$A1193,INDEX(TinhGia!$B$10:$B$81,MATCH($A1193,TinhGia!$B$10:$B$81,0)+1)),"")</f>
        <v/>
      </c>
      <c r="B1194" s="525" t="str">
        <f ca="1">IF(OR(A1194="",A1194=0),"",IF(COUNTIF($A$2:A1194,$A1194)=1,ROW(MauKoXoa!$C$108),$B1193+1))</f>
        <v/>
      </c>
      <c r="C1194" s="992" t="str">
        <f t="shared" ca="1" si="165"/>
        <v/>
      </c>
      <c r="D1194" s="993" t="str">
        <f t="shared" ca="1" si="166"/>
        <v/>
      </c>
      <c r="E1194" s="993" t="str">
        <f t="shared" ca="1" si="167"/>
        <v/>
      </c>
      <c r="F1194" s="992" t="str">
        <f t="shared" ca="1" si="184"/>
        <v/>
      </c>
      <c r="G1194" s="994">
        <f t="shared" ca="1" si="168"/>
        <v>0</v>
      </c>
      <c r="H1194" s="913">
        <f t="shared" ca="1" si="169"/>
        <v>0</v>
      </c>
      <c r="I1194" s="913">
        <f t="shared" ca="1" si="170"/>
        <v>0</v>
      </c>
      <c r="J1194" s="995">
        <f t="shared" ca="1" si="185"/>
        <v>0</v>
      </c>
      <c r="K1194" s="913">
        <f t="shared" ca="1" si="171"/>
        <v>0</v>
      </c>
      <c r="L1194" s="995">
        <f t="shared" ca="1" si="186"/>
        <v>0</v>
      </c>
      <c r="M1194" s="913">
        <f t="shared" ca="1" si="172"/>
        <v>0</v>
      </c>
      <c r="N1194" s="996">
        <f t="shared" ca="1" si="173"/>
        <v>0</v>
      </c>
      <c r="O1194" s="997">
        <f t="shared" ca="1" si="174"/>
        <v>0</v>
      </c>
      <c r="P1194" s="1015" t="str">
        <f ca="1">IF($C1194="","",INDEX(NVLSX!$N$2:$N$6941,MATCH($C1194,NVLSX!$E$2:$E$6941,0)))</f>
        <v/>
      </c>
      <c r="Q1194" s="1016" t="str">
        <f ca="1">IF($R1194="","",IF(XKNVLSX!$X$1="",IF($P1194=$V$7,$P1194, IF(COUNTIFS($C$2:$C1193,$C1194,$E$2:$E1193,$E1194)&gt;=1,"",$P1194)),     IF(AND(IFERROR(SEARCH($R1194,XKNVLSX!$X$1,1),0)&gt;=1,$P1194=$V$7),$P1194, IF(OR($R1194&lt;&gt;IF(IFERROR(SEARCH($R1194,XKNVLSX!$X$1,1),0)&gt;=1,$R1194,XKNVLSX!$X$1),COUNTIFS($C$2:$C1193,$C1194,$E$2:$E1193,$E1194,$Q$2:$Q1193,$P1194)&gt;=1),"",$P1194))))</f>
        <v/>
      </c>
      <c r="R1194" s="1017" t="str">
        <f ca="1">IF($A1194="","",IFERROR(INDEX(TinhGia!$BF$10:$BF$81,MATCH($A1194,TinhGia!$B$10:$B$81,0)),""))</f>
        <v/>
      </c>
      <c r="S1194" s="1012" t="str">
        <f ca="1">IF($A1194="","",IF(OR(IFERROR(SEARCH($R1194,XKNVLSX!$X$1,1),0)&gt;=1,XKNVLSX!$X$1=""),$S$2,""))</f>
        <v/>
      </c>
      <c r="T1194" s="1018" t="str">
        <f ca="1">IF($C1194="","", IF(OR($P1194=$V$1,$P1194=$V$7,COUNTIFS($C$3:$C1194,$C1194,$E$3:$E1194,$E1194)&lt;=1),$P1194,""    ))</f>
        <v/>
      </c>
      <c r="U1194" s="1019" t="str">
        <f ca="1">IF(AND($P1194=$V$2,COUNTIFS($C$3:$C1194,$C1194,$E$3:$E1194,$E1194,$G$3:$G1194,$G1194)&lt;=1),$P1194,"")</f>
        <v/>
      </c>
    </row>
    <row r="1195" spans="1:21">
      <c r="A1195" s="991" t="str">
        <f ca="1">IFERROR(IF(COUNTIF($A$3:A1194,A1194)&lt; INDEX(TinhGia!$BH$10:$BH$81,MATCH($A1194,TinhGia!$B$10:$B$81,0)),$A1194,INDEX(TinhGia!$B$10:$B$81,MATCH($A1194,TinhGia!$B$10:$B$81,0)+1)),"")</f>
        <v/>
      </c>
      <c r="B1195" s="525" t="str">
        <f ca="1">IF(OR(A1195="",A1195=0),"",IF(COUNTIF($A$2:A1195,$A1195)=1,ROW(MauKoXoa!$C$108),$B1194+1))</f>
        <v/>
      </c>
      <c r="C1195" s="992" t="str">
        <f t="shared" ca="1" si="165"/>
        <v/>
      </c>
      <c r="D1195" s="993" t="str">
        <f t="shared" ca="1" si="166"/>
        <v/>
      </c>
      <c r="E1195" s="993" t="str">
        <f t="shared" ca="1" si="167"/>
        <v/>
      </c>
      <c r="F1195" s="992" t="str">
        <f t="shared" ca="1" si="184"/>
        <v/>
      </c>
      <c r="G1195" s="994">
        <f t="shared" ca="1" si="168"/>
        <v>0</v>
      </c>
      <c r="H1195" s="913">
        <f t="shared" ca="1" si="169"/>
        <v>0</v>
      </c>
      <c r="I1195" s="913">
        <f t="shared" ca="1" si="170"/>
        <v>0</v>
      </c>
      <c r="J1195" s="995">
        <f t="shared" ca="1" si="185"/>
        <v>0</v>
      </c>
      <c r="K1195" s="913">
        <f t="shared" ca="1" si="171"/>
        <v>0</v>
      </c>
      <c r="L1195" s="995">
        <f t="shared" ca="1" si="186"/>
        <v>0</v>
      </c>
      <c r="M1195" s="913">
        <f t="shared" ca="1" si="172"/>
        <v>0</v>
      </c>
      <c r="N1195" s="996">
        <f t="shared" ca="1" si="173"/>
        <v>0</v>
      </c>
      <c r="O1195" s="997">
        <f t="shared" ca="1" si="174"/>
        <v>0</v>
      </c>
      <c r="P1195" s="1015" t="str">
        <f ca="1">IF($C1195="","",INDEX(NVLSX!$N$2:$N$6941,MATCH($C1195,NVLSX!$E$2:$E$6941,0)))</f>
        <v/>
      </c>
      <c r="Q1195" s="1016" t="str">
        <f ca="1">IF($R1195="","",IF(XKNVLSX!$X$1="",IF($P1195=$V$7,$P1195, IF(COUNTIFS($C$2:$C1194,$C1195,$E$2:$E1194,$E1195)&gt;=1,"",$P1195)),     IF(AND(IFERROR(SEARCH($R1195,XKNVLSX!$X$1,1),0)&gt;=1,$P1195=$V$7),$P1195, IF(OR($R1195&lt;&gt;IF(IFERROR(SEARCH($R1195,XKNVLSX!$X$1,1),0)&gt;=1,$R1195,XKNVLSX!$X$1),COUNTIFS($C$2:$C1194,$C1195,$E$2:$E1194,$E1195,$Q$2:$Q1194,$P1195)&gt;=1),"",$P1195))))</f>
        <v/>
      </c>
      <c r="R1195" s="1017" t="str">
        <f ca="1">IF($A1195="","",IFERROR(INDEX(TinhGia!$BF$10:$BF$81,MATCH($A1195,TinhGia!$B$10:$B$81,0)),""))</f>
        <v/>
      </c>
      <c r="S1195" s="1012" t="str">
        <f ca="1">IF($A1195="","",IF(OR(IFERROR(SEARCH($R1195,XKNVLSX!$X$1,1),0)&gt;=1,XKNVLSX!$X$1=""),$S$2,""))</f>
        <v/>
      </c>
      <c r="T1195" s="1018" t="str">
        <f ca="1">IF($C1195="","", IF(OR($P1195=$V$1,$P1195=$V$7,COUNTIFS($C$3:$C1195,$C1195,$E$3:$E1195,$E1195)&lt;=1),$P1195,""    ))</f>
        <v/>
      </c>
      <c r="U1195" s="1019" t="str">
        <f ca="1">IF(AND($P1195=$V$2,COUNTIFS($C$3:$C1195,$C1195,$E$3:$E1195,$E1195,$G$3:$G1195,$G1195)&lt;=1),$P1195,"")</f>
        <v/>
      </c>
    </row>
    <row r="1196" spans="1:21">
      <c r="A1196" s="991" t="str">
        <f ca="1">IFERROR(IF(COUNTIF($A$3:A1195,A1195)&lt; INDEX(TinhGia!$BH$10:$BH$81,MATCH($A1195,TinhGia!$B$10:$B$81,0)),$A1195,INDEX(TinhGia!$B$10:$B$81,MATCH($A1195,TinhGia!$B$10:$B$81,0)+1)),"")</f>
        <v/>
      </c>
      <c r="B1196" s="525" t="str">
        <f ca="1">IF(OR(A1196="",A1196=0),"",IF(COUNTIF($A$2:A1196,$A1196)=1,ROW(MauKoXoa!$C$108),$B1195+1))</f>
        <v/>
      </c>
      <c r="C1196" s="992" t="str">
        <f t="shared" ca="1" si="165"/>
        <v/>
      </c>
      <c r="D1196" s="993" t="str">
        <f t="shared" ca="1" si="166"/>
        <v/>
      </c>
      <c r="E1196" s="993" t="str">
        <f t="shared" ca="1" si="167"/>
        <v/>
      </c>
      <c r="F1196" s="992" t="str">
        <f t="shared" ca="1" si="184"/>
        <v/>
      </c>
      <c r="G1196" s="994">
        <f t="shared" ca="1" si="168"/>
        <v>0</v>
      </c>
      <c r="H1196" s="913">
        <f t="shared" ca="1" si="169"/>
        <v>0</v>
      </c>
      <c r="I1196" s="913">
        <f t="shared" ca="1" si="170"/>
        <v>0</v>
      </c>
      <c r="J1196" s="995">
        <f t="shared" ca="1" si="185"/>
        <v>0</v>
      </c>
      <c r="K1196" s="913">
        <f t="shared" ca="1" si="171"/>
        <v>0</v>
      </c>
      <c r="L1196" s="995">
        <f t="shared" ca="1" si="186"/>
        <v>0</v>
      </c>
      <c r="M1196" s="913">
        <f t="shared" ca="1" si="172"/>
        <v>0</v>
      </c>
      <c r="N1196" s="996">
        <f t="shared" ca="1" si="173"/>
        <v>0</v>
      </c>
      <c r="O1196" s="997">
        <f t="shared" ca="1" si="174"/>
        <v>0</v>
      </c>
      <c r="P1196" s="1015" t="str">
        <f ca="1">IF($C1196="","",INDEX(NVLSX!$N$2:$N$6941,MATCH($C1196,NVLSX!$E$2:$E$6941,0)))</f>
        <v/>
      </c>
      <c r="Q1196" s="1016" t="str">
        <f ca="1">IF($R1196="","",IF(XKNVLSX!$X$1="",IF($P1196=$V$7,$P1196, IF(COUNTIFS($C$2:$C1195,$C1196,$E$2:$E1195,$E1196)&gt;=1,"",$P1196)),     IF(AND(IFERROR(SEARCH($R1196,XKNVLSX!$X$1,1),0)&gt;=1,$P1196=$V$7),$P1196, IF(OR($R1196&lt;&gt;IF(IFERROR(SEARCH($R1196,XKNVLSX!$X$1,1),0)&gt;=1,$R1196,XKNVLSX!$X$1),COUNTIFS($C$2:$C1195,$C1196,$E$2:$E1195,$E1196,$Q$2:$Q1195,$P1196)&gt;=1),"",$P1196))))</f>
        <v/>
      </c>
      <c r="R1196" s="1017" t="str">
        <f ca="1">IF($A1196="","",IFERROR(INDEX(TinhGia!$BF$10:$BF$81,MATCH($A1196,TinhGia!$B$10:$B$81,0)),""))</f>
        <v/>
      </c>
      <c r="S1196" s="1012" t="str">
        <f ca="1">IF($A1196="","",IF(OR(IFERROR(SEARCH($R1196,XKNVLSX!$X$1,1),0)&gt;=1,XKNVLSX!$X$1=""),$S$2,""))</f>
        <v/>
      </c>
      <c r="T1196" s="1018" t="str">
        <f ca="1">IF($C1196="","", IF(OR($P1196=$V$1,$P1196=$V$7,COUNTIFS($C$3:$C1196,$C1196,$E$3:$E1196,$E1196)&lt;=1),$P1196,""    ))</f>
        <v/>
      </c>
      <c r="U1196" s="1019" t="str">
        <f ca="1">IF(AND($P1196=$V$2,COUNTIFS($C$3:$C1196,$C1196,$E$3:$E1196,$E1196,$G$3:$G1196,$G1196)&lt;=1),$P1196,"")</f>
        <v/>
      </c>
    </row>
    <row r="1197" spans="1:21">
      <c r="A1197" s="991" t="str">
        <f ca="1">IFERROR(IF(COUNTIF($A$3:A1196,A1196)&lt; INDEX(TinhGia!$BH$10:$BH$81,MATCH($A1196,TinhGia!$B$10:$B$81,0)),$A1196,INDEX(TinhGia!$B$10:$B$81,MATCH($A1196,TinhGia!$B$10:$B$81,0)+1)),"")</f>
        <v/>
      </c>
      <c r="B1197" s="525" t="str">
        <f ca="1">IF(OR(A1197="",A1197=0),"",IF(COUNTIF($A$2:A1197,$A1197)=1,ROW(MauKoXoa!$C$108),$B1196+1))</f>
        <v/>
      </c>
      <c r="C1197" s="992" t="str">
        <f t="shared" ca="1" si="165"/>
        <v/>
      </c>
      <c r="D1197" s="993" t="str">
        <f t="shared" ca="1" si="166"/>
        <v/>
      </c>
      <c r="E1197" s="993" t="str">
        <f t="shared" ca="1" si="167"/>
        <v/>
      </c>
      <c r="F1197" s="992" t="str">
        <f t="shared" ca="1" si="184"/>
        <v/>
      </c>
      <c r="G1197" s="994">
        <f t="shared" ca="1" si="168"/>
        <v>0</v>
      </c>
      <c r="H1197" s="913">
        <f t="shared" ca="1" si="169"/>
        <v>0</v>
      </c>
      <c r="I1197" s="913">
        <f t="shared" ca="1" si="170"/>
        <v>0</v>
      </c>
      <c r="J1197" s="995">
        <f t="shared" ca="1" si="185"/>
        <v>0</v>
      </c>
      <c r="K1197" s="913">
        <f t="shared" ca="1" si="171"/>
        <v>0</v>
      </c>
      <c r="L1197" s="995">
        <f t="shared" ca="1" si="186"/>
        <v>0</v>
      </c>
      <c r="M1197" s="913">
        <f t="shared" ca="1" si="172"/>
        <v>0</v>
      </c>
      <c r="N1197" s="996">
        <f t="shared" ca="1" si="173"/>
        <v>0</v>
      </c>
      <c r="O1197" s="997">
        <f t="shared" ca="1" si="174"/>
        <v>0</v>
      </c>
      <c r="P1197" s="1015" t="str">
        <f ca="1">IF($C1197="","",INDEX(NVLSX!$N$2:$N$6941,MATCH($C1197,NVLSX!$E$2:$E$6941,0)))</f>
        <v/>
      </c>
      <c r="Q1197" s="1016" t="str">
        <f ca="1">IF($R1197="","",IF(XKNVLSX!$X$1="",IF($P1197=$V$7,$P1197, IF(COUNTIFS($C$2:$C1196,$C1197,$E$2:$E1196,$E1197)&gt;=1,"",$P1197)),     IF(AND(IFERROR(SEARCH($R1197,XKNVLSX!$X$1,1),0)&gt;=1,$P1197=$V$7),$P1197, IF(OR($R1197&lt;&gt;IF(IFERROR(SEARCH($R1197,XKNVLSX!$X$1,1),0)&gt;=1,$R1197,XKNVLSX!$X$1),COUNTIFS($C$2:$C1196,$C1197,$E$2:$E1196,$E1197,$Q$2:$Q1196,$P1197)&gt;=1),"",$P1197))))</f>
        <v/>
      </c>
      <c r="R1197" s="1017" t="str">
        <f ca="1">IF($A1197="","",IFERROR(INDEX(TinhGia!$BF$10:$BF$81,MATCH($A1197,TinhGia!$B$10:$B$81,0)),""))</f>
        <v/>
      </c>
      <c r="S1197" s="1012" t="str">
        <f ca="1">IF($A1197="","",IF(OR(IFERROR(SEARCH($R1197,XKNVLSX!$X$1,1),0)&gt;=1,XKNVLSX!$X$1=""),$S$2,""))</f>
        <v/>
      </c>
      <c r="T1197" s="1018" t="str">
        <f ca="1">IF($C1197="","", IF(OR($P1197=$V$1,$P1197=$V$7,COUNTIFS($C$3:$C1197,$C1197,$E$3:$E1197,$E1197)&lt;=1),$P1197,""    ))</f>
        <v/>
      </c>
      <c r="U1197" s="1019" t="str">
        <f ca="1">IF(AND($P1197=$V$2,COUNTIFS($C$3:$C1197,$C1197,$E$3:$E1197,$E1197,$G$3:$G1197,$G1197)&lt;=1),$P1197,"")</f>
        <v/>
      </c>
    </row>
    <row r="1198" spans="1:21">
      <c r="A1198" s="991" t="str">
        <f ca="1">IFERROR(IF(COUNTIF($A$3:A1197,A1197)&lt; INDEX(TinhGia!$BH$10:$BH$81,MATCH($A1197,TinhGia!$B$10:$B$81,0)),$A1197,INDEX(TinhGia!$B$10:$B$81,MATCH($A1197,TinhGia!$B$10:$B$81,0)+1)),"")</f>
        <v/>
      </c>
      <c r="B1198" s="525" t="str">
        <f ca="1">IF(OR(A1198="",A1198=0),"",IF(COUNTIF($A$2:A1198,$A1198)=1,ROW(MauKoXoa!$C$108),$B1197+1))</f>
        <v/>
      </c>
      <c r="C1198" s="992" t="str">
        <f t="shared" ca="1" si="165"/>
        <v/>
      </c>
      <c r="D1198" s="993" t="str">
        <f t="shared" ca="1" si="166"/>
        <v/>
      </c>
      <c r="E1198" s="993" t="str">
        <f t="shared" ca="1" si="167"/>
        <v/>
      </c>
      <c r="F1198" s="992" t="str">
        <f t="shared" ca="1" si="184"/>
        <v/>
      </c>
      <c r="G1198" s="994">
        <f t="shared" ca="1" si="168"/>
        <v>0</v>
      </c>
      <c r="H1198" s="913">
        <f t="shared" ca="1" si="169"/>
        <v>0</v>
      </c>
      <c r="I1198" s="913">
        <f t="shared" ca="1" si="170"/>
        <v>0</v>
      </c>
      <c r="J1198" s="995">
        <f t="shared" ca="1" si="185"/>
        <v>0</v>
      </c>
      <c r="K1198" s="913">
        <f t="shared" ca="1" si="171"/>
        <v>0</v>
      </c>
      <c r="L1198" s="995">
        <f t="shared" ca="1" si="186"/>
        <v>0</v>
      </c>
      <c r="M1198" s="913">
        <f t="shared" ca="1" si="172"/>
        <v>0</v>
      </c>
      <c r="N1198" s="996">
        <f t="shared" ca="1" si="173"/>
        <v>0</v>
      </c>
      <c r="O1198" s="997">
        <f t="shared" ca="1" si="174"/>
        <v>0</v>
      </c>
      <c r="P1198" s="1015" t="str">
        <f ca="1">IF($C1198="","",INDEX(NVLSX!$N$2:$N$6941,MATCH($C1198,NVLSX!$E$2:$E$6941,0)))</f>
        <v/>
      </c>
      <c r="Q1198" s="1016" t="str">
        <f ca="1">IF($R1198="","",IF(XKNVLSX!$X$1="",IF($P1198=$V$7,$P1198, IF(COUNTIFS($C$2:$C1197,$C1198,$E$2:$E1197,$E1198)&gt;=1,"",$P1198)),     IF(AND(IFERROR(SEARCH($R1198,XKNVLSX!$X$1,1),0)&gt;=1,$P1198=$V$7),$P1198, IF(OR($R1198&lt;&gt;IF(IFERROR(SEARCH($R1198,XKNVLSX!$X$1,1),0)&gt;=1,$R1198,XKNVLSX!$X$1),COUNTIFS($C$2:$C1197,$C1198,$E$2:$E1197,$E1198,$Q$2:$Q1197,$P1198)&gt;=1),"",$P1198))))</f>
        <v/>
      </c>
      <c r="R1198" s="1017" t="str">
        <f ca="1">IF($A1198="","",IFERROR(INDEX(TinhGia!$BF$10:$BF$81,MATCH($A1198,TinhGia!$B$10:$B$81,0)),""))</f>
        <v/>
      </c>
      <c r="S1198" s="1012" t="str">
        <f ca="1">IF($A1198="","",IF(OR(IFERROR(SEARCH($R1198,XKNVLSX!$X$1,1),0)&gt;=1,XKNVLSX!$X$1=""),$S$2,""))</f>
        <v/>
      </c>
      <c r="T1198" s="1018" t="str">
        <f ca="1">IF($C1198="","", IF(OR($P1198=$V$1,$P1198=$V$7,COUNTIFS($C$3:$C1198,$C1198,$E$3:$E1198,$E1198)&lt;=1),$P1198,""    ))</f>
        <v/>
      </c>
      <c r="U1198" s="1019" t="str">
        <f ca="1">IF(AND($P1198=$V$2,COUNTIFS($C$3:$C1198,$C1198,$E$3:$E1198,$E1198,$G$3:$G1198,$G1198)&lt;=1),$P1198,"")</f>
        <v/>
      </c>
    </row>
    <row r="1199" spans="1:21">
      <c r="A1199" s="991" t="str">
        <f ca="1">IFERROR(IF(COUNTIF($A$3:A1198,A1198)&lt; INDEX(TinhGia!$BH$10:$BH$81,MATCH($A1198,TinhGia!$B$10:$B$81,0)),$A1198,INDEX(TinhGia!$B$10:$B$81,MATCH($A1198,TinhGia!$B$10:$B$81,0)+1)),"")</f>
        <v/>
      </c>
      <c r="B1199" s="525" t="str">
        <f ca="1">IF(OR(A1199="",A1199=0),"",IF(COUNTIF($A$2:A1199,$A1199)=1,ROW(MauKoXoa!$C$108),$B1198+1))</f>
        <v/>
      </c>
      <c r="C1199" s="992" t="str">
        <f t="shared" ca="1" si="165"/>
        <v/>
      </c>
      <c r="D1199" s="993" t="str">
        <f t="shared" ca="1" si="166"/>
        <v/>
      </c>
      <c r="E1199" s="993" t="str">
        <f t="shared" ca="1" si="167"/>
        <v/>
      </c>
      <c r="F1199" s="992" t="str">
        <f t="shared" ca="1" si="184"/>
        <v/>
      </c>
      <c r="G1199" s="994">
        <f t="shared" ca="1" si="168"/>
        <v>0</v>
      </c>
      <c r="H1199" s="913">
        <f t="shared" ca="1" si="169"/>
        <v>0</v>
      </c>
      <c r="I1199" s="913">
        <f t="shared" ca="1" si="170"/>
        <v>0</v>
      </c>
      <c r="J1199" s="995">
        <f t="shared" ca="1" si="185"/>
        <v>0</v>
      </c>
      <c r="K1199" s="913">
        <f t="shared" ca="1" si="171"/>
        <v>0</v>
      </c>
      <c r="L1199" s="995">
        <f t="shared" ca="1" si="186"/>
        <v>0</v>
      </c>
      <c r="M1199" s="913">
        <f t="shared" ca="1" si="172"/>
        <v>0</v>
      </c>
      <c r="N1199" s="996">
        <f t="shared" ca="1" si="173"/>
        <v>0</v>
      </c>
      <c r="O1199" s="997">
        <f t="shared" ca="1" si="174"/>
        <v>0</v>
      </c>
      <c r="P1199" s="1015" t="str">
        <f ca="1">IF($C1199="","",INDEX(NVLSX!$N$2:$N$6941,MATCH($C1199,NVLSX!$E$2:$E$6941,0)))</f>
        <v/>
      </c>
      <c r="Q1199" s="1016" t="str">
        <f ca="1">IF($R1199="","",IF(XKNVLSX!$X$1="",IF($P1199=$V$7,$P1199, IF(COUNTIFS($C$2:$C1198,$C1199,$E$2:$E1198,$E1199)&gt;=1,"",$P1199)),     IF(AND(IFERROR(SEARCH($R1199,XKNVLSX!$X$1,1),0)&gt;=1,$P1199=$V$7),$P1199, IF(OR($R1199&lt;&gt;IF(IFERROR(SEARCH($R1199,XKNVLSX!$X$1,1),0)&gt;=1,$R1199,XKNVLSX!$X$1),COUNTIFS($C$2:$C1198,$C1199,$E$2:$E1198,$E1199,$Q$2:$Q1198,$P1199)&gt;=1),"",$P1199))))</f>
        <v/>
      </c>
      <c r="R1199" s="1017" t="str">
        <f ca="1">IF($A1199="","",IFERROR(INDEX(TinhGia!$BF$10:$BF$81,MATCH($A1199,TinhGia!$B$10:$B$81,0)),""))</f>
        <v/>
      </c>
      <c r="S1199" s="1012" t="str">
        <f ca="1">IF($A1199="","",IF(OR(IFERROR(SEARCH($R1199,XKNVLSX!$X$1,1),0)&gt;=1,XKNVLSX!$X$1=""),$S$2,""))</f>
        <v/>
      </c>
      <c r="T1199" s="1018" t="str">
        <f ca="1">IF($C1199="","", IF(OR($P1199=$V$1,$P1199=$V$7,COUNTIFS($C$3:$C1199,$C1199,$E$3:$E1199,$E1199)&lt;=1),$P1199,""    ))</f>
        <v/>
      </c>
      <c r="U1199" s="1019" t="str">
        <f ca="1">IF(AND($P1199=$V$2,COUNTIFS($C$3:$C1199,$C1199,$E$3:$E1199,$E1199,$G$3:$G1199,$G1199)&lt;=1),$P1199,"")</f>
        <v/>
      </c>
    </row>
    <row r="1200" spans="1:21">
      <c r="A1200" s="991" t="str">
        <f ca="1">IFERROR(IF(COUNTIF($A$3:A1199,A1199)&lt; INDEX(TinhGia!$BH$10:$BH$81,MATCH($A1199,TinhGia!$B$10:$B$81,0)),$A1199,INDEX(TinhGia!$B$10:$B$81,MATCH($A1199,TinhGia!$B$10:$B$81,0)+1)),"")</f>
        <v/>
      </c>
      <c r="B1200" s="525" t="str">
        <f ca="1">IF(OR(A1200="",A1200=0),"",IF(COUNTIF($A$2:A1200,$A1200)=1,ROW(MauKoXoa!$C$108),$B1199+1))</f>
        <v/>
      </c>
      <c r="C1200" s="992" t="str">
        <f t="shared" ca="1" si="165"/>
        <v/>
      </c>
      <c r="D1200" s="993" t="str">
        <f t="shared" ca="1" si="166"/>
        <v/>
      </c>
      <c r="E1200" s="993" t="str">
        <f t="shared" ca="1" si="167"/>
        <v/>
      </c>
      <c r="F1200" s="992" t="str">
        <f t="shared" ca="1" si="184"/>
        <v/>
      </c>
      <c r="G1200" s="994">
        <f t="shared" ca="1" si="168"/>
        <v>0</v>
      </c>
      <c r="H1200" s="913">
        <f t="shared" ca="1" si="169"/>
        <v>0</v>
      </c>
      <c r="I1200" s="913">
        <f t="shared" ca="1" si="170"/>
        <v>0</v>
      </c>
      <c r="J1200" s="995">
        <f t="shared" ca="1" si="185"/>
        <v>0</v>
      </c>
      <c r="K1200" s="913">
        <f t="shared" ca="1" si="171"/>
        <v>0</v>
      </c>
      <c r="L1200" s="995">
        <f t="shared" ca="1" si="186"/>
        <v>0</v>
      </c>
      <c r="M1200" s="913">
        <f t="shared" ca="1" si="172"/>
        <v>0</v>
      </c>
      <c r="N1200" s="996">
        <f t="shared" ca="1" si="173"/>
        <v>0</v>
      </c>
      <c r="O1200" s="997">
        <f t="shared" ca="1" si="174"/>
        <v>0</v>
      </c>
      <c r="P1200" s="1015" t="str">
        <f ca="1">IF($C1200="","",INDEX(NVLSX!$N$2:$N$6941,MATCH($C1200,NVLSX!$E$2:$E$6941,0)))</f>
        <v/>
      </c>
      <c r="Q1200" s="1016" t="str">
        <f ca="1">IF($R1200="","",IF(XKNVLSX!$X$1="",IF($P1200=$V$7,$P1200, IF(COUNTIFS($C$2:$C1199,$C1200,$E$2:$E1199,$E1200)&gt;=1,"",$P1200)),     IF(AND(IFERROR(SEARCH($R1200,XKNVLSX!$X$1,1),0)&gt;=1,$P1200=$V$7),$P1200, IF(OR($R1200&lt;&gt;IF(IFERROR(SEARCH($R1200,XKNVLSX!$X$1,1),0)&gt;=1,$R1200,XKNVLSX!$X$1),COUNTIFS($C$2:$C1199,$C1200,$E$2:$E1199,$E1200,$Q$2:$Q1199,$P1200)&gt;=1),"",$P1200))))</f>
        <v/>
      </c>
      <c r="R1200" s="1017" t="str">
        <f ca="1">IF($A1200="","",IFERROR(INDEX(TinhGia!$BF$10:$BF$81,MATCH($A1200,TinhGia!$B$10:$B$81,0)),""))</f>
        <v/>
      </c>
      <c r="S1200" s="1012" t="str">
        <f ca="1">IF($A1200="","",IF(OR(IFERROR(SEARCH($R1200,XKNVLSX!$X$1,1),0)&gt;=1,XKNVLSX!$X$1=""),$S$2,""))</f>
        <v/>
      </c>
      <c r="T1200" s="1018" t="str">
        <f ca="1">IF($C1200="","", IF(OR($P1200=$V$1,$P1200=$V$7,COUNTIFS($C$3:$C1200,$C1200,$E$3:$E1200,$E1200)&lt;=1),$P1200,""    ))</f>
        <v/>
      </c>
      <c r="U1200" s="1019" t="str">
        <f ca="1">IF(AND($P1200=$V$2,COUNTIFS($C$3:$C1200,$C1200,$E$3:$E1200,$E1200,$G$3:$G1200,$G1200)&lt;=1),$P1200,"")</f>
        <v/>
      </c>
    </row>
    <row r="1201" spans="1:21">
      <c r="A1201" s="991" t="str">
        <f ca="1">IFERROR(IF(COUNTIF($A$3:A1200,A1200)&lt; INDEX(TinhGia!$BH$10:$BH$81,MATCH($A1200,TinhGia!$B$10:$B$81,0)),$A1200,INDEX(TinhGia!$B$10:$B$81,MATCH($A1200,TinhGia!$B$10:$B$81,0)+1)),"")</f>
        <v/>
      </c>
      <c r="B1201" s="525" t="str">
        <f ca="1">IF(OR(A1201="",A1201=0),"",IF(COUNTIF($A$2:A1201,$A1201)=1,ROW(MauKoXoa!$C$108),$B1200+1))</f>
        <v/>
      </c>
      <c r="C1201" s="992" t="str">
        <f t="shared" ca="1" si="165"/>
        <v/>
      </c>
      <c r="D1201" s="993" t="str">
        <f t="shared" ca="1" si="166"/>
        <v/>
      </c>
      <c r="E1201" s="993" t="str">
        <f t="shared" ca="1" si="167"/>
        <v/>
      </c>
      <c r="F1201" s="992" t="str">
        <f t="shared" ca="1" si="184"/>
        <v/>
      </c>
      <c r="G1201" s="994">
        <f t="shared" ca="1" si="168"/>
        <v>0</v>
      </c>
      <c r="H1201" s="913">
        <f t="shared" ca="1" si="169"/>
        <v>0</v>
      </c>
      <c r="I1201" s="913">
        <f t="shared" ca="1" si="170"/>
        <v>0</v>
      </c>
      <c r="J1201" s="995">
        <f t="shared" ca="1" si="185"/>
        <v>0</v>
      </c>
      <c r="K1201" s="913">
        <f t="shared" ca="1" si="171"/>
        <v>0</v>
      </c>
      <c r="L1201" s="995">
        <f t="shared" ca="1" si="186"/>
        <v>0</v>
      </c>
      <c r="M1201" s="913">
        <f t="shared" ca="1" si="172"/>
        <v>0</v>
      </c>
      <c r="N1201" s="996">
        <f t="shared" ca="1" si="173"/>
        <v>0</v>
      </c>
      <c r="O1201" s="997">
        <f t="shared" ca="1" si="174"/>
        <v>0</v>
      </c>
      <c r="P1201" s="1015" t="str">
        <f ca="1">IF($C1201="","",INDEX(NVLSX!$N$2:$N$6941,MATCH($C1201,NVLSX!$E$2:$E$6941,0)))</f>
        <v/>
      </c>
      <c r="Q1201" s="1016" t="str">
        <f ca="1">IF($R1201="","",IF(XKNVLSX!$X$1="",IF($P1201=$V$7,$P1201, IF(COUNTIFS($C$2:$C1200,$C1201,$E$2:$E1200,$E1201)&gt;=1,"",$P1201)),     IF(AND(IFERROR(SEARCH($R1201,XKNVLSX!$X$1,1),0)&gt;=1,$P1201=$V$7),$P1201, IF(OR($R1201&lt;&gt;IF(IFERROR(SEARCH($R1201,XKNVLSX!$X$1,1),0)&gt;=1,$R1201,XKNVLSX!$X$1),COUNTIFS($C$2:$C1200,$C1201,$E$2:$E1200,$E1201,$Q$2:$Q1200,$P1201)&gt;=1),"",$P1201))))</f>
        <v/>
      </c>
      <c r="R1201" s="1017" t="str">
        <f ca="1">IF($A1201="","",IFERROR(INDEX(TinhGia!$BF$10:$BF$81,MATCH($A1201,TinhGia!$B$10:$B$81,0)),""))</f>
        <v/>
      </c>
      <c r="S1201" s="1012" t="str">
        <f ca="1">IF($A1201="","",IF(OR(IFERROR(SEARCH($R1201,XKNVLSX!$X$1,1),0)&gt;=1,XKNVLSX!$X$1=""),$S$2,""))</f>
        <v/>
      </c>
      <c r="T1201" s="1018" t="str">
        <f ca="1">IF($C1201="","", IF(OR($P1201=$V$1,$P1201=$V$7,COUNTIFS($C$3:$C1201,$C1201,$E$3:$E1201,$E1201)&lt;=1),$P1201,""    ))</f>
        <v/>
      </c>
      <c r="U1201" s="1019" t="str">
        <f ca="1">IF(AND($P1201=$V$2,COUNTIFS($C$3:$C1201,$C1201,$E$3:$E1201,$E1201,$G$3:$G1201,$G1201)&lt;=1),$P1201,"")</f>
        <v/>
      </c>
    </row>
    <row r="1202" spans="1:21">
      <c r="A1202" s="991" t="str">
        <f ca="1">IFERROR(IF(COUNTIF($A$3:A1201,A1201)&lt; INDEX(TinhGia!$BH$10:$BH$81,MATCH($A1201,TinhGia!$B$10:$B$81,0)),$A1201,INDEX(TinhGia!$B$10:$B$81,MATCH($A1201,TinhGia!$B$10:$B$81,0)+1)),"")</f>
        <v/>
      </c>
      <c r="B1202" s="525" t="str">
        <f ca="1">IF(OR(A1202="",A1202=0),"",IF(COUNTIF($A$2:A1202,$A1202)=1,ROW(MauKoXoa!$C$108),$B1201+1))</f>
        <v/>
      </c>
      <c r="C1202" s="992" t="str">
        <f t="shared" ca="1" si="165"/>
        <v/>
      </c>
      <c r="D1202" s="993" t="str">
        <f t="shared" ca="1" si="166"/>
        <v/>
      </c>
      <c r="E1202" s="993" t="str">
        <f t="shared" ca="1" si="167"/>
        <v/>
      </c>
      <c r="F1202" s="992" t="str">
        <f t="shared" ca="1" si="184"/>
        <v/>
      </c>
      <c r="G1202" s="994">
        <f t="shared" ca="1" si="168"/>
        <v>0</v>
      </c>
      <c r="H1202" s="913">
        <f t="shared" ca="1" si="169"/>
        <v>0</v>
      </c>
      <c r="I1202" s="913">
        <f t="shared" ca="1" si="170"/>
        <v>0</v>
      </c>
      <c r="J1202" s="995">
        <f t="shared" ca="1" si="185"/>
        <v>0</v>
      </c>
      <c r="K1202" s="913">
        <f t="shared" ca="1" si="171"/>
        <v>0</v>
      </c>
      <c r="L1202" s="995">
        <f t="shared" ca="1" si="186"/>
        <v>0</v>
      </c>
      <c r="M1202" s="913">
        <f t="shared" ca="1" si="172"/>
        <v>0</v>
      </c>
      <c r="N1202" s="996">
        <f t="shared" ca="1" si="173"/>
        <v>0</v>
      </c>
      <c r="O1202" s="997">
        <f t="shared" ca="1" si="174"/>
        <v>0</v>
      </c>
      <c r="P1202" s="1015" t="str">
        <f ca="1">IF($C1202="","",INDEX(NVLSX!$N$2:$N$6941,MATCH($C1202,NVLSX!$E$2:$E$6941,0)))</f>
        <v/>
      </c>
      <c r="Q1202" s="1016" t="str">
        <f ca="1">IF($R1202="","",IF(XKNVLSX!$X$1="",IF($P1202=$V$7,$P1202, IF(COUNTIFS($C$2:$C1201,$C1202,$E$2:$E1201,$E1202)&gt;=1,"",$P1202)),     IF(AND(IFERROR(SEARCH($R1202,XKNVLSX!$X$1,1),0)&gt;=1,$P1202=$V$7),$P1202, IF(OR($R1202&lt;&gt;IF(IFERROR(SEARCH($R1202,XKNVLSX!$X$1,1),0)&gt;=1,$R1202,XKNVLSX!$X$1),COUNTIFS($C$2:$C1201,$C1202,$E$2:$E1201,$E1202,$Q$2:$Q1201,$P1202)&gt;=1),"",$P1202))))</f>
        <v/>
      </c>
      <c r="R1202" s="1017" t="str">
        <f ca="1">IF($A1202="","",IFERROR(INDEX(TinhGia!$BF$10:$BF$81,MATCH($A1202,TinhGia!$B$10:$B$81,0)),""))</f>
        <v/>
      </c>
      <c r="S1202" s="1012" t="str">
        <f ca="1">IF($A1202="","",IF(OR(IFERROR(SEARCH($R1202,XKNVLSX!$X$1,1),0)&gt;=1,XKNVLSX!$X$1=""),$S$2,""))</f>
        <v/>
      </c>
      <c r="T1202" s="1018" t="str">
        <f ca="1">IF($C1202="","", IF(OR($P1202=$V$1,$P1202=$V$7,COUNTIFS($C$3:$C1202,$C1202,$E$3:$E1202,$E1202)&lt;=1),$P1202,""    ))</f>
        <v/>
      </c>
      <c r="U1202" s="1019" t="str">
        <f ca="1">IF(AND($P1202=$V$2,COUNTIFS($C$3:$C1202,$C1202,$E$3:$E1202,$E1202,$G$3:$G1202,$G1202)&lt;=1),$P1202,"")</f>
        <v/>
      </c>
    </row>
    <row r="1203" spans="1:21">
      <c r="A1203" s="991" t="str">
        <f ca="1">IFERROR(IF(COUNTIF($A$3:A1202,A1202)&lt; INDEX(TinhGia!$BH$10:$BH$81,MATCH($A1202,TinhGia!$B$10:$B$81,0)),$A1202,INDEX(TinhGia!$B$10:$B$81,MATCH($A1202,TinhGia!$B$10:$B$81,0)+1)),"")</f>
        <v/>
      </c>
      <c r="B1203" s="525" t="str">
        <f ca="1">IF(OR(A1203="",A1203=0),"",IF(COUNTIF($A$2:A1203,$A1203)=1,ROW(MauKoXoa!$C$108),$B1202+1))</f>
        <v/>
      </c>
      <c r="C1203" s="992" t="str">
        <f t="shared" ca="1" si="165"/>
        <v/>
      </c>
      <c r="D1203" s="993" t="str">
        <f t="shared" ca="1" si="166"/>
        <v/>
      </c>
      <c r="E1203" s="993" t="str">
        <f t="shared" ca="1" si="167"/>
        <v/>
      </c>
      <c r="F1203" s="992" t="str">
        <f t="shared" ca="1" si="184"/>
        <v/>
      </c>
      <c r="G1203" s="994">
        <f t="shared" ca="1" si="168"/>
        <v>0</v>
      </c>
      <c r="H1203" s="913">
        <f t="shared" ca="1" si="169"/>
        <v>0</v>
      </c>
      <c r="I1203" s="913">
        <f t="shared" ca="1" si="170"/>
        <v>0</v>
      </c>
      <c r="J1203" s="995">
        <f t="shared" ca="1" si="185"/>
        <v>0</v>
      </c>
      <c r="K1203" s="913">
        <f t="shared" ca="1" si="171"/>
        <v>0</v>
      </c>
      <c r="L1203" s="995">
        <f t="shared" ca="1" si="186"/>
        <v>0</v>
      </c>
      <c r="M1203" s="913">
        <f t="shared" ca="1" si="172"/>
        <v>0</v>
      </c>
      <c r="N1203" s="996">
        <f t="shared" ca="1" si="173"/>
        <v>0</v>
      </c>
      <c r="O1203" s="997">
        <f t="shared" ca="1" si="174"/>
        <v>0</v>
      </c>
      <c r="P1203" s="1015" t="str">
        <f ca="1">IF($C1203="","",INDEX(NVLSX!$N$2:$N$6941,MATCH($C1203,NVLSX!$E$2:$E$6941,0)))</f>
        <v/>
      </c>
      <c r="Q1203" s="1016" t="str">
        <f ca="1">IF($R1203="","",IF(XKNVLSX!$X$1="",IF($P1203=$V$7,$P1203, IF(COUNTIFS($C$2:$C1202,$C1203,$E$2:$E1202,$E1203)&gt;=1,"",$P1203)),     IF(AND(IFERROR(SEARCH($R1203,XKNVLSX!$X$1,1),0)&gt;=1,$P1203=$V$7),$P1203, IF(OR($R1203&lt;&gt;IF(IFERROR(SEARCH($R1203,XKNVLSX!$X$1,1),0)&gt;=1,$R1203,XKNVLSX!$X$1),COUNTIFS($C$2:$C1202,$C1203,$E$2:$E1202,$E1203,$Q$2:$Q1202,$P1203)&gt;=1),"",$P1203))))</f>
        <v/>
      </c>
      <c r="R1203" s="1017" t="str">
        <f ca="1">IF($A1203="","",IFERROR(INDEX(TinhGia!$BF$10:$BF$81,MATCH($A1203,TinhGia!$B$10:$B$81,0)),""))</f>
        <v/>
      </c>
      <c r="S1203" s="1012" t="str">
        <f ca="1">IF($A1203="","",IF(OR(IFERROR(SEARCH($R1203,XKNVLSX!$X$1,1),0)&gt;=1,XKNVLSX!$X$1=""),$S$2,""))</f>
        <v/>
      </c>
      <c r="T1203" s="1018" t="str">
        <f ca="1">IF($C1203="","", IF(OR($P1203=$V$1,$P1203=$V$7,COUNTIFS($C$3:$C1203,$C1203,$E$3:$E1203,$E1203)&lt;=1),$P1203,""    ))</f>
        <v/>
      </c>
      <c r="U1203" s="1019" t="str">
        <f ca="1">IF(AND($P1203=$V$2,COUNTIFS($C$3:$C1203,$C1203,$E$3:$E1203,$E1203,$G$3:$G1203,$G1203)&lt;=1),$P1203,"")</f>
        <v/>
      </c>
    </row>
    <row r="1204" spans="1:21">
      <c r="A1204" s="991" t="str">
        <f ca="1">IFERROR(IF(COUNTIF($A$3:A1203,A1203)&lt; INDEX(TinhGia!$BH$10:$BH$81,MATCH($A1203,TinhGia!$B$10:$B$81,0)),$A1203,INDEX(TinhGia!$B$10:$B$81,MATCH($A1203,TinhGia!$B$10:$B$81,0)+1)),"")</f>
        <v/>
      </c>
      <c r="B1204" s="525" t="str">
        <f ca="1">IF(OR(A1204="",A1204=0),"",IF(COUNTIF($A$2:A1204,$A1204)=1,ROW(MauKoXoa!$C$108),$B1203+1))</f>
        <v/>
      </c>
      <c r="C1204" s="992" t="str">
        <f t="shared" ca="1" si="165"/>
        <v/>
      </c>
      <c r="D1204" s="993" t="str">
        <f t="shared" ca="1" si="166"/>
        <v/>
      </c>
      <c r="E1204" s="993" t="str">
        <f t="shared" ca="1" si="167"/>
        <v/>
      </c>
      <c r="F1204" s="992" t="str">
        <f t="shared" ca="1" si="184"/>
        <v/>
      </c>
      <c r="G1204" s="994">
        <f t="shared" ca="1" si="168"/>
        <v>0</v>
      </c>
      <c r="H1204" s="913">
        <f t="shared" ca="1" si="169"/>
        <v>0</v>
      </c>
      <c r="I1204" s="913">
        <f t="shared" ca="1" si="170"/>
        <v>0</v>
      </c>
      <c r="J1204" s="995">
        <f t="shared" ca="1" si="185"/>
        <v>0</v>
      </c>
      <c r="K1204" s="913">
        <f t="shared" ca="1" si="171"/>
        <v>0</v>
      </c>
      <c r="L1204" s="995">
        <f t="shared" ca="1" si="186"/>
        <v>0</v>
      </c>
      <c r="M1204" s="913">
        <f t="shared" ca="1" si="172"/>
        <v>0</v>
      </c>
      <c r="N1204" s="996">
        <f t="shared" ca="1" si="173"/>
        <v>0</v>
      </c>
      <c r="O1204" s="997">
        <f t="shared" ca="1" si="174"/>
        <v>0</v>
      </c>
      <c r="P1204" s="1015" t="str">
        <f ca="1">IF($C1204="","",INDEX(NVLSX!$N$2:$N$6941,MATCH($C1204,NVLSX!$E$2:$E$6941,0)))</f>
        <v/>
      </c>
      <c r="Q1204" s="1016" t="str">
        <f ca="1">IF($R1204="","",IF(XKNVLSX!$X$1="",IF($P1204=$V$7,$P1204, IF(COUNTIFS($C$2:$C1203,$C1204,$E$2:$E1203,$E1204)&gt;=1,"",$P1204)),     IF(AND(IFERROR(SEARCH($R1204,XKNVLSX!$X$1,1),0)&gt;=1,$P1204=$V$7),$P1204, IF(OR($R1204&lt;&gt;IF(IFERROR(SEARCH($R1204,XKNVLSX!$X$1,1),0)&gt;=1,$R1204,XKNVLSX!$X$1),COUNTIFS($C$2:$C1203,$C1204,$E$2:$E1203,$E1204,$Q$2:$Q1203,$P1204)&gt;=1),"",$P1204))))</f>
        <v/>
      </c>
      <c r="R1204" s="1017" t="str">
        <f ca="1">IF($A1204="","",IFERROR(INDEX(TinhGia!$BF$10:$BF$81,MATCH($A1204,TinhGia!$B$10:$B$81,0)),""))</f>
        <v/>
      </c>
      <c r="S1204" s="1012" t="str">
        <f ca="1">IF($A1204="","",IF(OR(IFERROR(SEARCH($R1204,XKNVLSX!$X$1,1),0)&gt;=1,XKNVLSX!$X$1=""),$S$2,""))</f>
        <v/>
      </c>
      <c r="T1204" s="1018" t="str">
        <f ca="1">IF($C1204="","", IF(OR($P1204=$V$1,$P1204=$V$7,COUNTIFS($C$3:$C1204,$C1204,$E$3:$E1204,$E1204)&lt;=1),$P1204,""    ))</f>
        <v/>
      </c>
      <c r="U1204" s="1019" t="str">
        <f ca="1">IF(AND($P1204=$V$2,COUNTIFS($C$3:$C1204,$C1204,$E$3:$E1204,$E1204,$G$3:$G1204,$G1204)&lt;=1),$P1204,"")</f>
        <v/>
      </c>
    </row>
    <row r="1205" spans="1:21">
      <c r="A1205" s="991" t="str">
        <f ca="1">IFERROR(IF(COUNTIF($A$3:A1204,A1204)&lt; INDEX(TinhGia!$BH$10:$BH$81,MATCH($A1204,TinhGia!$B$10:$B$81,0)),$A1204,INDEX(TinhGia!$B$10:$B$81,MATCH($A1204,TinhGia!$B$10:$B$81,0)+1)),"")</f>
        <v/>
      </c>
      <c r="B1205" s="525" t="str">
        <f ca="1">IF(OR(A1205="",A1205=0),"",IF(COUNTIF($A$2:A1205,$A1205)=1,ROW(MauKoXoa!$C$108),$B1204+1))</f>
        <v/>
      </c>
      <c r="C1205" s="992" t="str">
        <f t="shared" ca="1" si="165"/>
        <v/>
      </c>
      <c r="D1205" s="993" t="str">
        <f t="shared" ca="1" si="166"/>
        <v/>
      </c>
      <c r="E1205" s="993" t="str">
        <f t="shared" ca="1" si="167"/>
        <v/>
      </c>
      <c r="F1205" s="992" t="str">
        <f t="shared" ca="1" si="184"/>
        <v/>
      </c>
      <c r="G1205" s="994">
        <f t="shared" ca="1" si="168"/>
        <v>0</v>
      </c>
      <c r="H1205" s="913">
        <f t="shared" ca="1" si="169"/>
        <v>0</v>
      </c>
      <c r="I1205" s="913">
        <f t="shared" ca="1" si="170"/>
        <v>0</v>
      </c>
      <c r="J1205" s="995">
        <f t="shared" ca="1" si="185"/>
        <v>0</v>
      </c>
      <c r="K1205" s="913">
        <f t="shared" ca="1" si="171"/>
        <v>0</v>
      </c>
      <c r="L1205" s="995">
        <f t="shared" ca="1" si="186"/>
        <v>0</v>
      </c>
      <c r="M1205" s="913">
        <f t="shared" ca="1" si="172"/>
        <v>0</v>
      </c>
      <c r="N1205" s="996">
        <f t="shared" ca="1" si="173"/>
        <v>0</v>
      </c>
      <c r="O1205" s="997">
        <f t="shared" ca="1" si="174"/>
        <v>0</v>
      </c>
      <c r="P1205" s="1015" t="str">
        <f ca="1">IF($C1205="","",INDEX(NVLSX!$N$2:$N$6941,MATCH($C1205,NVLSX!$E$2:$E$6941,0)))</f>
        <v/>
      </c>
      <c r="Q1205" s="1016" t="str">
        <f ca="1">IF($R1205="","",IF(XKNVLSX!$X$1="",IF($P1205=$V$7,$P1205, IF(COUNTIFS($C$2:$C1204,$C1205,$E$2:$E1204,$E1205)&gt;=1,"",$P1205)),     IF(AND(IFERROR(SEARCH($R1205,XKNVLSX!$X$1,1),0)&gt;=1,$P1205=$V$7),$P1205, IF(OR($R1205&lt;&gt;IF(IFERROR(SEARCH($R1205,XKNVLSX!$X$1,1),0)&gt;=1,$R1205,XKNVLSX!$X$1),COUNTIFS($C$2:$C1204,$C1205,$E$2:$E1204,$E1205,$Q$2:$Q1204,$P1205)&gt;=1),"",$P1205))))</f>
        <v/>
      </c>
      <c r="R1205" s="1017" t="str">
        <f ca="1">IF($A1205="","",IFERROR(INDEX(TinhGia!$BF$10:$BF$81,MATCH($A1205,TinhGia!$B$10:$B$81,0)),""))</f>
        <v/>
      </c>
      <c r="S1205" s="1012" t="str">
        <f ca="1">IF($A1205="","",IF(OR(IFERROR(SEARCH($R1205,XKNVLSX!$X$1,1),0)&gt;=1,XKNVLSX!$X$1=""),$S$2,""))</f>
        <v/>
      </c>
      <c r="T1205" s="1018" t="str">
        <f ca="1">IF($C1205="","", IF(OR($P1205=$V$1,$P1205=$V$7,COUNTIFS($C$3:$C1205,$C1205,$E$3:$E1205,$E1205)&lt;=1),$P1205,""    ))</f>
        <v/>
      </c>
      <c r="U1205" s="1019" t="str">
        <f ca="1">IF(AND($P1205=$V$2,COUNTIFS($C$3:$C1205,$C1205,$E$3:$E1205,$E1205,$G$3:$G1205,$G1205)&lt;=1),$P1205,"")</f>
        <v/>
      </c>
    </row>
    <row r="1206" spans="1:21">
      <c r="A1206" s="991" t="str">
        <f ca="1">IFERROR(IF(COUNTIF($A$3:A1205,A1205)&lt; INDEX(TinhGia!$BH$10:$BH$81,MATCH($A1205,TinhGia!$B$10:$B$81,0)),$A1205,INDEX(TinhGia!$B$10:$B$81,MATCH($A1205,TinhGia!$B$10:$B$81,0)+1)),"")</f>
        <v/>
      </c>
      <c r="B1206" s="525" t="str">
        <f ca="1">IF(OR(A1206="",A1206=0),"",IF(COUNTIF($A$2:A1206,$A1206)=1,ROW(MauKoXoa!$C$108),$B1205+1))</f>
        <v/>
      </c>
      <c r="C1206" s="992" t="str">
        <f t="shared" ca="1" si="165"/>
        <v/>
      </c>
      <c r="D1206" s="993" t="str">
        <f t="shared" ca="1" si="166"/>
        <v/>
      </c>
      <c r="E1206" s="993" t="str">
        <f t="shared" ca="1" si="167"/>
        <v/>
      </c>
      <c r="F1206" s="992" t="str">
        <f t="shared" ca="1" si="184"/>
        <v/>
      </c>
      <c r="G1206" s="994">
        <f t="shared" ca="1" si="168"/>
        <v>0</v>
      </c>
      <c r="H1206" s="913">
        <f t="shared" ca="1" si="169"/>
        <v>0</v>
      </c>
      <c r="I1206" s="913">
        <f t="shared" ca="1" si="170"/>
        <v>0</v>
      </c>
      <c r="J1206" s="995">
        <f t="shared" ca="1" si="185"/>
        <v>0</v>
      </c>
      <c r="K1206" s="913">
        <f t="shared" ca="1" si="171"/>
        <v>0</v>
      </c>
      <c r="L1206" s="995">
        <f t="shared" ca="1" si="186"/>
        <v>0</v>
      </c>
      <c r="M1206" s="913">
        <f t="shared" ca="1" si="172"/>
        <v>0</v>
      </c>
      <c r="N1206" s="996">
        <f t="shared" ca="1" si="173"/>
        <v>0</v>
      </c>
      <c r="O1206" s="997">
        <f t="shared" ca="1" si="174"/>
        <v>0</v>
      </c>
      <c r="P1206" s="1015" t="str">
        <f ca="1">IF($C1206="","",INDEX(NVLSX!$N$2:$N$6941,MATCH($C1206,NVLSX!$E$2:$E$6941,0)))</f>
        <v/>
      </c>
      <c r="Q1206" s="1016" t="str">
        <f ca="1">IF($R1206="","",IF(XKNVLSX!$X$1="",IF($P1206=$V$7,$P1206, IF(COUNTIFS($C$2:$C1205,$C1206,$E$2:$E1205,$E1206)&gt;=1,"",$P1206)),     IF(AND(IFERROR(SEARCH($R1206,XKNVLSX!$X$1,1),0)&gt;=1,$P1206=$V$7),$P1206, IF(OR($R1206&lt;&gt;IF(IFERROR(SEARCH($R1206,XKNVLSX!$X$1,1),0)&gt;=1,$R1206,XKNVLSX!$X$1),COUNTIFS($C$2:$C1205,$C1206,$E$2:$E1205,$E1206,$Q$2:$Q1205,$P1206)&gt;=1),"",$P1206))))</f>
        <v/>
      </c>
      <c r="R1206" s="1017" t="str">
        <f ca="1">IF($A1206="","",IFERROR(INDEX(TinhGia!$BF$10:$BF$81,MATCH($A1206,TinhGia!$B$10:$B$81,0)),""))</f>
        <v/>
      </c>
      <c r="S1206" s="1012" t="str">
        <f ca="1">IF($A1206="","",IF(OR(IFERROR(SEARCH($R1206,XKNVLSX!$X$1,1),0)&gt;=1,XKNVLSX!$X$1=""),$S$2,""))</f>
        <v/>
      </c>
      <c r="T1206" s="1018" t="str">
        <f ca="1">IF($C1206="","", IF(OR($P1206=$V$1,$P1206=$V$7,COUNTIFS($C$3:$C1206,$C1206,$E$3:$E1206,$E1206)&lt;=1),$P1206,""    ))</f>
        <v/>
      </c>
      <c r="U1206" s="1019" t="str">
        <f ca="1">IF(AND($P1206=$V$2,COUNTIFS($C$3:$C1206,$C1206,$E$3:$E1206,$E1206,$G$3:$G1206,$G1206)&lt;=1),$P1206,"")</f>
        <v/>
      </c>
    </row>
    <row r="1207" spans="1:21">
      <c r="A1207" s="991" t="str">
        <f ca="1">IFERROR(IF(COUNTIF($A$3:A1206,A1206)&lt; INDEX(TinhGia!$BH$10:$BH$81,MATCH($A1206,TinhGia!$B$10:$B$81,0)),$A1206,INDEX(TinhGia!$B$10:$B$81,MATCH($A1206,TinhGia!$B$10:$B$81,0)+1)),"")</f>
        <v/>
      </c>
      <c r="B1207" s="525" t="str">
        <f ca="1">IF(OR(A1207="",A1207=0),"",IF(COUNTIF($A$2:A1207,$A1207)=1,ROW(MauKoXoa!$C$108),$B1206+1))</f>
        <v/>
      </c>
      <c r="C1207" s="992" t="str">
        <f t="shared" ca="1" si="165"/>
        <v/>
      </c>
      <c r="D1207" s="993" t="str">
        <f t="shared" ca="1" si="166"/>
        <v/>
      </c>
      <c r="E1207" s="993" t="str">
        <f t="shared" ca="1" si="167"/>
        <v/>
      </c>
      <c r="F1207" s="992" t="str">
        <f t="shared" ca="1" si="184"/>
        <v/>
      </c>
      <c r="G1207" s="994">
        <f t="shared" ca="1" si="168"/>
        <v>0</v>
      </c>
      <c r="H1207" s="913">
        <f t="shared" ca="1" si="169"/>
        <v>0</v>
      </c>
      <c r="I1207" s="913">
        <f t="shared" ca="1" si="170"/>
        <v>0</v>
      </c>
      <c r="J1207" s="995">
        <f t="shared" ca="1" si="185"/>
        <v>0</v>
      </c>
      <c r="K1207" s="913">
        <f t="shared" ca="1" si="171"/>
        <v>0</v>
      </c>
      <c r="L1207" s="995">
        <f t="shared" ca="1" si="186"/>
        <v>0</v>
      </c>
      <c r="M1207" s="913">
        <f t="shared" ca="1" si="172"/>
        <v>0</v>
      </c>
      <c r="N1207" s="996">
        <f t="shared" ca="1" si="173"/>
        <v>0</v>
      </c>
      <c r="O1207" s="997">
        <f t="shared" ca="1" si="174"/>
        <v>0</v>
      </c>
      <c r="P1207" s="1015" t="str">
        <f ca="1">IF($C1207="","",INDEX(NVLSX!$N$2:$N$6941,MATCH($C1207,NVLSX!$E$2:$E$6941,0)))</f>
        <v/>
      </c>
      <c r="Q1207" s="1016" t="str">
        <f ca="1">IF($R1207="","",IF(XKNVLSX!$X$1="",IF($P1207=$V$7,$P1207, IF(COUNTIFS($C$2:$C1206,$C1207,$E$2:$E1206,$E1207)&gt;=1,"",$P1207)),     IF(AND(IFERROR(SEARCH($R1207,XKNVLSX!$X$1,1),0)&gt;=1,$P1207=$V$7),$P1207, IF(OR($R1207&lt;&gt;IF(IFERROR(SEARCH($R1207,XKNVLSX!$X$1,1),0)&gt;=1,$R1207,XKNVLSX!$X$1),COUNTIFS($C$2:$C1206,$C1207,$E$2:$E1206,$E1207,$Q$2:$Q1206,$P1207)&gt;=1),"",$P1207))))</f>
        <v/>
      </c>
      <c r="R1207" s="1017" t="str">
        <f ca="1">IF($A1207="","",IFERROR(INDEX(TinhGia!$BF$10:$BF$81,MATCH($A1207,TinhGia!$B$10:$B$81,0)),""))</f>
        <v/>
      </c>
      <c r="S1207" s="1012" t="str">
        <f ca="1">IF($A1207="","",IF(OR(IFERROR(SEARCH($R1207,XKNVLSX!$X$1,1),0)&gt;=1,XKNVLSX!$X$1=""),$S$2,""))</f>
        <v/>
      </c>
      <c r="T1207" s="1018" t="str">
        <f ca="1">IF($C1207="","", IF(OR($P1207=$V$1,$P1207=$V$7,COUNTIFS($C$3:$C1207,$C1207,$E$3:$E1207,$E1207)&lt;=1),$P1207,""    ))</f>
        <v/>
      </c>
      <c r="U1207" s="1019" t="str">
        <f ca="1">IF(AND($P1207=$V$2,COUNTIFS($C$3:$C1207,$C1207,$E$3:$E1207,$E1207,$G$3:$G1207,$G1207)&lt;=1),$P1207,"")</f>
        <v/>
      </c>
    </row>
    <row r="1208" spans="1:21">
      <c r="A1208" s="991" t="str">
        <f ca="1">IFERROR(IF(COUNTIF($A$3:A1207,A1207)&lt; INDEX(TinhGia!$BH$10:$BH$81,MATCH($A1207,TinhGia!$B$10:$B$81,0)),$A1207,INDEX(TinhGia!$B$10:$B$81,MATCH($A1207,TinhGia!$B$10:$B$81,0)+1)),"")</f>
        <v/>
      </c>
      <c r="B1208" s="525" t="str">
        <f ca="1">IF(OR(A1208="",A1208=0),"",IF(COUNTIF($A$2:A1208,$A1208)=1,ROW(MauKoXoa!$C$108),$B1207+1))</f>
        <v/>
      </c>
      <c r="C1208" s="992" t="str">
        <f t="shared" ca="1" si="165"/>
        <v/>
      </c>
      <c r="D1208" s="993" t="str">
        <f t="shared" ca="1" si="166"/>
        <v/>
      </c>
      <c r="E1208" s="993" t="str">
        <f t="shared" ca="1" si="167"/>
        <v/>
      </c>
      <c r="F1208" s="992" t="str">
        <f t="shared" ca="1" si="184"/>
        <v/>
      </c>
      <c r="G1208" s="994">
        <f t="shared" ca="1" si="168"/>
        <v>0</v>
      </c>
      <c r="H1208" s="913">
        <f t="shared" ca="1" si="169"/>
        <v>0</v>
      </c>
      <c r="I1208" s="913">
        <f t="shared" ca="1" si="170"/>
        <v>0</v>
      </c>
      <c r="J1208" s="995">
        <f t="shared" ca="1" si="185"/>
        <v>0</v>
      </c>
      <c r="K1208" s="913">
        <f t="shared" ca="1" si="171"/>
        <v>0</v>
      </c>
      <c r="L1208" s="995">
        <f t="shared" ca="1" si="186"/>
        <v>0</v>
      </c>
      <c r="M1208" s="913">
        <f t="shared" ca="1" si="172"/>
        <v>0</v>
      </c>
      <c r="N1208" s="996">
        <f t="shared" ca="1" si="173"/>
        <v>0</v>
      </c>
      <c r="O1208" s="997">
        <f t="shared" ca="1" si="174"/>
        <v>0</v>
      </c>
      <c r="P1208" s="1015" t="str">
        <f ca="1">IF($C1208="","",INDEX(NVLSX!$N$2:$N$6941,MATCH($C1208,NVLSX!$E$2:$E$6941,0)))</f>
        <v/>
      </c>
      <c r="Q1208" s="1016" t="str">
        <f ca="1">IF($R1208="","",IF(XKNVLSX!$X$1="",IF($P1208=$V$7,$P1208, IF(COUNTIFS($C$2:$C1207,$C1208,$E$2:$E1207,$E1208)&gt;=1,"",$P1208)),     IF(AND(IFERROR(SEARCH($R1208,XKNVLSX!$X$1,1),0)&gt;=1,$P1208=$V$7),$P1208, IF(OR($R1208&lt;&gt;IF(IFERROR(SEARCH($R1208,XKNVLSX!$X$1,1),0)&gt;=1,$R1208,XKNVLSX!$X$1),COUNTIFS($C$2:$C1207,$C1208,$E$2:$E1207,$E1208,$Q$2:$Q1207,$P1208)&gt;=1),"",$P1208))))</f>
        <v/>
      </c>
      <c r="R1208" s="1017" t="str">
        <f ca="1">IF($A1208="","",IFERROR(INDEX(TinhGia!$BF$10:$BF$81,MATCH($A1208,TinhGia!$B$10:$B$81,0)),""))</f>
        <v/>
      </c>
      <c r="S1208" s="1012" t="str">
        <f ca="1">IF($A1208="","",IF(OR(IFERROR(SEARCH($R1208,XKNVLSX!$X$1,1),0)&gt;=1,XKNVLSX!$X$1=""),$S$2,""))</f>
        <v/>
      </c>
      <c r="T1208" s="1018" t="str">
        <f ca="1">IF($C1208="","", IF(OR($P1208=$V$1,$P1208=$V$7,COUNTIFS($C$3:$C1208,$C1208,$E$3:$E1208,$E1208)&lt;=1),$P1208,""    ))</f>
        <v/>
      </c>
      <c r="U1208" s="1019" t="str">
        <f ca="1">IF(AND($P1208=$V$2,COUNTIFS($C$3:$C1208,$C1208,$E$3:$E1208,$E1208,$G$3:$G1208,$G1208)&lt;=1),$P1208,"")</f>
        <v/>
      </c>
    </row>
    <row r="1209" spans="1:21">
      <c r="A1209" s="991" t="str">
        <f ca="1">IFERROR(IF(COUNTIF($A$3:A1208,A1208)&lt; INDEX(TinhGia!$BH$10:$BH$81,MATCH($A1208,TinhGia!$B$10:$B$81,0)),$A1208,INDEX(TinhGia!$B$10:$B$81,MATCH($A1208,TinhGia!$B$10:$B$81,0)+1)),"")</f>
        <v/>
      </c>
      <c r="B1209" s="525" t="str">
        <f ca="1">IF(OR(A1209="",A1209=0),"",IF(COUNTIF($A$2:A1209,$A1209)=1,ROW(MauKoXoa!$C$108),$B1208+1))</f>
        <v/>
      </c>
      <c r="C1209" s="992" t="str">
        <f t="shared" ca="1" si="165"/>
        <v/>
      </c>
      <c r="D1209" s="993" t="str">
        <f t="shared" ca="1" si="166"/>
        <v/>
      </c>
      <c r="E1209" s="993" t="str">
        <f t="shared" ca="1" si="167"/>
        <v/>
      </c>
      <c r="F1209" s="992" t="str">
        <f t="shared" ca="1" si="184"/>
        <v/>
      </c>
      <c r="G1209" s="994">
        <f t="shared" ca="1" si="168"/>
        <v>0</v>
      </c>
      <c r="H1209" s="913">
        <f t="shared" ca="1" si="169"/>
        <v>0</v>
      </c>
      <c r="I1209" s="913">
        <f t="shared" ca="1" si="170"/>
        <v>0</v>
      </c>
      <c r="J1209" s="995">
        <f t="shared" ca="1" si="185"/>
        <v>0</v>
      </c>
      <c r="K1209" s="913">
        <f t="shared" ca="1" si="171"/>
        <v>0</v>
      </c>
      <c r="L1209" s="995">
        <f t="shared" ca="1" si="186"/>
        <v>0</v>
      </c>
      <c r="M1209" s="913">
        <f t="shared" ca="1" si="172"/>
        <v>0</v>
      </c>
      <c r="N1209" s="996">
        <f t="shared" ca="1" si="173"/>
        <v>0</v>
      </c>
      <c r="O1209" s="997">
        <f t="shared" ca="1" si="174"/>
        <v>0</v>
      </c>
      <c r="P1209" s="1015" t="str">
        <f ca="1">IF($C1209="","",INDEX(NVLSX!$N$2:$N$6941,MATCH($C1209,NVLSX!$E$2:$E$6941,0)))</f>
        <v/>
      </c>
      <c r="Q1209" s="1016" t="str">
        <f ca="1">IF($R1209="","",IF(XKNVLSX!$X$1="",IF($P1209=$V$7,$P1209, IF(COUNTIFS($C$2:$C1208,$C1209,$E$2:$E1208,$E1209)&gt;=1,"",$P1209)),     IF(AND(IFERROR(SEARCH($R1209,XKNVLSX!$X$1,1),0)&gt;=1,$P1209=$V$7),$P1209, IF(OR($R1209&lt;&gt;IF(IFERROR(SEARCH($R1209,XKNVLSX!$X$1,1),0)&gt;=1,$R1209,XKNVLSX!$X$1),COUNTIFS($C$2:$C1208,$C1209,$E$2:$E1208,$E1209,$Q$2:$Q1208,$P1209)&gt;=1),"",$P1209))))</f>
        <v/>
      </c>
      <c r="R1209" s="1017" t="str">
        <f ca="1">IF($A1209="","",IFERROR(INDEX(TinhGia!$BF$10:$BF$81,MATCH($A1209,TinhGia!$B$10:$B$81,0)),""))</f>
        <v/>
      </c>
      <c r="S1209" s="1012" t="str">
        <f ca="1">IF($A1209="","",IF(OR(IFERROR(SEARCH($R1209,XKNVLSX!$X$1,1),0)&gt;=1,XKNVLSX!$X$1=""),$S$2,""))</f>
        <v/>
      </c>
      <c r="T1209" s="1018" t="str">
        <f ca="1">IF($C1209="","", IF(OR($P1209=$V$1,$P1209=$V$7,COUNTIFS($C$3:$C1209,$C1209,$E$3:$E1209,$E1209)&lt;=1),$P1209,""    ))</f>
        <v/>
      </c>
      <c r="U1209" s="1019" t="str">
        <f ca="1">IF(AND($P1209=$V$2,COUNTIFS($C$3:$C1209,$C1209,$E$3:$E1209,$E1209,$G$3:$G1209,$G1209)&lt;=1),$P1209,"")</f>
        <v/>
      </c>
    </row>
    <row r="1210" spans="1:21">
      <c r="A1210" s="991" t="str">
        <f ca="1">IFERROR(IF(COUNTIF($A$3:A1209,A1209)&lt; INDEX(TinhGia!$BH$10:$BH$81,MATCH($A1209,TinhGia!$B$10:$B$81,0)),$A1209,INDEX(TinhGia!$B$10:$B$81,MATCH($A1209,TinhGia!$B$10:$B$81,0)+1)),"")</f>
        <v/>
      </c>
      <c r="B1210" s="525" t="str">
        <f ca="1">IF(OR(A1210="",A1210=0),"",IF(COUNTIF($A$2:A1210,$A1210)=1,ROW(MauKoXoa!$C$108),$B1209+1))</f>
        <v/>
      </c>
      <c r="C1210" s="992" t="str">
        <f t="shared" ca="1" si="165"/>
        <v/>
      </c>
      <c r="D1210" s="993" t="str">
        <f t="shared" ca="1" si="166"/>
        <v/>
      </c>
      <c r="E1210" s="993" t="str">
        <f t="shared" ca="1" si="167"/>
        <v/>
      </c>
      <c r="F1210" s="992" t="str">
        <f t="shared" ca="1" si="184"/>
        <v/>
      </c>
      <c r="G1210" s="994">
        <f t="shared" ca="1" si="168"/>
        <v>0</v>
      </c>
      <c r="H1210" s="913">
        <f t="shared" ca="1" si="169"/>
        <v>0</v>
      </c>
      <c r="I1210" s="913">
        <f t="shared" ca="1" si="170"/>
        <v>0</v>
      </c>
      <c r="J1210" s="995">
        <f t="shared" ca="1" si="185"/>
        <v>0</v>
      </c>
      <c r="K1210" s="913">
        <f t="shared" ca="1" si="171"/>
        <v>0</v>
      </c>
      <c r="L1210" s="995">
        <f t="shared" ca="1" si="186"/>
        <v>0</v>
      </c>
      <c r="M1210" s="913">
        <f t="shared" ca="1" si="172"/>
        <v>0</v>
      </c>
      <c r="N1210" s="996">
        <f t="shared" ca="1" si="173"/>
        <v>0</v>
      </c>
      <c r="O1210" s="997">
        <f t="shared" ca="1" si="174"/>
        <v>0</v>
      </c>
      <c r="P1210" s="1015" t="str">
        <f ca="1">IF($C1210="","",INDEX(NVLSX!$N$2:$N$6941,MATCH($C1210,NVLSX!$E$2:$E$6941,0)))</f>
        <v/>
      </c>
      <c r="Q1210" s="1016" t="str">
        <f ca="1">IF($R1210="","",IF(XKNVLSX!$X$1="",IF($P1210=$V$7,$P1210, IF(COUNTIFS($C$2:$C1209,$C1210,$E$2:$E1209,$E1210)&gt;=1,"",$P1210)),     IF(AND(IFERROR(SEARCH($R1210,XKNVLSX!$X$1,1),0)&gt;=1,$P1210=$V$7),$P1210, IF(OR($R1210&lt;&gt;IF(IFERROR(SEARCH($R1210,XKNVLSX!$X$1,1),0)&gt;=1,$R1210,XKNVLSX!$X$1),COUNTIFS($C$2:$C1209,$C1210,$E$2:$E1209,$E1210,$Q$2:$Q1209,$P1210)&gt;=1),"",$P1210))))</f>
        <v/>
      </c>
      <c r="R1210" s="1017" t="str">
        <f ca="1">IF($A1210="","",IFERROR(INDEX(TinhGia!$BF$10:$BF$81,MATCH($A1210,TinhGia!$B$10:$B$81,0)),""))</f>
        <v/>
      </c>
      <c r="S1210" s="1012" t="str">
        <f ca="1">IF($A1210="","",IF(OR(IFERROR(SEARCH($R1210,XKNVLSX!$X$1,1),0)&gt;=1,XKNVLSX!$X$1=""),$S$2,""))</f>
        <v/>
      </c>
      <c r="T1210" s="1018" t="str">
        <f ca="1">IF($C1210="","", IF(OR($P1210=$V$1,$P1210=$V$7,COUNTIFS($C$3:$C1210,$C1210,$E$3:$E1210,$E1210)&lt;=1),$P1210,""    ))</f>
        <v/>
      </c>
      <c r="U1210" s="1019" t="str">
        <f ca="1">IF(AND($P1210=$V$2,COUNTIFS($C$3:$C1210,$C1210,$E$3:$E1210,$E1210,$G$3:$G1210,$G1210)&lt;=1),$P1210,"")</f>
        <v/>
      </c>
    </row>
    <row r="1211" spans="1:21">
      <c r="A1211" s="991" t="str">
        <f ca="1">IFERROR(IF(COUNTIF($A$3:A1210,A1210)&lt; INDEX(TinhGia!$BH$10:$BH$81,MATCH($A1210,TinhGia!$B$10:$B$81,0)),$A1210,INDEX(TinhGia!$B$10:$B$81,MATCH($A1210,TinhGia!$B$10:$B$81,0)+1)),"")</f>
        <v/>
      </c>
      <c r="B1211" s="525" t="str">
        <f ca="1">IF(OR(A1211="",A1211=0),"",IF(COUNTIF($A$2:A1211,$A1211)=1,ROW(MauKoXoa!$C$108),$B1210+1))</f>
        <v/>
      </c>
      <c r="C1211" s="992" t="str">
        <f t="shared" ca="1" si="165"/>
        <v/>
      </c>
      <c r="D1211" s="993" t="str">
        <f t="shared" ca="1" si="166"/>
        <v/>
      </c>
      <c r="E1211" s="993" t="str">
        <f t="shared" ca="1" si="167"/>
        <v/>
      </c>
      <c r="F1211" s="992" t="str">
        <f t="shared" ca="1" si="184"/>
        <v/>
      </c>
      <c r="G1211" s="994">
        <f t="shared" ca="1" si="168"/>
        <v>0</v>
      </c>
      <c r="H1211" s="913">
        <f t="shared" ca="1" si="169"/>
        <v>0</v>
      </c>
      <c r="I1211" s="913">
        <f t="shared" ca="1" si="170"/>
        <v>0</v>
      </c>
      <c r="J1211" s="995">
        <f t="shared" ca="1" si="185"/>
        <v>0</v>
      </c>
      <c r="K1211" s="913">
        <f t="shared" ca="1" si="171"/>
        <v>0</v>
      </c>
      <c r="L1211" s="995">
        <f t="shared" ca="1" si="186"/>
        <v>0</v>
      </c>
      <c r="M1211" s="913">
        <f t="shared" ca="1" si="172"/>
        <v>0</v>
      </c>
      <c r="N1211" s="996">
        <f t="shared" ca="1" si="173"/>
        <v>0</v>
      </c>
      <c r="O1211" s="997">
        <f t="shared" ca="1" si="174"/>
        <v>0</v>
      </c>
      <c r="P1211" s="1015" t="str">
        <f ca="1">IF($C1211="","",INDEX(NVLSX!$N$2:$N$6941,MATCH($C1211,NVLSX!$E$2:$E$6941,0)))</f>
        <v/>
      </c>
      <c r="Q1211" s="1016" t="str">
        <f ca="1">IF($R1211="","",IF(XKNVLSX!$X$1="",IF($P1211=$V$7,$P1211, IF(COUNTIFS($C$2:$C1210,$C1211,$E$2:$E1210,$E1211)&gt;=1,"",$P1211)),     IF(AND(IFERROR(SEARCH($R1211,XKNVLSX!$X$1,1),0)&gt;=1,$P1211=$V$7),$P1211, IF(OR($R1211&lt;&gt;IF(IFERROR(SEARCH($R1211,XKNVLSX!$X$1,1),0)&gt;=1,$R1211,XKNVLSX!$X$1),COUNTIFS($C$2:$C1210,$C1211,$E$2:$E1210,$E1211,$Q$2:$Q1210,$P1211)&gt;=1),"",$P1211))))</f>
        <v/>
      </c>
      <c r="R1211" s="1017" t="str">
        <f ca="1">IF($A1211="","",IFERROR(INDEX(TinhGia!$BF$10:$BF$81,MATCH($A1211,TinhGia!$B$10:$B$81,0)),""))</f>
        <v/>
      </c>
      <c r="S1211" s="1012" t="str">
        <f ca="1">IF($A1211="","",IF(OR(IFERROR(SEARCH($R1211,XKNVLSX!$X$1,1),0)&gt;=1,XKNVLSX!$X$1=""),$S$2,""))</f>
        <v/>
      </c>
      <c r="T1211" s="1018" t="str">
        <f ca="1">IF($C1211="","", IF(OR($P1211=$V$1,$P1211=$V$7,COUNTIFS($C$3:$C1211,$C1211,$E$3:$E1211,$E1211)&lt;=1),$P1211,""    ))</f>
        <v/>
      </c>
      <c r="U1211" s="1019" t="str">
        <f ca="1">IF(AND($P1211=$V$2,COUNTIFS($C$3:$C1211,$C1211,$E$3:$E1211,$E1211,$G$3:$G1211,$G1211)&lt;=1),$P1211,"")</f>
        <v/>
      </c>
    </row>
    <row r="1212" spans="1:21">
      <c r="A1212" s="991" t="str">
        <f ca="1">IFERROR(IF(COUNTIF($A$3:A1211,A1211)&lt; INDEX(TinhGia!$BH$10:$BH$81,MATCH($A1211,TinhGia!$B$10:$B$81,0)),$A1211,INDEX(TinhGia!$B$10:$B$81,MATCH($A1211,TinhGia!$B$10:$B$81,0)+1)),"")</f>
        <v/>
      </c>
      <c r="B1212" s="525" t="str">
        <f ca="1">IF(OR(A1212="",A1212=0),"",IF(COUNTIF($A$2:A1212,$A1212)=1,ROW(MauKoXoa!$C$108),$B1211+1))</f>
        <v/>
      </c>
      <c r="C1212" s="992" t="str">
        <f t="shared" ca="1" si="165"/>
        <v/>
      </c>
      <c r="D1212" s="993" t="str">
        <f t="shared" ca="1" si="166"/>
        <v/>
      </c>
      <c r="E1212" s="993" t="str">
        <f t="shared" ca="1" si="167"/>
        <v/>
      </c>
      <c r="F1212" s="992" t="str">
        <f t="shared" ca="1" si="184"/>
        <v/>
      </c>
      <c r="G1212" s="994">
        <f t="shared" ca="1" si="168"/>
        <v>0</v>
      </c>
      <c r="H1212" s="913">
        <f t="shared" ca="1" si="169"/>
        <v>0</v>
      </c>
      <c r="I1212" s="913">
        <f t="shared" ca="1" si="170"/>
        <v>0</v>
      </c>
      <c r="J1212" s="995">
        <f t="shared" ca="1" si="185"/>
        <v>0</v>
      </c>
      <c r="K1212" s="913">
        <f t="shared" ca="1" si="171"/>
        <v>0</v>
      </c>
      <c r="L1212" s="995">
        <f t="shared" ca="1" si="186"/>
        <v>0</v>
      </c>
      <c r="M1212" s="913">
        <f t="shared" ca="1" si="172"/>
        <v>0</v>
      </c>
      <c r="N1212" s="996">
        <f t="shared" ca="1" si="173"/>
        <v>0</v>
      </c>
      <c r="O1212" s="997">
        <f t="shared" ca="1" si="174"/>
        <v>0</v>
      </c>
      <c r="P1212" s="1015" t="str">
        <f ca="1">IF($C1212="","",INDEX(NVLSX!$N$2:$N$6941,MATCH($C1212,NVLSX!$E$2:$E$6941,0)))</f>
        <v/>
      </c>
      <c r="Q1212" s="1016" t="str">
        <f ca="1">IF($R1212="","",IF(XKNVLSX!$X$1="",IF($P1212=$V$7,$P1212, IF(COUNTIFS($C$2:$C1211,$C1212,$E$2:$E1211,$E1212)&gt;=1,"",$P1212)),     IF(AND(IFERROR(SEARCH($R1212,XKNVLSX!$X$1,1),0)&gt;=1,$P1212=$V$7),$P1212, IF(OR($R1212&lt;&gt;IF(IFERROR(SEARCH($R1212,XKNVLSX!$X$1,1),0)&gt;=1,$R1212,XKNVLSX!$X$1),COUNTIFS($C$2:$C1211,$C1212,$E$2:$E1211,$E1212,$Q$2:$Q1211,$P1212)&gt;=1),"",$P1212))))</f>
        <v/>
      </c>
      <c r="R1212" s="1017" t="str">
        <f ca="1">IF($A1212="","",IFERROR(INDEX(TinhGia!$BF$10:$BF$81,MATCH($A1212,TinhGia!$B$10:$B$81,0)),""))</f>
        <v/>
      </c>
      <c r="S1212" s="1012" t="str">
        <f ca="1">IF($A1212="","",IF(OR(IFERROR(SEARCH($R1212,XKNVLSX!$X$1,1),0)&gt;=1,XKNVLSX!$X$1=""),$S$2,""))</f>
        <v/>
      </c>
      <c r="T1212" s="1018" t="str">
        <f ca="1">IF($C1212="","", IF(OR($P1212=$V$1,$P1212=$V$7,COUNTIFS($C$3:$C1212,$C1212,$E$3:$E1212,$E1212)&lt;=1),$P1212,""    ))</f>
        <v/>
      </c>
      <c r="U1212" s="1019" t="str">
        <f ca="1">IF(AND($P1212=$V$2,COUNTIFS($C$3:$C1212,$C1212,$E$3:$E1212,$E1212,$G$3:$G1212,$G1212)&lt;=1),$P1212,"")</f>
        <v/>
      </c>
    </row>
    <row r="1213" spans="1:21">
      <c r="A1213" s="991" t="str">
        <f ca="1">IFERROR(IF(COUNTIF($A$3:A1212,A1212)&lt; INDEX(TinhGia!$BH$10:$BH$81,MATCH($A1212,TinhGia!$B$10:$B$81,0)),$A1212,INDEX(TinhGia!$B$10:$B$81,MATCH($A1212,TinhGia!$B$10:$B$81,0)+1)),"")</f>
        <v/>
      </c>
      <c r="B1213" s="525" t="str">
        <f ca="1">IF(OR(A1213="",A1213=0),"",IF(COUNTIF($A$2:A1213,$A1213)=1,ROW(MauKoXoa!$C$108),$B1212+1))</f>
        <v/>
      </c>
      <c r="C1213" s="992" t="str">
        <f t="shared" ca="1" si="165"/>
        <v/>
      </c>
      <c r="D1213" s="993" t="str">
        <f t="shared" ca="1" si="166"/>
        <v/>
      </c>
      <c r="E1213" s="993" t="str">
        <f t="shared" ca="1" si="167"/>
        <v/>
      </c>
      <c r="F1213" s="992" t="str">
        <f t="shared" ca="1" si="184"/>
        <v/>
      </c>
      <c r="G1213" s="994">
        <f t="shared" ca="1" si="168"/>
        <v>0</v>
      </c>
      <c r="H1213" s="913">
        <f t="shared" ca="1" si="169"/>
        <v>0</v>
      </c>
      <c r="I1213" s="913">
        <f t="shared" ca="1" si="170"/>
        <v>0</v>
      </c>
      <c r="J1213" s="995">
        <f t="shared" ca="1" si="185"/>
        <v>0</v>
      </c>
      <c r="K1213" s="913">
        <f t="shared" ca="1" si="171"/>
        <v>0</v>
      </c>
      <c r="L1213" s="995">
        <f t="shared" ca="1" si="186"/>
        <v>0</v>
      </c>
      <c r="M1213" s="913">
        <f t="shared" ca="1" si="172"/>
        <v>0</v>
      </c>
      <c r="N1213" s="996">
        <f t="shared" ca="1" si="173"/>
        <v>0</v>
      </c>
      <c r="O1213" s="997">
        <f t="shared" ca="1" si="174"/>
        <v>0</v>
      </c>
      <c r="P1213" s="1015" t="str">
        <f ca="1">IF($C1213="","",INDEX(NVLSX!$N$2:$N$6941,MATCH($C1213,NVLSX!$E$2:$E$6941,0)))</f>
        <v/>
      </c>
      <c r="Q1213" s="1016" t="str">
        <f ca="1">IF($R1213="","",IF(XKNVLSX!$X$1="",IF($P1213=$V$7,$P1213, IF(COUNTIFS($C$2:$C1212,$C1213,$E$2:$E1212,$E1213)&gt;=1,"",$P1213)),     IF(AND(IFERROR(SEARCH($R1213,XKNVLSX!$X$1,1),0)&gt;=1,$P1213=$V$7),$P1213, IF(OR($R1213&lt;&gt;IF(IFERROR(SEARCH($R1213,XKNVLSX!$X$1,1),0)&gt;=1,$R1213,XKNVLSX!$X$1),COUNTIFS($C$2:$C1212,$C1213,$E$2:$E1212,$E1213,$Q$2:$Q1212,$P1213)&gt;=1),"",$P1213))))</f>
        <v/>
      </c>
      <c r="R1213" s="1017" t="str">
        <f ca="1">IF($A1213="","",IFERROR(INDEX(TinhGia!$BF$10:$BF$81,MATCH($A1213,TinhGia!$B$10:$B$81,0)),""))</f>
        <v/>
      </c>
      <c r="S1213" s="1012" t="str">
        <f ca="1">IF($A1213="","",IF(OR(IFERROR(SEARCH($R1213,XKNVLSX!$X$1,1),0)&gt;=1,XKNVLSX!$X$1=""),$S$2,""))</f>
        <v/>
      </c>
      <c r="T1213" s="1018" t="str">
        <f ca="1">IF($C1213="","", IF(OR($P1213=$V$1,$P1213=$V$7,COUNTIFS($C$3:$C1213,$C1213,$E$3:$E1213,$E1213)&lt;=1),$P1213,""    ))</f>
        <v/>
      </c>
      <c r="U1213" s="1019" t="str">
        <f ca="1">IF(AND($P1213=$V$2,COUNTIFS($C$3:$C1213,$C1213,$E$3:$E1213,$E1213,$G$3:$G1213,$G1213)&lt;=1),$P1213,"")</f>
        <v/>
      </c>
    </row>
    <row r="1214" spans="1:21">
      <c r="A1214" s="991" t="str">
        <f ca="1">IFERROR(IF(COUNTIF($A$3:A1213,A1213)&lt; INDEX(TinhGia!$BH$10:$BH$81,MATCH($A1213,TinhGia!$B$10:$B$81,0)),$A1213,INDEX(TinhGia!$B$10:$B$81,MATCH($A1213,TinhGia!$B$10:$B$81,0)+1)),"")</f>
        <v/>
      </c>
      <c r="B1214" s="525" t="str">
        <f ca="1">IF(OR(A1214="",A1214=0),"",IF(COUNTIF($A$2:A1214,$A1214)=1,ROW(MauKoXoa!$C$108),$B1213+1))</f>
        <v/>
      </c>
      <c r="C1214" s="992" t="str">
        <f t="shared" ca="1" si="165"/>
        <v/>
      </c>
      <c r="D1214" s="993" t="str">
        <f t="shared" ca="1" si="166"/>
        <v/>
      </c>
      <c r="E1214" s="993" t="str">
        <f t="shared" ca="1" si="167"/>
        <v/>
      </c>
      <c r="F1214" s="992" t="str">
        <f t="shared" ca="1" si="184"/>
        <v/>
      </c>
      <c r="G1214" s="994">
        <f t="shared" ca="1" si="168"/>
        <v>0</v>
      </c>
      <c r="H1214" s="913">
        <f t="shared" ca="1" si="169"/>
        <v>0</v>
      </c>
      <c r="I1214" s="913">
        <f t="shared" ca="1" si="170"/>
        <v>0</v>
      </c>
      <c r="J1214" s="995">
        <f t="shared" ca="1" si="185"/>
        <v>0</v>
      </c>
      <c r="K1214" s="913">
        <f t="shared" ca="1" si="171"/>
        <v>0</v>
      </c>
      <c r="L1214" s="995">
        <f t="shared" ca="1" si="186"/>
        <v>0</v>
      </c>
      <c r="M1214" s="913">
        <f t="shared" ca="1" si="172"/>
        <v>0</v>
      </c>
      <c r="N1214" s="996">
        <f t="shared" ca="1" si="173"/>
        <v>0</v>
      </c>
      <c r="O1214" s="997">
        <f t="shared" ca="1" si="174"/>
        <v>0</v>
      </c>
      <c r="P1214" s="1015" t="str">
        <f ca="1">IF($C1214="","",INDEX(NVLSX!$N$2:$N$6941,MATCH($C1214,NVLSX!$E$2:$E$6941,0)))</f>
        <v/>
      </c>
      <c r="Q1214" s="1016" t="str">
        <f ca="1">IF($R1214="","",IF(XKNVLSX!$X$1="",IF($P1214=$V$7,$P1214, IF(COUNTIFS($C$2:$C1213,$C1214,$E$2:$E1213,$E1214)&gt;=1,"",$P1214)),     IF(AND(IFERROR(SEARCH($R1214,XKNVLSX!$X$1,1),0)&gt;=1,$P1214=$V$7),$P1214, IF(OR($R1214&lt;&gt;IF(IFERROR(SEARCH($R1214,XKNVLSX!$X$1,1),0)&gt;=1,$R1214,XKNVLSX!$X$1),COUNTIFS($C$2:$C1213,$C1214,$E$2:$E1213,$E1214,$Q$2:$Q1213,$P1214)&gt;=1),"",$P1214))))</f>
        <v/>
      </c>
      <c r="R1214" s="1017" t="str">
        <f ca="1">IF($A1214="","",IFERROR(INDEX(TinhGia!$BF$10:$BF$81,MATCH($A1214,TinhGia!$B$10:$B$81,0)),""))</f>
        <v/>
      </c>
      <c r="S1214" s="1012" t="str">
        <f ca="1">IF($A1214="","",IF(OR(IFERROR(SEARCH($R1214,XKNVLSX!$X$1,1),0)&gt;=1,XKNVLSX!$X$1=""),$S$2,""))</f>
        <v/>
      </c>
      <c r="T1214" s="1018" t="str">
        <f ca="1">IF($C1214="","", IF(OR($P1214=$V$1,$P1214=$V$7,COUNTIFS($C$3:$C1214,$C1214,$E$3:$E1214,$E1214)&lt;=1),$P1214,""    ))</f>
        <v/>
      </c>
      <c r="U1214" s="1019" t="str">
        <f ca="1">IF(AND($P1214=$V$2,COUNTIFS($C$3:$C1214,$C1214,$E$3:$E1214,$E1214,$G$3:$G1214,$G1214)&lt;=1),$P1214,"")</f>
        <v/>
      </c>
    </row>
    <row r="1215" spans="1:21">
      <c r="A1215" s="991" t="str">
        <f ca="1">IFERROR(IF(COUNTIF($A$3:A1214,A1214)&lt; INDEX(TinhGia!$BH$10:$BH$81,MATCH($A1214,TinhGia!$B$10:$B$81,0)),$A1214,INDEX(TinhGia!$B$10:$B$81,MATCH($A1214,TinhGia!$B$10:$B$81,0)+1)),"")</f>
        <v/>
      </c>
      <c r="B1215" s="525" t="str">
        <f ca="1">IF(OR(A1215="",A1215=0),"",IF(COUNTIF($A$2:A1215,$A1215)=1,ROW(MauKoXoa!$C$108),$B1214+1))</f>
        <v/>
      </c>
      <c r="C1215" s="992" t="str">
        <f t="shared" ca="1" si="165"/>
        <v/>
      </c>
      <c r="D1215" s="993" t="str">
        <f t="shared" ca="1" si="166"/>
        <v/>
      </c>
      <c r="E1215" s="993" t="str">
        <f t="shared" ca="1" si="167"/>
        <v/>
      </c>
      <c r="F1215" s="992" t="str">
        <f t="shared" ca="1" si="184"/>
        <v/>
      </c>
      <c r="G1215" s="994">
        <f t="shared" ca="1" si="168"/>
        <v>0</v>
      </c>
      <c r="H1215" s="913">
        <f t="shared" ca="1" si="169"/>
        <v>0</v>
      </c>
      <c r="I1215" s="913">
        <f t="shared" ca="1" si="170"/>
        <v>0</v>
      </c>
      <c r="J1215" s="995">
        <f t="shared" ca="1" si="185"/>
        <v>0</v>
      </c>
      <c r="K1215" s="913">
        <f t="shared" ca="1" si="171"/>
        <v>0</v>
      </c>
      <c r="L1215" s="995">
        <f t="shared" ca="1" si="186"/>
        <v>0</v>
      </c>
      <c r="M1215" s="913">
        <f t="shared" ca="1" si="172"/>
        <v>0</v>
      </c>
      <c r="N1215" s="996">
        <f t="shared" ca="1" si="173"/>
        <v>0</v>
      </c>
      <c r="O1215" s="997">
        <f t="shared" ca="1" si="174"/>
        <v>0</v>
      </c>
      <c r="P1215" s="1015" t="str">
        <f ca="1">IF($C1215="","",INDEX(NVLSX!$N$2:$N$6941,MATCH($C1215,NVLSX!$E$2:$E$6941,0)))</f>
        <v/>
      </c>
      <c r="Q1215" s="1016" t="str">
        <f ca="1">IF($R1215="","",IF(XKNVLSX!$X$1="",IF($P1215=$V$7,$P1215, IF(COUNTIFS($C$2:$C1214,$C1215,$E$2:$E1214,$E1215)&gt;=1,"",$P1215)),     IF(AND(IFERROR(SEARCH($R1215,XKNVLSX!$X$1,1),0)&gt;=1,$P1215=$V$7),$P1215, IF(OR($R1215&lt;&gt;IF(IFERROR(SEARCH($R1215,XKNVLSX!$X$1,1),0)&gt;=1,$R1215,XKNVLSX!$X$1),COUNTIFS($C$2:$C1214,$C1215,$E$2:$E1214,$E1215,$Q$2:$Q1214,$P1215)&gt;=1),"",$P1215))))</f>
        <v/>
      </c>
      <c r="R1215" s="1017" t="str">
        <f ca="1">IF($A1215="","",IFERROR(INDEX(TinhGia!$BF$10:$BF$81,MATCH($A1215,TinhGia!$B$10:$B$81,0)),""))</f>
        <v/>
      </c>
      <c r="S1215" s="1012" t="str">
        <f ca="1">IF($A1215="","",IF(OR(IFERROR(SEARCH($R1215,XKNVLSX!$X$1,1),0)&gt;=1,XKNVLSX!$X$1=""),$S$2,""))</f>
        <v/>
      </c>
      <c r="T1215" s="1018" t="str">
        <f ca="1">IF($C1215="","", IF(OR($P1215=$V$1,$P1215=$V$7,COUNTIFS($C$3:$C1215,$C1215,$E$3:$E1215,$E1215)&lt;=1),$P1215,""    ))</f>
        <v/>
      </c>
      <c r="U1215" s="1019" t="str">
        <f ca="1">IF(AND($P1215=$V$2,COUNTIFS($C$3:$C1215,$C1215,$E$3:$E1215,$E1215,$G$3:$G1215,$G1215)&lt;=1),$P1215,"")</f>
        <v/>
      </c>
    </row>
    <row r="1216" spans="1:21">
      <c r="A1216" s="991" t="str">
        <f ca="1">IFERROR(IF(COUNTIF($A$3:A1215,A1215)&lt; INDEX(TinhGia!$BH$10:$BH$81,MATCH($A1215,TinhGia!$B$10:$B$81,0)),$A1215,INDEX(TinhGia!$B$10:$B$81,MATCH($A1215,TinhGia!$B$10:$B$81,0)+1)),"")</f>
        <v/>
      </c>
      <c r="B1216" s="525" t="str">
        <f ca="1">IF(OR(A1216="",A1216=0),"",IF(COUNTIF($A$2:A1216,$A1216)=1,ROW(MauKoXoa!$C$108),$B1215+1))</f>
        <v/>
      </c>
      <c r="C1216" s="992" t="str">
        <f t="shared" ref="C1216:C1279" ca="1" si="187">IFERROR(INDIRECT("'" &amp; $A1216 &amp; "'!" &amp; "C" &amp; $B1216),"")</f>
        <v/>
      </c>
      <c r="D1216" s="993" t="str">
        <f t="shared" ref="D1216:D1279" ca="1" si="188">IFERROR(INDIRECT("'" &amp; $A1216 &amp; "'!" &amp; "D" &amp; $B1216),"")</f>
        <v/>
      </c>
      <c r="E1216" s="993" t="str">
        <f t="shared" ref="E1216:E1279" ca="1" si="189">IFERROR(INDIRECT("'" &amp; $A1216 &amp; "'!" &amp; "P" &amp; $B1216),"")</f>
        <v/>
      </c>
      <c r="F1216" s="992" t="str">
        <f t="shared" ca="1" si="184"/>
        <v/>
      </c>
      <c r="G1216" s="994">
        <f t="shared" ref="G1216:G1279" ca="1" si="190">IFERROR(INDIRECT("'" &amp; $A1216 &amp; "'!" &amp; "F" &amp; $B1216),0)</f>
        <v>0</v>
      </c>
      <c r="H1216" s="913">
        <f t="shared" ref="H1216:H1279" ca="1" si="191">IFERROR(INDIRECT("'" &amp; $A1216 &amp; "'!" &amp; "G" &amp; $B1216),0)</f>
        <v>0</v>
      </c>
      <c r="I1216" s="913">
        <f t="shared" ref="I1216:I1279" ca="1" si="192">IFERROR(INDIRECT("'" &amp; $A1216 &amp; "'!" &amp; "H" &amp; $B1216),0)</f>
        <v>0</v>
      </c>
      <c r="J1216" s="995">
        <f t="shared" ca="1" si="185"/>
        <v>0</v>
      </c>
      <c r="K1216" s="913">
        <f t="shared" ref="K1216:K1279" ca="1" si="193">IFERROR(INDIRECT("'" &amp; $A1216 &amp; "'!" &amp; "L" &amp; $B1216),0)</f>
        <v>0</v>
      </c>
      <c r="L1216" s="995">
        <f t="shared" ca="1" si="186"/>
        <v>0</v>
      </c>
      <c r="M1216" s="913">
        <f t="shared" ref="M1216:M1279" ca="1" si="194">IFERROR(INDIRECT("'" &amp; $A1216 &amp; "'!" &amp; "M" &amp; $B1216),0)</f>
        <v>0</v>
      </c>
      <c r="N1216" s="996">
        <f t="shared" ref="N1216:N1279" ca="1" si="195">IFERROR(INDIRECT("'" &amp; $A1216 &amp; "'!" &amp; "N" &amp; $B1216),0)</f>
        <v>0</v>
      </c>
      <c r="O1216" s="997">
        <f t="shared" ref="O1216:O1279" ca="1" si="196">IFERROR(INDIRECT("'" &amp; $A1216 &amp; "'!" &amp; "O" &amp; $B1216),0)</f>
        <v>0</v>
      </c>
      <c r="P1216" s="1015" t="str">
        <f ca="1">IF($C1216="","",INDEX(NVLSX!$N$2:$N$6941,MATCH($C1216,NVLSX!$E$2:$E$6941,0)))</f>
        <v/>
      </c>
      <c r="Q1216" s="1016" t="str">
        <f ca="1">IF($R1216="","",IF(XKNVLSX!$X$1="",IF($P1216=$V$7,$P1216, IF(COUNTIFS($C$2:$C1215,$C1216,$E$2:$E1215,$E1216)&gt;=1,"",$P1216)),     IF(AND(IFERROR(SEARCH($R1216,XKNVLSX!$X$1,1),0)&gt;=1,$P1216=$V$7),$P1216, IF(OR($R1216&lt;&gt;IF(IFERROR(SEARCH($R1216,XKNVLSX!$X$1,1),0)&gt;=1,$R1216,XKNVLSX!$X$1),COUNTIFS($C$2:$C1215,$C1216,$E$2:$E1215,$E1216,$Q$2:$Q1215,$P1216)&gt;=1),"",$P1216))))</f>
        <v/>
      </c>
      <c r="R1216" s="1017" t="str">
        <f ca="1">IF($A1216="","",IFERROR(INDEX(TinhGia!$BF$10:$BF$81,MATCH($A1216,TinhGia!$B$10:$B$81,0)),""))</f>
        <v/>
      </c>
      <c r="S1216" s="1012" t="str">
        <f ca="1">IF($A1216="","",IF(OR(IFERROR(SEARCH($R1216,XKNVLSX!$X$1,1),0)&gt;=1,XKNVLSX!$X$1=""),$S$2,""))</f>
        <v/>
      </c>
      <c r="T1216" s="1018" t="str">
        <f ca="1">IF($C1216="","", IF(OR($P1216=$V$1,$P1216=$V$7,COUNTIFS($C$3:$C1216,$C1216,$E$3:$E1216,$E1216)&lt;=1),$P1216,""    ))</f>
        <v/>
      </c>
      <c r="U1216" s="1019" t="str">
        <f ca="1">IF(AND($P1216=$V$2,COUNTIFS($C$3:$C1216,$C1216,$E$3:$E1216,$E1216,$G$3:$G1216,$G1216)&lt;=1),$P1216,"")</f>
        <v/>
      </c>
    </row>
    <row r="1217" spans="1:21">
      <c r="A1217" s="991" t="str">
        <f ca="1">IFERROR(IF(COUNTIF($A$3:A1216,A1216)&lt; INDEX(TinhGia!$BH$10:$BH$81,MATCH($A1216,TinhGia!$B$10:$B$81,0)),$A1216,INDEX(TinhGia!$B$10:$B$81,MATCH($A1216,TinhGia!$B$10:$B$81,0)+1)),"")</f>
        <v/>
      </c>
      <c r="B1217" s="525" t="str">
        <f ca="1">IF(OR(A1217="",A1217=0),"",IF(COUNTIF($A$2:A1217,$A1217)=1,ROW(MauKoXoa!$C$108),$B1216+1))</f>
        <v/>
      </c>
      <c r="C1217" s="992" t="str">
        <f t="shared" ca="1" si="187"/>
        <v/>
      </c>
      <c r="D1217" s="993" t="str">
        <f t="shared" ca="1" si="188"/>
        <v/>
      </c>
      <c r="E1217" s="993" t="str">
        <f t="shared" ca="1" si="189"/>
        <v/>
      </c>
      <c r="F1217" s="992" t="str">
        <f t="shared" ca="1" si="184"/>
        <v/>
      </c>
      <c r="G1217" s="994">
        <f t="shared" ca="1" si="190"/>
        <v>0</v>
      </c>
      <c r="H1217" s="913">
        <f t="shared" ca="1" si="191"/>
        <v>0</v>
      </c>
      <c r="I1217" s="913">
        <f t="shared" ca="1" si="192"/>
        <v>0</v>
      </c>
      <c r="J1217" s="995">
        <f t="shared" ca="1" si="185"/>
        <v>0</v>
      </c>
      <c r="K1217" s="913">
        <f t="shared" ca="1" si="193"/>
        <v>0</v>
      </c>
      <c r="L1217" s="995">
        <f t="shared" ca="1" si="186"/>
        <v>0</v>
      </c>
      <c r="M1217" s="913">
        <f t="shared" ca="1" si="194"/>
        <v>0</v>
      </c>
      <c r="N1217" s="996">
        <f t="shared" ca="1" si="195"/>
        <v>0</v>
      </c>
      <c r="O1217" s="997">
        <f t="shared" ca="1" si="196"/>
        <v>0</v>
      </c>
      <c r="P1217" s="1015" t="str">
        <f ca="1">IF($C1217="","",INDEX(NVLSX!$N$2:$N$6941,MATCH($C1217,NVLSX!$E$2:$E$6941,0)))</f>
        <v/>
      </c>
      <c r="Q1217" s="1016" t="str">
        <f ca="1">IF($R1217="","",IF(XKNVLSX!$X$1="",IF($P1217=$V$7,$P1217, IF(COUNTIFS($C$2:$C1216,$C1217,$E$2:$E1216,$E1217)&gt;=1,"",$P1217)),     IF(AND(IFERROR(SEARCH($R1217,XKNVLSX!$X$1,1),0)&gt;=1,$P1217=$V$7),$P1217, IF(OR($R1217&lt;&gt;IF(IFERROR(SEARCH($R1217,XKNVLSX!$X$1,1),0)&gt;=1,$R1217,XKNVLSX!$X$1),COUNTIFS($C$2:$C1216,$C1217,$E$2:$E1216,$E1217,$Q$2:$Q1216,$P1217)&gt;=1),"",$P1217))))</f>
        <v/>
      </c>
      <c r="R1217" s="1017" t="str">
        <f ca="1">IF($A1217="","",IFERROR(INDEX(TinhGia!$BF$10:$BF$81,MATCH($A1217,TinhGia!$B$10:$B$81,0)),""))</f>
        <v/>
      </c>
      <c r="S1217" s="1012" t="str">
        <f ca="1">IF($A1217="","",IF(OR(IFERROR(SEARCH($R1217,XKNVLSX!$X$1,1),0)&gt;=1,XKNVLSX!$X$1=""),$S$2,""))</f>
        <v/>
      </c>
      <c r="T1217" s="1018" t="str">
        <f ca="1">IF($C1217="","", IF(OR($P1217=$V$1,$P1217=$V$7,COUNTIFS($C$3:$C1217,$C1217,$E$3:$E1217,$E1217)&lt;=1),$P1217,""    ))</f>
        <v/>
      </c>
      <c r="U1217" s="1019" t="str">
        <f ca="1">IF(AND($P1217=$V$2,COUNTIFS($C$3:$C1217,$C1217,$E$3:$E1217,$E1217,$G$3:$G1217,$G1217)&lt;=1),$P1217,"")</f>
        <v/>
      </c>
    </row>
    <row r="1218" spans="1:21">
      <c r="A1218" s="991" t="str">
        <f ca="1">IFERROR(IF(COUNTIF($A$3:A1217,A1217)&lt; INDEX(TinhGia!$BH$10:$BH$81,MATCH($A1217,TinhGia!$B$10:$B$81,0)),$A1217,INDEX(TinhGia!$B$10:$B$81,MATCH($A1217,TinhGia!$B$10:$B$81,0)+1)),"")</f>
        <v/>
      </c>
      <c r="B1218" s="525" t="str">
        <f ca="1">IF(OR(A1218="",A1218=0),"",IF(COUNTIF($A$2:A1218,$A1218)=1,ROW(MauKoXoa!$C$108),$B1217+1))</f>
        <v/>
      </c>
      <c r="C1218" s="992" t="str">
        <f t="shared" ca="1" si="187"/>
        <v/>
      </c>
      <c r="D1218" s="993" t="str">
        <f t="shared" ca="1" si="188"/>
        <v/>
      </c>
      <c r="E1218" s="993" t="str">
        <f t="shared" ca="1" si="189"/>
        <v/>
      </c>
      <c r="F1218" s="992" t="str">
        <f t="shared" ca="1" si="184"/>
        <v/>
      </c>
      <c r="G1218" s="994">
        <f t="shared" ca="1" si="190"/>
        <v>0</v>
      </c>
      <c r="H1218" s="913">
        <f t="shared" ca="1" si="191"/>
        <v>0</v>
      </c>
      <c r="I1218" s="913">
        <f t="shared" ca="1" si="192"/>
        <v>0</v>
      </c>
      <c r="J1218" s="995">
        <f t="shared" ca="1" si="185"/>
        <v>0</v>
      </c>
      <c r="K1218" s="913">
        <f t="shared" ca="1" si="193"/>
        <v>0</v>
      </c>
      <c r="L1218" s="995">
        <f t="shared" ca="1" si="186"/>
        <v>0</v>
      </c>
      <c r="M1218" s="913">
        <f t="shared" ca="1" si="194"/>
        <v>0</v>
      </c>
      <c r="N1218" s="996">
        <f t="shared" ca="1" si="195"/>
        <v>0</v>
      </c>
      <c r="O1218" s="997">
        <f t="shared" ca="1" si="196"/>
        <v>0</v>
      </c>
      <c r="P1218" s="1015" t="str">
        <f ca="1">IF($C1218="","",INDEX(NVLSX!$N$2:$N$6941,MATCH($C1218,NVLSX!$E$2:$E$6941,0)))</f>
        <v/>
      </c>
      <c r="Q1218" s="1016" t="str">
        <f ca="1">IF($R1218="","",IF(XKNVLSX!$X$1="",IF($P1218=$V$7,$P1218, IF(COUNTIFS($C$2:$C1217,$C1218,$E$2:$E1217,$E1218)&gt;=1,"",$P1218)),     IF(AND(IFERROR(SEARCH($R1218,XKNVLSX!$X$1,1),0)&gt;=1,$P1218=$V$7),$P1218, IF(OR($R1218&lt;&gt;IF(IFERROR(SEARCH($R1218,XKNVLSX!$X$1,1),0)&gt;=1,$R1218,XKNVLSX!$X$1),COUNTIFS($C$2:$C1217,$C1218,$E$2:$E1217,$E1218,$Q$2:$Q1217,$P1218)&gt;=1),"",$P1218))))</f>
        <v/>
      </c>
      <c r="R1218" s="1017" t="str">
        <f ca="1">IF($A1218="","",IFERROR(INDEX(TinhGia!$BF$10:$BF$81,MATCH($A1218,TinhGia!$B$10:$B$81,0)),""))</f>
        <v/>
      </c>
      <c r="S1218" s="1012" t="str">
        <f ca="1">IF($A1218="","",IF(OR(IFERROR(SEARCH($R1218,XKNVLSX!$X$1,1),0)&gt;=1,XKNVLSX!$X$1=""),$S$2,""))</f>
        <v/>
      </c>
      <c r="T1218" s="1018" t="str">
        <f ca="1">IF($C1218="","", IF(OR($P1218=$V$1,$P1218=$V$7,COUNTIFS($C$3:$C1218,$C1218,$E$3:$E1218,$E1218)&lt;=1),$P1218,""    ))</f>
        <v/>
      </c>
      <c r="U1218" s="1019" t="str">
        <f ca="1">IF(AND($P1218=$V$2,COUNTIFS($C$3:$C1218,$C1218,$E$3:$E1218,$E1218,$G$3:$G1218,$G1218)&lt;=1),$P1218,"")</f>
        <v/>
      </c>
    </row>
    <row r="1219" spans="1:21">
      <c r="A1219" s="991" t="str">
        <f ca="1">IFERROR(IF(COUNTIF($A$3:A1218,A1218)&lt; INDEX(TinhGia!$BH$10:$BH$81,MATCH($A1218,TinhGia!$B$10:$B$81,0)),$A1218,INDEX(TinhGia!$B$10:$B$81,MATCH($A1218,TinhGia!$B$10:$B$81,0)+1)),"")</f>
        <v/>
      </c>
      <c r="B1219" s="525" t="str">
        <f ca="1">IF(OR(A1219="",A1219=0),"",IF(COUNTIF($A$2:A1219,$A1219)=1,ROW(MauKoXoa!$C$108),$B1218+1))</f>
        <v/>
      </c>
      <c r="C1219" s="992" t="str">
        <f t="shared" ca="1" si="187"/>
        <v/>
      </c>
      <c r="D1219" s="993" t="str">
        <f t="shared" ca="1" si="188"/>
        <v/>
      </c>
      <c r="E1219" s="993" t="str">
        <f t="shared" ca="1" si="189"/>
        <v/>
      </c>
      <c r="F1219" s="992" t="str">
        <f t="shared" ref="F1219:F1282" ca="1" si="197">IF($P1219=$V$7, IFERROR(INDIRECT("'" &amp; $A1219 &amp; "'!" &amp; "I" &amp; $B1219),""),IFERROR(INDIRECT("'" &amp; $A1219 &amp; "'!" &amp; "E" &amp; $B1219),""))</f>
        <v/>
      </c>
      <c r="G1219" s="994">
        <f t="shared" ca="1" si="190"/>
        <v>0</v>
      </c>
      <c r="H1219" s="913">
        <f t="shared" ca="1" si="191"/>
        <v>0</v>
      </c>
      <c r="I1219" s="913">
        <f t="shared" ca="1" si="192"/>
        <v>0</v>
      </c>
      <c r="J1219" s="995">
        <f t="shared" ca="1" si="185"/>
        <v>0</v>
      </c>
      <c r="K1219" s="913">
        <f t="shared" ca="1" si="193"/>
        <v>0</v>
      </c>
      <c r="L1219" s="995">
        <f t="shared" ca="1" si="186"/>
        <v>0</v>
      </c>
      <c r="M1219" s="913">
        <f t="shared" ca="1" si="194"/>
        <v>0</v>
      </c>
      <c r="N1219" s="996">
        <f t="shared" ca="1" si="195"/>
        <v>0</v>
      </c>
      <c r="O1219" s="997">
        <f t="shared" ca="1" si="196"/>
        <v>0</v>
      </c>
      <c r="P1219" s="1015" t="str">
        <f ca="1">IF($C1219="","",INDEX(NVLSX!$N$2:$N$6941,MATCH($C1219,NVLSX!$E$2:$E$6941,0)))</f>
        <v/>
      </c>
      <c r="Q1219" s="1016" t="str">
        <f ca="1">IF($R1219="","",IF(XKNVLSX!$X$1="",IF($P1219=$V$7,$P1219, IF(COUNTIFS($C$2:$C1218,$C1219,$E$2:$E1218,$E1219)&gt;=1,"",$P1219)),     IF(AND(IFERROR(SEARCH($R1219,XKNVLSX!$X$1,1),0)&gt;=1,$P1219=$V$7),$P1219, IF(OR($R1219&lt;&gt;IF(IFERROR(SEARCH($R1219,XKNVLSX!$X$1,1),0)&gt;=1,$R1219,XKNVLSX!$X$1),COUNTIFS($C$2:$C1218,$C1219,$E$2:$E1218,$E1219,$Q$2:$Q1218,$P1219)&gt;=1),"",$P1219))))</f>
        <v/>
      </c>
      <c r="R1219" s="1017" t="str">
        <f ca="1">IF($A1219="","",IFERROR(INDEX(TinhGia!$BF$10:$BF$81,MATCH($A1219,TinhGia!$B$10:$B$81,0)),""))</f>
        <v/>
      </c>
      <c r="S1219" s="1012" t="str">
        <f ca="1">IF($A1219="","",IF(OR(IFERROR(SEARCH($R1219,XKNVLSX!$X$1,1),0)&gt;=1,XKNVLSX!$X$1=""),$S$2,""))</f>
        <v/>
      </c>
      <c r="T1219" s="1018" t="str">
        <f ca="1">IF($C1219="","", IF(OR($P1219=$V$1,$P1219=$V$7,COUNTIFS($C$3:$C1219,$C1219,$E$3:$E1219,$E1219)&lt;=1),$P1219,""    ))</f>
        <v/>
      </c>
      <c r="U1219" s="1019" t="str">
        <f ca="1">IF(AND($P1219=$V$2,COUNTIFS($C$3:$C1219,$C1219,$E$3:$E1219,$E1219,$G$3:$G1219,$G1219)&lt;=1),$P1219,"")</f>
        <v/>
      </c>
    </row>
    <row r="1220" spans="1:21">
      <c r="A1220" s="991" t="str">
        <f ca="1">IFERROR(IF(COUNTIF($A$3:A1219,A1219)&lt; INDEX(TinhGia!$BH$10:$BH$81,MATCH($A1219,TinhGia!$B$10:$B$81,0)),$A1219,INDEX(TinhGia!$B$10:$B$81,MATCH($A1219,TinhGia!$B$10:$B$81,0)+1)),"")</f>
        <v/>
      </c>
      <c r="B1220" s="525" t="str">
        <f ca="1">IF(OR(A1220="",A1220=0),"",IF(COUNTIF($A$2:A1220,$A1220)=1,ROW(MauKoXoa!$C$108),$B1219+1))</f>
        <v/>
      </c>
      <c r="C1220" s="992" t="str">
        <f t="shared" ca="1" si="187"/>
        <v/>
      </c>
      <c r="D1220" s="993" t="str">
        <f t="shared" ca="1" si="188"/>
        <v/>
      </c>
      <c r="E1220" s="993" t="str">
        <f t="shared" ca="1" si="189"/>
        <v/>
      </c>
      <c r="F1220" s="992" t="str">
        <f t="shared" ca="1" si="197"/>
        <v/>
      </c>
      <c r="G1220" s="994">
        <f t="shared" ca="1" si="190"/>
        <v>0</v>
      </c>
      <c r="H1220" s="913">
        <f t="shared" ca="1" si="191"/>
        <v>0</v>
      </c>
      <c r="I1220" s="913">
        <f t="shared" ca="1" si="192"/>
        <v>0</v>
      </c>
      <c r="J1220" s="995">
        <f t="shared" ref="J1220:J1283" ca="1" si="198">IFERROR(INDIRECT("'" &amp; $A1220 &amp; "'!" &amp; "J" &amp; $B1220),0)</f>
        <v>0</v>
      </c>
      <c r="K1220" s="913">
        <f t="shared" ca="1" si="193"/>
        <v>0</v>
      </c>
      <c r="L1220" s="995">
        <f t="shared" ref="L1220:L1283" ca="1" si="199">+ IFERROR(INDIRECT("'" &amp; $A1220 &amp; "'!" &amp; "K" &amp; $B1220),0)</f>
        <v>0</v>
      </c>
      <c r="M1220" s="913">
        <f t="shared" ca="1" si="194"/>
        <v>0</v>
      </c>
      <c r="N1220" s="996">
        <f t="shared" ca="1" si="195"/>
        <v>0</v>
      </c>
      <c r="O1220" s="997">
        <f t="shared" ca="1" si="196"/>
        <v>0</v>
      </c>
      <c r="P1220" s="1015" t="str">
        <f ca="1">IF($C1220="","",INDEX(NVLSX!$N$2:$N$6941,MATCH($C1220,NVLSX!$E$2:$E$6941,0)))</f>
        <v/>
      </c>
      <c r="Q1220" s="1016" t="str">
        <f ca="1">IF($R1220="","",IF(XKNVLSX!$X$1="",IF($P1220=$V$7,$P1220, IF(COUNTIFS($C$2:$C1219,$C1220,$E$2:$E1219,$E1220)&gt;=1,"",$P1220)),     IF(AND(IFERROR(SEARCH($R1220,XKNVLSX!$X$1,1),0)&gt;=1,$P1220=$V$7),$P1220, IF(OR($R1220&lt;&gt;IF(IFERROR(SEARCH($R1220,XKNVLSX!$X$1,1),0)&gt;=1,$R1220,XKNVLSX!$X$1),COUNTIFS($C$2:$C1219,$C1220,$E$2:$E1219,$E1220,$Q$2:$Q1219,$P1220)&gt;=1),"",$P1220))))</f>
        <v/>
      </c>
      <c r="R1220" s="1017" t="str">
        <f ca="1">IF($A1220="","",IFERROR(INDEX(TinhGia!$BF$10:$BF$81,MATCH($A1220,TinhGia!$B$10:$B$81,0)),""))</f>
        <v/>
      </c>
      <c r="S1220" s="1012" t="str">
        <f ca="1">IF($A1220="","",IF(OR(IFERROR(SEARCH($R1220,XKNVLSX!$X$1,1),0)&gt;=1,XKNVLSX!$X$1=""),$S$2,""))</f>
        <v/>
      </c>
      <c r="T1220" s="1018" t="str">
        <f ca="1">IF($C1220="","", IF(OR($P1220=$V$1,$P1220=$V$7,COUNTIFS($C$3:$C1220,$C1220,$E$3:$E1220,$E1220)&lt;=1),$P1220,""    ))</f>
        <v/>
      </c>
      <c r="U1220" s="1019" t="str">
        <f ca="1">IF(AND($P1220=$V$2,COUNTIFS($C$3:$C1220,$C1220,$E$3:$E1220,$E1220,$G$3:$G1220,$G1220)&lt;=1),$P1220,"")</f>
        <v/>
      </c>
    </row>
    <row r="1221" spans="1:21">
      <c r="A1221" s="991" t="str">
        <f ca="1">IFERROR(IF(COUNTIF($A$3:A1220,A1220)&lt; INDEX(TinhGia!$BH$10:$BH$81,MATCH($A1220,TinhGia!$B$10:$B$81,0)),$A1220,INDEX(TinhGia!$B$10:$B$81,MATCH($A1220,TinhGia!$B$10:$B$81,0)+1)),"")</f>
        <v/>
      </c>
      <c r="B1221" s="525" t="str">
        <f ca="1">IF(OR(A1221="",A1221=0),"",IF(COUNTIF($A$2:A1221,$A1221)=1,ROW(MauKoXoa!$C$108),$B1220+1))</f>
        <v/>
      </c>
      <c r="C1221" s="992" t="str">
        <f t="shared" ca="1" si="187"/>
        <v/>
      </c>
      <c r="D1221" s="993" t="str">
        <f t="shared" ca="1" si="188"/>
        <v/>
      </c>
      <c r="E1221" s="993" t="str">
        <f t="shared" ca="1" si="189"/>
        <v/>
      </c>
      <c r="F1221" s="992" t="str">
        <f t="shared" ca="1" si="197"/>
        <v/>
      </c>
      <c r="G1221" s="994">
        <f t="shared" ca="1" si="190"/>
        <v>0</v>
      </c>
      <c r="H1221" s="913">
        <f t="shared" ca="1" si="191"/>
        <v>0</v>
      </c>
      <c r="I1221" s="913">
        <f t="shared" ca="1" si="192"/>
        <v>0</v>
      </c>
      <c r="J1221" s="995">
        <f t="shared" ca="1" si="198"/>
        <v>0</v>
      </c>
      <c r="K1221" s="913">
        <f t="shared" ca="1" si="193"/>
        <v>0</v>
      </c>
      <c r="L1221" s="995">
        <f t="shared" ca="1" si="199"/>
        <v>0</v>
      </c>
      <c r="M1221" s="913">
        <f t="shared" ca="1" si="194"/>
        <v>0</v>
      </c>
      <c r="N1221" s="996">
        <f t="shared" ca="1" si="195"/>
        <v>0</v>
      </c>
      <c r="O1221" s="997">
        <f t="shared" ca="1" si="196"/>
        <v>0</v>
      </c>
      <c r="P1221" s="1015" t="str">
        <f ca="1">IF($C1221="","",INDEX(NVLSX!$N$2:$N$6941,MATCH($C1221,NVLSX!$E$2:$E$6941,0)))</f>
        <v/>
      </c>
      <c r="Q1221" s="1016" t="str">
        <f ca="1">IF($R1221="","",IF(XKNVLSX!$X$1="",IF($P1221=$V$7,$P1221, IF(COUNTIFS($C$2:$C1220,$C1221,$E$2:$E1220,$E1221)&gt;=1,"",$P1221)),     IF(AND(IFERROR(SEARCH($R1221,XKNVLSX!$X$1,1),0)&gt;=1,$P1221=$V$7),$P1221, IF(OR($R1221&lt;&gt;IF(IFERROR(SEARCH($R1221,XKNVLSX!$X$1,1),0)&gt;=1,$R1221,XKNVLSX!$X$1),COUNTIFS($C$2:$C1220,$C1221,$E$2:$E1220,$E1221,$Q$2:$Q1220,$P1221)&gt;=1),"",$P1221))))</f>
        <v/>
      </c>
      <c r="R1221" s="1017" t="str">
        <f ca="1">IF($A1221="","",IFERROR(INDEX(TinhGia!$BF$10:$BF$81,MATCH($A1221,TinhGia!$B$10:$B$81,0)),""))</f>
        <v/>
      </c>
      <c r="S1221" s="1012" t="str">
        <f ca="1">IF($A1221="","",IF(OR(IFERROR(SEARCH($R1221,XKNVLSX!$X$1,1),0)&gt;=1,XKNVLSX!$X$1=""),$S$2,""))</f>
        <v/>
      </c>
      <c r="T1221" s="1018" t="str">
        <f ca="1">IF($C1221="","", IF(OR($P1221=$V$1,$P1221=$V$7,COUNTIFS($C$3:$C1221,$C1221,$E$3:$E1221,$E1221)&lt;=1),$P1221,""    ))</f>
        <v/>
      </c>
      <c r="U1221" s="1019" t="str">
        <f ca="1">IF(AND($P1221=$V$2,COUNTIFS($C$3:$C1221,$C1221,$E$3:$E1221,$E1221,$G$3:$G1221,$G1221)&lt;=1),$P1221,"")</f>
        <v/>
      </c>
    </row>
    <row r="1222" spans="1:21">
      <c r="A1222" s="991" t="str">
        <f ca="1">IFERROR(IF(COUNTIF($A$3:A1221,A1221)&lt; INDEX(TinhGia!$BH$10:$BH$81,MATCH($A1221,TinhGia!$B$10:$B$81,0)),$A1221,INDEX(TinhGia!$B$10:$B$81,MATCH($A1221,TinhGia!$B$10:$B$81,0)+1)),"")</f>
        <v/>
      </c>
      <c r="B1222" s="525" t="str">
        <f ca="1">IF(OR(A1222="",A1222=0),"",IF(COUNTIF($A$2:A1222,$A1222)=1,ROW(MauKoXoa!$C$108),$B1221+1))</f>
        <v/>
      </c>
      <c r="C1222" s="992" t="str">
        <f t="shared" ca="1" si="187"/>
        <v/>
      </c>
      <c r="D1222" s="993" t="str">
        <f t="shared" ca="1" si="188"/>
        <v/>
      </c>
      <c r="E1222" s="993" t="str">
        <f t="shared" ca="1" si="189"/>
        <v/>
      </c>
      <c r="F1222" s="992" t="str">
        <f t="shared" ca="1" si="197"/>
        <v/>
      </c>
      <c r="G1222" s="994">
        <f t="shared" ca="1" si="190"/>
        <v>0</v>
      </c>
      <c r="H1222" s="913">
        <f t="shared" ca="1" si="191"/>
        <v>0</v>
      </c>
      <c r="I1222" s="913">
        <f t="shared" ca="1" si="192"/>
        <v>0</v>
      </c>
      <c r="J1222" s="995">
        <f t="shared" ca="1" si="198"/>
        <v>0</v>
      </c>
      <c r="K1222" s="913">
        <f t="shared" ca="1" si="193"/>
        <v>0</v>
      </c>
      <c r="L1222" s="995">
        <f t="shared" ca="1" si="199"/>
        <v>0</v>
      </c>
      <c r="M1222" s="913">
        <f t="shared" ca="1" si="194"/>
        <v>0</v>
      </c>
      <c r="N1222" s="996">
        <f t="shared" ca="1" si="195"/>
        <v>0</v>
      </c>
      <c r="O1222" s="997">
        <f t="shared" ca="1" si="196"/>
        <v>0</v>
      </c>
      <c r="P1222" s="1015" t="str">
        <f ca="1">IF($C1222="","",INDEX(NVLSX!$N$2:$N$6941,MATCH($C1222,NVLSX!$E$2:$E$6941,0)))</f>
        <v/>
      </c>
      <c r="Q1222" s="1016" t="str">
        <f ca="1">IF($R1222="","",IF(XKNVLSX!$X$1="",IF($P1222=$V$7,$P1222, IF(COUNTIFS($C$2:$C1221,$C1222,$E$2:$E1221,$E1222)&gt;=1,"",$P1222)),     IF(AND(IFERROR(SEARCH($R1222,XKNVLSX!$X$1,1),0)&gt;=1,$P1222=$V$7),$P1222, IF(OR($R1222&lt;&gt;IF(IFERROR(SEARCH($R1222,XKNVLSX!$X$1,1),0)&gt;=1,$R1222,XKNVLSX!$X$1),COUNTIFS($C$2:$C1221,$C1222,$E$2:$E1221,$E1222,$Q$2:$Q1221,$P1222)&gt;=1),"",$P1222))))</f>
        <v/>
      </c>
      <c r="R1222" s="1017" t="str">
        <f ca="1">IF($A1222="","",IFERROR(INDEX(TinhGia!$BF$10:$BF$81,MATCH($A1222,TinhGia!$B$10:$B$81,0)),""))</f>
        <v/>
      </c>
      <c r="S1222" s="1012" t="str">
        <f ca="1">IF($A1222="","",IF(OR(IFERROR(SEARCH($R1222,XKNVLSX!$X$1,1),0)&gt;=1,XKNVLSX!$X$1=""),$S$2,""))</f>
        <v/>
      </c>
      <c r="T1222" s="1018" t="str">
        <f ca="1">IF($C1222="","", IF(OR($P1222=$V$1,$P1222=$V$7,COUNTIFS($C$3:$C1222,$C1222,$E$3:$E1222,$E1222)&lt;=1),$P1222,""    ))</f>
        <v/>
      </c>
      <c r="U1222" s="1019" t="str">
        <f ca="1">IF(AND($P1222=$V$2,COUNTIFS($C$3:$C1222,$C1222,$E$3:$E1222,$E1222,$G$3:$G1222,$G1222)&lt;=1),$P1222,"")</f>
        <v/>
      </c>
    </row>
    <row r="1223" spans="1:21">
      <c r="A1223" s="991" t="str">
        <f ca="1">IFERROR(IF(COUNTIF($A$3:A1222,A1222)&lt; INDEX(TinhGia!$BH$10:$BH$81,MATCH($A1222,TinhGia!$B$10:$B$81,0)),$A1222,INDEX(TinhGia!$B$10:$B$81,MATCH($A1222,TinhGia!$B$10:$B$81,0)+1)),"")</f>
        <v/>
      </c>
      <c r="B1223" s="525" t="str">
        <f ca="1">IF(OR(A1223="",A1223=0),"",IF(COUNTIF($A$2:A1223,$A1223)=1,ROW(MauKoXoa!$C$108),$B1222+1))</f>
        <v/>
      </c>
      <c r="C1223" s="992" t="str">
        <f t="shared" ca="1" si="187"/>
        <v/>
      </c>
      <c r="D1223" s="993" t="str">
        <f t="shared" ca="1" si="188"/>
        <v/>
      </c>
      <c r="E1223" s="993" t="str">
        <f t="shared" ca="1" si="189"/>
        <v/>
      </c>
      <c r="F1223" s="992" t="str">
        <f t="shared" ca="1" si="197"/>
        <v/>
      </c>
      <c r="G1223" s="994">
        <f t="shared" ca="1" si="190"/>
        <v>0</v>
      </c>
      <c r="H1223" s="913">
        <f t="shared" ca="1" si="191"/>
        <v>0</v>
      </c>
      <c r="I1223" s="913">
        <f t="shared" ca="1" si="192"/>
        <v>0</v>
      </c>
      <c r="J1223" s="995">
        <f t="shared" ca="1" si="198"/>
        <v>0</v>
      </c>
      <c r="K1223" s="913">
        <f t="shared" ca="1" si="193"/>
        <v>0</v>
      </c>
      <c r="L1223" s="995">
        <f t="shared" ca="1" si="199"/>
        <v>0</v>
      </c>
      <c r="M1223" s="913">
        <f t="shared" ca="1" si="194"/>
        <v>0</v>
      </c>
      <c r="N1223" s="996">
        <f t="shared" ca="1" si="195"/>
        <v>0</v>
      </c>
      <c r="O1223" s="997">
        <f t="shared" ca="1" si="196"/>
        <v>0</v>
      </c>
      <c r="P1223" s="1015" t="str">
        <f ca="1">IF($C1223="","",INDEX(NVLSX!$N$2:$N$6941,MATCH($C1223,NVLSX!$E$2:$E$6941,0)))</f>
        <v/>
      </c>
      <c r="Q1223" s="1016" t="str">
        <f ca="1">IF($R1223="","",IF(XKNVLSX!$X$1="",IF($P1223=$V$7,$P1223, IF(COUNTIFS($C$2:$C1222,$C1223,$E$2:$E1222,$E1223)&gt;=1,"",$P1223)),     IF(AND(IFERROR(SEARCH($R1223,XKNVLSX!$X$1,1),0)&gt;=1,$P1223=$V$7),$P1223, IF(OR($R1223&lt;&gt;IF(IFERROR(SEARCH($R1223,XKNVLSX!$X$1,1),0)&gt;=1,$R1223,XKNVLSX!$X$1),COUNTIFS($C$2:$C1222,$C1223,$E$2:$E1222,$E1223,$Q$2:$Q1222,$P1223)&gt;=1),"",$P1223))))</f>
        <v/>
      </c>
      <c r="R1223" s="1017" t="str">
        <f ca="1">IF($A1223="","",IFERROR(INDEX(TinhGia!$BF$10:$BF$81,MATCH($A1223,TinhGia!$B$10:$B$81,0)),""))</f>
        <v/>
      </c>
      <c r="S1223" s="1012" t="str">
        <f ca="1">IF($A1223="","",IF(OR(IFERROR(SEARCH($R1223,XKNVLSX!$X$1,1),0)&gt;=1,XKNVLSX!$X$1=""),$S$2,""))</f>
        <v/>
      </c>
      <c r="T1223" s="1018" t="str">
        <f ca="1">IF($C1223="","", IF(OR($P1223=$V$1,$P1223=$V$7,COUNTIFS($C$3:$C1223,$C1223,$E$3:$E1223,$E1223)&lt;=1),$P1223,""    ))</f>
        <v/>
      </c>
      <c r="U1223" s="1019" t="str">
        <f ca="1">IF(AND($P1223=$V$2,COUNTIFS($C$3:$C1223,$C1223,$E$3:$E1223,$E1223,$G$3:$G1223,$G1223)&lt;=1),$P1223,"")</f>
        <v/>
      </c>
    </row>
    <row r="1224" spans="1:21">
      <c r="A1224" s="991" t="str">
        <f ca="1">IFERROR(IF(COUNTIF($A$3:A1223,A1223)&lt; INDEX(TinhGia!$BH$10:$BH$81,MATCH($A1223,TinhGia!$B$10:$B$81,0)),$A1223,INDEX(TinhGia!$B$10:$B$81,MATCH($A1223,TinhGia!$B$10:$B$81,0)+1)),"")</f>
        <v/>
      </c>
      <c r="B1224" s="525" t="str">
        <f ca="1">IF(OR(A1224="",A1224=0),"",IF(COUNTIF($A$2:A1224,$A1224)=1,ROW(MauKoXoa!$C$108),$B1223+1))</f>
        <v/>
      </c>
      <c r="C1224" s="992" t="str">
        <f t="shared" ca="1" si="187"/>
        <v/>
      </c>
      <c r="D1224" s="993" t="str">
        <f t="shared" ca="1" si="188"/>
        <v/>
      </c>
      <c r="E1224" s="993" t="str">
        <f t="shared" ca="1" si="189"/>
        <v/>
      </c>
      <c r="F1224" s="992" t="str">
        <f t="shared" ca="1" si="197"/>
        <v/>
      </c>
      <c r="G1224" s="994">
        <f t="shared" ca="1" si="190"/>
        <v>0</v>
      </c>
      <c r="H1224" s="913">
        <f t="shared" ca="1" si="191"/>
        <v>0</v>
      </c>
      <c r="I1224" s="913">
        <f t="shared" ca="1" si="192"/>
        <v>0</v>
      </c>
      <c r="J1224" s="995">
        <f t="shared" ca="1" si="198"/>
        <v>0</v>
      </c>
      <c r="K1224" s="913">
        <f t="shared" ca="1" si="193"/>
        <v>0</v>
      </c>
      <c r="L1224" s="995">
        <f t="shared" ca="1" si="199"/>
        <v>0</v>
      </c>
      <c r="M1224" s="913">
        <f t="shared" ca="1" si="194"/>
        <v>0</v>
      </c>
      <c r="N1224" s="996">
        <f t="shared" ca="1" si="195"/>
        <v>0</v>
      </c>
      <c r="O1224" s="997">
        <f t="shared" ca="1" si="196"/>
        <v>0</v>
      </c>
      <c r="P1224" s="1015" t="str">
        <f ca="1">IF($C1224="","",INDEX(NVLSX!$N$2:$N$6941,MATCH($C1224,NVLSX!$E$2:$E$6941,0)))</f>
        <v/>
      </c>
      <c r="Q1224" s="1016" t="str">
        <f ca="1">IF($R1224="","",IF(XKNVLSX!$X$1="",IF($P1224=$V$7,$P1224, IF(COUNTIFS($C$2:$C1223,$C1224,$E$2:$E1223,$E1224)&gt;=1,"",$P1224)),     IF(AND(IFERROR(SEARCH($R1224,XKNVLSX!$X$1,1),0)&gt;=1,$P1224=$V$7),$P1224, IF(OR($R1224&lt;&gt;IF(IFERROR(SEARCH($R1224,XKNVLSX!$X$1,1),0)&gt;=1,$R1224,XKNVLSX!$X$1),COUNTIFS($C$2:$C1223,$C1224,$E$2:$E1223,$E1224,$Q$2:$Q1223,$P1224)&gt;=1),"",$P1224))))</f>
        <v/>
      </c>
      <c r="R1224" s="1017" t="str">
        <f ca="1">IF($A1224="","",IFERROR(INDEX(TinhGia!$BF$10:$BF$81,MATCH($A1224,TinhGia!$B$10:$B$81,0)),""))</f>
        <v/>
      </c>
      <c r="S1224" s="1012" t="str">
        <f ca="1">IF($A1224="","",IF(OR(IFERROR(SEARCH($R1224,XKNVLSX!$X$1,1),0)&gt;=1,XKNVLSX!$X$1=""),$S$2,""))</f>
        <v/>
      </c>
      <c r="T1224" s="1018" t="str">
        <f ca="1">IF($C1224="","", IF(OR($P1224=$V$1,$P1224=$V$7,COUNTIFS($C$3:$C1224,$C1224,$E$3:$E1224,$E1224)&lt;=1),$P1224,""    ))</f>
        <v/>
      </c>
      <c r="U1224" s="1019" t="str">
        <f ca="1">IF(AND($P1224=$V$2,COUNTIFS($C$3:$C1224,$C1224,$E$3:$E1224,$E1224,$G$3:$G1224,$G1224)&lt;=1),$P1224,"")</f>
        <v/>
      </c>
    </row>
    <row r="1225" spans="1:21">
      <c r="A1225" s="991" t="str">
        <f ca="1">IFERROR(IF(COUNTIF($A$3:A1224,A1224)&lt; INDEX(TinhGia!$BH$10:$BH$81,MATCH($A1224,TinhGia!$B$10:$B$81,0)),$A1224,INDEX(TinhGia!$B$10:$B$81,MATCH($A1224,TinhGia!$B$10:$B$81,0)+1)),"")</f>
        <v/>
      </c>
      <c r="B1225" s="525" t="str">
        <f ca="1">IF(OR(A1225="",A1225=0),"",IF(COUNTIF($A$2:A1225,$A1225)=1,ROW(MauKoXoa!$C$108),$B1224+1))</f>
        <v/>
      </c>
      <c r="C1225" s="992" t="str">
        <f t="shared" ca="1" si="187"/>
        <v/>
      </c>
      <c r="D1225" s="993" t="str">
        <f t="shared" ca="1" si="188"/>
        <v/>
      </c>
      <c r="E1225" s="993" t="str">
        <f t="shared" ca="1" si="189"/>
        <v/>
      </c>
      <c r="F1225" s="992" t="str">
        <f t="shared" ca="1" si="197"/>
        <v/>
      </c>
      <c r="G1225" s="994">
        <f t="shared" ca="1" si="190"/>
        <v>0</v>
      </c>
      <c r="H1225" s="913">
        <f t="shared" ca="1" si="191"/>
        <v>0</v>
      </c>
      <c r="I1225" s="913">
        <f t="shared" ca="1" si="192"/>
        <v>0</v>
      </c>
      <c r="J1225" s="995">
        <f t="shared" ca="1" si="198"/>
        <v>0</v>
      </c>
      <c r="K1225" s="913">
        <f t="shared" ca="1" si="193"/>
        <v>0</v>
      </c>
      <c r="L1225" s="995">
        <f t="shared" ca="1" si="199"/>
        <v>0</v>
      </c>
      <c r="M1225" s="913">
        <f t="shared" ca="1" si="194"/>
        <v>0</v>
      </c>
      <c r="N1225" s="996">
        <f t="shared" ca="1" si="195"/>
        <v>0</v>
      </c>
      <c r="O1225" s="997">
        <f t="shared" ca="1" si="196"/>
        <v>0</v>
      </c>
      <c r="P1225" s="1015" t="str">
        <f ca="1">IF($C1225="","",INDEX(NVLSX!$N$2:$N$6941,MATCH($C1225,NVLSX!$E$2:$E$6941,0)))</f>
        <v/>
      </c>
      <c r="Q1225" s="1016" t="str">
        <f ca="1">IF($R1225="","",IF(XKNVLSX!$X$1="",IF($P1225=$V$7,$P1225, IF(COUNTIFS($C$2:$C1224,$C1225,$E$2:$E1224,$E1225)&gt;=1,"",$P1225)),     IF(AND(IFERROR(SEARCH($R1225,XKNVLSX!$X$1,1),0)&gt;=1,$P1225=$V$7),$P1225, IF(OR($R1225&lt;&gt;IF(IFERROR(SEARCH($R1225,XKNVLSX!$X$1,1),0)&gt;=1,$R1225,XKNVLSX!$X$1),COUNTIFS($C$2:$C1224,$C1225,$E$2:$E1224,$E1225,$Q$2:$Q1224,$P1225)&gt;=1),"",$P1225))))</f>
        <v/>
      </c>
      <c r="R1225" s="1017" t="str">
        <f ca="1">IF($A1225="","",IFERROR(INDEX(TinhGia!$BF$10:$BF$81,MATCH($A1225,TinhGia!$B$10:$B$81,0)),""))</f>
        <v/>
      </c>
      <c r="S1225" s="1012" t="str">
        <f ca="1">IF($A1225="","",IF(OR(IFERROR(SEARCH($R1225,XKNVLSX!$X$1,1),0)&gt;=1,XKNVLSX!$X$1=""),$S$2,""))</f>
        <v/>
      </c>
      <c r="T1225" s="1018" t="str">
        <f ca="1">IF($C1225="","", IF(OR($P1225=$V$1,$P1225=$V$7,COUNTIFS($C$3:$C1225,$C1225,$E$3:$E1225,$E1225)&lt;=1),$P1225,""    ))</f>
        <v/>
      </c>
      <c r="U1225" s="1019" t="str">
        <f ca="1">IF(AND($P1225=$V$2,COUNTIFS($C$3:$C1225,$C1225,$E$3:$E1225,$E1225,$G$3:$G1225,$G1225)&lt;=1),$P1225,"")</f>
        <v/>
      </c>
    </row>
    <row r="1226" spans="1:21">
      <c r="A1226" s="991" t="str">
        <f ca="1">IFERROR(IF(COUNTIF($A$3:A1225,A1225)&lt; INDEX(TinhGia!$BH$10:$BH$81,MATCH($A1225,TinhGia!$B$10:$B$81,0)),$A1225,INDEX(TinhGia!$B$10:$B$81,MATCH($A1225,TinhGia!$B$10:$B$81,0)+1)),"")</f>
        <v/>
      </c>
      <c r="B1226" s="525" t="str">
        <f ca="1">IF(OR(A1226="",A1226=0),"",IF(COUNTIF($A$2:A1226,$A1226)=1,ROW(MauKoXoa!$C$108),$B1225+1))</f>
        <v/>
      </c>
      <c r="C1226" s="992" t="str">
        <f t="shared" ca="1" si="187"/>
        <v/>
      </c>
      <c r="D1226" s="993" t="str">
        <f t="shared" ca="1" si="188"/>
        <v/>
      </c>
      <c r="E1226" s="993" t="str">
        <f t="shared" ca="1" si="189"/>
        <v/>
      </c>
      <c r="F1226" s="992" t="str">
        <f t="shared" ca="1" si="197"/>
        <v/>
      </c>
      <c r="G1226" s="994">
        <f t="shared" ca="1" si="190"/>
        <v>0</v>
      </c>
      <c r="H1226" s="913">
        <f t="shared" ca="1" si="191"/>
        <v>0</v>
      </c>
      <c r="I1226" s="913">
        <f t="shared" ca="1" si="192"/>
        <v>0</v>
      </c>
      <c r="J1226" s="995">
        <f t="shared" ca="1" si="198"/>
        <v>0</v>
      </c>
      <c r="K1226" s="913">
        <f t="shared" ca="1" si="193"/>
        <v>0</v>
      </c>
      <c r="L1226" s="995">
        <f t="shared" ca="1" si="199"/>
        <v>0</v>
      </c>
      <c r="M1226" s="913">
        <f t="shared" ca="1" si="194"/>
        <v>0</v>
      </c>
      <c r="N1226" s="996">
        <f t="shared" ca="1" si="195"/>
        <v>0</v>
      </c>
      <c r="O1226" s="997">
        <f t="shared" ca="1" si="196"/>
        <v>0</v>
      </c>
      <c r="P1226" s="1015" t="str">
        <f ca="1">IF($C1226="","",INDEX(NVLSX!$N$2:$N$6941,MATCH($C1226,NVLSX!$E$2:$E$6941,0)))</f>
        <v/>
      </c>
      <c r="Q1226" s="1016" t="str">
        <f ca="1">IF($R1226="","",IF(XKNVLSX!$X$1="",IF($P1226=$V$7,$P1226, IF(COUNTIFS($C$2:$C1225,$C1226,$E$2:$E1225,$E1226)&gt;=1,"",$P1226)),     IF(AND(IFERROR(SEARCH($R1226,XKNVLSX!$X$1,1),0)&gt;=1,$P1226=$V$7),$P1226, IF(OR($R1226&lt;&gt;IF(IFERROR(SEARCH($R1226,XKNVLSX!$X$1,1),0)&gt;=1,$R1226,XKNVLSX!$X$1),COUNTIFS($C$2:$C1225,$C1226,$E$2:$E1225,$E1226,$Q$2:$Q1225,$P1226)&gt;=1),"",$P1226))))</f>
        <v/>
      </c>
      <c r="R1226" s="1017" t="str">
        <f ca="1">IF($A1226="","",IFERROR(INDEX(TinhGia!$BF$10:$BF$81,MATCH($A1226,TinhGia!$B$10:$B$81,0)),""))</f>
        <v/>
      </c>
      <c r="S1226" s="1012" t="str">
        <f ca="1">IF($A1226="","",IF(OR(IFERROR(SEARCH($R1226,XKNVLSX!$X$1,1),0)&gt;=1,XKNVLSX!$X$1=""),$S$2,""))</f>
        <v/>
      </c>
      <c r="T1226" s="1018" t="str">
        <f ca="1">IF($C1226="","", IF(OR($P1226=$V$1,$P1226=$V$7,COUNTIFS($C$3:$C1226,$C1226,$E$3:$E1226,$E1226)&lt;=1),$P1226,""    ))</f>
        <v/>
      </c>
      <c r="U1226" s="1019" t="str">
        <f ca="1">IF(AND($P1226=$V$2,COUNTIFS($C$3:$C1226,$C1226,$E$3:$E1226,$E1226,$G$3:$G1226,$G1226)&lt;=1),$P1226,"")</f>
        <v/>
      </c>
    </row>
    <row r="1227" spans="1:21">
      <c r="A1227" s="991" t="str">
        <f ca="1">IFERROR(IF(COUNTIF($A$3:A1226,A1226)&lt; INDEX(TinhGia!$BH$10:$BH$81,MATCH($A1226,TinhGia!$B$10:$B$81,0)),$A1226,INDEX(TinhGia!$B$10:$B$81,MATCH($A1226,TinhGia!$B$10:$B$81,0)+1)),"")</f>
        <v/>
      </c>
      <c r="B1227" s="525" t="str">
        <f ca="1">IF(OR(A1227="",A1227=0),"",IF(COUNTIF($A$2:A1227,$A1227)=1,ROW(MauKoXoa!$C$108),$B1226+1))</f>
        <v/>
      </c>
      <c r="C1227" s="992" t="str">
        <f t="shared" ca="1" si="187"/>
        <v/>
      </c>
      <c r="D1227" s="993" t="str">
        <f t="shared" ca="1" si="188"/>
        <v/>
      </c>
      <c r="E1227" s="993" t="str">
        <f t="shared" ca="1" si="189"/>
        <v/>
      </c>
      <c r="F1227" s="992" t="str">
        <f t="shared" ca="1" si="197"/>
        <v/>
      </c>
      <c r="G1227" s="994">
        <f t="shared" ca="1" si="190"/>
        <v>0</v>
      </c>
      <c r="H1227" s="913">
        <f t="shared" ca="1" si="191"/>
        <v>0</v>
      </c>
      <c r="I1227" s="913">
        <f t="shared" ca="1" si="192"/>
        <v>0</v>
      </c>
      <c r="J1227" s="995">
        <f t="shared" ca="1" si="198"/>
        <v>0</v>
      </c>
      <c r="K1227" s="913">
        <f t="shared" ca="1" si="193"/>
        <v>0</v>
      </c>
      <c r="L1227" s="995">
        <f t="shared" ca="1" si="199"/>
        <v>0</v>
      </c>
      <c r="M1227" s="913">
        <f t="shared" ca="1" si="194"/>
        <v>0</v>
      </c>
      <c r="N1227" s="996">
        <f t="shared" ca="1" si="195"/>
        <v>0</v>
      </c>
      <c r="O1227" s="997">
        <f t="shared" ca="1" si="196"/>
        <v>0</v>
      </c>
      <c r="P1227" s="1015" t="str">
        <f ca="1">IF($C1227="","",INDEX(NVLSX!$N$2:$N$6941,MATCH($C1227,NVLSX!$E$2:$E$6941,0)))</f>
        <v/>
      </c>
      <c r="Q1227" s="1016" t="str">
        <f ca="1">IF($R1227="","",IF(XKNVLSX!$X$1="",IF($P1227=$V$7,$P1227, IF(COUNTIFS($C$2:$C1226,$C1227,$E$2:$E1226,$E1227)&gt;=1,"",$P1227)),     IF(AND(IFERROR(SEARCH($R1227,XKNVLSX!$X$1,1),0)&gt;=1,$P1227=$V$7),$P1227, IF(OR($R1227&lt;&gt;IF(IFERROR(SEARCH($R1227,XKNVLSX!$X$1,1),0)&gt;=1,$R1227,XKNVLSX!$X$1),COUNTIFS($C$2:$C1226,$C1227,$E$2:$E1226,$E1227,$Q$2:$Q1226,$P1227)&gt;=1),"",$P1227))))</f>
        <v/>
      </c>
      <c r="R1227" s="1017" t="str">
        <f ca="1">IF($A1227="","",IFERROR(INDEX(TinhGia!$BF$10:$BF$81,MATCH($A1227,TinhGia!$B$10:$B$81,0)),""))</f>
        <v/>
      </c>
      <c r="S1227" s="1012" t="str">
        <f ca="1">IF($A1227="","",IF(OR(IFERROR(SEARCH($R1227,XKNVLSX!$X$1,1),0)&gt;=1,XKNVLSX!$X$1=""),$S$2,""))</f>
        <v/>
      </c>
      <c r="T1227" s="1018" t="str">
        <f ca="1">IF($C1227="","", IF(OR($P1227=$V$1,$P1227=$V$7,COUNTIFS($C$3:$C1227,$C1227,$E$3:$E1227,$E1227)&lt;=1),$P1227,""    ))</f>
        <v/>
      </c>
      <c r="U1227" s="1019" t="str">
        <f ca="1">IF(AND($P1227=$V$2,COUNTIFS($C$3:$C1227,$C1227,$E$3:$E1227,$E1227,$G$3:$G1227,$G1227)&lt;=1),$P1227,"")</f>
        <v/>
      </c>
    </row>
    <row r="1228" spans="1:21">
      <c r="A1228" s="991" t="str">
        <f ca="1">IFERROR(IF(COUNTIF($A$3:A1227,A1227)&lt; INDEX(TinhGia!$BH$10:$BH$81,MATCH($A1227,TinhGia!$B$10:$B$81,0)),$A1227,INDEX(TinhGia!$B$10:$B$81,MATCH($A1227,TinhGia!$B$10:$B$81,0)+1)),"")</f>
        <v/>
      </c>
      <c r="B1228" s="525" t="str">
        <f ca="1">IF(OR(A1228="",A1228=0),"",IF(COUNTIF($A$2:A1228,$A1228)=1,ROW(MauKoXoa!$C$108),$B1227+1))</f>
        <v/>
      </c>
      <c r="C1228" s="992" t="str">
        <f t="shared" ca="1" si="187"/>
        <v/>
      </c>
      <c r="D1228" s="993" t="str">
        <f t="shared" ca="1" si="188"/>
        <v/>
      </c>
      <c r="E1228" s="993" t="str">
        <f t="shared" ca="1" si="189"/>
        <v/>
      </c>
      <c r="F1228" s="992" t="str">
        <f t="shared" ca="1" si="197"/>
        <v/>
      </c>
      <c r="G1228" s="994">
        <f t="shared" ca="1" si="190"/>
        <v>0</v>
      </c>
      <c r="H1228" s="913">
        <f t="shared" ca="1" si="191"/>
        <v>0</v>
      </c>
      <c r="I1228" s="913">
        <f t="shared" ca="1" si="192"/>
        <v>0</v>
      </c>
      <c r="J1228" s="995">
        <f t="shared" ca="1" si="198"/>
        <v>0</v>
      </c>
      <c r="K1228" s="913">
        <f t="shared" ca="1" si="193"/>
        <v>0</v>
      </c>
      <c r="L1228" s="995">
        <f t="shared" ca="1" si="199"/>
        <v>0</v>
      </c>
      <c r="M1228" s="913">
        <f t="shared" ca="1" si="194"/>
        <v>0</v>
      </c>
      <c r="N1228" s="996">
        <f t="shared" ca="1" si="195"/>
        <v>0</v>
      </c>
      <c r="O1228" s="997">
        <f t="shared" ca="1" si="196"/>
        <v>0</v>
      </c>
      <c r="P1228" s="1015" t="str">
        <f ca="1">IF($C1228="","",INDEX(NVLSX!$N$2:$N$6941,MATCH($C1228,NVLSX!$E$2:$E$6941,0)))</f>
        <v/>
      </c>
      <c r="Q1228" s="1016" t="str">
        <f ca="1">IF($R1228="","",IF(XKNVLSX!$X$1="",IF($P1228=$V$7,$P1228, IF(COUNTIFS($C$2:$C1227,$C1228,$E$2:$E1227,$E1228)&gt;=1,"",$P1228)),     IF(AND(IFERROR(SEARCH($R1228,XKNVLSX!$X$1,1),0)&gt;=1,$P1228=$V$7),$P1228, IF(OR($R1228&lt;&gt;IF(IFERROR(SEARCH($R1228,XKNVLSX!$X$1,1),0)&gt;=1,$R1228,XKNVLSX!$X$1),COUNTIFS($C$2:$C1227,$C1228,$E$2:$E1227,$E1228,$Q$2:$Q1227,$P1228)&gt;=1),"",$P1228))))</f>
        <v/>
      </c>
      <c r="R1228" s="1017" t="str">
        <f ca="1">IF($A1228="","",IFERROR(INDEX(TinhGia!$BF$10:$BF$81,MATCH($A1228,TinhGia!$B$10:$B$81,0)),""))</f>
        <v/>
      </c>
      <c r="S1228" s="1012" t="str">
        <f ca="1">IF($A1228="","",IF(OR(IFERROR(SEARCH($R1228,XKNVLSX!$X$1,1),0)&gt;=1,XKNVLSX!$X$1=""),$S$2,""))</f>
        <v/>
      </c>
      <c r="T1228" s="1018" t="str">
        <f ca="1">IF($C1228="","", IF(OR($P1228=$V$1,$P1228=$V$7,COUNTIFS($C$3:$C1228,$C1228,$E$3:$E1228,$E1228)&lt;=1),$P1228,""    ))</f>
        <v/>
      </c>
      <c r="U1228" s="1019" t="str">
        <f ca="1">IF(AND($P1228=$V$2,COUNTIFS($C$3:$C1228,$C1228,$E$3:$E1228,$E1228,$G$3:$G1228,$G1228)&lt;=1),$P1228,"")</f>
        <v/>
      </c>
    </row>
    <row r="1229" spans="1:21">
      <c r="A1229" s="991" t="str">
        <f ca="1">IFERROR(IF(COUNTIF($A$3:A1228,A1228)&lt; INDEX(TinhGia!$BH$10:$BH$81,MATCH($A1228,TinhGia!$B$10:$B$81,0)),$A1228,INDEX(TinhGia!$B$10:$B$81,MATCH($A1228,TinhGia!$B$10:$B$81,0)+1)),"")</f>
        <v/>
      </c>
      <c r="B1229" s="525" t="str">
        <f ca="1">IF(OR(A1229="",A1229=0),"",IF(COUNTIF($A$2:A1229,$A1229)=1,ROW(MauKoXoa!$C$108),$B1228+1))</f>
        <v/>
      </c>
      <c r="C1229" s="992" t="str">
        <f t="shared" ca="1" si="187"/>
        <v/>
      </c>
      <c r="D1229" s="993" t="str">
        <f t="shared" ca="1" si="188"/>
        <v/>
      </c>
      <c r="E1229" s="993" t="str">
        <f t="shared" ca="1" si="189"/>
        <v/>
      </c>
      <c r="F1229" s="992" t="str">
        <f t="shared" ca="1" si="197"/>
        <v/>
      </c>
      <c r="G1229" s="994">
        <f t="shared" ca="1" si="190"/>
        <v>0</v>
      </c>
      <c r="H1229" s="913">
        <f t="shared" ca="1" si="191"/>
        <v>0</v>
      </c>
      <c r="I1229" s="913">
        <f t="shared" ca="1" si="192"/>
        <v>0</v>
      </c>
      <c r="J1229" s="995">
        <f t="shared" ca="1" si="198"/>
        <v>0</v>
      </c>
      <c r="K1229" s="913">
        <f t="shared" ca="1" si="193"/>
        <v>0</v>
      </c>
      <c r="L1229" s="995">
        <f t="shared" ca="1" si="199"/>
        <v>0</v>
      </c>
      <c r="M1229" s="913">
        <f t="shared" ca="1" si="194"/>
        <v>0</v>
      </c>
      <c r="N1229" s="996">
        <f t="shared" ca="1" si="195"/>
        <v>0</v>
      </c>
      <c r="O1229" s="997">
        <f t="shared" ca="1" si="196"/>
        <v>0</v>
      </c>
      <c r="P1229" s="1015" t="str">
        <f ca="1">IF($C1229="","",INDEX(NVLSX!$N$2:$N$6941,MATCH($C1229,NVLSX!$E$2:$E$6941,0)))</f>
        <v/>
      </c>
      <c r="Q1229" s="1016" t="str">
        <f ca="1">IF($R1229="","",IF(XKNVLSX!$X$1="",IF($P1229=$V$7,$P1229, IF(COUNTIFS($C$2:$C1228,$C1229,$E$2:$E1228,$E1229)&gt;=1,"",$P1229)),     IF(AND(IFERROR(SEARCH($R1229,XKNVLSX!$X$1,1),0)&gt;=1,$P1229=$V$7),$P1229, IF(OR($R1229&lt;&gt;IF(IFERROR(SEARCH($R1229,XKNVLSX!$X$1,1),0)&gt;=1,$R1229,XKNVLSX!$X$1),COUNTIFS($C$2:$C1228,$C1229,$E$2:$E1228,$E1229,$Q$2:$Q1228,$P1229)&gt;=1),"",$P1229))))</f>
        <v/>
      </c>
      <c r="R1229" s="1017" t="str">
        <f ca="1">IF($A1229="","",IFERROR(INDEX(TinhGia!$BF$10:$BF$81,MATCH($A1229,TinhGia!$B$10:$B$81,0)),""))</f>
        <v/>
      </c>
      <c r="S1229" s="1012" t="str">
        <f ca="1">IF($A1229="","",IF(OR(IFERROR(SEARCH($R1229,XKNVLSX!$X$1,1),0)&gt;=1,XKNVLSX!$X$1=""),$S$2,""))</f>
        <v/>
      </c>
      <c r="T1229" s="1018" t="str">
        <f ca="1">IF($C1229="","", IF(OR($P1229=$V$1,$P1229=$V$7,COUNTIFS($C$3:$C1229,$C1229,$E$3:$E1229,$E1229)&lt;=1),$P1229,""    ))</f>
        <v/>
      </c>
      <c r="U1229" s="1019" t="str">
        <f ca="1">IF(AND($P1229=$V$2,COUNTIFS($C$3:$C1229,$C1229,$E$3:$E1229,$E1229,$G$3:$G1229,$G1229)&lt;=1),$P1229,"")</f>
        <v/>
      </c>
    </row>
    <row r="1230" spans="1:21">
      <c r="A1230" s="991" t="str">
        <f ca="1">IFERROR(IF(COUNTIF($A$3:A1229,A1229)&lt; INDEX(TinhGia!$BH$10:$BH$81,MATCH($A1229,TinhGia!$B$10:$B$81,0)),$A1229,INDEX(TinhGia!$B$10:$B$81,MATCH($A1229,TinhGia!$B$10:$B$81,0)+1)),"")</f>
        <v/>
      </c>
      <c r="B1230" s="525" t="str">
        <f ca="1">IF(OR(A1230="",A1230=0),"",IF(COUNTIF($A$2:A1230,$A1230)=1,ROW(MauKoXoa!$C$108),$B1229+1))</f>
        <v/>
      </c>
      <c r="C1230" s="992" t="str">
        <f t="shared" ca="1" si="187"/>
        <v/>
      </c>
      <c r="D1230" s="993" t="str">
        <f t="shared" ca="1" si="188"/>
        <v/>
      </c>
      <c r="E1230" s="993" t="str">
        <f t="shared" ca="1" si="189"/>
        <v/>
      </c>
      <c r="F1230" s="992" t="str">
        <f t="shared" ca="1" si="197"/>
        <v/>
      </c>
      <c r="G1230" s="994">
        <f t="shared" ca="1" si="190"/>
        <v>0</v>
      </c>
      <c r="H1230" s="913">
        <f t="shared" ca="1" si="191"/>
        <v>0</v>
      </c>
      <c r="I1230" s="913">
        <f t="shared" ca="1" si="192"/>
        <v>0</v>
      </c>
      <c r="J1230" s="995">
        <f t="shared" ca="1" si="198"/>
        <v>0</v>
      </c>
      <c r="K1230" s="913">
        <f t="shared" ca="1" si="193"/>
        <v>0</v>
      </c>
      <c r="L1230" s="995">
        <f t="shared" ca="1" si="199"/>
        <v>0</v>
      </c>
      <c r="M1230" s="913">
        <f t="shared" ca="1" si="194"/>
        <v>0</v>
      </c>
      <c r="N1230" s="996">
        <f t="shared" ca="1" si="195"/>
        <v>0</v>
      </c>
      <c r="O1230" s="997">
        <f t="shared" ca="1" si="196"/>
        <v>0</v>
      </c>
      <c r="P1230" s="1015" t="str">
        <f ca="1">IF($C1230="","",INDEX(NVLSX!$N$2:$N$6941,MATCH($C1230,NVLSX!$E$2:$E$6941,0)))</f>
        <v/>
      </c>
      <c r="Q1230" s="1016" t="str">
        <f ca="1">IF($R1230="","",IF(XKNVLSX!$X$1="",IF($P1230=$V$7,$P1230, IF(COUNTIFS($C$2:$C1229,$C1230,$E$2:$E1229,$E1230)&gt;=1,"",$P1230)),     IF(AND(IFERROR(SEARCH($R1230,XKNVLSX!$X$1,1),0)&gt;=1,$P1230=$V$7),$P1230, IF(OR($R1230&lt;&gt;IF(IFERROR(SEARCH($R1230,XKNVLSX!$X$1,1),0)&gt;=1,$R1230,XKNVLSX!$X$1),COUNTIFS($C$2:$C1229,$C1230,$E$2:$E1229,$E1230,$Q$2:$Q1229,$P1230)&gt;=1),"",$P1230))))</f>
        <v/>
      </c>
      <c r="R1230" s="1017" t="str">
        <f ca="1">IF($A1230="","",IFERROR(INDEX(TinhGia!$BF$10:$BF$81,MATCH($A1230,TinhGia!$B$10:$B$81,0)),""))</f>
        <v/>
      </c>
      <c r="S1230" s="1012" t="str">
        <f ca="1">IF($A1230="","",IF(OR(IFERROR(SEARCH($R1230,XKNVLSX!$X$1,1),0)&gt;=1,XKNVLSX!$X$1=""),$S$2,""))</f>
        <v/>
      </c>
      <c r="T1230" s="1018" t="str">
        <f ca="1">IF($C1230="","", IF(OR($P1230=$V$1,$P1230=$V$7,COUNTIFS($C$3:$C1230,$C1230,$E$3:$E1230,$E1230)&lt;=1),$P1230,""    ))</f>
        <v/>
      </c>
      <c r="U1230" s="1019" t="str">
        <f ca="1">IF(AND($P1230=$V$2,COUNTIFS($C$3:$C1230,$C1230,$E$3:$E1230,$E1230,$G$3:$G1230,$G1230)&lt;=1),$P1230,"")</f>
        <v/>
      </c>
    </row>
    <row r="1231" spans="1:21">
      <c r="A1231" s="991" t="str">
        <f ca="1">IFERROR(IF(COUNTIF($A$3:A1230,A1230)&lt; INDEX(TinhGia!$BH$10:$BH$81,MATCH($A1230,TinhGia!$B$10:$B$81,0)),$A1230,INDEX(TinhGia!$B$10:$B$81,MATCH($A1230,TinhGia!$B$10:$B$81,0)+1)),"")</f>
        <v/>
      </c>
      <c r="B1231" s="525" t="str">
        <f ca="1">IF(OR(A1231="",A1231=0),"",IF(COUNTIF($A$2:A1231,$A1231)=1,ROW(MauKoXoa!$C$108),$B1230+1))</f>
        <v/>
      </c>
      <c r="C1231" s="992" t="str">
        <f t="shared" ca="1" si="187"/>
        <v/>
      </c>
      <c r="D1231" s="993" t="str">
        <f t="shared" ca="1" si="188"/>
        <v/>
      </c>
      <c r="E1231" s="993" t="str">
        <f t="shared" ca="1" si="189"/>
        <v/>
      </c>
      <c r="F1231" s="992" t="str">
        <f t="shared" ca="1" si="197"/>
        <v/>
      </c>
      <c r="G1231" s="994">
        <f t="shared" ca="1" si="190"/>
        <v>0</v>
      </c>
      <c r="H1231" s="913">
        <f t="shared" ca="1" si="191"/>
        <v>0</v>
      </c>
      <c r="I1231" s="913">
        <f t="shared" ca="1" si="192"/>
        <v>0</v>
      </c>
      <c r="J1231" s="995">
        <f t="shared" ca="1" si="198"/>
        <v>0</v>
      </c>
      <c r="K1231" s="913">
        <f t="shared" ca="1" si="193"/>
        <v>0</v>
      </c>
      <c r="L1231" s="995">
        <f t="shared" ca="1" si="199"/>
        <v>0</v>
      </c>
      <c r="M1231" s="913">
        <f t="shared" ca="1" si="194"/>
        <v>0</v>
      </c>
      <c r="N1231" s="996">
        <f t="shared" ca="1" si="195"/>
        <v>0</v>
      </c>
      <c r="O1231" s="997">
        <f t="shared" ca="1" si="196"/>
        <v>0</v>
      </c>
      <c r="P1231" s="1015" t="str">
        <f ca="1">IF($C1231="","",INDEX(NVLSX!$N$2:$N$6941,MATCH($C1231,NVLSX!$E$2:$E$6941,0)))</f>
        <v/>
      </c>
      <c r="Q1231" s="1016" t="str">
        <f ca="1">IF($R1231="","",IF(XKNVLSX!$X$1="",IF($P1231=$V$7,$P1231, IF(COUNTIFS($C$2:$C1230,$C1231,$E$2:$E1230,$E1231)&gt;=1,"",$P1231)),     IF(AND(IFERROR(SEARCH($R1231,XKNVLSX!$X$1,1),0)&gt;=1,$P1231=$V$7),$P1231, IF(OR($R1231&lt;&gt;IF(IFERROR(SEARCH($R1231,XKNVLSX!$X$1,1),0)&gt;=1,$R1231,XKNVLSX!$X$1),COUNTIFS($C$2:$C1230,$C1231,$E$2:$E1230,$E1231,$Q$2:$Q1230,$P1231)&gt;=1),"",$P1231))))</f>
        <v/>
      </c>
      <c r="R1231" s="1017" t="str">
        <f ca="1">IF($A1231="","",IFERROR(INDEX(TinhGia!$BF$10:$BF$81,MATCH($A1231,TinhGia!$B$10:$B$81,0)),""))</f>
        <v/>
      </c>
      <c r="S1231" s="1012" t="str">
        <f ca="1">IF($A1231="","",IF(OR(IFERROR(SEARCH($R1231,XKNVLSX!$X$1,1),0)&gt;=1,XKNVLSX!$X$1=""),$S$2,""))</f>
        <v/>
      </c>
      <c r="T1231" s="1018" t="str">
        <f ca="1">IF($C1231="","", IF(OR($P1231=$V$1,$P1231=$V$7,COUNTIFS($C$3:$C1231,$C1231,$E$3:$E1231,$E1231)&lt;=1),$P1231,""    ))</f>
        <v/>
      </c>
      <c r="U1231" s="1019" t="str">
        <f ca="1">IF(AND($P1231=$V$2,COUNTIFS($C$3:$C1231,$C1231,$E$3:$E1231,$E1231,$G$3:$G1231,$G1231)&lt;=1),$P1231,"")</f>
        <v/>
      </c>
    </row>
    <row r="1232" spans="1:21">
      <c r="A1232" s="991" t="str">
        <f ca="1">IFERROR(IF(COUNTIF($A$3:A1231,A1231)&lt; INDEX(TinhGia!$BH$10:$BH$81,MATCH($A1231,TinhGia!$B$10:$B$81,0)),$A1231,INDEX(TinhGia!$B$10:$B$81,MATCH($A1231,TinhGia!$B$10:$B$81,0)+1)),"")</f>
        <v/>
      </c>
      <c r="B1232" s="525" t="str">
        <f ca="1">IF(OR(A1232="",A1232=0),"",IF(COUNTIF($A$2:A1232,$A1232)=1,ROW(MauKoXoa!$C$108),$B1231+1))</f>
        <v/>
      </c>
      <c r="C1232" s="992" t="str">
        <f t="shared" ca="1" si="187"/>
        <v/>
      </c>
      <c r="D1232" s="993" t="str">
        <f t="shared" ca="1" si="188"/>
        <v/>
      </c>
      <c r="E1232" s="993" t="str">
        <f t="shared" ca="1" si="189"/>
        <v/>
      </c>
      <c r="F1232" s="992" t="str">
        <f t="shared" ca="1" si="197"/>
        <v/>
      </c>
      <c r="G1232" s="994">
        <f t="shared" ca="1" si="190"/>
        <v>0</v>
      </c>
      <c r="H1232" s="913">
        <f t="shared" ca="1" si="191"/>
        <v>0</v>
      </c>
      <c r="I1232" s="913">
        <f t="shared" ca="1" si="192"/>
        <v>0</v>
      </c>
      <c r="J1232" s="995">
        <f t="shared" ca="1" si="198"/>
        <v>0</v>
      </c>
      <c r="K1232" s="913">
        <f t="shared" ca="1" si="193"/>
        <v>0</v>
      </c>
      <c r="L1232" s="995">
        <f t="shared" ca="1" si="199"/>
        <v>0</v>
      </c>
      <c r="M1232" s="913">
        <f t="shared" ca="1" si="194"/>
        <v>0</v>
      </c>
      <c r="N1232" s="996">
        <f t="shared" ca="1" si="195"/>
        <v>0</v>
      </c>
      <c r="O1232" s="997">
        <f t="shared" ca="1" si="196"/>
        <v>0</v>
      </c>
      <c r="P1232" s="1015" t="str">
        <f ca="1">IF($C1232="","",INDEX(NVLSX!$N$2:$N$6941,MATCH($C1232,NVLSX!$E$2:$E$6941,0)))</f>
        <v/>
      </c>
      <c r="Q1232" s="1016" t="str">
        <f ca="1">IF($R1232="","",IF(XKNVLSX!$X$1="",IF($P1232=$V$7,$P1232, IF(COUNTIFS($C$2:$C1231,$C1232,$E$2:$E1231,$E1232)&gt;=1,"",$P1232)),     IF(AND(IFERROR(SEARCH($R1232,XKNVLSX!$X$1,1),0)&gt;=1,$P1232=$V$7),$P1232, IF(OR($R1232&lt;&gt;IF(IFERROR(SEARCH($R1232,XKNVLSX!$X$1,1),0)&gt;=1,$R1232,XKNVLSX!$X$1),COUNTIFS($C$2:$C1231,$C1232,$E$2:$E1231,$E1232,$Q$2:$Q1231,$P1232)&gt;=1),"",$P1232))))</f>
        <v/>
      </c>
      <c r="R1232" s="1017" t="str">
        <f ca="1">IF($A1232="","",IFERROR(INDEX(TinhGia!$BF$10:$BF$81,MATCH($A1232,TinhGia!$B$10:$B$81,0)),""))</f>
        <v/>
      </c>
      <c r="S1232" s="1012" t="str">
        <f ca="1">IF($A1232="","",IF(OR(IFERROR(SEARCH($R1232,XKNVLSX!$X$1,1),0)&gt;=1,XKNVLSX!$X$1=""),$S$2,""))</f>
        <v/>
      </c>
      <c r="T1232" s="1018" t="str">
        <f ca="1">IF($C1232="","", IF(OR($P1232=$V$1,$P1232=$V$7,COUNTIFS($C$3:$C1232,$C1232,$E$3:$E1232,$E1232)&lt;=1),$P1232,""    ))</f>
        <v/>
      </c>
      <c r="U1232" s="1019" t="str">
        <f ca="1">IF(AND($P1232=$V$2,COUNTIFS($C$3:$C1232,$C1232,$E$3:$E1232,$E1232,$G$3:$G1232,$G1232)&lt;=1),$P1232,"")</f>
        <v/>
      </c>
    </row>
    <row r="1233" spans="1:21">
      <c r="A1233" s="991" t="str">
        <f ca="1">IFERROR(IF(COUNTIF($A$3:A1232,A1232)&lt; INDEX(TinhGia!$BH$10:$BH$81,MATCH($A1232,TinhGia!$B$10:$B$81,0)),$A1232,INDEX(TinhGia!$B$10:$B$81,MATCH($A1232,TinhGia!$B$10:$B$81,0)+1)),"")</f>
        <v/>
      </c>
      <c r="B1233" s="525" t="str">
        <f ca="1">IF(OR(A1233="",A1233=0),"",IF(COUNTIF($A$2:A1233,$A1233)=1,ROW(MauKoXoa!$C$108),$B1232+1))</f>
        <v/>
      </c>
      <c r="C1233" s="992" t="str">
        <f t="shared" ca="1" si="187"/>
        <v/>
      </c>
      <c r="D1233" s="993" t="str">
        <f t="shared" ca="1" si="188"/>
        <v/>
      </c>
      <c r="E1233" s="993" t="str">
        <f t="shared" ca="1" si="189"/>
        <v/>
      </c>
      <c r="F1233" s="992" t="str">
        <f t="shared" ca="1" si="197"/>
        <v/>
      </c>
      <c r="G1233" s="994">
        <f t="shared" ca="1" si="190"/>
        <v>0</v>
      </c>
      <c r="H1233" s="913">
        <f t="shared" ca="1" si="191"/>
        <v>0</v>
      </c>
      <c r="I1233" s="913">
        <f t="shared" ca="1" si="192"/>
        <v>0</v>
      </c>
      <c r="J1233" s="995">
        <f t="shared" ca="1" si="198"/>
        <v>0</v>
      </c>
      <c r="K1233" s="913">
        <f t="shared" ca="1" si="193"/>
        <v>0</v>
      </c>
      <c r="L1233" s="995">
        <f t="shared" ca="1" si="199"/>
        <v>0</v>
      </c>
      <c r="M1233" s="913">
        <f t="shared" ca="1" si="194"/>
        <v>0</v>
      </c>
      <c r="N1233" s="996">
        <f t="shared" ca="1" si="195"/>
        <v>0</v>
      </c>
      <c r="O1233" s="997">
        <f t="shared" ca="1" si="196"/>
        <v>0</v>
      </c>
      <c r="P1233" s="1015" t="str">
        <f ca="1">IF($C1233="","",INDEX(NVLSX!$N$2:$N$6941,MATCH($C1233,NVLSX!$E$2:$E$6941,0)))</f>
        <v/>
      </c>
      <c r="Q1233" s="1016" t="str">
        <f ca="1">IF($R1233="","",IF(XKNVLSX!$X$1="",IF($P1233=$V$7,$P1233, IF(COUNTIFS($C$2:$C1232,$C1233,$E$2:$E1232,$E1233)&gt;=1,"",$P1233)),     IF(AND(IFERROR(SEARCH($R1233,XKNVLSX!$X$1,1),0)&gt;=1,$P1233=$V$7),$P1233, IF(OR($R1233&lt;&gt;IF(IFERROR(SEARCH($R1233,XKNVLSX!$X$1,1),0)&gt;=1,$R1233,XKNVLSX!$X$1),COUNTIFS($C$2:$C1232,$C1233,$E$2:$E1232,$E1233,$Q$2:$Q1232,$P1233)&gt;=1),"",$P1233))))</f>
        <v/>
      </c>
      <c r="R1233" s="1017" t="str">
        <f ca="1">IF($A1233="","",IFERROR(INDEX(TinhGia!$BF$10:$BF$81,MATCH($A1233,TinhGia!$B$10:$B$81,0)),""))</f>
        <v/>
      </c>
      <c r="S1233" s="1012" t="str">
        <f ca="1">IF($A1233="","",IF(OR(IFERROR(SEARCH($R1233,XKNVLSX!$X$1,1),0)&gt;=1,XKNVLSX!$X$1=""),$S$2,""))</f>
        <v/>
      </c>
      <c r="T1233" s="1018" t="str">
        <f ca="1">IF($C1233="","", IF(OR($P1233=$V$1,$P1233=$V$7,COUNTIFS($C$3:$C1233,$C1233,$E$3:$E1233,$E1233)&lt;=1),$P1233,""    ))</f>
        <v/>
      </c>
      <c r="U1233" s="1019" t="str">
        <f ca="1">IF(AND($P1233=$V$2,COUNTIFS($C$3:$C1233,$C1233,$E$3:$E1233,$E1233,$G$3:$G1233,$G1233)&lt;=1),$P1233,"")</f>
        <v/>
      </c>
    </row>
    <row r="1234" spans="1:21">
      <c r="A1234" s="991" t="str">
        <f ca="1">IFERROR(IF(COUNTIF($A$3:A1233,A1233)&lt; INDEX(TinhGia!$BH$10:$BH$81,MATCH($A1233,TinhGia!$B$10:$B$81,0)),$A1233,INDEX(TinhGia!$B$10:$B$81,MATCH($A1233,TinhGia!$B$10:$B$81,0)+1)),"")</f>
        <v/>
      </c>
      <c r="B1234" s="525" t="str">
        <f ca="1">IF(OR(A1234="",A1234=0),"",IF(COUNTIF($A$2:A1234,$A1234)=1,ROW(MauKoXoa!$C$108),$B1233+1))</f>
        <v/>
      </c>
      <c r="C1234" s="992" t="str">
        <f t="shared" ca="1" si="187"/>
        <v/>
      </c>
      <c r="D1234" s="993" t="str">
        <f t="shared" ca="1" si="188"/>
        <v/>
      </c>
      <c r="E1234" s="993" t="str">
        <f t="shared" ca="1" si="189"/>
        <v/>
      </c>
      <c r="F1234" s="992" t="str">
        <f t="shared" ca="1" si="197"/>
        <v/>
      </c>
      <c r="G1234" s="994">
        <f t="shared" ca="1" si="190"/>
        <v>0</v>
      </c>
      <c r="H1234" s="913">
        <f t="shared" ca="1" si="191"/>
        <v>0</v>
      </c>
      <c r="I1234" s="913">
        <f t="shared" ca="1" si="192"/>
        <v>0</v>
      </c>
      <c r="J1234" s="995">
        <f t="shared" ca="1" si="198"/>
        <v>0</v>
      </c>
      <c r="K1234" s="913">
        <f t="shared" ca="1" si="193"/>
        <v>0</v>
      </c>
      <c r="L1234" s="995">
        <f t="shared" ca="1" si="199"/>
        <v>0</v>
      </c>
      <c r="M1234" s="913">
        <f t="shared" ca="1" si="194"/>
        <v>0</v>
      </c>
      <c r="N1234" s="996">
        <f t="shared" ca="1" si="195"/>
        <v>0</v>
      </c>
      <c r="O1234" s="997">
        <f t="shared" ca="1" si="196"/>
        <v>0</v>
      </c>
      <c r="P1234" s="1015" t="str">
        <f ca="1">IF($C1234="","",INDEX(NVLSX!$N$2:$N$6941,MATCH($C1234,NVLSX!$E$2:$E$6941,0)))</f>
        <v/>
      </c>
      <c r="Q1234" s="1016" t="str">
        <f ca="1">IF($R1234="","",IF(XKNVLSX!$X$1="",IF($P1234=$V$7,$P1234, IF(COUNTIFS($C$2:$C1233,$C1234,$E$2:$E1233,$E1234)&gt;=1,"",$P1234)),     IF(AND(IFERROR(SEARCH($R1234,XKNVLSX!$X$1,1),0)&gt;=1,$P1234=$V$7),$P1234, IF(OR($R1234&lt;&gt;IF(IFERROR(SEARCH($R1234,XKNVLSX!$X$1,1),0)&gt;=1,$R1234,XKNVLSX!$X$1),COUNTIFS($C$2:$C1233,$C1234,$E$2:$E1233,$E1234,$Q$2:$Q1233,$P1234)&gt;=1),"",$P1234))))</f>
        <v/>
      </c>
      <c r="R1234" s="1017" t="str">
        <f ca="1">IF($A1234="","",IFERROR(INDEX(TinhGia!$BF$10:$BF$81,MATCH($A1234,TinhGia!$B$10:$B$81,0)),""))</f>
        <v/>
      </c>
      <c r="S1234" s="1012" t="str">
        <f ca="1">IF($A1234="","",IF(OR(IFERROR(SEARCH($R1234,XKNVLSX!$X$1,1),0)&gt;=1,XKNVLSX!$X$1=""),$S$2,""))</f>
        <v/>
      </c>
      <c r="T1234" s="1018" t="str">
        <f ca="1">IF($C1234="","", IF(OR($P1234=$V$1,$P1234=$V$7,COUNTIFS($C$3:$C1234,$C1234,$E$3:$E1234,$E1234)&lt;=1),$P1234,""    ))</f>
        <v/>
      </c>
      <c r="U1234" s="1019" t="str">
        <f ca="1">IF(AND($P1234=$V$2,COUNTIFS($C$3:$C1234,$C1234,$E$3:$E1234,$E1234,$G$3:$G1234,$G1234)&lt;=1),$P1234,"")</f>
        <v/>
      </c>
    </row>
    <row r="1235" spans="1:21">
      <c r="A1235" s="991" t="str">
        <f ca="1">IFERROR(IF(COUNTIF($A$3:A1234,A1234)&lt; INDEX(TinhGia!$BH$10:$BH$81,MATCH($A1234,TinhGia!$B$10:$B$81,0)),$A1234,INDEX(TinhGia!$B$10:$B$81,MATCH($A1234,TinhGia!$B$10:$B$81,0)+1)),"")</f>
        <v/>
      </c>
      <c r="B1235" s="525" t="str">
        <f ca="1">IF(OR(A1235="",A1235=0),"",IF(COUNTIF($A$2:A1235,$A1235)=1,ROW(MauKoXoa!$C$108),$B1234+1))</f>
        <v/>
      </c>
      <c r="C1235" s="992" t="str">
        <f t="shared" ca="1" si="187"/>
        <v/>
      </c>
      <c r="D1235" s="993" t="str">
        <f t="shared" ca="1" si="188"/>
        <v/>
      </c>
      <c r="E1235" s="993" t="str">
        <f t="shared" ca="1" si="189"/>
        <v/>
      </c>
      <c r="F1235" s="992" t="str">
        <f t="shared" ca="1" si="197"/>
        <v/>
      </c>
      <c r="G1235" s="994">
        <f t="shared" ca="1" si="190"/>
        <v>0</v>
      </c>
      <c r="H1235" s="913">
        <f t="shared" ca="1" si="191"/>
        <v>0</v>
      </c>
      <c r="I1235" s="913">
        <f t="shared" ca="1" si="192"/>
        <v>0</v>
      </c>
      <c r="J1235" s="995">
        <f t="shared" ca="1" si="198"/>
        <v>0</v>
      </c>
      <c r="K1235" s="913">
        <f t="shared" ca="1" si="193"/>
        <v>0</v>
      </c>
      <c r="L1235" s="995">
        <f t="shared" ca="1" si="199"/>
        <v>0</v>
      </c>
      <c r="M1235" s="913">
        <f t="shared" ca="1" si="194"/>
        <v>0</v>
      </c>
      <c r="N1235" s="996">
        <f t="shared" ca="1" si="195"/>
        <v>0</v>
      </c>
      <c r="O1235" s="997">
        <f t="shared" ca="1" si="196"/>
        <v>0</v>
      </c>
      <c r="P1235" s="1015" t="str">
        <f ca="1">IF($C1235="","",INDEX(NVLSX!$N$2:$N$6941,MATCH($C1235,NVLSX!$E$2:$E$6941,0)))</f>
        <v/>
      </c>
      <c r="Q1235" s="1016" t="str">
        <f ca="1">IF($R1235="","",IF(XKNVLSX!$X$1="",IF($P1235=$V$7,$P1235, IF(COUNTIFS($C$2:$C1234,$C1235,$E$2:$E1234,$E1235)&gt;=1,"",$P1235)),     IF(AND(IFERROR(SEARCH($R1235,XKNVLSX!$X$1,1),0)&gt;=1,$P1235=$V$7),$P1235, IF(OR($R1235&lt;&gt;IF(IFERROR(SEARCH($R1235,XKNVLSX!$X$1,1),0)&gt;=1,$R1235,XKNVLSX!$X$1),COUNTIFS($C$2:$C1234,$C1235,$E$2:$E1234,$E1235,$Q$2:$Q1234,$P1235)&gt;=1),"",$P1235))))</f>
        <v/>
      </c>
      <c r="R1235" s="1017" t="str">
        <f ca="1">IF($A1235="","",IFERROR(INDEX(TinhGia!$BF$10:$BF$81,MATCH($A1235,TinhGia!$B$10:$B$81,0)),""))</f>
        <v/>
      </c>
      <c r="S1235" s="1012" t="str">
        <f ca="1">IF($A1235="","",IF(OR(IFERROR(SEARCH($R1235,XKNVLSX!$X$1,1),0)&gt;=1,XKNVLSX!$X$1=""),$S$2,""))</f>
        <v/>
      </c>
      <c r="T1235" s="1018" t="str">
        <f ca="1">IF($C1235="","", IF(OR($P1235=$V$1,$P1235=$V$7,COUNTIFS($C$3:$C1235,$C1235,$E$3:$E1235,$E1235)&lt;=1),$P1235,""    ))</f>
        <v/>
      </c>
      <c r="U1235" s="1019" t="str">
        <f ca="1">IF(AND($P1235=$V$2,COUNTIFS($C$3:$C1235,$C1235,$E$3:$E1235,$E1235,$G$3:$G1235,$G1235)&lt;=1),$P1235,"")</f>
        <v/>
      </c>
    </row>
    <row r="1236" spans="1:21">
      <c r="A1236" s="991" t="str">
        <f ca="1">IFERROR(IF(COUNTIF($A$3:A1235,A1235)&lt; INDEX(TinhGia!$BH$10:$BH$81,MATCH($A1235,TinhGia!$B$10:$B$81,0)),$A1235,INDEX(TinhGia!$B$10:$B$81,MATCH($A1235,TinhGia!$B$10:$B$81,0)+1)),"")</f>
        <v/>
      </c>
      <c r="B1236" s="525" t="str">
        <f ca="1">IF(OR(A1236="",A1236=0),"",IF(COUNTIF($A$2:A1236,$A1236)=1,ROW(MauKoXoa!$C$108),$B1235+1))</f>
        <v/>
      </c>
      <c r="C1236" s="992" t="str">
        <f t="shared" ca="1" si="187"/>
        <v/>
      </c>
      <c r="D1236" s="993" t="str">
        <f t="shared" ca="1" si="188"/>
        <v/>
      </c>
      <c r="E1236" s="993" t="str">
        <f t="shared" ca="1" si="189"/>
        <v/>
      </c>
      <c r="F1236" s="992" t="str">
        <f t="shared" ca="1" si="197"/>
        <v/>
      </c>
      <c r="G1236" s="994">
        <f t="shared" ca="1" si="190"/>
        <v>0</v>
      </c>
      <c r="H1236" s="913">
        <f t="shared" ca="1" si="191"/>
        <v>0</v>
      </c>
      <c r="I1236" s="913">
        <f t="shared" ca="1" si="192"/>
        <v>0</v>
      </c>
      <c r="J1236" s="995">
        <f t="shared" ca="1" si="198"/>
        <v>0</v>
      </c>
      <c r="K1236" s="913">
        <f t="shared" ca="1" si="193"/>
        <v>0</v>
      </c>
      <c r="L1236" s="995">
        <f t="shared" ca="1" si="199"/>
        <v>0</v>
      </c>
      <c r="M1236" s="913">
        <f t="shared" ca="1" si="194"/>
        <v>0</v>
      </c>
      <c r="N1236" s="996">
        <f t="shared" ca="1" si="195"/>
        <v>0</v>
      </c>
      <c r="O1236" s="997">
        <f t="shared" ca="1" si="196"/>
        <v>0</v>
      </c>
      <c r="P1236" s="1015" t="str">
        <f ca="1">IF($C1236="","",INDEX(NVLSX!$N$2:$N$6941,MATCH($C1236,NVLSX!$E$2:$E$6941,0)))</f>
        <v/>
      </c>
      <c r="Q1236" s="1016" t="str">
        <f ca="1">IF($R1236="","",IF(XKNVLSX!$X$1="",IF($P1236=$V$7,$P1236, IF(COUNTIFS($C$2:$C1235,$C1236,$E$2:$E1235,$E1236)&gt;=1,"",$P1236)),     IF(AND(IFERROR(SEARCH($R1236,XKNVLSX!$X$1,1),0)&gt;=1,$P1236=$V$7),$P1236, IF(OR($R1236&lt;&gt;IF(IFERROR(SEARCH($R1236,XKNVLSX!$X$1,1),0)&gt;=1,$R1236,XKNVLSX!$X$1),COUNTIFS($C$2:$C1235,$C1236,$E$2:$E1235,$E1236,$Q$2:$Q1235,$P1236)&gt;=1),"",$P1236))))</f>
        <v/>
      </c>
      <c r="R1236" s="1017" t="str">
        <f ca="1">IF($A1236="","",IFERROR(INDEX(TinhGia!$BF$10:$BF$81,MATCH($A1236,TinhGia!$B$10:$B$81,0)),""))</f>
        <v/>
      </c>
      <c r="S1236" s="1012" t="str">
        <f ca="1">IF($A1236="","",IF(OR(IFERROR(SEARCH($R1236,XKNVLSX!$X$1,1),0)&gt;=1,XKNVLSX!$X$1=""),$S$2,""))</f>
        <v/>
      </c>
      <c r="T1236" s="1018" t="str">
        <f ca="1">IF($C1236="","", IF(OR($P1236=$V$1,$P1236=$V$7,COUNTIFS($C$3:$C1236,$C1236,$E$3:$E1236,$E1236)&lt;=1),$P1236,""    ))</f>
        <v/>
      </c>
      <c r="U1236" s="1019" t="str">
        <f ca="1">IF(AND($P1236=$V$2,COUNTIFS($C$3:$C1236,$C1236,$E$3:$E1236,$E1236,$G$3:$G1236,$G1236)&lt;=1),$P1236,"")</f>
        <v/>
      </c>
    </row>
    <row r="1237" spans="1:21">
      <c r="A1237" s="991" t="str">
        <f ca="1">IFERROR(IF(COUNTIF($A$3:A1236,A1236)&lt; INDEX(TinhGia!$BH$10:$BH$81,MATCH($A1236,TinhGia!$B$10:$B$81,0)),$A1236,INDEX(TinhGia!$B$10:$B$81,MATCH($A1236,TinhGia!$B$10:$B$81,0)+1)),"")</f>
        <v/>
      </c>
      <c r="B1237" s="525" t="str">
        <f ca="1">IF(OR(A1237="",A1237=0),"",IF(COUNTIF($A$2:A1237,$A1237)=1,ROW(MauKoXoa!$C$108),$B1236+1))</f>
        <v/>
      </c>
      <c r="C1237" s="992" t="str">
        <f t="shared" ca="1" si="187"/>
        <v/>
      </c>
      <c r="D1237" s="993" t="str">
        <f t="shared" ca="1" si="188"/>
        <v/>
      </c>
      <c r="E1237" s="993" t="str">
        <f t="shared" ca="1" si="189"/>
        <v/>
      </c>
      <c r="F1237" s="992" t="str">
        <f t="shared" ca="1" si="197"/>
        <v/>
      </c>
      <c r="G1237" s="994">
        <f t="shared" ca="1" si="190"/>
        <v>0</v>
      </c>
      <c r="H1237" s="913">
        <f t="shared" ca="1" si="191"/>
        <v>0</v>
      </c>
      <c r="I1237" s="913">
        <f t="shared" ca="1" si="192"/>
        <v>0</v>
      </c>
      <c r="J1237" s="995">
        <f t="shared" ca="1" si="198"/>
        <v>0</v>
      </c>
      <c r="K1237" s="913">
        <f t="shared" ca="1" si="193"/>
        <v>0</v>
      </c>
      <c r="L1237" s="995">
        <f t="shared" ca="1" si="199"/>
        <v>0</v>
      </c>
      <c r="M1237" s="913">
        <f t="shared" ca="1" si="194"/>
        <v>0</v>
      </c>
      <c r="N1237" s="996">
        <f t="shared" ca="1" si="195"/>
        <v>0</v>
      </c>
      <c r="O1237" s="997">
        <f t="shared" ca="1" si="196"/>
        <v>0</v>
      </c>
      <c r="P1237" s="1015" t="str">
        <f ca="1">IF($C1237="","",INDEX(NVLSX!$N$2:$N$6941,MATCH($C1237,NVLSX!$E$2:$E$6941,0)))</f>
        <v/>
      </c>
      <c r="Q1237" s="1016" t="str">
        <f ca="1">IF($R1237="","",IF(XKNVLSX!$X$1="",IF($P1237=$V$7,$P1237, IF(COUNTIFS($C$2:$C1236,$C1237,$E$2:$E1236,$E1237)&gt;=1,"",$P1237)),     IF(AND(IFERROR(SEARCH($R1237,XKNVLSX!$X$1,1),0)&gt;=1,$P1237=$V$7),$P1237, IF(OR($R1237&lt;&gt;IF(IFERROR(SEARCH($R1237,XKNVLSX!$X$1,1),0)&gt;=1,$R1237,XKNVLSX!$X$1),COUNTIFS($C$2:$C1236,$C1237,$E$2:$E1236,$E1237,$Q$2:$Q1236,$P1237)&gt;=1),"",$P1237))))</f>
        <v/>
      </c>
      <c r="R1237" s="1017" t="str">
        <f ca="1">IF($A1237="","",IFERROR(INDEX(TinhGia!$BF$10:$BF$81,MATCH($A1237,TinhGia!$B$10:$B$81,0)),""))</f>
        <v/>
      </c>
      <c r="S1237" s="1012" t="str">
        <f ca="1">IF($A1237="","",IF(OR(IFERROR(SEARCH($R1237,XKNVLSX!$X$1,1),0)&gt;=1,XKNVLSX!$X$1=""),$S$2,""))</f>
        <v/>
      </c>
      <c r="T1237" s="1018" t="str">
        <f ca="1">IF($C1237="","", IF(OR($P1237=$V$1,$P1237=$V$7,COUNTIFS($C$3:$C1237,$C1237,$E$3:$E1237,$E1237)&lt;=1),$P1237,""    ))</f>
        <v/>
      </c>
      <c r="U1237" s="1019" t="str">
        <f ca="1">IF(AND($P1237=$V$2,COUNTIFS($C$3:$C1237,$C1237,$E$3:$E1237,$E1237,$G$3:$G1237,$G1237)&lt;=1),$P1237,"")</f>
        <v/>
      </c>
    </row>
    <row r="1238" spans="1:21">
      <c r="A1238" s="991" t="str">
        <f ca="1">IFERROR(IF(COUNTIF($A$3:A1237,A1237)&lt; INDEX(TinhGia!$BH$10:$BH$81,MATCH($A1237,TinhGia!$B$10:$B$81,0)),$A1237,INDEX(TinhGia!$B$10:$B$81,MATCH($A1237,TinhGia!$B$10:$B$81,0)+1)),"")</f>
        <v/>
      </c>
      <c r="B1238" s="525" t="str">
        <f ca="1">IF(OR(A1238="",A1238=0),"",IF(COUNTIF($A$2:A1238,$A1238)=1,ROW(MauKoXoa!$C$108),$B1237+1))</f>
        <v/>
      </c>
      <c r="C1238" s="992" t="str">
        <f t="shared" ca="1" si="187"/>
        <v/>
      </c>
      <c r="D1238" s="993" t="str">
        <f t="shared" ca="1" si="188"/>
        <v/>
      </c>
      <c r="E1238" s="993" t="str">
        <f t="shared" ca="1" si="189"/>
        <v/>
      </c>
      <c r="F1238" s="992" t="str">
        <f t="shared" ca="1" si="197"/>
        <v/>
      </c>
      <c r="G1238" s="994">
        <f t="shared" ca="1" si="190"/>
        <v>0</v>
      </c>
      <c r="H1238" s="913">
        <f t="shared" ca="1" si="191"/>
        <v>0</v>
      </c>
      <c r="I1238" s="913">
        <f t="shared" ca="1" si="192"/>
        <v>0</v>
      </c>
      <c r="J1238" s="995">
        <f t="shared" ca="1" si="198"/>
        <v>0</v>
      </c>
      <c r="K1238" s="913">
        <f t="shared" ca="1" si="193"/>
        <v>0</v>
      </c>
      <c r="L1238" s="995">
        <f t="shared" ca="1" si="199"/>
        <v>0</v>
      </c>
      <c r="M1238" s="913">
        <f t="shared" ca="1" si="194"/>
        <v>0</v>
      </c>
      <c r="N1238" s="996">
        <f t="shared" ca="1" si="195"/>
        <v>0</v>
      </c>
      <c r="O1238" s="997">
        <f t="shared" ca="1" si="196"/>
        <v>0</v>
      </c>
      <c r="P1238" s="1015" t="str">
        <f ca="1">IF($C1238="","",INDEX(NVLSX!$N$2:$N$6941,MATCH($C1238,NVLSX!$E$2:$E$6941,0)))</f>
        <v/>
      </c>
      <c r="Q1238" s="1016" t="str">
        <f ca="1">IF($R1238="","",IF(XKNVLSX!$X$1="",IF($P1238=$V$7,$P1238, IF(COUNTIFS($C$2:$C1237,$C1238,$E$2:$E1237,$E1238)&gt;=1,"",$P1238)),     IF(AND(IFERROR(SEARCH($R1238,XKNVLSX!$X$1,1),0)&gt;=1,$P1238=$V$7),$P1238, IF(OR($R1238&lt;&gt;IF(IFERROR(SEARCH($R1238,XKNVLSX!$X$1,1),0)&gt;=1,$R1238,XKNVLSX!$X$1),COUNTIFS($C$2:$C1237,$C1238,$E$2:$E1237,$E1238,$Q$2:$Q1237,$P1238)&gt;=1),"",$P1238))))</f>
        <v/>
      </c>
      <c r="R1238" s="1017" t="str">
        <f ca="1">IF($A1238="","",IFERROR(INDEX(TinhGia!$BF$10:$BF$81,MATCH($A1238,TinhGia!$B$10:$B$81,0)),""))</f>
        <v/>
      </c>
      <c r="S1238" s="1012" t="str">
        <f ca="1">IF($A1238="","",IF(OR(IFERROR(SEARCH($R1238,XKNVLSX!$X$1,1),0)&gt;=1,XKNVLSX!$X$1=""),$S$2,""))</f>
        <v/>
      </c>
      <c r="T1238" s="1018" t="str">
        <f ca="1">IF($C1238="","", IF(OR($P1238=$V$1,$P1238=$V$7,COUNTIFS($C$3:$C1238,$C1238,$E$3:$E1238,$E1238)&lt;=1),$P1238,""    ))</f>
        <v/>
      </c>
      <c r="U1238" s="1019" t="str">
        <f ca="1">IF(AND($P1238=$V$2,COUNTIFS($C$3:$C1238,$C1238,$E$3:$E1238,$E1238,$G$3:$G1238,$G1238)&lt;=1),$P1238,"")</f>
        <v/>
      </c>
    </row>
    <row r="1239" spans="1:21">
      <c r="A1239" s="991" t="str">
        <f ca="1">IFERROR(IF(COUNTIF($A$3:A1238,A1238)&lt; INDEX(TinhGia!$BH$10:$BH$81,MATCH($A1238,TinhGia!$B$10:$B$81,0)),$A1238,INDEX(TinhGia!$B$10:$B$81,MATCH($A1238,TinhGia!$B$10:$B$81,0)+1)),"")</f>
        <v/>
      </c>
      <c r="B1239" s="525" t="str">
        <f ca="1">IF(OR(A1239="",A1239=0),"",IF(COUNTIF($A$2:A1239,$A1239)=1,ROW(MauKoXoa!$C$108),$B1238+1))</f>
        <v/>
      </c>
      <c r="C1239" s="992" t="str">
        <f t="shared" ca="1" si="187"/>
        <v/>
      </c>
      <c r="D1239" s="993" t="str">
        <f t="shared" ca="1" si="188"/>
        <v/>
      </c>
      <c r="E1239" s="993" t="str">
        <f t="shared" ca="1" si="189"/>
        <v/>
      </c>
      <c r="F1239" s="992" t="str">
        <f t="shared" ca="1" si="197"/>
        <v/>
      </c>
      <c r="G1239" s="994">
        <f t="shared" ca="1" si="190"/>
        <v>0</v>
      </c>
      <c r="H1239" s="913">
        <f t="shared" ca="1" si="191"/>
        <v>0</v>
      </c>
      <c r="I1239" s="913">
        <f t="shared" ca="1" si="192"/>
        <v>0</v>
      </c>
      <c r="J1239" s="995">
        <f t="shared" ca="1" si="198"/>
        <v>0</v>
      </c>
      <c r="K1239" s="913">
        <f t="shared" ca="1" si="193"/>
        <v>0</v>
      </c>
      <c r="L1239" s="995">
        <f t="shared" ca="1" si="199"/>
        <v>0</v>
      </c>
      <c r="M1239" s="913">
        <f t="shared" ca="1" si="194"/>
        <v>0</v>
      </c>
      <c r="N1239" s="996">
        <f t="shared" ca="1" si="195"/>
        <v>0</v>
      </c>
      <c r="O1239" s="997">
        <f t="shared" ca="1" si="196"/>
        <v>0</v>
      </c>
      <c r="P1239" s="1015" t="str">
        <f ca="1">IF($C1239="","",INDEX(NVLSX!$N$2:$N$6941,MATCH($C1239,NVLSX!$E$2:$E$6941,0)))</f>
        <v/>
      </c>
      <c r="Q1239" s="1016" t="str">
        <f ca="1">IF($R1239="","",IF(XKNVLSX!$X$1="",IF($P1239=$V$7,$P1239, IF(COUNTIFS($C$2:$C1238,$C1239,$E$2:$E1238,$E1239)&gt;=1,"",$P1239)),     IF(AND(IFERROR(SEARCH($R1239,XKNVLSX!$X$1,1),0)&gt;=1,$P1239=$V$7),$P1239, IF(OR($R1239&lt;&gt;IF(IFERROR(SEARCH($R1239,XKNVLSX!$X$1,1),0)&gt;=1,$R1239,XKNVLSX!$X$1),COUNTIFS($C$2:$C1238,$C1239,$E$2:$E1238,$E1239,$Q$2:$Q1238,$P1239)&gt;=1),"",$P1239))))</f>
        <v/>
      </c>
      <c r="R1239" s="1017" t="str">
        <f ca="1">IF($A1239="","",IFERROR(INDEX(TinhGia!$BF$10:$BF$81,MATCH($A1239,TinhGia!$B$10:$B$81,0)),""))</f>
        <v/>
      </c>
      <c r="S1239" s="1012" t="str">
        <f ca="1">IF($A1239="","",IF(OR(IFERROR(SEARCH($R1239,XKNVLSX!$X$1,1),0)&gt;=1,XKNVLSX!$X$1=""),$S$2,""))</f>
        <v/>
      </c>
      <c r="T1239" s="1018" t="str">
        <f ca="1">IF($C1239="","", IF(OR($P1239=$V$1,$P1239=$V$7,COUNTIFS($C$3:$C1239,$C1239,$E$3:$E1239,$E1239)&lt;=1),$P1239,""    ))</f>
        <v/>
      </c>
      <c r="U1239" s="1019" t="str">
        <f ca="1">IF(AND($P1239=$V$2,COUNTIFS($C$3:$C1239,$C1239,$E$3:$E1239,$E1239,$G$3:$G1239,$G1239)&lt;=1),$P1239,"")</f>
        <v/>
      </c>
    </row>
    <row r="1240" spans="1:21">
      <c r="A1240" s="991" t="str">
        <f ca="1">IFERROR(IF(COUNTIF($A$3:A1239,A1239)&lt; INDEX(TinhGia!$BH$10:$BH$81,MATCH($A1239,TinhGia!$B$10:$B$81,0)),$A1239,INDEX(TinhGia!$B$10:$B$81,MATCH($A1239,TinhGia!$B$10:$B$81,0)+1)),"")</f>
        <v/>
      </c>
      <c r="B1240" s="525" t="str">
        <f ca="1">IF(OR(A1240="",A1240=0),"",IF(COUNTIF($A$2:A1240,$A1240)=1,ROW(MauKoXoa!$C$108),$B1239+1))</f>
        <v/>
      </c>
      <c r="C1240" s="992" t="str">
        <f t="shared" ca="1" si="187"/>
        <v/>
      </c>
      <c r="D1240" s="993" t="str">
        <f t="shared" ca="1" si="188"/>
        <v/>
      </c>
      <c r="E1240" s="993" t="str">
        <f t="shared" ca="1" si="189"/>
        <v/>
      </c>
      <c r="F1240" s="992" t="str">
        <f t="shared" ca="1" si="197"/>
        <v/>
      </c>
      <c r="G1240" s="994">
        <f t="shared" ca="1" si="190"/>
        <v>0</v>
      </c>
      <c r="H1240" s="913">
        <f t="shared" ca="1" si="191"/>
        <v>0</v>
      </c>
      <c r="I1240" s="913">
        <f t="shared" ca="1" si="192"/>
        <v>0</v>
      </c>
      <c r="J1240" s="995">
        <f t="shared" ca="1" si="198"/>
        <v>0</v>
      </c>
      <c r="K1240" s="913">
        <f t="shared" ca="1" si="193"/>
        <v>0</v>
      </c>
      <c r="L1240" s="995">
        <f t="shared" ca="1" si="199"/>
        <v>0</v>
      </c>
      <c r="M1240" s="913">
        <f t="shared" ca="1" si="194"/>
        <v>0</v>
      </c>
      <c r="N1240" s="996">
        <f t="shared" ca="1" si="195"/>
        <v>0</v>
      </c>
      <c r="O1240" s="997">
        <f t="shared" ca="1" si="196"/>
        <v>0</v>
      </c>
      <c r="P1240" s="1015" t="str">
        <f ca="1">IF($C1240="","",INDEX(NVLSX!$N$2:$N$6941,MATCH($C1240,NVLSX!$E$2:$E$6941,0)))</f>
        <v/>
      </c>
      <c r="Q1240" s="1016" t="str">
        <f ca="1">IF($R1240="","",IF(XKNVLSX!$X$1="",IF($P1240=$V$7,$P1240, IF(COUNTIFS($C$2:$C1239,$C1240,$E$2:$E1239,$E1240)&gt;=1,"",$P1240)),     IF(AND(IFERROR(SEARCH($R1240,XKNVLSX!$X$1,1),0)&gt;=1,$P1240=$V$7),$P1240, IF(OR($R1240&lt;&gt;IF(IFERROR(SEARCH($R1240,XKNVLSX!$X$1,1),0)&gt;=1,$R1240,XKNVLSX!$X$1),COUNTIFS($C$2:$C1239,$C1240,$E$2:$E1239,$E1240,$Q$2:$Q1239,$P1240)&gt;=1),"",$P1240))))</f>
        <v/>
      </c>
      <c r="R1240" s="1017" t="str">
        <f ca="1">IF($A1240="","",IFERROR(INDEX(TinhGia!$BF$10:$BF$81,MATCH($A1240,TinhGia!$B$10:$B$81,0)),""))</f>
        <v/>
      </c>
      <c r="S1240" s="1012" t="str">
        <f ca="1">IF($A1240="","",IF(OR(IFERROR(SEARCH($R1240,XKNVLSX!$X$1,1),0)&gt;=1,XKNVLSX!$X$1=""),$S$2,""))</f>
        <v/>
      </c>
      <c r="T1240" s="1018" t="str">
        <f ca="1">IF($C1240="","", IF(OR($P1240=$V$1,$P1240=$V$7,COUNTIFS($C$3:$C1240,$C1240,$E$3:$E1240,$E1240)&lt;=1),$P1240,""    ))</f>
        <v/>
      </c>
      <c r="U1240" s="1019" t="str">
        <f ca="1">IF(AND($P1240=$V$2,COUNTIFS($C$3:$C1240,$C1240,$E$3:$E1240,$E1240,$G$3:$G1240,$G1240)&lt;=1),$P1240,"")</f>
        <v/>
      </c>
    </row>
    <row r="1241" spans="1:21">
      <c r="A1241" s="991" t="str">
        <f ca="1">IFERROR(IF(COUNTIF($A$3:A1240,A1240)&lt; INDEX(TinhGia!$BH$10:$BH$81,MATCH($A1240,TinhGia!$B$10:$B$81,0)),$A1240,INDEX(TinhGia!$B$10:$B$81,MATCH($A1240,TinhGia!$B$10:$B$81,0)+1)),"")</f>
        <v/>
      </c>
      <c r="B1241" s="525" t="str">
        <f ca="1">IF(OR(A1241="",A1241=0),"",IF(COUNTIF($A$2:A1241,$A1241)=1,ROW(MauKoXoa!$C$108),$B1240+1))</f>
        <v/>
      </c>
      <c r="C1241" s="992" t="str">
        <f t="shared" ca="1" si="187"/>
        <v/>
      </c>
      <c r="D1241" s="993" t="str">
        <f t="shared" ca="1" si="188"/>
        <v/>
      </c>
      <c r="E1241" s="993" t="str">
        <f t="shared" ca="1" si="189"/>
        <v/>
      </c>
      <c r="F1241" s="992" t="str">
        <f t="shared" ca="1" si="197"/>
        <v/>
      </c>
      <c r="G1241" s="994">
        <f t="shared" ca="1" si="190"/>
        <v>0</v>
      </c>
      <c r="H1241" s="913">
        <f t="shared" ca="1" si="191"/>
        <v>0</v>
      </c>
      <c r="I1241" s="913">
        <f t="shared" ca="1" si="192"/>
        <v>0</v>
      </c>
      <c r="J1241" s="995">
        <f t="shared" ca="1" si="198"/>
        <v>0</v>
      </c>
      <c r="K1241" s="913">
        <f t="shared" ca="1" si="193"/>
        <v>0</v>
      </c>
      <c r="L1241" s="995">
        <f t="shared" ca="1" si="199"/>
        <v>0</v>
      </c>
      <c r="M1241" s="913">
        <f t="shared" ca="1" si="194"/>
        <v>0</v>
      </c>
      <c r="N1241" s="996">
        <f t="shared" ca="1" si="195"/>
        <v>0</v>
      </c>
      <c r="O1241" s="997">
        <f t="shared" ca="1" si="196"/>
        <v>0</v>
      </c>
      <c r="P1241" s="1015" t="str">
        <f ca="1">IF($C1241="","",INDEX(NVLSX!$N$2:$N$6941,MATCH($C1241,NVLSX!$E$2:$E$6941,0)))</f>
        <v/>
      </c>
      <c r="Q1241" s="1016" t="str">
        <f ca="1">IF($R1241="","",IF(XKNVLSX!$X$1="",IF($P1241=$V$7,$P1241, IF(COUNTIFS($C$2:$C1240,$C1241,$E$2:$E1240,$E1241)&gt;=1,"",$P1241)),     IF(AND(IFERROR(SEARCH($R1241,XKNVLSX!$X$1,1),0)&gt;=1,$P1241=$V$7),$P1241, IF(OR($R1241&lt;&gt;IF(IFERROR(SEARCH($R1241,XKNVLSX!$X$1,1),0)&gt;=1,$R1241,XKNVLSX!$X$1),COUNTIFS($C$2:$C1240,$C1241,$E$2:$E1240,$E1241,$Q$2:$Q1240,$P1241)&gt;=1),"",$P1241))))</f>
        <v/>
      </c>
      <c r="R1241" s="1017" t="str">
        <f ca="1">IF($A1241="","",IFERROR(INDEX(TinhGia!$BF$10:$BF$81,MATCH($A1241,TinhGia!$B$10:$B$81,0)),""))</f>
        <v/>
      </c>
      <c r="S1241" s="1012" t="str">
        <f ca="1">IF($A1241="","",IF(OR(IFERROR(SEARCH($R1241,XKNVLSX!$X$1,1),0)&gt;=1,XKNVLSX!$X$1=""),$S$2,""))</f>
        <v/>
      </c>
      <c r="T1241" s="1018" t="str">
        <f ca="1">IF($C1241="","", IF(OR($P1241=$V$1,$P1241=$V$7,COUNTIFS($C$3:$C1241,$C1241,$E$3:$E1241,$E1241)&lt;=1),$P1241,""    ))</f>
        <v/>
      </c>
      <c r="U1241" s="1019" t="str">
        <f ca="1">IF(AND($P1241=$V$2,COUNTIFS($C$3:$C1241,$C1241,$E$3:$E1241,$E1241,$G$3:$G1241,$G1241)&lt;=1),$P1241,"")</f>
        <v/>
      </c>
    </row>
    <row r="1242" spans="1:21">
      <c r="A1242" s="991" t="str">
        <f ca="1">IFERROR(IF(COUNTIF($A$3:A1241,A1241)&lt; INDEX(TinhGia!$BH$10:$BH$81,MATCH($A1241,TinhGia!$B$10:$B$81,0)),$A1241,INDEX(TinhGia!$B$10:$B$81,MATCH($A1241,TinhGia!$B$10:$B$81,0)+1)),"")</f>
        <v/>
      </c>
      <c r="B1242" s="525" t="str">
        <f ca="1">IF(OR(A1242="",A1242=0),"",IF(COUNTIF($A$2:A1242,$A1242)=1,ROW(MauKoXoa!$C$108),$B1241+1))</f>
        <v/>
      </c>
      <c r="C1242" s="992" t="str">
        <f t="shared" ca="1" si="187"/>
        <v/>
      </c>
      <c r="D1242" s="993" t="str">
        <f t="shared" ca="1" si="188"/>
        <v/>
      </c>
      <c r="E1242" s="993" t="str">
        <f t="shared" ca="1" si="189"/>
        <v/>
      </c>
      <c r="F1242" s="992" t="str">
        <f t="shared" ca="1" si="197"/>
        <v/>
      </c>
      <c r="G1242" s="994">
        <f t="shared" ca="1" si="190"/>
        <v>0</v>
      </c>
      <c r="H1242" s="913">
        <f t="shared" ca="1" si="191"/>
        <v>0</v>
      </c>
      <c r="I1242" s="913">
        <f t="shared" ca="1" si="192"/>
        <v>0</v>
      </c>
      <c r="J1242" s="995">
        <f t="shared" ca="1" si="198"/>
        <v>0</v>
      </c>
      <c r="K1242" s="913">
        <f t="shared" ca="1" si="193"/>
        <v>0</v>
      </c>
      <c r="L1242" s="995">
        <f t="shared" ca="1" si="199"/>
        <v>0</v>
      </c>
      <c r="M1242" s="913">
        <f t="shared" ca="1" si="194"/>
        <v>0</v>
      </c>
      <c r="N1242" s="996">
        <f t="shared" ca="1" si="195"/>
        <v>0</v>
      </c>
      <c r="O1242" s="997">
        <f t="shared" ca="1" si="196"/>
        <v>0</v>
      </c>
      <c r="P1242" s="1015" t="str">
        <f ca="1">IF($C1242="","",INDEX(NVLSX!$N$2:$N$6941,MATCH($C1242,NVLSX!$E$2:$E$6941,0)))</f>
        <v/>
      </c>
      <c r="Q1242" s="1016" t="str">
        <f ca="1">IF($R1242="","",IF(XKNVLSX!$X$1="",IF($P1242=$V$7,$P1242, IF(COUNTIFS($C$2:$C1241,$C1242,$E$2:$E1241,$E1242)&gt;=1,"",$P1242)),     IF(AND(IFERROR(SEARCH($R1242,XKNVLSX!$X$1,1),0)&gt;=1,$P1242=$V$7),$P1242, IF(OR($R1242&lt;&gt;IF(IFERROR(SEARCH($R1242,XKNVLSX!$X$1,1),0)&gt;=1,$R1242,XKNVLSX!$X$1),COUNTIFS($C$2:$C1241,$C1242,$E$2:$E1241,$E1242,$Q$2:$Q1241,$P1242)&gt;=1),"",$P1242))))</f>
        <v/>
      </c>
      <c r="R1242" s="1017" t="str">
        <f ca="1">IF($A1242="","",IFERROR(INDEX(TinhGia!$BF$10:$BF$81,MATCH($A1242,TinhGia!$B$10:$B$81,0)),""))</f>
        <v/>
      </c>
      <c r="S1242" s="1012" t="str">
        <f ca="1">IF($A1242="","",IF(OR(IFERROR(SEARCH($R1242,XKNVLSX!$X$1,1),0)&gt;=1,XKNVLSX!$X$1=""),$S$2,""))</f>
        <v/>
      </c>
      <c r="T1242" s="1018" t="str">
        <f ca="1">IF($C1242="","", IF(OR($P1242=$V$1,$P1242=$V$7,COUNTIFS($C$3:$C1242,$C1242,$E$3:$E1242,$E1242)&lt;=1),$P1242,""    ))</f>
        <v/>
      </c>
      <c r="U1242" s="1019" t="str">
        <f ca="1">IF(AND($P1242=$V$2,COUNTIFS($C$3:$C1242,$C1242,$E$3:$E1242,$E1242,$G$3:$G1242,$G1242)&lt;=1),$P1242,"")</f>
        <v/>
      </c>
    </row>
    <row r="1243" spans="1:21">
      <c r="A1243" s="991" t="str">
        <f ca="1">IFERROR(IF(COUNTIF($A$3:A1242,A1242)&lt; INDEX(TinhGia!$BH$10:$BH$81,MATCH($A1242,TinhGia!$B$10:$B$81,0)),$A1242,INDEX(TinhGia!$B$10:$B$81,MATCH($A1242,TinhGia!$B$10:$B$81,0)+1)),"")</f>
        <v/>
      </c>
      <c r="B1243" s="525" t="str">
        <f ca="1">IF(OR(A1243="",A1243=0),"",IF(COUNTIF($A$2:A1243,$A1243)=1,ROW(MauKoXoa!$C$108),$B1242+1))</f>
        <v/>
      </c>
      <c r="C1243" s="992" t="str">
        <f t="shared" ca="1" si="187"/>
        <v/>
      </c>
      <c r="D1243" s="993" t="str">
        <f t="shared" ca="1" si="188"/>
        <v/>
      </c>
      <c r="E1243" s="993" t="str">
        <f t="shared" ca="1" si="189"/>
        <v/>
      </c>
      <c r="F1243" s="992" t="str">
        <f t="shared" ca="1" si="197"/>
        <v/>
      </c>
      <c r="G1243" s="994">
        <f t="shared" ca="1" si="190"/>
        <v>0</v>
      </c>
      <c r="H1243" s="913">
        <f t="shared" ca="1" si="191"/>
        <v>0</v>
      </c>
      <c r="I1243" s="913">
        <f t="shared" ca="1" si="192"/>
        <v>0</v>
      </c>
      <c r="J1243" s="995">
        <f t="shared" ca="1" si="198"/>
        <v>0</v>
      </c>
      <c r="K1243" s="913">
        <f t="shared" ca="1" si="193"/>
        <v>0</v>
      </c>
      <c r="L1243" s="995">
        <f t="shared" ca="1" si="199"/>
        <v>0</v>
      </c>
      <c r="M1243" s="913">
        <f t="shared" ca="1" si="194"/>
        <v>0</v>
      </c>
      <c r="N1243" s="996">
        <f t="shared" ca="1" si="195"/>
        <v>0</v>
      </c>
      <c r="O1243" s="997">
        <f t="shared" ca="1" si="196"/>
        <v>0</v>
      </c>
      <c r="P1243" s="1015" t="str">
        <f ca="1">IF($C1243="","",INDEX(NVLSX!$N$2:$N$6941,MATCH($C1243,NVLSX!$E$2:$E$6941,0)))</f>
        <v/>
      </c>
      <c r="Q1243" s="1016" t="str">
        <f ca="1">IF($R1243="","",IF(XKNVLSX!$X$1="",IF($P1243=$V$7,$P1243, IF(COUNTIFS($C$2:$C1242,$C1243,$E$2:$E1242,$E1243)&gt;=1,"",$P1243)),     IF(AND(IFERROR(SEARCH($R1243,XKNVLSX!$X$1,1),0)&gt;=1,$P1243=$V$7),$P1243, IF(OR($R1243&lt;&gt;IF(IFERROR(SEARCH($R1243,XKNVLSX!$X$1,1),0)&gt;=1,$R1243,XKNVLSX!$X$1),COUNTIFS($C$2:$C1242,$C1243,$E$2:$E1242,$E1243,$Q$2:$Q1242,$P1243)&gt;=1),"",$P1243))))</f>
        <v/>
      </c>
      <c r="R1243" s="1017" t="str">
        <f ca="1">IF($A1243="","",IFERROR(INDEX(TinhGia!$BF$10:$BF$81,MATCH($A1243,TinhGia!$B$10:$B$81,0)),""))</f>
        <v/>
      </c>
      <c r="S1243" s="1012" t="str">
        <f ca="1">IF($A1243="","",IF(OR(IFERROR(SEARCH($R1243,XKNVLSX!$X$1,1),0)&gt;=1,XKNVLSX!$X$1=""),$S$2,""))</f>
        <v/>
      </c>
      <c r="T1243" s="1018" t="str">
        <f ca="1">IF($C1243="","", IF(OR($P1243=$V$1,$P1243=$V$7,COUNTIFS($C$3:$C1243,$C1243,$E$3:$E1243,$E1243)&lt;=1),$P1243,""    ))</f>
        <v/>
      </c>
      <c r="U1243" s="1019" t="str">
        <f ca="1">IF(AND($P1243=$V$2,COUNTIFS($C$3:$C1243,$C1243,$E$3:$E1243,$E1243,$G$3:$G1243,$G1243)&lt;=1),$P1243,"")</f>
        <v/>
      </c>
    </row>
    <row r="1244" spans="1:21">
      <c r="A1244" s="991" t="str">
        <f ca="1">IFERROR(IF(COUNTIF($A$3:A1243,A1243)&lt; INDEX(TinhGia!$BH$10:$BH$81,MATCH($A1243,TinhGia!$B$10:$B$81,0)),$A1243,INDEX(TinhGia!$B$10:$B$81,MATCH($A1243,TinhGia!$B$10:$B$81,0)+1)),"")</f>
        <v/>
      </c>
      <c r="B1244" s="525" t="str">
        <f ca="1">IF(OR(A1244="",A1244=0),"",IF(COUNTIF($A$2:A1244,$A1244)=1,ROW(MauKoXoa!$C$108),$B1243+1))</f>
        <v/>
      </c>
      <c r="C1244" s="992" t="str">
        <f t="shared" ca="1" si="187"/>
        <v/>
      </c>
      <c r="D1244" s="993" t="str">
        <f t="shared" ca="1" si="188"/>
        <v/>
      </c>
      <c r="E1244" s="993" t="str">
        <f t="shared" ca="1" si="189"/>
        <v/>
      </c>
      <c r="F1244" s="992" t="str">
        <f t="shared" ca="1" si="197"/>
        <v/>
      </c>
      <c r="G1244" s="994">
        <f t="shared" ca="1" si="190"/>
        <v>0</v>
      </c>
      <c r="H1244" s="913">
        <f t="shared" ca="1" si="191"/>
        <v>0</v>
      </c>
      <c r="I1244" s="913">
        <f t="shared" ca="1" si="192"/>
        <v>0</v>
      </c>
      <c r="J1244" s="995">
        <f t="shared" ca="1" si="198"/>
        <v>0</v>
      </c>
      <c r="K1244" s="913">
        <f t="shared" ca="1" si="193"/>
        <v>0</v>
      </c>
      <c r="L1244" s="995">
        <f t="shared" ca="1" si="199"/>
        <v>0</v>
      </c>
      <c r="M1244" s="913">
        <f t="shared" ca="1" si="194"/>
        <v>0</v>
      </c>
      <c r="N1244" s="996">
        <f t="shared" ca="1" si="195"/>
        <v>0</v>
      </c>
      <c r="O1244" s="997">
        <f t="shared" ca="1" si="196"/>
        <v>0</v>
      </c>
      <c r="P1244" s="1015" t="str">
        <f ca="1">IF($C1244="","",INDEX(NVLSX!$N$2:$N$6941,MATCH($C1244,NVLSX!$E$2:$E$6941,0)))</f>
        <v/>
      </c>
      <c r="Q1244" s="1016" t="str">
        <f ca="1">IF($R1244="","",IF(XKNVLSX!$X$1="",IF($P1244=$V$7,$P1244, IF(COUNTIFS($C$2:$C1243,$C1244,$E$2:$E1243,$E1244)&gt;=1,"",$P1244)),     IF(AND(IFERROR(SEARCH($R1244,XKNVLSX!$X$1,1),0)&gt;=1,$P1244=$V$7),$P1244, IF(OR($R1244&lt;&gt;IF(IFERROR(SEARCH($R1244,XKNVLSX!$X$1,1),0)&gt;=1,$R1244,XKNVLSX!$X$1),COUNTIFS($C$2:$C1243,$C1244,$E$2:$E1243,$E1244,$Q$2:$Q1243,$P1244)&gt;=1),"",$P1244))))</f>
        <v/>
      </c>
      <c r="R1244" s="1017" t="str">
        <f ca="1">IF($A1244="","",IFERROR(INDEX(TinhGia!$BF$10:$BF$81,MATCH($A1244,TinhGia!$B$10:$B$81,0)),""))</f>
        <v/>
      </c>
      <c r="S1244" s="1012" t="str">
        <f ca="1">IF($A1244="","",IF(OR(IFERROR(SEARCH($R1244,XKNVLSX!$X$1,1),0)&gt;=1,XKNVLSX!$X$1=""),$S$2,""))</f>
        <v/>
      </c>
      <c r="T1244" s="1018" t="str">
        <f ca="1">IF($C1244="","", IF(OR($P1244=$V$1,$P1244=$V$7,COUNTIFS($C$3:$C1244,$C1244,$E$3:$E1244,$E1244)&lt;=1),$P1244,""    ))</f>
        <v/>
      </c>
      <c r="U1244" s="1019" t="str">
        <f ca="1">IF(AND($P1244=$V$2,COUNTIFS($C$3:$C1244,$C1244,$E$3:$E1244,$E1244,$G$3:$G1244,$G1244)&lt;=1),$P1244,"")</f>
        <v/>
      </c>
    </row>
    <row r="1245" spans="1:21">
      <c r="A1245" s="991" t="str">
        <f ca="1">IFERROR(IF(COUNTIF($A$3:A1244,A1244)&lt; INDEX(TinhGia!$BH$10:$BH$81,MATCH($A1244,TinhGia!$B$10:$B$81,0)),$A1244,INDEX(TinhGia!$B$10:$B$81,MATCH($A1244,TinhGia!$B$10:$B$81,0)+1)),"")</f>
        <v/>
      </c>
      <c r="B1245" s="525" t="str">
        <f ca="1">IF(OR(A1245="",A1245=0),"",IF(COUNTIF($A$2:A1245,$A1245)=1,ROW(MauKoXoa!$C$108),$B1244+1))</f>
        <v/>
      </c>
      <c r="C1245" s="992" t="str">
        <f t="shared" ca="1" si="187"/>
        <v/>
      </c>
      <c r="D1245" s="993" t="str">
        <f t="shared" ca="1" si="188"/>
        <v/>
      </c>
      <c r="E1245" s="993" t="str">
        <f t="shared" ca="1" si="189"/>
        <v/>
      </c>
      <c r="F1245" s="992" t="str">
        <f t="shared" ca="1" si="197"/>
        <v/>
      </c>
      <c r="G1245" s="994">
        <f t="shared" ca="1" si="190"/>
        <v>0</v>
      </c>
      <c r="H1245" s="913">
        <f t="shared" ca="1" si="191"/>
        <v>0</v>
      </c>
      <c r="I1245" s="913">
        <f t="shared" ca="1" si="192"/>
        <v>0</v>
      </c>
      <c r="J1245" s="995">
        <f t="shared" ca="1" si="198"/>
        <v>0</v>
      </c>
      <c r="K1245" s="913">
        <f t="shared" ca="1" si="193"/>
        <v>0</v>
      </c>
      <c r="L1245" s="995">
        <f t="shared" ca="1" si="199"/>
        <v>0</v>
      </c>
      <c r="M1245" s="913">
        <f t="shared" ca="1" si="194"/>
        <v>0</v>
      </c>
      <c r="N1245" s="996">
        <f t="shared" ca="1" si="195"/>
        <v>0</v>
      </c>
      <c r="O1245" s="997">
        <f t="shared" ca="1" si="196"/>
        <v>0</v>
      </c>
      <c r="P1245" s="1015" t="str">
        <f ca="1">IF($C1245="","",INDEX(NVLSX!$N$2:$N$6941,MATCH($C1245,NVLSX!$E$2:$E$6941,0)))</f>
        <v/>
      </c>
      <c r="Q1245" s="1016" t="str">
        <f ca="1">IF($R1245="","",IF(XKNVLSX!$X$1="",IF($P1245=$V$7,$P1245, IF(COUNTIFS($C$2:$C1244,$C1245,$E$2:$E1244,$E1245)&gt;=1,"",$P1245)),     IF(AND(IFERROR(SEARCH($R1245,XKNVLSX!$X$1,1),0)&gt;=1,$P1245=$V$7),$P1245, IF(OR($R1245&lt;&gt;IF(IFERROR(SEARCH($R1245,XKNVLSX!$X$1,1),0)&gt;=1,$R1245,XKNVLSX!$X$1),COUNTIFS($C$2:$C1244,$C1245,$E$2:$E1244,$E1245,$Q$2:$Q1244,$P1245)&gt;=1),"",$P1245))))</f>
        <v/>
      </c>
      <c r="R1245" s="1017" t="str">
        <f ca="1">IF($A1245="","",IFERROR(INDEX(TinhGia!$BF$10:$BF$81,MATCH($A1245,TinhGia!$B$10:$B$81,0)),""))</f>
        <v/>
      </c>
      <c r="S1245" s="1012" t="str">
        <f ca="1">IF($A1245="","",IF(OR(IFERROR(SEARCH($R1245,XKNVLSX!$X$1,1),0)&gt;=1,XKNVLSX!$X$1=""),$S$2,""))</f>
        <v/>
      </c>
      <c r="T1245" s="1018" t="str">
        <f ca="1">IF($C1245="","", IF(OR($P1245=$V$1,$P1245=$V$7,COUNTIFS($C$3:$C1245,$C1245,$E$3:$E1245,$E1245)&lt;=1),$P1245,""    ))</f>
        <v/>
      </c>
      <c r="U1245" s="1019" t="str">
        <f ca="1">IF(AND($P1245=$V$2,COUNTIFS($C$3:$C1245,$C1245,$E$3:$E1245,$E1245,$G$3:$G1245,$G1245)&lt;=1),$P1245,"")</f>
        <v/>
      </c>
    </row>
    <row r="1246" spans="1:21">
      <c r="A1246" s="991" t="str">
        <f ca="1">IFERROR(IF(COUNTIF($A$3:A1245,A1245)&lt; INDEX(TinhGia!$BH$10:$BH$81,MATCH($A1245,TinhGia!$B$10:$B$81,0)),$A1245,INDEX(TinhGia!$B$10:$B$81,MATCH($A1245,TinhGia!$B$10:$B$81,0)+1)),"")</f>
        <v/>
      </c>
      <c r="B1246" s="525" t="str">
        <f ca="1">IF(OR(A1246="",A1246=0),"",IF(COUNTIF($A$2:A1246,$A1246)=1,ROW(MauKoXoa!$C$108),$B1245+1))</f>
        <v/>
      </c>
      <c r="C1246" s="992" t="str">
        <f t="shared" ca="1" si="187"/>
        <v/>
      </c>
      <c r="D1246" s="993" t="str">
        <f t="shared" ca="1" si="188"/>
        <v/>
      </c>
      <c r="E1246" s="993" t="str">
        <f t="shared" ca="1" si="189"/>
        <v/>
      </c>
      <c r="F1246" s="992" t="str">
        <f t="shared" ca="1" si="197"/>
        <v/>
      </c>
      <c r="G1246" s="994">
        <f t="shared" ca="1" si="190"/>
        <v>0</v>
      </c>
      <c r="H1246" s="913">
        <f t="shared" ca="1" si="191"/>
        <v>0</v>
      </c>
      <c r="I1246" s="913">
        <f t="shared" ca="1" si="192"/>
        <v>0</v>
      </c>
      <c r="J1246" s="995">
        <f t="shared" ca="1" si="198"/>
        <v>0</v>
      </c>
      <c r="K1246" s="913">
        <f t="shared" ca="1" si="193"/>
        <v>0</v>
      </c>
      <c r="L1246" s="995">
        <f t="shared" ca="1" si="199"/>
        <v>0</v>
      </c>
      <c r="M1246" s="913">
        <f t="shared" ca="1" si="194"/>
        <v>0</v>
      </c>
      <c r="N1246" s="996">
        <f t="shared" ca="1" si="195"/>
        <v>0</v>
      </c>
      <c r="O1246" s="997">
        <f t="shared" ca="1" si="196"/>
        <v>0</v>
      </c>
      <c r="P1246" s="1015" t="str">
        <f ca="1">IF($C1246="","",INDEX(NVLSX!$N$2:$N$6941,MATCH($C1246,NVLSX!$E$2:$E$6941,0)))</f>
        <v/>
      </c>
      <c r="Q1246" s="1016" t="str">
        <f ca="1">IF($R1246="","",IF(XKNVLSX!$X$1="",IF($P1246=$V$7,$P1246, IF(COUNTIFS($C$2:$C1245,$C1246,$E$2:$E1245,$E1246)&gt;=1,"",$P1246)),     IF(AND(IFERROR(SEARCH($R1246,XKNVLSX!$X$1,1),0)&gt;=1,$P1246=$V$7),$P1246, IF(OR($R1246&lt;&gt;IF(IFERROR(SEARCH($R1246,XKNVLSX!$X$1,1),0)&gt;=1,$R1246,XKNVLSX!$X$1),COUNTIFS($C$2:$C1245,$C1246,$E$2:$E1245,$E1246,$Q$2:$Q1245,$P1246)&gt;=1),"",$P1246))))</f>
        <v/>
      </c>
      <c r="R1246" s="1017" t="str">
        <f ca="1">IF($A1246="","",IFERROR(INDEX(TinhGia!$BF$10:$BF$81,MATCH($A1246,TinhGia!$B$10:$B$81,0)),""))</f>
        <v/>
      </c>
      <c r="S1246" s="1012" t="str">
        <f ca="1">IF($A1246="","",IF(OR(IFERROR(SEARCH($R1246,XKNVLSX!$X$1,1),0)&gt;=1,XKNVLSX!$X$1=""),$S$2,""))</f>
        <v/>
      </c>
      <c r="T1246" s="1018" t="str">
        <f ca="1">IF($C1246="","", IF(OR($P1246=$V$1,$P1246=$V$7,COUNTIFS($C$3:$C1246,$C1246,$E$3:$E1246,$E1246)&lt;=1),$P1246,""    ))</f>
        <v/>
      </c>
      <c r="U1246" s="1019" t="str">
        <f ca="1">IF(AND($P1246=$V$2,COUNTIFS($C$3:$C1246,$C1246,$E$3:$E1246,$E1246,$G$3:$G1246,$G1246)&lt;=1),$P1246,"")</f>
        <v/>
      </c>
    </row>
    <row r="1247" spans="1:21">
      <c r="A1247" s="991" t="str">
        <f ca="1">IFERROR(IF(COUNTIF($A$3:A1246,A1246)&lt; INDEX(TinhGia!$BH$10:$BH$81,MATCH($A1246,TinhGia!$B$10:$B$81,0)),$A1246,INDEX(TinhGia!$B$10:$B$81,MATCH($A1246,TinhGia!$B$10:$B$81,0)+1)),"")</f>
        <v/>
      </c>
      <c r="B1247" s="525" t="str">
        <f ca="1">IF(OR(A1247="",A1247=0),"",IF(COUNTIF($A$2:A1247,$A1247)=1,ROW(MauKoXoa!$C$108),$B1246+1))</f>
        <v/>
      </c>
      <c r="C1247" s="992" t="str">
        <f t="shared" ca="1" si="187"/>
        <v/>
      </c>
      <c r="D1247" s="993" t="str">
        <f t="shared" ca="1" si="188"/>
        <v/>
      </c>
      <c r="E1247" s="993" t="str">
        <f t="shared" ca="1" si="189"/>
        <v/>
      </c>
      <c r="F1247" s="992" t="str">
        <f t="shared" ca="1" si="197"/>
        <v/>
      </c>
      <c r="G1247" s="994">
        <f t="shared" ca="1" si="190"/>
        <v>0</v>
      </c>
      <c r="H1247" s="913">
        <f t="shared" ca="1" si="191"/>
        <v>0</v>
      </c>
      <c r="I1247" s="913">
        <f t="shared" ca="1" si="192"/>
        <v>0</v>
      </c>
      <c r="J1247" s="995">
        <f t="shared" ca="1" si="198"/>
        <v>0</v>
      </c>
      <c r="K1247" s="913">
        <f t="shared" ca="1" si="193"/>
        <v>0</v>
      </c>
      <c r="L1247" s="995">
        <f t="shared" ca="1" si="199"/>
        <v>0</v>
      </c>
      <c r="M1247" s="913">
        <f t="shared" ca="1" si="194"/>
        <v>0</v>
      </c>
      <c r="N1247" s="996">
        <f t="shared" ca="1" si="195"/>
        <v>0</v>
      </c>
      <c r="O1247" s="997">
        <f t="shared" ca="1" si="196"/>
        <v>0</v>
      </c>
      <c r="P1247" s="1015" t="str">
        <f ca="1">IF($C1247="","",INDEX(NVLSX!$N$2:$N$6941,MATCH($C1247,NVLSX!$E$2:$E$6941,0)))</f>
        <v/>
      </c>
      <c r="Q1247" s="1016" t="str">
        <f ca="1">IF($R1247="","",IF(XKNVLSX!$X$1="",IF($P1247=$V$7,$P1247, IF(COUNTIFS($C$2:$C1246,$C1247,$E$2:$E1246,$E1247)&gt;=1,"",$P1247)),     IF(AND(IFERROR(SEARCH($R1247,XKNVLSX!$X$1,1),0)&gt;=1,$P1247=$V$7),$P1247, IF(OR($R1247&lt;&gt;IF(IFERROR(SEARCH($R1247,XKNVLSX!$X$1,1),0)&gt;=1,$R1247,XKNVLSX!$X$1),COUNTIFS($C$2:$C1246,$C1247,$E$2:$E1246,$E1247,$Q$2:$Q1246,$P1247)&gt;=1),"",$P1247))))</f>
        <v/>
      </c>
      <c r="R1247" s="1017" t="str">
        <f ca="1">IF($A1247="","",IFERROR(INDEX(TinhGia!$BF$10:$BF$81,MATCH($A1247,TinhGia!$B$10:$B$81,0)),""))</f>
        <v/>
      </c>
      <c r="S1247" s="1012" t="str">
        <f ca="1">IF($A1247="","",IF(OR(IFERROR(SEARCH($R1247,XKNVLSX!$X$1,1),0)&gt;=1,XKNVLSX!$X$1=""),$S$2,""))</f>
        <v/>
      </c>
      <c r="T1247" s="1018" t="str">
        <f ca="1">IF($C1247="","", IF(OR($P1247=$V$1,$P1247=$V$7,COUNTIFS($C$3:$C1247,$C1247,$E$3:$E1247,$E1247)&lt;=1),$P1247,""    ))</f>
        <v/>
      </c>
      <c r="U1247" s="1019" t="str">
        <f ca="1">IF(AND($P1247=$V$2,COUNTIFS($C$3:$C1247,$C1247,$E$3:$E1247,$E1247,$G$3:$G1247,$G1247)&lt;=1),$P1247,"")</f>
        <v/>
      </c>
    </row>
    <row r="1248" spans="1:21">
      <c r="A1248" s="991" t="str">
        <f ca="1">IFERROR(IF(COUNTIF($A$3:A1247,A1247)&lt; INDEX(TinhGia!$BH$10:$BH$81,MATCH($A1247,TinhGia!$B$10:$B$81,0)),$A1247,INDEX(TinhGia!$B$10:$B$81,MATCH($A1247,TinhGia!$B$10:$B$81,0)+1)),"")</f>
        <v/>
      </c>
      <c r="B1248" s="525" t="str">
        <f ca="1">IF(OR(A1248="",A1248=0),"",IF(COUNTIF($A$2:A1248,$A1248)=1,ROW(MauKoXoa!$C$108),$B1247+1))</f>
        <v/>
      </c>
      <c r="C1248" s="992" t="str">
        <f t="shared" ca="1" si="187"/>
        <v/>
      </c>
      <c r="D1248" s="993" t="str">
        <f t="shared" ca="1" si="188"/>
        <v/>
      </c>
      <c r="E1248" s="993" t="str">
        <f t="shared" ca="1" si="189"/>
        <v/>
      </c>
      <c r="F1248" s="992" t="str">
        <f t="shared" ca="1" si="197"/>
        <v/>
      </c>
      <c r="G1248" s="994">
        <f t="shared" ca="1" si="190"/>
        <v>0</v>
      </c>
      <c r="H1248" s="913">
        <f t="shared" ca="1" si="191"/>
        <v>0</v>
      </c>
      <c r="I1248" s="913">
        <f t="shared" ca="1" si="192"/>
        <v>0</v>
      </c>
      <c r="J1248" s="995">
        <f t="shared" ca="1" si="198"/>
        <v>0</v>
      </c>
      <c r="K1248" s="913">
        <f t="shared" ca="1" si="193"/>
        <v>0</v>
      </c>
      <c r="L1248" s="995">
        <f t="shared" ca="1" si="199"/>
        <v>0</v>
      </c>
      <c r="M1248" s="913">
        <f t="shared" ca="1" si="194"/>
        <v>0</v>
      </c>
      <c r="N1248" s="996">
        <f t="shared" ca="1" si="195"/>
        <v>0</v>
      </c>
      <c r="O1248" s="997">
        <f t="shared" ca="1" si="196"/>
        <v>0</v>
      </c>
      <c r="P1248" s="1015" t="str">
        <f ca="1">IF($C1248="","",INDEX(NVLSX!$N$2:$N$6941,MATCH($C1248,NVLSX!$E$2:$E$6941,0)))</f>
        <v/>
      </c>
      <c r="Q1248" s="1016" t="str">
        <f ca="1">IF($R1248="","",IF(XKNVLSX!$X$1="",IF($P1248=$V$7,$P1248, IF(COUNTIFS($C$2:$C1247,$C1248,$E$2:$E1247,$E1248)&gt;=1,"",$P1248)),     IF(AND(IFERROR(SEARCH($R1248,XKNVLSX!$X$1,1),0)&gt;=1,$P1248=$V$7),$P1248, IF(OR($R1248&lt;&gt;IF(IFERROR(SEARCH($R1248,XKNVLSX!$X$1,1),0)&gt;=1,$R1248,XKNVLSX!$X$1),COUNTIFS($C$2:$C1247,$C1248,$E$2:$E1247,$E1248,$Q$2:$Q1247,$P1248)&gt;=1),"",$P1248))))</f>
        <v/>
      </c>
      <c r="R1248" s="1017" t="str">
        <f ca="1">IF($A1248="","",IFERROR(INDEX(TinhGia!$BF$10:$BF$81,MATCH($A1248,TinhGia!$B$10:$B$81,0)),""))</f>
        <v/>
      </c>
      <c r="S1248" s="1012" t="str">
        <f ca="1">IF($A1248="","",IF(OR(IFERROR(SEARCH($R1248,XKNVLSX!$X$1,1),0)&gt;=1,XKNVLSX!$X$1=""),$S$2,""))</f>
        <v/>
      </c>
      <c r="T1248" s="1018" t="str">
        <f ca="1">IF($C1248="","", IF(OR($P1248=$V$1,$P1248=$V$7,COUNTIFS($C$3:$C1248,$C1248,$E$3:$E1248,$E1248)&lt;=1),$P1248,""    ))</f>
        <v/>
      </c>
      <c r="U1248" s="1019" t="str">
        <f ca="1">IF(AND($P1248=$V$2,COUNTIFS($C$3:$C1248,$C1248,$E$3:$E1248,$E1248,$G$3:$G1248,$G1248)&lt;=1),$P1248,"")</f>
        <v/>
      </c>
    </row>
    <row r="1249" spans="1:21">
      <c r="A1249" s="991" t="str">
        <f ca="1">IFERROR(IF(COUNTIF($A$3:A1248,A1248)&lt; INDEX(TinhGia!$BH$10:$BH$81,MATCH($A1248,TinhGia!$B$10:$B$81,0)),$A1248,INDEX(TinhGia!$B$10:$B$81,MATCH($A1248,TinhGia!$B$10:$B$81,0)+1)),"")</f>
        <v/>
      </c>
      <c r="B1249" s="525" t="str">
        <f ca="1">IF(OR(A1249="",A1249=0),"",IF(COUNTIF($A$2:A1249,$A1249)=1,ROW(MauKoXoa!$C$108),$B1248+1))</f>
        <v/>
      </c>
      <c r="C1249" s="992" t="str">
        <f t="shared" ca="1" si="187"/>
        <v/>
      </c>
      <c r="D1249" s="993" t="str">
        <f t="shared" ca="1" si="188"/>
        <v/>
      </c>
      <c r="E1249" s="993" t="str">
        <f t="shared" ca="1" si="189"/>
        <v/>
      </c>
      <c r="F1249" s="992" t="str">
        <f t="shared" ca="1" si="197"/>
        <v/>
      </c>
      <c r="G1249" s="994">
        <f t="shared" ca="1" si="190"/>
        <v>0</v>
      </c>
      <c r="H1249" s="913">
        <f t="shared" ca="1" si="191"/>
        <v>0</v>
      </c>
      <c r="I1249" s="913">
        <f t="shared" ca="1" si="192"/>
        <v>0</v>
      </c>
      <c r="J1249" s="995">
        <f t="shared" ca="1" si="198"/>
        <v>0</v>
      </c>
      <c r="K1249" s="913">
        <f t="shared" ca="1" si="193"/>
        <v>0</v>
      </c>
      <c r="L1249" s="995">
        <f t="shared" ca="1" si="199"/>
        <v>0</v>
      </c>
      <c r="M1249" s="913">
        <f t="shared" ca="1" si="194"/>
        <v>0</v>
      </c>
      <c r="N1249" s="996">
        <f t="shared" ca="1" si="195"/>
        <v>0</v>
      </c>
      <c r="O1249" s="997">
        <f t="shared" ca="1" si="196"/>
        <v>0</v>
      </c>
      <c r="P1249" s="1015" t="str">
        <f ca="1">IF($C1249="","",INDEX(NVLSX!$N$2:$N$6941,MATCH($C1249,NVLSX!$E$2:$E$6941,0)))</f>
        <v/>
      </c>
      <c r="Q1249" s="1016" t="str">
        <f ca="1">IF($R1249="","",IF(XKNVLSX!$X$1="",IF($P1249=$V$7,$P1249, IF(COUNTIFS($C$2:$C1248,$C1249,$E$2:$E1248,$E1249)&gt;=1,"",$P1249)),     IF(AND(IFERROR(SEARCH($R1249,XKNVLSX!$X$1,1),0)&gt;=1,$P1249=$V$7),$P1249, IF(OR($R1249&lt;&gt;IF(IFERROR(SEARCH($R1249,XKNVLSX!$X$1,1),0)&gt;=1,$R1249,XKNVLSX!$X$1),COUNTIFS($C$2:$C1248,$C1249,$E$2:$E1248,$E1249,$Q$2:$Q1248,$P1249)&gt;=1),"",$P1249))))</f>
        <v/>
      </c>
      <c r="R1249" s="1017" t="str">
        <f ca="1">IF($A1249="","",IFERROR(INDEX(TinhGia!$BF$10:$BF$81,MATCH($A1249,TinhGia!$B$10:$B$81,0)),""))</f>
        <v/>
      </c>
      <c r="S1249" s="1012" t="str">
        <f ca="1">IF($A1249="","",IF(OR(IFERROR(SEARCH($R1249,XKNVLSX!$X$1,1),0)&gt;=1,XKNVLSX!$X$1=""),$S$2,""))</f>
        <v/>
      </c>
      <c r="T1249" s="1018" t="str">
        <f ca="1">IF($C1249="","", IF(OR($P1249=$V$1,$P1249=$V$7,COUNTIFS($C$3:$C1249,$C1249,$E$3:$E1249,$E1249)&lt;=1),$P1249,""    ))</f>
        <v/>
      </c>
      <c r="U1249" s="1019" t="str">
        <f ca="1">IF(AND($P1249=$V$2,COUNTIFS($C$3:$C1249,$C1249,$E$3:$E1249,$E1249,$G$3:$G1249,$G1249)&lt;=1),$P1249,"")</f>
        <v/>
      </c>
    </row>
    <row r="1250" spans="1:21">
      <c r="A1250" s="991" t="str">
        <f ca="1">IFERROR(IF(COUNTIF($A$3:A1249,A1249)&lt; INDEX(TinhGia!$BH$10:$BH$81,MATCH($A1249,TinhGia!$B$10:$B$81,0)),$A1249,INDEX(TinhGia!$B$10:$B$81,MATCH($A1249,TinhGia!$B$10:$B$81,0)+1)),"")</f>
        <v/>
      </c>
      <c r="B1250" s="525" t="str">
        <f ca="1">IF(OR(A1250="",A1250=0),"",IF(COUNTIF($A$2:A1250,$A1250)=1,ROW(MauKoXoa!$C$108),$B1249+1))</f>
        <v/>
      </c>
      <c r="C1250" s="992" t="str">
        <f t="shared" ca="1" si="187"/>
        <v/>
      </c>
      <c r="D1250" s="993" t="str">
        <f t="shared" ca="1" si="188"/>
        <v/>
      </c>
      <c r="E1250" s="993" t="str">
        <f t="shared" ca="1" si="189"/>
        <v/>
      </c>
      <c r="F1250" s="992" t="str">
        <f t="shared" ca="1" si="197"/>
        <v/>
      </c>
      <c r="G1250" s="994">
        <f t="shared" ca="1" si="190"/>
        <v>0</v>
      </c>
      <c r="H1250" s="913">
        <f t="shared" ca="1" si="191"/>
        <v>0</v>
      </c>
      <c r="I1250" s="913">
        <f t="shared" ca="1" si="192"/>
        <v>0</v>
      </c>
      <c r="J1250" s="995">
        <f t="shared" ca="1" si="198"/>
        <v>0</v>
      </c>
      <c r="K1250" s="913">
        <f t="shared" ca="1" si="193"/>
        <v>0</v>
      </c>
      <c r="L1250" s="995">
        <f t="shared" ca="1" si="199"/>
        <v>0</v>
      </c>
      <c r="M1250" s="913">
        <f t="shared" ca="1" si="194"/>
        <v>0</v>
      </c>
      <c r="N1250" s="996">
        <f t="shared" ca="1" si="195"/>
        <v>0</v>
      </c>
      <c r="O1250" s="997">
        <f t="shared" ca="1" si="196"/>
        <v>0</v>
      </c>
      <c r="P1250" s="1015" t="str">
        <f ca="1">IF($C1250="","",INDEX(NVLSX!$N$2:$N$6941,MATCH($C1250,NVLSX!$E$2:$E$6941,0)))</f>
        <v/>
      </c>
      <c r="Q1250" s="1016" t="str">
        <f ca="1">IF($R1250="","",IF(XKNVLSX!$X$1="",IF($P1250=$V$7,$P1250, IF(COUNTIFS($C$2:$C1249,$C1250,$E$2:$E1249,$E1250)&gt;=1,"",$P1250)),     IF(AND(IFERROR(SEARCH($R1250,XKNVLSX!$X$1,1),0)&gt;=1,$P1250=$V$7),$P1250, IF(OR($R1250&lt;&gt;IF(IFERROR(SEARCH($R1250,XKNVLSX!$X$1,1),0)&gt;=1,$R1250,XKNVLSX!$X$1),COUNTIFS($C$2:$C1249,$C1250,$E$2:$E1249,$E1250,$Q$2:$Q1249,$P1250)&gt;=1),"",$P1250))))</f>
        <v/>
      </c>
      <c r="R1250" s="1017" t="str">
        <f ca="1">IF($A1250="","",IFERROR(INDEX(TinhGia!$BF$10:$BF$81,MATCH($A1250,TinhGia!$B$10:$B$81,0)),""))</f>
        <v/>
      </c>
      <c r="S1250" s="1012" t="str">
        <f ca="1">IF($A1250="","",IF(OR(IFERROR(SEARCH($R1250,XKNVLSX!$X$1,1),0)&gt;=1,XKNVLSX!$X$1=""),$S$2,""))</f>
        <v/>
      </c>
      <c r="T1250" s="1018" t="str">
        <f ca="1">IF($C1250="","", IF(OR($P1250=$V$1,$P1250=$V$7,COUNTIFS($C$3:$C1250,$C1250,$E$3:$E1250,$E1250)&lt;=1),$P1250,""    ))</f>
        <v/>
      </c>
      <c r="U1250" s="1019" t="str">
        <f ca="1">IF(AND($P1250=$V$2,COUNTIFS($C$3:$C1250,$C1250,$E$3:$E1250,$E1250,$G$3:$G1250,$G1250)&lt;=1),$P1250,"")</f>
        <v/>
      </c>
    </row>
    <row r="1251" spans="1:21">
      <c r="A1251" s="991" t="str">
        <f ca="1">IFERROR(IF(COUNTIF($A$3:A1250,A1250)&lt; INDEX(TinhGia!$BH$10:$BH$81,MATCH($A1250,TinhGia!$B$10:$B$81,0)),$A1250,INDEX(TinhGia!$B$10:$B$81,MATCH($A1250,TinhGia!$B$10:$B$81,0)+1)),"")</f>
        <v/>
      </c>
      <c r="B1251" s="525" t="str">
        <f ca="1">IF(OR(A1251="",A1251=0),"",IF(COUNTIF($A$2:A1251,$A1251)=1,ROW(MauKoXoa!$C$108),$B1250+1))</f>
        <v/>
      </c>
      <c r="C1251" s="992" t="str">
        <f t="shared" ca="1" si="187"/>
        <v/>
      </c>
      <c r="D1251" s="993" t="str">
        <f t="shared" ca="1" si="188"/>
        <v/>
      </c>
      <c r="E1251" s="993" t="str">
        <f t="shared" ca="1" si="189"/>
        <v/>
      </c>
      <c r="F1251" s="992" t="str">
        <f t="shared" ca="1" si="197"/>
        <v/>
      </c>
      <c r="G1251" s="994">
        <f t="shared" ca="1" si="190"/>
        <v>0</v>
      </c>
      <c r="H1251" s="913">
        <f t="shared" ca="1" si="191"/>
        <v>0</v>
      </c>
      <c r="I1251" s="913">
        <f t="shared" ca="1" si="192"/>
        <v>0</v>
      </c>
      <c r="J1251" s="995">
        <f t="shared" ca="1" si="198"/>
        <v>0</v>
      </c>
      <c r="K1251" s="913">
        <f t="shared" ca="1" si="193"/>
        <v>0</v>
      </c>
      <c r="L1251" s="995">
        <f t="shared" ca="1" si="199"/>
        <v>0</v>
      </c>
      <c r="M1251" s="913">
        <f t="shared" ca="1" si="194"/>
        <v>0</v>
      </c>
      <c r="N1251" s="996">
        <f t="shared" ca="1" si="195"/>
        <v>0</v>
      </c>
      <c r="O1251" s="997">
        <f t="shared" ca="1" si="196"/>
        <v>0</v>
      </c>
      <c r="P1251" s="1015" t="str">
        <f ca="1">IF($C1251="","",INDEX(NVLSX!$N$2:$N$6941,MATCH($C1251,NVLSX!$E$2:$E$6941,0)))</f>
        <v/>
      </c>
      <c r="Q1251" s="1016" t="str">
        <f ca="1">IF($R1251="","",IF(XKNVLSX!$X$1="",IF($P1251=$V$7,$P1251, IF(COUNTIFS($C$2:$C1250,$C1251,$E$2:$E1250,$E1251)&gt;=1,"",$P1251)),     IF(AND(IFERROR(SEARCH($R1251,XKNVLSX!$X$1,1),0)&gt;=1,$P1251=$V$7),$P1251, IF(OR($R1251&lt;&gt;IF(IFERROR(SEARCH($R1251,XKNVLSX!$X$1,1),0)&gt;=1,$R1251,XKNVLSX!$X$1),COUNTIFS($C$2:$C1250,$C1251,$E$2:$E1250,$E1251,$Q$2:$Q1250,$P1251)&gt;=1),"",$P1251))))</f>
        <v/>
      </c>
      <c r="R1251" s="1017" t="str">
        <f ca="1">IF($A1251="","",IFERROR(INDEX(TinhGia!$BF$10:$BF$81,MATCH($A1251,TinhGia!$B$10:$B$81,0)),""))</f>
        <v/>
      </c>
      <c r="S1251" s="1012" t="str">
        <f ca="1">IF($A1251="","",IF(OR(IFERROR(SEARCH($R1251,XKNVLSX!$X$1,1),0)&gt;=1,XKNVLSX!$X$1=""),$S$2,""))</f>
        <v/>
      </c>
      <c r="T1251" s="1018" t="str">
        <f ca="1">IF($C1251="","", IF(OR($P1251=$V$1,$P1251=$V$7,COUNTIFS($C$3:$C1251,$C1251,$E$3:$E1251,$E1251)&lt;=1),$P1251,""    ))</f>
        <v/>
      </c>
      <c r="U1251" s="1019" t="str">
        <f ca="1">IF(AND($P1251=$V$2,COUNTIFS($C$3:$C1251,$C1251,$E$3:$E1251,$E1251,$G$3:$G1251,$G1251)&lt;=1),$P1251,"")</f>
        <v/>
      </c>
    </row>
    <row r="1252" spans="1:21">
      <c r="A1252" s="991" t="str">
        <f ca="1">IFERROR(IF(COUNTIF($A$3:A1251,A1251)&lt; INDEX(TinhGia!$BH$10:$BH$81,MATCH($A1251,TinhGia!$B$10:$B$81,0)),$A1251,INDEX(TinhGia!$B$10:$B$81,MATCH($A1251,TinhGia!$B$10:$B$81,0)+1)),"")</f>
        <v/>
      </c>
      <c r="B1252" s="525" t="str">
        <f ca="1">IF(OR(A1252="",A1252=0),"",IF(COUNTIF($A$2:A1252,$A1252)=1,ROW(MauKoXoa!$C$108),$B1251+1))</f>
        <v/>
      </c>
      <c r="C1252" s="992" t="str">
        <f t="shared" ca="1" si="187"/>
        <v/>
      </c>
      <c r="D1252" s="993" t="str">
        <f t="shared" ca="1" si="188"/>
        <v/>
      </c>
      <c r="E1252" s="993" t="str">
        <f t="shared" ca="1" si="189"/>
        <v/>
      </c>
      <c r="F1252" s="992" t="str">
        <f t="shared" ca="1" si="197"/>
        <v/>
      </c>
      <c r="G1252" s="994">
        <f t="shared" ca="1" si="190"/>
        <v>0</v>
      </c>
      <c r="H1252" s="913">
        <f t="shared" ca="1" si="191"/>
        <v>0</v>
      </c>
      <c r="I1252" s="913">
        <f t="shared" ca="1" si="192"/>
        <v>0</v>
      </c>
      <c r="J1252" s="995">
        <f t="shared" ca="1" si="198"/>
        <v>0</v>
      </c>
      <c r="K1252" s="913">
        <f t="shared" ca="1" si="193"/>
        <v>0</v>
      </c>
      <c r="L1252" s="995">
        <f t="shared" ca="1" si="199"/>
        <v>0</v>
      </c>
      <c r="M1252" s="913">
        <f t="shared" ca="1" si="194"/>
        <v>0</v>
      </c>
      <c r="N1252" s="996">
        <f t="shared" ca="1" si="195"/>
        <v>0</v>
      </c>
      <c r="O1252" s="997">
        <f t="shared" ca="1" si="196"/>
        <v>0</v>
      </c>
      <c r="P1252" s="1015" t="str">
        <f ca="1">IF($C1252="","",INDEX(NVLSX!$N$2:$N$6941,MATCH($C1252,NVLSX!$E$2:$E$6941,0)))</f>
        <v/>
      </c>
      <c r="Q1252" s="1016" t="str">
        <f ca="1">IF($R1252="","",IF(XKNVLSX!$X$1="",IF($P1252=$V$7,$P1252, IF(COUNTIFS($C$2:$C1251,$C1252,$E$2:$E1251,$E1252)&gt;=1,"",$P1252)),     IF(AND(IFERROR(SEARCH($R1252,XKNVLSX!$X$1,1),0)&gt;=1,$P1252=$V$7),$P1252, IF(OR($R1252&lt;&gt;IF(IFERROR(SEARCH($R1252,XKNVLSX!$X$1,1),0)&gt;=1,$R1252,XKNVLSX!$X$1),COUNTIFS($C$2:$C1251,$C1252,$E$2:$E1251,$E1252,$Q$2:$Q1251,$P1252)&gt;=1),"",$P1252))))</f>
        <v/>
      </c>
      <c r="R1252" s="1017" t="str">
        <f ca="1">IF($A1252="","",IFERROR(INDEX(TinhGia!$BF$10:$BF$81,MATCH($A1252,TinhGia!$B$10:$B$81,0)),""))</f>
        <v/>
      </c>
      <c r="S1252" s="1012" t="str">
        <f ca="1">IF($A1252="","",IF(OR(IFERROR(SEARCH($R1252,XKNVLSX!$X$1,1),0)&gt;=1,XKNVLSX!$X$1=""),$S$2,""))</f>
        <v/>
      </c>
      <c r="T1252" s="1018" t="str">
        <f ca="1">IF($C1252="","", IF(OR($P1252=$V$1,$P1252=$V$7,COUNTIFS($C$3:$C1252,$C1252,$E$3:$E1252,$E1252)&lt;=1),$P1252,""    ))</f>
        <v/>
      </c>
      <c r="U1252" s="1019" t="str">
        <f ca="1">IF(AND($P1252=$V$2,COUNTIFS($C$3:$C1252,$C1252,$E$3:$E1252,$E1252,$G$3:$G1252,$G1252)&lt;=1),$P1252,"")</f>
        <v/>
      </c>
    </row>
    <row r="1253" spans="1:21">
      <c r="A1253" s="991" t="str">
        <f ca="1">IFERROR(IF(COUNTIF($A$3:A1252,A1252)&lt; INDEX(TinhGia!$BH$10:$BH$81,MATCH($A1252,TinhGia!$B$10:$B$81,0)),$A1252,INDEX(TinhGia!$B$10:$B$81,MATCH($A1252,TinhGia!$B$10:$B$81,0)+1)),"")</f>
        <v/>
      </c>
      <c r="B1253" s="525" t="str">
        <f ca="1">IF(OR(A1253="",A1253=0),"",IF(COUNTIF($A$2:A1253,$A1253)=1,ROW(MauKoXoa!$C$108),$B1252+1))</f>
        <v/>
      </c>
      <c r="C1253" s="992" t="str">
        <f t="shared" ca="1" si="187"/>
        <v/>
      </c>
      <c r="D1253" s="993" t="str">
        <f t="shared" ca="1" si="188"/>
        <v/>
      </c>
      <c r="E1253" s="993" t="str">
        <f t="shared" ca="1" si="189"/>
        <v/>
      </c>
      <c r="F1253" s="992" t="str">
        <f t="shared" ca="1" si="197"/>
        <v/>
      </c>
      <c r="G1253" s="994">
        <f t="shared" ca="1" si="190"/>
        <v>0</v>
      </c>
      <c r="H1253" s="913">
        <f t="shared" ca="1" si="191"/>
        <v>0</v>
      </c>
      <c r="I1253" s="913">
        <f t="shared" ca="1" si="192"/>
        <v>0</v>
      </c>
      <c r="J1253" s="995">
        <f t="shared" ca="1" si="198"/>
        <v>0</v>
      </c>
      <c r="K1253" s="913">
        <f t="shared" ca="1" si="193"/>
        <v>0</v>
      </c>
      <c r="L1253" s="995">
        <f t="shared" ca="1" si="199"/>
        <v>0</v>
      </c>
      <c r="M1253" s="913">
        <f t="shared" ca="1" si="194"/>
        <v>0</v>
      </c>
      <c r="N1253" s="996">
        <f t="shared" ca="1" si="195"/>
        <v>0</v>
      </c>
      <c r="O1253" s="997">
        <f t="shared" ca="1" si="196"/>
        <v>0</v>
      </c>
      <c r="P1253" s="1015" t="str">
        <f ca="1">IF($C1253="","",INDEX(NVLSX!$N$2:$N$6941,MATCH($C1253,NVLSX!$E$2:$E$6941,0)))</f>
        <v/>
      </c>
      <c r="Q1253" s="1016" t="str">
        <f ca="1">IF($R1253="","",IF(XKNVLSX!$X$1="",IF($P1253=$V$7,$P1253, IF(COUNTIFS($C$2:$C1252,$C1253,$E$2:$E1252,$E1253)&gt;=1,"",$P1253)),     IF(AND(IFERROR(SEARCH($R1253,XKNVLSX!$X$1,1),0)&gt;=1,$P1253=$V$7),$P1253, IF(OR($R1253&lt;&gt;IF(IFERROR(SEARCH($R1253,XKNVLSX!$X$1,1),0)&gt;=1,$R1253,XKNVLSX!$X$1),COUNTIFS($C$2:$C1252,$C1253,$E$2:$E1252,$E1253,$Q$2:$Q1252,$P1253)&gt;=1),"",$P1253))))</f>
        <v/>
      </c>
      <c r="R1253" s="1017" t="str">
        <f ca="1">IF($A1253="","",IFERROR(INDEX(TinhGia!$BF$10:$BF$81,MATCH($A1253,TinhGia!$B$10:$B$81,0)),""))</f>
        <v/>
      </c>
      <c r="S1253" s="1012" t="str">
        <f ca="1">IF($A1253="","",IF(OR(IFERROR(SEARCH($R1253,XKNVLSX!$X$1,1),0)&gt;=1,XKNVLSX!$X$1=""),$S$2,""))</f>
        <v/>
      </c>
      <c r="T1253" s="1018" t="str">
        <f ca="1">IF($C1253="","", IF(OR($P1253=$V$1,$P1253=$V$7,COUNTIFS($C$3:$C1253,$C1253,$E$3:$E1253,$E1253)&lt;=1),$P1253,""    ))</f>
        <v/>
      </c>
      <c r="U1253" s="1019" t="str">
        <f ca="1">IF(AND($P1253=$V$2,COUNTIFS($C$3:$C1253,$C1253,$E$3:$E1253,$E1253,$G$3:$G1253,$G1253)&lt;=1),$P1253,"")</f>
        <v/>
      </c>
    </row>
    <row r="1254" spans="1:21">
      <c r="A1254" s="991" t="str">
        <f ca="1">IFERROR(IF(COUNTIF($A$3:A1253,A1253)&lt; INDEX(TinhGia!$BH$10:$BH$81,MATCH($A1253,TinhGia!$B$10:$B$81,0)),$A1253,INDEX(TinhGia!$B$10:$B$81,MATCH($A1253,TinhGia!$B$10:$B$81,0)+1)),"")</f>
        <v/>
      </c>
      <c r="B1254" s="525" t="str">
        <f ca="1">IF(OR(A1254="",A1254=0),"",IF(COUNTIF($A$2:A1254,$A1254)=1,ROW(MauKoXoa!$C$108),$B1253+1))</f>
        <v/>
      </c>
      <c r="C1254" s="992" t="str">
        <f t="shared" ca="1" si="187"/>
        <v/>
      </c>
      <c r="D1254" s="993" t="str">
        <f t="shared" ca="1" si="188"/>
        <v/>
      </c>
      <c r="E1254" s="993" t="str">
        <f t="shared" ca="1" si="189"/>
        <v/>
      </c>
      <c r="F1254" s="992" t="str">
        <f t="shared" ca="1" si="197"/>
        <v/>
      </c>
      <c r="G1254" s="994">
        <f t="shared" ca="1" si="190"/>
        <v>0</v>
      </c>
      <c r="H1254" s="913">
        <f t="shared" ca="1" si="191"/>
        <v>0</v>
      </c>
      <c r="I1254" s="913">
        <f t="shared" ca="1" si="192"/>
        <v>0</v>
      </c>
      <c r="J1254" s="995">
        <f t="shared" ca="1" si="198"/>
        <v>0</v>
      </c>
      <c r="K1254" s="913">
        <f t="shared" ca="1" si="193"/>
        <v>0</v>
      </c>
      <c r="L1254" s="995">
        <f t="shared" ca="1" si="199"/>
        <v>0</v>
      </c>
      <c r="M1254" s="913">
        <f t="shared" ca="1" si="194"/>
        <v>0</v>
      </c>
      <c r="N1254" s="996">
        <f t="shared" ca="1" si="195"/>
        <v>0</v>
      </c>
      <c r="O1254" s="997">
        <f t="shared" ca="1" si="196"/>
        <v>0</v>
      </c>
      <c r="P1254" s="1015" t="str">
        <f ca="1">IF($C1254="","",INDEX(NVLSX!$N$2:$N$6941,MATCH($C1254,NVLSX!$E$2:$E$6941,0)))</f>
        <v/>
      </c>
      <c r="Q1254" s="1016" t="str">
        <f ca="1">IF($R1254="","",IF(XKNVLSX!$X$1="",IF($P1254=$V$7,$P1254, IF(COUNTIFS($C$2:$C1253,$C1254,$E$2:$E1253,$E1254)&gt;=1,"",$P1254)),     IF(AND(IFERROR(SEARCH($R1254,XKNVLSX!$X$1,1),0)&gt;=1,$P1254=$V$7),$P1254, IF(OR($R1254&lt;&gt;IF(IFERROR(SEARCH($R1254,XKNVLSX!$X$1,1),0)&gt;=1,$R1254,XKNVLSX!$X$1),COUNTIFS($C$2:$C1253,$C1254,$E$2:$E1253,$E1254,$Q$2:$Q1253,$P1254)&gt;=1),"",$P1254))))</f>
        <v/>
      </c>
      <c r="R1254" s="1017" t="str">
        <f ca="1">IF($A1254="","",IFERROR(INDEX(TinhGia!$BF$10:$BF$81,MATCH($A1254,TinhGia!$B$10:$B$81,0)),""))</f>
        <v/>
      </c>
      <c r="S1254" s="1012" t="str">
        <f ca="1">IF($A1254="","",IF(OR(IFERROR(SEARCH($R1254,XKNVLSX!$X$1,1),0)&gt;=1,XKNVLSX!$X$1=""),$S$2,""))</f>
        <v/>
      </c>
      <c r="T1254" s="1018" t="str">
        <f ca="1">IF($C1254="","", IF(OR($P1254=$V$1,$P1254=$V$7,COUNTIFS($C$3:$C1254,$C1254,$E$3:$E1254,$E1254)&lt;=1),$P1254,""    ))</f>
        <v/>
      </c>
      <c r="U1254" s="1019" t="str">
        <f ca="1">IF(AND($P1254=$V$2,COUNTIFS($C$3:$C1254,$C1254,$E$3:$E1254,$E1254,$G$3:$G1254,$G1254)&lt;=1),$P1254,"")</f>
        <v/>
      </c>
    </row>
    <row r="1255" spans="1:21">
      <c r="A1255" s="991" t="str">
        <f ca="1">IFERROR(IF(COUNTIF($A$3:A1254,A1254)&lt; INDEX(TinhGia!$BH$10:$BH$81,MATCH($A1254,TinhGia!$B$10:$B$81,0)),$A1254,INDEX(TinhGia!$B$10:$B$81,MATCH($A1254,TinhGia!$B$10:$B$81,0)+1)),"")</f>
        <v/>
      </c>
      <c r="B1255" s="525" t="str">
        <f ca="1">IF(OR(A1255="",A1255=0),"",IF(COUNTIF($A$2:A1255,$A1255)=1,ROW(MauKoXoa!$C$108),$B1254+1))</f>
        <v/>
      </c>
      <c r="C1255" s="992" t="str">
        <f t="shared" ca="1" si="187"/>
        <v/>
      </c>
      <c r="D1255" s="993" t="str">
        <f t="shared" ca="1" si="188"/>
        <v/>
      </c>
      <c r="E1255" s="993" t="str">
        <f t="shared" ca="1" si="189"/>
        <v/>
      </c>
      <c r="F1255" s="992" t="str">
        <f t="shared" ca="1" si="197"/>
        <v/>
      </c>
      <c r="G1255" s="994">
        <f t="shared" ca="1" si="190"/>
        <v>0</v>
      </c>
      <c r="H1255" s="913">
        <f t="shared" ca="1" si="191"/>
        <v>0</v>
      </c>
      <c r="I1255" s="913">
        <f t="shared" ca="1" si="192"/>
        <v>0</v>
      </c>
      <c r="J1255" s="995">
        <f t="shared" ca="1" si="198"/>
        <v>0</v>
      </c>
      <c r="K1255" s="913">
        <f t="shared" ca="1" si="193"/>
        <v>0</v>
      </c>
      <c r="L1255" s="995">
        <f t="shared" ca="1" si="199"/>
        <v>0</v>
      </c>
      <c r="M1255" s="913">
        <f t="shared" ca="1" si="194"/>
        <v>0</v>
      </c>
      <c r="N1255" s="996">
        <f t="shared" ca="1" si="195"/>
        <v>0</v>
      </c>
      <c r="O1255" s="997">
        <f t="shared" ca="1" si="196"/>
        <v>0</v>
      </c>
      <c r="P1255" s="1015" t="str">
        <f ca="1">IF($C1255="","",INDEX(NVLSX!$N$2:$N$6941,MATCH($C1255,NVLSX!$E$2:$E$6941,0)))</f>
        <v/>
      </c>
      <c r="Q1255" s="1016" t="str">
        <f ca="1">IF($R1255="","",IF(XKNVLSX!$X$1="",IF($P1255=$V$7,$P1255, IF(COUNTIFS($C$2:$C1254,$C1255,$E$2:$E1254,$E1255)&gt;=1,"",$P1255)),     IF(AND(IFERROR(SEARCH($R1255,XKNVLSX!$X$1,1),0)&gt;=1,$P1255=$V$7),$P1255, IF(OR($R1255&lt;&gt;IF(IFERROR(SEARCH($R1255,XKNVLSX!$X$1,1),0)&gt;=1,$R1255,XKNVLSX!$X$1),COUNTIFS($C$2:$C1254,$C1255,$E$2:$E1254,$E1255,$Q$2:$Q1254,$P1255)&gt;=1),"",$P1255))))</f>
        <v/>
      </c>
      <c r="R1255" s="1017" t="str">
        <f ca="1">IF($A1255="","",IFERROR(INDEX(TinhGia!$BF$10:$BF$81,MATCH($A1255,TinhGia!$B$10:$B$81,0)),""))</f>
        <v/>
      </c>
      <c r="S1255" s="1012" t="str">
        <f ca="1">IF($A1255="","",IF(OR(IFERROR(SEARCH($R1255,XKNVLSX!$X$1,1),0)&gt;=1,XKNVLSX!$X$1=""),$S$2,""))</f>
        <v/>
      </c>
      <c r="T1255" s="1018" t="str">
        <f ca="1">IF($C1255="","", IF(OR($P1255=$V$1,$P1255=$V$7,COUNTIFS($C$3:$C1255,$C1255,$E$3:$E1255,$E1255)&lt;=1),$P1255,""    ))</f>
        <v/>
      </c>
      <c r="U1255" s="1019" t="str">
        <f ca="1">IF(AND($P1255=$V$2,COUNTIFS($C$3:$C1255,$C1255,$E$3:$E1255,$E1255,$G$3:$G1255,$G1255)&lt;=1),$P1255,"")</f>
        <v/>
      </c>
    </row>
    <row r="1256" spans="1:21">
      <c r="A1256" s="991" t="str">
        <f ca="1">IFERROR(IF(COUNTIF($A$3:A1255,A1255)&lt; INDEX(TinhGia!$BH$10:$BH$81,MATCH($A1255,TinhGia!$B$10:$B$81,0)),$A1255,INDEX(TinhGia!$B$10:$B$81,MATCH($A1255,TinhGia!$B$10:$B$81,0)+1)),"")</f>
        <v/>
      </c>
      <c r="B1256" s="525" t="str">
        <f ca="1">IF(OR(A1256="",A1256=0),"",IF(COUNTIF($A$2:A1256,$A1256)=1,ROW(MauKoXoa!$C$108),$B1255+1))</f>
        <v/>
      </c>
      <c r="C1256" s="992" t="str">
        <f t="shared" ca="1" si="187"/>
        <v/>
      </c>
      <c r="D1256" s="993" t="str">
        <f t="shared" ca="1" si="188"/>
        <v/>
      </c>
      <c r="E1256" s="993" t="str">
        <f t="shared" ca="1" si="189"/>
        <v/>
      </c>
      <c r="F1256" s="992" t="str">
        <f t="shared" ca="1" si="197"/>
        <v/>
      </c>
      <c r="G1256" s="994">
        <f t="shared" ca="1" si="190"/>
        <v>0</v>
      </c>
      <c r="H1256" s="913">
        <f t="shared" ca="1" si="191"/>
        <v>0</v>
      </c>
      <c r="I1256" s="913">
        <f t="shared" ca="1" si="192"/>
        <v>0</v>
      </c>
      <c r="J1256" s="995">
        <f t="shared" ca="1" si="198"/>
        <v>0</v>
      </c>
      <c r="K1256" s="913">
        <f t="shared" ca="1" si="193"/>
        <v>0</v>
      </c>
      <c r="L1256" s="995">
        <f t="shared" ca="1" si="199"/>
        <v>0</v>
      </c>
      <c r="M1256" s="913">
        <f t="shared" ca="1" si="194"/>
        <v>0</v>
      </c>
      <c r="N1256" s="996">
        <f t="shared" ca="1" si="195"/>
        <v>0</v>
      </c>
      <c r="O1256" s="997">
        <f t="shared" ca="1" si="196"/>
        <v>0</v>
      </c>
      <c r="P1256" s="1015" t="str">
        <f ca="1">IF($C1256="","",INDEX(NVLSX!$N$2:$N$6941,MATCH($C1256,NVLSX!$E$2:$E$6941,0)))</f>
        <v/>
      </c>
      <c r="Q1256" s="1016" t="str">
        <f ca="1">IF($R1256="","",IF(XKNVLSX!$X$1="",IF($P1256=$V$7,$P1256, IF(COUNTIFS($C$2:$C1255,$C1256,$E$2:$E1255,$E1256)&gt;=1,"",$P1256)),     IF(AND(IFERROR(SEARCH($R1256,XKNVLSX!$X$1,1),0)&gt;=1,$P1256=$V$7),$P1256, IF(OR($R1256&lt;&gt;IF(IFERROR(SEARCH($R1256,XKNVLSX!$X$1,1),0)&gt;=1,$R1256,XKNVLSX!$X$1),COUNTIFS($C$2:$C1255,$C1256,$E$2:$E1255,$E1256,$Q$2:$Q1255,$P1256)&gt;=1),"",$P1256))))</f>
        <v/>
      </c>
      <c r="R1256" s="1017" t="str">
        <f ca="1">IF($A1256="","",IFERROR(INDEX(TinhGia!$BF$10:$BF$81,MATCH($A1256,TinhGia!$B$10:$B$81,0)),""))</f>
        <v/>
      </c>
      <c r="S1256" s="1012" t="str">
        <f ca="1">IF($A1256="","",IF(OR(IFERROR(SEARCH($R1256,XKNVLSX!$X$1,1),0)&gt;=1,XKNVLSX!$X$1=""),$S$2,""))</f>
        <v/>
      </c>
      <c r="T1256" s="1018" t="str">
        <f ca="1">IF($C1256="","", IF(OR($P1256=$V$1,$P1256=$V$7,COUNTIFS($C$3:$C1256,$C1256,$E$3:$E1256,$E1256)&lt;=1),$P1256,""    ))</f>
        <v/>
      </c>
      <c r="U1256" s="1019" t="str">
        <f ca="1">IF(AND($P1256=$V$2,COUNTIFS($C$3:$C1256,$C1256,$E$3:$E1256,$E1256,$G$3:$G1256,$G1256)&lt;=1),$P1256,"")</f>
        <v/>
      </c>
    </row>
    <row r="1257" spans="1:21">
      <c r="A1257" s="991" t="str">
        <f ca="1">IFERROR(IF(COUNTIF($A$3:A1256,A1256)&lt; INDEX(TinhGia!$BH$10:$BH$81,MATCH($A1256,TinhGia!$B$10:$B$81,0)),$A1256,INDEX(TinhGia!$B$10:$B$81,MATCH($A1256,TinhGia!$B$10:$B$81,0)+1)),"")</f>
        <v/>
      </c>
      <c r="B1257" s="525" t="str">
        <f ca="1">IF(OR(A1257="",A1257=0),"",IF(COUNTIF($A$2:A1257,$A1257)=1,ROW(MauKoXoa!$C$108),$B1256+1))</f>
        <v/>
      </c>
      <c r="C1257" s="992" t="str">
        <f t="shared" ca="1" si="187"/>
        <v/>
      </c>
      <c r="D1257" s="993" t="str">
        <f t="shared" ca="1" si="188"/>
        <v/>
      </c>
      <c r="E1257" s="993" t="str">
        <f t="shared" ca="1" si="189"/>
        <v/>
      </c>
      <c r="F1257" s="992" t="str">
        <f t="shared" ca="1" si="197"/>
        <v/>
      </c>
      <c r="G1257" s="994">
        <f t="shared" ca="1" si="190"/>
        <v>0</v>
      </c>
      <c r="H1257" s="913">
        <f t="shared" ca="1" si="191"/>
        <v>0</v>
      </c>
      <c r="I1257" s="913">
        <f t="shared" ca="1" si="192"/>
        <v>0</v>
      </c>
      <c r="J1257" s="995">
        <f t="shared" ca="1" si="198"/>
        <v>0</v>
      </c>
      <c r="K1257" s="913">
        <f t="shared" ca="1" si="193"/>
        <v>0</v>
      </c>
      <c r="L1257" s="995">
        <f t="shared" ca="1" si="199"/>
        <v>0</v>
      </c>
      <c r="M1257" s="913">
        <f t="shared" ca="1" si="194"/>
        <v>0</v>
      </c>
      <c r="N1257" s="996">
        <f t="shared" ca="1" si="195"/>
        <v>0</v>
      </c>
      <c r="O1257" s="997">
        <f t="shared" ca="1" si="196"/>
        <v>0</v>
      </c>
      <c r="P1257" s="1015" t="str">
        <f ca="1">IF($C1257="","",INDEX(NVLSX!$N$2:$N$6941,MATCH($C1257,NVLSX!$E$2:$E$6941,0)))</f>
        <v/>
      </c>
      <c r="Q1257" s="1016" t="str">
        <f ca="1">IF($R1257="","",IF(XKNVLSX!$X$1="",IF($P1257=$V$7,$P1257, IF(COUNTIFS($C$2:$C1256,$C1257,$E$2:$E1256,$E1257)&gt;=1,"",$P1257)),     IF(AND(IFERROR(SEARCH($R1257,XKNVLSX!$X$1,1),0)&gt;=1,$P1257=$V$7),$P1257, IF(OR($R1257&lt;&gt;IF(IFERROR(SEARCH($R1257,XKNVLSX!$X$1,1),0)&gt;=1,$R1257,XKNVLSX!$X$1),COUNTIFS($C$2:$C1256,$C1257,$E$2:$E1256,$E1257,$Q$2:$Q1256,$P1257)&gt;=1),"",$P1257))))</f>
        <v/>
      </c>
      <c r="R1257" s="1017" t="str">
        <f ca="1">IF($A1257="","",IFERROR(INDEX(TinhGia!$BF$10:$BF$81,MATCH($A1257,TinhGia!$B$10:$B$81,0)),""))</f>
        <v/>
      </c>
      <c r="S1257" s="1012" t="str">
        <f ca="1">IF($A1257="","",IF(OR(IFERROR(SEARCH($R1257,XKNVLSX!$X$1,1),0)&gt;=1,XKNVLSX!$X$1=""),$S$2,""))</f>
        <v/>
      </c>
      <c r="T1257" s="1018" t="str">
        <f ca="1">IF($C1257="","", IF(OR($P1257=$V$1,$P1257=$V$7,COUNTIFS($C$3:$C1257,$C1257,$E$3:$E1257,$E1257)&lt;=1),$P1257,""    ))</f>
        <v/>
      </c>
      <c r="U1257" s="1019" t="str">
        <f ca="1">IF(AND($P1257=$V$2,COUNTIFS($C$3:$C1257,$C1257,$E$3:$E1257,$E1257,$G$3:$G1257,$G1257)&lt;=1),$P1257,"")</f>
        <v/>
      </c>
    </row>
    <row r="1258" spans="1:21">
      <c r="A1258" s="991" t="str">
        <f ca="1">IFERROR(IF(COUNTIF($A$3:A1257,A1257)&lt; INDEX(TinhGia!$BH$10:$BH$81,MATCH($A1257,TinhGia!$B$10:$B$81,0)),$A1257,INDEX(TinhGia!$B$10:$B$81,MATCH($A1257,TinhGia!$B$10:$B$81,0)+1)),"")</f>
        <v/>
      </c>
      <c r="B1258" s="525" t="str">
        <f ca="1">IF(OR(A1258="",A1258=0),"",IF(COUNTIF($A$2:A1258,$A1258)=1,ROW(MauKoXoa!$C$108),$B1257+1))</f>
        <v/>
      </c>
      <c r="C1258" s="992" t="str">
        <f t="shared" ca="1" si="187"/>
        <v/>
      </c>
      <c r="D1258" s="993" t="str">
        <f t="shared" ca="1" si="188"/>
        <v/>
      </c>
      <c r="E1258" s="993" t="str">
        <f t="shared" ca="1" si="189"/>
        <v/>
      </c>
      <c r="F1258" s="992" t="str">
        <f t="shared" ca="1" si="197"/>
        <v/>
      </c>
      <c r="G1258" s="994">
        <f t="shared" ca="1" si="190"/>
        <v>0</v>
      </c>
      <c r="H1258" s="913">
        <f t="shared" ca="1" si="191"/>
        <v>0</v>
      </c>
      <c r="I1258" s="913">
        <f t="shared" ca="1" si="192"/>
        <v>0</v>
      </c>
      <c r="J1258" s="995">
        <f t="shared" ca="1" si="198"/>
        <v>0</v>
      </c>
      <c r="K1258" s="913">
        <f t="shared" ca="1" si="193"/>
        <v>0</v>
      </c>
      <c r="L1258" s="995">
        <f t="shared" ca="1" si="199"/>
        <v>0</v>
      </c>
      <c r="M1258" s="913">
        <f t="shared" ca="1" si="194"/>
        <v>0</v>
      </c>
      <c r="N1258" s="996">
        <f t="shared" ca="1" si="195"/>
        <v>0</v>
      </c>
      <c r="O1258" s="997">
        <f t="shared" ca="1" si="196"/>
        <v>0</v>
      </c>
      <c r="P1258" s="1015" t="str">
        <f ca="1">IF($C1258="","",INDEX(NVLSX!$N$2:$N$6941,MATCH($C1258,NVLSX!$E$2:$E$6941,0)))</f>
        <v/>
      </c>
      <c r="Q1258" s="1016" t="str">
        <f ca="1">IF($R1258="","",IF(XKNVLSX!$X$1="",IF($P1258=$V$7,$P1258, IF(COUNTIFS($C$2:$C1257,$C1258,$E$2:$E1257,$E1258)&gt;=1,"",$P1258)),     IF(AND(IFERROR(SEARCH($R1258,XKNVLSX!$X$1,1),0)&gt;=1,$P1258=$V$7),$P1258, IF(OR($R1258&lt;&gt;IF(IFERROR(SEARCH($R1258,XKNVLSX!$X$1,1),0)&gt;=1,$R1258,XKNVLSX!$X$1),COUNTIFS($C$2:$C1257,$C1258,$E$2:$E1257,$E1258,$Q$2:$Q1257,$P1258)&gt;=1),"",$P1258))))</f>
        <v/>
      </c>
      <c r="R1258" s="1017" t="str">
        <f ca="1">IF($A1258="","",IFERROR(INDEX(TinhGia!$BF$10:$BF$81,MATCH($A1258,TinhGia!$B$10:$B$81,0)),""))</f>
        <v/>
      </c>
      <c r="S1258" s="1012" t="str">
        <f ca="1">IF($A1258="","",IF(OR(IFERROR(SEARCH($R1258,XKNVLSX!$X$1,1),0)&gt;=1,XKNVLSX!$X$1=""),$S$2,""))</f>
        <v/>
      </c>
      <c r="T1258" s="1018" t="str">
        <f ca="1">IF($C1258="","", IF(OR($P1258=$V$1,$P1258=$V$7,COUNTIFS($C$3:$C1258,$C1258,$E$3:$E1258,$E1258)&lt;=1),$P1258,""    ))</f>
        <v/>
      </c>
      <c r="U1258" s="1019" t="str">
        <f ca="1">IF(AND($P1258=$V$2,COUNTIFS($C$3:$C1258,$C1258,$E$3:$E1258,$E1258,$G$3:$G1258,$G1258)&lt;=1),$P1258,"")</f>
        <v/>
      </c>
    </row>
    <row r="1259" spans="1:21">
      <c r="A1259" s="991" t="str">
        <f ca="1">IFERROR(IF(COUNTIF($A$3:A1258,A1258)&lt; INDEX(TinhGia!$BH$10:$BH$81,MATCH($A1258,TinhGia!$B$10:$B$81,0)),$A1258,INDEX(TinhGia!$B$10:$B$81,MATCH($A1258,TinhGia!$B$10:$B$81,0)+1)),"")</f>
        <v/>
      </c>
      <c r="B1259" s="525" t="str">
        <f ca="1">IF(OR(A1259="",A1259=0),"",IF(COUNTIF($A$2:A1259,$A1259)=1,ROW(MauKoXoa!$C$108),$B1258+1))</f>
        <v/>
      </c>
      <c r="C1259" s="992" t="str">
        <f t="shared" ca="1" si="187"/>
        <v/>
      </c>
      <c r="D1259" s="993" t="str">
        <f t="shared" ca="1" si="188"/>
        <v/>
      </c>
      <c r="E1259" s="993" t="str">
        <f t="shared" ca="1" si="189"/>
        <v/>
      </c>
      <c r="F1259" s="992" t="str">
        <f t="shared" ca="1" si="197"/>
        <v/>
      </c>
      <c r="G1259" s="994">
        <f t="shared" ca="1" si="190"/>
        <v>0</v>
      </c>
      <c r="H1259" s="913">
        <f t="shared" ca="1" si="191"/>
        <v>0</v>
      </c>
      <c r="I1259" s="913">
        <f t="shared" ca="1" si="192"/>
        <v>0</v>
      </c>
      <c r="J1259" s="995">
        <f t="shared" ca="1" si="198"/>
        <v>0</v>
      </c>
      <c r="K1259" s="913">
        <f t="shared" ca="1" si="193"/>
        <v>0</v>
      </c>
      <c r="L1259" s="995">
        <f t="shared" ca="1" si="199"/>
        <v>0</v>
      </c>
      <c r="M1259" s="913">
        <f t="shared" ca="1" si="194"/>
        <v>0</v>
      </c>
      <c r="N1259" s="996">
        <f t="shared" ca="1" si="195"/>
        <v>0</v>
      </c>
      <c r="O1259" s="997">
        <f t="shared" ca="1" si="196"/>
        <v>0</v>
      </c>
      <c r="P1259" s="1015" t="str">
        <f ca="1">IF($C1259="","",INDEX(NVLSX!$N$2:$N$6941,MATCH($C1259,NVLSX!$E$2:$E$6941,0)))</f>
        <v/>
      </c>
      <c r="Q1259" s="1016" t="str">
        <f ca="1">IF($R1259="","",IF(XKNVLSX!$X$1="",IF($P1259=$V$7,$P1259, IF(COUNTIFS($C$2:$C1258,$C1259,$E$2:$E1258,$E1259)&gt;=1,"",$P1259)),     IF(AND(IFERROR(SEARCH($R1259,XKNVLSX!$X$1,1),0)&gt;=1,$P1259=$V$7),$P1259, IF(OR($R1259&lt;&gt;IF(IFERROR(SEARCH($R1259,XKNVLSX!$X$1,1),0)&gt;=1,$R1259,XKNVLSX!$X$1),COUNTIFS($C$2:$C1258,$C1259,$E$2:$E1258,$E1259,$Q$2:$Q1258,$P1259)&gt;=1),"",$P1259))))</f>
        <v/>
      </c>
      <c r="R1259" s="1017" t="str">
        <f ca="1">IF($A1259="","",IFERROR(INDEX(TinhGia!$BF$10:$BF$81,MATCH($A1259,TinhGia!$B$10:$B$81,0)),""))</f>
        <v/>
      </c>
      <c r="S1259" s="1012" t="str">
        <f ca="1">IF($A1259="","",IF(OR(IFERROR(SEARCH($R1259,XKNVLSX!$X$1,1),0)&gt;=1,XKNVLSX!$X$1=""),$S$2,""))</f>
        <v/>
      </c>
      <c r="T1259" s="1018" t="str">
        <f ca="1">IF($C1259="","", IF(OR($P1259=$V$1,$P1259=$V$7,COUNTIFS($C$3:$C1259,$C1259,$E$3:$E1259,$E1259)&lt;=1),$P1259,""    ))</f>
        <v/>
      </c>
      <c r="U1259" s="1019" t="str">
        <f ca="1">IF(AND($P1259=$V$2,COUNTIFS($C$3:$C1259,$C1259,$E$3:$E1259,$E1259,$G$3:$G1259,$G1259)&lt;=1),$P1259,"")</f>
        <v/>
      </c>
    </row>
    <row r="1260" spans="1:21">
      <c r="A1260" s="991" t="str">
        <f ca="1">IFERROR(IF(COUNTIF($A$3:A1259,A1259)&lt; INDEX(TinhGia!$BH$10:$BH$81,MATCH($A1259,TinhGia!$B$10:$B$81,0)),$A1259,INDEX(TinhGia!$B$10:$B$81,MATCH($A1259,TinhGia!$B$10:$B$81,0)+1)),"")</f>
        <v/>
      </c>
      <c r="B1260" s="525" t="str">
        <f ca="1">IF(OR(A1260="",A1260=0),"",IF(COUNTIF($A$2:A1260,$A1260)=1,ROW(MauKoXoa!$C$108),$B1259+1))</f>
        <v/>
      </c>
      <c r="C1260" s="992" t="str">
        <f t="shared" ca="1" si="187"/>
        <v/>
      </c>
      <c r="D1260" s="993" t="str">
        <f t="shared" ca="1" si="188"/>
        <v/>
      </c>
      <c r="E1260" s="993" t="str">
        <f t="shared" ca="1" si="189"/>
        <v/>
      </c>
      <c r="F1260" s="992" t="str">
        <f t="shared" ca="1" si="197"/>
        <v/>
      </c>
      <c r="G1260" s="994">
        <f t="shared" ca="1" si="190"/>
        <v>0</v>
      </c>
      <c r="H1260" s="913">
        <f t="shared" ca="1" si="191"/>
        <v>0</v>
      </c>
      <c r="I1260" s="913">
        <f t="shared" ca="1" si="192"/>
        <v>0</v>
      </c>
      <c r="J1260" s="995">
        <f t="shared" ca="1" si="198"/>
        <v>0</v>
      </c>
      <c r="K1260" s="913">
        <f t="shared" ca="1" si="193"/>
        <v>0</v>
      </c>
      <c r="L1260" s="995">
        <f t="shared" ca="1" si="199"/>
        <v>0</v>
      </c>
      <c r="M1260" s="913">
        <f t="shared" ca="1" si="194"/>
        <v>0</v>
      </c>
      <c r="N1260" s="996">
        <f t="shared" ca="1" si="195"/>
        <v>0</v>
      </c>
      <c r="O1260" s="997">
        <f t="shared" ca="1" si="196"/>
        <v>0</v>
      </c>
      <c r="P1260" s="1015" t="str">
        <f ca="1">IF($C1260="","",INDEX(NVLSX!$N$2:$N$6941,MATCH($C1260,NVLSX!$E$2:$E$6941,0)))</f>
        <v/>
      </c>
      <c r="Q1260" s="1016" t="str">
        <f ca="1">IF($R1260="","",IF(XKNVLSX!$X$1="",IF($P1260=$V$7,$P1260, IF(COUNTIFS($C$2:$C1259,$C1260,$E$2:$E1259,$E1260)&gt;=1,"",$P1260)),     IF(AND(IFERROR(SEARCH($R1260,XKNVLSX!$X$1,1),0)&gt;=1,$P1260=$V$7),$P1260, IF(OR($R1260&lt;&gt;IF(IFERROR(SEARCH($R1260,XKNVLSX!$X$1,1),0)&gt;=1,$R1260,XKNVLSX!$X$1),COUNTIFS($C$2:$C1259,$C1260,$E$2:$E1259,$E1260,$Q$2:$Q1259,$P1260)&gt;=1),"",$P1260))))</f>
        <v/>
      </c>
      <c r="R1260" s="1017" t="str">
        <f ca="1">IF($A1260="","",IFERROR(INDEX(TinhGia!$BF$10:$BF$81,MATCH($A1260,TinhGia!$B$10:$B$81,0)),""))</f>
        <v/>
      </c>
      <c r="S1260" s="1012" t="str">
        <f ca="1">IF($A1260="","",IF(OR(IFERROR(SEARCH($R1260,XKNVLSX!$X$1,1),0)&gt;=1,XKNVLSX!$X$1=""),$S$2,""))</f>
        <v/>
      </c>
      <c r="T1260" s="1018" t="str">
        <f ca="1">IF($C1260="","", IF(OR($P1260=$V$1,$P1260=$V$7,COUNTIFS($C$3:$C1260,$C1260,$E$3:$E1260,$E1260)&lt;=1),$P1260,""    ))</f>
        <v/>
      </c>
      <c r="U1260" s="1019" t="str">
        <f ca="1">IF(AND($P1260=$V$2,COUNTIFS($C$3:$C1260,$C1260,$E$3:$E1260,$E1260,$G$3:$G1260,$G1260)&lt;=1),$P1260,"")</f>
        <v/>
      </c>
    </row>
    <row r="1261" spans="1:21">
      <c r="A1261" s="991" t="str">
        <f ca="1">IFERROR(IF(COUNTIF($A$3:A1260,A1260)&lt; INDEX(TinhGia!$BH$10:$BH$81,MATCH($A1260,TinhGia!$B$10:$B$81,0)),$A1260,INDEX(TinhGia!$B$10:$B$81,MATCH($A1260,TinhGia!$B$10:$B$81,0)+1)),"")</f>
        <v/>
      </c>
      <c r="B1261" s="525" t="str">
        <f ca="1">IF(OR(A1261="",A1261=0),"",IF(COUNTIF($A$2:A1261,$A1261)=1,ROW(MauKoXoa!$C$108),$B1260+1))</f>
        <v/>
      </c>
      <c r="C1261" s="992" t="str">
        <f t="shared" ca="1" si="187"/>
        <v/>
      </c>
      <c r="D1261" s="993" t="str">
        <f t="shared" ca="1" si="188"/>
        <v/>
      </c>
      <c r="E1261" s="993" t="str">
        <f t="shared" ca="1" si="189"/>
        <v/>
      </c>
      <c r="F1261" s="992" t="str">
        <f t="shared" ca="1" si="197"/>
        <v/>
      </c>
      <c r="G1261" s="994">
        <f t="shared" ca="1" si="190"/>
        <v>0</v>
      </c>
      <c r="H1261" s="913">
        <f t="shared" ca="1" si="191"/>
        <v>0</v>
      </c>
      <c r="I1261" s="913">
        <f t="shared" ca="1" si="192"/>
        <v>0</v>
      </c>
      <c r="J1261" s="995">
        <f t="shared" ca="1" si="198"/>
        <v>0</v>
      </c>
      <c r="K1261" s="913">
        <f t="shared" ca="1" si="193"/>
        <v>0</v>
      </c>
      <c r="L1261" s="995">
        <f t="shared" ca="1" si="199"/>
        <v>0</v>
      </c>
      <c r="M1261" s="913">
        <f t="shared" ca="1" si="194"/>
        <v>0</v>
      </c>
      <c r="N1261" s="996">
        <f t="shared" ca="1" si="195"/>
        <v>0</v>
      </c>
      <c r="O1261" s="997">
        <f t="shared" ca="1" si="196"/>
        <v>0</v>
      </c>
      <c r="P1261" s="1015" t="str">
        <f ca="1">IF($C1261="","",INDEX(NVLSX!$N$2:$N$6941,MATCH($C1261,NVLSX!$E$2:$E$6941,0)))</f>
        <v/>
      </c>
      <c r="Q1261" s="1016" t="str">
        <f ca="1">IF($R1261="","",IF(XKNVLSX!$X$1="",IF($P1261=$V$7,$P1261, IF(COUNTIFS($C$2:$C1260,$C1261,$E$2:$E1260,$E1261)&gt;=1,"",$P1261)),     IF(AND(IFERROR(SEARCH($R1261,XKNVLSX!$X$1,1),0)&gt;=1,$P1261=$V$7),$P1261, IF(OR($R1261&lt;&gt;IF(IFERROR(SEARCH($R1261,XKNVLSX!$X$1,1),0)&gt;=1,$R1261,XKNVLSX!$X$1),COUNTIFS($C$2:$C1260,$C1261,$E$2:$E1260,$E1261,$Q$2:$Q1260,$P1261)&gt;=1),"",$P1261))))</f>
        <v/>
      </c>
      <c r="R1261" s="1017" t="str">
        <f ca="1">IF($A1261="","",IFERROR(INDEX(TinhGia!$BF$10:$BF$81,MATCH($A1261,TinhGia!$B$10:$B$81,0)),""))</f>
        <v/>
      </c>
      <c r="S1261" s="1012" t="str">
        <f ca="1">IF($A1261="","",IF(OR(IFERROR(SEARCH($R1261,XKNVLSX!$X$1,1),0)&gt;=1,XKNVLSX!$X$1=""),$S$2,""))</f>
        <v/>
      </c>
      <c r="T1261" s="1018" t="str">
        <f ca="1">IF($C1261="","", IF(OR($P1261=$V$1,$P1261=$V$7,COUNTIFS($C$3:$C1261,$C1261,$E$3:$E1261,$E1261)&lt;=1),$P1261,""    ))</f>
        <v/>
      </c>
      <c r="U1261" s="1019" t="str">
        <f ca="1">IF(AND($P1261=$V$2,COUNTIFS($C$3:$C1261,$C1261,$E$3:$E1261,$E1261,$G$3:$G1261,$G1261)&lt;=1),$P1261,"")</f>
        <v/>
      </c>
    </row>
    <row r="1262" spans="1:21">
      <c r="A1262" s="991" t="str">
        <f ca="1">IFERROR(IF(COUNTIF($A$3:A1261,A1261)&lt; INDEX(TinhGia!$BH$10:$BH$81,MATCH($A1261,TinhGia!$B$10:$B$81,0)),$A1261,INDEX(TinhGia!$B$10:$B$81,MATCH($A1261,TinhGia!$B$10:$B$81,0)+1)),"")</f>
        <v/>
      </c>
      <c r="B1262" s="525" t="str">
        <f ca="1">IF(OR(A1262="",A1262=0),"",IF(COUNTIF($A$2:A1262,$A1262)=1,ROW(MauKoXoa!$C$108),$B1261+1))</f>
        <v/>
      </c>
      <c r="C1262" s="992" t="str">
        <f t="shared" ca="1" si="187"/>
        <v/>
      </c>
      <c r="D1262" s="993" t="str">
        <f t="shared" ca="1" si="188"/>
        <v/>
      </c>
      <c r="E1262" s="993" t="str">
        <f t="shared" ca="1" si="189"/>
        <v/>
      </c>
      <c r="F1262" s="992" t="str">
        <f t="shared" ca="1" si="197"/>
        <v/>
      </c>
      <c r="G1262" s="994">
        <f t="shared" ca="1" si="190"/>
        <v>0</v>
      </c>
      <c r="H1262" s="913">
        <f t="shared" ca="1" si="191"/>
        <v>0</v>
      </c>
      <c r="I1262" s="913">
        <f t="shared" ca="1" si="192"/>
        <v>0</v>
      </c>
      <c r="J1262" s="995">
        <f t="shared" ca="1" si="198"/>
        <v>0</v>
      </c>
      <c r="K1262" s="913">
        <f t="shared" ca="1" si="193"/>
        <v>0</v>
      </c>
      <c r="L1262" s="995">
        <f t="shared" ca="1" si="199"/>
        <v>0</v>
      </c>
      <c r="M1262" s="913">
        <f t="shared" ca="1" si="194"/>
        <v>0</v>
      </c>
      <c r="N1262" s="996">
        <f t="shared" ca="1" si="195"/>
        <v>0</v>
      </c>
      <c r="O1262" s="997">
        <f t="shared" ca="1" si="196"/>
        <v>0</v>
      </c>
      <c r="P1262" s="1015" t="str">
        <f ca="1">IF($C1262="","",INDEX(NVLSX!$N$2:$N$6941,MATCH($C1262,NVLSX!$E$2:$E$6941,0)))</f>
        <v/>
      </c>
      <c r="Q1262" s="1016" t="str">
        <f ca="1">IF($R1262="","",IF(XKNVLSX!$X$1="",IF($P1262=$V$7,$P1262, IF(COUNTIFS($C$2:$C1261,$C1262,$E$2:$E1261,$E1262)&gt;=1,"",$P1262)),     IF(AND(IFERROR(SEARCH($R1262,XKNVLSX!$X$1,1),0)&gt;=1,$P1262=$V$7),$P1262, IF(OR($R1262&lt;&gt;IF(IFERROR(SEARCH($R1262,XKNVLSX!$X$1,1),0)&gt;=1,$R1262,XKNVLSX!$X$1),COUNTIFS($C$2:$C1261,$C1262,$E$2:$E1261,$E1262,$Q$2:$Q1261,$P1262)&gt;=1),"",$P1262))))</f>
        <v/>
      </c>
      <c r="R1262" s="1017" t="str">
        <f ca="1">IF($A1262="","",IFERROR(INDEX(TinhGia!$BF$10:$BF$81,MATCH($A1262,TinhGia!$B$10:$B$81,0)),""))</f>
        <v/>
      </c>
      <c r="S1262" s="1012" t="str">
        <f ca="1">IF($A1262="","",IF(OR(IFERROR(SEARCH($R1262,XKNVLSX!$X$1,1),0)&gt;=1,XKNVLSX!$X$1=""),$S$2,""))</f>
        <v/>
      </c>
      <c r="T1262" s="1018" t="str">
        <f ca="1">IF($C1262="","", IF(OR($P1262=$V$1,$P1262=$V$7,COUNTIFS($C$3:$C1262,$C1262,$E$3:$E1262,$E1262)&lt;=1),$P1262,""    ))</f>
        <v/>
      </c>
      <c r="U1262" s="1019" t="str">
        <f ca="1">IF(AND($P1262=$V$2,COUNTIFS($C$3:$C1262,$C1262,$E$3:$E1262,$E1262,$G$3:$G1262,$G1262)&lt;=1),$P1262,"")</f>
        <v/>
      </c>
    </row>
    <row r="1263" spans="1:21">
      <c r="A1263" s="991" t="str">
        <f ca="1">IFERROR(IF(COUNTIF($A$3:A1262,A1262)&lt; INDEX(TinhGia!$BH$10:$BH$81,MATCH($A1262,TinhGia!$B$10:$B$81,0)),$A1262,INDEX(TinhGia!$B$10:$B$81,MATCH($A1262,TinhGia!$B$10:$B$81,0)+1)),"")</f>
        <v/>
      </c>
      <c r="B1263" s="525" t="str">
        <f ca="1">IF(OR(A1263="",A1263=0),"",IF(COUNTIF($A$2:A1263,$A1263)=1,ROW(MauKoXoa!$C$108),$B1262+1))</f>
        <v/>
      </c>
      <c r="C1263" s="992" t="str">
        <f t="shared" ca="1" si="187"/>
        <v/>
      </c>
      <c r="D1263" s="993" t="str">
        <f t="shared" ca="1" si="188"/>
        <v/>
      </c>
      <c r="E1263" s="993" t="str">
        <f t="shared" ca="1" si="189"/>
        <v/>
      </c>
      <c r="F1263" s="992" t="str">
        <f t="shared" ca="1" si="197"/>
        <v/>
      </c>
      <c r="G1263" s="994">
        <f t="shared" ca="1" si="190"/>
        <v>0</v>
      </c>
      <c r="H1263" s="913">
        <f t="shared" ca="1" si="191"/>
        <v>0</v>
      </c>
      <c r="I1263" s="913">
        <f t="shared" ca="1" si="192"/>
        <v>0</v>
      </c>
      <c r="J1263" s="995">
        <f t="shared" ca="1" si="198"/>
        <v>0</v>
      </c>
      <c r="K1263" s="913">
        <f t="shared" ca="1" si="193"/>
        <v>0</v>
      </c>
      <c r="L1263" s="995">
        <f t="shared" ca="1" si="199"/>
        <v>0</v>
      </c>
      <c r="M1263" s="913">
        <f t="shared" ca="1" si="194"/>
        <v>0</v>
      </c>
      <c r="N1263" s="996">
        <f t="shared" ca="1" si="195"/>
        <v>0</v>
      </c>
      <c r="O1263" s="997">
        <f t="shared" ca="1" si="196"/>
        <v>0</v>
      </c>
      <c r="P1263" s="1015" t="str">
        <f ca="1">IF($C1263="","",INDEX(NVLSX!$N$2:$N$6941,MATCH($C1263,NVLSX!$E$2:$E$6941,0)))</f>
        <v/>
      </c>
      <c r="Q1263" s="1016" t="str">
        <f ca="1">IF($R1263="","",IF(XKNVLSX!$X$1="",IF($P1263=$V$7,$P1263, IF(COUNTIFS($C$2:$C1262,$C1263,$E$2:$E1262,$E1263)&gt;=1,"",$P1263)),     IF(AND(IFERROR(SEARCH($R1263,XKNVLSX!$X$1,1),0)&gt;=1,$P1263=$V$7),$P1263, IF(OR($R1263&lt;&gt;IF(IFERROR(SEARCH($R1263,XKNVLSX!$X$1,1),0)&gt;=1,$R1263,XKNVLSX!$X$1),COUNTIFS($C$2:$C1262,$C1263,$E$2:$E1262,$E1263,$Q$2:$Q1262,$P1263)&gt;=1),"",$P1263))))</f>
        <v/>
      </c>
      <c r="R1263" s="1017" t="str">
        <f ca="1">IF($A1263="","",IFERROR(INDEX(TinhGia!$BF$10:$BF$81,MATCH($A1263,TinhGia!$B$10:$B$81,0)),""))</f>
        <v/>
      </c>
      <c r="S1263" s="1012" t="str">
        <f ca="1">IF($A1263="","",IF(OR(IFERROR(SEARCH($R1263,XKNVLSX!$X$1,1),0)&gt;=1,XKNVLSX!$X$1=""),$S$2,""))</f>
        <v/>
      </c>
      <c r="T1263" s="1018" t="str">
        <f ca="1">IF($C1263="","", IF(OR($P1263=$V$1,$P1263=$V$7,COUNTIFS($C$3:$C1263,$C1263,$E$3:$E1263,$E1263)&lt;=1),$P1263,""    ))</f>
        <v/>
      </c>
      <c r="U1263" s="1019" t="str">
        <f ca="1">IF(AND($P1263=$V$2,COUNTIFS($C$3:$C1263,$C1263,$E$3:$E1263,$E1263,$G$3:$G1263,$G1263)&lt;=1),$P1263,"")</f>
        <v/>
      </c>
    </row>
    <row r="1264" spans="1:21">
      <c r="A1264" s="991" t="str">
        <f ca="1">IFERROR(IF(COUNTIF($A$3:A1263,A1263)&lt; INDEX(TinhGia!$BH$10:$BH$81,MATCH($A1263,TinhGia!$B$10:$B$81,0)),$A1263,INDEX(TinhGia!$B$10:$B$81,MATCH($A1263,TinhGia!$B$10:$B$81,0)+1)),"")</f>
        <v/>
      </c>
      <c r="B1264" s="525" t="str">
        <f ca="1">IF(OR(A1264="",A1264=0),"",IF(COUNTIF($A$2:A1264,$A1264)=1,ROW(MauKoXoa!$C$108),$B1263+1))</f>
        <v/>
      </c>
      <c r="C1264" s="992" t="str">
        <f t="shared" ca="1" si="187"/>
        <v/>
      </c>
      <c r="D1264" s="993" t="str">
        <f t="shared" ca="1" si="188"/>
        <v/>
      </c>
      <c r="E1264" s="993" t="str">
        <f t="shared" ca="1" si="189"/>
        <v/>
      </c>
      <c r="F1264" s="992" t="str">
        <f t="shared" ca="1" si="197"/>
        <v/>
      </c>
      <c r="G1264" s="994">
        <f t="shared" ca="1" si="190"/>
        <v>0</v>
      </c>
      <c r="H1264" s="913">
        <f t="shared" ca="1" si="191"/>
        <v>0</v>
      </c>
      <c r="I1264" s="913">
        <f t="shared" ca="1" si="192"/>
        <v>0</v>
      </c>
      <c r="J1264" s="995">
        <f t="shared" ca="1" si="198"/>
        <v>0</v>
      </c>
      <c r="K1264" s="913">
        <f t="shared" ca="1" si="193"/>
        <v>0</v>
      </c>
      <c r="L1264" s="995">
        <f t="shared" ca="1" si="199"/>
        <v>0</v>
      </c>
      <c r="M1264" s="913">
        <f t="shared" ca="1" si="194"/>
        <v>0</v>
      </c>
      <c r="N1264" s="996">
        <f t="shared" ca="1" si="195"/>
        <v>0</v>
      </c>
      <c r="O1264" s="997">
        <f t="shared" ca="1" si="196"/>
        <v>0</v>
      </c>
      <c r="P1264" s="1015" t="str">
        <f ca="1">IF($C1264="","",INDEX(NVLSX!$N$2:$N$6941,MATCH($C1264,NVLSX!$E$2:$E$6941,0)))</f>
        <v/>
      </c>
      <c r="Q1264" s="1016" t="str">
        <f ca="1">IF($R1264="","",IF(XKNVLSX!$X$1="",IF($P1264=$V$7,$P1264, IF(COUNTIFS($C$2:$C1263,$C1264,$E$2:$E1263,$E1264)&gt;=1,"",$P1264)),     IF(AND(IFERROR(SEARCH($R1264,XKNVLSX!$X$1,1),0)&gt;=1,$P1264=$V$7),$P1264, IF(OR($R1264&lt;&gt;IF(IFERROR(SEARCH($R1264,XKNVLSX!$X$1,1),0)&gt;=1,$R1264,XKNVLSX!$X$1),COUNTIFS($C$2:$C1263,$C1264,$E$2:$E1263,$E1264,$Q$2:$Q1263,$P1264)&gt;=1),"",$P1264))))</f>
        <v/>
      </c>
      <c r="R1264" s="1017" t="str">
        <f ca="1">IF($A1264="","",IFERROR(INDEX(TinhGia!$BF$10:$BF$81,MATCH($A1264,TinhGia!$B$10:$B$81,0)),""))</f>
        <v/>
      </c>
      <c r="S1264" s="1012" t="str">
        <f ca="1">IF($A1264="","",IF(OR(IFERROR(SEARCH($R1264,XKNVLSX!$X$1,1),0)&gt;=1,XKNVLSX!$X$1=""),$S$2,""))</f>
        <v/>
      </c>
      <c r="T1264" s="1018" t="str">
        <f ca="1">IF($C1264="","", IF(OR($P1264=$V$1,$P1264=$V$7,COUNTIFS($C$3:$C1264,$C1264,$E$3:$E1264,$E1264)&lt;=1),$P1264,""    ))</f>
        <v/>
      </c>
      <c r="U1264" s="1019" t="str">
        <f ca="1">IF(AND($P1264=$V$2,COUNTIFS($C$3:$C1264,$C1264,$E$3:$E1264,$E1264,$G$3:$G1264,$G1264)&lt;=1),$P1264,"")</f>
        <v/>
      </c>
    </row>
    <row r="1265" spans="1:21">
      <c r="A1265" s="991" t="str">
        <f ca="1">IFERROR(IF(COUNTIF($A$3:A1264,A1264)&lt; INDEX(TinhGia!$BH$10:$BH$81,MATCH($A1264,TinhGia!$B$10:$B$81,0)),$A1264,INDEX(TinhGia!$B$10:$B$81,MATCH($A1264,TinhGia!$B$10:$B$81,0)+1)),"")</f>
        <v/>
      </c>
      <c r="B1265" s="525" t="str">
        <f ca="1">IF(OR(A1265="",A1265=0),"",IF(COUNTIF($A$2:A1265,$A1265)=1,ROW(MauKoXoa!$C$108),$B1264+1))</f>
        <v/>
      </c>
      <c r="C1265" s="992" t="str">
        <f t="shared" ca="1" si="187"/>
        <v/>
      </c>
      <c r="D1265" s="993" t="str">
        <f t="shared" ca="1" si="188"/>
        <v/>
      </c>
      <c r="E1265" s="993" t="str">
        <f t="shared" ca="1" si="189"/>
        <v/>
      </c>
      <c r="F1265" s="992" t="str">
        <f t="shared" ca="1" si="197"/>
        <v/>
      </c>
      <c r="G1265" s="994">
        <f t="shared" ca="1" si="190"/>
        <v>0</v>
      </c>
      <c r="H1265" s="913">
        <f t="shared" ca="1" si="191"/>
        <v>0</v>
      </c>
      <c r="I1265" s="913">
        <f t="shared" ca="1" si="192"/>
        <v>0</v>
      </c>
      <c r="J1265" s="995">
        <f t="shared" ca="1" si="198"/>
        <v>0</v>
      </c>
      <c r="K1265" s="913">
        <f t="shared" ca="1" si="193"/>
        <v>0</v>
      </c>
      <c r="L1265" s="995">
        <f t="shared" ca="1" si="199"/>
        <v>0</v>
      </c>
      <c r="M1265" s="913">
        <f t="shared" ca="1" si="194"/>
        <v>0</v>
      </c>
      <c r="N1265" s="996">
        <f t="shared" ca="1" si="195"/>
        <v>0</v>
      </c>
      <c r="O1265" s="997">
        <f t="shared" ca="1" si="196"/>
        <v>0</v>
      </c>
      <c r="P1265" s="1015" t="str">
        <f ca="1">IF($C1265="","",INDEX(NVLSX!$N$2:$N$6941,MATCH($C1265,NVLSX!$E$2:$E$6941,0)))</f>
        <v/>
      </c>
      <c r="Q1265" s="1016" t="str">
        <f ca="1">IF($R1265="","",IF(XKNVLSX!$X$1="",IF($P1265=$V$7,$P1265, IF(COUNTIFS($C$2:$C1264,$C1265,$E$2:$E1264,$E1265)&gt;=1,"",$P1265)),     IF(AND(IFERROR(SEARCH($R1265,XKNVLSX!$X$1,1),0)&gt;=1,$P1265=$V$7),$P1265, IF(OR($R1265&lt;&gt;IF(IFERROR(SEARCH($R1265,XKNVLSX!$X$1,1),0)&gt;=1,$R1265,XKNVLSX!$X$1),COUNTIFS($C$2:$C1264,$C1265,$E$2:$E1264,$E1265,$Q$2:$Q1264,$P1265)&gt;=1),"",$P1265))))</f>
        <v/>
      </c>
      <c r="R1265" s="1017" t="str">
        <f ca="1">IF($A1265="","",IFERROR(INDEX(TinhGia!$BF$10:$BF$81,MATCH($A1265,TinhGia!$B$10:$B$81,0)),""))</f>
        <v/>
      </c>
      <c r="S1265" s="1012" t="str">
        <f ca="1">IF($A1265="","",IF(OR(IFERROR(SEARCH($R1265,XKNVLSX!$X$1,1),0)&gt;=1,XKNVLSX!$X$1=""),$S$2,""))</f>
        <v/>
      </c>
      <c r="T1265" s="1018" t="str">
        <f ca="1">IF($C1265="","", IF(OR($P1265=$V$1,$P1265=$V$7,COUNTIFS($C$3:$C1265,$C1265,$E$3:$E1265,$E1265)&lt;=1),$P1265,""    ))</f>
        <v/>
      </c>
      <c r="U1265" s="1019" t="str">
        <f ca="1">IF(AND($P1265=$V$2,COUNTIFS($C$3:$C1265,$C1265,$E$3:$E1265,$E1265,$G$3:$G1265,$G1265)&lt;=1),$P1265,"")</f>
        <v/>
      </c>
    </row>
    <row r="1266" spans="1:21">
      <c r="A1266" s="991" t="str">
        <f ca="1">IFERROR(IF(COUNTIF($A$3:A1265,A1265)&lt; INDEX(TinhGia!$BH$10:$BH$81,MATCH($A1265,TinhGia!$B$10:$B$81,0)),$A1265,INDEX(TinhGia!$B$10:$B$81,MATCH($A1265,TinhGia!$B$10:$B$81,0)+1)),"")</f>
        <v/>
      </c>
      <c r="B1266" s="525" t="str">
        <f ca="1">IF(OR(A1266="",A1266=0),"",IF(COUNTIF($A$2:A1266,$A1266)=1,ROW(MauKoXoa!$C$108),$B1265+1))</f>
        <v/>
      </c>
      <c r="C1266" s="992" t="str">
        <f t="shared" ca="1" si="187"/>
        <v/>
      </c>
      <c r="D1266" s="993" t="str">
        <f t="shared" ca="1" si="188"/>
        <v/>
      </c>
      <c r="E1266" s="993" t="str">
        <f t="shared" ca="1" si="189"/>
        <v/>
      </c>
      <c r="F1266" s="992" t="str">
        <f t="shared" ca="1" si="197"/>
        <v/>
      </c>
      <c r="G1266" s="994">
        <f t="shared" ca="1" si="190"/>
        <v>0</v>
      </c>
      <c r="H1266" s="913">
        <f t="shared" ca="1" si="191"/>
        <v>0</v>
      </c>
      <c r="I1266" s="913">
        <f t="shared" ca="1" si="192"/>
        <v>0</v>
      </c>
      <c r="J1266" s="995">
        <f t="shared" ca="1" si="198"/>
        <v>0</v>
      </c>
      <c r="K1266" s="913">
        <f t="shared" ca="1" si="193"/>
        <v>0</v>
      </c>
      <c r="L1266" s="995">
        <f t="shared" ca="1" si="199"/>
        <v>0</v>
      </c>
      <c r="M1266" s="913">
        <f t="shared" ca="1" si="194"/>
        <v>0</v>
      </c>
      <c r="N1266" s="996">
        <f t="shared" ca="1" si="195"/>
        <v>0</v>
      </c>
      <c r="O1266" s="997">
        <f t="shared" ca="1" si="196"/>
        <v>0</v>
      </c>
      <c r="P1266" s="1015" t="str">
        <f ca="1">IF($C1266="","",INDEX(NVLSX!$N$2:$N$6941,MATCH($C1266,NVLSX!$E$2:$E$6941,0)))</f>
        <v/>
      </c>
      <c r="Q1266" s="1016" t="str">
        <f ca="1">IF($R1266="","",IF(XKNVLSX!$X$1="",IF($P1266=$V$7,$P1266, IF(COUNTIFS($C$2:$C1265,$C1266,$E$2:$E1265,$E1266)&gt;=1,"",$P1266)),     IF(AND(IFERROR(SEARCH($R1266,XKNVLSX!$X$1,1),0)&gt;=1,$P1266=$V$7),$P1266, IF(OR($R1266&lt;&gt;IF(IFERROR(SEARCH($R1266,XKNVLSX!$X$1,1),0)&gt;=1,$R1266,XKNVLSX!$X$1),COUNTIFS($C$2:$C1265,$C1266,$E$2:$E1265,$E1266,$Q$2:$Q1265,$P1266)&gt;=1),"",$P1266))))</f>
        <v/>
      </c>
      <c r="R1266" s="1017" t="str">
        <f ca="1">IF($A1266="","",IFERROR(INDEX(TinhGia!$BF$10:$BF$81,MATCH($A1266,TinhGia!$B$10:$B$81,0)),""))</f>
        <v/>
      </c>
      <c r="S1266" s="1012" t="str">
        <f ca="1">IF($A1266="","",IF(OR(IFERROR(SEARCH($R1266,XKNVLSX!$X$1,1),0)&gt;=1,XKNVLSX!$X$1=""),$S$2,""))</f>
        <v/>
      </c>
      <c r="T1266" s="1018" t="str">
        <f ca="1">IF($C1266="","", IF(OR($P1266=$V$1,$P1266=$V$7,COUNTIFS($C$3:$C1266,$C1266,$E$3:$E1266,$E1266)&lt;=1),$P1266,""    ))</f>
        <v/>
      </c>
      <c r="U1266" s="1019" t="str">
        <f ca="1">IF(AND($P1266=$V$2,COUNTIFS($C$3:$C1266,$C1266,$E$3:$E1266,$E1266,$G$3:$G1266,$G1266)&lt;=1),$P1266,"")</f>
        <v/>
      </c>
    </row>
    <row r="1267" spans="1:21">
      <c r="A1267" s="991" t="str">
        <f ca="1">IFERROR(IF(COUNTIF($A$3:A1266,A1266)&lt; INDEX(TinhGia!$BH$10:$BH$81,MATCH($A1266,TinhGia!$B$10:$B$81,0)),$A1266,INDEX(TinhGia!$B$10:$B$81,MATCH($A1266,TinhGia!$B$10:$B$81,0)+1)),"")</f>
        <v/>
      </c>
      <c r="B1267" s="525" t="str">
        <f ca="1">IF(OR(A1267="",A1267=0),"",IF(COUNTIF($A$2:A1267,$A1267)=1,ROW(MauKoXoa!$C$108),$B1266+1))</f>
        <v/>
      </c>
      <c r="C1267" s="992" t="str">
        <f t="shared" ca="1" si="187"/>
        <v/>
      </c>
      <c r="D1267" s="993" t="str">
        <f t="shared" ca="1" si="188"/>
        <v/>
      </c>
      <c r="E1267" s="993" t="str">
        <f t="shared" ca="1" si="189"/>
        <v/>
      </c>
      <c r="F1267" s="992" t="str">
        <f t="shared" ca="1" si="197"/>
        <v/>
      </c>
      <c r="G1267" s="994">
        <f t="shared" ca="1" si="190"/>
        <v>0</v>
      </c>
      <c r="H1267" s="913">
        <f t="shared" ca="1" si="191"/>
        <v>0</v>
      </c>
      <c r="I1267" s="913">
        <f t="shared" ca="1" si="192"/>
        <v>0</v>
      </c>
      <c r="J1267" s="995">
        <f t="shared" ca="1" si="198"/>
        <v>0</v>
      </c>
      <c r="K1267" s="913">
        <f t="shared" ca="1" si="193"/>
        <v>0</v>
      </c>
      <c r="L1267" s="995">
        <f t="shared" ca="1" si="199"/>
        <v>0</v>
      </c>
      <c r="M1267" s="913">
        <f t="shared" ca="1" si="194"/>
        <v>0</v>
      </c>
      <c r="N1267" s="996">
        <f t="shared" ca="1" si="195"/>
        <v>0</v>
      </c>
      <c r="O1267" s="997">
        <f t="shared" ca="1" si="196"/>
        <v>0</v>
      </c>
      <c r="P1267" s="1015" t="str">
        <f ca="1">IF($C1267="","",INDEX(NVLSX!$N$2:$N$6941,MATCH($C1267,NVLSX!$E$2:$E$6941,0)))</f>
        <v/>
      </c>
      <c r="Q1267" s="1016" t="str">
        <f ca="1">IF($R1267="","",IF(XKNVLSX!$X$1="",IF($P1267=$V$7,$P1267, IF(COUNTIFS($C$2:$C1266,$C1267,$E$2:$E1266,$E1267)&gt;=1,"",$P1267)),     IF(AND(IFERROR(SEARCH($R1267,XKNVLSX!$X$1,1),0)&gt;=1,$P1267=$V$7),$P1267, IF(OR($R1267&lt;&gt;IF(IFERROR(SEARCH($R1267,XKNVLSX!$X$1,1),0)&gt;=1,$R1267,XKNVLSX!$X$1),COUNTIFS($C$2:$C1266,$C1267,$E$2:$E1266,$E1267,$Q$2:$Q1266,$P1267)&gt;=1),"",$P1267))))</f>
        <v/>
      </c>
      <c r="R1267" s="1017" t="str">
        <f ca="1">IF($A1267="","",IFERROR(INDEX(TinhGia!$BF$10:$BF$81,MATCH($A1267,TinhGia!$B$10:$B$81,0)),""))</f>
        <v/>
      </c>
      <c r="S1267" s="1012" t="str">
        <f ca="1">IF($A1267="","",IF(OR(IFERROR(SEARCH($R1267,XKNVLSX!$X$1,1),0)&gt;=1,XKNVLSX!$X$1=""),$S$2,""))</f>
        <v/>
      </c>
      <c r="T1267" s="1018" t="str">
        <f ca="1">IF($C1267="","", IF(OR($P1267=$V$1,$P1267=$V$7,COUNTIFS($C$3:$C1267,$C1267,$E$3:$E1267,$E1267)&lt;=1),$P1267,""    ))</f>
        <v/>
      </c>
      <c r="U1267" s="1019" t="str">
        <f ca="1">IF(AND($P1267=$V$2,COUNTIFS($C$3:$C1267,$C1267,$E$3:$E1267,$E1267,$G$3:$G1267,$G1267)&lt;=1),$P1267,"")</f>
        <v/>
      </c>
    </row>
    <row r="1268" spans="1:21">
      <c r="A1268" s="991" t="str">
        <f ca="1">IFERROR(IF(COUNTIF($A$3:A1267,A1267)&lt; INDEX(TinhGia!$BH$10:$BH$81,MATCH($A1267,TinhGia!$B$10:$B$81,0)),$A1267,INDEX(TinhGia!$B$10:$B$81,MATCH($A1267,TinhGia!$B$10:$B$81,0)+1)),"")</f>
        <v/>
      </c>
      <c r="B1268" s="525" t="str">
        <f ca="1">IF(OR(A1268="",A1268=0),"",IF(COUNTIF($A$2:A1268,$A1268)=1,ROW(MauKoXoa!$C$108),$B1267+1))</f>
        <v/>
      </c>
      <c r="C1268" s="992" t="str">
        <f t="shared" ca="1" si="187"/>
        <v/>
      </c>
      <c r="D1268" s="993" t="str">
        <f t="shared" ca="1" si="188"/>
        <v/>
      </c>
      <c r="E1268" s="993" t="str">
        <f t="shared" ca="1" si="189"/>
        <v/>
      </c>
      <c r="F1268" s="992" t="str">
        <f t="shared" ca="1" si="197"/>
        <v/>
      </c>
      <c r="G1268" s="994">
        <f t="shared" ca="1" si="190"/>
        <v>0</v>
      </c>
      <c r="H1268" s="913">
        <f t="shared" ca="1" si="191"/>
        <v>0</v>
      </c>
      <c r="I1268" s="913">
        <f t="shared" ca="1" si="192"/>
        <v>0</v>
      </c>
      <c r="J1268" s="995">
        <f t="shared" ca="1" si="198"/>
        <v>0</v>
      </c>
      <c r="K1268" s="913">
        <f t="shared" ca="1" si="193"/>
        <v>0</v>
      </c>
      <c r="L1268" s="995">
        <f t="shared" ca="1" si="199"/>
        <v>0</v>
      </c>
      <c r="M1268" s="913">
        <f t="shared" ca="1" si="194"/>
        <v>0</v>
      </c>
      <c r="N1268" s="996">
        <f t="shared" ca="1" si="195"/>
        <v>0</v>
      </c>
      <c r="O1268" s="997">
        <f t="shared" ca="1" si="196"/>
        <v>0</v>
      </c>
      <c r="P1268" s="1015" t="str">
        <f ca="1">IF($C1268="","",INDEX(NVLSX!$N$2:$N$6941,MATCH($C1268,NVLSX!$E$2:$E$6941,0)))</f>
        <v/>
      </c>
      <c r="Q1268" s="1016" t="str">
        <f ca="1">IF($R1268="","",IF(XKNVLSX!$X$1="",IF($P1268=$V$7,$P1268, IF(COUNTIFS($C$2:$C1267,$C1268,$E$2:$E1267,$E1268)&gt;=1,"",$P1268)),     IF(AND(IFERROR(SEARCH($R1268,XKNVLSX!$X$1,1),0)&gt;=1,$P1268=$V$7),$P1268, IF(OR($R1268&lt;&gt;IF(IFERROR(SEARCH($R1268,XKNVLSX!$X$1,1),0)&gt;=1,$R1268,XKNVLSX!$X$1),COUNTIFS($C$2:$C1267,$C1268,$E$2:$E1267,$E1268,$Q$2:$Q1267,$P1268)&gt;=1),"",$P1268))))</f>
        <v/>
      </c>
      <c r="R1268" s="1017" t="str">
        <f ca="1">IF($A1268="","",IFERROR(INDEX(TinhGia!$BF$10:$BF$81,MATCH($A1268,TinhGia!$B$10:$B$81,0)),""))</f>
        <v/>
      </c>
      <c r="S1268" s="1012" t="str">
        <f ca="1">IF($A1268="","",IF(OR(IFERROR(SEARCH($R1268,XKNVLSX!$X$1,1),0)&gt;=1,XKNVLSX!$X$1=""),$S$2,""))</f>
        <v/>
      </c>
      <c r="T1268" s="1018" t="str">
        <f ca="1">IF($C1268="","", IF(OR($P1268=$V$1,$P1268=$V$7,COUNTIFS($C$3:$C1268,$C1268,$E$3:$E1268,$E1268)&lt;=1),$P1268,""    ))</f>
        <v/>
      </c>
      <c r="U1268" s="1019" t="str">
        <f ca="1">IF(AND($P1268=$V$2,COUNTIFS($C$3:$C1268,$C1268,$E$3:$E1268,$E1268,$G$3:$G1268,$G1268)&lt;=1),$P1268,"")</f>
        <v/>
      </c>
    </row>
    <row r="1269" spans="1:21">
      <c r="A1269" s="991" t="str">
        <f ca="1">IFERROR(IF(COUNTIF($A$3:A1268,A1268)&lt; INDEX(TinhGia!$BH$10:$BH$81,MATCH($A1268,TinhGia!$B$10:$B$81,0)),$A1268,INDEX(TinhGia!$B$10:$B$81,MATCH($A1268,TinhGia!$B$10:$B$81,0)+1)),"")</f>
        <v/>
      </c>
      <c r="B1269" s="525" t="str">
        <f ca="1">IF(OR(A1269="",A1269=0),"",IF(COUNTIF($A$2:A1269,$A1269)=1,ROW(MauKoXoa!$C$108),$B1268+1))</f>
        <v/>
      </c>
      <c r="C1269" s="992" t="str">
        <f t="shared" ca="1" si="187"/>
        <v/>
      </c>
      <c r="D1269" s="993" t="str">
        <f t="shared" ca="1" si="188"/>
        <v/>
      </c>
      <c r="E1269" s="993" t="str">
        <f t="shared" ca="1" si="189"/>
        <v/>
      </c>
      <c r="F1269" s="992" t="str">
        <f t="shared" ca="1" si="197"/>
        <v/>
      </c>
      <c r="G1269" s="994">
        <f t="shared" ca="1" si="190"/>
        <v>0</v>
      </c>
      <c r="H1269" s="913">
        <f t="shared" ca="1" si="191"/>
        <v>0</v>
      </c>
      <c r="I1269" s="913">
        <f t="shared" ca="1" si="192"/>
        <v>0</v>
      </c>
      <c r="J1269" s="995">
        <f t="shared" ca="1" si="198"/>
        <v>0</v>
      </c>
      <c r="K1269" s="913">
        <f t="shared" ca="1" si="193"/>
        <v>0</v>
      </c>
      <c r="L1269" s="995">
        <f t="shared" ca="1" si="199"/>
        <v>0</v>
      </c>
      <c r="M1269" s="913">
        <f t="shared" ca="1" si="194"/>
        <v>0</v>
      </c>
      <c r="N1269" s="996">
        <f t="shared" ca="1" si="195"/>
        <v>0</v>
      </c>
      <c r="O1269" s="997">
        <f t="shared" ca="1" si="196"/>
        <v>0</v>
      </c>
      <c r="P1269" s="1015" t="str">
        <f ca="1">IF($C1269="","",INDEX(NVLSX!$N$2:$N$6941,MATCH($C1269,NVLSX!$E$2:$E$6941,0)))</f>
        <v/>
      </c>
      <c r="Q1269" s="1016" t="str">
        <f ca="1">IF($R1269="","",IF(XKNVLSX!$X$1="",IF($P1269=$V$7,$P1269, IF(COUNTIFS($C$2:$C1268,$C1269,$E$2:$E1268,$E1269)&gt;=1,"",$P1269)),     IF(AND(IFERROR(SEARCH($R1269,XKNVLSX!$X$1,1),0)&gt;=1,$P1269=$V$7),$P1269, IF(OR($R1269&lt;&gt;IF(IFERROR(SEARCH($R1269,XKNVLSX!$X$1,1),0)&gt;=1,$R1269,XKNVLSX!$X$1),COUNTIFS($C$2:$C1268,$C1269,$E$2:$E1268,$E1269,$Q$2:$Q1268,$P1269)&gt;=1),"",$P1269))))</f>
        <v/>
      </c>
      <c r="R1269" s="1017" t="str">
        <f ca="1">IF($A1269="","",IFERROR(INDEX(TinhGia!$BF$10:$BF$81,MATCH($A1269,TinhGia!$B$10:$B$81,0)),""))</f>
        <v/>
      </c>
      <c r="S1269" s="1012" t="str">
        <f ca="1">IF($A1269="","",IF(OR(IFERROR(SEARCH($R1269,XKNVLSX!$X$1,1),0)&gt;=1,XKNVLSX!$X$1=""),$S$2,""))</f>
        <v/>
      </c>
      <c r="T1269" s="1018" t="str">
        <f ca="1">IF($C1269="","", IF(OR($P1269=$V$1,$P1269=$V$7,COUNTIFS($C$3:$C1269,$C1269,$E$3:$E1269,$E1269)&lt;=1),$P1269,""    ))</f>
        <v/>
      </c>
      <c r="U1269" s="1019" t="str">
        <f ca="1">IF(AND($P1269=$V$2,COUNTIFS($C$3:$C1269,$C1269,$E$3:$E1269,$E1269,$G$3:$G1269,$G1269)&lt;=1),$P1269,"")</f>
        <v/>
      </c>
    </row>
    <row r="1270" spans="1:21">
      <c r="A1270" s="991" t="str">
        <f ca="1">IFERROR(IF(COUNTIF($A$3:A1269,A1269)&lt; INDEX(TinhGia!$BH$10:$BH$81,MATCH($A1269,TinhGia!$B$10:$B$81,0)),$A1269,INDEX(TinhGia!$B$10:$B$81,MATCH($A1269,TinhGia!$B$10:$B$81,0)+1)),"")</f>
        <v/>
      </c>
      <c r="B1270" s="525" t="str">
        <f ca="1">IF(OR(A1270="",A1270=0),"",IF(COUNTIF($A$2:A1270,$A1270)=1,ROW(MauKoXoa!$C$108),$B1269+1))</f>
        <v/>
      </c>
      <c r="C1270" s="992" t="str">
        <f t="shared" ca="1" si="187"/>
        <v/>
      </c>
      <c r="D1270" s="993" t="str">
        <f t="shared" ca="1" si="188"/>
        <v/>
      </c>
      <c r="E1270" s="993" t="str">
        <f t="shared" ca="1" si="189"/>
        <v/>
      </c>
      <c r="F1270" s="992" t="str">
        <f t="shared" ca="1" si="197"/>
        <v/>
      </c>
      <c r="G1270" s="994">
        <f t="shared" ca="1" si="190"/>
        <v>0</v>
      </c>
      <c r="H1270" s="913">
        <f t="shared" ca="1" si="191"/>
        <v>0</v>
      </c>
      <c r="I1270" s="913">
        <f t="shared" ca="1" si="192"/>
        <v>0</v>
      </c>
      <c r="J1270" s="995">
        <f t="shared" ca="1" si="198"/>
        <v>0</v>
      </c>
      <c r="K1270" s="913">
        <f t="shared" ca="1" si="193"/>
        <v>0</v>
      </c>
      <c r="L1270" s="995">
        <f t="shared" ca="1" si="199"/>
        <v>0</v>
      </c>
      <c r="M1270" s="913">
        <f t="shared" ca="1" si="194"/>
        <v>0</v>
      </c>
      <c r="N1270" s="996">
        <f t="shared" ca="1" si="195"/>
        <v>0</v>
      </c>
      <c r="O1270" s="997">
        <f t="shared" ca="1" si="196"/>
        <v>0</v>
      </c>
      <c r="P1270" s="1015" t="str">
        <f ca="1">IF($C1270="","",INDEX(NVLSX!$N$2:$N$6941,MATCH($C1270,NVLSX!$E$2:$E$6941,0)))</f>
        <v/>
      </c>
      <c r="Q1270" s="1016" t="str">
        <f ca="1">IF($R1270="","",IF(XKNVLSX!$X$1="",IF($P1270=$V$7,$P1270, IF(COUNTIFS($C$2:$C1269,$C1270,$E$2:$E1269,$E1270)&gt;=1,"",$P1270)),     IF(AND(IFERROR(SEARCH($R1270,XKNVLSX!$X$1,1),0)&gt;=1,$P1270=$V$7),$P1270, IF(OR($R1270&lt;&gt;IF(IFERROR(SEARCH($R1270,XKNVLSX!$X$1,1),0)&gt;=1,$R1270,XKNVLSX!$X$1),COUNTIFS($C$2:$C1269,$C1270,$E$2:$E1269,$E1270,$Q$2:$Q1269,$P1270)&gt;=1),"",$P1270))))</f>
        <v/>
      </c>
      <c r="R1270" s="1017" t="str">
        <f ca="1">IF($A1270="","",IFERROR(INDEX(TinhGia!$BF$10:$BF$81,MATCH($A1270,TinhGia!$B$10:$B$81,0)),""))</f>
        <v/>
      </c>
      <c r="S1270" s="1012" t="str">
        <f ca="1">IF($A1270="","",IF(OR(IFERROR(SEARCH($R1270,XKNVLSX!$X$1,1),0)&gt;=1,XKNVLSX!$X$1=""),$S$2,""))</f>
        <v/>
      </c>
      <c r="T1270" s="1018" t="str">
        <f ca="1">IF($C1270="","", IF(OR($P1270=$V$1,$P1270=$V$7,COUNTIFS($C$3:$C1270,$C1270,$E$3:$E1270,$E1270)&lt;=1),$P1270,""    ))</f>
        <v/>
      </c>
      <c r="U1270" s="1019" t="str">
        <f ca="1">IF(AND($P1270=$V$2,COUNTIFS($C$3:$C1270,$C1270,$E$3:$E1270,$E1270,$G$3:$G1270,$G1270)&lt;=1),$P1270,"")</f>
        <v/>
      </c>
    </row>
    <row r="1271" spans="1:21">
      <c r="A1271" s="991" t="str">
        <f ca="1">IFERROR(IF(COUNTIF($A$3:A1270,A1270)&lt; INDEX(TinhGia!$BH$10:$BH$81,MATCH($A1270,TinhGia!$B$10:$B$81,0)),$A1270,INDEX(TinhGia!$B$10:$B$81,MATCH($A1270,TinhGia!$B$10:$B$81,0)+1)),"")</f>
        <v/>
      </c>
      <c r="B1271" s="525" t="str">
        <f ca="1">IF(OR(A1271="",A1271=0),"",IF(COUNTIF($A$2:A1271,$A1271)=1,ROW(MauKoXoa!$C$108),$B1270+1))</f>
        <v/>
      </c>
      <c r="C1271" s="992" t="str">
        <f t="shared" ca="1" si="187"/>
        <v/>
      </c>
      <c r="D1271" s="993" t="str">
        <f t="shared" ca="1" si="188"/>
        <v/>
      </c>
      <c r="E1271" s="993" t="str">
        <f t="shared" ca="1" si="189"/>
        <v/>
      </c>
      <c r="F1271" s="992" t="str">
        <f t="shared" ca="1" si="197"/>
        <v/>
      </c>
      <c r="G1271" s="994">
        <f t="shared" ca="1" si="190"/>
        <v>0</v>
      </c>
      <c r="H1271" s="913">
        <f t="shared" ca="1" si="191"/>
        <v>0</v>
      </c>
      <c r="I1271" s="913">
        <f t="shared" ca="1" si="192"/>
        <v>0</v>
      </c>
      <c r="J1271" s="995">
        <f t="shared" ca="1" si="198"/>
        <v>0</v>
      </c>
      <c r="K1271" s="913">
        <f t="shared" ca="1" si="193"/>
        <v>0</v>
      </c>
      <c r="L1271" s="995">
        <f t="shared" ca="1" si="199"/>
        <v>0</v>
      </c>
      <c r="M1271" s="913">
        <f t="shared" ca="1" si="194"/>
        <v>0</v>
      </c>
      <c r="N1271" s="996">
        <f t="shared" ca="1" si="195"/>
        <v>0</v>
      </c>
      <c r="O1271" s="997">
        <f t="shared" ca="1" si="196"/>
        <v>0</v>
      </c>
      <c r="P1271" s="1015" t="str">
        <f ca="1">IF($C1271="","",INDEX(NVLSX!$N$2:$N$6941,MATCH($C1271,NVLSX!$E$2:$E$6941,0)))</f>
        <v/>
      </c>
      <c r="Q1271" s="1016" t="str">
        <f ca="1">IF($R1271="","",IF(XKNVLSX!$X$1="",IF($P1271=$V$7,$P1271, IF(COUNTIFS($C$2:$C1270,$C1271,$E$2:$E1270,$E1271)&gt;=1,"",$P1271)),     IF(AND(IFERROR(SEARCH($R1271,XKNVLSX!$X$1,1),0)&gt;=1,$P1271=$V$7),$P1271, IF(OR($R1271&lt;&gt;IF(IFERROR(SEARCH($R1271,XKNVLSX!$X$1,1),0)&gt;=1,$R1271,XKNVLSX!$X$1),COUNTIFS($C$2:$C1270,$C1271,$E$2:$E1270,$E1271,$Q$2:$Q1270,$P1271)&gt;=1),"",$P1271))))</f>
        <v/>
      </c>
      <c r="R1271" s="1017" t="str">
        <f ca="1">IF($A1271="","",IFERROR(INDEX(TinhGia!$BF$10:$BF$81,MATCH($A1271,TinhGia!$B$10:$B$81,0)),""))</f>
        <v/>
      </c>
      <c r="S1271" s="1012" t="str">
        <f ca="1">IF($A1271="","",IF(OR(IFERROR(SEARCH($R1271,XKNVLSX!$X$1,1),0)&gt;=1,XKNVLSX!$X$1=""),$S$2,""))</f>
        <v/>
      </c>
      <c r="T1271" s="1018" t="str">
        <f ca="1">IF($C1271="","", IF(OR($P1271=$V$1,$P1271=$V$7,COUNTIFS($C$3:$C1271,$C1271,$E$3:$E1271,$E1271)&lt;=1),$P1271,""    ))</f>
        <v/>
      </c>
      <c r="U1271" s="1019" t="str">
        <f ca="1">IF(AND($P1271=$V$2,COUNTIFS($C$3:$C1271,$C1271,$E$3:$E1271,$E1271,$G$3:$G1271,$G1271)&lt;=1),$P1271,"")</f>
        <v/>
      </c>
    </row>
    <row r="1272" spans="1:21">
      <c r="A1272" s="991" t="str">
        <f ca="1">IFERROR(IF(COUNTIF($A$3:A1271,A1271)&lt; INDEX(TinhGia!$BH$10:$BH$81,MATCH($A1271,TinhGia!$B$10:$B$81,0)),$A1271,INDEX(TinhGia!$B$10:$B$81,MATCH($A1271,TinhGia!$B$10:$B$81,0)+1)),"")</f>
        <v/>
      </c>
      <c r="B1272" s="525" t="str">
        <f ca="1">IF(OR(A1272="",A1272=0),"",IF(COUNTIF($A$2:A1272,$A1272)=1,ROW(MauKoXoa!$C$108),$B1271+1))</f>
        <v/>
      </c>
      <c r="C1272" s="992" t="str">
        <f t="shared" ca="1" si="187"/>
        <v/>
      </c>
      <c r="D1272" s="993" t="str">
        <f t="shared" ca="1" si="188"/>
        <v/>
      </c>
      <c r="E1272" s="993" t="str">
        <f t="shared" ca="1" si="189"/>
        <v/>
      </c>
      <c r="F1272" s="992" t="str">
        <f t="shared" ca="1" si="197"/>
        <v/>
      </c>
      <c r="G1272" s="994">
        <f t="shared" ca="1" si="190"/>
        <v>0</v>
      </c>
      <c r="H1272" s="913">
        <f t="shared" ca="1" si="191"/>
        <v>0</v>
      </c>
      <c r="I1272" s="913">
        <f t="shared" ca="1" si="192"/>
        <v>0</v>
      </c>
      <c r="J1272" s="995">
        <f t="shared" ca="1" si="198"/>
        <v>0</v>
      </c>
      <c r="K1272" s="913">
        <f t="shared" ca="1" si="193"/>
        <v>0</v>
      </c>
      <c r="L1272" s="995">
        <f t="shared" ca="1" si="199"/>
        <v>0</v>
      </c>
      <c r="M1272" s="913">
        <f t="shared" ca="1" si="194"/>
        <v>0</v>
      </c>
      <c r="N1272" s="996">
        <f t="shared" ca="1" si="195"/>
        <v>0</v>
      </c>
      <c r="O1272" s="997">
        <f t="shared" ca="1" si="196"/>
        <v>0</v>
      </c>
      <c r="P1272" s="1015" t="str">
        <f ca="1">IF($C1272="","",INDEX(NVLSX!$N$2:$N$6941,MATCH($C1272,NVLSX!$E$2:$E$6941,0)))</f>
        <v/>
      </c>
      <c r="Q1272" s="1016" t="str">
        <f ca="1">IF($R1272="","",IF(XKNVLSX!$X$1="",IF($P1272=$V$7,$P1272, IF(COUNTIFS($C$2:$C1271,$C1272,$E$2:$E1271,$E1272)&gt;=1,"",$P1272)),     IF(AND(IFERROR(SEARCH($R1272,XKNVLSX!$X$1,1),0)&gt;=1,$P1272=$V$7),$P1272, IF(OR($R1272&lt;&gt;IF(IFERROR(SEARCH($R1272,XKNVLSX!$X$1,1),0)&gt;=1,$R1272,XKNVLSX!$X$1),COUNTIFS($C$2:$C1271,$C1272,$E$2:$E1271,$E1272,$Q$2:$Q1271,$P1272)&gt;=1),"",$P1272))))</f>
        <v/>
      </c>
      <c r="R1272" s="1017" t="str">
        <f ca="1">IF($A1272="","",IFERROR(INDEX(TinhGia!$BF$10:$BF$81,MATCH($A1272,TinhGia!$B$10:$B$81,0)),""))</f>
        <v/>
      </c>
      <c r="S1272" s="1012" t="str">
        <f ca="1">IF($A1272="","",IF(OR(IFERROR(SEARCH($R1272,XKNVLSX!$X$1,1),0)&gt;=1,XKNVLSX!$X$1=""),$S$2,""))</f>
        <v/>
      </c>
      <c r="T1272" s="1018" t="str">
        <f ca="1">IF($C1272="","", IF(OR($P1272=$V$1,$P1272=$V$7,COUNTIFS($C$3:$C1272,$C1272,$E$3:$E1272,$E1272)&lt;=1),$P1272,""    ))</f>
        <v/>
      </c>
      <c r="U1272" s="1019" t="str">
        <f ca="1">IF(AND($P1272=$V$2,COUNTIFS($C$3:$C1272,$C1272,$E$3:$E1272,$E1272,$G$3:$G1272,$G1272)&lt;=1),$P1272,"")</f>
        <v/>
      </c>
    </row>
    <row r="1273" spans="1:21">
      <c r="A1273" s="991" t="str">
        <f ca="1">IFERROR(IF(COUNTIF($A$3:A1272,A1272)&lt; INDEX(TinhGia!$BH$10:$BH$81,MATCH($A1272,TinhGia!$B$10:$B$81,0)),$A1272,INDEX(TinhGia!$B$10:$B$81,MATCH($A1272,TinhGia!$B$10:$B$81,0)+1)),"")</f>
        <v/>
      </c>
      <c r="B1273" s="525" t="str">
        <f ca="1">IF(OR(A1273="",A1273=0),"",IF(COUNTIF($A$2:A1273,$A1273)=1,ROW(MauKoXoa!$C$108),$B1272+1))</f>
        <v/>
      </c>
      <c r="C1273" s="992" t="str">
        <f t="shared" ca="1" si="187"/>
        <v/>
      </c>
      <c r="D1273" s="993" t="str">
        <f t="shared" ca="1" si="188"/>
        <v/>
      </c>
      <c r="E1273" s="993" t="str">
        <f t="shared" ca="1" si="189"/>
        <v/>
      </c>
      <c r="F1273" s="992" t="str">
        <f t="shared" ca="1" si="197"/>
        <v/>
      </c>
      <c r="G1273" s="994">
        <f t="shared" ca="1" si="190"/>
        <v>0</v>
      </c>
      <c r="H1273" s="913">
        <f t="shared" ca="1" si="191"/>
        <v>0</v>
      </c>
      <c r="I1273" s="913">
        <f t="shared" ca="1" si="192"/>
        <v>0</v>
      </c>
      <c r="J1273" s="995">
        <f t="shared" ca="1" si="198"/>
        <v>0</v>
      </c>
      <c r="K1273" s="913">
        <f t="shared" ca="1" si="193"/>
        <v>0</v>
      </c>
      <c r="L1273" s="995">
        <f t="shared" ca="1" si="199"/>
        <v>0</v>
      </c>
      <c r="M1273" s="913">
        <f t="shared" ca="1" si="194"/>
        <v>0</v>
      </c>
      <c r="N1273" s="996">
        <f t="shared" ca="1" si="195"/>
        <v>0</v>
      </c>
      <c r="O1273" s="997">
        <f t="shared" ca="1" si="196"/>
        <v>0</v>
      </c>
      <c r="P1273" s="1015" t="str">
        <f ca="1">IF($C1273="","",INDEX(NVLSX!$N$2:$N$6941,MATCH($C1273,NVLSX!$E$2:$E$6941,0)))</f>
        <v/>
      </c>
      <c r="Q1273" s="1016" t="str">
        <f ca="1">IF($R1273="","",IF(XKNVLSX!$X$1="",IF($P1273=$V$7,$P1273, IF(COUNTIFS($C$2:$C1272,$C1273,$E$2:$E1272,$E1273)&gt;=1,"",$P1273)),     IF(AND(IFERROR(SEARCH($R1273,XKNVLSX!$X$1,1),0)&gt;=1,$P1273=$V$7),$P1273, IF(OR($R1273&lt;&gt;IF(IFERROR(SEARCH($R1273,XKNVLSX!$X$1,1),0)&gt;=1,$R1273,XKNVLSX!$X$1),COUNTIFS($C$2:$C1272,$C1273,$E$2:$E1272,$E1273,$Q$2:$Q1272,$P1273)&gt;=1),"",$P1273))))</f>
        <v/>
      </c>
      <c r="R1273" s="1017" t="str">
        <f ca="1">IF($A1273="","",IFERROR(INDEX(TinhGia!$BF$10:$BF$81,MATCH($A1273,TinhGia!$B$10:$B$81,0)),""))</f>
        <v/>
      </c>
      <c r="S1273" s="1012" t="str">
        <f ca="1">IF($A1273="","",IF(OR(IFERROR(SEARCH($R1273,XKNVLSX!$X$1,1),0)&gt;=1,XKNVLSX!$X$1=""),$S$2,""))</f>
        <v/>
      </c>
      <c r="T1273" s="1018" t="str">
        <f ca="1">IF($C1273="","", IF(OR($P1273=$V$1,$P1273=$V$7,COUNTIFS($C$3:$C1273,$C1273,$E$3:$E1273,$E1273)&lt;=1),$P1273,""    ))</f>
        <v/>
      </c>
      <c r="U1273" s="1019" t="str">
        <f ca="1">IF(AND($P1273=$V$2,COUNTIFS($C$3:$C1273,$C1273,$E$3:$E1273,$E1273,$G$3:$G1273,$G1273)&lt;=1),$P1273,"")</f>
        <v/>
      </c>
    </row>
    <row r="1274" spans="1:21">
      <c r="A1274" s="991" t="str">
        <f ca="1">IFERROR(IF(COUNTIF($A$3:A1273,A1273)&lt; INDEX(TinhGia!$BH$10:$BH$81,MATCH($A1273,TinhGia!$B$10:$B$81,0)),$A1273,INDEX(TinhGia!$B$10:$B$81,MATCH($A1273,TinhGia!$B$10:$B$81,0)+1)),"")</f>
        <v/>
      </c>
      <c r="B1274" s="525" t="str">
        <f ca="1">IF(OR(A1274="",A1274=0),"",IF(COUNTIF($A$2:A1274,$A1274)=1,ROW(MauKoXoa!$C$108),$B1273+1))</f>
        <v/>
      </c>
      <c r="C1274" s="992" t="str">
        <f t="shared" ca="1" si="187"/>
        <v/>
      </c>
      <c r="D1274" s="993" t="str">
        <f t="shared" ca="1" si="188"/>
        <v/>
      </c>
      <c r="E1274" s="993" t="str">
        <f t="shared" ca="1" si="189"/>
        <v/>
      </c>
      <c r="F1274" s="992" t="str">
        <f t="shared" ca="1" si="197"/>
        <v/>
      </c>
      <c r="G1274" s="994">
        <f t="shared" ca="1" si="190"/>
        <v>0</v>
      </c>
      <c r="H1274" s="913">
        <f t="shared" ca="1" si="191"/>
        <v>0</v>
      </c>
      <c r="I1274" s="913">
        <f t="shared" ca="1" si="192"/>
        <v>0</v>
      </c>
      <c r="J1274" s="995">
        <f t="shared" ca="1" si="198"/>
        <v>0</v>
      </c>
      <c r="K1274" s="913">
        <f t="shared" ca="1" si="193"/>
        <v>0</v>
      </c>
      <c r="L1274" s="995">
        <f t="shared" ca="1" si="199"/>
        <v>0</v>
      </c>
      <c r="M1274" s="913">
        <f t="shared" ca="1" si="194"/>
        <v>0</v>
      </c>
      <c r="N1274" s="996">
        <f t="shared" ca="1" si="195"/>
        <v>0</v>
      </c>
      <c r="O1274" s="997">
        <f t="shared" ca="1" si="196"/>
        <v>0</v>
      </c>
      <c r="P1274" s="1015" t="str">
        <f ca="1">IF($C1274="","",INDEX(NVLSX!$N$2:$N$6941,MATCH($C1274,NVLSX!$E$2:$E$6941,0)))</f>
        <v/>
      </c>
      <c r="Q1274" s="1016" t="str">
        <f ca="1">IF($R1274="","",IF(XKNVLSX!$X$1="",IF($P1274=$V$7,$P1274, IF(COUNTIFS($C$2:$C1273,$C1274,$E$2:$E1273,$E1274)&gt;=1,"",$P1274)),     IF(AND(IFERROR(SEARCH($R1274,XKNVLSX!$X$1,1),0)&gt;=1,$P1274=$V$7),$P1274, IF(OR($R1274&lt;&gt;IF(IFERROR(SEARCH($R1274,XKNVLSX!$X$1,1),0)&gt;=1,$R1274,XKNVLSX!$X$1),COUNTIFS($C$2:$C1273,$C1274,$E$2:$E1273,$E1274,$Q$2:$Q1273,$P1274)&gt;=1),"",$P1274))))</f>
        <v/>
      </c>
      <c r="R1274" s="1017" t="str">
        <f ca="1">IF($A1274="","",IFERROR(INDEX(TinhGia!$BF$10:$BF$81,MATCH($A1274,TinhGia!$B$10:$B$81,0)),""))</f>
        <v/>
      </c>
      <c r="S1274" s="1012" t="str">
        <f ca="1">IF($A1274="","",IF(OR(IFERROR(SEARCH($R1274,XKNVLSX!$X$1,1),0)&gt;=1,XKNVLSX!$X$1=""),$S$2,""))</f>
        <v/>
      </c>
      <c r="T1274" s="1018" t="str">
        <f ca="1">IF($C1274="","", IF(OR($P1274=$V$1,$P1274=$V$7,COUNTIFS($C$3:$C1274,$C1274,$E$3:$E1274,$E1274)&lt;=1),$P1274,""    ))</f>
        <v/>
      </c>
      <c r="U1274" s="1019" t="str">
        <f ca="1">IF(AND($P1274=$V$2,COUNTIFS($C$3:$C1274,$C1274,$E$3:$E1274,$E1274,$G$3:$G1274,$G1274)&lt;=1),$P1274,"")</f>
        <v/>
      </c>
    </row>
    <row r="1275" spans="1:21">
      <c r="A1275" s="991" t="str">
        <f ca="1">IFERROR(IF(COUNTIF($A$3:A1274,A1274)&lt; INDEX(TinhGia!$BH$10:$BH$81,MATCH($A1274,TinhGia!$B$10:$B$81,0)),$A1274,INDEX(TinhGia!$B$10:$B$81,MATCH($A1274,TinhGia!$B$10:$B$81,0)+1)),"")</f>
        <v/>
      </c>
      <c r="B1275" s="525" t="str">
        <f ca="1">IF(OR(A1275="",A1275=0),"",IF(COUNTIF($A$2:A1275,$A1275)=1,ROW(MauKoXoa!$C$108),$B1274+1))</f>
        <v/>
      </c>
      <c r="C1275" s="992" t="str">
        <f t="shared" ca="1" si="187"/>
        <v/>
      </c>
      <c r="D1275" s="993" t="str">
        <f t="shared" ca="1" si="188"/>
        <v/>
      </c>
      <c r="E1275" s="993" t="str">
        <f t="shared" ca="1" si="189"/>
        <v/>
      </c>
      <c r="F1275" s="992" t="str">
        <f t="shared" ca="1" si="197"/>
        <v/>
      </c>
      <c r="G1275" s="994">
        <f t="shared" ca="1" si="190"/>
        <v>0</v>
      </c>
      <c r="H1275" s="913">
        <f t="shared" ca="1" si="191"/>
        <v>0</v>
      </c>
      <c r="I1275" s="913">
        <f t="shared" ca="1" si="192"/>
        <v>0</v>
      </c>
      <c r="J1275" s="995">
        <f t="shared" ca="1" si="198"/>
        <v>0</v>
      </c>
      <c r="K1275" s="913">
        <f t="shared" ca="1" si="193"/>
        <v>0</v>
      </c>
      <c r="L1275" s="995">
        <f t="shared" ca="1" si="199"/>
        <v>0</v>
      </c>
      <c r="M1275" s="913">
        <f t="shared" ca="1" si="194"/>
        <v>0</v>
      </c>
      <c r="N1275" s="996">
        <f t="shared" ca="1" si="195"/>
        <v>0</v>
      </c>
      <c r="O1275" s="997">
        <f t="shared" ca="1" si="196"/>
        <v>0</v>
      </c>
      <c r="P1275" s="1015" t="str">
        <f ca="1">IF($C1275="","",INDEX(NVLSX!$N$2:$N$6941,MATCH($C1275,NVLSX!$E$2:$E$6941,0)))</f>
        <v/>
      </c>
      <c r="Q1275" s="1016" t="str">
        <f ca="1">IF($R1275="","",IF(XKNVLSX!$X$1="",IF($P1275=$V$7,$P1275, IF(COUNTIFS($C$2:$C1274,$C1275,$E$2:$E1274,$E1275)&gt;=1,"",$P1275)),     IF(AND(IFERROR(SEARCH($R1275,XKNVLSX!$X$1,1),0)&gt;=1,$P1275=$V$7),$P1275, IF(OR($R1275&lt;&gt;IF(IFERROR(SEARCH($R1275,XKNVLSX!$X$1,1),0)&gt;=1,$R1275,XKNVLSX!$X$1),COUNTIFS($C$2:$C1274,$C1275,$E$2:$E1274,$E1275,$Q$2:$Q1274,$P1275)&gt;=1),"",$P1275))))</f>
        <v/>
      </c>
      <c r="R1275" s="1017" t="str">
        <f ca="1">IF($A1275="","",IFERROR(INDEX(TinhGia!$BF$10:$BF$81,MATCH($A1275,TinhGia!$B$10:$B$81,0)),""))</f>
        <v/>
      </c>
      <c r="S1275" s="1012" t="str">
        <f ca="1">IF($A1275="","",IF(OR(IFERROR(SEARCH($R1275,XKNVLSX!$X$1,1),0)&gt;=1,XKNVLSX!$X$1=""),$S$2,""))</f>
        <v/>
      </c>
      <c r="T1275" s="1018" t="str">
        <f ca="1">IF($C1275="","", IF(OR($P1275=$V$1,$P1275=$V$7,COUNTIFS($C$3:$C1275,$C1275,$E$3:$E1275,$E1275)&lt;=1),$P1275,""    ))</f>
        <v/>
      </c>
      <c r="U1275" s="1019" t="str">
        <f ca="1">IF(AND($P1275=$V$2,COUNTIFS($C$3:$C1275,$C1275,$E$3:$E1275,$E1275,$G$3:$G1275,$G1275)&lt;=1),$P1275,"")</f>
        <v/>
      </c>
    </row>
    <row r="1276" spans="1:21">
      <c r="A1276" s="991" t="str">
        <f ca="1">IFERROR(IF(COUNTIF($A$3:A1275,A1275)&lt; INDEX(TinhGia!$BH$10:$BH$81,MATCH($A1275,TinhGia!$B$10:$B$81,0)),$A1275,INDEX(TinhGia!$B$10:$B$81,MATCH($A1275,TinhGia!$B$10:$B$81,0)+1)),"")</f>
        <v/>
      </c>
      <c r="B1276" s="525" t="str">
        <f ca="1">IF(OR(A1276="",A1276=0),"",IF(COUNTIF($A$2:A1276,$A1276)=1,ROW(MauKoXoa!$C$108),$B1275+1))</f>
        <v/>
      </c>
      <c r="C1276" s="992" t="str">
        <f t="shared" ca="1" si="187"/>
        <v/>
      </c>
      <c r="D1276" s="993" t="str">
        <f t="shared" ca="1" si="188"/>
        <v/>
      </c>
      <c r="E1276" s="993" t="str">
        <f t="shared" ca="1" si="189"/>
        <v/>
      </c>
      <c r="F1276" s="992" t="str">
        <f t="shared" ca="1" si="197"/>
        <v/>
      </c>
      <c r="G1276" s="994">
        <f t="shared" ca="1" si="190"/>
        <v>0</v>
      </c>
      <c r="H1276" s="913">
        <f t="shared" ca="1" si="191"/>
        <v>0</v>
      </c>
      <c r="I1276" s="913">
        <f t="shared" ca="1" si="192"/>
        <v>0</v>
      </c>
      <c r="J1276" s="995">
        <f t="shared" ca="1" si="198"/>
        <v>0</v>
      </c>
      <c r="K1276" s="913">
        <f t="shared" ca="1" si="193"/>
        <v>0</v>
      </c>
      <c r="L1276" s="995">
        <f t="shared" ca="1" si="199"/>
        <v>0</v>
      </c>
      <c r="M1276" s="913">
        <f t="shared" ca="1" si="194"/>
        <v>0</v>
      </c>
      <c r="N1276" s="996">
        <f t="shared" ca="1" si="195"/>
        <v>0</v>
      </c>
      <c r="O1276" s="997">
        <f t="shared" ca="1" si="196"/>
        <v>0</v>
      </c>
      <c r="P1276" s="1015" t="str">
        <f ca="1">IF($C1276="","",INDEX(NVLSX!$N$2:$N$6941,MATCH($C1276,NVLSX!$E$2:$E$6941,0)))</f>
        <v/>
      </c>
      <c r="Q1276" s="1016" t="str">
        <f ca="1">IF($R1276="","",IF(XKNVLSX!$X$1="",IF($P1276=$V$7,$P1276, IF(COUNTIFS($C$2:$C1275,$C1276,$E$2:$E1275,$E1276)&gt;=1,"",$P1276)),     IF(AND(IFERROR(SEARCH($R1276,XKNVLSX!$X$1,1),0)&gt;=1,$P1276=$V$7),$P1276, IF(OR($R1276&lt;&gt;IF(IFERROR(SEARCH($R1276,XKNVLSX!$X$1,1),0)&gt;=1,$R1276,XKNVLSX!$X$1),COUNTIFS($C$2:$C1275,$C1276,$E$2:$E1275,$E1276,$Q$2:$Q1275,$P1276)&gt;=1),"",$P1276))))</f>
        <v/>
      </c>
      <c r="R1276" s="1017" t="str">
        <f ca="1">IF($A1276="","",IFERROR(INDEX(TinhGia!$BF$10:$BF$81,MATCH($A1276,TinhGia!$B$10:$B$81,0)),""))</f>
        <v/>
      </c>
      <c r="S1276" s="1012" t="str">
        <f ca="1">IF($A1276="","",IF(OR(IFERROR(SEARCH($R1276,XKNVLSX!$X$1,1),0)&gt;=1,XKNVLSX!$X$1=""),$S$2,""))</f>
        <v/>
      </c>
      <c r="T1276" s="1018" t="str">
        <f ca="1">IF($C1276="","", IF(OR($P1276=$V$1,$P1276=$V$7,COUNTIFS($C$3:$C1276,$C1276,$E$3:$E1276,$E1276)&lt;=1),$P1276,""    ))</f>
        <v/>
      </c>
      <c r="U1276" s="1019" t="str">
        <f ca="1">IF(AND($P1276=$V$2,COUNTIFS($C$3:$C1276,$C1276,$E$3:$E1276,$E1276,$G$3:$G1276,$G1276)&lt;=1),$P1276,"")</f>
        <v/>
      </c>
    </row>
    <row r="1277" spans="1:21">
      <c r="A1277" s="991" t="str">
        <f ca="1">IFERROR(IF(COUNTIF($A$3:A1276,A1276)&lt; INDEX(TinhGia!$BH$10:$BH$81,MATCH($A1276,TinhGia!$B$10:$B$81,0)),$A1276,INDEX(TinhGia!$B$10:$B$81,MATCH($A1276,TinhGia!$B$10:$B$81,0)+1)),"")</f>
        <v/>
      </c>
      <c r="B1277" s="525" t="str">
        <f ca="1">IF(OR(A1277="",A1277=0),"",IF(COUNTIF($A$2:A1277,$A1277)=1,ROW(MauKoXoa!$C$108),$B1276+1))</f>
        <v/>
      </c>
      <c r="C1277" s="992" t="str">
        <f t="shared" ca="1" si="187"/>
        <v/>
      </c>
      <c r="D1277" s="993" t="str">
        <f t="shared" ca="1" si="188"/>
        <v/>
      </c>
      <c r="E1277" s="993" t="str">
        <f t="shared" ca="1" si="189"/>
        <v/>
      </c>
      <c r="F1277" s="992" t="str">
        <f t="shared" ca="1" si="197"/>
        <v/>
      </c>
      <c r="G1277" s="994">
        <f t="shared" ca="1" si="190"/>
        <v>0</v>
      </c>
      <c r="H1277" s="913">
        <f t="shared" ca="1" si="191"/>
        <v>0</v>
      </c>
      <c r="I1277" s="913">
        <f t="shared" ca="1" si="192"/>
        <v>0</v>
      </c>
      <c r="J1277" s="995">
        <f t="shared" ca="1" si="198"/>
        <v>0</v>
      </c>
      <c r="K1277" s="913">
        <f t="shared" ca="1" si="193"/>
        <v>0</v>
      </c>
      <c r="L1277" s="995">
        <f t="shared" ca="1" si="199"/>
        <v>0</v>
      </c>
      <c r="M1277" s="913">
        <f t="shared" ca="1" si="194"/>
        <v>0</v>
      </c>
      <c r="N1277" s="996">
        <f t="shared" ca="1" si="195"/>
        <v>0</v>
      </c>
      <c r="O1277" s="997">
        <f t="shared" ca="1" si="196"/>
        <v>0</v>
      </c>
      <c r="P1277" s="1015" t="str">
        <f ca="1">IF($C1277="","",INDEX(NVLSX!$N$2:$N$6941,MATCH($C1277,NVLSX!$E$2:$E$6941,0)))</f>
        <v/>
      </c>
      <c r="Q1277" s="1016" t="str">
        <f ca="1">IF($R1277="","",IF(XKNVLSX!$X$1="",IF($P1277=$V$7,$P1277, IF(COUNTIFS($C$2:$C1276,$C1277,$E$2:$E1276,$E1277)&gt;=1,"",$P1277)),     IF(AND(IFERROR(SEARCH($R1277,XKNVLSX!$X$1,1),0)&gt;=1,$P1277=$V$7),$P1277, IF(OR($R1277&lt;&gt;IF(IFERROR(SEARCH($R1277,XKNVLSX!$X$1,1),0)&gt;=1,$R1277,XKNVLSX!$X$1),COUNTIFS($C$2:$C1276,$C1277,$E$2:$E1276,$E1277,$Q$2:$Q1276,$P1277)&gt;=1),"",$P1277))))</f>
        <v/>
      </c>
      <c r="R1277" s="1017" t="str">
        <f ca="1">IF($A1277="","",IFERROR(INDEX(TinhGia!$BF$10:$BF$81,MATCH($A1277,TinhGia!$B$10:$B$81,0)),""))</f>
        <v/>
      </c>
      <c r="S1277" s="1012" t="str">
        <f ca="1">IF($A1277="","",IF(OR(IFERROR(SEARCH($R1277,XKNVLSX!$X$1,1),0)&gt;=1,XKNVLSX!$X$1=""),$S$2,""))</f>
        <v/>
      </c>
      <c r="T1277" s="1018" t="str">
        <f ca="1">IF($C1277="","", IF(OR($P1277=$V$1,$P1277=$V$7,COUNTIFS($C$3:$C1277,$C1277,$E$3:$E1277,$E1277)&lt;=1),$P1277,""    ))</f>
        <v/>
      </c>
      <c r="U1277" s="1019" t="str">
        <f ca="1">IF(AND($P1277=$V$2,COUNTIFS($C$3:$C1277,$C1277,$E$3:$E1277,$E1277,$G$3:$G1277,$G1277)&lt;=1),$P1277,"")</f>
        <v/>
      </c>
    </row>
    <row r="1278" spans="1:21">
      <c r="A1278" s="991" t="str">
        <f ca="1">IFERROR(IF(COUNTIF($A$3:A1277,A1277)&lt; INDEX(TinhGia!$BH$10:$BH$81,MATCH($A1277,TinhGia!$B$10:$B$81,0)),$A1277,INDEX(TinhGia!$B$10:$B$81,MATCH($A1277,TinhGia!$B$10:$B$81,0)+1)),"")</f>
        <v/>
      </c>
      <c r="B1278" s="525" t="str">
        <f ca="1">IF(OR(A1278="",A1278=0),"",IF(COUNTIF($A$2:A1278,$A1278)=1,ROW(MauKoXoa!$C$108),$B1277+1))</f>
        <v/>
      </c>
      <c r="C1278" s="992" t="str">
        <f t="shared" ca="1" si="187"/>
        <v/>
      </c>
      <c r="D1278" s="993" t="str">
        <f t="shared" ca="1" si="188"/>
        <v/>
      </c>
      <c r="E1278" s="993" t="str">
        <f t="shared" ca="1" si="189"/>
        <v/>
      </c>
      <c r="F1278" s="992" t="str">
        <f t="shared" ca="1" si="197"/>
        <v/>
      </c>
      <c r="G1278" s="994">
        <f t="shared" ca="1" si="190"/>
        <v>0</v>
      </c>
      <c r="H1278" s="913">
        <f t="shared" ca="1" si="191"/>
        <v>0</v>
      </c>
      <c r="I1278" s="913">
        <f t="shared" ca="1" si="192"/>
        <v>0</v>
      </c>
      <c r="J1278" s="995">
        <f t="shared" ca="1" si="198"/>
        <v>0</v>
      </c>
      <c r="K1278" s="913">
        <f t="shared" ca="1" si="193"/>
        <v>0</v>
      </c>
      <c r="L1278" s="995">
        <f t="shared" ca="1" si="199"/>
        <v>0</v>
      </c>
      <c r="M1278" s="913">
        <f t="shared" ca="1" si="194"/>
        <v>0</v>
      </c>
      <c r="N1278" s="996">
        <f t="shared" ca="1" si="195"/>
        <v>0</v>
      </c>
      <c r="O1278" s="997">
        <f t="shared" ca="1" si="196"/>
        <v>0</v>
      </c>
      <c r="P1278" s="1015" t="str">
        <f ca="1">IF($C1278="","",INDEX(NVLSX!$N$2:$N$6941,MATCH($C1278,NVLSX!$E$2:$E$6941,0)))</f>
        <v/>
      </c>
      <c r="Q1278" s="1016" t="str">
        <f ca="1">IF($R1278="","",IF(XKNVLSX!$X$1="",IF($P1278=$V$7,$P1278, IF(COUNTIFS($C$2:$C1277,$C1278,$E$2:$E1277,$E1278)&gt;=1,"",$P1278)),     IF(AND(IFERROR(SEARCH($R1278,XKNVLSX!$X$1,1),0)&gt;=1,$P1278=$V$7),$P1278, IF(OR($R1278&lt;&gt;IF(IFERROR(SEARCH($R1278,XKNVLSX!$X$1,1),0)&gt;=1,$R1278,XKNVLSX!$X$1),COUNTIFS($C$2:$C1277,$C1278,$E$2:$E1277,$E1278,$Q$2:$Q1277,$P1278)&gt;=1),"",$P1278))))</f>
        <v/>
      </c>
      <c r="R1278" s="1017" t="str">
        <f ca="1">IF($A1278="","",IFERROR(INDEX(TinhGia!$BF$10:$BF$81,MATCH($A1278,TinhGia!$B$10:$B$81,0)),""))</f>
        <v/>
      </c>
      <c r="S1278" s="1012" t="str">
        <f ca="1">IF($A1278="","",IF(OR(IFERROR(SEARCH($R1278,XKNVLSX!$X$1,1),0)&gt;=1,XKNVLSX!$X$1=""),$S$2,""))</f>
        <v/>
      </c>
      <c r="T1278" s="1018" t="str">
        <f ca="1">IF($C1278="","", IF(OR($P1278=$V$1,$P1278=$V$7,COUNTIFS($C$3:$C1278,$C1278,$E$3:$E1278,$E1278)&lt;=1),$P1278,""    ))</f>
        <v/>
      </c>
      <c r="U1278" s="1019" t="str">
        <f ca="1">IF(AND($P1278=$V$2,COUNTIFS($C$3:$C1278,$C1278,$E$3:$E1278,$E1278,$G$3:$G1278,$G1278)&lt;=1),$P1278,"")</f>
        <v/>
      </c>
    </row>
    <row r="1279" spans="1:21">
      <c r="A1279" s="991" t="str">
        <f ca="1">IFERROR(IF(COUNTIF($A$3:A1278,A1278)&lt; INDEX(TinhGia!$BH$10:$BH$81,MATCH($A1278,TinhGia!$B$10:$B$81,0)),$A1278,INDEX(TinhGia!$B$10:$B$81,MATCH($A1278,TinhGia!$B$10:$B$81,0)+1)),"")</f>
        <v/>
      </c>
      <c r="B1279" s="525" t="str">
        <f ca="1">IF(OR(A1279="",A1279=0),"",IF(COUNTIF($A$2:A1279,$A1279)=1,ROW(MauKoXoa!$C$108),$B1278+1))</f>
        <v/>
      </c>
      <c r="C1279" s="992" t="str">
        <f t="shared" ca="1" si="187"/>
        <v/>
      </c>
      <c r="D1279" s="993" t="str">
        <f t="shared" ca="1" si="188"/>
        <v/>
      </c>
      <c r="E1279" s="993" t="str">
        <f t="shared" ca="1" si="189"/>
        <v/>
      </c>
      <c r="F1279" s="992" t="str">
        <f t="shared" ca="1" si="197"/>
        <v/>
      </c>
      <c r="G1279" s="994">
        <f t="shared" ca="1" si="190"/>
        <v>0</v>
      </c>
      <c r="H1279" s="913">
        <f t="shared" ca="1" si="191"/>
        <v>0</v>
      </c>
      <c r="I1279" s="913">
        <f t="shared" ca="1" si="192"/>
        <v>0</v>
      </c>
      <c r="J1279" s="995">
        <f t="shared" ca="1" si="198"/>
        <v>0</v>
      </c>
      <c r="K1279" s="913">
        <f t="shared" ca="1" si="193"/>
        <v>0</v>
      </c>
      <c r="L1279" s="995">
        <f t="shared" ca="1" si="199"/>
        <v>0</v>
      </c>
      <c r="M1279" s="913">
        <f t="shared" ca="1" si="194"/>
        <v>0</v>
      </c>
      <c r="N1279" s="996">
        <f t="shared" ca="1" si="195"/>
        <v>0</v>
      </c>
      <c r="O1279" s="997">
        <f t="shared" ca="1" si="196"/>
        <v>0</v>
      </c>
      <c r="P1279" s="1015" t="str">
        <f ca="1">IF($C1279="","",INDEX(NVLSX!$N$2:$N$6941,MATCH($C1279,NVLSX!$E$2:$E$6941,0)))</f>
        <v/>
      </c>
      <c r="Q1279" s="1016" t="str">
        <f ca="1">IF($R1279="","",IF(XKNVLSX!$X$1="",IF($P1279=$V$7,$P1279, IF(COUNTIFS($C$2:$C1278,$C1279,$E$2:$E1278,$E1279)&gt;=1,"",$P1279)),     IF(AND(IFERROR(SEARCH($R1279,XKNVLSX!$X$1,1),0)&gt;=1,$P1279=$V$7),$P1279, IF(OR($R1279&lt;&gt;IF(IFERROR(SEARCH($R1279,XKNVLSX!$X$1,1),0)&gt;=1,$R1279,XKNVLSX!$X$1),COUNTIFS($C$2:$C1278,$C1279,$E$2:$E1278,$E1279,$Q$2:$Q1278,$P1279)&gt;=1),"",$P1279))))</f>
        <v/>
      </c>
      <c r="R1279" s="1017" t="str">
        <f ca="1">IF($A1279="","",IFERROR(INDEX(TinhGia!$BF$10:$BF$81,MATCH($A1279,TinhGia!$B$10:$B$81,0)),""))</f>
        <v/>
      </c>
      <c r="S1279" s="1012" t="str">
        <f ca="1">IF($A1279="","",IF(OR(IFERROR(SEARCH($R1279,XKNVLSX!$X$1,1),0)&gt;=1,XKNVLSX!$X$1=""),$S$2,""))</f>
        <v/>
      </c>
      <c r="T1279" s="1018" t="str">
        <f ca="1">IF($C1279="","", IF(OR($P1279=$V$1,$P1279=$V$7,COUNTIFS($C$3:$C1279,$C1279,$E$3:$E1279,$E1279)&lt;=1),$P1279,""    ))</f>
        <v/>
      </c>
      <c r="U1279" s="1019" t="str">
        <f ca="1">IF(AND($P1279=$V$2,COUNTIFS($C$3:$C1279,$C1279,$E$3:$E1279,$E1279,$G$3:$G1279,$G1279)&lt;=1),$P1279,"")</f>
        <v/>
      </c>
    </row>
    <row r="1280" spans="1:21">
      <c r="A1280" s="991" t="str">
        <f ca="1">IFERROR(IF(COUNTIF($A$3:A1279,A1279)&lt; INDEX(TinhGia!$BH$10:$BH$81,MATCH($A1279,TinhGia!$B$10:$B$81,0)),$A1279,INDEX(TinhGia!$B$10:$B$81,MATCH($A1279,TinhGia!$B$10:$B$81,0)+1)),"")</f>
        <v/>
      </c>
      <c r="B1280" s="525" t="str">
        <f ca="1">IF(OR(A1280="",A1280=0),"",IF(COUNTIF($A$2:A1280,$A1280)=1,ROW(MauKoXoa!$C$108),$B1279+1))</f>
        <v/>
      </c>
      <c r="C1280" s="992" t="str">
        <f t="shared" ref="C1280:C1343" ca="1" si="200">IFERROR(INDIRECT("'" &amp; $A1280 &amp; "'!" &amp; "C" &amp; $B1280),"")</f>
        <v/>
      </c>
      <c r="D1280" s="993" t="str">
        <f t="shared" ref="D1280:D1343" ca="1" si="201">IFERROR(INDIRECT("'" &amp; $A1280 &amp; "'!" &amp; "D" &amp; $B1280),"")</f>
        <v/>
      </c>
      <c r="E1280" s="993" t="str">
        <f t="shared" ref="E1280:E1343" ca="1" si="202">IFERROR(INDIRECT("'" &amp; $A1280 &amp; "'!" &amp; "P" &amp; $B1280),"")</f>
        <v/>
      </c>
      <c r="F1280" s="992" t="str">
        <f t="shared" ca="1" si="197"/>
        <v/>
      </c>
      <c r="G1280" s="994">
        <f t="shared" ref="G1280:G1343" ca="1" si="203">IFERROR(INDIRECT("'" &amp; $A1280 &amp; "'!" &amp; "F" &amp; $B1280),0)</f>
        <v>0</v>
      </c>
      <c r="H1280" s="913">
        <f t="shared" ref="H1280:H1343" ca="1" si="204">IFERROR(INDIRECT("'" &amp; $A1280 &amp; "'!" &amp; "G" &amp; $B1280),0)</f>
        <v>0</v>
      </c>
      <c r="I1280" s="913">
        <f t="shared" ref="I1280:I1343" ca="1" si="205">IFERROR(INDIRECT("'" &amp; $A1280 &amp; "'!" &amp; "H" &amp; $B1280),0)</f>
        <v>0</v>
      </c>
      <c r="J1280" s="995">
        <f t="shared" ca="1" si="198"/>
        <v>0</v>
      </c>
      <c r="K1280" s="913">
        <f t="shared" ref="K1280:K1343" ca="1" si="206">IFERROR(INDIRECT("'" &amp; $A1280 &amp; "'!" &amp; "L" &amp; $B1280),0)</f>
        <v>0</v>
      </c>
      <c r="L1280" s="995">
        <f t="shared" ca="1" si="199"/>
        <v>0</v>
      </c>
      <c r="M1280" s="913">
        <f t="shared" ref="M1280:M1343" ca="1" si="207">IFERROR(INDIRECT("'" &amp; $A1280 &amp; "'!" &amp; "M" &amp; $B1280),0)</f>
        <v>0</v>
      </c>
      <c r="N1280" s="996">
        <f t="shared" ref="N1280:N1343" ca="1" si="208">IFERROR(INDIRECT("'" &amp; $A1280 &amp; "'!" &amp; "N" &amp; $B1280),0)</f>
        <v>0</v>
      </c>
      <c r="O1280" s="997">
        <f t="shared" ref="O1280:O1343" ca="1" si="209">IFERROR(INDIRECT("'" &amp; $A1280 &amp; "'!" &amp; "O" &amp; $B1280),0)</f>
        <v>0</v>
      </c>
      <c r="P1280" s="1015" t="str">
        <f ca="1">IF($C1280="","",INDEX(NVLSX!$N$2:$N$6941,MATCH($C1280,NVLSX!$E$2:$E$6941,0)))</f>
        <v/>
      </c>
      <c r="Q1280" s="1016" t="str">
        <f ca="1">IF($R1280="","",IF(XKNVLSX!$X$1="",IF($P1280=$V$7,$P1280, IF(COUNTIFS($C$2:$C1279,$C1280,$E$2:$E1279,$E1280)&gt;=1,"",$P1280)),     IF(AND(IFERROR(SEARCH($R1280,XKNVLSX!$X$1,1),0)&gt;=1,$P1280=$V$7),$P1280, IF(OR($R1280&lt;&gt;IF(IFERROR(SEARCH($R1280,XKNVLSX!$X$1,1),0)&gt;=1,$R1280,XKNVLSX!$X$1),COUNTIFS($C$2:$C1279,$C1280,$E$2:$E1279,$E1280,$Q$2:$Q1279,$P1280)&gt;=1),"",$P1280))))</f>
        <v/>
      </c>
      <c r="R1280" s="1017" t="str">
        <f ca="1">IF($A1280="","",IFERROR(INDEX(TinhGia!$BF$10:$BF$81,MATCH($A1280,TinhGia!$B$10:$B$81,0)),""))</f>
        <v/>
      </c>
      <c r="S1280" s="1012" t="str">
        <f ca="1">IF($A1280="","",IF(OR(IFERROR(SEARCH($R1280,XKNVLSX!$X$1,1),0)&gt;=1,XKNVLSX!$X$1=""),$S$2,""))</f>
        <v/>
      </c>
      <c r="T1280" s="1018" t="str">
        <f ca="1">IF($C1280="","", IF(OR($P1280=$V$1,$P1280=$V$7,COUNTIFS($C$3:$C1280,$C1280,$E$3:$E1280,$E1280)&lt;=1),$P1280,""    ))</f>
        <v/>
      </c>
      <c r="U1280" s="1019" t="str">
        <f ca="1">IF(AND($P1280=$V$2,COUNTIFS($C$3:$C1280,$C1280,$E$3:$E1280,$E1280,$G$3:$G1280,$G1280)&lt;=1),$P1280,"")</f>
        <v/>
      </c>
    </row>
    <row r="1281" spans="1:21">
      <c r="A1281" s="991" t="str">
        <f ca="1">IFERROR(IF(COUNTIF($A$3:A1280,A1280)&lt; INDEX(TinhGia!$BH$10:$BH$81,MATCH($A1280,TinhGia!$B$10:$B$81,0)),$A1280,INDEX(TinhGia!$B$10:$B$81,MATCH($A1280,TinhGia!$B$10:$B$81,0)+1)),"")</f>
        <v/>
      </c>
      <c r="B1281" s="525" t="str">
        <f ca="1">IF(OR(A1281="",A1281=0),"",IF(COUNTIF($A$2:A1281,$A1281)=1,ROW(MauKoXoa!$C$108),$B1280+1))</f>
        <v/>
      </c>
      <c r="C1281" s="992" t="str">
        <f t="shared" ca="1" si="200"/>
        <v/>
      </c>
      <c r="D1281" s="993" t="str">
        <f t="shared" ca="1" si="201"/>
        <v/>
      </c>
      <c r="E1281" s="993" t="str">
        <f t="shared" ca="1" si="202"/>
        <v/>
      </c>
      <c r="F1281" s="992" t="str">
        <f t="shared" ca="1" si="197"/>
        <v/>
      </c>
      <c r="G1281" s="994">
        <f t="shared" ca="1" si="203"/>
        <v>0</v>
      </c>
      <c r="H1281" s="913">
        <f t="shared" ca="1" si="204"/>
        <v>0</v>
      </c>
      <c r="I1281" s="913">
        <f t="shared" ca="1" si="205"/>
        <v>0</v>
      </c>
      <c r="J1281" s="995">
        <f t="shared" ca="1" si="198"/>
        <v>0</v>
      </c>
      <c r="K1281" s="913">
        <f t="shared" ca="1" si="206"/>
        <v>0</v>
      </c>
      <c r="L1281" s="995">
        <f t="shared" ca="1" si="199"/>
        <v>0</v>
      </c>
      <c r="M1281" s="913">
        <f t="shared" ca="1" si="207"/>
        <v>0</v>
      </c>
      <c r="N1281" s="996">
        <f t="shared" ca="1" si="208"/>
        <v>0</v>
      </c>
      <c r="O1281" s="997">
        <f t="shared" ca="1" si="209"/>
        <v>0</v>
      </c>
      <c r="P1281" s="1015" t="str">
        <f ca="1">IF($C1281="","",INDEX(NVLSX!$N$2:$N$6941,MATCH($C1281,NVLSX!$E$2:$E$6941,0)))</f>
        <v/>
      </c>
      <c r="Q1281" s="1016" t="str">
        <f ca="1">IF($R1281="","",IF(XKNVLSX!$X$1="",IF($P1281=$V$7,$P1281, IF(COUNTIFS($C$2:$C1280,$C1281,$E$2:$E1280,$E1281)&gt;=1,"",$P1281)),     IF(AND(IFERROR(SEARCH($R1281,XKNVLSX!$X$1,1),0)&gt;=1,$P1281=$V$7),$P1281, IF(OR($R1281&lt;&gt;IF(IFERROR(SEARCH($R1281,XKNVLSX!$X$1,1),0)&gt;=1,$R1281,XKNVLSX!$X$1),COUNTIFS($C$2:$C1280,$C1281,$E$2:$E1280,$E1281,$Q$2:$Q1280,$P1281)&gt;=1),"",$P1281))))</f>
        <v/>
      </c>
      <c r="R1281" s="1017" t="str">
        <f ca="1">IF($A1281="","",IFERROR(INDEX(TinhGia!$BF$10:$BF$81,MATCH($A1281,TinhGia!$B$10:$B$81,0)),""))</f>
        <v/>
      </c>
      <c r="S1281" s="1012" t="str">
        <f ca="1">IF($A1281="","",IF(OR(IFERROR(SEARCH($R1281,XKNVLSX!$X$1,1),0)&gt;=1,XKNVLSX!$X$1=""),$S$2,""))</f>
        <v/>
      </c>
      <c r="T1281" s="1018" t="str">
        <f ca="1">IF($C1281="","", IF(OR($P1281=$V$1,$P1281=$V$7,COUNTIFS($C$3:$C1281,$C1281,$E$3:$E1281,$E1281)&lt;=1),$P1281,""    ))</f>
        <v/>
      </c>
      <c r="U1281" s="1019" t="str">
        <f ca="1">IF(AND($P1281=$V$2,COUNTIFS($C$3:$C1281,$C1281,$E$3:$E1281,$E1281,$G$3:$G1281,$G1281)&lt;=1),$P1281,"")</f>
        <v/>
      </c>
    </row>
    <row r="1282" spans="1:21">
      <c r="A1282" s="991" t="str">
        <f ca="1">IFERROR(IF(COUNTIF($A$3:A1281,A1281)&lt; INDEX(TinhGia!$BH$10:$BH$81,MATCH($A1281,TinhGia!$B$10:$B$81,0)),$A1281,INDEX(TinhGia!$B$10:$B$81,MATCH($A1281,TinhGia!$B$10:$B$81,0)+1)),"")</f>
        <v/>
      </c>
      <c r="B1282" s="525" t="str">
        <f ca="1">IF(OR(A1282="",A1282=0),"",IF(COUNTIF($A$2:A1282,$A1282)=1,ROW(MauKoXoa!$C$108),$B1281+1))</f>
        <v/>
      </c>
      <c r="C1282" s="992" t="str">
        <f t="shared" ca="1" si="200"/>
        <v/>
      </c>
      <c r="D1282" s="993" t="str">
        <f t="shared" ca="1" si="201"/>
        <v/>
      </c>
      <c r="E1282" s="993" t="str">
        <f t="shared" ca="1" si="202"/>
        <v/>
      </c>
      <c r="F1282" s="992" t="str">
        <f t="shared" ca="1" si="197"/>
        <v/>
      </c>
      <c r="G1282" s="994">
        <f t="shared" ca="1" si="203"/>
        <v>0</v>
      </c>
      <c r="H1282" s="913">
        <f t="shared" ca="1" si="204"/>
        <v>0</v>
      </c>
      <c r="I1282" s="913">
        <f t="shared" ca="1" si="205"/>
        <v>0</v>
      </c>
      <c r="J1282" s="995">
        <f t="shared" ca="1" si="198"/>
        <v>0</v>
      </c>
      <c r="K1282" s="913">
        <f t="shared" ca="1" si="206"/>
        <v>0</v>
      </c>
      <c r="L1282" s="995">
        <f t="shared" ca="1" si="199"/>
        <v>0</v>
      </c>
      <c r="M1282" s="913">
        <f t="shared" ca="1" si="207"/>
        <v>0</v>
      </c>
      <c r="N1282" s="996">
        <f t="shared" ca="1" si="208"/>
        <v>0</v>
      </c>
      <c r="O1282" s="997">
        <f t="shared" ca="1" si="209"/>
        <v>0</v>
      </c>
      <c r="P1282" s="1015" t="str">
        <f ca="1">IF($C1282="","",INDEX(NVLSX!$N$2:$N$6941,MATCH($C1282,NVLSX!$E$2:$E$6941,0)))</f>
        <v/>
      </c>
      <c r="Q1282" s="1016" t="str">
        <f ca="1">IF($R1282="","",IF(XKNVLSX!$X$1="",IF($P1282=$V$7,$P1282, IF(COUNTIFS($C$2:$C1281,$C1282,$E$2:$E1281,$E1282)&gt;=1,"",$P1282)),     IF(AND(IFERROR(SEARCH($R1282,XKNVLSX!$X$1,1),0)&gt;=1,$P1282=$V$7),$P1282, IF(OR($R1282&lt;&gt;IF(IFERROR(SEARCH($R1282,XKNVLSX!$X$1,1),0)&gt;=1,$R1282,XKNVLSX!$X$1),COUNTIFS($C$2:$C1281,$C1282,$E$2:$E1281,$E1282,$Q$2:$Q1281,$P1282)&gt;=1),"",$P1282))))</f>
        <v/>
      </c>
      <c r="R1282" s="1017" t="str">
        <f ca="1">IF($A1282="","",IFERROR(INDEX(TinhGia!$BF$10:$BF$81,MATCH($A1282,TinhGia!$B$10:$B$81,0)),""))</f>
        <v/>
      </c>
      <c r="S1282" s="1012" t="str">
        <f ca="1">IF($A1282="","",IF(OR(IFERROR(SEARCH($R1282,XKNVLSX!$X$1,1),0)&gt;=1,XKNVLSX!$X$1=""),$S$2,""))</f>
        <v/>
      </c>
      <c r="T1282" s="1018" t="str">
        <f ca="1">IF($C1282="","", IF(OR($P1282=$V$1,$P1282=$V$7,COUNTIFS($C$3:$C1282,$C1282,$E$3:$E1282,$E1282)&lt;=1),$P1282,""    ))</f>
        <v/>
      </c>
      <c r="U1282" s="1019" t="str">
        <f ca="1">IF(AND($P1282=$V$2,COUNTIFS($C$3:$C1282,$C1282,$E$3:$E1282,$E1282,$G$3:$G1282,$G1282)&lt;=1),$P1282,"")</f>
        <v/>
      </c>
    </row>
    <row r="1283" spans="1:21">
      <c r="A1283" s="991" t="str">
        <f ca="1">IFERROR(IF(COUNTIF($A$3:A1282,A1282)&lt; INDEX(TinhGia!$BH$10:$BH$81,MATCH($A1282,TinhGia!$B$10:$B$81,0)),$A1282,INDEX(TinhGia!$B$10:$B$81,MATCH($A1282,TinhGia!$B$10:$B$81,0)+1)),"")</f>
        <v/>
      </c>
      <c r="B1283" s="525" t="str">
        <f ca="1">IF(OR(A1283="",A1283=0),"",IF(COUNTIF($A$2:A1283,$A1283)=1,ROW(MauKoXoa!$C$108),$B1282+1))</f>
        <v/>
      </c>
      <c r="C1283" s="992" t="str">
        <f t="shared" ca="1" si="200"/>
        <v/>
      </c>
      <c r="D1283" s="993" t="str">
        <f t="shared" ca="1" si="201"/>
        <v/>
      </c>
      <c r="E1283" s="993" t="str">
        <f t="shared" ca="1" si="202"/>
        <v/>
      </c>
      <c r="F1283" s="992" t="str">
        <f t="shared" ref="F1283:F1346" ca="1" si="210">IF($P1283=$V$7, IFERROR(INDIRECT("'" &amp; $A1283 &amp; "'!" &amp; "I" &amp; $B1283),""),IFERROR(INDIRECT("'" &amp; $A1283 &amp; "'!" &amp; "E" &amp; $B1283),""))</f>
        <v/>
      </c>
      <c r="G1283" s="994">
        <f t="shared" ca="1" si="203"/>
        <v>0</v>
      </c>
      <c r="H1283" s="913">
        <f t="shared" ca="1" si="204"/>
        <v>0</v>
      </c>
      <c r="I1283" s="913">
        <f t="shared" ca="1" si="205"/>
        <v>0</v>
      </c>
      <c r="J1283" s="995">
        <f t="shared" ca="1" si="198"/>
        <v>0</v>
      </c>
      <c r="K1283" s="913">
        <f t="shared" ca="1" si="206"/>
        <v>0</v>
      </c>
      <c r="L1283" s="995">
        <f t="shared" ca="1" si="199"/>
        <v>0</v>
      </c>
      <c r="M1283" s="913">
        <f t="shared" ca="1" si="207"/>
        <v>0</v>
      </c>
      <c r="N1283" s="996">
        <f t="shared" ca="1" si="208"/>
        <v>0</v>
      </c>
      <c r="O1283" s="997">
        <f t="shared" ca="1" si="209"/>
        <v>0</v>
      </c>
      <c r="P1283" s="1015" t="str">
        <f ca="1">IF($C1283="","",INDEX(NVLSX!$N$2:$N$6941,MATCH($C1283,NVLSX!$E$2:$E$6941,0)))</f>
        <v/>
      </c>
      <c r="Q1283" s="1016" t="str">
        <f ca="1">IF($R1283="","",IF(XKNVLSX!$X$1="",IF($P1283=$V$7,$P1283, IF(COUNTIFS($C$2:$C1282,$C1283,$E$2:$E1282,$E1283)&gt;=1,"",$P1283)),     IF(AND(IFERROR(SEARCH($R1283,XKNVLSX!$X$1,1),0)&gt;=1,$P1283=$V$7),$P1283, IF(OR($R1283&lt;&gt;IF(IFERROR(SEARCH($R1283,XKNVLSX!$X$1,1),0)&gt;=1,$R1283,XKNVLSX!$X$1),COUNTIFS($C$2:$C1282,$C1283,$E$2:$E1282,$E1283,$Q$2:$Q1282,$P1283)&gt;=1),"",$P1283))))</f>
        <v/>
      </c>
      <c r="R1283" s="1017" t="str">
        <f ca="1">IF($A1283="","",IFERROR(INDEX(TinhGia!$BF$10:$BF$81,MATCH($A1283,TinhGia!$B$10:$B$81,0)),""))</f>
        <v/>
      </c>
      <c r="S1283" s="1012" t="str">
        <f ca="1">IF($A1283="","",IF(OR(IFERROR(SEARCH($R1283,XKNVLSX!$X$1,1),0)&gt;=1,XKNVLSX!$X$1=""),$S$2,""))</f>
        <v/>
      </c>
      <c r="T1283" s="1018" t="str">
        <f ca="1">IF($C1283="","", IF(OR($P1283=$V$1,$P1283=$V$7,COUNTIFS($C$3:$C1283,$C1283,$E$3:$E1283,$E1283)&lt;=1),$P1283,""    ))</f>
        <v/>
      </c>
      <c r="U1283" s="1019" t="str">
        <f ca="1">IF(AND($P1283=$V$2,COUNTIFS($C$3:$C1283,$C1283,$E$3:$E1283,$E1283,$G$3:$G1283,$G1283)&lt;=1),$P1283,"")</f>
        <v/>
      </c>
    </row>
    <row r="1284" spans="1:21">
      <c r="A1284" s="991" t="str">
        <f ca="1">IFERROR(IF(COUNTIF($A$3:A1283,A1283)&lt; INDEX(TinhGia!$BH$10:$BH$81,MATCH($A1283,TinhGia!$B$10:$B$81,0)),$A1283,INDEX(TinhGia!$B$10:$B$81,MATCH($A1283,TinhGia!$B$10:$B$81,0)+1)),"")</f>
        <v/>
      </c>
      <c r="B1284" s="525" t="str">
        <f ca="1">IF(OR(A1284="",A1284=0),"",IF(COUNTIF($A$2:A1284,$A1284)=1,ROW(MauKoXoa!$C$108),$B1283+1))</f>
        <v/>
      </c>
      <c r="C1284" s="992" t="str">
        <f t="shared" ca="1" si="200"/>
        <v/>
      </c>
      <c r="D1284" s="993" t="str">
        <f t="shared" ca="1" si="201"/>
        <v/>
      </c>
      <c r="E1284" s="993" t="str">
        <f t="shared" ca="1" si="202"/>
        <v/>
      </c>
      <c r="F1284" s="992" t="str">
        <f t="shared" ca="1" si="210"/>
        <v/>
      </c>
      <c r="G1284" s="994">
        <f t="shared" ca="1" si="203"/>
        <v>0</v>
      </c>
      <c r="H1284" s="913">
        <f t="shared" ca="1" si="204"/>
        <v>0</v>
      </c>
      <c r="I1284" s="913">
        <f t="shared" ca="1" si="205"/>
        <v>0</v>
      </c>
      <c r="J1284" s="995">
        <f t="shared" ref="J1284:J1347" ca="1" si="211">IFERROR(INDIRECT("'" &amp; $A1284 &amp; "'!" &amp; "J" &amp; $B1284),0)</f>
        <v>0</v>
      </c>
      <c r="K1284" s="913">
        <f t="shared" ca="1" si="206"/>
        <v>0</v>
      </c>
      <c r="L1284" s="995">
        <f t="shared" ref="L1284:L1347" ca="1" si="212">+ IFERROR(INDIRECT("'" &amp; $A1284 &amp; "'!" &amp; "K" &amp; $B1284),0)</f>
        <v>0</v>
      </c>
      <c r="M1284" s="913">
        <f t="shared" ca="1" si="207"/>
        <v>0</v>
      </c>
      <c r="N1284" s="996">
        <f t="shared" ca="1" si="208"/>
        <v>0</v>
      </c>
      <c r="O1284" s="997">
        <f t="shared" ca="1" si="209"/>
        <v>0</v>
      </c>
      <c r="P1284" s="1015" t="str">
        <f ca="1">IF($C1284="","",INDEX(NVLSX!$N$2:$N$6941,MATCH($C1284,NVLSX!$E$2:$E$6941,0)))</f>
        <v/>
      </c>
      <c r="Q1284" s="1016" t="str">
        <f ca="1">IF($R1284="","",IF(XKNVLSX!$X$1="",IF($P1284=$V$7,$P1284, IF(COUNTIFS($C$2:$C1283,$C1284,$E$2:$E1283,$E1284)&gt;=1,"",$P1284)),     IF(AND(IFERROR(SEARCH($R1284,XKNVLSX!$X$1,1),0)&gt;=1,$P1284=$V$7),$P1284, IF(OR($R1284&lt;&gt;IF(IFERROR(SEARCH($R1284,XKNVLSX!$X$1,1),0)&gt;=1,$R1284,XKNVLSX!$X$1),COUNTIFS($C$2:$C1283,$C1284,$E$2:$E1283,$E1284,$Q$2:$Q1283,$P1284)&gt;=1),"",$P1284))))</f>
        <v/>
      </c>
      <c r="R1284" s="1017" t="str">
        <f ca="1">IF($A1284="","",IFERROR(INDEX(TinhGia!$BF$10:$BF$81,MATCH($A1284,TinhGia!$B$10:$B$81,0)),""))</f>
        <v/>
      </c>
      <c r="S1284" s="1012" t="str">
        <f ca="1">IF($A1284="","",IF(OR(IFERROR(SEARCH($R1284,XKNVLSX!$X$1,1),0)&gt;=1,XKNVLSX!$X$1=""),$S$2,""))</f>
        <v/>
      </c>
      <c r="T1284" s="1018" t="str">
        <f ca="1">IF($C1284="","", IF(OR($P1284=$V$1,$P1284=$V$7,COUNTIFS($C$3:$C1284,$C1284,$E$3:$E1284,$E1284)&lt;=1),$P1284,""    ))</f>
        <v/>
      </c>
      <c r="U1284" s="1019" t="str">
        <f ca="1">IF(AND($P1284=$V$2,COUNTIFS($C$3:$C1284,$C1284,$E$3:$E1284,$E1284,$G$3:$G1284,$G1284)&lt;=1),$P1284,"")</f>
        <v/>
      </c>
    </row>
    <row r="1285" spans="1:21">
      <c r="A1285" s="991" t="str">
        <f ca="1">IFERROR(IF(COUNTIF($A$3:A1284,A1284)&lt; INDEX(TinhGia!$BH$10:$BH$81,MATCH($A1284,TinhGia!$B$10:$B$81,0)),$A1284,INDEX(TinhGia!$B$10:$B$81,MATCH($A1284,TinhGia!$B$10:$B$81,0)+1)),"")</f>
        <v/>
      </c>
      <c r="B1285" s="525" t="str">
        <f ca="1">IF(OR(A1285="",A1285=0),"",IF(COUNTIF($A$2:A1285,$A1285)=1,ROW(MauKoXoa!$C$108),$B1284+1))</f>
        <v/>
      </c>
      <c r="C1285" s="992" t="str">
        <f t="shared" ca="1" si="200"/>
        <v/>
      </c>
      <c r="D1285" s="993" t="str">
        <f t="shared" ca="1" si="201"/>
        <v/>
      </c>
      <c r="E1285" s="993" t="str">
        <f t="shared" ca="1" si="202"/>
        <v/>
      </c>
      <c r="F1285" s="992" t="str">
        <f t="shared" ca="1" si="210"/>
        <v/>
      </c>
      <c r="G1285" s="994">
        <f t="shared" ca="1" si="203"/>
        <v>0</v>
      </c>
      <c r="H1285" s="913">
        <f t="shared" ca="1" si="204"/>
        <v>0</v>
      </c>
      <c r="I1285" s="913">
        <f t="shared" ca="1" si="205"/>
        <v>0</v>
      </c>
      <c r="J1285" s="995">
        <f t="shared" ca="1" si="211"/>
        <v>0</v>
      </c>
      <c r="K1285" s="913">
        <f t="shared" ca="1" si="206"/>
        <v>0</v>
      </c>
      <c r="L1285" s="995">
        <f t="shared" ca="1" si="212"/>
        <v>0</v>
      </c>
      <c r="M1285" s="913">
        <f t="shared" ca="1" si="207"/>
        <v>0</v>
      </c>
      <c r="N1285" s="996">
        <f t="shared" ca="1" si="208"/>
        <v>0</v>
      </c>
      <c r="O1285" s="997">
        <f t="shared" ca="1" si="209"/>
        <v>0</v>
      </c>
      <c r="P1285" s="1015" t="str">
        <f ca="1">IF($C1285="","",INDEX(NVLSX!$N$2:$N$6941,MATCH($C1285,NVLSX!$E$2:$E$6941,0)))</f>
        <v/>
      </c>
      <c r="Q1285" s="1016" t="str">
        <f ca="1">IF($R1285="","",IF(XKNVLSX!$X$1="",IF($P1285=$V$7,$P1285, IF(COUNTIFS($C$2:$C1284,$C1285,$E$2:$E1284,$E1285)&gt;=1,"",$P1285)),     IF(AND(IFERROR(SEARCH($R1285,XKNVLSX!$X$1,1),0)&gt;=1,$P1285=$V$7),$P1285, IF(OR($R1285&lt;&gt;IF(IFERROR(SEARCH($R1285,XKNVLSX!$X$1,1),0)&gt;=1,$R1285,XKNVLSX!$X$1),COUNTIFS($C$2:$C1284,$C1285,$E$2:$E1284,$E1285,$Q$2:$Q1284,$P1285)&gt;=1),"",$P1285))))</f>
        <v/>
      </c>
      <c r="R1285" s="1017" t="str">
        <f ca="1">IF($A1285="","",IFERROR(INDEX(TinhGia!$BF$10:$BF$81,MATCH($A1285,TinhGia!$B$10:$B$81,0)),""))</f>
        <v/>
      </c>
      <c r="S1285" s="1012" t="str">
        <f ca="1">IF($A1285="","",IF(OR(IFERROR(SEARCH($R1285,XKNVLSX!$X$1,1),0)&gt;=1,XKNVLSX!$X$1=""),$S$2,""))</f>
        <v/>
      </c>
      <c r="T1285" s="1018" t="str">
        <f ca="1">IF($C1285="","", IF(OR($P1285=$V$1,$P1285=$V$7,COUNTIFS($C$3:$C1285,$C1285,$E$3:$E1285,$E1285)&lt;=1),$P1285,""    ))</f>
        <v/>
      </c>
      <c r="U1285" s="1019" t="str">
        <f ca="1">IF(AND($P1285=$V$2,COUNTIFS($C$3:$C1285,$C1285,$E$3:$E1285,$E1285,$G$3:$G1285,$G1285)&lt;=1),$P1285,"")</f>
        <v/>
      </c>
    </row>
    <row r="1286" spans="1:21">
      <c r="A1286" s="991" t="str">
        <f ca="1">IFERROR(IF(COUNTIF($A$3:A1285,A1285)&lt; INDEX(TinhGia!$BH$10:$BH$81,MATCH($A1285,TinhGia!$B$10:$B$81,0)),$A1285,INDEX(TinhGia!$B$10:$B$81,MATCH($A1285,TinhGia!$B$10:$B$81,0)+1)),"")</f>
        <v/>
      </c>
      <c r="B1286" s="525" t="str">
        <f ca="1">IF(OR(A1286="",A1286=0),"",IF(COUNTIF($A$2:A1286,$A1286)=1,ROW(MauKoXoa!$C$108),$B1285+1))</f>
        <v/>
      </c>
      <c r="C1286" s="992" t="str">
        <f t="shared" ca="1" si="200"/>
        <v/>
      </c>
      <c r="D1286" s="993" t="str">
        <f t="shared" ca="1" si="201"/>
        <v/>
      </c>
      <c r="E1286" s="993" t="str">
        <f t="shared" ca="1" si="202"/>
        <v/>
      </c>
      <c r="F1286" s="992" t="str">
        <f t="shared" ca="1" si="210"/>
        <v/>
      </c>
      <c r="G1286" s="994">
        <f t="shared" ca="1" si="203"/>
        <v>0</v>
      </c>
      <c r="H1286" s="913">
        <f t="shared" ca="1" si="204"/>
        <v>0</v>
      </c>
      <c r="I1286" s="913">
        <f t="shared" ca="1" si="205"/>
        <v>0</v>
      </c>
      <c r="J1286" s="995">
        <f t="shared" ca="1" si="211"/>
        <v>0</v>
      </c>
      <c r="K1286" s="913">
        <f t="shared" ca="1" si="206"/>
        <v>0</v>
      </c>
      <c r="L1286" s="995">
        <f t="shared" ca="1" si="212"/>
        <v>0</v>
      </c>
      <c r="M1286" s="913">
        <f t="shared" ca="1" si="207"/>
        <v>0</v>
      </c>
      <c r="N1286" s="996">
        <f t="shared" ca="1" si="208"/>
        <v>0</v>
      </c>
      <c r="O1286" s="997">
        <f t="shared" ca="1" si="209"/>
        <v>0</v>
      </c>
      <c r="P1286" s="1015" t="str">
        <f ca="1">IF($C1286="","",INDEX(NVLSX!$N$2:$N$6941,MATCH($C1286,NVLSX!$E$2:$E$6941,0)))</f>
        <v/>
      </c>
      <c r="Q1286" s="1016" t="str">
        <f ca="1">IF($R1286="","",IF(XKNVLSX!$X$1="",IF($P1286=$V$7,$P1286, IF(COUNTIFS($C$2:$C1285,$C1286,$E$2:$E1285,$E1286)&gt;=1,"",$P1286)),     IF(AND(IFERROR(SEARCH($R1286,XKNVLSX!$X$1,1),0)&gt;=1,$P1286=$V$7),$P1286, IF(OR($R1286&lt;&gt;IF(IFERROR(SEARCH($R1286,XKNVLSX!$X$1,1),0)&gt;=1,$R1286,XKNVLSX!$X$1),COUNTIFS($C$2:$C1285,$C1286,$E$2:$E1285,$E1286,$Q$2:$Q1285,$P1286)&gt;=1),"",$P1286))))</f>
        <v/>
      </c>
      <c r="R1286" s="1017" t="str">
        <f ca="1">IF($A1286="","",IFERROR(INDEX(TinhGia!$BF$10:$BF$81,MATCH($A1286,TinhGia!$B$10:$B$81,0)),""))</f>
        <v/>
      </c>
      <c r="S1286" s="1012" t="str">
        <f ca="1">IF($A1286="","",IF(OR(IFERROR(SEARCH($R1286,XKNVLSX!$X$1,1),0)&gt;=1,XKNVLSX!$X$1=""),$S$2,""))</f>
        <v/>
      </c>
      <c r="T1286" s="1018" t="str">
        <f ca="1">IF($C1286="","", IF(OR($P1286=$V$1,$P1286=$V$7,COUNTIFS($C$3:$C1286,$C1286,$E$3:$E1286,$E1286)&lt;=1),$P1286,""    ))</f>
        <v/>
      </c>
      <c r="U1286" s="1019" t="str">
        <f ca="1">IF(AND($P1286=$V$2,COUNTIFS($C$3:$C1286,$C1286,$E$3:$E1286,$E1286,$G$3:$G1286,$G1286)&lt;=1),$P1286,"")</f>
        <v/>
      </c>
    </row>
    <row r="1287" spans="1:21">
      <c r="A1287" s="991" t="str">
        <f ca="1">IFERROR(IF(COUNTIF($A$3:A1286,A1286)&lt; INDEX(TinhGia!$BH$10:$BH$81,MATCH($A1286,TinhGia!$B$10:$B$81,0)),$A1286,INDEX(TinhGia!$B$10:$B$81,MATCH($A1286,TinhGia!$B$10:$B$81,0)+1)),"")</f>
        <v/>
      </c>
      <c r="B1287" s="525" t="str">
        <f ca="1">IF(OR(A1287="",A1287=0),"",IF(COUNTIF($A$2:A1287,$A1287)=1,ROW(MauKoXoa!$C$108),$B1286+1))</f>
        <v/>
      </c>
      <c r="C1287" s="992" t="str">
        <f t="shared" ca="1" si="200"/>
        <v/>
      </c>
      <c r="D1287" s="993" t="str">
        <f t="shared" ca="1" si="201"/>
        <v/>
      </c>
      <c r="E1287" s="993" t="str">
        <f t="shared" ca="1" si="202"/>
        <v/>
      </c>
      <c r="F1287" s="992" t="str">
        <f t="shared" ca="1" si="210"/>
        <v/>
      </c>
      <c r="G1287" s="994">
        <f t="shared" ca="1" si="203"/>
        <v>0</v>
      </c>
      <c r="H1287" s="913">
        <f t="shared" ca="1" si="204"/>
        <v>0</v>
      </c>
      <c r="I1287" s="913">
        <f t="shared" ca="1" si="205"/>
        <v>0</v>
      </c>
      <c r="J1287" s="995">
        <f t="shared" ca="1" si="211"/>
        <v>0</v>
      </c>
      <c r="K1287" s="913">
        <f t="shared" ca="1" si="206"/>
        <v>0</v>
      </c>
      <c r="L1287" s="995">
        <f t="shared" ca="1" si="212"/>
        <v>0</v>
      </c>
      <c r="M1287" s="913">
        <f t="shared" ca="1" si="207"/>
        <v>0</v>
      </c>
      <c r="N1287" s="996">
        <f t="shared" ca="1" si="208"/>
        <v>0</v>
      </c>
      <c r="O1287" s="997">
        <f t="shared" ca="1" si="209"/>
        <v>0</v>
      </c>
      <c r="P1287" s="1015" t="str">
        <f ca="1">IF($C1287="","",INDEX(NVLSX!$N$2:$N$6941,MATCH($C1287,NVLSX!$E$2:$E$6941,0)))</f>
        <v/>
      </c>
      <c r="Q1287" s="1016" t="str">
        <f ca="1">IF($R1287="","",IF(XKNVLSX!$X$1="",IF($P1287=$V$7,$P1287, IF(COUNTIFS($C$2:$C1286,$C1287,$E$2:$E1286,$E1287)&gt;=1,"",$P1287)),     IF(AND(IFERROR(SEARCH($R1287,XKNVLSX!$X$1,1),0)&gt;=1,$P1287=$V$7),$P1287, IF(OR($R1287&lt;&gt;IF(IFERROR(SEARCH($R1287,XKNVLSX!$X$1,1),0)&gt;=1,$R1287,XKNVLSX!$X$1),COUNTIFS($C$2:$C1286,$C1287,$E$2:$E1286,$E1287,$Q$2:$Q1286,$P1287)&gt;=1),"",$P1287))))</f>
        <v/>
      </c>
      <c r="R1287" s="1017" t="str">
        <f ca="1">IF($A1287="","",IFERROR(INDEX(TinhGia!$BF$10:$BF$81,MATCH($A1287,TinhGia!$B$10:$B$81,0)),""))</f>
        <v/>
      </c>
      <c r="S1287" s="1012" t="str">
        <f ca="1">IF($A1287="","",IF(OR(IFERROR(SEARCH($R1287,XKNVLSX!$X$1,1),0)&gt;=1,XKNVLSX!$X$1=""),$S$2,""))</f>
        <v/>
      </c>
      <c r="T1287" s="1018" t="str">
        <f ca="1">IF($C1287="","", IF(OR($P1287=$V$1,$P1287=$V$7,COUNTIFS($C$3:$C1287,$C1287,$E$3:$E1287,$E1287)&lt;=1),$P1287,""    ))</f>
        <v/>
      </c>
      <c r="U1287" s="1019" t="str">
        <f ca="1">IF(AND($P1287=$V$2,COUNTIFS($C$3:$C1287,$C1287,$E$3:$E1287,$E1287,$G$3:$G1287,$G1287)&lt;=1),$P1287,"")</f>
        <v/>
      </c>
    </row>
    <row r="1288" spans="1:21">
      <c r="A1288" s="991" t="str">
        <f ca="1">IFERROR(IF(COUNTIF($A$3:A1287,A1287)&lt; INDEX(TinhGia!$BH$10:$BH$81,MATCH($A1287,TinhGia!$B$10:$B$81,0)),$A1287,INDEX(TinhGia!$B$10:$B$81,MATCH($A1287,TinhGia!$B$10:$B$81,0)+1)),"")</f>
        <v/>
      </c>
      <c r="B1288" s="525" t="str">
        <f ca="1">IF(OR(A1288="",A1288=0),"",IF(COUNTIF($A$2:A1288,$A1288)=1,ROW(MauKoXoa!$C$108),$B1287+1))</f>
        <v/>
      </c>
      <c r="C1288" s="992" t="str">
        <f t="shared" ca="1" si="200"/>
        <v/>
      </c>
      <c r="D1288" s="993" t="str">
        <f t="shared" ca="1" si="201"/>
        <v/>
      </c>
      <c r="E1288" s="993" t="str">
        <f t="shared" ca="1" si="202"/>
        <v/>
      </c>
      <c r="F1288" s="992" t="str">
        <f t="shared" ca="1" si="210"/>
        <v/>
      </c>
      <c r="G1288" s="994">
        <f t="shared" ca="1" si="203"/>
        <v>0</v>
      </c>
      <c r="H1288" s="913">
        <f t="shared" ca="1" si="204"/>
        <v>0</v>
      </c>
      <c r="I1288" s="913">
        <f t="shared" ca="1" si="205"/>
        <v>0</v>
      </c>
      <c r="J1288" s="995">
        <f t="shared" ca="1" si="211"/>
        <v>0</v>
      </c>
      <c r="K1288" s="913">
        <f t="shared" ca="1" si="206"/>
        <v>0</v>
      </c>
      <c r="L1288" s="995">
        <f t="shared" ca="1" si="212"/>
        <v>0</v>
      </c>
      <c r="M1288" s="913">
        <f t="shared" ca="1" si="207"/>
        <v>0</v>
      </c>
      <c r="N1288" s="996">
        <f t="shared" ca="1" si="208"/>
        <v>0</v>
      </c>
      <c r="O1288" s="997">
        <f t="shared" ca="1" si="209"/>
        <v>0</v>
      </c>
      <c r="P1288" s="1015" t="str">
        <f ca="1">IF($C1288="","",INDEX(NVLSX!$N$2:$N$6941,MATCH($C1288,NVLSX!$E$2:$E$6941,0)))</f>
        <v/>
      </c>
      <c r="Q1288" s="1016" t="str">
        <f ca="1">IF($R1288="","",IF(XKNVLSX!$X$1="",IF($P1288=$V$7,$P1288, IF(COUNTIFS($C$2:$C1287,$C1288,$E$2:$E1287,$E1288)&gt;=1,"",$P1288)),     IF(AND(IFERROR(SEARCH($R1288,XKNVLSX!$X$1,1),0)&gt;=1,$P1288=$V$7),$P1288, IF(OR($R1288&lt;&gt;IF(IFERROR(SEARCH($R1288,XKNVLSX!$X$1,1),0)&gt;=1,$R1288,XKNVLSX!$X$1),COUNTIFS($C$2:$C1287,$C1288,$E$2:$E1287,$E1288,$Q$2:$Q1287,$P1288)&gt;=1),"",$P1288))))</f>
        <v/>
      </c>
      <c r="R1288" s="1017" t="str">
        <f ca="1">IF($A1288="","",IFERROR(INDEX(TinhGia!$BF$10:$BF$81,MATCH($A1288,TinhGia!$B$10:$B$81,0)),""))</f>
        <v/>
      </c>
      <c r="S1288" s="1012" t="str">
        <f ca="1">IF($A1288="","",IF(OR(IFERROR(SEARCH($R1288,XKNVLSX!$X$1,1),0)&gt;=1,XKNVLSX!$X$1=""),$S$2,""))</f>
        <v/>
      </c>
      <c r="T1288" s="1018" t="str">
        <f ca="1">IF($C1288="","", IF(OR($P1288=$V$1,$P1288=$V$7,COUNTIFS($C$3:$C1288,$C1288,$E$3:$E1288,$E1288)&lt;=1),$P1288,""    ))</f>
        <v/>
      </c>
      <c r="U1288" s="1019" t="str">
        <f ca="1">IF(AND($P1288=$V$2,COUNTIFS($C$3:$C1288,$C1288,$E$3:$E1288,$E1288,$G$3:$G1288,$G1288)&lt;=1),$P1288,"")</f>
        <v/>
      </c>
    </row>
    <row r="1289" spans="1:21">
      <c r="A1289" s="991" t="str">
        <f ca="1">IFERROR(IF(COUNTIF($A$3:A1288,A1288)&lt; INDEX(TinhGia!$BH$10:$BH$81,MATCH($A1288,TinhGia!$B$10:$B$81,0)),$A1288,INDEX(TinhGia!$B$10:$B$81,MATCH($A1288,TinhGia!$B$10:$B$81,0)+1)),"")</f>
        <v/>
      </c>
      <c r="B1289" s="525" t="str">
        <f ca="1">IF(OR(A1289="",A1289=0),"",IF(COUNTIF($A$2:A1289,$A1289)=1,ROW(MauKoXoa!$C$108),$B1288+1))</f>
        <v/>
      </c>
      <c r="C1289" s="992" t="str">
        <f t="shared" ca="1" si="200"/>
        <v/>
      </c>
      <c r="D1289" s="993" t="str">
        <f t="shared" ca="1" si="201"/>
        <v/>
      </c>
      <c r="E1289" s="993" t="str">
        <f t="shared" ca="1" si="202"/>
        <v/>
      </c>
      <c r="F1289" s="992" t="str">
        <f t="shared" ca="1" si="210"/>
        <v/>
      </c>
      <c r="G1289" s="994">
        <f t="shared" ca="1" si="203"/>
        <v>0</v>
      </c>
      <c r="H1289" s="913">
        <f t="shared" ca="1" si="204"/>
        <v>0</v>
      </c>
      <c r="I1289" s="913">
        <f t="shared" ca="1" si="205"/>
        <v>0</v>
      </c>
      <c r="J1289" s="995">
        <f t="shared" ca="1" si="211"/>
        <v>0</v>
      </c>
      <c r="K1289" s="913">
        <f t="shared" ca="1" si="206"/>
        <v>0</v>
      </c>
      <c r="L1289" s="995">
        <f t="shared" ca="1" si="212"/>
        <v>0</v>
      </c>
      <c r="M1289" s="913">
        <f t="shared" ca="1" si="207"/>
        <v>0</v>
      </c>
      <c r="N1289" s="996">
        <f t="shared" ca="1" si="208"/>
        <v>0</v>
      </c>
      <c r="O1289" s="997">
        <f t="shared" ca="1" si="209"/>
        <v>0</v>
      </c>
      <c r="P1289" s="1015" t="str">
        <f ca="1">IF($C1289="","",INDEX(NVLSX!$N$2:$N$6941,MATCH($C1289,NVLSX!$E$2:$E$6941,0)))</f>
        <v/>
      </c>
      <c r="Q1289" s="1016" t="str">
        <f ca="1">IF($R1289="","",IF(XKNVLSX!$X$1="",IF($P1289=$V$7,$P1289, IF(COUNTIFS($C$2:$C1288,$C1289,$E$2:$E1288,$E1289)&gt;=1,"",$P1289)),     IF(AND(IFERROR(SEARCH($R1289,XKNVLSX!$X$1,1),0)&gt;=1,$P1289=$V$7),$P1289, IF(OR($R1289&lt;&gt;IF(IFERROR(SEARCH($R1289,XKNVLSX!$X$1,1),0)&gt;=1,$R1289,XKNVLSX!$X$1),COUNTIFS($C$2:$C1288,$C1289,$E$2:$E1288,$E1289,$Q$2:$Q1288,$P1289)&gt;=1),"",$P1289))))</f>
        <v/>
      </c>
      <c r="R1289" s="1017" t="str">
        <f ca="1">IF($A1289="","",IFERROR(INDEX(TinhGia!$BF$10:$BF$81,MATCH($A1289,TinhGia!$B$10:$B$81,0)),""))</f>
        <v/>
      </c>
      <c r="S1289" s="1012" t="str">
        <f ca="1">IF($A1289="","",IF(OR(IFERROR(SEARCH($R1289,XKNVLSX!$X$1,1),0)&gt;=1,XKNVLSX!$X$1=""),$S$2,""))</f>
        <v/>
      </c>
      <c r="T1289" s="1018" t="str">
        <f ca="1">IF($C1289="","", IF(OR($P1289=$V$1,$P1289=$V$7,COUNTIFS($C$3:$C1289,$C1289,$E$3:$E1289,$E1289)&lt;=1),$P1289,""    ))</f>
        <v/>
      </c>
      <c r="U1289" s="1019" t="str">
        <f ca="1">IF(AND($P1289=$V$2,COUNTIFS($C$3:$C1289,$C1289,$E$3:$E1289,$E1289,$G$3:$G1289,$G1289)&lt;=1),$P1289,"")</f>
        <v/>
      </c>
    </row>
    <row r="1290" spans="1:21">
      <c r="A1290" s="991" t="str">
        <f ca="1">IFERROR(IF(COUNTIF($A$3:A1289,A1289)&lt; INDEX(TinhGia!$BH$10:$BH$81,MATCH($A1289,TinhGia!$B$10:$B$81,0)),$A1289,INDEX(TinhGia!$B$10:$B$81,MATCH($A1289,TinhGia!$B$10:$B$81,0)+1)),"")</f>
        <v/>
      </c>
      <c r="B1290" s="525" t="str">
        <f ca="1">IF(OR(A1290="",A1290=0),"",IF(COUNTIF($A$2:A1290,$A1290)=1,ROW(MauKoXoa!$C$108),$B1289+1))</f>
        <v/>
      </c>
      <c r="C1290" s="992" t="str">
        <f t="shared" ca="1" si="200"/>
        <v/>
      </c>
      <c r="D1290" s="993" t="str">
        <f t="shared" ca="1" si="201"/>
        <v/>
      </c>
      <c r="E1290" s="993" t="str">
        <f t="shared" ca="1" si="202"/>
        <v/>
      </c>
      <c r="F1290" s="992" t="str">
        <f t="shared" ca="1" si="210"/>
        <v/>
      </c>
      <c r="G1290" s="994">
        <f t="shared" ca="1" si="203"/>
        <v>0</v>
      </c>
      <c r="H1290" s="913">
        <f t="shared" ca="1" si="204"/>
        <v>0</v>
      </c>
      <c r="I1290" s="913">
        <f t="shared" ca="1" si="205"/>
        <v>0</v>
      </c>
      <c r="J1290" s="995">
        <f t="shared" ca="1" si="211"/>
        <v>0</v>
      </c>
      <c r="K1290" s="913">
        <f t="shared" ca="1" si="206"/>
        <v>0</v>
      </c>
      <c r="L1290" s="995">
        <f t="shared" ca="1" si="212"/>
        <v>0</v>
      </c>
      <c r="M1290" s="913">
        <f t="shared" ca="1" si="207"/>
        <v>0</v>
      </c>
      <c r="N1290" s="996">
        <f t="shared" ca="1" si="208"/>
        <v>0</v>
      </c>
      <c r="O1290" s="997">
        <f t="shared" ca="1" si="209"/>
        <v>0</v>
      </c>
      <c r="P1290" s="1015" t="str">
        <f ca="1">IF($C1290="","",INDEX(NVLSX!$N$2:$N$6941,MATCH($C1290,NVLSX!$E$2:$E$6941,0)))</f>
        <v/>
      </c>
      <c r="Q1290" s="1016" t="str">
        <f ca="1">IF($R1290="","",IF(XKNVLSX!$X$1="",IF($P1290=$V$7,$P1290, IF(COUNTIFS($C$2:$C1289,$C1290,$E$2:$E1289,$E1290)&gt;=1,"",$P1290)),     IF(AND(IFERROR(SEARCH($R1290,XKNVLSX!$X$1,1),0)&gt;=1,$P1290=$V$7),$P1290, IF(OR($R1290&lt;&gt;IF(IFERROR(SEARCH($R1290,XKNVLSX!$X$1,1),0)&gt;=1,$R1290,XKNVLSX!$X$1),COUNTIFS($C$2:$C1289,$C1290,$E$2:$E1289,$E1290,$Q$2:$Q1289,$P1290)&gt;=1),"",$P1290))))</f>
        <v/>
      </c>
      <c r="R1290" s="1017" t="str">
        <f ca="1">IF($A1290="","",IFERROR(INDEX(TinhGia!$BF$10:$BF$81,MATCH($A1290,TinhGia!$B$10:$B$81,0)),""))</f>
        <v/>
      </c>
      <c r="S1290" s="1012" t="str">
        <f ca="1">IF($A1290="","",IF(OR(IFERROR(SEARCH($R1290,XKNVLSX!$X$1,1),0)&gt;=1,XKNVLSX!$X$1=""),$S$2,""))</f>
        <v/>
      </c>
      <c r="T1290" s="1018" t="str">
        <f ca="1">IF($C1290="","", IF(OR($P1290=$V$1,$P1290=$V$7,COUNTIFS($C$3:$C1290,$C1290,$E$3:$E1290,$E1290)&lt;=1),$P1290,""    ))</f>
        <v/>
      </c>
      <c r="U1290" s="1019" t="str">
        <f ca="1">IF(AND($P1290=$V$2,COUNTIFS($C$3:$C1290,$C1290,$E$3:$E1290,$E1290,$G$3:$G1290,$G1290)&lt;=1),$P1290,"")</f>
        <v/>
      </c>
    </row>
    <row r="1291" spans="1:21">
      <c r="A1291" s="991" t="str">
        <f ca="1">IFERROR(IF(COUNTIF($A$3:A1290,A1290)&lt; INDEX(TinhGia!$BH$10:$BH$81,MATCH($A1290,TinhGia!$B$10:$B$81,0)),$A1290,INDEX(TinhGia!$B$10:$B$81,MATCH($A1290,TinhGia!$B$10:$B$81,0)+1)),"")</f>
        <v/>
      </c>
      <c r="B1291" s="525" t="str">
        <f ca="1">IF(OR(A1291="",A1291=0),"",IF(COUNTIF($A$2:A1291,$A1291)=1,ROW(MauKoXoa!$C$108),$B1290+1))</f>
        <v/>
      </c>
      <c r="C1291" s="992" t="str">
        <f t="shared" ca="1" si="200"/>
        <v/>
      </c>
      <c r="D1291" s="993" t="str">
        <f t="shared" ca="1" si="201"/>
        <v/>
      </c>
      <c r="E1291" s="993" t="str">
        <f t="shared" ca="1" si="202"/>
        <v/>
      </c>
      <c r="F1291" s="992" t="str">
        <f t="shared" ca="1" si="210"/>
        <v/>
      </c>
      <c r="G1291" s="994">
        <f t="shared" ca="1" si="203"/>
        <v>0</v>
      </c>
      <c r="H1291" s="913">
        <f t="shared" ca="1" si="204"/>
        <v>0</v>
      </c>
      <c r="I1291" s="913">
        <f t="shared" ca="1" si="205"/>
        <v>0</v>
      </c>
      <c r="J1291" s="995">
        <f t="shared" ca="1" si="211"/>
        <v>0</v>
      </c>
      <c r="K1291" s="913">
        <f t="shared" ca="1" si="206"/>
        <v>0</v>
      </c>
      <c r="L1291" s="995">
        <f t="shared" ca="1" si="212"/>
        <v>0</v>
      </c>
      <c r="M1291" s="913">
        <f t="shared" ca="1" si="207"/>
        <v>0</v>
      </c>
      <c r="N1291" s="996">
        <f t="shared" ca="1" si="208"/>
        <v>0</v>
      </c>
      <c r="O1291" s="997">
        <f t="shared" ca="1" si="209"/>
        <v>0</v>
      </c>
      <c r="P1291" s="1015" t="str">
        <f ca="1">IF($C1291="","",INDEX(NVLSX!$N$2:$N$6941,MATCH($C1291,NVLSX!$E$2:$E$6941,0)))</f>
        <v/>
      </c>
      <c r="Q1291" s="1016" t="str">
        <f ca="1">IF($R1291="","",IF(XKNVLSX!$X$1="",IF($P1291=$V$7,$P1291, IF(COUNTIFS($C$2:$C1290,$C1291,$E$2:$E1290,$E1291)&gt;=1,"",$P1291)),     IF(AND(IFERROR(SEARCH($R1291,XKNVLSX!$X$1,1),0)&gt;=1,$P1291=$V$7),$P1291, IF(OR($R1291&lt;&gt;IF(IFERROR(SEARCH($R1291,XKNVLSX!$X$1,1),0)&gt;=1,$R1291,XKNVLSX!$X$1),COUNTIFS($C$2:$C1290,$C1291,$E$2:$E1290,$E1291,$Q$2:$Q1290,$P1291)&gt;=1),"",$P1291))))</f>
        <v/>
      </c>
      <c r="R1291" s="1017" t="str">
        <f ca="1">IF($A1291="","",IFERROR(INDEX(TinhGia!$BF$10:$BF$81,MATCH($A1291,TinhGia!$B$10:$B$81,0)),""))</f>
        <v/>
      </c>
      <c r="S1291" s="1012" t="str">
        <f ca="1">IF($A1291="","",IF(OR(IFERROR(SEARCH($R1291,XKNVLSX!$X$1,1),0)&gt;=1,XKNVLSX!$X$1=""),$S$2,""))</f>
        <v/>
      </c>
      <c r="T1291" s="1018" t="str">
        <f ca="1">IF($C1291="","", IF(OR($P1291=$V$1,$P1291=$V$7,COUNTIFS($C$3:$C1291,$C1291,$E$3:$E1291,$E1291)&lt;=1),$P1291,""    ))</f>
        <v/>
      </c>
      <c r="U1291" s="1019" t="str">
        <f ca="1">IF(AND($P1291=$V$2,COUNTIFS($C$3:$C1291,$C1291,$E$3:$E1291,$E1291,$G$3:$G1291,$G1291)&lt;=1),$P1291,"")</f>
        <v/>
      </c>
    </row>
    <row r="1292" spans="1:21">
      <c r="A1292" s="991" t="str">
        <f ca="1">IFERROR(IF(COUNTIF($A$3:A1291,A1291)&lt; INDEX(TinhGia!$BH$10:$BH$81,MATCH($A1291,TinhGia!$B$10:$B$81,0)),$A1291,INDEX(TinhGia!$B$10:$B$81,MATCH($A1291,TinhGia!$B$10:$B$81,0)+1)),"")</f>
        <v/>
      </c>
      <c r="B1292" s="525" t="str">
        <f ca="1">IF(OR(A1292="",A1292=0),"",IF(COUNTIF($A$2:A1292,$A1292)=1,ROW(MauKoXoa!$C$108),$B1291+1))</f>
        <v/>
      </c>
      <c r="C1292" s="992" t="str">
        <f t="shared" ca="1" si="200"/>
        <v/>
      </c>
      <c r="D1292" s="993" t="str">
        <f t="shared" ca="1" si="201"/>
        <v/>
      </c>
      <c r="E1292" s="993" t="str">
        <f t="shared" ca="1" si="202"/>
        <v/>
      </c>
      <c r="F1292" s="992" t="str">
        <f t="shared" ca="1" si="210"/>
        <v/>
      </c>
      <c r="G1292" s="994">
        <f t="shared" ca="1" si="203"/>
        <v>0</v>
      </c>
      <c r="H1292" s="913">
        <f t="shared" ca="1" si="204"/>
        <v>0</v>
      </c>
      <c r="I1292" s="913">
        <f t="shared" ca="1" si="205"/>
        <v>0</v>
      </c>
      <c r="J1292" s="995">
        <f t="shared" ca="1" si="211"/>
        <v>0</v>
      </c>
      <c r="K1292" s="913">
        <f t="shared" ca="1" si="206"/>
        <v>0</v>
      </c>
      <c r="L1292" s="995">
        <f t="shared" ca="1" si="212"/>
        <v>0</v>
      </c>
      <c r="M1292" s="913">
        <f t="shared" ca="1" si="207"/>
        <v>0</v>
      </c>
      <c r="N1292" s="996">
        <f t="shared" ca="1" si="208"/>
        <v>0</v>
      </c>
      <c r="O1292" s="997">
        <f t="shared" ca="1" si="209"/>
        <v>0</v>
      </c>
      <c r="P1292" s="1015" t="str">
        <f ca="1">IF($C1292="","",INDEX(NVLSX!$N$2:$N$6941,MATCH($C1292,NVLSX!$E$2:$E$6941,0)))</f>
        <v/>
      </c>
      <c r="Q1292" s="1016" t="str">
        <f ca="1">IF($R1292="","",IF(XKNVLSX!$X$1="",IF($P1292=$V$7,$P1292, IF(COUNTIFS($C$2:$C1291,$C1292,$E$2:$E1291,$E1292)&gt;=1,"",$P1292)),     IF(AND(IFERROR(SEARCH($R1292,XKNVLSX!$X$1,1),0)&gt;=1,$P1292=$V$7),$P1292, IF(OR($R1292&lt;&gt;IF(IFERROR(SEARCH($R1292,XKNVLSX!$X$1,1),0)&gt;=1,$R1292,XKNVLSX!$X$1),COUNTIFS($C$2:$C1291,$C1292,$E$2:$E1291,$E1292,$Q$2:$Q1291,$P1292)&gt;=1),"",$P1292))))</f>
        <v/>
      </c>
      <c r="R1292" s="1017" t="str">
        <f ca="1">IF($A1292="","",IFERROR(INDEX(TinhGia!$BF$10:$BF$81,MATCH($A1292,TinhGia!$B$10:$B$81,0)),""))</f>
        <v/>
      </c>
      <c r="S1292" s="1012" t="str">
        <f ca="1">IF($A1292="","",IF(OR(IFERROR(SEARCH($R1292,XKNVLSX!$X$1,1),0)&gt;=1,XKNVLSX!$X$1=""),$S$2,""))</f>
        <v/>
      </c>
      <c r="T1292" s="1018" t="str">
        <f ca="1">IF($C1292="","", IF(OR($P1292=$V$1,$P1292=$V$7,COUNTIFS($C$3:$C1292,$C1292,$E$3:$E1292,$E1292)&lt;=1),$P1292,""    ))</f>
        <v/>
      </c>
      <c r="U1292" s="1019" t="str">
        <f ca="1">IF(AND($P1292=$V$2,COUNTIFS($C$3:$C1292,$C1292,$E$3:$E1292,$E1292,$G$3:$G1292,$G1292)&lt;=1),$P1292,"")</f>
        <v/>
      </c>
    </row>
    <row r="1293" spans="1:21">
      <c r="A1293" s="991" t="str">
        <f ca="1">IFERROR(IF(COUNTIF($A$3:A1292,A1292)&lt; INDEX(TinhGia!$BH$10:$BH$81,MATCH($A1292,TinhGia!$B$10:$B$81,0)),$A1292,INDEX(TinhGia!$B$10:$B$81,MATCH($A1292,TinhGia!$B$10:$B$81,0)+1)),"")</f>
        <v/>
      </c>
      <c r="B1293" s="525" t="str">
        <f ca="1">IF(OR(A1293="",A1293=0),"",IF(COUNTIF($A$2:A1293,$A1293)=1,ROW(MauKoXoa!$C$108),$B1292+1))</f>
        <v/>
      </c>
      <c r="C1293" s="992" t="str">
        <f t="shared" ca="1" si="200"/>
        <v/>
      </c>
      <c r="D1293" s="993" t="str">
        <f t="shared" ca="1" si="201"/>
        <v/>
      </c>
      <c r="E1293" s="993" t="str">
        <f t="shared" ca="1" si="202"/>
        <v/>
      </c>
      <c r="F1293" s="992" t="str">
        <f t="shared" ca="1" si="210"/>
        <v/>
      </c>
      <c r="G1293" s="994">
        <f t="shared" ca="1" si="203"/>
        <v>0</v>
      </c>
      <c r="H1293" s="913">
        <f t="shared" ca="1" si="204"/>
        <v>0</v>
      </c>
      <c r="I1293" s="913">
        <f t="shared" ca="1" si="205"/>
        <v>0</v>
      </c>
      <c r="J1293" s="995">
        <f t="shared" ca="1" si="211"/>
        <v>0</v>
      </c>
      <c r="K1293" s="913">
        <f t="shared" ca="1" si="206"/>
        <v>0</v>
      </c>
      <c r="L1293" s="995">
        <f t="shared" ca="1" si="212"/>
        <v>0</v>
      </c>
      <c r="M1293" s="913">
        <f t="shared" ca="1" si="207"/>
        <v>0</v>
      </c>
      <c r="N1293" s="996">
        <f t="shared" ca="1" si="208"/>
        <v>0</v>
      </c>
      <c r="O1293" s="997">
        <f t="shared" ca="1" si="209"/>
        <v>0</v>
      </c>
      <c r="P1293" s="1015" t="str">
        <f ca="1">IF($C1293="","",INDEX(NVLSX!$N$2:$N$6941,MATCH($C1293,NVLSX!$E$2:$E$6941,0)))</f>
        <v/>
      </c>
      <c r="Q1293" s="1016" t="str">
        <f ca="1">IF($R1293="","",IF(XKNVLSX!$X$1="",IF($P1293=$V$7,$P1293, IF(COUNTIFS($C$2:$C1292,$C1293,$E$2:$E1292,$E1293)&gt;=1,"",$P1293)),     IF(AND(IFERROR(SEARCH($R1293,XKNVLSX!$X$1,1),0)&gt;=1,$P1293=$V$7),$P1293, IF(OR($R1293&lt;&gt;IF(IFERROR(SEARCH($R1293,XKNVLSX!$X$1,1),0)&gt;=1,$R1293,XKNVLSX!$X$1),COUNTIFS($C$2:$C1292,$C1293,$E$2:$E1292,$E1293,$Q$2:$Q1292,$P1293)&gt;=1),"",$P1293))))</f>
        <v/>
      </c>
      <c r="R1293" s="1017" t="str">
        <f ca="1">IF($A1293="","",IFERROR(INDEX(TinhGia!$BF$10:$BF$81,MATCH($A1293,TinhGia!$B$10:$B$81,0)),""))</f>
        <v/>
      </c>
      <c r="S1293" s="1012" t="str">
        <f ca="1">IF($A1293="","",IF(OR(IFERROR(SEARCH($R1293,XKNVLSX!$X$1,1),0)&gt;=1,XKNVLSX!$X$1=""),$S$2,""))</f>
        <v/>
      </c>
      <c r="T1293" s="1018" t="str">
        <f ca="1">IF($C1293="","", IF(OR($P1293=$V$1,$P1293=$V$7,COUNTIFS($C$3:$C1293,$C1293,$E$3:$E1293,$E1293)&lt;=1),$P1293,""    ))</f>
        <v/>
      </c>
      <c r="U1293" s="1019" t="str">
        <f ca="1">IF(AND($P1293=$V$2,COUNTIFS($C$3:$C1293,$C1293,$E$3:$E1293,$E1293,$G$3:$G1293,$G1293)&lt;=1),$P1293,"")</f>
        <v/>
      </c>
    </row>
    <row r="1294" spans="1:21">
      <c r="A1294" s="991" t="str">
        <f ca="1">IFERROR(IF(COUNTIF($A$3:A1293,A1293)&lt; INDEX(TinhGia!$BH$10:$BH$81,MATCH($A1293,TinhGia!$B$10:$B$81,0)),$A1293,INDEX(TinhGia!$B$10:$B$81,MATCH($A1293,TinhGia!$B$10:$B$81,0)+1)),"")</f>
        <v/>
      </c>
      <c r="B1294" s="525" t="str">
        <f ca="1">IF(OR(A1294="",A1294=0),"",IF(COUNTIF($A$2:A1294,$A1294)=1,ROW(MauKoXoa!$C$108),$B1293+1))</f>
        <v/>
      </c>
      <c r="C1294" s="992" t="str">
        <f t="shared" ca="1" si="200"/>
        <v/>
      </c>
      <c r="D1294" s="993" t="str">
        <f t="shared" ca="1" si="201"/>
        <v/>
      </c>
      <c r="E1294" s="993" t="str">
        <f t="shared" ca="1" si="202"/>
        <v/>
      </c>
      <c r="F1294" s="992" t="str">
        <f t="shared" ca="1" si="210"/>
        <v/>
      </c>
      <c r="G1294" s="994">
        <f t="shared" ca="1" si="203"/>
        <v>0</v>
      </c>
      <c r="H1294" s="913">
        <f t="shared" ca="1" si="204"/>
        <v>0</v>
      </c>
      <c r="I1294" s="913">
        <f t="shared" ca="1" si="205"/>
        <v>0</v>
      </c>
      <c r="J1294" s="995">
        <f t="shared" ca="1" si="211"/>
        <v>0</v>
      </c>
      <c r="K1294" s="913">
        <f t="shared" ca="1" si="206"/>
        <v>0</v>
      </c>
      <c r="L1294" s="995">
        <f t="shared" ca="1" si="212"/>
        <v>0</v>
      </c>
      <c r="M1294" s="913">
        <f t="shared" ca="1" si="207"/>
        <v>0</v>
      </c>
      <c r="N1294" s="996">
        <f t="shared" ca="1" si="208"/>
        <v>0</v>
      </c>
      <c r="O1294" s="997">
        <f t="shared" ca="1" si="209"/>
        <v>0</v>
      </c>
      <c r="P1294" s="1015" t="str">
        <f ca="1">IF($C1294="","",INDEX(NVLSX!$N$2:$N$6941,MATCH($C1294,NVLSX!$E$2:$E$6941,0)))</f>
        <v/>
      </c>
      <c r="Q1294" s="1016" t="str">
        <f ca="1">IF($R1294="","",IF(XKNVLSX!$X$1="",IF($P1294=$V$7,$P1294, IF(COUNTIFS($C$2:$C1293,$C1294,$E$2:$E1293,$E1294)&gt;=1,"",$P1294)),     IF(AND(IFERROR(SEARCH($R1294,XKNVLSX!$X$1,1),0)&gt;=1,$P1294=$V$7),$P1294, IF(OR($R1294&lt;&gt;IF(IFERROR(SEARCH($R1294,XKNVLSX!$X$1,1),0)&gt;=1,$R1294,XKNVLSX!$X$1),COUNTIFS($C$2:$C1293,$C1294,$E$2:$E1293,$E1294,$Q$2:$Q1293,$P1294)&gt;=1),"",$P1294))))</f>
        <v/>
      </c>
      <c r="R1294" s="1017" t="str">
        <f ca="1">IF($A1294="","",IFERROR(INDEX(TinhGia!$BF$10:$BF$81,MATCH($A1294,TinhGia!$B$10:$B$81,0)),""))</f>
        <v/>
      </c>
      <c r="S1294" s="1012" t="str">
        <f ca="1">IF($A1294="","",IF(OR(IFERROR(SEARCH($R1294,XKNVLSX!$X$1,1),0)&gt;=1,XKNVLSX!$X$1=""),$S$2,""))</f>
        <v/>
      </c>
      <c r="T1294" s="1018" t="str">
        <f ca="1">IF($C1294="","", IF(OR($P1294=$V$1,$P1294=$V$7,COUNTIFS($C$3:$C1294,$C1294,$E$3:$E1294,$E1294)&lt;=1),$P1294,""    ))</f>
        <v/>
      </c>
      <c r="U1294" s="1019" t="str">
        <f ca="1">IF(AND($P1294=$V$2,COUNTIFS($C$3:$C1294,$C1294,$E$3:$E1294,$E1294,$G$3:$G1294,$G1294)&lt;=1),$P1294,"")</f>
        <v/>
      </c>
    </row>
    <row r="1295" spans="1:21">
      <c r="A1295" s="991" t="str">
        <f ca="1">IFERROR(IF(COUNTIF($A$3:A1294,A1294)&lt; INDEX(TinhGia!$BH$10:$BH$81,MATCH($A1294,TinhGia!$B$10:$B$81,0)),$A1294,INDEX(TinhGia!$B$10:$B$81,MATCH($A1294,TinhGia!$B$10:$B$81,0)+1)),"")</f>
        <v/>
      </c>
      <c r="B1295" s="525" t="str">
        <f ca="1">IF(OR(A1295="",A1295=0),"",IF(COUNTIF($A$2:A1295,$A1295)=1,ROW(MauKoXoa!$C$108),$B1294+1))</f>
        <v/>
      </c>
      <c r="C1295" s="992" t="str">
        <f t="shared" ca="1" si="200"/>
        <v/>
      </c>
      <c r="D1295" s="993" t="str">
        <f t="shared" ca="1" si="201"/>
        <v/>
      </c>
      <c r="E1295" s="993" t="str">
        <f t="shared" ca="1" si="202"/>
        <v/>
      </c>
      <c r="F1295" s="992" t="str">
        <f t="shared" ca="1" si="210"/>
        <v/>
      </c>
      <c r="G1295" s="994">
        <f t="shared" ca="1" si="203"/>
        <v>0</v>
      </c>
      <c r="H1295" s="913">
        <f t="shared" ca="1" si="204"/>
        <v>0</v>
      </c>
      <c r="I1295" s="913">
        <f t="shared" ca="1" si="205"/>
        <v>0</v>
      </c>
      <c r="J1295" s="995">
        <f t="shared" ca="1" si="211"/>
        <v>0</v>
      </c>
      <c r="K1295" s="913">
        <f t="shared" ca="1" si="206"/>
        <v>0</v>
      </c>
      <c r="L1295" s="995">
        <f t="shared" ca="1" si="212"/>
        <v>0</v>
      </c>
      <c r="M1295" s="913">
        <f t="shared" ca="1" si="207"/>
        <v>0</v>
      </c>
      <c r="N1295" s="996">
        <f t="shared" ca="1" si="208"/>
        <v>0</v>
      </c>
      <c r="O1295" s="997">
        <f t="shared" ca="1" si="209"/>
        <v>0</v>
      </c>
      <c r="P1295" s="1015" t="str">
        <f ca="1">IF($C1295="","",INDEX(NVLSX!$N$2:$N$6941,MATCH($C1295,NVLSX!$E$2:$E$6941,0)))</f>
        <v/>
      </c>
      <c r="Q1295" s="1016" t="str">
        <f ca="1">IF($R1295="","",IF(XKNVLSX!$X$1="",IF($P1295=$V$7,$P1295, IF(COUNTIFS($C$2:$C1294,$C1295,$E$2:$E1294,$E1295)&gt;=1,"",$P1295)),     IF(AND(IFERROR(SEARCH($R1295,XKNVLSX!$X$1,1),0)&gt;=1,$P1295=$V$7),$P1295, IF(OR($R1295&lt;&gt;IF(IFERROR(SEARCH($R1295,XKNVLSX!$X$1,1),0)&gt;=1,$R1295,XKNVLSX!$X$1),COUNTIFS($C$2:$C1294,$C1295,$E$2:$E1294,$E1295,$Q$2:$Q1294,$P1295)&gt;=1),"",$P1295))))</f>
        <v/>
      </c>
      <c r="R1295" s="1017" t="str">
        <f ca="1">IF($A1295="","",IFERROR(INDEX(TinhGia!$BF$10:$BF$81,MATCH($A1295,TinhGia!$B$10:$B$81,0)),""))</f>
        <v/>
      </c>
      <c r="S1295" s="1012" t="str">
        <f ca="1">IF($A1295="","",IF(OR(IFERROR(SEARCH($R1295,XKNVLSX!$X$1,1),0)&gt;=1,XKNVLSX!$X$1=""),$S$2,""))</f>
        <v/>
      </c>
      <c r="T1295" s="1018" t="str">
        <f ca="1">IF($C1295="","", IF(OR($P1295=$V$1,$P1295=$V$7,COUNTIFS($C$3:$C1295,$C1295,$E$3:$E1295,$E1295)&lt;=1),$P1295,""    ))</f>
        <v/>
      </c>
      <c r="U1295" s="1019" t="str">
        <f ca="1">IF(AND($P1295=$V$2,COUNTIFS($C$3:$C1295,$C1295,$E$3:$E1295,$E1295,$G$3:$G1295,$G1295)&lt;=1),$P1295,"")</f>
        <v/>
      </c>
    </row>
    <row r="1296" spans="1:21">
      <c r="A1296" s="991" t="str">
        <f ca="1">IFERROR(IF(COUNTIF($A$3:A1295,A1295)&lt; INDEX(TinhGia!$BH$10:$BH$81,MATCH($A1295,TinhGia!$B$10:$B$81,0)),$A1295,INDEX(TinhGia!$B$10:$B$81,MATCH($A1295,TinhGia!$B$10:$B$81,0)+1)),"")</f>
        <v/>
      </c>
      <c r="B1296" s="525" t="str">
        <f ca="1">IF(OR(A1296="",A1296=0),"",IF(COUNTIF($A$2:A1296,$A1296)=1,ROW(MauKoXoa!$C$108),$B1295+1))</f>
        <v/>
      </c>
      <c r="C1296" s="992" t="str">
        <f t="shared" ca="1" si="200"/>
        <v/>
      </c>
      <c r="D1296" s="993" t="str">
        <f t="shared" ca="1" si="201"/>
        <v/>
      </c>
      <c r="E1296" s="993" t="str">
        <f t="shared" ca="1" si="202"/>
        <v/>
      </c>
      <c r="F1296" s="992" t="str">
        <f t="shared" ca="1" si="210"/>
        <v/>
      </c>
      <c r="G1296" s="994">
        <f t="shared" ca="1" si="203"/>
        <v>0</v>
      </c>
      <c r="H1296" s="913">
        <f t="shared" ca="1" si="204"/>
        <v>0</v>
      </c>
      <c r="I1296" s="913">
        <f t="shared" ca="1" si="205"/>
        <v>0</v>
      </c>
      <c r="J1296" s="995">
        <f t="shared" ca="1" si="211"/>
        <v>0</v>
      </c>
      <c r="K1296" s="913">
        <f t="shared" ca="1" si="206"/>
        <v>0</v>
      </c>
      <c r="L1296" s="995">
        <f t="shared" ca="1" si="212"/>
        <v>0</v>
      </c>
      <c r="M1296" s="913">
        <f t="shared" ca="1" si="207"/>
        <v>0</v>
      </c>
      <c r="N1296" s="996">
        <f t="shared" ca="1" si="208"/>
        <v>0</v>
      </c>
      <c r="O1296" s="997">
        <f t="shared" ca="1" si="209"/>
        <v>0</v>
      </c>
      <c r="P1296" s="1015" t="str">
        <f ca="1">IF($C1296="","",INDEX(NVLSX!$N$2:$N$6941,MATCH($C1296,NVLSX!$E$2:$E$6941,0)))</f>
        <v/>
      </c>
      <c r="Q1296" s="1016" t="str">
        <f ca="1">IF($R1296="","",IF(XKNVLSX!$X$1="",IF($P1296=$V$7,$P1296, IF(COUNTIFS($C$2:$C1295,$C1296,$E$2:$E1295,$E1296)&gt;=1,"",$P1296)),     IF(AND(IFERROR(SEARCH($R1296,XKNVLSX!$X$1,1),0)&gt;=1,$P1296=$V$7),$P1296, IF(OR($R1296&lt;&gt;IF(IFERROR(SEARCH($R1296,XKNVLSX!$X$1,1),0)&gt;=1,$R1296,XKNVLSX!$X$1),COUNTIFS($C$2:$C1295,$C1296,$E$2:$E1295,$E1296,$Q$2:$Q1295,$P1296)&gt;=1),"",$P1296))))</f>
        <v/>
      </c>
      <c r="R1296" s="1017" t="str">
        <f ca="1">IF($A1296="","",IFERROR(INDEX(TinhGia!$BF$10:$BF$81,MATCH($A1296,TinhGia!$B$10:$B$81,0)),""))</f>
        <v/>
      </c>
      <c r="S1296" s="1012" t="str">
        <f ca="1">IF($A1296="","",IF(OR(IFERROR(SEARCH($R1296,XKNVLSX!$X$1,1),0)&gt;=1,XKNVLSX!$X$1=""),$S$2,""))</f>
        <v/>
      </c>
      <c r="T1296" s="1018" t="str">
        <f ca="1">IF($C1296="","", IF(OR($P1296=$V$1,$P1296=$V$7,COUNTIFS($C$3:$C1296,$C1296,$E$3:$E1296,$E1296)&lt;=1),$P1296,""    ))</f>
        <v/>
      </c>
      <c r="U1296" s="1019" t="str">
        <f ca="1">IF(AND($P1296=$V$2,COUNTIFS($C$3:$C1296,$C1296,$E$3:$E1296,$E1296,$G$3:$G1296,$G1296)&lt;=1),$P1296,"")</f>
        <v/>
      </c>
    </row>
    <row r="1297" spans="1:21">
      <c r="A1297" s="991" t="str">
        <f ca="1">IFERROR(IF(COUNTIF($A$3:A1296,A1296)&lt; INDEX(TinhGia!$BH$10:$BH$81,MATCH($A1296,TinhGia!$B$10:$B$81,0)),$A1296,INDEX(TinhGia!$B$10:$B$81,MATCH($A1296,TinhGia!$B$10:$B$81,0)+1)),"")</f>
        <v/>
      </c>
      <c r="B1297" s="525" t="str">
        <f ca="1">IF(OR(A1297="",A1297=0),"",IF(COUNTIF($A$2:A1297,$A1297)=1,ROW(MauKoXoa!$C$108),$B1296+1))</f>
        <v/>
      </c>
      <c r="C1297" s="992" t="str">
        <f t="shared" ca="1" si="200"/>
        <v/>
      </c>
      <c r="D1297" s="993" t="str">
        <f t="shared" ca="1" si="201"/>
        <v/>
      </c>
      <c r="E1297" s="993" t="str">
        <f t="shared" ca="1" si="202"/>
        <v/>
      </c>
      <c r="F1297" s="992" t="str">
        <f t="shared" ca="1" si="210"/>
        <v/>
      </c>
      <c r="G1297" s="994">
        <f t="shared" ca="1" si="203"/>
        <v>0</v>
      </c>
      <c r="H1297" s="913">
        <f t="shared" ca="1" si="204"/>
        <v>0</v>
      </c>
      <c r="I1297" s="913">
        <f t="shared" ca="1" si="205"/>
        <v>0</v>
      </c>
      <c r="J1297" s="995">
        <f t="shared" ca="1" si="211"/>
        <v>0</v>
      </c>
      <c r="K1297" s="913">
        <f t="shared" ca="1" si="206"/>
        <v>0</v>
      </c>
      <c r="L1297" s="995">
        <f t="shared" ca="1" si="212"/>
        <v>0</v>
      </c>
      <c r="M1297" s="913">
        <f t="shared" ca="1" si="207"/>
        <v>0</v>
      </c>
      <c r="N1297" s="996">
        <f t="shared" ca="1" si="208"/>
        <v>0</v>
      </c>
      <c r="O1297" s="997">
        <f t="shared" ca="1" si="209"/>
        <v>0</v>
      </c>
      <c r="P1297" s="1015" t="str">
        <f ca="1">IF($C1297="","",INDEX(NVLSX!$N$2:$N$6941,MATCH($C1297,NVLSX!$E$2:$E$6941,0)))</f>
        <v/>
      </c>
      <c r="Q1297" s="1016" t="str">
        <f ca="1">IF($R1297="","",IF(XKNVLSX!$X$1="",IF($P1297=$V$7,$P1297, IF(COUNTIFS($C$2:$C1296,$C1297,$E$2:$E1296,$E1297)&gt;=1,"",$P1297)),     IF(AND(IFERROR(SEARCH($R1297,XKNVLSX!$X$1,1),0)&gt;=1,$P1297=$V$7),$P1297, IF(OR($R1297&lt;&gt;IF(IFERROR(SEARCH($R1297,XKNVLSX!$X$1,1),0)&gt;=1,$R1297,XKNVLSX!$X$1),COUNTIFS($C$2:$C1296,$C1297,$E$2:$E1296,$E1297,$Q$2:$Q1296,$P1297)&gt;=1),"",$P1297))))</f>
        <v/>
      </c>
      <c r="R1297" s="1017" t="str">
        <f ca="1">IF($A1297="","",IFERROR(INDEX(TinhGia!$BF$10:$BF$81,MATCH($A1297,TinhGia!$B$10:$B$81,0)),""))</f>
        <v/>
      </c>
      <c r="S1297" s="1012" t="str">
        <f ca="1">IF($A1297="","",IF(OR(IFERROR(SEARCH($R1297,XKNVLSX!$X$1,1),0)&gt;=1,XKNVLSX!$X$1=""),$S$2,""))</f>
        <v/>
      </c>
      <c r="T1297" s="1018" t="str">
        <f ca="1">IF($C1297="","", IF(OR($P1297=$V$1,$P1297=$V$7,COUNTIFS($C$3:$C1297,$C1297,$E$3:$E1297,$E1297)&lt;=1),$P1297,""    ))</f>
        <v/>
      </c>
      <c r="U1297" s="1019" t="str">
        <f ca="1">IF(AND($P1297=$V$2,COUNTIFS($C$3:$C1297,$C1297,$E$3:$E1297,$E1297,$G$3:$G1297,$G1297)&lt;=1),$P1297,"")</f>
        <v/>
      </c>
    </row>
    <row r="1298" spans="1:21">
      <c r="A1298" s="991" t="str">
        <f ca="1">IFERROR(IF(COUNTIF($A$3:A1297,A1297)&lt; INDEX(TinhGia!$BH$10:$BH$81,MATCH($A1297,TinhGia!$B$10:$B$81,0)),$A1297,INDEX(TinhGia!$B$10:$B$81,MATCH($A1297,TinhGia!$B$10:$B$81,0)+1)),"")</f>
        <v/>
      </c>
      <c r="B1298" s="525" t="str">
        <f ca="1">IF(OR(A1298="",A1298=0),"",IF(COUNTIF($A$2:A1298,$A1298)=1,ROW(MauKoXoa!$C$108),$B1297+1))</f>
        <v/>
      </c>
      <c r="C1298" s="992" t="str">
        <f t="shared" ca="1" si="200"/>
        <v/>
      </c>
      <c r="D1298" s="993" t="str">
        <f t="shared" ca="1" si="201"/>
        <v/>
      </c>
      <c r="E1298" s="993" t="str">
        <f t="shared" ca="1" si="202"/>
        <v/>
      </c>
      <c r="F1298" s="992" t="str">
        <f t="shared" ca="1" si="210"/>
        <v/>
      </c>
      <c r="G1298" s="994">
        <f t="shared" ca="1" si="203"/>
        <v>0</v>
      </c>
      <c r="H1298" s="913">
        <f t="shared" ca="1" si="204"/>
        <v>0</v>
      </c>
      <c r="I1298" s="913">
        <f t="shared" ca="1" si="205"/>
        <v>0</v>
      </c>
      <c r="J1298" s="995">
        <f t="shared" ca="1" si="211"/>
        <v>0</v>
      </c>
      <c r="K1298" s="913">
        <f t="shared" ca="1" si="206"/>
        <v>0</v>
      </c>
      <c r="L1298" s="995">
        <f t="shared" ca="1" si="212"/>
        <v>0</v>
      </c>
      <c r="M1298" s="913">
        <f t="shared" ca="1" si="207"/>
        <v>0</v>
      </c>
      <c r="N1298" s="996">
        <f t="shared" ca="1" si="208"/>
        <v>0</v>
      </c>
      <c r="O1298" s="997">
        <f t="shared" ca="1" si="209"/>
        <v>0</v>
      </c>
      <c r="P1298" s="1015" t="str">
        <f ca="1">IF($C1298="","",INDEX(NVLSX!$N$2:$N$6941,MATCH($C1298,NVLSX!$E$2:$E$6941,0)))</f>
        <v/>
      </c>
      <c r="Q1298" s="1016" t="str">
        <f ca="1">IF($R1298="","",IF(XKNVLSX!$X$1="",IF($P1298=$V$7,$P1298, IF(COUNTIFS($C$2:$C1297,$C1298,$E$2:$E1297,$E1298)&gt;=1,"",$P1298)),     IF(AND(IFERROR(SEARCH($R1298,XKNVLSX!$X$1,1),0)&gt;=1,$P1298=$V$7),$P1298, IF(OR($R1298&lt;&gt;IF(IFERROR(SEARCH($R1298,XKNVLSX!$X$1,1),0)&gt;=1,$R1298,XKNVLSX!$X$1),COUNTIFS($C$2:$C1297,$C1298,$E$2:$E1297,$E1298,$Q$2:$Q1297,$P1298)&gt;=1),"",$P1298))))</f>
        <v/>
      </c>
      <c r="R1298" s="1017" t="str">
        <f ca="1">IF($A1298="","",IFERROR(INDEX(TinhGia!$BF$10:$BF$81,MATCH($A1298,TinhGia!$B$10:$B$81,0)),""))</f>
        <v/>
      </c>
      <c r="S1298" s="1012" t="str">
        <f ca="1">IF($A1298="","",IF(OR(IFERROR(SEARCH($R1298,XKNVLSX!$X$1,1),0)&gt;=1,XKNVLSX!$X$1=""),$S$2,""))</f>
        <v/>
      </c>
      <c r="T1298" s="1018" t="str">
        <f ca="1">IF($C1298="","", IF(OR($P1298=$V$1,$P1298=$V$7,COUNTIFS($C$3:$C1298,$C1298,$E$3:$E1298,$E1298)&lt;=1),$P1298,""    ))</f>
        <v/>
      </c>
      <c r="U1298" s="1019" t="str">
        <f ca="1">IF(AND($P1298=$V$2,COUNTIFS($C$3:$C1298,$C1298,$E$3:$E1298,$E1298,$G$3:$G1298,$G1298)&lt;=1),$P1298,"")</f>
        <v/>
      </c>
    </row>
    <row r="1299" spans="1:21">
      <c r="A1299" s="991" t="str">
        <f ca="1">IFERROR(IF(COUNTIF($A$3:A1298,A1298)&lt; INDEX(TinhGia!$BH$10:$BH$81,MATCH($A1298,TinhGia!$B$10:$B$81,0)),$A1298,INDEX(TinhGia!$B$10:$B$81,MATCH($A1298,TinhGia!$B$10:$B$81,0)+1)),"")</f>
        <v/>
      </c>
      <c r="B1299" s="525" t="str">
        <f ca="1">IF(OR(A1299="",A1299=0),"",IF(COUNTIF($A$2:A1299,$A1299)=1,ROW(MauKoXoa!$C$108),$B1298+1))</f>
        <v/>
      </c>
      <c r="C1299" s="992" t="str">
        <f t="shared" ca="1" si="200"/>
        <v/>
      </c>
      <c r="D1299" s="993" t="str">
        <f t="shared" ca="1" si="201"/>
        <v/>
      </c>
      <c r="E1299" s="993" t="str">
        <f t="shared" ca="1" si="202"/>
        <v/>
      </c>
      <c r="F1299" s="992" t="str">
        <f t="shared" ca="1" si="210"/>
        <v/>
      </c>
      <c r="G1299" s="994">
        <f t="shared" ca="1" si="203"/>
        <v>0</v>
      </c>
      <c r="H1299" s="913">
        <f t="shared" ca="1" si="204"/>
        <v>0</v>
      </c>
      <c r="I1299" s="913">
        <f t="shared" ca="1" si="205"/>
        <v>0</v>
      </c>
      <c r="J1299" s="995">
        <f t="shared" ca="1" si="211"/>
        <v>0</v>
      </c>
      <c r="K1299" s="913">
        <f t="shared" ca="1" si="206"/>
        <v>0</v>
      </c>
      <c r="L1299" s="995">
        <f t="shared" ca="1" si="212"/>
        <v>0</v>
      </c>
      <c r="M1299" s="913">
        <f t="shared" ca="1" si="207"/>
        <v>0</v>
      </c>
      <c r="N1299" s="996">
        <f t="shared" ca="1" si="208"/>
        <v>0</v>
      </c>
      <c r="O1299" s="997">
        <f t="shared" ca="1" si="209"/>
        <v>0</v>
      </c>
      <c r="P1299" s="1015" t="str">
        <f ca="1">IF($C1299="","",INDEX(NVLSX!$N$2:$N$6941,MATCH($C1299,NVLSX!$E$2:$E$6941,0)))</f>
        <v/>
      </c>
      <c r="Q1299" s="1016" t="str">
        <f ca="1">IF($R1299="","",IF(XKNVLSX!$X$1="",IF($P1299=$V$7,$P1299, IF(COUNTIFS($C$2:$C1298,$C1299,$E$2:$E1298,$E1299)&gt;=1,"",$P1299)),     IF(AND(IFERROR(SEARCH($R1299,XKNVLSX!$X$1,1),0)&gt;=1,$P1299=$V$7),$P1299, IF(OR($R1299&lt;&gt;IF(IFERROR(SEARCH($R1299,XKNVLSX!$X$1,1),0)&gt;=1,$R1299,XKNVLSX!$X$1),COUNTIFS($C$2:$C1298,$C1299,$E$2:$E1298,$E1299,$Q$2:$Q1298,$P1299)&gt;=1),"",$P1299))))</f>
        <v/>
      </c>
      <c r="R1299" s="1017" t="str">
        <f ca="1">IF($A1299="","",IFERROR(INDEX(TinhGia!$BF$10:$BF$81,MATCH($A1299,TinhGia!$B$10:$B$81,0)),""))</f>
        <v/>
      </c>
      <c r="S1299" s="1012" t="str">
        <f ca="1">IF($A1299="","",IF(OR(IFERROR(SEARCH($R1299,XKNVLSX!$X$1,1),0)&gt;=1,XKNVLSX!$X$1=""),$S$2,""))</f>
        <v/>
      </c>
      <c r="T1299" s="1018" t="str">
        <f ca="1">IF($C1299="","", IF(OR($P1299=$V$1,$P1299=$V$7,COUNTIFS($C$3:$C1299,$C1299,$E$3:$E1299,$E1299)&lt;=1),$P1299,""    ))</f>
        <v/>
      </c>
      <c r="U1299" s="1019" t="str">
        <f ca="1">IF(AND($P1299=$V$2,COUNTIFS($C$3:$C1299,$C1299,$E$3:$E1299,$E1299,$G$3:$G1299,$G1299)&lt;=1),$P1299,"")</f>
        <v/>
      </c>
    </row>
    <row r="1300" spans="1:21">
      <c r="A1300" s="991" t="str">
        <f ca="1">IFERROR(IF(COUNTIF($A$3:A1299,A1299)&lt; INDEX(TinhGia!$BH$10:$BH$81,MATCH($A1299,TinhGia!$B$10:$B$81,0)),$A1299,INDEX(TinhGia!$B$10:$B$81,MATCH($A1299,TinhGia!$B$10:$B$81,0)+1)),"")</f>
        <v/>
      </c>
      <c r="B1300" s="525" t="str">
        <f ca="1">IF(OR(A1300="",A1300=0),"",IF(COUNTIF($A$2:A1300,$A1300)=1,ROW(MauKoXoa!$C$108),$B1299+1))</f>
        <v/>
      </c>
      <c r="C1300" s="992" t="str">
        <f t="shared" ca="1" si="200"/>
        <v/>
      </c>
      <c r="D1300" s="993" t="str">
        <f t="shared" ca="1" si="201"/>
        <v/>
      </c>
      <c r="E1300" s="993" t="str">
        <f t="shared" ca="1" si="202"/>
        <v/>
      </c>
      <c r="F1300" s="992" t="str">
        <f t="shared" ca="1" si="210"/>
        <v/>
      </c>
      <c r="G1300" s="994">
        <f t="shared" ca="1" si="203"/>
        <v>0</v>
      </c>
      <c r="H1300" s="913">
        <f t="shared" ca="1" si="204"/>
        <v>0</v>
      </c>
      <c r="I1300" s="913">
        <f t="shared" ca="1" si="205"/>
        <v>0</v>
      </c>
      <c r="J1300" s="995">
        <f t="shared" ca="1" si="211"/>
        <v>0</v>
      </c>
      <c r="K1300" s="913">
        <f t="shared" ca="1" si="206"/>
        <v>0</v>
      </c>
      <c r="L1300" s="995">
        <f t="shared" ca="1" si="212"/>
        <v>0</v>
      </c>
      <c r="M1300" s="913">
        <f t="shared" ca="1" si="207"/>
        <v>0</v>
      </c>
      <c r="N1300" s="996">
        <f t="shared" ca="1" si="208"/>
        <v>0</v>
      </c>
      <c r="O1300" s="997">
        <f t="shared" ca="1" si="209"/>
        <v>0</v>
      </c>
      <c r="P1300" s="1015" t="str">
        <f ca="1">IF($C1300="","",INDEX(NVLSX!$N$2:$N$6941,MATCH($C1300,NVLSX!$E$2:$E$6941,0)))</f>
        <v/>
      </c>
      <c r="Q1300" s="1016" t="str">
        <f ca="1">IF($R1300="","",IF(XKNVLSX!$X$1="",IF($P1300=$V$7,$P1300, IF(COUNTIFS($C$2:$C1299,$C1300,$E$2:$E1299,$E1300)&gt;=1,"",$P1300)),     IF(AND(IFERROR(SEARCH($R1300,XKNVLSX!$X$1,1),0)&gt;=1,$P1300=$V$7),$P1300, IF(OR($R1300&lt;&gt;IF(IFERROR(SEARCH($R1300,XKNVLSX!$X$1,1),0)&gt;=1,$R1300,XKNVLSX!$X$1),COUNTIFS($C$2:$C1299,$C1300,$E$2:$E1299,$E1300,$Q$2:$Q1299,$P1300)&gt;=1),"",$P1300))))</f>
        <v/>
      </c>
      <c r="R1300" s="1017" t="str">
        <f ca="1">IF($A1300="","",IFERROR(INDEX(TinhGia!$BF$10:$BF$81,MATCH($A1300,TinhGia!$B$10:$B$81,0)),""))</f>
        <v/>
      </c>
      <c r="S1300" s="1012" t="str">
        <f ca="1">IF($A1300="","",IF(OR(IFERROR(SEARCH($R1300,XKNVLSX!$X$1,1),0)&gt;=1,XKNVLSX!$X$1=""),$S$2,""))</f>
        <v/>
      </c>
      <c r="T1300" s="1018" t="str">
        <f ca="1">IF($C1300="","", IF(OR($P1300=$V$1,$P1300=$V$7,COUNTIFS($C$3:$C1300,$C1300,$E$3:$E1300,$E1300)&lt;=1),$P1300,""    ))</f>
        <v/>
      </c>
      <c r="U1300" s="1019" t="str">
        <f ca="1">IF(AND($P1300=$V$2,COUNTIFS($C$3:$C1300,$C1300,$E$3:$E1300,$E1300,$G$3:$G1300,$G1300)&lt;=1),$P1300,"")</f>
        <v/>
      </c>
    </row>
    <row r="1301" spans="1:21">
      <c r="A1301" s="991" t="str">
        <f ca="1">IFERROR(IF(COUNTIF($A$3:A1300,A1300)&lt; INDEX(TinhGia!$BH$10:$BH$81,MATCH($A1300,TinhGia!$B$10:$B$81,0)),$A1300,INDEX(TinhGia!$B$10:$B$81,MATCH($A1300,TinhGia!$B$10:$B$81,0)+1)),"")</f>
        <v/>
      </c>
      <c r="B1301" s="525" t="str">
        <f ca="1">IF(OR(A1301="",A1301=0),"",IF(COUNTIF($A$2:A1301,$A1301)=1,ROW(MauKoXoa!$C$108),$B1300+1))</f>
        <v/>
      </c>
      <c r="C1301" s="992" t="str">
        <f t="shared" ca="1" si="200"/>
        <v/>
      </c>
      <c r="D1301" s="993" t="str">
        <f t="shared" ca="1" si="201"/>
        <v/>
      </c>
      <c r="E1301" s="993" t="str">
        <f t="shared" ca="1" si="202"/>
        <v/>
      </c>
      <c r="F1301" s="992" t="str">
        <f t="shared" ca="1" si="210"/>
        <v/>
      </c>
      <c r="G1301" s="994">
        <f t="shared" ca="1" si="203"/>
        <v>0</v>
      </c>
      <c r="H1301" s="913">
        <f t="shared" ca="1" si="204"/>
        <v>0</v>
      </c>
      <c r="I1301" s="913">
        <f t="shared" ca="1" si="205"/>
        <v>0</v>
      </c>
      <c r="J1301" s="995">
        <f t="shared" ca="1" si="211"/>
        <v>0</v>
      </c>
      <c r="K1301" s="913">
        <f t="shared" ca="1" si="206"/>
        <v>0</v>
      </c>
      <c r="L1301" s="995">
        <f t="shared" ca="1" si="212"/>
        <v>0</v>
      </c>
      <c r="M1301" s="913">
        <f t="shared" ca="1" si="207"/>
        <v>0</v>
      </c>
      <c r="N1301" s="996">
        <f t="shared" ca="1" si="208"/>
        <v>0</v>
      </c>
      <c r="O1301" s="997">
        <f t="shared" ca="1" si="209"/>
        <v>0</v>
      </c>
      <c r="P1301" s="1015" t="str">
        <f ca="1">IF($C1301="","",INDEX(NVLSX!$N$2:$N$6941,MATCH($C1301,NVLSX!$E$2:$E$6941,0)))</f>
        <v/>
      </c>
      <c r="Q1301" s="1016" t="str">
        <f ca="1">IF($R1301="","",IF(XKNVLSX!$X$1="",IF($P1301=$V$7,$P1301, IF(COUNTIFS($C$2:$C1300,$C1301,$E$2:$E1300,$E1301)&gt;=1,"",$P1301)),     IF(AND(IFERROR(SEARCH($R1301,XKNVLSX!$X$1,1),0)&gt;=1,$P1301=$V$7),$P1301, IF(OR($R1301&lt;&gt;IF(IFERROR(SEARCH($R1301,XKNVLSX!$X$1,1),0)&gt;=1,$R1301,XKNVLSX!$X$1),COUNTIFS($C$2:$C1300,$C1301,$E$2:$E1300,$E1301,$Q$2:$Q1300,$P1301)&gt;=1),"",$P1301))))</f>
        <v/>
      </c>
      <c r="R1301" s="1017" t="str">
        <f ca="1">IF($A1301="","",IFERROR(INDEX(TinhGia!$BF$10:$BF$81,MATCH($A1301,TinhGia!$B$10:$B$81,0)),""))</f>
        <v/>
      </c>
      <c r="S1301" s="1012" t="str">
        <f ca="1">IF($A1301="","",IF(OR(IFERROR(SEARCH($R1301,XKNVLSX!$X$1,1),0)&gt;=1,XKNVLSX!$X$1=""),$S$2,""))</f>
        <v/>
      </c>
      <c r="T1301" s="1018" t="str">
        <f ca="1">IF($C1301="","", IF(OR($P1301=$V$1,$P1301=$V$7,COUNTIFS($C$3:$C1301,$C1301,$E$3:$E1301,$E1301)&lt;=1),$P1301,""    ))</f>
        <v/>
      </c>
      <c r="U1301" s="1019" t="str">
        <f ca="1">IF(AND($P1301=$V$2,COUNTIFS($C$3:$C1301,$C1301,$E$3:$E1301,$E1301,$G$3:$G1301,$G1301)&lt;=1),$P1301,"")</f>
        <v/>
      </c>
    </row>
    <row r="1302" spans="1:21">
      <c r="A1302" s="991" t="str">
        <f ca="1">IFERROR(IF(COUNTIF($A$3:A1301,A1301)&lt; INDEX(TinhGia!$BH$10:$BH$81,MATCH($A1301,TinhGia!$B$10:$B$81,0)),$A1301,INDEX(TinhGia!$B$10:$B$81,MATCH($A1301,TinhGia!$B$10:$B$81,0)+1)),"")</f>
        <v/>
      </c>
      <c r="B1302" s="525" t="str">
        <f ca="1">IF(OR(A1302="",A1302=0),"",IF(COUNTIF($A$2:A1302,$A1302)=1,ROW(MauKoXoa!$C$108),$B1301+1))</f>
        <v/>
      </c>
      <c r="C1302" s="992" t="str">
        <f t="shared" ca="1" si="200"/>
        <v/>
      </c>
      <c r="D1302" s="993" t="str">
        <f t="shared" ca="1" si="201"/>
        <v/>
      </c>
      <c r="E1302" s="993" t="str">
        <f t="shared" ca="1" si="202"/>
        <v/>
      </c>
      <c r="F1302" s="992" t="str">
        <f t="shared" ca="1" si="210"/>
        <v/>
      </c>
      <c r="G1302" s="994">
        <f t="shared" ca="1" si="203"/>
        <v>0</v>
      </c>
      <c r="H1302" s="913">
        <f t="shared" ca="1" si="204"/>
        <v>0</v>
      </c>
      <c r="I1302" s="913">
        <f t="shared" ca="1" si="205"/>
        <v>0</v>
      </c>
      <c r="J1302" s="995">
        <f t="shared" ca="1" si="211"/>
        <v>0</v>
      </c>
      <c r="K1302" s="913">
        <f t="shared" ca="1" si="206"/>
        <v>0</v>
      </c>
      <c r="L1302" s="995">
        <f t="shared" ca="1" si="212"/>
        <v>0</v>
      </c>
      <c r="M1302" s="913">
        <f t="shared" ca="1" si="207"/>
        <v>0</v>
      </c>
      <c r="N1302" s="996">
        <f t="shared" ca="1" si="208"/>
        <v>0</v>
      </c>
      <c r="O1302" s="997">
        <f t="shared" ca="1" si="209"/>
        <v>0</v>
      </c>
      <c r="P1302" s="1015" t="str">
        <f ca="1">IF($C1302="","",INDEX(NVLSX!$N$2:$N$6941,MATCH($C1302,NVLSX!$E$2:$E$6941,0)))</f>
        <v/>
      </c>
      <c r="Q1302" s="1016" t="str">
        <f ca="1">IF($R1302="","",IF(XKNVLSX!$X$1="",IF($P1302=$V$7,$P1302, IF(COUNTIFS($C$2:$C1301,$C1302,$E$2:$E1301,$E1302)&gt;=1,"",$P1302)),     IF(AND(IFERROR(SEARCH($R1302,XKNVLSX!$X$1,1),0)&gt;=1,$P1302=$V$7),$P1302, IF(OR($R1302&lt;&gt;IF(IFERROR(SEARCH($R1302,XKNVLSX!$X$1,1),0)&gt;=1,$R1302,XKNVLSX!$X$1),COUNTIFS($C$2:$C1301,$C1302,$E$2:$E1301,$E1302,$Q$2:$Q1301,$P1302)&gt;=1),"",$P1302))))</f>
        <v/>
      </c>
      <c r="R1302" s="1017" t="str">
        <f ca="1">IF($A1302="","",IFERROR(INDEX(TinhGia!$BF$10:$BF$81,MATCH($A1302,TinhGia!$B$10:$B$81,0)),""))</f>
        <v/>
      </c>
      <c r="S1302" s="1012" t="str">
        <f ca="1">IF($A1302="","",IF(OR(IFERROR(SEARCH($R1302,XKNVLSX!$X$1,1),0)&gt;=1,XKNVLSX!$X$1=""),$S$2,""))</f>
        <v/>
      </c>
      <c r="T1302" s="1018" t="str">
        <f ca="1">IF($C1302="","", IF(OR($P1302=$V$1,$P1302=$V$7,COUNTIFS($C$3:$C1302,$C1302,$E$3:$E1302,$E1302)&lt;=1),$P1302,""    ))</f>
        <v/>
      </c>
      <c r="U1302" s="1019" t="str">
        <f ca="1">IF(AND($P1302=$V$2,COUNTIFS($C$3:$C1302,$C1302,$E$3:$E1302,$E1302,$G$3:$G1302,$G1302)&lt;=1),$P1302,"")</f>
        <v/>
      </c>
    </row>
    <row r="1303" spans="1:21">
      <c r="A1303" s="991" t="str">
        <f ca="1">IFERROR(IF(COUNTIF($A$3:A1302,A1302)&lt; INDEX(TinhGia!$BH$10:$BH$81,MATCH($A1302,TinhGia!$B$10:$B$81,0)),$A1302,INDEX(TinhGia!$B$10:$B$81,MATCH($A1302,TinhGia!$B$10:$B$81,0)+1)),"")</f>
        <v/>
      </c>
      <c r="B1303" s="525" t="str">
        <f ca="1">IF(OR(A1303="",A1303=0),"",IF(COUNTIF($A$2:A1303,$A1303)=1,ROW(MauKoXoa!$C$108),$B1302+1))</f>
        <v/>
      </c>
      <c r="C1303" s="992" t="str">
        <f t="shared" ca="1" si="200"/>
        <v/>
      </c>
      <c r="D1303" s="993" t="str">
        <f t="shared" ca="1" si="201"/>
        <v/>
      </c>
      <c r="E1303" s="993" t="str">
        <f t="shared" ca="1" si="202"/>
        <v/>
      </c>
      <c r="F1303" s="992" t="str">
        <f t="shared" ca="1" si="210"/>
        <v/>
      </c>
      <c r="G1303" s="994">
        <f t="shared" ca="1" si="203"/>
        <v>0</v>
      </c>
      <c r="H1303" s="913">
        <f t="shared" ca="1" si="204"/>
        <v>0</v>
      </c>
      <c r="I1303" s="913">
        <f t="shared" ca="1" si="205"/>
        <v>0</v>
      </c>
      <c r="J1303" s="995">
        <f t="shared" ca="1" si="211"/>
        <v>0</v>
      </c>
      <c r="K1303" s="913">
        <f t="shared" ca="1" si="206"/>
        <v>0</v>
      </c>
      <c r="L1303" s="995">
        <f t="shared" ca="1" si="212"/>
        <v>0</v>
      </c>
      <c r="M1303" s="913">
        <f t="shared" ca="1" si="207"/>
        <v>0</v>
      </c>
      <c r="N1303" s="996">
        <f t="shared" ca="1" si="208"/>
        <v>0</v>
      </c>
      <c r="O1303" s="997">
        <f t="shared" ca="1" si="209"/>
        <v>0</v>
      </c>
      <c r="P1303" s="1015" t="str">
        <f ca="1">IF($C1303="","",INDEX(NVLSX!$N$2:$N$6941,MATCH($C1303,NVLSX!$E$2:$E$6941,0)))</f>
        <v/>
      </c>
      <c r="Q1303" s="1016" t="str">
        <f ca="1">IF($R1303="","",IF(XKNVLSX!$X$1="",IF($P1303=$V$7,$P1303, IF(COUNTIFS($C$2:$C1302,$C1303,$E$2:$E1302,$E1303)&gt;=1,"",$P1303)),     IF(AND(IFERROR(SEARCH($R1303,XKNVLSX!$X$1,1),0)&gt;=1,$P1303=$V$7),$P1303, IF(OR($R1303&lt;&gt;IF(IFERROR(SEARCH($R1303,XKNVLSX!$X$1,1),0)&gt;=1,$R1303,XKNVLSX!$X$1),COUNTIFS($C$2:$C1302,$C1303,$E$2:$E1302,$E1303,$Q$2:$Q1302,$P1303)&gt;=1),"",$P1303))))</f>
        <v/>
      </c>
      <c r="R1303" s="1017" t="str">
        <f ca="1">IF($A1303="","",IFERROR(INDEX(TinhGia!$BF$10:$BF$81,MATCH($A1303,TinhGia!$B$10:$B$81,0)),""))</f>
        <v/>
      </c>
      <c r="S1303" s="1012" t="str">
        <f ca="1">IF($A1303="","",IF(OR(IFERROR(SEARCH($R1303,XKNVLSX!$X$1,1),0)&gt;=1,XKNVLSX!$X$1=""),$S$2,""))</f>
        <v/>
      </c>
      <c r="T1303" s="1018" t="str">
        <f ca="1">IF($C1303="","", IF(OR($P1303=$V$1,$P1303=$V$7,COUNTIFS($C$3:$C1303,$C1303,$E$3:$E1303,$E1303)&lt;=1),$P1303,""    ))</f>
        <v/>
      </c>
      <c r="U1303" s="1019" t="str">
        <f ca="1">IF(AND($P1303=$V$2,COUNTIFS($C$3:$C1303,$C1303,$E$3:$E1303,$E1303,$G$3:$G1303,$G1303)&lt;=1),$P1303,"")</f>
        <v/>
      </c>
    </row>
    <row r="1304" spans="1:21">
      <c r="A1304" s="991" t="str">
        <f ca="1">IFERROR(IF(COUNTIF($A$3:A1303,A1303)&lt; INDEX(TinhGia!$BH$10:$BH$81,MATCH($A1303,TinhGia!$B$10:$B$81,0)),$A1303,INDEX(TinhGia!$B$10:$B$81,MATCH($A1303,TinhGia!$B$10:$B$81,0)+1)),"")</f>
        <v/>
      </c>
      <c r="B1304" s="525" t="str">
        <f ca="1">IF(OR(A1304="",A1304=0),"",IF(COUNTIF($A$2:A1304,$A1304)=1,ROW(MauKoXoa!$C$108),$B1303+1))</f>
        <v/>
      </c>
      <c r="C1304" s="992" t="str">
        <f t="shared" ca="1" si="200"/>
        <v/>
      </c>
      <c r="D1304" s="993" t="str">
        <f t="shared" ca="1" si="201"/>
        <v/>
      </c>
      <c r="E1304" s="993" t="str">
        <f t="shared" ca="1" si="202"/>
        <v/>
      </c>
      <c r="F1304" s="992" t="str">
        <f t="shared" ca="1" si="210"/>
        <v/>
      </c>
      <c r="G1304" s="994">
        <f t="shared" ca="1" si="203"/>
        <v>0</v>
      </c>
      <c r="H1304" s="913">
        <f t="shared" ca="1" si="204"/>
        <v>0</v>
      </c>
      <c r="I1304" s="913">
        <f t="shared" ca="1" si="205"/>
        <v>0</v>
      </c>
      <c r="J1304" s="995">
        <f t="shared" ca="1" si="211"/>
        <v>0</v>
      </c>
      <c r="K1304" s="913">
        <f t="shared" ca="1" si="206"/>
        <v>0</v>
      </c>
      <c r="L1304" s="995">
        <f t="shared" ca="1" si="212"/>
        <v>0</v>
      </c>
      <c r="M1304" s="913">
        <f t="shared" ca="1" si="207"/>
        <v>0</v>
      </c>
      <c r="N1304" s="996">
        <f t="shared" ca="1" si="208"/>
        <v>0</v>
      </c>
      <c r="O1304" s="997">
        <f t="shared" ca="1" si="209"/>
        <v>0</v>
      </c>
      <c r="P1304" s="1015" t="str">
        <f ca="1">IF($C1304="","",INDEX(NVLSX!$N$2:$N$6941,MATCH($C1304,NVLSX!$E$2:$E$6941,0)))</f>
        <v/>
      </c>
      <c r="Q1304" s="1016" t="str">
        <f ca="1">IF($R1304="","",IF(XKNVLSX!$X$1="",IF($P1304=$V$7,$P1304, IF(COUNTIFS($C$2:$C1303,$C1304,$E$2:$E1303,$E1304)&gt;=1,"",$P1304)),     IF(AND(IFERROR(SEARCH($R1304,XKNVLSX!$X$1,1),0)&gt;=1,$P1304=$V$7),$P1304, IF(OR($R1304&lt;&gt;IF(IFERROR(SEARCH($R1304,XKNVLSX!$X$1,1),0)&gt;=1,$R1304,XKNVLSX!$X$1),COUNTIFS($C$2:$C1303,$C1304,$E$2:$E1303,$E1304,$Q$2:$Q1303,$P1304)&gt;=1),"",$P1304))))</f>
        <v/>
      </c>
      <c r="R1304" s="1017" t="str">
        <f ca="1">IF($A1304="","",IFERROR(INDEX(TinhGia!$BF$10:$BF$81,MATCH($A1304,TinhGia!$B$10:$B$81,0)),""))</f>
        <v/>
      </c>
      <c r="S1304" s="1012" t="str">
        <f ca="1">IF($A1304="","",IF(OR(IFERROR(SEARCH($R1304,XKNVLSX!$X$1,1),0)&gt;=1,XKNVLSX!$X$1=""),$S$2,""))</f>
        <v/>
      </c>
      <c r="T1304" s="1018" t="str">
        <f ca="1">IF($C1304="","", IF(OR($P1304=$V$1,$P1304=$V$7,COUNTIFS($C$3:$C1304,$C1304,$E$3:$E1304,$E1304)&lt;=1),$P1304,""    ))</f>
        <v/>
      </c>
      <c r="U1304" s="1019" t="str">
        <f ca="1">IF(AND($P1304=$V$2,COUNTIFS($C$3:$C1304,$C1304,$E$3:$E1304,$E1304,$G$3:$G1304,$G1304)&lt;=1),$P1304,"")</f>
        <v/>
      </c>
    </row>
    <row r="1305" spans="1:21">
      <c r="A1305" s="991" t="str">
        <f ca="1">IFERROR(IF(COUNTIF($A$3:A1304,A1304)&lt; INDEX(TinhGia!$BH$10:$BH$81,MATCH($A1304,TinhGia!$B$10:$B$81,0)),$A1304,INDEX(TinhGia!$B$10:$B$81,MATCH($A1304,TinhGia!$B$10:$B$81,0)+1)),"")</f>
        <v/>
      </c>
      <c r="B1305" s="525" t="str">
        <f ca="1">IF(OR(A1305="",A1305=0),"",IF(COUNTIF($A$2:A1305,$A1305)=1,ROW(MauKoXoa!$C$108),$B1304+1))</f>
        <v/>
      </c>
      <c r="C1305" s="992" t="str">
        <f t="shared" ca="1" si="200"/>
        <v/>
      </c>
      <c r="D1305" s="993" t="str">
        <f t="shared" ca="1" si="201"/>
        <v/>
      </c>
      <c r="E1305" s="993" t="str">
        <f t="shared" ca="1" si="202"/>
        <v/>
      </c>
      <c r="F1305" s="992" t="str">
        <f t="shared" ca="1" si="210"/>
        <v/>
      </c>
      <c r="G1305" s="994">
        <f t="shared" ca="1" si="203"/>
        <v>0</v>
      </c>
      <c r="H1305" s="913">
        <f t="shared" ca="1" si="204"/>
        <v>0</v>
      </c>
      <c r="I1305" s="913">
        <f t="shared" ca="1" si="205"/>
        <v>0</v>
      </c>
      <c r="J1305" s="995">
        <f t="shared" ca="1" si="211"/>
        <v>0</v>
      </c>
      <c r="K1305" s="913">
        <f t="shared" ca="1" si="206"/>
        <v>0</v>
      </c>
      <c r="L1305" s="995">
        <f t="shared" ca="1" si="212"/>
        <v>0</v>
      </c>
      <c r="M1305" s="913">
        <f t="shared" ca="1" si="207"/>
        <v>0</v>
      </c>
      <c r="N1305" s="996">
        <f t="shared" ca="1" si="208"/>
        <v>0</v>
      </c>
      <c r="O1305" s="997">
        <f t="shared" ca="1" si="209"/>
        <v>0</v>
      </c>
      <c r="P1305" s="1015" t="str">
        <f ca="1">IF($C1305="","",INDEX(NVLSX!$N$2:$N$6941,MATCH($C1305,NVLSX!$E$2:$E$6941,0)))</f>
        <v/>
      </c>
      <c r="Q1305" s="1016" t="str">
        <f ca="1">IF($R1305="","",IF(XKNVLSX!$X$1="",IF($P1305=$V$7,$P1305, IF(COUNTIFS($C$2:$C1304,$C1305,$E$2:$E1304,$E1305)&gt;=1,"",$P1305)),     IF(AND(IFERROR(SEARCH($R1305,XKNVLSX!$X$1,1),0)&gt;=1,$P1305=$V$7),$P1305, IF(OR($R1305&lt;&gt;IF(IFERROR(SEARCH($R1305,XKNVLSX!$X$1,1),0)&gt;=1,$R1305,XKNVLSX!$X$1),COUNTIFS($C$2:$C1304,$C1305,$E$2:$E1304,$E1305,$Q$2:$Q1304,$P1305)&gt;=1),"",$P1305))))</f>
        <v/>
      </c>
      <c r="R1305" s="1017" t="str">
        <f ca="1">IF($A1305="","",IFERROR(INDEX(TinhGia!$BF$10:$BF$81,MATCH($A1305,TinhGia!$B$10:$B$81,0)),""))</f>
        <v/>
      </c>
      <c r="S1305" s="1012" t="str">
        <f ca="1">IF($A1305="","",IF(OR(IFERROR(SEARCH($R1305,XKNVLSX!$X$1,1),0)&gt;=1,XKNVLSX!$X$1=""),$S$2,""))</f>
        <v/>
      </c>
      <c r="T1305" s="1018" t="str">
        <f ca="1">IF($C1305="","", IF(OR($P1305=$V$1,$P1305=$V$7,COUNTIFS($C$3:$C1305,$C1305,$E$3:$E1305,$E1305)&lt;=1),$P1305,""    ))</f>
        <v/>
      </c>
      <c r="U1305" s="1019" t="str">
        <f ca="1">IF(AND($P1305=$V$2,COUNTIFS($C$3:$C1305,$C1305,$E$3:$E1305,$E1305,$G$3:$G1305,$G1305)&lt;=1),$P1305,"")</f>
        <v/>
      </c>
    </row>
    <row r="1306" spans="1:21">
      <c r="A1306" s="991" t="str">
        <f ca="1">IFERROR(IF(COUNTIF($A$3:A1305,A1305)&lt; INDEX(TinhGia!$BH$10:$BH$81,MATCH($A1305,TinhGia!$B$10:$B$81,0)),$A1305,INDEX(TinhGia!$B$10:$B$81,MATCH($A1305,TinhGia!$B$10:$B$81,0)+1)),"")</f>
        <v/>
      </c>
      <c r="B1306" s="525" t="str">
        <f ca="1">IF(OR(A1306="",A1306=0),"",IF(COUNTIF($A$2:A1306,$A1306)=1,ROW(MauKoXoa!$C$108),$B1305+1))</f>
        <v/>
      </c>
      <c r="C1306" s="992" t="str">
        <f t="shared" ca="1" si="200"/>
        <v/>
      </c>
      <c r="D1306" s="993" t="str">
        <f t="shared" ca="1" si="201"/>
        <v/>
      </c>
      <c r="E1306" s="993" t="str">
        <f t="shared" ca="1" si="202"/>
        <v/>
      </c>
      <c r="F1306" s="992" t="str">
        <f t="shared" ca="1" si="210"/>
        <v/>
      </c>
      <c r="G1306" s="994">
        <f t="shared" ca="1" si="203"/>
        <v>0</v>
      </c>
      <c r="H1306" s="913">
        <f t="shared" ca="1" si="204"/>
        <v>0</v>
      </c>
      <c r="I1306" s="913">
        <f t="shared" ca="1" si="205"/>
        <v>0</v>
      </c>
      <c r="J1306" s="995">
        <f t="shared" ca="1" si="211"/>
        <v>0</v>
      </c>
      <c r="K1306" s="913">
        <f t="shared" ca="1" si="206"/>
        <v>0</v>
      </c>
      <c r="L1306" s="995">
        <f t="shared" ca="1" si="212"/>
        <v>0</v>
      </c>
      <c r="M1306" s="913">
        <f t="shared" ca="1" si="207"/>
        <v>0</v>
      </c>
      <c r="N1306" s="996">
        <f t="shared" ca="1" si="208"/>
        <v>0</v>
      </c>
      <c r="O1306" s="997">
        <f t="shared" ca="1" si="209"/>
        <v>0</v>
      </c>
      <c r="P1306" s="1015" t="str">
        <f ca="1">IF($C1306="","",INDEX(NVLSX!$N$2:$N$6941,MATCH($C1306,NVLSX!$E$2:$E$6941,0)))</f>
        <v/>
      </c>
      <c r="Q1306" s="1016" t="str">
        <f ca="1">IF($R1306="","",IF(XKNVLSX!$X$1="",IF($P1306=$V$7,$P1306, IF(COUNTIFS($C$2:$C1305,$C1306,$E$2:$E1305,$E1306)&gt;=1,"",$P1306)),     IF(AND(IFERROR(SEARCH($R1306,XKNVLSX!$X$1,1),0)&gt;=1,$P1306=$V$7),$P1306, IF(OR($R1306&lt;&gt;IF(IFERROR(SEARCH($R1306,XKNVLSX!$X$1,1),0)&gt;=1,$R1306,XKNVLSX!$X$1),COUNTIFS($C$2:$C1305,$C1306,$E$2:$E1305,$E1306,$Q$2:$Q1305,$P1306)&gt;=1),"",$P1306))))</f>
        <v/>
      </c>
      <c r="R1306" s="1017" t="str">
        <f ca="1">IF($A1306="","",IFERROR(INDEX(TinhGia!$BF$10:$BF$81,MATCH($A1306,TinhGia!$B$10:$B$81,0)),""))</f>
        <v/>
      </c>
      <c r="S1306" s="1012" t="str">
        <f ca="1">IF($A1306="","",IF(OR(IFERROR(SEARCH($R1306,XKNVLSX!$X$1,1),0)&gt;=1,XKNVLSX!$X$1=""),$S$2,""))</f>
        <v/>
      </c>
      <c r="T1306" s="1018" t="str">
        <f ca="1">IF($C1306="","", IF(OR($P1306=$V$1,$P1306=$V$7,COUNTIFS($C$3:$C1306,$C1306,$E$3:$E1306,$E1306)&lt;=1),$P1306,""    ))</f>
        <v/>
      </c>
      <c r="U1306" s="1019" t="str">
        <f ca="1">IF(AND($P1306=$V$2,COUNTIFS($C$3:$C1306,$C1306,$E$3:$E1306,$E1306,$G$3:$G1306,$G1306)&lt;=1),$P1306,"")</f>
        <v/>
      </c>
    </row>
    <row r="1307" spans="1:21">
      <c r="A1307" s="991" t="str">
        <f ca="1">IFERROR(IF(COUNTIF($A$3:A1306,A1306)&lt; INDEX(TinhGia!$BH$10:$BH$81,MATCH($A1306,TinhGia!$B$10:$B$81,0)),$A1306,INDEX(TinhGia!$B$10:$B$81,MATCH($A1306,TinhGia!$B$10:$B$81,0)+1)),"")</f>
        <v/>
      </c>
      <c r="B1307" s="525" t="str">
        <f ca="1">IF(OR(A1307="",A1307=0),"",IF(COUNTIF($A$2:A1307,$A1307)=1,ROW(MauKoXoa!$C$108),$B1306+1))</f>
        <v/>
      </c>
      <c r="C1307" s="992" t="str">
        <f t="shared" ca="1" si="200"/>
        <v/>
      </c>
      <c r="D1307" s="993" t="str">
        <f t="shared" ca="1" si="201"/>
        <v/>
      </c>
      <c r="E1307" s="993" t="str">
        <f t="shared" ca="1" si="202"/>
        <v/>
      </c>
      <c r="F1307" s="992" t="str">
        <f t="shared" ca="1" si="210"/>
        <v/>
      </c>
      <c r="G1307" s="994">
        <f t="shared" ca="1" si="203"/>
        <v>0</v>
      </c>
      <c r="H1307" s="913">
        <f t="shared" ca="1" si="204"/>
        <v>0</v>
      </c>
      <c r="I1307" s="913">
        <f t="shared" ca="1" si="205"/>
        <v>0</v>
      </c>
      <c r="J1307" s="995">
        <f t="shared" ca="1" si="211"/>
        <v>0</v>
      </c>
      <c r="K1307" s="913">
        <f t="shared" ca="1" si="206"/>
        <v>0</v>
      </c>
      <c r="L1307" s="995">
        <f t="shared" ca="1" si="212"/>
        <v>0</v>
      </c>
      <c r="M1307" s="913">
        <f t="shared" ca="1" si="207"/>
        <v>0</v>
      </c>
      <c r="N1307" s="996">
        <f t="shared" ca="1" si="208"/>
        <v>0</v>
      </c>
      <c r="O1307" s="997">
        <f t="shared" ca="1" si="209"/>
        <v>0</v>
      </c>
      <c r="P1307" s="1015" t="str">
        <f ca="1">IF($C1307="","",INDEX(NVLSX!$N$2:$N$6941,MATCH($C1307,NVLSX!$E$2:$E$6941,0)))</f>
        <v/>
      </c>
      <c r="Q1307" s="1016" t="str">
        <f ca="1">IF($R1307="","",IF(XKNVLSX!$X$1="",IF($P1307=$V$7,$P1307, IF(COUNTIFS($C$2:$C1306,$C1307,$E$2:$E1306,$E1307)&gt;=1,"",$P1307)),     IF(AND(IFERROR(SEARCH($R1307,XKNVLSX!$X$1,1),0)&gt;=1,$P1307=$V$7),$P1307, IF(OR($R1307&lt;&gt;IF(IFERROR(SEARCH($R1307,XKNVLSX!$X$1,1),0)&gt;=1,$R1307,XKNVLSX!$X$1),COUNTIFS($C$2:$C1306,$C1307,$E$2:$E1306,$E1307,$Q$2:$Q1306,$P1307)&gt;=1),"",$P1307))))</f>
        <v/>
      </c>
      <c r="R1307" s="1017" t="str">
        <f ca="1">IF($A1307="","",IFERROR(INDEX(TinhGia!$BF$10:$BF$81,MATCH($A1307,TinhGia!$B$10:$B$81,0)),""))</f>
        <v/>
      </c>
      <c r="S1307" s="1012" t="str">
        <f ca="1">IF($A1307="","",IF(OR(IFERROR(SEARCH($R1307,XKNVLSX!$X$1,1),0)&gt;=1,XKNVLSX!$X$1=""),$S$2,""))</f>
        <v/>
      </c>
      <c r="T1307" s="1018" t="str">
        <f ca="1">IF($C1307="","", IF(OR($P1307=$V$1,$P1307=$V$7,COUNTIFS($C$3:$C1307,$C1307,$E$3:$E1307,$E1307)&lt;=1),$P1307,""    ))</f>
        <v/>
      </c>
      <c r="U1307" s="1019" t="str">
        <f ca="1">IF(AND($P1307=$V$2,COUNTIFS($C$3:$C1307,$C1307,$E$3:$E1307,$E1307,$G$3:$G1307,$G1307)&lt;=1),$P1307,"")</f>
        <v/>
      </c>
    </row>
    <row r="1308" spans="1:21">
      <c r="A1308" s="991" t="str">
        <f ca="1">IFERROR(IF(COUNTIF($A$3:A1307,A1307)&lt; INDEX(TinhGia!$BH$10:$BH$81,MATCH($A1307,TinhGia!$B$10:$B$81,0)),$A1307,INDEX(TinhGia!$B$10:$B$81,MATCH($A1307,TinhGia!$B$10:$B$81,0)+1)),"")</f>
        <v/>
      </c>
      <c r="B1308" s="525" t="str">
        <f ca="1">IF(OR(A1308="",A1308=0),"",IF(COUNTIF($A$2:A1308,$A1308)=1,ROW(MauKoXoa!$C$108),$B1307+1))</f>
        <v/>
      </c>
      <c r="C1308" s="992" t="str">
        <f t="shared" ca="1" si="200"/>
        <v/>
      </c>
      <c r="D1308" s="993" t="str">
        <f t="shared" ca="1" si="201"/>
        <v/>
      </c>
      <c r="E1308" s="993" t="str">
        <f t="shared" ca="1" si="202"/>
        <v/>
      </c>
      <c r="F1308" s="992" t="str">
        <f t="shared" ca="1" si="210"/>
        <v/>
      </c>
      <c r="G1308" s="994">
        <f t="shared" ca="1" si="203"/>
        <v>0</v>
      </c>
      <c r="H1308" s="913">
        <f t="shared" ca="1" si="204"/>
        <v>0</v>
      </c>
      <c r="I1308" s="913">
        <f t="shared" ca="1" si="205"/>
        <v>0</v>
      </c>
      <c r="J1308" s="995">
        <f t="shared" ca="1" si="211"/>
        <v>0</v>
      </c>
      <c r="K1308" s="913">
        <f t="shared" ca="1" si="206"/>
        <v>0</v>
      </c>
      <c r="L1308" s="995">
        <f t="shared" ca="1" si="212"/>
        <v>0</v>
      </c>
      <c r="M1308" s="913">
        <f t="shared" ca="1" si="207"/>
        <v>0</v>
      </c>
      <c r="N1308" s="996">
        <f t="shared" ca="1" si="208"/>
        <v>0</v>
      </c>
      <c r="O1308" s="997">
        <f t="shared" ca="1" si="209"/>
        <v>0</v>
      </c>
      <c r="P1308" s="1015" t="str">
        <f ca="1">IF($C1308="","",INDEX(NVLSX!$N$2:$N$6941,MATCH($C1308,NVLSX!$E$2:$E$6941,0)))</f>
        <v/>
      </c>
      <c r="Q1308" s="1016" t="str">
        <f ca="1">IF($R1308="","",IF(XKNVLSX!$X$1="",IF($P1308=$V$7,$P1308, IF(COUNTIFS($C$2:$C1307,$C1308,$E$2:$E1307,$E1308)&gt;=1,"",$P1308)),     IF(AND(IFERROR(SEARCH($R1308,XKNVLSX!$X$1,1),0)&gt;=1,$P1308=$V$7),$P1308, IF(OR($R1308&lt;&gt;IF(IFERROR(SEARCH($R1308,XKNVLSX!$X$1,1),0)&gt;=1,$R1308,XKNVLSX!$X$1),COUNTIFS($C$2:$C1307,$C1308,$E$2:$E1307,$E1308,$Q$2:$Q1307,$P1308)&gt;=1),"",$P1308))))</f>
        <v/>
      </c>
      <c r="R1308" s="1017" t="str">
        <f ca="1">IF($A1308="","",IFERROR(INDEX(TinhGia!$BF$10:$BF$81,MATCH($A1308,TinhGia!$B$10:$B$81,0)),""))</f>
        <v/>
      </c>
      <c r="S1308" s="1012" t="str">
        <f ca="1">IF($A1308="","",IF(OR(IFERROR(SEARCH($R1308,XKNVLSX!$X$1,1),0)&gt;=1,XKNVLSX!$X$1=""),$S$2,""))</f>
        <v/>
      </c>
      <c r="T1308" s="1018" t="str">
        <f ca="1">IF($C1308="","", IF(OR($P1308=$V$1,$P1308=$V$7,COUNTIFS($C$3:$C1308,$C1308,$E$3:$E1308,$E1308)&lt;=1),$P1308,""    ))</f>
        <v/>
      </c>
      <c r="U1308" s="1019" t="str">
        <f ca="1">IF(AND($P1308=$V$2,COUNTIFS($C$3:$C1308,$C1308,$E$3:$E1308,$E1308,$G$3:$G1308,$G1308)&lt;=1),$P1308,"")</f>
        <v/>
      </c>
    </row>
    <row r="1309" spans="1:21">
      <c r="A1309" s="991" t="str">
        <f ca="1">IFERROR(IF(COUNTIF($A$3:A1308,A1308)&lt; INDEX(TinhGia!$BH$10:$BH$81,MATCH($A1308,TinhGia!$B$10:$B$81,0)),$A1308,INDEX(TinhGia!$B$10:$B$81,MATCH($A1308,TinhGia!$B$10:$B$81,0)+1)),"")</f>
        <v/>
      </c>
      <c r="B1309" s="525" t="str">
        <f ca="1">IF(OR(A1309="",A1309=0),"",IF(COUNTIF($A$2:A1309,$A1309)=1,ROW(MauKoXoa!$C$108),$B1308+1))</f>
        <v/>
      </c>
      <c r="C1309" s="992" t="str">
        <f t="shared" ca="1" si="200"/>
        <v/>
      </c>
      <c r="D1309" s="993" t="str">
        <f t="shared" ca="1" si="201"/>
        <v/>
      </c>
      <c r="E1309" s="993" t="str">
        <f t="shared" ca="1" si="202"/>
        <v/>
      </c>
      <c r="F1309" s="992" t="str">
        <f t="shared" ca="1" si="210"/>
        <v/>
      </c>
      <c r="G1309" s="994">
        <f t="shared" ca="1" si="203"/>
        <v>0</v>
      </c>
      <c r="H1309" s="913">
        <f t="shared" ca="1" si="204"/>
        <v>0</v>
      </c>
      <c r="I1309" s="913">
        <f t="shared" ca="1" si="205"/>
        <v>0</v>
      </c>
      <c r="J1309" s="995">
        <f t="shared" ca="1" si="211"/>
        <v>0</v>
      </c>
      <c r="K1309" s="913">
        <f t="shared" ca="1" si="206"/>
        <v>0</v>
      </c>
      <c r="L1309" s="995">
        <f t="shared" ca="1" si="212"/>
        <v>0</v>
      </c>
      <c r="M1309" s="913">
        <f t="shared" ca="1" si="207"/>
        <v>0</v>
      </c>
      <c r="N1309" s="996">
        <f t="shared" ca="1" si="208"/>
        <v>0</v>
      </c>
      <c r="O1309" s="997">
        <f t="shared" ca="1" si="209"/>
        <v>0</v>
      </c>
      <c r="P1309" s="1015" t="str">
        <f ca="1">IF($C1309="","",INDEX(NVLSX!$N$2:$N$6941,MATCH($C1309,NVLSX!$E$2:$E$6941,0)))</f>
        <v/>
      </c>
      <c r="Q1309" s="1016" t="str">
        <f ca="1">IF($R1309="","",IF(XKNVLSX!$X$1="",IF($P1309=$V$7,$P1309, IF(COUNTIFS($C$2:$C1308,$C1309,$E$2:$E1308,$E1309)&gt;=1,"",$P1309)),     IF(AND(IFERROR(SEARCH($R1309,XKNVLSX!$X$1,1),0)&gt;=1,$P1309=$V$7),$P1309, IF(OR($R1309&lt;&gt;IF(IFERROR(SEARCH($R1309,XKNVLSX!$X$1,1),0)&gt;=1,$R1309,XKNVLSX!$X$1),COUNTIFS($C$2:$C1308,$C1309,$E$2:$E1308,$E1309,$Q$2:$Q1308,$P1309)&gt;=1),"",$P1309))))</f>
        <v/>
      </c>
      <c r="R1309" s="1017" t="str">
        <f ca="1">IF($A1309="","",IFERROR(INDEX(TinhGia!$BF$10:$BF$81,MATCH($A1309,TinhGia!$B$10:$B$81,0)),""))</f>
        <v/>
      </c>
      <c r="S1309" s="1012" t="str">
        <f ca="1">IF($A1309="","",IF(OR(IFERROR(SEARCH($R1309,XKNVLSX!$X$1,1),0)&gt;=1,XKNVLSX!$X$1=""),$S$2,""))</f>
        <v/>
      </c>
      <c r="T1309" s="1018" t="str">
        <f ca="1">IF($C1309="","", IF(OR($P1309=$V$1,$P1309=$V$7,COUNTIFS($C$3:$C1309,$C1309,$E$3:$E1309,$E1309)&lt;=1),$P1309,""    ))</f>
        <v/>
      </c>
      <c r="U1309" s="1019" t="str">
        <f ca="1">IF(AND($P1309=$V$2,COUNTIFS($C$3:$C1309,$C1309,$E$3:$E1309,$E1309,$G$3:$G1309,$G1309)&lt;=1),$P1309,"")</f>
        <v/>
      </c>
    </row>
    <row r="1310" spans="1:21">
      <c r="A1310" s="991" t="str">
        <f ca="1">IFERROR(IF(COUNTIF($A$3:A1309,A1309)&lt; INDEX(TinhGia!$BH$10:$BH$81,MATCH($A1309,TinhGia!$B$10:$B$81,0)),$A1309,INDEX(TinhGia!$B$10:$B$81,MATCH($A1309,TinhGia!$B$10:$B$81,0)+1)),"")</f>
        <v/>
      </c>
      <c r="B1310" s="525" t="str">
        <f ca="1">IF(OR(A1310="",A1310=0),"",IF(COUNTIF($A$2:A1310,$A1310)=1,ROW(MauKoXoa!$C$108),$B1309+1))</f>
        <v/>
      </c>
      <c r="C1310" s="992" t="str">
        <f t="shared" ca="1" si="200"/>
        <v/>
      </c>
      <c r="D1310" s="993" t="str">
        <f t="shared" ca="1" si="201"/>
        <v/>
      </c>
      <c r="E1310" s="993" t="str">
        <f t="shared" ca="1" si="202"/>
        <v/>
      </c>
      <c r="F1310" s="992" t="str">
        <f t="shared" ca="1" si="210"/>
        <v/>
      </c>
      <c r="G1310" s="994">
        <f t="shared" ca="1" si="203"/>
        <v>0</v>
      </c>
      <c r="H1310" s="913">
        <f t="shared" ca="1" si="204"/>
        <v>0</v>
      </c>
      <c r="I1310" s="913">
        <f t="shared" ca="1" si="205"/>
        <v>0</v>
      </c>
      <c r="J1310" s="995">
        <f t="shared" ca="1" si="211"/>
        <v>0</v>
      </c>
      <c r="K1310" s="913">
        <f t="shared" ca="1" si="206"/>
        <v>0</v>
      </c>
      <c r="L1310" s="995">
        <f t="shared" ca="1" si="212"/>
        <v>0</v>
      </c>
      <c r="M1310" s="913">
        <f t="shared" ca="1" si="207"/>
        <v>0</v>
      </c>
      <c r="N1310" s="996">
        <f t="shared" ca="1" si="208"/>
        <v>0</v>
      </c>
      <c r="O1310" s="997">
        <f t="shared" ca="1" si="209"/>
        <v>0</v>
      </c>
      <c r="P1310" s="1015" t="str">
        <f ca="1">IF($C1310="","",INDEX(NVLSX!$N$2:$N$6941,MATCH($C1310,NVLSX!$E$2:$E$6941,0)))</f>
        <v/>
      </c>
      <c r="Q1310" s="1016" t="str">
        <f ca="1">IF($R1310="","",IF(XKNVLSX!$X$1="",IF($P1310=$V$7,$P1310, IF(COUNTIFS($C$2:$C1309,$C1310,$E$2:$E1309,$E1310)&gt;=1,"",$P1310)),     IF(AND(IFERROR(SEARCH($R1310,XKNVLSX!$X$1,1),0)&gt;=1,$P1310=$V$7),$P1310, IF(OR($R1310&lt;&gt;IF(IFERROR(SEARCH($R1310,XKNVLSX!$X$1,1),0)&gt;=1,$R1310,XKNVLSX!$X$1),COUNTIFS($C$2:$C1309,$C1310,$E$2:$E1309,$E1310,$Q$2:$Q1309,$P1310)&gt;=1),"",$P1310))))</f>
        <v/>
      </c>
      <c r="R1310" s="1017" t="str">
        <f ca="1">IF($A1310="","",IFERROR(INDEX(TinhGia!$BF$10:$BF$81,MATCH($A1310,TinhGia!$B$10:$B$81,0)),""))</f>
        <v/>
      </c>
      <c r="S1310" s="1012" t="str">
        <f ca="1">IF($A1310="","",IF(OR(IFERROR(SEARCH($R1310,XKNVLSX!$X$1,1),0)&gt;=1,XKNVLSX!$X$1=""),$S$2,""))</f>
        <v/>
      </c>
      <c r="T1310" s="1018" t="str">
        <f ca="1">IF($C1310="","", IF(OR($P1310=$V$1,$P1310=$V$7,COUNTIFS($C$3:$C1310,$C1310,$E$3:$E1310,$E1310)&lt;=1),$P1310,""    ))</f>
        <v/>
      </c>
      <c r="U1310" s="1019" t="str">
        <f ca="1">IF(AND($P1310=$V$2,COUNTIFS($C$3:$C1310,$C1310,$E$3:$E1310,$E1310,$G$3:$G1310,$G1310)&lt;=1),$P1310,"")</f>
        <v/>
      </c>
    </row>
    <row r="1311" spans="1:21">
      <c r="A1311" s="991" t="str">
        <f ca="1">IFERROR(IF(COUNTIF($A$3:A1310,A1310)&lt; INDEX(TinhGia!$BH$10:$BH$81,MATCH($A1310,TinhGia!$B$10:$B$81,0)),$A1310,INDEX(TinhGia!$B$10:$B$81,MATCH($A1310,TinhGia!$B$10:$B$81,0)+1)),"")</f>
        <v/>
      </c>
      <c r="B1311" s="525" t="str">
        <f ca="1">IF(OR(A1311="",A1311=0),"",IF(COUNTIF($A$2:A1311,$A1311)=1,ROW(MauKoXoa!$C$108),$B1310+1))</f>
        <v/>
      </c>
      <c r="C1311" s="992" t="str">
        <f t="shared" ca="1" si="200"/>
        <v/>
      </c>
      <c r="D1311" s="993" t="str">
        <f t="shared" ca="1" si="201"/>
        <v/>
      </c>
      <c r="E1311" s="993" t="str">
        <f t="shared" ca="1" si="202"/>
        <v/>
      </c>
      <c r="F1311" s="992" t="str">
        <f t="shared" ca="1" si="210"/>
        <v/>
      </c>
      <c r="G1311" s="994">
        <f t="shared" ca="1" si="203"/>
        <v>0</v>
      </c>
      <c r="H1311" s="913">
        <f t="shared" ca="1" si="204"/>
        <v>0</v>
      </c>
      <c r="I1311" s="913">
        <f t="shared" ca="1" si="205"/>
        <v>0</v>
      </c>
      <c r="J1311" s="995">
        <f t="shared" ca="1" si="211"/>
        <v>0</v>
      </c>
      <c r="K1311" s="913">
        <f t="shared" ca="1" si="206"/>
        <v>0</v>
      </c>
      <c r="L1311" s="995">
        <f t="shared" ca="1" si="212"/>
        <v>0</v>
      </c>
      <c r="M1311" s="913">
        <f t="shared" ca="1" si="207"/>
        <v>0</v>
      </c>
      <c r="N1311" s="996">
        <f t="shared" ca="1" si="208"/>
        <v>0</v>
      </c>
      <c r="O1311" s="997">
        <f t="shared" ca="1" si="209"/>
        <v>0</v>
      </c>
      <c r="P1311" s="1015" t="str">
        <f ca="1">IF($C1311="","",INDEX(NVLSX!$N$2:$N$6941,MATCH($C1311,NVLSX!$E$2:$E$6941,0)))</f>
        <v/>
      </c>
      <c r="Q1311" s="1016" t="str">
        <f ca="1">IF($R1311="","",IF(XKNVLSX!$X$1="",IF($P1311=$V$7,$P1311, IF(COUNTIFS($C$2:$C1310,$C1311,$E$2:$E1310,$E1311)&gt;=1,"",$P1311)),     IF(AND(IFERROR(SEARCH($R1311,XKNVLSX!$X$1,1),0)&gt;=1,$P1311=$V$7),$P1311, IF(OR($R1311&lt;&gt;IF(IFERROR(SEARCH($R1311,XKNVLSX!$X$1,1),0)&gt;=1,$R1311,XKNVLSX!$X$1),COUNTIFS($C$2:$C1310,$C1311,$E$2:$E1310,$E1311,$Q$2:$Q1310,$P1311)&gt;=1),"",$P1311))))</f>
        <v/>
      </c>
      <c r="R1311" s="1017" t="str">
        <f ca="1">IF($A1311="","",IFERROR(INDEX(TinhGia!$BF$10:$BF$81,MATCH($A1311,TinhGia!$B$10:$B$81,0)),""))</f>
        <v/>
      </c>
      <c r="S1311" s="1012" t="str">
        <f ca="1">IF($A1311="","",IF(OR(IFERROR(SEARCH($R1311,XKNVLSX!$X$1,1),0)&gt;=1,XKNVLSX!$X$1=""),$S$2,""))</f>
        <v/>
      </c>
      <c r="T1311" s="1018" t="str">
        <f ca="1">IF($C1311="","", IF(OR($P1311=$V$1,$P1311=$V$7,COUNTIFS($C$3:$C1311,$C1311,$E$3:$E1311,$E1311)&lt;=1),$P1311,""    ))</f>
        <v/>
      </c>
      <c r="U1311" s="1019" t="str">
        <f ca="1">IF(AND($P1311=$V$2,COUNTIFS($C$3:$C1311,$C1311,$E$3:$E1311,$E1311,$G$3:$G1311,$G1311)&lt;=1),$P1311,"")</f>
        <v/>
      </c>
    </row>
    <row r="1312" spans="1:21">
      <c r="A1312" s="991" t="str">
        <f ca="1">IFERROR(IF(COUNTIF($A$3:A1311,A1311)&lt; INDEX(TinhGia!$BH$10:$BH$81,MATCH($A1311,TinhGia!$B$10:$B$81,0)),$A1311,INDEX(TinhGia!$B$10:$B$81,MATCH($A1311,TinhGia!$B$10:$B$81,0)+1)),"")</f>
        <v/>
      </c>
      <c r="B1312" s="525" t="str">
        <f ca="1">IF(OR(A1312="",A1312=0),"",IF(COUNTIF($A$2:A1312,$A1312)=1,ROW(MauKoXoa!$C$108),$B1311+1))</f>
        <v/>
      </c>
      <c r="C1312" s="992" t="str">
        <f t="shared" ca="1" si="200"/>
        <v/>
      </c>
      <c r="D1312" s="993" t="str">
        <f t="shared" ca="1" si="201"/>
        <v/>
      </c>
      <c r="E1312" s="993" t="str">
        <f t="shared" ca="1" si="202"/>
        <v/>
      </c>
      <c r="F1312" s="992" t="str">
        <f t="shared" ca="1" si="210"/>
        <v/>
      </c>
      <c r="G1312" s="994">
        <f t="shared" ca="1" si="203"/>
        <v>0</v>
      </c>
      <c r="H1312" s="913">
        <f t="shared" ca="1" si="204"/>
        <v>0</v>
      </c>
      <c r="I1312" s="913">
        <f t="shared" ca="1" si="205"/>
        <v>0</v>
      </c>
      <c r="J1312" s="995">
        <f t="shared" ca="1" si="211"/>
        <v>0</v>
      </c>
      <c r="K1312" s="913">
        <f t="shared" ca="1" si="206"/>
        <v>0</v>
      </c>
      <c r="L1312" s="995">
        <f t="shared" ca="1" si="212"/>
        <v>0</v>
      </c>
      <c r="M1312" s="913">
        <f t="shared" ca="1" si="207"/>
        <v>0</v>
      </c>
      <c r="N1312" s="996">
        <f t="shared" ca="1" si="208"/>
        <v>0</v>
      </c>
      <c r="O1312" s="997">
        <f t="shared" ca="1" si="209"/>
        <v>0</v>
      </c>
      <c r="P1312" s="1015" t="str">
        <f ca="1">IF($C1312="","",INDEX(NVLSX!$N$2:$N$6941,MATCH($C1312,NVLSX!$E$2:$E$6941,0)))</f>
        <v/>
      </c>
      <c r="Q1312" s="1016" t="str">
        <f ca="1">IF($R1312="","",IF(XKNVLSX!$X$1="",IF($P1312=$V$7,$P1312, IF(COUNTIFS($C$2:$C1311,$C1312,$E$2:$E1311,$E1312)&gt;=1,"",$P1312)),     IF(AND(IFERROR(SEARCH($R1312,XKNVLSX!$X$1,1),0)&gt;=1,$P1312=$V$7),$P1312, IF(OR($R1312&lt;&gt;IF(IFERROR(SEARCH($R1312,XKNVLSX!$X$1,1),0)&gt;=1,$R1312,XKNVLSX!$X$1),COUNTIFS($C$2:$C1311,$C1312,$E$2:$E1311,$E1312,$Q$2:$Q1311,$P1312)&gt;=1),"",$P1312))))</f>
        <v/>
      </c>
      <c r="R1312" s="1017" t="str">
        <f ca="1">IF($A1312="","",IFERROR(INDEX(TinhGia!$BF$10:$BF$81,MATCH($A1312,TinhGia!$B$10:$B$81,0)),""))</f>
        <v/>
      </c>
      <c r="S1312" s="1012" t="str">
        <f ca="1">IF($A1312="","",IF(OR(IFERROR(SEARCH($R1312,XKNVLSX!$X$1,1),0)&gt;=1,XKNVLSX!$X$1=""),$S$2,""))</f>
        <v/>
      </c>
      <c r="T1312" s="1018" t="str">
        <f ca="1">IF($C1312="","", IF(OR($P1312=$V$1,$P1312=$V$7,COUNTIFS($C$3:$C1312,$C1312,$E$3:$E1312,$E1312)&lt;=1),$P1312,""    ))</f>
        <v/>
      </c>
      <c r="U1312" s="1019" t="str">
        <f ca="1">IF(AND($P1312=$V$2,COUNTIFS($C$3:$C1312,$C1312,$E$3:$E1312,$E1312,$G$3:$G1312,$G1312)&lt;=1),$P1312,"")</f>
        <v/>
      </c>
    </row>
    <row r="1313" spans="1:21">
      <c r="A1313" s="991" t="str">
        <f ca="1">IFERROR(IF(COUNTIF($A$3:A1312,A1312)&lt; INDEX(TinhGia!$BH$10:$BH$81,MATCH($A1312,TinhGia!$B$10:$B$81,0)),$A1312,INDEX(TinhGia!$B$10:$B$81,MATCH($A1312,TinhGia!$B$10:$B$81,0)+1)),"")</f>
        <v/>
      </c>
      <c r="B1313" s="525" t="str">
        <f ca="1">IF(OR(A1313="",A1313=0),"",IF(COUNTIF($A$2:A1313,$A1313)=1,ROW(MauKoXoa!$C$108),$B1312+1))</f>
        <v/>
      </c>
      <c r="C1313" s="992" t="str">
        <f t="shared" ca="1" si="200"/>
        <v/>
      </c>
      <c r="D1313" s="993" t="str">
        <f t="shared" ca="1" si="201"/>
        <v/>
      </c>
      <c r="E1313" s="993" t="str">
        <f t="shared" ca="1" si="202"/>
        <v/>
      </c>
      <c r="F1313" s="992" t="str">
        <f t="shared" ca="1" si="210"/>
        <v/>
      </c>
      <c r="G1313" s="994">
        <f t="shared" ca="1" si="203"/>
        <v>0</v>
      </c>
      <c r="H1313" s="913">
        <f t="shared" ca="1" si="204"/>
        <v>0</v>
      </c>
      <c r="I1313" s="913">
        <f t="shared" ca="1" si="205"/>
        <v>0</v>
      </c>
      <c r="J1313" s="995">
        <f t="shared" ca="1" si="211"/>
        <v>0</v>
      </c>
      <c r="K1313" s="913">
        <f t="shared" ca="1" si="206"/>
        <v>0</v>
      </c>
      <c r="L1313" s="995">
        <f t="shared" ca="1" si="212"/>
        <v>0</v>
      </c>
      <c r="M1313" s="913">
        <f t="shared" ca="1" si="207"/>
        <v>0</v>
      </c>
      <c r="N1313" s="996">
        <f t="shared" ca="1" si="208"/>
        <v>0</v>
      </c>
      <c r="O1313" s="997">
        <f t="shared" ca="1" si="209"/>
        <v>0</v>
      </c>
      <c r="P1313" s="1015" t="str">
        <f ca="1">IF($C1313="","",INDEX(NVLSX!$N$2:$N$6941,MATCH($C1313,NVLSX!$E$2:$E$6941,0)))</f>
        <v/>
      </c>
      <c r="Q1313" s="1016" t="str">
        <f ca="1">IF($R1313="","",IF(XKNVLSX!$X$1="",IF($P1313=$V$7,$P1313, IF(COUNTIFS($C$2:$C1312,$C1313,$E$2:$E1312,$E1313)&gt;=1,"",$P1313)),     IF(AND(IFERROR(SEARCH($R1313,XKNVLSX!$X$1,1),0)&gt;=1,$P1313=$V$7),$P1313, IF(OR($R1313&lt;&gt;IF(IFERROR(SEARCH($R1313,XKNVLSX!$X$1,1),0)&gt;=1,$R1313,XKNVLSX!$X$1),COUNTIFS($C$2:$C1312,$C1313,$E$2:$E1312,$E1313,$Q$2:$Q1312,$P1313)&gt;=1),"",$P1313))))</f>
        <v/>
      </c>
      <c r="R1313" s="1017" t="str">
        <f ca="1">IF($A1313="","",IFERROR(INDEX(TinhGia!$BF$10:$BF$81,MATCH($A1313,TinhGia!$B$10:$B$81,0)),""))</f>
        <v/>
      </c>
      <c r="S1313" s="1012" t="str">
        <f ca="1">IF($A1313="","",IF(OR(IFERROR(SEARCH($R1313,XKNVLSX!$X$1,1),0)&gt;=1,XKNVLSX!$X$1=""),$S$2,""))</f>
        <v/>
      </c>
      <c r="T1313" s="1018" t="str">
        <f ca="1">IF($C1313="","", IF(OR($P1313=$V$1,$P1313=$V$7,COUNTIFS($C$3:$C1313,$C1313,$E$3:$E1313,$E1313)&lt;=1),$P1313,""    ))</f>
        <v/>
      </c>
      <c r="U1313" s="1019" t="str">
        <f ca="1">IF(AND($P1313=$V$2,COUNTIFS($C$3:$C1313,$C1313,$E$3:$E1313,$E1313,$G$3:$G1313,$G1313)&lt;=1),$P1313,"")</f>
        <v/>
      </c>
    </row>
    <row r="1314" spans="1:21">
      <c r="A1314" s="991" t="str">
        <f ca="1">IFERROR(IF(COUNTIF($A$3:A1313,A1313)&lt; INDEX(TinhGia!$BH$10:$BH$81,MATCH($A1313,TinhGia!$B$10:$B$81,0)),$A1313,INDEX(TinhGia!$B$10:$B$81,MATCH($A1313,TinhGia!$B$10:$B$81,0)+1)),"")</f>
        <v/>
      </c>
      <c r="B1314" s="525" t="str">
        <f ca="1">IF(OR(A1314="",A1314=0),"",IF(COUNTIF($A$2:A1314,$A1314)=1,ROW(MauKoXoa!$C$108),$B1313+1))</f>
        <v/>
      </c>
      <c r="C1314" s="992" t="str">
        <f t="shared" ca="1" si="200"/>
        <v/>
      </c>
      <c r="D1314" s="993" t="str">
        <f t="shared" ca="1" si="201"/>
        <v/>
      </c>
      <c r="E1314" s="993" t="str">
        <f t="shared" ca="1" si="202"/>
        <v/>
      </c>
      <c r="F1314" s="992" t="str">
        <f t="shared" ca="1" si="210"/>
        <v/>
      </c>
      <c r="G1314" s="994">
        <f t="shared" ca="1" si="203"/>
        <v>0</v>
      </c>
      <c r="H1314" s="913">
        <f t="shared" ca="1" si="204"/>
        <v>0</v>
      </c>
      <c r="I1314" s="913">
        <f t="shared" ca="1" si="205"/>
        <v>0</v>
      </c>
      <c r="J1314" s="995">
        <f t="shared" ca="1" si="211"/>
        <v>0</v>
      </c>
      <c r="K1314" s="913">
        <f t="shared" ca="1" si="206"/>
        <v>0</v>
      </c>
      <c r="L1314" s="995">
        <f t="shared" ca="1" si="212"/>
        <v>0</v>
      </c>
      <c r="M1314" s="913">
        <f t="shared" ca="1" si="207"/>
        <v>0</v>
      </c>
      <c r="N1314" s="996">
        <f t="shared" ca="1" si="208"/>
        <v>0</v>
      </c>
      <c r="O1314" s="997">
        <f t="shared" ca="1" si="209"/>
        <v>0</v>
      </c>
      <c r="P1314" s="1015" t="str">
        <f ca="1">IF($C1314="","",INDEX(NVLSX!$N$2:$N$6941,MATCH($C1314,NVLSX!$E$2:$E$6941,0)))</f>
        <v/>
      </c>
      <c r="Q1314" s="1016" t="str">
        <f ca="1">IF($R1314="","",IF(XKNVLSX!$X$1="",IF($P1314=$V$7,$P1314, IF(COUNTIFS($C$2:$C1313,$C1314,$E$2:$E1313,$E1314)&gt;=1,"",$P1314)),     IF(AND(IFERROR(SEARCH($R1314,XKNVLSX!$X$1,1),0)&gt;=1,$P1314=$V$7),$P1314, IF(OR($R1314&lt;&gt;IF(IFERROR(SEARCH($R1314,XKNVLSX!$X$1,1),0)&gt;=1,$R1314,XKNVLSX!$X$1),COUNTIFS($C$2:$C1313,$C1314,$E$2:$E1313,$E1314,$Q$2:$Q1313,$P1314)&gt;=1),"",$P1314))))</f>
        <v/>
      </c>
      <c r="R1314" s="1017" t="str">
        <f ca="1">IF($A1314="","",IFERROR(INDEX(TinhGia!$BF$10:$BF$81,MATCH($A1314,TinhGia!$B$10:$B$81,0)),""))</f>
        <v/>
      </c>
      <c r="S1314" s="1012" t="str">
        <f ca="1">IF($A1314="","",IF(OR(IFERROR(SEARCH($R1314,XKNVLSX!$X$1,1),0)&gt;=1,XKNVLSX!$X$1=""),$S$2,""))</f>
        <v/>
      </c>
      <c r="T1314" s="1018" t="str">
        <f ca="1">IF($C1314="","", IF(OR($P1314=$V$1,$P1314=$V$7,COUNTIFS($C$3:$C1314,$C1314,$E$3:$E1314,$E1314)&lt;=1),$P1314,""    ))</f>
        <v/>
      </c>
      <c r="U1314" s="1019" t="str">
        <f ca="1">IF(AND($P1314=$V$2,COUNTIFS($C$3:$C1314,$C1314,$E$3:$E1314,$E1314,$G$3:$G1314,$G1314)&lt;=1),$P1314,"")</f>
        <v/>
      </c>
    </row>
    <row r="1315" spans="1:21">
      <c r="A1315" s="991" t="str">
        <f ca="1">IFERROR(IF(COUNTIF($A$3:A1314,A1314)&lt; INDEX(TinhGia!$BH$10:$BH$81,MATCH($A1314,TinhGia!$B$10:$B$81,0)),$A1314,INDEX(TinhGia!$B$10:$B$81,MATCH($A1314,TinhGia!$B$10:$B$81,0)+1)),"")</f>
        <v/>
      </c>
      <c r="B1315" s="525" t="str">
        <f ca="1">IF(OR(A1315="",A1315=0),"",IF(COUNTIF($A$2:A1315,$A1315)=1,ROW(MauKoXoa!$C$108),$B1314+1))</f>
        <v/>
      </c>
      <c r="C1315" s="992" t="str">
        <f t="shared" ca="1" si="200"/>
        <v/>
      </c>
      <c r="D1315" s="993" t="str">
        <f t="shared" ca="1" si="201"/>
        <v/>
      </c>
      <c r="E1315" s="993" t="str">
        <f t="shared" ca="1" si="202"/>
        <v/>
      </c>
      <c r="F1315" s="992" t="str">
        <f t="shared" ca="1" si="210"/>
        <v/>
      </c>
      <c r="G1315" s="994">
        <f t="shared" ca="1" si="203"/>
        <v>0</v>
      </c>
      <c r="H1315" s="913">
        <f t="shared" ca="1" si="204"/>
        <v>0</v>
      </c>
      <c r="I1315" s="913">
        <f t="shared" ca="1" si="205"/>
        <v>0</v>
      </c>
      <c r="J1315" s="995">
        <f t="shared" ca="1" si="211"/>
        <v>0</v>
      </c>
      <c r="K1315" s="913">
        <f t="shared" ca="1" si="206"/>
        <v>0</v>
      </c>
      <c r="L1315" s="995">
        <f t="shared" ca="1" si="212"/>
        <v>0</v>
      </c>
      <c r="M1315" s="913">
        <f t="shared" ca="1" si="207"/>
        <v>0</v>
      </c>
      <c r="N1315" s="996">
        <f t="shared" ca="1" si="208"/>
        <v>0</v>
      </c>
      <c r="O1315" s="997">
        <f t="shared" ca="1" si="209"/>
        <v>0</v>
      </c>
      <c r="P1315" s="1015" t="str">
        <f ca="1">IF($C1315="","",INDEX(NVLSX!$N$2:$N$6941,MATCH($C1315,NVLSX!$E$2:$E$6941,0)))</f>
        <v/>
      </c>
      <c r="Q1315" s="1016" t="str">
        <f ca="1">IF($R1315="","",IF(XKNVLSX!$X$1="",IF($P1315=$V$7,$P1315, IF(COUNTIFS($C$2:$C1314,$C1315,$E$2:$E1314,$E1315)&gt;=1,"",$P1315)),     IF(AND(IFERROR(SEARCH($R1315,XKNVLSX!$X$1,1),0)&gt;=1,$P1315=$V$7),$P1315, IF(OR($R1315&lt;&gt;IF(IFERROR(SEARCH($R1315,XKNVLSX!$X$1,1),0)&gt;=1,$R1315,XKNVLSX!$X$1),COUNTIFS($C$2:$C1314,$C1315,$E$2:$E1314,$E1315,$Q$2:$Q1314,$P1315)&gt;=1),"",$P1315))))</f>
        <v/>
      </c>
      <c r="R1315" s="1017" t="str">
        <f ca="1">IF($A1315="","",IFERROR(INDEX(TinhGia!$BF$10:$BF$81,MATCH($A1315,TinhGia!$B$10:$B$81,0)),""))</f>
        <v/>
      </c>
      <c r="S1315" s="1012" t="str">
        <f ca="1">IF($A1315="","",IF(OR(IFERROR(SEARCH($R1315,XKNVLSX!$X$1,1),0)&gt;=1,XKNVLSX!$X$1=""),$S$2,""))</f>
        <v/>
      </c>
      <c r="T1315" s="1018" t="str">
        <f ca="1">IF($C1315="","", IF(OR($P1315=$V$1,$P1315=$V$7,COUNTIFS($C$3:$C1315,$C1315,$E$3:$E1315,$E1315)&lt;=1),$P1315,""    ))</f>
        <v/>
      </c>
      <c r="U1315" s="1019" t="str">
        <f ca="1">IF(AND($P1315=$V$2,COUNTIFS($C$3:$C1315,$C1315,$E$3:$E1315,$E1315,$G$3:$G1315,$G1315)&lt;=1),$P1315,"")</f>
        <v/>
      </c>
    </row>
    <row r="1316" spans="1:21">
      <c r="A1316" s="991" t="str">
        <f ca="1">IFERROR(IF(COUNTIF($A$3:A1315,A1315)&lt; INDEX(TinhGia!$BH$10:$BH$81,MATCH($A1315,TinhGia!$B$10:$B$81,0)),$A1315,INDEX(TinhGia!$B$10:$B$81,MATCH($A1315,TinhGia!$B$10:$B$81,0)+1)),"")</f>
        <v/>
      </c>
      <c r="B1316" s="525" t="str">
        <f ca="1">IF(OR(A1316="",A1316=0),"",IF(COUNTIF($A$2:A1316,$A1316)=1,ROW(MauKoXoa!$C$108),$B1315+1))</f>
        <v/>
      </c>
      <c r="C1316" s="992" t="str">
        <f t="shared" ca="1" si="200"/>
        <v/>
      </c>
      <c r="D1316" s="993" t="str">
        <f t="shared" ca="1" si="201"/>
        <v/>
      </c>
      <c r="E1316" s="993" t="str">
        <f t="shared" ca="1" si="202"/>
        <v/>
      </c>
      <c r="F1316" s="992" t="str">
        <f t="shared" ca="1" si="210"/>
        <v/>
      </c>
      <c r="G1316" s="994">
        <f t="shared" ca="1" si="203"/>
        <v>0</v>
      </c>
      <c r="H1316" s="913">
        <f t="shared" ca="1" si="204"/>
        <v>0</v>
      </c>
      <c r="I1316" s="913">
        <f t="shared" ca="1" si="205"/>
        <v>0</v>
      </c>
      <c r="J1316" s="995">
        <f t="shared" ca="1" si="211"/>
        <v>0</v>
      </c>
      <c r="K1316" s="913">
        <f t="shared" ca="1" si="206"/>
        <v>0</v>
      </c>
      <c r="L1316" s="995">
        <f t="shared" ca="1" si="212"/>
        <v>0</v>
      </c>
      <c r="M1316" s="913">
        <f t="shared" ca="1" si="207"/>
        <v>0</v>
      </c>
      <c r="N1316" s="996">
        <f t="shared" ca="1" si="208"/>
        <v>0</v>
      </c>
      <c r="O1316" s="997">
        <f t="shared" ca="1" si="209"/>
        <v>0</v>
      </c>
      <c r="P1316" s="1015" t="str">
        <f ca="1">IF($C1316="","",INDEX(NVLSX!$N$2:$N$6941,MATCH($C1316,NVLSX!$E$2:$E$6941,0)))</f>
        <v/>
      </c>
      <c r="Q1316" s="1016" t="str">
        <f ca="1">IF($R1316="","",IF(XKNVLSX!$X$1="",IF($P1316=$V$7,$P1316, IF(COUNTIFS($C$2:$C1315,$C1316,$E$2:$E1315,$E1316)&gt;=1,"",$P1316)),     IF(AND(IFERROR(SEARCH($R1316,XKNVLSX!$X$1,1),0)&gt;=1,$P1316=$V$7),$P1316, IF(OR($R1316&lt;&gt;IF(IFERROR(SEARCH($R1316,XKNVLSX!$X$1,1),0)&gt;=1,$R1316,XKNVLSX!$X$1),COUNTIFS($C$2:$C1315,$C1316,$E$2:$E1315,$E1316,$Q$2:$Q1315,$P1316)&gt;=1),"",$P1316))))</f>
        <v/>
      </c>
      <c r="R1316" s="1017" t="str">
        <f ca="1">IF($A1316="","",IFERROR(INDEX(TinhGia!$BF$10:$BF$81,MATCH($A1316,TinhGia!$B$10:$B$81,0)),""))</f>
        <v/>
      </c>
      <c r="S1316" s="1012" t="str">
        <f ca="1">IF($A1316="","",IF(OR(IFERROR(SEARCH($R1316,XKNVLSX!$X$1,1),0)&gt;=1,XKNVLSX!$X$1=""),$S$2,""))</f>
        <v/>
      </c>
      <c r="T1316" s="1018" t="str">
        <f ca="1">IF($C1316="","", IF(OR($P1316=$V$1,$P1316=$V$7,COUNTIFS($C$3:$C1316,$C1316,$E$3:$E1316,$E1316)&lt;=1),$P1316,""    ))</f>
        <v/>
      </c>
      <c r="U1316" s="1019" t="str">
        <f ca="1">IF(AND($P1316=$V$2,COUNTIFS($C$3:$C1316,$C1316,$E$3:$E1316,$E1316,$G$3:$G1316,$G1316)&lt;=1),$P1316,"")</f>
        <v/>
      </c>
    </row>
    <row r="1317" spans="1:21">
      <c r="A1317" s="991" t="str">
        <f ca="1">IFERROR(IF(COUNTIF($A$3:A1316,A1316)&lt; INDEX(TinhGia!$BH$10:$BH$81,MATCH($A1316,TinhGia!$B$10:$B$81,0)),$A1316,INDEX(TinhGia!$B$10:$B$81,MATCH($A1316,TinhGia!$B$10:$B$81,0)+1)),"")</f>
        <v/>
      </c>
      <c r="B1317" s="525" t="str">
        <f ca="1">IF(OR(A1317="",A1317=0),"",IF(COUNTIF($A$2:A1317,$A1317)=1,ROW(MauKoXoa!$C$108),$B1316+1))</f>
        <v/>
      </c>
      <c r="C1317" s="992" t="str">
        <f t="shared" ca="1" si="200"/>
        <v/>
      </c>
      <c r="D1317" s="993" t="str">
        <f t="shared" ca="1" si="201"/>
        <v/>
      </c>
      <c r="E1317" s="993" t="str">
        <f t="shared" ca="1" si="202"/>
        <v/>
      </c>
      <c r="F1317" s="992" t="str">
        <f t="shared" ca="1" si="210"/>
        <v/>
      </c>
      <c r="G1317" s="994">
        <f t="shared" ca="1" si="203"/>
        <v>0</v>
      </c>
      <c r="H1317" s="913">
        <f t="shared" ca="1" si="204"/>
        <v>0</v>
      </c>
      <c r="I1317" s="913">
        <f t="shared" ca="1" si="205"/>
        <v>0</v>
      </c>
      <c r="J1317" s="995">
        <f t="shared" ca="1" si="211"/>
        <v>0</v>
      </c>
      <c r="K1317" s="913">
        <f t="shared" ca="1" si="206"/>
        <v>0</v>
      </c>
      <c r="L1317" s="995">
        <f t="shared" ca="1" si="212"/>
        <v>0</v>
      </c>
      <c r="M1317" s="913">
        <f t="shared" ca="1" si="207"/>
        <v>0</v>
      </c>
      <c r="N1317" s="996">
        <f t="shared" ca="1" si="208"/>
        <v>0</v>
      </c>
      <c r="O1317" s="997">
        <f t="shared" ca="1" si="209"/>
        <v>0</v>
      </c>
      <c r="P1317" s="1015" t="str">
        <f ca="1">IF($C1317="","",INDEX(NVLSX!$N$2:$N$6941,MATCH($C1317,NVLSX!$E$2:$E$6941,0)))</f>
        <v/>
      </c>
      <c r="Q1317" s="1016" t="str">
        <f ca="1">IF($R1317="","",IF(XKNVLSX!$X$1="",IF($P1317=$V$7,$P1317, IF(COUNTIFS($C$2:$C1316,$C1317,$E$2:$E1316,$E1317)&gt;=1,"",$P1317)),     IF(AND(IFERROR(SEARCH($R1317,XKNVLSX!$X$1,1),0)&gt;=1,$P1317=$V$7),$P1317, IF(OR($R1317&lt;&gt;IF(IFERROR(SEARCH($R1317,XKNVLSX!$X$1,1),0)&gt;=1,$R1317,XKNVLSX!$X$1),COUNTIFS($C$2:$C1316,$C1317,$E$2:$E1316,$E1317,$Q$2:$Q1316,$P1317)&gt;=1),"",$P1317))))</f>
        <v/>
      </c>
      <c r="R1317" s="1017" t="str">
        <f ca="1">IF($A1317="","",IFERROR(INDEX(TinhGia!$BF$10:$BF$81,MATCH($A1317,TinhGia!$B$10:$B$81,0)),""))</f>
        <v/>
      </c>
      <c r="S1317" s="1012" t="str">
        <f ca="1">IF($A1317="","",IF(OR(IFERROR(SEARCH($R1317,XKNVLSX!$X$1,1),0)&gt;=1,XKNVLSX!$X$1=""),$S$2,""))</f>
        <v/>
      </c>
      <c r="T1317" s="1018" t="str">
        <f ca="1">IF($C1317="","", IF(OR($P1317=$V$1,$P1317=$V$7,COUNTIFS($C$3:$C1317,$C1317,$E$3:$E1317,$E1317)&lt;=1),$P1317,""    ))</f>
        <v/>
      </c>
      <c r="U1317" s="1019" t="str">
        <f ca="1">IF(AND($P1317=$V$2,COUNTIFS($C$3:$C1317,$C1317,$E$3:$E1317,$E1317,$G$3:$G1317,$G1317)&lt;=1),$P1317,"")</f>
        <v/>
      </c>
    </row>
    <row r="1318" spans="1:21">
      <c r="A1318" s="991" t="str">
        <f ca="1">IFERROR(IF(COUNTIF($A$3:A1317,A1317)&lt; INDEX(TinhGia!$BH$10:$BH$81,MATCH($A1317,TinhGia!$B$10:$B$81,0)),$A1317,INDEX(TinhGia!$B$10:$B$81,MATCH($A1317,TinhGia!$B$10:$B$81,0)+1)),"")</f>
        <v/>
      </c>
      <c r="B1318" s="525" t="str">
        <f ca="1">IF(OR(A1318="",A1318=0),"",IF(COUNTIF($A$2:A1318,$A1318)=1,ROW(MauKoXoa!$C$108),$B1317+1))</f>
        <v/>
      </c>
      <c r="C1318" s="992" t="str">
        <f t="shared" ca="1" si="200"/>
        <v/>
      </c>
      <c r="D1318" s="993" t="str">
        <f t="shared" ca="1" si="201"/>
        <v/>
      </c>
      <c r="E1318" s="993" t="str">
        <f t="shared" ca="1" si="202"/>
        <v/>
      </c>
      <c r="F1318" s="992" t="str">
        <f t="shared" ca="1" si="210"/>
        <v/>
      </c>
      <c r="G1318" s="994">
        <f t="shared" ca="1" si="203"/>
        <v>0</v>
      </c>
      <c r="H1318" s="913">
        <f t="shared" ca="1" si="204"/>
        <v>0</v>
      </c>
      <c r="I1318" s="913">
        <f t="shared" ca="1" si="205"/>
        <v>0</v>
      </c>
      <c r="J1318" s="995">
        <f t="shared" ca="1" si="211"/>
        <v>0</v>
      </c>
      <c r="K1318" s="913">
        <f t="shared" ca="1" si="206"/>
        <v>0</v>
      </c>
      <c r="L1318" s="995">
        <f t="shared" ca="1" si="212"/>
        <v>0</v>
      </c>
      <c r="M1318" s="913">
        <f t="shared" ca="1" si="207"/>
        <v>0</v>
      </c>
      <c r="N1318" s="996">
        <f t="shared" ca="1" si="208"/>
        <v>0</v>
      </c>
      <c r="O1318" s="997">
        <f t="shared" ca="1" si="209"/>
        <v>0</v>
      </c>
      <c r="P1318" s="1015" t="str">
        <f ca="1">IF($C1318="","",INDEX(NVLSX!$N$2:$N$6941,MATCH($C1318,NVLSX!$E$2:$E$6941,0)))</f>
        <v/>
      </c>
      <c r="Q1318" s="1016" t="str">
        <f ca="1">IF($R1318="","",IF(XKNVLSX!$X$1="",IF($P1318=$V$7,$P1318, IF(COUNTIFS($C$2:$C1317,$C1318,$E$2:$E1317,$E1318)&gt;=1,"",$P1318)),     IF(AND(IFERROR(SEARCH($R1318,XKNVLSX!$X$1,1),0)&gt;=1,$P1318=$V$7),$P1318, IF(OR($R1318&lt;&gt;IF(IFERROR(SEARCH($R1318,XKNVLSX!$X$1,1),0)&gt;=1,$R1318,XKNVLSX!$X$1),COUNTIFS($C$2:$C1317,$C1318,$E$2:$E1317,$E1318,$Q$2:$Q1317,$P1318)&gt;=1),"",$P1318))))</f>
        <v/>
      </c>
      <c r="R1318" s="1017" t="str">
        <f ca="1">IF($A1318="","",IFERROR(INDEX(TinhGia!$BF$10:$BF$81,MATCH($A1318,TinhGia!$B$10:$B$81,0)),""))</f>
        <v/>
      </c>
      <c r="S1318" s="1012" t="str">
        <f ca="1">IF($A1318="","",IF(OR(IFERROR(SEARCH($R1318,XKNVLSX!$X$1,1),0)&gt;=1,XKNVLSX!$X$1=""),$S$2,""))</f>
        <v/>
      </c>
      <c r="T1318" s="1018" t="str">
        <f ca="1">IF($C1318="","", IF(OR($P1318=$V$1,$P1318=$V$7,COUNTIFS($C$3:$C1318,$C1318,$E$3:$E1318,$E1318)&lt;=1),$P1318,""    ))</f>
        <v/>
      </c>
      <c r="U1318" s="1019" t="str">
        <f ca="1">IF(AND($P1318=$V$2,COUNTIFS($C$3:$C1318,$C1318,$E$3:$E1318,$E1318,$G$3:$G1318,$G1318)&lt;=1),$P1318,"")</f>
        <v/>
      </c>
    </row>
    <row r="1319" spans="1:21">
      <c r="A1319" s="991" t="str">
        <f ca="1">IFERROR(IF(COUNTIF($A$3:A1318,A1318)&lt; INDEX(TinhGia!$BH$10:$BH$81,MATCH($A1318,TinhGia!$B$10:$B$81,0)),$A1318,INDEX(TinhGia!$B$10:$B$81,MATCH($A1318,TinhGia!$B$10:$B$81,0)+1)),"")</f>
        <v/>
      </c>
      <c r="B1319" s="525" t="str">
        <f ca="1">IF(OR(A1319="",A1319=0),"",IF(COUNTIF($A$2:A1319,$A1319)=1,ROW(MauKoXoa!$C$108),$B1318+1))</f>
        <v/>
      </c>
      <c r="C1319" s="992" t="str">
        <f t="shared" ca="1" si="200"/>
        <v/>
      </c>
      <c r="D1319" s="993" t="str">
        <f t="shared" ca="1" si="201"/>
        <v/>
      </c>
      <c r="E1319" s="993" t="str">
        <f t="shared" ca="1" si="202"/>
        <v/>
      </c>
      <c r="F1319" s="992" t="str">
        <f t="shared" ca="1" si="210"/>
        <v/>
      </c>
      <c r="G1319" s="994">
        <f t="shared" ca="1" si="203"/>
        <v>0</v>
      </c>
      <c r="H1319" s="913">
        <f t="shared" ca="1" si="204"/>
        <v>0</v>
      </c>
      <c r="I1319" s="913">
        <f t="shared" ca="1" si="205"/>
        <v>0</v>
      </c>
      <c r="J1319" s="995">
        <f t="shared" ca="1" si="211"/>
        <v>0</v>
      </c>
      <c r="K1319" s="913">
        <f t="shared" ca="1" si="206"/>
        <v>0</v>
      </c>
      <c r="L1319" s="995">
        <f t="shared" ca="1" si="212"/>
        <v>0</v>
      </c>
      <c r="M1319" s="913">
        <f t="shared" ca="1" si="207"/>
        <v>0</v>
      </c>
      <c r="N1319" s="996">
        <f t="shared" ca="1" si="208"/>
        <v>0</v>
      </c>
      <c r="O1319" s="997">
        <f t="shared" ca="1" si="209"/>
        <v>0</v>
      </c>
      <c r="P1319" s="1015" t="str">
        <f ca="1">IF($C1319="","",INDEX(NVLSX!$N$2:$N$6941,MATCH($C1319,NVLSX!$E$2:$E$6941,0)))</f>
        <v/>
      </c>
      <c r="Q1319" s="1016" t="str">
        <f ca="1">IF($R1319="","",IF(XKNVLSX!$X$1="",IF($P1319=$V$7,$P1319, IF(COUNTIFS($C$2:$C1318,$C1319,$E$2:$E1318,$E1319)&gt;=1,"",$P1319)),     IF(AND(IFERROR(SEARCH($R1319,XKNVLSX!$X$1,1),0)&gt;=1,$P1319=$V$7),$P1319, IF(OR($R1319&lt;&gt;IF(IFERROR(SEARCH($R1319,XKNVLSX!$X$1,1),0)&gt;=1,$R1319,XKNVLSX!$X$1),COUNTIFS($C$2:$C1318,$C1319,$E$2:$E1318,$E1319,$Q$2:$Q1318,$P1319)&gt;=1),"",$P1319))))</f>
        <v/>
      </c>
      <c r="R1319" s="1017" t="str">
        <f ca="1">IF($A1319="","",IFERROR(INDEX(TinhGia!$BF$10:$BF$81,MATCH($A1319,TinhGia!$B$10:$B$81,0)),""))</f>
        <v/>
      </c>
      <c r="S1319" s="1012" t="str">
        <f ca="1">IF($A1319="","",IF(OR(IFERROR(SEARCH($R1319,XKNVLSX!$X$1,1),0)&gt;=1,XKNVLSX!$X$1=""),$S$2,""))</f>
        <v/>
      </c>
      <c r="T1319" s="1018" t="str">
        <f ca="1">IF($C1319="","", IF(OR($P1319=$V$1,$P1319=$V$7,COUNTIFS($C$3:$C1319,$C1319,$E$3:$E1319,$E1319)&lt;=1),$P1319,""    ))</f>
        <v/>
      </c>
      <c r="U1319" s="1019" t="str">
        <f ca="1">IF(AND($P1319=$V$2,COUNTIFS($C$3:$C1319,$C1319,$E$3:$E1319,$E1319,$G$3:$G1319,$G1319)&lt;=1),$P1319,"")</f>
        <v/>
      </c>
    </row>
    <row r="1320" spans="1:21">
      <c r="A1320" s="991" t="str">
        <f ca="1">IFERROR(IF(COUNTIF($A$3:A1319,A1319)&lt; INDEX(TinhGia!$BH$10:$BH$81,MATCH($A1319,TinhGia!$B$10:$B$81,0)),$A1319,INDEX(TinhGia!$B$10:$B$81,MATCH($A1319,TinhGia!$B$10:$B$81,0)+1)),"")</f>
        <v/>
      </c>
      <c r="B1320" s="525" t="str">
        <f ca="1">IF(OR(A1320="",A1320=0),"",IF(COUNTIF($A$2:A1320,$A1320)=1,ROW(MauKoXoa!$C$108),$B1319+1))</f>
        <v/>
      </c>
      <c r="C1320" s="992" t="str">
        <f t="shared" ca="1" si="200"/>
        <v/>
      </c>
      <c r="D1320" s="993" t="str">
        <f t="shared" ca="1" si="201"/>
        <v/>
      </c>
      <c r="E1320" s="993" t="str">
        <f t="shared" ca="1" si="202"/>
        <v/>
      </c>
      <c r="F1320" s="992" t="str">
        <f t="shared" ca="1" si="210"/>
        <v/>
      </c>
      <c r="G1320" s="994">
        <f t="shared" ca="1" si="203"/>
        <v>0</v>
      </c>
      <c r="H1320" s="913">
        <f t="shared" ca="1" si="204"/>
        <v>0</v>
      </c>
      <c r="I1320" s="913">
        <f t="shared" ca="1" si="205"/>
        <v>0</v>
      </c>
      <c r="J1320" s="995">
        <f t="shared" ca="1" si="211"/>
        <v>0</v>
      </c>
      <c r="K1320" s="913">
        <f t="shared" ca="1" si="206"/>
        <v>0</v>
      </c>
      <c r="L1320" s="995">
        <f t="shared" ca="1" si="212"/>
        <v>0</v>
      </c>
      <c r="M1320" s="913">
        <f t="shared" ca="1" si="207"/>
        <v>0</v>
      </c>
      <c r="N1320" s="996">
        <f t="shared" ca="1" si="208"/>
        <v>0</v>
      </c>
      <c r="O1320" s="997">
        <f t="shared" ca="1" si="209"/>
        <v>0</v>
      </c>
      <c r="P1320" s="1015" t="str">
        <f ca="1">IF($C1320="","",INDEX(NVLSX!$N$2:$N$6941,MATCH($C1320,NVLSX!$E$2:$E$6941,0)))</f>
        <v/>
      </c>
      <c r="Q1320" s="1016" t="str">
        <f ca="1">IF($R1320="","",IF(XKNVLSX!$X$1="",IF($P1320=$V$7,$P1320, IF(COUNTIFS($C$2:$C1319,$C1320,$E$2:$E1319,$E1320)&gt;=1,"",$P1320)),     IF(AND(IFERROR(SEARCH($R1320,XKNVLSX!$X$1,1),0)&gt;=1,$P1320=$V$7),$P1320, IF(OR($R1320&lt;&gt;IF(IFERROR(SEARCH($R1320,XKNVLSX!$X$1,1),0)&gt;=1,$R1320,XKNVLSX!$X$1),COUNTIFS($C$2:$C1319,$C1320,$E$2:$E1319,$E1320,$Q$2:$Q1319,$P1320)&gt;=1),"",$P1320))))</f>
        <v/>
      </c>
      <c r="R1320" s="1017" t="str">
        <f ca="1">IF($A1320="","",IFERROR(INDEX(TinhGia!$BF$10:$BF$81,MATCH($A1320,TinhGia!$B$10:$B$81,0)),""))</f>
        <v/>
      </c>
      <c r="S1320" s="1012" t="str">
        <f ca="1">IF($A1320="","",IF(OR(IFERROR(SEARCH($R1320,XKNVLSX!$X$1,1),0)&gt;=1,XKNVLSX!$X$1=""),$S$2,""))</f>
        <v/>
      </c>
      <c r="T1320" s="1018" t="str">
        <f ca="1">IF($C1320="","", IF(OR($P1320=$V$1,$P1320=$V$7,COUNTIFS($C$3:$C1320,$C1320,$E$3:$E1320,$E1320)&lt;=1),$P1320,""    ))</f>
        <v/>
      </c>
      <c r="U1320" s="1019" t="str">
        <f ca="1">IF(AND($P1320=$V$2,COUNTIFS($C$3:$C1320,$C1320,$E$3:$E1320,$E1320,$G$3:$G1320,$G1320)&lt;=1),$P1320,"")</f>
        <v/>
      </c>
    </row>
    <row r="1321" spans="1:21">
      <c r="A1321" s="991" t="str">
        <f ca="1">IFERROR(IF(COUNTIF($A$3:A1320,A1320)&lt; INDEX(TinhGia!$BH$10:$BH$81,MATCH($A1320,TinhGia!$B$10:$B$81,0)),$A1320,INDEX(TinhGia!$B$10:$B$81,MATCH($A1320,TinhGia!$B$10:$B$81,0)+1)),"")</f>
        <v/>
      </c>
      <c r="B1321" s="525" t="str">
        <f ca="1">IF(OR(A1321="",A1321=0),"",IF(COUNTIF($A$2:A1321,$A1321)=1,ROW(MauKoXoa!$C$108),$B1320+1))</f>
        <v/>
      </c>
      <c r="C1321" s="992" t="str">
        <f t="shared" ca="1" si="200"/>
        <v/>
      </c>
      <c r="D1321" s="993" t="str">
        <f t="shared" ca="1" si="201"/>
        <v/>
      </c>
      <c r="E1321" s="993" t="str">
        <f t="shared" ca="1" si="202"/>
        <v/>
      </c>
      <c r="F1321" s="992" t="str">
        <f t="shared" ca="1" si="210"/>
        <v/>
      </c>
      <c r="G1321" s="994">
        <f t="shared" ca="1" si="203"/>
        <v>0</v>
      </c>
      <c r="H1321" s="913">
        <f t="shared" ca="1" si="204"/>
        <v>0</v>
      </c>
      <c r="I1321" s="913">
        <f t="shared" ca="1" si="205"/>
        <v>0</v>
      </c>
      <c r="J1321" s="995">
        <f t="shared" ca="1" si="211"/>
        <v>0</v>
      </c>
      <c r="K1321" s="913">
        <f t="shared" ca="1" si="206"/>
        <v>0</v>
      </c>
      <c r="L1321" s="995">
        <f t="shared" ca="1" si="212"/>
        <v>0</v>
      </c>
      <c r="M1321" s="913">
        <f t="shared" ca="1" si="207"/>
        <v>0</v>
      </c>
      <c r="N1321" s="996">
        <f t="shared" ca="1" si="208"/>
        <v>0</v>
      </c>
      <c r="O1321" s="997">
        <f t="shared" ca="1" si="209"/>
        <v>0</v>
      </c>
      <c r="P1321" s="1015" t="str">
        <f ca="1">IF($C1321="","",INDEX(NVLSX!$N$2:$N$6941,MATCH($C1321,NVLSX!$E$2:$E$6941,0)))</f>
        <v/>
      </c>
      <c r="Q1321" s="1016" t="str">
        <f ca="1">IF($R1321="","",IF(XKNVLSX!$X$1="",IF($P1321=$V$7,$P1321, IF(COUNTIFS($C$2:$C1320,$C1321,$E$2:$E1320,$E1321)&gt;=1,"",$P1321)),     IF(AND(IFERROR(SEARCH($R1321,XKNVLSX!$X$1,1),0)&gt;=1,$P1321=$V$7),$P1321, IF(OR($R1321&lt;&gt;IF(IFERROR(SEARCH($R1321,XKNVLSX!$X$1,1),0)&gt;=1,$R1321,XKNVLSX!$X$1),COUNTIFS($C$2:$C1320,$C1321,$E$2:$E1320,$E1321,$Q$2:$Q1320,$P1321)&gt;=1),"",$P1321))))</f>
        <v/>
      </c>
      <c r="R1321" s="1017" t="str">
        <f ca="1">IF($A1321="","",IFERROR(INDEX(TinhGia!$BF$10:$BF$81,MATCH($A1321,TinhGia!$B$10:$B$81,0)),""))</f>
        <v/>
      </c>
      <c r="S1321" s="1012" t="str">
        <f ca="1">IF($A1321="","",IF(OR(IFERROR(SEARCH($R1321,XKNVLSX!$X$1,1),0)&gt;=1,XKNVLSX!$X$1=""),$S$2,""))</f>
        <v/>
      </c>
      <c r="T1321" s="1018" t="str">
        <f ca="1">IF($C1321="","", IF(OR($P1321=$V$1,$P1321=$V$7,COUNTIFS($C$3:$C1321,$C1321,$E$3:$E1321,$E1321)&lt;=1),$P1321,""    ))</f>
        <v/>
      </c>
      <c r="U1321" s="1019" t="str">
        <f ca="1">IF(AND($P1321=$V$2,COUNTIFS($C$3:$C1321,$C1321,$E$3:$E1321,$E1321,$G$3:$G1321,$G1321)&lt;=1),$P1321,"")</f>
        <v/>
      </c>
    </row>
    <row r="1322" spans="1:21">
      <c r="A1322" s="991" t="str">
        <f ca="1">IFERROR(IF(COUNTIF($A$3:A1321,A1321)&lt; INDEX(TinhGia!$BH$10:$BH$81,MATCH($A1321,TinhGia!$B$10:$B$81,0)),$A1321,INDEX(TinhGia!$B$10:$B$81,MATCH($A1321,TinhGia!$B$10:$B$81,0)+1)),"")</f>
        <v/>
      </c>
      <c r="B1322" s="525" t="str">
        <f ca="1">IF(OR(A1322="",A1322=0),"",IF(COUNTIF($A$2:A1322,$A1322)=1,ROW(MauKoXoa!$C$108),$B1321+1))</f>
        <v/>
      </c>
      <c r="C1322" s="992" t="str">
        <f t="shared" ca="1" si="200"/>
        <v/>
      </c>
      <c r="D1322" s="993" t="str">
        <f t="shared" ca="1" si="201"/>
        <v/>
      </c>
      <c r="E1322" s="993" t="str">
        <f t="shared" ca="1" si="202"/>
        <v/>
      </c>
      <c r="F1322" s="992" t="str">
        <f t="shared" ca="1" si="210"/>
        <v/>
      </c>
      <c r="G1322" s="994">
        <f t="shared" ca="1" si="203"/>
        <v>0</v>
      </c>
      <c r="H1322" s="913">
        <f t="shared" ca="1" si="204"/>
        <v>0</v>
      </c>
      <c r="I1322" s="913">
        <f t="shared" ca="1" si="205"/>
        <v>0</v>
      </c>
      <c r="J1322" s="995">
        <f t="shared" ca="1" si="211"/>
        <v>0</v>
      </c>
      <c r="K1322" s="913">
        <f t="shared" ca="1" si="206"/>
        <v>0</v>
      </c>
      <c r="L1322" s="995">
        <f t="shared" ca="1" si="212"/>
        <v>0</v>
      </c>
      <c r="M1322" s="913">
        <f t="shared" ca="1" si="207"/>
        <v>0</v>
      </c>
      <c r="N1322" s="996">
        <f t="shared" ca="1" si="208"/>
        <v>0</v>
      </c>
      <c r="O1322" s="997">
        <f t="shared" ca="1" si="209"/>
        <v>0</v>
      </c>
      <c r="P1322" s="1015" t="str">
        <f ca="1">IF($C1322="","",INDEX(NVLSX!$N$2:$N$6941,MATCH($C1322,NVLSX!$E$2:$E$6941,0)))</f>
        <v/>
      </c>
      <c r="Q1322" s="1016" t="str">
        <f ca="1">IF($R1322="","",IF(XKNVLSX!$X$1="",IF($P1322=$V$7,$P1322, IF(COUNTIFS($C$2:$C1321,$C1322,$E$2:$E1321,$E1322)&gt;=1,"",$P1322)),     IF(AND(IFERROR(SEARCH($R1322,XKNVLSX!$X$1,1),0)&gt;=1,$P1322=$V$7),$P1322, IF(OR($R1322&lt;&gt;IF(IFERROR(SEARCH($R1322,XKNVLSX!$X$1,1),0)&gt;=1,$R1322,XKNVLSX!$X$1),COUNTIFS($C$2:$C1321,$C1322,$E$2:$E1321,$E1322,$Q$2:$Q1321,$P1322)&gt;=1),"",$P1322))))</f>
        <v/>
      </c>
      <c r="R1322" s="1017" t="str">
        <f ca="1">IF($A1322="","",IFERROR(INDEX(TinhGia!$BF$10:$BF$81,MATCH($A1322,TinhGia!$B$10:$B$81,0)),""))</f>
        <v/>
      </c>
      <c r="S1322" s="1012" t="str">
        <f ca="1">IF($A1322="","",IF(OR(IFERROR(SEARCH($R1322,XKNVLSX!$X$1,1),0)&gt;=1,XKNVLSX!$X$1=""),$S$2,""))</f>
        <v/>
      </c>
      <c r="T1322" s="1018" t="str">
        <f ca="1">IF($C1322="","", IF(OR($P1322=$V$1,$P1322=$V$7,COUNTIFS($C$3:$C1322,$C1322,$E$3:$E1322,$E1322)&lt;=1),$P1322,""    ))</f>
        <v/>
      </c>
      <c r="U1322" s="1019" t="str">
        <f ca="1">IF(AND($P1322=$V$2,COUNTIFS($C$3:$C1322,$C1322,$E$3:$E1322,$E1322,$G$3:$G1322,$G1322)&lt;=1),$P1322,"")</f>
        <v/>
      </c>
    </row>
    <row r="1323" spans="1:21">
      <c r="A1323" s="991" t="str">
        <f ca="1">IFERROR(IF(COUNTIF($A$3:A1322,A1322)&lt; INDEX(TinhGia!$BH$10:$BH$81,MATCH($A1322,TinhGia!$B$10:$B$81,0)),$A1322,INDEX(TinhGia!$B$10:$B$81,MATCH($A1322,TinhGia!$B$10:$B$81,0)+1)),"")</f>
        <v/>
      </c>
      <c r="B1323" s="525" t="str">
        <f ca="1">IF(OR(A1323="",A1323=0),"",IF(COUNTIF($A$2:A1323,$A1323)=1,ROW(MauKoXoa!$C$108),$B1322+1))</f>
        <v/>
      </c>
      <c r="C1323" s="992" t="str">
        <f t="shared" ca="1" si="200"/>
        <v/>
      </c>
      <c r="D1323" s="993" t="str">
        <f t="shared" ca="1" si="201"/>
        <v/>
      </c>
      <c r="E1323" s="993" t="str">
        <f t="shared" ca="1" si="202"/>
        <v/>
      </c>
      <c r="F1323" s="992" t="str">
        <f t="shared" ca="1" si="210"/>
        <v/>
      </c>
      <c r="G1323" s="994">
        <f t="shared" ca="1" si="203"/>
        <v>0</v>
      </c>
      <c r="H1323" s="913">
        <f t="shared" ca="1" si="204"/>
        <v>0</v>
      </c>
      <c r="I1323" s="913">
        <f t="shared" ca="1" si="205"/>
        <v>0</v>
      </c>
      <c r="J1323" s="995">
        <f t="shared" ca="1" si="211"/>
        <v>0</v>
      </c>
      <c r="K1323" s="913">
        <f t="shared" ca="1" si="206"/>
        <v>0</v>
      </c>
      <c r="L1323" s="995">
        <f t="shared" ca="1" si="212"/>
        <v>0</v>
      </c>
      <c r="M1323" s="913">
        <f t="shared" ca="1" si="207"/>
        <v>0</v>
      </c>
      <c r="N1323" s="996">
        <f t="shared" ca="1" si="208"/>
        <v>0</v>
      </c>
      <c r="O1323" s="997">
        <f t="shared" ca="1" si="209"/>
        <v>0</v>
      </c>
      <c r="P1323" s="1015" t="str">
        <f ca="1">IF($C1323="","",INDEX(NVLSX!$N$2:$N$6941,MATCH($C1323,NVLSX!$E$2:$E$6941,0)))</f>
        <v/>
      </c>
      <c r="Q1323" s="1016" t="str">
        <f ca="1">IF($R1323="","",IF(XKNVLSX!$X$1="",IF($P1323=$V$7,$P1323, IF(COUNTIFS($C$2:$C1322,$C1323,$E$2:$E1322,$E1323)&gt;=1,"",$P1323)),     IF(AND(IFERROR(SEARCH($R1323,XKNVLSX!$X$1,1),0)&gt;=1,$P1323=$V$7),$P1323, IF(OR($R1323&lt;&gt;IF(IFERROR(SEARCH($R1323,XKNVLSX!$X$1,1),0)&gt;=1,$R1323,XKNVLSX!$X$1),COUNTIFS($C$2:$C1322,$C1323,$E$2:$E1322,$E1323,$Q$2:$Q1322,$P1323)&gt;=1),"",$P1323))))</f>
        <v/>
      </c>
      <c r="R1323" s="1017" t="str">
        <f ca="1">IF($A1323="","",IFERROR(INDEX(TinhGia!$BF$10:$BF$81,MATCH($A1323,TinhGia!$B$10:$B$81,0)),""))</f>
        <v/>
      </c>
      <c r="S1323" s="1012" t="str">
        <f ca="1">IF($A1323="","",IF(OR(IFERROR(SEARCH($R1323,XKNVLSX!$X$1,1),0)&gt;=1,XKNVLSX!$X$1=""),$S$2,""))</f>
        <v/>
      </c>
      <c r="T1323" s="1018" t="str">
        <f ca="1">IF($C1323="","", IF(OR($P1323=$V$1,$P1323=$V$7,COUNTIFS($C$3:$C1323,$C1323,$E$3:$E1323,$E1323)&lt;=1),$P1323,""    ))</f>
        <v/>
      </c>
      <c r="U1323" s="1019" t="str">
        <f ca="1">IF(AND($P1323=$V$2,COUNTIFS($C$3:$C1323,$C1323,$E$3:$E1323,$E1323,$G$3:$G1323,$G1323)&lt;=1),$P1323,"")</f>
        <v/>
      </c>
    </row>
    <row r="1324" spans="1:21">
      <c r="A1324" s="991" t="str">
        <f ca="1">IFERROR(IF(COUNTIF($A$3:A1323,A1323)&lt; INDEX(TinhGia!$BH$10:$BH$81,MATCH($A1323,TinhGia!$B$10:$B$81,0)),$A1323,INDEX(TinhGia!$B$10:$B$81,MATCH($A1323,TinhGia!$B$10:$B$81,0)+1)),"")</f>
        <v/>
      </c>
      <c r="B1324" s="525" t="str">
        <f ca="1">IF(OR(A1324="",A1324=0),"",IF(COUNTIF($A$2:A1324,$A1324)=1,ROW(MauKoXoa!$C$108),$B1323+1))</f>
        <v/>
      </c>
      <c r="C1324" s="992" t="str">
        <f t="shared" ca="1" si="200"/>
        <v/>
      </c>
      <c r="D1324" s="993" t="str">
        <f t="shared" ca="1" si="201"/>
        <v/>
      </c>
      <c r="E1324" s="993" t="str">
        <f t="shared" ca="1" si="202"/>
        <v/>
      </c>
      <c r="F1324" s="992" t="str">
        <f t="shared" ca="1" si="210"/>
        <v/>
      </c>
      <c r="G1324" s="994">
        <f t="shared" ca="1" si="203"/>
        <v>0</v>
      </c>
      <c r="H1324" s="913">
        <f t="shared" ca="1" si="204"/>
        <v>0</v>
      </c>
      <c r="I1324" s="913">
        <f t="shared" ca="1" si="205"/>
        <v>0</v>
      </c>
      <c r="J1324" s="995">
        <f t="shared" ca="1" si="211"/>
        <v>0</v>
      </c>
      <c r="K1324" s="913">
        <f t="shared" ca="1" si="206"/>
        <v>0</v>
      </c>
      <c r="L1324" s="995">
        <f t="shared" ca="1" si="212"/>
        <v>0</v>
      </c>
      <c r="M1324" s="913">
        <f t="shared" ca="1" si="207"/>
        <v>0</v>
      </c>
      <c r="N1324" s="996">
        <f t="shared" ca="1" si="208"/>
        <v>0</v>
      </c>
      <c r="O1324" s="997">
        <f t="shared" ca="1" si="209"/>
        <v>0</v>
      </c>
      <c r="P1324" s="1015" t="str">
        <f ca="1">IF($C1324="","",INDEX(NVLSX!$N$2:$N$6941,MATCH($C1324,NVLSX!$E$2:$E$6941,0)))</f>
        <v/>
      </c>
      <c r="Q1324" s="1016" t="str">
        <f ca="1">IF($R1324="","",IF(XKNVLSX!$X$1="",IF($P1324=$V$7,$P1324, IF(COUNTIFS($C$2:$C1323,$C1324,$E$2:$E1323,$E1324)&gt;=1,"",$P1324)),     IF(AND(IFERROR(SEARCH($R1324,XKNVLSX!$X$1,1),0)&gt;=1,$P1324=$V$7),$P1324, IF(OR($R1324&lt;&gt;IF(IFERROR(SEARCH($R1324,XKNVLSX!$X$1,1),0)&gt;=1,$R1324,XKNVLSX!$X$1),COUNTIFS($C$2:$C1323,$C1324,$E$2:$E1323,$E1324,$Q$2:$Q1323,$P1324)&gt;=1),"",$P1324))))</f>
        <v/>
      </c>
      <c r="R1324" s="1017" t="str">
        <f ca="1">IF($A1324="","",IFERROR(INDEX(TinhGia!$BF$10:$BF$81,MATCH($A1324,TinhGia!$B$10:$B$81,0)),""))</f>
        <v/>
      </c>
      <c r="S1324" s="1012" t="str">
        <f ca="1">IF($A1324="","",IF(OR(IFERROR(SEARCH($R1324,XKNVLSX!$X$1,1),0)&gt;=1,XKNVLSX!$X$1=""),$S$2,""))</f>
        <v/>
      </c>
      <c r="T1324" s="1018" t="str">
        <f ca="1">IF($C1324="","", IF(OR($P1324=$V$1,$P1324=$V$7,COUNTIFS($C$3:$C1324,$C1324,$E$3:$E1324,$E1324)&lt;=1),$P1324,""    ))</f>
        <v/>
      </c>
      <c r="U1324" s="1019" t="str">
        <f ca="1">IF(AND($P1324=$V$2,COUNTIFS($C$3:$C1324,$C1324,$E$3:$E1324,$E1324,$G$3:$G1324,$G1324)&lt;=1),$P1324,"")</f>
        <v/>
      </c>
    </row>
    <row r="1325" spans="1:21">
      <c r="A1325" s="991" t="str">
        <f ca="1">IFERROR(IF(COUNTIF($A$3:A1324,A1324)&lt; INDEX(TinhGia!$BH$10:$BH$81,MATCH($A1324,TinhGia!$B$10:$B$81,0)),$A1324,INDEX(TinhGia!$B$10:$B$81,MATCH($A1324,TinhGia!$B$10:$B$81,0)+1)),"")</f>
        <v/>
      </c>
      <c r="B1325" s="525" t="str">
        <f ca="1">IF(OR(A1325="",A1325=0),"",IF(COUNTIF($A$2:A1325,$A1325)=1,ROW(MauKoXoa!$C$108),$B1324+1))</f>
        <v/>
      </c>
      <c r="C1325" s="992" t="str">
        <f t="shared" ca="1" si="200"/>
        <v/>
      </c>
      <c r="D1325" s="993" t="str">
        <f t="shared" ca="1" si="201"/>
        <v/>
      </c>
      <c r="E1325" s="993" t="str">
        <f t="shared" ca="1" si="202"/>
        <v/>
      </c>
      <c r="F1325" s="992" t="str">
        <f t="shared" ca="1" si="210"/>
        <v/>
      </c>
      <c r="G1325" s="994">
        <f t="shared" ca="1" si="203"/>
        <v>0</v>
      </c>
      <c r="H1325" s="913">
        <f t="shared" ca="1" si="204"/>
        <v>0</v>
      </c>
      <c r="I1325" s="913">
        <f t="shared" ca="1" si="205"/>
        <v>0</v>
      </c>
      <c r="J1325" s="995">
        <f t="shared" ca="1" si="211"/>
        <v>0</v>
      </c>
      <c r="K1325" s="913">
        <f t="shared" ca="1" si="206"/>
        <v>0</v>
      </c>
      <c r="L1325" s="995">
        <f t="shared" ca="1" si="212"/>
        <v>0</v>
      </c>
      <c r="M1325" s="913">
        <f t="shared" ca="1" si="207"/>
        <v>0</v>
      </c>
      <c r="N1325" s="996">
        <f t="shared" ca="1" si="208"/>
        <v>0</v>
      </c>
      <c r="O1325" s="997">
        <f t="shared" ca="1" si="209"/>
        <v>0</v>
      </c>
      <c r="P1325" s="1015" t="str">
        <f ca="1">IF($C1325="","",INDEX(NVLSX!$N$2:$N$6941,MATCH($C1325,NVLSX!$E$2:$E$6941,0)))</f>
        <v/>
      </c>
      <c r="Q1325" s="1016" t="str">
        <f ca="1">IF($R1325="","",IF(XKNVLSX!$X$1="",IF($P1325=$V$7,$P1325, IF(COUNTIFS($C$2:$C1324,$C1325,$E$2:$E1324,$E1325)&gt;=1,"",$P1325)),     IF(AND(IFERROR(SEARCH($R1325,XKNVLSX!$X$1,1),0)&gt;=1,$P1325=$V$7),$P1325, IF(OR($R1325&lt;&gt;IF(IFERROR(SEARCH($R1325,XKNVLSX!$X$1,1),0)&gt;=1,$R1325,XKNVLSX!$X$1),COUNTIFS($C$2:$C1324,$C1325,$E$2:$E1324,$E1325,$Q$2:$Q1324,$P1325)&gt;=1),"",$P1325))))</f>
        <v/>
      </c>
      <c r="R1325" s="1017" t="str">
        <f ca="1">IF($A1325="","",IFERROR(INDEX(TinhGia!$BF$10:$BF$81,MATCH($A1325,TinhGia!$B$10:$B$81,0)),""))</f>
        <v/>
      </c>
      <c r="S1325" s="1012" t="str">
        <f ca="1">IF($A1325="","",IF(OR(IFERROR(SEARCH($R1325,XKNVLSX!$X$1,1),0)&gt;=1,XKNVLSX!$X$1=""),$S$2,""))</f>
        <v/>
      </c>
      <c r="T1325" s="1018" t="str">
        <f ca="1">IF($C1325="","", IF(OR($P1325=$V$1,$P1325=$V$7,COUNTIFS($C$3:$C1325,$C1325,$E$3:$E1325,$E1325)&lt;=1),$P1325,""    ))</f>
        <v/>
      </c>
      <c r="U1325" s="1019" t="str">
        <f ca="1">IF(AND($P1325=$V$2,COUNTIFS($C$3:$C1325,$C1325,$E$3:$E1325,$E1325,$G$3:$G1325,$G1325)&lt;=1),$P1325,"")</f>
        <v/>
      </c>
    </row>
    <row r="1326" spans="1:21">
      <c r="A1326" s="991" t="str">
        <f ca="1">IFERROR(IF(COUNTIF($A$3:A1325,A1325)&lt; INDEX(TinhGia!$BH$10:$BH$81,MATCH($A1325,TinhGia!$B$10:$B$81,0)),$A1325,INDEX(TinhGia!$B$10:$B$81,MATCH($A1325,TinhGia!$B$10:$B$81,0)+1)),"")</f>
        <v/>
      </c>
      <c r="B1326" s="525" t="str">
        <f ca="1">IF(OR(A1326="",A1326=0),"",IF(COUNTIF($A$2:A1326,$A1326)=1,ROW(MauKoXoa!$C$108),$B1325+1))</f>
        <v/>
      </c>
      <c r="C1326" s="992" t="str">
        <f t="shared" ca="1" si="200"/>
        <v/>
      </c>
      <c r="D1326" s="993" t="str">
        <f t="shared" ca="1" si="201"/>
        <v/>
      </c>
      <c r="E1326" s="993" t="str">
        <f t="shared" ca="1" si="202"/>
        <v/>
      </c>
      <c r="F1326" s="992" t="str">
        <f t="shared" ca="1" si="210"/>
        <v/>
      </c>
      <c r="G1326" s="994">
        <f t="shared" ca="1" si="203"/>
        <v>0</v>
      </c>
      <c r="H1326" s="913">
        <f t="shared" ca="1" si="204"/>
        <v>0</v>
      </c>
      <c r="I1326" s="913">
        <f t="shared" ca="1" si="205"/>
        <v>0</v>
      </c>
      <c r="J1326" s="995">
        <f t="shared" ca="1" si="211"/>
        <v>0</v>
      </c>
      <c r="K1326" s="913">
        <f t="shared" ca="1" si="206"/>
        <v>0</v>
      </c>
      <c r="L1326" s="995">
        <f t="shared" ca="1" si="212"/>
        <v>0</v>
      </c>
      <c r="M1326" s="913">
        <f t="shared" ca="1" si="207"/>
        <v>0</v>
      </c>
      <c r="N1326" s="996">
        <f t="shared" ca="1" si="208"/>
        <v>0</v>
      </c>
      <c r="O1326" s="997">
        <f t="shared" ca="1" si="209"/>
        <v>0</v>
      </c>
      <c r="P1326" s="1015" t="str">
        <f ca="1">IF($C1326="","",INDEX(NVLSX!$N$2:$N$6941,MATCH($C1326,NVLSX!$E$2:$E$6941,0)))</f>
        <v/>
      </c>
      <c r="Q1326" s="1016" t="str">
        <f ca="1">IF($R1326="","",IF(XKNVLSX!$X$1="",IF($P1326=$V$7,$P1326, IF(COUNTIFS($C$2:$C1325,$C1326,$E$2:$E1325,$E1326)&gt;=1,"",$P1326)),     IF(AND(IFERROR(SEARCH($R1326,XKNVLSX!$X$1,1),0)&gt;=1,$P1326=$V$7),$P1326, IF(OR($R1326&lt;&gt;IF(IFERROR(SEARCH($R1326,XKNVLSX!$X$1,1),0)&gt;=1,$R1326,XKNVLSX!$X$1),COUNTIFS($C$2:$C1325,$C1326,$E$2:$E1325,$E1326,$Q$2:$Q1325,$P1326)&gt;=1),"",$P1326))))</f>
        <v/>
      </c>
      <c r="R1326" s="1017" t="str">
        <f ca="1">IF($A1326="","",IFERROR(INDEX(TinhGia!$BF$10:$BF$81,MATCH($A1326,TinhGia!$B$10:$B$81,0)),""))</f>
        <v/>
      </c>
      <c r="S1326" s="1012" t="str">
        <f ca="1">IF($A1326="","",IF(OR(IFERROR(SEARCH($R1326,XKNVLSX!$X$1,1),0)&gt;=1,XKNVLSX!$X$1=""),$S$2,""))</f>
        <v/>
      </c>
      <c r="T1326" s="1018" t="str">
        <f ca="1">IF($C1326="","", IF(OR($P1326=$V$1,$P1326=$V$7,COUNTIFS($C$3:$C1326,$C1326,$E$3:$E1326,$E1326)&lt;=1),$P1326,""    ))</f>
        <v/>
      </c>
      <c r="U1326" s="1019" t="str">
        <f ca="1">IF(AND($P1326=$V$2,COUNTIFS($C$3:$C1326,$C1326,$E$3:$E1326,$E1326,$G$3:$G1326,$G1326)&lt;=1),$P1326,"")</f>
        <v/>
      </c>
    </row>
    <row r="1327" spans="1:21">
      <c r="A1327" s="991" t="str">
        <f ca="1">IFERROR(IF(COUNTIF($A$3:A1326,A1326)&lt; INDEX(TinhGia!$BH$10:$BH$81,MATCH($A1326,TinhGia!$B$10:$B$81,0)),$A1326,INDEX(TinhGia!$B$10:$B$81,MATCH($A1326,TinhGia!$B$10:$B$81,0)+1)),"")</f>
        <v/>
      </c>
      <c r="B1327" s="525" t="str">
        <f ca="1">IF(OR(A1327="",A1327=0),"",IF(COUNTIF($A$2:A1327,$A1327)=1,ROW(MauKoXoa!$C$108),$B1326+1))</f>
        <v/>
      </c>
      <c r="C1327" s="992" t="str">
        <f t="shared" ca="1" si="200"/>
        <v/>
      </c>
      <c r="D1327" s="993" t="str">
        <f t="shared" ca="1" si="201"/>
        <v/>
      </c>
      <c r="E1327" s="993" t="str">
        <f t="shared" ca="1" si="202"/>
        <v/>
      </c>
      <c r="F1327" s="992" t="str">
        <f t="shared" ca="1" si="210"/>
        <v/>
      </c>
      <c r="G1327" s="994">
        <f t="shared" ca="1" si="203"/>
        <v>0</v>
      </c>
      <c r="H1327" s="913">
        <f t="shared" ca="1" si="204"/>
        <v>0</v>
      </c>
      <c r="I1327" s="913">
        <f t="shared" ca="1" si="205"/>
        <v>0</v>
      </c>
      <c r="J1327" s="995">
        <f t="shared" ca="1" si="211"/>
        <v>0</v>
      </c>
      <c r="K1327" s="913">
        <f t="shared" ca="1" si="206"/>
        <v>0</v>
      </c>
      <c r="L1327" s="995">
        <f t="shared" ca="1" si="212"/>
        <v>0</v>
      </c>
      <c r="M1327" s="913">
        <f t="shared" ca="1" si="207"/>
        <v>0</v>
      </c>
      <c r="N1327" s="996">
        <f t="shared" ca="1" si="208"/>
        <v>0</v>
      </c>
      <c r="O1327" s="997">
        <f t="shared" ca="1" si="209"/>
        <v>0</v>
      </c>
      <c r="P1327" s="1015" t="str">
        <f ca="1">IF($C1327="","",INDEX(NVLSX!$N$2:$N$6941,MATCH($C1327,NVLSX!$E$2:$E$6941,0)))</f>
        <v/>
      </c>
      <c r="Q1327" s="1016" t="str">
        <f ca="1">IF($R1327="","",IF(XKNVLSX!$X$1="",IF($P1327=$V$7,$P1327, IF(COUNTIFS($C$2:$C1326,$C1327,$E$2:$E1326,$E1327)&gt;=1,"",$P1327)),     IF(AND(IFERROR(SEARCH($R1327,XKNVLSX!$X$1,1),0)&gt;=1,$P1327=$V$7),$P1327, IF(OR($R1327&lt;&gt;IF(IFERROR(SEARCH($R1327,XKNVLSX!$X$1,1),0)&gt;=1,$R1327,XKNVLSX!$X$1),COUNTIFS($C$2:$C1326,$C1327,$E$2:$E1326,$E1327,$Q$2:$Q1326,$P1327)&gt;=1),"",$P1327))))</f>
        <v/>
      </c>
      <c r="R1327" s="1017" t="str">
        <f ca="1">IF($A1327="","",IFERROR(INDEX(TinhGia!$BF$10:$BF$81,MATCH($A1327,TinhGia!$B$10:$B$81,0)),""))</f>
        <v/>
      </c>
      <c r="S1327" s="1012" t="str">
        <f ca="1">IF($A1327="","",IF(OR(IFERROR(SEARCH($R1327,XKNVLSX!$X$1,1),0)&gt;=1,XKNVLSX!$X$1=""),$S$2,""))</f>
        <v/>
      </c>
      <c r="T1327" s="1018" t="str">
        <f ca="1">IF($C1327="","", IF(OR($P1327=$V$1,$P1327=$V$7,COUNTIFS($C$3:$C1327,$C1327,$E$3:$E1327,$E1327)&lt;=1),$P1327,""    ))</f>
        <v/>
      </c>
      <c r="U1327" s="1019" t="str">
        <f ca="1">IF(AND($P1327=$V$2,COUNTIFS($C$3:$C1327,$C1327,$E$3:$E1327,$E1327,$G$3:$G1327,$G1327)&lt;=1),$P1327,"")</f>
        <v/>
      </c>
    </row>
    <row r="1328" spans="1:21">
      <c r="A1328" s="991" t="str">
        <f ca="1">IFERROR(IF(COUNTIF($A$3:A1327,A1327)&lt; INDEX(TinhGia!$BH$10:$BH$81,MATCH($A1327,TinhGia!$B$10:$B$81,0)),$A1327,INDEX(TinhGia!$B$10:$B$81,MATCH($A1327,TinhGia!$B$10:$B$81,0)+1)),"")</f>
        <v/>
      </c>
      <c r="B1328" s="525" t="str">
        <f ca="1">IF(OR(A1328="",A1328=0),"",IF(COUNTIF($A$2:A1328,$A1328)=1,ROW(MauKoXoa!$C$108),$B1327+1))</f>
        <v/>
      </c>
      <c r="C1328" s="992" t="str">
        <f t="shared" ca="1" si="200"/>
        <v/>
      </c>
      <c r="D1328" s="993" t="str">
        <f t="shared" ca="1" si="201"/>
        <v/>
      </c>
      <c r="E1328" s="993" t="str">
        <f t="shared" ca="1" si="202"/>
        <v/>
      </c>
      <c r="F1328" s="992" t="str">
        <f t="shared" ca="1" si="210"/>
        <v/>
      </c>
      <c r="G1328" s="994">
        <f t="shared" ca="1" si="203"/>
        <v>0</v>
      </c>
      <c r="H1328" s="913">
        <f t="shared" ca="1" si="204"/>
        <v>0</v>
      </c>
      <c r="I1328" s="913">
        <f t="shared" ca="1" si="205"/>
        <v>0</v>
      </c>
      <c r="J1328" s="995">
        <f t="shared" ca="1" si="211"/>
        <v>0</v>
      </c>
      <c r="K1328" s="913">
        <f t="shared" ca="1" si="206"/>
        <v>0</v>
      </c>
      <c r="L1328" s="995">
        <f t="shared" ca="1" si="212"/>
        <v>0</v>
      </c>
      <c r="M1328" s="913">
        <f t="shared" ca="1" si="207"/>
        <v>0</v>
      </c>
      <c r="N1328" s="996">
        <f t="shared" ca="1" si="208"/>
        <v>0</v>
      </c>
      <c r="O1328" s="997">
        <f t="shared" ca="1" si="209"/>
        <v>0</v>
      </c>
      <c r="P1328" s="1015" t="str">
        <f ca="1">IF($C1328="","",INDEX(NVLSX!$N$2:$N$6941,MATCH($C1328,NVLSX!$E$2:$E$6941,0)))</f>
        <v/>
      </c>
      <c r="Q1328" s="1016" t="str">
        <f ca="1">IF($R1328="","",IF(XKNVLSX!$X$1="",IF($P1328=$V$7,$P1328, IF(COUNTIFS($C$2:$C1327,$C1328,$E$2:$E1327,$E1328)&gt;=1,"",$P1328)),     IF(AND(IFERROR(SEARCH($R1328,XKNVLSX!$X$1,1),0)&gt;=1,$P1328=$V$7),$P1328, IF(OR($R1328&lt;&gt;IF(IFERROR(SEARCH($R1328,XKNVLSX!$X$1,1),0)&gt;=1,$R1328,XKNVLSX!$X$1),COUNTIFS($C$2:$C1327,$C1328,$E$2:$E1327,$E1328,$Q$2:$Q1327,$P1328)&gt;=1),"",$P1328))))</f>
        <v/>
      </c>
      <c r="R1328" s="1017" t="str">
        <f ca="1">IF($A1328="","",IFERROR(INDEX(TinhGia!$BF$10:$BF$81,MATCH($A1328,TinhGia!$B$10:$B$81,0)),""))</f>
        <v/>
      </c>
      <c r="S1328" s="1012" t="str">
        <f ca="1">IF($A1328="","",IF(OR(IFERROR(SEARCH($R1328,XKNVLSX!$X$1,1),0)&gt;=1,XKNVLSX!$X$1=""),$S$2,""))</f>
        <v/>
      </c>
      <c r="T1328" s="1018" t="str">
        <f ca="1">IF($C1328="","", IF(OR($P1328=$V$1,$P1328=$V$7,COUNTIFS($C$3:$C1328,$C1328,$E$3:$E1328,$E1328)&lt;=1),$P1328,""    ))</f>
        <v/>
      </c>
      <c r="U1328" s="1019" t="str">
        <f ca="1">IF(AND($P1328=$V$2,COUNTIFS($C$3:$C1328,$C1328,$E$3:$E1328,$E1328,$G$3:$G1328,$G1328)&lt;=1),$P1328,"")</f>
        <v/>
      </c>
    </row>
    <row r="1329" spans="1:21">
      <c r="A1329" s="991" t="str">
        <f ca="1">IFERROR(IF(COUNTIF($A$3:A1328,A1328)&lt; INDEX(TinhGia!$BH$10:$BH$81,MATCH($A1328,TinhGia!$B$10:$B$81,0)),$A1328,INDEX(TinhGia!$B$10:$B$81,MATCH($A1328,TinhGia!$B$10:$B$81,0)+1)),"")</f>
        <v/>
      </c>
      <c r="B1329" s="525" t="str">
        <f ca="1">IF(OR(A1329="",A1329=0),"",IF(COUNTIF($A$2:A1329,$A1329)=1,ROW(MauKoXoa!$C$108),$B1328+1))</f>
        <v/>
      </c>
      <c r="C1329" s="992" t="str">
        <f t="shared" ca="1" si="200"/>
        <v/>
      </c>
      <c r="D1329" s="993" t="str">
        <f t="shared" ca="1" si="201"/>
        <v/>
      </c>
      <c r="E1329" s="993" t="str">
        <f t="shared" ca="1" si="202"/>
        <v/>
      </c>
      <c r="F1329" s="992" t="str">
        <f t="shared" ca="1" si="210"/>
        <v/>
      </c>
      <c r="G1329" s="994">
        <f t="shared" ca="1" si="203"/>
        <v>0</v>
      </c>
      <c r="H1329" s="913">
        <f t="shared" ca="1" si="204"/>
        <v>0</v>
      </c>
      <c r="I1329" s="913">
        <f t="shared" ca="1" si="205"/>
        <v>0</v>
      </c>
      <c r="J1329" s="995">
        <f t="shared" ca="1" si="211"/>
        <v>0</v>
      </c>
      <c r="K1329" s="913">
        <f t="shared" ca="1" si="206"/>
        <v>0</v>
      </c>
      <c r="L1329" s="995">
        <f t="shared" ca="1" si="212"/>
        <v>0</v>
      </c>
      <c r="M1329" s="913">
        <f t="shared" ca="1" si="207"/>
        <v>0</v>
      </c>
      <c r="N1329" s="996">
        <f t="shared" ca="1" si="208"/>
        <v>0</v>
      </c>
      <c r="O1329" s="997">
        <f t="shared" ca="1" si="209"/>
        <v>0</v>
      </c>
      <c r="P1329" s="1015" t="str">
        <f ca="1">IF($C1329="","",INDEX(NVLSX!$N$2:$N$6941,MATCH($C1329,NVLSX!$E$2:$E$6941,0)))</f>
        <v/>
      </c>
      <c r="Q1329" s="1016" t="str">
        <f ca="1">IF($R1329="","",IF(XKNVLSX!$X$1="",IF($P1329=$V$7,$P1329, IF(COUNTIFS($C$2:$C1328,$C1329,$E$2:$E1328,$E1329)&gt;=1,"",$P1329)),     IF(AND(IFERROR(SEARCH($R1329,XKNVLSX!$X$1,1),0)&gt;=1,$P1329=$V$7),$P1329, IF(OR($R1329&lt;&gt;IF(IFERROR(SEARCH($R1329,XKNVLSX!$X$1,1),0)&gt;=1,$R1329,XKNVLSX!$X$1),COUNTIFS($C$2:$C1328,$C1329,$E$2:$E1328,$E1329,$Q$2:$Q1328,$P1329)&gt;=1),"",$P1329))))</f>
        <v/>
      </c>
      <c r="R1329" s="1017" t="str">
        <f ca="1">IF($A1329="","",IFERROR(INDEX(TinhGia!$BF$10:$BF$81,MATCH($A1329,TinhGia!$B$10:$B$81,0)),""))</f>
        <v/>
      </c>
      <c r="S1329" s="1012" t="str">
        <f ca="1">IF($A1329="","",IF(OR(IFERROR(SEARCH($R1329,XKNVLSX!$X$1,1),0)&gt;=1,XKNVLSX!$X$1=""),$S$2,""))</f>
        <v/>
      </c>
      <c r="T1329" s="1018" t="str">
        <f ca="1">IF($C1329="","", IF(OR($P1329=$V$1,$P1329=$V$7,COUNTIFS($C$3:$C1329,$C1329,$E$3:$E1329,$E1329)&lt;=1),$P1329,""    ))</f>
        <v/>
      </c>
      <c r="U1329" s="1019" t="str">
        <f ca="1">IF(AND($P1329=$V$2,COUNTIFS($C$3:$C1329,$C1329,$E$3:$E1329,$E1329,$G$3:$G1329,$G1329)&lt;=1),$P1329,"")</f>
        <v/>
      </c>
    </row>
    <row r="1330" spans="1:21">
      <c r="A1330" s="991" t="str">
        <f ca="1">IFERROR(IF(COUNTIF($A$3:A1329,A1329)&lt; INDEX(TinhGia!$BH$10:$BH$81,MATCH($A1329,TinhGia!$B$10:$B$81,0)),$A1329,INDEX(TinhGia!$B$10:$B$81,MATCH($A1329,TinhGia!$B$10:$B$81,0)+1)),"")</f>
        <v/>
      </c>
      <c r="B1330" s="525" t="str">
        <f ca="1">IF(OR(A1330="",A1330=0),"",IF(COUNTIF($A$2:A1330,$A1330)=1,ROW(MauKoXoa!$C$108),$B1329+1))</f>
        <v/>
      </c>
      <c r="C1330" s="992" t="str">
        <f t="shared" ca="1" si="200"/>
        <v/>
      </c>
      <c r="D1330" s="993" t="str">
        <f t="shared" ca="1" si="201"/>
        <v/>
      </c>
      <c r="E1330" s="993" t="str">
        <f t="shared" ca="1" si="202"/>
        <v/>
      </c>
      <c r="F1330" s="992" t="str">
        <f t="shared" ca="1" si="210"/>
        <v/>
      </c>
      <c r="G1330" s="994">
        <f t="shared" ca="1" si="203"/>
        <v>0</v>
      </c>
      <c r="H1330" s="913">
        <f t="shared" ca="1" si="204"/>
        <v>0</v>
      </c>
      <c r="I1330" s="913">
        <f t="shared" ca="1" si="205"/>
        <v>0</v>
      </c>
      <c r="J1330" s="995">
        <f t="shared" ca="1" si="211"/>
        <v>0</v>
      </c>
      <c r="K1330" s="913">
        <f t="shared" ca="1" si="206"/>
        <v>0</v>
      </c>
      <c r="L1330" s="995">
        <f t="shared" ca="1" si="212"/>
        <v>0</v>
      </c>
      <c r="M1330" s="913">
        <f t="shared" ca="1" si="207"/>
        <v>0</v>
      </c>
      <c r="N1330" s="996">
        <f t="shared" ca="1" si="208"/>
        <v>0</v>
      </c>
      <c r="O1330" s="997">
        <f t="shared" ca="1" si="209"/>
        <v>0</v>
      </c>
      <c r="P1330" s="1015" t="str">
        <f ca="1">IF($C1330="","",INDEX(NVLSX!$N$2:$N$6941,MATCH($C1330,NVLSX!$E$2:$E$6941,0)))</f>
        <v/>
      </c>
      <c r="Q1330" s="1016" t="str">
        <f ca="1">IF($R1330="","",IF(XKNVLSX!$X$1="",IF($P1330=$V$7,$P1330, IF(COUNTIFS($C$2:$C1329,$C1330,$E$2:$E1329,$E1330)&gt;=1,"",$P1330)),     IF(AND(IFERROR(SEARCH($R1330,XKNVLSX!$X$1,1),0)&gt;=1,$P1330=$V$7),$P1330, IF(OR($R1330&lt;&gt;IF(IFERROR(SEARCH($R1330,XKNVLSX!$X$1,1),0)&gt;=1,$R1330,XKNVLSX!$X$1),COUNTIFS($C$2:$C1329,$C1330,$E$2:$E1329,$E1330,$Q$2:$Q1329,$P1330)&gt;=1),"",$P1330))))</f>
        <v/>
      </c>
      <c r="R1330" s="1017" t="str">
        <f ca="1">IF($A1330="","",IFERROR(INDEX(TinhGia!$BF$10:$BF$81,MATCH($A1330,TinhGia!$B$10:$B$81,0)),""))</f>
        <v/>
      </c>
      <c r="S1330" s="1012" t="str">
        <f ca="1">IF($A1330="","",IF(OR(IFERROR(SEARCH($R1330,XKNVLSX!$X$1,1),0)&gt;=1,XKNVLSX!$X$1=""),$S$2,""))</f>
        <v/>
      </c>
      <c r="T1330" s="1018" t="str">
        <f ca="1">IF($C1330="","", IF(OR($P1330=$V$1,$P1330=$V$7,COUNTIFS($C$3:$C1330,$C1330,$E$3:$E1330,$E1330)&lt;=1),$P1330,""    ))</f>
        <v/>
      </c>
      <c r="U1330" s="1019" t="str">
        <f ca="1">IF(AND($P1330=$V$2,COUNTIFS($C$3:$C1330,$C1330,$E$3:$E1330,$E1330,$G$3:$G1330,$G1330)&lt;=1),$P1330,"")</f>
        <v/>
      </c>
    </row>
    <row r="1331" spans="1:21">
      <c r="A1331" s="991" t="str">
        <f ca="1">IFERROR(IF(COUNTIF($A$3:A1330,A1330)&lt; INDEX(TinhGia!$BH$10:$BH$81,MATCH($A1330,TinhGia!$B$10:$B$81,0)),$A1330,INDEX(TinhGia!$B$10:$B$81,MATCH($A1330,TinhGia!$B$10:$B$81,0)+1)),"")</f>
        <v/>
      </c>
      <c r="B1331" s="525" t="str">
        <f ca="1">IF(OR(A1331="",A1331=0),"",IF(COUNTIF($A$2:A1331,$A1331)=1,ROW(MauKoXoa!$C$108),$B1330+1))</f>
        <v/>
      </c>
      <c r="C1331" s="992" t="str">
        <f t="shared" ca="1" si="200"/>
        <v/>
      </c>
      <c r="D1331" s="993" t="str">
        <f t="shared" ca="1" si="201"/>
        <v/>
      </c>
      <c r="E1331" s="993" t="str">
        <f t="shared" ca="1" si="202"/>
        <v/>
      </c>
      <c r="F1331" s="992" t="str">
        <f t="shared" ca="1" si="210"/>
        <v/>
      </c>
      <c r="G1331" s="994">
        <f t="shared" ca="1" si="203"/>
        <v>0</v>
      </c>
      <c r="H1331" s="913">
        <f t="shared" ca="1" si="204"/>
        <v>0</v>
      </c>
      <c r="I1331" s="913">
        <f t="shared" ca="1" si="205"/>
        <v>0</v>
      </c>
      <c r="J1331" s="995">
        <f t="shared" ca="1" si="211"/>
        <v>0</v>
      </c>
      <c r="K1331" s="913">
        <f t="shared" ca="1" si="206"/>
        <v>0</v>
      </c>
      <c r="L1331" s="995">
        <f t="shared" ca="1" si="212"/>
        <v>0</v>
      </c>
      <c r="M1331" s="913">
        <f t="shared" ca="1" si="207"/>
        <v>0</v>
      </c>
      <c r="N1331" s="996">
        <f t="shared" ca="1" si="208"/>
        <v>0</v>
      </c>
      <c r="O1331" s="997">
        <f t="shared" ca="1" si="209"/>
        <v>0</v>
      </c>
      <c r="P1331" s="1015" t="str">
        <f ca="1">IF($C1331="","",INDEX(NVLSX!$N$2:$N$6941,MATCH($C1331,NVLSX!$E$2:$E$6941,0)))</f>
        <v/>
      </c>
      <c r="Q1331" s="1016" t="str">
        <f ca="1">IF($R1331="","",IF(XKNVLSX!$X$1="",IF($P1331=$V$7,$P1331, IF(COUNTIFS($C$2:$C1330,$C1331,$E$2:$E1330,$E1331)&gt;=1,"",$P1331)),     IF(AND(IFERROR(SEARCH($R1331,XKNVLSX!$X$1,1),0)&gt;=1,$P1331=$V$7),$P1331, IF(OR($R1331&lt;&gt;IF(IFERROR(SEARCH($R1331,XKNVLSX!$X$1,1),0)&gt;=1,$R1331,XKNVLSX!$X$1),COUNTIFS($C$2:$C1330,$C1331,$E$2:$E1330,$E1331,$Q$2:$Q1330,$P1331)&gt;=1),"",$P1331))))</f>
        <v/>
      </c>
      <c r="R1331" s="1017" t="str">
        <f ca="1">IF($A1331="","",IFERROR(INDEX(TinhGia!$BF$10:$BF$81,MATCH($A1331,TinhGia!$B$10:$B$81,0)),""))</f>
        <v/>
      </c>
      <c r="S1331" s="1012" t="str">
        <f ca="1">IF($A1331="","",IF(OR(IFERROR(SEARCH($R1331,XKNVLSX!$X$1,1),0)&gt;=1,XKNVLSX!$X$1=""),$S$2,""))</f>
        <v/>
      </c>
      <c r="T1331" s="1018" t="str">
        <f ca="1">IF($C1331="","", IF(OR($P1331=$V$1,$P1331=$V$7,COUNTIFS($C$3:$C1331,$C1331,$E$3:$E1331,$E1331)&lt;=1),$P1331,""    ))</f>
        <v/>
      </c>
      <c r="U1331" s="1019" t="str">
        <f ca="1">IF(AND($P1331=$V$2,COUNTIFS($C$3:$C1331,$C1331,$E$3:$E1331,$E1331,$G$3:$G1331,$G1331)&lt;=1),$P1331,"")</f>
        <v/>
      </c>
    </row>
    <row r="1332" spans="1:21">
      <c r="A1332" s="991" t="str">
        <f ca="1">IFERROR(IF(COUNTIF($A$3:A1331,A1331)&lt; INDEX(TinhGia!$BH$10:$BH$81,MATCH($A1331,TinhGia!$B$10:$B$81,0)),$A1331,INDEX(TinhGia!$B$10:$B$81,MATCH($A1331,TinhGia!$B$10:$B$81,0)+1)),"")</f>
        <v/>
      </c>
      <c r="B1332" s="525" t="str">
        <f ca="1">IF(OR(A1332="",A1332=0),"",IF(COUNTIF($A$2:A1332,$A1332)=1,ROW(MauKoXoa!$C$108),$B1331+1))</f>
        <v/>
      </c>
      <c r="C1332" s="992" t="str">
        <f t="shared" ca="1" si="200"/>
        <v/>
      </c>
      <c r="D1332" s="993" t="str">
        <f t="shared" ca="1" si="201"/>
        <v/>
      </c>
      <c r="E1332" s="993" t="str">
        <f t="shared" ca="1" si="202"/>
        <v/>
      </c>
      <c r="F1332" s="992" t="str">
        <f t="shared" ca="1" si="210"/>
        <v/>
      </c>
      <c r="G1332" s="994">
        <f t="shared" ca="1" si="203"/>
        <v>0</v>
      </c>
      <c r="H1332" s="913">
        <f t="shared" ca="1" si="204"/>
        <v>0</v>
      </c>
      <c r="I1332" s="913">
        <f t="shared" ca="1" si="205"/>
        <v>0</v>
      </c>
      <c r="J1332" s="995">
        <f t="shared" ca="1" si="211"/>
        <v>0</v>
      </c>
      <c r="K1332" s="913">
        <f t="shared" ca="1" si="206"/>
        <v>0</v>
      </c>
      <c r="L1332" s="995">
        <f t="shared" ca="1" si="212"/>
        <v>0</v>
      </c>
      <c r="M1332" s="913">
        <f t="shared" ca="1" si="207"/>
        <v>0</v>
      </c>
      <c r="N1332" s="996">
        <f t="shared" ca="1" si="208"/>
        <v>0</v>
      </c>
      <c r="O1332" s="997">
        <f t="shared" ca="1" si="209"/>
        <v>0</v>
      </c>
      <c r="P1332" s="1015" t="str">
        <f ca="1">IF($C1332="","",INDEX(NVLSX!$N$2:$N$6941,MATCH($C1332,NVLSX!$E$2:$E$6941,0)))</f>
        <v/>
      </c>
      <c r="Q1332" s="1016" t="str">
        <f ca="1">IF($R1332="","",IF(XKNVLSX!$X$1="",IF($P1332=$V$7,$P1332, IF(COUNTIFS($C$2:$C1331,$C1332,$E$2:$E1331,$E1332)&gt;=1,"",$P1332)),     IF(AND(IFERROR(SEARCH($R1332,XKNVLSX!$X$1,1),0)&gt;=1,$P1332=$V$7),$P1332, IF(OR($R1332&lt;&gt;IF(IFERROR(SEARCH($R1332,XKNVLSX!$X$1,1),0)&gt;=1,$R1332,XKNVLSX!$X$1),COUNTIFS($C$2:$C1331,$C1332,$E$2:$E1331,$E1332,$Q$2:$Q1331,$P1332)&gt;=1),"",$P1332))))</f>
        <v/>
      </c>
      <c r="R1332" s="1017" t="str">
        <f ca="1">IF($A1332="","",IFERROR(INDEX(TinhGia!$BF$10:$BF$81,MATCH($A1332,TinhGia!$B$10:$B$81,0)),""))</f>
        <v/>
      </c>
      <c r="S1332" s="1012" t="str">
        <f ca="1">IF($A1332="","",IF(OR(IFERROR(SEARCH($R1332,XKNVLSX!$X$1,1),0)&gt;=1,XKNVLSX!$X$1=""),$S$2,""))</f>
        <v/>
      </c>
      <c r="T1332" s="1018" t="str">
        <f ca="1">IF($C1332="","", IF(OR($P1332=$V$1,$P1332=$V$7,COUNTIFS($C$3:$C1332,$C1332,$E$3:$E1332,$E1332)&lt;=1),$P1332,""    ))</f>
        <v/>
      </c>
      <c r="U1332" s="1019" t="str">
        <f ca="1">IF(AND($P1332=$V$2,COUNTIFS($C$3:$C1332,$C1332,$E$3:$E1332,$E1332,$G$3:$G1332,$G1332)&lt;=1),$P1332,"")</f>
        <v/>
      </c>
    </row>
    <row r="1333" spans="1:21">
      <c r="A1333" s="991" t="str">
        <f ca="1">IFERROR(IF(COUNTIF($A$3:A1332,A1332)&lt; INDEX(TinhGia!$BH$10:$BH$81,MATCH($A1332,TinhGia!$B$10:$B$81,0)),$A1332,INDEX(TinhGia!$B$10:$B$81,MATCH($A1332,TinhGia!$B$10:$B$81,0)+1)),"")</f>
        <v/>
      </c>
      <c r="B1333" s="525" t="str">
        <f ca="1">IF(OR(A1333="",A1333=0),"",IF(COUNTIF($A$2:A1333,$A1333)=1,ROW(MauKoXoa!$C$108),$B1332+1))</f>
        <v/>
      </c>
      <c r="C1333" s="992" t="str">
        <f t="shared" ca="1" si="200"/>
        <v/>
      </c>
      <c r="D1333" s="993" t="str">
        <f t="shared" ca="1" si="201"/>
        <v/>
      </c>
      <c r="E1333" s="993" t="str">
        <f t="shared" ca="1" si="202"/>
        <v/>
      </c>
      <c r="F1333" s="992" t="str">
        <f t="shared" ca="1" si="210"/>
        <v/>
      </c>
      <c r="G1333" s="994">
        <f t="shared" ca="1" si="203"/>
        <v>0</v>
      </c>
      <c r="H1333" s="913">
        <f t="shared" ca="1" si="204"/>
        <v>0</v>
      </c>
      <c r="I1333" s="913">
        <f t="shared" ca="1" si="205"/>
        <v>0</v>
      </c>
      <c r="J1333" s="995">
        <f t="shared" ca="1" si="211"/>
        <v>0</v>
      </c>
      <c r="K1333" s="913">
        <f t="shared" ca="1" si="206"/>
        <v>0</v>
      </c>
      <c r="L1333" s="995">
        <f t="shared" ca="1" si="212"/>
        <v>0</v>
      </c>
      <c r="M1333" s="913">
        <f t="shared" ca="1" si="207"/>
        <v>0</v>
      </c>
      <c r="N1333" s="996">
        <f t="shared" ca="1" si="208"/>
        <v>0</v>
      </c>
      <c r="O1333" s="997">
        <f t="shared" ca="1" si="209"/>
        <v>0</v>
      </c>
      <c r="P1333" s="1015" t="str">
        <f ca="1">IF($C1333="","",INDEX(NVLSX!$N$2:$N$6941,MATCH($C1333,NVLSX!$E$2:$E$6941,0)))</f>
        <v/>
      </c>
      <c r="Q1333" s="1016" t="str">
        <f ca="1">IF($R1333="","",IF(XKNVLSX!$X$1="",IF($P1333=$V$7,$P1333, IF(COUNTIFS($C$2:$C1332,$C1333,$E$2:$E1332,$E1333)&gt;=1,"",$P1333)),     IF(AND(IFERROR(SEARCH($R1333,XKNVLSX!$X$1,1),0)&gt;=1,$P1333=$V$7),$P1333, IF(OR($R1333&lt;&gt;IF(IFERROR(SEARCH($R1333,XKNVLSX!$X$1,1),0)&gt;=1,$R1333,XKNVLSX!$X$1),COUNTIFS($C$2:$C1332,$C1333,$E$2:$E1332,$E1333,$Q$2:$Q1332,$P1333)&gt;=1),"",$P1333))))</f>
        <v/>
      </c>
      <c r="R1333" s="1017" t="str">
        <f ca="1">IF($A1333="","",IFERROR(INDEX(TinhGia!$BF$10:$BF$81,MATCH($A1333,TinhGia!$B$10:$B$81,0)),""))</f>
        <v/>
      </c>
      <c r="S1333" s="1012" t="str">
        <f ca="1">IF($A1333="","",IF(OR(IFERROR(SEARCH($R1333,XKNVLSX!$X$1,1),0)&gt;=1,XKNVLSX!$X$1=""),$S$2,""))</f>
        <v/>
      </c>
      <c r="T1333" s="1018" t="str">
        <f ca="1">IF($C1333="","", IF(OR($P1333=$V$1,$P1333=$V$7,COUNTIFS($C$3:$C1333,$C1333,$E$3:$E1333,$E1333)&lt;=1),$P1333,""    ))</f>
        <v/>
      </c>
      <c r="U1333" s="1019" t="str">
        <f ca="1">IF(AND($P1333=$V$2,COUNTIFS($C$3:$C1333,$C1333,$E$3:$E1333,$E1333,$G$3:$G1333,$G1333)&lt;=1),$P1333,"")</f>
        <v/>
      </c>
    </row>
    <row r="1334" spans="1:21">
      <c r="A1334" s="991" t="str">
        <f ca="1">IFERROR(IF(COUNTIF($A$3:A1333,A1333)&lt; INDEX(TinhGia!$BH$10:$BH$81,MATCH($A1333,TinhGia!$B$10:$B$81,0)),$A1333,INDEX(TinhGia!$B$10:$B$81,MATCH($A1333,TinhGia!$B$10:$B$81,0)+1)),"")</f>
        <v/>
      </c>
      <c r="B1334" s="525" t="str">
        <f ca="1">IF(OR(A1334="",A1334=0),"",IF(COUNTIF($A$2:A1334,$A1334)=1,ROW(MauKoXoa!$C$108),$B1333+1))</f>
        <v/>
      </c>
      <c r="C1334" s="992" t="str">
        <f t="shared" ca="1" si="200"/>
        <v/>
      </c>
      <c r="D1334" s="993" t="str">
        <f t="shared" ca="1" si="201"/>
        <v/>
      </c>
      <c r="E1334" s="993" t="str">
        <f t="shared" ca="1" si="202"/>
        <v/>
      </c>
      <c r="F1334" s="992" t="str">
        <f t="shared" ca="1" si="210"/>
        <v/>
      </c>
      <c r="G1334" s="994">
        <f t="shared" ca="1" si="203"/>
        <v>0</v>
      </c>
      <c r="H1334" s="913">
        <f t="shared" ca="1" si="204"/>
        <v>0</v>
      </c>
      <c r="I1334" s="913">
        <f t="shared" ca="1" si="205"/>
        <v>0</v>
      </c>
      <c r="J1334" s="995">
        <f t="shared" ca="1" si="211"/>
        <v>0</v>
      </c>
      <c r="K1334" s="913">
        <f t="shared" ca="1" si="206"/>
        <v>0</v>
      </c>
      <c r="L1334" s="995">
        <f t="shared" ca="1" si="212"/>
        <v>0</v>
      </c>
      <c r="M1334" s="913">
        <f t="shared" ca="1" si="207"/>
        <v>0</v>
      </c>
      <c r="N1334" s="996">
        <f t="shared" ca="1" si="208"/>
        <v>0</v>
      </c>
      <c r="O1334" s="997">
        <f t="shared" ca="1" si="209"/>
        <v>0</v>
      </c>
      <c r="P1334" s="1015" t="str">
        <f ca="1">IF($C1334="","",INDEX(NVLSX!$N$2:$N$6941,MATCH($C1334,NVLSX!$E$2:$E$6941,0)))</f>
        <v/>
      </c>
      <c r="Q1334" s="1016" t="str">
        <f ca="1">IF($R1334="","",IF(XKNVLSX!$X$1="",IF($P1334=$V$7,$P1334, IF(COUNTIFS($C$2:$C1333,$C1334,$E$2:$E1333,$E1334)&gt;=1,"",$P1334)),     IF(AND(IFERROR(SEARCH($R1334,XKNVLSX!$X$1,1),0)&gt;=1,$P1334=$V$7),$P1334, IF(OR($R1334&lt;&gt;IF(IFERROR(SEARCH($R1334,XKNVLSX!$X$1,1),0)&gt;=1,$R1334,XKNVLSX!$X$1),COUNTIFS($C$2:$C1333,$C1334,$E$2:$E1333,$E1334,$Q$2:$Q1333,$P1334)&gt;=1),"",$P1334))))</f>
        <v/>
      </c>
      <c r="R1334" s="1017" t="str">
        <f ca="1">IF($A1334="","",IFERROR(INDEX(TinhGia!$BF$10:$BF$81,MATCH($A1334,TinhGia!$B$10:$B$81,0)),""))</f>
        <v/>
      </c>
      <c r="S1334" s="1012" t="str">
        <f ca="1">IF($A1334="","",IF(OR(IFERROR(SEARCH($R1334,XKNVLSX!$X$1,1),0)&gt;=1,XKNVLSX!$X$1=""),$S$2,""))</f>
        <v/>
      </c>
      <c r="T1334" s="1018" t="str">
        <f ca="1">IF($C1334="","", IF(OR($P1334=$V$1,$P1334=$V$7,COUNTIFS($C$3:$C1334,$C1334,$E$3:$E1334,$E1334)&lt;=1),$P1334,""    ))</f>
        <v/>
      </c>
      <c r="U1334" s="1019" t="str">
        <f ca="1">IF(AND($P1334=$V$2,COUNTIFS($C$3:$C1334,$C1334,$E$3:$E1334,$E1334,$G$3:$G1334,$G1334)&lt;=1),$P1334,"")</f>
        <v/>
      </c>
    </row>
    <row r="1335" spans="1:21">
      <c r="A1335" s="991" t="str">
        <f ca="1">IFERROR(IF(COUNTIF($A$3:A1334,A1334)&lt; INDEX(TinhGia!$BH$10:$BH$81,MATCH($A1334,TinhGia!$B$10:$B$81,0)),$A1334,INDEX(TinhGia!$B$10:$B$81,MATCH($A1334,TinhGia!$B$10:$B$81,0)+1)),"")</f>
        <v/>
      </c>
      <c r="B1335" s="525" t="str">
        <f ca="1">IF(OR(A1335="",A1335=0),"",IF(COUNTIF($A$2:A1335,$A1335)=1,ROW(MauKoXoa!$C$108),$B1334+1))</f>
        <v/>
      </c>
      <c r="C1335" s="992" t="str">
        <f t="shared" ca="1" si="200"/>
        <v/>
      </c>
      <c r="D1335" s="993" t="str">
        <f t="shared" ca="1" si="201"/>
        <v/>
      </c>
      <c r="E1335" s="993" t="str">
        <f t="shared" ca="1" si="202"/>
        <v/>
      </c>
      <c r="F1335" s="992" t="str">
        <f t="shared" ca="1" si="210"/>
        <v/>
      </c>
      <c r="G1335" s="994">
        <f t="shared" ca="1" si="203"/>
        <v>0</v>
      </c>
      <c r="H1335" s="913">
        <f t="shared" ca="1" si="204"/>
        <v>0</v>
      </c>
      <c r="I1335" s="913">
        <f t="shared" ca="1" si="205"/>
        <v>0</v>
      </c>
      <c r="J1335" s="995">
        <f t="shared" ca="1" si="211"/>
        <v>0</v>
      </c>
      <c r="K1335" s="913">
        <f t="shared" ca="1" si="206"/>
        <v>0</v>
      </c>
      <c r="L1335" s="995">
        <f t="shared" ca="1" si="212"/>
        <v>0</v>
      </c>
      <c r="M1335" s="913">
        <f t="shared" ca="1" si="207"/>
        <v>0</v>
      </c>
      <c r="N1335" s="996">
        <f t="shared" ca="1" si="208"/>
        <v>0</v>
      </c>
      <c r="O1335" s="997">
        <f t="shared" ca="1" si="209"/>
        <v>0</v>
      </c>
      <c r="P1335" s="1015" t="str">
        <f ca="1">IF($C1335="","",INDEX(NVLSX!$N$2:$N$6941,MATCH($C1335,NVLSX!$E$2:$E$6941,0)))</f>
        <v/>
      </c>
      <c r="Q1335" s="1016" t="str">
        <f ca="1">IF($R1335="","",IF(XKNVLSX!$X$1="",IF($P1335=$V$7,$P1335, IF(COUNTIFS($C$2:$C1334,$C1335,$E$2:$E1334,$E1335)&gt;=1,"",$P1335)),     IF(AND(IFERROR(SEARCH($R1335,XKNVLSX!$X$1,1),0)&gt;=1,$P1335=$V$7),$P1335, IF(OR($R1335&lt;&gt;IF(IFERROR(SEARCH($R1335,XKNVLSX!$X$1,1),0)&gt;=1,$R1335,XKNVLSX!$X$1),COUNTIFS($C$2:$C1334,$C1335,$E$2:$E1334,$E1335,$Q$2:$Q1334,$P1335)&gt;=1),"",$P1335))))</f>
        <v/>
      </c>
      <c r="R1335" s="1017" t="str">
        <f ca="1">IF($A1335="","",IFERROR(INDEX(TinhGia!$BF$10:$BF$81,MATCH($A1335,TinhGia!$B$10:$B$81,0)),""))</f>
        <v/>
      </c>
      <c r="S1335" s="1012" t="str">
        <f ca="1">IF($A1335="","",IF(OR(IFERROR(SEARCH($R1335,XKNVLSX!$X$1,1),0)&gt;=1,XKNVLSX!$X$1=""),$S$2,""))</f>
        <v/>
      </c>
      <c r="T1335" s="1018" t="str">
        <f ca="1">IF($C1335="","", IF(OR($P1335=$V$1,$P1335=$V$7,COUNTIFS($C$3:$C1335,$C1335,$E$3:$E1335,$E1335)&lt;=1),$P1335,""    ))</f>
        <v/>
      </c>
      <c r="U1335" s="1019" t="str">
        <f ca="1">IF(AND($P1335=$V$2,COUNTIFS($C$3:$C1335,$C1335,$E$3:$E1335,$E1335,$G$3:$G1335,$G1335)&lt;=1),$P1335,"")</f>
        <v/>
      </c>
    </row>
    <row r="1336" spans="1:21">
      <c r="A1336" s="991" t="str">
        <f ca="1">IFERROR(IF(COUNTIF($A$3:A1335,A1335)&lt; INDEX(TinhGia!$BH$10:$BH$81,MATCH($A1335,TinhGia!$B$10:$B$81,0)),$A1335,INDEX(TinhGia!$B$10:$B$81,MATCH($A1335,TinhGia!$B$10:$B$81,0)+1)),"")</f>
        <v/>
      </c>
      <c r="B1336" s="525" t="str">
        <f ca="1">IF(OR(A1336="",A1336=0),"",IF(COUNTIF($A$2:A1336,$A1336)=1,ROW(MauKoXoa!$C$108),$B1335+1))</f>
        <v/>
      </c>
      <c r="C1336" s="992" t="str">
        <f t="shared" ca="1" si="200"/>
        <v/>
      </c>
      <c r="D1336" s="993" t="str">
        <f t="shared" ca="1" si="201"/>
        <v/>
      </c>
      <c r="E1336" s="993" t="str">
        <f t="shared" ca="1" si="202"/>
        <v/>
      </c>
      <c r="F1336" s="992" t="str">
        <f t="shared" ca="1" si="210"/>
        <v/>
      </c>
      <c r="G1336" s="994">
        <f t="shared" ca="1" si="203"/>
        <v>0</v>
      </c>
      <c r="H1336" s="913">
        <f t="shared" ca="1" si="204"/>
        <v>0</v>
      </c>
      <c r="I1336" s="913">
        <f t="shared" ca="1" si="205"/>
        <v>0</v>
      </c>
      <c r="J1336" s="995">
        <f t="shared" ca="1" si="211"/>
        <v>0</v>
      </c>
      <c r="K1336" s="913">
        <f t="shared" ca="1" si="206"/>
        <v>0</v>
      </c>
      <c r="L1336" s="995">
        <f t="shared" ca="1" si="212"/>
        <v>0</v>
      </c>
      <c r="M1336" s="913">
        <f t="shared" ca="1" si="207"/>
        <v>0</v>
      </c>
      <c r="N1336" s="996">
        <f t="shared" ca="1" si="208"/>
        <v>0</v>
      </c>
      <c r="O1336" s="997">
        <f t="shared" ca="1" si="209"/>
        <v>0</v>
      </c>
      <c r="P1336" s="1015" t="str">
        <f ca="1">IF($C1336="","",INDEX(NVLSX!$N$2:$N$6941,MATCH($C1336,NVLSX!$E$2:$E$6941,0)))</f>
        <v/>
      </c>
      <c r="Q1336" s="1016" t="str">
        <f ca="1">IF($R1336="","",IF(XKNVLSX!$X$1="",IF($P1336=$V$7,$P1336, IF(COUNTIFS($C$2:$C1335,$C1336,$E$2:$E1335,$E1336)&gt;=1,"",$P1336)),     IF(AND(IFERROR(SEARCH($R1336,XKNVLSX!$X$1,1),0)&gt;=1,$P1336=$V$7),$P1336, IF(OR($R1336&lt;&gt;IF(IFERROR(SEARCH($R1336,XKNVLSX!$X$1,1),0)&gt;=1,$R1336,XKNVLSX!$X$1),COUNTIFS($C$2:$C1335,$C1336,$E$2:$E1335,$E1336,$Q$2:$Q1335,$P1336)&gt;=1),"",$P1336))))</f>
        <v/>
      </c>
      <c r="R1336" s="1017" t="str">
        <f ca="1">IF($A1336="","",IFERROR(INDEX(TinhGia!$BF$10:$BF$81,MATCH($A1336,TinhGia!$B$10:$B$81,0)),""))</f>
        <v/>
      </c>
      <c r="S1336" s="1012" t="str">
        <f ca="1">IF($A1336="","",IF(OR(IFERROR(SEARCH($R1336,XKNVLSX!$X$1,1),0)&gt;=1,XKNVLSX!$X$1=""),$S$2,""))</f>
        <v/>
      </c>
      <c r="T1336" s="1018" t="str">
        <f ca="1">IF($C1336="","", IF(OR($P1336=$V$1,$P1336=$V$7,COUNTIFS($C$3:$C1336,$C1336,$E$3:$E1336,$E1336)&lt;=1),$P1336,""    ))</f>
        <v/>
      </c>
      <c r="U1336" s="1019" t="str">
        <f ca="1">IF(AND($P1336=$V$2,COUNTIFS($C$3:$C1336,$C1336,$E$3:$E1336,$E1336,$G$3:$G1336,$G1336)&lt;=1),$P1336,"")</f>
        <v/>
      </c>
    </row>
    <row r="1337" spans="1:21">
      <c r="A1337" s="991" t="str">
        <f ca="1">IFERROR(IF(COUNTIF($A$3:A1336,A1336)&lt; INDEX(TinhGia!$BH$10:$BH$81,MATCH($A1336,TinhGia!$B$10:$B$81,0)),$A1336,INDEX(TinhGia!$B$10:$B$81,MATCH($A1336,TinhGia!$B$10:$B$81,0)+1)),"")</f>
        <v/>
      </c>
      <c r="B1337" s="525" t="str">
        <f ca="1">IF(OR(A1337="",A1337=0),"",IF(COUNTIF($A$2:A1337,$A1337)=1,ROW(MauKoXoa!$C$108),$B1336+1))</f>
        <v/>
      </c>
      <c r="C1337" s="992" t="str">
        <f t="shared" ca="1" si="200"/>
        <v/>
      </c>
      <c r="D1337" s="993" t="str">
        <f t="shared" ca="1" si="201"/>
        <v/>
      </c>
      <c r="E1337" s="993" t="str">
        <f t="shared" ca="1" si="202"/>
        <v/>
      </c>
      <c r="F1337" s="992" t="str">
        <f t="shared" ca="1" si="210"/>
        <v/>
      </c>
      <c r="G1337" s="994">
        <f t="shared" ca="1" si="203"/>
        <v>0</v>
      </c>
      <c r="H1337" s="913">
        <f t="shared" ca="1" si="204"/>
        <v>0</v>
      </c>
      <c r="I1337" s="913">
        <f t="shared" ca="1" si="205"/>
        <v>0</v>
      </c>
      <c r="J1337" s="995">
        <f t="shared" ca="1" si="211"/>
        <v>0</v>
      </c>
      <c r="K1337" s="913">
        <f t="shared" ca="1" si="206"/>
        <v>0</v>
      </c>
      <c r="L1337" s="995">
        <f t="shared" ca="1" si="212"/>
        <v>0</v>
      </c>
      <c r="M1337" s="913">
        <f t="shared" ca="1" si="207"/>
        <v>0</v>
      </c>
      <c r="N1337" s="996">
        <f t="shared" ca="1" si="208"/>
        <v>0</v>
      </c>
      <c r="O1337" s="997">
        <f t="shared" ca="1" si="209"/>
        <v>0</v>
      </c>
      <c r="P1337" s="1015" t="str">
        <f ca="1">IF($C1337="","",INDEX(NVLSX!$N$2:$N$6941,MATCH($C1337,NVLSX!$E$2:$E$6941,0)))</f>
        <v/>
      </c>
      <c r="Q1337" s="1016" t="str">
        <f ca="1">IF($R1337="","",IF(XKNVLSX!$X$1="",IF($P1337=$V$7,$P1337, IF(COUNTIFS($C$2:$C1336,$C1337,$E$2:$E1336,$E1337)&gt;=1,"",$P1337)),     IF(AND(IFERROR(SEARCH($R1337,XKNVLSX!$X$1,1),0)&gt;=1,$P1337=$V$7),$P1337, IF(OR($R1337&lt;&gt;IF(IFERROR(SEARCH($R1337,XKNVLSX!$X$1,1),0)&gt;=1,$R1337,XKNVLSX!$X$1),COUNTIFS($C$2:$C1336,$C1337,$E$2:$E1336,$E1337,$Q$2:$Q1336,$P1337)&gt;=1),"",$P1337))))</f>
        <v/>
      </c>
      <c r="R1337" s="1017" t="str">
        <f ca="1">IF($A1337="","",IFERROR(INDEX(TinhGia!$BF$10:$BF$81,MATCH($A1337,TinhGia!$B$10:$B$81,0)),""))</f>
        <v/>
      </c>
      <c r="S1337" s="1012" t="str">
        <f ca="1">IF($A1337="","",IF(OR(IFERROR(SEARCH($R1337,XKNVLSX!$X$1,1),0)&gt;=1,XKNVLSX!$X$1=""),$S$2,""))</f>
        <v/>
      </c>
      <c r="T1337" s="1018" t="str">
        <f ca="1">IF($C1337="","", IF(OR($P1337=$V$1,$P1337=$V$7,COUNTIFS($C$3:$C1337,$C1337,$E$3:$E1337,$E1337)&lt;=1),$P1337,""    ))</f>
        <v/>
      </c>
      <c r="U1337" s="1019" t="str">
        <f ca="1">IF(AND($P1337=$V$2,COUNTIFS($C$3:$C1337,$C1337,$E$3:$E1337,$E1337,$G$3:$G1337,$G1337)&lt;=1),$P1337,"")</f>
        <v/>
      </c>
    </row>
    <row r="1338" spans="1:21">
      <c r="A1338" s="991" t="str">
        <f ca="1">IFERROR(IF(COUNTIF($A$3:A1337,A1337)&lt; INDEX(TinhGia!$BH$10:$BH$81,MATCH($A1337,TinhGia!$B$10:$B$81,0)),$A1337,INDEX(TinhGia!$B$10:$B$81,MATCH($A1337,TinhGia!$B$10:$B$81,0)+1)),"")</f>
        <v/>
      </c>
      <c r="B1338" s="525" t="str">
        <f ca="1">IF(OR(A1338="",A1338=0),"",IF(COUNTIF($A$2:A1338,$A1338)=1,ROW(MauKoXoa!$C$108),$B1337+1))</f>
        <v/>
      </c>
      <c r="C1338" s="992" t="str">
        <f t="shared" ca="1" si="200"/>
        <v/>
      </c>
      <c r="D1338" s="993" t="str">
        <f t="shared" ca="1" si="201"/>
        <v/>
      </c>
      <c r="E1338" s="993" t="str">
        <f t="shared" ca="1" si="202"/>
        <v/>
      </c>
      <c r="F1338" s="992" t="str">
        <f t="shared" ca="1" si="210"/>
        <v/>
      </c>
      <c r="G1338" s="994">
        <f t="shared" ca="1" si="203"/>
        <v>0</v>
      </c>
      <c r="H1338" s="913">
        <f t="shared" ca="1" si="204"/>
        <v>0</v>
      </c>
      <c r="I1338" s="913">
        <f t="shared" ca="1" si="205"/>
        <v>0</v>
      </c>
      <c r="J1338" s="995">
        <f t="shared" ca="1" si="211"/>
        <v>0</v>
      </c>
      <c r="K1338" s="913">
        <f t="shared" ca="1" si="206"/>
        <v>0</v>
      </c>
      <c r="L1338" s="995">
        <f t="shared" ca="1" si="212"/>
        <v>0</v>
      </c>
      <c r="M1338" s="913">
        <f t="shared" ca="1" si="207"/>
        <v>0</v>
      </c>
      <c r="N1338" s="996">
        <f t="shared" ca="1" si="208"/>
        <v>0</v>
      </c>
      <c r="O1338" s="997">
        <f t="shared" ca="1" si="209"/>
        <v>0</v>
      </c>
      <c r="P1338" s="1015" t="str">
        <f ca="1">IF($C1338="","",INDEX(NVLSX!$N$2:$N$6941,MATCH($C1338,NVLSX!$E$2:$E$6941,0)))</f>
        <v/>
      </c>
      <c r="Q1338" s="1016" t="str">
        <f ca="1">IF($R1338="","",IF(XKNVLSX!$X$1="",IF($P1338=$V$7,$P1338, IF(COUNTIFS($C$2:$C1337,$C1338,$E$2:$E1337,$E1338)&gt;=1,"",$P1338)),     IF(AND(IFERROR(SEARCH($R1338,XKNVLSX!$X$1,1),0)&gt;=1,$P1338=$V$7),$P1338, IF(OR($R1338&lt;&gt;IF(IFERROR(SEARCH($R1338,XKNVLSX!$X$1,1),0)&gt;=1,$R1338,XKNVLSX!$X$1),COUNTIFS($C$2:$C1337,$C1338,$E$2:$E1337,$E1338,$Q$2:$Q1337,$P1338)&gt;=1),"",$P1338))))</f>
        <v/>
      </c>
      <c r="R1338" s="1017" t="str">
        <f ca="1">IF($A1338="","",IFERROR(INDEX(TinhGia!$BF$10:$BF$81,MATCH($A1338,TinhGia!$B$10:$B$81,0)),""))</f>
        <v/>
      </c>
      <c r="S1338" s="1012" t="str">
        <f ca="1">IF($A1338="","",IF(OR(IFERROR(SEARCH($R1338,XKNVLSX!$X$1,1),0)&gt;=1,XKNVLSX!$X$1=""),$S$2,""))</f>
        <v/>
      </c>
      <c r="T1338" s="1018" t="str">
        <f ca="1">IF($C1338="","", IF(OR($P1338=$V$1,$P1338=$V$7,COUNTIFS($C$3:$C1338,$C1338,$E$3:$E1338,$E1338)&lt;=1),$P1338,""    ))</f>
        <v/>
      </c>
      <c r="U1338" s="1019" t="str">
        <f ca="1">IF(AND($P1338=$V$2,COUNTIFS($C$3:$C1338,$C1338,$E$3:$E1338,$E1338,$G$3:$G1338,$G1338)&lt;=1),$P1338,"")</f>
        <v/>
      </c>
    </row>
    <row r="1339" spans="1:21">
      <c r="A1339" s="991" t="str">
        <f ca="1">IFERROR(IF(COUNTIF($A$3:A1338,A1338)&lt; INDEX(TinhGia!$BH$10:$BH$81,MATCH($A1338,TinhGia!$B$10:$B$81,0)),$A1338,INDEX(TinhGia!$B$10:$B$81,MATCH($A1338,TinhGia!$B$10:$B$81,0)+1)),"")</f>
        <v/>
      </c>
      <c r="B1339" s="525" t="str">
        <f ca="1">IF(OR(A1339="",A1339=0),"",IF(COUNTIF($A$2:A1339,$A1339)=1,ROW(MauKoXoa!$C$108),$B1338+1))</f>
        <v/>
      </c>
      <c r="C1339" s="992" t="str">
        <f t="shared" ca="1" si="200"/>
        <v/>
      </c>
      <c r="D1339" s="993" t="str">
        <f t="shared" ca="1" si="201"/>
        <v/>
      </c>
      <c r="E1339" s="993" t="str">
        <f t="shared" ca="1" si="202"/>
        <v/>
      </c>
      <c r="F1339" s="992" t="str">
        <f t="shared" ca="1" si="210"/>
        <v/>
      </c>
      <c r="G1339" s="994">
        <f t="shared" ca="1" si="203"/>
        <v>0</v>
      </c>
      <c r="H1339" s="913">
        <f t="shared" ca="1" si="204"/>
        <v>0</v>
      </c>
      <c r="I1339" s="913">
        <f t="shared" ca="1" si="205"/>
        <v>0</v>
      </c>
      <c r="J1339" s="995">
        <f t="shared" ca="1" si="211"/>
        <v>0</v>
      </c>
      <c r="K1339" s="913">
        <f t="shared" ca="1" si="206"/>
        <v>0</v>
      </c>
      <c r="L1339" s="995">
        <f t="shared" ca="1" si="212"/>
        <v>0</v>
      </c>
      <c r="M1339" s="913">
        <f t="shared" ca="1" si="207"/>
        <v>0</v>
      </c>
      <c r="N1339" s="996">
        <f t="shared" ca="1" si="208"/>
        <v>0</v>
      </c>
      <c r="O1339" s="997">
        <f t="shared" ca="1" si="209"/>
        <v>0</v>
      </c>
      <c r="P1339" s="1015" t="str">
        <f ca="1">IF($C1339="","",INDEX(NVLSX!$N$2:$N$6941,MATCH($C1339,NVLSX!$E$2:$E$6941,0)))</f>
        <v/>
      </c>
      <c r="Q1339" s="1016" t="str">
        <f ca="1">IF($R1339="","",IF(XKNVLSX!$X$1="",IF($P1339=$V$7,$P1339, IF(COUNTIFS($C$2:$C1338,$C1339,$E$2:$E1338,$E1339)&gt;=1,"",$P1339)),     IF(AND(IFERROR(SEARCH($R1339,XKNVLSX!$X$1,1),0)&gt;=1,$P1339=$V$7),$P1339, IF(OR($R1339&lt;&gt;IF(IFERROR(SEARCH($R1339,XKNVLSX!$X$1,1),0)&gt;=1,$R1339,XKNVLSX!$X$1),COUNTIFS($C$2:$C1338,$C1339,$E$2:$E1338,$E1339,$Q$2:$Q1338,$P1339)&gt;=1),"",$P1339))))</f>
        <v/>
      </c>
      <c r="R1339" s="1017" t="str">
        <f ca="1">IF($A1339="","",IFERROR(INDEX(TinhGia!$BF$10:$BF$81,MATCH($A1339,TinhGia!$B$10:$B$81,0)),""))</f>
        <v/>
      </c>
      <c r="S1339" s="1012" t="str">
        <f ca="1">IF($A1339="","",IF(OR(IFERROR(SEARCH($R1339,XKNVLSX!$X$1,1),0)&gt;=1,XKNVLSX!$X$1=""),$S$2,""))</f>
        <v/>
      </c>
      <c r="T1339" s="1018" t="str">
        <f ca="1">IF($C1339="","", IF(OR($P1339=$V$1,$P1339=$V$7,COUNTIFS($C$3:$C1339,$C1339,$E$3:$E1339,$E1339)&lt;=1),$P1339,""    ))</f>
        <v/>
      </c>
      <c r="U1339" s="1019" t="str">
        <f ca="1">IF(AND($P1339=$V$2,COUNTIFS($C$3:$C1339,$C1339,$E$3:$E1339,$E1339,$G$3:$G1339,$G1339)&lt;=1),$P1339,"")</f>
        <v/>
      </c>
    </row>
    <row r="1340" spans="1:21">
      <c r="A1340" s="991" t="str">
        <f ca="1">IFERROR(IF(COUNTIF($A$3:A1339,A1339)&lt; INDEX(TinhGia!$BH$10:$BH$81,MATCH($A1339,TinhGia!$B$10:$B$81,0)),$A1339,INDEX(TinhGia!$B$10:$B$81,MATCH($A1339,TinhGia!$B$10:$B$81,0)+1)),"")</f>
        <v/>
      </c>
      <c r="B1340" s="525" t="str">
        <f ca="1">IF(OR(A1340="",A1340=0),"",IF(COUNTIF($A$2:A1340,$A1340)=1,ROW(MauKoXoa!$C$108),$B1339+1))</f>
        <v/>
      </c>
      <c r="C1340" s="992" t="str">
        <f t="shared" ca="1" si="200"/>
        <v/>
      </c>
      <c r="D1340" s="993" t="str">
        <f t="shared" ca="1" si="201"/>
        <v/>
      </c>
      <c r="E1340" s="993" t="str">
        <f t="shared" ca="1" si="202"/>
        <v/>
      </c>
      <c r="F1340" s="992" t="str">
        <f t="shared" ca="1" si="210"/>
        <v/>
      </c>
      <c r="G1340" s="994">
        <f t="shared" ca="1" si="203"/>
        <v>0</v>
      </c>
      <c r="H1340" s="913">
        <f t="shared" ca="1" si="204"/>
        <v>0</v>
      </c>
      <c r="I1340" s="913">
        <f t="shared" ca="1" si="205"/>
        <v>0</v>
      </c>
      <c r="J1340" s="995">
        <f t="shared" ca="1" si="211"/>
        <v>0</v>
      </c>
      <c r="K1340" s="913">
        <f t="shared" ca="1" si="206"/>
        <v>0</v>
      </c>
      <c r="L1340" s="995">
        <f t="shared" ca="1" si="212"/>
        <v>0</v>
      </c>
      <c r="M1340" s="913">
        <f t="shared" ca="1" si="207"/>
        <v>0</v>
      </c>
      <c r="N1340" s="996">
        <f t="shared" ca="1" si="208"/>
        <v>0</v>
      </c>
      <c r="O1340" s="997">
        <f t="shared" ca="1" si="209"/>
        <v>0</v>
      </c>
      <c r="P1340" s="1015" t="str">
        <f ca="1">IF($C1340="","",INDEX(NVLSX!$N$2:$N$6941,MATCH($C1340,NVLSX!$E$2:$E$6941,0)))</f>
        <v/>
      </c>
      <c r="Q1340" s="1016" t="str">
        <f ca="1">IF($R1340="","",IF(XKNVLSX!$X$1="",IF($P1340=$V$7,$P1340, IF(COUNTIFS($C$2:$C1339,$C1340,$E$2:$E1339,$E1340)&gt;=1,"",$P1340)),     IF(AND(IFERROR(SEARCH($R1340,XKNVLSX!$X$1,1),0)&gt;=1,$P1340=$V$7),$P1340, IF(OR($R1340&lt;&gt;IF(IFERROR(SEARCH($R1340,XKNVLSX!$X$1,1),0)&gt;=1,$R1340,XKNVLSX!$X$1),COUNTIFS($C$2:$C1339,$C1340,$E$2:$E1339,$E1340,$Q$2:$Q1339,$P1340)&gt;=1),"",$P1340))))</f>
        <v/>
      </c>
      <c r="R1340" s="1017" t="str">
        <f ca="1">IF($A1340="","",IFERROR(INDEX(TinhGia!$BF$10:$BF$81,MATCH($A1340,TinhGia!$B$10:$B$81,0)),""))</f>
        <v/>
      </c>
      <c r="S1340" s="1012" t="str">
        <f ca="1">IF($A1340="","",IF(OR(IFERROR(SEARCH($R1340,XKNVLSX!$X$1,1),0)&gt;=1,XKNVLSX!$X$1=""),$S$2,""))</f>
        <v/>
      </c>
      <c r="T1340" s="1018" t="str">
        <f ca="1">IF($C1340="","", IF(OR($P1340=$V$1,$P1340=$V$7,COUNTIFS($C$3:$C1340,$C1340,$E$3:$E1340,$E1340)&lt;=1),$P1340,""    ))</f>
        <v/>
      </c>
      <c r="U1340" s="1019" t="str">
        <f ca="1">IF(AND($P1340=$V$2,COUNTIFS($C$3:$C1340,$C1340,$E$3:$E1340,$E1340,$G$3:$G1340,$G1340)&lt;=1),$P1340,"")</f>
        <v/>
      </c>
    </row>
    <row r="1341" spans="1:21">
      <c r="A1341" s="991" t="str">
        <f ca="1">IFERROR(IF(COUNTIF($A$3:A1340,A1340)&lt; INDEX(TinhGia!$BH$10:$BH$81,MATCH($A1340,TinhGia!$B$10:$B$81,0)),$A1340,INDEX(TinhGia!$B$10:$B$81,MATCH($A1340,TinhGia!$B$10:$B$81,0)+1)),"")</f>
        <v/>
      </c>
      <c r="B1341" s="525" t="str">
        <f ca="1">IF(OR(A1341="",A1341=0),"",IF(COUNTIF($A$2:A1341,$A1341)=1,ROW(MauKoXoa!$C$108),$B1340+1))</f>
        <v/>
      </c>
      <c r="C1341" s="992" t="str">
        <f t="shared" ca="1" si="200"/>
        <v/>
      </c>
      <c r="D1341" s="993" t="str">
        <f t="shared" ca="1" si="201"/>
        <v/>
      </c>
      <c r="E1341" s="993" t="str">
        <f t="shared" ca="1" si="202"/>
        <v/>
      </c>
      <c r="F1341" s="992" t="str">
        <f t="shared" ca="1" si="210"/>
        <v/>
      </c>
      <c r="G1341" s="994">
        <f t="shared" ca="1" si="203"/>
        <v>0</v>
      </c>
      <c r="H1341" s="913">
        <f t="shared" ca="1" si="204"/>
        <v>0</v>
      </c>
      <c r="I1341" s="913">
        <f t="shared" ca="1" si="205"/>
        <v>0</v>
      </c>
      <c r="J1341" s="995">
        <f t="shared" ca="1" si="211"/>
        <v>0</v>
      </c>
      <c r="K1341" s="913">
        <f t="shared" ca="1" si="206"/>
        <v>0</v>
      </c>
      <c r="L1341" s="995">
        <f t="shared" ca="1" si="212"/>
        <v>0</v>
      </c>
      <c r="M1341" s="913">
        <f t="shared" ca="1" si="207"/>
        <v>0</v>
      </c>
      <c r="N1341" s="996">
        <f t="shared" ca="1" si="208"/>
        <v>0</v>
      </c>
      <c r="O1341" s="997">
        <f t="shared" ca="1" si="209"/>
        <v>0</v>
      </c>
      <c r="P1341" s="1015" t="str">
        <f ca="1">IF($C1341="","",INDEX(NVLSX!$N$2:$N$6941,MATCH($C1341,NVLSX!$E$2:$E$6941,0)))</f>
        <v/>
      </c>
      <c r="Q1341" s="1016" t="str">
        <f ca="1">IF($R1341="","",IF(XKNVLSX!$X$1="",IF($P1341=$V$7,$P1341, IF(COUNTIFS($C$2:$C1340,$C1341,$E$2:$E1340,$E1341)&gt;=1,"",$P1341)),     IF(AND(IFERROR(SEARCH($R1341,XKNVLSX!$X$1,1),0)&gt;=1,$P1341=$V$7),$P1341, IF(OR($R1341&lt;&gt;IF(IFERROR(SEARCH($R1341,XKNVLSX!$X$1,1),0)&gt;=1,$R1341,XKNVLSX!$X$1),COUNTIFS($C$2:$C1340,$C1341,$E$2:$E1340,$E1341,$Q$2:$Q1340,$P1341)&gt;=1),"",$P1341))))</f>
        <v/>
      </c>
      <c r="R1341" s="1017" t="str">
        <f ca="1">IF($A1341="","",IFERROR(INDEX(TinhGia!$BF$10:$BF$81,MATCH($A1341,TinhGia!$B$10:$B$81,0)),""))</f>
        <v/>
      </c>
      <c r="S1341" s="1012" t="str">
        <f ca="1">IF($A1341="","",IF(OR(IFERROR(SEARCH($R1341,XKNVLSX!$X$1,1),0)&gt;=1,XKNVLSX!$X$1=""),$S$2,""))</f>
        <v/>
      </c>
      <c r="T1341" s="1018" t="str">
        <f ca="1">IF($C1341="","", IF(OR($P1341=$V$1,$P1341=$V$7,COUNTIFS($C$3:$C1341,$C1341,$E$3:$E1341,$E1341)&lt;=1),$P1341,""    ))</f>
        <v/>
      </c>
      <c r="U1341" s="1019" t="str">
        <f ca="1">IF(AND($P1341=$V$2,COUNTIFS($C$3:$C1341,$C1341,$E$3:$E1341,$E1341,$G$3:$G1341,$G1341)&lt;=1),$P1341,"")</f>
        <v/>
      </c>
    </row>
    <row r="1342" spans="1:21">
      <c r="A1342" s="991" t="str">
        <f ca="1">IFERROR(IF(COUNTIF($A$3:A1341,A1341)&lt; INDEX(TinhGia!$BH$10:$BH$81,MATCH($A1341,TinhGia!$B$10:$B$81,0)),$A1341,INDEX(TinhGia!$B$10:$B$81,MATCH($A1341,TinhGia!$B$10:$B$81,0)+1)),"")</f>
        <v/>
      </c>
      <c r="B1342" s="525" t="str">
        <f ca="1">IF(OR(A1342="",A1342=0),"",IF(COUNTIF($A$2:A1342,$A1342)=1,ROW(MauKoXoa!$C$108),$B1341+1))</f>
        <v/>
      </c>
      <c r="C1342" s="992" t="str">
        <f t="shared" ca="1" si="200"/>
        <v/>
      </c>
      <c r="D1342" s="993" t="str">
        <f t="shared" ca="1" si="201"/>
        <v/>
      </c>
      <c r="E1342" s="993" t="str">
        <f t="shared" ca="1" si="202"/>
        <v/>
      </c>
      <c r="F1342" s="992" t="str">
        <f t="shared" ca="1" si="210"/>
        <v/>
      </c>
      <c r="G1342" s="994">
        <f t="shared" ca="1" si="203"/>
        <v>0</v>
      </c>
      <c r="H1342" s="913">
        <f t="shared" ca="1" si="204"/>
        <v>0</v>
      </c>
      <c r="I1342" s="913">
        <f t="shared" ca="1" si="205"/>
        <v>0</v>
      </c>
      <c r="J1342" s="995">
        <f t="shared" ca="1" si="211"/>
        <v>0</v>
      </c>
      <c r="K1342" s="913">
        <f t="shared" ca="1" si="206"/>
        <v>0</v>
      </c>
      <c r="L1342" s="995">
        <f t="shared" ca="1" si="212"/>
        <v>0</v>
      </c>
      <c r="M1342" s="913">
        <f t="shared" ca="1" si="207"/>
        <v>0</v>
      </c>
      <c r="N1342" s="996">
        <f t="shared" ca="1" si="208"/>
        <v>0</v>
      </c>
      <c r="O1342" s="997">
        <f t="shared" ca="1" si="209"/>
        <v>0</v>
      </c>
      <c r="P1342" s="1015" t="str">
        <f ca="1">IF($C1342="","",INDEX(NVLSX!$N$2:$N$6941,MATCH($C1342,NVLSX!$E$2:$E$6941,0)))</f>
        <v/>
      </c>
      <c r="Q1342" s="1016" t="str">
        <f ca="1">IF($R1342="","",IF(XKNVLSX!$X$1="",IF($P1342=$V$7,$P1342, IF(COUNTIFS($C$2:$C1341,$C1342,$E$2:$E1341,$E1342)&gt;=1,"",$P1342)),     IF(AND(IFERROR(SEARCH($R1342,XKNVLSX!$X$1,1),0)&gt;=1,$P1342=$V$7),$P1342, IF(OR($R1342&lt;&gt;IF(IFERROR(SEARCH($R1342,XKNVLSX!$X$1,1),0)&gt;=1,$R1342,XKNVLSX!$X$1),COUNTIFS($C$2:$C1341,$C1342,$E$2:$E1341,$E1342,$Q$2:$Q1341,$P1342)&gt;=1),"",$P1342))))</f>
        <v/>
      </c>
      <c r="R1342" s="1017" t="str">
        <f ca="1">IF($A1342="","",IFERROR(INDEX(TinhGia!$BF$10:$BF$81,MATCH($A1342,TinhGia!$B$10:$B$81,0)),""))</f>
        <v/>
      </c>
      <c r="S1342" s="1012" t="str">
        <f ca="1">IF($A1342="","",IF(OR(IFERROR(SEARCH($R1342,XKNVLSX!$X$1,1),0)&gt;=1,XKNVLSX!$X$1=""),$S$2,""))</f>
        <v/>
      </c>
      <c r="T1342" s="1018" t="str">
        <f ca="1">IF($C1342="","", IF(OR($P1342=$V$1,$P1342=$V$7,COUNTIFS($C$3:$C1342,$C1342,$E$3:$E1342,$E1342)&lt;=1),$P1342,""    ))</f>
        <v/>
      </c>
      <c r="U1342" s="1019" t="str">
        <f ca="1">IF(AND($P1342=$V$2,COUNTIFS($C$3:$C1342,$C1342,$E$3:$E1342,$E1342,$G$3:$G1342,$G1342)&lt;=1),$P1342,"")</f>
        <v/>
      </c>
    </row>
    <row r="1343" spans="1:21">
      <c r="A1343" s="991" t="str">
        <f ca="1">IFERROR(IF(COUNTIF($A$3:A1342,A1342)&lt; INDEX(TinhGia!$BH$10:$BH$81,MATCH($A1342,TinhGia!$B$10:$B$81,0)),$A1342,INDEX(TinhGia!$B$10:$B$81,MATCH($A1342,TinhGia!$B$10:$B$81,0)+1)),"")</f>
        <v/>
      </c>
      <c r="B1343" s="525" t="str">
        <f ca="1">IF(OR(A1343="",A1343=0),"",IF(COUNTIF($A$2:A1343,$A1343)=1,ROW(MauKoXoa!$C$108),$B1342+1))</f>
        <v/>
      </c>
      <c r="C1343" s="992" t="str">
        <f t="shared" ca="1" si="200"/>
        <v/>
      </c>
      <c r="D1343" s="993" t="str">
        <f t="shared" ca="1" si="201"/>
        <v/>
      </c>
      <c r="E1343" s="993" t="str">
        <f t="shared" ca="1" si="202"/>
        <v/>
      </c>
      <c r="F1343" s="992" t="str">
        <f t="shared" ca="1" si="210"/>
        <v/>
      </c>
      <c r="G1343" s="994">
        <f t="shared" ca="1" si="203"/>
        <v>0</v>
      </c>
      <c r="H1343" s="913">
        <f t="shared" ca="1" si="204"/>
        <v>0</v>
      </c>
      <c r="I1343" s="913">
        <f t="shared" ca="1" si="205"/>
        <v>0</v>
      </c>
      <c r="J1343" s="995">
        <f t="shared" ca="1" si="211"/>
        <v>0</v>
      </c>
      <c r="K1343" s="913">
        <f t="shared" ca="1" si="206"/>
        <v>0</v>
      </c>
      <c r="L1343" s="995">
        <f t="shared" ca="1" si="212"/>
        <v>0</v>
      </c>
      <c r="M1343" s="913">
        <f t="shared" ca="1" si="207"/>
        <v>0</v>
      </c>
      <c r="N1343" s="996">
        <f t="shared" ca="1" si="208"/>
        <v>0</v>
      </c>
      <c r="O1343" s="997">
        <f t="shared" ca="1" si="209"/>
        <v>0</v>
      </c>
      <c r="P1343" s="1015" t="str">
        <f ca="1">IF($C1343="","",INDEX(NVLSX!$N$2:$N$6941,MATCH($C1343,NVLSX!$E$2:$E$6941,0)))</f>
        <v/>
      </c>
      <c r="Q1343" s="1016" t="str">
        <f ca="1">IF($R1343="","",IF(XKNVLSX!$X$1="",IF($P1343=$V$7,$P1343, IF(COUNTIFS($C$2:$C1342,$C1343,$E$2:$E1342,$E1343)&gt;=1,"",$P1343)),     IF(AND(IFERROR(SEARCH($R1343,XKNVLSX!$X$1,1),0)&gt;=1,$P1343=$V$7),$P1343, IF(OR($R1343&lt;&gt;IF(IFERROR(SEARCH($R1343,XKNVLSX!$X$1,1),0)&gt;=1,$R1343,XKNVLSX!$X$1),COUNTIFS($C$2:$C1342,$C1343,$E$2:$E1342,$E1343,$Q$2:$Q1342,$P1343)&gt;=1),"",$P1343))))</f>
        <v/>
      </c>
      <c r="R1343" s="1017" t="str">
        <f ca="1">IF($A1343="","",IFERROR(INDEX(TinhGia!$BF$10:$BF$81,MATCH($A1343,TinhGia!$B$10:$B$81,0)),""))</f>
        <v/>
      </c>
      <c r="S1343" s="1012" t="str">
        <f ca="1">IF($A1343="","",IF(OR(IFERROR(SEARCH($R1343,XKNVLSX!$X$1,1),0)&gt;=1,XKNVLSX!$X$1=""),$S$2,""))</f>
        <v/>
      </c>
      <c r="T1343" s="1018" t="str">
        <f ca="1">IF($C1343="","", IF(OR($P1343=$V$1,$P1343=$V$7,COUNTIFS($C$3:$C1343,$C1343,$E$3:$E1343,$E1343)&lt;=1),$P1343,""    ))</f>
        <v/>
      </c>
      <c r="U1343" s="1019" t="str">
        <f ca="1">IF(AND($P1343=$V$2,COUNTIFS($C$3:$C1343,$C1343,$E$3:$E1343,$E1343,$G$3:$G1343,$G1343)&lt;=1),$P1343,"")</f>
        <v/>
      </c>
    </row>
    <row r="1344" spans="1:21">
      <c r="A1344" s="991" t="str">
        <f ca="1">IFERROR(IF(COUNTIF($A$3:A1343,A1343)&lt; INDEX(TinhGia!$BH$10:$BH$81,MATCH($A1343,TinhGia!$B$10:$B$81,0)),$A1343,INDEX(TinhGia!$B$10:$B$81,MATCH($A1343,TinhGia!$B$10:$B$81,0)+1)),"")</f>
        <v/>
      </c>
      <c r="B1344" s="525" t="str">
        <f ca="1">IF(OR(A1344="",A1344=0),"",IF(COUNTIF($A$2:A1344,$A1344)=1,ROW(MauKoXoa!$C$108),$B1343+1))</f>
        <v/>
      </c>
      <c r="C1344" s="992" t="str">
        <f t="shared" ref="C1344:C1407" ca="1" si="213">IFERROR(INDIRECT("'" &amp; $A1344 &amp; "'!" &amp; "C" &amp; $B1344),"")</f>
        <v/>
      </c>
      <c r="D1344" s="993" t="str">
        <f t="shared" ref="D1344:D1407" ca="1" si="214">IFERROR(INDIRECT("'" &amp; $A1344 &amp; "'!" &amp; "D" &amp; $B1344),"")</f>
        <v/>
      </c>
      <c r="E1344" s="993" t="str">
        <f t="shared" ref="E1344:E1407" ca="1" si="215">IFERROR(INDIRECT("'" &amp; $A1344 &amp; "'!" &amp; "P" &amp; $B1344),"")</f>
        <v/>
      </c>
      <c r="F1344" s="992" t="str">
        <f t="shared" ca="1" si="210"/>
        <v/>
      </c>
      <c r="G1344" s="994">
        <f t="shared" ref="G1344:G1407" ca="1" si="216">IFERROR(INDIRECT("'" &amp; $A1344 &amp; "'!" &amp; "F" &amp; $B1344),0)</f>
        <v>0</v>
      </c>
      <c r="H1344" s="913">
        <f t="shared" ref="H1344:H1407" ca="1" si="217">IFERROR(INDIRECT("'" &amp; $A1344 &amp; "'!" &amp; "G" &amp; $B1344),0)</f>
        <v>0</v>
      </c>
      <c r="I1344" s="913">
        <f t="shared" ref="I1344:I1407" ca="1" si="218">IFERROR(INDIRECT("'" &amp; $A1344 &amp; "'!" &amp; "H" &amp; $B1344),0)</f>
        <v>0</v>
      </c>
      <c r="J1344" s="995">
        <f t="shared" ca="1" si="211"/>
        <v>0</v>
      </c>
      <c r="K1344" s="913">
        <f t="shared" ref="K1344:K1407" ca="1" si="219">IFERROR(INDIRECT("'" &amp; $A1344 &amp; "'!" &amp; "L" &amp; $B1344),0)</f>
        <v>0</v>
      </c>
      <c r="L1344" s="995">
        <f t="shared" ca="1" si="212"/>
        <v>0</v>
      </c>
      <c r="M1344" s="913">
        <f t="shared" ref="M1344:M1407" ca="1" si="220">IFERROR(INDIRECT("'" &amp; $A1344 &amp; "'!" &amp; "M" &amp; $B1344),0)</f>
        <v>0</v>
      </c>
      <c r="N1344" s="996">
        <f t="shared" ref="N1344:N1407" ca="1" si="221">IFERROR(INDIRECT("'" &amp; $A1344 &amp; "'!" &amp; "N" &amp; $B1344),0)</f>
        <v>0</v>
      </c>
      <c r="O1344" s="997">
        <f t="shared" ref="O1344:O1407" ca="1" si="222">IFERROR(INDIRECT("'" &amp; $A1344 &amp; "'!" &amp; "O" &amp; $B1344),0)</f>
        <v>0</v>
      </c>
      <c r="P1344" s="1015" t="str">
        <f ca="1">IF($C1344="","",INDEX(NVLSX!$N$2:$N$6941,MATCH($C1344,NVLSX!$E$2:$E$6941,0)))</f>
        <v/>
      </c>
      <c r="Q1344" s="1016" t="str">
        <f ca="1">IF($R1344="","",IF(XKNVLSX!$X$1="",IF($P1344=$V$7,$P1344, IF(COUNTIFS($C$2:$C1343,$C1344,$E$2:$E1343,$E1344)&gt;=1,"",$P1344)),     IF(AND(IFERROR(SEARCH($R1344,XKNVLSX!$X$1,1),0)&gt;=1,$P1344=$V$7),$P1344, IF(OR($R1344&lt;&gt;IF(IFERROR(SEARCH($R1344,XKNVLSX!$X$1,1),0)&gt;=1,$R1344,XKNVLSX!$X$1),COUNTIFS($C$2:$C1343,$C1344,$E$2:$E1343,$E1344,$Q$2:$Q1343,$P1344)&gt;=1),"",$P1344))))</f>
        <v/>
      </c>
      <c r="R1344" s="1017" t="str">
        <f ca="1">IF($A1344="","",IFERROR(INDEX(TinhGia!$BF$10:$BF$81,MATCH($A1344,TinhGia!$B$10:$B$81,0)),""))</f>
        <v/>
      </c>
      <c r="S1344" s="1012" t="str">
        <f ca="1">IF($A1344="","",IF(OR(IFERROR(SEARCH($R1344,XKNVLSX!$X$1,1),0)&gt;=1,XKNVLSX!$X$1=""),$S$2,""))</f>
        <v/>
      </c>
      <c r="T1344" s="1018" t="str">
        <f ca="1">IF($C1344="","", IF(OR($P1344=$V$1,$P1344=$V$7,COUNTIFS($C$3:$C1344,$C1344,$E$3:$E1344,$E1344)&lt;=1),$P1344,""    ))</f>
        <v/>
      </c>
      <c r="U1344" s="1019" t="str">
        <f ca="1">IF(AND($P1344=$V$2,COUNTIFS($C$3:$C1344,$C1344,$E$3:$E1344,$E1344,$G$3:$G1344,$G1344)&lt;=1),$P1344,"")</f>
        <v/>
      </c>
    </row>
    <row r="1345" spans="1:21">
      <c r="A1345" s="991" t="str">
        <f ca="1">IFERROR(IF(COUNTIF($A$3:A1344,A1344)&lt; INDEX(TinhGia!$BH$10:$BH$81,MATCH($A1344,TinhGia!$B$10:$B$81,0)),$A1344,INDEX(TinhGia!$B$10:$B$81,MATCH($A1344,TinhGia!$B$10:$B$81,0)+1)),"")</f>
        <v/>
      </c>
      <c r="B1345" s="525" t="str">
        <f ca="1">IF(OR(A1345="",A1345=0),"",IF(COUNTIF($A$2:A1345,$A1345)=1,ROW(MauKoXoa!$C$108),$B1344+1))</f>
        <v/>
      </c>
      <c r="C1345" s="992" t="str">
        <f t="shared" ca="1" si="213"/>
        <v/>
      </c>
      <c r="D1345" s="993" t="str">
        <f t="shared" ca="1" si="214"/>
        <v/>
      </c>
      <c r="E1345" s="993" t="str">
        <f t="shared" ca="1" si="215"/>
        <v/>
      </c>
      <c r="F1345" s="992" t="str">
        <f t="shared" ca="1" si="210"/>
        <v/>
      </c>
      <c r="G1345" s="994">
        <f t="shared" ca="1" si="216"/>
        <v>0</v>
      </c>
      <c r="H1345" s="913">
        <f t="shared" ca="1" si="217"/>
        <v>0</v>
      </c>
      <c r="I1345" s="913">
        <f t="shared" ca="1" si="218"/>
        <v>0</v>
      </c>
      <c r="J1345" s="995">
        <f t="shared" ca="1" si="211"/>
        <v>0</v>
      </c>
      <c r="K1345" s="913">
        <f t="shared" ca="1" si="219"/>
        <v>0</v>
      </c>
      <c r="L1345" s="995">
        <f t="shared" ca="1" si="212"/>
        <v>0</v>
      </c>
      <c r="M1345" s="913">
        <f t="shared" ca="1" si="220"/>
        <v>0</v>
      </c>
      <c r="N1345" s="996">
        <f t="shared" ca="1" si="221"/>
        <v>0</v>
      </c>
      <c r="O1345" s="997">
        <f t="shared" ca="1" si="222"/>
        <v>0</v>
      </c>
      <c r="P1345" s="1015" t="str">
        <f ca="1">IF($C1345="","",INDEX(NVLSX!$N$2:$N$6941,MATCH($C1345,NVLSX!$E$2:$E$6941,0)))</f>
        <v/>
      </c>
      <c r="Q1345" s="1016" t="str">
        <f ca="1">IF($R1345="","",IF(XKNVLSX!$X$1="",IF($P1345=$V$7,$P1345, IF(COUNTIFS($C$2:$C1344,$C1345,$E$2:$E1344,$E1345)&gt;=1,"",$P1345)),     IF(AND(IFERROR(SEARCH($R1345,XKNVLSX!$X$1,1),0)&gt;=1,$P1345=$V$7),$P1345, IF(OR($R1345&lt;&gt;IF(IFERROR(SEARCH($R1345,XKNVLSX!$X$1,1),0)&gt;=1,$R1345,XKNVLSX!$X$1),COUNTIFS($C$2:$C1344,$C1345,$E$2:$E1344,$E1345,$Q$2:$Q1344,$P1345)&gt;=1),"",$P1345))))</f>
        <v/>
      </c>
      <c r="R1345" s="1017" t="str">
        <f ca="1">IF($A1345="","",IFERROR(INDEX(TinhGia!$BF$10:$BF$81,MATCH($A1345,TinhGia!$B$10:$B$81,0)),""))</f>
        <v/>
      </c>
      <c r="S1345" s="1012" t="str">
        <f ca="1">IF($A1345="","",IF(OR(IFERROR(SEARCH($R1345,XKNVLSX!$X$1,1),0)&gt;=1,XKNVLSX!$X$1=""),$S$2,""))</f>
        <v/>
      </c>
      <c r="T1345" s="1018" t="str">
        <f ca="1">IF($C1345="","", IF(OR($P1345=$V$1,$P1345=$V$7,COUNTIFS($C$3:$C1345,$C1345,$E$3:$E1345,$E1345)&lt;=1),$P1345,""    ))</f>
        <v/>
      </c>
      <c r="U1345" s="1019" t="str">
        <f ca="1">IF(AND($P1345=$V$2,COUNTIFS($C$3:$C1345,$C1345,$E$3:$E1345,$E1345,$G$3:$G1345,$G1345)&lt;=1),$P1345,"")</f>
        <v/>
      </c>
    </row>
    <row r="1346" spans="1:21">
      <c r="A1346" s="991" t="str">
        <f ca="1">IFERROR(IF(COUNTIF($A$3:A1345,A1345)&lt; INDEX(TinhGia!$BH$10:$BH$81,MATCH($A1345,TinhGia!$B$10:$B$81,0)),$A1345,INDEX(TinhGia!$B$10:$B$81,MATCH($A1345,TinhGia!$B$10:$B$81,0)+1)),"")</f>
        <v/>
      </c>
      <c r="B1346" s="525" t="str">
        <f ca="1">IF(OR(A1346="",A1346=0),"",IF(COUNTIF($A$2:A1346,$A1346)=1,ROW(MauKoXoa!$C$108),$B1345+1))</f>
        <v/>
      </c>
      <c r="C1346" s="992" t="str">
        <f t="shared" ca="1" si="213"/>
        <v/>
      </c>
      <c r="D1346" s="993" t="str">
        <f t="shared" ca="1" si="214"/>
        <v/>
      </c>
      <c r="E1346" s="993" t="str">
        <f t="shared" ca="1" si="215"/>
        <v/>
      </c>
      <c r="F1346" s="992" t="str">
        <f t="shared" ca="1" si="210"/>
        <v/>
      </c>
      <c r="G1346" s="994">
        <f t="shared" ca="1" si="216"/>
        <v>0</v>
      </c>
      <c r="H1346" s="913">
        <f t="shared" ca="1" si="217"/>
        <v>0</v>
      </c>
      <c r="I1346" s="913">
        <f t="shared" ca="1" si="218"/>
        <v>0</v>
      </c>
      <c r="J1346" s="995">
        <f t="shared" ca="1" si="211"/>
        <v>0</v>
      </c>
      <c r="K1346" s="913">
        <f t="shared" ca="1" si="219"/>
        <v>0</v>
      </c>
      <c r="L1346" s="995">
        <f t="shared" ca="1" si="212"/>
        <v>0</v>
      </c>
      <c r="M1346" s="913">
        <f t="shared" ca="1" si="220"/>
        <v>0</v>
      </c>
      <c r="N1346" s="996">
        <f t="shared" ca="1" si="221"/>
        <v>0</v>
      </c>
      <c r="O1346" s="997">
        <f t="shared" ca="1" si="222"/>
        <v>0</v>
      </c>
      <c r="P1346" s="1015" t="str">
        <f ca="1">IF($C1346="","",INDEX(NVLSX!$N$2:$N$6941,MATCH($C1346,NVLSX!$E$2:$E$6941,0)))</f>
        <v/>
      </c>
      <c r="Q1346" s="1016" t="str">
        <f ca="1">IF($R1346="","",IF(XKNVLSX!$X$1="",IF($P1346=$V$7,$P1346, IF(COUNTIFS($C$2:$C1345,$C1346,$E$2:$E1345,$E1346)&gt;=1,"",$P1346)),     IF(AND(IFERROR(SEARCH($R1346,XKNVLSX!$X$1,1),0)&gt;=1,$P1346=$V$7),$P1346, IF(OR($R1346&lt;&gt;IF(IFERROR(SEARCH($R1346,XKNVLSX!$X$1,1),0)&gt;=1,$R1346,XKNVLSX!$X$1),COUNTIFS($C$2:$C1345,$C1346,$E$2:$E1345,$E1346,$Q$2:$Q1345,$P1346)&gt;=1),"",$P1346))))</f>
        <v/>
      </c>
      <c r="R1346" s="1017" t="str">
        <f ca="1">IF($A1346="","",IFERROR(INDEX(TinhGia!$BF$10:$BF$81,MATCH($A1346,TinhGia!$B$10:$B$81,0)),""))</f>
        <v/>
      </c>
      <c r="S1346" s="1012" t="str">
        <f ca="1">IF($A1346="","",IF(OR(IFERROR(SEARCH($R1346,XKNVLSX!$X$1,1),0)&gt;=1,XKNVLSX!$X$1=""),$S$2,""))</f>
        <v/>
      </c>
      <c r="T1346" s="1018" t="str">
        <f ca="1">IF($C1346="","", IF(OR($P1346=$V$1,$P1346=$V$7,COUNTIFS($C$3:$C1346,$C1346,$E$3:$E1346,$E1346)&lt;=1),$P1346,""    ))</f>
        <v/>
      </c>
      <c r="U1346" s="1019" t="str">
        <f ca="1">IF(AND($P1346=$V$2,COUNTIFS($C$3:$C1346,$C1346,$E$3:$E1346,$E1346,$G$3:$G1346,$G1346)&lt;=1),$P1346,"")</f>
        <v/>
      </c>
    </row>
    <row r="1347" spans="1:21">
      <c r="A1347" s="991" t="str">
        <f ca="1">IFERROR(IF(COUNTIF($A$3:A1346,A1346)&lt; INDEX(TinhGia!$BH$10:$BH$81,MATCH($A1346,TinhGia!$B$10:$B$81,0)),$A1346,INDEX(TinhGia!$B$10:$B$81,MATCH($A1346,TinhGia!$B$10:$B$81,0)+1)),"")</f>
        <v/>
      </c>
      <c r="B1347" s="525" t="str">
        <f ca="1">IF(OR(A1347="",A1347=0),"",IF(COUNTIF($A$2:A1347,$A1347)=1,ROW(MauKoXoa!$C$108),$B1346+1))</f>
        <v/>
      </c>
      <c r="C1347" s="992" t="str">
        <f t="shared" ca="1" si="213"/>
        <v/>
      </c>
      <c r="D1347" s="993" t="str">
        <f t="shared" ca="1" si="214"/>
        <v/>
      </c>
      <c r="E1347" s="993" t="str">
        <f t="shared" ca="1" si="215"/>
        <v/>
      </c>
      <c r="F1347" s="992" t="str">
        <f t="shared" ref="F1347:F1410" ca="1" si="223">IF($P1347=$V$7, IFERROR(INDIRECT("'" &amp; $A1347 &amp; "'!" &amp; "I" &amp; $B1347),""),IFERROR(INDIRECT("'" &amp; $A1347 &amp; "'!" &amp; "E" &amp; $B1347),""))</f>
        <v/>
      </c>
      <c r="G1347" s="994">
        <f t="shared" ca="1" si="216"/>
        <v>0</v>
      </c>
      <c r="H1347" s="913">
        <f t="shared" ca="1" si="217"/>
        <v>0</v>
      </c>
      <c r="I1347" s="913">
        <f t="shared" ca="1" si="218"/>
        <v>0</v>
      </c>
      <c r="J1347" s="995">
        <f t="shared" ca="1" si="211"/>
        <v>0</v>
      </c>
      <c r="K1347" s="913">
        <f t="shared" ca="1" si="219"/>
        <v>0</v>
      </c>
      <c r="L1347" s="995">
        <f t="shared" ca="1" si="212"/>
        <v>0</v>
      </c>
      <c r="M1347" s="913">
        <f t="shared" ca="1" si="220"/>
        <v>0</v>
      </c>
      <c r="N1347" s="996">
        <f t="shared" ca="1" si="221"/>
        <v>0</v>
      </c>
      <c r="O1347" s="997">
        <f t="shared" ca="1" si="222"/>
        <v>0</v>
      </c>
      <c r="P1347" s="1015" t="str">
        <f ca="1">IF($C1347="","",INDEX(NVLSX!$N$2:$N$6941,MATCH($C1347,NVLSX!$E$2:$E$6941,0)))</f>
        <v/>
      </c>
      <c r="Q1347" s="1016" t="str">
        <f ca="1">IF($R1347="","",IF(XKNVLSX!$X$1="",IF($P1347=$V$7,$P1347, IF(COUNTIFS($C$2:$C1346,$C1347,$E$2:$E1346,$E1347)&gt;=1,"",$P1347)),     IF(AND(IFERROR(SEARCH($R1347,XKNVLSX!$X$1,1),0)&gt;=1,$P1347=$V$7),$P1347, IF(OR($R1347&lt;&gt;IF(IFERROR(SEARCH($R1347,XKNVLSX!$X$1,1),0)&gt;=1,$R1347,XKNVLSX!$X$1),COUNTIFS($C$2:$C1346,$C1347,$E$2:$E1346,$E1347,$Q$2:$Q1346,$P1347)&gt;=1),"",$P1347))))</f>
        <v/>
      </c>
      <c r="R1347" s="1017" t="str">
        <f ca="1">IF($A1347="","",IFERROR(INDEX(TinhGia!$BF$10:$BF$81,MATCH($A1347,TinhGia!$B$10:$B$81,0)),""))</f>
        <v/>
      </c>
      <c r="S1347" s="1012" t="str">
        <f ca="1">IF($A1347="","",IF(OR(IFERROR(SEARCH($R1347,XKNVLSX!$X$1,1),0)&gt;=1,XKNVLSX!$X$1=""),$S$2,""))</f>
        <v/>
      </c>
      <c r="T1347" s="1018" t="str">
        <f ca="1">IF($C1347="","", IF(OR($P1347=$V$1,$P1347=$V$7,COUNTIFS($C$3:$C1347,$C1347,$E$3:$E1347,$E1347)&lt;=1),$P1347,""    ))</f>
        <v/>
      </c>
      <c r="U1347" s="1019" t="str">
        <f ca="1">IF(AND($P1347=$V$2,COUNTIFS($C$3:$C1347,$C1347,$E$3:$E1347,$E1347,$G$3:$G1347,$G1347)&lt;=1),$P1347,"")</f>
        <v/>
      </c>
    </row>
    <row r="1348" spans="1:21">
      <c r="A1348" s="991" t="str">
        <f ca="1">IFERROR(IF(COUNTIF($A$3:A1347,A1347)&lt; INDEX(TinhGia!$BH$10:$BH$81,MATCH($A1347,TinhGia!$B$10:$B$81,0)),$A1347,INDEX(TinhGia!$B$10:$B$81,MATCH($A1347,TinhGia!$B$10:$B$81,0)+1)),"")</f>
        <v/>
      </c>
      <c r="B1348" s="525" t="str">
        <f ca="1">IF(OR(A1348="",A1348=0),"",IF(COUNTIF($A$2:A1348,$A1348)=1,ROW(MauKoXoa!$C$108),$B1347+1))</f>
        <v/>
      </c>
      <c r="C1348" s="992" t="str">
        <f t="shared" ca="1" si="213"/>
        <v/>
      </c>
      <c r="D1348" s="993" t="str">
        <f t="shared" ca="1" si="214"/>
        <v/>
      </c>
      <c r="E1348" s="993" t="str">
        <f t="shared" ca="1" si="215"/>
        <v/>
      </c>
      <c r="F1348" s="992" t="str">
        <f t="shared" ca="1" si="223"/>
        <v/>
      </c>
      <c r="G1348" s="994">
        <f t="shared" ca="1" si="216"/>
        <v>0</v>
      </c>
      <c r="H1348" s="913">
        <f t="shared" ca="1" si="217"/>
        <v>0</v>
      </c>
      <c r="I1348" s="913">
        <f t="shared" ca="1" si="218"/>
        <v>0</v>
      </c>
      <c r="J1348" s="995">
        <f t="shared" ref="J1348:J1411" ca="1" si="224">IFERROR(INDIRECT("'" &amp; $A1348 &amp; "'!" &amp; "J" &amp; $B1348),0)</f>
        <v>0</v>
      </c>
      <c r="K1348" s="913">
        <f t="shared" ca="1" si="219"/>
        <v>0</v>
      </c>
      <c r="L1348" s="995">
        <f t="shared" ref="L1348:L1411" ca="1" si="225">+ IFERROR(INDIRECT("'" &amp; $A1348 &amp; "'!" &amp; "K" &amp; $B1348),0)</f>
        <v>0</v>
      </c>
      <c r="M1348" s="913">
        <f t="shared" ca="1" si="220"/>
        <v>0</v>
      </c>
      <c r="N1348" s="996">
        <f t="shared" ca="1" si="221"/>
        <v>0</v>
      </c>
      <c r="O1348" s="997">
        <f t="shared" ca="1" si="222"/>
        <v>0</v>
      </c>
      <c r="P1348" s="1015" t="str">
        <f ca="1">IF($C1348="","",INDEX(NVLSX!$N$2:$N$6941,MATCH($C1348,NVLSX!$E$2:$E$6941,0)))</f>
        <v/>
      </c>
      <c r="Q1348" s="1016" t="str">
        <f ca="1">IF($R1348="","",IF(XKNVLSX!$X$1="",IF($P1348=$V$7,$P1348, IF(COUNTIFS($C$2:$C1347,$C1348,$E$2:$E1347,$E1348)&gt;=1,"",$P1348)),     IF(AND(IFERROR(SEARCH($R1348,XKNVLSX!$X$1,1),0)&gt;=1,$P1348=$V$7),$P1348, IF(OR($R1348&lt;&gt;IF(IFERROR(SEARCH($R1348,XKNVLSX!$X$1,1),0)&gt;=1,$R1348,XKNVLSX!$X$1),COUNTIFS($C$2:$C1347,$C1348,$E$2:$E1347,$E1348,$Q$2:$Q1347,$P1348)&gt;=1),"",$P1348))))</f>
        <v/>
      </c>
      <c r="R1348" s="1017" t="str">
        <f ca="1">IF($A1348="","",IFERROR(INDEX(TinhGia!$BF$10:$BF$81,MATCH($A1348,TinhGia!$B$10:$B$81,0)),""))</f>
        <v/>
      </c>
      <c r="S1348" s="1012" t="str">
        <f ca="1">IF($A1348="","",IF(OR(IFERROR(SEARCH($R1348,XKNVLSX!$X$1,1),0)&gt;=1,XKNVLSX!$X$1=""),$S$2,""))</f>
        <v/>
      </c>
      <c r="T1348" s="1018" t="str">
        <f ca="1">IF($C1348="","", IF(OR($P1348=$V$1,$P1348=$V$7,COUNTIFS($C$3:$C1348,$C1348,$E$3:$E1348,$E1348)&lt;=1),$P1348,""    ))</f>
        <v/>
      </c>
      <c r="U1348" s="1019" t="str">
        <f ca="1">IF(AND($P1348=$V$2,COUNTIFS($C$3:$C1348,$C1348,$E$3:$E1348,$E1348,$G$3:$G1348,$G1348)&lt;=1),$P1348,"")</f>
        <v/>
      </c>
    </row>
    <row r="1349" spans="1:21">
      <c r="A1349" s="991" t="str">
        <f ca="1">IFERROR(IF(COUNTIF($A$3:A1348,A1348)&lt; INDEX(TinhGia!$BH$10:$BH$81,MATCH($A1348,TinhGia!$B$10:$B$81,0)),$A1348,INDEX(TinhGia!$B$10:$B$81,MATCH($A1348,TinhGia!$B$10:$B$81,0)+1)),"")</f>
        <v/>
      </c>
      <c r="B1349" s="525" t="str">
        <f ca="1">IF(OR(A1349="",A1349=0),"",IF(COUNTIF($A$2:A1349,$A1349)=1,ROW(MauKoXoa!$C$108),$B1348+1))</f>
        <v/>
      </c>
      <c r="C1349" s="992" t="str">
        <f t="shared" ca="1" si="213"/>
        <v/>
      </c>
      <c r="D1349" s="993" t="str">
        <f t="shared" ca="1" si="214"/>
        <v/>
      </c>
      <c r="E1349" s="993" t="str">
        <f t="shared" ca="1" si="215"/>
        <v/>
      </c>
      <c r="F1349" s="992" t="str">
        <f t="shared" ca="1" si="223"/>
        <v/>
      </c>
      <c r="G1349" s="994">
        <f t="shared" ca="1" si="216"/>
        <v>0</v>
      </c>
      <c r="H1349" s="913">
        <f t="shared" ca="1" si="217"/>
        <v>0</v>
      </c>
      <c r="I1349" s="913">
        <f t="shared" ca="1" si="218"/>
        <v>0</v>
      </c>
      <c r="J1349" s="995">
        <f t="shared" ca="1" si="224"/>
        <v>0</v>
      </c>
      <c r="K1349" s="913">
        <f t="shared" ca="1" si="219"/>
        <v>0</v>
      </c>
      <c r="L1349" s="995">
        <f t="shared" ca="1" si="225"/>
        <v>0</v>
      </c>
      <c r="M1349" s="913">
        <f t="shared" ca="1" si="220"/>
        <v>0</v>
      </c>
      <c r="N1349" s="996">
        <f t="shared" ca="1" si="221"/>
        <v>0</v>
      </c>
      <c r="O1349" s="997">
        <f t="shared" ca="1" si="222"/>
        <v>0</v>
      </c>
      <c r="P1349" s="1015" t="str">
        <f ca="1">IF($C1349="","",INDEX(NVLSX!$N$2:$N$6941,MATCH($C1349,NVLSX!$E$2:$E$6941,0)))</f>
        <v/>
      </c>
      <c r="Q1349" s="1016" t="str">
        <f ca="1">IF($R1349="","",IF(XKNVLSX!$X$1="",IF($P1349=$V$7,$P1349, IF(COUNTIFS($C$2:$C1348,$C1349,$E$2:$E1348,$E1349)&gt;=1,"",$P1349)),     IF(AND(IFERROR(SEARCH($R1349,XKNVLSX!$X$1,1),0)&gt;=1,$P1349=$V$7),$P1349, IF(OR($R1349&lt;&gt;IF(IFERROR(SEARCH($R1349,XKNVLSX!$X$1,1),0)&gt;=1,$R1349,XKNVLSX!$X$1),COUNTIFS($C$2:$C1348,$C1349,$E$2:$E1348,$E1349,$Q$2:$Q1348,$P1349)&gt;=1),"",$P1349))))</f>
        <v/>
      </c>
      <c r="R1349" s="1017" t="str">
        <f ca="1">IF($A1349="","",IFERROR(INDEX(TinhGia!$BF$10:$BF$81,MATCH($A1349,TinhGia!$B$10:$B$81,0)),""))</f>
        <v/>
      </c>
      <c r="S1349" s="1012" t="str">
        <f ca="1">IF($A1349="","",IF(OR(IFERROR(SEARCH($R1349,XKNVLSX!$X$1,1),0)&gt;=1,XKNVLSX!$X$1=""),$S$2,""))</f>
        <v/>
      </c>
      <c r="T1349" s="1018" t="str">
        <f ca="1">IF($C1349="","", IF(OR($P1349=$V$1,$P1349=$V$7,COUNTIFS($C$3:$C1349,$C1349,$E$3:$E1349,$E1349)&lt;=1),$P1349,""    ))</f>
        <v/>
      </c>
      <c r="U1349" s="1019" t="str">
        <f ca="1">IF(AND($P1349=$V$2,COUNTIFS($C$3:$C1349,$C1349,$E$3:$E1349,$E1349,$G$3:$G1349,$G1349)&lt;=1),$P1349,"")</f>
        <v/>
      </c>
    </row>
    <row r="1350" spans="1:21">
      <c r="A1350" s="991" t="str">
        <f ca="1">IFERROR(IF(COUNTIF($A$3:A1349,A1349)&lt; INDEX(TinhGia!$BH$10:$BH$81,MATCH($A1349,TinhGia!$B$10:$B$81,0)),$A1349,INDEX(TinhGia!$B$10:$B$81,MATCH($A1349,TinhGia!$B$10:$B$81,0)+1)),"")</f>
        <v/>
      </c>
      <c r="B1350" s="525" t="str">
        <f ca="1">IF(OR(A1350="",A1350=0),"",IF(COUNTIF($A$2:A1350,$A1350)=1,ROW(MauKoXoa!$C$108),$B1349+1))</f>
        <v/>
      </c>
      <c r="C1350" s="992" t="str">
        <f t="shared" ca="1" si="213"/>
        <v/>
      </c>
      <c r="D1350" s="993" t="str">
        <f t="shared" ca="1" si="214"/>
        <v/>
      </c>
      <c r="E1350" s="993" t="str">
        <f t="shared" ca="1" si="215"/>
        <v/>
      </c>
      <c r="F1350" s="992" t="str">
        <f t="shared" ca="1" si="223"/>
        <v/>
      </c>
      <c r="G1350" s="994">
        <f t="shared" ca="1" si="216"/>
        <v>0</v>
      </c>
      <c r="H1350" s="913">
        <f t="shared" ca="1" si="217"/>
        <v>0</v>
      </c>
      <c r="I1350" s="913">
        <f t="shared" ca="1" si="218"/>
        <v>0</v>
      </c>
      <c r="J1350" s="995">
        <f t="shared" ca="1" si="224"/>
        <v>0</v>
      </c>
      <c r="K1350" s="913">
        <f t="shared" ca="1" si="219"/>
        <v>0</v>
      </c>
      <c r="L1350" s="995">
        <f t="shared" ca="1" si="225"/>
        <v>0</v>
      </c>
      <c r="M1350" s="913">
        <f t="shared" ca="1" si="220"/>
        <v>0</v>
      </c>
      <c r="N1350" s="996">
        <f t="shared" ca="1" si="221"/>
        <v>0</v>
      </c>
      <c r="O1350" s="997">
        <f t="shared" ca="1" si="222"/>
        <v>0</v>
      </c>
      <c r="P1350" s="1015" t="str">
        <f ca="1">IF($C1350="","",INDEX(NVLSX!$N$2:$N$6941,MATCH($C1350,NVLSX!$E$2:$E$6941,0)))</f>
        <v/>
      </c>
      <c r="Q1350" s="1016" t="str">
        <f ca="1">IF($R1350="","",IF(XKNVLSX!$X$1="",IF($P1350=$V$7,$P1350, IF(COUNTIFS($C$2:$C1349,$C1350,$E$2:$E1349,$E1350)&gt;=1,"",$P1350)),     IF(AND(IFERROR(SEARCH($R1350,XKNVLSX!$X$1,1),0)&gt;=1,$P1350=$V$7),$P1350, IF(OR($R1350&lt;&gt;IF(IFERROR(SEARCH($R1350,XKNVLSX!$X$1,1),0)&gt;=1,$R1350,XKNVLSX!$X$1),COUNTIFS($C$2:$C1349,$C1350,$E$2:$E1349,$E1350,$Q$2:$Q1349,$P1350)&gt;=1),"",$P1350))))</f>
        <v/>
      </c>
      <c r="R1350" s="1017" t="str">
        <f ca="1">IF($A1350="","",IFERROR(INDEX(TinhGia!$BF$10:$BF$81,MATCH($A1350,TinhGia!$B$10:$B$81,0)),""))</f>
        <v/>
      </c>
      <c r="S1350" s="1012" t="str">
        <f ca="1">IF($A1350="","",IF(OR(IFERROR(SEARCH($R1350,XKNVLSX!$X$1,1),0)&gt;=1,XKNVLSX!$X$1=""),$S$2,""))</f>
        <v/>
      </c>
      <c r="T1350" s="1018" t="str">
        <f ca="1">IF($C1350="","", IF(OR($P1350=$V$1,$P1350=$V$7,COUNTIFS($C$3:$C1350,$C1350,$E$3:$E1350,$E1350)&lt;=1),$P1350,""    ))</f>
        <v/>
      </c>
      <c r="U1350" s="1019" t="str">
        <f ca="1">IF(AND($P1350=$V$2,COUNTIFS($C$3:$C1350,$C1350,$E$3:$E1350,$E1350,$G$3:$G1350,$G1350)&lt;=1),$P1350,"")</f>
        <v/>
      </c>
    </row>
    <row r="1351" spans="1:21">
      <c r="A1351" s="991" t="str">
        <f ca="1">IFERROR(IF(COUNTIF($A$3:A1350,A1350)&lt; INDEX(TinhGia!$BH$10:$BH$81,MATCH($A1350,TinhGia!$B$10:$B$81,0)),$A1350,INDEX(TinhGia!$B$10:$B$81,MATCH($A1350,TinhGia!$B$10:$B$81,0)+1)),"")</f>
        <v/>
      </c>
      <c r="B1351" s="525" t="str">
        <f ca="1">IF(OR(A1351="",A1351=0),"",IF(COUNTIF($A$2:A1351,$A1351)=1,ROW(MauKoXoa!$C$108),$B1350+1))</f>
        <v/>
      </c>
      <c r="C1351" s="992" t="str">
        <f t="shared" ca="1" si="213"/>
        <v/>
      </c>
      <c r="D1351" s="993" t="str">
        <f t="shared" ca="1" si="214"/>
        <v/>
      </c>
      <c r="E1351" s="993" t="str">
        <f t="shared" ca="1" si="215"/>
        <v/>
      </c>
      <c r="F1351" s="992" t="str">
        <f t="shared" ca="1" si="223"/>
        <v/>
      </c>
      <c r="G1351" s="994">
        <f t="shared" ca="1" si="216"/>
        <v>0</v>
      </c>
      <c r="H1351" s="913">
        <f t="shared" ca="1" si="217"/>
        <v>0</v>
      </c>
      <c r="I1351" s="913">
        <f t="shared" ca="1" si="218"/>
        <v>0</v>
      </c>
      <c r="J1351" s="995">
        <f t="shared" ca="1" si="224"/>
        <v>0</v>
      </c>
      <c r="K1351" s="913">
        <f t="shared" ca="1" si="219"/>
        <v>0</v>
      </c>
      <c r="L1351" s="995">
        <f t="shared" ca="1" si="225"/>
        <v>0</v>
      </c>
      <c r="M1351" s="913">
        <f t="shared" ca="1" si="220"/>
        <v>0</v>
      </c>
      <c r="N1351" s="996">
        <f t="shared" ca="1" si="221"/>
        <v>0</v>
      </c>
      <c r="O1351" s="997">
        <f t="shared" ca="1" si="222"/>
        <v>0</v>
      </c>
      <c r="P1351" s="1015" t="str">
        <f ca="1">IF($C1351="","",INDEX(NVLSX!$N$2:$N$6941,MATCH($C1351,NVLSX!$E$2:$E$6941,0)))</f>
        <v/>
      </c>
      <c r="Q1351" s="1016" t="str">
        <f ca="1">IF($R1351="","",IF(XKNVLSX!$X$1="",IF($P1351=$V$7,$P1351, IF(COUNTIFS($C$2:$C1350,$C1351,$E$2:$E1350,$E1351)&gt;=1,"",$P1351)),     IF(AND(IFERROR(SEARCH($R1351,XKNVLSX!$X$1,1),0)&gt;=1,$P1351=$V$7),$P1351, IF(OR($R1351&lt;&gt;IF(IFERROR(SEARCH($R1351,XKNVLSX!$X$1,1),0)&gt;=1,$R1351,XKNVLSX!$X$1),COUNTIFS($C$2:$C1350,$C1351,$E$2:$E1350,$E1351,$Q$2:$Q1350,$P1351)&gt;=1),"",$P1351))))</f>
        <v/>
      </c>
      <c r="R1351" s="1017" t="str">
        <f ca="1">IF($A1351="","",IFERROR(INDEX(TinhGia!$BF$10:$BF$81,MATCH($A1351,TinhGia!$B$10:$B$81,0)),""))</f>
        <v/>
      </c>
      <c r="S1351" s="1012" t="str">
        <f ca="1">IF($A1351="","",IF(OR(IFERROR(SEARCH($R1351,XKNVLSX!$X$1,1),0)&gt;=1,XKNVLSX!$X$1=""),$S$2,""))</f>
        <v/>
      </c>
      <c r="T1351" s="1018" t="str">
        <f ca="1">IF($C1351="","", IF(OR($P1351=$V$1,$P1351=$V$7,COUNTIFS($C$3:$C1351,$C1351,$E$3:$E1351,$E1351)&lt;=1),$P1351,""    ))</f>
        <v/>
      </c>
      <c r="U1351" s="1019" t="str">
        <f ca="1">IF(AND($P1351=$V$2,COUNTIFS($C$3:$C1351,$C1351,$E$3:$E1351,$E1351,$G$3:$G1351,$G1351)&lt;=1),$P1351,"")</f>
        <v/>
      </c>
    </row>
    <row r="1352" spans="1:21">
      <c r="A1352" s="991" t="str">
        <f ca="1">IFERROR(IF(COUNTIF($A$3:A1351,A1351)&lt; INDEX(TinhGia!$BH$10:$BH$81,MATCH($A1351,TinhGia!$B$10:$B$81,0)),$A1351,INDEX(TinhGia!$B$10:$B$81,MATCH($A1351,TinhGia!$B$10:$B$81,0)+1)),"")</f>
        <v/>
      </c>
      <c r="B1352" s="525" t="str">
        <f ca="1">IF(OR(A1352="",A1352=0),"",IF(COUNTIF($A$2:A1352,$A1352)=1,ROW(MauKoXoa!$C$108),$B1351+1))</f>
        <v/>
      </c>
      <c r="C1352" s="992" t="str">
        <f t="shared" ca="1" si="213"/>
        <v/>
      </c>
      <c r="D1352" s="993" t="str">
        <f t="shared" ca="1" si="214"/>
        <v/>
      </c>
      <c r="E1352" s="993" t="str">
        <f t="shared" ca="1" si="215"/>
        <v/>
      </c>
      <c r="F1352" s="992" t="str">
        <f t="shared" ca="1" si="223"/>
        <v/>
      </c>
      <c r="G1352" s="994">
        <f t="shared" ca="1" si="216"/>
        <v>0</v>
      </c>
      <c r="H1352" s="913">
        <f t="shared" ca="1" si="217"/>
        <v>0</v>
      </c>
      <c r="I1352" s="913">
        <f t="shared" ca="1" si="218"/>
        <v>0</v>
      </c>
      <c r="J1352" s="995">
        <f t="shared" ca="1" si="224"/>
        <v>0</v>
      </c>
      <c r="K1352" s="913">
        <f t="shared" ca="1" si="219"/>
        <v>0</v>
      </c>
      <c r="L1352" s="995">
        <f t="shared" ca="1" si="225"/>
        <v>0</v>
      </c>
      <c r="M1352" s="913">
        <f t="shared" ca="1" si="220"/>
        <v>0</v>
      </c>
      <c r="N1352" s="996">
        <f t="shared" ca="1" si="221"/>
        <v>0</v>
      </c>
      <c r="O1352" s="997">
        <f t="shared" ca="1" si="222"/>
        <v>0</v>
      </c>
      <c r="P1352" s="1015" t="str">
        <f ca="1">IF($C1352="","",INDEX(NVLSX!$N$2:$N$6941,MATCH($C1352,NVLSX!$E$2:$E$6941,0)))</f>
        <v/>
      </c>
      <c r="Q1352" s="1016" t="str">
        <f ca="1">IF($R1352="","",IF(XKNVLSX!$X$1="",IF($P1352=$V$7,$P1352, IF(COUNTIFS($C$2:$C1351,$C1352,$E$2:$E1351,$E1352)&gt;=1,"",$P1352)),     IF(AND(IFERROR(SEARCH($R1352,XKNVLSX!$X$1,1),0)&gt;=1,$P1352=$V$7),$P1352, IF(OR($R1352&lt;&gt;IF(IFERROR(SEARCH($R1352,XKNVLSX!$X$1,1),0)&gt;=1,$R1352,XKNVLSX!$X$1),COUNTIFS($C$2:$C1351,$C1352,$E$2:$E1351,$E1352,$Q$2:$Q1351,$P1352)&gt;=1),"",$P1352))))</f>
        <v/>
      </c>
      <c r="R1352" s="1017" t="str">
        <f ca="1">IF($A1352="","",IFERROR(INDEX(TinhGia!$BF$10:$BF$81,MATCH($A1352,TinhGia!$B$10:$B$81,0)),""))</f>
        <v/>
      </c>
      <c r="S1352" s="1012" t="str">
        <f ca="1">IF($A1352="","",IF(OR(IFERROR(SEARCH($R1352,XKNVLSX!$X$1,1),0)&gt;=1,XKNVLSX!$X$1=""),$S$2,""))</f>
        <v/>
      </c>
      <c r="T1352" s="1018" t="str">
        <f ca="1">IF($C1352="","", IF(OR($P1352=$V$1,$P1352=$V$7,COUNTIFS($C$3:$C1352,$C1352,$E$3:$E1352,$E1352)&lt;=1),$P1352,""    ))</f>
        <v/>
      </c>
      <c r="U1352" s="1019" t="str">
        <f ca="1">IF(AND($P1352=$V$2,COUNTIFS($C$3:$C1352,$C1352,$E$3:$E1352,$E1352,$G$3:$G1352,$G1352)&lt;=1),$P1352,"")</f>
        <v/>
      </c>
    </row>
    <row r="1353" spans="1:21">
      <c r="A1353" s="991" t="str">
        <f ca="1">IFERROR(IF(COUNTIF($A$3:A1352,A1352)&lt; INDEX(TinhGia!$BH$10:$BH$81,MATCH($A1352,TinhGia!$B$10:$B$81,0)),$A1352,INDEX(TinhGia!$B$10:$B$81,MATCH($A1352,TinhGia!$B$10:$B$81,0)+1)),"")</f>
        <v/>
      </c>
      <c r="B1353" s="525" t="str">
        <f ca="1">IF(OR(A1353="",A1353=0),"",IF(COUNTIF($A$2:A1353,$A1353)=1,ROW(MauKoXoa!$C$108),$B1352+1))</f>
        <v/>
      </c>
      <c r="C1353" s="992" t="str">
        <f t="shared" ca="1" si="213"/>
        <v/>
      </c>
      <c r="D1353" s="993" t="str">
        <f t="shared" ca="1" si="214"/>
        <v/>
      </c>
      <c r="E1353" s="993" t="str">
        <f t="shared" ca="1" si="215"/>
        <v/>
      </c>
      <c r="F1353" s="992" t="str">
        <f t="shared" ca="1" si="223"/>
        <v/>
      </c>
      <c r="G1353" s="994">
        <f t="shared" ca="1" si="216"/>
        <v>0</v>
      </c>
      <c r="H1353" s="913">
        <f t="shared" ca="1" si="217"/>
        <v>0</v>
      </c>
      <c r="I1353" s="913">
        <f t="shared" ca="1" si="218"/>
        <v>0</v>
      </c>
      <c r="J1353" s="995">
        <f t="shared" ca="1" si="224"/>
        <v>0</v>
      </c>
      <c r="K1353" s="913">
        <f t="shared" ca="1" si="219"/>
        <v>0</v>
      </c>
      <c r="L1353" s="995">
        <f t="shared" ca="1" si="225"/>
        <v>0</v>
      </c>
      <c r="M1353" s="913">
        <f t="shared" ca="1" si="220"/>
        <v>0</v>
      </c>
      <c r="N1353" s="996">
        <f t="shared" ca="1" si="221"/>
        <v>0</v>
      </c>
      <c r="O1353" s="997">
        <f t="shared" ca="1" si="222"/>
        <v>0</v>
      </c>
      <c r="P1353" s="1015" t="str">
        <f ca="1">IF($C1353="","",INDEX(NVLSX!$N$2:$N$6941,MATCH($C1353,NVLSX!$E$2:$E$6941,0)))</f>
        <v/>
      </c>
      <c r="Q1353" s="1016" t="str">
        <f ca="1">IF($R1353="","",IF(XKNVLSX!$X$1="",IF($P1353=$V$7,$P1353, IF(COUNTIFS($C$2:$C1352,$C1353,$E$2:$E1352,$E1353)&gt;=1,"",$P1353)),     IF(AND(IFERROR(SEARCH($R1353,XKNVLSX!$X$1,1),0)&gt;=1,$P1353=$V$7),$P1353, IF(OR($R1353&lt;&gt;IF(IFERROR(SEARCH($R1353,XKNVLSX!$X$1,1),0)&gt;=1,$R1353,XKNVLSX!$X$1),COUNTIFS($C$2:$C1352,$C1353,$E$2:$E1352,$E1353,$Q$2:$Q1352,$P1353)&gt;=1),"",$P1353))))</f>
        <v/>
      </c>
      <c r="R1353" s="1017" t="str">
        <f ca="1">IF($A1353="","",IFERROR(INDEX(TinhGia!$BF$10:$BF$81,MATCH($A1353,TinhGia!$B$10:$B$81,0)),""))</f>
        <v/>
      </c>
      <c r="S1353" s="1012" t="str">
        <f ca="1">IF($A1353="","",IF(OR(IFERROR(SEARCH($R1353,XKNVLSX!$X$1,1),0)&gt;=1,XKNVLSX!$X$1=""),$S$2,""))</f>
        <v/>
      </c>
      <c r="T1353" s="1018" t="str">
        <f ca="1">IF($C1353="","", IF(OR($P1353=$V$1,$P1353=$V$7,COUNTIFS($C$3:$C1353,$C1353,$E$3:$E1353,$E1353)&lt;=1),$P1353,""    ))</f>
        <v/>
      </c>
      <c r="U1353" s="1019" t="str">
        <f ca="1">IF(AND($P1353=$V$2,COUNTIFS($C$3:$C1353,$C1353,$E$3:$E1353,$E1353,$G$3:$G1353,$G1353)&lt;=1),$P1353,"")</f>
        <v/>
      </c>
    </row>
    <row r="1354" spans="1:21">
      <c r="A1354" s="991" t="str">
        <f ca="1">IFERROR(IF(COUNTIF($A$3:A1353,A1353)&lt; INDEX(TinhGia!$BH$10:$BH$81,MATCH($A1353,TinhGia!$B$10:$B$81,0)),$A1353,INDEX(TinhGia!$B$10:$B$81,MATCH($A1353,TinhGia!$B$10:$B$81,0)+1)),"")</f>
        <v/>
      </c>
      <c r="B1354" s="525" t="str">
        <f ca="1">IF(OR(A1354="",A1354=0),"",IF(COUNTIF($A$2:A1354,$A1354)=1,ROW(MauKoXoa!$C$108),$B1353+1))</f>
        <v/>
      </c>
      <c r="C1354" s="992" t="str">
        <f t="shared" ca="1" si="213"/>
        <v/>
      </c>
      <c r="D1354" s="993" t="str">
        <f t="shared" ca="1" si="214"/>
        <v/>
      </c>
      <c r="E1354" s="993" t="str">
        <f t="shared" ca="1" si="215"/>
        <v/>
      </c>
      <c r="F1354" s="992" t="str">
        <f t="shared" ca="1" si="223"/>
        <v/>
      </c>
      <c r="G1354" s="994">
        <f t="shared" ca="1" si="216"/>
        <v>0</v>
      </c>
      <c r="H1354" s="913">
        <f t="shared" ca="1" si="217"/>
        <v>0</v>
      </c>
      <c r="I1354" s="913">
        <f t="shared" ca="1" si="218"/>
        <v>0</v>
      </c>
      <c r="J1354" s="995">
        <f t="shared" ca="1" si="224"/>
        <v>0</v>
      </c>
      <c r="K1354" s="913">
        <f t="shared" ca="1" si="219"/>
        <v>0</v>
      </c>
      <c r="L1354" s="995">
        <f t="shared" ca="1" si="225"/>
        <v>0</v>
      </c>
      <c r="M1354" s="913">
        <f t="shared" ca="1" si="220"/>
        <v>0</v>
      </c>
      <c r="N1354" s="996">
        <f t="shared" ca="1" si="221"/>
        <v>0</v>
      </c>
      <c r="O1354" s="997">
        <f t="shared" ca="1" si="222"/>
        <v>0</v>
      </c>
      <c r="P1354" s="1015" t="str">
        <f ca="1">IF($C1354="","",INDEX(NVLSX!$N$2:$N$6941,MATCH($C1354,NVLSX!$E$2:$E$6941,0)))</f>
        <v/>
      </c>
      <c r="Q1354" s="1016" t="str">
        <f ca="1">IF($R1354="","",IF(XKNVLSX!$X$1="",IF($P1354=$V$7,$P1354, IF(COUNTIFS($C$2:$C1353,$C1354,$E$2:$E1353,$E1354)&gt;=1,"",$P1354)),     IF(AND(IFERROR(SEARCH($R1354,XKNVLSX!$X$1,1),0)&gt;=1,$P1354=$V$7),$P1354, IF(OR($R1354&lt;&gt;IF(IFERROR(SEARCH($R1354,XKNVLSX!$X$1,1),0)&gt;=1,$R1354,XKNVLSX!$X$1),COUNTIFS($C$2:$C1353,$C1354,$E$2:$E1353,$E1354,$Q$2:$Q1353,$P1354)&gt;=1),"",$P1354))))</f>
        <v/>
      </c>
      <c r="R1354" s="1017" t="str">
        <f ca="1">IF($A1354="","",IFERROR(INDEX(TinhGia!$BF$10:$BF$81,MATCH($A1354,TinhGia!$B$10:$B$81,0)),""))</f>
        <v/>
      </c>
      <c r="S1354" s="1012" t="str">
        <f ca="1">IF($A1354="","",IF(OR(IFERROR(SEARCH($R1354,XKNVLSX!$X$1,1),0)&gt;=1,XKNVLSX!$X$1=""),$S$2,""))</f>
        <v/>
      </c>
      <c r="T1354" s="1018" t="str">
        <f ca="1">IF($C1354="","", IF(OR($P1354=$V$1,$P1354=$V$7,COUNTIFS($C$3:$C1354,$C1354,$E$3:$E1354,$E1354)&lt;=1),$P1354,""    ))</f>
        <v/>
      </c>
      <c r="U1354" s="1019" t="str">
        <f ca="1">IF(AND($P1354=$V$2,COUNTIFS($C$3:$C1354,$C1354,$E$3:$E1354,$E1354,$G$3:$G1354,$G1354)&lt;=1),$P1354,"")</f>
        <v/>
      </c>
    </row>
    <row r="1355" spans="1:21">
      <c r="A1355" s="991" t="str">
        <f ca="1">IFERROR(IF(COUNTIF($A$3:A1354,A1354)&lt; INDEX(TinhGia!$BH$10:$BH$81,MATCH($A1354,TinhGia!$B$10:$B$81,0)),$A1354,INDEX(TinhGia!$B$10:$B$81,MATCH($A1354,TinhGia!$B$10:$B$81,0)+1)),"")</f>
        <v/>
      </c>
      <c r="B1355" s="525" t="str">
        <f ca="1">IF(OR(A1355="",A1355=0),"",IF(COUNTIF($A$2:A1355,$A1355)=1,ROW(MauKoXoa!$C$108),$B1354+1))</f>
        <v/>
      </c>
      <c r="C1355" s="992" t="str">
        <f t="shared" ca="1" si="213"/>
        <v/>
      </c>
      <c r="D1355" s="993" t="str">
        <f t="shared" ca="1" si="214"/>
        <v/>
      </c>
      <c r="E1355" s="993" t="str">
        <f t="shared" ca="1" si="215"/>
        <v/>
      </c>
      <c r="F1355" s="992" t="str">
        <f t="shared" ca="1" si="223"/>
        <v/>
      </c>
      <c r="G1355" s="994">
        <f t="shared" ca="1" si="216"/>
        <v>0</v>
      </c>
      <c r="H1355" s="913">
        <f t="shared" ca="1" si="217"/>
        <v>0</v>
      </c>
      <c r="I1355" s="913">
        <f t="shared" ca="1" si="218"/>
        <v>0</v>
      </c>
      <c r="J1355" s="995">
        <f t="shared" ca="1" si="224"/>
        <v>0</v>
      </c>
      <c r="K1355" s="913">
        <f t="shared" ca="1" si="219"/>
        <v>0</v>
      </c>
      <c r="L1355" s="995">
        <f t="shared" ca="1" si="225"/>
        <v>0</v>
      </c>
      <c r="M1355" s="913">
        <f t="shared" ca="1" si="220"/>
        <v>0</v>
      </c>
      <c r="N1355" s="996">
        <f t="shared" ca="1" si="221"/>
        <v>0</v>
      </c>
      <c r="O1355" s="997">
        <f t="shared" ca="1" si="222"/>
        <v>0</v>
      </c>
      <c r="P1355" s="1015" t="str">
        <f ca="1">IF($C1355="","",INDEX(NVLSX!$N$2:$N$6941,MATCH($C1355,NVLSX!$E$2:$E$6941,0)))</f>
        <v/>
      </c>
      <c r="Q1355" s="1016" t="str">
        <f ca="1">IF($R1355="","",IF(XKNVLSX!$X$1="",IF($P1355=$V$7,$P1355, IF(COUNTIFS($C$2:$C1354,$C1355,$E$2:$E1354,$E1355)&gt;=1,"",$P1355)),     IF(AND(IFERROR(SEARCH($R1355,XKNVLSX!$X$1,1),0)&gt;=1,$P1355=$V$7),$P1355, IF(OR($R1355&lt;&gt;IF(IFERROR(SEARCH($R1355,XKNVLSX!$X$1,1),0)&gt;=1,$R1355,XKNVLSX!$X$1),COUNTIFS($C$2:$C1354,$C1355,$E$2:$E1354,$E1355,$Q$2:$Q1354,$P1355)&gt;=1),"",$P1355))))</f>
        <v/>
      </c>
      <c r="R1355" s="1017" t="str">
        <f ca="1">IF($A1355="","",IFERROR(INDEX(TinhGia!$BF$10:$BF$81,MATCH($A1355,TinhGia!$B$10:$B$81,0)),""))</f>
        <v/>
      </c>
      <c r="S1355" s="1012" t="str">
        <f ca="1">IF($A1355="","",IF(OR(IFERROR(SEARCH($R1355,XKNVLSX!$X$1,1),0)&gt;=1,XKNVLSX!$X$1=""),$S$2,""))</f>
        <v/>
      </c>
      <c r="T1355" s="1018" t="str">
        <f ca="1">IF($C1355="","", IF(OR($P1355=$V$1,$P1355=$V$7,COUNTIFS($C$3:$C1355,$C1355,$E$3:$E1355,$E1355)&lt;=1),$P1355,""    ))</f>
        <v/>
      </c>
      <c r="U1355" s="1019" t="str">
        <f ca="1">IF(AND($P1355=$V$2,COUNTIFS($C$3:$C1355,$C1355,$E$3:$E1355,$E1355,$G$3:$G1355,$G1355)&lt;=1),$P1355,"")</f>
        <v/>
      </c>
    </row>
    <row r="1356" spans="1:21">
      <c r="A1356" s="991" t="str">
        <f ca="1">IFERROR(IF(COUNTIF($A$3:A1355,A1355)&lt; INDEX(TinhGia!$BH$10:$BH$81,MATCH($A1355,TinhGia!$B$10:$B$81,0)),$A1355,INDEX(TinhGia!$B$10:$B$81,MATCH($A1355,TinhGia!$B$10:$B$81,0)+1)),"")</f>
        <v/>
      </c>
      <c r="B1356" s="525" t="str">
        <f ca="1">IF(OR(A1356="",A1356=0),"",IF(COUNTIF($A$2:A1356,$A1356)=1,ROW(MauKoXoa!$C$108),$B1355+1))</f>
        <v/>
      </c>
      <c r="C1356" s="992" t="str">
        <f t="shared" ca="1" si="213"/>
        <v/>
      </c>
      <c r="D1356" s="993" t="str">
        <f t="shared" ca="1" si="214"/>
        <v/>
      </c>
      <c r="E1356" s="993" t="str">
        <f t="shared" ca="1" si="215"/>
        <v/>
      </c>
      <c r="F1356" s="992" t="str">
        <f t="shared" ca="1" si="223"/>
        <v/>
      </c>
      <c r="G1356" s="994">
        <f t="shared" ca="1" si="216"/>
        <v>0</v>
      </c>
      <c r="H1356" s="913">
        <f t="shared" ca="1" si="217"/>
        <v>0</v>
      </c>
      <c r="I1356" s="913">
        <f t="shared" ca="1" si="218"/>
        <v>0</v>
      </c>
      <c r="J1356" s="995">
        <f t="shared" ca="1" si="224"/>
        <v>0</v>
      </c>
      <c r="K1356" s="913">
        <f t="shared" ca="1" si="219"/>
        <v>0</v>
      </c>
      <c r="L1356" s="995">
        <f t="shared" ca="1" si="225"/>
        <v>0</v>
      </c>
      <c r="M1356" s="913">
        <f t="shared" ca="1" si="220"/>
        <v>0</v>
      </c>
      <c r="N1356" s="996">
        <f t="shared" ca="1" si="221"/>
        <v>0</v>
      </c>
      <c r="O1356" s="997">
        <f t="shared" ca="1" si="222"/>
        <v>0</v>
      </c>
      <c r="P1356" s="1015" t="str">
        <f ca="1">IF($C1356="","",INDEX(NVLSX!$N$2:$N$6941,MATCH($C1356,NVLSX!$E$2:$E$6941,0)))</f>
        <v/>
      </c>
      <c r="Q1356" s="1016" t="str">
        <f ca="1">IF($R1356="","",IF(XKNVLSX!$X$1="",IF($P1356=$V$7,$P1356, IF(COUNTIFS($C$2:$C1355,$C1356,$E$2:$E1355,$E1356)&gt;=1,"",$P1356)),     IF(AND(IFERROR(SEARCH($R1356,XKNVLSX!$X$1,1),0)&gt;=1,$P1356=$V$7),$P1356, IF(OR($R1356&lt;&gt;IF(IFERROR(SEARCH($R1356,XKNVLSX!$X$1,1),0)&gt;=1,$R1356,XKNVLSX!$X$1),COUNTIFS($C$2:$C1355,$C1356,$E$2:$E1355,$E1356,$Q$2:$Q1355,$P1356)&gt;=1),"",$P1356))))</f>
        <v/>
      </c>
      <c r="R1356" s="1017" t="str">
        <f ca="1">IF($A1356="","",IFERROR(INDEX(TinhGia!$BF$10:$BF$81,MATCH($A1356,TinhGia!$B$10:$B$81,0)),""))</f>
        <v/>
      </c>
      <c r="S1356" s="1012" t="str">
        <f ca="1">IF($A1356="","",IF(OR(IFERROR(SEARCH($R1356,XKNVLSX!$X$1,1),0)&gt;=1,XKNVLSX!$X$1=""),$S$2,""))</f>
        <v/>
      </c>
      <c r="T1356" s="1018" t="str">
        <f ca="1">IF($C1356="","", IF(OR($P1356=$V$1,$P1356=$V$7,COUNTIFS($C$3:$C1356,$C1356,$E$3:$E1356,$E1356)&lt;=1),$P1356,""    ))</f>
        <v/>
      </c>
      <c r="U1356" s="1019" t="str">
        <f ca="1">IF(AND($P1356=$V$2,COUNTIFS($C$3:$C1356,$C1356,$E$3:$E1356,$E1356,$G$3:$G1356,$G1356)&lt;=1),$P1356,"")</f>
        <v/>
      </c>
    </row>
    <row r="1357" spans="1:21">
      <c r="A1357" s="991" t="str">
        <f ca="1">IFERROR(IF(COUNTIF($A$3:A1356,A1356)&lt; INDEX(TinhGia!$BH$10:$BH$81,MATCH($A1356,TinhGia!$B$10:$B$81,0)),$A1356,INDEX(TinhGia!$B$10:$B$81,MATCH($A1356,TinhGia!$B$10:$B$81,0)+1)),"")</f>
        <v/>
      </c>
      <c r="B1357" s="525" t="str">
        <f ca="1">IF(OR(A1357="",A1357=0),"",IF(COUNTIF($A$2:A1357,$A1357)=1,ROW(MauKoXoa!$C$108),$B1356+1))</f>
        <v/>
      </c>
      <c r="C1357" s="992" t="str">
        <f t="shared" ca="1" si="213"/>
        <v/>
      </c>
      <c r="D1357" s="993" t="str">
        <f t="shared" ca="1" si="214"/>
        <v/>
      </c>
      <c r="E1357" s="993" t="str">
        <f t="shared" ca="1" si="215"/>
        <v/>
      </c>
      <c r="F1357" s="992" t="str">
        <f t="shared" ca="1" si="223"/>
        <v/>
      </c>
      <c r="G1357" s="994">
        <f t="shared" ca="1" si="216"/>
        <v>0</v>
      </c>
      <c r="H1357" s="913">
        <f t="shared" ca="1" si="217"/>
        <v>0</v>
      </c>
      <c r="I1357" s="913">
        <f t="shared" ca="1" si="218"/>
        <v>0</v>
      </c>
      <c r="J1357" s="995">
        <f t="shared" ca="1" si="224"/>
        <v>0</v>
      </c>
      <c r="K1357" s="913">
        <f t="shared" ca="1" si="219"/>
        <v>0</v>
      </c>
      <c r="L1357" s="995">
        <f t="shared" ca="1" si="225"/>
        <v>0</v>
      </c>
      <c r="M1357" s="913">
        <f t="shared" ca="1" si="220"/>
        <v>0</v>
      </c>
      <c r="N1357" s="996">
        <f t="shared" ca="1" si="221"/>
        <v>0</v>
      </c>
      <c r="O1357" s="997">
        <f t="shared" ca="1" si="222"/>
        <v>0</v>
      </c>
      <c r="P1357" s="1015" t="str">
        <f ca="1">IF($C1357="","",INDEX(NVLSX!$N$2:$N$6941,MATCH($C1357,NVLSX!$E$2:$E$6941,0)))</f>
        <v/>
      </c>
      <c r="Q1357" s="1016" t="str">
        <f ca="1">IF($R1357="","",IF(XKNVLSX!$X$1="",IF($P1357=$V$7,$P1357, IF(COUNTIFS($C$2:$C1356,$C1357,$E$2:$E1356,$E1357)&gt;=1,"",$P1357)),     IF(AND(IFERROR(SEARCH($R1357,XKNVLSX!$X$1,1),0)&gt;=1,$P1357=$V$7),$P1357, IF(OR($R1357&lt;&gt;IF(IFERROR(SEARCH($R1357,XKNVLSX!$X$1,1),0)&gt;=1,$R1357,XKNVLSX!$X$1),COUNTIFS($C$2:$C1356,$C1357,$E$2:$E1356,$E1357,$Q$2:$Q1356,$P1357)&gt;=1),"",$P1357))))</f>
        <v/>
      </c>
      <c r="R1357" s="1017" t="str">
        <f ca="1">IF($A1357="","",IFERROR(INDEX(TinhGia!$BF$10:$BF$81,MATCH($A1357,TinhGia!$B$10:$B$81,0)),""))</f>
        <v/>
      </c>
      <c r="S1357" s="1012" t="str">
        <f ca="1">IF($A1357="","",IF(OR(IFERROR(SEARCH($R1357,XKNVLSX!$X$1,1),0)&gt;=1,XKNVLSX!$X$1=""),$S$2,""))</f>
        <v/>
      </c>
      <c r="T1357" s="1018" t="str">
        <f ca="1">IF($C1357="","", IF(OR($P1357=$V$1,$P1357=$V$7,COUNTIFS($C$3:$C1357,$C1357,$E$3:$E1357,$E1357)&lt;=1),$P1357,""    ))</f>
        <v/>
      </c>
      <c r="U1357" s="1019" t="str">
        <f ca="1">IF(AND($P1357=$V$2,COUNTIFS($C$3:$C1357,$C1357,$E$3:$E1357,$E1357,$G$3:$G1357,$G1357)&lt;=1),$P1357,"")</f>
        <v/>
      </c>
    </row>
    <row r="1358" spans="1:21">
      <c r="A1358" s="991" t="str">
        <f ca="1">IFERROR(IF(COUNTIF($A$3:A1357,A1357)&lt; INDEX(TinhGia!$BH$10:$BH$81,MATCH($A1357,TinhGia!$B$10:$B$81,0)),$A1357,INDEX(TinhGia!$B$10:$B$81,MATCH($A1357,TinhGia!$B$10:$B$81,0)+1)),"")</f>
        <v/>
      </c>
      <c r="B1358" s="525" t="str">
        <f ca="1">IF(OR(A1358="",A1358=0),"",IF(COUNTIF($A$2:A1358,$A1358)=1,ROW(MauKoXoa!$C$108),$B1357+1))</f>
        <v/>
      </c>
      <c r="C1358" s="992" t="str">
        <f t="shared" ca="1" si="213"/>
        <v/>
      </c>
      <c r="D1358" s="993" t="str">
        <f t="shared" ca="1" si="214"/>
        <v/>
      </c>
      <c r="E1358" s="993" t="str">
        <f t="shared" ca="1" si="215"/>
        <v/>
      </c>
      <c r="F1358" s="992" t="str">
        <f t="shared" ca="1" si="223"/>
        <v/>
      </c>
      <c r="G1358" s="994">
        <f t="shared" ca="1" si="216"/>
        <v>0</v>
      </c>
      <c r="H1358" s="913">
        <f t="shared" ca="1" si="217"/>
        <v>0</v>
      </c>
      <c r="I1358" s="913">
        <f t="shared" ca="1" si="218"/>
        <v>0</v>
      </c>
      <c r="J1358" s="995">
        <f t="shared" ca="1" si="224"/>
        <v>0</v>
      </c>
      <c r="K1358" s="913">
        <f t="shared" ca="1" si="219"/>
        <v>0</v>
      </c>
      <c r="L1358" s="995">
        <f t="shared" ca="1" si="225"/>
        <v>0</v>
      </c>
      <c r="M1358" s="913">
        <f t="shared" ca="1" si="220"/>
        <v>0</v>
      </c>
      <c r="N1358" s="996">
        <f t="shared" ca="1" si="221"/>
        <v>0</v>
      </c>
      <c r="O1358" s="997">
        <f t="shared" ca="1" si="222"/>
        <v>0</v>
      </c>
      <c r="P1358" s="1015" t="str">
        <f ca="1">IF($C1358="","",INDEX(NVLSX!$N$2:$N$6941,MATCH($C1358,NVLSX!$E$2:$E$6941,0)))</f>
        <v/>
      </c>
      <c r="Q1358" s="1016" t="str">
        <f ca="1">IF($R1358="","",IF(XKNVLSX!$X$1="",IF($P1358=$V$7,$P1358, IF(COUNTIFS($C$2:$C1357,$C1358,$E$2:$E1357,$E1358)&gt;=1,"",$P1358)),     IF(AND(IFERROR(SEARCH($R1358,XKNVLSX!$X$1,1),0)&gt;=1,$P1358=$V$7),$P1358, IF(OR($R1358&lt;&gt;IF(IFERROR(SEARCH($R1358,XKNVLSX!$X$1,1),0)&gt;=1,$R1358,XKNVLSX!$X$1),COUNTIFS($C$2:$C1357,$C1358,$E$2:$E1357,$E1358,$Q$2:$Q1357,$P1358)&gt;=1),"",$P1358))))</f>
        <v/>
      </c>
      <c r="R1358" s="1017" t="str">
        <f ca="1">IF($A1358="","",IFERROR(INDEX(TinhGia!$BF$10:$BF$81,MATCH($A1358,TinhGia!$B$10:$B$81,0)),""))</f>
        <v/>
      </c>
      <c r="S1358" s="1012" t="str">
        <f ca="1">IF($A1358="","",IF(OR(IFERROR(SEARCH($R1358,XKNVLSX!$X$1,1),0)&gt;=1,XKNVLSX!$X$1=""),$S$2,""))</f>
        <v/>
      </c>
      <c r="T1358" s="1018" t="str">
        <f ca="1">IF($C1358="","", IF(OR($P1358=$V$1,$P1358=$V$7,COUNTIFS($C$3:$C1358,$C1358,$E$3:$E1358,$E1358)&lt;=1),$P1358,""    ))</f>
        <v/>
      </c>
      <c r="U1358" s="1019" t="str">
        <f ca="1">IF(AND($P1358=$V$2,COUNTIFS($C$3:$C1358,$C1358,$E$3:$E1358,$E1358,$G$3:$G1358,$G1358)&lt;=1),$P1358,"")</f>
        <v/>
      </c>
    </row>
    <row r="1359" spans="1:21">
      <c r="A1359" s="991" t="str">
        <f ca="1">IFERROR(IF(COUNTIF($A$3:A1358,A1358)&lt; INDEX(TinhGia!$BH$10:$BH$81,MATCH($A1358,TinhGia!$B$10:$B$81,0)),$A1358,INDEX(TinhGia!$B$10:$B$81,MATCH($A1358,TinhGia!$B$10:$B$81,0)+1)),"")</f>
        <v/>
      </c>
      <c r="B1359" s="525" t="str">
        <f ca="1">IF(OR(A1359="",A1359=0),"",IF(COUNTIF($A$2:A1359,$A1359)=1,ROW(MauKoXoa!$C$108),$B1358+1))</f>
        <v/>
      </c>
      <c r="C1359" s="992" t="str">
        <f t="shared" ca="1" si="213"/>
        <v/>
      </c>
      <c r="D1359" s="993" t="str">
        <f t="shared" ca="1" si="214"/>
        <v/>
      </c>
      <c r="E1359" s="993" t="str">
        <f t="shared" ca="1" si="215"/>
        <v/>
      </c>
      <c r="F1359" s="992" t="str">
        <f t="shared" ca="1" si="223"/>
        <v/>
      </c>
      <c r="G1359" s="994">
        <f t="shared" ca="1" si="216"/>
        <v>0</v>
      </c>
      <c r="H1359" s="913">
        <f t="shared" ca="1" si="217"/>
        <v>0</v>
      </c>
      <c r="I1359" s="913">
        <f t="shared" ca="1" si="218"/>
        <v>0</v>
      </c>
      <c r="J1359" s="995">
        <f t="shared" ca="1" si="224"/>
        <v>0</v>
      </c>
      <c r="K1359" s="913">
        <f t="shared" ca="1" si="219"/>
        <v>0</v>
      </c>
      <c r="L1359" s="995">
        <f t="shared" ca="1" si="225"/>
        <v>0</v>
      </c>
      <c r="M1359" s="913">
        <f t="shared" ca="1" si="220"/>
        <v>0</v>
      </c>
      <c r="N1359" s="996">
        <f t="shared" ca="1" si="221"/>
        <v>0</v>
      </c>
      <c r="O1359" s="997">
        <f t="shared" ca="1" si="222"/>
        <v>0</v>
      </c>
      <c r="P1359" s="1015" t="str">
        <f ca="1">IF($C1359="","",INDEX(NVLSX!$N$2:$N$6941,MATCH($C1359,NVLSX!$E$2:$E$6941,0)))</f>
        <v/>
      </c>
      <c r="Q1359" s="1016" t="str">
        <f ca="1">IF($R1359="","",IF(XKNVLSX!$X$1="",IF($P1359=$V$7,$P1359, IF(COUNTIFS($C$2:$C1358,$C1359,$E$2:$E1358,$E1359)&gt;=1,"",$P1359)),     IF(AND(IFERROR(SEARCH($R1359,XKNVLSX!$X$1,1),0)&gt;=1,$P1359=$V$7),$P1359, IF(OR($R1359&lt;&gt;IF(IFERROR(SEARCH($R1359,XKNVLSX!$X$1,1),0)&gt;=1,$R1359,XKNVLSX!$X$1),COUNTIFS($C$2:$C1358,$C1359,$E$2:$E1358,$E1359,$Q$2:$Q1358,$P1359)&gt;=1),"",$P1359))))</f>
        <v/>
      </c>
      <c r="R1359" s="1017" t="str">
        <f ca="1">IF($A1359="","",IFERROR(INDEX(TinhGia!$BF$10:$BF$81,MATCH($A1359,TinhGia!$B$10:$B$81,0)),""))</f>
        <v/>
      </c>
      <c r="S1359" s="1012" t="str">
        <f ca="1">IF($A1359="","",IF(OR(IFERROR(SEARCH($R1359,XKNVLSX!$X$1,1),0)&gt;=1,XKNVLSX!$X$1=""),$S$2,""))</f>
        <v/>
      </c>
      <c r="T1359" s="1018" t="str">
        <f ca="1">IF($C1359="","", IF(OR($P1359=$V$1,$P1359=$V$7,COUNTIFS($C$3:$C1359,$C1359,$E$3:$E1359,$E1359)&lt;=1),$P1359,""    ))</f>
        <v/>
      </c>
      <c r="U1359" s="1019" t="str">
        <f ca="1">IF(AND($P1359=$V$2,COUNTIFS($C$3:$C1359,$C1359,$E$3:$E1359,$E1359,$G$3:$G1359,$G1359)&lt;=1),$P1359,"")</f>
        <v/>
      </c>
    </row>
    <row r="1360" spans="1:21">
      <c r="A1360" s="991" t="str">
        <f ca="1">IFERROR(IF(COUNTIF($A$3:A1359,A1359)&lt; INDEX(TinhGia!$BH$10:$BH$81,MATCH($A1359,TinhGia!$B$10:$B$81,0)),$A1359,INDEX(TinhGia!$B$10:$B$81,MATCH($A1359,TinhGia!$B$10:$B$81,0)+1)),"")</f>
        <v/>
      </c>
      <c r="B1360" s="525" t="str">
        <f ca="1">IF(OR(A1360="",A1360=0),"",IF(COUNTIF($A$2:A1360,$A1360)=1,ROW(MauKoXoa!$C$108),$B1359+1))</f>
        <v/>
      </c>
      <c r="C1360" s="992" t="str">
        <f t="shared" ca="1" si="213"/>
        <v/>
      </c>
      <c r="D1360" s="993" t="str">
        <f t="shared" ca="1" si="214"/>
        <v/>
      </c>
      <c r="E1360" s="993" t="str">
        <f t="shared" ca="1" si="215"/>
        <v/>
      </c>
      <c r="F1360" s="992" t="str">
        <f t="shared" ca="1" si="223"/>
        <v/>
      </c>
      <c r="G1360" s="994">
        <f t="shared" ca="1" si="216"/>
        <v>0</v>
      </c>
      <c r="H1360" s="913">
        <f t="shared" ca="1" si="217"/>
        <v>0</v>
      </c>
      <c r="I1360" s="913">
        <f t="shared" ca="1" si="218"/>
        <v>0</v>
      </c>
      <c r="J1360" s="995">
        <f t="shared" ca="1" si="224"/>
        <v>0</v>
      </c>
      <c r="K1360" s="913">
        <f t="shared" ca="1" si="219"/>
        <v>0</v>
      </c>
      <c r="L1360" s="995">
        <f t="shared" ca="1" si="225"/>
        <v>0</v>
      </c>
      <c r="M1360" s="913">
        <f t="shared" ca="1" si="220"/>
        <v>0</v>
      </c>
      <c r="N1360" s="996">
        <f t="shared" ca="1" si="221"/>
        <v>0</v>
      </c>
      <c r="O1360" s="997">
        <f t="shared" ca="1" si="222"/>
        <v>0</v>
      </c>
      <c r="P1360" s="1015" t="str">
        <f ca="1">IF($C1360="","",INDEX(NVLSX!$N$2:$N$6941,MATCH($C1360,NVLSX!$E$2:$E$6941,0)))</f>
        <v/>
      </c>
      <c r="Q1360" s="1016" t="str">
        <f ca="1">IF($R1360="","",IF(XKNVLSX!$X$1="",IF($P1360=$V$7,$P1360, IF(COUNTIFS($C$2:$C1359,$C1360,$E$2:$E1359,$E1360)&gt;=1,"",$P1360)),     IF(AND(IFERROR(SEARCH($R1360,XKNVLSX!$X$1,1),0)&gt;=1,$P1360=$V$7),$P1360, IF(OR($R1360&lt;&gt;IF(IFERROR(SEARCH($R1360,XKNVLSX!$X$1,1),0)&gt;=1,$R1360,XKNVLSX!$X$1),COUNTIFS($C$2:$C1359,$C1360,$E$2:$E1359,$E1360,$Q$2:$Q1359,$P1360)&gt;=1),"",$P1360))))</f>
        <v/>
      </c>
      <c r="R1360" s="1017" t="str">
        <f ca="1">IF($A1360="","",IFERROR(INDEX(TinhGia!$BF$10:$BF$81,MATCH($A1360,TinhGia!$B$10:$B$81,0)),""))</f>
        <v/>
      </c>
      <c r="S1360" s="1012" t="str">
        <f ca="1">IF($A1360="","",IF(OR(IFERROR(SEARCH($R1360,XKNVLSX!$X$1,1),0)&gt;=1,XKNVLSX!$X$1=""),$S$2,""))</f>
        <v/>
      </c>
      <c r="T1360" s="1018" t="str">
        <f ca="1">IF($C1360="","", IF(OR($P1360=$V$1,$P1360=$V$7,COUNTIFS($C$3:$C1360,$C1360,$E$3:$E1360,$E1360)&lt;=1),$P1360,""    ))</f>
        <v/>
      </c>
      <c r="U1360" s="1019" t="str">
        <f ca="1">IF(AND($P1360=$V$2,COUNTIFS($C$3:$C1360,$C1360,$E$3:$E1360,$E1360,$G$3:$G1360,$G1360)&lt;=1),$P1360,"")</f>
        <v/>
      </c>
    </row>
    <row r="1361" spans="1:21">
      <c r="A1361" s="991" t="str">
        <f ca="1">IFERROR(IF(COUNTIF($A$3:A1360,A1360)&lt; INDEX(TinhGia!$BH$10:$BH$81,MATCH($A1360,TinhGia!$B$10:$B$81,0)),$A1360,INDEX(TinhGia!$B$10:$B$81,MATCH($A1360,TinhGia!$B$10:$B$81,0)+1)),"")</f>
        <v/>
      </c>
      <c r="B1361" s="525" t="str">
        <f ca="1">IF(OR(A1361="",A1361=0),"",IF(COUNTIF($A$2:A1361,$A1361)=1,ROW(MauKoXoa!$C$108),$B1360+1))</f>
        <v/>
      </c>
      <c r="C1361" s="992" t="str">
        <f t="shared" ca="1" si="213"/>
        <v/>
      </c>
      <c r="D1361" s="993" t="str">
        <f t="shared" ca="1" si="214"/>
        <v/>
      </c>
      <c r="E1361" s="993" t="str">
        <f t="shared" ca="1" si="215"/>
        <v/>
      </c>
      <c r="F1361" s="992" t="str">
        <f t="shared" ca="1" si="223"/>
        <v/>
      </c>
      <c r="G1361" s="994">
        <f t="shared" ca="1" si="216"/>
        <v>0</v>
      </c>
      <c r="H1361" s="913">
        <f t="shared" ca="1" si="217"/>
        <v>0</v>
      </c>
      <c r="I1361" s="913">
        <f t="shared" ca="1" si="218"/>
        <v>0</v>
      </c>
      <c r="J1361" s="995">
        <f t="shared" ca="1" si="224"/>
        <v>0</v>
      </c>
      <c r="K1361" s="913">
        <f t="shared" ca="1" si="219"/>
        <v>0</v>
      </c>
      <c r="L1361" s="995">
        <f t="shared" ca="1" si="225"/>
        <v>0</v>
      </c>
      <c r="M1361" s="913">
        <f t="shared" ca="1" si="220"/>
        <v>0</v>
      </c>
      <c r="N1361" s="996">
        <f t="shared" ca="1" si="221"/>
        <v>0</v>
      </c>
      <c r="O1361" s="997">
        <f t="shared" ca="1" si="222"/>
        <v>0</v>
      </c>
      <c r="P1361" s="1015" t="str">
        <f ca="1">IF($C1361="","",INDEX(NVLSX!$N$2:$N$6941,MATCH($C1361,NVLSX!$E$2:$E$6941,0)))</f>
        <v/>
      </c>
      <c r="Q1361" s="1016" t="str">
        <f ca="1">IF($R1361="","",IF(XKNVLSX!$X$1="",IF($P1361=$V$7,$P1361, IF(COUNTIFS($C$2:$C1360,$C1361,$E$2:$E1360,$E1361)&gt;=1,"",$P1361)),     IF(AND(IFERROR(SEARCH($R1361,XKNVLSX!$X$1,1),0)&gt;=1,$P1361=$V$7),$P1361, IF(OR($R1361&lt;&gt;IF(IFERROR(SEARCH($R1361,XKNVLSX!$X$1,1),0)&gt;=1,$R1361,XKNVLSX!$X$1),COUNTIFS($C$2:$C1360,$C1361,$E$2:$E1360,$E1361,$Q$2:$Q1360,$P1361)&gt;=1),"",$P1361))))</f>
        <v/>
      </c>
      <c r="R1361" s="1017" t="str">
        <f ca="1">IF($A1361="","",IFERROR(INDEX(TinhGia!$BF$10:$BF$81,MATCH($A1361,TinhGia!$B$10:$B$81,0)),""))</f>
        <v/>
      </c>
      <c r="S1361" s="1012" t="str">
        <f ca="1">IF($A1361="","",IF(OR(IFERROR(SEARCH($R1361,XKNVLSX!$X$1,1),0)&gt;=1,XKNVLSX!$X$1=""),$S$2,""))</f>
        <v/>
      </c>
      <c r="T1361" s="1018" t="str">
        <f ca="1">IF($C1361="","", IF(OR($P1361=$V$1,$P1361=$V$7,COUNTIFS($C$3:$C1361,$C1361,$E$3:$E1361,$E1361)&lt;=1),$P1361,""    ))</f>
        <v/>
      </c>
      <c r="U1361" s="1019" t="str">
        <f ca="1">IF(AND($P1361=$V$2,COUNTIFS($C$3:$C1361,$C1361,$E$3:$E1361,$E1361,$G$3:$G1361,$G1361)&lt;=1),$P1361,"")</f>
        <v/>
      </c>
    </row>
    <row r="1362" spans="1:21">
      <c r="A1362" s="991" t="str">
        <f ca="1">IFERROR(IF(COUNTIF($A$3:A1361,A1361)&lt; INDEX(TinhGia!$BH$10:$BH$81,MATCH($A1361,TinhGia!$B$10:$B$81,0)),$A1361,INDEX(TinhGia!$B$10:$B$81,MATCH($A1361,TinhGia!$B$10:$B$81,0)+1)),"")</f>
        <v/>
      </c>
      <c r="B1362" s="525" t="str">
        <f ca="1">IF(OR(A1362="",A1362=0),"",IF(COUNTIF($A$2:A1362,$A1362)=1,ROW(MauKoXoa!$C$108),$B1361+1))</f>
        <v/>
      </c>
      <c r="C1362" s="992" t="str">
        <f t="shared" ca="1" si="213"/>
        <v/>
      </c>
      <c r="D1362" s="993" t="str">
        <f t="shared" ca="1" si="214"/>
        <v/>
      </c>
      <c r="E1362" s="993" t="str">
        <f t="shared" ca="1" si="215"/>
        <v/>
      </c>
      <c r="F1362" s="992" t="str">
        <f t="shared" ca="1" si="223"/>
        <v/>
      </c>
      <c r="G1362" s="994">
        <f t="shared" ca="1" si="216"/>
        <v>0</v>
      </c>
      <c r="H1362" s="913">
        <f t="shared" ca="1" si="217"/>
        <v>0</v>
      </c>
      <c r="I1362" s="913">
        <f t="shared" ca="1" si="218"/>
        <v>0</v>
      </c>
      <c r="J1362" s="995">
        <f t="shared" ca="1" si="224"/>
        <v>0</v>
      </c>
      <c r="K1362" s="913">
        <f t="shared" ca="1" si="219"/>
        <v>0</v>
      </c>
      <c r="L1362" s="995">
        <f t="shared" ca="1" si="225"/>
        <v>0</v>
      </c>
      <c r="M1362" s="913">
        <f t="shared" ca="1" si="220"/>
        <v>0</v>
      </c>
      <c r="N1362" s="996">
        <f t="shared" ca="1" si="221"/>
        <v>0</v>
      </c>
      <c r="O1362" s="997">
        <f t="shared" ca="1" si="222"/>
        <v>0</v>
      </c>
      <c r="P1362" s="1015" t="str">
        <f ca="1">IF($C1362="","",INDEX(NVLSX!$N$2:$N$6941,MATCH($C1362,NVLSX!$E$2:$E$6941,0)))</f>
        <v/>
      </c>
      <c r="Q1362" s="1016" t="str">
        <f ca="1">IF($R1362="","",IF(XKNVLSX!$X$1="",IF($P1362=$V$7,$P1362, IF(COUNTIFS($C$2:$C1361,$C1362,$E$2:$E1361,$E1362)&gt;=1,"",$P1362)),     IF(AND(IFERROR(SEARCH($R1362,XKNVLSX!$X$1,1),0)&gt;=1,$P1362=$V$7),$P1362, IF(OR($R1362&lt;&gt;IF(IFERROR(SEARCH($R1362,XKNVLSX!$X$1,1),0)&gt;=1,$R1362,XKNVLSX!$X$1),COUNTIFS($C$2:$C1361,$C1362,$E$2:$E1361,$E1362,$Q$2:$Q1361,$P1362)&gt;=1),"",$P1362))))</f>
        <v/>
      </c>
      <c r="R1362" s="1017" t="str">
        <f ca="1">IF($A1362="","",IFERROR(INDEX(TinhGia!$BF$10:$BF$81,MATCH($A1362,TinhGia!$B$10:$B$81,0)),""))</f>
        <v/>
      </c>
      <c r="S1362" s="1012" t="str">
        <f ca="1">IF($A1362="","",IF(OR(IFERROR(SEARCH($R1362,XKNVLSX!$X$1,1),0)&gt;=1,XKNVLSX!$X$1=""),$S$2,""))</f>
        <v/>
      </c>
      <c r="T1362" s="1018" t="str">
        <f ca="1">IF($C1362="","", IF(OR($P1362=$V$1,$P1362=$V$7,COUNTIFS($C$3:$C1362,$C1362,$E$3:$E1362,$E1362)&lt;=1),$P1362,""    ))</f>
        <v/>
      </c>
      <c r="U1362" s="1019" t="str">
        <f ca="1">IF(AND($P1362=$V$2,COUNTIFS($C$3:$C1362,$C1362,$E$3:$E1362,$E1362,$G$3:$G1362,$G1362)&lt;=1),$P1362,"")</f>
        <v/>
      </c>
    </row>
    <row r="1363" spans="1:21">
      <c r="A1363" s="991" t="str">
        <f ca="1">IFERROR(IF(COUNTIF($A$3:A1362,A1362)&lt; INDEX(TinhGia!$BH$10:$BH$81,MATCH($A1362,TinhGia!$B$10:$B$81,0)),$A1362,INDEX(TinhGia!$B$10:$B$81,MATCH($A1362,TinhGia!$B$10:$B$81,0)+1)),"")</f>
        <v/>
      </c>
      <c r="B1363" s="525" t="str">
        <f ca="1">IF(OR(A1363="",A1363=0),"",IF(COUNTIF($A$2:A1363,$A1363)=1,ROW(MauKoXoa!$C$108),$B1362+1))</f>
        <v/>
      </c>
      <c r="C1363" s="992" t="str">
        <f t="shared" ca="1" si="213"/>
        <v/>
      </c>
      <c r="D1363" s="993" t="str">
        <f t="shared" ca="1" si="214"/>
        <v/>
      </c>
      <c r="E1363" s="993" t="str">
        <f t="shared" ca="1" si="215"/>
        <v/>
      </c>
      <c r="F1363" s="992" t="str">
        <f t="shared" ca="1" si="223"/>
        <v/>
      </c>
      <c r="G1363" s="994">
        <f t="shared" ca="1" si="216"/>
        <v>0</v>
      </c>
      <c r="H1363" s="913">
        <f t="shared" ca="1" si="217"/>
        <v>0</v>
      </c>
      <c r="I1363" s="913">
        <f t="shared" ca="1" si="218"/>
        <v>0</v>
      </c>
      <c r="J1363" s="995">
        <f t="shared" ca="1" si="224"/>
        <v>0</v>
      </c>
      <c r="K1363" s="913">
        <f t="shared" ca="1" si="219"/>
        <v>0</v>
      </c>
      <c r="L1363" s="995">
        <f t="shared" ca="1" si="225"/>
        <v>0</v>
      </c>
      <c r="M1363" s="913">
        <f t="shared" ca="1" si="220"/>
        <v>0</v>
      </c>
      <c r="N1363" s="996">
        <f t="shared" ca="1" si="221"/>
        <v>0</v>
      </c>
      <c r="O1363" s="997">
        <f t="shared" ca="1" si="222"/>
        <v>0</v>
      </c>
      <c r="P1363" s="1015" t="str">
        <f ca="1">IF($C1363="","",INDEX(NVLSX!$N$2:$N$6941,MATCH($C1363,NVLSX!$E$2:$E$6941,0)))</f>
        <v/>
      </c>
      <c r="Q1363" s="1016" t="str">
        <f ca="1">IF($R1363="","",IF(XKNVLSX!$X$1="",IF($P1363=$V$7,$P1363, IF(COUNTIFS($C$2:$C1362,$C1363,$E$2:$E1362,$E1363)&gt;=1,"",$P1363)),     IF(AND(IFERROR(SEARCH($R1363,XKNVLSX!$X$1,1),0)&gt;=1,$P1363=$V$7),$P1363, IF(OR($R1363&lt;&gt;IF(IFERROR(SEARCH($R1363,XKNVLSX!$X$1,1),0)&gt;=1,$R1363,XKNVLSX!$X$1),COUNTIFS($C$2:$C1362,$C1363,$E$2:$E1362,$E1363,$Q$2:$Q1362,$P1363)&gt;=1),"",$P1363))))</f>
        <v/>
      </c>
      <c r="R1363" s="1017" t="str">
        <f ca="1">IF($A1363="","",IFERROR(INDEX(TinhGia!$BF$10:$BF$81,MATCH($A1363,TinhGia!$B$10:$B$81,0)),""))</f>
        <v/>
      </c>
      <c r="S1363" s="1012" t="str">
        <f ca="1">IF($A1363="","",IF(OR(IFERROR(SEARCH($R1363,XKNVLSX!$X$1,1),0)&gt;=1,XKNVLSX!$X$1=""),$S$2,""))</f>
        <v/>
      </c>
      <c r="T1363" s="1018" t="str">
        <f ca="1">IF($C1363="","", IF(OR($P1363=$V$1,$P1363=$V$7,COUNTIFS($C$3:$C1363,$C1363,$E$3:$E1363,$E1363)&lt;=1),$P1363,""    ))</f>
        <v/>
      </c>
      <c r="U1363" s="1019" t="str">
        <f ca="1">IF(AND($P1363=$V$2,COUNTIFS($C$3:$C1363,$C1363,$E$3:$E1363,$E1363,$G$3:$G1363,$G1363)&lt;=1),$P1363,"")</f>
        <v/>
      </c>
    </row>
    <row r="1364" spans="1:21">
      <c r="A1364" s="991" t="str">
        <f ca="1">IFERROR(IF(COUNTIF($A$3:A1363,A1363)&lt; INDEX(TinhGia!$BH$10:$BH$81,MATCH($A1363,TinhGia!$B$10:$B$81,0)),$A1363,INDEX(TinhGia!$B$10:$B$81,MATCH($A1363,TinhGia!$B$10:$B$81,0)+1)),"")</f>
        <v/>
      </c>
      <c r="B1364" s="525" t="str">
        <f ca="1">IF(OR(A1364="",A1364=0),"",IF(COUNTIF($A$2:A1364,$A1364)=1,ROW(MauKoXoa!$C$108),$B1363+1))</f>
        <v/>
      </c>
      <c r="C1364" s="992" t="str">
        <f t="shared" ca="1" si="213"/>
        <v/>
      </c>
      <c r="D1364" s="993" t="str">
        <f t="shared" ca="1" si="214"/>
        <v/>
      </c>
      <c r="E1364" s="993" t="str">
        <f t="shared" ca="1" si="215"/>
        <v/>
      </c>
      <c r="F1364" s="992" t="str">
        <f t="shared" ca="1" si="223"/>
        <v/>
      </c>
      <c r="G1364" s="994">
        <f t="shared" ca="1" si="216"/>
        <v>0</v>
      </c>
      <c r="H1364" s="913">
        <f t="shared" ca="1" si="217"/>
        <v>0</v>
      </c>
      <c r="I1364" s="913">
        <f t="shared" ca="1" si="218"/>
        <v>0</v>
      </c>
      <c r="J1364" s="995">
        <f t="shared" ca="1" si="224"/>
        <v>0</v>
      </c>
      <c r="K1364" s="913">
        <f t="shared" ca="1" si="219"/>
        <v>0</v>
      </c>
      <c r="L1364" s="995">
        <f t="shared" ca="1" si="225"/>
        <v>0</v>
      </c>
      <c r="M1364" s="913">
        <f t="shared" ca="1" si="220"/>
        <v>0</v>
      </c>
      <c r="N1364" s="996">
        <f t="shared" ca="1" si="221"/>
        <v>0</v>
      </c>
      <c r="O1364" s="997">
        <f t="shared" ca="1" si="222"/>
        <v>0</v>
      </c>
      <c r="P1364" s="1015" t="str">
        <f ca="1">IF($C1364="","",INDEX(NVLSX!$N$2:$N$6941,MATCH($C1364,NVLSX!$E$2:$E$6941,0)))</f>
        <v/>
      </c>
      <c r="Q1364" s="1016" t="str">
        <f ca="1">IF($R1364="","",IF(XKNVLSX!$X$1="",IF($P1364=$V$7,$P1364, IF(COUNTIFS($C$2:$C1363,$C1364,$E$2:$E1363,$E1364)&gt;=1,"",$P1364)),     IF(AND(IFERROR(SEARCH($R1364,XKNVLSX!$X$1,1),0)&gt;=1,$P1364=$V$7),$P1364, IF(OR($R1364&lt;&gt;IF(IFERROR(SEARCH($R1364,XKNVLSX!$X$1,1),0)&gt;=1,$R1364,XKNVLSX!$X$1),COUNTIFS($C$2:$C1363,$C1364,$E$2:$E1363,$E1364,$Q$2:$Q1363,$P1364)&gt;=1),"",$P1364))))</f>
        <v/>
      </c>
      <c r="R1364" s="1017" t="str">
        <f ca="1">IF($A1364="","",IFERROR(INDEX(TinhGia!$BF$10:$BF$81,MATCH($A1364,TinhGia!$B$10:$B$81,0)),""))</f>
        <v/>
      </c>
      <c r="S1364" s="1012" t="str">
        <f ca="1">IF($A1364="","",IF(OR(IFERROR(SEARCH($R1364,XKNVLSX!$X$1,1),0)&gt;=1,XKNVLSX!$X$1=""),$S$2,""))</f>
        <v/>
      </c>
      <c r="T1364" s="1018" t="str">
        <f ca="1">IF($C1364="","", IF(OR($P1364=$V$1,$P1364=$V$7,COUNTIFS($C$3:$C1364,$C1364,$E$3:$E1364,$E1364)&lt;=1),$P1364,""    ))</f>
        <v/>
      </c>
      <c r="U1364" s="1019" t="str">
        <f ca="1">IF(AND($P1364=$V$2,COUNTIFS($C$3:$C1364,$C1364,$E$3:$E1364,$E1364,$G$3:$G1364,$G1364)&lt;=1),$P1364,"")</f>
        <v/>
      </c>
    </row>
    <row r="1365" spans="1:21">
      <c r="A1365" s="991" t="str">
        <f ca="1">IFERROR(IF(COUNTIF($A$3:A1364,A1364)&lt; INDEX(TinhGia!$BH$10:$BH$81,MATCH($A1364,TinhGia!$B$10:$B$81,0)),$A1364,INDEX(TinhGia!$B$10:$B$81,MATCH($A1364,TinhGia!$B$10:$B$81,0)+1)),"")</f>
        <v/>
      </c>
      <c r="B1365" s="525" t="str">
        <f ca="1">IF(OR(A1365="",A1365=0),"",IF(COUNTIF($A$2:A1365,$A1365)=1,ROW(MauKoXoa!$C$108),$B1364+1))</f>
        <v/>
      </c>
      <c r="C1365" s="992" t="str">
        <f t="shared" ca="1" si="213"/>
        <v/>
      </c>
      <c r="D1365" s="993" t="str">
        <f t="shared" ca="1" si="214"/>
        <v/>
      </c>
      <c r="E1365" s="993" t="str">
        <f t="shared" ca="1" si="215"/>
        <v/>
      </c>
      <c r="F1365" s="992" t="str">
        <f t="shared" ca="1" si="223"/>
        <v/>
      </c>
      <c r="G1365" s="994">
        <f t="shared" ca="1" si="216"/>
        <v>0</v>
      </c>
      <c r="H1365" s="913">
        <f t="shared" ca="1" si="217"/>
        <v>0</v>
      </c>
      <c r="I1365" s="913">
        <f t="shared" ca="1" si="218"/>
        <v>0</v>
      </c>
      <c r="J1365" s="995">
        <f t="shared" ca="1" si="224"/>
        <v>0</v>
      </c>
      <c r="K1365" s="913">
        <f t="shared" ca="1" si="219"/>
        <v>0</v>
      </c>
      <c r="L1365" s="995">
        <f t="shared" ca="1" si="225"/>
        <v>0</v>
      </c>
      <c r="M1365" s="913">
        <f t="shared" ca="1" si="220"/>
        <v>0</v>
      </c>
      <c r="N1365" s="996">
        <f t="shared" ca="1" si="221"/>
        <v>0</v>
      </c>
      <c r="O1365" s="997">
        <f t="shared" ca="1" si="222"/>
        <v>0</v>
      </c>
      <c r="P1365" s="1015" t="str">
        <f ca="1">IF($C1365="","",INDEX(NVLSX!$N$2:$N$6941,MATCH($C1365,NVLSX!$E$2:$E$6941,0)))</f>
        <v/>
      </c>
      <c r="Q1365" s="1016" t="str">
        <f ca="1">IF($R1365="","",IF(XKNVLSX!$X$1="",IF($P1365=$V$7,$P1365, IF(COUNTIFS($C$2:$C1364,$C1365,$E$2:$E1364,$E1365)&gt;=1,"",$P1365)),     IF(AND(IFERROR(SEARCH($R1365,XKNVLSX!$X$1,1),0)&gt;=1,$P1365=$V$7),$P1365, IF(OR($R1365&lt;&gt;IF(IFERROR(SEARCH($R1365,XKNVLSX!$X$1,1),0)&gt;=1,$R1365,XKNVLSX!$X$1),COUNTIFS($C$2:$C1364,$C1365,$E$2:$E1364,$E1365,$Q$2:$Q1364,$P1365)&gt;=1),"",$P1365))))</f>
        <v/>
      </c>
      <c r="R1365" s="1017" t="str">
        <f ca="1">IF($A1365="","",IFERROR(INDEX(TinhGia!$BF$10:$BF$81,MATCH($A1365,TinhGia!$B$10:$B$81,0)),""))</f>
        <v/>
      </c>
      <c r="S1365" s="1012" t="str">
        <f ca="1">IF($A1365="","",IF(OR(IFERROR(SEARCH($R1365,XKNVLSX!$X$1,1),0)&gt;=1,XKNVLSX!$X$1=""),$S$2,""))</f>
        <v/>
      </c>
      <c r="T1365" s="1018" t="str">
        <f ca="1">IF($C1365="","", IF(OR($P1365=$V$1,$P1365=$V$7,COUNTIFS($C$3:$C1365,$C1365,$E$3:$E1365,$E1365)&lt;=1),$P1365,""    ))</f>
        <v/>
      </c>
      <c r="U1365" s="1019" t="str">
        <f ca="1">IF(AND($P1365=$V$2,COUNTIFS($C$3:$C1365,$C1365,$E$3:$E1365,$E1365,$G$3:$G1365,$G1365)&lt;=1),$P1365,"")</f>
        <v/>
      </c>
    </row>
    <row r="1366" spans="1:21">
      <c r="A1366" s="991" t="str">
        <f ca="1">IFERROR(IF(COUNTIF($A$3:A1365,A1365)&lt; INDEX(TinhGia!$BH$10:$BH$81,MATCH($A1365,TinhGia!$B$10:$B$81,0)),$A1365,INDEX(TinhGia!$B$10:$B$81,MATCH($A1365,TinhGia!$B$10:$B$81,0)+1)),"")</f>
        <v/>
      </c>
      <c r="B1366" s="525" t="str">
        <f ca="1">IF(OR(A1366="",A1366=0),"",IF(COUNTIF($A$2:A1366,$A1366)=1,ROW(MauKoXoa!$C$108),$B1365+1))</f>
        <v/>
      </c>
      <c r="C1366" s="992" t="str">
        <f t="shared" ca="1" si="213"/>
        <v/>
      </c>
      <c r="D1366" s="993" t="str">
        <f t="shared" ca="1" si="214"/>
        <v/>
      </c>
      <c r="E1366" s="993" t="str">
        <f t="shared" ca="1" si="215"/>
        <v/>
      </c>
      <c r="F1366" s="992" t="str">
        <f t="shared" ca="1" si="223"/>
        <v/>
      </c>
      <c r="G1366" s="994">
        <f t="shared" ca="1" si="216"/>
        <v>0</v>
      </c>
      <c r="H1366" s="913">
        <f t="shared" ca="1" si="217"/>
        <v>0</v>
      </c>
      <c r="I1366" s="913">
        <f t="shared" ca="1" si="218"/>
        <v>0</v>
      </c>
      <c r="J1366" s="995">
        <f t="shared" ca="1" si="224"/>
        <v>0</v>
      </c>
      <c r="K1366" s="913">
        <f t="shared" ca="1" si="219"/>
        <v>0</v>
      </c>
      <c r="L1366" s="995">
        <f t="shared" ca="1" si="225"/>
        <v>0</v>
      </c>
      <c r="M1366" s="913">
        <f t="shared" ca="1" si="220"/>
        <v>0</v>
      </c>
      <c r="N1366" s="996">
        <f t="shared" ca="1" si="221"/>
        <v>0</v>
      </c>
      <c r="O1366" s="997">
        <f t="shared" ca="1" si="222"/>
        <v>0</v>
      </c>
      <c r="P1366" s="1015" t="str">
        <f ca="1">IF($C1366="","",INDEX(NVLSX!$N$2:$N$6941,MATCH($C1366,NVLSX!$E$2:$E$6941,0)))</f>
        <v/>
      </c>
      <c r="Q1366" s="1016" t="str">
        <f ca="1">IF($R1366="","",IF(XKNVLSX!$X$1="",IF($P1366=$V$7,$P1366, IF(COUNTIFS($C$2:$C1365,$C1366,$E$2:$E1365,$E1366)&gt;=1,"",$P1366)),     IF(AND(IFERROR(SEARCH($R1366,XKNVLSX!$X$1,1),0)&gt;=1,$P1366=$V$7),$P1366, IF(OR($R1366&lt;&gt;IF(IFERROR(SEARCH($R1366,XKNVLSX!$X$1,1),0)&gt;=1,$R1366,XKNVLSX!$X$1),COUNTIFS($C$2:$C1365,$C1366,$E$2:$E1365,$E1366,$Q$2:$Q1365,$P1366)&gt;=1),"",$P1366))))</f>
        <v/>
      </c>
      <c r="R1366" s="1017" t="str">
        <f ca="1">IF($A1366="","",IFERROR(INDEX(TinhGia!$BF$10:$BF$81,MATCH($A1366,TinhGia!$B$10:$B$81,0)),""))</f>
        <v/>
      </c>
      <c r="S1366" s="1012" t="str">
        <f ca="1">IF($A1366="","",IF(OR(IFERROR(SEARCH($R1366,XKNVLSX!$X$1,1),0)&gt;=1,XKNVLSX!$X$1=""),$S$2,""))</f>
        <v/>
      </c>
      <c r="T1366" s="1018" t="str">
        <f ca="1">IF($C1366="","", IF(OR($P1366=$V$1,$P1366=$V$7,COUNTIFS($C$3:$C1366,$C1366,$E$3:$E1366,$E1366)&lt;=1),$P1366,""    ))</f>
        <v/>
      </c>
      <c r="U1366" s="1019" t="str">
        <f ca="1">IF(AND($P1366=$V$2,COUNTIFS($C$3:$C1366,$C1366,$E$3:$E1366,$E1366,$G$3:$G1366,$G1366)&lt;=1),$P1366,"")</f>
        <v/>
      </c>
    </row>
    <row r="1367" spans="1:21">
      <c r="A1367" s="991" t="str">
        <f ca="1">IFERROR(IF(COUNTIF($A$3:A1366,A1366)&lt; INDEX(TinhGia!$BH$10:$BH$81,MATCH($A1366,TinhGia!$B$10:$B$81,0)),$A1366,INDEX(TinhGia!$B$10:$B$81,MATCH($A1366,TinhGia!$B$10:$B$81,0)+1)),"")</f>
        <v/>
      </c>
      <c r="B1367" s="525" t="str">
        <f ca="1">IF(OR(A1367="",A1367=0),"",IF(COUNTIF($A$2:A1367,$A1367)=1,ROW(MauKoXoa!$C$108),$B1366+1))</f>
        <v/>
      </c>
      <c r="C1367" s="992" t="str">
        <f t="shared" ca="1" si="213"/>
        <v/>
      </c>
      <c r="D1367" s="993" t="str">
        <f t="shared" ca="1" si="214"/>
        <v/>
      </c>
      <c r="E1367" s="993" t="str">
        <f t="shared" ca="1" si="215"/>
        <v/>
      </c>
      <c r="F1367" s="992" t="str">
        <f t="shared" ca="1" si="223"/>
        <v/>
      </c>
      <c r="G1367" s="994">
        <f t="shared" ca="1" si="216"/>
        <v>0</v>
      </c>
      <c r="H1367" s="913">
        <f t="shared" ca="1" si="217"/>
        <v>0</v>
      </c>
      <c r="I1367" s="913">
        <f t="shared" ca="1" si="218"/>
        <v>0</v>
      </c>
      <c r="J1367" s="995">
        <f t="shared" ca="1" si="224"/>
        <v>0</v>
      </c>
      <c r="K1367" s="913">
        <f t="shared" ca="1" si="219"/>
        <v>0</v>
      </c>
      <c r="L1367" s="995">
        <f t="shared" ca="1" si="225"/>
        <v>0</v>
      </c>
      <c r="M1367" s="913">
        <f t="shared" ca="1" si="220"/>
        <v>0</v>
      </c>
      <c r="N1367" s="996">
        <f t="shared" ca="1" si="221"/>
        <v>0</v>
      </c>
      <c r="O1367" s="997">
        <f t="shared" ca="1" si="222"/>
        <v>0</v>
      </c>
      <c r="P1367" s="1015" t="str">
        <f ca="1">IF($C1367="","",INDEX(NVLSX!$N$2:$N$6941,MATCH($C1367,NVLSX!$E$2:$E$6941,0)))</f>
        <v/>
      </c>
      <c r="Q1367" s="1016" t="str">
        <f ca="1">IF($R1367="","",IF(XKNVLSX!$X$1="",IF($P1367=$V$7,$P1367, IF(COUNTIFS($C$2:$C1366,$C1367,$E$2:$E1366,$E1367)&gt;=1,"",$P1367)),     IF(AND(IFERROR(SEARCH($R1367,XKNVLSX!$X$1,1),0)&gt;=1,$P1367=$V$7),$P1367, IF(OR($R1367&lt;&gt;IF(IFERROR(SEARCH($R1367,XKNVLSX!$X$1,1),0)&gt;=1,$R1367,XKNVLSX!$X$1),COUNTIFS($C$2:$C1366,$C1367,$E$2:$E1366,$E1367,$Q$2:$Q1366,$P1367)&gt;=1),"",$P1367))))</f>
        <v/>
      </c>
      <c r="R1367" s="1017" t="str">
        <f ca="1">IF($A1367="","",IFERROR(INDEX(TinhGia!$BF$10:$BF$81,MATCH($A1367,TinhGia!$B$10:$B$81,0)),""))</f>
        <v/>
      </c>
      <c r="S1367" s="1012" t="str">
        <f ca="1">IF($A1367="","",IF(OR(IFERROR(SEARCH($R1367,XKNVLSX!$X$1,1),0)&gt;=1,XKNVLSX!$X$1=""),$S$2,""))</f>
        <v/>
      </c>
      <c r="T1367" s="1018" t="str">
        <f ca="1">IF($C1367="","", IF(OR($P1367=$V$1,$P1367=$V$7,COUNTIFS($C$3:$C1367,$C1367,$E$3:$E1367,$E1367)&lt;=1),$P1367,""    ))</f>
        <v/>
      </c>
      <c r="U1367" s="1019" t="str">
        <f ca="1">IF(AND($P1367=$V$2,COUNTIFS($C$3:$C1367,$C1367,$E$3:$E1367,$E1367,$G$3:$G1367,$G1367)&lt;=1),$P1367,"")</f>
        <v/>
      </c>
    </row>
    <row r="1368" spans="1:21">
      <c r="A1368" s="991" t="str">
        <f ca="1">IFERROR(IF(COUNTIF($A$3:A1367,A1367)&lt; INDEX(TinhGia!$BH$10:$BH$81,MATCH($A1367,TinhGia!$B$10:$B$81,0)),$A1367,INDEX(TinhGia!$B$10:$B$81,MATCH($A1367,TinhGia!$B$10:$B$81,0)+1)),"")</f>
        <v/>
      </c>
      <c r="B1368" s="525" t="str">
        <f ca="1">IF(OR(A1368="",A1368=0),"",IF(COUNTIF($A$2:A1368,$A1368)=1,ROW(MauKoXoa!$C$108),$B1367+1))</f>
        <v/>
      </c>
      <c r="C1368" s="992" t="str">
        <f t="shared" ca="1" si="213"/>
        <v/>
      </c>
      <c r="D1368" s="993" t="str">
        <f t="shared" ca="1" si="214"/>
        <v/>
      </c>
      <c r="E1368" s="993" t="str">
        <f t="shared" ca="1" si="215"/>
        <v/>
      </c>
      <c r="F1368" s="992" t="str">
        <f t="shared" ca="1" si="223"/>
        <v/>
      </c>
      <c r="G1368" s="994">
        <f t="shared" ca="1" si="216"/>
        <v>0</v>
      </c>
      <c r="H1368" s="913">
        <f t="shared" ca="1" si="217"/>
        <v>0</v>
      </c>
      <c r="I1368" s="913">
        <f t="shared" ca="1" si="218"/>
        <v>0</v>
      </c>
      <c r="J1368" s="995">
        <f t="shared" ca="1" si="224"/>
        <v>0</v>
      </c>
      <c r="K1368" s="913">
        <f t="shared" ca="1" si="219"/>
        <v>0</v>
      </c>
      <c r="L1368" s="995">
        <f t="shared" ca="1" si="225"/>
        <v>0</v>
      </c>
      <c r="M1368" s="913">
        <f t="shared" ca="1" si="220"/>
        <v>0</v>
      </c>
      <c r="N1368" s="996">
        <f t="shared" ca="1" si="221"/>
        <v>0</v>
      </c>
      <c r="O1368" s="997">
        <f t="shared" ca="1" si="222"/>
        <v>0</v>
      </c>
      <c r="P1368" s="1015" t="str">
        <f ca="1">IF($C1368="","",INDEX(NVLSX!$N$2:$N$6941,MATCH($C1368,NVLSX!$E$2:$E$6941,0)))</f>
        <v/>
      </c>
      <c r="Q1368" s="1016" t="str">
        <f ca="1">IF($R1368="","",IF(XKNVLSX!$X$1="",IF($P1368=$V$7,$P1368, IF(COUNTIFS($C$2:$C1367,$C1368,$E$2:$E1367,$E1368)&gt;=1,"",$P1368)),     IF(AND(IFERROR(SEARCH($R1368,XKNVLSX!$X$1,1),0)&gt;=1,$P1368=$V$7),$P1368, IF(OR($R1368&lt;&gt;IF(IFERROR(SEARCH($R1368,XKNVLSX!$X$1,1),0)&gt;=1,$R1368,XKNVLSX!$X$1),COUNTIFS($C$2:$C1367,$C1368,$E$2:$E1367,$E1368,$Q$2:$Q1367,$P1368)&gt;=1),"",$P1368))))</f>
        <v/>
      </c>
      <c r="R1368" s="1017" t="str">
        <f ca="1">IF($A1368="","",IFERROR(INDEX(TinhGia!$BF$10:$BF$81,MATCH($A1368,TinhGia!$B$10:$B$81,0)),""))</f>
        <v/>
      </c>
      <c r="S1368" s="1012" t="str">
        <f ca="1">IF($A1368="","",IF(OR(IFERROR(SEARCH($R1368,XKNVLSX!$X$1,1),0)&gt;=1,XKNVLSX!$X$1=""),$S$2,""))</f>
        <v/>
      </c>
      <c r="T1368" s="1018" t="str">
        <f ca="1">IF($C1368="","", IF(OR($P1368=$V$1,$P1368=$V$7,COUNTIFS($C$3:$C1368,$C1368,$E$3:$E1368,$E1368)&lt;=1),$P1368,""    ))</f>
        <v/>
      </c>
      <c r="U1368" s="1019" t="str">
        <f ca="1">IF(AND($P1368=$V$2,COUNTIFS($C$3:$C1368,$C1368,$E$3:$E1368,$E1368,$G$3:$G1368,$G1368)&lt;=1),$P1368,"")</f>
        <v/>
      </c>
    </row>
    <row r="1369" spans="1:21">
      <c r="A1369" s="991" t="str">
        <f ca="1">IFERROR(IF(COUNTIF($A$3:A1368,A1368)&lt; INDEX(TinhGia!$BH$10:$BH$81,MATCH($A1368,TinhGia!$B$10:$B$81,0)),$A1368,INDEX(TinhGia!$B$10:$B$81,MATCH($A1368,TinhGia!$B$10:$B$81,0)+1)),"")</f>
        <v/>
      </c>
      <c r="B1369" s="525" t="str">
        <f ca="1">IF(OR(A1369="",A1369=0),"",IF(COUNTIF($A$2:A1369,$A1369)=1,ROW(MauKoXoa!$C$108),$B1368+1))</f>
        <v/>
      </c>
      <c r="C1369" s="992" t="str">
        <f t="shared" ca="1" si="213"/>
        <v/>
      </c>
      <c r="D1369" s="993" t="str">
        <f t="shared" ca="1" si="214"/>
        <v/>
      </c>
      <c r="E1369" s="993" t="str">
        <f t="shared" ca="1" si="215"/>
        <v/>
      </c>
      <c r="F1369" s="992" t="str">
        <f t="shared" ca="1" si="223"/>
        <v/>
      </c>
      <c r="G1369" s="994">
        <f t="shared" ca="1" si="216"/>
        <v>0</v>
      </c>
      <c r="H1369" s="913">
        <f t="shared" ca="1" si="217"/>
        <v>0</v>
      </c>
      <c r="I1369" s="913">
        <f t="shared" ca="1" si="218"/>
        <v>0</v>
      </c>
      <c r="J1369" s="995">
        <f t="shared" ca="1" si="224"/>
        <v>0</v>
      </c>
      <c r="K1369" s="913">
        <f t="shared" ca="1" si="219"/>
        <v>0</v>
      </c>
      <c r="L1369" s="995">
        <f t="shared" ca="1" si="225"/>
        <v>0</v>
      </c>
      <c r="M1369" s="913">
        <f t="shared" ca="1" si="220"/>
        <v>0</v>
      </c>
      <c r="N1369" s="996">
        <f t="shared" ca="1" si="221"/>
        <v>0</v>
      </c>
      <c r="O1369" s="997">
        <f t="shared" ca="1" si="222"/>
        <v>0</v>
      </c>
      <c r="P1369" s="1015" t="str">
        <f ca="1">IF($C1369="","",INDEX(NVLSX!$N$2:$N$6941,MATCH($C1369,NVLSX!$E$2:$E$6941,0)))</f>
        <v/>
      </c>
      <c r="Q1369" s="1016" t="str">
        <f ca="1">IF($R1369="","",IF(XKNVLSX!$X$1="",IF($P1369=$V$7,$P1369, IF(COUNTIFS($C$2:$C1368,$C1369,$E$2:$E1368,$E1369)&gt;=1,"",$P1369)),     IF(AND(IFERROR(SEARCH($R1369,XKNVLSX!$X$1,1),0)&gt;=1,$P1369=$V$7),$P1369, IF(OR($R1369&lt;&gt;IF(IFERROR(SEARCH($R1369,XKNVLSX!$X$1,1),0)&gt;=1,$R1369,XKNVLSX!$X$1),COUNTIFS($C$2:$C1368,$C1369,$E$2:$E1368,$E1369,$Q$2:$Q1368,$P1369)&gt;=1),"",$P1369))))</f>
        <v/>
      </c>
      <c r="R1369" s="1017" t="str">
        <f ca="1">IF($A1369="","",IFERROR(INDEX(TinhGia!$BF$10:$BF$81,MATCH($A1369,TinhGia!$B$10:$B$81,0)),""))</f>
        <v/>
      </c>
      <c r="S1369" s="1012" t="str">
        <f ca="1">IF($A1369="","",IF(OR(IFERROR(SEARCH($R1369,XKNVLSX!$X$1,1),0)&gt;=1,XKNVLSX!$X$1=""),$S$2,""))</f>
        <v/>
      </c>
      <c r="T1369" s="1018" t="str">
        <f ca="1">IF($C1369="","", IF(OR($P1369=$V$1,$P1369=$V$7,COUNTIFS($C$3:$C1369,$C1369,$E$3:$E1369,$E1369)&lt;=1),$P1369,""    ))</f>
        <v/>
      </c>
      <c r="U1369" s="1019" t="str">
        <f ca="1">IF(AND($P1369=$V$2,COUNTIFS($C$3:$C1369,$C1369,$E$3:$E1369,$E1369,$G$3:$G1369,$G1369)&lt;=1),$P1369,"")</f>
        <v/>
      </c>
    </row>
    <row r="1370" spans="1:21">
      <c r="A1370" s="991" t="str">
        <f ca="1">IFERROR(IF(COUNTIF($A$3:A1369,A1369)&lt; INDEX(TinhGia!$BH$10:$BH$81,MATCH($A1369,TinhGia!$B$10:$B$81,0)),$A1369,INDEX(TinhGia!$B$10:$B$81,MATCH($A1369,TinhGia!$B$10:$B$81,0)+1)),"")</f>
        <v/>
      </c>
      <c r="B1370" s="525" t="str">
        <f ca="1">IF(OR(A1370="",A1370=0),"",IF(COUNTIF($A$2:A1370,$A1370)=1,ROW(MauKoXoa!$C$108),$B1369+1))</f>
        <v/>
      </c>
      <c r="C1370" s="992" t="str">
        <f t="shared" ca="1" si="213"/>
        <v/>
      </c>
      <c r="D1370" s="993" t="str">
        <f t="shared" ca="1" si="214"/>
        <v/>
      </c>
      <c r="E1370" s="993" t="str">
        <f t="shared" ca="1" si="215"/>
        <v/>
      </c>
      <c r="F1370" s="992" t="str">
        <f t="shared" ca="1" si="223"/>
        <v/>
      </c>
      <c r="G1370" s="994">
        <f t="shared" ca="1" si="216"/>
        <v>0</v>
      </c>
      <c r="H1370" s="913">
        <f t="shared" ca="1" si="217"/>
        <v>0</v>
      </c>
      <c r="I1370" s="913">
        <f t="shared" ca="1" si="218"/>
        <v>0</v>
      </c>
      <c r="J1370" s="995">
        <f t="shared" ca="1" si="224"/>
        <v>0</v>
      </c>
      <c r="K1370" s="913">
        <f t="shared" ca="1" si="219"/>
        <v>0</v>
      </c>
      <c r="L1370" s="995">
        <f t="shared" ca="1" si="225"/>
        <v>0</v>
      </c>
      <c r="M1370" s="913">
        <f t="shared" ca="1" si="220"/>
        <v>0</v>
      </c>
      <c r="N1370" s="996">
        <f t="shared" ca="1" si="221"/>
        <v>0</v>
      </c>
      <c r="O1370" s="997">
        <f t="shared" ca="1" si="222"/>
        <v>0</v>
      </c>
      <c r="P1370" s="1015" t="str">
        <f ca="1">IF($C1370="","",INDEX(NVLSX!$N$2:$N$6941,MATCH($C1370,NVLSX!$E$2:$E$6941,0)))</f>
        <v/>
      </c>
      <c r="Q1370" s="1016" t="str">
        <f ca="1">IF($R1370="","",IF(XKNVLSX!$X$1="",IF($P1370=$V$7,$P1370, IF(COUNTIFS($C$2:$C1369,$C1370,$E$2:$E1369,$E1370)&gt;=1,"",$P1370)),     IF(AND(IFERROR(SEARCH($R1370,XKNVLSX!$X$1,1),0)&gt;=1,$P1370=$V$7),$P1370, IF(OR($R1370&lt;&gt;IF(IFERROR(SEARCH($R1370,XKNVLSX!$X$1,1),0)&gt;=1,$R1370,XKNVLSX!$X$1),COUNTIFS($C$2:$C1369,$C1370,$E$2:$E1369,$E1370,$Q$2:$Q1369,$P1370)&gt;=1),"",$P1370))))</f>
        <v/>
      </c>
      <c r="R1370" s="1017" t="str">
        <f ca="1">IF($A1370="","",IFERROR(INDEX(TinhGia!$BF$10:$BF$81,MATCH($A1370,TinhGia!$B$10:$B$81,0)),""))</f>
        <v/>
      </c>
      <c r="S1370" s="1012" t="str">
        <f ca="1">IF($A1370="","",IF(OR(IFERROR(SEARCH($R1370,XKNVLSX!$X$1,1),0)&gt;=1,XKNVLSX!$X$1=""),$S$2,""))</f>
        <v/>
      </c>
      <c r="T1370" s="1018" t="str">
        <f ca="1">IF($C1370="","", IF(OR($P1370=$V$1,$P1370=$V$7,COUNTIFS($C$3:$C1370,$C1370,$E$3:$E1370,$E1370)&lt;=1),$P1370,""    ))</f>
        <v/>
      </c>
      <c r="U1370" s="1019" t="str">
        <f ca="1">IF(AND($P1370=$V$2,COUNTIFS($C$3:$C1370,$C1370,$E$3:$E1370,$E1370,$G$3:$G1370,$G1370)&lt;=1),$P1370,"")</f>
        <v/>
      </c>
    </row>
    <row r="1371" spans="1:21">
      <c r="A1371" s="991" t="str">
        <f ca="1">IFERROR(IF(COUNTIF($A$3:A1370,A1370)&lt; INDEX(TinhGia!$BH$10:$BH$81,MATCH($A1370,TinhGia!$B$10:$B$81,0)),$A1370,INDEX(TinhGia!$B$10:$B$81,MATCH($A1370,TinhGia!$B$10:$B$81,0)+1)),"")</f>
        <v/>
      </c>
      <c r="B1371" s="525" t="str">
        <f ca="1">IF(OR(A1371="",A1371=0),"",IF(COUNTIF($A$2:A1371,$A1371)=1,ROW(MauKoXoa!$C$108),$B1370+1))</f>
        <v/>
      </c>
      <c r="C1371" s="992" t="str">
        <f t="shared" ca="1" si="213"/>
        <v/>
      </c>
      <c r="D1371" s="993" t="str">
        <f t="shared" ca="1" si="214"/>
        <v/>
      </c>
      <c r="E1371" s="993" t="str">
        <f t="shared" ca="1" si="215"/>
        <v/>
      </c>
      <c r="F1371" s="992" t="str">
        <f t="shared" ca="1" si="223"/>
        <v/>
      </c>
      <c r="G1371" s="994">
        <f t="shared" ca="1" si="216"/>
        <v>0</v>
      </c>
      <c r="H1371" s="913">
        <f t="shared" ca="1" si="217"/>
        <v>0</v>
      </c>
      <c r="I1371" s="913">
        <f t="shared" ca="1" si="218"/>
        <v>0</v>
      </c>
      <c r="J1371" s="995">
        <f t="shared" ca="1" si="224"/>
        <v>0</v>
      </c>
      <c r="K1371" s="913">
        <f t="shared" ca="1" si="219"/>
        <v>0</v>
      </c>
      <c r="L1371" s="995">
        <f t="shared" ca="1" si="225"/>
        <v>0</v>
      </c>
      <c r="M1371" s="913">
        <f t="shared" ca="1" si="220"/>
        <v>0</v>
      </c>
      <c r="N1371" s="996">
        <f t="shared" ca="1" si="221"/>
        <v>0</v>
      </c>
      <c r="O1371" s="997">
        <f t="shared" ca="1" si="222"/>
        <v>0</v>
      </c>
      <c r="P1371" s="1015" t="str">
        <f ca="1">IF($C1371="","",INDEX(NVLSX!$N$2:$N$6941,MATCH($C1371,NVLSX!$E$2:$E$6941,0)))</f>
        <v/>
      </c>
      <c r="Q1371" s="1016" t="str">
        <f ca="1">IF($R1371="","",IF(XKNVLSX!$X$1="",IF($P1371=$V$7,$P1371, IF(COUNTIFS($C$2:$C1370,$C1371,$E$2:$E1370,$E1371)&gt;=1,"",$P1371)),     IF(AND(IFERROR(SEARCH($R1371,XKNVLSX!$X$1,1),0)&gt;=1,$P1371=$V$7),$P1371, IF(OR($R1371&lt;&gt;IF(IFERROR(SEARCH($R1371,XKNVLSX!$X$1,1),0)&gt;=1,$R1371,XKNVLSX!$X$1),COUNTIFS($C$2:$C1370,$C1371,$E$2:$E1370,$E1371,$Q$2:$Q1370,$P1371)&gt;=1),"",$P1371))))</f>
        <v/>
      </c>
      <c r="R1371" s="1017" t="str">
        <f ca="1">IF($A1371="","",IFERROR(INDEX(TinhGia!$BF$10:$BF$81,MATCH($A1371,TinhGia!$B$10:$B$81,0)),""))</f>
        <v/>
      </c>
      <c r="S1371" s="1012" t="str">
        <f ca="1">IF($A1371="","",IF(OR(IFERROR(SEARCH($R1371,XKNVLSX!$X$1,1),0)&gt;=1,XKNVLSX!$X$1=""),$S$2,""))</f>
        <v/>
      </c>
      <c r="T1371" s="1018" t="str">
        <f ca="1">IF($C1371="","", IF(OR($P1371=$V$1,$P1371=$V$7,COUNTIFS($C$3:$C1371,$C1371,$E$3:$E1371,$E1371)&lt;=1),$P1371,""    ))</f>
        <v/>
      </c>
      <c r="U1371" s="1019" t="str">
        <f ca="1">IF(AND($P1371=$V$2,COUNTIFS($C$3:$C1371,$C1371,$E$3:$E1371,$E1371,$G$3:$G1371,$G1371)&lt;=1),$P1371,"")</f>
        <v/>
      </c>
    </row>
    <row r="1372" spans="1:21">
      <c r="A1372" s="991" t="str">
        <f ca="1">IFERROR(IF(COUNTIF($A$3:A1371,A1371)&lt; INDEX(TinhGia!$BH$10:$BH$81,MATCH($A1371,TinhGia!$B$10:$B$81,0)),$A1371,INDEX(TinhGia!$B$10:$B$81,MATCH($A1371,TinhGia!$B$10:$B$81,0)+1)),"")</f>
        <v/>
      </c>
      <c r="B1372" s="525" t="str">
        <f ca="1">IF(OR(A1372="",A1372=0),"",IF(COUNTIF($A$2:A1372,$A1372)=1,ROW(MauKoXoa!$C$108),$B1371+1))</f>
        <v/>
      </c>
      <c r="C1372" s="992" t="str">
        <f t="shared" ca="1" si="213"/>
        <v/>
      </c>
      <c r="D1372" s="993" t="str">
        <f t="shared" ca="1" si="214"/>
        <v/>
      </c>
      <c r="E1372" s="993" t="str">
        <f t="shared" ca="1" si="215"/>
        <v/>
      </c>
      <c r="F1372" s="992" t="str">
        <f t="shared" ca="1" si="223"/>
        <v/>
      </c>
      <c r="G1372" s="994">
        <f t="shared" ca="1" si="216"/>
        <v>0</v>
      </c>
      <c r="H1372" s="913">
        <f t="shared" ca="1" si="217"/>
        <v>0</v>
      </c>
      <c r="I1372" s="913">
        <f t="shared" ca="1" si="218"/>
        <v>0</v>
      </c>
      <c r="J1372" s="995">
        <f t="shared" ca="1" si="224"/>
        <v>0</v>
      </c>
      <c r="K1372" s="913">
        <f t="shared" ca="1" si="219"/>
        <v>0</v>
      </c>
      <c r="L1372" s="995">
        <f t="shared" ca="1" si="225"/>
        <v>0</v>
      </c>
      <c r="M1372" s="913">
        <f t="shared" ca="1" si="220"/>
        <v>0</v>
      </c>
      <c r="N1372" s="996">
        <f t="shared" ca="1" si="221"/>
        <v>0</v>
      </c>
      <c r="O1372" s="997">
        <f t="shared" ca="1" si="222"/>
        <v>0</v>
      </c>
      <c r="P1372" s="1015" t="str">
        <f ca="1">IF($C1372="","",INDEX(NVLSX!$N$2:$N$6941,MATCH($C1372,NVLSX!$E$2:$E$6941,0)))</f>
        <v/>
      </c>
      <c r="Q1372" s="1016" t="str">
        <f ca="1">IF($R1372="","",IF(XKNVLSX!$X$1="",IF($P1372=$V$7,$P1372, IF(COUNTIFS($C$2:$C1371,$C1372,$E$2:$E1371,$E1372)&gt;=1,"",$P1372)),     IF(AND(IFERROR(SEARCH($R1372,XKNVLSX!$X$1,1),0)&gt;=1,$P1372=$V$7),$P1372, IF(OR($R1372&lt;&gt;IF(IFERROR(SEARCH($R1372,XKNVLSX!$X$1,1),0)&gt;=1,$R1372,XKNVLSX!$X$1),COUNTIFS($C$2:$C1371,$C1372,$E$2:$E1371,$E1372,$Q$2:$Q1371,$P1372)&gt;=1),"",$P1372))))</f>
        <v/>
      </c>
      <c r="R1372" s="1017" t="str">
        <f ca="1">IF($A1372="","",IFERROR(INDEX(TinhGia!$BF$10:$BF$81,MATCH($A1372,TinhGia!$B$10:$B$81,0)),""))</f>
        <v/>
      </c>
      <c r="S1372" s="1012" t="str">
        <f ca="1">IF($A1372="","",IF(OR(IFERROR(SEARCH($R1372,XKNVLSX!$X$1,1),0)&gt;=1,XKNVLSX!$X$1=""),$S$2,""))</f>
        <v/>
      </c>
      <c r="T1372" s="1018" t="str">
        <f ca="1">IF($C1372="","", IF(OR($P1372=$V$1,$P1372=$V$7,COUNTIFS($C$3:$C1372,$C1372,$E$3:$E1372,$E1372)&lt;=1),$P1372,""    ))</f>
        <v/>
      </c>
      <c r="U1372" s="1019" t="str">
        <f ca="1">IF(AND($P1372=$V$2,COUNTIFS($C$3:$C1372,$C1372,$E$3:$E1372,$E1372,$G$3:$G1372,$G1372)&lt;=1),$P1372,"")</f>
        <v/>
      </c>
    </row>
    <row r="1373" spans="1:21">
      <c r="A1373" s="991" t="str">
        <f ca="1">IFERROR(IF(COUNTIF($A$3:A1372,A1372)&lt; INDEX(TinhGia!$BH$10:$BH$81,MATCH($A1372,TinhGia!$B$10:$B$81,0)),$A1372,INDEX(TinhGia!$B$10:$B$81,MATCH($A1372,TinhGia!$B$10:$B$81,0)+1)),"")</f>
        <v/>
      </c>
      <c r="B1373" s="525" t="str">
        <f ca="1">IF(OR(A1373="",A1373=0),"",IF(COUNTIF($A$2:A1373,$A1373)=1,ROW(MauKoXoa!$C$108),$B1372+1))</f>
        <v/>
      </c>
      <c r="C1373" s="992" t="str">
        <f t="shared" ca="1" si="213"/>
        <v/>
      </c>
      <c r="D1373" s="993" t="str">
        <f t="shared" ca="1" si="214"/>
        <v/>
      </c>
      <c r="E1373" s="993" t="str">
        <f t="shared" ca="1" si="215"/>
        <v/>
      </c>
      <c r="F1373" s="992" t="str">
        <f t="shared" ca="1" si="223"/>
        <v/>
      </c>
      <c r="G1373" s="994">
        <f t="shared" ca="1" si="216"/>
        <v>0</v>
      </c>
      <c r="H1373" s="913">
        <f t="shared" ca="1" si="217"/>
        <v>0</v>
      </c>
      <c r="I1373" s="913">
        <f t="shared" ca="1" si="218"/>
        <v>0</v>
      </c>
      <c r="J1373" s="995">
        <f t="shared" ca="1" si="224"/>
        <v>0</v>
      </c>
      <c r="K1373" s="913">
        <f t="shared" ca="1" si="219"/>
        <v>0</v>
      </c>
      <c r="L1373" s="995">
        <f t="shared" ca="1" si="225"/>
        <v>0</v>
      </c>
      <c r="M1373" s="913">
        <f t="shared" ca="1" si="220"/>
        <v>0</v>
      </c>
      <c r="N1373" s="996">
        <f t="shared" ca="1" si="221"/>
        <v>0</v>
      </c>
      <c r="O1373" s="997">
        <f t="shared" ca="1" si="222"/>
        <v>0</v>
      </c>
      <c r="P1373" s="1015" t="str">
        <f ca="1">IF($C1373="","",INDEX(NVLSX!$N$2:$N$6941,MATCH($C1373,NVLSX!$E$2:$E$6941,0)))</f>
        <v/>
      </c>
      <c r="Q1373" s="1016" t="str">
        <f ca="1">IF($R1373="","",IF(XKNVLSX!$X$1="",IF($P1373=$V$7,$P1373, IF(COUNTIFS($C$2:$C1372,$C1373,$E$2:$E1372,$E1373)&gt;=1,"",$P1373)),     IF(AND(IFERROR(SEARCH($R1373,XKNVLSX!$X$1,1),0)&gt;=1,$P1373=$V$7),$P1373, IF(OR($R1373&lt;&gt;IF(IFERROR(SEARCH($R1373,XKNVLSX!$X$1,1),0)&gt;=1,$R1373,XKNVLSX!$X$1),COUNTIFS($C$2:$C1372,$C1373,$E$2:$E1372,$E1373,$Q$2:$Q1372,$P1373)&gt;=1),"",$P1373))))</f>
        <v/>
      </c>
      <c r="R1373" s="1017" t="str">
        <f ca="1">IF($A1373="","",IFERROR(INDEX(TinhGia!$BF$10:$BF$81,MATCH($A1373,TinhGia!$B$10:$B$81,0)),""))</f>
        <v/>
      </c>
      <c r="S1373" s="1012" t="str">
        <f ca="1">IF($A1373="","",IF(OR(IFERROR(SEARCH($R1373,XKNVLSX!$X$1,1),0)&gt;=1,XKNVLSX!$X$1=""),$S$2,""))</f>
        <v/>
      </c>
      <c r="T1373" s="1018" t="str">
        <f ca="1">IF($C1373="","", IF(OR($P1373=$V$1,$P1373=$V$7,COUNTIFS($C$3:$C1373,$C1373,$E$3:$E1373,$E1373)&lt;=1),$P1373,""    ))</f>
        <v/>
      </c>
      <c r="U1373" s="1019" t="str">
        <f ca="1">IF(AND($P1373=$V$2,COUNTIFS($C$3:$C1373,$C1373,$E$3:$E1373,$E1373,$G$3:$G1373,$G1373)&lt;=1),$P1373,"")</f>
        <v/>
      </c>
    </row>
    <row r="1374" spans="1:21">
      <c r="A1374" s="991" t="str">
        <f ca="1">IFERROR(IF(COUNTIF($A$3:A1373,A1373)&lt; INDEX(TinhGia!$BH$10:$BH$81,MATCH($A1373,TinhGia!$B$10:$B$81,0)),$A1373,INDEX(TinhGia!$B$10:$B$81,MATCH($A1373,TinhGia!$B$10:$B$81,0)+1)),"")</f>
        <v/>
      </c>
      <c r="B1374" s="525" t="str">
        <f ca="1">IF(OR(A1374="",A1374=0),"",IF(COUNTIF($A$2:A1374,$A1374)=1,ROW(MauKoXoa!$C$108),$B1373+1))</f>
        <v/>
      </c>
      <c r="C1374" s="992" t="str">
        <f t="shared" ca="1" si="213"/>
        <v/>
      </c>
      <c r="D1374" s="993" t="str">
        <f t="shared" ca="1" si="214"/>
        <v/>
      </c>
      <c r="E1374" s="993" t="str">
        <f t="shared" ca="1" si="215"/>
        <v/>
      </c>
      <c r="F1374" s="992" t="str">
        <f t="shared" ca="1" si="223"/>
        <v/>
      </c>
      <c r="G1374" s="994">
        <f t="shared" ca="1" si="216"/>
        <v>0</v>
      </c>
      <c r="H1374" s="913">
        <f t="shared" ca="1" si="217"/>
        <v>0</v>
      </c>
      <c r="I1374" s="913">
        <f t="shared" ca="1" si="218"/>
        <v>0</v>
      </c>
      <c r="J1374" s="995">
        <f t="shared" ca="1" si="224"/>
        <v>0</v>
      </c>
      <c r="K1374" s="913">
        <f t="shared" ca="1" si="219"/>
        <v>0</v>
      </c>
      <c r="L1374" s="995">
        <f t="shared" ca="1" si="225"/>
        <v>0</v>
      </c>
      <c r="M1374" s="913">
        <f t="shared" ca="1" si="220"/>
        <v>0</v>
      </c>
      <c r="N1374" s="996">
        <f t="shared" ca="1" si="221"/>
        <v>0</v>
      </c>
      <c r="O1374" s="997">
        <f t="shared" ca="1" si="222"/>
        <v>0</v>
      </c>
      <c r="P1374" s="1015" t="str">
        <f ca="1">IF($C1374="","",INDEX(NVLSX!$N$2:$N$6941,MATCH($C1374,NVLSX!$E$2:$E$6941,0)))</f>
        <v/>
      </c>
      <c r="Q1374" s="1016" t="str">
        <f ca="1">IF($R1374="","",IF(XKNVLSX!$X$1="",IF($P1374=$V$7,$P1374, IF(COUNTIFS($C$2:$C1373,$C1374,$E$2:$E1373,$E1374)&gt;=1,"",$P1374)),     IF(AND(IFERROR(SEARCH($R1374,XKNVLSX!$X$1,1),0)&gt;=1,$P1374=$V$7),$P1374, IF(OR($R1374&lt;&gt;IF(IFERROR(SEARCH($R1374,XKNVLSX!$X$1,1),0)&gt;=1,$R1374,XKNVLSX!$X$1),COUNTIFS($C$2:$C1373,$C1374,$E$2:$E1373,$E1374,$Q$2:$Q1373,$P1374)&gt;=1),"",$P1374))))</f>
        <v/>
      </c>
      <c r="R1374" s="1017" t="str">
        <f ca="1">IF($A1374="","",IFERROR(INDEX(TinhGia!$BF$10:$BF$81,MATCH($A1374,TinhGia!$B$10:$B$81,0)),""))</f>
        <v/>
      </c>
      <c r="S1374" s="1012" t="str">
        <f ca="1">IF($A1374="","",IF(OR(IFERROR(SEARCH($R1374,XKNVLSX!$X$1,1),0)&gt;=1,XKNVLSX!$X$1=""),$S$2,""))</f>
        <v/>
      </c>
      <c r="T1374" s="1018" t="str">
        <f ca="1">IF($C1374="","", IF(OR($P1374=$V$1,$P1374=$V$7,COUNTIFS($C$3:$C1374,$C1374,$E$3:$E1374,$E1374)&lt;=1),$P1374,""    ))</f>
        <v/>
      </c>
      <c r="U1374" s="1019" t="str">
        <f ca="1">IF(AND($P1374=$V$2,COUNTIFS($C$3:$C1374,$C1374,$E$3:$E1374,$E1374,$G$3:$G1374,$G1374)&lt;=1),$P1374,"")</f>
        <v/>
      </c>
    </row>
    <row r="1375" spans="1:21">
      <c r="A1375" s="991" t="str">
        <f ca="1">IFERROR(IF(COUNTIF($A$3:A1374,A1374)&lt; INDEX(TinhGia!$BH$10:$BH$81,MATCH($A1374,TinhGia!$B$10:$B$81,0)),$A1374,INDEX(TinhGia!$B$10:$B$81,MATCH($A1374,TinhGia!$B$10:$B$81,0)+1)),"")</f>
        <v/>
      </c>
      <c r="B1375" s="525" t="str">
        <f ca="1">IF(OR(A1375="",A1375=0),"",IF(COUNTIF($A$2:A1375,$A1375)=1,ROW(MauKoXoa!$C$108),$B1374+1))</f>
        <v/>
      </c>
      <c r="C1375" s="992" t="str">
        <f t="shared" ca="1" si="213"/>
        <v/>
      </c>
      <c r="D1375" s="993" t="str">
        <f t="shared" ca="1" si="214"/>
        <v/>
      </c>
      <c r="E1375" s="993" t="str">
        <f t="shared" ca="1" si="215"/>
        <v/>
      </c>
      <c r="F1375" s="992" t="str">
        <f t="shared" ca="1" si="223"/>
        <v/>
      </c>
      <c r="G1375" s="994">
        <f t="shared" ca="1" si="216"/>
        <v>0</v>
      </c>
      <c r="H1375" s="913">
        <f t="shared" ca="1" si="217"/>
        <v>0</v>
      </c>
      <c r="I1375" s="913">
        <f t="shared" ca="1" si="218"/>
        <v>0</v>
      </c>
      <c r="J1375" s="995">
        <f t="shared" ca="1" si="224"/>
        <v>0</v>
      </c>
      <c r="K1375" s="913">
        <f t="shared" ca="1" si="219"/>
        <v>0</v>
      </c>
      <c r="L1375" s="995">
        <f t="shared" ca="1" si="225"/>
        <v>0</v>
      </c>
      <c r="M1375" s="913">
        <f t="shared" ca="1" si="220"/>
        <v>0</v>
      </c>
      <c r="N1375" s="996">
        <f t="shared" ca="1" si="221"/>
        <v>0</v>
      </c>
      <c r="O1375" s="997">
        <f t="shared" ca="1" si="222"/>
        <v>0</v>
      </c>
      <c r="P1375" s="1015" t="str">
        <f ca="1">IF($C1375="","",INDEX(NVLSX!$N$2:$N$6941,MATCH($C1375,NVLSX!$E$2:$E$6941,0)))</f>
        <v/>
      </c>
      <c r="Q1375" s="1016" t="str">
        <f ca="1">IF($R1375="","",IF(XKNVLSX!$X$1="",IF($P1375=$V$7,$P1375, IF(COUNTIFS($C$2:$C1374,$C1375,$E$2:$E1374,$E1375)&gt;=1,"",$P1375)),     IF(AND(IFERROR(SEARCH($R1375,XKNVLSX!$X$1,1),0)&gt;=1,$P1375=$V$7),$P1375, IF(OR($R1375&lt;&gt;IF(IFERROR(SEARCH($R1375,XKNVLSX!$X$1,1),0)&gt;=1,$R1375,XKNVLSX!$X$1),COUNTIFS($C$2:$C1374,$C1375,$E$2:$E1374,$E1375,$Q$2:$Q1374,$P1375)&gt;=1),"",$P1375))))</f>
        <v/>
      </c>
      <c r="R1375" s="1017" t="str">
        <f ca="1">IF($A1375="","",IFERROR(INDEX(TinhGia!$BF$10:$BF$81,MATCH($A1375,TinhGia!$B$10:$B$81,0)),""))</f>
        <v/>
      </c>
      <c r="S1375" s="1012" t="str">
        <f ca="1">IF($A1375="","",IF(OR(IFERROR(SEARCH($R1375,XKNVLSX!$X$1,1),0)&gt;=1,XKNVLSX!$X$1=""),$S$2,""))</f>
        <v/>
      </c>
      <c r="T1375" s="1018" t="str">
        <f ca="1">IF($C1375="","", IF(OR($P1375=$V$1,$P1375=$V$7,COUNTIFS($C$3:$C1375,$C1375,$E$3:$E1375,$E1375)&lt;=1),$P1375,""    ))</f>
        <v/>
      </c>
      <c r="U1375" s="1019" t="str">
        <f ca="1">IF(AND($P1375=$V$2,COUNTIFS($C$3:$C1375,$C1375,$E$3:$E1375,$E1375,$G$3:$G1375,$G1375)&lt;=1),$P1375,"")</f>
        <v/>
      </c>
    </row>
    <row r="1376" spans="1:21">
      <c r="A1376" s="991" t="str">
        <f ca="1">IFERROR(IF(COUNTIF($A$3:A1375,A1375)&lt; INDEX(TinhGia!$BH$10:$BH$81,MATCH($A1375,TinhGia!$B$10:$B$81,0)),$A1375,INDEX(TinhGia!$B$10:$B$81,MATCH($A1375,TinhGia!$B$10:$B$81,0)+1)),"")</f>
        <v/>
      </c>
      <c r="B1376" s="525" t="str">
        <f ca="1">IF(OR(A1376="",A1376=0),"",IF(COUNTIF($A$2:A1376,$A1376)=1,ROW(MauKoXoa!$C$108),$B1375+1))</f>
        <v/>
      </c>
      <c r="C1376" s="992" t="str">
        <f t="shared" ca="1" si="213"/>
        <v/>
      </c>
      <c r="D1376" s="993" t="str">
        <f t="shared" ca="1" si="214"/>
        <v/>
      </c>
      <c r="E1376" s="993" t="str">
        <f t="shared" ca="1" si="215"/>
        <v/>
      </c>
      <c r="F1376" s="992" t="str">
        <f t="shared" ca="1" si="223"/>
        <v/>
      </c>
      <c r="G1376" s="994">
        <f t="shared" ca="1" si="216"/>
        <v>0</v>
      </c>
      <c r="H1376" s="913">
        <f t="shared" ca="1" si="217"/>
        <v>0</v>
      </c>
      <c r="I1376" s="913">
        <f t="shared" ca="1" si="218"/>
        <v>0</v>
      </c>
      <c r="J1376" s="995">
        <f t="shared" ca="1" si="224"/>
        <v>0</v>
      </c>
      <c r="K1376" s="913">
        <f t="shared" ca="1" si="219"/>
        <v>0</v>
      </c>
      <c r="L1376" s="995">
        <f t="shared" ca="1" si="225"/>
        <v>0</v>
      </c>
      <c r="M1376" s="913">
        <f t="shared" ca="1" si="220"/>
        <v>0</v>
      </c>
      <c r="N1376" s="996">
        <f t="shared" ca="1" si="221"/>
        <v>0</v>
      </c>
      <c r="O1376" s="997">
        <f t="shared" ca="1" si="222"/>
        <v>0</v>
      </c>
      <c r="P1376" s="1015" t="str">
        <f ca="1">IF($C1376="","",INDEX(NVLSX!$N$2:$N$6941,MATCH($C1376,NVLSX!$E$2:$E$6941,0)))</f>
        <v/>
      </c>
      <c r="Q1376" s="1016" t="str">
        <f ca="1">IF($R1376="","",IF(XKNVLSX!$X$1="",IF($P1376=$V$7,$P1376, IF(COUNTIFS($C$2:$C1375,$C1376,$E$2:$E1375,$E1376)&gt;=1,"",$P1376)),     IF(AND(IFERROR(SEARCH($R1376,XKNVLSX!$X$1,1),0)&gt;=1,$P1376=$V$7),$P1376, IF(OR($R1376&lt;&gt;IF(IFERROR(SEARCH($R1376,XKNVLSX!$X$1,1),0)&gt;=1,$R1376,XKNVLSX!$X$1),COUNTIFS($C$2:$C1375,$C1376,$E$2:$E1375,$E1376,$Q$2:$Q1375,$P1376)&gt;=1),"",$P1376))))</f>
        <v/>
      </c>
      <c r="R1376" s="1017" t="str">
        <f ca="1">IF($A1376="","",IFERROR(INDEX(TinhGia!$BF$10:$BF$81,MATCH($A1376,TinhGia!$B$10:$B$81,0)),""))</f>
        <v/>
      </c>
      <c r="S1376" s="1012" t="str">
        <f ca="1">IF($A1376="","",IF(OR(IFERROR(SEARCH($R1376,XKNVLSX!$X$1,1),0)&gt;=1,XKNVLSX!$X$1=""),$S$2,""))</f>
        <v/>
      </c>
      <c r="T1376" s="1018" t="str">
        <f ca="1">IF($C1376="","", IF(OR($P1376=$V$1,$P1376=$V$7,COUNTIFS($C$3:$C1376,$C1376,$E$3:$E1376,$E1376)&lt;=1),$P1376,""    ))</f>
        <v/>
      </c>
      <c r="U1376" s="1019" t="str">
        <f ca="1">IF(AND($P1376=$V$2,COUNTIFS($C$3:$C1376,$C1376,$E$3:$E1376,$E1376,$G$3:$G1376,$G1376)&lt;=1),$P1376,"")</f>
        <v/>
      </c>
    </row>
    <row r="1377" spans="1:21">
      <c r="A1377" s="991" t="str">
        <f ca="1">IFERROR(IF(COUNTIF($A$3:A1376,A1376)&lt; INDEX(TinhGia!$BH$10:$BH$81,MATCH($A1376,TinhGia!$B$10:$B$81,0)),$A1376,INDEX(TinhGia!$B$10:$B$81,MATCH($A1376,TinhGia!$B$10:$B$81,0)+1)),"")</f>
        <v/>
      </c>
      <c r="B1377" s="525" t="str">
        <f ca="1">IF(OR(A1377="",A1377=0),"",IF(COUNTIF($A$2:A1377,$A1377)=1,ROW(MauKoXoa!$C$108),$B1376+1))</f>
        <v/>
      </c>
      <c r="C1377" s="992" t="str">
        <f t="shared" ca="1" si="213"/>
        <v/>
      </c>
      <c r="D1377" s="993" t="str">
        <f t="shared" ca="1" si="214"/>
        <v/>
      </c>
      <c r="E1377" s="993" t="str">
        <f t="shared" ca="1" si="215"/>
        <v/>
      </c>
      <c r="F1377" s="992" t="str">
        <f t="shared" ca="1" si="223"/>
        <v/>
      </c>
      <c r="G1377" s="994">
        <f t="shared" ca="1" si="216"/>
        <v>0</v>
      </c>
      <c r="H1377" s="913">
        <f t="shared" ca="1" si="217"/>
        <v>0</v>
      </c>
      <c r="I1377" s="913">
        <f t="shared" ca="1" si="218"/>
        <v>0</v>
      </c>
      <c r="J1377" s="995">
        <f t="shared" ca="1" si="224"/>
        <v>0</v>
      </c>
      <c r="K1377" s="913">
        <f t="shared" ca="1" si="219"/>
        <v>0</v>
      </c>
      <c r="L1377" s="995">
        <f t="shared" ca="1" si="225"/>
        <v>0</v>
      </c>
      <c r="M1377" s="913">
        <f t="shared" ca="1" si="220"/>
        <v>0</v>
      </c>
      <c r="N1377" s="996">
        <f t="shared" ca="1" si="221"/>
        <v>0</v>
      </c>
      <c r="O1377" s="997">
        <f t="shared" ca="1" si="222"/>
        <v>0</v>
      </c>
      <c r="P1377" s="1015" t="str">
        <f ca="1">IF($C1377="","",INDEX(NVLSX!$N$2:$N$6941,MATCH($C1377,NVLSX!$E$2:$E$6941,0)))</f>
        <v/>
      </c>
      <c r="Q1377" s="1016" t="str">
        <f ca="1">IF($R1377="","",IF(XKNVLSX!$X$1="",IF($P1377=$V$7,$P1377, IF(COUNTIFS($C$2:$C1376,$C1377,$E$2:$E1376,$E1377)&gt;=1,"",$P1377)),     IF(AND(IFERROR(SEARCH($R1377,XKNVLSX!$X$1,1),0)&gt;=1,$P1377=$V$7),$P1377, IF(OR($R1377&lt;&gt;IF(IFERROR(SEARCH($R1377,XKNVLSX!$X$1,1),0)&gt;=1,$R1377,XKNVLSX!$X$1),COUNTIFS($C$2:$C1376,$C1377,$E$2:$E1376,$E1377,$Q$2:$Q1376,$P1377)&gt;=1),"",$P1377))))</f>
        <v/>
      </c>
      <c r="R1377" s="1017" t="str">
        <f ca="1">IF($A1377="","",IFERROR(INDEX(TinhGia!$BF$10:$BF$81,MATCH($A1377,TinhGia!$B$10:$B$81,0)),""))</f>
        <v/>
      </c>
      <c r="S1377" s="1012" t="str">
        <f ca="1">IF($A1377="","",IF(OR(IFERROR(SEARCH($R1377,XKNVLSX!$X$1,1),0)&gt;=1,XKNVLSX!$X$1=""),$S$2,""))</f>
        <v/>
      </c>
      <c r="T1377" s="1018" t="str">
        <f ca="1">IF($C1377="","", IF(OR($P1377=$V$1,$P1377=$V$7,COUNTIFS($C$3:$C1377,$C1377,$E$3:$E1377,$E1377)&lt;=1),$P1377,""    ))</f>
        <v/>
      </c>
      <c r="U1377" s="1019" t="str">
        <f ca="1">IF(AND($P1377=$V$2,COUNTIFS($C$3:$C1377,$C1377,$E$3:$E1377,$E1377,$G$3:$G1377,$G1377)&lt;=1),$P1377,"")</f>
        <v/>
      </c>
    </row>
    <row r="1378" spans="1:21">
      <c r="A1378" s="991" t="str">
        <f ca="1">IFERROR(IF(COUNTIF($A$3:A1377,A1377)&lt; INDEX(TinhGia!$BH$10:$BH$81,MATCH($A1377,TinhGia!$B$10:$B$81,0)),$A1377,INDEX(TinhGia!$B$10:$B$81,MATCH($A1377,TinhGia!$B$10:$B$81,0)+1)),"")</f>
        <v/>
      </c>
      <c r="B1378" s="525" t="str">
        <f ca="1">IF(OR(A1378="",A1378=0),"",IF(COUNTIF($A$2:A1378,$A1378)=1,ROW(MauKoXoa!$C$108),$B1377+1))</f>
        <v/>
      </c>
      <c r="C1378" s="992" t="str">
        <f t="shared" ca="1" si="213"/>
        <v/>
      </c>
      <c r="D1378" s="993" t="str">
        <f t="shared" ca="1" si="214"/>
        <v/>
      </c>
      <c r="E1378" s="993" t="str">
        <f t="shared" ca="1" si="215"/>
        <v/>
      </c>
      <c r="F1378" s="992" t="str">
        <f t="shared" ca="1" si="223"/>
        <v/>
      </c>
      <c r="G1378" s="994">
        <f t="shared" ca="1" si="216"/>
        <v>0</v>
      </c>
      <c r="H1378" s="913">
        <f t="shared" ca="1" si="217"/>
        <v>0</v>
      </c>
      <c r="I1378" s="913">
        <f t="shared" ca="1" si="218"/>
        <v>0</v>
      </c>
      <c r="J1378" s="995">
        <f t="shared" ca="1" si="224"/>
        <v>0</v>
      </c>
      <c r="K1378" s="913">
        <f t="shared" ca="1" si="219"/>
        <v>0</v>
      </c>
      <c r="L1378" s="995">
        <f t="shared" ca="1" si="225"/>
        <v>0</v>
      </c>
      <c r="M1378" s="913">
        <f t="shared" ca="1" si="220"/>
        <v>0</v>
      </c>
      <c r="N1378" s="996">
        <f t="shared" ca="1" si="221"/>
        <v>0</v>
      </c>
      <c r="O1378" s="997">
        <f t="shared" ca="1" si="222"/>
        <v>0</v>
      </c>
      <c r="P1378" s="1015" t="str">
        <f ca="1">IF($C1378="","",INDEX(NVLSX!$N$2:$N$6941,MATCH($C1378,NVLSX!$E$2:$E$6941,0)))</f>
        <v/>
      </c>
      <c r="Q1378" s="1016" t="str">
        <f ca="1">IF($R1378="","",IF(XKNVLSX!$X$1="",IF($P1378=$V$7,$P1378, IF(COUNTIFS($C$2:$C1377,$C1378,$E$2:$E1377,$E1378)&gt;=1,"",$P1378)),     IF(AND(IFERROR(SEARCH($R1378,XKNVLSX!$X$1,1),0)&gt;=1,$P1378=$V$7),$P1378, IF(OR($R1378&lt;&gt;IF(IFERROR(SEARCH($R1378,XKNVLSX!$X$1,1),0)&gt;=1,$R1378,XKNVLSX!$X$1),COUNTIFS($C$2:$C1377,$C1378,$E$2:$E1377,$E1378,$Q$2:$Q1377,$P1378)&gt;=1),"",$P1378))))</f>
        <v/>
      </c>
      <c r="R1378" s="1017" t="str">
        <f ca="1">IF($A1378="","",IFERROR(INDEX(TinhGia!$BF$10:$BF$81,MATCH($A1378,TinhGia!$B$10:$B$81,0)),""))</f>
        <v/>
      </c>
      <c r="S1378" s="1012" t="str">
        <f ca="1">IF($A1378="","",IF(OR(IFERROR(SEARCH($R1378,XKNVLSX!$X$1,1),0)&gt;=1,XKNVLSX!$X$1=""),$S$2,""))</f>
        <v/>
      </c>
      <c r="T1378" s="1018" t="str">
        <f ca="1">IF($C1378="","", IF(OR($P1378=$V$1,$P1378=$V$7,COUNTIFS($C$3:$C1378,$C1378,$E$3:$E1378,$E1378)&lt;=1),$P1378,""    ))</f>
        <v/>
      </c>
      <c r="U1378" s="1019" t="str">
        <f ca="1">IF(AND($P1378=$V$2,COUNTIFS($C$3:$C1378,$C1378,$E$3:$E1378,$E1378,$G$3:$G1378,$G1378)&lt;=1),$P1378,"")</f>
        <v/>
      </c>
    </row>
    <row r="1379" spans="1:21">
      <c r="A1379" s="991" t="str">
        <f ca="1">IFERROR(IF(COUNTIF($A$3:A1378,A1378)&lt; INDEX(TinhGia!$BH$10:$BH$81,MATCH($A1378,TinhGia!$B$10:$B$81,0)),$A1378,INDEX(TinhGia!$B$10:$B$81,MATCH($A1378,TinhGia!$B$10:$B$81,0)+1)),"")</f>
        <v/>
      </c>
      <c r="B1379" s="525" t="str">
        <f ca="1">IF(OR(A1379="",A1379=0),"",IF(COUNTIF($A$2:A1379,$A1379)=1,ROW(MauKoXoa!$C$108),$B1378+1))</f>
        <v/>
      </c>
      <c r="C1379" s="992" t="str">
        <f t="shared" ca="1" si="213"/>
        <v/>
      </c>
      <c r="D1379" s="993" t="str">
        <f t="shared" ca="1" si="214"/>
        <v/>
      </c>
      <c r="E1379" s="993" t="str">
        <f t="shared" ca="1" si="215"/>
        <v/>
      </c>
      <c r="F1379" s="992" t="str">
        <f t="shared" ca="1" si="223"/>
        <v/>
      </c>
      <c r="G1379" s="994">
        <f t="shared" ca="1" si="216"/>
        <v>0</v>
      </c>
      <c r="H1379" s="913">
        <f t="shared" ca="1" si="217"/>
        <v>0</v>
      </c>
      <c r="I1379" s="913">
        <f t="shared" ca="1" si="218"/>
        <v>0</v>
      </c>
      <c r="J1379" s="995">
        <f t="shared" ca="1" si="224"/>
        <v>0</v>
      </c>
      <c r="K1379" s="913">
        <f t="shared" ca="1" si="219"/>
        <v>0</v>
      </c>
      <c r="L1379" s="995">
        <f t="shared" ca="1" si="225"/>
        <v>0</v>
      </c>
      <c r="M1379" s="913">
        <f t="shared" ca="1" si="220"/>
        <v>0</v>
      </c>
      <c r="N1379" s="996">
        <f t="shared" ca="1" si="221"/>
        <v>0</v>
      </c>
      <c r="O1379" s="997">
        <f t="shared" ca="1" si="222"/>
        <v>0</v>
      </c>
      <c r="P1379" s="1015" t="str">
        <f ca="1">IF($C1379="","",INDEX(NVLSX!$N$2:$N$6941,MATCH($C1379,NVLSX!$E$2:$E$6941,0)))</f>
        <v/>
      </c>
      <c r="Q1379" s="1016" t="str">
        <f ca="1">IF($R1379="","",IF(XKNVLSX!$X$1="",IF($P1379=$V$7,$P1379, IF(COUNTIFS($C$2:$C1378,$C1379,$E$2:$E1378,$E1379)&gt;=1,"",$P1379)),     IF(AND(IFERROR(SEARCH($R1379,XKNVLSX!$X$1,1),0)&gt;=1,$P1379=$V$7),$P1379, IF(OR($R1379&lt;&gt;IF(IFERROR(SEARCH($R1379,XKNVLSX!$X$1,1),0)&gt;=1,$R1379,XKNVLSX!$X$1),COUNTIFS($C$2:$C1378,$C1379,$E$2:$E1378,$E1379,$Q$2:$Q1378,$P1379)&gt;=1),"",$P1379))))</f>
        <v/>
      </c>
      <c r="R1379" s="1017" t="str">
        <f ca="1">IF($A1379="","",IFERROR(INDEX(TinhGia!$BF$10:$BF$81,MATCH($A1379,TinhGia!$B$10:$B$81,0)),""))</f>
        <v/>
      </c>
      <c r="S1379" s="1012" t="str">
        <f ca="1">IF($A1379="","",IF(OR(IFERROR(SEARCH($R1379,XKNVLSX!$X$1,1),0)&gt;=1,XKNVLSX!$X$1=""),$S$2,""))</f>
        <v/>
      </c>
      <c r="T1379" s="1018" t="str">
        <f ca="1">IF($C1379="","", IF(OR($P1379=$V$1,$P1379=$V$7,COUNTIFS($C$3:$C1379,$C1379,$E$3:$E1379,$E1379)&lt;=1),$P1379,""    ))</f>
        <v/>
      </c>
      <c r="U1379" s="1019" t="str">
        <f ca="1">IF(AND($P1379=$V$2,COUNTIFS($C$3:$C1379,$C1379,$E$3:$E1379,$E1379,$G$3:$G1379,$G1379)&lt;=1),$P1379,"")</f>
        <v/>
      </c>
    </row>
    <row r="1380" spans="1:21">
      <c r="A1380" s="991" t="str">
        <f ca="1">IFERROR(IF(COUNTIF($A$3:A1379,A1379)&lt; INDEX(TinhGia!$BH$10:$BH$81,MATCH($A1379,TinhGia!$B$10:$B$81,0)),$A1379,INDEX(TinhGia!$B$10:$B$81,MATCH($A1379,TinhGia!$B$10:$B$81,0)+1)),"")</f>
        <v/>
      </c>
      <c r="B1380" s="525" t="str">
        <f ca="1">IF(OR(A1380="",A1380=0),"",IF(COUNTIF($A$2:A1380,$A1380)=1,ROW(MauKoXoa!$C$108),$B1379+1))</f>
        <v/>
      </c>
      <c r="C1380" s="992" t="str">
        <f t="shared" ca="1" si="213"/>
        <v/>
      </c>
      <c r="D1380" s="993" t="str">
        <f t="shared" ca="1" si="214"/>
        <v/>
      </c>
      <c r="E1380" s="993" t="str">
        <f t="shared" ca="1" si="215"/>
        <v/>
      </c>
      <c r="F1380" s="992" t="str">
        <f t="shared" ca="1" si="223"/>
        <v/>
      </c>
      <c r="G1380" s="994">
        <f t="shared" ca="1" si="216"/>
        <v>0</v>
      </c>
      <c r="H1380" s="913">
        <f t="shared" ca="1" si="217"/>
        <v>0</v>
      </c>
      <c r="I1380" s="913">
        <f t="shared" ca="1" si="218"/>
        <v>0</v>
      </c>
      <c r="J1380" s="995">
        <f t="shared" ca="1" si="224"/>
        <v>0</v>
      </c>
      <c r="K1380" s="913">
        <f t="shared" ca="1" si="219"/>
        <v>0</v>
      </c>
      <c r="L1380" s="995">
        <f t="shared" ca="1" si="225"/>
        <v>0</v>
      </c>
      <c r="M1380" s="913">
        <f t="shared" ca="1" si="220"/>
        <v>0</v>
      </c>
      <c r="N1380" s="996">
        <f t="shared" ca="1" si="221"/>
        <v>0</v>
      </c>
      <c r="O1380" s="997">
        <f t="shared" ca="1" si="222"/>
        <v>0</v>
      </c>
      <c r="P1380" s="1015" t="str">
        <f ca="1">IF($C1380="","",INDEX(NVLSX!$N$2:$N$6941,MATCH($C1380,NVLSX!$E$2:$E$6941,0)))</f>
        <v/>
      </c>
      <c r="Q1380" s="1016" t="str">
        <f ca="1">IF($R1380="","",IF(XKNVLSX!$X$1="",IF($P1380=$V$7,$P1380, IF(COUNTIFS($C$2:$C1379,$C1380,$E$2:$E1379,$E1380)&gt;=1,"",$P1380)),     IF(AND(IFERROR(SEARCH($R1380,XKNVLSX!$X$1,1),0)&gt;=1,$P1380=$V$7),$P1380, IF(OR($R1380&lt;&gt;IF(IFERROR(SEARCH($R1380,XKNVLSX!$X$1,1),0)&gt;=1,$R1380,XKNVLSX!$X$1),COUNTIFS($C$2:$C1379,$C1380,$E$2:$E1379,$E1380,$Q$2:$Q1379,$P1380)&gt;=1),"",$P1380))))</f>
        <v/>
      </c>
      <c r="R1380" s="1017" t="str">
        <f ca="1">IF($A1380="","",IFERROR(INDEX(TinhGia!$BF$10:$BF$81,MATCH($A1380,TinhGia!$B$10:$B$81,0)),""))</f>
        <v/>
      </c>
      <c r="S1380" s="1012" t="str">
        <f ca="1">IF($A1380="","",IF(OR(IFERROR(SEARCH($R1380,XKNVLSX!$X$1,1),0)&gt;=1,XKNVLSX!$X$1=""),$S$2,""))</f>
        <v/>
      </c>
      <c r="T1380" s="1018" t="str">
        <f ca="1">IF($C1380="","", IF(OR($P1380=$V$1,$P1380=$V$7,COUNTIFS($C$3:$C1380,$C1380,$E$3:$E1380,$E1380)&lt;=1),$P1380,""    ))</f>
        <v/>
      </c>
      <c r="U1380" s="1019" t="str">
        <f ca="1">IF(AND($P1380=$V$2,COUNTIFS($C$3:$C1380,$C1380,$E$3:$E1380,$E1380,$G$3:$G1380,$G1380)&lt;=1),$P1380,"")</f>
        <v/>
      </c>
    </row>
    <row r="1381" spans="1:21">
      <c r="A1381" s="991" t="str">
        <f ca="1">IFERROR(IF(COUNTIF($A$3:A1380,A1380)&lt; INDEX(TinhGia!$BH$10:$BH$81,MATCH($A1380,TinhGia!$B$10:$B$81,0)),$A1380,INDEX(TinhGia!$B$10:$B$81,MATCH($A1380,TinhGia!$B$10:$B$81,0)+1)),"")</f>
        <v/>
      </c>
      <c r="B1381" s="525" t="str">
        <f ca="1">IF(OR(A1381="",A1381=0),"",IF(COUNTIF($A$2:A1381,$A1381)=1,ROW(MauKoXoa!$C$108),$B1380+1))</f>
        <v/>
      </c>
      <c r="C1381" s="992" t="str">
        <f t="shared" ca="1" si="213"/>
        <v/>
      </c>
      <c r="D1381" s="993" t="str">
        <f t="shared" ca="1" si="214"/>
        <v/>
      </c>
      <c r="E1381" s="993" t="str">
        <f t="shared" ca="1" si="215"/>
        <v/>
      </c>
      <c r="F1381" s="992" t="str">
        <f t="shared" ca="1" si="223"/>
        <v/>
      </c>
      <c r="G1381" s="994">
        <f t="shared" ca="1" si="216"/>
        <v>0</v>
      </c>
      <c r="H1381" s="913">
        <f t="shared" ca="1" si="217"/>
        <v>0</v>
      </c>
      <c r="I1381" s="913">
        <f t="shared" ca="1" si="218"/>
        <v>0</v>
      </c>
      <c r="J1381" s="995">
        <f t="shared" ca="1" si="224"/>
        <v>0</v>
      </c>
      <c r="K1381" s="913">
        <f t="shared" ca="1" si="219"/>
        <v>0</v>
      </c>
      <c r="L1381" s="995">
        <f t="shared" ca="1" si="225"/>
        <v>0</v>
      </c>
      <c r="M1381" s="913">
        <f t="shared" ca="1" si="220"/>
        <v>0</v>
      </c>
      <c r="N1381" s="996">
        <f t="shared" ca="1" si="221"/>
        <v>0</v>
      </c>
      <c r="O1381" s="997">
        <f t="shared" ca="1" si="222"/>
        <v>0</v>
      </c>
      <c r="P1381" s="1015" t="str">
        <f ca="1">IF($C1381="","",INDEX(NVLSX!$N$2:$N$6941,MATCH($C1381,NVLSX!$E$2:$E$6941,0)))</f>
        <v/>
      </c>
      <c r="Q1381" s="1016" t="str">
        <f ca="1">IF($R1381="","",IF(XKNVLSX!$X$1="",IF($P1381=$V$7,$P1381, IF(COUNTIFS($C$2:$C1380,$C1381,$E$2:$E1380,$E1381)&gt;=1,"",$P1381)),     IF(AND(IFERROR(SEARCH($R1381,XKNVLSX!$X$1,1),0)&gt;=1,$P1381=$V$7),$P1381, IF(OR($R1381&lt;&gt;IF(IFERROR(SEARCH($R1381,XKNVLSX!$X$1,1),0)&gt;=1,$R1381,XKNVLSX!$X$1),COUNTIFS($C$2:$C1380,$C1381,$E$2:$E1380,$E1381,$Q$2:$Q1380,$P1381)&gt;=1),"",$P1381))))</f>
        <v/>
      </c>
      <c r="R1381" s="1017" t="str">
        <f ca="1">IF($A1381="","",IFERROR(INDEX(TinhGia!$BF$10:$BF$81,MATCH($A1381,TinhGia!$B$10:$B$81,0)),""))</f>
        <v/>
      </c>
      <c r="S1381" s="1012" t="str">
        <f ca="1">IF($A1381="","",IF(OR(IFERROR(SEARCH($R1381,XKNVLSX!$X$1,1),0)&gt;=1,XKNVLSX!$X$1=""),$S$2,""))</f>
        <v/>
      </c>
      <c r="T1381" s="1018" t="str">
        <f ca="1">IF($C1381="","", IF(OR($P1381=$V$1,$P1381=$V$7,COUNTIFS($C$3:$C1381,$C1381,$E$3:$E1381,$E1381)&lt;=1),$P1381,""    ))</f>
        <v/>
      </c>
      <c r="U1381" s="1019" t="str">
        <f ca="1">IF(AND($P1381=$V$2,COUNTIFS($C$3:$C1381,$C1381,$E$3:$E1381,$E1381,$G$3:$G1381,$G1381)&lt;=1),$P1381,"")</f>
        <v/>
      </c>
    </row>
    <row r="1382" spans="1:21">
      <c r="A1382" s="991" t="str">
        <f ca="1">IFERROR(IF(COUNTIF($A$3:A1381,A1381)&lt; INDEX(TinhGia!$BH$10:$BH$81,MATCH($A1381,TinhGia!$B$10:$B$81,0)),$A1381,INDEX(TinhGia!$B$10:$B$81,MATCH($A1381,TinhGia!$B$10:$B$81,0)+1)),"")</f>
        <v/>
      </c>
      <c r="B1382" s="525" t="str">
        <f ca="1">IF(OR(A1382="",A1382=0),"",IF(COUNTIF($A$2:A1382,$A1382)=1,ROW(MauKoXoa!$C$108),$B1381+1))</f>
        <v/>
      </c>
      <c r="C1382" s="992" t="str">
        <f t="shared" ca="1" si="213"/>
        <v/>
      </c>
      <c r="D1382" s="993" t="str">
        <f t="shared" ca="1" si="214"/>
        <v/>
      </c>
      <c r="E1382" s="993" t="str">
        <f t="shared" ca="1" si="215"/>
        <v/>
      </c>
      <c r="F1382" s="992" t="str">
        <f t="shared" ca="1" si="223"/>
        <v/>
      </c>
      <c r="G1382" s="994">
        <f t="shared" ca="1" si="216"/>
        <v>0</v>
      </c>
      <c r="H1382" s="913">
        <f t="shared" ca="1" si="217"/>
        <v>0</v>
      </c>
      <c r="I1382" s="913">
        <f t="shared" ca="1" si="218"/>
        <v>0</v>
      </c>
      <c r="J1382" s="995">
        <f t="shared" ca="1" si="224"/>
        <v>0</v>
      </c>
      <c r="K1382" s="913">
        <f t="shared" ca="1" si="219"/>
        <v>0</v>
      </c>
      <c r="L1382" s="995">
        <f t="shared" ca="1" si="225"/>
        <v>0</v>
      </c>
      <c r="M1382" s="913">
        <f t="shared" ca="1" si="220"/>
        <v>0</v>
      </c>
      <c r="N1382" s="996">
        <f t="shared" ca="1" si="221"/>
        <v>0</v>
      </c>
      <c r="O1382" s="997">
        <f t="shared" ca="1" si="222"/>
        <v>0</v>
      </c>
      <c r="P1382" s="1015" t="str">
        <f ca="1">IF($C1382="","",INDEX(NVLSX!$N$2:$N$6941,MATCH($C1382,NVLSX!$E$2:$E$6941,0)))</f>
        <v/>
      </c>
      <c r="Q1382" s="1016" t="str">
        <f ca="1">IF($R1382="","",IF(XKNVLSX!$X$1="",IF($P1382=$V$7,$P1382, IF(COUNTIFS($C$2:$C1381,$C1382,$E$2:$E1381,$E1382)&gt;=1,"",$P1382)),     IF(AND(IFERROR(SEARCH($R1382,XKNVLSX!$X$1,1),0)&gt;=1,$P1382=$V$7),$P1382, IF(OR($R1382&lt;&gt;IF(IFERROR(SEARCH($R1382,XKNVLSX!$X$1,1),0)&gt;=1,$R1382,XKNVLSX!$X$1),COUNTIFS($C$2:$C1381,$C1382,$E$2:$E1381,$E1382,$Q$2:$Q1381,$P1382)&gt;=1),"",$P1382))))</f>
        <v/>
      </c>
      <c r="R1382" s="1017" t="str">
        <f ca="1">IF($A1382="","",IFERROR(INDEX(TinhGia!$BF$10:$BF$81,MATCH($A1382,TinhGia!$B$10:$B$81,0)),""))</f>
        <v/>
      </c>
      <c r="S1382" s="1012" t="str">
        <f ca="1">IF($A1382="","",IF(OR(IFERROR(SEARCH($R1382,XKNVLSX!$X$1,1),0)&gt;=1,XKNVLSX!$X$1=""),$S$2,""))</f>
        <v/>
      </c>
      <c r="T1382" s="1018" t="str">
        <f ca="1">IF($C1382="","", IF(OR($P1382=$V$1,$P1382=$V$7,COUNTIFS($C$3:$C1382,$C1382,$E$3:$E1382,$E1382)&lt;=1),$P1382,""    ))</f>
        <v/>
      </c>
      <c r="U1382" s="1019" t="str">
        <f ca="1">IF(AND($P1382=$V$2,COUNTIFS($C$3:$C1382,$C1382,$E$3:$E1382,$E1382,$G$3:$G1382,$G1382)&lt;=1),$P1382,"")</f>
        <v/>
      </c>
    </row>
    <row r="1383" spans="1:21">
      <c r="A1383" s="991" t="str">
        <f ca="1">IFERROR(IF(COUNTIF($A$3:A1382,A1382)&lt; INDEX(TinhGia!$BH$10:$BH$81,MATCH($A1382,TinhGia!$B$10:$B$81,0)),$A1382,INDEX(TinhGia!$B$10:$B$81,MATCH($A1382,TinhGia!$B$10:$B$81,0)+1)),"")</f>
        <v/>
      </c>
      <c r="B1383" s="525" t="str">
        <f ca="1">IF(OR(A1383="",A1383=0),"",IF(COUNTIF($A$2:A1383,$A1383)=1,ROW(MauKoXoa!$C$108),$B1382+1))</f>
        <v/>
      </c>
      <c r="C1383" s="992" t="str">
        <f t="shared" ca="1" si="213"/>
        <v/>
      </c>
      <c r="D1383" s="993" t="str">
        <f t="shared" ca="1" si="214"/>
        <v/>
      </c>
      <c r="E1383" s="993" t="str">
        <f t="shared" ca="1" si="215"/>
        <v/>
      </c>
      <c r="F1383" s="992" t="str">
        <f t="shared" ca="1" si="223"/>
        <v/>
      </c>
      <c r="G1383" s="994">
        <f t="shared" ca="1" si="216"/>
        <v>0</v>
      </c>
      <c r="H1383" s="913">
        <f t="shared" ca="1" si="217"/>
        <v>0</v>
      </c>
      <c r="I1383" s="913">
        <f t="shared" ca="1" si="218"/>
        <v>0</v>
      </c>
      <c r="J1383" s="995">
        <f t="shared" ca="1" si="224"/>
        <v>0</v>
      </c>
      <c r="K1383" s="913">
        <f t="shared" ca="1" si="219"/>
        <v>0</v>
      </c>
      <c r="L1383" s="995">
        <f t="shared" ca="1" si="225"/>
        <v>0</v>
      </c>
      <c r="M1383" s="913">
        <f t="shared" ca="1" si="220"/>
        <v>0</v>
      </c>
      <c r="N1383" s="996">
        <f t="shared" ca="1" si="221"/>
        <v>0</v>
      </c>
      <c r="O1383" s="997">
        <f t="shared" ca="1" si="222"/>
        <v>0</v>
      </c>
      <c r="P1383" s="1015" t="str">
        <f ca="1">IF($C1383="","",INDEX(NVLSX!$N$2:$N$6941,MATCH($C1383,NVLSX!$E$2:$E$6941,0)))</f>
        <v/>
      </c>
      <c r="Q1383" s="1016" t="str">
        <f ca="1">IF($R1383="","",IF(XKNVLSX!$X$1="",IF($P1383=$V$7,$P1383, IF(COUNTIFS($C$2:$C1382,$C1383,$E$2:$E1382,$E1383)&gt;=1,"",$P1383)),     IF(AND(IFERROR(SEARCH($R1383,XKNVLSX!$X$1,1),0)&gt;=1,$P1383=$V$7),$P1383, IF(OR($R1383&lt;&gt;IF(IFERROR(SEARCH($R1383,XKNVLSX!$X$1,1),0)&gt;=1,$R1383,XKNVLSX!$X$1),COUNTIFS($C$2:$C1382,$C1383,$E$2:$E1382,$E1383,$Q$2:$Q1382,$P1383)&gt;=1),"",$P1383))))</f>
        <v/>
      </c>
      <c r="R1383" s="1017" t="str">
        <f ca="1">IF($A1383="","",IFERROR(INDEX(TinhGia!$BF$10:$BF$81,MATCH($A1383,TinhGia!$B$10:$B$81,0)),""))</f>
        <v/>
      </c>
      <c r="S1383" s="1012" t="str">
        <f ca="1">IF($A1383="","",IF(OR(IFERROR(SEARCH($R1383,XKNVLSX!$X$1,1),0)&gt;=1,XKNVLSX!$X$1=""),$S$2,""))</f>
        <v/>
      </c>
      <c r="T1383" s="1018" t="str">
        <f ca="1">IF($C1383="","", IF(OR($P1383=$V$1,$P1383=$V$7,COUNTIFS($C$3:$C1383,$C1383,$E$3:$E1383,$E1383)&lt;=1),$P1383,""    ))</f>
        <v/>
      </c>
      <c r="U1383" s="1019" t="str">
        <f ca="1">IF(AND($P1383=$V$2,COUNTIFS($C$3:$C1383,$C1383,$E$3:$E1383,$E1383,$G$3:$G1383,$G1383)&lt;=1),$P1383,"")</f>
        <v/>
      </c>
    </row>
    <row r="1384" spans="1:21">
      <c r="A1384" s="991" t="str">
        <f ca="1">IFERROR(IF(COUNTIF($A$3:A1383,A1383)&lt; INDEX(TinhGia!$BH$10:$BH$81,MATCH($A1383,TinhGia!$B$10:$B$81,0)),$A1383,INDEX(TinhGia!$B$10:$B$81,MATCH($A1383,TinhGia!$B$10:$B$81,0)+1)),"")</f>
        <v/>
      </c>
      <c r="B1384" s="525" t="str">
        <f ca="1">IF(OR(A1384="",A1384=0),"",IF(COUNTIF($A$2:A1384,$A1384)=1,ROW(MauKoXoa!$C$108),$B1383+1))</f>
        <v/>
      </c>
      <c r="C1384" s="992" t="str">
        <f t="shared" ca="1" si="213"/>
        <v/>
      </c>
      <c r="D1384" s="993" t="str">
        <f t="shared" ca="1" si="214"/>
        <v/>
      </c>
      <c r="E1384" s="993" t="str">
        <f t="shared" ca="1" si="215"/>
        <v/>
      </c>
      <c r="F1384" s="992" t="str">
        <f t="shared" ca="1" si="223"/>
        <v/>
      </c>
      <c r="G1384" s="994">
        <f t="shared" ca="1" si="216"/>
        <v>0</v>
      </c>
      <c r="H1384" s="913">
        <f t="shared" ca="1" si="217"/>
        <v>0</v>
      </c>
      <c r="I1384" s="913">
        <f t="shared" ca="1" si="218"/>
        <v>0</v>
      </c>
      <c r="J1384" s="995">
        <f t="shared" ca="1" si="224"/>
        <v>0</v>
      </c>
      <c r="K1384" s="913">
        <f t="shared" ca="1" si="219"/>
        <v>0</v>
      </c>
      <c r="L1384" s="995">
        <f t="shared" ca="1" si="225"/>
        <v>0</v>
      </c>
      <c r="M1384" s="913">
        <f t="shared" ca="1" si="220"/>
        <v>0</v>
      </c>
      <c r="N1384" s="996">
        <f t="shared" ca="1" si="221"/>
        <v>0</v>
      </c>
      <c r="O1384" s="997">
        <f t="shared" ca="1" si="222"/>
        <v>0</v>
      </c>
      <c r="P1384" s="1015" t="str">
        <f ca="1">IF($C1384="","",INDEX(NVLSX!$N$2:$N$6941,MATCH($C1384,NVLSX!$E$2:$E$6941,0)))</f>
        <v/>
      </c>
      <c r="Q1384" s="1016" t="str">
        <f ca="1">IF($R1384="","",IF(XKNVLSX!$X$1="",IF($P1384=$V$7,$P1384, IF(COUNTIFS($C$2:$C1383,$C1384,$E$2:$E1383,$E1384)&gt;=1,"",$P1384)),     IF(AND(IFERROR(SEARCH($R1384,XKNVLSX!$X$1,1),0)&gt;=1,$P1384=$V$7),$P1384, IF(OR($R1384&lt;&gt;IF(IFERROR(SEARCH($R1384,XKNVLSX!$X$1,1),0)&gt;=1,$R1384,XKNVLSX!$X$1),COUNTIFS($C$2:$C1383,$C1384,$E$2:$E1383,$E1384,$Q$2:$Q1383,$P1384)&gt;=1),"",$P1384))))</f>
        <v/>
      </c>
      <c r="R1384" s="1017" t="str">
        <f ca="1">IF($A1384="","",IFERROR(INDEX(TinhGia!$BF$10:$BF$81,MATCH($A1384,TinhGia!$B$10:$B$81,0)),""))</f>
        <v/>
      </c>
      <c r="S1384" s="1012" t="str">
        <f ca="1">IF($A1384="","",IF(OR(IFERROR(SEARCH($R1384,XKNVLSX!$X$1,1),0)&gt;=1,XKNVLSX!$X$1=""),$S$2,""))</f>
        <v/>
      </c>
      <c r="T1384" s="1018" t="str">
        <f ca="1">IF($C1384="","", IF(OR($P1384=$V$1,$P1384=$V$7,COUNTIFS($C$3:$C1384,$C1384,$E$3:$E1384,$E1384)&lt;=1),$P1384,""    ))</f>
        <v/>
      </c>
      <c r="U1384" s="1019" t="str">
        <f ca="1">IF(AND($P1384=$V$2,COUNTIFS($C$3:$C1384,$C1384,$E$3:$E1384,$E1384,$G$3:$G1384,$G1384)&lt;=1),$P1384,"")</f>
        <v/>
      </c>
    </row>
    <row r="1385" spans="1:21">
      <c r="A1385" s="991" t="str">
        <f ca="1">IFERROR(IF(COUNTIF($A$3:A1384,A1384)&lt; INDEX(TinhGia!$BH$10:$BH$81,MATCH($A1384,TinhGia!$B$10:$B$81,0)),$A1384,INDEX(TinhGia!$B$10:$B$81,MATCH($A1384,TinhGia!$B$10:$B$81,0)+1)),"")</f>
        <v/>
      </c>
      <c r="B1385" s="525" t="str">
        <f ca="1">IF(OR(A1385="",A1385=0),"",IF(COUNTIF($A$2:A1385,$A1385)=1,ROW(MauKoXoa!$C$108),$B1384+1))</f>
        <v/>
      </c>
      <c r="C1385" s="992" t="str">
        <f t="shared" ca="1" si="213"/>
        <v/>
      </c>
      <c r="D1385" s="993" t="str">
        <f t="shared" ca="1" si="214"/>
        <v/>
      </c>
      <c r="E1385" s="993" t="str">
        <f t="shared" ca="1" si="215"/>
        <v/>
      </c>
      <c r="F1385" s="992" t="str">
        <f t="shared" ca="1" si="223"/>
        <v/>
      </c>
      <c r="G1385" s="994">
        <f t="shared" ca="1" si="216"/>
        <v>0</v>
      </c>
      <c r="H1385" s="913">
        <f t="shared" ca="1" si="217"/>
        <v>0</v>
      </c>
      <c r="I1385" s="913">
        <f t="shared" ca="1" si="218"/>
        <v>0</v>
      </c>
      <c r="J1385" s="995">
        <f t="shared" ca="1" si="224"/>
        <v>0</v>
      </c>
      <c r="K1385" s="913">
        <f t="shared" ca="1" si="219"/>
        <v>0</v>
      </c>
      <c r="L1385" s="995">
        <f t="shared" ca="1" si="225"/>
        <v>0</v>
      </c>
      <c r="M1385" s="913">
        <f t="shared" ca="1" si="220"/>
        <v>0</v>
      </c>
      <c r="N1385" s="996">
        <f t="shared" ca="1" si="221"/>
        <v>0</v>
      </c>
      <c r="O1385" s="997">
        <f t="shared" ca="1" si="222"/>
        <v>0</v>
      </c>
      <c r="P1385" s="1015" t="str">
        <f ca="1">IF($C1385="","",INDEX(NVLSX!$N$2:$N$6941,MATCH($C1385,NVLSX!$E$2:$E$6941,0)))</f>
        <v/>
      </c>
      <c r="Q1385" s="1016" t="str">
        <f ca="1">IF($R1385="","",IF(XKNVLSX!$X$1="",IF($P1385=$V$7,$P1385, IF(COUNTIFS($C$2:$C1384,$C1385,$E$2:$E1384,$E1385)&gt;=1,"",$P1385)),     IF(AND(IFERROR(SEARCH($R1385,XKNVLSX!$X$1,1),0)&gt;=1,$P1385=$V$7),$P1385, IF(OR($R1385&lt;&gt;IF(IFERROR(SEARCH($R1385,XKNVLSX!$X$1,1),0)&gt;=1,$R1385,XKNVLSX!$X$1),COUNTIFS($C$2:$C1384,$C1385,$E$2:$E1384,$E1385,$Q$2:$Q1384,$P1385)&gt;=1),"",$P1385))))</f>
        <v/>
      </c>
      <c r="R1385" s="1017" t="str">
        <f ca="1">IF($A1385="","",IFERROR(INDEX(TinhGia!$BF$10:$BF$81,MATCH($A1385,TinhGia!$B$10:$B$81,0)),""))</f>
        <v/>
      </c>
      <c r="S1385" s="1012" t="str">
        <f ca="1">IF($A1385="","",IF(OR(IFERROR(SEARCH($R1385,XKNVLSX!$X$1,1),0)&gt;=1,XKNVLSX!$X$1=""),$S$2,""))</f>
        <v/>
      </c>
      <c r="T1385" s="1018" t="str">
        <f ca="1">IF($C1385="","", IF(OR($P1385=$V$1,$P1385=$V$7,COUNTIFS($C$3:$C1385,$C1385,$E$3:$E1385,$E1385)&lt;=1),$P1385,""    ))</f>
        <v/>
      </c>
      <c r="U1385" s="1019" t="str">
        <f ca="1">IF(AND($P1385=$V$2,COUNTIFS($C$3:$C1385,$C1385,$E$3:$E1385,$E1385,$G$3:$G1385,$G1385)&lt;=1),$P1385,"")</f>
        <v/>
      </c>
    </row>
    <row r="1386" spans="1:21">
      <c r="A1386" s="991" t="str">
        <f ca="1">IFERROR(IF(COUNTIF($A$3:A1385,A1385)&lt; INDEX(TinhGia!$BH$10:$BH$81,MATCH($A1385,TinhGia!$B$10:$B$81,0)),$A1385,INDEX(TinhGia!$B$10:$B$81,MATCH($A1385,TinhGia!$B$10:$B$81,0)+1)),"")</f>
        <v/>
      </c>
      <c r="B1386" s="525" t="str">
        <f ca="1">IF(OR(A1386="",A1386=0),"",IF(COUNTIF($A$2:A1386,$A1386)=1,ROW(MauKoXoa!$C$108),$B1385+1))</f>
        <v/>
      </c>
      <c r="C1386" s="992" t="str">
        <f t="shared" ca="1" si="213"/>
        <v/>
      </c>
      <c r="D1386" s="993" t="str">
        <f t="shared" ca="1" si="214"/>
        <v/>
      </c>
      <c r="E1386" s="993" t="str">
        <f t="shared" ca="1" si="215"/>
        <v/>
      </c>
      <c r="F1386" s="992" t="str">
        <f t="shared" ca="1" si="223"/>
        <v/>
      </c>
      <c r="G1386" s="994">
        <f t="shared" ca="1" si="216"/>
        <v>0</v>
      </c>
      <c r="H1386" s="913">
        <f t="shared" ca="1" si="217"/>
        <v>0</v>
      </c>
      <c r="I1386" s="913">
        <f t="shared" ca="1" si="218"/>
        <v>0</v>
      </c>
      <c r="J1386" s="995">
        <f t="shared" ca="1" si="224"/>
        <v>0</v>
      </c>
      <c r="K1386" s="913">
        <f t="shared" ca="1" si="219"/>
        <v>0</v>
      </c>
      <c r="L1386" s="995">
        <f t="shared" ca="1" si="225"/>
        <v>0</v>
      </c>
      <c r="M1386" s="913">
        <f t="shared" ca="1" si="220"/>
        <v>0</v>
      </c>
      <c r="N1386" s="996">
        <f t="shared" ca="1" si="221"/>
        <v>0</v>
      </c>
      <c r="O1386" s="997">
        <f t="shared" ca="1" si="222"/>
        <v>0</v>
      </c>
      <c r="P1386" s="1015" t="str">
        <f ca="1">IF($C1386="","",INDEX(NVLSX!$N$2:$N$6941,MATCH($C1386,NVLSX!$E$2:$E$6941,0)))</f>
        <v/>
      </c>
      <c r="Q1386" s="1016" t="str">
        <f ca="1">IF($R1386="","",IF(XKNVLSX!$X$1="",IF($P1386=$V$7,$P1386, IF(COUNTIFS($C$2:$C1385,$C1386,$E$2:$E1385,$E1386)&gt;=1,"",$P1386)),     IF(AND(IFERROR(SEARCH($R1386,XKNVLSX!$X$1,1),0)&gt;=1,$P1386=$V$7),$P1386, IF(OR($R1386&lt;&gt;IF(IFERROR(SEARCH($R1386,XKNVLSX!$X$1,1),0)&gt;=1,$R1386,XKNVLSX!$X$1),COUNTIFS($C$2:$C1385,$C1386,$E$2:$E1385,$E1386,$Q$2:$Q1385,$P1386)&gt;=1),"",$P1386))))</f>
        <v/>
      </c>
      <c r="R1386" s="1017" t="str">
        <f ca="1">IF($A1386="","",IFERROR(INDEX(TinhGia!$BF$10:$BF$81,MATCH($A1386,TinhGia!$B$10:$B$81,0)),""))</f>
        <v/>
      </c>
      <c r="S1386" s="1012" t="str">
        <f ca="1">IF($A1386="","",IF(OR(IFERROR(SEARCH($R1386,XKNVLSX!$X$1,1),0)&gt;=1,XKNVLSX!$X$1=""),$S$2,""))</f>
        <v/>
      </c>
      <c r="T1386" s="1018" t="str">
        <f ca="1">IF($C1386="","", IF(OR($P1386=$V$1,$P1386=$V$7,COUNTIFS($C$3:$C1386,$C1386,$E$3:$E1386,$E1386)&lt;=1),$P1386,""    ))</f>
        <v/>
      </c>
      <c r="U1386" s="1019" t="str">
        <f ca="1">IF(AND($P1386=$V$2,COUNTIFS($C$3:$C1386,$C1386,$E$3:$E1386,$E1386,$G$3:$G1386,$G1386)&lt;=1),$P1386,"")</f>
        <v/>
      </c>
    </row>
    <row r="1387" spans="1:21">
      <c r="A1387" s="991" t="str">
        <f ca="1">IFERROR(IF(COUNTIF($A$3:A1386,A1386)&lt; INDEX(TinhGia!$BH$10:$BH$81,MATCH($A1386,TinhGia!$B$10:$B$81,0)),$A1386,INDEX(TinhGia!$B$10:$B$81,MATCH($A1386,TinhGia!$B$10:$B$81,0)+1)),"")</f>
        <v/>
      </c>
      <c r="B1387" s="525" t="str">
        <f ca="1">IF(OR(A1387="",A1387=0),"",IF(COUNTIF($A$2:A1387,$A1387)=1,ROW(MauKoXoa!$C$108),$B1386+1))</f>
        <v/>
      </c>
      <c r="C1387" s="992" t="str">
        <f t="shared" ca="1" si="213"/>
        <v/>
      </c>
      <c r="D1387" s="993" t="str">
        <f t="shared" ca="1" si="214"/>
        <v/>
      </c>
      <c r="E1387" s="993" t="str">
        <f t="shared" ca="1" si="215"/>
        <v/>
      </c>
      <c r="F1387" s="992" t="str">
        <f t="shared" ca="1" si="223"/>
        <v/>
      </c>
      <c r="G1387" s="994">
        <f t="shared" ca="1" si="216"/>
        <v>0</v>
      </c>
      <c r="H1387" s="913">
        <f t="shared" ca="1" si="217"/>
        <v>0</v>
      </c>
      <c r="I1387" s="913">
        <f t="shared" ca="1" si="218"/>
        <v>0</v>
      </c>
      <c r="J1387" s="995">
        <f t="shared" ca="1" si="224"/>
        <v>0</v>
      </c>
      <c r="K1387" s="913">
        <f t="shared" ca="1" si="219"/>
        <v>0</v>
      </c>
      <c r="L1387" s="995">
        <f t="shared" ca="1" si="225"/>
        <v>0</v>
      </c>
      <c r="M1387" s="913">
        <f t="shared" ca="1" si="220"/>
        <v>0</v>
      </c>
      <c r="N1387" s="996">
        <f t="shared" ca="1" si="221"/>
        <v>0</v>
      </c>
      <c r="O1387" s="997">
        <f t="shared" ca="1" si="222"/>
        <v>0</v>
      </c>
      <c r="P1387" s="1015" t="str">
        <f ca="1">IF($C1387="","",INDEX(NVLSX!$N$2:$N$6941,MATCH($C1387,NVLSX!$E$2:$E$6941,0)))</f>
        <v/>
      </c>
      <c r="Q1387" s="1016" t="str">
        <f ca="1">IF($R1387="","",IF(XKNVLSX!$X$1="",IF($P1387=$V$7,$P1387, IF(COUNTIFS($C$2:$C1386,$C1387,$E$2:$E1386,$E1387)&gt;=1,"",$P1387)),     IF(AND(IFERROR(SEARCH($R1387,XKNVLSX!$X$1,1),0)&gt;=1,$P1387=$V$7),$P1387, IF(OR($R1387&lt;&gt;IF(IFERROR(SEARCH($R1387,XKNVLSX!$X$1,1),0)&gt;=1,$R1387,XKNVLSX!$X$1),COUNTIFS($C$2:$C1386,$C1387,$E$2:$E1386,$E1387,$Q$2:$Q1386,$P1387)&gt;=1),"",$P1387))))</f>
        <v/>
      </c>
      <c r="R1387" s="1017" t="str">
        <f ca="1">IF($A1387="","",IFERROR(INDEX(TinhGia!$BF$10:$BF$81,MATCH($A1387,TinhGia!$B$10:$B$81,0)),""))</f>
        <v/>
      </c>
      <c r="S1387" s="1012" t="str">
        <f ca="1">IF($A1387="","",IF(OR(IFERROR(SEARCH($R1387,XKNVLSX!$X$1,1),0)&gt;=1,XKNVLSX!$X$1=""),$S$2,""))</f>
        <v/>
      </c>
      <c r="T1387" s="1018" t="str">
        <f ca="1">IF($C1387="","", IF(OR($P1387=$V$1,$P1387=$V$7,COUNTIFS($C$3:$C1387,$C1387,$E$3:$E1387,$E1387)&lt;=1),$P1387,""    ))</f>
        <v/>
      </c>
      <c r="U1387" s="1019" t="str">
        <f ca="1">IF(AND($P1387=$V$2,COUNTIFS($C$3:$C1387,$C1387,$E$3:$E1387,$E1387,$G$3:$G1387,$G1387)&lt;=1),$P1387,"")</f>
        <v/>
      </c>
    </row>
    <row r="1388" spans="1:21">
      <c r="A1388" s="991" t="str">
        <f ca="1">IFERROR(IF(COUNTIF($A$3:A1387,A1387)&lt; INDEX(TinhGia!$BH$10:$BH$81,MATCH($A1387,TinhGia!$B$10:$B$81,0)),$A1387,INDEX(TinhGia!$B$10:$B$81,MATCH($A1387,TinhGia!$B$10:$B$81,0)+1)),"")</f>
        <v/>
      </c>
      <c r="B1388" s="525" t="str">
        <f ca="1">IF(OR(A1388="",A1388=0),"",IF(COUNTIF($A$2:A1388,$A1388)=1,ROW(MauKoXoa!$C$108),$B1387+1))</f>
        <v/>
      </c>
      <c r="C1388" s="992" t="str">
        <f t="shared" ca="1" si="213"/>
        <v/>
      </c>
      <c r="D1388" s="993" t="str">
        <f t="shared" ca="1" si="214"/>
        <v/>
      </c>
      <c r="E1388" s="993" t="str">
        <f t="shared" ca="1" si="215"/>
        <v/>
      </c>
      <c r="F1388" s="992" t="str">
        <f t="shared" ca="1" si="223"/>
        <v/>
      </c>
      <c r="G1388" s="994">
        <f t="shared" ca="1" si="216"/>
        <v>0</v>
      </c>
      <c r="H1388" s="913">
        <f t="shared" ca="1" si="217"/>
        <v>0</v>
      </c>
      <c r="I1388" s="913">
        <f t="shared" ca="1" si="218"/>
        <v>0</v>
      </c>
      <c r="J1388" s="995">
        <f t="shared" ca="1" si="224"/>
        <v>0</v>
      </c>
      <c r="K1388" s="913">
        <f t="shared" ca="1" si="219"/>
        <v>0</v>
      </c>
      <c r="L1388" s="995">
        <f t="shared" ca="1" si="225"/>
        <v>0</v>
      </c>
      <c r="M1388" s="913">
        <f t="shared" ca="1" si="220"/>
        <v>0</v>
      </c>
      <c r="N1388" s="996">
        <f t="shared" ca="1" si="221"/>
        <v>0</v>
      </c>
      <c r="O1388" s="997">
        <f t="shared" ca="1" si="222"/>
        <v>0</v>
      </c>
      <c r="P1388" s="1015" t="str">
        <f ca="1">IF($C1388="","",INDEX(NVLSX!$N$2:$N$6941,MATCH($C1388,NVLSX!$E$2:$E$6941,0)))</f>
        <v/>
      </c>
      <c r="Q1388" s="1016" t="str">
        <f ca="1">IF($R1388="","",IF(XKNVLSX!$X$1="",IF($P1388=$V$7,$P1388, IF(COUNTIFS($C$2:$C1387,$C1388,$E$2:$E1387,$E1388)&gt;=1,"",$P1388)),     IF(AND(IFERROR(SEARCH($R1388,XKNVLSX!$X$1,1),0)&gt;=1,$P1388=$V$7),$P1388, IF(OR($R1388&lt;&gt;IF(IFERROR(SEARCH($R1388,XKNVLSX!$X$1,1),0)&gt;=1,$R1388,XKNVLSX!$X$1),COUNTIFS($C$2:$C1387,$C1388,$E$2:$E1387,$E1388,$Q$2:$Q1387,$P1388)&gt;=1),"",$P1388))))</f>
        <v/>
      </c>
      <c r="R1388" s="1017" t="str">
        <f ca="1">IF($A1388="","",IFERROR(INDEX(TinhGia!$BF$10:$BF$81,MATCH($A1388,TinhGia!$B$10:$B$81,0)),""))</f>
        <v/>
      </c>
      <c r="S1388" s="1012" t="str">
        <f ca="1">IF($A1388="","",IF(OR(IFERROR(SEARCH($R1388,XKNVLSX!$X$1,1),0)&gt;=1,XKNVLSX!$X$1=""),$S$2,""))</f>
        <v/>
      </c>
      <c r="T1388" s="1018" t="str">
        <f ca="1">IF($C1388="","", IF(OR($P1388=$V$1,$P1388=$V$7,COUNTIFS($C$3:$C1388,$C1388,$E$3:$E1388,$E1388)&lt;=1),$P1388,""    ))</f>
        <v/>
      </c>
      <c r="U1388" s="1019" t="str">
        <f ca="1">IF(AND($P1388=$V$2,COUNTIFS($C$3:$C1388,$C1388,$E$3:$E1388,$E1388,$G$3:$G1388,$G1388)&lt;=1),$P1388,"")</f>
        <v/>
      </c>
    </row>
    <row r="1389" spans="1:21">
      <c r="A1389" s="991" t="str">
        <f ca="1">IFERROR(IF(COUNTIF($A$3:A1388,A1388)&lt; INDEX(TinhGia!$BH$10:$BH$81,MATCH($A1388,TinhGia!$B$10:$B$81,0)),$A1388,INDEX(TinhGia!$B$10:$B$81,MATCH($A1388,TinhGia!$B$10:$B$81,0)+1)),"")</f>
        <v/>
      </c>
      <c r="B1389" s="525" t="str">
        <f ca="1">IF(OR(A1389="",A1389=0),"",IF(COUNTIF($A$2:A1389,$A1389)=1,ROW(MauKoXoa!$C$108),$B1388+1))</f>
        <v/>
      </c>
      <c r="C1389" s="992" t="str">
        <f t="shared" ca="1" si="213"/>
        <v/>
      </c>
      <c r="D1389" s="993" t="str">
        <f t="shared" ca="1" si="214"/>
        <v/>
      </c>
      <c r="E1389" s="993" t="str">
        <f t="shared" ca="1" si="215"/>
        <v/>
      </c>
      <c r="F1389" s="992" t="str">
        <f t="shared" ca="1" si="223"/>
        <v/>
      </c>
      <c r="G1389" s="994">
        <f t="shared" ca="1" si="216"/>
        <v>0</v>
      </c>
      <c r="H1389" s="913">
        <f t="shared" ca="1" si="217"/>
        <v>0</v>
      </c>
      <c r="I1389" s="913">
        <f t="shared" ca="1" si="218"/>
        <v>0</v>
      </c>
      <c r="J1389" s="995">
        <f t="shared" ca="1" si="224"/>
        <v>0</v>
      </c>
      <c r="K1389" s="913">
        <f t="shared" ca="1" si="219"/>
        <v>0</v>
      </c>
      <c r="L1389" s="995">
        <f t="shared" ca="1" si="225"/>
        <v>0</v>
      </c>
      <c r="M1389" s="913">
        <f t="shared" ca="1" si="220"/>
        <v>0</v>
      </c>
      <c r="N1389" s="996">
        <f t="shared" ca="1" si="221"/>
        <v>0</v>
      </c>
      <c r="O1389" s="997">
        <f t="shared" ca="1" si="222"/>
        <v>0</v>
      </c>
      <c r="P1389" s="1015" t="str">
        <f ca="1">IF($C1389="","",INDEX(NVLSX!$N$2:$N$6941,MATCH($C1389,NVLSX!$E$2:$E$6941,0)))</f>
        <v/>
      </c>
      <c r="Q1389" s="1016" t="str">
        <f ca="1">IF($R1389="","",IF(XKNVLSX!$X$1="",IF($P1389=$V$7,$P1389, IF(COUNTIFS($C$2:$C1388,$C1389,$E$2:$E1388,$E1389)&gt;=1,"",$P1389)),     IF(AND(IFERROR(SEARCH($R1389,XKNVLSX!$X$1,1),0)&gt;=1,$P1389=$V$7),$P1389, IF(OR($R1389&lt;&gt;IF(IFERROR(SEARCH($R1389,XKNVLSX!$X$1,1),0)&gt;=1,$R1389,XKNVLSX!$X$1),COUNTIFS($C$2:$C1388,$C1389,$E$2:$E1388,$E1389,$Q$2:$Q1388,$P1389)&gt;=1),"",$P1389))))</f>
        <v/>
      </c>
      <c r="R1389" s="1017" t="str">
        <f ca="1">IF($A1389="","",IFERROR(INDEX(TinhGia!$BF$10:$BF$81,MATCH($A1389,TinhGia!$B$10:$B$81,0)),""))</f>
        <v/>
      </c>
      <c r="S1389" s="1012" t="str">
        <f ca="1">IF($A1389="","",IF(OR(IFERROR(SEARCH($R1389,XKNVLSX!$X$1,1),0)&gt;=1,XKNVLSX!$X$1=""),$S$2,""))</f>
        <v/>
      </c>
      <c r="T1389" s="1018" t="str">
        <f ca="1">IF($C1389="","", IF(OR($P1389=$V$1,$P1389=$V$7,COUNTIFS($C$3:$C1389,$C1389,$E$3:$E1389,$E1389)&lt;=1),$P1389,""    ))</f>
        <v/>
      </c>
      <c r="U1389" s="1019" t="str">
        <f ca="1">IF(AND($P1389=$V$2,COUNTIFS($C$3:$C1389,$C1389,$E$3:$E1389,$E1389,$G$3:$G1389,$G1389)&lt;=1),$P1389,"")</f>
        <v/>
      </c>
    </row>
    <row r="1390" spans="1:21">
      <c r="A1390" s="991" t="str">
        <f ca="1">IFERROR(IF(COUNTIF($A$3:A1389,A1389)&lt; INDEX(TinhGia!$BH$10:$BH$81,MATCH($A1389,TinhGia!$B$10:$B$81,0)),$A1389,INDEX(TinhGia!$B$10:$B$81,MATCH($A1389,TinhGia!$B$10:$B$81,0)+1)),"")</f>
        <v/>
      </c>
      <c r="B1390" s="525" t="str">
        <f ca="1">IF(OR(A1390="",A1390=0),"",IF(COUNTIF($A$2:A1390,$A1390)=1,ROW(MauKoXoa!$C$108),$B1389+1))</f>
        <v/>
      </c>
      <c r="C1390" s="992" t="str">
        <f t="shared" ca="1" si="213"/>
        <v/>
      </c>
      <c r="D1390" s="993" t="str">
        <f t="shared" ca="1" si="214"/>
        <v/>
      </c>
      <c r="E1390" s="993" t="str">
        <f t="shared" ca="1" si="215"/>
        <v/>
      </c>
      <c r="F1390" s="992" t="str">
        <f t="shared" ca="1" si="223"/>
        <v/>
      </c>
      <c r="G1390" s="994">
        <f t="shared" ca="1" si="216"/>
        <v>0</v>
      </c>
      <c r="H1390" s="913">
        <f t="shared" ca="1" si="217"/>
        <v>0</v>
      </c>
      <c r="I1390" s="913">
        <f t="shared" ca="1" si="218"/>
        <v>0</v>
      </c>
      <c r="J1390" s="995">
        <f t="shared" ca="1" si="224"/>
        <v>0</v>
      </c>
      <c r="K1390" s="913">
        <f t="shared" ca="1" si="219"/>
        <v>0</v>
      </c>
      <c r="L1390" s="995">
        <f t="shared" ca="1" si="225"/>
        <v>0</v>
      </c>
      <c r="M1390" s="913">
        <f t="shared" ca="1" si="220"/>
        <v>0</v>
      </c>
      <c r="N1390" s="996">
        <f t="shared" ca="1" si="221"/>
        <v>0</v>
      </c>
      <c r="O1390" s="997">
        <f t="shared" ca="1" si="222"/>
        <v>0</v>
      </c>
      <c r="P1390" s="1015" t="str">
        <f ca="1">IF($C1390="","",INDEX(NVLSX!$N$2:$N$6941,MATCH($C1390,NVLSX!$E$2:$E$6941,0)))</f>
        <v/>
      </c>
      <c r="Q1390" s="1016" t="str">
        <f ca="1">IF($R1390="","",IF(XKNVLSX!$X$1="",IF($P1390=$V$7,$P1390, IF(COUNTIFS($C$2:$C1389,$C1390,$E$2:$E1389,$E1390)&gt;=1,"",$P1390)),     IF(AND(IFERROR(SEARCH($R1390,XKNVLSX!$X$1,1),0)&gt;=1,$P1390=$V$7),$P1390, IF(OR($R1390&lt;&gt;IF(IFERROR(SEARCH($R1390,XKNVLSX!$X$1,1),0)&gt;=1,$R1390,XKNVLSX!$X$1),COUNTIFS($C$2:$C1389,$C1390,$E$2:$E1389,$E1390,$Q$2:$Q1389,$P1390)&gt;=1),"",$P1390))))</f>
        <v/>
      </c>
      <c r="R1390" s="1017" t="str">
        <f ca="1">IF($A1390="","",IFERROR(INDEX(TinhGia!$BF$10:$BF$81,MATCH($A1390,TinhGia!$B$10:$B$81,0)),""))</f>
        <v/>
      </c>
      <c r="S1390" s="1012" t="str">
        <f ca="1">IF($A1390="","",IF(OR(IFERROR(SEARCH($R1390,XKNVLSX!$X$1,1),0)&gt;=1,XKNVLSX!$X$1=""),$S$2,""))</f>
        <v/>
      </c>
      <c r="T1390" s="1018" t="str">
        <f ca="1">IF($C1390="","", IF(OR($P1390=$V$1,$P1390=$V$7,COUNTIFS($C$3:$C1390,$C1390,$E$3:$E1390,$E1390)&lt;=1),$P1390,""    ))</f>
        <v/>
      </c>
      <c r="U1390" s="1019" t="str">
        <f ca="1">IF(AND($P1390=$V$2,COUNTIFS($C$3:$C1390,$C1390,$E$3:$E1390,$E1390,$G$3:$G1390,$G1390)&lt;=1),$P1390,"")</f>
        <v/>
      </c>
    </row>
    <row r="1391" spans="1:21">
      <c r="A1391" s="991" t="str">
        <f ca="1">IFERROR(IF(COUNTIF($A$3:A1390,A1390)&lt; INDEX(TinhGia!$BH$10:$BH$81,MATCH($A1390,TinhGia!$B$10:$B$81,0)),$A1390,INDEX(TinhGia!$B$10:$B$81,MATCH($A1390,TinhGia!$B$10:$B$81,0)+1)),"")</f>
        <v/>
      </c>
      <c r="B1391" s="525" t="str">
        <f ca="1">IF(OR(A1391="",A1391=0),"",IF(COUNTIF($A$2:A1391,$A1391)=1,ROW(MauKoXoa!$C$108),$B1390+1))</f>
        <v/>
      </c>
      <c r="C1391" s="992" t="str">
        <f t="shared" ca="1" si="213"/>
        <v/>
      </c>
      <c r="D1391" s="993" t="str">
        <f t="shared" ca="1" si="214"/>
        <v/>
      </c>
      <c r="E1391" s="993" t="str">
        <f t="shared" ca="1" si="215"/>
        <v/>
      </c>
      <c r="F1391" s="992" t="str">
        <f t="shared" ca="1" si="223"/>
        <v/>
      </c>
      <c r="G1391" s="994">
        <f t="shared" ca="1" si="216"/>
        <v>0</v>
      </c>
      <c r="H1391" s="913">
        <f t="shared" ca="1" si="217"/>
        <v>0</v>
      </c>
      <c r="I1391" s="913">
        <f t="shared" ca="1" si="218"/>
        <v>0</v>
      </c>
      <c r="J1391" s="995">
        <f t="shared" ca="1" si="224"/>
        <v>0</v>
      </c>
      <c r="K1391" s="913">
        <f t="shared" ca="1" si="219"/>
        <v>0</v>
      </c>
      <c r="L1391" s="995">
        <f t="shared" ca="1" si="225"/>
        <v>0</v>
      </c>
      <c r="M1391" s="913">
        <f t="shared" ca="1" si="220"/>
        <v>0</v>
      </c>
      <c r="N1391" s="996">
        <f t="shared" ca="1" si="221"/>
        <v>0</v>
      </c>
      <c r="O1391" s="997">
        <f t="shared" ca="1" si="222"/>
        <v>0</v>
      </c>
      <c r="P1391" s="1015" t="str">
        <f ca="1">IF($C1391="","",INDEX(NVLSX!$N$2:$N$6941,MATCH($C1391,NVLSX!$E$2:$E$6941,0)))</f>
        <v/>
      </c>
      <c r="Q1391" s="1016" t="str">
        <f ca="1">IF($R1391="","",IF(XKNVLSX!$X$1="",IF($P1391=$V$7,$P1391, IF(COUNTIFS($C$2:$C1390,$C1391,$E$2:$E1390,$E1391)&gt;=1,"",$P1391)),     IF(AND(IFERROR(SEARCH($R1391,XKNVLSX!$X$1,1),0)&gt;=1,$P1391=$V$7),$P1391, IF(OR($R1391&lt;&gt;IF(IFERROR(SEARCH($R1391,XKNVLSX!$X$1,1),0)&gt;=1,$R1391,XKNVLSX!$X$1),COUNTIFS($C$2:$C1390,$C1391,$E$2:$E1390,$E1391,$Q$2:$Q1390,$P1391)&gt;=1),"",$P1391))))</f>
        <v/>
      </c>
      <c r="R1391" s="1017" t="str">
        <f ca="1">IF($A1391="","",IFERROR(INDEX(TinhGia!$BF$10:$BF$81,MATCH($A1391,TinhGia!$B$10:$B$81,0)),""))</f>
        <v/>
      </c>
      <c r="S1391" s="1012" t="str">
        <f ca="1">IF($A1391="","",IF(OR(IFERROR(SEARCH($R1391,XKNVLSX!$X$1,1),0)&gt;=1,XKNVLSX!$X$1=""),$S$2,""))</f>
        <v/>
      </c>
      <c r="T1391" s="1018" t="str">
        <f ca="1">IF($C1391="","", IF(OR($P1391=$V$1,$P1391=$V$7,COUNTIFS($C$3:$C1391,$C1391,$E$3:$E1391,$E1391)&lt;=1),$P1391,""    ))</f>
        <v/>
      </c>
      <c r="U1391" s="1019" t="str">
        <f ca="1">IF(AND($P1391=$V$2,COUNTIFS($C$3:$C1391,$C1391,$E$3:$E1391,$E1391,$G$3:$G1391,$G1391)&lt;=1),$P1391,"")</f>
        <v/>
      </c>
    </row>
    <row r="1392" spans="1:21">
      <c r="A1392" s="991" t="str">
        <f ca="1">IFERROR(IF(COUNTIF($A$3:A1391,A1391)&lt; INDEX(TinhGia!$BH$10:$BH$81,MATCH($A1391,TinhGia!$B$10:$B$81,0)),$A1391,INDEX(TinhGia!$B$10:$B$81,MATCH($A1391,TinhGia!$B$10:$B$81,0)+1)),"")</f>
        <v/>
      </c>
      <c r="B1392" s="525" t="str">
        <f ca="1">IF(OR(A1392="",A1392=0),"",IF(COUNTIF($A$2:A1392,$A1392)=1,ROW(MauKoXoa!$C$108),$B1391+1))</f>
        <v/>
      </c>
      <c r="C1392" s="992" t="str">
        <f t="shared" ca="1" si="213"/>
        <v/>
      </c>
      <c r="D1392" s="993" t="str">
        <f t="shared" ca="1" si="214"/>
        <v/>
      </c>
      <c r="E1392" s="993" t="str">
        <f t="shared" ca="1" si="215"/>
        <v/>
      </c>
      <c r="F1392" s="992" t="str">
        <f t="shared" ca="1" si="223"/>
        <v/>
      </c>
      <c r="G1392" s="994">
        <f t="shared" ca="1" si="216"/>
        <v>0</v>
      </c>
      <c r="H1392" s="913">
        <f t="shared" ca="1" si="217"/>
        <v>0</v>
      </c>
      <c r="I1392" s="913">
        <f t="shared" ca="1" si="218"/>
        <v>0</v>
      </c>
      <c r="J1392" s="995">
        <f t="shared" ca="1" si="224"/>
        <v>0</v>
      </c>
      <c r="K1392" s="913">
        <f t="shared" ca="1" si="219"/>
        <v>0</v>
      </c>
      <c r="L1392" s="995">
        <f t="shared" ca="1" si="225"/>
        <v>0</v>
      </c>
      <c r="M1392" s="913">
        <f t="shared" ca="1" si="220"/>
        <v>0</v>
      </c>
      <c r="N1392" s="996">
        <f t="shared" ca="1" si="221"/>
        <v>0</v>
      </c>
      <c r="O1392" s="997">
        <f t="shared" ca="1" si="222"/>
        <v>0</v>
      </c>
      <c r="P1392" s="1015" t="str">
        <f ca="1">IF($C1392="","",INDEX(NVLSX!$N$2:$N$6941,MATCH($C1392,NVLSX!$E$2:$E$6941,0)))</f>
        <v/>
      </c>
      <c r="Q1392" s="1016" t="str">
        <f ca="1">IF($R1392="","",IF(XKNVLSX!$X$1="",IF($P1392=$V$7,$P1392, IF(COUNTIFS($C$2:$C1391,$C1392,$E$2:$E1391,$E1392)&gt;=1,"",$P1392)),     IF(AND(IFERROR(SEARCH($R1392,XKNVLSX!$X$1,1),0)&gt;=1,$P1392=$V$7),$P1392, IF(OR($R1392&lt;&gt;IF(IFERROR(SEARCH($R1392,XKNVLSX!$X$1,1),0)&gt;=1,$R1392,XKNVLSX!$X$1),COUNTIFS($C$2:$C1391,$C1392,$E$2:$E1391,$E1392,$Q$2:$Q1391,$P1392)&gt;=1),"",$P1392))))</f>
        <v/>
      </c>
      <c r="R1392" s="1017" t="str">
        <f ca="1">IF($A1392="","",IFERROR(INDEX(TinhGia!$BF$10:$BF$81,MATCH($A1392,TinhGia!$B$10:$B$81,0)),""))</f>
        <v/>
      </c>
      <c r="S1392" s="1012" t="str">
        <f ca="1">IF($A1392="","",IF(OR(IFERROR(SEARCH($R1392,XKNVLSX!$X$1,1),0)&gt;=1,XKNVLSX!$X$1=""),$S$2,""))</f>
        <v/>
      </c>
      <c r="T1392" s="1018" t="str">
        <f ca="1">IF($C1392="","", IF(OR($P1392=$V$1,$P1392=$V$7,COUNTIFS($C$3:$C1392,$C1392,$E$3:$E1392,$E1392)&lt;=1),$P1392,""    ))</f>
        <v/>
      </c>
      <c r="U1392" s="1019" t="str">
        <f ca="1">IF(AND($P1392=$V$2,COUNTIFS($C$3:$C1392,$C1392,$E$3:$E1392,$E1392,$G$3:$G1392,$G1392)&lt;=1),$P1392,"")</f>
        <v/>
      </c>
    </row>
    <row r="1393" spans="1:21">
      <c r="A1393" s="991" t="str">
        <f ca="1">IFERROR(IF(COUNTIF($A$3:A1392,A1392)&lt; INDEX(TinhGia!$BH$10:$BH$81,MATCH($A1392,TinhGia!$B$10:$B$81,0)),$A1392,INDEX(TinhGia!$B$10:$B$81,MATCH($A1392,TinhGia!$B$10:$B$81,0)+1)),"")</f>
        <v/>
      </c>
      <c r="B1393" s="525" t="str">
        <f ca="1">IF(OR(A1393="",A1393=0),"",IF(COUNTIF($A$2:A1393,$A1393)=1,ROW(MauKoXoa!$C$108),$B1392+1))</f>
        <v/>
      </c>
      <c r="C1393" s="992" t="str">
        <f t="shared" ca="1" si="213"/>
        <v/>
      </c>
      <c r="D1393" s="993" t="str">
        <f t="shared" ca="1" si="214"/>
        <v/>
      </c>
      <c r="E1393" s="993" t="str">
        <f t="shared" ca="1" si="215"/>
        <v/>
      </c>
      <c r="F1393" s="992" t="str">
        <f t="shared" ca="1" si="223"/>
        <v/>
      </c>
      <c r="G1393" s="994">
        <f t="shared" ca="1" si="216"/>
        <v>0</v>
      </c>
      <c r="H1393" s="913">
        <f t="shared" ca="1" si="217"/>
        <v>0</v>
      </c>
      <c r="I1393" s="913">
        <f t="shared" ca="1" si="218"/>
        <v>0</v>
      </c>
      <c r="J1393" s="995">
        <f t="shared" ca="1" si="224"/>
        <v>0</v>
      </c>
      <c r="K1393" s="913">
        <f t="shared" ca="1" si="219"/>
        <v>0</v>
      </c>
      <c r="L1393" s="995">
        <f t="shared" ca="1" si="225"/>
        <v>0</v>
      </c>
      <c r="M1393" s="913">
        <f t="shared" ca="1" si="220"/>
        <v>0</v>
      </c>
      <c r="N1393" s="996">
        <f t="shared" ca="1" si="221"/>
        <v>0</v>
      </c>
      <c r="O1393" s="997">
        <f t="shared" ca="1" si="222"/>
        <v>0</v>
      </c>
      <c r="P1393" s="1015" t="str">
        <f ca="1">IF($C1393="","",INDEX(NVLSX!$N$2:$N$6941,MATCH($C1393,NVLSX!$E$2:$E$6941,0)))</f>
        <v/>
      </c>
      <c r="Q1393" s="1016" t="str">
        <f ca="1">IF($R1393="","",IF(XKNVLSX!$X$1="",IF($P1393=$V$7,$P1393, IF(COUNTIFS($C$2:$C1392,$C1393,$E$2:$E1392,$E1393)&gt;=1,"",$P1393)),     IF(AND(IFERROR(SEARCH($R1393,XKNVLSX!$X$1,1),0)&gt;=1,$P1393=$V$7),$P1393, IF(OR($R1393&lt;&gt;IF(IFERROR(SEARCH($R1393,XKNVLSX!$X$1,1),0)&gt;=1,$R1393,XKNVLSX!$X$1),COUNTIFS($C$2:$C1392,$C1393,$E$2:$E1392,$E1393,$Q$2:$Q1392,$P1393)&gt;=1),"",$P1393))))</f>
        <v/>
      </c>
      <c r="R1393" s="1017" t="str">
        <f ca="1">IF($A1393="","",IFERROR(INDEX(TinhGia!$BF$10:$BF$81,MATCH($A1393,TinhGia!$B$10:$B$81,0)),""))</f>
        <v/>
      </c>
      <c r="S1393" s="1012" t="str">
        <f ca="1">IF($A1393="","",IF(OR(IFERROR(SEARCH($R1393,XKNVLSX!$X$1,1),0)&gt;=1,XKNVLSX!$X$1=""),$S$2,""))</f>
        <v/>
      </c>
      <c r="T1393" s="1018" t="str">
        <f ca="1">IF($C1393="","", IF(OR($P1393=$V$1,$P1393=$V$7,COUNTIFS($C$3:$C1393,$C1393,$E$3:$E1393,$E1393)&lt;=1),$P1393,""    ))</f>
        <v/>
      </c>
      <c r="U1393" s="1019" t="str">
        <f ca="1">IF(AND($P1393=$V$2,COUNTIFS($C$3:$C1393,$C1393,$E$3:$E1393,$E1393,$G$3:$G1393,$G1393)&lt;=1),$P1393,"")</f>
        <v/>
      </c>
    </row>
    <row r="1394" spans="1:21">
      <c r="A1394" s="991" t="str">
        <f ca="1">IFERROR(IF(COUNTIF($A$3:A1393,A1393)&lt; INDEX(TinhGia!$BH$10:$BH$81,MATCH($A1393,TinhGia!$B$10:$B$81,0)),$A1393,INDEX(TinhGia!$B$10:$B$81,MATCH($A1393,TinhGia!$B$10:$B$81,0)+1)),"")</f>
        <v/>
      </c>
      <c r="B1394" s="525" t="str">
        <f ca="1">IF(OR(A1394="",A1394=0),"",IF(COUNTIF($A$2:A1394,$A1394)=1,ROW(MauKoXoa!$C$108),$B1393+1))</f>
        <v/>
      </c>
      <c r="C1394" s="992" t="str">
        <f t="shared" ca="1" si="213"/>
        <v/>
      </c>
      <c r="D1394" s="993" t="str">
        <f t="shared" ca="1" si="214"/>
        <v/>
      </c>
      <c r="E1394" s="993" t="str">
        <f t="shared" ca="1" si="215"/>
        <v/>
      </c>
      <c r="F1394" s="992" t="str">
        <f t="shared" ca="1" si="223"/>
        <v/>
      </c>
      <c r="G1394" s="994">
        <f t="shared" ca="1" si="216"/>
        <v>0</v>
      </c>
      <c r="H1394" s="913">
        <f t="shared" ca="1" si="217"/>
        <v>0</v>
      </c>
      <c r="I1394" s="913">
        <f t="shared" ca="1" si="218"/>
        <v>0</v>
      </c>
      <c r="J1394" s="995">
        <f t="shared" ca="1" si="224"/>
        <v>0</v>
      </c>
      <c r="K1394" s="913">
        <f t="shared" ca="1" si="219"/>
        <v>0</v>
      </c>
      <c r="L1394" s="995">
        <f t="shared" ca="1" si="225"/>
        <v>0</v>
      </c>
      <c r="M1394" s="913">
        <f t="shared" ca="1" si="220"/>
        <v>0</v>
      </c>
      <c r="N1394" s="996">
        <f t="shared" ca="1" si="221"/>
        <v>0</v>
      </c>
      <c r="O1394" s="997">
        <f t="shared" ca="1" si="222"/>
        <v>0</v>
      </c>
      <c r="P1394" s="1015" t="str">
        <f ca="1">IF($C1394="","",INDEX(NVLSX!$N$2:$N$6941,MATCH($C1394,NVLSX!$E$2:$E$6941,0)))</f>
        <v/>
      </c>
      <c r="Q1394" s="1016" t="str">
        <f ca="1">IF($R1394="","",IF(XKNVLSX!$X$1="",IF($P1394=$V$7,$P1394, IF(COUNTIFS($C$2:$C1393,$C1394,$E$2:$E1393,$E1394)&gt;=1,"",$P1394)),     IF(AND(IFERROR(SEARCH($R1394,XKNVLSX!$X$1,1),0)&gt;=1,$P1394=$V$7),$P1394, IF(OR($R1394&lt;&gt;IF(IFERROR(SEARCH($R1394,XKNVLSX!$X$1,1),0)&gt;=1,$R1394,XKNVLSX!$X$1),COUNTIFS($C$2:$C1393,$C1394,$E$2:$E1393,$E1394,$Q$2:$Q1393,$P1394)&gt;=1),"",$P1394))))</f>
        <v/>
      </c>
      <c r="R1394" s="1017" t="str">
        <f ca="1">IF($A1394="","",IFERROR(INDEX(TinhGia!$BF$10:$BF$81,MATCH($A1394,TinhGia!$B$10:$B$81,0)),""))</f>
        <v/>
      </c>
      <c r="S1394" s="1012" t="str">
        <f ca="1">IF($A1394="","",IF(OR(IFERROR(SEARCH($R1394,XKNVLSX!$X$1,1),0)&gt;=1,XKNVLSX!$X$1=""),$S$2,""))</f>
        <v/>
      </c>
      <c r="T1394" s="1018" t="str">
        <f ca="1">IF($C1394="","", IF(OR($P1394=$V$1,$P1394=$V$7,COUNTIFS($C$3:$C1394,$C1394,$E$3:$E1394,$E1394)&lt;=1),$P1394,""    ))</f>
        <v/>
      </c>
      <c r="U1394" s="1019" t="str">
        <f ca="1">IF(AND($P1394=$V$2,COUNTIFS($C$3:$C1394,$C1394,$E$3:$E1394,$E1394,$G$3:$G1394,$G1394)&lt;=1),$P1394,"")</f>
        <v/>
      </c>
    </row>
    <row r="1395" spans="1:21">
      <c r="A1395" s="991" t="str">
        <f ca="1">IFERROR(IF(COUNTIF($A$3:A1394,A1394)&lt; INDEX(TinhGia!$BH$10:$BH$81,MATCH($A1394,TinhGia!$B$10:$B$81,0)),$A1394,INDEX(TinhGia!$B$10:$B$81,MATCH($A1394,TinhGia!$B$10:$B$81,0)+1)),"")</f>
        <v/>
      </c>
      <c r="B1395" s="525" t="str">
        <f ca="1">IF(OR(A1395="",A1395=0),"",IF(COUNTIF($A$2:A1395,$A1395)=1,ROW(MauKoXoa!$C$108),$B1394+1))</f>
        <v/>
      </c>
      <c r="C1395" s="992" t="str">
        <f t="shared" ca="1" si="213"/>
        <v/>
      </c>
      <c r="D1395" s="993" t="str">
        <f t="shared" ca="1" si="214"/>
        <v/>
      </c>
      <c r="E1395" s="993" t="str">
        <f t="shared" ca="1" si="215"/>
        <v/>
      </c>
      <c r="F1395" s="992" t="str">
        <f t="shared" ca="1" si="223"/>
        <v/>
      </c>
      <c r="G1395" s="994">
        <f t="shared" ca="1" si="216"/>
        <v>0</v>
      </c>
      <c r="H1395" s="913">
        <f t="shared" ca="1" si="217"/>
        <v>0</v>
      </c>
      <c r="I1395" s="913">
        <f t="shared" ca="1" si="218"/>
        <v>0</v>
      </c>
      <c r="J1395" s="995">
        <f t="shared" ca="1" si="224"/>
        <v>0</v>
      </c>
      <c r="K1395" s="913">
        <f t="shared" ca="1" si="219"/>
        <v>0</v>
      </c>
      <c r="L1395" s="995">
        <f t="shared" ca="1" si="225"/>
        <v>0</v>
      </c>
      <c r="M1395" s="913">
        <f t="shared" ca="1" si="220"/>
        <v>0</v>
      </c>
      <c r="N1395" s="996">
        <f t="shared" ca="1" si="221"/>
        <v>0</v>
      </c>
      <c r="O1395" s="997">
        <f t="shared" ca="1" si="222"/>
        <v>0</v>
      </c>
      <c r="P1395" s="1015" t="str">
        <f ca="1">IF($C1395="","",INDEX(NVLSX!$N$2:$N$6941,MATCH($C1395,NVLSX!$E$2:$E$6941,0)))</f>
        <v/>
      </c>
      <c r="Q1395" s="1016" t="str">
        <f ca="1">IF($R1395="","",IF(XKNVLSX!$X$1="",IF($P1395=$V$7,$P1395, IF(COUNTIFS($C$2:$C1394,$C1395,$E$2:$E1394,$E1395)&gt;=1,"",$P1395)),     IF(AND(IFERROR(SEARCH($R1395,XKNVLSX!$X$1,1),0)&gt;=1,$P1395=$V$7),$P1395, IF(OR($R1395&lt;&gt;IF(IFERROR(SEARCH($R1395,XKNVLSX!$X$1,1),0)&gt;=1,$R1395,XKNVLSX!$X$1),COUNTIFS($C$2:$C1394,$C1395,$E$2:$E1394,$E1395,$Q$2:$Q1394,$P1395)&gt;=1),"",$P1395))))</f>
        <v/>
      </c>
      <c r="R1395" s="1017" t="str">
        <f ca="1">IF($A1395="","",IFERROR(INDEX(TinhGia!$BF$10:$BF$81,MATCH($A1395,TinhGia!$B$10:$B$81,0)),""))</f>
        <v/>
      </c>
      <c r="S1395" s="1012" t="str">
        <f ca="1">IF($A1395="","",IF(OR(IFERROR(SEARCH($R1395,XKNVLSX!$X$1,1),0)&gt;=1,XKNVLSX!$X$1=""),$S$2,""))</f>
        <v/>
      </c>
      <c r="T1395" s="1018" t="str">
        <f ca="1">IF($C1395="","", IF(OR($P1395=$V$1,$P1395=$V$7,COUNTIFS($C$3:$C1395,$C1395,$E$3:$E1395,$E1395)&lt;=1),$P1395,""    ))</f>
        <v/>
      </c>
      <c r="U1395" s="1019" t="str">
        <f ca="1">IF(AND($P1395=$V$2,COUNTIFS($C$3:$C1395,$C1395,$E$3:$E1395,$E1395,$G$3:$G1395,$G1395)&lt;=1),$P1395,"")</f>
        <v/>
      </c>
    </row>
    <row r="1396" spans="1:21">
      <c r="A1396" s="991" t="str">
        <f ca="1">IFERROR(IF(COUNTIF($A$3:A1395,A1395)&lt; INDEX(TinhGia!$BH$10:$BH$81,MATCH($A1395,TinhGia!$B$10:$B$81,0)),$A1395,INDEX(TinhGia!$B$10:$B$81,MATCH($A1395,TinhGia!$B$10:$B$81,0)+1)),"")</f>
        <v/>
      </c>
      <c r="B1396" s="525" t="str">
        <f ca="1">IF(OR(A1396="",A1396=0),"",IF(COUNTIF($A$2:A1396,$A1396)=1,ROW(MauKoXoa!$C$108),$B1395+1))</f>
        <v/>
      </c>
      <c r="C1396" s="992" t="str">
        <f t="shared" ca="1" si="213"/>
        <v/>
      </c>
      <c r="D1396" s="993" t="str">
        <f t="shared" ca="1" si="214"/>
        <v/>
      </c>
      <c r="E1396" s="993" t="str">
        <f t="shared" ca="1" si="215"/>
        <v/>
      </c>
      <c r="F1396" s="992" t="str">
        <f t="shared" ca="1" si="223"/>
        <v/>
      </c>
      <c r="G1396" s="994">
        <f t="shared" ca="1" si="216"/>
        <v>0</v>
      </c>
      <c r="H1396" s="913">
        <f t="shared" ca="1" si="217"/>
        <v>0</v>
      </c>
      <c r="I1396" s="913">
        <f t="shared" ca="1" si="218"/>
        <v>0</v>
      </c>
      <c r="J1396" s="995">
        <f t="shared" ca="1" si="224"/>
        <v>0</v>
      </c>
      <c r="K1396" s="913">
        <f t="shared" ca="1" si="219"/>
        <v>0</v>
      </c>
      <c r="L1396" s="995">
        <f t="shared" ca="1" si="225"/>
        <v>0</v>
      </c>
      <c r="M1396" s="913">
        <f t="shared" ca="1" si="220"/>
        <v>0</v>
      </c>
      <c r="N1396" s="996">
        <f t="shared" ca="1" si="221"/>
        <v>0</v>
      </c>
      <c r="O1396" s="997">
        <f t="shared" ca="1" si="222"/>
        <v>0</v>
      </c>
      <c r="P1396" s="1015" t="str">
        <f ca="1">IF($C1396="","",INDEX(NVLSX!$N$2:$N$6941,MATCH($C1396,NVLSX!$E$2:$E$6941,0)))</f>
        <v/>
      </c>
      <c r="Q1396" s="1016" t="str">
        <f ca="1">IF($R1396="","",IF(XKNVLSX!$X$1="",IF($P1396=$V$7,$P1396, IF(COUNTIFS($C$2:$C1395,$C1396,$E$2:$E1395,$E1396)&gt;=1,"",$P1396)),     IF(AND(IFERROR(SEARCH($R1396,XKNVLSX!$X$1,1),0)&gt;=1,$P1396=$V$7),$P1396, IF(OR($R1396&lt;&gt;IF(IFERROR(SEARCH($R1396,XKNVLSX!$X$1,1),0)&gt;=1,$R1396,XKNVLSX!$X$1),COUNTIFS($C$2:$C1395,$C1396,$E$2:$E1395,$E1396,$Q$2:$Q1395,$P1396)&gt;=1),"",$P1396))))</f>
        <v/>
      </c>
      <c r="R1396" s="1017" t="str">
        <f ca="1">IF($A1396="","",IFERROR(INDEX(TinhGia!$BF$10:$BF$81,MATCH($A1396,TinhGia!$B$10:$B$81,0)),""))</f>
        <v/>
      </c>
      <c r="S1396" s="1012" t="str">
        <f ca="1">IF($A1396="","",IF(OR(IFERROR(SEARCH($R1396,XKNVLSX!$X$1,1),0)&gt;=1,XKNVLSX!$X$1=""),$S$2,""))</f>
        <v/>
      </c>
      <c r="T1396" s="1018" t="str">
        <f ca="1">IF($C1396="","", IF(OR($P1396=$V$1,$P1396=$V$7,COUNTIFS($C$3:$C1396,$C1396,$E$3:$E1396,$E1396)&lt;=1),$P1396,""    ))</f>
        <v/>
      </c>
      <c r="U1396" s="1019" t="str">
        <f ca="1">IF(AND($P1396=$V$2,COUNTIFS($C$3:$C1396,$C1396,$E$3:$E1396,$E1396,$G$3:$G1396,$G1396)&lt;=1),$P1396,"")</f>
        <v/>
      </c>
    </row>
    <row r="1397" spans="1:21">
      <c r="A1397" s="991" t="str">
        <f ca="1">IFERROR(IF(COUNTIF($A$3:A1396,A1396)&lt; INDEX(TinhGia!$BH$10:$BH$81,MATCH($A1396,TinhGia!$B$10:$B$81,0)),$A1396,INDEX(TinhGia!$B$10:$B$81,MATCH($A1396,TinhGia!$B$10:$B$81,0)+1)),"")</f>
        <v/>
      </c>
      <c r="B1397" s="525" t="str">
        <f ca="1">IF(OR(A1397="",A1397=0),"",IF(COUNTIF($A$2:A1397,$A1397)=1,ROW(MauKoXoa!$C$108),$B1396+1))</f>
        <v/>
      </c>
      <c r="C1397" s="992" t="str">
        <f t="shared" ca="1" si="213"/>
        <v/>
      </c>
      <c r="D1397" s="993" t="str">
        <f t="shared" ca="1" si="214"/>
        <v/>
      </c>
      <c r="E1397" s="993" t="str">
        <f t="shared" ca="1" si="215"/>
        <v/>
      </c>
      <c r="F1397" s="992" t="str">
        <f t="shared" ca="1" si="223"/>
        <v/>
      </c>
      <c r="G1397" s="994">
        <f t="shared" ca="1" si="216"/>
        <v>0</v>
      </c>
      <c r="H1397" s="913">
        <f t="shared" ca="1" si="217"/>
        <v>0</v>
      </c>
      <c r="I1397" s="913">
        <f t="shared" ca="1" si="218"/>
        <v>0</v>
      </c>
      <c r="J1397" s="995">
        <f t="shared" ca="1" si="224"/>
        <v>0</v>
      </c>
      <c r="K1397" s="913">
        <f t="shared" ca="1" si="219"/>
        <v>0</v>
      </c>
      <c r="L1397" s="995">
        <f t="shared" ca="1" si="225"/>
        <v>0</v>
      </c>
      <c r="M1397" s="913">
        <f t="shared" ca="1" si="220"/>
        <v>0</v>
      </c>
      <c r="N1397" s="996">
        <f t="shared" ca="1" si="221"/>
        <v>0</v>
      </c>
      <c r="O1397" s="997">
        <f t="shared" ca="1" si="222"/>
        <v>0</v>
      </c>
      <c r="P1397" s="1015" t="str">
        <f ca="1">IF($C1397="","",INDEX(NVLSX!$N$2:$N$6941,MATCH($C1397,NVLSX!$E$2:$E$6941,0)))</f>
        <v/>
      </c>
      <c r="Q1397" s="1016" t="str">
        <f ca="1">IF($R1397="","",IF(XKNVLSX!$X$1="",IF($P1397=$V$7,$P1397, IF(COUNTIFS($C$2:$C1396,$C1397,$E$2:$E1396,$E1397)&gt;=1,"",$P1397)),     IF(AND(IFERROR(SEARCH($R1397,XKNVLSX!$X$1,1),0)&gt;=1,$P1397=$V$7),$P1397, IF(OR($R1397&lt;&gt;IF(IFERROR(SEARCH($R1397,XKNVLSX!$X$1,1),0)&gt;=1,$R1397,XKNVLSX!$X$1),COUNTIFS($C$2:$C1396,$C1397,$E$2:$E1396,$E1397,$Q$2:$Q1396,$P1397)&gt;=1),"",$P1397))))</f>
        <v/>
      </c>
      <c r="R1397" s="1017" t="str">
        <f ca="1">IF($A1397="","",IFERROR(INDEX(TinhGia!$BF$10:$BF$81,MATCH($A1397,TinhGia!$B$10:$B$81,0)),""))</f>
        <v/>
      </c>
      <c r="S1397" s="1012" t="str">
        <f ca="1">IF($A1397="","",IF(OR(IFERROR(SEARCH($R1397,XKNVLSX!$X$1,1),0)&gt;=1,XKNVLSX!$X$1=""),$S$2,""))</f>
        <v/>
      </c>
      <c r="T1397" s="1018" t="str">
        <f ca="1">IF($C1397="","", IF(OR($P1397=$V$1,$P1397=$V$7,COUNTIFS($C$3:$C1397,$C1397,$E$3:$E1397,$E1397)&lt;=1),$P1397,""    ))</f>
        <v/>
      </c>
      <c r="U1397" s="1019" t="str">
        <f ca="1">IF(AND($P1397=$V$2,COUNTIFS($C$3:$C1397,$C1397,$E$3:$E1397,$E1397,$G$3:$G1397,$G1397)&lt;=1),$P1397,"")</f>
        <v/>
      </c>
    </row>
    <row r="1398" spans="1:21">
      <c r="A1398" s="991" t="str">
        <f ca="1">IFERROR(IF(COUNTIF($A$3:A1397,A1397)&lt; INDEX(TinhGia!$BH$10:$BH$81,MATCH($A1397,TinhGia!$B$10:$B$81,0)),$A1397,INDEX(TinhGia!$B$10:$B$81,MATCH($A1397,TinhGia!$B$10:$B$81,0)+1)),"")</f>
        <v/>
      </c>
      <c r="B1398" s="525" t="str">
        <f ca="1">IF(OR(A1398="",A1398=0),"",IF(COUNTIF($A$2:A1398,$A1398)=1,ROW(MauKoXoa!$C$108),$B1397+1))</f>
        <v/>
      </c>
      <c r="C1398" s="992" t="str">
        <f t="shared" ca="1" si="213"/>
        <v/>
      </c>
      <c r="D1398" s="993" t="str">
        <f t="shared" ca="1" si="214"/>
        <v/>
      </c>
      <c r="E1398" s="993" t="str">
        <f t="shared" ca="1" si="215"/>
        <v/>
      </c>
      <c r="F1398" s="992" t="str">
        <f t="shared" ca="1" si="223"/>
        <v/>
      </c>
      <c r="G1398" s="994">
        <f t="shared" ca="1" si="216"/>
        <v>0</v>
      </c>
      <c r="H1398" s="913">
        <f t="shared" ca="1" si="217"/>
        <v>0</v>
      </c>
      <c r="I1398" s="913">
        <f t="shared" ca="1" si="218"/>
        <v>0</v>
      </c>
      <c r="J1398" s="995">
        <f t="shared" ca="1" si="224"/>
        <v>0</v>
      </c>
      <c r="K1398" s="913">
        <f t="shared" ca="1" si="219"/>
        <v>0</v>
      </c>
      <c r="L1398" s="995">
        <f t="shared" ca="1" si="225"/>
        <v>0</v>
      </c>
      <c r="M1398" s="913">
        <f t="shared" ca="1" si="220"/>
        <v>0</v>
      </c>
      <c r="N1398" s="996">
        <f t="shared" ca="1" si="221"/>
        <v>0</v>
      </c>
      <c r="O1398" s="997">
        <f t="shared" ca="1" si="222"/>
        <v>0</v>
      </c>
      <c r="P1398" s="1015" t="str">
        <f ca="1">IF($C1398="","",INDEX(NVLSX!$N$2:$N$6941,MATCH($C1398,NVLSX!$E$2:$E$6941,0)))</f>
        <v/>
      </c>
      <c r="Q1398" s="1016" t="str">
        <f ca="1">IF($R1398="","",IF(XKNVLSX!$X$1="",IF($P1398=$V$7,$P1398, IF(COUNTIFS($C$2:$C1397,$C1398,$E$2:$E1397,$E1398)&gt;=1,"",$P1398)),     IF(AND(IFERROR(SEARCH($R1398,XKNVLSX!$X$1,1),0)&gt;=1,$P1398=$V$7),$P1398, IF(OR($R1398&lt;&gt;IF(IFERROR(SEARCH($R1398,XKNVLSX!$X$1,1),0)&gt;=1,$R1398,XKNVLSX!$X$1),COUNTIFS($C$2:$C1397,$C1398,$E$2:$E1397,$E1398,$Q$2:$Q1397,$P1398)&gt;=1),"",$P1398))))</f>
        <v/>
      </c>
      <c r="R1398" s="1017" t="str">
        <f ca="1">IF($A1398="","",IFERROR(INDEX(TinhGia!$BF$10:$BF$81,MATCH($A1398,TinhGia!$B$10:$B$81,0)),""))</f>
        <v/>
      </c>
      <c r="S1398" s="1012" t="str">
        <f ca="1">IF($A1398="","",IF(OR(IFERROR(SEARCH($R1398,XKNVLSX!$X$1,1),0)&gt;=1,XKNVLSX!$X$1=""),$S$2,""))</f>
        <v/>
      </c>
      <c r="T1398" s="1018" t="str">
        <f ca="1">IF($C1398="","", IF(OR($P1398=$V$1,$P1398=$V$7,COUNTIFS($C$3:$C1398,$C1398,$E$3:$E1398,$E1398)&lt;=1),$P1398,""    ))</f>
        <v/>
      </c>
      <c r="U1398" s="1019" t="str">
        <f ca="1">IF(AND($P1398=$V$2,COUNTIFS($C$3:$C1398,$C1398,$E$3:$E1398,$E1398,$G$3:$G1398,$G1398)&lt;=1),$P1398,"")</f>
        <v/>
      </c>
    </row>
    <row r="1399" spans="1:21">
      <c r="A1399" s="991" t="str">
        <f ca="1">IFERROR(IF(COUNTIF($A$3:A1398,A1398)&lt; INDEX(TinhGia!$BH$10:$BH$81,MATCH($A1398,TinhGia!$B$10:$B$81,0)),$A1398,INDEX(TinhGia!$B$10:$B$81,MATCH($A1398,TinhGia!$B$10:$B$81,0)+1)),"")</f>
        <v/>
      </c>
      <c r="B1399" s="525" t="str">
        <f ca="1">IF(OR(A1399="",A1399=0),"",IF(COUNTIF($A$2:A1399,$A1399)=1,ROW(MauKoXoa!$C$108),$B1398+1))</f>
        <v/>
      </c>
      <c r="C1399" s="992" t="str">
        <f t="shared" ca="1" si="213"/>
        <v/>
      </c>
      <c r="D1399" s="993" t="str">
        <f t="shared" ca="1" si="214"/>
        <v/>
      </c>
      <c r="E1399" s="993" t="str">
        <f t="shared" ca="1" si="215"/>
        <v/>
      </c>
      <c r="F1399" s="992" t="str">
        <f t="shared" ca="1" si="223"/>
        <v/>
      </c>
      <c r="G1399" s="994">
        <f t="shared" ca="1" si="216"/>
        <v>0</v>
      </c>
      <c r="H1399" s="913">
        <f t="shared" ca="1" si="217"/>
        <v>0</v>
      </c>
      <c r="I1399" s="913">
        <f t="shared" ca="1" si="218"/>
        <v>0</v>
      </c>
      <c r="J1399" s="995">
        <f t="shared" ca="1" si="224"/>
        <v>0</v>
      </c>
      <c r="K1399" s="913">
        <f t="shared" ca="1" si="219"/>
        <v>0</v>
      </c>
      <c r="L1399" s="995">
        <f t="shared" ca="1" si="225"/>
        <v>0</v>
      </c>
      <c r="M1399" s="913">
        <f t="shared" ca="1" si="220"/>
        <v>0</v>
      </c>
      <c r="N1399" s="996">
        <f t="shared" ca="1" si="221"/>
        <v>0</v>
      </c>
      <c r="O1399" s="997">
        <f t="shared" ca="1" si="222"/>
        <v>0</v>
      </c>
      <c r="P1399" s="1015" t="str">
        <f ca="1">IF($C1399="","",INDEX(NVLSX!$N$2:$N$6941,MATCH($C1399,NVLSX!$E$2:$E$6941,0)))</f>
        <v/>
      </c>
      <c r="Q1399" s="1016" t="str">
        <f ca="1">IF($R1399="","",IF(XKNVLSX!$X$1="",IF($P1399=$V$7,$P1399, IF(COUNTIFS($C$2:$C1398,$C1399,$E$2:$E1398,$E1399)&gt;=1,"",$P1399)),     IF(AND(IFERROR(SEARCH($R1399,XKNVLSX!$X$1,1),0)&gt;=1,$P1399=$V$7),$P1399, IF(OR($R1399&lt;&gt;IF(IFERROR(SEARCH($R1399,XKNVLSX!$X$1,1),0)&gt;=1,$R1399,XKNVLSX!$X$1),COUNTIFS($C$2:$C1398,$C1399,$E$2:$E1398,$E1399,$Q$2:$Q1398,$P1399)&gt;=1),"",$P1399))))</f>
        <v/>
      </c>
      <c r="R1399" s="1017" t="str">
        <f ca="1">IF($A1399="","",IFERROR(INDEX(TinhGia!$BF$10:$BF$81,MATCH($A1399,TinhGia!$B$10:$B$81,0)),""))</f>
        <v/>
      </c>
      <c r="S1399" s="1012" t="str">
        <f ca="1">IF($A1399="","",IF(OR(IFERROR(SEARCH($R1399,XKNVLSX!$X$1,1),0)&gt;=1,XKNVLSX!$X$1=""),$S$2,""))</f>
        <v/>
      </c>
      <c r="T1399" s="1018" t="str">
        <f ca="1">IF($C1399="","", IF(OR($P1399=$V$1,$P1399=$V$7,COUNTIFS($C$3:$C1399,$C1399,$E$3:$E1399,$E1399)&lt;=1),$P1399,""    ))</f>
        <v/>
      </c>
      <c r="U1399" s="1019" t="str">
        <f ca="1">IF(AND($P1399=$V$2,COUNTIFS($C$3:$C1399,$C1399,$E$3:$E1399,$E1399,$G$3:$G1399,$G1399)&lt;=1),$P1399,"")</f>
        <v/>
      </c>
    </row>
    <row r="1400" spans="1:21">
      <c r="A1400" s="991" t="str">
        <f ca="1">IFERROR(IF(COUNTIF($A$3:A1399,A1399)&lt; INDEX(TinhGia!$BH$10:$BH$81,MATCH($A1399,TinhGia!$B$10:$B$81,0)),$A1399,INDEX(TinhGia!$B$10:$B$81,MATCH($A1399,TinhGia!$B$10:$B$81,0)+1)),"")</f>
        <v/>
      </c>
      <c r="B1400" s="525" t="str">
        <f ca="1">IF(OR(A1400="",A1400=0),"",IF(COUNTIF($A$2:A1400,$A1400)=1,ROW(MauKoXoa!$C$108),$B1399+1))</f>
        <v/>
      </c>
      <c r="C1400" s="992" t="str">
        <f t="shared" ca="1" si="213"/>
        <v/>
      </c>
      <c r="D1400" s="993" t="str">
        <f t="shared" ca="1" si="214"/>
        <v/>
      </c>
      <c r="E1400" s="993" t="str">
        <f t="shared" ca="1" si="215"/>
        <v/>
      </c>
      <c r="F1400" s="992" t="str">
        <f t="shared" ca="1" si="223"/>
        <v/>
      </c>
      <c r="G1400" s="994">
        <f t="shared" ca="1" si="216"/>
        <v>0</v>
      </c>
      <c r="H1400" s="913">
        <f t="shared" ca="1" si="217"/>
        <v>0</v>
      </c>
      <c r="I1400" s="913">
        <f t="shared" ca="1" si="218"/>
        <v>0</v>
      </c>
      <c r="J1400" s="995">
        <f t="shared" ca="1" si="224"/>
        <v>0</v>
      </c>
      <c r="K1400" s="913">
        <f t="shared" ca="1" si="219"/>
        <v>0</v>
      </c>
      <c r="L1400" s="995">
        <f t="shared" ca="1" si="225"/>
        <v>0</v>
      </c>
      <c r="M1400" s="913">
        <f t="shared" ca="1" si="220"/>
        <v>0</v>
      </c>
      <c r="N1400" s="996">
        <f t="shared" ca="1" si="221"/>
        <v>0</v>
      </c>
      <c r="O1400" s="997">
        <f t="shared" ca="1" si="222"/>
        <v>0</v>
      </c>
      <c r="P1400" s="1015" t="str">
        <f ca="1">IF($C1400="","",INDEX(NVLSX!$N$2:$N$6941,MATCH($C1400,NVLSX!$E$2:$E$6941,0)))</f>
        <v/>
      </c>
      <c r="Q1400" s="1016" t="str">
        <f ca="1">IF($R1400="","",IF(XKNVLSX!$X$1="",IF($P1400=$V$7,$P1400, IF(COUNTIFS($C$2:$C1399,$C1400,$E$2:$E1399,$E1400)&gt;=1,"",$P1400)),     IF(AND(IFERROR(SEARCH($R1400,XKNVLSX!$X$1,1),0)&gt;=1,$P1400=$V$7),$P1400, IF(OR($R1400&lt;&gt;IF(IFERROR(SEARCH($R1400,XKNVLSX!$X$1,1),0)&gt;=1,$R1400,XKNVLSX!$X$1),COUNTIFS($C$2:$C1399,$C1400,$E$2:$E1399,$E1400,$Q$2:$Q1399,$P1400)&gt;=1),"",$P1400))))</f>
        <v/>
      </c>
      <c r="R1400" s="1017" t="str">
        <f ca="1">IF($A1400="","",IFERROR(INDEX(TinhGia!$BF$10:$BF$81,MATCH($A1400,TinhGia!$B$10:$B$81,0)),""))</f>
        <v/>
      </c>
      <c r="S1400" s="1012" t="str">
        <f ca="1">IF($A1400="","",IF(OR(IFERROR(SEARCH($R1400,XKNVLSX!$X$1,1),0)&gt;=1,XKNVLSX!$X$1=""),$S$2,""))</f>
        <v/>
      </c>
      <c r="T1400" s="1018" t="str">
        <f ca="1">IF($C1400="","", IF(OR($P1400=$V$1,$P1400=$V$7,COUNTIFS($C$3:$C1400,$C1400,$E$3:$E1400,$E1400)&lt;=1),$P1400,""    ))</f>
        <v/>
      </c>
      <c r="U1400" s="1019" t="str">
        <f ca="1">IF(AND($P1400=$V$2,COUNTIFS($C$3:$C1400,$C1400,$E$3:$E1400,$E1400,$G$3:$G1400,$G1400)&lt;=1),$P1400,"")</f>
        <v/>
      </c>
    </row>
    <row r="1401" spans="1:21">
      <c r="A1401" s="991" t="str">
        <f ca="1">IFERROR(IF(COUNTIF($A$3:A1400,A1400)&lt; INDEX(TinhGia!$BH$10:$BH$81,MATCH($A1400,TinhGia!$B$10:$B$81,0)),$A1400,INDEX(TinhGia!$B$10:$B$81,MATCH($A1400,TinhGia!$B$10:$B$81,0)+1)),"")</f>
        <v/>
      </c>
      <c r="B1401" s="525" t="str">
        <f ca="1">IF(OR(A1401="",A1401=0),"",IF(COUNTIF($A$2:A1401,$A1401)=1,ROW(MauKoXoa!$C$108),$B1400+1))</f>
        <v/>
      </c>
      <c r="C1401" s="992" t="str">
        <f t="shared" ca="1" si="213"/>
        <v/>
      </c>
      <c r="D1401" s="993" t="str">
        <f t="shared" ca="1" si="214"/>
        <v/>
      </c>
      <c r="E1401" s="993" t="str">
        <f t="shared" ca="1" si="215"/>
        <v/>
      </c>
      <c r="F1401" s="992" t="str">
        <f t="shared" ca="1" si="223"/>
        <v/>
      </c>
      <c r="G1401" s="994">
        <f t="shared" ca="1" si="216"/>
        <v>0</v>
      </c>
      <c r="H1401" s="913">
        <f t="shared" ca="1" si="217"/>
        <v>0</v>
      </c>
      <c r="I1401" s="913">
        <f t="shared" ca="1" si="218"/>
        <v>0</v>
      </c>
      <c r="J1401" s="995">
        <f t="shared" ca="1" si="224"/>
        <v>0</v>
      </c>
      <c r="K1401" s="913">
        <f t="shared" ca="1" si="219"/>
        <v>0</v>
      </c>
      <c r="L1401" s="995">
        <f t="shared" ca="1" si="225"/>
        <v>0</v>
      </c>
      <c r="M1401" s="913">
        <f t="shared" ca="1" si="220"/>
        <v>0</v>
      </c>
      <c r="N1401" s="996">
        <f t="shared" ca="1" si="221"/>
        <v>0</v>
      </c>
      <c r="O1401" s="997">
        <f t="shared" ca="1" si="222"/>
        <v>0</v>
      </c>
      <c r="P1401" s="1015" t="str">
        <f ca="1">IF($C1401="","",INDEX(NVLSX!$N$2:$N$6941,MATCH($C1401,NVLSX!$E$2:$E$6941,0)))</f>
        <v/>
      </c>
      <c r="Q1401" s="1016" t="str">
        <f ca="1">IF($R1401="","",IF(XKNVLSX!$X$1="",IF($P1401=$V$7,$P1401, IF(COUNTIFS($C$2:$C1400,$C1401,$E$2:$E1400,$E1401)&gt;=1,"",$P1401)),     IF(AND(IFERROR(SEARCH($R1401,XKNVLSX!$X$1,1),0)&gt;=1,$P1401=$V$7),$P1401, IF(OR($R1401&lt;&gt;IF(IFERROR(SEARCH($R1401,XKNVLSX!$X$1,1),0)&gt;=1,$R1401,XKNVLSX!$X$1),COUNTIFS($C$2:$C1400,$C1401,$E$2:$E1400,$E1401,$Q$2:$Q1400,$P1401)&gt;=1),"",$P1401))))</f>
        <v/>
      </c>
      <c r="R1401" s="1017" t="str">
        <f ca="1">IF($A1401="","",IFERROR(INDEX(TinhGia!$BF$10:$BF$81,MATCH($A1401,TinhGia!$B$10:$B$81,0)),""))</f>
        <v/>
      </c>
      <c r="S1401" s="1012" t="str">
        <f ca="1">IF($A1401="","",IF(OR(IFERROR(SEARCH($R1401,XKNVLSX!$X$1,1),0)&gt;=1,XKNVLSX!$X$1=""),$S$2,""))</f>
        <v/>
      </c>
      <c r="T1401" s="1018" t="str">
        <f ca="1">IF($C1401="","", IF(OR($P1401=$V$1,$P1401=$V$7,COUNTIFS($C$3:$C1401,$C1401,$E$3:$E1401,$E1401)&lt;=1),$P1401,""    ))</f>
        <v/>
      </c>
      <c r="U1401" s="1019" t="str">
        <f ca="1">IF(AND($P1401=$V$2,COUNTIFS($C$3:$C1401,$C1401,$E$3:$E1401,$E1401,$G$3:$G1401,$G1401)&lt;=1),$P1401,"")</f>
        <v/>
      </c>
    </row>
    <row r="1402" spans="1:21">
      <c r="A1402" s="991" t="str">
        <f ca="1">IFERROR(IF(COUNTIF($A$3:A1401,A1401)&lt; INDEX(TinhGia!$BH$10:$BH$81,MATCH($A1401,TinhGia!$B$10:$B$81,0)),$A1401,INDEX(TinhGia!$B$10:$B$81,MATCH($A1401,TinhGia!$B$10:$B$81,0)+1)),"")</f>
        <v/>
      </c>
      <c r="B1402" s="525" t="str">
        <f ca="1">IF(OR(A1402="",A1402=0),"",IF(COUNTIF($A$2:A1402,$A1402)=1,ROW(MauKoXoa!$C$108),$B1401+1))</f>
        <v/>
      </c>
      <c r="C1402" s="992" t="str">
        <f t="shared" ca="1" si="213"/>
        <v/>
      </c>
      <c r="D1402" s="993" t="str">
        <f t="shared" ca="1" si="214"/>
        <v/>
      </c>
      <c r="E1402" s="993" t="str">
        <f t="shared" ca="1" si="215"/>
        <v/>
      </c>
      <c r="F1402" s="992" t="str">
        <f t="shared" ca="1" si="223"/>
        <v/>
      </c>
      <c r="G1402" s="994">
        <f t="shared" ca="1" si="216"/>
        <v>0</v>
      </c>
      <c r="H1402" s="913">
        <f t="shared" ca="1" si="217"/>
        <v>0</v>
      </c>
      <c r="I1402" s="913">
        <f t="shared" ca="1" si="218"/>
        <v>0</v>
      </c>
      <c r="J1402" s="995">
        <f t="shared" ca="1" si="224"/>
        <v>0</v>
      </c>
      <c r="K1402" s="913">
        <f t="shared" ca="1" si="219"/>
        <v>0</v>
      </c>
      <c r="L1402" s="995">
        <f t="shared" ca="1" si="225"/>
        <v>0</v>
      </c>
      <c r="M1402" s="913">
        <f t="shared" ca="1" si="220"/>
        <v>0</v>
      </c>
      <c r="N1402" s="996">
        <f t="shared" ca="1" si="221"/>
        <v>0</v>
      </c>
      <c r="O1402" s="997">
        <f t="shared" ca="1" si="222"/>
        <v>0</v>
      </c>
      <c r="P1402" s="1015" t="str">
        <f ca="1">IF($C1402="","",INDEX(NVLSX!$N$2:$N$6941,MATCH($C1402,NVLSX!$E$2:$E$6941,0)))</f>
        <v/>
      </c>
      <c r="Q1402" s="1016" t="str">
        <f ca="1">IF($R1402="","",IF(XKNVLSX!$X$1="",IF($P1402=$V$7,$P1402, IF(COUNTIFS($C$2:$C1401,$C1402,$E$2:$E1401,$E1402)&gt;=1,"",$P1402)),     IF(AND(IFERROR(SEARCH($R1402,XKNVLSX!$X$1,1),0)&gt;=1,$P1402=$V$7),$P1402, IF(OR($R1402&lt;&gt;IF(IFERROR(SEARCH($R1402,XKNVLSX!$X$1,1),0)&gt;=1,$R1402,XKNVLSX!$X$1),COUNTIFS($C$2:$C1401,$C1402,$E$2:$E1401,$E1402,$Q$2:$Q1401,$P1402)&gt;=1),"",$P1402))))</f>
        <v/>
      </c>
      <c r="R1402" s="1017" t="str">
        <f ca="1">IF($A1402="","",IFERROR(INDEX(TinhGia!$BF$10:$BF$81,MATCH($A1402,TinhGia!$B$10:$B$81,0)),""))</f>
        <v/>
      </c>
      <c r="S1402" s="1012" t="str">
        <f ca="1">IF($A1402="","",IF(OR(IFERROR(SEARCH($R1402,XKNVLSX!$X$1,1),0)&gt;=1,XKNVLSX!$X$1=""),$S$2,""))</f>
        <v/>
      </c>
      <c r="T1402" s="1018" t="str">
        <f ca="1">IF($C1402="","", IF(OR($P1402=$V$1,$P1402=$V$7,COUNTIFS($C$3:$C1402,$C1402,$E$3:$E1402,$E1402)&lt;=1),$P1402,""    ))</f>
        <v/>
      </c>
      <c r="U1402" s="1019" t="str">
        <f ca="1">IF(AND($P1402=$V$2,COUNTIFS($C$3:$C1402,$C1402,$E$3:$E1402,$E1402,$G$3:$G1402,$G1402)&lt;=1),$P1402,"")</f>
        <v/>
      </c>
    </row>
    <row r="1403" spans="1:21">
      <c r="A1403" s="991" t="str">
        <f ca="1">IFERROR(IF(COUNTIF($A$3:A1402,A1402)&lt; INDEX(TinhGia!$BH$10:$BH$81,MATCH($A1402,TinhGia!$B$10:$B$81,0)),$A1402,INDEX(TinhGia!$B$10:$B$81,MATCH($A1402,TinhGia!$B$10:$B$81,0)+1)),"")</f>
        <v/>
      </c>
      <c r="B1403" s="525" t="str">
        <f ca="1">IF(OR(A1403="",A1403=0),"",IF(COUNTIF($A$2:A1403,$A1403)=1,ROW(MauKoXoa!$C$108),$B1402+1))</f>
        <v/>
      </c>
      <c r="C1403" s="992" t="str">
        <f t="shared" ca="1" si="213"/>
        <v/>
      </c>
      <c r="D1403" s="993" t="str">
        <f t="shared" ca="1" si="214"/>
        <v/>
      </c>
      <c r="E1403" s="993" t="str">
        <f t="shared" ca="1" si="215"/>
        <v/>
      </c>
      <c r="F1403" s="992" t="str">
        <f t="shared" ca="1" si="223"/>
        <v/>
      </c>
      <c r="G1403" s="994">
        <f t="shared" ca="1" si="216"/>
        <v>0</v>
      </c>
      <c r="H1403" s="913">
        <f t="shared" ca="1" si="217"/>
        <v>0</v>
      </c>
      <c r="I1403" s="913">
        <f t="shared" ca="1" si="218"/>
        <v>0</v>
      </c>
      <c r="J1403" s="995">
        <f t="shared" ca="1" si="224"/>
        <v>0</v>
      </c>
      <c r="K1403" s="913">
        <f t="shared" ca="1" si="219"/>
        <v>0</v>
      </c>
      <c r="L1403" s="995">
        <f t="shared" ca="1" si="225"/>
        <v>0</v>
      </c>
      <c r="M1403" s="913">
        <f t="shared" ca="1" si="220"/>
        <v>0</v>
      </c>
      <c r="N1403" s="996">
        <f t="shared" ca="1" si="221"/>
        <v>0</v>
      </c>
      <c r="O1403" s="997">
        <f t="shared" ca="1" si="222"/>
        <v>0</v>
      </c>
      <c r="P1403" s="1015" t="str">
        <f ca="1">IF($C1403="","",INDEX(NVLSX!$N$2:$N$6941,MATCH($C1403,NVLSX!$E$2:$E$6941,0)))</f>
        <v/>
      </c>
      <c r="Q1403" s="1016" t="str">
        <f ca="1">IF($R1403="","",IF(XKNVLSX!$X$1="",IF($P1403=$V$7,$P1403, IF(COUNTIFS($C$2:$C1402,$C1403,$E$2:$E1402,$E1403)&gt;=1,"",$P1403)),     IF(AND(IFERROR(SEARCH($R1403,XKNVLSX!$X$1,1),0)&gt;=1,$P1403=$V$7),$P1403, IF(OR($R1403&lt;&gt;IF(IFERROR(SEARCH($R1403,XKNVLSX!$X$1,1),0)&gt;=1,$R1403,XKNVLSX!$X$1),COUNTIFS($C$2:$C1402,$C1403,$E$2:$E1402,$E1403,$Q$2:$Q1402,$P1403)&gt;=1),"",$P1403))))</f>
        <v/>
      </c>
      <c r="R1403" s="1017" t="str">
        <f ca="1">IF($A1403="","",IFERROR(INDEX(TinhGia!$BF$10:$BF$81,MATCH($A1403,TinhGia!$B$10:$B$81,0)),""))</f>
        <v/>
      </c>
      <c r="S1403" s="1012" t="str">
        <f ca="1">IF($A1403="","",IF(OR(IFERROR(SEARCH($R1403,XKNVLSX!$X$1,1),0)&gt;=1,XKNVLSX!$X$1=""),$S$2,""))</f>
        <v/>
      </c>
      <c r="T1403" s="1018" t="str">
        <f ca="1">IF($C1403="","", IF(OR($P1403=$V$1,$P1403=$V$7,COUNTIFS($C$3:$C1403,$C1403,$E$3:$E1403,$E1403)&lt;=1),$P1403,""    ))</f>
        <v/>
      </c>
      <c r="U1403" s="1019" t="str">
        <f ca="1">IF(AND($P1403=$V$2,COUNTIFS($C$3:$C1403,$C1403,$E$3:$E1403,$E1403,$G$3:$G1403,$G1403)&lt;=1),$P1403,"")</f>
        <v/>
      </c>
    </row>
    <row r="1404" spans="1:21">
      <c r="A1404" s="991" t="str">
        <f ca="1">IFERROR(IF(COUNTIF($A$3:A1403,A1403)&lt; INDEX(TinhGia!$BH$10:$BH$81,MATCH($A1403,TinhGia!$B$10:$B$81,0)),$A1403,INDEX(TinhGia!$B$10:$B$81,MATCH($A1403,TinhGia!$B$10:$B$81,0)+1)),"")</f>
        <v/>
      </c>
      <c r="B1404" s="525" t="str">
        <f ca="1">IF(OR(A1404="",A1404=0),"",IF(COUNTIF($A$2:A1404,$A1404)=1,ROW(MauKoXoa!$C$108),$B1403+1))</f>
        <v/>
      </c>
      <c r="C1404" s="992" t="str">
        <f t="shared" ca="1" si="213"/>
        <v/>
      </c>
      <c r="D1404" s="993" t="str">
        <f t="shared" ca="1" si="214"/>
        <v/>
      </c>
      <c r="E1404" s="993" t="str">
        <f t="shared" ca="1" si="215"/>
        <v/>
      </c>
      <c r="F1404" s="992" t="str">
        <f t="shared" ca="1" si="223"/>
        <v/>
      </c>
      <c r="G1404" s="994">
        <f t="shared" ca="1" si="216"/>
        <v>0</v>
      </c>
      <c r="H1404" s="913">
        <f t="shared" ca="1" si="217"/>
        <v>0</v>
      </c>
      <c r="I1404" s="913">
        <f t="shared" ca="1" si="218"/>
        <v>0</v>
      </c>
      <c r="J1404" s="995">
        <f t="shared" ca="1" si="224"/>
        <v>0</v>
      </c>
      <c r="K1404" s="913">
        <f t="shared" ca="1" si="219"/>
        <v>0</v>
      </c>
      <c r="L1404" s="995">
        <f t="shared" ca="1" si="225"/>
        <v>0</v>
      </c>
      <c r="M1404" s="913">
        <f t="shared" ca="1" si="220"/>
        <v>0</v>
      </c>
      <c r="N1404" s="996">
        <f t="shared" ca="1" si="221"/>
        <v>0</v>
      </c>
      <c r="O1404" s="997">
        <f t="shared" ca="1" si="222"/>
        <v>0</v>
      </c>
      <c r="P1404" s="1015" t="str">
        <f ca="1">IF($C1404="","",INDEX(NVLSX!$N$2:$N$6941,MATCH($C1404,NVLSX!$E$2:$E$6941,0)))</f>
        <v/>
      </c>
      <c r="Q1404" s="1016" t="str">
        <f ca="1">IF($R1404="","",IF(XKNVLSX!$X$1="",IF($P1404=$V$7,$P1404, IF(COUNTIFS($C$2:$C1403,$C1404,$E$2:$E1403,$E1404)&gt;=1,"",$P1404)),     IF(AND(IFERROR(SEARCH($R1404,XKNVLSX!$X$1,1),0)&gt;=1,$P1404=$V$7),$P1404, IF(OR($R1404&lt;&gt;IF(IFERROR(SEARCH($R1404,XKNVLSX!$X$1,1),0)&gt;=1,$R1404,XKNVLSX!$X$1),COUNTIFS($C$2:$C1403,$C1404,$E$2:$E1403,$E1404,$Q$2:$Q1403,$P1404)&gt;=1),"",$P1404))))</f>
        <v/>
      </c>
      <c r="R1404" s="1017" t="str">
        <f ca="1">IF($A1404="","",IFERROR(INDEX(TinhGia!$BF$10:$BF$81,MATCH($A1404,TinhGia!$B$10:$B$81,0)),""))</f>
        <v/>
      </c>
      <c r="S1404" s="1012" t="str">
        <f ca="1">IF($A1404="","",IF(OR(IFERROR(SEARCH($R1404,XKNVLSX!$X$1,1),0)&gt;=1,XKNVLSX!$X$1=""),$S$2,""))</f>
        <v/>
      </c>
      <c r="T1404" s="1018" t="str">
        <f ca="1">IF($C1404="","", IF(OR($P1404=$V$1,$P1404=$V$7,COUNTIFS($C$3:$C1404,$C1404,$E$3:$E1404,$E1404)&lt;=1),$P1404,""    ))</f>
        <v/>
      </c>
      <c r="U1404" s="1019" t="str">
        <f ca="1">IF(AND($P1404=$V$2,COUNTIFS($C$3:$C1404,$C1404,$E$3:$E1404,$E1404,$G$3:$G1404,$G1404)&lt;=1),$P1404,"")</f>
        <v/>
      </c>
    </row>
    <row r="1405" spans="1:21">
      <c r="A1405" s="991" t="str">
        <f ca="1">IFERROR(IF(COUNTIF($A$3:A1404,A1404)&lt; INDEX(TinhGia!$BH$10:$BH$81,MATCH($A1404,TinhGia!$B$10:$B$81,0)),$A1404,INDEX(TinhGia!$B$10:$B$81,MATCH($A1404,TinhGia!$B$10:$B$81,0)+1)),"")</f>
        <v/>
      </c>
      <c r="B1405" s="525" t="str">
        <f ca="1">IF(OR(A1405="",A1405=0),"",IF(COUNTIF($A$2:A1405,$A1405)=1,ROW(MauKoXoa!$C$108),$B1404+1))</f>
        <v/>
      </c>
      <c r="C1405" s="992" t="str">
        <f t="shared" ca="1" si="213"/>
        <v/>
      </c>
      <c r="D1405" s="993" t="str">
        <f t="shared" ca="1" si="214"/>
        <v/>
      </c>
      <c r="E1405" s="993" t="str">
        <f t="shared" ca="1" si="215"/>
        <v/>
      </c>
      <c r="F1405" s="992" t="str">
        <f t="shared" ca="1" si="223"/>
        <v/>
      </c>
      <c r="G1405" s="994">
        <f t="shared" ca="1" si="216"/>
        <v>0</v>
      </c>
      <c r="H1405" s="913">
        <f t="shared" ca="1" si="217"/>
        <v>0</v>
      </c>
      <c r="I1405" s="913">
        <f t="shared" ca="1" si="218"/>
        <v>0</v>
      </c>
      <c r="J1405" s="995">
        <f t="shared" ca="1" si="224"/>
        <v>0</v>
      </c>
      <c r="K1405" s="913">
        <f t="shared" ca="1" si="219"/>
        <v>0</v>
      </c>
      <c r="L1405" s="995">
        <f t="shared" ca="1" si="225"/>
        <v>0</v>
      </c>
      <c r="M1405" s="913">
        <f t="shared" ca="1" si="220"/>
        <v>0</v>
      </c>
      <c r="N1405" s="996">
        <f t="shared" ca="1" si="221"/>
        <v>0</v>
      </c>
      <c r="O1405" s="997">
        <f t="shared" ca="1" si="222"/>
        <v>0</v>
      </c>
      <c r="P1405" s="1015" t="str">
        <f ca="1">IF($C1405="","",INDEX(NVLSX!$N$2:$N$6941,MATCH($C1405,NVLSX!$E$2:$E$6941,0)))</f>
        <v/>
      </c>
      <c r="Q1405" s="1016" t="str">
        <f ca="1">IF($R1405="","",IF(XKNVLSX!$X$1="",IF($P1405=$V$7,$P1405, IF(COUNTIFS($C$2:$C1404,$C1405,$E$2:$E1404,$E1405)&gt;=1,"",$P1405)),     IF(AND(IFERROR(SEARCH($R1405,XKNVLSX!$X$1,1),0)&gt;=1,$P1405=$V$7),$P1405, IF(OR($R1405&lt;&gt;IF(IFERROR(SEARCH($R1405,XKNVLSX!$X$1,1),0)&gt;=1,$R1405,XKNVLSX!$X$1),COUNTIFS($C$2:$C1404,$C1405,$E$2:$E1404,$E1405,$Q$2:$Q1404,$P1405)&gt;=1),"",$P1405))))</f>
        <v/>
      </c>
      <c r="R1405" s="1017" t="str">
        <f ca="1">IF($A1405="","",IFERROR(INDEX(TinhGia!$BF$10:$BF$81,MATCH($A1405,TinhGia!$B$10:$B$81,0)),""))</f>
        <v/>
      </c>
      <c r="S1405" s="1012" t="str">
        <f ca="1">IF($A1405="","",IF(OR(IFERROR(SEARCH($R1405,XKNVLSX!$X$1,1),0)&gt;=1,XKNVLSX!$X$1=""),$S$2,""))</f>
        <v/>
      </c>
      <c r="T1405" s="1018" t="str">
        <f ca="1">IF($C1405="","", IF(OR($P1405=$V$1,$P1405=$V$7,COUNTIFS($C$3:$C1405,$C1405,$E$3:$E1405,$E1405)&lt;=1),$P1405,""    ))</f>
        <v/>
      </c>
      <c r="U1405" s="1019" t="str">
        <f ca="1">IF(AND($P1405=$V$2,COUNTIFS($C$3:$C1405,$C1405,$E$3:$E1405,$E1405,$G$3:$G1405,$G1405)&lt;=1),$P1405,"")</f>
        <v/>
      </c>
    </row>
    <row r="1406" spans="1:21">
      <c r="A1406" s="991" t="str">
        <f ca="1">IFERROR(IF(COUNTIF($A$3:A1405,A1405)&lt; INDEX(TinhGia!$BH$10:$BH$81,MATCH($A1405,TinhGia!$B$10:$B$81,0)),$A1405,INDEX(TinhGia!$B$10:$B$81,MATCH($A1405,TinhGia!$B$10:$B$81,0)+1)),"")</f>
        <v/>
      </c>
      <c r="B1406" s="525" t="str">
        <f ca="1">IF(OR(A1406="",A1406=0),"",IF(COUNTIF($A$2:A1406,$A1406)=1,ROW(MauKoXoa!$C$108),$B1405+1))</f>
        <v/>
      </c>
      <c r="C1406" s="992" t="str">
        <f t="shared" ca="1" si="213"/>
        <v/>
      </c>
      <c r="D1406" s="993" t="str">
        <f t="shared" ca="1" si="214"/>
        <v/>
      </c>
      <c r="E1406" s="993" t="str">
        <f t="shared" ca="1" si="215"/>
        <v/>
      </c>
      <c r="F1406" s="992" t="str">
        <f t="shared" ca="1" si="223"/>
        <v/>
      </c>
      <c r="G1406" s="994">
        <f t="shared" ca="1" si="216"/>
        <v>0</v>
      </c>
      <c r="H1406" s="913">
        <f t="shared" ca="1" si="217"/>
        <v>0</v>
      </c>
      <c r="I1406" s="913">
        <f t="shared" ca="1" si="218"/>
        <v>0</v>
      </c>
      <c r="J1406" s="995">
        <f t="shared" ca="1" si="224"/>
        <v>0</v>
      </c>
      <c r="K1406" s="913">
        <f t="shared" ca="1" si="219"/>
        <v>0</v>
      </c>
      <c r="L1406" s="995">
        <f t="shared" ca="1" si="225"/>
        <v>0</v>
      </c>
      <c r="M1406" s="913">
        <f t="shared" ca="1" si="220"/>
        <v>0</v>
      </c>
      <c r="N1406" s="996">
        <f t="shared" ca="1" si="221"/>
        <v>0</v>
      </c>
      <c r="O1406" s="997">
        <f t="shared" ca="1" si="222"/>
        <v>0</v>
      </c>
      <c r="P1406" s="1015" t="str">
        <f ca="1">IF($C1406="","",INDEX(NVLSX!$N$2:$N$6941,MATCH($C1406,NVLSX!$E$2:$E$6941,0)))</f>
        <v/>
      </c>
      <c r="Q1406" s="1016" t="str">
        <f ca="1">IF($R1406="","",IF(XKNVLSX!$X$1="",IF($P1406=$V$7,$P1406, IF(COUNTIFS($C$2:$C1405,$C1406,$E$2:$E1405,$E1406)&gt;=1,"",$P1406)),     IF(AND(IFERROR(SEARCH($R1406,XKNVLSX!$X$1,1),0)&gt;=1,$P1406=$V$7),$P1406, IF(OR($R1406&lt;&gt;IF(IFERROR(SEARCH($R1406,XKNVLSX!$X$1,1),0)&gt;=1,$R1406,XKNVLSX!$X$1),COUNTIFS($C$2:$C1405,$C1406,$E$2:$E1405,$E1406,$Q$2:$Q1405,$P1406)&gt;=1),"",$P1406))))</f>
        <v/>
      </c>
      <c r="R1406" s="1017" t="str">
        <f ca="1">IF($A1406="","",IFERROR(INDEX(TinhGia!$BF$10:$BF$81,MATCH($A1406,TinhGia!$B$10:$B$81,0)),""))</f>
        <v/>
      </c>
      <c r="S1406" s="1012" t="str">
        <f ca="1">IF($A1406="","",IF(OR(IFERROR(SEARCH($R1406,XKNVLSX!$X$1,1),0)&gt;=1,XKNVLSX!$X$1=""),$S$2,""))</f>
        <v/>
      </c>
      <c r="T1406" s="1018" t="str">
        <f ca="1">IF($C1406="","", IF(OR($P1406=$V$1,$P1406=$V$7,COUNTIFS($C$3:$C1406,$C1406,$E$3:$E1406,$E1406)&lt;=1),$P1406,""    ))</f>
        <v/>
      </c>
      <c r="U1406" s="1019" t="str">
        <f ca="1">IF(AND($P1406=$V$2,COUNTIFS($C$3:$C1406,$C1406,$E$3:$E1406,$E1406,$G$3:$G1406,$G1406)&lt;=1),$P1406,"")</f>
        <v/>
      </c>
    </row>
    <row r="1407" spans="1:21">
      <c r="A1407" s="991" t="str">
        <f ca="1">IFERROR(IF(COUNTIF($A$3:A1406,A1406)&lt; INDEX(TinhGia!$BH$10:$BH$81,MATCH($A1406,TinhGia!$B$10:$B$81,0)),$A1406,INDEX(TinhGia!$B$10:$B$81,MATCH($A1406,TinhGia!$B$10:$B$81,0)+1)),"")</f>
        <v/>
      </c>
      <c r="B1407" s="525" t="str">
        <f ca="1">IF(OR(A1407="",A1407=0),"",IF(COUNTIF($A$2:A1407,$A1407)=1,ROW(MauKoXoa!$C$108),$B1406+1))</f>
        <v/>
      </c>
      <c r="C1407" s="992" t="str">
        <f t="shared" ca="1" si="213"/>
        <v/>
      </c>
      <c r="D1407" s="993" t="str">
        <f t="shared" ca="1" si="214"/>
        <v/>
      </c>
      <c r="E1407" s="993" t="str">
        <f t="shared" ca="1" si="215"/>
        <v/>
      </c>
      <c r="F1407" s="992" t="str">
        <f t="shared" ca="1" si="223"/>
        <v/>
      </c>
      <c r="G1407" s="994">
        <f t="shared" ca="1" si="216"/>
        <v>0</v>
      </c>
      <c r="H1407" s="913">
        <f t="shared" ca="1" si="217"/>
        <v>0</v>
      </c>
      <c r="I1407" s="913">
        <f t="shared" ca="1" si="218"/>
        <v>0</v>
      </c>
      <c r="J1407" s="995">
        <f t="shared" ca="1" si="224"/>
        <v>0</v>
      </c>
      <c r="K1407" s="913">
        <f t="shared" ca="1" si="219"/>
        <v>0</v>
      </c>
      <c r="L1407" s="995">
        <f t="shared" ca="1" si="225"/>
        <v>0</v>
      </c>
      <c r="M1407" s="913">
        <f t="shared" ca="1" si="220"/>
        <v>0</v>
      </c>
      <c r="N1407" s="996">
        <f t="shared" ca="1" si="221"/>
        <v>0</v>
      </c>
      <c r="O1407" s="997">
        <f t="shared" ca="1" si="222"/>
        <v>0</v>
      </c>
      <c r="P1407" s="1015" t="str">
        <f ca="1">IF($C1407="","",INDEX(NVLSX!$N$2:$N$6941,MATCH($C1407,NVLSX!$E$2:$E$6941,0)))</f>
        <v/>
      </c>
      <c r="Q1407" s="1016" t="str">
        <f ca="1">IF($R1407="","",IF(XKNVLSX!$X$1="",IF($P1407=$V$7,$P1407, IF(COUNTIFS($C$2:$C1406,$C1407,$E$2:$E1406,$E1407)&gt;=1,"",$P1407)),     IF(AND(IFERROR(SEARCH($R1407,XKNVLSX!$X$1,1),0)&gt;=1,$P1407=$V$7),$P1407, IF(OR($R1407&lt;&gt;IF(IFERROR(SEARCH($R1407,XKNVLSX!$X$1,1),0)&gt;=1,$R1407,XKNVLSX!$X$1),COUNTIFS($C$2:$C1406,$C1407,$E$2:$E1406,$E1407,$Q$2:$Q1406,$P1407)&gt;=1),"",$P1407))))</f>
        <v/>
      </c>
      <c r="R1407" s="1017" t="str">
        <f ca="1">IF($A1407="","",IFERROR(INDEX(TinhGia!$BF$10:$BF$81,MATCH($A1407,TinhGia!$B$10:$B$81,0)),""))</f>
        <v/>
      </c>
      <c r="S1407" s="1012" t="str">
        <f ca="1">IF($A1407="","",IF(OR(IFERROR(SEARCH($R1407,XKNVLSX!$X$1,1),0)&gt;=1,XKNVLSX!$X$1=""),$S$2,""))</f>
        <v/>
      </c>
      <c r="T1407" s="1018" t="str">
        <f ca="1">IF($C1407="","", IF(OR($P1407=$V$1,$P1407=$V$7,COUNTIFS($C$3:$C1407,$C1407,$E$3:$E1407,$E1407)&lt;=1),$P1407,""    ))</f>
        <v/>
      </c>
      <c r="U1407" s="1019" t="str">
        <f ca="1">IF(AND($P1407=$V$2,COUNTIFS($C$3:$C1407,$C1407,$E$3:$E1407,$E1407,$G$3:$G1407,$G1407)&lt;=1),$P1407,"")</f>
        <v/>
      </c>
    </row>
    <row r="1408" spans="1:21">
      <c r="A1408" s="991" t="str">
        <f ca="1">IFERROR(IF(COUNTIF($A$3:A1407,A1407)&lt; INDEX(TinhGia!$BH$10:$BH$81,MATCH($A1407,TinhGia!$B$10:$B$81,0)),$A1407,INDEX(TinhGia!$B$10:$B$81,MATCH($A1407,TinhGia!$B$10:$B$81,0)+1)),"")</f>
        <v/>
      </c>
      <c r="B1408" s="525" t="str">
        <f ca="1">IF(OR(A1408="",A1408=0),"",IF(COUNTIF($A$2:A1408,$A1408)=1,ROW(MauKoXoa!$C$108),$B1407+1))</f>
        <v/>
      </c>
      <c r="C1408" s="992" t="str">
        <f t="shared" ref="C1408:C1471" ca="1" si="226">IFERROR(INDIRECT("'" &amp; $A1408 &amp; "'!" &amp; "C" &amp; $B1408),"")</f>
        <v/>
      </c>
      <c r="D1408" s="993" t="str">
        <f t="shared" ref="D1408:D1471" ca="1" si="227">IFERROR(INDIRECT("'" &amp; $A1408 &amp; "'!" &amp; "D" &amp; $B1408),"")</f>
        <v/>
      </c>
      <c r="E1408" s="993" t="str">
        <f t="shared" ref="E1408:E1471" ca="1" si="228">IFERROR(INDIRECT("'" &amp; $A1408 &amp; "'!" &amp; "P" &amp; $B1408),"")</f>
        <v/>
      </c>
      <c r="F1408" s="992" t="str">
        <f t="shared" ca="1" si="223"/>
        <v/>
      </c>
      <c r="G1408" s="994">
        <f t="shared" ref="G1408:G1471" ca="1" si="229">IFERROR(INDIRECT("'" &amp; $A1408 &amp; "'!" &amp; "F" &amp; $B1408),0)</f>
        <v>0</v>
      </c>
      <c r="H1408" s="913">
        <f t="shared" ref="H1408:H1471" ca="1" si="230">IFERROR(INDIRECT("'" &amp; $A1408 &amp; "'!" &amp; "G" &amp; $B1408),0)</f>
        <v>0</v>
      </c>
      <c r="I1408" s="913">
        <f t="shared" ref="I1408:I1471" ca="1" si="231">IFERROR(INDIRECT("'" &amp; $A1408 &amp; "'!" &amp; "H" &amp; $B1408),0)</f>
        <v>0</v>
      </c>
      <c r="J1408" s="995">
        <f t="shared" ca="1" si="224"/>
        <v>0</v>
      </c>
      <c r="K1408" s="913">
        <f t="shared" ref="K1408:K1471" ca="1" si="232">IFERROR(INDIRECT("'" &amp; $A1408 &amp; "'!" &amp; "L" &amp; $B1408),0)</f>
        <v>0</v>
      </c>
      <c r="L1408" s="995">
        <f t="shared" ca="1" si="225"/>
        <v>0</v>
      </c>
      <c r="M1408" s="913">
        <f t="shared" ref="M1408:M1471" ca="1" si="233">IFERROR(INDIRECT("'" &amp; $A1408 &amp; "'!" &amp; "M" &amp; $B1408),0)</f>
        <v>0</v>
      </c>
      <c r="N1408" s="996">
        <f t="shared" ref="N1408:N1471" ca="1" si="234">IFERROR(INDIRECT("'" &amp; $A1408 &amp; "'!" &amp; "N" &amp; $B1408),0)</f>
        <v>0</v>
      </c>
      <c r="O1408" s="997">
        <f t="shared" ref="O1408:O1471" ca="1" si="235">IFERROR(INDIRECT("'" &amp; $A1408 &amp; "'!" &amp; "O" &amp; $B1408),0)</f>
        <v>0</v>
      </c>
      <c r="P1408" s="1015" t="str">
        <f ca="1">IF($C1408="","",INDEX(NVLSX!$N$2:$N$6941,MATCH($C1408,NVLSX!$E$2:$E$6941,0)))</f>
        <v/>
      </c>
      <c r="Q1408" s="1016" t="str">
        <f ca="1">IF($R1408="","",IF(XKNVLSX!$X$1="",IF($P1408=$V$7,$P1408, IF(COUNTIFS($C$2:$C1407,$C1408,$E$2:$E1407,$E1408)&gt;=1,"",$P1408)),     IF(AND(IFERROR(SEARCH($R1408,XKNVLSX!$X$1,1),0)&gt;=1,$P1408=$V$7),$P1408, IF(OR($R1408&lt;&gt;IF(IFERROR(SEARCH($R1408,XKNVLSX!$X$1,1),0)&gt;=1,$R1408,XKNVLSX!$X$1),COUNTIFS($C$2:$C1407,$C1408,$E$2:$E1407,$E1408,$Q$2:$Q1407,$P1408)&gt;=1),"",$P1408))))</f>
        <v/>
      </c>
      <c r="R1408" s="1017" t="str">
        <f ca="1">IF($A1408="","",IFERROR(INDEX(TinhGia!$BF$10:$BF$81,MATCH($A1408,TinhGia!$B$10:$B$81,0)),""))</f>
        <v/>
      </c>
      <c r="S1408" s="1012" t="str">
        <f ca="1">IF($A1408="","",IF(OR(IFERROR(SEARCH($R1408,XKNVLSX!$X$1,1),0)&gt;=1,XKNVLSX!$X$1=""),$S$2,""))</f>
        <v/>
      </c>
      <c r="T1408" s="1018" t="str">
        <f ca="1">IF($C1408="","", IF(OR($P1408=$V$1,$P1408=$V$7,COUNTIFS($C$3:$C1408,$C1408,$E$3:$E1408,$E1408)&lt;=1),$P1408,""    ))</f>
        <v/>
      </c>
      <c r="U1408" s="1019" t="str">
        <f ca="1">IF(AND($P1408=$V$2,COUNTIFS($C$3:$C1408,$C1408,$E$3:$E1408,$E1408,$G$3:$G1408,$G1408)&lt;=1),$P1408,"")</f>
        <v/>
      </c>
    </row>
    <row r="1409" spans="1:21">
      <c r="A1409" s="991" t="str">
        <f ca="1">IFERROR(IF(COUNTIF($A$3:A1408,A1408)&lt; INDEX(TinhGia!$BH$10:$BH$81,MATCH($A1408,TinhGia!$B$10:$B$81,0)),$A1408,INDEX(TinhGia!$B$10:$B$81,MATCH($A1408,TinhGia!$B$10:$B$81,0)+1)),"")</f>
        <v/>
      </c>
      <c r="B1409" s="525" t="str">
        <f ca="1">IF(OR(A1409="",A1409=0),"",IF(COUNTIF($A$2:A1409,$A1409)=1,ROW(MauKoXoa!$C$108),$B1408+1))</f>
        <v/>
      </c>
      <c r="C1409" s="992" t="str">
        <f t="shared" ca="1" si="226"/>
        <v/>
      </c>
      <c r="D1409" s="993" t="str">
        <f t="shared" ca="1" si="227"/>
        <v/>
      </c>
      <c r="E1409" s="993" t="str">
        <f t="shared" ca="1" si="228"/>
        <v/>
      </c>
      <c r="F1409" s="992" t="str">
        <f t="shared" ca="1" si="223"/>
        <v/>
      </c>
      <c r="G1409" s="994">
        <f t="shared" ca="1" si="229"/>
        <v>0</v>
      </c>
      <c r="H1409" s="913">
        <f t="shared" ca="1" si="230"/>
        <v>0</v>
      </c>
      <c r="I1409" s="913">
        <f t="shared" ca="1" si="231"/>
        <v>0</v>
      </c>
      <c r="J1409" s="995">
        <f t="shared" ca="1" si="224"/>
        <v>0</v>
      </c>
      <c r="K1409" s="913">
        <f t="shared" ca="1" si="232"/>
        <v>0</v>
      </c>
      <c r="L1409" s="995">
        <f t="shared" ca="1" si="225"/>
        <v>0</v>
      </c>
      <c r="M1409" s="913">
        <f t="shared" ca="1" si="233"/>
        <v>0</v>
      </c>
      <c r="N1409" s="996">
        <f t="shared" ca="1" si="234"/>
        <v>0</v>
      </c>
      <c r="O1409" s="997">
        <f t="shared" ca="1" si="235"/>
        <v>0</v>
      </c>
      <c r="P1409" s="1015" t="str">
        <f ca="1">IF($C1409="","",INDEX(NVLSX!$N$2:$N$6941,MATCH($C1409,NVLSX!$E$2:$E$6941,0)))</f>
        <v/>
      </c>
      <c r="Q1409" s="1016" t="str">
        <f ca="1">IF($R1409="","",IF(XKNVLSX!$X$1="",IF($P1409=$V$7,$P1409, IF(COUNTIFS($C$2:$C1408,$C1409,$E$2:$E1408,$E1409)&gt;=1,"",$P1409)),     IF(AND(IFERROR(SEARCH($R1409,XKNVLSX!$X$1,1),0)&gt;=1,$P1409=$V$7),$P1409, IF(OR($R1409&lt;&gt;IF(IFERROR(SEARCH($R1409,XKNVLSX!$X$1,1),0)&gt;=1,$R1409,XKNVLSX!$X$1),COUNTIFS($C$2:$C1408,$C1409,$E$2:$E1408,$E1409,$Q$2:$Q1408,$P1409)&gt;=1),"",$P1409))))</f>
        <v/>
      </c>
      <c r="R1409" s="1017" t="str">
        <f ca="1">IF($A1409="","",IFERROR(INDEX(TinhGia!$BF$10:$BF$81,MATCH($A1409,TinhGia!$B$10:$B$81,0)),""))</f>
        <v/>
      </c>
      <c r="S1409" s="1012" t="str">
        <f ca="1">IF($A1409="","",IF(OR(IFERROR(SEARCH($R1409,XKNVLSX!$X$1,1),0)&gt;=1,XKNVLSX!$X$1=""),$S$2,""))</f>
        <v/>
      </c>
      <c r="T1409" s="1018" t="str">
        <f ca="1">IF($C1409="","", IF(OR($P1409=$V$1,$P1409=$V$7,COUNTIFS($C$3:$C1409,$C1409,$E$3:$E1409,$E1409)&lt;=1),$P1409,""    ))</f>
        <v/>
      </c>
      <c r="U1409" s="1019" t="str">
        <f ca="1">IF(AND($P1409=$V$2,COUNTIFS($C$3:$C1409,$C1409,$E$3:$E1409,$E1409,$G$3:$G1409,$G1409)&lt;=1),$P1409,"")</f>
        <v/>
      </c>
    </row>
    <row r="1410" spans="1:21">
      <c r="A1410" s="991" t="str">
        <f ca="1">IFERROR(IF(COUNTIF($A$3:A1409,A1409)&lt; INDEX(TinhGia!$BH$10:$BH$81,MATCH($A1409,TinhGia!$B$10:$B$81,0)),$A1409,INDEX(TinhGia!$B$10:$B$81,MATCH($A1409,TinhGia!$B$10:$B$81,0)+1)),"")</f>
        <v/>
      </c>
      <c r="B1410" s="525" t="str">
        <f ca="1">IF(OR(A1410="",A1410=0),"",IF(COUNTIF($A$2:A1410,$A1410)=1,ROW(MauKoXoa!$C$108),$B1409+1))</f>
        <v/>
      </c>
      <c r="C1410" s="992" t="str">
        <f t="shared" ca="1" si="226"/>
        <v/>
      </c>
      <c r="D1410" s="993" t="str">
        <f t="shared" ca="1" si="227"/>
        <v/>
      </c>
      <c r="E1410" s="993" t="str">
        <f t="shared" ca="1" si="228"/>
        <v/>
      </c>
      <c r="F1410" s="992" t="str">
        <f t="shared" ca="1" si="223"/>
        <v/>
      </c>
      <c r="G1410" s="994">
        <f t="shared" ca="1" si="229"/>
        <v>0</v>
      </c>
      <c r="H1410" s="913">
        <f t="shared" ca="1" si="230"/>
        <v>0</v>
      </c>
      <c r="I1410" s="913">
        <f t="shared" ca="1" si="231"/>
        <v>0</v>
      </c>
      <c r="J1410" s="995">
        <f t="shared" ca="1" si="224"/>
        <v>0</v>
      </c>
      <c r="K1410" s="913">
        <f t="shared" ca="1" si="232"/>
        <v>0</v>
      </c>
      <c r="L1410" s="995">
        <f t="shared" ca="1" si="225"/>
        <v>0</v>
      </c>
      <c r="M1410" s="913">
        <f t="shared" ca="1" si="233"/>
        <v>0</v>
      </c>
      <c r="N1410" s="996">
        <f t="shared" ca="1" si="234"/>
        <v>0</v>
      </c>
      <c r="O1410" s="997">
        <f t="shared" ca="1" si="235"/>
        <v>0</v>
      </c>
      <c r="P1410" s="1015" t="str">
        <f ca="1">IF($C1410="","",INDEX(NVLSX!$N$2:$N$6941,MATCH($C1410,NVLSX!$E$2:$E$6941,0)))</f>
        <v/>
      </c>
      <c r="Q1410" s="1016" t="str">
        <f ca="1">IF($R1410="","",IF(XKNVLSX!$X$1="",IF($P1410=$V$7,$P1410, IF(COUNTIFS($C$2:$C1409,$C1410,$E$2:$E1409,$E1410)&gt;=1,"",$P1410)),     IF(AND(IFERROR(SEARCH($R1410,XKNVLSX!$X$1,1),0)&gt;=1,$P1410=$V$7),$P1410, IF(OR($R1410&lt;&gt;IF(IFERROR(SEARCH($R1410,XKNVLSX!$X$1,1),0)&gt;=1,$R1410,XKNVLSX!$X$1),COUNTIFS($C$2:$C1409,$C1410,$E$2:$E1409,$E1410,$Q$2:$Q1409,$P1410)&gt;=1),"",$P1410))))</f>
        <v/>
      </c>
      <c r="R1410" s="1017" t="str">
        <f ca="1">IF($A1410="","",IFERROR(INDEX(TinhGia!$BF$10:$BF$81,MATCH($A1410,TinhGia!$B$10:$B$81,0)),""))</f>
        <v/>
      </c>
      <c r="S1410" s="1012" t="str">
        <f ca="1">IF($A1410="","",IF(OR(IFERROR(SEARCH($R1410,XKNVLSX!$X$1,1),0)&gt;=1,XKNVLSX!$X$1=""),$S$2,""))</f>
        <v/>
      </c>
      <c r="T1410" s="1018" t="str">
        <f ca="1">IF($C1410="","", IF(OR($P1410=$V$1,$P1410=$V$7,COUNTIFS($C$3:$C1410,$C1410,$E$3:$E1410,$E1410)&lt;=1),$P1410,""    ))</f>
        <v/>
      </c>
      <c r="U1410" s="1019" t="str">
        <f ca="1">IF(AND($P1410=$V$2,COUNTIFS($C$3:$C1410,$C1410,$E$3:$E1410,$E1410,$G$3:$G1410,$G1410)&lt;=1),$P1410,"")</f>
        <v/>
      </c>
    </row>
    <row r="1411" spans="1:21">
      <c r="A1411" s="991" t="str">
        <f ca="1">IFERROR(IF(COUNTIF($A$3:A1410,A1410)&lt; INDEX(TinhGia!$BH$10:$BH$81,MATCH($A1410,TinhGia!$B$10:$B$81,0)),$A1410,INDEX(TinhGia!$B$10:$B$81,MATCH($A1410,TinhGia!$B$10:$B$81,0)+1)),"")</f>
        <v/>
      </c>
      <c r="B1411" s="525" t="str">
        <f ca="1">IF(OR(A1411="",A1411=0),"",IF(COUNTIF($A$2:A1411,$A1411)=1,ROW(MauKoXoa!$C$108),$B1410+1))</f>
        <v/>
      </c>
      <c r="C1411" s="992" t="str">
        <f t="shared" ca="1" si="226"/>
        <v/>
      </c>
      <c r="D1411" s="993" t="str">
        <f t="shared" ca="1" si="227"/>
        <v/>
      </c>
      <c r="E1411" s="993" t="str">
        <f t="shared" ca="1" si="228"/>
        <v/>
      </c>
      <c r="F1411" s="992" t="str">
        <f t="shared" ref="F1411:F1474" ca="1" si="236">IF($P1411=$V$7, IFERROR(INDIRECT("'" &amp; $A1411 &amp; "'!" &amp; "I" &amp; $B1411),""),IFERROR(INDIRECT("'" &amp; $A1411 &amp; "'!" &amp; "E" &amp; $B1411),""))</f>
        <v/>
      </c>
      <c r="G1411" s="994">
        <f t="shared" ca="1" si="229"/>
        <v>0</v>
      </c>
      <c r="H1411" s="913">
        <f t="shared" ca="1" si="230"/>
        <v>0</v>
      </c>
      <c r="I1411" s="913">
        <f t="shared" ca="1" si="231"/>
        <v>0</v>
      </c>
      <c r="J1411" s="995">
        <f t="shared" ca="1" si="224"/>
        <v>0</v>
      </c>
      <c r="K1411" s="913">
        <f t="shared" ca="1" si="232"/>
        <v>0</v>
      </c>
      <c r="L1411" s="995">
        <f t="shared" ca="1" si="225"/>
        <v>0</v>
      </c>
      <c r="M1411" s="913">
        <f t="shared" ca="1" si="233"/>
        <v>0</v>
      </c>
      <c r="N1411" s="996">
        <f t="shared" ca="1" si="234"/>
        <v>0</v>
      </c>
      <c r="O1411" s="997">
        <f t="shared" ca="1" si="235"/>
        <v>0</v>
      </c>
      <c r="P1411" s="1015" t="str">
        <f ca="1">IF($C1411="","",INDEX(NVLSX!$N$2:$N$6941,MATCH($C1411,NVLSX!$E$2:$E$6941,0)))</f>
        <v/>
      </c>
      <c r="Q1411" s="1016" t="str">
        <f ca="1">IF($R1411="","",IF(XKNVLSX!$X$1="",IF($P1411=$V$7,$P1411, IF(COUNTIFS($C$2:$C1410,$C1411,$E$2:$E1410,$E1411)&gt;=1,"",$P1411)),     IF(AND(IFERROR(SEARCH($R1411,XKNVLSX!$X$1,1),0)&gt;=1,$P1411=$V$7),$P1411, IF(OR($R1411&lt;&gt;IF(IFERROR(SEARCH($R1411,XKNVLSX!$X$1,1),0)&gt;=1,$R1411,XKNVLSX!$X$1),COUNTIFS($C$2:$C1410,$C1411,$E$2:$E1410,$E1411,$Q$2:$Q1410,$P1411)&gt;=1),"",$P1411))))</f>
        <v/>
      </c>
      <c r="R1411" s="1017" t="str">
        <f ca="1">IF($A1411="","",IFERROR(INDEX(TinhGia!$BF$10:$BF$81,MATCH($A1411,TinhGia!$B$10:$B$81,0)),""))</f>
        <v/>
      </c>
      <c r="S1411" s="1012" t="str">
        <f ca="1">IF($A1411="","",IF(OR(IFERROR(SEARCH($R1411,XKNVLSX!$X$1,1),0)&gt;=1,XKNVLSX!$X$1=""),$S$2,""))</f>
        <v/>
      </c>
      <c r="T1411" s="1018" t="str">
        <f ca="1">IF($C1411="","", IF(OR($P1411=$V$1,$P1411=$V$7,COUNTIFS($C$3:$C1411,$C1411,$E$3:$E1411,$E1411)&lt;=1),$P1411,""    ))</f>
        <v/>
      </c>
      <c r="U1411" s="1019" t="str">
        <f ca="1">IF(AND($P1411=$V$2,COUNTIFS($C$3:$C1411,$C1411,$E$3:$E1411,$E1411,$G$3:$G1411,$G1411)&lt;=1),$P1411,"")</f>
        <v/>
      </c>
    </row>
    <row r="1412" spans="1:21">
      <c r="A1412" s="991" t="str">
        <f ca="1">IFERROR(IF(COUNTIF($A$3:A1411,A1411)&lt; INDEX(TinhGia!$BH$10:$BH$81,MATCH($A1411,TinhGia!$B$10:$B$81,0)),$A1411,INDEX(TinhGia!$B$10:$B$81,MATCH($A1411,TinhGia!$B$10:$B$81,0)+1)),"")</f>
        <v/>
      </c>
      <c r="B1412" s="525" t="str">
        <f ca="1">IF(OR(A1412="",A1412=0),"",IF(COUNTIF($A$2:A1412,$A1412)=1,ROW(MauKoXoa!$C$108),$B1411+1))</f>
        <v/>
      </c>
      <c r="C1412" s="992" t="str">
        <f t="shared" ca="1" si="226"/>
        <v/>
      </c>
      <c r="D1412" s="993" t="str">
        <f t="shared" ca="1" si="227"/>
        <v/>
      </c>
      <c r="E1412" s="993" t="str">
        <f t="shared" ca="1" si="228"/>
        <v/>
      </c>
      <c r="F1412" s="992" t="str">
        <f t="shared" ca="1" si="236"/>
        <v/>
      </c>
      <c r="G1412" s="994">
        <f t="shared" ca="1" si="229"/>
        <v>0</v>
      </c>
      <c r="H1412" s="913">
        <f t="shared" ca="1" si="230"/>
        <v>0</v>
      </c>
      <c r="I1412" s="913">
        <f t="shared" ca="1" si="231"/>
        <v>0</v>
      </c>
      <c r="J1412" s="995">
        <f t="shared" ref="J1412:J1475" ca="1" si="237">IFERROR(INDIRECT("'" &amp; $A1412 &amp; "'!" &amp; "J" &amp; $B1412),0)</f>
        <v>0</v>
      </c>
      <c r="K1412" s="913">
        <f t="shared" ca="1" si="232"/>
        <v>0</v>
      </c>
      <c r="L1412" s="995">
        <f t="shared" ref="L1412:L1475" ca="1" si="238">+ IFERROR(INDIRECT("'" &amp; $A1412 &amp; "'!" &amp; "K" &amp; $B1412),0)</f>
        <v>0</v>
      </c>
      <c r="M1412" s="913">
        <f t="shared" ca="1" si="233"/>
        <v>0</v>
      </c>
      <c r="N1412" s="996">
        <f t="shared" ca="1" si="234"/>
        <v>0</v>
      </c>
      <c r="O1412" s="997">
        <f t="shared" ca="1" si="235"/>
        <v>0</v>
      </c>
      <c r="P1412" s="1015" t="str">
        <f ca="1">IF($C1412="","",INDEX(NVLSX!$N$2:$N$6941,MATCH($C1412,NVLSX!$E$2:$E$6941,0)))</f>
        <v/>
      </c>
      <c r="Q1412" s="1016" t="str">
        <f ca="1">IF($R1412="","",IF(XKNVLSX!$X$1="",IF($P1412=$V$7,$P1412, IF(COUNTIFS($C$2:$C1411,$C1412,$E$2:$E1411,$E1412)&gt;=1,"",$P1412)),     IF(AND(IFERROR(SEARCH($R1412,XKNVLSX!$X$1,1),0)&gt;=1,$P1412=$V$7),$P1412, IF(OR($R1412&lt;&gt;IF(IFERROR(SEARCH($R1412,XKNVLSX!$X$1,1),0)&gt;=1,$R1412,XKNVLSX!$X$1),COUNTIFS($C$2:$C1411,$C1412,$E$2:$E1411,$E1412,$Q$2:$Q1411,$P1412)&gt;=1),"",$P1412))))</f>
        <v/>
      </c>
      <c r="R1412" s="1017" t="str">
        <f ca="1">IF($A1412="","",IFERROR(INDEX(TinhGia!$BF$10:$BF$81,MATCH($A1412,TinhGia!$B$10:$B$81,0)),""))</f>
        <v/>
      </c>
      <c r="S1412" s="1012" t="str">
        <f ca="1">IF($A1412="","",IF(OR(IFERROR(SEARCH($R1412,XKNVLSX!$X$1,1),0)&gt;=1,XKNVLSX!$X$1=""),$S$2,""))</f>
        <v/>
      </c>
      <c r="T1412" s="1018" t="str">
        <f ca="1">IF($C1412="","", IF(OR($P1412=$V$1,$P1412=$V$7,COUNTIFS($C$3:$C1412,$C1412,$E$3:$E1412,$E1412)&lt;=1),$P1412,""    ))</f>
        <v/>
      </c>
      <c r="U1412" s="1019" t="str">
        <f ca="1">IF(AND($P1412=$V$2,COUNTIFS($C$3:$C1412,$C1412,$E$3:$E1412,$E1412,$G$3:$G1412,$G1412)&lt;=1),$P1412,"")</f>
        <v/>
      </c>
    </row>
    <row r="1413" spans="1:21">
      <c r="A1413" s="991" t="str">
        <f ca="1">IFERROR(IF(COUNTIF($A$3:A1412,A1412)&lt; INDEX(TinhGia!$BH$10:$BH$81,MATCH($A1412,TinhGia!$B$10:$B$81,0)),$A1412,INDEX(TinhGia!$B$10:$B$81,MATCH($A1412,TinhGia!$B$10:$B$81,0)+1)),"")</f>
        <v/>
      </c>
      <c r="B1413" s="525" t="str">
        <f ca="1">IF(OR(A1413="",A1413=0),"",IF(COUNTIF($A$2:A1413,$A1413)=1,ROW(MauKoXoa!$C$108),$B1412+1))</f>
        <v/>
      </c>
      <c r="C1413" s="992" t="str">
        <f t="shared" ca="1" si="226"/>
        <v/>
      </c>
      <c r="D1413" s="993" t="str">
        <f t="shared" ca="1" si="227"/>
        <v/>
      </c>
      <c r="E1413" s="993" t="str">
        <f t="shared" ca="1" si="228"/>
        <v/>
      </c>
      <c r="F1413" s="992" t="str">
        <f t="shared" ca="1" si="236"/>
        <v/>
      </c>
      <c r="G1413" s="994">
        <f t="shared" ca="1" si="229"/>
        <v>0</v>
      </c>
      <c r="H1413" s="913">
        <f t="shared" ca="1" si="230"/>
        <v>0</v>
      </c>
      <c r="I1413" s="913">
        <f t="shared" ca="1" si="231"/>
        <v>0</v>
      </c>
      <c r="J1413" s="995">
        <f t="shared" ca="1" si="237"/>
        <v>0</v>
      </c>
      <c r="K1413" s="913">
        <f t="shared" ca="1" si="232"/>
        <v>0</v>
      </c>
      <c r="L1413" s="995">
        <f t="shared" ca="1" si="238"/>
        <v>0</v>
      </c>
      <c r="M1413" s="913">
        <f t="shared" ca="1" si="233"/>
        <v>0</v>
      </c>
      <c r="N1413" s="996">
        <f t="shared" ca="1" si="234"/>
        <v>0</v>
      </c>
      <c r="O1413" s="997">
        <f t="shared" ca="1" si="235"/>
        <v>0</v>
      </c>
      <c r="P1413" s="1015" t="str">
        <f ca="1">IF($C1413="","",INDEX(NVLSX!$N$2:$N$6941,MATCH($C1413,NVLSX!$E$2:$E$6941,0)))</f>
        <v/>
      </c>
      <c r="Q1413" s="1016" t="str">
        <f ca="1">IF($R1413="","",IF(XKNVLSX!$X$1="",IF($P1413=$V$7,$P1413, IF(COUNTIFS($C$2:$C1412,$C1413,$E$2:$E1412,$E1413)&gt;=1,"",$P1413)),     IF(AND(IFERROR(SEARCH($R1413,XKNVLSX!$X$1,1),0)&gt;=1,$P1413=$V$7),$P1413, IF(OR($R1413&lt;&gt;IF(IFERROR(SEARCH($R1413,XKNVLSX!$X$1,1),0)&gt;=1,$R1413,XKNVLSX!$X$1),COUNTIFS($C$2:$C1412,$C1413,$E$2:$E1412,$E1413,$Q$2:$Q1412,$P1413)&gt;=1),"",$P1413))))</f>
        <v/>
      </c>
      <c r="R1413" s="1017" t="str">
        <f ca="1">IF($A1413="","",IFERROR(INDEX(TinhGia!$BF$10:$BF$81,MATCH($A1413,TinhGia!$B$10:$B$81,0)),""))</f>
        <v/>
      </c>
      <c r="S1413" s="1012" t="str">
        <f ca="1">IF($A1413="","",IF(OR(IFERROR(SEARCH($R1413,XKNVLSX!$X$1,1),0)&gt;=1,XKNVLSX!$X$1=""),$S$2,""))</f>
        <v/>
      </c>
      <c r="T1413" s="1018" t="str">
        <f ca="1">IF($C1413="","", IF(OR($P1413=$V$1,$P1413=$V$7,COUNTIFS($C$3:$C1413,$C1413,$E$3:$E1413,$E1413)&lt;=1),$P1413,""    ))</f>
        <v/>
      </c>
      <c r="U1413" s="1019" t="str">
        <f ca="1">IF(AND($P1413=$V$2,COUNTIFS($C$3:$C1413,$C1413,$E$3:$E1413,$E1413,$G$3:$G1413,$G1413)&lt;=1),$P1413,"")</f>
        <v/>
      </c>
    </row>
    <row r="1414" spans="1:21">
      <c r="A1414" s="991" t="str">
        <f ca="1">IFERROR(IF(COUNTIF($A$3:A1413,A1413)&lt; INDEX(TinhGia!$BH$10:$BH$81,MATCH($A1413,TinhGia!$B$10:$B$81,0)),$A1413,INDEX(TinhGia!$B$10:$B$81,MATCH($A1413,TinhGia!$B$10:$B$81,0)+1)),"")</f>
        <v/>
      </c>
      <c r="B1414" s="525" t="str">
        <f ca="1">IF(OR(A1414="",A1414=0),"",IF(COUNTIF($A$2:A1414,$A1414)=1,ROW(MauKoXoa!$C$108),$B1413+1))</f>
        <v/>
      </c>
      <c r="C1414" s="992" t="str">
        <f t="shared" ca="1" si="226"/>
        <v/>
      </c>
      <c r="D1414" s="993" t="str">
        <f t="shared" ca="1" si="227"/>
        <v/>
      </c>
      <c r="E1414" s="993" t="str">
        <f t="shared" ca="1" si="228"/>
        <v/>
      </c>
      <c r="F1414" s="992" t="str">
        <f t="shared" ca="1" si="236"/>
        <v/>
      </c>
      <c r="G1414" s="994">
        <f t="shared" ca="1" si="229"/>
        <v>0</v>
      </c>
      <c r="H1414" s="913">
        <f t="shared" ca="1" si="230"/>
        <v>0</v>
      </c>
      <c r="I1414" s="913">
        <f t="shared" ca="1" si="231"/>
        <v>0</v>
      </c>
      <c r="J1414" s="995">
        <f t="shared" ca="1" si="237"/>
        <v>0</v>
      </c>
      <c r="K1414" s="913">
        <f t="shared" ca="1" si="232"/>
        <v>0</v>
      </c>
      <c r="L1414" s="995">
        <f t="shared" ca="1" si="238"/>
        <v>0</v>
      </c>
      <c r="M1414" s="913">
        <f t="shared" ca="1" si="233"/>
        <v>0</v>
      </c>
      <c r="N1414" s="996">
        <f t="shared" ca="1" si="234"/>
        <v>0</v>
      </c>
      <c r="O1414" s="997">
        <f t="shared" ca="1" si="235"/>
        <v>0</v>
      </c>
      <c r="P1414" s="1015" t="str">
        <f ca="1">IF($C1414="","",INDEX(NVLSX!$N$2:$N$6941,MATCH($C1414,NVLSX!$E$2:$E$6941,0)))</f>
        <v/>
      </c>
      <c r="Q1414" s="1016" t="str">
        <f ca="1">IF($R1414="","",IF(XKNVLSX!$X$1="",IF($P1414=$V$7,$P1414, IF(COUNTIFS($C$2:$C1413,$C1414,$E$2:$E1413,$E1414)&gt;=1,"",$P1414)),     IF(AND(IFERROR(SEARCH($R1414,XKNVLSX!$X$1,1),0)&gt;=1,$P1414=$V$7),$P1414, IF(OR($R1414&lt;&gt;IF(IFERROR(SEARCH($R1414,XKNVLSX!$X$1,1),0)&gt;=1,$R1414,XKNVLSX!$X$1),COUNTIFS($C$2:$C1413,$C1414,$E$2:$E1413,$E1414,$Q$2:$Q1413,$P1414)&gt;=1),"",$P1414))))</f>
        <v/>
      </c>
      <c r="R1414" s="1017" t="str">
        <f ca="1">IF($A1414="","",IFERROR(INDEX(TinhGia!$BF$10:$BF$81,MATCH($A1414,TinhGia!$B$10:$B$81,0)),""))</f>
        <v/>
      </c>
      <c r="S1414" s="1012" t="str">
        <f ca="1">IF($A1414="","",IF(OR(IFERROR(SEARCH($R1414,XKNVLSX!$X$1,1),0)&gt;=1,XKNVLSX!$X$1=""),$S$2,""))</f>
        <v/>
      </c>
      <c r="T1414" s="1018" t="str">
        <f ca="1">IF($C1414="","", IF(OR($P1414=$V$1,$P1414=$V$7,COUNTIFS($C$3:$C1414,$C1414,$E$3:$E1414,$E1414)&lt;=1),$P1414,""    ))</f>
        <v/>
      </c>
      <c r="U1414" s="1019" t="str">
        <f ca="1">IF(AND($P1414=$V$2,COUNTIFS($C$3:$C1414,$C1414,$E$3:$E1414,$E1414,$G$3:$G1414,$G1414)&lt;=1),$P1414,"")</f>
        <v/>
      </c>
    </row>
    <row r="1415" spans="1:21">
      <c r="A1415" s="991" t="str">
        <f ca="1">IFERROR(IF(COUNTIF($A$3:A1414,A1414)&lt; INDEX(TinhGia!$BH$10:$BH$81,MATCH($A1414,TinhGia!$B$10:$B$81,0)),$A1414,INDEX(TinhGia!$B$10:$B$81,MATCH($A1414,TinhGia!$B$10:$B$81,0)+1)),"")</f>
        <v/>
      </c>
      <c r="B1415" s="525" t="str">
        <f ca="1">IF(OR(A1415="",A1415=0),"",IF(COUNTIF($A$2:A1415,$A1415)=1,ROW(MauKoXoa!$C$108),$B1414+1))</f>
        <v/>
      </c>
      <c r="C1415" s="992" t="str">
        <f t="shared" ca="1" si="226"/>
        <v/>
      </c>
      <c r="D1415" s="993" t="str">
        <f t="shared" ca="1" si="227"/>
        <v/>
      </c>
      <c r="E1415" s="993" t="str">
        <f t="shared" ca="1" si="228"/>
        <v/>
      </c>
      <c r="F1415" s="992" t="str">
        <f t="shared" ca="1" si="236"/>
        <v/>
      </c>
      <c r="G1415" s="994">
        <f t="shared" ca="1" si="229"/>
        <v>0</v>
      </c>
      <c r="H1415" s="913">
        <f t="shared" ca="1" si="230"/>
        <v>0</v>
      </c>
      <c r="I1415" s="913">
        <f t="shared" ca="1" si="231"/>
        <v>0</v>
      </c>
      <c r="J1415" s="995">
        <f t="shared" ca="1" si="237"/>
        <v>0</v>
      </c>
      <c r="K1415" s="913">
        <f t="shared" ca="1" si="232"/>
        <v>0</v>
      </c>
      <c r="L1415" s="995">
        <f t="shared" ca="1" si="238"/>
        <v>0</v>
      </c>
      <c r="M1415" s="913">
        <f t="shared" ca="1" si="233"/>
        <v>0</v>
      </c>
      <c r="N1415" s="996">
        <f t="shared" ca="1" si="234"/>
        <v>0</v>
      </c>
      <c r="O1415" s="997">
        <f t="shared" ca="1" si="235"/>
        <v>0</v>
      </c>
      <c r="P1415" s="1015" t="str">
        <f ca="1">IF($C1415="","",INDEX(NVLSX!$N$2:$N$6941,MATCH($C1415,NVLSX!$E$2:$E$6941,0)))</f>
        <v/>
      </c>
      <c r="Q1415" s="1016" t="str">
        <f ca="1">IF($R1415="","",IF(XKNVLSX!$X$1="",IF($P1415=$V$7,$P1415, IF(COUNTIFS($C$2:$C1414,$C1415,$E$2:$E1414,$E1415)&gt;=1,"",$P1415)),     IF(AND(IFERROR(SEARCH($R1415,XKNVLSX!$X$1,1),0)&gt;=1,$P1415=$V$7),$P1415, IF(OR($R1415&lt;&gt;IF(IFERROR(SEARCH($R1415,XKNVLSX!$X$1,1),0)&gt;=1,$R1415,XKNVLSX!$X$1),COUNTIFS($C$2:$C1414,$C1415,$E$2:$E1414,$E1415,$Q$2:$Q1414,$P1415)&gt;=1),"",$P1415))))</f>
        <v/>
      </c>
      <c r="R1415" s="1017" t="str">
        <f ca="1">IF($A1415="","",IFERROR(INDEX(TinhGia!$BF$10:$BF$81,MATCH($A1415,TinhGia!$B$10:$B$81,0)),""))</f>
        <v/>
      </c>
      <c r="S1415" s="1012" t="str">
        <f ca="1">IF($A1415="","",IF(OR(IFERROR(SEARCH($R1415,XKNVLSX!$X$1,1),0)&gt;=1,XKNVLSX!$X$1=""),$S$2,""))</f>
        <v/>
      </c>
      <c r="T1415" s="1018" t="str">
        <f ca="1">IF($C1415="","", IF(OR($P1415=$V$1,$P1415=$V$7,COUNTIFS($C$3:$C1415,$C1415,$E$3:$E1415,$E1415)&lt;=1),$P1415,""    ))</f>
        <v/>
      </c>
      <c r="U1415" s="1019" t="str">
        <f ca="1">IF(AND($P1415=$V$2,COUNTIFS($C$3:$C1415,$C1415,$E$3:$E1415,$E1415,$G$3:$G1415,$G1415)&lt;=1),$P1415,"")</f>
        <v/>
      </c>
    </row>
    <row r="1416" spans="1:21">
      <c r="A1416" s="991" t="str">
        <f ca="1">IFERROR(IF(COUNTIF($A$3:A1415,A1415)&lt; INDEX(TinhGia!$BH$10:$BH$81,MATCH($A1415,TinhGia!$B$10:$B$81,0)),$A1415,INDEX(TinhGia!$B$10:$B$81,MATCH($A1415,TinhGia!$B$10:$B$81,0)+1)),"")</f>
        <v/>
      </c>
      <c r="B1416" s="525" t="str">
        <f ca="1">IF(OR(A1416="",A1416=0),"",IF(COUNTIF($A$2:A1416,$A1416)=1,ROW(MauKoXoa!$C$108),$B1415+1))</f>
        <v/>
      </c>
      <c r="C1416" s="992" t="str">
        <f t="shared" ca="1" si="226"/>
        <v/>
      </c>
      <c r="D1416" s="993" t="str">
        <f t="shared" ca="1" si="227"/>
        <v/>
      </c>
      <c r="E1416" s="993" t="str">
        <f t="shared" ca="1" si="228"/>
        <v/>
      </c>
      <c r="F1416" s="992" t="str">
        <f t="shared" ca="1" si="236"/>
        <v/>
      </c>
      <c r="G1416" s="994">
        <f t="shared" ca="1" si="229"/>
        <v>0</v>
      </c>
      <c r="H1416" s="913">
        <f t="shared" ca="1" si="230"/>
        <v>0</v>
      </c>
      <c r="I1416" s="913">
        <f t="shared" ca="1" si="231"/>
        <v>0</v>
      </c>
      <c r="J1416" s="995">
        <f t="shared" ca="1" si="237"/>
        <v>0</v>
      </c>
      <c r="K1416" s="913">
        <f t="shared" ca="1" si="232"/>
        <v>0</v>
      </c>
      <c r="L1416" s="995">
        <f t="shared" ca="1" si="238"/>
        <v>0</v>
      </c>
      <c r="M1416" s="913">
        <f t="shared" ca="1" si="233"/>
        <v>0</v>
      </c>
      <c r="N1416" s="996">
        <f t="shared" ca="1" si="234"/>
        <v>0</v>
      </c>
      <c r="O1416" s="997">
        <f t="shared" ca="1" si="235"/>
        <v>0</v>
      </c>
      <c r="P1416" s="1015" t="str">
        <f ca="1">IF($C1416="","",INDEX(NVLSX!$N$2:$N$6941,MATCH($C1416,NVLSX!$E$2:$E$6941,0)))</f>
        <v/>
      </c>
      <c r="Q1416" s="1016" t="str">
        <f ca="1">IF($R1416="","",IF(XKNVLSX!$X$1="",IF($P1416=$V$7,$P1416, IF(COUNTIFS($C$2:$C1415,$C1416,$E$2:$E1415,$E1416)&gt;=1,"",$P1416)),     IF(AND(IFERROR(SEARCH($R1416,XKNVLSX!$X$1,1),0)&gt;=1,$P1416=$V$7),$P1416, IF(OR($R1416&lt;&gt;IF(IFERROR(SEARCH($R1416,XKNVLSX!$X$1,1),0)&gt;=1,$R1416,XKNVLSX!$X$1),COUNTIFS($C$2:$C1415,$C1416,$E$2:$E1415,$E1416,$Q$2:$Q1415,$P1416)&gt;=1),"",$P1416))))</f>
        <v/>
      </c>
      <c r="R1416" s="1017" t="str">
        <f ca="1">IF($A1416="","",IFERROR(INDEX(TinhGia!$BF$10:$BF$81,MATCH($A1416,TinhGia!$B$10:$B$81,0)),""))</f>
        <v/>
      </c>
      <c r="S1416" s="1012" t="str">
        <f ca="1">IF($A1416="","",IF(OR(IFERROR(SEARCH($R1416,XKNVLSX!$X$1,1),0)&gt;=1,XKNVLSX!$X$1=""),$S$2,""))</f>
        <v/>
      </c>
      <c r="T1416" s="1018" t="str">
        <f ca="1">IF($C1416="","", IF(OR($P1416=$V$1,$P1416=$V$7,COUNTIFS($C$3:$C1416,$C1416,$E$3:$E1416,$E1416)&lt;=1),$P1416,""    ))</f>
        <v/>
      </c>
      <c r="U1416" s="1019" t="str">
        <f ca="1">IF(AND($P1416=$V$2,COUNTIFS($C$3:$C1416,$C1416,$E$3:$E1416,$E1416,$G$3:$G1416,$G1416)&lt;=1),$P1416,"")</f>
        <v/>
      </c>
    </row>
    <row r="1417" spans="1:21">
      <c r="A1417" s="991" t="str">
        <f ca="1">IFERROR(IF(COUNTIF($A$3:A1416,A1416)&lt; INDEX(TinhGia!$BH$10:$BH$81,MATCH($A1416,TinhGia!$B$10:$B$81,0)),$A1416,INDEX(TinhGia!$B$10:$B$81,MATCH($A1416,TinhGia!$B$10:$B$81,0)+1)),"")</f>
        <v/>
      </c>
      <c r="B1417" s="525" t="str">
        <f ca="1">IF(OR(A1417="",A1417=0),"",IF(COUNTIF($A$2:A1417,$A1417)=1,ROW(MauKoXoa!$C$108),$B1416+1))</f>
        <v/>
      </c>
      <c r="C1417" s="992" t="str">
        <f t="shared" ca="1" si="226"/>
        <v/>
      </c>
      <c r="D1417" s="993" t="str">
        <f t="shared" ca="1" si="227"/>
        <v/>
      </c>
      <c r="E1417" s="993" t="str">
        <f t="shared" ca="1" si="228"/>
        <v/>
      </c>
      <c r="F1417" s="992" t="str">
        <f t="shared" ca="1" si="236"/>
        <v/>
      </c>
      <c r="G1417" s="994">
        <f t="shared" ca="1" si="229"/>
        <v>0</v>
      </c>
      <c r="H1417" s="913">
        <f t="shared" ca="1" si="230"/>
        <v>0</v>
      </c>
      <c r="I1417" s="913">
        <f t="shared" ca="1" si="231"/>
        <v>0</v>
      </c>
      <c r="J1417" s="995">
        <f t="shared" ca="1" si="237"/>
        <v>0</v>
      </c>
      <c r="K1417" s="913">
        <f t="shared" ca="1" si="232"/>
        <v>0</v>
      </c>
      <c r="L1417" s="995">
        <f t="shared" ca="1" si="238"/>
        <v>0</v>
      </c>
      <c r="M1417" s="913">
        <f t="shared" ca="1" si="233"/>
        <v>0</v>
      </c>
      <c r="N1417" s="996">
        <f t="shared" ca="1" si="234"/>
        <v>0</v>
      </c>
      <c r="O1417" s="997">
        <f t="shared" ca="1" si="235"/>
        <v>0</v>
      </c>
      <c r="P1417" s="1015" t="str">
        <f ca="1">IF($C1417="","",INDEX(NVLSX!$N$2:$N$6941,MATCH($C1417,NVLSX!$E$2:$E$6941,0)))</f>
        <v/>
      </c>
      <c r="Q1417" s="1016" t="str">
        <f ca="1">IF($R1417="","",IF(XKNVLSX!$X$1="",IF($P1417=$V$7,$P1417, IF(COUNTIFS($C$2:$C1416,$C1417,$E$2:$E1416,$E1417)&gt;=1,"",$P1417)),     IF(AND(IFERROR(SEARCH($R1417,XKNVLSX!$X$1,1),0)&gt;=1,$P1417=$V$7),$P1417, IF(OR($R1417&lt;&gt;IF(IFERROR(SEARCH($R1417,XKNVLSX!$X$1,1),0)&gt;=1,$R1417,XKNVLSX!$X$1),COUNTIFS($C$2:$C1416,$C1417,$E$2:$E1416,$E1417,$Q$2:$Q1416,$P1417)&gt;=1),"",$P1417))))</f>
        <v/>
      </c>
      <c r="R1417" s="1017" t="str">
        <f ca="1">IF($A1417="","",IFERROR(INDEX(TinhGia!$BF$10:$BF$81,MATCH($A1417,TinhGia!$B$10:$B$81,0)),""))</f>
        <v/>
      </c>
      <c r="S1417" s="1012" t="str">
        <f ca="1">IF($A1417="","",IF(OR(IFERROR(SEARCH($R1417,XKNVLSX!$X$1,1),0)&gt;=1,XKNVLSX!$X$1=""),$S$2,""))</f>
        <v/>
      </c>
      <c r="T1417" s="1018" t="str">
        <f ca="1">IF($C1417="","", IF(OR($P1417=$V$1,$P1417=$V$7,COUNTIFS($C$3:$C1417,$C1417,$E$3:$E1417,$E1417)&lt;=1),$P1417,""    ))</f>
        <v/>
      </c>
      <c r="U1417" s="1019" t="str">
        <f ca="1">IF(AND($P1417=$V$2,COUNTIFS($C$3:$C1417,$C1417,$E$3:$E1417,$E1417,$G$3:$G1417,$G1417)&lt;=1),$P1417,"")</f>
        <v/>
      </c>
    </row>
    <row r="1418" spans="1:21">
      <c r="A1418" s="991" t="str">
        <f ca="1">IFERROR(IF(COUNTIF($A$3:A1417,A1417)&lt; INDEX(TinhGia!$BH$10:$BH$81,MATCH($A1417,TinhGia!$B$10:$B$81,0)),$A1417,INDEX(TinhGia!$B$10:$B$81,MATCH($A1417,TinhGia!$B$10:$B$81,0)+1)),"")</f>
        <v/>
      </c>
      <c r="B1418" s="525" t="str">
        <f ca="1">IF(OR(A1418="",A1418=0),"",IF(COUNTIF($A$2:A1418,$A1418)=1,ROW(MauKoXoa!$C$108),$B1417+1))</f>
        <v/>
      </c>
      <c r="C1418" s="992" t="str">
        <f t="shared" ca="1" si="226"/>
        <v/>
      </c>
      <c r="D1418" s="993" t="str">
        <f t="shared" ca="1" si="227"/>
        <v/>
      </c>
      <c r="E1418" s="993" t="str">
        <f t="shared" ca="1" si="228"/>
        <v/>
      </c>
      <c r="F1418" s="992" t="str">
        <f t="shared" ca="1" si="236"/>
        <v/>
      </c>
      <c r="G1418" s="994">
        <f t="shared" ca="1" si="229"/>
        <v>0</v>
      </c>
      <c r="H1418" s="913">
        <f t="shared" ca="1" si="230"/>
        <v>0</v>
      </c>
      <c r="I1418" s="913">
        <f t="shared" ca="1" si="231"/>
        <v>0</v>
      </c>
      <c r="J1418" s="995">
        <f t="shared" ca="1" si="237"/>
        <v>0</v>
      </c>
      <c r="K1418" s="913">
        <f t="shared" ca="1" si="232"/>
        <v>0</v>
      </c>
      <c r="L1418" s="995">
        <f t="shared" ca="1" si="238"/>
        <v>0</v>
      </c>
      <c r="M1418" s="913">
        <f t="shared" ca="1" si="233"/>
        <v>0</v>
      </c>
      <c r="N1418" s="996">
        <f t="shared" ca="1" si="234"/>
        <v>0</v>
      </c>
      <c r="O1418" s="997">
        <f t="shared" ca="1" si="235"/>
        <v>0</v>
      </c>
      <c r="P1418" s="1015" t="str">
        <f ca="1">IF($C1418="","",INDEX(NVLSX!$N$2:$N$6941,MATCH($C1418,NVLSX!$E$2:$E$6941,0)))</f>
        <v/>
      </c>
      <c r="Q1418" s="1016" t="str">
        <f ca="1">IF($R1418="","",IF(XKNVLSX!$X$1="",IF($P1418=$V$7,$P1418, IF(COUNTIFS($C$2:$C1417,$C1418,$E$2:$E1417,$E1418)&gt;=1,"",$P1418)),     IF(AND(IFERROR(SEARCH($R1418,XKNVLSX!$X$1,1),0)&gt;=1,$P1418=$V$7),$P1418, IF(OR($R1418&lt;&gt;IF(IFERROR(SEARCH($R1418,XKNVLSX!$X$1,1),0)&gt;=1,$R1418,XKNVLSX!$X$1),COUNTIFS($C$2:$C1417,$C1418,$E$2:$E1417,$E1418,$Q$2:$Q1417,$P1418)&gt;=1),"",$P1418))))</f>
        <v/>
      </c>
      <c r="R1418" s="1017" t="str">
        <f ca="1">IF($A1418="","",IFERROR(INDEX(TinhGia!$BF$10:$BF$81,MATCH($A1418,TinhGia!$B$10:$B$81,0)),""))</f>
        <v/>
      </c>
      <c r="S1418" s="1012" t="str">
        <f ca="1">IF($A1418="","",IF(OR(IFERROR(SEARCH($R1418,XKNVLSX!$X$1,1),0)&gt;=1,XKNVLSX!$X$1=""),$S$2,""))</f>
        <v/>
      </c>
      <c r="T1418" s="1018" t="str">
        <f ca="1">IF($C1418="","", IF(OR($P1418=$V$1,$P1418=$V$7,COUNTIFS($C$3:$C1418,$C1418,$E$3:$E1418,$E1418)&lt;=1),$P1418,""    ))</f>
        <v/>
      </c>
      <c r="U1418" s="1019" t="str">
        <f ca="1">IF(AND($P1418=$V$2,COUNTIFS($C$3:$C1418,$C1418,$E$3:$E1418,$E1418,$G$3:$G1418,$G1418)&lt;=1),$P1418,"")</f>
        <v/>
      </c>
    </row>
    <row r="1419" spans="1:21">
      <c r="A1419" s="991" t="str">
        <f ca="1">IFERROR(IF(COUNTIF($A$3:A1418,A1418)&lt; INDEX(TinhGia!$BH$10:$BH$81,MATCH($A1418,TinhGia!$B$10:$B$81,0)),$A1418,INDEX(TinhGia!$B$10:$B$81,MATCH($A1418,TinhGia!$B$10:$B$81,0)+1)),"")</f>
        <v/>
      </c>
      <c r="B1419" s="525" t="str">
        <f ca="1">IF(OR(A1419="",A1419=0),"",IF(COUNTIF($A$2:A1419,$A1419)=1,ROW(MauKoXoa!$C$108),$B1418+1))</f>
        <v/>
      </c>
      <c r="C1419" s="992" t="str">
        <f t="shared" ca="1" si="226"/>
        <v/>
      </c>
      <c r="D1419" s="993" t="str">
        <f t="shared" ca="1" si="227"/>
        <v/>
      </c>
      <c r="E1419" s="993" t="str">
        <f t="shared" ca="1" si="228"/>
        <v/>
      </c>
      <c r="F1419" s="992" t="str">
        <f t="shared" ca="1" si="236"/>
        <v/>
      </c>
      <c r="G1419" s="994">
        <f t="shared" ca="1" si="229"/>
        <v>0</v>
      </c>
      <c r="H1419" s="913">
        <f t="shared" ca="1" si="230"/>
        <v>0</v>
      </c>
      <c r="I1419" s="913">
        <f t="shared" ca="1" si="231"/>
        <v>0</v>
      </c>
      <c r="J1419" s="995">
        <f t="shared" ca="1" si="237"/>
        <v>0</v>
      </c>
      <c r="K1419" s="913">
        <f t="shared" ca="1" si="232"/>
        <v>0</v>
      </c>
      <c r="L1419" s="995">
        <f t="shared" ca="1" si="238"/>
        <v>0</v>
      </c>
      <c r="M1419" s="913">
        <f t="shared" ca="1" si="233"/>
        <v>0</v>
      </c>
      <c r="N1419" s="996">
        <f t="shared" ca="1" si="234"/>
        <v>0</v>
      </c>
      <c r="O1419" s="997">
        <f t="shared" ca="1" si="235"/>
        <v>0</v>
      </c>
      <c r="P1419" s="1015" t="str">
        <f ca="1">IF($C1419="","",INDEX(NVLSX!$N$2:$N$6941,MATCH($C1419,NVLSX!$E$2:$E$6941,0)))</f>
        <v/>
      </c>
      <c r="Q1419" s="1016" t="str">
        <f ca="1">IF($R1419="","",IF(XKNVLSX!$X$1="",IF($P1419=$V$7,$P1419, IF(COUNTIFS($C$2:$C1418,$C1419,$E$2:$E1418,$E1419)&gt;=1,"",$P1419)),     IF(AND(IFERROR(SEARCH($R1419,XKNVLSX!$X$1,1),0)&gt;=1,$P1419=$V$7),$P1419, IF(OR($R1419&lt;&gt;IF(IFERROR(SEARCH($R1419,XKNVLSX!$X$1,1),0)&gt;=1,$R1419,XKNVLSX!$X$1),COUNTIFS($C$2:$C1418,$C1419,$E$2:$E1418,$E1419,$Q$2:$Q1418,$P1419)&gt;=1),"",$P1419))))</f>
        <v/>
      </c>
      <c r="R1419" s="1017" t="str">
        <f ca="1">IF($A1419="","",IFERROR(INDEX(TinhGia!$BF$10:$BF$81,MATCH($A1419,TinhGia!$B$10:$B$81,0)),""))</f>
        <v/>
      </c>
      <c r="S1419" s="1012" t="str">
        <f ca="1">IF($A1419="","",IF(OR(IFERROR(SEARCH($R1419,XKNVLSX!$X$1,1),0)&gt;=1,XKNVLSX!$X$1=""),$S$2,""))</f>
        <v/>
      </c>
      <c r="T1419" s="1018" t="str">
        <f ca="1">IF($C1419="","", IF(OR($P1419=$V$1,$P1419=$V$7,COUNTIFS($C$3:$C1419,$C1419,$E$3:$E1419,$E1419)&lt;=1),$P1419,""    ))</f>
        <v/>
      </c>
      <c r="U1419" s="1019" t="str">
        <f ca="1">IF(AND($P1419=$V$2,COUNTIFS($C$3:$C1419,$C1419,$E$3:$E1419,$E1419,$G$3:$G1419,$G1419)&lt;=1),$P1419,"")</f>
        <v/>
      </c>
    </row>
    <row r="1420" spans="1:21">
      <c r="A1420" s="991" t="str">
        <f ca="1">IFERROR(IF(COUNTIF($A$3:A1419,A1419)&lt; INDEX(TinhGia!$BH$10:$BH$81,MATCH($A1419,TinhGia!$B$10:$B$81,0)),$A1419,INDEX(TinhGia!$B$10:$B$81,MATCH($A1419,TinhGia!$B$10:$B$81,0)+1)),"")</f>
        <v/>
      </c>
      <c r="B1420" s="525" t="str">
        <f ca="1">IF(OR(A1420="",A1420=0),"",IF(COUNTIF($A$2:A1420,$A1420)=1,ROW(MauKoXoa!$C$108),$B1419+1))</f>
        <v/>
      </c>
      <c r="C1420" s="992" t="str">
        <f t="shared" ca="1" si="226"/>
        <v/>
      </c>
      <c r="D1420" s="993" t="str">
        <f t="shared" ca="1" si="227"/>
        <v/>
      </c>
      <c r="E1420" s="993" t="str">
        <f t="shared" ca="1" si="228"/>
        <v/>
      </c>
      <c r="F1420" s="992" t="str">
        <f t="shared" ca="1" si="236"/>
        <v/>
      </c>
      <c r="G1420" s="994">
        <f t="shared" ca="1" si="229"/>
        <v>0</v>
      </c>
      <c r="H1420" s="913">
        <f t="shared" ca="1" si="230"/>
        <v>0</v>
      </c>
      <c r="I1420" s="913">
        <f t="shared" ca="1" si="231"/>
        <v>0</v>
      </c>
      <c r="J1420" s="995">
        <f t="shared" ca="1" si="237"/>
        <v>0</v>
      </c>
      <c r="K1420" s="913">
        <f t="shared" ca="1" si="232"/>
        <v>0</v>
      </c>
      <c r="L1420" s="995">
        <f t="shared" ca="1" si="238"/>
        <v>0</v>
      </c>
      <c r="M1420" s="913">
        <f t="shared" ca="1" si="233"/>
        <v>0</v>
      </c>
      <c r="N1420" s="996">
        <f t="shared" ca="1" si="234"/>
        <v>0</v>
      </c>
      <c r="O1420" s="997">
        <f t="shared" ca="1" si="235"/>
        <v>0</v>
      </c>
      <c r="P1420" s="1015" t="str">
        <f ca="1">IF($C1420="","",INDEX(NVLSX!$N$2:$N$6941,MATCH($C1420,NVLSX!$E$2:$E$6941,0)))</f>
        <v/>
      </c>
      <c r="Q1420" s="1016" t="str">
        <f ca="1">IF($R1420="","",IF(XKNVLSX!$X$1="",IF($P1420=$V$7,$P1420, IF(COUNTIFS($C$2:$C1419,$C1420,$E$2:$E1419,$E1420)&gt;=1,"",$P1420)),     IF(AND(IFERROR(SEARCH($R1420,XKNVLSX!$X$1,1),0)&gt;=1,$P1420=$V$7),$P1420, IF(OR($R1420&lt;&gt;IF(IFERROR(SEARCH($R1420,XKNVLSX!$X$1,1),0)&gt;=1,$R1420,XKNVLSX!$X$1),COUNTIFS($C$2:$C1419,$C1420,$E$2:$E1419,$E1420,$Q$2:$Q1419,$P1420)&gt;=1),"",$P1420))))</f>
        <v/>
      </c>
      <c r="R1420" s="1017" t="str">
        <f ca="1">IF($A1420="","",IFERROR(INDEX(TinhGia!$BF$10:$BF$81,MATCH($A1420,TinhGia!$B$10:$B$81,0)),""))</f>
        <v/>
      </c>
      <c r="S1420" s="1012" t="str">
        <f ca="1">IF($A1420="","",IF(OR(IFERROR(SEARCH($R1420,XKNVLSX!$X$1,1),0)&gt;=1,XKNVLSX!$X$1=""),$S$2,""))</f>
        <v/>
      </c>
      <c r="T1420" s="1018" t="str">
        <f ca="1">IF($C1420="","", IF(OR($P1420=$V$1,$P1420=$V$7,COUNTIFS($C$3:$C1420,$C1420,$E$3:$E1420,$E1420)&lt;=1),$P1420,""    ))</f>
        <v/>
      </c>
      <c r="U1420" s="1019" t="str">
        <f ca="1">IF(AND($P1420=$V$2,COUNTIFS($C$3:$C1420,$C1420,$E$3:$E1420,$E1420,$G$3:$G1420,$G1420)&lt;=1),$P1420,"")</f>
        <v/>
      </c>
    </row>
    <row r="1421" spans="1:21">
      <c r="A1421" s="991" t="str">
        <f ca="1">IFERROR(IF(COUNTIF($A$3:A1420,A1420)&lt; INDEX(TinhGia!$BH$10:$BH$81,MATCH($A1420,TinhGia!$B$10:$B$81,0)),$A1420,INDEX(TinhGia!$B$10:$B$81,MATCH($A1420,TinhGia!$B$10:$B$81,0)+1)),"")</f>
        <v/>
      </c>
      <c r="B1421" s="525" t="str">
        <f ca="1">IF(OR(A1421="",A1421=0),"",IF(COUNTIF($A$2:A1421,$A1421)=1,ROW(MauKoXoa!$C$108),$B1420+1))</f>
        <v/>
      </c>
      <c r="C1421" s="992" t="str">
        <f t="shared" ca="1" si="226"/>
        <v/>
      </c>
      <c r="D1421" s="993" t="str">
        <f t="shared" ca="1" si="227"/>
        <v/>
      </c>
      <c r="E1421" s="993" t="str">
        <f t="shared" ca="1" si="228"/>
        <v/>
      </c>
      <c r="F1421" s="992" t="str">
        <f t="shared" ca="1" si="236"/>
        <v/>
      </c>
      <c r="G1421" s="994">
        <f t="shared" ca="1" si="229"/>
        <v>0</v>
      </c>
      <c r="H1421" s="913">
        <f t="shared" ca="1" si="230"/>
        <v>0</v>
      </c>
      <c r="I1421" s="913">
        <f t="shared" ca="1" si="231"/>
        <v>0</v>
      </c>
      <c r="J1421" s="995">
        <f t="shared" ca="1" si="237"/>
        <v>0</v>
      </c>
      <c r="K1421" s="913">
        <f t="shared" ca="1" si="232"/>
        <v>0</v>
      </c>
      <c r="L1421" s="995">
        <f t="shared" ca="1" si="238"/>
        <v>0</v>
      </c>
      <c r="M1421" s="913">
        <f t="shared" ca="1" si="233"/>
        <v>0</v>
      </c>
      <c r="N1421" s="996">
        <f t="shared" ca="1" si="234"/>
        <v>0</v>
      </c>
      <c r="O1421" s="997">
        <f t="shared" ca="1" si="235"/>
        <v>0</v>
      </c>
      <c r="P1421" s="1015" t="str">
        <f ca="1">IF($C1421="","",INDEX(NVLSX!$N$2:$N$6941,MATCH($C1421,NVLSX!$E$2:$E$6941,0)))</f>
        <v/>
      </c>
      <c r="Q1421" s="1016" t="str">
        <f ca="1">IF($R1421="","",IF(XKNVLSX!$X$1="",IF($P1421=$V$7,$P1421, IF(COUNTIFS($C$2:$C1420,$C1421,$E$2:$E1420,$E1421)&gt;=1,"",$P1421)),     IF(AND(IFERROR(SEARCH($R1421,XKNVLSX!$X$1,1),0)&gt;=1,$P1421=$V$7),$P1421, IF(OR($R1421&lt;&gt;IF(IFERROR(SEARCH($R1421,XKNVLSX!$X$1,1),0)&gt;=1,$R1421,XKNVLSX!$X$1),COUNTIFS($C$2:$C1420,$C1421,$E$2:$E1420,$E1421,$Q$2:$Q1420,$P1421)&gt;=1),"",$P1421))))</f>
        <v/>
      </c>
      <c r="R1421" s="1017" t="str">
        <f ca="1">IF($A1421="","",IFERROR(INDEX(TinhGia!$BF$10:$BF$81,MATCH($A1421,TinhGia!$B$10:$B$81,0)),""))</f>
        <v/>
      </c>
      <c r="S1421" s="1012" t="str">
        <f ca="1">IF($A1421="","",IF(OR(IFERROR(SEARCH($R1421,XKNVLSX!$X$1,1),0)&gt;=1,XKNVLSX!$X$1=""),$S$2,""))</f>
        <v/>
      </c>
      <c r="T1421" s="1018" t="str">
        <f ca="1">IF($C1421="","", IF(OR($P1421=$V$1,$P1421=$V$7,COUNTIFS($C$3:$C1421,$C1421,$E$3:$E1421,$E1421)&lt;=1),$P1421,""    ))</f>
        <v/>
      </c>
      <c r="U1421" s="1019" t="str">
        <f ca="1">IF(AND($P1421=$V$2,COUNTIFS($C$3:$C1421,$C1421,$E$3:$E1421,$E1421,$G$3:$G1421,$G1421)&lt;=1),$P1421,"")</f>
        <v/>
      </c>
    </row>
    <row r="1422" spans="1:21">
      <c r="A1422" s="991" t="str">
        <f ca="1">IFERROR(IF(COUNTIF($A$3:A1421,A1421)&lt; INDEX(TinhGia!$BH$10:$BH$81,MATCH($A1421,TinhGia!$B$10:$B$81,0)),$A1421,INDEX(TinhGia!$B$10:$B$81,MATCH($A1421,TinhGia!$B$10:$B$81,0)+1)),"")</f>
        <v/>
      </c>
      <c r="B1422" s="525" t="str">
        <f ca="1">IF(OR(A1422="",A1422=0),"",IF(COUNTIF($A$2:A1422,$A1422)=1,ROW(MauKoXoa!$C$108),$B1421+1))</f>
        <v/>
      </c>
      <c r="C1422" s="992" t="str">
        <f t="shared" ca="1" si="226"/>
        <v/>
      </c>
      <c r="D1422" s="993" t="str">
        <f t="shared" ca="1" si="227"/>
        <v/>
      </c>
      <c r="E1422" s="993" t="str">
        <f t="shared" ca="1" si="228"/>
        <v/>
      </c>
      <c r="F1422" s="992" t="str">
        <f t="shared" ca="1" si="236"/>
        <v/>
      </c>
      <c r="G1422" s="994">
        <f t="shared" ca="1" si="229"/>
        <v>0</v>
      </c>
      <c r="H1422" s="913">
        <f t="shared" ca="1" si="230"/>
        <v>0</v>
      </c>
      <c r="I1422" s="913">
        <f t="shared" ca="1" si="231"/>
        <v>0</v>
      </c>
      <c r="J1422" s="995">
        <f t="shared" ca="1" si="237"/>
        <v>0</v>
      </c>
      <c r="K1422" s="913">
        <f t="shared" ca="1" si="232"/>
        <v>0</v>
      </c>
      <c r="L1422" s="995">
        <f t="shared" ca="1" si="238"/>
        <v>0</v>
      </c>
      <c r="M1422" s="913">
        <f t="shared" ca="1" si="233"/>
        <v>0</v>
      </c>
      <c r="N1422" s="996">
        <f t="shared" ca="1" si="234"/>
        <v>0</v>
      </c>
      <c r="O1422" s="997">
        <f t="shared" ca="1" si="235"/>
        <v>0</v>
      </c>
      <c r="P1422" s="1015" t="str">
        <f ca="1">IF($C1422="","",INDEX(NVLSX!$N$2:$N$6941,MATCH($C1422,NVLSX!$E$2:$E$6941,0)))</f>
        <v/>
      </c>
      <c r="Q1422" s="1016" t="str">
        <f ca="1">IF($R1422="","",IF(XKNVLSX!$X$1="",IF($P1422=$V$7,$P1422, IF(COUNTIFS($C$2:$C1421,$C1422,$E$2:$E1421,$E1422)&gt;=1,"",$P1422)),     IF(AND(IFERROR(SEARCH($R1422,XKNVLSX!$X$1,1),0)&gt;=1,$P1422=$V$7),$P1422, IF(OR($R1422&lt;&gt;IF(IFERROR(SEARCH($R1422,XKNVLSX!$X$1,1),0)&gt;=1,$R1422,XKNVLSX!$X$1),COUNTIFS($C$2:$C1421,$C1422,$E$2:$E1421,$E1422,$Q$2:$Q1421,$P1422)&gt;=1),"",$P1422))))</f>
        <v/>
      </c>
      <c r="R1422" s="1017" t="str">
        <f ca="1">IF($A1422="","",IFERROR(INDEX(TinhGia!$BF$10:$BF$81,MATCH($A1422,TinhGia!$B$10:$B$81,0)),""))</f>
        <v/>
      </c>
      <c r="S1422" s="1012" t="str">
        <f ca="1">IF($A1422="","",IF(OR(IFERROR(SEARCH($R1422,XKNVLSX!$X$1,1),0)&gt;=1,XKNVLSX!$X$1=""),$S$2,""))</f>
        <v/>
      </c>
      <c r="T1422" s="1018" t="str">
        <f ca="1">IF($C1422="","", IF(OR($P1422=$V$1,$P1422=$V$7,COUNTIFS($C$3:$C1422,$C1422,$E$3:$E1422,$E1422)&lt;=1),$P1422,""    ))</f>
        <v/>
      </c>
      <c r="U1422" s="1019" t="str">
        <f ca="1">IF(AND($P1422=$V$2,COUNTIFS($C$3:$C1422,$C1422,$E$3:$E1422,$E1422,$G$3:$G1422,$G1422)&lt;=1),$P1422,"")</f>
        <v/>
      </c>
    </row>
    <row r="1423" spans="1:21">
      <c r="A1423" s="991" t="str">
        <f ca="1">IFERROR(IF(COUNTIF($A$3:A1422,A1422)&lt; INDEX(TinhGia!$BH$10:$BH$81,MATCH($A1422,TinhGia!$B$10:$B$81,0)),$A1422,INDEX(TinhGia!$B$10:$B$81,MATCH($A1422,TinhGia!$B$10:$B$81,0)+1)),"")</f>
        <v/>
      </c>
      <c r="B1423" s="525" t="str">
        <f ca="1">IF(OR(A1423="",A1423=0),"",IF(COUNTIF($A$2:A1423,$A1423)=1,ROW(MauKoXoa!$C$108),$B1422+1))</f>
        <v/>
      </c>
      <c r="C1423" s="992" t="str">
        <f t="shared" ca="1" si="226"/>
        <v/>
      </c>
      <c r="D1423" s="993" t="str">
        <f t="shared" ca="1" si="227"/>
        <v/>
      </c>
      <c r="E1423" s="993" t="str">
        <f t="shared" ca="1" si="228"/>
        <v/>
      </c>
      <c r="F1423" s="992" t="str">
        <f t="shared" ca="1" si="236"/>
        <v/>
      </c>
      <c r="G1423" s="994">
        <f t="shared" ca="1" si="229"/>
        <v>0</v>
      </c>
      <c r="H1423" s="913">
        <f t="shared" ca="1" si="230"/>
        <v>0</v>
      </c>
      <c r="I1423" s="913">
        <f t="shared" ca="1" si="231"/>
        <v>0</v>
      </c>
      <c r="J1423" s="995">
        <f t="shared" ca="1" si="237"/>
        <v>0</v>
      </c>
      <c r="K1423" s="913">
        <f t="shared" ca="1" si="232"/>
        <v>0</v>
      </c>
      <c r="L1423" s="995">
        <f t="shared" ca="1" si="238"/>
        <v>0</v>
      </c>
      <c r="M1423" s="913">
        <f t="shared" ca="1" si="233"/>
        <v>0</v>
      </c>
      <c r="N1423" s="996">
        <f t="shared" ca="1" si="234"/>
        <v>0</v>
      </c>
      <c r="O1423" s="997">
        <f t="shared" ca="1" si="235"/>
        <v>0</v>
      </c>
      <c r="P1423" s="1015" t="str">
        <f ca="1">IF($C1423="","",INDEX(NVLSX!$N$2:$N$6941,MATCH($C1423,NVLSX!$E$2:$E$6941,0)))</f>
        <v/>
      </c>
      <c r="Q1423" s="1016" t="str">
        <f ca="1">IF($R1423="","",IF(XKNVLSX!$X$1="",IF($P1423=$V$7,$P1423, IF(COUNTIFS($C$2:$C1422,$C1423,$E$2:$E1422,$E1423)&gt;=1,"",$P1423)),     IF(AND(IFERROR(SEARCH($R1423,XKNVLSX!$X$1,1),0)&gt;=1,$P1423=$V$7),$P1423, IF(OR($R1423&lt;&gt;IF(IFERROR(SEARCH($R1423,XKNVLSX!$X$1,1),0)&gt;=1,$R1423,XKNVLSX!$X$1),COUNTIFS($C$2:$C1422,$C1423,$E$2:$E1422,$E1423,$Q$2:$Q1422,$P1423)&gt;=1),"",$P1423))))</f>
        <v/>
      </c>
      <c r="R1423" s="1017" t="str">
        <f ca="1">IF($A1423="","",IFERROR(INDEX(TinhGia!$BF$10:$BF$81,MATCH($A1423,TinhGia!$B$10:$B$81,0)),""))</f>
        <v/>
      </c>
      <c r="S1423" s="1012" t="str">
        <f ca="1">IF($A1423="","",IF(OR(IFERROR(SEARCH($R1423,XKNVLSX!$X$1,1),0)&gt;=1,XKNVLSX!$X$1=""),$S$2,""))</f>
        <v/>
      </c>
      <c r="T1423" s="1018" t="str">
        <f ca="1">IF($C1423="","", IF(OR($P1423=$V$1,$P1423=$V$7,COUNTIFS($C$3:$C1423,$C1423,$E$3:$E1423,$E1423)&lt;=1),$P1423,""    ))</f>
        <v/>
      </c>
      <c r="U1423" s="1019" t="str">
        <f ca="1">IF(AND($P1423=$V$2,COUNTIFS($C$3:$C1423,$C1423,$E$3:$E1423,$E1423,$G$3:$G1423,$G1423)&lt;=1),$P1423,"")</f>
        <v/>
      </c>
    </row>
    <row r="1424" spans="1:21">
      <c r="A1424" s="991" t="str">
        <f ca="1">IFERROR(IF(COUNTIF($A$3:A1423,A1423)&lt; INDEX(TinhGia!$BH$10:$BH$81,MATCH($A1423,TinhGia!$B$10:$B$81,0)),$A1423,INDEX(TinhGia!$B$10:$B$81,MATCH($A1423,TinhGia!$B$10:$B$81,0)+1)),"")</f>
        <v/>
      </c>
      <c r="B1424" s="525" t="str">
        <f ca="1">IF(OR(A1424="",A1424=0),"",IF(COUNTIF($A$2:A1424,$A1424)=1,ROW(MauKoXoa!$C$108),$B1423+1))</f>
        <v/>
      </c>
      <c r="C1424" s="992" t="str">
        <f t="shared" ca="1" si="226"/>
        <v/>
      </c>
      <c r="D1424" s="993" t="str">
        <f t="shared" ca="1" si="227"/>
        <v/>
      </c>
      <c r="E1424" s="993" t="str">
        <f t="shared" ca="1" si="228"/>
        <v/>
      </c>
      <c r="F1424" s="992" t="str">
        <f t="shared" ca="1" si="236"/>
        <v/>
      </c>
      <c r="G1424" s="994">
        <f t="shared" ca="1" si="229"/>
        <v>0</v>
      </c>
      <c r="H1424" s="913">
        <f t="shared" ca="1" si="230"/>
        <v>0</v>
      </c>
      <c r="I1424" s="913">
        <f t="shared" ca="1" si="231"/>
        <v>0</v>
      </c>
      <c r="J1424" s="995">
        <f t="shared" ca="1" si="237"/>
        <v>0</v>
      </c>
      <c r="K1424" s="913">
        <f t="shared" ca="1" si="232"/>
        <v>0</v>
      </c>
      <c r="L1424" s="995">
        <f t="shared" ca="1" si="238"/>
        <v>0</v>
      </c>
      <c r="M1424" s="913">
        <f t="shared" ca="1" si="233"/>
        <v>0</v>
      </c>
      <c r="N1424" s="996">
        <f t="shared" ca="1" si="234"/>
        <v>0</v>
      </c>
      <c r="O1424" s="997">
        <f t="shared" ca="1" si="235"/>
        <v>0</v>
      </c>
      <c r="P1424" s="1015" t="str">
        <f ca="1">IF($C1424="","",INDEX(NVLSX!$N$2:$N$6941,MATCH($C1424,NVLSX!$E$2:$E$6941,0)))</f>
        <v/>
      </c>
      <c r="Q1424" s="1016" t="str">
        <f ca="1">IF($R1424="","",IF(XKNVLSX!$X$1="",IF($P1424=$V$7,$P1424, IF(COUNTIFS($C$2:$C1423,$C1424,$E$2:$E1423,$E1424)&gt;=1,"",$P1424)),     IF(AND(IFERROR(SEARCH($R1424,XKNVLSX!$X$1,1),0)&gt;=1,$P1424=$V$7),$P1424, IF(OR($R1424&lt;&gt;IF(IFERROR(SEARCH($R1424,XKNVLSX!$X$1,1),0)&gt;=1,$R1424,XKNVLSX!$X$1),COUNTIFS($C$2:$C1423,$C1424,$E$2:$E1423,$E1424,$Q$2:$Q1423,$P1424)&gt;=1),"",$P1424))))</f>
        <v/>
      </c>
      <c r="R1424" s="1017" t="str">
        <f ca="1">IF($A1424="","",IFERROR(INDEX(TinhGia!$BF$10:$BF$81,MATCH($A1424,TinhGia!$B$10:$B$81,0)),""))</f>
        <v/>
      </c>
      <c r="S1424" s="1012" t="str">
        <f ca="1">IF($A1424="","",IF(OR(IFERROR(SEARCH($R1424,XKNVLSX!$X$1,1),0)&gt;=1,XKNVLSX!$X$1=""),$S$2,""))</f>
        <v/>
      </c>
      <c r="T1424" s="1018" t="str">
        <f ca="1">IF($C1424="","", IF(OR($P1424=$V$1,$P1424=$V$7,COUNTIFS($C$3:$C1424,$C1424,$E$3:$E1424,$E1424)&lt;=1),$P1424,""    ))</f>
        <v/>
      </c>
      <c r="U1424" s="1019" t="str">
        <f ca="1">IF(AND($P1424=$V$2,COUNTIFS($C$3:$C1424,$C1424,$E$3:$E1424,$E1424,$G$3:$G1424,$G1424)&lt;=1),$P1424,"")</f>
        <v/>
      </c>
    </row>
    <row r="1425" spans="1:21">
      <c r="A1425" s="991" t="str">
        <f ca="1">IFERROR(IF(COUNTIF($A$3:A1424,A1424)&lt; INDEX(TinhGia!$BH$10:$BH$81,MATCH($A1424,TinhGia!$B$10:$B$81,0)),$A1424,INDEX(TinhGia!$B$10:$B$81,MATCH($A1424,TinhGia!$B$10:$B$81,0)+1)),"")</f>
        <v/>
      </c>
      <c r="B1425" s="525" t="str">
        <f ca="1">IF(OR(A1425="",A1425=0),"",IF(COUNTIF($A$2:A1425,$A1425)=1,ROW(MauKoXoa!$C$108),$B1424+1))</f>
        <v/>
      </c>
      <c r="C1425" s="992" t="str">
        <f t="shared" ca="1" si="226"/>
        <v/>
      </c>
      <c r="D1425" s="993" t="str">
        <f t="shared" ca="1" si="227"/>
        <v/>
      </c>
      <c r="E1425" s="993" t="str">
        <f t="shared" ca="1" si="228"/>
        <v/>
      </c>
      <c r="F1425" s="992" t="str">
        <f t="shared" ca="1" si="236"/>
        <v/>
      </c>
      <c r="G1425" s="994">
        <f t="shared" ca="1" si="229"/>
        <v>0</v>
      </c>
      <c r="H1425" s="913">
        <f t="shared" ca="1" si="230"/>
        <v>0</v>
      </c>
      <c r="I1425" s="913">
        <f t="shared" ca="1" si="231"/>
        <v>0</v>
      </c>
      <c r="J1425" s="995">
        <f t="shared" ca="1" si="237"/>
        <v>0</v>
      </c>
      <c r="K1425" s="913">
        <f t="shared" ca="1" si="232"/>
        <v>0</v>
      </c>
      <c r="L1425" s="995">
        <f t="shared" ca="1" si="238"/>
        <v>0</v>
      </c>
      <c r="M1425" s="913">
        <f t="shared" ca="1" si="233"/>
        <v>0</v>
      </c>
      <c r="N1425" s="996">
        <f t="shared" ca="1" si="234"/>
        <v>0</v>
      </c>
      <c r="O1425" s="997">
        <f t="shared" ca="1" si="235"/>
        <v>0</v>
      </c>
      <c r="P1425" s="1015" t="str">
        <f ca="1">IF($C1425="","",INDEX(NVLSX!$N$2:$N$6941,MATCH($C1425,NVLSX!$E$2:$E$6941,0)))</f>
        <v/>
      </c>
      <c r="Q1425" s="1016" t="str">
        <f ca="1">IF($R1425="","",IF(XKNVLSX!$X$1="",IF($P1425=$V$7,$P1425, IF(COUNTIFS($C$2:$C1424,$C1425,$E$2:$E1424,$E1425)&gt;=1,"",$P1425)),     IF(AND(IFERROR(SEARCH($R1425,XKNVLSX!$X$1,1),0)&gt;=1,$P1425=$V$7),$P1425, IF(OR($R1425&lt;&gt;IF(IFERROR(SEARCH($R1425,XKNVLSX!$X$1,1),0)&gt;=1,$R1425,XKNVLSX!$X$1),COUNTIFS($C$2:$C1424,$C1425,$E$2:$E1424,$E1425,$Q$2:$Q1424,$P1425)&gt;=1),"",$P1425))))</f>
        <v/>
      </c>
      <c r="R1425" s="1017" t="str">
        <f ca="1">IF($A1425="","",IFERROR(INDEX(TinhGia!$BF$10:$BF$81,MATCH($A1425,TinhGia!$B$10:$B$81,0)),""))</f>
        <v/>
      </c>
      <c r="S1425" s="1012" t="str">
        <f ca="1">IF($A1425="","",IF(OR(IFERROR(SEARCH($R1425,XKNVLSX!$X$1,1),0)&gt;=1,XKNVLSX!$X$1=""),$S$2,""))</f>
        <v/>
      </c>
      <c r="T1425" s="1018" t="str">
        <f ca="1">IF($C1425="","", IF(OR($P1425=$V$1,$P1425=$V$7,COUNTIFS($C$3:$C1425,$C1425,$E$3:$E1425,$E1425)&lt;=1),$P1425,""    ))</f>
        <v/>
      </c>
      <c r="U1425" s="1019" t="str">
        <f ca="1">IF(AND($P1425=$V$2,COUNTIFS($C$3:$C1425,$C1425,$E$3:$E1425,$E1425,$G$3:$G1425,$G1425)&lt;=1),$P1425,"")</f>
        <v/>
      </c>
    </row>
    <row r="1426" spans="1:21">
      <c r="A1426" s="991" t="str">
        <f ca="1">IFERROR(IF(COUNTIF($A$3:A1425,A1425)&lt; INDEX(TinhGia!$BH$10:$BH$81,MATCH($A1425,TinhGia!$B$10:$B$81,0)),$A1425,INDEX(TinhGia!$B$10:$B$81,MATCH($A1425,TinhGia!$B$10:$B$81,0)+1)),"")</f>
        <v/>
      </c>
      <c r="B1426" s="525" t="str">
        <f ca="1">IF(OR(A1426="",A1426=0),"",IF(COUNTIF($A$2:A1426,$A1426)=1,ROW(MauKoXoa!$C$108),$B1425+1))</f>
        <v/>
      </c>
      <c r="C1426" s="992" t="str">
        <f t="shared" ca="1" si="226"/>
        <v/>
      </c>
      <c r="D1426" s="993" t="str">
        <f t="shared" ca="1" si="227"/>
        <v/>
      </c>
      <c r="E1426" s="993" t="str">
        <f t="shared" ca="1" si="228"/>
        <v/>
      </c>
      <c r="F1426" s="992" t="str">
        <f t="shared" ca="1" si="236"/>
        <v/>
      </c>
      <c r="G1426" s="994">
        <f t="shared" ca="1" si="229"/>
        <v>0</v>
      </c>
      <c r="H1426" s="913">
        <f t="shared" ca="1" si="230"/>
        <v>0</v>
      </c>
      <c r="I1426" s="913">
        <f t="shared" ca="1" si="231"/>
        <v>0</v>
      </c>
      <c r="J1426" s="995">
        <f t="shared" ca="1" si="237"/>
        <v>0</v>
      </c>
      <c r="K1426" s="913">
        <f t="shared" ca="1" si="232"/>
        <v>0</v>
      </c>
      <c r="L1426" s="995">
        <f t="shared" ca="1" si="238"/>
        <v>0</v>
      </c>
      <c r="M1426" s="913">
        <f t="shared" ca="1" si="233"/>
        <v>0</v>
      </c>
      <c r="N1426" s="996">
        <f t="shared" ca="1" si="234"/>
        <v>0</v>
      </c>
      <c r="O1426" s="997">
        <f t="shared" ca="1" si="235"/>
        <v>0</v>
      </c>
      <c r="P1426" s="1015" t="str">
        <f ca="1">IF($C1426="","",INDEX(NVLSX!$N$2:$N$6941,MATCH($C1426,NVLSX!$E$2:$E$6941,0)))</f>
        <v/>
      </c>
      <c r="Q1426" s="1016" t="str">
        <f ca="1">IF($R1426="","",IF(XKNVLSX!$X$1="",IF($P1426=$V$7,$P1426, IF(COUNTIFS($C$2:$C1425,$C1426,$E$2:$E1425,$E1426)&gt;=1,"",$P1426)),     IF(AND(IFERROR(SEARCH($R1426,XKNVLSX!$X$1,1),0)&gt;=1,$P1426=$V$7),$P1426, IF(OR($R1426&lt;&gt;IF(IFERROR(SEARCH($R1426,XKNVLSX!$X$1,1),0)&gt;=1,$R1426,XKNVLSX!$X$1),COUNTIFS($C$2:$C1425,$C1426,$E$2:$E1425,$E1426,$Q$2:$Q1425,$P1426)&gt;=1),"",$P1426))))</f>
        <v/>
      </c>
      <c r="R1426" s="1017" t="str">
        <f ca="1">IF($A1426="","",IFERROR(INDEX(TinhGia!$BF$10:$BF$81,MATCH($A1426,TinhGia!$B$10:$B$81,0)),""))</f>
        <v/>
      </c>
      <c r="S1426" s="1012" t="str">
        <f ca="1">IF($A1426="","",IF(OR(IFERROR(SEARCH($R1426,XKNVLSX!$X$1,1),0)&gt;=1,XKNVLSX!$X$1=""),$S$2,""))</f>
        <v/>
      </c>
      <c r="T1426" s="1018" t="str">
        <f ca="1">IF($C1426="","", IF(OR($P1426=$V$1,$P1426=$V$7,COUNTIFS($C$3:$C1426,$C1426,$E$3:$E1426,$E1426)&lt;=1),$P1426,""    ))</f>
        <v/>
      </c>
      <c r="U1426" s="1019" t="str">
        <f ca="1">IF(AND($P1426=$V$2,COUNTIFS($C$3:$C1426,$C1426,$E$3:$E1426,$E1426,$G$3:$G1426,$G1426)&lt;=1),$P1426,"")</f>
        <v/>
      </c>
    </row>
    <row r="1427" spans="1:21">
      <c r="A1427" s="991" t="str">
        <f ca="1">IFERROR(IF(COUNTIF($A$3:A1426,A1426)&lt; INDEX(TinhGia!$BH$10:$BH$81,MATCH($A1426,TinhGia!$B$10:$B$81,0)),$A1426,INDEX(TinhGia!$B$10:$B$81,MATCH($A1426,TinhGia!$B$10:$B$81,0)+1)),"")</f>
        <v/>
      </c>
      <c r="B1427" s="525" t="str">
        <f ca="1">IF(OR(A1427="",A1427=0),"",IF(COUNTIF($A$2:A1427,$A1427)=1,ROW(MauKoXoa!$C$108),$B1426+1))</f>
        <v/>
      </c>
      <c r="C1427" s="992" t="str">
        <f t="shared" ca="1" si="226"/>
        <v/>
      </c>
      <c r="D1427" s="993" t="str">
        <f t="shared" ca="1" si="227"/>
        <v/>
      </c>
      <c r="E1427" s="993" t="str">
        <f t="shared" ca="1" si="228"/>
        <v/>
      </c>
      <c r="F1427" s="992" t="str">
        <f t="shared" ca="1" si="236"/>
        <v/>
      </c>
      <c r="G1427" s="994">
        <f t="shared" ca="1" si="229"/>
        <v>0</v>
      </c>
      <c r="H1427" s="913">
        <f t="shared" ca="1" si="230"/>
        <v>0</v>
      </c>
      <c r="I1427" s="913">
        <f t="shared" ca="1" si="231"/>
        <v>0</v>
      </c>
      <c r="J1427" s="995">
        <f t="shared" ca="1" si="237"/>
        <v>0</v>
      </c>
      <c r="K1427" s="913">
        <f t="shared" ca="1" si="232"/>
        <v>0</v>
      </c>
      <c r="L1427" s="995">
        <f t="shared" ca="1" si="238"/>
        <v>0</v>
      </c>
      <c r="M1427" s="913">
        <f t="shared" ca="1" si="233"/>
        <v>0</v>
      </c>
      <c r="N1427" s="996">
        <f t="shared" ca="1" si="234"/>
        <v>0</v>
      </c>
      <c r="O1427" s="997">
        <f t="shared" ca="1" si="235"/>
        <v>0</v>
      </c>
      <c r="P1427" s="1015" t="str">
        <f ca="1">IF($C1427="","",INDEX(NVLSX!$N$2:$N$6941,MATCH($C1427,NVLSX!$E$2:$E$6941,0)))</f>
        <v/>
      </c>
      <c r="Q1427" s="1016" t="str">
        <f ca="1">IF($R1427="","",IF(XKNVLSX!$X$1="",IF($P1427=$V$7,$P1427, IF(COUNTIFS($C$2:$C1426,$C1427,$E$2:$E1426,$E1427)&gt;=1,"",$P1427)),     IF(AND(IFERROR(SEARCH($R1427,XKNVLSX!$X$1,1),0)&gt;=1,$P1427=$V$7),$P1427, IF(OR($R1427&lt;&gt;IF(IFERROR(SEARCH($R1427,XKNVLSX!$X$1,1),0)&gt;=1,$R1427,XKNVLSX!$X$1),COUNTIFS($C$2:$C1426,$C1427,$E$2:$E1426,$E1427,$Q$2:$Q1426,$P1427)&gt;=1),"",$P1427))))</f>
        <v/>
      </c>
      <c r="R1427" s="1017" t="str">
        <f ca="1">IF($A1427="","",IFERROR(INDEX(TinhGia!$BF$10:$BF$81,MATCH($A1427,TinhGia!$B$10:$B$81,0)),""))</f>
        <v/>
      </c>
      <c r="S1427" s="1012" t="str">
        <f ca="1">IF($A1427="","",IF(OR(IFERROR(SEARCH($R1427,XKNVLSX!$X$1,1),0)&gt;=1,XKNVLSX!$X$1=""),$S$2,""))</f>
        <v/>
      </c>
      <c r="T1427" s="1018" t="str">
        <f ca="1">IF($C1427="","", IF(OR($P1427=$V$1,$P1427=$V$7,COUNTIFS($C$3:$C1427,$C1427,$E$3:$E1427,$E1427)&lt;=1),$P1427,""    ))</f>
        <v/>
      </c>
      <c r="U1427" s="1019" t="str">
        <f ca="1">IF(AND($P1427=$V$2,COUNTIFS($C$3:$C1427,$C1427,$E$3:$E1427,$E1427,$G$3:$G1427,$G1427)&lt;=1),$P1427,"")</f>
        <v/>
      </c>
    </row>
    <row r="1428" spans="1:21">
      <c r="A1428" s="991" t="str">
        <f ca="1">IFERROR(IF(COUNTIF($A$3:A1427,A1427)&lt; INDEX(TinhGia!$BH$10:$BH$81,MATCH($A1427,TinhGia!$B$10:$B$81,0)),$A1427,INDEX(TinhGia!$B$10:$B$81,MATCH($A1427,TinhGia!$B$10:$B$81,0)+1)),"")</f>
        <v/>
      </c>
      <c r="B1428" s="525" t="str">
        <f ca="1">IF(OR(A1428="",A1428=0),"",IF(COUNTIF($A$2:A1428,$A1428)=1,ROW(MauKoXoa!$C$108),$B1427+1))</f>
        <v/>
      </c>
      <c r="C1428" s="992" t="str">
        <f t="shared" ca="1" si="226"/>
        <v/>
      </c>
      <c r="D1428" s="993" t="str">
        <f t="shared" ca="1" si="227"/>
        <v/>
      </c>
      <c r="E1428" s="993" t="str">
        <f t="shared" ca="1" si="228"/>
        <v/>
      </c>
      <c r="F1428" s="992" t="str">
        <f t="shared" ca="1" si="236"/>
        <v/>
      </c>
      <c r="G1428" s="994">
        <f t="shared" ca="1" si="229"/>
        <v>0</v>
      </c>
      <c r="H1428" s="913">
        <f t="shared" ca="1" si="230"/>
        <v>0</v>
      </c>
      <c r="I1428" s="913">
        <f t="shared" ca="1" si="231"/>
        <v>0</v>
      </c>
      <c r="J1428" s="995">
        <f t="shared" ca="1" si="237"/>
        <v>0</v>
      </c>
      <c r="K1428" s="913">
        <f t="shared" ca="1" si="232"/>
        <v>0</v>
      </c>
      <c r="L1428" s="995">
        <f t="shared" ca="1" si="238"/>
        <v>0</v>
      </c>
      <c r="M1428" s="913">
        <f t="shared" ca="1" si="233"/>
        <v>0</v>
      </c>
      <c r="N1428" s="996">
        <f t="shared" ca="1" si="234"/>
        <v>0</v>
      </c>
      <c r="O1428" s="997">
        <f t="shared" ca="1" si="235"/>
        <v>0</v>
      </c>
      <c r="P1428" s="1015" t="str">
        <f ca="1">IF($C1428="","",INDEX(NVLSX!$N$2:$N$6941,MATCH($C1428,NVLSX!$E$2:$E$6941,0)))</f>
        <v/>
      </c>
      <c r="Q1428" s="1016" t="str">
        <f ca="1">IF($R1428="","",IF(XKNVLSX!$X$1="",IF($P1428=$V$7,$P1428, IF(COUNTIFS($C$2:$C1427,$C1428,$E$2:$E1427,$E1428)&gt;=1,"",$P1428)),     IF(AND(IFERROR(SEARCH($R1428,XKNVLSX!$X$1,1),0)&gt;=1,$P1428=$V$7),$P1428, IF(OR($R1428&lt;&gt;IF(IFERROR(SEARCH($R1428,XKNVLSX!$X$1,1),0)&gt;=1,$R1428,XKNVLSX!$X$1),COUNTIFS($C$2:$C1427,$C1428,$E$2:$E1427,$E1428,$Q$2:$Q1427,$P1428)&gt;=1),"",$P1428))))</f>
        <v/>
      </c>
      <c r="R1428" s="1017" t="str">
        <f ca="1">IF($A1428="","",IFERROR(INDEX(TinhGia!$BF$10:$BF$81,MATCH($A1428,TinhGia!$B$10:$B$81,0)),""))</f>
        <v/>
      </c>
      <c r="S1428" s="1012" t="str">
        <f ca="1">IF($A1428="","",IF(OR(IFERROR(SEARCH($R1428,XKNVLSX!$X$1,1),0)&gt;=1,XKNVLSX!$X$1=""),$S$2,""))</f>
        <v/>
      </c>
      <c r="T1428" s="1018" t="str">
        <f ca="1">IF($C1428="","", IF(OR($P1428=$V$1,$P1428=$V$7,COUNTIFS($C$3:$C1428,$C1428,$E$3:$E1428,$E1428)&lt;=1),$P1428,""    ))</f>
        <v/>
      </c>
      <c r="U1428" s="1019" t="str">
        <f ca="1">IF(AND($P1428=$V$2,COUNTIFS($C$3:$C1428,$C1428,$E$3:$E1428,$E1428,$G$3:$G1428,$G1428)&lt;=1),$P1428,"")</f>
        <v/>
      </c>
    </row>
    <row r="1429" spans="1:21">
      <c r="A1429" s="991" t="str">
        <f ca="1">IFERROR(IF(COUNTIF($A$3:A1428,A1428)&lt; INDEX(TinhGia!$BH$10:$BH$81,MATCH($A1428,TinhGia!$B$10:$B$81,0)),$A1428,INDEX(TinhGia!$B$10:$B$81,MATCH($A1428,TinhGia!$B$10:$B$81,0)+1)),"")</f>
        <v/>
      </c>
      <c r="B1429" s="525" t="str">
        <f ca="1">IF(OR(A1429="",A1429=0),"",IF(COUNTIF($A$2:A1429,$A1429)=1,ROW(MauKoXoa!$C$108),$B1428+1))</f>
        <v/>
      </c>
      <c r="C1429" s="992" t="str">
        <f t="shared" ca="1" si="226"/>
        <v/>
      </c>
      <c r="D1429" s="993" t="str">
        <f t="shared" ca="1" si="227"/>
        <v/>
      </c>
      <c r="E1429" s="993" t="str">
        <f t="shared" ca="1" si="228"/>
        <v/>
      </c>
      <c r="F1429" s="992" t="str">
        <f t="shared" ca="1" si="236"/>
        <v/>
      </c>
      <c r="G1429" s="994">
        <f t="shared" ca="1" si="229"/>
        <v>0</v>
      </c>
      <c r="H1429" s="913">
        <f t="shared" ca="1" si="230"/>
        <v>0</v>
      </c>
      <c r="I1429" s="913">
        <f t="shared" ca="1" si="231"/>
        <v>0</v>
      </c>
      <c r="J1429" s="995">
        <f t="shared" ca="1" si="237"/>
        <v>0</v>
      </c>
      <c r="K1429" s="913">
        <f t="shared" ca="1" si="232"/>
        <v>0</v>
      </c>
      <c r="L1429" s="995">
        <f t="shared" ca="1" si="238"/>
        <v>0</v>
      </c>
      <c r="M1429" s="913">
        <f t="shared" ca="1" si="233"/>
        <v>0</v>
      </c>
      <c r="N1429" s="996">
        <f t="shared" ca="1" si="234"/>
        <v>0</v>
      </c>
      <c r="O1429" s="997">
        <f t="shared" ca="1" si="235"/>
        <v>0</v>
      </c>
      <c r="P1429" s="1015" t="str">
        <f ca="1">IF($C1429="","",INDEX(NVLSX!$N$2:$N$6941,MATCH($C1429,NVLSX!$E$2:$E$6941,0)))</f>
        <v/>
      </c>
      <c r="Q1429" s="1016" t="str">
        <f ca="1">IF($R1429="","",IF(XKNVLSX!$X$1="",IF($P1429=$V$7,$P1429, IF(COUNTIFS($C$2:$C1428,$C1429,$E$2:$E1428,$E1429)&gt;=1,"",$P1429)),     IF(AND(IFERROR(SEARCH($R1429,XKNVLSX!$X$1,1),0)&gt;=1,$P1429=$V$7),$P1429, IF(OR($R1429&lt;&gt;IF(IFERROR(SEARCH($R1429,XKNVLSX!$X$1,1),0)&gt;=1,$R1429,XKNVLSX!$X$1),COUNTIFS($C$2:$C1428,$C1429,$E$2:$E1428,$E1429,$Q$2:$Q1428,$P1429)&gt;=1),"",$P1429))))</f>
        <v/>
      </c>
      <c r="R1429" s="1017" t="str">
        <f ca="1">IF($A1429="","",IFERROR(INDEX(TinhGia!$BF$10:$BF$81,MATCH($A1429,TinhGia!$B$10:$B$81,0)),""))</f>
        <v/>
      </c>
      <c r="S1429" s="1012" t="str">
        <f ca="1">IF($A1429="","",IF(OR(IFERROR(SEARCH($R1429,XKNVLSX!$X$1,1),0)&gt;=1,XKNVLSX!$X$1=""),$S$2,""))</f>
        <v/>
      </c>
      <c r="T1429" s="1018" t="str">
        <f ca="1">IF($C1429="","", IF(OR($P1429=$V$1,$P1429=$V$7,COUNTIFS($C$3:$C1429,$C1429,$E$3:$E1429,$E1429)&lt;=1),$P1429,""    ))</f>
        <v/>
      </c>
      <c r="U1429" s="1019" t="str">
        <f ca="1">IF(AND($P1429=$V$2,COUNTIFS($C$3:$C1429,$C1429,$E$3:$E1429,$E1429,$G$3:$G1429,$G1429)&lt;=1),$P1429,"")</f>
        <v/>
      </c>
    </row>
    <row r="1430" spans="1:21">
      <c r="A1430" s="991" t="str">
        <f ca="1">IFERROR(IF(COUNTIF($A$3:A1429,A1429)&lt; INDEX(TinhGia!$BH$10:$BH$81,MATCH($A1429,TinhGia!$B$10:$B$81,0)),$A1429,INDEX(TinhGia!$B$10:$B$81,MATCH($A1429,TinhGia!$B$10:$B$81,0)+1)),"")</f>
        <v/>
      </c>
      <c r="B1430" s="525" t="str">
        <f ca="1">IF(OR(A1430="",A1430=0),"",IF(COUNTIF($A$2:A1430,$A1430)=1,ROW(MauKoXoa!$C$108),$B1429+1))</f>
        <v/>
      </c>
      <c r="C1430" s="992" t="str">
        <f t="shared" ca="1" si="226"/>
        <v/>
      </c>
      <c r="D1430" s="993" t="str">
        <f t="shared" ca="1" si="227"/>
        <v/>
      </c>
      <c r="E1430" s="993" t="str">
        <f t="shared" ca="1" si="228"/>
        <v/>
      </c>
      <c r="F1430" s="992" t="str">
        <f t="shared" ca="1" si="236"/>
        <v/>
      </c>
      <c r="G1430" s="994">
        <f t="shared" ca="1" si="229"/>
        <v>0</v>
      </c>
      <c r="H1430" s="913">
        <f t="shared" ca="1" si="230"/>
        <v>0</v>
      </c>
      <c r="I1430" s="913">
        <f t="shared" ca="1" si="231"/>
        <v>0</v>
      </c>
      <c r="J1430" s="995">
        <f t="shared" ca="1" si="237"/>
        <v>0</v>
      </c>
      <c r="K1430" s="913">
        <f t="shared" ca="1" si="232"/>
        <v>0</v>
      </c>
      <c r="L1430" s="995">
        <f t="shared" ca="1" si="238"/>
        <v>0</v>
      </c>
      <c r="M1430" s="913">
        <f t="shared" ca="1" si="233"/>
        <v>0</v>
      </c>
      <c r="N1430" s="996">
        <f t="shared" ca="1" si="234"/>
        <v>0</v>
      </c>
      <c r="O1430" s="997">
        <f t="shared" ca="1" si="235"/>
        <v>0</v>
      </c>
      <c r="P1430" s="1015" t="str">
        <f ca="1">IF($C1430="","",INDEX(NVLSX!$N$2:$N$6941,MATCH($C1430,NVLSX!$E$2:$E$6941,0)))</f>
        <v/>
      </c>
      <c r="Q1430" s="1016" t="str">
        <f ca="1">IF($R1430="","",IF(XKNVLSX!$X$1="",IF($P1430=$V$7,$P1430, IF(COUNTIFS($C$2:$C1429,$C1430,$E$2:$E1429,$E1430)&gt;=1,"",$P1430)),     IF(AND(IFERROR(SEARCH($R1430,XKNVLSX!$X$1,1),0)&gt;=1,$P1430=$V$7),$P1430, IF(OR($R1430&lt;&gt;IF(IFERROR(SEARCH($R1430,XKNVLSX!$X$1,1),0)&gt;=1,$R1430,XKNVLSX!$X$1),COUNTIFS($C$2:$C1429,$C1430,$E$2:$E1429,$E1430,$Q$2:$Q1429,$P1430)&gt;=1),"",$P1430))))</f>
        <v/>
      </c>
      <c r="R1430" s="1017" t="str">
        <f ca="1">IF($A1430="","",IFERROR(INDEX(TinhGia!$BF$10:$BF$81,MATCH($A1430,TinhGia!$B$10:$B$81,0)),""))</f>
        <v/>
      </c>
      <c r="S1430" s="1012" t="str">
        <f ca="1">IF($A1430="","",IF(OR(IFERROR(SEARCH($R1430,XKNVLSX!$X$1,1),0)&gt;=1,XKNVLSX!$X$1=""),$S$2,""))</f>
        <v/>
      </c>
      <c r="T1430" s="1018" t="str">
        <f ca="1">IF($C1430="","", IF(OR($P1430=$V$1,$P1430=$V$7,COUNTIFS($C$3:$C1430,$C1430,$E$3:$E1430,$E1430)&lt;=1),$P1430,""    ))</f>
        <v/>
      </c>
      <c r="U1430" s="1019" t="str">
        <f ca="1">IF(AND($P1430=$V$2,COUNTIFS($C$3:$C1430,$C1430,$E$3:$E1430,$E1430,$G$3:$G1430,$G1430)&lt;=1),$P1430,"")</f>
        <v/>
      </c>
    </row>
    <row r="1431" spans="1:21">
      <c r="A1431" s="991" t="str">
        <f ca="1">IFERROR(IF(COUNTIF($A$3:A1430,A1430)&lt; INDEX(TinhGia!$BH$10:$BH$81,MATCH($A1430,TinhGia!$B$10:$B$81,0)),$A1430,INDEX(TinhGia!$B$10:$B$81,MATCH($A1430,TinhGia!$B$10:$B$81,0)+1)),"")</f>
        <v/>
      </c>
      <c r="B1431" s="525" t="str">
        <f ca="1">IF(OR(A1431="",A1431=0),"",IF(COUNTIF($A$2:A1431,$A1431)=1,ROW(MauKoXoa!$C$108),$B1430+1))</f>
        <v/>
      </c>
      <c r="C1431" s="992" t="str">
        <f t="shared" ca="1" si="226"/>
        <v/>
      </c>
      <c r="D1431" s="993" t="str">
        <f t="shared" ca="1" si="227"/>
        <v/>
      </c>
      <c r="E1431" s="993" t="str">
        <f t="shared" ca="1" si="228"/>
        <v/>
      </c>
      <c r="F1431" s="992" t="str">
        <f t="shared" ca="1" si="236"/>
        <v/>
      </c>
      <c r="G1431" s="994">
        <f t="shared" ca="1" si="229"/>
        <v>0</v>
      </c>
      <c r="H1431" s="913">
        <f t="shared" ca="1" si="230"/>
        <v>0</v>
      </c>
      <c r="I1431" s="913">
        <f t="shared" ca="1" si="231"/>
        <v>0</v>
      </c>
      <c r="J1431" s="995">
        <f t="shared" ca="1" si="237"/>
        <v>0</v>
      </c>
      <c r="K1431" s="913">
        <f t="shared" ca="1" si="232"/>
        <v>0</v>
      </c>
      <c r="L1431" s="995">
        <f t="shared" ca="1" si="238"/>
        <v>0</v>
      </c>
      <c r="M1431" s="913">
        <f t="shared" ca="1" si="233"/>
        <v>0</v>
      </c>
      <c r="N1431" s="996">
        <f t="shared" ca="1" si="234"/>
        <v>0</v>
      </c>
      <c r="O1431" s="997">
        <f t="shared" ca="1" si="235"/>
        <v>0</v>
      </c>
      <c r="P1431" s="1015" t="str">
        <f ca="1">IF($C1431="","",INDEX(NVLSX!$N$2:$N$6941,MATCH($C1431,NVLSX!$E$2:$E$6941,0)))</f>
        <v/>
      </c>
      <c r="Q1431" s="1016" t="str">
        <f ca="1">IF($R1431="","",IF(XKNVLSX!$X$1="",IF($P1431=$V$7,$P1431, IF(COUNTIFS($C$2:$C1430,$C1431,$E$2:$E1430,$E1431)&gt;=1,"",$P1431)),     IF(AND(IFERROR(SEARCH($R1431,XKNVLSX!$X$1,1),0)&gt;=1,$P1431=$V$7),$P1431, IF(OR($R1431&lt;&gt;IF(IFERROR(SEARCH($R1431,XKNVLSX!$X$1,1),0)&gt;=1,$R1431,XKNVLSX!$X$1),COUNTIFS($C$2:$C1430,$C1431,$E$2:$E1430,$E1431,$Q$2:$Q1430,$P1431)&gt;=1),"",$P1431))))</f>
        <v/>
      </c>
      <c r="R1431" s="1017" t="str">
        <f ca="1">IF($A1431="","",IFERROR(INDEX(TinhGia!$BF$10:$BF$81,MATCH($A1431,TinhGia!$B$10:$B$81,0)),""))</f>
        <v/>
      </c>
      <c r="S1431" s="1012" t="str">
        <f ca="1">IF($A1431="","",IF(OR(IFERROR(SEARCH($R1431,XKNVLSX!$X$1,1),0)&gt;=1,XKNVLSX!$X$1=""),$S$2,""))</f>
        <v/>
      </c>
      <c r="T1431" s="1018" t="str">
        <f ca="1">IF($C1431="","", IF(OR($P1431=$V$1,$P1431=$V$7,COUNTIFS($C$3:$C1431,$C1431,$E$3:$E1431,$E1431)&lt;=1),$P1431,""    ))</f>
        <v/>
      </c>
      <c r="U1431" s="1019" t="str">
        <f ca="1">IF(AND($P1431=$V$2,COUNTIFS($C$3:$C1431,$C1431,$E$3:$E1431,$E1431,$G$3:$G1431,$G1431)&lt;=1),$P1431,"")</f>
        <v/>
      </c>
    </row>
    <row r="1432" spans="1:21">
      <c r="A1432" s="991" t="str">
        <f ca="1">IFERROR(IF(COUNTIF($A$3:A1431,A1431)&lt; INDEX(TinhGia!$BH$10:$BH$81,MATCH($A1431,TinhGia!$B$10:$B$81,0)),$A1431,INDEX(TinhGia!$B$10:$B$81,MATCH($A1431,TinhGia!$B$10:$B$81,0)+1)),"")</f>
        <v/>
      </c>
      <c r="B1432" s="525" t="str">
        <f ca="1">IF(OR(A1432="",A1432=0),"",IF(COUNTIF($A$2:A1432,$A1432)=1,ROW(MauKoXoa!$C$108),$B1431+1))</f>
        <v/>
      </c>
      <c r="C1432" s="992" t="str">
        <f t="shared" ca="1" si="226"/>
        <v/>
      </c>
      <c r="D1432" s="993" t="str">
        <f t="shared" ca="1" si="227"/>
        <v/>
      </c>
      <c r="E1432" s="993" t="str">
        <f t="shared" ca="1" si="228"/>
        <v/>
      </c>
      <c r="F1432" s="992" t="str">
        <f t="shared" ca="1" si="236"/>
        <v/>
      </c>
      <c r="G1432" s="994">
        <f t="shared" ca="1" si="229"/>
        <v>0</v>
      </c>
      <c r="H1432" s="913">
        <f t="shared" ca="1" si="230"/>
        <v>0</v>
      </c>
      <c r="I1432" s="913">
        <f t="shared" ca="1" si="231"/>
        <v>0</v>
      </c>
      <c r="J1432" s="995">
        <f t="shared" ca="1" si="237"/>
        <v>0</v>
      </c>
      <c r="K1432" s="913">
        <f t="shared" ca="1" si="232"/>
        <v>0</v>
      </c>
      <c r="L1432" s="995">
        <f t="shared" ca="1" si="238"/>
        <v>0</v>
      </c>
      <c r="M1432" s="913">
        <f t="shared" ca="1" si="233"/>
        <v>0</v>
      </c>
      <c r="N1432" s="996">
        <f t="shared" ca="1" si="234"/>
        <v>0</v>
      </c>
      <c r="O1432" s="997">
        <f t="shared" ca="1" si="235"/>
        <v>0</v>
      </c>
      <c r="P1432" s="1015" t="str">
        <f ca="1">IF($C1432="","",INDEX(NVLSX!$N$2:$N$6941,MATCH($C1432,NVLSX!$E$2:$E$6941,0)))</f>
        <v/>
      </c>
      <c r="Q1432" s="1016" t="str">
        <f ca="1">IF($R1432="","",IF(XKNVLSX!$X$1="",IF($P1432=$V$7,$P1432, IF(COUNTIFS($C$2:$C1431,$C1432,$E$2:$E1431,$E1432)&gt;=1,"",$P1432)),     IF(AND(IFERROR(SEARCH($R1432,XKNVLSX!$X$1,1),0)&gt;=1,$P1432=$V$7),$P1432, IF(OR($R1432&lt;&gt;IF(IFERROR(SEARCH($R1432,XKNVLSX!$X$1,1),0)&gt;=1,$R1432,XKNVLSX!$X$1),COUNTIFS($C$2:$C1431,$C1432,$E$2:$E1431,$E1432,$Q$2:$Q1431,$P1432)&gt;=1),"",$P1432))))</f>
        <v/>
      </c>
      <c r="R1432" s="1017" t="str">
        <f ca="1">IF($A1432="","",IFERROR(INDEX(TinhGia!$BF$10:$BF$81,MATCH($A1432,TinhGia!$B$10:$B$81,0)),""))</f>
        <v/>
      </c>
      <c r="S1432" s="1012" t="str">
        <f ca="1">IF($A1432="","",IF(OR(IFERROR(SEARCH($R1432,XKNVLSX!$X$1,1),0)&gt;=1,XKNVLSX!$X$1=""),$S$2,""))</f>
        <v/>
      </c>
      <c r="T1432" s="1018" t="str">
        <f ca="1">IF($C1432="","", IF(OR($P1432=$V$1,$P1432=$V$7,COUNTIFS($C$3:$C1432,$C1432,$E$3:$E1432,$E1432)&lt;=1),$P1432,""    ))</f>
        <v/>
      </c>
      <c r="U1432" s="1019" t="str">
        <f ca="1">IF(AND($P1432=$V$2,COUNTIFS($C$3:$C1432,$C1432,$E$3:$E1432,$E1432,$G$3:$G1432,$G1432)&lt;=1),$P1432,"")</f>
        <v/>
      </c>
    </row>
    <row r="1433" spans="1:21">
      <c r="A1433" s="991" t="str">
        <f ca="1">IFERROR(IF(COUNTIF($A$3:A1432,A1432)&lt; INDEX(TinhGia!$BH$10:$BH$81,MATCH($A1432,TinhGia!$B$10:$B$81,0)),$A1432,INDEX(TinhGia!$B$10:$B$81,MATCH($A1432,TinhGia!$B$10:$B$81,0)+1)),"")</f>
        <v/>
      </c>
      <c r="B1433" s="525" t="str">
        <f ca="1">IF(OR(A1433="",A1433=0),"",IF(COUNTIF($A$2:A1433,$A1433)=1,ROW(MauKoXoa!$C$108),$B1432+1))</f>
        <v/>
      </c>
      <c r="C1433" s="992" t="str">
        <f t="shared" ca="1" si="226"/>
        <v/>
      </c>
      <c r="D1433" s="993" t="str">
        <f t="shared" ca="1" si="227"/>
        <v/>
      </c>
      <c r="E1433" s="993" t="str">
        <f t="shared" ca="1" si="228"/>
        <v/>
      </c>
      <c r="F1433" s="992" t="str">
        <f t="shared" ca="1" si="236"/>
        <v/>
      </c>
      <c r="G1433" s="994">
        <f t="shared" ca="1" si="229"/>
        <v>0</v>
      </c>
      <c r="H1433" s="913">
        <f t="shared" ca="1" si="230"/>
        <v>0</v>
      </c>
      <c r="I1433" s="913">
        <f t="shared" ca="1" si="231"/>
        <v>0</v>
      </c>
      <c r="J1433" s="995">
        <f t="shared" ca="1" si="237"/>
        <v>0</v>
      </c>
      <c r="K1433" s="913">
        <f t="shared" ca="1" si="232"/>
        <v>0</v>
      </c>
      <c r="L1433" s="995">
        <f t="shared" ca="1" si="238"/>
        <v>0</v>
      </c>
      <c r="M1433" s="913">
        <f t="shared" ca="1" si="233"/>
        <v>0</v>
      </c>
      <c r="N1433" s="996">
        <f t="shared" ca="1" si="234"/>
        <v>0</v>
      </c>
      <c r="O1433" s="997">
        <f t="shared" ca="1" si="235"/>
        <v>0</v>
      </c>
      <c r="P1433" s="1015" t="str">
        <f ca="1">IF($C1433="","",INDEX(NVLSX!$N$2:$N$6941,MATCH($C1433,NVLSX!$E$2:$E$6941,0)))</f>
        <v/>
      </c>
      <c r="Q1433" s="1016" t="str">
        <f ca="1">IF($R1433="","",IF(XKNVLSX!$X$1="",IF($P1433=$V$7,$P1433, IF(COUNTIFS($C$2:$C1432,$C1433,$E$2:$E1432,$E1433)&gt;=1,"",$P1433)),     IF(AND(IFERROR(SEARCH($R1433,XKNVLSX!$X$1,1),0)&gt;=1,$P1433=$V$7),$P1433, IF(OR($R1433&lt;&gt;IF(IFERROR(SEARCH($R1433,XKNVLSX!$X$1,1),0)&gt;=1,$R1433,XKNVLSX!$X$1),COUNTIFS($C$2:$C1432,$C1433,$E$2:$E1432,$E1433,$Q$2:$Q1432,$P1433)&gt;=1),"",$P1433))))</f>
        <v/>
      </c>
      <c r="R1433" s="1017" t="str">
        <f ca="1">IF($A1433="","",IFERROR(INDEX(TinhGia!$BF$10:$BF$81,MATCH($A1433,TinhGia!$B$10:$B$81,0)),""))</f>
        <v/>
      </c>
      <c r="S1433" s="1012" t="str">
        <f ca="1">IF($A1433="","",IF(OR(IFERROR(SEARCH($R1433,XKNVLSX!$X$1,1),0)&gt;=1,XKNVLSX!$X$1=""),$S$2,""))</f>
        <v/>
      </c>
      <c r="T1433" s="1018" t="str">
        <f ca="1">IF($C1433="","", IF(OR($P1433=$V$1,$P1433=$V$7,COUNTIFS($C$3:$C1433,$C1433,$E$3:$E1433,$E1433)&lt;=1),$P1433,""    ))</f>
        <v/>
      </c>
      <c r="U1433" s="1019" t="str">
        <f ca="1">IF(AND($P1433=$V$2,COUNTIFS($C$3:$C1433,$C1433,$E$3:$E1433,$E1433,$G$3:$G1433,$G1433)&lt;=1),$P1433,"")</f>
        <v/>
      </c>
    </row>
    <row r="1434" spans="1:21">
      <c r="A1434" s="991" t="str">
        <f ca="1">IFERROR(IF(COUNTIF($A$3:A1433,A1433)&lt; INDEX(TinhGia!$BH$10:$BH$81,MATCH($A1433,TinhGia!$B$10:$B$81,0)),$A1433,INDEX(TinhGia!$B$10:$B$81,MATCH($A1433,TinhGia!$B$10:$B$81,0)+1)),"")</f>
        <v/>
      </c>
      <c r="B1434" s="525" t="str">
        <f ca="1">IF(OR(A1434="",A1434=0),"",IF(COUNTIF($A$2:A1434,$A1434)=1,ROW(MauKoXoa!$C$108),$B1433+1))</f>
        <v/>
      </c>
      <c r="C1434" s="992" t="str">
        <f t="shared" ca="1" si="226"/>
        <v/>
      </c>
      <c r="D1434" s="993" t="str">
        <f t="shared" ca="1" si="227"/>
        <v/>
      </c>
      <c r="E1434" s="993" t="str">
        <f t="shared" ca="1" si="228"/>
        <v/>
      </c>
      <c r="F1434" s="992" t="str">
        <f t="shared" ca="1" si="236"/>
        <v/>
      </c>
      <c r="G1434" s="994">
        <f t="shared" ca="1" si="229"/>
        <v>0</v>
      </c>
      <c r="H1434" s="913">
        <f t="shared" ca="1" si="230"/>
        <v>0</v>
      </c>
      <c r="I1434" s="913">
        <f t="shared" ca="1" si="231"/>
        <v>0</v>
      </c>
      <c r="J1434" s="995">
        <f t="shared" ca="1" si="237"/>
        <v>0</v>
      </c>
      <c r="K1434" s="913">
        <f t="shared" ca="1" si="232"/>
        <v>0</v>
      </c>
      <c r="L1434" s="995">
        <f t="shared" ca="1" si="238"/>
        <v>0</v>
      </c>
      <c r="M1434" s="913">
        <f t="shared" ca="1" si="233"/>
        <v>0</v>
      </c>
      <c r="N1434" s="996">
        <f t="shared" ca="1" si="234"/>
        <v>0</v>
      </c>
      <c r="O1434" s="997">
        <f t="shared" ca="1" si="235"/>
        <v>0</v>
      </c>
      <c r="P1434" s="1015" t="str">
        <f ca="1">IF($C1434="","",INDEX(NVLSX!$N$2:$N$6941,MATCH($C1434,NVLSX!$E$2:$E$6941,0)))</f>
        <v/>
      </c>
      <c r="Q1434" s="1016" t="str">
        <f ca="1">IF($R1434="","",IF(XKNVLSX!$X$1="",IF($P1434=$V$7,$P1434, IF(COUNTIFS($C$2:$C1433,$C1434,$E$2:$E1433,$E1434)&gt;=1,"",$P1434)),     IF(AND(IFERROR(SEARCH($R1434,XKNVLSX!$X$1,1),0)&gt;=1,$P1434=$V$7),$P1434, IF(OR($R1434&lt;&gt;IF(IFERROR(SEARCH($R1434,XKNVLSX!$X$1,1),0)&gt;=1,$R1434,XKNVLSX!$X$1),COUNTIFS($C$2:$C1433,$C1434,$E$2:$E1433,$E1434,$Q$2:$Q1433,$P1434)&gt;=1),"",$P1434))))</f>
        <v/>
      </c>
      <c r="R1434" s="1017" t="str">
        <f ca="1">IF($A1434="","",IFERROR(INDEX(TinhGia!$BF$10:$BF$81,MATCH($A1434,TinhGia!$B$10:$B$81,0)),""))</f>
        <v/>
      </c>
      <c r="S1434" s="1012" t="str">
        <f ca="1">IF($A1434="","",IF(OR(IFERROR(SEARCH($R1434,XKNVLSX!$X$1,1),0)&gt;=1,XKNVLSX!$X$1=""),$S$2,""))</f>
        <v/>
      </c>
      <c r="T1434" s="1018" t="str">
        <f ca="1">IF($C1434="","", IF(OR($P1434=$V$1,$P1434=$V$7,COUNTIFS($C$3:$C1434,$C1434,$E$3:$E1434,$E1434)&lt;=1),$P1434,""    ))</f>
        <v/>
      </c>
      <c r="U1434" s="1019" t="str">
        <f ca="1">IF(AND($P1434=$V$2,COUNTIFS($C$3:$C1434,$C1434,$E$3:$E1434,$E1434,$G$3:$G1434,$G1434)&lt;=1),$P1434,"")</f>
        <v/>
      </c>
    </row>
    <row r="1435" spans="1:21">
      <c r="A1435" s="991" t="str">
        <f ca="1">IFERROR(IF(COUNTIF($A$3:A1434,A1434)&lt; INDEX(TinhGia!$BH$10:$BH$81,MATCH($A1434,TinhGia!$B$10:$B$81,0)),$A1434,INDEX(TinhGia!$B$10:$B$81,MATCH($A1434,TinhGia!$B$10:$B$81,0)+1)),"")</f>
        <v/>
      </c>
      <c r="B1435" s="525" t="str">
        <f ca="1">IF(OR(A1435="",A1435=0),"",IF(COUNTIF($A$2:A1435,$A1435)=1,ROW(MauKoXoa!$C$108),$B1434+1))</f>
        <v/>
      </c>
      <c r="C1435" s="992" t="str">
        <f t="shared" ca="1" si="226"/>
        <v/>
      </c>
      <c r="D1435" s="993" t="str">
        <f t="shared" ca="1" si="227"/>
        <v/>
      </c>
      <c r="E1435" s="993" t="str">
        <f t="shared" ca="1" si="228"/>
        <v/>
      </c>
      <c r="F1435" s="992" t="str">
        <f t="shared" ca="1" si="236"/>
        <v/>
      </c>
      <c r="G1435" s="994">
        <f t="shared" ca="1" si="229"/>
        <v>0</v>
      </c>
      <c r="H1435" s="913">
        <f t="shared" ca="1" si="230"/>
        <v>0</v>
      </c>
      <c r="I1435" s="913">
        <f t="shared" ca="1" si="231"/>
        <v>0</v>
      </c>
      <c r="J1435" s="995">
        <f t="shared" ca="1" si="237"/>
        <v>0</v>
      </c>
      <c r="K1435" s="913">
        <f t="shared" ca="1" si="232"/>
        <v>0</v>
      </c>
      <c r="L1435" s="995">
        <f t="shared" ca="1" si="238"/>
        <v>0</v>
      </c>
      <c r="M1435" s="913">
        <f t="shared" ca="1" si="233"/>
        <v>0</v>
      </c>
      <c r="N1435" s="996">
        <f t="shared" ca="1" si="234"/>
        <v>0</v>
      </c>
      <c r="O1435" s="997">
        <f t="shared" ca="1" si="235"/>
        <v>0</v>
      </c>
      <c r="P1435" s="1015" t="str">
        <f ca="1">IF($C1435="","",INDEX(NVLSX!$N$2:$N$6941,MATCH($C1435,NVLSX!$E$2:$E$6941,0)))</f>
        <v/>
      </c>
      <c r="Q1435" s="1016" t="str">
        <f ca="1">IF($R1435="","",IF(XKNVLSX!$X$1="",IF($P1435=$V$7,$P1435, IF(COUNTIFS($C$2:$C1434,$C1435,$E$2:$E1434,$E1435)&gt;=1,"",$P1435)),     IF(AND(IFERROR(SEARCH($R1435,XKNVLSX!$X$1,1),0)&gt;=1,$P1435=$V$7),$P1435, IF(OR($R1435&lt;&gt;IF(IFERROR(SEARCH($R1435,XKNVLSX!$X$1,1),0)&gt;=1,$R1435,XKNVLSX!$X$1),COUNTIFS($C$2:$C1434,$C1435,$E$2:$E1434,$E1435,$Q$2:$Q1434,$P1435)&gt;=1),"",$P1435))))</f>
        <v/>
      </c>
      <c r="R1435" s="1017" t="str">
        <f ca="1">IF($A1435="","",IFERROR(INDEX(TinhGia!$BF$10:$BF$81,MATCH($A1435,TinhGia!$B$10:$B$81,0)),""))</f>
        <v/>
      </c>
      <c r="S1435" s="1012" t="str">
        <f ca="1">IF($A1435="","",IF(OR(IFERROR(SEARCH($R1435,XKNVLSX!$X$1,1),0)&gt;=1,XKNVLSX!$X$1=""),$S$2,""))</f>
        <v/>
      </c>
      <c r="T1435" s="1018" t="str">
        <f ca="1">IF($C1435="","", IF(OR($P1435=$V$1,$P1435=$V$7,COUNTIFS($C$3:$C1435,$C1435,$E$3:$E1435,$E1435)&lt;=1),$P1435,""    ))</f>
        <v/>
      </c>
      <c r="U1435" s="1019" t="str">
        <f ca="1">IF(AND($P1435=$V$2,COUNTIFS($C$3:$C1435,$C1435,$E$3:$E1435,$E1435,$G$3:$G1435,$G1435)&lt;=1),$P1435,"")</f>
        <v/>
      </c>
    </row>
    <row r="1436" spans="1:21">
      <c r="A1436" s="991" t="str">
        <f ca="1">IFERROR(IF(COUNTIF($A$3:A1435,A1435)&lt; INDEX(TinhGia!$BH$10:$BH$81,MATCH($A1435,TinhGia!$B$10:$B$81,0)),$A1435,INDEX(TinhGia!$B$10:$B$81,MATCH($A1435,TinhGia!$B$10:$B$81,0)+1)),"")</f>
        <v/>
      </c>
      <c r="B1436" s="525" t="str">
        <f ca="1">IF(OR(A1436="",A1436=0),"",IF(COUNTIF($A$2:A1436,$A1436)=1,ROW(MauKoXoa!$C$108),$B1435+1))</f>
        <v/>
      </c>
      <c r="C1436" s="992" t="str">
        <f t="shared" ca="1" si="226"/>
        <v/>
      </c>
      <c r="D1436" s="993" t="str">
        <f t="shared" ca="1" si="227"/>
        <v/>
      </c>
      <c r="E1436" s="993" t="str">
        <f t="shared" ca="1" si="228"/>
        <v/>
      </c>
      <c r="F1436" s="992" t="str">
        <f t="shared" ca="1" si="236"/>
        <v/>
      </c>
      <c r="G1436" s="994">
        <f t="shared" ca="1" si="229"/>
        <v>0</v>
      </c>
      <c r="H1436" s="913">
        <f t="shared" ca="1" si="230"/>
        <v>0</v>
      </c>
      <c r="I1436" s="913">
        <f t="shared" ca="1" si="231"/>
        <v>0</v>
      </c>
      <c r="J1436" s="995">
        <f t="shared" ca="1" si="237"/>
        <v>0</v>
      </c>
      <c r="K1436" s="913">
        <f t="shared" ca="1" si="232"/>
        <v>0</v>
      </c>
      <c r="L1436" s="995">
        <f t="shared" ca="1" si="238"/>
        <v>0</v>
      </c>
      <c r="M1436" s="913">
        <f t="shared" ca="1" si="233"/>
        <v>0</v>
      </c>
      <c r="N1436" s="996">
        <f t="shared" ca="1" si="234"/>
        <v>0</v>
      </c>
      <c r="O1436" s="997">
        <f t="shared" ca="1" si="235"/>
        <v>0</v>
      </c>
      <c r="P1436" s="1015" t="str">
        <f ca="1">IF($C1436="","",INDEX(NVLSX!$N$2:$N$6941,MATCH($C1436,NVLSX!$E$2:$E$6941,0)))</f>
        <v/>
      </c>
      <c r="Q1436" s="1016" t="str">
        <f ca="1">IF($R1436="","",IF(XKNVLSX!$X$1="",IF($P1436=$V$7,$P1436, IF(COUNTIFS($C$2:$C1435,$C1436,$E$2:$E1435,$E1436)&gt;=1,"",$P1436)),     IF(AND(IFERROR(SEARCH($R1436,XKNVLSX!$X$1,1),0)&gt;=1,$P1436=$V$7),$P1436, IF(OR($R1436&lt;&gt;IF(IFERROR(SEARCH($R1436,XKNVLSX!$X$1,1),0)&gt;=1,$R1436,XKNVLSX!$X$1),COUNTIFS($C$2:$C1435,$C1436,$E$2:$E1435,$E1436,$Q$2:$Q1435,$P1436)&gt;=1),"",$P1436))))</f>
        <v/>
      </c>
      <c r="R1436" s="1017" t="str">
        <f ca="1">IF($A1436="","",IFERROR(INDEX(TinhGia!$BF$10:$BF$81,MATCH($A1436,TinhGia!$B$10:$B$81,0)),""))</f>
        <v/>
      </c>
      <c r="S1436" s="1012" t="str">
        <f ca="1">IF($A1436="","",IF(OR(IFERROR(SEARCH($R1436,XKNVLSX!$X$1,1),0)&gt;=1,XKNVLSX!$X$1=""),$S$2,""))</f>
        <v/>
      </c>
      <c r="T1436" s="1018" t="str">
        <f ca="1">IF($C1436="","", IF(OR($P1436=$V$1,$P1436=$V$7,COUNTIFS($C$3:$C1436,$C1436,$E$3:$E1436,$E1436)&lt;=1),$P1436,""    ))</f>
        <v/>
      </c>
      <c r="U1436" s="1019" t="str">
        <f ca="1">IF(AND($P1436=$V$2,COUNTIFS($C$3:$C1436,$C1436,$E$3:$E1436,$E1436,$G$3:$G1436,$G1436)&lt;=1),$P1436,"")</f>
        <v/>
      </c>
    </row>
    <row r="1437" spans="1:21">
      <c r="A1437" s="991" t="str">
        <f ca="1">IFERROR(IF(COUNTIF($A$3:A1436,A1436)&lt; INDEX(TinhGia!$BH$10:$BH$81,MATCH($A1436,TinhGia!$B$10:$B$81,0)),$A1436,INDEX(TinhGia!$B$10:$B$81,MATCH($A1436,TinhGia!$B$10:$B$81,0)+1)),"")</f>
        <v/>
      </c>
      <c r="B1437" s="525" t="str">
        <f ca="1">IF(OR(A1437="",A1437=0),"",IF(COUNTIF($A$2:A1437,$A1437)=1,ROW(MauKoXoa!$C$108),$B1436+1))</f>
        <v/>
      </c>
      <c r="C1437" s="992" t="str">
        <f t="shared" ca="1" si="226"/>
        <v/>
      </c>
      <c r="D1437" s="993" t="str">
        <f t="shared" ca="1" si="227"/>
        <v/>
      </c>
      <c r="E1437" s="993" t="str">
        <f t="shared" ca="1" si="228"/>
        <v/>
      </c>
      <c r="F1437" s="992" t="str">
        <f t="shared" ca="1" si="236"/>
        <v/>
      </c>
      <c r="G1437" s="994">
        <f t="shared" ca="1" si="229"/>
        <v>0</v>
      </c>
      <c r="H1437" s="913">
        <f t="shared" ca="1" si="230"/>
        <v>0</v>
      </c>
      <c r="I1437" s="913">
        <f t="shared" ca="1" si="231"/>
        <v>0</v>
      </c>
      <c r="J1437" s="995">
        <f t="shared" ca="1" si="237"/>
        <v>0</v>
      </c>
      <c r="K1437" s="913">
        <f t="shared" ca="1" si="232"/>
        <v>0</v>
      </c>
      <c r="L1437" s="995">
        <f t="shared" ca="1" si="238"/>
        <v>0</v>
      </c>
      <c r="M1437" s="913">
        <f t="shared" ca="1" si="233"/>
        <v>0</v>
      </c>
      <c r="N1437" s="996">
        <f t="shared" ca="1" si="234"/>
        <v>0</v>
      </c>
      <c r="O1437" s="997">
        <f t="shared" ca="1" si="235"/>
        <v>0</v>
      </c>
      <c r="P1437" s="1015" t="str">
        <f ca="1">IF($C1437="","",INDEX(NVLSX!$N$2:$N$6941,MATCH($C1437,NVLSX!$E$2:$E$6941,0)))</f>
        <v/>
      </c>
      <c r="Q1437" s="1016" t="str">
        <f ca="1">IF($R1437="","",IF(XKNVLSX!$X$1="",IF($P1437=$V$7,$P1437, IF(COUNTIFS($C$2:$C1436,$C1437,$E$2:$E1436,$E1437)&gt;=1,"",$P1437)),     IF(AND(IFERROR(SEARCH($R1437,XKNVLSX!$X$1,1),0)&gt;=1,$P1437=$V$7),$P1437, IF(OR($R1437&lt;&gt;IF(IFERROR(SEARCH($R1437,XKNVLSX!$X$1,1),0)&gt;=1,$R1437,XKNVLSX!$X$1),COUNTIFS($C$2:$C1436,$C1437,$E$2:$E1436,$E1437,$Q$2:$Q1436,$P1437)&gt;=1),"",$P1437))))</f>
        <v/>
      </c>
      <c r="R1437" s="1017" t="str">
        <f ca="1">IF($A1437="","",IFERROR(INDEX(TinhGia!$BF$10:$BF$81,MATCH($A1437,TinhGia!$B$10:$B$81,0)),""))</f>
        <v/>
      </c>
      <c r="S1437" s="1012" t="str">
        <f ca="1">IF($A1437="","",IF(OR(IFERROR(SEARCH($R1437,XKNVLSX!$X$1,1),0)&gt;=1,XKNVLSX!$X$1=""),$S$2,""))</f>
        <v/>
      </c>
      <c r="T1437" s="1018" t="str">
        <f ca="1">IF($C1437="","", IF(OR($P1437=$V$1,$P1437=$V$7,COUNTIFS($C$3:$C1437,$C1437,$E$3:$E1437,$E1437)&lt;=1),$P1437,""    ))</f>
        <v/>
      </c>
      <c r="U1437" s="1019" t="str">
        <f ca="1">IF(AND($P1437=$V$2,COUNTIFS($C$3:$C1437,$C1437,$E$3:$E1437,$E1437,$G$3:$G1437,$G1437)&lt;=1),$P1437,"")</f>
        <v/>
      </c>
    </row>
    <row r="1438" spans="1:21">
      <c r="A1438" s="991" t="str">
        <f ca="1">IFERROR(IF(COUNTIF($A$3:A1437,A1437)&lt; INDEX(TinhGia!$BH$10:$BH$81,MATCH($A1437,TinhGia!$B$10:$B$81,0)),$A1437,INDEX(TinhGia!$B$10:$B$81,MATCH($A1437,TinhGia!$B$10:$B$81,0)+1)),"")</f>
        <v/>
      </c>
      <c r="B1438" s="525" t="str">
        <f ca="1">IF(OR(A1438="",A1438=0),"",IF(COUNTIF($A$2:A1438,$A1438)=1,ROW(MauKoXoa!$C$108),$B1437+1))</f>
        <v/>
      </c>
      <c r="C1438" s="992" t="str">
        <f t="shared" ca="1" si="226"/>
        <v/>
      </c>
      <c r="D1438" s="993" t="str">
        <f t="shared" ca="1" si="227"/>
        <v/>
      </c>
      <c r="E1438" s="993" t="str">
        <f t="shared" ca="1" si="228"/>
        <v/>
      </c>
      <c r="F1438" s="992" t="str">
        <f t="shared" ca="1" si="236"/>
        <v/>
      </c>
      <c r="G1438" s="994">
        <f t="shared" ca="1" si="229"/>
        <v>0</v>
      </c>
      <c r="H1438" s="913">
        <f t="shared" ca="1" si="230"/>
        <v>0</v>
      </c>
      <c r="I1438" s="913">
        <f t="shared" ca="1" si="231"/>
        <v>0</v>
      </c>
      <c r="J1438" s="995">
        <f t="shared" ca="1" si="237"/>
        <v>0</v>
      </c>
      <c r="K1438" s="913">
        <f t="shared" ca="1" si="232"/>
        <v>0</v>
      </c>
      <c r="L1438" s="995">
        <f t="shared" ca="1" si="238"/>
        <v>0</v>
      </c>
      <c r="M1438" s="913">
        <f t="shared" ca="1" si="233"/>
        <v>0</v>
      </c>
      <c r="N1438" s="996">
        <f t="shared" ca="1" si="234"/>
        <v>0</v>
      </c>
      <c r="O1438" s="997">
        <f t="shared" ca="1" si="235"/>
        <v>0</v>
      </c>
      <c r="P1438" s="1015" t="str">
        <f ca="1">IF($C1438="","",INDEX(NVLSX!$N$2:$N$6941,MATCH($C1438,NVLSX!$E$2:$E$6941,0)))</f>
        <v/>
      </c>
      <c r="Q1438" s="1016" t="str">
        <f ca="1">IF($R1438="","",IF(XKNVLSX!$X$1="",IF($P1438=$V$7,$P1438, IF(COUNTIFS($C$2:$C1437,$C1438,$E$2:$E1437,$E1438)&gt;=1,"",$P1438)),     IF(AND(IFERROR(SEARCH($R1438,XKNVLSX!$X$1,1),0)&gt;=1,$P1438=$V$7),$P1438, IF(OR($R1438&lt;&gt;IF(IFERROR(SEARCH($R1438,XKNVLSX!$X$1,1),0)&gt;=1,$R1438,XKNVLSX!$X$1),COUNTIFS($C$2:$C1437,$C1438,$E$2:$E1437,$E1438,$Q$2:$Q1437,$P1438)&gt;=1),"",$P1438))))</f>
        <v/>
      </c>
      <c r="R1438" s="1017" t="str">
        <f ca="1">IF($A1438="","",IFERROR(INDEX(TinhGia!$BF$10:$BF$81,MATCH($A1438,TinhGia!$B$10:$B$81,0)),""))</f>
        <v/>
      </c>
      <c r="S1438" s="1012" t="str">
        <f ca="1">IF($A1438="","",IF(OR(IFERROR(SEARCH($R1438,XKNVLSX!$X$1,1),0)&gt;=1,XKNVLSX!$X$1=""),$S$2,""))</f>
        <v/>
      </c>
      <c r="T1438" s="1018" t="str">
        <f ca="1">IF($C1438="","", IF(OR($P1438=$V$1,$P1438=$V$7,COUNTIFS($C$3:$C1438,$C1438,$E$3:$E1438,$E1438)&lt;=1),$P1438,""    ))</f>
        <v/>
      </c>
      <c r="U1438" s="1019" t="str">
        <f ca="1">IF(AND($P1438=$V$2,COUNTIFS($C$3:$C1438,$C1438,$E$3:$E1438,$E1438,$G$3:$G1438,$G1438)&lt;=1),$P1438,"")</f>
        <v/>
      </c>
    </row>
    <row r="1439" spans="1:21">
      <c r="A1439" s="991" t="str">
        <f ca="1">IFERROR(IF(COUNTIF($A$3:A1438,A1438)&lt; INDEX(TinhGia!$BH$10:$BH$81,MATCH($A1438,TinhGia!$B$10:$B$81,0)),$A1438,INDEX(TinhGia!$B$10:$B$81,MATCH($A1438,TinhGia!$B$10:$B$81,0)+1)),"")</f>
        <v/>
      </c>
      <c r="B1439" s="525" t="str">
        <f ca="1">IF(OR(A1439="",A1439=0),"",IF(COUNTIF($A$2:A1439,$A1439)=1,ROW(MauKoXoa!$C$108),$B1438+1))</f>
        <v/>
      </c>
      <c r="C1439" s="992" t="str">
        <f t="shared" ca="1" si="226"/>
        <v/>
      </c>
      <c r="D1439" s="993" t="str">
        <f t="shared" ca="1" si="227"/>
        <v/>
      </c>
      <c r="E1439" s="993" t="str">
        <f t="shared" ca="1" si="228"/>
        <v/>
      </c>
      <c r="F1439" s="992" t="str">
        <f t="shared" ca="1" si="236"/>
        <v/>
      </c>
      <c r="G1439" s="994">
        <f t="shared" ca="1" si="229"/>
        <v>0</v>
      </c>
      <c r="H1439" s="913">
        <f t="shared" ca="1" si="230"/>
        <v>0</v>
      </c>
      <c r="I1439" s="913">
        <f t="shared" ca="1" si="231"/>
        <v>0</v>
      </c>
      <c r="J1439" s="995">
        <f t="shared" ca="1" si="237"/>
        <v>0</v>
      </c>
      <c r="K1439" s="913">
        <f t="shared" ca="1" si="232"/>
        <v>0</v>
      </c>
      <c r="L1439" s="995">
        <f t="shared" ca="1" si="238"/>
        <v>0</v>
      </c>
      <c r="M1439" s="913">
        <f t="shared" ca="1" si="233"/>
        <v>0</v>
      </c>
      <c r="N1439" s="996">
        <f t="shared" ca="1" si="234"/>
        <v>0</v>
      </c>
      <c r="O1439" s="997">
        <f t="shared" ca="1" si="235"/>
        <v>0</v>
      </c>
      <c r="P1439" s="1015" t="str">
        <f ca="1">IF($C1439="","",INDEX(NVLSX!$N$2:$N$6941,MATCH($C1439,NVLSX!$E$2:$E$6941,0)))</f>
        <v/>
      </c>
      <c r="Q1439" s="1016" t="str">
        <f ca="1">IF($R1439="","",IF(XKNVLSX!$X$1="",IF($P1439=$V$7,$P1439, IF(COUNTIFS($C$2:$C1438,$C1439,$E$2:$E1438,$E1439)&gt;=1,"",$P1439)),     IF(AND(IFERROR(SEARCH($R1439,XKNVLSX!$X$1,1),0)&gt;=1,$P1439=$V$7),$P1439, IF(OR($R1439&lt;&gt;IF(IFERROR(SEARCH($R1439,XKNVLSX!$X$1,1),0)&gt;=1,$R1439,XKNVLSX!$X$1),COUNTIFS($C$2:$C1438,$C1439,$E$2:$E1438,$E1439,$Q$2:$Q1438,$P1439)&gt;=1),"",$P1439))))</f>
        <v/>
      </c>
      <c r="R1439" s="1017" t="str">
        <f ca="1">IF($A1439="","",IFERROR(INDEX(TinhGia!$BF$10:$BF$81,MATCH($A1439,TinhGia!$B$10:$B$81,0)),""))</f>
        <v/>
      </c>
      <c r="S1439" s="1012" t="str">
        <f ca="1">IF($A1439="","",IF(OR(IFERROR(SEARCH($R1439,XKNVLSX!$X$1,1),0)&gt;=1,XKNVLSX!$X$1=""),$S$2,""))</f>
        <v/>
      </c>
      <c r="T1439" s="1018" t="str">
        <f ca="1">IF($C1439="","", IF(OR($P1439=$V$1,$P1439=$V$7,COUNTIFS($C$3:$C1439,$C1439,$E$3:$E1439,$E1439)&lt;=1),$P1439,""    ))</f>
        <v/>
      </c>
      <c r="U1439" s="1019" t="str">
        <f ca="1">IF(AND($P1439=$V$2,COUNTIFS($C$3:$C1439,$C1439,$E$3:$E1439,$E1439,$G$3:$G1439,$G1439)&lt;=1),$P1439,"")</f>
        <v/>
      </c>
    </row>
    <row r="1440" spans="1:21">
      <c r="A1440" s="991" t="str">
        <f ca="1">IFERROR(IF(COUNTIF($A$3:A1439,A1439)&lt; INDEX(TinhGia!$BH$10:$BH$81,MATCH($A1439,TinhGia!$B$10:$B$81,0)),$A1439,INDEX(TinhGia!$B$10:$B$81,MATCH($A1439,TinhGia!$B$10:$B$81,0)+1)),"")</f>
        <v/>
      </c>
      <c r="B1440" s="525" t="str">
        <f ca="1">IF(OR(A1440="",A1440=0),"",IF(COUNTIF($A$2:A1440,$A1440)=1,ROW(MauKoXoa!$C$108),$B1439+1))</f>
        <v/>
      </c>
      <c r="C1440" s="992" t="str">
        <f t="shared" ca="1" si="226"/>
        <v/>
      </c>
      <c r="D1440" s="993" t="str">
        <f t="shared" ca="1" si="227"/>
        <v/>
      </c>
      <c r="E1440" s="993" t="str">
        <f t="shared" ca="1" si="228"/>
        <v/>
      </c>
      <c r="F1440" s="992" t="str">
        <f t="shared" ca="1" si="236"/>
        <v/>
      </c>
      <c r="G1440" s="994">
        <f t="shared" ca="1" si="229"/>
        <v>0</v>
      </c>
      <c r="H1440" s="913">
        <f t="shared" ca="1" si="230"/>
        <v>0</v>
      </c>
      <c r="I1440" s="913">
        <f t="shared" ca="1" si="231"/>
        <v>0</v>
      </c>
      <c r="J1440" s="995">
        <f t="shared" ca="1" si="237"/>
        <v>0</v>
      </c>
      <c r="K1440" s="913">
        <f t="shared" ca="1" si="232"/>
        <v>0</v>
      </c>
      <c r="L1440" s="995">
        <f t="shared" ca="1" si="238"/>
        <v>0</v>
      </c>
      <c r="M1440" s="913">
        <f t="shared" ca="1" si="233"/>
        <v>0</v>
      </c>
      <c r="N1440" s="996">
        <f t="shared" ca="1" si="234"/>
        <v>0</v>
      </c>
      <c r="O1440" s="997">
        <f t="shared" ca="1" si="235"/>
        <v>0</v>
      </c>
      <c r="P1440" s="1015" t="str">
        <f ca="1">IF($C1440="","",INDEX(NVLSX!$N$2:$N$6941,MATCH($C1440,NVLSX!$E$2:$E$6941,0)))</f>
        <v/>
      </c>
      <c r="Q1440" s="1016" t="str">
        <f ca="1">IF($R1440="","",IF(XKNVLSX!$X$1="",IF($P1440=$V$7,$P1440, IF(COUNTIFS($C$2:$C1439,$C1440,$E$2:$E1439,$E1440)&gt;=1,"",$P1440)),     IF(AND(IFERROR(SEARCH($R1440,XKNVLSX!$X$1,1),0)&gt;=1,$P1440=$V$7),$P1440, IF(OR($R1440&lt;&gt;IF(IFERROR(SEARCH($R1440,XKNVLSX!$X$1,1),0)&gt;=1,$R1440,XKNVLSX!$X$1),COUNTIFS($C$2:$C1439,$C1440,$E$2:$E1439,$E1440,$Q$2:$Q1439,$P1440)&gt;=1),"",$P1440))))</f>
        <v/>
      </c>
      <c r="R1440" s="1017" t="str">
        <f ca="1">IF($A1440="","",IFERROR(INDEX(TinhGia!$BF$10:$BF$81,MATCH($A1440,TinhGia!$B$10:$B$81,0)),""))</f>
        <v/>
      </c>
      <c r="S1440" s="1012" t="str">
        <f ca="1">IF($A1440="","",IF(OR(IFERROR(SEARCH($R1440,XKNVLSX!$X$1,1),0)&gt;=1,XKNVLSX!$X$1=""),$S$2,""))</f>
        <v/>
      </c>
      <c r="T1440" s="1018" t="str">
        <f ca="1">IF($C1440="","", IF(OR($P1440=$V$1,$P1440=$V$7,COUNTIFS($C$3:$C1440,$C1440,$E$3:$E1440,$E1440)&lt;=1),$P1440,""    ))</f>
        <v/>
      </c>
      <c r="U1440" s="1019" t="str">
        <f ca="1">IF(AND($P1440=$V$2,COUNTIFS($C$3:$C1440,$C1440,$E$3:$E1440,$E1440,$G$3:$G1440,$G1440)&lt;=1),$P1440,"")</f>
        <v/>
      </c>
    </row>
    <row r="1441" spans="1:21">
      <c r="A1441" s="991" t="str">
        <f ca="1">IFERROR(IF(COUNTIF($A$3:A1440,A1440)&lt; INDEX(TinhGia!$BH$10:$BH$81,MATCH($A1440,TinhGia!$B$10:$B$81,0)),$A1440,INDEX(TinhGia!$B$10:$B$81,MATCH($A1440,TinhGia!$B$10:$B$81,0)+1)),"")</f>
        <v/>
      </c>
      <c r="B1441" s="525" t="str">
        <f ca="1">IF(OR(A1441="",A1441=0),"",IF(COUNTIF($A$2:A1441,$A1441)=1,ROW(MauKoXoa!$C$108),$B1440+1))</f>
        <v/>
      </c>
      <c r="C1441" s="992" t="str">
        <f t="shared" ca="1" si="226"/>
        <v/>
      </c>
      <c r="D1441" s="993" t="str">
        <f t="shared" ca="1" si="227"/>
        <v/>
      </c>
      <c r="E1441" s="993" t="str">
        <f t="shared" ca="1" si="228"/>
        <v/>
      </c>
      <c r="F1441" s="992" t="str">
        <f t="shared" ca="1" si="236"/>
        <v/>
      </c>
      <c r="G1441" s="994">
        <f t="shared" ca="1" si="229"/>
        <v>0</v>
      </c>
      <c r="H1441" s="913">
        <f t="shared" ca="1" si="230"/>
        <v>0</v>
      </c>
      <c r="I1441" s="913">
        <f t="shared" ca="1" si="231"/>
        <v>0</v>
      </c>
      <c r="J1441" s="995">
        <f t="shared" ca="1" si="237"/>
        <v>0</v>
      </c>
      <c r="K1441" s="913">
        <f t="shared" ca="1" si="232"/>
        <v>0</v>
      </c>
      <c r="L1441" s="995">
        <f t="shared" ca="1" si="238"/>
        <v>0</v>
      </c>
      <c r="M1441" s="913">
        <f t="shared" ca="1" si="233"/>
        <v>0</v>
      </c>
      <c r="N1441" s="996">
        <f t="shared" ca="1" si="234"/>
        <v>0</v>
      </c>
      <c r="O1441" s="997">
        <f t="shared" ca="1" si="235"/>
        <v>0</v>
      </c>
      <c r="P1441" s="1015" t="str">
        <f ca="1">IF($C1441="","",INDEX(NVLSX!$N$2:$N$6941,MATCH($C1441,NVLSX!$E$2:$E$6941,0)))</f>
        <v/>
      </c>
      <c r="Q1441" s="1016" t="str">
        <f ca="1">IF($R1441="","",IF(XKNVLSX!$X$1="",IF($P1441=$V$7,$P1441, IF(COUNTIFS($C$2:$C1440,$C1441,$E$2:$E1440,$E1441)&gt;=1,"",$P1441)),     IF(AND(IFERROR(SEARCH($R1441,XKNVLSX!$X$1,1),0)&gt;=1,$P1441=$V$7),$P1441, IF(OR($R1441&lt;&gt;IF(IFERROR(SEARCH($R1441,XKNVLSX!$X$1,1),0)&gt;=1,$R1441,XKNVLSX!$X$1),COUNTIFS($C$2:$C1440,$C1441,$E$2:$E1440,$E1441,$Q$2:$Q1440,$P1441)&gt;=1),"",$P1441))))</f>
        <v/>
      </c>
      <c r="R1441" s="1017" t="str">
        <f ca="1">IF($A1441="","",IFERROR(INDEX(TinhGia!$BF$10:$BF$81,MATCH($A1441,TinhGia!$B$10:$B$81,0)),""))</f>
        <v/>
      </c>
      <c r="S1441" s="1012" t="str">
        <f ca="1">IF($A1441="","",IF(OR(IFERROR(SEARCH($R1441,XKNVLSX!$X$1,1),0)&gt;=1,XKNVLSX!$X$1=""),$S$2,""))</f>
        <v/>
      </c>
      <c r="T1441" s="1018" t="str">
        <f ca="1">IF($C1441="","", IF(OR($P1441=$V$1,$P1441=$V$7,COUNTIFS($C$3:$C1441,$C1441,$E$3:$E1441,$E1441)&lt;=1),$P1441,""    ))</f>
        <v/>
      </c>
      <c r="U1441" s="1019" t="str">
        <f ca="1">IF(AND($P1441=$V$2,COUNTIFS($C$3:$C1441,$C1441,$E$3:$E1441,$E1441,$G$3:$G1441,$G1441)&lt;=1),$P1441,"")</f>
        <v/>
      </c>
    </row>
    <row r="1442" spans="1:21">
      <c r="A1442" s="991" t="str">
        <f ca="1">IFERROR(IF(COUNTIF($A$3:A1441,A1441)&lt; INDEX(TinhGia!$BH$10:$BH$81,MATCH($A1441,TinhGia!$B$10:$B$81,0)),$A1441,INDEX(TinhGia!$B$10:$B$81,MATCH($A1441,TinhGia!$B$10:$B$81,0)+1)),"")</f>
        <v/>
      </c>
      <c r="B1442" s="525" t="str">
        <f ca="1">IF(OR(A1442="",A1442=0),"",IF(COUNTIF($A$2:A1442,$A1442)=1,ROW(MauKoXoa!$C$108),$B1441+1))</f>
        <v/>
      </c>
      <c r="C1442" s="992" t="str">
        <f t="shared" ca="1" si="226"/>
        <v/>
      </c>
      <c r="D1442" s="993" t="str">
        <f t="shared" ca="1" si="227"/>
        <v/>
      </c>
      <c r="E1442" s="993" t="str">
        <f t="shared" ca="1" si="228"/>
        <v/>
      </c>
      <c r="F1442" s="992" t="str">
        <f t="shared" ca="1" si="236"/>
        <v/>
      </c>
      <c r="G1442" s="994">
        <f t="shared" ca="1" si="229"/>
        <v>0</v>
      </c>
      <c r="H1442" s="913">
        <f t="shared" ca="1" si="230"/>
        <v>0</v>
      </c>
      <c r="I1442" s="913">
        <f t="shared" ca="1" si="231"/>
        <v>0</v>
      </c>
      <c r="J1442" s="995">
        <f t="shared" ca="1" si="237"/>
        <v>0</v>
      </c>
      <c r="K1442" s="913">
        <f t="shared" ca="1" si="232"/>
        <v>0</v>
      </c>
      <c r="L1442" s="995">
        <f t="shared" ca="1" si="238"/>
        <v>0</v>
      </c>
      <c r="M1442" s="913">
        <f t="shared" ca="1" si="233"/>
        <v>0</v>
      </c>
      <c r="N1442" s="996">
        <f t="shared" ca="1" si="234"/>
        <v>0</v>
      </c>
      <c r="O1442" s="997">
        <f t="shared" ca="1" si="235"/>
        <v>0</v>
      </c>
      <c r="P1442" s="1015" t="str">
        <f ca="1">IF($C1442="","",INDEX(NVLSX!$N$2:$N$6941,MATCH($C1442,NVLSX!$E$2:$E$6941,0)))</f>
        <v/>
      </c>
      <c r="Q1442" s="1016" t="str">
        <f ca="1">IF($R1442="","",IF(XKNVLSX!$X$1="",IF($P1442=$V$7,$P1442, IF(COUNTIFS($C$2:$C1441,$C1442,$E$2:$E1441,$E1442)&gt;=1,"",$P1442)),     IF(AND(IFERROR(SEARCH($R1442,XKNVLSX!$X$1,1),0)&gt;=1,$P1442=$V$7),$P1442, IF(OR($R1442&lt;&gt;IF(IFERROR(SEARCH($R1442,XKNVLSX!$X$1,1),0)&gt;=1,$R1442,XKNVLSX!$X$1),COUNTIFS($C$2:$C1441,$C1442,$E$2:$E1441,$E1442,$Q$2:$Q1441,$P1442)&gt;=1),"",$P1442))))</f>
        <v/>
      </c>
      <c r="R1442" s="1017" t="str">
        <f ca="1">IF($A1442="","",IFERROR(INDEX(TinhGia!$BF$10:$BF$81,MATCH($A1442,TinhGia!$B$10:$B$81,0)),""))</f>
        <v/>
      </c>
      <c r="S1442" s="1012" t="str">
        <f ca="1">IF($A1442="","",IF(OR(IFERROR(SEARCH($R1442,XKNVLSX!$X$1,1),0)&gt;=1,XKNVLSX!$X$1=""),$S$2,""))</f>
        <v/>
      </c>
      <c r="T1442" s="1018" t="str">
        <f ca="1">IF($C1442="","", IF(OR($P1442=$V$1,$P1442=$V$7,COUNTIFS($C$3:$C1442,$C1442,$E$3:$E1442,$E1442)&lt;=1),$P1442,""    ))</f>
        <v/>
      </c>
      <c r="U1442" s="1019" t="str">
        <f ca="1">IF(AND($P1442=$V$2,COUNTIFS($C$3:$C1442,$C1442,$E$3:$E1442,$E1442,$G$3:$G1442,$G1442)&lt;=1),$P1442,"")</f>
        <v/>
      </c>
    </row>
    <row r="1443" spans="1:21">
      <c r="A1443" s="991" t="str">
        <f ca="1">IFERROR(IF(COUNTIF($A$3:A1442,A1442)&lt; INDEX(TinhGia!$BH$10:$BH$81,MATCH($A1442,TinhGia!$B$10:$B$81,0)),$A1442,INDEX(TinhGia!$B$10:$B$81,MATCH($A1442,TinhGia!$B$10:$B$81,0)+1)),"")</f>
        <v/>
      </c>
      <c r="B1443" s="525" t="str">
        <f ca="1">IF(OR(A1443="",A1443=0),"",IF(COUNTIF($A$2:A1443,$A1443)=1,ROW(MauKoXoa!$C$108),$B1442+1))</f>
        <v/>
      </c>
      <c r="C1443" s="992" t="str">
        <f t="shared" ca="1" si="226"/>
        <v/>
      </c>
      <c r="D1443" s="993" t="str">
        <f t="shared" ca="1" si="227"/>
        <v/>
      </c>
      <c r="E1443" s="993" t="str">
        <f t="shared" ca="1" si="228"/>
        <v/>
      </c>
      <c r="F1443" s="992" t="str">
        <f t="shared" ca="1" si="236"/>
        <v/>
      </c>
      <c r="G1443" s="994">
        <f t="shared" ca="1" si="229"/>
        <v>0</v>
      </c>
      <c r="H1443" s="913">
        <f t="shared" ca="1" si="230"/>
        <v>0</v>
      </c>
      <c r="I1443" s="913">
        <f t="shared" ca="1" si="231"/>
        <v>0</v>
      </c>
      <c r="J1443" s="995">
        <f t="shared" ca="1" si="237"/>
        <v>0</v>
      </c>
      <c r="K1443" s="913">
        <f t="shared" ca="1" si="232"/>
        <v>0</v>
      </c>
      <c r="L1443" s="995">
        <f t="shared" ca="1" si="238"/>
        <v>0</v>
      </c>
      <c r="M1443" s="913">
        <f t="shared" ca="1" si="233"/>
        <v>0</v>
      </c>
      <c r="N1443" s="996">
        <f t="shared" ca="1" si="234"/>
        <v>0</v>
      </c>
      <c r="O1443" s="997">
        <f t="shared" ca="1" si="235"/>
        <v>0</v>
      </c>
      <c r="P1443" s="1015" t="str">
        <f ca="1">IF($C1443="","",INDEX(NVLSX!$N$2:$N$6941,MATCH($C1443,NVLSX!$E$2:$E$6941,0)))</f>
        <v/>
      </c>
      <c r="Q1443" s="1016" t="str">
        <f ca="1">IF($R1443="","",IF(XKNVLSX!$X$1="",IF($P1443=$V$7,$P1443, IF(COUNTIFS($C$2:$C1442,$C1443,$E$2:$E1442,$E1443)&gt;=1,"",$P1443)),     IF(AND(IFERROR(SEARCH($R1443,XKNVLSX!$X$1,1),0)&gt;=1,$P1443=$V$7),$P1443, IF(OR($R1443&lt;&gt;IF(IFERROR(SEARCH($R1443,XKNVLSX!$X$1,1),0)&gt;=1,$R1443,XKNVLSX!$X$1),COUNTIFS($C$2:$C1442,$C1443,$E$2:$E1442,$E1443,$Q$2:$Q1442,$P1443)&gt;=1),"",$P1443))))</f>
        <v/>
      </c>
      <c r="R1443" s="1017" t="str">
        <f ca="1">IF($A1443="","",IFERROR(INDEX(TinhGia!$BF$10:$BF$81,MATCH($A1443,TinhGia!$B$10:$B$81,0)),""))</f>
        <v/>
      </c>
      <c r="S1443" s="1012" t="str">
        <f ca="1">IF($A1443="","",IF(OR(IFERROR(SEARCH($R1443,XKNVLSX!$X$1,1),0)&gt;=1,XKNVLSX!$X$1=""),$S$2,""))</f>
        <v/>
      </c>
      <c r="T1443" s="1018" t="str">
        <f ca="1">IF($C1443="","", IF(OR($P1443=$V$1,$P1443=$V$7,COUNTIFS($C$3:$C1443,$C1443,$E$3:$E1443,$E1443)&lt;=1),$P1443,""    ))</f>
        <v/>
      </c>
      <c r="U1443" s="1019" t="str">
        <f ca="1">IF(AND($P1443=$V$2,COUNTIFS($C$3:$C1443,$C1443,$E$3:$E1443,$E1443,$G$3:$G1443,$G1443)&lt;=1),$P1443,"")</f>
        <v/>
      </c>
    </row>
    <row r="1444" spans="1:21">
      <c r="A1444" s="991" t="str">
        <f ca="1">IFERROR(IF(COUNTIF($A$3:A1443,A1443)&lt; INDEX(TinhGia!$BH$10:$BH$81,MATCH($A1443,TinhGia!$B$10:$B$81,0)),$A1443,INDEX(TinhGia!$B$10:$B$81,MATCH($A1443,TinhGia!$B$10:$B$81,0)+1)),"")</f>
        <v/>
      </c>
      <c r="B1444" s="525" t="str">
        <f ca="1">IF(OR(A1444="",A1444=0),"",IF(COUNTIF($A$2:A1444,$A1444)=1,ROW(MauKoXoa!$C$108),$B1443+1))</f>
        <v/>
      </c>
      <c r="C1444" s="992" t="str">
        <f t="shared" ca="1" si="226"/>
        <v/>
      </c>
      <c r="D1444" s="993" t="str">
        <f t="shared" ca="1" si="227"/>
        <v/>
      </c>
      <c r="E1444" s="993" t="str">
        <f t="shared" ca="1" si="228"/>
        <v/>
      </c>
      <c r="F1444" s="992" t="str">
        <f t="shared" ca="1" si="236"/>
        <v/>
      </c>
      <c r="G1444" s="994">
        <f t="shared" ca="1" si="229"/>
        <v>0</v>
      </c>
      <c r="H1444" s="913">
        <f t="shared" ca="1" si="230"/>
        <v>0</v>
      </c>
      <c r="I1444" s="913">
        <f t="shared" ca="1" si="231"/>
        <v>0</v>
      </c>
      <c r="J1444" s="995">
        <f t="shared" ca="1" si="237"/>
        <v>0</v>
      </c>
      <c r="K1444" s="913">
        <f t="shared" ca="1" si="232"/>
        <v>0</v>
      </c>
      <c r="L1444" s="995">
        <f t="shared" ca="1" si="238"/>
        <v>0</v>
      </c>
      <c r="M1444" s="913">
        <f t="shared" ca="1" si="233"/>
        <v>0</v>
      </c>
      <c r="N1444" s="996">
        <f t="shared" ca="1" si="234"/>
        <v>0</v>
      </c>
      <c r="O1444" s="997">
        <f t="shared" ca="1" si="235"/>
        <v>0</v>
      </c>
      <c r="P1444" s="1015" t="str">
        <f ca="1">IF($C1444="","",INDEX(NVLSX!$N$2:$N$6941,MATCH($C1444,NVLSX!$E$2:$E$6941,0)))</f>
        <v/>
      </c>
      <c r="Q1444" s="1016" t="str">
        <f ca="1">IF($R1444="","",IF(XKNVLSX!$X$1="",IF($P1444=$V$7,$P1444, IF(COUNTIFS($C$2:$C1443,$C1444,$E$2:$E1443,$E1444)&gt;=1,"",$P1444)),     IF(AND(IFERROR(SEARCH($R1444,XKNVLSX!$X$1,1),0)&gt;=1,$P1444=$V$7),$P1444, IF(OR($R1444&lt;&gt;IF(IFERROR(SEARCH($R1444,XKNVLSX!$X$1,1),0)&gt;=1,$R1444,XKNVLSX!$X$1),COUNTIFS($C$2:$C1443,$C1444,$E$2:$E1443,$E1444,$Q$2:$Q1443,$P1444)&gt;=1),"",$P1444))))</f>
        <v/>
      </c>
      <c r="R1444" s="1017" t="str">
        <f ca="1">IF($A1444="","",IFERROR(INDEX(TinhGia!$BF$10:$BF$81,MATCH($A1444,TinhGia!$B$10:$B$81,0)),""))</f>
        <v/>
      </c>
      <c r="S1444" s="1012" t="str">
        <f ca="1">IF($A1444="","",IF(OR(IFERROR(SEARCH($R1444,XKNVLSX!$X$1,1),0)&gt;=1,XKNVLSX!$X$1=""),$S$2,""))</f>
        <v/>
      </c>
      <c r="T1444" s="1018" t="str">
        <f ca="1">IF($C1444="","", IF(OR($P1444=$V$1,$P1444=$V$7,COUNTIFS($C$3:$C1444,$C1444,$E$3:$E1444,$E1444)&lt;=1),$P1444,""    ))</f>
        <v/>
      </c>
      <c r="U1444" s="1019" t="str">
        <f ca="1">IF(AND($P1444=$V$2,COUNTIFS($C$3:$C1444,$C1444,$E$3:$E1444,$E1444,$G$3:$G1444,$G1444)&lt;=1),$P1444,"")</f>
        <v/>
      </c>
    </row>
    <row r="1445" spans="1:21">
      <c r="A1445" s="991" t="str">
        <f ca="1">IFERROR(IF(COUNTIF($A$3:A1444,A1444)&lt; INDEX(TinhGia!$BH$10:$BH$81,MATCH($A1444,TinhGia!$B$10:$B$81,0)),$A1444,INDEX(TinhGia!$B$10:$B$81,MATCH($A1444,TinhGia!$B$10:$B$81,0)+1)),"")</f>
        <v/>
      </c>
      <c r="B1445" s="525" t="str">
        <f ca="1">IF(OR(A1445="",A1445=0),"",IF(COUNTIF($A$2:A1445,$A1445)=1,ROW(MauKoXoa!$C$108),$B1444+1))</f>
        <v/>
      </c>
      <c r="C1445" s="992" t="str">
        <f t="shared" ca="1" si="226"/>
        <v/>
      </c>
      <c r="D1445" s="993" t="str">
        <f t="shared" ca="1" si="227"/>
        <v/>
      </c>
      <c r="E1445" s="993" t="str">
        <f t="shared" ca="1" si="228"/>
        <v/>
      </c>
      <c r="F1445" s="992" t="str">
        <f t="shared" ca="1" si="236"/>
        <v/>
      </c>
      <c r="G1445" s="994">
        <f t="shared" ca="1" si="229"/>
        <v>0</v>
      </c>
      <c r="H1445" s="913">
        <f t="shared" ca="1" si="230"/>
        <v>0</v>
      </c>
      <c r="I1445" s="913">
        <f t="shared" ca="1" si="231"/>
        <v>0</v>
      </c>
      <c r="J1445" s="995">
        <f t="shared" ca="1" si="237"/>
        <v>0</v>
      </c>
      <c r="K1445" s="913">
        <f t="shared" ca="1" si="232"/>
        <v>0</v>
      </c>
      <c r="L1445" s="995">
        <f t="shared" ca="1" si="238"/>
        <v>0</v>
      </c>
      <c r="M1445" s="913">
        <f t="shared" ca="1" si="233"/>
        <v>0</v>
      </c>
      <c r="N1445" s="996">
        <f t="shared" ca="1" si="234"/>
        <v>0</v>
      </c>
      <c r="O1445" s="997">
        <f t="shared" ca="1" si="235"/>
        <v>0</v>
      </c>
      <c r="P1445" s="1015" t="str">
        <f ca="1">IF($C1445="","",INDEX(NVLSX!$N$2:$N$6941,MATCH($C1445,NVLSX!$E$2:$E$6941,0)))</f>
        <v/>
      </c>
      <c r="Q1445" s="1016" t="str">
        <f ca="1">IF($R1445="","",IF(XKNVLSX!$X$1="",IF($P1445=$V$7,$P1445, IF(COUNTIFS($C$2:$C1444,$C1445,$E$2:$E1444,$E1445)&gt;=1,"",$P1445)),     IF(AND(IFERROR(SEARCH($R1445,XKNVLSX!$X$1,1),0)&gt;=1,$P1445=$V$7),$P1445, IF(OR($R1445&lt;&gt;IF(IFERROR(SEARCH($R1445,XKNVLSX!$X$1,1),0)&gt;=1,$R1445,XKNVLSX!$X$1),COUNTIFS($C$2:$C1444,$C1445,$E$2:$E1444,$E1445,$Q$2:$Q1444,$P1445)&gt;=1),"",$P1445))))</f>
        <v/>
      </c>
      <c r="R1445" s="1017" t="str">
        <f ca="1">IF($A1445="","",IFERROR(INDEX(TinhGia!$BF$10:$BF$81,MATCH($A1445,TinhGia!$B$10:$B$81,0)),""))</f>
        <v/>
      </c>
      <c r="S1445" s="1012" t="str">
        <f ca="1">IF($A1445="","",IF(OR(IFERROR(SEARCH($R1445,XKNVLSX!$X$1,1),0)&gt;=1,XKNVLSX!$X$1=""),$S$2,""))</f>
        <v/>
      </c>
      <c r="T1445" s="1018" t="str">
        <f ca="1">IF($C1445="","", IF(OR($P1445=$V$1,$P1445=$V$7,COUNTIFS($C$3:$C1445,$C1445,$E$3:$E1445,$E1445)&lt;=1),$P1445,""    ))</f>
        <v/>
      </c>
      <c r="U1445" s="1019" t="str">
        <f ca="1">IF(AND($P1445=$V$2,COUNTIFS($C$3:$C1445,$C1445,$E$3:$E1445,$E1445,$G$3:$G1445,$G1445)&lt;=1),$P1445,"")</f>
        <v/>
      </c>
    </row>
    <row r="1446" spans="1:21">
      <c r="A1446" s="991" t="str">
        <f ca="1">IFERROR(IF(COUNTIF($A$3:A1445,A1445)&lt; INDEX(TinhGia!$BH$10:$BH$81,MATCH($A1445,TinhGia!$B$10:$B$81,0)),$A1445,INDEX(TinhGia!$B$10:$B$81,MATCH($A1445,TinhGia!$B$10:$B$81,0)+1)),"")</f>
        <v/>
      </c>
      <c r="B1446" s="525" t="str">
        <f ca="1">IF(OR(A1446="",A1446=0),"",IF(COUNTIF($A$2:A1446,$A1446)=1,ROW(MauKoXoa!$C$108),$B1445+1))</f>
        <v/>
      </c>
      <c r="C1446" s="992" t="str">
        <f t="shared" ca="1" si="226"/>
        <v/>
      </c>
      <c r="D1446" s="993" t="str">
        <f t="shared" ca="1" si="227"/>
        <v/>
      </c>
      <c r="E1446" s="993" t="str">
        <f t="shared" ca="1" si="228"/>
        <v/>
      </c>
      <c r="F1446" s="992" t="str">
        <f t="shared" ca="1" si="236"/>
        <v/>
      </c>
      <c r="G1446" s="994">
        <f t="shared" ca="1" si="229"/>
        <v>0</v>
      </c>
      <c r="H1446" s="913">
        <f t="shared" ca="1" si="230"/>
        <v>0</v>
      </c>
      <c r="I1446" s="913">
        <f t="shared" ca="1" si="231"/>
        <v>0</v>
      </c>
      <c r="J1446" s="995">
        <f t="shared" ca="1" si="237"/>
        <v>0</v>
      </c>
      <c r="K1446" s="913">
        <f t="shared" ca="1" si="232"/>
        <v>0</v>
      </c>
      <c r="L1446" s="995">
        <f t="shared" ca="1" si="238"/>
        <v>0</v>
      </c>
      <c r="M1446" s="913">
        <f t="shared" ca="1" si="233"/>
        <v>0</v>
      </c>
      <c r="N1446" s="996">
        <f t="shared" ca="1" si="234"/>
        <v>0</v>
      </c>
      <c r="O1446" s="997">
        <f t="shared" ca="1" si="235"/>
        <v>0</v>
      </c>
      <c r="P1446" s="1015" t="str">
        <f ca="1">IF($C1446="","",INDEX(NVLSX!$N$2:$N$6941,MATCH($C1446,NVLSX!$E$2:$E$6941,0)))</f>
        <v/>
      </c>
      <c r="Q1446" s="1016" t="str">
        <f ca="1">IF($R1446="","",IF(XKNVLSX!$X$1="",IF($P1446=$V$7,$P1446, IF(COUNTIFS($C$2:$C1445,$C1446,$E$2:$E1445,$E1446)&gt;=1,"",$P1446)),     IF(AND(IFERROR(SEARCH($R1446,XKNVLSX!$X$1,1),0)&gt;=1,$P1446=$V$7),$P1446, IF(OR($R1446&lt;&gt;IF(IFERROR(SEARCH($R1446,XKNVLSX!$X$1,1),0)&gt;=1,$R1446,XKNVLSX!$X$1),COUNTIFS($C$2:$C1445,$C1446,$E$2:$E1445,$E1446,$Q$2:$Q1445,$P1446)&gt;=1),"",$P1446))))</f>
        <v/>
      </c>
      <c r="R1446" s="1017" t="str">
        <f ca="1">IF($A1446="","",IFERROR(INDEX(TinhGia!$BF$10:$BF$81,MATCH($A1446,TinhGia!$B$10:$B$81,0)),""))</f>
        <v/>
      </c>
      <c r="S1446" s="1012" t="str">
        <f ca="1">IF($A1446="","",IF(OR(IFERROR(SEARCH($R1446,XKNVLSX!$X$1,1),0)&gt;=1,XKNVLSX!$X$1=""),$S$2,""))</f>
        <v/>
      </c>
      <c r="T1446" s="1018" t="str">
        <f ca="1">IF($C1446="","", IF(OR($P1446=$V$1,$P1446=$V$7,COUNTIFS($C$3:$C1446,$C1446,$E$3:$E1446,$E1446)&lt;=1),$P1446,""    ))</f>
        <v/>
      </c>
      <c r="U1446" s="1019" t="str">
        <f ca="1">IF(AND($P1446=$V$2,COUNTIFS($C$3:$C1446,$C1446,$E$3:$E1446,$E1446,$G$3:$G1446,$G1446)&lt;=1),$P1446,"")</f>
        <v/>
      </c>
    </row>
    <row r="1447" spans="1:21">
      <c r="A1447" s="991" t="str">
        <f ca="1">IFERROR(IF(COUNTIF($A$3:A1446,A1446)&lt; INDEX(TinhGia!$BH$10:$BH$81,MATCH($A1446,TinhGia!$B$10:$B$81,0)),$A1446,INDEX(TinhGia!$B$10:$B$81,MATCH($A1446,TinhGia!$B$10:$B$81,0)+1)),"")</f>
        <v/>
      </c>
      <c r="B1447" s="525" t="str">
        <f ca="1">IF(OR(A1447="",A1447=0),"",IF(COUNTIF($A$2:A1447,$A1447)=1,ROW(MauKoXoa!$C$108),$B1446+1))</f>
        <v/>
      </c>
      <c r="C1447" s="992" t="str">
        <f t="shared" ca="1" si="226"/>
        <v/>
      </c>
      <c r="D1447" s="993" t="str">
        <f t="shared" ca="1" si="227"/>
        <v/>
      </c>
      <c r="E1447" s="993" t="str">
        <f t="shared" ca="1" si="228"/>
        <v/>
      </c>
      <c r="F1447" s="992" t="str">
        <f t="shared" ca="1" si="236"/>
        <v/>
      </c>
      <c r="G1447" s="994">
        <f t="shared" ca="1" si="229"/>
        <v>0</v>
      </c>
      <c r="H1447" s="913">
        <f t="shared" ca="1" si="230"/>
        <v>0</v>
      </c>
      <c r="I1447" s="913">
        <f t="shared" ca="1" si="231"/>
        <v>0</v>
      </c>
      <c r="J1447" s="995">
        <f t="shared" ca="1" si="237"/>
        <v>0</v>
      </c>
      <c r="K1447" s="913">
        <f t="shared" ca="1" si="232"/>
        <v>0</v>
      </c>
      <c r="L1447" s="995">
        <f t="shared" ca="1" si="238"/>
        <v>0</v>
      </c>
      <c r="M1447" s="913">
        <f t="shared" ca="1" si="233"/>
        <v>0</v>
      </c>
      <c r="N1447" s="996">
        <f t="shared" ca="1" si="234"/>
        <v>0</v>
      </c>
      <c r="O1447" s="997">
        <f t="shared" ca="1" si="235"/>
        <v>0</v>
      </c>
      <c r="P1447" s="1015" t="str">
        <f ca="1">IF($C1447="","",INDEX(NVLSX!$N$2:$N$6941,MATCH($C1447,NVLSX!$E$2:$E$6941,0)))</f>
        <v/>
      </c>
      <c r="Q1447" s="1016" t="str">
        <f ca="1">IF($R1447="","",IF(XKNVLSX!$X$1="",IF($P1447=$V$7,$P1447, IF(COUNTIFS($C$2:$C1446,$C1447,$E$2:$E1446,$E1447)&gt;=1,"",$P1447)),     IF(AND(IFERROR(SEARCH($R1447,XKNVLSX!$X$1,1),0)&gt;=1,$P1447=$V$7),$P1447, IF(OR($R1447&lt;&gt;IF(IFERROR(SEARCH($R1447,XKNVLSX!$X$1,1),0)&gt;=1,$R1447,XKNVLSX!$X$1),COUNTIFS($C$2:$C1446,$C1447,$E$2:$E1446,$E1447,$Q$2:$Q1446,$P1447)&gt;=1),"",$P1447))))</f>
        <v/>
      </c>
      <c r="R1447" s="1017" t="str">
        <f ca="1">IF($A1447="","",IFERROR(INDEX(TinhGia!$BF$10:$BF$81,MATCH($A1447,TinhGia!$B$10:$B$81,0)),""))</f>
        <v/>
      </c>
      <c r="S1447" s="1012" t="str">
        <f ca="1">IF($A1447="","",IF(OR(IFERROR(SEARCH($R1447,XKNVLSX!$X$1,1),0)&gt;=1,XKNVLSX!$X$1=""),$S$2,""))</f>
        <v/>
      </c>
      <c r="T1447" s="1018" t="str">
        <f ca="1">IF($C1447="","", IF(OR($P1447=$V$1,$P1447=$V$7,COUNTIFS($C$3:$C1447,$C1447,$E$3:$E1447,$E1447)&lt;=1),$P1447,""    ))</f>
        <v/>
      </c>
      <c r="U1447" s="1019" t="str">
        <f ca="1">IF(AND($P1447=$V$2,COUNTIFS($C$3:$C1447,$C1447,$E$3:$E1447,$E1447,$G$3:$G1447,$G1447)&lt;=1),$P1447,"")</f>
        <v/>
      </c>
    </row>
    <row r="1448" spans="1:21">
      <c r="A1448" s="991" t="str">
        <f ca="1">IFERROR(IF(COUNTIF($A$3:A1447,A1447)&lt; INDEX(TinhGia!$BH$10:$BH$81,MATCH($A1447,TinhGia!$B$10:$B$81,0)),$A1447,INDEX(TinhGia!$B$10:$B$81,MATCH($A1447,TinhGia!$B$10:$B$81,0)+1)),"")</f>
        <v/>
      </c>
      <c r="B1448" s="525" t="str">
        <f ca="1">IF(OR(A1448="",A1448=0),"",IF(COUNTIF($A$2:A1448,$A1448)=1,ROW(MauKoXoa!$C$108),$B1447+1))</f>
        <v/>
      </c>
      <c r="C1448" s="992" t="str">
        <f t="shared" ca="1" si="226"/>
        <v/>
      </c>
      <c r="D1448" s="993" t="str">
        <f t="shared" ca="1" si="227"/>
        <v/>
      </c>
      <c r="E1448" s="993" t="str">
        <f t="shared" ca="1" si="228"/>
        <v/>
      </c>
      <c r="F1448" s="992" t="str">
        <f t="shared" ca="1" si="236"/>
        <v/>
      </c>
      <c r="G1448" s="994">
        <f t="shared" ca="1" si="229"/>
        <v>0</v>
      </c>
      <c r="H1448" s="913">
        <f t="shared" ca="1" si="230"/>
        <v>0</v>
      </c>
      <c r="I1448" s="913">
        <f t="shared" ca="1" si="231"/>
        <v>0</v>
      </c>
      <c r="J1448" s="995">
        <f t="shared" ca="1" si="237"/>
        <v>0</v>
      </c>
      <c r="K1448" s="913">
        <f t="shared" ca="1" si="232"/>
        <v>0</v>
      </c>
      <c r="L1448" s="995">
        <f t="shared" ca="1" si="238"/>
        <v>0</v>
      </c>
      <c r="M1448" s="913">
        <f t="shared" ca="1" si="233"/>
        <v>0</v>
      </c>
      <c r="N1448" s="996">
        <f t="shared" ca="1" si="234"/>
        <v>0</v>
      </c>
      <c r="O1448" s="997">
        <f t="shared" ca="1" si="235"/>
        <v>0</v>
      </c>
      <c r="P1448" s="1015" t="str">
        <f ca="1">IF($C1448="","",INDEX(NVLSX!$N$2:$N$6941,MATCH($C1448,NVLSX!$E$2:$E$6941,0)))</f>
        <v/>
      </c>
      <c r="Q1448" s="1016" t="str">
        <f ca="1">IF($R1448="","",IF(XKNVLSX!$X$1="",IF($P1448=$V$7,$P1448, IF(COUNTIFS($C$2:$C1447,$C1448,$E$2:$E1447,$E1448)&gt;=1,"",$P1448)),     IF(AND(IFERROR(SEARCH($R1448,XKNVLSX!$X$1,1),0)&gt;=1,$P1448=$V$7),$P1448, IF(OR($R1448&lt;&gt;IF(IFERROR(SEARCH($R1448,XKNVLSX!$X$1,1),0)&gt;=1,$R1448,XKNVLSX!$X$1),COUNTIFS($C$2:$C1447,$C1448,$E$2:$E1447,$E1448,$Q$2:$Q1447,$P1448)&gt;=1),"",$P1448))))</f>
        <v/>
      </c>
      <c r="R1448" s="1017" t="str">
        <f ca="1">IF($A1448="","",IFERROR(INDEX(TinhGia!$BF$10:$BF$81,MATCH($A1448,TinhGia!$B$10:$B$81,0)),""))</f>
        <v/>
      </c>
      <c r="S1448" s="1012" t="str">
        <f ca="1">IF($A1448="","",IF(OR(IFERROR(SEARCH($R1448,XKNVLSX!$X$1,1),0)&gt;=1,XKNVLSX!$X$1=""),$S$2,""))</f>
        <v/>
      </c>
      <c r="T1448" s="1018" t="str">
        <f ca="1">IF($C1448="","", IF(OR($P1448=$V$1,$P1448=$V$7,COUNTIFS($C$3:$C1448,$C1448,$E$3:$E1448,$E1448)&lt;=1),$P1448,""    ))</f>
        <v/>
      </c>
      <c r="U1448" s="1019" t="str">
        <f ca="1">IF(AND($P1448=$V$2,COUNTIFS($C$3:$C1448,$C1448,$E$3:$E1448,$E1448,$G$3:$G1448,$G1448)&lt;=1),$P1448,"")</f>
        <v/>
      </c>
    </row>
    <row r="1449" spans="1:21">
      <c r="A1449" s="991" t="str">
        <f ca="1">IFERROR(IF(COUNTIF($A$3:A1448,A1448)&lt; INDEX(TinhGia!$BH$10:$BH$81,MATCH($A1448,TinhGia!$B$10:$B$81,0)),$A1448,INDEX(TinhGia!$B$10:$B$81,MATCH($A1448,TinhGia!$B$10:$B$81,0)+1)),"")</f>
        <v/>
      </c>
      <c r="B1449" s="525" t="str">
        <f ca="1">IF(OR(A1449="",A1449=0),"",IF(COUNTIF($A$2:A1449,$A1449)=1,ROW(MauKoXoa!$C$108),$B1448+1))</f>
        <v/>
      </c>
      <c r="C1449" s="992" t="str">
        <f t="shared" ca="1" si="226"/>
        <v/>
      </c>
      <c r="D1449" s="993" t="str">
        <f t="shared" ca="1" si="227"/>
        <v/>
      </c>
      <c r="E1449" s="993" t="str">
        <f t="shared" ca="1" si="228"/>
        <v/>
      </c>
      <c r="F1449" s="992" t="str">
        <f t="shared" ca="1" si="236"/>
        <v/>
      </c>
      <c r="G1449" s="994">
        <f t="shared" ca="1" si="229"/>
        <v>0</v>
      </c>
      <c r="H1449" s="913">
        <f t="shared" ca="1" si="230"/>
        <v>0</v>
      </c>
      <c r="I1449" s="913">
        <f t="shared" ca="1" si="231"/>
        <v>0</v>
      </c>
      <c r="J1449" s="995">
        <f t="shared" ca="1" si="237"/>
        <v>0</v>
      </c>
      <c r="K1449" s="913">
        <f t="shared" ca="1" si="232"/>
        <v>0</v>
      </c>
      <c r="L1449" s="995">
        <f t="shared" ca="1" si="238"/>
        <v>0</v>
      </c>
      <c r="M1449" s="913">
        <f t="shared" ca="1" si="233"/>
        <v>0</v>
      </c>
      <c r="N1449" s="996">
        <f t="shared" ca="1" si="234"/>
        <v>0</v>
      </c>
      <c r="O1449" s="997">
        <f t="shared" ca="1" si="235"/>
        <v>0</v>
      </c>
      <c r="P1449" s="1015" t="str">
        <f ca="1">IF($C1449="","",INDEX(NVLSX!$N$2:$N$6941,MATCH($C1449,NVLSX!$E$2:$E$6941,0)))</f>
        <v/>
      </c>
      <c r="Q1449" s="1016" t="str">
        <f ca="1">IF($R1449="","",IF(XKNVLSX!$X$1="",IF($P1449=$V$7,$P1449, IF(COUNTIFS($C$2:$C1448,$C1449,$E$2:$E1448,$E1449)&gt;=1,"",$P1449)),     IF(AND(IFERROR(SEARCH($R1449,XKNVLSX!$X$1,1),0)&gt;=1,$P1449=$V$7),$P1449, IF(OR($R1449&lt;&gt;IF(IFERROR(SEARCH($R1449,XKNVLSX!$X$1,1),0)&gt;=1,$R1449,XKNVLSX!$X$1),COUNTIFS($C$2:$C1448,$C1449,$E$2:$E1448,$E1449,$Q$2:$Q1448,$P1449)&gt;=1),"",$P1449))))</f>
        <v/>
      </c>
      <c r="R1449" s="1017" t="str">
        <f ca="1">IF($A1449="","",IFERROR(INDEX(TinhGia!$BF$10:$BF$81,MATCH($A1449,TinhGia!$B$10:$B$81,0)),""))</f>
        <v/>
      </c>
      <c r="S1449" s="1012" t="str">
        <f ca="1">IF($A1449="","",IF(OR(IFERROR(SEARCH($R1449,XKNVLSX!$X$1,1),0)&gt;=1,XKNVLSX!$X$1=""),$S$2,""))</f>
        <v/>
      </c>
      <c r="T1449" s="1018" t="str">
        <f ca="1">IF($C1449="","", IF(OR($P1449=$V$1,$P1449=$V$7,COUNTIFS($C$3:$C1449,$C1449,$E$3:$E1449,$E1449)&lt;=1),$P1449,""    ))</f>
        <v/>
      </c>
      <c r="U1449" s="1019" t="str">
        <f ca="1">IF(AND($P1449=$V$2,COUNTIFS($C$3:$C1449,$C1449,$E$3:$E1449,$E1449,$G$3:$G1449,$G1449)&lt;=1),$P1449,"")</f>
        <v/>
      </c>
    </row>
    <row r="1450" spans="1:21">
      <c r="A1450" s="991" t="str">
        <f ca="1">IFERROR(IF(COUNTIF($A$3:A1449,A1449)&lt; INDEX(TinhGia!$BH$10:$BH$81,MATCH($A1449,TinhGia!$B$10:$B$81,0)),$A1449,INDEX(TinhGia!$B$10:$B$81,MATCH($A1449,TinhGia!$B$10:$B$81,0)+1)),"")</f>
        <v/>
      </c>
      <c r="B1450" s="525" t="str">
        <f ca="1">IF(OR(A1450="",A1450=0),"",IF(COUNTIF($A$2:A1450,$A1450)=1,ROW(MauKoXoa!$C$108),$B1449+1))</f>
        <v/>
      </c>
      <c r="C1450" s="992" t="str">
        <f t="shared" ca="1" si="226"/>
        <v/>
      </c>
      <c r="D1450" s="993" t="str">
        <f t="shared" ca="1" si="227"/>
        <v/>
      </c>
      <c r="E1450" s="993" t="str">
        <f t="shared" ca="1" si="228"/>
        <v/>
      </c>
      <c r="F1450" s="992" t="str">
        <f t="shared" ca="1" si="236"/>
        <v/>
      </c>
      <c r="G1450" s="994">
        <f t="shared" ca="1" si="229"/>
        <v>0</v>
      </c>
      <c r="H1450" s="913">
        <f t="shared" ca="1" si="230"/>
        <v>0</v>
      </c>
      <c r="I1450" s="913">
        <f t="shared" ca="1" si="231"/>
        <v>0</v>
      </c>
      <c r="J1450" s="995">
        <f t="shared" ca="1" si="237"/>
        <v>0</v>
      </c>
      <c r="K1450" s="913">
        <f t="shared" ca="1" si="232"/>
        <v>0</v>
      </c>
      <c r="L1450" s="995">
        <f t="shared" ca="1" si="238"/>
        <v>0</v>
      </c>
      <c r="M1450" s="913">
        <f t="shared" ca="1" si="233"/>
        <v>0</v>
      </c>
      <c r="N1450" s="996">
        <f t="shared" ca="1" si="234"/>
        <v>0</v>
      </c>
      <c r="O1450" s="997">
        <f t="shared" ca="1" si="235"/>
        <v>0</v>
      </c>
      <c r="P1450" s="1015" t="str">
        <f ca="1">IF($C1450="","",INDEX(NVLSX!$N$2:$N$6941,MATCH($C1450,NVLSX!$E$2:$E$6941,0)))</f>
        <v/>
      </c>
      <c r="Q1450" s="1016" t="str">
        <f ca="1">IF($R1450="","",IF(XKNVLSX!$X$1="",IF($P1450=$V$7,$P1450, IF(COUNTIFS($C$2:$C1449,$C1450,$E$2:$E1449,$E1450)&gt;=1,"",$P1450)),     IF(AND(IFERROR(SEARCH($R1450,XKNVLSX!$X$1,1),0)&gt;=1,$P1450=$V$7),$P1450, IF(OR($R1450&lt;&gt;IF(IFERROR(SEARCH($R1450,XKNVLSX!$X$1,1),0)&gt;=1,$R1450,XKNVLSX!$X$1),COUNTIFS($C$2:$C1449,$C1450,$E$2:$E1449,$E1450,$Q$2:$Q1449,$P1450)&gt;=1),"",$P1450))))</f>
        <v/>
      </c>
      <c r="R1450" s="1017" t="str">
        <f ca="1">IF($A1450="","",IFERROR(INDEX(TinhGia!$BF$10:$BF$81,MATCH($A1450,TinhGia!$B$10:$B$81,0)),""))</f>
        <v/>
      </c>
      <c r="S1450" s="1012" t="str">
        <f ca="1">IF($A1450="","",IF(OR(IFERROR(SEARCH($R1450,XKNVLSX!$X$1,1),0)&gt;=1,XKNVLSX!$X$1=""),$S$2,""))</f>
        <v/>
      </c>
      <c r="T1450" s="1018" t="str">
        <f ca="1">IF($C1450="","", IF(OR($P1450=$V$1,$P1450=$V$7,COUNTIFS($C$3:$C1450,$C1450,$E$3:$E1450,$E1450)&lt;=1),$P1450,""    ))</f>
        <v/>
      </c>
      <c r="U1450" s="1019" t="str">
        <f ca="1">IF(AND($P1450=$V$2,COUNTIFS($C$3:$C1450,$C1450,$E$3:$E1450,$E1450,$G$3:$G1450,$G1450)&lt;=1),$P1450,"")</f>
        <v/>
      </c>
    </row>
    <row r="1451" spans="1:21">
      <c r="A1451" s="991" t="str">
        <f ca="1">IFERROR(IF(COUNTIF($A$3:A1450,A1450)&lt; INDEX(TinhGia!$BH$10:$BH$81,MATCH($A1450,TinhGia!$B$10:$B$81,0)),$A1450,INDEX(TinhGia!$B$10:$B$81,MATCH($A1450,TinhGia!$B$10:$B$81,0)+1)),"")</f>
        <v/>
      </c>
      <c r="B1451" s="525" t="str">
        <f ca="1">IF(OR(A1451="",A1451=0),"",IF(COUNTIF($A$2:A1451,$A1451)=1,ROW(MauKoXoa!$C$108),$B1450+1))</f>
        <v/>
      </c>
      <c r="C1451" s="992" t="str">
        <f t="shared" ca="1" si="226"/>
        <v/>
      </c>
      <c r="D1451" s="993" t="str">
        <f t="shared" ca="1" si="227"/>
        <v/>
      </c>
      <c r="E1451" s="993" t="str">
        <f t="shared" ca="1" si="228"/>
        <v/>
      </c>
      <c r="F1451" s="992" t="str">
        <f t="shared" ca="1" si="236"/>
        <v/>
      </c>
      <c r="G1451" s="994">
        <f t="shared" ca="1" si="229"/>
        <v>0</v>
      </c>
      <c r="H1451" s="913">
        <f t="shared" ca="1" si="230"/>
        <v>0</v>
      </c>
      <c r="I1451" s="913">
        <f t="shared" ca="1" si="231"/>
        <v>0</v>
      </c>
      <c r="J1451" s="995">
        <f t="shared" ca="1" si="237"/>
        <v>0</v>
      </c>
      <c r="K1451" s="913">
        <f t="shared" ca="1" si="232"/>
        <v>0</v>
      </c>
      <c r="L1451" s="995">
        <f t="shared" ca="1" si="238"/>
        <v>0</v>
      </c>
      <c r="M1451" s="913">
        <f t="shared" ca="1" si="233"/>
        <v>0</v>
      </c>
      <c r="N1451" s="996">
        <f t="shared" ca="1" si="234"/>
        <v>0</v>
      </c>
      <c r="O1451" s="997">
        <f t="shared" ca="1" si="235"/>
        <v>0</v>
      </c>
      <c r="P1451" s="1015" t="str">
        <f ca="1">IF($C1451="","",INDEX(NVLSX!$N$2:$N$6941,MATCH($C1451,NVLSX!$E$2:$E$6941,0)))</f>
        <v/>
      </c>
      <c r="Q1451" s="1016" t="str">
        <f ca="1">IF($R1451="","",IF(XKNVLSX!$X$1="",IF($P1451=$V$7,$P1451, IF(COUNTIFS($C$2:$C1450,$C1451,$E$2:$E1450,$E1451)&gt;=1,"",$P1451)),     IF(AND(IFERROR(SEARCH($R1451,XKNVLSX!$X$1,1),0)&gt;=1,$P1451=$V$7),$P1451, IF(OR($R1451&lt;&gt;IF(IFERROR(SEARCH($R1451,XKNVLSX!$X$1,1),0)&gt;=1,$R1451,XKNVLSX!$X$1),COUNTIFS($C$2:$C1450,$C1451,$E$2:$E1450,$E1451,$Q$2:$Q1450,$P1451)&gt;=1),"",$P1451))))</f>
        <v/>
      </c>
      <c r="R1451" s="1017" t="str">
        <f ca="1">IF($A1451="","",IFERROR(INDEX(TinhGia!$BF$10:$BF$81,MATCH($A1451,TinhGia!$B$10:$B$81,0)),""))</f>
        <v/>
      </c>
      <c r="S1451" s="1012" t="str">
        <f ca="1">IF($A1451="","",IF(OR(IFERROR(SEARCH($R1451,XKNVLSX!$X$1,1),0)&gt;=1,XKNVLSX!$X$1=""),$S$2,""))</f>
        <v/>
      </c>
      <c r="T1451" s="1018" t="str">
        <f ca="1">IF($C1451="","", IF(OR($P1451=$V$1,$P1451=$V$7,COUNTIFS($C$3:$C1451,$C1451,$E$3:$E1451,$E1451)&lt;=1),$P1451,""    ))</f>
        <v/>
      </c>
      <c r="U1451" s="1019" t="str">
        <f ca="1">IF(AND($P1451=$V$2,COUNTIFS($C$3:$C1451,$C1451,$E$3:$E1451,$E1451,$G$3:$G1451,$G1451)&lt;=1),$P1451,"")</f>
        <v/>
      </c>
    </row>
    <row r="1452" spans="1:21">
      <c r="A1452" s="991" t="str">
        <f ca="1">IFERROR(IF(COUNTIF($A$3:A1451,A1451)&lt; INDEX(TinhGia!$BH$10:$BH$81,MATCH($A1451,TinhGia!$B$10:$B$81,0)),$A1451,INDEX(TinhGia!$B$10:$B$81,MATCH($A1451,TinhGia!$B$10:$B$81,0)+1)),"")</f>
        <v/>
      </c>
      <c r="B1452" s="525" t="str">
        <f ca="1">IF(OR(A1452="",A1452=0),"",IF(COUNTIF($A$2:A1452,$A1452)=1,ROW(MauKoXoa!$C$108),$B1451+1))</f>
        <v/>
      </c>
      <c r="C1452" s="992" t="str">
        <f t="shared" ca="1" si="226"/>
        <v/>
      </c>
      <c r="D1452" s="993" t="str">
        <f t="shared" ca="1" si="227"/>
        <v/>
      </c>
      <c r="E1452" s="993" t="str">
        <f t="shared" ca="1" si="228"/>
        <v/>
      </c>
      <c r="F1452" s="992" t="str">
        <f t="shared" ca="1" si="236"/>
        <v/>
      </c>
      <c r="G1452" s="994">
        <f t="shared" ca="1" si="229"/>
        <v>0</v>
      </c>
      <c r="H1452" s="913">
        <f t="shared" ca="1" si="230"/>
        <v>0</v>
      </c>
      <c r="I1452" s="913">
        <f t="shared" ca="1" si="231"/>
        <v>0</v>
      </c>
      <c r="J1452" s="995">
        <f t="shared" ca="1" si="237"/>
        <v>0</v>
      </c>
      <c r="K1452" s="913">
        <f t="shared" ca="1" si="232"/>
        <v>0</v>
      </c>
      <c r="L1452" s="995">
        <f t="shared" ca="1" si="238"/>
        <v>0</v>
      </c>
      <c r="M1452" s="913">
        <f t="shared" ca="1" si="233"/>
        <v>0</v>
      </c>
      <c r="N1452" s="996">
        <f t="shared" ca="1" si="234"/>
        <v>0</v>
      </c>
      <c r="O1452" s="997">
        <f t="shared" ca="1" si="235"/>
        <v>0</v>
      </c>
      <c r="P1452" s="1015" t="str">
        <f ca="1">IF($C1452="","",INDEX(NVLSX!$N$2:$N$6941,MATCH($C1452,NVLSX!$E$2:$E$6941,0)))</f>
        <v/>
      </c>
      <c r="Q1452" s="1016" t="str">
        <f ca="1">IF($R1452="","",IF(XKNVLSX!$X$1="",IF($P1452=$V$7,$P1452, IF(COUNTIFS($C$2:$C1451,$C1452,$E$2:$E1451,$E1452)&gt;=1,"",$P1452)),     IF(AND(IFERROR(SEARCH($R1452,XKNVLSX!$X$1,1),0)&gt;=1,$P1452=$V$7),$P1452, IF(OR($R1452&lt;&gt;IF(IFERROR(SEARCH($R1452,XKNVLSX!$X$1,1),0)&gt;=1,$R1452,XKNVLSX!$X$1),COUNTIFS($C$2:$C1451,$C1452,$E$2:$E1451,$E1452,$Q$2:$Q1451,$P1452)&gt;=1),"",$P1452))))</f>
        <v/>
      </c>
      <c r="R1452" s="1017" t="str">
        <f ca="1">IF($A1452="","",IFERROR(INDEX(TinhGia!$BF$10:$BF$81,MATCH($A1452,TinhGia!$B$10:$B$81,0)),""))</f>
        <v/>
      </c>
      <c r="S1452" s="1012" t="str">
        <f ca="1">IF($A1452="","",IF(OR(IFERROR(SEARCH($R1452,XKNVLSX!$X$1,1),0)&gt;=1,XKNVLSX!$X$1=""),$S$2,""))</f>
        <v/>
      </c>
      <c r="T1452" s="1018" t="str">
        <f ca="1">IF($C1452="","", IF(OR($P1452=$V$1,$P1452=$V$7,COUNTIFS($C$3:$C1452,$C1452,$E$3:$E1452,$E1452)&lt;=1),$P1452,""    ))</f>
        <v/>
      </c>
      <c r="U1452" s="1019" t="str">
        <f ca="1">IF(AND($P1452=$V$2,COUNTIFS($C$3:$C1452,$C1452,$E$3:$E1452,$E1452,$G$3:$G1452,$G1452)&lt;=1),$P1452,"")</f>
        <v/>
      </c>
    </row>
    <row r="1453" spans="1:21">
      <c r="A1453" s="991" t="str">
        <f ca="1">IFERROR(IF(COUNTIF($A$3:A1452,A1452)&lt; INDEX(TinhGia!$BH$10:$BH$81,MATCH($A1452,TinhGia!$B$10:$B$81,0)),$A1452,INDEX(TinhGia!$B$10:$B$81,MATCH($A1452,TinhGia!$B$10:$B$81,0)+1)),"")</f>
        <v/>
      </c>
      <c r="B1453" s="525" t="str">
        <f ca="1">IF(OR(A1453="",A1453=0),"",IF(COUNTIF($A$2:A1453,$A1453)=1,ROW(MauKoXoa!$C$108),$B1452+1))</f>
        <v/>
      </c>
      <c r="C1453" s="992" t="str">
        <f t="shared" ca="1" si="226"/>
        <v/>
      </c>
      <c r="D1453" s="993" t="str">
        <f t="shared" ca="1" si="227"/>
        <v/>
      </c>
      <c r="E1453" s="993" t="str">
        <f t="shared" ca="1" si="228"/>
        <v/>
      </c>
      <c r="F1453" s="992" t="str">
        <f t="shared" ca="1" si="236"/>
        <v/>
      </c>
      <c r="G1453" s="994">
        <f t="shared" ca="1" si="229"/>
        <v>0</v>
      </c>
      <c r="H1453" s="913">
        <f t="shared" ca="1" si="230"/>
        <v>0</v>
      </c>
      <c r="I1453" s="913">
        <f t="shared" ca="1" si="231"/>
        <v>0</v>
      </c>
      <c r="J1453" s="995">
        <f t="shared" ca="1" si="237"/>
        <v>0</v>
      </c>
      <c r="K1453" s="913">
        <f t="shared" ca="1" si="232"/>
        <v>0</v>
      </c>
      <c r="L1453" s="995">
        <f t="shared" ca="1" si="238"/>
        <v>0</v>
      </c>
      <c r="M1453" s="913">
        <f t="shared" ca="1" si="233"/>
        <v>0</v>
      </c>
      <c r="N1453" s="996">
        <f t="shared" ca="1" si="234"/>
        <v>0</v>
      </c>
      <c r="O1453" s="997">
        <f t="shared" ca="1" si="235"/>
        <v>0</v>
      </c>
      <c r="P1453" s="1015" t="str">
        <f ca="1">IF($C1453="","",INDEX(NVLSX!$N$2:$N$6941,MATCH($C1453,NVLSX!$E$2:$E$6941,0)))</f>
        <v/>
      </c>
      <c r="Q1453" s="1016" t="str">
        <f ca="1">IF($R1453="","",IF(XKNVLSX!$X$1="",IF($P1453=$V$7,$P1453, IF(COUNTIFS($C$2:$C1452,$C1453,$E$2:$E1452,$E1453)&gt;=1,"",$P1453)),     IF(AND(IFERROR(SEARCH($R1453,XKNVLSX!$X$1,1),0)&gt;=1,$P1453=$V$7),$P1453, IF(OR($R1453&lt;&gt;IF(IFERROR(SEARCH($R1453,XKNVLSX!$X$1,1),0)&gt;=1,$R1453,XKNVLSX!$X$1),COUNTIFS($C$2:$C1452,$C1453,$E$2:$E1452,$E1453,$Q$2:$Q1452,$P1453)&gt;=1),"",$P1453))))</f>
        <v/>
      </c>
      <c r="R1453" s="1017" t="str">
        <f ca="1">IF($A1453="","",IFERROR(INDEX(TinhGia!$BF$10:$BF$81,MATCH($A1453,TinhGia!$B$10:$B$81,0)),""))</f>
        <v/>
      </c>
      <c r="S1453" s="1012" t="str">
        <f ca="1">IF($A1453="","",IF(OR(IFERROR(SEARCH($R1453,XKNVLSX!$X$1,1),0)&gt;=1,XKNVLSX!$X$1=""),$S$2,""))</f>
        <v/>
      </c>
      <c r="T1453" s="1018" t="str">
        <f ca="1">IF($C1453="","", IF(OR($P1453=$V$1,$P1453=$V$7,COUNTIFS($C$3:$C1453,$C1453,$E$3:$E1453,$E1453)&lt;=1),$P1453,""    ))</f>
        <v/>
      </c>
      <c r="U1453" s="1019" t="str">
        <f ca="1">IF(AND($P1453=$V$2,COUNTIFS($C$3:$C1453,$C1453,$E$3:$E1453,$E1453,$G$3:$G1453,$G1453)&lt;=1),$P1453,"")</f>
        <v/>
      </c>
    </row>
    <row r="1454" spans="1:21">
      <c r="A1454" s="991" t="str">
        <f ca="1">IFERROR(IF(COUNTIF($A$3:A1453,A1453)&lt; INDEX(TinhGia!$BH$10:$BH$81,MATCH($A1453,TinhGia!$B$10:$B$81,0)),$A1453,INDEX(TinhGia!$B$10:$B$81,MATCH($A1453,TinhGia!$B$10:$B$81,0)+1)),"")</f>
        <v/>
      </c>
      <c r="B1454" s="525" t="str">
        <f ca="1">IF(OR(A1454="",A1454=0),"",IF(COUNTIF($A$2:A1454,$A1454)=1,ROW(MauKoXoa!$C$108),$B1453+1))</f>
        <v/>
      </c>
      <c r="C1454" s="992" t="str">
        <f t="shared" ca="1" si="226"/>
        <v/>
      </c>
      <c r="D1454" s="993" t="str">
        <f t="shared" ca="1" si="227"/>
        <v/>
      </c>
      <c r="E1454" s="993" t="str">
        <f t="shared" ca="1" si="228"/>
        <v/>
      </c>
      <c r="F1454" s="992" t="str">
        <f t="shared" ca="1" si="236"/>
        <v/>
      </c>
      <c r="G1454" s="994">
        <f t="shared" ca="1" si="229"/>
        <v>0</v>
      </c>
      <c r="H1454" s="913">
        <f t="shared" ca="1" si="230"/>
        <v>0</v>
      </c>
      <c r="I1454" s="913">
        <f t="shared" ca="1" si="231"/>
        <v>0</v>
      </c>
      <c r="J1454" s="995">
        <f t="shared" ca="1" si="237"/>
        <v>0</v>
      </c>
      <c r="K1454" s="913">
        <f t="shared" ca="1" si="232"/>
        <v>0</v>
      </c>
      <c r="L1454" s="995">
        <f t="shared" ca="1" si="238"/>
        <v>0</v>
      </c>
      <c r="M1454" s="913">
        <f t="shared" ca="1" si="233"/>
        <v>0</v>
      </c>
      <c r="N1454" s="996">
        <f t="shared" ca="1" si="234"/>
        <v>0</v>
      </c>
      <c r="O1454" s="997">
        <f t="shared" ca="1" si="235"/>
        <v>0</v>
      </c>
      <c r="P1454" s="1015" t="str">
        <f ca="1">IF($C1454="","",INDEX(NVLSX!$N$2:$N$6941,MATCH($C1454,NVLSX!$E$2:$E$6941,0)))</f>
        <v/>
      </c>
      <c r="Q1454" s="1016" t="str">
        <f ca="1">IF($R1454="","",IF(XKNVLSX!$X$1="",IF($P1454=$V$7,$P1454, IF(COUNTIFS($C$2:$C1453,$C1454,$E$2:$E1453,$E1454)&gt;=1,"",$P1454)),     IF(AND(IFERROR(SEARCH($R1454,XKNVLSX!$X$1,1),0)&gt;=1,$P1454=$V$7),$P1454, IF(OR($R1454&lt;&gt;IF(IFERROR(SEARCH($R1454,XKNVLSX!$X$1,1),0)&gt;=1,$R1454,XKNVLSX!$X$1),COUNTIFS($C$2:$C1453,$C1454,$E$2:$E1453,$E1454,$Q$2:$Q1453,$P1454)&gt;=1),"",$P1454))))</f>
        <v/>
      </c>
      <c r="R1454" s="1017" t="str">
        <f ca="1">IF($A1454="","",IFERROR(INDEX(TinhGia!$BF$10:$BF$81,MATCH($A1454,TinhGia!$B$10:$B$81,0)),""))</f>
        <v/>
      </c>
      <c r="S1454" s="1012" t="str">
        <f ca="1">IF($A1454="","",IF(OR(IFERROR(SEARCH($R1454,XKNVLSX!$X$1,1),0)&gt;=1,XKNVLSX!$X$1=""),$S$2,""))</f>
        <v/>
      </c>
      <c r="T1454" s="1018" t="str">
        <f ca="1">IF($C1454="","", IF(OR($P1454=$V$1,$P1454=$V$7,COUNTIFS($C$3:$C1454,$C1454,$E$3:$E1454,$E1454)&lt;=1),$P1454,""    ))</f>
        <v/>
      </c>
      <c r="U1454" s="1019" t="str">
        <f ca="1">IF(AND($P1454=$V$2,COUNTIFS($C$3:$C1454,$C1454,$E$3:$E1454,$E1454,$G$3:$G1454,$G1454)&lt;=1),$P1454,"")</f>
        <v/>
      </c>
    </row>
    <row r="1455" spans="1:21">
      <c r="A1455" s="991" t="str">
        <f ca="1">IFERROR(IF(COUNTIF($A$3:A1454,A1454)&lt; INDEX(TinhGia!$BH$10:$BH$81,MATCH($A1454,TinhGia!$B$10:$B$81,0)),$A1454,INDEX(TinhGia!$B$10:$B$81,MATCH($A1454,TinhGia!$B$10:$B$81,0)+1)),"")</f>
        <v/>
      </c>
      <c r="B1455" s="525" t="str">
        <f ca="1">IF(OR(A1455="",A1455=0),"",IF(COUNTIF($A$2:A1455,$A1455)=1,ROW(MauKoXoa!$C$108),$B1454+1))</f>
        <v/>
      </c>
      <c r="C1455" s="992" t="str">
        <f t="shared" ca="1" si="226"/>
        <v/>
      </c>
      <c r="D1455" s="993" t="str">
        <f t="shared" ca="1" si="227"/>
        <v/>
      </c>
      <c r="E1455" s="993" t="str">
        <f t="shared" ca="1" si="228"/>
        <v/>
      </c>
      <c r="F1455" s="992" t="str">
        <f t="shared" ca="1" si="236"/>
        <v/>
      </c>
      <c r="G1455" s="994">
        <f t="shared" ca="1" si="229"/>
        <v>0</v>
      </c>
      <c r="H1455" s="913">
        <f t="shared" ca="1" si="230"/>
        <v>0</v>
      </c>
      <c r="I1455" s="913">
        <f t="shared" ca="1" si="231"/>
        <v>0</v>
      </c>
      <c r="J1455" s="995">
        <f t="shared" ca="1" si="237"/>
        <v>0</v>
      </c>
      <c r="K1455" s="913">
        <f t="shared" ca="1" si="232"/>
        <v>0</v>
      </c>
      <c r="L1455" s="995">
        <f t="shared" ca="1" si="238"/>
        <v>0</v>
      </c>
      <c r="M1455" s="913">
        <f t="shared" ca="1" si="233"/>
        <v>0</v>
      </c>
      <c r="N1455" s="996">
        <f t="shared" ca="1" si="234"/>
        <v>0</v>
      </c>
      <c r="O1455" s="997">
        <f t="shared" ca="1" si="235"/>
        <v>0</v>
      </c>
      <c r="P1455" s="1015" t="str">
        <f ca="1">IF($C1455="","",INDEX(NVLSX!$N$2:$N$6941,MATCH($C1455,NVLSX!$E$2:$E$6941,0)))</f>
        <v/>
      </c>
      <c r="Q1455" s="1016" t="str">
        <f ca="1">IF($R1455="","",IF(XKNVLSX!$X$1="",IF($P1455=$V$7,$P1455, IF(COUNTIFS($C$2:$C1454,$C1455,$E$2:$E1454,$E1455)&gt;=1,"",$P1455)),     IF(AND(IFERROR(SEARCH($R1455,XKNVLSX!$X$1,1),0)&gt;=1,$P1455=$V$7),$P1455, IF(OR($R1455&lt;&gt;IF(IFERROR(SEARCH($R1455,XKNVLSX!$X$1,1),0)&gt;=1,$R1455,XKNVLSX!$X$1),COUNTIFS($C$2:$C1454,$C1455,$E$2:$E1454,$E1455,$Q$2:$Q1454,$P1455)&gt;=1),"",$P1455))))</f>
        <v/>
      </c>
      <c r="R1455" s="1017" t="str">
        <f ca="1">IF($A1455="","",IFERROR(INDEX(TinhGia!$BF$10:$BF$81,MATCH($A1455,TinhGia!$B$10:$B$81,0)),""))</f>
        <v/>
      </c>
      <c r="S1455" s="1012" t="str">
        <f ca="1">IF($A1455="","",IF(OR(IFERROR(SEARCH($R1455,XKNVLSX!$X$1,1),0)&gt;=1,XKNVLSX!$X$1=""),$S$2,""))</f>
        <v/>
      </c>
      <c r="T1455" s="1018" t="str">
        <f ca="1">IF($C1455="","", IF(OR($P1455=$V$1,$P1455=$V$7,COUNTIFS($C$3:$C1455,$C1455,$E$3:$E1455,$E1455)&lt;=1),$P1455,""    ))</f>
        <v/>
      </c>
      <c r="U1455" s="1019" t="str">
        <f ca="1">IF(AND($P1455=$V$2,COUNTIFS($C$3:$C1455,$C1455,$E$3:$E1455,$E1455,$G$3:$G1455,$G1455)&lt;=1),$P1455,"")</f>
        <v/>
      </c>
    </row>
    <row r="1456" spans="1:21">
      <c r="A1456" s="991" t="str">
        <f ca="1">IFERROR(IF(COUNTIF($A$3:A1455,A1455)&lt; INDEX(TinhGia!$BH$10:$BH$81,MATCH($A1455,TinhGia!$B$10:$B$81,0)),$A1455,INDEX(TinhGia!$B$10:$B$81,MATCH($A1455,TinhGia!$B$10:$B$81,0)+1)),"")</f>
        <v/>
      </c>
      <c r="B1456" s="525" t="str">
        <f ca="1">IF(OR(A1456="",A1456=0),"",IF(COUNTIF($A$2:A1456,$A1456)=1,ROW(MauKoXoa!$C$108),$B1455+1))</f>
        <v/>
      </c>
      <c r="C1456" s="992" t="str">
        <f t="shared" ca="1" si="226"/>
        <v/>
      </c>
      <c r="D1456" s="993" t="str">
        <f t="shared" ca="1" si="227"/>
        <v/>
      </c>
      <c r="E1456" s="993" t="str">
        <f t="shared" ca="1" si="228"/>
        <v/>
      </c>
      <c r="F1456" s="992" t="str">
        <f t="shared" ca="1" si="236"/>
        <v/>
      </c>
      <c r="G1456" s="994">
        <f t="shared" ca="1" si="229"/>
        <v>0</v>
      </c>
      <c r="H1456" s="913">
        <f t="shared" ca="1" si="230"/>
        <v>0</v>
      </c>
      <c r="I1456" s="913">
        <f t="shared" ca="1" si="231"/>
        <v>0</v>
      </c>
      <c r="J1456" s="995">
        <f t="shared" ca="1" si="237"/>
        <v>0</v>
      </c>
      <c r="K1456" s="913">
        <f t="shared" ca="1" si="232"/>
        <v>0</v>
      </c>
      <c r="L1456" s="995">
        <f t="shared" ca="1" si="238"/>
        <v>0</v>
      </c>
      <c r="M1456" s="913">
        <f t="shared" ca="1" si="233"/>
        <v>0</v>
      </c>
      <c r="N1456" s="996">
        <f t="shared" ca="1" si="234"/>
        <v>0</v>
      </c>
      <c r="O1456" s="997">
        <f t="shared" ca="1" si="235"/>
        <v>0</v>
      </c>
      <c r="P1456" s="1015" t="str">
        <f ca="1">IF($C1456="","",INDEX(NVLSX!$N$2:$N$6941,MATCH($C1456,NVLSX!$E$2:$E$6941,0)))</f>
        <v/>
      </c>
      <c r="Q1456" s="1016" t="str">
        <f ca="1">IF($R1456="","",IF(XKNVLSX!$X$1="",IF($P1456=$V$7,$P1456, IF(COUNTIFS($C$2:$C1455,$C1456,$E$2:$E1455,$E1456)&gt;=1,"",$P1456)),     IF(AND(IFERROR(SEARCH($R1456,XKNVLSX!$X$1,1),0)&gt;=1,$P1456=$V$7),$P1456, IF(OR($R1456&lt;&gt;IF(IFERROR(SEARCH($R1456,XKNVLSX!$X$1,1),0)&gt;=1,$R1456,XKNVLSX!$X$1),COUNTIFS($C$2:$C1455,$C1456,$E$2:$E1455,$E1456,$Q$2:$Q1455,$P1456)&gt;=1),"",$P1456))))</f>
        <v/>
      </c>
      <c r="R1456" s="1017" t="str">
        <f ca="1">IF($A1456="","",IFERROR(INDEX(TinhGia!$BF$10:$BF$81,MATCH($A1456,TinhGia!$B$10:$B$81,0)),""))</f>
        <v/>
      </c>
      <c r="S1456" s="1012" t="str">
        <f ca="1">IF($A1456="","",IF(OR(IFERROR(SEARCH($R1456,XKNVLSX!$X$1,1),0)&gt;=1,XKNVLSX!$X$1=""),$S$2,""))</f>
        <v/>
      </c>
      <c r="T1456" s="1018" t="str">
        <f ca="1">IF($C1456="","", IF(OR($P1456=$V$1,$P1456=$V$7,COUNTIFS($C$3:$C1456,$C1456,$E$3:$E1456,$E1456)&lt;=1),$P1456,""    ))</f>
        <v/>
      </c>
      <c r="U1456" s="1019" t="str">
        <f ca="1">IF(AND($P1456=$V$2,COUNTIFS($C$3:$C1456,$C1456,$E$3:$E1456,$E1456,$G$3:$G1456,$G1456)&lt;=1),$P1456,"")</f>
        <v/>
      </c>
    </row>
    <row r="1457" spans="1:21">
      <c r="A1457" s="991" t="str">
        <f ca="1">IFERROR(IF(COUNTIF($A$3:A1456,A1456)&lt; INDEX(TinhGia!$BH$10:$BH$81,MATCH($A1456,TinhGia!$B$10:$B$81,0)),$A1456,INDEX(TinhGia!$B$10:$B$81,MATCH($A1456,TinhGia!$B$10:$B$81,0)+1)),"")</f>
        <v/>
      </c>
      <c r="B1457" s="525" t="str">
        <f ca="1">IF(OR(A1457="",A1457=0),"",IF(COUNTIF($A$2:A1457,$A1457)=1,ROW(MauKoXoa!$C$108),$B1456+1))</f>
        <v/>
      </c>
      <c r="C1457" s="992" t="str">
        <f t="shared" ca="1" si="226"/>
        <v/>
      </c>
      <c r="D1457" s="993" t="str">
        <f t="shared" ca="1" si="227"/>
        <v/>
      </c>
      <c r="E1457" s="993" t="str">
        <f t="shared" ca="1" si="228"/>
        <v/>
      </c>
      <c r="F1457" s="992" t="str">
        <f t="shared" ca="1" si="236"/>
        <v/>
      </c>
      <c r="G1457" s="994">
        <f t="shared" ca="1" si="229"/>
        <v>0</v>
      </c>
      <c r="H1457" s="913">
        <f t="shared" ca="1" si="230"/>
        <v>0</v>
      </c>
      <c r="I1457" s="913">
        <f t="shared" ca="1" si="231"/>
        <v>0</v>
      </c>
      <c r="J1457" s="995">
        <f t="shared" ca="1" si="237"/>
        <v>0</v>
      </c>
      <c r="K1457" s="913">
        <f t="shared" ca="1" si="232"/>
        <v>0</v>
      </c>
      <c r="L1457" s="995">
        <f t="shared" ca="1" si="238"/>
        <v>0</v>
      </c>
      <c r="M1457" s="913">
        <f t="shared" ca="1" si="233"/>
        <v>0</v>
      </c>
      <c r="N1457" s="996">
        <f t="shared" ca="1" si="234"/>
        <v>0</v>
      </c>
      <c r="O1457" s="997">
        <f t="shared" ca="1" si="235"/>
        <v>0</v>
      </c>
      <c r="P1457" s="1015" t="str">
        <f ca="1">IF($C1457="","",INDEX(NVLSX!$N$2:$N$6941,MATCH($C1457,NVLSX!$E$2:$E$6941,0)))</f>
        <v/>
      </c>
      <c r="Q1457" s="1016" t="str">
        <f ca="1">IF($R1457="","",IF(XKNVLSX!$X$1="",IF($P1457=$V$7,$P1457, IF(COUNTIFS($C$2:$C1456,$C1457,$E$2:$E1456,$E1457)&gt;=1,"",$P1457)),     IF(AND(IFERROR(SEARCH($R1457,XKNVLSX!$X$1,1),0)&gt;=1,$P1457=$V$7),$P1457, IF(OR($R1457&lt;&gt;IF(IFERROR(SEARCH($R1457,XKNVLSX!$X$1,1),0)&gt;=1,$R1457,XKNVLSX!$X$1),COUNTIFS($C$2:$C1456,$C1457,$E$2:$E1456,$E1457,$Q$2:$Q1456,$P1457)&gt;=1),"",$P1457))))</f>
        <v/>
      </c>
      <c r="R1457" s="1017" t="str">
        <f ca="1">IF($A1457="","",IFERROR(INDEX(TinhGia!$BF$10:$BF$81,MATCH($A1457,TinhGia!$B$10:$B$81,0)),""))</f>
        <v/>
      </c>
      <c r="S1457" s="1012" t="str">
        <f ca="1">IF($A1457="","",IF(OR(IFERROR(SEARCH($R1457,XKNVLSX!$X$1,1),0)&gt;=1,XKNVLSX!$X$1=""),$S$2,""))</f>
        <v/>
      </c>
      <c r="T1457" s="1018" t="str">
        <f ca="1">IF($C1457="","", IF(OR($P1457=$V$1,$P1457=$V$7,COUNTIFS($C$3:$C1457,$C1457,$E$3:$E1457,$E1457)&lt;=1),$P1457,""    ))</f>
        <v/>
      </c>
      <c r="U1457" s="1019" t="str">
        <f ca="1">IF(AND($P1457=$V$2,COUNTIFS($C$3:$C1457,$C1457,$E$3:$E1457,$E1457,$G$3:$G1457,$G1457)&lt;=1),$P1457,"")</f>
        <v/>
      </c>
    </row>
    <row r="1458" spans="1:21">
      <c r="A1458" s="991" t="str">
        <f ca="1">IFERROR(IF(COUNTIF($A$3:A1457,A1457)&lt; INDEX(TinhGia!$BH$10:$BH$81,MATCH($A1457,TinhGia!$B$10:$B$81,0)),$A1457,INDEX(TinhGia!$B$10:$B$81,MATCH($A1457,TinhGia!$B$10:$B$81,0)+1)),"")</f>
        <v/>
      </c>
      <c r="B1458" s="525" t="str">
        <f ca="1">IF(OR(A1458="",A1458=0),"",IF(COUNTIF($A$2:A1458,$A1458)=1,ROW(MauKoXoa!$C$108),$B1457+1))</f>
        <v/>
      </c>
      <c r="C1458" s="992" t="str">
        <f t="shared" ca="1" si="226"/>
        <v/>
      </c>
      <c r="D1458" s="993" t="str">
        <f t="shared" ca="1" si="227"/>
        <v/>
      </c>
      <c r="E1458" s="993" t="str">
        <f t="shared" ca="1" si="228"/>
        <v/>
      </c>
      <c r="F1458" s="992" t="str">
        <f t="shared" ca="1" si="236"/>
        <v/>
      </c>
      <c r="G1458" s="994">
        <f t="shared" ca="1" si="229"/>
        <v>0</v>
      </c>
      <c r="H1458" s="913">
        <f t="shared" ca="1" si="230"/>
        <v>0</v>
      </c>
      <c r="I1458" s="913">
        <f t="shared" ca="1" si="231"/>
        <v>0</v>
      </c>
      <c r="J1458" s="995">
        <f t="shared" ca="1" si="237"/>
        <v>0</v>
      </c>
      <c r="K1458" s="913">
        <f t="shared" ca="1" si="232"/>
        <v>0</v>
      </c>
      <c r="L1458" s="995">
        <f t="shared" ca="1" si="238"/>
        <v>0</v>
      </c>
      <c r="M1458" s="913">
        <f t="shared" ca="1" si="233"/>
        <v>0</v>
      </c>
      <c r="N1458" s="996">
        <f t="shared" ca="1" si="234"/>
        <v>0</v>
      </c>
      <c r="O1458" s="997">
        <f t="shared" ca="1" si="235"/>
        <v>0</v>
      </c>
      <c r="P1458" s="1015" t="str">
        <f ca="1">IF($C1458="","",INDEX(NVLSX!$N$2:$N$6941,MATCH($C1458,NVLSX!$E$2:$E$6941,0)))</f>
        <v/>
      </c>
      <c r="Q1458" s="1016" t="str">
        <f ca="1">IF($R1458="","",IF(XKNVLSX!$X$1="",IF($P1458=$V$7,$P1458, IF(COUNTIFS($C$2:$C1457,$C1458,$E$2:$E1457,$E1458)&gt;=1,"",$P1458)),     IF(AND(IFERROR(SEARCH($R1458,XKNVLSX!$X$1,1),0)&gt;=1,$P1458=$V$7),$P1458, IF(OR($R1458&lt;&gt;IF(IFERROR(SEARCH($R1458,XKNVLSX!$X$1,1),0)&gt;=1,$R1458,XKNVLSX!$X$1),COUNTIFS($C$2:$C1457,$C1458,$E$2:$E1457,$E1458,$Q$2:$Q1457,$P1458)&gt;=1),"",$P1458))))</f>
        <v/>
      </c>
      <c r="R1458" s="1017" t="str">
        <f ca="1">IF($A1458="","",IFERROR(INDEX(TinhGia!$BF$10:$BF$81,MATCH($A1458,TinhGia!$B$10:$B$81,0)),""))</f>
        <v/>
      </c>
      <c r="S1458" s="1012" t="str">
        <f ca="1">IF($A1458="","",IF(OR(IFERROR(SEARCH($R1458,XKNVLSX!$X$1,1),0)&gt;=1,XKNVLSX!$X$1=""),$S$2,""))</f>
        <v/>
      </c>
      <c r="T1458" s="1018" t="str">
        <f ca="1">IF($C1458="","", IF(OR($P1458=$V$1,$P1458=$V$7,COUNTIFS($C$3:$C1458,$C1458,$E$3:$E1458,$E1458)&lt;=1),$P1458,""    ))</f>
        <v/>
      </c>
      <c r="U1458" s="1019" t="str">
        <f ca="1">IF(AND($P1458=$V$2,COUNTIFS($C$3:$C1458,$C1458,$E$3:$E1458,$E1458,$G$3:$G1458,$G1458)&lt;=1),$P1458,"")</f>
        <v/>
      </c>
    </row>
    <row r="1459" spans="1:21">
      <c r="A1459" s="991" t="str">
        <f ca="1">IFERROR(IF(COUNTIF($A$3:A1458,A1458)&lt; INDEX(TinhGia!$BH$10:$BH$81,MATCH($A1458,TinhGia!$B$10:$B$81,0)),$A1458,INDEX(TinhGia!$B$10:$B$81,MATCH($A1458,TinhGia!$B$10:$B$81,0)+1)),"")</f>
        <v/>
      </c>
      <c r="B1459" s="525" t="str">
        <f ca="1">IF(OR(A1459="",A1459=0),"",IF(COUNTIF($A$2:A1459,$A1459)=1,ROW(MauKoXoa!$C$108),$B1458+1))</f>
        <v/>
      </c>
      <c r="C1459" s="992" t="str">
        <f t="shared" ca="1" si="226"/>
        <v/>
      </c>
      <c r="D1459" s="993" t="str">
        <f t="shared" ca="1" si="227"/>
        <v/>
      </c>
      <c r="E1459" s="993" t="str">
        <f t="shared" ca="1" si="228"/>
        <v/>
      </c>
      <c r="F1459" s="992" t="str">
        <f t="shared" ca="1" si="236"/>
        <v/>
      </c>
      <c r="G1459" s="994">
        <f t="shared" ca="1" si="229"/>
        <v>0</v>
      </c>
      <c r="H1459" s="913">
        <f t="shared" ca="1" si="230"/>
        <v>0</v>
      </c>
      <c r="I1459" s="913">
        <f t="shared" ca="1" si="231"/>
        <v>0</v>
      </c>
      <c r="J1459" s="995">
        <f t="shared" ca="1" si="237"/>
        <v>0</v>
      </c>
      <c r="K1459" s="913">
        <f t="shared" ca="1" si="232"/>
        <v>0</v>
      </c>
      <c r="L1459" s="995">
        <f t="shared" ca="1" si="238"/>
        <v>0</v>
      </c>
      <c r="M1459" s="913">
        <f t="shared" ca="1" si="233"/>
        <v>0</v>
      </c>
      <c r="N1459" s="996">
        <f t="shared" ca="1" si="234"/>
        <v>0</v>
      </c>
      <c r="O1459" s="997">
        <f t="shared" ca="1" si="235"/>
        <v>0</v>
      </c>
      <c r="P1459" s="1015" t="str">
        <f ca="1">IF($C1459="","",INDEX(NVLSX!$N$2:$N$6941,MATCH($C1459,NVLSX!$E$2:$E$6941,0)))</f>
        <v/>
      </c>
      <c r="Q1459" s="1016" t="str">
        <f ca="1">IF($R1459="","",IF(XKNVLSX!$X$1="",IF($P1459=$V$7,$P1459, IF(COUNTIFS($C$2:$C1458,$C1459,$E$2:$E1458,$E1459)&gt;=1,"",$P1459)),     IF(AND(IFERROR(SEARCH($R1459,XKNVLSX!$X$1,1),0)&gt;=1,$P1459=$V$7),$P1459, IF(OR($R1459&lt;&gt;IF(IFERROR(SEARCH($R1459,XKNVLSX!$X$1,1),0)&gt;=1,$R1459,XKNVLSX!$X$1),COUNTIFS($C$2:$C1458,$C1459,$E$2:$E1458,$E1459,$Q$2:$Q1458,$P1459)&gt;=1),"",$P1459))))</f>
        <v/>
      </c>
      <c r="R1459" s="1017" t="str">
        <f ca="1">IF($A1459="","",IFERROR(INDEX(TinhGia!$BF$10:$BF$81,MATCH($A1459,TinhGia!$B$10:$B$81,0)),""))</f>
        <v/>
      </c>
      <c r="S1459" s="1012" t="str">
        <f ca="1">IF($A1459="","",IF(OR(IFERROR(SEARCH($R1459,XKNVLSX!$X$1,1),0)&gt;=1,XKNVLSX!$X$1=""),$S$2,""))</f>
        <v/>
      </c>
      <c r="T1459" s="1018" t="str">
        <f ca="1">IF($C1459="","", IF(OR($P1459=$V$1,$P1459=$V$7,COUNTIFS($C$3:$C1459,$C1459,$E$3:$E1459,$E1459)&lt;=1),$P1459,""    ))</f>
        <v/>
      </c>
      <c r="U1459" s="1019" t="str">
        <f ca="1">IF(AND($P1459=$V$2,COUNTIFS($C$3:$C1459,$C1459,$E$3:$E1459,$E1459,$G$3:$G1459,$G1459)&lt;=1),$P1459,"")</f>
        <v/>
      </c>
    </row>
    <row r="1460" spans="1:21">
      <c r="A1460" s="991" t="str">
        <f ca="1">IFERROR(IF(COUNTIF($A$3:A1459,A1459)&lt; INDEX(TinhGia!$BH$10:$BH$81,MATCH($A1459,TinhGia!$B$10:$B$81,0)),$A1459,INDEX(TinhGia!$B$10:$B$81,MATCH($A1459,TinhGia!$B$10:$B$81,0)+1)),"")</f>
        <v/>
      </c>
      <c r="B1460" s="525" t="str">
        <f ca="1">IF(OR(A1460="",A1460=0),"",IF(COUNTIF($A$2:A1460,$A1460)=1,ROW(MauKoXoa!$C$108),$B1459+1))</f>
        <v/>
      </c>
      <c r="C1460" s="992" t="str">
        <f t="shared" ca="1" si="226"/>
        <v/>
      </c>
      <c r="D1460" s="993" t="str">
        <f t="shared" ca="1" si="227"/>
        <v/>
      </c>
      <c r="E1460" s="993" t="str">
        <f t="shared" ca="1" si="228"/>
        <v/>
      </c>
      <c r="F1460" s="992" t="str">
        <f t="shared" ca="1" si="236"/>
        <v/>
      </c>
      <c r="G1460" s="994">
        <f t="shared" ca="1" si="229"/>
        <v>0</v>
      </c>
      <c r="H1460" s="913">
        <f t="shared" ca="1" si="230"/>
        <v>0</v>
      </c>
      <c r="I1460" s="913">
        <f t="shared" ca="1" si="231"/>
        <v>0</v>
      </c>
      <c r="J1460" s="995">
        <f t="shared" ca="1" si="237"/>
        <v>0</v>
      </c>
      <c r="K1460" s="913">
        <f t="shared" ca="1" si="232"/>
        <v>0</v>
      </c>
      <c r="L1460" s="995">
        <f t="shared" ca="1" si="238"/>
        <v>0</v>
      </c>
      <c r="M1460" s="913">
        <f t="shared" ca="1" si="233"/>
        <v>0</v>
      </c>
      <c r="N1460" s="996">
        <f t="shared" ca="1" si="234"/>
        <v>0</v>
      </c>
      <c r="O1460" s="997">
        <f t="shared" ca="1" si="235"/>
        <v>0</v>
      </c>
      <c r="P1460" s="1015" t="str">
        <f ca="1">IF($C1460="","",INDEX(NVLSX!$N$2:$N$6941,MATCH($C1460,NVLSX!$E$2:$E$6941,0)))</f>
        <v/>
      </c>
      <c r="Q1460" s="1016" t="str">
        <f ca="1">IF($R1460="","",IF(XKNVLSX!$X$1="",IF($P1460=$V$7,$P1460, IF(COUNTIFS($C$2:$C1459,$C1460,$E$2:$E1459,$E1460)&gt;=1,"",$P1460)),     IF(AND(IFERROR(SEARCH($R1460,XKNVLSX!$X$1,1),0)&gt;=1,$P1460=$V$7),$P1460, IF(OR($R1460&lt;&gt;IF(IFERROR(SEARCH($R1460,XKNVLSX!$X$1,1),0)&gt;=1,$R1460,XKNVLSX!$X$1),COUNTIFS($C$2:$C1459,$C1460,$E$2:$E1459,$E1460,$Q$2:$Q1459,$P1460)&gt;=1),"",$P1460))))</f>
        <v/>
      </c>
      <c r="R1460" s="1017" t="str">
        <f ca="1">IF($A1460="","",IFERROR(INDEX(TinhGia!$BF$10:$BF$81,MATCH($A1460,TinhGia!$B$10:$B$81,0)),""))</f>
        <v/>
      </c>
      <c r="S1460" s="1012" t="str">
        <f ca="1">IF($A1460="","",IF(OR(IFERROR(SEARCH($R1460,XKNVLSX!$X$1,1),0)&gt;=1,XKNVLSX!$X$1=""),$S$2,""))</f>
        <v/>
      </c>
      <c r="T1460" s="1018" t="str">
        <f ca="1">IF($C1460="","", IF(OR($P1460=$V$1,$P1460=$V$7,COUNTIFS($C$3:$C1460,$C1460,$E$3:$E1460,$E1460)&lt;=1),$P1460,""    ))</f>
        <v/>
      </c>
      <c r="U1460" s="1019" t="str">
        <f ca="1">IF(AND($P1460=$V$2,COUNTIFS($C$3:$C1460,$C1460,$E$3:$E1460,$E1460,$G$3:$G1460,$G1460)&lt;=1),$P1460,"")</f>
        <v/>
      </c>
    </row>
    <row r="1461" spans="1:21">
      <c r="A1461" s="991" t="str">
        <f ca="1">IFERROR(IF(COUNTIF($A$3:A1460,A1460)&lt; INDEX(TinhGia!$BH$10:$BH$81,MATCH($A1460,TinhGia!$B$10:$B$81,0)),$A1460,INDEX(TinhGia!$B$10:$B$81,MATCH($A1460,TinhGia!$B$10:$B$81,0)+1)),"")</f>
        <v/>
      </c>
      <c r="B1461" s="525" t="str">
        <f ca="1">IF(OR(A1461="",A1461=0),"",IF(COUNTIF($A$2:A1461,$A1461)=1,ROW(MauKoXoa!$C$108),$B1460+1))</f>
        <v/>
      </c>
      <c r="C1461" s="992" t="str">
        <f t="shared" ca="1" si="226"/>
        <v/>
      </c>
      <c r="D1461" s="993" t="str">
        <f t="shared" ca="1" si="227"/>
        <v/>
      </c>
      <c r="E1461" s="993" t="str">
        <f t="shared" ca="1" si="228"/>
        <v/>
      </c>
      <c r="F1461" s="992" t="str">
        <f t="shared" ca="1" si="236"/>
        <v/>
      </c>
      <c r="G1461" s="994">
        <f t="shared" ca="1" si="229"/>
        <v>0</v>
      </c>
      <c r="H1461" s="913">
        <f t="shared" ca="1" si="230"/>
        <v>0</v>
      </c>
      <c r="I1461" s="913">
        <f t="shared" ca="1" si="231"/>
        <v>0</v>
      </c>
      <c r="J1461" s="995">
        <f t="shared" ca="1" si="237"/>
        <v>0</v>
      </c>
      <c r="K1461" s="913">
        <f t="shared" ca="1" si="232"/>
        <v>0</v>
      </c>
      <c r="L1461" s="995">
        <f t="shared" ca="1" si="238"/>
        <v>0</v>
      </c>
      <c r="M1461" s="913">
        <f t="shared" ca="1" si="233"/>
        <v>0</v>
      </c>
      <c r="N1461" s="996">
        <f t="shared" ca="1" si="234"/>
        <v>0</v>
      </c>
      <c r="O1461" s="997">
        <f t="shared" ca="1" si="235"/>
        <v>0</v>
      </c>
      <c r="P1461" s="1015" t="str">
        <f ca="1">IF($C1461="","",INDEX(NVLSX!$N$2:$N$6941,MATCH($C1461,NVLSX!$E$2:$E$6941,0)))</f>
        <v/>
      </c>
      <c r="Q1461" s="1016" t="str">
        <f ca="1">IF($R1461="","",IF(XKNVLSX!$X$1="",IF($P1461=$V$7,$P1461, IF(COUNTIFS($C$2:$C1460,$C1461,$E$2:$E1460,$E1461)&gt;=1,"",$P1461)),     IF(AND(IFERROR(SEARCH($R1461,XKNVLSX!$X$1,1),0)&gt;=1,$P1461=$V$7),$P1461, IF(OR($R1461&lt;&gt;IF(IFERROR(SEARCH($R1461,XKNVLSX!$X$1,1),0)&gt;=1,$R1461,XKNVLSX!$X$1),COUNTIFS($C$2:$C1460,$C1461,$E$2:$E1460,$E1461,$Q$2:$Q1460,$P1461)&gt;=1),"",$P1461))))</f>
        <v/>
      </c>
      <c r="R1461" s="1017" t="str">
        <f ca="1">IF($A1461="","",IFERROR(INDEX(TinhGia!$BF$10:$BF$81,MATCH($A1461,TinhGia!$B$10:$B$81,0)),""))</f>
        <v/>
      </c>
      <c r="S1461" s="1012" t="str">
        <f ca="1">IF($A1461="","",IF(OR(IFERROR(SEARCH($R1461,XKNVLSX!$X$1,1),0)&gt;=1,XKNVLSX!$X$1=""),$S$2,""))</f>
        <v/>
      </c>
      <c r="T1461" s="1018" t="str">
        <f ca="1">IF($C1461="","", IF(OR($P1461=$V$1,$P1461=$V$7,COUNTIFS($C$3:$C1461,$C1461,$E$3:$E1461,$E1461)&lt;=1),$P1461,""    ))</f>
        <v/>
      </c>
      <c r="U1461" s="1019" t="str">
        <f ca="1">IF(AND($P1461=$V$2,COUNTIFS($C$3:$C1461,$C1461,$E$3:$E1461,$E1461,$G$3:$G1461,$G1461)&lt;=1),$P1461,"")</f>
        <v/>
      </c>
    </row>
    <row r="1462" spans="1:21">
      <c r="A1462" s="991" t="str">
        <f ca="1">IFERROR(IF(COUNTIF($A$3:A1461,A1461)&lt; INDEX(TinhGia!$BH$10:$BH$81,MATCH($A1461,TinhGia!$B$10:$B$81,0)),$A1461,INDEX(TinhGia!$B$10:$B$81,MATCH($A1461,TinhGia!$B$10:$B$81,0)+1)),"")</f>
        <v/>
      </c>
      <c r="B1462" s="525" t="str">
        <f ca="1">IF(OR(A1462="",A1462=0),"",IF(COUNTIF($A$2:A1462,$A1462)=1,ROW(MauKoXoa!$C$108),$B1461+1))</f>
        <v/>
      </c>
      <c r="C1462" s="992" t="str">
        <f t="shared" ca="1" si="226"/>
        <v/>
      </c>
      <c r="D1462" s="993" t="str">
        <f t="shared" ca="1" si="227"/>
        <v/>
      </c>
      <c r="E1462" s="993" t="str">
        <f t="shared" ca="1" si="228"/>
        <v/>
      </c>
      <c r="F1462" s="992" t="str">
        <f t="shared" ca="1" si="236"/>
        <v/>
      </c>
      <c r="G1462" s="994">
        <f t="shared" ca="1" si="229"/>
        <v>0</v>
      </c>
      <c r="H1462" s="913">
        <f t="shared" ca="1" si="230"/>
        <v>0</v>
      </c>
      <c r="I1462" s="913">
        <f t="shared" ca="1" si="231"/>
        <v>0</v>
      </c>
      <c r="J1462" s="995">
        <f t="shared" ca="1" si="237"/>
        <v>0</v>
      </c>
      <c r="K1462" s="913">
        <f t="shared" ca="1" si="232"/>
        <v>0</v>
      </c>
      <c r="L1462" s="995">
        <f t="shared" ca="1" si="238"/>
        <v>0</v>
      </c>
      <c r="M1462" s="913">
        <f t="shared" ca="1" si="233"/>
        <v>0</v>
      </c>
      <c r="N1462" s="996">
        <f t="shared" ca="1" si="234"/>
        <v>0</v>
      </c>
      <c r="O1462" s="997">
        <f t="shared" ca="1" si="235"/>
        <v>0</v>
      </c>
      <c r="P1462" s="1015" t="str">
        <f ca="1">IF($C1462="","",INDEX(NVLSX!$N$2:$N$6941,MATCH($C1462,NVLSX!$E$2:$E$6941,0)))</f>
        <v/>
      </c>
      <c r="Q1462" s="1016" t="str">
        <f ca="1">IF($R1462="","",IF(XKNVLSX!$X$1="",IF($P1462=$V$7,$P1462, IF(COUNTIFS($C$2:$C1461,$C1462,$E$2:$E1461,$E1462)&gt;=1,"",$P1462)),     IF(AND(IFERROR(SEARCH($R1462,XKNVLSX!$X$1,1),0)&gt;=1,$P1462=$V$7),$P1462, IF(OR($R1462&lt;&gt;IF(IFERROR(SEARCH($R1462,XKNVLSX!$X$1,1),0)&gt;=1,$R1462,XKNVLSX!$X$1),COUNTIFS($C$2:$C1461,$C1462,$E$2:$E1461,$E1462,$Q$2:$Q1461,$P1462)&gt;=1),"",$P1462))))</f>
        <v/>
      </c>
      <c r="R1462" s="1017" t="str">
        <f ca="1">IF($A1462="","",IFERROR(INDEX(TinhGia!$BF$10:$BF$81,MATCH($A1462,TinhGia!$B$10:$B$81,0)),""))</f>
        <v/>
      </c>
      <c r="S1462" s="1012" t="str">
        <f ca="1">IF($A1462="","",IF(OR(IFERROR(SEARCH($R1462,XKNVLSX!$X$1,1),0)&gt;=1,XKNVLSX!$X$1=""),$S$2,""))</f>
        <v/>
      </c>
      <c r="T1462" s="1018" t="str">
        <f ca="1">IF($C1462="","", IF(OR($P1462=$V$1,$P1462=$V$7,COUNTIFS($C$3:$C1462,$C1462,$E$3:$E1462,$E1462)&lt;=1),$P1462,""    ))</f>
        <v/>
      </c>
      <c r="U1462" s="1019" t="str">
        <f ca="1">IF(AND($P1462=$V$2,COUNTIFS($C$3:$C1462,$C1462,$E$3:$E1462,$E1462,$G$3:$G1462,$G1462)&lt;=1),$P1462,"")</f>
        <v/>
      </c>
    </row>
    <row r="1463" spans="1:21">
      <c r="A1463" s="991" t="str">
        <f ca="1">IFERROR(IF(COUNTIF($A$3:A1462,A1462)&lt; INDEX(TinhGia!$BH$10:$BH$81,MATCH($A1462,TinhGia!$B$10:$B$81,0)),$A1462,INDEX(TinhGia!$B$10:$B$81,MATCH($A1462,TinhGia!$B$10:$B$81,0)+1)),"")</f>
        <v/>
      </c>
      <c r="B1463" s="525" t="str">
        <f ca="1">IF(OR(A1463="",A1463=0),"",IF(COUNTIF($A$2:A1463,$A1463)=1,ROW(MauKoXoa!$C$108),$B1462+1))</f>
        <v/>
      </c>
      <c r="C1463" s="992" t="str">
        <f t="shared" ca="1" si="226"/>
        <v/>
      </c>
      <c r="D1463" s="993" t="str">
        <f t="shared" ca="1" si="227"/>
        <v/>
      </c>
      <c r="E1463" s="993" t="str">
        <f t="shared" ca="1" si="228"/>
        <v/>
      </c>
      <c r="F1463" s="992" t="str">
        <f t="shared" ca="1" si="236"/>
        <v/>
      </c>
      <c r="G1463" s="994">
        <f t="shared" ca="1" si="229"/>
        <v>0</v>
      </c>
      <c r="H1463" s="913">
        <f t="shared" ca="1" si="230"/>
        <v>0</v>
      </c>
      <c r="I1463" s="913">
        <f t="shared" ca="1" si="231"/>
        <v>0</v>
      </c>
      <c r="J1463" s="995">
        <f t="shared" ca="1" si="237"/>
        <v>0</v>
      </c>
      <c r="K1463" s="913">
        <f t="shared" ca="1" si="232"/>
        <v>0</v>
      </c>
      <c r="L1463" s="995">
        <f t="shared" ca="1" si="238"/>
        <v>0</v>
      </c>
      <c r="M1463" s="913">
        <f t="shared" ca="1" si="233"/>
        <v>0</v>
      </c>
      <c r="N1463" s="996">
        <f t="shared" ca="1" si="234"/>
        <v>0</v>
      </c>
      <c r="O1463" s="997">
        <f t="shared" ca="1" si="235"/>
        <v>0</v>
      </c>
      <c r="P1463" s="1015" t="str">
        <f ca="1">IF($C1463="","",INDEX(NVLSX!$N$2:$N$6941,MATCH($C1463,NVLSX!$E$2:$E$6941,0)))</f>
        <v/>
      </c>
      <c r="Q1463" s="1016" t="str">
        <f ca="1">IF($R1463="","",IF(XKNVLSX!$X$1="",IF($P1463=$V$7,$P1463, IF(COUNTIFS($C$2:$C1462,$C1463,$E$2:$E1462,$E1463)&gt;=1,"",$P1463)),     IF(AND(IFERROR(SEARCH($R1463,XKNVLSX!$X$1,1),0)&gt;=1,$P1463=$V$7),$P1463, IF(OR($R1463&lt;&gt;IF(IFERROR(SEARCH($R1463,XKNVLSX!$X$1,1),0)&gt;=1,$R1463,XKNVLSX!$X$1),COUNTIFS($C$2:$C1462,$C1463,$E$2:$E1462,$E1463,$Q$2:$Q1462,$P1463)&gt;=1),"",$P1463))))</f>
        <v/>
      </c>
      <c r="R1463" s="1017" t="str">
        <f ca="1">IF($A1463="","",IFERROR(INDEX(TinhGia!$BF$10:$BF$81,MATCH($A1463,TinhGia!$B$10:$B$81,0)),""))</f>
        <v/>
      </c>
      <c r="S1463" s="1012" t="str">
        <f ca="1">IF($A1463="","",IF(OR(IFERROR(SEARCH($R1463,XKNVLSX!$X$1,1),0)&gt;=1,XKNVLSX!$X$1=""),$S$2,""))</f>
        <v/>
      </c>
      <c r="T1463" s="1018" t="str">
        <f ca="1">IF($C1463="","", IF(OR($P1463=$V$1,$P1463=$V$7,COUNTIFS($C$3:$C1463,$C1463,$E$3:$E1463,$E1463)&lt;=1),$P1463,""    ))</f>
        <v/>
      </c>
      <c r="U1463" s="1019" t="str">
        <f ca="1">IF(AND($P1463=$V$2,COUNTIFS($C$3:$C1463,$C1463,$E$3:$E1463,$E1463,$G$3:$G1463,$G1463)&lt;=1),$P1463,"")</f>
        <v/>
      </c>
    </row>
    <row r="1464" spans="1:21">
      <c r="A1464" s="991" t="str">
        <f ca="1">IFERROR(IF(COUNTIF($A$3:A1463,A1463)&lt; INDEX(TinhGia!$BH$10:$BH$81,MATCH($A1463,TinhGia!$B$10:$B$81,0)),$A1463,INDEX(TinhGia!$B$10:$B$81,MATCH($A1463,TinhGia!$B$10:$B$81,0)+1)),"")</f>
        <v/>
      </c>
      <c r="B1464" s="525" t="str">
        <f ca="1">IF(OR(A1464="",A1464=0),"",IF(COUNTIF($A$2:A1464,$A1464)=1,ROW(MauKoXoa!$C$108),$B1463+1))</f>
        <v/>
      </c>
      <c r="C1464" s="992" t="str">
        <f t="shared" ca="1" si="226"/>
        <v/>
      </c>
      <c r="D1464" s="993" t="str">
        <f t="shared" ca="1" si="227"/>
        <v/>
      </c>
      <c r="E1464" s="993" t="str">
        <f t="shared" ca="1" si="228"/>
        <v/>
      </c>
      <c r="F1464" s="992" t="str">
        <f t="shared" ca="1" si="236"/>
        <v/>
      </c>
      <c r="G1464" s="994">
        <f t="shared" ca="1" si="229"/>
        <v>0</v>
      </c>
      <c r="H1464" s="913">
        <f t="shared" ca="1" si="230"/>
        <v>0</v>
      </c>
      <c r="I1464" s="913">
        <f t="shared" ca="1" si="231"/>
        <v>0</v>
      </c>
      <c r="J1464" s="995">
        <f t="shared" ca="1" si="237"/>
        <v>0</v>
      </c>
      <c r="K1464" s="913">
        <f t="shared" ca="1" si="232"/>
        <v>0</v>
      </c>
      <c r="L1464" s="995">
        <f t="shared" ca="1" si="238"/>
        <v>0</v>
      </c>
      <c r="M1464" s="913">
        <f t="shared" ca="1" si="233"/>
        <v>0</v>
      </c>
      <c r="N1464" s="996">
        <f t="shared" ca="1" si="234"/>
        <v>0</v>
      </c>
      <c r="O1464" s="997">
        <f t="shared" ca="1" si="235"/>
        <v>0</v>
      </c>
      <c r="P1464" s="1015" t="str">
        <f ca="1">IF($C1464="","",INDEX(NVLSX!$N$2:$N$6941,MATCH($C1464,NVLSX!$E$2:$E$6941,0)))</f>
        <v/>
      </c>
      <c r="Q1464" s="1016" t="str">
        <f ca="1">IF($R1464="","",IF(XKNVLSX!$X$1="",IF($P1464=$V$7,$P1464, IF(COUNTIFS($C$2:$C1463,$C1464,$E$2:$E1463,$E1464)&gt;=1,"",$P1464)),     IF(AND(IFERROR(SEARCH($R1464,XKNVLSX!$X$1,1),0)&gt;=1,$P1464=$V$7),$P1464, IF(OR($R1464&lt;&gt;IF(IFERROR(SEARCH($R1464,XKNVLSX!$X$1,1),0)&gt;=1,$R1464,XKNVLSX!$X$1),COUNTIFS($C$2:$C1463,$C1464,$E$2:$E1463,$E1464,$Q$2:$Q1463,$P1464)&gt;=1),"",$P1464))))</f>
        <v/>
      </c>
      <c r="R1464" s="1017" t="str">
        <f ca="1">IF($A1464="","",IFERROR(INDEX(TinhGia!$BF$10:$BF$81,MATCH($A1464,TinhGia!$B$10:$B$81,0)),""))</f>
        <v/>
      </c>
      <c r="S1464" s="1012" t="str">
        <f ca="1">IF($A1464="","",IF(OR(IFERROR(SEARCH($R1464,XKNVLSX!$X$1,1),0)&gt;=1,XKNVLSX!$X$1=""),$S$2,""))</f>
        <v/>
      </c>
      <c r="T1464" s="1018" t="str">
        <f ca="1">IF($C1464="","", IF(OR($P1464=$V$1,$P1464=$V$7,COUNTIFS($C$3:$C1464,$C1464,$E$3:$E1464,$E1464)&lt;=1),$P1464,""    ))</f>
        <v/>
      </c>
      <c r="U1464" s="1019" t="str">
        <f ca="1">IF(AND($P1464=$V$2,COUNTIFS($C$3:$C1464,$C1464,$E$3:$E1464,$E1464,$G$3:$G1464,$G1464)&lt;=1),$P1464,"")</f>
        <v/>
      </c>
    </row>
    <row r="1465" spans="1:21">
      <c r="A1465" s="991" t="str">
        <f ca="1">IFERROR(IF(COUNTIF($A$3:A1464,A1464)&lt; INDEX(TinhGia!$BH$10:$BH$81,MATCH($A1464,TinhGia!$B$10:$B$81,0)),$A1464,INDEX(TinhGia!$B$10:$B$81,MATCH($A1464,TinhGia!$B$10:$B$81,0)+1)),"")</f>
        <v/>
      </c>
      <c r="B1465" s="525" t="str">
        <f ca="1">IF(OR(A1465="",A1465=0),"",IF(COUNTIF($A$2:A1465,$A1465)=1,ROW(MauKoXoa!$C$108),$B1464+1))</f>
        <v/>
      </c>
      <c r="C1465" s="992" t="str">
        <f t="shared" ca="1" si="226"/>
        <v/>
      </c>
      <c r="D1465" s="993" t="str">
        <f t="shared" ca="1" si="227"/>
        <v/>
      </c>
      <c r="E1465" s="993" t="str">
        <f t="shared" ca="1" si="228"/>
        <v/>
      </c>
      <c r="F1465" s="992" t="str">
        <f t="shared" ca="1" si="236"/>
        <v/>
      </c>
      <c r="G1465" s="994">
        <f t="shared" ca="1" si="229"/>
        <v>0</v>
      </c>
      <c r="H1465" s="913">
        <f t="shared" ca="1" si="230"/>
        <v>0</v>
      </c>
      <c r="I1465" s="913">
        <f t="shared" ca="1" si="231"/>
        <v>0</v>
      </c>
      <c r="J1465" s="995">
        <f t="shared" ca="1" si="237"/>
        <v>0</v>
      </c>
      <c r="K1465" s="913">
        <f t="shared" ca="1" si="232"/>
        <v>0</v>
      </c>
      <c r="L1465" s="995">
        <f t="shared" ca="1" si="238"/>
        <v>0</v>
      </c>
      <c r="M1465" s="913">
        <f t="shared" ca="1" si="233"/>
        <v>0</v>
      </c>
      <c r="N1465" s="996">
        <f t="shared" ca="1" si="234"/>
        <v>0</v>
      </c>
      <c r="O1465" s="997">
        <f t="shared" ca="1" si="235"/>
        <v>0</v>
      </c>
      <c r="P1465" s="1015" t="str">
        <f ca="1">IF($C1465="","",INDEX(NVLSX!$N$2:$N$6941,MATCH($C1465,NVLSX!$E$2:$E$6941,0)))</f>
        <v/>
      </c>
      <c r="Q1465" s="1016" t="str">
        <f ca="1">IF($R1465="","",IF(XKNVLSX!$X$1="",IF($P1465=$V$7,$P1465, IF(COUNTIFS($C$2:$C1464,$C1465,$E$2:$E1464,$E1465)&gt;=1,"",$P1465)),     IF(AND(IFERROR(SEARCH($R1465,XKNVLSX!$X$1,1),0)&gt;=1,$P1465=$V$7),$P1465, IF(OR($R1465&lt;&gt;IF(IFERROR(SEARCH($R1465,XKNVLSX!$X$1,1),0)&gt;=1,$R1465,XKNVLSX!$X$1),COUNTIFS($C$2:$C1464,$C1465,$E$2:$E1464,$E1465,$Q$2:$Q1464,$P1465)&gt;=1),"",$P1465))))</f>
        <v/>
      </c>
      <c r="R1465" s="1017" t="str">
        <f ca="1">IF($A1465="","",IFERROR(INDEX(TinhGia!$BF$10:$BF$81,MATCH($A1465,TinhGia!$B$10:$B$81,0)),""))</f>
        <v/>
      </c>
      <c r="S1465" s="1012" t="str">
        <f ca="1">IF($A1465="","",IF(OR(IFERROR(SEARCH($R1465,XKNVLSX!$X$1,1),0)&gt;=1,XKNVLSX!$X$1=""),$S$2,""))</f>
        <v/>
      </c>
      <c r="T1465" s="1018" t="str">
        <f ca="1">IF($C1465="","", IF(OR($P1465=$V$1,$P1465=$V$7,COUNTIFS($C$3:$C1465,$C1465,$E$3:$E1465,$E1465)&lt;=1),$P1465,""    ))</f>
        <v/>
      </c>
      <c r="U1465" s="1019" t="str">
        <f ca="1">IF(AND($P1465=$V$2,COUNTIFS($C$3:$C1465,$C1465,$E$3:$E1465,$E1465,$G$3:$G1465,$G1465)&lt;=1),$P1465,"")</f>
        <v/>
      </c>
    </row>
    <row r="1466" spans="1:21">
      <c r="A1466" s="991" t="str">
        <f ca="1">IFERROR(IF(COUNTIF($A$3:A1465,A1465)&lt; INDEX(TinhGia!$BH$10:$BH$81,MATCH($A1465,TinhGia!$B$10:$B$81,0)),$A1465,INDEX(TinhGia!$B$10:$B$81,MATCH($A1465,TinhGia!$B$10:$B$81,0)+1)),"")</f>
        <v/>
      </c>
      <c r="B1466" s="525" t="str">
        <f ca="1">IF(OR(A1466="",A1466=0),"",IF(COUNTIF($A$2:A1466,$A1466)=1,ROW(MauKoXoa!$C$108),$B1465+1))</f>
        <v/>
      </c>
      <c r="C1466" s="992" t="str">
        <f t="shared" ca="1" si="226"/>
        <v/>
      </c>
      <c r="D1466" s="993" t="str">
        <f t="shared" ca="1" si="227"/>
        <v/>
      </c>
      <c r="E1466" s="993" t="str">
        <f t="shared" ca="1" si="228"/>
        <v/>
      </c>
      <c r="F1466" s="992" t="str">
        <f t="shared" ca="1" si="236"/>
        <v/>
      </c>
      <c r="G1466" s="994">
        <f t="shared" ca="1" si="229"/>
        <v>0</v>
      </c>
      <c r="H1466" s="913">
        <f t="shared" ca="1" si="230"/>
        <v>0</v>
      </c>
      <c r="I1466" s="913">
        <f t="shared" ca="1" si="231"/>
        <v>0</v>
      </c>
      <c r="J1466" s="995">
        <f t="shared" ca="1" si="237"/>
        <v>0</v>
      </c>
      <c r="K1466" s="913">
        <f t="shared" ca="1" si="232"/>
        <v>0</v>
      </c>
      <c r="L1466" s="995">
        <f t="shared" ca="1" si="238"/>
        <v>0</v>
      </c>
      <c r="M1466" s="913">
        <f t="shared" ca="1" si="233"/>
        <v>0</v>
      </c>
      <c r="N1466" s="996">
        <f t="shared" ca="1" si="234"/>
        <v>0</v>
      </c>
      <c r="O1466" s="997">
        <f t="shared" ca="1" si="235"/>
        <v>0</v>
      </c>
      <c r="P1466" s="1015" t="str">
        <f ca="1">IF($C1466="","",INDEX(NVLSX!$N$2:$N$6941,MATCH($C1466,NVLSX!$E$2:$E$6941,0)))</f>
        <v/>
      </c>
      <c r="Q1466" s="1016" t="str">
        <f ca="1">IF($R1466="","",IF(XKNVLSX!$X$1="",IF($P1466=$V$7,$P1466, IF(COUNTIFS($C$2:$C1465,$C1466,$E$2:$E1465,$E1466)&gt;=1,"",$P1466)),     IF(AND(IFERROR(SEARCH($R1466,XKNVLSX!$X$1,1),0)&gt;=1,$P1466=$V$7),$P1466, IF(OR($R1466&lt;&gt;IF(IFERROR(SEARCH($R1466,XKNVLSX!$X$1,1),0)&gt;=1,$R1466,XKNVLSX!$X$1),COUNTIFS($C$2:$C1465,$C1466,$E$2:$E1465,$E1466,$Q$2:$Q1465,$P1466)&gt;=1),"",$P1466))))</f>
        <v/>
      </c>
      <c r="R1466" s="1017" t="str">
        <f ca="1">IF($A1466="","",IFERROR(INDEX(TinhGia!$BF$10:$BF$81,MATCH($A1466,TinhGia!$B$10:$B$81,0)),""))</f>
        <v/>
      </c>
      <c r="S1466" s="1012" t="str">
        <f ca="1">IF($A1466="","",IF(OR(IFERROR(SEARCH($R1466,XKNVLSX!$X$1,1),0)&gt;=1,XKNVLSX!$X$1=""),$S$2,""))</f>
        <v/>
      </c>
      <c r="T1466" s="1018" t="str">
        <f ca="1">IF($C1466="","", IF(OR($P1466=$V$1,$P1466=$V$7,COUNTIFS($C$3:$C1466,$C1466,$E$3:$E1466,$E1466)&lt;=1),$P1466,""    ))</f>
        <v/>
      </c>
      <c r="U1466" s="1019" t="str">
        <f ca="1">IF(AND($P1466=$V$2,COUNTIFS($C$3:$C1466,$C1466,$E$3:$E1466,$E1466,$G$3:$G1466,$G1466)&lt;=1),$P1466,"")</f>
        <v/>
      </c>
    </row>
    <row r="1467" spans="1:21">
      <c r="A1467" s="991" t="str">
        <f ca="1">IFERROR(IF(COUNTIF($A$3:A1466,A1466)&lt; INDEX(TinhGia!$BH$10:$BH$81,MATCH($A1466,TinhGia!$B$10:$B$81,0)),$A1466,INDEX(TinhGia!$B$10:$B$81,MATCH($A1466,TinhGia!$B$10:$B$81,0)+1)),"")</f>
        <v/>
      </c>
      <c r="B1467" s="525" t="str">
        <f ca="1">IF(OR(A1467="",A1467=0),"",IF(COUNTIF($A$2:A1467,$A1467)=1,ROW(MauKoXoa!$C$108),$B1466+1))</f>
        <v/>
      </c>
      <c r="C1467" s="992" t="str">
        <f t="shared" ca="1" si="226"/>
        <v/>
      </c>
      <c r="D1467" s="993" t="str">
        <f t="shared" ca="1" si="227"/>
        <v/>
      </c>
      <c r="E1467" s="993" t="str">
        <f t="shared" ca="1" si="228"/>
        <v/>
      </c>
      <c r="F1467" s="992" t="str">
        <f t="shared" ca="1" si="236"/>
        <v/>
      </c>
      <c r="G1467" s="994">
        <f t="shared" ca="1" si="229"/>
        <v>0</v>
      </c>
      <c r="H1467" s="913">
        <f t="shared" ca="1" si="230"/>
        <v>0</v>
      </c>
      <c r="I1467" s="913">
        <f t="shared" ca="1" si="231"/>
        <v>0</v>
      </c>
      <c r="J1467" s="995">
        <f t="shared" ca="1" si="237"/>
        <v>0</v>
      </c>
      <c r="K1467" s="913">
        <f t="shared" ca="1" si="232"/>
        <v>0</v>
      </c>
      <c r="L1467" s="995">
        <f t="shared" ca="1" si="238"/>
        <v>0</v>
      </c>
      <c r="M1467" s="913">
        <f t="shared" ca="1" si="233"/>
        <v>0</v>
      </c>
      <c r="N1467" s="996">
        <f t="shared" ca="1" si="234"/>
        <v>0</v>
      </c>
      <c r="O1467" s="997">
        <f t="shared" ca="1" si="235"/>
        <v>0</v>
      </c>
      <c r="P1467" s="1015" t="str">
        <f ca="1">IF($C1467="","",INDEX(NVLSX!$N$2:$N$6941,MATCH($C1467,NVLSX!$E$2:$E$6941,0)))</f>
        <v/>
      </c>
      <c r="Q1467" s="1016" t="str">
        <f ca="1">IF($R1467="","",IF(XKNVLSX!$X$1="",IF($P1467=$V$7,$P1467, IF(COUNTIFS($C$2:$C1466,$C1467,$E$2:$E1466,$E1467)&gt;=1,"",$P1467)),     IF(AND(IFERROR(SEARCH($R1467,XKNVLSX!$X$1,1),0)&gt;=1,$P1467=$V$7),$P1467, IF(OR($R1467&lt;&gt;IF(IFERROR(SEARCH($R1467,XKNVLSX!$X$1,1),0)&gt;=1,$R1467,XKNVLSX!$X$1),COUNTIFS($C$2:$C1466,$C1467,$E$2:$E1466,$E1467,$Q$2:$Q1466,$P1467)&gt;=1),"",$P1467))))</f>
        <v/>
      </c>
      <c r="R1467" s="1017" t="str">
        <f ca="1">IF($A1467="","",IFERROR(INDEX(TinhGia!$BF$10:$BF$81,MATCH($A1467,TinhGia!$B$10:$B$81,0)),""))</f>
        <v/>
      </c>
      <c r="S1467" s="1012" t="str">
        <f ca="1">IF($A1467="","",IF(OR(IFERROR(SEARCH($R1467,XKNVLSX!$X$1,1),0)&gt;=1,XKNVLSX!$X$1=""),$S$2,""))</f>
        <v/>
      </c>
      <c r="T1467" s="1018" t="str">
        <f ca="1">IF($C1467="","", IF(OR($P1467=$V$1,$P1467=$V$7,COUNTIFS($C$3:$C1467,$C1467,$E$3:$E1467,$E1467)&lt;=1),$P1467,""    ))</f>
        <v/>
      </c>
      <c r="U1467" s="1019" t="str">
        <f ca="1">IF(AND($P1467=$V$2,COUNTIFS($C$3:$C1467,$C1467,$E$3:$E1467,$E1467,$G$3:$G1467,$G1467)&lt;=1),$P1467,"")</f>
        <v/>
      </c>
    </row>
    <row r="1468" spans="1:21">
      <c r="A1468" s="991" t="str">
        <f ca="1">IFERROR(IF(COUNTIF($A$3:A1467,A1467)&lt; INDEX(TinhGia!$BH$10:$BH$81,MATCH($A1467,TinhGia!$B$10:$B$81,0)),$A1467,INDEX(TinhGia!$B$10:$B$81,MATCH($A1467,TinhGia!$B$10:$B$81,0)+1)),"")</f>
        <v/>
      </c>
      <c r="B1468" s="525" t="str">
        <f ca="1">IF(OR(A1468="",A1468=0),"",IF(COUNTIF($A$2:A1468,$A1468)=1,ROW(MauKoXoa!$C$108),$B1467+1))</f>
        <v/>
      </c>
      <c r="C1468" s="992" t="str">
        <f t="shared" ca="1" si="226"/>
        <v/>
      </c>
      <c r="D1468" s="993" t="str">
        <f t="shared" ca="1" si="227"/>
        <v/>
      </c>
      <c r="E1468" s="993" t="str">
        <f t="shared" ca="1" si="228"/>
        <v/>
      </c>
      <c r="F1468" s="992" t="str">
        <f t="shared" ca="1" si="236"/>
        <v/>
      </c>
      <c r="G1468" s="994">
        <f t="shared" ca="1" si="229"/>
        <v>0</v>
      </c>
      <c r="H1468" s="913">
        <f t="shared" ca="1" si="230"/>
        <v>0</v>
      </c>
      <c r="I1468" s="913">
        <f t="shared" ca="1" si="231"/>
        <v>0</v>
      </c>
      <c r="J1468" s="995">
        <f t="shared" ca="1" si="237"/>
        <v>0</v>
      </c>
      <c r="K1468" s="913">
        <f t="shared" ca="1" si="232"/>
        <v>0</v>
      </c>
      <c r="L1468" s="995">
        <f t="shared" ca="1" si="238"/>
        <v>0</v>
      </c>
      <c r="M1468" s="913">
        <f t="shared" ca="1" si="233"/>
        <v>0</v>
      </c>
      <c r="N1468" s="996">
        <f t="shared" ca="1" si="234"/>
        <v>0</v>
      </c>
      <c r="O1468" s="997">
        <f t="shared" ca="1" si="235"/>
        <v>0</v>
      </c>
      <c r="P1468" s="1015" t="str">
        <f ca="1">IF($C1468="","",INDEX(NVLSX!$N$2:$N$6941,MATCH($C1468,NVLSX!$E$2:$E$6941,0)))</f>
        <v/>
      </c>
      <c r="Q1468" s="1016" t="str">
        <f ca="1">IF($R1468="","",IF(XKNVLSX!$X$1="",IF($P1468=$V$7,$P1468, IF(COUNTIFS($C$2:$C1467,$C1468,$E$2:$E1467,$E1468)&gt;=1,"",$P1468)),     IF(AND(IFERROR(SEARCH($R1468,XKNVLSX!$X$1,1),0)&gt;=1,$P1468=$V$7),$P1468, IF(OR($R1468&lt;&gt;IF(IFERROR(SEARCH($R1468,XKNVLSX!$X$1,1),0)&gt;=1,$R1468,XKNVLSX!$X$1),COUNTIFS($C$2:$C1467,$C1468,$E$2:$E1467,$E1468,$Q$2:$Q1467,$P1468)&gt;=1),"",$P1468))))</f>
        <v/>
      </c>
      <c r="R1468" s="1017" t="str">
        <f ca="1">IF($A1468="","",IFERROR(INDEX(TinhGia!$BF$10:$BF$81,MATCH($A1468,TinhGia!$B$10:$B$81,0)),""))</f>
        <v/>
      </c>
      <c r="S1468" s="1012" t="str">
        <f ca="1">IF($A1468="","",IF(OR(IFERROR(SEARCH($R1468,XKNVLSX!$X$1,1),0)&gt;=1,XKNVLSX!$X$1=""),$S$2,""))</f>
        <v/>
      </c>
      <c r="T1468" s="1018" t="str">
        <f ca="1">IF($C1468="","", IF(OR($P1468=$V$1,$P1468=$V$7,COUNTIFS($C$3:$C1468,$C1468,$E$3:$E1468,$E1468)&lt;=1),$P1468,""    ))</f>
        <v/>
      </c>
      <c r="U1468" s="1019" t="str">
        <f ca="1">IF(AND($P1468=$V$2,COUNTIFS($C$3:$C1468,$C1468,$E$3:$E1468,$E1468,$G$3:$G1468,$G1468)&lt;=1),$P1468,"")</f>
        <v/>
      </c>
    </row>
    <row r="1469" spans="1:21">
      <c r="A1469" s="991" t="str">
        <f ca="1">IFERROR(IF(COUNTIF($A$3:A1468,A1468)&lt; INDEX(TinhGia!$BH$10:$BH$81,MATCH($A1468,TinhGia!$B$10:$B$81,0)),$A1468,INDEX(TinhGia!$B$10:$B$81,MATCH($A1468,TinhGia!$B$10:$B$81,0)+1)),"")</f>
        <v/>
      </c>
      <c r="B1469" s="525" t="str">
        <f ca="1">IF(OR(A1469="",A1469=0),"",IF(COUNTIF($A$2:A1469,$A1469)=1,ROW(MauKoXoa!$C$108),$B1468+1))</f>
        <v/>
      </c>
      <c r="C1469" s="992" t="str">
        <f t="shared" ca="1" si="226"/>
        <v/>
      </c>
      <c r="D1469" s="993" t="str">
        <f t="shared" ca="1" si="227"/>
        <v/>
      </c>
      <c r="E1469" s="993" t="str">
        <f t="shared" ca="1" si="228"/>
        <v/>
      </c>
      <c r="F1469" s="992" t="str">
        <f t="shared" ca="1" si="236"/>
        <v/>
      </c>
      <c r="G1469" s="994">
        <f t="shared" ca="1" si="229"/>
        <v>0</v>
      </c>
      <c r="H1469" s="913">
        <f t="shared" ca="1" si="230"/>
        <v>0</v>
      </c>
      <c r="I1469" s="913">
        <f t="shared" ca="1" si="231"/>
        <v>0</v>
      </c>
      <c r="J1469" s="995">
        <f t="shared" ca="1" si="237"/>
        <v>0</v>
      </c>
      <c r="K1469" s="913">
        <f t="shared" ca="1" si="232"/>
        <v>0</v>
      </c>
      <c r="L1469" s="995">
        <f t="shared" ca="1" si="238"/>
        <v>0</v>
      </c>
      <c r="M1469" s="913">
        <f t="shared" ca="1" si="233"/>
        <v>0</v>
      </c>
      <c r="N1469" s="996">
        <f t="shared" ca="1" si="234"/>
        <v>0</v>
      </c>
      <c r="O1469" s="997">
        <f t="shared" ca="1" si="235"/>
        <v>0</v>
      </c>
      <c r="P1469" s="1015" t="str">
        <f ca="1">IF($C1469="","",INDEX(NVLSX!$N$2:$N$6941,MATCH($C1469,NVLSX!$E$2:$E$6941,0)))</f>
        <v/>
      </c>
      <c r="Q1469" s="1016" t="str">
        <f ca="1">IF($R1469="","",IF(XKNVLSX!$X$1="",IF($P1469=$V$7,$P1469, IF(COUNTIFS($C$2:$C1468,$C1469,$E$2:$E1468,$E1469)&gt;=1,"",$P1469)),     IF(AND(IFERROR(SEARCH($R1469,XKNVLSX!$X$1,1),0)&gt;=1,$P1469=$V$7),$P1469, IF(OR($R1469&lt;&gt;IF(IFERROR(SEARCH($R1469,XKNVLSX!$X$1,1),0)&gt;=1,$R1469,XKNVLSX!$X$1),COUNTIFS($C$2:$C1468,$C1469,$E$2:$E1468,$E1469,$Q$2:$Q1468,$P1469)&gt;=1),"",$P1469))))</f>
        <v/>
      </c>
      <c r="R1469" s="1017" t="str">
        <f ca="1">IF($A1469="","",IFERROR(INDEX(TinhGia!$BF$10:$BF$81,MATCH($A1469,TinhGia!$B$10:$B$81,0)),""))</f>
        <v/>
      </c>
      <c r="S1469" s="1012" t="str">
        <f ca="1">IF($A1469="","",IF(OR(IFERROR(SEARCH($R1469,XKNVLSX!$X$1,1),0)&gt;=1,XKNVLSX!$X$1=""),$S$2,""))</f>
        <v/>
      </c>
      <c r="T1469" s="1018" t="str">
        <f ca="1">IF($C1469="","", IF(OR($P1469=$V$1,$P1469=$V$7,COUNTIFS($C$3:$C1469,$C1469,$E$3:$E1469,$E1469)&lt;=1),$P1469,""    ))</f>
        <v/>
      </c>
      <c r="U1469" s="1019" t="str">
        <f ca="1">IF(AND($P1469=$V$2,COUNTIFS($C$3:$C1469,$C1469,$E$3:$E1469,$E1469,$G$3:$G1469,$G1469)&lt;=1),$P1469,"")</f>
        <v/>
      </c>
    </row>
    <row r="1470" spans="1:21">
      <c r="A1470" s="991" t="str">
        <f ca="1">IFERROR(IF(COUNTIF($A$3:A1469,A1469)&lt; INDEX(TinhGia!$BH$10:$BH$81,MATCH($A1469,TinhGia!$B$10:$B$81,0)),$A1469,INDEX(TinhGia!$B$10:$B$81,MATCH($A1469,TinhGia!$B$10:$B$81,0)+1)),"")</f>
        <v/>
      </c>
      <c r="B1470" s="525" t="str">
        <f ca="1">IF(OR(A1470="",A1470=0),"",IF(COUNTIF($A$2:A1470,$A1470)=1,ROW(MauKoXoa!$C$108),$B1469+1))</f>
        <v/>
      </c>
      <c r="C1470" s="992" t="str">
        <f t="shared" ca="1" si="226"/>
        <v/>
      </c>
      <c r="D1470" s="993" t="str">
        <f t="shared" ca="1" si="227"/>
        <v/>
      </c>
      <c r="E1470" s="993" t="str">
        <f t="shared" ca="1" si="228"/>
        <v/>
      </c>
      <c r="F1470" s="992" t="str">
        <f t="shared" ca="1" si="236"/>
        <v/>
      </c>
      <c r="G1470" s="994">
        <f t="shared" ca="1" si="229"/>
        <v>0</v>
      </c>
      <c r="H1470" s="913">
        <f t="shared" ca="1" si="230"/>
        <v>0</v>
      </c>
      <c r="I1470" s="913">
        <f t="shared" ca="1" si="231"/>
        <v>0</v>
      </c>
      <c r="J1470" s="995">
        <f t="shared" ca="1" si="237"/>
        <v>0</v>
      </c>
      <c r="K1470" s="913">
        <f t="shared" ca="1" si="232"/>
        <v>0</v>
      </c>
      <c r="L1470" s="995">
        <f t="shared" ca="1" si="238"/>
        <v>0</v>
      </c>
      <c r="M1470" s="913">
        <f t="shared" ca="1" si="233"/>
        <v>0</v>
      </c>
      <c r="N1470" s="996">
        <f t="shared" ca="1" si="234"/>
        <v>0</v>
      </c>
      <c r="O1470" s="997">
        <f t="shared" ca="1" si="235"/>
        <v>0</v>
      </c>
      <c r="P1470" s="1015" t="str">
        <f ca="1">IF($C1470="","",INDEX(NVLSX!$N$2:$N$6941,MATCH($C1470,NVLSX!$E$2:$E$6941,0)))</f>
        <v/>
      </c>
      <c r="Q1470" s="1016" t="str">
        <f ca="1">IF($R1470="","",IF(XKNVLSX!$X$1="",IF($P1470=$V$7,$P1470, IF(COUNTIFS($C$2:$C1469,$C1470,$E$2:$E1469,$E1470)&gt;=1,"",$P1470)),     IF(AND(IFERROR(SEARCH($R1470,XKNVLSX!$X$1,1),0)&gt;=1,$P1470=$V$7),$P1470, IF(OR($R1470&lt;&gt;IF(IFERROR(SEARCH($R1470,XKNVLSX!$X$1,1),0)&gt;=1,$R1470,XKNVLSX!$X$1),COUNTIFS($C$2:$C1469,$C1470,$E$2:$E1469,$E1470,$Q$2:$Q1469,$P1470)&gt;=1),"",$P1470))))</f>
        <v/>
      </c>
      <c r="R1470" s="1017" t="str">
        <f ca="1">IF($A1470="","",IFERROR(INDEX(TinhGia!$BF$10:$BF$81,MATCH($A1470,TinhGia!$B$10:$B$81,0)),""))</f>
        <v/>
      </c>
      <c r="S1470" s="1012" t="str">
        <f ca="1">IF($A1470="","",IF(OR(IFERROR(SEARCH($R1470,XKNVLSX!$X$1,1),0)&gt;=1,XKNVLSX!$X$1=""),$S$2,""))</f>
        <v/>
      </c>
      <c r="T1470" s="1018" t="str">
        <f ca="1">IF($C1470="","", IF(OR($P1470=$V$1,$P1470=$V$7,COUNTIFS($C$3:$C1470,$C1470,$E$3:$E1470,$E1470)&lt;=1),$P1470,""    ))</f>
        <v/>
      </c>
      <c r="U1470" s="1019" t="str">
        <f ca="1">IF(AND($P1470=$V$2,COUNTIFS($C$3:$C1470,$C1470,$E$3:$E1470,$E1470,$G$3:$G1470,$G1470)&lt;=1),$P1470,"")</f>
        <v/>
      </c>
    </row>
    <row r="1471" spans="1:21">
      <c r="A1471" s="991" t="str">
        <f ca="1">IFERROR(IF(COUNTIF($A$3:A1470,A1470)&lt; INDEX(TinhGia!$BH$10:$BH$81,MATCH($A1470,TinhGia!$B$10:$B$81,0)),$A1470,INDEX(TinhGia!$B$10:$B$81,MATCH($A1470,TinhGia!$B$10:$B$81,0)+1)),"")</f>
        <v/>
      </c>
      <c r="B1471" s="525" t="str">
        <f ca="1">IF(OR(A1471="",A1471=0),"",IF(COUNTIF($A$2:A1471,$A1471)=1,ROW(MauKoXoa!$C$108),$B1470+1))</f>
        <v/>
      </c>
      <c r="C1471" s="992" t="str">
        <f t="shared" ca="1" si="226"/>
        <v/>
      </c>
      <c r="D1471" s="993" t="str">
        <f t="shared" ca="1" si="227"/>
        <v/>
      </c>
      <c r="E1471" s="993" t="str">
        <f t="shared" ca="1" si="228"/>
        <v/>
      </c>
      <c r="F1471" s="992" t="str">
        <f t="shared" ca="1" si="236"/>
        <v/>
      </c>
      <c r="G1471" s="994">
        <f t="shared" ca="1" si="229"/>
        <v>0</v>
      </c>
      <c r="H1471" s="913">
        <f t="shared" ca="1" si="230"/>
        <v>0</v>
      </c>
      <c r="I1471" s="913">
        <f t="shared" ca="1" si="231"/>
        <v>0</v>
      </c>
      <c r="J1471" s="995">
        <f t="shared" ca="1" si="237"/>
        <v>0</v>
      </c>
      <c r="K1471" s="913">
        <f t="shared" ca="1" si="232"/>
        <v>0</v>
      </c>
      <c r="L1471" s="995">
        <f t="shared" ca="1" si="238"/>
        <v>0</v>
      </c>
      <c r="M1471" s="913">
        <f t="shared" ca="1" si="233"/>
        <v>0</v>
      </c>
      <c r="N1471" s="996">
        <f t="shared" ca="1" si="234"/>
        <v>0</v>
      </c>
      <c r="O1471" s="997">
        <f t="shared" ca="1" si="235"/>
        <v>0</v>
      </c>
      <c r="P1471" s="1015" t="str">
        <f ca="1">IF($C1471="","",INDEX(NVLSX!$N$2:$N$6941,MATCH($C1471,NVLSX!$E$2:$E$6941,0)))</f>
        <v/>
      </c>
      <c r="Q1471" s="1016" t="str">
        <f ca="1">IF($R1471="","",IF(XKNVLSX!$X$1="",IF($P1471=$V$7,$P1471, IF(COUNTIFS($C$2:$C1470,$C1471,$E$2:$E1470,$E1471)&gt;=1,"",$P1471)),     IF(AND(IFERROR(SEARCH($R1471,XKNVLSX!$X$1,1),0)&gt;=1,$P1471=$V$7),$P1471, IF(OR($R1471&lt;&gt;IF(IFERROR(SEARCH($R1471,XKNVLSX!$X$1,1),0)&gt;=1,$R1471,XKNVLSX!$X$1),COUNTIFS($C$2:$C1470,$C1471,$E$2:$E1470,$E1471,$Q$2:$Q1470,$P1471)&gt;=1),"",$P1471))))</f>
        <v/>
      </c>
      <c r="R1471" s="1017" t="str">
        <f ca="1">IF($A1471="","",IFERROR(INDEX(TinhGia!$BF$10:$BF$81,MATCH($A1471,TinhGia!$B$10:$B$81,0)),""))</f>
        <v/>
      </c>
      <c r="S1471" s="1012" t="str">
        <f ca="1">IF($A1471="","",IF(OR(IFERROR(SEARCH($R1471,XKNVLSX!$X$1,1),0)&gt;=1,XKNVLSX!$X$1=""),$S$2,""))</f>
        <v/>
      </c>
      <c r="T1471" s="1018" t="str">
        <f ca="1">IF($C1471="","", IF(OR($P1471=$V$1,$P1471=$V$7,COUNTIFS($C$3:$C1471,$C1471,$E$3:$E1471,$E1471)&lt;=1),$P1471,""    ))</f>
        <v/>
      </c>
      <c r="U1471" s="1019" t="str">
        <f ca="1">IF(AND($P1471=$V$2,COUNTIFS($C$3:$C1471,$C1471,$E$3:$E1471,$E1471,$G$3:$G1471,$G1471)&lt;=1),$P1471,"")</f>
        <v/>
      </c>
    </row>
    <row r="1472" spans="1:21">
      <c r="A1472" s="991" t="str">
        <f ca="1">IFERROR(IF(COUNTIF($A$3:A1471,A1471)&lt; INDEX(TinhGia!$BH$10:$BH$81,MATCH($A1471,TinhGia!$B$10:$B$81,0)),$A1471,INDEX(TinhGia!$B$10:$B$81,MATCH($A1471,TinhGia!$B$10:$B$81,0)+1)),"")</f>
        <v/>
      </c>
      <c r="B1472" s="525" t="str">
        <f ca="1">IF(OR(A1472="",A1472=0),"",IF(COUNTIF($A$2:A1472,$A1472)=1,ROW(MauKoXoa!$C$108),$B1471+1))</f>
        <v/>
      </c>
      <c r="C1472" s="992" t="str">
        <f t="shared" ref="C1472:C1500" ca="1" si="239">IFERROR(INDIRECT("'" &amp; $A1472 &amp; "'!" &amp; "C" &amp; $B1472),"")</f>
        <v/>
      </c>
      <c r="D1472" s="993" t="str">
        <f t="shared" ref="D1472:D1500" ca="1" si="240">IFERROR(INDIRECT("'" &amp; $A1472 &amp; "'!" &amp; "D" &amp; $B1472),"")</f>
        <v/>
      </c>
      <c r="E1472" s="993" t="str">
        <f t="shared" ref="E1472:E1500" ca="1" si="241">IFERROR(INDIRECT("'" &amp; $A1472 &amp; "'!" &amp; "P" &amp; $B1472),"")</f>
        <v/>
      </c>
      <c r="F1472" s="992" t="str">
        <f t="shared" ca="1" si="236"/>
        <v/>
      </c>
      <c r="G1472" s="994">
        <f t="shared" ref="G1472:G1500" ca="1" si="242">IFERROR(INDIRECT("'" &amp; $A1472 &amp; "'!" &amp; "F" &amp; $B1472),0)</f>
        <v>0</v>
      </c>
      <c r="H1472" s="913">
        <f t="shared" ref="H1472:H1500" ca="1" si="243">IFERROR(INDIRECT("'" &amp; $A1472 &amp; "'!" &amp; "G" &amp; $B1472),0)</f>
        <v>0</v>
      </c>
      <c r="I1472" s="913">
        <f t="shared" ref="I1472:I1500" ca="1" si="244">IFERROR(INDIRECT("'" &amp; $A1472 &amp; "'!" &amp; "H" &amp; $B1472),0)</f>
        <v>0</v>
      </c>
      <c r="J1472" s="995">
        <f t="shared" ca="1" si="237"/>
        <v>0</v>
      </c>
      <c r="K1472" s="913">
        <f t="shared" ref="K1472:K1500" ca="1" si="245">IFERROR(INDIRECT("'" &amp; $A1472 &amp; "'!" &amp; "L" &amp; $B1472),0)</f>
        <v>0</v>
      </c>
      <c r="L1472" s="995">
        <f t="shared" ca="1" si="238"/>
        <v>0</v>
      </c>
      <c r="M1472" s="913">
        <f t="shared" ref="M1472:M1500" ca="1" si="246">IFERROR(INDIRECT("'" &amp; $A1472 &amp; "'!" &amp; "M" &amp; $B1472),0)</f>
        <v>0</v>
      </c>
      <c r="N1472" s="996">
        <f t="shared" ref="N1472:N1500" ca="1" si="247">IFERROR(INDIRECT("'" &amp; $A1472 &amp; "'!" &amp; "N" &amp; $B1472),0)</f>
        <v>0</v>
      </c>
      <c r="O1472" s="997">
        <f t="shared" ref="O1472:O1500" ca="1" si="248">IFERROR(INDIRECT("'" &amp; $A1472 &amp; "'!" &amp; "O" &amp; $B1472),0)</f>
        <v>0</v>
      </c>
      <c r="P1472" s="1015" t="str">
        <f ca="1">IF($C1472="","",INDEX(NVLSX!$N$2:$N$6941,MATCH($C1472,NVLSX!$E$2:$E$6941,0)))</f>
        <v/>
      </c>
      <c r="Q1472" s="1016" t="str">
        <f ca="1">IF($R1472="","",IF(XKNVLSX!$X$1="",IF($P1472=$V$7,$P1472, IF(COUNTIFS($C$2:$C1471,$C1472,$E$2:$E1471,$E1472)&gt;=1,"",$P1472)),     IF(AND(IFERROR(SEARCH($R1472,XKNVLSX!$X$1,1),0)&gt;=1,$P1472=$V$7),$P1472, IF(OR($R1472&lt;&gt;IF(IFERROR(SEARCH($R1472,XKNVLSX!$X$1,1),0)&gt;=1,$R1472,XKNVLSX!$X$1),COUNTIFS($C$2:$C1471,$C1472,$E$2:$E1471,$E1472,$Q$2:$Q1471,$P1472)&gt;=1),"",$P1472))))</f>
        <v/>
      </c>
      <c r="R1472" s="1017" t="str">
        <f ca="1">IF($A1472="","",IFERROR(INDEX(TinhGia!$BF$10:$BF$81,MATCH($A1472,TinhGia!$B$10:$B$81,0)),""))</f>
        <v/>
      </c>
      <c r="S1472" s="1012" t="str">
        <f ca="1">IF($A1472="","",IF(OR(IFERROR(SEARCH($R1472,XKNVLSX!$X$1,1),0)&gt;=1,XKNVLSX!$X$1=""),$S$2,""))</f>
        <v/>
      </c>
      <c r="T1472" s="1018" t="str">
        <f ca="1">IF($C1472="","", IF(OR($P1472=$V$1,$P1472=$V$7,COUNTIFS($C$3:$C1472,$C1472,$E$3:$E1472,$E1472)&lt;=1),$P1472,""    ))</f>
        <v/>
      </c>
      <c r="U1472" s="1019" t="str">
        <f ca="1">IF(AND($P1472=$V$2,COUNTIFS($C$3:$C1472,$C1472,$E$3:$E1472,$E1472,$G$3:$G1472,$G1472)&lt;=1),$P1472,"")</f>
        <v/>
      </c>
    </row>
    <row r="1473" spans="1:21">
      <c r="A1473" s="991" t="str">
        <f ca="1">IFERROR(IF(COUNTIF($A$3:A1472,A1472)&lt; INDEX(TinhGia!$BH$10:$BH$81,MATCH($A1472,TinhGia!$B$10:$B$81,0)),$A1472,INDEX(TinhGia!$B$10:$B$81,MATCH($A1472,TinhGia!$B$10:$B$81,0)+1)),"")</f>
        <v/>
      </c>
      <c r="B1473" s="525" t="str">
        <f ca="1">IF(OR(A1473="",A1473=0),"",IF(COUNTIF($A$2:A1473,$A1473)=1,ROW(MauKoXoa!$C$108),$B1472+1))</f>
        <v/>
      </c>
      <c r="C1473" s="992" t="str">
        <f t="shared" ca="1" si="239"/>
        <v/>
      </c>
      <c r="D1473" s="993" t="str">
        <f t="shared" ca="1" si="240"/>
        <v/>
      </c>
      <c r="E1473" s="993" t="str">
        <f t="shared" ca="1" si="241"/>
        <v/>
      </c>
      <c r="F1473" s="992" t="str">
        <f t="shared" ca="1" si="236"/>
        <v/>
      </c>
      <c r="G1473" s="994">
        <f t="shared" ca="1" si="242"/>
        <v>0</v>
      </c>
      <c r="H1473" s="913">
        <f t="shared" ca="1" si="243"/>
        <v>0</v>
      </c>
      <c r="I1473" s="913">
        <f t="shared" ca="1" si="244"/>
        <v>0</v>
      </c>
      <c r="J1473" s="995">
        <f t="shared" ca="1" si="237"/>
        <v>0</v>
      </c>
      <c r="K1473" s="913">
        <f t="shared" ca="1" si="245"/>
        <v>0</v>
      </c>
      <c r="L1473" s="995">
        <f t="shared" ca="1" si="238"/>
        <v>0</v>
      </c>
      <c r="M1473" s="913">
        <f t="shared" ca="1" si="246"/>
        <v>0</v>
      </c>
      <c r="N1473" s="996">
        <f t="shared" ca="1" si="247"/>
        <v>0</v>
      </c>
      <c r="O1473" s="997">
        <f t="shared" ca="1" si="248"/>
        <v>0</v>
      </c>
      <c r="P1473" s="1015" t="str">
        <f ca="1">IF($C1473="","",INDEX(NVLSX!$N$2:$N$6941,MATCH($C1473,NVLSX!$E$2:$E$6941,0)))</f>
        <v/>
      </c>
      <c r="Q1473" s="1016" t="str">
        <f ca="1">IF($R1473="","",IF(XKNVLSX!$X$1="",IF($P1473=$V$7,$P1473, IF(COUNTIFS($C$2:$C1472,$C1473,$E$2:$E1472,$E1473)&gt;=1,"",$P1473)),     IF(AND(IFERROR(SEARCH($R1473,XKNVLSX!$X$1,1),0)&gt;=1,$P1473=$V$7),$P1473, IF(OR($R1473&lt;&gt;IF(IFERROR(SEARCH($R1473,XKNVLSX!$X$1,1),0)&gt;=1,$R1473,XKNVLSX!$X$1),COUNTIFS($C$2:$C1472,$C1473,$E$2:$E1472,$E1473,$Q$2:$Q1472,$P1473)&gt;=1),"",$P1473))))</f>
        <v/>
      </c>
      <c r="R1473" s="1017" t="str">
        <f ca="1">IF($A1473="","",IFERROR(INDEX(TinhGia!$BF$10:$BF$81,MATCH($A1473,TinhGia!$B$10:$B$81,0)),""))</f>
        <v/>
      </c>
      <c r="S1473" s="1012" t="str">
        <f ca="1">IF($A1473="","",IF(OR(IFERROR(SEARCH($R1473,XKNVLSX!$X$1,1),0)&gt;=1,XKNVLSX!$X$1=""),$S$2,""))</f>
        <v/>
      </c>
      <c r="T1473" s="1018" t="str">
        <f ca="1">IF($C1473="","", IF(OR($P1473=$V$1,$P1473=$V$7,COUNTIFS($C$3:$C1473,$C1473,$E$3:$E1473,$E1473)&lt;=1),$P1473,""    ))</f>
        <v/>
      </c>
      <c r="U1473" s="1019" t="str">
        <f ca="1">IF(AND($P1473=$V$2,COUNTIFS($C$3:$C1473,$C1473,$E$3:$E1473,$E1473,$G$3:$G1473,$G1473)&lt;=1),$P1473,"")</f>
        <v/>
      </c>
    </row>
    <row r="1474" spans="1:21">
      <c r="A1474" s="991" t="str">
        <f ca="1">IFERROR(IF(COUNTIF($A$3:A1473,A1473)&lt; INDEX(TinhGia!$BH$10:$BH$81,MATCH($A1473,TinhGia!$B$10:$B$81,0)),$A1473,INDEX(TinhGia!$B$10:$B$81,MATCH($A1473,TinhGia!$B$10:$B$81,0)+1)),"")</f>
        <v/>
      </c>
      <c r="B1474" s="525" t="str">
        <f ca="1">IF(OR(A1474="",A1474=0),"",IF(COUNTIF($A$2:A1474,$A1474)=1,ROW(MauKoXoa!$C$108),$B1473+1))</f>
        <v/>
      </c>
      <c r="C1474" s="992" t="str">
        <f t="shared" ca="1" si="239"/>
        <v/>
      </c>
      <c r="D1474" s="993" t="str">
        <f t="shared" ca="1" si="240"/>
        <v/>
      </c>
      <c r="E1474" s="993" t="str">
        <f t="shared" ca="1" si="241"/>
        <v/>
      </c>
      <c r="F1474" s="992" t="str">
        <f t="shared" ca="1" si="236"/>
        <v/>
      </c>
      <c r="G1474" s="994">
        <f t="shared" ca="1" si="242"/>
        <v>0</v>
      </c>
      <c r="H1474" s="913">
        <f t="shared" ca="1" si="243"/>
        <v>0</v>
      </c>
      <c r="I1474" s="913">
        <f t="shared" ca="1" si="244"/>
        <v>0</v>
      </c>
      <c r="J1474" s="995">
        <f t="shared" ca="1" si="237"/>
        <v>0</v>
      </c>
      <c r="K1474" s="913">
        <f t="shared" ca="1" si="245"/>
        <v>0</v>
      </c>
      <c r="L1474" s="995">
        <f t="shared" ca="1" si="238"/>
        <v>0</v>
      </c>
      <c r="M1474" s="913">
        <f t="shared" ca="1" si="246"/>
        <v>0</v>
      </c>
      <c r="N1474" s="996">
        <f t="shared" ca="1" si="247"/>
        <v>0</v>
      </c>
      <c r="O1474" s="997">
        <f t="shared" ca="1" si="248"/>
        <v>0</v>
      </c>
      <c r="P1474" s="1015" t="str">
        <f ca="1">IF($C1474="","",INDEX(NVLSX!$N$2:$N$6941,MATCH($C1474,NVLSX!$E$2:$E$6941,0)))</f>
        <v/>
      </c>
      <c r="Q1474" s="1016" t="str">
        <f ca="1">IF($R1474="","",IF(XKNVLSX!$X$1="",IF($P1474=$V$7,$P1474, IF(COUNTIFS($C$2:$C1473,$C1474,$E$2:$E1473,$E1474)&gt;=1,"",$P1474)),     IF(AND(IFERROR(SEARCH($R1474,XKNVLSX!$X$1,1),0)&gt;=1,$P1474=$V$7),$P1474, IF(OR($R1474&lt;&gt;IF(IFERROR(SEARCH($R1474,XKNVLSX!$X$1,1),0)&gt;=1,$R1474,XKNVLSX!$X$1),COUNTIFS($C$2:$C1473,$C1474,$E$2:$E1473,$E1474,$Q$2:$Q1473,$P1474)&gt;=1),"",$P1474))))</f>
        <v/>
      </c>
      <c r="R1474" s="1017" t="str">
        <f ca="1">IF($A1474="","",IFERROR(INDEX(TinhGia!$BF$10:$BF$81,MATCH($A1474,TinhGia!$B$10:$B$81,0)),""))</f>
        <v/>
      </c>
      <c r="S1474" s="1012" t="str">
        <f ca="1">IF($A1474="","",IF(OR(IFERROR(SEARCH($R1474,XKNVLSX!$X$1,1),0)&gt;=1,XKNVLSX!$X$1=""),$S$2,""))</f>
        <v/>
      </c>
      <c r="T1474" s="1018" t="str">
        <f ca="1">IF($C1474="","", IF(OR($P1474=$V$1,$P1474=$V$7,COUNTIFS($C$3:$C1474,$C1474,$E$3:$E1474,$E1474)&lt;=1),$P1474,""    ))</f>
        <v/>
      </c>
      <c r="U1474" s="1019" t="str">
        <f ca="1">IF(AND($P1474=$V$2,COUNTIFS($C$3:$C1474,$C1474,$E$3:$E1474,$E1474,$G$3:$G1474,$G1474)&lt;=1),$P1474,"")</f>
        <v/>
      </c>
    </row>
    <row r="1475" spans="1:21">
      <c r="A1475" s="991" t="str">
        <f ca="1">IFERROR(IF(COUNTIF($A$3:A1474,A1474)&lt; INDEX(TinhGia!$BH$10:$BH$81,MATCH($A1474,TinhGia!$B$10:$B$81,0)),$A1474,INDEX(TinhGia!$B$10:$B$81,MATCH($A1474,TinhGia!$B$10:$B$81,0)+1)),"")</f>
        <v/>
      </c>
      <c r="B1475" s="525" t="str">
        <f ca="1">IF(OR(A1475="",A1475=0),"",IF(COUNTIF($A$2:A1475,$A1475)=1,ROW(MauKoXoa!$C$108),$B1474+1))</f>
        <v/>
      </c>
      <c r="C1475" s="992" t="str">
        <f t="shared" ca="1" si="239"/>
        <v/>
      </c>
      <c r="D1475" s="993" t="str">
        <f t="shared" ca="1" si="240"/>
        <v/>
      </c>
      <c r="E1475" s="993" t="str">
        <f t="shared" ca="1" si="241"/>
        <v/>
      </c>
      <c r="F1475" s="992" t="str">
        <f t="shared" ref="F1475:F1500" ca="1" si="249">IF($P1475=$V$7, IFERROR(INDIRECT("'" &amp; $A1475 &amp; "'!" &amp; "I" &amp; $B1475),""),IFERROR(INDIRECT("'" &amp; $A1475 &amp; "'!" &amp; "E" &amp; $B1475),""))</f>
        <v/>
      </c>
      <c r="G1475" s="994">
        <f t="shared" ca="1" si="242"/>
        <v>0</v>
      </c>
      <c r="H1475" s="913">
        <f t="shared" ca="1" si="243"/>
        <v>0</v>
      </c>
      <c r="I1475" s="913">
        <f t="shared" ca="1" si="244"/>
        <v>0</v>
      </c>
      <c r="J1475" s="995">
        <f t="shared" ca="1" si="237"/>
        <v>0</v>
      </c>
      <c r="K1475" s="913">
        <f t="shared" ca="1" si="245"/>
        <v>0</v>
      </c>
      <c r="L1475" s="995">
        <f t="shared" ca="1" si="238"/>
        <v>0</v>
      </c>
      <c r="M1475" s="913">
        <f t="shared" ca="1" si="246"/>
        <v>0</v>
      </c>
      <c r="N1475" s="996">
        <f t="shared" ca="1" si="247"/>
        <v>0</v>
      </c>
      <c r="O1475" s="997">
        <f t="shared" ca="1" si="248"/>
        <v>0</v>
      </c>
      <c r="P1475" s="1015" t="str">
        <f ca="1">IF($C1475="","",INDEX(NVLSX!$N$2:$N$6941,MATCH($C1475,NVLSX!$E$2:$E$6941,0)))</f>
        <v/>
      </c>
      <c r="Q1475" s="1016" t="str">
        <f ca="1">IF($R1475="","",IF(XKNVLSX!$X$1="",IF($P1475=$V$7,$P1475, IF(COUNTIFS($C$2:$C1474,$C1475,$E$2:$E1474,$E1475)&gt;=1,"",$P1475)),     IF(AND(IFERROR(SEARCH($R1475,XKNVLSX!$X$1,1),0)&gt;=1,$P1475=$V$7),$P1475, IF(OR($R1475&lt;&gt;IF(IFERROR(SEARCH($R1475,XKNVLSX!$X$1,1),0)&gt;=1,$R1475,XKNVLSX!$X$1),COUNTIFS($C$2:$C1474,$C1475,$E$2:$E1474,$E1475,$Q$2:$Q1474,$P1475)&gt;=1),"",$P1475))))</f>
        <v/>
      </c>
      <c r="R1475" s="1017" t="str">
        <f ca="1">IF($A1475="","",IFERROR(INDEX(TinhGia!$BF$10:$BF$81,MATCH($A1475,TinhGia!$B$10:$B$81,0)),""))</f>
        <v/>
      </c>
      <c r="S1475" s="1012" t="str">
        <f ca="1">IF($A1475="","",IF(OR(IFERROR(SEARCH($R1475,XKNVLSX!$X$1,1),0)&gt;=1,XKNVLSX!$X$1=""),$S$2,""))</f>
        <v/>
      </c>
      <c r="T1475" s="1018" t="str">
        <f ca="1">IF($C1475="","", IF(OR($P1475=$V$1,$P1475=$V$7,COUNTIFS($C$3:$C1475,$C1475,$E$3:$E1475,$E1475)&lt;=1),$P1475,""    ))</f>
        <v/>
      </c>
      <c r="U1475" s="1019" t="str">
        <f ca="1">IF(AND($P1475=$V$2,COUNTIFS($C$3:$C1475,$C1475,$E$3:$E1475,$E1475,$G$3:$G1475,$G1475)&lt;=1),$P1475,"")</f>
        <v/>
      </c>
    </row>
    <row r="1476" spans="1:21">
      <c r="A1476" s="991" t="str">
        <f ca="1">IFERROR(IF(COUNTIF($A$3:A1475,A1475)&lt; INDEX(TinhGia!$BH$10:$BH$81,MATCH($A1475,TinhGia!$B$10:$B$81,0)),$A1475,INDEX(TinhGia!$B$10:$B$81,MATCH($A1475,TinhGia!$B$10:$B$81,0)+1)),"")</f>
        <v/>
      </c>
      <c r="B1476" s="525" t="str">
        <f ca="1">IF(OR(A1476="",A1476=0),"",IF(COUNTIF($A$2:A1476,$A1476)=1,ROW(MauKoXoa!$C$108),$B1475+1))</f>
        <v/>
      </c>
      <c r="C1476" s="992" t="str">
        <f t="shared" ca="1" si="239"/>
        <v/>
      </c>
      <c r="D1476" s="993" t="str">
        <f t="shared" ca="1" si="240"/>
        <v/>
      </c>
      <c r="E1476" s="993" t="str">
        <f t="shared" ca="1" si="241"/>
        <v/>
      </c>
      <c r="F1476" s="992" t="str">
        <f t="shared" ca="1" si="249"/>
        <v/>
      </c>
      <c r="G1476" s="994">
        <f t="shared" ca="1" si="242"/>
        <v>0</v>
      </c>
      <c r="H1476" s="913">
        <f t="shared" ca="1" si="243"/>
        <v>0</v>
      </c>
      <c r="I1476" s="913">
        <f t="shared" ca="1" si="244"/>
        <v>0</v>
      </c>
      <c r="J1476" s="995">
        <f t="shared" ref="J1476:J1500" ca="1" si="250">IFERROR(INDIRECT("'" &amp; $A1476 &amp; "'!" &amp; "J" &amp; $B1476),0)</f>
        <v>0</v>
      </c>
      <c r="K1476" s="913">
        <f t="shared" ca="1" si="245"/>
        <v>0</v>
      </c>
      <c r="L1476" s="995">
        <f t="shared" ref="L1476:L1500" ca="1" si="251">+ IFERROR(INDIRECT("'" &amp; $A1476 &amp; "'!" &amp; "K" &amp; $B1476),0)</f>
        <v>0</v>
      </c>
      <c r="M1476" s="913">
        <f t="shared" ca="1" si="246"/>
        <v>0</v>
      </c>
      <c r="N1476" s="996">
        <f t="shared" ca="1" si="247"/>
        <v>0</v>
      </c>
      <c r="O1476" s="997">
        <f t="shared" ca="1" si="248"/>
        <v>0</v>
      </c>
      <c r="P1476" s="1015" t="str">
        <f ca="1">IF($C1476="","",INDEX(NVLSX!$N$2:$N$6941,MATCH($C1476,NVLSX!$E$2:$E$6941,0)))</f>
        <v/>
      </c>
      <c r="Q1476" s="1016" t="str">
        <f ca="1">IF($R1476="","",IF(XKNVLSX!$X$1="",IF($P1476=$V$7,$P1476, IF(COUNTIFS($C$2:$C1475,$C1476,$E$2:$E1475,$E1476)&gt;=1,"",$P1476)),     IF(AND(IFERROR(SEARCH($R1476,XKNVLSX!$X$1,1),0)&gt;=1,$P1476=$V$7),$P1476, IF(OR($R1476&lt;&gt;IF(IFERROR(SEARCH($R1476,XKNVLSX!$X$1,1),0)&gt;=1,$R1476,XKNVLSX!$X$1),COUNTIFS($C$2:$C1475,$C1476,$E$2:$E1475,$E1476,$Q$2:$Q1475,$P1476)&gt;=1),"",$P1476))))</f>
        <v/>
      </c>
      <c r="R1476" s="1017" t="str">
        <f ca="1">IF($A1476="","",IFERROR(INDEX(TinhGia!$BF$10:$BF$81,MATCH($A1476,TinhGia!$B$10:$B$81,0)),""))</f>
        <v/>
      </c>
      <c r="S1476" s="1012" t="str">
        <f ca="1">IF($A1476="","",IF(OR(IFERROR(SEARCH($R1476,XKNVLSX!$X$1,1),0)&gt;=1,XKNVLSX!$X$1=""),$S$2,""))</f>
        <v/>
      </c>
      <c r="T1476" s="1018" t="str">
        <f ca="1">IF($C1476="","", IF(OR($P1476=$V$1,$P1476=$V$7,COUNTIFS($C$3:$C1476,$C1476,$E$3:$E1476,$E1476)&lt;=1),$P1476,""    ))</f>
        <v/>
      </c>
      <c r="U1476" s="1019" t="str">
        <f ca="1">IF(AND($P1476=$V$2,COUNTIFS($C$3:$C1476,$C1476,$E$3:$E1476,$E1476,$G$3:$G1476,$G1476)&lt;=1),$P1476,"")</f>
        <v/>
      </c>
    </row>
    <row r="1477" spans="1:21">
      <c r="A1477" s="991" t="str">
        <f ca="1">IFERROR(IF(COUNTIF($A$3:A1476,A1476)&lt; INDEX(TinhGia!$BH$10:$BH$81,MATCH($A1476,TinhGia!$B$10:$B$81,0)),$A1476,INDEX(TinhGia!$B$10:$B$81,MATCH($A1476,TinhGia!$B$10:$B$81,0)+1)),"")</f>
        <v/>
      </c>
      <c r="B1477" s="525" t="str">
        <f ca="1">IF(OR(A1477="",A1477=0),"",IF(COUNTIF($A$2:A1477,$A1477)=1,ROW(MauKoXoa!$C$108),$B1476+1))</f>
        <v/>
      </c>
      <c r="C1477" s="992" t="str">
        <f t="shared" ca="1" si="239"/>
        <v/>
      </c>
      <c r="D1477" s="993" t="str">
        <f t="shared" ca="1" si="240"/>
        <v/>
      </c>
      <c r="E1477" s="993" t="str">
        <f t="shared" ca="1" si="241"/>
        <v/>
      </c>
      <c r="F1477" s="992" t="str">
        <f t="shared" ca="1" si="249"/>
        <v/>
      </c>
      <c r="G1477" s="994">
        <f t="shared" ca="1" si="242"/>
        <v>0</v>
      </c>
      <c r="H1477" s="913">
        <f t="shared" ca="1" si="243"/>
        <v>0</v>
      </c>
      <c r="I1477" s="913">
        <f t="shared" ca="1" si="244"/>
        <v>0</v>
      </c>
      <c r="J1477" s="995">
        <f t="shared" ca="1" si="250"/>
        <v>0</v>
      </c>
      <c r="K1477" s="913">
        <f t="shared" ca="1" si="245"/>
        <v>0</v>
      </c>
      <c r="L1477" s="995">
        <f t="shared" ca="1" si="251"/>
        <v>0</v>
      </c>
      <c r="M1477" s="913">
        <f t="shared" ca="1" si="246"/>
        <v>0</v>
      </c>
      <c r="N1477" s="996">
        <f t="shared" ca="1" si="247"/>
        <v>0</v>
      </c>
      <c r="O1477" s="997">
        <f t="shared" ca="1" si="248"/>
        <v>0</v>
      </c>
      <c r="P1477" s="1015" t="str">
        <f ca="1">IF($C1477="","",INDEX(NVLSX!$N$2:$N$6941,MATCH($C1477,NVLSX!$E$2:$E$6941,0)))</f>
        <v/>
      </c>
      <c r="Q1477" s="1016" t="str">
        <f ca="1">IF($R1477="","",IF(XKNVLSX!$X$1="",IF($P1477=$V$7,$P1477, IF(COUNTIFS($C$2:$C1476,$C1477,$E$2:$E1476,$E1477)&gt;=1,"",$P1477)),     IF(AND(IFERROR(SEARCH($R1477,XKNVLSX!$X$1,1),0)&gt;=1,$P1477=$V$7),$P1477, IF(OR($R1477&lt;&gt;IF(IFERROR(SEARCH($R1477,XKNVLSX!$X$1,1),0)&gt;=1,$R1477,XKNVLSX!$X$1),COUNTIFS($C$2:$C1476,$C1477,$E$2:$E1476,$E1477,$Q$2:$Q1476,$P1477)&gt;=1),"",$P1477))))</f>
        <v/>
      </c>
      <c r="R1477" s="1017" t="str">
        <f ca="1">IF($A1477="","",IFERROR(INDEX(TinhGia!$BF$10:$BF$81,MATCH($A1477,TinhGia!$B$10:$B$81,0)),""))</f>
        <v/>
      </c>
      <c r="S1477" s="1012" t="str">
        <f ca="1">IF($A1477="","",IF(OR(IFERROR(SEARCH($R1477,XKNVLSX!$X$1,1),0)&gt;=1,XKNVLSX!$X$1=""),$S$2,""))</f>
        <v/>
      </c>
      <c r="T1477" s="1018" t="str">
        <f ca="1">IF($C1477="","", IF(OR($P1477=$V$1,$P1477=$V$7,COUNTIFS($C$3:$C1477,$C1477,$E$3:$E1477,$E1477)&lt;=1),$P1477,""    ))</f>
        <v/>
      </c>
      <c r="U1477" s="1019" t="str">
        <f ca="1">IF(AND($P1477=$V$2,COUNTIFS($C$3:$C1477,$C1477,$E$3:$E1477,$E1477,$G$3:$G1477,$G1477)&lt;=1),$P1477,"")</f>
        <v/>
      </c>
    </row>
    <row r="1478" spans="1:21">
      <c r="A1478" s="991" t="str">
        <f ca="1">IFERROR(IF(COUNTIF($A$3:A1477,A1477)&lt; INDEX(TinhGia!$BH$10:$BH$81,MATCH($A1477,TinhGia!$B$10:$B$81,0)),$A1477,INDEX(TinhGia!$B$10:$B$81,MATCH($A1477,TinhGia!$B$10:$B$81,0)+1)),"")</f>
        <v/>
      </c>
      <c r="B1478" s="525" t="str">
        <f ca="1">IF(OR(A1478="",A1478=0),"",IF(COUNTIF($A$2:A1478,$A1478)=1,ROW(MauKoXoa!$C$108),$B1477+1))</f>
        <v/>
      </c>
      <c r="C1478" s="992" t="str">
        <f t="shared" ca="1" si="239"/>
        <v/>
      </c>
      <c r="D1478" s="993" t="str">
        <f t="shared" ca="1" si="240"/>
        <v/>
      </c>
      <c r="E1478" s="993" t="str">
        <f t="shared" ca="1" si="241"/>
        <v/>
      </c>
      <c r="F1478" s="992" t="str">
        <f t="shared" ca="1" si="249"/>
        <v/>
      </c>
      <c r="G1478" s="994">
        <f t="shared" ca="1" si="242"/>
        <v>0</v>
      </c>
      <c r="H1478" s="913">
        <f t="shared" ca="1" si="243"/>
        <v>0</v>
      </c>
      <c r="I1478" s="913">
        <f t="shared" ca="1" si="244"/>
        <v>0</v>
      </c>
      <c r="J1478" s="995">
        <f t="shared" ca="1" si="250"/>
        <v>0</v>
      </c>
      <c r="K1478" s="913">
        <f t="shared" ca="1" si="245"/>
        <v>0</v>
      </c>
      <c r="L1478" s="995">
        <f t="shared" ca="1" si="251"/>
        <v>0</v>
      </c>
      <c r="M1478" s="913">
        <f t="shared" ca="1" si="246"/>
        <v>0</v>
      </c>
      <c r="N1478" s="996">
        <f t="shared" ca="1" si="247"/>
        <v>0</v>
      </c>
      <c r="O1478" s="997">
        <f t="shared" ca="1" si="248"/>
        <v>0</v>
      </c>
      <c r="P1478" s="1015" t="str">
        <f ca="1">IF($C1478="","",INDEX(NVLSX!$N$2:$N$6941,MATCH($C1478,NVLSX!$E$2:$E$6941,0)))</f>
        <v/>
      </c>
      <c r="Q1478" s="1016" t="str">
        <f ca="1">IF($R1478="","",IF(XKNVLSX!$X$1="",IF($P1478=$V$7,$P1478, IF(COUNTIFS($C$2:$C1477,$C1478,$E$2:$E1477,$E1478)&gt;=1,"",$P1478)),     IF(AND(IFERROR(SEARCH($R1478,XKNVLSX!$X$1,1),0)&gt;=1,$P1478=$V$7),$P1478, IF(OR($R1478&lt;&gt;IF(IFERROR(SEARCH($R1478,XKNVLSX!$X$1,1),0)&gt;=1,$R1478,XKNVLSX!$X$1),COUNTIFS($C$2:$C1477,$C1478,$E$2:$E1477,$E1478,$Q$2:$Q1477,$P1478)&gt;=1),"",$P1478))))</f>
        <v/>
      </c>
      <c r="R1478" s="1017" t="str">
        <f ca="1">IF($A1478="","",IFERROR(INDEX(TinhGia!$BF$10:$BF$81,MATCH($A1478,TinhGia!$B$10:$B$81,0)),""))</f>
        <v/>
      </c>
      <c r="S1478" s="1012" t="str">
        <f ca="1">IF($A1478="","",IF(OR(IFERROR(SEARCH($R1478,XKNVLSX!$X$1,1),0)&gt;=1,XKNVLSX!$X$1=""),$S$2,""))</f>
        <v/>
      </c>
      <c r="T1478" s="1018" t="str">
        <f ca="1">IF($C1478="","", IF(OR($P1478=$V$1,$P1478=$V$7,COUNTIFS($C$3:$C1478,$C1478,$E$3:$E1478,$E1478)&lt;=1),$P1478,""    ))</f>
        <v/>
      </c>
      <c r="U1478" s="1019" t="str">
        <f ca="1">IF(AND($P1478=$V$2,COUNTIFS($C$3:$C1478,$C1478,$E$3:$E1478,$E1478,$G$3:$G1478,$G1478)&lt;=1),$P1478,"")</f>
        <v/>
      </c>
    </row>
    <row r="1479" spans="1:21">
      <c r="A1479" s="991" t="str">
        <f ca="1">IFERROR(IF(COUNTIF($A$3:A1478,A1478)&lt; INDEX(TinhGia!$BH$10:$BH$81,MATCH($A1478,TinhGia!$B$10:$B$81,0)),$A1478,INDEX(TinhGia!$B$10:$B$81,MATCH($A1478,TinhGia!$B$10:$B$81,0)+1)),"")</f>
        <v/>
      </c>
      <c r="B1479" s="525" t="str">
        <f ca="1">IF(OR(A1479="",A1479=0),"",IF(COUNTIF($A$2:A1479,$A1479)=1,ROW(MauKoXoa!$C$108),$B1478+1))</f>
        <v/>
      </c>
      <c r="C1479" s="992" t="str">
        <f t="shared" ca="1" si="239"/>
        <v/>
      </c>
      <c r="D1479" s="993" t="str">
        <f t="shared" ca="1" si="240"/>
        <v/>
      </c>
      <c r="E1479" s="993" t="str">
        <f t="shared" ca="1" si="241"/>
        <v/>
      </c>
      <c r="F1479" s="992" t="str">
        <f t="shared" ca="1" si="249"/>
        <v/>
      </c>
      <c r="G1479" s="994">
        <f t="shared" ca="1" si="242"/>
        <v>0</v>
      </c>
      <c r="H1479" s="913">
        <f t="shared" ca="1" si="243"/>
        <v>0</v>
      </c>
      <c r="I1479" s="913">
        <f t="shared" ca="1" si="244"/>
        <v>0</v>
      </c>
      <c r="J1479" s="995">
        <f t="shared" ca="1" si="250"/>
        <v>0</v>
      </c>
      <c r="K1479" s="913">
        <f t="shared" ca="1" si="245"/>
        <v>0</v>
      </c>
      <c r="L1479" s="995">
        <f t="shared" ca="1" si="251"/>
        <v>0</v>
      </c>
      <c r="M1479" s="913">
        <f t="shared" ca="1" si="246"/>
        <v>0</v>
      </c>
      <c r="N1479" s="996">
        <f t="shared" ca="1" si="247"/>
        <v>0</v>
      </c>
      <c r="O1479" s="997">
        <f t="shared" ca="1" si="248"/>
        <v>0</v>
      </c>
      <c r="P1479" s="1015" t="str">
        <f ca="1">IF($C1479="","",INDEX(NVLSX!$N$2:$N$6941,MATCH($C1479,NVLSX!$E$2:$E$6941,0)))</f>
        <v/>
      </c>
      <c r="Q1479" s="1016" t="str">
        <f ca="1">IF($R1479="","",IF(XKNVLSX!$X$1="",IF($P1479=$V$7,$P1479, IF(COUNTIFS($C$2:$C1478,$C1479,$E$2:$E1478,$E1479)&gt;=1,"",$P1479)),     IF(AND(IFERROR(SEARCH($R1479,XKNVLSX!$X$1,1),0)&gt;=1,$P1479=$V$7),$P1479, IF(OR($R1479&lt;&gt;IF(IFERROR(SEARCH($R1479,XKNVLSX!$X$1,1),0)&gt;=1,$R1479,XKNVLSX!$X$1),COUNTIFS($C$2:$C1478,$C1479,$E$2:$E1478,$E1479,$Q$2:$Q1478,$P1479)&gt;=1),"",$P1479))))</f>
        <v/>
      </c>
      <c r="R1479" s="1017" t="str">
        <f ca="1">IF($A1479="","",IFERROR(INDEX(TinhGia!$BF$10:$BF$81,MATCH($A1479,TinhGia!$B$10:$B$81,0)),""))</f>
        <v/>
      </c>
      <c r="S1479" s="1012" t="str">
        <f ca="1">IF($A1479="","",IF(OR(IFERROR(SEARCH($R1479,XKNVLSX!$X$1,1),0)&gt;=1,XKNVLSX!$X$1=""),$S$2,""))</f>
        <v/>
      </c>
      <c r="T1479" s="1018" t="str">
        <f ca="1">IF($C1479="","", IF(OR($P1479=$V$1,$P1479=$V$7,COUNTIFS($C$3:$C1479,$C1479,$E$3:$E1479,$E1479)&lt;=1),$P1479,""    ))</f>
        <v/>
      </c>
      <c r="U1479" s="1019" t="str">
        <f ca="1">IF(AND($P1479=$V$2,COUNTIFS($C$3:$C1479,$C1479,$E$3:$E1479,$E1479,$G$3:$G1479,$G1479)&lt;=1),$P1479,"")</f>
        <v/>
      </c>
    </row>
    <row r="1480" spans="1:21">
      <c r="A1480" s="991" t="str">
        <f ca="1">IFERROR(IF(COUNTIF($A$3:A1479,A1479)&lt; INDEX(TinhGia!$BH$10:$BH$81,MATCH($A1479,TinhGia!$B$10:$B$81,0)),$A1479,INDEX(TinhGia!$B$10:$B$81,MATCH($A1479,TinhGia!$B$10:$B$81,0)+1)),"")</f>
        <v/>
      </c>
      <c r="B1480" s="525" t="str">
        <f ca="1">IF(OR(A1480="",A1480=0),"",IF(COUNTIF($A$2:A1480,$A1480)=1,ROW(MauKoXoa!$C$108),$B1479+1))</f>
        <v/>
      </c>
      <c r="C1480" s="992" t="str">
        <f t="shared" ca="1" si="239"/>
        <v/>
      </c>
      <c r="D1480" s="993" t="str">
        <f t="shared" ca="1" si="240"/>
        <v/>
      </c>
      <c r="E1480" s="993" t="str">
        <f t="shared" ca="1" si="241"/>
        <v/>
      </c>
      <c r="F1480" s="992" t="str">
        <f t="shared" ca="1" si="249"/>
        <v/>
      </c>
      <c r="G1480" s="994">
        <f t="shared" ca="1" si="242"/>
        <v>0</v>
      </c>
      <c r="H1480" s="913">
        <f t="shared" ca="1" si="243"/>
        <v>0</v>
      </c>
      <c r="I1480" s="913">
        <f t="shared" ca="1" si="244"/>
        <v>0</v>
      </c>
      <c r="J1480" s="995">
        <f t="shared" ca="1" si="250"/>
        <v>0</v>
      </c>
      <c r="K1480" s="913">
        <f t="shared" ca="1" si="245"/>
        <v>0</v>
      </c>
      <c r="L1480" s="995">
        <f t="shared" ca="1" si="251"/>
        <v>0</v>
      </c>
      <c r="M1480" s="913">
        <f t="shared" ca="1" si="246"/>
        <v>0</v>
      </c>
      <c r="N1480" s="996">
        <f t="shared" ca="1" si="247"/>
        <v>0</v>
      </c>
      <c r="O1480" s="997">
        <f t="shared" ca="1" si="248"/>
        <v>0</v>
      </c>
      <c r="P1480" s="1015" t="str">
        <f ca="1">IF($C1480="","",INDEX(NVLSX!$N$2:$N$6941,MATCH($C1480,NVLSX!$E$2:$E$6941,0)))</f>
        <v/>
      </c>
      <c r="Q1480" s="1016" t="str">
        <f ca="1">IF($R1480="","",IF(XKNVLSX!$X$1="",IF($P1480=$V$7,$P1480, IF(COUNTIFS($C$2:$C1479,$C1480,$E$2:$E1479,$E1480)&gt;=1,"",$P1480)),     IF(AND(IFERROR(SEARCH($R1480,XKNVLSX!$X$1,1),0)&gt;=1,$P1480=$V$7),$P1480, IF(OR($R1480&lt;&gt;IF(IFERROR(SEARCH($R1480,XKNVLSX!$X$1,1),0)&gt;=1,$R1480,XKNVLSX!$X$1),COUNTIFS($C$2:$C1479,$C1480,$E$2:$E1479,$E1480,$Q$2:$Q1479,$P1480)&gt;=1),"",$P1480))))</f>
        <v/>
      </c>
      <c r="R1480" s="1017" t="str">
        <f ca="1">IF($A1480="","",IFERROR(INDEX(TinhGia!$BF$10:$BF$81,MATCH($A1480,TinhGia!$B$10:$B$81,0)),""))</f>
        <v/>
      </c>
      <c r="S1480" s="1012" t="str">
        <f ca="1">IF($A1480="","",IF(OR(IFERROR(SEARCH($R1480,XKNVLSX!$X$1,1),0)&gt;=1,XKNVLSX!$X$1=""),$S$2,""))</f>
        <v/>
      </c>
      <c r="T1480" s="1018" t="str">
        <f ca="1">IF($C1480="","", IF(OR($P1480=$V$1,$P1480=$V$7,COUNTIFS($C$3:$C1480,$C1480,$E$3:$E1480,$E1480)&lt;=1),$P1480,""    ))</f>
        <v/>
      </c>
      <c r="U1480" s="1019" t="str">
        <f ca="1">IF(AND($P1480=$V$2,COUNTIFS($C$3:$C1480,$C1480,$E$3:$E1480,$E1480,$G$3:$G1480,$G1480)&lt;=1),$P1480,"")</f>
        <v/>
      </c>
    </row>
    <row r="1481" spans="1:21">
      <c r="A1481" s="991" t="str">
        <f ca="1">IFERROR(IF(COUNTIF($A$3:A1480,A1480)&lt; INDEX(TinhGia!$BH$10:$BH$81,MATCH($A1480,TinhGia!$B$10:$B$81,0)),$A1480,INDEX(TinhGia!$B$10:$B$81,MATCH($A1480,TinhGia!$B$10:$B$81,0)+1)),"")</f>
        <v/>
      </c>
      <c r="B1481" s="525" t="str">
        <f ca="1">IF(OR(A1481="",A1481=0),"",IF(COUNTIF($A$2:A1481,$A1481)=1,ROW(MauKoXoa!$C$108),$B1480+1))</f>
        <v/>
      </c>
      <c r="C1481" s="992" t="str">
        <f t="shared" ca="1" si="239"/>
        <v/>
      </c>
      <c r="D1481" s="993" t="str">
        <f t="shared" ca="1" si="240"/>
        <v/>
      </c>
      <c r="E1481" s="993" t="str">
        <f t="shared" ca="1" si="241"/>
        <v/>
      </c>
      <c r="F1481" s="992" t="str">
        <f t="shared" ca="1" si="249"/>
        <v/>
      </c>
      <c r="G1481" s="994">
        <f t="shared" ca="1" si="242"/>
        <v>0</v>
      </c>
      <c r="H1481" s="913">
        <f t="shared" ca="1" si="243"/>
        <v>0</v>
      </c>
      <c r="I1481" s="913">
        <f t="shared" ca="1" si="244"/>
        <v>0</v>
      </c>
      <c r="J1481" s="995">
        <f t="shared" ca="1" si="250"/>
        <v>0</v>
      </c>
      <c r="K1481" s="913">
        <f t="shared" ca="1" si="245"/>
        <v>0</v>
      </c>
      <c r="L1481" s="995">
        <f t="shared" ca="1" si="251"/>
        <v>0</v>
      </c>
      <c r="M1481" s="913">
        <f t="shared" ca="1" si="246"/>
        <v>0</v>
      </c>
      <c r="N1481" s="996">
        <f t="shared" ca="1" si="247"/>
        <v>0</v>
      </c>
      <c r="O1481" s="997">
        <f t="shared" ca="1" si="248"/>
        <v>0</v>
      </c>
      <c r="P1481" s="1015" t="str">
        <f ca="1">IF($C1481="","",INDEX(NVLSX!$N$2:$N$6941,MATCH($C1481,NVLSX!$E$2:$E$6941,0)))</f>
        <v/>
      </c>
      <c r="Q1481" s="1016" t="str">
        <f ca="1">IF($R1481="","",IF(XKNVLSX!$X$1="",IF($P1481=$V$7,$P1481, IF(COUNTIFS($C$2:$C1480,$C1481,$E$2:$E1480,$E1481)&gt;=1,"",$P1481)),     IF(AND(IFERROR(SEARCH($R1481,XKNVLSX!$X$1,1),0)&gt;=1,$P1481=$V$7),$P1481, IF(OR($R1481&lt;&gt;IF(IFERROR(SEARCH($R1481,XKNVLSX!$X$1,1),0)&gt;=1,$R1481,XKNVLSX!$X$1),COUNTIFS($C$2:$C1480,$C1481,$E$2:$E1480,$E1481,$Q$2:$Q1480,$P1481)&gt;=1),"",$P1481))))</f>
        <v/>
      </c>
      <c r="R1481" s="1017" t="str">
        <f ca="1">IF($A1481="","",IFERROR(INDEX(TinhGia!$BF$10:$BF$81,MATCH($A1481,TinhGia!$B$10:$B$81,0)),""))</f>
        <v/>
      </c>
      <c r="S1481" s="1012" t="str">
        <f ca="1">IF($A1481="","",IF(OR(IFERROR(SEARCH($R1481,XKNVLSX!$X$1,1),0)&gt;=1,XKNVLSX!$X$1=""),$S$2,""))</f>
        <v/>
      </c>
      <c r="T1481" s="1018" t="str">
        <f ca="1">IF($C1481="","", IF(OR($P1481=$V$1,$P1481=$V$7,COUNTIFS($C$3:$C1481,$C1481,$E$3:$E1481,$E1481)&lt;=1),$P1481,""    ))</f>
        <v/>
      </c>
      <c r="U1481" s="1019" t="str">
        <f ca="1">IF(AND($P1481=$V$2,COUNTIFS($C$3:$C1481,$C1481,$E$3:$E1481,$E1481,$G$3:$G1481,$G1481)&lt;=1),$P1481,"")</f>
        <v/>
      </c>
    </row>
    <row r="1482" spans="1:21">
      <c r="A1482" s="991" t="str">
        <f ca="1">IFERROR(IF(COUNTIF($A$3:A1481,A1481)&lt; INDEX(TinhGia!$BH$10:$BH$81,MATCH($A1481,TinhGia!$B$10:$B$81,0)),$A1481,INDEX(TinhGia!$B$10:$B$81,MATCH($A1481,TinhGia!$B$10:$B$81,0)+1)),"")</f>
        <v/>
      </c>
      <c r="B1482" s="525" t="str">
        <f ca="1">IF(OR(A1482="",A1482=0),"",IF(COUNTIF($A$2:A1482,$A1482)=1,ROW(MauKoXoa!$C$108),$B1481+1))</f>
        <v/>
      </c>
      <c r="C1482" s="992" t="str">
        <f t="shared" ca="1" si="239"/>
        <v/>
      </c>
      <c r="D1482" s="993" t="str">
        <f t="shared" ca="1" si="240"/>
        <v/>
      </c>
      <c r="E1482" s="993" t="str">
        <f t="shared" ca="1" si="241"/>
        <v/>
      </c>
      <c r="F1482" s="992" t="str">
        <f t="shared" ca="1" si="249"/>
        <v/>
      </c>
      <c r="G1482" s="994">
        <f t="shared" ca="1" si="242"/>
        <v>0</v>
      </c>
      <c r="H1482" s="913">
        <f t="shared" ca="1" si="243"/>
        <v>0</v>
      </c>
      <c r="I1482" s="913">
        <f t="shared" ca="1" si="244"/>
        <v>0</v>
      </c>
      <c r="J1482" s="995">
        <f t="shared" ca="1" si="250"/>
        <v>0</v>
      </c>
      <c r="K1482" s="913">
        <f t="shared" ca="1" si="245"/>
        <v>0</v>
      </c>
      <c r="L1482" s="995">
        <f t="shared" ca="1" si="251"/>
        <v>0</v>
      </c>
      <c r="M1482" s="913">
        <f t="shared" ca="1" si="246"/>
        <v>0</v>
      </c>
      <c r="N1482" s="996">
        <f t="shared" ca="1" si="247"/>
        <v>0</v>
      </c>
      <c r="O1482" s="997">
        <f t="shared" ca="1" si="248"/>
        <v>0</v>
      </c>
      <c r="P1482" s="1015" t="str">
        <f ca="1">IF($C1482="","",INDEX(NVLSX!$N$2:$N$6941,MATCH($C1482,NVLSX!$E$2:$E$6941,0)))</f>
        <v/>
      </c>
      <c r="Q1482" s="1016" t="str">
        <f ca="1">IF($R1482="","",IF(XKNVLSX!$X$1="",IF($P1482=$V$7,$P1482, IF(COUNTIFS($C$2:$C1481,$C1482,$E$2:$E1481,$E1482)&gt;=1,"",$P1482)),     IF(AND(IFERROR(SEARCH($R1482,XKNVLSX!$X$1,1),0)&gt;=1,$P1482=$V$7),$P1482, IF(OR($R1482&lt;&gt;IF(IFERROR(SEARCH($R1482,XKNVLSX!$X$1,1),0)&gt;=1,$R1482,XKNVLSX!$X$1),COUNTIFS($C$2:$C1481,$C1482,$E$2:$E1481,$E1482,$Q$2:$Q1481,$P1482)&gt;=1),"",$P1482))))</f>
        <v/>
      </c>
      <c r="R1482" s="1017" t="str">
        <f ca="1">IF($A1482="","",IFERROR(INDEX(TinhGia!$BF$10:$BF$81,MATCH($A1482,TinhGia!$B$10:$B$81,0)),""))</f>
        <v/>
      </c>
      <c r="S1482" s="1012" t="str">
        <f ca="1">IF($A1482="","",IF(OR(IFERROR(SEARCH($R1482,XKNVLSX!$X$1,1),0)&gt;=1,XKNVLSX!$X$1=""),$S$2,""))</f>
        <v/>
      </c>
      <c r="T1482" s="1018" t="str">
        <f ca="1">IF($C1482="","", IF(OR($P1482=$V$1,$P1482=$V$7,COUNTIFS($C$3:$C1482,$C1482,$E$3:$E1482,$E1482)&lt;=1),$P1482,""    ))</f>
        <v/>
      </c>
      <c r="U1482" s="1019" t="str">
        <f ca="1">IF(AND($P1482=$V$2,COUNTIFS($C$3:$C1482,$C1482,$E$3:$E1482,$E1482,$G$3:$G1482,$G1482)&lt;=1),$P1482,"")</f>
        <v/>
      </c>
    </row>
    <row r="1483" spans="1:21">
      <c r="A1483" s="991" t="str">
        <f ca="1">IFERROR(IF(COUNTIF($A$3:A1482,A1482)&lt; INDEX(TinhGia!$BH$10:$BH$81,MATCH($A1482,TinhGia!$B$10:$B$81,0)),$A1482,INDEX(TinhGia!$B$10:$B$81,MATCH($A1482,TinhGia!$B$10:$B$81,0)+1)),"")</f>
        <v/>
      </c>
      <c r="B1483" s="525" t="str">
        <f ca="1">IF(OR(A1483="",A1483=0),"",IF(COUNTIF($A$2:A1483,$A1483)=1,ROW(MauKoXoa!$C$108),$B1482+1))</f>
        <v/>
      </c>
      <c r="C1483" s="992" t="str">
        <f t="shared" ca="1" si="239"/>
        <v/>
      </c>
      <c r="D1483" s="993" t="str">
        <f t="shared" ca="1" si="240"/>
        <v/>
      </c>
      <c r="E1483" s="993" t="str">
        <f t="shared" ca="1" si="241"/>
        <v/>
      </c>
      <c r="F1483" s="992" t="str">
        <f t="shared" ca="1" si="249"/>
        <v/>
      </c>
      <c r="G1483" s="994">
        <f t="shared" ca="1" si="242"/>
        <v>0</v>
      </c>
      <c r="H1483" s="913">
        <f t="shared" ca="1" si="243"/>
        <v>0</v>
      </c>
      <c r="I1483" s="913">
        <f t="shared" ca="1" si="244"/>
        <v>0</v>
      </c>
      <c r="J1483" s="995">
        <f t="shared" ca="1" si="250"/>
        <v>0</v>
      </c>
      <c r="K1483" s="913">
        <f t="shared" ca="1" si="245"/>
        <v>0</v>
      </c>
      <c r="L1483" s="995">
        <f t="shared" ca="1" si="251"/>
        <v>0</v>
      </c>
      <c r="M1483" s="913">
        <f t="shared" ca="1" si="246"/>
        <v>0</v>
      </c>
      <c r="N1483" s="996">
        <f t="shared" ca="1" si="247"/>
        <v>0</v>
      </c>
      <c r="O1483" s="997">
        <f t="shared" ca="1" si="248"/>
        <v>0</v>
      </c>
      <c r="P1483" s="1015" t="str">
        <f ca="1">IF($C1483="","",INDEX(NVLSX!$N$2:$N$6941,MATCH($C1483,NVLSX!$E$2:$E$6941,0)))</f>
        <v/>
      </c>
      <c r="Q1483" s="1016" t="str">
        <f ca="1">IF($R1483="","",IF(XKNVLSX!$X$1="",IF($P1483=$V$7,$P1483, IF(COUNTIFS($C$2:$C1482,$C1483,$E$2:$E1482,$E1483)&gt;=1,"",$P1483)),     IF(AND(IFERROR(SEARCH($R1483,XKNVLSX!$X$1,1),0)&gt;=1,$P1483=$V$7),$P1483, IF(OR($R1483&lt;&gt;IF(IFERROR(SEARCH($R1483,XKNVLSX!$X$1,1),0)&gt;=1,$R1483,XKNVLSX!$X$1),COUNTIFS($C$2:$C1482,$C1483,$E$2:$E1482,$E1483,$Q$2:$Q1482,$P1483)&gt;=1),"",$P1483))))</f>
        <v/>
      </c>
      <c r="R1483" s="1017" t="str">
        <f ca="1">IF($A1483="","",IFERROR(INDEX(TinhGia!$BF$10:$BF$81,MATCH($A1483,TinhGia!$B$10:$B$81,0)),""))</f>
        <v/>
      </c>
      <c r="S1483" s="1012" t="str">
        <f ca="1">IF($A1483="","",IF(OR(IFERROR(SEARCH($R1483,XKNVLSX!$X$1,1),0)&gt;=1,XKNVLSX!$X$1=""),$S$2,""))</f>
        <v/>
      </c>
      <c r="T1483" s="1018" t="str">
        <f ca="1">IF($C1483="","", IF(OR($P1483=$V$1,$P1483=$V$7,COUNTIFS($C$3:$C1483,$C1483,$E$3:$E1483,$E1483)&lt;=1),$P1483,""    ))</f>
        <v/>
      </c>
      <c r="U1483" s="1019" t="str">
        <f ca="1">IF(AND($P1483=$V$2,COUNTIFS($C$3:$C1483,$C1483,$E$3:$E1483,$E1483,$G$3:$G1483,$G1483)&lt;=1),$P1483,"")</f>
        <v/>
      </c>
    </row>
    <row r="1484" spans="1:21">
      <c r="A1484" s="991" t="str">
        <f ca="1">IFERROR(IF(COUNTIF($A$3:A1483,A1483)&lt; INDEX(TinhGia!$BH$10:$BH$81,MATCH($A1483,TinhGia!$B$10:$B$81,0)),$A1483,INDEX(TinhGia!$B$10:$B$81,MATCH($A1483,TinhGia!$B$10:$B$81,0)+1)),"")</f>
        <v/>
      </c>
      <c r="B1484" s="525" t="str">
        <f ca="1">IF(OR(A1484="",A1484=0),"",IF(COUNTIF($A$2:A1484,$A1484)=1,ROW(MauKoXoa!$C$108),$B1483+1))</f>
        <v/>
      </c>
      <c r="C1484" s="992" t="str">
        <f t="shared" ca="1" si="239"/>
        <v/>
      </c>
      <c r="D1484" s="993" t="str">
        <f t="shared" ca="1" si="240"/>
        <v/>
      </c>
      <c r="E1484" s="993" t="str">
        <f t="shared" ca="1" si="241"/>
        <v/>
      </c>
      <c r="F1484" s="992" t="str">
        <f t="shared" ca="1" si="249"/>
        <v/>
      </c>
      <c r="G1484" s="994">
        <f t="shared" ca="1" si="242"/>
        <v>0</v>
      </c>
      <c r="H1484" s="913">
        <f t="shared" ca="1" si="243"/>
        <v>0</v>
      </c>
      <c r="I1484" s="913">
        <f t="shared" ca="1" si="244"/>
        <v>0</v>
      </c>
      <c r="J1484" s="995">
        <f t="shared" ca="1" si="250"/>
        <v>0</v>
      </c>
      <c r="K1484" s="913">
        <f t="shared" ca="1" si="245"/>
        <v>0</v>
      </c>
      <c r="L1484" s="995">
        <f t="shared" ca="1" si="251"/>
        <v>0</v>
      </c>
      <c r="M1484" s="913">
        <f t="shared" ca="1" si="246"/>
        <v>0</v>
      </c>
      <c r="N1484" s="996">
        <f t="shared" ca="1" si="247"/>
        <v>0</v>
      </c>
      <c r="O1484" s="997">
        <f t="shared" ca="1" si="248"/>
        <v>0</v>
      </c>
      <c r="P1484" s="1015" t="str">
        <f ca="1">IF($C1484="","",INDEX(NVLSX!$N$2:$N$6941,MATCH($C1484,NVLSX!$E$2:$E$6941,0)))</f>
        <v/>
      </c>
      <c r="Q1484" s="1016" t="str">
        <f ca="1">IF($R1484="","",IF(XKNVLSX!$X$1="",IF($P1484=$V$7,$P1484, IF(COUNTIFS($C$2:$C1483,$C1484,$E$2:$E1483,$E1484)&gt;=1,"",$P1484)),     IF(AND(IFERROR(SEARCH($R1484,XKNVLSX!$X$1,1),0)&gt;=1,$P1484=$V$7),$P1484, IF(OR($R1484&lt;&gt;IF(IFERROR(SEARCH($R1484,XKNVLSX!$X$1,1),0)&gt;=1,$R1484,XKNVLSX!$X$1),COUNTIFS($C$2:$C1483,$C1484,$E$2:$E1483,$E1484,$Q$2:$Q1483,$P1484)&gt;=1),"",$P1484))))</f>
        <v/>
      </c>
      <c r="R1484" s="1017" t="str">
        <f ca="1">IF($A1484="","",IFERROR(INDEX(TinhGia!$BF$10:$BF$81,MATCH($A1484,TinhGia!$B$10:$B$81,0)),""))</f>
        <v/>
      </c>
      <c r="S1484" s="1012" t="str">
        <f ca="1">IF($A1484="","",IF(OR(IFERROR(SEARCH($R1484,XKNVLSX!$X$1,1),0)&gt;=1,XKNVLSX!$X$1=""),$S$2,""))</f>
        <v/>
      </c>
      <c r="T1484" s="1018" t="str">
        <f ca="1">IF($C1484="","", IF(OR($P1484=$V$1,$P1484=$V$7,COUNTIFS($C$3:$C1484,$C1484,$E$3:$E1484,$E1484)&lt;=1),$P1484,""    ))</f>
        <v/>
      </c>
      <c r="U1484" s="1019" t="str">
        <f ca="1">IF(AND($P1484=$V$2,COUNTIFS($C$3:$C1484,$C1484,$E$3:$E1484,$E1484,$G$3:$G1484,$G1484)&lt;=1),$P1484,"")</f>
        <v/>
      </c>
    </row>
    <row r="1485" spans="1:21">
      <c r="A1485" s="991" t="str">
        <f ca="1">IFERROR(IF(COUNTIF($A$3:A1484,A1484)&lt; INDEX(TinhGia!$BH$10:$BH$81,MATCH($A1484,TinhGia!$B$10:$B$81,0)),$A1484,INDEX(TinhGia!$B$10:$B$81,MATCH($A1484,TinhGia!$B$10:$B$81,0)+1)),"")</f>
        <v/>
      </c>
      <c r="B1485" s="525" t="str">
        <f ca="1">IF(OR(A1485="",A1485=0),"",IF(COUNTIF($A$2:A1485,$A1485)=1,ROW(MauKoXoa!$C$108),$B1484+1))</f>
        <v/>
      </c>
      <c r="C1485" s="992" t="str">
        <f t="shared" ca="1" si="239"/>
        <v/>
      </c>
      <c r="D1485" s="993" t="str">
        <f t="shared" ca="1" si="240"/>
        <v/>
      </c>
      <c r="E1485" s="993" t="str">
        <f t="shared" ca="1" si="241"/>
        <v/>
      </c>
      <c r="F1485" s="992" t="str">
        <f t="shared" ca="1" si="249"/>
        <v/>
      </c>
      <c r="G1485" s="994">
        <f t="shared" ca="1" si="242"/>
        <v>0</v>
      </c>
      <c r="H1485" s="913">
        <f t="shared" ca="1" si="243"/>
        <v>0</v>
      </c>
      <c r="I1485" s="913">
        <f t="shared" ca="1" si="244"/>
        <v>0</v>
      </c>
      <c r="J1485" s="995">
        <f t="shared" ca="1" si="250"/>
        <v>0</v>
      </c>
      <c r="K1485" s="913">
        <f t="shared" ca="1" si="245"/>
        <v>0</v>
      </c>
      <c r="L1485" s="995">
        <f t="shared" ca="1" si="251"/>
        <v>0</v>
      </c>
      <c r="M1485" s="913">
        <f t="shared" ca="1" si="246"/>
        <v>0</v>
      </c>
      <c r="N1485" s="996">
        <f t="shared" ca="1" si="247"/>
        <v>0</v>
      </c>
      <c r="O1485" s="997">
        <f t="shared" ca="1" si="248"/>
        <v>0</v>
      </c>
      <c r="P1485" s="1015" t="str">
        <f ca="1">IF($C1485="","",INDEX(NVLSX!$N$2:$N$6941,MATCH($C1485,NVLSX!$E$2:$E$6941,0)))</f>
        <v/>
      </c>
      <c r="Q1485" s="1016" t="str">
        <f ca="1">IF($R1485="","",IF(XKNVLSX!$X$1="",IF($P1485=$V$7,$P1485, IF(COUNTIFS($C$2:$C1484,$C1485,$E$2:$E1484,$E1485)&gt;=1,"",$P1485)),     IF(AND(IFERROR(SEARCH($R1485,XKNVLSX!$X$1,1),0)&gt;=1,$P1485=$V$7),$P1485, IF(OR($R1485&lt;&gt;IF(IFERROR(SEARCH($R1485,XKNVLSX!$X$1,1),0)&gt;=1,$R1485,XKNVLSX!$X$1),COUNTIFS($C$2:$C1484,$C1485,$E$2:$E1484,$E1485,$Q$2:$Q1484,$P1485)&gt;=1),"",$P1485))))</f>
        <v/>
      </c>
      <c r="R1485" s="1017" t="str">
        <f ca="1">IF($A1485="","",IFERROR(INDEX(TinhGia!$BF$10:$BF$81,MATCH($A1485,TinhGia!$B$10:$B$81,0)),""))</f>
        <v/>
      </c>
      <c r="S1485" s="1012" t="str">
        <f ca="1">IF($A1485="","",IF(OR(IFERROR(SEARCH($R1485,XKNVLSX!$X$1,1),0)&gt;=1,XKNVLSX!$X$1=""),$S$2,""))</f>
        <v/>
      </c>
      <c r="T1485" s="1018" t="str">
        <f ca="1">IF($C1485="","", IF(OR($P1485=$V$1,$P1485=$V$7,COUNTIFS($C$3:$C1485,$C1485,$E$3:$E1485,$E1485)&lt;=1),$P1485,""    ))</f>
        <v/>
      </c>
      <c r="U1485" s="1019" t="str">
        <f ca="1">IF(AND($P1485=$V$2,COUNTIFS($C$3:$C1485,$C1485,$E$3:$E1485,$E1485,$G$3:$G1485,$G1485)&lt;=1),$P1485,"")</f>
        <v/>
      </c>
    </row>
    <row r="1486" spans="1:21">
      <c r="A1486" s="991" t="str">
        <f ca="1">IFERROR(IF(COUNTIF($A$3:A1485,A1485)&lt; INDEX(TinhGia!$BH$10:$BH$81,MATCH($A1485,TinhGia!$B$10:$B$81,0)),$A1485,INDEX(TinhGia!$B$10:$B$81,MATCH($A1485,TinhGia!$B$10:$B$81,0)+1)),"")</f>
        <v/>
      </c>
      <c r="B1486" s="525" t="str">
        <f ca="1">IF(OR(A1486="",A1486=0),"",IF(COUNTIF($A$2:A1486,$A1486)=1,ROW(MauKoXoa!$C$108),$B1485+1))</f>
        <v/>
      </c>
      <c r="C1486" s="992" t="str">
        <f t="shared" ca="1" si="239"/>
        <v/>
      </c>
      <c r="D1486" s="993" t="str">
        <f t="shared" ca="1" si="240"/>
        <v/>
      </c>
      <c r="E1486" s="993" t="str">
        <f t="shared" ca="1" si="241"/>
        <v/>
      </c>
      <c r="F1486" s="992" t="str">
        <f t="shared" ca="1" si="249"/>
        <v/>
      </c>
      <c r="G1486" s="994">
        <f t="shared" ca="1" si="242"/>
        <v>0</v>
      </c>
      <c r="H1486" s="913">
        <f t="shared" ca="1" si="243"/>
        <v>0</v>
      </c>
      <c r="I1486" s="913">
        <f t="shared" ca="1" si="244"/>
        <v>0</v>
      </c>
      <c r="J1486" s="995">
        <f t="shared" ca="1" si="250"/>
        <v>0</v>
      </c>
      <c r="K1486" s="913">
        <f t="shared" ca="1" si="245"/>
        <v>0</v>
      </c>
      <c r="L1486" s="995">
        <f t="shared" ca="1" si="251"/>
        <v>0</v>
      </c>
      <c r="M1486" s="913">
        <f t="shared" ca="1" si="246"/>
        <v>0</v>
      </c>
      <c r="N1486" s="996">
        <f t="shared" ca="1" si="247"/>
        <v>0</v>
      </c>
      <c r="O1486" s="997">
        <f t="shared" ca="1" si="248"/>
        <v>0</v>
      </c>
      <c r="P1486" s="1015" t="str">
        <f ca="1">IF($C1486="","",INDEX(NVLSX!$N$2:$N$6941,MATCH($C1486,NVLSX!$E$2:$E$6941,0)))</f>
        <v/>
      </c>
      <c r="Q1486" s="1016" t="str">
        <f ca="1">IF($R1486="","",IF(XKNVLSX!$X$1="",IF($P1486=$V$7,$P1486, IF(COUNTIFS($C$2:$C1485,$C1486,$E$2:$E1485,$E1486)&gt;=1,"",$P1486)),     IF(AND(IFERROR(SEARCH($R1486,XKNVLSX!$X$1,1),0)&gt;=1,$P1486=$V$7),$P1486, IF(OR($R1486&lt;&gt;IF(IFERROR(SEARCH($R1486,XKNVLSX!$X$1,1),0)&gt;=1,$R1486,XKNVLSX!$X$1),COUNTIFS($C$2:$C1485,$C1486,$E$2:$E1485,$E1486,$Q$2:$Q1485,$P1486)&gt;=1),"",$P1486))))</f>
        <v/>
      </c>
      <c r="R1486" s="1017" t="str">
        <f ca="1">IF($A1486="","",IFERROR(INDEX(TinhGia!$BF$10:$BF$81,MATCH($A1486,TinhGia!$B$10:$B$81,0)),""))</f>
        <v/>
      </c>
      <c r="S1486" s="1012" t="str">
        <f ca="1">IF($A1486="","",IF(OR(IFERROR(SEARCH($R1486,XKNVLSX!$X$1,1),0)&gt;=1,XKNVLSX!$X$1=""),$S$2,""))</f>
        <v/>
      </c>
      <c r="T1486" s="1018" t="str">
        <f ca="1">IF($C1486="","", IF(OR($P1486=$V$1,$P1486=$V$7,COUNTIFS($C$3:$C1486,$C1486,$E$3:$E1486,$E1486)&lt;=1),$P1486,""    ))</f>
        <v/>
      </c>
      <c r="U1486" s="1019" t="str">
        <f ca="1">IF(AND($P1486=$V$2,COUNTIFS($C$3:$C1486,$C1486,$E$3:$E1486,$E1486,$G$3:$G1486,$G1486)&lt;=1),$P1486,"")</f>
        <v/>
      </c>
    </row>
    <row r="1487" spans="1:21">
      <c r="A1487" s="991" t="str">
        <f ca="1">IFERROR(IF(COUNTIF($A$3:A1486,A1486)&lt; INDEX(TinhGia!$BH$10:$BH$81,MATCH($A1486,TinhGia!$B$10:$B$81,0)),$A1486,INDEX(TinhGia!$B$10:$B$81,MATCH($A1486,TinhGia!$B$10:$B$81,0)+1)),"")</f>
        <v/>
      </c>
      <c r="B1487" s="525" t="str">
        <f ca="1">IF(OR(A1487="",A1487=0),"",IF(COUNTIF($A$2:A1487,$A1487)=1,ROW(MauKoXoa!$C$108),$B1486+1))</f>
        <v/>
      </c>
      <c r="C1487" s="992" t="str">
        <f t="shared" ca="1" si="239"/>
        <v/>
      </c>
      <c r="D1487" s="993" t="str">
        <f t="shared" ca="1" si="240"/>
        <v/>
      </c>
      <c r="E1487" s="993" t="str">
        <f t="shared" ca="1" si="241"/>
        <v/>
      </c>
      <c r="F1487" s="992" t="str">
        <f t="shared" ca="1" si="249"/>
        <v/>
      </c>
      <c r="G1487" s="994">
        <f t="shared" ca="1" si="242"/>
        <v>0</v>
      </c>
      <c r="H1487" s="913">
        <f t="shared" ca="1" si="243"/>
        <v>0</v>
      </c>
      <c r="I1487" s="913">
        <f t="shared" ca="1" si="244"/>
        <v>0</v>
      </c>
      <c r="J1487" s="995">
        <f t="shared" ca="1" si="250"/>
        <v>0</v>
      </c>
      <c r="K1487" s="913">
        <f t="shared" ca="1" si="245"/>
        <v>0</v>
      </c>
      <c r="L1487" s="995">
        <f t="shared" ca="1" si="251"/>
        <v>0</v>
      </c>
      <c r="M1487" s="913">
        <f t="shared" ca="1" si="246"/>
        <v>0</v>
      </c>
      <c r="N1487" s="996">
        <f t="shared" ca="1" si="247"/>
        <v>0</v>
      </c>
      <c r="O1487" s="997">
        <f t="shared" ca="1" si="248"/>
        <v>0</v>
      </c>
      <c r="P1487" s="1015" t="str">
        <f ca="1">IF($C1487="","",INDEX(NVLSX!$N$2:$N$6941,MATCH($C1487,NVLSX!$E$2:$E$6941,0)))</f>
        <v/>
      </c>
      <c r="Q1487" s="1016" t="str">
        <f ca="1">IF($R1487="","",IF(XKNVLSX!$X$1="",IF($P1487=$V$7,$P1487, IF(COUNTIFS($C$2:$C1486,$C1487,$E$2:$E1486,$E1487)&gt;=1,"",$P1487)),     IF(AND(IFERROR(SEARCH($R1487,XKNVLSX!$X$1,1),0)&gt;=1,$P1487=$V$7),$P1487, IF(OR($R1487&lt;&gt;IF(IFERROR(SEARCH($R1487,XKNVLSX!$X$1,1),0)&gt;=1,$R1487,XKNVLSX!$X$1),COUNTIFS($C$2:$C1486,$C1487,$E$2:$E1486,$E1487,$Q$2:$Q1486,$P1487)&gt;=1),"",$P1487))))</f>
        <v/>
      </c>
      <c r="R1487" s="1017" t="str">
        <f ca="1">IF($A1487="","",IFERROR(INDEX(TinhGia!$BF$10:$BF$81,MATCH($A1487,TinhGia!$B$10:$B$81,0)),""))</f>
        <v/>
      </c>
      <c r="S1487" s="1012" t="str">
        <f ca="1">IF($A1487="","",IF(OR(IFERROR(SEARCH($R1487,XKNVLSX!$X$1,1),0)&gt;=1,XKNVLSX!$X$1=""),$S$2,""))</f>
        <v/>
      </c>
      <c r="T1487" s="1018" t="str">
        <f ca="1">IF($C1487="","", IF(OR($P1487=$V$1,$P1487=$V$7,COUNTIFS($C$3:$C1487,$C1487,$E$3:$E1487,$E1487)&lt;=1),$P1487,""    ))</f>
        <v/>
      </c>
      <c r="U1487" s="1019" t="str">
        <f ca="1">IF(AND($P1487=$V$2,COUNTIFS($C$3:$C1487,$C1487,$E$3:$E1487,$E1487,$G$3:$G1487,$G1487)&lt;=1),$P1487,"")</f>
        <v/>
      </c>
    </row>
    <row r="1488" spans="1:21">
      <c r="A1488" s="991" t="str">
        <f ca="1">IFERROR(IF(COUNTIF($A$3:A1487,A1487)&lt; INDEX(TinhGia!$BH$10:$BH$81,MATCH($A1487,TinhGia!$B$10:$B$81,0)),$A1487,INDEX(TinhGia!$B$10:$B$81,MATCH($A1487,TinhGia!$B$10:$B$81,0)+1)),"")</f>
        <v/>
      </c>
      <c r="B1488" s="525" t="str">
        <f ca="1">IF(OR(A1488="",A1488=0),"",IF(COUNTIF($A$2:A1488,$A1488)=1,ROW(MauKoXoa!$C$108),$B1487+1))</f>
        <v/>
      </c>
      <c r="C1488" s="992" t="str">
        <f t="shared" ca="1" si="239"/>
        <v/>
      </c>
      <c r="D1488" s="993" t="str">
        <f t="shared" ca="1" si="240"/>
        <v/>
      </c>
      <c r="E1488" s="993" t="str">
        <f t="shared" ca="1" si="241"/>
        <v/>
      </c>
      <c r="F1488" s="992" t="str">
        <f t="shared" ca="1" si="249"/>
        <v/>
      </c>
      <c r="G1488" s="994">
        <f t="shared" ca="1" si="242"/>
        <v>0</v>
      </c>
      <c r="H1488" s="913">
        <f t="shared" ca="1" si="243"/>
        <v>0</v>
      </c>
      <c r="I1488" s="913">
        <f t="shared" ca="1" si="244"/>
        <v>0</v>
      </c>
      <c r="J1488" s="995">
        <f t="shared" ca="1" si="250"/>
        <v>0</v>
      </c>
      <c r="K1488" s="913">
        <f t="shared" ca="1" si="245"/>
        <v>0</v>
      </c>
      <c r="L1488" s="995">
        <f t="shared" ca="1" si="251"/>
        <v>0</v>
      </c>
      <c r="M1488" s="913">
        <f t="shared" ca="1" si="246"/>
        <v>0</v>
      </c>
      <c r="N1488" s="996">
        <f t="shared" ca="1" si="247"/>
        <v>0</v>
      </c>
      <c r="O1488" s="997">
        <f t="shared" ca="1" si="248"/>
        <v>0</v>
      </c>
      <c r="P1488" s="1015" t="str">
        <f ca="1">IF($C1488="","",INDEX(NVLSX!$N$2:$N$6941,MATCH($C1488,NVLSX!$E$2:$E$6941,0)))</f>
        <v/>
      </c>
      <c r="Q1488" s="1016" t="str">
        <f ca="1">IF($R1488="","",IF(XKNVLSX!$X$1="",IF($P1488=$V$7,$P1488, IF(COUNTIFS($C$2:$C1487,$C1488,$E$2:$E1487,$E1488)&gt;=1,"",$P1488)),     IF(AND(IFERROR(SEARCH($R1488,XKNVLSX!$X$1,1),0)&gt;=1,$P1488=$V$7),$P1488, IF(OR($R1488&lt;&gt;IF(IFERROR(SEARCH($R1488,XKNVLSX!$X$1,1),0)&gt;=1,$R1488,XKNVLSX!$X$1),COUNTIFS($C$2:$C1487,$C1488,$E$2:$E1487,$E1488,$Q$2:$Q1487,$P1488)&gt;=1),"",$P1488))))</f>
        <v/>
      </c>
      <c r="R1488" s="1017" t="str">
        <f ca="1">IF($A1488="","",IFERROR(INDEX(TinhGia!$BF$10:$BF$81,MATCH($A1488,TinhGia!$B$10:$B$81,0)),""))</f>
        <v/>
      </c>
      <c r="S1488" s="1012" t="str">
        <f ca="1">IF($A1488="","",IF(OR(IFERROR(SEARCH($R1488,XKNVLSX!$X$1,1),0)&gt;=1,XKNVLSX!$X$1=""),$S$2,""))</f>
        <v/>
      </c>
      <c r="T1488" s="1018" t="str">
        <f ca="1">IF($C1488="","", IF(OR($P1488=$V$1,$P1488=$V$7,COUNTIFS($C$3:$C1488,$C1488,$E$3:$E1488,$E1488)&lt;=1),$P1488,""    ))</f>
        <v/>
      </c>
      <c r="U1488" s="1019" t="str">
        <f ca="1">IF(AND($P1488=$V$2,COUNTIFS($C$3:$C1488,$C1488,$E$3:$E1488,$E1488,$G$3:$G1488,$G1488)&lt;=1),$P1488,"")</f>
        <v/>
      </c>
    </row>
    <row r="1489" spans="1:23">
      <c r="A1489" s="991" t="str">
        <f ca="1">IFERROR(IF(COUNTIF($A$3:A1488,A1488)&lt; INDEX(TinhGia!$BH$10:$BH$81,MATCH($A1488,TinhGia!$B$10:$B$81,0)),$A1488,INDEX(TinhGia!$B$10:$B$81,MATCH($A1488,TinhGia!$B$10:$B$81,0)+1)),"")</f>
        <v/>
      </c>
      <c r="B1489" s="525" t="str">
        <f ca="1">IF(OR(A1489="",A1489=0),"",IF(COUNTIF($A$2:A1489,$A1489)=1,ROW(MauKoXoa!$C$108),$B1488+1))</f>
        <v/>
      </c>
      <c r="C1489" s="992" t="str">
        <f t="shared" ca="1" si="239"/>
        <v/>
      </c>
      <c r="D1489" s="993" t="str">
        <f t="shared" ca="1" si="240"/>
        <v/>
      </c>
      <c r="E1489" s="993" t="str">
        <f t="shared" ca="1" si="241"/>
        <v/>
      </c>
      <c r="F1489" s="992" t="str">
        <f t="shared" ca="1" si="249"/>
        <v/>
      </c>
      <c r="G1489" s="994">
        <f t="shared" ca="1" si="242"/>
        <v>0</v>
      </c>
      <c r="H1489" s="913">
        <f t="shared" ca="1" si="243"/>
        <v>0</v>
      </c>
      <c r="I1489" s="913">
        <f t="shared" ca="1" si="244"/>
        <v>0</v>
      </c>
      <c r="J1489" s="995">
        <f t="shared" ca="1" si="250"/>
        <v>0</v>
      </c>
      <c r="K1489" s="913">
        <f t="shared" ca="1" si="245"/>
        <v>0</v>
      </c>
      <c r="L1489" s="995">
        <f t="shared" ca="1" si="251"/>
        <v>0</v>
      </c>
      <c r="M1489" s="913">
        <f t="shared" ca="1" si="246"/>
        <v>0</v>
      </c>
      <c r="N1489" s="996">
        <f t="shared" ca="1" si="247"/>
        <v>0</v>
      </c>
      <c r="O1489" s="997">
        <f t="shared" ca="1" si="248"/>
        <v>0</v>
      </c>
      <c r="P1489" s="1015" t="str">
        <f ca="1">IF($C1489="","",INDEX(NVLSX!$N$2:$N$6941,MATCH($C1489,NVLSX!$E$2:$E$6941,0)))</f>
        <v/>
      </c>
      <c r="Q1489" s="1016" t="str">
        <f ca="1">IF($R1489="","",IF(XKNVLSX!$X$1="",IF($P1489=$V$7,$P1489, IF(COUNTIFS($C$2:$C1488,$C1489,$E$2:$E1488,$E1489)&gt;=1,"",$P1489)),     IF(AND(IFERROR(SEARCH($R1489,XKNVLSX!$X$1,1),0)&gt;=1,$P1489=$V$7),$P1489, IF(OR($R1489&lt;&gt;IF(IFERROR(SEARCH($R1489,XKNVLSX!$X$1,1),0)&gt;=1,$R1489,XKNVLSX!$X$1),COUNTIFS($C$2:$C1488,$C1489,$E$2:$E1488,$E1489,$Q$2:$Q1488,$P1489)&gt;=1),"",$P1489))))</f>
        <v/>
      </c>
      <c r="R1489" s="1017" t="str">
        <f ca="1">IF($A1489="","",IFERROR(INDEX(TinhGia!$BF$10:$BF$81,MATCH($A1489,TinhGia!$B$10:$B$81,0)),""))</f>
        <v/>
      </c>
      <c r="S1489" s="1012" t="str">
        <f ca="1">IF($A1489="","",IF(OR(IFERROR(SEARCH($R1489,XKNVLSX!$X$1,1),0)&gt;=1,XKNVLSX!$X$1=""),$S$2,""))</f>
        <v/>
      </c>
      <c r="T1489" s="1018" t="str">
        <f ca="1">IF($C1489="","", IF(OR($P1489=$V$1,$P1489=$V$7,COUNTIFS($C$3:$C1489,$C1489,$E$3:$E1489,$E1489)&lt;=1),$P1489,""    ))</f>
        <v/>
      </c>
      <c r="U1489" s="1019" t="str">
        <f ca="1">IF(AND($P1489=$V$2,COUNTIFS($C$3:$C1489,$C1489,$E$3:$E1489,$E1489,$G$3:$G1489,$G1489)&lt;=1),$P1489,"")</f>
        <v/>
      </c>
    </row>
    <row r="1490" spans="1:23">
      <c r="A1490" s="991" t="str">
        <f ca="1">IFERROR(IF(COUNTIF($A$3:A1489,A1489)&lt; INDEX(TinhGia!$BH$10:$BH$81,MATCH($A1489,TinhGia!$B$10:$B$81,0)),$A1489,INDEX(TinhGia!$B$10:$B$81,MATCH($A1489,TinhGia!$B$10:$B$81,0)+1)),"")</f>
        <v/>
      </c>
      <c r="B1490" s="525" t="str">
        <f ca="1">IF(OR(A1490="",A1490=0),"",IF(COUNTIF($A$2:A1490,$A1490)=1,ROW(MauKoXoa!$C$108),$B1489+1))</f>
        <v/>
      </c>
      <c r="C1490" s="992" t="str">
        <f t="shared" ca="1" si="239"/>
        <v/>
      </c>
      <c r="D1490" s="993" t="str">
        <f t="shared" ca="1" si="240"/>
        <v/>
      </c>
      <c r="E1490" s="993" t="str">
        <f t="shared" ca="1" si="241"/>
        <v/>
      </c>
      <c r="F1490" s="992" t="str">
        <f t="shared" ca="1" si="249"/>
        <v/>
      </c>
      <c r="G1490" s="994">
        <f t="shared" ca="1" si="242"/>
        <v>0</v>
      </c>
      <c r="H1490" s="913">
        <f t="shared" ca="1" si="243"/>
        <v>0</v>
      </c>
      <c r="I1490" s="913">
        <f t="shared" ca="1" si="244"/>
        <v>0</v>
      </c>
      <c r="J1490" s="995">
        <f t="shared" ca="1" si="250"/>
        <v>0</v>
      </c>
      <c r="K1490" s="913">
        <f t="shared" ca="1" si="245"/>
        <v>0</v>
      </c>
      <c r="L1490" s="995">
        <f t="shared" ca="1" si="251"/>
        <v>0</v>
      </c>
      <c r="M1490" s="913">
        <f t="shared" ca="1" si="246"/>
        <v>0</v>
      </c>
      <c r="N1490" s="996">
        <f t="shared" ca="1" si="247"/>
        <v>0</v>
      </c>
      <c r="O1490" s="997">
        <f t="shared" ca="1" si="248"/>
        <v>0</v>
      </c>
      <c r="P1490" s="1015" t="str">
        <f ca="1">IF($C1490="","",INDEX(NVLSX!$N$2:$N$6941,MATCH($C1490,NVLSX!$E$2:$E$6941,0)))</f>
        <v/>
      </c>
      <c r="Q1490" s="1016" t="str">
        <f ca="1">IF($R1490="","",IF(XKNVLSX!$X$1="",IF($P1490=$V$7,$P1490, IF(COUNTIFS($C$2:$C1489,$C1490,$E$2:$E1489,$E1490)&gt;=1,"",$P1490)),     IF(AND(IFERROR(SEARCH($R1490,XKNVLSX!$X$1,1),0)&gt;=1,$P1490=$V$7),$P1490, IF(OR($R1490&lt;&gt;IF(IFERROR(SEARCH($R1490,XKNVLSX!$X$1,1),0)&gt;=1,$R1490,XKNVLSX!$X$1),COUNTIFS($C$2:$C1489,$C1490,$E$2:$E1489,$E1490,$Q$2:$Q1489,$P1490)&gt;=1),"",$P1490))))</f>
        <v/>
      </c>
      <c r="R1490" s="1017" t="str">
        <f ca="1">IF($A1490="","",IFERROR(INDEX(TinhGia!$BF$10:$BF$81,MATCH($A1490,TinhGia!$B$10:$B$81,0)),""))</f>
        <v/>
      </c>
      <c r="S1490" s="1012" t="str">
        <f ca="1">IF($A1490="","",IF(OR(IFERROR(SEARCH($R1490,XKNVLSX!$X$1,1),0)&gt;=1,XKNVLSX!$X$1=""),$S$2,""))</f>
        <v/>
      </c>
      <c r="T1490" s="1018" t="str">
        <f ca="1">IF($C1490="","", IF(OR($P1490=$V$1,$P1490=$V$7,COUNTIFS($C$3:$C1490,$C1490,$E$3:$E1490,$E1490)&lt;=1),$P1490,""    ))</f>
        <v/>
      </c>
      <c r="U1490" s="1019" t="str">
        <f ca="1">IF(AND($P1490=$V$2,COUNTIFS($C$3:$C1490,$C1490,$E$3:$E1490,$E1490,$G$3:$G1490,$G1490)&lt;=1),$P1490,"")</f>
        <v/>
      </c>
    </row>
    <row r="1491" spans="1:23">
      <c r="A1491" s="991" t="str">
        <f ca="1">IFERROR(IF(COUNTIF($A$3:A1490,A1490)&lt; INDEX(TinhGia!$BH$10:$BH$81,MATCH($A1490,TinhGia!$B$10:$B$81,0)),$A1490,INDEX(TinhGia!$B$10:$B$81,MATCH($A1490,TinhGia!$B$10:$B$81,0)+1)),"")</f>
        <v/>
      </c>
      <c r="B1491" s="525" t="str">
        <f ca="1">IF(OR(A1491="",A1491=0),"",IF(COUNTIF($A$2:A1491,$A1491)=1,ROW(MauKoXoa!$C$108),$B1490+1))</f>
        <v/>
      </c>
      <c r="C1491" s="992" t="str">
        <f t="shared" ca="1" si="239"/>
        <v/>
      </c>
      <c r="D1491" s="993" t="str">
        <f t="shared" ca="1" si="240"/>
        <v/>
      </c>
      <c r="E1491" s="993" t="str">
        <f t="shared" ca="1" si="241"/>
        <v/>
      </c>
      <c r="F1491" s="992" t="str">
        <f t="shared" ca="1" si="249"/>
        <v/>
      </c>
      <c r="G1491" s="994">
        <f t="shared" ca="1" si="242"/>
        <v>0</v>
      </c>
      <c r="H1491" s="913">
        <f t="shared" ca="1" si="243"/>
        <v>0</v>
      </c>
      <c r="I1491" s="913">
        <f t="shared" ca="1" si="244"/>
        <v>0</v>
      </c>
      <c r="J1491" s="995">
        <f t="shared" ca="1" si="250"/>
        <v>0</v>
      </c>
      <c r="K1491" s="913">
        <f t="shared" ca="1" si="245"/>
        <v>0</v>
      </c>
      <c r="L1491" s="995">
        <f t="shared" ca="1" si="251"/>
        <v>0</v>
      </c>
      <c r="M1491" s="913">
        <f t="shared" ca="1" si="246"/>
        <v>0</v>
      </c>
      <c r="N1491" s="996">
        <f t="shared" ca="1" si="247"/>
        <v>0</v>
      </c>
      <c r="O1491" s="997">
        <f t="shared" ca="1" si="248"/>
        <v>0</v>
      </c>
      <c r="P1491" s="1015" t="str">
        <f ca="1">IF($C1491="","",INDEX(NVLSX!$N$2:$N$6941,MATCH($C1491,NVLSX!$E$2:$E$6941,0)))</f>
        <v/>
      </c>
      <c r="Q1491" s="1016" t="str">
        <f ca="1">IF($R1491="","",IF(XKNVLSX!$X$1="",IF($P1491=$V$7,$P1491, IF(COUNTIFS($C$2:$C1490,$C1491,$E$2:$E1490,$E1491)&gt;=1,"",$P1491)),     IF(AND(IFERROR(SEARCH($R1491,XKNVLSX!$X$1,1),0)&gt;=1,$P1491=$V$7),$P1491, IF(OR($R1491&lt;&gt;IF(IFERROR(SEARCH($R1491,XKNVLSX!$X$1,1),0)&gt;=1,$R1491,XKNVLSX!$X$1),COUNTIFS($C$2:$C1490,$C1491,$E$2:$E1490,$E1491,$Q$2:$Q1490,$P1491)&gt;=1),"",$P1491))))</f>
        <v/>
      </c>
      <c r="R1491" s="1017" t="str">
        <f ca="1">IF($A1491="","",IFERROR(INDEX(TinhGia!$BF$10:$BF$81,MATCH($A1491,TinhGia!$B$10:$B$81,0)),""))</f>
        <v/>
      </c>
      <c r="S1491" s="1012" t="str">
        <f ca="1">IF($A1491="","",IF(OR(IFERROR(SEARCH($R1491,XKNVLSX!$X$1,1),0)&gt;=1,XKNVLSX!$X$1=""),$S$2,""))</f>
        <v/>
      </c>
      <c r="T1491" s="1018" t="str">
        <f ca="1">IF($C1491="","", IF(OR($P1491=$V$1,$P1491=$V$7,COUNTIFS($C$3:$C1491,$C1491,$E$3:$E1491,$E1491)&lt;=1),$P1491,""    ))</f>
        <v/>
      </c>
      <c r="U1491" s="1019" t="str">
        <f ca="1">IF(AND($P1491=$V$2,COUNTIFS($C$3:$C1491,$C1491,$E$3:$E1491,$E1491,$G$3:$G1491,$G1491)&lt;=1),$P1491,"")</f>
        <v/>
      </c>
    </row>
    <row r="1492" spans="1:23">
      <c r="A1492" s="991" t="str">
        <f ca="1">IFERROR(IF(COUNTIF($A$3:A1491,A1491)&lt; INDEX(TinhGia!$BH$10:$BH$81,MATCH($A1491,TinhGia!$B$10:$B$81,0)),$A1491,INDEX(TinhGia!$B$10:$B$81,MATCH($A1491,TinhGia!$B$10:$B$81,0)+1)),"")</f>
        <v/>
      </c>
      <c r="B1492" s="525" t="str">
        <f ca="1">IF(OR(A1492="",A1492=0),"",IF(COUNTIF($A$2:A1492,$A1492)=1,ROW(MauKoXoa!$C$108),$B1491+1))</f>
        <v/>
      </c>
      <c r="C1492" s="992" t="str">
        <f t="shared" ca="1" si="239"/>
        <v/>
      </c>
      <c r="D1492" s="993" t="str">
        <f t="shared" ca="1" si="240"/>
        <v/>
      </c>
      <c r="E1492" s="993" t="str">
        <f t="shared" ca="1" si="241"/>
        <v/>
      </c>
      <c r="F1492" s="992" t="str">
        <f t="shared" ca="1" si="249"/>
        <v/>
      </c>
      <c r="G1492" s="994">
        <f t="shared" ca="1" si="242"/>
        <v>0</v>
      </c>
      <c r="H1492" s="913">
        <f t="shared" ca="1" si="243"/>
        <v>0</v>
      </c>
      <c r="I1492" s="913">
        <f t="shared" ca="1" si="244"/>
        <v>0</v>
      </c>
      <c r="J1492" s="995">
        <f t="shared" ca="1" si="250"/>
        <v>0</v>
      </c>
      <c r="K1492" s="913">
        <f t="shared" ca="1" si="245"/>
        <v>0</v>
      </c>
      <c r="L1492" s="995">
        <f t="shared" ca="1" si="251"/>
        <v>0</v>
      </c>
      <c r="M1492" s="913">
        <f t="shared" ca="1" si="246"/>
        <v>0</v>
      </c>
      <c r="N1492" s="996">
        <f t="shared" ca="1" si="247"/>
        <v>0</v>
      </c>
      <c r="O1492" s="997">
        <f t="shared" ca="1" si="248"/>
        <v>0</v>
      </c>
      <c r="P1492" s="1015" t="str">
        <f ca="1">IF($C1492="","",INDEX(NVLSX!$N$2:$N$6941,MATCH($C1492,NVLSX!$E$2:$E$6941,0)))</f>
        <v/>
      </c>
      <c r="Q1492" s="1016" t="str">
        <f ca="1">IF($R1492="","",IF(XKNVLSX!$X$1="",IF($P1492=$V$7,$P1492, IF(COUNTIFS($C$2:$C1491,$C1492,$E$2:$E1491,$E1492)&gt;=1,"",$P1492)),     IF(AND(IFERROR(SEARCH($R1492,XKNVLSX!$X$1,1),0)&gt;=1,$P1492=$V$7),$P1492, IF(OR($R1492&lt;&gt;IF(IFERROR(SEARCH($R1492,XKNVLSX!$X$1,1),0)&gt;=1,$R1492,XKNVLSX!$X$1),COUNTIFS($C$2:$C1491,$C1492,$E$2:$E1491,$E1492,$Q$2:$Q1491,$P1492)&gt;=1),"",$P1492))))</f>
        <v/>
      </c>
      <c r="R1492" s="1017" t="str">
        <f ca="1">IF($A1492="","",IFERROR(INDEX(TinhGia!$BF$10:$BF$81,MATCH($A1492,TinhGia!$B$10:$B$81,0)),""))</f>
        <v/>
      </c>
      <c r="S1492" s="1012" t="str">
        <f ca="1">IF($A1492="","",IF(OR(IFERROR(SEARCH($R1492,XKNVLSX!$X$1,1),0)&gt;=1,XKNVLSX!$X$1=""),$S$2,""))</f>
        <v/>
      </c>
      <c r="T1492" s="1018" t="str">
        <f ca="1">IF($C1492="","", IF(OR($P1492=$V$1,$P1492=$V$7,COUNTIFS($C$3:$C1492,$C1492,$E$3:$E1492,$E1492)&lt;=1),$P1492,""    ))</f>
        <v/>
      </c>
      <c r="U1492" s="1019" t="str">
        <f ca="1">IF(AND($P1492=$V$2,COUNTIFS($C$3:$C1492,$C1492,$E$3:$E1492,$E1492,$G$3:$G1492,$G1492)&lt;=1),$P1492,"")</f>
        <v/>
      </c>
    </row>
    <row r="1493" spans="1:23">
      <c r="A1493" s="991" t="str">
        <f ca="1">IFERROR(IF(COUNTIF($A$3:A1492,A1492)&lt; INDEX(TinhGia!$BH$10:$BH$81,MATCH($A1492,TinhGia!$B$10:$B$81,0)),$A1492,INDEX(TinhGia!$B$10:$B$81,MATCH($A1492,TinhGia!$B$10:$B$81,0)+1)),"")</f>
        <v/>
      </c>
      <c r="B1493" s="525" t="str">
        <f ca="1">IF(OR(A1493="",A1493=0),"",IF(COUNTIF($A$2:A1493,$A1493)=1,ROW(MauKoXoa!$C$108),$B1492+1))</f>
        <v/>
      </c>
      <c r="C1493" s="992" t="str">
        <f t="shared" ca="1" si="239"/>
        <v/>
      </c>
      <c r="D1493" s="993" t="str">
        <f t="shared" ca="1" si="240"/>
        <v/>
      </c>
      <c r="E1493" s="993" t="str">
        <f t="shared" ca="1" si="241"/>
        <v/>
      </c>
      <c r="F1493" s="992" t="str">
        <f t="shared" ca="1" si="249"/>
        <v/>
      </c>
      <c r="G1493" s="994">
        <f t="shared" ca="1" si="242"/>
        <v>0</v>
      </c>
      <c r="H1493" s="913">
        <f t="shared" ca="1" si="243"/>
        <v>0</v>
      </c>
      <c r="I1493" s="913">
        <f t="shared" ca="1" si="244"/>
        <v>0</v>
      </c>
      <c r="J1493" s="995">
        <f t="shared" ca="1" si="250"/>
        <v>0</v>
      </c>
      <c r="K1493" s="913">
        <f t="shared" ca="1" si="245"/>
        <v>0</v>
      </c>
      <c r="L1493" s="995">
        <f t="shared" ca="1" si="251"/>
        <v>0</v>
      </c>
      <c r="M1493" s="913">
        <f t="shared" ca="1" si="246"/>
        <v>0</v>
      </c>
      <c r="N1493" s="996">
        <f t="shared" ca="1" si="247"/>
        <v>0</v>
      </c>
      <c r="O1493" s="997">
        <f t="shared" ca="1" si="248"/>
        <v>0</v>
      </c>
      <c r="P1493" s="1015" t="str">
        <f ca="1">IF($C1493="","",INDEX(NVLSX!$N$2:$N$6941,MATCH($C1493,NVLSX!$E$2:$E$6941,0)))</f>
        <v/>
      </c>
      <c r="Q1493" s="1016" t="str">
        <f ca="1">IF($R1493="","",IF(XKNVLSX!$X$1="",IF($P1493=$V$7,$P1493, IF(COUNTIFS($C$2:$C1492,$C1493,$E$2:$E1492,$E1493)&gt;=1,"",$P1493)),     IF(AND(IFERROR(SEARCH($R1493,XKNVLSX!$X$1,1),0)&gt;=1,$P1493=$V$7),$P1493, IF(OR($R1493&lt;&gt;IF(IFERROR(SEARCH($R1493,XKNVLSX!$X$1,1),0)&gt;=1,$R1493,XKNVLSX!$X$1),COUNTIFS($C$2:$C1492,$C1493,$E$2:$E1492,$E1493,$Q$2:$Q1492,$P1493)&gt;=1),"",$P1493))))</f>
        <v/>
      </c>
      <c r="R1493" s="1017" t="str">
        <f ca="1">IF($A1493="","",IFERROR(INDEX(TinhGia!$BF$10:$BF$81,MATCH($A1493,TinhGia!$B$10:$B$81,0)),""))</f>
        <v/>
      </c>
      <c r="S1493" s="1012" t="str">
        <f ca="1">IF($A1493="","",IF(OR(IFERROR(SEARCH($R1493,XKNVLSX!$X$1,1),0)&gt;=1,XKNVLSX!$X$1=""),$S$2,""))</f>
        <v/>
      </c>
      <c r="T1493" s="1018" t="str">
        <f ca="1">IF($C1493="","", IF(OR($P1493=$V$1,$P1493=$V$7,COUNTIFS($C$3:$C1493,$C1493,$E$3:$E1493,$E1493)&lt;=1),$P1493,""    ))</f>
        <v/>
      </c>
      <c r="U1493" s="1019" t="str">
        <f ca="1">IF(AND($P1493=$V$2,COUNTIFS($C$3:$C1493,$C1493,$E$3:$E1493,$E1493,$G$3:$G1493,$G1493)&lt;=1),$P1493,"")</f>
        <v/>
      </c>
    </row>
    <row r="1494" spans="1:23">
      <c r="A1494" s="991" t="str">
        <f ca="1">IFERROR(IF(COUNTIF($A$3:A1493,A1493)&lt; INDEX(TinhGia!$BH$10:$BH$81,MATCH($A1493,TinhGia!$B$10:$B$81,0)),$A1493,INDEX(TinhGia!$B$10:$B$81,MATCH($A1493,TinhGia!$B$10:$B$81,0)+1)),"")</f>
        <v/>
      </c>
      <c r="B1494" s="525" t="str">
        <f ca="1">IF(OR(A1494="",A1494=0),"",IF(COUNTIF($A$2:A1494,$A1494)=1,ROW(MauKoXoa!$C$108),$B1493+1))</f>
        <v/>
      </c>
      <c r="C1494" s="992" t="str">
        <f t="shared" ca="1" si="239"/>
        <v/>
      </c>
      <c r="D1494" s="993" t="str">
        <f t="shared" ca="1" si="240"/>
        <v/>
      </c>
      <c r="E1494" s="993" t="str">
        <f t="shared" ca="1" si="241"/>
        <v/>
      </c>
      <c r="F1494" s="992" t="str">
        <f t="shared" ca="1" si="249"/>
        <v/>
      </c>
      <c r="G1494" s="994">
        <f t="shared" ca="1" si="242"/>
        <v>0</v>
      </c>
      <c r="H1494" s="913">
        <f t="shared" ca="1" si="243"/>
        <v>0</v>
      </c>
      <c r="I1494" s="913">
        <f t="shared" ca="1" si="244"/>
        <v>0</v>
      </c>
      <c r="J1494" s="995">
        <f t="shared" ca="1" si="250"/>
        <v>0</v>
      </c>
      <c r="K1494" s="913">
        <f t="shared" ca="1" si="245"/>
        <v>0</v>
      </c>
      <c r="L1494" s="995">
        <f t="shared" ca="1" si="251"/>
        <v>0</v>
      </c>
      <c r="M1494" s="913">
        <f t="shared" ca="1" si="246"/>
        <v>0</v>
      </c>
      <c r="N1494" s="996">
        <f t="shared" ca="1" si="247"/>
        <v>0</v>
      </c>
      <c r="O1494" s="997">
        <f t="shared" ca="1" si="248"/>
        <v>0</v>
      </c>
      <c r="P1494" s="1015" t="str">
        <f ca="1">IF($C1494="","",INDEX(NVLSX!$N$2:$N$6941,MATCH($C1494,NVLSX!$E$2:$E$6941,0)))</f>
        <v/>
      </c>
      <c r="Q1494" s="1016" t="str">
        <f ca="1">IF($R1494="","",IF(XKNVLSX!$X$1="",IF($P1494=$V$7,$P1494, IF(COUNTIFS($C$2:$C1493,$C1494,$E$2:$E1493,$E1494)&gt;=1,"",$P1494)),     IF(AND(IFERROR(SEARCH($R1494,XKNVLSX!$X$1,1),0)&gt;=1,$P1494=$V$7),$P1494, IF(OR($R1494&lt;&gt;IF(IFERROR(SEARCH($R1494,XKNVLSX!$X$1,1),0)&gt;=1,$R1494,XKNVLSX!$X$1),COUNTIFS($C$2:$C1493,$C1494,$E$2:$E1493,$E1494,$Q$2:$Q1493,$P1494)&gt;=1),"",$P1494))))</f>
        <v/>
      </c>
      <c r="R1494" s="1017" t="str">
        <f ca="1">IF($A1494="","",IFERROR(INDEX(TinhGia!$BF$10:$BF$81,MATCH($A1494,TinhGia!$B$10:$B$81,0)),""))</f>
        <v/>
      </c>
      <c r="S1494" s="1012" t="str">
        <f ca="1">IF($A1494="","",IF(OR(IFERROR(SEARCH($R1494,XKNVLSX!$X$1,1),0)&gt;=1,XKNVLSX!$X$1=""),$S$2,""))</f>
        <v/>
      </c>
      <c r="T1494" s="1018" t="str">
        <f ca="1">IF($C1494="","", IF(OR($P1494=$V$1,$P1494=$V$7,COUNTIFS($C$3:$C1494,$C1494,$E$3:$E1494,$E1494)&lt;=1),$P1494,""    ))</f>
        <v/>
      </c>
      <c r="U1494" s="1019" t="str">
        <f ca="1">IF(AND($P1494=$V$2,COUNTIFS($C$3:$C1494,$C1494,$E$3:$E1494,$E1494,$G$3:$G1494,$G1494)&lt;=1),$P1494,"")</f>
        <v/>
      </c>
    </row>
    <row r="1495" spans="1:23">
      <c r="A1495" s="991" t="str">
        <f ca="1">IFERROR(IF(COUNTIF($A$3:A1494,A1494)&lt; INDEX(TinhGia!$BH$10:$BH$81,MATCH($A1494,TinhGia!$B$10:$B$81,0)),$A1494,INDEX(TinhGia!$B$10:$B$81,MATCH($A1494,TinhGia!$B$10:$B$81,0)+1)),"")</f>
        <v/>
      </c>
      <c r="B1495" s="525" t="str">
        <f ca="1">IF(OR(A1495="",A1495=0),"",IF(COUNTIF($A$2:A1495,$A1495)=1,ROW(MauKoXoa!$C$108),$B1494+1))</f>
        <v/>
      </c>
      <c r="C1495" s="992" t="str">
        <f t="shared" ca="1" si="239"/>
        <v/>
      </c>
      <c r="D1495" s="993" t="str">
        <f t="shared" ca="1" si="240"/>
        <v/>
      </c>
      <c r="E1495" s="993" t="str">
        <f t="shared" ca="1" si="241"/>
        <v/>
      </c>
      <c r="F1495" s="992" t="str">
        <f t="shared" ca="1" si="249"/>
        <v/>
      </c>
      <c r="G1495" s="994">
        <f t="shared" ca="1" si="242"/>
        <v>0</v>
      </c>
      <c r="H1495" s="913">
        <f t="shared" ca="1" si="243"/>
        <v>0</v>
      </c>
      <c r="I1495" s="913">
        <f t="shared" ca="1" si="244"/>
        <v>0</v>
      </c>
      <c r="J1495" s="995">
        <f t="shared" ca="1" si="250"/>
        <v>0</v>
      </c>
      <c r="K1495" s="913">
        <f t="shared" ca="1" si="245"/>
        <v>0</v>
      </c>
      <c r="L1495" s="995">
        <f t="shared" ca="1" si="251"/>
        <v>0</v>
      </c>
      <c r="M1495" s="913">
        <f t="shared" ca="1" si="246"/>
        <v>0</v>
      </c>
      <c r="N1495" s="996">
        <f t="shared" ca="1" si="247"/>
        <v>0</v>
      </c>
      <c r="O1495" s="997">
        <f t="shared" ca="1" si="248"/>
        <v>0</v>
      </c>
      <c r="P1495" s="1015" t="str">
        <f ca="1">IF($C1495="","",INDEX(NVLSX!$N$2:$N$6941,MATCH($C1495,NVLSX!$E$2:$E$6941,0)))</f>
        <v/>
      </c>
      <c r="Q1495" s="1016" t="str">
        <f ca="1">IF($R1495="","",IF(XKNVLSX!$X$1="",IF($P1495=$V$7,$P1495, IF(COUNTIFS($C$2:$C1494,$C1495,$E$2:$E1494,$E1495)&gt;=1,"",$P1495)),     IF(AND(IFERROR(SEARCH($R1495,XKNVLSX!$X$1,1),0)&gt;=1,$P1495=$V$7),$P1495, IF(OR($R1495&lt;&gt;IF(IFERROR(SEARCH($R1495,XKNVLSX!$X$1,1),0)&gt;=1,$R1495,XKNVLSX!$X$1),COUNTIFS($C$2:$C1494,$C1495,$E$2:$E1494,$E1495,$Q$2:$Q1494,$P1495)&gt;=1),"",$P1495))))</f>
        <v/>
      </c>
      <c r="R1495" s="1017" t="str">
        <f ca="1">IF($A1495="","",IFERROR(INDEX(TinhGia!$BF$10:$BF$81,MATCH($A1495,TinhGia!$B$10:$B$81,0)),""))</f>
        <v/>
      </c>
      <c r="S1495" s="1012" t="str">
        <f ca="1">IF($A1495="","",IF(OR(IFERROR(SEARCH($R1495,XKNVLSX!$X$1,1),0)&gt;=1,XKNVLSX!$X$1=""),$S$2,""))</f>
        <v/>
      </c>
      <c r="T1495" s="1018" t="str">
        <f ca="1">IF($C1495="","", IF(OR($P1495=$V$1,$P1495=$V$7,COUNTIFS($C$3:$C1495,$C1495,$E$3:$E1495,$E1495)&lt;=1),$P1495,""    ))</f>
        <v/>
      </c>
      <c r="U1495" s="1019" t="str">
        <f ca="1">IF(AND($P1495=$V$2,COUNTIFS($C$3:$C1495,$C1495,$E$3:$E1495,$E1495,$G$3:$G1495,$G1495)&lt;=1),$P1495,"")</f>
        <v/>
      </c>
    </row>
    <row r="1496" spans="1:23">
      <c r="A1496" s="991" t="str">
        <f ca="1">IFERROR(IF(COUNTIF($A$3:A1495,A1495)&lt; INDEX(TinhGia!$BH$10:$BH$81,MATCH($A1495,TinhGia!$B$10:$B$81,0)),$A1495,INDEX(TinhGia!$B$10:$B$81,MATCH($A1495,TinhGia!$B$10:$B$81,0)+1)),"")</f>
        <v/>
      </c>
      <c r="B1496" s="525" t="str">
        <f ca="1">IF(OR(A1496="",A1496=0),"",IF(COUNTIF($A$2:A1496,$A1496)=1,ROW(MauKoXoa!$C$108),$B1495+1))</f>
        <v/>
      </c>
      <c r="C1496" s="992" t="str">
        <f t="shared" ca="1" si="239"/>
        <v/>
      </c>
      <c r="D1496" s="993" t="str">
        <f t="shared" ca="1" si="240"/>
        <v/>
      </c>
      <c r="E1496" s="993" t="str">
        <f t="shared" ca="1" si="241"/>
        <v/>
      </c>
      <c r="F1496" s="992" t="str">
        <f t="shared" ca="1" si="249"/>
        <v/>
      </c>
      <c r="G1496" s="994">
        <f t="shared" ca="1" si="242"/>
        <v>0</v>
      </c>
      <c r="H1496" s="913">
        <f t="shared" ca="1" si="243"/>
        <v>0</v>
      </c>
      <c r="I1496" s="913">
        <f t="shared" ca="1" si="244"/>
        <v>0</v>
      </c>
      <c r="J1496" s="995">
        <f t="shared" ca="1" si="250"/>
        <v>0</v>
      </c>
      <c r="K1496" s="913">
        <f t="shared" ca="1" si="245"/>
        <v>0</v>
      </c>
      <c r="L1496" s="995">
        <f t="shared" ca="1" si="251"/>
        <v>0</v>
      </c>
      <c r="M1496" s="913">
        <f t="shared" ca="1" si="246"/>
        <v>0</v>
      </c>
      <c r="N1496" s="996">
        <f t="shared" ca="1" si="247"/>
        <v>0</v>
      </c>
      <c r="O1496" s="997">
        <f t="shared" ca="1" si="248"/>
        <v>0</v>
      </c>
      <c r="P1496" s="1015" t="str">
        <f ca="1">IF($C1496="","",INDEX(NVLSX!$N$2:$N$6941,MATCH($C1496,NVLSX!$E$2:$E$6941,0)))</f>
        <v/>
      </c>
      <c r="Q1496" s="1016" t="str">
        <f ca="1">IF($R1496="","",IF(XKNVLSX!$X$1="",IF($P1496=$V$7,$P1496, IF(COUNTIFS($C$2:$C1495,$C1496,$E$2:$E1495,$E1496)&gt;=1,"",$P1496)),     IF(AND(IFERROR(SEARCH($R1496,XKNVLSX!$X$1,1),0)&gt;=1,$P1496=$V$7),$P1496, IF(OR($R1496&lt;&gt;IF(IFERROR(SEARCH($R1496,XKNVLSX!$X$1,1),0)&gt;=1,$R1496,XKNVLSX!$X$1),COUNTIFS($C$2:$C1495,$C1496,$E$2:$E1495,$E1496,$Q$2:$Q1495,$P1496)&gt;=1),"",$P1496))))</f>
        <v/>
      </c>
      <c r="R1496" s="1017" t="str">
        <f ca="1">IF($A1496="","",IFERROR(INDEX(TinhGia!$BF$10:$BF$81,MATCH($A1496,TinhGia!$B$10:$B$81,0)),""))</f>
        <v/>
      </c>
      <c r="S1496" s="1012" t="str">
        <f ca="1">IF($A1496="","",IF(OR(IFERROR(SEARCH($R1496,XKNVLSX!$X$1,1),0)&gt;=1,XKNVLSX!$X$1=""),$S$2,""))</f>
        <v/>
      </c>
      <c r="T1496" s="1018" t="str">
        <f ca="1">IF($C1496="","", IF(OR($P1496=$V$1,$P1496=$V$7,COUNTIFS($C$3:$C1496,$C1496,$E$3:$E1496,$E1496)&lt;=1),$P1496,""    ))</f>
        <v/>
      </c>
      <c r="U1496" s="1019" t="str">
        <f ca="1">IF(AND($P1496=$V$2,COUNTIFS($C$3:$C1496,$C1496,$E$3:$E1496,$E1496,$G$3:$G1496,$G1496)&lt;=1),$P1496,"")</f>
        <v/>
      </c>
    </row>
    <row r="1497" spans="1:23">
      <c r="A1497" s="991" t="str">
        <f ca="1">IFERROR(IF(COUNTIF($A$3:A1496,A1496)&lt; INDEX(TinhGia!$BH$10:$BH$81,MATCH($A1496,TinhGia!$B$10:$B$81,0)),$A1496,INDEX(TinhGia!$B$10:$B$81,MATCH($A1496,TinhGia!$B$10:$B$81,0)+1)),"")</f>
        <v/>
      </c>
      <c r="B1497" s="525" t="str">
        <f ca="1">IF(OR(A1497="",A1497=0),"",IF(COUNTIF($A$2:A1497,$A1497)=1,ROW(MauKoXoa!$C$108),$B1496+1))</f>
        <v/>
      </c>
      <c r="C1497" s="992" t="str">
        <f t="shared" ca="1" si="239"/>
        <v/>
      </c>
      <c r="D1497" s="993" t="str">
        <f t="shared" ca="1" si="240"/>
        <v/>
      </c>
      <c r="E1497" s="993" t="str">
        <f t="shared" ca="1" si="241"/>
        <v/>
      </c>
      <c r="F1497" s="992" t="str">
        <f t="shared" ca="1" si="249"/>
        <v/>
      </c>
      <c r="G1497" s="994">
        <f t="shared" ca="1" si="242"/>
        <v>0</v>
      </c>
      <c r="H1497" s="913">
        <f t="shared" ca="1" si="243"/>
        <v>0</v>
      </c>
      <c r="I1497" s="913">
        <f t="shared" ca="1" si="244"/>
        <v>0</v>
      </c>
      <c r="J1497" s="995">
        <f t="shared" ca="1" si="250"/>
        <v>0</v>
      </c>
      <c r="K1497" s="913">
        <f t="shared" ca="1" si="245"/>
        <v>0</v>
      </c>
      <c r="L1497" s="995">
        <f t="shared" ca="1" si="251"/>
        <v>0</v>
      </c>
      <c r="M1497" s="913">
        <f t="shared" ca="1" si="246"/>
        <v>0</v>
      </c>
      <c r="N1497" s="996">
        <f t="shared" ca="1" si="247"/>
        <v>0</v>
      </c>
      <c r="O1497" s="997">
        <f t="shared" ca="1" si="248"/>
        <v>0</v>
      </c>
      <c r="P1497" s="1015" t="str">
        <f ca="1">IF($C1497="","",INDEX(NVLSX!$N$2:$N$6941,MATCH($C1497,NVLSX!$E$2:$E$6941,0)))</f>
        <v/>
      </c>
      <c r="Q1497" s="1016" t="str">
        <f ca="1">IF($R1497="","",IF(XKNVLSX!$X$1="",IF($P1497=$V$7,$P1497, IF(COUNTIFS($C$2:$C1496,$C1497,$E$2:$E1496,$E1497)&gt;=1,"",$P1497)),     IF(AND(IFERROR(SEARCH($R1497,XKNVLSX!$X$1,1),0)&gt;=1,$P1497=$V$7),$P1497, IF(OR($R1497&lt;&gt;IF(IFERROR(SEARCH($R1497,XKNVLSX!$X$1,1),0)&gt;=1,$R1497,XKNVLSX!$X$1),COUNTIFS($C$2:$C1496,$C1497,$E$2:$E1496,$E1497,$Q$2:$Q1496,$P1497)&gt;=1),"",$P1497))))</f>
        <v/>
      </c>
      <c r="R1497" s="1017" t="str">
        <f ca="1">IF($A1497="","",IFERROR(INDEX(TinhGia!$BF$10:$BF$81,MATCH($A1497,TinhGia!$B$10:$B$81,0)),""))</f>
        <v/>
      </c>
      <c r="S1497" s="1012" t="str">
        <f ca="1">IF($A1497="","",IF(OR(IFERROR(SEARCH($R1497,XKNVLSX!$X$1,1),0)&gt;=1,XKNVLSX!$X$1=""),$S$2,""))</f>
        <v/>
      </c>
      <c r="T1497" s="1018" t="str">
        <f ca="1">IF($C1497="","", IF(OR($P1497=$V$1,$P1497=$V$7,COUNTIFS($C$3:$C1497,$C1497,$E$3:$E1497,$E1497)&lt;=1),$P1497,""    ))</f>
        <v/>
      </c>
      <c r="U1497" s="1019" t="str">
        <f ca="1">IF(AND($P1497=$V$2,COUNTIFS($C$3:$C1497,$C1497,$E$3:$E1497,$E1497,$G$3:$G1497,$G1497)&lt;=1),$P1497,"")</f>
        <v/>
      </c>
    </row>
    <row r="1498" spans="1:23">
      <c r="A1498" s="991" t="str">
        <f ca="1">IFERROR(IF(COUNTIF($A$3:A1497,A1497)&lt; INDEX(TinhGia!$BH$10:$BH$81,MATCH($A1497,TinhGia!$B$10:$B$81,0)),$A1497,INDEX(TinhGia!$B$10:$B$81,MATCH($A1497,TinhGia!$B$10:$B$81,0)+1)),"")</f>
        <v/>
      </c>
      <c r="B1498" s="525" t="str">
        <f ca="1">IF(OR(A1498="",A1498=0),"",IF(COUNTIF($A$2:A1498,$A1498)=1,ROW(MauKoXoa!$C$108),$B1497+1))</f>
        <v/>
      </c>
      <c r="C1498" s="992" t="str">
        <f t="shared" ca="1" si="239"/>
        <v/>
      </c>
      <c r="D1498" s="993" t="str">
        <f t="shared" ca="1" si="240"/>
        <v/>
      </c>
      <c r="E1498" s="993" t="str">
        <f t="shared" ca="1" si="241"/>
        <v/>
      </c>
      <c r="F1498" s="992" t="str">
        <f t="shared" ca="1" si="249"/>
        <v/>
      </c>
      <c r="G1498" s="994">
        <f t="shared" ca="1" si="242"/>
        <v>0</v>
      </c>
      <c r="H1498" s="913">
        <f t="shared" ca="1" si="243"/>
        <v>0</v>
      </c>
      <c r="I1498" s="913">
        <f t="shared" ca="1" si="244"/>
        <v>0</v>
      </c>
      <c r="J1498" s="995">
        <f t="shared" ca="1" si="250"/>
        <v>0</v>
      </c>
      <c r="K1498" s="913">
        <f t="shared" ca="1" si="245"/>
        <v>0</v>
      </c>
      <c r="L1498" s="995">
        <f t="shared" ca="1" si="251"/>
        <v>0</v>
      </c>
      <c r="M1498" s="913">
        <f t="shared" ca="1" si="246"/>
        <v>0</v>
      </c>
      <c r="N1498" s="996">
        <f t="shared" ca="1" si="247"/>
        <v>0</v>
      </c>
      <c r="O1498" s="997">
        <f t="shared" ca="1" si="248"/>
        <v>0</v>
      </c>
      <c r="P1498" s="1015" t="str">
        <f ca="1">IF($C1498="","",INDEX(NVLSX!$N$2:$N$6941,MATCH($C1498,NVLSX!$E$2:$E$6941,0)))</f>
        <v/>
      </c>
      <c r="Q1498" s="1016" t="str">
        <f ca="1">IF($R1498="","",IF(XKNVLSX!$X$1="",IF($P1498=$V$7,$P1498, IF(COUNTIFS($C$2:$C1497,$C1498,$E$2:$E1497,$E1498)&gt;=1,"",$P1498)),     IF(AND(IFERROR(SEARCH($R1498,XKNVLSX!$X$1,1),0)&gt;=1,$P1498=$V$7),$P1498, IF(OR($R1498&lt;&gt;IF(IFERROR(SEARCH($R1498,XKNVLSX!$X$1,1),0)&gt;=1,$R1498,XKNVLSX!$X$1),COUNTIFS($C$2:$C1497,$C1498,$E$2:$E1497,$E1498,$Q$2:$Q1497,$P1498)&gt;=1),"",$P1498))))</f>
        <v/>
      </c>
      <c r="R1498" s="1017" t="str">
        <f ca="1">IF($A1498="","",IFERROR(INDEX(TinhGia!$BF$10:$BF$81,MATCH($A1498,TinhGia!$B$10:$B$81,0)),""))</f>
        <v/>
      </c>
      <c r="S1498" s="1012" t="str">
        <f ca="1">IF($A1498="","",IF(OR(IFERROR(SEARCH($R1498,XKNVLSX!$X$1,1),0)&gt;=1,XKNVLSX!$X$1=""),$S$2,""))</f>
        <v/>
      </c>
      <c r="T1498" s="1018" t="str">
        <f ca="1">IF($C1498="","", IF(OR($P1498=$V$1,$P1498=$V$7,COUNTIFS($C$3:$C1498,$C1498,$E$3:$E1498,$E1498)&lt;=1),$P1498,""    ))</f>
        <v/>
      </c>
      <c r="U1498" s="1019" t="str">
        <f ca="1">IF(AND($P1498=$V$2,COUNTIFS($C$3:$C1498,$C1498,$E$3:$E1498,$E1498,$G$3:$G1498,$G1498)&lt;=1),$P1498,"")</f>
        <v/>
      </c>
    </row>
    <row r="1499" spans="1:23">
      <c r="A1499" s="991" t="str">
        <f ca="1">IFERROR(IF(COUNTIF($A$3:A1498,A1498)&lt; INDEX(TinhGia!$BH$10:$BH$81,MATCH($A1498,TinhGia!$B$10:$B$81,0)),$A1498,INDEX(TinhGia!$B$10:$B$81,MATCH($A1498,TinhGia!$B$10:$B$81,0)+1)),"")</f>
        <v/>
      </c>
      <c r="B1499" s="525" t="str">
        <f ca="1">IF(OR(A1499="",A1499=0),"",IF(COUNTIF($A$2:A1499,$A1499)=1,ROW(MauKoXoa!$C$108),$B1498+1))</f>
        <v/>
      </c>
      <c r="C1499" s="992" t="str">
        <f t="shared" ca="1" si="239"/>
        <v/>
      </c>
      <c r="D1499" s="993" t="str">
        <f t="shared" ca="1" si="240"/>
        <v/>
      </c>
      <c r="E1499" s="993" t="str">
        <f t="shared" ca="1" si="241"/>
        <v/>
      </c>
      <c r="F1499" s="992" t="str">
        <f t="shared" ca="1" si="249"/>
        <v/>
      </c>
      <c r="G1499" s="994">
        <f t="shared" ca="1" si="242"/>
        <v>0</v>
      </c>
      <c r="H1499" s="913">
        <f t="shared" ca="1" si="243"/>
        <v>0</v>
      </c>
      <c r="I1499" s="913">
        <f t="shared" ca="1" si="244"/>
        <v>0</v>
      </c>
      <c r="J1499" s="995">
        <f t="shared" ca="1" si="250"/>
        <v>0</v>
      </c>
      <c r="K1499" s="913">
        <f t="shared" ca="1" si="245"/>
        <v>0</v>
      </c>
      <c r="L1499" s="995">
        <f t="shared" ca="1" si="251"/>
        <v>0</v>
      </c>
      <c r="M1499" s="913">
        <f t="shared" ca="1" si="246"/>
        <v>0</v>
      </c>
      <c r="N1499" s="996">
        <f t="shared" ca="1" si="247"/>
        <v>0</v>
      </c>
      <c r="O1499" s="997">
        <f t="shared" ca="1" si="248"/>
        <v>0</v>
      </c>
      <c r="P1499" s="1015" t="str">
        <f ca="1">IF($C1499="","",INDEX(NVLSX!$N$2:$N$6941,MATCH($C1499,NVLSX!$E$2:$E$6941,0)))</f>
        <v/>
      </c>
      <c r="Q1499" s="1016" t="str">
        <f ca="1">IF($R1499="","",IF(XKNVLSX!$X$1="",IF($P1499=$V$7,$P1499, IF(COUNTIFS($C$2:$C1498,$C1499,$E$2:$E1498,$E1499)&gt;=1,"",$P1499)),     IF(AND(IFERROR(SEARCH($R1499,XKNVLSX!$X$1,1),0)&gt;=1,$P1499=$V$7),$P1499, IF(OR($R1499&lt;&gt;IF(IFERROR(SEARCH($R1499,XKNVLSX!$X$1,1),0)&gt;=1,$R1499,XKNVLSX!$X$1),COUNTIFS($C$2:$C1498,$C1499,$E$2:$E1498,$E1499,$Q$2:$Q1498,$P1499)&gt;=1),"",$P1499))))</f>
        <v/>
      </c>
      <c r="R1499" s="1017" t="str">
        <f ca="1">IF($A1499="","",IFERROR(INDEX(TinhGia!$BF$10:$BF$81,MATCH($A1499,TinhGia!$B$10:$B$81,0)),""))</f>
        <v/>
      </c>
      <c r="S1499" s="1012" t="str">
        <f ca="1">IF($A1499="","",IF(OR(IFERROR(SEARCH($R1499,XKNVLSX!$X$1,1),0)&gt;=1,XKNVLSX!$X$1=""),$S$2,""))</f>
        <v/>
      </c>
      <c r="T1499" s="1018" t="str">
        <f ca="1">IF($C1499="","", IF(OR($P1499=$V$1,$P1499=$V$7,COUNTIFS($C$3:$C1499,$C1499,$E$3:$E1499,$E1499)&lt;=1),$P1499,""    ))</f>
        <v/>
      </c>
      <c r="U1499" s="1019" t="str">
        <f ca="1">IF(AND($P1499=$V$2,COUNTIFS($C$3:$C1499,$C1499,$E$3:$E1499,$E1499,$G$3:$G1499,$G1499)&lt;=1),$P1499,"")</f>
        <v/>
      </c>
    </row>
    <row r="1500" spans="1:23">
      <c r="A1500" s="991" t="str">
        <f ca="1">IFERROR(IF(COUNTIF($A$3:A1499,A1499)&lt; INDEX(TinhGia!$BH$10:$BH$81,MATCH($A1499,TinhGia!$B$10:$B$81,0)),$A1499,INDEX(TinhGia!$B$10:$B$81,MATCH($A1499,TinhGia!$B$10:$B$81,0)+1)),"")</f>
        <v/>
      </c>
      <c r="B1500" s="525" t="str">
        <f ca="1">IF(OR(A1500="",A1500=0),"",IF(COUNTIF($A$2:A1500,$A1500)=1,ROW(MauKoXoa!$C$108),$B1499+1))</f>
        <v/>
      </c>
      <c r="C1500" s="992" t="str">
        <f t="shared" ca="1" si="239"/>
        <v/>
      </c>
      <c r="D1500" s="993" t="str">
        <f t="shared" ca="1" si="240"/>
        <v/>
      </c>
      <c r="E1500" s="993" t="str">
        <f t="shared" ca="1" si="241"/>
        <v/>
      </c>
      <c r="F1500" s="992" t="str">
        <f t="shared" ca="1" si="249"/>
        <v/>
      </c>
      <c r="G1500" s="994">
        <f t="shared" ca="1" si="242"/>
        <v>0</v>
      </c>
      <c r="H1500" s="913">
        <f t="shared" ca="1" si="243"/>
        <v>0</v>
      </c>
      <c r="I1500" s="913">
        <f t="shared" ca="1" si="244"/>
        <v>0</v>
      </c>
      <c r="J1500" s="995">
        <f t="shared" ca="1" si="250"/>
        <v>0</v>
      </c>
      <c r="K1500" s="913">
        <f t="shared" ca="1" si="245"/>
        <v>0</v>
      </c>
      <c r="L1500" s="995">
        <f t="shared" ca="1" si="251"/>
        <v>0</v>
      </c>
      <c r="M1500" s="913">
        <f t="shared" ca="1" si="246"/>
        <v>0</v>
      </c>
      <c r="N1500" s="996">
        <f t="shared" ca="1" si="247"/>
        <v>0</v>
      </c>
      <c r="O1500" s="997">
        <f t="shared" ca="1" si="248"/>
        <v>0</v>
      </c>
      <c r="P1500" s="1015" t="str">
        <f ca="1">IF($C1500="","",INDEX(NVLSX!$N$2:$N$6941,MATCH($C1500,NVLSX!$E$2:$E$6941,0)))</f>
        <v/>
      </c>
      <c r="Q1500" s="1016" t="str">
        <f ca="1">IF($R1500="","",IF(XKNVLSX!$X$1="",IF($P1500=$V$7,$P1500, IF(COUNTIFS($C$2:$C1499,$C1500,$E$2:$E1499,$E1500)&gt;=1,"",$P1500)),     IF(AND(IFERROR(SEARCH($R1500,XKNVLSX!$X$1,1),0)&gt;=1,$P1500=$V$7),$P1500, IF(OR($R1500&lt;&gt;IF(IFERROR(SEARCH($R1500,XKNVLSX!$X$1,1),0)&gt;=1,$R1500,XKNVLSX!$X$1),COUNTIFS($C$2:$C1499,$C1500,$E$2:$E1499,$E1500,$Q$2:$Q1499,$P1500)&gt;=1),"",$P1500))))</f>
        <v/>
      </c>
      <c r="R1500" s="1017" t="str">
        <f ca="1">IF($A1500="","",IFERROR(INDEX(TinhGia!$BF$10:$BF$81,MATCH($A1500,TinhGia!$B$10:$B$81,0)),""))</f>
        <v/>
      </c>
      <c r="S1500" s="1012" t="str">
        <f ca="1">IF($A1500="","",IF(OR(IFERROR(SEARCH($R1500,XKNVLSX!$X$1,1),0)&gt;=1,XKNVLSX!$X$1=""),$S$2,""))</f>
        <v/>
      </c>
      <c r="T1500" s="1018" t="str">
        <f ca="1">IF($C1500="","", IF(OR($P1500=$V$1,$P1500=$V$7,COUNTIFS($C$3:$C1500,$C1500,$E$3:$E1500,$E1500)&lt;=1),$P1500,""    ))</f>
        <v/>
      </c>
      <c r="U1500" s="1019" t="str">
        <f ca="1">IF(AND($P1500=$V$2,COUNTIFS($C$3:$C1500,$C1500,$E$3:$E1500,$E1500,$G$3:$G1500,$G1500)&lt;=1),$P1500,"")</f>
        <v/>
      </c>
    </row>
    <row r="1501" spans="1:23" s="79" customFormat="1" ht="13">
      <c r="A1501" s="998" t="s">
        <v>106</v>
      </c>
      <c r="B1501" s="999" t="s">
        <v>106</v>
      </c>
      <c r="C1501" s="999" t="s">
        <v>106</v>
      </c>
      <c r="D1501" s="999" t="s">
        <v>106</v>
      </c>
      <c r="E1501" s="999" t="s">
        <v>106</v>
      </c>
      <c r="F1501" s="999" t="s">
        <v>106</v>
      </c>
      <c r="G1501" s="999" t="s">
        <v>106</v>
      </c>
      <c r="H1501" s="999" t="s">
        <v>106</v>
      </c>
      <c r="I1501" s="999" t="s">
        <v>106</v>
      </c>
      <c r="J1501" s="999" t="s">
        <v>106</v>
      </c>
      <c r="K1501" s="999" t="s">
        <v>106</v>
      </c>
      <c r="L1501" s="999" t="s">
        <v>106</v>
      </c>
      <c r="M1501" s="1000" t="str">
        <f>+TinhGia!BD8</f>
        <v>TỔNG GIÁ VỐN</v>
      </c>
      <c r="N1501" s="1001">
        <f ca="1">SUM(N3:N1500)</f>
        <v>8188185</v>
      </c>
      <c r="O1501" s="1002">
        <f ca="1">SUM(O3:O1500)</f>
        <v>8188185</v>
      </c>
      <c r="P1501" s="1020" t="s">
        <v>106</v>
      </c>
      <c r="Q1501" s="1021" t="s">
        <v>106</v>
      </c>
      <c r="R1501" s="1022" t="s">
        <v>106</v>
      </c>
      <c r="S1501" s="1023" t="s">
        <v>106</v>
      </c>
      <c r="T1501" s="1022" t="s">
        <v>106</v>
      </c>
      <c r="U1501" s="1022" t="s">
        <v>106</v>
      </c>
      <c r="V1501" s="1009"/>
      <c r="W1501" s="1024"/>
    </row>
    <row r="1502" spans="1:23">
      <c r="V1502" s="1024"/>
    </row>
    <row r="1503" spans="1:23">
      <c r="I1503" s="314"/>
      <c r="M1503" s="879"/>
    </row>
    <row r="1504" spans="1:23">
      <c r="I1504" s="314"/>
    </row>
    <row r="1505" spans="9:9">
      <c r="I1505" s="314"/>
    </row>
    <row r="1506" spans="9:9">
      <c r="I1506" s="314"/>
    </row>
  </sheetData>
  <autoFilter ref="A2:V1501" xr:uid="{00000000-0001-0000-0400-000000000000}"/>
  <mergeCells count="1">
    <mergeCell ref="A1:K1"/>
  </mergeCells>
  <conditionalFormatting sqref="C2">
    <cfRule type="timePeriod" dxfId="54" priority="77" timePeriod="yesterday">
      <formula>FLOOR(C2,1)=TODAY()-1</formula>
    </cfRule>
  </conditionalFormatting>
  <conditionalFormatting sqref="C3:N1500">
    <cfRule type="expression" dxfId="53" priority="44">
      <formula>AND($C3&lt;&gt;"",$N3=0)</formula>
    </cfRule>
  </conditionalFormatting>
  <conditionalFormatting sqref="H2">
    <cfRule type="expression" dxfId="52" priority="31">
      <formula>AND($C2&lt;&gt;"",#REF!=0)</formula>
    </cfRule>
  </conditionalFormatting>
  <printOptions horizontalCentered="1"/>
  <pageMargins left="7.874015748031496E-2" right="7.874015748031496E-2" top="7.874015748031496E-2" bottom="7.874015748031496E-2" header="0" footer="0"/>
  <pageSetup paperSize="9" scale="89" fitToHeight="0" orientation="portrait" r:id="rId1"/>
  <headerFooter>
    <oddFooter>Page &amp;P of 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5A84DDCF-1ECE-4A12-B5B2-3E325C5A6E5F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M3:O1501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C1F4A-A2EB-49A9-8972-AAE8F9133EEC}">
  <sheetPr codeName="Sheet5">
    <tabColor rgb="FF00B0F0"/>
    <pageSetUpPr fitToPage="1"/>
  </sheetPr>
  <dimension ref="A1:AU101"/>
  <sheetViews>
    <sheetView showZeros="0" zoomScale="90" zoomScaleNormal="90" zoomScaleSheetLayoutView="100" workbookViewId="0">
      <selection activeCell="E11" sqref="E11"/>
    </sheetView>
  </sheetViews>
  <sheetFormatPr defaultColWidth="9.1796875" defaultRowHeight="14"/>
  <cols>
    <col min="1" max="1" width="3.453125" style="42" customWidth="1"/>
    <col min="2" max="3" width="6.81640625" style="42" customWidth="1"/>
    <col min="4" max="4" width="41.81640625" style="36" customWidth="1"/>
    <col min="5" max="5" width="5.7265625" style="35" customWidth="1"/>
    <col min="6" max="7" width="6.81640625" style="35" customWidth="1"/>
    <col min="8" max="8" width="7.7265625" style="35" customWidth="1"/>
    <col min="9" max="9" width="6.1796875" style="693" customWidth="1"/>
    <col min="10" max="10" width="7.7265625" style="694" customWidth="1"/>
    <col min="11" max="11" width="10.26953125" style="695" customWidth="1"/>
    <col min="12" max="12" width="12" style="649" customWidth="1"/>
    <col min="13" max="13" width="10.7265625" style="649" customWidth="1"/>
    <col min="14" max="14" width="14" style="696" customWidth="1"/>
    <col min="15" max="15" width="12.1796875" style="42" hidden="1" customWidth="1"/>
    <col min="16" max="16" width="7.81640625" style="42" hidden="1" customWidth="1"/>
    <col min="17" max="17" width="11.1796875" style="701" hidden="1" customWidth="1"/>
    <col min="18" max="18" width="6.7265625" style="35" hidden="1" customWidth="1"/>
    <col min="19" max="19" width="10.7265625" style="35" hidden="1" customWidth="1"/>
    <col min="20" max="20" width="3.81640625" style="35" hidden="1" customWidth="1"/>
    <col min="21" max="21" width="4" style="35" hidden="1" customWidth="1"/>
    <col min="22" max="22" width="13.7265625" style="35" hidden="1" customWidth="1"/>
    <col min="23" max="23" width="12.7265625" style="35" hidden="1" customWidth="1"/>
    <col min="24" max="24" width="6.7265625" style="35" hidden="1" customWidth="1"/>
    <col min="25" max="25" width="5.81640625" style="666" hidden="1" customWidth="1"/>
    <col min="26" max="26" width="8" style="666" hidden="1" customWidth="1"/>
    <col min="27" max="27" width="11.54296875" style="665" hidden="1" customWidth="1"/>
    <col min="28" max="28" width="10.81640625" style="665" hidden="1" customWidth="1"/>
    <col min="29" max="31" width="11.54296875" style="696" hidden="1" customWidth="1"/>
    <col min="32" max="32" width="9.1796875" style="35" hidden="1" customWidth="1"/>
    <col min="33" max="33" width="12.453125" style="35" customWidth="1"/>
    <col min="34" max="34" width="4.453125" style="35" customWidth="1"/>
    <col min="35" max="36" width="5.7265625" style="35" customWidth="1"/>
    <col min="37" max="37" width="44.81640625" style="35" customWidth="1"/>
    <col min="38" max="38" width="5.7265625" style="35" customWidth="1"/>
    <col min="39" max="40" width="6.81640625" style="35" customWidth="1"/>
    <col min="41" max="41" width="6.26953125" style="35" customWidth="1"/>
    <col min="42" max="42" width="8.81640625" style="35" customWidth="1"/>
    <col min="43" max="43" width="9.1796875" style="35"/>
    <col min="44" max="44" width="10.7265625" style="35" customWidth="1"/>
    <col min="45" max="47" width="14" style="35" customWidth="1"/>
    <col min="48" max="16384" width="9.1796875" style="35"/>
  </cols>
  <sheetData>
    <row r="1" spans="1:47" s="663" customFormat="1">
      <c r="A1" s="657"/>
      <c r="B1" s="657"/>
      <c r="C1" s="657"/>
      <c r="D1" s="1260" t="s">
        <v>2372</v>
      </c>
      <c r="E1" s="1260"/>
      <c r="F1" s="1260"/>
      <c r="G1" s="1260"/>
      <c r="H1" s="1260"/>
      <c r="I1" s="1260"/>
      <c r="J1" s="1260"/>
      <c r="K1" s="1260"/>
      <c r="L1" s="1260"/>
      <c r="M1" s="1260"/>
      <c r="N1" s="1260"/>
      <c r="O1" s="189"/>
      <c r="P1" s="189"/>
      <c r="Q1" s="700"/>
      <c r="Y1" s="664"/>
      <c r="Z1" s="664"/>
      <c r="AA1" s="28"/>
      <c r="AB1" s="28"/>
      <c r="AC1" s="657"/>
      <c r="AD1" s="657"/>
      <c r="AE1" s="657"/>
    </row>
    <row r="2" spans="1:47" s="663" customFormat="1" ht="51" customHeight="1">
      <c r="A2" s="657"/>
      <c r="B2" s="657"/>
      <c r="C2" s="657"/>
      <c r="D2" s="1260"/>
      <c r="E2" s="1260"/>
      <c r="F2" s="1260"/>
      <c r="G2" s="1260"/>
      <c r="H2" s="1260"/>
      <c r="I2" s="1260"/>
      <c r="J2" s="1260"/>
      <c r="K2" s="1260"/>
      <c r="L2" s="1260"/>
      <c r="M2" s="1260"/>
      <c r="N2" s="1260"/>
      <c r="O2" s="189"/>
      <c r="P2" s="189"/>
      <c r="Q2" s="700"/>
      <c r="Y2" s="664"/>
      <c r="Z2" s="664"/>
      <c r="AA2" s="662"/>
      <c r="AB2" s="662"/>
      <c r="AC2" s="657"/>
      <c r="AD2" s="657"/>
      <c r="AE2" s="657"/>
    </row>
    <row r="3" spans="1:47" ht="30">
      <c r="A3" s="1261" t="str">
        <f>IF(ThongTinChung!$F$2=ThongTinChung!$G$3,"BẢNG QUYẾT TOÁN KHỐI LƯỢNG", "BẢNG BÁO GIÁ")</f>
        <v>BẢNG BÁO GIÁ</v>
      </c>
      <c r="B3" s="1261"/>
      <c r="C3" s="1261"/>
      <c r="D3" s="1261"/>
      <c r="E3" s="1261"/>
      <c r="F3" s="1261"/>
      <c r="G3" s="1261"/>
      <c r="H3" s="1261"/>
      <c r="I3" s="1261"/>
      <c r="J3" s="1261"/>
      <c r="K3" s="1261"/>
      <c r="L3" s="1261"/>
      <c r="M3" s="1261"/>
      <c r="N3" s="1261"/>
      <c r="AC3" s="658"/>
      <c r="AD3" s="658"/>
      <c r="AE3" s="658"/>
    </row>
    <row r="4" spans="1:47" ht="15">
      <c r="A4" s="70"/>
      <c r="B4" s="70"/>
      <c r="C4" s="70"/>
      <c r="D4" s="864"/>
      <c r="E4" s="865" t="str">
        <f>"(" &amp; IF(A3= "BẢNG BÁO GIÁ", "Lần ","Theo Báo Giá Lần ") &amp; RIGHT(ThongTinChung!$C$5,LEN(ThongTinChung!$C$5) - SEARCH("/",ThongTinChung!$C$5,1) - IFERROR(SEARCH("L",(RIGHT(ThongTinChung!$C$5,LEN(ThongTinChung!$C$5) - SEARCH("/",ThongTinChung!$C$5,1))),1),0)) &amp; ")"</f>
        <v>(Lần 1)</v>
      </c>
      <c r="F4" s="866"/>
      <c r="G4" s="866"/>
      <c r="H4" s="866"/>
      <c r="I4" s="866"/>
      <c r="J4" s="867"/>
      <c r="K4" s="638"/>
      <c r="L4" s="1262" t="str">
        <f>"Mã BG: " &amp; ThongTinChung!$C$5 &amp; IF(ThongTinChung!$F$2=ThongTinChung!$G$2,""," - Ngày: " &amp; TEXT(ThongTinChung!$E$5,"dd/mm/yyyy"))</f>
        <v>Mã BG: 231222/L1</v>
      </c>
      <c r="M4" s="1262"/>
      <c r="N4" s="1262"/>
      <c r="AC4" s="32"/>
      <c r="AD4" s="32"/>
      <c r="AE4" s="32"/>
    </row>
    <row r="5" spans="1:47" ht="15" customHeight="1">
      <c r="A5" s="71"/>
      <c r="B5" s="71"/>
      <c r="C5" s="71"/>
      <c r="D5" s="118"/>
      <c r="E5" s="71"/>
      <c r="F5" s="29"/>
      <c r="G5" s="30"/>
      <c r="H5" s="30"/>
      <c r="I5" s="31"/>
      <c r="J5" s="639"/>
      <c r="K5" s="639"/>
      <c r="L5" s="1263" t="str">
        <f>"Ngày: " &amp; TEXT(IF(ThongTinChung!$F$2=ThongTinChung!$G$2,ThongTinChung!$E$5,ThongTinChung!$E$4),"dd/mm/yyyy")</f>
        <v>Ngày: 15/01/2024</v>
      </c>
      <c r="M5" s="1263"/>
      <c r="N5" s="1263"/>
      <c r="AC5" s="32"/>
      <c r="AD5" s="32"/>
      <c r="AE5" s="32"/>
    </row>
    <row r="6" spans="1:47" ht="24.75" customHeight="1">
      <c r="A6" s="1264" t="str">
        <f>"Kính gửi: " &amp; ThongTinChung!$C$6 &amp; " - " &amp; ThongTinChung!$E$6</f>
        <v>Kính gửi: BOM - Hóc Môn</v>
      </c>
      <c r="B6" s="1264"/>
      <c r="C6" s="1264"/>
      <c r="D6" s="1264"/>
      <c r="E6" s="1264"/>
      <c r="F6" s="1264"/>
      <c r="G6" s="1264"/>
      <c r="H6" s="1264"/>
      <c r="I6" s="1264"/>
      <c r="J6" s="1264"/>
      <c r="K6" s="1264"/>
      <c r="L6" s="1264"/>
      <c r="M6" s="1264"/>
      <c r="N6" s="1264"/>
      <c r="AC6" s="32"/>
      <c r="AD6" s="32"/>
      <c r="AE6" s="32"/>
    </row>
    <row r="7" spans="1:47" s="42" customFormat="1" ht="51" customHeight="1" thickBot="1">
      <c r="A7" s="1265" t="s">
        <v>2597</v>
      </c>
      <c r="B7" s="1265"/>
      <c r="C7" s="1265"/>
      <c r="D7" s="1265"/>
      <c r="E7" s="1265"/>
      <c r="F7" s="1265"/>
      <c r="G7" s="1265"/>
      <c r="H7" s="1265"/>
      <c r="I7" s="1265"/>
      <c r="J7" s="1265"/>
      <c r="K7" s="1265"/>
      <c r="L7" s="1265"/>
      <c r="M7" s="1265"/>
      <c r="N7" s="1265"/>
      <c r="O7" s="1279" t="s">
        <v>2289</v>
      </c>
      <c r="P7" s="1279"/>
      <c r="Q7" s="701"/>
      <c r="X7" s="35"/>
      <c r="Y7" s="666"/>
      <c r="Z7" s="667"/>
      <c r="AH7" s="1281" t="s">
        <v>3366</v>
      </c>
      <c r="AI7" s="1281"/>
      <c r="AJ7" s="1281"/>
      <c r="AK7" s="1281"/>
      <c r="AL7" s="1281"/>
      <c r="AM7" s="1281"/>
      <c r="AN7" s="1281"/>
      <c r="AO7" s="1281"/>
      <c r="AP7" s="1281"/>
      <c r="AQ7" s="1281"/>
      <c r="AR7" s="1281"/>
      <c r="AS7" s="1281"/>
      <c r="AT7" s="1281"/>
      <c r="AU7" s="1281"/>
    </row>
    <row r="8" spans="1:47" ht="30" customHeight="1">
      <c r="A8" s="1266" t="s">
        <v>9</v>
      </c>
      <c r="B8" s="1268" t="s">
        <v>138</v>
      </c>
      <c r="C8" s="1270" t="s">
        <v>3403</v>
      </c>
      <c r="D8" s="1268" t="s">
        <v>123</v>
      </c>
      <c r="E8" s="1270" t="s">
        <v>266</v>
      </c>
      <c r="F8" s="1268" t="s">
        <v>124</v>
      </c>
      <c r="G8" s="1272"/>
      <c r="H8" s="1254" t="s">
        <v>2864</v>
      </c>
      <c r="I8" s="1256" t="s">
        <v>1706</v>
      </c>
      <c r="J8" s="1258" t="s">
        <v>2559</v>
      </c>
      <c r="K8" s="1254" t="s">
        <v>125</v>
      </c>
      <c r="L8" s="1275" t="str">
        <f>"Đơn Giá profile + kính
 (Đồng/ĐVT" &amp; ")
(3)"</f>
        <v>Đơn Giá profile + kính
 (Đồng/ĐVT)
(3)</v>
      </c>
      <c r="M8" s="1275" t="str">
        <f>"Đơn Giá PK
 (Đồng/bộ" &amp; ")
(4)"</f>
        <v>Đơn Giá PK
 (Đồng/bộ)
(4)</v>
      </c>
      <c r="N8" s="1277" t="s">
        <v>2076</v>
      </c>
      <c r="O8" s="1280"/>
      <c r="P8" s="1280"/>
      <c r="Q8" s="715"/>
      <c r="T8" s="1308" t="s">
        <v>2234</v>
      </c>
      <c r="U8" s="1309"/>
      <c r="V8" s="1309"/>
      <c r="W8" s="1309"/>
      <c r="X8" s="697" t="str">
        <f ca="1">IF(COUNTIF($X$11:$X$81,"nhôm")&gt;0,"nhôm","") &amp; IF(COUNTIF($X$11:$X$81,"nhựa")&gt;0,IF(COUNTIF($X$11:$X$81,"nhôm")&gt;0," &amp; nhựa","nhựa"),"")</f>
        <v/>
      </c>
      <c r="AA8" s="1301" t="s">
        <v>2461</v>
      </c>
      <c r="AB8" s="1301" t="s">
        <v>2462</v>
      </c>
      <c r="AC8" s="1301" t="s">
        <v>230</v>
      </c>
      <c r="AD8" s="1301" t="s">
        <v>2425</v>
      </c>
      <c r="AE8" s="1301" t="s">
        <v>2426</v>
      </c>
      <c r="AF8" s="1301" t="s">
        <v>2479</v>
      </c>
      <c r="AH8" s="1273" t="s">
        <v>9</v>
      </c>
      <c r="AI8" s="1284" t="s">
        <v>138</v>
      </c>
      <c r="AJ8" s="1286" t="s">
        <v>3403</v>
      </c>
      <c r="AK8" s="1284" t="s">
        <v>123</v>
      </c>
      <c r="AL8" s="1286" t="s">
        <v>266</v>
      </c>
      <c r="AM8" s="1284" t="s">
        <v>124</v>
      </c>
      <c r="AN8" s="1326"/>
      <c r="AO8" s="1288" t="s">
        <v>2864</v>
      </c>
      <c r="AP8" s="1330" t="s">
        <v>1706</v>
      </c>
      <c r="AQ8" s="1332" t="s">
        <v>2559</v>
      </c>
      <c r="AR8" s="1288" t="s">
        <v>125</v>
      </c>
      <c r="AS8" s="1334" t="s">
        <v>3363</v>
      </c>
      <c r="AT8" s="1334" t="s">
        <v>3364</v>
      </c>
      <c r="AU8" s="1282" t="s">
        <v>2076</v>
      </c>
    </row>
    <row r="9" spans="1:47" ht="40.15" customHeight="1">
      <c r="A9" s="1267"/>
      <c r="B9" s="1269"/>
      <c r="C9" s="1271"/>
      <c r="D9" s="1269"/>
      <c r="E9" s="1271"/>
      <c r="F9" s="748" t="s">
        <v>126</v>
      </c>
      <c r="G9" s="748" t="s">
        <v>127</v>
      </c>
      <c r="H9" s="1255"/>
      <c r="I9" s="1257"/>
      <c r="J9" s="1259"/>
      <c r="K9" s="1255"/>
      <c r="L9" s="1276"/>
      <c r="M9" s="1276"/>
      <c r="N9" s="1278"/>
      <c r="O9" s="1303" t="s">
        <v>556</v>
      </c>
      <c r="P9" s="1304"/>
      <c r="Q9" s="1305"/>
      <c r="S9" s="36"/>
      <c r="T9" s="648" t="s">
        <v>150</v>
      </c>
      <c r="U9" s="648" t="s">
        <v>153</v>
      </c>
      <c r="V9" s="648" t="s">
        <v>2102</v>
      </c>
      <c r="W9" s="648" t="s">
        <v>2103</v>
      </c>
      <c r="X9" s="648" t="s">
        <v>2105</v>
      </c>
      <c r="Y9" s="1306" t="s">
        <v>2233</v>
      </c>
      <c r="Z9" s="1307"/>
      <c r="AA9" s="1302"/>
      <c r="AB9" s="1302"/>
      <c r="AC9" s="1302"/>
      <c r="AD9" s="1302"/>
      <c r="AE9" s="1302"/>
      <c r="AF9" s="1302"/>
      <c r="AG9" s="1292" t="s">
        <v>2595</v>
      </c>
      <c r="AH9" s="1274"/>
      <c r="AI9" s="1285"/>
      <c r="AJ9" s="1287"/>
      <c r="AK9" s="1285"/>
      <c r="AL9" s="1287"/>
      <c r="AM9" s="1097" t="s">
        <v>126</v>
      </c>
      <c r="AN9" s="1097" t="s">
        <v>127</v>
      </c>
      <c r="AO9" s="1289"/>
      <c r="AP9" s="1331"/>
      <c r="AQ9" s="1333"/>
      <c r="AR9" s="1289"/>
      <c r="AS9" s="1335"/>
      <c r="AT9" s="1335"/>
      <c r="AU9" s="1283"/>
    </row>
    <row r="10" spans="1:47" ht="19.899999999999999" customHeight="1">
      <c r="A10" s="1294" t="s">
        <v>2075</v>
      </c>
      <c r="B10" s="1295"/>
      <c r="C10" s="1295"/>
      <c r="D10" s="1295"/>
      <c r="E10" s="1295"/>
      <c r="F10" s="1295"/>
      <c r="G10" s="1295"/>
      <c r="H10" s="1295"/>
      <c r="I10" s="1295"/>
      <c r="J10" s="1295"/>
      <c r="K10" s="1295"/>
      <c r="L10" s="1295"/>
      <c r="M10" s="1295"/>
      <c r="N10" s="1296"/>
      <c r="O10" s="199" t="s">
        <v>538</v>
      </c>
      <c r="P10" s="199" t="s">
        <v>567</v>
      </c>
      <c r="Q10" s="702" t="s">
        <v>555</v>
      </c>
      <c r="R10" s="1297" t="s">
        <v>2407</v>
      </c>
      <c r="S10" s="1297"/>
      <c r="T10" s="198"/>
      <c r="U10" s="198"/>
      <c r="V10" s="668"/>
      <c r="W10" s="668"/>
      <c r="X10" s="668"/>
      <c r="Y10" s="669">
        <f ca="1">COUNTA(Get_WB)</f>
        <v>12</v>
      </c>
      <c r="Z10" s="669"/>
      <c r="AA10" s="753"/>
      <c r="AB10" s="753"/>
      <c r="AC10" s="753"/>
      <c r="AD10" s="753"/>
      <c r="AE10" s="753"/>
      <c r="AF10" s="753"/>
      <c r="AG10" s="1293"/>
      <c r="AH10" s="1327" t="s">
        <v>2075</v>
      </c>
      <c r="AI10" s="1328"/>
      <c r="AJ10" s="1328"/>
      <c r="AK10" s="1328"/>
      <c r="AL10" s="1328"/>
      <c r="AM10" s="1328"/>
      <c r="AN10" s="1328"/>
      <c r="AO10" s="1328"/>
      <c r="AP10" s="1328"/>
      <c r="AQ10" s="1328"/>
      <c r="AR10" s="1328"/>
      <c r="AS10" s="1328"/>
      <c r="AT10" s="1328"/>
      <c r="AU10" s="1329"/>
    </row>
    <row r="11" spans="1:47" s="42" customFormat="1" ht="28">
      <c r="A11" s="37" t="str">
        <f>IF(B11="","",MAX($A$10:A10)+1)</f>
        <v/>
      </c>
      <c r="B11" s="718"/>
      <c r="C11" s="643">
        <f ca="1">IFERROR(VLOOKUP(A11,TinhGia!$B$11:$N$80,2,0),"")</f>
        <v>0</v>
      </c>
      <c r="D11" s="643" t="str">
        <f ca="1">IF(AK11="",IFERROR(VLOOKUP(B11,TinhGia!$B$11:$N$80,3,0),""),AK11)</f>
        <v/>
      </c>
      <c r="E11" s="203" t="str">
        <f ca="1">IF(AL11="",IFERROR(VLOOKUP(B11,TinhGia!$B$11:$N$80,4,0),""),AL11)</f>
        <v/>
      </c>
      <c r="F11" s="203" t="str">
        <f ca="1">IF(AM11="",IFERROR(VLOOKUP(B11,TinhGia!$B$11:$N$80,5,0),""),AM11)</f>
        <v/>
      </c>
      <c r="G11" s="203" t="str">
        <f ca="1">IF(AN11="",IFERROR(VLOOKUP(B11,TinhGia!$B$11:$N$80,6,0),""),AN11)</f>
        <v/>
      </c>
      <c r="H11" s="1136">
        <f ca="1">ROUND(IFERROR(INDIRECT("'" &amp; $B11 &amp; "'!" &amp; "F12"),0),3)</f>
        <v>0</v>
      </c>
      <c r="I11" s="38" t="str">
        <f ca="1">IF(AP11="",IFERROR(VLOOKUP(B11,TinhGia!$B$11:$N$80,8,0),""),AP11)</f>
        <v/>
      </c>
      <c r="J11" s="39">
        <f ca="1">IF($E11="md",$F11*$I11/1000,0)</f>
        <v>0</v>
      </c>
      <c r="K11" s="1200">
        <f ca="1">ROUND(IF(AND($F11&lt;&gt;"",$G11&lt;&gt;""),$I11*$F11*$G11/1000000,0),3)</f>
        <v>0</v>
      </c>
      <c r="L11" s="40" t="str">
        <f ca="1">IF(AS11="",IFERROR(VLOOKUP(B11,TinhGia!$B$11:$N$80,11,0),""),AS11)</f>
        <v/>
      </c>
      <c r="M11" s="40" t="str">
        <f ca="1">IF(AT11="",IFERROR(VLOOKUP(B11,TinhGia!$B$11:$N$80,12,0),""),AT11)</f>
        <v/>
      </c>
      <c r="N11" s="41">
        <f ca="1">ROUND(IF($E11="md",$J11*$L11 + $M11*$I11,IFERROR(L11*IF($E11="m2",$K11,$I11) + M11*I11,0)),0)</f>
        <v>0</v>
      </c>
      <c r="O11" s="195">
        <v>45028</v>
      </c>
      <c r="P11" s="708">
        <v>1</v>
      </c>
      <c r="Q11" s="703" t="str">
        <f>IF($P11="","","ĐNSX"&amp; IF(LEN($P11)=1,"0" &amp; $P11,$P11) &amp; "/" &amp; ThongTinChung!$C$5)</f>
        <v>ĐNSX01/231222/L1</v>
      </c>
      <c r="R11" s="100" t="str">
        <f t="shared" ref="R11:R42" ca="1" si="0">IF(B11="","",COUNTA(INDIRECT("'" &amp; $B11 &amp; "'!" &amp; S11)) - COUNTBLANK(INDIRECT("'" &amp; $B11 &amp; "'!" &amp; S11)))</f>
        <v/>
      </c>
      <c r="S11" s="194" t="str">
        <f>IF($B11="","","C" &amp; ROW(MauKoXoa!$C$108) &amp; ":C" &amp;ROW(MauKoXoa!$C$174))</f>
        <v/>
      </c>
      <c r="T11" s="198" t="str">
        <f ca="1">MID(IFERROR(INDIRECT("'" &amp; $B11 &amp; "'!" &amp; "K1"),""),4,2)</f>
        <v/>
      </c>
      <c r="U11" s="198" t="str">
        <f ca="1">IFERROR(INDIRECT("'" &amp; $B11 &amp; "'!" &amp; "D5"),"")</f>
        <v/>
      </c>
      <c r="V11" s="650" t="str">
        <f ca="1">IF(COUNTIF($V$10:$V10,IFERROR(INDEX(DanhMuc!$J$154:$J$165,MATCH($T11,DanhMuc!$B$154:$B$165,0)),""))&lt;1,IFERROR(INDEX(DanhMuc!$J$154:$J$165,MATCH($T11,DanhMuc!$B$154:$B$165,0)),""),"")</f>
        <v/>
      </c>
      <c r="W11" s="650" t="str">
        <f ca="1">IF(COUNTIF($W$10:$W10,IFERROR(INDEX(DanhMuc!$D$168:$D$177,MATCH($U11,DanhMuc!$C$168:$C$177,0)),""))&lt;1,IFERROR(INDEX(DanhMuc!$D$168:$D$177,MATCH($U11,DanhMuc!$C$168:$C$177,0)),""),"")</f>
        <v/>
      </c>
      <c r="X11" s="650" t="str">
        <f ca="1">IFERROR(INDEX(DanhMuc!$K$154:$K$165,MATCH($T11,DanhMuc!$B$154:$B$165,0)),"")</f>
        <v/>
      </c>
      <c r="Y11" s="656">
        <f>11+$Q$8</f>
        <v>11</v>
      </c>
      <c r="Z11" s="719" t="str">
        <f ca="1">IFERROR(INDEX(Lay_Ten_Sheet,Y11),"")</f>
        <v>XKNVLSX</v>
      </c>
      <c r="AA11" s="757">
        <f t="shared" ref="AA11:AF26" ca="1" si="1">IFERROR(INDIRECT("'" &amp; $B11 &amp; "'!" &amp; AA$82),0)</f>
        <v>0</v>
      </c>
      <c r="AB11" s="757">
        <f t="shared" ca="1" si="1"/>
        <v>0</v>
      </c>
      <c r="AC11" s="757">
        <f t="shared" ca="1" si="1"/>
        <v>0</v>
      </c>
      <c r="AD11" s="757">
        <f t="shared" ca="1" si="1"/>
        <v>0</v>
      </c>
      <c r="AE11" s="757">
        <f t="shared" ca="1" si="1"/>
        <v>0</v>
      </c>
      <c r="AF11" s="757">
        <f t="shared" ca="1" si="1"/>
        <v>0</v>
      </c>
      <c r="AG11" s="198"/>
      <c r="AH11" s="1079" t="s">
        <v>3365</v>
      </c>
      <c r="AI11" s="1080"/>
      <c r="AJ11" s="1080"/>
      <c r="AK11" s="1081" t="s">
        <v>3365</v>
      </c>
      <c r="AL11" s="1081" t="s">
        <v>3365</v>
      </c>
      <c r="AM11" s="1081" t="s">
        <v>3365</v>
      </c>
      <c r="AN11" s="1081" t="s">
        <v>3365</v>
      </c>
      <c r="AO11" s="1082"/>
      <c r="AP11" s="1083" t="s">
        <v>3365</v>
      </c>
      <c r="AQ11" s="1084"/>
      <c r="AR11" s="1085"/>
      <c r="AS11" s="1086" t="s">
        <v>3365</v>
      </c>
      <c r="AT11" s="1086"/>
      <c r="AU11" s="1087"/>
    </row>
    <row r="12" spans="1:47" s="42" customFormat="1" ht="19.899999999999999" customHeight="1">
      <c r="A12" s="37" t="str">
        <f>IF(B12="","",MAX($A$10:A11)+1)</f>
        <v/>
      </c>
      <c r="B12" s="718"/>
      <c r="C12" s="643">
        <f ca="1">IFERROR(VLOOKUP(A12,TinhGia!$B$11:$N$80,2,0),"")</f>
        <v>0</v>
      </c>
      <c r="D12" s="643" t="str">
        <f ca="1">IF(AK12="",IFERROR(VLOOKUP(B12,TinhGia!$B$11:$N$80,3,0),""),AK12)</f>
        <v/>
      </c>
      <c r="E12" s="203" t="str">
        <f ca="1">IF(AL12="",IFERROR(VLOOKUP(B12,TinhGia!$B$11:$N$80,4,0),""),AL12)</f>
        <v/>
      </c>
      <c r="F12" s="203" t="str">
        <f ca="1">IF(AM12="",IFERROR(VLOOKUP(B12,TinhGia!$B$11:$N$80,5,0),""),AM12)</f>
        <v/>
      </c>
      <c r="G12" s="203" t="str">
        <f ca="1">IF(AN12="",IFERROR(VLOOKUP(B12,TinhGia!$B$11:$N$80,6,0),""),AN12)</f>
        <v/>
      </c>
      <c r="H12" s="1136">
        <f t="shared" ref="H12:H75" ca="1" si="2">ROUND(IFERROR(INDIRECT("'" &amp; $B12 &amp; "'!" &amp; "F12"),0),3)</f>
        <v>0</v>
      </c>
      <c r="I12" s="38" t="str">
        <f ca="1">IF(AP12="",IFERROR(VLOOKUP(B12,TinhGia!$B$11:$N$80,8,0),""),AP12)</f>
        <v/>
      </c>
      <c r="J12" s="39">
        <f t="shared" ref="J12:J75" ca="1" si="3">IF($E12="md",$F12*$I12/1000,0)</f>
        <v>0</v>
      </c>
      <c r="K12" s="1200">
        <f t="shared" ref="K12:K75" ca="1" si="4">ROUND(IF(AND($F12&lt;&gt;"",$G12&lt;&gt;""),$I12*$F12*$G12/1000000,0),3)</f>
        <v>0</v>
      </c>
      <c r="L12" s="40" t="str">
        <f ca="1">IF(AS12="",IFERROR(VLOOKUP(B12,TinhGia!$B$11:$N$80,11,0),""),AS12)</f>
        <v/>
      </c>
      <c r="M12" s="40" t="str">
        <f ca="1">IF(AT12="",IFERROR(VLOOKUP(B12,TinhGia!$B$11:$N$80,12,0),""),AT12)</f>
        <v/>
      </c>
      <c r="N12" s="41">
        <f t="shared" ref="N12:N75" ca="1" si="5">ROUND(IF($E12="md",$J12*$L12 + $M12*$I12,IFERROR(L12*IF($E12="m2",$K12,$I12) + M12*I12,0)),0)</f>
        <v>0</v>
      </c>
      <c r="O12" s="195"/>
      <c r="P12" s="708"/>
      <c r="Q12" s="703" t="str">
        <f>IF($P12="","","ĐNSX"&amp; IF(LEN($P12)=1,"0" &amp; $P12,$P12) &amp; "/" &amp; ThongTinChung!$C$5)</f>
        <v/>
      </c>
      <c r="R12" s="100" t="str">
        <f t="shared" ca="1" si="0"/>
        <v/>
      </c>
      <c r="S12" s="194" t="str">
        <f>IF($B12="","","C" &amp; ROW(MauKoXoa!$C$108) &amp; ":C" &amp;ROW(MauKoXoa!$C$174))</f>
        <v/>
      </c>
      <c r="T12" s="198" t="str">
        <f t="shared" ref="T12:T80" ca="1" si="6">MID(IFERROR(INDIRECT("'" &amp; $B12 &amp; "'!" &amp; "K1"),""),4,2)</f>
        <v/>
      </c>
      <c r="U12" s="198" t="str">
        <f t="shared" ref="U12:U80" ca="1" si="7">IFERROR(INDIRECT("'" &amp; $B12 &amp; "'!" &amp; "D5"),"")</f>
        <v/>
      </c>
      <c r="V12" s="650" t="str">
        <f ca="1">IF(COUNTIF($V$10:$V11,IFERROR(INDEX(DanhMuc!$J$154:$J$165,MATCH($T12,DanhMuc!$B$154:$B$165,0)),""))&lt;1,IFERROR(INDEX(DanhMuc!$J$154:$J$165,MATCH($T12,DanhMuc!$B$154:$B$165,0)),""),"")</f>
        <v/>
      </c>
      <c r="W12" s="650" t="str">
        <f ca="1">IF(COUNTIF($W$10:$W11,IFERROR(INDEX(DanhMuc!$D$168:$D$177,MATCH($U12,DanhMuc!$C$168:$C$177,0)),""))&lt;1,IFERROR(INDEX(DanhMuc!$D$168:$D$177,MATCH($U12,DanhMuc!$C$168:$C$177,0)),""),"")</f>
        <v/>
      </c>
      <c r="X12" s="650" t="str">
        <f ca="1">IFERROR(INDEX(DanhMuc!$K$154:$K$165,MATCH($T12,DanhMuc!$B$154:$B$165,0)),"")</f>
        <v/>
      </c>
      <c r="Y12" s="653">
        <f t="shared" ref="Y12:Y75" ca="1" si="8">IF($Y11&gt;=$Y$10,"",$Y11+1)</f>
        <v>12</v>
      </c>
      <c r="Z12" s="653" t="str">
        <f t="shared" ref="Z12:Z75" ca="1" si="9">IFERROR(INDEX(Lay_Ten_Sheet,Y12),"")</f>
        <v>MauKoXoa</v>
      </c>
      <c r="AA12" s="757">
        <f t="shared" ca="1" si="1"/>
        <v>0</v>
      </c>
      <c r="AB12" s="757">
        <f t="shared" ca="1" si="1"/>
        <v>0</v>
      </c>
      <c r="AC12" s="757">
        <f t="shared" ca="1" si="1"/>
        <v>0</v>
      </c>
      <c r="AD12" s="757">
        <f t="shared" ca="1" si="1"/>
        <v>0</v>
      </c>
      <c r="AE12" s="757">
        <f t="shared" ca="1" si="1"/>
        <v>0</v>
      </c>
      <c r="AF12" s="757">
        <f t="shared" ca="1" si="1"/>
        <v>0</v>
      </c>
      <c r="AG12" s="198"/>
      <c r="AH12" s="1079" t="s">
        <v>3365</v>
      </c>
      <c r="AI12" s="1080"/>
      <c r="AJ12" s="1080"/>
      <c r="AK12" s="1081" t="s">
        <v>3365</v>
      </c>
      <c r="AL12" s="1081" t="s">
        <v>3365</v>
      </c>
      <c r="AM12" s="1081" t="s">
        <v>3365</v>
      </c>
      <c r="AN12" s="1081" t="s">
        <v>3365</v>
      </c>
      <c r="AO12" s="1083">
        <v>0</v>
      </c>
      <c r="AP12" s="1083" t="s">
        <v>3365</v>
      </c>
      <c r="AQ12" s="1084"/>
      <c r="AR12" s="1085"/>
      <c r="AS12" s="1086" t="s">
        <v>3365</v>
      </c>
      <c r="AT12" s="1086"/>
      <c r="AU12" s="1087"/>
    </row>
    <row r="13" spans="1:47" s="42" customFormat="1" ht="19.899999999999999" customHeight="1">
      <c r="A13" s="37" t="str">
        <f>IF(B13="","",MAX($A$10:A12)+1)</f>
        <v/>
      </c>
      <c r="B13" s="718"/>
      <c r="C13" s="643">
        <f ca="1">IFERROR(VLOOKUP(A13,TinhGia!$B$11:$N$80,2,0),"")</f>
        <v>0</v>
      </c>
      <c r="D13" s="643" t="str">
        <f ca="1">IF(AK13="",IFERROR(VLOOKUP(B13,TinhGia!$B$11:$N$80,3,0),""),AK13)</f>
        <v/>
      </c>
      <c r="E13" s="203" t="str">
        <f ca="1">IF(AL13="",IFERROR(VLOOKUP(B13,TinhGia!$B$11:$N$80,4,0),""),AL13)</f>
        <v/>
      </c>
      <c r="F13" s="203" t="str">
        <f ca="1">IF(AM13="",IFERROR(VLOOKUP(B13,TinhGia!$B$11:$N$80,5,0),""),AM13)</f>
        <v/>
      </c>
      <c r="G13" s="203" t="str">
        <f ca="1">IF(AN13="",IFERROR(VLOOKUP(B13,TinhGia!$B$11:$N$80,6,0),""),AN13)</f>
        <v/>
      </c>
      <c r="H13" s="1136">
        <f t="shared" ca="1" si="2"/>
        <v>0</v>
      </c>
      <c r="I13" s="38" t="str">
        <f ca="1">IF(AP13="",IFERROR(VLOOKUP(B13,TinhGia!$B$11:$N$80,8,0),""),AP13)</f>
        <v/>
      </c>
      <c r="J13" s="39">
        <f t="shared" ca="1" si="3"/>
        <v>0</v>
      </c>
      <c r="K13" s="1200">
        <f t="shared" ca="1" si="4"/>
        <v>0</v>
      </c>
      <c r="L13" s="40" t="str">
        <f ca="1">IF(AS13="",IFERROR(VLOOKUP(B13,TinhGia!$B$11:$N$80,11,0),""),AS13)</f>
        <v/>
      </c>
      <c r="M13" s="40" t="str">
        <f ca="1">IF(AT13="",IFERROR(VLOOKUP(B13,TinhGia!$B$11:$N$80,12,0),""),AT13)</f>
        <v/>
      </c>
      <c r="N13" s="41">
        <f t="shared" ca="1" si="5"/>
        <v>0</v>
      </c>
      <c r="O13" s="195"/>
      <c r="P13" s="708"/>
      <c r="Q13" s="703" t="str">
        <f>IF($P13="","","ĐNSX"&amp; IF(LEN($P13)=1,"0" &amp; $P13,$P13) &amp; "/" &amp; ThongTinChung!$C$5)</f>
        <v/>
      </c>
      <c r="R13" s="100" t="str">
        <f t="shared" ca="1" si="0"/>
        <v/>
      </c>
      <c r="S13" s="194" t="str">
        <f>IF($B13="","","C" &amp; ROW(MauKoXoa!$C$108) &amp; ":C" &amp;ROW(MauKoXoa!$C$174))</f>
        <v/>
      </c>
      <c r="T13" s="198" t="str">
        <f t="shared" ca="1" si="6"/>
        <v/>
      </c>
      <c r="U13" s="198" t="str">
        <f t="shared" ca="1" si="7"/>
        <v/>
      </c>
      <c r="V13" s="650" t="str">
        <f ca="1">IF(COUNTIF($V$10:$V12,IFERROR(INDEX(DanhMuc!$J$154:$J$165,MATCH($T13,DanhMuc!$B$154:$B$165,0)),""))&lt;1,IFERROR(INDEX(DanhMuc!$J$154:$J$165,MATCH($T13,DanhMuc!$B$154:$B$165,0)),""),"")</f>
        <v/>
      </c>
      <c r="W13" s="650" t="str">
        <f ca="1">IF(COUNTIF($W$10:$W12,IFERROR(INDEX(DanhMuc!$D$168:$D$177,MATCH($U13,DanhMuc!$C$168:$C$177,0)),""))&lt;1,IFERROR(INDEX(DanhMuc!$D$168:$D$177,MATCH($U13,DanhMuc!$C$168:$C$177,0)),""),"")</f>
        <v/>
      </c>
      <c r="X13" s="650" t="str">
        <f ca="1">IFERROR(INDEX(DanhMuc!$K$154:$K$165,MATCH($T13,DanhMuc!$B$154:$B$165,0)),"")</f>
        <v/>
      </c>
      <c r="Y13" s="653" t="str">
        <f t="shared" ca="1" si="8"/>
        <v/>
      </c>
      <c r="Z13" s="653" t="str">
        <f t="shared" ca="1" si="9"/>
        <v/>
      </c>
      <c r="AA13" s="757">
        <f t="shared" ca="1" si="1"/>
        <v>0</v>
      </c>
      <c r="AB13" s="757">
        <f t="shared" ca="1" si="1"/>
        <v>0</v>
      </c>
      <c r="AC13" s="757">
        <f t="shared" ca="1" si="1"/>
        <v>0</v>
      </c>
      <c r="AD13" s="757">
        <f t="shared" ca="1" si="1"/>
        <v>0</v>
      </c>
      <c r="AE13" s="757">
        <f t="shared" ca="1" si="1"/>
        <v>0</v>
      </c>
      <c r="AF13" s="757">
        <f t="shared" ca="1" si="1"/>
        <v>0</v>
      </c>
      <c r="AG13" s="198"/>
      <c r="AH13" s="1079" t="s">
        <v>3365</v>
      </c>
      <c r="AI13" s="1080"/>
      <c r="AJ13" s="1080"/>
      <c r="AK13" s="1081" t="s">
        <v>3365</v>
      </c>
      <c r="AL13" s="1081" t="s">
        <v>3365</v>
      </c>
      <c r="AM13" s="1081" t="s">
        <v>3365</v>
      </c>
      <c r="AN13" s="1081" t="s">
        <v>3365</v>
      </c>
      <c r="AO13" s="1083">
        <v>0</v>
      </c>
      <c r="AP13" s="1083" t="s">
        <v>3365</v>
      </c>
      <c r="AQ13" s="1084"/>
      <c r="AR13" s="1085"/>
      <c r="AS13" s="1086" t="s">
        <v>3365</v>
      </c>
      <c r="AT13" s="1086"/>
      <c r="AU13" s="1087"/>
    </row>
    <row r="14" spans="1:47" s="42" customFormat="1" ht="19.899999999999999" customHeight="1">
      <c r="A14" s="37" t="str">
        <f>IF(B14="","",MAX($A$10:A13)+1)</f>
        <v/>
      </c>
      <c r="B14" s="718"/>
      <c r="C14" s="643">
        <f ca="1">IFERROR(VLOOKUP(A14,TinhGia!$B$11:$N$80,2,0),"")</f>
        <v>0</v>
      </c>
      <c r="D14" s="643" t="str">
        <f ca="1">IF(AK14="",IFERROR(VLOOKUP(B14,TinhGia!$B$11:$N$80,3,0),""),AK14)</f>
        <v/>
      </c>
      <c r="E14" s="203" t="str">
        <f ca="1">IF(AL14="",IFERROR(VLOOKUP(B14,TinhGia!$B$11:$N$80,4,0),""),AL14)</f>
        <v/>
      </c>
      <c r="F14" s="203" t="str">
        <f ca="1">IF(AM14="",IFERROR(VLOOKUP(B14,TinhGia!$B$11:$N$80,5,0),""),AM14)</f>
        <v/>
      </c>
      <c r="G14" s="203" t="str">
        <f ca="1">IF(AN14="",IFERROR(VLOOKUP(B14,TinhGia!$B$11:$N$80,6,0),""),AN14)</f>
        <v/>
      </c>
      <c r="H14" s="1136">
        <f t="shared" ca="1" si="2"/>
        <v>0</v>
      </c>
      <c r="I14" s="38" t="str">
        <f ca="1">IF(AP14="",IFERROR(VLOOKUP(B14,TinhGia!$B$11:$N$80,8,0),""),AP14)</f>
        <v/>
      </c>
      <c r="J14" s="39">
        <f t="shared" ca="1" si="3"/>
        <v>0</v>
      </c>
      <c r="K14" s="1200">
        <f t="shared" ca="1" si="4"/>
        <v>0</v>
      </c>
      <c r="L14" s="40" t="str">
        <f ca="1">IF(AS14="",IFERROR(VLOOKUP(B14,TinhGia!$B$11:$N$80,11,0),""),AS14)</f>
        <v/>
      </c>
      <c r="M14" s="40" t="str">
        <f ca="1">IF(AT14="",IFERROR(VLOOKUP(B14,TinhGia!$B$11:$N$80,12,0),""),AT14)</f>
        <v/>
      </c>
      <c r="N14" s="41">
        <f t="shared" ca="1" si="5"/>
        <v>0</v>
      </c>
      <c r="O14" s="195"/>
      <c r="P14" s="196"/>
      <c r="Q14" s="703" t="str">
        <f>IF($P14="","","ĐNSX"&amp; IF(LEN($P14)=1,"0" &amp; $P14,$P14) &amp; "/" &amp; ThongTinChung!$C$5)</f>
        <v/>
      </c>
      <c r="R14" s="100" t="str">
        <f t="shared" ca="1" si="0"/>
        <v/>
      </c>
      <c r="S14" s="194" t="str">
        <f>IF($B14="","","C" &amp; ROW(MauKoXoa!$C$108) &amp; ":C" &amp;ROW(MauKoXoa!$C$174))</f>
        <v/>
      </c>
      <c r="T14" s="198" t="str">
        <f t="shared" ca="1" si="6"/>
        <v/>
      </c>
      <c r="U14" s="198" t="str">
        <f t="shared" ca="1" si="7"/>
        <v/>
      </c>
      <c r="V14" s="650" t="str">
        <f ca="1">IF(COUNTIF($V$10:$V13,IFERROR(INDEX(DanhMuc!$J$154:$J$165,MATCH($T14,DanhMuc!$B$154:$B$165,0)),""))&lt;1,IFERROR(INDEX(DanhMuc!$J$154:$J$165,MATCH($T14,DanhMuc!$B$154:$B$165,0)),""),"")</f>
        <v/>
      </c>
      <c r="W14" s="650" t="str">
        <f ca="1">IF(COUNTIF($W$10:$W13,IFERROR(INDEX(DanhMuc!$D$168:$D$177,MATCH($U14,DanhMuc!$C$168:$C$177,0)),""))&lt;1,IFERROR(INDEX(DanhMuc!$D$168:$D$177,MATCH($U14,DanhMuc!$C$168:$C$177,0)),""),"")</f>
        <v/>
      </c>
      <c r="X14" s="650" t="str">
        <f ca="1">IFERROR(INDEX(DanhMuc!$K$154:$K$165,MATCH($T14,DanhMuc!$B$154:$B$165,0)),"")</f>
        <v/>
      </c>
      <c r="Y14" s="653" t="str">
        <f t="shared" ca="1" si="8"/>
        <v/>
      </c>
      <c r="Z14" s="653" t="str">
        <f t="shared" ca="1" si="9"/>
        <v/>
      </c>
      <c r="AA14" s="757">
        <f t="shared" ca="1" si="1"/>
        <v>0</v>
      </c>
      <c r="AB14" s="757">
        <f t="shared" ca="1" si="1"/>
        <v>0</v>
      </c>
      <c r="AC14" s="757">
        <f t="shared" ca="1" si="1"/>
        <v>0</v>
      </c>
      <c r="AD14" s="757">
        <f t="shared" ca="1" si="1"/>
        <v>0</v>
      </c>
      <c r="AE14" s="757">
        <f t="shared" ca="1" si="1"/>
        <v>0</v>
      </c>
      <c r="AF14" s="757">
        <f t="shared" ca="1" si="1"/>
        <v>0</v>
      </c>
      <c r="AG14" s="198"/>
      <c r="AH14" s="1079" t="s">
        <v>3365</v>
      </c>
      <c r="AI14" s="1080"/>
      <c r="AJ14" s="1080"/>
      <c r="AK14" s="1081" t="s">
        <v>3365</v>
      </c>
      <c r="AL14" s="1081" t="s">
        <v>3365</v>
      </c>
      <c r="AM14" s="1081" t="s">
        <v>3365</v>
      </c>
      <c r="AN14" s="1081" t="s">
        <v>3365</v>
      </c>
      <c r="AO14" s="1083">
        <v>0</v>
      </c>
      <c r="AP14" s="1083" t="s">
        <v>3365</v>
      </c>
      <c r="AQ14" s="1084"/>
      <c r="AR14" s="1085"/>
      <c r="AS14" s="1086" t="s">
        <v>3365</v>
      </c>
      <c r="AT14" s="1086"/>
      <c r="AU14" s="1087"/>
    </row>
    <row r="15" spans="1:47" s="42" customFormat="1" ht="19.899999999999999" customHeight="1">
      <c r="A15" s="37" t="str">
        <f>IF(B15="","",MAX($A$10:A14)+1)</f>
        <v/>
      </c>
      <c r="B15" s="718"/>
      <c r="C15" s="643">
        <f ca="1">IFERROR(VLOOKUP(A15,TinhGia!$B$11:$N$80,2,0),"")</f>
        <v>0</v>
      </c>
      <c r="D15" s="643" t="str">
        <f ca="1">IF(AK15="",IFERROR(VLOOKUP(B15,TinhGia!$B$11:$N$80,3,0),""),AK15)</f>
        <v/>
      </c>
      <c r="E15" s="203" t="str">
        <f ca="1">IF(AL15="",IFERROR(VLOOKUP(B15,TinhGia!$B$11:$N$80,4,0),""),AL15)</f>
        <v/>
      </c>
      <c r="F15" s="203" t="str">
        <f ca="1">IF(AM15="",IFERROR(VLOOKUP(B15,TinhGia!$B$11:$N$80,5,0),""),AM15)</f>
        <v/>
      </c>
      <c r="G15" s="203" t="str">
        <f ca="1">IF(AN15="",IFERROR(VLOOKUP(B15,TinhGia!$B$11:$N$80,6,0),""),AN15)</f>
        <v/>
      </c>
      <c r="H15" s="1136">
        <f t="shared" ca="1" si="2"/>
        <v>0</v>
      </c>
      <c r="I15" s="38" t="str">
        <f ca="1">IF(AP15="",IFERROR(VLOOKUP(B15,TinhGia!$B$11:$N$80,8,0),""),AP15)</f>
        <v/>
      </c>
      <c r="J15" s="39">
        <f t="shared" ca="1" si="3"/>
        <v>0</v>
      </c>
      <c r="K15" s="1200">
        <f t="shared" ca="1" si="4"/>
        <v>0</v>
      </c>
      <c r="L15" s="40" t="str">
        <f ca="1">IF(AS15="",IFERROR(VLOOKUP(B15,TinhGia!$B$11:$N$80,11,0),""),AS15)</f>
        <v/>
      </c>
      <c r="M15" s="40" t="str">
        <f ca="1">IF(AT15="",IFERROR(VLOOKUP(B15,TinhGia!$B$11:$N$80,12,0),""),AT15)</f>
        <v/>
      </c>
      <c r="N15" s="41">
        <f t="shared" ca="1" si="5"/>
        <v>0</v>
      </c>
      <c r="O15" s="195"/>
      <c r="P15" s="196"/>
      <c r="Q15" s="703" t="str">
        <f>IF($P15="","","ĐNSX"&amp; IF(LEN($P15)=1,"0" &amp; $P15,$P15) &amp; "/" &amp; ThongTinChung!$C$5)</f>
        <v/>
      </c>
      <c r="R15" s="100" t="str">
        <f t="shared" ca="1" si="0"/>
        <v/>
      </c>
      <c r="S15" s="194" t="str">
        <f>IF($B15="","","C" &amp; ROW(MauKoXoa!$C$108) &amp; ":C" &amp;ROW(MauKoXoa!$C$174))</f>
        <v/>
      </c>
      <c r="T15" s="198" t="str">
        <f t="shared" ca="1" si="6"/>
        <v/>
      </c>
      <c r="U15" s="198" t="str">
        <f t="shared" ca="1" si="7"/>
        <v/>
      </c>
      <c r="V15" s="650" t="str">
        <f ca="1">IF(COUNTIF($V$10:$V14,IFERROR(INDEX(DanhMuc!$J$154:$J$165,MATCH($T15,DanhMuc!$B$154:$B$165,0)),""))&lt;1,IFERROR(INDEX(DanhMuc!$J$154:$J$165,MATCH($T15,DanhMuc!$B$154:$B$165,0)),""),"")</f>
        <v/>
      </c>
      <c r="W15" s="650" t="str">
        <f ca="1">IF(COUNTIF($W$10:$W14,IFERROR(INDEX(DanhMuc!$D$168:$D$177,MATCH($U15,DanhMuc!$C$168:$C$177,0)),""))&lt;1,IFERROR(INDEX(DanhMuc!$D$168:$D$177,MATCH($U15,DanhMuc!$C$168:$C$177,0)),""),"")</f>
        <v/>
      </c>
      <c r="X15" s="650" t="str">
        <f ca="1">IFERROR(INDEX(DanhMuc!$K$154:$K$165,MATCH($T15,DanhMuc!$B$154:$B$165,0)),"")</f>
        <v/>
      </c>
      <c r="Y15" s="653" t="str">
        <f t="shared" ca="1" si="8"/>
        <v/>
      </c>
      <c r="Z15" s="653" t="str">
        <f t="shared" ca="1" si="9"/>
        <v/>
      </c>
      <c r="AA15" s="757">
        <f t="shared" ca="1" si="1"/>
        <v>0</v>
      </c>
      <c r="AB15" s="757">
        <f t="shared" ca="1" si="1"/>
        <v>0</v>
      </c>
      <c r="AC15" s="757">
        <f t="shared" ca="1" si="1"/>
        <v>0</v>
      </c>
      <c r="AD15" s="757">
        <f t="shared" ca="1" si="1"/>
        <v>0</v>
      </c>
      <c r="AE15" s="757">
        <f t="shared" ca="1" si="1"/>
        <v>0</v>
      </c>
      <c r="AF15" s="757">
        <f t="shared" ca="1" si="1"/>
        <v>0</v>
      </c>
      <c r="AG15" s="198"/>
      <c r="AH15" s="1079" t="s">
        <v>3365</v>
      </c>
      <c r="AI15" s="1080"/>
      <c r="AJ15" s="1080"/>
      <c r="AK15" s="1081" t="s">
        <v>3365</v>
      </c>
      <c r="AL15" s="1081" t="s">
        <v>3365</v>
      </c>
      <c r="AM15" s="1081" t="s">
        <v>3365</v>
      </c>
      <c r="AN15" s="1081" t="s">
        <v>3365</v>
      </c>
      <c r="AO15" s="1083">
        <v>0</v>
      </c>
      <c r="AP15" s="1083" t="s">
        <v>3365</v>
      </c>
      <c r="AQ15" s="1084"/>
      <c r="AR15" s="1085"/>
      <c r="AS15" s="1086" t="s">
        <v>3365</v>
      </c>
      <c r="AT15" s="1086"/>
      <c r="AU15" s="1087"/>
    </row>
    <row r="16" spans="1:47" s="42" customFormat="1" ht="19.899999999999999" customHeight="1">
      <c r="A16" s="37" t="str">
        <f>IF(B16="","",MAX($A$10:A15)+1)</f>
        <v/>
      </c>
      <c r="B16" s="718"/>
      <c r="C16" s="643">
        <f ca="1">IFERROR(VLOOKUP(A16,TinhGia!$B$11:$N$80,2,0),"")</f>
        <v>0</v>
      </c>
      <c r="D16" s="643" t="str">
        <f ca="1">IF(AK16="",IFERROR(VLOOKUP(B16,TinhGia!$B$11:$N$80,3,0),""),AK16)</f>
        <v/>
      </c>
      <c r="E16" s="203" t="str">
        <f ca="1">IF(AL16="",IFERROR(VLOOKUP(B16,TinhGia!$B$11:$N$80,4,0),""),AL16)</f>
        <v/>
      </c>
      <c r="F16" s="203" t="str">
        <f ca="1">IF(AM16="",IFERROR(VLOOKUP(B16,TinhGia!$B$11:$N$80,5,0),""),AM16)</f>
        <v/>
      </c>
      <c r="G16" s="203" t="str">
        <f ca="1">IF(AN16="",IFERROR(VLOOKUP(B16,TinhGia!$B$11:$N$80,6,0),""),AN16)</f>
        <v/>
      </c>
      <c r="H16" s="1136">
        <f t="shared" ca="1" si="2"/>
        <v>0</v>
      </c>
      <c r="I16" s="38" t="str">
        <f ca="1">IF(AP16="",IFERROR(VLOOKUP(B16,TinhGia!$B$11:$N$80,8,0),""),AP16)</f>
        <v/>
      </c>
      <c r="J16" s="39">
        <f t="shared" ca="1" si="3"/>
        <v>0</v>
      </c>
      <c r="K16" s="1200">
        <f t="shared" ca="1" si="4"/>
        <v>0</v>
      </c>
      <c r="L16" s="40" t="str">
        <f ca="1">IF(AS16="",IFERROR(VLOOKUP(B16,TinhGia!$B$11:$N$80,11,0),""),AS16)</f>
        <v/>
      </c>
      <c r="M16" s="40" t="str">
        <f ca="1">IF(AT16="",IFERROR(VLOOKUP(B16,TinhGia!$B$11:$N$80,12,0),""),AT16)</f>
        <v/>
      </c>
      <c r="N16" s="41">
        <f t="shared" ca="1" si="5"/>
        <v>0</v>
      </c>
      <c r="O16" s="195"/>
      <c r="P16" s="196"/>
      <c r="Q16" s="703" t="str">
        <f>IF($P16="","","ĐNSX"&amp; IF(LEN($P16)=1,"0" &amp; $P16,$P16) &amp; "/" &amp; ThongTinChung!$C$5)</f>
        <v/>
      </c>
      <c r="R16" s="100" t="str">
        <f t="shared" ca="1" si="0"/>
        <v/>
      </c>
      <c r="S16" s="194" t="str">
        <f>IF($B16="","","C" &amp; ROW(MauKoXoa!$C$108) &amp; ":C" &amp;ROW(MauKoXoa!$C$174))</f>
        <v/>
      </c>
      <c r="T16" s="198" t="str">
        <f t="shared" ca="1" si="6"/>
        <v/>
      </c>
      <c r="U16" s="198" t="str">
        <f t="shared" ca="1" si="7"/>
        <v/>
      </c>
      <c r="V16" s="650" t="str">
        <f ca="1">IF(COUNTIF($V$10:$V15,IFERROR(INDEX(DanhMuc!$J$154:$J$165,MATCH($T16,DanhMuc!$B$154:$B$165,0)),""))&lt;1,IFERROR(INDEX(DanhMuc!$J$154:$J$165,MATCH($T16,DanhMuc!$B$154:$B$165,0)),""),"")</f>
        <v/>
      </c>
      <c r="W16" s="650" t="str">
        <f ca="1">IF(COUNTIF($W$10:$W15,IFERROR(INDEX(DanhMuc!$D$168:$D$177,MATCH($U16,DanhMuc!$C$168:$C$177,0)),""))&lt;1,IFERROR(INDEX(DanhMuc!$D$168:$D$177,MATCH($U16,DanhMuc!$C$168:$C$177,0)),""),"")</f>
        <v/>
      </c>
      <c r="X16" s="650" t="str">
        <f ca="1">IFERROR(INDEX(DanhMuc!$K$154:$K$165,MATCH($T16,DanhMuc!$B$154:$B$165,0)),"")</f>
        <v/>
      </c>
      <c r="Y16" s="653" t="str">
        <f t="shared" ca="1" si="8"/>
        <v/>
      </c>
      <c r="Z16" s="653" t="str">
        <f t="shared" ca="1" si="9"/>
        <v/>
      </c>
      <c r="AA16" s="757">
        <f t="shared" ca="1" si="1"/>
        <v>0</v>
      </c>
      <c r="AB16" s="757">
        <f t="shared" ca="1" si="1"/>
        <v>0</v>
      </c>
      <c r="AC16" s="757">
        <f t="shared" ca="1" si="1"/>
        <v>0</v>
      </c>
      <c r="AD16" s="757">
        <f t="shared" ca="1" si="1"/>
        <v>0</v>
      </c>
      <c r="AE16" s="757">
        <f t="shared" ca="1" si="1"/>
        <v>0</v>
      </c>
      <c r="AF16" s="757">
        <f t="shared" ca="1" si="1"/>
        <v>0</v>
      </c>
      <c r="AG16" s="198"/>
      <c r="AH16" s="1079" t="s">
        <v>3365</v>
      </c>
      <c r="AI16" s="1080"/>
      <c r="AJ16" s="1080"/>
      <c r="AK16" s="1081" t="s">
        <v>3365</v>
      </c>
      <c r="AL16" s="1081" t="s">
        <v>3365</v>
      </c>
      <c r="AM16" s="1081" t="s">
        <v>3365</v>
      </c>
      <c r="AN16" s="1081" t="s">
        <v>3365</v>
      </c>
      <c r="AO16" s="1083">
        <v>0</v>
      </c>
      <c r="AP16" s="1083" t="s">
        <v>3365</v>
      </c>
      <c r="AQ16" s="1084"/>
      <c r="AR16" s="1085"/>
      <c r="AS16" s="1086" t="s">
        <v>3365</v>
      </c>
      <c r="AT16" s="1086"/>
      <c r="AU16" s="1087"/>
    </row>
    <row r="17" spans="1:47" s="42" customFormat="1" ht="19.899999999999999" customHeight="1">
      <c r="A17" s="37" t="str">
        <f>IF(B17="","",MAX($A$10:A16)+1)</f>
        <v/>
      </c>
      <c r="B17" s="718"/>
      <c r="C17" s="643">
        <f ca="1">IFERROR(VLOOKUP(A17,TinhGia!$B$11:$N$80,2,0),"")</f>
        <v>0</v>
      </c>
      <c r="D17" s="643" t="str">
        <f ca="1">IF(AK17="",IFERROR(VLOOKUP(B17,TinhGia!$B$11:$N$80,3,0),""),AK17)</f>
        <v/>
      </c>
      <c r="E17" s="203" t="str">
        <f ca="1">IF(AL17="",IFERROR(VLOOKUP(B17,TinhGia!$B$11:$N$80,4,0),""),AL17)</f>
        <v/>
      </c>
      <c r="F17" s="203" t="str">
        <f ca="1">IF(AM17="",IFERROR(VLOOKUP(B17,TinhGia!$B$11:$N$80,5,0),""),AM17)</f>
        <v/>
      </c>
      <c r="G17" s="203" t="str">
        <f ca="1">IF(AN17="",IFERROR(VLOOKUP(B17,TinhGia!$B$11:$N$80,6,0),""),AN17)</f>
        <v/>
      </c>
      <c r="H17" s="1136">
        <f t="shared" ca="1" si="2"/>
        <v>0</v>
      </c>
      <c r="I17" s="38" t="str">
        <f ca="1">IF(AP17="",IFERROR(VLOOKUP(B17,TinhGia!$B$11:$N$80,8,0),""),AP17)</f>
        <v/>
      </c>
      <c r="J17" s="39">
        <f t="shared" ca="1" si="3"/>
        <v>0</v>
      </c>
      <c r="K17" s="1200">
        <f t="shared" ca="1" si="4"/>
        <v>0</v>
      </c>
      <c r="L17" s="40" t="str">
        <f ca="1">IF(AS17="",IFERROR(VLOOKUP(B17,TinhGia!$B$11:$N$80,11,0),""),AS17)</f>
        <v/>
      </c>
      <c r="M17" s="40" t="str">
        <f ca="1">IF(AT17="",IFERROR(VLOOKUP(B17,TinhGia!$B$11:$N$80,12,0),""),AT17)</f>
        <v/>
      </c>
      <c r="N17" s="41">
        <f t="shared" ca="1" si="5"/>
        <v>0</v>
      </c>
      <c r="O17" s="195"/>
      <c r="P17" s="196"/>
      <c r="Q17" s="703" t="str">
        <f>IF($P17="","","ĐNSX"&amp; IF(LEN($P17)=1,"0" &amp; $P17,$P17) &amp; "/" &amp; ThongTinChung!$C$5)</f>
        <v/>
      </c>
      <c r="R17" s="100" t="str">
        <f t="shared" ca="1" si="0"/>
        <v/>
      </c>
      <c r="S17" s="194" t="str">
        <f>IF($B17="","","C" &amp; ROW(MauKoXoa!$C$108) &amp; ":C" &amp;ROW(MauKoXoa!$C$174))</f>
        <v/>
      </c>
      <c r="T17" s="198" t="str">
        <f t="shared" ca="1" si="6"/>
        <v/>
      </c>
      <c r="U17" s="198" t="str">
        <f t="shared" ca="1" si="7"/>
        <v/>
      </c>
      <c r="V17" s="650" t="str">
        <f ca="1">IF(COUNTIF($V$10:$V16,IFERROR(INDEX(DanhMuc!$J$154:$J$165,MATCH($T17,DanhMuc!$B$154:$B$165,0)),""))&lt;1,IFERROR(INDEX(DanhMuc!$J$154:$J$165,MATCH($T17,DanhMuc!$B$154:$B$165,0)),""),"")</f>
        <v/>
      </c>
      <c r="W17" s="650" t="str">
        <f ca="1">IF(COUNTIF($W$10:$W16,IFERROR(INDEX(DanhMuc!$D$168:$D$177,MATCH($U17,DanhMuc!$C$168:$C$177,0)),""))&lt;1,IFERROR(INDEX(DanhMuc!$D$168:$D$177,MATCH($U17,DanhMuc!$C$168:$C$177,0)),""),"")</f>
        <v/>
      </c>
      <c r="X17" s="650" t="str">
        <f ca="1">IFERROR(INDEX(DanhMuc!$K$154:$K$165,MATCH($T17,DanhMuc!$B$154:$B$165,0)),"")</f>
        <v/>
      </c>
      <c r="Y17" s="653" t="str">
        <f t="shared" ca="1" si="8"/>
        <v/>
      </c>
      <c r="Z17" s="653" t="str">
        <f t="shared" ca="1" si="9"/>
        <v/>
      </c>
      <c r="AA17" s="757">
        <f t="shared" ca="1" si="1"/>
        <v>0</v>
      </c>
      <c r="AB17" s="757">
        <f t="shared" ca="1" si="1"/>
        <v>0</v>
      </c>
      <c r="AC17" s="757">
        <f t="shared" ca="1" si="1"/>
        <v>0</v>
      </c>
      <c r="AD17" s="757">
        <f t="shared" ca="1" si="1"/>
        <v>0</v>
      </c>
      <c r="AE17" s="757">
        <f t="shared" ca="1" si="1"/>
        <v>0</v>
      </c>
      <c r="AF17" s="757">
        <f t="shared" ca="1" si="1"/>
        <v>0</v>
      </c>
      <c r="AG17" s="198"/>
      <c r="AH17" s="1079" t="s">
        <v>3365</v>
      </c>
      <c r="AI17" s="1080"/>
      <c r="AJ17" s="1080"/>
      <c r="AK17" s="1081" t="s">
        <v>3365</v>
      </c>
      <c r="AL17" s="1081" t="s">
        <v>3365</v>
      </c>
      <c r="AM17" s="1081" t="s">
        <v>3365</v>
      </c>
      <c r="AN17" s="1081" t="s">
        <v>3365</v>
      </c>
      <c r="AO17" s="1083">
        <v>0</v>
      </c>
      <c r="AP17" s="1083" t="s">
        <v>3365</v>
      </c>
      <c r="AQ17" s="1084"/>
      <c r="AR17" s="1085"/>
      <c r="AS17" s="1086" t="s">
        <v>3365</v>
      </c>
      <c r="AT17" s="1086"/>
      <c r="AU17" s="1087"/>
    </row>
    <row r="18" spans="1:47" s="42" customFormat="1" ht="19.899999999999999" customHeight="1">
      <c r="A18" s="37" t="str">
        <f>IF(B18="","",MAX($A$10:A17)+1)</f>
        <v/>
      </c>
      <c r="B18" s="718"/>
      <c r="C18" s="643">
        <f ca="1">IFERROR(VLOOKUP(A18,TinhGia!$B$11:$N$80,2,0),"")</f>
        <v>0</v>
      </c>
      <c r="D18" s="643" t="str">
        <f ca="1">IF(AK18="",IFERROR(VLOOKUP(B18,TinhGia!$B$11:$N$80,3,0),""),AK18)</f>
        <v/>
      </c>
      <c r="E18" s="203" t="str">
        <f ca="1">IF(AL18="",IFERROR(VLOOKUP(B18,TinhGia!$B$11:$N$80,4,0),""),AL18)</f>
        <v/>
      </c>
      <c r="F18" s="203" t="str">
        <f ca="1">IF(AM18="",IFERROR(VLOOKUP(B18,TinhGia!$B$11:$N$80,5,0),""),AM18)</f>
        <v/>
      </c>
      <c r="G18" s="203" t="str">
        <f ca="1">IF(AN18="",IFERROR(VLOOKUP(B18,TinhGia!$B$11:$N$80,6,0),""),AN18)</f>
        <v/>
      </c>
      <c r="H18" s="1136">
        <f t="shared" ca="1" si="2"/>
        <v>0</v>
      </c>
      <c r="I18" s="38" t="str">
        <f ca="1">IF(AP18="",IFERROR(VLOOKUP(B18,TinhGia!$B$11:$N$80,8,0),""),AP18)</f>
        <v/>
      </c>
      <c r="J18" s="39">
        <f t="shared" ca="1" si="3"/>
        <v>0</v>
      </c>
      <c r="K18" s="1200">
        <f t="shared" ca="1" si="4"/>
        <v>0</v>
      </c>
      <c r="L18" s="40" t="str">
        <f ca="1">IF(AS18="",IFERROR(VLOOKUP(B18,TinhGia!$B$11:$N$80,11,0),""),AS18)</f>
        <v/>
      </c>
      <c r="M18" s="40" t="str">
        <f ca="1">IF(AT18="",IFERROR(VLOOKUP(B18,TinhGia!$B$11:$N$80,12,0),""),AT18)</f>
        <v/>
      </c>
      <c r="N18" s="41">
        <f t="shared" ca="1" si="5"/>
        <v>0</v>
      </c>
      <c r="O18" s="195"/>
      <c r="P18" s="196"/>
      <c r="Q18" s="703" t="str">
        <f>IF($P18="","","ĐNSX"&amp; IF(LEN($P18)=1,"0" &amp; $P18,$P18) &amp; "/" &amp; ThongTinChung!$C$5)</f>
        <v/>
      </c>
      <c r="R18" s="100" t="str">
        <f t="shared" ca="1" si="0"/>
        <v/>
      </c>
      <c r="S18" s="194" t="str">
        <f>IF($B18="","","C" &amp; ROW(MauKoXoa!$C$108) &amp; ":C" &amp;ROW(MauKoXoa!$C$174))</f>
        <v/>
      </c>
      <c r="T18" s="198" t="str">
        <f t="shared" ca="1" si="6"/>
        <v/>
      </c>
      <c r="U18" s="198" t="str">
        <f t="shared" ca="1" si="7"/>
        <v/>
      </c>
      <c r="V18" s="650" t="str">
        <f ca="1">IF(COUNTIF($V$10:$V17,IFERROR(INDEX(DanhMuc!$J$154:$J$165,MATCH($T18,DanhMuc!$B$154:$B$165,0)),""))&lt;1,IFERROR(INDEX(DanhMuc!$J$154:$J$165,MATCH($T18,DanhMuc!$B$154:$B$165,0)),""),"")</f>
        <v/>
      </c>
      <c r="W18" s="650" t="str">
        <f ca="1">IF(COUNTIF($W$10:$W17,IFERROR(INDEX(DanhMuc!$D$168:$D$177,MATCH($U18,DanhMuc!$C$168:$C$177,0)),""))&lt;1,IFERROR(INDEX(DanhMuc!$D$168:$D$177,MATCH($U18,DanhMuc!$C$168:$C$177,0)),""),"")</f>
        <v/>
      </c>
      <c r="X18" s="650" t="str">
        <f ca="1">IFERROR(INDEX(DanhMuc!$K$154:$K$165,MATCH($T18,DanhMuc!$B$154:$B$165,0)),"")</f>
        <v/>
      </c>
      <c r="Y18" s="653" t="str">
        <f t="shared" ca="1" si="8"/>
        <v/>
      </c>
      <c r="Z18" s="653" t="str">
        <f t="shared" ca="1" si="9"/>
        <v/>
      </c>
      <c r="AA18" s="757">
        <f t="shared" ca="1" si="1"/>
        <v>0</v>
      </c>
      <c r="AB18" s="757">
        <f t="shared" ca="1" si="1"/>
        <v>0</v>
      </c>
      <c r="AC18" s="757">
        <f t="shared" ca="1" si="1"/>
        <v>0</v>
      </c>
      <c r="AD18" s="757">
        <f t="shared" ca="1" si="1"/>
        <v>0</v>
      </c>
      <c r="AE18" s="757">
        <f t="shared" ca="1" si="1"/>
        <v>0</v>
      </c>
      <c r="AF18" s="757">
        <f t="shared" ca="1" si="1"/>
        <v>0</v>
      </c>
      <c r="AG18" s="198"/>
      <c r="AH18" s="1079" t="s">
        <v>3365</v>
      </c>
      <c r="AI18" s="1080"/>
      <c r="AJ18" s="1080"/>
      <c r="AK18" s="1081" t="s">
        <v>3365</v>
      </c>
      <c r="AL18" s="1081" t="s">
        <v>3365</v>
      </c>
      <c r="AM18" s="1081" t="s">
        <v>3365</v>
      </c>
      <c r="AN18" s="1081" t="s">
        <v>3365</v>
      </c>
      <c r="AO18" s="1083">
        <v>0</v>
      </c>
      <c r="AP18" s="1083" t="s">
        <v>3365</v>
      </c>
      <c r="AQ18" s="1084"/>
      <c r="AR18" s="1085"/>
      <c r="AS18" s="1086" t="s">
        <v>3365</v>
      </c>
      <c r="AT18" s="1086"/>
      <c r="AU18" s="1087"/>
    </row>
    <row r="19" spans="1:47" s="42" customFormat="1" ht="19.899999999999999" customHeight="1">
      <c r="A19" s="37" t="str">
        <f>IF(B19="","",MAX($A$10:A18)+1)</f>
        <v/>
      </c>
      <c r="B19" s="718"/>
      <c r="C19" s="643">
        <f ca="1">IFERROR(VLOOKUP(A19,TinhGia!$B$11:$N$80,2,0),"")</f>
        <v>0</v>
      </c>
      <c r="D19" s="643" t="str">
        <f ca="1">IF(AK19="",IFERROR(VLOOKUP(B19,TinhGia!$B$11:$N$80,3,0),""),AK19)</f>
        <v/>
      </c>
      <c r="E19" s="203" t="str">
        <f ca="1">IF(AL19="",IFERROR(VLOOKUP(B19,TinhGia!$B$11:$N$80,4,0),""),AL19)</f>
        <v/>
      </c>
      <c r="F19" s="203" t="str">
        <f ca="1">IF(AM19="",IFERROR(VLOOKUP(B19,TinhGia!$B$11:$N$80,5,0),""),AM19)</f>
        <v/>
      </c>
      <c r="G19" s="203" t="str">
        <f ca="1">IF(AN19="",IFERROR(VLOOKUP(B19,TinhGia!$B$11:$N$80,6,0),""),AN19)</f>
        <v/>
      </c>
      <c r="H19" s="1136">
        <f t="shared" ca="1" si="2"/>
        <v>0</v>
      </c>
      <c r="I19" s="38" t="str">
        <f ca="1">IF(AP19="",IFERROR(VLOOKUP(B19,TinhGia!$B$11:$N$80,8,0),""),AP19)</f>
        <v/>
      </c>
      <c r="J19" s="39">
        <f t="shared" ca="1" si="3"/>
        <v>0</v>
      </c>
      <c r="K19" s="1200">
        <f t="shared" ca="1" si="4"/>
        <v>0</v>
      </c>
      <c r="L19" s="40" t="str">
        <f ca="1">IF(AS19="",IFERROR(VLOOKUP(B19,TinhGia!$B$11:$N$80,11,0),""),AS19)</f>
        <v/>
      </c>
      <c r="M19" s="40" t="str">
        <f ca="1">IF(AT19="",IFERROR(VLOOKUP(B19,TinhGia!$B$11:$N$80,12,0),""),AT19)</f>
        <v/>
      </c>
      <c r="N19" s="41">
        <f t="shared" ca="1" si="5"/>
        <v>0</v>
      </c>
      <c r="O19" s="195"/>
      <c r="P19" s="196"/>
      <c r="Q19" s="703" t="str">
        <f>IF($P19="","","ĐNSX"&amp; IF(LEN($P19)=1,"0" &amp; $P19,$P19) &amp; "/" &amp; ThongTinChung!$C$5)</f>
        <v/>
      </c>
      <c r="R19" s="100" t="str">
        <f t="shared" ca="1" si="0"/>
        <v/>
      </c>
      <c r="S19" s="194" t="str">
        <f>IF($B19="","","C" &amp; ROW(MauKoXoa!$C$108) &amp; ":C" &amp;ROW(MauKoXoa!$C$174))</f>
        <v/>
      </c>
      <c r="T19" s="198" t="str">
        <f t="shared" ca="1" si="6"/>
        <v/>
      </c>
      <c r="U19" s="198" t="str">
        <f t="shared" ca="1" si="7"/>
        <v/>
      </c>
      <c r="V19" s="650" t="str">
        <f ca="1">IF(COUNTIF($V$10:$V18,IFERROR(INDEX(DanhMuc!$J$154:$J$165,MATCH($T19,DanhMuc!$B$154:$B$165,0)),""))&lt;1,IFERROR(INDEX(DanhMuc!$J$154:$J$165,MATCH($T19,DanhMuc!$B$154:$B$165,0)),""),"")</f>
        <v/>
      </c>
      <c r="W19" s="650" t="str">
        <f ca="1">IF(COUNTIF($W$10:$W18,IFERROR(INDEX(DanhMuc!$D$168:$D$177,MATCH($U19,DanhMuc!$C$168:$C$177,0)),""))&lt;1,IFERROR(INDEX(DanhMuc!$D$168:$D$177,MATCH($U19,DanhMuc!$C$168:$C$177,0)),""),"")</f>
        <v/>
      </c>
      <c r="X19" s="650" t="str">
        <f ca="1">IFERROR(INDEX(DanhMuc!$K$154:$K$165,MATCH($T19,DanhMuc!$B$154:$B$165,0)),"")</f>
        <v/>
      </c>
      <c r="Y19" s="653" t="str">
        <f t="shared" ca="1" si="8"/>
        <v/>
      </c>
      <c r="Z19" s="653" t="str">
        <f t="shared" ca="1" si="9"/>
        <v/>
      </c>
      <c r="AA19" s="757">
        <f t="shared" ca="1" si="1"/>
        <v>0</v>
      </c>
      <c r="AB19" s="757">
        <f t="shared" ca="1" si="1"/>
        <v>0</v>
      </c>
      <c r="AC19" s="757">
        <f t="shared" ca="1" si="1"/>
        <v>0</v>
      </c>
      <c r="AD19" s="757">
        <f t="shared" ca="1" si="1"/>
        <v>0</v>
      </c>
      <c r="AE19" s="757">
        <f t="shared" ca="1" si="1"/>
        <v>0</v>
      </c>
      <c r="AF19" s="757">
        <f t="shared" ca="1" si="1"/>
        <v>0</v>
      </c>
      <c r="AG19" s="198"/>
      <c r="AH19" s="1079" t="s">
        <v>3365</v>
      </c>
      <c r="AI19" s="1080"/>
      <c r="AJ19" s="1080"/>
      <c r="AK19" s="1081" t="s">
        <v>3365</v>
      </c>
      <c r="AL19" s="1081" t="s">
        <v>3365</v>
      </c>
      <c r="AM19" s="1081" t="s">
        <v>3365</v>
      </c>
      <c r="AN19" s="1081" t="s">
        <v>3365</v>
      </c>
      <c r="AO19" s="1083">
        <v>0</v>
      </c>
      <c r="AP19" s="1083" t="s">
        <v>3365</v>
      </c>
      <c r="AQ19" s="1084"/>
      <c r="AR19" s="1085"/>
      <c r="AS19" s="1086" t="s">
        <v>3365</v>
      </c>
      <c r="AT19" s="1086"/>
      <c r="AU19" s="1087"/>
    </row>
    <row r="20" spans="1:47" s="42" customFormat="1" ht="19.899999999999999" customHeight="1">
      <c r="A20" s="37" t="str">
        <f>IF(B20="","",MAX($A$10:A19)+1)</f>
        <v/>
      </c>
      <c r="B20" s="718"/>
      <c r="C20" s="643">
        <f ca="1">IFERROR(VLOOKUP(A20,TinhGia!$B$11:$N$80,2,0),"")</f>
        <v>0</v>
      </c>
      <c r="D20" s="643" t="str">
        <f ca="1">IF(AK20="",IFERROR(VLOOKUP(B20,TinhGia!$B$11:$N$80,3,0),""),AK20)</f>
        <v/>
      </c>
      <c r="E20" s="203" t="str">
        <f ca="1">IF(AL20="",IFERROR(VLOOKUP(B20,TinhGia!$B$11:$N$80,4,0),""),AL20)</f>
        <v/>
      </c>
      <c r="F20" s="203" t="str">
        <f ca="1">IF(AM20="",IFERROR(VLOOKUP(B20,TinhGia!$B$11:$N$80,5,0),""),AM20)</f>
        <v/>
      </c>
      <c r="G20" s="203" t="str">
        <f ca="1">IF(AN20="",IFERROR(VLOOKUP(B20,TinhGia!$B$11:$N$80,6,0),""),AN20)</f>
        <v/>
      </c>
      <c r="H20" s="1136">
        <f t="shared" ca="1" si="2"/>
        <v>0</v>
      </c>
      <c r="I20" s="38" t="str">
        <f ca="1">IF(AP20="",IFERROR(VLOOKUP(B20,TinhGia!$B$11:$N$80,8,0),""),AP20)</f>
        <v/>
      </c>
      <c r="J20" s="39">
        <f t="shared" ca="1" si="3"/>
        <v>0</v>
      </c>
      <c r="K20" s="1200">
        <f t="shared" ca="1" si="4"/>
        <v>0</v>
      </c>
      <c r="L20" s="40" t="str">
        <f ca="1">IF(AS20="",IFERROR(VLOOKUP(B20,TinhGia!$B$11:$N$80,11,0),""),AS20)</f>
        <v/>
      </c>
      <c r="M20" s="40" t="str">
        <f ca="1">IF(AT20="",IFERROR(VLOOKUP(B20,TinhGia!$B$11:$N$80,12,0),""),AT20)</f>
        <v/>
      </c>
      <c r="N20" s="41">
        <f t="shared" ca="1" si="5"/>
        <v>0</v>
      </c>
      <c r="O20" s="195"/>
      <c r="P20" s="196"/>
      <c r="Q20" s="703" t="str">
        <f>IF($P20="","","ĐNSX"&amp; IF(LEN($P20)=1,"0" &amp; $P20,$P20) &amp; "/" &amp; ThongTinChung!$C$5)</f>
        <v/>
      </c>
      <c r="R20" s="100" t="str">
        <f t="shared" ca="1" si="0"/>
        <v/>
      </c>
      <c r="S20" s="194" t="str">
        <f>IF($B20="","","C" &amp; ROW(MauKoXoa!$C$108) &amp; ":C" &amp;ROW(MauKoXoa!$C$174))</f>
        <v/>
      </c>
      <c r="T20" s="198" t="str">
        <f t="shared" ca="1" si="6"/>
        <v/>
      </c>
      <c r="U20" s="198" t="str">
        <f t="shared" ca="1" si="7"/>
        <v/>
      </c>
      <c r="V20" s="650" t="str">
        <f ca="1">IF(COUNTIF($V$10:$V19,IFERROR(INDEX(DanhMuc!$J$154:$J$165,MATCH($T20,DanhMuc!$B$154:$B$165,0)),""))&lt;1,IFERROR(INDEX(DanhMuc!$J$154:$J$165,MATCH($T20,DanhMuc!$B$154:$B$165,0)),""),"")</f>
        <v/>
      </c>
      <c r="W20" s="650" t="str">
        <f ca="1">IF(COUNTIF($W$10:$W19,IFERROR(INDEX(DanhMuc!$D$168:$D$177,MATCH($U20,DanhMuc!$C$168:$C$177,0)),""))&lt;1,IFERROR(INDEX(DanhMuc!$D$168:$D$177,MATCH($U20,DanhMuc!$C$168:$C$177,0)),""),"")</f>
        <v/>
      </c>
      <c r="X20" s="650" t="str">
        <f ca="1">IFERROR(INDEX(DanhMuc!$K$154:$K$165,MATCH($T20,DanhMuc!$B$154:$B$165,0)),"")</f>
        <v/>
      </c>
      <c r="Y20" s="653" t="str">
        <f t="shared" ca="1" si="8"/>
        <v/>
      </c>
      <c r="Z20" s="653" t="str">
        <f t="shared" ca="1" si="9"/>
        <v/>
      </c>
      <c r="AA20" s="757">
        <f t="shared" ca="1" si="1"/>
        <v>0</v>
      </c>
      <c r="AB20" s="757">
        <f t="shared" ca="1" si="1"/>
        <v>0</v>
      </c>
      <c r="AC20" s="757">
        <f t="shared" ca="1" si="1"/>
        <v>0</v>
      </c>
      <c r="AD20" s="757">
        <f t="shared" ca="1" si="1"/>
        <v>0</v>
      </c>
      <c r="AE20" s="757">
        <f t="shared" ca="1" si="1"/>
        <v>0</v>
      </c>
      <c r="AF20" s="757">
        <f t="shared" ca="1" si="1"/>
        <v>0</v>
      </c>
      <c r="AG20" s="198"/>
      <c r="AH20" s="1079" t="s">
        <v>3365</v>
      </c>
      <c r="AI20" s="1080"/>
      <c r="AJ20" s="1080"/>
      <c r="AK20" s="1081" t="s">
        <v>3365</v>
      </c>
      <c r="AL20" s="1081" t="s">
        <v>3365</v>
      </c>
      <c r="AM20" s="1081" t="s">
        <v>3365</v>
      </c>
      <c r="AN20" s="1081" t="s">
        <v>3365</v>
      </c>
      <c r="AO20" s="1083">
        <v>0</v>
      </c>
      <c r="AP20" s="1083" t="s">
        <v>3365</v>
      </c>
      <c r="AQ20" s="1084"/>
      <c r="AR20" s="1085"/>
      <c r="AS20" s="1086" t="s">
        <v>3365</v>
      </c>
      <c r="AT20" s="1086"/>
      <c r="AU20" s="1087"/>
    </row>
    <row r="21" spans="1:47" s="42" customFormat="1" ht="19.899999999999999" customHeight="1">
      <c r="A21" s="37" t="str">
        <f>IF(B21="","",MAX($A$10:A20)+1)</f>
        <v/>
      </c>
      <c r="B21" s="718"/>
      <c r="C21" s="643">
        <f ca="1">IFERROR(VLOOKUP(A21,TinhGia!$B$11:$N$80,2,0),"")</f>
        <v>0</v>
      </c>
      <c r="D21" s="643" t="str">
        <f ca="1">IF(AK21="",IFERROR(VLOOKUP(B21,TinhGia!$B$11:$N$80,3,0),""),AK21)</f>
        <v/>
      </c>
      <c r="E21" s="203" t="str">
        <f ca="1">IF(AL21="",IFERROR(VLOOKUP(B21,TinhGia!$B$11:$N$80,4,0),""),AL21)</f>
        <v/>
      </c>
      <c r="F21" s="203" t="str">
        <f ca="1">IF(AM21="",IFERROR(VLOOKUP(B21,TinhGia!$B$11:$N$80,5,0),""),AM21)</f>
        <v/>
      </c>
      <c r="G21" s="203" t="str">
        <f ca="1">IF(AN21="",IFERROR(VLOOKUP(B21,TinhGia!$B$11:$N$80,6,0),""),AN21)</f>
        <v/>
      </c>
      <c r="H21" s="1136">
        <f t="shared" ca="1" si="2"/>
        <v>0</v>
      </c>
      <c r="I21" s="38" t="str">
        <f ca="1">IF(AP21="",IFERROR(VLOOKUP(B21,TinhGia!$B$11:$N$80,8,0),""),AP21)</f>
        <v/>
      </c>
      <c r="J21" s="39">
        <f t="shared" ca="1" si="3"/>
        <v>0</v>
      </c>
      <c r="K21" s="1200">
        <f t="shared" ca="1" si="4"/>
        <v>0</v>
      </c>
      <c r="L21" s="40" t="str">
        <f ca="1">IF(AS21="",IFERROR(VLOOKUP(B21,TinhGia!$B$11:$N$80,11,0),""),AS21)</f>
        <v/>
      </c>
      <c r="M21" s="40" t="str">
        <f ca="1">IF(AT21="",IFERROR(VLOOKUP(B21,TinhGia!$B$11:$N$80,12,0),""),AT21)</f>
        <v/>
      </c>
      <c r="N21" s="41">
        <f t="shared" ca="1" si="5"/>
        <v>0</v>
      </c>
      <c r="O21" s="195"/>
      <c r="P21" s="196"/>
      <c r="Q21" s="703" t="str">
        <f>IF($P21="","","ĐNSX"&amp; IF(LEN($P21)=1,"0" &amp; $P21,$P21) &amp; "/" &amp; ThongTinChung!$C$5)</f>
        <v/>
      </c>
      <c r="R21" s="100" t="str">
        <f t="shared" ca="1" si="0"/>
        <v/>
      </c>
      <c r="S21" s="194" t="str">
        <f>IF($B21="","","C" &amp; ROW(MauKoXoa!$C$108) &amp; ":C" &amp;ROW(MauKoXoa!$C$174))</f>
        <v/>
      </c>
      <c r="T21" s="198" t="str">
        <f t="shared" ca="1" si="6"/>
        <v/>
      </c>
      <c r="U21" s="198" t="str">
        <f t="shared" ca="1" si="7"/>
        <v/>
      </c>
      <c r="V21" s="650" t="str">
        <f ca="1">IF(COUNTIF($V$10:$V20,IFERROR(INDEX(DanhMuc!$J$154:$J$165,MATCH($T21,DanhMuc!$B$154:$B$165,0)),""))&lt;1,IFERROR(INDEX(DanhMuc!$J$154:$J$165,MATCH($T21,DanhMuc!$B$154:$B$165,0)),""),"")</f>
        <v/>
      </c>
      <c r="W21" s="650" t="str">
        <f ca="1">IF(COUNTIF($W$10:$W20,IFERROR(INDEX(DanhMuc!$D$168:$D$177,MATCH($U21,DanhMuc!$C$168:$C$177,0)),""))&lt;1,IFERROR(INDEX(DanhMuc!$D$168:$D$177,MATCH($U21,DanhMuc!$C$168:$C$177,0)),""),"")</f>
        <v/>
      </c>
      <c r="X21" s="650" t="str">
        <f ca="1">IFERROR(INDEX(DanhMuc!$K$154:$K$165,MATCH($T21,DanhMuc!$B$154:$B$165,0)),"")</f>
        <v/>
      </c>
      <c r="Y21" s="653" t="str">
        <f t="shared" ca="1" si="8"/>
        <v/>
      </c>
      <c r="Z21" s="653" t="str">
        <f t="shared" ca="1" si="9"/>
        <v/>
      </c>
      <c r="AA21" s="757">
        <f t="shared" ca="1" si="1"/>
        <v>0</v>
      </c>
      <c r="AB21" s="757">
        <f t="shared" ca="1" si="1"/>
        <v>0</v>
      </c>
      <c r="AC21" s="757">
        <f t="shared" ca="1" si="1"/>
        <v>0</v>
      </c>
      <c r="AD21" s="757">
        <f t="shared" ca="1" si="1"/>
        <v>0</v>
      </c>
      <c r="AE21" s="757">
        <f t="shared" ca="1" si="1"/>
        <v>0</v>
      </c>
      <c r="AF21" s="757">
        <f t="shared" ca="1" si="1"/>
        <v>0</v>
      </c>
      <c r="AG21" s="198"/>
      <c r="AH21" s="1079" t="s">
        <v>3365</v>
      </c>
      <c r="AI21" s="1080"/>
      <c r="AJ21" s="1080"/>
      <c r="AK21" s="1081" t="s">
        <v>3365</v>
      </c>
      <c r="AL21" s="1081" t="s">
        <v>3365</v>
      </c>
      <c r="AM21" s="1081" t="s">
        <v>3365</v>
      </c>
      <c r="AN21" s="1081" t="s">
        <v>3365</v>
      </c>
      <c r="AO21" s="1083">
        <v>0</v>
      </c>
      <c r="AP21" s="1083" t="s">
        <v>3365</v>
      </c>
      <c r="AQ21" s="1084"/>
      <c r="AR21" s="1085"/>
      <c r="AS21" s="1086" t="s">
        <v>3365</v>
      </c>
      <c r="AT21" s="1086"/>
      <c r="AU21" s="1087"/>
    </row>
    <row r="22" spans="1:47" s="42" customFormat="1" ht="19.899999999999999" customHeight="1">
      <c r="A22" s="37" t="str">
        <f>IF(B22="","",MAX($A$10:A21)+1)</f>
        <v/>
      </c>
      <c r="B22" s="718"/>
      <c r="C22" s="643">
        <f ca="1">IFERROR(VLOOKUP(A22,TinhGia!$B$11:$N$80,2,0),"")</f>
        <v>0</v>
      </c>
      <c r="D22" s="643" t="str">
        <f ca="1">IF(AK22="",IFERROR(VLOOKUP(B22,TinhGia!$B$11:$N$80,3,0),""),AK22)</f>
        <v/>
      </c>
      <c r="E22" s="203" t="str">
        <f ca="1">IF(AL22="",IFERROR(VLOOKUP(B22,TinhGia!$B$11:$N$80,4,0),""),AL22)</f>
        <v/>
      </c>
      <c r="F22" s="203" t="str">
        <f ca="1">IF(AM22="",IFERROR(VLOOKUP(B22,TinhGia!$B$11:$N$80,5,0),""),AM22)</f>
        <v/>
      </c>
      <c r="G22" s="203" t="str">
        <f ca="1">IF(AN22="",IFERROR(VLOOKUP(B22,TinhGia!$B$11:$N$80,6,0),""),AN22)</f>
        <v/>
      </c>
      <c r="H22" s="1136">
        <f t="shared" ca="1" si="2"/>
        <v>0</v>
      </c>
      <c r="I22" s="38" t="str">
        <f ca="1">IF(AP22="",IFERROR(VLOOKUP(B22,TinhGia!$B$11:$N$80,8,0),""),AP22)</f>
        <v/>
      </c>
      <c r="J22" s="39">
        <f t="shared" ca="1" si="3"/>
        <v>0</v>
      </c>
      <c r="K22" s="1200">
        <f t="shared" ca="1" si="4"/>
        <v>0</v>
      </c>
      <c r="L22" s="40" t="str">
        <f ca="1">IF(AS22="",IFERROR(VLOOKUP(B22,TinhGia!$B$11:$N$80,11,0),""),AS22)</f>
        <v/>
      </c>
      <c r="M22" s="40" t="str">
        <f ca="1">IF(AT22="",IFERROR(VLOOKUP(B22,TinhGia!$B$11:$N$80,12,0),""),AT22)</f>
        <v/>
      </c>
      <c r="N22" s="41">
        <f t="shared" ca="1" si="5"/>
        <v>0</v>
      </c>
      <c r="O22" s="195"/>
      <c r="P22" s="196"/>
      <c r="Q22" s="703" t="str">
        <f>IF($P22="","","ĐNSX"&amp; IF(LEN($P22)=1,"0" &amp; $P22,$P22) &amp; "/" &amp; ThongTinChung!$C$5)</f>
        <v/>
      </c>
      <c r="R22" s="100" t="str">
        <f t="shared" ca="1" si="0"/>
        <v/>
      </c>
      <c r="S22" s="194" t="str">
        <f>IF($B22="","","C" &amp; ROW(MauKoXoa!$C$108) &amp; ":C" &amp;ROW(MauKoXoa!$C$174))</f>
        <v/>
      </c>
      <c r="T22" s="198" t="str">
        <f t="shared" ca="1" si="6"/>
        <v/>
      </c>
      <c r="U22" s="198" t="str">
        <f t="shared" ca="1" si="7"/>
        <v/>
      </c>
      <c r="V22" s="650" t="str">
        <f ca="1">IF(COUNTIF($V$10:$V21,IFERROR(INDEX(DanhMuc!$J$154:$J$165,MATCH($T22,DanhMuc!$B$154:$B$165,0)),""))&lt;1,IFERROR(INDEX(DanhMuc!$J$154:$J$165,MATCH($T22,DanhMuc!$B$154:$B$165,0)),""),"")</f>
        <v/>
      </c>
      <c r="W22" s="650" t="str">
        <f ca="1">IF(COUNTIF($W$10:$W21,IFERROR(INDEX(DanhMuc!$D$168:$D$177,MATCH($U22,DanhMuc!$C$168:$C$177,0)),""))&lt;1,IFERROR(INDEX(DanhMuc!$D$168:$D$177,MATCH($U22,DanhMuc!$C$168:$C$177,0)),""),"")</f>
        <v/>
      </c>
      <c r="X22" s="650" t="str">
        <f ca="1">IFERROR(INDEX(DanhMuc!$K$154:$K$165,MATCH($T22,DanhMuc!$B$154:$B$165,0)),"")</f>
        <v/>
      </c>
      <c r="Y22" s="653" t="str">
        <f t="shared" ca="1" si="8"/>
        <v/>
      </c>
      <c r="Z22" s="653" t="str">
        <f t="shared" ca="1" si="9"/>
        <v/>
      </c>
      <c r="AA22" s="757">
        <f t="shared" ca="1" si="1"/>
        <v>0</v>
      </c>
      <c r="AB22" s="757">
        <f t="shared" ca="1" si="1"/>
        <v>0</v>
      </c>
      <c r="AC22" s="757">
        <f t="shared" ca="1" si="1"/>
        <v>0</v>
      </c>
      <c r="AD22" s="757">
        <f t="shared" ca="1" si="1"/>
        <v>0</v>
      </c>
      <c r="AE22" s="757">
        <f t="shared" ca="1" si="1"/>
        <v>0</v>
      </c>
      <c r="AF22" s="757">
        <f t="shared" ca="1" si="1"/>
        <v>0</v>
      </c>
      <c r="AG22" s="198"/>
      <c r="AH22" s="1079" t="s">
        <v>3365</v>
      </c>
      <c r="AI22" s="1080"/>
      <c r="AJ22" s="1080"/>
      <c r="AK22" s="1081" t="s">
        <v>3365</v>
      </c>
      <c r="AL22" s="1081" t="s">
        <v>3365</v>
      </c>
      <c r="AM22" s="1081" t="s">
        <v>3365</v>
      </c>
      <c r="AN22" s="1081" t="s">
        <v>3365</v>
      </c>
      <c r="AO22" s="1083">
        <v>0</v>
      </c>
      <c r="AP22" s="1083" t="s">
        <v>3365</v>
      </c>
      <c r="AQ22" s="1084"/>
      <c r="AR22" s="1085"/>
      <c r="AS22" s="1086" t="s">
        <v>3365</v>
      </c>
      <c r="AT22" s="1086"/>
      <c r="AU22" s="1087"/>
    </row>
    <row r="23" spans="1:47" s="42" customFormat="1" ht="19.899999999999999" customHeight="1">
      <c r="A23" s="37" t="str">
        <f>IF(B23="","",MAX($A$10:A22)+1)</f>
        <v/>
      </c>
      <c r="B23" s="718"/>
      <c r="C23" s="643">
        <f ca="1">IFERROR(VLOOKUP(A23,TinhGia!$B$11:$N$80,2,0),"")</f>
        <v>0</v>
      </c>
      <c r="D23" s="643" t="str">
        <f ca="1">IF(AK23="",IFERROR(VLOOKUP(B23,TinhGia!$B$11:$N$80,3,0),""),AK23)</f>
        <v/>
      </c>
      <c r="E23" s="203" t="str">
        <f ca="1">IF(AL23="",IFERROR(VLOOKUP(B23,TinhGia!$B$11:$N$80,4,0),""),AL23)</f>
        <v/>
      </c>
      <c r="F23" s="203" t="str">
        <f ca="1">IF(AM23="",IFERROR(VLOOKUP(B23,TinhGia!$B$11:$N$80,5,0),""),AM23)</f>
        <v/>
      </c>
      <c r="G23" s="203" t="str">
        <f ca="1">IF(AN23="",IFERROR(VLOOKUP(B23,TinhGia!$B$11:$N$80,6,0),""),AN23)</f>
        <v/>
      </c>
      <c r="H23" s="1136">
        <f t="shared" ca="1" si="2"/>
        <v>0</v>
      </c>
      <c r="I23" s="38" t="str">
        <f ca="1">IF(AP23="",IFERROR(VLOOKUP(B23,TinhGia!$B$11:$N$80,8,0),""),AP23)</f>
        <v/>
      </c>
      <c r="J23" s="39">
        <f t="shared" ca="1" si="3"/>
        <v>0</v>
      </c>
      <c r="K23" s="1200">
        <f t="shared" ca="1" si="4"/>
        <v>0</v>
      </c>
      <c r="L23" s="40" t="str">
        <f ca="1">IF(AS23="",IFERROR(VLOOKUP(B23,TinhGia!$B$11:$N$80,11,0),""),AS23)</f>
        <v/>
      </c>
      <c r="M23" s="40" t="str">
        <f ca="1">IF(AT23="",IFERROR(VLOOKUP(B23,TinhGia!$B$11:$N$80,12,0),""),AT23)</f>
        <v/>
      </c>
      <c r="N23" s="41">
        <f t="shared" ca="1" si="5"/>
        <v>0</v>
      </c>
      <c r="O23" s="195"/>
      <c r="P23" s="196"/>
      <c r="Q23" s="703" t="str">
        <f>IF($P23="","","ĐNSX"&amp; IF(LEN($P23)=1,"0" &amp; $P23,$P23) &amp; "/" &amp; ThongTinChung!$C$5)</f>
        <v/>
      </c>
      <c r="R23" s="100" t="str">
        <f t="shared" ca="1" si="0"/>
        <v/>
      </c>
      <c r="S23" s="194" t="str">
        <f>IF($B23="","","C" &amp; ROW(MauKoXoa!$C$108) &amp; ":C" &amp;ROW(MauKoXoa!$C$174))</f>
        <v/>
      </c>
      <c r="T23" s="198" t="str">
        <f t="shared" ca="1" si="6"/>
        <v/>
      </c>
      <c r="U23" s="198" t="str">
        <f t="shared" ca="1" si="7"/>
        <v/>
      </c>
      <c r="V23" s="650" t="str">
        <f ca="1">IF(COUNTIF($V$10:$V22,IFERROR(INDEX(DanhMuc!$J$154:$J$165,MATCH($T23,DanhMuc!$B$154:$B$165,0)),""))&lt;1,IFERROR(INDEX(DanhMuc!$J$154:$J$165,MATCH($T23,DanhMuc!$B$154:$B$165,0)),""),"")</f>
        <v/>
      </c>
      <c r="W23" s="650" t="str">
        <f ca="1">IF(COUNTIF($W$10:$W22,IFERROR(INDEX(DanhMuc!$D$168:$D$177,MATCH($U23,DanhMuc!$C$168:$C$177,0)),""))&lt;1,IFERROR(INDEX(DanhMuc!$D$168:$D$177,MATCH($U23,DanhMuc!$C$168:$C$177,0)),""),"")</f>
        <v/>
      </c>
      <c r="X23" s="650" t="str">
        <f ca="1">IFERROR(INDEX(DanhMuc!$K$154:$K$165,MATCH($T23,DanhMuc!$B$154:$B$165,0)),"")</f>
        <v/>
      </c>
      <c r="Y23" s="653" t="str">
        <f t="shared" ca="1" si="8"/>
        <v/>
      </c>
      <c r="Z23" s="653" t="str">
        <f t="shared" ca="1" si="9"/>
        <v/>
      </c>
      <c r="AA23" s="757">
        <f t="shared" ca="1" si="1"/>
        <v>0</v>
      </c>
      <c r="AB23" s="757">
        <f t="shared" ca="1" si="1"/>
        <v>0</v>
      </c>
      <c r="AC23" s="757">
        <f t="shared" ca="1" si="1"/>
        <v>0</v>
      </c>
      <c r="AD23" s="757">
        <f t="shared" ca="1" si="1"/>
        <v>0</v>
      </c>
      <c r="AE23" s="757">
        <f t="shared" ca="1" si="1"/>
        <v>0</v>
      </c>
      <c r="AF23" s="757">
        <f t="shared" ca="1" si="1"/>
        <v>0</v>
      </c>
      <c r="AG23" s="198"/>
      <c r="AH23" s="1079" t="s">
        <v>3365</v>
      </c>
      <c r="AI23" s="1080"/>
      <c r="AJ23" s="1080"/>
      <c r="AK23" s="1081" t="s">
        <v>3365</v>
      </c>
      <c r="AL23" s="1081" t="s">
        <v>3365</v>
      </c>
      <c r="AM23" s="1081" t="s">
        <v>3365</v>
      </c>
      <c r="AN23" s="1081" t="s">
        <v>3365</v>
      </c>
      <c r="AO23" s="1083">
        <v>0</v>
      </c>
      <c r="AP23" s="1083" t="s">
        <v>3365</v>
      </c>
      <c r="AQ23" s="1084"/>
      <c r="AR23" s="1085"/>
      <c r="AS23" s="1086" t="s">
        <v>3365</v>
      </c>
      <c r="AT23" s="1086"/>
      <c r="AU23" s="1087"/>
    </row>
    <row r="24" spans="1:47" s="42" customFormat="1" ht="19.899999999999999" customHeight="1">
      <c r="A24" s="37" t="str">
        <f>IF(B24="","",MAX($A$10:A23)+1)</f>
        <v/>
      </c>
      <c r="B24" s="718"/>
      <c r="C24" s="643">
        <f ca="1">IFERROR(VLOOKUP(A24,TinhGia!$B$11:$N$80,2,0),"")</f>
        <v>0</v>
      </c>
      <c r="D24" s="643" t="str">
        <f ca="1">IF(AK24="",IFERROR(VLOOKUP(B24,TinhGia!$B$11:$N$80,3,0),""),AK24)</f>
        <v/>
      </c>
      <c r="E24" s="203" t="str">
        <f ca="1">IF(AL24="",IFERROR(VLOOKUP(B24,TinhGia!$B$11:$N$80,4,0),""),AL24)</f>
        <v/>
      </c>
      <c r="F24" s="203" t="str">
        <f ca="1">IF(AM24="",IFERROR(VLOOKUP(B24,TinhGia!$B$11:$N$80,5,0),""),AM24)</f>
        <v/>
      </c>
      <c r="G24" s="203" t="str">
        <f ca="1">IF(AN24="",IFERROR(VLOOKUP(B24,TinhGia!$B$11:$N$80,6,0),""),AN24)</f>
        <v/>
      </c>
      <c r="H24" s="1136">
        <f t="shared" ca="1" si="2"/>
        <v>0</v>
      </c>
      <c r="I24" s="38" t="str">
        <f ca="1">IF(AP24="",IFERROR(VLOOKUP(B24,TinhGia!$B$11:$N$80,8,0),""),AP24)</f>
        <v/>
      </c>
      <c r="J24" s="39">
        <f t="shared" ca="1" si="3"/>
        <v>0</v>
      </c>
      <c r="K24" s="1200">
        <f t="shared" ca="1" si="4"/>
        <v>0</v>
      </c>
      <c r="L24" s="40" t="str">
        <f ca="1">IF(AS24="",IFERROR(VLOOKUP(B24,TinhGia!$B$11:$N$80,11,0),""),AS24)</f>
        <v/>
      </c>
      <c r="M24" s="40" t="str">
        <f ca="1">IF(AT24="",IFERROR(VLOOKUP(B24,TinhGia!$B$11:$N$80,12,0),""),AT24)</f>
        <v/>
      </c>
      <c r="N24" s="41">
        <f t="shared" ca="1" si="5"/>
        <v>0</v>
      </c>
      <c r="O24" s="195"/>
      <c r="P24" s="196"/>
      <c r="Q24" s="703" t="str">
        <f>IF($P24="","","ĐNSX"&amp; IF(LEN($P24)=1,"0" &amp; $P24,$P24) &amp; "/" &amp; ThongTinChung!$C$5)</f>
        <v/>
      </c>
      <c r="R24" s="100" t="str">
        <f t="shared" ca="1" si="0"/>
        <v/>
      </c>
      <c r="S24" s="194" t="str">
        <f>IF($B24="","","C" &amp; ROW(MauKoXoa!$C$108) &amp; ":C" &amp;ROW(MauKoXoa!$C$174))</f>
        <v/>
      </c>
      <c r="T24" s="198" t="str">
        <f t="shared" ca="1" si="6"/>
        <v/>
      </c>
      <c r="U24" s="198" t="str">
        <f t="shared" ca="1" si="7"/>
        <v/>
      </c>
      <c r="V24" s="650" t="str">
        <f ca="1">IF(COUNTIF($V$10:$V23,IFERROR(INDEX(DanhMuc!$J$154:$J$165,MATCH($T24,DanhMuc!$B$154:$B$165,0)),""))&lt;1,IFERROR(INDEX(DanhMuc!$J$154:$J$165,MATCH($T24,DanhMuc!$B$154:$B$165,0)),""),"")</f>
        <v/>
      </c>
      <c r="W24" s="650" t="str">
        <f ca="1">IF(COUNTIF($W$10:$W23,IFERROR(INDEX(DanhMuc!$D$168:$D$177,MATCH($U24,DanhMuc!$C$168:$C$177,0)),""))&lt;1,IFERROR(INDEX(DanhMuc!$D$168:$D$177,MATCH($U24,DanhMuc!$C$168:$C$177,0)),""),"")</f>
        <v/>
      </c>
      <c r="X24" s="650" t="str">
        <f ca="1">IFERROR(INDEX(DanhMuc!$K$154:$K$165,MATCH($T24,DanhMuc!$B$154:$B$165,0)),"")</f>
        <v/>
      </c>
      <c r="Y24" s="653" t="str">
        <f t="shared" ca="1" si="8"/>
        <v/>
      </c>
      <c r="Z24" s="653" t="str">
        <f t="shared" ca="1" si="9"/>
        <v/>
      </c>
      <c r="AA24" s="757">
        <f t="shared" ca="1" si="1"/>
        <v>0</v>
      </c>
      <c r="AB24" s="757">
        <f t="shared" ca="1" si="1"/>
        <v>0</v>
      </c>
      <c r="AC24" s="757">
        <f t="shared" ca="1" si="1"/>
        <v>0</v>
      </c>
      <c r="AD24" s="757">
        <f t="shared" ca="1" si="1"/>
        <v>0</v>
      </c>
      <c r="AE24" s="757">
        <f t="shared" ca="1" si="1"/>
        <v>0</v>
      </c>
      <c r="AF24" s="757">
        <f t="shared" ca="1" si="1"/>
        <v>0</v>
      </c>
      <c r="AG24" s="198"/>
      <c r="AH24" s="1079" t="s">
        <v>3365</v>
      </c>
      <c r="AI24" s="1080"/>
      <c r="AJ24" s="1080"/>
      <c r="AK24" s="1081" t="s">
        <v>3365</v>
      </c>
      <c r="AL24" s="1081" t="s">
        <v>3365</v>
      </c>
      <c r="AM24" s="1081" t="s">
        <v>3365</v>
      </c>
      <c r="AN24" s="1081" t="s">
        <v>3365</v>
      </c>
      <c r="AO24" s="1083">
        <v>0</v>
      </c>
      <c r="AP24" s="1083" t="s">
        <v>3365</v>
      </c>
      <c r="AQ24" s="1084"/>
      <c r="AR24" s="1085"/>
      <c r="AS24" s="1086" t="s">
        <v>3365</v>
      </c>
      <c r="AT24" s="1086"/>
      <c r="AU24" s="1087"/>
    </row>
    <row r="25" spans="1:47" s="42" customFormat="1" ht="19.899999999999999" customHeight="1">
      <c r="A25" s="37" t="str">
        <f>IF(B25="","",MAX($A$10:A24)+1)</f>
        <v/>
      </c>
      <c r="B25" s="718"/>
      <c r="C25" s="643">
        <f ca="1">IFERROR(VLOOKUP(A25,TinhGia!$B$11:$N$80,2,0),"")</f>
        <v>0</v>
      </c>
      <c r="D25" s="643" t="str">
        <f ca="1">IF(AK25="",IFERROR(VLOOKUP(B25,TinhGia!$B$11:$N$80,3,0),""),AK25)</f>
        <v/>
      </c>
      <c r="E25" s="203" t="str">
        <f ca="1">IF(AL25="",IFERROR(VLOOKUP(B25,TinhGia!$B$11:$N$80,4,0),""),AL25)</f>
        <v/>
      </c>
      <c r="F25" s="203" t="str">
        <f ca="1">IF(AM25="",IFERROR(VLOOKUP(B25,TinhGia!$B$11:$N$80,5,0),""),AM25)</f>
        <v/>
      </c>
      <c r="G25" s="203" t="str">
        <f ca="1">IF(AN25="",IFERROR(VLOOKUP(B25,TinhGia!$B$11:$N$80,6,0),""),AN25)</f>
        <v/>
      </c>
      <c r="H25" s="1136">
        <f t="shared" ca="1" si="2"/>
        <v>0</v>
      </c>
      <c r="I25" s="38" t="str">
        <f ca="1">IF(AP25="",IFERROR(VLOOKUP(B25,TinhGia!$B$11:$N$80,8,0),""),AP25)</f>
        <v/>
      </c>
      <c r="J25" s="39">
        <f t="shared" ca="1" si="3"/>
        <v>0</v>
      </c>
      <c r="K25" s="1200">
        <f t="shared" ca="1" si="4"/>
        <v>0</v>
      </c>
      <c r="L25" s="40" t="str">
        <f ca="1">IF(AS25="",IFERROR(VLOOKUP(B25,TinhGia!$B$11:$N$80,11,0),""),AS25)</f>
        <v/>
      </c>
      <c r="M25" s="40" t="str">
        <f ca="1">IF(AT25="",IFERROR(VLOOKUP(B25,TinhGia!$B$11:$N$80,12,0),""),AT25)</f>
        <v/>
      </c>
      <c r="N25" s="41">
        <f t="shared" ca="1" si="5"/>
        <v>0</v>
      </c>
      <c r="O25" s="195"/>
      <c r="P25" s="196"/>
      <c r="Q25" s="703" t="str">
        <f>IF($P25="","","ĐNSX"&amp; IF(LEN($P25)=1,"0" &amp; $P25,$P25) &amp; "/" &amp; ThongTinChung!$C$5)</f>
        <v/>
      </c>
      <c r="R25" s="100" t="str">
        <f t="shared" ca="1" si="0"/>
        <v/>
      </c>
      <c r="S25" s="194" t="str">
        <f>IF($B25="","","C" &amp; ROW(MauKoXoa!$C$108) &amp; ":C" &amp;ROW(MauKoXoa!$C$174))</f>
        <v/>
      </c>
      <c r="T25" s="198" t="str">
        <f t="shared" ca="1" si="6"/>
        <v/>
      </c>
      <c r="U25" s="198" t="str">
        <f t="shared" ca="1" si="7"/>
        <v/>
      </c>
      <c r="V25" s="650" t="str">
        <f ca="1">IF(COUNTIF($V$10:$V24,IFERROR(INDEX(DanhMuc!$J$154:$J$165,MATCH($T25,DanhMuc!$B$154:$B$165,0)),""))&lt;1,IFERROR(INDEX(DanhMuc!$J$154:$J$165,MATCH($T25,DanhMuc!$B$154:$B$165,0)),""),"")</f>
        <v/>
      </c>
      <c r="W25" s="650" t="str">
        <f ca="1">IF(COUNTIF($W$10:$W24,IFERROR(INDEX(DanhMuc!$D$168:$D$177,MATCH($U25,DanhMuc!$C$168:$C$177,0)),""))&lt;1,IFERROR(INDEX(DanhMuc!$D$168:$D$177,MATCH($U25,DanhMuc!$C$168:$C$177,0)),""),"")</f>
        <v/>
      </c>
      <c r="X25" s="650" t="str">
        <f ca="1">IFERROR(INDEX(DanhMuc!$K$154:$K$165,MATCH($T25,DanhMuc!$B$154:$B$165,0)),"")</f>
        <v/>
      </c>
      <c r="Y25" s="653" t="str">
        <f t="shared" ca="1" si="8"/>
        <v/>
      </c>
      <c r="Z25" s="653" t="str">
        <f t="shared" ca="1" si="9"/>
        <v/>
      </c>
      <c r="AA25" s="757">
        <f t="shared" ca="1" si="1"/>
        <v>0</v>
      </c>
      <c r="AB25" s="757">
        <f t="shared" ca="1" si="1"/>
        <v>0</v>
      </c>
      <c r="AC25" s="757">
        <f t="shared" ca="1" si="1"/>
        <v>0</v>
      </c>
      <c r="AD25" s="757">
        <f t="shared" ca="1" si="1"/>
        <v>0</v>
      </c>
      <c r="AE25" s="757">
        <f t="shared" ca="1" si="1"/>
        <v>0</v>
      </c>
      <c r="AF25" s="757">
        <f t="shared" ca="1" si="1"/>
        <v>0</v>
      </c>
      <c r="AG25" s="198"/>
      <c r="AH25" s="1079" t="s">
        <v>3365</v>
      </c>
      <c r="AI25" s="1080"/>
      <c r="AJ25" s="1080"/>
      <c r="AK25" s="1081" t="s">
        <v>3365</v>
      </c>
      <c r="AL25" s="1081" t="s">
        <v>3365</v>
      </c>
      <c r="AM25" s="1081" t="s">
        <v>3365</v>
      </c>
      <c r="AN25" s="1081" t="s">
        <v>3365</v>
      </c>
      <c r="AO25" s="1083">
        <v>0</v>
      </c>
      <c r="AP25" s="1083" t="s">
        <v>3365</v>
      </c>
      <c r="AQ25" s="1084"/>
      <c r="AR25" s="1085"/>
      <c r="AS25" s="1086" t="s">
        <v>3365</v>
      </c>
      <c r="AT25" s="1086"/>
      <c r="AU25" s="1087"/>
    </row>
    <row r="26" spans="1:47" s="42" customFormat="1" ht="19.899999999999999" customHeight="1">
      <c r="A26" s="37" t="str">
        <f>IF(B26="","",MAX($A$10:A25)+1)</f>
        <v/>
      </c>
      <c r="B26" s="718"/>
      <c r="C26" s="643">
        <f ca="1">IFERROR(VLOOKUP(A26,TinhGia!$B$11:$N$80,2,0),"")</f>
        <v>0</v>
      </c>
      <c r="D26" s="643" t="str">
        <f ca="1">IF(AK26="",IFERROR(VLOOKUP(B26,TinhGia!$B$11:$N$80,3,0),""),AK26)</f>
        <v/>
      </c>
      <c r="E26" s="203" t="str">
        <f ca="1">IF(AL26="",IFERROR(VLOOKUP(B26,TinhGia!$B$11:$N$80,4,0),""),AL26)</f>
        <v/>
      </c>
      <c r="F26" s="203" t="str">
        <f ca="1">IF(AM26="",IFERROR(VLOOKUP(B26,TinhGia!$B$11:$N$80,5,0),""),AM26)</f>
        <v/>
      </c>
      <c r="G26" s="203" t="str">
        <f ca="1">IF(AN26="",IFERROR(VLOOKUP(B26,TinhGia!$B$11:$N$80,6,0),""),AN26)</f>
        <v/>
      </c>
      <c r="H26" s="1136">
        <f t="shared" ca="1" si="2"/>
        <v>0</v>
      </c>
      <c r="I26" s="38" t="str">
        <f ca="1">IF(AP26="",IFERROR(VLOOKUP(B26,TinhGia!$B$11:$N$80,8,0),""),AP26)</f>
        <v/>
      </c>
      <c r="J26" s="39">
        <f t="shared" ca="1" si="3"/>
        <v>0</v>
      </c>
      <c r="K26" s="1200">
        <f t="shared" ca="1" si="4"/>
        <v>0</v>
      </c>
      <c r="L26" s="40" t="str">
        <f ca="1">IF(AS26="",IFERROR(VLOOKUP(B26,TinhGia!$B$11:$N$80,11,0),""),AS26)</f>
        <v/>
      </c>
      <c r="M26" s="40" t="str">
        <f ca="1">IF(AT26="",IFERROR(VLOOKUP(B26,TinhGia!$B$11:$N$80,12,0),""),AT26)</f>
        <v/>
      </c>
      <c r="N26" s="41">
        <f t="shared" ca="1" si="5"/>
        <v>0</v>
      </c>
      <c r="O26" s="195"/>
      <c r="P26" s="196"/>
      <c r="Q26" s="703" t="str">
        <f>IF($P26="","","ĐNSX"&amp; IF(LEN($P26)=1,"0" &amp; $P26,$P26) &amp; "/" &amp; ThongTinChung!$C$5)</f>
        <v/>
      </c>
      <c r="R26" s="100" t="str">
        <f t="shared" ca="1" si="0"/>
        <v/>
      </c>
      <c r="S26" s="194" t="str">
        <f>IF($B26="","","C" &amp; ROW(MauKoXoa!$C$108) &amp; ":C" &amp;ROW(MauKoXoa!$C$174))</f>
        <v/>
      </c>
      <c r="T26" s="198" t="str">
        <f t="shared" ca="1" si="6"/>
        <v/>
      </c>
      <c r="U26" s="198" t="str">
        <f t="shared" ca="1" si="7"/>
        <v/>
      </c>
      <c r="V26" s="650" t="str">
        <f ca="1">IF(COUNTIF($V$10:$V25,IFERROR(INDEX(DanhMuc!$J$154:$J$165,MATCH($T26,DanhMuc!$B$154:$B$165,0)),""))&lt;1,IFERROR(INDEX(DanhMuc!$J$154:$J$165,MATCH($T26,DanhMuc!$B$154:$B$165,0)),""),"")</f>
        <v/>
      </c>
      <c r="W26" s="650" t="str">
        <f ca="1">IF(COUNTIF($W$10:$W25,IFERROR(INDEX(DanhMuc!$D$168:$D$177,MATCH($U26,DanhMuc!$C$168:$C$177,0)),""))&lt;1,IFERROR(INDEX(DanhMuc!$D$168:$D$177,MATCH($U26,DanhMuc!$C$168:$C$177,0)),""),"")</f>
        <v/>
      </c>
      <c r="X26" s="650" t="str">
        <f ca="1">IFERROR(INDEX(DanhMuc!$K$154:$K$165,MATCH($T26,DanhMuc!$B$154:$B$165,0)),"")</f>
        <v/>
      </c>
      <c r="Y26" s="653" t="str">
        <f t="shared" ca="1" si="8"/>
        <v/>
      </c>
      <c r="Z26" s="653" t="str">
        <f t="shared" ca="1" si="9"/>
        <v/>
      </c>
      <c r="AA26" s="757">
        <f t="shared" ca="1" si="1"/>
        <v>0</v>
      </c>
      <c r="AB26" s="757">
        <f t="shared" ca="1" si="1"/>
        <v>0</v>
      </c>
      <c r="AC26" s="757">
        <f t="shared" ca="1" si="1"/>
        <v>0</v>
      </c>
      <c r="AD26" s="757">
        <f t="shared" ca="1" si="1"/>
        <v>0</v>
      </c>
      <c r="AE26" s="757">
        <f t="shared" ca="1" si="1"/>
        <v>0</v>
      </c>
      <c r="AF26" s="757">
        <f t="shared" ca="1" si="1"/>
        <v>0</v>
      </c>
      <c r="AG26" s="198"/>
      <c r="AH26" s="1079" t="s">
        <v>3365</v>
      </c>
      <c r="AI26" s="1080"/>
      <c r="AJ26" s="1080"/>
      <c r="AK26" s="1081" t="s">
        <v>3365</v>
      </c>
      <c r="AL26" s="1081" t="s">
        <v>3365</v>
      </c>
      <c r="AM26" s="1081" t="s">
        <v>3365</v>
      </c>
      <c r="AN26" s="1081" t="s">
        <v>3365</v>
      </c>
      <c r="AO26" s="1083">
        <v>0</v>
      </c>
      <c r="AP26" s="1083" t="s">
        <v>3365</v>
      </c>
      <c r="AQ26" s="1084"/>
      <c r="AR26" s="1085"/>
      <c r="AS26" s="1086" t="s">
        <v>3365</v>
      </c>
      <c r="AT26" s="1086"/>
      <c r="AU26" s="1087"/>
    </row>
    <row r="27" spans="1:47" s="42" customFormat="1" ht="19.899999999999999" customHeight="1">
      <c r="A27" s="37" t="str">
        <f>IF(B27="","",MAX($A$10:A26)+1)</f>
        <v/>
      </c>
      <c r="B27" s="718"/>
      <c r="C27" s="643">
        <f ca="1">IFERROR(VLOOKUP(A27,TinhGia!$B$11:$N$80,2,0),"")</f>
        <v>0</v>
      </c>
      <c r="D27" s="643" t="str">
        <f ca="1">IF(AK27="",IFERROR(VLOOKUP(B27,TinhGia!$B$11:$N$80,3,0),""),AK27)</f>
        <v/>
      </c>
      <c r="E27" s="203" t="str">
        <f ca="1">IF(AL27="",IFERROR(VLOOKUP(B27,TinhGia!$B$11:$N$80,4,0),""),AL27)</f>
        <v/>
      </c>
      <c r="F27" s="203" t="str">
        <f ca="1">IF(AM27="",IFERROR(VLOOKUP(B27,TinhGia!$B$11:$N$80,5,0),""),AM27)</f>
        <v/>
      </c>
      <c r="G27" s="203" t="str">
        <f ca="1">IF(AN27="",IFERROR(VLOOKUP(B27,TinhGia!$B$11:$N$80,6,0),""),AN27)</f>
        <v/>
      </c>
      <c r="H27" s="1136">
        <f t="shared" ca="1" si="2"/>
        <v>0</v>
      </c>
      <c r="I27" s="38" t="str">
        <f ca="1">IF(AP27="",IFERROR(VLOOKUP(B27,TinhGia!$B$11:$N$80,8,0),""),AP27)</f>
        <v/>
      </c>
      <c r="J27" s="39">
        <f t="shared" ca="1" si="3"/>
        <v>0</v>
      </c>
      <c r="K27" s="1200">
        <f t="shared" ca="1" si="4"/>
        <v>0</v>
      </c>
      <c r="L27" s="40" t="str">
        <f ca="1">IF(AS27="",IFERROR(VLOOKUP(B27,TinhGia!$B$11:$N$80,11,0),""),AS27)</f>
        <v/>
      </c>
      <c r="M27" s="40" t="str">
        <f ca="1">IF(AT27="",IFERROR(VLOOKUP(B27,TinhGia!$B$11:$N$80,12,0),""),AT27)</f>
        <v/>
      </c>
      <c r="N27" s="41">
        <f t="shared" ca="1" si="5"/>
        <v>0</v>
      </c>
      <c r="O27" s="195"/>
      <c r="P27" s="196"/>
      <c r="Q27" s="703" t="str">
        <f>IF($P27="","","ĐNSX"&amp; IF(LEN($P27)=1,"0" &amp; $P27,$P27) &amp; "/" &amp; ThongTinChung!$C$5)</f>
        <v/>
      </c>
      <c r="R27" s="100" t="str">
        <f t="shared" ca="1" si="0"/>
        <v/>
      </c>
      <c r="S27" s="194" t="str">
        <f>IF($B27="","","C" &amp; ROW(MauKoXoa!$C$108) &amp; ":C" &amp;ROW(MauKoXoa!$C$174))</f>
        <v/>
      </c>
      <c r="T27" s="198" t="str">
        <f t="shared" ca="1" si="6"/>
        <v/>
      </c>
      <c r="U27" s="198" t="str">
        <f t="shared" ca="1" si="7"/>
        <v/>
      </c>
      <c r="V27" s="650" t="str">
        <f ca="1">IF(COUNTIF($V$10:$V26,IFERROR(INDEX(DanhMuc!$J$154:$J$165,MATCH($T27,DanhMuc!$B$154:$B$165,0)),""))&lt;1,IFERROR(INDEX(DanhMuc!$J$154:$J$165,MATCH($T27,DanhMuc!$B$154:$B$165,0)),""),"")</f>
        <v/>
      </c>
      <c r="W27" s="650" t="str">
        <f ca="1">IF(COUNTIF($W$10:$W26,IFERROR(INDEX(DanhMuc!$D$168:$D$177,MATCH($U27,DanhMuc!$C$168:$C$177,0)),""))&lt;1,IFERROR(INDEX(DanhMuc!$D$168:$D$177,MATCH($U27,DanhMuc!$C$168:$C$177,0)),""),"")</f>
        <v/>
      </c>
      <c r="X27" s="650" t="str">
        <f ca="1">IFERROR(INDEX(DanhMuc!$K$154:$K$165,MATCH($T27,DanhMuc!$B$154:$B$165,0)),"")</f>
        <v/>
      </c>
      <c r="Y27" s="653" t="str">
        <f t="shared" ca="1" si="8"/>
        <v/>
      </c>
      <c r="Z27" s="653" t="str">
        <f t="shared" ca="1" si="9"/>
        <v/>
      </c>
      <c r="AA27" s="757">
        <f t="shared" ref="AA27:AF42" ca="1" si="10">IFERROR(INDIRECT("'" &amp; $B27 &amp; "'!" &amp; AA$82),0)</f>
        <v>0</v>
      </c>
      <c r="AB27" s="757">
        <f t="shared" ca="1" si="10"/>
        <v>0</v>
      </c>
      <c r="AC27" s="757">
        <f t="shared" ca="1" si="10"/>
        <v>0</v>
      </c>
      <c r="AD27" s="757">
        <f t="shared" ca="1" si="10"/>
        <v>0</v>
      </c>
      <c r="AE27" s="757">
        <f t="shared" ca="1" si="10"/>
        <v>0</v>
      </c>
      <c r="AF27" s="757">
        <f t="shared" ca="1" si="10"/>
        <v>0</v>
      </c>
      <c r="AG27" s="198"/>
      <c r="AH27" s="1079" t="s">
        <v>3365</v>
      </c>
      <c r="AI27" s="1080"/>
      <c r="AJ27" s="1080"/>
      <c r="AK27" s="1081" t="s">
        <v>3365</v>
      </c>
      <c r="AL27" s="1081" t="s">
        <v>3365</v>
      </c>
      <c r="AM27" s="1081" t="s">
        <v>3365</v>
      </c>
      <c r="AN27" s="1081" t="s">
        <v>3365</v>
      </c>
      <c r="AO27" s="1083">
        <v>0</v>
      </c>
      <c r="AP27" s="1083" t="s">
        <v>3365</v>
      </c>
      <c r="AQ27" s="1084"/>
      <c r="AR27" s="1085"/>
      <c r="AS27" s="1086" t="s">
        <v>3365</v>
      </c>
      <c r="AT27" s="1086"/>
      <c r="AU27" s="1087"/>
    </row>
    <row r="28" spans="1:47" s="42" customFormat="1" ht="19.899999999999999" customHeight="1">
      <c r="A28" s="37" t="str">
        <f>IF(B28="","",MAX($A$10:A27)+1)</f>
        <v/>
      </c>
      <c r="B28" s="718"/>
      <c r="C28" s="643">
        <f ca="1">IFERROR(VLOOKUP(A28,TinhGia!$B$11:$N$80,2,0),"")</f>
        <v>0</v>
      </c>
      <c r="D28" s="643" t="str">
        <f ca="1">IF(AK28="",IFERROR(VLOOKUP(B28,TinhGia!$B$11:$N$80,3,0),""),AK28)</f>
        <v/>
      </c>
      <c r="E28" s="203" t="str">
        <f ca="1">IF(AL28="",IFERROR(VLOOKUP(B28,TinhGia!$B$11:$N$80,4,0),""),AL28)</f>
        <v/>
      </c>
      <c r="F28" s="203" t="str">
        <f ca="1">IF(AM28="",IFERROR(VLOOKUP(B28,TinhGia!$B$11:$N$80,5,0),""),AM28)</f>
        <v/>
      </c>
      <c r="G28" s="203" t="str">
        <f ca="1">IF(AN28="",IFERROR(VLOOKUP(B28,TinhGia!$B$11:$N$80,6,0),""),AN28)</f>
        <v/>
      </c>
      <c r="H28" s="1136">
        <f t="shared" ca="1" si="2"/>
        <v>0</v>
      </c>
      <c r="I28" s="38" t="str">
        <f ca="1">IF(AP28="",IFERROR(VLOOKUP(B28,TinhGia!$B$11:$N$80,8,0),""),AP28)</f>
        <v/>
      </c>
      <c r="J28" s="39">
        <f t="shared" ca="1" si="3"/>
        <v>0</v>
      </c>
      <c r="K28" s="1200">
        <f t="shared" ca="1" si="4"/>
        <v>0</v>
      </c>
      <c r="L28" s="40" t="str">
        <f ca="1">IF(AS28="",IFERROR(VLOOKUP(B28,TinhGia!$B$11:$N$80,11,0),""),AS28)</f>
        <v/>
      </c>
      <c r="M28" s="40" t="str">
        <f ca="1">IF(AT28="",IFERROR(VLOOKUP(B28,TinhGia!$B$11:$N$80,12,0),""),AT28)</f>
        <v/>
      </c>
      <c r="N28" s="41">
        <f t="shared" ca="1" si="5"/>
        <v>0</v>
      </c>
      <c r="O28" s="195"/>
      <c r="P28" s="196"/>
      <c r="Q28" s="703" t="str">
        <f>IF($P28="","","ĐNSX"&amp; IF(LEN($P28)=1,"0" &amp; $P28,$P28) &amp; "/" &amp; ThongTinChung!$C$5)</f>
        <v/>
      </c>
      <c r="R28" s="100" t="str">
        <f t="shared" ca="1" si="0"/>
        <v/>
      </c>
      <c r="S28" s="194" t="str">
        <f>IF($B28="","","C" &amp; ROW(MauKoXoa!$C$108) &amp; ":C" &amp;ROW(MauKoXoa!$C$174))</f>
        <v/>
      </c>
      <c r="T28" s="198" t="str">
        <f t="shared" ca="1" si="6"/>
        <v/>
      </c>
      <c r="U28" s="198" t="str">
        <f t="shared" ca="1" si="7"/>
        <v/>
      </c>
      <c r="V28" s="650" t="str">
        <f ca="1">IF(COUNTIF($V$10:$V27,IFERROR(INDEX(DanhMuc!$J$154:$J$165,MATCH($T28,DanhMuc!$B$154:$B$165,0)),""))&lt;1,IFERROR(INDEX(DanhMuc!$J$154:$J$165,MATCH($T28,DanhMuc!$B$154:$B$165,0)),""),"")</f>
        <v/>
      </c>
      <c r="W28" s="650" t="str">
        <f ca="1">IF(COUNTIF($W$10:$W27,IFERROR(INDEX(DanhMuc!$D$168:$D$177,MATCH($U28,DanhMuc!$C$168:$C$177,0)),""))&lt;1,IFERROR(INDEX(DanhMuc!$D$168:$D$177,MATCH($U28,DanhMuc!$C$168:$C$177,0)),""),"")</f>
        <v/>
      </c>
      <c r="X28" s="650" t="str">
        <f ca="1">IFERROR(INDEX(DanhMuc!$K$154:$K$165,MATCH($T28,DanhMuc!$B$154:$B$165,0)),"")</f>
        <v/>
      </c>
      <c r="Y28" s="653" t="str">
        <f t="shared" ca="1" si="8"/>
        <v/>
      </c>
      <c r="Z28" s="653" t="str">
        <f t="shared" ca="1" si="9"/>
        <v/>
      </c>
      <c r="AA28" s="757">
        <f t="shared" ca="1" si="10"/>
        <v>0</v>
      </c>
      <c r="AB28" s="757">
        <f t="shared" ca="1" si="10"/>
        <v>0</v>
      </c>
      <c r="AC28" s="757">
        <f t="shared" ca="1" si="10"/>
        <v>0</v>
      </c>
      <c r="AD28" s="757">
        <f t="shared" ca="1" si="10"/>
        <v>0</v>
      </c>
      <c r="AE28" s="757">
        <f t="shared" ca="1" si="10"/>
        <v>0</v>
      </c>
      <c r="AF28" s="757">
        <f t="shared" ca="1" si="10"/>
        <v>0</v>
      </c>
      <c r="AG28" s="198"/>
      <c r="AH28" s="1079" t="s">
        <v>3365</v>
      </c>
      <c r="AI28" s="1080"/>
      <c r="AJ28" s="1080"/>
      <c r="AK28" s="1081" t="s">
        <v>3365</v>
      </c>
      <c r="AL28" s="1081" t="s">
        <v>3365</v>
      </c>
      <c r="AM28" s="1081" t="s">
        <v>3365</v>
      </c>
      <c r="AN28" s="1081" t="s">
        <v>3365</v>
      </c>
      <c r="AO28" s="1083">
        <v>0</v>
      </c>
      <c r="AP28" s="1083" t="s">
        <v>3365</v>
      </c>
      <c r="AQ28" s="1084"/>
      <c r="AR28" s="1085"/>
      <c r="AS28" s="1086" t="s">
        <v>3365</v>
      </c>
      <c r="AT28" s="1086"/>
      <c r="AU28" s="1087"/>
    </row>
    <row r="29" spans="1:47" s="42" customFormat="1" ht="19.899999999999999" customHeight="1">
      <c r="A29" s="37" t="str">
        <f>IF(B29="","",MAX($A$10:A28)+1)</f>
        <v/>
      </c>
      <c r="B29" s="718"/>
      <c r="C29" s="643">
        <f ca="1">IFERROR(VLOOKUP(A29,TinhGia!$B$11:$N$80,2,0),"")</f>
        <v>0</v>
      </c>
      <c r="D29" s="643" t="str">
        <f ca="1">IF(AK29="",IFERROR(VLOOKUP(B29,TinhGia!$B$11:$N$80,3,0),""),AK29)</f>
        <v/>
      </c>
      <c r="E29" s="203" t="str">
        <f ca="1">IF(AL29="",IFERROR(VLOOKUP(B29,TinhGia!$B$11:$N$80,4,0),""),AL29)</f>
        <v/>
      </c>
      <c r="F29" s="203" t="str">
        <f ca="1">IF(AM29="",IFERROR(VLOOKUP(B29,TinhGia!$B$11:$N$80,5,0),""),AM29)</f>
        <v/>
      </c>
      <c r="G29" s="203" t="str">
        <f ca="1">IF(AN29="",IFERROR(VLOOKUP(B29,TinhGia!$B$11:$N$80,6,0),""),AN29)</f>
        <v/>
      </c>
      <c r="H29" s="1136">
        <f t="shared" ca="1" si="2"/>
        <v>0</v>
      </c>
      <c r="I29" s="38" t="str">
        <f ca="1">IF(AP29="",IFERROR(VLOOKUP(B29,TinhGia!$B$11:$N$80,8,0),""),AP29)</f>
        <v/>
      </c>
      <c r="J29" s="39">
        <f t="shared" ca="1" si="3"/>
        <v>0</v>
      </c>
      <c r="K29" s="1200">
        <f t="shared" ca="1" si="4"/>
        <v>0</v>
      </c>
      <c r="L29" s="40" t="str">
        <f ca="1">IF(AS29="",IFERROR(VLOOKUP(B29,TinhGia!$B$11:$N$80,11,0),""),AS29)</f>
        <v/>
      </c>
      <c r="M29" s="40" t="str">
        <f ca="1">IF(AT29="",IFERROR(VLOOKUP(B29,TinhGia!$B$11:$N$80,12,0),""),AT29)</f>
        <v/>
      </c>
      <c r="N29" s="41">
        <f t="shared" ca="1" si="5"/>
        <v>0</v>
      </c>
      <c r="O29" s="195"/>
      <c r="P29" s="196"/>
      <c r="Q29" s="703" t="str">
        <f>IF($P29="","","ĐNSX"&amp; IF(LEN($P29)=1,"0" &amp; $P29,$P29) &amp; "/" &amp; ThongTinChung!$C$5)</f>
        <v/>
      </c>
      <c r="R29" s="100" t="str">
        <f t="shared" ca="1" si="0"/>
        <v/>
      </c>
      <c r="S29" s="194" t="str">
        <f>IF($B29="","","C" &amp; ROW(MauKoXoa!$C$108) &amp; ":C" &amp;ROW(MauKoXoa!$C$174))</f>
        <v/>
      </c>
      <c r="T29" s="198" t="str">
        <f t="shared" ca="1" si="6"/>
        <v/>
      </c>
      <c r="U29" s="198" t="str">
        <f t="shared" ca="1" si="7"/>
        <v/>
      </c>
      <c r="V29" s="650" t="str">
        <f ca="1">IF(COUNTIF($V$10:$V28,IFERROR(INDEX(DanhMuc!$J$154:$J$165,MATCH($T29,DanhMuc!$B$154:$B$165,0)),""))&lt;1,IFERROR(INDEX(DanhMuc!$J$154:$J$165,MATCH($T29,DanhMuc!$B$154:$B$165,0)),""),"")</f>
        <v/>
      </c>
      <c r="W29" s="650" t="str">
        <f ca="1">IF(COUNTIF($W$10:$W28,IFERROR(INDEX(DanhMuc!$D$168:$D$177,MATCH($U29,DanhMuc!$C$168:$C$177,0)),""))&lt;1,IFERROR(INDEX(DanhMuc!$D$168:$D$177,MATCH($U29,DanhMuc!$C$168:$C$177,0)),""),"")</f>
        <v/>
      </c>
      <c r="X29" s="650" t="str">
        <f ca="1">IFERROR(INDEX(DanhMuc!$K$154:$K$165,MATCH($T29,DanhMuc!$B$154:$B$165,0)),"")</f>
        <v/>
      </c>
      <c r="Y29" s="653" t="str">
        <f t="shared" ca="1" si="8"/>
        <v/>
      </c>
      <c r="Z29" s="653" t="str">
        <f t="shared" ca="1" si="9"/>
        <v/>
      </c>
      <c r="AA29" s="757">
        <f t="shared" ca="1" si="10"/>
        <v>0</v>
      </c>
      <c r="AB29" s="757">
        <f t="shared" ca="1" si="10"/>
        <v>0</v>
      </c>
      <c r="AC29" s="757">
        <f t="shared" ca="1" si="10"/>
        <v>0</v>
      </c>
      <c r="AD29" s="757">
        <f t="shared" ca="1" si="10"/>
        <v>0</v>
      </c>
      <c r="AE29" s="757">
        <f t="shared" ca="1" si="10"/>
        <v>0</v>
      </c>
      <c r="AF29" s="757">
        <f t="shared" ca="1" si="10"/>
        <v>0</v>
      </c>
      <c r="AG29" s="198"/>
      <c r="AH29" s="1079" t="s">
        <v>3365</v>
      </c>
      <c r="AI29" s="1080"/>
      <c r="AJ29" s="1080"/>
      <c r="AK29" s="1081" t="s">
        <v>3365</v>
      </c>
      <c r="AL29" s="1081" t="s">
        <v>3365</v>
      </c>
      <c r="AM29" s="1081" t="s">
        <v>3365</v>
      </c>
      <c r="AN29" s="1081" t="s">
        <v>3365</v>
      </c>
      <c r="AO29" s="1083">
        <v>0</v>
      </c>
      <c r="AP29" s="1083" t="s">
        <v>3365</v>
      </c>
      <c r="AQ29" s="1084"/>
      <c r="AR29" s="1085"/>
      <c r="AS29" s="1086" t="s">
        <v>3365</v>
      </c>
      <c r="AT29" s="1086"/>
      <c r="AU29" s="1087"/>
    </row>
    <row r="30" spans="1:47" s="42" customFormat="1" ht="19.899999999999999" customHeight="1">
      <c r="A30" s="37" t="str">
        <f>IF(B30="","",MAX($A$10:A29)+1)</f>
        <v/>
      </c>
      <c r="B30" s="718"/>
      <c r="C30" s="643">
        <f ca="1">IFERROR(VLOOKUP(A30,TinhGia!$B$11:$N$80,2,0),"")</f>
        <v>0</v>
      </c>
      <c r="D30" s="643" t="str">
        <f ca="1">IF(AK30="",IFERROR(VLOOKUP(B30,TinhGia!$B$11:$N$80,3,0),""),AK30)</f>
        <v/>
      </c>
      <c r="E30" s="203" t="str">
        <f ca="1">IF(AL30="",IFERROR(VLOOKUP(B30,TinhGia!$B$11:$N$80,4,0),""),AL30)</f>
        <v/>
      </c>
      <c r="F30" s="203" t="str">
        <f ca="1">IF(AM30="",IFERROR(VLOOKUP(B30,TinhGia!$B$11:$N$80,5,0),""),AM30)</f>
        <v/>
      </c>
      <c r="G30" s="203" t="str">
        <f ca="1">IF(AN30="",IFERROR(VLOOKUP(B30,TinhGia!$B$11:$N$80,6,0),""),AN30)</f>
        <v/>
      </c>
      <c r="H30" s="1136">
        <f t="shared" ca="1" si="2"/>
        <v>0</v>
      </c>
      <c r="I30" s="38" t="str">
        <f ca="1">IF(AP30="",IFERROR(VLOOKUP(B30,TinhGia!$B$11:$N$80,8,0),""),AP30)</f>
        <v/>
      </c>
      <c r="J30" s="39">
        <f t="shared" ca="1" si="3"/>
        <v>0</v>
      </c>
      <c r="K30" s="1200">
        <f t="shared" ca="1" si="4"/>
        <v>0</v>
      </c>
      <c r="L30" s="40" t="str">
        <f ca="1">IF(AS30="",IFERROR(VLOOKUP(B30,TinhGia!$B$11:$N$80,11,0),""),AS30)</f>
        <v/>
      </c>
      <c r="M30" s="40" t="str">
        <f ca="1">IF(AT30="",IFERROR(VLOOKUP(B30,TinhGia!$B$11:$N$80,12,0),""),AT30)</f>
        <v/>
      </c>
      <c r="N30" s="41">
        <f t="shared" ca="1" si="5"/>
        <v>0</v>
      </c>
      <c r="O30" s="195"/>
      <c r="P30" s="196"/>
      <c r="Q30" s="703" t="str">
        <f>IF($P30="","","ĐNSX"&amp; IF(LEN($P30)=1,"0" &amp; $P30,$P30) &amp; "/" &amp; ThongTinChung!$C$5)</f>
        <v/>
      </c>
      <c r="R30" s="100" t="str">
        <f t="shared" ca="1" si="0"/>
        <v/>
      </c>
      <c r="S30" s="194" t="str">
        <f>IF($B30="","","C" &amp; ROW(MauKoXoa!$C$108) &amp; ":C" &amp;ROW(MauKoXoa!$C$174))</f>
        <v/>
      </c>
      <c r="T30" s="198" t="str">
        <f t="shared" ca="1" si="6"/>
        <v/>
      </c>
      <c r="U30" s="198" t="str">
        <f t="shared" ca="1" si="7"/>
        <v/>
      </c>
      <c r="V30" s="650" t="str">
        <f ca="1">IF(COUNTIF($V$10:$V29,IFERROR(INDEX(DanhMuc!$J$154:$J$165,MATCH($T30,DanhMuc!$B$154:$B$165,0)),""))&lt;1,IFERROR(INDEX(DanhMuc!$J$154:$J$165,MATCH($T30,DanhMuc!$B$154:$B$165,0)),""),"")</f>
        <v/>
      </c>
      <c r="W30" s="650" t="str">
        <f ca="1">IF(COUNTIF($W$10:$W29,IFERROR(INDEX(DanhMuc!$D$168:$D$177,MATCH($U30,DanhMuc!$C$168:$C$177,0)),""))&lt;1,IFERROR(INDEX(DanhMuc!$D$168:$D$177,MATCH($U30,DanhMuc!$C$168:$C$177,0)),""),"")</f>
        <v/>
      </c>
      <c r="X30" s="650" t="str">
        <f ca="1">IFERROR(INDEX(DanhMuc!$K$154:$K$165,MATCH($T30,DanhMuc!$B$154:$B$165,0)),"")</f>
        <v/>
      </c>
      <c r="Y30" s="653" t="str">
        <f t="shared" ca="1" si="8"/>
        <v/>
      </c>
      <c r="Z30" s="653" t="str">
        <f t="shared" ca="1" si="9"/>
        <v/>
      </c>
      <c r="AA30" s="757">
        <f t="shared" ca="1" si="10"/>
        <v>0</v>
      </c>
      <c r="AB30" s="757">
        <f t="shared" ca="1" si="10"/>
        <v>0</v>
      </c>
      <c r="AC30" s="757">
        <f t="shared" ca="1" si="10"/>
        <v>0</v>
      </c>
      <c r="AD30" s="757">
        <f t="shared" ca="1" si="10"/>
        <v>0</v>
      </c>
      <c r="AE30" s="757">
        <f t="shared" ca="1" si="10"/>
        <v>0</v>
      </c>
      <c r="AF30" s="757">
        <f t="shared" ca="1" si="10"/>
        <v>0</v>
      </c>
      <c r="AG30" s="198"/>
      <c r="AH30" s="1079" t="s">
        <v>3365</v>
      </c>
      <c r="AI30" s="1080"/>
      <c r="AJ30" s="1080"/>
      <c r="AK30" s="1081" t="s">
        <v>3365</v>
      </c>
      <c r="AL30" s="1081" t="s">
        <v>3365</v>
      </c>
      <c r="AM30" s="1081" t="s">
        <v>3365</v>
      </c>
      <c r="AN30" s="1081" t="s">
        <v>3365</v>
      </c>
      <c r="AO30" s="1083">
        <v>0</v>
      </c>
      <c r="AP30" s="1083" t="s">
        <v>3365</v>
      </c>
      <c r="AQ30" s="1084"/>
      <c r="AR30" s="1085"/>
      <c r="AS30" s="1086" t="s">
        <v>3365</v>
      </c>
      <c r="AT30" s="1086"/>
      <c r="AU30" s="1087"/>
    </row>
    <row r="31" spans="1:47" s="42" customFormat="1" ht="19.899999999999999" customHeight="1">
      <c r="A31" s="37" t="str">
        <f>IF(B31="","",MAX($A$10:A30)+1)</f>
        <v/>
      </c>
      <c r="B31" s="718"/>
      <c r="C31" s="643">
        <f ca="1">IFERROR(VLOOKUP(A31,TinhGia!$B$11:$N$80,2,0),"")</f>
        <v>0</v>
      </c>
      <c r="D31" s="643" t="str">
        <f ca="1">IF(AK31="",IFERROR(VLOOKUP(B31,TinhGia!$B$11:$N$80,3,0),""),AK31)</f>
        <v/>
      </c>
      <c r="E31" s="203" t="str">
        <f ca="1">IF(AL31="",IFERROR(VLOOKUP(B31,TinhGia!$B$11:$N$80,4,0),""),AL31)</f>
        <v/>
      </c>
      <c r="F31" s="203" t="str">
        <f ca="1">IF(AM31="",IFERROR(VLOOKUP(B31,TinhGia!$B$11:$N$80,5,0),""),AM31)</f>
        <v/>
      </c>
      <c r="G31" s="203" t="str">
        <f ca="1">IF(AN31="",IFERROR(VLOOKUP(B31,TinhGia!$B$11:$N$80,6,0),""),AN31)</f>
        <v/>
      </c>
      <c r="H31" s="1136">
        <f t="shared" ca="1" si="2"/>
        <v>0</v>
      </c>
      <c r="I31" s="38" t="str">
        <f ca="1">IF(AP31="",IFERROR(VLOOKUP(B31,TinhGia!$B$11:$N$80,8,0),""),AP31)</f>
        <v/>
      </c>
      <c r="J31" s="39">
        <f t="shared" ca="1" si="3"/>
        <v>0</v>
      </c>
      <c r="K31" s="1200">
        <f t="shared" ca="1" si="4"/>
        <v>0</v>
      </c>
      <c r="L31" s="40" t="str">
        <f ca="1">IF(AS31="",IFERROR(VLOOKUP(B31,TinhGia!$B$11:$N$80,11,0),""),AS31)</f>
        <v/>
      </c>
      <c r="M31" s="40" t="str">
        <f ca="1">IF(AT31="",IFERROR(VLOOKUP(B31,TinhGia!$B$11:$N$80,12,0),""),AT31)</f>
        <v/>
      </c>
      <c r="N31" s="41">
        <f t="shared" ca="1" si="5"/>
        <v>0</v>
      </c>
      <c r="O31" s="195"/>
      <c r="P31" s="196"/>
      <c r="Q31" s="703" t="str">
        <f>IF($P31="","","ĐNSX"&amp; IF(LEN($P31)=1,"0" &amp; $P31,$P31) &amp; "/" &amp; ThongTinChung!$C$5)</f>
        <v/>
      </c>
      <c r="R31" s="100" t="str">
        <f t="shared" ca="1" si="0"/>
        <v/>
      </c>
      <c r="S31" s="194" t="str">
        <f>IF($B31="","","C" &amp; ROW(MauKoXoa!$C$108) &amp; ":C" &amp;ROW(MauKoXoa!$C$174))</f>
        <v/>
      </c>
      <c r="T31" s="198" t="str">
        <f t="shared" ca="1" si="6"/>
        <v/>
      </c>
      <c r="U31" s="198" t="str">
        <f t="shared" ca="1" si="7"/>
        <v/>
      </c>
      <c r="V31" s="650" t="str">
        <f ca="1">IF(COUNTIF($V$10:$V30,IFERROR(INDEX(DanhMuc!$J$154:$J$165,MATCH($T31,DanhMuc!$B$154:$B$165,0)),""))&lt;1,IFERROR(INDEX(DanhMuc!$J$154:$J$165,MATCH($T31,DanhMuc!$B$154:$B$165,0)),""),"")</f>
        <v/>
      </c>
      <c r="W31" s="650" t="str">
        <f ca="1">IF(COUNTIF($W$10:$W30,IFERROR(INDEX(DanhMuc!$D$168:$D$177,MATCH($U31,DanhMuc!$C$168:$C$177,0)),""))&lt;1,IFERROR(INDEX(DanhMuc!$D$168:$D$177,MATCH($U31,DanhMuc!$C$168:$C$177,0)),""),"")</f>
        <v/>
      </c>
      <c r="X31" s="650" t="str">
        <f ca="1">IFERROR(INDEX(DanhMuc!$K$154:$K$165,MATCH($T31,DanhMuc!$B$154:$B$165,0)),"")</f>
        <v/>
      </c>
      <c r="Y31" s="653" t="str">
        <f t="shared" ca="1" si="8"/>
        <v/>
      </c>
      <c r="Z31" s="653" t="str">
        <f t="shared" ca="1" si="9"/>
        <v/>
      </c>
      <c r="AA31" s="757">
        <f t="shared" ca="1" si="10"/>
        <v>0</v>
      </c>
      <c r="AB31" s="757">
        <f t="shared" ca="1" si="10"/>
        <v>0</v>
      </c>
      <c r="AC31" s="757">
        <f t="shared" ca="1" si="10"/>
        <v>0</v>
      </c>
      <c r="AD31" s="757">
        <f t="shared" ca="1" si="10"/>
        <v>0</v>
      </c>
      <c r="AE31" s="757">
        <f t="shared" ca="1" si="10"/>
        <v>0</v>
      </c>
      <c r="AF31" s="757">
        <f t="shared" ca="1" si="10"/>
        <v>0</v>
      </c>
      <c r="AG31" s="198"/>
      <c r="AH31" s="1079" t="s">
        <v>3365</v>
      </c>
      <c r="AI31" s="1080"/>
      <c r="AJ31" s="1080"/>
      <c r="AK31" s="1081" t="s">
        <v>3365</v>
      </c>
      <c r="AL31" s="1081" t="s">
        <v>3365</v>
      </c>
      <c r="AM31" s="1081" t="s">
        <v>3365</v>
      </c>
      <c r="AN31" s="1081" t="s">
        <v>3365</v>
      </c>
      <c r="AO31" s="1083">
        <v>0</v>
      </c>
      <c r="AP31" s="1083" t="s">
        <v>3365</v>
      </c>
      <c r="AQ31" s="1084"/>
      <c r="AR31" s="1085"/>
      <c r="AS31" s="1086" t="s">
        <v>3365</v>
      </c>
      <c r="AT31" s="1086"/>
      <c r="AU31" s="1087"/>
    </row>
    <row r="32" spans="1:47" s="42" customFormat="1" ht="19.899999999999999" customHeight="1">
      <c r="A32" s="37" t="str">
        <f>IF(B32="","",MAX($A$10:A31)+1)</f>
        <v/>
      </c>
      <c r="B32" s="718"/>
      <c r="C32" s="643">
        <f ca="1">IFERROR(VLOOKUP(A32,TinhGia!$B$11:$N$80,2,0),"")</f>
        <v>0</v>
      </c>
      <c r="D32" s="643" t="str">
        <f ca="1">IF(AK32="",IFERROR(VLOOKUP(B32,TinhGia!$B$11:$N$80,3,0),""),AK32)</f>
        <v/>
      </c>
      <c r="E32" s="203" t="str">
        <f ca="1">IF(AL32="",IFERROR(VLOOKUP(B32,TinhGia!$B$11:$N$80,4,0),""),AL32)</f>
        <v/>
      </c>
      <c r="F32" s="203" t="str">
        <f ca="1">IF(AM32="",IFERROR(VLOOKUP(B32,TinhGia!$B$11:$N$80,5,0),""),AM32)</f>
        <v/>
      </c>
      <c r="G32" s="203" t="str">
        <f ca="1">IF(AN32="",IFERROR(VLOOKUP(B32,TinhGia!$B$11:$N$80,6,0),""),AN32)</f>
        <v/>
      </c>
      <c r="H32" s="1136">
        <f t="shared" ca="1" si="2"/>
        <v>0</v>
      </c>
      <c r="I32" s="38" t="str">
        <f ca="1">IF(AP32="",IFERROR(VLOOKUP(B32,TinhGia!$B$11:$N$80,8,0),""),AP32)</f>
        <v/>
      </c>
      <c r="J32" s="39">
        <f t="shared" ca="1" si="3"/>
        <v>0</v>
      </c>
      <c r="K32" s="1200">
        <f t="shared" ca="1" si="4"/>
        <v>0</v>
      </c>
      <c r="L32" s="40" t="str">
        <f ca="1">IF(AS32="",IFERROR(VLOOKUP(B32,TinhGia!$B$11:$N$80,11,0),""),AS32)</f>
        <v/>
      </c>
      <c r="M32" s="40" t="str">
        <f ca="1">IF(AT32="",IFERROR(VLOOKUP(B32,TinhGia!$B$11:$N$80,12,0),""),AT32)</f>
        <v/>
      </c>
      <c r="N32" s="41">
        <f t="shared" ca="1" si="5"/>
        <v>0</v>
      </c>
      <c r="O32" s="195"/>
      <c r="P32" s="196"/>
      <c r="Q32" s="703" t="str">
        <f>IF($P32="","","ĐNSX"&amp; IF(LEN($P32)=1,"0" &amp; $P32,$P32) &amp; "/" &amp; ThongTinChung!$C$5)</f>
        <v/>
      </c>
      <c r="R32" s="100" t="str">
        <f t="shared" ca="1" si="0"/>
        <v/>
      </c>
      <c r="S32" s="194" t="str">
        <f>IF($B32="","","C" &amp; ROW(MauKoXoa!$C$108) &amp; ":C" &amp;ROW(MauKoXoa!$C$174))</f>
        <v/>
      </c>
      <c r="T32" s="198" t="str">
        <f t="shared" ca="1" si="6"/>
        <v/>
      </c>
      <c r="U32" s="198" t="str">
        <f t="shared" ca="1" si="7"/>
        <v/>
      </c>
      <c r="V32" s="650" t="str">
        <f ca="1">IF(COUNTIF($V$10:$V31,IFERROR(INDEX(DanhMuc!$J$154:$J$165,MATCH($T32,DanhMuc!$B$154:$B$165,0)),""))&lt;1,IFERROR(INDEX(DanhMuc!$J$154:$J$165,MATCH($T32,DanhMuc!$B$154:$B$165,0)),""),"")</f>
        <v/>
      </c>
      <c r="W32" s="650" t="str">
        <f ca="1">IF(COUNTIF($W$10:$W31,IFERROR(INDEX(DanhMuc!$D$168:$D$177,MATCH($U32,DanhMuc!$C$168:$C$177,0)),""))&lt;1,IFERROR(INDEX(DanhMuc!$D$168:$D$177,MATCH($U32,DanhMuc!$C$168:$C$177,0)),""),"")</f>
        <v/>
      </c>
      <c r="X32" s="650" t="str">
        <f ca="1">IFERROR(INDEX(DanhMuc!$K$154:$K$165,MATCH($T32,DanhMuc!$B$154:$B$165,0)),"")</f>
        <v/>
      </c>
      <c r="Y32" s="653" t="str">
        <f t="shared" ca="1" si="8"/>
        <v/>
      </c>
      <c r="Z32" s="653" t="str">
        <f t="shared" ca="1" si="9"/>
        <v/>
      </c>
      <c r="AA32" s="757">
        <f t="shared" ca="1" si="10"/>
        <v>0</v>
      </c>
      <c r="AB32" s="757">
        <f t="shared" ca="1" si="10"/>
        <v>0</v>
      </c>
      <c r="AC32" s="757">
        <f t="shared" ca="1" si="10"/>
        <v>0</v>
      </c>
      <c r="AD32" s="757">
        <f t="shared" ca="1" si="10"/>
        <v>0</v>
      </c>
      <c r="AE32" s="757">
        <f t="shared" ca="1" si="10"/>
        <v>0</v>
      </c>
      <c r="AF32" s="757">
        <f t="shared" ca="1" si="10"/>
        <v>0</v>
      </c>
      <c r="AG32" s="198"/>
      <c r="AH32" s="1079" t="s">
        <v>3365</v>
      </c>
      <c r="AI32" s="1080"/>
      <c r="AJ32" s="1080"/>
      <c r="AK32" s="1081" t="s">
        <v>3365</v>
      </c>
      <c r="AL32" s="1081" t="s">
        <v>3365</v>
      </c>
      <c r="AM32" s="1081" t="s">
        <v>3365</v>
      </c>
      <c r="AN32" s="1081" t="s">
        <v>3365</v>
      </c>
      <c r="AO32" s="1083">
        <v>0</v>
      </c>
      <c r="AP32" s="1083" t="s">
        <v>3365</v>
      </c>
      <c r="AQ32" s="1084"/>
      <c r="AR32" s="1085"/>
      <c r="AS32" s="1086" t="s">
        <v>3365</v>
      </c>
      <c r="AT32" s="1086"/>
      <c r="AU32" s="1087"/>
    </row>
    <row r="33" spans="1:47" s="42" customFormat="1" ht="19.899999999999999" customHeight="1">
      <c r="A33" s="37" t="str">
        <f>IF(B33="","",MAX($A$10:A32)+1)</f>
        <v/>
      </c>
      <c r="B33" s="718"/>
      <c r="C33" s="643">
        <f ca="1">IFERROR(VLOOKUP(A33,TinhGia!$B$11:$N$80,2,0),"")</f>
        <v>0</v>
      </c>
      <c r="D33" s="643" t="str">
        <f ca="1">IF(AK33="",IFERROR(VLOOKUP(B33,TinhGia!$B$11:$N$80,3,0),""),AK33)</f>
        <v/>
      </c>
      <c r="E33" s="203" t="str">
        <f ca="1">IF(AL33="",IFERROR(VLOOKUP(B33,TinhGia!$B$11:$N$80,4,0),""),AL33)</f>
        <v/>
      </c>
      <c r="F33" s="203" t="str">
        <f ca="1">IF(AM33="",IFERROR(VLOOKUP(B33,TinhGia!$B$11:$N$80,5,0),""),AM33)</f>
        <v/>
      </c>
      <c r="G33" s="203" t="str">
        <f ca="1">IF(AN33="",IFERROR(VLOOKUP(B33,TinhGia!$B$11:$N$80,6,0),""),AN33)</f>
        <v/>
      </c>
      <c r="H33" s="1136">
        <f t="shared" ca="1" si="2"/>
        <v>0</v>
      </c>
      <c r="I33" s="38" t="str">
        <f ca="1">IF(AP33="",IFERROR(VLOOKUP(B33,TinhGia!$B$11:$N$80,8,0),""),AP33)</f>
        <v/>
      </c>
      <c r="J33" s="39">
        <f t="shared" ca="1" si="3"/>
        <v>0</v>
      </c>
      <c r="K33" s="1200">
        <f t="shared" ca="1" si="4"/>
        <v>0</v>
      </c>
      <c r="L33" s="40" t="str">
        <f ca="1">IF(AS33="",IFERROR(VLOOKUP(B33,TinhGia!$B$11:$N$80,11,0),""),AS33)</f>
        <v/>
      </c>
      <c r="M33" s="40" t="str">
        <f ca="1">IF(AT33="",IFERROR(VLOOKUP(B33,TinhGia!$B$11:$N$80,12,0),""),AT33)</f>
        <v/>
      </c>
      <c r="N33" s="41">
        <f t="shared" ca="1" si="5"/>
        <v>0</v>
      </c>
      <c r="O33" s="195"/>
      <c r="P33" s="196"/>
      <c r="Q33" s="703" t="str">
        <f>IF($P33="","","ĐNSX"&amp; IF(LEN($P33)=1,"0" &amp; $P33,$P33) &amp; "/" &amp; ThongTinChung!$C$5)</f>
        <v/>
      </c>
      <c r="R33" s="100" t="str">
        <f t="shared" ca="1" si="0"/>
        <v/>
      </c>
      <c r="S33" s="194" t="str">
        <f>IF($B33="","","C" &amp; ROW(MauKoXoa!$C$108) &amp; ":C" &amp;ROW(MauKoXoa!$C$174))</f>
        <v/>
      </c>
      <c r="T33" s="198" t="str">
        <f t="shared" ca="1" si="6"/>
        <v/>
      </c>
      <c r="U33" s="198" t="str">
        <f t="shared" ca="1" si="7"/>
        <v/>
      </c>
      <c r="V33" s="650" t="str">
        <f ca="1">IF(COUNTIF($V$10:$V32,IFERROR(INDEX(DanhMuc!$J$154:$J$165,MATCH($T33,DanhMuc!$B$154:$B$165,0)),""))&lt;1,IFERROR(INDEX(DanhMuc!$J$154:$J$165,MATCH($T33,DanhMuc!$B$154:$B$165,0)),""),"")</f>
        <v/>
      </c>
      <c r="W33" s="650" t="str">
        <f ca="1">IF(COUNTIF($W$10:$W32,IFERROR(INDEX(DanhMuc!$D$168:$D$177,MATCH($U33,DanhMuc!$C$168:$C$177,0)),""))&lt;1,IFERROR(INDEX(DanhMuc!$D$168:$D$177,MATCH($U33,DanhMuc!$C$168:$C$177,0)),""),"")</f>
        <v/>
      </c>
      <c r="X33" s="650" t="str">
        <f ca="1">IFERROR(INDEX(DanhMuc!$K$154:$K$165,MATCH($T33,DanhMuc!$B$154:$B$165,0)),"")</f>
        <v/>
      </c>
      <c r="Y33" s="653" t="str">
        <f t="shared" ca="1" si="8"/>
        <v/>
      </c>
      <c r="Z33" s="653" t="str">
        <f t="shared" ca="1" si="9"/>
        <v/>
      </c>
      <c r="AA33" s="757">
        <f t="shared" ca="1" si="10"/>
        <v>0</v>
      </c>
      <c r="AB33" s="757">
        <f t="shared" ca="1" si="10"/>
        <v>0</v>
      </c>
      <c r="AC33" s="757">
        <f t="shared" ca="1" si="10"/>
        <v>0</v>
      </c>
      <c r="AD33" s="757">
        <f t="shared" ca="1" si="10"/>
        <v>0</v>
      </c>
      <c r="AE33" s="757">
        <f t="shared" ca="1" si="10"/>
        <v>0</v>
      </c>
      <c r="AF33" s="757">
        <f t="shared" ca="1" si="10"/>
        <v>0</v>
      </c>
      <c r="AG33" s="198"/>
      <c r="AH33" s="1079" t="s">
        <v>3365</v>
      </c>
      <c r="AI33" s="1080"/>
      <c r="AJ33" s="1080"/>
      <c r="AK33" s="1081" t="s">
        <v>3365</v>
      </c>
      <c r="AL33" s="1081" t="s">
        <v>3365</v>
      </c>
      <c r="AM33" s="1081" t="s">
        <v>3365</v>
      </c>
      <c r="AN33" s="1081" t="s">
        <v>3365</v>
      </c>
      <c r="AO33" s="1083">
        <v>0</v>
      </c>
      <c r="AP33" s="1083" t="s">
        <v>3365</v>
      </c>
      <c r="AQ33" s="1084"/>
      <c r="AR33" s="1085"/>
      <c r="AS33" s="1086" t="s">
        <v>3365</v>
      </c>
      <c r="AT33" s="1086"/>
      <c r="AU33" s="1087"/>
    </row>
    <row r="34" spans="1:47" s="42" customFormat="1" ht="19.899999999999999" customHeight="1">
      <c r="A34" s="37" t="str">
        <f>IF(B34="","",MAX($A$10:A33)+1)</f>
        <v/>
      </c>
      <c r="B34" s="718"/>
      <c r="C34" s="643">
        <f ca="1">IFERROR(VLOOKUP(A34,TinhGia!$B$11:$N$80,2,0),"")</f>
        <v>0</v>
      </c>
      <c r="D34" s="643" t="str">
        <f ca="1">IF(AK34="",IFERROR(VLOOKUP(B34,TinhGia!$B$11:$N$80,3,0),""),AK34)</f>
        <v/>
      </c>
      <c r="E34" s="203" t="str">
        <f ca="1">IF(AL34="",IFERROR(VLOOKUP(B34,TinhGia!$B$11:$N$80,4,0),""),AL34)</f>
        <v/>
      </c>
      <c r="F34" s="203" t="str">
        <f ca="1">IF(AM34="",IFERROR(VLOOKUP(B34,TinhGia!$B$11:$N$80,5,0),""),AM34)</f>
        <v/>
      </c>
      <c r="G34" s="203" t="str">
        <f ca="1">IF(AN34="",IFERROR(VLOOKUP(B34,TinhGia!$B$11:$N$80,6,0),""),AN34)</f>
        <v/>
      </c>
      <c r="H34" s="1136">
        <f t="shared" ca="1" si="2"/>
        <v>0</v>
      </c>
      <c r="I34" s="38" t="str">
        <f ca="1">IF(AP34="",IFERROR(VLOOKUP(B34,TinhGia!$B$11:$N$80,8,0),""),AP34)</f>
        <v/>
      </c>
      <c r="J34" s="39">
        <f t="shared" ca="1" si="3"/>
        <v>0</v>
      </c>
      <c r="K34" s="1200">
        <f t="shared" ca="1" si="4"/>
        <v>0</v>
      </c>
      <c r="L34" s="40" t="str">
        <f ca="1">IF(AS34="",IFERROR(VLOOKUP(B34,TinhGia!$B$11:$N$80,11,0),""),AS34)</f>
        <v/>
      </c>
      <c r="M34" s="40" t="str">
        <f ca="1">IF(AT34="",IFERROR(VLOOKUP(B34,TinhGia!$B$11:$N$80,12,0),""),AT34)</f>
        <v/>
      </c>
      <c r="N34" s="41">
        <f t="shared" ca="1" si="5"/>
        <v>0</v>
      </c>
      <c r="O34" s="195"/>
      <c r="P34" s="196"/>
      <c r="Q34" s="703" t="str">
        <f>IF($P34="","","ĐNSX"&amp; IF(LEN($P34)=1,"0" &amp; $P34,$P34) &amp; "/" &amp; ThongTinChung!$C$5)</f>
        <v/>
      </c>
      <c r="R34" s="100" t="str">
        <f t="shared" ca="1" si="0"/>
        <v/>
      </c>
      <c r="S34" s="194" t="str">
        <f>IF($B34="","","C" &amp; ROW(MauKoXoa!$C$108) &amp; ":C" &amp;ROW(MauKoXoa!$C$174))</f>
        <v/>
      </c>
      <c r="T34" s="198" t="str">
        <f t="shared" ca="1" si="6"/>
        <v/>
      </c>
      <c r="U34" s="198" t="str">
        <f t="shared" ca="1" si="7"/>
        <v/>
      </c>
      <c r="V34" s="650" t="str">
        <f ca="1">IF(COUNTIF($V$10:$V33,IFERROR(INDEX(DanhMuc!$J$154:$J$165,MATCH($T34,DanhMuc!$B$154:$B$165,0)),""))&lt;1,IFERROR(INDEX(DanhMuc!$J$154:$J$165,MATCH($T34,DanhMuc!$B$154:$B$165,0)),""),"")</f>
        <v/>
      </c>
      <c r="W34" s="650" t="str">
        <f ca="1">IF(COUNTIF($W$10:$W33,IFERROR(INDEX(DanhMuc!$D$168:$D$177,MATCH($U34,DanhMuc!$C$168:$C$177,0)),""))&lt;1,IFERROR(INDEX(DanhMuc!$D$168:$D$177,MATCH($U34,DanhMuc!$C$168:$C$177,0)),""),"")</f>
        <v/>
      </c>
      <c r="X34" s="650" t="str">
        <f ca="1">IFERROR(INDEX(DanhMuc!$K$154:$K$165,MATCH($T34,DanhMuc!$B$154:$B$165,0)),"")</f>
        <v/>
      </c>
      <c r="Y34" s="653" t="str">
        <f t="shared" ca="1" si="8"/>
        <v/>
      </c>
      <c r="Z34" s="653" t="str">
        <f t="shared" ca="1" si="9"/>
        <v/>
      </c>
      <c r="AA34" s="757">
        <f t="shared" ca="1" si="10"/>
        <v>0</v>
      </c>
      <c r="AB34" s="757">
        <f t="shared" ca="1" si="10"/>
        <v>0</v>
      </c>
      <c r="AC34" s="757">
        <f t="shared" ca="1" si="10"/>
        <v>0</v>
      </c>
      <c r="AD34" s="757">
        <f t="shared" ca="1" si="10"/>
        <v>0</v>
      </c>
      <c r="AE34" s="757">
        <f t="shared" ca="1" si="10"/>
        <v>0</v>
      </c>
      <c r="AF34" s="757">
        <f t="shared" ca="1" si="10"/>
        <v>0</v>
      </c>
      <c r="AG34" s="198"/>
      <c r="AH34" s="1079" t="s">
        <v>3365</v>
      </c>
      <c r="AI34" s="1080"/>
      <c r="AJ34" s="1080"/>
      <c r="AK34" s="1081" t="s">
        <v>3365</v>
      </c>
      <c r="AL34" s="1081" t="s">
        <v>3365</v>
      </c>
      <c r="AM34" s="1081" t="s">
        <v>3365</v>
      </c>
      <c r="AN34" s="1081" t="s">
        <v>3365</v>
      </c>
      <c r="AO34" s="1083">
        <v>0</v>
      </c>
      <c r="AP34" s="1083" t="s">
        <v>3365</v>
      </c>
      <c r="AQ34" s="1084"/>
      <c r="AR34" s="1085"/>
      <c r="AS34" s="1086" t="s">
        <v>3365</v>
      </c>
      <c r="AT34" s="1086"/>
      <c r="AU34" s="1087"/>
    </row>
    <row r="35" spans="1:47" s="42" customFormat="1" ht="19.899999999999999" customHeight="1">
      <c r="A35" s="37" t="str">
        <f>IF(B35="","",MAX($A$10:A34)+1)</f>
        <v/>
      </c>
      <c r="B35" s="718"/>
      <c r="C35" s="643">
        <f ca="1">IFERROR(VLOOKUP(A35,TinhGia!$B$11:$N$80,2,0),"")</f>
        <v>0</v>
      </c>
      <c r="D35" s="643" t="str">
        <f ca="1">IF(AK35="",IFERROR(VLOOKUP(B35,TinhGia!$B$11:$N$80,3,0),""),AK35)</f>
        <v/>
      </c>
      <c r="E35" s="203" t="str">
        <f ca="1">IF(AL35="",IFERROR(VLOOKUP(B35,TinhGia!$B$11:$N$80,4,0),""),AL35)</f>
        <v/>
      </c>
      <c r="F35" s="203" t="str">
        <f ca="1">IF(AM35="",IFERROR(VLOOKUP(B35,TinhGia!$B$11:$N$80,5,0),""),AM35)</f>
        <v/>
      </c>
      <c r="G35" s="203" t="str">
        <f ca="1">IF(AN35="",IFERROR(VLOOKUP(B35,TinhGia!$B$11:$N$80,6,0),""),AN35)</f>
        <v/>
      </c>
      <c r="H35" s="1136">
        <f t="shared" ca="1" si="2"/>
        <v>0</v>
      </c>
      <c r="I35" s="38" t="str">
        <f ca="1">IF(AP35="",IFERROR(VLOOKUP(B35,TinhGia!$B$11:$N$80,8,0),""),AP35)</f>
        <v/>
      </c>
      <c r="J35" s="39">
        <f t="shared" ca="1" si="3"/>
        <v>0</v>
      </c>
      <c r="K35" s="1200">
        <f t="shared" ca="1" si="4"/>
        <v>0</v>
      </c>
      <c r="L35" s="40" t="str">
        <f ca="1">IF(AS35="",IFERROR(VLOOKUP(B35,TinhGia!$B$11:$N$80,11,0),""),AS35)</f>
        <v/>
      </c>
      <c r="M35" s="40" t="str">
        <f ca="1">IF(AT35="",IFERROR(VLOOKUP(B35,TinhGia!$B$11:$N$80,12,0),""),AT35)</f>
        <v/>
      </c>
      <c r="N35" s="41">
        <f t="shared" ca="1" si="5"/>
        <v>0</v>
      </c>
      <c r="O35" s="197"/>
      <c r="P35" s="198"/>
      <c r="Q35" s="703" t="str">
        <f>IF($P35="","","ĐNSX"&amp; IF(LEN($P35)=1,"0" &amp; $P35,$P35) &amp; "/" &amp; ThongTinChung!$C$5)</f>
        <v/>
      </c>
      <c r="R35" s="100" t="str">
        <f t="shared" ca="1" si="0"/>
        <v/>
      </c>
      <c r="S35" s="194" t="str">
        <f>IF($B35="","","C" &amp; ROW(MauKoXoa!$C$108) &amp; ":C" &amp;ROW(MauKoXoa!$C$174))</f>
        <v/>
      </c>
      <c r="T35" s="198" t="str">
        <f t="shared" ca="1" si="6"/>
        <v/>
      </c>
      <c r="U35" s="198" t="str">
        <f t="shared" ca="1" si="7"/>
        <v/>
      </c>
      <c r="V35" s="650" t="str">
        <f ca="1">IF(COUNTIF($V$10:$V34,IFERROR(INDEX(DanhMuc!$J$154:$J$165,MATCH($T35,DanhMuc!$B$154:$B$165,0)),""))&lt;1,IFERROR(INDEX(DanhMuc!$J$154:$J$165,MATCH($T35,DanhMuc!$B$154:$B$165,0)),""),"")</f>
        <v/>
      </c>
      <c r="W35" s="650" t="str">
        <f ca="1">IF(COUNTIF($W$10:$W34,IFERROR(INDEX(DanhMuc!$D$168:$D$177,MATCH($U35,DanhMuc!$C$168:$C$177,0)),""))&lt;1,IFERROR(INDEX(DanhMuc!$D$168:$D$177,MATCH($U35,DanhMuc!$C$168:$C$177,0)),""),"")</f>
        <v/>
      </c>
      <c r="X35" s="650" t="str">
        <f ca="1">IFERROR(INDEX(DanhMuc!$K$154:$K$165,MATCH($T35,DanhMuc!$B$154:$B$165,0)),"")</f>
        <v/>
      </c>
      <c r="Y35" s="653" t="str">
        <f t="shared" ca="1" si="8"/>
        <v/>
      </c>
      <c r="Z35" s="653" t="str">
        <f t="shared" ca="1" si="9"/>
        <v/>
      </c>
      <c r="AA35" s="757">
        <f t="shared" ca="1" si="10"/>
        <v>0</v>
      </c>
      <c r="AB35" s="757">
        <f t="shared" ca="1" si="10"/>
        <v>0</v>
      </c>
      <c r="AC35" s="757">
        <f t="shared" ca="1" si="10"/>
        <v>0</v>
      </c>
      <c r="AD35" s="757">
        <f t="shared" ca="1" si="10"/>
        <v>0</v>
      </c>
      <c r="AE35" s="757">
        <f t="shared" ca="1" si="10"/>
        <v>0</v>
      </c>
      <c r="AF35" s="757">
        <f t="shared" ca="1" si="10"/>
        <v>0</v>
      </c>
      <c r="AG35" s="198"/>
      <c r="AH35" s="1079" t="s">
        <v>3365</v>
      </c>
      <c r="AI35" s="1080"/>
      <c r="AJ35" s="1080"/>
      <c r="AK35" s="1081" t="s">
        <v>3365</v>
      </c>
      <c r="AL35" s="1081" t="s">
        <v>3365</v>
      </c>
      <c r="AM35" s="1081" t="s">
        <v>3365</v>
      </c>
      <c r="AN35" s="1081" t="s">
        <v>3365</v>
      </c>
      <c r="AO35" s="1083">
        <v>0</v>
      </c>
      <c r="AP35" s="1083" t="s">
        <v>3365</v>
      </c>
      <c r="AQ35" s="1084"/>
      <c r="AR35" s="1085"/>
      <c r="AS35" s="1086" t="s">
        <v>3365</v>
      </c>
      <c r="AT35" s="1086"/>
      <c r="AU35" s="1087"/>
    </row>
    <row r="36" spans="1:47" s="42" customFormat="1" ht="19.899999999999999" customHeight="1">
      <c r="A36" s="37" t="str">
        <f>IF(B36="","",MAX($A$10:A35)+1)</f>
        <v/>
      </c>
      <c r="B36" s="718"/>
      <c r="C36" s="643">
        <f ca="1">IFERROR(VLOOKUP(A36,TinhGia!$B$11:$N$80,2,0),"")</f>
        <v>0</v>
      </c>
      <c r="D36" s="643" t="str">
        <f ca="1">IF(AK36="",IFERROR(VLOOKUP(B36,TinhGia!$B$11:$N$80,3,0),""),AK36)</f>
        <v/>
      </c>
      <c r="E36" s="203" t="str">
        <f ca="1">IF(AL36="",IFERROR(VLOOKUP(B36,TinhGia!$B$11:$N$80,4,0),""),AL36)</f>
        <v/>
      </c>
      <c r="F36" s="203" t="str">
        <f ca="1">IF(AM36="",IFERROR(VLOOKUP(B36,TinhGia!$B$11:$N$80,5,0),""),AM36)</f>
        <v/>
      </c>
      <c r="G36" s="203" t="str">
        <f ca="1">IF(AN36="",IFERROR(VLOOKUP(B36,TinhGia!$B$11:$N$80,6,0),""),AN36)</f>
        <v/>
      </c>
      <c r="H36" s="1136">
        <f t="shared" ca="1" si="2"/>
        <v>0</v>
      </c>
      <c r="I36" s="38" t="str">
        <f ca="1">IF(AP36="",IFERROR(VLOOKUP(B36,TinhGia!$B$11:$N$80,8,0),""),AP36)</f>
        <v/>
      </c>
      <c r="J36" s="39">
        <f t="shared" ca="1" si="3"/>
        <v>0</v>
      </c>
      <c r="K36" s="1200">
        <f t="shared" ca="1" si="4"/>
        <v>0</v>
      </c>
      <c r="L36" s="40" t="str">
        <f ca="1">IF(AS36="",IFERROR(VLOOKUP(B36,TinhGia!$B$11:$N$80,11,0),""),AS36)</f>
        <v/>
      </c>
      <c r="M36" s="40" t="str">
        <f ca="1">IF(AT36="",IFERROR(VLOOKUP(B36,TinhGia!$B$11:$N$80,12,0),""),AT36)</f>
        <v/>
      </c>
      <c r="N36" s="41">
        <f t="shared" ca="1" si="5"/>
        <v>0</v>
      </c>
      <c r="O36" s="197"/>
      <c r="P36" s="198"/>
      <c r="Q36" s="703" t="str">
        <f>IF($P36="","","ĐNSX"&amp; IF(LEN($P36)=1,"0" &amp; $P36,$P36) &amp; "/" &amp; ThongTinChung!$C$5)</f>
        <v/>
      </c>
      <c r="R36" s="100" t="str">
        <f t="shared" ca="1" si="0"/>
        <v/>
      </c>
      <c r="S36" s="194" t="str">
        <f>IF($B36="","","C" &amp; ROW(MauKoXoa!$C$108) &amp; ":C" &amp;ROW(MauKoXoa!$C$174))</f>
        <v/>
      </c>
      <c r="T36" s="198" t="str">
        <f t="shared" ca="1" si="6"/>
        <v/>
      </c>
      <c r="U36" s="198" t="str">
        <f t="shared" ca="1" si="7"/>
        <v/>
      </c>
      <c r="V36" s="650" t="str">
        <f ca="1">IF(COUNTIF($V$10:$V35,IFERROR(INDEX(DanhMuc!$J$154:$J$165,MATCH($T36,DanhMuc!$B$154:$B$165,0)),""))&lt;1,IFERROR(INDEX(DanhMuc!$J$154:$J$165,MATCH($T36,DanhMuc!$B$154:$B$165,0)),""),"")</f>
        <v/>
      </c>
      <c r="W36" s="650" t="str">
        <f ca="1">IF(COUNTIF($W$10:$W35,IFERROR(INDEX(DanhMuc!$D$168:$D$177,MATCH($U36,DanhMuc!$C$168:$C$177,0)),""))&lt;1,IFERROR(INDEX(DanhMuc!$D$168:$D$177,MATCH($U36,DanhMuc!$C$168:$C$177,0)),""),"")</f>
        <v/>
      </c>
      <c r="X36" s="650" t="str">
        <f ca="1">IFERROR(INDEX(DanhMuc!$K$154:$K$165,MATCH($T36,DanhMuc!$B$154:$B$165,0)),"")</f>
        <v/>
      </c>
      <c r="Y36" s="653" t="str">
        <f t="shared" ca="1" si="8"/>
        <v/>
      </c>
      <c r="Z36" s="653" t="str">
        <f t="shared" ca="1" si="9"/>
        <v/>
      </c>
      <c r="AA36" s="757">
        <f t="shared" ca="1" si="10"/>
        <v>0</v>
      </c>
      <c r="AB36" s="757">
        <f t="shared" ca="1" si="10"/>
        <v>0</v>
      </c>
      <c r="AC36" s="757">
        <f t="shared" ca="1" si="10"/>
        <v>0</v>
      </c>
      <c r="AD36" s="757">
        <f t="shared" ca="1" si="10"/>
        <v>0</v>
      </c>
      <c r="AE36" s="757">
        <f t="shared" ca="1" si="10"/>
        <v>0</v>
      </c>
      <c r="AF36" s="757">
        <f t="shared" ca="1" si="10"/>
        <v>0</v>
      </c>
      <c r="AG36" s="198"/>
      <c r="AH36" s="1079" t="s">
        <v>3365</v>
      </c>
      <c r="AI36" s="1080"/>
      <c r="AJ36" s="1080"/>
      <c r="AK36" s="1081" t="s">
        <v>3365</v>
      </c>
      <c r="AL36" s="1081" t="s">
        <v>3365</v>
      </c>
      <c r="AM36" s="1081" t="s">
        <v>3365</v>
      </c>
      <c r="AN36" s="1081" t="s">
        <v>3365</v>
      </c>
      <c r="AO36" s="1083">
        <v>0</v>
      </c>
      <c r="AP36" s="1083" t="s">
        <v>3365</v>
      </c>
      <c r="AQ36" s="1084"/>
      <c r="AR36" s="1085"/>
      <c r="AS36" s="1086" t="s">
        <v>3365</v>
      </c>
      <c r="AT36" s="1086"/>
      <c r="AU36" s="1087"/>
    </row>
    <row r="37" spans="1:47" s="42" customFormat="1" ht="19.899999999999999" customHeight="1">
      <c r="A37" s="37" t="str">
        <f>IF(B37="","",MAX($A$10:A36)+1)</f>
        <v/>
      </c>
      <c r="B37" s="718"/>
      <c r="C37" s="643">
        <f ca="1">IFERROR(VLOOKUP(A37,TinhGia!$B$11:$N$80,2,0),"")</f>
        <v>0</v>
      </c>
      <c r="D37" s="643" t="str">
        <f ca="1">IF(AK37="",IFERROR(VLOOKUP(B37,TinhGia!$B$11:$N$80,3,0),""),AK37)</f>
        <v/>
      </c>
      <c r="E37" s="203" t="str">
        <f ca="1">IF(AL37="",IFERROR(VLOOKUP(B37,TinhGia!$B$11:$N$80,4,0),""),AL37)</f>
        <v/>
      </c>
      <c r="F37" s="203" t="str">
        <f ca="1">IF(AM37="",IFERROR(VLOOKUP(B37,TinhGia!$B$11:$N$80,5,0),""),AM37)</f>
        <v/>
      </c>
      <c r="G37" s="203" t="str">
        <f ca="1">IF(AN37="",IFERROR(VLOOKUP(B37,TinhGia!$B$11:$N$80,6,0),""),AN37)</f>
        <v/>
      </c>
      <c r="H37" s="1136">
        <f t="shared" ca="1" si="2"/>
        <v>0</v>
      </c>
      <c r="I37" s="38" t="str">
        <f ca="1">IF(AP37="",IFERROR(VLOOKUP(B37,TinhGia!$B$11:$N$80,8,0),""),AP37)</f>
        <v/>
      </c>
      <c r="J37" s="39">
        <f t="shared" ca="1" si="3"/>
        <v>0</v>
      </c>
      <c r="K37" s="1200">
        <f t="shared" ca="1" si="4"/>
        <v>0</v>
      </c>
      <c r="L37" s="40" t="str">
        <f ca="1">IF(AS37="",IFERROR(VLOOKUP(B37,TinhGia!$B$11:$N$80,11,0),""),AS37)</f>
        <v/>
      </c>
      <c r="M37" s="40" t="str">
        <f ca="1">IF(AT37="",IFERROR(VLOOKUP(B37,TinhGia!$B$11:$N$80,12,0),""),AT37)</f>
        <v/>
      </c>
      <c r="N37" s="41">
        <f t="shared" ca="1" si="5"/>
        <v>0</v>
      </c>
      <c r="O37" s="197"/>
      <c r="P37" s="198"/>
      <c r="Q37" s="703" t="str">
        <f>IF($P37="","","ĐNSX"&amp; IF(LEN($P37)=1,"0" &amp; $P37,$P37) &amp; "/" &amp; ThongTinChung!$C$5)</f>
        <v/>
      </c>
      <c r="R37" s="100" t="str">
        <f t="shared" ca="1" si="0"/>
        <v/>
      </c>
      <c r="S37" s="194" t="str">
        <f>IF($B37="","","C" &amp; ROW(MauKoXoa!$C$108) &amp; ":C" &amp;ROW(MauKoXoa!$C$174))</f>
        <v/>
      </c>
      <c r="T37" s="198" t="str">
        <f t="shared" ca="1" si="6"/>
        <v/>
      </c>
      <c r="U37" s="198" t="str">
        <f t="shared" ca="1" si="7"/>
        <v/>
      </c>
      <c r="V37" s="650" t="str">
        <f ca="1">IF(COUNTIF($V$10:$V36,IFERROR(INDEX(DanhMuc!$J$154:$J$165,MATCH($T37,DanhMuc!$B$154:$B$165,0)),""))&lt;1,IFERROR(INDEX(DanhMuc!$J$154:$J$165,MATCH($T37,DanhMuc!$B$154:$B$165,0)),""),"")</f>
        <v/>
      </c>
      <c r="W37" s="650" t="str">
        <f ca="1">IF(COUNTIF($W$10:$W36,IFERROR(INDEX(DanhMuc!$D$168:$D$177,MATCH($U37,DanhMuc!$C$168:$C$177,0)),""))&lt;1,IFERROR(INDEX(DanhMuc!$D$168:$D$177,MATCH($U37,DanhMuc!$C$168:$C$177,0)),""),"")</f>
        <v/>
      </c>
      <c r="X37" s="650" t="str">
        <f ca="1">IFERROR(INDEX(DanhMuc!$K$154:$K$165,MATCH($T37,DanhMuc!$B$154:$B$165,0)),"")</f>
        <v/>
      </c>
      <c r="Y37" s="653" t="str">
        <f t="shared" ca="1" si="8"/>
        <v/>
      </c>
      <c r="Z37" s="653" t="str">
        <f t="shared" ca="1" si="9"/>
        <v/>
      </c>
      <c r="AA37" s="757">
        <f t="shared" ca="1" si="10"/>
        <v>0</v>
      </c>
      <c r="AB37" s="757">
        <f t="shared" ca="1" si="10"/>
        <v>0</v>
      </c>
      <c r="AC37" s="757">
        <f t="shared" ca="1" si="10"/>
        <v>0</v>
      </c>
      <c r="AD37" s="757">
        <f t="shared" ca="1" si="10"/>
        <v>0</v>
      </c>
      <c r="AE37" s="757">
        <f t="shared" ca="1" si="10"/>
        <v>0</v>
      </c>
      <c r="AF37" s="757">
        <f t="shared" ca="1" si="10"/>
        <v>0</v>
      </c>
      <c r="AG37" s="198"/>
      <c r="AH37" s="1079" t="s">
        <v>3365</v>
      </c>
      <c r="AI37" s="1080"/>
      <c r="AJ37" s="1080"/>
      <c r="AK37" s="1081" t="s">
        <v>3365</v>
      </c>
      <c r="AL37" s="1081" t="s">
        <v>3365</v>
      </c>
      <c r="AM37" s="1081" t="s">
        <v>3365</v>
      </c>
      <c r="AN37" s="1081" t="s">
        <v>3365</v>
      </c>
      <c r="AO37" s="1083">
        <v>0</v>
      </c>
      <c r="AP37" s="1083" t="s">
        <v>3365</v>
      </c>
      <c r="AQ37" s="1084"/>
      <c r="AR37" s="1085"/>
      <c r="AS37" s="1086" t="s">
        <v>3365</v>
      </c>
      <c r="AT37" s="1086"/>
      <c r="AU37" s="1087"/>
    </row>
    <row r="38" spans="1:47" s="42" customFormat="1" ht="19.899999999999999" customHeight="1">
      <c r="A38" s="37" t="str">
        <f>IF(B38="","",MAX($A$10:A37)+1)</f>
        <v/>
      </c>
      <c r="B38" s="718"/>
      <c r="C38" s="643">
        <f ca="1">IFERROR(VLOOKUP(A38,TinhGia!$B$11:$N$80,2,0),"")</f>
        <v>0</v>
      </c>
      <c r="D38" s="643" t="str">
        <f ca="1">IF(AK38="",IFERROR(VLOOKUP(B38,TinhGia!$B$11:$N$80,3,0),""),AK38)</f>
        <v/>
      </c>
      <c r="E38" s="203" t="str">
        <f ca="1">IF(AL38="",IFERROR(VLOOKUP(B38,TinhGia!$B$11:$N$80,4,0),""),AL38)</f>
        <v/>
      </c>
      <c r="F38" s="203" t="str">
        <f ca="1">IF(AM38="",IFERROR(VLOOKUP(B38,TinhGia!$B$11:$N$80,5,0),""),AM38)</f>
        <v/>
      </c>
      <c r="G38" s="203" t="str">
        <f ca="1">IF(AN38="",IFERROR(VLOOKUP(B38,TinhGia!$B$11:$N$80,6,0),""),AN38)</f>
        <v/>
      </c>
      <c r="H38" s="1136">
        <f t="shared" ca="1" si="2"/>
        <v>0</v>
      </c>
      <c r="I38" s="38" t="str">
        <f ca="1">IF(AP38="",IFERROR(VLOOKUP(B38,TinhGia!$B$11:$N$80,8,0),""),AP38)</f>
        <v/>
      </c>
      <c r="J38" s="39">
        <f t="shared" ca="1" si="3"/>
        <v>0</v>
      </c>
      <c r="K38" s="1200">
        <f t="shared" ca="1" si="4"/>
        <v>0</v>
      </c>
      <c r="L38" s="40" t="str">
        <f ca="1">IF(AS38="",IFERROR(VLOOKUP(B38,TinhGia!$B$11:$N$80,11,0),""),AS38)</f>
        <v/>
      </c>
      <c r="M38" s="40" t="str">
        <f ca="1">IF(AT38="",IFERROR(VLOOKUP(B38,TinhGia!$B$11:$N$80,12,0),""),AT38)</f>
        <v/>
      </c>
      <c r="N38" s="41">
        <f t="shared" ca="1" si="5"/>
        <v>0</v>
      </c>
      <c r="O38" s="197"/>
      <c r="P38" s="198"/>
      <c r="Q38" s="703" t="str">
        <f>IF($P38="","","ĐNSX"&amp; IF(LEN($P38)=1,"0" &amp; $P38,$P38) &amp; "/" &amp; ThongTinChung!$C$5)</f>
        <v/>
      </c>
      <c r="R38" s="100" t="str">
        <f t="shared" ca="1" si="0"/>
        <v/>
      </c>
      <c r="S38" s="194" t="str">
        <f>IF($B38="","","C" &amp; ROW(MauKoXoa!$C$108) &amp; ":C" &amp;ROW(MauKoXoa!$C$174))</f>
        <v/>
      </c>
      <c r="T38" s="198" t="str">
        <f t="shared" ca="1" si="6"/>
        <v/>
      </c>
      <c r="U38" s="198" t="str">
        <f t="shared" ca="1" si="7"/>
        <v/>
      </c>
      <c r="V38" s="650" t="str">
        <f ca="1">IF(COUNTIF($V$10:$V37,IFERROR(INDEX(DanhMuc!$J$154:$J$165,MATCH($T38,DanhMuc!$B$154:$B$165,0)),""))&lt;1,IFERROR(INDEX(DanhMuc!$J$154:$J$165,MATCH($T38,DanhMuc!$B$154:$B$165,0)),""),"")</f>
        <v/>
      </c>
      <c r="W38" s="650" t="str">
        <f ca="1">IF(COUNTIF($W$10:$W37,IFERROR(INDEX(DanhMuc!$D$168:$D$177,MATCH($U38,DanhMuc!$C$168:$C$177,0)),""))&lt;1,IFERROR(INDEX(DanhMuc!$D$168:$D$177,MATCH($U38,DanhMuc!$C$168:$C$177,0)),""),"")</f>
        <v/>
      </c>
      <c r="X38" s="650" t="str">
        <f ca="1">IFERROR(INDEX(DanhMuc!$K$154:$K$165,MATCH($T38,DanhMuc!$B$154:$B$165,0)),"")</f>
        <v/>
      </c>
      <c r="Y38" s="653" t="str">
        <f t="shared" ca="1" si="8"/>
        <v/>
      </c>
      <c r="Z38" s="653" t="str">
        <f t="shared" ca="1" si="9"/>
        <v/>
      </c>
      <c r="AA38" s="757">
        <f t="shared" ca="1" si="10"/>
        <v>0</v>
      </c>
      <c r="AB38" s="757">
        <f t="shared" ca="1" si="10"/>
        <v>0</v>
      </c>
      <c r="AC38" s="757">
        <f t="shared" ca="1" si="10"/>
        <v>0</v>
      </c>
      <c r="AD38" s="757">
        <f t="shared" ca="1" si="10"/>
        <v>0</v>
      </c>
      <c r="AE38" s="757">
        <f t="shared" ca="1" si="10"/>
        <v>0</v>
      </c>
      <c r="AF38" s="757">
        <f t="shared" ca="1" si="10"/>
        <v>0</v>
      </c>
      <c r="AG38" s="198"/>
      <c r="AH38" s="1079" t="s">
        <v>3365</v>
      </c>
      <c r="AI38" s="1080"/>
      <c r="AJ38" s="1080"/>
      <c r="AK38" s="1081" t="s">
        <v>3365</v>
      </c>
      <c r="AL38" s="1081" t="s">
        <v>3365</v>
      </c>
      <c r="AM38" s="1081" t="s">
        <v>3365</v>
      </c>
      <c r="AN38" s="1081" t="s">
        <v>3365</v>
      </c>
      <c r="AO38" s="1083">
        <v>0</v>
      </c>
      <c r="AP38" s="1083" t="s">
        <v>3365</v>
      </c>
      <c r="AQ38" s="1084"/>
      <c r="AR38" s="1085"/>
      <c r="AS38" s="1086" t="s">
        <v>3365</v>
      </c>
      <c r="AT38" s="1086"/>
      <c r="AU38" s="1087"/>
    </row>
    <row r="39" spans="1:47" s="42" customFormat="1" ht="19.899999999999999" customHeight="1">
      <c r="A39" s="37" t="str">
        <f>IF(B39="","",MAX($A$10:A38)+1)</f>
        <v/>
      </c>
      <c r="B39" s="718"/>
      <c r="C39" s="643">
        <f ca="1">IFERROR(VLOOKUP(A39,TinhGia!$B$11:$N$80,2,0),"")</f>
        <v>0</v>
      </c>
      <c r="D39" s="643" t="str">
        <f ca="1">IF(AK39="",IFERROR(VLOOKUP(B39,TinhGia!$B$11:$N$80,3,0),""),AK39)</f>
        <v/>
      </c>
      <c r="E39" s="203" t="str">
        <f ca="1">IF(AL39="",IFERROR(VLOOKUP(B39,TinhGia!$B$11:$N$80,4,0),""),AL39)</f>
        <v/>
      </c>
      <c r="F39" s="203" t="str">
        <f ca="1">IF(AM39="",IFERROR(VLOOKUP(B39,TinhGia!$B$11:$N$80,5,0),""),AM39)</f>
        <v/>
      </c>
      <c r="G39" s="203" t="str">
        <f ca="1">IF(AN39="",IFERROR(VLOOKUP(B39,TinhGia!$B$11:$N$80,6,0),""),AN39)</f>
        <v/>
      </c>
      <c r="H39" s="1136">
        <f t="shared" ca="1" si="2"/>
        <v>0</v>
      </c>
      <c r="I39" s="38" t="str">
        <f ca="1">IF(AP39="",IFERROR(VLOOKUP(B39,TinhGia!$B$11:$N$80,8,0),""),AP39)</f>
        <v/>
      </c>
      <c r="J39" s="39">
        <f t="shared" ca="1" si="3"/>
        <v>0</v>
      </c>
      <c r="K39" s="1200">
        <f t="shared" ca="1" si="4"/>
        <v>0</v>
      </c>
      <c r="L39" s="40" t="str">
        <f ca="1">IF(AS39="",IFERROR(VLOOKUP(B39,TinhGia!$B$11:$N$80,11,0),""),AS39)</f>
        <v/>
      </c>
      <c r="M39" s="40" t="str">
        <f ca="1">IF(AT39="",IFERROR(VLOOKUP(B39,TinhGia!$B$11:$N$80,12,0),""),AT39)</f>
        <v/>
      </c>
      <c r="N39" s="41">
        <f t="shared" ca="1" si="5"/>
        <v>0</v>
      </c>
      <c r="O39" s="197"/>
      <c r="P39" s="198"/>
      <c r="Q39" s="703" t="str">
        <f>IF($P39="","","ĐNSX"&amp; IF(LEN($P39)=1,"0" &amp; $P39,$P39) &amp; "/" &amp; ThongTinChung!$C$5)</f>
        <v/>
      </c>
      <c r="R39" s="100" t="str">
        <f t="shared" ca="1" si="0"/>
        <v/>
      </c>
      <c r="S39" s="194" t="str">
        <f>IF($B39="","","C" &amp; ROW(MauKoXoa!$C$108) &amp; ":C" &amp;ROW(MauKoXoa!$C$174))</f>
        <v/>
      </c>
      <c r="T39" s="198" t="str">
        <f t="shared" ca="1" si="6"/>
        <v/>
      </c>
      <c r="U39" s="198" t="str">
        <f t="shared" ca="1" si="7"/>
        <v/>
      </c>
      <c r="V39" s="650" t="str">
        <f ca="1">IF(COUNTIF($V$10:$V38,IFERROR(INDEX(DanhMuc!$J$154:$J$165,MATCH($T39,DanhMuc!$B$154:$B$165,0)),""))&lt;1,IFERROR(INDEX(DanhMuc!$J$154:$J$165,MATCH($T39,DanhMuc!$B$154:$B$165,0)),""),"")</f>
        <v/>
      </c>
      <c r="W39" s="650" t="str">
        <f ca="1">IF(COUNTIF($W$10:$W38,IFERROR(INDEX(DanhMuc!$D$168:$D$177,MATCH($U39,DanhMuc!$C$168:$C$177,0)),""))&lt;1,IFERROR(INDEX(DanhMuc!$D$168:$D$177,MATCH($U39,DanhMuc!$C$168:$C$177,0)),""),"")</f>
        <v/>
      </c>
      <c r="X39" s="650" t="str">
        <f ca="1">IFERROR(INDEX(DanhMuc!$K$154:$K$165,MATCH($T39,DanhMuc!$B$154:$B$165,0)),"")</f>
        <v/>
      </c>
      <c r="Y39" s="653" t="str">
        <f t="shared" ca="1" si="8"/>
        <v/>
      </c>
      <c r="Z39" s="653" t="str">
        <f t="shared" ca="1" si="9"/>
        <v/>
      </c>
      <c r="AA39" s="757">
        <f t="shared" ca="1" si="10"/>
        <v>0</v>
      </c>
      <c r="AB39" s="757">
        <f t="shared" ca="1" si="10"/>
        <v>0</v>
      </c>
      <c r="AC39" s="757">
        <f t="shared" ca="1" si="10"/>
        <v>0</v>
      </c>
      <c r="AD39" s="757">
        <f t="shared" ca="1" si="10"/>
        <v>0</v>
      </c>
      <c r="AE39" s="757">
        <f t="shared" ca="1" si="10"/>
        <v>0</v>
      </c>
      <c r="AF39" s="757">
        <f t="shared" ca="1" si="10"/>
        <v>0</v>
      </c>
      <c r="AG39" s="198"/>
      <c r="AH39" s="1079" t="s">
        <v>3365</v>
      </c>
      <c r="AI39" s="1080"/>
      <c r="AJ39" s="1080"/>
      <c r="AK39" s="1081" t="s">
        <v>3365</v>
      </c>
      <c r="AL39" s="1081" t="s">
        <v>3365</v>
      </c>
      <c r="AM39" s="1081" t="s">
        <v>3365</v>
      </c>
      <c r="AN39" s="1081" t="s">
        <v>3365</v>
      </c>
      <c r="AO39" s="1083">
        <v>0</v>
      </c>
      <c r="AP39" s="1083" t="s">
        <v>3365</v>
      </c>
      <c r="AQ39" s="1084"/>
      <c r="AR39" s="1085"/>
      <c r="AS39" s="1086" t="s">
        <v>3365</v>
      </c>
      <c r="AT39" s="1086"/>
      <c r="AU39" s="1087"/>
    </row>
    <row r="40" spans="1:47" s="42" customFormat="1" ht="19.899999999999999" customHeight="1">
      <c r="A40" s="37" t="str">
        <f>IF(B40="","",MAX($A$10:A39)+1)</f>
        <v/>
      </c>
      <c r="B40" s="718"/>
      <c r="C40" s="643">
        <f ca="1">IFERROR(VLOOKUP(A40,TinhGia!$B$11:$N$80,2,0),"")</f>
        <v>0</v>
      </c>
      <c r="D40" s="643" t="str">
        <f ca="1">IF(AK40="",IFERROR(VLOOKUP(B40,TinhGia!$B$11:$N$80,3,0),""),AK40)</f>
        <v/>
      </c>
      <c r="E40" s="203" t="str">
        <f ca="1">IF(AL40="",IFERROR(VLOOKUP(B40,TinhGia!$B$11:$N$80,4,0),""),AL40)</f>
        <v/>
      </c>
      <c r="F40" s="203" t="str">
        <f ca="1">IF(AM40="",IFERROR(VLOOKUP(B40,TinhGia!$B$11:$N$80,5,0),""),AM40)</f>
        <v/>
      </c>
      <c r="G40" s="203" t="str">
        <f ca="1">IF(AN40="",IFERROR(VLOOKUP(B40,TinhGia!$B$11:$N$80,6,0),""),AN40)</f>
        <v/>
      </c>
      <c r="H40" s="1136">
        <f t="shared" ca="1" si="2"/>
        <v>0</v>
      </c>
      <c r="I40" s="38" t="str">
        <f ca="1">IF(AP40="",IFERROR(VLOOKUP(B40,TinhGia!$B$11:$N$80,8,0),""),AP40)</f>
        <v/>
      </c>
      <c r="J40" s="39">
        <f t="shared" ca="1" si="3"/>
        <v>0</v>
      </c>
      <c r="K40" s="1200">
        <f t="shared" ca="1" si="4"/>
        <v>0</v>
      </c>
      <c r="L40" s="40" t="str">
        <f ca="1">IF(AS40="",IFERROR(VLOOKUP(B40,TinhGia!$B$11:$N$80,11,0),""),AS40)</f>
        <v/>
      </c>
      <c r="M40" s="40" t="str">
        <f ca="1">IF(AT40="",IFERROR(VLOOKUP(B40,TinhGia!$B$11:$N$80,12,0),""),AT40)</f>
        <v/>
      </c>
      <c r="N40" s="41">
        <f t="shared" ca="1" si="5"/>
        <v>0</v>
      </c>
      <c r="O40" s="197"/>
      <c r="P40" s="198"/>
      <c r="Q40" s="703" t="str">
        <f>IF($P40="","","ĐNSX"&amp; IF(LEN($P40)=1,"0" &amp; $P40,$P40) &amp; "/" &amp; ThongTinChung!$C$5)</f>
        <v/>
      </c>
      <c r="R40" s="100" t="str">
        <f t="shared" ca="1" si="0"/>
        <v/>
      </c>
      <c r="S40" s="194" t="str">
        <f>IF($B40="","","C" &amp; ROW(MauKoXoa!$C$108) &amp; ":C" &amp;ROW(MauKoXoa!$C$174))</f>
        <v/>
      </c>
      <c r="T40" s="198" t="str">
        <f t="shared" ca="1" si="6"/>
        <v/>
      </c>
      <c r="U40" s="198" t="str">
        <f t="shared" ca="1" si="7"/>
        <v/>
      </c>
      <c r="V40" s="650" t="str">
        <f ca="1">IF(COUNTIF($V$10:$V39,IFERROR(INDEX(DanhMuc!$J$154:$J$165,MATCH($T40,DanhMuc!$B$154:$B$165,0)),""))&lt;1,IFERROR(INDEX(DanhMuc!$J$154:$J$165,MATCH($T40,DanhMuc!$B$154:$B$165,0)),""),"")</f>
        <v/>
      </c>
      <c r="W40" s="650" t="str">
        <f ca="1">IF(COUNTIF($W$10:$W39,IFERROR(INDEX(DanhMuc!$D$168:$D$177,MATCH($U40,DanhMuc!$C$168:$C$177,0)),""))&lt;1,IFERROR(INDEX(DanhMuc!$D$168:$D$177,MATCH($U40,DanhMuc!$C$168:$C$177,0)),""),"")</f>
        <v/>
      </c>
      <c r="X40" s="650" t="str">
        <f ca="1">IFERROR(INDEX(DanhMuc!$K$154:$K$165,MATCH($T40,DanhMuc!$B$154:$B$165,0)),"")</f>
        <v/>
      </c>
      <c r="Y40" s="653" t="str">
        <f t="shared" ca="1" si="8"/>
        <v/>
      </c>
      <c r="Z40" s="653" t="str">
        <f t="shared" ca="1" si="9"/>
        <v/>
      </c>
      <c r="AA40" s="757">
        <f t="shared" ca="1" si="10"/>
        <v>0</v>
      </c>
      <c r="AB40" s="757">
        <f t="shared" ca="1" si="10"/>
        <v>0</v>
      </c>
      <c r="AC40" s="757">
        <f t="shared" ca="1" si="10"/>
        <v>0</v>
      </c>
      <c r="AD40" s="757">
        <f t="shared" ca="1" si="10"/>
        <v>0</v>
      </c>
      <c r="AE40" s="757">
        <f t="shared" ca="1" si="10"/>
        <v>0</v>
      </c>
      <c r="AF40" s="757">
        <f t="shared" ca="1" si="10"/>
        <v>0</v>
      </c>
      <c r="AG40" s="198"/>
      <c r="AH40" s="1079" t="s">
        <v>3365</v>
      </c>
      <c r="AI40" s="1080"/>
      <c r="AJ40" s="1080"/>
      <c r="AK40" s="1081" t="s">
        <v>3365</v>
      </c>
      <c r="AL40" s="1081" t="s">
        <v>3365</v>
      </c>
      <c r="AM40" s="1081" t="s">
        <v>3365</v>
      </c>
      <c r="AN40" s="1081" t="s">
        <v>3365</v>
      </c>
      <c r="AO40" s="1083">
        <v>0</v>
      </c>
      <c r="AP40" s="1083" t="s">
        <v>3365</v>
      </c>
      <c r="AQ40" s="1084"/>
      <c r="AR40" s="1085"/>
      <c r="AS40" s="1086" t="s">
        <v>3365</v>
      </c>
      <c r="AT40" s="1086"/>
      <c r="AU40" s="1087"/>
    </row>
    <row r="41" spans="1:47" s="42" customFormat="1" ht="19.899999999999999" customHeight="1">
      <c r="A41" s="37" t="str">
        <f>IF(B41="","",MAX($A$10:A40)+1)</f>
        <v/>
      </c>
      <c r="B41" s="718"/>
      <c r="C41" s="643">
        <f ca="1">IFERROR(VLOOKUP(A41,TinhGia!$B$11:$N$80,2,0),"")</f>
        <v>0</v>
      </c>
      <c r="D41" s="643" t="str">
        <f ca="1">IF(AK41="",IFERROR(VLOOKUP(B41,TinhGia!$B$11:$N$80,3,0),""),AK41)</f>
        <v/>
      </c>
      <c r="E41" s="203" t="str">
        <f ca="1">IF(AL41="",IFERROR(VLOOKUP(B41,TinhGia!$B$11:$N$80,4,0),""),AL41)</f>
        <v/>
      </c>
      <c r="F41" s="203" t="str">
        <f ca="1">IF(AM41="",IFERROR(VLOOKUP(B41,TinhGia!$B$11:$N$80,5,0),""),AM41)</f>
        <v/>
      </c>
      <c r="G41" s="203" t="str">
        <f ca="1">IF(AN41="",IFERROR(VLOOKUP(B41,TinhGia!$B$11:$N$80,6,0),""),AN41)</f>
        <v/>
      </c>
      <c r="H41" s="1136">
        <f t="shared" ca="1" si="2"/>
        <v>0</v>
      </c>
      <c r="I41" s="38" t="str">
        <f ca="1">IF(AP41="",IFERROR(VLOOKUP(B41,TinhGia!$B$11:$N$80,8,0),""),AP41)</f>
        <v/>
      </c>
      <c r="J41" s="39">
        <f t="shared" ca="1" si="3"/>
        <v>0</v>
      </c>
      <c r="K41" s="1200">
        <f t="shared" ca="1" si="4"/>
        <v>0</v>
      </c>
      <c r="L41" s="40" t="str">
        <f ca="1">IF(AS41="",IFERROR(VLOOKUP(B41,TinhGia!$B$11:$N$80,11,0),""),AS41)</f>
        <v/>
      </c>
      <c r="M41" s="40" t="str">
        <f ca="1">IF(AT41="",IFERROR(VLOOKUP(B41,TinhGia!$B$11:$N$80,12,0),""),AT41)</f>
        <v/>
      </c>
      <c r="N41" s="41">
        <f t="shared" ca="1" si="5"/>
        <v>0</v>
      </c>
      <c r="O41" s="197"/>
      <c r="P41" s="198"/>
      <c r="Q41" s="703" t="str">
        <f>IF($P41="","","ĐNSX"&amp; IF(LEN($P41)=1,"0" &amp; $P41,$P41) &amp; "/" &amp; ThongTinChung!$C$5)</f>
        <v/>
      </c>
      <c r="R41" s="100" t="str">
        <f t="shared" ca="1" si="0"/>
        <v/>
      </c>
      <c r="S41" s="194" t="str">
        <f>IF($B41="","","C" &amp; ROW(MauKoXoa!$C$108) &amp; ":C" &amp;ROW(MauKoXoa!$C$174))</f>
        <v/>
      </c>
      <c r="T41" s="198" t="str">
        <f t="shared" ca="1" si="6"/>
        <v/>
      </c>
      <c r="U41" s="198" t="str">
        <f t="shared" ca="1" si="7"/>
        <v/>
      </c>
      <c r="V41" s="650" t="str">
        <f ca="1">IF(COUNTIF($V$10:$V40,IFERROR(INDEX(DanhMuc!$J$154:$J$165,MATCH($T41,DanhMuc!$B$154:$B$165,0)),""))&lt;1,IFERROR(INDEX(DanhMuc!$J$154:$J$165,MATCH($T41,DanhMuc!$B$154:$B$165,0)),""),"")</f>
        <v/>
      </c>
      <c r="W41" s="650" t="str">
        <f ca="1">IF(COUNTIF($W$10:$W40,IFERROR(INDEX(DanhMuc!$D$168:$D$177,MATCH($U41,DanhMuc!$C$168:$C$177,0)),""))&lt;1,IFERROR(INDEX(DanhMuc!$D$168:$D$177,MATCH($U41,DanhMuc!$C$168:$C$177,0)),""),"")</f>
        <v/>
      </c>
      <c r="X41" s="650" t="str">
        <f ca="1">IFERROR(INDEX(DanhMuc!$K$154:$K$165,MATCH($T41,DanhMuc!$B$154:$B$165,0)),"")</f>
        <v/>
      </c>
      <c r="Y41" s="653" t="str">
        <f t="shared" ca="1" si="8"/>
        <v/>
      </c>
      <c r="Z41" s="653" t="str">
        <f t="shared" ca="1" si="9"/>
        <v/>
      </c>
      <c r="AA41" s="757">
        <f t="shared" ca="1" si="10"/>
        <v>0</v>
      </c>
      <c r="AB41" s="757">
        <f t="shared" ca="1" si="10"/>
        <v>0</v>
      </c>
      <c r="AC41" s="757">
        <f t="shared" ca="1" si="10"/>
        <v>0</v>
      </c>
      <c r="AD41" s="757">
        <f t="shared" ca="1" si="10"/>
        <v>0</v>
      </c>
      <c r="AE41" s="757">
        <f t="shared" ca="1" si="10"/>
        <v>0</v>
      </c>
      <c r="AF41" s="757">
        <f t="shared" ca="1" si="10"/>
        <v>0</v>
      </c>
      <c r="AG41" s="198"/>
      <c r="AH41" s="1079" t="s">
        <v>3365</v>
      </c>
      <c r="AI41" s="1080"/>
      <c r="AJ41" s="1080"/>
      <c r="AK41" s="1081" t="s">
        <v>3365</v>
      </c>
      <c r="AL41" s="1081" t="s">
        <v>3365</v>
      </c>
      <c r="AM41" s="1081" t="s">
        <v>3365</v>
      </c>
      <c r="AN41" s="1081" t="s">
        <v>3365</v>
      </c>
      <c r="AO41" s="1083">
        <v>0</v>
      </c>
      <c r="AP41" s="1083" t="s">
        <v>3365</v>
      </c>
      <c r="AQ41" s="1084"/>
      <c r="AR41" s="1085"/>
      <c r="AS41" s="1086" t="s">
        <v>3365</v>
      </c>
      <c r="AT41" s="1086"/>
      <c r="AU41" s="1087"/>
    </row>
    <row r="42" spans="1:47" s="42" customFormat="1" ht="19.899999999999999" customHeight="1">
      <c r="A42" s="37" t="str">
        <f>IF(B42="","",MAX($A$10:A41)+1)</f>
        <v/>
      </c>
      <c r="B42" s="718"/>
      <c r="C42" s="643">
        <f ca="1">IFERROR(VLOOKUP(A42,TinhGia!$B$11:$N$80,2,0),"")</f>
        <v>0</v>
      </c>
      <c r="D42" s="643" t="str">
        <f ca="1">IF(AK42="",IFERROR(VLOOKUP(B42,TinhGia!$B$11:$N$80,3,0),""),AK42)</f>
        <v/>
      </c>
      <c r="E42" s="203" t="str">
        <f ca="1">IF(AL42="",IFERROR(VLOOKUP(B42,TinhGia!$B$11:$N$80,4,0),""),AL42)</f>
        <v/>
      </c>
      <c r="F42" s="203" t="str">
        <f ca="1">IF(AM42="",IFERROR(VLOOKUP(B42,TinhGia!$B$11:$N$80,5,0),""),AM42)</f>
        <v/>
      </c>
      <c r="G42" s="203" t="str">
        <f ca="1">IF(AN42="",IFERROR(VLOOKUP(B42,TinhGia!$B$11:$N$80,6,0),""),AN42)</f>
        <v/>
      </c>
      <c r="H42" s="1136">
        <f t="shared" ca="1" si="2"/>
        <v>0</v>
      </c>
      <c r="I42" s="38" t="str">
        <f ca="1">IF(AP42="",IFERROR(VLOOKUP(B42,TinhGia!$B$11:$N$80,8,0),""),AP42)</f>
        <v/>
      </c>
      <c r="J42" s="39">
        <f t="shared" ca="1" si="3"/>
        <v>0</v>
      </c>
      <c r="K42" s="1200">
        <f t="shared" ca="1" si="4"/>
        <v>0</v>
      </c>
      <c r="L42" s="40" t="str">
        <f ca="1">IF(AS42="",IFERROR(VLOOKUP(B42,TinhGia!$B$11:$N$80,11,0),""),AS42)</f>
        <v/>
      </c>
      <c r="M42" s="40" t="str">
        <f ca="1">IF(AT42="",IFERROR(VLOOKUP(B42,TinhGia!$B$11:$N$80,12,0),""),AT42)</f>
        <v/>
      </c>
      <c r="N42" s="41">
        <f t="shared" ca="1" si="5"/>
        <v>0</v>
      </c>
      <c r="O42" s="197"/>
      <c r="P42" s="198"/>
      <c r="Q42" s="703" t="str">
        <f>IF($P42="","","ĐNSX"&amp; IF(LEN($P42)=1,"0" &amp; $P42,$P42) &amp; "/" &amp; ThongTinChung!$C$5)</f>
        <v/>
      </c>
      <c r="R42" s="100" t="str">
        <f t="shared" ca="1" si="0"/>
        <v/>
      </c>
      <c r="S42" s="194" t="str">
        <f>IF($B42="","","C" &amp; ROW(MauKoXoa!$C$108) &amp; ":C" &amp;ROW(MauKoXoa!$C$174))</f>
        <v/>
      </c>
      <c r="T42" s="198" t="str">
        <f t="shared" ca="1" si="6"/>
        <v/>
      </c>
      <c r="U42" s="198" t="str">
        <f t="shared" ca="1" si="7"/>
        <v/>
      </c>
      <c r="V42" s="650" t="str">
        <f ca="1">IF(COUNTIF($V$10:$V41,IFERROR(INDEX(DanhMuc!$J$154:$J$165,MATCH($T42,DanhMuc!$B$154:$B$165,0)),""))&lt;1,IFERROR(INDEX(DanhMuc!$J$154:$J$165,MATCH($T42,DanhMuc!$B$154:$B$165,0)),""),"")</f>
        <v/>
      </c>
      <c r="W42" s="650" t="str">
        <f ca="1">IF(COUNTIF($W$10:$W41,IFERROR(INDEX(DanhMuc!$D$168:$D$177,MATCH($U42,DanhMuc!$C$168:$C$177,0)),""))&lt;1,IFERROR(INDEX(DanhMuc!$D$168:$D$177,MATCH($U42,DanhMuc!$C$168:$C$177,0)),""),"")</f>
        <v/>
      </c>
      <c r="X42" s="650" t="str">
        <f ca="1">IFERROR(INDEX(DanhMuc!$K$154:$K$165,MATCH($T42,DanhMuc!$B$154:$B$165,0)),"")</f>
        <v/>
      </c>
      <c r="Y42" s="653" t="str">
        <f t="shared" ca="1" si="8"/>
        <v/>
      </c>
      <c r="Z42" s="653" t="str">
        <f t="shared" ca="1" si="9"/>
        <v/>
      </c>
      <c r="AA42" s="757">
        <f t="shared" ca="1" si="10"/>
        <v>0</v>
      </c>
      <c r="AB42" s="757">
        <f t="shared" ca="1" si="10"/>
        <v>0</v>
      </c>
      <c r="AC42" s="757">
        <f t="shared" ca="1" si="10"/>
        <v>0</v>
      </c>
      <c r="AD42" s="757">
        <f t="shared" ca="1" si="10"/>
        <v>0</v>
      </c>
      <c r="AE42" s="757">
        <f t="shared" ca="1" si="10"/>
        <v>0</v>
      </c>
      <c r="AF42" s="757">
        <f t="shared" ca="1" si="10"/>
        <v>0</v>
      </c>
      <c r="AG42" s="198"/>
      <c r="AH42" s="1079" t="s">
        <v>3365</v>
      </c>
      <c r="AI42" s="1080"/>
      <c r="AJ42" s="1080"/>
      <c r="AK42" s="1081" t="s">
        <v>3365</v>
      </c>
      <c r="AL42" s="1081" t="s">
        <v>3365</v>
      </c>
      <c r="AM42" s="1081" t="s">
        <v>3365</v>
      </c>
      <c r="AN42" s="1081" t="s">
        <v>3365</v>
      </c>
      <c r="AO42" s="1083">
        <v>0</v>
      </c>
      <c r="AP42" s="1083" t="s">
        <v>3365</v>
      </c>
      <c r="AQ42" s="1084"/>
      <c r="AR42" s="1085"/>
      <c r="AS42" s="1086" t="s">
        <v>3365</v>
      </c>
      <c r="AT42" s="1086"/>
      <c r="AU42" s="1087"/>
    </row>
    <row r="43" spans="1:47" s="42" customFormat="1" ht="19.899999999999999" customHeight="1">
      <c r="A43" s="37" t="str">
        <f>IF(B43="","",MAX($A$10:A42)+1)</f>
        <v/>
      </c>
      <c r="B43" s="718"/>
      <c r="C43" s="643">
        <f ca="1">IFERROR(VLOOKUP(A43,TinhGia!$B$11:$N$80,2,0),"")</f>
        <v>0</v>
      </c>
      <c r="D43" s="643" t="str">
        <f ca="1">IF(AK43="",IFERROR(VLOOKUP(B43,TinhGia!$B$11:$N$80,3,0),""),AK43)</f>
        <v/>
      </c>
      <c r="E43" s="203" t="str">
        <f ca="1">IF(AL43="",IFERROR(VLOOKUP(B43,TinhGia!$B$11:$N$80,4,0),""),AL43)</f>
        <v/>
      </c>
      <c r="F43" s="203" t="str">
        <f ca="1">IF(AM43="",IFERROR(VLOOKUP(B43,TinhGia!$B$11:$N$80,5,0),""),AM43)</f>
        <v/>
      </c>
      <c r="G43" s="203" t="str">
        <f ca="1">IF(AN43="",IFERROR(VLOOKUP(B43,TinhGia!$B$11:$N$80,6,0),""),AN43)</f>
        <v/>
      </c>
      <c r="H43" s="1136">
        <f t="shared" ca="1" si="2"/>
        <v>0</v>
      </c>
      <c r="I43" s="38" t="str">
        <f ca="1">IF(AP43="",IFERROR(VLOOKUP(B43,TinhGia!$B$11:$N$80,8,0),""),AP43)</f>
        <v/>
      </c>
      <c r="J43" s="39">
        <f t="shared" ca="1" si="3"/>
        <v>0</v>
      </c>
      <c r="K43" s="1200">
        <f t="shared" ca="1" si="4"/>
        <v>0</v>
      </c>
      <c r="L43" s="40" t="str">
        <f ca="1">IF(AS43="",IFERROR(VLOOKUP(B43,TinhGia!$B$11:$N$80,11,0),""),AS43)</f>
        <v/>
      </c>
      <c r="M43" s="40" t="str">
        <f ca="1">IF(AT43="",IFERROR(VLOOKUP(B43,TinhGia!$B$11:$N$80,12,0),""),AT43)</f>
        <v/>
      </c>
      <c r="N43" s="41">
        <f t="shared" ca="1" si="5"/>
        <v>0</v>
      </c>
      <c r="O43" s="197"/>
      <c r="P43" s="198"/>
      <c r="Q43" s="703" t="str">
        <f>IF($P43="","","ĐNSX"&amp; IF(LEN($P43)=1,"0" &amp; $P43,$P43) &amp; "/" &amp; ThongTinChung!$C$5)</f>
        <v/>
      </c>
      <c r="R43" s="100" t="str">
        <f t="shared" ref="R43:R74" ca="1" si="11">IF(B43="","",COUNTA(INDIRECT("'" &amp; $B43 &amp; "'!" &amp; S43)) - COUNTBLANK(INDIRECT("'" &amp; $B43 &amp; "'!" &amp; S43)))</f>
        <v/>
      </c>
      <c r="S43" s="194" t="str">
        <f>IF($B43="","","C" &amp; ROW(MauKoXoa!$C$108) &amp; ":C" &amp;ROW(MauKoXoa!$C$174))</f>
        <v/>
      </c>
      <c r="T43" s="198" t="str">
        <f t="shared" ca="1" si="6"/>
        <v/>
      </c>
      <c r="U43" s="198" t="str">
        <f t="shared" ca="1" si="7"/>
        <v/>
      </c>
      <c r="V43" s="650" t="str">
        <f ca="1">IF(COUNTIF($V$10:$V42,IFERROR(INDEX(DanhMuc!$J$154:$J$165,MATCH($T43,DanhMuc!$B$154:$B$165,0)),""))&lt;1,IFERROR(INDEX(DanhMuc!$J$154:$J$165,MATCH($T43,DanhMuc!$B$154:$B$165,0)),""),"")</f>
        <v/>
      </c>
      <c r="W43" s="650" t="str">
        <f ca="1">IF(COUNTIF($W$10:$W42,IFERROR(INDEX(DanhMuc!$D$168:$D$177,MATCH($U43,DanhMuc!$C$168:$C$177,0)),""))&lt;1,IFERROR(INDEX(DanhMuc!$D$168:$D$177,MATCH($U43,DanhMuc!$C$168:$C$177,0)),""),"")</f>
        <v/>
      </c>
      <c r="X43" s="650" t="str">
        <f ca="1">IFERROR(INDEX(DanhMuc!$K$154:$K$165,MATCH($T43,DanhMuc!$B$154:$B$165,0)),"")</f>
        <v/>
      </c>
      <c r="Y43" s="653" t="str">
        <f t="shared" ca="1" si="8"/>
        <v/>
      </c>
      <c r="Z43" s="653" t="str">
        <f t="shared" ca="1" si="9"/>
        <v/>
      </c>
      <c r="AA43" s="757">
        <f t="shared" ref="AA43:AF58" ca="1" si="12">IFERROR(INDIRECT("'" &amp; $B43 &amp; "'!" &amp; AA$82),0)</f>
        <v>0</v>
      </c>
      <c r="AB43" s="757">
        <f t="shared" ca="1" si="12"/>
        <v>0</v>
      </c>
      <c r="AC43" s="757">
        <f t="shared" ca="1" si="12"/>
        <v>0</v>
      </c>
      <c r="AD43" s="757">
        <f t="shared" ca="1" si="12"/>
        <v>0</v>
      </c>
      <c r="AE43" s="757">
        <f t="shared" ca="1" si="12"/>
        <v>0</v>
      </c>
      <c r="AF43" s="757">
        <f t="shared" ca="1" si="12"/>
        <v>0</v>
      </c>
      <c r="AG43" s="198"/>
      <c r="AH43" s="1079" t="s">
        <v>3365</v>
      </c>
      <c r="AI43" s="1080"/>
      <c r="AJ43" s="1080"/>
      <c r="AK43" s="1081" t="s">
        <v>3365</v>
      </c>
      <c r="AL43" s="1081" t="s">
        <v>3365</v>
      </c>
      <c r="AM43" s="1081" t="s">
        <v>3365</v>
      </c>
      <c r="AN43" s="1081" t="s">
        <v>3365</v>
      </c>
      <c r="AO43" s="1083">
        <v>0</v>
      </c>
      <c r="AP43" s="1083" t="s">
        <v>3365</v>
      </c>
      <c r="AQ43" s="1084"/>
      <c r="AR43" s="1085"/>
      <c r="AS43" s="1086" t="s">
        <v>3365</v>
      </c>
      <c r="AT43" s="1086"/>
      <c r="AU43" s="1087"/>
    </row>
    <row r="44" spans="1:47" s="42" customFormat="1" ht="19.899999999999999" customHeight="1">
      <c r="A44" s="37" t="str">
        <f>IF(B44="","",MAX($A$10:A43)+1)</f>
        <v/>
      </c>
      <c r="B44" s="718"/>
      <c r="C44" s="643">
        <f ca="1">IFERROR(VLOOKUP(A44,TinhGia!$B$11:$N$80,2,0),"")</f>
        <v>0</v>
      </c>
      <c r="D44" s="643" t="str">
        <f ca="1">IF(AK44="",IFERROR(VLOOKUP(B44,TinhGia!$B$11:$N$80,3,0),""),AK44)</f>
        <v/>
      </c>
      <c r="E44" s="203" t="str">
        <f ca="1">IF(AL44="",IFERROR(VLOOKUP(B44,TinhGia!$B$11:$N$80,4,0),""),AL44)</f>
        <v/>
      </c>
      <c r="F44" s="203" t="str">
        <f ca="1">IF(AM44="",IFERROR(VLOOKUP(B44,TinhGia!$B$11:$N$80,5,0),""),AM44)</f>
        <v/>
      </c>
      <c r="G44" s="203" t="str">
        <f ca="1">IF(AN44="",IFERROR(VLOOKUP(B44,TinhGia!$B$11:$N$80,6,0),""),AN44)</f>
        <v/>
      </c>
      <c r="H44" s="1136">
        <f t="shared" ca="1" si="2"/>
        <v>0</v>
      </c>
      <c r="I44" s="38" t="str">
        <f ca="1">IF(AP44="",IFERROR(VLOOKUP(B44,TinhGia!$B$11:$N$80,8,0),""),AP44)</f>
        <v/>
      </c>
      <c r="J44" s="39">
        <f t="shared" ca="1" si="3"/>
        <v>0</v>
      </c>
      <c r="K44" s="1200">
        <f t="shared" ca="1" si="4"/>
        <v>0</v>
      </c>
      <c r="L44" s="40" t="str">
        <f ca="1">IF(AS44="",IFERROR(VLOOKUP(B44,TinhGia!$B$11:$N$80,11,0),""),AS44)</f>
        <v/>
      </c>
      <c r="M44" s="40" t="str">
        <f ca="1">IF(AT44="",IFERROR(VLOOKUP(B44,TinhGia!$B$11:$N$80,12,0),""),AT44)</f>
        <v/>
      </c>
      <c r="N44" s="41">
        <f t="shared" ca="1" si="5"/>
        <v>0</v>
      </c>
      <c r="O44" s="197"/>
      <c r="P44" s="198"/>
      <c r="Q44" s="703" t="str">
        <f>IF($P44="","","ĐNSX"&amp; IF(LEN($P44)=1,"0" &amp; $P44,$P44) &amp; "/" &amp; ThongTinChung!$C$5)</f>
        <v/>
      </c>
      <c r="R44" s="100" t="str">
        <f t="shared" ca="1" si="11"/>
        <v/>
      </c>
      <c r="S44" s="194" t="str">
        <f>IF($B44="","","C" &amp; ROW(MauKoXoa!$C$108) &amp; ":C" &amp;ROW(MauKoXoa!$C$174))</f>
        <v/>
      </c>
      <c r="T44" s="198" t="str">
        <f t="shared" ca="1" si="6"/>
        <v/>
      </c>
      <c r="U44" s="198" t="str">
        <f t="shared" ca="1" si="7"/>
        <v/>
      </c>
      <c r="V44" s="650" t="str">
        <f ca="1">IF(COUNTIF($V$10:$V43,IFERROR(INDEX(DanhMuc!$J$154:$J$165,MATCH($T44,DanhMuc!$B$154:$B$165,0)),""))&lt;1,IFERROR(INDEX(DanhMuc!$J$154:$J$165,MATCH($T44,DanhMuc!$B$154:$B$165,0)),""),"")</f>
        <v/>
      </c>
      <c r="W44" s="650" t="str">
        <f ca="1">IF(COUNTIF($W$10:$W43,IFERROR(INDEX(DanhMuc!$D$168:$D$177,MATCH($U44,DanhMuc!$C$168:$C$177,0)),""))&lt;1,IFERROR(INDEX(DanhMuc!$D$168:$D$177,MATCH($U44,DanhMuc!$C$168:$C$177,0)),""),"")</f>
        <v/>
      </c>
      <c r="X44" s="650" t="str">
        <f ca="1">IFERROR(INDEX(DanhMuc!$K$154:$K$165,MATCH($T44,DanhMuc!$B$154:$B$165,0)),"")</f>
        <v/>
      </c>
      <c r="Y44" s="653" t="str">
        <f t="shared" ca="1" si="8"/>
        <v/>
      </c>
      <c r="Z44" s="653" t="str">
        <f t="shared" ca="1" si="9"/>
        <v/>
      </c>
      <c r="AA44" s="757">
        <f t="shared" ca="1" si="12"/>
        <v>0</v>
      </c>
      <c r="AB44" s="757">
        <f t="shared" ca="1" si="12"/>
        <v>0</v>
      </c>
      <c r="AC44" s="757">
        <f t="shared" ca="1" si="12"/>
        <v>0</v>
      </c>
      <c r="AD44" s="757">
        <f t="shared" ca="1" si="12"/>
        <v>0</v>
      </c>
      <c r="AE44" s="757">
        <f t="shared" ca="1" si="12"/>
        <v>0</v>
      </c>
      <c r="AF44" s="757">
        <f t="shared" ca="1" si="12"/>
        <v>0</v>
      </c>
      <c r="AG44" s="198"/>
      <c r="AH44" s="1079" t="s">
        <v>3365</v>
      </c>
      <c r="AI44" s="1080"/>
      <c r="AJ44" s="1080"/>
      <c r="AK44" s="1081" t="s">
        <v>3365</v>
      </c>
      <c r="AL44" s="1081" t="s">
        <v>3365</v>
      </c>
      <c r="AM44" s="1081" t="s">
        <v>3365</v>
      </c>
      <c r="AN44" s="1081" t="s">
        <v>3365</v>
      </c>
      <c r="AO44" s="1083">
        <v>0</v>
      </c>
      <c r="AP44" s="1083" t="s">
        <v>3365</v>
      </c>
      <c r="AQ44" s="1084"/>
      <c r="AR44" s="1085"/>
      <c r="AS44" s="1086" t="s">
        <v>3365</v>
      </c>
      <c r="AT44" s="1086"/>
      <c r="AU44" s="1087"/>
    </row>
    <row r="45" spans="1:47" s="42" customFormat="1" ht="19.899999999999999" customHeight="1">
      <c r="A45" s="37" t="str">
        <f>IF(B45="","",MAX($A$10:A44)+1)</f>
        <v/>
      </c>
      <c r="B45" s="718"/>
      <c r="C45" s="643">
        <f ca="1">IFERROR(VLOOKUP(A45,TinhGia!$B$11:$N$80,2,0),"")</f>
        <v>0</v>
      </c>
      <c r="D45" s="643" t="str">
        <f ca="1">IF(AK45="",IFERROR(VLOOKUP(B45,TinhGia!$B$11:$N$80,3,0),""),AK45)</f>
        <v/>
      </c>
      <c r="E45" s="203" t="str">
        <f ca="1">IF(AL45="",IFERROR(VLOOKUP(B45,TinhGia!$B$11:$N$80,4,0),""),AL45)</f>
        <v/>
      </c>
      <c r="F45" s="203" t="str">
        <f ca="1">IF(AM45="",IFERROR(VLOOKUP(B45,TinhGia!$B$11:$N$80,5,0),""),AM45)</f>
        <v/>
      </c>
      <c r="G45" s="203" t="str">
        <f ca="1">IF(AN45="",IFERROR(VLOOKUP(B45,TinhGia!$B$11:$N$80,6,0),""),AN45)</f>
        <v/>
      </c>
      <c r="H45" s="1136">
        <f t="shared" ca="1" si="2"/>
        <v>0</v>
      </c>
      <c r="I45" s="38" t="str">
        <f ca="1">IF(AP45="",IFERROR(VLOOKUP(B45,TinhGia!$B$11:$N$80,8,0),""),AP45)</f>
        <v/>
      </c>
      <c r="J45" s="39">
        <f t="shared" ca="1" si="3"/>
        <v>0</v>
      </c>
      <c r="K45" s="1200">
        <f t="shared" ca="1" si="4"/>
        <v>0</v>
      </c>
      <c r="L45" s="40" t="str">
        <f ca="1">IF(AS45="",IFERROR(VLOOKUP(B45,TinhGia!$B$11:$N$80,11,0),""),AS45)</f>
        <v/>
      </c>
      <c r="M45" s="40" t="str">
        <f ca="1">IF(AT45="",IFERROR(VLOOKUP(B45,TinhGia!$B$11:$N$80,12,0),""),AT45)</f>
        <v/>
      </c>
      <c r="N45" s="41">
        <f t="shared" ca="1" si="5"/>
        <v>0</v>
      </c>
      <c r="O45" s="197"/>
      <c r="P45" s="198"/>
      <c r="Q45" s="703" t="str">
        <f>IF($P45="","","ĐNSX"&amp; IF(LEN($P45)=1,"0" &amp; $P45,$P45) &amp; "/" &amp; ThongTinChung!$C$5)</f>
        <v/>
      </c>
      <c r="R45" s="100" t="str">
        <f t="shared" ca="1" si="11"/>
        <v/>
      </c>
      <c r="S45" s="194" t="str">
        <f>IF($B45="","","C" &amp; ROW(MauKoXoa!$C$108) &amp; ":C" &amp;ROW(MauKoXoa!$C$174))</f>
        <v/>
      </c>
      <c r="T45" s="198" t="str">
        <f t="shared" ca="1" si="6"/>
        <v/>
      </c>
      <c r="U45" s="198" t="str">
        <f t="shared" ca="1" si="7"/>
        <v/>
      </c>
      <c r="V45" s="650" t="str">
        <f ca="1">IF(COUNTIF($V$10:$V44,IFERROR(INDEX(DanhMuc!$J$154:$J$165,MATCH($T45,DanhMuc!$B$154:$B$165,0)),""))&lt;1,IFERROR(INDEX(DanhMuc!$J$154:$J$165,MATCH($T45,DanhMuc!$B$154:$B$165,0)),""),"")</f>
        <v/>
      </c>
      <c r="W45" s="650" t="str">
        <f ca="1">IF(COUNTIF($W$10:$W44,IFERROR(INDEX(DanhMuc!$D$168:$D$177,MATCH($U45,DanhMuc!$C$168:$C$177,0)),""))&lt;1,IFERROR(INDEX(DanhMuc!$D$168:$D$177,MATCH($U45,DanhMuc!$C$168:$C$177,0)),""),"")</f>
        <v/>
      </c>
      <c r="X45" s="650" t="str">
        <f ca="1">IFERROR(INDEX(DanhMuc!$K$154:$K$165,MATCH($T45,DanhMuc!$B$154:$B$165,0)),"")</f>
        <v/>
      </c>
      <c r="Y45" s="653" t="str">
        <f t="shared" ca="1" si="8"/>
        <v/>
      </c>
      <c r="Z45" s="653" t="str">
        <f t="shared" ca="1" si="9"/>
        <v/>
      </c>
      <c r="AA45" s="757">
        <f t="shared" ca="1" si="12"/>
        <v>0</v>
      </c>
      <c r="AB45" s="757">
        <f t="shared" ca="1" si="12"/>
        <v>0</v>
      </c>
      <c r="AC45" s="757">
        <f t="shared" ca="1" si="12"/>
        <v>0</v>
      </c>
      <c r="AD45" s="757">
        <f t="shared" ca="1" si="12"/>
        <v>0</v>
      </c>
      <c r="AE45" s="757">
        <f t="shared" ca="1" si="12"/>
        <v>0</v>
      </c>
      <c r="AF45" s="757">
        <f t="shared" ca="1" si="12"/>
        <v>0</v>
      </c>
      <c r="AG45" s="198"/>
      <c r="AH45" s="1079" t="s">
        <v>3365</v>
      </c>
      <c r="AI45" s="1080"/>
      <c r="AJ45" s="1080"/>
      <c r="AK45" s="1081" t="s">
        <v>3365</v>
      </c>
      <c r="AL45" s="1081" t="s">
        <v>3365</v>
      </c>
      <c r="AM45" s="1081" t="s">
        <v>3365</v>
      </c>
      <c r="AN45" s="1081" t="s">
        <v>3365</v>
      </c>
      <c r="AO45" s="1083">
        <v>0</v>
      </c>
      <c r="AP45" s="1083" t="s">
        <v>3365</v>
      </c>
      <c r="AQ45" s="1084"/>
      <c r="AR45" s="1085"/>
      <c r="AS45" s="1086" t="s">
        <v>3365</v>
      </c>
      <c r="AT45" s="1086"/>
      <c r="AU45" s="1087"/>
    </row>
    <row r="46" spans="1:47" s="42" customFormat="1" ht="19.899999999999999" customHeight="1">
      <c r="A46" s="37" t="str">
        <f>IF(B46="","",MAX($A$10:A45)+1)</f>
        <v/>
      </c>
      <c r="B46" s="718"/>
      <c r="C46" s="643">
        <f ca="1">IFERROR(VLOOKUP(A46,TinhGia!$B$11:$N$80,2,0),"")</f>
        <v>0</v>
      </c>
      <c r="D46" s="643" t="str">
        <f ca="1">IF(AK46="",IFERROR(VLOOKUP(B46,TinhGia!$B$11:$N$80,3,0),""),AK46)</f>
        <v/>
      </c>
      <c r="E46" s="203" t="str">
        <f ca="1">IF(AL46="",IFERROR(VLOOKUP(B46,TinhGia!$B$11:$N$80,4,0),""),AL46)</f>
        <v/>
      </c>
      <c r="F46" s="203" t="str">
        <f ca="1">IF(AM46="",IFERROR(VLOOKUP(B46,TinhGia!$B$11:$N$80,5,0),""),AM46)</f>
        <v/>
      </c>
      <c r="G46" s="203" t="str">
        <f ca="1">IF(AN46="",IFERROR(VLOOKUP(B46,TinhGia!$B$11:$N$80,6,0),""),AN46)</f>
        <v/>
      </c>
      <c r="H46" s="1136">
        <f t="shared" ca="1" si="2"/>
        <v>0</v>
      </c>
      <c r="I46" s="38" t="str">
        <f ca="1">IF(AP46="",IFERROR(VLOOKUP(B46,TinhGia!$B$11:$N$80,8,0),""),AP46)</f>
        <v/>
      </c>
      <c r="J46" s="39">
        <f t="shared" ca="1" si="3"/>
        <v>0</v>
      </c>
      <c r="K46" s="1200">
        <f t="shared" ca="1" si="4"/>
        <v>0</v>
      </c>
      <c r="L46" s="40" t="str">
        <f ca="1">IF(AS46="",IFERROR(VLOOKUP(B46,TinhGia!$B$11:$N$80,11,0),""),AS46)</f>
        <v/>
      </c>
      <c r="M46" s="40" t="str">
        <f ca="1">IF(AT46="",IFERROR(VLOOKUP(B46,TinhGia!$B$11:$N$80,12,0),""),AT46)</f>
        <v/>
      </c>
      <c r="N46" s="41">
        <f t="shared" ca="1" si="5"/>
        <v>0</v>
      </c>
      <c r="O46" s="197"/>
      <c r="P46" s="198"/>
      <c r="Q46" s="703" t="str">
        <f>IF($P46="","","ĐNSX"&amp; IF(LEN($P46)=1,"0" &amp; $P46,$P46) &amp; "/" &amp; ThongTinChung!$C$5)</f>
        <v/>
      </c>
      <c r="R46" s="100" t="str">
        <f t="shared" ca="1" si="11"/>
        <v/>
      </c>
      <c r="S46" s="194" t="str">
        <f>IF($B46="","","C" &amp; ROW(MauKoXoa!$C$108) &amp; ":C" &amp;ROW(MauKoXoa!$C$174))</f>
        <v/>
      </c>
      <c r="T46" s="198" t="str">
        <f t="shared" ca="1" si="6"/>
        <v/>
      </c>
      <c r="U46" s="198" t="str">
        <f t="shared" ca="1" si="7"/>
        <v/>
      </c>
      <c r="V46" s="650" t="str">
        <f ca="1">IF(COUNTIF($V$10:$V45,IFERROR(INDEX(DanhMuc!$J$154:$J$165,MATCH($T46,DanhMuc!$B$154:$B$165,0)),""))&lt;1,IFERROR(INDEX(DanhMuc!$J$154:$J$165,MATCH($T46,DanhMuc!$B$154:$B$165,0)),""),"")</f>
        <v/>
      </c>
      <c r="W46" s="650" t="str">
        <f ca="1">IF(COUNTIF($W$10:$W45,IFERROR(INDEX(DanhMuc!$D$168:$D$177,MATCH($U46,DanhMuc!$C$168:$C$177,0)),""))&lt;1,IFERROR(INDEX(DanhMuc!$D$168:$D$177,MATCH($U46,DanhMuc!$C$168:$C$177,0)),""),"")</f>
        <v/>
      </c>
      <c r="X46" s="650" t="str">
        <f ca="1">IFERROR(INDEX(DanhMuc!$K$154:$K$165,MATCH($T46,DanhMuc!$B$154:$B$165,0)),"")</f>
        <v/>
      </c>
      <c r="Y46" s="653" t="str">
        <f t="shared" ca="1" si="8"/>
        <v/>
      </c>
      <c r="Z46" s="653" t="str">
        <f t="shared" ca="1" si="9"/>
        <v/>
      </c>
      <c r="AA46" s="757">
        <f t="shared" ca="1" si="12"/>
        <v>0</v>
      </c>
      <c r="AB46" s="757">
        <f t="shared" ca="1" si="12"/>
        <v>0</v>
      </c>
      <c r="AC46" s="757">
        <f t="shared" ca="1" si="12"/>
        <v>0</v>
      </c>
      <c r="AD46" s="757">
        <f t="shared" ca="1" si="12"/>
        <v>0</v>
      </c>
      <c r="AE46" s="757">
        <f t="shared" ca="1" si="12"/>
        <v>0</v>
      </c>
      <c r="AF46" s="757">
        <f t="shared" ca="1" si="12"/>
        <v>0</v>
      </c>
      <c r="AG46" s="198"/>
      <c r="AH46" s="1079" t="s">
        <v>3365</v>
      </c>
      <c r="AI46" s="1080"/>
      <c r="AJ46" s="1080"/>
      <c r="AK46" s="1081" t="s">
        <v>3365</v>
      </c>
      <c r="AL46" s="1081" t="s">
        <v>3365</v>
      </c>
      <c r="AM46" s="1081" t="s">
        <v>3365</v>
      </c>
      <c r="AN46" s="1081" t="s">
        <v>3365</v>
      </c>
      <c r="AO46" s="1083">
        <v>0</v>
      </c>
      <c r="AP46" s="1083" t="s">
        <v>3365</v>
      </c>
      <c r="AQ46" s="1084"/>
      <c r="AR46" s="1085"/>
      <c r="AS46" s="1086" t="s">
        <v>3365</v>
      </c>
      <c r="AT46" s="1086"/>
      <c r="AU46" s="1087"/>
    </row>
    <row r="47" spans="1:47" s="42" customFormat="1" ht="19.899999999999999" customHeight="1">
      <c r="A47" s="37" t="str">
        <f>IF(B47="","",MAX($A$10:A46)+1)</f>
        <v/>
      </c>
      <c r="B47" s="718"/>
      <c r="C47" s="643">
        <f ca="1">IFERROR(VLOOKUP(A47,TinhGia!$B$11:$N$80,2,0),"")</f>
        <v>0</v>
      </c>
      <c r="D47" s="643" t="str">
        <f ca="1">IF(AK47="",IFERROR(VLOOKUP(B47,TinhGia!$B$11:$N$80,3,0),""),AK47)</f>
        <v/>
      </c>
      <c r="E47" s="203" t="str">
        <f ca="1">IF(AL47="",IFERROR(VLOOKUP(B47,TinhGia!$B$11:$N$80,4,0),""),AL47)</f>
        <v/>
      </c>
      <c r="F47" s="203" t="str">
        <f ca="1">IF(AM47="",IFERROR(VLOOKUP(B47,TinhGia!$B$11:$N$80,5,0),""),AM47)</f>
        <v/>
      </c>
      <c r="G47" s="203" t="str">
        <f ca="1">IF(AN47="",IFERROR(VLOOKUP(B47,TinhGia!$B$11:$N$80,6,0),""),AN47)</f>
        <v/>
      </c>
      <c r="H47" s="1136">
        <f t="shared" ca="1" si="2"/>
        <v>0</v>
      </c>
      <c r="I47" s="38" t="str">
        <f ca="1">IF(AP47="",IFERROR(VLOOKUP(B47,TinhGia!$B$11:$N$80,8,0),""),AP47)</f>
        <v/>
      </c>
      <c r="J47" s="39">
        <f t="shared" ca="1" si="3"/>
        <v>0</v>
      </c>
      <c r="K47" s="1200">
        <f t="shared" ca="1" si="4"/>
        <v>0</v>
      </c>
      <c r="L47" s="40" t="str">
        <f ca="1">IF(AS47="",IFERROR(VLOOKUP(B47,TinhGia!$B$11:$N$80,11,0),""),AS47)</f>
        <v/>
      </c>
      <c r="M47" s="40" t="str">
        <f ca="1">IF(AT47="",IFERROR(VLOOKUP(B47,TinhGia!$B$11:$N$80,12,0),""),AT47)</f>
        <v/>
      </c>
      <c r="N47" s="41">
        <f t="shared" ca="1" si="5"/>
        <v>0</v>
      </c>
      <c r="O47" s="197"/>
      <c r="P47" s="198"/>
      <c r="Q47" s="703" t="str">
        <f>IF($P47="","","ĐNSX"&amp; IF(LEN($P47)=1,"0" &amp; $P47,$P47) &amp; "/" &amp; ThongTinChung!$C$5)</f>
        <v/>
      </c>
      <c r="R47" s="100" t="str">
        <f t="shared" ca="1" si="11"/>
        <v/>
      </c>
      <c r="S47" s="194" t="str">
        <f>IF($B47="","","C" &amp; ROW(MauKoXoa!$C$108) &amp; ":C" &amp;ROW(MauKoXoa!$C$174))</f>
        <v/>
      </c>
      <c r="T47" s="198" t="str">
        <f t="shared" ca="1" si="6"/>
        <v/>
      </c>
      <c r="U47" s="198" t="str">
        <f t="shared" ca="1" si="7"/>
        <v/>
      </c>
      <c r="V47" s="650" t="str">
        <f ca="1">IF(COUNTIF($V$10:$V46,IFERROR(INDEX(DanhMuc!$J$154:$J$165,MATCH($T47,DanhMuc!$B$154:$B$165,0)),""))&lt;1,IFERROR(INDEX(DanhMuc!$J$154:$J$165,MATCH($T47,DanhMuc!$B$154:$B$165,0)),""),"")</f>
        <v/>
      </c>
      <c r="W47" s="650" t="str">
        <f ca="1">IF(COUNTIF($W$10:$W46,IFERROR(INDEX(DanhMuc!$D$168:$D$177,MATCH($U47,DanhMuc!$C$168:$C$177,0)),""))&lt;1,IFERROR(INDEX(DanhMuc!$D$168:$D$177,MATCH($U47,DanhMuc!$C$168:$C$177,0)),""),"")</f>
        <v/>
      </c>
      <c r="X47" s="650" t="str">
        <f ca="1">IFERROR(INDEX(DanhMuc!$K$154:$K$165,MATCH($T47,DanhMuc!$B$154:$B$165,0)),"")</f>
        <v/>
      </c>
      <c r="Y47" s="653" t="str">
        <f t="shared" ca="1" si="8"/>
        <v/>
      </c>
      <c r="Z47" s="653" t="str">
        <f t="shared" ca="1" si="9"/>
        <v/>
      </c>
      <c r="AA47" s="757">
        <f t="shared" ca="1" si="12"/>
        <v>0</v>
      </c>
      <c r="AB47" s="757">
        <f t="shared" ca="1" si="12"/>
        <v>0</v>
      </c>
      <c r="AC47" s="757">
        <f t="shared" ca="1" si="12"/>
        <v>0</v>
      </c>
      <c r="AD47" s="757">
        <f t="shared" ca="1" si="12"/>
        <v>0</v>
      </c>
      <c r="AE47" s="757">
        <f t="shared" ca="1" si="12"/>
        <v>0</v>
      </c>
      <c r="AF47" s="757">
        <f t="shared" ca="1" si="12"/>
        <v>0</v>
      </c>
      <c r="AG47" s="198"/>
      <c r="AH47" s="1079" t="s">
        <v>3365</v>
      </c>
      <c r="AI47" s="1080"/>
      <c r="AJ47" s="1080"/>
      <c r="AK47" s="1081" t="s">
        <v>3365</v>
      </c>
      <c r="AL47" s="1081" t="s">
        <v>3365</v>
      </c>
      <c r="AM47" s="1081" t="s">
        <v>3365</v>
      </c>
      <c r="AN47" s="1081" t="s">
        <v>3365</v>
      </c>
      <c r="AO47" s="1083">
        <v>0</v>
      </c>
      <c r="AP47" s="1083" t="s">
        <v>3365</v>
      </c>
      <c r="AQ47" s="1084"/>
      <c r="AR47" s="1085"/>
      <c r="AS47" s="1086" t="s">
        <v>3365</v>
      </c>
      <c r="AT47" s="1086"/>
      <c r="AU47" s="1087"/>
    </row>
    <row r="48" spans="1:47" s="42" customFormat="1" ht="19.899999999999999" customHeight="1">
      <c r="A48" s="37" t="str">
        <f>IF(B48="","",MAX($A$10:A47)+1)</f>
        <v/>
      </c>
      <c r="B48" s="718"/>
      <c r="C48" s="643">
        <f ca="1">IFERROR(VLOOKUP(A48,TinhGia!$B$11:$N$80,2,0),"")</f>
        <v>0</v>
      </c>
      <c r="D48" s="643" t="str">
        <f ca="1">IF(AK48="",IFERROR(VLOOKUP(B48,TinhGia!$B$11:$N$80,3,0),""),AK48)</f>
        <v/>
      </c>
      <c r="E48" s="203" t="str">
        <f ca="1">IF(AL48="",IFERROR(VLOOKUP(B48,TinhGia!$B$11:$N$80,4,0),""),AL48)</f>
        <v/>
      </c>
      <c r="F48" s="203" t="str">
        <f ca="1">IF(AM48="",IFERROR(VLOOKUP(B48,TinhGia!$B$11:$N$80,5,0),""),AM48)</f>
        <v/>
      </c>
      <c r="G48" s="203" t="str">
        <f ca="1">IF(AN48="",IFERROR(VLOOKUP(B48,TinhGia!$B$11:$N$80,6,0),""),AN48)</f>
        <v/>
      </c>
      <c r="H48" s="1136">
        <f t="shared" ca="1" si="2"/>
        <v>0</v>
      </c>
      <c r="I48" s="38" t="str">
        <f ca="1">IF(AP48="",IFERROR(VLOOKUP(B48,TinhGia!$B$11:$N$80,8,0),""),AP48)</f>
        <v/>
      </c>
      <c r="J48" s="39">
        <f t="shared" ca="1" si="3"/>
        <v>0</v>
      </c>
      <c r="K48" s="1200">
        <f t="shared" ca="1" si="4"/>
        <v>0</v>
      </c>
      <c r="L48" s="40" t="str">
        <f ca="1">IF(AS48="",IFERROR(VLOOKUP(B48,TinhGia!$B$11:$N$80,11,0),""),AS48)</f>
        <v/>
      </c>
      <c r="M48" s="40" t="str">
        <f ca="1">IF(AT48="",IFERROR(VLOOKUP(B48,TinhGia!$B$11:$N$80,12,0),""),AT48)</f>
        <v/>
      </c>
      <c r="N48" s="41">
        <f t="shared" ca="1" si="5"/>
        <v>0</v>
      </c>
      <c r="O48" s="197"/>
      <c r="P48" s="198"/>
      <c r="Q48" s="703" t="str">
        <f>IF($P48="","","ĐNSX"&amp; IF(LEN($P48)=1,"0" &amp; $P48,$P48) &amp; "/" &amp; ThongTinChung!$C$5)</f>
        <v/>
      </c>
      <c r="R48" s="100" t="str">
        <f t="shared" ca="1" si="11"/>
        <v/>
      </c>
      <c r="S48" s="194" t="str">
        <f>IF($B48="","","C" &amp; ROW(MauKoXoa!$C$108) &amp; ":C" &amp;ROW(MauKoXoa!$C$174))</f>
        <v/>
      </c>
      <c r="T48" s="198" t="str">
        <f t="shared" ca="1" si="6"/>
        <v/>
      </c>
      <c r="U48" s="198" t="str">
        <f t="shared" ca="1" si="7"/>
        <v/>
      </c>
      <c r="V48" s="650" t="str">
        <f ca="1">IF(COUNTIF($V$10:$V47,IFERROR(INDEX(DanhMuc!$J$154:$J$165,MATCH($T48,DanhMuc!$B$154:$B$165,0)),""))&lt;1,IFERROR(INDEX(DanhMuc!$J$154:$J$165,MATCH($T48,DanhMuc!$B$154:$B$165,0)),""),"")</f>
        <v/>
      </c>
      <c r="W48" s="650" t="str">
        <f ca="1">IF(COUNTIF($W$10:$W47,IFERROR(INDEX(DanhMuc!$D$168:$D$177,MATCH($U48,DanhMuc!$C$168:$C$177,0)),""))&lt;1,IFERROR(INDEX(DanhMuc!$D$168:$D$177,MATCH($U48,DanhMuc!$C$168:$C$177,0)),""),"")</f>
        <v/>
      </c>
      <c r="X48" s="650" t="str">
        <f ca="1">IFERROR(INDEX(DanhMuc!$K$154:$K$165,MATCH($T48,DanhMuc!$B$154:$B$165,0)),"")</f>
        <v/>
      </c>
      <c r="Y48" s="653" t="str">
        <f t="shared" ca="1" si="8"/>
        <v/>
      </c>
      <c r="Z48" s="653" t="str">
        <f t="shared" ca="1" si="9"/>
        <v/>
      </c>
      <c r="AA48" s="757">
        <f t="shared" ca="1" si="12"/>
        <v>0</v>
      </c>
      <c r="AB48" s="757">
        <f t="shared" ca="1" si="12"/>
        <v>0</v>
      </c>
      <c r="AC48" s="757">
        <f t="shared" ca="1" si="12"/>
        <v>0</v>
      </c>
      <c r="AD48" s="757">
        <f t="shared" ca="1" si="12"/>
        <v>0</v>
      </c>
      <c r="AE48" s="757">
        <f t="shared" ca="1" si="12"/>
        <v>0</v>
      </c>
      <c r="AF48" s="757">
        <f t="shared" ca="1" si="12"/>
        <v>0</v>
      </c>
      <c r="AG48" s="198"/>
      <c r="AH48" s="1079" t="s">
        <v>3365</v>
      </c>
      <c r="AI48" s="1080"/>
      <c r="AJ48" s="1080"/>
      <c r="AK48" s="1081" t="s">
        <v>3365</v>
      </c>
      <c r="AL48" s="1081" t="s">
        <v>3365</v>
      </c>
      <c r="AM48" s="1081" t="s">
        <v>3365</v>
      </c>
      <c r="AN48" s="1081" t="s">
        <v>3365</v>
      </c>
      <c r="AO48" s="1083">
        <v>0</v>
      </c>
      <c r="AP48" s="1083" t="s">
        <v>3365</v>
      </c>
      <c r="AQ48" s="1084"/>
      <c r="AR48" s="1085"/>
      <c r="AS48" s="1086" t="s">
        <v>3365</v>
      </c>
      <c r="AT48" s="1086"/>
      <c r="AU48" s="1087"/>
    </row>
    <row r="49" spans="1:47" s="42" customFormat="1" ht="19.899999999999999" customHeight="1">
      <c r="A49" s="37" t="str">
        <f>IF(B49="","",MAX($A$10:A48)+1)</f>
        <v/>
      </c>
      <c r="B49" s="718"/>
      <c r="C49" s="643">
        <f ca="1">IFERROR(VLOOKUP(A49,TinhGia!$B$11:$N$80,2,0),"")</f>
        <v>0</v>
      </c>
      <c r="D49" s="643" t="str">
        <f ca="1">IF(AK49="",IFERROR(VLOOKUP(B49,TinhGia!$B$11:$N$80,3,0),""),AK49)</f>
        <v/>
      </c>
      <c r="E49" s="203" t="str">
        <f ca="1">IF(AL49="",IFERROR(VLOOKUP(B49,TinhGia!$B$11:$N$80,4,0),""),AL49)</f>
        <v/>
      </c>
      <c r="F49" s="203" t="str">
        <f ca="1">IF(AM49="",IFERROR(VLOOKUP(B49,TinhGia!$B$11:$N$80,5,0),""),AM49)</f>
        <v/>
      </c>
      <c r="G49" s="203" t="str">
        <f ca="1">IF(AN49="",IFERROR(VLOOKUP(B49,TinhGia!$B$11:$N$80,6,0),""),AN49)</f>
        <v/>
      </c>
      <c r="H49" s="1136">
        <f t="shared" ca="1" si="2"/>
        <v>0</v>
      </c>
      <c r="I49" s="38" t="str">
        <f ca="1">IF(AP49="",IFERROR(VLOOKUP(B49,TinhGia!$B$11:$N$80,8,0),""),AP49)</f>
        <v/>
      </c>
      <c r="J49" s="39">
        <f t="shared" ca="1" si="3"/>
        <v>0</v>
      </c>
      <c r="K49" s="1200">
        <f t="shared" ca="1" si="4"/>
        <v>0</v>
      </c>
      <c r="L49" s="40" t="str">
        <f ca="1">IF(AS49="",IFERROR(VLOOKUP(B49,TinhGia!$B$11:$N$80,11,0),""),AS49)</f>
        <v/>
      </c>
      <c r="M49" s="40" t="str">
        <f ca="1">IF(AT49="",IFERROR(VLOOKUP(B49,TinhGia!$B$11:$N$80,12,0),""),AT49)</f>
        <v/>
      </c>
      <c r="N49" s="41">
        <f t="shared" ca="1" si="5"/>
        <v>0</v>
      </c>
      <c r="O49" s="197"/>
      <c r="P49" s="198"/>
      <c r="Q49" s="703" t="str">
        <f>IF($P49="","","ĐNSX"&amp; IF(LEN($P49)=1,"0" &amp; $P49,$P49) &amp; "/" &amp; ThongTinChung!$C$5)</f>
        <v/>
      </c>
      <c r="R49" s="100" t="str">
        <f t="shared" ca="1" si="11"/>
        <v/>
      </c>
      <c r="S49" s="194" t="str">
        <f>IF($B49="","","C" &amp; ROW(MauKoXoa!$C$108) &amp; ":C" &amp;ROW(MauKoXoa!$C$174))</f>
        <v/>
      </c>
      <c r="T49" s="198" t="str">
        <f t="shared" ca="1" si="6"/>
        <v/>
      </c>
      <c r="U49" s="198" t="str">
        <f t="shared" ca="1" si="7"/>
        <v/>
      </c>
      <c r="V49" s="650" t="str">
        <f ca="1">IF(COUNTIF($V$10:$V48,IFERROR(INDEX(DanhMuc!$J$154:$J$165,MATCH($T49,DanhMuc!$B$154:$B$165,0)),""))&lt;1,IFERROR(INDEX(DanhMuc!$J$154:$J$165,MATCH($T49,DanhMuc!$B$154:$B$165,0)),""),"")</f>
        <v/>
      </c>
      <c r="W49" s="650" t="str">
        <f ca="1">IF(COUNTIF($W$10:$W48,IFERROR(INDEX(DanhMuc!$D$168:$D$177,MATCH($U49,DanhMuc!$C$168:$C$177,0)),""))&lt;1,IFERROR(INDEX(DanhMuc!$D$168:$D$177,MATCH($U49,DanhMuc!$C$168:$C$177,0)),""),"")</f>
        <v/>
      </c>
      <c r="X49" s="650" t="str">
        <f ca="1">IFERROR(INDEX(DanhMuc!$K$154:$K$165,MATCH($T49,DanhMuc!$B$154:$B$165,0)),"")</f>
        <v/>
      </c>
      <c r="Y49" s="653" t="str">
        <f t="shared" ca="1" si="8"/>
        <v/>
      </c>
      <c r="Z49" s="653" t="str">
        <f t="shared" ca="1" si="9"/>
        <v/>
      </c>
      <c r="AA49" s="757">
        <f t="shared" ca="1" si="12"/>
        <v>0</v>
      </c>
      <c r="AB49" s="757">
        <f t="shared" ca="1" si="12"/>
        <v>0</v>
      </c>
      <c r="AC49" s="757">
        <f t="shared" ca="1" si="12"/>
        <v>0</v>
      </c>
      <c r="AD49" s="757">
        <f t="shared" ca="1" si="12"/>
        <v>0</v>
      </c>
      <c r="AE49" s="757">
        <f t="shared" ca="1" si="12"/>
        <v>0</v>
      </c>
      <c r="AF49" s="757">
        <f t="shared" ca="1" si="12"/>
        <v>0</v>
      </c>
      <c r="AG49" s="198"/>
      <c r="AH49" s="1079" t="s">
        <v>3365</v>
      </c>
      <c r="AI49" s="1080"/>
      <c r="AJ49" s="1080"/>
      <c r="AK49" s="1081" t="s">
        <v>3365</v>
      </c>
      <c r="AL49" s="1081" t="s">
        <v>3365</v>
      </c>
      <c r="AM49" s="1081" t="s">
        <v>3365</v>
      </c>
      <c r="AN49" s="1081" t="s">
        <v>3365</v>
      </c>
      <c r="AO49" s="1083">
        <v>0</v>
      </c>
      <c r="AP49" s="1083" t="s">
        <v>3365</v>
      </c>
      <c r="AQ49" s="1084"/>
      <c r="AR49" s="1085"/>
      <c r="AS49" s="1086" t="s">
        <v>3365</v>
      </c>
      <c r="AT49" s="1086"/>
      <c r="AU49" s="1087"/>
    </row>
    <row r="50" spans="1:47" s="42" customFormat="1" ht="19.899999999999999" customHeight="1">
      <c r="A50" s="37" t="str">
        <f>IF(B50="","",MAX($A$10:A49)+1)</f>
        <v/>
      </c>
      <c r="B50" s="718"/>
      <c r="C50" s="643">
        <f ca="1">IFERROR(VLOOKUP(A50,TinhGia!$B$11:$N$80,2,0),"")</f>
        <v>0</v>
      </c>
      <c r="D50" s="643" t="str">
        <f ca="1">IF(AK50="",IFERROR(VLOOKUP(B50,TinhGia!$B$11:$N$80,3,0),""),AK50)</f>
        <v/>
      </c>
      <c r="E50" s="203" t="str">
        <f ca="1">IF(AL50="",IFERROR(VLOOKUP(B50,TinhGia!$B$11:$N$80,4,0),""),AL50)</f>
        <v/>
      </c>
      <c r="F50" s="203" t="str">
        <f ca="1">IF(AM50="",IFERROR(VLOOKUP(B50,TinhGia!$B$11:$N$80,5,0),""),AM50)</f>
        <v/>
      </c>
      <c r="G50" s="203" t="str">
        <f ca="1">IF(AN50="",IFERROR(VLOOKUP(B50,TinhGia!$B$11:$N$80,6,0),""),AN50)</f>
        <v/>
      </c>
      <c r="H50" s="1136">
        <f t="shared" ca="1" si="2"/>
        <v>0</v>
      </c>
      <c r="I50" s="38" t="str">
        <f ca="1">IF(AP50="",IFERROR(VLOOKUP(B50,TinhGia!$B$11:$N$80,8,0),""),AP50)</f>
        <v/>
      </c>
      <c r="J50" s="39">
        <f t="shared" ca="1" si="3"/>
        <v>0</v>
      </c>
      <c r="K50" s="1200">
        <f t="shared" ca="1" si="4"/>
        <v>0</v>
      </c>
      <c r="L50" s="40" t="str">
        <f ca="1">IF(AS50="",IFERROR(VLOOKUP(B50,TinhGia!$B$11:$N$80,11,0),""),AS50)</f>
        <v/>
      </c>
      <c r="M50" s="40" t="str">
        <f ca="1">IF(AT50="",IFERROR(VLOOKUP(B50,TinhGia!$B$11:$N$80,12,0),""),AT50)</f>
        <v/>
      </c>
      <c r="N50" s="41">
        <f t="shared" ca="1" si="5"/>
        <v>0</v>
      </c>
      <c r="O50" s="197"/>
      <c r="P50" s="198"/>
      <c r="Q50" s="703" t="str">
        <f>IF($P50="","","ĐNSX"&amp; IF(LEN($P50)=1,"0" &amp; $P50,$P50) &amp; "/" &amp; ThongTinChung!$C$5)</f>
        <v/>
      </c>
      <c r="R50" s="100" t="str">
        <f t="shared" ca="1" si="11"/>
        <v/>
      </c>
      <c r="S50" s="194" t="str">
        <f>IF($B50="","","C" &amp; ROW(MauKoXoa!$C$108) &amp; ":C" &amp;ROW(MauKoXoa!$C$174))</f>
        <v/>
      </c>
      <c r="T50" s="198" t="str">
        <f t="shared" ca="1" si="6"/>
        <v/>
      </c>
      <c r="U50" s="198" t="str">
        <f t="shared" ca="1" si="7"/>
        <v/>
      </c>
      <c r="V50" s="650" t="str">
        <f ca="1">IF(COUNTIF($V$10:$V49,IFERROR(INDEX(DanhMuc!$J$154:$J$165,MATCH($T50,DanhMuc!$B$154:$B$165,0)),""))&lt;1,IFERROR(INDEX(DanhMuc!$J$154:$J$165,MATCH($T50,DanhMuc!$B$154:$B$165,0)),""),"")</f>
        <v/>
      </c>
      <c r="W50" s="650" t="str">
        <f ca="1">IF(COUNTIF($W$10:$W49,IFERROR(INDEX(DanhMuc!$D$168:$D$177,MATCH($U50,DanhMuc!$C$168:$C$177,0)),""))&lt;1,IFERROR(INDEX(DanhMuc!$D$168:$D$177,MATCH($U50,DanhMuc!$C$168:$C$177,0)),""),"")</f>
        <v/>
      </c>
      <c r="X50" s="650" t="str">
        <f ca="1">IFERROR(INDEX(DanhMuc!$K$154:$K$165,MATCH($T50,DanhMuc!$B$154:$B$165,0)),"")</f>
        <v/>
      </c>
      <c r="Y50" s="653" t="str">
        <f t="shared" ca="1" si="8"/>
        <v/>
      </c>
      <c r="Z50" s="653" t="str">
        <f t="shared" ca="1" si="9"/>
        <v/>
      </c>
      <c r="AA50" s="757">
        <f t="shared" ca="1" si="12"/>
        <v>0</v>
      </c>
      <c r="AB50" s="757">
        <f t="shared" ca="1" si="12"/>
        <v>0</v>
      </c>
      <c r="AC50" s="757">
        <f t="shared" ca="1" si="12"/>
        <v>0</v>
      </c>
      <c r="AD50" s="757">
        <f t="shared" ca="1" si="12"/>
        <v>0</v>
      </c>
      <c r="AE50" s="757">
        <f t="shared" ca="1" si="12"/>
        <v>0</v>
      </c>
      <c r="AF50" s="757">
        <f t="shared" ca="1" si="12"/>
        <v>0</v>
      </c>
      <c r="AG50" s="198"/>
      <c r="AH50" s="1079" t="s">
        <v>3365</v>
      </c>
      <c r="AI50" s="1080"/>
      <c r="AJ50" s="1080"/>
      <c r="AK50" s="1081" t="s">
        <v>3365</v>
      </c>
      <c r="AL50" s="1081" t="s">
        <v>3365</v>
      </c>
      <c r="AM50" s="1081" t="s">
        <v>3365</v>
      </c>
      <c r="AN50" s="1081" t="s">
        <v>3365</v>
      </c>
      <c r="AO50" s="1083">
        <v>0</v>
      </c>
      <c r="AP50" s="1083" t="s">
        <v>3365</v>
      </c>
      <c r="AQ50" s="1084"/>
      <c r="AR50" s="1085"/>
      <c r="AS50" s="1086" t="s">
        <v>3365</v>
      </c>
      <c r="AT50" s="1086"/>
      <c r="AU50" s="1087"/>
    </row>
    <row r="51" spans="1:47" s="42" customFormat="1" ht="19.899999999999999" customHeight="1">
      <c r="A51" s="37" t="str">
        <f>IF(B51="","",MAX($A$10:A50)+1)</f>
        <v/>
      </c>
      <c r="B51" s="718"/>
      <c r="C51" s="643">
        <f ca="1">IFERROR(VLOOKUP(A51,TinhGia!$B$11:$N$80,2,0),"")</f>
        <v>0</v>
      </c>
      <c r="D51" s="643" t="str">
        <f ca="1">IF(AK51="",IFERROR(VLOOKUP(B51,TinhGia!$B$11:$N$80,3,0),""),AK51)</f>
        <v/>
      </c>
      <c r="E51" s="203" t="str">
        <f ca="1">IF(AL51="",IFERROR(VLOOKUP(B51,TinhGia!$B$11:$N$80,4,0),""),AL51)</f>
        <v/>
      </c>
      <c r="F51" s="203" t="str">
        <f ca="1">IF(AM51="",IFERROR(VLOOKUP(B51,TinhGia!$B$11:$N$80,5,0),""),AM51)</f>
        <v/>
      </c>
      <c r="G51" s="203" t="str">
        <f ca="1">IF(AN51="",IFERROR(VLOOKUP(B51,TinhGia!$B$11:$N$80,6,0),""),AN51)</f>
        <v/>
      </c>
      <c r="H51" s="1136">
        <f t="shared" ca="1" si="2"/>
        <v>0</v>
      </c>
      <c r="I51" s="38" t="str">
        <f ca="1">IF(AP51="",IFERROR(VLOOKUP(B51,TinhGia!$B$11:$N$80,8,0),""),AP51)</f>
        <v/>
      </c>
      <c r="J51" s="39">
        <f t="shared" ca="1" si="3"/>
        <v>0</v>
      </c>
      <c r="K51" s="1200">
        <f t="shared" ca="1" si="4"/>
        <v>0</v>
      </c>
      <c r="L51" s="40" t="str">
        <f ca="1">IF(AS51="",IFERROR(VLOOKUP(B51,TinhGia!$B$11:$N$80,11,0),""),AS51)</f>
        <v/>
      </c>
      <c r="M51" s="40" t="str">
        <f ca="1">IF(AT51="",IFERROR(VLOOKUP(B51,TinhGia!$B$11:$N$80,12,0),""),AT51)</f>
        <v/>
      </c>
      <c r="N51" s="41">
        <f t="shared" ca="1" si="5"/>
        <v>0</v>
      </c>
      <c r="O51" s="197"/>
      <c r="P51" s="198"/>
      <c r="Q51" s="703" t="str">
        <f>IF($P51="","","ĐNSX"&amp; IF(LEN($P51)=1,"0" &amp; $P51,$P51) &amp; "/" &amp; ThongTinChung!$C$5)</f>
        <v/>
      </c>
      <c r="R51" s="100" t="str">
        <f t="shared" ca="1" si="11"/>
        <v/>
      </c>
      <c r="S51" s="194" t="str">
        <f>IF($B51="","","C" &amp; ROW(MauKoXoa!$C$108) &amp; ":C" &amp;ROW(MauKoXoa!$C$174))</f>
        <v/>
      </c>
      <c r="T51" s="198" t="str">
        <f t="shared" ca="1" si="6"/>
        <v/>
      </c>
      <c r="U51" s="198" t="str">
        <f t="shared" ca="1" si="7"/>
        <v/>
      </c>
      <c r="V51" s="650" t="str">
        <f ca="1">IF(COUNTIF($V$10:$V50,IFERROR(INDEX(DanhMuc!$J$154:$J$165,MATCH($T51,DanhMuc!$B$154:$B$165,0)),""))&lt;1,IFERROR(INDEX(DanhMuc!$J$154:$J$165,MATCH($T51,DanhMuc!$B$154:$B$165,0)),""),"")</f>
        <v/>
      </c>
      <c r="W51" s="650" t="str">
        <f ca="1">IF(COUNTIF($W$10:$W50,IFERROR(INDEX(DanhMuc!$D$168:$D$177,MATCH($U51,DanhMuc!$C$168:$C$177,0)),""))&lt;1,IFERROR(INDEX(DanhMuc!$D$168:$D$177,MATCH($U51,DanhMuc!$C$168:$C$177,0)),""),"")</f>
        <v/>
      </c>
      <c r="X51" s="650" t="str">
        <f ca="1">IFERROR(INDEX(DanhMuc!$K$154:$K$165,MATCH($T51,DanhMuc!$B$154:$B$165,0)),"")</f>
        <v/>
      </c>
      <c r="Y51" s="653" t="str">
        <f t="shared" ca="1" si="8"/>
        <v/>
      </c>
      <c r="Z51" s="653" t="str">
        <f t="shared" ca="1" si="9"/>
        <v/>
      </c>
      <c r="AA51" s="757">
        <f t="shared" ca="1" si="12"/>
        <v>0</v>
      </c>
      <c r="AB51" s="757">
        <f t="shared" ca="1" si="12"/>
        <v>0</v>
      </c>
      <c r="AC51" s="757">
        <f t="shared" ca="1" si="12"/>
        <v>0</v>
      </c>
      <c r="AD51" s="757">
        <f t="shared" ca="1" si="12"/>
        <v>0</v>
      </c>
      <c r="AE51" s="757">
        <f t="shared" ca="1" si="12"/>
        <v>0</v>
      </c>
      <c r="AF51" s="757">
        <f t="shared" ca="1" si="12"/>
        <v>0</v>
      </c>
      <c r="AG51" s="198"/>
      <c r="AH51" s="1079" t="s">
        <v>3365</v>
      </c>
      <c r="AI51" s="1080"/>
      <c r="AJ51" s="1080"/>
      <c r="AK51" s="1081" t="s">
        <v>3365</v>
      </c>
      <c r="AL51" s="1081" t="s">
        <v>3365</v>
      </c>
      <c r="AM51" s="1081" t="s">
        <v>3365</v>
      </c>
      <c r="AN51" s="1081" t="s">
        <v>3365</v>
      </c>
      <c r="AO51" s="1083">
        <v>0</v>
      </c>
      <c r="AP51" s="1083" t="s">
        <v>3365</v>
      </c>
      <c r="AQ51" s="1084"/>
      <c r="AR51" s="1085"/>
      <c r="AS51" s="1086" t="s">
        <v>3365</v>
      </c>
      <c r="AT51" s="1086"/>
      <c r="AU51" s="1087"/>
    </row>
    <row r="52" spans="1:47" s="42" customFormat="1" ht="19.899999999999999" customHeight="1">
      <c r="A52" s="37" t="str">
        <f>IF(B52="","",MAX($A$10:A51)+1)</f>
        <v/>
      </c>
      <c r="B52" s="718"/>
      <c r="C52" s="643">
        <f ca="1">IFERROR(VLOOKUP(A52,TinhGia!$B$11:$N$80,2,0),"")</f>
        <v>0</v>
      </c>
      <c r="D52" s="643" t="str">
        <f ca="1">IF(AK52="",IFERROR(VLOOKUP(B52,TinhGia!$B$11:$N$80,3,0),""),AK52)</f>
        <v/>
      </c>
      <c r="E52" s="203" t="str">
        <f ca="1">IF(AL52="",IFERROR(VLOOKUP(B52,TinhGia!$B$11:$N$80,4,0),""),AL52)</f>
        <v/>
      </c>
      <c r="F52" s="203" t="str">
        <f ca="1">IF(AM52="",IFERROR(VLOOKUP(B52,TinhGia!$B$11:$N$80,5,0),""),AM52)</f>
        <v/>
      </c>
      <c r="G52" s="203" t="str">
        <f ca="1">IF(AN52="",IFERROR(VLOOKUP(B52,TinhGia!$B$11:$N$80,6,0),""),AN52)</f>
        <v/>
      </c>
      <c r="H52" s="1136">
        <f t="shared" ca="1" si="2"/>
        <v>0</v>
      </c>
      <c r="I52" s="38" t="str">
        <f ca="1">IF(AP52="",IFERROR(VLOOKUP(B52,TinhGia!$B$11:$N$80,8,0),""),AP52)</f>
        <v/>
      </c>
      <c r="J52" s="39">
        <f t="shared" ca="1" si="3"/>
        <v>0</v>
      </c>
      <c r="K52" s="1200">
        <f t="shared" ca="1" si="4"/>
        <v>0</v>
      </c>
      <c r="L52" s="40" t="str">
        <f ca="1">IF(AS52="",IFERROR(VLOOKUP(B52,TinhGia!$B$11:$N$80,11,0),""),AS52)</f>
        <v/>
      </c>
      <c r="M52" s="40" t="str">
        <f ca="1">IF(AT52="",IFERROR(VLOOKUP(B52,TinhGia!$B$11:$N$80,12,0),""),AT52)</f>
        <v/>
      </c>
      <c r="N52" s="41">
        <f t="shared" ca="1" si="5"/>
        <v>0</v>
      </c>
      <c r="O52" s="197"/>
      <c r="P52" s="198"/>
      <c r="Q52" s="703" t="str">
        <f>IF($P52="","","ĐNSX"&amp; IF(LEN($P52)=1,"0" &amp; $P52,$P52) &amp; "/" &amp; ThongTinChung!$C$5)</f>
        <v/>
      </c>
      <c r="R52" s="100" t="str">
        <f t="shared" ca="1" si="11"/>
        <v/>
      </c>
      <c r="S52" s="194" t="str">
        <f>IF($B52="","","C" &amp; ROW(MauKoXoa!$C$108) &amp; ":C" &amp;ROW(MauKoXoa!$C$174))</f>
        <v/>
      </c>
      <c r="T52" s="198" t="str">
        <f t="shared" ca="1" si="6"/>
        <v/>
      </c>
      <c r="U52" s="198" t="str">
        <f t="shared" ca="1" si="7"/>
        <v/>
      </c>
      <c r="V52" s="650" t="str">
        <f ca="1">IF(COUNTIF($V$10:$V51,IFERROR(INDEX(DanhMuc!$J$154:$J$165,MATCH($T52,DanhMuc!$B$154:$B$165,0)),""))&lt;1,IFERROR(INDEX(DanhMuc!$J$154:$J$165,MATCH($T52,DanhMuc!$B$154:$B$165,0)),""),"")</f>
        <v/>
      </c>
      <c r="W52" s="650" t="str">
        <f ca="1">IF(COUNTIF($W$10:$W51,IFERROR(INDEX(DanhMuc!$D$168:$D$177,MATCH($U52,DanhMuc!$C$168:$C$177,0)),""))&lt;1,IFERROR(INDEX(DanhMuc!$D$168:$D$177,MATCH($U52,DanhMuc!$C$168:$C$177,0)),""),"")</f>
        <v/>
      </c>
      <c r="X52" s="650" t="str">
        <f ca="1">IFERROR(INDEX(DanhMuc!$K$154:$K$165,MATCH($T52,DanhMuc!$B$154:$B$165,0)),"")</f>
        <v/>
      </c>
      <c r="Y52" s="653" t="str">
        <f t="shared" ca="1" si="8"/>
        <v/>
      </c>
      <c r="Z52" s="653" t="str">
        <f t="shared" ca="1" si="9"/>
        <v/>
      </c>
      <c r="AA52" s="757">
        <f t="shared" ca="1" si="12"/>
        <v>0</v>
      </c>
      <c r="AB52" s="757">
        <f t="shared" ca="1" si="12"/>
        <v>0</v>
      </c>
      <c r="AC52" s="757">
        <f t="shared" ca="1" si="12"/>
        <v>0</v>
      </c>
      <c r="AD52" s="757">
        <f t="shared" ca="1" si="12"/>
        <v>0</v>
      </c>
      <c r="AE52" s="757">
        <f t="shared" ca="1" si="12"/>
        <v>0</v>
      </c>
      <c r="AF52" s="757">
        <f t="shared" ca="1" si="12"/>
        <v>0</v>
      </c>
      <c r="AG52" s="198"/>
      <c r="AH52" s="1079" t="s">
        <v>3365</v>
      </c>
      <c r="AI52" s="1080"/>
      <c r="AJ52" s="1080"/>
      <c r="AK52" s="1081" t="s">
        <v>3365</v>
      </c>
      <c r="AL52" s="1081" t="s">
        <v>3365</v>
      </c>
      <c r="AM52" s="1081" t="s">
        <v>3365</v>
      </c>
      <c r="AN52" s="1081" t="s">
        <v>3365</v>
      </c>
      <c r="AO52" s="1083">
        <v>0</v>
      </c>
      <c r="AP52" s="1083" t="s">
        <v>3365</v>
      </c>
      <c r="AQ52" s="1084"/>
      <c r="AR52" s="1085"/>
      <c r="AS52" s="1086" t="s">
        <v>3365</v>
      </c>
      <c r="AT52" s="1086"/>
      <c r="AU52" s="1087"/>
    </row>
    <row r="53" spans="1:47" s="42" customFormat="1" ht="19.899999999999999" customHeight="1">
      <c r="A53" s="37" t="str">
        <f>IF(B53="","",MAX($A$10:A52)+1)</f>
        <v/>
      </c>
      <c r="B53" s="718"/>
      <c r="C53" s="643">
        <f ca="1">IFERROR(VLOOKUP(A53,TinhGia!$B$11:$N$80,2,0),"")</f>
        <v>0</v>
      </c>
      <c r="D53" s="643" t="str">
        <f ca="1">IF(AK53="",IFERROR(VLOOKUP(B53,TinhGia!$B$11:$N$80,3,0),""),AK53)</f>
        <v/>
      </c>
      <c r="E53" s="203" t="str">
        <f ca="1">IF(AL53="",IFERROR(VLOOKUP(B53,TinhGia!$B$11:$N$80,4,0),""),AL53)</f>
        <v/>
      </c>
      <c r="F53" s="203" t="str">
        <f ca="1">IF(AM53="",IFERROR(VLOOKUP(B53,TinhGia!$B$11:$N$80,5,0),""),AM53)</f>
        <v/>
      </c>
      <c r="G53" s="203" t="str">
        <f ca="1">IF(AN53="",IFERROR(VLOOKUP(B53,TinhGia!$B$11:$N$80,6,0),""),AN53)</f>
        <v/>
      </c>
      <c r="H53" s="1136">
        <f t="shared" ca="1" si="2"/>
        <v>0</v>
      </c>
      <c r="I53" s="38" t="str">
        <f ca="1">IF(AP53="",IFERROR(VLOOKUP(B53,TinhGia!$B$11:$N$80,8,0),""),AP53)</f>
        <v/>
      </c>
      <c r="J53" s="39">
        <f t="shared" ca="1" si="3"/>
        <v>0</v>
      </c>
      <c r="K53" s="1200">
        <f t="shared" ca="1" si="4"/>
        <v>0</v>
      </c>
      <c r="L53" s="40" t="str">
        <f ca="1">IF(AS53="",IFERROR(VLOOKUP(B53,TinhGia!$B$11:$N$80,11,0),""),AS53)</f>
        <v/>
      </c>
      <c r="M53" s="40" t="str">
        <f ca="1">IF(AT53="",IFERROR(VLOOKUP(B53,TinhGia!$B$11:$N$80,12,0),""),AT53)</f>
        <v/>
      </c>
      <c r="N53" s="41">
        <f t="shared" ca="1" si="5"/>
        <v>0</v>
      </c>
      <c r="O53" s="197"/>
      <c r="P53" s="198"/>
      <c r="Q53" s="703" t="str">
        <f>IF($P53="","","ĐNSX"&amp; IF(LEN($P53)=1,"0" &amp; $P53,$P53) &amp; "/" &amp; ThongTinChung!$C$5)</f>
        <v/>
      </c>
      <c r="R53" s="100" t="str">
        <f t="shared" ca="1" si="11"/>
        <v/>
      </c>
      <c r="S53" s="194" t="str">
        <f>IF($B53="","","C" &amp; ROW(MauKoXoa!$C$108) &amp; ":C" &amp;ROW(MauKoXoa!$C$174))</f>
        <v/>
      </c>
      <c r="T53" s="198" t="str">
        <f t="shared" ca="1" si="6"/>
        <v/>
      </c>
      <c r="U53" s="198" t="str">
        <f t="shared" ca="1" si="7"/>
        <v/>
      </c>
      <c r="V53" s="650" t="str">
        <f ca="1">IF(COUNTIF($V$10:$V52,IFERROR(INDEX(DanhMuc!$J$154:$J$165,MATCH($T53,DanhMuc!$B$154:$B$165,0)),""))&lt;1,IFERROR(INDEX(DanhMuc!$J$154:$J$165,MATCH($T53,DanhMuc!$B$154:$B$165,0)),""),"")</f>
        <v/>
      </c>
      <c r="W53" s="650" t="str">
        <f ca="1">IF(COUNTIF($W$10:$W52,IFERROR(INDEX(DanhMuc!$D$168:$D$177,MATCH($U53,DanhMuc!$C$168:$C$177,0)),""))&lt;1,IFERROR(INDEX(DanhMuc!$D$168:$D$177,MATCH($U53,DanhMuc!$C$168:$C$177,0)),""),"")</f>
        <v/>
      </c>
      <c r="X53" s="650" t="str">
        <f ca="1">IFERROR(INDEX(DanhMuc!$K$154:$K$165,MATCH($T53,DanhMuc!$B$154:$B$165,0)),"")</f>
        <v/>
      </c>
      <c r="Y53" s="653" t="str">
        <f t="shared" ca="1" si="8"/>
        <v/>
      </c>
      <c r="Z53" s="653" t="str">
        <f t="shared" ca="1" si="9"/>
        <v/>
      </c>
      <c r="AA53" s="757">
        <f t="shared" ca="1" si="12"/>
        <v>0</v>
      </c>
      <c r="AB53" s="757">
        <f t="shared" ca="1" si="12"/>
        <v>0</v>
      </c>
      <c r="AC53" s="757">
        <f t="shared" ca="1" si="12"/>
        <v>0</v>
      </c>
      <c r="AD53" s="757">
        <f t="shared" ca="1" si="12"/>
        <v>0</v>
      </c>
      <c r="AE53" s="757">
        <f t="shared" ca="1" si="12"/>
        <v>0</v>
      </c>
      <c r="AF53" s="757">
        <f t="shared" ca="1" si="12"/>
        <v>0</v>
      </c>
      <c r="AG53" s="198"/>
      <c r="AH53" s="1079" t="s">
        <v>3365</v>
      </c>
      <c r="AI53" s="1080"/>
      <c r="AJ53" s="1080"/>
      <c r="AK53" s="1081" t="s">
        <v>3365</v>
      </c>
      <c r="AL53" s="1081" t="s">
        <v>3365</v>
      </c>
      <c r="AM53" s="1081" t="s">
        <v>3365</v>
      </c>
      <c r="AN53" s="1081" t="s">
        <v>3365</v>
      </c>
      <c r="AO53" s="1083">
        <v>0</v>
      </c>
      <c r="AP53" s="1083" t="s">
        <v>3365</v>
      </c>
      <c r="AQ53" s="1084"/>
      <c r="AR53" s="1085"/>
      <c r="AS53" s="1086" t="s">
        <v>3365</v>
      </c>
      <c r="AT53" s="1086"/>
      <c r="AU53" s="1087"/>
    </row>
    <row r="54" spans="1:47" s="42" customFormat="1" ht="19.899999999999999" customHeight="1">
      <c r="A54" s="37" t="str">
        <f>IF(B54="","",MAX($A$10:A53)+1)</f>
        <v/>
      </c>
      <c r="B54" s="718"/>
      <c r="C54" s="643">
        <f ca="1">IFERROR(VLOOKUP(A54,TinhGia!$B$11:$N$80,2,0),"")</f>
        <v>0</v>
      </c>
      <c r="D54" s="643" t="str">
        <f ca="1">IF(AK54="",IFERROR(VLOOKUP(B54,TinhGia!$B$11:$N$80,3,0),""),AK54)</f>
        <v/>
      </c>
      <c r="E54" s="203" t="str">
        <f ca="1">IF(AL54="",IFERROR(VLOOKUP(B54,TinhGia!$B$11:$N$80,4,0),""),AL54)</f>
        <v/>
      </c>
      <c r="F54" s="203" t="str">
        <f ca="1">IF(AM54="",IFERROR(VLOOKUP(B54,TinhGia!$B$11:$N$80,5,0),""),AM54)</f>
        <v/>
      </c>
      <c r="G54" s="203" t="str">
        <f ca="1">IF(AN54="",IFERROR(VLOOKUP(B54,TinhGia!$B$11:$N$80,6,0),""),AN54)</f>
        <v/>
      </c>
      <c r="H54" s="1136">
        <f t="shared" ca="1" si="2"/>
        <v>0</v>
      </c>
      <c r="I54" s="38" t="str">
        <f ca="1">IF(AP54="",IFERROR(VLOOKUP(B54,TinhGia!$B$11:$N$80,8,0),""),AP54)</f>
        <v/>
      </c>
      <c r="J54" s="39">
        <f t="shared" ca="1" si="3"/>
        <v>0</v>
      </c>
      <c r="K54" s="1200">
        <f t="shared" ca="1" si="4"/>
        <v>0</v>
      </c>
      <c r="L54" s="40" t="str">
        <f ca="1">IF(AS54="",IFERROR(VLOOKUP(B54,TinhGia!$B$11:$N$80,11,0),""),AS54)</f>
        <v/>
      </c>
      <c r="M54" s="40" t="str">
        <f ca="1">IF(AT54="",IFERROR(VLOOKUP(B54,TinhGia!$B$11:$N$80,12,0),""),AT54)</f>
        <v/>
      </c>
      <c r="N54" s="41">
        <f t="shared" ca="1" si="5"/>
        <v>0</v>
      </c>
      <c r="O54" s="197"/>
      <c r="P54" s="198"/>
      <c r="Q54" s="703" t="str">
        <f>IF($P54="","","ĐNSX"&amp; IF(LEN($P54)=1,"0" &amp; $P54,$P54) &amp; "/" &amp; ThongTinChung!$C$5)</f>
        <v/>
      </c>
      <c r="R54" s="100" t="str">
        <f t="shared" ca="1" si="11"/>
        <v/>
      </c>
      <c r="S54" s="194" t="str">
        <f>IF($B54="","","C" &amp; ROW(MauKoXoa!$C$108) &amp; ":C" &amp;ROW(MauKoXoa!$C$174))</f>
        <v/>
      </c>
      <c r="T54" s="198" t="str">
        <f t="shared" ca="1" si="6"/>
        <v/>
      </c>
      <c r="U54" s="198" t="str">
        <f t="shared" ca="1" si="7"/>
        <v/>
      </c>
      <c r="V54" s="650" t="str">
        <f ca="1">IF(COUNTIF($V$10:$V53,IFERROR(INDEX(DanhMuc!$J$154:$J$165,MATCH($T54,DanhMuc!$B$154:$B$165,0)),""))&lt;1,IFERROR(INDEX(DanhMuc!$J$154:$J$165,MATCH($T54,DanhMuc!$B$154:$B$165,0)),""),"")</f>
        <v/>
      </c>
      <c r="W54" s="650" t="str">
        <f ca="1">IF(COUNTIF($W$10:$W53,IFERROR(INDEX(DanhMuc!$D$168:$D$177,MATCH($U54,DanhMuc!$C$168:$C$177,0)),""))&lt;1,IFERROR(INDEX(DanhMuc!$D$168:$D$177,MATCH($U54,DanhMuc!$C$168:$C$177,0)),""),"")</f>
        <v/>
      </c>
      <c r="X54" s="650" t="str">
        <f ca="1">IFERROR(INDEX(DanhMuc!$K$154:$K$165,MATCH($T54,DanhMuc!$B$154:$B$165,0)),"")</f>
        <v/>
      </c>
      <c r="Y54" s="653" t="str">
        <f t="shared" ca="1" si="8"/>
        <v/>
      </c>
      <c r="Z54" s="653" t="str">
        <f t="shared" ca="1" si="9"/>
        <v/>
      </c>
      <c r="AA54" s="757">
        <f t="shared" ca="1" si="12"/>
        <v>0</v>
      </c>
      <c r="AB54" s="757">
        <f t="shared" ca="1" si="12"/>
        <v>0</v>
      </c>
      <c r="AC54" s="757">
        <f t="shared" ca="1" si="12"/>
        <v>0</v>
      </c>
      <c r="AD54" s="757">
        <f t="shared" ca="1" si="12"/>
        <v>0</v>
      </c>
      <c r="AE54" s="757">
        <f t="shared" ca="1" si="12"/>
        <v>0</v>
      </c>
      <c r="AF54" s="757">
        <f t="shared" ca="1" si="12"/>
        <v>0</v>
      </c>
      <c r="AG54" s="198"/>
      <c r="AH54" s="1079" t="s">
        <v>3365</v>
      </c>
      <c r="AI54" s="1080"/>
      <c r="AJ54" s="1080"/>
      <c r="AK54" s="1081" t="s">
        <v>3365</v>
      </c>
      <c r="AL54" s="1081" t="s">
        <v>3365</v>
      </c>
      <c r="AM54" s="1081" t="s">
        <v>3365</v>
      </c>
      <c r="AN54" s="1081" t="s">
        <v>3365</v>
      </c>
      <c r="AO54" s="1083">
        <v>0</v>
      </c>
      <c r="AP54" s="1083" t="s">
        <v>3365</v>
      </c>
      <c r="AQ54" s="1084"/>
      <c r="AR54" s="1085"/>
      <c r="AS54" s="1086" t="s">
        <v>3365</v>
      </c>
      <c r="AT54" s="1086"/>
      <c r="AU54" s="1087"/>
    </row>
    <row r="55" spans="1:47" s="42" customFormat="1" ht="19.899999999999999" customHeight="1">
      <c r="A55" s="37" t="str">
        <f>IF(B55="","",MAX($A$10:A54)+1)</f>
        <v/>
      </c>
      <c r="B55" s="718"/>
      <c r="C55" s="643">
        <f ca="1">IFERROR(VLOOKUP(A55,TinhGia!$B$11:$N$80,2,0),"")</f>
        <v>0</v>
      </c>
      <c r="D55" s="643" t="str">
        <f ca="1">IF(AK55="",IFERROR(VLOOKUP(B55,TinhGia!$B$11:$N$80,3,0),""),AK55)</f>
        <v/>
      </c>
      <c r="E55" s="203" t="str">
        <f ca="1">IF(AL55="",IFERROR(VLOOKUP(B55,TinhGia!$B$11:$N$80,4,0),""),AL55)</f>
        <v/>
      </c>
      <c r="F55" s="203" t="str">
        <f ca="1">IF(AM55="",IFERROR(VLOOKUP(B55,TinhGia!$B$11:$N$80,5,0),""),AM55)</f>
        <v/>
      </c>
      <c r="G55" s="203" t="str">
        <f ca="1">IF(AN55="",IFERROR(VLOOKUP(B55,TinhGia!$B$11:$N$80,6,0),""),AN55)</f>
        <v/>
      </c>
      <c r="H55" s="1136">
        <f t="shared" ca="1" si="2"/>
        <v>0</v>
      </c>
      <c r="I55" s="38" t="str">
        <f ca="1">IF(AP55="",IFERROR(VLOOKUP(B55,TinhGia!$B$11:$N$80,8,0),""),AP55)</f>
        <v/>
      </c>
      <c r="J55" s="39">
        <f t="shared" ca="1" si="3"/>
        <v>0</v>
      </c>
      <c r="K55" s="1200">
        <f t="shared" ca="1" si="4"/>
        <v>0</v>
      </c>
      <c r="L55" s="40" t="str">
        <f ca="1">IF(AS55="",IFERROR(VLOOKUP(B55,TinhGia!$B$11:$N$80,11,0),""),AS55)</f>
        <v/>
      </c>
      <c r="M55" s="40" t="str">
        <f ca="1">IF(AT55="",IFERROR(VLOOKUP(B55,TinhGia!$B$11:$N$80,12,0),""),AT55)</f>
        <v/>
      </c>
      <c r="N55" s="41">
        <f t="shared" ca="1" si="5"/>
        <v>0</v>
      </c>
      <c r="O55" s="197"/>
      <c r="P55" s="198"/>
      <c r="Q55" s="703" t="str">
        <f>IF($P55="","","ĐNSX"&amp; IF(LEN($P55)=1,"0" &amp; $P55,$P55) &amp; "/" &amp; ThongTinChung!$C$5)</f>
        <v/>
      </c>
      <c r="R55" s="100" t="str">
        <f t="shared" ca="1" si="11"/>
        <v/>
      </c>
      <c r="S55" s="194" t="str">
        <f>IF($B55="","","C" &amp; ROW(MauKoXoa!$C$108) &amp; ":C" &amp;ROW(MauKoXoa!$C$174))</f>
        <v/>
      </c>
      <c r="T55" s="198" t="str">
        <f t="shared" ca="1" si="6"/>
        <v/>
      </c>
      <c r="U55" s="198" t="str">
        <f t="shared" ca="1" si="7"/>
        <v/>
      </c>
      <c r="V55" s="650" t="str">
        <f ca="1">IF(COUNTIF($V$10:$V54,IFERROR(INDEX(DanhMuc!$J$154:$J$165,MATCH($T55,DanhMuc!$B$154:$B$165,0)),""))&lt;1,IFERROR(INDEX(DanhMuc!$J$154:$J$165,MATCH($T55,DanhMuc!$B$154:$B$165,0)),""),"")</f>
        <v/>
      </c>
      <c r="W55" s="650" t="str">
        <f ca="1">IF(COUNTIF($W$10:$W54,IFERROR(INDEX(DanhMuc!$D$168:$D$177,MATCH($U55,DanhMuc!$C$168:$C$177,0)),""))&lt;1,IFERROR(INDEX(DanhMuc!$D$168:$D$177,MATCH($U55,DanhMuc!$C$168:$C$177,0)),""),"")</f>
        <v/>
      </c>
      <c r="X55" s="650" t="str">
        <f ca="1">IFERROR(INDEX(DanhMuc!$K$154:$K$165,MATCH($T55,DanhMuc!$B$154:$B$165,0)),"")</f>
        <v/>
      </c>
      <c r="Y55" s="653" t="str">
        <f t="shared" ca="1" si="8"/>
        <v/>
      </c>
      <c r="Z55" s="653" t="str">
        <f t="shared" ca="1" si="9"/>
        <v/>
      </c>
      <c r="AA55" s="757">
        <f t="shared" ca="1" si="12"/>
        <v>0</v>
      </c>
      <c r="AB55" s="757">
        <f t="shared" ca="1" si="12"/>
        <v>0</v>
      </c>
      <c r="AC55" s="757">
        <f t="shared" ca="1" si="12"/>
        <v>0</v>
      </c>
      <c r="AD55" s="757">
        <f t="shared" ca="1" si="12"/>
        <v>0</v>
      </c>
      <c r="AE55" s="757">
        <f t="shared" ca="1" si="12"/>
        <v>0</v>
      </c>
      <c r="AF55" s="757">
        <f t="shared" ca="1" si="12"/>
        <v>0</v>
      </c>
      <c r="AG55" s="198"/>
      <c r="AH55" s="1079" t="s">
        <v>3365</v>
      </c>
      <c r="AI55" s="1080"/>
      <c r="AJ55" s="1080"/>
      <c r="AK55" s="1081" t="s">
        <v>3365</v>
      </c>
      <c r="AL55" s="1081" t="s">
        <v>3365</v>
      </c>
      <c r="AM55" s="1081" t="s">
        <v>3365</v>
      </c>
      <c r="AN55" s="1081" t="s">
        <v>3365</v>
      </c>
      <c r="AO55" s="1083">
        <v>0</v>
      </c>
      <c r="AP55" s="1083" t="s">
        <v>3365</v>
      </c>
      <c r="AQ55" s="1084"/>
      <c r="AR55" s="1085"/>
      <c r="AS55" s="1086" t="s">
        <v>3365</v>
      </c>
      <c r="AT55" s="1086"/>
      <c r="AU55" s="1087"/>
    </row>
    <row r="56" spans="1:47" s="42" customFormat="1" ht="19.899999999999999" customHeight="1">
      <c r="A56" s="37" t="str">
        <f>IF(B56="","",MAX($A$10:A55)+1)</f>
        <v/>
      </c>
      <c r="B56" s="718"/>
      <c r="C56" s="643">
        <f ca="1">IFERROR(VLOOKUP(A56,TinhGia!$B$11:$N$80,2,0),"")</f>
        <v>0</v>
      </c>
      <c r="D56" s="643" t="str">
        <f ca="1">IF(AK56="",IFERROR(VLOOKUP(B56,TinhGia!$B$11:$N$80,3,0),""),AK56)</f>
        <v/>
      </c>
      <c r="E56" s="203" t="str">
        <f ca="1">IF(AL56="",IFERROR(VLOOKUP(B56,TinhGia!$B$11:$N$80,4,0),""),AL56)</f>
        <v/>
      </c>
      <c r="F56" s="203" t="str">
        <f ca="1">IF(AM56="",IFERROR(VLOOKUP(B56,TinhGia!$B$11:$N$80,5,0),""),AM56)</f>
        <v/>
      </c>
      <c r="G56" s="203" t="str">
        <f ca="1">IF(AN56="",IFERROR(VLOOKUP(B56,TinhGia!$B$11:$N$80,6,0),""),AN56)</f>
        <v/>
      </c>
      <c r="H56" s="1136">
        <f t="shared" ca="1" si="2"/>
        <v>0</v>
      </c>
      <c r="I56" s="38" t="str">
        <f ca="1">IF(AP56="",IFERROR(VLOOKUP(B56,TinhGia!$B$11:$N$80,8,0),""),AP56)</f>
        <v/>
      </c>
      <c r="J56" s="39">
        <f t="shared" ca="1" si="3"/>
        <v>0</v>
      </c>
      <c r="K56" s="1200">
        <f t="shared" ca="1" si="4"/>
        <v>0</v>
      </c>
      <c r="L56" s="40" t="str">
        <f ca="1">IF(AS56="",IFERROR(VLOOKUP(B56,TinhGia!$B$11:$N$80,11,0),""),AS56)</f>
        <v/>
      </c>
      <c r="M56" s="40" t="str">
        <f ca="1">IF(AT56="",IFERROR(VLOOKUP(B56,TinhGia!$B$11:$N$80,12,0),""),AT56)</f>
        <v/>
      </c>
      <c r="N56" s="41">
        <f t="shared" ca="1" si="5"/>
        <v>0</v>
      </c>
      <c r="O56" s="197"/>
      <c r="P56" s="198"/>
      <c r="Q56" s="703" t="str">
        <f>IF($P56="","","ĐNSX"&amp; IF(LEN($P56)=1,"0" &amp; $P56,$P56) &amp; "/" &amp; ThongTinChung!$C$5)</f>
        <v/>
      </c>
      <c r="R56" s="100" t="str">
        <f t="shared" ca="1" si="11"/>
        <v/>
      </c>
      <c r="S56" s="194" t="str">
        <f>IF($B56="","","C" &amp; ROW(MauKoXoa!$C$108) &amp; ":C" &amp;ROW(MauKoXoa!$C$174))</f>
        <v/>
      </c>
      <c r="T56" s="198" t="str">
        <f t="shared" ca="1" si="6"/>
        <v/>
      </c>
      <c r="U56" s="198" t="str">
        <f t="shared" ca="1" si="7"/>
        <v/>
      </c>
      <c r="V56" s="650" t="str">
        <f ca="1">IF(COUNTIF($V$10:$V55,IFERROR(INDEX(DanhMuc!$J$154:$J$165,MATCH($T56,DanhMuc!$B$154:$B$165,0)),""))&lt;1,IFERROR(INDEX(DanhMuc!$J$154:$J$165,MATCH($T56,DanhMuc!$B$154:$B$165,0)),""),"")</f>
        <v/>
      </c>
      <c r="W56" s="650" t="str">
        <f ca="1">IF(COUNTIF($W$10:$W55,IFERROR(INDEX(DanhMuc!$D$168:$D$177,MATCH($U56,DanhMuc!$C$168:$C$177,0)),""))&lt;1,IFERROR(INDEX(DanhMuc!$D$168:$D$177,MATCH($U56,DanhMuc!$C$168:$C$177,0)),""),"")</f>
        <v/>
      </c>
      <c r="X56" s="650" t="str">
        <f ca="1">IFERROR(INDEX(DanhMuc!$K$154:$K$165,MATCH($T56,DanhMuc!$B$154:$B$165,0)),"")</f>
        <v/>
      </c>
      <c r="Y56" s="653" t="str">
        <f t="shared" ca="1" si="8"/>
        <v/>
      </c>
      <c r="Z56" s="653" t="str">
        <f t="shared" ca="1" si="9"/>
        <v/>
      </c>
      <c r="AA56" s="757">
        <f t="shared" ca="1" si="12"/>
        <v>0</v>
      </c>
      <c r="AB56" s="757">
        <f t="shared" ca="1" si="12"/>
        <v>0</v>
      </c>
      <c r="AC56" s="757">
        <f t="shared" ca="1" si="12"/>
        <v>0</v>
      </c>
      <c r="AD56" s="757">
        <f t="shared" ca="1" si="12"/>
        <v>0</v>
      </c>
      <c r="AE56" s="757">
        <f t="shared" ca="1" si="12"/>
        <v>0</v>
      </c>
      <c r="AF56" s="757">
        <f t="shared" ca="1" si="12"/>
        <v>0</v>
      </c>
      <c r="AG56" s="198"/>
      <c r="AH56" s="1079" t="s">
        <v>3365</v>
      </c>
      <c r="AI56" s="1080"/>
      <c r="AJ56" s="1080"/>
      <c r="AK56" s="1081" t="s">
        <v>3365</v>
      </c>
      <c r="AL56" s="1081" t="s">
        <v>3365</v>
      </c>
      <c r="AM56" s="1081" t="s">
        <v>3365</v>
      </c>
      <c r="AN56" s="1081" t="s">
        <v>3365</v>
      </c>
      <c r="AO56" s="1083">
        <v>0</v>
      </c>
      <c r="AP56" s="1083" t="s">
        <v>3365</v>
      </c>
      <c r="AQ56" s="1084"/>
      <c r="AR56" s="1085"/>
      <c r="AS56" s="1086" t="s">
        <v>3365</v>
      </c>
      <c r="AT56" s="1086"/>
      <c r="AU56" s="1087"/>
    </row>
    <row r="57" spans="1:47" s="42" customFormat="1" ht="19.899999999999999" customHeight="1">
      <c r="A57" s="37" t="str">
        <f>IF(B57="","",MAX($A$10:A56)+1)</f>
        <v/>
      </c>
      <c r="B57" s="718"/>
      <c r="C57" s="643">
        <f ca="1">IFERROR(VLOOKUP(A57,TinhGia!$B$11:$N$80,2,0),"")</f>
        <v>0</v>
      </c>
      <c r="D57" s="643" t="str">
        <f ca="1">IF(AK57="",IFERROR(VLOOKUP(B57,TinhGia!$B$11:$N$80,3,0),""),AK57)</f>
        <v/>
      </c>
      <c r="E57" s="203" t="str">
        <f ca="1">IF(AL57="",IFERROR(VLOOKUP(B57,TinhGia!$B$11:$N$80,4,0),""),AL57)</f>
        <v/>
      </c>
      <c r="F57" s="203" t="str">
        <f ca="1">IF(AM57="",IFERROR(VLOOKUP(B57,TinhGia!$B$11:$N$80,5,0),""),AM57)</f>
        <v/>
      </c>
      <c r="G57" s="203" t="str">
        <f ca="1">IF(AN57="",IFERROR(VLOOKUP(B57,TinhGia!$B$11:$N$80,6,0),""),AN57)</f>
        <v/>
      </c>
      <c r="H57" s="1136">
        <f t="shared" ca="1" si="2"/>
        <v>0</v>
      </c>
      <c r="I57" s="38" t="str">
        <f ca="1">IF(AP57="",IFERROR(VLOOKUP(B57,TinhGia!$B$11:$N$80,8,0),""),AP57)</f>
        <v/>
      </c>
      <c r="J57" s="39">
        <f t="shared" ca="1" si="3"/>
        <v>0</v>
      </c>
      <c r="K57" s="1200">
        <f t="shared" ca="1" si="4"/>
        <v>0</v>
      </c>
      <c r="L57" s="40" t="str">
        <f ca="1">IF(AS57="",IFERROR(VLOOKUP(B57,TinhGia!$B$11:$N$80,11,0),""),AS57)</f>
        <v/>
      </c>
      <c r="M57" s="40" t="str">
        <f ca="1">IF(AT57="",IFERROR(VLOOKUP(B57,TinhGia!$B$11:$N$80,12,0),""),AT57)</f>
        <v/>
      </c>
      <c r="N57" s="41">
        <f t="shared" ca="1" si="5"/>
        <v>0</v>
      </c>
      <c r="O57" s="197"/>
      <c r="P57" s="198"/>
      <c r="Q57" s="703" t="str">
        <f>IF($P57="","","ĐNSX"&amp; IF(LEN($P57)=1,"0" &amp; $P57,$P57) &amp; "/" &amp; ThongTinChung!$C$5)</f>
        <v/>
      </c>
      <c r="R57" s="100" t="str">
        <f t="shared" ca="1" si="11"/>
        <v/>
      </c>
      <c r="S57" s="194" t="str">
        <f>IF($B57="","","C" &amp; ROW(MauKoXoa!$C$108) &amp; ":C" &amp;ROW(MauKoXoa!$C$174))</f>
        <v/>
      </c>
      <c r="T57" s="198" t="str">
        <f t="shared" ca="1" si="6"/>
        <v/>
      </c>
      <c r="U57" s="198" t="str">
        <f t="shared" ca="1" si="7"/>
        <v/>
      </c>
      <c r="V57" s="650" t="str">
        <f ca="1">IF(COUNTIF($V$10:$V56,IFERROR(INDEX(DanhMuc!$J$154:$J$165,MATCH($T57,DanhMuc!$B$154:$B$165,0)),""))&lt;1,IFERROR(INDEX(DanhMuc!$J$154:$J$165,MATCH($T57,DanhMuc!$B$154:$B$165,0)),""),"")</f>
        <v/>
      </c>
      <c r="W57" s="650" t="str">
        <f ca="1">IF(COUNTIF($W$10:$W56,IFERROR(INDEX(DanhMuc!$D$168:$D$177,MATCH($U57,DanhMuc!$C$168:$C$177,0)),""))&lt;1,IFERROR(INDEX(DanhMuc!$D$168:$D$177,MATCH($U57,DanhMuc!$C$168:$C$177,0)),""),"")</f>
        <v/>
      </c>
      <c r="X57" s="650" t="str">
        <f ca="1">IFERROR(INDEX(DanhMuc!$K$154:$K$165,MATCH($T57,DanhMuc!$B$154:$B$165,0)),"")</f>
        <v/>
      </c>
      <c r="Y57" s="653" t="str">
        <f t="shared" ca="1" si="8"/>
        <v/>
      </c>
      <c r="Z57" s="653" t="str">
        <f t="shared" ca="1" si="9"/>
        <v/>
      </c>
      <c r="AA57" s="757">
        <f t="shared" ca="1" si="12"/>
        <v>0</v>
      </c>
      <c r="AB57" s="757">
        <f t="shared" ca="1" si="12"/>
        <v>0</v>
      </c>
      <c r="AC57" s="757">
        <f t="shared" ca="1" si="12"/>
        <v>0</v>
      </c>
      <c r="AD57" s="757">
        <f t="shared" ca="1" si="12"/>
        <v>0</v>
      </c>
      <c r="AE57" s="757">
        <f t="shared" ca="1" si="12"/>
        <v>0</v>
      </c>
      <c r="AF57" s="757">
        <f t="shared" ca="1" si="12"/>
        <v>0</v>
      </c>
      <c r="AG57" s="198"/>
      <c r="AH57" s="1079" t="s">
        <v>3365</v>
      </c>
      <c r="AI57" s="1080"/>
      <c r="AJ57" s="1080"/>
      <c r="AK57" s="1081" t="s">
        <v>3365</v>
      </c>
      <c r="AL57" s="1081" t="s">
        <v>3365</v>
      </c>
      <c r="AM57" s="1081" t="s">
        <v>3365</v>
      </c>
      <c r="AN57" s="1081" t="s">
        <v>3365</v>
      </c>
      <c r="AO57" s="1083">
        <v>0</v>
      </c>
      <c r="AP57" s="1083" t="s">
        <v>3365</v>
      </c>
      <c r="AQ57" s="1084"/>
      <c r="AR57" s="1085"/>
      <c r="AS57" s="1086" t="s">
        <v>3365</v>
      </c>
      <c r="AT57" s="1086"/>
      <c r="AU57" s="1087"/>
    </row>
    <row r="58" spans="1:47" s="42" customFormat="1" ht="19.899999999999999" customHeight="1">
      <c r="A58" s="37" t="str">
        <f>IF(B58="","",MAX($A$10:A57)+1)</f>
        <v/>
      </c>
      <c r="B58" s="718"/>
      <c r="C58" s="643">
        <f ca="1">IFERROR(VLOOKUP(A58,TinhGia!$B$11:$N$80,2,0),"")</f>
        <v>0</v>
      </c>
      <c r="D58" s="643" t="str">
        <f ca="1">IF(AK58="",IFERROR(VLOOKUP(B58,TinhGia!$B$11:$N$80,3,0),""),AK58)</f>
        <v/>
      </c>
      <c r="E58" s="203" t="str">
        <f ca="1">IF(AL58="",IFERROR(VLOOKUP(B58,TinhGia!$B$11:$N$80,4,0),""),AL58)</f>
        <v/>
      </c>
      <c r="F58" s="203" t="str">
        <f ca="1">IF(AM58="",IFERROR(VLOOKUP(B58,TinhGia!$B$11:$N$80,5,0),""),AM58)</f>
        <v/>
      </c>
      <c r="G58" s="203" t="str">
        <f ca="1">IF(AN58="",IFERROR(VLOOKUP(B58,TinhGia!$B$11:$N$80,6,0),""),AN58)</f>
        <v/>
      </c>
      <c r="H58" s="1136">
        <f t="shared" ca="1" si="2"/>
        <v>0</v>
      </c>
      <c r="I58" s="38" t="str">
        <f ca="1">IF(AP58="",IFERROR(VLOOKUP(B58,TinhGia!$B$11:$N$80,8,0),""),AP58)</f>
        <v/>
      </c>
      <c r="J58" s="39">
        <f t="shared" ca="1" si="3"/>
        <v>0</v>
      </c>
      <c r="K58" s="1200">
        <f t="shared" ca="1" si="4"/>
        <v>0</v>
      </c>
      <c r="L58" s="40" t="str">
        <f ca="1">IF(AS58="",IFERROR(VLOOKUP(B58,TinhGia!$B$11:$N$80,11,0),""),AS58)</f>
        <v/>
      </c>
      <c r="M58" s="40" t="str">
        <f ca="1">IF(AT58="",IFERROR(VLOOKUP(B58,TinhGia!$B$11:$N$80,12,0),""),AT58)</f>
        <v/>
      </c>
      <c r="N58" s="41">
        <f t="shared" ca="1" si="5"/>
        <v>0</v>
      </c>
      <c r="O58" s="197"/>
      <c r="P58" s="198"/>
      <c r="Q58" s="703" t="str">
        <f>IF($P58="","","ĐNSX"&amp; IF(LEN($P58)=1,"0" &amp; $P58,$P58) &amp; "/" &amp; ThongTinChung!$C$5)</f>
        <v/>
      </c>
      <c r="R58" s="100" t="str">
        <f t="shared" ca="1" si="11"/>
        <v/>
      </c>
      <c r="S58" s="194" t="str">
        <f>IF($B58="","","C" &amp; ROW(MauKoXoa!$C$108) &amp; ":C" &amp;ROW(MauKoXoa!$C$174))</f>
        <v/>
      </c>
      <c r="T58" s="198" t="str">
        <f t="shared" ca="1" si="6"/>
        <v/>
      </c>
      <c r="U58" s="198" t="str">
        <f t="shared" ca="1" si="7"/>
        <v/>
      </c>
      <c r="V58" s="650" t="str">
        <f ca="1">IF(COUNTIF($V$10:$V57,IFERROR(INDEX(DanhMuc!$J$154:$J$165,MATCH($T58,DanhMuc!$B$154:$B$165,0)),""))&lt;1,IFERROR(INDEX(DanhMuc!$J$154:$J$165,MATCH($T58,DanhMuc!$B$154:$B$165,0)),""),"")</f>
        <v/>
      </c>
      <c r="W58" s="650" t="str">
        <f ca="1">IF(COUNTIF($W$10:$W57,IFERROR(INDEX(DanhMuc!$D$168:$D$177,MATCH($U58,DanhMuc!$C$168:$C$177,0)),""))&lt;1,IFERROR(INDEX(DanhMuc!$D$168:$D$177,MATCH($U58,DanhMuc!$C$168:$C$177,0)),""),"")</f>
        <v/>
      </c>
      <c r="X58" s="650" t="str">
        <f ca="1">IFERROR(INDEX(DanhMuc!$K$154:$K$165,MATCH($T58,DanhMuc!$B$154:$B$165,0)),"")</f>
        <v/>
      </c>
      <c r="Y58" s="653" t="str">
        <f t="shared" ca="1" si="8"/>
        <v/>
      </c>
      <c r="Z58" s="653" t="str">
        <f t="shared" ca="1" si="9"/>
        <v/>
      </c>
      <c r="AA58" s="757">
        <f t="shared" ca="1" si="12"/>
        <v>0</v>
      </c>
      <c r="AB58" s="757">
        <f t="shared" ca="1" si="12"/>
        <v>0</v>
      </c>
      <c r="AC58" s="757">
        <f t="shared" ca="1" si="12"/>
        <v>0</v>
      </c>
      <c r="AD58" s="757">
        <f t="shared" ca="1" si="12"/>
        <v>0</v>
      </c>
      <c r="AE58" s="757">
        <f t="shared" ca="1" si="12"/>
        <v>0</v>
      </c>
      <c r="AF58" s="757">
        <f t="shared" ca="1" si="12"/>
        <v>0</v>
      </c>
      <c r="AG58" s="198"/>
      <c r="AH58" s="1079" t="s">
        <v>3365</v>
      </c>
      <c r="AI58" s="1080"/>
      <c r="AJ58" s="1080"/>
      <c r="AK58" s="1081" t="s">
        <v>3365</v>
      </c>
      <c r="AL58" s="1081" t="s">
        <v>3365</v>
      </c>
      <c r="AM58" s="1081" t="s">
        <v>3365</v>
      </c>
      <c r="AN58" s="1081" t="s">
        <v>3365</v>
      </c>
      <c r="AO58" s="1083">
        <v>0</v>
      </c>
      <c r="AP58" s="1083" t="s">
        <v>3365</v>
      </c>
      <c r="AQ58" s="1084"/>
      <c r="AR58" s="1085"/>
      <c r="AS58" s="1086" t="s">
        <v>3365</v>
      </c>
      <c r="AT58" s="1086"/>
      <c r="AU58" s="1087"/>
    </row>
    <row r="59" spans="1:47" s="42" customFormat="1" ht="19.899999999999999" customHeight="1">
      <c r="A59" s="37" t="str">
        <f>IF(B59="","",MAX($A$10:A58)+1)</f>
        <v/>
      </c>
      <c r="B59" s="718"/>
      <c r="C59" s="643">
        <f ca="1">IFERROR(VLOOKUP(A59,TinhGia!$B$11:$N$80,2,0),"")</f>
        <v>0</v>
      </c>
      <c r="D59" s="643" t="str">
        <f ca="1">IF(AK59="",IFERROR(VLOOKUP(B59,TinhGia!$B$11:$N$80,3,0),""),AK59)</f>
        <v/>
      </c>
      <c r="E59" s="203" t="str">
        <f ca="1">IF(AL59="",IFERROR(VLOOKUP(B59,TinhGia!$B$11:$N$80,4,0),""),AL59)</f>
        <v/>
      </c>
      <c r="F59" s="203" t="str">
        <f ca="1">IF(AM59="",IFERROR(VLOOKUP(B59,TinhGia!$B$11:$N$80,5,0),""),AM59)</f>
        <v/>
      </c>
      <c r="G59" s="203" t="str">
        <f ca="1">IF(AN59="",IFERROR(VLOOKUP(B59,TinhGia!$B$11:$N$80,6,0),""),AN59)</f>
        <v/>
      </c>
      <c r="H59" s="1136">
        <f t="shared" ca="1" si="2"/>
        <v>0</v>
      </c>
      <c r="I59" s="38" t="str">
        <f ca="1">IF(AP59="",IFERROR(VLOOKUP(B59,TinhGia!$B$11:$N$80,8,0),""),AP59)</f>
        <v/>
      </c>
      <c r="J59" s="39">
        <f t="shared" ca="1" si="3"/>
        <v>0</v>
      </c>
      <c r="K59" s="1200">
        <f t="shared" ca="1" si="4"/>
        <v>0</v>
      </c>
      <c r="L59" s="40" t="str">
        <f ca="1">IF(AS59="",IFERROR(VLOOKUP(B59,TinhGia!$B$11:$N$80,11,0),""),AS59)</f>
        <v/>
      </c>
      <c r="M59" s="40" t="str">
        <f ca="1">IF(AT59="",IFERROR(VLOOKUP(B59,TinhGia!$B$11:$N$80,12,0),""),AT59)</f>
        <v/>
      </c>
      <c r="N59" s="41">
        <f t="shared" ca="1" si="5"/>
        <v>0</v>
      </c>
      <c r="O59" s="197"/>
      <c r="P59" s="198"/>
      <c r="Q59" s="703" t="str">
        <f>IF($P59="","","ĐNSX"&amp; IF(LEN($P59)=1,"0" &amp; $P59,$P59) &amp; "/" &amp; ThongTinChung!$C$5)</f>
        <v/>
      </c>
      <c r="R59" s="100" t="str">
        <f t="shared" ca="1" si="11"/>
        <v/>
      </c>
      <c r="S59" s="194" t="str">
        <f>IF($B59="","","C" &amp; ROW(MauKoXoa!$C$108) &amp; ":C" &amp;ROW(MauKoXoa!$C$174))</f>
        <v/>
      </c>
      <c r="T59" s="198" t="str">
        <f t="shared" ca="1" si="6"/>
        <v/>
      </c>
      <c r="U59" s="198" t="str">
        <f t="shared" ca="1" si="7"/>
        <v/>
      </c>
      <c r="V59" s="650" t="str">
        <f ca="1">IF(COUNTIF($V$10:$V58,IFERROR(INDEX(DanhMuc!$J$154:$J$165,MATCH($T59,DanhMuc!$B$154:$B$165,0)),""))&lt;1,IFERROR(INDEX(DanhMuc!$J$154:$J$165,MATCH($T59,DanhMuc!$B$154:$B$165,0)),""),"")</f>
        <v/>
      </c>
      <c r="W59" s="650" t="str">
        <f ca="1">IF(COUNTIF($W$10:$W58,IFERROR(INDEX(DanhMuc!$D$168:$D$177,MATCH($U59,DanhMuc!$C$168:$C$177,0)),""))&lt;1,IFERROR(INDEX(DanhMuc!$D$168:$D$177,MATCH($U59,DanhMuc!$C$168:$C$177,0)),""),"")</f>
        <v/>
      </c>
      <c r="X59" s="650" t="str">
        <f ca="1">IFERROR(INDEX(DanhMuc!$K$154:$K$165,MATCH($T59,DanhMuc!$B$154:$B$165,0)),"")</f>
        <v/>
      </c>
      <c r="Y59" s="653" t="str">
        <f t="shared" ca="1" si="8"/>
        <v/>
      </c>
      <c r="Z59" s="653" t="str">
        <f t="shared" ca="1" si="9"/>
        <v/>
      </c>
      <c r="AA59" s="757">
        <f t="shared" ref="AA59:AF74" ca="1" si="13">IFERROR(INDIRECT("'" &amp; $B59 &amp; "'!" &amp; AA$82),0)</f>
        <v>0</v>
      </c>
      <c r="AB59" s="757">
        <f t="shared" ca="1" si="13"/>
        <v>0</v>
      </c>
      <c r="AC59" s="757">
        <f t="shared" ca="1" si="13"/>
        <v>0</v>
      </c>
      <c r="AD59" s="757">
        <f t="shared" ca="1" si="13"/>
        <v>0</v>
      </c>
      <c r="AE59" s="757">
        <f t="shared" ca="1" si="13"/>
        <v>0</v>
      </c>
      <c r="AF59" s="757">
        <f t="shared" ca="1" si="13"/>
        <v>0</v>
      </c>
      <c r="AG59" s="198"/>
      <c r="AH59" s="1079" t="s">
        <v>3365</v>
      </c>
      <c r="AI59" s="1080"/>
      <c r="AJ59" s="1080"/>
      <c r="AK59" s="1081" t="s">
        <v>3365</v>
      </c>
      <c r="AL59" s="1081" t="s">
        <v>3365</v>
      </c>
      <c r="AM59" s="1081" t="s">
        <v>3365</v>
      </c>
      <c r="AN59" s="1081" t="s">
        <v>3365</v>
      </c>
      <c r="AO59" s="1083">
        <v>0</v>
      </c>
      <c r="AP59" s="1083" t="s">
        <v>3365</v>
      </c>
      <c r="AQ59" s="1084"/>
      <c r="AR59" s="1085"/>
      <c r="AS59" s="1086" t="s">
        <v>3365</v>
      </c>
      <c r="AT59" s="1086"/>
      <c r="AU59" s="1087"/>
    </row>
    <row r="60" spans="1:47" s="42" customFormat="1" ht="19.899999999999999" customHeight="1">
      <c r="A60" s="37" t="str">
        <f>IF(B60="","",MAX($A$10:A59)+1)</f>
        <v/>
      </c>
      <c r="B60" s="718"/>
      <c r="C60" s="643">
        <f ca="1">IFERROR(VLOOKUP(A60,TinhGia!$B$11:$N$80,2,0),"")</f>
        <v>0</v>
      </c>
      <c r="D60" s="643" t="str">
        <f ca="1">IF(AK60="",IFERROR(VLOOKUP(B60,TinhGia!$B$11:$N$80,3,0),""),AK60)</f>
        <v/>
      </c>
      <c r="E60" s="203" t="str">
        <f ca="1">IF(AL60="",IFERROR(VLOOKUP(B60,TinhGia!$B$11:$N$80,4,0),""),AL60)</f>
        <v/>
      </c>
      <c r="F60" s="203" t="str">
        <f ca="1">IF(AM60="",IFERROR(VLOOKUP(B60,TinhGia!$B$11:$N$80,5,0),""),AM60)</f>
        <v/>
      </c>
      <c r="G60" s="203" t="str">
        <f ca="1">IF(AN60="",IFERROR(VLOOKUP(B60,TinhGia!$B$11:$N$80,6,0),""),AN60)</f>
        <v/>
      </c>
      <c r="H60" s="1136">
        <f t="shared" ca="1" si="2"/>
        <v>0</v>
      </c>
      <c r="I60" s="38" t="str">
        <f ca="1">IF(AP60="",IFERROR(VLOOKUP(B60,TinhGia!$B$11:$N$80,8,0),""),AP60)</f>
        <v/>
      </c>
      <c r="J60" s="39">
        <f t="shared" ca="1" si="3"/>
        <v>0</v>
      </c>
      <c r="K60" s="1200">
        <f t="shared" ca="1" si="4"/>
        <v>0</v>
      </c>
      <c r="L60" s="40" t="str">
        <f ca="1">IF(AS60="",IFERROR(VLOOKUP(B60,TinhGia!$B$11:$N$80,11,0),""),AS60)</f>
        <v/>
      </c>
      <c r="M60" s="40" t="str">
        <f ca="1">IF(AT60="",IFERROR(VLOOKUP(B60,TinhGia!$B$11:$N$80,12,0),""),AT60)</f>
        <v/>
      </c>
      <c r="N60" s="41">
        <f t="shared" ca="1" si="5"/>
        <v>0</v>
      </c>
      <c r="O60" s="197"/>
      <c r="P60" s="198"/>
      <c r="Q60" s="703" t="str">
        <f>IF($P60="","","ĐNSX"&amp; IF(LEN($P60)=1,"0" &amp; $P60,$P60) &amp; "/" &amp; ThongTinChung!$C$5)</f>
        <v/>
      </c>
      <c r="R60" s="100" t="str">
        <f t="shared" ca="1" si="11"/>
        <v/>
      </c>
      <c r="S60" s="194" t="str">
        <f>IF($B60="","","C" &amp; ROW(MauKoXoa!$C$108) &amp; ":C" &amp;ROW(MauKoXoa!$C$174))</f>
        <v/>
      </c>
      <c r="T60" s="198" t="str">
        <f t="shared" ca="1" si="6"/>
        <v/>
      </c>
      <c r="U60" s="198" t="str">
        <f t="shared" ca="1" si="7"/>
        <v/>
      </c>
      <c r="V60" s="650" t="str">
        <f ca="1">IF(COUNTIF($V$10:$V59,IFERROR(INDEX(DanhMuc!$J$154:$J$165,MATCH($T60,DanhMuc!$B$154:$B$165,0)),""))&lt;1,IFERROR(INDEX(DanhMuc!$J$154:$J$165,MATCH($T60,DanhMuc!$B$154:$B$165,0)),""),"")</f>
        <v/>
      </c>
      <c r="W60" s="650" t="str">
        <f ca="1">IF(COUNTIF($W$10:$W59,IFERROR(INDEX(DanhMuc!$D$168:$D$177,MATCH($U60,DanhMuc!$C$168:$C$177,0)),""))&lt;1,IFERROR(INDEX(DanhMuc!$D$168:$D$177,MATCH($U60,DanhMuc!$C$168:$C$177,0)),""),"")</f>
        <v/>
      </c>
      <c r="X60" s="650" t="str">
        <f ca="1">IFERROR(INDEX(DanhMuc!$K$154:$K$165,MATCH($T60,DanhMuc!$B$154:$B$165,0)),"")</f>
        <v/>
      </c>
      <c r="Y60" s="653" t="str">
        <f t="shared" ca="1" si="8"/>
        <v/>
      </c>
      <c r="Z60" s="653" t="str">
        <f t="shared" ca="1" si="9"/>
        <v/>
      </c>
      <c r="AA60" s="757">
        <f t="shared" ca="1" si="13"/>
        <v>0</v>
      </c>
      <c r="AB60" s="757">
        <f t="shared" ca="1" si="13"/>
        <v>0</v>
      </c>
      <c r="AC60" s="757">
        <f t="shared" ca="1" si="13"/>
        <v>0</v>
      </c>
      <c r="AD60" s="757">
        <f t="shared" ca="1" si="13"/>
        <v>0</v>
      </c>
      <c r="AE60" s="757">
        <f t="shared" ca="1" si="13"/>
        <v>0</v>
      </c>
      <c r="AF60" s="757">
        <f t="shared" ca="1" si="13"/>
        <v>0</v>
      </c>
      <c r="AG60" s="198"/>
      <c r="AH60" s="1079" t="s">
        <v>3365</v>
      </c>
      <c r="AI60" s="1080"/>
      <c r="AJ60" s="1080"/>
      <c r="AK60" s="1081" t="s">
        <v>3365</v>
      </c>
      <c r="AL60" s="1081" t="s">
        <v>3365</v>
      </c>
      <c r="AM60" s="1081" t="s">
        <v>3365</v>
      </c>
      <c r="AN60" s="1081" t="s">
        <v>3365</v>
      </c>
      <c r="AO60" s="1083">
        <v>0</v>
      </c>
      <c r="AP60" s="1083" t="s">
        <v>3365</v>
      </c>
      <c r="AQ60" s="1084"/>
      <c r="AR60" s="1085"/>
      <c r="AS60" s="1086" t="s">
        <v>3365</v>
      </c>
      <c r="AT60" s="1086"/>
      <c r="AU60" s="1087"/>
    </row>
    <row r="61" spans="1:47" s="42" customFormat="1" ht="19.899999999999999" customHeight="1">
      <c r="A61" s="37" t="str">
        <f>IF(B61="","",MAX($A$10:A60)+1)</f>
        <v/>
      </c>
      <c r="B61" s="718"/>
      <c r="C61" s="643">
        <f ca="1">IFERROR(VLOOKUP(A61,TinhGia!$B$11:$N$80,2,0),"")</f>
        <v>0</v>
      </c>
      <c r="D61" s="643" t="str">
        <f ca="1">IF(AK61="",IFERROR(VLOOKUP(B61,TinhGia!$B$11:$N$80,3,0),""),AK61)</f>
        <v/>
      </c>
      <c r="E61" s="203" t="str">
        <f ca="1">IF(AL61="",IFERROR(VLOOKUP(B61,TinhGia!$B$11:$N$80,4,0),""),AL61)</f>
        <v/>
      </c>
      <c r="F61" s="203" t="str">
        <f ca="1">IF(AM61="",IFERROR(VLOOKUP(B61,TinhGia!$B$11:$N$80,5,0),""),AM61)</f>
        <v/>
      </c>
      <c r="G61" s="203" t="str">
        <f ca="1">IF(AN61="",IFERROR(VLOOKUP(B61,TinhGia!$B$11:$N$80,6,0),""),AN61)</f>
        <v/>
      </c>
      <c r="H61" s="1136">
        <f t="shared" ca="1" si="2"/>
        <v>0</v>
      </c>
      <c r="I61" s="38" t="str">
        <f ca="1">IF(AP61="",IFERROR(VLOOKUP(B61,TinhGia!$B$11:$N$80,8,0),""),AP61)</f>
        <v/>
      </c>
      <c r="J61" s="39">
        <f t="shared" ca="1" si="3"/>
        <v>0</v>
      </c>
      <c r="K61" s="1200">
        <f t="shared" ca="1" si="4"/>
        <v>0</v>
      </c>
      <c r="L61" s="40" t="str">
        <f ca="1">IF(AS61="",IFERROR(VLOOKUP(B61,TinhGia!$B$11:$N$80,11,0),""),AS61)</f>
        <v/>
      </c>
      <c r="M61" s="40" t="str">
        <f ca="1">IF(AT61="",IFERROR(VLOOKUP(B61,TinhGia!$B$11:$N$80,12,0),""),AT61)</f>
        <v/>
      </c>
      <c r="N61" s="41">
        <f t="shared" ca="1" si="5"/>
        <v>0</v>
      </c>
      <c r="O61" s="197"/>
      <c r="P61" s="198"/>
      <c r="Q61" s="703" t="str">
        <f>IF($P61="","","ĐNSX"&amp; IF(LEN($P61)=1,"0" &amp; $P61,$P61) &amp; "/" &amp; ThongTinChung!$C$5)</f>
        <v/>
      </c>
      <c r="R61" s="100" t="str">
        <f t="shared" ca="1" si="11"/>
        <v/>
      </c>
      <c r="S61" s="194" t="str">
        <f>IF($B61="","","C" &amp; ROW(MauKoXoa!$C$108) &amp; ":C" &amp;ROW(MauKoXoa!$C$174))</f>
        <v/>
      </c>
      <c r="T61" s="198" t="str">
        <f t="shared" ca="1" si="6"/>
        <v/>
      </c>
      <c r="U61" s="198" t="str">
        <f t="shared" ca="1" si="7"/>
        <v/>
      </c>
      <c r="V61" s="650" t="str">
        <f ca="1">IF(COUNTIF($V$10:$V60,IFERROR(INDEX(DanhMuc!$J$154:$J$165,MATCH($T61,DanhMuc!$B$154:$B$165,0)),""))&lt;1,IFERROR(INDEX(DanhMuc!$J$154:$J$165,MATCH($T61,DanhMuc!$B$154:$B$165,0)),""),"")</f>
        <v/>
      </c>
      <c r="W61" s="650" t="str">
        <f ca="1">IF(COUNTIF($W$10:$W60,IFERROR(INDEX(DanhMuc!$D$168:$D$177,MATCH($U61,DanhMuc!$C$168:$C$177,0)),""))&lt;1,IFERROR(INDEX(DanhMuc!$D$168:$D$177,MATCH($U61,DanhMuc!$C$168:$C$177,0)),""),"")</f>
        <v/>
      </c>
      <c r="X61" s="650" t="str">
        <f ca="1">IFERROR(INDEX(DanhMuc!$K$154:$K$165,MATCH($T61,DanhMuc!$B$154:$B$165,0)),"")</f>
        <v/>
      </c>
      <c r="Y61" s="653" t="str">
        <f t="shared" ca="1" si="8"/>
        <v/>
      </c>
      <c r="Z61" s="653" t="str">
        <f t="shared" ca="1" si="9"/>
        <v/>
      </c>
      <c r="AA61" s="757">
        <f t="shared" ca="1" si="13"/>
        <v>0</v>
      </c>
      <c r="AB61" s="757">
        <f t="shared" ca="1" si="13"/>
        <v>0</v>
      </c>
      <c r="AC61" s="757">
        <f t="shared" ca="1" si="13"/>
        <v>0</v>
      </c>
      <c r="AD61" s="757">
        <f t="shared" ca="1" si="13"/>
        <v>0</v>
      </c>
      <c r="AE61" s="757">
        <f t="shared" ca="1" si="13"/>
        <v>0</v>
      </c>
      <c r="AF61" s="757">
        <f t="shared" ca="1" si="13"/>
        <v>0</v>
      </c>
      <c r="AG61" s="198"/>
      <c r="AH61" s="1079" t="s">
        <v>3365</v>
      </c>
      <c r="AI61" s="1080"/>
      <c r="AJ61" s="1080"/>
      <c r="AK61" s="1081" t="s">
        <v>3365</v>
      </c>
      <c r="AL61" s="1081" t="s">
        <v>3365</v>
      </c>
      <c r="AM61" s="1081" t="s">
        <v>3365</v>
      </c>
      <c r="AN61" s="1081" t="s">
        <v>3365</v>
      </c>
      <c r="AO61" s="1083">
        <v>0</v>
      </c>
      <c r="AP61" s="1083" t="s">
        <v>3365</v>
      </c>
      <c r="AQ61" s="1084"/>
      <c r="AR61" s="1085"/>
      <c r="AS61" s="1086" t="s">
        <v>3365</v>
      </c>
      <c r="AT61" s="1086"/>
      <c r="AU61" s="1087"/>
    </row>
    <row r="62" spans="1:47" s="42" customFormat="1" ht="19.899999999999999" customHeight="1">
      <c r="A62" s="37" t="str">
        <f>IF(B62="","",MAX($A$10:A61)+1)</f>
        <v/>
      </c>
      <c r="B62" s="718"/>
      <c r="C62" s="643">
        <f ca="1">IFERROR(VLOOKUP(A62,TinhGia!$B$11:$N$80,2,0),"")</f>
        <v>0</v>
      </c>
      <c r="D62" s="643" t="str">
        <f ca="1">IF(AK62="",IFERROR(VLOOKUP(B62,TinhGia!$B$11:$N$80,3,0),""),AK62)</f>
        <v/>
      </c>
      <c r="E62" s="203" t="str">
        <f ca="1">IF(AL62="",IFERROR(VLOOKUP(B62,TinhGia!$B$11:$N$80,4,0),""),AL62)</f>
        <v/>
      </c>
      <c r="F62" s="203" t="str">
        <f ca="1">IF(AM62="",IFERROR(VLOOKUP(B62,TinhGia!$B$11:$N$80,5,0),""),AM62)</f>
        <v/>
      </c>
      <c r="G62" s="203" t="str">
        <f ca="1">IF(AN62="",IFERROR(VLOOKUP(B62,TinhGia!$B$11:$N$80,6,0),""),AN62)</f>
        <v/>
      </c>
      <c r="H62" s="1136">
        <f t="shared" ca="1" si="2"/>
        <v>0</v>
      </c>
      <c r="I62" s="38" t="str">
        <f ca="1">IF(AP62="",IFERROR(VLOOKUP(B62,TinhGia!$B$11:$N$80,8,0),""),AP62)</f>
        <v/>
      </c>
      <c r="J62" s="39">
        <f t="shared" ca="1" si="3"/>
        <v>0</v>
      </c>
      <c r="K62" s="1200">
        <f t="shared" ca="1" si="4"/>
        <v>0</v>
      </c>
      <c r="L62" s="40" t="str">
        <f ca="1">IF(AS62="",IFERROR(VLOOKUP(B62,TinhGia!$B$11:$N$80,11,0),""),AS62)</f>
        <v/>
      </c>
      <c r="M62" s="40" t="str">
        <f ca="1">IF(AT62="",IFERROR(VLOOKUP(B62,TinhGia!$B$11:$N$80,12,0),""),AT62)</f>
        <v/>
      </c>
      <c r="N62" s="41">
        <f t="shared" ca="1" si="5"/>
        <v>0</v>
      </c>
      <c r="O62" s="197"/>
      <c r="P62" s="198"/>
      <c r="Q62" s="703" t="str">
        <f>IF($P62="","","ĐNSX"&amp; IF(LEN($P62)=1,"0" &amp; $P62,$P62) &amp; "/" &amp; ThongTinChung!$C$5)</f>
        <v/>
      </c>
      <c r="R62" s="100" t="str">
        <f t="shared" ca="1" si="11"/>
        <v/>
      </c>
      <c r="S62" s="194" t="str">
        <f>IF($B62="","","C" &amp; ROW(MauKoXoa!$C$108) &amp; ":C" &amp;ROW(MauKoXoa!$C$174))</f>
        <v/>
      </c>
      <c r="T62" s="198" t="str">
        <f t="shared" ca="1" si="6"/>
        <v/>
      </c>
      <c r="U62" s="198" t="str">
        <f t="shared" ca="1" si="7"/>
        <v/>
      </c>
      <c r="V62" s="650" t="str">
        <f ca="1">IF(COUNTIF($V$10:$V61,IFERROR(INDEX(DanhMuc!$J$154:$J$165,MATCH($T62,DanhMuc!$B$154:$B$165,0)),""))&lt;1,IFERROR(INDEX(DanhMuc!$J$154:$J$165,MATCH($T62,DanhMuc!$B$154:$B$165,0)),""),"")</f>
        <v/>
      </c>
      <c r="W62" s="650" t="str">
        <f ca="1">IF(COUNTIF($W$10:$W61,IFERROR(INDEX(DanhMuc!$D$168:$D$177,MATCH($U62,DanhMuc!$C$168:$C$177,0)),""))&lt;1,IFERROR(INDEX(DanhMuc!$D$168:$D$177,MATCH($U62,DanhMuc!$C$168:$C$177,0)),""),"")</f>
        <v/>
      </c>
      <c r="X62" s="650" t="str">
        <f ca="1">IFERROR(INDEX(DanhMuc!$K$154:$K$165,MATCH($T62,DanhMuc!$B$154:$B$165,0)),"")</f>
        <v/>
      </c>
      <c r="Y62" s="653" t="str">
        <f t="shared" ca="1" si="8"/>
        <v/>
      </c>
      <c r="Z62" s="653" t="str">
        <f t="shared" ca="1" si="9"/>
        <v/>
      </c>
      <c r="AA62" s="757">
        <f t="shared" ca="1" si="13"/>
        <v>0</v>
      </c>
      <c r="AB62" s="757">
        <f t="shared" ca="1" si="13"/>
        <v>0</v>
      </c>
      <c r="AC62" s="757">
        <f t="shared" ca="1" si="13"/>
        <v>0</v>
      </c>
      <c r="AD62" s="757">
        <f t="shared" ca="1" si="13"/>
        <v>0</v>
      </c>
      <c r="AE62" s="757">
        <f t="shared" ca="1" si="13"/>
        <v>0</v>
      </c>
      <c r="AF62" s="757">
        <f t="shared" ca="1" si="13"/>
        <v>0</v>
      </c>
      <c r="AG62" s="198"/>
      <c r="AH62" s="1079" t="s">
        <v>3365</v>
      </c>
      <c r="AI62" s="1080"/>
      <c r="AJ62" s="1080"/>
      <c r="AK62" s="1081" t="s">
        <v>3365</v>
      </c>
      <c r="AL62" s="1081" t="s">
        <v>3365</v>
      </c>
      <c r="AM62" s="1081" t="s">
        <v>3365</v>
      </c>
      <c r="AN62" s="1081" t="s">
        <v>3365</v>
      </c>
      <c r="AO62" s="1083">
        <v>0</v>
      </c>
      <c r="AP62" s="1083" t="s">
        <v>3365</v>
      </c>
      <c r="AQ62" s="1084"/>
      <c r="AR62" s="1085"/>
      <c r="AS62" s="1086" t="s">
        <v>3365</v>
      </c>
      <c r="AT62" s="1086"/>
      <c r="AU62" s="1087"/>
    </row>
    <row r="63" spans="1:47" s="42" customFormat="1" ht="19.899999999999999" customHeight="1">
      <c r="A63" s="37" t="str">
        <f>IF(B63="","",MAX($A$10:A62)+1)</f>
        <v/>
      </c>
      <c r="B63" s="718"/>
      <c r="C63" s="643">
        <f ca="1">IFERROR(VLOOKUP(A63,TinhGia!$B$11:$N$80,2,0),"")</f>
        <v>0</v>
      </c>
      <c r="D63" s="643" t="str">
        <f ca="1">IF(AK63="",IFERROR(VLOOKUP(B63,TinhGia!$B$11:$N$80,3,0),""),AK63)</f>
        <v/>
      </c>
      <c r="E63" s="203" t="str">
        <f ca="1">IF(AL63="",IFERROR(VLOOKUP(B63,TinhGia!$B$11:$N$80,4,0),""),AL63)</f>
        <v/>
      </c>
      <c r="F63" s="203" t="str">
        <f ca="1">IF(AM63="",IFERROR(VLOOKUP(B63,TinhGia!$B$11:$N$80,5,0),""),AM63)</f>
        <v/>
      </c>
      <c r="G63" s="203" t="str">
        <f ca="1">IF(AN63="",IFERROR(VLOOKUP(B63,TinhGia!$B$11:$N$80,6,0),""),AN63)</f>
        <v/>
      </c>
      <c r="H63" s="1136">
        <f t="shared" ca="1" si="2"/>
        <v>0</v>
      </c>
      <c r="I63" s="38" t="str">
        <f ca="1">IF(AP63="",IFERROR(VLOOKUP(B63,TinhGia!$B$11:$N$80,8,0),""),AP63)</f>
        <v/>
      </c>
      <c r="J63" s="39">
        <f t="shared" ca="1" si="3"/>
        <v>0</v>
      </c>
      <c r="K63" s="1200">
        <f t="shared" ca="1" si="4"/>
        <v>0</v>
      </c>
      <c r="L63" s="40" t="str">
        <f ca="1">IF(AS63="",IFERROR(VLOOKUP(B63,TinhGia!$B$11:$N$80,11,0),""),AS63)</f>
        <v/>
      </c>
      <c r="M63" s="40" t="str">
        <f ca="1">IF(AT63="",IFERROR(VLOOKUP(B63,TinhGia!$B$11:$N$80,12,0),""),AT63)</f>
        <v/>
      </c>
      <c r="N63" s="41">
        <f t="shared" ca="1" si="5"/>
        <v>0</v>
      </c>
      <c r="O63" s="197"/>
      <c r="P63" s="198"/>
      <c r="Q63" s="703" t="str">
        <f>IF($P63="","","ĐNSX"&amp; IF(LEN($P63)=1,"0" &amp; $P63,$P63) &amp; "/" &amp; ThongTinChung!$C$5)</f>
        <v/>
      </c>
      <c r="R63" s="100" t="str">
        <f t="shared" ca="1" si="11"/>
        <v/>
      </c>
      <c r="S63" s="194" t="str">
        <f>IF($B63="","","C" &amp; ROW(MauKoXoa!$C$108) &amp; ":C" &amp;ROW(MauKoXoa!$C$174))</f>
        <v/>
      </c>
      <c r="T63" s="198" t="str">
        <f t="shared" ca="1" si="6"/>
        <v/>
      </c>
      <c r="U63" s="198" t="str">
        <f t="shared" ca="1" si="7"/>
        <v/>
      </c>
      <c r="V63" s="650" t="str">
        <f ca="1">IF(COUNTIF($V$10:$V62,IFERROR(INDEX(DanhMuc!$J$154:$J$165,MATCH($T63,DanhMuc!$B$154:$B$165,0)),""))&lt;1,IFERROR(INDEX(DanhMuc!$J$154:$J$165,MATCH($T63,DanhMuc!$B$154:$B$165,0)),""),"")</f>
        <v/>
      </c>
      <c r="W63" s="650" t="str">
        <f ca="1">IF(COUNTIF($W$10:$W62,IFERROR(INDEX(DanhMuc!$D$168:$D$177,MATCH($U63,DanhMuc!$C$168:$C$177,0)),""))&lt;1,IFERROR(INDEX(DanhMuc!$D$168:$D$177,MATCH($U63,DanhMuc!$C$168:$C$177,0)),""),"")</f>
        <v/>
      </c>
      <c r="X63" s="650" t="str">
        <f ca="1">IFERROR(INDEX(DanhMuc!$K$154:$K$165,MATCH($T63,DanhMuc!$B$154:$B$165,0)),"")</f>
        <v/>
      </c>
      <c r="Y63" s="653" t="str">
        <f t="shared" ca="1" si="8"/>
        <v/>
      </c>
      <c r="Z63" s="653" t="str">
        <f t="shared" ca="1" si="9"/>
        <v/>
      </c>
      <c r="AA63" s="757">
        <f t="shared" ca="1" si="13"/>
        <v>0</v>
      </c>
      <c r="AB63" s="757">
        <f t="shared" ca="1" si="13"/>
        <v>0</v>
      </c>
      <c r="AC63" s="757">
        <f t="shared" ca="1" si="13"/>
        <v>0</v>
      </c>
      <c r="AD63" s="757">
        <f t="shared" ca="1" si="13"/>
        <v>0</v>
      </c>
      <c r="AE63" s="757">
        <f t="shared" ca="1" si="13"/>
        <v>0</v>
      </c>
      <c r="AF63" s="757">
        <f t="shared" ca="1" si="13"/>
        <v>0</v>
      </c>
      <c r="AG63" s="198"/>
      <c r="AH63" s="1079" t="s">
        <v>3365</v>
      </c>
      <c r="AI63" s="1080"/>
      <c r="AJ63" s="1080"/>
      <c r="AK63" s="1081" t="s">
        <v>3365</v>
      </c>
      <c r="AL63" s="1081" t="s">
        <v>3365</v>
      </c>
      <c r="AM63" s="1081" t="s">
        <v>3365</v>
      </c>
      <c r="AN63" s="1081" t="s">
        <v>3365</v>
      </c>
      <c r="AO63" s="1083">
        <v>0</v>
      </c>
      <c r="AP63" s="1083" t="s">
        <v>3365</v>
      </c>
      <c r="AQ63" s="1084"/>
      <c r="AR63" s="1085"/>
      <c r="AS63" s="1086" t="s">
        <v>3365</v>
      </c>
      <c r="AT63" s="1086"/>
      <c r="AU63" s="1087"/>
    </row>
    <row r="64" spans="1:47" s="42" customFormat="1" ht="19.899999999999999" customHeight="1">
      <c r="A64" s="37" t="str">
        <f>IF(B64="","",MAX($A$10:A63)+1)</f>
        <v/>
      </c>
      <c r="B64" s="718"/>
      <c r="C64" s="643">
        <f ca="1">IFERROR(VLOOKUP(A64,TinhGia!$B$11:$N$80,2,0),"")</f>
        <v>0</v>
      </c>
      <c r="D64" s="643" t="str">
        <f ca="1">IF(AK64="",IFERROR(VLOOKUP(B64,TinhGia!$B$11:$N$80,3,0),""),AK64)</f>
        <v/>
      </c>
      <c r="E64" s="203" t="str">
        <f ca="1">IF(AL64="",IFERROR(VLOOKUP(B64,TinhGia!$B$11:$N$80,4,0),""),AL64)</f>
        <v/>
      </c>
      <c r="F64" s="203" t="str">
        <f ca="1">IF(AM64="",IFERROR(VLOOKUP(B64,TinhGia!$B$11:$N$80,5,0),""),AM64)</f>
        <v/>
      </c>
      <c r="G64" s="203" t="str">
        <f ca="1">IF(AN64="",IFERROR(VLOOKUP(B64,TinhGia!$B$11:$N$80,6,0),""),AN64)</f>
        <v/>
      </c>
      <c r="H64" s="1136">
        <f t="shared" ca="1" si="2"/>
        <v>0</v>
      </c>
      <c r="I64" s="38" t="str">
        <f ca="1">IF(AP64="",IFERROR(VLOOKUP(B64,TinhGia!$B$11:$N$80,8,0),""),AP64)</f>
        <v/>
      </c>
      <c r="J64" s="39">
        <f t="shared" ca="1" si="3"/>
        <v>0</v>
      </c>
      <c r="K64" s="1200">
        <f t="shared" ca="1" si="4"/>
        <v>0</v>
      </c>
      <c r="L64" s="40" t="str">
        <f ca="1">IF(AS64="",IFERROR(VLOOKUP(B64,TinhGia!$B$11:$N$80,11,0),""),AS64)</f>
        <v/>
      </c>
      <c r="M64" s="40" t="str">
        <f ca="1">IF(AT64="",IFERROR(VLOOKUP(B64,TinhGia!$B$11:$N$80,12,0),""),AT64)</f>
        <v/>
      </c>
      <c r="N64" s="41">
        <f t="shared" ca="1" si="5"/>
        <v>0</v>
      </c>
      <c r="O64" s="197"/>
      <c r="P64" s="198"/>
      <c r="Q64" s="703" t="str">
        <f>IF($P64="","","ĐNSX"&amp; IF(LEN($P64)=1,"0" &amp; $P64,$P64) &amp; "/" &amp; ThongTinChung!$C$5)</f>
        <v/>
      </c>
      <c r="R64" s="100" t="str">
        <f t="shared" ca="1" si="11"/>
        <v/>
      </c>
      <c r="S64" s="194" t="str">
        <f>IF($B64="","","C" &amp; ROW(MauKoXoa!$C$108) &amp; ":C" &amp;ROW(MauKoXoa!$C$174))</f>
        <v/>
      </c>
      <c r="T64" s="198" t="str">
        <f t="shared" ca="1" si="6"/>
        <v/>
      </c>
      <c r="U64" s="198" t="str">
        <f t="shared" ca="1" si="7"/>
        <v/>
      </c>
      <c r="V64" s="650" t="str">
        <f ca="1">IF(COUNTIF($V$10:$V63,IFERROR(INDEX(DanhMuc!$J$154:$J$165,MATCH($T64,DanhMuc!$B$154:$B$165,0)),""))&lt;1,IFERROR(INDEX(DanhMuc!$J$154:$J$165,MATCH($T64,DanhMuc!$B$154:$B$165,0)),""),"")</f>
        <v/>
      </c>
      <c r="W64" s="650" t="str">
        <f ca="1">IF(COUNTIF($W$10:$W63,IFERROR(INDEX(DanhMuc!$D$168:$D$177,MATCH($U64,DanhMuc!$C$168:$C$177,0)),""))&lt;1,IFERROR(INDEX(DanhMuc!$D$168:$D$177,MATCH($U64,DanhMuc!$C$168:$C$177,0)),""),"")</f>
        <v/>
      </c>
      <c r="X64" s="650" t="str">
        <f ca="1">IFERROR(INDEX(DanhMuc!$K$154:$K$165,MATCH($T64,DanhMuc!$B$154:$B$165,0)),"")</f>
        <v/>
      </c>
      <c r="Y64" s="653" t="str">
        <f t="shared" ca="1" si="8"/>
        <v/>
      </c>
      <c r="Z64" s="653" t="str">
        <f t="shared" ca="1" si="9"/>
        <v/>
      </c>
      <c r="AA64" s="757">
        <f t="shared" ca="1" si="13"/>
        <v>0</v>
      </c>
      <c r="AB64" s="757">
        <f t="shared" ca="1" si="13"/>
        <v>0</v>
      </c>
      <c r="AC64" s="757">
        <f t="shared" ca="1" si="13"/>
        <v>0</v>
      </c>
      <c r="AD64" s="757">
        <f t="shared" ca="1" si="13"/>
        <v>0</v>
      </c>
      <c r="AE64" s="757">
        <f t="shared" ca="1" si="13"/>
        <v>0</v>
      </c>
      <c r="AF64" s="757">
        <f t="shared" ca="1" si="13"/>
        <v>0</v>
      </c>
      <c r="AG64" s="198"/>
      <c r="AH64" s="1079" t="s">
        <v>3365</v>
      </c>
      <c r="AI64" s="1080"/>
      <c r="AJ64" s="1080"/>
      <c r="AK64" s="1081" t="s">
        <v>3365</v>
      </c>
      <c r="AL64" s="1081" t="s">
        <v>3365</v>
      </c>
      <c r="AM64" s="1081" t="s">
        <v>3365</v>
      </c>
      <c r="AN64" s="1081" t="s">
        <v>3365</v>
      </c>
      <c r="AO64" s="1083">
        <v>0</v>
      </c>
      <c r="AP64" s="1083" t="s">
        <v>3365</v>
      </c>
      <c r="AQ64" s="1084"/>
      <c r="AR64" s="1085"/>
      <c r="AS64" s="1086" t="s">
        <v>3365</v>
      </c>
      <c r="AT64" s="1086"/>
      <c r="AU64" s="1087"/>
    </row>
    <row r="65" spans="1:47" s="42" customFormat="1" ht="19.899999999999999" customHeight="1">
      <c r="A65" s="37" t="str">
        <f>IF(B65="","",MAX($A$10:A64)+1)</f>
        <v/>
      </c>
      <c r="B65" s="718"/>
      <c r="C65" s="643">
        <f ca="1">IFERROR(VLOOKUP(A65,TinhGia!$B$11:$N$80,2,0),"")</f>
        <v>0</v>
      </c>
      <c r="D65" s="643" t="str">
        <f ca="1">IF(AK65="",IFERROR(VLOOKUP(B65,TinhGia!$B$11:$N$80,3,0),""),AK65)</f>
        <v/>
      </c>
      <c r="E65" s="203" t="str">
        <f ca="1">IF(AL65="",IFERROR(VLOOKUP(B65,TinhGia!$B$11:$N$80,4,0),""),AL65)</f>
        <v/>
      </c>
      <c r="F65" s="203" t="str">
        <f ca="1">IF(AM65="",IFERROR(VLOOKUP(B65,TinhGia!$B$11:$N$80,5,0),""),AM65)</f>
        <v/>
      </c>
      <c r="G65" s="203" t="str">
        <f ca="1">IF(AN65="",IFERROR(VLOOKUP(B65,TinhGia!$B$11:$N$80,6,0),""),AN65)</f>
        <v/>
      </c>
      <c r="H65" s="1136">
        <f t="shared" ca="1" si="2"/>
        <v>0</v>
      </c>
      <c r="I65" s="38" t="str">
        <f ca="1">IF(AP65="",IFERROR(VLOOKUP(B65,TinhGia!$B$11:$N$80,8,0),""),AP65)</f>
        <v/>
      </c>
      <c r="J65" s="39">
        <f t="shared" ca="1" si="3"/>
        <v>0</v>
      </c>
      <c r="K65" s="1200">
        <f t="shared" ca="1" si="4"/>
        <v>0</v>
      </c>
      <c r="L65" s="40" t="str">
        <f ca="1">IF(AS65="",IFERROR(VLOOKUP(B65,TinhGia!$B$11:$N$80,11,0),""),AS65)</f>
        <v/>
      </c>
      <c r="M65" s="40" t="str">
        <f ca="1">IF(AT65="",IFERROR(VLOOKUP(B65,TinhGia!$B$11:$N$80,12,0),""),AT65)</f>
        <v/>
      </c>
      <c r="N65" s="41">
        <f t="shared" ca="1" si="5"/>
        <v>0</v>
      </c>
      <c r="O65" s="197"/>
      <c r="P65" s="198"/>
      <c r="Q65" s="703" t="str">
        <f>IF($P65="","","ĐNSX"&amp; IF(LEN($P65)=1,"0" &amp; $P65,$P65) &amp; "/" &amp; ThongTinChung!$C$5)</f>
        <v/>
      </c>
      <c r="R65" s="100" t="str">
        <f t="shared" ca="1" si="11"/>
        <v/>
      </c>
      <c r="S65" s="194" t="str">
        <f>IF($B65="","","C" &amp; ROW(MauKoXoa!$C$108) &amp; ":C" &amp;ROW(MauKoXoa!$C$174))</f>
        <v/>
      </c>
      <c r="T65" s="198" t="str">
        <f t="shared" ca="1" si="6"/>
        <v/>
      </c>
      <c r="U65" s="198" t="str">
        <f t="shared" ca="1" si="7"/>
        <v/>
      </c>
      <c r="V65" s="650" t="str">
        <f ca="1">IF(COUNTIF($V$10:$V64,IFERROR(INDEX(DanhMuc!$J$154:$J$165,MATCH($T65,DanhMuc!$B$154:$B$165,0)),""))&lt;1,IFERROR(INDEX(DanhMuc!$J$154:$J$165,MATCH($T65,DanhMuc!$B$154:$B$165,0)),""),"")</f>
        <v/>
      </c>
      <c r="W65" s="650" t="str">
        <f ca="1">IF(COUNTIF($W$10:$W64,IFERROR(INDEX(DanhMuc!$D$168:$D$177,MATCH($U65,DanhMuc!$C$168:$C$177,0)),""))&lt;1,IFERROR(INDEX(DanhMuc!$D$168:$D$177,MATCH($U65,DanhMuc!$C$168:$C$177,0)),""),"")</f>
        <v/>
      </c>
      <c r="X65" s="650" t="str">
        <f ca="1">IFERROR(INDEX(DanhMuc!$K$154:$K$165,MATCH($T65,DanhMuc!$B$154:$B$165,0)),"")</f>
        <v/>
      </c>
      <c r="Y65" s="653" t="str">
        <f t="shared" ca="1" si="8"/>
        <v/>
      </c>
      <c r="Z65" s="653" t="str">
        <f t="shared" ca="1" si="9"/>
        <v/>
      </c>
      <c r="AA65" s="757">
        <f t="shared" ca="1" si="13"/>
        <v>0</v>
      </c>
      <c r="AB65" s="757">
        <f t="shared" ca="1" si="13"/>
        <v>0</v>
      </c>
      <c r="AC65" s="757">
        <f t="shared" ca="1" si="13"/>
        <v>0</v>
      </c>
      <c r="AD65" s="757">
        <f t="shared" ca="1" si="13"/>
        <v>0</v>
      </c>
      <c r="AE65" s="757">
        <f t="shared" ca="1" si="13"/>
        <v>0</v>
      </c>
      <c r="AF65" s="757">
        <f t="shared" ca="1" si="13"/>
        <v>0</v>
      </c>
      <c r="AG65" s="198"/>
      <c r="AH65" s="1079" t="s">
        <v>3365</v>
      </c>
      <c r="AI65" s="1080"/>
      <c r="AJ65" s="1080"/>
      <c r="AK65" s="1081" t="s">
        <v>3365</v>
      </c>
      <c r="AL65" s="1081" t="s">
        <v>3365</v>
      </c>
      <c r="AM65" s="1081" t="s">
        <v>3365</v>
      </c>
      <c r="AN65" s="1081" t="s">
        <v>3365</v>
      </c>
      <c r="AO65" s="1083">
        <v>0</v>
      </c>
      <c r="AP65" s="1083" t="s">
        <v>3365</v>
      </c>
      <c r="AQ65" s="1084"/>
      <c r="AR65" s="1085"/>
      <c r="AS65" s="1086" t="s">
        <v>3365</v>
      </c>
      <c r="AT65" s="1086"/>
      <c r="AU65" s="1087"/>
    </row>
    <row r="66" spans="1:47" s="42" customFormat="1" ht="19.899999999999999" customHeight="1">
      <c r="A66" s="37" t="str">
        <f>IF(B66="","",MAX($A$10:A65)+1)</f>
        <v/>
      </c>
      <c r="B66" s="718"/>
      <c r="C66" s="643">
        <f ca="1">IFERROR(VLOOKUP(A66,TinhGia!$B$11:$N$80,2,0),"")</f>
        <v>0</v>
      </c>
      <c r="D66" s="643" t="str">
        <f ca="1">IF(AK66="",IFERROR(VLOOKUP(B66,TinhGia!$B$11:$N$80,3,0),""),AK66)</f>
        <v/>
      </c>
      <c r="E66" s="203" t="str">
        <f ca="1">IF(AL66="",IFERROR(VLOOKUP(B66,TinhGia!$B$11:$N$80,4,0),""),AL66)</f>
        <v/>
      </c>
      <c r="F66" s="203" t="str">
        <f ca="1">IF(AM66="",IFERROR(VLOOKUP(B66,TinhGia!$B$11:$N$80,5,0),""),AM66)</f>
        <v/>
      </c>
      <c r="G66" s="203" t="str">
        <f ca="1">IF(AN66="",IFERROR(VLOOKUP(B66,TinhGia!$B$11:$N$80,6,0),""),AN66)</f>
        <v/>
      </c>
      <c r="H66" s="1136">
        <f t="shared" ca="1" si="2"/>
        <v>0</v>
      </c>
      <c r="I66" s="38" t="str">
        <f ca="1">IF(AP66="",IFERROR(VLOOKUP(B66,TinhGia!$B$11:$N$80,8,0),""),AP66)</f>
        <v/>
      </c>
      <c r="J66" s="39">
        <f t="shared" ca="1" si="3"/>
        <v>0</v>
      </c>
      <c r="K66" s="1200">
        <f t="shared" ca="1" si="4"/>
        <v>0</v>
      </c>
      <c r="L66" s="40" t="str">
        <f ca="1">IF(AS66="",IFERROR(VLOOKUP(B66,TinhGia!$B$11:$N$80,11,0),""),AS66)</f>
        <v/>
      </c>
      <c r="M66" s="40" t="str">
        <f ca="1">IF(AT66="",IFERROR(VLOOKUP(B66,TinhGia!$B$11:$N$80,12,0),""),AT66)</f>
        <v/>
      </c>
      <c r="N66" s="41">
        <f t="shared" ca="1" si="5"/>
        <v>0</v>
      </c>
      <c r="O66" s="197"/>
      <c r="P66" s="198"/>
      <c r="Q66" s="703" t="str">
        <f>IF($P66="","","ĐNSX"&amp; IF(LEN($P66)=1,"0" &amp; $P66,$P66) &amp; "/" &amp; ThongTinChung!$C$5)</f>
        <v/>
      </c>
      <c r="R66" s="100" t="str">
        <f t="shared" ca="1" si="11"/>
        <v/>
      </c>
      <c r="S66" s="194" t="str">
        <f>IF($B66="","","C" &amp; ROW(MauKoXoa!$C$108) &amp; ":C" &amp;ROW(MauKoXoa!$C$174))</f>
        <v/>
      </c>
      <c r="T66" s="198" t="str">
        <f t="shared" ca="1" si="6"/>
        <v/>
      </c>
      <c r="U66" s="198" t="str">
        <f t="shared" ca="1" si="7"/>
        <v/>
      </c>
      <c r="V66" s="650" t="str">
        <f ca="1">IF(COUNTIF($V$10:$V65,IFERROR(INDEX(DanhMuc!$J$154:$J$165,MATCH($T66,DanhMuc!$B$154:$B$165,0)),""))&lt;1,IFERROR(INDEX(DanhMuc!$J$154:$J$165,MATCH($T66,DanhMuc!$B$154:$B$165,0)),""),"")</f>
        <v/>
      </c>
      <c r="W66" s="650" t="str">
        <f ca="1">IF(COUNTIF($W$10:$W65,IFERROR(INDEX(DanhMuc!$D$168:$D$177,MATCH($U66,DanhMuc!$C$168:$C$177,0)),""))&lt;1,IFERROR(INDEX(DanhMuc!$D$168:$D$177,MATCH($U66,DanhMuc!$C$168:$C$177,0)),""),"")</f>
        <v/>
      </c>
      <c r="X66" s="650" t="str">
        <f ca="1">IFERROR(INDEX(DanhMuc!$K$154:$K$165,MATCH($T66,DanhMuc!$B$154:$B$165,0)),"")</f>
        <v/>
      </c>
      <c r="Y66" s="653" t="str">
        <f t="shared" ca="1" si="8"/>
        <v/>
      </c>
      <c r="Z66" s="653" t="str">
        <f t="shared" ca="1" si="9"/>
        <v/>
      </c>
      <c r="AA66" s="757">
        <f t="shared" ca="1" si="13"/>
        <v>0</v>
      </c>
      <c r="AB66" s="757">
        <f t="shared" ca="1" si="13"/>
        <v>0</v>
      </c>
      <c r="AC66" s="757">
        <f t="shared" ca="1" si="13"/>
        <v>0</v>
      </c>
      <c r="AD66" s="757">
        <f t="shared" ca="1" si="13"/>
        <v>0</v>
      </c>
      <c r="AE66" s="757">
        <f t="shared" ca="1" si="13"/>
        <v>0</v>
      </c>
      <c r="AF66" s="757">
        <f t="shared" ca="1" si="13"/>
        <v>0</v>
      </c>
      <c r="AG66" s="198"/>
      <c r="AH66" s="1079" t="s">
        <v>3365</v>
      </c>
      <c r="AI66" s="1080"/>
      <c r="AJ66" s="1080"/>
      <c r="AK66" s="1081" t="s">
        <v>3365</v>
      </c>
      <c r="AL66" s="1081" t="s">
        <v>3365</v>
      </c>
      <c r="AM66" s="1081" t="s">
        <v>3365</v>
      </c>
      <c r="AN66" s="1081" t="s">
        <v>3365</v>
      </c>
      <c r="AO66" s="1083">
        <v>0</v>
      </c>
      <c r="AP66" s="1083" t="s">
        <v>3365</v>
      </c>
      <c r="AQ66" s="1084"/>
      <c r="AR66" s="1085"/>
      <c r="AS66" s="1086" t="s">
        <v>3365</v>
      </c>
      <c r="AT66" s="1086"/>
      <c r="AU66" s="1087"/>
    </row>
    <row r="67" spans="1:47" s="42" customFormat="1" ht="19.899999999999999" customHeight="1">
      <c r="A67" s="37" t="str">
        <f>IF(B67="","",MAX($A$10:A66)+1)</f>
        <v/>
      </c>
      <c r="B67" s="718"/>
      <c r="C67" s="643">
        <f ca="1">IFERROR(VLOOKUP(A67,TinhGia!$B$11:$N$80,2,0),"")</f>
        <v>0</v>
      </c>
      <c r="D67" s="643" t="str">
        <f ca="1">IF(AK67="",IFERROR(VLOOKUP(B67,TinhGia!$B$11:$N$80,3,0),""),AK67)</f>
        <v/>
      </c>
      <c r="E67" s="203" t="str">
        <f ca="1">IF(AL67="",IFERROR(VLOOKUP(B67,TinhGia!$B$11:$N$80,4,0),""),AL67)</f>
        <v/>
      </c>
      <c r="F67" s="203" t="str">
        <f ca="1">IF(AM67="",IFERROR(VLOOKUP(B67,TinhGia!$B$11:$N$80,5,0),""),AM67)</f>
        <v/>
      </c>
      <c r="G67" s="203" t="str">
        <f ca="1">IF(AN67="",IFERROR(VLOOKUP(B67,TinhGia!$B$11:$N$80,6,0),""),AN67)</f>
        <v/>
      </c>
      <c r="H67" s="1136">
        <f t="shared" ca="1" si="2"/>
        <v>0</v>
      </c>
      <c r="I67" s="38" t="str">
        <f ca="1">IF(AP67="",IFERROR(VLOOKUP(B67,TinhGia!$B$11:$N$80,8,0),""),AP67)</f>
        <v/>
      </c>
      <c r="J67" s="39">
        <f t="shared" ca="1" si="3"/>
        <v>0</v>
      </c>
      <c r="K67" s="1200">
        <f t="shared" ca="1" si="4"/>
        <v>0</v>
      </c>
      <c r="L67" s="40" t="str">
        <f ca="1">IF(AS67="",IFERROR(VLOOKUP(B67,TinhGia!$B$11:$N$80,11,0),""),AS67)</f>
        <v/>
      </c>
      <c r="M67" s="40" t="str">
        <f ca="1">IF(AT67="",IFERROR(VLOOKUP(B67,TinhGia!$B$11:$N$80,12,0),""),AT67)</f>
        <v/>
      </c>
      <c r="N67" s="41">
        <f t="shared" ca="1" si="5"/>
        <v>0</v>
      </c>
      <c r="O67" s="197"/>
      <c r="P67" s="198"/>
      <c r="Q67" s="703" t="str">
        <f>IF($P67="","","ĐNSX"&amp; IF(LEN($P67)=1,"0" &amp; $P67,$P67) &amp; "/" &amp; ThongTinChung!$C$5)</f>
        <v/>
      </c>
      <c r="R67" s="100" t="str">
        <f t="shared" ca="1" si="11"/>
        <v/>
      </c>
      <c r="S67" s="194" t="str">
        <f>IF($B67="","","C" &amp; ROW(MauKoXoa!$C$108) &amp; ":C" &amp;ROW(MauKoXoa!$C$174))</f>
        <v/>
      </c>
      <c r="T67" s="198" t="str">
        <f t="shared" ca="1" si="6"/>
        <v/>
      </c>
      <c r="U67" s="198" t="str">
        <f t="shared" ca="1" si="7"/>
        <v/>
      </c>
      <c r="V67" s="650" t="str">
        <f ca="1">IF(COUNTIF($V$10:$V66,IFERROR(INDEX(DanhMuc!$J$154:$J$165,MATCH($T67,DanhMuc!$B$154:$B$165,0)),""))&lt;1,IFERROR(INDEX(DanhMuc!$J$154:$J$165,MATCH($T67,DanhMuc!$B$154:$B$165,0)),""),"")</f>
        <v/>
      </c>
      <c r="W67" s="650" t="str">
        <f ca="1">IF(COUNTIF($W$10:$W66,IFERROR(INDEX(DanhMuc!$D$168:$D$177,MATCH($U67,DanhMuc!$C$168:$C$177,0)),""))&lt;1,IFERROR(INDEX(DanhMuc!$D$168:$D$177,MATCH($U67,DanhMuc!$C$168:$C$177,0)),""),"")</f>
        <v/>
      </c>
      <c r="X67" s="650" t="str">
        <f ca="1">IFERROR(INDEX(DanhMuc!$K$154:$K$165,MATCH($T67,DanhMuc!$B$154:$B$165,0)),"")</f>
        <v/>
      </c>
      <c r="Y67" s="653" t="str">
        <f t="shared" ca="1" si="8"/>
        <v/>
      </c>
      <c r="Z67" s="653" t="str">
        <f t="shared" ca="1" si="9"/>
        <v/>
      </c>
      <c r="AA67" s="757">
        <f t="shared" ca="1" si="13"/>
        <v>0</v>
      </c>
      <c r="AB67" s="757">
        <f t="shared" ca="1" si="13"/>
        <v>0</v>
      </c>
      <c r="AC67" s="757">
        <f t="shared" ca="1" si="13"/>
        <v>0</v>
      </c>
      <c r="AD67" s="757">
        <f t="shared" ca="1" si="13"/>
        <v>0</v>
      </c>
      <c r="AE67" s="757">
        <f t="shared" ca="1" si="13"/>
        <v>0</v>
      </c>
      <c r="AF67" s="757">
        <f t="shared" ca="1" si="13"/>
        <v>0</v>
      </c>
      <c r="AG67" s="198"/>
      <c r="AH67" s="1079" t="s">
        <v>3365</v>
      </c>
      <c r="AI67" s="1080"/>
      <c r="AJ67" s="1080"/>
      <c r="AK67" s="1081" t="s">
        <v>3365</v>
      </c>
      <c r="AL67" s="1081" t="s">
        <v>3365</v>
      </c>
      <c r="AM67" s="1081" t="s">
        <v>3365</v>
      </c>
      <c r="AN67" s="1081" t="s">
        <v>3365</v>
      </c>
      <c r="AO67" s="1083">
        <v>0</v>
      </c>
      <c r="AP67" s="1083" t="s">
        <v>3365</v>
      </c>
      <c r="AQ67" s="1084"/>
      <c r="AR67" s="1085"/>
      <c r="AS67" s="1086" t="s">
        <v>3365</v>
      </c>
      <c r="AT67" s="1086"/>
      <c r="AU67" s="1087"/>
    </row>
    <row r="68" spans="1:47" s="42" customFormat="1" ht="19.899999999999999" customHeight="1">
      <c r="A68" s="37" t="str">
        <f>IF(B68="","",MAX($A$10:A67)+1)</f>
        <v/>
      </c>
      <c r="B68" s="718"/>
      <c r="C68" s="643">
        <f ca="1">IFERROR(VLOOKUP(A68,TinhGia!$B$11:$N$80,2,0),"")</f>
        <v>0</v>
      </c>
      <c r="D68" s="643" t="str">
        <f ca="1">IF(AK68="",IFERROR(VLOOKUP(B68,TinhGia!$B$11:$N$80,3,0),""),AK68)</f>
        <v/>
      </c>
      <c r="E68" s="203" t="str">
        <f ca="1">IF(AL68="",IFERROR(VLOOKUP(B68,TinhGia!$B$11:$N$80,4,0),""),AL68)</f>
        <v/>
      </c>
      <c r="F68" s="203" t="str">
        <f ca="1">IF(AM68="",IFERROR(VLOOKUP(B68,TinhGia!$B$11:$N$80,5,0),""),AM68)</f>
        <v/>
      </c>
      <c r="G68" s="203" t="str">
        <f ca="1">IF(AN68="",IFERROR(VLOOKUP(B68,TinhGia!$B$11:$N$80,6,0),""),AN68)</f>
        <v/>
      </c>
      <c r="H68" s="1136">
        <f t="shared" ca="1" si="2"/>
        <v>0</v>
      </c>
      <c r="I68" s="38" t="str">
        <f ca="1">IF(AP68="",IFERROR(VLOOKUP(B68,TinhGia!$B$11:$N$80,8,0),""),AP68)</f>
        <v/>
      </c>
      <c r="J68" s="39">
        <f t="shared" ca="1" si="3"/>
        <v>0</v>
      </c>
      <c r="K68" s="1200">
        <f t="shared" ca="1" si="4"/>
        <v>0</v>
      </c>
      <c r="L68" s="40" t="str">
        <f ca="1">IF(AS68="",IFERROR(VLOOKUP(B68,TinhGia!$B$11:$N$80,11,0),""),AS68)</f>
        <v/>
      </c>
      <c r="M68" s="40" t="str">
        <f ca="1">IF(AT68="",IFERROR(VLOOKUP(B68,TinhGia!$B$11:$N$80,12,0),""),AT68)</f>
        <v/>
      </c>
      <c r="N68" s="41">
        <f t="shared" ca="1" si="5"/>
        <v>0</v>
      </c>
      <c r="O68" s="197"/>
      <c r="P68" s="198"/>
      <c r="Q68" s="703" t="str">
        <f>IF($P68="","","ĐNSX"&amp; IF(LEN($P68)=1,"0" &amp; $P68,$P68) &amp; "/" &amp; ThongTinChung!$C$5)</f>
        <v/>
      </c>
      <c r="R68" s="100" t="str">
        <f t="shared" ca="1" si="11"/>
        <v/>
      </c>
      <c r="S68" s="194" t="str">
        <f>IF($B68="","","C" &amp; ROW(MauKoXoa!$C$108) &amp; ":C" &amp;ROW(MauKoXoa!$C$174))</f>
        <v/>
      </c>
      <c r="T68" s="198" t="str">
        <f t="shared" ca="1" si="6"/>
        <v/>
      </c>
      <c r="U68" s="198" t="str">
        <f t="shared" ca="1" si="7"/>
        <v/>
      </c>
      <c r="V68" s="650" t="str">
        <f ca="1">IF(COUNTIF($V$10:$V67,IFERROR(INDEX(DanhMuc!$J$154:$J$165,MATCH($T68,DanhMuc!$B$154:$B$165,0)),""))&lt;1,IFERROR(INDEX(DanhMuc!$J$154:$J$165,MATCH($T68,DanhMuc!$B$154:$B$165,0)),""),"")</f>
        <v/>
      </c>
      <c r="W68" s="650" t="str">
        <f ca="1">IF(COUNTIF($W$10:$W67,IFERROR(INDEX(DanhMuc!$D$168:$D$177,MATCH($U68,DanhMuc!$C$168:$C$177,0)),""))&lt;1,IFERROR(INDEX(DanhMuc!$D$168:$D$177,MATCH($U68,DanhMuc!$C$168:$C$177,0)),""),"")</f>
        <v/>
      </c>
      <c r="X68" s="650" t="str">
        <f ca="1">IFERROR(INDEX(DanhMuc!$K$154:$K$165,MATCH($T68,DanhMuc!$B$154:$B$165,0)),"")</f>
        <v/>
      </c>
      <c r="Y68" s="653" t="str">
        <f t="shared" ca="1" si="8"/>
        <v/>
      </c>
      <c r="Z68" s="653" t="str">
        <f t="shared" ca="1" si="9"/>
        <v/>
      </c>
      <c r="AA68" s="757">
        <f t="shared" ca="1" si="13"/>
        <v>0</v>
      </c>
      <c r="AB68" s="757">
        <f t="shared" ca="1" si="13"/>
        <v>0</v>
      </c>
      <c r="AC68" s="757">
        <f t="shared" ca="1" si="13"/>
        <v>0</v>
      </c>
      <c r="AD68" s="757">
        <f t="shared" ca="1" si="13"/>
        <v>0</v>
      </c>
      <c r="AE68" s="757">
        <f t="shared" ca="1" si="13"/>
        <v>0</v>
      </c>
      <c r="AF68" s="757">
        <f t="shared" ca="1" si="13"/>
        <v>0</v>
      </c>
      <c r="AG68" s="198"/>
      <c r="AH68" s="1079" t="s">
        <v>3365</v>
      </c>
      <c r="AI68" s="1080"/>
      <c r="AJ68" s="1080"/>
      <c r="AK68" s="1081" t="s">
        <v>3365</v>
      </c>
      <c r="AL68" s="1081" t="s">
        <v>3365</v>
      </c>
      <c r="AM68" s="1081" t="s">
        <v>3365</v>
      </c>
      <c r="AN68" s="1081" t="s">
        <v>3365</v>
      </c>
      <c r="AO68" s="1083">
        <v>0</v>
      </c>
      <c r="AP68" s="1083" t="s">
        <v>3365</v>
      </c>
      <c r="AQ68" s="1084"/>
      <c r="AR68" s="1085"/>
      <c r="AS68" s="1086" t="s">
        <v>3365</v>
      </c>
      <c r="AT68" s="1086"/>
      <c r="AU68" s="1087"/>
    </row>
    <row r="69" spans="1:47" s="42" customFormat="1" ht="19.899999999999999" customHeight="1">
      <c r="A69" s="37" t="str">
        <f>IF(B69="","",MAX($A$10:A68)+1)</f>
        <v/>
      </c>
      <c r="B69" s="718"/>
      <c r="C69" s="643">
        <f ca="1">IFERROR(VLOOKUP(A69,TinhGia!$B$11:$N$80,2,0),"")</f>
        <v>0</v>
      </c>
      <c r="D69" s="643" t="str">
        <f ca="1">IF(AK69="",IFERROR(VLOOKUP(B69,TinhGia!$B$11:$N$80,3,0),""),AK69)</f>
        <v/>
      </c>
      <c r="E69" s="203" t="str">
        <f ca="1">IF(AL69="",IFERROR(VLOOKUP(B69,TinhGia!$B$11:$N$80,4,0),""),AL69)</f>
        <v/>
      </c>
      <c r="F69" s="203" t="str">
        <f ca="1">IF(AM69="",IFERROR(VLOOKUP(B69,TinhGia!$B$11:$N$80,5,0),""),AM69)</f>
        <v/>
      </c>
      <c r="G69" s="203" t="str">
        <f ca="1">IF(AN69="",IFERROR(VLOOKUP(B69,TinhGia!$B$11:$N$80,6,0),""),AN69)</f>
        <v/>
      </c>
      <c r="H69" s="1136">
        <f t="shared" ca="1" si="2"/>
        <v>0</v>
      </c>
      <c r="I69" s="38" t="str">
        <f ca="1">IF(AP69="",IFERROR(VLOOKUP(B69,TinhGia!$B$11:$N$80,8,0),""),AP69)</f>
        <v/>
      </c>
      <c r="J69" s="39">
        <f t="shared" ca="1" si="3"/>
        <v>0</v>
      </c>
      <c r="K69" s="1200">
        <f t="shared" ca="1" si="4"/>
        <v>0</v>
      </c>
      <c r="L69" s="40" t="str">
        <f ca="1">IF(AS69="",IFERROR(VLOOKUP(B69,TinhGia!$B$11:$N$80,11,0),""),AS69)</f>
        <v/>
      </c>
      <c r="M69" s="40" t="str">
        <f ca="1">IF(AT69="",IFERROR(VLOOKUP(B69,TinhGia!$B$11:$N$80,12,0),""),AT69)</f>
        <v/>
      </c>
      <c r="N69" s="41">
        <f t="shared" ca="1" si="5"/>
        <v>0</v>
      </c>
      <c r="O69" s="197"/>
      <c r="P69" s="198"/>
      <c r="Q69" s="703" t="str">
        <f>IF($P69="","","ĐNSX"&amp; IF(LEN($P69)=1,"0" &amp; $P69,$P69) &amp; "/" &amp; ThongTinChung!$C$5)</f>
        <v/>
      </c>
      <c r="R69" s="100" t="str">
        <f t="shared" ca="1" si="11"/>
        <v/>
      </c>
      <c r="S69" s="194" t="str">
        <f>IF($B69="","","C" &amp; ROW(MauKoXoa!$C$108) &amp; ":C" &amp;ROW(MauKoXoa!$C$174))</f>
        <v/>
      </c>
      <c r="T69" s="198" t="str">
        <f t="shared" ca="1" si="6"/>
        <v/>
      </c>
      <c r="U69" s="198" t="str">
        <f t="shared" ca="1" si="7"/>
        <v/>
      </c>
      <c r="V69" s="650" t="str">
        <f ca="1">IF(COUNTIF($V$10:$V68,IFERROR(INDEX(DanhMuc!$J$154:$J$165,MATCH($T69,DanhMuc!$B$154:$B$165,0)),""))&lt;1,IFERROR(INDEX(DanhMuc!$J$154:$J$165,MATCH($T69,DanhMuc!$B$154:$B$165,0)),""),"")</f>
        <v/>
      </c>
      <c r="W69" s="650" t="str">
        <f ca="1">IF(COUNTIF($W$10:$W68,IFERROR(INDEX(DanhMuc!$D$168:$D$177,MATCH($U69,DanhMuc!$C$168:$C$177,0)),""))&lt;1,IFERROR(INDEX(DanhMuc!$D$168:$D$177,MATCH($U69,DanhMuc!$C$168:$C$177,0)),""),"")</f>
        <v/>
      </c>
      <c r="X69" s="650" t="str">
        <f ca="1">IFERROR(INDEX(DanhMuc!$K$154:$K$165,MATCH($T69,DanhMuc!$B$154:$B$165,0)),"")</f>
        <v/>
      </c>
      <c r="Y69" s="653" t="str">
        <f t="shared" ca="1" si="8"/>
        <v/>
      </c>
      <c r="Z69" s="653" t="str">
        <f t="shared" ca="1" si="9"/>
        <v/>
      </c>
      <c r="AA69" s="757">
        <f t="shared" ca="1" si="13"/>
        <v>0</v>
      </c>
      <c r="AB69" s="757">
        <f t="shared" ca="1" si="13"/>
        <v>0</v>
      </c>
      <c r="AC69" s="757">
        <f t="shared" ca="1" si="13"/>
        <v>0</v>
      </c>
      <c r="AD69" s="757">
        <f t="shared" ca="1" si="13"/>
        <v>0</v>
      </c>
      <c r="AE69" s="757">
        <f t="shared" ca="1" si="13"/>
        <v>0</v>
      </c>
      <c r="AF69" s="757">
        <f t="shared" ca="1" si="13"/>
        <v>0</v>
      </c>
      <c r="AG69" s="198"/>
      <c r="AH69" s="1079" t="s">
        <v>3365</v>
      </c>
      <c r="AI69" s="1080"/>
      <c r="AJ69" s="1080"/>
      <c r="AK69" s="1081" t="s">
        <v>3365</v>
      </c>
      <c r="AL69" s="1081" t="s">
        <v>3365</v>
      </c>
      <c r="AM69" s="1081" t="s">
        <v>3365</v>
      </c>
      <c r="AN69" s="1081" t="s">
        <v>3365</v>
      </c>
      <c r="AO69" s="1083">
        <v>0</v>
      </c>
      <c r="AP69" s="1083" t="s">
        <v>3365</v>
      </c>
      <c r="AQ69" s="1084"/>
      <c r="AR69" s="1085"/>
      <c r="AS69" s="1086" t="s">
        <v>3365</v>
      </c>
      <c r="AT69" s="1086"/>
      <c r="AU69" s="1087"/>
    </row>
    <row r="70" spans="1:47" s="42" customFormat="1" ht="19.899999999999999" customHeight="1">
      <c r="A70" s="37" t="str">
        <f>IF(B70="","",MAX($A$10:A69)+1)</f>
        <v/>
      </c>
      <c r="B70" s="718"/>
      <c r="C70" s="643">
        <f ca="1">IFERROR(VLOOKUP(A70,TinhGia!$B$11:$N$80,2,0),"")</f>
        <v>0</v>
      </c>
      <c r="D70" s="643" t="str">
        <f ca="1">IF(AK70="",IFERROR(VLOOKUP(B70,TinhGia!$B$11:$N$80,3,0),""),AK70)</f>
        <v/>
      </c>
      <c r="E70" s="203" t="str">
        <f ca="1">IF(AL70="",IFERROR(VLOOKUP(B70,TinhGia!$B$11:$N$80,4,0),""),AL70)</f>
        <v/>
      </c>
      <c r="F70" s="203" t="str">
        <f ca="1">IF(AM70="",IFERROR(VLOOKUP(B70,TinhGia!$B$11:$N$80,5,0),""),AM70)</f>
        <v/>
      </c>
      <c r="G70" s="203" t="str">
        <f ca="1">IF(AN70="",IFERROR(VLOOKUP(B70,TinhGia!$B$11:$N$80,6,0),""),AN70)</f>
        <v/>
      </c>
      <c r="H70" s="1136">
        <f t="shared" ca="1" si="2"/>
        <v>0</v>
      </c>
      <c r="I70" s="38" t="str">
        <f ca="1">IF(AP70="",IFERROR(VLOOKUP(B70,TinhGia!$B$11:$N$80,8,0),""),AP70)</f>
        <v/>
      </c>
      <c r="J70" s="39">
        <f t="shared" ca="1" si="3"/>
        <v>0</v>
      </c>
      <c r="K70" s="1200">
        <f t="shared" ca="1" si="4"/>
        <v>0</v>
      </c>
      <c r="L70" s="40" t="str">
        <f ca="1">IF(AS70="",IFERROR(VLOOKUP(B70,TinhGia!$B$11:$N$80,11,0),""),AS70)</f>
        <v/>
      </c>
      <c r="M70" s="40" t="str">
        <f ca="1">IF(AT70="",IFERROR(VLOOKUP(B70,TinhGia!$B$11:$N$80,12,0),""),AT70)</f>
        <v/>
      </c>
      <c r="N70" s="41">
        <f t="shared" ca="1" si="5"/>
        <v>0</v>
      </c>
      <c r="O70" s="197"/>
      <c r="P70" s="198"/>
      <c r="Q70" s="703" t="str">
        <f>IF($P70="","","ĐNSX"&amp; IF(LEN($P70)=1,"0" &amp; $P70,$P70) &amp; "/" &amp; ThongTinChung!$C$5)</f>
        <v/>
      </c>
      <c r="R70" s="100" t="str">
        <f t="shared" ca="1" si="11"/>
        <v/>
      </c>
      <c r="S70" s="194" t="str">
        <f>IF($B70="","","C" &amp; ROW(MauKoXoa!$C$108) &amp; ":C" &amp;ROW(MauKoXoa!$C$174))</f>
        <v/>
      </c>
      <c r="T70" s="198" t="str">
        <f t="shared" ca="1" si="6"/>
        <v/>
      </c>
      <c r="U70" s="198" t="str">
        <f t="shared" ca="1" si="7"/>
        <v/>
      </c>
      <c r="V70" s="650" t="str">
        <f ca="1">IF(COUNTIF($V$10:$V69,IFERROR(INDEX(DanhMuc!$J$154:$J$165,MATCH($T70,DanhMuc!$B$154:$B$165,0)),""))&lt;1,IFERROR(INDEX(DanhMuc!$J$154:$J$165,MATCH($T70,DanhMuc!$B$154:$B$165,0)),""),"")</f>
        <v/>
      </c>
      <c r="W70" s="650" t="str">
        <f ca="1">IF(COUNTIF($W$10:$W69,IFERROR(INDEX(DanhMuc!$D$168:$D$177,MATCH($U70,DanhMuc!$C$168:$C$177,0)),""))&lt;1,IFERROR(INDEX(DanhMuc!$D$168:$D$177,MATCH($U70,DanhMuc!$C$168:$C$177,0)),""),"")</f>
        <v/>
      </c>
      <c r="X70" s="650" t="str">
        <f ca="1">IFERROR(INDEX(DanhMuc!$K$154:$K$165,MATCH($T70,DanhMuc!$B$154:$B$165,0)),"")</f>
        <v/>
      </c>
      <c r="Y70" s="653" t="str">
        <f t="shared" ca="1" si="8"/>
        <v/>
      </c>
      <c r="Z70" s="653" t="str">
        <f t="shared" ca="1" si="9"/>
        <v/>
      </c>
      <c r="AA70" s="757">
        <f t="shared" ca="1" si="13"/>
        <v>0</v>
      </c>
      <c r="AB70" s="757">
        <f t="shared" ca="1" si="13"/>
        <v>0</v>
      </c>
      <c r="AC70" s="757">
        <f t="shared" ca="1" si="13"/>
        <v>0</v>
      </c>
      <c r="AD70" s="757">
        <f t="shared" ca="1" si="13"/>
        <v>0</v>
      </c>
      <c r="AE70" s="757">
        <f t="shared" ca="1" si="13"/>
        <v>0</v>
      </c>
      <c r="AF70" s="757">
        <f t="shared" ca="1" si="13"/>
        <v>0</v>
      </c>
      <c r="AG70" s="198"/>
      <c r="AH70" s="1079" t="s">
        <v>3365</v>
      </c>
      <c r="AI70" s="1080"/>
      <c r="AJ70" s="1080"/>
      <c r="AK70" s="1081" t="s">
        <v>3365</v>
      </c>
      <c r="AL70" s="1081" t="s">
        <v>3365</v>
      </c>
      <c r="AM70" s="1081" t="s">
        <v>3365</v>
      </c>
      <c r="AN70" s="1081" t="s">
        <v>3365</v>
      </c>
      <c r="AO70" s="1083">
        <v>0</v>
      </c>
      <c r="AP70" s="1083" t="s">
        <v>3365</v>
      </c>
      <c r="AQ70" s="1084"/>
      <c r="AR70" s="1085"/>
      <c r="AS70" s="1086" t="s">
        <v>3365</v>
      </c>
      <c r="AT70" s="1086"/>
      <c r="AU70" s="1087"/>
    </row>
    <row r="71" spans="1:47" s="42" customFormat="1" ht="19.899999999999999" customHeight="1">
      <c r="A71" s="37" t="str">
        <f>IF(B71="","",MAX($A$10:A70)+1)</f>
        <v/>
      </c>
      <c r="B71" s="718"/>
      <c r="C71" s="643">
        <f ca="1">IFERROR(VLOOKUP(A71,TinhGia!$B$11:$N$80,2,0),"")</f>
        <v>0</v>
      </c>
      <c r="D71" s="643" t="str">
        <f ca="1">IF(AK71="",IFERROR(VLOOKUP(B71,TinhGia!$B$11:$N$80,3,0),""),AK71)</f>
        <v/>
      </c>
      <c r="E71" s="203" t="str">
        <f ca="1">IF(AL71="",IFERROR(VLOOKUP(B71,TinhGia!$B$11:$N$80,4,0),""),AL71)</f>
        <v/>
      </c>
      <c r="F71" s="203" t="str">
        <f ca="1">IF(AM71="",IFERROR(VLOOKUP(B71,TinhGia!$B$11:$N$80,5,0),""),AM71)</f>
        <v/>
      </c>
      <c r="G71" s="203" t="str">
        <f ca="1">IF(AN71="",IFERROR(VLOOKUP(B71,TinhGia!$B$11:$N$80,6,0),""),AN71)</f>
        <v/>
      </c>
      <c r="H71" s="1136">
        <f t="shared" ca="1" si="2"/>
        <v>0</v>
      </c>
      <c r="I71" s="38" t="str">
        <f ca="1">IF(AP71="",IFERROR(VLOOKUP(B71,TinhGia!$B$11:$N$80,8,0),""),AP71)</f>
        <v/>
      </c>
      <c r="J71" s="39">
        <f t="shared" ca="1" si="3"/>
        <v>0</v>
      </c>
      <c r="K71" s="1200">
        <f t="shared" ca="1" si="4"/>
        <v>0</v>
      </c>
      <c r="L71" s="40" t="str">
        <f ca="1">IF(AS71="",IFERROR(VLOOKUP(B71,TinhGia!$B$11:$N$80,11,0),""),AS71)</f>
        <v/>
      </c>
      <c r="M71" s="40" t="str">
        <f ca="1">IF(AT71="",IFERROR(VLOOKUP(B71,TinhGia!$B$11:$N$80,12,0),""),AT71)</f>
        <v/>
      </c>
      <c r="N71" s="41">
        <f t="shared" ca="1" si="5"/>
        <v>0</v>
      </c>
      <c r="O71" s="197"/>
      <c r="P71" s="198"/>
      <c r="Q71" s="703" t="str">
        <f>IF($P71="","","ĐNSX"&amp; IF(LEN($P71)=1,"0" &amp; $P71,$P71) &amp; "/" &amp; ThongTinChung!$C$5)</f>
        <v/>
      </c>
      <c r="R71" s="100" t="str">
        <f t="shared" ca="1" si="11"/>
        <v/>
      </c>
      <c r="S71" s="194" t="str">
        <f>IF($B71="","","C" &amp; ROW(MauKoXoa!$C$108) &amp; ":C" &amp;ROW(MauKoXoa!$C$174))</f>
        <v/>
      </c>
      <c r="T71" s="198" t="str">
        <f t="shared" ca="1" si="6"/>
        <v/>
      </c>
      <c r="U71" s="198" t="str">
        <f t="shared" ca="1" si="7"/>
        <v/>
      </c>
      <c r="V71" s="650" t="str">
        <f ca="1">IF(COUNTIF($V$10:$V70,IFERROR(INDEX(DanhMuc!$J$154:$J$165,MATCH($T71,DanhMuc!$B$154:$B$165,0)),""))&lt;1,IFERROR(INDEX(DanhMuc!$J$154:$J$165,MATCH($T71,DanhMuc!$B$154:$B$165,0)),""),"")</f>
        <v/>
      </c>
      <c r="W71" s="650" t="str">
        <f ca="1">IF(COUNTIF($W$10:$W70,IFERROR(INDEX(DanhMuc!$D$168:$D$177,MATCH($U71,DanhMuc!$C$168:$C$177,0)),""))&lt;1,IFERROR(INDEX(DanhMuc!$D$168:$D$177,MATCH($U71,DanhMuc!$C$168:$C$177,0)),""),"")</f>
        <v/>
      </c>
      <c r="X71" s="650" t="str">
        <f ca="1">IFERROR(INDEX(DanhMuc!$K$154:$K$165,MATCH($T71,DanhMuc!$B$154:$B$165,0)),"")</f>
        <v/>
      </c>
      <c r="Y71" s="653" t="str">
        <f t="shared" ca="1" si="8"/>
        <v/>
      </c>
      <c r="Z71" s="653" t="str">
        <f t="shared" ca="1" si="9"/>
        <v/>
      </c>
      <c r="AA71" s="757">
        <f t="shared" ca="1" si="13"/>
        <v>0</v>
      </c>
      <c r="AB71" s="757">
        <f t="shared" ca="1" si="13"/>
        <v>0</v>
      </c>
      <c r="AC71" s="757">
        <f t="shared" ca="1" si="13"/>
        <v>0</v>
      </c>
      <c r="AD71" s="757">
        <f t="shared" ca="1" si="13"/>
        <v>0</v>
      </c>
      <c r="AE71" s="757">
        <f t="shared" ca="1" si="13"/>
        <v>0</v>
      </c>
      <c r="AF71" s="757">
        <f t="shared" ca="1" si="13"/>
        <v>0</v>
      </c>
      <c r="AG71" s="198"/>
      <c r="AH71" s="1079" t="s">
        <v>3365</v>
      </c>
      <c r="AI71" s="1080"/>
      <c r="AJ71" s="1080"/>
      <c r="AK71" s="1081" t="s">
        <v>3365</v>
      </c>
      <c r="AL71" s="1081" t="s">
        <v>3365</v>
      </c>
      <c r="AM71" s="1081" t="s">
        <v>3365</v>
      </c>
      <c r="AN71" s="1081" t="s">
        <v>3365</v>
      </c>
      <c r="AO71" s="1083">
        <v>0</v>
      </c>
      <c r="AP71" s="1083" t="s">
        <v>3365</v>
      </c>
      <c r="AQ71" s="1084"/>
      <c r="AR71" s="1085"/>
      <c r="AS71" s="1086" t="s">
        <v>3365</v>
      </c>
      <c r="AT71" s="1086"/>
      <c r="AU71" s="1087"/>
    </row>
    <row r="72" spans="1:47" s="42" customFormat="1" ht="19.899999999999999" customHeight="1">
      <c r="A72" s="37" t="str">
        <f>IF(B72="","",MAX($A$10:A71)+1)</f>
        <v/>
      </c>
      <c r="B72" s="718"/>
      <c r="C72" s="643">
        <f ca="1">IFERROR(VLOOKUP(A72,TinhGia!$B$11:$N$80,2,0),"")</f>
        <v>0</v>
      </c>
      <c r="D72" s="643" t="str">
        <f ca="1">IF(AK72="",IFERROR(VLOOKUP(B72,TinhGia!$B$11:$N$80,3,0),""),AK72)</f>
        <v/>
      </c>
      <c r="E72" s="203" t="str">
        <f ca="1">IF(AL72="",IFERROR(VLOOKUP(B72,TinhGia!$B$11:$N$80,4,0),""),AL72)</f>
        <v/>
      </c>
      <c r="F72" s="203" t="str">
        <f ca="1">IF(AM72="",IFERROR(VLOOKUP(B72,TinhGia!$B$11:$N$80,5,0),""),AM72)</f>
        <v/>
      </c>
      <c r="G72" s="203" t="str">
        <f ca="1">IF(AN72="",IFERROR(VLOOKUP(B72,TinhGia!$B$11:$N$80,6,0),""),AN72)</f>
        <v/>
      </c>
      <c r="H72" s="1136">
        <f t="shared" ca="1" si="2"/>
        <v>0</v>
      </c>
      <c r="I72" s="38" t="str">
        <f ca="1">IF(AP72="",IFERROR(VLOOKUP(B72,TinhGia!$B$11:$N$80,8,0),""),AP72)</f>
        <v/>
      </c>
      <c r="J72" s="39">
        <f t="shared" ca="1" si="3"/>
        <v>0</v>
      </c>
      <c r="K72" s="1200">
        <f t="shared" ca="1" si="4"/>
        <v>0</v>
      </c>
      <c r="L72" s="40" t="str">
        <f ca="1">IF(AS72="",IFERROR(VLOOKUP(B72,TinhGia!$B$11:$N$80,11,0),""),AS72)</f>
        <v/>
      </c>
      <c r="M72" s="40" t="str">
        <f ca="1">IF(AT72="",IFERROR(VLOOKUP(B72,TinhGia!$B$11:$N$80,12,0),""),AT72)</f>
        <v/>
      </c>
      <c r="N72" s="41">
        <f t="shared" ca="1" si="5"/>
        <v>0</v>
      </c>
      <c r="O72" s="197"/>
      <c r="P72" s="198"/>
      <c r="Q72" s="703" t="str">
        <f>IF($P72="","","ĐNSX"&amp; IF(LEN($P72)=1,"0" &amp; $P72,$P72) &amp; "/" &amp; ThongTinChung!$C$5)</f>
        <v/>
      </c>
      <c r="R72" s="100" t="str">
        <f t="shared" ca="1" si="11"/>
        <v/>
      </c>
      <c r="S72" s="194" t="str">
        <f>IF($B72="","","C" &amp; ROW(MauKoXoa!$C$108) &amp; ":C" &amp;ROW(MauKoXoa!$C$174))</f>
        <v/>
      </c>
      <c r="T72" s="198" t="str">
        <f t="shared" ca="1" si="6"/>
        <v/>
      </c>
      <c r="U72" s="198" t="str">
        <f t="shared" ca="1" si="7"/>
        <v/>
      </c>
      <c r="V72" s="650" t="str">
        <f ca="1">IF(COUNTIF($V$10:$V71,IFERROR(INDEX(DanhMuc!$J$154:$J$165,MATCH($T72,DanhMuc!$B$154:$B$165,0)),""))&lt;1,IFERROR(INDEX(DanhMuc!$J$154:$J$165,MATCH($T72,DanhMuc!$B$154:$B$165,0)),""),"")</f>
        <v/>
      </c>
      <c r="W72" s="650" t="str">
        <f ca="1">IF(COUNTIF($W$10:$W71,IFERROR(INDEX(DanhMuc!$D$168:$D$177,MATCH($U72,DanhMuc!$C$168:$C$177,0)),""))&lt;1,IFERROR(INDEX(DanhMuc!$D$168:$D$177,MATCH($U72,DanhMuc!$C$168:$C$177,0)),""),"")</f>
        <v/>
      </c>
      <c r="X72" s="650" t="str">
        <f ca="1">IFERROR(INDEX(DanhMuc!$K$154:$K$165,MATCH($T72,DanhMuc!$B$154:$B$165,0)),"")</f>
        <v/>
      </c>
      <c r="Y72" s="653" t="str">
        <f t="shared" ca="1" si="8"/>
        <v/>
      </c>
      <c r="Z72" s="653" t="str">
        <f t="shared" ca="1" si="9"/>
        <v/>
      </c>
      <c r="AA72" s="757">
        <f t="shared" ca="1" si="13"/>
        <v>0</v>
      </c>
      <c r="AB72" s="757">
        <f t="shared" ca="1" si="13"/>
        <v>0</v>
      </c>
      <c r="AC72" s="757">
        <f t="shared" ca="1" si="13"/>
        <v>0</v>
      </c>
      <c r="AD72" s="757">
        <f t="shared" ca="1" si="13"/>
        <v>0</v>
      </c>
      <c r="AE72" s="757">
        <f t="shared" ca="1" si="13"/>
        <v>0</v>
      </c>
      <c r="AF72" s="757">
        <f t="shared" ca="1" si="13"/>
        <v>0</v>
      </c>
      <c r="AG72" s="198"/>
      <c r="AH72" s="1079" t="s">
        <v>3365</v>
      </c>
      <c r="AI72" s="1080"/>
      <c r="AJ72" s="1080"/>
      <c r="AK72" s="1081" t="s">
        <v>3365</v>
      </c>
      <c r="AL72" s="1081" t="s">
        <v>3365</v>
      </c>
      <c r="AM72" s="1081" t="s">
        <v>3365</v>
      </c>
      <c r="AN72" s="1081" t="s">
        <v>3365</v>
      </c>
      <c r="AO72" s="1083">
        <v>0</v>
      </c>
      <c r="AP72" s="1083" t="s">
        <v>3365</v>
      </c>
      <c r="AQ72" s="1084"/>
      <c r="AR72" s="1085"/>
      <c r="AS72" s="1086" t="s">
        <v>3365</v>
      </c>
      <c r="AT72" s="1086"/>
      <c r="AU72" s="1087"/>
    </row>
    <row r="73" spans="1:47" s="42" customFormat="1" ht="19.899999999999999" customHeight="1">
      <c r="A73" s="37" t="str">
        <f>IF(B73="","",MAX($A$10:A72)+1)</f>
        <v/>
      </c>
      <c r="B73" s="718"/>
      <c r="C73" s="643">
        <f ca="1">IFERROR(VLOOKUP(A73,TinhGia!$B$11:$N$80,2,0),"")</f>
        <v>0</v>
      </c>
      <c r="D73" s="643" t="str">
        <f ca="1">IF(AK73="",IFERROR(VLOOKUP(B73,TinhGia!$B$11:$N$80,3,0),""),AK73)</f>
        <v/>
      </c>
      <c r="E73" s="203" t="str">
        <f ca="1">IF(AL73="",IFERROR(VLOOKUP(B73,TinhGia!$B$11:$N$80,4,0),""),AL73)</f>
        <v/>
      </c>
      <c r="F73" s="203" t="str">
        <f ca="1">IF(AM73="",IFERROR(VLOOKUP(B73,TinhGia!$B$11:$N$80,5,0),""),AM73)</f>
        <v/>
      </c>
      <c r="G73" s="203" t="str">
        <f ca="1">IF(AN73="",IFERROR(VLOOKUP(B73,TinhGia!$B$11:$N$80,6,0),""),AN73)</f>
        <v/>
      </c>
      <c r="H73" s="1136">
        <f t="shared" ca="1" si="2"/>
        <v>0</v>
      </c>
      <c r="I73" s="38" t="str">
        <f ca="1">IF(AP73="",IFERROR(VLOOKUP(B73,TinhGia!$B$11:$N$80,8,0),""),AP73)</f>
        <v/>
      </c>
      <c r="J73" s="39">
        <f t="shared" ca="1" si="3"/>
        <v>0</v>
      </c>
      <c r="K73" s="1200">
        <f t="shared" ca="1" si="4"/>
        <v>0</v>
      </c>
      <c r="L73" s="40" t="str">
        <f ca="1">IF(AS73="",IFERROR(VLOOKUP(B73,TinhGia!$B$11:$N$80,11,0),""),AS73)</f>
        <v/>
      </c>
      <c r="M73" s="40" t="str">
        <f ca="1">IF(AT73="",IFERROR(VLOOKUP(B73,TinhGia!$B$11:$N$80,12,0),""),AT73)</f>
        <v/>
      </c>
      <c r="N73" s="41">
        <f t="shared" ca="1" si="5"/>
        <v>0</v>
      </c>
      <c r="O73" s="197"/>
      <c r="P73" s="198"/>
      <c r="Q73" s="703" t="str">
        <f>IF($P73="","","ĐNSX"&amp; IF(LEN($P73)=1,"0" &amp; $P73,$P73) &amp; "/" &amp; ThongTinChung!$C$5)</f>
        <v/>
      </c>
      <c r="R73" s="100" t="str">
        <f t="shared" ca="1" si="11"/>
        <v/>
      </c>
      <c r="S73" s="194" t="str">
        <f>IF($B73="","","C" &amp; ROW(MauKoXoa!$C$108) &amp; ":C" &amp;ROW(MauKoXoa!$C$174))</f>
        <v/>
      </c>
      <c r="T73" s="198" t="str">
        <f t="shared" ca="1" si="6"/>
        <v/>
      </c>
      <c r="U73" s="198" t="str">
        <f t="shared" ca="1" si="7"/>
        <v/>
      </c>
      <c r="V73" s="650" t="str">
        <f ca="1">IF(COUNTIF($V$10:$V72,IFERROR(INDEX(DanhMuc!$J$154:$J$165,MATCH($T73,DanhMuc!$B$154:$B$165,0)),""))&lt;1,IFERROR(INDEX(DanhMuc!$J$154:$J$165,MATCH($T73,DanhMuc!$B$154:$B$165,0)),""),"")</f>
        <v/>
      </c>
      <c r="W73" s="650" t="str">
        <f ca="1">IF(COUNTIF($W$10:$W72,IFERROR(INDEX(DanhMuc!$D$168:$D$177,MATCH($U73,DanhMuc!$C$168:$C$177,0)),""))&lt;1,IFERROR(INDEX(DanhMuc!$D$168:$D$177,MATCH($U73,DanhMuc!$C$168:$C$177,0)),""),"")</f>
        <v/>
      </c>
      <c r="X73" s="650" t="str">
        <f ca="1">IFERROR(INDEX(DanhMuc!$K$154:$K$165,MATCH($T73,DanhMuc!$B$154:$B$165,0)),"")</f>
        <v/>
      </c>
      <c r="Y73" s="653" t="str">
        <f t="shared" ca="1" si="8"/>
        <v/>
      </c>
      <c r="Z73" s="653" t="str">
        <f t="shared" ca="1" si="9"/>
        <v/>
      </c>
      <c r="AA73" s="757">
        <f t="shared" ca="1" si="13"/>
        <v>0</v>
      </c>
      <c r="AB73" s="757">
        <f t="shared" ca="1" si="13"/>
        <v>0</v>
      </c>
      <c r="AC73" s="757">
        <f t="shared" ca="1" si="13"/>
        <v>0</v>
      </c>
      <c r="AD73" s="757">
        <f t="shared" ca="1" si="13"/>
        <v>0</v>
      </c>
      <c r="AE73" s="757">
        <f t="shared" ca="1" si="13"/>
        <v>0</v>
      </c>
      <c r="AF73" s="757">
        <f t="shared" ca="1" si="13"/>
        <v>0</v>
      </c>
      <c r="AG73" s="198"/>
      <c r="AH73" s="1079" t="s">
        <v>3365</v>
      </c>
      <c r="AI73" s="1080"/>
      <c r="AJ73" s="1080"/>
      <c r="AK73" s="1081" t="s">
        <v>3365</v>
      </c>
      <c r="AL73" s="1081" t="s">
        <v>3365</v>
      </c>
      <c r="AM73" s="1081" t="s">
        <v>3365</v>
      </c>
      <c r="AN73" s="1081" t="s">
        <v>3365</v>
      </c>
      <c r="AO73" s="1083">
        <v>0</v>
      </c>
      <c r="AP73" s="1083" t="s">
        <v>3365</v>
      </c>
      <c r="AQ73" s="1084"/>
      <c r="AR73" s="1085"/>
      <c r="AS73" s="1086" t="s">
        <v>3365</v>
      </c>
      <c r="AT73" s="1086"/>
      <c r="AU73" s="1087"/>
    </row>
    <row r="74" spans="1:47" s="42" customFormat="1" ht="19.899999999999999" customHeight="1">
      <c r="A74" s="37" t="str">
        <f>IF(B74="","",MAX($A$10:A73)+1)</f>
        <v/>
      </c>
      <c r="B74" s="718"/>
      <c r="C74" s="643">
        <f ca="1">IFERROR(VLOOKUP(A74,TinhGia!$B$11:$N$80,2,0),"")</f>
        <v>0</v>
      </c>
      <c r="D74" s="643" t="str">
        <f ca="1">IF(AK74="",IFERROR(VLOOKUP(B74,TinhGia!$B$11:$N$80,3,0),""),AK74)</f>
        <v/>
      </c>
      <c r="E74" s="203" t="str">
        <f ca="1">IF(AL74="",IFERROR(VLOOKUP(B74,TinhGia!$B$11:$N$80,4,0),""),AL74)</f>
        <v/>
      </c>
      <c r="F74" s="203" t="str">
        <f ca="1">IF(AM74="",IFERROR(VLOOKUP(B74,TinhGia!$B$11:$N$80,5,0),""),AM74)</f>
        <v/>
      </c>
      <c r="G74" s="203" t="str">
        <f ca="1">IF(AN74="",IFERROR(VLOOKUP(B74,TinhGia!$B$11:$N$80,6,0),""),AN74)</f>
        <v/>
      </c>
      <c r="H74" s="1136">
        <f t="shared" ca="1" si="2"/>
        <v>0</v>
      </c>
      <c r="I74" s="38" t="str">
        <f ca="1">IF(AP74="",IFERROR(VLOOKUP(B74,TinhGia!$B$11:$N$80,8,0),""),AP74)</f>
        <v/>
      </c>
      <c r="J74" s="39">
        <f t="shared" ca="1" si="3"/>
        <v>0</v>
      </c>
      <c r="K74" s="1200">
        <f t="shared" ca="1" si="4"/>
        <v>0</v>
      </c>
      <c r="L74" s="40" t="str">
        <f ca="1">IF(AS74="",IFERROR(VLOOKUP(B74,TinhGia!$B$11:$N$80,11,0),""),AS74)</f>
        <v/>
      </c>
      <c r="M74" s="40" t="str">
        <f ca="1">IF(AT74="",IFERROR(VLOOKUP(B74,TinhGia!$B$11:$N$80,12,0),""),AT74)</f>
        <v/>
      </c>
      <c r="N74" s="41">
        <f t="shared" ca="1" si="5"/>
        <v>0</v>
      </c>
      <c r="O74" s="197"/>
      <c r="P74" s="198"/>
      <c r="Q74" s="703" t="str">
        <f>IF($P74="","","ĐNSX"&amp; IF(LEN($P74)=1,"0" &amp; $P74,$P74) &amp; "/" &amp; ThongTinChung!$C$5)</f>
        <v/>
      </c>
      <c r="R74" s="100" t="str">
        <f t="shared" ca="1" si="11"/>
        <v/>
      </c>
      <c r="S74" s="194" t="str">
        <f>IF($B74="","","C" &amp; ROW(MauKoXoa!$C$108) &amp; ":C" &amp;ROW(MauKoXoa!$C$174))</f>
        <v/>
      </c>
      <c r="T74" s="198" t="str">
        <f t="shared" ca="1" si="6"/>
        <v/>
      </c>
      <c r="U74" s="198" t="str">
        <f t="shared" ca="1" si="7"/>
        <v/>
      </c>
      <c r="V74" s="650" t="str">
        <f ca="1">IF(COUNTIF($V$10:$V73,IFERROR(INDEX(DanhMuc!$J$154:$J$165,MATCH($T74,DanhMuc!$B$154:$B$165,0)),""))&lt;1,IFERROR(INDEX(DanhMuc!$J$154:$J$165,MATCH($T74,DanhMuc!$B$154:$B$165,0)),""),"")</f>
        <v/>
      </c>
      <c r="W74" s="650" t="str">
        <f ca="1">IF(COUNTIF($W$10:$W73,IFERROR(INDEX(DanhMuc!$D$168:$D$177,MATCH($U74,DanhMuc!$C$168:$C$177,0)),""))&lt;1,IFERROR(INDEX(DanhMuc!$D$168:$D$177,MATCH($U74,DanhMuc!$C$168:$C$177,0)),""),"")</f>
        <v/>
      </c>
      <c r="X74" s="650" t="str">
        <f ca="1">IFERROR(INDEX(DanhMuc!$K$154:$K$165,MATCH($T74,DanhMuc!$B$154:$B$165,0)),"")</f>
        <v/>
      </c>
      <c r="Y74" s="653" t="str">
        <f t="shared" ca="1" si="8"/>
        <v/>
      </c>
      <c r="Z74" s="653" t="str">
        <f t="shared" ca="1" si="9"/>
        <v/>
      </c>
      <c r="AA74" s="757">
        <f t="shared" ca="1" si="13"/>
        <v>0</v>
      </c>
      <c r="AB74" s="757">
        <f t="shared" ca="1" si="13"/>
        <v>0</v>
      </c>
      <c r="AC74" s="757">
        <f t="shared" ca="1" si="13"/>
        <v>0</v>
      </c>
      <c r="AD74" s="757">
        <f t="shared" ca="1" si="13"/>
        <v>0</v>
      </c>
      <c r="AE74" s="757">
        <f t="shared" ca="1" si="13"/>
        <v>0</v>
      </c>
      <c r="AF74" s="757">
        <f t="shared" ca="1" si="13"/>
        <v>0</v>
      </c>
      <c r="AG74" s="198"/>
      <c r="AH74" s="1079" t="s">
        <v>3365</v>
      </c>
      <c r="AI74" s="1080"/>
      <c r="AJ74" s="1080"/>
      <c r="AK74" s="1081" t="s">
        <v>3365</v>
      </c>
      <c r="AL74" s="1081" t="s">
        <v>3365</v>
      </c>
      <c r="AM74" s="1081" t="s">
        <v>3365</v>
      </c>
      <c r="AN74" s="1081" t="s">
        <v>3365</v>
      </c>
      <c r="AO74" s="1083">
        <v>0</v>
      </c>
      <c r="AP74" s="1083" t="s">
        <v>3365</v>
      </c>
      <c r="AQ74" s="1084"/>
      <c r="AR74" s="1085"/>
      <c r="AS74" s="1086" t="s">
        <v>3365</v>
      </c>
      <c r="AT74" s="1086"/>
      <c r="AU74" s="1087"/>
    </row>
    <row r="75" spans="1:47" s="42" customFormat="1" ht="19.899999999999999" customHeight="1">
      <c r="A75" s="37" t="str">
        <f>IF(B75="","",MAX($A$10:A74)+1)</f>
        <v/>
      </c>
      <c r="B75" s="718"/>
      <c r="C75" s="643">
        <f ca="1">IFERROR(VLOOKUP(A75,TinhGia!$B$11:$N$80,2,0),"")</f>
        <v>0</v>
      </c>
      <c r="D75" s="643" t="str">
        <f ca="1">IF(AK75="",IFERROR(VLOOKUP(B75,TinhGia!$B$11:$N$80,3,0),""),AK75)</f>
        <v/>
      </c>
      <c r="E75" s="203" t="str">
        <f ca="1">IF(AL75="",IFERROR(VLOOKUP(B75,TinhGia!$B$11:$N$80,4,0),""),AL75)</f>
        <v/>
      </c>
      <c r="F75" s="203" t="str">
        <f ca="1">IF(AM75="",IFERROR(VLOOKUP(B75,TinhGia!$B$11:$N$80,5,0),""),AM75)</f>
        <v/>
      </c>
      <c r="G75" s="203" t="str">
        <f ca="1">IF(AN75="",IFERROR(VLOOKUP(B75,TinhGia!$B$11:$N$80,6,0),""),AN75)</f>
        <v/>
      </c>
      <c r="H75" s="1136">
        <f t="shared" ca="1" si="2"/>
        <v>0</v>
      </c>
      <c r="I75" s="38" t="str">
        <f ca="1">IF(AP75="",IFERROR(VLOOKUP(B75,TinhGia!$B$11:$N$80,8,0),""),AP75)</f>
        <v/>
      </c>
      <c r="J75" s="39">
        <f t="shared" ca="1" si="3"/>
        <v>0</v>
      </c>
      <c r="K75" s="1200">
        <f t="shared" ca="1" si="4"/>
        <v>0</v>
      </c>
      <c r="L75" s="40" t="str">
        <f ca="1">IF(AS75="",IFERROR(VLOOKUP(B75,TinhGia!$B$11:$N$80,11,0),""),AS75)</f>
        <v/>
      </c>
      <c r="M75" s="40" t="str">
        <f ca="1">IF(AT75="",IFERROR(VLOOKUP(B75,TinhGia!$B$11:$N$80,12,0),""),AT75)</f>
        <v/>
      </c>
      <c r="N75" s="41">
        <f t="shared" ca="1" si="5"/>
        <v>0</v>
      </c>
      <c r="O75" s="197"/>
      <c r="P75" s="198"/>
      <c r="Q75" s="703" t="str">
        <f>IF($P75="","","ĐNSX"&amp; IF(LEN($P75)=1,"0" &amp; $P75,$P75) &amp; "/" &amp; ThongTinChung!$C$5)</f>
        <v/>
      </c>
      <c r="R75" s="100" t="str">
        <f t="shared" ref="R75:R80" ca="1" si="14">IF(B75="","",COUNTA(INDIRECT("'" &amp; $B75 &amp; "'!" &amp; S75)) - COUNTBLANK(INDIRECT("'" &amp; $B75 &amp; "'!" &amp; S75)))</f>
        <v/>
      </c>
      <c r="S75" s="194" t="str">
        <f>IF($B75="","","C" &amp; ROW(MauKoXoa!$C$108) &amp; ":C" &amp;ROW(MauKoXoa!$C$174))</f>
        <v/>
      </c>
      <c r="T75" s="198" t="str">
        <f t="shared" ca="1" si="6"/>
        <v/>
      </c>
      <c r="U75" s="198" t="str">
        <f t="shared" ca="1" si="7"/>
        <v/>
      </c>
      <c r="V75" s="650" t="str">
        <f ca="1">IF(COUNTIF($V$10:$V74,IFERROR(INDEX(DanhMuc!$J$154:$J$165,MATCH($T75,DanhMuc!$B$154:$B$165,0)),""))&lt;1,IFERROR(INDEX(DanhMuc!$J$154:$J$165,MATCH($T75,DanhMuc!$B$154:$B$165,0)),""),"")</f>
        <v/>
      </c>
      <c r="W75" s="650" t="str">
        <f ca="1">IF(COUNTIF($W$10:$W74,IFERROR(INDEX(DanhMuc!$D$168:$D$177,MATCH($U75,DanhMuc!$C$168:$C$177,0)),""))&lt;1,IFERROR(INDEX(DanhMuc!$D$168:$D$177,MATCH($U75,DanhMuc!$C$168:$C$177,0)),""),"")</f>
        <v/>
      </c>
      <c r="X75" s="650" t="str">
        <f ca="1">IFERROR(INDEX(DanhMuc!$K$154:$K$165,MATCH($T75,DanhMuc!$B$154:$B$165,0)),"")</f>
        <v/>
      </c>
      <c r="Y75" s="653" t="str">
        <f t="shared" ca="1" si="8"/>
        <v/>
      </c>
      <c r="Z75" s="653" t="str">
        <f t="shared" ca="1" si="9"/>
        <v/>
      </c>
      <c r="AA75" s="757">
        <f t="shared" ref="AA75:AF80" ca="1" si="15">IFERROR(INDIRECT("'" &amp; $B75 &amp; "'!" &amp; AA$82),0)</f>
        <v>0</v>
      </c>
      <c r="AB75" s="757">
        <f t="shared" ca="1" si="15"/>
        <v>0</v>
      </c>
      <c r="AC75" s="757">
        <f t="shared" ca="1" si="15"/>
        <v>0</v>
      </c>
      <c r="AD75" s="757">
        <f t="shared" ca="1" si="15"/>
        <v>0</v>
      </c>
      <c r="AE75" s="757">
        <f t="shared" ca="1" si="15"/>
        <v>0</v>
      </c>
      <c r="AF75" s="757">
        <f t="shared" ca="1" si="15"/>
        <v>0</v>
      </c>
      <c r="AG75" s="198"/>
      <c r="AH75" s="1079" t="s">
        <v>3365</v>
      </c>
      <c r="AI75" s="1080"/>
      <c r="AJ75" s="1080"/>
      <c r="AK75" s="1081" t="s">
        <v>3365</v>
      </c>
      <c r="AL75" s="1081" t="s">
        <v>3365</v>
      </c>
      <c r="AM75" s="1081" t="s">
        <v>3365</v>
      </c>
      <c r="AN75" s="1081" t="s">
        <v>3365</v>
      </c>
      <c r="AO75" s="1083">
        <v>0</v>
      </c>
      <c r="AP75" s="1083" t="s">
        <v>3365</v>
      </c>
      <c r="AQ75" s="1084"/>
      <c r="AR75" s="1085"/>
      <c r="AS75" s="1086" t="s">
        <v>3365</v>
      </c>
      <c r="AT75" s="1086"/>
      <c r="AU75" s="1087"/>
    </row>
    <row r="76" spans="1:47" s="42" customFormat="1" ht="19.899999999999999" customHeight="1">
      <c r="A76" s="37" t="str">
        <f>IF(B76="","",MAX($A$10:A75)+1)</f>
        <v/>
      </c>
      <c r="B76" s="718"/>
      <c r="C76" s="643">
        <f ca="1">IFERROR(VLOOKUP(A76,TinhGia!$B$11:$N$80,2,0),"")</f>
        <v>0</v>
      </c>
      <c r="D76" s="643" t="str">
        <f ca="1">IF(AK76="",IFERROR(VLOOKUP(B76,TinhGia!$B$11:$N$80,3,0),""),AK76)</f>
        <v/>
      </c>
      <c r="E76" s="203" t="str">
        <f ca="1">IF(AL76="",IFERROR(VLOOKUP(B76,TinhGia!$B$11:$N$80,4,0),""),AL76)</f>
        <v/>
      </c>
      <c r="F76" s="203" t="str">
        <f ca="1">IF(AM76="",IFERROR(VLOOKUP(B76,TinhGia!$B$11:$N$80,5,0),""),AM76)</f>
        <v/>
      </c>
      <c r="G76" s="203" t="str">
        <f ca="1">IF(AN76="",IFERROR(VLOOKUP(B76,TinhGia!$B$11:$N$80,6,0),""),AN76)</f>
        <v/>
      </c>
      <c r="H76" s="1136">
        <f t="shared" ref="H76:H80" ca="1" si="16">ROUND(IFERROR(INDIRECT("'" &amp; $B76 &amp; "'!" &amp; "F12"),0),3)</f>
        <v>0</v>
      </c>
      <c r="I76" s="38" t="str">
        <f ca="1">IF(AP76="",IFERROR(VLOOKUP(B76,TinhGia!$B$11:$N$80,8,0),""),AP76)</f>
        <v/>
      </c>
      <c r="J76" s="39">
        <f t="shared" ref="J76:J80" ca="1" si="17">IF($E76="md",$F76*$I76/1000,0)</f>
        <v>0</v>
      </c>
      <c r="K76" s="1200">
        <f t="shared" ref="K76:K80" ca="1" si="18">ROUND(IF(AND($F76&lt;&gt;"",$G76&lt;&gt;""),$I76*$F76*$G76/1000000,0),3)</f>
        <v>0</v>
      </c>
      <c r="L76" s="40" t="str">
        <f ca="1">IF(AS76="",IFERROR(VLOOKUP(B76,TinhGia!$B$11:$N$80,11,0),""),AS76)</f>
        <v/>
      </c>
      <c r="M76" s="40" t="str">
        <f ca="1">IF(AT76="",IFERROR(VLOOKUP(B76,TinhGia!$B$11:$N$80,12,0),""),AT76)</f>
        <v/>
      </c>
      <c r="N76" s="41">
        <f t="shared" ref="N76:N80" ca="1" si="19">ROUND(IF($E76="md",$J76*$L76 + $M76*$I76,IFERROR(L76*IF($E76="m2",$K76,$I76) + M76*I76,0)),0)</f>
        <v>0</v>
      </c>
      <c r="O76" s="197"/>
      <c r="P76" s="198"/>
      <c r="Q76" s="703" t="str">
        <f>IF($P76="","","ĐNSX"&amp; IF(LEN($P76)=1,"0" &amp; $P76,$P76) &amp; "/" &amp; ThongTinChung!$C$5)</f>
        <v/>
      </c>
      <c r="R76" s="100" t="str">
        <f t="shared" ca="1" si="14"/>
        <v/>
      </c>
      <c r="S76" s="194" t="str">
        <f>IF($B76="","","C" &amp; ROW(MauKoXoa!$C$108) &amp; ":C" &amp;ROW(MauKoXoa!$C$174))</f>
        <v/>
      </c>
      <c r="T76" s="198" t="str">
        <f t="shared" ca="1" si="6"/>
        <v/>
      </c>
      <c r="U76" s="198" t="str">
        <f t="shared" ca="1" si="7"/>
        <v/>
      </c>
      <c r="V76" s="650" t="str">
        <f ca="1">IF(COUNTIF($V$10:$V75,IFERROR(INDEX(DanhMuc!$J$154:$J$165,MATCH($T76,DanhMuc!$B$154:$B$165,0)),""))&lt;1,IFERROR(INDEX(DanhMuc!$J$154:$J$165,MATCH($T76,DanhMuc!$B$154:$B$165,0)),""),"")</f>
        <v/>
      </c>
      <c r="W76" s="650" t="str">
        <f ca="1">IF(COUNTIF($W$10:$W75,IFERROR(INDEX(DanhMuc!$D$168:$D$177,MATCH($U76,DanhMuc!$C$168:$C$177,0)),""))&lt;1,IFERROR(INDEX(DanhMuc!$D$168:$D$177,MATCH($U76,DanhMuc!$C$168:$C$177,0)),""),"")</f>
        <v/>
      </c>
      <c r="X76" s="650" t="str">
        <f ca="1">IFERROR(INDEX(DanhMuc!$K$154:$K$165,MATCH($T76,DanhMuc!$B$154:$B$165,0)),"")</f>
        <v/>
      </c>
      <c r="Y76" s="653" t="str">
        <f t="shared" ref="Y76:Y80" ca="1" si="20">IF($Y75&gt;=$Y$10,"",$Y75+1)</f>
        <v/>
      </c>
      <c r="Z76" s="653" t="str">
        <f t="shared" ref="Z76:Z80" ca="1" si="21">IFERROR(INDEX(Lay_Ten_Sheet,Y76),"")</f>
        <v/>
      </c>
      <c r="AA76" s="757">
        <f t="shared" ca="1" si="15"/>
        <v>0</v>
      </c>
      <c r="AB76" s="757">
        <f t="shared" ca="1" si="15"/>
        <v>0</v>
      </c>
      <c r="AC76" s="757">
        <f t="shared" ca="1" si="15"/>
        <v>0</v>
      </c>
      <c r="AD76" s="757">
        <f t="shared" ca="1" si="15"/>
        <v>0</v>
      </c>
      <c r="AE76" s="757">
        <f t="shared" ca="1" si="15"/>
        <v>0</v>
      </c>
      <c r="AF76" s="757">
        <f t="shared" ca="1" si="15"/>
        <v>0</v>
      </c>
      <c r="AG76" s="198"/>
      <c r="AH76" s="1079" t="s">
        <v>3365</v>
      </c>
      <c r="AI76" s="1080"/>
      <c r="AJ76" s="1080"/>
      <c r="AK76" s="1081" t="s">
        <v>3365</v>
      </c>
      <c r="AL76" s="1081" t="s">
        <v>3365</v>
      </c>
      <c r="AM76" s="1081" t="s">
        <v>3365</v>
      </c>
      <c r="AN76" s="1081" t="s">
        <v>3365</v>
      </c>
      <c r="AO76" s="1083">
        <v>0</v>
      </c>
      <c r="AP76" s="1083" t="s">
        <v>3365</v>
      </c>
      <c r="AQ76" s="1084"/>
      <c r="AR76" s="1085"/>
      <c r="AS76" s="1086" t="s">
        <v>3365</v>
      </c>
      <c r="AT76" s="1086"/>
      <c r="AU76" s="1087"/>
    </row>
    <row r="77" spans="1:47" s="42" customFormat="1" ht="19.899999999999999" customHeight="1">
      <c r="A77" s="37" t="str">
        <f>IF(B77="","",MAX($A$10:A76)+1)</f>
        <v/>
      </c>
      <c r="B77" s="718"/>
      <c r="C77" s="643">
        <f ca="1">IFERROR(VLOOKUP(A77,TinhGia!$B$11:$N$80,2,0),"")</f>
        <v>0</v>
      </c>
      <c r="D77" s="643" t="str">
        <f ca="1">IF(AK77="",IFERROR(VLOOKUP(B77,TinhGia!$B$11:$N$80,3,0),""),AK77)</f>
        <v/>
      </c>
      <c r="E77" s="203" t="str">
        <f ca="1">IF(AL77="",IFERROR(VLOOKUP(B77,TinhGia!$B$11:$N$80,4,0),""),AL77)</f>
        <v/>
      </c>
      <c r="F77" s="203" t="str">
        <f ca="1">IF(AM77="",IFERROR(VLOOKUP(B77,TinhGia!$B$11:$N$80,5,0),""),AM77)</f>
        <v/>
      </c>
      <c r="G77" s="203" t="str">
        <f ca="1">IF(AN77="",IFERROR(VLOOKUP(B77,TinhGia!$B$11:$N$80,6,0),""),AN77)</f>
        <v/>
      </c>
      <c r="H77" s="1136">
        <f t="shared" ca="1" si="16"/>
        <v>0</v>
      </c>
      <c r="I77" s="38" t="str">
        <f ca="1">IF(AP77="",IFERROR(VLOOKUP(B77,TinhGia!$B$11:$N$80,8,0),""),AP77)</f>
        <v/>
      </c>
      <c r="J77" s="39">
        <f t="shared" ca="1" si="17"/>
        <v>0</v>
      </c>
      <c r="K77" s="1200">
        <f t="shared" ca="1" si="18"/>
        <v>0</v>
      </c>
      <c r="L77" s="40" t="str">
        <f ca="1">IF(AS77="",IFERROR(VLOOKUP(B77,TinhGia!$B$11:$N$80,11,0),""),AS77)</f>
        <v/>
      </c>
      <c r="M77" s="40" t="str">
        <f ca="1">IF(AT77="",IFERROR(VLOOKUP(B77,TinhGia!$B$11:$N$80,12,0),""),AT77)</f>
        <v/>
      </c>
      <c r="N77" s="41">
        <f t="shared" ca="1" si="19"/>
        <v>0</v>
      </c>
      <c r="O77" s="197"/>
      <c r="P77" s="198"/>
      <c r="Q77" s="703" t="str">
        <f>IF($P77="","","ĐNSX"&amp; IF(LEN($P77)=1,"0" &amp; $P77,$P77) &amp; "/" &amp; ThongTinChung!$C$5)</f>
        <v/>
      </c>
      <c r="R77" s="100" t="str">
        <f t="shared" ca="1" si="14"/>
        <v/>
      </c>
      <c r="S77" s="194" t="str">
        <f>IF($B77="","","C" &amp; ROW(MauKoXoa!$C$108) &amp; ":C" &amp;ROW(MauKoXoa!$C$174))</f>
        <v/>
      </c>
      <c r="T77" s="198" t="str">
        <f t="shared" ca="1" si="6"/>
        <v/>
      </c>
      <c r="U77" s="198" t="str">
        <f t="shared" ca="1" si="7"/>
        <v/>
      </c>
      <c r="V77" s="650" t="str">
        <f ca="1">IF(COUNTIF($V$10:$V76,IFERROR(INDEX(DanhMuc!$J$154:$J$165,MATCH($T77,DanhMuc!$B$154:$B$165,0)),""))&lt;1,IFERROR(INDEX(DanhMuc!$J$154:$J$165,MATCH($T77,DanhMuc!$B$154:$B$165,0)),""),"")</f>
        <v/>
      </c>
      <c r="W77" s="650" t="str">
        <f ca="1">IF(COUNTIF($W$10:$W76,IFERROR(INDEX(DanhMuc!$D$168:$D$177,MATCH($U77,DanhMuc!$C$168:$C$177,0)),""))&lt;1,IFERROR(INDEX(DanhMuc!$D$168:$D$177,MATCH($U77,DanhMuc!$C$168:$C$177,0)),""),"")</f>
        <v/>
      </c>
      <c r="X77" s="650" t="str">
        <f ca="1">IFERROR(INDEX(DanhMuc!$K$154:$K$165,MATCH($T77,DanhMuc!$B$154:$B$165,0)),"")</f>
        <v/>
      </c>
      <c r="Y77" s="653" t="str">
        <f t="shared" ca="1" si="20"/>
        <v/>
      </c>
      <c r="Z77" s="653" t="str">
        <f t="shared" ca="1" si="21"/>
        <v/>
      </c>
      <c r="AA77" s="757">
        <f t="shared" ca="1" si="15"/>
        <v>0</v>
      </c>
      <c r="AB77" s="757">
        <f t="shared" ca="1" si="15"/>
        <v>0</v>
      </c>
      <c r="AC77" s="757">
        <f t="shared" ca="1" si="15"/>
        <v>0</v>
      </c>
      <c r="AD77" s="757">
        <f t="shared" ca="1" si="15"/>
        <v>0</v>
      </c>
      <c r="AE77" s="757">
        <f t="shared" ca="1" si="15"/>
        <v>0</v>
      </c>
      <c r="AF77" s="757">
        <f t="shared" ca="1" si="15"/>
        <v>0</v>
      </c>
      <c r="AG77" s="198"/>
      <c r="AH77" s="1079" t="s">
        <v>3365</v>
      </c>
      <c r="AI77" s="1080"/>
      <c r="AJ77" s="1080"/>
      <c r="AK77" s="1081" t="s">
        <v>3365</v>
      </c>
      <c r="AL77" s="1081" t="s">
        <v>3365</v>
      </c>
      <c r="AM77" s="1081" t="s">
        <v>3365</v>
      </c>
      <c r="AN77" s="1081" t="s">
        <v>3365</v>
      </c>
      <c r="AO77" s="1083">
        <v>0</v>
      </c>
      <c r="AP77" s="1083" t="s">
        <v>3365</v>
      </c>
      <c r="AQ77" s="1084"/>
      <c r="AR77" s="1085"/>
      <c r="AS77" s="1086" t="s">
        <v>3365</v>
      </c>
      <c r="AT77" s="1086"/>
      <c r="AU77" s="1087"/>
    </row>
    <row r="78" spans="1:47" s="42" customFormat="1" ht="19.899999999999999" customHeight="1">
      <c r="A78" s="37" t="str">
        <f>IF(B78="","",MAX($A$10:A77)+1)</f>
        <v/>
      </c>
      <c r="B78" s="718"/>
      <c r="C78" s="643">
        <f ca="1">IFERROR(VLOOKUP(A78,TinhGia!$B$11:$N$80,2,0),"")</f>
        <v>0</v>
      </c>
      <c r="D78" s="643" t="str">
        <f ca="1">IF(AK78="",IFERROR(VLOOKUP(B78,TinhGia!$B$11:$N$80,3,0),""),AK78)</f>
        <v/>
      </c>
      <c r="E78" s="203" t="str">
        <f ca="1">IF(AL78="",IFERROR(VLOOKUP(B78,TinhGia!$B$11:$N$80,4,0),""),AL78)</f>
        <v/>
      </c>
      <c r="F78" s="203" t="str">
        <f ca="1">IF(AM78="",IFERROR(VLOOKUP(B78,TinhGia!$B$11:$N$80,5,0),""),AM78)</f>
        <v/>
      </c>
      <c r="G78" s="203" t="str">
        <f ca="1">IF(AN78="",IFERROR(VLOOKUP(B78,TinhGia!$B$11:$N$80,6,0),""),AN78)</f>
        <v/>
      </c>
      <c r="H78" s="1136">
        <f t="shared" ca="1" si="16"/>
        <v>0</v>
      </c>
      <c r="I78" s="38" t="str">
        <f ca="1">IF(AP78="",IFERROR(VLOOKUP(B78,TinhGia!$B$11:$N$80,8,0),""),AP78)</f>
        <v/>
      </c>
      <c r="J78" s="39">
        <f t="shared" ca="1" si="17"/>
        <v>0</v>
      </c>
      <c r="K78" s="1200">
        <f t="shared" ca="1" si="18"/>
        <v>0</v>
      </c>
      <c r="L78" s="40" t="str">
        <f ca="1">IF(AS78="",IFERROR(VLOOKUP(B78,TinhGia!$B$11:$N$80,11,0),""),AS78)</f>
        <v/>
      </c>
      <c r="M78" s="40" t="str">
        <f ca="1">IF(AT78="",IFERROR(VLOOKUP(B78,TinhGia!$B$11:$N$80,12,0),""),AT78)</f>
        <v/>
      </c>
      <c r="N78" s="41">
        <f t="shared" ca="1" si="19"/>
        <v>0</v>
      </c>
      <c r="O78" s="197"/>
      <c r="P78" s="198"/>
      <c r="Q78" s="703" t="str">
        <f>IF($P78="","","ĐNSX"&amp; IF(LEN($P78)=1,"0" &amp; $P78,$P78) &amp; "/" &amp; ThongTinChung!$C$5)</f>
        <v/>
      </c>
      <c r="R78" s="100" t="str">
        <f t="shared" ca="1" si="14"/>
        <v/>
      </c>
      <c r="S78" s="194" t="str">
        <f>IF($B78="","","C" &amp; ROW(MauKoXoa!$C$108) &amp; ":C" &amp;ROW(MauKoXoa!$C$174))</f>
        <v/>
      </c>
      <c r="T78" s="198" t="str">
        <f t="shared" ca="1" si="6"/>
        <v/>
      </c>
      <c r="U78" s="198" t="str">
        <f t="shared" ca="1" si="7"/>
        <v/>
      </c>
      <c r="V78" s="650" t="str">
        <f ca="1">IF(COUNTIF($V$10:$V77,IFERROR(INDEX(DanhMuc!$J$154:$J$165,MATCH($T78,DanhMuc!$B$154:$B$165,0)),""))&lt;1,IFERROR(INDEX(DanhMuc!$J$154:$J$165,MATCH($T78,DanhMuc!$B$154:$B$165,0)),""),"")</f>
        <v/>
      </c>
      <c r="W78" s="650" t="str">
        <f ca="1">IF(COUNTIF($W$10:$W77,IFERROR(INDEX(DanhMuc!$D$168:$D$177,MATCH($U78,DanhMuc!$C$168:$C$177,0)),""))&lt;1,IFERROR(INDEX(DanhMuc!$D$168:$D$177,MATCH($U78,DanhMuc!$C$168:$C$177,0)),""),"")</f>
        <v/>
      </c>
      <c r="X78" s="650" t="str">
        <f ca="1">IFERROR(INDEX(DanhMuc!$K$154:$K$165,MATCH($T78,DanhMuc!$B$154:$B$165,0)),"")</f>
        <v/>
      </c>
      <c r="Y78" s="653" t="str">
        <f t="shared" ca="1" si="20"/>
        <v/>
      </c>
      <c r="Z78" s="653" t="str">
        <f t="shared" ca="1" si="21"/>
        <v/>
      </c>
      <c r="AA78" s="757">
        <f t="shared" ca="1" si="15"/>
        <v>0</v>
      </c>
      <c r="AB78" s="757">
        <f t="shared" ca="1" si="15"/>
        <v>0</v>
      </c>
      <c r="AC78" s="757">
        <f t="shared" ca="1" si="15"/>
        <v>0</v>
      </c>
      <c r="AD78" s="757">
        <f t="shared" ca="1" si="15"/>
        <v>0</v>
      </c>
      <c r="AE78" s="757">
        <f t="shared" ca="1" si="15"/>
        <v>0</v>
      </c>
      <c r="AF78" s="757">
        <f t="shared" ca="1" si="15"/>
        <v>0</v>
      </c>
      <c r="AG78" s="198"/>
      <c r="AH78" s="1079" t="s">
        <v>3365</v>
      </c>
      <c r="AI78" s="1080"/>
      <c r="AJ78" s="1080"/>
      <c r="AK78" s="1081" t="s">
        <v>3365</v>
      </c>
      <c r="AL78" s="1081" t="s">
        <v>3365</v>
      </c>
      <c r="AM78" s="1081" t="s">
        <v>3365</v>
      </c>
      <c r="AN78" s="1081" t="s">
        <v>3365</v>
      </c>
      <c r="AO78" s="1083">
        <v>0</v>
      </c>
      <c r="AP78" s="1083" t="s">
        <v>3365</v>
      </c>
      <c r="AQ78" s="1084"/>
      <c r="AR78" s="1085"/>
      <c r="AS78" s="1086" t="s">
        <v>3365</v>
      </c>
      <c r="AT78" s="1086"/>
      <c r="AU78" s="1087"/>
    </row>
    <row r="79" spans="1:47" s="42" customFormat="1" ht="19.899999999999999" customHeight="1">
      <c r="A79" s="37" t="str">
        <f>IF(B79="","",MAX($A$10:A78)+1)</f>
        <v/>
      </c>
      <c r="B79" s="718"/>
      <c r="C79" s="643">
        <f ca="1">IFERROR(VLOOKUP(A79,TinhGia!$B$11:$N$80,2,0),"")</f>
        <v>0</v>
      </c>
      <c r="D79" s="643" t="str">
        <f ca="1">IF(AK79="",IFERROR(VLOOKUP(B79,TinhGia!$B$11:$N$80,3,0),""),AK79)</f>
        <v/>
      </c>
      <c r="E79" s="203" t="str">
        <f ca="1">IF(AL79="",IFERROR(VLOOKUP(B79,TinhGia!$B$11:$N$80,4,0),""),AL79)</f>
        <v/>
      </c>
      <c r="F79" s="203" t="str">
        <f ca="1">IF(AM79="",IFERROR(VLOOKUP(B79,TinhGia!$B$11:$N$80,5,0),""),AM79)</f>
        <v/>
      </c>
      <c r="G79" s="203" t="str">
        <f ca="1">IF(AN79="",IFERROR(VLOOKUP(B79,TinhGia!$B$11:$N$80,6,0),""),AN79)</f>
        <v/>
      </c>
      <c r="H79" s="1136">
        <f t="shared" ca="1" si="16"/>
        <v>0</v>
      </c>
      <c r="I79" s="38" t="str">
        <f ca="1">IF(AP79="",IFERROR(VLOOKUP(B79,TinhGia!$B$11:$N$80,8,0),""),AP79)</f>
        <v/>
      </c>
      <c r="J79" s="39">
        <f t="shared" ca="1" si="17"/>
        <v>0</v>
      </c>
      <c r="K79" s="1200">
        <f t="shared" ca="1" si="18"/>
        <v>0</v>
      </c>
      <c r="L79" s="40" t="str">
        <f ca="1">IF(AS79="",IFERROR(VLOOKUP(B79,TinhGia!$B$11:$N$80,11,0),""),AS79)</f>
        <v/>
      </c>
      <c r="M79" s="40" t="str">
        <f ca="1">IF(AT79="",IFERROR(VLOOKUP(B79,TinhGia!$B$11:$N$80,12,0),""),AT79)</f>
        <v/>
      </c>
      <c r="N79" s="41">
        <f t="shared" ca="1" si="19"/>
        <v>0</v>
      </c>
      <c r="O79" s="197"/>
      <c r="P79" s="198"/>
      <c r="Q79" s="703" t="str">
        <f>IF($P79="","","ĐNSX"&amp; IF(LEN($P79)=1,"0" &amp; $P79,$P79) &amp; "/" &amp; ThongTinChung!$C$5)</f>
        <v/>
      </c>
      <c r="R79" s="100" t="str">
        <f t="shared" ca="1" si="14"/>
        <v/>
      </c>
      <c r="S79" s="194" t="str">
        <f>IF($B79="","","C" &amp; ROW(MauKoXoa!$C$108) &amp; ":C" &amp;ROW(MauKoXoa!$C$174))</f>
        <v/>
      </c>
      <c r="T79" s="198" t="str">
        <f t="shared" ca="1" si="6"/>
        <v/>
      </c>
      <c r="U79" s="198" t="str">
        <f t="shared" ca="1" si="7"/>
        <v/>
      </c>
      <c r="V79" s="650" t="str">
        <f ca="1">IF(COUNTIF($V$10:$V78,IFERROR(INDEX(DanhMuc!$J$154:$J$165,MATCH($T79,DanhMuc!$B$154:$B$165,0)),""))&lt;1,IFERROR(INDEX(DanhMuc!$J$154:$J$165,MATCH($T79,DanhMuc!$B$154:$B$165,0)),""),"")</f>
        <v/>
      </c>
      <c r="W79" s="650" t="str">
        <f ca="1">IF(COUNTIF($W$10:$W78,IFERROR(INDEX(DanhMuc!$D$168:$D$177,MATCH($U79,DanhMuc!$C$168:$C$177,0)),""))&lt;1,IFERROR(INDEX(DanhMuc!$D$168:$D$177,MATCH($U79,DanhMuc!$C$168:$C$177,0)),""),"")</f>
        <v/>
      </c>
      <c r="X79" s="650" t="str">
        <f ca="1">IFERROR(INDEX(DanhMuc!$K$154:$K$165,MATCH($T79,DanhMuc!$B$154:$B$165,0)),"")</f>
        <v/>
      </c>
      <c r="Y79" s="653" t="str">
        <f t="shared" ca="1" si="20"/>
        <v/>
      </c>
      <c r="Z79" s="653" t="str">
        <f t="shared" ca="1" si="21"/>
        <v/>
      </c>
      <c r="AA79" s="757">
        <f t="shared" ca="1" si="15"/>
        <v>0</v>
      </c>
      <c r="AB79" s="757">
        <f t="shared" ca="1" si="15"/>
        <v>0</v>
      </c>
      <c r="AC79" s="757">
        <f t="shared" ca="1" si="15"/>
        <v>0</v>
      </c>
      <c r="AD79" s="757">
        <f t="shared" ca="1" si="15"/>
        <v>0</v>
      </c>
      <c r="AE79" s="757">
        <f t="shared" ca="1" si="15"/>
        <v>0</v>
      </c>
      <c r="AF79" s="757">
        <f t="shared" ca="1" si="15"/>
        <v>0</v>
      </c>
      <c r="AG79" s="198"/>
      <c r="AH79" s="1079" t="s">
        <v>3365</v>
      </c>
      <c r="AI79" s="1080"/>
      <c r="AJ79" s="1080"/>
      <c r="AK79" s="1081" t="s">
        <v>3365</v>
      </c>
      <c r="AL79" s="1081" t="s">
        <v>3365</v>
      </c>
      <c r="AM79" s="1081" t="s">
        <v>3365</v>
      </c>
      <c r="AN79" s="1081" t="s">
        <v>3365</v>
      </c>
      <c r="AO79" s="1083">
        <v>0</v>
      </c>
      <c r="AP79" s="1083" t="s">
        <v>3365</v>
      </c>
      <c r="AQ79" s="1084"/>
      <c r="AR79" s="1085"/>
      <c r="AS79" s="1086" t="s">
        <v>3365</v>
      </c>
      <c r="AT79" s="1086"/>
      <c r="AU79" s="1087"/>
    </row>
    <row r="80" spans="1:47" s="42" customFormat="1" ht="19.899999999999999" customHeight="1">
      <c r="A80" s="37" t="str">
        <f>IF(B80="","",MAX($A$10:A79)+1)</f>
        <v/>
      </c>
      <c r="B80" s="718"/>
      <c r="C80" s="643">
        <f ca="1">IFERROR(VLOOKUP(A80,TinhGia!$B$11:$N$80,2,0),"")</f>
        <v>0</v>
      </c>
      <c r="D80" s="643" t="str">
        <f ca="1">IF(AK80="",IFERROR(VLOOKUP(B80,TinhGia!$B$11:$N$80,3,0),""),AK80)</f>
        <v/>
      </c>
      <c r="E80" s="203" t="str">
        <f ca="1">IF(AL80="",IFERROR(VLOOKUP(B80,TinhGia!$B$11:$N$80,4,0),""),AL80)</f>
        <v/>
      </c>
      <c r="F80" s="203" t="str">
        <f ca="1">IF(AM80="",IFERROR(VLOOKUP(B80,TinhGia!$B$11:$N$80,5,0),""),AM80)</f>
        <v/>
      </c>
      <c r="G80" s="203" t="str">
        <f ca="1">IF(AN80="",IFERROR(VLOOKUP(B80,TinhGia!$B$11:$N$80,6,0),""),AN80)</f>
        <v/>
      </c>
      <c r="H80" s="1136">
        <f t="shared" ca="1" si="16"/>
        <v>0</v>
      </c>
      <c r="I80" s="38" t="str">
        <f ca="1">IF(AP80="",IFERROR(VLOOKUP(B80,TinhGia!$B$11:$N$80,8,0),""),AP80)</f>
        <v/>
      </c>
      <c r="J80" s="39">
        <f t="shared" ca="1" si="17"/>
        <v>0</v>
      </c>
      <c r="K80" s="1200">
        <f t="shared" ca="1" si="18"/>
        <v>0</v>
      </c>
      <c r="L80" s="40" t="str">
        <f ca="1">IF(AS80="",IFERROR(VLOOKUP(B80,TinhGia!$B$11:$N$80,11,0),""),AS80)</f>
        <v/>
      </c>
      <c r="M80" s="40" t="str">
        <f ca="1">IF(AT80="",IFERROR(VLOOKUP(B80,TinhGia!$B$11:$N$80,12,0),""),AT80)</f>
        <v/>
      </c>
      <c r="N80" s="41">
        <f t="shared" ca="1" si="19"/>
        <v>0</v>
      </c>
      <c r="O80" s="197"/>
      <c r="P80" s="198"/>
      <c r="Q80" s="703" t="str">
        <f>IF($P80="","","ĐNSX"&amp; IF(LEN($P80)=1,"0" &amp; $P80,$P80) &amp; "/" &amp; ThongTinChung!$C$5)</f>
        <v/>
      </c>
      <c r="R80" s="100" t="str">
        <f t="shared" ca="1" si="14"/>
        <v/>
      </c>
      <c r="S80" s="194" t="str">
        <f>IF($B80="","","C" &amp; ROW(MauKoXoa!$C$108) &amp; ":C" &amp;ROW(MauKoXoa!$C$174))</f>
        <v/>
      </c>
      <c r="T80" s="198" t="str">
        <f t="shared" ca="1" si="6"/>
        <v/>
      </c>
      <c r="U80" s="198" t="str">
        <f t="shared" ca="1" si="7"/>
        <v/>
      </c>
      <c r="V80" s="650" t="str">
        <f ca="1">IF(COUNTIF($V$10:$V79,IFERROR(INDEX(DanhMuc!$J$154:$J$165,MATCH($T80,DanhMuc!$B$154:$B$165,0)),""))&lt;1,IFERROR(INDEX(DanhMuc!$J$154:$J$165,MATCH($T80,DanhMuc!$B$154:$B$165,0)),""),"")</f>
        <v/>
      </c>
      <c r="W80" s="650" t="str">
        <f ca="1">IF(COUNTIF($W$10:$W79,IFERROR(INDEX(DanhMuc!$D$168:$D$177,MATCH($U80,DanhMuc!$C$168:$C$177,0)),""))&lt;1,IFERROR(INDEX(DanhMuc!$D$168:$D$177,MATCH($U80,DanhMuc!$C$168:$C$177,0)),""),"")</f>
        <v/>
      </c>
      <c r="X80" s="650" t="str">
        <f ca="1">IFERROR(INDEX(DanhMuc!$K$154:$K$165,MATCH($T80,DanhMuc!$B$154:$B$165,0)),"")</f>
        <v/>
      </c>
      <c r="Y80" s="653" t="str">
        <f t="shared" ca="1" si="20"/>
        <v/>
      </c>
      <c r="Z80" s="653" t="str">
        <f t="shared" ca="1" si="21"/>
        <v/>
      </c>
      <c r="AA80" s="757">
        <f t="shared" ca="1" si="15"/>
        <v>0</v>
      </c>
      <c r="AB80" s="757">
        <f t="shared" ca="1" si="15"/>
        <v>0</v>
      </c>
      <c r="AC80" s="757">
        <f t="shared" ca="1" si="15"/>
        <v>0</v>
      </c>
      <c r="AD80" s="757">
        <f t="shared" ca="1" si="15"/>
        <v>0</v>
      </c>
      <c r="AE80" s="757">
        <f t="shared" ca="1" si="15"/>
        <v>0</v>
      </c>
      <c r="AF80" s="757">
        <f t="shared" ca="1" si="15"/>
        <v>0</v>
      </c>
      <c r="AG80" s="198"/>
      <c r="AH80" s="1079" t="s">
        <v>3365</v>
      </c>
      <c r="AI80" s="1080"/>
      <c r="AJ80" s="1080"/>
      <c r="AK80" s="1081" t="s">
        <v>3365</v>
      </c>
      <c r="AL80" s="1081" t="s">
        <v>3365</v>
      </c>
      <c r="AM80" s="1081" t="s">
        <v>3365</v>
      </c>
      <c r="AN80" s="1081" t="s">
        <v>3365</v>
      </c>
      <c r="AO80" s="1083">
        <v>0</v>
      </c>
      <c r="AP80" s="1083" t="s">
        <v>3365</v>
      </c>
      <c r="AQ80" s="1084"/>
      <c r="AR80" s="1085"/>
      <c r="AS80" s="1086" t="s">
        <v>3365</v>
      </c>
      <c r="AT80" s="1086"/>
      <c r="AU80" s="1087"/>
    </row>
    <row r="81" spans="1:47" s="666" customFormat="1" ht="19.899999999999999" customHeight="1">
      <c r="A81" s="1298" t="s">
        <v>130</v>
      </c>
      <c r="B81" s="1299"/>
      <c r="C81" s="1299"/>
      <c r="D81" s="1299"/>
      <c r="E81" s="1098"/>
      <c r="F81" s="1098"/>
      <c r="G81" s="1099"/>
      <c r="H81" s="1202"/>
      <c r="I81" s="1100">
        <f ca="1">SUM(I11:I80)</f>
        <v>0</v>
      </c>
      <c r="J81" s="99">
        <f ca="1">SUM(J11:J80)</f>
        <v>0</v>
      </c>
      <c r="K81" s="1201">
        <f ca="1">SUM(K11:K80)</f>
        <v>0</v>
      </c>
      <c r="L81" s="43"/>
      <c r="M81" s="606"/>
      <c r="N81" s="44">
        <f t="shared" ref="N81" ca="1" si="22">SUM(N11:N80)</f>
        <v>0</v>
      </c>
      <c r="O81" s="1101" t="s">
        <v>106</v>
      </c>
      <c r="P81" s="1101" t="s">
        <v>106</v>
      </c>
      <c r="Q81" s="654" t="s">
        <v>106</v>
      </c>
      <c r="R81" s="1101" t="s">
        <v>106</v>
      </c>
      <c r="S81" s="1101" t="s">
        <v>106</v>
      </c>
      <c r="T81" s="1101" t="s">
        <v>106</v>
      </c>
      <c r="U81" s="1101" t="s">
        <v>106</v>
      </c>
      <c r="V81" s="1101"/>
      <c r="W81" s="1101"/>
      <c r="X81" s="1101" t="s">
        <v>106</v>
      </c>
      <c r="Y81" s="1101" t="s">
        <v>106</v>
      </c>
      <c r="Z81" s="1101" t="s">
        <v>106</v>
      </c>
      <c r="AA81" s="761">
        <f t="shared" ref="AA81:AF81" ca="1" si="23">SUM(AA11:AA80)</f>
        <v>0</v>
      </c>
      <c r="AB81" s="761">
        <f t="shared" ca="1" si="23"/>
        <v>0</v>
      </c>
      <c r="AC81" s="761">
        <f t="shared" ca="1" si="23"/>
        <v>0</v>
      </c>
      <c r="AD81" s="761">
        <f t="shared" ca="1" si="23"/>
        <v>0</v>
      </c>
      <c r="AE81" s="761">
        <f t="shared" ca="1" si="23"/>
        <v>0</v>
      </c>
      <c r="AF81" s="761">
        <f t="shared" ca="1" si="23"/>
        <v>0</v>
      </c>
      <c r="AG81" s="654" t="s">
        <v>106</v>
      </c>
      <c r="AH81" s="1323" t="s">
        <v>130</v>
      </c>
      <c r="AI81" s="1324"/>
      <c r="AJ81" s="1324"/>
      <c r="AK81" s="1324"/>
      <c r="AL81" s="1102"/>
      <c r="AM81" s="1102"/>
      <c r="AN81" s="1103"/>
      <c r="AO81" s="1103"/>
      <c r="AP81" s="1104">
        <v>0</v>
      </c>
      <c r="AQ81" s="1088"/>
      <c r="AR81" s="1088"/>
      <c r="AS81" s="1089"/>
      <c r="AT81" s="1090"/>
      <c r="AU81" s="1091">
        <v>0</v>
      </c>
    </row>
    <row r="82" spans="1:47" s="666" customFormat="1" ht="19.899999999999999" customHeight="1">
      <c r="A82" s="1290" t="s">
        <v>2723</v>
      </c>
      <c r="B82" s="1291"/>
      <c r="C82" s="1291"/>
      <c r="D82" s="1300"/>
      <c r="E82" s="949">
        <v>0.01</v>
      </c>
      <c r="F82" s="1105"/>
      <c r="G82" s="1106"/>
      <c r="H82" s="1106"/>
      <c r="I82" s="1107"/>
      <c r="J82" s="942"/>
      <c r="L82" s="943"/>
      <c r="M82" s="944"/>
      <c r="N82" s="945">
        <f ca="1">+N81*E82</f>
        <v>0</v>
      </c>
      <c r="O82" s="1108"/>
      <c r="P82" s="1108"/>
      <c r="Q82" s="700"/>
      <c r="R82" s="664"/>
      <c r="S82" s="664"/>
      <c r="T82" s="664"/>
      <c r="U82" s="664"/>
      <c r="V82" s="664"/>
      <c r="W82" s="664"/>
      <c r="X82" s="664"/>
      <c r="Y82" s="664"/>
      <c r="Z82" s="664"/>
      <c r="AA82" s="764" t="s">
        <v>564</v>
      </c>
      <c r="AB82" s="764" t="s">
        <v>563</v>
      </c>
      <c r="AC82" s="764" t="s">
        <v>562</v>
      </c>
      <c r="AD82" s="764" t="s">
        <v>561</v>
      </c>
      <c r="AE82" s="764" t="s">
        <v>560</v>
      </c>
      <c r="AF82" s="764" t="s">
        <v>2690</v>
      </c>
      <c r="AG82" s="701"/>
      <c r="AH82" s="1323" t="s">
        <v>2723</v>
      </c>
      <c r="AI82" s="1324"/>
      <c r="AJ82" s="1324"/>
      <c r="AK82" s="1325"/>
      <c r="AL82" s="1092">
        <v>0.01</v>
      </c>
      <c r="AM82" s="1109"/>
      <c r="AN82" s="1110"/>
      <c r="AO82" s="1110"/>
      <c r="AP82" s="1111"/>
      <c r="AQ82" s="1093"/>
      <c r="AR82" s="1112"/>
      <c r="AS82" s="1094"/>
      <c r="AT82" s="1095"/>
      <c r="AU82" s="1096">
        <v>0</v>
      </c>
    </row>
    <row r="83" spans="1:47" s="666" customFormat="1" ht="19.899999999999999" customHeight="1">
      <c r="A83" s="1290" t="s">
        <v>2724</v>
      </c>
      <c r="B83" s="1291"/>
      <c r="C83" s="1291"/>
      <c r="D83" s="1291"/>
      <c r="E83" s="1105"/>
      <c r="F83" s="1105"/>
      <c r="G83" s="1106"/>
      <c r="H83" s="1106"/>
      <c r="I83" s="1107"/>
      <c r="J83" s="942"/>
      <c r="K83" s="949"/>
      <c r="L83" s="943"/>
      <c r="M83" s="944"/>
      <c r="N83" s="945">
        <f ca="1">+N81-N82</f>
        <v>0</v>
      </c>
      <c r="O83" s="1108"/>
      <c r="P83" s="1108"/>
      <c r="Q83" s="700"/>
      <c r="R83" s="664"/>
      <c r="S83" s="664"/>
      <c r="T83" s="664"/>
      <c r="U83" s="664"/>
      <c r="V83" s="664"/>
      <c r="W83" s="664"/>
      <c r="X83" s="664"/>
      <c r="Y83" s="664"/>
      <c r="Z83" s="664"/>
      <c r="AA83" s="1113"/>
      <c r="AB83" s="1113"/>
      <c r="AC83" s="1114"/>
      <c r="AD83" s="1114"/>
      <c r="AE83" s="1114"/>
      <c r="AF83" s="664"/>
      <c r="AG83" s="701"/>
      <c r="AH83" s="1323" t="s">
        <v>2724</v>
      </c>
      <c r="AI83" s="1324"/>
      <c r="AJ83" s="1324"/>
      <c r="AK83" s="1324"/>
      <c r="AL83" s="1109"/>
      <c r="AM83" s="1109"/>
      <c r="AN83" s="1110"/>
      <c r="AO83" s="1110"/>
      <c r="AP83" s="1111"/>
      <c r="AQ83" s="1093"/>
      <c r="AR83" s="1092"/>
      <c r="AS83" s="1094"/>
      <c r="AT83" s="1095"/>
      <c r="AU83" s="1096">
        <v>0</v>
      </c>
    </row>
    <row r="84" spans="1:47" s="666" customFormat="1" ht="19.899999999999999" customHeight="1">
      <c r="A84" s="1290" t="s">
        <v>2725</v>
      </c>
      <c r="B84" s="1291"/>
      <c r="C84" s="1291"/>
      <c r="D84" s="1291"/>
      <c r="E84" s="1105"/>
      <c r="F84" s="1105"/>
      <c r="G84" s="1106"/>
      <c r="H84" s="1106"/>
      <c r="I84" s="1107"/>
      <c r="J84" s="942"/>
      <c r="K84" s="942"/>
      <c r="L84" s="943"/>
      <c r="M84" s="944"/>
      <c r="N84" s="945"/>
      <c r="O84" s="667"/>
      <c r="P84" s="667"/>
      <c r="Q84" s="701"/>
      <c r="R84" s="667"/>
      <c r="S84" s="667"/>
      <c r="T84" s="667"/>
      <c r="U84" s="667"/>
      <c r="V84" s="667"/>
      <c r="W84" s="667"/>
      <c r="X84" s="667"/>
      <c r="Y84" s="667"/>
      <c r="Z84" s="667"/>
      <c r="AA84" s="947"/>
      <c r="AB84" s="947"/>
      <c r="AC84" s="947"/>
      <c r="AD84" s="947"/>
      <c r="AE84" s="947"/>
      <c r="AF84" s="947"/>
      <c r="AG84" s="701"/>
      <c r="AH84" s="1323" t="s">
        <v>2725</v>
      </c>
      <c r="AI84" s="1324"/>
      <c r="AJ84" s="1324"/>
      <c r="AK84" s="1324"/>
      <c r="AL84" s="1109"/>
      <c r="AM84" s="1109"/>
      <c r="AN84" s="1110"/>
      <c r="AO84" s="1110"/>
      <c r="AP84" s="1111"/>
      <c r="AQ84" s="1093"/>
      <c r="AR84" s="1093"/>
      <c r="AS84" s="1094"/>
      <c r="AT84" s="1095"/>
      <c r="AU84" s="1096"/>
    </row>
    <row r="85" spans="1:47" s="666" customFormat="1" ht="19.899999999999999" customHeight="1">
      <c r="A85" s="1290" t="s">
        <v>2726</v>
      </c>
      <c r="B85" s="1291"/>
      <c r="C85" s="1291"/>
      <c r="D85" s="1291"/>
      <c r="E85" s="1105"/>
      <c r="F85" s="1105"/>
      <c r="G85" s="1106"/>
      <c r="H85" s="1106"/>
      <c r="I85" s="1107"/>
      <c r="J85" s="942"/>
      <c r="K85" s="942"/>
      <c r="L85" s="943"/>
      <c r="M85" s="944"/>
      <c r="N85" s="945"/>
      <c r="O85" s="667"/>
      <c r="P85" s="667"/>
      <c r="Q85" s="701"/>
      <c r="R85" s="667"/>
      <c r="S85" s="667"/>
      <c r="T85" s="667"/>
      <c r="U85" s="667"/>
      <c r="V85" s="667"/>
      <c r="W85" s="667"/>
      <c r="X85" s="667"/>
      <c r="Y85" s="667"/>
      <c r="Z85" s="667"/>
      <c r="AA85" s="947"/>
      <c r="AB85" s="947"/>
      <c r="AC85" s="947"/>
      <c r="AD85" s="947"/>
      <c r="AE85" s="947"/>
      <c r="AF85" s="947"/>
      <c r="AG85" s="701"/>
      <c r="AH85" s="1323" t="s">
        <v>2726</v>
      </c>
      <c r="AI85" s="1324"/>
      <c r="AJ85" s="1324"/>
      <c r="AK85" s="1324"/>
      <c r="AL85" s="1109"/>
      <c r="AM85" s="1109"/>
      <c r="AN85" s="1110"/>
      <c r="AO85" s="1110"/>
      <c r="AP85" s="1111"/>
      <c r="AQ85" s="1093"/>
      <c r="AR85" s="1093"/>
      <c r="AS85" s="1094"/>
      <c r="AT85" s="1095"/>
      <c r="AU85" s="1096"/>
    </row>
    <row r="86" spans="1:47" s="666" customFormat="1" ht="19.899999999999999" customHeight="1">
      <c r="A86" s="1290" t="s">
        <v>2727</v>
      </c>
      <c r="B86" s="1291"/>
      <c r="C86" s="1291"/>
      <c r="D86" s="1291"/>
      <c r="E86" s="1105"/>
      <c r="F86" s="1105"/>
      <c r="G86" s="1106"/>
      <c r="H86" s="1106"/>
      <c r="I86" s="1107"/>
      <c r="J86" s="942"/>
      <c r="K86" s="942"/>
      <c r="L86" s="943"/>
      <c r="M86" s="944"/>
      <c r="N86" s="945"/>
      <c r="O86" s="667"/>
      <c r="P86" s="667"/>
      <c r="Q86" s="701"/>
      <c r="R86" s="667"/>
      <c r="S86" s="667"/>
      <c r="T86" s="667"/>
      <c r="U86" s="667"/>
      <c r="V86" s="667"/>
      <c r="W86" s="667"/>
      <c r="X86" s="667"/>
      <c r="Y86" s="667"/>
      <c r="Z86" s="667"/>
      <c r="AA86" s="947"/>
      <c r="AB86" s="947"/>
      <c r="AC86" s="947"/>
      <c r="AD86" s="947"/>
      <c r="AE86" s="947"/>
      <c r="AF86" s="947"/>
      <c r="AG86" s="701"/>
      <c r="AH86" s="1323" t="s">
        <v>2727</v>
      </c>
      <c r="AI86" s="1324"/>
      <c r="AJ86" s="1324"/>
      <c r="AK86" s="1324"/>
      <c r="AL86" s="1109"/>
      <c r="AM86" s="1109"/>
      <c r="AN86" s="1110"/>
      <c r="AO86" s="1110"/>
      <c r="AP86" s="1111"/>
      <c r="AQ86" s="1093"/>
      <c r="AR86" s="1093"/>
      <c r="AS86" s="1094"/>
      <c r="AT86" s="1095"/>
      <c r="AU86" s="1096"/>
    </row>
    <row r="87" spans="1:47" s="666" customFormat="1" ht="19.899999999999999" customHeight="1">
      <c r="A87" s="1290" t="s">
        <v>2728</v>
      </c>
      <c r="B87" s="1291"/>
      <c r="C87" s="1291"/>
      <c r="D87" s="1291"/>
      <c r="E87" s="1105"/>
      <c r="F87" s="1105"/>
      <c r="G87" s="1106"/>
      <c r="H87" s="1106"/>
      <c r="I87" s="1107"/>
      <c r="J87" s="942"/>
      <c r="K87" s="942"/>
      <c r="L87" s="943"/>
      <c r="M87" s="944"/>
      <c r="N87" s="945">
        <f ca="1">SUM(N83:N86)</f>
        <v>0</v>
      </c>
      <c r="O87" s="667"/>
      <c r="P87" s="667"/>
      <c r="Q87" s="701"/>
      <c r="R87" s="667"/>
      <c r="S87" s="667"/>
      <c r="T87" s="667"/>
      <c r="U87" s="667"/>
      <c r="V87" s="667"/>
      <c r="W87" s="667"/>
      <c r="X87" s="667"/>
      <c r="Y87" s="667"/>
      <c r="Z87" s="667"/>
      <c r="AA87" s="947"/>
      <c r="AB87" s="947"/>
      <c r="AC87" s="947"/>
      <c r="AD87" s="947"/>
      <c r="AE87" s="947"/>
      <c r="AF87" s="947"/>
      <c r="AG87" s="701"/>
      <c r="AH87" s="1323" t="s">
        <v>2728</v>
      </c>
      <c r="AI87" s="1324"/>
      <c r="AJ87" s="1324"/>
      <c r="AK87" s="1324"/>
      <c r="AL87" s="1109"/>
      <c r="AM87" s="1109"/>
      <c r="AN87" s="1110"/>
      <c r="AO87" s="1110"/>
      <c r="AP87" s="1111"/>
      <c r="AQ87" s="1093"/>
      <c r="AR87" s="1093"/>
      <c r="AS87" s="1094"/>
      <c r="AT87" s="1095"/>
      <c r="AU87" s="1096">
        <v>0</v>
      </c>
    </row>
    <row r="88" spans="1:47" s="666" customFormat="1" ht="19.899999999999999" customHeight="1">
      <c r="A88" s="1290" t="s">
        <v>2520</v>
      </c>
      <c r="B88" s="1291"/>
      <c r="C88" s="1291"/>
      <c r="D88" s="1300"/>
      <c r="E88" s="949">
        <v>0.1</v>
      </c>
      <c r="F88" s="1105"/>
      <c r="G88" s="1106"/>
      <c r="H88" s="1106"/>
      <c r="I88" s="1107"/>
      <c r="J88" s="942"/>
      <c r="L88" s="943"/>
      <c r="M88" s="944"/>
      <c r="N88" s="945">
        <f ca="1">+N87*E88</f>
        <v>0</v>
      </c>
      <c r="O88" s="667"/>
      <c r="P88" s="667"/>
      <c r="Q88" s="701"/>
      <c r="R88" s="667"/>
      <c r="S88" s="667"/>
      <c r="T88" s="667"/>
      <c r="U88" s="667"/>
      <c r="V88" s="667"/>
      <c r="W88" s="667"/>
      <c r="X88" s="667"/>
      <c r="Y88" s="667"/>
      <c r="Z88" s="667"/>
      <c r="AA88" s="947"/>
      <c r="AB88" s="947"/>
      <c r="AC88" s="947"/>
      <c r="AD88" s="947"/>
      <c r="AE88" s="947"/>
      <c r="AF88" s="947"/>
      <c r="AG88" s="701"/>
      <c r="AH88" s="1323" t="s">
        <v>2520</v>
      </c>
      <c r="AI88" s="1324"/>
      <c r="AJ88" s="1324"/>
      <c r="AK88" s="1325"/>
      <c r="AL88" s="1092">
        <v>0.1</v>
      </c>
      <c r="AM88" s="1109"/>
      <c r="AN88" s="1110"/>
      <c r="AO88" s="1110"/>
      <c r="AP88" s="1111"/>
      <c r="AQ88" s="1093"/>
      <c r="AR88" s="1112"/>
      <c r="AS88" s="1094"/>
      <c r="AT88" s="1095"/>
      <c r="AU88" s="1096">
        <v>0</v>
      </c>
    </row>
    <row r="89" spans="1:47" s="666" customFormat="1" ht="19.899999999999999" customHeight="1">
      <c r="A89" s="1290" t="s">
        <v>2729</v>
      </c>
      <c r="B89" s="1291"/>
      <c r="C89" s="1291"/>
      <c r="D89" s="1291"/>
      <c r="E89" s="1105"/>
      <c r="F89" s="1105"/>
      <c r="G89" s="1106"/>
      <c r="H89" s="1106"/>
      <c r="I89" s="1107"/>
      <c r="J89" s="942"/>
      <c r="K89" s="942"/>
      <c r="L89" s="943"/>
      <c r="M89" s="944"/>
      <c r="N89" s="945">
        <f ca="1">+SUM(N87:N88)</f>
        <v>0</v>
      </c>
      <c r="O89" s="667"/>
      <c r="P89" s="667"/>
      <c r="Q89" s="701"/>
      <c r="R89" s="667"/>
      <c r="S89" s="667"/>
      <c r="T89" s="667"/>
      <c r="U89" s="667"/>
      <c r="V89" s="667"/>
      <c r="W89" s="667"/>
      <c r="X89" s="667"/>
      <c r="Y89" s="667"/>
      <c r="Z89" s="667"/>
      <c r="AA89" s="947"/>
      <c r="AB89" s="947"/>
      <c r="AC89" s="947"/>
      <c r="AD89" s="947"/>
      <c r="AE89" s="947"/>
      <c r="AF89" s="947"/>
      <c r="AG89" s="701"/>
      <c r="AH89" s="1323" t="s">
        <v>2729</v>
      </c>
      <c r="AI89" s="1324"/>
      <c r="AJ89" s="1324"/>
      <c r="AK89" s="1324"/>
      <c r="AL89" s="1109"/>
      <c r="AM89" s="1109"/>
      <c r="AN89" s="1110"/>
      <c r="AO89" s="1110"/>
      <c r="AP89" s="1111"/>
      <c r="AQ89" s="1093"/>
      <c r="AR89" s="1093"/>
      <c r="AS89" s="1094"/>
      <c r="AT89" s="1095"/>
      <c r="AU89" s="1096">
        <v>0</v>
      </c>
    </row>
    <row r="90" spans="1:47" s="663" customFormat="1" ht="19.899999999999999" customHeight="1" thickBot="1">
      <c r="A90" s="1316" t="s">
        <v>131</v>
      </c>
      <c r="B90" s="1317"/>
      <c r="C90" s="1199"/>
      <c r="D90" s="1318" t="e">
        <f ca="1">[1]!vndU(N89) &amp; " đồng./."</f>
        <v>#NAME?</v>
      </c>
      <c r="E90" s="1318"/>
      <c r="F90" s="1319"/>
      <c r="G90" s="1319"/>
      <c r="H90" s="1319"/>
      <c r="I90" s="1319"/>
      <c r="J90" s="1319"/>
      <c r="K90" s="1319"/>
      <c r="L90" s="1319"/>
      <c r="M90" s="1320"/>
      <c r="N90" s="1321"/>
      <c r="AH90" s="1310" t="s">
        <v>131</v>
      </c>
      <c r="AI90" s="1311"/>
      <c r="AJ90" s="1198"/>
      <c r="AK90" s="1312" t="e">
        <v>#NAME?</v>
      </c>
      <c r="AL90" s="1312"/>
      <c r="AM90" s="1313"/>
      <c r="AN90" s="1313"/>
      <c r="AO90" s="1313"/>
      <c r="AP90" s="1313"/>
      <c r="AQ90" s="1313"/>
      <c r="AR90" s="1313"/>
      <c r="AS90" s="1313"/>
      <c r="AT90" s="1314"/>
      <c r="AU90" s="1315"/>
    </row>
    <row r="91" spans="1:47" s="671" customFormat="1" ht="19.899999999999999" customHeight="1">
      <c r="A91" s="45" t="s">
        <v>132</v>
      </c>
      <c r="B91" s="30"/>
      <c r="C91" s="30"/>
      <c r="D91" s="119"/>
      <c r="E91" s="29"/>
      <c r="F91" s="46"/>
      <c r="G91" s="46"/>
      <c r="H91" s="46"/>
      <c r="I91" s="47"/>
      <c r="J91" s="48"/>
      <c r="K91" s="773"/>
      <c r="L91" s="49"/>
      <c r="M91" s="49"/>
      <c r="N91" s="50"/>
    </row>
    <row r="92" spans="1:47" s="671" customFormat="1" ht="19.899999999999999" customHeight="1">
      <c r="A92" s="51" t="s">
        <v>2108</v>
      </c>
      <c r="B92" s="52"/>
      <c r="C92" s="52"/>
      <c r="D92" s="120"/>
      <c r="E92" s="46"/>
      <c r="F92" s="46"/>
      <c r="G92" s="46"/>
      <c r="H92" s="46"/>
      <c r="I92" s="47"/>
      <c r="J92" s="48"/>
      <c r="K92" s="48"/>
      <c r="L92" s="49"/>
      <c r="M92" s="49"/>
      <c r="N92" s="50"/>
      <c r="O92" s="190"/>
      <c r="P92" s="190"/>
      <c r="Q92" s="700"/>
      <c r="Y92" s="664"/>
      <c r="Z92" s="664"/>
      <c r="AC92" s="117"/>
      <c r="AD92" s="117"/>
      <c r="AE92" s="117"/>
    </row>
    <row r="93" spans="1:47" s="55" customFormat="1" ht="19.899999999999999" customHeight="1">
      <c r="A93" s="51" t="s">
        <v>133</v>
      </c>
      <c r="B93" s="52"/>
      <c r="C93" s="52"/>
      <c r="D93" s="120"/>
      <c r="E93" s="46"/>
      <c r="F93" s="46"/>
      <c r="G93" s="46"/>
      <c r="H93" s="46"/>
      <c r="I93" s="47"/>
      <c r="J93" s="48"/>
      <c r="K93" s="48"/>
      <c r="L93" s="49"/>
      <c r="M93" s="49"/>
      <c r="N93" s="50"/>
      <c r="O93" s="191"/>
      <c r="P93" s="191"/>
      <c r="Q93" s="704"/>
      <c r="R93" s="54"/>
      <c r="Y93" s="655"/>
      <c r="Z93" s="655"/>
      <c r="AC93" s="117"/>
      <c r="AD93" s="117"/>
      <c r="AE93" s="117"/>
    </row>
    <row r="94" spans="1:47" s="55" customFormat="1" ht="19.899999999999999" customHeight="1">
      <c r="A94" s="56" t="str">
        <f ca="1">"  + Thanh " &amp; $X$8 &amp; " sản xuất cửa được nhập từ chính hãng " &amp; _xlfn.TEXTJOIN(", ",TRUE,$V$11:$V$81) &amp;"."</f>
        <v xml:space="preserve">  + Thanh  sản xuất cửa được nhập từ chính hãng .</v>
      </c>
      <c r="B94" s="57"/>
      <c r="C94" s="57"/>
      <c r="D94" s="121"/>
      <c r="E94" s="56"/>
      <c r="F94" s="56"/>
      <c r="G94" s="56"/>
      <c r="H94" s="56"/>
      <c r="I94" s="58"/>
      <c r="J94" s="59"/>
      <c r="K94" s="60"/>
      <c r="L94" s="49"/>
      <c r="M94" s="49"/>
      <c r="N94" s="50"/>
      <c r="O94" s="191"/>
      <c r="P94" s="191"/>
      <c r="Q94" s="704"/>
      <c r="Y94" s="655"/>
      <c r="Z94" s="655"/>
      <c r="AC94" s="117"/>
      <c r="AD94" s="117"/>
      <c r="AE94" s="117"/>
    </row>
    <row r="95" spans="1:47" s="671" customFormat="1" ht="19.899999999999999" customHeight="1">
      <c r="A95" s="56" t="str">
        <f ca="1">"  + Phụ kiện kim khí (bản lề, tay nắm, khóa, chốt,…) được nhập ĐỒNG BỘ " &amp; _xlfn.TEXTJOIN(", ",TRUE,$W$11:$W$81) &amp;"."</f>
        <v xml:space="preserve">  + Phụ kiện kim khí (bản lề, tay nắm, khóa, chốt,…) được nhập ĐỒNG BỘ .</v>
      </c>
      <c r="B95" s="57"/>
      <c r="C95" s="57"/>
      <c r="D95" s="121"/>
      <c r="E95" s="56"/>
      <c r="F95" s="56"/>
      <c r="G95" s="56"/>
      <c r="H95" s="56"/>
      <c r="I95" s="58"/>
      <c r="J95" s="59"/>
      <c r="K95" s="61"/>
      <c r="L95" s="49"/>
      <c r="M95" s="49"/>
      <c r="N95" s="53"/>
      <c r="O95" s="190"/>
      <c r="P95" s="190"/>
      <c r="Q95" s="700"/>
      <c r="R95" s="672"/>
      <c r="Y95" s="664"/>
      <c r="Z95" s="664"/>
      <c r="AC95" s="53"/>
      <c r="AD95" s="53"/>
      <c r="AE95" s="53"/>
    </row>
    <row r="96" spans="1:47" s="663" customFormat="1" ht="19.899999999999999" customHeight="1">
      <c r="A96" s="51" t="s">
        <v>134</v>
      </c>
      <c r="B96" s="52"/>
      <c r="C96" s="52"/>
      <c r="D96" s="120"/>
      <c r="E96" s="46"/>
      <c r="F96" s="46"/>
      <c r="G96" s="46"/>
      <c r="H96" s="46"/>
      <c r="I96" s="47"/>
      <c r="J96" s="48"/>
      <c r="K96" s="48"/>
      <c r="L96" s="49"/>
      <c r="M96" s="49"/>
      <c r="N96" s="50"/>
      <c r="O96" s="189"/>
      <c r="P96" s="189"/>
      <c r="Q96" s="700"/>
      <c r="R96" s="673"/>
      <c r="Y96" s="664"/>
      <c r="Z96" s="664"/>
      <c r="AA96" s="662"/>
      <c r="AB96" s="662"/>
      <c r="AC96" s="50"/>
      <c r="AD96" s="50"/>
      <c r="AE96" s="50"/>
    </row>
    <row r="97" spans="1:31" ht="19.899999999999999" customHeight="1">
      <c r="A97" s="1322" t="s">
        <v>2104</v>
      </c>
      <c r="B97" s="1322"/>
      <c r="C97" s="1322"/>
      <c r="D97" s="1322"/>
      <c r="E97" s="1322"/>
      <c r="F97" s="1322"/>
      <c r="G97" s="1322"/>
      <c r="H97" s="1322"/>
      <c r="I97" s="1322"/>
      <c r="J97" s="33"/>
      <c r="K97" s="33"/>
      <c r="L97" s="34"/>
      <c r="M97" s="34"/>
      <c r="N97" s="674"/>
      <c r="AC97" s="674"/>
      <c r="AD97" s="674"/>
      <c r="AE97" s="674"/>
    </row>
    <row r="98" spans="1:31" s="676" customFormat="1" ht="19.899999999999999" customHeight="1">
      <c r="A98" s="62"/>
      <c r="B98" s="63"/>
      <c r="C98" s="63"/>
      <c r="D98" s="122"/>
      <c r="E98" s="64"/>
      <c r="F98" s="65"/>
      <c r="G98" s="65"/>
      <c r="H98" s="65"/>
      <c r="I98" s="66"/>
      <c r="J98" s="67"/>
      <c r="K98" s="67"/>
      <c r="L98" s="68"/>
      <c r="M98" s="68"/>
      <c r="N98" s="69"/>
      <c r="O98" s="192"/>
      <c r="P98" s="192"/>
      <c r="Q98" s="705"/>
      <c r="Y98" s="677"/>
      <c r="Z98" s="677"/>
      <c r="AA98" s="675"/>
      <c r="AB98" s="675"/>
      <c r="AC98" s="69"/>
      <c r="AD98" s="69"/>
      <c r="AE98" s="69"/>
    </row>
    <row r="99" spans="1:31" s="681" customFormat="1" ht="19.899999999999999" customHeight="1">
      <c r="A99" s="678"/>
      <c r="B99" s="679" t="s">
        <v>3361</v>
      </c>
      <c r="C99" s="679"/>
      <c r="E99" s="682" t="s">
        <v>3362</v>
      </c>
      <c r="G99" s="1078" t="s">
        <v>3360</v>
      </c>
      <c r="I99" s="683"/>
      <c r="K99" s="684"/>
      <c r="L99" s="652"/>
      <c r="M99" s="652"/>
      <c r="N99" s="685" t="str">
        <f>UPPER(ThongTinChung!A1)</f>
        <v>CÔNG TY TNHH VẬT LIỆU MỚI GIA NGUYỄN</v>
      </c>
      <c r="O99" s="193"/>
      <c r="P99" s="193"/>
      <c r="Q99" s="706"/>
      <c r="Y99" s="687"/>
      <c r="Z99" s="687"/>
      <c r="AA99" s="686"/>
      <c r="AB99" s="686"/>
      <c r="AC99" s="685"/>
      <c r="AD99" s="685"/>
      <c r="AE99" s="685"/>
    </row>
    <row r="100" spans="1:31" ht="18">
      <c r="A100" s="688"/>
      <c r="B100" s="192"/>
      <c r="C100" s="192"/>
      <c r="D100" s="689"/>
      <c r="E100" s="676"/>
      <c r="F100" s="676"/>
      <c r="G100" s="676"/>
      <c r="H100" s="676"/>
      <c r="I100" s="690"/>
      <c r="J100" s="691"/>
      <c r="K100" s="691"/>
      <c r="L100" s="651"/>
      <c r="M100" s="651"/>
      <c r="N100" s="692"/>
      <c r="AC100" s="692"/>
      <c r="AD100" s="692"/>
      <c r="AE100" s="692"/>
    </row>
    <row r="101" spans="1:31" ht="18">
      <c r="A101" s="688"/>
      <c r="B101" s="192"/>
      <c r="C101" s="192"/>
      <c r="D101" s="689"/>
      <c r="E101" s="676"/>
      <c r="F101" s="676"/>
      <c r="G101" s="676"/>
      <c r="H101" s="676"/>
      <c r="I101" s="690"/>
      <c r="J101" s="691"/>
      <c r="K101" s="691"/>
      <c r="L101" s="651"/>
      <c r="M101" s="651"/>
      <c r="N101" s="692"/>
      <c r="AC101" s="692"/>
      <c r="AD101" s="692"/>
      <c r="AE101" s="692"/>
    </row>
  </sheetData>
  <autoFilter ref="A9:N97" xr:uid="{09B52931-7681-4D5A-9E73-1BDBC197DE21}"/>
  <mergeCells count="70">
    <mergeCell ref="AH86:AK86"/>
    <mergeCell ref="AH87:AK87"/>
    <mergeCell ref="AH88:AK88"/>
    <mergeCell ref="AH89:AK89"/>
    <mergeCell ref="AM8:AN8"/>
    <mergeCell ref="AH10:AU10"/>
    <mergeCell ref="AH81:AK81"/>
    <mergeCell ref="AH82:AK82"/>
    <mergeCell ref="AH83:AK83"/>
    <mergeCell ref="AH84:AK84"/>
    <mergeCell ref="AH85:AK85"/>
    <mergeCell ref="AP8:AP9"/>
    <mergeCell ref="AQ8:AQ9"/>
    <mergeCell ref="AR8:AR9"/>
    <mergeCell ref="AS8:AS9"/>
    <mergeCell ref="AT8:AT9"/>
    <mergeCell ref="AH90:AI90"/>
    <mergeCell ref="AK90:AU90"/>
    <mergeCell ref="A90:B90"/>
    <mergeCell ref="D90:N90"/>
    <mergeCell ref="A97:I97"/>
    <mergeCell ref="A84:D84"/>
    <mergeCell ref="A85:D85"/>
    <mergeCell ref="A86:D86"/>
    <mergeCell ref="A87:D87"/>
    <mergeCell ref="A88:D88"/>
    <mergeCell ref="A89:D89"/>
    <mergeCell ref="AG9:AG10"/>
    <mergeCell ref="A10:N10"/>
    <mergeCell ref="R10:S10"/>
    <mergeCell ref="A81:D81"/>
    <mergeCell ref="A82:D82"/>
    <mergeCell ref="A83:D83"/>
    <mergeCell ref="AB8:AB9"/>
    <mergeCell ref="AC8:AC9"/>
    <mergeCell ref="AD8:AD9"/>
    <mergeCell ref="AE8:AE9"/>
    <mergeCell ref="AF8:AF9"/>
    <mergeCell ref="O9:Q9"/>
    <mergeCell ref="Y9:Z9"/>
    <mergeCell ref="T8:W8"/>
    <mergeCell ref="AA8:AA9"/>
    <mergeCell ref="AH8:AH9"/>
    <mergeCell ref="K8:K9"/>
    <mergeCell ref="L8:L9"/>
    <mergeCell ref="M8:M9"/>
    <mergeCell ref="N8:N9"/>
    <mergeCell ref="O7:P8"/>
    <mergeCell ref="AH7:AU7"/>
    <mergeCell ref="AU8:AU9"/>
    <mergeCell ref="AI8:AI9"/>
    <mergeCell ref="AK8:AK9"/>
    <mergeCell ref="AL8:AL9"/>
    <mergeCell ref="AO8:AO9"/>
    <mergeCell ref="AJ8:AJ9"/>
    <mergeCell ref="H8:H9"/>
    <mergeCell ref="I8:I9"/>
    <mergeCell ref="J8:J9"/>
    <mergeCell ref="D1:N2"/>
    <mergeCell ref="A3:N3"/>
    <mergeCell ref="L4:N4"/>
    <mergeCell ref="L5:N5"/>
    <mergeCell ref="A6:N6"/>
    <mergeCell ref="A7:N7"/>
    <mergeCell ref="A8:A9"/>
    <mergeCell ref="B8:B9"/>
    <mergeCell ref="D8:D9"/>
    <mergeCell ref="E8:E9"/>
    <mergeCell ref="F8:G8"/>
    <mergeCell ref="C8:C9"/>
  </mergeCells>
  <conditionalFormatting sqref="B11">
    <cfRule type="expression" dxfId="50" priority="1">
      <formula>$BW11&lt;&gt;""</formula>
    </cfRule>
  </conditionalFormatting>
  <conditionalFormatting sqref="B12:B80">
    <cfRule type="expression" dxfId="49" priority="9">
      <formula>$AG12&lt;&gt;""</formula>
    </cfRule>
  </conditionalFormatting>
  <conditionalFormatting sqref="AI11:AJ80">
    <cfRule type="expression" dxfId="45" priority="2">
      <formula>$AG11&lt;&gt;""</formula>
    </cfRule>
  </conditionalFormatting>
  <pageMargins left="0.49" right="0.17" top="0.39" bottom="0.31" header="0.3" footer="0.22"/>
  <pageSetup paperSize="9" scale="50" orientation="portrait" r:id="rId1"/>
  <headerFooter>
    <oddHeader>&amp;C&amp;G</oddHeader>
  </headerFooter>
  <drawing r:id="rId2"/>
  <legacyDrawing r:id="rId3"/>
  <legacyDrawingHF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62517F62-8938-43E6-A259-0F2B0762819C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AA11:AE80</xm:sqref>
        </x14:conditionalFormatting>
        <x14:conditionalFormatting xmlns:xm="http://schemas.microsoft.com/office/excel/2006/main">
          <x14:cfRule type="expression" priority="8" id="{4693ABE4-A2C2-4721-A949-50D4932E4877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AA8:AF89</xm:sqref>
        </x14:conditionalFormatting>
        <x14:conditionalFormatting xmlns:xm="http://schemas.microsoft.com/office/excel/2006/main">
          <x14:cfRule type="expression" priority="3" id="{5B54F91D-8710-42DD-A52D-414D5576EA0F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AF11:AF89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>
    <tabColor rgb="FF00B0F0"/>
    <pageSetUpPr fitToPage="1"/>
  </sheetPr>
  <dimension ref="A1:BW101"/>
  <sheetViews>
    <sheetView showZeros="0" tabSelected="1" topLeftCell="A3" zoomScale="80" zoomScaleNormal="80" zoomScaleSheetLayoutView="100" workbookViewId="0">
      <pane xSplit="4" ySplit="8" topLeftCell="E11" activePane="bottomRight" state="frozen"/>
      <selection activeCell="A3" sqref="A3"/>
      <selection pane="topRight" activeCell="D3" sqref="D3"/>
      <selection pane="bottomLeft" activeCell="A11" sqref="A11"/>
      <selection pane="bottomRight" activeCell="N11" sqref="N11"/>
    </sheetView>
  </sheetViews>
  <sheetFormatPr defaultColWidth="9.1796875" defaultRowHeight="14"/>
  <cols>
    <col min="1" max="1" width="3.453125" style="42" customWidth="1"/>
    <col min="2" max="3" width="6.81640625" style="42" customWidth="1"/>
    <col min="4" max="4" width="41.81640625" style="36" customWidth="1"/>
    <col min="5" max="5" width="5.7265625" style="35" customWidth="1"/>
    <col min="6" max="7" width="6.81640625" style="35" customWidth="1"/>
    <col min="8" max="8" width="8.7265625" style="35" customWidth="1"/>
    <col min="9" max="9" width="6.1796875" style="693" customWidth="1"/>
    <col min="10" max="10" width="9.7265625" style="694" customWidth="1"/>
    <col min="11" max="11" width="10.26953125" style="695" customWidth="1"/>
    <col min="12" max="12" width="12" style="649" customWidth="1"/>
    <col min="13" max="13" width="10.7265625" style="649" customWidth="1"/>
    <col min="14" max="14" width="14" style="696" customWidth="1"/>
    <col min="15" max="15" width="11.81640625" style="666" customWidth="1"/>
    <col min="16" max="16" width="10.54296875" style="666" customWidth="1"/>
    <col min="17" max="17" width="12.7265625" style="696" customWidth="1"/>
    <col min="18" max="18" width="7.453125" style="696" customWidth="1"/>
    <col min="19" max="20" width="12.7265625" style="696" customWidth="1"/>
    <col min="21" max="21" width="13.54296875" style="696" customWidth="1"/>
    <col min="22" max="23" width="15.26953125" style="696" customWidth="1"/>
    <col min="24" max="27" width="11.54296875" style="696" customWidth="1"/>
    <col min="28" max="28" width="13.1796875" style="665" customWidth="1"/>
    <col min="29" max="29" width="13.54296875" style="665" customWidth="1"/>
    <col min="30" max="30" width="11.54296875" style="665" customWidth="1"/>
    <col min="31" max="32" width="12.7265625" style="665" customWidth="1"/>
    <col min="33" max="33" width="10.26953125" style="696" customWidth="1"/>
    <col min="34" max="34" width="11.54296875" style="696" customWidth="1"/>
    <col min="35" max="35" width="12.7265625" style="696" customWidth="1"/>
    <col min="36" max="36" width="12.7265625" style="665" customWidth="1"/>
    <col min="37" max="40" width="12.7265625" style="696" customWidth="1"/>
    <col min="41" max="42" width="15.26953125" style="696" customWidth="1"/>
    <col min="43" max="46" width="11.54296875" style="696" customWidth="1"/>
    <col min="47" max="47" width="11.54296875" style="665" customWidth="1"/>
    <col min="48" max="48" width="12.453125" style="665" customWidth="1"/>
    <col min="49" max="49" width="11.54296875" style="665" customWidth="1"/>
    <col min="50" max="50" width="11.1796875" style="665" customWidth="1"/>
    <col min="51" max="51" width="13.26953125" style="665" customWidth="1"/>
    <col min="52" max="52" width="10.26953125" style="696" customWidth="1"/>
    <col min="53" max="53" width="11.54296875" style="696" customWidth="1"/>
    <col min="54" max="54" width="12.7265625" style="696" customWidth="1"/>
    <col min="55" max="55" width="14.26953125" style="665" customWidth="1"/>
    <col min="56" max="56" width="15.54296875" style="696" customWidth="1"/>
    <col min="57" max="57" width="12.1796875" style="42" customWidth="1"/>
    <col min="58" max="58" width="7.81640625" style="42" customWidth="1"/>
    <col min="59" max="59" width="11.1796875" style="701" customWidth="1"/>
    <col min="60" max="60" width="6.7265625" style="35" customWidth="1"/>
    <col min="61" max="61" width="10.7265625" style="35" customWidth="1"/>
    <col min="62" max="62" width="3.81640625" style="35" customWidth="1"/>
    <col min="63" max="63" width="4" style="35" customWidth="1"/>
    <col min="64" max="64" width="13.7265625" style="35" customWidth="1"/>
    <col min="65" max="65" width="12.7265625" style="35" customWidth="1"/>
    <col min="66" max="66" width="6.7265625" style="35" customWidth="1"/>
    <col min="67" max="67" width="5.81640625" style="666" customWidth="1"/>
    <col min="68" max="68" width="8" style="666" customWidth="1"/>
    <col min="69" max="69" width="11.54296875" style="665" customWidth="1"/>
    <col min="70" max="70" width="10.81640625" style="665" customWidth="1"/>
    <col min="71" max="73" width="11.54296875" style="696" customWidth="1"/>
    <col min="74" max="74" width="9.1796875" style="35" customWidth="1"/>
    <col min="75" max="75" width="12.453125" style="35" customWidth="1"/>
    <col min="76" max="16384" width="9.1796875" style="35"/>
  </cols>
  <sheetData>
    <row r="1" spans="1:75" s="663" customFormat="1">
      <c r="A1" s="657"/>
      <c r="B1" s="657"/>
      <c r="C1" s="657"/>
      <c r="D1" s="1260" t="s">
        <v>2372</v>
      </c>
      <c r="E1" s="1260"/>
      <c r="F1" s="1260"/>
      <c r="G1" s="1260"/>
      <c r="H1" s="1260"/>
      <c r="I1" s="1260"/>
      <c r="J1" s="1260"/>
      <c r="K1" s="1260"/>
      <c r="L1" s="1260"/>
      <c r="M1" s="1260"/>
      <c r="N1" s="1260"/>
      <c r="O1" s="664"/>
      <c r="P1" s="664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28"/>
      <c r="AC1" s="28"/>
      <c r="AD1" s="28"/>
      <c r="AE1" s="28"/>
      <c r="AF1" s="28"/>
      <c r="AG1" s="657"/>
      <c r="AH1" s="657"/>
      <c r="AI1" s="657"/>
      <c r="AJ1" s="28"/>
      <c r="AK1" s="657"/>
      <c r="AL1" s="657"/>
      <c r="AM1" s="657"/>
      <c r="AN1" s="657"/>
      <c r="AO1" s="657"/>
      <c r="AP1" s="657"/>
      <c r="AQ1" s="657"/>
      <c r="AR1" s="657"/>
      <c r="AS1" s="657"/>
      <c r="AT1" s="657"/>
      <c r="AU1" s="28"/>
      <c r="AV1" s="28"/>
      <c r="AW1" s="28"/>
      <c r="AX1" s="28"/>
      <c r="AY1" s="28"/>
      <c r="AZ1" s="657"/>
      <c r="BA1" s="657"/>
      <c r="BB1" s="657"/>
      <c r="BC1" s="28"/>
      <c r="BD1" s="657"/>
      <c r="BE1" s="189"/>
      <c r="BF1" s="189"/>
      <c r="BG1" s="700"/>
      <c r="BO1" s="664"/>
      <c r="BP1" s="664"/>
      <c r="BQ1" s="28"/>
      <c r="BR1" s="28"/>
      <c r="BS1" s="657"/>
      <c r="BT1" s="657"/>
      <c r="BU1" s="657"/>
    </row>
    <row r="2" spans="1:75" s="663" customFormat="1" ht="38.25" customHeight="1">
      <c r="A2" s="657"/>
      <c r="B2" s="657"/>
      <c r="C2" s="657"/>
      <c r="D2" s="1260"/>
      <c r="E2" s="1260"/>
      <c r="F2" s="1260"/>
      <c r="G2" s="1260"/>
      <c r="H2" s="1260"/>
      <c r="I2" s="1260"/>
      <c r="J2" s="1260"/>
      <c r="K2" s="1260"/>
      <c r="L2" s="1260"/>
      <c r="M2" s="1260"/>
      <c r="N2" s="1260"/>
      <c r="O2" s="664"/>
      <c r="P2" s="664"/>
      <c r="Q2" s="657"/>
      <c r="R2" s="657"/>
      <c r="S2" s="657"/>
      <c r="T2" s="657"/>
      <c r="U2" s="657"/>
      <c r="V2" s="657"/>
      <c r="W2" s="657"/>
      <c r="X2" s="657"/>
      <c r="Y2" s="657"/>
      <c r="Z2" s="657"/>
      <c r="AA2" s="657"/>
      <c r="AB2" s="662"/>
      <c r="AC2" s="662"/>
      <c r="AD2" s="662"/>
      <c r="AE2" s="662"/>
      <c r="AF2" s="662"/>
      <c r="AG2" s="657"/>
      <c r="AH2" s="657"/>
      <c r="AI2" s="657"/>
      <c r="AJ2" s="662"/>
      <c r="AK2" s="657"/>
      <c r="AL2" s="657"/>
      <c r="AM2" s="657"/>
      <c r="AN2" s="657"/>
      <c r="AO2" s="657"/>
      <c r="AP2" s="657"/>
      <c r="AQ2" s="657"/>
      <c r="AR2" s="657"/>
      <c r="AS2" s="657"/>
      <c r="AT2" s="657"/>
      <c r="AU2" s="662"/>
      <c r="AV2" s="662"/>
      <c r="AW2" s="662"/>
      <c r="AX2" s="662"/>
      <c r="AY2" s="662"/>
      <c r="AZ2" s="657"/>
      <c r="BA2" s="657"/>
      <c r="BB2" s="657"/>
      <c r="BC2" s="662"/>
      <c r="BD2" s="657"/>
      <c r="BE2" s="189"/>
      <c r="BF2" s="189"/>
      <c r="BG2" s="700"/>
      <c r="BO2" s="664"/>
      <c r="BP2" s="664"/>
      <c r="BQ2" s="662"/>
      <c r="BR2" s="662"/>
      <c r="BS2" s="657"/>
      <c r="BT2" s="657"/>
      <c r="BU2" s="657"/>
    </row>
    <row r="3" spans="1:75" ht="30">
      <c r="A3" s="1261" t="str">
        <f>IF(ThongTinChung!$F$2=ThongTinChung!$G$3,"BẢNG QUYẾT TOÁN KHỐI LƯỢNG", "BẢNG BÁO GIÁ")</f>
        <v>BẢNG BÁO GIÁ</v>
      </c>
      <c r="B3" s="1261"/>
      <c r="C3" s="1261"/>
      <c r="D3" s="1261"/>
      <c r="E3" s="1261"/>
      <c r="F3" s="1261"/>
      <c r="G3" s="1261"/>
      <c r="H3" s="1261"/>
      <c r="I3" s="1261"/>
      <c r="J3" s="1261"/>
      <c r="K3" s="1261"/>
      <c r="L3" s="1261"/>
      <c r="M3" s="1261"/>
      <c r="N3" s="1261"/>
      <c r="Q3" s="658"/>
      <c r="R3" s="658"/>
      <c r="S3" s="658"/>
      <c r="T3" s="658"/>
      <c r="U3" s="658"/>
      <c r="V3" s="658"/>
      <c r="W3" s="658"/>
      <c r="X3" s="658"/>
      <c r="Y3" s="658"/>
      <c r="Z3" s="658"/>
      <c r="AA3" s="658"/>
      <c r="AG3" s="658"/>
      <c r="AH3" s="658"/>
      <c r="AI3" s="658"/>
      <c r="AK3" s="658"/>
      <c r="AL3" s="658"/>
      <c r="AM3" s="658"/>
      <c r="AN3" s="658"/>
      <c r="AO3" s="658"/>
      <c r="AP3" s="658"/>
      <c r="AQ3" s="658"/>
      <c r="AR3" s="658"/>
      <c r="AS3" s="658"/>
      <c r="AT3" s="658"/>
      <c r="AZ3" s="658"/>
      <c r="BA3" s="658"/>
      <c r="BB3" s="658"/>
      <c r="BD3" s="785"/>
      <c r="BS3" s="658"/>
      <c r="BT3" s="658"/>
      <c r="BU3" s="658"/>
    </row>
    <row r="4" spans="1:75" ht="15">
      <c r="A4" s="70"/>
      <c r="B4" s="70"/>
      <c r="C4" s="70"/>
      <c r="D4" s="864"/>
      <c r="E4" s="865" t="str">
        <f>"(" &amp; IF(A3= "BẢNG BÁO GIÁ", "Lần ","Theo Báo Giá Lần ") &amp; RIGHT(ThongTinChung!$C$5,LEN(ThongTinChung!$C$5) - SEARCH("/",ThongTinChung!$C$5,1) - IFERROR(SEARCH("L",(RIGHT(ThongTinChung!$C$5,LEN(ThongTinChung!$C$5) - SEARCH("/",ThongTinChung!$C$5,1))),1),0)) &amp; ")"</f>
        <v>(Lần 1)</v>
      </c>
      <c r="F4" s="866"/>
      <c r="G4" s="866"/>
      <c r="H4" s="866"/>
      <c r="I4" s="866"/>
      <c r="J4" s="867"/>
      <c r="K4" s="638"/>
      <c r="L4" s="1262" t="str">
        <f>"Mã BG: " &amp; ThongTinChung!$C$5 &amp; IF(ThongTinChung!$F$2=ThongTinChung!$G$2,""," - Ngày: " &amp; TEXT(ThongTinChung!$E$5,"dd/mm/yyyy"))</f>
        <v>Mã BG: 231222/L1</v>
      </c>
      <c r="M4" s="1262"/>
      <c r="N4" s="126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G4" s="32"/>
      <c r="AH4" s="32"/>
      <c r="AI4" s="32"/>
      <c r="AK4" s="660"/>
      <c r="AL4" s="32"/>
      <c r="AM4" s="32"/>
      <c r="AN4" s="32"/>
      <c r="AO4" s="32"/>
      <c r="AP4" s="32"/>
      <c r="AQ4" s="32"/>
      <c r="AR4" s="32"/>
      <c r="AS4" s="32"/>
      <c r="AT4" s="32"/>
      <c r="AZ4" s="32"/>
      <c r="BA4" s="32"/>
      <c r="BB4" s="32"/>
      <c r="BD4" s="660"/>
      <c r="BS4" s="32"/>
      <c r="BT4" s="32"/>
      <c r="BU4" s="32"/>
    </row>
    <row r="5" spans="1:75" ht="15" customHeight="1">
      <c r="A5" s="71"/>
      <c r="B5" s="71"/>
      <c r="C5" s="71"/>
      <c r="D5" s="118"/>
      <c r="E5" s="71"/>
      <c r="F5" s="29"/>
      <c r="G5" s="30"/>
      <c r="H5" s="30"/>
      <c r="I5" s="31"/>
      <c r="J5" s="639"/>
      <c r="K5" s="639"/>
      <c r="L5" s="1263" t="str">
        <f>"Ngày: " &amp; TEXT(IF(ThongTinChung!$F$2=ThongTinChung!$G$2,ThongTinChung!$E$5,ThongTinChung!$E$4),"dd/mm/yyyy")</f>
        <v>Ngày: 15/01/2024</v>
      </c>
      <c r="M5" s="1263"/>
      <c r="N5" s="1263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G5" s="32"/>
      <c r="AH5" s="32"/>
      <c r="AI5" s="32"/>
      <c r="AK5" s="661"/>
      <c r="AL5" s="32"/>
      <c r="AM5" s="32"/>
      <c r="AN5" s="32"/>
      <c r="AO5" s="32"/>
      <c r="AP5" s="32"/>
      <c r="AQ5" s="32"/>
      <c r="AR5" s="32"/>
      <c r="AS5" s="32"/>
      <c r="AT5" s="32"/>
      <c r="AZ5" s="32"/>
      <c r="BA5" s="32"/>
      <c r="BB5" s="32"/>
      <c r="BC5" s="782"/>
      <c r="BD5" s="42"/>
      <c r="BS5" s="32"/>
      <c r="BT5" s="32"/>
      <c r="BU5" s="32"/>
    </row>
    <row r="6" spans="1:75" ht="24.75" customHeight="1">
      <c r="A6" s="1264" t="str">
        <f>"Kính gửi: " &amp; ThongTinChung!$C$6 &amp; " - " &amp; ThongTinChung!$E$6</f>
        <v>Kính gửi: BOM - Hóc Môn</v>
      </c>
      <c r="B6" s="1264"/>
      <c r="C6" s="1264"/>
      <c r="D6" s="1264"/>
      <c r="E6" s="1264"/>
      <c r="F6" s="1264"/>
      <c r="G6" s="1264"/>
      <c r="H6" s="1264"/>
      <c r="I6" s="1264"/>
      <c r="J6" s="1264"/>
      <c r="K6" s="1264"/>
      <c r="L6" s="1264"/>
      <c r="M6" s="1264"/>
      <c r="N6" s="1264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G6" s="32"/>
      <c r="AH6" s="32"/>
      <c r="AI6" s="32"/>
      <c r="AK6" s="659"/>
      <c r="AL6" s="32"/>
      <c r="AM6" s="32"/>
      <c r="AN6" s="32"/>
      <c r="AO6" s="32"/>
      <c r="AP6" s="32"/>
      <c r="AQ6" s="32"/>
      <c r="AR6" s="32"/>
      <c r="AS6" s="32"/>
      <c r="AT6" s="32"/>
      <c r="AY6" s="782"/>
      <c r="AZ6" s="32"/>
      <c r="BA6" s="32"/>
      <c r="BB6" s="32"/>
      <c r="BC6" s="781"/>
      <c r="BD6" s="784"/>
      <c r="BS6" s="32"/>
      <c r="BT6" s="32"/>
      <c r="BU6" s="32"/>
    </row>
    <row r="7" spans="1:75" s="42" customFormat="1" ht="51" customHeight="1" thickBot="1">
      <c r="A7" s="1265" t="s">
        <v>2597</v>
      </c>
      <c r="B7" s="1265"/>
      <c r="C7" s="1265"/>
      <c r="D7" s="1265"/>
      <c r="E7" s="1265"/>
      <c r="F7" s="1265"/>
      <c r="G7" s="1265"/>
      <c r="H7" s="1265"/>
      <c r="I7" s="1265"/>
      <c r="J7" s="1265"/>
      <c r="K7" s="1265"/>
      <c r="L7" s="1265"/>
      <c r="M7" s="1265"/>
      <c r="N7" s="1265"/>
      <c r="O7" s="667"/>
      <c r="P7" s="667"/>
      <c r="AB7" s="778"/>
      <c r="AC7" s="778"/>
      <c r="AE7" s="772">
        <f ca="1">+AE11*K11</f>
        <v>0</v>
      </c>
      <c r="AF7" s="750"/>
      <c r="AG7" s="1363" t="s">
        <v>2429</v>
      </c>
      <c r="AH7" s="1363"/>
      <c r="AI7" s="1363"/>
      <c r="AJ7" s="1363"/>
      <c r="AL7" s="783"/>
      <c r="AM7" s="783"/>
      <c r="AN7" s="783"/>
      <c r="AO7" s="783"/>
      <c r="AP7" s="783"/>
      <c r="AQ7" s="783"/>
      <c r="AR7" s="783"/>
      <c r="AS7" s="783"/>
      <c r="AT7" s="783"/>
      <c r="AU7" s="783"/>
      <c r="AV7" s="783"/>
      <c r="AW7" s="783"/>
      <c r="AX7" s="783"/>
      <c r="AY7" s="783"/>
      <c r="AZ7" s="769" t="s">
        <v>2429</v>
      </c>
      <c r="BA7" s="769"/>
      <c r="BB7" s="769"/>
      <c r="BC7" s="750"/>
      <c r="BD7" s="780"/>
      <c r="BE7" s="1279" t="s">
        <v>2289</v>
      </c>
      <c r="BF7" s="1279"/>
      <c r="BG7" s="701"/>
      <c r="BN7" s="35"/>
      <c r="BO7" s="666"/>
      <c r="BP7" s="667"/>
    </row>
    <row r="8" spans="1:75" ht="30" customHeight="1">
      <c r="A8" s="1266" t="s">
        <v>9</v>
      </c>
      <c r="B8" s="1268" t="s">
        <v>138</v>
      </c>
      <c r="C8" s="1270" t="s">
        <v>3403</v>
      </c>
      <c r="D8" s="1268" t="s">
        <v>123</v>
      </c>
      <c r="E8" s="1270" t="s">
        <v>266</v>
      </c>
      <c r="F8" s="1268" t="s">
        <v>124</v>
      </c>
      <c r="G8" s="1272"/>
      <c r="H8" s="1254" t="s">
        <v>2864</v>
      </c>
      <c r="I8" s="1256" t="s">
        <v>1706</v>
      </c>
      <c r="J8" s="1258" t="s">
        <v>2559</v>
      </c>
      <c r="K8" s="1254" t="s">
        <v>125</v>
      </c>
      <c r="L8" s="1275" t="str">
        <f>"Đơn Giá profile + kính
 (Đồng/ĐVT" &amp; ")
(3)"</f>
        <v>Đơn Giá profile + kính
 (Đồng/ĐVT)
(3)</v>
      </c>
      <c r="M8" s="1275" t="str">
        <f>"Đơn Giá PK
 (Đồng/bộ" &amp; ")
(4)"</f>
        <v>Đơn Giá PK
 (Đồng/bộ)
(4)</v>
      </c>
      <c r="N8" s="1277" t="s">
        <v>2076</v>
      </c>
      <c r="O8" s="1350" t="s">
        <v>2404</v>
      </c>
      <c r="P8" s="1352" t="s">
        <v>2405</v>
      </c>
      <c r="Q8" s="1357" t="s">
        <v>2411</v>
      </c>
      <c r="R8" s="1336" t="s">
        <v>2687</v>
      </c>
      <c r="S8" s="1336" t="s">
        <v>2688</v>
      </c>
      <c r="T8" s="1336" t="s">
        <v>2412</v>
      </c>
      <c r="U8" s="1336" t="s">
        <v>2455</v>
      </c>
      <c r="V8" s="1348" t="s">
        <v>2421</v>
      </c>
      <c r="W8" s="1348" t="s">
        <v>2422</v>
      </c>
      <c r="X8" s="1348" t="s">
        <v>2681</v>
      </c>
      <c r="Y8" s="1348" t="s">
        <v>2682</v>
      </c>
      <c r="Z8" s="1348" t="s">
        <v>2683</v>
      </c>
      <c r="AA8" s="1348" t="s">
        <v>2684</v>
      </c>
      <c r="AB8" s="1348" t="s">
        <v>2685</v>
      </c>
      <c r="AC8" s="1348" t="s">
        <v>2686</v>
      </c>
      <c r="AD8" s="1338" t="s">
        <v>2343</v>
      </c>
      <c r="AE8" s="1342" t="s">
        <v>2437</v>
      </c>
      <c r="AF8" s="1340" t="s">
        <v>2432</v>
      </c>
      <c r="AG8" s="1348" t="s">
        <v>2428</v>
      </c>
      <c r="AH8" s="1348" t="s">
        <v>2430</v>
      </c>
      <c r="AI8" s="1342" t="s">
        <v>2431</v>
      </c>
      <c r="AJ8" s="1340" t="s">
        <v>2433</v>
      </c>
      <c r="AK8" s="1344" t="s">
        <v>2413</v>
      </c>
      <c r="AL8" s="1346" t="s">
        <v>2411</v>
      </c>
      <c r="AM8" s="1346" t="s">
        <v>2412</v>
      </c>
      <c r="AN8" s="1346" t="s">
        <v>2455</v>
      </c>
      <c r="AO8" s="1301" t="s">
        <v>2421</v>
      </c>
      <c r="AP8" s="1301" t="s">
        <v>2422</v>
      </c>
      <c r="AQ8" s="1301" t="s">
        <v>2423</v>
      </c>
      <c r="AR8" s="1301" t="s">
        <v>2424</v>
      </c>
      <c r="AS8" s="1301" t="s">
        <v>2425</v>
      </c>
      <c r="AT8" s="1301" t="s">
        <v>2426</v>
      </c>
      <c r="AU8" s="1301" t="s">
        <v>2427</v>
      </c>
      <c r="AV8" s="1301" t="s">
        <v>2420</v>
      </c>
      <c r="AW8" s="1359" t="s">
        <v>2343</v>
      </c>
      <c r="AX8" s="1342" t="s">
        <v>2437</v>
      </c>
      <c r="AY8" s="1361" t="s">
        <v>2438</v>
      </c>
      <c r="AZ8" s="1301" t="s">
        <v>2428</v>
      </c>
      <c r="BA8" s="1301" t="s">
        <v>2430</v>
      </c>
      <c r="BB8" s="1342" t="s">
        <v>2431</v>
      </c>
      <c r="BC8" s="1361" t="s">
        <v>2433</v>
      </c>
      <c r="BD8" s="1364" t="s">
        <v>232</v>
      </c>
      <c r="BE8" s="1280"/>
      <c r="BF8" s="1280"/>
      <c r="BG8" s="715">
        <v>1</v>
      </c>
      <c r="BJ8" s="1308" t="s">
        <v>2234</v>
      </c>
      <c r="BK8" s="1309"/>
      <c r="BL8" s="1309"/>
      <c r="BM8" s="1309"/>
      <c r="BN8" s="697" t="str">
        <f ca="1">IF(COUNTIF($BN$11:$BN$81,"nhôm")&gt;0,"nhôm","") &amp; IF(COUNTIF($BN$11:$BN$81,"nhựa")&gt;0,IF(COUNTIF($BN$11:$BN$81,"nhôm")&gt;0," &amp; nhựa","nhựa"),"")</f>
        <v>nhôm</v>
      </c>
      <c r="BQ8" s="1301" t="s">
        <v>2461</v>
      </c>
      <c r="BR8" s="1301" t="s">
        <v>2462</v>
      </c>
      <c r="BS8" s="1301" t="s">
        <v>230</v>
      </c>
      <c r="BT8" s="1301" t="s">
        <v>2425</v>
      </c>
      <c r="BU8" s="1301" t="s">
        <v>2426</v>
      </c>
      <c r="BV8" s="1301" t="s">
        <v>2479</v>
      </c>
    </row>
    <row r="9" spans="1:75" ht="40.15" customHeight="1">
      <c r="A9" s="1267"/>
      <c r="B9" s="1269"/>
      <c r="C9" s="1271"/>
      <c r="D9" s="1269"/>
      <c r="E9" s="1271"/>
      <c r="F9" s="748" t="s">
        <v>126</v>
      </c>
      <c r="G9" s="748" t="s">
        <v>127</v>
      </c>
      <c r="H9" s="1255"/>
      <c r="I9" s="1257"/>
      <c r="J9" s="1259"/>
      <c r="K9" s="1255"/>
      <c r="L9" s="1276"/>
      <c r="M9" s="1276"/>
      <c r="N9" s="1278"/>
      <c r="O9" s="1351"/>
      <c r="P9" s="1353"/>
      <c r="Q9" s="1358"/>
      <c r="R9" s="1337"/>
      <c r="S9" s="1337"/>
      <c r="T9" s="1337"/>
      <c r="U9" s="1337"/>
      <c r="V9" s="1349"/>
      <c r="W9" s="1349"/>
      <c r="X9" s="1349"/>
      <c r="Y9" s="1349"/>
      <c r="Z9" s="1349"/>
      <c r="AA9" s="1349"/>
      <c r="AB9" s="1349"/>
      <c r="AC9" s="1349"/>
      <c r="AD9" s="1339"/>
      <c r="AE9" s="1343"/>
      <c r="AF9" s="1341"/>
      <c r="AG9" s="1349"/>
      <c r="AH9" s="1349"/>
      <c r="AI9" s="1343"/>
      <c r="AJ9" s="1341"/>
      <c r="AK9" s="1345"/>
      <c r="AL9" s="1347"/>
      <c r="AM9" s="1347"/>
      <c r="AN9" s="1347"/>
      <c r="AO9" s="1302"/>
      <c r="AP9" s="1302"/>
      <c r="AQ9" s="1302"/>
      <c r="AR9" s="1302"/>
      <c r="AS9" s="1302"/>
      <c r="AT9" s="1302"/>
      <c r="AU9" s="1302"/>
      <c r="AV9" s="1302"/>
      <c r="AW9" s="1360"/>
      <c r="AX9" s="1343"/>
      <c r="AY9" s="1362"/>
      <c r="AZ9" s="1302"/>
      <c r="BA9" s="1302"/>
      <c r="BB9" s="1343"/>
      <c r="BC9" s="1362"/>
      <c r="BD9" s="1365"/>
      <c r="BE9" s="1303" t="s">
        <v>556</v>
      </c>
      <c r="BF9" s="1304"/>
      <c r="BG9" s="1305"/>
      <c r="BI9" s="36"/>
      <c r="BJ9" s="648" t="s">
        <v>150</v>
      </c>
      <c r="BK9" s="648" t="s">
        <v>153</v>
      </c>
      <c r="BL9" s="648" t="s">
        <v>2102</v>
      </c>
      <c r="BM9" s="648" t="s">
        <v>2103</v>
      </c>
      <c r="BN9" s="648" t="s">
        <v>2105</v>
      </c>
      <c r="BO9" s="1306" t="s">
        <v>2233</v>
      </c>
      <c r="BP9" s="1307"/>
      <c r="BQ9" s="1302"/>
      <c r="BR9" s="1302"/>
      <c r="BS9" s="1302"/>
      <c r="BT9" s="1302"/>
      <c r="BU9" s="1302"/>
      <c r="BV9" s="1302"/>
      <c r="BW9" s="1292" t="s">
        <v>2595</v>
      </c>
    </row>
    <row r="10" spans="1:75" ht="19.899999999999999" customHeight="1">
      <c r="A10" s="1294" t="s">
        <v>2075</v>
      </c>
      <c r="B10" s="1295"/>
      <c r="C10" s="1295"/>
      <c r="D10" s="1295"/>
      <c r="E10" s="1295"/>
      <c r="F10" s="1295"/>
      <c r="G10" s="1295"/>
      <c r="H10" s="1295"/>
      <c r="I10" s="1295"/>
      <c r="J10" s="1295"/>
      <c r="K10" s="1295"/>
      <c r="L10" s="1295"/>
      <c r="M10" s="1295"/>
      <c r="N10" s="1296"/>
      <c r="O10" s="767"/>
      <c r="P10" s="768"/>
      <c r="Q10" s="770">
        <v>0.4</v>
      </c>
      <c r="R10" s="770"/>
      <c r="S10" s="770"/>
      <c r="T10" s="1003">
        <v>0.5</v>
      </c>
      <c r="U10" s="770">
        <v>0.5</v>
      </c>
      <c r="V10" s="770">
        <v>0.5</v>
      </c>
      <c r="W10" s="770">
        <v>0.5</v>
      </c>
      <c r="X10" s="770">
        <v>2.5</v>
      </c>
      <c r="Y10" s="770">
        <v>0.1</v>
      </c>
      <c r="Z10" s="770">
        <v>0.3</v>
      </c>
      <c r="AA10" s="770">
        <v>0.3</v>
      </c>
      <c r="AB10" s="770">
        <v>0.5</v>
      </c>
      <c r="AC10" s="770">
        <v>0.5</v>
      </c>
      <c r="AD10" s="770">
        <v>0.5</v>
      </c>
      <c r="AE10" s="770">
        <v>0.2</v>
      </c>
      <c r="AF10" s="770"/>
      <c r="AG10" s="770">
        <v>0.5</v>
      </c>
      <c r="AH10" s="770">
        <v>0.5</v>
      </c>
      <c r="AI10" s="770">
        <v>0.1</v>
      </c>
      <c r="AJ10" s="770"/>
      <c r="AK10" s="771"/>
      <c r="AL10" s="753"/>
      <c r="AM10" s="753"/>
      <c r="AN10" s="753"/>
      <c r="AO10" s="753"/>
      <c r="AP10" s="753"/>
      <c r="AQ10" s="753"/>
      <c r="AR10" s="753"/>
      <c r="AS10" s="753"/>
      <c r="AT10" s="753"/>
      <c r="AU10" s="753"/>
      <c r="AV10" s="753"/>
      <c r="AW10" s="753"/>
      <c r="AX10" s="754"/>
      <c r="AY10" s="754"/>
      <c r="AZ10" s="753"/>
      <c r="BA10" s="753"/>
      <c r="BB10" s="753"/>
      <c r="BC10" s="754"/>
      <c r="BD10" s="755"/>
      <c r="BE10" s="199" t="s">
        <v>538</v>
      </c>
      <c r="BF10" s="199" t="s">
        <v>567</v>
      </c>
      <c r="BG10" s="702" t="s">
        <v>555</v>
      </c>
      <c r="BH10" s="1297" t="s">
        <v>2407</v>
      </c>
      <c r="BI10" s="1297"/>
      <c r="BJ10" s="198"/>
      <c r="BK10" s="198"/>
      <c r="BL10" s="668"/>
      <c r="BM10" s="668"/>
      <c r="BN10" s="668"/>
      <c r="BO10" s="669">
        <f ca="1">COUNTA(Get_WB)</f>
        <v>12</v>
      </c>
      <c r="BP10" s="669"/>
      <c r="BQ10" s="753"/>
      <c r="BR10" s="753"/>
      <c r="BS10" s="753"/>
      <c r="BT10" s="753"/>
      <c r="BU10" s="753"/>
      <c r="BV10" s="753"/>
      <c r="BW10" s="1293"/>
    </row>
    <row r="11" spans="1:75" s="42" customFormat="1" ht="98">
      <c r="A11" s="37">
        <f ca="1">IF(B11="","",MAX($A$10:A10)+1)</f>
        <v>1</v>
      </c>
      <c r="B11" s="718" t="str">
        <f t="shared" ref="B11:B39" ca="1" si="0">+BP11</f>
        <v>MauKoXoa</v>
      </c>
      <c r="C11" s="1166" t="str">
        <f ca="1">IFERROR(INDIRECT("'" &amp; $B11 &amp; "'!" &amp; "I5"),0)</f>
        <v>test vị trí</v>
      </c>
      <c r="D11" s="643" t="str">
        <f ca="1" xml:space="preserve"> IF(B11="","","- " &amp; UPPER(IF(IFERROR(INDIRECT("'" &amp; $B11 &amp; "'!" &amp; "G3"),"")="chiều mở",SUBSTITUTE(IFERROR(INDIRECT("'" &amp; $B11 &amp; "'!" &amp; "B4"),""), "quay", IFERROR(INDIRECT("'" &amp; $B11 &amp; "'!" &amp; "H3"),"")),IF(       IFERROR(SEARCH("xếp trượt",IFERROR(INDIRECT("'"&amp;$B11&amp;"'!"&amp;"B4"),""),1),0)&gt;=1,SUBSTITUTE(IFERROR(INDIRECT("'" &amp; $B11 &amp; "'!" &amp; "B4"),""), "xếp trượt", "xếp trượt mở " &amp; IFERROR(INDIRECT("'" &amp; $B11 &amp; "'!" &amp; "H3"),"")),IFERROR(INDIRECT("'" &amp; $B11 &amp; "'!" &amp; "B4"),""))))  &amp; " - " &amp;
UPPER(IFERROR(INDIRECT("'" &amp; $B11 &amp; "'!" &amp; "F4"),"")) &amp; "." &amp;
IF(INDIRECT("'" &amp; $B11 &amp; "'!" &amp; "D12")="","",CHAR(10)  &amp; IFERROR( "- " &amp; PROPER(INDIRECT("'" &amp; $B11 &amp; "'!" &amp; "D12")),"") &amp; "."  )&amp;
IF(INDIRECT("'" &amp; $B11 &amp; "'!" &amp; "X13")="","",CHAR(10)  &amp; IFERROR( "- " &amp; INDIRECT("'" &amp; $B11 &amp; "'!" &amp; "X13"),"") &amp; "."  )&amp;
CHAR(10) &amp;  IFERROR("- " &amp; IF(INDIRECT("'" &amp; $B11 &amp; "'!" &amp; "B6")="Không kính", "Không Kính &amp; Nẹp dùng cho " &amp; INDIRECT("'" &amp; $B11 &amp; "'!" &amp; "D6"),INDIRECT("'" &amp; $B11 &amp; "'!" &amp; "D6") &amp; INDIRECT("'" &amp; $B11 &amp; "'!" &amp; "AF98")),"") &amp; IF(INDIRECT("'" &amp; $B11 &amp; "'!" &amp; "J12")&gt;1," - KÍNH NỐI KÍNH","" )&amp; "." &amp;
 IF(IFERROR(INDIRECT("'" &amp; $B11 &amp; "'!" &amp; "D5"),"") = "", "",CHAR(10) &amp; IFERROR("- " &amp;  INDIRECT("'" &amp; $B11 &amp; "'!" &amp; "C5"),"") &amp; " " &amp; IFERROR(INDIRECT("'" &amp; $B11 &amp; "'!" &amp; "D5"),"") &amp; " - " &amp; IFERROR(INDIRECT("'" &amp; $B11 &amp; "'!" &amp; "F5"),"")  &amp; ": ") &amp;
IF(IFERROR(INDIRECT("'" &amp; $B11 &amp; "'!" &amp; "H3"),"") = "","",IF(OR(IFERROR(INDIRECT("'"&amp;$B11&amp;"'!"&amp;"G3"),"")="chiều mở",IFERROR(SEARCH("xếp trượt",IFERROR(INDIRECT("'"&amp;$B11&amp;"'!"&amp;"B4"),""),1),0)&gt;=1), "tay nắm",IFERROR(INDIRECT("'" &amp; $B11 &amp; "'!" &amp; "G3"),"") &amp; " " &amp; IFERROR(INDIRECT("'" &amp; $B11 &amp; "'!" &amp; "H3"),"") )) &amp;
IF(IFERROR(INDIRECT("'" &amp; $B11 &amp; "'!" &amp; "H4"),"") = "", "",  " + " &amp; IFERROR(INDIRECT("'" &amp; $B11 &amp; "'!" &amp; "G4"),"") &amp; " " &amp; IFERROR(SUBSTITUTE(INDIRECT("'" &amp; $B11 &amp; "'!" &amp; "H4"),"chung",""),"")  ) &amp;
IF(IFERROR(INDIRECT("'" &amp; $B11 &amp; "'!" &amp; "H5"),"") = "", "", " + " &amp; IFERROR(INDIRECT("'" &amp; $B11 &amp; "'!" &amp; "G5"),"") &amp; " " &amp; IFERROR(INDIRECT("'" &amp; $B11 &amp; "'!" &amp; "H5"),"")  ) &amp;
IF(IFERROR(INDIRECT("'" &amp; $B11 &amp; "'!" &amp; "H6"),"") = "", "", " + " &amp; IFERROR(INDIRECT("'" &amp; $B11 &amp; "'!" &amp; "G6"),"") &amp; " " &amp; IFERROR(INDIRECT("'" &amp; $B11 &amp; "'!" &amp; "H6"),"") &amp;
IF(IFERROR( INDIRECT("'" &amp; $B11 &amp; "'!" &amp; "L6"),"") = "", "", " " &amp; IFERROR( INDIRECT("'" &amp; $B11 &amp; "'!" &amp; "L6"),"") &amp; ".") ) &amp;
 IF(IFERROR(INDIRECT("'" &amp; $B11 &amp; "'!" &amp; "F7"),"")=0,"", CHAR(10) &amp;  "- Nẹp ghép: " &amp; IFERROR(INDIRECT("'" &amp; $B11 &amp; "'!" &amp; "E7"),"") &amp; "." ) &amp;
 IF(IFERROR(INDIRECT("'" &amp; $B11 &amp; "'!" &amp; "O2"),"")=0,"", CHAR(10) &amp;  IFERROR("- " &amp; INDIRECT("'" &amp; $B11 &amp; "'!" &amp; "M2"),"") &amp; " theo bản vẽ thiết kế: " &amp; TEXT(ROUND($AC11,-3),"#,###")  &amp;  " đồng/" &amp; $E11 ) &amp;
  IF(IFERROR(INDIRECT("'" &amp; $B11 &amp; "'!" &amp; "O1"),"")=0,"", CHAR(10) &amp; IFERROR("- " &amp;INDIRECT("'" &amp; $B11 &amp; "'!" &amp; "M1"),"")  &amp;": " &amp; TEXT(ROUND($AB11,-3),"#,###") &amp; " đồng/" &amp; $E11) &amp;
 IF(INDIRECT("'" &amp; $B11 &amp; "'!" &amp; "I2")="","",CHAR(10)  &amp; IFERROR( "- " &amp; PROPER(INDIRECT("'" &amp; $B11 &amp; "'!" &amp; "I2")),"") &amp; "."  )
)</f>
        <v>- CỬA ĐI MỞ QUAY NGOÀI 1 CÁNH  - XINGFA 55 - XÁM GHI.
- Hở Nền Ốp Đáy.
- Độ dày: 2 mm (±5%).
- Kính đơn 8 mm trong.
- Phụ kiện 3H - Xám ghi: tay nắm + khoá đa điểm + lõi khoá 2 đầu chìa + bản lề 3D (3 bản lề/cánh).</v>
      </c>
      <c r="E11" s="203" t="s">
        <v>240</v>
      </c>
      <c r="F11" s="38">
        <f ca="1">IFERROR(INDIRECT("'" &amp; $B11 &amp; "'!" &amp; "D8"),0)</f>
        <v>1600</v>
      </c>
      <c r="G11" s="38">
        <f ca="1">IFERROR(INDIRECT("'" &amp; $B11 &amp; "'!" &amp; "D10"),0)</f>
        <v>2200</v>
      </c>
      <c r="H11" s="1136">
        <f ca="1">ROUND(IFERROR(INDIRECT("'" &amp; $B11 &amp; "'!" &amp; "F12"),0),3)</f>
        <v>3.52</v>
      </c>
      <c r="I11" s="38">
        <f ca="1">IFERROR(INDIRECT("'" &amp; $B11 &amp; "'!" &amp; "D7"),0)</f>
        <v>2</v>
      </c>
      <c r="J11" s="39">
        <f>IF($E11="md",$F11*$I11/1000,0)</f>
        <v>0</v>
      </c>
      <c r="K11" s="1137">
        <f ca="1">ROUND(IF(AND($F11&lt;&gt;"",$G11&lt;&gt;""),$I11*$F11*$G11/1000000,0),3)</f>
        <v>7.04</v>
      </c>
      <c r="L11" s="40">
        <f ca="1">ROUND(AF11,-3)</f>
        <v>1778000</v>
      </c>
      <c r="M11" s="40">
        <f ca="1">ROUND(AJ11,-3)</f>
        <v>1790000</v>
      </c>
      <c r="N11" s="41">
        <f ca="1">ROUND(IF($E11="md",$J11*$L11 + $M11*$I11,IFERROR(L11*IF($E11="m2",$K11,$I11) + M11*I11,0)),0)</f>
        <v>16097120</v>
      </c>
      <c r="O11" s="762">
        <f t="shared" ref="O11:O42" ca="1" si="1">IFERROR(INDIRECT("'" &amp; $B11 &amp; "'!" &amp; O$82),"")</f>
        <v>20.707216000000003</v>
      </c>
      <c r="P11" s="756">
        <f t="shared" ref="P11" ca="1" si="2">IFERROR(O11*I11,0)</f>
        <v>41.414432000000005</v>
      </c>
      <c r="Q11" s="757">
        <f ca="1">IFERROR(INDIRECT("'" &amp; $B11 &amp; "'!" &amp; Q$82)/IF($E11="md",$J11,IF($E11="m2",$K11,$I11)) * (1+Q$10),0)</f>
        <v>879923.86363636353</v>
      </c>
      <c r="R11" s="905">
        <f ca="1">IF($B11="",0,IFERROR(IFERROR(INDEX(DanhMuc!$J$180:$J$189,MATCH(MID(IFERROR(INDIRECT("'" &amp; $B11 &amp; "'!" &amp; $R$82),0),2,1)&amp;MID(IFERROR(INDIRECT("'" &amp; $B11 &amp; "'!" &amp; $R$82),0),7,2),DanhMuc!$I$180:$I$189,0)),INDEX(DanhMuc!$J$180:$J$189,MATCH(MID(IFERROR(INDIRECT("'" &amp; $B11 &amp; "'!" &amp; $R$82),0),2,1),DanhMuc!$I$180:$I$189,0))),0))</f>
        <v>0.15000000000000002</v>
      </c>
      <c r="S11" s="757">
        <f t="shared" ref="S11" ca="1" si="3">+Q11*(1+$R11)</f>
        <v>1011912.443181818</v>
      </c>
      <c r="T11" s="757">
        <f t="shared" ref="T11:T26" ca="1" si="4">IFERROR(INDIRECT("'" &amp; $B11 &amp; "'!" &amp; T$82)/IF($E11="md",$J11,IF($E11="m2",$K11,$I11)) * (1+T$10 + INDIRECT("'" &amp; $B11 &amp; "'!" &amp; "$T$1")),0)</f>
        <v>261652.41477272726</v>
      </c>
      <c r="U11" s="757">
        <f ca="1">IFERROR(INDIRECT("'" &amp; $B11 &amp; "'!" &amp; U$82)/IF($E11="md",$J11,IF($E11="m2",$K11,$I11)) * (1+U$10),0)</f>
        <v>34286.079545454544</v>
      </c>
      <c r="V11" s="757">
        <f t="shared" ref="V11:W30" ca="1" si="5">IFERROR(INDIRECT("'" &amp; $B11 &amp; "'!" &amp; V$82)/IF($E11="md",$J11,IF($E11="m2",$K11,$I11)) * (1+V$10 ),0)</f>
        <v>8067.613636363636</v>
      </c>
      <c r="W11" s="757">
        <f t="shared" ca="1" si="5"/>
        <v>33280.184659090912</v>
      </c>
      <c r="X11" s="757">
        <f t="shared" ref="X11:Y30" ca="1" si="6">IFERROR(INDIRECT("'" &amp; $B11 &amp; "'!" &amp; X$82)/IF($E11="md",$J11,IF($E11="m2",$K11,$I11)) * (1+X$10),0)</f>
        <v>151666.66666666669</v>
      </c>
      <c r="Y11" s="757">
        <f t="shared" ca="1" si="6"/>
        <v>69617.777777777781</v>
      </c>
      <c r="Z11" s="757">
        <f t="shared" ref="Z11:AD20" ca="1" si="7">IFERROR(INDIRECT("'" &amp; $B11 &amp; "'!" &amp; Z$82)/IF($E11="md",$J11,IF($E11="m2",$K11,$I11)) * (1+Z$10 ),0)</f>
        <v>182000</v>
      </c>
      <c r="AA11" s="757">
        <f t="shared" ca="1" si="7"/>
        <v>26000</v>
      </c>
      <c r="AB11" s="757">
        <f t="shared" ca="1" si="7"/>
        <v>0</v>
      </c>
      <c r="AC11" s="757">
        <f t="shared" ca="1" si="7"/>
        <v>0</v>
      </c>
      <c r="AD11" s="757">
        <f t="shared" ca="1" si="7"/>
        <v>0</v>
      </c>
      <c r="AE11" s="757">
        <f ca="1">IFERROR(INDIRECT("'" &amp; $B11 &amp; "'!" &amp; AE$82)/IF($E11="md",$J11,IF($E11="m2",$K11,$I11)) * (1+AE$10),0)</f>
        <v>0</v>
      </c>
      <c r="AF11" s="758">
        <f ca="1">+SUM(S11:AC11) + AE11</f>
        <v>1778483.1802398986</v>
      </c>
      <c r="AG11" s="757">
        <f t="shared" ref="AG11:AH30" ca="1" si="8">IFERROR(INDIRECT("'" &amp; $B11 &amp; "'!" &amp; AG$82)/$I11 * (1+AG$10 ),0)</f>
        <v>90720</v>
      </c>
      <c r="AH11" s="757">
        <f t="shared" ca="1" si="8"/>
        <v>1544601</v>
      </c>
      <c r="AI11" s="757">
        <f ca="1">+AH11*($AI$10)</f>
        <v>154460.1</v>
      </c>
      <c r="AJ11" s="758">
        <f ca="1">+SUM(AG11:AI11)</f>
        <v>1789781.1</v>
      </c>
      <c r="AK11" s="759" t="str">
        <f ca="1">IFERROR(IF((AF11 *IF($E11="md",$J11,IF($E11="m2",$K11,$I11)) + AJ11*$I11)  = INDIRECT("'"&amp;$B11&amp;"'!"&amp;AK$82), (AF11*IF($E11="md",$J11,IF($E11="m2",$K11,$I11)) + AJ11*$I11  ),"Chi tiết khác tổng"),0)</f>
        <v>Chi tiết khác tổng</v>
      </c>
      <c r="AL11" s="757">
        <f t="shared" ref="AL11:AX20" ca="1" si="9">IFERROR(INDIRECT("'" &amp; $B11 &amp; "'!" &amp; AL$82)/IF($E11="md",$J11,IF($E11="m2",$K11,$I11)),0)</f>
        <v>628517.04545454541</v>
      </c>
      <c r="AM11" s="757">
        <f t="shared" ca="1" si="9"/>
        <v>174434.94318181818</v>
      </c>
      <c r="AN11" s="757">
        <f t="shared" ca="1" si="9"/>
        <v>22857.386363636364</v>
      </c>
      <c r="AO11" s="757">
        <f t="shared" ca="1" si="9"/>
        <v>5378.409090909091</v>
      </c>
      <c r="AP11" s="757">
        <f t="shared" ca="1" si="9"/>
        <v>22186.789772727272</v>
      </c>
      <c r="AQ11" s="757">
        <f t="shared" ca="1" si="9"/>
        <v>43333.333333333336</v>
      </c>
      <c r="AR11" s="757">
        <f t="shared" ca="1" si="9"/>
        <v>63288.888888888883</v>
      </c>
      <c r="AS11" s="757">
        <f t="shared" ca="1" si="9"/>
        <v>140000</v>
      </c>
      <c r="AT11" s="757">
        <f t="shared" ca="1" si="9"/>
        <v>20000</v>
      </c>
      <c r="AU11" s="757">
        <f t="shared" ca="1" si="9"/>
        <v>0</v>
      </c>
      <c r="AV11" s="757">
        <f t="shared" ca="1" si="9"/>
        <v>0</v>
      </c>
      <c r="AW11" s="757">
        <f t="shared" ca="1" si="9"/>
        <v>0</v>
      </c>
      <c r="AX11" s="757">
        <f t="shared" ca="1" si="9"/>
        <v>0</v>
      </c>
      <c r="AY11" s="758">
        <f ca="1">+SUM(AL11:AV11)+AX11</f>
        <v>1119996.7960858585</v>
      </c>
      <c r="AZ11" s="757">
        <f t="shared" ref="AZ11:BA30" ca="1" si="10">IFERROR(INDIRECT("'" &amp; $B11 &amp; "'!" &amp; AZ$82)/$I11,0)</f>
        <v>60480</v>
      </c>
      <c r="BA11" s="757">
        <f t="shared" ca="1" si="10"/>
        <v>1029734</v>
      </c>
      <c r="BB11" s="757"/>
      <c r="BC11" s="758">
        <f ca="1">+SUM(AZ11:BB11)</f>
        <v>1090214</v>
      </c>
      <c r="BD11" s="759">
        <f ca="1">IFERROR(IF( ROUND((AY11 - AX11)*IF($E11="md",$J11,IF($E11="m2",$K11,$I11)) + (BC11-BB11)*$I11,0) = ROUND(INDIRECT("'"&amp;$B11&amp;"'!"&amp;$BD$82),0), (AY11*IF($E11="md",$J11,IF($E11="m2",$K11,$I11)) + BC11*$I11),"Chi tiết khác tổng"),0)</f>
        <v>10065205.444444444</v>
      </c>
      <c r="BE11" s="195">
        <v>45196</v>
      </c>
      <c r="BF11" s="708">
        <v>1</v>
      </c>
      <c r="BG11" s="703" t="str">
        <f>IF($BF11="","","ĐNSX"&amp; IF(LEN($BF11)=1,"0" &amp; $BF11,$BF11) &amp; "/" &amp; ThongTinChung!$C$5)</f>
        <v>ĐNSX01/231222/L1</v>
      </c>
      <c r="BH11" s="100">
        <f t="shared" ref="BH11:BH42" ca="1" si="11">IF(B11="","",COUNTA(INDIRECT("'" &amp; $B11 &amp; "'!" &amp; BI11)) - COUNTBLANK(INDIRECT("'" &amp; $B11 &amp; "'!" &amp; BI11)))</f>
        <v>33</v>
      </c>
      <c r="BI11" s="194" t="str">
        <f ca="1">IF($B11="","","C" &amp; ROW(MauKoXoa!$C$108) &amp; ":C" &amp;ROW(MauKoXoa!$C$174))</f>
        <v>C108:C174</v>
      </c>
      <c r="BJ11" s="198" t="str">
        <f ca="1">MID(IFERROR(INDIRECT("'" &amp; $B11 &amp; "'!" &amp; "K1"),""),4,2)</f>
        <v>XF</v>
      </c>
      <c r="BK11" s="198" t="str">
        <f ca="1">IFERROR(INDIRECT("'" &amp; $B11 &amp; "'!" &amp; "D5"),"")</f>
        <v>3H</v>
      </c>
      <c r="BL11" s="650" t="str">
        <f ca="1">IF(COUNTIF($BL$10:$BL10,IFERROR(INDEX(DanhMuc!$J$154:$J$165,MATCH($BJ11,DanhMuc!$B$154:$B$165,0)),""))&lt;1,IFERROR(INDEX(DanhMuc!$J$154:$J$165,MATCH($BJ11,DanhMuc!$B$154:$B$165,0)),""),"")</f>
        <v>XINGFA (GUANGDONG) tem đỏ - Bảo hành 5 năm</v>
      </c>
      <c r="BM11" s="650" t="str">
        <f ca="1">IF(COUNTIF($BM$10:$BM10,IFERROR(INDEX(DanhMuc!$D$168:$D$177,MATCH($BK11,DanhMuc!$C$168:$C$177,0)),""))&lt;1,IFERROR(INDEX(DanhMuc!$D$168:$D$177,MATCH($BK11,DanhMuc!$C$168:$C$177,0)),""),"")</f>
        <v>3H - Bảo hành 2 năm</v>
      </c>
      <c r="BN11" s="650" t="str">
        <f ca="1">IFERROR(INDEX(DanhMuc!$K$154:$K$165,MATCH($BJ11,DanhMuc!$B$154:$B$165,0)),"")</f>
        <v>nhôm</v>
      </c>
      <c r="BO11" s="656">
        <f>11+$BG$8</f>
        <v>12</v>
      </c>
      <c r="BP11" s="719" t="str">
        <f ca="1">IFERROR(INDEX(Lay_Ten_Sheet,BO11),"")</f>
        <v>MauKoXoa</v>
      </c>
      <c r="BQ11" s="757">
        <f t="shared" ref="BQ11:BV20" ca="1" si="12">IFERROR(INDIRECT("'" &amp; $B11 &amp; "'!" &amp; BQ$82),0)</f>
        <v>0</v>
      </c>
      <c r="BR11" s="757">
        <f t="shared" ca="1" si="12"/>
        <v>0</v>
      </c>
      <c r="BS11" s="757">
        <f t="shared" ca="1" si="12"/>
        <v>445553.77777777775</v>
      </c>
      <c r="BT11" s="757">
        <f t="shared" ca="1" si="12"/>
        <v>985600</v>
      </c>
      <c r="BU11" s="757">
        <f t="shared" ca="1" si="12"/>
        <v>140800</v>
      </c>
      <c r="BV11" s="757">
        <f t="shared" ca="1" si="12"/>
        <v>0</v>
      </c>
      <c r="BW11" s="198"/>
    </row>
    <row r="12" spans="1:75" s="42" customFormat="1" ht="19.899999999999999" customHeight="1">
      <c r="A12" s="37" t="str">
        <f ca="1">IF(B12="","",MAX($A$10:A11)+1)</f>
        <v/>
      </c>
      <c r="B12" s="718" t="str">
        <f t="shared" ca="1" si="0"/>
        <v/>
      </c>
      <c r="C12" s="1166">
        <f t="shared" ref="C12:C75" ca="1" si="13">IFERROR(INDIRECT("'" &amp; $B12 &amp; "'!" &amp; "I5"),0)</f>
        <v>0</v>
      </c>
      <c r="D12" s="643" t="str">
        <f t="shared" ref="D12:D75" ca="1" si="14" xml:space="preserve"> IF(B12="","","- " &amp; UPPER(IF(IFERROR(INDIRECT("'" &amp; $B12 &amp; "'!" &amp; "G3"),"")="chiều mở",SUBSTITUTE(IFERROR(INDIRECT("'" &amp; $B12 &amp; "'!" &amp; "B4"),""), "quay", IFERROR(INDIRECT("'" &amp; $B12 &amp; "'!" &amp; "H3"),"")),IF(       IFERROR(SEARCH("xếp trượt",IFERROR(INDIRECT("'"&amp;$B12&amp;"'!"&amp;"B4"),""),1),0)&gt;=1,SUBSTITUTE(IFERROR(INDIRECT("'" &amp; $B12 &amp; "'!" &amp; "B4"),""), "xếp trượt", "xếp trượt mở " &amp; IFERROR(INDIRECT("'" &amp; $B12 &amp; "'!" &amp; "H3"),"")),IFERROR(INDIRECT("'" &amp; $B12 &amp; "'!" &amp; "B4"),""))))  &amp; " - " &amp;
UPPER(IFERROR(INDIRECT("'" &amp; $B12 &amp; "'!" &amp; "F4"),"")) &amp; "." &amp;
IF(INDIRECT("'" &amp; $B12 &amp; "'!" &amp; "D12")="","",CHAR(10)  &amp; IFERROR( "- " &amp; PROPER(INDIRECT("'" &amp; $B12 &amp; "'!" &amp; "D12")),"") &amp; "."  )&amp;
IF(INDIRECT("'" &amp; $B12 &amp; "'!" &amp; "X13")="","",CHAR(10)  &amp; IFERROR( "- " &amp; INDIRECT("'" &amp; $B12 &amp; "'!" &amp; "X13"),"") &amp; "."  )&amp;
CHAR(10) &amp;  IFERROR("- " &amp; IF(INDIRECT("'" &amp; $B12 &amp; "'!" &amp; "B6")="Không kính", "Không Kính &amp; Nẹp dùng cho " &amp; INDIRECT("'" &amp; $B12 &amp; "'!" &amp; "D6"),INDIRECT("'" &amp; $B12 &amp; "'!" &amp; "D6") &amp; INDIRECT("'" &amp; $B12 &amp; "'!" &amp; "AF98")),"") &amp; IF(INDIRECT("'" &amp; $B12 &amp; "'!" &amp; "J12")&gt;1," - KÍNH NỐI KÍNH","" )&amp; "." &amp;
 IF(IFERROR(INDIRECT("'" &amp; $B12 &amp; "'!" &amp; "D5"),"") = "", "",CHAR(10) &amp; IFERROR("- " &amp;  INDIRECT("'" &amp; $B12 &amp; "'!" &amp; "C5"),"") &amp; " " &amp; IFERROR(INDIRECT("'" &amp; $B12 &amp; "'!" &amp; "D5"),"") &amp; " - " &amp; IFERROR(INDIRECT("'" &amp; $B12 &amp; "'!" &amp; "F5"),"")  &amp; ": ") &amp;
IF(IFERROR(INDIRECT("'" &amp; $B12 &amp; "'!" &amp; "H3"),"") = "","",IF(OR(IFERROR(INDIRECT("'"&amp;$B12&amp;"'!"&amp;"G3"),"")="chiều mở",IFERROR(SEARCH("xếp trượt",IFERROR(INDIRECT("'"&amp;$B12&amp;"'!"&amp;"B4"),""),1),0)&gt;=1), "tay nắm",IFERROR(INDIRECT("'" &amp; $B12 &amp; "'!" &amp; "G3"),"") &amp; " " &amp; IFERROR(INDIRECT("'" &amp; $B12 &amp; "'!" &amp; "H3"),"") )) &amp;
IF(IFERROR(INDIRECT("'" &amp; $B12 &amp; "'!" &amp; "H4"),"") = "", "",  " + " &amp; IFERROR(INDIRECT("'" &amp; $B12 &amp; "'!" &amp; "G4"),"") &amp; " " &amp; IFERROR(SUBSTITUTE(INDIRECT("'" &amp; $B12 &amp; "'!" &amp; "H4"),"chung",""),"")  ) &amp;
IF(IFERROR(INDIRECT("'" &amp; $B12 &amp; "'!" &amp; "H5"),"") = "", "", " + " &amp; IFERROR(INDIRECT("'" &amp; $B12 &amp; "'!" &amp; "G5"),"") &amp; " " &amp; IFERROR(INDIRECT("'" &amp; $B12 &amp; "'!" &amp; "H5"),"")  ) &amp;
IF(IFERROR(INDIRECT("'" &amp; $B12 &amp; "'!" &amp; "H6"),"") = "", "", " + " &amp; IFERROR(INDIRECT("'" &amp; $B12 &amp; "'!" &amp; "G6"),"") &amp; " " &amp; IFERROR(INDIRECT("'" &amp; $B12 &amp; "'!" &amp; "H6"),"") &amp;
IF(IFERROR( INDIRECT("'" &amp; $B12 &amp; "'!" &amp; "L6"),"") = "", "", " " &amp; IFERROR( INDIRECT("'" &amp; $B12 &amp; "'!" &amp; "L6"),"") &amp; ".") ) &amp;
 IF(IFERROR(INDIRECT("'" &amp; $B12 &amp; "'!" &amp; "F7"),"")=0,"", CHAR(10) &amp;  "- Nẹp ghép: " &amp; IFERROR(INDIRECT("'" &amp; $B12 &amp; "'!" &amp; "E7"),"") &amp; "." ) &amp;
 IF(IFERROR(INDIRECT("'" &amp; $B12 &amp; "'!" &amp; "O2"),"")=0,"", CHAR(10) &amp;  IFERROR("- " &amp; INDIRECT("'" &amp; $B12 &amp; "'!" &amp; "M2"),"") &amp; " theo bản vẽ thiết kế: " &amp; TEXT(ROUND($AC12,-3),"#,###")  &amp;  " đồng/" &amp; $E12 ) &amp;
  IF(IFERROR(INDIRECT("'" &amp; $B12 &amp; "'!" &amp; "O1"),"")=0,"", CHAR(10) &amp; IFERROR("- " &amp;INDIRECT("'" &amp; $B12 &amp; "'!" &amp; "M1"),"")  &amp;": " &amp; TEXT(ROUND($AB12,-3),"#,###") &amp; " đồng/" &amp; $E12) &amp;
 IF(INDIRECT("'" &amp; $B12 &amp; "'!" &amp; "I2")="","",CHAR(10)  &amp; IFERROR( "- " &amp; PROPER(INDIRECT("'" &amp; $B12 &amp; "'!" &amp; "I2")),"") &amp; "."  )
)</f>
        <v/>
      </c>
      <c r="E12" s="203"/>
      <c r="F12" s="38">
        <f t="shared" ref="F12:F80" ca="1" si="15">IFERROR(INDIRECT("'" &amp; $B12 &amp; "'!" &amp; "D8"),0)</f>
        <v>0</v>
      </c>
      <c r="G12" s="38">
        <f t="shared" ref="G12:G80" ca="1" si="16">IFERROR(INDIRECT("'" &amp; $B12 &amp; "'!" &amp; "D10"),0)</f>
        <v>0</v>
      </c>
      <c r="H12" s="1136">
        <f t="shared" ref="H12:H75" ca="1" si="17">ROUND(IFERROR(INDIRECT("'" &amp; $B12 &amp; "'!" &amp; "F12"),0),3)</f>
        <v>0</v>
      </c>
      <c r="I12" s="38">
        <f t="shared" ref="I12:I80" ca="1" si="18">IFERROR(INDIRECT("'" &amp; $B12 &amp; "'!" &amp; "D7"),0)</f>
        <v>0</v>
      </c>
      <c r="J12" s="39">
        <f t="shared" ref="J12:J75" si="19">IF($E12="md",$F12*$I12/1000,0)</f>
        <v>0</v>
      </c>
      <c r="K12" s="1137">
        <f t="shared" ref="K12:K75" ca="1" si="20">ROUND(IF(AND($F12&lt;&gt;"",$G12&lt;&gt;""),$I12*$F12*$G12/1000000,0),3)</f>
        <v>0</v>
      </c>
      <c r="L12" s="40">
        <f t="shared" ref="L12:L75" ca="1" si="21">ROUND(AF12,-3)</f>
        <v>0</v>
      </c>
      <c r="M12" s="40">
        <f t="shared" ref="M12:M39" ca="1" si="22">ROUND(AJ12,-3)</f>
        <v>0</v>
      </c>
      <c r="N12" s="41">
        <f t="shared" ref="N12:N75" ca="1" si="23">ROUND(IF($E12="md",$J12*$L12 + $M12*$I12,IFERROR(L12*IF($E12="m2",$K12,$I12) + M12*I12,0)),0)</f>
        <v>0</v>
      </c>
      <c r="O12" s="762" t="str">
        <f t="shared" ca="1" si="1"/>
        <v/>
      </c>
      <c r="P12" s="756">
        <f t="shared" ref="P12:P39" ca="1" si="24">IFERROR(O12*I12,0)</f>
        <v>0</v>
      </c>
      <c r="Q12" s="757">
        <f t="shared" ref="Q12:Q75" ca="1" si="25">IFERROR(INDIRECT("'" &amp; $B12 &amp; "'!" &amp; Q$82)/IF($E12="md",$J12,IF($E12="m2",$K12,$I12)) * (1+Q$10),0)</f>
        <v>0</v>
      </c>
      <c r="R12" s="905">
        <f ca="1">IF($B12="",0,IFERROR(IFERROR(INDEX(DanhMuc!$J$180:$J$189,MATCH(MID(IFERROR(INDIRECT("'" &amp; $B12 &amp; "'!" &amp; $R$82),0),2,1)&amp;MID(IFERROR(INDIRECT("'" &amp; $B12 &amp; "'!" &amp; $R$82),0),7,2),DanhMuc!$I$180:$I$189,0)),INDEX(DanhMuc!$J$180:$J$189,MATCH(MID(IFERROR(INDIRECT("'" &amp; $B12 &amp; "'!" &amp; $R$82),0),2,1),DanhMuc!$I$180:$I$189,0))),0))</f>
        <v>0</v>
      </c>
      <c r="S12" s="757">
        <f t="shared" ref="S12:S75" ca="1" si="26">+Q12*(1+$R12)</f>
        <v>0</v>
      </c>
      <c r="T12" s="757">
        <f t="shared" ca="1" si="4"/>
        <v>0</v>
      </c>
      <c r="U12" s="757">
        <f t="shared" ref="U12:U75" ca="1" si="27">IFERROR(INDIRECT("'" &amp; $B12 &amp; "'!" &amp; U$82)/IF($E12="md",$J12,IF($E12="m2",$K12,$I12)) * (1+U$10),0)</f>
        <v>0</v>
      </c>
      <c r="V12" s="757">
        <f t="shared" ca="1" si="5"/>
        <v>0</v>
      </c>
      <c r="W12" s="757">
        <f t="shared" ca="1" si="5"/>
        <v>0</v>
      </c>
      <c r="X12" s="757">
        <f t="shared" ca="1" si="6"/>
        <v>0</v>
      </c>
      <c r="Y12" s="757">
        <f t="shared" ca="1" si="6"/>
        <v>0</v>
      </c>
      <c r="Z12" s="757">
        <f t="shared" ca="1" si="7"/>
        <v>0</v>
      </c>
      <c r="AA12" s="757">
        <f t="shared" ca="1" si="7"/>
        <v>0</v>
      </c>
      <c r="AB12" s="757">
        <f t="shared" ca="1" si="7"/>
        <v>0</v>
      </c>
      <c r="AC12" s="757">
        <f t="shared" ca="1" si="7"/>
        <v>0</v>
      </c>
      <c r="AD12" s="757">
        <f t="shared" ca="1" si="7"/>
        <v>0</v>
      </c>
      <c r="AE12" s="757">
        <f t="shared" ref="AE12:AE75" ca="1" si="28">IFERROR(INDIRECT("'" &amp; $B12 &amp; "'!" &amp; AE$82)/IF($E12="md",$J12,IF($E12="m2",$K12,$I12)) * (1+AE$10),0)</f>
        <v>0</v>
      </c>
      <c r="AF12" s="758">
        <f t="shared" ref="AF12:AF75" ca="1" si="29">+SUM(S12:AC12) + AE12</f>
        <v>0</v>
      </c>
      <c r="AG12" s="757">
        <f t="shared" ca="1" si="8"/>
        <v>0</v>
      </c>
      <c r="AH12" s="757">
        <f t="shared" ca="1" si="8"/>
        <v>0</v>
      </c>
      <c r="AI12" s="757">
        <f t="shared" ref="AI12:AI75" ca="1" si="30">+AH12*($AI$10)</f>
        <v>0</v>
      </c>
      <c r="AJ12" s="758">
        <f t="shared" ref="AJ12:AJ75" ca="1" si="31">+SUM(AG12:AI12)</f>
        <v>0</v>
      </c>
      <c r="AK12" s="759">
        <f t="shared" ref="AK12:AK75" ca="1" si="32">IFERROR(IF((AF12 *IF($E12="md",$J12,IF($E12="m2",$K12,$I12)) + AJ12*$I12)  = INDIRECT("'"&amp;$B12&amp;"'!"&amp;AK$82), (AF12*IF($E12="md",$J12,IF($E12="m2",$K12,$I12)) + AJ12*$I12  ),"Chi tiết khác tổng"),0)</f>
        <v>0</v>
      </c>
      <c r="AL12" s="757">
        <f t="shared" ca="1" si="9"/>
        <v>0</v>
      </c>
      <c r="AM12" s="757">
        <f t="shared" ca="1" si="9"/>
        <v>0</v>
      </c>
      <c r="AN12" s="757">
        <f t="shared" ca="1" si="9"/>
        <v>0</v>
      </c>
      <c r="AO12" s="757">
        <f t="shared" ca="1" si="9"/>
        <v>0</v>
      </c>
      <c r="AP12" s="757">
        <f t="shared" ca="1" si="9"/>
        <v>0</v>
      </c>
      <c r="AQ12" s="757">
        <f t="shared" ca="1" si="9"/>
        <v>0</v>
      </c>
      <c r="AR12" s="757">
        <f t="shared" ca="1" si="9"/>
        <v>0</v>
      </c>
      <c r="AS12" s="757">
        <f t="shared" ca="1" si="9"/>
        <v>0</v>
      </c>
      <c r="AT12" s="757">
        <f t="shared" ca="1" si="9"/>
        <v>0</v>
      </c>
      <c r="AU12" s="757">
        <f t="shared" ca="1" si="9"/>
        <v>0</v>
      </c>
      <c r="AV12" s="757">
        <f t="shared" ca="1" si="9"/>
        <v>0</v>
      </c>
      <c r="AW12" s="757">
        <f t="shared" ca="1" si="9"/>
        <v>0</v>
      </c>
      <c r="AX12" s="757">
        <f t="shared" ca="1" si="9"/>
        <v>0</v>
      </c>
      <c r="AY12" s="758">
        <f t="shared" ref="AY12:AY75" ca="1" si="33">+SUM(AL12:AV12)+AX12</f>
        <v>0</v>
      </c>
      <c r="AZ12" s="757">
        <f t="shared" ca="1" si="10"/>
        <v>0</v>
      </c>
      <c r="BA12" s="757">
        <f t="shared" ca="1" si="10"/>
        <v>0</v>
      </c>
      <c r="BB12" s="757"/>
      <c r="BC12" s="758">
        <f t="shared" ref="BC12:BC75" ca="1" si="34">+SUM(AZ12:BB12)</f>
        <v>0</v>
      </c>
      <c r="BD12" s="759">
        <f t="shared" ref="BD12:BD75" ca="1" si="35">IFERROR(IF( ROUND((AY12 - AX12)*IF($E12="md",$J12,IF($E12="m2",$K12,$I12)) + (BC12-BB12)*$I12,0) = ROUND(INDIRECT("'"&amp;$B12&amp;"'!"&amp;$BD$82),0), (AY12*IF($E12="md",$J12,IF($E12="m2",$K12,$I12)) + BC12*$I12),"Chi tiết khác tổng"),0)</f>
        <v>0</v>
      </c>
      <c r="BE12" s="195"/>
      <c r="BF12" s="708"/>
      <c r="BG12" s="703" t="str">
        <f>IF($BF12="","","ĐNSX"&amp; IF(LEN($BF12)=1,"0" &amp; $BF12,$BF12) &amp; "/" &amp; ThongTinChung!$C$5)</f>
        <v/>
      </c>
      <c r="BH12" s="100" t="str">
        <f t="shared" ca="1" si="11"/>
        <v/>
      </c>
      <c r="BI12" s="194" t="str">
        <f ca="1">IF($B12="","","C" &amp; ROW(MauKoXoa!$C$108) &amp; ":C" &amp;ROW(MauKoXoa!$C$174))</f>
        <v/>
      </c>
      <c r="BJ12" s="198" t="str">
        <f t="shared" ref="BJ12:BJ80" ca="1" si="36">MID(IFERROR(INDIRECT("'" &amp; $B12 &amp; "'!" &amp; "K1"),""),4,2)</f>
        <v/>
      </c>
      <c r="BK12" s="198" t="str">
        <f t="shared" ref="BK12:BK80" ca="1" si="37">IFERROR(INDIRECT("'" &amp; $B12 &amp; "'!" &amp; "D5"),"")</f>
        <v/>
      </c>
      <c r="BL12" s="650" t="str">
        <f ca="1">IF(COUNTIF($BL$10:$BL11,IFERROR(INDEX(DanhMuc!$J$154:$J$165,MATCH($BJ12,DanhMuc!$B$154:$B$165,0)),""))&lt;1,IFERROR(INDEX(DanhMuc!$J$154:$J$165,MATCH($BJ12,DanhMuc!$B$154:$B$165,0)),""),"")</f>
        <v/>
      </c>
      <c r="BM12" s="650" t="str">
        <f ca="1">IF(COUNTIF($BM$10:$BM11,IFERROR(INDEX(DanhMuc!$D$168:$D$177,MATCH($BK12,DanhMuc!$C$168:$C$177,0)),""))&lt;1,IFERROR(INDEX(DanhMuc!$D$168:$D$177,MATCH($BK12,DanhMuc!$C$168:$C$177,0)),""),"")</f>
        <v/>
      </c>
      <c r="BN12" s="650" t="str">
        <f ca="1">IFERROR(INDEX(DanhMuc!$K$154:$K$165,MATCH($BJ12,DanhMuc!$B$154:$B$165,0)),"")</f>
        <v/>
      </c>
      <c r="BO12" s="653" t="str">
        <f t="shared" ref="BO12:BO75" ca="1" si="38">IF($BO11&gt;=$BO$10,"",$BO11+1)</f>
        <v/>
      </c>
      <c r="BP12" s="653" t="str">
        <f t="shared" ref="BP12:BP39" ca="1" si="39">IFERROR(INDEX(Lay_Ten_Sheet,BO12),"")</f>
        <v/>
      </c>
      <c r="BQ12" s="757">
        <f t="shared" ca="1" si="12"/>
        <v>0</v>
      </c>
      <c r="BR12" s="757">
        <f t="shared" ca="1" si="12"/>
        <v>0</v>
      </c>
      <c r="BS12" s="757">
        <f t="shared" ca="1" si="12"/>
        <v>0</v>
      </c>
      <c r="BT12" s="757">
        <f t="shared" ca="1" si="12"/>
        <v>0</v>
      </c>
      <c r="BU12" s="757">
        <f t="shared" ca="1" si="12"/>
        <v>0</v>
      </c>
      <c r="BV12" s="757">
        <f t="shared" ca="1" si="12"/>
        <v>0</v>
      </c>
      <c r="BW12" s="198"/>
    </row>
    <row r="13" spans="1:75" s="42" customFormat="1" ht="19.899999999999999" customHeight="1">
      <c r="A13" s="37" t="str">
        <f ca="1">IF(B13="","",MAX($A$10:A12)+1)</f>
        <v/>
      </c>
      <c r="B13" s="718" t="str">
        <f t="shared" ca="1" si="0"/>
        <v/>
      </c>
      <c r="C13" s="1166">
        <f t="shared" ca="1" si="13"/>
        <v>0</v>
      </c>
      <c r="D13" s="643" t="str">
        <f t="shared" ca="1" si="14"/>
        <v/>
      </c>
      <c r="E13" s="203"/>
      <c r="F13" s="38">
        <f t="shared" ca="1" si="15"/>
        <v>0</v>
      </c>
      <c r="G13" s="38">
        <f t="shared" ca="1" si="16"/>
        <v>0</v>
      </c>
      <c r="H13" s="1136">
        <f t="shared" ca="1" si="17"/>
        <v>0</v>
      </c>
      <c r="I13" s="38">
        <f t="shared" ca="1" si="18"/>
        <v>0</v>
      </c>
      <c r="J13" s="39">
        <f t="shared" si="19"/>
        <v>0</v>
      </c>
      <c r="K13" s="1137">
        <f t="shared" ca="1" si="20"/>
        <v>0</v>
      </c>
      <c r="L13" s="40">
        <f t="shared" ca="1" si="21"/>
        <v>0</v>
      </c>
      <c r="M13" s="40">
        <f t="shared" ca="1" si="22"/>
        <v>0</v>
      </c>
      <c r="N13" s="41">
        <f t="shared" ca="1" si="23"/>
        <v>0</v>
      </c>
      <c r="O13" s="762" t="str">
        <f t="shared" ca="1" si="1"/>
        <v/>
      </c>
      <c r="P13" s="756">
        <f t="shared" ca="1" si="24"/>
        <v>0</v>
      </c>
      <c r="Q13" s="757">
        <f t="shared" ca="1" si="25"/>
        <v>0</v>
      </c>
      <c r="R13" s="905">
        <f ca="1">IF($B13="",0,IFERROR(IFERROR(INDEX(DanhMuc!$J$180:$J$189,MATCH(MID(IFERROR(INDIRECT("'" &amp; $B13 &amp; "'!" &amp; $R$82),0),2,1)&amp;MID(IFERROR(INDIRECT("'" &amp; $B13 &amp; "'!" &amp; $R$82),0),7,2),DanhMuc!$I$180:$I$189,0)),INDEX(DanhMuc!$J$180:$J$189,MATCH(MID(IFERROR(INDIRECT("'" &amp; $B13 &amp; "'!" &amp; $R$82),0),2,1),DanhMuc!$I$180:$I$189,0))),0))</f>
        <v>0</v>
      </c>
      <c r="S13" s="757">
        <f t="shared" ca="1" si="26"/>
        <v>0</v>
      </c>
      <c r="T13" s="757">
        <f t="shared" ca="1" si="4"/>
        <v>0</v>
      </c>
      <c r="U13" s="757">
        <f t="shared" ca="1" si="27"/>
        <v>0</v>
      </c>
      <c r="V13" s="757">
        <f t="shared" ca="1" si="5"/>
        <v>0</v>
      </c>
      <c r="W13" s="757">
        <f t="shared" ca="1" si="5"/>
        <v>0</v>
      </c>
      <c r="X13" s="757">
        <f t="shared" ca="1" si="6"/>
        <v>0</v>
      </c>
      <c r="Y13" s="757">
        <f t="shared" ca="1" si="6"/>
        <v>0</v>
      </c>
      <c r="Z13" s="757">
        <f t="shared" ca="1" si="7"/>
        <v>0</v>
      </c>
      <c r="AA13" s="757">
        <f t="shared" ca="1" si="7"/>
        <v>0</v>
      </c>
      <c r="AB13" s="757">
        <f t="shared" ca="1" si="7"/>
        <v>0</v>
      </c>
      <c r="AC13" s="757">
        <f t="shared" ca="1" si="7"/>
        <v>0</v>
      </c>
      <c r="AD13" s="757">
        <f t="shared" ca="1" si="7"/>
        <v>0</v>
      </c>
      <c r="AE13" s="757">
        <f t="shared" ca="1" si="28"/>
        <v>0</v>
      </c>
      <c r="AF13" s="758">
        <f t="shared" ca="1" si="29"/>
        <v>0</v>
      </c>
      <c r="AG13" s="757">
        <f t="shared" ca="1" si="8"/>
        <v>0</v>
      </c>
      <c r="AH13" s="757">
        <f t="shared" ca="1" si="8"/>
        <v>0</v>
      </c>
      <c r="AI13" s="757">
        <f t="shared" ca="1" si="30"/>
        <v>0</v>
      </c>
      <c r="AJ13" s="758">
        <f t="shared" ca="1" si="31"/>
        <v>0</v>
      </c>
      <c r="AK13" s="759">
        <f t="shared" ca="1" si="32"/>
        <v>0</v>
      </c>
      <c r="AL13" s="757">
        <f t="shared" ca="1" si="9"/>
        <v>0</v>
      </c>
      <c r="AM13" s="757">
        <f t="shared" ca="1" si="9"/>
        <v>0</v>
      </c>
      <c r="AN13" s="757">
        <f t="shared" ca="1" si="9"/>
        <v>0</v>
      </c>
      <c r="AO13" s="757">
        <f t="shared" ca="1" si="9"/>
        <v>0</v>
      </c>
      <c r="AP13" s="757">
        <f t="shared" ca="1" si="9"/>
        <v>0</v>
      </c>
      <c r="AQ13" s="757">
        <f t="shared" ca="1" si="9"/>
        <v>0</v>
      </c>
      <c r="AR13" s="757">
        <f t="shared" ca="1" si="9"/>
        <v>0</v>
      </c>
      <c r="AS13" s="757">
        <f t="shared" ca="1" si="9"/>
        <v>0</v>
      </c>
      <c r="AT13" s="757">
        <f t="shared" ca="1" si="9"/>
        <v>0</v>
      </c>
      <c r="AU13" s="757">
        <f t="shared" ca="1" si="9"/>
        <v>0</v>
      </c>
      <c r="AV13" s="757">
        <f t="shared" ca="1" si="9"/>
        <v>0</v>
      </c>
      <c r="AW13" s="757">
        <f t="shared" ca="1" si="9"/>
        <v>0</v>
      </c>
      <c r="AX13" s="757">
        <f t="shared" ca="1" si="9"/>
        <v>0</v>
      </c>
      <c r="AY13" s="758">
        <f t="shared" ca="1" si="33"/>
        <v>0</v>
      </c>
      <c r="AZ13" s="757">
        <f t="shared" ca="1" si="10"/>
        <v>0</v>
      </c>
      <c r="BA13" s="757">
        <f t="shared" ca="1" si="10"/>
        <v>0</v>
      </c>
      <c r="BB13" s="757"/>
      <c r="BC13" s="758">
        <f t="shared" ca="1" si="34"/>
        <v>0</v>
      </c>
      <c r="BD13" s="759">
        <f t="shared" ca="1" si="35"/>
        <v>0</v>
      </c>
      <c r="BE13" s="195"/>
      <c r="BF13" s="708"/>
      <c r="BG13" s="703" t="str">
        <f>IF($BF13="","","ĐNSX"&amp; IF(LEN($BF13)=1,"0" &amp; $BF13,$BF13) &amp; "/" &amp; ThongTinChung!$C$5)</f>
        <v/>
      </c>
      <c r="BH13" s="100" t="str">
        <f t="shared" ca="1" si="11"/>
        <v/>
      </c>
      <c r="BI13" s="194" t="str">
        <f ca="1">IF($B13="","","C" &amp; ROW(MauKoXoa!$C$108) &amp; ":C" &amp;ROW(MauKoXoa!$C$174))</f>
        <v/>
      </c>
      <c r="BJ13" s="198" t="str">
        <f t="shared" ca="1" si="36"/>
        <v/>
      </c>
      <c r="BK13" s="198" t="str">
        <f t="shared" ca="1" si="37"/>
        <v/>
      </c>
      <c r="BL13" s="650" t="str">
        <f ca="1">IF(COUNTIF($BL$10:$BL12,IFERROR(INDEX(DanhMuc!$J$154:$J$165,MATCH($BJ13,DanhMuc!$B$154:$B$165,0)),""))&lt;1,IFERROR(INDEX(DanhMuc!$J$154:$J$165,MATCH($BJ13,DanhMuc!$B$154:$B$165,0)),""),"")</f>
        <v/>
      </c>
      <c r="BM13" s="650" t="str">
        <f ca="1">IF(COUNTIF($BM$10:$BM12,IFERROR(INDEX(DanhMuc!$D$168:$D$177,MATCH($BK13,DanhMuc!$C$168:$C$177,0)),""))&lt;1,IFERROR(INDEX(DanhMuc!$D$168:$D$177,MATCH($BK13,DanhMuc!$C$168:$C$177,0)),""),"")</f>
        <v/>
      </c>
      <c r="BN13" s="650" t="str">
        <f ca="1">IFERROR(INDEX(DanhMuc!$K$154:$K$165,MATCH($BJ13,DanhMuc!$B$154:$B$165,0)),"")</f>
        <v/>
      </c>
      <c r="BO13" s="653" t="str">
        <f t="shared" ca="1" si="38"/>
        <v/>
      </c>
      <c r="BP13" s="653" t="str">
        <f t="shared" ca="1" si="39"/>
        <v/>
      </c>
      <c r="BQ13" s="757">
        <f t="shared" ca="1" si="12"/>
        <v>0</v>
      </c>
      <c r="BR13" s="757">
        <f t="shared" ca="1" si="12"/>
        <v>0</v>
      </c>
      <c r="BS13" s="757">
        <f t="shared" ca="1" si="12"/>
        <v>0</v>
      </c>
      <c r="BT13" s="757">
        <f t="shared" ca="1" si="12"/>
        <v>0</v>
      </c>
      <c r="BU13" s="757">
        <f t="shared" ca="1" si="12"/>
        <v>0</v>
      </c>
      <c r="BV13" s="757">
        <f t="shared" ca="1" si="12"/>
        <v>0</v>
      </c>
      <c r="BW13" s="198"/>
    </row>
    <row r="14" spans="1:75" s="42" customFormat="1" ht="19.899999999999999" customHeight="1">
      <c r="A14" s="37" t="str">
        <f ca="1">IF(B14="","",MAX($A$10:A13)+1)</f>
        <v/>
      </c>
      <c r="B14" s="718" t="str">
        <f t="shared" ca="1" si="0"/>
        <v/>
      </c>
      <c r="C14" s="1166">
        <f t="shared" ca="1" si="13"/>
        <v>0</v>
      </c>
      <c r="D14" s="643" t="str">
        <f t="shared" ca="1" si="14"/>
        <v/>
      </c>
      <c r="E14" s="203"/>
      <c r="F14" s="38">
        <f t="shared" ca="1" si="15"/>
        <v>0</v>
      </c>
      <c r="G14" s="38">
        <f t="shared" ca="1" si="16"/>
        <v>0</v>
      </c>
      <c r="H14" s="1136">
        <f t="shared" ca="1" si="17"/>
        <v>0</v>
      </c>
      <c r="I14" s="38">
        <f t="shared" ca="1" si="18"/>
        <v>0</v>
      </c>
      <c r="J14" s="39">
        <f t="shared" si="19"/>
        <v>0</v>
      </c>
      <c r="K14" s="1137">
        <f t="shared" ca="1" si="20"/>
        <v>0</v>
      </c>
      <c r="L14" s="40">
        <f t="shared" ca="1" si="21"/>
        <v>0</v>
      </c>
      <c r="M14" s="40">
        <f t="shared" ca="1" si="22"/>
        <v>0</v>
      </c>
      <c r="N14" s="41">
        <f t="shared" ca="1" si="23"/>
        <v>0</v>
      </c>
      <c r="O14" s="762" t="str">
        <f t="shared" ca="1" si="1"/>
        <v/>
      </c>
      <c r="P14" s="756">
        <f t="shared" ca="1" si="24"/>
        <v>0</v>
      </c>
      <c r="Q14" s="757">
        <f t="shared" ca="1" si="25"/>
        <v>0</v>
      </c>
      <c r="R14" s="905">
        <f ca="1">IF($B14="",0,IFERROR(IFERROR(INDEX(DanhMuc!$J$180:$J$189,MATCH(MID(IFERROR(INDIRECT("'" &amp; $B14 &amp; "'!" &amp; $R$82),0),2,1)&amp;MID(IFERROR(INDIRECT("'" &amp; $B14 &amp; "'!" &amp; $R$82),0),7,2),DanhMuc!$I$180:$I$189,0)),INDEX(DanhMuc!$J$180:$J$189,MATCH(MID(IFERROR(INDIRECT("'" &amp; $B14 &amp; "'!" &amp; $R$82),0),2,1),DanhMuc!$I$180:$I$189,0))),0))</f>
        <v>0</v>
      </c>
      <c r="S14" s="757">
        <f t="shared" ca="1" si="26"/>
        <v>0</v>
      </c>
      <c r="T14" s="757">
        <f t="shared" ca="1" si="4"/>
        <v>0</v>
      </c>
      <c r="U14" s="757">
        <f t="shared" ca="1" si="27"/>
        <v>0</v>
      </c>
      <c r="V14" s="757">
        <f t="shared" ca="1" si="5"/>
        <v>0</v>
      </c>
      <c r="W14" s="757">
        <f t="shared" ca="1" si="5"/>
        <v>0</v>
      </c>
      <c r="X14" s="757">
        <f t="shared" ca="1" si="6"/>
        <v>0</v>
      </c>
      <c r="Y14" s="757">
        <f t="shared" ca="1" si="6"/>
        <v>0</v>
      </c>
      <c r="Z14" s="757">
        <f t="shared" ca="1" si="7"/>
        <v>0</v>
      </c>
      <c r="AA14" s="757">
        <f t="shared" ca="1" si="7"/>
        <v>0</v>
      </c>
      <c r="AB14" s="757">
        <f t="shared" ca="1" si="7"/>
        <v>0</v>
      </c>
      <c r="AC14" s="757">
        <f t="shared" ca="1" si="7"/>
        <v>0</v>
      </c>
      <c r="AD14" s="757">
        <f t="shared" ca="1" si="7"/>
        <v>0</v>
      </c>
      <c r="AE14" s="757">
        <f t="shared" ca="1" si="28"/>
        <v>0</v>
      </c>
      <c r="AF14" s="758">
        <f t="shared" ca="1" si="29"/>
        <v>0</v>
      </c>
      <c r="AG14" s="757">
        <f t="shared" ca="1" si="8"/>
        <v>0</v>
      </c>
      <c r="AH14" s="757">
        <f t="shared" ca="1" si="8"/>
        <v>0</v>
      </c>
      <c r="AI14" s="757">
        <f t="shared" ca="1" si="30"/>
        <v>0</v>
      </c>
      <c r="AJ14" s="758">
        <f t="shared" ca="1" si="31"/>
        <v>0</v>
      </c>
      <c r="AK14" s="759">
        <f t="shared" ca="1" si="32"/>
        <v>0</v>
      </c>
      <c r="AL14" s="757">
        <f t="shared" ca="1" si="9"/>
        <v>0</v>
      </c>
      <c r="AM14" s="757">
        <f t="shared" ca="1" si="9"/>
        <v>0</v>
      </c>
      <c r="AN14" s="757">
        <f t="shared" ca="1" si="9"/>
        <v>0</v>
      </c>
      <c r="AO14" s="757">
        <f t="shared" ca="1" si="9"/>
        <v>0</v>
      </c>
      <c r="AP14" s="757">
        <f t="shared" ca="1" si="9"/>
        <v>0</v>
      </c>
      <c r="AQ14" s="757">
        <f t="shared" ca="1" si="9"/>
        <v>0</v>
      </c>
      <c r="AR14" s="757">
        <f t="shared" ca="1" si="9"/>
        <v>0</v>
      </c>
      <c r="AS14" s="757">
        <f t="shared" ca="1" si="9"/>
        <v>0</v>
      </c>
      <c r="AT14" s="757">
        <f t="shared" ca="1" si="9"/>
        <v>0</v>
      </c>
      <c r="AU14" s="757">
        <f t="shared" ca="1" si="9"/>
        <v>0</v>
      </c>
      <c r="AV14" s="757">
        <f t="shared" ca="1" si="9"/>
        <v>0</v>
      </c>
      <c r="AW14" s="757">
        <f t="shared" ca="1" si="9"/>
        <v>0</v>
      </c>
      <c r="AX14" s="757">
        <f t="shared" ca="1" si="9"/>
        <v>0</v>
      </c>
      <c r="AY14" s="758">
        <f t="shared" ca="1" si="33"/>
        <v>0</v>
      </c>
      <c r="AZ14" s="757">
        <f t="shared" ca="1" si="10"/>
        <v>0</v>
      </c>
      <c r="BA14" s="757">
        <f t="shared" ca="1" si="10"/>
        <v>0</v>
      </c>
      <c r="BB14" s="757"/>
      <c r="BC14" s="758">
        <f t="shared" ca="1" si="34"/>
        <v>0</v>
      </c>
      <c r="BD14" s="759">
        <f t="shared" ca="1" si="35"/>
        <v>0</v>
      </c>
      <c r="BE14" s="195"/>
      <c r="BF14" s="708"/>
      <c r="BG14" s="703" t="str">
        <f>IF($BF14="","","ĐNSX"&amp; IF(LEN($BF14)=1,"0" &amp; $BF14,$BF14) &amp; "/" &amp; ThongTinChung!$C$5)</f>
        <v/>
      </c>
      <c r="BH14" s="100" t="str">
        <f t="shared" ca="1" si="11"/>
        <v/>
      </c>
      <c r="BI14" s="194" t="str">
        <f ca="1">IF($B14="","","C" &amp; ROW(MauKoXoa!$C$108) &amp; ":C" &amp;ROW(MauKoXoa!$C$174))</f>
        <v/>
      </c>
      <c r="BJ14" s="198" t="str">
        <f t="shared" ca="1" si="36"/>
        <v/>
      </c>
      <c r="BK14" s="198" t="str">
        <f t="shared" ca="1" si="37"/>
        <v/>
      </c>
      <c r="BL14" s="650" t="str">
        <f ca="1">IF(COUNTIF($BL$10:$BL13,IFERROR(INDEX(DanhMuc!$J$154:$J$165,MATCH($BJ14,DanhMuc!$B$154:$B$165,0)),""))&lt;1,IFERROR(INDEX(DanhMuc!$J$154:$J$165,MATCH($BJ14,DanhMuc!$B$154:$B$165,0)),""),"")</f>
        <v/>
      </c>
      <c r="BM14" s="650" t="str">
        <f ca="1">IF(COUNTIF($BM$10:$BM13,IFERROR(INDEX(DanhMuc!$D$168:$D$177,MATCH($BK14,DanhMuc!$C$168:$C$177,0)),""))&lt;1,IFERROR(INDEX(DanhMuc!$D$168:$D$177,MATCH($BK14,DanhMuc!$C$168:$C$177,0)),""),"")</f>
        <v/>
      </c>
      <c r="BN14" s="650" t="str">
        <f ca="1">IFERROR(INDEX(DanhMuc!$K$154:$K$165,MATCH($BJ14,DanhMuc!$B$154:$B$165,0)),"")</f>
        <v/>
      </c>
      <c r="BO14" s="653" t="str">
        <f t="shared" ca="1" si="38"/>
        <v/>
      </c>
      <c r="BP14" s="653" t="str">
        <f t="shared" ca="1" si="39"/>
        <v/>
      </c>
      <c r="BQ14" s="757">
        <f t="shared" ca="1" si="12"/>
        <v>0</v>
      </c>
      <c r="BR14" s="757">
        <f t="shared" ca="1" si="12"/>
        <v>0</v>
      </c>
      <c r="BS14" s="757">
        <f t="shared" ca="1" si="12"/>
        <v>0</v>
      </c>
      <c r="BT14" s="757">
        <f t="shared" ca="1" si="12"/>
        <v>0</v>
      </c>
      <c r="BU14" s="757">
        <f t="shared" ca="1" si="12"/>
        <v>0</v>
      </c>
      <c r="BV14" s="757">
        <f t="shared" ca="1" si="12"/>
        <v>0</v>
      </c>
      <c r="BW14" s="198"/>
    </row>
    <row r="15" spans="1:75" s="42" customFormat="1" ht="19.899999999999999" customHeight="1">
      <c r="A15" s="37" t="str">
        <f ca="1">IF(B15="","",MAX($A$10:A14)+1)</f>
        <v/>
      </c>
      <c r="B15" s="718" t="str">
        <f t="shared" ca="1" si="0"/>
        <v/>
      </c>
      <c r="C15" s="1166">
        <f t="shared" ca="1" si="13"/>
        <v>0</v>
      </c>
      <c r="D15" s="643" t="str">
        <f t="shared" ca="1" si="14"/>
        <v/>
      </c>
      <c r="E15" s="203"/>
      <c r="F15" s="38">
        <f t="shared" ca="1" si="15"/>
        <v>0</v>
      </c>
      <c r="G15" s="38">
        <f t="shared" ca="1" si="16"/>
        <v>0</v>
      </c>
      <c r="H15" s="1136">
        <f t="shared" ca="1" si="17"/>
        <v>0</v>
      </c>
      <c r="I15" s="38">
        <f t="shared" ca="1" si="18"/>
        <v>0</v>
      </c>
      <c r="J15" s="39">
        <f t="shared" si="19"/>
        <v>0</v>
      </c>
      <c r="K15" s="1137">
        <f t="shared" ca="1" si="20"/>
        <v>0</v>
      </c>
      <c r="L15" s="40">
        <f t="shared" ca="1" si="21"/>
        <v>0</v>
      </c>
      <c r="M15" s="40">
        <f t="shared" ca="1" si="22"/>
        <v>0</v>
      </c>
      <c r="N15" s="41">
        <f t="shared" ca="1" si="23"/>
        <v>0</v>
      </c>
      <c r="O15" s="762" t="str">
        <f t="shared" ca="1" si="1"/>
        <v/>
      </c>
      <c r="P15" s="756">
        <f t="shared" ca="1" si="24"/>
        <v>0</v>
      </c>
      <c r="Q15" s="757">
        <f t="shared" ca="1" si="25"/>
        <v>0</v>
      </c>
      <c r="R15" s="905">
        <f ca="1">IF($B15="",0,IFERROR(IFERROR(INDEX(DanhMuc!$J$180:$J$189,MATCH(MID(IFERROR(INDIRECT("'" &amp; $B15 &amp; "'!" &amp; $R$82),0),2,1)&amp;MID(IFERROR(INDIRECT("'" &amp; $B15 &amp; "'!" &amp; $R$82),0),7,2),DanhMuc!$I$180:$I$189,0)),INDEX(DanhMuc!$J$180:$J$189,MATCH(MID(IFERROR(INDIRECT("'" &amp; $B15 &amp; "'!" &amp; $R$82),0),2,1),DanhMuc!$I$180:$I$189,0))),0))</f>
        <v>0</v>
      </c>
      <c r="S15" s="757">
        <f t="shared" ca="1" si="26"/>
        <v>0</v>
      </c>
      <c r="T15" s="757">
        <f t="shared" ca="1" si="4"/>
        <v>0</v>
      </c>
      <c r="U15" s="757">
        <f t="shared" ca="1" si="27"/>
        <v>0</v>
      </c>
      <c r="V15" s="757">
        <f t="shared" ca="1" si="5"/>
        <v>0</v>
      </c>
      <c r="W15" s="757">
        <f t="shared" ca="1" si="5"/>
        <v>0</v>
      </c>
      <c r="X15" s="757">
        <f t="shared" ca="1" si="6"/>
        <v>0</v>
      </c>
      <c r="Y15" s="757">
        <f t="shared" ca="1" si="6"/>
        <v>0</v>
      </c>
      <c r="Z15" s="757">
        <f t="shared" ca="1" si="7"/>
        <v>0</v>
      </c>
      <c r="AA15" s="757">
        <f t="shared" ca="1" si="7"/>
        <v>0</v>
      </c>
      <c r="AB15" s="757">
        <f t="shared" ca="1" si="7"/>
        <v>0</v>
      </c>
      <c r="AC15" s="757">
        <f t="shared" ca="1" si="7"/>
        <v>0</v>
      </c>
      <c r="AD15" s="757">
        <f t="shared" ca="1" si="7"/>
        <v>0</v>
      </c>
      <c r="AE15" s="757">
        <f t="shared" ca="1" si="28"/>
        <v>0</v>
      </c>
      <c r="AF15" s="758">
        <f t="shared" ca="1" si="29"/>
        <v>0</v>
      </c>
      <c r="AG15" s="757">
        <f t="shared" ca="1" si="8"/>
        <v>0</v>
      </c>
      <c r="AH15" s="757">
        <f t="shared" ca="1" si="8"/>
        <v>0</v>
      </c>
      <c r="AI15" s="757">
        <f t="shared" ca="1" si="30"/>
        <v>0</v>
      </c>
      <c r="AJ15" s="758">
        <f t="shared" ca="1" si="31"/>
        <v>0</v>
      </c>
      <c r="AK15" s="759">
        <f t="shared" ca="1" si="32"/>
        <v>0</v>
      </c>
      <c r="AL15" s="757">
        <f t="shared" ca="1" si="9"/>
        <v>0</v>
      </c>
      <c r="AM15" s="757">
        <f t="shared" ca="1" si="9"/>
        <v>0</v>
      </c>
      <c r="AN15" s="757">
        <f t="shared" ca="1" si="9"/>
        <v>0</v>
      </c>
      <c r="AO15" s="757">
        <f t="shared" ca="1" si="9"/>
        <v>0</v>
      </c>
      <c r="AP15" s="757">
        <f t="shared" ca="1" si="9"/>
        <v>0</v>
      </c>
      <c r="AQ15" s="757">
        <f t="shared" ca="1" si="9"/>
        <v>0</v>
      </c>
      <c r="AR15" s="757">
        <f t="shared" ca="1" si="9"/>
        <v>0</v>
      </c>
      <c r="AS15" s="757">
        <f t="shared" ca="1" si="9"/>
        <v>0</v>
      </c>
      <c r="AT15" s="757">
        <f t="shared" ca="1" si="9"/>
        <v>0</v>
      </c>
      <c r="AU15" s="757">
        <f t="shared" ca="1" si="9"/>
        <v>0</v>
      </c>
      <c r="AV15" s="757">
        <f t="shared" ca="1" si="9"/>
        <v>0</v>
      </c>
      <c r="AW15" s="757">
        <f t="shared" ca="1" si="9"/>
        <v>0</v>
      </c>
      <c r="AX15" s="757">
        <f t="shared" ca="1" si="9"/>
        <v>0</v>
      </c>
      <c r="AY15" s="758">
        <f t="shared" ca="1" si="33"/>
        <v>0</v>
      </c>
      <c r="AZ15" s="757">
        <f t="shared" ca="1" si="10"/>
        <v>0</v>
      </c>
      <c r="BA15" s="757">
        <f t="shared" ca="1" si="10"/>
        <v>0</v>
      </c>
      <c r="BB15" s="757"/>
      <c r="BC15" s="758">
        <f t="shared" ca="1" si="34"/>
        <v>0</v>
      </c>
      <c r="BD15" s="759">
        <f t="shared" ca="1" si="35"/>
        <v>0</v>
      </c>
      <c r="BE15" s="195"/>
      <c r="BF15" s="708"/>
      <c r="BG15" s="703" t="str">
        <f>IF($BF15="","","ĐNSX"&amp; IF(LEN($BF15)=1,"0" &amp; $BF15,$BF15) &amp; "/" &amp; ThongTinChung!$C$5)</f>
        <v/>
      </c>
      <c r="BH15" s="100" t="str">
        <f t="shared" ca="1" si="11"/>
        <v/>
      </c>
      <c r="BI15" s="194" t="str">
        <f ca="1">IF($B15="","","C" &amp; ROW(MauKoXoa!$C$108) &amp; ":C" &amp;ROW(MauKoXoa!$C$174))</f>
        <v/>
      </c>
      <c r="BJ15" s="198" t="str">
        <f t="shared" ca="1" si="36"/>
        <v/>
      </c>
      <c r="BK15" s="198" t="str">
        <f t="shared" ca="1" si="37"/>
        <v/>
      </c>
      <c r="BL15" s="650" t="str">
        <f ca="1">IF(COUNTIF($BL$10:$BL14,IFERROR(INDEX(DanhMuc!$J$154:$J$165,MATCH($BJ15,DanhMuc!$B$154:$B$165,0)),""))&lt;1,IFERROR(INDEX(DanhMuc!$J$154:$J$165,MATCH($BJ15,DanhMuc!$B$154:$B$165,0)),""),"")</f>
        <v/>
      </c>
      <c r="BM15" s="650" t="str">
        <f ca="1">IF(COUNTIF($BM$10:$BM14,IFERROR(INDEX(DanhMuc!$D$168:$D$177,MATCH($BK15,DanhMuc!$C$168:$C$177,0)),""))&lt;1,IFERROR(INDEX(DanhMuc!$D$168:$D$177,MATCH($BK15,DanhMuc!$C$168:$C$177,0)),""),"")</f>
        <v/>
      </c>
      <c r="BN15" s="650" t="str">
        <f ca="1">IFERROR(INDEX(DanhMuc!$K$154:$K$165,MATCH($BJ15,DanhMuc!$B$154:$B$165,0)),"")</f>
        <v/>
      </c>
      <c r="BO15" s="653" t="str">
        <f t="shared" ca="1" si="38"/>
        <v/>
      </c>
      <c r="BP15" s="653" t="str">
        <f t="shared" ca="1" si="39"/>
        <v/>
      </c>
      <c r="BQ15" s="757">
        <f t="shared" ca="1" si="12"/>
        <v>0</v>
      </c>
      <c r="BR15" s="757">
        <f t="shared" ca="1" si="12"/>
        <v>0</v>
      </c>
      <c r="BS15" s="757">
        <f t="shared" ca="1" si="12"/>
        <v>0</v>
      </c>
      <c r="BT15" s="757">
        <f t="shared" ca="1" si="12"/>
        <v>0</v>
      </c>
      <c r="BU15" s="757">
        <f t="shared" ca="1" si="12"/>
        <v>0</v>
      </c>
      <c r="BV15" s="757">
        <f t="shared" ca="1" si="12"/>
        <v>0</v>
      </c>
      <c r="BW15" s="198"/>
    </row>
    <row r="16" spans="1:75" s="42" customFormat="1" ht="19.899999999999999" customHeight="1">
      <c r="A16" s="37" t="str">
        <f ca="1">IF(B16="","",MAX($A$10:A15)+1)</f>
        <v/>
      </c>
      <c r="B16" s="718" t="str">
        <f t="shared" ca="1" si="0"/>
        <v/>
      </c>
      <c r="C16" s="1166">
        <f t="shared" ca="1" si="13"/>
        <v>0</v>
      </c>
      <c r="D16" s="643" t="str">
        <f t="shared" ca="1" si="14"/>
        <v/>
      </c>
      <c r="E16" s="203"/>
      <c r="F16" s="38">
        <f t="shared" ca="1" si="15"/>
        <v>0</v>
      </c>
      <c r="G16" s="38">
        <f t="shared" ca="1" si="16"/>
        <v>0</v>
      </c>
      <c r="H16" s="1136">
        <f t="shared" ca="1" si="17"/>
        <v>0</v>
      </c>
      <c r="I16" s="38">
        <f t="shared" ca="1" si="18"/>
        <v>0</v>
      </c>
      <c r="J16" s="39">
        <f t="shared" si="19"/>
        <v>0</v>
      </c>
      <c r="K16" s="1137">
        <f t="shared" ca="1" si="20"/>
        <v>0</v>
      </c>
      <c r="L16" s="40">
        <f t="shared" ca="1" si="21"/>
        <v>0</v>
      </c>
      <c r="M16" s="40">
        <f t="shared" ca="1" si="22"/>
        <v>0</v>
      </c>
      <c r="N16" s="41">
        <f t="shared" ca="1" si="23"/>
        <v>0</v>
      </c>
      <c r="O16" s="762" t="str">
        <f t="shared" ca="1" si="1"/>
        <v/>
      </c>
      <c r="P16" s="756">
        <f t="shared" ca="1" si="24"/>
        <v>0</v>
      </c>
      <c r="Q16" s="757">
        <f t="shared" ca="1" si="25"/>
        <v>0</v>
      </c>
      <c r="R16" s="905">
        <f ca="1">IF($B16="",0,IFERROR(IFERROR(INDEX(DanhMuc!$J$180:$J$189,MATCH(MID(IFERROR(INDIRECT("'" &amp; $B16 &amp; "'!" &amp; $R$82),0),2,1)&amp;MID(IFERROR(INDIRECT("'" &amp; $B16 &amp; "'!" &amp; $R$82),0),7,2),DanhMuc!$I$180:$I$189,0)),INDEX(DanhMuc!$J$180:$J$189,MATCH(MID(IFERROR(INDIRECT("'" &amp; $B16 &amp; "'!" &amp; $R$82),0),2,1),DanhMuc!$I$180:$I$189,0))),0))</f>
        <v>0</v>
      </c>
      <c r="S16" s="757">
        <f t="shared" ca="1" si="26"/>
        <v>0</v>
      </c>
      <c r="T16" s="757">
        <f t="shared" ca="1" si="4"/>
        <v>0</v>
      </c>
      <c r="U16" s="757">
        <f t="shared" ca="1" si="27"/>
        <v>0</v>
      </c>
      <c r="V16" s="757">
        <f t="shared" ca="1" si="5"/>
        <v>0</v>
      </c>
      <c r="W16" s="757">
        <f t="shared" ca="1" si="5"/>
        <v>0</v>
      </c>
      <c r="X16" s="757">
        <f t="shared" ca="1" si="6"/>
        <v>0</v>
      </c>
      <c r="Y16" s="757">
        <f t="shared" ca="1" si="6"/>
        <v>0</v>
      </c>
      <c r="Z16" s="757">
        <f t="shared" ca="1" si="7"/>
        <v>0</v>
      </c>
      <c r="AA16" s="757">
        <f t="shared" ca="1" si="7"/>
        <v>0</v>
      </c>
      <c r="AB16" s="757">
        <f t="shared" ca="1" si="7"/>
        <v>0</v>
      </c>
      <c r="AC16" s="757">
        <f t="shared" ca="1" si="7"/>
        <v>0</v>
      </c>
      <c r="AD16" s="757">
        <f t="shared" ca="1" si="7"/>
        <v>0</v>
      </c>
      <c r="AE16" s="757">
        <f t="shared" ca="1" si="28"/>
        <v>0</v>
      </c>
      <c r="AF16" s="758">
        <f t="shared" ca="1" si="29"/>
        <v>0</v>
      </c>
      <c r="AG16" s="757">
        <f t="shared" ca="1" si="8"/>
        <v>0</v>
      </c>
      <c r="AH16" s="757">
        <f t="shared" ca="1" si="8"/>
        <v>0</v>
      </c>
      <c r="AI16" s="757">
        <f t="shared" ca="1" si="30"/>
        <v>0</v>
      </c>
      <c r="AJ16" s="758">
        <f t="shared" ca="1" si="31"/>
        <v>0</v>
      </c>
      <c r="AK16" s="759">
        <f t="shared" ca="1" si="32"/>
        <v>0</v>
      </c>
      <c r="AL16" s="757">
        <f t="shared" ca="1" si="9"/>
        <v>0</v>
      </c>
      <c r="AM16" s="757">
        <f t="shared" ca="1" si="9"/>
        <v>0</v>
      </c>
      <c r="AN16" s="757">
        <f t="shared" ca="1" si="9"/>
        <v>0</v>
      </c>
      <c r="AO16" s="757">
        <f t="shared" ca="1" si="9"/>
        <v>0</v>
      </c>
      <c r="AP16" s="757">
        <f t="shared" ca="1" si="9"/>
        <v>0</v>
      </c>
      <c r="AQ16" s="757">
        <f t="shared" ca="1" si="9"/>
        <v>0</v>
      </c>
      <c r="AR16" s="757">
        <f t="shared" ca="1" si="9"/>
        <v>0</v>
      </c>
      <c r="AS16" s="757">
        <f t="shared" ca="1" si="9"/>
        <v>0</v>
      </c>
      <c r="AT16" s="757">
        <f t="shared" ca="1" si="9"/>
        <v>0</v>
      </c>
      <c r="AU16" s="757">
        <f t="shared" ca="1" si="9"/>
        <v>0</v>
      </c>
      <c r="AV16" s="757">
        <f t="shared" ca="1" si="9"/>
        <v>0</v>
      </c>
      <c r="AW16" s="757">
        <f t="shared" ca="1" si="9"/>
        <v>0</v>
      </c>
      <c r="AX16" s="757">
        <f t="shared" ca="1" si="9"/>
        <v>0</v>
      </c>
      <c r="AY16" s="758">
        <f t="shared" ca="1" si="33"/>
        <v>0</v>
      </c>
      <c r="AZ16" s="757">
        <f t="shared" ca="1" si="10"/>
        <v>0</v>
      </c>
      <c r="BA16" s="757">
        <f t="shared" ca="1" si="10"/>
        <v>0</v>
      </c>
      <c r="BB16" s="757"/>
      <c r="BC16" s="758">
        <f t="shared" ca="1" si="34"/>
        <v>0</v>
      </c>
      <c r="BD16" s="759">
        <f t="shared" ca="1" si="35"/>
        <v>0</v>
      </c>
      <c r="BE16" s="195"/>
      <c r="BF16" s="708"/>
      <c r="BG16" s="703" t="str">
        <f>IF($BF16="","","ĐNSX"&amp; IF(LEN($BF16)=1,"0" &amp; $BF16,$BF16) &amp; "/" &amp; ThongTinChung!$C$5)</f>
        <v/>
      </c>
      <c r="BH16" s="100" t="str">
        <f t="shared" ca="1" si="11"/>
        <v/>
      </c>
      <c r="BI16" s="194" t="str">
        <f ca="1">IF($B16="","","C" &amp; ROW(MauKoXoa!$C$108) &amp; ":C" &amp;ROW(MauKoXoa!$C$174))</f>
        <v/>
      </c>
      <c r="BJ16" s="198" t="str">
        <f t="shared" ca="1" si="36"/>
        <v/>
      </c>
      <c r="BK16" s="198" t="str">
        <f t="shared" ca="1" si="37"/>
        <v/>
      </c>
      <c r="BL16" s="650" t="str">
        <f ca="1">IF(COUNTIF($BL$10:$BL15,IFERROR(INDEX(DanhMuc!$J$154:$J$165,MATCH($BJ16,DanhMuc!$B$154:$B$165,0)),""))&lt;1,IFERROR(INDEX(DanhMuc!$J$154:$J$165,MATCH($BJ16,DanhMuc!$B$154:$B$165,0)),""),"")</f>
        <v/>
      </c>
      <c r="BM16" s="650" t="str">
        <f ca="1">IF(COUNTIF($BM$10:$BM15,IFERROR(INDEX(DanhMuc!$D$168:$D$177,MATCH($BK16,DanhMuc!$C$168:$C$177,0)),""))&lt;1,IFERROR(INDEX(DanhMuc!$D$168:$D$177,MATCH($BK16,DanhMuc!$C$168:$C$177,0)),""),"")</f>
        <v/>
      </c>
      <c r="BN16" s="650" t="str">
        <f ca="1">IFERROR(INDEX(DanhMuc!$K$154:$K$165,MATCH($BJ16,DanhMuc!$B$154:$B$165,0)),"")</f>
        <v/>
      </c>
      <c r="BO16" s="653" t="str">
        <f t="shared" ca="1" si="38"/>
        <v/>
      </c>
      <c r="BP16" s="653" t="str">
        <f t="shared" ca="1" si="39"/>
        <v/>
      </c>
      <c r="BQ16" s="757">
        <f t="shared" ca="1" si="12"/>
        <v>0</v>
      </c>
      <c r="BR16" s="757">
        <f t="shared" ca="1" si="12"/>
        <v>0</v>
      </c>
      <c r="BS16" s="757">
        <f t="shared" ca="1" si="12"/>
        <v>0</v>
      </c>
      <c r="BT16" s="757">
        <f t="shared" ca="1" si="12"/>
        <v>0</v>
      </c>
      <c r="BU16" s="757">
        <f t="shared" ca="1" si="12"/>
        <v>0</v>
      </c>
      <c r="BV16" s="757">
        <f t="shared" ca="1" si="12"/>
        <v>0</v>
      </c>
      <c r="BW16" s="198"/>
    </row>
    <row r="17" spans="1:75" s="42" customFormat="1" ht="19.899999999999999" customHeight="1">
      <c r="A17" s="37" t="str">
        <f ca="1">IF(B17="","",MAX($A$10:A16)+1)</f>
        <v/>
      </c>
      <c r="B17" s="718" t="str">
        <f t="shared" ca="1" si="0"/>
        <v/>
      </c>
      <c r="C17" s="1166">
        <f t="shared" ca="1" si="13"/>
        <v>0</v>
      </c>
      <c r="D17" s="643" t="str">
        <f t="shared" ca="1" si="14"/>
        <v/>
      </c>
      <c r="E17" s="203"/>
      <c r="F17" s="38">
        <f t="shared" ca="1" si="15"/>
        <v>0</v>
      </c>
      <c r="G17" s="38">
        <f t="shared" ca="1" si="16"/>
        <v>0</v>
      </c>
      <c r="H17" s="1136">
        <f t="shared" ca="1" si="17"/>
        <v>0</v>
      </c>
      <c r="I17" s="38">
        <f t="shared" ca="1" si="18"/>
        <v>0</v>
      </c>
      <c r="J17" s="39">
        <f t="shared" si="19"/>
        <v>0</v>
      </c>
      <c r="K17" s="1137">
        <f t="shared" ca="1" si="20"/>
        <v>0</v>
      </c>
      <c r="L17" s="40">
        <f t="shared" ca="1" si="21"/>
        <v>0</v>
      </c>
      <c r="M17" s="40">
        <f t="shared" ca="1" si="22"/>
        <v>0</v>
      </c>
      <c r="N17" s="41">
        <f t="shared" ca="1" si="23"/>
        <v>0</v>
      </c>
      <c r="O17" s="762" t="str">
        <f t="shared" ca="1" si="1"/>
        <v/>
      </c>
      <c r="P17" s="756">
        <f t="shared" ca="1" si="24"/>
        <v>0</v>
      </c>
      <c r="Q17" s="757">
        <f t="shared" ca="1" si="25"/>
        <v>0</v>
      </c>
      <c r="R17" s="905">
        <f ca="1">IF($B17="",0,IFERROR(IFERROR(INDEX(DanhMuc!$J$180:$J$189,MATCH(MID(IFERROR(INDIRECT("'" &amp; $B17 &amp; "'!" &amp; $R$82),0),2,1)&amp;MID(IFERROR(INDIRECT("'" &amp; $B17 &amp; "'!" &amp; $R$82),0),7,2),DanhMuc!$I$180:$I$189,0)),INDEX(DanhMuc!$J$180:$J$189,MATCH(MID(IFERROR(INDIRECT("'" &amp; $B17 &amp; "'!" &amp; $R$82),0),2,1),DanhMuc!$I$180:$I$189,0))),0))</f>
        <v>0</v>
      </c>
      <c r="S17" s="757">
        <f t="shared" ca="1" si="26"/>
        <v>0</v>
      </c>
      <c r="T17" s="757">
        <f t="shared" ca="1" si="4"/>
        <v>0</v>
      </c>
      <c r="U17" s="757">
        <f t="shared" ca="1" si="27"/>
        <v>0</v>
      </c>
      <c r="V17" s="757">
        <f t="shared" ca="1" si="5"/>
        <v>0</v>
      </c>
      <c r="W17" s="757">
        <f t="shared" ca="1" si="5"/>
        <v>0</v>
      </c>
      <c r="X17" s="757">
        <f t="shared" ca="1" si="6"/>
        <v>0</v>
      </c>
      <c r="Y17" s="757">
        <f t="shared" ca="1" si="6"/>
        <v>0</v>
      </c>
      <c r="Z17" s="757">
        <f t="shared" ca="1" si="7"/>
        <v>0</v>
      </c>
      <c r="AA17" s="757">
        <f t="shared" ca="1" si="7"/>
        <v>0</v>
      </c>
      <c r="AB17" s="757">
        <f t="shared" ca="1" si="7"/>
        <v>0</v>
      </c>
      <c r="AC17" s="757">
        <f t="shared" ca="1" si="7"/>
        <v>0</v>
      </c>
      <c r="AD17" s="757">
        <f t="shared" ca="1" si="7"/>
        <v>0</v>
      </c>
      <c r="AE17" s="757">
        <f t="shared" ca="1" si="28"/>
        <v>0</v>
      </c>
      <c r="AF17" s="758">
        <f t="shared" ca="1" si="29"/>
        <v>0</v>
      </c>
      <c r="AG17" s="757">
        <f t="shared" ca="1" si="8"/>
        <v>0</v>
      </c>
      <c r="AH17" s="757">
        <f t="shared" ca="1" si="8"/>
        <v>0</v>
      </c>
      <c r="AI17" s="757">
        <f t="shared" ca="1" si="30"/>
        <v>0</v>
      </c>
      <c r="AJ17" s="758">
        <f t="shared" ca="1" si="31"/>
        <v>0</v>
      </c>
      <c r="AK17" s="759">
        <f t="shared" ca="1" si="32"/>
        <v>0</v>
      </c>
      <c r="AL17" s="757">
        <f t="shared" ca="1" si="9"/>
        <v>0</v>
      </c>
      <c r="AM17" s="757">
        <f t="shared" ca="1" si="9"/>
        <v>0</v>
      </c>
      <c r="AN17" s="757">
        <f t="shared" ca="1" si="9"/>
        <v>0</v>
      </c>
      <c r="AO17" s="757">
        <f t="shared" ca="1" si="9"/>
        <v>0</v>
      </c>
      <c r="AP17" s="757">
        <f t="shared" ca="1" si="9"/>
        <v>0</v>
      </c>
      <c r="AQ17" s="757">
        <f t="shared" ca="1" si="9"/>
        <v>0</v>
      </c>
      <c r="AR17" s="757">
        <f t="shared" ca="1" si="9"/>
        <v>0</v>
      </c>
      <c r="AS17" s="757">
        <f t="shared" ca="1" si="9"/>
        <v>0</v>
      </c>
      <c r="AT17" s="757">
        <f t="shared" ca="1" si="9"/>
        <v>0</v>
      </c>
      <c r="AU17" s="757">
        <f t="shared" ca="1" si="9"/>
        <v>0</v>
      </c>
      <c r="AV17" s="757">
        <f t="shared" ca="1" si="9"/>
        <v>0</v>
      </c>
      <c r="AW17" s="757">
        <f t="shared" ca="1" si="9"/>
        <v>0</v>
      </c>
      <c r="AX17" s="757">
        <f t="shared" ca="1" si="9"/>
        <v>0</v>
      </c>
      <c r="AY17" s="758">
        <f t="shared" ca="1" si="33"/>
        <v>0</v>
      </c>
      <c r="AZ17" s="757">
        <f t="shared" ca="1" si="10"/>
        <v>0</v>
      </c>
      <c r="BA17" s="757">
        <f t="shared" ca="1" si="10"/>
        <v>0</v>
      </c>
      <c r="BB17" s="757"/>
      <c r="BC17" s="758">
        <f t="shared" ca="1" si="34"/>
        <v>0</v>
      </c>
      <c r="BD17" s="759">
        <f t="shared" ca="1" si="35"/>
        <v>0</v>
      </c>
      <c r="BE17" s="195"/>
      <c r="BF17" s="708"/>
      <c r="BG17" s="703" t="str">
        <f>IF($BF17="","","ĐNSX"&amp; IF(LEN($BF17)=1,"0" &amp; $BF17,$BF17) &amp; "/" &amp; ThongTinChung!$C$5)</f>
        <v/>
      </c>
      <c r="BH17" s="100" t="str">
        <f t="shared" ca="1" si="11"/>
        <v/>
      </c>
      <c r="BI17" s="194" t="str">
        <f ca="1">IF($B17="","","C" &amp; ROW(MauKoXoa!$C$108) &amp; ":C" &amp;ROW(MauKoXoa!$C$174))</f>
        <v/>
      </c>
      <c r="BJ17" s="198" t="str">
        <f t="shared" ca="1" si="36"/>
        <v/>
      </c>
      <c r="BK17" s="198" t="str">
        <f t="shared" ca="1" si="37"/>
        <v/>
      </c>
      <c r="BL17" s="650" t="str">
        <f ca="1">IF(COUNTIF($BL$10:$BL16,IFERROR(INDEX(DanhMuc!$J$154:$J$165,MATCH($BJ17,DanhMuc!$B$154:$B$165,0)),""))&lt;1,IFERROR(INDEX(DanhMuc!$J$154:$J$165,MATCH($BJ17,DanhMuc!$B$154:$B$165,0)),""),"")</f>
        <v/>
      </c>
      <c r="BM17" s="650" t="str">
        <f ca="1">IF(COUNTIF($BM$10:$BM16,IFERROR(INDEX(DanhMuc!$D$168:$D$177,MATCH($BK17,DanhMuc!$C$168:$C$177,0)),""))&lt;1,IFERROR(INDEX(DanhMuc!$D$168:$D$177,MATCH($BK17,DanhMuc!$C$168:$C$177,0)),""),"")</f>
        <v/>
      </c>
      <c r="BN17" s="650" t="str">
        <f ca="1">IFERROR(INDEX(DanhMuc!$K$154:$K$165,MATCH($BJ17,DanhMuc!$B$154:$B$165,0)),"")</f>
        <v/>
      </c>
      <c r="BO17" s="653" t="str">
        <f t="shared" ca="1" si="38"/>
        <v/>
      </c>
      <c r="BP17" s="653" t="str">
        <f t="shared" ca="1" si="39"/>
        <v/>
      </c>
      <c r="BQ17" s="757">
        <f t="shared" ca="1" si="12"/>
        <v>0</v>
      </c>
      <c r="BR17" s="757">
        <f t="shared" ca="1" si="12"/>
        <v>0</v>
      </c>
      <c r="BS17" s="757">
        <f t="shared" ca="1" si="12"/>
        <v>0</v>
      </c>
      <c r="BT17" s="757">
        <f t="shared" ca="1" si="12"/>
        <v>0</v>
      </c>
      <c r="BU17" s="757">
        <f t="shared" ca="1" si="12"/>
        <v>0</v>
      </c>
      <c r="BV17" s="757">
        <f t="shared" ca="1" si="12"/>
        <v>0</v>
      </c>
      <c r="BW17" s="198"/>
    </row>
    <row r="18" spans="1:75" s="42" customFormat="1" ht="19.899999999999999" customHeight="1">
      <c r="A18" s="37" t="str">
        <f ca="1">IF(B18="","",MAX($A$10:A17)+1)</f>
        <v/>
      </c>
      <c r="B18" s="718" t="str">
        <f t="shared" ca="1" si="0"/>
        <v/>
      </c>
      <c r="C18" s="1166">
        <f t="shared" ca="1" si="13"/>
        <v>0</v>
      </c>
      <c r="D18" s="643" t="str">
        <f t="shared" ca="1" si="14"/>
        <v/>
      </c>
      <c r="E18" s="203"/>
      <c r="F18" s="38">
        <f t="shared" ca="1" si="15"/>
        <v>0</v>
      </c>
      <c r="G18" s="38">
        <f t="shared" ca="1" si="16"/>
        <v>0</v>
      </c>
      <c r="H18" s="1136">
        <f t="shared" ca="1" si="17"/>
        <v>0</v>
      </c>
      <c r="I18" s="38">
        <f t="shared" ca="1" si="18"/>
        <v>0</v>
      </c>
      <c r="J18" s="39">
        <f t="shared" si="19"/>
        <v>0</v>
      </c>
      <c r="K18" s="1137">
        <f t="shared" ca="1" si="20"/>
        <v>0</v>
      </c>
      <c r="L18" s="40">
        <f t="shared" ca="1" si="21"/>
        <v>0</v>
      </c>
      <c r="M18" s="40">
        <f t="shared" ca="1" si="22"/>
        <v>0</v>
      </c>
      <c r="N18" s="41">
        <f t="shared" ca="1" si="23"/>
        <v>0</v>
      </c>
      <c r="O18" s="762" t="str">
        <f t="shared" ca="1" si="1"/>
        <v/>
      </c>
      <c r="P18" s="756">
        <f t="shared" ca="1" si="24"/>
        <v>0</v>
      </c>
      <c r="Q18" s="757">
        <f t="shared" ca="1" si="25"/>
        <v>0</v>
      </c>
      <c r="R18" s="905">
        <f ca="1">IF($B18="",0,IFERROR(IFERROR(INDEX(DanhMuc!$J$180:$J$189,MATCH(MID(IFERROR(INDIRECT("'" &amp; $B18 &amp; "'!" &amp; $R$82),0),2,1)&amp;MID(IFERROR(INDIRECT("'" &amp; $B18 &amp; "'!" &amp; $R$82),0),7,2),DanhMuc!$I$180:$I$189,0)),INDEX(DanhMuc!$J$180:$J$189,MATCH(MID(IFERROR(INDIRECT("'" &amp; $B18 &amp; "'!" &amp; $R$82),0),2,1),DanhMuc!$I$180:$I$189,0))),0))</f>
        <v>0</v>
      </c>
      <c r="S18" s="757">
        <f t="shared" ca="1" si="26"/>
        <v>0</v>
      </c>
      <c r="T18" s="757">
        <f t="shared" ca="1" si="4"/>
        <v>0</v>
      </c>
      <c r="U18" s="757">
        <f t="shared" ca="1" si="27"/>
        <v>0</v>
      </c>
      <c r="V18" s="757">
        <f t="shared" ca="1" si="5"/>
        <v>0</v>
      </c>
      <c r="W18" s="757">
        <f t="shared" ca="1" si="5"/>
        <v>0</v>
      </c>
      <c r="X18" s="757">
        <f t="shared" ca="1" si="6"/>
        <v>0</v>
      </c>
      <c r="Y18" s="757">
        <f t="shared" ca="1" si="6"/>
        <v>0</v>
      </c>
      <c r="Z18" s="757">
        <f t="shared" ca="1" si="7"/>
        <v>0</v>
      </c>
      <c r="AA18" s="757">
        <f t="shared" ca="1" si="7"/>
        <v>0</v>
      </c>
      <c r="AB18" s="757">
        <f t="shared" ca="1" si="7"/>
        <v>0</v>
      </c>
      <c r="AC18" s="757">
        <f t="shared" ca="1" si="7"/>
        <v>0</v>
      </c>
      <c r="AD18" s="757">
        <f t="shared" ca="1" si="7"/>
        <v>0</v>
      </c>
      <c r="AE18" s="757">
        <f t="shared" ca="1" si="28"/>
        <v>0</v>
      </c>
      <c r="AF18" s="758">
        <f t="shared" ca="1" si="29"/>
        <v>0</v>
      </c>
      <c r="AG18" s="757">
        <f t="shared" ca="1" si="8"/>
        <v>0</v>
      </c>
      <c r="AH18" s="757">
        <f t="shared" ca="1" si="8"/>
        <v>0</v>
      </c>
      <c r="AI18" s="757">
        <f t="shared" ca="1" si="30"/>
        <v>0</v>
      </c>
      <c r="AJ18" s="758">
        <f t="shared" ca="1" si="31"/>
        <v>0</v>
      </c>
      <c r="AK18" s="759">
        <f t="shared" ca="1" si="32"/>
        <v>0</v>
      </c>
      <c r="AL18" s="757">
        <f t="shared" ca="1" si="9"/>
        <v>0</v>
      </c>
      <c r="AM18" s="757">
        <f t="shared" ca="1" si="9"/>
        <v>0</v>
      </c>
      <c r="AN18" s="757">
        <f t="shared" ca="1" si="9"/>
        <v>0</v>
      </c>
      <c r="AO18" s="757">
        <f t="shared" ca="1" si="9"/>
        <v>0</v>
      </c>
      <c r="AP18" s="757">
        <f t="shared" ca="1" si="9"/>
        <v>0</v>
      </c>
      <c r="AQ18" s="757">
        <f t="shared" ca="1" si="9"/>
        <v>0</v>
      </c>
      <c r="AR18" s="757">
        <f t="shared" ca="1" si="9"/>
        <v>0</v>
      </c>
      <c r="AS18" s="757">
        <f t="shared" ca="1" si="9"/>
        <v>0</v>
      </c>
      <c r="AT18" s="757">
        <f t="shared" ca="1" si="9"/>
        <v>0</v>
      </c>
      <c r="AU18" s="757">
        <f t="shared" ca="1" si="9"/>
        <v>0</v>
      </c>
      <c r="AV18" s="757">
        <f t="shared" ca="1" si="9"/>
        <v>0</v>
      </c>
      <c r="AW18" s="757">
        <f t="shared" ca="1" si="9"/>
        <v>0</v>
      </c>
      <c r="AX18" s="757">
        <f t="shared" ca="1" si="9"/>
        <v>0</v>
      </c>
      <c r="AY18" s="758">
        <f t="shared" ca="1" si="33"/>
        <v>0</v>
      </c>
      <c r="AZ18" s="757">
        <f t="shared" ca="1" si="10"/>
        <v>0</v>
      </c>
      <c r="BA18" s="757">
        <f t="shared" ca="1" si="10"/>
        <v>0</v>
      </c>
      <c r="BB18" s="757"/>
      <c r="BC18" s="758">
        <f t="shared" ca="1" si="34"/>
        <v>0</v>
      </c>
      <c r="BD18" s="759">
        <f t="shared" ca="1" si="35"/>
        <v>0</v>
      </c>
      <c r="BE18" s="195"/>
      <c r="BF18" s="708"/>
      <c r="BG18" s="703" t="str">
        <f>IF($BF18="","","ĐNSX"&amp; IF(LEN($BF18)=1,"0" &amp; $BF18,$BF18) &amp; "/" &amp; ThongTinChung!$C$5)</f>
        <v/>
      </c>
      <c r="BH18" s="100" t="str">
        <f t="shared" ca="1" si="11"/>
        <v/>
      </c>
      <c r="BI18" s="194" t="str">
        <f ca="1">IF($B18="","","C" &amp; ROW(MauKoXoa!$C$108) &amp; ":C" &amp;ROW(MauKoXoa!$C$174))</f>
        <v/>
      </c>
      <c r="BJ18" s="198" t="str">
        <f t="shared" ca="1" si="36"/>
        <v/>
      </c>
      <c r="BK18" s="198" t="str">
        <f t="shared" ca="1" si="37"/>
        <v/>
      </c>
      <c r="BL18" s="650" t="str">
        <f ca="1">IF(COUNTIF($BL$10:$BL17,IFERROR(INDEX(DanhMuc!$J$154:$J$165,MATCH($BJ18,DanhMuc!$B$154:$B$165,0)),""))&lt;1,IFERROR(INDEX(DanhMuc!$J$154:$J$165,MATCH($BJ18,DanhMuc!$B$154:$B$165,0)),""),"")</f>
        <v/>
      </c>
      <c r="BM18" s="650" t="str">
        <f ca="1">IF(COUNTIF($BM$10:$BM17,IFERROR(INDEX(DanhMuc!$D$168:$D$177,MATCH($BK18,DanhMuc!$C$168:$C$177,0)),""))&lt;1,IFERROR(INDEX(DanhMuc!$D$168:$D$177,MATCH($BK18,DanhMuc!$C$168:$C$177,0)),""),"")</f>
        <v/>
      </c>
      <c r="BN18" s="650" t="str">
        <f ca="1">IFERROR(INDEX(DanhMuc!$K$154:$K$165,MATCH($BJ18,DanhMuc!$B$154:$B$165,0)),"")</f>
        <v/>
      </c>
      <c r="BO18" s="653" t="str">
        <f t="shared" ca="1" si="38"/>
        <v/>
      </c>
      <c r="BP18" s="653" t="str">
        <f t="shared" ca="1" si="39"/>
        <v/>
      </c>
      <c r="BQ18" s="757">
        <f t="shared" ca="1" si="12"/>
        <v>0</v>
      </c>
      <c r="BR18" s="757">
        <f t="shared" ca="1" si="12"/>
        <v>0</v>
      </c>
      <c r="BS18" s="757">
        <f t="shared" ca="1" si="12"/>
        <v>0</v>
      </c>
      <c r="BT18" s="757">
        <f t="shared" ca="1" si="12"/>
        <v>0</v>
      </c>
      <c r="BU18" s="757">
        <f t="shared" ca="1" si="12"/>
        <v>0</v>
      </c>
      <c r="BV18" s="757">
        <f t="shared" ca="1" si="12"/>
        <v>0</v>
      </c>
      <c r="BW18" s="198"/>
    </row>
    <row r="19" spans="1:75" s="42" customFormat="1" ht="19.899999999999999" customHeight="1">
      <c r="A19" s="37" t="str">
        <f ca="1">IF(B19="","",MAX($A$10:A18)+1)</f>
        <v/>
      </c>
      <c r="B19" s="718" t="str">
        <f t="shared" ca="1" si="0"/>
        <v/>
      </c>
      <c r="C19" s="1166">
        <f t="shared" ca="1" si="13"/>
        <v>0</v>
      </c>
      <c r="D19" s="643" t="str">
        <f t="shared" ca="1" si="14"/>
        <v/>
      </c>
      <c r="E19" s="203"/>
      <c r="F19" s="38">
        <f t="shared" ca="1" si="15"/>
        <v>0</v>
      </c>
      <c r="G19" s="38">
        <f t="shared" ca="1" si="16"/>
        <v>0</v>
      </c>
      <c r="H19" s="1136">
        <f t="shared" ca="1" si="17"/>
        <v>0</v>
      </c>
      <c r="I19" s="38">
        <f t="shared" ca="1" si="18"/>
        <v>0</v>
      </c>
      <c r="J19" s="39">
        <f t="shared" si="19"/>
        <v>0</v>
      </c>
      <c r="K19" s="1137">
        <f t="shared" ca="1" si="20"/>
        <v>0</v>
      </c>
      <c r="L19" s="40">
        <f t="shared" ca="1" si="21"/>
        <v>0</v>
      </c>
      <c r="M19" s="40">
        <f t="shared" ca="1" si="22"/>
        <v>0</v>
      </c>
      <c r="N19" s="41">
        <f t="shared" ca="1" si="23"/>
        <v>0</v>
      </c>
      <c r="O19" s="762" t="str">
        <f t="shared" ca="1" si="1"/>
        <v/>
      </c>
      <c r="P19" s="756">
        <f t="shared" ca="1" si="24"/>
        <v>0</v>
      </c>
      <c r="Q19" s="757">
        <f t="shared" ca="1" si="25"/>
        <v>0</v>
      </c>
      <c r="R19" s="905">
        <f ca="1">IF($B19="",0,IFERROR(IFERROR(INDEX(DanhMuc!$J$180:$J$189,MATCH(MID(IFERROR(INDIRECT("'" &amp; $B19 &amp; "'!" &amp; $R$82),0),2,1)&amp;MID(IFERROR(INDIRECT("'" &amp; $B19 &amp; "'!" &amp; $R$82),0),7,2),DanhMuc!$I$180:$I$189,0)),INDEX(DanhMuc!$J$180:$J$189,MATCH(MID(IFERROR(INDIRECT("'" &amp; $B19 &amp; "'!" &amp; $R$82),0),2,1),DanhMuc!$I$180:$I$189,0))),0))</f>
        <v>0</v>
      </c>
      <c r="S19" s="757">
        <f t="shared" ca="1" si="26"/>
        <v>0</v>
      </c>
      <c r="T19" s="757">
        <f t="shared" ca="1" si="4"/>
        <v>0</v>
      </c>
      <c r="U19" s="757">
        <f t="shared" ca="1" si="27"/>
        <v>0</v>
      </c>
      <c r="V19" s="757">
        <f t="shared" ca="1" si="5"/>
        <v>0</v>
      </c>
      <c r="W19" s="757">
        <f t="shared" ca="1" si="5"/>
        <v>0</v>
      </c>
      <c r="X19" s="757">
        <f t="shared" ca="1" si="6"/>
        <v>0</v>
      </c>
      <c r="Y19" s="757">
        <f t="shared" ca="1" si="6"/>
        <v>0</v>
      </c>
      <c r="Z19" s="757">
        <f t="shared" ca="1" si="7"/>
        <v>0</v>
      </c>
      <c r="AA19" s="757">
        <f t="shared" ca="1" si="7"/>
        <v>0</v>
      </c>
      <c r="AB19" s="757">
        <f t="shared" ca="1" si="7"/>
        <v>0</v>
      </c>
      <c r="AC19" s="757">
        <f t="shared" ca="1" si="7"/>
        <v>0</v>
      </c>
      <c r="AD19" s="757">
        <f t="shared" ca="1" si="7"/>
        <v>0</v>
      </c>
      <c r="AE19" s="757">
        <f t="shared" ca="1" si="28"/>
        <v>0</v>
      </c>
      <c r="AF19" s="758">
        <f t="shared" ca="1" si="29"/>
        <v>0</v>
      </c>
      <c r="AG19" s="757">
        <f t="shared" ca="1" si="8"/>
        <v>0</v>
      </c>
      <c r="AH19" s="757">
        <f t="shared" ca="1" si="8"/>
        <v>0</v>
      </c>
      <c r="AI19" s="757">
        <f t="shared" ca="1" si="30"/>
        <v>0</v>
      </c>
      <c r="AJ19" s="758">
        <f t="shared" ca="1" si="31"/>
        <v>0</v>
      </c>
      <c r="AK19" s="759">
        <f t="shared" ca="1" si="32"/>
        <v>0</v>
      </c>
      <c r="AL19" s="757">
        <f t="shared" ca="1" si="9"/>
        <v>0</v>
      </c>
      <c r="AM19" s="757">
        <f t="shared" ca="1" si="9"/>
        <v>0</v>
      </c>
      <c r="AN19" s="757">
        <f t="shared" ca="1" si="9"/>
        <v>0</v>
      </c>
      <c r="AO19" s="757">
        <f t="shared" ca="1" si="9"/>
        <v>0</v>
      </c>
      <c r="AP19" s="757">
        <f t="shared" ca="1" si="9"/>
        <v>0</v>
      </c>
      <c r="AQ19" s="757">
        <f t="shared" ca="1" si="9"/>
        <v>0</v>
      </c>
      <c r="AR19" s="757">
        <f t="shared" ca="1" si="9"/>
        <v>0</v>
      </c>
      <c r="AS19" s="757">
        <f t="shared" ca="1" si="9"/>
        <v>0</v>
      </c>
      <c r="AT19" s="757">
        <f t="shared" ca="1" si="9"/>
        <v>0</v>
      </c>
      <c r="AU19" s="757">
        <f t="shared" ca="1" si="9"/>
        <v>0</v>
      </c>
      <c r="AV19" s="757">
        <f t="shared" ca="1" si="9"/>
        <v>0</v>
      </c>
      <c r="AW19" s="757">
        <f t="shared" ca="1" si="9"/>
        <v>0</v>
      </c>
      <c r="AX19" s="757">
        <f t="shared" ca="1" si="9"/>
        <v>0</v>
      </c>
      <c r="AY19" s="758">
        <f t="shared" ca="1" si="33"/>
        <v>0</v>
      </c>
      <c r="AZ19" s="757">
        <f t="shared" ca="1" si="10"/>
        <v>0</v>
      </c>
      <c r="BA19" s="757">
        <f t="shared" ca="1" si="10"/>
        <v>0</v>
      </c>
      <c r="BB19" s="757"/>
      <c r="BC19" s="758">
        <f t="shared" ca="1" si="34"/>
        <v>0</v>
      </c>
      <c r="BD19" s="759">
        <f t="shared" ca="1" si="35"/>
        <v>0</v>
      </c>
      <c r="BE19" s="195"/>
      <c r="BF19" s="708"/>
      <c r="BG19" s="703" t="str">
        <f>IF($BF19="","","ĐNSX"&amp; IF(LEN($BF19)=1,"0" &amp; $BF19,$BF19) &amp; "/" &amp; ThongTinChung!$C$5)</f>
        <v/>
      </c>
      <c r="BH19" s="100" t="str">
        <f t="shared" ca="1" si="11"/>
        <v/>
      </c>
      <c r="BI19" s="194" t="str">
        <f ca="1">IF($B19="","","C" &amp; ROW(MauKoXoa!$C$108) &amp; ":C" &amp;ROW(MauKoXoa!$C$174))</f>
        <v/>
      </c>
      <c r="BJ19" s="198" t="str">
        <f t="shared" ca="1" si="36"/>
        <v/>
      </c>
      <c r="BK19" s="198" t="str">
        <f t="shared" ca="1" si="37"/>
        <v/>
      </c>
      <c r="BL19" s="650" t="str">
        <f ca="1">IF(COUNTIF($BL$10:$BL18,IFERROR(INDEX(DanhMuc!$J$154:$J$165,MATCH($BJ19,DanhMuc!$B$154:$B$165,0)),""))&lt;1,IFERROR(INDEX(DanhMuc!$J$154:$J$165,MATCH($BJ19,DanhMuc!$B$154:$B$165,0)),""),"")</f>
        <v/>
      </c>
      <c r="BM19" s="650" t="str">
        <f ca="1">IF(COUNTIF($BM$10:$BM18,IFERROR(INDEX(DanhMuc!$D$168:$D$177,MATCH($BK19,DanhMuc!$C$168:$C$177,0)),""))&lt;1,IFERROR(INDEX(DanhMuc!$D$168:$D$177,MATCH($BK19,DanhMuc!$C$168:$C$177,0)),""),"")</f>
        <v/>
      </c>
      <c r="BN19" s="650" t="str">
        <f ca="1">IFERROR(INDEX(DanhMuc!$K$154:$K$165,MATCH($BJ19,DanhMuc!$B$154:$B$165,0)),"")</f>
        <v/>
      </c>
      <c r="BO19" s="653" t="str">
        <f t="shared" ca="1" si="38"/>
        <v/>
      </c>
      <c r="BP19" s="653" t="str">
        <f t="shared" ca="1" si="39"/>
        <v/>
      </c>
      <c r="BQ19" s="757">
        <f t="shared" ca="1" si="12"/>
        <v>0</v>
      </c>
      <c r="BR19" s="757">
        <f t="shared" ca="1" si="12"/>
        <v>0</v>
      </c>
      <c r="BS19" s="757">
        <f t="shared" ca="1" si="12"/>
        <v>0</v>
      </c>
      <c r="BT19" s="757">
        <f t="shared" ca="1" si="12"/>
        <v>0</v>
      </c>
      <c r="BU19" s="757">
        <f t="shared" ca="1" si="12"/>
        <v>0</v>
      </c>
      <c r="BV19" s="757">
        <f t="shared" ca="1" si="12"/>
        <v>0</v>
      </c>
      <c r="BW19" s="198"/>
    </row>
    <row r="20" spans="1:75" s="42" customFormat="1" ht="19.899999999999999" customHeight="1">
      <c r="A20" s="37" t="str">
        <f ca="1">IF(B20="","",MAX($A$10:A19)+1)</f>
        <v/>
      </c>
      <c r="B20" s="718" t="str">
        <f t="shared" ca="1" si="0"/>
        <v/>
      </c>
      <c r="C20" s="1166">
        <f t="shared" ca="1" si="13"/>
        <v>0</v>
      </c>
      <c r="D20" s="643" t="str">
        <f t="shared" ca="1" si="14"/>
        <v/>
      </c>
      <c r="E20" s="203"/>
      <c r="F20" s="38">
        <f t="shared" ca="1" si="15"/>
        <v>0</v>
      </c>
      <c r="G20" s="38">
        <f t="shared" ca="1" si="16"/>
        <v>0</v>
      </c>
      <c r="H20" s="1136">
        <f t="shared" ca="1" si="17"/>
        <v>0</v>
      </c>
      <c r="I20" s="38">
        <f t="shared" ca="1" si="18"/>
        <v>0</v>
      </c>
      <c r="J20" s="39">
        <f t="shared" si="19"/>
        <v>0</v>
      </c>
      <c r="K20" s="1137">
        <f t="shared" ca="1" si="20"/>
        <v>0</v>
      </c>
      <c r="L20" s="40">
        <f t="shared" ca="1" si="21"/>
        <v>0</v>
      </c>
      <c r="M20" s="40">
        <f t="shared" ca="1" si="22"/>
        <v>0</v>
      </c>
      <c r="N20" s="41">
        <f t="shared" ca="1" si="23"/>
        <v>0</v>
      </c>
      <c r="O20" s="762" t="str">
        <f t="shared" ca="1" si="1"/>
        <v/>
      </c>
      <c r="P20" s="756">
        <f t="shared" ca="1" si="24"/>
        <v>0</v>
      </c>
      <c r="Q20" s="757">
        <f t="shared" ca="1" si="25"/>
        <v>0</v>
      </c>
      <c r="R20" s="905">
        <f ca="1">IF($B20="",0,IFERROR(IFERROR(INDEX(DanhMuc!$J$180:$J$189,MATCH(MID(IFERROR(INDIRECT("'" &amp; $B20 &amp; "'!" &amp; $R$82),0),2,1)&amp;MID(IFERROR(INDIRECT("'" &amp; $B20 &amp; "'!" &amp; $R$82),0),7,2),DanhMuc!$I$180:$I$189,0)),INDEX(DanhMuc!$J$180:$J$189,MATCH(MID(IFERROR(INDIRECT("'" &amp; $B20 &amp; "'!" &amp; $R$82),0),2,1),DanhMuc!$I$180:$I$189,0))),0))</f>
        <v>0</v>
      </c>
      <c r="S20" s="757">
        <f t="shared" ca="1" si="26"/>
        <v>0</v>
      </c>
      <c r="T20" s="757">
        <f t="shared" ca="1" si="4"/>
        <v>0</v>
      </c>
      <c r="U20" s="757">
        <f t="shared" ca="1" si="27"/>
        <v>0</v>
      </c>
      <c r="V20" s="757">
        <f t="shared" ca="1" si="5"/>
        <v>0</v>
      </c>
      <c r="W20" s="757">
        <f t="shared" ca="1" si="5"/>
        <v>0</v>
      </c>
      <c r="X20" s="757">
        <f t="shared" ca="1" si="6"/>
        <v>0</v>
      </c>
      <c r="Y20" s="757">
        <f t="shared" ca="1" si="6"/>
        <v>0</v>
      </c>
      <c r="Z20" s="757">
        <f t="shared" ca="1" si="7"/>
        <v>0</v>
      </c>
      <c r="AA20" s="757">
        <f t="shared" ca="1" si="7"/>
        <v>0</v>
      </c>
      <c r="AB20" s="757">
        <f t="shared" ca="1" si="7"/>
        <v>0</v>
      </c>
      <c r="AC20" s="757">
        <f t="shared" ca="1" si="7"/>
        <v>0</v>
      </c>
      <c r="AD20" s="757">
        <f t="shared" ca="1" si="7"/>
        <v>0</v>
      </c>
      <c r="AE20" s="757">
        <f t="shared" ca="1" si="28"/>
        <v>0</v>
      </c>
      <c r="AF20" s="758">
        <f t="shared" ca="1" si="29"/>
        <v>0</v>
      </c>
      <c r="AG20" s="757">
        <f t="shared" ca="1" si="8"/>
        <v>0</v>
      </c>
      <c r="AH20" s="757">
        <f t="shared" ca="1" si="8"/>
        <v>0</v>
      </c>
      <c r="AI20" s="757">
        <f t="shared" ca="1" si="30"/>
        <v>0</v>
      </c>
      <c r="AJ20" s="758">
        <f t="shared" ca="1" si="31"/>
        <v>0</v>
      </c>
      <c r="AK20" s="759">
        <f t="shared" ca="1" si="32"/>
        <v>0</v>
      </c>
      <c r="AL20" s="757">
        <f t="shared" ca="1" si="9"/>
        <v>0</v>
      </c>
      <c r="AM20" s="757">
        <f t="shared" ca="1" si="9"/>
        <v>0</v>
      </c>
      <c r="AN20" s="757">
        <f t="shared" ca="1" si="9"/>
        <v>0</v>
      </c>
      <c r="AO20" s="757">
        <f t="shared" ca="1" si="9"/>
        <v>0</v>
      </c>
      <c r="AP20" s="757">
        <f t="shared" ca="1" si="9"/>
        <v>0</v>
      </c>
      <c r="AQ20" s="757">
        <f t="shared" ca="1" si="9"/>
        <v>0</v>
      </c>
      <c r="AR20" s="757">
        <f t="shared" ca="1" si="9"/>
        <v>0</v>
      </c>
      <c r="AS20" s="757">
        <f t="shared" ca="1" si="9"/>
        <v>0</v>
      </c>
      <c r="AT20" s="757">
        <f t="shared" ca="1" si="9"/>
        <v>0</v>
      </c>
      <c r="AU20" s="757">
        <f t="shared" ca="1" si="9"/>
        <v>0</v>
      </c>
      <c r="AV20" s="757">
        <f t="shared" ca="1" si="9"/>
        <v>0</v>
      </c>
      <c r="AW20" s="757">
        <f t="shared" ca="1" si="9"/>
        <v>0</v>
      </c>
      <c r="AX20" s="757">
        <f t="shared" ca="1" si="9"/>
        <v>0</v>
      </c>
      <c r="AY20" s="758">
        <f t="shared" ca="1" si="33"/>
        <v>0</v>
      </c>
      <c r="AZ20" s="757">
        <f t="shared" ca="1" si="10"/>
        <v>0</v>
      </c>
      <c r="BA20" s="757">
        <f t="shared" ca="1" si="10"/>
        <v>0</v>
      </c>
      <c r="BB20" s="757"/>
      <c r="BC20" s="758">
        <f t="shared" ca="1" si="34"/>
        <v>0</v>
      </c>
      <c r="BD20" s="759">
        <f t="shared" ca="1" si="35"/>
        <v>0</v>
      </c>
      <c r="BE20" s="195"/>
      <c r="BF20" s="708"/>
      <c r="BG20" s="703" t="str">
        <f>IF($BF20="","","ĐNSX"&amp; IF(LEN($BF20)=1,"0" &amp; $BF20,$BF20) &amp; "/" &amp; ThongTinChung!$C$5)</f>
        <v/>
      </c>
      <c r="BH20" s="100" t="str">
        <f t="shared" ca="1" si="11"/>
        <v/>
      </c>
      <c r="BI20" s="194" t="str">
        <f ca="1">IF($B20="","","C" &amp; ROW(MauKoXoa!$C$108) &amp; ":C" &amp;ROW(MauKoXoa!$C$174))</f>
        <v/>
      </c>
      <c r="BJ20" s="198" t="str">
        <f t="shared" ca="1" si="36"/>
        <v/>
      </c>
      <c r="BK20" s="198" t="str">
        <f t="shared" ca="1" si="37"/>
        <v/>
      </c>
      <c r="BL20" s="650" t="str">
        <f ca="1">IF(COUNTIF($BL$10:$BL19,IFERROR(INDEX(DanhMuc!$J$154:$J$165,MATCH($BJ20,DanhMuc!$B$154:$B$165,0)),""))&lt;1,IFERROR(INDEX(DanhMuc!$J$154:$J$165,MATCH($BJ20,DanhMuc!$B$154:$B$165,0)),""),"")</f>
        <v/>
      </c>
      <c r="BM20" s="650" t="str">
        <f ca="1">IF(COUNTIF($BM$10:$BM19,IFERROR(INDEX(DanhMuc!$D$168:$D$177,MATCH($BK20,DanhMuc!$C$168:$C$177,0)),""))&lt;1,IFERROR(INDEX(DanhMuc!$D$168:$D$177,MATCH($BK20,DanhMuc!$C$168:$C$177,0)),""),"")</f>
        <v/>
      </c>
      <c r="BN20" s="650" t="str">
        <f ca="1">IFERROR(INDEX(DanhMuc!$K$154:$K$165,MATCH($BJ20,DanhMuc!$B$154:$B$165,0)),"")</f>
        <v/>
      </c>
      <c r="BO20" s="653" t="str">
        <f t="shared" ca="1" si="38"/>
        <v/>
      </c>
      <c r="BP20" s="653" t="str">
        <f t="shared" ca="1" si="39"/>
        <v/>
      </c>
      <c r="BQ20" s="757">
        <f t="shared" ca="1" si="12"/>
        <v>0</v>
      </c>
      <c r="BR20" s="757">
        <f t="shared" ca="1" si="12"/>
        <v>0</v>
      </c>
      <c r="BS20" s="757">
        <f t="shared" ca="1" si="12"/>
        <v>0</v>
      </c>
      <c r="BT20" s="757">
        <f t="shared" ca="1" si="12"/>
        <v>0</v>
      </c>
      <c r="BU20" s="757">
        <f t="shared" ca="1" si="12"/>
        <v>0</v>
      </c>
      <c r="BV20" s="757">
        <f t="shared" ca="1" si="12"/>
        <v>0</v>
      </c>
      <c r="BW20" s="198"/>
    </row>
    <row r="21" spans="1:75" s="42" customFormat="1" ht="19.899999999999999" customHeight="1">
      <c r="A21" s="37" t="str">
        <f ca="1">IF(B21="","",MAX($A$10:A20)+1)</f>
        <v/>
      </c>
      <c r="B21" s="718" t="str">
        <f t="shared" ca="1" si="0"/>
        <v/>
      </c>
      <c r="C21" s="1166">
        <f t="shared" ca="1" si="13"/>
        <v>0</v>
      </c>
      <c r="D21" s="643" t="str">
        <f t="shared" ca="1" si="14"/>
        <v/>
      </c>
      <c r="E21" s="203"/>
      <c r="F21" s="38">
        <f t="shared" ca="1" si="15"/>
        <v>0</v>
      </c>
      <c r="G21" s="38">
        <f t="shared" ca="1" si="16"/>
        <v>0</v>
      </c>
      <c r="H21" s="1136">
        <f t="shared" ca="1" si="17"/>
        <v>0</v>
      </c>
      <c r="I21" s="38">
        <f t="shared" ca="1" si="18"/>
        <v>0</v>
      </c>
      <c r="J21" s="39">
        <f t="shared" si="19"/>
        <v>0</v>
      </c>
      <c r="K21" s="1137">
        <f t="shared" ca="1" si="20"/>
        <v>0</v>
      </c>
      <c r="L21" s="40">
        <f t="shared" ca="1" si="21"/>
        <v>0</v>
      </c>
      <c r="M21" s="40">
        <f t="shared" ca="1" si="22"/>
        <v>0</v>
      </c>
      <c r="N21" s="41">
        <f t="shared" ca="1" si="23"/>
        <v>0</v>
      </c>
      <c r="O21" s="762" t="str">
        <f t="shared" ca="1" si="1"/>
        <v/>
      </c>
      <c r="P21" s="756">
        <f t="shared" ca="1" si="24"/>
        <v>0</v>
      </c>
      <c r="Q21" s="757">
        <f t="shared" ca="1" si="25"/>
        <v>0</v>
      </c>
      <c r="R21" s="905">
        <f ca="1">IF($B21="",0,IFERROR(IFERROR(INDEX(DanhMuc!$J$180:$J$189,MATCH(MID(IFERROR(INDIRECT("'" &amp; $B21 &amp; "'!" &amp; $R$82),0),2,1)&amp;MID(IFERROR(INDIRECT("'" &amp; $B21 &amp; "'!" &amp; $R$82),0),7,2),DanhMuc!$I$180:$I$189,0)),INDEX(DanhMuc!$J$180:$J$189,MATCH(MID(IFERROR(INDIRECT("'" &amp; $B21 &amp; "'!" &amp; $R$82),0),2,1),DanhMuc!$I$180:$I$189,0))),0))</f>
        <v>0</v>
      </c>
      <c r="S21" s="757">
        <f t="shared" ca="1" si="26"/>
        <v>0</v>
      </c>
      <c r="T21" s="757">
        <f t="shared" ca="1" si="4"/>
        <v>0</v>
      </c>
      <c r="U21" s="757">
        <f t="shared" ca="1" si="27"/>
        <v>0</v>
      </c>
      <c r="V21" s="757">
        <f t="shared" ca="1" si="5"/>
        <v>0</v>
      </c>
      <c r="W21" s="757">
        <f t="shared" ca="1" si="5"/>
        <v>0</v>
      </c>
      <c r="X21" s="757">
        <f t="shared" ca="1" si="6"/>
        <v>0</v>
      </c>
      <c r="Y21" s="757">
        <f t="shared" ca="1" si="6"/>
        <v>0</v>
      </c>
      <c r="Z21" s="757">
        <f t="shared" ref="Z21:AD30" ca="1" si="40">IFERROR(INDIRECT("'" &amp; $B21 &amp; "'!" &amp; Z$82)/IF($E21="md",$J21,IF($E21="m2",$K21,$I21)) * (1+Z$10 ),0)</f>
        <v>0</v>
      </c>
      <c r="AA21" s="757">
        <f t="shared" ca="1" si="40"/>
        <v>0</v>
      </c>
      <c r="AB21" s="757">
        <f t="shared" ca="1" si="40"/>
        <v>0</v>
      </c>
      <c r="AC21" s="757">
        <f t="shared" ca="1" si="40"/>
        <v>0</v>
      </c>
      <c r="AD21" s="757">
        <f t="shared" ca="1" si="40"/>
        <v>0</v>
      </c>
      <c r="AE21" s="757">
        <f t="shared" ca="1" si="28"/>
        <v>0</v>
      </c>
      <c r="AF21" s="758">
        <f t="shared" ca="1" si="29"/>
        <v>0</v>
      </c>
      <c r="AG21" s="757">
        <f t="shared" ca="1" si="8"/>
        <v>0</v>
      </c>
      <c r="AH21" s="757">
        <f t="shared" ca="1" si="8"/>
        <v>0</v>
      </c>
      <c r="AI21" s="757">
        <f t="shared" ca="1" si="30"/>
        <v>0</v>
      </c>
      <c r="AJ21" s="758">
        <f t="shared" ca="1" si="31"/>
        <v>0</v>
      </c>
      <c r="AK21" s="759">
        <f t="shared" ca="1" si="32"/>
        <v>0</v>
      </c>
      <c r="AL21" s="757">
        <f t="shared" ref="AL21:AX30" ca="1" si="41">IFERROR(INDIRECT("'" &amp; $B21 &amp; "'!" &amp; AL$82)/IF($E21="md",$J21,IF($E21="m2",$K21,$I21)),0)</f>
        <v>0</v>
      </c>
      <c r="AM21" s="757">
        <f t="shared" ca="1" si="41"/>
        <v>0</v>
      </c>
      <c r="AN21" s="757">
        <f t="shared" ca="1" si="41"/>
        <v>0</v>
      </c>
      <c r="AO21" s="757">
        <f t="shared" ca="1" si="41"/>
        <v>0</v>
      </c>
      <c r="AP21" s="757">
        <f t="shared" ca="1" si="41"/>
        <v>0</v>
      </c>
      <c r="AQ21" s="757">
        <f t="shared" ca="1" si="41"/>
        <v>0</v>
      </c>
      <c r="AR21" s="757">
        <f t="shared" ca="1" si="41"/>
        <v>0</v>
      </c>
      <c r="AS21" s="757">
        <f t="shared" ca="1" si="41"/>
        <v>0</v>
      </c>
      <c r="AT21" s="757">
        <f t="shared" ca="1" si="41"/>
        <v>0</v>
      </c>
      <c r="AU21" s="757">
        <f t="shared" ca="1" si="41"/>
        <v>0</v>
      </c>
      <c r="AV21" s="757">
        <f t="shared" ca="1" si="41"/>
        <v>0</v>
      </c>
      <c r="AW21" s="757">
        <f t="shared" ca="1" si="41"/>
        <v>0</v>
      </c>
      <c r="AX21" s="757">
        <f t="shared" ca="1" si="41"/>
        <v>0</v>
      </c>
      <c r="AY21" s="758">
        <f t="shared" ca="1" si="33"/>
        <v>0</v>
      </c>
      <c r="AZ21" s="757">
        <f t="shared" ca="1" si="10"/>
        <v>0</v>
      </c>
      <c r="BA21" s="757">
        <f t="shared" ca="1" si="10"/>
        <v>0</v>
      </c>
      <c r="BB21" s="757"/>
      <c r="BC21" s="758">
        <f t="shared" ca="1" si="34"/>
        <v>0</v>
      </c>
      <c r="BD21" s="759">
        <f t="shared" ca="1" si="35"/>
        <v>0</v>
      </c>
      <c r="BE21" s="195"/>
      <c r="BF21" s="708"/>
      <c r="BG21" s="703" t="str">
        <f>IF($BF21="","","ĐNSX"&amp; IF(LEN($BF21)=1,"0" &amp; $BF21,$BF21) &amp; "/" &amp; ThongTinChung!$C$5)</f>
        <v/>
      </c>
      <c r="BH21" s="100" t="str">
        <f t="shared" ca="1" si="11"/>
        <v/>
      </c>
      <c r="BI21" s="194" t="str">
        <f ca="1">IF($B21="","","C" &amp; ROW(MauKoXoa!$C$108) &amp; ":C" &amp;ROW(MauKoXoa!$C$174))</f>
        <v/>
      </c>
      <c r="BJ21" s="198" t="str">
        <f t="shared" ca="1" si="36"/>
        <v/>
      </c>
      <c r="BK21" s="198" t="str">
        <f t="shared" ca="1" si="37"/>
        <v/>
      </c>
      <c r="BL21" s="650" t="str">
        <f ca="1">IF(COUNTIF($BL$10:$BL20,IFERROR(INDEX(DanhMuc!$J$154:$J$165,MATCH($BJ21,DanhMuc!$B$154:$B$165,0)),""))&lt;1,IFERROR(INDEX(DanhMuc!$J$154:$J$165,MATCH($BJ21,DanhMuc!$B$154:$B$165,0)),""),"")</f>
        <v/>
      </c>
      <c r="BM21" s="650" t="str">
        <f ca="1">IF(COUNTIF($BM$10:$BM20,IFERROR(INDEX(DanhMuc!$D$168:$D$177,MATCH($BK21,DanhMuc!$C$168:$C$177,0)),""))&lt;1,IFERROR(INDEX(DanhMuc!$D$168:$D$177,MATCH($BK21,DanhMuc!$C$168:$C$177,0)),""),"")</f>
        <v/>
      </c>
      <c r="BN21" s="650" t="str">
        <f ca="1">IFERROR(INDEX(DanhMuc!$K$154:$K$165,MATCH($BJ21,DanhMuc!$B$154:$B$165,0)),"")</f>
        <v/>
      </c>
      <c r="BO21" s="653" t="str">
        <f t="shared" ca="1" si="38"/>
        <v/>
      </c>
      <c r="BP21" s="653" t="str">
        <f t="shared" ca="1" si="39"/>
        <v/>
      </c>
      <c r="BQ21" s="757">
        <f t="shared" ref="BQ21:BV30" ca="1" si="42">IFERROR(INDIRECT("'" &amp; $B21 &amp; "'!" &amp; BQ$82),0)</f>
        <v>0</v>
      </c>
      <c r="BR21" s="757">
        <f t="shared" ca="1" si="42"/>
        <v>0</v>
      </c>
      <c r="BS21" s="757">
        <f t="shared" ca="1" si="42"/>
        <v>0</v>
      </c>
      <c r="BT21" s="757">
        <f t="shared" ca="1" si="42"/>
        <v>0</v>
      </c>
      <c r="BU21" s="757">
        <f t="shared" ca="1" si="42"/>
        <v>0</v>
      </c>
      <c r="BV21" s="757">
        <f t="shared" ca="1" si="42"/>
        <v>0</v>
      </c>
      <c r="BW21" s="198"/>
    </row>
    <row r="22" spans="1:75" s="42" customFormat="1" ht="19.899999999999999" customHeight="1">
      <c r="A22" s="37" t="str">
        <f ca="1">IF(B22="","",MAX($A$10:A21)+1)</f>
        <v/>
      </c>
      <c r="B22" s="718" t="str">
        <f t="shared" ca="1" si="0"/>
        <v/>
      </c>
      <c r="C22" s="1166">
        <f t="shared" ca="1" si="13"/>
        <v>0</v>
      </c>
      <c r="D22" s="643" t="str">
        <f t="shared" ca="1" si="14"/>
        <v/>
      </c>
      <c r="E22" s="203"/>
      <c r="F22" s="38">
        <f t="shared" ca="1" si="15"/>
        <v>0</v>
      </c>
      <c r="G22" s="38">
        <f t="shared" ca="1" si="16"/>
        <v>0</v>
      </c>
      <c r="H22" s="1136">
        <f t="shared" ca="1" si="17"/>
        <v>0</v>
      </c>
      <c r="I22" s="38">
        <f t="shared" ca="1" si="18"/>
        <v>0</v>
      </c>
      <c r="J22" s="39">
        <f t="shared" si="19"/>
        <v>0</v>
      </c>
      <c r="K22" s="1137">
        <f t="shared" ca="1" si="20"/>
        <v>0</v>
      </c>
      <c r="L22" s="40">
        <f t="shared" ca="1" si="21"/>
        <v>0</v>
      </c>
      <c r="M22" s="40">
        <f t="shared" ca="1" si="22"/>
        <v>0</v>
      </c>
      <c r="N22" s="41">
        <f t="shared" ca="1" si="23"/>
        <v>0</v>
      </c>
      <c r="O22" s="762" t="str">
        <f t="shared" ca="1" si="1"/>
        <v/>
      </c>
      <c r="P22" s="756">
        <f t="shared" ca="1" si="24"/>
        <v>0</v>
      </c>
      <c r="Q22" s="757">
        <f t="shared" ca="1" si="25"/>
        <v>0</v>
      </c>
      <c r="R22" s="905">
        <f ca="1">IF($B22="",0,IFERROR(IFERROR(INDEX(DanhMuc!$J$180:$J$189,MATCH(MID(IFERROR(INDIRECT("'" &amp; $B22 &amp; "'!" &amp; $R$82),0),2,1)&amp;MID(IFERROR(INDIRECT("'" &amp; $B22 &amp; "'!" &amp; $R$82),0),7,2),DanhMuc!$I$180:$I$189,0)),INDEX(DanhMuc!$J$180:$J$189,MATCH(MID(IFERROR(INDIRECT("'" &amp; $B22 &amp; "'!" &amp; $R$82),0),2,1),DanhMuc!$I$180:$I$189,0))),0))</f>
        <v>0</v>
      </c>
      <c r="S22" s="757">
        <f t="shared" ca="1" si="26"/>
        <v>0</v>
      </c>
      <c r="T22" s="757">
        <f t="shared" ca="1" si="4"/>
        <v>0</v>
      </c>
      <c r="U22" s="757">
        <f t="shared" ca="1" si="27"/>
        <v>0</v>
      </c>
      <c r="V22" s="757">
        <f t="shared" ca="1" si="5"/>
        <v>0</v>
      </c>
      <c r="W22" s="757">
        <f t="shared" ca="1" si="5"/>
        <v>0</v>
      </c>
      <c r="X22" s="757">
        <f t="shared" ca="1" si="6"/>
        <v>0</v>
      </c>
      <c r="Y22" s="757">
        <f t="shared" ca="1" si="6"/>
        <v>0</v>
      </c>
      <c r="Z22" s="757">
        <f t="shared" ca="1" si="40"/>
        <v>0</v>
      </c>
      <c r="AA22" s="757">
        <f t="shared" ca="1" si="40"/>
        <v>0</v>
      </c>
      <c r="AB22" s="757">
        <f t="shared" ca="1" si="40"/>
        <v>0</v>
      </c>
      <c r="AC22" s="757">
        <f t="shared" ca="1" si="40"/>
        <v>0</v>
      </c>
      <c r="AD22" s="757">
        <f t="shared" ca="1" si="40"/>
        <v>0</v>
      </c>
      <c r="AE22" s="757">
        <f t="shared" ca="1" si="28"/>
        <v>0</v>
      </c>
      <c r="AF22" s="758">
        <f t="shared" ca="1" si="29"/>
        <v>0</v>
      </c>
      <c r="AG22" s="757">
        <f t="shared" ca="1" si="8"/>
        <v>0</v>
      </c>
      <c r="AH22" s="757">
        <f t="shared" ca="1" si="8"/>
        <v>0</v>
      </c>
      <c r="AI22" s="757">
        <f t="shared" ca="1" si="30"/>
        <v>0</v>
      </c>
      <c r="AJ22" s="758">
        <f t="shared" ca="1" si="31"/>
        <v>0</v>
      </c>
      <c r="AK22" s="759">
        <f t="shared" ca="1" si="32"/>
        <v>0</v>
      </c>
      <c r="AL22" s="757">
        <f t="shared" ca="1" si="41"/>
        <v>0</v>
      </c>
      <c r="AM22" s="757">
        <f t="shared" ca="1" si="41"/>
        <v>0</v>
      </c>
      <c r="AN22" s="757">
        <f t="shared" ca="1" si="41"/>
        <v>0</v>
      </c>
      <c r="AO22" s="757">
        <f t="shared" ca="1" si="41"/>
        <v>0</v>
      </c>
      <c r="AP22" s="757">
        <f t="shared" ca="1" si="41"/>
        <v>0</v>
      </c>
      <c r="AQ22" s="757">
        <f t="shared" ca="1" si="41"/>
        <v>0</v>
      </c>
      <c r="AR22" s="757">
        <f t="shared" ca="1" si="41"/>
        <v>0</v>
      </c>
      <c r="AS22" s="757">
        <f t="shared" ca="1" si="41"/>
        <v>0</v>
      </c>
      <c r="AT22" s="757">
        <f t="shared" ca="1" si="41"/>
        <v>0</v>
      </c>
      <c r="AU22" s="757">
        <f t="shared" ca="1" si="41"/>
        <v>0</v>
      </c>
      <c r="AV22" s="757">
        <f t="shared" ca="1" si="41"/>
        <v>0</v>
      </c>
      <c r="AW22" s="757">
        <f t="shared" ca="1" si="41"/>
        <v>0</v>
      </c>
      <c r="AX22" s="757">
        <f t="shared" ca="1" si="41"/>
        <v>0</v>
      </c>
      <c r="AY22" s="758">
        <f t="shared" ca="1" si="33"/>
        <v>0</v>
      </c>
      <c r="AZ22" s="757">
        <f t="shared" ca="1" si="10"/>
        <v>0</v>
      </c>
      <c r="BA22" s="757">
        <f t="shared" ca="1" si="10"/>
        <v>0</v>
      </c>
      <c r="BB22" s="757"/>
      <c r="BC22" s="758">
        <f t="shared" ca="1" si="34"/>
        <v>0</v>
      </c>
      <c r="BD22" s="759">
        <f t="shared" ca="1" si="35"/>
        <v>0</v>
      </c>
      <c r="BE22" s="195"/>
      <c r="BF22" s="708"/>
      <c r="BG22" s="703" t="str">
        <f>IF($BF22="","","ĐNSX"&amp; IF(LEN($BF22)=1,"0" &amp; $BF22,$BF22) &amp; "/" &amp; ThongTinChung!$C$5)</f>
        <v/>
      </c>
      <c r="BH22" s="100" t="str">
        <f t="shared" ca="1" si="11"/>
        <v/>
      </c>
      <c r="BI22" s="194" t="str">
        <f ca="1">IF($B22="","","C" &amp; ROW(MauKoXoa!$C$108) &amp; ":C" &amp;ROW(MauKoXoa!$C$174))</f>
        <v/>
      </c>
      <c r="BJ22" s="198" t="str">
        <f t="shared" ca="1" si="36"/>
        <v/>
      </c>
      <c r="BK22" s="198" t="str">
        <f t="shared" ca="1" si="37"/>
        <v/>
      </c>
      <c r="BL22" s="650" t="str">
        <f ca="1">IF(COUNTIF($BL$10:$BL21,IFERROR(INDEX(DanhMuc!$J$154:$J$165,MATCH($BJ22,DanhMuc!$B$154:$B$165,0)),""))&lt;1,IFERROR(INDEX(DanhMuc!$J$154:$J$165,MATCH($BJ22,DanhMuc!$B$154:$B$165,0)),""),"")</f>
        <v/>
      </c>
      <c r="BM22" s="650" t="str">
        <f ca="1">IF(COUNTIF($BM$10:$BM21,IFERROR(INDEX(DanhMuc!$D$168:$D$177,MATCH($BK22,DanhMuc!$C$168:$C$177,0)),""))&lt;1,IFERROR(INDEX(DanhMuc!$D$168:$D$177,MATCH($BK22,DanhMuc!$C$168:$C$177,0)),""),"")</f>
        <v/>
      </c>
      <c r="BN22" s="650" t="str">
        <f ca="1">IFERROR(INDEX(DanhMuc!$K$154:$K$165,MATCH($BJ22,DanhMuc!$B$154:$B$165,0)),"")</f>
        <v/>
      </c>
      <c r="BO22" s="653" t="str">
        <f t="shared" ca="1" si="38"/>
        <v/>
      </c>
      <c r="BP22" s="653" t="str">
        <f t="shared" ca="1" si="39"/>
        <v/>
      </c>
      <c r="BQ22" s="757">
        <f t="shared" ca="1" si="42"/>
        <v>0</v>
      </c>
      <c r="BR22" s="757">
        <f t="shared" ca="1" si="42"/>
        <v>0</v>
      </c>
      <c r="BS22" s="757">
        <f t="shared" ca="1" si="42"/>
        <v>0</v>
      </c>
      <c r="BT22" s="757">
        <f t="shared" ca="1" si="42"/>
        <v>0</v>
      </c>
      <c r="BU22" s="757">
        <f t="shared" ca="1" si="42"/>
        <v>0</v>
      </c>
      <c r="BV22" s="757">
        <f t="shared" ca="1" si="42"/>
        <v>0</v>
      </c>
      <c r="BW22" s="198"/>
    </row>
    <row r="23" spans="1:75" s="42" customFormat="1" ht="19.899999999999999" customHeight="1">
      <c r="A23" s="37" t="str">
        <f ca="1">IF(B23="","",MAX($A$10:A22)+1)</f>
        <v/>
      </c>
      <c r="B23" s="718" t="str">
        <f t="shared" ca="1" si="0"/>
        <v/>
      </c>
      <c r="C23" s="1166">
        <f t="shared" ca="1" si="13"/>
        <v>0</v>
      </c>
      <c r="D23" s="643" t="str">
        <f t="shared" ca="1" si="14"/>
        <v/>
      </c>
      <c r="E23" s="203"/>
      <c r="F23" s="38">
        <f t="shared" ca="1" si="15"/>
        <v>0</v>
      </c>
      <c r="G23" s="38">
        <f t="shared" ca="1" si="16"/>
        <v>0</v>
      </c>
      <c r="H23" s="1136">
        <f t="shared" ca="1" si="17"/>
        <v>0</v>
      </c>
      <c r="I23" s="38">
        <f t="shared" ca="1" si="18"/>
        <v>0</v>
      </c>
      <c r="J23" s="39">
        <f t="shared" si="19"/>
        <v>0</v>
      </c>
      <c r="K23" s="1137">
        <f t="shared" ca="1" si="20"/>
        <v>0</v>
      </c>
      <c r="L23" s="40">
        <f t="shared" ca="1" si="21"/>
        <v>0</v>
      </c>
      <c r="M23" s="40">
        <f t="shared" ca="1" si="22"/>
        <v>0</v>
      </c>
      <c r="N23" s="41">
        <f t="shared" ca="1" si="23"/>
        <v>0</v>
      </c>
      <c r="O23" s="762" t="str">
        <f t="shared" ca="1" si="1"/>
        <v/>
      </c>
      <c r="P23" s="756">
        <f t="shared" ca="1" si="24"/>
        <v>0</v>
      </c>
      <c r="Q23" s="757">
        <f t="shared" ca="1" si="25"/>
        <v>0</v>
      </c>
      <c r="R23" s="905">
        <f ca="1">IF($B23="",0,IFERROR(IFERROR(INDEX(DanhMuc!$J$180:$J$189,MATCH(MID(IFERROR(INDIRECT("'" &amp; $B23 &amp; "'!" &amp; $R$82),0),2,1)&amp;MID(IFERROR(INDIRECT("'" &amp; $B23 &amp; "'!" &amp; $R$82),0),7,2),DanhMuc!$I$180:$I$189,0)),INDEX(DanhMuc!$J$180:$J$189,MATCH(MID(IFERROR(INDIRECT("'" &amp; $B23 &amp; "'!" &amp; $R$82),0),2,1),DanhMuc!$I$180:$I$189,0))),0))</f>
        <v>0</v>
      </c>
      <c r="S23" s="757">
        <f t="shared" ca="1" si="26"/>
        <v>0</v>
      </c>
      <c r="T23" s="757">
        <f t="shared" ca="1" si="4"/>
        <v>0</v>
      </c>
      <c r="U23" s="757">
        <f t="shared" ca="1" si="27"/>
        <v>0</v>
      </c>
      <c r="V23" s="757">
        <f t="shared" ca="1" si="5"/>
        <v>0</v>
      </c>
      <c r="W23" s="757">
        <f t="shared" ca="1" si="5"/>
        <v>0</v>
      </c>
      <c r="X23" s="757">
        <f t="shared" ca="1" si="6"/>
        <v>0</v>
      </c>
      <c r="Y23" s="757">
        <f t="shared" ca="1" si="6"/>
        <v>0</v>
      </c>
      <c r="Z23" s="757">
        <f t="shared" ca="1" si="40"/>
        <v>0</v>
      </c>
      <c r="AA23" s="757">
        <f t="shared" ca="1" si="40"/>
        <v>0</v>
      </c>
      <c r="AB23" s="757">
        <f t="shared" ca="1" si="40"/>
        <v>0</v>
      </c>
      <c r="AC23" s="757">
        <f t="shared" ca="1" si="40"/>
        <v>0</v>
      </c>
      <c r="AD23" s="757">
        <f t="shared" ca="1" si="40"/>
        <v>0</v>
      </c>
      <c r="AE23" s="757">
        <f t="shared" ca="1" si="28"/>
        <v>0</v>
      </c>
      <c r="AF23" s="758">
        <f t="shared" ca="1" si="29"/>
        <v>0</v>
      </c>
      <c r="AG23" s="757">
        <f t="shared" ca="1" si="8"/>
        <v>0</v>
      </c>
      <c r="AH23" s="757">
        <f t="shared" ca="1" si="8"/>
        <v>0</v>
      </c>
      <c r="AI23" s="757">
        <f t="shared" ca="1" si="30"/>
        <v>0</v>
      </c>
      <c r="AJ23" s="758">
        <f t="shared" ca="1" si="31"/>
        <v>0</v>
      </c>
      <c r="AK23" s="759">
        <f t="shared" ca="1" si="32"/>
        <v>0</v>
      </c>
      <c r="AL23" s="757">
        <f t="shared" ca="1" si="41"/>
        <v>0</v>
      </c>
      <c r="AM23" s="757">
        <f t="shared" ca="1" si="41"/>
        <v>0</v>
      </c>
      <c r="AN23" s="757">
        <f t="shared" ca="1" si="41"/>
        <v>0</v>
      </c>
      <c r="AO23" s="757">
        <f t="shared" ca="1" si="41"/>
        <v>0</v>
      </c>
      <c r="AP23" s="757">
        <f t="shared" ca="1" si="41"/>
        <v>0</v>
      </c>
      <c r="AQ23" s="757">
        <f t="shared" ca="1" si="41"/>
        <v>0</v>
      </c>
      <c r="AR23" s="757">
        <f t="shared" ca="1" si="41"/>
        <v>0</v>
      </c>
      <c r="AS23" s="757">
        <f t="shared" ca="1" si="41"/>
        <v>0</v>
      </c>
      <c r="AT23" s="757">
        <f t="shared" ca="1" si="41"/>
        <v>0</v>
      </c>
      <c r="AU23" s="757">
        <f t="shared" ca="1" si="41"/>
        <v>0</v>
      </c>
      <c r="AV23" s="757">
        <f t="shared" ca="1" si="41"/>
        <v>0</v>
      </c>
      <c r="AW23" s="757">
        <f t="shared" ca="1" si="41"/>
        <v>0</v>
      </c>
      <c r="AX23" s="757">
        <f t="shared" ca="1" si="41"/>
        <v>0</v>
      </c>
      <c r="AY23" s="758">
        <f t="shared" ca="1" si="33"/>
        <v>0</v>
      </c>
      <c r="AZ23" s="757">
        <f t="shared" ca="1" si="10"/>
        <v>0</v>
      </c>
      <c r="BA23" s="757">
        <f t="shared" ca="1" si="10"/>
        <v>0</v>
      </c>
      <c r="BB23" s="757"/>
      <c r="BC23" s="758">
        <f t="shared" ca="1" si="34"/>
        <v>0</v>
      </c>
      <c r="BD23" s="759">
        <f t="shared" ca="1" si="35"/>
        <v>0</v>
      </c>
      <c r="BE23" s="195"/>
      <c r="BF23" s="708"/>
      <c r="BG23" s="703" t="str">
        <f>IF($BF23="","","ĐNSX"&amp; IF(LEN($BF23)=1,"0" &amp; $BF23,$BF23) &amp; "/" &amp; ThongTinChung!$C$5)</f>
        <v/>
      </c>
      <c r="BH23" s="100" t="str">
        <f t="shared" ca="1" si="11"/>
        <v/>
      </c>
      <c r="BI23" s="194" t="str">
        <f ca="1">IF($B23="","","C" &amp; ROW(MauKoXoa!$C$108) &amp; ":C" &amp;ROW(MauKoXoa!$C$174))</f>
        <v/>
      </c>
      <c r="BJ23" s="198" t="str">
        <f t="shared" ca="1" si="36"/>
        <v/>
      </c>
      <c r="BK23" s="198" t="str">
        <f t="shared" ca="1" si="37"/>
        <v/>
      </c>
      <c r="BL23" s="650" t="str">
        <f ca="1">IF(COUNTIF($BL$10:$BL22,IFERROR(INDEX(DanhMuc!$J$154:$J$165,MATCH($BJ23,DanhMuc!$B$154:$B$165,0)),""))&lt;1,IFERROR(INDEX(DanhMuc!$J$154:$J$165,MATCH($BJ23,DanhMuc!$B$154:$B$165,0)),""),"")</f>
        <v/>
      </c>
      <c r="BM23" s="650" t="str">
        <f ca="1">IF(COUNTIF($BM$10:$BM22,IFERROR(INDEX(DanhMuc!$D$168:$D$177,MATCH($BK23,DanhMuc!$C$168:$C$177,0)),""))&lt;1,IFERROR(INDEX(DanhMuc!$D$168:$D$177,MATCH($BK23,DanhMuc!$C$168:$C$177,0)),""),"")</f>
        <v/>
      </c>
      <c r="BN23" s="650" t="str">
        <f ca="1">IFERROR(INDEX(DanhMuc!$K$154:$K$165,MATCH($BJ23,DanhMuc!$B$154:$B$165,0)),"")</f>
        <v/>
      </c>
      <c r="BO23" s="653" t="str">
        <f t="shared" ca="1" si="38"/>
        <v/>
      </c>
      <c r="BP23" s="653" t="str">
        <f t="shared" ca="1" si="39"/>
        <v/>
      </c>
      <c r="BQ23" s="757">
        <f t="shared" ca="1" si="42"/>
        <v>0</v>
      </c>
      <c r="BR23" s="757">
        <f t="shared" ca="1" si="42"/>
        <v>0</v>
      </c>
      <c r="BS23" s="757">
        <f t="shared" ca="1" si="42"/>
        <v>0</v>
      </c>
      <c r="BT23" s="757">
        <f t="shared" ca="1" si="42"/>
        <v>0</v>
      </c>
      <c r="BU23" s="757">
        <f t="shared" ca="1" si="42"/>
        <v>0</v>
      </c>
      <c r="BV23" s="757">
        <f t="shared" ca="1" si="42"/>
        <v>0</v>
      </c>
      <c r="BW23" s="198"/>
    </row>
    <row r="24" spans="1:75" s="42" customFormat="1" ht="19.899999999999999" customHeight="1">
      <c r="A24" s="37" t="str">
        <f ca="1">IF(B24="","",MAX($A$10:A23)+1)</f>
        <v/>
      </c>
      <c r="B24" s="718" t="str">
        <f t="shared" ca="1" si="0"/>
        <v/>
      </c>
      <c r="C24" s="1166">
        <f t="shared" ca="1" si="13"/>
        <v>0</v>
      </c>
      <c r="D24" s="643" t="str">
        <f t="shared" ca="1" si="14"/>
        <v/>
      </c>
      <c r="E24" s="203"/>
      <c r="F24" s="38">
        <f t="shared" ca="1" si="15"/>
        <v>0</v>
      </c>
      <c r="G24" s="38">
        <f t="shared" ca="1" si="16"/>
        <v>0</v>
      </c>
      <c r="H24" s="1136">
        <f t="shared" ca="1" si="17"/>
        <v>0</v>
      </c>
      <c r="I24" s="38">
        <f t="shared" ca="1" si="18"/>
        <v>0</v>
      </c>
      <c r="J24" s="39">
        <f t="shared" si="19"/>
        <v>0</v>
      </c>
      <c r="K24" s="1137">
        <f t="shared" ca="1" si="20"/>
        <v>0</v>
      </c>
      <c r="L24" s="40">
        <f t="shared" ca="1" si="21"/>
        <v>0</v>
      </c>
      <c r="M24" s="40">
        <f t="shared" ca="1" si="22"/>
        <v>0</v>
      </c>
      <c r="N24" s="41">
        <f t="shared" ca="1" si="23"/>
        <v>0</v>
      </c>
      <c r="O24" s="762" t="str">
        <f t="shared" ca="1" si="1"/>
        <v/>
      </c>
      <c r="P24" s="756">
        <f t="shared" ca="1" si="24"/>
        <v>0</v>
      </c>
      <c r="Q24" s="757">
        <f t="shared" ca="1" si="25"/>
        <v>0</v>
      </c>
      <c r="R24" s="905">
        <f ca="1">IF($B24="",0,IFERROR(IFERROR(INDEX(DanhMuc!$J$180:$J$189,MATCH(MID(IFERROR(INDIRECT("'" &amp; $B24 &amp; "'!" &amp; $R$82),0),2,1)&amp;MID(IFERROR(INDIRECT("'" &amp; $B24 &amp; "'!" &amp; $R$82),0),7,2),DanhMuc!$I$180:$I$189,0)),INDEX(DanhMuc!$J$180:$J$189,MATCH(MID(IFERROR(INDIRECT("'" &amp; $B24 &amp; "'!" &amp; $R$82),0),2,1),DanhMuc!$I$180:$I$189,0))),0))</f>
        <v>0</v>
      </c>
      <c r="S24" s="757">
        <f t="shared" ca="1" si="26"/>
        <v>0</v>
      </c>
      <c r="T24" s="757">
        <f t="shared" ca="1" si="4"/>
        <v>0</v>
      </c>
      <c r="U24" s="757">
        <f t="shared" ca="1" si="27"/>
        <v>0</v>
      </c>
      <c r="V24" s="757">
        <f t="shared" ca="1" si="5"/>
        <v>0</v>
      </c>
      <c r="W24" s="757">
        <f t="shared" ca="1" si="5"/>
        <v>0</v>
      </c>
      <c r="X24" s="757">
        <f t="shared" ca="1" si="6"/>
        <v>0</v>
      </c>
      <c r="Y24" s="757">
        <f t="shared" ca="1" si="6"/>
        <v>0</v>
      </c>
      <c r="Z24" s="757">
        <f t="shared" ca="1" si="40"/>
        <v>0</v>
      </c>
      <c r="AA24" s="757">
        <f t="shared" ca="1" si="40"/>
        <v>0</v>
      </c>
      <c r="AB24" s="757">
        <f t="shared" ca="1" si="40"/>
        <v>0</v>
      </c>
      <c r="AC24" s="757">
        <f t="shared" ca="1" si="40"/>
        <v>0</v>
      </c>
      <c r="AD24" s="757">
        <f t="shared" ca="1" si="40"/>
        <v>0</v>
      </c>
      <c r="AE24" s="757">
        <f t="shared" ca="1" si="28"/>
        <v>0</v>
      </c>
      <c r="AF24" s="758">
        <f t="shared" ca="1" si="29"/>
        <v>0</v>
      </c>
      <c r="AG24" s="757">
        <f t="shared" ca="1" si="8"/>
        <v>0</v>
      </c>
      <c r="AH24" s="757">
        <f t="shared" ca="1" si="8"/>
        <v>0</v>
      </c>
      <c r="AI24" s="757">
        <f t="shared" ca="1" si="30"/>
        <v>0</v>
      </c>
      <c r="AJ24" s="758">
        <f t="shared" ca="1" si="31"/>
        <v>0</v>
      </c>
      <c r="AK24" s="759">
        <f t="shared" ca="1" si="32"/>
        <v>0</v>
      </c>
      <c r="AL24" s="757">
        <f t="shared" ca="1" si="41"/>
        <v>0</v>
      </c>
      <c r="AM24" s="757">
        <f t="shared" ca="1" si="41"/>
        <v>0</v>
      </c>
      <c r="AN24" s="757">
        <f t="shared" ca="1" si="41"/>
        <v>0</v>
      </c>
      <c r="AO24" s="757">
        <f t="shared" ca="1" si="41"/>
        <v>0</v>
      </c>
      <c r="AP24" s="757">
        <f t="shared" ca="1" si="41"/>
        <v>0</v>
      </c>
      <c r="AQ24" s="757">
        <f t="shared" ca="1" si="41"/>
        <v>0</v>
      </c>
      <c r="AR24" s="757">
        <f t="shared" ca="1" si="41"/>
        <v>0</v>
      </c>
      <c r="AS24" s="757">
        <f t="shared" ca="1" si="41"/>
        <v>0</v>
      </c>
      <c r="AT24" s="757">
        <f t="shared" ca="1" si="41"/>
        <v>0</v>
      </c>
      <c r="AU24" s="757">
        <f t="shared" ca="1" si="41"/>
        <v>0</v>
      </c>
      <c r="AV24" s="757">
        <f t="shared" ca="1" si="41"/>
        <v>0</v>
      </c>
      <c r="AW24" s="757">
        <f t="shared" ca="1" si="41"/>
        <v>0</v>
      </c>
      <c r="AX24" s="757">
        <f t="shared" ca="1" si="41"/>
        <v>0</v>
      </c>
      <c r="AY24" s="758">
        <f t="shared" ca="1" si="33"/>
        <v>0</v>
      </c>
      <c r="AZ24" s="757">
        <f t="shared" ca="1" si="10"/>
        <v>0</v>
      </c>
      <c r="BA24" s="757">
        <f t="shared" ca="1" si="10"/>
        <v>0</v>
      </c>
      <c r="BB24" s="757"/>
      <c r="BC24" s="758">
        <f t="shared" ca="1" si="34"/>
        <v>0</v>
      </c>
      <c r="BD24" s="759">
        <f t="shared" ca="1" si="35"/>
        <v>0</v>
      </c>
      <c r="BE24" s="195"/>
      <c r="BF24" s="708"/>
      <c r="BG24" s="703" t="str">
        <f>IF($BF24="","","ĐNSX"&amp; IF(LEN($BF24)=1,"0" &amp; $BF24,$BF24) &amp; "/" &amp; ThongTinChung!$C$5)</f>
        <v/>
      </c>
      <c r="BH24" s="100" t="str">
        <f t="shared" ca="1" si="11"/>
        <v/>
      </c>
      <c r="BI24" s="194" t="str">
        <f ca="1">IF($B24="","","C" &amp; ROW(MauKoXoa!$C$108) &amp; ":C" &amp;ROW(MauKoXoa!$C$174))</f>
        <v/>
      </c>
      <c r="BJ24" s="198" t="str">
        <f t="shared" ca="1" si="36"/>
        <v/>
      </c>
      <c r="BK24" s="198" t="str">
        <f t="shared" ca="1" si="37"/>
        <v/>
      </c>
      <c r="BL24" s="650" t="str">
        <f ca="1">IF(COUNTIF($BL$10:$BL23,IFERROR(INDEX(DanhMuc!$J$154:$J$165,MATCH($BJ24,DanhMuc!$B$154:$B$165,0)),""))&lt;1,IFERROR(INDEX(DanhMuc!$J$154:$J$165,MATCH($BJ24,DanhMuc!$B$154:$B$165,0)),""),"")</f>
        <v/>
      </c>
      <c r="BM24" s="650" t="str">
        <f ca="1">IF(COUNTIF($BM$10:$BM23,IFERROR(INDEX(DanhMuc!$D$168:$D$177,MATCH($BK24,DanhMuc!$C$168:$C$177,0)),""))&lt;1,IFERROR(INDEX(DanhMuc!$D$168:$D$177,MATCH($BK24,DanhMuc!$C$168:$C$177,0)),""),"")</f>
        <v/>
      </c>
      <c r="BN24" s="650" t="str">
        <f ca="1">IFERROR(INDEX(DanhMuc!$K$154:$K$165,MATCH($BJ24,DanhMuc!$B$154:$B$165,0)),"")</f>
        <v/>
      </c>
      <c r="BO24" s="653" t="str">
        <f t="shared" ca="1" si="38"/>
        <v/>
      </c>
      <c r="BP24" s="653" t="str">
        <f t="shared" ca="1" si="39"/>
        <v/>
      </c>
      <c r="BQ24" s="757">
        <f t="shared" ca="1" si="42"/>
        <v>0</v>
      </c>
      <c r="BR24" s="757">
        <f t="shared" ca="1" si="42"/>
        <v>0</v>
      </c>
      <c r="BS24" s="757">
        <f t="shared" ca="1" si="42"/>
        <v>0</v>
      </c>
      <c r="BT24" s="757">
        <f t="shared" ca="1" si="42"/>
        <v>0</v>
      </c>
      <c r="BU24" s="757">
        <f t="shared" ca="1" si="42"/>
        <v>0</v>
      </c>
      <c r="BV24" s="757">
        <f t="shared" ca="1" si="42"/>
        <v>0</v>
      </c>
      <c r="BW24" s="198"/>
    </row>
    <row r="25" spans="1:75" s="42" customFormat="1" ht="19.899999999999999" customHeight="1">
      <c r="A25" s="37" t="str">
        <f ca="1">IF(B25="","",MAX($A$10:A24)+1)</f>
        <v/>
      </c>
      <c r="B25" s="718" t="str">
        <f t="shared" ca="1" si="0"/>
        <v/>
      </c>
      <c r="C25" s="1166">
        <f t="shared" ca="1" si="13"/>
        <v>0</v>
      </c>
      <c r="D25" s="643" t="str">
        <f t="shared" ca="1" si="14"/>
        <v/>
      </c>
      <c r="E25" s="203"/>
      <c r="F25" s="38">
        <f t="shared" ca="1" si="15"/>
        <v>0</v>
      </c>
      <c r="G25" s="38">
        <f t="shared" ca="1" si="16"/>
        <v>0</v>
      </c>
      <c r="H25" s="1136">
        <f t="shared" ca="1" si="17"/>
        <v>0</v>
      </c>
      <c r="I25" s="38">
        <f t="shared" ca="1" si="18"/>
        <v>0</v>
      </c>
      <c r="J25" s="39">
        <f t="shared" si="19"/>
        <v>0</v>
      </c>
      <c r="K25" s="1137">
        <f t="shared" ca="1" si="20"/>
        <v>0</v>
      </c>
      <c r="L25" s="40">
        <f t="shared" ca="1" si="21"/>
        <v>0</v>
      </c>
      <c r="M25" s="40">
        <f t="shared" ca="1" si="22"/>
        <v>0</v>
      </c>
      <c r="N25" s="41">
        <f t="shared" ca="1" si="23"/>
        <v>0</v>
      </c>
      <c r="O25" s="762" t="str">
        <f t="shared" ca="1" si="1"/>
        <v/>
      </c>
      <c r="P25" s="756">
        <f t="shared" ca="1" si="24"/>
        <v>0</v>
      </c>
      <c r="Q25" s="757">
        <f t="shared" ca="1" si="25"/>
        <v>0</v>
      </c>
      <c r="R25" s="905">
        <f ca="1">IF($B25="",0,IFERROR(IFERROR(INDEX(DanhMuc!$J$180:$J$189,MATCH(MID(IFERROR(INDIRECT("'" &amp; $B25 &amp; "'!" &amp; $R$82),0),2,1)&amp;MID(IFERROR(INDIRECT("'" &amp; $B25 &amp; "'!" &amp; $R$82),0),7,2),DanhMuc!$I$180:$I$189,0)),INDEX(DanhMuc!$J$180:$J$189,MATCH(MID(IFERROR(INDIRECT("'" &amp; $B25 &amp; "'!" &amp; $R$82),0),2,1),DanhMuc!$I$180:$I$189,0))),0))</f>
        <v>0</v>
      </c>
      <c r="S25" s="757">
        <f t="shared" ca="1" si="26"/>
        <v>0</v>
      </c>
      <c r="T25" s="757">
        <f t="shared" ca="1" si="4"/>
        <v>0</v>
      </c>
      <c r="U25" s="757">
        <f t="shared" ca="1" si="27"/>
        <v>0</v>
      </c>
      <c r="V25" s="757">
        <f t="shared" ca="1" si="5"/>
        <v>0</v>
      </c>
      <c r="W25" s="757">
        <f t="shared" ca="1" si="5"/>
        <v>0</v>
      </c>
      <c r="X25" s="757">
        <f t="shared" ca="1" si="6"/>
        <v>0</v>
      </c>
      <c r="Y25" s="757">
        <f t="shared" ca="1" si="6"/>
        <v>0</v>
      </c>
      <c r="Z25" s="757">
        <f t="shared" ca="1" si="40"/>
        <v>0</v>
      </c>
      <c r="AA25" s="757">
        <f t="shared" ca="1" si="40"/>
        <v>0</v>
      </c>
      <c r="AB25" s="757">
        <f t="shared" ca="1" si="40"/>
        <v>0</v>
      </c>
      <c r="AC25" s="757">
        <f t="shared" ca="1" si="40"/>
        <v>0</v>
      </c>
      <c r="AD25" s="757">
        <f t="shared" ca="1" si="40"/>
        <v>0</v>
      </c>
      <c r="AE25" s="757">
        <f t="shared" ca="1" si="28"/>
        <v>0</v>
      </c>
      <c r="AF25" s="758">
        <f t="shared" ca="1" si="29"/>
        <v>0</v>
      </c>
      <c r="AG25" s="757">
        <f t="shared" ca="1" si="8"/>
        <v>0</v>
      </c>
      <c r="AH25" s="757">
        <f t="shared" ca="1" si="8"/>
        <v>0</v>
      </c>
      <c r="AI25" s="757">
        <f t="shared" ca="1" si="30"/>
        <v>0</v>
      </c>
      <c r="AJ25" s="758">
        <f t="shared" ca="1" si="31"/>
        <v>0</v>
      </c>
      <c r="AK25" s="759">
        <f t="shared" ca="1" si="32"/>
        <v>0</v>
      </c>
      <c r="AL25" s="757">
        <f t="shared" ca="1" si="41"/>
        <v>0</v>
      </c>
      <c r="AM25" s="757">
        <f t="shared" ca="1" si="41"/>
        <v>0</v>
      </c>
      <c r="AN25" s="757">
        <f t="shared" ca="1" si="41"/>
        <v>0</v>
      </c>
      <c r="AO25" s="757">
        <f t="shared" ca="1" si="41"/>
        <v>0</v>
      </c>
      <c r="AP25" s="757">
        <f t="shared" ca="1" si="41"/>
        <v>0</v>
      </c>
      <c r="AQ25" s="757">
        <f t="shared" ca="1" si="41"/>
        <v>0</v>
      </c>
      <c r="AR25" s="757">
        <f t="shared" ca="1" si="41"/>
        <v>0</v>
      </c>
      <c r="AS25" s="757">
        <f t="shared" ca="1" si="41"/>
        <v>0</v>
      </c>
      <c r="AT25" s="757">
        <f t="shared" ca="1" si="41"/>
        <v>0</v>
      </c>
      <c r="AU25" s="757">
        <f t="shared" ca="1" si="41"/>
        <v>0</v>
      </c>
      <c r="AV25" s="757">
        <f t="shared" ca="1" si="41"/>
        <v>0</v>
      </c>
      <c r="AW25" s="757">
        <f t="shared" ca="1" si="41"/>
        <v>0</v>
      </c>
      <c r="AX25" s="757">
        <f t="shared" ca="1" si="41"/>
        <v>0</v>
      </c>
      <c r="AY25" s="758">
        <f t="shared" ca="1" si="33"/>
        <v>0</v>
      </c>
      <c r="AZ25" s="757">
        <f t="shared" ca="1" si="10"/>
        <v>0</v>
      </c>
      <c r="BA25" s="757">
        <f t="shared" ca="1" si="10"/>
        <v>0</v>
      </c>
      <c r="BB25" s="757"/>
      <c r="BC25" s="758">
        <f t="shared" ca="1" si="34"/>
        <v>0</v>
      </c>
      <c r="BD25" s="759">
        <f t="shared" ca="1" si="35"/>
        <v>0</v>
      </c>
      <c r="BE25" s="195"/>
      <c r="BF25" s="708"/>
      <c r="BG25" s="703" t="str">
        <f>IF($BF25="","","ĐNSX"&amp; IF(LEN($BF25)=1,"0" &amp; $BF25,$BF25) &amp; "/" &amp; ThongTinChung!$C$5)</f>
        <v/>
      </c>
      <c r="BH25" s="100" t="str">
        <f t="shared" ca="1" si="11"/>
        <v/>
      </c>
      <c r="BI25" s="194" t="str">
        <f ca="1">IF($B25="","","C" &amp; ROW(MauKoXoa!$C$108) &amp; ":C" &amp;ROW(MauKoXoa!$C$174))</f>
        <v/>
      </c>
      <c r="BJ25" s="198" t="str">
        <f t="shared" ca="1" si="36"/>
        <v/>
      </c>
      <c r="BK25" s="198" t="str">
        <f t="shared" ca="1" si="37"/>
        <v/>
      </c>
      <c r="BL25" s="650" t="str">
        <f ca="1">IF(COUNTIF($BL$10:$BL24,IFERROR(INDEX(DanhMuc!$J$154:$J$165,MATCH($BJ25,DanhMuc!$B$154:$B$165,0)),""))&lt;1,IFERROR(INDEX(DanhMuc!$J$154:$J$165,MATCH($BJ25,DanhMuc!$B$154:$B$165,0)),""),"")</f>
        <v/>
      </c>
      <c r="BM25" s="650" t="str">
        <f ca="1">IF(COUNTIF($BM$10:$BM24,IFERROR(INDEX(DanhMuc!$D$168:$D$177,MATCH($BK25,DanhMuc!$C$168:$C$177,0)),""))&lt;1,IFERROR(INDEX(DanhMuc!$D$168:$D$177,MATCH($BK25,DanhMuc!$C$168:$C$177,0)),""),"")</f>
        <v/>
      </c>
      <c r="BN25" s="650" t="str">
        <f ca="1">IFERROR(INDEX(DanhMuc!$K$154:$K$165,MATCH($BJ25,DanhMuc!$B$154:$B$165,0)),"")</f>
        <v/>
      </c>
      <c r="BO25" s="653" t="str">
        <f t="shared" ca="1" si="38"/>
        <v/>
      </c>
      <c r="BP25" s="653" t="str">
        <f t="shared" ca="1" si="39"/>
        <v/>
      </c>
      <c r="BQ25" s="757">
        <f t="shared" ca="1" si="42"/>
        <v>0</v>
      </c>
      <c r="BR25" s="757">
        <f t="shared" ca="1" si="42"/>
        <v>0</v>
      </c>
      <c r="BS25" s="757">
        <f t="shared" ca="1" si="42"/>
        <v>0</v>
      </c>
      <c r="BT25" s="757">
        <f t="shared" ca="1" si="42"/>
        <v>0</v>
      </c>
      <c r="BU25" s="757">
        <f t="shared" ca="1" si="42"/>
        <v>0</v>
      </c>
      <c r="BV25" s="757">
        <f t="shared" ca="1" si="42"/>
        <v>0</v>
      </c>
      <c r="BW25" s="198"/>
    </row>
    <row r="26" spans="1:75" s="42" customFormat="1" ht="19.899999999999999" customHeight="1">
      <c r="A26" s="37" t="str">
        <f ca="1">IF(B26="","",MAX($A$10:A25)+1)</f>
        <v/>
      </c>
      <c r="B26" s="718" t="str">
        <f t="shared" ca="1" si="0"/>
        <v/>
      </c>
      <c r="C26" s="1166">
        <f t="shared" ca="1" si="13"/>
        <v>0</v>
      </c>
      <c r="D26" s="643" t="str">
        <f t="shared" ca="1" si="14"/>
        <v/>
      </c>
      <c r="E26" s="203"/>
      <c r="F26" s="38">
        <f t="shared" ca="1" si="15"/>
        <v>0</v>
      </c>
      <c r="G26" s="38">
        <f t="shared" ca="1" si="16"/>
        <v>0</v>
      </c>
      <c r="H26" s="1136">
        <f t="shared" ca="1" si="17"/>
        <v>0</v>
      </c>
      <c r="I26" s="38">
        <f t="shared" ca="1" si="18"/>
        <v>0</v>
      </c>
      <c r="J26" s="39">
        <f t="shared" si="19"/>
        <v>0</v>
      </c>
      <c r="K26" s="1137">
        <f t="shared" ca="1" si="20"/>
        <v>0</v>
      </c>
      <c r="L26" s="40">
        <f t="shared" ca="1" si="21"/>
        <v>0</v>
      </c>
      <c r="M26" s="40">
        <f t="shared" ca="1" si="22"/>
        <v>0</v>
      </c>
      <c r="N26" s="41">
        <f t="shared" ca="1" si="23"/>
        <v>0</v>
      </c>
      <c r="O26" s="762" t="str">
        <f t="shared" ca="1" si="1"/>
        <v/>
      </c>
      <c r="P26" s="756">
        <f t="shared" ca="1" si="24"/>
        <v>0</v>
      </c>
      <c r="Q26" s="757">
        <f t="shared" ca="1" si="25"/>
        <v>0</v>
      </c>
      <c r="R26" s="905">
        <f ca="1">IF($B26="",0,IFERROR(IFERROR(INDEX(DanhMuc!$J$180:$J$189,MATCH(MID(IFERROR(INDIRECT("'" &amp; $B26 &amp; "'!" &amp; $R$82),0),2,1)&amp;MID(IFERROR(INDIRECT("'" &amp; $B26 &amp; "'!" &amp; $R$82),0),7,2),DanhMuc!$I$180:$I$189,0)),INDEX(DanhMuc!$J$180:$J$189,MATCH(MID(IFERROR(INDIRECT("'" &amp; $B26 &amp; "'!" &amp; $R$82),0),2,1),DanhMuc!$I$180:$I$189,0))),0))</f>
        <v>0</v>
      </c>
      <c r="S26" s="757">
        <f t="shared" ca="1" si="26"/>
        <v>0</v>
      </c>
      <c r="T26" s="757">
        <f t="shared" ca="1" si="4"/>
        <v>0</v>
      </c>
      <c r="U26" s="757">
        <f t="shared" ca="1" si="27"/>
        <v>0</v>
      </c>
      <c r="V26" s="757">
        <f t="shared" ca="1" si="5"/>
        <v>0</v>
      </c>
      <c r="W26" s="757">
        <f t="shared" ca="1" si="5"/>
        <v>0</v>
      </c>
      <c r="X26" s="757">
        <f t="shared" ca="1" si="6"/>
        <v>0</v>
      </c>
      <c r="Y26" s="757">
        <f t="shared" ca="1" si="6"/>
        <v>0</v>
      </c>
      <c r="Z26" s="757">
        <f t="shared" ca="1" si="40"/>
        <v>0</v>
      </c>
      <c r="AA26" s="757">
        <f t="shared" ca="1" si="40"/>
        <v>0</v>
      </c>
      <c r="AB26" s="757">
        <f t="shared" ca="1" si="40"/>
        <v>0</v>
      </c>
      <c r="AC26" s="757">
        <f t="shared" ca="1" si="40"/>
        <v>0</v>
      </c>
      <c r="AD26" s="757">
        <f t="shared" ca="1" si="40"/>
        <v>0</v>
      </c>
      <c r="AE26" s="757">
        <f t="shared" ca="1" si="28"/>
        <v>0</v>
      </c>
      <c r="AF26" s="758">
        <f t="shared" ca="1" si="29"/>
        <v>0</v>
      </c>
      <c r="AG26" s="757">
        <f t="shared" ca="1" si="8"/>
        <v>0</v>
      </c>
      <c r="AH26" s="757">
        <f t="shared" ca="1" si="8"/>
        <v>0</v>
      </c>
      <c r="AI26" s="757">
        <f t="shared" ca="1" si="30"/>
        <v>0</v>
      </c>
      <c r="AJ26" s="758">
        <f t="shared" ca="1" si="31"/>
        <v>0</v>
      </c>
      <c r="AK26" s="759">
        <f t="shared" ca="1" si="32"/>
        <v>0</v>
      </c>
      <c r="AL26" s="757">
        <f t="shared" ca="1" si="41"/>
        <v>0</v>
      </c>
      <c r="AM26" s="757">
        <f t="shared" ca="1" si="41"/>
        <v>0</v>
      </c>
      <c r="AN26" s="757">
        <f t="shared" ca="1" si="41"/>
        <v>0</v>
      </c>
      <c r="AO26" s="757">
        <f t="shared" ca="1" si="41"/>
        <v>0</v>
      </c>
      <c r="AP26" s="757">
        <f t="shared" ca="1" si="41"/>
        <v>0</v>
      </c>
      <c r="AQ26" s="757">
        <f t="shared" ca="1" si="41"/>
        <v>0</v>
      </c>
      <c r="AR26" s="757">
        <f t="shared" ca="1" si="41"/>
        <v>0</v>
      </c>
      <c r="AS26" s="757">
        <f t="shared" ca="1" si="41"/>
        <v>0</v>
      </c>
      <c r="AT26" s="757">
        <f t="shared" ca="1" si="41"/>
        <v>0</v>
      </c>
      <c r="AU26" s="757">
        <f t="shared" ca="1" si="41"/>
        <v>0</v>
      </c>
      <c r="AV26" s="757">
        <f t="shared" ca="1" si="41"/>
        <v>0</v>
      </c>
      <c r="AW26" s="757">
        <f t="shared" ca="1" si="41"/>
        <v>0</v>
      </c>
      <c r="AX26" s="757">
        <f t="shared" ca="1" si="41"/>
        <v>0</v>
      </c>
      <c r="AY26" s="758">
        <f t="shared" ca="1" si="33"/>
        <v>0</v>
      </c>
      <c r="AZ26" s="757">
        <f t="shared" ca="1" si="10"/>
        <v>0</v>
      </c>
      <c r="BA26" s="757">
        <f t="shared" ca="1" si="10"/>
        <v>0</v>
      </c>
      <c r="BB26" s="757"/>
      <c r="BC26" s="758">
        <f t="shared" ca="1" si="34"/>
        <v>0</v>
      </c>
      <c r="BD26" s="759">
        <f t="shared" ca="1" si="35"/>
        <v>0</v>
      </c>
      <c r="BE26" s="195"/>
      <c r="BF26" s="708"/>
      <c r="BG26" s="703" t="str">
        <f>IF($BF26="","","ĐNSX"&amp; IF(LEN($BF26)=1,"0" &amp; $BF26,$BF26) &amp; "/" &amp; ThongTinChung!$C$5)</f>
        <v/>
      </c>
      <c r="BH26" s="100" t="str">
        <f t="shared" ca="1" si="11"/>
        <v/>
      </c>
      <c r="BI26" s="194" t="str">
        <f ca="1">IF($B26="","","C" &amp; ROW(MauKoXoa!$C$108) &amp; ":C" &amp;ROW(MauKoXoa!$C$174))</f>
        <v/>
      </c>
      <c r="BJ26" s="198" t="str">
        <f t="shared" ca="1" si="36"/>
        <v/>
      </c>
      <c r="BK26" s="198" t="str">
        <f t="shared" ca="1" si="37"/>
        <v/>
      </c>
      <c r="BL26" s="650" t="str">
        <f ca="1">IF(COUNTIF($BL$10:$BL25,IFERROR(INDEX(DanhMuc!$J$154:$J$165,MATCH($BJ26,DanhMuc!$B$154:$B$165,0)),""))&lt;1,IFERROR(INDEX(DanhMuc!$J$154:$J$165,MATCH($BJ26,DanhMuc!$B$154:$B$165,0)),""),"")</f>
        <v/>
      </c>
      <c r="BM26" s="650" t="str">
        <f ca="1">IF(COUNTIF($BM$10:$BM25,IFERROR(INDEX(DanhMuc!$D$168:$D$177,MATCH($BK26,DanhMuc!$C$168:$C$177,0)),""))&lt;1,IFERROR(INDEX(DanhMuc!$D$168:$D$177,MATCH($BK26,DanhMuc!$C$168:$C$177,0)),""),"")</f>
        <v/>
      </c>
      <c r="BN26" s="650" t="str">
        <f ca="1">IFERROR(INDEX(DanhMuc!$K$154:$K$165,MATCH($BJ26,DanhMuc!$B$154:$B$165,0)),"")</f>
        <v/>
      </c>
      <c r="BO26" s="653" t="str">
        <f t="shared" ca="1" si="38"/>
        <v/>
      </c>
      <c r="BP26" s="653" t="str">
        <f t="shared" ca="1" si="39"/>
        <v/>
      </c>
      <c r="BQ26" s="757">
        <f t="shared" ca="1" si="42"/>
        <v>0</v>
      </c>
      <c r="BR26" s="757">
        <f t="shared" ca="1" si="42"/>
        <v>0</v>
      </c>
      <c r="BS26" s="757">
        <f t="shared" ca="1" si="42"/>
        <v>0</v>
      </c>
      <c r="BT26" s="757">
        <f t="shared" ca="1" si="42"/>
        <v>0</v>
      </c>
      <c r="BU26" s="757">
        <f t="shared" ca="1" si="42"/>
        <v>0</v>
      </c>
      <c r="BV26" s="757">
        <f t="shared" ca="1" si="42"/>
        <v>0</v>
      </c>
      <c r="BW26" s="198"/>
    </row>
    <row r="27" spans="1:75" s="42" customFormat="1" ht="19.899999999999999" customHeight="1">
      <c r="A27" s="37" t="str">
        <f ca="1">IF(B27="","",MAX($A$10:A26)+1)</f>
        <v/>
      </c>
      <c r="B27" s="718" t="str">
        <f t="shared" ca="1" si="0"/>
        <v/>
      </c>
      <c r="C27" s="1166">
        <f t="shared" ca="1" si="13"/>
        <v>0</v>
      </c>
      <c r="D27" s="643" t="str">
        <f t="shared" ca="1" si="14"/>
        <v/>
      </c>
      <c r="E27" s="203"/>
      <c r="F27" s="38">
        <f t="shared" ca="1" si="15"/>
        <v>0</v>
      </c>
      <c r="G27" s="38">
        <f t="shared" ca="1" si="16"/>
        <v>0</v>
      </c>
      <c r="H27" s="1136">
        <f t="shared" ca="1" si="17"/>
        <v>0</v>
      </c>
      <c r="I27" s="38">
        <f t="shared" ca="1" si="18"/>
        <v>0</v>
      </c>
      <c r="J27" s="39">
        <f t="shared" si="19"/>
        <v>0</v>
      </c>
      <c r="K27" s="1137">
        <f t="shared" ca="1" si="20"/>
        <v>0</v>
      </c>
      <c r="L27" s="40">
        <f t="shared" ca="1" si="21"/>
        <v>0</v>
      </c>
      <c r="M27" s="40">
        <f t="shared" ca="1" si="22"/>
        <v>0</v>
      </c>
      <c r="N27" s="41">
        <f t="shared" ca="1" si="23"/>
        <v>0</v>
      </c>
      <c r="O27" s="762" t="str">
        <f t="shared" ca="1" si="1"/>
        <v/>
      </c>
      <c r="P27" s="756">
        <f t="shared" ca="1" si="24"/>
        <v>0</v>
      </c>
      <c r="Q27" s="757">
        <f t="shared" ca="1" si="25"/>
        <v>0</v>
      </c>
      <c r="R27" s="905">
        <f ca="1">IF($B27="",0,IFERROR(IFERROR(INDEX(DanhMuc!$J$180:$J$189,MATCH(MID(IFERROR(INDIRECT("'" &amp; $B27 &amp; "'!" &amp; $R$82),0),2,1)&amp;MID(IFERROR(INDIRECT("'" &amp; $B27 &amp; "'!" &amp; $R$82),0),7,2),DanhMuc!$I$180:$I$189,0)),INDEX(DanhMuc!$J$180:$J$189,MATCH(MID(IFERROR(INDIRECT("'" &amp; $B27 &amp; "'!" &amp; $R$82),0),2,1),DanhMuc!$I$180:$I$189,0))),0))</f>
        <v>0</v>
      </c>
      <c r="S27" s="757">
        <f t="shared" ca="1" si="26"/>
        <v>0</v>
      </c>
      <c r="T27" s="757">
        <f t="shared" ref="T27:T80" ca="1" si="43">IFERROR(INDIRECT("'" &amp; $B27 &amp; "'!" &amp; T$82)/IF($E27="md",$J27,IF($E27="m2",$K27,$I27)) * (1+T$10 + INDIRECT("'" &amp; $B27 &amp; "'!" &amp; "$T$1")),0)</f>
        <v>0</v>
      </c>
      <c r="U27" s="757">
        <f t="shared" ca="1" si="27"/>
        <v>0</v>
      </c>
      <c r="V27" s="757">
        <f t="shared" ca="1" si="5"/>
        <v>0</v>
      </c>
      <c r="W27" s="757">
        <f t="shared" ca="1" si="5"/>
        <v>0</v>
      </c>
      <c r="X27" s="757">
        <f t="shared" ca="1" si="6"/>
        <v>0</v>
      </c>
      <c r="Y27" s="757">
        <f t="shared" ca="1" si="6"/>
        <v>0</v>
      </c>
      <c r="Z27" s="757">
        <f t="shared" ca="1" si="40"/>
        <v>0</v>
      </c>
      <c r="AA27" s="757">
        <f t="shared" ca="1" si="40"/>
        <v>0</v>
      </c>
      <c r="AB27" s="757">
        <f t="shared" ca="1" si="40"/>
        <v>0</v>
      </c>
      <c r="AC27" s="757">
        <f t="shared" ca="1" si="40"/>
        <v>0</v>
      </c>
      <c r="AD27" s="757">
        <f t="shared" ca="1" si="40"/>
        <v>0</v>
      </c>
      <c r="AE27" s="757">
        <f t="shared" ca="1" si="28"/>
        <v>0</v>
      </c>
      <c r="AF27" s="758">
        <f t="shared" ca="1" si="29"/>
        <v>0</v>
      </c>
      <c r="AG27" s="757">
        <f t="shared" ca="1" si="8"/>
        <v>0</v>
      </c>
      <c r="AH27" s="757">
        <f t="shared" ca="1" si="8"/>
        <v>0</v>
      </c>
      <c r="AI27" s="757">
        <f t="shared" ca="1" si="30"/>
        <v>0</v>
      </c>
      <c r="AJ27" s="758">
        <f t="shared" ca="1" si="31"/>
        <v>0</v>
      </c>
      <c r="AK27" s="759">
        <f t="shared" ca="1" si="32"/>
        <v>0</v>
      </c>
      <c r="AL27" s="757">
        <f t="shared" ca="1" si="41"/>
        <v>0</v>
      </c>
      <c r="AM27" s="757">
        <f t="shared" ca="1" si="41"/>
        <v>0</v>
      </c>
      <c r="AN27" s="757">
        <f t="shared" ca="1" si="41"/>
        <v>0</v>
      </c>
      <c r="AO27" s="757">
        <f t="shared" ca="1" si="41"/>
        <v>0</v>
      </c>
      <c r="AP27" s="757">
        <f t="shared" ca="1" si="41"/>
        <v>0</v>
      </c>
      <c r="AQ27" s="757">
        <f t="shared" ca="1" si="41"/>
        <v>0</v>
      </c>
      <c r="AR27" s="757">
        <f t="shared" ca="1" si="41"/>
        <v>0</v>
      </c>
      <c r="AS27" s="757">
        <f t="shared" ca="1" si="41"/>
        <v>0</v>
      </c>
      <c r="AT27" s="757">
        <f t="shared" ca="1" si="41"/>
        <v>0</v>
      </c>
      <c r="AU27" s="757">
        <f t="shared" ca="1" si="41"/>
        <v>0</v>
      </c>
      <c r="AV27" s="757">
        <f t="shared" ca="1" si="41"/>
        <v>0</v>
      </c>
      <c r="AW27" s="757">
        <f t="shared" ca="1" si="41"/>
        <v>0</v>
      </c>
      <c r="AX27" s="757">
        <f t="shared" ca="1" si="41"/>
        <v>0</v>
      </c>
      <c r="AY27" s="758">
        <f t="shared" ca="1" si="33"/>
        <v>0</v>
      </c>
      <c r="AZ27" s="757">
        <f t="shared" ca="1" si="10"/>
        <v>0</v>
      </c>
      <c r="BA27" s="757">
        <f t="shared" ca="1" si="10"/>
        <v>0</v>
      </c>
      <c r="BB27" s="757"/>
      <c r="BC27" s="758">
        <f t="shared" ca="1" si="34"/>
        <v>0</v>
      </c>
      <c r="BD27" s="759">
        <f t="shared" ca="1" si="35"/>
        <v>0</v>
      </c>
      <c r="BE27" s="195"/>
      <c r="BF27" s="708"/>
      <c r="BG27" s="703" t="str">
        <f>IF($BF27="","","ĐNSX"&amp; IF(LEN($BF27)=1,"0" &amp; $BF27,$BF27) &amp; "/" &amp; ThongTinChung!$C$5)</f>
        <v/>
      </c>
      <c r="BH27" s="100" t="str">
        <f t="shared" ca="1" si="11"/>
        <v/>
      </c>
      <c r="BI27" s="194" t="str">
        <f ca="1">IF($B27="","","C" &amp; ROW(MauKoXoa!$C$108) &amp; ":C" &amp;ROW(MauKoXoa!$C$174))</f>
        <v/>
      </c>
      <c r="BJ27" s="198" t="str">
        <f t="shared" ca="1" si="36"/>
        <v/>
      </c>
      <c r="BK27" s="198" t="str">
        <f t="shared" ca="1" si="37"/>
        <v/>
      </c>
      <c r="BL27" s="650" t="str">
        <f ca="1">IF(COUNTIF($BL$10:$BL26,IFERROR(INDEX(DanhMuc!$J$154:$J$165,MATCH($BJ27,DanhMuc!$B$154:$B$165,0)),""))&lt;1,IFERROR(INDEX(DanhMuc!$J$154:$J$165,MATCH($BJ27,DanhMuc!$B$154:$B$165,0)),""),"")</f>
        <v/>
      </c>
      <c r="BM27" s="650" t="str">
        <f ca="1">IF(COUNTIF($BM$10:$BM26,IFERROR(INDEX(DanhMuc!$D$168:$D$177,MATCH($BK27,DanhMuc!$C$168:$C$177,0)),""))&lt;1,IFERROR(INDEX(DanhMuc!$D$168:$D$177,MATCH($BK27,DanhMuc!$C$168:$C$177,0)),""),"")</f>
        <v/>
      </c>
      <c r="BN27" s="650" t="str">
        <f ca="1">IFERROR(INDEX(DanhMuc!$K$154:$K$165,MATCH($BJ27,DanhMuc!$B$154:$B$165,0)),"")</f>
        <v/>
      </c>
      <c r="BO27" s="653" t="str">
        <f t="shared" ca="1" si="38"/>
        <v/>
      </c>
      <c r="BP27" s="653" t="str">
        <f t="shared" ca="1" si="39"/>
        <v/>
      </c>
      <c r="BQ27" s="757">
        <f t="shared" ca="1" si="42"/>
        <v>0</v>
      </c>
      <c r="BR27" s="757">
        <f t="shared" ca="1" si="42"/>
        <v>0</v>
      </c>
      <c r="BS27" s="757">
        <f t="shared" ca="1" si="42"/>
        <v>0</v>
      </c>
      <c r="BT27" s="757">
        <f t="shared" ca="1" si="42"/>
        <v>0</v>
      </c>
      <c r="BU27" s="757">
        <f t="shared" ca="1" si="42"/>
        <v>0</v>
      </c>
      <c r="BV27" s="757">
        <f t="shared" ca="1" si="42"/>
        <v>0</v>
      </c>
      <c r="BW27" s="198"/>
    </row>
    <row r="28" spans="1:75" s="42" customFormat="1" ht="19.899999999999999" customHeight="1">
      <c r="A28" s="37" t="str">
        <f ca="1">IF(B28="","",MAX($A$10:A27)+1)</f>
        <v/>
      </c>
      <c r="B28" s="718" t="str">
        <f t="shared" ca="1" si="0"/>
        <v/>
      </c>
      <c r="C28" s="1166">
        <f t="shared" ca="1" si="13"/>
        <v>0</v>
      </c>
      <c r="D28" s="643" t="str">
        <f t="shared" ca="1" si="14"/>
        <v/>
      </c>
      <c r="E28" s="203"/>
      <c r="F28" s="38">
        <f t="shared" ca="1" si="15"/>
        <v>0</v>
      </c>
      <c r="G28" s="38">
        <f t="shared" ca="1" si="16"/>
        <v>0</v>
      </c>
      <c r="H28" s="1136">
        <f t="shared" ca="1" si="17"/>
        <v>0</v>
      </c>
      <c r="I28" s="38">
        <f t="shared" ca="1" si="18"/>
        <v>0</v>
      </c>
      <c r="J28" s="39">
        <f t="shared" si="19"/>
        <v>0</v>
      </c>
      <c r="K28" s="1137">
        <f t="shared" ca="1" si="20"/>
        <v>0</v>
      </c>
      <c r="L28" s="40">
        <f t="shared" ca="1" si="21"/>
        <v>0</v>
      </c>
      <c r="M28" s="40">
        <f t="shared" ca="1" si="22"/>
        <v>0</v>
      </c>
      <c r="N28" s="41">
        <f t="shared" ca="1" si="23"/>
        <v>0</v>
      </c>
      <c r="O28" s="762" t="str">
        <f t="shared" ca="1" si="1"/>
        <v/>
      </c>
      <c r="P28" s="756">
        <f t="shared" ca="1" si="24"/>
        <v>0</v>
      </c>
      <c r="Q28" s="757">
        <f t="shared" ca="1" si="25"/>
        <v>0</v>
      </c>
      <c r="R28" s="905">
        <f ca="1">IF($B28="",0,IFERROR(IFERROR(INDEX(DanhMuc!$J$180:$J$189,MATCH(MID(IFERROR(INDIRECT("'" &amp; $B28 &amp; "'!" &amp; $R$82),0),2,1)&amp;MID(IFERROR(INDIRECT("'" &amp; $B28 &amp; "'!" &amp; $R$82),0),7,2),DanhMuc!$I$180:$I$189,0)),INDEX(DanhMuc!$J$180:$J$189,MATCH(MID(IFERROR(INDIRECT("'" &amp; $B28 &amp; "'!" &amp; $R$82),0),2,1),DanhMuc!$I$180:$I$189,0))),0))</f>
        <v>0</v>
      </c>
      <c r="S28" s="757">
        <f t="shared" ca="1" si="26"/>
        <v>0</v>
      </c>
      <c r="T28" s="757">
        <f t="shared" ca="1" si="43"/>
        <v>0</v>
      </c>
      <c r="U28" s="757">
        <f t="shared" ca="1" si="27"/>
        <v>0</v>
      </c>
      <c r="V28" s="757">
        <f t="shared" ca="1" si="5"/>
        <v>0</v>
      </c>
      <c r="W28" s="757">
        <f t="shared" ca="1" si="5"/>
        <v>0</v>
      </c>
      <c r="X28" s="757">
        <f t="shared" ca="1" si="6"/>
        <v>0</v>
      </c>
      <c r="Y28" s="757">
        <f t="shared" ca="1" si="6"/>
        <v>0</v>
      </c>
      <c r="Z28" s="757">
        <f t="shared" ca="1" si="40"/>
        <v>0</v>
      </c>
      <c r="AA28" s="757">
        <f t="shared" ca="1" si="40"/>
        <v>0</v>
      </c>
      <c r="AB28" s="757">
        <f t="shared" ca="1" si="40"/>
        <v>0</v>
      </c>
      <c r="AC28" s="757">
        <f t="shared" ca="1" si="40"/>
        <v>0</v>
      </c>
      <c r="AD28" s="757">
        <f t="shared" ca="1" si="40"/>
        <v>0</v>
      </c>
      <c r="AE28" s="757">
        <f t="shared" ca="1" si="28"/>
        <v>0</v>
      </c>
      <c r="AF28" s="758">
        <f t="shared" ca="1" si="29"/>
        <v>0</v>
      </c>
      <c r="AG28" s="757">
        <f t="shared" ca="1" si="8"/>
        <v>0</v>
      </c>
      <c r="AH28" s="757">
        <f t="shared" ca="1" si="8"/>
        <v>0</v>
      </c>
      <c r="AI28" s="757">
        <f t="shared" ca="1" si="30"/>
        <v>0</v>
      </c>
      <c r="AJ28" s="758">
        <f t="shared" ca="1" si="31"/>
        <v>0</v>
      </c>
      <c r="AK28" s="759">
        <f t="shared" ca="1" si="32"/>
        <v>0</v>
      </c>
      <c r="AL28" s="757">
        <f t="shared" ca="1" si="41"/>
        <v>0</v>
      </c>
      <c r="AM28" s="757">
        <f t="shared" ca="1" si="41"/>
        <v>0</v>
      </c>
      <c r="AN28" s="757">
        <f t="shared" ca="1" si="41"/>
        <v>0</v>
      </c>
      <c r="AO28" s="757">
        <f t="shared" ca="1" si="41"/>
        <v>0</v>
      </c>
      <c r="AP28" s="757">
        <f t="shared" ca="1" si="41"/>
        <v>0</v>
      </c>
      <c r="AQ28" s="757">
        <f t="shared" ca="1" si="41"/>
        <v>0</v>
      </c>
      <c r="AR28" s="757">
        <f t="shared" ca="1" si="41"/>
        <v>0</v>
      </c>
      <c r="AS28" s="757">
        <f t="shared" ca="1" si="41"/>
        <v>0</v>
      </c>
      <c r="AT28" s="757">
        <f t="shared" ca="1" si="41"/>
        <v>0</v>
      </c>
      <c r="AU28" s="757">
        <f t="shared" ca="1" si="41"/>
        <v>0</v>
      </c>
      <c r="AV28" s="757">
        <f t="shared" ca="1" si="41"/>
        <v>0</v>
      </c>
      <c r="AW28" s="757">
        <f t="shared" ca="1" si="41"/>
        <v>0</v>
      </c>
      <c r="AX28" s="757">
        <f t="shared" ca="1" si="41"/>
        <v>0</v>
      </c>
      <c r="AY28" s="758">
        <f t="shared" ca="1" si="33"/>
        <v>0</v>
      </c>
      <c r="AZ28" s="757">
        <f t="shared" ca="1" si="10"/>
        <v>0</v>
      </c>
      <c r="BA28" s="757">
        <f t="shared" ca="1" si="10"/>
        <v>0</v>
      </c>
      <c r="BB28" s="757"/>
      <c r="BC28" s="758">
        <f t="shared" ca="1" si="34"/>
        <v>0</v>
      </c>
      <c r="BD28" s="759">
        <f t="shared" ca="1" si="35"/>
        <v>0</v>
      </c>
      <c r="BE28" s="195"/>
      <c r="BF28" s="708"/>
      <c r="BG28" s="703" t="str">
        <f>IF($BF28="","","ĐNSX"&amp; IF(LEN($BF28)=1,"0" &amp; $BF28,$BF28) &amp; "/" &amp; ThongTinChung!$C$5)</f>
        <v/>
      </c>
      <c r="BH28" s="100" t="str">
        <f t="shared" ca="1" si="11"/>
        <v/>
      </c>
      <c r="BI28" s="194" t="str">
        <f ca="1">IF($B28="","","C" &amp; ROW(MauKoXoa!$C$108) &amp; ":C" &amp;ROW(MauKoXoa!$C$174))</f>
        <v/>
      </c>
      <c r="BJ28" s="198" t="str">
        <f t="shared" ca="1" si="36"/>
        <v/>
      </c>
      <c r="BK28" s="198" t="str">
        <f t="shared" ca="1" si="37"/>
        <v/>
      </c>
      <c r="BL28" s="650" t="str">
        <f ca="1">IF(COUNTIF($BL$10:$BL27,IFERROR(INDEX(DanhMuc!$J$154:$J$165,MATCH($BJ28,DanhMuc!$B$154:$B$165,0)),""))&lt;1,IFERROR(INDEX(DanhMuc!$J$154:$J$165,MATCH($BJ28,DanhMuc!$B$154:$B$165,0)),""),"")</f>
        <v/>
      </c>
      <c r="BM28" s="650" t="str">
        <f ca="1">IF(COUNTIF($BM$10:$BM27,IFERROR(INDEX(DanhMuc!$D$168:$D$177,MATCH($BK28,DanhMuc!$C$168:$C$177,0)),""))&lt;1,IFERROR(INDEX(DanhMuc!$D$168:$D$177,MATCH($BK28,DanhMuc!$C$168:$C$177,0)),""),"")</f>
        <v/>
      </c>
      <c r="BN28" s="650" t="str">
        <f ca="1">IFERROR(INDEX(DanhMuc!$K$154:$K$165,MATCH($BJ28,DanhMuc!$B$154:$B$165,0)),"")</f>
        <v/>
      </c>
      <c r="BO28" s="653" t="str">
        <f t="shared" ca="1" si="38"/>
        <v/>
      </c>
      <c r="BP28" s="653" t="str">
        <f t="shared" ca="1" si="39"/>
        <v/>
      </c>
      <c r="BQ28" s="757">
        <f t="shared" ca="1" si="42"/>
        <v>0</v>
      </c>
      <c r="BR28" s="757">
        <f t="shared" ca="1" si="42"/>
        <v>0</v>
      </c>
      <c r="BS28" s="757">
        <f t="shared" ca="1" si="42"/>
        <v>0</v>
      </c>
      <c r="BT28" s="757">
        <f t="shared" ca="1" si="42"/>
        <v>0</v>
      </c>
      <c r="BU28" s="757">
        <f t="shared" ca="1" si="42"/>
        <v>0</v>
      </c>
      <c r="BV28" s="757">
        <f t="shared" ca="1" si="42"/>
        <v>0</v>
      </c>
      <c r="BW28" s="198"/>
    </row>
    <row r="29" spans="1:75" s="42" customFormat="1" ht="19.899999999999999" customHeight="1">
      <c r="A29" s="37" t="str">
        <f ca="1">IF(B29="","",MAX($A$10:A28)+1)</f>
        <v/>
      </c>
      <c r="B29" s="718" t="str">
        <f t="shared" ca="1" si="0"/>
        <v/>
      </c>
      <c r="C29" s="1166">
        <f t="shared" ca="1" si="13"/>
        <v>0</v>
      </c>
      <c r="D29" s="643" t="str">
        <f t="shared" ca="1" si="14"/>
        <v/>
      </c>
      <c r="E29" s="203"/>
      <c r="F29" s="38">
        <f t="shared" ca="1" si="15"/>
        <v>0</v>
      </c>
      <c r="G29" s="38">
        <f t="shared" ca="1" si="16"/>
        <v>0</v>
      </c>
      <c r="H29" s="1136">
        <f t="shared" ca="1" si="17"/>
        <v>0</v>
      </c>
      <c r="I29" s="38">
        <f t="shared" ca="1" si="18"/>
        <v>0</v>
      </c>
      <c r="J29" s="39">
        <f t="shared" si="19"/>
        <v>0</v>
      </c>
      <c r="K29" s="1137">
        <f t="shared" ca="1" si="20"/>
        <v>0</v>
      </c>
      <c r="L29" s="40">
        <f t="shared" ca="1" si="21"/>
        <v>0</v>
      </c>
      <c r="M29" s="40">
        <f t="shared" ca="1" si="22"/>
        <v>0</v>
      </c>
      <c r="N29" s="41">
        <f t="shared" ca="1" si="23"/>
        <v>0</v>
      </c>
      <c r="O29" s="762" t="str">
        <f t="shared" ca="1" si="1"/>
        <v/>
      </c>
      <c r="P29" s="756">
        <f t="shared" ca="1" si="24"/>
        <v>0</v>
      </c>
      <c r="Q29" s="757">
        <f t="shared" ca="1" si="25"/>
        <v>0</v>
      </c>
      <c r="R29" s="905">
        <f ca="1">IF($B29="",0,IFERROR(IFERROR(INDEX(DanhMuc!$J$180:$J$189,MATCH(MID(IFERROR(INDIRECT("'" &amp; $B29 &amp; "'!" &amp; $R$82),0),2,1)&amp;MID(IFERROR(INDIRECT("'" &amp; $B29 &amp; "'!" &amp; $R$82),0),7,2),DanhMuc!$I$180:$I$189,0)),INDEX(DanhMuc!$J$180:$J$189,MATCH(MID(IFERROR(INDIRECT("'" &amp; $B29 &amp; "'!" &amp; $R$82),0),2,1),DanhMuc!$I$180:$I$189,0))),0))</f>
        <v>0</v>
      </c>
      <c r="S29" s="757">
        <f t="shared" ca="1" si="26"/>
        <v>0</v>
      </c>
      <c r="T29" s="757">
        <f t="shared" ca="1" si="43"/>
        <v>0</v>
      </c>
      <c r="U29" s="757">
        <f t="shared" ca="1" si="27"/>
        <v>0</v>
      </c>
      <c r="V29" s="757">
        <f t="shared" ca="1" si="5"/>
        <v>0</v>
      </c>
      <c r="W29" s="757">
        <f t="shared" ca="1" si="5"/>
        <v>0</v>
      </c>
      <c r="X29" s="757">
        <f t="shared" ca="1" si="6"/>
        <v>0</v>
      </c>
      <c r="Y29" s="757">
        <f t="shared" ca="1" si="6"/>
        <v>0</v>
      </c>
      <c r="Z29" s="757">
        <f t="shared" ca="1" si="40"/>
        <v>0</v>
      </c>
      <c r="AA29" s="757">
        <f t="shared" ca="1" si="40"/>
        <v>0</v>
      </c>
      <c r="AB29" s="757">
        <f t="shared" ca="1" si="40"/>
        <v>0</v>
      </c>
      <c r="AC29" s="757">
        <f t="shared" ca="1" si="40"/>
        <v>0</v>
      </c>
      <c r="AD29" s="757">
        <f t="shared" ca="1" si="40"/>
        <v>0</v>
      </c>
      <c r="AE29" s="757">
        <f t="shared" ca="1" si="28"/>
        <v>0</v>
      </c>
      <c r="AF29" s="758">
        <f t="shared" ca="1" si="29"/>
        <v>0</v>
      </c>
      <c r="AG29" s="757">
        <f t="shared" ca="1" si="8"/>
        <v>0</v>
      </c>
      <c r="AH29" s="757">
        <f t="shared" ca="1" si="8"/>
        <v>0</v>
      </c>
      <c r="AI29" s="757">
        <f t="shared" ca="1" si="30"/>
        <v>0</v>
      </c>
      <c r="AJ29" s="758">
        <f t="shared" ca="1" si="31"/>
        <v>0</v>
      </c>
      <c r="AK29" s="759">
        <f t="shared" ca="1" si="32"/>
        <v>0</v>
      </c>
      <c r="AL29" s="757">
        <f t="shared" ca="1" si="41"/>
        <v>0</v>
      </c>
      <c r="AM29" s="757">
        <f t="shared" ca="1" si="41"/>
        <v>0</v>
      </c>
      <c r="AN29" s="757">
        <f t="shared" ca="1" si="41"/>
        <v>0</v>
      </c>
      <c r="AO29" s="757">
        <f t="shared" ca="1" si="41"/>
        <v>0</v>
      </c>
      <c r="AP29" s="757">
        <f t="shared" ca="1" si="41"/>
        <v>0</v>
      </c>
      <c r="AQ29" s="757">
        <f t="shared" ca="1" si="41"/>
        <v>0</v>
      </c>
      <c r="AR29" s="757">
        <f t="shared" ca="1" si="41"/>
        <v>0</v>
      </c>
      <c r="AS29" s="757">
        <f t="shared" ca="1" si="41"/>
        <v>0</v>
      </c>
      <c r="AT29" s="757">
        <f t="shared" ca="1" si="41"/>
        <v>0</v>
      </c>
      <c r="AU29" s="757">
        <f t="shared" ca="1" si="41"/>
        <v>0</v>
      </c>
      <c r="AV29" s="757">
        <f t="shared" ca="1" si="41"/>
        <v>0</v>
      </c>
      <c r="AW29" s="757">
        <f t="shared" ca="1" si="41"/>
        <v>0</v>
      </c>
      <c r="AX29" s="757">
        <f t="shared" ca="1" si="41"/>
        <v>0</v>
      </c>
      <c r="AY29" s="758">
        <f t="shared" ca="1" si="33"/>
        <v>0</v>
      </c>
      <c r="AZ29" s="757">
        <f t="shared" ca="1" si="10"/>
        <v>0</v>
      </c>
      <c r="BA29" s="757">
        <f t="shared" ca="1" si="10"/>
        <v>0</v>
      </c>
      <c r="BB29" s="757"/>
      <c r="BC29" s="758">
        <f t="shared" ca="1" si="34"/>
        <v>0</v>
      </c>
      <c r="BD29" s="759">
        <f t="shared" ca="1" si="35"/>
        <v>0</v>
      </c>
      <c r="BE29" s="195"/>
      <c r="BF29" s="708"/>
      <c r="BG29" s="703" t="str">
        <f>IF($BF29="","","ĐNSX"&amp; IF(LEN($BF29)=1,"0" &amp; $BF29,$BF29) &amp; "/" &amp; ThongTinChung!$C$5)</f>
        <v/>
      </c>
      <c r="BH29" s="100" t="str">
        <f t="shared" ca="1" si="11"/>
        <v/>
      </c>
      <c r="BI29" s="194" t="str">
        <f ca="1">IF($B29="","","C" &amp; ROW(MauKoXoa!$C$108) &amp; ":C" &amp;ROW(MauKoXoa!$C$174))</f>
        <v/>
      </c>
      <c r="BJ29" s="198" t="str">
        <f t="shared" ca="1" si="36"/>
        <v/>
      </c>
      <c r="BK29" s="198" t="str">
        <f t="shared" ca="1" si="37"/>
        <v/>
      </c>
      <c r="BL29" s="650" t="str">
        <f ca="1">IF(COUNTIF($BL$10:$BL28,IFERROR(INDEX(DanhMuc!$J$154:$J$165,MATCH($BJ29,DanhMuc!$B$154:$B$165,0)),""))&lt;1,IFERROR(INDEX(DanhMuc!$J$154:$J$165,MATCH($BJ29,DanhMuc!$B$154:$B$165,0)),""),"")</f>
        <v/>
      </c>
      <c r="BM29" s="650" t="str">
        <f ca="1">IF(COUNTIF($BM$10:$BM28,IFERROR(INDEX(DanhMuc!$D$168:$D$177,MATCH($BK29,DanhMuc!$C$168:$C$177,0)),""))&lt;1,IFERROR(INDEX(DanhMuc!$D$168:$D$177,MATCH($BK29,DanhMuc!$C$168:$C$177,0)),""),"")</f>
        <v/>
      </c>
      <c r="BN29" s="650" t="str">
        <f ca="1">IFERROR(INDEX(DanhMuc!$K$154:$K$165,MATCH($BJ29,DanhMuc!$B$154:$B$165,0)),"")</f>
        <v/>
      </c>
      <c r="BO29" s="653" t="str">
        <f t="shared" ca="1" si="38"/>
        <v/>
      </c>
      <c r="BP29" s="653" t="str">
        <f t="shared" ca="1" si="39"/>
        <v/>
      </c>
      <c r="BQ29" s="757">
        <f t="shared" ca="1" si="42"/>
        <v>0</v>
      </c>
      <c r="BR29" s="757">
        <f t="shared" ca="1" si="42"/>
        <v>0</v>
      </c>
      <c r="BS29" s="757">
        <f t="shared" ca="1" si="42"/>
        <v>0</v>
      </c>
      <c r="BT29" s="757">
        <f t="shared" ca="1" si="42"/>
        <v>0</v>
      </c>
      <c r="BU29" s="757">
        <f t="shared" ca="1" si="42"/>
        <v>0</v>
      </c>
      <c r="BV29" s="757">
        <f t="shared" ca="1" si="42"/>
        <v>0</v>
      </c>
      <c r="BW29" s="198"/>
    </row>
    <row r="30" spans="1:75" s="42" customFormat="1" ht="19.899999999999999" customHeight="1">
      <c r="A30" s="37" t="str">
        <f ca="1">IF(B30="","",MAX($A$10:A29)+1)</f>
        <v/>
      </c>
      <c r="B30" s="718" t="str">
        <f t="shared" ca="1" si="0"/>
        <v/>
      </c>
      <c r="C30" s="1166">
        <f t="shared" ca="1" si="13"/>
        <v>0</v>
      </c>
      <c r="D30" s="643" t="str">
        <f t="shared" ca="1" si="14"/>
        <v/>
      </c>
      <c r="E30" s="203"/>
      <c r="F30" s="38">
        <f t="shared" ca="1" si="15"/>
        <v>0</v>
      </c>
      <c r="G30" s="38">
        <f t="shared" ca="1" si="16"/>
        <v>0</v>
      </c>
      <c r="H30" s="1136">
        <f t="shared" ca="1" si="17"/>
        <v>0</v>
      </c>
      <c r="I30" s="38">
        <f t="shared" ca="1" si="18"/>
        <v>0</v>
      </c>
      <c r="J30" s="39">
        <f t="shared" si="19"/>
        <v>0</v>
      </c>
      <c r="K30" s="1137">
        <f t="shared" ca="1" si="20"/>
        <v>0</v>
      </c>
      <c r="L30" s="40">
        <f t="shared" ca="1" si="21"/>
        <v>0</v>
      </c>
      <c r="M30" s="40">
        <f t="shared" ca="1" si="22"/>
        <v>0</v>
      </c>
      <c r="N30" s="41">
        <f t="shared" ca="1" si="23"/>
        <v>0</v>
      </c>
      <c r="O30" s="762" t="str">
        <f t="shared" ca="1" si="1"/>
        <v/>
      </c>
      <c r="P30" s="756">
        <f t="shared" ca="1" si="24"/>
        <v>0</v>
      </c>
      <c r="Q30" s="757">
        <f t="shared" ca="1" si="25"/>
        <v>0</v>
      </c>
      <c r="R30" s="905">
        <f ca="1">IF($B30="",0,IFERROR(IFERROR(INDEX(DanhMuc!$J$180:$J$189,MATCH(MID(IFERROR(INDIRECT("'" &amp; $B30 &amp; "'!" &amp; $R$82),0),2,1)&amp;MID(IFERROR(INDIRECT("'" &amp; $B30 &amp; "'!" &amp; $R$82),0),7,2),DanhMuc!$I$180:$I$189,0)),INDEX(DanhMuc!$J$180:$J$189,MATCH(MID(IFERROR(INDIRECT("'" &amp; $B30 &amp; "'!" &amp; $R$82),0),2,1),DanhMuc!$I$180:$I$189,0))),0))</f>
        <v>0</v>
      </c>
      <c r="S30" s="757">
        <f t="shared" ca="1" si="26"/>
        <v>0</v>
      </c>
      <c r="T30" s="757">
        <f t="shared" ca="1" si="43"/>
        <v>0</v>
      </c>
      <c r="U30" s="757">
        <f t="shared" ca="1" si="27"/>
        <v>0</v>
      </c>
      <c r="V30" s="757">
        <f t="shared" ca="1" si="5"/>
        <v>0</v>
      </c>
      <c r="W30" s="757">
        <f t="shared" ca="1" si="5"/>
        <v>0</v>
      </c>
      <c r="X30" s="757">
        <f t="shared" ca="1" si="6"/>
        <v>0</v>
      </c>
      <c r="Y30" s="757">
        <f t="shared" ca="1" si="6"/>
        <v>0</v>
      </c>
      <c r="Z30" s="757">
        <f t="shared" ca="1" si="40"/>
        <v>0</v>
      </c>
      <c r="AA30" s="757">
        <f t="shared" ca="1" si="40"/>
        <v>0</v>
      </c>
      <c r="AB30" s="757">
        <f t="shared" ca="1" si="40"/>
        <v>0</v>
      </c>
      <c r="AC30" s="757">
        <f t="shared" ca="1" si="40"/>
        <v>0</v>
      </c>
      <c r="AD30" s="757">
        <f t="shared" ca="1" si="40"/>
        <v>0</v>
      </c>
      <c r="AE30" s="757">
        <f t="shared" ca="1" si="28"/>
        <v>0</v>
      </c>
      <c r="AF30" s="758">
        <f t="shared" ca="1" si="29"/>
        <v>0</v>
      </c>
      <c r="AG30" s="757">
        <f t="shared" ca="1" si="8"/>
        <v>0</v>
      </c>
      <c r="AH30" s="757">
        <f t="shared" ca="1" si="8"/>
        <v>0</v>
      </c>
      <c r="AI30" s="757">
        <f t="shared" ca="1" si="30"/>
        <v>0</v>
      </c>
      <c r="AJ30" s="758">
        <f t="shared" ca="1" si="31"/>
        <v>0</v>
      </c>
      <c r="AK30" s="759">
        <f t="shared" ca="1" si="32"/>
        <v>0</v>
      </c>
      <c r="AL30" s="757">
        <f t="shared" ca="1" si="41"/>
        <v>0</v>
      </c>
      <c r="AM30" s="757">
        <f t="shared" ca="1" si="41"/>
        <v>0</v>
      </c>
      <c r="AN30" s="757">
        <f t="shared" ca="1" si="41"/>
        <v>0</v>
      </c>
      <c r="AO30" s="757">
        <f t="shared" ca="1" si="41"/>
        <v>0</v>
      </c>
      <c r="AP30" s="757">
        <f t="shared" ca="1" si="41"/>
        <v>0</v>
      </c>
      <c r="AQ30" s="757">
        <f t="shared" ca="1" si="41"/>
        <v>0</v>
      </c>
      <c r="AR30" s="757">
        <f t="shared" ca="1" si="41"/>
        <v>0</v>
      </c>
      <c r="AS30" s="757">
        <f t="shared" ca="1" si="41"/>
        <v>0</v>
      </c>
      <c r="AT30" s="757">
        <f t="shared" ca="1" si="41"/>
        <v>0</v>
      </c>
      <c r="AU30" s="757">
        <f t="shared" ca="1" si="41"/>
        <v>0</v>
      </c>
      <c r="AV30" s="757">
        <f t="shared" ca="1" si="41"/>
        <v>0</v>
      </c>
      <c r="AW30" s="757">
        <f t="shared" ca="1" si="41"/>
        <v>0</v>
      </c>
      <c r="AX30" s="757">
        <f t="shared" ca="1" si="41"/>
        <v>0</v>
      </c>
      <c r="AY30" s="758">
        <f t="shared" ca="1" si="33"/>
        <v>0</v>
      </c>
      <c r="AZ30" s="757">
        <f t="shared" ca="1" si="10"/>
        <v>0</v>
      </c>
      <c r="BA30" s="757">
        <f t="shared" ca="1" si="10"/>
        <v>0</v>
      </c>
      <c r="BB30" s="757"/>
      <c r="BC30" s="758">
        <f t="shared" ca="1" si="34"/>
        <v>0</v>
      </c>
      <c r="BD30" s="759">
        <f t="shared" ca="1" si="35"/>
        <v>0</v>
      </c>
      <c r="BE30" s="195"/>
      <c r="BF30" s="708"/>
      <c r="BG30" s="703" t="str">
        <f>IF($BF30="","","ĐNSX"&amp; IF(LEN($BF30)=1,"0" &amp; $BF30,$BF30) &amp; "/" &amp; ThongTinChung!$C$5)</f>
        <v/>
      </c>
      <c r="BH30" s="100" t="str">
        <f t="shared" ca="1" si="11"/>
        <v/>
      </c>
      <c r="BI30" s="194" t="str">
        <f ca="1">IF($B30="","","C" &amp; ROW(MauKoXoa!$C$108) &amp; ":C" &amp;ROW(MauKoXoa!$C$174))</f>
        <v/>
      </c>
      <c r="BJ30" s="198" t="str">
        <f t="shared" ca="1" si="36"/>
        <v/>
      </c>
      <c r="BK30" s="198" t="str">
        <f t="shared" ca="1" si="37"/>
        <v/>
      </c>
      <c r="BL30" s="650" t="str">
        <f ca="1">IF(COUNTIF($BL$10:$BL29,IFERROR(INDEX(DanhMuc!$J$154:$J$165,MATCH($BJ30,DanhMuc!$B$154:$B$165,0)),""))&lt;1,IFERROR(INDEX(DanhMuc!$J$154:$J$165,MATCH($BJ30,DanhMuc!$B$154:$B$165,0)),""),"")</f>
        <v/>
      </c>
      <c r="BM30" s="650" t="str">
        <f ca="1">IF(COUNTIF($BM$10:$BM29,IFERROR(INDEX(DanhMuc!$D$168:$D$177,MATCH($BK30,DanhMuc!$C$168:$C$177,0)),""))&lt;1,IFERROR(INDEX(DanhMuc!$D$168:$D$177,MATCH($BK30,DanhMuc!$C$168:$C$177,0)),""),"")</f>
        <v/>
      </c>
      <c r="BN30" s="650" t="str">
        <f ca="1">IFERROR(INDEX(DanhMuc!$K$154:$K$165,MATCH($BJ30,DanhMuc!$B$154:$B$165,0)),"")</f>
        <v/>
      </c>
      <c r="BO30" s="653" t="str">
        <f t="shared" ca="1" si="38"/>
        <v/>
      </c>
      <c r="BP30" s="653" t="str">
        <f t="shared" ca="1" si="39"/>
        <v/>
      </c>
      <c r="BQ30" s="757">
        <f t="shared" ca="1" si="42"/>
        <v>0</v>
      </c>
      <c r="BR30" s="757">
        <f t="shared" ca="1" si="42"/>
        <v>0</v>
      </c>
      <c r="BS30" s="757">
        <f t="shared" ca="1" si="42"/>
        <v>0</v>
      </c>
      <c r="BT30" s="757">
        <f t="shared" ca="1" si="42"/>
        <v>0</v>
      </c>
      <c r="BU30" s="757">
        <f t="shared" ca="1" si="42"/>
        <v>0</v>
      </c>
      <c r="BV30" s="757">
        <f t="shared" ca="1" si="42"/>
        <v>0</v>
      </c>
      <c r="BW30" s="198"/>
    </row>
    <row r="31" spans="1:75" s="42" customFormat="1" ht="19.899999999999999" customHeight="1">
      <c r="A31" s="37" t="str">
        <f ca="1">IF(B31="","",MAX($A$10:A30)+1)</f>
        <v/>
      </c>
      <c r="B31" s="718" t="str">
        <f t="shared" ca="1" si="0"/>
        <v/>
      </c>
      <c r="C31" s="1166">
        <f t="shared" ca="1" si="13"/>
        <v>0</v>
      </c>
      <c r="D31" s="643" t="str">
        <f t="shared" ca="1" si="14"/>
        <v/>
      </c>
      <c r="E31" s="203"/>
      <c r="F31" s="38">
        <f t="shared" ca="1" si="15"/>
        <v>0</v>
      </c>
      <c r="G31" s="38">
        <f t="shared" ca="1" si="16"/>
        <v>0</v>
      </c>
      <c r="H31" s="1136">
        <f t="shared" ca="1" si="17"/>
        <v>0</v>
      </c>
      <c r="I31" s="38">
        <f t="shared" ca="1" si="18"/>
        <v>0</v>
      </c>
      <c r="J31" s="39">
        <f t="shared" si="19"/>
        <v>0</v>
      </c>
      <c r="K31" s="1137">
        <f t="shared" ca="1" si="20"/>
        <v>0</v>
      </c>
      <c r="L31" s="40">
        <f t="shared" ca="1" si="21"/>
        <v>0</v>
      </c>
      <c r="M31" s="40">
        <f t="shared" ca="1" si="22"/>
        <v>0</v>
      </c>
      <c r="N31" s="41">
        <f t="shared" ca="1" si="23"/>
        <v>0</v>
      </c>
      <c r="O31" s="762" t="str">
        <f t="shared" ca="1" si="1"/>
        <v/>
      </c>
      <c r="P31" s="756">
        <f t="shared" ca="1" si="24"/>
        <v>0</v>
      </c>
      <c r="Q31" s="757">
        <f t="shared" ca="1" si="25"/>
        <v>0</v>
      </c>
      <c r="R31" s="905">
        <f ca="1">IF($B31="",0,IFERROR(IFERROR(INDEX(DanhMuc!$J$180:$J$189,MATCH(MID(IFERROR(INDIRECT("'" &amp; $B31 &amp; "'!" &amp; $R$82),0),2,1)&amp;MID(IFERROR(INDIRECT("'" &amp; $B31 &amp; "'!" &amp; $R$82),0),7,2),DanhMuc!$I$180:$I$189,0)),INDEX(DanhMuc!$J$180:$J$189,MATCH(MID(IFERROR(INDIRECT("'" &amp; $B31 &amp; "'!" &amp; $R$82),0),2,1),DanhMuc!$I$180:$I$189,0))),0))</f>
        <v>0</v>
      </c>
      <c r="S31" s="757">
        <f t="shared" ca="1" si="26"/>
        <v>0</v>
      </c>
      <c r="T31" s="757">
        <f t="shared" ca="1" si="43"/>
        <v>0</v>
      </c>
      <c r="U31" s="757">
        <f t="shared" ca="1" si="27"/>
        <v>0</v>
      </c>
      <c r="V31" s="757">
        <f t="shared" ref="V31:W50" ca="1" si="44">IFERROR(INDIRECT("'" &amp; $B31 &amp; "'!" &amp; V$82)/IF($E31="md",$J31,IF($E31="m2",$K31,$I31)) * (1+V$10 ),0)</f>
        <v>0</v>
      </c>
      <c r="W31" s="757">
        <f t="shared" ca="1" si="44"/>
        <v>0</v>
      </c>
      <c r="X31" s="757">
        <f t="shared" ref="X31:Y50" ca="1" si="45">IFERROR(INDIRECT("'" &amp; $B31 &amp; "'!" &amp; X$82)/IF($E31="md",$J31,IF($E31="m2",$K31,$I31)) * (1+X$10),0)</f>
        <v>0</v>
      </c>
      <c r="Y31" s="757">
        <f t="shared" ca="1" si="45"/>
        <v>0</v>
      </c>
      <c r="Z31" s="757">
        <f t="shared" ref="Z31:AD40" ca="1" si="46">IFERROR(INDIRECT("'" &amp; $B31 &amp; "'!" &amp; Z$82)/IF($E31="md",$J31,IF($E31="m2",$K31,$I31)) * (1+Z$10 ),0)</f>
        <v>0</v>
      </c>
      <c r="AA31" s="757">
        <f t="shared" ca="1" si="46"/>
        <v>0</v>
      </c>
      <c r="AB31" s="757">
        <f t="shared" ca="1" si="46"/>
        <v>0</v>
      </c>
      <c r="AC31" s="757">
        <f t="shared" ca="1" si="46"/>
        <v>0</v>
      </c>
      <c r="AD31" s="757">
        <f t="shared" ca="1" si="46"/>
        <v>0</v>
      </c>
      <c r="AE31" s="757">
        <f t="shared" ca="1" si="28"/>
        <v>0</v>
      </c>
      <c r="AF31" s="758">
        <f t="shared" ca="1" si="29"/>
        <v>0</v>
      </c>
      <c r="AG31" s="757">
        <f t="shared" ref="AG31:AH50" ca="1" si="47">IFERROR(INDIRECT("'" &amp; $B31 &amp; "'!" &amp; AG$82)/$I31 * (1+AG$10 ),0)</f>
        <v>0</v>
      </c>
      <c r="AH31" s="757">
        <f t="shared" ca="1" si="47"/>
        <v>0</v>
      </c>
      <c r="AI31" s="757">
        <f t="shared" ca="1" si="30"/>
        <v>0</v>
      </c>
      <c r="AJ31" s="758">
        <f t="shared" ca="1" si="31"/>
        <v>0</v>
      </c>
      <c r="AK31" s="759">
        <f t="shared" ca="1" si="32"/>
        <v>0</v>
      </c>
      <c r="AL31" s="757">
        <f t="shared" ref="AL31:AX40" ca="1" si="48">IFERROR(INDIRECT("'" &amp; $B31 &amp; "'!" &amp; AL$82)/IF($E31="md",$J31,IF($E31="m2",$K31,$I31)),0)</f>
        <v>0</v>
      </c>
      <c r="AM31" s="757">
        <f t="shared" ca="1" si="48"/>
        <v>0</v>
      </c>
      <c r="AN31" s="757">
        <f t="shared" ca="1" si="48"/>
        <v>0</v>
      </c>
      <c r="AO31" s="757">
        <f t="shared" ca="1" si="48"/>
        <v>0</v>
      </c>
      <c r="AP31" s="757">
        <f t="shared" ca="1" si="48"/>
        <v>0</v>
      </c>
      <c r="AQ31" s="757">
        <f t="shared" ca="1" si="48"/>
        <v>0</v>
      </c>
      <c r="AR31" s="757">
        <f t="shared" ca="1" si="48"/>
        <v>0</v>
      </c>
      <c r="AS31" s="757">
        <f t="shared" ca="1" si="48"/>
        <v>0</v>
      </c>
      <c r="AT31" s="757">
        <f t="shared" ca="1" si="48"/>
        <v>0</v>
      </c>
      <c r="AU31" s="757">
        <f t="shared" ca="1" si="48"/>
        <v>0</v>
      </c>
      <c r="AV31" s="757">
        <f t="shared" ca="1" si="48"/>
        <v>0</v>
      </c>
      <c r="AW31" s="757">
        <f t="shared" ca="1" si="48"/>
        <v>0</v>
      </c>
      <c r="AX31" s="757">
        <f t="shared" ca="1" si="48"/>
        <v>0</v>
      </c>
      <c r="AY31" s="758">
        <f t="shared" ca="1" si="33"/>
        <v>0</v>
      </c>
      <c r="AZ31" s="757">
        <f t="shared" ref="AZ31:BA50" ca="1" si="49">IFERROR(INDIRECT("'" &amp; $B31 &amp; "'!" &amp; AZ$82)/$I31,0)</f>
        <v>0</v>
      </c>
      <c r="BA31" s="757">
        <f t="shared" ca="1" si="49"/>
        <v>0</v>
      </c>
      <c r="BB31" s="757"/>
      <c r="BC31" s="758">
        <f t="shared" ca="1" si="34"/>
        <v>0</v>
      </c>
      <c r="BD31" s="759">
        <f t="shared" ca="1" si="35"/>
        <v>0</v>
      </c>
      <c r="BE31" s="195"/>
      <c r="BF31" s="708"/>
      <c r="BG31" s="703" t="str">
        <f>IF($BF31="","","ĐNSX"&amp; IF(LEN($BF31)=1,"0" &amp; $BF31,$BF31) &amp; "/" &amp; ThongTinChung!$C$5)</f>
        <v/>
      </c>
      <c r="BH31" s="100" t="str">
        <f t="shared" ca="1" si="11"/>
        <v/>
      </c>
      <c r="BI31" s="194" t="str">
        <f ca="1">IF($B31="","","C" &amp; ROW(MauKoXoa!$C$108) &amp; ":C" &amp;ROW(MauKoXoa!$C$174))</f>
        <v/>
      </c>
      <c r="BJ31" s="198" t="str">
        <f t="shared" ca="1" si="36"/>
        <v/>
      </c>
      <c r="BK31" s="198" t="str">
        <f t="shared" ca="1" si="37"/>
        <v/>
      </c>
      <c r="BL31" s="650" t="str">
        <f ca="1">IF(COUNTIF($BL$10:$BL30,IFERROR(INDEX(DanhMuc!$J$154:$J$165,MATCH($BJ31,DanhMuc!$B$154:$B$165,0)),""))&lt;1,IFERROR(INDEX(DanhMuc!$J$154:$J$165,MATCH($BJ31,DanhMuc!$B$154:$B$165,0)),""),"")</f>
        <v/>
      </c>
      <c r="BM31" s="650" t="str">
        <f ca="1">IF(COUNTIF($BM$10:$BM30,IFERROR(INDEX(DanhMuc!$D$168:$D$177,MATCH($BK31,DanhMuc!$C$168:$C$177,0)),""))&lt;1,IFERROR(INDEX(DanhMuc!$D$168:$D$177,MATCH($BK31,DanhMuc!$C$168:$C$177,0)),""),"")</f>
        <v/>
      </c>
      <c r="BN31" s="650" t="str">
        <f ca="1">IFERROR(INDEX(DanhMuc!$K$154:$K$165,MATCH($BJ31,DanhMuc!$B$154:$B$165,0)),"")</f>
        <v/>
      </c>
      <c r="BO31" s="653" t="str">
        <f t="shared" ca="1" si="38"/>
        <v/>
      </c>
      <c r="BP31" s="653" t="str">
        <f t="shared" ca="1" si="39"/>
        <v/>
      </c>
      <c r="BQ31" s="757">
        <f t="shared" ref="BQ31:BV40" ca="1" si="50">IFERROR(INDIRECT("'" &amp; $B31 &amp; "'!" &amp; BQ$82),0)</f>
        <v>0</v>
      </c>
      <c r="BR31" s="757">
        <f t="shared" ca="1" si="50"/>
        <v>0</v>
      </c>
      <c r="BS31" s="757">
        <f t="shared" ca="1" si="50"/>
        <v>0</v>
      </c>
      <c r="BT31" s="757">
        <f t="shared" ca="1" si="50"/>
        <v>0</v>
      </c>
      <c r="BU31" s="757">
        <f t="shared" ca="1" si="50"/>
        <v>0</v>
      </c>
      <c r="BV31" s="757">
        <f t="shared" ca="1" si="50"/>
        <v>0</v>
      </c>
      <c r="BW31" s="198"/>
    </row>
    <row r="32" spans="1:75" s="42" customFormat="1" ht="19.899999999999999" customHeight="1">
      <c r="A32" s="37" t="str">
        <f ca="1">IF(B32="","",MAX($A$10:A31)+1)</f>
        <v/>
      </c>
      <c r="B32" s="718" t="str">
        <f t="shared" ca="1" si="0"/>
        <v/>
      </c>
      <c r="C32" s="1166">
        <f t="shared" ca="1" si="13"/>
        <v>0</v>
      </c>
      <c r="D32" s="643" t="str">
        <f t="shared" ca="1" si="14"/>
        <v/>
      </c>
      <c r="E32" s="203"/>
      <c r="F32" s="38">
        <f t="shared" ca="1" si="15"/>
        <v>0</v>
      </c>
      <c r="G32" s="38">
        <f t="shared" ca="1" si="16"/>
        <v>0</v>
      </c>
      <c r="H32" s="1136">
        <f t="shared" ca="1" si="17"/>
        <v>0</v>
      </c>
      <c r="I32" s="38">
        <f t="shared" ca="1" si="18"/>
        <v>0</v>
      </c>
      <c r="J32" s="39">
        <f t="shared" si="19"/>
        <v>0</v>
      </c>
      <c r="K32" s="1137">
        <f t="shared" ca="1" si="20"/>
        <v>0</v>
      </c>
      <c r="L32" s="40">
        <f t="shared" ca="1" si="21"/>
        <v>0</v>
      </c>
      <c r="M32" s="40">
        <f t="shared" ca="1" si="22"/>
        <v>0</v>
      </c>
      <c r="N32" s="41">
        <f t="shared" ca="1" si="23"/>
        <v>0</v>
      </c>
      <c r="O32" s="762" t="str">
        <f t="shared" ca="1" si="1"/>
        <v/>
      </c>
      <c r="P32" s="756">
        <f t="shared" ca="1" si="24"/>
        <v>0</v>
      </c>
      <c r="Q32" s="757">
        <f t="shared" ca="1" si="25"/>
        <v>0</v>
      </c>
      <c r="R32" s="905">
        <f ca="1">IF($B32="",0,IFERROR(IFERROR(INDEX(DanhMuc!$J$180:$J$189,MATCH(MID(IFERROR(INDIRECT("'" &amp; $B32 &amp; "'!" &amp; $R$82),0),2,1)&amp;MID(IFERROR(INDIRECT("'" &amp; $B32 &amp; "'!" &amp; $R$82),0),7,2),DanhMuc!$I$180:$I$189,0)),INDEX(DanhMuc!$J$180:$J$189,MATCH(MID(IFERROR(INDIRECT("'" &amp; $B32 &amp; "'!" &amp; $R$82),0),2,1),DanhMuc!$I$180:$I$189,0))),0))</f>
        <v>0</v>
      </c>
      <c r="S32" s="757">
        <f t="shared" ca="1" si="26"/>
        <v>0</v>
      </c>
      <c r="T32" s="757">
        <f t="shared" ca="1" si="43"/>
        <v>0</v>
      </c>
      <c r="U32" s="757">
        <f t="shared" ca="1" si="27"/>
        <v>0</v>
      </c>
      <c r="V32" s="757">
        <f t="shared" ca="1" si="44"/>
        <v>0</v>
      </c>
      <c r="W32" s="757">
        <f t="shared" ca="1" si="44"/>
        <v>0</v>
      </c>
      <c r="X32" s="757">
        <f t="shared" ca="1" si="45"/>
        <v>0</v>
      </c>
      <c r="Y32" s="757">
        <f t="shared" ca="1" si="45"/>
        <v>0</v>
      </c>
      <c r="Z32" s="757">
        <f t="shared" ca="1" si="46"/>
        <v>0</v>
      </c>
      <c r="AA32" s="757">
        <f t="shared" ca="1" si="46"/>
        <v>0</v>
      </c>
      <c r="AB32" s="757">
        <f t="shared" ca="1" si="46"/>
        <v>0</v>
      </c>
      <c r="AC32" s="757">
        <f t="shared" ca="1" si="46"/>
        <v>0</v>
      </c>
      <c r="AD32" s="757">
        <f t="shared" ca="1" si="46"/>
        <v>0</v>
      </c>
      <c r="AE32" s="757">
        <f t="shared" ca="1" si="28"/>
        <v>0</v>
      </c>
      <c r="AF32" s="758">
        <f t="shared" ca="1" si="29"/>
        <v>0</v>
      </c>
      <c r="AG32" s="757">
        <f t="shared" ca="1" si="47"/>
        <v>0</v>
      </c>
      <c r="AH32" s="757">
        <f t="shared" ca="1" si="47"/>
        <v>0</v>
      </c>
      <c r="AI32" s="757">
        <f t="shared" ca="1" si="30"/>
        <v>0</v>
      </c>
      <c r="AJ32" s="758">
        <f t="shared" ca="1" si="31"/>
        <v>0</v>
      </c>
      <c r="AK32" s="759">
        <f t="shared" ca="1" si="32"/>
        <v>0</v>
      </c>
      <c r="AL32" s="757">
        <f t="shared" ca="1" si="48"/>
        <v>0</v>
      </c>
      <c r="AM32" s="757">
        <f t="shared" ca="1" si="48"/>
        <v>0</v>
      </c>
      <c r="AN32" s="757">
        <f t="shared" ca="1" si="48"/>
        <v>0</v>
      </c>
      <c r="AO32" s="757">
        <f t="shared" ca="1" si="48"/>
        <v>0</v>
      </c>
      <c r="AP32" s="757">
        <f t="shared" ca="1" si="48"/>
        <v>0</v>
      </c>
      <c r="AQ32" s="757">
        <f t="shared" ca="1" si="48"/>
        <v>0</v>
      </c>
      <c r="AR32" s="757">
        <f t="shared" ca="1" si="48"/>
        <v>0</v>
      </c>
      <c r="AS32" s="757">
        <f t="shared" ca="1" si="48"/>
        <v>0</v>
      </c>
      <c r="AT32" s="757">
        <f t="shared" ca="1" si="48"/>
        <v>0</v>
      </c>
      <c r="AU32" s="757">
        <f t="shared" ca="1" si="48"/>
        <v>0</v>
      </c>
      <c r="AV32" s="757">
        <f t="shared" ca="1" si="48"/>
        <v>0</v>
      </c>
      <c r="AW32" s="757">
        <f t="shared" ca="1" si="48"/>
        <v>0</v>
      </c>
      <c r="AX32" s="757">
        <f t="shared" ca="1" si="48"/>
        <v>0</v>
      </c>
      <c r="AY32" s="758">
        <f t="shared" ca="1" si="33"/>
        <v>0</v>
      </c>
      <c r="AZ32" s="757">
        <f t="shared" ca="1" si="49"/>
        <v>0</v>
      </c>
      <c r="BA32" s="757">
        <f t="shared" ca="1" si="49"/>
        <v>0</v>
      </c>
      <c r="BB32" s="757"/>
      <c r="BC32" s="758">
        <f t="shared" ca="1" si="34"/>
        <v>0</v>
      </c>
      <c r="BD32" s="759">
        <f t="shared" ca="1" si="35"/>
        <v>0</v>
      </c>
      <c r="BE32" s="195"/>
      <c r="BF32" s="708"/>
      <c r="BG32" s="703" t="str">
        <f>IF($BF32="","","ĐNSX"&amp; IF(LEN($BF32)=1,"0" &amp; $BF32,$BF32) &amp; "/" &amp; ThongTinChung!$C$5)</f>
        <v/>
      </c>
      <c r="BH32" s="100" t="str">
        <f t="shared" ca="1" si="11"/>
        <v/>
      </c>
      <c r="BI32" s="194" t="str">
        <f ca="1">IF($B32="","","C" &amp; ROW(MauKoXoa!$C$108) &amp; ":C" &amp;ROW(MauKoXoa!$C$174))</f>
        <v/>
      </c>
      <c r="BJ32" s="198" t="str">
        <f t="shared" ca="1" si="36"/>
        <v/>
      </c>
      <c r="BK32" s="198" t="str">
        <f t="shared" ca="1" si="37"/>
        <v/>
      </c>
      <c r="BL32" s="650" t="str">
        <f ca="1">IF(COUNTIF($BL$10:$BL31,IFERROR(INDEX(DanhMuc!$J$154:$J$165,MATCH($BJ32,DanhMuc!$B$154:$B$165,0)),""))&lt;1,IFERROR(INDEX(DanhMuc!$J$154:$J$165,MATCH($BJ32,DanhMuc!$B$154:$B$165,0)),""),"")</f>
        <v/>
      </c>
      <c r="BM32" s="650" t="str">
        <f ca="1">IF(COUNTIF($BM$10:$BM31,IFERROR(INDEX(DanhMuc!$D$168:$D$177,MATCH($BK32,DanhMuc!$C$168:$C$177,0)),""))&lt;1,IFERROR(INDEX(DanhMuc!$D$168:$D$177,MATCH($BK32,DanhMuc!$C$168:$C$177,0)),""),"")</f>
        <v/>
      </c>
      <c r="BN32" s="650" t="str">
        <f ca="1">IFERROR(INDEX(DanhMuc!$K$154:$K$165,MATCH($BJ32,DanhMuc!$B$154:$B$165,0)),"")</f>
        <v/>
      </c>
      <c r="BO32" s="653" t="str">
        <f t="shared" ca="1" si="38"/>
        <v/>
      </c>
      <c r="BP32" s="653" t="str">
        <f t="shared" ca="1" si="39"/>
        <v/>
      </c>
      <c r="BQ32" s="757">
        <f t="shared" ca="1" si="50"/>
        <v>0</v>
      </c>
      <c r="BR32" s="757">
        <f t="shared" ca="1" si="50"/>
        <v>0</v>
      </c>
      <c r="BS32" s="757">
        <f t="shared" ca="1" si="50"/>
        <v>0</v>
      </c>
      <c r="BT32" s="757">
        <f t="shared" ca="1" si="50"/>
        <v>0</v>
      </c>
      <c r="BU32" s="757">
        <f t="shared" ca="1" si="50"/>
        <v>0</v>
      </c>
      <c r="BV32" s="757">
        <f t="shared" ca="1" si="50"/>
        <v>0</v>
      </c>
      <c r="BW32" s="198"/>
    </row>
    <row r="33" spans="1:75" s="42" customFormat="1" ht="19.899999999999999" customHeight="1">
      <c r="A33" s="37" t="str">
        <f ca="1">IF(B33="","",MAX($A$10:A32)+1)</f>
        <v/>
      </c>
      <c r="B33" s="718" t="str">
        <f t="shared" ca="1" si="0"/>
        <v/>
      </c>
      <c r="C33" s="1166">
        <f t="shared" ca="1" si="13"/>
        <v>0</v>
      </c>
      <c r="D33" s="643" t="str">
        <f t="shared" ca="1" si="14"/>
        <v/>
      </c>
      <c r="E33" s="203"/>
      <c r="F33" s="38">
        <f t="shared" ca="1" si="15"/>
        <v>0</v>
      </c>
      <c r="G33" s="38">
        <f t="shared" ca="1" si="16"/>
        <v>0</v>
      </c>
      <c r="H33" s="1136">
        <f t="shared" ca="1" si="17"/>
        <v>0</v>
      </c>
      <c r="I33" s="38">
        <f t="shared" ca="1" si="18"/>
        <v>0</v>
      </c>
      <c r="J33" s="39">
        <f t="shared" si="19"/>
        <v>0</v>
      </c>
      <c r="K33" s="1137">
        <f t="shared" ca="1" si="20"/>
        <v>0</v>
      </c>
      <c r="L33" s="40">
        <f t="shared" ca="1" si="21"/>
        <v>0</v>
      </c>
      <c r="M33" s="40">
        <f t="shared" ca="1" si="22"/>
        <v>0</v>
      </c>
      <c r="N33" s="41">
        <f t="shared" ca="1" si="23"/>
        <v>0</v>
      </c>
      <c r="O33" s="762" t="str">
        <f t="shared" ca="1" si="1"/>
        <v/>
      </c>
      <c r="P33" s="756">
        <f t="shared" ca="1" si="24"/>
        <v>0</v>
      </c>
      <c r="Q33" s="757">
        <f t="shared" ca="1" si="25"/>
        <v>0</v>
      </c>
      <c r="R33" s="905">
        <f ca="1">IF($B33="",0,IFERROR(IFERROR(INDEX(DanhMuc!$J$180:$J$189,MATCH(MID(IFERROR(INDIRECT("'" &amp; $B33 &amp; "'!" &amp; $R$82),0),2,1)&amp;MID(IFERROR(INDIRECT("'" &amp; $B33 &amp; "'!" &amp; $R$82),0),7,2),DanhMuc!$I$180:$I$189,0)),INDEX(DanhMuc!$J$180:$J$189,MATCH(MID(IFERROR(INDIRECT("'" &amp; $B33 &amp; "'!" &amp; $R$82),0),2,1),DanhMuc!$I$180:$I$189,0))),0))</f>
        <v>0</v>
      </c>
      <c r="S33" s="757">
        <f t="shared" ca="1" si="26"/>
        <v>0</v>
      </c>
      <c r="T33" s="757">
        <f t="shared" ca="1" si="43"/>
        <v>0</v>
      </c>
      <c r="U33" s="757">
        <f t="shared" ca="1" si="27"/>
        <v>0</v>
      </c>
      <c r="V33" s="757">
        <f t="shared" ca="1" si="44"/>
        <v>0</v>
      </c>
      <c r="W33" s="757">
        <f t="shared" ca="1" si="44"/>
        <v>0</v>
      </c>
      <c r="X33" s="757">
        <f t="shared" ca="1" si="45"/>
        <v>0</v>
      </c>
      <c r="Y33" s="757">
        <f t="shared" ca="1" si="45"/>
        <v>0</v>
      </c>
      <c r="Z33" s="757">
        <f t="shared" ca="1" si="46"/>
        <v>0</v>
      </c>
      <c r="AA33" s="757">
        <f t="shared" ca="1" si="46"/>
        <v>0</v>
      </c>
      <c r="AB33" s="757">
        <f t="shared" ca="1" si="46"/>
        <v>0</v>
      </c>
      <c r="AC33" s="757">
        <f t="shared" ca="1" si="46"/>
        <v>0</v>
      </c>
      <c r="AD33" s="757">
        <f t="shared" ca="1" si="46"/>
        <v>0</v>
      </c>
      <c r="AE33" s="757">
        <f t="shared" ca="1" si="28"/>
        <v>0</v>
      </c>
      <c r="AF33" s="758">
        <f t="shared" ca="1" si="29"/>
        <v>0</v>
      </c>
      <c r="AG33" s="757">
        <f t="shared" ca="1" si="47"/>
        <v>0</v>
      </c>
      <c r="AH33" s="757">
        <f t="shared" ca="1" si="47"/>
        <v>0</v>
      </c>
      <c r="AI33" s="757">
        <f t="shared" ca="1" si="30"/>
        <v>0</v>
      </c>
      <c r="AJ33" s="758">
        <f t="shared" ca="1" si="31"/>
        <v>0</v>
      </c>
      <c r="AK33" s="759">
        <f t="shared" ca="1" si="32"/>
        <v>0</v>
      </c>
      <c r="AL33" s="757">
        <f t="shared" ca="1" si="48"/>
        <v>0</v>
      </c>
      <c r="AM33" s="757">
        <f t="shared" ca="1" si="48"/>
        <v>0</v>
      </c>
      <c r="AN33" s="757">
        <f t="shared" ca="1" si="48"/>
        <v>0</v>
      </c>
      <c r="AO33" s="757">
        <f t="shared" ca="1" si="48"/>
        <v>0</v>
      </c>
      <c r="AP33" s="757">
        <f t="shared" ca="1" si="48"/>
        <v>0</v>
      </c>
      <c r="AQ33" s="757">
        <f t="shared" ca="1" si="48"/>
        <v>0</v>
      </c>
      <c r="AR33" s="757">
        <f t="shared" ca="1" si="48"/>
        <v>0</v>
      </c>
      <c r="AS33" s="757">
        <f t="shared" ca="1" si="48"/>
        <v>0</v>
      </c>
      <c r="AT33" s="757">
        <f t="shared" ca="1" si="48"/>
        <v>0</v>
      </c>
      <c r="AU33" s="757">
        <f t="shared" ca="1" si="48"/>
        <v>0</v>
      </c>
      <c r="AV33" s="757">
        <f t="shared" ca="1" si="48"/>
        <v>0</v>
      </c>
      <c r="AW33" s="757">
        <f t="shared" ca="1" si="48"/>
        <v>0</v>
      </c>
      <c r="AX33" s="757">
        <f t="shared" ca="1" si="48"/>
        <v>0</v>
      </c>
      <c r="AY33" s="758">
        <f t="shared" ca="1" si="33"/>
        <v>0</v>
      </c>
      <c r="AZ33" s="757">
        <f t="shared" ca="1" si="49"/>
        <v>0</v>
      </c>
      <c r="BA33" s="757">
        <f t="shared" ca="1" si="49"/>
        <v>0</v>
      </c>
      <c r="BB33" s="757"/>
      <c r="BC33" s="758">
        <f t="shared" ca="1" si="34"/>
        <v>0</v>
      </c>
      <c r="BD33" s="759">
        <f t="shared" ca="1" si="35"/>
        <v>0</v>
      </c>
      <c r="BE33" s="195"/>
      <c r="BF33" s="708"/>
      <c r="BG33" s="703" t="str">
        <f>IF($BF33="","","ĐNSX"&amp; IF(LEN($BF33)=1,"0" &amp; $BF33,$BF33) &amp; "/" &amp; ThongTinChung!$C$5)</f>
        <v/>
      </c>
      <c r="BH33" s="100" t="str">
        <f t="shared" ca="1" si="11"/>
        <v/>
      </c>
      <c r="BI33" s="194" t="str">
        <f ca="1">IF($B33="","","C" &amp; ROW(MauKoXoa!$C$108) &amp; ":C" &amp;ROW(MauKoXoa!$C$174))</f>
        <v/>
      </c>
      <c r="BJ33" s="198" t="str">
        <f t="shared" ca="1" si="36"/>
        <v/>
      </c>
      <c r="BK33" s="198" t="str">
        <f t="shared" ca="1" si="37"/>
        <v/>
      </c>
      <c r="BL33" s="650" t="str">
        <f ca="1">IF(COUNTIF($BL$10:$BL32,IFERROR(INDEX(DanhMuc!$J$154:$J$165,MATCH($BJ33,DanhMuc!$B$154:$B$165,0)),""))&lt;1,IFERROR(INDEX(DanhMuc!$J$154:$J$165,MATCH($BJ33,DanhMuc!$B$154:$B$165,0)),""),"")</f>
        <v/>
      </c>
      <c r="BM33" s="650" t="str">
        <f ca="1">IF(COUNTIF($BM$10:$BM32,IFERROR(INDEX(DanhMuc!$D$168:$D$177,MATCH($BK33,DanhMuc!$C$168:$C$177,0)),""))&lt;1,IFERROR(INDEX(DanhMuc!$D$168:$D$177,MATCH($BK33,DanhMuc!$C$168:$C$177,0)),""),"")</f>
        <v/>
      </c>
      <c r="BN33" s="650" t="str">
        <f ca="1">IFERROR(INDEX(DanhMuc!$K$154:$K$165,MATCH($BJ33,DanhMuc!$B$154:$B$165,0)),"")</f>
        <v/>
      </c>
      <c r="BO33" s="653" t="str">
        <f t="shared" ca="1" si="38"/>
        <v/>
      </c>
      <c r="BP33" s="653" t="str">
        <f t="shared" ca="1" si="39"/>
        <v/>
      </c>
      <c r="BQ33" s="757">
        <f t="shared" ca="1" si="50"/>
        <v>0</v>
      </c>
      <c r="BR33" s="757">
        <f t="shared" ca="1" si="50"/>
        <v>0</v>
      </c>
      <c r="BS33" s="757">
        <f t="shared" ca="1" si="50"/>
        <v>0</v>
      </c>
      <c r="BT33" s="757">
        <f t="shared" ca="1" si="50"/>
        <v>0</v>
      </c>
      <c r="BU33" s="757">
        <f t="shared" ca="1" si="50"/>
        <v>0</v>
      </c>
      <c r="BV33" s="757">
        <f t="shared" ca="1" si="50"/>
        <v>0</v>
      </c>
      <c r="BW33" s="198"/>
    </row>
    <row r="34" spans="1:75" s="42" customFormat="1" ht="19.899999999999999" customHeight="1">
      <c r="A34" s="37" t="str">
        <f ca="1">IF(B34="","",MAX($A$10:A33)+1)</f>
        <v/>
      </c>
      <c r="B34" s="718" t="str">
        <f t="shared" ca="1" si="0"/>
        <v/>
      </c>
      <c r="C34" s="1166">
        <f t="shared" ca="1" si="13"/>
        <v>0</v>
      </c>
      <c r="D34" s="643" t="str">
        <f t="shared" ca="1" si="14"/>
        <v/>
      </c>
      <c r="E34" s="203"/>
      <c r="F34" s="38">
        <f t="shared" ca="1" si="15"/>
        <v>0</v>
      </c>
      <c r="G34" s="38">
        <f t="shared" ca="1" si="16"/>
        <v>0</v>
      </c>
      <c r="H34" s="1136">
        <f t="shared" ca="1" si="17"/>
        <v>0</v>
      </c>
      <c r="I34" s="38">
        <f t="shared" ca="1" si="18"/>
        <v>0</v>
      </c>
      <c r="J34" s="39">
        <f t="shared" si="19"/>
        <v>0</v>
      </c>
      <c r="K34" s="1137">
        <f t="shared" ca="1" si="20"/>
        <v>0</v>
      </c>
      <c r="L34" s="40">
        <f t="shared" ca="1" si="21"/>
        <v>0</v>
      </c>
      <c r="M34" s="40">
        <f t="shared" ca="1" si="22"/>
        <v>0</v>
      </c>
      <c r="N34" s="41">
        <f t="shared" ca="1" si="23"/>
        <v>0</v>
      </c>
      <c r="O34" s="762" t="str">
        <f t="shared" ca="1" si="1"/>
        <v/>
      </c>
      <c r="P34" s="756">
        <f t="shared" ca="1" si="24"/>
        <v>0</v>
      </c>
      <c r="Q34" s="757">
        <f t="shared" ca="1" si="25"/>
        <v>0</v>
      </c>
      <c r="R34" s="905">
        <f ca="1">IF($B34="",0,IFERROR(IFERROR(INDEX(DanhMuc!$J$180:$J$189,MATCH(MID(IFERROR(INDIRECT("'" &amp; $B34 &amp; "'!" &amp; $R$82),0),2,1)&amp;MID(IFERROR(INDIRECT("'" &amp; $B34 &amp; "'!" &amp; $R$82),0),7,2),DanhMuc!$I$180:$I$189,0)),INDEX(DanhMuc!$J$180:$J$189,MATCH(MID(IFERROR(INDIRECT("'" &amp; $B34 &amp; "'!" &amp; $R$82),0),2,1),DanhMuc!$I$180:$I$189,0))),0))</f>
        <v>0</v>
      </c>
      <c r="S34" s="757">
        <f t="shared" ca="1" si="26"/>
        <v>0</v>
      </c>
      <c r="T34" s="757">
        <f t="shared" ca="1" si="43"/>
        <v>0</v>
      </c>
      <c r="U34" s="757">
        <f t="shared" ca="1" si="27"/>
        <v>0</v>
      </c>
      <c r="V34" s="757">
        <f t="shared" ca="1" si="44"/>
        <v>0</v>
      </c>
      <c r="W34" s="757">
        <f t="shared" ca="1" si="44"/>
        <v>0</v>
      </c>
      <c r="X34" s="757">
        <f t="shared" ca="1" si="45"/>
        <v>0</v>
      </c>
      <c r="Y34" s="757">
        <f t="shared" ca="1" si="45"/>
        <v>0</v>
      </c>
      <c r="Z34" s="757">
        <f t="shared" ca="1" si="46"/>
        <v>0</v>
      </c>
      <c r="AA34" s="757">
        <f t="shared" ca="1" si="46"/>
        <v>0</v>
      </c>
      <c r="AB34" s="757">
        <f t="shared" ca="1" si="46"/>
        <v>0</v>
      </c>
      <c r="AC34" s="757">
        <f t="shared" ca="1" si="46"/>
        <v>0</v>
      </c>
      <c r="AD34" s="757">
        <f t="shared" ca="1" si="46"/>
        <v>0</v>
      </c>
      <c r="AE34" s="757">
        <f t="shared" ca="1" si="28"/>
        <v>0</v>
      </c>
      <c r="AF34" s="758">
        <f t="shared" ca="1" si="29"/>
        <v>0</v>
      </c>
      <c r="AG34" s="757">
        <f t="shared" ca="1" si="47"/>
        <v>0</v>
      </c>
      <c r="AH34" s="757">
        <f t="shared" ca="1" si="47"/>
        <v>0</v>
      </c>
      <c r="AI34" s="757">
        <f t="shared" ca="1" si="30"/>
        <v>0</v>
      </c>
      <c r="AJ34" s="758">
        <f t="shared" ca="1" si="31"/>
        <v>0</v>
      </c>
      <c r="AK34" s="759">
        <f t="shared" ca="1" si="32"/>
        <v>0</v>
      </c>
      <c r="AL34" s="757">
        <f t="shared" ca="1" si="48"/>
        <v>0</v>
      </c>
      <c r="AM34" s="757">
        <f t="shared" ca="1" si="48"/>
        <v>0</v>
      </c>
      <c r="AN34" s="757">
        <f t="shared" ca="1" si="48"/>
        <v>0</v>
      </c>
      <c r="AO34" s="757">
        <f t="shared" ca="1" si="48"/>
        <v>0</v>
      </c>
      <c r="AP34" s="757">
        <f t="shared" ca="1" si="48"/>
        <v>0</v>
      </c>
      <c r="AQ34" s="757">
        <f t="shared" ca="1" si="48"/>
        <v>0</v>
      </c>
      <c r="AR34" s="757">
        <f t="shared" ca="1" si="48"/>
        <v>0</v>
      </c>
      <c r="AS34" s="757">
        <f t="shared" ca="1" si="48"/>
        <v>0</v>
      </c>
      <c r="AT34" s="757">
        <f t="shared" ca="1" si="48"/>
        <v>0</v>
      </c>
      <c r="AU34" s="757">
        <f t="shared" ca="1" si="48"/>
        <v>0</v>
      </c>
      <c r="AV34" s="757">
        <f t="shared" ca="1" si="48"/>
        <v>0</v>
      </c>
      <c r="AW34" s="757">
        <f t="shared" ca="1" si="48"/>
        <v>0</v>
      </c>
      <c r="AX34" s="757">
        <f t="shared" ca="1" si="48"/>
        <v>0</v>
      </c>
      <c r="AY34" s="758">
        <f t="shared" ca="1" si="33"/>
        <v>0</v>
      </c>
      <c r="AZ34" s="757">
        <f t="shared" ca="1" si="49"/>
        <v>0</v>
      </c>
      <c r="BA34" s="757">
        <f t="shared" ca="1" si="49"/>
        <v>0</v>
      </c>
      <c r="BB34" s="757"/>
      <c r="BC34" s="758">
        <f t="shared" ca="1" si="34"/>
        <v>0</v>
      </c>
      <c r="BD34" s="759">
        <f t="shared" ca="1" si="35"/>
        <v>0</v>
      </c>
      <c r="BE34" s="195"/>
      <c r="BF34" s="708"/>
      <c r="BG34" s="703" t="str">
        <f>IF($BF34="","","ĐNSX"&amp; IF(LEN($BF34)=1,"0" &amp; $BF34,$BF34) &amp; "/" &amp; ThongTinChung!$C$5)</f>
        <v/>
      </c>
      <c r="BH34" s="100" t="str">
        <f t="shared" ca="1" si="11"/>
        <v/>
      </c>
      <c r="BI34" s="194" t="str">
        <f ca="1">IF($B34="","","C" &amp; ROW(MauKoXoa!$C$108) &amp; ":C" &amp;ROW(MauKoXoa!$C$174))</f>
        <v/>
      </c>
      <c r="BJ34" s="198" t="str">
        <f t="shared" ca="1" si="36"/>
        <v/>
      </c>
      <c r="BK34" s="198" t="str">
        <f t="shared" ca="1" si="37"/>
        <v/>
      </c>
      <c r="BL34" s="650" t="str">
        <f ca="1">IF(COUNTIF($BL$10:$BL33,IFERROR(INDEX(DanhMuc!$J$154:$J$165,MATCH($BJ34,DanhMuc!$B$154:$B$165,0)),""))&lt;1,IFERROR(INDEX(DanhMuc!$J$154:$J$165,MATCH($BJ34,DanhMuc!$B$154:$B$165,0)),""),"")</f>
        <v/>
      </c>
      <c r="BM34" s="650" t="str">
        <f ca="1">IF(COUNTIF($BM$10:$BM33,IFERROR(INDEX(DanhMuc!$D$168:$D$177,MATCH($BK34,DanhMuc!$C$168:$C$177,0)),""))&lt;1,IFERROR(INDEX(DanhMuc!$D$168:$D$177,MATCH($BK34,DanhMuc!$C$168:$C$177,0)),""),"")</f>
        <v/>
      </c>
      <c r="BN34" s="650" t="str">
        <f ca="1">IFERROR(INDEX(DanhMuc!$K$154:$K$165,MATCH($BJ34,DanhMuc!$B$154:$B$165,0)),"")</f>
        <v/>
      </c>
      <c r="BO34" s="653" t="str">
        <f t="shared" ca="1" si="38"/>
        <v/>
      </c>
      <c r="BP34" s="653" t="str">
        <f t="shared" ca="1" si="39"/>
        <v/>
      </c>
      <c r="BQ34" s="757">
        <f t="shared" ca="1" si="50"/>
        <v>0</v>
      </c>
      <c r="BR34" s="757">
        <f t="shared" ca="1" si="50"/>
        <v>0</v>
      </c>
      <c r="BS34" s="757">
        <f t="shared" ca="1" si="50"/>
        <v>0</v>
      </c>
      <c r="BT34" s="757">
        <f t="shared" ca="1" si="50"/>
        <v>0</v>
      </c>
      <c r="BU34" s="757">
        <f t="shared" ca="1" si="50"/>
        <v>0</v>
      </c>
      <c r="BV34" s="757">
        <f t="shared" ca="1" si="50"/>
        <v>0</v>
      </c>
      <c r="BW34" s="198"/>
    </row>
    <row r="35" spans="1:75" s="42" customFormat="1" ht="19.899999999999999" customHeight="1">
      <c r="A35" s="37" t="str">
        <f ca="1">IF(B35="","",MAX($A$10:A34)+1)</f>
        <v/>
      </c>
      <c r="B35" s="718" t="str">
        <f t="shared" ca="1" si="0"/>
        <v/>
      </c>
      <c r="C35" s="1166">
        <f t="shared" ca="1" si="13"/>
        <v>0</v>
      </c>
      <c r="D35" s="643" t="str">
        <f t="shared" ca="1" si="14"/>
        <v/>
      </c>
      <c r="E35" s="203"/>
      <c r="F35" s="38">
        <f t="shared" ca="1" si="15"/>
        <v>0</v>
      </c>
      <c r="G35" s="38">
        <f t="shared" ca="1" si="16"/>
        <v>0</v>
      </c>
      <c r="H35" s="1136">
        <f t="shared" ca="1" si="17"/>
        <v>0</v>
      </c>
      <c r="I35" s="38">
        <f t="shared" ca="1" si="18"/>
        <v>0</v>
      </c>
      <c r="J35" s="39">
        <f t="shared" si="19"/>
        <v>0</v>
      </c>
      <c r="K35" s="1137">
        <f t="shared" ca="1" si="20"/>
        <v>0</v>
      </c>
      <c r="L35" s="40">
        <f t="shared" ca="1" si="21"/>
        <v>0</v>
      </c>
      <c r="M35" s="40">
        <f t="shared" ca="1" si="22"/>
        <v>0</v>
      </c>
      <c r="N35" s="41">
        <f t="shared" ca="1" si="23"/>
        <v>0</v>
      </c>
      <c r="O35" s="762" t="str">
        <f t="shared" ca="1" si="1"/>
        <v/>
      </c>
      <c r="P35" s="756">
        <f t="shared" ca="1" si="24"/>
        <v>0</v>
      </c>
      <c r="Q35" s="757">
        <f t="shared" ca="1" si="25"/>
        <v>0</v>
      </c>
      <c r="R35" s="905">
        <f ca="1">IF($B35="",0,IFERROR(IFERROR(INDEX(DanhMuc!$J$180:$J$189,MATCH(MID(IFERROR(INDIRECT("'" &amp; $B35 &amp; "'!" &amp; $R$82),0),2,1)&amp;MID(IFERROR(INDIRECT("'" &amp; $B35 &amp; "'!" &amp; $R$82),0),7,2),DanhMuc!$I$180:$I$189,0)),INDEX(DanhMuc!$J$180:$J$189,MATCH(MID(IFERROR(INDIRECT("'" &amp; $B35 &amp; "'!" &amp; $R$82),0),2,1),DanhMuc!$I$180:$I$189,0))),0))</f>
        <v>0</v>
      </c>
      <c r="S35" s="757">
        <f t="shared" ca="1" si="26"/>
        <v>0</v>
      </c>
      <c r="T35" s="757">
        <f t="shared" ca="1" si="43"/>
        <v>0</v>
      </c>
      <c r="U35" s="757">
        <f t="shared" ca="1" si="27"/>
        <v>0</v>
      </c>
      <c r="V35" s="757">
        <f t="shared" ca="1" si="44"/>
        <v>0</v>
      </c>
      <c r="W35" s="757">
        <f t="shared" ca="1" si="44"/>
        <v>0</v>
      </c>
      <c r="X35" s="757">
        <f t="shared" ca="1" si="45"/>
        <v>0</v>
      </c>
      <c r="Y35" s="757">
        <f t="shared" ca="1" si="45"/>
        <v>0</v>
      </c>
      <c r="Z35" s="757">
        <f t="shared" ca="1" si="46"/>
        <v>0</v>
      </c>
      <c r="AA35" s="757">
        <f t="shared" ca="1" si="46"/>
        <v>0</v>
      </c>
      <c r="AB35" s="757">
        <f t="shared" ca="1" si="46"/>
        <v>0</v>
      </c>
      <c r="AC35" s="757">
        <f t="shared" ca="1" si="46"/>
        <v>0</v>
      </c>
      <c r="AD35" s="757">
        <f t="shared" ca="1" si="46"/>
        <v>0</v>
      </c>
      <c r="AE35" s="757">
        <f t="shared" ca="1" si="28"/>
        <v>0</v>
      </c>
      <c r="AF35" s="758">
        <f t="shared" ca="1" si="29"/>
        <v>0</v>
      </c>
      <c r="AG35" s="757">
        <f t="shared" ca="1" si="47"/>
        <v>0</v>
      </c>
      <c r="AH35" s="757">
        <f t="shared" ca="1" si="47"/>
        <v>0</v>
      </c>
      <c r="AI35" s="757">
        <f t="shared" ca="1" si="30"/>
        <v>0</v>
      </c>
      <c r="AJ35" s="758">
        <f t="shared" ca="1" si="31"/>
        <v>0</v>
      </c>
      <c r="AK35" s="759">
        <f t="shared" ca="1" si="32"/>
        <v>0</v>
      </c>
      <c r="AL35" s="757">
        <f t="shared" ca="1" si="48"/>
        <v>0</v>
      </c>
      <c r="AM35" s="757">
        <f t="shared" ca="1" si="48"/>
        <v>0</v>
      </c>
      <c r="AN35" s="757">
        <f t="shared" ca="1" si="48"/>
        <v>0</v>
      </c>
      <c r="AO35" s="757">
        <f t="shared" ca="1" si="48"/>
        <v>0</v>
      </c>
      <c r="AP35" s="757">
        <f t="shared" ca="1" si="48"/>
        <v>0</v>
      </c>
      <c r="AQ35" s="757">
        <f t="shared" ca="1" si="48"/>
        <v>0</v>
      </c>
      <c r="AR35" s="757">
        <f t="shared" ca="1" si="48"/>
        <v>0</v>
      </c>
      <c r="AS35" s="757">
        <f t="shared" ca="1" si="48"/>
        <v>0</v>
      </c>
      <c r="AT35" s="757">
        <f t="shared" ca="1" si="48"/>
        <v>0</v>
      </c>
      <c r="AU35" s="757">
        <f t="shared" ca="1" si="48"/>
        <v>0</v>
      </c>
      <c r="AV35" s="757">
        <f t="shared" ca="1" si="48"/>
        <v>0</v>
      </c>
      <c r="AW35" s="757">
        <f t="shared" ca="1" si="48"/>
        <v>0</v>
      </c>
      <c r="AX35" s="757">
        <f t="shared" ca="1" si="48"/>
        <v>0</v>
      </c>
      <c r="AY35" s="758">
        <f t="shared" ca="1" si="33"/>
        <v>0</v>
      </c>
      <c r="AZ35" s="757">
        <f t="shared" ca="1" si="49"/>
        <v>0</v>
      </c>
      <c r="BA35" s="757">
        <f t="shared" ca="1" si="49"/>
        <v>0</v>
      </c>
      <c r="BB35" s="757"/>
      <c r="BC35" s="758">
        <f t="shared" ca="1" si="34"/>
        <v>0</v>
      </c>
      <c r="BD35" s="759">
        <f t="shared" ca="1" si="35"/>
        <v>0</v>
      </c>
      <c r="BE35" s="197"/>
      <c r="BF35" s="708"/>
      <c r="BG35" s="703" t="str">
        <f>IF($BF35="","","ĐNSX"&amp; IF(LEN($BF35)=1,"0" &amp; $BF35,$BF35) &amp; "/" &amp; ThongTinChung!$C$5)</f>
        <v/>
      </c>
      <c r="BH35" s="100" t="str">
        <f t="shared" ca="1" si="11"/>
        <v/>
      </c>
      <c r="BI35" s="194" t="str">
        <f ca="1">IF($B35="","","C" &amp; ROW(MauKoXoa!$C$108) &amp; ":C" &amp;ROW(MauKoXoa!$C$174))</f>
        <v/>
      </c>
      <c r="BJ35" s="198" t="str">
        <f t="shared" ca="1" si="36"/>
        <v/>
      </c>
      <c r="BK35" s="198" t="str">
        <f t="shared" ca="1" si="37"/>
        <v/>
      </c>
      <c r="BL35" s="650" t="str">
        <f ca="1">IF(COUNTIF($BL$10:$BL34,IFERROR(INDEX(DanhMuc!$J$154:$J$165,MATCH($BJ35,DanhMuc!$B$154:$B$165,0)),""))&lt;1,IFERROR(INDEX(DanhMuc!$J$154:$J$165,MATCH($BJ35,DanhMuc!$B$154:$B$165,0)),""),"")</f>
        <v/>
      </c>
      <c r="BM35" s="650" t="str">
        <f ca="1">IF(COUNTIF($BM$10:$BM34,IFERROR(INDEX(DanhMuc!$D$168:$D$177,MATCH($BK35,DanhMuc!$C$168:$C$177,0)),""))&lt;1,IFERROR(INDEX(DanhMuc!$D$168:$D$177,MATCH($BK35,DanhMuc!$C$168:$C$177,0)),""),"")</f>
        <v/>
      </c>
      <c r="BN35" s="650" t="str">
        <f ca="1">IFERROR(INDEX(DanhMuc!$K$154:$K$165,MATCH($BJ35,DanhMuc!$B$154:$B$165,0)),"")</f>
        <v/>
      </c>
      <c r="BO35" s="653" t="str">
        <f t="shared" ca="1" si="38"/>
        <v/>
      </c>
      <c r="BP35" s="653" t="str">
        <f t="shared" ca="1" si="39"/>
        <v/>
      </c>
      <c r="BQ35" s="757">
        <f t="shared" ca="1" si="50"/>
        <v>0</v>
      </c>
      <c r="BR35" s="757">
        <f t="shared" ca="1" si="50"/>
        <v>0</v>
      </c>
      <c r="BS35" s="757">
        <f t="shared" ca="1" si="50"/>
        <v>0</v>
      </c>
      <c r="BT35" s="757">
        <f t="shared" ca="1" si="50"/>
        <v>0</v>
      </c>
      <c r="BU35" s="757">
        <f t="shared" ca="1" si="50"/>
        <v>0</v>
      </c>
      <c r="BV35" s="757">
        <f t="shared" ca="1" si="50"/>
        <v>0</v>
      </c>
      <c r="BW35" s="198"/>
    </row>
    <row r="36" spans="1:75" s="42" customFormat="1" ht="19.899999999999999" customHeight="1">
      <c r="A36" s="37" t="str">
        <f ca="1">IF(B36="","",MAX($A$10:A35)+1)</f>
        <v/>
      </c>
      <c r="B36" s="718" t="str">
        <f t="shared" ca="1" si="0"/>
        <v/>
      </c>
      <c r="C36" s="1166">
        <f t="shared" ca="1" si="13"/>
        <v>0</v>
      </c>
      <c r="D36" s="643" t="str">
        <f t="shared" ca="1" si="14"/>
        <v/>
      </c>
      <c r="E36" s="203"/>
      <c r="F36" s="38">
        <f t="shared" ca="1" si="15"/>
        <v>0</v>
      </c>
      <c r="G36" s="38">
        <f t="shared" ca="1" si="16"/>
        <v>0</v>
      </c>
      <c r="H36" s="1136">
        <f t="shared" ca="1" si="17"/>
        <v>0</v>
      </c>
      <c r="I36" s="38">
        <f t="shared" ca="1" si="18"/>
        <v>0</v>
      </c>
      <c r="J36" s="39">
        <f t="shared" si="19"/>
        <v>0</v>
      </c>
      <c r="K36" s="1137">
        <f t="shared" ca="1" si="20"/>
        <v>0</v>
      </c>
      <c r="L36" s="40">
        <f t="shared" ca="1" si="21"/>
        <v>0</v>
      </c>
      <c r="M36" s="40">
        <f t="shared" ca="1" si="22"/>
        <v>0</v>
      </c>
      <c r="N36" s="41">
        <f t="shared" ca="1" si="23"/>
        <v>0</v>
      </c>
      <c r="O36" s="762" t="str">
        <f t="shared" ca="1" si="1"/>
        <v/>
      </c>
      <c r="P36" s="756">
        <f t="shared" ca="1" si="24"/>
        <v>0</v>
      </c>
      <c r="Q36" s="757">
        <f t="shared" ca="1" si="25"/>
        <v>0</v>
      </c>
      <c r="R36" s="905">
        <f ca="1">IF($B36="",0,IFERROR(IFERROR(INDEX(DanhMuc!$J$180:$J$189,MATCH(MID(IFERROR(INDIRECT("'" &amp; $B36 &amp; "'!" &amp; $R$82),0),2,1)&amp;MID(IFERROR(INDIRECT("'" &amp; $B36 &amp; "'!" &amp; $R$82),0),7,2),DanhMuc!$I$180:$I$189,0)),INDEX(DanhMuc!$J$180:$J$189,MATCH(MID(IFERROR(INDIRECT("'" &amp; $B36 &amp; "'!" &amp; $R$82),0),2,1),DanhMuc!$I$180:$I$189,0))),0))</f>
        <v>0</v>
      </c>
      <c r="S36" s="757">
        <f t="shared" ca="1" si="26"/>
        <v>0</v>
      </c>
      <c r="T36" s="757">
        <f t="shared" ca="1" si="43"/>
        <v>0</v>
      </c>
      <c r="U36" s="757">
        <f t="shared" ca="1" si="27"/>
        <v>0</v>
      </c>
      <c r="V36" s="757">
        <f t="shared" ca="1" si="44"/>
        <v>0</v>
      </c>
      <c r="W36" s="757">
        <f t="shared" ca="1" si="44"/>
        <v>0</v>
      </c>
      <c r="X36" s="757">
        <f t="shared" ca="1" si="45"/>
        <v>0</v>
      </c>
      <c r="Y36" s="757">
        <f t="shared" ca="1" si="45"/>
        <v>0</v>
      </c>
      <c r="Z36" s="757">
        <f t="shared" ca="1" si="46"/>
        <v>0</v>
      </c>
      <c r="AA36" s="757">
        <f t="shared" ca="1" si="46"/>
        <v>0</v>
      </c>
      <c r="AB36" s="757">
        <f t="shared" ca="1" si="46"/>
        <v>0</v>
      </c>
      <c r="AC36" s="757">
        <f t="shared" ca="1" si="46"/>
        <v>0</v>
      </c>
      <c r="AD36" s="757">
        <f t="shared" ca="1" si="46"/>
        <v>0</v>
      </c>
      <c r="AE36" s="757">
        <f t="shared" ca="1" si="28"/>
        <v>0</v>
      </c>
      <c r="AF36" s="758">
        <f t="shared" ca="1" si="29"/>
        <v>0</v>
      </c>
      <c r="AG36" s="757">
        <f t="shared" ca="1" si="47"/>
        <v>0</v>
      </c>
      <c r="AH36" s="757">
        <f t="shared" ca="1" si="47"/>
        <v>0</v>
      </c>
      <c r="AI36" s="757">
        <f t="shared" ca="1" si="30"/>
        <v>0</v>
      </c>
      <c r="AJ36" s="758">
        <f t="shared" ca="1" si="31"/>
        <v>0</v>
      </c>
      <c r="AK36" s="759">
        <f t="shared" ca="1" si="32"/>
        <v>0</v>
      </c>
      <c r="AL36" s="757">
        <f t="shared" ca="1" si="48"/>
        <v>0</v>
      </c>
      <c r="AM36" s="757">
        <f t="shared" ca="1" si="48"/>
        <v>0</v>
      </c>
      <c r="AN36" s="757">
        <f t="shared" ca="1" si="48"/>
        <v>0</v>
      </c>
      <c r="AO36" s="757">
        <f t="shared" ca="1" si="48"/>
        <v>0</v>
      </c>
      <c r="AP36" s="757">
        <f t="shared" ca="1" si="48"/>
        <v>0</v>
      </c>
      <c r="AQ36" s="757">
        <f t="shared" ca="1" si="48"/>
        <v>0</v>
      </c>
      <c r="AR36" s="757">
        <f t="shared" ca="1" si="48"/>
        <v>0</v>
      </c>
      <c r="AS36" s="757">
        <f t="shared" ca="1" si="48"/>
        <v>0</v>
      </c>
      <c r="AT36" s="757">
        <f t="shared" ca="1" si="48"/>
        <v>0</v>
      </c>
      <c r="AU36" s="757">
        <f t="shared" ca="1" si="48"/>
        <v>0</v>
      </c>
      <c r="AV36" s="757">
        <f t="shared" ca="1" si="48"/>
        <v>0</v>
      </c>
      <c r="AW36" s="757">
        <f t="shared" ca="1" si="48"/>
        <v>0</v>
      </c>
      <c r="AX36" s="757">
        <f t="shared" ca="1" si="48"/>
        <v>0</v>
      </c>
      <c r="AY36" s="758">
        <f t="shared" ca="1" si="33"/>
        <v>0</v>
      </c>
      <c r="AZ36" s="757">
        <f t="shared" ca="1" si="49"/>
        <v>0</v>
      </c>
      <c r="BA36" s="757">
        <f t="shared" ca="1" si="49"/>
        <v>0</v>
      </c>
      <c r="BB36" s="757"/>
      <c r="BC36" s="758">
        <f t="shared" ca="1" si="34"/>
        <v>0</v>
      </c>
      <c r="BD36" s="759">
        <f t="shared" ca="1" si="35"/>
        <v>0</v>
      </c>
      <c r="BE36" s="197"/>
      <c r="BF36" s="708"/>
      <c r="BG36" s="703" t="str">
        <f>IF($BF36="","","ĐNSX"&amp; IF(LEN($BF36)=1,"0" &amp; $BF36,$BF36) &amp; "/" &amp; ThongTinChung!$C$5)</f>
        <v/>
      </c>
      <c r="BH36" s="100" t="str">
        <f t="shared" ca="1" si="11"/>
        <v/>
      </c>
      <c r="BI36" s="194" t="str">
        <f ca="1">IF($B36="","","C" &amp; ROW(MauKoXoa!$C$108) &amp; ":C" &amp;ROW(MauKoXoa!$C$174))</f>
        <v/>
      </c>
      <c r="BJ36" s="198" t="str">
        <f t="shared" ca="1" si="36"/>
        <v/>
      </c>
      <c r="BK36" s="198" t="str">
        <f t="shared" ca="1" si="37"/>
        <v/>
      </c>
      <c r="BL36" s="650" t="str">
        <f ca="1">IF(COUNTIF($BL$10:$BL35,IFERROR(INDEX(DanhMuc!$J$154:$J$165,MATCH($BJ36,DanhMuc!$B$154:$B$165,0)),""))&lt;1,IFERROR(INDEX(DanhMuc!$J$154:$J$165,MATCH($BJ36,DanhMuc!$B$154:$B$165,0)),""),"")</f>
        <v/>
      </c>
      <c r="BM36" s="650" t="str">
        <f ca="1">IF(COUNTIF($BM$10:$BM35,IFERROR(INDEX(DanhMuc!$D$168:$D$177,MATCH($BK36,DanhMuc!$C$168:$C$177,0)),""))&lt;1,IFERROR(INDEX(DanhMuc!$D$168:$D$177,MATCH($BK36,DanhMuc!$C$168:$C$177,0)),""),"")</f>
        <v/>
      </c>
      <c r="BN36" s="650" t="str">
        <f ca="1">IFERROR(INDEX(DanhMuc!$K$154:$K$165,MATCH($BJ36,DanhMuc!$B$154:$B$165,0)),"")</f>
        <v/>
      </c>
      <c r="BO36" s="653" t="str">
        <f t="shared" ca="1" si="38"/>
        <v/>
      </c>
      <c r="BP36" s="653" t="str">
        <f t="shared" ca="1" si="39"/>
        <v/>
      </c>
      <c r="BQ36" s="757">
        <f t="shared" ca="1" si="50"/>
        <v>0</v>
      </c>
      <c r="BR36" s="757">
        <f t="shared" ca="1" si="50"/>
        <v>0</v>
      </c>
      <c r="BS36" s="757">
        <f t="shared" ca="1" si="50"/>
        <v>0</v>
      </c>
      <c r="BT36" s="757">
        <f t="shared" ca="1" si="50"/>
        <v>0</v>
      </c>
      <c r="BU36" s="757">
        <f t="shared" ca="1" si="50"/>
        <v>0</v>
      </c>
      <c r="BV36" s="757">
        <f t="shared" ca="1" si="50"/>
        <v>0</v>
      </c>
      <c r="BW36" s="198"/>
    </row>
    <row r="37" spans="1:75" s="42" customFormat="1" ht="19.899999999999999" customHeight="1">
      <c r="A37" s="37" t="str">
        <f ca="1">IF(B37="","",MAX($A$10:A36)+1)</f>
        <v/>
      </c>
      <c r="B37" s="718" t="str">
        <f t="shared" ca="1" si="0"/>
        <v/>
      </c>
      <c r="C37" s="1166">
        <f t="shared" ca="1" si="13"/>
        <v>0</v>
      </c>
      <c r="D37" s="643" t="str">
        <f t="shared" ca="1" si="14"/>
        <v/>
      </c>
      <c r="E37" s="203"/>
      <c r="F37" s="38">
        <f t="shared" ca="1" si="15"/>
        <v>0</v>
      </c>
      <c r="G37" s="38">
        <f t="shared" ca="1" si="16"/>
        <v>0</v>
      </c>
      <c r="H37" s="1136">
        <f t="shared" ca="1" si="17"/>
        <v>0</v>
      </c>
      <c r="I37" s="38">
        <f t="shared" ca="1" si="18"/>
        <v>0</v>
      </c>
      <c r="J37" s="39">
        <f t="shared" si="19"/>
        <v>0</v>
      </c>
      <c r="K37" s="1137">
        <f t="shared" ca="1" si="20"/>
        <v>0</v>
      </c>
      <c r="L37" s="40">
        <f t="shared" ca="1" si="21"/>
        <v>0</v>
      </c>
      <c r="M37" s="40">
        <f t="shared" ca="1" si="22"/>
        <v>0</v>
      </c>
      <c r="N37" s="41">
        <f t="shared" ca="1" si="23"/>
        <v>0</v>
      </c>
      <c r="O37" s="762" t="str">
        <f t="shared" ca="1" si="1"/>
        <v/>
      </c>
      <c r="P37" s="756">
        <f t="shared" ca="1" si="24"/>
        <v>0</v>
      </c>
      <c r="Q37" s="757">
        <f t="shared" ca="1" si="25"/>
        <v>0</v>
      </c>
      <c r="R37" s="905">
        <f ca="1">IF($B37="",0,IFERROR(IFERROR(INDEX(DanhMuc!$J$180:$J$189,MATCH(MID(IFERROR(INDIRECT("'" &amp; $B37 &amp; "'!" &amp; $R$82),0),2,1)&amp;MID(IFERROR(INDIRECT("'" &amp; $B37 &amp; "'!" &amp; $R$82),0),7,2),DanhMuc!$I$180:$I$189,0)),INDEX(DanhMuc!$J$180:$J$189,MATCH(MID(IFERROR(INDIRECT("'" &amp; $B37 &amp; "'!" &amp; $R$82),0),2,1),DanhMuc!$I$180:$I$189,0))),0))</f>
        <v>0</v>
      </c>
      <c r="S37" s="757">
        <f t="shared" ca="1" si="26"/>
        <v>0</v>
      </c>
      <c r="T37" s="757">
        <f t="shared" ca="1" si="43"/>
        <v>0</v>
      </c>
      <c r="U37" s="757">
        <f t="shared" ca="1" si="27"/>
        <v>0</v>
      </c>
      <c r="V37" s="757">
        <f t="shared" ca="1" si="44"/>
        <v>0</v>
      </c>
      <c r="W37" s="757">
        <f t="shared" ca="1" si="44"/>
        <v>0</v>
      </c>
      <c r="X37" s="757">
        <f t="shared" ca="1" si="45"/>
        <v>0</v>
      </c>
      <c r="Y37" s="757">
        <f t="shared" ca="1" si="45"/>
        <v>0</v>
      </c>
      <c r="Z37" s="757">
        <f t="shared" ca="1" si="46"/>
        <v>0</v>
      </c>
      <c r="AA37" s="757">
        <f t="shared" ca="1" si="46"/>
        <v>0</v>
      </c>
      <c r="AB37" s="757">
        <f t="shared" ca="1" si="46"/>
        <v>0</v>
      </c>
      <c r="AC37" s="757">
        <f t="shared" ca="1" si="46"/>
        <v>0</v>
      </c>
      <c r="AD37" s="757">
        <f t="shared" ca="1" si="46"/>
        <v>0</v>
      </c>
      <c r="AE37" s="757">
        <f t="shared" ca="1" si="28"/>
        <v>0</v>
      </c>
      <c r="AF37" s="758">
        <f t="shared" ca="1" si="29"/>
        <v>0</v>
      </c>
      <c r="AG37" s="757">
        <f t="shared" ca="1" si="47"/>
        <v>0</v>
      </c>
      <c r="AH37" s="757">
        <f t="shared" ca="1" si="47"/>
        <v>0</v>
      </c>
      <c r="AI37" s="757">
        <f t="shared" ca="1" si="30"/>
        <v>0</v>
      </c>
      <c r="AJ37" s="758">
        <f t="shared" ca="1" si="31"/>
        <v>0</v>
      </c>
      <c r="AK37" s="759">
        <f t="shared" ca="1" si="32"/>
        <v>0</v>
      </c>
      <c r="AL37" s="757">
        <f t="shared" ca="1" si="48"/>
        <v>0</v>
      </c>
      <c r="AM37" s="757">
        <f t="shared" ca="1" si="48"/>
        <v>0</v>
      </c>
      <c r="AN37" s="757">
        <f t="shared" ca="1" si="48"/>
        <v>0</v>
      </c>
      <c r="AO37" s="757">
        <f t="shared" ca="1" si="48"/>
        <v>0</v>
      </c>
      <c r="AP37" s="757">
        <f t="shared" ca="1" si="48"/>
        <v>0</v>
      </c>
      <c r="AQ37" s="757">
        <f t="shared" ca="1" si="48"/>
        <v>0</v>
      </c>
      <c r="AR37" s="757">
        <f t="shared" ca="1" si="48"/>
        <v>0</v>
      </c>
      <c r="AS37" s="757">
        <f t="shared" ca="1" si="48"/>
        <v>0</v>
      </c>
      <c r="AT37" s="757">
        <f t="shared" ca="1" si="48"/>
        <v>0</v>
      </c>
      <c r="AU37" s="757">
        <f t="shared" ca="1" si="48"/>
        <v>0</v>
      </c>
      <c r="AV37" s="757">
        <f t="shared" ca="1" si="48"/>
        <v>0</v>
      </c>
      <c r="AW37" s="757">
        <f t="shared" ca="1" si="48"/>
        <v>0</v>
      </c>
      <c r="AX37" s="757">
        <f t="shared" ca="1" si="48"/>
        <v>0</v>
      </c>
      <c r="AY37" s="758">
        <f t="shared" ca="1" si="33"/>
        <v>0</v>
      </c>
      <c r="AZ37" s="757">
        <f t="shared" ca="1" si="49"/>
        <v>0</v>
      </c>
      <c r="BA37" s="757">
        <f t="shared" ca="1" si="49"/>
        <v>0</v>
      </c>
      <c r="BB37" s="757"/>
      <c r="BC37" s="758">
        <f t="shared" ca="1" si="34"/>
        <v>0</v>
      </c>
      <c r="BD37" s="759">
        <f t="shared" ca="1" si="35"/>
        <v>0</v>
      </c>
      <c r="BE37" s="197"/>
      <c r="BF37" s="708"/>
      <c r="BG37" s="703" t="str">
        <f>IF($BF37="","","ĐNSX"&amp; IF(LEN($BF37)=1,"0" &amp; $BF37,$BF37) &amp; "/" &amp; ThongTinChung!$C$5)</f>
        <v/>
      </c>
      <c r="BH37" s="100" t="str">
        <f t="shared" ca="1" si="11"/>
        <v/>
      </c>
      <c r="BI37" s="194" t="str">
        <f ca="1">IF($B37="","","C" &amp; ROW(MauKoXoa!$C$108) &amp; ":C" &amp;ROW(MauKoXoa!$C$174))</f>
        <v/>
      </c>
      <c r="BJ37" s="198" t="str">
        <f t="shared" ca="1" si="36"/>
        <v/>
      </c>
      <c r="BK37" s="198" t="str">
        <f t="shared" ca="1" si="37"/>
        <v/>
      </c>
      <c r="BL37" s="650" t="str">
        <f ca="1">IF(COUNTIF($BL$10:$BL36,IFERROR(INDEX(DanhMuc!$J$154:$J$165,MATCH($BJ37,DanhMuc!$B$154:$B$165,0)),""))&lt;1,IFERROR(INDEX(DanhMuc!$J$154:$J$165,MATCH($BJ37,DanhMuc!$B$154:$B$165,0)),""),"")</f>
        <v/>
      </c>
      <c r="BM37" s="650" t="str">
        <f ca="1">IF(COUNTIF($BM$10:$BM36,IFERROR(INDEX(DanhMuc!$D$168:$D$177,MATCH($BK37,DanhMuc!$C$168:$C$177,0)),""))&lt;1,IFERROR(INDEX(DanhMuc!$D$168:$D$177,MATCH($BK37,DanhMuc!$C$168:$C$177,0)),""),"")</f>
        <v/>
      </c>
      <c r="BN37" s="650" t="str">
        <f ca="1">IFERROR(INDEX(DanhMuc!$K$154:$K$165,MATCH($BJ37,DanhMuc!$B$154:$B$165,0)),"")</f>
        <v/>
      </c>
      <c r="BO37" s="653" t="str">
        <f t="shared" ca="1" si="38"/>
        <v/>
      </c>
      <c r="BP37" s="653" t="str">
        <f t="shared" ca="1" si="39"/>
        <v/>
      </c>
      <c r="BQ37" s="757">
        <f t="shared" ca="1" si="50"/>
        <v>0</v>
      </c>
      <c r="BR37" s="757">
        <f t="shared" ca="1" si="50"/>
        <v>0</v>
      </c>
      <c r="BS37" s="757">
        <f t="shared" ca="1" si="50"/>
        <v>0</v>
      </c>
      <c r="BT37" s="757">
        <f t="shared" ca="1" si="50"/>
        <v>0</v>
      </c>
      <c r="BU37" s="757">
        <f t="shared" ca="1" si="50"/>
        <v>0</v>
      </c>
      <c r="BV37" s="757">
        <f t="shared" ca="1" si="50"/>
        <v>0</v>
      </c>
      <c r="BW37" s="198"/>
    </row>
    <row r="38" spans="1:75" s="42" customFormat="1" ht="19.899999999999999" customHeight="1">
      <c r="A38" s="37" t="str">
        <f ca="1">IF(B38="","",MAX($A$10:A37)+1)</f>
        <v/>
      </c>
      <c r="B38" s="718" t="str">
        <f t="shared" ca="1" si="0"/>
        <v/>
      </c>
      <c r="C38" s="1166">
        <f t="shared" ca="1" si="13"/>
        <v>0</v>
      </c>
      <c r="D38" s="643" t="str">
        <f t="shared" ca="1" si="14"/>
        <v/>
      </c>
      <c r="E38" s="203"/>
      <c r="F38" s="38">
        <f t="shared" ca="1" si="15"/>
        <v>0</v>
      </c>
      <c r="G38" s="38">
        <f t="shared" ca="1" si="16"/>
        <v>0</v>
      </c>
      <c r="H38" s="1136">
        <f t="shared" ca="1" si="17"/>
        <v>0</v>
      </c>
      <c r="I38" s="38">
        <f t="shared" ca="1" si="18"/>
        <v>0</v>
      </c>
      <c r="J38" s="39">
        <f t="shared" si="19"/>
        <v>0</v>
      </c>
      <c r="K38" s="1137">
        <f t="shared" ca="1" si="20"/>
        <v>0</v>
      </c>
      <c r="L38" s="40">
        <f t="shared" ca="1" si="21"/>
        <v>0</v>
      </c>
      <c r="M38" s="40">
        <f t="shared" ca="1" si="22"/>
        <v>0</v>
      </c>
      <c r="N38" s="41">
        <f t="shared" ca="1" si="23"/>
        <v>0</v>
      </c>
      <c r="O38" s="762" t="str">
        <f t="shared" ca="1" si="1"/>
        <v/>
      </c>
      <c r="P38" s="756">
        <f t="shared" ca="1" si="24"/>
        <v>0</v>
      </c>
      <c r="Q38" s="757">
        <f t="shared" ca="1" si="25"/>
        <v>0</v>
      </c>
      <c r="R38" s="905">
        <f ca="1">IF($B38="",0,IFERROR(IFERROR(INDEX(DanhMuc!$J$180:$J$189,MATCH(MID(IFERROR(INDIRECT("'" &amp; $B38 &amp; "'!" &amp; $R$82),0),2,1)&amp;MID(IFERROR(INDIRECT("'" &amp; $B38 &amp; "'!" &amp; $R$82),0),7,2),DanhMuc!$I$180:$I$189,0)),INDEX(DanhMuc!$J$180:$J$189,MATCH(MID(IFERROR(INDIRECT("'" &amp; $B38 &amp; "'!" &amp; $R$82),0),2,1),DanhMuc!$I$180:$I$189,0))),0))</f>
        <v>0</v>
      </c>
      <c r="S38" s="757">
        <f t="shared" ca="1" si="26"/>
        <v>0</v>
      </c>
      <c r="T38" s="757">
        <f t="shared" ca="1" si="43"/>
        <v>0</v>
      </c>
      <c r="U38" s="757">
        <f t="shared" ca="1" si="27"/>
        <v>0</v>
      </c>
      <c r="V38" s="757">
        <f t="shared" ca="1" si="44"/>
        <v>0</v>
      </c>
      <c r="W38" s="757">
        <f t="shared" ca="1" si="44"/>
        <v>0</v>
      </c>
      <c r="X38" s="757">
        <f t="shared" ca="1" si="45"/>
        <v>0</v>
      </c>
      <c r="Y38" s="757">
        <f t="shared" ca="1" si="45"/>
        <v>0</v>
      </c>
      <c r="Z38" s="757">
        <f t="shared" ca="1" si="46"/>
        <v>0</v>
      </c>
      <c r="AA38" s="757">
        <f t="shared" ca="1" si="46"/>
        <v>0</v>
      </c>
      <c r="AB38" s="757">
        <f t="shared" ca="1" si="46"/>
        <v>0</v>
      </c>
      <c r="AC38" s="757">
        <f t="shared" ca="1" si="46"/>
        <v>0</v>
      </c>
      <c r="AD38" s="757">
        <f t="shared" ca="1" si="46"/>
        <v>0</v>
      </c>
      <c r="AE38" s="757">
        <f t="shared" ca="1" si="28"/>
        <v>0</v>
      </c>
      <c r="AF38" s="758">
        <f t="shared" ca="1" si="29"/>
        <v>0</v>
      </c>
      <c r="AG38" s="757">
        <f t="shared" ca="1" si="47"/>
        <v>0</v>
      </c>
      <c r="AH38" s="757">
        <f t="shared" ca="1" si="47"/>
        <v>0</v>
      </c>
      <c r="AI38" s="757">
        <f t="shared" ca="1" si="30"/>
        <v>0</v>
      </c>
      <c r="AJ38" s="758">
        <f t="shared" ca="1" si="31"/>
        <v>0</v>
      </c>
      <c r="AK38" s="759">
        <f t="shared" ca="1" si="32"/>
        <v>0</v>
      </c>
      <c r="AL38" s="757">
        <f t="shared" ca="1" si="48"/>
        <v>0</v>
      </c>
      <c r="AM38" s="757">
        <f t="shared" ca="1" si="48"/>
        <v>0</v>
      </c>
      <c r="AN38" s="757">
        <f t="shared" ca="1" si="48"/>
        <v>0</v>
      </c>
      <c r="AO38" s="757">
        <f t="shared" ca="1" si="48"/>
        <v>0</v>
      </c>
      <c r="AP38" s="757">
        <f t="shared" ca="1" si="48"/>
        <v>0</v>
      </c>
      <c r="AQ38" s="757">
        <f t="shared" ca="1" si="48"/>
        <v>0</v>
      </c>
      <c r="AR38" s="757">
        <f t="shared" ca="1" si="48"/>
        <v>0</v>
      </c>
      <c r="AS38" s="757">
        <f t="shared" ca="1" si="48"/>
        <v>0</v>
      </c>
      <c r="AT38" s="757">
        <f t="shared" ca="1" si="48"/>
        <v>0</v>
      </c>
      <c r="AU38" s="757">
        <f t="shared" ca="1" si="48"/>
        <v>0</v>
      </c>
      <c r="AV38" s="757">
        <f t="shared" ca="1" si="48"/>
        <v>0</v>
      </c>
      <c r="AW38" s="757">
        <f t="shared" ca="1" si="48"/>
        <v>0</v>
      </c>
      <c r="AX38" s="757">
        <f t="shared" ca="1" si="48"/>
        <v>0</v>
      </c>
      <c r="AY38" s="758">
        <f t="shared" ca="1" si="33"/>
        <v>0</v>
      </c>
      <c r="AZ38" s="757">
        <f t="shared" ca="1" si="49"/>
        <v>0</v>
      </c>
      <c r="BA38" s="757">
        <f t="shared" ca="1" si="49"/>
        <v>0</v>
      </c>
      <c r="BB38" s="757"/>
      <c r="BC38" s="758">
        <f t="shared" ca="1" si="34"/>
        <v>0</v>
      </c>
      <c r="BD38" s="759">
        <f t="shared" ca="1" si="35"/>
        <v>0</v>
      </c>
      <c r="BE38" s="197"/>
      <c r="BF38" s="708"/>
      <c r="BG38" s="703" t="str">
        <f>IF($BF38="","","ĐNSX"&amp; IF(LEN($BF38)=1,"0" &amp; $BF38,$BF38) &amp; "/" &amp; ThongTinChung!$C$5)</f>
        <v/>
      </c>
      <c r="BH38" s="100" t="str">
        <f t="shared" ca="1" si="11"/>
        <v/>
      </c>
      <c r="BI38" s="194" t="str">
        <f ca="1">IF($B38="","","C" &amp; ROW(MauKoXoa!$C$108) &amp; ":C" &amp;ROW(MauKoXoa!$C$174))</f>
        <v/>
      </c>
      <c r="BJ38" s="198" t="str">
        <f t="shared" ca="1" si="36"/>
        <v/>
      </c>
      <c r="BK38" s="198" t="str">
        <f t="shared" ca="1" si="37"/>
        <v/>
      </c>
      <c r="BL38" s="650" t="str">
        <f ca="1">IF(COUNTIF($BL$10:$BL37,IFERROR(INDEX(DanhMuc!$J$154:$J$165,MATCH($BJ38,DanhMuc!$B$154:$B$165,0)),""))&lt;1,IFERROR(INDEX(DanhMuc!$J$154:$J$165,MATCH($BJ38,DanhMuc!$B$154:$B$165,0)),""),"")</f>
        <v/>
      </c>
      <c r="BM38" s="650" t="str">
        <f ca="1">IF(COUNTIF($BM$10:$BM37,IFERROR(INDEX(DanhMuc!$D$168:$D$177,MATCH($BK38,DanhMuc!$C$168:$C$177,0)),""))&lt;1,IFERROR(INDEX(DanhMuc!$D$168:$D$177,MATCH($BK38,DanhMuc!$C$168:$C$177,0)),""),"")</f>
        <v/>
      </c>
      <c r="BN38" s="650" t="str">
        <f ca="1">IFERROR(INDEX(DanhMuc!$K$154:$K$165,MATCH($BJ38,DanhMuc!$B$154:$B$165,0)),"")</f>
        <v/>
      </c>
      <c r="BO38" s="653" t="str">
        <f t="shared" ca="1" si="38"/>
        <v/>
      </c>
      <c r="BP38" s="653" t="str">
        <f t="shared" ca="1" si="39"/>
        <v/>
      </c>
      <c r="BQ38" s="757">
        <f t="shared" ca="1" si="50"/>
        <v>0</v>
      </c>
      <c r="BR38" s="757">
        <f t="shared" ca="1" si="50"/>
        <v>0</v>
      </c>
      <c r="BS38" s="757">
        <f t="shared" ca="1" si="50"/>
        <v>0</v>
      </c>
      <c r="BT38" s="757">
        <f t="shared" ca="1" si="50"/>
        <v>0</v>
      </c>
      <c r="BU38" s="757">
        <f t="shared" ca="1" si="50"/>
        <v>0</v>
      </c>
      <c r="BV38" s="757">
        <f t="shared" ca="1" si="50"/>
        <v>0</v>
      </c>
      <c r="BW38" s="198"/>
    </row>
    <row r="39" spans="1:75" s="42" customFormat="1" ht="19.899999999999999" customHeight="1">
      <c r="A39" s="37" t="str">
        <f ca="1">IF(B39="","",MAX($A$10:A38)+1)</f>
        <v/>
      </c>
      <c r="B39" s="718" t="str">
        <f t="shared" ca="1" si="0"/>
        <v/>
      </c>
      <c r="C39" s="1166">
        <f t="shared" ca="1" si="13"/>
        <v>0</v>
      </c>
      <c r="D39" s="643" t="str">
        <f t="shared" ca="1" si="14"/>
        <v/>
      </c>
      <c r="E39" s="203"/>
      <c r="F39" s="38">
        <f t="shared" ca="1" si="15"/>
        <v>0</v>
      </c>
      <c r="G39" s="38">
        <f t="shared" ca="1" si="16"/>
        <v>0</v>
      </c>
      <c r="H39" s="1136">
        <f t="shared" ca="1" si="17"/>
        <v>0</v>
      </c>
      <c r="I39" s="38">
        <f t="shared" ca="1" si="18"/>
        <v>0</v>
      </c>
      <c r="J39" s="39">
        <f t="shared" si="19"/>
        <v>0</v>
      </c>
      <c r="K39" s="1137">
        <f t="shared" ca="1" si="20"/>
        <v>0</v>
      </c>
      <c r="L39" s="40">
        <f t="shared" ca="1" si="21"/>
        <v>0</v>
      </c>
      <c r="M39" s="40">
        <f t="shared" ca="1" si="22"/>
        <v>0</v>
      </c>
      <c r="N39" s="41">
        <f t="shared" ca="1" si="23"/>
        <v>0</v>
      </c>
      <c r="O39" s="762" t="str">
        <f t="shared" ca="1" si="1"/>
        <v/>
      </c>
      <c r="P39" s="756">
        <f t="shared" ca="1" si="24"/>
        <v>0</v>
      </c>
      <c r="Q39" s="757">
        <f t="shared" ca="1" si="25"/>
        <v>0</v>
      </c>
      <c r="R39" s="905">
        <f ca="1">IF($B39="",0,IFERROR(IFERROR(INDEX(DanhMuc!$J$180:$J$189,MATCH(MID(IFERROR(INDIRECT("'" &amp; $B39 &amp; "'!" &amp; $R$82),0),2,1)&amp;MID(IFERROR(INDIRECT("'" &amp; $B39 &amp; "'!" &amp; $R$82),0),7,2),DanhMuc!$I$180:$I$189,0)),INDEX(DanhMuc!$J$180:$J$189,MATCH(MID(IFERROR(INDIRECT("'" &amp; $B39 &amp; "'!" &amp; $R$82),0),2,1),DanhMuc!$I$180:$I$189,0))),0))</f>
        <v>0</v>
      </c>
      <c r="S39" s="757">
        <f t="shared" ca="1" si="26"/>
        <v>0</v>
      </c>
      <c r="T39" s="757">
        <f t="shared" ca="1" si="43"/>
        <v>0</v>
      </c>
      <c r="U39" s="757">
        <f t="shared" ca="1" si="27"/>
        <v>0</v>
      </c>
      <c r="V39" s="757">
        <f t="shared" ca="1" si="44"/>
        <v>0</v>
      </c>
      <c r="W39" s="757">
        <f t="shared" ca="1" si="44"/>
        <v>0</v>
      </c>
      <c r="X39" s="757">
        <f t="shared" ca="1" si="45"/>
        <v>0</v>
      </c>
      <c r="Y39" s="757">
        <f t="shared" ca="1" si="45"/>
        <v>0</v>
      </c>
      <c r="Z39" s="757">
        <f t="shared" ca="1" si="46"/>
        <v>0</v>
      </c>
      <c r="AA39" s="757">
        <f t="shared" ca="1" si="46"/>
        <v>0</v>
      </c>
      <c r="AB39" s="757">
        <f t="shared" ca="1" si="46"/>
        <v>0</v>
      </c>
      <c r="AC39" s="757">
        <f t="shared" ca="1" si="46"/>
        <v>0</v>
      </c>
      <c r="AD39" s="757">
        <f t="shared" ca="1" si="46"/>
        <v>0</v>
      </c>
      <c r="AE39" s="757">
        <f t="shared" ca="1" si="28"/>
        <v>0</v>
      </c>
      <c r="AF39" s="758">
        <f t="shared" ca="1" si="29"/>
        <v>0</v>
      </c>
      <c r="AG39" s="757">
        <f t="shared" ca="1" si="47"/>
        <v>0</v>
      </c>
      <c r="AH39" s="757">
        <f t="shared" ca="1" si="47"/>
        <v>0</v>
      </c>
      <c r="AI39" s="757">
        <f t="shared" ca="1" si="30"/>
        <v>0</v>
      </c>
      <c r="AJ39" s="758">
        <f t="shared" ca="1" si="31"/>
        <v>0</v>
      </c>
      <c r="AK39" s="759">
        <f t="shared" ca="1" si="32"/>
        <v>0</v>
      </c>
      <c r="AL39" s="757">
        <f t="shared" ca="1" si="48"/>
        <v>0</v>
      </c>
      <c r="AM39" s="757">
        <f t="shared" ca="1" si="48"/>
        <v>0</v>
      </c>
      <c r="AN39" s="757">
        <f t="shared" ca="1" si="48"/>
        <v>0</v>
      </c>
      <c r="AO39" s="757">
        <f t="shared" ca="1" si="48"/>
        <v>0</v>
      </c>
      <c r="AP39" s="757">
        <f t="shared" ca="1" si="48"/>
        <v>0</v>
      </c>
      <c r="AQ39" s="757">
        <f t="shared" ca="1" si="48"/>
        <v>0</v>
      </c>
      <c r="AR39" s="757">
        <f t="shared" ca="1" si="48"/>
        <v>0</v>
      </c>
      <c r="AS39" s="757">
        <f t="shared" ca="1" si="48"/>
        <v>0</v>
      </c>
      <c r="AT39" s="757">
        <f t="shared" ca="1" si="48"/>
        <v>0</v>
      </c>
      <c r="AU39" s="757">
        <f t="shared" ca="1" si="48"/>
        <v>0</v>
      </c>
      <c r="AV39" s="757">
        <f t="shared" ca="1" si="48"/>
        <v>0</v>
      </c>
      <c r="AW39" s="757">
        <f t="shared" ca="1" si="48"/>
        <v>0</v>
      </c>
      <c r="AX39" s="757">
        <f t="shared" ca="1" si="48"/>
        <v>0</v>
      </c>
      <c r="AY39" s="758">
        <f t="shared" ca="1" si="33"/>
        <v>0</v>
      </c>
      <c r="AZ39" s="757">
        <f t="shared" ca="1" si="49"/>
        <v>0</v>
      </c>
      <c r="BA39" s="757">
        <f t="shared" ca="1" si="49"/>
        <v>0</v>
      </c>
      <c r="BB39" s="757"/>
      <c r="BC39" s="758">
        <f t="shared" ca="1" si="34"/>
        <v>0</v>
      </c>
      <c r="BD39" s="759">
        <f t="shared" ca="1" si="35"/>
        <v>0</v>
      </c>
      <c r="BE39" s="197"/>
      <c r="BF39" s="708"/>
      <c r="BG39" s="703" t="str">
        <f>IF($BF39="","","ĐNSX"&amp; IF(LEN($BF39)=1,"0" &amp; $BF39,$BF39) &amp; "/" &amp; ThongTinChung!$C$5)</f>
        <v/>
      </c>
      <c r="BH39" s="100" t="str">
        <f t="shared" ca="1" si="11"/>
        <v/>
      </c>
      <c r="BI39" s="194" t="str">
        <f ca="1">IF($B39="","","C" &amp; ROW(MauKoXoa!$C$108) &amp; ":C" &amp;ROW(MauKoXoa!$C$174))</f>
        <v/>
      </c>
      <c r="BJ39" s="198" t="str">
        <f t="shared" ca="1" si="36"/>
        <v/>
      </c>
      <c r="BK39" s="198" t="str">
        <f t="shared" ca="1" si="37"/>
        <v/>
      </c>
      <c r="BL39" s="650" t="str">
        <f ca="1">IF(COUNTIF($BL$10:$BL38,IFERROR(INDEX(DanhMuc!$J$154:$J$165,MATCH($BJ39,DanhMuc!$B$154:$B$165,0)),""))&lt;1,IFERROR(INDEX(DanhMuc!$J$154:$J$165,MATCH($BJ39,DanhMuc!$B$154:$B$165,0)),""),"")</f>
        <v/>
      </c>
      <c r="BM39" s="650" t="str">
        <f ca="1">IF(COUNTIF($BM$10:$BM38,IFERROR(INDEX(DanhMuc!$D$168:$D$177,MATCH($BK39,DanhMuc!$C$168:$C$177,0)),""))&lt;1,IFERROR(INDEX(DanhMuc!$D$168:$D$177,MATCH($BK39,DanhMuc!$C$168:$C$177,0)),""),"")</f>
        <v/>
      </c>
      <c r="BN39" s="650" t="str">
        <f ca="1">IFERROR(INDEX(DanhMuc!$K$154:$K$165,MATCH($BJ39,DanhMuc!$B$154:$B$165,0)),"")</f>
        <v/>
      </c>
      <c r="BO39" s="653" t="str">
        <f t="shared" ca="1" si="38"/>
        <v/>
      </c>
      <c r="BP39" s="653" t="str">
        <f t="shared" ca="1" si="39"/>
        <v/>
      </c>
      <c r="BQ39" s="757">
        <f t="shared" ca="1" si="50"/>
        <v>0</v>
      </c>
      <c r="BR39" s="757">
        <f t="shared" ca="1" si="50"/>
        <v>0</v>
      </c>
      <c r="BS39" s="757">
        <f t="shared" ca="1" si="50"/>
        <v>0</v>
      </c>
      <c r="BT39" s="757">
        <f t="shared" ca="1" si="50"/>
        <v>0</v>
      </c>
      <c r="BU39" s="757">
        <f t="shared" ca="1" si="50"/>
        <v>0</v>
      </c>
      <c r="BV39" s="757">
        <f t="shared" ca="1" si="50"/>
        <v>0</v>
      </c>
      <c r="BW39" s="198"/>
    </row>
    <row r="40" spans="1:75" s="42" customFormat="1" ht="19.899999999999999" customHeight="1">
      <c r="A40" s="37" t="str">
        <f ca="1">IF(B40="","",MAX($A$10:A39)+1)</f>
        <v/>
      </c>
      <c r="B40" s="718" t="str">
        <f t="shared" ref="B40:B69" ca="1" si="51">+BP40</f>
        <v/>
      </c>
      <c r="C40" s="1166">
        <f t="shared" ca="1" si="13"/>
        <v>0</v>
      </c>
      <c r="D40" s="643" t="str">
        <f t="shared" ca="1" si="14"/>
        <v/>
      </c>
      <c r="E40" s="203"/>
      <c r="F40" s="38">
        <f t="shared" ca="1" si="15"/>
        <v>0</v>
      </c>
      <c r="G40" s="38">
        <f t="shared" ca="1" si="16"/>
        <v>0</v>
      </c>
      <c r="H40" s="1136">
        <f t="shared" ca="1" si="17"/>
        <v>0</v>
      </c>
      <c r="I40" s="38">
        <f t="shared" ca="1" si="18"/>
        <v>0</v>
      </c>
      <c r="J40" s="39">
        <f t="shared" si="19"/>
        <v>0</v>
      </c>
      <c r="K40" s="1137">
        <f t="shared" ca="1" si="20"/>
        <v>0</v>
      </c>
      <c r="L40" s="40">
        <f t="shared" ca="1" si="21"/>
        <v>0</v>
      </c>
      <c r="M40" s="40">
        <f t="shared" ref="M40:M69" ca="1" si="52">ROUND(AJ40,-3)</f>
        <v>0</v>
      </c>
      <c r="N40" s="41">
        <f t="shared" ca="1" si="23"/>
        <v>0</v>
      </c>
      <c r="O40" s="762" t="str">
        <f t="shared" ca="1" si="1"/>
        <v/>
      </c>
      <c r="P40" s="756">
        <f t="shared" ref="P40:P69" ca="1" si="53">IFERROR(O40*I40,0)</f>
        <v>0</v>
      </c>
      <c r="Q40" s="757">
        <f t="shared" ca="1" si="25"/>
        <v>0</v>
      </c>
      <c r="R40" s="905">
        <f ca="1">IF($B40="",0,IFERROR(IFERROR(INDEX(DanhMuc!$J$180:$J$189,MATCH(MID(IFERROR(INDIRECT("'" &amp; $B40 &amp; "'!" &amp; $R$82),0),2,1)&amp;MID(IFERROR(INDIRECT("'" &amp; $B40 &amp; "'!" &amp; $R$82),0),7,2),DanhMuc!$I$180:$I$189,0)),INDEX(DanhMuc!$J$180:$J$189,MATCH(MID(IFERROR(INDIRECT("'" &amp; $B40 &amp; "'!" &amp; $R$82),0),2,1),DanhMuc!$I$180:$I$189,0))),0))</f>
        <v>0</v>
      </c>
      <c r="S40" s="757">
        <f t="shared" ca="1" si="26"/>
        <v>0</v>
      </c>
      <c r="T40" s="757">
        <f t="shared" ca="1" si="43"/>
        <v>0</v>
      </c>
      <c r="U40" s="757">
        <f t="shared" ca="1" si="27"/>
        <v>0</v>
      </c>
      <c r="V40" s="757">
        <f t="shared" ca="1" si="44"/>
        <v>0</v>
      </c>
      <c r="W40" s="757">
        <f t="shared" ca="1" si="44"/>
        <v>0</v>
      </c>
      <c r="X40" s="757">
        <f t="shared" ca="1" si="45"/>
        <v>0</v>
      </c>
      <c r="Y40" s="757">
        <f t="shared" ca="1" si="45"/>
        <v>0</v>
      </c>
      <c r="Z40" s="757">
        <f t="shared" ca="1" si="46"/>
        <v>0</v>
      </c>
      <c r="AA40" s="757">
        <f t="shared" ca="1" si="46"/>
        <v>0</v>
      </c>
      <c r="AB40" s="757">
        <f t="shared" ca="1" si="46"/>
        <v>0</v>
      </c>
      <c r="AC40" s="757">
        <f t="shared" ca="1" si="46"/>
        <v>0</v>
      </c>
      <c r="AD40" s="757">
        <f t="shared" ca="1" si="46"/>
        <v>0</v>
      </c>
      <c r="AE40" s="757">
        <f t="shared" ca="1" si="28"/>
        <v>0</v>
      </c>
      <c r="AF40" s="758">
        <f t="shared" ca="1" si="29"/>
        <v>0</v>
      </c>
      <c r="AG40" s="757">
        <f t="shared" ca="1" si="47"/>
        <v>0</v>
      </c>
      <c r="AH40" s="757">
        <f t="shared" ca="1" si="47"/>
        <v>0</v>
      </c>
      <c r="AI40" s="757">
        <f t="shared" ca="1" si="30"/>
        <v>0</v>
      </c>
      <c r="AJ40" s="758">
        <f t="shared" ca="1" si="31"/>
        <v>0</v>
      </c>
      <c r="AK40" s="759">
        <f t="shared" ca="1" si="32"/>
        <v>0</v>
      </c>
      <c r="AL40" s="757">
        <f t="shared" ca="1" si="48"/>
        <v>0</v>
      </c>
      <c r="AM40" s="757">
        <f t="shared" ca="1" si="48"/>
        <v>0</v>
      </c>
      <c r="AN40" s="757">
        <f t="shared" ca="1" si="48"/>
        <v>0</v>
      </c>
      <c r="AO40" s="757">
        <f t="shared" ca="1" si="48"/>
        <v>0</v>
      </c>
      <c r="AP40" s="757">
        <f t="shared" ca="1" si="48"/>
        <v>0</v>
      </c>
      <c r="AQ40" s="757">
        <f t="shared" ca="1" si="48"/>
        <v>0</v>
      </c>
      <c r="AR40" s="757">
        <f t="shared" ca="1" si="48"/>
        <v>0</v>
      </c>
      <c r="AS40" s="757">
        <f t="shared" ca="1" si="48"/>
        <v>0</v>
      </c>
      <c r="AT40" s="757">
        <f t="shared" ca="1" si="48"/>
        <v>0</v>
      </c>
      <c r="AU40" s="757">
        <f t="shared" ca="1" si="48"/>
        <v>0</v>
      </c>
      <c r="AV40" s="757">
        <f t="shared" ca="1" si="48"/>
        <v>0</v>
      </c>
      <c r="AW40" s="757">
        <f t="shared" ca="1" si="48"/>
        <v>0</v>
      </c>
      <c r="AX40" s="757">
        <f t="shared" ca="1" si="48"/>
        <v>0</v>
      </c>
      <c r="AY40" s="758">
        <f t="shared" ca="1" si="33"/>
        <v>0</v>
      </c>
      <c r="AZ40" s="757">
        <f t="shared" ca="1" si="49"/>
        <v>0</v>
      </c>
      <c r="BA40" s="757">
        <f t="shared" ca="1" si="49"/>
        <v>0</v>
      </c>
      <c r="BB40" s="757"/>
      <c r="BC40" s="758">
        <f t="shared" ca="1" si="34"/>
        <v>0</v>
      </c>
      <c r="BD40" s="759">
        <f t="shared" ca="1" si="35"/>
        <v>0</v>
      </c>
      <c r="BE40" s="197"/>
      <c r="BF40" s="708"/>
      <c r="BG40" s="703" t="str">
        <f>IF($BF40="","","ĐNSX"&amp; IF(LEN($BF40)=1,"0" &amp; $BF40,$BF40) &amp; "/" &amp; ThongTinChung!$C$5)</f>
        <v/>
      </c>
      <c r="BH40" s="100" t="str">
        <f t="shared" ca="1" si="11"/>
        <v/>
      </c>
      <c r="BI40" s="194" t="str">
        <f ca="1">IF($B40="","","C" &amp; ROW(MauKoXoa!$C$108) &amp; ":C" &amp;ROW(MauKoXoa!$C$174))</f>
        <v/>
      </c>
      <c r="BJ40" s="198" t="str">
        <f t="shared" ca="1" si="36"/>
        <v/>
      </c>
      <c r="BK40" s="198" t="str">
        <f t="shared" ca="1" si="37"/>
        <v/>
      </c>
      <c r="BL40" s="650" t="str">
        <f ca="1">IF(COUNTIF($BL$10:$BL39,IFERROR(INDEX(DanhMuc!$J$154:$J$165,MATCH($BJ40,DanhMuc!$B$154:$B$165,0)),""))&lt;1,IFERROR(INDEX(DanhMuc!$J$154:$J$165,MATCH($BJ40,DanhMuc!$B$154:$B$165,0)),""),"")</f>
        <v/>
      </c>
      <c r="BM40" s="650" t="str">
        <f ca="1">IF(COUNTIF($BM$10:$BM39,IFERROR(INDEX(DanhMuc!$D$168:$D$177,MATCH($BK40,DanhMuc!$C$168:$C$177,0)),""))&lt;1,IFERROR(INDEX(DanhMuc!$D$168:$D$177,MATCH($BK40,DanhMuc!$C$168:$C$177,0)),""),"")</f>
        <v/>
      </c>
      <c r="BN40" s="650" t="str">
        <f ca="1">IFERROR(INDEX(DanhMuc!$K$154:$K$165,MATCH($BJ40,DanhMuc!$B$154:$B$165,0)),"")</f>
        <v/>
      </c>
      <c r="BO40" s="653" t="str">
        <f t="shared" ca="1" si="38"/>
        <v/>
      </c>
      <c r="BP40" s="653" t="str">
        <f t="shared" ref="BP40:BP69" ca="1" si="54">IFERROR(INDEX(Lay_Ten_Sheet,BO40),"")</f>
        <v/>
      </c>
      <c r="BQ40" s="757">
        <f t="shared" ca="1" si="50"/>
        <v>0</v>
      </c>
      <c r="BR40" s="757">
        <f t="shared" ca="1" si="50"/>
        <v>0</v>
      </c>
      <c r="BS40" s="757">
        <f t="shared" ca="1" si="50"/>
        <v>0</v>
      </c>
      <c r="BT40" s="757">
        <f t="shared" ca="1" si="50"/>
        <v>0</v>
      </c>
      <c r="BU40" s="757">
        <f t="shared" ca="1" si="50"/>
        <v>0</v>
      </c>
      <c r="BV40" s="757">
        <f t="shared" ca="1" si="50"/>
        <v>0</v>
      </c>
      <c r="BW40" s="198"/>
    </row>
    <row r="41" spans="1:75" s="42" customFormat="1" ht="19.899999999999999" customHeight="1">
      <c r="A41" s="37" t="str">
        <f ca="1">IF(B41="","",MAX($A$10:A40)+1)</f>
        <v/>
      </c>
      <c r="B41" s="718" t="str">
        <f t="shared" ca="1" si="51"/>
        <v/>
      </c>
      <c r="C41" s="1166">
        <f t="shared" ca="1" si="13"/>
        <v>0</v>
      </c>
      <c r="D41" s="643" t="str">
        <f t="shared" ca="1" si="14"/>
        <v/>
      </c>
      <c r="E41" s="203"/>
      <c r="F41" s="38">
        <f t="shared" ca="1" si="15"/>
        <v>0</v>
      </c>
      <c r="G41" s="38">
        <f t="shared" ca="1" si="16"/>
        <v>0</v>
      </c>
      <c r="H41" s="1136">
        <f t="shared" ca="1" si="17"/>
        <v>0</v>
      </c>
      <c r="I41" s="38">
        <f t="shared" ca="1" si="18"/>
        <v>0</v>
      </c>
      <c r="J41" s="39">
        <f t="shared" si="19"/>
        <v>0</v>
      </c>
      <c r="K41" s="1137">
        <f t="shared" ca="1" si="20"/>
        <v>0</v>
      </c>
      <c r="L41" s="40">
        <f t="shared" ca="1" si="21"/>
        <v>0</v>
      </c>
      <c r="M41" s="40">
        <f t="shared" ca="1" si="52"/>
        <v>0</v>
      </c>
      <c r="N41" s="41">
        <f t="shared" ca="1" si="23"/>
        <v>0</v>
      </c>
      <c r="O41" s="762" t="str">
        <f t="shared" ca="1" si="1"/>
        <v/>
      </c>
      <c r="P41" s="756">
        <f t="shared" ca="1" si="53"/>
        <v>0</v>
      </c>
      <c r="Q41" s="757">
        <f t="shared" ca="1" si="25"/>
        <v>0</v>
      </c>
      <c r="R41" s="905">
        <f ca="1">IF($B41="",0,IFERROR(IFERROR(INDEX(DanhMuc!$J$180:$J$189,MATCH(MID(IFERROR(INDIRECT("'" &amp; $B41 &amp; "'!" &amp; $R$82),0),2,1)&amp;MID(IFERROR(INDIRECT("'" &amp; $B41 &amp; "'!" &amp; $R$82),0),7,2),DanhMuc!$I$180:$I$189,0)),INDEX(DanhMuc!$J$180:$J$189,MATCH(MID(IFERROR(INDIRECT("'" &amp; $B41 &amp; "'!" &amp; $R$82),0),2,1),DanhMuc!$I$180:$I$189,0))),0))</f>
        <v>0</v>
      </c>
      <c r="S41" s="757">
        <f t="shared" ca="1" si="26"/>
        <v>0</v>
      </c>
      <c r="T41" s="757">
        <f t="shared" ca="1" si="43"/>
        <v>0</v>
      </c>
      <c r="U41" s="757">
        <f t="shared" ca="1" si="27"/>
        <v>0</v>
      </c>
      <c r="V41" s="757">
        <f t="shared" ca="1" si="44"/>
        <v>0</v>
      </c>
      <c r="W41" s="757">
        <f t="shared" ca="1" si="44"/>
        <v>0</v>
      </c>
      <c r="X41" s="757">
        <f t="shared" ca="1" si="45"/>
        <v>0</v>
      </c>
      <c r="Y41" s="757">
        <f t="shared" ca="1" si="45"/>
        <v>0</v>
      </c>
      <c r="Z41" s="757">
        <f t="shared" ref="Z41:AD50" ca="1" si="55">IFERROR(INDIRECT("'" &amp; $B41 &amp; "'!" &amp; Z$82)/IF($E41="md",$J41,IF($E41="m2",$K41,$I41)) * (1+Z$10 ),0)</f>
        <v>0</v>
      </c>
      <c r="AA41" s="757">
        <f t="shared" ca="1" si="55"/>
        <v>0</v>
      </c>
      <c r="AB41" s="757">
        <f t="shared" ca="1" si="55"/>
        <v>0</v>
      </c>
      <c r="AC41" s="757">
        <f t="shared" ca="1" si="55"/>
        <v>0</v>
      </c>
      <c r="AD41" s="757">
        <f t="shared" ca="1" si="55"/>
        <v>0</v>
      </c>
      <c r="AE41" s="757">
        <f t="shared" ca="1" si="28"/>
        <v>0</v>
      </c>
      <c r="AF41" s="758">
        <f t="shared" ca="1" si="29"/>
        <v>0</v>
      </c>
      <c r="AG41" s="757">
        <f t="shared" ca="1" si="47"/>
        <v>0</v>
      </c>
      <c r="AH41" s="757">
        <f t="shared" ca="1" si="47"/>
        <v>0</v>
      </c>
      <c r="AI41" s="757">
        <f t="shared" ca="1" si="30"/>
        <v>0</v>
      </c>
      <c r="AJ41" s="758">
        <f t="shared" ca="1" si="31"/>
        <v>0</v>
      </c>
      <c r="AK41" s="759">
        <f t="shared" ca="1" si="32"/>
        <v>0</v>
      </c>
      <c r="AL41" s="757">
        <f t="shared" ref="AL41:AX50" ca="1" si="56">IFERROR(INDIRECT("'" &amp; $B41 &amp; "'!" &amp; AL$82)/IF($E41="md",$J41,IF($E41="m2",$K41,$I41)),0)</f>
        <v>0</v>
      </c>
      <c r="AM41" s="757">
        <f t="shared" ca="1" si="56"/>
        <v>0</v>
      </c>
      <c r="AN41" s="757">
        <f t="shared" ca="1" si="56"/>
        <v>0</v>
      </c>
      <c r="AO41" s="757">
        <f t="shared" ca="1" si="56"/>
        <v>0</v>
      </c>
      <c r="AP41" s="757">
        <f t="shared" ca="1" si="56"/>
        <v>0</v>
      </c>
      <c r="AQ41" s="757">
        <f t="shared" ca="1" si="56"/>
        <v>0</v>
      </c>
      <c r="AR41" s="757">
        <f t="shared" ca="1" si="56"/>
        <v>0</v>
      </c>
      <c r="AS41" s="757">
        <f t="shared" ca="1" si="56"/>
        <v>0</v>
      </c>
      <c r="AT41" s="757">
        <f t="shared" ca="1" si="56"/>
        <v>0</v>
      </c>
      <c r="AU41" s="757">
        <f t="shared" ca="1" si="56"/>
        <v>0</v>
      </c>
      <c r="AV41" s="757">
        <f t="shared" ca="1" si="56"/>
        <v>0</v>
      </c>
      <c r="AW41" s="757">
        <f t="shared" ca="1" si="56"/>
        <v>0</v>
      </c>
      <c r="AX41" s="757">
        <f t="shared" ca="1" si="56"/>
        <v>0</v>
      </c>
      <c r="AY41" s="758">
        <f t="shared" ca="1" si="33"/>
        <v>0</v>
      </c>
      <c r="AZ41" s="757">
        <f t="shared" ca="1" si="49"/>
        <v>0</v>
      </c>
      <c r="BA41" s="757">
        <f t="shared" ca="1" si="49"/>
        <v>0</v>
      </c>
      <c r="BB41" s="757"/>
      <c r="BC41" s="758">
        <f t="shared" ca="1" si="34"/>
        <v>0</v>
      </c>
      <c r="BD41" s="759">
        <f t="shared" ca="1" si="35"/>
        <v>0</v>
      </c>
      <c r="BE41" s="197"/>
      <c r="BF41" s="708"/>
      <c r="BG41" s="703" t="str">
        <f>IF($BF41="","","ĐNSX"&amp; IF(LEN($BF41)=1,"0" &amp; $BF41,$BF41) &amp; "/" &amp; ThongTinChung!$C$5)</f>
        <v/>
      </c>
      <c r="BH41" s="100" t="str">
        <f t="shared" ca="1" si="11"/>
        <v/>
      </c>
      <c r="BI41" s="194" t="str">
        <f ca="1">IF($B41="","","C" &amp; ROW(MauKoXoa!$C$108) &amp; ":C" &amp;ROW(MauKoXoa!$C$174))</f>
        <v/>
      </c>
      <c r="BJ41" s="198" t="str">
        <f t="shared" ca="1" si="36"/>
        <v/>
      </c>
      <c r="BK41" s="198" t="str">
        <f t="shared" ca="1" si="37"/>
        <v/>
      </c>
      <c r="BL41" s="650" t="str">
        <f ca="1">IF(COUNTIF($BL$10:$BL40,IFERROR(INDEX(DanhMuc!$J$154:$J$165,MATCH($BJ41,DanhMuc!$B$154:$B$165,0)),""))&lt;1,IFERROR(INDEX(DanhMuc!$J$154:$J$165,MATCH($BJ41,DanhMuc!$B$154:$B$165,0)),""),"")</f>
        <v/>
      </c>
      <c r="BM41" s="650" t="str">
        <f ca="1">IF(COUNTIF($BM$10:$BM40,IFERROR(INDEX(DanhMuc!$D$168:$D$177,MATCH($BK41,DanhMuc!$C$168:$C$177,0)),""))&lt;1,IFERROR(INDEX(DanhMuc!$D$168:$D$177,MATCH($BK41,DanhMuc!$C$168:$C$177,0)),""),"")</f>
        <v/>
      </c>
      <c r="BN41" s="650" t="str">
        <f ca="1">IFERROR(INDEX(DanhMuc!$K$154:$K$165,MATCH($BJ41,DanhMuc!$B$154:$B$165,0)),"")</f>
        <v/>
      </c>
      <c r="BO41" s="653" t="str">
        <f t="shared" ca="1" si="38"/>
        <v/>
      </c>
      <c r="BP41" s="653" t="str">
        <f t="shared" ca="1" si="54"/>
        <v/>
      </c>
      <c r="BQ41" s="757">
        <f t="shared" ref="BQ41:BV50" ca="1" si="57">IFERROR(INDIRECT("'" &amp; $B41 &amp; "'!" &amp; BQ$82),0)</f>
        <v>0</v>
      </c>
      <c r="BR41" s="757">
        <f t="shared" ca="1" si="57"/>
        <v>0</v>
      </c>
      <c r="BS41" s="757">
        <f t="shared" ca="1" si="57"/>
        <v>0</v>
      </c>
      <c r="BT41" s="757">
        <f t="shared" ca="1" si="57"/>
        <v>0</v>
      </c>
      <c r="BU41" s="757">
        <f t="shared" ca="1" si="57"/>
        <v>0</v>
      </c>
      <c r="BV41" s="757">
        <f t="shared" ca="1" si="57"/>
        <v>0</v>
      </c>
      <c r="BW41" s="198"/>
    </row>
    <row r="42" spans="1:75" s="42" customFormat="1" ht="19.899999999999999" customHeight="1">
      <c r="A42" s="37" t="str">
        <f ca="1">IF(B42="","",MAX($A$10:A41)+1)</f>
        <v/>
      </c>
      <c r="B42" s="718" t="str">
        <f t="shared" ca="1" si="51"/>
        <v/>
      </c>
      <c r="C42" s="1166">
        <f t="shared" ca="1" si="13"/>
        <v>0</v>
      </c>
      <c r="D42" s="643" t="str">
        <f t="shared" ca="1" si="14"/>
        <v/>
      </c>
      <c r="E42" s="203"/>
      <c r="F42" s="38">
        <f t="shared" ca="1" si="15"/>
        <v>0</v>
      </c>
      <c r="G42" s="38">
        <f t="shared" ca="1" si="16"/>
        <v>0</v>
      </c>
      <c r="H42" s="1136">
        <f t="shared" ca="1" si="17"/>
        <v>0</v>
      </c>
      <c r="I42" s="38">
        <f t="shared" ca="1" si="18"/>
        <v>0</v>
      </c>
      <c r="J42" s="39">
        <f t="shared" si="19"/>
        <v>0</v>
      </c>
      <c r="K42" s="1137">
        <f t="shared" ca="1" si="20"/>
        <v>0</v>
      </c>
      <c r="L42" s="40">
        <f t="shared" ca="1" si="21"/>
        <v>0</v>
      </c>
      <c r="M42" s="40">
        <f t="shared" ca="1" si="52"/>
        <v>0</v>
      </c>
      <c r="N42" s="41">
        <f t="shared" ca="1" si="23"/>
        <v>0</v>
      </c>
      <c r="O42" s="762" t="str">
        <f t="shared" ca="1" si="1"/>
        <v/>
      </c>
      <c r="P42" s="756">
        <f t="shared" ca="1" si="53"/>
        <v>0</v>
      </c>
      <c r="Q42" s="757">
        <f t="shared" ca="1" si="25"/>
        <v>0</v>
      </c>
      <c r="R42" s="905">
        <f ca="1">IF($B42="",0,IFERROR(IFERROR(INDEX(DanhMuc!$J$180:$J$189,MATCH(MID(IFERROR(INDIRECT("'" &amp; $B42 &amp; "'!" &amp; $R$82),0),2,1)&amp;MID(IFERROR(INDIRECT("'" &amp; $B42 &amp; "'!" &amp; $R$82),0),7,2),DanhMuc!$I$180:$I$189,0)),INDEX(DanhMuc!$J$180:$J$189,MATCH(MID(IFERROR(INDIRECT("'" &amp; $B42 &amp; "'!" &amp; $R$82),0),2,1),DanhMuc!$I$180:$I$189,0))),0))</f>
        <v>0</v>
      </c>
      <c r="S42" s="757">
        <f t="shared" ca="1" si="26"/>
        <v>0</v>
      </c>
      <c r="T42" s="757">
        <f t="shared" ca="1" si="43"/>
        <v>0</v>
      </c>
      <c r="U42" s="757">
        <f t="shared" ca="1" si="27"/>
        <v>0</v>
      </c>
      <c r="V42" s="757">
        <f t="shared" ca="1" si="44"/>
        <v>0</v>
      </c>
      <c r="W42" s="757">
        <f t="shared" ca="1" si="44"/>
        <v>0</v>
      </c>
      <c r="X42" s="757">
        <f t="shared" ca="1" si="45"/>
        <v>0</v>
      </c>
      <c r="Y42" s="757">
        <f t="shared" ca="1" si="45"/>
        <v>0</v>
      </c>
      <c r="Z42" s="757">
        <f t="shared" ca="1" si="55"/>
        <v>0</v>
      </c>
      <c r="AA42" s="757">
        <f t="shared" ca="1" si="55"/>
        <v>0</v>
      </c>
      <c r="AB42" s="757">
        <f t="shared" ca="1" si="55"/>
        <v>0</v>
      </c>
      <c r="AC42" s="757">
        <f t="shared" ca="1" si="55"/>
        <v>0</v>
      </c>
      <c r="AD42" s="757">
        <f t="shared" ca="1" si="55"/>
        <v>0</v>
      </c>
      <c r="AE42" s="757">
        <f t="shared" ca="1" si="28"/>
        <v>0</v>
      </c>
      <c r="AF42" s="758">
        <f t="shared" ca="1" si="29"/>
        <v>0</v>
      </c>
      <c r="AG42" s="757">
        <f t="shared" ca="1" si="47"/>
        <v>0</v>
      </c>
      <c r="AH42" s="757">
        <f t="shared" ca="1" si="47"/>
        <v>0</v>
      </c>
      <c r="AI42" s="757">
        <f t="shared" ca="1" si="30"/>
        <v>0</v>
      </c>
      <c r="AJ42" s="758">
        <f t="shared" ca="1" si="31"/>
        <v>0</v>
      </c>
      <c r="AK42" s="759">
        <f t="shared" ca="1" si="32"/>
        <v>0</v>
      </c>
      <c r="AL42" s="757">
        <f t="shared" ca="1" si="56"/>
        <v>0</v>
      </c>
      <c r="AM42" s="757">
        <f t="shared" ca="1" si="56"/>
        <v>0</v>
      </c>
      <c r="AN42" s="757">
        <f t="shared" ca="1" si="56"/>
        <v>0</v>
      </c>
      <c r="AO42" s="757">
        <f t="shared" ca="1" si="56"/>
        <v>0</v>
      </c>
      <c r="AP42" s="757">
        <f t="shared" ca="1" si="56"/>
        <v>0</v>
      </c>
      <c r="AQ42" s="757">
        <f t="shared" ca="1" si="56"/>
        <v>0</v>
      </c>
      <c r="AR42" s="757">
        <f t="shared" ca="1" si="56"/>
        <v>0</v>
      </c>
      <c r="AS42" s="757">
        <f t="shared" ca="1" si="56"/>
        <v>0</v>
      </c>
      <c r="AT42" s="757">
        <f t="shared" ca="1" si="56"/>
        <v>0</v>
      </c>
      <c r="AU42" s="757">
        <f t="shared" ca="1" si="56"/>
        <v>0</v>
      </c>
      <c r="AV42" s="757">
        <f t="shared" ca="1" si="56"/>
        <v>0</v>
      </c>
      <c r="AW42" s="757">
        <f t="shared" ca="1" si="56"/>
        <v>0</v>
      </c>
      <c r="AX42" s="757">
        <f t="shared" ca="1" si="56"/>
        <v>0</v>
      </c>
      <c r="AY42" s="758">
        <f t="shared" ca="1" si="33"/>
        <v>0</v>
      </c>
      <c r="AZ42" s="757">
        <f t="shared" ca="1" si="49"/>
        <v>0</v>
      </c>
      <c r="BA42" s="757">
        <f t="shared" ca="1" si="49"/>
        <v>0</v>
      </c>
      <c r="BB42" s="757"/>
      <c r="BC42" s="758">
        <f t="shared" ca="1" si="34"/>
        <v>0</v>
      </c>
      <c r="BD42" s="759">
        <f t="shared" ca="1" si="35"/>
        <v>0</v>
      </c>
      <c r="BE42" s="197"/>
      <c r="BF42" s="708"/>
      <c r="BG42" s="703" t="str">
        <f>IF($BF42="","","ĐNSX"&amp; IF(LEN($BF42)=1,"0" &amp; $BF42,$BF42) &amp; "/" &amp; ThongTinChung!$C$5)</f>
        <v/>
      </c>
      <c r="BH42" s="100" t="str">
        <f t="shared" ca="1" si="11"/>
        <v/>
      </c>
      <c r="BI42" s="194" t="str">
        <f ca="1">IF($B42="","","C" &amp; ROW(MauKoXoa!$C$108) &amp; ":C" &amp;ROW(MauKoXoa!$C$174))</f>
        <v/>
      </c>
      <c r="BJ42" s="198" t="str">
        <f t="shared" ca="1" si="36"/>
        <v/>
      </c>
      <c r="BK42" s="198" t="str">
        <f t="shared" ca="1" si="37"/>
        <v/>
      </c>
      <c r="BL42" s="650" t="str">
        <f ca="1">IF(COUNTIF($BL$10:$BL41,IFERROR(INDEX(DanhMuc!$J$154:$J$165,MATCH($BJ42,DanhMuc!$B$154:$B$165,0)),""))&lt;1,IFERROR(INDEX(DanhMuc!$J$154:$J$165,MATCH($BJ42,DanhMuc!$B$154:$B$165,0)),""),"")</f>
        <v/>
      </c>
      <c r="BM42" s="650" t="str">
        <f ca="1">IF(COUNTIF($BM$10:$BM41,IFERROR(INDEX(DanhMuc!$D$168:$D$177,MATCH($BK42,DanhMuc!$C$168:$C$177,0)),""))&lt;1,IFERROR(INDEX(DanhMuc!$D$168:$D$177,MATCH($BK42,DanhMuc!$C$168:$C$177,0)),""),"")</f>
        <v/>
      </c>
      <c r="BN42" s="650" t="str">
        <f ca="1">IFERROR(INDEX(DanhMuc!$K$154:$K$165,MATCH($BJ42,DanhMuc!$B$154:$B$165,0)),"")</f>
        <v/>
      </c>
      <c r="BO42" s="653" t="str">
        <f t="shared" ca="1" si="38"/>
        <v/>
      </c>
      <c r="BP42" s="653" t="str">
        <f t="shared" ca="1" si="54"/>
        <v/>
      </c>
      <c r="BQ42" s="757">
        <f t="shared" ca="1" si="57"/>
        <v>0</v>
      </c>
      <c r="BR42" s="757">
        <f t="shared" ca="1" si="57"/>
        <v>0</v>
      </c>
      <c r="BS42" s="757">
        <f t="shared" ca="1" si="57"/>
        <v>0</v>
      </c>
      <c r="BT42" s="757">
        <f t="shared" ca="1" si="57"/>
        <v>0</v>
      </c>
      <c r="BU42" s="757">
        <f t="shared" ca="1" si="57"/>
        <v>0</v>
      </c>
      <c r="BV42" s="757">
        <f t="shared" ca="1" si="57"/>
        <v>0</v>
      </c>
      <c r="BW42" s="198"/>
    </row>
    <row r="43" spans="1:75" s="42" customFormat="1" ht="19.899999999999999" customHeight="1">
      <c r="A43" s="37" t="str">
        <f ca="1">IF(B43="","",MAX($A$10:A42)+1)</f>
        <v/>
      </c>
      <c r="B43" s="718" t="str">
        <f t="shared" ca="1" si="51"/>
        <v/>
      </c>
      <c r="C43" s="1166">
        <f t="shared" ca="1" si="13"/>
        <v>0</v>
      </c>
      <c r="D43" s="643" t="str">
        <f t="shared" ca="1" si="14"/>
        <v/>
      </c>
      <c r="E43" s="203"/>
      <c r="F43" s="38">
        <f t="shared" ca="1" si="15"/>
        <v>0</v>
      </c>
      <c r="G43" s="38">
        <f t="shared" ca="1" si="16"/>
        <v>0</v>
      </c>
      <c r="H43" s="1136">
        <f t="shared" ca="1" si="17"/>
        <v>0</v>
      </c>
      <c r="I43" s="38">
        <f t="shared" ca="1" si="18"/>
        <v>0</v>
      </c>
      <c r="J43" s="39">
        <f t="shared" si="19"/>
        <v>0</v>
      </c>
      <c r="K43" s="1137">
        <f t="shared" ca="1" si="20"/>
        <v>0</v>
      </c>
      <c r="L43" s="40">
        <f t="shared" ca="1" si="21"/>
        <v>0</v>
      </c>
      <c r="M43" s="40">
        <f t="shared" ca="1" si="52"/>
        <v>0</v>
      </c>
      <c r="N43" s="41">
        <f t="shared" ca="1" si="23"/>
        <v>0</v>
      </c>
      <c r="O43" s="762" t="str">
        <f t="shared" ref="O43:O74" ca="1" si="58">IFERROR(INDIRECT("'" &amp; $B43 &amp; "'!" &amp; O$82),"")</f>
        <v/>
      </c>
      <c r="P43" s="756">
        <f t="shared" ca="1" si="53"/>
        <v>0</v>
      </c>
      <c r="Q43" s="757">
        <f t="shared" ca="1" si="25"/>
        <v>0</v>
      </c>
      <c r="R43" s="905">
        <f ca="1">IF($B43="",0,IFERROR(IFERROR(INDEX(DanhMuc!$J$180:$J$189,MATCH(MID(IFERROR(INDIRECT("'" &amp; $B43 &amp; "'!" &amp; $R$82),0),2,1)&amp;MID(IFERROR(INDIRECT("'" &amp; $B43 &amp; "'!" &amp; $R$82),0),7,2),DanhMuc!$I$180:$I$189,0)),INDEX(DanhMuc!$J$180:$J$189,MATCH(MID(IFERROR(INDIRECT("'" &amp; $B43 &amp; "'!" &amp; $R$82),0),2,1),DanhMuc!$I$180:$I$189,0))),0))</f>
        <v>0</v>
      </c>
      <c r="S43" s="757">
        <f t="shared" ca="1" si="26"/>
        <v>0</v>
      </c>
      <c r="T43" s="757">
        <f t="shared" ca="1" si="43"/>
        <v>0</v>
      </c>
      <c r="U43" s="757">
        <f t="shared" ca="1" si="27"/>
        <v>0</v>
      </c>
      <c r="V43" s="757">
        <f t="shared" ca="1" si="44"/>
        <v>0</v>
      </c>
      <c r="W43" s="757">
        <f t="shared" ca="1" si="44"/>
        <v>0</v>
      </c>
      <c r="X43" s="757">
        <f t="shared" ca="1" si="45"/>
        <v>0</v>
      </c>
      <c r="Y43" s="757">
        <f t="shared" ca="1" si="45"/>
        <v>0</v>
      </c>
      <c r="Z43" s="757">
        <f t="shared" ca="1" si="55"/>
        <v>0</v>
      </c>
      <c r="AA43" s="757">
        <f t="shared" ca="1" si="55"/>
        <v>0</v>
      </c>
      <c r="AB43" s="757">
        <f t="shared" ca="1" si="55"/>
        <v>0</v>
      </c>
      <c r="AC43" s="757">
        <f t="shared" ca="1" si="55"/>
        <v>0</v>
      </c>
      <c r="AD43" s="757">
        <f t="shared" ca="1" si="55"/>
        <v>0</v>
      </c>
      <c r="AE43" s="757">
        <f t="shared" ca="1" si="28"/>
        <v>0</v>
      </c>
      <c r="AF43" s="758">
        <f t="shared" ca="1" si="29"/>
        <v>0</v>
      </c>
      <c r="AG43" s="757">
        <f t="shared" ca="1" si="47"/>
        <v>0</v>
      </c>
      <c r="AH43" s="757">
        <f t="shared" ca="1" si="47"/>
        <v>0</v>
      </c>
      <c r="AI43" s="757">
        <f t="shared" ca="1" si="30"/>
        <v>0</v>
      </c>
      <c r="AJ43" s="758">
        <f t="shared" ca="1" si="31"/>
        <v>0</v>
      </c>
      <c r="AK43" s="759">
        <f t="shared" ca="1" si="32"/>
        <v>0</v>
      </c>
      <c r="AL43" s="757">
        <f t="shared" ca="1" si="56"/>
        <v>0</v>
      </c>
      <c r="AM43" s="757">
        <f t="shared" ca="1" si="56"/>
        <v>0</v>
      </c>
      <c r="AN43" s="757">
        <f t="shared" ca="1" si="56"/>
        <v>0</v>
      </c>
      <c r="AO43" s="757">
        <f t="shared" ca="1" si="56"/>
        <v>0</v>
      </c>
      <c r="AP43" s="757">
        <f t="shared" ca="1" si="56"/>
        <v>0</v>
      </c>
      <c r="AQ43" s="757">
        <f t="shared" ca="1" si="56"/>
        <v>0</v>
      </c>
      <c r="AR43" s="757">
        <f t="shared" ca="1" si="56"/>
        <v>0</v>
      </c>
      <c r="AS43" s="757">
        <f t="shared" ca="1" si="56"/>
        <v>0</v>
      </c>
      <c r="AT43" s="757">
        <f t="shared" ca="1" si="56"/>
        <v>0</v>
      </c>
      <c r="AU43" s="757">
        <f t="shared" ca="1" si="56"/>
        <v>0</v>
      </c>
      <c r="AV43" s="757">
        <f t="shared" ca="1" si="56"/>
        <v>0</v>
      </c>
      <c r="AW43" s="757">
        <f t="shared" ca="1" si="56"/>
        <v>0</v>
      </c>
      <c r="AX43" s="757">
        <f t="shared" ca="1" si="56"/>
        <v>0</v>
      </c>
      <c r="AY43" s="758">
        <f t="shared" ca="1" si="33"/>
        <v>0</v>
      </c>
      <c r="AZ43" s="757">
        <f t="shared" ca="1" si="49"/>
        <v>0</v>
      </c>
      <c r="BA43" s="757">
        <f t="shared" ca="1" si="49"/>
        <v>0</v>
      </c>
      <c r="BB43" s="757"/>
      <c r="BC43" s="758">
        <f t="shared" ca="1" si="34"/>
        <v>0</v>
      </c>
      <c r="BD43" s="759">
        <f t="shared" ca="1" si="35"/>
        <v>0</v>
      </c>
      <c r="BE43" s="197"/>
      <c r="BF43" s="708"/>
      <c r="BG43" s="703" t="str">
        <f>IF($BF43="","","ĐNSX"&amp; IF(LEN($BF43)=1,"0" &amp; $BF43,$BF43) &amp; "/" &amp; ThongTinChung!$C$5)</f>
        <v/>
      </c>
      <c r="BH43" s="100" t="str">
        <f t="shared" ref="BH43:BH74" ca="1" si="59">IF(B43="","",COUNTA(INDIRECT("'" &amp; $B43 &amp; "'!" &amp; BI43)) - COUNTBLANK(INDIRECT("'" &amp; $B43 &amp; "'!" &amp; BI43)))</f>
        <v/>
      </c>
      <c r="BI43" s="194" t="str">
        <f ca="1">IF($B43="","","C" &amp; ROW(MauKoXoa!$C$108) &amp; ":C" &amp;ROW(MauKoXoa!$C$174))</f>
        <v/>
      </c>
      <c r="BJ43" s="198" t="str">
        <f t="shared" ca="1" si="36"/>
        <v/>
      </c>
      <c r="BK43" s="198" t="str">
        <f t="shared" ca="1" si="37"/>
        <v/>
      </c>
      <c r="BL43" s="650" t="str">
        <f ca="1">IF(COUNTIF($BL$10:$BL42,IFERROR(INDEX(DanhMuc!$J$154:$J$165,MATCH($BJ43,DanhMuc!$B$154:$B$165,0)),""))&lt;1,IFERROR(INDEX(DanhMuc!$J$154:$J$165,MATCH($BJ43,DanhMuc!$B$154:$B$165,0)),""),"")</f>
        <v/>
      </c>
      <c r="BM43" s="650" t="str">
        <f ca="1">IF(COUNTIF($BM$10:$BM42,IFERROR(INDEX(DanhMuc!$D$168:$D$177,MATCH($BK43,DanhMuc!$C$168:$C$177,0)),""))&lt;1,IFERROR(INDEX(DanhMuc!$D$168:$D$177,MATCH($BK43,DanhMuc!$C$168:$C$177,0)),""),"")</f>
        <v/>
      </c>
      <c r="BN43" s="650" t="str">
        <f ca="1">IFERROR(INDEX(DanhMuc!$K$154:$K$165,MATCH($BJ43,DanhMuc!$B$154:$B$165,0)),"")</f>
        <v/>
      </c>
      <c r="BO43" s="653" t="str">
        <f t="shared" ca="1" si="38"/>
        <v/>
      </c>
      <c r="BP43" s="653" t="str">
        <f t="shared" ca="1" si="54"/>
        <v/>
      </c>
      <c r="BQ43" s="757">
        <f t="shared" ca="1" si="57"/>
        <v>0</v>
      </c>
      <c r="BR43" s="757">
        <f t="shared" ca="1" si="57"/>
        <v>0</v>
      </c>
      <c r="BS43" s="757">
        <f t="shared" ca="1" si="57"/>
        <v>0</v>
      </c>
      <c r="BT43" s="757">
        <f t="shared" ca="1" si="57"/>
        <v>0</v>
      </c>
      <c r="BU43" s="757">
        <f t="shared" ca="1" si="57"/>
        <v>0</v>
      </c>
      <c r="BV43" s="757">
        <f t="shared" ca="1" si="57"/>
        <v>0</v>
      </c>
      <c r="BW43" s="198"/>
    </row>
    <row r="44" spans="1:75" s="42" customFormat="1" ht="19.899999999999999" customHeight="1">
      <c r="A44" s="37" t="str">
        <f ca="1">IF(B44="","",MAX($A$10:A43)+1)</f>
        <v/>
      </c>
      <c r="B44" s="718" t="str">
        <f t="shared" ca="1" si="51"/>
        <v/>
      </c>
      <c r="C44" s="1166">
        <f t="shared" ca="1" si="13"/>
        <v>0</v>
      </c>
      <c r="D44" s="643" t="str">
        <f t="shared" ca="1" si="14"/>
        <v/>
      </c>
      <c r="E44" s="203"/>
      <c r="F44" s="38">
        <f t="shared" ca="1" si="15"/>
        <v>0</v>
      </c>
      <c r="G44" s="38">
        <f t="shared" ca="1" si="16"/>
        <v>0</v>
      </c>
      <c r="H44" s="1136">
        <f t="shared" ca="1" si="17"/>
        <v>0</v>
      </c>
      <c r="I44" s="38">
        <f t="shared" ca="1" si="18"/>
        <v>0</v>
      </c>
      <c r="J44" s="39">
        <f t="shared" si="19"/>
        <v>0</v>
      </c>
      <c r="K44" s="1137">
        <f t="shared" ca="1" si="20"/>
        <v>0</v>
      </c>
      <c r="L44" s="40">
        <f t="shared" ca="1" si="21"/>
        <v>0</v>
      </c>
      <c r="M44" s="40">
        <f t="shared" ca="1" si="52"/>
        <v>0</v>
      </c>
      <c r="N44" s="41">
        <f t="shared" ca="1" si="23"/>
        <v>0</v>
      </c>
      <c r="O44" s="762" t="str">
        <f t="shared" ca="1" si="58"/>
        <v/>
      </c>
      <c r="P44" s="756">
        <f t="shared" ca="1" si="53"/>
        <v>0</v>
      </c>
      <c r="Q44" s="757">
        <f t="shared" ca="1" si="25"/>
        <v>0</v>
      </c>
      <c r="R44" s="905">
        <f ca="1">IF($B44="",0,IFERROR(IFERROR(INDEX(DanhMuc!$J$180:$J$189,MATCH(MID(IFERROR(INDIRECT("'" &amp; $B44 &amp; "'!" &amp; $R$82),0),2,1)&amp;MID(IFERROR(INDIRECT("'" &amp; $B44 &amp; "'!" &amp; $R$82),0),7,2),DanhMuc!$I$180:$I$189,0)),INDEX(DanhMuc!$J$180:$J$189,MATCH(MID(IFERROR(INDIRECT("'" &amp; $B44 &amp; "'!" &amp; $R$82),0),2,1),DanhMuc!$I$180:$I$189,0))),0))</f>
        <v>0</v>
      </c>
      <c r="S44" s="757">
        <f t="shared" ca="1" si="26"/>
        <v>0</v>
      </c>
      <c r="T44" s="757">
        <f t="shared" ca="1" si="43"/>
        <v>0</v>
      </c>
      <c r="U44" s="757">
        <f t="shared" ca="1" si="27"/>
        <v>0</v>
      </c>
      <c r="V44" s="757">
        <f t="shared" ca="1" si="44"/>
        <v>0</v>
      </c>
      <c r="W44" s="757">
        <f t="shared" ca="1" si="44"/>
        <v>0</v>
      </c>
      <c r="X44" s="757">
        <f t="shared" ca="1" si="45"/>
        <v>0</v>
      </c>
      <c r="Y44" s="757">
        <f t="shared" ca="1" si="45"/>
        <v>0</v>
      </c>
      <c r="Z44" s="757">
        <f t="shared" ca="1" si="55"/>
        <v>0</v>
      </c>
      <c r="AA44" s="757">
        <f t="shared" ca="1" si="55"/>
        <v>0</v>
      </c>
      <c r="AB44" s="757">
        <f t="shared" ca="1" si="55"/>
        <v>0</v>
      </c>
      <c r="AC44" s="757">
        <f t="shared" ca="1" si="55"/>
        <v>0</v>
      </c>
      <c r="AD44" s="757">
        <f t="shared" ca="1" si="55"/>
        <v>0</v>
      </c>
      <c r="AE44" s="757">
        <f t="shared" ca="1" si="28"/>
        <v>0</v>
      </c>
      <c r="AF44" s="758">
        <f t="shared" ca="1" si="29"/>
        <v>0</v>
      </c>
      <c r="AG44" s="757">
        <f t="shared" ca="1" si="47"/>
        <v>0</v>
      </c>
      <c r="AH44" s="757">
        <f t="shared" ca="1" si="47"/>
        <v>0</v>
      </c>
      <c r="AI44" s="757">
        <f t="shared" ca="1" si="30"/>
        <v>0</v>
      </c>
      <c r="AJ44" s="758">
        <f t="shared" ca="1" si="31"/>
        <v>0</v>
      </c>
      <c r="AK44" s="759">
        <f t="shared" ca="1" si="32"/>
        <v>0</v>
      </c>
      <c r="AL44" s="757">
        <f t="shared" ca="1" si="56"/>
        <v>0</v>
      </c>
      <c r="AM44" s="757">
        <f t="shared" ca="1" si="56"/>
        <v>0</v>
      </c>
      <c r="AN44" s="757">
        <f t="shared" ca="1" si="56"/>
        <v>0</v>
      </c>
      <c r="AO44" s="757">
        <f t="shared" ca="1" si="56"/>
        <v>0</v>
      </c>
      <c r="AP44" s="757">
        <f t="shared" ca="1" si="56"/>
        <v>0</v>
      </c>
      <c r="AQ44" s="757">
        <f t="shared" ca="1" si="56"/>
        <v>0</v>
      </c>
      <c r="AR44" s="757">
        <f t="shared" ca="1" si="56"/>
        <v>0</v>
      </c>
      <c r="AS44" s="757">
        <f t="shared" ca="1" si="56"/>
        <v>0</v>
      </c>
      <c r="AT44" s="757">
        <f t="shared" ca="1" si="56"/>
        <v>0</v>
      </c>
      <c r="AU44" s="757">
        <f t="shared" ca="1" si="56"/>
        <v>0</v>
      </c>
      <c r="AV44" s="757">
        <f t="shared" ca="1" si="56"/>
        <v>0</v>
      </c>
      <c r="AW44" s="757">
        <f t="shared" ca="1" si="56"/>
        <v>0</v>
      </c>
      <c r="AX44" s="757">
        <f t="shared" ca="1" si="56"/>
        <v>0</v>
      </c>
      <c r="AY44" s="758">
        <f t="shared" ca="1" si="33"/>
        <v>0</v>
      </c>
      <c r="AZ44" s="757">
        <f t="shared" ca="1" si="49"/>
        <v>0</v>
      </c>
      <c r="BA44" s="757">
        <f t="shared" ca="1" si="49"/>
        <v>0</v>
      </c>
      <c r="BB44" s="757"/>
      <c r="BC44" s="758">
        <f t="shared" ca="1" si="34"/>
        <v>0</v>
      </c>
      <c r="BD44" s="759">
        <f t="shared" ca="1" si="35"/>
        <v>0</v>
      </c>
      <c r="BE44" s="197"/>
      <c r="BF44" s="708"/>
      <c r="BG44" s="703" t="str">
        <f>IF($BF44="","","ĐNSX"&amp; IF(LEN($BF44)=1,"0" &amp; $BF44,$BF44) &amp; "/" &amp; ThongTinChung!$C$5)</f>
        <v/>
      </c>
      <c r="BH44" s="100" t="str">
        <f t="shared" ca="1" si="59"/>
        <v/>
      </c>
      <c r="BI44" s="194" t="str">
        <f ca="1">IF($B44="","","C" &amp; ROW(MauKoXoa!$C$108) &amp; ":C" &amp;ROW(MauKoXoa!$C$174))</f>
        <v/>
      </c>
      <c r="BJ44" s="198" t="str">
        <f t="shared" ca="1" si="36"/>
        <v/>
      </c>
      <c r="BK44" s="198" t="str">
        <f t="shared" ca="1" si="37"/>
        <v/>
      </c>
      <c r="BL44" s="650" t="str">
        <f ca="1">IF(COUNTIF($BL$10:$BL43,IFERROR(INDEX(DanhMuc!$J$154:$J$165,MATCH($BJ44,DanhMuc!$B$154:$B$165,0)),""))&lt;1,IFERROR(INDEX(DanhMuc!$J$154:$J$165,MATCH($BJ44,DanhMuc!$B$154:$B$165,0)),""),"")</f>
        <v/>
      </c>
      <c r="BM44" s="650" t="str">
        <f ca="1">IF(COUNTIF($BM$10:$BM43,IFERROR(INDEX(DanhMuc!$D$168:$D$177,MATCH($BK44,DanhMuc!$C$168:$C$177,0)),""))&lt;1,IFERROR(INDEX(DanhMuc!$D$168:$D$177,MATCH($BK44,DanhMuc!$C$168:$C$177,0)),""),"")</f>
        <v/>
      </c>
      <c r="BN44" s="650" t="str">
        <f ca="1">IFERROR(INDEX(DanhMuc!$K$154:$K$165,MATCH($BJ44,DanhMuc!$B$154:$B$165,0)),"")</f>
        <v/>
      </c>
      <c r="BO44" s="653" t="str">
        <f t="shared" ca="1" si="38"/>
        <v/>
      </c>
      <c r="BP44" s="653" t="str">
        <f t="shared" ca="1" si="54"/>
        <v/>
      </c>
      <c r="BQ44" s="757">
        <f t="shared" ca="1" si="57"/>
        <v>0</v>
      </c>
      <c r="BR44" s="757">
        <f t="shared" ca="1" si="57"/>
        <v>0</v>
      </c>
      <c r="BS44" s="757">
        <f t="shared" ca="1" si="57"/>
        <v>0</v>
      </c>
      <c r="BT44" s="757">
        <f t="shared" ca="1" si="57"/>
        <v>0</v>
      </c>
      <c r="BU44" s="757">
        <f t="shared" ca="1" si="57"/>
        <v>0</v>
      </c>
      <c r="BV44" s="757">
        <f t="shared" ca="1" si="57"/>
        <v>0</v>
      </c>
      <c r="BW44" s="198"/>
    </row>
    <row r="45" spans="1:75" s="42" customFormat="1" ht="19.899999999999999" customHeight="1">
      <c r="A45" s="37" t="str">
        <f ca="1">IF(B45="","",MAX($A$10:A44)+1)</f>
        <v/>
      </c>
      <c r="B45" s="718" t="str">
        <f t="shared" ca="1" si="51"/>
        <v/>
      </c>
      <c r="C45" s="1166">
        <f t="shared" ca="1" si="13"/>
        <v>0</v>
      </c>
      <c r="D45" s="643" t="str">
        <f t="shared" ca="1" si="14"/>
        <v/>
      </c>
      <c r="E45" s="203"/>
      <c r="F45" s="38">
        <f t="shared" ca="1" si="15"/>
        <v>0</v>
      </c>
      <c r="G45" s="38">
        <f t="shared" ca="1" si="16"/>
        <v>0</v>
      </c>
      <c r="H45" s="1136">
        <f t="shared" ca="1" si="17"/>
        <v>0</v>
      </c>
      <c r="I45" s="38">
        <f t="shared" ca="1" si="18"/>
        <v>0</v>
      </c>
      <c r="J45" s="39">
        <f t="shared" si="19"/>
        <v>0</v>
      </c>
      <c r="K45" s="1137">
        <f t="shared" ca="1" si="20"/>
        <v>0</v>
      </c>
      <c r="L45" s="40">
        <f t="shared" ca="1" si="21"/>
        <v>0</v>
      </c>
      <c r="M45" s="40">
        <f t="shared" ca="1" si="52"/>
        <v>0</v>
      </c>
      <c r="N45" s="41">
        <f t="shared" ca="1" si="23"/>
        <v>0</v>
      </c>
      <c r="O45" s="762" t="str">
        <f t="shared" ca="1" si="58"/>
        <v/>
      </c>
      <c r="P45" s="756">
        <f t="shared" ca="1" si="53"/>
        <v>0</v>
      </c>
      <c r="Q45" s="757">
        <f t="shared" ca="1" si="25"/>
        <v>0</v>
      </c>
      <c r="R45" s="905">
        <f ca="1">IF($B45="",0,IFERROR(IFERROR(INDEX(DanhMuc!$J$180:$J$189,MATCH(MID(IFERROR(INDIRECT("'" &amp; $B45 &amp; "'!" &amp; $R$82),0),2,1)&amp;MID(IFERROR(INDIRECT("'" &amp; $B45 &amp; "'!" &amp; $R$82),0),7,2),DanhMuc!$I$180:$I$189,0)),INDEX(DanhMuc!$J$180:$J$189,MATCH(MID(IFERROR(INDIRECT("'" &amp; $B45 &amp; "'!" &amp; $R$82),0),2,1),DanhMuc!$I$180:$I$189,0))),0))</f>
        <v>0</v>
      </c>
      <c r="S45" s="757">
        <f t="shared" ca="1" si="26"/>
        <v>0</v>
      </c>
      <c r="T45" s="757">
        <f t="shared" ca="1" si="43"/>
        <v>0</v>
      </c>
      <c r="U45" s="757">
        <f t="shared" ca="1" si="27"/>
        <v>0</v>
      </c>
      <c r="V45" s="757">
        <f t="shared" ca="1" si="44"/>
        <v>0</v>
      </c>
      <c r="W45" s="757">
        <f t="shared" ca="1" si="44"/>
        <v>0</v>
      </c>
      <c r="X45" s="757">
        <f t="shared" ca="1" si="45"/>
        <v>0</v>
      </c>
      <c r="Y45" s="757">
        <f t="shared" ca="1" si="45"/>
        <v>0</v>
      </c>
      <c r="Z45" s="757">
        <f t="shared" ca="1" si="55"/>
        <v>0</v>
      </c>
      <c r="AA45" s="757">
        <f t="shared" ca="1" si="55"/>
        <v>0</v>
      </c>
      <c r="AB45" s="757">
        <f t="shared" ca="1" si="55"/>
        <v>0</v>
      </c>
      <c r="AC45" s="757">
        <f t="shared" ca="1" si="55"/>
        <v>0</v>
      </c>
      <c r="AD45" s="757">
        <f t="shared" ca="1" si="55"/>
        <v>0</v>
      </c>
      <c r="AE45" s="757">
        <f t="shared" ca="1" si="28"/>
        <v>0</v>
      </c>
      <c r="AF45" s="758">
        <f t="shared" ca="1" si="29"/>
        <v>0</v>
      </c>
      <c r="AG45" s="757">
        <f t="shared" ca="1" si="47"/>
        <v>0</v>
      </c>
      <c r="AH45" s="757">
        <f t="shared" ca="1" si="47"/>
        <v>0</v>
      </c>
      <c r="AI45" s="757">
        <f t="shared" ca="1" si="30"/>
        <v>0</v>
      </c>
      <c r="AJ45" s="758">
        <f t="shared" ca="1" si="31"/>
        <v>0</v>
      </c>
      <c r="AK45" s="759">
        <f t="shared" ca="1" si="32"/>
        <v>0</v>
      </c>
      <c r="AL45" s="757">
        <f t="shared" ca="1" si="56"/>
        <v>0</v>
      </c>
      <c r="AM45" s="757">
        <f t="shared" ca="1" si="56"/>
        <v>0</v>
      </c>
      <c r="AN45" s="757">
        <f t="shared" ca="1" si="56"/>
        <v>0</v>
      </c>
      <c r="AO45" s="757">
        <f t="shared" ca="1" si="56"/>
        <v>0</v>
      </c>
      <c r="AP45" s="757">
        <f t="shared" ca="1" si="56"/>
        <v>0</v>
      </c>
      <c r="AQ45" s="757">
        <f t="shared" ca="1" si="56"/>
        <v>0</v>
      </c>
      <c r="AR45" s="757">
        <f t="shared" ca="1" si="56"/>
        <v>0</v>
      </c>
      <c r="AS45" s="757">
        <f t="shared" ca="1" si="56"/>
        <v>0</v>
      </c>
      <c r="AT45" s="757">
        <f t="shared" ca="1" si="56"/>
        <v>0</v>
      </c>
      <c r="AU45" s="757">
        <f t="shared" ca="1" si="56"/>
        <v>0</v>
      </c>
      <c r="AV45" s="757">
        <f t="shared" ca="1" si="56"/>
        <v>0</v>
      </c>
      <c r="AW45" s="757">
        <f t="shared" ca="1" si="56"/>
        <v>0</v>
      </c>
      <c r="AX45" s="757">
        <f t="shared" ca="1" si="56"/>
        <v>0</v>
      </c>
      <c r="AY45" s="758">
        <f t="shared" ca="1" si="33"/>
        <v>0</v>
      </c>
      <c r="AZ45" s="757">
        <f t="shared" ca="1" si="49"/>
        <v>0</v>
      </c>
      <c r="BA45" s="757">
        <f t="shared" ca="1" si="49"/>
        <v>0</v>
      </c>
      <c r="BB45" s="757"/>
      <c r="BC45" s="758">
        <f t="shared" ca="1" si="34"/>
        <v>0</v>
      </c>
      <c r="BD45" s="759">
        <f t="shared" ca="1" si="35"/>
        <v>0</v>
      </c>
      <c r="BE45" s="197"/>
      <c r="BF45" s="708"/>
      <c r="BG45" s="703" t="str">
        <f>IF($BF45="","","ĐNSX"&amp; IF(LEN($BF45)=1,"0" &amp; $BF45,$BF45) &amp; "/" &amp; ThongTinChung!$C$5)</f>
        <v/>
      </c>
      <c r="BH45" s="100" t="str">
        <f t="shared" ca="1" si="59"/>
        <v/>
      </c>
      <c r="BI45" s="194" t="str">
        <f ca="1">IF($B45="","","C" &amp; ROW(MauKoXoa!$C$108) &amp; ":C" &amp;ROW(MauKoXoa!$C$174))</f>
        <v/>
      </c>
      <c r="BJ45" s="198" t="str">
        <f t="shared" ca="1" si="36"/>
        <v/>
      </c>
      <c r="BK45" s="198" t="str">
        <f t="shared" ca="1" si="37"/>
        <v/>
      </c>
      <c r="BL45" s="650" t="str">
        <f ca="1">IF(COUNTIF($BL$10:$BL44,IFERROR(INDEX(DanhMuc!$J$154:$J$165,MATCH($BJ45,DanhMuc!$B$154:$B$165,0)),""))&lt;1,IFERROR(INDEX(DanhMuc!$J$154:$J$165,MATCH($BJ45,DanhMuc!$B$154:$B$165,0)),""),"")</f>
        <v/>
      </c>
      <c r="BM45" s="650" t="str">
        <f ca="1">IF(COUNTIF($BM$10:$BM44,IFERROR(INDEX(DanhMuc!$D$168:$D$177,MATCH($BK45,DanhMuc!$C$168:$C$177,0)),""))&lt;1,IFERROR(INDEX(DanhMuc!$D$168:$D$177,MATCH($BK45,DanhMuc!$C$168:$C$177,0)),""),"")</f>
        <v/>
      </c>
      <c r="BN45" s="650" t="str">
        <f ca="1">IFERROR(INDEX(DanhMuc!$K$154:$K$165,MATCH($BJ45,DanhMuc!$B$154:$B$165,0)),"")</f>
        <v/>
      </c>
      <c r="BO45" s="653" t="str">
        <f t="shared" ca="1" si="38"/>
        <v/>
      </c>
      <c r="BP45" s="653" t="str">
        <f t="shared" ca="1" si="54"/>
        <v/>
      </c>
      <c r="BQ45" s="757">
        <f t="shared" ca="1" si="57"/>
        <v>0</v>
      </c>
      <c r="BR45" s="757">
        <f t="shared" ca="1" si="57"/>
        <v>0</v>
      </c>
      <c r="BS45" s="757">
        <f t="shared" ca="1" si="57"/>
        <v>0</v>
      </c>
      <c r="BT45" s="757">
        <f t="shared" ca="1" si="57"/>
        <v>0</v>
      </c>
      <c r="BU45" s="757">
        <f t="shared" ca="1" si="57"/>
        <v>0</v>
      </c>
      <c r="BV45" s="757">
        <f t="shared" ca="1" si="57"/>
        <v>0</v>
      </c>
      <c r="BW45" s="198"/>
    </row>
    <row r="46" spans="1:75" s="42" customFormat="1" ht="19.899999999999999" customHeight="1">
      <c r="A46" s="37" t="str">
        <f ca="1">IF(B46="","",MAX($A$10:A45)+1)</f>
        <v/>
      </c>
      <c r="B46" s="718" t="str">
        <f t="shared" ca="1" si="51"/>
        <v/>
      </c>
      <c r="C46" s="1166">
        <f t="shared" ca="1" si="13"/>
        <v>0</v>
      </c>
      <c r="D46" s="643" t="str">
        <f t="shared" ca="1" si="14"/>
        <v/>
      </c>
      <c r="E46" s="203"/>
      <c r="F46" s="38">
        <f t="shared" ca="1" si="15"/>
        <v>0</v>
      </c>
      <c r="G46" s="38">
        <f t="shared" ca="1" si="16"/>
        <v>0</v>
      </c>
      <c r="H46" s="1136">
        <f t="shared" ca="1" si="17"/>
        <v>0</v>
      </c>
      <c r="I46" s="38">
        <f t="shared" ca="1" si="18"/>
        <v>0</v>
      </c>
      <c r="J46" s="39">
        <f t="shared" si="19"/>
        <v>0</v>
      </c>
      <c r="K46" s="1137">
        <f t="shared" ca="1" si="20"/>
        <v>0</v>
      </c>
      <c r="L46" s="40">
        <f t="shared" ca="1" si="21"/>
        <v>0</v>
      </c>
      <c r="M46" s="40">
        <f t="shared" ca="1" si="52"/>
        <v>0</v>
      </c>
      <c r="N46" s="41">
        <f t="shared" ca="1" si="23"/>
        <v>0</v>
      </c>
      <c r="O46" s="762" t="str">
        <f t="shared" ca="1" si="58"/>
        <v/>
      </c>
      <c r="P46" s="756">
        <f t="shared" ca="1" si="53"/>
        <v>0</v>
      </c>
      <c r="Q46" s="757">
        <f t="shared" ca="1" si="25"/>
        <v>0</v>
      </c>
      <c r="R46" s="905">
        <f ca="1">IF($B46="",0,IFERROR(IFERROR(INDEX(DanhMuc!$J$180:$J$189,MATCH(MID(IFERROR(INDIRECT("'" &amp; $B46 &amp; "'!" &amp; $R$82),0),2,1)&amp;MID(IFERROR(INDIRECT("'" &amp; $B46 &amp; "'!" &amp; $R$82),0),7,2),DanhMuc!$I$180:$I$189,0)),INDEX(DanhMuc!$J$180:$J$189,MATCH(MID(IFERROR(INDIRECT("'" &amp; $B46 &amp; "'!" &amp; $R$82),0),2,1),DanhMuc!$I$180:$I$189,0))),0))</f>
        <v>0</v>
      </c>
      <c r="S46" s="757">
        <f t="shared" ca="1" si="26"/>
        <v>0</v>
      </c>
      <c r="T46" s="757">
        <f t="shared" ca="1" si="43"/>
        <v>0</v>
      </c>
      <c r="U46" s="757">
        <f t="shared" ca="1" si="27"/>
        <v>0</v>
      </c>
      <c r="V46" s="757">
        <f t="shared" ca="1" si="44"/>
        <v>0</v>
      </c>
      <c r="W46" s="757">
        <f t="shared" ca="1" si="44"/>
        <v>0</v>
      </c>
      <c r="X46" s="757">
        <f t="shared" ca="1" si="45"/>
        <v>0</v>
      </c>
      <c r="Y46" s="757">
        <f t="shared" ca="1" si="45"/>
        <v>0</v>
      </c>
      <c r="Z46" s="757">
        <f t="shared" ca="1" si="55"/>
        <v>0</v>
      </c>
      <c r="AA46" s="757">
        <f t="shared" ca="1" si="55"/>
        <v>0</v>
      </c>
      <c r="AB46" s="757">
        <f t="shared" ca="1" si="55"/>
        <v>0</v>
      </c>
      <c r="AC46" s="757">
        <f t="shared" ca="1" si="55"/>
        <v>0</v>
      </c>
      <c r="AD46" s="757">
        <f t="shared" ca="1" si="55"/>
        <v>0</v>
      </c>
      <c r="AE46" s="757">
        <f t="shared" ca="1" si="28"/>
        <v>0</v>
      </c>
      <c r="AF46" s="758">
        <f t="shared" ca="1" si="29"/>
        <v>0</v>
      </c>
      <c r="AG46" s="757">
        <f t="shared" ca="1" si="47"/>
        <v>0</v>
      </c>
      <c r="AH46" s="757">
        <f t="shared" ca="1" si="47"/>
        <v>0</v>
      </c>
      <c r="AI46" s="757">
        <f t="shared" ca="1" si="30"/>
        <v>0</v>
      </c>
      <c r="AJ46" s="758">
        <f t="shared" ca="1" si="31"/>
        <v>0</v>
      </c>
      <c r="AK46" s="759">
        <f t="shared" ca="1" si="32"/>
        <v>0</v>
      </c>
      <c r="AL46" s="757">
        <f t="shared" ca="1" si="56"/>
        <v>0</v>
      </c>
      <c r="AM46" s="757">
        <f t="shared" ca="1" si="56"/>
        <v>0</v>
      </c>
      <c r="AN46" s="757">
        <f t="shared" ca="1" si="56"/>
        <v>0</v>
      </c>
      <c r="AO46" s="757">
        <f t="shared" ca="1" si="56"/>
        <v>0</v>
      </c>
      <c r="AP46" s="757">
        <f t="shared" ca="1" si="56"/>
        <v>0</v>
      </c>
      <c r="AQ46" s="757">
        <f t="shared" ca="1" si="56"/>
        <v>0</v>
      </c>
      <c r="AR46" s="757">
        <f t="shared" ca="1" si="56"/>
        <v>0</v>
      </c>
      <c r="AS46" s="757">
        <f t="shared" ca="1" si="56"/>
        <v>0</v>
      </c>
      <c r="AT46" s="757">
        <f t="shared" ca="1" si="56"/>
        <v>0</v>
      </c>
      <c r="AU46" s="757">
        <f t="shared" ca="1" si="56"/>
        <v>0</v>
      </c>
      <c r="AV46" s="757">
        <f t="shared" ca="1" si="56"/>
        <v>0</v>
      </c>
      <c r="AW46" s="757">
        <f t="shared" ca="1" si="56"/>
        <v>0</v>
      </c>
      <c r="AX46" s="757">
        <f t="shared" ca="1" si="56"/>
        <v>0</v>
      </c>
      <c r="AY46" s="758">
        <f t="shared" ca="1" si="33"/>
        <v>0</v>
      </c>
      <c r="AZ46" s="757">
        <f t="shared" ca="1" si="49"/>
        <v>0</v>
      </c>
      <c r="BA46" s="757">
        <f t="shared" ca="1" si="49"/>
        <v>0</v>
      </c>
      <c r="BB46" s="757"/>
      <c r="BC46" s="758">
        <f t="shared" ca="1" si="34"/>
        <v>0</v>
      </c>
      <c r="BD46" s="759">
        <f t="shared" ca="1" si="35"/>
        <v>0</v>
      </c>
      <c r="BE46" s="197"/>
      <c r="BF46" s="708"/>
      <c r="BG46" s="703" t="str">
        <f>IF($BF46="","","ĐNSX"&amp; IF(LEN($BF46)=1,"0" &amp; $BF46,$BF46) &amp; "/" &amp; ThongTinChung!$C$5)</f>
        <v/>
      </c>
      <c r="BH46" s="100" t="str">
        <f t="shared" ca="1" si="59"/>
        <v/>
      </c>
      <c r="BI46" s="194" t="str">
        <f ca="1">IF($B46="","","C" &amp; ROW(MauKoXoa!$C$108) &amp; ":C" &amp;ROW(MauKoXoa!$C$174))</f>
        <v/>
      </c>
      <c r="BJ46" s="198" t="str">
        <f t="shared" ca="1" si="36"/>
        <v/>
      </c>
      <c r="BK46" s="198" t="str">
        <f t="shared" ca="1" si="37"/>
        <v/>
      </c>
      <c r="BL46" s="650" t="str">
        <f ca="1">IF(COUNTIF($BL$10:$BL45,IFERROR(INDEX(DanhMuc!$J$154:$J$165,MATCH($BJ46,DanhMuc!$B$154:$B$165,0)),""))&lt;1,IFERROR(INDEX(DanhMuc!$J$154:$J$165,MATCH($BJ46,DanhMuc!$B$154:$B$165,0)),""),"")</f>
        <v/>
      </c>
      <c r="BM46" s="650" t="str">
        <f ca="1">IF(COUNTIF($BM$10:$BM45,IFERROR(INDEX(DanhMuc!$D$168:$D$177,MATCH($BK46,DanhMuc!$C$168:$C$177,0)),""))&lt;1,IFERROR(INDEX(DanhMuc!$D$168:$D$177,MATCH($BK46,DanhMuc!$C$168:$C$177,0)),""),"")</f>
        <v/>
      </c>
      <c r="BN46" s="650" t="str">
        <f ca="1">IFERROR(INDEX(DanhMuc!$K$154:$K$165,MATCH($BJ46,DanhMuc!$B$154:$B$165,0)),"")</f>
        <v/>
      </c>
      <c r="BO46" s="653" t="str">
        <f t="shared" ca="1" si="38"/>
        <v/>
      </c>
      <c r="BP46" s="653" t="str">
        <f t="shared" ca="1" si="54"/>
        <v/>
      </c>
      <c r="BQ46" s="757">
        <f t="shared" ca="1" si="57"/>
        <v>0</v>
      </c>
      <c r="BR46" s="757">
        <f t="shared" ca="1" si="57"/>
        <v>0</v>
      </c>
      <c r="BS46" s="757">
        <f t="shared" ca="1" si="57"/>
        <v>0</v>
      </c>
      <c r="BT46" s="757">
        <f t="shared" ca="1" si="57"/>
        <v>0</v>
      </c>
      <c r="BU46" s="757">
        <f t="shared" ca="1" si="57"/>
        <v>0</v>
      </c>
      <c r="BV46" s="757">
        <f t="shared" ca="1" si="57"/>
        <v>0</v>
      </c>
      <c r="BW46" s="198"/>
    </row>
    <row r="47" spans="1:75" s="42" customFormat="1" ht="19.899999999999999" customHeight="1">
      <c r="A47" s="37" t="str">
        <f ca="1">IF(B47="","",MAX($A$10:A46)+1)</f>
        <v/>
      </c>
      <c r="B47" s="718" t="str">
        <f t="shared" ca="1" si="51"/>
        <v/>
      </c>
      <c r="C47" s="1166">
        <f t="shared" ca="1" si="13"/>
        <v>0</v>
      </c>
      <c r="D47" s="643" t="str">
        <f t="shared" ca="1" si="14"/>
        <v/>
      </c>
      <c r="E47" s="203"/>
      <c r="F47" s="38">
        <f t="shared" ca="1" si="15"/>
        <v>0</v>
      </c>
      <c r="G47" s="38">
        <f t="shared" ca="1" si="16"/>
        <v>0</v>
      </c>
      <c r="H47" s="1136">
        <f t="shared" ca="1" si="17"/>
        <v>0</v>
      </c>
      <c r="I47" s="38">
        <f t="shared" ca="1" si="18"/>
        <v>0</v>
      </c>
      <c r="J47" s="39">
        <f t="shared" si="19"/>
        <v>0</v>
      </c>
      <c r="K47" s="1137">
        <f t="shared" ca="1" si="20"/>
        <v>0</v>
      </c>
      <c r="L47" s="40">
        <f t="shared" ca="1" si="21"/>
        <v>0</v>
      </c>
      <c r="M47" s="40">
        <f t="shared" ca="1" si="52"/>
        <v>0</v>
      </c>
      <c r="N47" s="41">
        <f t="shared" ca="1" si="23"/>
        <v>0</v>
      </c>
      <c r="O47" s="762" t="str">
        <f t="shared" ca="1" si="58"/>
        <v/>
      </c>
      <c r="P47" s="756">
        <f t="shared" ca="1" si="53"/>
        <v>0</v>
      </c>
      <c r="Q47" s="757">
        <f t="shared" ca="1" si="25"/>
        <v>0</v>
      </c>
      <c r="R47" s="905">
        <f ca="1">IF($B47="",0,IFERROR(IFERROR(INDEX(DanhMuc!$J$180:$J$189,MATCH(MID(IFERROR(INDIRECT("'" &amp; $B47 &amp; "'!" &amp; $R$82),0),2,1)&amp;MID(IFERROR(INDIRECT("'" &amp; $B47 &amp; "'!" &amp; $R$82),0),7,2),DanhMuc!$I$180:$I$189,0)),INDEX(DanhMuc!$J$180:$J$189,MATCH(MID(IFERROR(INDIRECT("'" &amp; $B47 &amp; "'!" &amp; $R$82),0),2,1),DanhMuc!$I$180:$I$189,0))),0))</f>
        <v>0</v>
      </c>
      <c r="S47" s="757">
        <f t="shared" ca="1" si="26"/>
        <v>0</v>
      </c>
      <c r="T47" s="757">
        <f t="shared" ca="1" si="43"/>
        <v>0</v>
      </c>
      <c r="U47" s="757">
        <f t="shared" ca="1" si="27"/>
        <v>0</v>
      </c>
      <c r="V47" s="757">
        <f t="shared" ca="1" si="44"/>
        <v>0</v>
      </c>
      <c r="W47" s="757">
        <f t="shared" ca="1" si="44"/>
        <v>0</v>
      </c>
      <c r="X47" s="757">
        <f t="shared" ca="1" si="45"/>
        <v>0</v>
      </c>
      <c r="Y47" s="757">
        <f t="shared" ca="1" si="45"/>
        <v>0</v>
      </c>
      <c r="Z47" s="757">
        <f t="shared" ca="1" si="55"/>
        <v>0</v>
      </c>
      <c r="AA47" s="757">
        <f t="shared" ca="1" si="55"/>
        <v>0</v>
      </c>
      <c r="AB47" s="757">
        <f t="shared" ca="1" si="55"/>
        <v>0</v>
      </c>
      <c r="AC47" s="757">
        <f t="shared" ca="1" si="55"/>
        <v>0</v>
      </c>
      <c r="AD47" s="757">
        <f t="shared" ca="1" si="55"/>
        <v>0</v>
      </c>
      <c r="AE47" s="757">
        <f t="shared" ca="1" si="28"/>
        <v>0</v>
      </c>
      <c r="AF47" s="758">
        <f t="shared" ca="1" si="29"/>
        <v>0</v>
      </c>
      <c r="AG47" s="757">
        <f t="shared" ca="1" si="47"/>
        <v>0</v>
      </c>
      <c r="AH47" s="757">
        <f t="shared" ca="1" si="47"/>
        <v>0</v>
      </c>
      <c r="AI47" s="757">
        <f t="shared" ca="1" si="30"/>
        <v>0</v>
      </c>
      <c r="AJ47" s="758">
        <f t="shared" ca="1" si="31"/>
        <v>0</v>
      </c>
      <c r="AK47" s="759">
        <f t="shared" ca="1" si="32"/>
        <v>0</v>
      </c>
      <c r="AL47" s="757">
        <f t="shared" ca="1" si="56"/>
        <v>0</v>
      </c>
      <c r="AM47" s="757">
        <f t="shared" ca="1" si="56"/>
        <v>0</v>
      </c>
      <c r="AN47" s="757">
        <f t="shared" ca="1" si="56"/>
        <v>0</v>
      </c>
      <c r="AO47" s="757">
        <f t="shared" ca="1" si="56"/>
        <v>0</v>
      </c>
      <c r="AP47" s="757">
        <f t="shared" ca="1" si="56"/>
        <v>0</v>
      </c>
      <c r="AQ47" s="757">
        <f t="shared" ca="1" si="56"/>
        <v>0</v>
      </c>
      <c r="AR47" s="757">
        <f t="shared" ca="1" si="56"/>
        <v>0</v>
      </c>
      <c r="AS47" s="757">
        <f t="shared" ca="1" si="56"/>
        <v>0</v>
      </c>
      <c r="AT47" s="757">
        <f t="shared" ca="1" si="56"/>
        <v>0</v>
      </c>
      <c r="AU47" s="757">
        <f t="shared" ca="1" si="56"/>
        <v>0</v>
      </c>
      <c r="AV47" s="757">
        <f t="shared" ca="1" si="56"/>
        <v>0</v>
      </c>
      <c r="AW47" s="757">
        <f t="shared" ca="1" si="56"/>
        <v>0</v>
      </c>
      <c r="AX47" s="757">
        <f t="shared" ca="1" si="56"/>
        <v>0</v>
      </c>
      <c r="AY47" s="758">
        <f t="shared" ca="1" si="33"/>
        <v>0</v>
      </c>
      <c r="AZ47" s="757">
        <f t="shared" ca="1" si="49"/>
        <v>0</v>
      </c>
      <c r="BA47" s="757">
        <f t="shared" ca="1" si="49"/>
        <v>0</v>
      </c>
      <c r="BB47" s="757"/>
      <c r="BC47" s="758">
        <f t="shared" ca="1" si="34"/>
        <v>0</v>
      </c>
      <c r="BD47" s="759">
        <f t="shared" ca="1" si="35"/>
        <v>0</v>
      </c>
      <c r="BE47" s="197"/>
      <c r="BF47" s="708"/>
      <c r="BG47" s="703" t="str">
        <f>IF($BF47="","","ĐNSX"&amp; IF(LEN($BF47)=1,"0" &amp; $BF47,$BF47) &amp; "/" &amp; ThongTinChung!$C$5)</f>
        <v/>
      </c>
      <c r="BH47" s="100" t="str">
        <f t="shared" ca="1" si="59"/>
        <v/>
      </c>
      <c r="BI47" s="194" t="str">
        <f ca="1">IF($B47="","","C" &amp; ROW(MauKoXoa!$C$108) &amp; ":C" &amp;ROW(MauKoXoa!$C$174))</f>
        <v/>
      </c>
      <c r="BJ47" s="198" t="str">
        <f t="shared" ca="1" si="36"/>
        <v/>
      </c>
      <c r="BK47" s="198" t="str">
        <f t="shared" ca="1" si="37"/>
        <v/>
      </c>
      <c r="BL47" s="650" t="str">
        <f ca="1">IF(COUNTIF($BL$10:$BL46,IFERROR(INDEX(DanhMuc!$J$154:$J$165,MATCH($BJ47,DanhMuc!$B$154:$B$165,0)),""))&lt;1,IFERROR(INDEX(DanhMuc!$J$154:$J$165,MATCH($BJ47,DanhMuc!$B$154:$B$165,0)),""),"")</f>
        <v/>
      </c>
      <c r="BM47" s="650" t="str">
        <f ca="1">IF(COUNTIF($BM$10:$BM46,IFERROR(INDEX(DanhMuc!$D$168:$D$177,MATCH($BK47,DanhMuc!$C$168:$C$177,0)),""))&lt;1,IFERROR(INDEX(DanhMuc!$D$168:$D$177,MATCH($BK47,DanhMuc!$C$168:$C$177,0)),""),"")</f>
        <v/>
      </c>
      <c r="BN47" s="650" t="str">
        <f ca="1">IFERROR(INDEX(DanhMuc!$K$154:$K$165,MATCH($BJ47,DanhMuc!$B$154:$B$165,0)),"")</f>
        <v/>
      </c>
      <c r="BO47" s="653" t="str">
        <f t="shared" ca="1" si="38"/>
        <v/>
      </c>
      <c r="BP47" s="653" t="str">
        <f t="shared" ca="1" si="54"/>
        <v/>
      </c>
      <c r="BQ47" s="757">
        <f t="shared" ca="1" si="57"/>
        <v>0</v>
      </c>
      <c r="BR47" s="757">
        <f t="shared" ca="1" si="57"/>
        <v>0</v>
      </c>
      <c r="BS47" s="757">
        <f t="shared" ca="1" si="57"/>
        <v>0</v>
      </c>
      <c r="BT47" s="757">
        <f t="shared" ca="1" si="57"/>
        <v>0</v>
      </c>
      <c r="BU47" s="757">
        <f t="shared" ca="1" si="57"/>
        <v>0</v>
      </c>
      <c r="BV47" s="757">
        <f t="shared" ca="1" si="57"/>
        <v>0</v>
      </c>
      <c r="BW47" s="198"/>
    </row>
    <row r="48" spans="1:75" s="42" customFormat="1" ht="19.899999999999999" customHeight="1">
      <c r="A48" s="37" t="str">
        <f ca="1">IF(B48="","",MAX($A$10:A47)+1)</f>
        <v/>
      </c>
      <c r="B48" s="718" t="str">
        <f t="shared" ca="1" si="51"/>
        <v/>
      </c>
      <c r="C48" s="1166">
        <f t="shared" ca="1" si="13"/>
        <v>0</v>
      </c>
      <c r="D48" s="643" t="str">
        <f t="shared" ca="1" si="14"/>
        <v/>
      </c>
      <c r="E48" s="203"/>
      <c r="F48" s="38">
        <f t="shared" ca="1" si="15"/>
        <v>0</v>
      </c>
      <c r="G48" s="38">
        <f t="shared" ca="1" si="16"/>
        <v>0</v>
      </c>
      <c r="H48" s="1136">
        <f t="shared" ca="1" si="17"/>
        <v>0</v>
      </c>
      <c r="I48" s="38">
        <f t="shared" ca="1" si="18"/>
        <v>0</v>
      </c>
      <c r="J48" s="39">
        <f t="shared" si="19"/>
        <v>0</v>
      </c>
      <c r="K48" s="1137">
        <f t="shared" ca="1" si="20"/>
        <v>0</v>
      </c>
      <c r="L48" s="40">
        <f t="shared" ca="1" si="21"/>
        <v>0</v>
      </c>
      <c r="M48" s="40">
        <f t="shared" ca="1" si="52"/>
        <v>0</v>
      </c>
      <c r="N48" s="41">
        <f t="shared" ca="1" si="23"/>
        <v>0</v>
      </c>
      <c r="O48" s="762" t="str">
        <f t="shared" ca="1" si="58"/>
        <v/>
      </c>
      <c r="P48" s="756">
        <f t="shared" ca="1" si="53"/>
        <v>0</v>
      </c>
      <c r="Q48" s="757">
        <f t="shared" ca="1" si="25"/>
        <v>0</v>
      </c>
      <c r="R48" s="905">
        <f ca="1">IF($B48="",0,IFERROR(IFERROR(INDEX(DanhMuc!$J$180:$J$189,MATCH(MID(IFERROR(INDIRECT("'" &amp; $B48 &amp; "'!" &amp; $R$82),0),2,1)&amp;MID(IFERROR(INDIRECT("'" &amp; $B48 &amp; "'!" &amp; $R$82),0),7,2),DanhMuc!$I$180:$I$189,0)),INDEX(DanhMuc!$J$180:$J$189,MATCH(MID(IFERROR(INDIRECT("'" &amp; $B48 &amp; "'!" &amp; $R$82),0),2,1),DanhMuc!$I$180:$I$189,0))),0))</f>
        <v>0</v>
      </c>
      <c r="S48" s="757">
        <f t="shared" ca="1" si="26"/>
        <v>0</v>
      </c>
      <c r="T48" s="757">
        <f t="shared" ca="1" si="43"/>
        <v>0</v>
      </c>
      <c r="U48" s="757">
        <f t="shared" ca="1" si="27"/>
        <v>0</v>
      </c>
      <c r="V48" s="757">
        <f t="shared" ca="1" si="44"/>
        <v>0</v>
      </c>
      <c r="W48" s="757">
        <f t="shared" ca="1" si="44"/>
        <v>0</v>
      </c>
      <c r="X48" s="757">
        <f t="shared" ca="1" si="45"/>
        <v>0</v>
      </c>
      <c r="Y48" s="757">
        <f t="shared" ca="1" si="45"/>
        <v>0</v>
      </c>
      <c r="Z48" s="757">
        <f t="shared" ca="1" si="55"/>
        <v>0</v>
      </c>
      <c r="AA48" s="757">
        <f t="shared" ca="1" si="55"/>
        <v>0</v>
      </c>
      <c r="AB48" s="757">
        <f t="shared" ca="1" si="55"/>
        <v>0</v>
      </c>
      <c r="AC48" s="757">
        <f t="shared" ca="1" si="55"/>
        <v>0</v>
      </c>
      <c r="AD48" s="757">
        <f t="shared" ca="1" si="55"/>
        <v>0</v>
      </c>
      <c r="AE48" s="757">
        <f t="shared" ca="1" si="28"/>
        <v>0</v>
      </c>
      <c r="AF48" s="758">
        <f t="shared" ca="1" si="29"/>
        <v>0</v>
      </c>
      <c r="AG48" s="757">
        <f t="shared" ca="1" si="47"/>
        <v>0</v>
      </c>
      <c r="AH48" s="757">
        <f t="shared" ca="1" si="47"/>
        <v>0</v>
      </c>
      <c r="AI48" s="757">
        <f t="shared" ca="1" si="30"/>
        <v>0</v>
      </c>
      <c r="AJ48" s="758">
        <f t="shared" ca="1" si="31"/>
        <v>0</v>
      </c>
      <c r="AK48" s="759">
        <f t="shared" ca="1" si="32"/>
        <v>0</v>
      </c>
      <c r="AL48" s="757">
        <f t="shared" ca="1" si="56"/>
        <v>0</v>
      </c>
      <c r="AM48" s="757">
        <f t="shared" ca="1" si="56"/>
        <v>0</v>
      </c>
      <c r="AN48" s="757">
        <f t="shared" ca="1" si="56"/>
        <v>0</v>
      </c>
      <c r="AO48" s="757">
        <f t="shared" ca="1" si="56"/>
        <v>0</v>
      </c>
      <c r="AP48" s="757">
        <f t="shared" ca="1" si="56"/>
        <v>0</v>
      </c>
      <c r="AQ48" s="757">
        <f t="shared" ca="1" si="56"/>
        <v>0</v>
      </c>
      <c r="AR48" s="757">
        <f t="shared" ca="1" si="56"/>
        <v>0</v>
      </c>
      <c r="AS48" s="757">
        <f t="shared" ca="1" si="56"/>
        <v>0</v>
      </c>
      <c r="AT48" s="757">
        <f t="shared" ca="1" si="56"/>
        <v>0</v>
      </c>
      <c r="AU48" s="757">
        <f t="shared" ca="1" si="56"/>
        <v>0</v>
      </c>
      <c r="AV48" s="757">
        <f t="shared" ca="1" si="56"/>
        <v>0</v>
      </c>
      <c r="AW48" s="757">
        <f t="shared" ca="1" si="56"/>
        <v>0</v>
      </c>
      <c r="AX48" s="757">
        <f t="shared" ca="1" si="56"/>
        <v>0</v>
      </c>
      <c r="AY48" s="758">
        <f t="shared" ca="1" si="33"/>
        <v>0</v>
      </c>
      <c r="AZ48" s="757">
        <f t="shared" ca="1" si="49"/>
        <v>0</v>
      </c>
      <c r="BA48" s="757">
        <f t="shared" ca="1" si="49"/>
        <v>0</v>
      </c>
      <c r="BB48" s="757"/>
      <c r="BC48" s="758">
        <f t="shared" ca="1" si="34"/>
        <v>0</v>
      </c>
      <c r="BD48" s="759">
        <f t="shared" ca="1" si="35"/>
        <v>0</v>
      </c>
      <c r="BE48" s="197"/>
      <c r="BF48" s="708"/>
      <c r="BG48" s="703" t="str">
        <f>IF($BF48="","","ĐNSX"&amp; IF(LEN($BF48)=1,"0" &amp; $BF48,$BF48) &amp; "/" &amp; ThongTinChung!$C$5)</f>
        <v/>
      </c>
      <c r="BH48" s="100" t="str">
        <f t="shared" ca="1" si="59"/>
        <v/>
      </c>
      <c r="BI48" s="194" t="str">
        <f ca="1">IF($B48="","","C" &amp; ROW(MauKoXoa!$C$108) &amp; ":C" &amp;ROW(MauKoXoa!$C$174))</f>
        <v/>
      </c>
      <c r="BJ48" s="198" t="str">
        <f t="shared" ca="1" si="36"/>
        <v/>
      </c>
      <c r="BK48" s="198" t="str">
        <f t="shared" ca="1" si="37"/>
        <v/>
      </c>
      <c r="BL48" s="650" t="str">
        <f ca="1">IF(COUNTIF($BL$10:$BL47,IFERROR(INDEX(DanhMuc!$J$154:$J$165,MATCH($BJ48,DanhMuc!$B$154:$B$165,0)),""))&lt;1,IFERROR(INDEX(DanhMuc!$J$154:$J$165,MATCH($BJ48,DanhMuc!$B$154:$B$165,0)),""),"")</f>
        <v/>
      </c>
      <c r="BM48" s="650" t="str">
        <f ca="1">IF(COUNTIF($BM$10:$BM47,IFERROR(INDEX(DanhMuc!$D$168:$D$177,MATCH($BK48,DanhMuc!$C$168:$C$177,0)),""))&lt;1,IFERROR(INDEX(DanhMuc!$D$168:$D$177,MATCH($BK48,DanhMuc!$C$168:$C$177,0)),""),"")</f>
        <v/>
      </c>
      <c r="BN48" s="650" t="str">
        <f ca="1">IFERROR(INDEX(DanhMuc!$K$154:$K$165,MATCH($BJ48,DanhMuc!$B$154:$B$165,0)),"")</f>
        <v/>
      </c>
      <c r="BO48" s="653" t="str">
        <f t="shared" ca="1" si="38"/>
        <v/>
      </c>
      <c r="BP48" s="653" t="str">
        <f t="shared" ca="1" si="54"/>
        <v/>
      </c>
      <c r="BQ48" s="757">
        <f t="shared" ca="1" si="57"/>
        <v>0</v>
      </c>
      <c r="BR48" s="757">
        <f t="shared" ca="1" si="57"/>
        <v>0</v>
      </c>
      <c r="BS48" s="757">
        <f t="shared" ca="1" si="57"/>
        <v>0</v>
      </c>
      <c r="BT48" s="757">
        <f t="shared" ca="1" si="57"/>
        <v>0</v>
      </c>
      <c r="BU48" s="757">
        <f t="shared" ca="1" si="57"/>
        <v>0</v>
      </c>
      <c r="BV48" s="757">
        <f t="shared" ca="1" si="57"/>
        <v>0</v>
      </c>
      <c r="BW48" s="198"/>
    </row>
    <row r="49" spans="1:75" s="42" customFormat="1" ht="19.899999999999999" customHeight="1">
      <c r="A49" s="37" t="str">
        <f ca="1">IF(B49="","",MAX($A$10:A48)+1)</f>
        <v/>
      </c>
      <c r="B49" s="718" t="str">
        <f t="shared" ca="1" si="51"/>
        <v/>
      </c>
      <c r="C49" s="1166">
        <f t="shared" ca="1" si="13"/>
        <v>0</v>
      </c>
      <c r="D49" s="643" t="str">
        <f t="shared" ca="1" si="14"/>
        <v/>
      </c>
      <c r="E49" s="203"/>
      <c r="F49" s="38">
        <f t="shared" ca="1" si="15"/>
        <v>0</v>
      </c>
      <c r="G49" s="38">
        <f t="shared" ca="1" si="16"/>
        <v>0</v>
      </c>
      <c r="H49" s="1136">
        <f t="shared" ca="1" si="17"/>
        <v>0</v>
      </c>
      <c r="I49" s="38">
        <f t="shared" ca="1" si="18"/>
        <v>0</v>
      </c>
      <c r="J49" s="39">
        <f t="shared" si="19"/>
        <v>0</v>
      </c>
      <c r="K49" s="1137">
        <f t="shared" ca="1" si="20"/>
        <v>0</v>
      </c>
      <c r="L49" s="40">
        <f t="shared" ca="1" si="21"/>
        <v>0</v>
      </c>
      <c r="M49" s="40">
        <f t="shared" ca="1" si="52"/>
        <v>0</v>
      </c>
      <c r="N49" s="41">
        <f t="shared" ca="1" si="23"/>
        <v>0</v>
      </c>
      <c r="O49" s="762" t="str">
        <f t="shared" ca="1" si="58"/>
        <v/>
      </c>
      <c r="P49" s="756">
        <f t="shared" ca="1" si="53"/>
        <v>0</v>
      </c>
      <c r="Q49" s="757">
        <f t="shared" ca="1" si="25"/>
        <v>0</v>
      </c>
      <c r="R49" s="905">
        <f ca="1">IF($B49="",0,IFERROR(IFERROR(INDEX(DanhMuc!$J$180:$J$189,MATCH(MID(IFERROR(INDIRECT("'" &amp; $B49 &amp; "'!" &amp; $R$82),0),2,1)&amp;MID(IFERROR(INDIRECT("'" &amp; $B49 &amp; "'!" &amp; $R$82),0),7,2),DanhMuc!$I$180:$I$189,0)),INDEX(DanhMuc!$J$180:$J$189,MATCH(MID(IFERROR(INDIRECT("'" &amp; $B49 &amp; "'!" &amp; $R$82),0),2,1),DanhMuc!$I$180:$I$189,0))),0))</f>
        <v>0</v>
      </c>
      <c r="S49" s="757">
        <f t="shared" ca="1" si="26"/>
        <v>0</v>
      </c>
      <c r="T49" s="757">
        <f t="shared" ca="1" si="43"/>
        <v>0</v>
      </c>
      <c r="U49" s="757">
        <f t="shared" ca="1" si="27"/>
        <v>0</v>
      </c>
      <c r="V49" s="757">
        <f t="shared" ca="1" si="44"/>
        <v>0</v>
      </c>
      <c r="W49" s="757">
        <f t="shared" ca="1" si="44"/>
        <v>0</v>
      </c>
      <c r="X49" s="757">
        <f t="shared" ca="1" si="45"/>
        <v>0</v>
      </c>
      <c r="Y49" s="757">
        <f t="shared" ca="1" si="45"/>
        <v>0</v>
      </c>
      <c r="Z49" s="757">
        <f t="shared" ca="1" si="55"/>
        <v>0</v>
      </c>
      <c r="AA49" s="757">
        <f t="shared" ca="1" si="55"/>
        <v>0</v>
      </c>
      <c r="AB49" s="757">
        <f t="shared" ca="1" si="55"/>
        <v>0</v>
      </c>
      <c r="AC49" s="757">
        <f t="shared" ca="1" si="55"/>
        <v>0</v>
      </c>
      <c r="AD49" s="757">
        <f t="shared" ca="1" si="55"/>
        <v>0</v>
      </c>
      <c r="AE49" s="757">
        <f t="shared" ca="1" si="28"/>
        <v>0</v>
      </c>
      <c r="AF49" s="758">
        <f t="shared" ca="1" si="29"/>
        <v>0</v>
      </c>
      <c r="AG49" s="757">
        <f t="shared" ca="1" si="47"/>
        <v>0</v>
      </c>
      <c r="AH49" s="757">
        <f t="shared" ca="1" si="47"/>
        <v>0</v>
      </c>
      <c r="AI49" s="757">
        <f t="shared" ca="1" si="30"/>
        <v>0</v>
      </c>
      <c r="AJ49" s="758">
        <f t="shared" ca="1" si="31"/>
        <v>0</v>
      </c>
      <c r="AK49" s="759">
        <f t="shared" ca="1" si="32"/>
        <v>0</v>
      </c>
      <c r="AL49" s="757">
        <f t="shared" ca="1" si="56"/>
        <v>0</v>
      </c>
      <c r="AM49" s="757">
        <f t="shared" ca="1" si="56"/>
        <v>0</v>
      </c>
      <c r="AN49" s="757">
        <f t="shared" ca="1" si="56"/>
        <v>0</v>
      </c>
      <c r="AO49" s="757">
        <f t="shared" ca="1" si="56"/>
        <v>0</v>
      </c>
      <c r="AP49" s="757">
        <f t="shared" ca="1" si="56"/>
        <v>0</v>
      </c>
      <c r="AQ49" s="757">
        <f t="shared" ca="1" si="56"/>
        <v>0</v>
      </c>
      <c r="AR49" s="757">
        <f t="shared" ca="1" si="56"/>
        <v>0</v>
      </c>
      <c r="AS49" s="757">
        <f t="shared" ca="1" si="56"/>
        <v>0</v>
      </c>
      <c r="AT49" s="757">
        <f t="shared" ca="1" si="56"/>
        <v>0</v>
      </c>
      <c r="AU49" s="757">
        <f t="shared" ca="1" si="56"/>
        <v>0</v>
      </c>
      <c r="AV49" s="757">
        <f t="shared" ca="1" si="56"/>
        <v>0</v>
      </c>
      <c r="AW49" s="757">
        <f t="shared" ca="1" si="56"/>
        <v>0</v>
      </c>
      <c r="AX49" s="757">
        <f t="shared" ca="1" si="56"/>
        <v>0</v>
      </c>
      <c r="AY49" s="758">
        <f t="shared" ca="1" si="33"/>
        <v>0</v>
      </c>
      <c r="AZ49" s="757">
        <f t="shared" ca="1" si="49"/>
        <v>0</v>
      </c>
      <c r="BA49" s="757">
        <f t="shared" ca="1" si="49"/>
        <v>0</v>
      </c>
      <c r="BB49" s="757"/>
      <c r="BC49" s="758">
        <f t="shared" ca="1" si="34"/>
        <v>0</v>
      </c>
      <c r="BD49" s="759">
        <f t="shared" ca="1" si="35"/>
        <v>0</v>
      </c>
      <c r="BE49" s="197"/>
      <c r="BF49" s="708"/>
      <c r="BG49" s="703" t="str">
        <f>IF($BF49="","","ĐNSX"&amp; IF(LEN($BF49)=1,"0" &amp; $BF49,$BF49) &amp; "/" &amp; ThongTinChung!$C$5)</f>
        <v/>
      </c>
      <c r="BH49" s="100" t="str">
        <f t="shared" ca="1" si="59"/>
        <v/>
      </c>
      <c r="BI49" s="194" t="str">
        <f ca="1">IF($B49="","","C" &amp; ROW(MauKoXoa!$C$108) &amp; ":C" &amp;ROW(MauKoXoa!$C$174))</f>
        <v/>
      </c>
      <c r="BJ49" s="198" t="str">
        <f t="shared" ca="1" si="36"/>
        <v/>
      </c>
      <c r="BK49" s="198" t="str">
        <f t="shared" ca="1" si="37"/>
        <v/>
      </c>
      <c r="BL49" s="650" t="str">
        <f ca="1">IF(COUNTIF($BL$10:$BL48,IFERROR(INDEX(DanhMuc!$J$154:$J$165,MATCH($BJ49,DanhMuc!$B$154:$B$165,0)),""))&lt;1,IFERROR(INDEX(DanhMuc!$J$154:$J$165,MATCH($BJ49,DanhMuc!$B$154:$B$165,0)),""),"")</f>
        <v/>
      </c>
      <c r="BM49" s="650" t="str">
        <f ca="1">IF(COUNTIF($BM$10:$BM48,IFERROR(INDEX(DanhMuc!$D$168:$D$177,MATCH($BK49,DanhMuc!$C$168:$C$177,0)),""))&lt;1,IFERROR(INDEX(DanhMuc!$D$168:$D$177,MATCH($BK49,DanhMuc!$C$168:$C$177,0)),""),"")</f>
        <v/>
      </c>
      <c r="BN49" s="650" t="str">
        <f ca="1">IFERROR(INDEX(DanhMuc!$K$154:$K$165,MATCH($BJ49,DanhMuc!$B$154:$B$165,0)),"")</f>
        <v/>
      </c>
      <c r="BO49" s="653" t="str">
        <f t="shared" ca="1" si="38"/>
        <v/>
      </c>
      <c r="BP49" s="653" t="str">
        <f t="shared" ca="1" si="54"/>
        <v/>
      </c>
      <c r="BQ49" s="757">
        <f t="shared" ca="1" si="57"/>
        <v>0</v>
      </c>
      <c r="BR49" s="757">
        <f t="shared" ca="1" si="57"/>
        <v>0</v>
      </c>
      <c r="BS49" s="757">
        <f t="shared" ca="1" si="57"/>
        <v>0</v>
      </c>
      <c r="BT49" s="757">
        <f t="shared" ca="1" si="57"/>
        <v>0</v>
      </c>
      <c r="BU49" s="757">
        <f t="shared" ca="1" si="57"/>
        <v>0</v>
      </c>
      <c r="BV49" s="757">
        <f t="shared" ca="1" si="57"/>
        <v>0</v>
      </c>
      <c r="BW49" s="198"/>
    </row>
    <row r="50" spans="1:75" s="42" customFormat="1" ht="19.899999999999999" customHeight="1">
      <c r="A50" s="37" t="str">
        <f ca="1">IF(B50="","",MAX($A$10:A49)+1)</f>
        <v/>
      </c>
      <c r="B50" s="718" t="str">
        <f t="shared" ca="1" si="51"/>
        <v/>
      </c>
      <c r="C50" s="1166">
        <f t="shared" ca="1" si="13"/>
        <v>0</v>
      </c>
      <c r="D50" s="643" t="str">
        <f t="shared" ca="1" si="14"/>
        <v/>
      </c>
      <c r="E50" s="203"/>
      <c r="F50" s="38">
        <f t="shared" ca="1" si="15"/>
        <v>0</v>
      </c>
      <c r="G50" s="38">
        <f t="shared" ca="1" si="16"/>
        <v>0</v>
      </c>
      <c r="H50" s="1136">
        <f t="shared" ca="1" si="17"/>
        <v>0</v>
      </c>
      <c r="I50" s="38">
        <f t="shared" ca="1" si="18"/>
        <v>0</v>
      </c>
      <c r="J50" s="39">
        <f t="shared" si="19"/>
        <v>0</v>
      </c>
      <c r="K50" s="1137">
        <f t="shared" ca="1" si="20"/>
        <v>0</v>
      </c>
      <c r="L50" s="40">
        <f t="shared" ca="1" si="21"/>
        <v>0</v>
      </c>
      <c r="M50" s="40">
        <f t="shared" ca="1" si="52"/>
        <v>0</v>
      </c>
      <c r="N50" s="41">
        <f t="shared" ca="1" si="23"/>
        <v>0</v>
      </c>
      <c r="O50" s="762" t="str">
        <f t="shared" ca="1" si="58"/>
        <v/>
      </c>
      <c r="P50" s="756">
        <f t="shared" ca="1" si="53"/>
        <v>0</v>
      </c>
      <c r="Q50" s="757">
        <f t="shared" ca="1" si="25"/>
        <v>0</v>
      </c>
      <c r="R50" s="905">
        <f ca="1">IF($B50="",0,IFERROR(IFERROR(INDEX(DanhMuc!$J$180:$J$189,MATCH(MID(IFERROR(INDIRECT("'" &amp; $B50 &amp; "'!" &amp; $R$82),0),2,1)&amp;MID(IFERROR(INDIRECT("'" &amp; $B50 &amp; "'!" &amp; $R$82),0),7,2),DanhMuc!$I$180:$I$189,0)),INDEX(DanhMuc!$J$180:$J$189,MATCH(MID(IFERROR(INDIRECT("'" &amp; $B50 &amp; "'!" &amp; $R$82),0),2,1),DanhMuc!$I$180:$I$189,0))),0))</f>
        <v>0</v>
      </c>
      <c r="S50" s="757">
        <f t="shared" ca="1" si="26"/>
        <v>0</v>
      </c>
      <c r="T50" s="757">
        <f t="shared" ca="1" si="43"/>
        <v>0</v>
      </c>
      <c r="U50" s="757">
        <f t="shared" ca="1" si="27"/>
        <v>0</v>
      </c>
      <c r="V50" s="757">
        <f t="shared" ca="1" si="44"/>
        <v>0</v>
      </c>
      <c r="W50" s="757">
        <f t="shared" ca="1" si="44"/>
        <v>0</v>
      </c>
      <c r="X50" s="757">
        <f t="shared" ca="1" si="45"/>
        <v>0</v>
      </c>
      <c r="Y50" s="757">
        <f t="shared" ca="1" si="45"/>
        <v>0</v>
      </c>
      <c r="Z50" s="757">
        <f t="shared" ca="1" si="55"/>
        <v>0</v>
      </c>
      <c r="AA50" s="757">
        <f t="shared" ca="1" si="55"/>
        <v>0</v>
      </c>
      <c r="AB50" s="757">
        <f t="shared" ca="1" si="55"/>
        <v>0</v>
      </c>
      <c r="AC50" s="757">
        <f t="shared" ca="1" si="55"/>
        <v>0</v>
      </c>
      <c r="AD50" s="757">
        <f t="shared" ca="1" si="55"/>
        <v>0</v>
      </c>
      <c r="AE50" s="757">
        <f t="shared" ca="1" si="28"/>
        <v>0</v>
      </c>
      <c r="AF50" s="758">
        <f t="shared" ca="1" si="29"/>
        <v>0</v>
      </c>
      <c r="AG50" s="757">
        <f t="shared" ca="1" si="47"/>
        <v>0</v>
      </c>
      <c r="AH50" s="757">
        <f t="shared" ca="1" si="47"/>
        <v>0</v>
      </c>
      <c r="AI50" s="757">
        <f t="shared" ca="1" si="30"/>
        <v>0</v>
      </c>
      <c r="AJ50" s="758">
        <f t="shared" ca="1" si="31"/>
        <v>0</v>
      </c>
      <c r="AK50" s="759">
        <f t="shared" ca="1" si="32"/>
        <v>0</v>
      </c>
      <c r="AL50" s="757">
        <f t="shared" ca="1" si="56"/>
        <v>0</v>
      </c>
      <c r="AM50" s="757">
        <f t="shared" ca="1" si="56"/>
        <v>0</v>
      </c>
      <c r="AN50" s="757">
        <f t="shared" ca="1" si="56"/>
        <v>0</v>
      </c>
      <c r="AO50" s="757">
        <f t="shared" ca="1" si="56"/>
        <v>0</v>
      </c>
      <c r="AP50" s="757">
        <f t="shared" ca="1" si="56"/>
        <v>0</v>
      </c>
      <c r="AQ50" s="757">
        <f t="shared" ca="1" si="56"/>
        <v>0</v>
      </c>
      <c r="AR50" s="757">
        <f t="shared" ca="1" si="56"/>
        <v>0</v>
      </c>
      <c r="AS50" s="757">
        <f t="shared" ca="1" si="56"/>
        <v>0</v>
      </c>
      <c r="AT50" s="757">
        <f t="shared" ca="1" si="56"/>
        <v>0</v>
      </c>
      <c r="AU50" s="757">
        <f t="shared" ca="1" si="56"/>
        <v>0</v>
      </c>
      <c r="AV50" s="757">
        <f t="shared" ca="1" si="56"/>
        <v>0</v>
      </c>
      <c r="AW50" s="757">
        <f t="shared" ca="1" si="56"/>
        <v>0</v>
      </c>
      <c r="AX50" s="757">
        <f t="shared" ca="1" si="56"/>
        <v>0</v>
      </c>
      <c r="AY50" s="758">
        <f t="shared" ca="1" si="33"/>
        <v>0</v>
      </c>
      <c r="AZ50" s="757">
        <f t="shared" ca="1" si="49"/>
        <v>0</v>
      </c>
      <c r="BA50" s="757">
        <f t="shared" ca="1" si="49"/>
        <v>0</v>
      </c>
      <c r="BB50" s="757"/>
      <c r="BC50" s="758">
        <f t="shared" ca="1" si="34"/>
        <v>0</v>
      </c>
      <c r="BD50" s="759">
        <f t="shared" ca="1" si="35"/>
        <v>0</v>
      </c>
      <c r="BE50" s="197"/>
      <c r="BF50" s="708"/>
      <c r="BG50" s="703" t="str">
        <f>IF($BF50="","","ĐNSX"&amp; IF(LEN($BF50)=1,"0" &amp; $BF50,$BF50) &amp; "/" &amp; ThongTinChung!$C$5)</f>
        <v/>
      </c>
      <c r="BH50" s="100" t="str">
        <f t="shared" ca="1" si="59"/>
        <v/>
      </c>
      <c r="BI50" s="194" t="str">
        <f ca="1">IF($B50="","","C" &amp; ROW(MauKoXoa!$C$108) &amp; ":C" &amp;ROW(MauKoXoa!$C$174))</f>
        <v/>
      </c>
      <c r="BJ50" s="198" t="str">
        <f t="shared" ca="1" si="36"/>
        <v/>
      </c>
      <c r="BK50" s="198" t="str">
        <f t="shared" ca="1" si="37"/>
        <v/>
      </c>
      <c r="BL50" s="650" t="str">
        <f ca="1">IF(COUNTIF($BL$10:$BL49,IFERROR(INDEX(DanhMuc!$J$154:$J$165,MATCH($BJ50,DanhMuc!$B$154:$B$165,0)),""))&lt;1,IFERROR(INDEX(DanhMuc!$J$154:$J$165,MATCH($BJ50,DanhMuc!$B$154:$B$165,0)),""),"")</f>
        <v/>
      </c>
      <c r="BM50" s="650" t="str">
        <f ca="1">IF(COUNTIF($BM$10:$BM49,IFERROR(INDEX(DanhMuc!$D$168:$D$177,MATCH($BK50,DanhMuc!$C$168:$C$177,0)),""))&lt;1,IFERROR(INDEX(DanhMuc!$D$168:$D$177,MATCH($BK50,DanhMuc!$C$168:$C$177,0)),""),"")</f>
        <v/>
      </c>
      <c r="BN50" s="650" t="str">
        <f ca="1">IFERROR(INDEX(DanhMuc!$K$154:$K$165,MATCH($BJ50,DanhMuc!$B$154:$B$165,0)),"")</f>
        <v/>
      </c>
      <c r="BO50" s="653" t="str">
        <f t="shared" ca="1" si="38"/>
        <v/>
      </c>
      <c r="BP50" s="653" t="str">
        <f t="shared" ca="1" si="54"/>
        <v/>
      </c>
      <c r="BQ50" s="757">
        <f t="shared" ca="1" si="57"/>
        <v>0</v>
      </c>
      <c r="BR50" s="757">
        <f t="shared" ca="1" si="57"/>
        <v>0</v>
      </c>
      <c r="BS50" s="757">
        <f t="shared" ca="1" si="57"/>
        <v>0</v>
      </c>
      <c r="BT50" s="757">
        <f t="shared" ca="1" si="57"/>
        <v>0</v>
      </c>
      <c r="BU50" s="757">
        <f t="shared" ca="1" si="57"/>
        <v>0</v>
      </c>
      <c r="BV50" s="757">
        <f t="shared" ca="1" si="57"/>
        <v>0</v>
      </c>
      <c r="BW50" s="198"/>
    </row>
    <row r="51" spans="1:75" s="42" customFormat="1" ht="19.899999999999999" customHeight="1">
      <c r="A51" s="37" t="str">
        <f ca="1">IF(B51="","",MAX($A$10:A50)+1)</f>
        <v/>
      </c>
      <c r="B51" s="718" t="str">
        <f t="shared" ca="1" si="51"/>
        <v/>
      </c>
      <c r="C51" s="1166">
        <f t="shared" ca="1" si="13"/>
        <v>0</v>
      </c>
      <c r="D51" s="643" t="str">
        <f t="shared" ca="1" si="14"/>
        <v/>
      </c>
      <c r="E51" s="203"/>
      <c r="F51" s="38">
        <f t="shared" ca="1" si="15"/>
        <v>0</v>
      </c>
      <c r="G51" s="38">
        <f t="shared" ca="1" si="16"/>
        <v>0</v>
      </c>
      <c r="H51" s="1136">
        <f t="shared" ca="1" si="17"/>
        <v>0</v>
      </c>
      <c r="I51" s="38">
        <f t="shared" ca="1" si="18"/>
        <v>0</v>
      </c>
      <c r="J51" s="39">
        <f t="shared" si="19"/>
        <v>0</v>
      </c>
      <c r="K51" s="1137">
        <f t="shared" ca="1" si="20"/>
        <v>0</v>
      </c>
      <c r="L51" s="40">
        <f t="shared" ca="1" si="21"/>
        <v>0</v>
      </c>
      <c r="M51" s="40">
        <f t="shared" ca="1" si="52"/>
        <v>0</v>
      </c>
      <c r="N51" s="41">
        <f t="shared" ca="1" si="23"/>
        <v>0</v>
      </c>
      <c r="O51" s="762" t="str">
        <f t="shared" ca="1" si="58"/>
        <v/>
      </c>
      <c r="P51" s="756">
        <f t="shared" ca="1" si="53"/>
        <v>0</v>
      </c>
      <c r="Q51" s="757">
        <f t="shared" ca="1" si="25"/>
        <v>0</v>
      </c>
      <c r="R51" s="905">
        <f ca="1">IF($B51="",0,IFERROR(IFERROR(INDEX(DanhMuc!$J$180:$J$189,MATCH(MID(IFERROR(INDIRECT("'" &amp; $B51 &amp; "'!" &amp; $R$82),0),2,1)&amp;MID(IFERROR(INDIRECT("'" &amp; $B51 &amp; "'!" &amp; $R$82),0),7,2),DanhMuc!$I$180:$I$189,0)),INDEX(DanhMuc!$J$180:$J$189,MATCH(MID(IFERROR(INDIRECT("'" &amp; $B51 &amp; "'!" &amp; $R$82),0),2,1),DanhMuc!$I$180:$I$189,0))),0))</f>
        <v>0</v>
      </c>
      <c r="S51" s="757">
        <f t="shared" ca="1" si="26"/>
        <v>0</v>
      </c>
      <c r="T51" s="757">
        <f t="shared" ca="1" si="43"/>
        <v>0</v>
      </c>
      <c r="U51" s="757">
        <f t="shared" ca="1" si="27"/>
        <v>0</v>
      </c>
      <c r="V51" s="757">
        <f t="shared" ref="V51:W70" ca="1" si="60">IFERROR(INDIRECT("'" &amp; $B51 &amp; "'!" &amp; V$82)/IF($E51="md",$J51,IF($E51="m2",$K51,$I51)) * (1+V$10 ),0)</f>
        <v>0</v>
      </c>
      <c r="W51" s="757">
        <f t="shared" ca="1" si="60"/>
        <v>0</v>
      </c>
      <c r="X51" s="757">
        <f t="shared" ref="X51:Y70" ca="1" si="61">IFERROR(INDIRECT("'" &amp; $B51 &amp; "'!" &amp; X$82)/IF($E51="md",$J51,IF($E51="m2",$K51,$I51)) * (1+X$10),0)</f>
        <v>0</v>
      </c>
      <c r="Y51" s="757">
        <f t="shared" ca="1" si="61"/>
        <v>0</v>
      </c>
      <c r="Z51" s="757">
        <f t="shared" ref="Z51:AD60" ca="1" si="62">IFERROR(INDIRECT("'" &amp; $B51 &amp; "'!" &amp; Z$82)/IF($E51="md",$J51,IF($E51="m2",$K51,$I51)) * (1+Z$10 ),0)</f>
        <v>0</v>
      </c>
      <c r="AA51" s="757">
        <f t="shared" ca="1" si="62"/>
        <v>0</v>
      </c>
      <c r="AB51" s="757">
        <f t="shared" ca="1" si="62"/>
        <v>0</v>
      </c>
      <c r="AC51" s="757">
        <f t="shared" ca="1" si="62"/>
        <v>0</v>
      </c>
      <c r="AD51" s="757">
        <f t="shared" ca="1" si="62"/>
        <v>0</v>
      </c>
      <c r="AE51" s="757">
        <f t="shared" ca="1" si="28"/>
        <v>0</v>
      </c>
      <c r="AF51" s="758">
        <f t="shared" ca="1" si="29"/>
        <v>0</v>
      </c>
      <c r="AG51" s="757">
        <f t="shared" ref="AG51:AH70" ca="1" si="63">IFERROR(INDIRECT("'" &amp; $B51 &amp; "'!" &amp; AG$82)/$I51 * (1+AG$10 ),0)</f>
        <v>0</v>
      </c>
      <c r="AH51" s="757">
        <f t="shared" ca="1" si="63"/>
        <v>0</v>
      </c>
      <c r="AI51" s="757">
        <f t="shared" ca="1" si="30"/>
        <v>0</v>
      </c>
      <c r="AJ51" s="758">
        <f t="shared" ca="1" si="31"/>
        <v>0</v>
      </c>
      <c r="AK51" s="759">
        <f t="shared" ca="1" si="32"/>
        <v>0</v>
      </c>
      <c r="AL51" s="757">
        <f t="shared" ref="AL51:AX60" ca="1" si="64">IFERROR(INDIRECT("'" &amp; $B51 &amp; "'!" &amp; AL$82)/IF($E51="md",$J51,IF($E51="m2",$K51,$I51)),0)</f>
        <v>0</v>
      </c>
      <c r="AM51" s="757">
        <f t="shared" ca="1" si="64"/>
        <v>0</v>
      </c>
      <c r="AN51" s="757">
        <f t="shared" ca="1" si="64"/>
        <v>0</v>
      </c>
      <c r="AO51" s="757">
        <f t="shared" ca="1" si="64"/>
        <v>0</v>
      </c>
      <c r="AP51" s="757">
        <f t="shared" ca="1" si="64"/>
        <v>0</v>
      </c>
      <c r="AQ51" s="757">
        <f t="shared" ca="1" si="64"/>
        <v>0</v>
      </c>
      <c r="AR51" s="757">
        <f t="shared" ca="1" si="64"/>
        <v>0</v>
      </c>
      <c r="AS51" s="757">
        <f t="shared" ca="1" si="64"/>
        <v>0</v>
      </c>
      <c r="AT51" s="757">
        <f t="shared" ca="1" si="64"/>
        <v>0</v>
      </c>
      <c r="AU51" s="757">
        <f t="shared" ca="1" si="64"/>
        <v>0</v>
      </c>
      <c r="AV51" s="757">
        <f t="shared" ca="1" si="64"/>
        <v>0</v>
      </c>
      <c r="AW51" s="757">
        <f t="shared" ca="1" si="64"/>
        <v>0</v>
      </c>
      <c r="AX51" s="757">
        <f t="shared" ca="1" si="64"/>
        <v>0</v>
      </c>
      <c r="AY51" s="758">
        <f t="shared" ca="1" si="33"/>
        <v>0</v>
      </c>
      <c r="AZ51" s="757">
        <f t="shared" ref="AZ51:BA70" ca="1" si="65">IFERROR(INDIRECT("'" &amp; $B51 &amp; "'!" &amp; AZ$82)/$I51,0)</f>
        <v>0</v>
      </c>
      <c r="BA51" s="757">
        <f t="shared" ca="1" si="65"/>
        <v>0</v>
      </c>
      <c r="BB51" s="757"/>
      <c r="BC51" s="758">
        <f t="shared" ca="1" si="34"/>
        <v>0</v>
      </c>
      <c r="BD51" s="759">
        <f t="shared" ca="1" si="35"/>
        <v>0</v>
      </c>
      <c r="BE51" s="197"/>
      <c r="BF51" s="708"/>
      <c r="BG51" s="703" t="str">
        <f>IF($BF51="","","ĐNSX"&amp; IF(LEN($BF51)=1,"0" &amp; $BF51,$BF51) &amp; "/" &amp; ThongTinChung!$C$5)</f>
        <v/>
      </c>
      <c r="BH51" s="100" t="str">
        <f t="shared" ca="1" si="59"/>
        <v/>
      </c>
      <c r="BI51" s="194" t="str">
        <f ca="1">IF($B51="","","C" &amp; ROW(MauKoXoa!$C$108) &amp; ":C" &amp;ROW(MauKoXoa!$C$174))</f>
        <v/>
      </c>
      <c r="BJ51" s="198" t="str">
        <f t="shared" ca="1" si="36"/>
        <v/>
      </c>
      <c r="BK51" s="198" t="str">
        <f t="shared" ca="1" si="37"/>
        <v/>
      </c>
      <c r="BL51" s="650" t="str">
        <f ca="1">IF(COUNTIF($BL$10:$BL50,IFERROR(INDEX(DanhMuc!$J$154:$J$165,MATCH($BJ51,DanhMuc!$B$154:$B$165,0)),""))&lt;1,IFERROR(INDEX(DanhMuc!$J$154:$J$165,MATCH($BJ51,DanhMuc!$B$154:$B$165,0)),""),"")</f>
        <v/>
      </c>
      <c r="BM51" s="650" t="str">
        <f ca="1">IF(COUNTIF($BM$10:$BM50,IFERROR(INDEX(DanhMuc!$D$168:$D$177,MATCH($BK51,DanhMuc!$C$168:$C$177,0)),""))&lt;1,IFERROR(INDEX(DanhMuc!$D$168:$D$177,MATCH($BK51,DanhMuc!$C$168:$C$177,0)),""),"")</f>
        <v/>
      </c>
      <c r="BN51" s="650" t="str">
        <f ca="1">IFERROR(INDEX(DanhMuc!$K$154:$K$165,MATCH($BJ51,DanhMuc!$B$154:$B$165,0)),"")</f>
        <v/>
      </c>
      <c r="BO51" s="653" t="str">
        <f t="shared" ca="1" si="38"/>
        <v/>
      </c>
      <c r="BP51" s="653" t="str">
        <f t="shared" ca="1" si="54"/>
        <v/>
      </c>
      <c r="BQ51" s="757">
        <f t="shared" ref="BQ51:BV60" ca="1" si="66">IFERROR(INDIRECT("'" &amp; $B51 &amp; "'!" &amp; BQ$82),0)</f>
        <v>0</v>
      </c>
      <c r="BR51" s="757">
        <f t="shared" ca="1" si="66"/>
        <v>0</v>
      </c>
      <c r="BS51" s="757">
        <f t="shared" ca="1" si="66"/>
        <v>0</v>
      </c>
      <c r="BT51" s="757">
        <f t="shared" ca="1" si="66"/>
        <v>0</v>
      </c>
      <c r="BU51" s="757">
        <f t="shared" ca="1" si="66"/>
        <v>0</v>
      </c>
      <c r="BV51" s="757">
        <f t="shared" ca="1" si="66"/>
        <v>0</v>
      </c>
      <c r="BW51" s="198"/>
    </row>
    <row r="52" spans="1:75" s="42" customFormat="1" ht="19.899999999999999" customHeight="1">
      <c r="A52" s="37" t="str">
        <f ca="1">IF(B52="","",MAX($A$10:A51)+1)</f>
        <v/>
      </c>
      <c r="B52" s="718" t="str">
        <f t="shared" ca="1" si="51"/>
        <v/>
      </c>
      <c r="C52" s="1166">
        <f t="shared" ca="1" si="13"/>
        <v>0</v>
      </c>
      <c r="D52" s="643" t="str">
        <f t="shared" ca="1" si="14"/>
        <v/>
      </c>
      <c r="E52" s="203"/>
      <c r="F52" s="38">
        <f t="shared" ca="1" si="15"/>
        <v>0</v>
      </c>
      <c r="G52" s="38">
        <f t="shared" ca="1" si="16"/>
        <v>0</v>
      </c>
      <c r="H52" s="1136">
        <f t="shared" ca="1" si="17"/>
        <v>0</v>
      </c>
      <c r="I52" s="38">
        <f t="shared" ca="1" si="18"/>
        <v>0</v>
      </c>
      <c r="J52" s="39">
        <f t="shared" si="19"/>
        <v>0</v>
      </c>
      <c r="K52" s="1137">
        <f t="shared" ca="1" si="20"/>
        <v>0</v>
      </c>
      <c r="L52" s="40">
        <f t="shared" ca="1" si="21"/>
        <v>0</v>
      </c>
      <c r="M52" s="40">
        <f t="shared" ca="1" si="52"/>
        <v>0</v>
      </c>
      <c r="N52" s="41">
        <f t="shared" ca="1" si="23"/>
        <v>0</v>
      </c>
      <c r="O52" s="762" t="str">
        <f t="shared" ca="1" si="58"/>
        <v/>
      </c>
      <c r="P52" s="756">
        <f t="shared" ca="1" si="53"/>
        <v>0</v>
      </c>
      <c r="Q52" s="757">
        <f t="shared" ca="1" si="25"/>
        <v>0</v>
      </c>
      <c r="R52" s="905">
        <f ca="1">IF($B52="",0,IFERROR(IFERROR(INDEX(DanhMuc!$J$180:$J$189,MATCH(MID(IFERROR(INDIRECT("'" &amp; $B52 &amp; "'!" &amp; $R$82),0),2,1)&amp;MID(IFERROR(INDIRECT("'" &amp; $B52 &amp; "'!" &amp; $R$82),0),7,2),DanhMuc!$I$180:$I$189,0)),INDEX(DanhMuc!$J$180:$J$189,MATCH(MID(IFERROR(INDIRECT("'" &amp; $B52 &amp; "'!" &amp; $R$82),0),2,1),DanhMuc!$I$180:$I$189,0))),0))</f>
        <v>0</v>
      </c>
      <c r="S52" s="757">
        <f t="shared" ca="1" si="26"/>
        <v>0</v>
      </c>
      <c r="T52" s="757">
        <f t="shared" ca="1" si="43"/>
        <v>0</v>
      </c>
      <c r="U52" s="757">
        <f t="shared" ca="1" si="27"/>
        <v>0</v>
      </c>
      <c r="V52" s="757">
        <f t="shared" ca="1" si="60"/>
        <v>0</v>
      </c>
      <c r="W52" s="757">
        <f t="shared" ca="1" si="60"/>
        <v>0</v>
      </c>
      <c r="X52" s="757">
        <f t="shared" ca="1" si="61"/>
        <v>0</v>
      </c>
      <c r="Y52" s="757">
        <f t="shared" ca="1" si="61"/>
        <v>0</v>
      </c>
      <c r="Z52" s="757">
        <f t="shared" ca="1" si="62"/>
        <v>0</v>
      </c>
      <c r="AA52" s="757">
        <f t="shared" ca="1" si="62"/>
        <v>0</v>
      </c>
      <c r="AB52" s="757">
        <f t="shared" ca="1" si="62"/>
        <v>0</v>
      </c>
      <c r="AC52" s="757">
        <f t="shared" ca="1" si="62"/>
        <v>0</v>
      </c>
      <c r="AD52" s="757">
        <f t="shared" ca="1" si="62"/>
        <v>0</v>
      </c>
      <c r="AE52" s="757">
        <f t="shared" ca="1" si="28"/>
        <v>0</v>
      </c>
      <c r="AF52" s="758">
        <f t="shared" ca="1" si="29"/>
        <v>0</v>
      </c>
      <c r="AG52" s="757">
        <f t="shared" ca="1" si="63"/>
        <v>0</v>
      </c>
      <c r="AH52" s="757">
        <f t="shared" ca="1" si="63"/>
        <v>0</v>
      </c>
      <c r="AI52" s="757">
        <f t="shared" ca="1" si="30"/>
        <v>0</v>
      </c>
      <c r="AJ52" s="758">
        <f t="shared" ca="1" si="31"/>
        <v>0</v>
      </c>
      <c r="AK52" s="759">
        <f t="shared" ca="1" si="32"/>
        <v>0</v>
      </c>
      <c r="AL52" s="757">
        <f t="shared" ca="1" si="64"/>
        <v>0</v>
      </c>
      <c r="AM52" s="757">
        <f t="shared" ca="1" si="64"/>
        <v>0</v>
      </c>
      <c r="AN52" s="757">
        <f t="shared" ca="1" si="64"/>
        <v>0</v>
      </c>
      <c r="AO52" s="757">
        <f t="shared" ca="1" si="64"/>
        <v>0</v>
      </c>
      <c r="AP52" s="757">
        <f t="shared" ca="1" si="64"/>
        <v>0</v>
      </c>
      <c r="AQ52" s="757">
        <f t="shared" ca="1" si="64"/>
        <v>0</v>
      </c>
      <c r="AR52" s="757">
        <f t="shared" ca="1" si="64"/>
        <v>0</v>
      </c>
      <c r="AS52" s="757">
        <f t="shared" ca="1" si="64"/>
        <v>0</v>
      </c>
      <c r="AT52" s="757">
        <f t="shared" ca="1" si="64"/>
        <v>0</v>
      </c>
      <c r="AU52" s="757">
        <f t="shared" ca="1" si="64"/>
        <v>0</v>
      </c>
      <c r="AV52" s="757">
        <f t="shared" ca="1" si="64"/>
        <v>0</v>
      </c>
      <c r="AW52" s="757">
        <f t="shared" ca="1" si="64"/>
        <v>0</v>
      </c>
      <c r="AX52" s="757">
        <f t="shared" ca="1" si="64"/>
        <v>0</v>
      </c>
      <c r="AY52" s="758">
        <f t="shared" ca="1" si="33"/>
        <v>0</v>
      </c>
      <c r="AZ52" s="757">
        <f t="shared" ca="1" si="65"/>
        <v>0</v>
      </c>
      <c r="BA52" s="757">
        <f t="shared" ca="1" si="65"/>
        <v>0</v>
      </c>
      <c r="BB52" s="757"/>
      <c r="BC52" s="758">
        <f t="shared" ca="1" si="34"/>
        <v>0</v>
      </c>
      <c r="BD52" s="759">
        <f t="shared" ca="1" si="35"/>
        <v>0</v>
      </c>
      <c r="BE52" s="197"/>
      <c r="BF52" s="708"/>
      <c r="BG52" s="703" t="str">
        <f>IF($BF52="","","ĐNSX"&amp; IF(LEN($BF52)=1,"0" &amp; $BF52,$BF52) &amp; "/" &amp; ThongTinChung!$C$5)</f>
        <v/>
      </c>
      <c r="BH52" s="100" t="str">
        <f t="shared" ca="1" si="59"/>
        <v/>
      </c>
      <c r="BI52" s="194" t="str">
        <f ca="1">IF($B52="","","C" &amp; ROW(MauKoXoa!$C$108) &amp; ":C" &amp;ROW(MauKoXoa!$C$174))</f>
        <v/>
      </c>
      <c r="BJ52" s="198" t="str">
        <f t="shared" ca="1" si="36"/>
        <v/>
      </c>
      <c r="BK52" s="198" t="str">
        <f t="shared" ca="1" si="37"/>
        <v/>
      </c>
      <c r="BL52" s="650" t="str">
        <f ca="1">IF(COUNTIF($BL$10:$BL51,IFERROR(INDEX(DanhMuc!$J$154:$J$165,MATCH($BJ52,DanhMuc!$B$154:$B$165,0)),""))&lt;1,IFERROR(INDEX(DanhMuc!$J$154:$J$165,MATCH($BJ52,DanhMuc!$B$154:$B$165,0)),""),"")</f>
        <v/>
      </c>
      <c r="BM52" s="650" t="str">
        <f ca="1">IF(COUNTIF($BM$10:$BM51,IFERROR(INDEX(DanhMuc!$D$168:$D$177,MATCH($BK52,DanhMuc!$C$168:$C$177,0)),""))&lt;1,IFERROR(INDEX(DanhMuc!$D$168:$D$177,MATCH($BK52,DanhMuc!$C$168:$C$177,0)),""),"")</f>
        <v/>
      </c>
      <c r="BN52" s="650" t="str">
        <f ca="1">IFERROR(INDEX(DanhMuc!$K$154:$K$165,MATCH($BJ52,DanhMuc!$B$154:$B$165,0)),"")</f>
        <v/>
      </c>
      <c r="BO52" s="653" t="str">
        <f t="shared" ca="1" si="38"/>
        <v/>
      </c>
      <c r="BP52" s="653" t="str">
        <f t="shared" ca="1" si="54"/>
        <v/>
      </c>
      <c r="BQ52" s="757">
        <f t="shared" ca="1" si="66"/>
        <v>0</v>
      </c>
      <c r="BR52" s="757">
        <f t="shared" ca="1" si="66"/>
        <v>0</v>
      </c>
      <c r="BS52" s="757">
        <f t="shared" ca="1" si="66"/>
        <v>0</v>
      </c>
      <c r="BT52" s="757">
        <f t="shared" ca="1" si="66"/>
        <v>0</v>
      </c>
      <c r="BU52" s="757">
        <f t="shared" ca="1" si="66"/>
        <v>0</v>
      </c>
      <c r="BV52" s="757">
        <f t="shared" ca="1" si="66"/>
        <v>0</v>
      </c>
      <c r="BW52" s="198"/>
    </row>
    <row r="53" spans="1:75" s="42" customFormat="1" ht="19.899999999999999" customHeight="1">
      <c r="A53" s="37" t="str">
        <f ca="1">IF(B53="","",MAX($A$10:A52)+1)</f>
        <v/>
      </c>
      <c r="B53" s="718" t="str">
        <f t="shared" ca="1" si="51"/>
        <v/>
      </c>
      <c r="C53" s="1166">
        <f t="shared" ca="1" si="13"/>
        <v>0</v>
      </c>
      <c r="D53" s="643" t="str">
        <f t="shared" ca="1" si="14"/>
        <v/>
      </c>
      <c r="E53" s="203"/>
      <c r="F53" s="38">
        <f t="shared" ca="1" si="15"/>
        <v>0</v>
      </c>
      <c r="G53" s="38">
        <f t="shared" ca="1" si="16"/>
        <v>0</v>
      </c>
      <c r="H53" s="1136">
        <f t="shared" ca="1" si="17"/>
        <v>0</v>
      </c>
      <c r="I53" s="38">
        <f t="shared" ca="1" si="18"/>
        <v>0</v>
      </c>
      <c r="J53" s="39">
        <f t="shared" si="19"/>
        <v>0</v>
      </c>
      <c r="K53" s="1137">
        <f t="shared" ca="1" si="20"/>
        <v>0</v>
      </c>
      <c r="L53" s="40">
        <f t="shared" ca="1" si="21"/>
        <v>0</v>
      </c>
      <c r="M53" s="40">
        <f t="shared" ca="1" si="52"/>
        <v>0</v>
      </c>
      <c r="N53" s="41">
        <f t="shared" ca="1" si="23"/>
        <v>0</v>
      </c>
      <c r="O53" s="762" t="str">
        <f t="shared" ca="1" si="58"/>
        <v/>
      </c>
      <c r="P53" s="756">
        <f t="shared" ca="1" si="53"/>
        <v>0</v>
      </c>
      <c r="Q53" s="757">
        <f t="shared" ca="1" si="25"/>
        <v>0</v>
      </c>
      <c r="R53" s="905">
        <f ca="1">IF($B53="",0,IFERROR(IFERROR(INDEX(DanhMuc!$J$180:$J$189,MATCH(MID(IFERROR(INDIRECT("'" &amp; $B53 &amp; "'!" &amp; $R$82),0),2,1)&amp;MID(IFERROR(INDIRECT("'" &amp; $B53 &amp; "'!" &amp; $R$82),0),7,2),DanhMuc!$I$180:$I$189,0)),INDEX(DanhMuc!$J$180:$J$189,MATCH(MID(IFERROR(INDIRECT("'" &amp; $B53 &amp; "'!" &amp; $R$82),0),2,1),DanhMuc!$I$180:$I$189,0))),0))</f>
        <v>0</v>
      </c>
      <c r="S53" s="757">
        <f t="shared" ca="1" si="26"/>
        <v>0</v>
      </c>
      <c r="T53" s="757">
        <f t="shared" ca="1" si="43"/>
        <v>0</v>
      </c>
      <c r="U53" s="757">
        <f t="shared" ca="1" si="27"/>
        <v>0</v>
      </c>
      <c r="V53" s="757">
        <f t="shared" ca="1" si="60"/>
        <v>0</v>
      </c>
      <c r="W53" s="757">
        <f t="shared" ca="1" si="60"/>
        <v>0</v>
      </c>
      <c r="X53" s="757">
        <f t="shared" ca="1" si="61"/>
        <v>0</v>
      </c>
      <c r="Y53" s="757">
        <f t="shared" ca="1" si="61"/>
        <v>0</v>
      </c>
      <c r="Z53" s="757">
        <f t="shared" ca="1" si="62"/>
        <v>0</v>
      </c>
      <c r="AA53" s="757">
        <f t="shared" ca="1" si="62"/>
        <v>0</v>
      </c>
      <c r="AB53" s="757">
        <f t="shared" ca="1" si="62"/>
        <v>0</v>
      </c>
      <c r="AC53" s="757">
        <f t="shared" ca="1" si="62"/>
        <v>0</v>
      </c>
      <c r="AD53" s="757">
        <f t="shared" ca="1" si="62"/>
        <v>0</v>
      </c>
      <c r="AE53" s="757">
        <f t="shared" ca="1" si="28"/>
        <v>0</v>
      </c>
      <c r="AF53" s="758">
        <f t="shared" ca="1" si="29"/>
        <v>0</v>
      </c>
      <c r="AG53" s="757">
        <f t="shared" ca="1" si="63"/>
        <v>0</v>
      </c>
      <c r="AH53" s="757">
        <f t="shared" ca="1" si="63"/>
        <v>0</v>
      </c>
      <c r="AI53" s="757">
        <f t="shared" ca="1" si="30"/>
        <v>0</v>
      </c>
      <c r="AJ53" s="758">
        <f t="shared" ca="1" si="31"/>
        <v>0</v>
      </c>
      <c r="AK53" s="759">
        <f t="shared" ca="1" si="32"/>
        <v>0</v>
      </c>
      <c r="AL53" s="757">
        <f t="shared" ca="1" si="64"/>
        <v>0</v>
      </c>
      <c r="AM53" s="757">
        <f t="shared" ca="1" si="64"/>
        <v>0</v>
      </c>
      <c r="AN53" s="757">
        <f t="shared" ca="1" si="64"/>
        <v>0</v>
      </c>
      <c r="AO53" s="757">
        <f t="shared" ca="1" si="64"/>
        <v>0</v>
      </c>
      <c r="AP53" s="757">
        <f t="shared" ca="1" si="64"/>
        <v>0</v>
      </c>
      <c r="AQ53" s="757">
        <f t="shared" ca="1" si="64"/>
        <v>0</v>
      </c>
      <c r="AR53" s="757">
        <f t="shared" ca="1" si="64"/>
        <v>0</v>
      </c>
      <c r="AS53" s="757">
        <f t="shared" ca="1" si="64"/>
        <v>0</v>
      </c>
      <c r="AT53" s="757">
        <f t="shared" ca="1" si="64"/>
        <v>0</v>
      </c>
      <c r="AU53" s="757">
        <f t="shared" ca="1" si="64"/>
        <v>0</v>
      </c>
      <c r="AV53" s="757">
        <f t="shared" ca="1" si="64"/>
        <v>0</v>
      </c>
      <c r="AW53" s="757">
        <f t="shared" ca="1" si="64"/>
        <v>0</v>
      </c>
      <c r="AX53" s="757">
        <f t="shared" ca="1" si="64"/>
        <v>0</v>
      </c>
      <c r="AY53" s="758">
        <f t="shared" ca="1" si="33"/>
        <v>0</v>
      </c>
      <c r="AZ53" s="757">
        <f t="shared" ca="1" si="65"/>
        <v>0</v>
      </c>
      <c r="BA53" s="757">
        <f t="shared" ca="1" si="65"/>
        <v>0</v>
      </c>
      <c r="BB53" s="757"/>
      <c r="BC53" s="758">
        <f t="shared" ca="1" si="34"/>
        <v>0</v>
      </c>
      <c r="BD53" s="759">
        <f t="shared" ca="1" si="35"/>
        <v>0</v>
      </c>
      <c r="BE53" s="197"/>
      <c r="BF53" s="708"/>
      <c r="BG53" s="703" t="str">
        <f>IF($BF53="","","ĐNSX"&amp; IF(LEN($BF53)=1,"0" &amp; $BF53,$BF53) &amp; "/" &amp; ThongTinChung!$C$5)</f>
        <v/>
      </c>
      <c r="BH53" s="100" t="str">
        <f t="shared" ca="1" si="59"/>
        <v/>
      </c>
      <c r="BI53" s="194" t="str">
        <f ca="1">IF($B53="","","C" &amp; ROW(MauKoXoa!$C$108) &amp; ":C" &amp;ROW(MauKoXoa!$C$174))</f>
        <v/>
      </c>
      <c r="BJ53" s="198" t="str">
        <f t="shared" ca="1" si="36"/>
        <v/>
      </c>
      <c r="BK53" s="198" t="str">
        <f t="shared" ca="1" si="37"/>
        <v/>
      </c>
      <c r="BL53" s="650" t="str">
        <f ca="1">IF(COUNTIF($BL$10:$BL52,IFERROR(INDEX(DanhMuc!$J$154:$J$165,MATCH($BJ53,DanhMuc!$B$154:$B$165,0)),""))&lt;1,IFERROR(INDEX(DanhMuc!$J$154:$J$165,MATCH($BJ53,DanhMuc!$B$154:$B$165,0)),""),"")</f>
        <v/>
      </c>
      <c r="BM53" s="650" t="str">
        <f ca="1">IF(COUNTIF($BM$10:$BM52,IFERROR(INDEX(DanhMuc!$D$168:$D$177,MATCH($BK53,DanhMuc!$C$168:$C$177,0)),""))&lt;1,IFERROR(INDEX(DanhMuc!$D$168:$D$177,MATCH($BK53,DanhMuc!$C$168:$C$177,0)),""),"")</f>
        <v/>
      </c>
      <c r="BN53" s="650" t="str">
        <f ca="1">IFERROR(INDEX(DanhMuc!$K$154:$K$165,MATCH($BJ53,DanhMuc!$B$154:$B$165,0)),"")</f>
        <v/>
      </c>
      <c r="BO53" s="653" t="str">
        <f t="shared" ca="1" si="38"/>
        <v/>
      </c>
      <c r="BP53" s="653" t="str">
        <f t="shared" ca="1" si="54"/>
        <v/>
      </c>
      <c r="BQ53" s="757">
        <f t="shared" ca="1" si="66"/>
        <v>0</v>
      </c>
      <c r="BR53" s="757">
        <f t="shared" ca="1" si="66"/>
        <v>0</v>
      </c>
      <c r="BS53" s="757">
        <f t="shared" ca="1" si="66"/>
        <v>0</v>
      </c>
      <c r="BT53" s="757">
        <f t="shared" ca="1" si="66"/>
        <v>0</v>
      </c>
      <c r="BU53" s="757">
        <f t="shared" ca="1" si="66"/>
        <v>0</v>
      </c>
      <c r="BV53" s="757">
        <f t="shared" ca="1" si="66"/>
        <v>0</v>
      </c>
      <c r="BW53" s="198"/>
    </row>
    <row r="54" spans="1:75" s="42" customFormat="1" ht="19.899999999999999" customHeight="1">
      <c r="A54" s="37" t="str">
        <f ca="1">IF(B54="","",MAX($A$10:A53)+1)</f>
        <v/>
      </c>
      <c r="B54" s="718" t="str">
        <f t="shared" ca="1" si="51"/>
        <v/>
      </c>
      <c r="C54" s="1166">
        <f t="shared" ca="1" si="13"/>
        <v>0</v>
      </c>
      <c r="D54" s="643" t="str">
        <f t="shared" ca="1" si="14"/>
        <v/>
      </c>
      <c r="E54" s="203"/>
      <c r="F54" s="38">
        <f t="shared" ca="1" si="15"/>
        <v>0</v>
      </c>
      <c r="G54" s="38">
        <f t="shared" ca="1" si="16"/>
        <v>0</v>
      </c>
      <c r="H54" s="1136">
        <f t="shared" ca="1" si="17"/>
        <v>0</v>
      </c>
      <c r="I54" s="38">
        <f t="shared" ca="1" si="18"/>
        <v>0</v>
      </c>
      <c r="J54" s="39">
        <f t="shared" si="19"/>
        <v>0</v>
      </c>
      <c r="K54" s="1137">
        <f t="shared" ca="1" si="20"/>
        <v>0</v>
      </c>
      <c r="L54" s="40">
        <f t="shared" ca="1" si="21"/>
        <v>0</v>
      </c>
      <c r="M54" s="40">
        <f t="shared" ca="1" si="52"/>
        <v>0</v>
      </c>
      <c r="N54" s="41">
        <f t="shared" ca="1" si="23"/>
        <v>0</v>
      </c>
      <c r="O54" s="762" t="str">
        <f t="shared" ca="1" si="58"/>
        <v/>
      </c>
      <c r="P54" s="756">
        <f t="shared" ca="1" si="53"/>
        <v>0</v>
      </c>
      <c r="Q54" s="757">
        <f t="shared" ca="1" si="25"/>
        <v>0</v>
      </c>
      <c r="R54" s="905">
        <f ca="1">IF($B54="",0,IFERROR(IFERROR(INDEX(DanhMuc!$J$180:$J$189,MATCH(MID(IFERROR(INDIRECT("'" &amp; $B54 &amp; "'!" &amp; $R$82),0),2,1)&amp;MID(IFERROR(INDIRECT("'" &amp; $B54 &amp; "'!" &amp; $R$82),0),7,2),DanhMuc!$I$180:$I$189,0)),INDEX(DanhMuc!$J$180:$J$189,MATCH(MID(IFERROR(INDIRECT("'" &amp; $B54 &amp; "'!" &amp; $R$82),0),2,1),DanhMuc!$I$180:$I$189,0))),0))</f>
        <v>0</v>
      </c>
      <c r="S54" s="757">
        <f t="shared" ca="1" si="26"/>
        <v>0</v>
      </c>
      <c r="T54" s="757">
        <f t="shared" ca="1" si="43"/>
        <v>0</v>
      </c>
      <c r="U54" s="757">
        <f t="shared" ca="1" si="27"/>
        <v>0</v>
      </c>
      <c r="V54" s="757">
        <f t="shared" ca="1" si="60"/>
        <v>0</v>
      </c>
      <c r="W54" s="757">
        <f t="shared" ca="1" si="60"/>
        <v>0</v>
      </c>
      <c r="X54" s="757">
        <f t="shared" ca="1" si="61"/>
        <v>0</v>
      </c>
      <c r="Y54" s="757">
        <f t="shared" ca="1" si="61"/>
        <v>0</v>
      </c>
      <c r="Z54" s="757">
        <f t="shared" ca="1" si="62"/>
        <v>0</v>
      </c>
      <c r="AA54" s="757">
        <f t="shared" ca="1" si="62"/>
        <v>0</v>
      </c>
      <c r="AB54" s="757">
        <f t="shared" ca="1" si="62"/>
        <v>0</v>
      </c>
      <c r="AC54" s="757">
        <f t="shared" ca="1" si="62"/>
        <v>0</v>
      </c>
      <c r="AD54" s="757">
        <f t="shared" ca="1" si="62"/>
        <v>0</v>
      </c>
      <c r="AE54" s="757">
        <f t="shared" ca="1" si="28"/>
        <v>0</v>
      </c>
      <c r="AF54" s="758">
        <f t="shared" ca="1" si="29"/>
        <v>0</v>
      </c>
      <c r="AG54" s="757">
        <f t="shared" ca="1" si="63"/>
        <v>0</v>
      </c>
      <c r="AH54" s="757">
        <f t="shared" ca="1" si="63"/>
        <v>0</v>
      </c>
      <c r="AI54" s="757">
        <f t="shared" ca="1" si="30"/>
        <v>0</v>
      </c>
      <c r="AJ54" s="758">
        <f t="shared" ca="1" si="31"/>
        <v>0</v>
      </c>
      <c r="AK54" s="759">
        <f t="shared" ca="1" si="32"/>
        <v>0</v>
      </c>
      <c r="AL54" s="757">
        <f t="shared" ca="1" si="64"/>
        <v>0</v>
      </c>
      <c r="AM54" s="757">
        <f t="shared" ca="1" si="64"/>
        <v>0</v>
      </c>
      <c r="AN54" s="757">
        <f t="shared" ca="1" si="64"/>
        <v>0</v>
      </c>
      <c r="AO54" s="757">
        <f t="shared" ca="1" si="64"/>
        <v>0</v>
      </c>
      <c r="AP54" s="757">
        <f t="shared" ca="1" si="64"/>
        <v>0</v>
      </c>
      <c r="AQ54" s="757">
        <f t="shared" ca="1" si="64"/>
        <v>0</v>
      </c>
      <c r="AR54" s="757">
        <f t="shared" ca="1" si="64"/>
        <v>0</v>
      </c>
      <c r="AS54" s="757">
        <f t="shared" ca="1" si="64"/>
        <v>0</v>
      </c>
      <c r="AT54" s="757">
        <f t="shared" ca="1" si="64"/>
        <v>0</v>
      </c>
      <c r="AU54" s="757">
        <f t="shared" ca="1" si="64"/>
        <v>0</v>
      </c>
      <c r="AV54" s="757">
        <f t="shared" ca="1" si="64"/>
        <v>0</v>
      </c>
      <c r="AW54" s="757">
        <f t="shared" ca="1" si="64"/>
        <v>0</v>
      </c>
      <c r="AX54" s="757">
        <f t="shared" ca="1" si="64"/>
        <v>0</v>
      </c>
      <c r="AY54" s="758">
        <f t="shared" ca="1" si="33"/>
        <v>0</v>
      </c>
      <c r="AZ54" s="757">
        <f t="shared" ca="1" si="65"/>
        <v>0</v>
      </c>
      <c r="BA54" s="757">
        <f t="shared" ca="1" si="65"/>
        <v>0</v>
      </c>
      <c r="BB54" s="757"/>
      <c r="BC54" s="758">
        <f t="shared" ca="1" si="34"/>
        <v>0</v>
      </c>
      <c r="BD54" s="759">
        <f t="shared" ca="1" si="35"/>
        <v>0</v>
      </c>
      <c r="BE54" s="197"/>
      <c r="BF54" s="708"/>
      <c r="BG54" s="703" t="str">
        <f>IF($BF54="","","ĐNSX"&amp; IF(LEN($BF54)=1,"0" &amp; $BF54,$BF54) &amp; "/" &amp; ThongTinChung!$C$5)</f>
        <v/>
      </c>
      <c r="BH54" s="100" t="str">
        <f t="shared" ca="1" si="59"/>
        <v/>
      </c>
      <c r="BI54" s="194" t="str">
        <f ca="1">IF($B54="","","C" &amp; ROW(MauKoXoa!$C$108) &amp; ":C" &amp;ROW(MauKoXoa!$C$174))</f>
        <v/>
      </c>
      <c r="BJ54" s="198" t="str">
        <f t="shared" ca="1" si="36"/>
        <v/>
      </c>
      <c r="BK54" s="198" t="str">
        <f t="shared" ca="1" si="37"/>
        <v/>
      </c>
      <c r="BL54" s="650" t="str">
        <f ca="1">IF(COUNTIF($BL$10:$BL53,IFERROR(INDEX(DanhMuc!$J$154:$J$165,MATCH($BJ54,DanhMuc!$B$154:$B$165,0)),""))&lt;1,IFERROR(INDEX(DanhMuc!$J$154:$J$165,MATCH($BJ54,DanhMuc!$B$154:$B$165,0)),""),"")</f>
        <v/>
      </c>
      <c r="BM54" s="650" t="str">
        <f ca="1">IF(COUNTIF($BM$10:$BM53,IFERROR(INDEX(DanhMuc!$D$168:$D$177,MATCH($BK54,DanhMuc!$C$168:$C$177,0)),""))&lt;1,IFERROR(INDEX(DanhMuc!$D$168:$D$177,MATCH($BK54,DanhMuc!$C$168:$C$177,0)),""),"")</f>
        <v/>
      </c>
      <c r="BN54" s="650" t="str">
        <f ca="1">IFERROR(INDEX(DanhMuc!$K$154:$K$165,MATCH($BJ54,DanhMuc!$B$154:$B$165,0)),"")</f>
        <v/>
      </c>
      <c r="BO54" s="653" t="str">
        <f t="shared" ca="1" si="38"/>
        <v/>
      </c>
      <c r="BP54" s="653" t="str">
        <f t="shared" ca="1" si="54"/>
        <v/>
      </c>
      <c r="BQ54" s="757">
        <f t="shared" ca="1" si="66"/>
        <v>0</v>
      </c>
      <c r="BR54" s="757">
        <f t="shared" ca="1" si="66"/>
        <v>0</v>
      </c>
      <c r="BS54" s="757">
        <f t="shared" ca="1" si="66"/>
        <v>0</v>
      </c>
      <c r="BT54" s="757">
        <f t="shared" ca="1" si="66"/>
        <v>0</v>
      </c>
      <c r="BU54" s="757">
        <f t="shared" ca="1" si="66"/>
        <v>0</v>
      </c>
      <c r="BV54" s="757">
        <f t="shared" ca="1" si="66"/>
        <v>0</v>
      </c>
      <c r="BW54" s="198"/>
    </row>
    <row r="55" spans="1:75" s="42" customFormat="1" ht="19.899999999999999" customHeight="1">
      <c r="A55" s="37" t="str">
        <f ca="1">IF(B55="","",MAX($A$10:A54)+1)</f>
        <v/>
      </c>
      <c r="B55" s="718" t="str">
        <f t="shared" ca="1" si="51"/>
        <v/>
      </c>
      <c r="C55" s="1166">
        <f t="shared" ca="1" si="13"/>
        <v>0</v>
      </c>
      <c r="D55" s="643" t="str">
        <f t="shared" ca="1" si="14"/>
        <v/>
      </c>
      <c r="E55" s="203"/>
      <c r="F55" s="38">
        <f t="shared" ca="1" si="15"/>
        <v>0</v>
      </c>
      <c r="G55" s="38">
        <f t="shared" ca="1" si="16"/>
        <v>0</v>
      </c>
      <c r="H55" s="1136">
        <f t="shared" ca="1" si="17"/>
        <v>0</v>
      </c>
      <c r="I55" s="38">
        <f t="shared" ca="1" si="18"/>
        <v>0</v>
      </c>
      <c r="J55" s="39">
        <f t="shared" si="19"/>
        <v>0</v>
      </c>
      <c r="K55" s="1137">
        <f t="shared" ca="1" si="20"/>
        <v>0</v>
      </c>
      <c r="L55" s="40">
        <f t="shared" ca="1" si="21"/>
        <v>0</v>
      </c>
      <c r="M55" s="40">
        <f t="shared" ca="1" si="52"/>
        <v>0</v>
      </c>
      <c r="N55" s="41">
        <f t="shared" ca="1" si="23"/>
        <v>0</v>
      </c>
      <c r="O55" s="762" t="str">
        <f t="shared" ca="1" si="58"/>
        <v/>
      </c>
      <c r="P55" s="756">
        <f t="shared" ca="1" si="53"/>
        <v>0</v>
      </c>
      <c r="Q55" s="757">
        <f t="shared" ca="1" si="25"/>
        <v>0</v>
      </c>
      <c r="R55" s="905">
        <f ca="1">IF($B55="",0,IFERROR(IFERROR(INDEX(DanhMuc!$J$180:$J$189,MATCH(MID(IFERROR(INDIRECT("'" &amp; $B55 &amp; "'!" &amp; $R$82),0),2,1)&amp;MID(IFERROR(INDIRECT("'" &amp; $B55 &amp; "'!" &amp; $R$82),0),7,2),DanhMuc!$I$180:$I$189,0)),INDEX(DanhMuc!$J$180:$J$189,MATCH(MID(IFERROR(INDIRECT("'" &amp; $B55 &amp; "'!" &amp; $R$82),0),2,1),DanhMuc!$I$180:$I$189,0))),0))</f>
        <v>0</v>
      </c>
      <c r="S55" s="757">
        <f t="shared" ca="1" si="26"/>
        <v>0</v>
      </c>
      <c r="T55" s="757">
        <f t="shared" ca="1" si="43"/>
        <v>0</v>
      </c>
      <c r="U55" s="757">
        <f t="shared" ca="1" si="27"/>
        <v>0</v>
      </c>
      <c r="V55" s="757">
        <f t="shared" ca="1" si="60"/>
        <v>0</v>
      </c>
      <c r="W55" s="757">
        <f t="shared" ca="1" si="60"/>
        <v>0</v>
      </c>
      <c r="X55" s="757">
        <f t="shared" ca="1" si="61"/>
        <v>0</v>
      </c>
      <c r="Y55" s="757">
        <f t="shared" ca="1" si="61"/>
        <v>0</v>
      </c>
      <c r="Z55" s="757">
        <f t="shared" ca="1" si="62"/>
        <v>0</v>
      </c>
      <c r="AA55" s="757">
        <f t="shared" ca="1" si="62"/>
        <v>0</v>
      </c>
      <c r="AB55" s="757">
        <f t="shared" ca="1" si="62"/>
        <v>0</v>
      </c>
      <c r="AC55" s="757">
        <f t="shared" ca="1" si="62"/>
        <v>0</v>
      </c>
      <c r="AD55" s="757">
        <f t="shared" ca="1" si="62"/>
        <v>0</v>
      </c>
      <c r="AE55" s="757">
        <f t="shared" ca="1" si="28"/>
        <v>0</v>
      </c>
      <c r="AF55" s="758">
        <f t="shared" ca="1" si="29"/>
        <v>0</v>
      </c>
      <c r="AG55" s="757">
        <f t="shared" ca="1" si="63"/>
        <v>0</v>
      </c>
      <c r="AH55" s="757">
        <f t="shared" ca="1" si="63"/>
        <v>0</v>
      </c>
      <c r="AI55" s="757">
        <f t="shared" ca="1" si="30"/>
        <v>0</v>
      </c>
      <c r="AJ55" s="758">
        <f t="shared" ca="1" si="31"/>
        <v>0</v>
      </c>
      <c r="AK55" s="759">
        <f t="shared" ca="1" si="32"/>
        <v>0</v>
      </c>
      <c r="AL55" s="757">
        <f t="shared" ca="1" si="64"/>
        <v>0</v>
      </c>
      <c r="AM55" s="757">
        <f t="shared" ca="1" si="64"/>
        <v>0</v>
      </c>
      <c r="AN55" s="757">
        <f t="shared" ca="1" si="64"/>
        <v>0</v>
      </c>
      <c r="AO55" s="757">
        <f t="shared" ca="1" si="64"/>
        <v>0</v>
      </c>
      <c r="AP55" s="757">
        <f t="shared" ca="1" si="64"/>
        <v>0</v>
      </c>
      <c r="AQ55" s="757">
        <f t="shared" ca="1" si="64"/>
        <v>0</v>
      </c>
      <c r="AR55" s="757">
        <f t="shared" ca="1" si="64"/>
        <v>0</v>
      </c>
      <c r="AS55" s="757">
        <f t="shared" ca="1" si="64"/>
        <v>0</v>
      </c>
      <c r="AT55" s="757">
        <f t="shared" ca="1" si="64"/>
        <v>0</v>
      </c>
      <c r="AU55" s="757">
        <f t="shared" ca="1" si="64"/>
        <v>0</v>
      </c>
      <c r="AV55" s="757">
        <f t="shared" ca="1" si="64"/>
        <v>0</v>
      </c>
      <c r="AW55" s="757">
        <f t="shared" ca="1" si="64"/>
        <v>0</v>
      </c>
      <c r="AX55" s="757">
        <f t="shared" ca="1" si="64"/>
        <v>0</v>
      </c>
      <c r="AY55" s="758">
        <f t="shared" ca="1" si="33"/>
        <v>0</v>
      </c>
      <c r="AZ55" s="757">
        <f t="shared" ca="1" si="65"/>
        <v>0</v>
      </c>
      <c r="BA55" s="757">
        <f t="shared" ca="1" si="65"/>
        <v>0</v>
      </c>
      <c r="BB55" s="757"/>
      <c r="BC55" s="758">
        <f t="shared" ca="1" si="34"/>
        <v>0</v>
      </c>
      <c r="BD55" s="759">
        <f t="shared" ca="1" si="35"/>
        <v>0</v>
      </c>
      <c r="BE55" s="197"/>
      <c r="BF55" s="708"/>
      <c r="BG55" s="703" t="str">
        <f>IF($BF55="","","ĐNSX"&amp; IF(LEN($BF55)=1,"0" &amp; $BF55,$BF55) &amp; "/" &amp; ThongTinChung!$C$5)</f>
        <v/>
      </c>
      <c r="BH55" s="100" t="str">
        <f t="shared" ca="1" si="59"/>
        <v/>
      </c>
      <c r="BI55" s="194" t="str">
        <f ca="1">IF($B55="","","C" &amp; ROW(MauKoXoa!$C$108) &amp; ":C" &amp;ROW(MauKoXoa!$C$174))</f>
        <v/>
      </c>
      <c r="BJ55" s="198" t="str">
        <f t="shared" ca="1" si="36"/>
        <v/>
      </c>
      <c r="BK55" s="198" t="str">
        <f t="shared" ca="1" si="37"/>
        <v/>
      </c>
      <c r="BL55" s="650" t="str">
        <f ca="1">IF(COUNTIF($BL$10:$BL54,IFERROR(INDEX(DanhMuc!$J$154:$J$165,MATCH($BJ55,DanhMuc!$B$154:$B$165,0)),""))&lt;1,IFERROR(INDEX(DanhMuc!$J$154:$J$165,MATCH($BJ55,DanhMuc!$B$154:$B$165,0)),""),"")</f>
        <v/>
      </c>
      <c r="BM55" s="650" t="str">
        <f ca="1">IF(COUNTIF($BM$10:$BM54,IFERROR(INDEX(DanhMuc!$D$168:$D$177,MATCH($BK55,DanhMuc!$C$168:$C$177,0)),""))&lt;1,IFERROR(INDEX(DanhMuc!$D$168:$D$177,MATCH($BK55,DanhMuc!$C$168:$C$177,0)),""),"")</f>
        <v/>
      </c>
      <c r="BN55" s="650" t="str">
        <f ca="1">IFERROR(INDEX(DanhMuc!$K$154:$K$165,MATCH($BJ55,DanhMuc!$B$154:$B$165,0)),"")</f>
        <v/>
      </c>
      <c r="BO55" s="653" t="str">
        <f t="shared" ca="1" si="38"/>
        <v/>
      </c>
      <c r="BP55" s="653" t="str">
        <f t="shared" ca="1" si="54"/>
        <v/>
      </c>
      <c r="BQ55" s="757">
        <f t="shared" ca="1" si="66"/>
        <v>0</v>
      </c>
      <c r="BR55" s="757">
        <f t="shared" ca="1" si="66"/>
        <v>0</v>
      </c>
      <c r="BS55" s="757">
        <f t="shared" ca="1" si="66"/>
        <v>0</v>
      </c>
      <c r="BT55" s="757">
        <f t="shared" ca="1" si="66"/>
        <v>0</v>
      </c>
      <c r="BU55" s="757">
        <f t="shared" ca="1" si="66"/>
        <v>0</v>
      </c>
      <c r="BV55" s="757">
        <f t="shared" ca="1" si="66"/>
        <v>0</v>
      </c>
      <c r="BW55" s="198"/>
    </row>
    <row r="56" spans="1:75" s="42" customFormat="1" ht="19.899999999999999" customHeight="1">
      <c r="A56" s="37" t="str">
        <f ca="1">IF(B56="","",MAX($A$10:A55)+1)</f>
        <v/>
      </c>
      <c r="B56" s="718" t="str">
        <f t="shared" ca="1" si="51"/>
        <v/>
      </c>
      <c r="C56" s="1166">
        <f t="shared" ca="1" si="13"/>
        <v>0</v>
      </c>
      <c r="D56" s="643" t="str">
        <f t="shared" ca="1" si="14"/>
        <v/>
      </c>
      <c r="E56" s="203"/>
      <c r="F56" s="38">
        <f t="shared" ca="1" si="15"/>
        <v>0</v>
      </c>
      <c r="G56" s="38">
        <f t="shared" ca="1" si="16"/>
        <v>0</v>
      </c>
      <c r="H56" s="1136">
        <f t="shared" ca="1" si="17"/>
        <v>0</v>
      </c>
      <c r="I56" s="38">
        <f t="shared" ca="1" si="18"/>
        <v>0</v>
      </c>
      <c r="J56" s="39">
        <f t="shared" si="19"/>
        <v>0</v>
      </c>
      <c r="K56" s="1137">
        <f t="shared" ca="1" si="20"/>
        <v>0</v>
      </c>
      <c r="L56" s="40">
        <f t="shared" ca="1" si="21"/>
        <v>0</v>
      </c>
      <c r="M56" s="40">
        <f t="shared" ca="1" si="52"/>
        <v>0</v>
      </c>
      <c r="N56" s="41">
        <f t="shared" ca="1" si="23"/>
        <v>0</v>
      </c>
      <c r="O56" s="762" t="str">
        <f t="shared" ca="1" si="58"/>
        <v/>
      </c>
      <c r="P56" s="756">
        <f t="shared" ca="1" si="53"/>
        <v>0</v>
      </c>
      <c r="Q56" s="757">
        <f t="shared" ca="1" si="25"/>
        <v>0</v>
      </c>
      <c r="R56" s="905">
        <f ca="1">IF($B56="",0,IFERROR(IFERROR(INDEX(DanhMuc!$J$180:$J$189,MATCH(MID(IFERROR(INDIRECT("'" &amp; $B56 &amp; "'!" &amp; $R$82),0),2,1)&amp;MID(IFERROR(INDIRECT("'" &amp; $B56 &amp; "'!" &amp; $R$82),0),7,2),DanhMuc!$I$180:$I$189,0)),INDEX(DanhMuc!$J$180:$J$189,MATCH(MID(IFERROR(INDIRECT("'" &amp; $B56 &amp; "'!" &amp; $R$82),0),2,1),DanhMuc!$I$180:$I$189,0))),0))</f>
        <v>0</v>
      </c>
      <c r="S56" s="757">
        <f t="shared" ca="1" si="26"/>
        <v>0</v>
      </c>
      <c r="T56" s="757">
        <f t="shared" ca="1" si="43"/>
        <v>0</v>
      </c>
      <c r="U56" s="757">
        <f t="shared" ca="1" si="27"/>
        <v>0</v>
      </c>
      <c r="V56" s="757">
        <f t="shared" ca="1" si="60"/>
        <v>0</v>
      </c>
      <c r="W56" s="757">
        <f t="shared" ca="1" si="60"/>
        <v>0</v>
      </c>
      <c r="X56" s="757">
        <f t="shared" ca="1" si="61"/>
        <v>0</v>
      </c>
      <c r="Y56" s="757">
        <f t="shared" ca="1" si="61"/>
        <v>0</v>
      </c>
      <c r="Z56" s="757">
        <f t="shared" ca="1" si="62"/>
        <v>0</v>
      </c>
      <c r="AA56" s="757">
        <f t="shared" ca="1" si="62"/>
        <v>0</v>
      </c>
      <c r="AB56" s="757">
        <f t="shared" ca="1" si="62"/>
        <v>0</v>
      </c>
      <c r="AC56" s="757">
        <f t="shared" ca="1" si="62"/>
        <v>0</v>
      </c>
      <c r="AD56" s="757">
        <f t="shared" ca="1" si="62"/>
        <v>0</v>
      </c>
      <c r="AE56" s="757">
        <f t="shared" ca="1" si="28"/>
        <v>0</v>
      </c>
      <c r="AF56" s="758">
        <f t="shared" ca="1" si="29"/>
        <v>0</v>
      </c>
      <c r="AG56" s="757">
        <f t="shared" ca="1" si="63"/>
        <v>0</v>
      </c>
      <c r="AH56" s="757">
        <f t="shared" ca="1" si="63"/>
        <v>0</v>
      </c>
      <c r="AI56" s="757">
        <f t="shared" ca="1" si="30"/>
        <v>0</v>
      </c>
      <c r="AJ56" s="758">
        <f t="shared" ca="1" si="31"/>
        <v>0</v>
      </c>
      <c r="AK56" s="759">
        <f t="shared" ca="1" si="32"/>
        <v>0</v>
      </c>
      <c r="AL56" s="757">
        <f t="shared" ca="1" si="64"/>
        <v>0</v>
      </c>
      <c r="AM56" s="757">
        <f t="shared" ca="1" si="64"/>
        <v>0</v>
      </c>
      <c r="AN56" s="757">
        <f t="shared" ca="1" si="64"/>
        <v>0</v>
      </c>
      <c r="AO56" s="757">
        <f t="shared" ca="1" si="64"/>
        <v>0</v>
      </c>
      <c r="AP56" s="757">
        <f t="shared" ca="1" si="64"/>
        <v>0</v>
      </c>
      <c r="AQ56" s="757">
        <f t="shared" ca="1" si="64"/>
        <v>0</v>
      </c>
      <c r="AR56" s="757">
        <f t="shared" ca="1" si="64"/>
        <v>0</v>
      </c>
      <c r="AS56" s="757">
        <f t="shared" ca="1" si="64"/>
        <v>0</v>
      </c>
      <c r="AT56" s="757">
        <f t="shared" ca="1" si="64"/>
        <v>0</v>
      </c>
      <c r="AU56" s="757">
        <f t="shared" ca="1" si="64"/>
        <v>0</v>
      </c>
      <c r="AV56" s="757">
        <f t="shared" ca="1" si="64"/>
        <v>0</v>
      </c>
      <c r="AW56" s="757">
        <f t="shared" ca="1" si="64"/>
        <v>0</v>
      </c>
      <c r="AX56" s="757">
        <f t="shared" ca="1" si="64"/>
        <v>0</v>
      </c>
      <c r="AY56" s="758">
        <f t="shared" ca="1" si="33"/>
        <v>0</v>
      </c>
      <c r="AZ56" s="757">
        <f t="shared" ca="1" si="65"/>
        <v>0</v>
      </c>
      <c r="BA56" s="757">
        <f t="shared" ca="1" si="65"/>
        <v>0</v>
      </c>
      <c r="BB56" s="757"/>
      <c r="BC56" s="758">
        <f t="shared" ca="1" si="34"/>
        <v>0</v>
      </c>
      <c r="BD56" s="759">
        <f t="shared" ca="1" si="35"/>
        <v>0</v>
      </c>
      <c r="BE56" s="197"/>
      <c r="BF56" s="708"/>
      <c r="BG56" s="703" t="str">
        <f>IF($BF56="","","ĐNSX"&amp; IF(LEN($BF56)=1,"0" &amp; $BF56,$BF56) &amp; "/" &amp; ThongTinChung!$C$5)</f>
        <v/>
      </c>
      <c r="BH56" s="100" t="str">
        <f t="shared" ca="1" si="59"/>
        <v/>
      </c>
      <c r="BI56" s="194" t="str">
        <f ca="1">IF($B56="","","C" &amp; ROW(MauKoXoa!$C$108) &amp; ":C" &amp;ROW(MauKoXoa!$C$174))</f>
        <v/>
      </c>
      <c r="BJ56" s="198" t="str">
        <f t="shared" ca="1" si="36"/>
        <v/>
      </c>
      <c r="BK56" s="198" t="str">
        <f t="shared" ca="1" si="37"/>
        <v/>
      </c>
      <c r="BL56" s="650" t="str">
        <f ca="1">IF(COUNTIF($BL$10:$BL55,IFERROR(INDEX(DanhMuc!$J$154:$J$165,MATCH($BJ56,DanhMuc!$B$154:$B$165,0)),""))&lt;1,IFERROR(INDEX(DanhMuc!$J$154:$J$165,MATCH($BJ56,DanhMuc!$B$154:$B$165,0)),""),"")</f>
        <v/>
      </c>
      <c r="BM56" s="650" t="str">
        <f ca="1">IF(COUNTIF($BM$10:$BM55,IFERROR(INDEX(DanhMuc!$D$168:$D$177,MATCH($BK56,DanhMuc!$C$168:$C$177,0)),""))&lt;1,IFERROR(INDEX(DanhMuc!$D$168:$D$177,MATCH($BK56,DanhMuc!$C$168:$C$177,0)),""),"")</f>
        <v/>
      </c>
      <c r="BN56" s="650" t="str">
        <f ca="1">IFERROR(INDEX(DanhMuc!$K$154:$K$165,MATCH($BJ56,DanhMuc!$B$154:$B$165,0)),"")</f>
        <v/>
      </c>
      <c r="BO56" s="653" t="str">
        <f t="shared" ca="1" si="38"/>
        <v/>
      </c>
      <c r="BP56" s="653" t="str">
        <f t="shared" ca="1" si="54"/>
        <v/>
      </c>
      <c r="BQ56" s="757">
        <f t="shared" ca="1" si="66"/>
        <v>0</v>
      </c>
      <c r="BR56" s="757">
        <f t="shared" ca="1" si="66"/>
        <v>0</v>
      </c>
      <c r="BS56" s="757">
        <f t="shared" ca="1" si="66"/>
        <v>0</v>
      </c>
      <c r="BT56" s="757">
        <f t="shared" ca="1" si="66"/>
        <v>0</v>
      </c>
      <c r="BU56" s="757">
        <f t="shared" ca="1" si="66"/>
        <v>0</v>
      </c>
      <c r="BV56" s="757">
        <f t="shared" ca="1" si="66"/>
        <v>0</v>
      </c>
      <c r="BW56" s="198"/>
    </row>
    <row r="57" spans="1:75" s="42" customFormat="1" ht="19.899999999999999" customHeight="1">
      <c r="A57" s="37" t="str">
        <f ca="1">IF(B57="","",MAX($A$10:A56)+1)</f>
        <v/>
      </c>
      <c r="B57" s="718" t="str">
        <f t="shared" ca="1" si="51"/>
        <v/>
      </c>
      <c r="C57" s="1166">
        <f t="shared" ca="1" si="13"/>
        <v>0</v>
      </c>
      <c r="D57" s="643" t="str">
        <f t="shared" ca="1" si="14"/>
        <v/>
      </c>
      <c r="E57" s="203"/>
      <c r="F57" s="38">
        <f t="shared" ca="1" si="15"/>
        <v>0</v>
      </c>
      <c r="G57" s="38">
        <f t="shared" ca="1" si="16"/>
        <v>0</v>
      </c>
      <c r="H57" s="1136">
        <f t="shared" ca="1" si="17"/>
        <v>0</v>
      </c>
      <c r="I57" s="38">
        <f t="shared" ca="1" si="18"/>
        <v>0</v>
      </c>
      <c r="J57" s="39">
        <f t="shared" si="19"/>
        <v>0</v>
      </c>
      <c r="K57" s="1137">
        <f t="shared" ca="1" si="20"/>
        <v>0</v>
      </c>
      <c r="L57" s="40">
        <f t="shared" ca="1" si="21"/>
        <v>0</v>
      </c>
      <c r="M57" s="40">
        <f t="shared" ca="1" si="52"/>
        <v>0</v>
      </c>
      <c r="N57" s="41">
        <f t="shared" ca="1" si="23"/>
        <v>0</v>
      </c>
      <c r="O57" s="762" t="str">
        <f t="shared" ca="1" si="58"/>
        <v/>
      </c>
      <c r="P57" s="756">
        <f t="shared" ca="1" si="53"/>
        <v>0</v>
      </c>
      <c r="Q57" s="757">
        <f t="shared" ca="1" si="25"/>
        <v>0</v>
      </c>
      <c r="R57" s="905">
        <f ca="1">IF($B57="",0,IFERROR(IFERROR(INDEX(DanhMuc!$J$180:$J$189,MATCH(MID(IFERROR(INDIRECT("'" &amp; $B57 &amp; "'!" &amp; $R$82),0),2,1)&amp;MID(IFERROR(INDIRECT("'" &amp; $B57 &amp; "'!" &amp; $R$82),0),7,2),DanhMuc!$I$180:$I$189,0)),INDEX(DanhMuc!$J$180:$J$189,MATCH(MID(IFERROR(INDIRECT("'" &amp; $B57 &amp; "'!" &amp; $R$82),0),2,1),DanhMuc!$I$180:$I$189,0))),0))</f>
        <v>0</v>
      </c>
      <c r="S57" s="757">
        <f t="shared" ca="1" si="26"/>
        <v>0</v>
      </c>
      <c r="T57" s="757">
        <f t="shared" ca="1" si="43"/>
        <v>0</v>
      </c>
      <c r="U57" s="757">
        <f t="shared" ca="1" si="27"/>
        <v>0</v>
      </c>
      <c r="V57" s="757">
        <f t="shared" ca="1" si="60"/>
        <v>0</v>
      </c>
      <c r="W57" s="757">
        <f t="shared" ca="1" si="60"/>
        <v>0</v>
      </c>
      <c r="X57" s="757">
        <f t="shared" ca="1" si="61"/>
        <v>0</v>
      </c>
      <c r="Y57" s="757">
        <f t="shared" ca="1" si="61"/>
        <v>0</v>
      </c>
      <c r="Z57" s="757">
        <f t="shared" ca="1" si="62"/>
        <v>0</v>
      </c>
      <c r="AA57" s="757">
        <f t="shared" ca="1" si="62"/>
        <v>0</v>
      </c>
      <c r="AB57" s="757">
        <f t="shared" ca="1" si="62"/>
        <v>0</v>
      </c>
      <c r="AC57" s="757">
        <f t="shared" ca="1" si="62"/>
        <v>0</v>
      </c>
      <c r="AD57" s="757">
        <f t="shared" ca="1" si="62"/>
        <v>0</v>
      </c>
      <c r="AE57" s="757">
        <f t="shared" ca="1" si="28"/>
        <v>0</v>
      </c>
      <c r="AF57" s="758">
        <f t="shared" ca="1" si="29"/>
        <v>0</v>
      </c>
      <c r="AG57" s="757">
        <f t="shared" ca="1" si="63"/>
        <v>0</v>
      </c>
      <c r="AH57" s="757">
        <f t="shared" ca="1" si="63"/>
        <v>0</v>
      </c>
      <c r="AI57" s="757">
        <f t="shared" ca="1" si="30"/>
        <v>0</v>
      </c>
      <c r="AJ57" s="758">
        <f t="shared" ca="1" si="31"/>
        <v>0</v>
      </c>
      <c r="AK57" s="759">
        <f t="shared" ca="1" si="32"/>
        <v>0</v>
      </c>
      <c r="AL57" s="757">
        <f t="shared" ca="1" si="64"/>
        <v>0</v>
      </c>
      <c r="AM57" s="757">
        <f t="shared" ca="1" si="64"/>
        <v>0</v>
      </c>
      <c r="AN57" s="757">
        <f t="shared" ca="1" si="64"/>
        <v>0</v>
      </c>
      <c r="AO57" s="757">
        <f t="shared" ca="1" si="64"/>
        <v>0</v>
      </c>
      <c r="AP57" s="757">
        <f t="shared" ca="1" si="64"/>
        <v>0</v>
      </c>
      <c r="AQ57" s="757">
        <f t="shared" ca="1" si="64"/>
        <v>0</v>
      </c>
      <c r="AR57" s="757">
        <f t="shared" ca="1" si="64"/>
        <v>0</v>
      </c>
      <c r="AS57" s="757">
        <f t="shared" ca="1" si="64"/>
        <v>0</v>
      </c>
      <c r="AT57" s="757">
        <f t="shared" ca="1" si="64"/>
        <v>0</v>
      </c>
      <c r="AU57" s="757">
        <f t="shared" ca="1" si="64"/>
        <v>0</v>
      </c>
      <c r="AV57" s="757">
        <f t="shared" ca="1" si="64"/>
        <v>0</v>
      </c>
      <c r="AW57" s="757">
        <f t="shared" ca="1" si="64"/>
        <v>0</v>
      </c>
      <c r="AX57" s="757">
        <f t="shared" ca="1" si="64"/>
        <v>0</v>
      </c>
      <c r="AY57" s="758">
        <f t="shared" ca="1" si="33"/>
        <v>0</v>
      </c>
      <c r="AZ57" s="757">
        <f t="shared" ca="1" si="65"/>
        <v>0</v>
      </c>
      <c r="BA57" s="757">
        <f t="shared" ca="1" si="65"/>
        <v>0</v>
      </c>
      <c r="BB57" s="757"/>
      <c r="BC57" s="758">
        <f t="shared" ca="1" si="34"/>
        <v>0</v>
      </c>
      <c r="BD57" s="759">
        <f t="shared" ca="1" si="35"/>
        <v>0</v>
      </c>
      <c r="BE57" s="197"/>
      <c r="BF57" s="708"/>
      <c r="BG57" s="703" t="str">
        <f>IF($BF57="","","ĐNSX"&amp; IF(LEN($BF57)=1,"0" &amp; $BF57,$BF57) &amp; "/" &amp; ThongTinChung!$C$5)</f>
        <v/>
      </c>
      <c r="BH57" s="100" t="str">
        <f t="shared" ca="1" si="59"/>
        <v/>
      </c>
      <c r="BI57" s="194" t="str">
        <f ca="1">IF($B57="","","C" &amp; ROW(MauKoXoa!$C$108) &amp; ":C" &amp;ROW(MauKoXoa!$C$174))</f>
        <v/>
      </c>
      <c r="BJ57" s="198" t="str">
        <f t="shared" ca="1" si="36"/>
        <v/>
      </c>
      <c r="BK57" s="198" t="str">
        <f t="shared" ca="1" si="37"/>
        <v/>
      </c>
      <c r="BL57" s="650" t="str">
        <f ca="1">IF(COUNTIF($BL$10:$BL56,IFERROR(INDEX(DanhMuc!$J$154:$J$165,MATCH($BJ57,DanhMuc!$B$154:$B$165,0)),""))&lt;1,IFERROR(INDEX(DanhMuc!$J$154:$J$165,MATCH($BJ57,DanhMuc!$B$154:$B$165,0)),""),"")</f>
        <v/>
      </c>
      <c r="BM57" s="650" t="str">
        <f ca="1">IF(COUNTIF($BM$10:$BM56,IFERROR(INDEX(DanhMuc!$D$168:$D$177,MATCH($BK57,DanhMuc!$C$168:$C$177,0)),""))&lt;1,IFERROR(INDEX(DanhMuc!$D$168:$D$177,MATCH($BK57,DanhMuc!$C$168:$C$177,0)),""),"")</f>
        <v/>
      </c>
      <c r="BN57" s="650" t="str">
        <f ca="1">IFERROR(INDEX(DanhMuc!$K$154:$K$165,MATCH($BJ57,DanhMuc!$B$154:$B$165,0)),"")</f>
        <v/>
      </c>
      <c r="BO57" s="653" t="str">
        <f t="shared" ca="1" si="38"/>
        <v/>
      </c>
      <c r="BP57" s="653" t="str">
        <f t="shared" ca="1" si="54"/>
        <v/>
      </c>
      <c r="BQ57" s="757">
        <f t="shared" ca="1" si="66"/>
        <v>0</v>
      </c>
      <c r="BR57" s="757">
        <f t="shared" ca="1" si="66"/>
        <v>0</v>
      </c>
      <c r="BS57" s="757">
        <f t="shared" ca="1" si="66"/>
        <v>0</v>
      </c>
      <c r="BT57" s="757">
        <f t="shared" ca="1" si="66"/>
        <v>0</v>
      </c>
      <c r="BU57" s="757">
        <f t="shared" ca="1" si="66"/>
        <v>0</v>
      </c>
      <c r="BV57" s="757">
        <f t="shared" ca="1" si="66"/>
        <v>0</v>
      </c>
      <c r="BW57" s="198"/>
    </row>
    <row r="58" spans="1:75" s="42" customFormat="1" ht="19.899999999999999" customHeight="1">
      <c r="A58" s="37" t="str">
        <f ca="1">IF(B58="","",MAX($A$10:A57)+1)</f>
        <v/>
      </c>
      <c r="B58" s="718" t="str">
        <f t="shared" ca="1" si="51"/>
        <v/>
      </c>
      <c r="C58" s="1166">
        <f t="shared" ca="1" si="13"/>
        <v>0</v>
      </c>
      <c r="D58" s="643" t="str">
        <f t="shared" ca="1" si="14"/>
        <v/>
      </c>
      <c r="E58" s="203"/>
      <c r="F58" s="38">
        <f t="shared" ca="1" si="15"/>
        <v>0</v>
      </c>
      <c r="G58" s="38">
        <f t="shared" ca="1" si="16"/>
        <v>0</v>
      </c>
      <c r="H58" s="1136">
        <f t="shared" ca="1" si="17"/>
        <v>0</v>
      </c>
      <c r="I58" s="38">
        <f t="shared" ca="1" si="18"/>
        <v>0</v>
      </c>
      <c r="J58" s="39">
        <f t="shared" si="19"/>
        <v>0</v>
      </c>
      <c r="K58" s="1137">
        <f t="shared" ca="1" si="20"/>
        <v>0</v>
      </c>
      <c r="L58" s="40">
        <f t="shared" ca="1" si="21"/>
        <v>0</v>
      </c>
      <c r="M58" s="40">
        <f t="shared" ca="1" si="52"/>
        <v>0</v>
      </c>
      <c r="N58" s="41">
        <f t="shared" ca="1" si="23"/>
        <v>0</v>
      </c>
      <c r="O58" s="762" t="str">
        <f t="shared" ca="1" si="58"/>
        <v/>
      </c>
      <c r="P58" s="756">
        <f t="shared" ca="1" si="53"/>
        <v>0</v>
      </c>
      <c r="Q58" s="757">
        <f t="shared" ca="1" si="25"/>
        <v>0</v>
      </c>
      <c r="R58" s="905">
        <f ca="1">IF($B58="",0,IFERROR(IFERROR(INDEX(DanhMuc!$J$180:$J$189,MATCH(MID(IFERROR(INDIRECT("'" &amp; $B58 &amp; "'!" &amp; $R$82),0),2,1)&amp;MID(IFERROR(INDIRECT("'" &amp; $B58 &amp; "'!" &amp; $R$82),0),7,2),DanhMuc!$I$180:$I$189,0)),INDEX(DanhMuc!$J$180:$J$189,MATCH(MID(IFERROR(INDIRECT("'" &amp; $B58 &amp; "'!" &amp; $R$82),0),2,1),DanhMuc!$I$180:$I$189,0))),0))</f>
        <v>0</v>
      </c>
      <c r="S58" s="757">
        <f t="shared" ca="1" si="26"/>
        <v>0</v>
      </c>
      <c r="T58" s="757">
        <f t="shared" ca="1" si="43"/>
        <v>0</v>
      </c>
      <c r="U58" s="757">
        <f t="shared" ca="1" si="27"/>
        <v>0</v>
      </c>
      <c r="V58" s="757">
        <f t="shared" ca="1" si="60"/>
        <v>0</v>
      </c>
      <c r="W58" s="757">
        <f t="shared" ca="1" si="60"/>
        <v>0</v>
      </c>
      <c r="X58" s="757">
        <f t="shared" ca="1" si="61"/>
        <v>0</v>
      </c>
      <c r="Y58" s="757">
        <f t="shared" ca="1" si="61"/>
        <v>0</v>
      </c>
      <c r="Z58" s="757">
        <f t="shared" ca="1" si="62"/>
        <v>0</v>
      </c>
      <c r="AA58" s="757">
        <f t="shared" ca="1" si="62"/>
        <v>0</v>
      </c>
      <c r="AB58" s="757">
        <f t="shared" ca="1" si="62"/>
        <v>0</v>
      </c>
      <c r="AC58" s="757">
        <f t="shared" ca="1" si="62"/>
        <v>0</v>
      </c>
      <c r="AD58" s="757">
        <f t="shared" ca="1" si="62"/>
        <v>0</v>
      </c>
      <c r="AE58" s="757">
        <f t="shared" ca="1" si="28"/>
        <v>0</v>
      </c>
      <c r="AF58" s="758">
        <f t="shared" ca="1" si="29"/>
        <v>0</v>
      </c>
      <c r="AG58" s="757">
        <f t="shared" ca="1" si="63"/>
        <v>0</v>
      </c>
      <c r="AH58" s="757">
        <f t="shared" ca="1" si="63"/>
        <v>0</v>
      </c>
      <c r="AI58" s="757">
        <f t="shared" ca="1" si="30"/>
        <v>0</v>
      </c>
      <c r="AJ58" s="758">
        <f t="shared" ca="1" si="31"/>
        <v>0</v>
      </c>
      <c r="AK58" s="759">
        <f t="shared" ca="1" si="32"/>
        <v>0</v>
      </c>
      <c r="AL58" s="757">
        <f t="shared" ca="1" si="64"/>
        <v>0</v>
      </c>
      <c r="AM58" s="757">
        <f t="shared" ca="1" si="64"/>
        <v>0</v>
      </c>
      <c r="AN58" s="757">
        <f t="shared" ca="1" si="64"/>
        <v>0</v>
      </c>
      <c r="AO58" s="757">
        <f t="shared" ca="1" si="64"/>
        <v>0</v>
      </c>
      <c r="AP58" s="757">
        <f t="shared" ca="1" si="64"/>
        <v>0</v>
      </c>
      <c r="AQ58" s="757">
        <f t="shared" ca="1" si="64"/>
        <v>0</v>
      </c>
      <c r="AR58" s="757">
        <f t="shared" ca="1" si="64"/>
        <v>0</v>
      </c>
      <c r="AS58" s="757">
        <f t="shared" ca="1" si="64"/>
        <v>0</v>
      </c>
      <c r="AT58" s="757">
        <f t="shared" ca="1" si="64"/>
        <v>0</v>
      </c>
      <c r="AU58" s="757">
        <f t="shared" ca="1" si="64"/>
        <v>0</v>
      </c>
      <c r="AV58" s="757">
        <f t="shared" ca="1" si="64"/>
        <v>0</v>
      </c>
      <c r="AW58" s="757">
        <f t="shared" ca="1" si="64"/>
        <v>0</v>
      </c>
      <c r="AX58" s="757">
        <f t="shared" ca="1" si="64"/>
        <v>0</v>
      </c>
      <c r="AY58" s="758">
        <f t="shared" ca="1" si="33"/>
        <v>0</v>
      </c>
      <c r="AZ58" s="757">
        <f t="shared" ca="1" si="65"/>
        <v>0</v>
      </c>
      <c r="BA58" s="757">
        <f t="shared" ca="1" si="65"/>
        <v>0</v>
      </c>
      <c r="BB58" s="757"/>
      <c r="BC58" s="758">
        <f t="shared" ca="1" si="34"/>
        <v>0</v>
      </c>
      <c r="BD58" s="759">
        <f t="shared" ca="1" si="35"/>
        <v>0</v>
      </c>
      <c r="BE58" s="197"/>
      <c r="BF58" s="708"/>
      <c r="BG58" s="703" t="str">
        <f>IF($BF58="","","ĐNSX"&amp; IF(LEN($BF58)=1,"0" &amp; $BF58,$BF58) &amp; "/" &amp; ThongTinChung!$C$5)</f>
        <v/>
      </c>
      <c r="BH58" s="100" t="str">
        <f t="shared" ca="1" si="59"/>
        <v/>
      </c>
      <c r="BI58" s="194" t="str">
        <f ca="1">IF($B58="","","C" &amp; ROW(MauKoXoa!$C$108) &amp; ":C" &amp;ROW(MauKoXoa!$C$174))</f>
        <v/>
      </c>
      <c r="BJ58" s="198" t="str">
        <f t="shared" ca="1" si="36"/>
        <v/>
      </c>
      <c r="BK58" s="198" t="str">
        <f t="shared" ca="1" si="37"/>
        <v/>
      </c>
      <c r="BL58" s="650" t="str">
        <f ca="1">IF(COUNTIF($BL$10:$BL57,IFERROR(INDEX(DanhMuc!$J$154:$J$165,MATCH($BJ58,DanhMuc!$B$154:$B$165,0)),""))&lt;1,IFERROR(INDEX(DanhMuc!$J$154:$J$165,MATCH($BJ58,DanhMuc!$B$154:$B$165,0)),""),"")</f>
        <v/>
      </c>
      <c r="BM58" s="650" t="str">
        <f ca="1">IF(COUNTIF($BM$10:$BM57,IFERROR(INDEX(DanhMuc!$D$168:$D$177,MATCH($BK58,DanhMuc!$C$168:$C$177,0)),""))&lt;1,IFERROR(INDEX(DanhMuc!$D$168:$D$177,MATCH($BK58,DanhMuc!$C$168:$C$177,0)),""),"")</f>
        <v/>
      </c>
      <c r="BN58" s="650" t="str">
        <f ca="1">IFERROR(INDEX(DanhMuc!$K$154:$K$165,MATCH($BJ58,DanhMuc!$B$154:$B$165,0)),"")</f>
        <v/>
      </c>
      <c r="BO58" s="653" t="str">
        <f t="shared" ca="1" si="38"/>
        <v/>
      </c>
      <c r="BP58" s="653" t="str">
        <f t="shared" ca="1" si="54"/>
        <v/>
      </c>
      <c r="BQ58" s="757">
        <f t="shared" ca="1" si="66"/>
        <v>0</v>
      </c>
      <c r="BR58" s="757">
        <f t="shared" ca="1" si="66"/>
        <v>0</v>
      </c>
      <c r="BS58" s="757">
        <f t="shared" ca="1" si="66"/>
        <v>0</v>
      </c>
      <c r="BT58" s="757">
        <f t="shared" ca="1" si="66"/>
        <v>0</v>
      </c>
      <c r="BU58" s="757">
        <f t="shared" ca="1" si="66"/>
        <v>0</v>
      </c>
      <c r="BV58" s="757">
        <f t="shared" ca="1" si="66"/>
        <v>0</v>
      </c>
      <c r="BW58" s="198"/>
    </row>
    <row r="59" spans="1:75" s="42" customFormat="1" ht="19.899999999999999" customHeight="1">
      <c r="A59" s="37" t="str">
        <f ca="1">IF(B59="","",MAX($A$10:A58)+1)</f>
        <v/>
      </c>
      <c r="B59" s="718" t="str">
        <f t="shared" ca="1" si="51"/>
        <v/>
      </c>
      <c r="C59" s="1166">
        <f t="shared" ca="1" si="13"/>
        <v>0</v>
      </c>
      <c r="D59" s="643" t="str">
        <f t="shared" ca="1" si="14"/>
        <v/>
      </c>
      <c r="E59" s="203"/>
      <c r="F59" s="38">
        <f t="shared" ca="1" si="15"/>
        <v>0</v>
      </c>
      <c r="G59" s="38">
        <f t="shared" ca="1" si="16"/>
        <v>0</v>
      </c>
      <c r="H59" s="1136">
        <f t="shared" ca="1" si="17"/>
        <v>0</v>
      </c>
      <c r="I59" s="38">
        <f t="shared" ca="1" si="18"/>
        <v>0</v>
      </c>
      <c r="J59" s="39">
        <f t="shared" si="19"/>
        <v>0</v>
      </c>
      <c r="K59" s="1137">
        <f t="shared" ca="1" si="20"/>
        <v>0</v>
      </c>
      <c r="L59" s="40">
        <f t="shared" ca="1" si="21"/>
        <v>0</v>
      </c>
      <c r="M59" s="40">
        <f t="shared" ca="1" si="52"/>
        <v>0</v>
      </c>
      <c r="N59" s="41">
        <f t="shared" ca="1" si="23"/>
        <v>0</v>
      </c>
      <c r="O59" s="762" t="str">
        <f t="shared" ca="1" si="58"/>
        <v/>
      </c>
      <c r="P59" s="756">
        <f t="shared" ca="1" si="53"/>
        <v>0</v>
      </c>
      <c r="Q59" s="757">
        <f t="shared" ca="1" si="25"/>
        <v>0</v>
      </c>
      <c r="R59" s="905">
        <f ca="1">IF($B59="",0,IFERROR(IFERROR(INDEX(DanhMuc!$J$180:$J$189,MATCH(MID(IFERROR(INDIRECT("'" &amp; $B59 &amp; "'!" &amp; $R$82),0),2,1)&amp;MID(IFERROR(INDIRECT("'" &amp; $B59 &amp; "'!" &amp; $R$82),0),7,2),DanhMuc!$I$180:$I$189,0)),INDEX(DanhMuc!$J$180:$J$189,MATCH(MID(IFERROR(INDIRECT("'" &amp; $B59 &amp; "'!" &amp; $R$82),0),2,1),DanhMuc!$I$180:$I$189,0))),0))</f>
        <v>0</v>
      </c>
      <c r="S59" s="757">
        <f t="shared" ca="1" si="26"/>
        <v>0</v>
      </c>
      <c r="T59" s="757">
        <f t="shared" ca="1" si="43"/>
        <v>0</v>
      </c>
      <c r="U59" s="757">
        <f t="shared" ca="1" si="27"/>
        <v>0</v>
      </c>
      <c r="V59" s="757">
        <f t="shared" ca="1" si="60"/>
        <v>0</v>
      </c>
      <c r="W59" s="757">
        <f t="shared" ca="1" si="60"/>
        <v>0</v>
      </c>
      <c r="X59" s="757">
        <f t="shared" ca="1" si="61"/>
        <v>0</v>
      </c>
      <c r="Y59" s="757">
        <f t="shared" ca="1" si="61"/>
        <v>0</v>
      </c>
      <c r="Z59" s="757">
        <f t="shared" ca="1" si="62"/>
        <v>0</v>
      </c>
      <c r="AA59" s="757">
        <f t="shared" ca="1" si="62"/>
        <v>0</v>
      </c>
      <c r="AB59" s="757">
        <f t="shared" ca="1" si="62"/>
        <v>0</v>
      </c>
      <c r="AC59" s="757">
        <f t="shared" ca="1" si="62"/>
        <v>0</v>
      </c>
      <c r="AD59" s="757">
        <f t="shared" ca="1" si="62"/>
        <v>0</v>
      </c>
      <c r="AE59" s="757">
        <f t="shared" ca="1" si="28"/>
        <v>0</v>
      </c>
      <c r="AF59" s="758">
        <f t="shared" ca="1" si="29"/>
        <v>0</v>
      </c>
      <c r="AG59" s="757">
        <f t="shared" ca="1" si="63"/>
        <v>0</v>
      </c>
      <c r="AH59" s="757">
        <f t="shared" ca="1" si="63"/>
        <v>0</v>
      </c>
      <c r="AI59" s="757">
        <f t="shared" ca="1" si="30"/>
        <v>0</v>
      </c>
      <c r="AJ59" s="758">
        <f t="shared" ca="1" si="31"/>
        <v>0</v>
      </c>
      <c r="AK59" s="759">
        <f t="shared" ca="1" si="32"/>
        <v>0</v>
      </c>
      <c r="AL59" s="757">
        <f t="shared" ca="1" si="64"/>
        <v>0</v>
      </c>
      <c r="AM59" s="757">
        <f t="shared" ca="1" si="64"/>
        <v>0</v>
      </c>
      <c r="AN59" s="757">
        <f t="shared" ca="1" si="64"/>
        <v>0</v>
      </c>
      <c r="AO59" s="757">
        <f t="shared" ca="1" si="64"/>
        <v>0</v>
      </c>
      <c r="AP59" s="757">
        <f t="shared" ca="1" si="64"/>
        <v>0</v>
      </c>
      <c r="AQ59" s="757">
        <f t="shared" ca="1" si="64"/>
        <v>0</v>
      </c>
      <c r="AR59" s="757">
        <f t="shared" ca="1" si="64"/>
        <v>0</v>
      </c>
      <c r="AS59" s="757">
        <f t="shared" ca="1" si="64"/>
        <v>0</v>
      </c>
      <c r="AT59" s="757">
        <f t="shared" ca="1" si="64"/>
        <v>0</v>
      </c>
      <c r="AU59" s="757">
        <f t="shared" ca="1" si="64"/>
        <v>0</v>
      </c>
      <c r="AV59" s="757">
        <f t="shared" ca="1" si="64"/>
        <v>0</v>
      </c>
      <c r="AW59" s="757">
        <f t="shared" ca="1" si="64"/>
        <v>0</v>
      </c>
      <c r="AX59" s="757">
        <f t="shared" ca="1" si="64"/>
        <v>0</v>
      </c>
      <c r="AY59" s="758">
        <f t="shared" ca="1" si="33"/>
        <v>0</v>
      </c>
      <c r="AZ59" s="757">
        <f t="shared" ca="1" si="65"/>
        <v>0</v>
      </c>
      <c r="BA59" s="757">
        <f t="shared" ca="1" si="65"/>
        <v>0</v>
      </c>
      <c r="BB59" s="757"/>
      <c r="BC59" s="758">
        <f t="shared" ca="1" si="34"/>
        <v>0</v>
      </c>
      <c r="BD59" s="759">
        <f t="shared" ca="1" si="35"/>
        <v>0</v>
      </c>
      <c r="BE59" s="197"/>
      <c r="BF59" s="708"/>
      <c r="BG59" s="703" t="str">
        <f>IF($BF59="","","ĐNSX"&amp; IF(LEN($BF59)=1,"0" &amp; $BF59,$BF59) &amp; "/" &amp; ThongTinChung!$C$5)</f>
        <v/>
      </c>
      <c r="BH59" s="100" t="str">
        <f t="shared" ca="1" si="59"/>
        <v/>
      </c>
      <c r="BI59" s="194" t="str">
        <f ca="1">IF($B59="","","C" &amp; ROW(MauKoXoa!$C$108) &amp; ":C" &amp;ROW(MauKoXoa!$C$174))</f>
        <v/>
      </c>
      <c r="BJ59" s="198" t="str">
        <f t="shared" ca="1" si="36"/>
        <v/>
      </c>
      <c r="BK59" s="198" t="str">
        <f t="shared" ca="1" si="37"/>
        <v/>
      </c>
      <c r="BL59" s="650" t="str">
        <f ca="1">IF(COUNTIF($BL$10:$BL58,IFERROR(INDEX(DanhMuc!$J$154:$J$165,MATCH($BJ59,DanhMuc!$B$154:$B$165,0)),""))&lt;1,IFERROR(INDEX(DanhMuc!$J$154:$J$165,MATCH($BJ59,DanhMuc!$B$154:$B$165,0)),""),"")</f>
        <v/>
      </c>
      <c r="BM59" s="650" t="str">
        <f ca="1">IF(COUNTIF($BM$10:$BM58,IFERROR(INDEX(DanhMuc!$D$168:$D$177,MATCH($BK59,DanhMuc!$C$168:$C$177,0)),""))&lt;1,IFERROR(INDEX(DanhMuc!$D$168:$D$177,MATCH($BK59,DanhMuc!$C$168:$C$177,0)),""),"")</f>
        <v/>
      </c>
      <c r="BN59" s="650" t="str">
        <f ca="1">IFERROR(INDEX(DanhMuc!$K$154:$K$165,MATCH($BJ59,DanhMuc!$B$154:$B$165,0)),"")</f>
        <v/>
      </c>
      <c r="BO59" s="653" t="str">
        <f t="shared" ca="1" si="38"/>
        <v/>
      </c>
      <c r="BP59" s="653" t="str">
        <f t="shared" ca="1" si="54"/>
        <v/>
      </c>
      <c r="BQ59" s="757">
        <f t="shared" ca="1" si="66"/>
        <v>0</v>
      </c>
      <c r="BR59" s="757">
        <f t="shared" ca="1" si="66"/>
        <v>0</v>
      </c>
      <c r="BS59" s="757">
        <f t="shared" ca="1" si="66"/>
        <v>0</v>
      </c>
      <c r="BT59" s="757">
        <f t="shared" ca="1" si="66"/>
        <v>0</v>
      </c>
      <c r="BU59" s="757">
        <f t="shared" ca="1" si="66"/>
        <v>0</v>
      </c>
      <c r="BV59" s="757">
        <f t="shared" ca="1" si="66"/>
        <v>0</v>
      </c>
      <c r="BW59" s="198"/>
    </row>
    <row r="60" spans="1:75" s="42" customFormat="1" ht="19.899999999999999" customHeight="1">
      <c r="A60" s="37" t="str">
        <f ca="1">IF(B60="","",MAX($A$10:A59)+1)</f>
        <v/>
      </c>
      <c r="B60" s="718" t="str">
        <f t="shared" ca="1" si="51"/>
        <v/>
      </c>
      <c r="C60" s="1166">
        <f t="shared" ca="1" si="13"/>
        <v>0</v>
      </c>
      <c r="D60" s="643" t="str">
        <f t="shared" ca="1" si="14"/>
        <v/>
      </c>
      <c r="E60" s="203"/>
      <c r="F60" s="38">
        <f t="shared" ca="1" si="15"/>
        <v>0</v>
      </c>
      <c r="G60" s="38">
        <f t="shared" ca="1" si="16"/>
        <v>0</v>
      </c>
      <c r="H60" s="1136">
        <f t="shared" ca="1" si="17"/>
        <v>0</v>
      </c>
      <c r="I60" s="38">
        <f t="shared" ca="1" si="18"/>
        <v>0</v>
      </c>
      <c r="J60" s="39">
        <f t="shared" si="19"/>
        <v>0</v>
      </c>
      <c r="K60" s="1137">
        <f t="shared" ca="1" si="20"/>
        <v>0</v>
      </c>
      <c r="L60" s="40">
        <f t="shared" ca="1" si="21"/>
        <v>0</v>
      </c>
      <c r="M60" s="40">
        <f t="shared" ca="1" si="52"/>
        <v>0</v>
      </c>
      <c r="N60" s="41">
        <f t="shared" ca="1" si="23"/>
        <v>0</v>
      </c>
      <c r="O60" s="762" t="str">
        <f t="shared" ca="1" si="58"/>
        <v/>
      </c>
      <c r="P60" s="756">
        <f t="shared" ca="1" si="53"/>
        <v>0</v>
      </c>
      <c r="Q60" s="757">
        <f t="shared" ca="1" si="25"/>
        <v>0</v>
      </c>
      <c r="R60" s="905">
        <f ca="1">IF($B60="",0,IFERROR(IFERROR(INDEX(DanhMuc!$J$180:$J$189,MATCH(MID(IFERROR(INDIRECT("'" &amp; $B60 &amp; "'!" &amp; $R$82),0),2,1)&amp;MID(IFERROR(INDIRECT("'" &amp; $B60 &amp; "'!" &amp; $R$82),0),7,2),DanhMuc!$I$180:$I$189,0)),INDEX(DanhMuc!$J$180:$J$189,MATCH(MID(IFERROR(INDIRECT("'" &amp; $B60 &amp; "'!" &amp; $R$82),0),2,1),DanhMuc!$I$180:$I$189,0))),0))</f>
        <v>0</v>
      </c>
      <c r="S60" s="757">
        <f t="shared" ca="1" si="26"/>
        <v>0</v>
      </c>
      <c r="T60" s="757">
        <f t="shared" ca="1" si="43"/>
        <v>0</v>
      </c>
      <c r="U60" s="757">
        <f t="shared" ca="1" si="27"/>
        <v>0</v>
      </c>
      <c r="V60" s="757">
        <f t="shared" ca="1" si="60"/>
        <v>0</v>
      </c>
      <c r="W60" s="757">
        <f t="shared" ca="1" si="60"/>
        <v>0</v>
      </c>
      <c r="X60" s="757">
        <f t="shared" ca="1" si="61"/>
        <v>0</v>
      </c>
      <c r="Y60" s="757">
        <f t="shared" ca="1" si="61"/>
        <v>0</v>
      </c>
      <c r="Z60" s="757">
        <f t="shared" ca="1" si="62"/>
        <v>0</v>
      </c>
      <c r="AA60" s="757">
        <f t="shared" ca="1" si="62"/>
        <v>0</v>
      </c>
      <c r="AB60" s="757">
        <f t="shared" ca="1" si="62"/>
        <v>0</v>
      </c>
      <c r="AC60" s="757">
        <f t="shared" ca="1" si="62"/>
        <v>0</v>
      </c>
      <c r="AD60" s="757">
        <f t="shared" ca="1" si="62"/>
        <v>0</v>
      </c>
      <c r="AE60" s="757">
        <f t="shared" ca="1" si="28"/>
        <v>0</v>
      </c>
      <c r="AF60" s="758">
        <f t="shared" ca="1" si="29"/>
        <v>0</v>
      </c>
      <c r="AG60" s="757">
        <f t="shared" ca="1" si="63"/>
        <v>0</v>
      </c>
      <c r="AH60" s="757">
        <f t="shared" ca="1" si="63"/>
        <v>0</v>
      </c>
      <c r="AI60" s="757">
        <f t="shared" ca="1" si="30"/>
        <v>0</v>
      </c>
      <c r="AJ60" s="758">
        <f t="shared" ca="1" si="31"/>
        <v>0</v>
      </c>
      <c r="AK60" s="759">
        <f t="shared" ca="1" si="32"/>
        <v>0</v>
      </c>
      <c r="AL60" s="757">
        <f t="shared" ca="1" si="64"/>
        <v>0</v>
      </c>
      <c r="AM60" s="757">
        <f t="shared" ca="1" si="64"/>
        <v>0</v>
      </c>
      <c r="AN60" s="757">
        <f t="shared" ca="1" si="64"/>
        <v>0</v>
      </c>
      <c r="AO60" s="757">
        <f t="shared" ca="1" si="64"/>
        <v>0</v>
      </c>
      <c r="AP60" s="757">
        <f t="shared" ca="1" si="64"/>
        <v>0</v>
      </c>
      <c r="AQ60" s="757">
        <f t="shared" ca="1" si="64"/>
        <v>0</v>
      </c>
      <c r="AR60" s="757">
        <f t="shared" ca="1" si="64"/>
        <v>0</v>
      </c>
      <c r="AS60" s="757">
        <f t="shared" ca="1" si="64"/>
        <v>0</v>
      </c>
      <c r="AT60" s="757">
        <f t="shared" ca="1" si="64"/>
        <v>0</v>
      </c>
      <c r="AU60" s="757">
        <f t="shared" ca="1" si="64"/>
        <v>0</v>
      </c>
      <c r="AV60" s="757">
        <f t="shared" ca="1" si="64"/>
        <v>0</v>
      </c>
      <c r="AW60" s="757">
        <f t="shared" ca="1" si="64"/>
        <v>0</v>
      </c>
      <c r="AX60" s="757">
        <f t="shared" ca="1" si="64"/>
        <v>0</v>
      </c>
      <c r="AY60" s="758">
        <f t="shared" ca="1" si="33"/>
        <v>0</v>
      </c>
      <c r="AZ60" s="757">
        <f t="shared" ca="1" si="65"/>
        <v>0</v>
      </c>
      <c r="BA60" s="757">
        <f t="shared" ca="1" si="65"/>
        <v>0</v>
      </c>
      <c r="BB60" s="757"/>
      <c r="BC60" s="758">
        <f t="shared" ca="1" si="34"/>
        <v>0</v>
      </c>
      <c r="BD60" s="759">
        <f t="shared" ca="1" si="35"/>
        <v>0</v>
      </c>
      <c r="BE60" s="197"/>
      <c r="BF60" s="708"/>
      <c r="BG60" s="703" t="str">
        <f>IF($BF60="","","ĐNSX"&amp; IF(LEN($BF60)=1,"0" &amp; $BF60,$BF60) &amp; "/" &amp; ThongTinChung!$C$5)</f>
        <v/>
      </c>
      <c r="BH60" s="100" t="str">
        <f t="shared" ca="1" si="59"/>
        <v/>
      </c>
      <c r="BI60" s="194" t="str">
        <f ca="1">IF($B60="","","C" &amp; ROW(MauKoXoa!$C$108) &amp; ":C" &amp;ROW(MauKoXoa!$C$174))</f>
        <v/>
      </c>
      <c r="BJ60" s="198" t="str">
        <f t="shared" ca="1" si="36"/>
        <v/>
      </c>
      <c r="BK60" s="198" t="str">
        <f t="shared" ca="1" si="37"/>
        <v/>
      </c>
      <c r="BL60" s="650" t="str">
        <f ca="1">IF(COUNTIF($BL$10:$BL59,IFERROR(INDEX(DanhMuc!$J$154:$J$165,MATCH($BJ60,DanhMuc!$B$154:$B$165,0)),""))&lt;1,IFERROR(INDEX(DanhMuc!$J$154:$J$165,MATCH($BJ60,DanhMuc!$B$154:$B$165,0)),""),"")</f>
        <v/>
      </c>
      <c r="BM60" s="650" t="str">
        <f ca="1">IF(COUNTIF($BM$10:$BM59,IFERROR(INDEX(DanhMuc!$D$168:$D$177,MATCH($BK60,DanhMuc!$C$168:$C$177,0)),""))&lt;1,IFERROR(INDEX(DanhMuc!$D$168:$D$177,MATCH($BK60,DanhMuc!$C$168:$C$177,0)),""),"")</f>
        <v/>
      </c>
      <c r="BN60" s="650" t="str">
        <f ca="1">IFERROR(INDEX(DanhMuc!$K$154:$K$165,MATCH($BJ60,DanhMuc!$B$154:$B$165,0)),"")</f>
        <v/>
      </c>
      <c r="BO60" s="653" t="str">
        <f t="shared" ca="1" si="38"/>
        <v/>
      </c>
      <c r="BP60" s="653" t="str">
        <f t="shared" ca="1" si="54"/>
        <v/>
      </c>
      <c r="BQ60" s="757">
        <f t="shared" ca="1" si="66"/>
        <v>0</v>
      </c>
      <c r="BR60" s="757">
        <f t="shared" ca="1" si="66"/>
        <v>0</v>
      </c>
      <c r="BS60" s="757">
        <f t="shared" ca="1" si="66"/>
        <v>0</v>
      </c>
      <c r="BT60" s="757">
        <f t="shared" ca="1" si="66"/>
        <v>0</v>
      </c>
      <c r="BU60" s="757">
        <f t="shared" ca="1" si="66"/>
        <v>0</v>
      </c>
      <c r="BV60" s="757">
        <f t="shared" ca="1" si="66"/>
        <v>0</v>
      </c>
      <c r="BW60" s="198"/>
    </row>
    <row r="61" spans="1:75" s="42" customFormat="1" ht="19.899999999999999" customHeight="1">
      <c r="A61" s="37" t="str">
        <f ca="1">IF(B61="","",MAX($A$10:A60)+1)</f>
        <v/>
      </c>
      <c r="B61" s="718" t="str">
        <f t="shared" ca="1" si="51"/>
        <v/>
      </c>
      <c r="C61" s="1166">
        <f t="shared" ca="1" si="13"/>
        <v>0</v>
      </c>
      <c r="D61" s="643" t="str">
        <f t="shared" ca="1" si="14"/>
        <v/>
      </c>
      <c r="E61" s="203"/>
      <c r="F61" s="38">
        <f t="shared" ca="1" si="15"/>
        <v>0</v>
      </c>
      <c r="G61" s="38">
        <f t="shared" ca="1" si="16"/>
        <v>0</v>
      </c>
      <c r="H61" s="1136">
        <f t="shared" ca="1" si="17"/>
        <v>0</v>
      </c>
      <c r="I61" s="38">
        <f t="shared" ca="1" si="18"/>
        <v>0</v>
      </c>
      <c r="J61" s="39">
        <f t="shared" si="19"/>
        <v>0</v>
      </c>
      <c r="K61" s="1137">
        <f t="shared" ca="1" si="20"/>
        <v>0</v>
      </c>
      <c r="L61" s="40">
        <f t="shared" ca="1" si="21"/>
        <v>0</v>
      </c>
      <c r="M61" s="40">
        <f t="shared" ca="1" si="52"/>
        <v>0</v>
      </c>
      <c r="N61" s="41">
        <f t="shared" ca="1" si="23"/>
        <v>0</v>
      </c>
      <c r="O61" s="762" t="str">
        <f t="shared" ca="1" si="58"/>
        <v/>
      </c>
      <c r="P61" s="756">
        <f t="shared" ca="1" si="53"/>
        <v>0</v>
      </c>
      <c r="Q61" s="757">
        <f t="shared" ca="1" si="25"/>
        <v>0</v>
      </c>
      <c r="R61" s="905">
        <f ca="1">IF($B61="",0,IFERROR(IFERROR(INDEX(DanhMuc!$J$180:$J$189,MATCH(MID(IFERROR(INDIRECT("'" &amp; $B61 &amp; "'!" &amp; $R$82),0),2,1)&amp;MID(IFERROR(INDIRECT("'" &amp; $B61 &amp; "'!" &amp; $R$82),0),7,2),DanhMuc!$I$180:$I$189,0)),INDEX(DanhMuc!$J$180:$J$189,MATCH(MID(IFERROR(INDIRECT("'" &amp; $B61 &amp; "'!" &amp; $R$82),0),2,1),DanhMuc!$I$180:$I$189,0))),0))</f>
        <v>0</v>
      </c>
      <c r="S61" s="757">
        <f t="shared" ca="1" si="26"/>
        <v>0</v>
      </c>
      <c r="T61" s="757">
        <f t="shared" ca="1" si="43"/>
        <v>0</v>
      </c>
      <c r="U61" s="757">
        <f t="shared" ca="1" si="27"/>
        <v>0</v>
      </c>
      <c r="V61" s="757">
        <f t="shared" ca="1" si="60"/>
        <v>0</v>
      </c>
      <c r="W61" s="757">
        <f t="shared" ca="1" si="60"/>
        <v>0</v>
      </c>
      <c r="X61" s="757">
        <f t="shared" ca="1" si="61"/>
        <v>0</v>
      </c>
      <c r="Y61" s="757">
        <f t="shared" ca="1" si="61"/>
        <v>0</v>
      </c>
      <c r="Z61" s="757">
        <f t="shared" ref="Z61:AD70" ca="1" si="67">IFERROR(INDIRECT("'" &amp; $B61 &amp; "'!" &amp; Z$82)/IF($E61="md",$J61,IF($E61="m2",$K61,$I61)) * (1+Z$10 ),0)</f>
        <v>0</v>
      </c>
      <c r="AA61" s="757">
        <f t="shared" ca="1" si="67"/>
        <v>0</v>
      </c>
      <c r="AB61" s="757">
        <f t="shared" ca="1" si="67"/>
        <v>0</v>
      </c>
      <c r="AC61" s="757">
        <f t="shared" ca="1" si="67"/>
        <v>0</v>
      </c>
      <c r="AD61" s="757">
        <f t="shared" ca="1" si="67"/>
        <v>0</v>
      </c>
      <c r="AE61" s="757">
        <f t="shared" ca="1" si="28"/>
        <v>0</v>
      </c>
      <c r="AF61" s="758">
        <f t="shared" ca="1" si="29"/>
        <v>0</v>
      </c>
      <c r="AG61" s="757">
        <f t="shared" ca="1" si="63"/>
        <v>0</v>
      </c>
      <c r="AH61" s="757">
        <f t="shared" ca="1" si="63"/>
        <v>0</v>
      </c>
      <c r="AI61" s="757">
        <f t="shared" ca="1" si="30"/>
        <v>0</v>
      </c>
      <c r="AJ61" s="758">
        <f t="shared" ca="1" si="31"/>
        <v>0</v>
      </c>
      <c r="AK61" s="759">
        <f t="shared" ca="1" si="32"/>
        <v>0</v>
      </c>
      <c r="AL61" s="757">
        <f t="shared" ref="AL61:AX70" ca="1" si="68">IFERROR(INDIRECT("'" &amp; $B61 &amp; "'!" &amp; AL$82)/IF($E61="md",$J61,IF($E61="m2",$K61,$I61)),0)</f>
        <v>0</v>
      </c>
      <c r="AM61" s="757">
        <f t="shared" ca="1" si="68"/>
        <v>0</v>
      </c>
      <c r="AN61" s="757">
        <f t="shared" ca="1" si="68"/>
        <v>0</v>
      </c>
      <c r="AO61" s="757">
        <f t="shared" ca="1" si="68"/>
        <v>0</v>
      </c>
      <c r="AP61" s="757">
        <f t="shared" ca="1" si="68"/>
        <v>0</v>
      </c>
      <c r="AQ61" s="757">
        <f t="shared" ca="1" si="68"/>
        <v>0</v>
      </c>
      <c r="AR61" s="757">
        <f t="shared" ca="1" si="68"/>
        <v>0</v>
      </c>
      <c r="AS61" s="757">
        <f t="shared" ca="1" si="68"/>
        <v>0</v>
      </c>
      <c r="AT61" s="757">
        <f t="shared" ca="1" si="68"/>
        <v>0</v>
      </c>
      <c r="AU61" s="757">
        <f t="shared" ca="1" si="68"/>
        <v>0</v>
      </c>
      <c r="AV61" s="757">
        <f t="shared" ca="1" si="68"/>
        <v>0</v>
      </c>
      <c r="AW61" s="757">
        <f t="shared" ca="1" si="68"/>
        <v>0</v>
      </c>
      <c r="AX61" s="757">
        <f t="shared" ca="1" si="68"/>
        <v>0</v>
      </c>
      <c r="AY61" s="758">
        <f t="shared" ca="1" si="33"/>
        <v>0</v>
      </c>
      <c r="AZ61" s="757">
        <f t="shared" ca="1" si="65"/>
        <v>0</v>
      </c>
      <c r="BA61" s="757">
        <f t="shared" ca="1" si="65"/>
        <v>0</v>
      </c>
      <c r="BB61" s="757"/>
      <c r="BC61" s="758">
        <f t="shared" ca="1" si="34"/>
        <v>0</v>
      </c>
      <c r="BD61" s="759">
        <f t="shared" ca="1" si="35"/>
        <v>0</v>
      </c>
      <c r="BE61" s="197"/>
      <c r="BF61" s="708"/>
      <c r="BG61" s="703" t="str">
        <f>IF($BF61="","","ĐNSX"&amp; IF(LEN($BF61)=1,"0" &amp; $BF61,$BF61) &amp; "/" &amp; ThongTinChung!$C$5)</f>
        <v/>
      </c>
      <c r="BH61" s="100" t="str">
        <f t="shared" ca="1" si="59"/>
        <v/>
      </c>
      <c r="BI61" s="194" t="str">
        <f ca="1">IF($B61="","","C" &amp; ROW(MauKoXoa!$C$108) &amp; ":C" &amp;ROW(MauKoXoa!$C$174))</f>
        <v/>
      </c>
      <c r="BJ61" s="198" t="str">
        <f t="shared" ca="1" si="36"/>
        <v/>
      </c>
      <c r="BK61" s="198" t="str">
        <f t="shared" ca="1" si="37"/>
        <v/>
      </c>
      <c r="BL61" s="650" t="str">
        <f ca="1">IF(COUNTIF($BL$10:$BL60,IFERROR(INDEX(DanhMuc!$J$154:$J$165,MATCH($BJ61,DanhMuc!$B$154:$B$165,0)),""))&lt;1,IFERROR(INDEX(DanhMuc!$J$154:$J$165,MATCH($BJ61,DanhMuc!$B$154:$B$165,0)),""),"")</f>
        <v/>
      </c>
      <c r="BM61" s="650" t="str">
        <f ca="1">IF(COUNTIF($BM$10:$BM60,IFERROR(INDEX(DanhMuc!$D$168:$D$177,MATCH($BK61,DanhMuc!$C$168:$C$177,0)),""))&lt;1,IFERROR(INDEX(DanhMuc!$D$168:$D$177,MATCH($BK61,DanhMuc!$C$168:$C$177,0)),""),"")</f>
        <v/>
      </c>
      <c r="BN61" s="650" t="str">
        <f ca="1">IFERROR(INDEX(DanhMuc!$K$154:$K$165,MATCH($BJ61,DanhMuc!$B$154:$B$165,0)),"")</f>
        <v/>
      </c>
      <c r="BO61" s="653" t="str">
        <f t="shared" ca="1" si="38"/>
        <v/>
      </c>
      <c r="BP61" s="653" t="str">
        <f t="shared" ca="1" si="54"/>
        <v/>
      </c>
      <c r="BQ61" s="757">
        <f t="shared" ref="BQ61:BV70" ca="1" si="69">IFERROR(INDIRECT("'" &amp; $B61 &amp; "'!" &amp; BQ$82),0)</f>
        <v>0</v>
      </c>
      <c r="BR61" s="757">
        <f t="shared" ca="1" si="69"/>
        <v>0</v>
      </c>
      <c r="BS61" s="757">
        <f t="shared" ca="1" si="69"/>
        <v>0</v>
      </c>
      <c r="BT61" s="757">
        <f t="shared" ca="1" si="69"/>
        <v>0</v>
      </c>
      <c r="BU61" s="757">
        <f t="shared" ca="1" si="69"/>
        <v>0</v>
      </c>
      <c r="BV61" s="757">
        <f t="shared" ca="1" si="69"/>
        <v>0</v>
      </c>
      <c r="BW61" s="198"/>
    </row>
    <row r="62" spans="1:75" s="42" customFormat="1" ht="19.899999999999999" customHeight="1">
      <c r="A62" s="37" t="str">
        <f ca="1">IF(B62="","",MAX($A$10:A61)+1)</f>
        <v/>
      </c>
      <c r="B62" s="718" t="str">
        <f t="shared" ca="1" si="51"/>
        <v/>
      </c>
      <c r="C62" s="1166">
        <f t="shared" ca="1" si="13"/>
        <v>0</v>
      </c>
      <c r="D62" s="643" t="str">
        <f t="shared" ca="1" si="14"/>
        <v/>
      </c>
      <c r="E62" s="203"/>
      <c r="F62" s="38">
        <f t="shared" ca="1" si="15"/>
        <v>0</v>
      </c>
      <c r="G62" s="38">
        <f t="shared" ca="1" si="16"/>
        <v>0</v>
      </c>
      <c r="H62" s="1136">
        <f t="shared" ca="1" si="17"/>
        <v>0</v>
      </c>
      <c r="I62" s="38">
        <f t="shared" ca="1" si="18"/>
        <v>0</v>
      </c>
      <c r="J62" s="39">
        <f t="shared" si="19"/>
        <v>0</v>
      </c>
      <c r="K62" s="1137">
        <f t="shared" ca="1" si="20"/>
        <v>0</v>
      </c>
      <c r="L62" s="40">
        <f t="shared" ca="1" si="21"/>
        <v>0</v>
      </c>
      <c r="M62" s="40">
        <f t="shared" ca="1" si="52"/>
        <v>0</v>
      </c>
      <c r="N62" s="41">
        <f t="shared" ca="1" si="23"/>
        <v>0</v>
      </c>
      <c r="O62" s="762" t="str">
        <f t="shared" ca="1" si="58"/>
        <v/>
      </c>
      <c r="P62" s="756">
        <f t="shared" ca="1" si="53"/>
        <v>0</v>
      </c>
      <c r="Q62" s="757">
        <f t="shared" ca="1" si="25"/>
        <v>0</v>
      </c>
      <c r="R62" s="905">
        <f ca="1">IF($B62="",0,IFERROR(IFERROR(INDEX(DanhMuc!$J$180:$J$189,MATCH(MID(IFERROR(INDIRECT("'" &amp; $B62 &amp; "'!" &amp; $R$82),0),2,1)&amp;MID(IFERROR(INDIRECT("'" &amp; $B62 &amp; "'!" &amp; $R$82),0),7,2),DanhMuc!$I$180:$I$189,0)),INDEX(DanhMuc!$J$180:$J$189,MATCH(MID(IFERROR(INDIRECT("'" &amp; $B62 &amp; "'!" &amp; $R$82),0),2,1),DanhMuc!$I$180:$I$189,0))),0))</f>
        <v>0</v>
      </c>
      <c r="S62" s="757">
        <f t="shared" ca="1" si="26"/>
        <v>0</v>
      </c>
      <c r="T62" s="757">
        <f t="shared" ca="1" si="43"/>
        <v>0</v>
      </c>
      <c r="U62" s="757">
        <f t="shared" ca="1" si="27"/>
        <v>0</v>
      </c>
      <c r="V62" s="757">
        <f t="shared" ca="1" si="60"/>
        <v>0</v>
      </c>
      <c r="W62" s="757">
        <f t="shared" ca="1" si="60"/>
        <v>0</v>
      </c>
      <c r="X62" s="757">
        <f t="shared" ca="1" si="61"/>
        <v>0</v>
      </c>
      <c r="Y62" s="757">
        <f t="shared" ca="1" si="61"/>
        <v>0</v>
      </c>
      <c r="Z62" s="757">
        <f t="shared" ca="1" si="67"/>
        <v>0</v>
      </c>
      <c r="AA62" s="757">
        <f t="shared" ca="1" si="67"/>
        <v>0</v>
      </c>
      <c r="AB62" s="757">
        <f t="shared" ca="1" si="67"/>
        <v>0</v>
      </c>
      <c r="AC62" s="757">
        <f t="shared" ca="1" si="67"/>
        <v>0</v>
      </c>
      <c r="AD62" s="757">
        <f t="shared" ca="1" si="67"/>
        <v>0</v>
      </c>
      <c r="AE62" s="757">
        <f t="shared" ca="1" si="28"/>
        <v>0</v>
      </c>
      <c r="AF62" s="758">
        <f t="shared" ca="1" si="29"/>
        <v>0</v>
      </c>
      <c r="AG62" s="757">
        <f t="shared" ca="1" si="63"/>
        <v>0</v>
      </c>
      <c r="AH62" s="757">
        <f t="shared" ca="1" si="63"/>
        <v>0</v>
      </c>
      <c r="AI62" s="757">
        <f t="shared" ca="1" si="30"/>
        <v>0</v>
      </c>
      <c r="AJ62" s="758">
        <f t="shared" ca="1" si="31"/>
        <v>0</v>
      </c>
      <c r="AK62" s="759">
        <f t="shared" ca="1" si="32"/>
        <v>0</v>
      </c>
      <c r="AL62" s="757">
        <f t="shared" ca="1" si="68"/>
        <v>0</v>
      </c>
      <c r="AM62" s="757">
        <f t="shared" ca="1" si="68"/>
        <v>0</v>
      </c>
      <c r="AN62" s="757">
        <f t="shared" ca="1" si="68"/>
        <v>0</v>
      </c>
      <c r="AO62" s="757">
        <f t="shared" ca="1" si="68"/>
        <v>0</v>
      </c>
      <c r="AP62" s="757">
        <f t="shared" ca="1" si="68"/>
        <v>0</v>
      </c>
      <c r="AQ62" s="757">
        <f t="shared" ca="1" si="68"/>
        <v>0</v>
      </c>
      <c r="AR62" s="757">
        <f t="shared" ca="1" si="68"/>
        <v>0</v>
      </c>
      <c r="AS62" s="757">
        <f t="shared" ca="1" si="68"/>
        <v>0</v>
      </c>
      <c r="AT62" s="757">
        <f t="shared" ca="1" si="68"/>
        <v>0</v>
      </c>
      <c r="AU62" s="757">
        <f t="shared" ca="1" si="68"/>
        <v>0</v>
      </c>
      <c r="AV62" s="757">
        <f t="shared" ca="1" si="68"/>
        <v>0</v>
      </c>
      <c r="AW62" s="757">
        <f t="shared" ca="1" si="68"/>
        <v>0</v>
      </c>
      <c r="AX62" s="757">
        <f t="shared" ca="1" si="68"/>
        <v>0</v>
      </c>
      <c r="AY62" s="758">
        <f t="shared" ca="1" si="33"/>
        <v>0</v>
      </c>
      <c r="AZ62" s="757">
        <f t="shared" ca="1" si="65"/>
        <v>0</v>
      </c>
      <c r="BA62" s="757">
        <f t="shared" ca="1" si="65"/>
        <v>0</v>
      </c>
      <c r="BB62" s="757"/>
      <c r="BC62" s="758">
        <f t="shared" ca="1" si="34"/>
        <v>0</v>
      </c>
      <c r="BD62" s="759">
        <f t="shared" ca="1" si="35"/>
        <v>0</v>
      </c>
      <c r="BE62" s="197"/>
      <c r="BF62" s="708"/>
      <c r="BG62" s="703" t="str">
        <f>IF($BF62="","","ĐNSX"&amp; IF(LEN($BF62)=1,"0" &amp; $BF62,$BF62) &amp; "/" &amp; ThongTinChung!$C$5)</f>
        <v/>
      </c>
      <c r="BH62" s="100" t="str">
        <f t="shared" ca="1" si="59"/>
        <v/>
      </c>
      <c r="BI62" s="194" t="str">
        <f ca="1">IF($B62="","","C" &amp; ROW(MauKoXoa!$C$108) &amp; ":C" &amp;ROW(MauKoXoa!$C$174))</f>
        <v/>
      </c>
      <c r="BJ62" s="198" t="str">
        <f t="shared" ca="1" si="36"/>
        <v/>
      </c>
      <c r="BK62" s="198" t="str">
        <f t="shared" ca="1" si="37"/>
        <v/>
      </c>
      <c r="BL62" s="650" t="str">
        <f ca="1">IF(COUNTIF($BL$10:$BL61,IFERROR(INDEX(DanhMuc!$J$154:$J$165,MATCH($BJ62,DanhMuc!$B$154:$B$165,0)),""))&lt;1,IFERROR(INDEX(DanhMuc!$J$154:$J$165,MATCH($BJ62,DanhMuc!$B$154:$B$165,0)),""),"")</f>
        <v/>
      </c>
      <c r="BM62" s="650" t="str">
        <f ca="1">IF(COUNTIF($BM$10:$BM61,IFERROR(INDEX(DanhMuc!$D$168:$D$177,MATCH($BK62,DanhMuc!$C$168:$C$177,0)),""))&lt;1,IFERROR(INDEX(DanhMuc!$D$168:$D$177,MATCH($BK62,DanhMuc!$C$168:$C$177,0)),""),"")</f>
        <v/>
      </c>
      <c r="BN62" s="650" t="str">
        <f ca="1">IFERROR(INDEX(DanhMuc!$K$154:$K$165,MATCH($BJ62,DanhMuc!$B$154:$B$165,0)),"")</f>
        <v/>
      </c>
      <c r="BO62" s="653" t="str">
        <f t="shared" ca="1" si="38"/>
        <v/>
      </c>
      <c r="BP62" s="653" t="str">
        <f t="shared" ca="1" si="54"/>
        <v/>
      </c>
      <c r="BQ62" s="757">
        <f t="shared" ca="1" si="69"/>
        <v>0</v>
      </c>
      <c r="BR62" s="757">
        <f t="shared" ca="1" si="69"/>
        <v>0</v>
      </c>
      <c r="BS62" s="757">
        <f t="shared" ca="1" si="69"/>
        <v>0</v>
      </c>
      <c r="BT62" s="757">
        <f t="shared" ca="1" si="69"/>
        <v>0</v>
      </c>
      <c r="BU62" s="757">
        <f t="shared" ca="1" si="69"/>
        <v>0</v>
      </c>
      <c r="BV62" s="757">
        <f t="shared" ca="1" si="69"/>
        <v>0</v>
      </c>
      <c r="BW62" s="198"/>
    </row>
    <row r="63" spans="1:75" s="42" customFormat="1" ht="19.899999999999999" customHeight="1">
      <c r="A63" s="37" t="str">
        <f ca="1">IF(B63="","",MAX($A$10:A62)+1)</f>
        <v/>
      </c>
      <c r="B63" s="718" t="str">
        <f t="shared" ca="1" si="51"/>
        <v/>
      </c>
      <c r="C63" s="1166">
        <f t="shared" ca="1" si="13"/>
        <v>0</v>
      </c>
      <c r="D63" s="643" t="str">
        <f t="shared" ca="1" si="14"/>
        <v/>
      </c>
      <c r="E63" s="203"/>
      <c r="F63" s="38">
        <f t="shared" ca="1" si="15"/>
        <v>0</v>
      </c>
      <c r="G63" s="38">
        <f t="shared" ca="1" si="16"/>
        <v>0</v>
      </c>
      <c r="H63" s="1136">
        <f t="shared" ca="1" si="17"/>
        <v>0</v>
      </c>
      <c r="I63" s="38">
        <f t="shared" ca="1" si="18"/>
        <v>0</v>
      </c>
      <c r="J63" s="39">
        <f t="shared" si="19"/>
        <v>0</v>
      </c>
      <c r="K63" s="1137">
        <f t="shared" ca="1" si="20"/>
        <v>0</v>
      </c>
      <c r="L63" s="40">
        <f t="shared" ca="1" si="21"/>
        <v>0</v>
      </c>
      <c r="M63" s="40">
        <f t="shared" ca="1" si="52"/>
        <v>0</v>
      </c>
      <c r="N63" s="41">
        <f t="shared" ca="1" si="23"/>
        <v>0</v>
      </c>
      <c r="O63" s="762" t="str">
        <f t="shared" ca="1" si="58"/>
        <v/>
      </c>
      <c r="P63" s="756">
        <f t="shared" ca="1" si="53"/>
        <v>0</v>
      </c>
      <c r="Q63" s="757">
        <f t="shared" ca="1" si="25"/>
        <v>0</v>
      </c>
      <c r="R63" s="905">
        <f ca="1">IF($B63="",0,IFERROR(IFERROR(INDEX(DanhMuc!$J$180:$J$189,MATCH(MID(IFERROR(INDIRECT("'" &amp; $B63 &amp; "'!" &amp; $R$82),0),2,1)&amp;MID(IFERROR(INDIRECT("'" &amp; $B63 &amp; "'!" &amp; $R$82),0),7,2),DanhMuc!$I$180:$I$189,0)),INDEX(DanhMuc!$J$180:$J$189,MATCH(MID(IFERROR(INDIRECT("'" &amp; $B63 &amp; "'!" &amp; $R$82),0),2,1),DanhMuc!$I$180:$I$189,0))),0))</f>
        <v>0</v>
      </c>
      <c r="S63" s="757">
        <f t="shared" ca="1" si="26"/>
        <v>0</v>
      </c>
      <c r="T63" s="757">
        <f t="shared" ca="1" si="43"/>
        <v>0</v>
      </c>
      <c r="U63" s="757">
        <f t="shared" ca="1" si="27"/>
        <v>0</v>
      </c>
      <c r="V63" s="757">
        <f t="shared" ca="1" si="60"/>
        <v>0</v>
      </c>
      <c r="W63" s="757">
        <f t="shared" ca="1" si="60"/>
        <v>0</v>
      </c>
      <c r="X63" s="757">
        <f t="shared" ca="1" si="61"/>
        <v>0</v>
      </c>
      <c r="Y63" s="757">
        <f t="shared" ca="1" si="61"/>
        <v>0</v>
      </c>
      <c r="Z63" s="757">
        <f t="shared" ca="1" si="67"/>
        <v>0</v>
      </c>
      <c r="AA63" s="757">
        <f t="shared" ca="1" si="67"/>
        <v>0</v>
      </c>
      <c r="AB63" s="757">
        <f t="shared" ca="1" si="67"/>
        <v>0</v>
      </c>
      <c r="AC63" s="757">
        <f t="shared" ca="1" si="67"/>
        <v>0</v>
      </c>
      <c r="AD63" s="757">
        <f t="shared" ca="1" si="67"/>
        <v>0</v>
      </c>
      <c r="AE63" s="757">
        <f t="shared" ca="1" si="28"/>
        <v>0</v>
      </c>
      <c r="AF63" s="758">
        <f t="shared" ca="1" si="29"/>
        <v>0</v>
      </c>
      <c r="AG63" s="757">
        <f t="shared" ca="1" si="63"/>
        <v>0</v>
      </c>
      <c r="AH63" s="757">
        <f t="shared" ca="1" si="63"/>
        <v>0</v>
      </c>
      <c r="AI63" s="757">
        <f t="shared" ca="1" si="30"/>
        <v>0</v>
      </c>
      <c r="AJ63" s="758">
        <f t="shared" ca="1" si="31"/>
        <v>0</v>
      </c>
      <c r="AK63" s="759">
        <f t="shared" ca="1" si="32"/>
        <v>0</v>
      </c>
      <c r="AL63" s="757">
        <f t="shared" ca="1" si="68"/>
        <v>0</v>
      </c>
      <c r="AM63" s="757">
        <f t="shared" ca="1" si="68"/>
        <v>0</v>
      </c>
      <c r="AN63" s="757">
        <f t="shared" ca="1" si="68"/>
        <v>0</v>
      </c>
      <c r="AO63" s="757">
        <f t="shared" ca="1" si="68"/>
        <v>0</v>
      </c>
      <c r="AP63" s="757">
        <f t="shared" ca="1" si="68"/>
        <v>0</v>
      </c>
      <c r="AQ63" s="757">
        <f t="shared" ca="1" si="68"/>
        <v>0</v>
      </c>
      <c r="AR63" s="757">
        <f t="shared" ca="1" si="68"/>
        <v>0</v>
      </c>
      <c r="AS63" s="757">
        <f t="shared" ca="1" si="68"/>
        <v>0</v>
      </c>
      <c r="AT63" s="757">
        <f t="shared" ca="1" si="68"/>
        <v>0</v>
      </c>
      <c r="AU63" s="757">
        <f t="shared" ca="1" si="68"/>
        <v>0</v>
      </c>
      <c r="AV63" s="757">
        <f t="shared" ca="1" si="68"/>
        <v>0</v>
      </c>
      <c r="AW63" s="757">
        <f t="shared" ca="1" si="68"/>
        <v>0</v>
      </c>
      <c r="AX63" s="757">
        <f t="shared" ca="1" si="68"/>
        <v>0</v>
      </c>
      <c r="AY63" s="758">
        <f t="shared" ca="1" si="33"/>
        <v>0</v>
      </c>
      <c r="AZ63" s="757">
        <f t="shared" ca="1" si="65"/>
        <v>0</v>
      </c>
      <c r="BA63" s="757">
        <f t="shared" ca="1" si="65"/>
        <v>0</v>
      </c>
      <c r="BB63" s="757"/>
      <c r="BC63" s="758">
        <f t="shared" ca="1" si="34"/>
        <v>0</v>
      </c>
      <c r="BD63" s="759">
        <f t="shared" ca="1" si="35"/>
        <v>0</v>
      </c>
      <c r="BE63" s="197"/>
      <c r="BF63" s="708"/>
      <c r="BG63" s="703" t="str">
        <f>IF($BF63="","","ĐNSX"&amp; IF(LEN($BF63)=1,"0" &amp; $BF63,$BF63) &amp; "/" &amp; ThongTinChung!$C$5)</f>
        <v/>
      </c>
      <c r="BH63" s="100" t="str">
        <f t="shared" ca="1" si="59"/>
        <v/>
      </c>
      <c r="BI63" s="194" t="str">
        <f ca="1">IF($B63="","","C" &amp; ROW(MauKoXoa!$C$108) &amp; ":C" &amp;ROW(MauKoXoa!$C$174))</f>
        <v/>
      </c>
      <c r="BJ63" s="198" t="str">
        <f t="shared" ca="1" si="36"/>
        <v/>
      </c>
      <c r="BK63" s="198" t="str">
        <f t="shared" ca="1" si="37"/>
        <v/>
      </c>
      <c r="BL63" s="650" t="str">
        <f ca="1">IF(COUNTIF($BL$10:$BL62,IFERROR(INDEX(DanhMuc!$J$154:$J$165,MATCH($BJ63,DanhMuc!$B$154:$B$165,0)),""))&lt;1,IFERROR(INDEX(DanhMuc!$J$154:$J$165,MATCH($BJ63,DanhMuc!$B$154:$B$165,0)),""),"")</f>
        <v/>
      </c>
      <c r="BM63" s="650" t="str">
        <f ca="1">IF(COUNTIF($BM$10:$BM62,IFERROR(INDEX(DanhMuc!$D$168:$D$177,MATCH($BK63,DanhMuc!$C$168:$C$177,0)),""))&lt;1,IFERROR(INDEX(DanhMuc!$D$168:$D$177,MATCH($BK63,DanhMuc!$C$168:$C$177,0)),""),"")</f>
        <v/>
      </c>
      <c r="BN63" s="650" t="str">
        <f ca="1">IFERROR(INDEX(DanhMuc!$K$154:$K$165,MATCH($BJ63,DanhMuc!$B$154:$B$165,0)),"")</f>
        <v/>
      </c>
      <c r="BO63" s="653" t="str">
        <f t="shared" ca="1" si="38"/>
        <v/>
      </c>
      <c r="BP63" s="653" t="str">
        <f t="shared" ca="1" si="54"/>
        <v/>
      </c>
      <c r="BQ63" s="757">
        <f t="shared" ca="1" si="69"/>
        <v>0</v>
      </c>
      <c r="BR63" s="757">
        <f t="shared" ca="1" si="69"/>
        <v>0</v>
      </c>
      <c r="BS63" s="757">
        <f t="shared" ca="1" si="69"/>
        <v>0</v>
      </c>
      <c r="BT63" s="757">
        <f t="shared" ca="1" si="69"/>
        <v>0</v>
      </c>
      <c r="BU63" s="757">
        <f t="shared" ca="1" si="69"/>
        <v>0</v>
      </c>
      <c r="BV63" s="757">
        <f t="shared" ca="1" si="69"/>
        <v>0</v>
      </c>
      <c r="BW63" s="198"/>
    </row>
    <row r="64" spans="1:75" s="42" customFormat="1" ht="19.899999999999999" customHeight="1">
      <c r="A64" s="37" t="str">
        <f ca="1">IF(B64="","",MAX($A$10:A63)+1)</f>
        <v/>
      </c>
      <c r="B64" s="718" t="str">
        <f t="shared" ca="1" si="51"/>
        <v/>
      </c>
      <c r="C64" s="1166">
        <f t="shared" ca="1" si="13"/>
        <v>0</v>
      </c>
      <c r="D64" s="643" t="str">
        <f t="shared" ca="1" si="14"/>
        <v/>
      </c>
      <c r="E64" s="203"/>
      <c r="F64" s="38">
        <f t="shared" ca="1" si="15"/>
        <v>0</v>
      </c>
      <c r="G64" s="38">
        <f t="shared" ca="1" si="16"/>
        <v>0</v>
      </c>
      <c r="H64" s="1136">
        <f t="shared" ca="1" si="17"/>
        <v>0</v>
      </c>
      <c r="I64" s="38">
        <f t="shared" ca="1" si="18"/>
        <v>0</v>
      </c>
      <c r="J64" s="39">
        <f t="shared" si="19"/>
        <v>0</v>
      </c>
      <c r="K64" s="1137">
        <f t="shared" ca="1" si="20"/>
        <v>0</v>
      </c>
      <c r="L64" s="40">
        <f t="shared" ca="1" si="21"/>
        <v>0</v>
      </c>
      <c r="M64" s="40">
        <f t="shared" ca="1" si="52"/>
        <v>0</v>
      </c>
      <c r="N64" s="41">
        <f t="shared" ca="1" si="23"/>
        <v>0</v>
      </c>
      <c r="O64" s="762" t="str">
        <f t="shared" ca="1" si="58"/>
        <v/>
      </c>
      <c r="P64" s="756">
        <f t="shared" ca="1" si="53"/>
        <v>0</v>
      </c>
      <c r="Q64" s="757">
        <f t="shared" ca="1" si="25"/>
        <v>0</v>
      </c>
      <c r="R64" s="905">
        <f ca="1">IF($B64="",0,IFERROR(IFERROR(INDEX(DanhMuc!$J$180:$J$189,MATCH(MID(IFERROR(INDIRECT("'" &amp; $B64 &amp; "'!" &amp; $R$82),0),2,1)&amp;MID(IFERROR(INDIRECT("'" &amp; $B64 &amp; "'!" &amp; $R$82),0),7,2),DanhMuc!$I$180:$I$189,0)),INDEX(DanhMuc!$J$180:$J$189,MATCH(MID(IFERROR(INDIRECT("'" &amp; $B64 &amp; "'!" &amp; $R$82),0),2,1),DanhMuc!$I$180:$I$189,0))),0))</f>
        <v>0</v>
      </c>
      <c r="S64" s="757">
        <f t="shared" ca="1" si="26"/>
        <v>0</v>
      </c>
      <c r="T64" s="757">
        <f t="shared" ca="1" si="43"/>
        <v>0</v>
      </c>
      <c r="U64" s="757">
        <f t="shared" ca="1" si="27"/>
        <v>0</v>
      </c>
      <c r="V64" s="757">
        <f t="shared" ca="1" si="60"/>
        <v>0</v>
      </c>
      <c r="W64" s="757">
        <f t="shared" ca="1" si="60"/>
        <v>0</v>
      </c>
      <c r="X64" s="757">
        <f t="shared" ca="1" si="61"/>
        <v>0</v>
      </c>
      <c r="Y64" s="757">
        <f t="shared" ca="1" si="61"/>
        <v>0</v>
      </c>
      <c r="Z64" s="757">
        <f t="shared" ca="1" si="67"/>
        <v>0</v>
      </c>
      <c r="AA64" s="757">
        <f t="shared" ca="1" si="67"/>
        <v>0</v>
      </c>
      <c r="AB64" s="757">
        <f t="shared" ca="1" si="67"/>
        <v>0</v>
      </c>
      <c r="AC64" s="757">
        <f t="shared" ca="1" si="67"/>
        <v>0</v>
      </c>
      <c r="AD64" s="757">
        <f t="shared" ca="1" si="67"/>
        <v>0</v>
      </c>
      <c r="AE64" s="757">
        <f t="shared" ca="1" si="28"/>
        <v>0</v>
      </c>
      <c r="AF64" s="758">
        <f t="shared" ca="1" si="29"/>
        <v>0</v>
      </c>
      <c r="AG64" s="757">
        <f t="shared" ca="1" si="63"/>
        <v>0</v>
      </c>
      <c r="AH64" s="757">
        <f t="shared" ca="1" si="63"/>
        <v>0</v>
      </c>
      <c r="AI64" s="757">
        <f t="shared" ca="1" si="30"/>
        <v>0</v>
      </c>
      <c r="AJ64" s="758">
        <f t="shared" ca="1" si="31"/>
        <v>0</v>
      </c>
      <c r="AK64" s="759">
        <f t="shared" ca="1" si="32"/>
        <v>0</v>
      </c>
      <c r="AL64" s="757">
        <f t="shared" ca="1" si="68"/>
        <v>0</v>
      </c>
      <c r="AM64" s="757">
        <f t="shared" ca="1" si="68"/>
        <v>0</v>
      </c>
      <c r="AN64" s="757">
        <f t="shared" ca="1" si="68"/>
        <v>0</v>
      </c>
      <c r="AO64" s="757">
        <f t="shared" ca="1" si="68"/>
        <v>0</v>
      </c>
      <c r="AP64" s="757">
        <f t="shared" ca="1" si="68"/>
        <v>0</v>
      </c>
      <c r="AQ64" s="757">
        <f t="shared" ca="1" si="68"/>
        <v>0</v>
      </c>
      <c r="AR64" s="757">
        <f t="shared" ca="1" si="68"/>
        <v>0</v>
      </c>
      <c r="AS64" s="757">
        <f t="shared" ca="1" si="68"/>
        <v>0</v>
      </c>
      <c r="AT64" s="757">
        <f t="shared" ca="1" si="68"/>
        <v>0</v>
      </c>
      <c r="AU64" s="757">
        <f t="shared" ca="1" si="68"/>
        <v>0</v>
      </c>
      <c r="AV64" s="757">
        <f t="shared" ca="1" si="68"/>
        <v>0</v>
      </c>
      <c r="AW64" s="757">
        <f t="shared" ca="1" si="68"/>
        <v>0</v>
      </c>
      <c r="AX64" s="757">
        <f t="shared" ca="1" si="68"/>
        <v>0</v>
      </c>
      <c r="AY64" s="758">
        <f t="shared" ca="1" si="33"/>
        <v>0</v>
      </c>
      <c r="AZ64" s="757">
        <f t="shared" ca="1" si="65"/>
        <v>0</v>
      </c>
      <c r="BA64" s="757">
        <f t="shared" ca="1" si="65"/>
        <v>0</v>
      </c>
      <c r="BB64" s="757"/>
      <c r="BC64" s="758">
        <f t="shared" ca="1" si="34"/>
        <v>0</v>
      </c>
      <c r="BD64" s="759">
        <f t="shared" ca="1" si="35"/>
        <v>0</v>
      </c>
      <c r="BE64" s="197"/>
      <c r="BF64" s="708"/>
      <c r="BG64" s="703" t="str">
        <f>IF($BF64="","","ĐNSX"&amp; IF(LEN($BF64)=1,"0" &amp; $BF64,$BF64) &amp; "/" &amp; ThongTinChung!$C$5)</f>
        <v/>
      </c>
      <c r="BH64" s="100" t="str">
        <f t="shared" ca="1" si="59"/>
        <v/>
      </c>
      <c r="BI64" s="194" t="str">
        <f ca="1">IF($B64="","","C" &amp; ROW(MauKoXoa!$C$108) &amp; ":C" &amp;ROW(MauKoXoa!$C$174))</f>
        <v/>
      </c>
      <c r="BJ64" s="198" t="str">
        <f t="shared" ca="1" si="36"/>
        <v/>
      </c>
      <c r="BK64" s="198" t="str">
        <f t="shared" ca="1" si="37"/>
        <v/>
      </c>
      <c r="BL64" s="650" t="str">
        <f ca="1">IF(COUNTIF($BL$10:$BL63,IFERROR(INDEX(DanhMuc!$J$154:$J$165,MATCH($BJ64,DanhMuc!$B$154:$B$165,0)),""))&lt;1,IFERROR(INDEX(DanhMuc!$J$154:$J$165,MATCH($BJ64,DanhMuc!$B$154:$B$165,0)),""),"")</f>
        <v/>
      </c>
      <c r="BM64" s="650" t="str">
        <f ca="1">IF(COUNTIF($BM$10:$BM63,IFERROR(INDEX(DanhMuc!$D$168:$D$177,MATCH($BK64,DanhMuc!$C$168:$C$177,0)),""))&lt;1,IFERROR(INDEX(DanhMuc!$D$168:$D$177,MATCH($BK64,DanhMuc!$C$168:$C$177,0)),""),"")</f>
        <v/>
      </c>
      <c r="BN64" s="650" t="str">
        <f ca="1">IFERROR(INDEX(DanhMuc!$K$154:$K$165,MATCH($BJ64,DanhMuc!$B$154:$B$165,0)),"")</f>
        <v/>
      </c>
      <c r="BO64" s="653" t="str">
        <f t="shared" ca="1" si="38"/>
        <v/>
      </c>
      <c r="BP64" s="653" t="str">
        <f t="shared" ca="1" si="54"/>
        <v/>
      </c>
      <c r="BQ64" s="757">
        <f t="shared" ca="1" si="69"/>
        <v>0</v>
      </c>
      <c r="BR64" s="757">
        <f t="shared" ca="1" si="69"/>
        <v>0</v>
      </c>
      <c r="BS64" s="757">
        <f t="shared" ca="1" si="69"/>
        <v>0</v>
      </c>
      <c r="BT64" s="757">
        <f t="shared" ca="1" si="69"/>
        <v>0</v>
      </c>
      <c r="BU64" s="757">
        <f t="shared" ca="1" si="69"/>
        <v>0</v>
      </c>
      <c r="BV64" s="757">
        <f t="shared" ca="1" si="69"/>
        <v>0</v>
      </c>
      <c r="BW64" s="198"/>
    </row>
    <row r="65" spans="1:75" s="42" customFormat="1" ht="19.899999999999999" customHeight="1">
      <c r="A65" s="37" t="str">
        <f ca="1">IF(B65="","",MAX($A$10:A64)+1)</f>
        <v/>
      </c>
      <c r="B65" s="718" t="str">
        <f t="shared" ca="1" si="51"/>
        <v/>
      </c>
      <c r="C65" s="1166">
        <f t="shared" ca="1" si="13"/>
        <v>0</v>
      </c>
      <c r="D65" s="643" t="str">
        <f t="shared" ca="1" si="14"/>
        <v/>
      </c>
      <c r="E65" s="203"/>
      <c r="F65" s="38">
        <f t="shared" ca="1" si="15"/>
        <v>0</v>
      </c>
      <c r="G65" s="38">
        <f t="shared" ca="1" si="16"/>
        <v>0</v>
      </c>
      <c r="H65" s="1136">
        <f t="shared" ca="1" si="17"/>
        <v>0</v>
      </c>
      <c r="I65" s="38">
        <f t="shared" ca="1" si="18"/>
        <v>0</v>
      </c>
      <c r="J65" s="39">
        <f t="shared" si="19"/>
        <v>0</v>
      </c>
      <c r="K65" s="1137">
        <f t="shared" ca="1" si="20"/>
        <v>0</v>
      </c>
      <c r="L65" s="40">
        <f t="shared" ca="1" si="21"/>
        <v>0</v>
      </c>
      <c r="M65" s="40">
        <f t="shared" ca="1" si="52"/>
        <v>0</v>
      </c>
      <c r="N65" s="41">
        <f t="shared" ca="1" si="23"/>
        <v>0</v>
      </c>
      <c r="O65" s="762" t="str">
        <f t="shared" ca="1" si="58"/>
        <v/>
      </c>
      <c r="P65" s="756">
        <f t="shared" ca="1" si="53"/>
        <v>0</v>
      </c>
      <c r="Q65" s="757">
        <f t="shared" ca="1" si="25"/>
        <v>0</v>
      </c>
      <c r="R65" s="905">
        <f ca="1">IF($B65="",0,IFERROR(IFERROR(INDEX(DanhMuc!$J$180:$J$189,MATCH(MID(IFERROR(INDIRECT("'" &amp; $B65 &amp; "'!" &amp; $R$82),0),2,1)&amp;MID(IFERROR(INDIRECT("'" &amp; $B65 &amp; "'!" &amp; $R$82),0),7,2),DanhMuc!$I$180:$I$189,0)),INDEX(DanhMuc!$J$180:$J$189,MATCH(MID(IFERROR(INDIRECT("'" &amp; $B65 &amp; "'!" &amp; $R$82),0),2,1),DanhMuc!$I$180:$I$189,0))),0))</f>
        <v>0</v>
      </c>
      <c r="S65" s="757">
        <f t="shared" ca="1" si="26"/>
        <v>0</v>
      </c>
      <c r="T65" s="757">
        <f t="shared" ca="1" si="43"/>
        <v>0</v>
      </c>
      <c r="U65" s="757">
        <f t="shared" ca="1" si="27"/>
        <v>0</v>
      </c>
      <c r="V65" s="757">
        <f t="shared" ca="1" si="60"/>
        <v>0</v>
      </c>
      <c r="W65" s="757">
        <f t="shared" ca="1" si="60"/>
        <v>0</v>
      </c>
      <c r="X65" s="757">
        <f t="shared" ca="1" si="61"/>
        <v>0</v>
      </c>
      <c r="Y65" s="757">
        <f t="shared" ca="1" si="61"/>
        <v>0</v>
      </c>
      <c r="Z65" s="757">
        <f t="shared" ca="1" si="67"/>
        <v>0</v>
      </c>
      <c r="AA65" s="757">
        <f t="shared" ca="1" si="67"/>
        <v>0</v>
      </c>
      <c r="AB65" s="757">
        <f t="shared" ca="1" si="67"/>
        <v>0</v>
      </c>
      <c r="AC65" s="757">
        <f t="shared" ca="1" si="67"/>
        <v>0</v>
      </c>
      <c r="AD65" s="757">
        <f t="shared" ca="1" si="67"/>
        <v>0</v>
      </c>
      <c r="AE65" s="757">
        <f t="shared" ca="1" si="28"/>
        <v>0</v>
      </c>
      <c r="AF65" s="758">
        <f t="shared" ca="1" si="29"/>
        <v>0</v>
      </c>
      <c r="AG65" s="757">
        <f t="shared" ca="1" si="63"/>
        <v>0</v>
      </c>
      <c r="AH65" s="757">
        <f t="shared" ca="1" si="63"/>
        <v>0</v>
      </c>
      <c r="AI65" s="757">
        <f t="shared" ca="1" si="30"/>
        <v>0</v>
      </c>
      <c r="AJ65" s="758">
        <f t="shared" ca="1" si="31"/>
        <v>0</v>
      </c>
      <c r="AK65" s="759">
        <f t="shared" ca="1" si="32"/>
        <v>0</v>
      </c>
      <c r="AL65" s="757">
        <f t="shared" ca="1" si="68"/>
        <v>0</v>
      </c>
      <c r="AM65" s="757">
        <f t="shared" ca="1" si="68"/>
        <v>0</v>
      </c>
      <c r="AN65" s="757">
        <f t="shared" ca="1" si="68"/>
        <v>0</v>
      </c>
      <c r="AO65" s="757">
        <f t="shared" ca="1" si="68"/>
        <v>0</v>
      </c>
      <c r="AP65" s="757">
        <f t="shared" ca="1" si="68"/>
        <v>0</v>
      </c>
      <c r="AQ65" s="757">
        <f t="shared" ca="1" si="68"/>
        <v>0</v>
      </c>
      <c r="AR65" s="757">
        <f t="shared" ca="1" si="68"/>
        <v>0</v>
      </c>
      <c r="AS65" s="757">
        <f t="shared" ca="1" si="68"/>
        <v>0</v>
      </c>
      <c r="AT65" s="757">
        <f t="shared" ca="1" si="68"/>
        <v>0</v>
      </c>
      <c r="AU65" s="757">
        <f t="shared" ca="1" si="68"/>
        <v>0</v>
      </c>
      <c r="AV65" s="757">
        <f t="shared" ca="1" si="68"/>
        <v>0</v>
      </c>
      <c r="AW65" s="757">
        <f t="shared" ca="1" si="68"/>
        <v>0</v>
      </c>
      <c r="AX65" s="757">
        <f t="shared" ca="1" si="68"/>
        <v>0</v>
      </c>
      <c r="AY65" s="758">
        <f t="shared" ca="1" si="33"/>
        <v>0</v>
      </c>
      <c r="AZ65" s="757">
        <f t="shared" ca="1" si="65"/>
        <v>0</v>
      </c>
      <c r="BA65" s="757">
        <f t="shared" ca="1" si="65"/>
        <v>0</v>
      </c>
      <c r="BB65" s="757"/>
      <c r="BC65" s="758">
        <f t="shared" ca="1" si="34"/>
        <v>0</v>
      </c>
      <c r="BD65" s="759">
        <f t="shared" ca="1" si="35"/>
        <v>0</v>
      </c>
      <c r="BE65" s="197"/>
      <c r="BF65" s="708"/>
      <c r="BG65" s="703" t="str">
        <f>IF($BF65="","","ĐNSX"&amp; IF(LEN($BF65)=1,"0" &amp; $BF65,$BF65) &amp; "/" &amp; ThongTinChung!$C$5)</f>
        <v/>
      </c>
      <c r="BH65" s="100" t="str">
        <f t="shared" ca="1" si="59"/>
        <v/>
      </c>
      <c r="BI65" s="194" t="str">
        <f ca="1">IF($B65="","","C" &amp; ROW(MauKoXoa!$C$108) &amp; ":C" &amp;ROW(MauKoXoa!$C$174))</f>
        <v/>
      </c>
      <c r="BJ65" s="198" t="str">
        <f t="shared" ca="1" si="36"/>
        <v/>
      </c>
      <c r="BK65" s="198" t="str">
        <f t="shared" ca="1" si="37"/>
        <v/>
      </c>
      <c r="BL65" s="650" t="str">
        <f ca="1">IF(COUNTIF($BL$10:$BL64,IFERROR(INDEX(DanhMuc!$J$154:$J$165,MATCH($BJ65,DanhMuc!$B$154:$B$165,0)),""))&lt;1,IFERROR(INDEX(DanhMuc!$J$154:$J$165,MATCH($BJ65,DanhMuc!$B$154:$B$165,0)),""),"")</f>
        <v/>
      </c>
      <c r="BM65" s="650" t="str">
        <f ca="1">IF(COUNTIF($BM$10:$BM64,IFERROR(INDEX(DanhMuc!$D$168:$D$177,MATCH($BK65,DanhMuc!$C$168:$C$177,0)),""))&lt;1,IFERROR(INDEX(DanhMuc!$D$168:$D$177,MATCH($BK65,DanhMuc!$C$168:$C$177,0)),""),"")</f>
        <v/>
      </c>
      <c r="BN65" s="650" t="str">
        <f ca="1">IFERROR(INDEX(DanhMuc!$K$154:$K$165,MATCH($BJ65,DanhMuc!$B$154:$B$165,0)),"")</f>
        <v/>
      </c>
      <c r="BO65" s="653" t="str">
        <f t="shared" ca="1" si="38"/>
        <v/>
      </c>
      <c r="BP65" s="653" t="str">
        <f t="shared" ca="1" si="54"/>
        <v/>
      </c>
      <c r="BQ65" s="757">
        <f t="shared" ca="1" si="69"/>
        <v>0</v>
      </c>
      <c r="BR65" s="757">
        <f t="shared" ca="1" si="69"/>
        <v>0</v>
      </c>
      <c r="BS65" s="757">
        <f t="shared" ca="1" si="69"/>
        <v>0</v>
      </c>
      <c r="BT65" s="757">
        <f t="shared" ca="1" si="69"/>
        <v>0</v>
      </c>
      <c r="BU65" s="757">
        <f t="shared" ca="1" si="69"/>
        <v>0</v>
      </c>
      <c r="BV65" s="757">
        <f t="shared" ca="1" si="69"/>
        <v>0</v>
      </c>
      <c r="BW65" s="198"/>
    </row>
    <row r="66" spans="1:75" s="42" customFormat="1" ht="19.899999999999999" customHeight="1">
      <c r="A66" s="37" t="str">
        <f ca="1">IF(B66="","",MAX($A$10:A65)+1)</f>
        <v/>
      </c>
      <c r="B66" s="718" t="str">
        <f t="shared" ca="1" si="51"/>
        <v/>
      </c>
      <c r="C66" s="1166">
        <f t="shared" ca="1" si="13"/>
        <v>0</v>
      </c>
      <c r="D66" s="643" t="str">
        <f t="shared" ca="1" si="14"/>
        <v/>
      </c>
      <c r="E66" s="203"/>
      <c r="F66" s="38">
        <f t="shared" ca="1" si="15"/>
        <v>0</v>
      </c>
      <c r="G66" s="38">
        <f t="shared" ca="1" si="16"/>
        <v>0</v>
      </c>
      <c r="H66" s="1136">
        <f t="shared" ca="1" si="17"/>
        <v>0</v>
      </c>
      <c r="I66" s="38">
        <f t="shared" ca="1" si="18"/>
        <v>0</v>
      </c>
      <c r="J66" s="39">
        <f t="shared" si="19"/>
        <v>0</v>
      </c>
      <c r="K66" s="1137">
        <f t="shared" ca="1" si="20"/>
        <v>0</v>
      </c>
      <c r="L66" s="40">
        <f t="shared" ca="1" si="21"/>
        <v>0</v>
      </c>
      <c r="M66" s="40">
        <f t="shared" ca="1" si="52"/>
        <v>0</v>
      </c>
      <c r="N66" s="41">
        <f t="shared" ca="1" si="23"/>
        <v>0</v>
      </c>
      <c r="O66" s="762" t="str">
        <f t="shared" ca="1" si="58"/>
        <v/>
      </c>
      <c r="P66" s="756">
        <f t="shared" ca="1" si="53"/>
        <v>0</v>
      </c>
      <c r="Q66" s="757">
        <f t="shared" ca="1" si="25"/>
        <v>0</v>
      </c>
      <c r="R66" s="905">
        <f ca="1">IF($B66="",0,IFERROR(IFERROR(INDEX(DanhMuc!$J$180:$J$189,MATCH(MID(IFERROR(INDIRECT("'" &amp; $B66 &amp; "'!" &amp; $R$82),0),2,1)&amp;MID(IFERROR(INDIRECT("'" &amp; $B66 &amp; "'!" &amp; $R$82),0),7,2),DanhMuc!$I$180:$I$189,0)),INDEX(DanhMuc!$J$180:$J$189,MATCH(MID(IFERROR(INDIRECT("'" &amp; $B66 &amp; "'!" &amp; $R$82),0),2,1),DanhMuc!$I$180:$I$189,0))),0))</f>
        <v>0</v>
      </c>
      <c r="S66" s="757">
        <f t="shared" ca="1" si="26"/>
        <v>0</v>
      </c>
      <c r="T66" s="757">
        <f t="shared" ca="1" si="43"/>
        <v>0</v>
      </c>
      <c r="U66" s="757">
        <f t="shared" ca="1" si="27"/>
        <v>0</v>
      </c>
      <c r="V66" s="757">
        <f t="shared" ca="1" si="60"/>
        <v>0</v>
      </c>
      <c r="W66" s="757">
        <f t="shared" ca="1" si="60"/>
        <v>0</v>
      </c>
      <c r="X66" s="757">
        <f t="shared" ca="1" si="61"/>
        <v>0</v>
      </c>
      <c r="Y66" s="757">
        <f t="shared" ca="1" si="61"/>
        <v>0</v>
      </c>
      <c r="Z66" s="757">
        <f t="shared" ca="1" si="67"/>
        <v>0</v>
      </c>
      <c r="AA66" s="757">
        <f t="shared" ca="1" si="67"/>
        <v>0</v>
      </c>
      <c r="AB66" s="757">
        <f t="shared" ca="1" si="67"/>
        <v>0</v>
      </c>
      <c r="AC66" s="757">
        <f t="shared" ca="1" si="67"/>
        <v>0</v>
      </c>
      <c r="AD66" s="757">
        <f t="shared" ca="1" si="67"/>
        <v>0</v>
      </c>
      <c r="AE66" s="757">
        <f t="shared" ca="1" si="28"/>
        <v>0</v>
      </c>
      <c r="AF66" s="758">
        <f t="shared" ca="1" si="29"/>
        <v>0</v>
      </c>
      <c r="AG66" s="757">
        <f t="shared" ca="1" si="63"/>
        <v>0</v>
      </c>
      <c r="AH66" s="757">
        <f t="shared" ca="1" si="63"/>
        <v>0</v>
      </c>
      <c r="AI66" s="757">
        <f t="shared" ca="1" si="30"/>
        <v>0</v>
      </c>
      <c r="AJ66" s="758">
        <f t="shared" ca="1" si="31"/>
        <v>0</v>
      </c>
      <c r="AK66" s="759">
        <f t="shared" ca="1" si="32"/>
        <v>0</v>
      </c>
      <c r="AL66" s="757">
        <f t="shared" ca="1" si="68"/>
        <v>0</v>
      </c>
      <c r="AM66" s="757">
        <f t="shared" ca="1" si="68"/>
        <v>0</v>
      </c>
      <c r="AN66" s="757">
        <f t="shared" ca="1" si="68"/>
        <v>0</v>
      </c>
      <c r="AO66" s="757">
        <f t="shared" ca="1" si="68"/>
        <v>0</v>
      </c>
      <c r="AP66" s="757">
        <f t="shared" ca="1" si="68"/>
        <v>0</v>
      </c>
      <c r="AQ66" s="757">
        <f t="shared" ca="1" si="68"/>
        <v>0</v>
      </c>
      <c r="AR66" s="757">
        <f t="shared" ca="1" si="68"/>
        <v>0</v>
      </c>
      <c r="AS66" s="757">
        <f t="shared" ca="1" si="68"/>
        <v>0</v>
      </c>
      <c r="AT66" s="757">
        <f t="shared" ca="1" si="68"/>
        <v>0</v>
      </c>
      <c r="AU66" s="757">
        <f t="shared" ca="1" si="68"/>
        <v>0</v>
      </c>
      <c r="AV66" s="757">
        <f t="shared" ca="1" si="68"/>
        <v>0</v>
      </c>
      <c r="AW66" s="757">
        <f t="shared" ca="1" si="68"/>
        <v>0</v>
      </c>
      <c r="AX66" s="757">
        <f t="shared" ca="1" si="68"/>
        <v>0</v>
      </c>
      <c r="AY66" s="758">
        <f t="shared" ca="1" si="33"/>
        <v>0</v>
      </c>
      <c r="AZ66" s="757">
        <f t="shared" ca="1" si="65"/>
        <v>0</v>
      </c>
      <c r="BA66" s="757">
        <f t="shared" ca="1" si="65"/>
        <v>0</v>
      </c>
      <c r="BB66" s="757"/>
      <c r="BC66" s="758">
        <f t="shared" ca="1" si="34"/>
        <v>0</v>
      </c>
      <c r="BD66" s="759">
        <f t="shared" ca="1" si="35"/>
        <v>0</v>
      </c>
      <c r="BE66" s="197"/>
      <c r="BF66" s="708"/>
      <c r="BG66" s="703" t="str">
        <f>IF($BF66="","","ĐNSX"&amp; IF(LEN($BF66)=1,"0" &amp; $BF66,$BF66) &amp; "/" &amp; ThongTinChung!$C$5)</f>
        <v/>
      </c>
      <c r="BH66" s="100" t="str">
        <f t="shared" ca="1" si="59"/>
        <v/>
      </c>
      <c r="BI66" s="194" t="str">
        <f ca="1">IF($B66="","","C" &amp; ROW(MauKoXoa!$C$108) &amp; ":C" &amp;ROW(MauKoXoa!$C$174))</f>
        <v/>
      </c>
      <c r="BJ66" s="198" t="str">
        <f t="shared" ca="1" si="36"/>
        <v/>
      </c>
      <c r="BK66" s="198" t="str">
        <f t="shared" ca="1" si="37"/>
        <v/>
      </c>
      <c r="BL66" s="650" t="str">
        <f ca="1">IF(COUNTIF($BL$10:$BL65,IFERROR(INDEX(DanhMuc!$J$154:$J$165,MATCH($BJ66,DanhMuc!$B$154:$B$165,0)),""))&lt;1,IFERROR(INDEX(DanhMuc!$J$154:$J$165,MATCH($BJ66,DanhMuc!$B$154:$B$165,0)),""),"")</f>
        <v/>
      </c>
      <c r="BM66" s="650" t="str">
        <f ca="1">IF(COUNTIF($BM$10:$BM65,IFERROR(INDEX(DanhMuc!$D$168:$D$177,MATCH($BK66,DanhMuc!$C$168:$C$177,0)),""))&lt;1,IFERROR(INDEX(DanhMuc!$D$168:$D$177,MATCH($BK66,DanhMuc!$C$168:$C$177,0)),""),"")</f>
        <v/>
      </c>
      <c r="BN66" s="650" t="str">
        <f ca="1">IFERROR(INDEX(DanhMuc!$K$154:$K$165,MATCH($BJ66,DanhMuc!$B$154:$B$165,0)),"")</f>
        <v/>
      </c>
      <c r="BO66" s="653" t="str">
        <f t="shared" ca="1" si="38"/>
        <v/>
      </c>
      <c r="BP66" s="653" t="str">
        <f t="shared" ca="1" si="54"/>
        <v/>
      </c>
      <c r="BQ66" s="757">
        <f t="shared" ca="1" si="69"/>
        <v>0</v>
      </c>
      <c r="BR66" s="757">
        <f t="shared" ca="1" si="69"/>
        <v>0</v>
      </c>
      <c r="BS66" s="757">
        <f t="shared" ca="1" si="69"/>
        <v>0</v>
      </c>
      <c r="BT66" s="757">
        <f t="shared" ca="1" si="69"/>
        <v>0</v>
      </c>
      <c r="BU66" s="757">
        <f t="shared" ca="1" si="69"/>
        <v>0</v>
      </c>
      <c r="BV66" s="757">
        <f t="shared" ca="1" si="69"/>
        <v>0</v>
      </c>
      <c r="BW66" s="198"/>
    </row>
    <row r="67" spans="1:75" s="42" customFormat="1" ht="19.899999999999999" customHeight="1">
      <c r="A67" s="37" t="str">
        <f ca="1">IF(B67="","",MAX($A$10:A66)+1)</f>
        <v/>
      </c>
      <c r="B67" s="718" t="str">
        <f t="shared" ca="1" si="51"/>
        <v/>
      </c>
      <c r="C67" s="1166">
        <f t="shared" ca="1" si="13"/>
        <v>0</v>
      </c>
      <c r="D67" s="643" t="str">
        <f t="shared" ca="1" si="14"/>
        <v/>
      </c>
      <c r="E67" s="203"/>
      <c r="F67" s="38">
        <f t="shared" ca="1" si="15"/>
        <v>0</v>
      </c>
      <c r="G67" s="38">
        <f t="shared" ca="1" si="16"/>
        <v>0</v>
      </c>
      <c r="H67" s="1136">
        <f t="shared" ca="1" si="17"/>
        <v>0</v>
      </c>
      <c r="I67" s="38">
        <f t="shared" ca="1" si="18"/>
        <v>0</v>
      </c>
      <c r="J67" s="39">
        <f t="shared" si="19"/>
        <v>0</v>
      </c>
      <c r="K67" s="1137">
        <f t="shared" ca="1" si="20"/>
        <v>0</v>
      </c>
      <c r="L67" s="40">
        <f t="shared" ca="1" si="21"/>
        <v>0</v>
      </c>
      <c r="M67" s="40">
        <f t="shared" ca="1" si="52"/>
        <v>0</v>
      </c>
      <c r="N67" s="41">
        <f t="shared" ca="1" si="23"/>
        <v>0</v>
      </c>
      <c r="O67" s="762" t="str">
        <f t="shared" ca="1" si="58"/>
        <v/>
      </c>
      <c r="P67" s="756">
        <f t="shared" ca="1" si="53"/>
        <v>0</v>
      </c>
      <c r="Q67" s="757">
        <f t="shared" ca="1" si="25"/>
        <v>0</v>
      </c>
      <c r="R67" s="905">
        <f ca="1">IF($B67="",0,IFERROR(IFERROR(INDEX(DanhMuc!$J$180:$J$189,MATCH(MID(IFERROR(INDIRECT("'" &amp; $B67 &amp; "'!" &amp; $R$82),0),2,1)&amp;MID(IFERROR(INDIRECT("'" &amp; $B67 &amp; "'!" &amp; $R$82),0),7,2),DanhMuc!$I$180:$I$189,0)),INDEX(DanhMuc!$J$180:$J$189,MATCH(MID(IFERROR(INDIRECT("'" &amp; $B67 &amp; "'!" &amp; $R$82),0),2,1),DanhMuc!$I$180:$I$189,0))),0))</f>
        <v>0</v>
      </c>
      <c r="S67" s="757">
        <f t="shared" ca="1" si="26"/>
        <v>0</v>
      </c>
      <c r="T67" s="757">
        <f t="shared" ca="1" si="43"/>
        <v>0</v>
      </c>
      <c r="U67" s="757">
        <f t="shared" ca="1" si="27"/>
        <v>0</v>
      </c>
      <c r="V67" s="757">
        <f t="shared" ca="1" si="60"/>
        <v>0</v>
      </c>
      <c r="W67" s="757">
        <f t="shared" ca="1" si="60"/>
        <v>0</v>
      </c>
      <c r="X67" s="757">
        <f t="shared" ca="1" si="61"/>
        <v>0</v>
      </c>
      <c r="Y67" s="757">
        <f t="shared" ca="1" si="61"/>
        <v>0</v>
      </c>
      <c r="Z67" s="757">
        <f t="shared" ca="1" si="67"/>
        <v>0</v>
      </c>
      <c r="AA67" s="757">
        <f t="shared" ca="1" si="67"/>
        <v>0</v>
      </c>
      <c r="AB67" s="757">
        <f t="shared" ca="1" si="67"/>
        <v>0</v>
      </c>
      <c r="AC67" s="757">
        <f t="shared" ca="1" si="67"/>
        <v>0</v>
      </c>
      <c r="AD67" s="757">
        <f t="shared" ca="1" si="67"/>
        <v>0</v>
      </c>
      <c r="AE67" s="757">
        <f t="shared" ca="1" si="28"/>
        <v>0</v>
      </c>
      <c r="AF67" s="758">
        <f t="shared" ca="1" si="29"/>
        <v>0</v>
      </c>
      <c r="AG67" s="757">
        <f t="shared" ca="1" si="63"/>
        <v>0</v>
      </c>
      <c r="AH67" s="757">
        <f t="shared" ca="1" si="63"/>
        <v>0</v>
      </c>
      <c r="AI67" s="757">
        <f t="shared" ca="1" si="30"/>
        <v>0</v>
      </c>
      <c r="AJ67" s="758">
        <f t="shared" ca="1" si="31"/>
        <v>0</v>
      </c>
      <c r="AK67" s="759">
        <f t="shared" ca="1" si="32"/>
        <v>0</v>
      </c>
      <c r="AL67" s="757">
        <f t="shared" ca="1" si="68"/>
        <v>0</v>
      </c>
      <c r="AM67" s="757">
        <f t="shared" ca="1" si="68"/>
        <v>0</v>
      </c>
      <c r="AN67" s="757">
        <f t="shared" ca="1" si="68"/>
        <v>0</v>
      </c>
      <c r="AO67" s="757">
        <f t="shared" ca="1" si="68"/>
        <v>0</v>
      </c>
      <c r="AP67" s="757">
        <f t="shared" ca="1" si="68"/>
        <v>0</v>
      </c>
      <c r="AQ67" s="757">
        <f t="shared" ca="1" si="68"/>
        <v>0</v>
      </c>
      <c r="AR67" s="757">
        <f t="shared" ca="1" si="68"/>
        <v>0</v>
      </c>
      <c r="AS67" s="757">
        <f t="shared" ca="1" si="68"/>
        <v>0</v>
      </c>
      <c r="AT67" s="757">
        <f t="shared" ca="1" si="68"/>
        <v>0</v>
      </c>
      <c r="AU67" s="757">
        <f t="shared" ca="1" si="68"/>
        <v>0</v>
      </c>
      <c r="AV67" s="757">
        <f t="shared" ca="1" si="68"/>
        <v>0</v>
      </c>
      <c r="AW67" s="757">
        <f t="shared" ca="1" si="68"/>
        <v>0</v>
      </c>
      <c r="AX67" s="757">
        <f t="shared" ca="1" si="68"/>
        <v>0</v>
      </c>
      <c r="AY67" s="758">
        <f t="shared" ca="1" si="33"/>
        <v>0</v>
      </c>
      <c r="AZ67" s="757">
        <f t="shared" ca="1" si="65"/>
        <v>0</v>
      </c>
      <c r="BA67" s="757">
        <f t="shared" ca="1" si="65"/>
        <v>0</v>
      </c>
      <c r="BB67" s="757"/>
      <c r="BC67" s="758">
        <f t="shared" ca="1" si="34"/>
        <v>0</v>
      </c>
      <c r="BD67" s="759">
        <f t="shared" ca="1" si="35"/>
        <v>0</v>
      </c>
      <c r="BE67" s="197"/>
      <c r="BF67" s="708"/>
      <c r="BG67" s="703" t="str">
        <f>IF($BF67="","","ĐNSX"&amp; IF(LEN($BF67)=1,"0" &amp; $BF67,$BF67) &amp; "/" &amp; ThongTinChung!$C$5)</f>
        <v/>
      </c>
      <c r="BH67" s="100" t="str">
        <f t="shared" ca="1" si="59"/>
        <v/>
      </c>
      <c r="BI67" s="194" t="str">
        <f ca="1">IF($B67="","","C" &amp; ROW(MauKoXoa!$C$108) &amp; ":C" &amp;ROW(MauKoXoa!$C$174))</f>
        <v/>
      </c>
      <c r="BJ67" s="198" t="str">
        <f t="shared" ca="1" si="36"/>
        <v/>
      </c>
      <c r="BK67" s="198" t="str">
        <f t="shared" ca="1" si="37"/>
        <v/>
      </c>
      <c r="BL67" s="650" t="str">
        <f ca="1">IF(COUNTIF($BL$10:$BL66,IFERROR(INDEX(DanhMuc!$J$154:$J$165,MATCH($BJ67,DanhMuc!$B$154:$B$165,0)),""))&lt;1,IFERROR(INDEX(DanhMuc!$J$154:$J$165,MATCH($BJ67,DanhMuc!$B$154:$B$165,0)),""),"")</f>
        <v/>
      </c>
      <c r="BM67" s="650" t="str">
        <f ca="1">IF(COUNTIF($BM$10:$BM66,IFERROR(INDEX(DanhMuc!$D$168:$D$177,MATCH($BK67,DanhMuc!$C$168:$C$177,0)),""))&lt;1,IFERROR(INDEX(DanhMuc!$D$168:$D$177,MATCH($BK67,DanhMuc!$C$168:$C$177,0)),""),"")</f>
        <v/>
      </c>
      <c r="BN67" s="650" t="str">
        <f ca="1">IFERROR(INDEX(DanhMuc!$K$154:$K$165,MATCH($BJ67,DanhMuc!$B$154:$B$165,0)),"")</f>
        <v/>
      </c>
      <c r="BO67" s="653" t="str">
        <f t="shared" ca="1" si="38"/>
        <v/>
      </c>
      <c r="BP67" s="653" t="str">
        <f t="shared" ca="1" si="54"/>
        <v/>
      </c>
      <c r="BQ67" s="757">
        <f t="shared" ca="1" si="69"/>
        <v>0</v>
      </c>
      <c r="BR67" s="757">
        <f t="shared" ca="1" si="69"/>
        <v>0</v>
      </c>
      <c r="BS67" s="757">
        <f t="shared" ca="1" si="69"/>
        <v>0</v>
      </c>
      <c r="BT67" s="757">
        <f t="shared" ca="1" si="69"/>
        <v>0</v>
      </c>
      <c r="BU67" s="757">
        <f t="shared" ca="1" si="69"/>
        <v>0</v>
      </c>
      <c r="BV67" s="757">
        <f t="shared" ca="1" si="69"/>
        <v>0</v>
      </c>
      <c r="BW67" s="198"/>
    </row>
    <row r="68" spans="1:75" s="42" customFormat="1" ht="19.899999999999999" customHeight="1">
      <c r="A68" s="37" t="str">
        <f ca="1">IF(B68="","",MAX($A$10:A67)+1)</f>
        <v/>
      </c>
      <c r="B68" s="718" t="str">
        <f t="shared" ca="1" si="51"/>
        <v/>
      </c>
      <c r="C68" s="1166">
        <f t="shared" ca="1" si="13"/>
        <v>0</v>
      </c>
      <c r="D68" s="643" t="str">
        <f t="shared" ca="1" si="14"/>
        <v/>
      </c>
      <c r="E68" s="203"/>
      <c r="F68" s="38">
        <f t="shared" ca="1" si="15"/>
        <v>0</v>
      </c>
      <c r="G68" s="38">
        <f t="shared" ca="1" si="16"/>
        <v>0</v>
      </c>
      <c r="H68" s="1136">
        <f t="shared" ca="1" si="17"/>
        <v>0</v>
      </c>
      <c r="I68" s="38">
        <f t="shared" ca="1" si="18"/>
        <v>0</v>
      </c>
      <c r="J68" s="39">
        <f t="shared" si="19"/>
        <v>0</v>
      </c>
      <c r="K68" s="1137">
        <f t="shared" ca="1" si="20"/>
        <v>0</v>
      </c>
      <c r="L68" s="40">
        <f t="shared" ca="1" si="21"/>
        <v>0</v>
      </c>
      <c r="M68" s="40">
        <f t="shared" ca="1" si="52"/>
        <v>0</v>
      </c>
      <c r="N68" s="41">
        <f t="shared" ca="1" si="23"/>
        <v>0</v>
      </c>
      <c r="O68" s="762" t="str">
        <f t="shared" ca="1" si="58"/>
        <v/>
      </c>
      <c r="P68" s="756">
        <f t="shared" ca="1" si="53"/>
        <v>0</v>
      </c>
      <c r="Q68" s="757">
        <f t="shared" ca="1" si="25"/>
        <v>0</v>
      </c>
      <c r="R68" s="905">
        <f ca="1">IF($B68="",0,IFERROR(IFERROR(INDEX(DanhMuc!$J$180:$J$189,MATCH(MID(IFERROR(INDIRECT("'" &amp; $B68 &amp; "'!" &amp; $R$82),0),2,1)&amp;MID(IFERROR(INDIRECT("'" &amp; $B68 &amp; "'!" &amp; $R$82),0),7,2),DanhMuc!$I$180:$I$189,0)),INDEX(DanhMuc!$J$180:$J$189,MATCH(MID(IFERROR(INDIRECT("'" &amp; $B68 &amp; "'!" &amp; $R$82),0),2,1),DanhMuc!$I$180:$I$189,0))),0))</f>
        <v>0</v>
      </c>
      <c r="S68" s="757">
        <f t="shared" ca="1" si="26"/>
        <v>0</v>
      </c>
      <c r="T68" s="757">
        <f t="shared" ca="1" si="43"/>
        <v>0</v>
      </c>
      <c r="U68" s="757">
        <f t="shared" ca="1" si="27"/>
        <v>0</v>
      </c>
      <c r="V68" s="757">
        <f t="shared" ca="1" si="60"/>
        <v>0</v>
      </c>
      <c r="W68" s="757">
        <f t="shared" ca="1" si="60"/>
        <v>0</v>
      </c>
      <c r="X68" s="757">
        <f t="shared" ca="1" si="61"/>
        <v>0</v>
      </c>
      <c r="Y68" s="757">
        <f t="shared" ca="1" si="61"/>
        <v>0</v>
      </c>
      <c r="Z68" s="757">
        <f t="shared" ca="1" si="67"/>
        <v>0</v>
      </c>
      <c r="AA68" s="757">
        <f t="shared" ca="1" si="67"/>
        <v>0</v>
      </c>
      <c r="AB68" s="757">
        <f t="shared" ca="1" si="67"/>
        <v>0</v>
      </c>
      <c r="AC68" s="757">
        <f t="shared" ca="1" si="67"/>
        <v>0</v>
      </c>
      <c r="AD68" s="757">
        <f t="shared" ca="1" si="67"/>
        <v>0</v>
      </c>
      <c r="AE68" s="757">
        <f t="shared" ca="1" si="28"/>
        <v>0</v>
      </c>
      <c r="AF68" s="758">
        <f t="shared" ca="1" si="29"/>
        <v>0</v>
      </c>
      <c r="AG68" s="757">
        <f t="shared" ca="1" si="63"/>
        <v>0</v>
      </c>
      <c r="AH68" s="757">
        <f t="shared" ca="1" si="63"/>
        <v>0</v>
      </c>
      <c r="AI68" s="757">
        <f t="shared" ca="1" si="30"/>
        <v>0</v>
      </c>
      <c r="AJ68" s="758">
        <f t="shared" ca="1" si="31"/>
        <v>0</v>
      </c>
      <c r="AK68" s="759">
        <f t="shared" ca="1" si="32"/>
        <v>0</v>
      </c>
      <c r="AL68" s="757">
        <f t="shared" ca="1" si="68"/>
        <v>0</v>
      </c>
      <c r="AM68" s="757">
        <f t="shared" ca="1" si="68"/>
        <v>0</v>
      </c>
      <c r="AN68" s="757">
        <f t="shared" ca="1" si="68"/>
        <v>0</v>
      </c>
      <c r="AO68" s="757">
        <f t="shared" ca="1" si="68"/>
        <v>0</v>
      </c>
      <c r="AP68" s="757">
        <f t="shared" ca="1" si="68"/>
        <v>0</v>
      </c>
      <c r="AQ68" s="757">
        <f t="shared" ca="1" si="68"/>
        <v>0</v>
      </c>
      <c r="AR68" s="757">
        <f t="shared" ca="1" si="68"/>
        <v>0</v>
      </c>
      <c r="AS68" s="757">
        <f t="shared" ca="1" si="68"/>
        <v>0</v>
      </c>
      <c r="AT68" s="757">
        <f t="shared" ca="1" si="68"/>
        <v>0</v>
      </c>
      <c r="AU68" s="757">
        <f t="shared" ca="1" si="68"/>
        <v>0</v>
      </c>
      <c r="AV68" s="757">
        <f t="shared" ca="1" si="68"/>
        <v>0</v>
      </c>
      <c r="AW68" s="757">
        <f t="shared" ca="1" si="68"/>
        <v>0</v>
      </c>
      <c r="AX68" s="757">
        <f t="shared" ca="1" si="68"/>
        <v>0</v>
      </c>
      <c r="AY68" s="758">
        <f t="shared" ca="1" si="33"/>
        <v>0</v>
      </c>
      <c r="AZ68" s="757">
        <f t="shared" ca="1" si="65"/>
        <v>0</v>
      </c>
      <c r="BA68" s="757">
        <f t="shared" ca="1" si="65"/>
        <v>0</v>
      </c>
      <c r="BB68" s="757"/>
      <c r="BC68" s="758">
        <f t="shared" ca="1" si="34"/>
        <v>0</v>
      </c>
      <c r="BD68" s="759">
        <f t="shared" ca="1" si="35"/>
        <v>0</v>
      </c>
      <c r="BE68" s="197"/>
      <c r="BF68" s="708"/>
      <c r="BG68" s="703" t="str">
        <f>IF($BF68="","","ĐNSX"&amp; IF(LEN($BF68)=1,"0" &amp; $BF68,$BF68) &amp; "/" &amp; ThongTinChung!$C$5)</f>
        <v/>
      </c>
      <c r="BH68" s="100" t="str">
        <f t="shared" ca="1" si="59"/>
        <v/>
      </c>
      <c r="BI68" s="194" t="str">
        <f ca="1">IF($B68="","","C" &amp; ROW(MauKoXoa!$C$108) &amp; ":C" &amp;ROW(MauKoXoa!$C$174))</f>
        <v/>
      </c>
      <c r="BJ68" s="198" t="str">
        <f t="shared" ca="1" si="36"/>
        <v/>
      </c>
      <c r="BK68" s="198" t="str">
        <f t="shared" ca="1" si="37"/>
        <v/>
      </c>
      <c r="BL68" s="650" t="str">
        <f ca="1">IF(COUNTIF($BL$10:$BL67,IFERROR(INDEX(DanhMuc!$J$154:$J$165,MATCH($BJ68,DanhMuc!$B$154:$B$165,0)),""))&lt;1,IFERROR(INDEX(DanhMuc!$J$154:$J$165,MATCH($BJ68,DanhMuc!$B$154:$B$165,0)),""),"")</f>
        <v/>
      </c>
      <c r="BM68" s="650" t="str">
        <f ca="1">IF(COUNTIF($BM$10:$BM67,IFERROR(INDEX(DanhMuc!$D$168:$D$177,MATCH($BK68,DanhMuc!$C$168:$C$177,0)),""))&lt;1,IFERROR(INDEX(DanhMuc!$D$168:$D$177,MATCH($BK68,DanhMuc!$C$168:$C$177,0)),""),"")</f>
        <v/>
      </c>
      <c r="BN68" s="650" t="str">
        <f ca="1">IFERROR(INDEX(DanhMuc!$K$154:$K$165,MATCH($BJ68,DanhMuc!$B$154:$B$165,0)),"")</f>
        <v/>
      </c>
      <c r="BO68" s="653" t="str">
        <f t="shared" ca="1" si="38"/>
        <v/>
      </c>
      <c r="BP68" s="653" t="str">
        <f t="shared" ca="1" si="54"/>
        <v/>
      </c>
      <c r="BQ68" s="757">
        <f t="shared" ca="1" si="69"/>
        <v>0</v>
      </c>
      <c r="BR68" s="757">
        <f t="shared" ca="1" si="69"/>
        <v>0</v>
      </c>
      <c r="BS68" s="757">
        <f t="shared" ca="1" si="69"/>
        <v>0</v>
      </c>
      <c r="BT68" s="757">
        <f t="shared" ca="1" si="69"/>
        <v>0</v>
      </c>
      <c r="BU68" s="757">
        <f t="shared" ca="1" si="69"/>
        <v>0</v>
      </c>
      <c r="BV68" s="757">
        <f t="shared" ca="1" si="69"/>
        <v>0</v>
      </c>
      <c r="BW68" s="198"/>
    </row>
    <row r="69" spans="1:75" s="42" customFormat="1" ht="19.899999999999999" customHeight="1">
      <c r="A69" s="37" t="str">
        <f ca="1">IF(B69="","",MAX($A$10:A68)+1)</f>
        <v/>
      </c>
      <c r="B69" s="718" t="str">
        <f t="shared" ca="1" si="51"/>
        <v/>
      </c>
      <c r="C69" s="1166">
        <f t="shared" ca="1" si="13"/>
        <v>0</v>
      </c>
      <c r="D69" s="643" t="str">
        <f t="shared" ca="1" si="14"/>
        <v/>
      </c>
      <c r="E69" s="203"/>
      <c r="F69" s="38">
        <f t="shared" ca="1" si="15"/>
        <v>0</v>
      </c>
      <c r="G69" s="38">
        <f t="shared" ca="1" si="16"/>
        <v>0</v>
      </c>
      <c r="H69" s="1136">
        <f t="shared" ca="1" si="17"/>
        <v>0</v>
      </c>
      <c r="I69" s="38">
        <f t="shared" ca="1" si="18"/>
        <v>0</v>
      </c>
      <c r="J69" s="39">
        <f t="shared" si="19"/>
        <v>0</v>
      </c>
      <c r="K69" s="1137">
        <f t="shared" ca="1" si="20"/>
        <v>0</v>
      </c>
      <c r="L69" s="40">
        <f t="shared" ca="1" si="21"/>
        <v>0</v>
      </c>
      <c r="M69" s="40">
        <f t="shared" ca="1" si="52"/>
        <v>0</v>
      </c>
      <c r="N69" s="41">
        <f t="shared" ca="1" si="23"/>
        <v>0</v>
      </c>
      <c r="O69" s="762" t="str">
        <f t="shared" ca="1" si="58"/>
        <v/>
      </c>
      <c r="P69" s="756">
        <f t="shared" ca="1" si="53"/>
        <v>0</v>
      </c>
      <c r="Q69" s="757">
        <f t="shared" ca="1" si="25"/>
        <v>0</v>
      </c>
      <c r="R69" s="905">
        <f ca="1">IF($B69="",0,IFERROR(IFERROR(INDEX(DanhMuc!$J$180:$J$189,MATCH(MID(IFERROR(INDIRECT("'" &amp; $B69 &amp; "'!" &amp; $R$82),0),2,1)&amp;MID(IFERROR(INDIRECT("'" &amp; $B69 &amp; "'!" &amp; $R$82),0),7,2),DanhMuc!$I$180:$I$189,0)),INDEX(DanhMuc!$J$180:$J$189,MATCH(MID(IFERROR(INDIRECT("'" &amp; $B69 &amp; "'!" &amp; $R$82),0),2,1),DanhMuc!$I$180:$I$189,0))),0))</f>
        <v>0</v>
      </c>
      <c r="S69" s="757">
        <f t="shared" ca="1" si="26"/>
        <v>0</v>
      </c>
      <c r="T69" s="757">
        <f t="shared" ca="1" si="43"/>
        <v>0</v>
      </c>
      <c r="U69" s="757">
        <f t="shared" ca="1" si="27"/>
        <v>0</v>
      </c>
      <c r="V69" s="757">
        <f t="shared" ca="1" si="60"/>
        <v>0</v>
      </c>
      <c r="W69" s="757">
        <f t="shared" ca="1" si="60"/>
        <v>0</v>
      </c>
      <c r="X69" s="757">
        <f t="shared" ca="1" si="61"/>
        <v>0</v>
      </c>
      <c r="Y69" s="757">
        <f t="shared" ca="1" si="61"/>
        <v>0</v>
      </c>
      <c r="Z69" s="757">
        <f t="shared" ca="1" si="67"/>
        <v>0</v>
      </c>
      <c r="AA69" s="757">
        <f t="shared" ca="1" si="67"/>
        <v>0</v>
      </c>
      <c r="AB69" s="757">
        <f t="shared" ca="1" si="67"/>
        <v>0</v>
      </c>
      <c r="AC69" s="757">
        <f t="shared" ca="1" si="67"/>
        <v>0</v>
      </c>
      <c r="AD69" s="757">
        <f t="shared" ca="1" si="67"/>
        <v>0</v>
      </c>
      <c r="AE69" s="757">
        <f t="shared" ca="1" si="28"/>
        <v>0</v>
      </c>
      <c r="AF69" s="758">
        <f t="shared" ca="1" si="29"/>
        <v>0</v>
      </c>
      <c r="AG69" s="757">
        <f t="shared" ca="1" si="63"/>
        <v>0</v>
      </c>
      <c r="AH69" s="757">
        <f t="shared" ca="1" si="63"/>
        <v>0</v>
      </c>
      <c r="AI69" s="757">
        <f t="shared" ca="1" si="30"/>
        <v>0</v>
      </c>
      <c r="AJ69" s="758">
        <f t="shared" ca="1" si="31"/>
        <v>0</v>
      </c>
      <c r="AK69" s="759">
        <f t="shared" ca="1" si="32"/>
        <v>0</v>
      </c>
      <c r="AL69" s="757">
        <f t="shared" ca="1" si="68"/>
        <v>0</v>
      </c>
      <c r="AM69" s="757">
        <f t="shared" ca="1" si="68"/>
        <v>0</v>
      </c>
      <c r="AN69" s="757">
        <f t="shared" ca="1" si="68"/>
        <v>0</v>
      </c>
      <c r="AO69" s="757">
        <f t="shared" ca="1" si="68"/>
        <v>0</v>
      </c>
      <c r="AP69" s="757">
        <f t="shared" ca="1" si="68"/>
        <v>0</v>
      </c>
      <c r="AQ69" s="757">
        <f t="shared" ca="1" si="68"/>
        <v>0</v>
      </c>
      <c r="AR69" s="757">
        <f t="shared" ca="1" si="68"/>
        <v>0</v>
      </c>
      <c r="AS69" s="757">
        <f t="shared" ca="1" si="68"/>
        <v>0</v>
      </c>
      <c r="AT69" s="757">
        <f t="shared" ca="1" si="68"/>
        <v>0</v>
      </c>
      <c r="AU69" s="757">
        <f t="shared" ca="1" si="68"/>
        <v>0</v>
      </c>
      <c r="AV69" s="757">
        <f t="shared" ca="1" si="68"/>
        <v>0</v>
      </c>
      <c r="AW69" s="757">
        <f t="shared" ca="1" si="68"/>
        <v>0</v>
      </c>
      <c r="AX69" s="757">
        <f t="shared" ca="1" si="68"/>
        <v>0</v>
      </c>
      <c r="AY69" s="758">
        <f t="shared" ca="1" si="33"/>
        <v>0</v>
      </c>
      <c r="AZ69" s="757">
        <f t="shared" ca="1" si="65"/>
        <v>0</v>
      </c>
      <c r="BA69" s="757">
        <f t="shared" ca="1" si="65"/>
        <v>0</v>
      </c>
      <c r="BB69" s="757"/>
      <c r="BC69" s="758">
        <f t="shared" ca="1" si="34"/>
        <v>0</v>
      </c>
      <c r="BD69" s="759">
        <f t="shared" ca="1" si="35"/>
        <v>0</v>
      </c>
      <c r="BE69" s="197"/>
      <c r="BF69" s="708"/>
      <c r="BG69" s="703" t="str">
        <f>IF($BF69="","","ĐNSX"&amp; IF(LEN($BF69)=1,"0" &amp; $BF69,$BF69) &amp; "/" &amp; ThongTinChung!$C$5)</f>
        <v/>
      </c>
      <c r="BH69" s="100" t="str">
        <f t="shared" ca="1" si="59"/>
        <v/>
      </c>
      <c r="BI69" s="194" t="str">
        <f ca="1">IF($B69="","","C" &amp; ROW(MauKoXoa!$C$108) &amp; ":C" &amp;ROW(MauKoXoa!$C$174))</f>
        <v/>
      </c>
      <c r="BJ69" s="198" t="str">
        <f t="shared" ca="1" si="36"/>
        <v/>
      </c>
      <c r="BK69" s="198" t="str">
        <f t="shared" ca="1" si="37"/>
        <v/>
      </c>
      <c r="BL69" s="650" t="str">
        <f ca="1">IF(COUNTIF($BL$10:$BL68,IFERROR(INDEX(DanhMuc!$J$154:$J$165,MATCH($BJ69,DanhMuc!$B$154:$B$165,0)),""))&lt;1,IFERROR(INDEX(DanhMuc!$J$154:$J$165,MATCH($BJ69,DanhMuc!$B$154:$B$165,0)),""),"")</f>
        <v/>
      </c>
      <c r="BM69" s="650" t="str">
        <f ca="1">IF(COUNTIF($BM$10:$BM68,IFERROR(INDEX(DanhMuc!$D$168:$D$177,MATCH($BK69,DanhMuc!$C$168:$C$177,0)),""))&lt;1,IFERROR(INDEX(DanhMuc!$D$168:$D$177,MATCH($BK69,DanhMuc!$C$168:$C$177,0)),""),"")</f>
        <v/>
      </c>
      <c r="BN69" s="650" t="str">
        <f ca="1">IFERROR(INDEX(DanhMuc!$K$154:$K$165,MATCH($BJ69,DanhMuc!$B$154:$B$165,0)),"")</f>
        <v/>
      </c>
      <c r="BO69" s="653" t="str">
        <f t="shared" ca="1" si="38"/>
        <v/>
      </c>
      <c r="BP69" s="653" t="str">
        <f t="shared" ca="1" si="54"/>
        <v/>
      </c>
      <c r="BQ69" s="757">
        <f t="shared" ca="1" si="69"/>
        <v>0</v>
      </c>
      <c r="BR69" s="757">
        <f t="shared" ca="1" si="69"/>
        <v>0</v>
      </c>
      <c r="BS69" s="757">
        <f t="shared" ca="1" si="69"/>
        <v>0</v>
      </c>
      <c r="BT69" s="757">
        <f t="shared" ca="1" si="69"/>
        <v>0</v>
      </c>
      <c r="BU69" s="757">
        <f t="shared" ca="1" si="69"/>
        <v>0</v>
      </c>
      <c r="BV69" s="757">
        <f t="shared" ca="1" si="69"/>
        <v>0</v>
      </c>
      <c r="BW69" s="198"/>
    </row>
    <row r="70" spans="1:75" s="42" customFormat="1" ht="19.899999999999999" customHeight="1">
      <c r="A70" s="37" t="str">
        <f ca="1">IF(B70="","",MAX($A$10:A69)+1)</f>
        <v/>
      </c>
      <c r="B70" s="718" t="str">
        <f t="shared" ref="B70:B80" ca="1" si="70">+BP70</f>
        <v/>
      </c>
      <c r="C70" s="1166">
        <f t="shared" ca="1" si="13"/>
        <v>0</v>
      </c>
      <c r="D70" s="643" t="str">
        <f t="shared" ca="1" si="14"/>
        <v/>
      </c>
      <c r="E70" s="203"/>
      <c r="F70" s="38">
        <f t="shared" ca="1" si="15"/>
        <v>0</v>
      </c>
      <c r="G70" s="38">
        <f t="shared" ca="1" si="16"/>
        <v>0</v>
      </c>
      <c r="H70" s="1136">
        <f t="shared" ca="1" si="17"/>
        <v>0</v>
      </c>
      <c r="I70" s="38">
        <f t="shared" ca="1" si="18"/>
        <v>0</v>
      </c>
      <c r="J70" s="39">
        <f t="shared" si="19"/>
        <v>0</v>
      </c>
      <c r="K70" s="1137">
        <f t="shared" ca="1" si="20"/>
        <v>0</v>
      </c>
      <c r="L70" s="40">
        <f t="shared" ca="1" si="21"/>
        <v>0</v>
      </c>
      <c r="M70" s="40">
        <f t="shared" ref="M70:M80" ca="1" si="71">ROUND(AJ70,-3)</f>
        <v>0</v>
      </c>
      <c r="N70" s="41">
        <f t="shared" ca="1" si="23"/>
        <v>0</v>
      </c>
      <c r="O70" s="762" t="str">
        <f t="shared" ca="1" si="58"/>
        <v/>
      </c>
      <c r="P70" s="756">
        <f t="shared" ref="P70:P80" ca="1" si="72">IFERROR(O70*I70,0)</f>
        <v>0</v>
      </c>
      <c r="Q70" s="757">
        <f t="shared" ca="1" si="25"/>
        <v>0</v>
      </c>
      <c r="R70" s="905">
        <f ca="1">IF($B70="",0,IFERROR(IFERROR(INDEX(DanhMuc!$J$180:$J$189,MATCH(MID(IFERROR(INDIRECT("'" &amp; $B70 &amp; "'!" &amp; $R$82),0),2,1)&amp;MID(IFERROR(INDIRECT("'" &amp; $B70 &amp; "'!" &amp; $R$82),0),7,2),DanhMuc!$I$180:$I$189,0)),INDEX(DanhMuc!$J$180:$J$189,MATCH(MID(IFERROR(INDIRECT("'" &amp; $B70 &amp; "'!" &amp; $R$82),0),2,1),DanhMuc!$I$180:$I$189,0))),0))</f>
        <v>0</v>
      </c>
      <c r="S70" s="757">
        <f t="shared" ca="1" si="26"/>
        <v>0</v>
      </c>
      <c r="T70" s="757">
        <f t="shared" ca="1" si="43"/>
        <v>0</v>
      </c>
      <c r="U70" s="757">
        <f t="shared" ca="1" si="27"/>
        <v>0</v>
      </c>
      <c r="V70" s="757">
        <f t="shared" ca="1" si="60"/>
        <v>0</v>
      </c>
      <c r="W70" s="757">
        <f t="shared" ca="1" si="60"/>
        <v>0</v>
      </c>
      <c r="X70" s="757">
        <f t="shared" ca="1" si="61"/>
        <v>0</v>
      </c>
      <c r="Y70" s="757">
        <f t="shared" ca="1" si="61"/>
        <v>0</v>
      </c>
      <c r="Z70" s="757">
        <f t="shared" ca="1" si="67"/>
        <v>0</v>
      </c>
      <c r="AA70" s="757">
        <f t="shared" ca="1" si="67"/>
        <v>0</v>
      </c>
      <c r="AB70" s="757">
        <f t="shared" ca="1" si="67"/>
        <v>0</v>
      </c>
      <c r="AC70" s="757">
        <f t="shared" ca="1" si="67"/>
        <v>0</v>
      </c>
      <c r="AD70" s="757">
        <f t="shared" ca="1" si="67"/>
        <v>0</v>
      </c>
      <c r="AE70" s="757">
        <f t="shared" ca="1" si="28"/>
        <v>0</v>
      </c>
      <c r="AF70" s="758">
        <f t="shared" ca="1" si="29"/>
        <v>0</v>
      </c>
      <c r="AG70" s="757">
        <f t="shared" ca="1" si="63"/>
        <v>0</v>
      </c>
      <c r="AH70" s="757">
        <f t="shared" ca="1" si="63"/>
        <v>0</v>
      </c>
      <c r="AI70" s="757">
        <f t="shared" ca="1" si="30"/>
        <v>0</v>
      </c>
      <c r="AJ70" s="758">
        <f t="shared" ca="1" si="31"/>
        <v>0</v>
      </c>
      <c r="AK70" s="759">
        <f t="shared" ca="1" si="32"/>
        <v>0</v>
      </c>
      <c r="AL70" s="757">
        <f t="shared" ca="1" si="68"/>
        <v>0</v>
      </c>
      <c r="AM70" s="757">
        <f t="shared" ca="1" si="68"/>
        <v>0</v>
      </c>
      <c r="AN70" s="757">
        <f t="shared" ca="1" si="68"/>
        <v>0</v>
      </c>
      <c r="AO70" s="757">
        <f t="shared" ca="1" si="68"/>
        <v>0</v>
      </c>
      <c r="AP70" s="757">
        <f t="shared" ca="1" si="68"/>
        <v>0</v>
      </c>
      <c r="AQ70" s="757">
        <f t="shared" ca="1" si="68"/>
        <v>0</v>
      </c>
      <c r="AR70" s="757">
        <f t="shared" ca="1" si="68"/>
        <v>0</v>
      </c>
      <c r="AS70" s="757">
        <f t="shared" ca="1" si="68"/>
        <v>0</v>
      </c>
      <c r="AT70" s="757">
        <f t="shared" ca="1" si="68"/>
        <v>0</v>
      </c>
      <c r="AU70" s="757">
        <f t="shared" ca="1" si="68"/>
        <v>0</v>
      </c>
      <c r="AV70" s="757">
        <f t="shared" ca="1" si="68"/>
        <v>0</v>
      </c>
      <c r="AW70" s="757">
        <f t="shared" ca="1" si="68"/>
        <v>0</v>
      </c>
      <c r="AX70" s="757">
        <f t="shared" ca="1" si="68"/>
        <v>0</v>
      </c>
      <c r="AY70" s="758">
        <f t="shared" ca="1" si="33"/>
        <v>0</v>
      </c>
      <c r="AZ70" s="757">
        <f t="shared" ca="1" si="65"/>
        <v>0</v>
      </c>
      <c r="BA70" s="757">
        <f t="shared" ca="1" si="65"/>
        <v>0</v>
      </c>
      <c r="BB70" s="757"/>
      <c r="BC70" s="758">
        <f t="shared" ca="1" si="34"/>
        <v>0</v>
      </c>
      <c r="BD70" s="759">
        <f t="shared" ca="1" si="35"/>
        <v>0</v>
      </c>
      <c r="BE70" s="197"/>
      <c r="BF70" s="708"/>
      <c r="BG70" s="703" t="str">
        <f>IF($BF70="","","ĐNSX"&amp; IF(LEN($BF70)=1,"0" &amp; $BF70,$BF70) &amp; "/" &amp; ThongTinChung!$C$5)</f>
        <v/>
      </c>
      <c r="BH70" s="100" t="str">
        <f t="shared" ca="1" si="59"/>
        <v/>
      </c>
      <c r="BI70" s="194" t="str">
        <f ca="1">IF($B70="","","C" &amp; ROW(MauKoXoa!$C$108) &amp; ":C" &amp;ROW(MauKoXoa!$C$174))</f>
        <v/>
      </c>
      <c r="BJ70" s="198" t="str">
        <f t="shared" ca="1" si="36"/>
        <v/>
      </c>
      <c r="BK70" s="198" t="str">
        <f t="shared" ca="1" si="37"/>
        <v/>
      </c>
      <c r="BL70" s="650" t="str">
        <f ca="1">IF(COUNTIF($BL$10:$BL69,IFERROR(INDEX(DanhMuc!$J$154:$J$165,MATCH($BJ70,DanhMuc!$B$154:$B$165,0)),""))&lt;1,IFERROR(INDEX(DanhMuc!$J$154:$J$165,MATCH($BJ70,DanhMuc!$B$154:$B$165,0)),""),"")</f>
        <v/>
      </c>
      <c r="BM70" s="650" t="str">
        <f ca="1">IF(COUNTIF($BM$10:$BM69,IFERROR(INDEX(DanhMuc!$D$168:$D$177,MATCH($BK70,DanhMuc!$C$168:$C$177,0)),""))&lt;1,IFERROR(INDEX(DanhMuc!$D$168:$D$177,MATCH($BK70,DanhMuc!$C$168:$C$177,0)),""),"")</f>
        <v/>
      </c>
      <c r="BN70" s="650" t="str">
        <f ca="1">IFERROR(INDEX(DanhMuc!$K$154:$K$165,MATCH($BJ70,DanhMuc!$B$154:$B$165,0)),"")</f>
        <v/>
      </c>
      <c r="BO70" s="653" t="str">
        <f t="shared" ca="1" si="38"/>
        <v/>
      </c>
      <c r="BP70" s="653" t="str">
        <f t="shared" ref="BP70:BP80" ca="1" si="73">IFERROR(INDEX(Lay_Ten_Sheet,BO70),"")</f>
        <v/>
      </c>
      <c r="BQ70" s="757">
        <f t="shared" ca="1" si="69"/>
        <v>0</v>
      </c>
      <c r="BR70" s="757">
        <f t="shared" ca="1" si="69"/>
        <v>0</v>
      </c>
      <c r="BS70" s="757">
        <f t="shared" ca="1" si="69"/>
        <v>0</v>
      </c>
      <c r="BT70" s="757">
        <f t="shared" ca="1" si="69"/>
        <v>0</v>
      </c>
      <c r="BU70" s="757">
        <f t="shared" ca="1" si="69"/>
        <v>0</v>
      </c>
      <c r="BV70" s="757">
        <f t="shared" ca="1" si="69"/>
        <v>0</v>
      </c>
      <c r="BW70" s="198"/>
    </row>
    <row r="71" spans="1:75" s="42" customFormat="1" ht="19.899999999999999" customHeight="1">
      <c r="A71" s="37" t="str">
        <f ca="1">IF(B71="","",MAX($A$10:A70)+1)</f>
        <v/>
      </c>
      <c r="B71" s="718" t="str">
        <f t="shared" ca="1" si="70"/>
        <v/>
      </c>
      <c r="C71" s="1166">
        <f t="shared" ca="1" si="13"/>
        <v>0</v>
      </c>
      <c r="D71" s="643" t="str">
        <f t="shared" ca="1" si="14"/>
        <v/>
      </c>
      <c r="E71" s="203"/>
      <c r="F71" s="38">
        <f t="shared" ca="1" si="15"/>
        <v>0</v>
      </c>
      <c r="G71" s="38">
        <f t="shared" ca="1" si="16"/>
        <v>0</v>
      </c>
      <c r="H71" s="1136">
        <f t="shared" ca="1" si="17"/>
        <v>0</v>
      </c>
      <c r="I71" s="38">
        <f t="shared" ca="1" si="18"/>
        <v>0</v>
      </c>
      <c r="J71" s="39">
        <f t="shared" si="19"/>
        <v>0</v>
      </c>
      <c r="K71" s="1137">
        <f t="shared" ca="1" si="20"/>
        <v>0</v>
      </c>
      <c r="L71" s="40">
        <f t="shared" ca="1" si="21"/>
        <v>0</v>
      </c>
      <c r="M71" s="40">
        <f t="shared" ca="1" si="71"/>
        <v>0</v>
      </c>
      <c r="N71" s="41">
        <f t="shared" ca="1" si="23"/>
        <v>0</v>
      </c>
      <c r="O71" s="762" t="str">
        <f t="shared" ca="1" si="58"/>
        <v/>
      </c>
      <c r="P71" s="756">
        <f t="shared" ca="1" si="72"/>
        <v>0</v>
      </c>
      <c r="Q71" s="757">
        <f t="shared" ca="1" si="25"/>
        <v>0</v>
      </c>
      <c r="R71" s="905">
        <f ca="1">IF($B71="",0,IFERROR(IFERROR(INDEX(DanhMuc!$J$180:$J$189,MATCH(MID(IFERROR(INDIRECT("'" &amp; $B71 &amp; "'!" &amp; $R$82),0),2,1)&amp;MID(IFERROR(INDIRECT("'" &amp; $B71 &amp; "'!" &amp; $R$82),0),7,2),DanhMuc!$I$180:$I$189,0)),INDEX(DanhMuc!$J$180:$J$189,MATCH(MID(IFERROR(INDIRECT("'" &amp; $B71 &amp; "'!" &amp; $R$82),0),2,1),DanhMuc!$I$180:$I$189,0))),0))</f>
        <v>0</v>
      </c>
      <c r="S71" s="757">
        <f t="shared" ca="1" si="26"/>
        <v>0</v>
      </c>
      <c r="T71" s="757">
        <f t="shared" ca="1" si="43"/>
        <v>0</v>
      </c>
      <c r="U71" s="757">
        <f t="shared" ca="1" si="27"/>
        <v>0</v>
      </c>
      <c r="V71" s="757">
        <f t="shared" ref="V71:W80" ca="1" si="74">IFERROR(INDIRECT("'" &amp; $B71 &amp; "'!" &amp; V$82)/IF($E71="md",$J71,IF($E71="m2",$K71,$I71)) * (1+V$10 ),0)</f>
        <v>0</v>
      </c>
      <c r="W71" s="757">
        <f t="shared" ca="1" si="74"/>
        <v>0</v>
      </c>
      <c r="X71" s="757">
        <f t="shared" ref="X71:Y80" ca="1" si="75">IFERROR(INDIRECT("'" &amp; $B71 &amp; "'!" &amp; X$82)/IF($E71="md",$J71,IF($E71="m2",$K71,$I71)) * (1+X$10),0)</f>
        <v>0</v>
      </c>
      <c r="Y71" s="757">
        <f t="shared" ca="1" si="75"/>
        <v>0</v>
      </c>
      <c r="Z71" s="757">
        <f t="shared" ref="Z71:AD80" ca="1" si="76">IFERROR(INDIRECT("'" &amp; $B71 &amp; "'!" &amp; Z$82)/IF($E71="md",$J71,IF($E71="m2",$K71,$I71)) * (1+Z$10 ),0)</f>
        <v>0</v>
      </c>
      <c r="AA71" s="757">
        <f t="shared" ca="1" si="76"/>
        <v>0</v>
      </c>
      <c r="AB71" s="757">
        <f t="shared" ca="1" si="76"/>
        <v>0</v>
      </c>
      <c r="AC71" s="757">
        <f t="shared" ca="1" si="76"/>
        <v>0</v>
      </c>
      <c r="AD71" s="757">
        <f t="shared" ca="1" si="76"/>
        <v>0</v>
      </c>
      <c r="AE71" s="757">
        <f t="shared" ca="1" si="28"/>
        <v>0</v>
      </c>
      <c r="AF71" s="758">
        <f t="shared" ca="1" si="29"/>
        <v>0</v>
      </c>
      <c r="AG71" s="757">
        <f t="shared" ref="AG71:AH80" ca="1" si="77">IFERROR(INDIRECT("'" &amp; $B71 &amp; "'!" &amp; AG$82)/$I71 * (1+AG$10 ),0)</f>
        <v>0</v>
      </c>
      <c r="AH71" s="757">
        <f t="shared" ca="1" si="77"/>
        <v>0</v>
      </c>
      <c r="AI71" s="757">
        <f t="shared" ca="1" si="30"/>
        <v>0</v>
      </c>
      <c r="AJ71" s="758">
        <f t="shared" ca="1" si="31"/>
        <v>0</v>
      </c>
      <c r="AK71" s="759">
        <f t="shared" ca="1" si="32"/>
        <v>0</v>
      </c>
      <c r="AL71" s="757">
        <f t="shared" ref="AL71:AX80" ca="1" si="78">IFERROR(INDIRECT("'" &amp; $B71 &amp; "'!" &amp; AL$82)/IF($E71="md",$J71,IF($E71="m2",$K71,$I71)),0)</f>
        <v>0</v>
      </c>
      <c r="AM71" s="757">
        <f t="shared" ca="1" si="78"/>
        <v>0</v>
      </c>
      <c r="AN71" s="757">
        <f t="shared" ca="1" si="78"/>
        <v>0</v>
      </c>
      <c r="AO71" s="757">
        <f t="shared" ca="1" si="78"/>
        <v>0</v>
      </c>
      <c r="AP71" s="757">
        <f t="shared" ca="1" si="78"/>
        <v>0</v>
      </c>
      <c r="AQ71" s="757">
        <f t="shared" ca="1" si="78"/>
        <v>0</v>
      </c>
      <c r="AR71" s="757">
        <f t="shared" ca="1" si="78"/>
        <v>0</v>
      </c>
      <c r="AS71" s="757">
        <f t="shared" ca="1" si="78"/>
        <v>0</v>
      </c>
      <c r="AT71" s="757">
        <f t="shared" ca="1" si="78"/>
        <v>0</v>
      </c>
      <c r="AU71" s="757">
        <f t="shared" ca="1" si="78"/>
        <v>0</v>
      </c>
      <c r="AV71" s="757">
        <f t="shared" ca="1" si="78"/>
        <v>0</v>
      </c>
      <c r="AW71" s="757">
        <f t="shared" ca="1" si="78"/>
        <v>0</v>
      </c>
      <c r="AX71" s="757">
        <f t="shared" ca="1" si="78"/>
        <v>0</v>
      </c>
      <c r="AY71" s="758">
        <f t="shared" ca="1" si="33"/>
        <v>0</v>
      </c>
      <c r="AZ71" s="757">
        <f t="shared" ref="AZ71:BA80" ca="1" si="79">IFERROR(INDIRECT("'" &amp; $B71 &amp; "'!" &amp; AZ$82)/$I71,0)</f>
        <v>0</v>
      </c>
      <c r="BA71" s="757">
        <f t="shared" ca="1" si="79"/>
        <v>0</v>
      </c>
      <c r="BB71" s="757"/>
      <c r="BC71" s="758">
        <f t="shared" ca="1" si="34"/>
        <v>0</v>
      </c>
      <c r="BD71" s="759">
        <f t="shared" ca="1" si="35"/>
        <v>0</v>
      </c>
      <c r="BE71" s="197"/>
      <c r="BF71" s="708"/>
      <c r="BG71" s="703" t="str">
        <f>IF($BF71="","","ĐNSX"&amp; IF(LEN($BF71)=1,"0" &amp; $BF71,$BF71) &amp; "/" &amp; ThongTinChung!$C$5)</f>
        <v/>
      </c>
      <c r="BH71" s="100" t="str">
        <f t="shared" ca="1" si="59"/>
        <v/>
      </c>
      <c r="BI71" s="194" t="str">
        <f ca="1">IF($B71="","","C" &amp; ROW(MauKoXoa!$C$108) &amp; ":C" &amp;ROW(MauKoXoa!$C$174))</f>
        <v/>
      </c>
      <c r="BJ71" s="198" t="str">
        <f t="shared" ca="1" si="36"/>
        <v/>
      </c>
      <c r="BK71" s="198" t="str">
        <f t="shared" ca="1" si="37"/>
        <v/>
      </c>
      <c r="BL71" s="650" t="str">
        <f ca="1">IF(COUNTIF($BL$10:$BL70,IFERROR(INDEX(DanhMuc!$J$154:$J$165,MATCH($BJ71,DanhMuc!$B$154:$B$165,0)),""))&lt;1,IFERROR(INDEX(DanhMuc!$J$154:$J$165,MATCH($BJ71,DanhMuc!$B$154:$B$165,0)),""),"")</f>
        <v/>
      </c>
      <c r="BM71" s="650" t="str">
        <f ca="1">IF(COUNTIF($BM$10:$BM70,IFERROR(INDEX(DanhMuc!$D$168:$D$177,MATCH($BK71,DanhMuc!$C$168:$C$177,0)),""))&lt;1,IFERROR(INDEX(DanhMuc!$D$168:$D$177,MATCH($BK71,DanhMuc!$C$168:$C$177,0)),""),"")</f>
        <v/>
      </c>
      <c r="BN71" s="650" t="str">
        <f ca="1">IFERROR(INDEX(DanhMuc!$K$154:$K$165,MATCH($BJ71,DanhMuc!$B$154:$B$165,0)),"")</f>
        <v/>
      </c>
      <c r="BO71" s="653" t="str">
        <f t="shared" ca="1" si="38"/>
        <v/>
      </c>
      <c r="BP71" s="653" t="str">
        <f t="shared" ca="1" si="73"/>
        <v/>
      </c>
      <c r="BQ71" s="757">
        <f t="shared" ref="BQ71:BV80" ca="1" si="80">IFERROR(INDIRECT("'" &amp; $B71 &amp; "'!" &amp; BQ$82),0)</f>
        <v>0</v>
      </c>
      <c r="BR71" s="757">
        <f t="shared" ca="1" si="80"/>
        <v>0</v>
      </c>
      <c r="BS71" s="757">
        <f t="shared" ca="1" si="80"/>
        <v>0</v>
      </c>
      <c r="BT71" s="757">
        <f t="shared" ca="1" si="80"/>
        <v>0</v>
      </c>
      <c r="BU71" s="757">
        <f t="shared" ca="1" si="80"/>
        <v>0</v>
      </c>
      <c r="BV71" s="757">
        <f t="shared" ca="1" si="80"/>
        <v>0</v>
      </c>
      <c r="BW71" s="198"/>
    </row>
    <row r="72" spans="1:75" s="42" customFormat="1" ht="19.899999999999999" customHeight="1">
      <c r="A72" s="37" t="str">
        <f ca="1">IF(B72="","",MAX($A$10:A71)+1)</f>
        <v/>
      </c>
      <c r="B72" s="718" t="str">
        <f t="shared" ca="1" si="70"/>
        <v/>
      </c>
      <c r="C72" s="1166">
        <f t="shared" ca="1" si="13"/>
        <v>0</v>
      </c>
      <c r="D72" s="643" t="str">
        <f t="shared" ca="1" si="14"/>
        <v/>
      </c>
      <c r="E72" s="203"/>
      <c r="F72" s="38">
        <f t="shared" ca="1" si="15"/>
        <v>0</v>
      </c>
      <c r="G72" s="38">
        <f t="shared" ca="1" si="16"/>
        <v>0</v>
      </c>
      <c r="H72" s="1136">
        <f t="shared" ca="1" si="17"/>
        <v>0</v>
      </c>
      <c r="I72" s="38">
        <f t="shared" ca="1" si="18"/>
        <v>0</v>
      </c>
      <c r="J72" s="39">
        <f t="shared" si="19"/>
        <v>0</v>
      </c>
      <c r="K72" s="1137">
        <f t="shared" ca="1" si="20"/>
        <v>0</v>
      </c>
      <c r="L72" s="40">
        <f t="shared" ca="1" si="21"/>
        <v>0</v>
      </c>
      <c r="M72" s="40">
        <f t="shared" ca="1" si="71"/>
        <v>0</v>
      </c>
      <c r="N72" s="41">
        <f t="shared" ca="1" si="23"/>
        <v>0</v>
      </c>
      <c r="O72" s="762" t="str">
        <f t="shared" ca="1" si="58"/>
        <v/>
      </c>
      <c r="P72" s="756">
        <f t="shared" ca="1" si="72"/>
        <v>0</v>
      </c>
      <c r="Q72" s="757">
        <f t="shared" ca="1" si="25"/>
        <v>0</v>
      </c>
      <c r="R72" s="905">
        <f ca="1">IF($B72="",0,IFERROR(IFERROR(INDEX(DanhMuc!$J$180:$J$189,MATCH(MID(IFERROR(INDIRECT("'" &amp; $B72 &amp; "'!" &amp; $R$82),0),2,1)&amp;MID(IFERROR(INDIRECT("'" &amp; $B72 &amp; "'!" &amp; $R$82),0),7,2),DanhMuc!$I$180:$I$189,0)),INDEX(DanhMuc!$J$180:$J$189,MATCH(MID(IFERROR(INDIRECT("'" &amp; $B72 &amp; "'!" &amp; $R$82),0),2,1),DanhMuc!$I$180:$I$189,0))),0))</f>
        <v>0</v>
      </c>
      <c r="S72" s="757">
        <f t="shared" ca="1" si="26"/>
        <v>0</v>
      </c>
      <c r="T72" s="757">
        <f t="shared" ca="1" si="43"/>
        <v>0</v>
      </c>
      <c r="U72" s="757">
        <f t="shared" ca="1" si="27"/>
        <v>0</v>
      </c>
      <c r="V72" s="757">
        <f t="shared" ca="1" si="74"/>
        <v>0</v>
      </c>
      <c r="W72" s="757">
        <f t="shared" ca="1" si="74"/>
        <v>0</v>
      </c>
      <c r="X72" s="757">
        <f t="shared" ca="1" si="75"/>
        <v>0</v>
      </c>
      <c r="Y72" s="757">
        <f t="shared" ca="1" si="75"/>
        <v>0</v>
      </c>
      <c r="Z72" s="757">
        <f t="shared" ca="1" si="76"/>
        <v>0</v>
      </c>
      <c r="AA72" s="757">
        <f t="shared" ca="1" si="76"/>
        <v>0</v>
      </c>
      <c r="AB72" s="757">
        <f t="shared" ca="1" si="76"/>
        <v>0</v>
      </c>
      <c r="AC72" s="757">
        <f t="shared" ca="1" si="76"/>
        <v>0</v>
      </c>
      <c r="AD72" s="757">
        <f t="shared" ca="1" si="76"/>
        <v>0</v>
      </c>
      <c r="AE72" s="757">
        <f t="shared" ca="1" si="28"/>
        <v>0</v>
      </c>
      <c r="AF72" s="758">
        <f t="shared" ca="1" si="29"/>
        <v>0</v>
      </c>
      <c r="AG72" s="757">
        <f t="shared" ca="1" si="77"/>
        <v>0</v>
      </c>
      <c r="AH72" s="757">
        <f t="shared" ca="1" si="77"/>
        <v>0</v>
      </c>
      <c r="AI72" s="757">
        <f t="shared" ca="1" si="30"/>
        <v>0</v>
      </c>
      <c r="AJ72" s="758">
        <f t="shared" ca="1" si="31"/>
        <v>0</v>
      </c>
      <c r="AK72" s="759">
        <f t="shared" ca="1" si="32"/>
        <v>0</v>
      </c>
      <c r="AL72" s="757">
        <f t="shared" ca="1" si="78"/>
        <v>0</v>
      </c>
      <c r="AM72" s="757">
        <f t="shared" ca="1" si="78"/>
        <v>0</v>
      </c>
      <c r="AN72" s="757">
        <f t="shared" ca="1" si="78"/>
        <v>0</v>
      </c>
      <c r="AO72" s="757">
        <f t="shared" ca="1" si="78"/>
        <v>0</v>
      </c>
      <c r="AP72" s="757">
        <f t="shared" ca="1" si="78"/>
        <v>0</v>
      </c>
      <c r="AQ72" s="757">
        <f t="shared" ca="1" si="78"/>
        <v>0</v>
      </c>
      <c r="AR72" s="757">
        <f t="shared" ca="1" si="78"/>
        <v>0</v>
      </c>
      <c r="AS72" s="757">
        <f t="shared" ca="1" si="78"/>
        <v>0</v>
      </c>
      <c r="AT72" s="757">
        <f t="shared" ca="1" si="78"/>
        <v>0</v>
      </c>
      <c r="AU72" s="757">
        <f t="shared" ca="1" si="78"/>
        <v>0</v>
      </c>
      <c r="AV72" s="757">
        <f t="shared" ca="1" si="78"/>
        <v>0</v>
      </c>
      <c r="AW72" s="757">
        <f t="shared" ca="1" si="78"/>
        <v>0</v>
      </c>
      <c r="AX72" s="757">
        <f t="shared" ca="1" si="78"/>
        <v>0</v>
      </c>
      <c r="AY72" s="758">
        <f t="shared" ca="1" si="33"/>
        <v>0</v>
      </c>
      <c r="AZ72" s="757">
        <f t="shared" ca="1" si="79"/>
        <v>0</v>
      </c>
      <c r="BA72" s="757">
        <f t="shared" ca="1" si="79"/>
        <v>0</v>
      </c>
      <c r="BB72" s="757"/>
      <c r="BC72" s="758">
        <f t="shared" ca="1" si="34"/>
        <v>0</v>
      </c>
      <c r="BD72" s="759">
        <f t="shared" ca="1" si="35"/>
        <v>0</v>
      </c>
      <c r="BE72" s="197"/>
      <c r="BF72" s="708"/>
      <c r="BG72" s="703" t="str">
        <f>IF($BF72="","","ĐNSX"&amp; IF(LEN($BF72)=1,"0" &amp; $BF72,$BF72) &amp; "/" &amp; ThongTinChung!$C$5)</f>
        <v/>
      </c>
      <c r="BH72" s="100" t="str">
        <f t="shared" ca="1" si="59"/>
        <v/>
      </c>
      <c r="BI72" s="194" t="str">
        <f ca="1">IF($B72="","","C" &amp; ROW(MauKoXoa!$C$108) &amp; ":C" &amp;ROW(MauKoXoa!$C$174))</f>
        <v/>
      </c>
      <c r="BJ72" s="198" t="str">
        <f t="shared" ca="1" si="36"/>
        <v/>
      </c>
      <c r="BK72" s="198" t="str">
        <f t="shared" ca="1" si="37"/>
        <v/>
      </c>
      <c r="BL72" s="650" t="str">
        <f ca="1">IF(COUNTIF($BL$10:$BL71,IFERROR(INDEX(DanhMuc!$J$154:$J$165,MATCH($BJ72,DanhMuc!$B$154:$B$165,0)),""))&lt;1,IFERROR(INDEX(DanhMuc!$J$154:$J$165,MATCH($BJ72,DanhMuc!$B$154:$B$165,0)),""),"")</f>
        <v/>
      </c>
      <c r="BM72" s="650" t="str">
        <f ca="1">IF(COUNTIF($BM$10:$BM71,IFERROR(INDEX(DanhMuc!$D$168:$D$177,MATCH($BK72,DanhMuc!$C$168:$C$177,0)),""))&lt;1,IFERROR(INDEX(DanhMuc!$D$168:$D$177,MATCH($BK72,DanhMuc!$C$168:$C$177,0)),""),"")</f>
        <v/>
      </c>
      <c r="BN72" s="650" t="str">
        <f ca="1">IFERROR(INDEX(DanhMuc!$K$154:$K$165,MATCH($BJ72,DanhMuc!$B$154:$B$165,0)),"")</f>
        <v/>
      </c>
      <c r="BO72" s="653" t="str">
        <f t="shared" ca="1" si="38"/>
        <v/>
      </c>
      <c r="BP72" s="653" t="str">
        <f t="shared" ca="1" si="73"/>
        <v/>
      </c>
      <c r="BQ72" s="757">
        <f t="shared" ca="1" si="80"/>
        <v>0</v>
      </c>
      <c r="BR72" s="757">
        <f t="shared" ca="1" si="80"/>
        <v>0</v>
      </c>
      <c r="BS72" s="757">
        <f t="shared" ca="1" si="80"/>
        <v>0</v>
      </c>
      <c r="BT72" s="757">
        <f t="shared" ca="1" si="80"/>
        <v>0</v>
      </c>
      <c r="BU72" s="757">
        <f t="shared" ca="1" si="80"/>
        <v>0</v>
      </c>
      <c r="BV72" s="757">
        <f t="shared" ca="1" si="80"/>
        <v>0</v>
      </c>
      <c r="BW72" s="198"/>
    </row>
    <row r="73" spans="1:75" s="42" customFormat="1" ht="19.899999999999999" customHeight="1">
      <c r="A73" s="37" t="str">
        <f ca="1">IF(B73="","",MAX($A$10:A72)+1)</f>
        <v/>
      </c>
      <c r="B73" s="718" t="str">
        <f t="shared" ca="1" si="70"/>
        <v/>
      </c>
      <c r="C73" s="1166">
        <f t="shared" ca="1" si="13"/>
        <v>0</v>
      </c>
      <c r="D73" s="643" t="str">
        <f t="shared" ca="1" si="14"/>
        <v/>
      </c>
      <c r="E73" s="203"/>
      <c r="F73" s="38">
        <f t="shared" ca="1" si="15"/>
        <v>0</v>
      </c>
      <c r="G73" s="38">
        <f t="shared" ca="1" si="16"/>
        <v>0</v>
      </c>
      <c r="H73" s="1136">
        <f t="shared" ca="1" si="17"/>
        <v>0</v>
      </c>
      <c r="I73" s="38">
        <f t="shared" ca="1" si="18"/>
        <v>0</v>
      </c>
      <c r="J73" s="39">
        <f t="shared" si="19"/>
        <v>0</v>
      </c>
      <c r="K73" s="1137">
        <f t="shared" ca="1" si="20"/>
        <v>0</v>
      </c>
      <c r="L73" s="40">
        <f t="shared" ca="1" si="21"/>
        <v>0</v>
      </c>
      <c r="M73" s="40">
        <f t="shared" ca="1" si="71"/>
        <v>0</v>
      </c>
      <c r="N73" s="41">
        <f t="shared" ca="1" si="23"/>
        <v>0</v>
      </c>
      <c r="O73" s="762" t="str">
        <f t="shared" ca="1" si="58"/>
        <v/>
      </c>
      <c r="P73" s="756">
        <f t="shared" ca="1" si="72"/>
        <v>0</v>
      </c>
      <c r="Q73" s="757">
        <f t="shared" ca="1" si="25"/>
        <v>0</v>
      </c>
      <c r="R73" s="905">
        <f ca="1">IF($B73="",0,IFERROR(IFERROR(INDEX(DanhMuc!$J$180:$J$189,MATCH(MID(IFERROR(INDIRECT("'" &amp; $B73 &amp; "'!" &amp; $R$82),0),2,1)&amp;MID(IFERROR(INDIRECT("'" &amp; $B73 &amp; "'!" &amp; $R$82),0),7,2),DanhMuc!$I$180:$I$189,0)),INDEX(DanhMuc!$J$180:$J$189,MATCH(MID(IFERROR(INDIRECT("'" &amp; $B73 &amp; "'!" &amp; $R$82),0),2,1),DanhMuc!$I$180:$I$189,0))),0))</f>
        <v>0</v>
      </c>
      <c r="S73" s="757">
        <f t="shared" ca="1" si="26"/>
        <v>0</v>
      </c>
      <c r="T73" s="757">
        <f t="shared" ca="1" si="43"/>
        <v>0</v>
      </c>
      <c r="U73" s="757">
        <f t="shared" ca="1" si="27"/>
        <v>0</v>
      </c>
      <c r="V73" s="757">
        <f t="shared" ca="1" si="74"/>
        <v>0</v>
      </c>
      <c r="W73" s="757">
        <f t="shared" ca="1" si="74"/>
        <v>0</v>
      </c>
      <c r="X73" s="757">
        <f t="shared" ca="1" si="75"/>
        <v>0</v>
      </c>
      <c r="Y73" s="757">
        <f t="shared" ca="1" si="75"/>
        <v>0</v>
      </c>
      <c r="Z73" s="757">
        <f t="shared" ca="1" si="76"/>
        <v>0</v>
      </c>
      <c r="AA73" s="757">
        <f t="shared" ca="1" si="76"/>
        <v>0</v>
      </c>
      <c r="AB73" s="757">
        <f t="shared" ca="1" si="76"/>
        <v>0</v>
      </c>
      <c r="AC73" s="757">
        <f t="shared" ca="1" si="76"/>
        <v>0</v>
      </c>
      <c r="AD73" s="757">
        <f t="shared" ca="1" si="76"/>
        <v>0</v>
      </c>
      <c r="AE73" s="757">
        <f t="shared" ca="1" si="28"/>
        <v>0</v>
      </c>
      <c r="AF73" s="758">
        <f t="shared" ca="1" si="29"/>
        <v>0</v>
      </c>
      <c r="AG73" s="757">
        <f t="shared" ca="1" si="77"/>
        <v>0</v>
      </c>
      <c r="AH73" s="757">
        <f t="shared" ca="1" si="77"/>
        <v>0</v>
      </c>
      <c r="AI73" s="757">
        <f t="shared" ca="1" si="30"/>
        <v>0</v>
      </c>
      <c r="AJ73" s="758">
        <f t="shared" ca="1" si="31"/>
        <v>0</v>
      </c>
      <c r="AK73" s="759">
        <f t="shared" ca="1" si="32"/>
        <v>0</v>
      </c>
      <c r="AL73" s="757">
        <f t="shared" ca="1" si="78"/>
        <v>0</v>
      </c>
      <c r="AM73" s="757">
        <f t="shared" ca="1" si="78"/>
        <v>0</v>
      </c>
      <c r="AN73" s="757">
        <f t="shared" ca="1" si="78"/>
        <v>0</v>
      </c>
      <c r="AO73" s="757">
        <f t="shared" ca="1" si="78"/>
        <v>0</v>
      </c>
      <c r="AP73" s="757">
        <f t="shared" ca="1" si="78"/>
        <v>0</v>
      </c>
      <c r="AQ73" s="757">
        <f t="shared" ca="1" si="78"/>
        <v>0</v>
      </c>
      <c r="AR73" s="757">
        <f t="shared" ca="1" si="78"/>
        <v>0</v>
      </c>
      <c r="AS73" s="757">
        <f t="shared" ca="1" si="78"/>
        <v>0</v>
      </c>
      <c r="AT73" s="757">
        <f t="shared" ca="1" si="78"/>
        <v>0</v>
      </c>
      <c r="AU73" s="757">
        <f t="shared" ca="1" si="78"/>
        <v>0</v>
      </c>
      <c r="AV73" s="757">
        <f t="shared" ca="1" si="78"/>
        <v>0</v>
      </c>
      <c r="AW73" s="757">
        <f t="shared" ca="1" si="78"/>
        <v>0</v>
      </c>
      <c r="AX73" s="757">
        <f t="shared" ca="1" si="78"/>
        <v>0</v>
      </c>
      <c r="AY73" s="758">
        <f t="shared" ca="1" si="33"/>
        <v>0</v>
      </c>
      <c r="AZ73" s="757">
        <f t="shared" ca="1" si="79"/>
        <v>0</v>
      </c>
      <c r="BA73" s="757">
        <f t="shared" ca="1" si="79"/>
        <v>0</v>
      </c>
      <c r="BB73" s="757"/>
      <c r="BC73" s="758">
        <f t="shared" ca="1" si="34"/>
        <v>0</v>
      </c>
      <c r="BD73" s="759">
        <f t="shared" ca="1" si="35"/>
        <v>0</v>
      </c>
      <c r="BE73" s="197"/>
      <c r="BF73" s="708"/>
      <c r="BG73" s="703" t="str">
        <f>IF($BF73="","","ĐNSX"&amp; IF(LEN($BF73)=1,"0" &amp; $BF73,$BF73) &amp; "/" &amp; ThongTinChung!$C$5)</f>
        <v/>
      </c>
      <c r="BH73" s="100" t="str">
        <f t="shared" ca="1" si="59"/>
        <v/>
      </c>
      <c r="BI73" s="194" t="str">
        <f ca="1">IF($B73="","","C" &amp; ROW(MauKoXoa!$C$108) &amp; ":C" &amp;ROW(MauKoXoa!$C$174))</f>
        <v/>
      </c>
      <c r="BJ73" s="198" t="str">
        <f t="shared" ca="1" si="36"/>
        <v/>
      </c>
      <c r="BK73" s="198" t="str">
        <f t="shared" ca="1" si="37"/>
        <v/>
      </c>
      <c r="BL73" s="650" t="str">
        <f ca="1">IF(COUNTIF($BL$10:$BL72,IFERROR(INDEX(DanhMuc!$J$154:$J$165,MATCH($BJ73,DanhMuc!$B$154:$B$165,0)),""))&lt;1,IFERROR(INDEX(DanhMuc!$J$154:$J$165,MATCH($BJ73,DanhMuc!$B$154:$B$165,0)),""),"")</f>
        <v/>
      </c>
      <c r="BM73" s="650" t="str">
        <f ca="1">IF(COUNTIF($BM$10:$BM72,IFERROR(INDEX(DanhMuc!$D$168:$D$177,MATCH($BK73,DanhMuc!$C$168:$C$177,0)),""))&lt;1,IFERROR(INDEX(DanhMuc!$D$168:$D$177,MATCH($BK73,DanhMuc!$C$168:$C$177,0)),""),"")</f>
        <v/>
      </c>
      <c r="BN73" s="650" t="str">
        <f ca="1">IFERROR(INDEX(DanhMuc!$K$154:$K$165,MATCH($BJ73,DanhMuc!$B$154:$B$165,0)),"")</f>
        <v/>
      </c>
      <c r="BO73" s="653" t="str">
        <f t="shared" ca="1" si="38"/>
        <v/>
      </c>
      <c r="BP73" s="653" t="str">
        <f t="shared" ca="1" si="73"/>
        <v/>
      </c>
      <c r="BQ73" s="757">
        <f t="shared" ca="1" si="80"/>
        <v>0</v>
      </c>
      <c r="BR73" s="757">
        <f t="shared" ca="1" si="80"/>
        <v>0</v>
      </c>
      <c r="BS73" s="757">
        <f t="shared" ca="1" si="80"/>
        <v>0</v>
      </c>
      <c r="BT73" s="757">
        <f t="shared" ca="1" si="80"/>
        <v>0</v>
      </c>
      <c r="BU73" s="757">
        <f t="shared" ca="1" si="80"/>
        <v>0</v>
      </c>
      <c r="BV73" s="757">
        <f t="shared" ca="1" si="80"/>
        <v>0</v>
      </c>
      <c r="BW73" s="198"/>
    </row>
    <row r="74" spans="1:75" s="42" customFormat="1" ht="19.899999999999999" customHeight="1">
      <c r="A74" s="37" t="str">
        <f ca="1">IF(B74="","",MAX($A$10:A73)+1)</f>
        <v/>
      </c>
      <c r="B74" s="718" t="str">
        <f t="shared" ca="1" si="70"/>
        <v/>
      </c>
      <c r="C74" s="1166">
        <f t="shared" ca="1" si="13"/>
        <v>0</v>
      </c>
      <c r="D74" s="643" t="str">
        <f t="shared" ca="1" si="14"/>
        <v/>
      </c>
      <c r="E74" s="203"/>
      <c r="F74" s="38">
        <f t="shared" ca="1" si="15"/>
        <v>0</v>
      </c>
      <c r="G74" s="38">
        <f t="shared" ca="1" si="16"/>
        <v>0</v>
      </c>
      <c r="H74" s="1136">
        <f t="shared" ca="1" si="17"/>
        <v>0</v>
      </c>
      <c r="I74" s="38">
        <f t="shared" ca="1" si="18"/>
        <v>0</v>
      </c>
      <c r="J74" s="39">
        <f t="shared" si="19"/>
        <v>0</v>
      </c>
      <c r="K74" s="1137">
        <f t="shared" ca="1" si="20"/>
        <v>0</v>
      </c>
      <c r="L74" s="40">
        <f t="shared" ca="1" si="21"/>
        <v>0</v>
      </c>
      <c r="M74" s="40">
        <f t="shared" ca="1" si="71"/>
        <v>0</v>
      </c>
      <c r="N74" s="41">
        <f t="shared" ca="1" si="23"/>
        <v>0</v>
      </c>
      <c r="O74" s="762" t="str">
        <f t="shared" ca="1" si="58"/>
        <v/>
      </c>
      <c r="P74" s="756">
        <f t="shared" ca="1" si="72"/>
        <v>0</v>
      </c>
      <c r="Q74" s="757">
        <f t="shared" ca="1" si="25"/>
        <v>0</v>
      </c>
      <c r="R74" s="905">
        <f ca="1">IF($B74="",0,IFERROR(IFERROR(INDEX(DanhMuc!$J$180:$J$189,MATCH(MID(IFERROR(INDIRECT("'" &amp; $B74 &amp; "'!" &amp; $R$82),0),2,1)&amp;MID(IFERROR(INDIRECT("'" &amp; $B74 &amp; "'!" &amp; $R$82),0),7,2),DanhMuc!$I$180:$I$189,0)),INDEX(DanhMuc!$J$180:$J$189,MATCH(MID(IFERROR(INDIRECT("'" &amp; $B74 &amp; "'!" &amp; $R$82),0),2,1),DanhMuc!$I$180:$I$189,0))),0))</f>
        <v>0</v>
      </c>
      <c r="S74" s="757">
        <f t="shared" ca="1" si="26"/>
        <v>0</v>
      </c>
      <c r="T74" s="757">
        <f t="shared" ca="1" si="43"/>
        <v>0</v>
      </c>
      <c r="U74" s="757">
        <f t="shared" ca="1" si="27"/>
        <v>0</v>
      </c>
      <c r="V74" s="757">
        <f t="shared" ca="1" si="74"/>
        <v>0</v>
      </c>
      <c r="W74" s="757">
        <f t="shared" ca="1" si="74"/>
        <v>0</v>
      </c>
      <c r="X74" s="757">
        <f t="shared" ca="1" si="75"/>
        <v>0</v>
      </c>
      <c r="Y74" s="757">
        <f t="shared" ca="1" si="75"/>
        <v>0</v>
      </c>
      <c r="Z74" s="757">
        <f t="shared" ca="1" si="76"/>
        <v>0</v>
      </c>
      <c r="AA74" s="757">
        <f t="shared" ca="1" si="76"/>
        <v>0</v>
      </c>
      <c r="AB74" s="757">
        <f t="shared" ca="1" si="76"/>
        <v>0</v>
      </c>
      <c r="AC74" s="757">
        <f t="shared" ca="1" si="76"/>
        <v>0</v>
      </c>
      <c r="AD74" s="757">
        <f t="shared" ca="1" si="76"/>
        <v>0</v>
      </c>
      <c r="AE74" s="757">
        <f t="shared" ca="1" si="28"/>
        <v>0</v>
      </c>
      <c r="AF74" s="758">
        <f t="shared" ca="1" si="29"/>
        <v>0</v>
      </c>
      <c r="AG74" s="757">
        <f t="shared" ca="1" si="77"/>
        <v>0</v>
      </c>
      <c r="AH74" s="757">
        <f t="shared" ca="1" si="77"/>
        <v>0</v>
      </c>
      <c r="AI74" s="757">
        <f t="shared" ca="1" si="30"/>
        <v>0</v>
      </c>
      <c r="AJ74" s="758">
        <f t="shared" ca="1" si="31"/>
        <v>0</v>
      </c>
      <c r="AK74" s="759">
        <f t="shared" ca="1" si="32"/>
        <v>0</v>
      </c>
      <c r="AL74" s="757">
        <f t="shared" ca="1" si="78"/>
        <v>0</v>
      </c>
      <c r="AM74" s="757">
        <f t="shared" ca="1" si="78"/>
        <v>0</v>
      </c>
      <c r="AN74" s="757">
        <f t="shared" ca="1" si="78"/>
        <v>0</v>
      </c>
      <c r="AO74" s="757">
        <f t="shared" ca="1" si="78"/>
        <v>0</v>
      </c>
      <c r="AP74" s="757">
        <f t="shared" ca="1" si="78"/>
        <v>0</v>
      </c>
      <c r="AQ74" s="757">
        <f t="shared" ca="1" si="78"/>
        <v>0</v>
      </c>
      <c r="AR74" s="757">
        <f t="shared" ca="1" si="78"/>
        <v>0</v>
      </c>
      <c r="AS74" s="757">
        <f t="shared" ca="1" si="78"/>
        <v>0</v>
      </c>
      <c r="AT74" s="757">
        <f t="shared" ca="1" si="78"/>
        <v>0</v>
      </c>
      <c r="AU74" s="757">
        <f t="shared" ca="1" si="78"/>
        <v>0</v>
      </c>
      <c r="AV74" s="757">
        <f t="shared" ca="1" si="78"/>
        <v>0</v>
      </c>
      <c r="AW74" s="757">
        <f t="shared" ca="1" si="78"/>
        <v>0</v>
      </c>
      <c r="AX74" s="757">
        <f t="shared" ca="1" si="78"/>
        <v>0</v>
      </c>
      <c r="AY74" s="758">
        <f t="shared" ca="1" si="33"/>
        <v>0</v>
      </c>
      <c r="AZ74" s="757">
        <f t="shared" ca="1" si="79"/>
        <v>0</v>
      </c>
      <c r="BA74" s="757">
        <f t="shared" ca="1" si="79"/>
        <v>0</v>
      </c>
      <c r="BB74" s="757"/>
      <c r="BC74" s="758">
        <f t="shared" ca="1" si="34"/>
        <v>0</v>
      </c>
      <c r="BD74" s="759">
        <f t="shared" ca="1" si="35"/>
        <v>0</v>
      </c>
      <c r="BE74" s="197"/>
      <c r="BF74" s="708"/>
      <c r="BG74" s="703" t="str">
        <f>IF($BF74="","","ĐNSX"&amp; IF(LEN($BF74)=1,"0" &amp; $BF74,$BF74) &amp; "/" &amp; ThongTinChung!$C$5)</f>
        <v/>
      </c>
      <c r="BH74" s="100" t="str">
        <f t="shared" ca="1" si="59"/>
        <v/>
      </c>
      <c r="BI74" s="194" t="str">
        <f ca="1">IF($B74="","","C" &amp; ROW(MauKoXoa!$C$108) &amp; ":C" &amp;ROW(MauKoXoa!$C$174))</f>
        <v/>
      </c>
      <c r="BJ74" s="198" t="str">
        <f t="shared" ca="1" si="36"/>
        <v/>
      </c>
      <c r="BK74" s="198" t="str">
        <f t="shared" ca="1" si="37"/>
        <v/>
      </c>
      <c r="BL74" s="650" t="str">
        <f ca="1">IF(COUNTIF($BL$10:$BL73,IFERROR(INDEX(DanhMuc!$J$154:$J$165,MATCH($BJ74,DanhMuc!$B$154:$B$165,0)),""))&lt;1,IFERROR(INDEX(DanhMuc!$J$154:$J$165,MATCH($BJ74,DanhMuc!$B$154:$B$165,0)),""),"")</f>
        <v/>
      </c>
      <c r="BM74" s="650" t="str">
        <f ca="1">IF(COUNTIF($BM$10:$BM73,IFERROR(INDEX(DanhMuc!$D$168:$D$177,MATCH($BK74,DanhMuc!$C$168:$C$177,0)),""))&lt;1,IFERROR(INDEX(DanhMuc!$D$168:$D$177,MATCH($BK74,DanhMuc!$C$168:$C$177,0)),""),"")</f>
        <v/>
      </c>
      <c r="BN74" s="650" t="str">
        <f ca="1">IFERROR(INDEX(DanhMuc!$K$154:$K$165,MATCH($BJ74,DanhMuc!$B$154:$B$165,0)),"")</f>
        <v/>
      </c>
      <c r="BO74" s="653" t="str">
        <f t="shared" ca="1" si="38"/>
        <v/>
      </c>
      <c r="BP74" s="653" t="str">
        <f t="shared" ca="1" si="73"/>
        <v/>
      </c>
      <c r="BQ74" s="757">
        <f t="shared" ca="1" si="80"/>
        <v>0</v>
      </c>
      <c r="BR74" s="757">
        <f t="shared" ca="1" si="80"/>
        <v>0</v>
      </c>
      <c r="BS74" s="757">
        <f t="shared" ca="1" si="80"/>
        <v>0</v>
      </c>
      <c r="BT74" s="757">
        <f t="shared" ca="1" si="80"/>
        <v>0</v>
      </c>
      <c r="BU74" s="757">
        <f t="shared" ca="1" si="80"/>
        <v>0</v>
      </c>
      <c r="BV74" s="757">
        <f t="shared" ca="1" si="80"/>
        <v>0</v>
      </c>
      <c r="BW74" s="198"/>
    </row>
    <row r="75" spans="1:75" s="42" customFormat="1" ht="19.899999999999999" customHeight="1">
      <c r="A75" s="37" t="str">
        <f ca="1">IF(B75="","",MAX($A$10:A74)+1)</f>
        <v/>
      </c>
      <c r="B75" s="718" t="str">
        <f t="shared" ca="1" si="70"/>
        <v/>
      </c>
      <c r="C75" s="1166">
        <f t="shared" ca="1" si="13"/>
        <v>0</v>
      </c>
      <c r="D75" s="643" t="str">
        <f t="shared" ca="1" si="14"/>
        <v/>
      </c>
      <c r="E75" s="203"/>
      <c r="F75" s="38">
        <f t="shared" ca="1" si="15"/>
        <v>0</v>
      </c>
      <c r="G75" s="38">
        <f t="shared" ca="1" si="16"/>
        <v>0</v>
      </c>
      <c r="H75" s="1136">
        <f t="shared" ca="1" si="17"/>
        <v>0</v>
      </c>
      <c r="I75" s="38">
        <f t="shared" ca="1" si="18"/>
        <v>0</v>
      </c>
      <c r="J75" s="39">
        <f t="shared" si="19"/>
        <v>0</v>
      </c>
      <c r="K75" s="1137">
        <f t="shared" ca="1" si="20"/>
        <v>0</v>
      </c>
      <c r="L75" s="40">
        <f t="shared" ca="1" si="21"/>
        <v>0</v>
      </c>
      <c r="M75" s="40">
        <f t="shared" ca="1" si="71"/>
        <v>0</v>
      </c>
      <c r="N75" s="41">
        <f t="shared" ca="1" si="23"/>
        <v>0</v>
      </c>
      <c r="O75" s="762" t="str">
        <f t="shared" ref="O75:O80" ca="1" si="81">IFERROR(INDIRECT("'" &amp; $B75 &amp; "'!" &amp; O$82),"")</f>
        <v/>
      </c>
      <c r="P75" s="756">
        <f t="shared" ca="1" si="72"/>
        <v>0</v>
      </c>
      <c r="Q75" s="757">
        <f t="shared" ca="1" si="25"/>
        <v>0</v>
      </c>
      <c r="R75" s="905">
        <f ca="1">IF($B75="",0,IFERROR(IFERROR(INDEX(DanhMuc!$J$180:$J$189,MATCH(MID(IFERROR(INDIRECT("'" &amp; $B75 &amp; "'!" &amp; $R$82),0),2,1)&amp;MID(IFERROR(INDIRECT("'" &amp; $B75 &amp; "'!" &amp; $R$82),0),7,2),DanhMuc!$I$180:$I$189,0)),INDEX(DanhMuc!$J$180:$J$189,MATCH(MID(IFERROR(INDIRECT("'" &amp; $B75 &amp; "'!" &amp; $R$82),0),2,1),DanhMuc!$I$180:$I$189,0))),0))</f>
        <v>0</v>
      </c>
      <c r="S75" s="757">
        <f t="shared" ca="1" si="26"/>
        <v>0</v>
      </c>
      <c r="T75" s="757">
        <f t="shared" ca="1" si="43"/>
        <v>0</v>
      </c>
      <c r="U75" s="757">
        <f t="shared" ca="1" si="27"/>
        <v>0</v>
      </c>
      <c r="V75" s="757">
        <f t="shared" ca="1" si="74"/>
        <v>0</v>
      </c>
      <c r="W75" s="757">
        <f t="shared" ca="1" si="74"/>
        <v>0</v>
      </c>
      <c r="X75" s="757">
        <f t="shared" ca="1" si="75"/>
        <v>0</v>
      </c>
      <c r="Y75" s="757">
        <f t="shared" ca="1" si="75"/>
        <v>0</v>
      </c>
      <c r="Z75" s="757">
        <f t="shared" ca="1" si="76"/>
        <v>0</v>
      </c>
      <c r="AA75" s="757">
        <f t="shared" ca="1" si="76"/>
        <v>0</v>
      </c>
      <c r="AB75" s="757">
        <f t="shared" ca="1" si="76"/>
        <v>0</v>
      </c>
      <c r="AC75" s="757">
        <f t="shared" ca="1" si="76"/>
        <v>0</v>
      </c>
      <c r="AD75" s="757">
        <f t="shared" ca="1" si="76"/>
        <v>0</v>
      </c>
      <c r="AE75" s="757">
        <f t="shared" ca="1" si="28"/>
        <v>0</v>
      </c>
      <c r="AF75" s="758">
        <f t="shared" ca="1" si="29"/>
        <v>0</v>
      </c>
      <c r="AG75" s="757">
        <f t="shared" ca="1" si="77"/>
        <v>0</v>
      </c>
      <c r="AH75" s="757">
        <f t="shared" ca="1" si="77"/>
        <v>0</v>
      </c>
      <c r="AI75" s="757">
        <f t="shared" ca="1" si="30"/>
        <v>0</v>
      </c>
      <c r="AJ75" s="758">
        <f t="shared" ca="1" si="31"/>
        <v>0</v>
      </c>
      <c r="AK75" s="759">
        <f t="shared" ca="1" si="32"/>
        <v>0</v>
      </c>
      <c r="AL75" s="757">
        <f t="shared" ca="1" si="78"/>
        <v>0</v>
      </c>
      <c r="AM75" s="757">
        <f t="shared" ca="1" si="78"/>
        <v>0</v>
      </c>
      <c r="AN75" s="757">
        <f t="shared" ca="1" si="78"/>
        <v>0</v>
      </c>
      <c r="AO75" s="757">
        <f t="shared" ca="1" si="78"/>
        <v>0</v>
      </c>
      <c r="AP75" s="757">
        <f t="shared" ca="1" si="78"/>
        <v>0</v>
      </c>
      <c r="AQ75" s="757">
        <f t="shared" ca="1" si="78"/>
        <v>0</v>
      </c>
      <c r="AR75" s="757">
        <f t="shared" ca="1" si="78"/>
        <v>0</v>
      </c>
      <c r="AS75" s="757">
        <f t="shared" ca="1" si="78"/>
        <v>0</v>
      </c>
      <c r="AT75" s="757">
        <f t="shared" ca="1" si="78"/>
        <v>0</v>
      </c>
      <c r="AU75" s="757">
        <f t="shared" ca="1" si="78"/>
        <v>0</v>
      </c>
      <c r="AV75" s="757">
        <f t="shared" ca="1" si="78"/>
        <v>0</v>
      </c>
      <c r="AW75" s="757">
        <f t="shared" ca="1" si="78"/>
        <v>0</v>
      </c>
      <c r="AX75" s="757">
        <f t="shared" ca="1" si="78"/>
        <v>0</v>
      </c>
      <c r="AY75" s="758">
        <f t="shared" ca="1" si="33"/>
        <v>0</v>
      </c>
      <c r="AZ75" s="757">
        <f t="shared" ca="1" si="79"/>
        <v>0</v>
      </c>
      <c r="BA75" s="757">
        <f t="shared" ca="1" si="79"/>
        <v>0</v>
      </c>
      <c r="BB75" s="757"/>
      <c r="BC75" s="758">
        <f t="shared" ca="1" si="34"/>
        <v>0</v>
      </c>
      <c r="BD75" s="759">
        <f t="shared" ca="1" si="35"/>
        <v>0</v>
      </c>
      <c r="BE75" s="197"/>
      <c r="BF75" s="708"/>
      <c r="BG75" s="703" t="str">
        <f>IF($BF75="","","ĐNSX"&amp; IF(LEN($BF75)=1,"0" &amp; $BF75,$BF75) &amp; "/" &amp; ThongTinChung!$C$5)</f>
        <v/>
      </c>
      <c r="BH75" s="100" t="str">
        <f t="shared" ref="BH75:BH80" ca="1" si="82">IF(B75="","",COUNTA(INDIRECT("'" &amp; $B75 &amp; "'!" &amp; BI75)) - COUNTBLANK(INDIRECT("'" &amp; $B75 &amp; "'!" &amp; BI75)))</f>
        <v/>
      </c>
      <c r="BI75" s="194" t="str">
        <f ca="1">IF($B75="","","C" &amp; ROW(MauKoXoa!$C$108) &amp; ":C" &amp;ROW(MauKoXoa!$C$174))</f>
        <v/>
      </c>
      <c r="BJ75" s="198" t="str">
        <f t="shared" ca="1" si="36"/>
        <v/>
      </c>
      <c r="BK75" s="198" t="str">
        <f t="shared" ca="1" si="37"/>
        <v/>
      </c>
      <c r="BL75" s="650" t="str">
        <f ca="1">IF(COUNTIF($BL$10:$BL74,IFERROR(INDEX(DanhMuc!$J$154:$J$165,MATCH($BJ75,DanhMuc!$B$154:$B$165,0)),""))&lt;1,IFERROR(INDEX(DanhMuc!$J$154:$J$165,MATCH($BJ75,DanhMuc!$B$154:$B$165,0)),""),"")</f>
        <v/>
      </c>
      <c r="BM75" s="650" t="str">
        <f ca="1">IF(COUNTIF($BM$10:$BM74,IFERROR(INDEX(DanhMuc!$D$168:$D$177,MATCH($BK75,DanhMuc!$C$168:$C$177,0)),""))&lt;1,IFERROR(INDEX(DanhMuc!$D$168:$D$177,MATCH($BK75,DanhMuc!$C$168:$C$177,0)),""),"")</f>
        <v/>
      </c>
      <c r="BN75" s="650" t="str">
        <f ca="1">IFERROR(INDEX(DanhMuc!$K$154:$K$165,MATCH($BJ75,DanhMuc!$B$154:$B$165,0)),"")</f>
        <v/>
      </c>
      <c r="BO75" s="653" t="str">
        <f t="shared" ca="1" si="38"/>
        <v/>
      </c>
      <c r="BP75" s="653" t="str">
        <f t="shared" ca="1" si="73"/>
        <v/>
      </c>
      <c r="BQ75" s="757">
        <f t="shared" ca="1" si="80"/>
        <v>0</v>
      </c>
      <c r="BR75" s="757">
        <f t="shared" ca="1" si="80"/>
        <v>0</v>
      </c>
      <c r="BS75" s="757">
        <f t="shared" ca="1" si="80"/>
        <v>0</v>
      </c>
      <c r="BT75" s="757">
        <f t="shared" ca="1" si="80"/>
        <v>0</v>
      </c>
      <c r="BU75" s="757">
        <f t="shared" ca="1" si="80"/>
        <v>0</v>
      </c>
      <c r="BV75" s="757">
        <f t="shared" ca="1" si="80"/>
        <v>0</v>
      </c>
      <c r="BW75" s="198"/>
    </row>
    <row r="76" spans="1:75" s="42" customFormat="1" ht="19.899999999999999" customHeight="1">
      <c r="A76" s="37" t="str">
        <f ca="1">IF(B76="","",MAX($A$10:A75)+1)</f>
        <v/>
      </c>
      <c r="B76" s="718" t="str">
        <f t="shared" ca="1" si="70"/>
        <v/>
      </c>
      <c r="C76" s="1166">
        <f t="shared" ref="C76:C80" ca="1" si="83">IFERROR(INDIRECT("'" &amp; $B76 &amp; "'!" &amp; "I5"),0)</f>
        <v>0</v>
      </c>
      <c r="D76" s="643" t="str">
        <f t="shared" ref="D76:D80" ca="1" si="84" xml:space="preserve"> IF(B76="","","- " &amp; UPPER(IF(IFERROR(INDIRECT("'" &amp; $B76 &amp; "'!" &amp; "G3"),"")="chiều mở",SUBSTITUTE(IFERROR(INDIRECT("'" &amp; $B76 &amp; "'!" &amp; "B4"),""), "quay", IFERROR(INDIRECT("'" &amp; $B76 &amp; "'!" &amp; "H3"),"")),IF(       IFERROR(SEARCH("xếp trượt",IFERROR(INDIRECT("'"&amp;$B76&amp;"'!"&amp;"B4"),""),1),0)&gt;=1,SUBSTITUTE(IFERROR(INDIRECT("'" &amp; $B76 &amp; "'!" &amp; "B4"),""), "xếp trượt", "xếp trượt mở " &amp; IFERROR(INDIRECT("'" &amp; $B76 &amp; "'!" &amp; "H3"),"")),IFERROR(INDIRECT("'" &amp; $B76 &amp; "'!" &amp; "B4"),""))))  &amp; " - " &amp;
UPPER(IFERROR(INDIRECT("'" &amp; $B76 &amp; "'!" &amp; "F4"),"")) &amp; "." &amp;
IF(INDIRECT("'" &amp; $B76 &amp; "'!" &amp; "D12")="","",CHAR(10)  &amp; IFERROR( "- " &amp; PROPER(INDIRECT("'" &amp; $B76 &amp; "'!" &amp; "D12")),"") &amp; "."  )&amp;
IF(INDIRECT("'" &amp; $B76 &amp; "'!" &amp; "X13")="","",CHAR(10)  &amp; IFERROR( "- " &amp; INDIRECT("'" &amp; $B76 &amp; "'!" &amp; "X13"),"") &amp; "."  )&amp;
CHAR(10) &amp;  IFERROR("- " &amp; IF(INDIRECT("'" &amp; $B76 &amp; "'!" &amp; "B6")="Không kính", "Không Kính &amp; Nẹp dùng cho " &amp; INDIRECT("'" &amp; $B76 &amp; "'!" &amp; "D6"),INDIRECT("'" &amp; $B76 &amp; "'!" &amp; "D6") &amp; INDIRECT("'" &amp; $B76 &amp; "'!" &amp; "AF98")),"") &amp; IF(INDIRECT("'" &amp; $B76 &amp; "'!" &amp; "J12")&gt;1," - KÍNH NỐI KÍNH","" )&amp; "." &amp;
 IF(IFERROR(INDIRECT("'" &amp; $B76 &amp; "'!" &amp; "D5"),"") = "", "",CHAR(10) &amp; IFERROR("- " &amp;  INDIRECT("'" &amp; $B76 &amp; "'!" &amp; "C5"),"") &amp; " " &amp; IFERROR(INDIRECT("'" &amp; $B76 &amp; "'!" &amp; "D5"),"") &amp; " - " &amp; IFERROR(INDIRECT("'" &amp; $B76 &amp; "'!" &amp; "F5"),"")  &amp; ": ") &amp;
IF(IFERROR(INDIRECT("'" &amp; $B76 &amp; "'!" &amp; "H3"),"") = "","",IF(OR(IFERROR(INDIRECT("'"&amp;$B76&amp;"'!"&amp;"G3"),"")="chiều mở",IFERROR(SEARCH("xếp trượt",IFERROR(INDIRECT("'"&amp;$B76&amp;"'!"&amp;"B4"),""),1),0)&gt;=1), "tay nắm",IFERROR(INDIRECT("'" &amp; $B76 &amp; "'!" &amp; "G3"),"") &amp; " " &amp; IFERROR(INDIRECT("'" &amp; $B76 &amp; "'!" &amp; "H3"),"") )) &amp;
IF(IFERROR(INDIRECT("'" &amp; $B76 &amp; "'!" &amp; "H4"),"") = "", "",  " + " &amp; IFERROR(INDIRECT("'" &amp; $B76 &amp; "'!" &amp; "G4"),"") &amp; " " &amp; IFERROR(SUBSTITUTE(INDIRECT("'" &amp; $B76 &amp; "'!" &amp; "H4"),"chung",""),"")  ) &amp;
IF(IFERROR(INDIRECT("'" &amp; $B76 &amp; "'!" &amp; "H5"),"") = "", "", " + " &amp; IFERROR(INDIRECT("'" &amp; $B76 &amp; "'!" &amp; "G5"),"") &amp; " " &amp; IFERROR(INDIRECT("'" &amp; $B76 &amp; "'!" &amp; "H5"),"")  ) &amp;
IF(IFERROR(INDIRECT("'" &amp; $B76 &amp; "'!" &amp; "H6"),"") = "", "", " + " &amp; IFERROR(INDIRECT("'" &amp; $B76 &amp; "'!" &amp; "G6"),"") &amp; " " &amp; IFERROR(INDIRECT("'" &amp; $B76 &amp; "'!" &amp; "H6"),"") &amp;
IF(IFERROR( INDIRECT("'" &amp; $B76 &amp; "'!" &amp; "L6"),"") = "", "", " " &amp; IFERROR( INDIRECT("'" &amp; $B76 &amp; "'!" &amp; "L6"),"") &amp; ".") ) &amp;
 IF(IFERROR(INDIRECT("'" &amp; $B76 &amp; "'!" &amp; "F7"),"")=0,"", CHAR(10) &amp;  "- Nẹp ghép: " &amp; IFERROR(INDIRECT("'" &amp; $B76 &amp; "'!" &amp; "E7"),"") &amp; "." ) &amp;
 IF(IFERROR(INDIRECT("'" &amp; $B76 &amp; "'!" &amp; "O2"),"")=0,"", CHAR(10) &amp;  IFERROR("- " &amp; INDIRECT("'" &amp; $B76 &amp; "'!" &amp; "M2"),"") &amp; " theo bản vẽ thiết kế: " &amp; TEXT(ROUND($AC76,-3),"#,###")  &amp;  " đồng/" &amp; $E76 ) &amp;
  IF(IFERROR(INDIRECT("'" &amp; $B76 &amp; "'!" &amp; "O1"),"")=0,"", CHAR(10) &amp; IFERROR("- " &amp;INDIRECT("'" &amp; $B76 &amp; "'!" &amp; "M1"),"")  &amp;": " &amp; TEXT(ROUND($AB76,-3),"#,###") &amp; " đồng/" &amp; $E76) &amp;
 IF(INDIRECT("'" &amp; $B76 &amp; "'!" &amp; "I2")="","",CHAR(10)  &amp; IFERROR( "- " &amp; PROPER(INDIRECT("'" &amp; $B76 &amp; "'!" &amp; "I2")),"") &amp; "."  )
)</f>
        <v/>
      </c>
      <c r="E76" s="203"/>
      <c r="F76" s="38">
        <f t="shared" ca="1" si="15"/>
        <v>0</v>
      </c>
      <c r="G76" s="38">
        <f t="shared" ca="1" si="16"/>
        <v>0</v>
      </c>
      <c r="H76" s="1136">
        <f t="shared" ref="H76:H80" ca="1" si="85">ROUND(IFERROR(INDIRECT("'" &amp; $B76 &amp; "'!" &amp; "F12"),0),3)</f>
        <v>0</v>
      </c>
      <c r="I76" s="38">
        <f t="shared" ca="1" si="18"/>
        <v>0</v>
      </c>
      <c r="J76" s="39">
        <f t="shared" ref="J76:J80" si="86">IF($E76="md",$F76*$I76/1000,0)</f>
        <v>0</v>
      </c>
      <c r="K76" s="1137">
        <f t="shared" ref="K76:K80" ca="1" si="87">ROUND(IF(AND($F76&lt;&gt;"",$G76&lt;&gt;""),$I76*$F76*$G76/1000000,0),3)</f>
        <v>0</v>
      </c>
      <c r="L76" s="40">
        <f t="shared" ref="L76:L80" ca="1" si="88">ROUND(AF76,-3)</f>
        <v>0</v>
      </c>
      <c r="M76" s="40">
        <f t="shared" ca="1" si="71"/>
        <v>0</v>
      </c>
      <c r="N76" s="41">
        <f t="shared" ref="N76:N80" ca="1" si="89">ROUND(IF($E76="md",$J76*$L76 + $M76*$I76,IFERROR(L76*IF($E76="m2",$K76,$I76) + M76*I76,0)),0)</f>
        <v>0</v>
      </c>
      <c r="O76" s="762" t="str">
        <f t="shared" ca="1" si="81"/>
        <v/>
      </c>
      <c r="P76" s="756">
        <f t="shared" ca="1" si="72"/>
        <v>0</v>
      </c>
      <c r="Q76" s="757">
        <f t="shared" ref="Q76:Q80" ca="1" si="90">IFERROR(INDIRECT("'" &amp; $B76 &amp; "'!" &amp; Q$82)/IF($E76="md",$J76,IF($E76="m2",$K76,$I76)) * (1+Q$10),0)</f>
        <v>0</v>
      </c>
      <c r="R76" s="905">
        <f ca="1">IF($B76="",0,IFERROR(IFERROR(INDEX(DanhMuc!$J$180:$J$189,MATCH(MID(IFERROR(INDIRECT("'" &amp; $B76 &amp; "'!" &amp; $R$82),0),2,1)&amp;MID(IFERROR(INDIRECT("'" &amp; $B76 &amp; "'!" &amp; $R$82),0),7,2),DanhMuc!$I$180:$I$189,0)),INDEX(DanhMuc!$J$180:$J$189,MATCH(MID(IFERROR(INDIRECT("'" &amp; $B76 &amp; "'!" &amp; $R$82),0),2,1),DanhMuc!$I$180:$I$189,0))),0))</f>
        <v>0</v>
      </c>
      <c r="S76" s="757">
        <f t="shared" ref="S76:S80" ca="1" si="91">+Q76*(1+$R76)</f>
        <v>0</v>
      </c>
      <c r="T76" s="757">
        <f t="shared" ca="1" si="43"/>
        <v>0</v>
      </c>
      <c r="U76" s="757">
        <f t="shared" ref="U76:U80" ca="1" si="92">IFERROR(INDIRECT("'" &amp; $B76 &amp; "'!" &amp; U$82)/IF($E76="md",$J76,IF($E76="m2",$K76,$I76)) * (1+U$10),0)</f>
        <v>0</v>
      </c>
      <c r="V76" s="757">
        <f t="shared" ca="1" si="74"/>
        <v>0</v>
      </c>
      <c r="W76" s="757">
        <f t="shared" ca="1" si="74"/>
        <v>0</v>
      </c>
      <c r="X76" s="757">
        <f t="shared" ca="1" si="75"/>
        <v>0</v>
      </c>
      <c r="Y76" s="757">
        <f t="shared" ca="1" si="75"/>
        <v>0</v>
      </c>
      <c r="Z76" s="757">
        <f t="shared" ca="1" si="76"/>
        <v>0</v>
      </c>
      <c r="AA76" s="757">
        <f t="shared" ca="1" si="76"/>
        <v>0</v>
      </c>
      <c r="AB76" s="757">
        <f t="shared" ca="1" si="76"/>
        <v>0</v>
      </c>
      <c r="AC76" s="757">
        <f t="shared" ca="1" si="76"/>
        <v>0</v>
      </c>
      <c r="AD76" s="757">
        <f t="shared" ca="1" si="76"/>
        <v>0</v>
      </c>
      <c r="AE76" s="757">
        <f t="shared" ref="AE76:AE80" ca="1" si="93">IFERROR(INDIRECT("'" &amp; $B76 &amp; "'!" &amp; AE$82)/IF($E76="md",$J76,IF($E76="m2",$K76,$I76)) * (1+AE$10),0)</f>
        <v>0</v>
      </c>
      <c r="AF76" s="758">
        <f t="shared" ref="AF76:AF80" ca="1" si="94">+SUM(S76:AC76) + AE76</f>
        <v>0</v>
      </c>
      <c r="AG76" s="757">
        <f t="shared" ca="1" si="77"/>
        <v>0</v>
      </c>
      <c r="AH76" s="757">
        <f t="shared" ca="1" si="77"/>
        <v>0</v>
      </c>
      <c r="AI76" s="757">
        <f t="shared" ref="AI76:AI80" ca="1" si="95">+AH76*($AI$10)</f>
        <v>0</v>
      </c>
      <c r="AJ76" s="758">
        <f t="shared" ref="AJ76:AJ80" ca="1" si="96">+SUM(AG76:AI76)</f>
        <v>0</v>
      </c>
      <c r="AK76" s="759">
        <f t="shared" ref="AK76:AK80" ca="1" si="97">IFERROR(IF((AF76 *IF($E76="md",$J76,IF($E76="m2",$K76,$I76)) + AJ76*$I76)  = INDIRECT("'"&amp;$B76&amp;"'!"&amp;AK$82), (AF76*IF($E76="md",$J76,IF($E76="m2",$K76,$I76)) + AJ76*$I76  ),"Chi tiết khác tổng"),0)</f>
        <v>0</v>
      </c>
      <c r="AL76" s="757">
        <f t="shared" ca="1" si="78"/>
        <v>0</v>
      </c>
      <c r="AM76" s="757">
        <f t="shared" ca="1" si="78"/>
        <v>0</v>
      </c>
      <c r="AN76" s="757">
        <f t="shared" ca="1" si="78"/>
        <v>0</v>
      </c>
      <c r="AO76" s="757">
        <f t="shared" ca="1" si="78"/>
        <v>0</v>
      </c>
      <c r="AP76" s="757">
        <f t="shared" ca="1" si="78"/>
        <v>0</v>
      </c>
      <c r="AQ76" s="757">
        <f t="shared" ca="1" si="78"/>
        <v>0</v>
      </c>
      <c r="AR76" s="757">
        <f t="shared" ca="1" si="78"/>
        <v>0</v>
      </c>
      <c r="AS76" s="757">
        <f t="shared" ca="1" si="78"/>
        <v>0</v>
      </c>
      <c r="AT76" s="757">
        <f t="shared" ca="1" si="78"/>
        <v>0</v>
      </c>
      <c r="AU76" s="757">
        <f t="shared" ca="1" si="78"/>
        <v>0</v>
      </c>
      <c r="AV76" s="757">
        <f t="shared" ca="1" si="78"/>
        <v>0</v>
      </c>
      <c r="AW76" s="757">
        <f t="shared" ca="1" si="78"/>
        <v>0</v>
      </c>
      <c r="AX76" s="757">
        <f t="shared" ca="1" si="78"/>
        <v>0</v>
      </c>
      <c r="AY76" s="758">
        <f t="shared" ref="AY76:AY80" ca="1" si="98">+SUM(AL76:AV76)+AX76</f>
        <v>0</v>
      </c>
      <c r="AZ76" s="757">
        <f t="shared" ca="1" si="79"/>
        <v>0</v>
      </c>
      <c r="BA76" s="757">
        <f t="shared" ca="1" si="79"/>
        <v>0</v>
      </c>
      <c r="BB76" s="757"/>
      <c r="BC76" s="758">
        <f t="shared" ref="BC76:BC80" ca="1" si="99">+SUM(AZ76:BB76)</f>
        <v>0</v>
      </c>
      <c r="BD76" s="759">
        <f t="shared" ref="BD76:BD80" ca="1" si="100">IFERROR(IF( ROUND((AY76 - AX76)*IF($E76="md",$J76,IF($E76="m2",$K76,$I76)) + (BC76-BB76)*$I76,0) = ROUND(INDIRECT("'"&amp;$B76&amp;"'!"&amp;$BD$82),0), (AY76*IF($E76="md",$J76,IF($E76="m2",$K76,$I76)) + BC76*$I76),"Chi tiết khác tổng"),0)</f>
        <v>0</v>
      </c>
      <c r="BE76" s="197"/>
      <c r="BF76" s="708"/>
      <c r="BG76" s="703" t="str">
        <f>IF($BF76="","","ĐNSX"&amp; IF(LEN($BF76)=1,"0" &amp; $BF76,$BF76) &amp; "/" &amp; ThongTinChung!$C$5)</f>
        <v/>
      </c>
      <c r="BH76" s="100" t="str">
        <f t="shared" ca="1" si="82"/>
        <v/>
      </c>
      <c r="BI76" s="194" t="str">
        <f ca="1">IF($B76="","","C" &amp; ROW(MauKoXoa!$C$108) &amp; ":C" &amp;ROW(MauKoXoa!$C$174))</f>
        <v/>
      </c>
      <c r="BJ76" s="198" t="str">
        <f t="shared" ca="1" si="36"/>
        <v/>
      </c>
      <c r="BK76" s="198" t="str">
        <f t="shared" ca="1" si="37"/>
        <v/>
      </c>
      <c r="BL76" s="650" t="str">
        <f ca="1">IF(COUNTIF($BL$10:$BL75,IFERROR(INDEX(DanhMuc!$J$154:$J$165,MATCH($BJ76,DanhMuc!$B$154:$B$165,0)),""))&lt;1,IFERROR(INDEX(DanhMuc!$J$154:$J$165,MATCH($BJ76,DanhMuc!$B$154:$B$165,0)),""),"")</f>
        <v/>
      </c>
      <c r="BM76" s="650" t="str">
        <f ca="1">IF(COUNTIF($BM$10:$BM75,IFERROR(INDEX(DanhMuc!$D$168:$D$177,MATCH($BK76,DanhMuc!$C$168:$C$177,0)),""))&lt;1,IFERROR(INDEX(DanhMuc!$D$168:$D$177,MATCH($BK76,DanhMuc!$C$168:$C$177,0)),""),"")</f>
        <v/>
      </c>
      <c r="BN76" s="650" t="str">
        <f ca="1">IFERROR(INDEX(DanhMuc!$K$154:$K$165,MATCH($BJ76,DanhMuc!$B$154:$B$165,0)),"")</f>
        <v/>
      </c>
      <c r="BO76" s="653" t="str">
        <f t="shared" ref="BO76:BO80" ca="1" si="101">IF($BO75&gt;=$BO$10,"",$BO75+1)</f>
        <v/>
      </c>
      <c r="BP76" s="653" t="str">
        <f t="shared" ca="1" si="73"/>
        <v/>
      </c>
      <c r="BQ76" s="757">
        <f t="shared" ca="1" si="80"/>
        <v>0</v>
      </c>
      <c r="BR76" s="757">
        <f t="shared" ca="1" si="80"/>
        <v>0</v>
      </c>
      <c r="BS76" s="757">
        <f t="shared" ca="1" si="80"/>
        <v>0</v>
      </c>
      <c r="BT76" s="757">
        <f t="shared" ca="1" si="80"/>
        <v>0</v>
      </c>
      <c r="BU76" s="757">
        <f t="shared" ca="1" si="80"/>
        <v>0</v>
      </c>
      <c r="BV76" s="757">
        <f t="shared" ca="1" si="80"/>
        <v>0</v>
      </c>
      <c r="BW76" s="198"/>
    </row>
    <row r="77" spans="1:75" s="42" customFormat="1" ht="19.899999999999999" customHeight="1">
      <c r="A77" s="37" t="str">
        <f ca="1">IF(B77="","",MAX($A$10:A76)+1)</f>
        <v/>
      </c>
      <c r="B77" s="718" t="str">
        <f t="shared" ca="1" si="70"/>
        <v/>
      </c>
      <c r="C77" s="1166">
        <f t="shared" ca="1" si="83"/>
        <v>0</v>
      </c>
      <c r="D77" s="643" t="str">
        <f t="shared" ca="1" si="84"/>
        <v/>
      </c>
      <c r="E77" s="203"/>
      <c r="F77" s="38">
        <f t="shared" ca="1" si="15"/>
        <v>0</v>
      </c>
      <c r="G77" s="38">
        <f t="shared" ca="1" si="16"/>
        <v>0</v>
      </c>
      <c r="H77" s="1136">
        <f t="shared" ca="1" si="85"/>
        <v>0</v>
      </c>
      <c r="I77" s="38">
        <f t="shared" ca="1" si="18"/>
        <v>0</v>
      </c>
      <c r="J77" s="39">
        <f t="shared" si="86"/>
        <v>0</v>
      </c>
      <c r="K77" s="1137">
        <f t="shared" ca="1" si="87"/>
        <v>0</v>
      </c>
      <c r="L77" s="40">
        <f t="shared" ca="1" si="88"/>
        <v>0</v>
      </c>
      <c r="M77" s="40">
        <f t="shared" ca="1" si="71"/>
        <v>0</v>
      </c>
      <c r="N77" s="41">
        <f t="shared" ca="1" si="89"/>
        <v>0</v>
      </c>
      <c r="O77" s="762" t="str">
        <f t="shared" ca="1" si="81"/>
        <v/>
      </c>
      <c r="P77" s="756">
        <f t="shared" ca="1" si="72"/>
        <v>0</v>
      </c>
      <c r="Q77" s="757">
        <f t="shared" ca="1" si="90"/>
        <v>0</v>
      </c>
      <c r="R77" s="905">
        <f ca="1">IF($B77="",0,IFERROR(IFERROR(INDEX(DanhMuc!$J$180:$J$189,MATCH(MID(IFERROR(INDIRECT("'" &amp; $B77 &amp; "'!" &amp; $R$82),0),2,1)&amp;MID(IFERROR(INDIRECT("'" &amp; $B77 &amp; "'!" &amp; $R$82),0),7,2),DanhMuc!$I$180:$I$189,0)),INDEX(DanhMuc!$J$180:$J$189,MATCH(MID(IFERROR(INDIRECT("'" &amp; $B77 &amp; "'!" &amp; $R$82),0),2,1),DanhMuc!$I$180:$I$189,0))),0))</f>
        <v>0</v>
      </c>
      <c r="S77" s="757">
        <f t="shared" ca="1" si="91"/>
        <v>0</v>
      </c>
      <c r="T77" s="757">
        <f t="shared" ca="1" si="43"/>
        <v>0</v>
      </c>
      <c r="U77" s="757">
        <f t="shared" ca="1" si="92"/>
        <v>0</v>
      </c>
      <c r="V77" s="757">
        <f t="shared" ca="1" si="74"/>
        <v>0</v>
      </c>
      <c r="W77" s="757">
        <f t="shared" ca="1" si="74"/>
        <v>0</v>
      </c>
      <c r="X77" s="757">
        <f t="shared" ca="1" si="75"/>
        <v>0</v>
      </c>
      <c r="Y77" s="757">
        <f t="shared" ca="1" si="75"/>
        <v>0</v>
      </c>
      <c r="Z77" s="757">
        <f t="shared" ca="1" si="76"/>
        <v>0</v>
      </c>
      <c r="AA77" s="757">
        <f t="shared" ca="1" si="76"/>
        <v>0</v>
      </c>
      <c r="AB77" s="757">
        <f t="shared" ca="1" si="76"/>
        <v>0</v>
      </c>
      <c r="AC77" s="757">
        <f t="shared" ca="1" si="76"/>
        <v>0</v>
      </c>
      <c r="AD77" s="757">
        <f t="shared" ca="1" si="76"/>
        <v>0</v>
      </c>
      <c r="AE77" s="757">
        <f t="shared" ca="1" si="93"/>
        <v>0</v>
      </c>
      <c r="AF77" s="758">
        <f t="shared" ca="1" si="94"/>
        <v>0</v>
      </c>
      <c r="AG77" s="757">
        <f t="shared" ca="1" si="77"/>
        <v>0</v>
      </c>
      <c r="AH77" s="757">
        <f t="shared" ca="1" si="77"/>
        <v>0</v>
      </c>
      <c r="AI77" s="757">
        <f t="shared" ca="1" si="95"/>
        <v>0</v>
      </c>
      <c r="AJ77" s="758">
        <f t="shared" ca="1" si="96"/>
        <v>0</v>
      </c>
      <c r="AK77" s="759">
        <f t="shared" ca="1" si="97"/>
        <v>0</v>
      </c>
      <c r="AL77" s="757">
        <f t="shared" ca="1" si="78"/>
        <v>0</v>
      </c>
      <c r="AM77" s="757">
        <f t="shared" ca="1" si="78"/>
        <v>0</v>
      </c>
      <c r="AN77" s="757">
        <f t="shared" ca="1" si="78"/>
        <v>0</v>
      </c>
      <c r="AO77" s="757">
        <f t="shared" ca="1" si="78"/>
        <v>0</v>
      </c>
      <c r="AP77" s="757">
        <f t="shared" ca="1" si="78"/>
        <v>0</v>
      </c>
      <c r="AQ77" s="757">
        <f t="shared" ca="1" si="78"/>
        <v>0</v>
      </c>
      <c r="AR77" s="757">
        <f t="shared" ca="1" si="78"/>
        <v>0</v>
      </c>
      <c r="AS77" s="757">
        <f t="shared" ca="1" si="78"/>
        <v>0</v>
      </c>
      <c r="AT77" s="757">
        <f t="shared" ca="1" si="78"/>
        <v>0</v>
      </c>
      <c r="AU77" s="757">
        <f t="shared" ca="1" si="78"/>
        <v>0</v>
      </c>
      <c r="AV77" s="757">
        <f t="shared" ca="1" si="78"/>
        <v>0</v>
      </c>
      <c r="AW77" s="757">
        <f t="shared" ca="1" si="78"/>
        <v>0</v>
      </c>
      <c r="AX77" s="757">
        <f t="shared" ca="1" si="78"/>
        <v>0</v>
      </c>
      <c r="AY77" s="758">
        <f t="shared" ca="1" si="98"/>
        <v>0</v>
      </c>
      <c r="AZ77" s="757">
        <f t="shared" ca="1" si="79"/>
        <v>0</v>
      </c>
      <c r="BA77" s="757">
        <f t="shared" ca="1" si="79"/>
        <v>0</v>
      </c>
      <c r="BB77" s="757"/>
      <c r="BC77" s="758">
        <f t="shared" ca="1" si="99"/>
        <v>0</v>
      </c>
      <c r="BD77" s="759">
        <f t="shared" ca="1" si="100"/>
        <v>0</v>
      </c>
      <c r="BE77" s="197"/>
      <c r="BF77" s="708"/>
      <c r="BG77" s="703" t="str">
        <f>IF($BF77="","","ĐNSX"&amp; IF(LEN($BF77)=1,"0" &amp; $BF77,$BF77) &amp; "/" &amp; ThongTinChung!$C$5)</f>
        <v/>
      </c>
      <c r="BH77" s="100" t="str">
        <f t="shared" ca="1" si="82"/>
        <v/>
      </c>
      <c r="BI77" s="194" t="str">
        <f ca="1">IF($B77="","","C" &amp; ROW(MauKoXoa!$C$108) &amp; ":C" &amp;ROW(MauKoXoa!$C$174))</f>
        <v/>
      </c>
      <c r="BJ77" s="198" t="str">
        <f t="shared" ca="1" si="36"/>
        <v/>
      </c>
      <c r="BK77" s="198" t="str">
        <f t="shared" ca="1" si="37"/>
        <v/>
      </c>
      <c r="BL77" s="650" t="str">
        <f ca="1">IF(COUNTIF($BL$10:$BL76,IFERROR(INDEX(DanhMuc!$J$154:$J$165,MATCH($BJ77,DanhMuc!$B$154:$B$165,0)),""))&lt;1,IFERROR(INDEX(DanhMuc!$J$154:$J$165,MATCH($BJ77,DanhMuc!$B$154:$B$165,0)),""),"")</f>
        <v/>
      </c>
      <c r="BM77" s="650" t="str">
        <f ca="1">IF(COUNTIF($BM$10:$BM76,IFERROR(INDEX(DanhMuc!$D$168:$D$177,MATCH($BK77,DanhMuc!$C$168:$C$177,0)),""))&lt;1,IFERROR(INDEX(DanhMuc!$D$168:$D$177,MATCH($BK77,DanhMuc!$C$168:$C$177,0)),""),"")</f>
        <v/>
      </c>
      <c r="BN77" s="650" t="str">
        <f ca="1">IFERROR(INDEX(DanhMuc!$K$154:$K$165,MATCH($BJ77,DanhMuc!$B$154:$B$165,0)),"")</f>
        <v/>
      </c>
      <c r="BO77" s="653" t="str">
        <f t="shared" ca="1" si="101"/>
        <v/>
      </c>
      <c r="BP77" s="653" t="str">
        <f t="shared" ca="1" si="73"/>
        <v/>
      </c>
      <c r="BQ77" s="757">
        <f t="shared" ca="1" si="80"/>
        <v>0</v>
      </c>
      <c r="BR77" s="757">
        <f t="shared" ca="1" si="80"/>
        <v>0</v>
      </c>
      <c r="BS77" s="757">
        <f t="shared" ca="1" si="80"/>
        <v>0</v>
      </c>
      <c r="BT77" s="757">
        <f t="shared" ca="1" si="80"/>
        <v>0</v>
      </c>
      <c r="BU77" s="757">
        <f t="shared" ca="1" si="80"/>
        <v>0</v>
      </c>
      <c r="BV77" s="757">
        <f t="shared" ca="1" si="80"/>
        <v>0</v>
      </c>
      <c r="BW77" s="198"/>
    </row>
    <row r="78" spans="1:75" s="42" customFormat="1" ht="19.899999999999999" customHeight="1">
      <c r="A78" s="37" t="str">
        <f ca="1">IF(B78="","",MAX($A$10:A77)+1)</f>
        <v/>
      </c>
      <c r="B78" s="718" t="str">
        <f t="shared" ca="1" si="70"/>
        <v/>
      </c>
      <c r="C78" s="1166">
        <f t="shared" ca="1" si="83"/>
        <v>0</v>
      </c>
      <c r="D78" s="643" t="str">
        <f t="shared" ca="1" si="84"/>
        <v/>
      </c>
      <c r="E78" s="203"/>
      <c r="F78" s="38">
        <f t="shared" ca="1" si="15"/>
        <v>0</v>
      </c>
      <c r="G78" s="38">
        <f t="shared" ca="1" si="16"/>
        <v>0</v>
      </c>
      <c r="H78" s="1136">
        <f t="shared" ca="1" si="85"/>
        <v>0</v>
      </c>
      <c r="I78" s="38">
        <f t="shared" ca="1" si="18"/>
        <v>0</v>
      </c>
      <c r="J78" s="39">
        <f t="shared" si="86"/>
        <v>0</v>
      </c>
      <c r="K78" s="1137">
        <f t="shared" ca="1" si="87"/>
        <v>0</v>
      </c>
      <c r="L78" s="40">
        <f t="shared" ca="1" si="88"/>
        <v>0</v>
      </c>
      <c r="M78" s="40">
        <f t="shared" ca="1" si="71"/>
        <v>0</v>
      </c>
      <c r="N78" s="41">
        <f t="shared" ca="1" si="89"/>
        <v>0</v>
      </c>
      <c r="O78" s="762" t="str">
        <f t="shared" ca="1" si="81"/>
        <v/>
      </c>
      <c r="P78" s="756">
        <f t="shared" ca="1" si="72"/>
        <v>0</v>
      </c>
      <c r="Q78" s="757">
        <f t="shared" ca="1" si="90"/>
        <v>0</v>
      </c>
      <c r="R78" s="905">
        <f ca="1">IF($B78="",0,IFERROR(IFERROR(INDEX(DanhMuc!$J$180:$J$189,MATCH(MID(IFERROR(INDIRECT("'" &amp; $B78 &amp; "'!" &amp; $R$82),0),2,1)&amp;MID(IFERROR(INDIRECT("'" &amp; $B78 &amp; "'!" &amp; $R$82),0),7,2),DanhMuc!$I$180:$I$189,0)),INDEX(DanhMuc!$J$180:$J$189,MATCH(MID(IFERROR(INDIRECT("'" &amp; $B78 &amp; "'!" &amp; $R$82),0),2,1),DanhMuc!$I$180:$I$189,0))),0))</f>
        <v>0</v>
      </c>
      <c r="S78" s="757">
        <f t="shared" ca="1" si="91"/>
        <v>0</v>
      </c>
      <c r="T78" s="757">
        <f t="shared" ca="1" si="43"/>
        <v>0</v>
      </c>
      <c r="U78" s="757">
        <f t="shared" ca="1" si="92"/>
        <v>0</v>
      </c>
      <c r="V78" s="757">
        <f t="shared" ca="1" si="74"/>
        <v>0</v>
      </c>
      <c r="W78" s="757">
        <f t="shared" ca="1" si="74"/>
        <v>0</v>
      </c>
      <c r="X78" s="757">
        <f t="shared" ca="1" si="75"/>
        <v>0</v>
      </c>
      <c r="Y78" s="757">
        <f t="shared" ca="1" si="75"/>
        <v>0</v>
      </c>
      <c r="Z78" s="757">
        <f t="shared" ca="1" si="76"/>
        <v>0</v>
      </c>
      <c r="AA78" s="757">
        <f t="shared" ca="1" si="76"/>
        <v>0</v>
      </c>
      <c r="AB78" s="757">
        <f t="shared" ca="1" si="76"/>
        <v>0</v>
      </c>
      <c r="AC78" s="757">
        <f t="shared" ca="1" si="76"/>
        <v>0</v>
      </c>
      <c r="AD78" s="757">
        <f t="shared" ca="1" si="76"/>
        <v>0</v>
      </c>
      <c r="AE78" s="757">
        <f t="shared" ca="1" si="93"/>
        <v>0</v>
      </c>
      <c r="AF78" s="758">
        <f t="shared" ca="1" si="94"/>
        <v>0</v>
      </c>
      <c r="AG78" s="757">
        <f t="shared" ca="1" si="77"/>
        <v>0</v>
      </c>
      <c r="AH78" s="757">
        <f t="shared" ca="1" si="77"/>
        <v>0</v>
      </c>
      <c r="AI78" s="757">
        <f t="shared" ca="1" si="95"/>
        <v>0</v>
      </c>
      <c r="AJ78" s="758">
        <f t="shared" ca="1" si="96"/>
        <v>0</v>
      </c>
      <c r="AK78" s="759">
        <f t="shared" ca="1" si="97"/>
        <v>0</v>
      </c>
      <c r="AL78" s="757">
        <f t="shared" ca="1" si="78"/>
        <v>0</v>
      </c>
      <c r="AM78" s="757">
        <f t="shared" ca="1" si="78"/>
        <v>0</v>
      </c>
      <c r="AN78" s="757">
        <f t="shared" ca="1" si="78"/>
        <v>0</v>
      </c>
      <c r="AO78" s="757">
        <f t="shared" ca="1" si="78"/>
        <v>0</v>
      </c>
      <c r="AP78" s="757">
        <f t="shared" ca="1" si="78"/>
        <v>0</v>
      </c>
      <c r="AQ78" s="757">
        <f t="shared" ca="1" si="78"/>
        <v>0</v>
      </c>
      <c r="AR78" s="757">
        <f t="shared" ca="1" si="78"/>
        <v>0</v>
      </c>
      <c r="AS78" s="757">
        <f t="shared" ca="1" si="78"/>
        <v>0</v>
      </c>
      <c r="AT78" s="757">
        <f t="shared" ca="1" si="78"/>
        <v>0</v>
      </c>
      <c r="AU78" s="757">
        <f t="shared" ca="1" si="78"/>
        <v>0</v>
      </c>
      <c r="AV78" s="757">
        <f t="shared" ca="1" si="78"/>
        <v>0</v>
      </c>
      <c r="AW78" s="757">
        <f t="shared" ca="1" si="78"/>
        <v>0</v>
      </c>
      <c r="AX78" s="757">
        <f t="shared" ca="1" si="78"/>
        <v>0</v>
      </c>
      <c r="AY78" s="758">
        <f t="shared" ca="1" si="98"/>
        <v>0</v>
      </c>
      <c r="AZ78" s="757">
        <f t="shared" ca="1" si="79"/>
        <v>0</v>
      </c>
      <c r="BA78" s="757">
        <f t="shared" ca="1" si="79"/>
        <v>0</v>
      </c>
      <c r="BB78" s="757"/>
      <c r="BC78" s="758">
        <f t="shared" ca="1" si="99"/>
        <v>0</v>
      </c>
      <c r="BD78" s="759">
        <f t="shared" ca="1" si="100"/>
        <v>0</v>
      </c>
      <c r="BE78" s="197"/>
      <c r="BF78" s="708"/>
      <c r="BG78" s="703" t="str">
        <f>IF($BF78="","","ĐNSX"&amp; IF(LEN($BF78)=1,"0" &amp; $BF78,$BF78) &amp; "/" &amp; ThongTinChung!$C$5)</f>
        <v/>
      </c>
      <c r="BH78" s="100" t="str">
        <f t="shared" ca="1" si="82"/>
        <v/>
      </c>
      <c r="BI78" s="194" t="str">
        <f ca="1">IF($B78="","","C" &amp; ROW(MauKoXoa!$C$108) &amp; ":C" &amp;ROW(MauKoXoa!$C$174))</f>
        <v/>
      </c>
      <c r="BJ78" s="198" t="str">
        <f t="shared" ca="1" si="36"/>
        <v/>
      </c>
      <c r="BK78" s="198" t="str">
        <f t="shared" ca="1" si="37"/>
        <v/>
      </c>
      <c r="BL78" s="650" t="str">
        <f ca="1">IF(COUNTIF($BL$10:$BL77,IFERROR(INDEX(DanhMuc!$J$154:$J$165,MATCH($BJ78,DanhMuc!$B$154:$B$165,0)),""))&lt;1,IFERROR(INDEX(DanhMuc!$J$154:$J$165,MATCH($BJ78,DanhMuc!$B$154:$B$165,0)),""),"")</f>
        <v/>
      </c>
      <c r="BM78" s="650" t="str">
        <f ca="1">IF(COUNTIF($BM$10:$BM77,IFERROR(INDEX(DanhMuc!$D$168:$D$177,MATCH($BK78,DanhMuc!$C$168:$C$177,0)),""))&lt;1,IFERROR(INDEX(DanhMuc!$D$168:$D$177,MATCH($BK78,DanhMuc!$C$168:$C$177,0)),""),"")</f>
        <v/>
      </c>
      <c r="BN78" s="650" t="str">
        <f ca="1">IFERROR(INDEX(DanhMuc!$K$154:$K$165,MATCH($BJ78,DanhMuc!$B$154:$B$165,0)),"")</f>
        <v/>
      </c>
      <c r="BO78" s="653" t="str">
        <f t="shared" ca="1" si="101"/>
        <v/>
      </c>
      <c r="BP78" s="653" t="str">
        <f t="shared" ca="1" si="73"/>
        <v/>
      </c>
      <c r="BQ78" s="757">
        <f t="shared" ca="1" si="80"/>
        <v>0</v>
      </c>
      <c r="BR78" s="757">
        <f t="shared" ca="1" si="80"/>
        <v>0</v>
      </c>
      <c r="BS78" s="757">
        <f t="shared" ca="1" si="80"/>
        <v>0</v>
      </c>
      <c r="BT78" s="757">
        <f t="shared" ca="1" si="80"/>
        <v>0</v>
      </c>
      <c r="BU78" s="757">
        <f t="shared" ca="1" si="80"/>
        <v>0</v>
      </c>
      <c r="BV78" s="757">
        <f t="shared" ca="1" si="80"/>
        <v>0</v>
      </c>
      <c r="BW78" s="198"/>
    </row>
    <row r="79" spans="1:75" s="42" customFormat="1" ht="19.899999999999999" customHeight="1">
      <c r="A79" s="37" t="str">
        <f ca="1">IF(B79="","",MAX($A$10:A78)+1)</f>
        <v/>
      </c>
      <c r="B79" s="718" t="str">
        <f t="shared" ca="1" si="70"/>
        <v/>
      </c>
      <c r="C79" s="1166">
        <f t="shared" ca="1" si="83"/>
        <v>0</v>
      </c>
      <c r="D79" s="643" t="str">
        <f t="shared" ca="1" si="84"/>
        <v/>
      </c>
      <c r="E79" s="203"/>
      <c r="F79" s="38">
        <f t="shared" ca="1" si="15"/>
        <v>0</v>
      </c>
      <c r="G79" s="38">
        <f t="shared" ca="1" si="16"/>
        <v>0</v>
      </c>
      <c r="H79" s="1136">
        <f t="shared" ca="1" si="85"/>
        <v>0</v>
      </c>
      <c r="I79" s="38">
        <f t="shared" ca="1" si="18"/>
        <v>0</v>
      </c>
      <c r="J79" s="39">
        <f t="shared" si="86"/>
        <v>0</v>
      </c>
      <c r="K79" s="1137">
        <f t="shared" ca="1" si="87"/>
        <v>0</v>
      </c>
      <c r="L79" s="40">
        <f t="shared" ca="1" si="88"/>
        <v>0</v>
      </c>
      <c r="M79" s="40">
        <f t="shared" ca="1" si="71"/>
        <v>0</v>
      </c>
      <c r="N79" s="41">
        <f t="shared" ca="1" si="89"/>
        <v>0</v>
      </c>
      <c r="O79" s="762" t="str">
        <f t="shared" ca="1" si="81"/>
        <v/>
      </c>
      <c r="P79" s="756">
        <f t="shared" ca="1" si="72"/>
        <v>0</v>
      </c>
      <c r="Q79" s="757">
        <f t="shared" ca="1" si="90"/>
        <v>0</v>
      </c>
      <c r="R79" s="905">
        <f ca="1">IF($B79="",0,IFERROR(IFERROR(INDEX(DanhMuc!$J$180:$J$189,MATCH(MID(IFERROR(INDIRECT("'" &amp; $B79 &amp; "'!" &amp; $R$82),0),2,1)&amp;MID(IFERROR(INDIRECT("'" &amp; $B79 &amp; "'!" &amp; $R$82),0),7,2),DanhMuc!$I$180:$I$189,0)),INDEX(DanhMuc!$J$180:$J$189,MATCH(MID(IFERROR(INDIRECT("'" &amp; $B79 &amp; "'!" &amp; $R$82),0),2,1),DanhMuc!$I$180:$I$189,0))),0))</f>
        <v>0</v>
      </c>
      <c r="S79" s="757">
        <f t="shared" ca="1" si="91"/>
        <v>0</v>
      </c>
      <c r="T79" s="757">
        <f t="shared" ca="1" si="43"/>
        <v>0</v>
      </c>
      <c r="U79" s="757">
        <f t="shared" ca="1" si="92"/>
        <v>0</v>
      </c>
      <c r="V79" s="757">
        <f t="shared" ca="1" si="74"/>
        <v>0</v>
      </c>
      <c r="W79" s="757">
        <f t="shared" ca="1" si="74"/>
        <v>0</v>
      </c>
      <c r="X79" s="757">
        <f t="shared" ca="1" si="75"/>
        <v>0</v>
      </c>
      <c r="Y79" s="757">
        <f t="shared" ca="1" si="75"/>
        <v>0</v>
      </c>
      <c r="Z79" s="757">
        <f t="shared" ca="1" si="76"/>
        <v>0</v>
      </c>
      <c r="AA79" s="757">
        <f t="shared" ca="1" si="76"/>
        <v>0</v>
      </c>
      <c r="AB79" s="757">
        <f t="shared" ca="1" si="76"/>
        <v>0</v>
      </c>
      <c r="AC79" s="757">
        <f t="shared" ca="1" si="76"/>
        <v>0</v>
      </c>
      <c r="AD79" s="757">
        <f t="shared" ca="1" si="76"/>
        <v>0</v>
      </c>
      <c r="AE79" s="757">
        <f t="shared" ca="1" si="93"/>
        <v>0</v>
      </c>
      <c r="AF79" s="758">
        <f t="shared" ca="1" si="94"/>
        <v>0</v>
      </c>
      <c r="AG79" s="757">
        <f t="shared" ca="1" si="77"/>
        <v>0</v>
      </c>
      <c r="AH79" s="757">
        <f t="shared" ca="1" si="77"/>
        <v>0</v>
      </c>
      <c r="AI79" s="757">
        <f t="shared" ca="1" si="95"/>
        <v>0</v>
      </c>
      <c r="AJ79" s="758">
        <f t="shared" ca="1" si="96"/>
        <v>0</v>
      </c>
      <c r="AK79" s="759">
        <f t="shared" ca="1" si="97"/>
        <v>0</v>
      </c>
      <c r="AL79" s="757">
        <f t="shared" ca="1" si="78"/>
        <v>0</v>
      </c>
      <c r="AM79" s="757">
        <f t="shared" ca="1" si="78"/>
        <v>0</v>
      </c>
      <c r="AN79" s="757">
        <f t="shared" ca="1" si="78"/>
        <v>0</v>
      </c>
      <c r="AO79" s="757">
        <f t="shared" ca="1" si="78"/>
        <v>0</v>
      </c>
      <c r="AP79" s="757">
        <f t="shared" ca="1" si="78"/>
        <v>0</v>
      </c>
      <c r="AQ79" s="757">
        <f t="shared" ca="1" si="78"/>
        <v>0</v>
      </c>
      <c r="AR79" s="757">
        <f t="shared" ca="1" si="78"/>
        <v>0</v>
      </c>
      <c r="AS79" s="757">
        <f t="shared" ca="1" si="78"/>
        <v>0</v>
      </c>
      <c r="AT79" s="757">
        <f t="shared" ca="1" si="78"/>
        <v>0</v>
      </c>
      <c r="AU79" s="757">
        <f t="shared" ca="1" si="78"/>
        <v>0</v>
      </c>
      <c r="AV79" s="757">
        <f t="shared" ca="1" si="78"/>
        <v>0</v>
      </c>
      <c r="AW79" s="757">
        <f t="shared" ca="1" si="78"/>
        <v>0</v>
      </c>
      <c r="AX79" s="757">
        <f t="shared" ca="1" si="78"/>
        <v>0</v>
      </c>
      <c r="AY79" s="758">
        <f t="shared" ca="1" si="98"/>
        <v>0</v>
      </c>
      <c r="AZ79" s="757">
        <f t="shared" ca="1" si="79"/>
        <v>0</v>
      </c>
      <c r="BA79" s="757">
        <f t="shared" ca="1" si="79"/>
        <v>0</v>
      </c>
      <c r="BB79" s="757"/>
      <c r="BC79" s="758">
        <f t="shared" ca="1" si="99"/>
        <v>0</v>
      </c>
      <c r="BD79" s="759">
        <f t="shared" ca="1" si="100"/>
        <v>0</v>
      </c>
      <c r="BE79" s="197"/>
      <c r="BF79" s="708"/>
      <c r="BG79" s="703" t="str">
        <f>IF($BF79="","","ĐNSX"&amp; IF(LEN($BF79)=1,"0" &amp; $BF79,$BF79) &amp; "/" &amp; ThongTinChung!$C$5)</f>
        <v/>
      </c>
      <c r="BH79" s="100" t="str">
        <f t="shared" ca="1" si="82"/>
        <v/>
      </c>
      <c r="BI79" s="194" t="str">
        <f ca="1">IF($B79="","","C" &amp; ROW(MauKoXoa!$C$108) &amp; ":C" &amp;ROW(MauKoXoa!$C$174))</f>
        <v/>
      </c>
      <c r="BJ79" s="198" t="str">
        <f t="shared" ca="1" si="36"/>
        <v/>
      </c>
      <c r="BK79" s="198" t="str">
        <f t="shared" ca="1" si="37"/>
        <v/>
      </c>
      <c r="BL79" s="650" t="str">
        <f ca="1">IF(COUNTIF($BL$10:$BL78,IFERROR(INDEX(DanhMuc!$J$154:$J$165,MATCH($BJ79,DanhMuc!$B$154:$B$165,0)),""))&lt;1,IFERROR(INDEX(DanhMuc!$J$154:$J$165,MATCH($BJ79,DanhMuc!$B$154:$B$165,0)),""),"")</f>
        <v/>
      </c>
      <c r="BM79" s="650" t="str">
        <f ca="1">IF(COUNTIF($BM$10:$BM78,IFERROR(INDEX(DanhMuc!$D$168:$D$177,MATCH($BK79,DanhMuc!$C$168:$C$177,0)),""))&lt;1,IFERROR(INDEX(DanhMuc!$D$168:$D$177,MATCH($BK79,DanhMuc!$C$168:$C$177,0)),""),"")</f>
        <v/>
      </c>
      <c r="BN79" s="650" t="str">
        <f ca="1">IFERROR(INDEX(DanhMuc!$K$154:$K$165,MATCH($BJ79,DanhMuc!$B$154:$B$165,0)),"")</f>
        <v/>
      </c>
      <c r="BO79" s="653" t="str">
        <f t="shared" ca="1" si="101"/>
        <v/>
      </c>
      <c r="BP79" s="653" t="str">
        <f t="shared" ca="1" si="73"/>
        <v/>
      </c>
      <c r="BQ79" s="757">
        <f t="shared" ca="1" si="80"/>
        <v>0</v>
      </c>
      <c r="BR79" s="757">
        <f t="shared" ca="1" si="80"/>
        <v>0</v>
      </c>
      <c r="BS79" s="757">
        <f t="shared" ca="1" si="80"/>
        <v>0</v>
      </c>
      <c r="BT79" s="757">
        <f t="shared" ca="1" si="80"/>
        <v>0</v>
      </c>
      <c r="BU79" s="757">
        <f t="shared" ca="1" si="80"/>
        <v>0</v>
      </c>
      <c r="BV79" s="757">
        <f t="shared" ca="1" si="80"/>
        <v>0</v>
      </c>
      <c r="BW79" s="198"/>
    </row>
    <row r="80" spans="1:75" s="42" customFormat="1" ht="19.899999999999999" customHeight="1">
      <c r="A80" s="37" t="str">
        <f ca="1">IF(B80="","",MAX($A$10:A79)+1)</f>
        <v/>
      </c>
      <c r="B80" s="718" t="str">
        <f t="shared" ca="1" si="70"/>
        <v/>
      </c>
      <c r="C80" s="1166">
        <f t="shared" ca="1" si="83"/>
        <v>0</v>
      </c>
      <c r="D80" s="643" t="str">
        <f t="shared" ca="1" si="84"/>
        <v/>
      </c>
      <c r="E80" s="203"/>
      <c r="F80" s="38">
        <f t="shared" ca="1" si="15"/>
        <v>0</v>
      </c>
      <c r="G80" s="38">
        <f t="shared" ca="1" si="16"/>
        <v>0</v>
      </c>
      <c r="H80" s="1136">
        <f t="shared" ca="1" si="85"/>
        <v>0</v>
      </c>
      <c r="I80" s="38">
        <f t="shared" ca="1" si="18"/>
        <v>0</v>
      </c>
      <c r="J80" s="39">
        <f t="shared" si="86"/>
        <v>0</v>
      </c>
      <c r="K80" s="1137">
        <f t="shared" ca="1" si="87"/>
        <v>0</v>
      </c>
      <c r="L80" s="40">
        <f t="shared" ca="1" si="88"/>
        <v>0</v>
      </c>
      <c r="M80" s="40">
        <f t="shared" ca="1" si="71"/>
        <v>0</v>
      </c>
      <c r="N80" s="41">
        <f t="shared" ca="1" si="89"/>
        <v>0</v>
      </c>
      <c r="O80" s="762" t="str">
        <f t="shared" ca="1" si="81"/>
        <v/>
      </c>
      <c r="P80" s="756">
        <f t="shared" ca="1" si="72"/>
        <v>0</v>
      </c>
      <c r="Q80" s="757">
        <f t="shared" ca="1" si="90"/>
        <v>0</v>
      </c>
      <c r="R80" s="905">
        <f ca="1">IF($B80="",0,IFERROR(IFERROR(INDEX(DanhMuc!$J$180:$J$189,MATCH(MID(IFERROR(INDIRECT("'" &amp; $B80 &amp; "'!" &amp; $R$82),0),2,1)&amp;MID(IFERROR(INDIRECT("'" &amp; $B80 &amp; "'!" &amp; $R$82),0),7,2),DanhMuc!$I$180:$I$189,0)),INDEX(DanhMuc!$J$180:$J$189,MATCH(MID(IFERROR(INDIRECT("'" &amp; $B80 &amp; "'!" &amp; $R$82),0),2,1),DanhMuc!$I$180:$I$189,0))),0))</f>
        <v>0</v>
      </c>
      <c r="S80" s="757">
        <f t="shared" ca="1" si="91"/>
        <v>0</v>
      </c>
      <c r="T80" s="757">
        <f t="shared" ca="1" si="43"/>
        <v>0</v>
      </c>
      <c r="U80" s="757">
        <f t="shared" ca="1" si="92"/>
        <v>0</v>
      </c>
      <c r="V80" s="757">
        <f t="shared" ca="1" si="74"/>
        <v>0</v>
      </c>
      <c r="W80" s="757">
        <f t="shared" ca="1" si="74"/>
        <v>0</v>
      </c>
      <c r="X80" s="757">
        <f t="shared" ca="1" si="75"/>
        <v>0</v>
      </c>
      <c r="Y80" s="757">
        <f t="shared" ca="1" si="75"/>
        <v>0</v>
      </c>
      <c r="Z80" s="757">
        <f t="shared" ca="1" si="76"/>
        <v>0</v>
      </c>
      <c r="AA80" s="757">
        <f t="shared" ca="1" si="76"/>
        <v>0</v>
      </c>
      <c r="AB80" s="757">
        <f t="shared" ca="1" si="76"/>
        <v>0</v>
      </c>
      <c r="AC80" s="757">
        <f t="shared" ca="1" si="76"/>
        <v>0</v>
      </c>
      <c r="AD80" s="757">
        <f t="shared" ca="1" si="76"/>
        <v>0</v>
      </c>
      <c r="AE80" s="757">
        <f t="shared" ca="1" si="93"/>
        <v>0</v>
      </c>
      <c r="AF80" s="758">
        <f t="shared" ca="1" si="94"/>
        <v>0</v>
      </c>
      <c r="AG80" s="757">
        <f t="shared" ca="1" si="77"/>
        <v>0</v>
      </c>
      <c r="AH80" s="757">
        <f t="shared" ca="1" si="77"/>
        <v>0</v>
      </c>
      <c r="AI80" s="757">
        <f t="shared" ca="1" si="95"/>
        <v>0</v>
      </c>
      <c r="AJ80" s="758">
        <f t="shared" ca="1" si="96"/>
        <v>0</v>
      </c>
      <c r="AK80" s="759">
        <f t="shared" ca="1" si="97"/>
        <v>0</v>
      </c>
      <c r="AL80" s="757">
        <f t="shared" ca="1" si="78"/>
        <v>0</v>
      </c>
      <c r="AM80" s="757">
        <f t="shared" ca="1" si="78"/>
        <v>0</v>
      </c>
      <c r="AN80" s="757">
        <f t="shared" ca="1" si="78"/>
        <v>0</v>
      </c>
      <c r="AO80" s="757">
        <f t="shared" ca="1" si="78"/>
        <v>0</v>
      </c>
      <c r="AP80" s="757">
        <f t="shared" ca="1" si="78"/>
        <v>0</v>
      </c>
      <c r="AQ80" s="757">
        <f t="shared" ca="1" si="78"/>
        <v>0</v>
      </c>
      <c r="AR80" s="757">
        <f t="shared" ca="1" si="78"/>
        <v>0</v>
      </c>
      <c r="AS80" s="757">
        <f t="shared" ca="1" si="78"/>
        <v>0</v>
      </c>
      <c r="AT80" s="757">
        <f t="shared" ca="1" si="78"/>
        <v>0</v>
      </c>
      <c r="AU80" s="757">
        <f t="shared" ca="1" si="78"/>
        <v>0</v>
      </c>
      <c r="AV80" s="757">
        <f t="shared" ca="1" si="78"/>
        <v>0</v>
      </c>
      <c r="AW80" s="757">
        <f t="shared" ca="1" si="78"/>
        <v>0</v>
      </c>
      <c r="AX80" s="757">
        <f t="shared" ca="1" si="78"/>
        <v>0</v>
      </c>
      <c r="AY80" s="758">
        <f t="shared" ca="1" si="98"/>
        <v>0</v>
      </c>
      <c r="AZ80" s="757">
        <f t="shared" ca="1" si="79"/>
        <v>0</v>
      </c>
      <c r="BA80" s="757">
        <f t="shared" ca="1" si="79"/>
        <v>0</v>
      </c>
      <c r="BB80" s="757"/>
      <c r="BC80" s="758">
        <f t="shared" ca="1" si="99"/>
        <v>0</v>
      </c>
      <c r="BD80" s="759">
        <f t="shared" ca="1" si="100"/>
        <v>0</v>
      </c>
      <c r="BE80" s="197"/>
      <c r="BF80" s="708"/>
      <c r="BG80" s="703" t="str">
        <f>IF($BF80="","","ĐNSX"&amp; IF(LEN($BF80)=1,"0" &amp; $BF80,$BF80) &amp; "/" &amp; ThongTinChung!$C$5)</f>
        <v/>
      </c>
      <c r="BH80" s="100" t="str">
        <f t="shared" ca="1" si="82"/>
        <v/>
      </c>
      <c r="BI80" s="194" t="str">
        <f ca="1">IF($B80="","","C" &amp; ROW(MauKoXoa!$C$108) &amp; ":C" &amp;ROW(MauKoXoa!$C$174))</f>
        <v/>
      </c>
      <c r="BJ80" s="198" t="str">
        <f t="shared" ca="1" si="36"/>
        <v/>
      </c>
      <c r="BK80" s="198" t="str">
        <f t="shared" ca="1" si="37"/>
        <v/>
      </c>
      <c r="BL80" s="650" t="str">
        <f ca="1">IF(COUNTIF($BL$10:$BL79,IFERROR(INDEX(DanhMuc!$J$154:$J$165,MATCH($BJ80,DanhMuc!$B$154:$B$165,0)),""))&lt;1,IFERROR(INDEX(DanhMuc!$J$154:$J$165,MATCH($BJ80,DanhMuc!$B$154:$B$165,0)),""),"")</f>
        <v/>
      </c>
      <c r="BM80" s="650" t="str">
        <f ca="1">IF(COUNTIF($BM$10:$BM79,IFERROR(INDEX(DanhMuc!$D$168:$D$177,MATCH($BK80,DanhMuc!$C$168:$C$177,0)),""))&lt;1,IFERROR(INDEX(DanhMuc!$D$168:$D$177,MATCH($BK80,DanhMuc!$C$168:$C$177,0)),""),"")</f>
        <v/>
      </c>
      <c r="BN80" s="650" t="str">
        <f ca="1">IFERROR(INDEX(DanhMuc!$K$154:$K$165,MATCH($BJ80,DanhMuc!$B$154:$B$165,0)),"")</f>
        <v/>
      </c>
      <c r="BO80" s="653" t="str">
        <f t="shared" ca="1" si="101"/>
        <v/>
      </c>
      <c r="BP80" s="653" t="str">
        <f t="shared" ca="1" si="73"/>
        <v/>
      </c>
      <c r="BQ80" s="757">
        <f t="shared" ca="1" si="80"/>
        <v>0</v>
      </c>
      <c r="BR80" s="757">
        <f t="shared" ca="1" si="80"/>
        <v>0</v>
      </c>
      <c r="BS80" s="757">
        <f t="shared" ca="1" si="80"/>
        <v>0</v>
      </c>
      <c r="BT80" s="757">
        <f t="shared" ca="1" si="80"/>
        <v>0</v>
      </c>
      <c r="BU80" s="757">
        <f t="shared" ca="1" si="80"/>
        <v>0</v>
      </c>
      <c r="BV80" s="757">
        <f t="shared" ca="1" si="80"/>
        <v>0</v>
      </c>
      <c r="BW80" s="198"/>
    </row>
    <row r="81" spans="1:75" s="666" customFormat="1" ht="19.899999999999999" customHeight="1">
      <c r="A81" s="1298" t="s">
        <v>130</v>
      </c>
      <c r="B81" s="1299"/>
      <c r="C81" s="1299"/>
      <c r="D81" s="1299"/>
      <c r="E81" s="1098"/>
      <c r="F81" s="1098"/>
      <c r="G81" s="1099"/>
      <c r="H81" s="1099"/>
      <c r="I81" s="1100">
        <f ca="1">SUM(I11:I80)</f>
        <v>2</v>
      </c>
      <c r="J81" s="99">
        <f>SUM(J11:J80)</f>
        <v>0</v>
      </c>
      <c r="K81" s="1138">
        <f ca="1">SUM(K11:K80)</f>
        <v>7.04</v>
      </c>
      <c r="L81" s="43"/>
      <c r="M81" s="606"/>
      <c r="N81" s="44">
        <f t="shared" ref="N81:BC81" ca="1" si="102">SUM(N11:N80)</f>
        <v>16097120</v>
      </c>
      <c r="O81" s="763">
        <f t="shared" ref="O81:AJ81" ca="1" si="103">SUM(O11:O80)</f>
        <v>20.707216000000003</v>
      </c>
      <c r="P81" s="760">
        <f t="shared" ca="1" si="103"/>
        <v>41.414432000000005</v>
      </c>
      <c r="Q81" s="761">
        <f t="shared" ca="1" si="103"/>
        <v>879923.86363636353</v>
      </c>
      <c r="R81" s="906">
        <f t="shared" ca="1" si="103"/>
        <v>0.15000000000000002</v>
      </c>
      <c r="S81" s="761">
        <f t="shared" ca="1" si="103"/>
        <v>1011912.443181818</v>
      </c>
      <c r="T81" s="761">
        <f t="shared" ca="1" si="103"/>
        <v>261652.41477272726</v>
      </c>
      <c r="U81" s="761">
        <f t="shared" ca="1" si="103"/>
        <v>34286.079545454544</v>
      </c>
      <c r="V81" s="761">
        <f t="shared" ca="1" si="103"/>
        <v>8067.613636363636</v>
      </c>
      <c r="W81" s="761">
        <f t="shared" ca="1" si="103"/>
        <v>33280.184659090912</v>
      </c>
      <c r="X81" s="761">
        <f t="shared" ca="1" si="103"/>
        <v>151666.66666666669</v>
      </c>
      <c r="Y81" s="761">
        <f t="shared" ca="1" si="103"/>
        <v>69617.777777777781</v>
      </c>
      <c r="Z81" s="761">
        <f t="shared" ca="1" si="103"/>
        <v>182000</v>
      </c>
      <c r="AA81" s="761">
        <f t="shared" ca="1" si="103"/>
        <v>26000</v>
      </c>
      <c r="AB81" s="761">
        <f t="shared" ca="1" si="103"/>
        <v>0</v>
      </c>
      <c r="AC81" s="761">
        <f t="shared" ca="1" si="103"/>
        <v>0</v>
      </c>
      <c r="AD81" s="761">
        <f t="shared" ca="1" si="103"/>
        <v>0</v>
      </c>
      <c r="AE81" s="761">
        <f t="shared" ca="1" si="103"/>
        <v>0</v>
      </c>
      <c r="AF81" s="761">
        <f t="shared" ca="1" si="103"/>
        <v>1778483.1802398986</v>
      </c>
      <c r="AG81" s="761">
        <f t="shared" ca="1" si="103"/>
        <v>90720</v>
      </c>
      <c r="AH81" s="761">
        <f t="shared" ca="1" si="103"/>
        <v>1544601</v>
      </c>
      <c r="AI81" s="761">
        <f t="shared" ca="1" si="103"/>
        <v>154460.1</v>
      </c>
      <c r="AJ81" s="761">
        <f t="shared" ca="1" si="103"/>
        <v>1789781.1</v>
      </c>
      <c r="AK81" s="761">
        <f ca="1">SUM(AK11:AK80)</f>
        <v>0</v>
      </c>
      <c r="AL81" s="761">
        <f t="shared" ca="1" si="102"/>
        <v>628517.04545454541</v>
      </c>
      <c r="AM81" s="761">
        <f t="shared" ca="1" si="102"/>
        <v>174434.94318181818</v>
      </c>
      <c r="AN81" s="761">
        <f t="shared" ca="1" si="102"/>
        <v>22857.386363636364</v>
      </c>
      <c r="AO81" s="761">
        <f t="shared" ca="1" si="102"/>
        <v>5378.409090909091</v>
      </c>
      <c r="AP81" s="761">
        <f t="shared" ca="1" si="102"/>
        <v>22186.789772727272</v>
      </c>
      <c r="AQ81" s="761">
        <f t="shared" ca="1" si="102"/>
        <v>43333.333333333336</v>
      </c>
      <c r="AR81" s="761">
        <f t="shared" ca="1" si="102"/>
        <v>63288.888888888883</v>
      </c>
      <c r="AS81" s="761">
        <f t="shared" ca="1" si="102"/>
        <v>140000</v>
      </c>
      <c r="AT81" s="761">
        <f t="shared" ca="1" si="102"/>
        <v>20000</v>
      </c>
      <c r="AU81" s="761">
        <f t="shared" ca="1" si="102"/>
        <v>0</v>
      </c>
      <c r="AV81" s="761">
        <f t="shared" ca="1" si="102"/>
        <v>0</v>
      </c>
      <c r="AW81" s="761">
        <f t="shared" ca="1" si="102"/>
        <v>0</v>
      </c>
      <c r="AX81" s="761">
        <f ca="1">SUM(AX11:AX80)</f>
        <v>0</v>
      </c>
      <c r="AY81" s="761">
        <f t="shared" ca="1" si="102"/>
        <v>1119996.7960858585</v>
      </c>
      <c r="AZ81" s="761">
        <f t="shared" ca="1" si="102"/>
        <v>60480</v>
      </c>
      <c r="BA81" s="761">
        <f t="shared" ca="1" si="102"/>
        <v>1029734</v>
      </c>
      <c r="BB81" s="761">
        <f t="shared" si="102"/>
        <v>0</v>
      </c>
      <c r="BC81" s="761">
        <f t="shared" ca="1" si="102"/>
        <v>1090214</v>
      </c>
      <c r="BD81" s="761">
        <f t="shared" ref="BD81" ca="1" si="104">SUM(BD11:BD80)</f>
        <v>10065205.444444444</v>
      </c>
      <c r="BE81" s="1101" t="s">
        <v>106</v>
      </c>
      <c r="BF81" s="1101" t="s">
        <v>106</v>
      </c>
      <c r="BG81" s="654" t="s">
        <v>106</v>
      </c>
      <c r="BH81" s="1101" t="s">
        <v>106</v>
      </c>
      <c r="BI81" s="1101" t="s">
        <v>106</v>
      </c>
      <c r="BJ81" s="1101" t="s">
        <v>106</v>
      </c>
      <c r="BK81" s="1101" t="s">
        <v>106</v>
      </c>
      <c r="BL81" s="1101"/>
      <c r="BM81" s="1101"/>
      <c r="BN81" s="1101" t="s">
        <v>106</v>
      </c>
      <c r="BO81" s="1101" t="s">
        <v>106</v>
      </c>
      <c r="BP81" s="1101" t="s">
        <v>106</v>
      </c>
      <c r="BQ81" s="761">
        <f t="shared" ref="BQ81:BU81" ca="1" si="105">SUM(BQ11:BQ80)</f>
        <v>0</v>
      </c>
      <c r="BR81" s="761">
        <f t="shared" ca="1" si="105"/>
        <v>0</v>
      </c>
      <c r="BS81" s="761">
        <f t="shared" ca="1" si="105"/>
        <v>445553.77777777775</v>
      </c>
      <c r="BT81" s="761">
        <f t="shared" ca="1" si="105"/>
        <v>985600</v>
      </c>
      <c r="BU81" s="761">
        <f t="shared" ca="1" si="105"/>
        <v>140800</v>
      </c>
      <c r="BV81" s="761">
        <f t="shared" ref="BV81" ca="1" si="106">SUM(BV11:BV80)</f>
        <v>0</v>
      </c>
      <c r="BW81" s="654" t="s">
        <v>106</v>
      </c>
    </row>
    <row r="82" spans="1:75" s="666" customFormat="1" ht="19.899999999999999" customHeight="1">
      <c r="A82" s="1290" t="s">
        <v>2723</v>
      </c>
      <c r="B82" s="1291"/>
      <c r="C82" s="1291"/>
      <c r="D82" s="1300"/>
      <c r="E82" s="949">
        <v>0.01</v>
      </c>
      <c r="F82" s="1105"/>
      <c r="G82" s="1106"/>
      <c r="H82" s="1106"/>
      <c r="I82" s="1107"/>
      <c r="J82" s="942"/>
      <c r="L82" s="943"/>
      <c r="M82" s="944"/>
      <c r="N82" s="945">
        <f ca="1">+N81*E82</f>
        <v>160971.20000000001</v>
      </c>
      <c r="O82" s="764" t="s">
        <v>2442</v>
      </c>
      <c r="P82" s="667"/>
      <c r="Q82" s="764" t="str">
        <f>+AL82</f>
        <v>$P$4</v>
      </c>
      <c r="R82" s="764" t="s">
        <v>2679</v>
      </c>
      <c r="S82" s="764"/>
      <c r="T82" s="764" t="str">
        <f t="shared" ref="T82:AE82" si="107">+AM82</f>
        <v>$P$7</v>
      </c>
      <c r="U82" s="764" t="str">
        <f t="shared" si="107"/>
        <v>$P$6</v>
      </c>
      <c r="V82" s="764" t="str">
        <f t="shared" si="107"/>
        <v>$P$8</v>
      </c>
      <c r="W82" s="764" t="str">
        <f t="shared" si="107"/>
        <v>$P$9</v>
      </c>
      <c r="X82" s="764" t="str">
        <f t="shared" si="107"/>
        <v>$O$4</v>
      </c>
      <c r="Y82" s="764" t="str">
        <f t="shared" si="107"/>
        <v>$O$5</v>
      </c>
      <c r="Z82" s="764" t="str">
        <f t="shared" si="107"/>
        <v>$O$6</v>
      </c>
      <c r="AA82" s="764" t="str">
        <f t="shared" si="107"/>
        <v>$O$7</v>
      </c>
      <c r="AB82" s="764" t="str">
        <f t="shared" si="107"/>
        <v>$O$1</v>
      </c>
      <c r="AC82" s="764" t="str">
        <f t="shared" si="107"/>
        <v>$O$2</v>
      </c>
      <c r="AD82" s="764" t="str">
        <f t="shared" si="107"/>
        <v>$P$2</v>
      </c>
      <c r="AE82" s="764" t="str">
        <f t="shared" si="107"/>
        <v>$W$1</v>
      </c>
      <c r="AF82" s="765"/>
      <c r="AG82" s="766" t="str">
        <f>+AZ82</f>
        <v>$P$10</v>
      </c>
      <c r="AH82" s="764" t="str">
        <f>+BA82</f>
        <v>$P$5</v>
      </c>
      <c r="AI82" s="764"/>
      <c r="AJ82" s="765"/>
      <c r="AK82" s="764" t="str">
        <f>IF(OR(IFERROR(SEARCH("Gia công", ThongTinChung!$F$12,1),0)&gt;=1, IFERROR(SEARCH("Gia công", ThongTinChung!$F$12,1),0)&gt;=1, IFERROR(SEARCH("Gia công", ThongTinChung!$F$12,1),0)&gt;=1),ADDRESS(ROW($AG$9),COLUMN($AG$9)),ADDRESS(ROW($O$9),COLUMN($O$9)))</f>
        <v>$O$9</v>
      </c>
      <c r="AL82" s="764" t="str">
        <f>IF(OR(IFERROR(SEARCH("Gia công", ThongTinChung!$F$12,1),0)&gt;=1, IFERROR(SEARCH("Gia công", ThongTinChung!$F$12,1),0)&gt;=1, IFERROR(SEARCH("Gia công", ThongTinChung!$F$12,1),0)&gt;=1),ADDRESS(ROW($AN$4),COLUMN($AN$4)),ADDRESS(ROW($P$4),COLUMN($P$4)))</f>
        <v>$P$4</v>
      </c>
      <c r="AM82" s="764" t="str">
        <f>IF(OR(IFERROR(SEARCH("Gia công", ThongTinChung!$F$12,1),0)&gt;=1, IFERROR(SEARCH("Gia công", ThongTinChung!$F$12,1),0)&gt;=1, IFERROR(SEARCH("Gia công", ThongTinChung!$F$12,1),0)&gt;=1),ADDRESS(ROW($AN$7),COLUMN($AN$7)),ADDRESS(ROW($P$7),COLUMN($P$7)))</f>
        <v>$P$7</v>
      </c>
      <c r="AN82" s="764" t="str">
        <f>IF(OR(IFERROR(SEARCH("Gia công", ThongTinChung!$F$12,1),0)&gt;=1, IFERROR(SEARCH("Gia công", ThongTinChung!$F$12,1),0)&gt;=1, IFERROR(SEARCH("Gia công", ThongTinChung!$F$12,1),0)&gt;=1),ADDRESS(ROW($AN$6),COLUMN($AN$6)),ADDRESS(ROW($P$6),COLUMN($P$6)))</f>
        <v>$P$6</v>
      </c>
      <c r="AO82" s="764" t="str">
        <f>IF(OR(IFERROR(SEARCH("Gia công", ThongTinChung!$F$12,1),0)&gt;=1, IFERROR(SEARCH("Gia công", ThongTinChung!$F$12,1),0)&gt;=1, IFERROR(SEARCH("Gia công", ThongTinChung!$F$12,1),0)&gt;=1),ADDRESS(ROW($AN$8),COLUMN($AN$8)),ADDRESS(ROW($P$8),COLUMN($P$8)))</f>
        <v>$P$8</v>
      </c>
      <c r="AP82" s="764" t="str">
        <f>IF(OR(IFERROR(SEARCH("Gia công", ThongTinChung!$F$12,1),0)&gt;=1, IFERROR(SEARCH("Gia công", ThongTinChung!$F$12,1),0)&gt;=1, IFERROR(SEARCH("Gia công", ThongTinChung!$F$12,1),0)&gt;=1),ADDRESS(ROW($AN$9),COLUMN($AN$9)),ADDRESS(ROW($P$9),COLUMN($P$9)))</f>
        <v>$P$9</v>
      </c>
      <c r="AQ82" s="764" t="str">
        <f>IF(OR(IFERROR(SEARCH("Gia công", ThongTinChung!$F$12,1),0)&gt;=1, IFERROR(SEARCH("Gia công", ThongTinChung!$F$12,1),0)&gt;=1, IFERROR(SEARCH("Gia công", ThongTinChung!$F$12,1),0)&gt;=1),ADDRESS(ROW($AG$4),COLUMN($AG$4)),ADDRESS(ROW($O$4),COLUMN($O$4)))</f>
        <v>$O$4</v>
      </c>
      <c r="AR82" s="764" t="str">
        <f>IF(OR(IFERROR(SEARCH("Gia công", ThongTinChung!$F$12,1),0)&gt;=1, IFERROR(SEARCH("Gia công", ThongTinChung!$F$12,1),0)&gt;=1, IFERROR(SEARCH("Gia công", ThongTinChung!$F$12,1),0)&gt;=1),ADDRESS(ROW($AG$5),COLUMN($AG$5)),ADDRESS(ROW($O$5),COLUMN($O$5)))</f>
        <v>$O$5</v>
      </c>
      <c r="AS82" s="764" t="str">
        <f>IF(OR(IFERROR(SEARCH("Gia công", ThongTinChung!$F$12,1),0)&gt;=1, IFERROR(SEARCH("Gia công", ThongTinChung!$F$12,1),0)&gt;=1, IFERROR(SEARCH("Gia công", ThongTinChung!$F$12,1),0)&gt;=1),ADDRESS(ROW($AG$6),COLUMN($AG$6)),ADDRESS(ROW($O$6),COLUMN($O$6)))</f>
        <v>$O$6</v>
      </c>
      <c r="AT82" s="764" t="str">
        <f>IF(OR(IFERROR(SEARCH("Gia công", ThongTinChung!$F$12,1),0)&gt;=1, IFERROR(SEARCH("Gia công", ThongTinChung!$F$12,1),0)&gt;=1, IFERROR(SEARCH("Gia công", ThongTinChung!$F$12,1),0)&gt;=1),ADDRESS(ROW($AG$7),COLUMN($AG$7)),ADDRESS(ROW($O$7),COLUMN($O$7)))</f>
        <v>$O$7</v>
      </c>
      <c r="AU82" s="764" t="str">
        <f>IF(OR(IFERROR(SEARCH("Gia công", ThongTinChung!$F$12,1),0)&gt;=1, IFERROR(SEARCH("Gia công", ThongTinChung!$F$12,1),0)&gt;=1, IFERROR(SEARCH("Gia công", ThongTinChung!$F$12,1),0)&gt;=1),ADDRESS(ROW($AG$1),COLUMN($AG$1)),ADDRESS(ROW($O$1),COLUMN($O$1)))</f>
        <v>$O$1</v>
      </c>
      <c r="AV82" s="764" t="str">
        <f>IF(OR(IFERROR(SEARCH("Gia công", ThongTinChung!$F$12,1),0)&gt;=1, IFERROR(SEARCH("Gia công", ThongTinChung!$F$12,1),0)&gt;=1, IFERROR(SEARCH("Gia công", ThongTinChung!$F$12,1),0)&gt;=1),ADDRESS(ROW($AG$2),COLUMN($AG$2)),ADDRESS(ROW($O$2),COLUMN($O$2)))</f>
        <v>$O$2</v>
      </c>
      <c r="AW82" s="764" t="s">
        <v>2342</v>
      </c>
      <c r="AX82" s="764" t="s">
        <v>2690</v>
      </c>
      <c r="AY82" s="765"/>
      <c r="AZ82" s="766" t="str">
        <f>IF(OR(IFERROR(SEARCH("Gia công", ThongTinChung!$F$12,1),0)&gt;=1, IFERROR(SEARCH("Gia công", ThongTinChung!$F$12,1),0)&gt;=1, IFERROR(SEARCH("Gia công", ThongTinChung!$F$12,1),0)&gt;=1),ADDRESS(ROW($AN$10),COLUMN($AN$10)),ADDRESS(ROW($P$10),COLUMN($P$10)))</f>
        <v>$P$10</v>
      </c>
      <c r="BA82" s="764" t="str">
        <f>IF(OR(IFERROR(SEARCH("Gia công", ThongTinChung!$F$12,1),0)&gt;=1, IFERROR(SEARCH("Gia công", ThongTinChung!$F$12,1),0)&gt;=1, IFERROR(SEARCH("Gia công", ThongTinChung!$F$12,1),0)&gt;=1),ADDRESS(ROW($AN$5),COLUMN($AN$5)),ADDRESS(ROW($P$5),COLUMN($P$5)))</f>
        <v>$P$5</v>
      </c>
      <c r="BB82" s="764"/>
      <c r="BC82" s="765"/>
      <c r="BD82" s="764" t="str">
        <f>IF(OR(IFERROR(SEARCH("Gia công", ThongTinChung!$F$12,1),0)&gt;=1, IFERROR(SEARCH("Gia công", ThongTinChung!$F$12,1),0)&gt;=1, IFERROR(SEARCH("Gia công", ThongTinChung!$F$12,1),0)&gt;=1),ADDRESS(ROW($AG$8),COLUMN($AG$8)),ADDRESS(ROW($O$8),COLUMN($O$8)))</f>
        <v>$O$8</v>
      </c>
      <c r="BE82" s="1108"/>
      <c r="BF82" s="1108"/>
      <c r="BG82" s="700"/>
      <c r="BH82" s="664"/>
      <c r="BI82" s="664"/>
      <c r="BJ82" s="664"/>
      <c r="BK82" s="664"/>
      <c r="BL82" s="664"/>
      <c r="BM82" s="664"/>
      <c r="BN82" s="664"/>
      <c r="BO82" s="664"/>
      <c r="BP82" s="664"/>
      <c r="BQ82" s="764" t="str">
        <f>IF(OR(IFERROR(SEARCH("Gia công", ThongTinChung!$F$12,1),0)&gt;=1, IFERROR(SEARCH("Gia công", ThongTinChung!$F$12,1),0)&gt;=1, IFERROR(SEARCH("Gia công", ThongTinChung!$F$12,1),0)&gt;=1),ADDRESS(ROW($AG$1),COLUMN($AG$1)),ADDRESS(ROW($O$1),COLUMN($O$1)))</f>
        <v>$O$1</v>
      </c>
      <c r="BR82" s="764" t="str">
        <f>IF(OR(IFERROR(SEARCH("Gia công", ThongTinChung!$F$12,1),0)&gt;=1, IFERROR(SEARCH("Gia công", ThongTinChung!$F$12,1),0)&gt;=1, IFERROR(SEARCH("Gia công", ThongTinChung!$F$12,1),0)&gt;=1),ADDRESS(ROW($AG$2),COLUMN($AG$2)),ADDRESS(ROW($O$2),COLUMN($O$2)))</f>
        <v>$O$2</v>
      </c>
      <c r="BS82" s="764" t="str">
        <f>IF(OR(IFERROR(SEARCH("Gia công", ThongTinChung!$F$12,1),0)&gt;=1, IFERROR(SEARCH("Gia công", ThongTinChung!$F$12,1),0)&gt;=1, IFERROR(SEARCH("Gia công", ThongTinChung!$F$12,1),0)&gt;=1),ADDRESS(ROW($AG$5),COLUMN($AG$5)),ADDRESS(ROW($O$5),COLUMN($O$5)))</f>
        <v>$O$5</v>
      </c>
      <c r="BT82" s="764" t="str">
        <f>IF(OR(IFERROR(SEARCH("Gia công", ThongTinChung!$F$12,1),0)&gt;=1, IFERROR(SEARCH("Gia công", ThongTinChung!$F$12,1),0)&gt;=1, IFERROR(SEARCH("Gia công", ThongTinChung!$F$12,1),0)&gt;=1),ADDRESS(ROW($AG$6),COLUMN($AG$6)),ADDRESS(ROW($O$6),COLUMN($O$6)))</f>
        <v>$O$6</v>
      </c>
      <c r="BU82" s="764" t="str">
        <f>IF(OR(IFERROR(SEARCH("Gia công", ThongTinChung!$F$12,1),0)&gt;=1, IFERROR(SEARCH("Gia công", ThongTinChung!$F$12,1),0)&gt;=1, IFERROR(SEARCH("Gia công", ThongTinChung!$F$12,1),0)&gt;=1),ADDRESS(ROW($AG$7),COLUMN($AG$7)),ADDRESS(ROW($O$7),COLUMN($O$7)))</f>
        <v>$O$7</v>
      </c>
      <c r="BV82" s="764" t="s">
        <v>2690</v>
      </c>
      <c r="BW82" s="701"/>
    </row>
    <row r="83" spans="1:75" s="666" customFormat="1" ht="19.899999999999999" customHeight="1">
      <c r="A83" s="1290" t="s">
        <v>2724</v>
      </c>
      <c r="B83" s="1291"/>
      <c r="C83" s="1291"/>
      <c r="D83" s="1291"/>
      <c r="E83" s="1105"/>
      <c r="F83" s="1105"/>
      <c r="G83" s="1106"/>
      <c r="H83" s="1106"/>
      <c r="I83" s="1107"/>
      <c r="J83" s="942"/>
      <c r="K83" s="949"/>
      <c r="L83" s="943"/>
      <c r="M83" s="944"/>
      <c r="N83" s="945">
        <f ca="1">+N81-N82</f>
        <v>15936148.800000001</v>
      </c>
      <c r="O83" s="664"/>
      <c r="P83" s="664"/>
      <c r="Q83" s="1114" t="s">
        <v>150</v>
      </c>
      <c r="R83" s="1115" t="s">
        <v>2689</v>
      </c>
      <c r="S83" s="1114"/>
      <c r="T83" s="1114" t="s">
        <v>152</v>
      </c>
      <c r="U83" s="1114" t="s">
        <v>151</v>
      </c>
      <c r="V83" s="1114" t="s">
        <v>2408</v>
      </c>
      <c r="W83" s="1114" t="s">
        <v>2409</v>
      </c>
      <c r="X83" s="1114" t="s">
        <v>2439</v>
      </c>
      <c r="Y83" s="1114" t="s">
        <v>226</v>
      </c>
      <c r="Z83" s="1114" t="s">
        <v>2440</v>
      </c>
      <c r="AA83" s="1114" t="s">
        <v>225</v>
      </c>
      <c r="AB83" s="1113" t="s">
        <v>370</v>
      </c>
      <c r="AC83" s="1113" t="s">
        <v>2441</v>
      </c>
      <c r="AD83" s="1113"/>
      <c r="AE83" s="1115"/>
      <c r="AF83" s="1115"/>
      <c r="AG83" s="1114" t="s">
        <v>2081</v>
      </c>
      <c r="AH83" s="1114" t="s">
        <v>153</v>
      </c>
      <c r="AI83" s="1114" t="s">
        <v>2103</v>
      </c>
      <c r="AJ83" s="1116" t="s">
        <v>2515</v>
      </c>
      <c r="AK83" s="1117">
        <f ca="1">+N81-AK81</f>
        <v>16097120</v>
      </c>
      <c r="AL83" s="1114"/>
      <c r="AM83" s="1114"/>
      <c r="AN83" s="1114"/>
      <c r="AO83" s="1114"/>
      <c r="AP83" s="1114"/>
      <c r="AQ83" s="1114"/>
      <c r="AR83" s="1114"/>
      <c r="AS83" s="1114"/>
      <c r="AT83" s="1114"/>
      <c r="AU83" s="1113"/>
      <c r="AV83" s="1113"/>
      <c r="AW83" s="1113"/>
      <c r="AX83" s="664"/>
      <c r="AY83" s="1115"/>
      <c r="AZ83" s="1114"/>
      <c r="BA83" s="1114"/>
      <c r="BB83" s="1114"/>
      <c r="BC83" s="1116" t="s">
        <v>107</v>
      </c>
      <c r="BD83" s="670">
        <f ca="1">N81-BD81</f>
        <v>6031914.555555556</v>
      </c>
      <c r="BE83" s="1108"/>
      <c r="BF83" s="1108"/>
      <c r="BG83" s="700"/>
      <c r="BH83" s="664"/>
      <c r="BI83" s="664"/>
      <c r="BJ83" s="664"/>
      <c r="BK83" s="664"/>
      <c r="BL83" s="664"/>
      <c r="BM83" s="664"/>
      <c r="BN83" s="664"/>
      <c r="BO83" s="664"/>
      <c r="BP83" s="664"/>
      <c r="BQ83" s="1113"/>
      <c r="BR83" s="1113"/>
      <c r="BS83" s="1114"/>
      <c r="BT83" s="1114"/>
      <c r="BU83" s="1114"/>
      <c r="BV83" s="664"/>
      <c r="BW83" s="701"/>
    </row>
    <row r="84" spans="1:75" s="666" customFormat="1" ht="19.899999999999999" customHeight="1">
      <c r="A84" s="1290" t="s">
        <v>2725</v>
      </c>
      <c r="B84" s="1291"/>
      <c r="C84" s="1291"/>
      <c r="D84" s="1291"/>
      <c r="E84" s="1105"/>
      <c r="F84" s="1105"/>
      <c r="G84" s="1106"/>
      <c r="H84" s="1106"/>
      <c r="I84" s="1107"/>
      <c r="J84" s="942"/>
      <c r="K84" s="942"/>
      <c r="L84" s="943"/>
      <c r="M84" s="944"/>
      <c r="N84" s="945"/>
      <c r="O84" s="946"/>
      <c r="P84" s="946"/>
      <c r="Q84" s="947"/>
      <c r="R84" s="948"/>
      <c r="S84" s="947"/>
      <c r="T84" s="947"/>
      <c r="U84" s="947"/>
      <c r="V84" s="947"/>
      <c r="W84" s="947"/>
      <c r="X84" s="947"/>
      <c r="Y84" s="947"/>
      <c r="Z84" s="947"/>
      <c r="AA84" s="947"/>
      <c r="AB84" s="947"/>
      <c r="AC84" s="947"/>
      <c r="AD84" s="947"/>
      <c r="AE84" s="947"/>
      <c r="AF84" s="947"/>
      <c r="AG84" s="947"/>
      <c r="AH84" s="947"/>
      <c r="AI84" s="947"/>
      <c r="AJ84" s="947"/>
      <c r="AK84" s="947"/>
      <c r="AL84" s="947"/>
      <c r="AM84" s="947"/>
      <c r="AN84" s="947"/>
      <c r="AO84" s="947"/>
      <c r="AP84" s="947"/>
      <c r="AQ84" s="947"/>
      <c r="AR84" s="947"/>
      <c r="AS84" s="947"/>
      <c r="AT84" s="947"/>
      <c r="AU84" s="947"/>
      <c r="AV84" s="947"/>
      <c r="AW84" s="947"/>
      <c r="AX84" s="947"/>
      <c r="AY84" s="947"/>
      <c r="AZ84" s="947"/>
      <c r="BA84" s="947"/>
      <c r="BB84" s="947"/>
      <c r="BC84" s="947"/>
      <c r="BD84" s="947"/>
      <c r="BE84" s="667"/>
      <c r="BF84" s="667"/>
      <c r="BG84" s="701"/>
      <c r="BH84" s="667"/>
      <c r="BI84" s="667"/>
      <c r="BJ84" s="667"/>
      <c r="BK84" s="667"/>
      <c r="BL84" s="667"/>
      <c r="BM84" s="667"/>
      <c r="BN84" s="667"/>
      <c r="BO84" s="667"/>
      <c r="BP84" s="667"/>
      <c r="BQ84" s="947"/>
      <c r="BR84" s="947"/>
      <c r="BS84" s="947"/>
      <c r="BT84" s="947"/>
      <c r="BU84" s="947"/>
      <c r="BV84" s="947"/>
      <c r="BW84" s="701"/>
    </row>
    <row r="85" spans="1:75" s="666" customFormat="1" ht="19.899999999999999" customHeight="1">
      <c r="A85" s="1290" t="s">
        <v>2726</v>
      </c>
      <c r="B85" s="1291"/>
      <c r="C85" s="1291"/>
      <c r="D85" s="1291"/>
      <c r="E85" s="1105"/>
      <c r="F85" s="1105"/>
      <c r="G85" s="1106"/>
      <c r="H85" s="1106"/>
      <c r="I85" s="1107"/>
      <c r="J85" s="942"/>
      <c r="K85" s="942"/>
      <c r="L85" s="943"/>
      <c r="M85" s="944"/>
      <c r="N85" s="945"/>
      <c r="O85" s="946"/>
      <c r="P85" s="946"/>
      <c r="Q85" s="947"/>
      <c r="R85" s="948"/>
      <c r="S85" s="947"/>
      <c r="T85" s="947"/>
      <c r="U85" s="947"/>
      <c r="V85" s="947"/>
      <c r="W85" s="947"/>
      <c r="X85" s="947"/>
      <c r="Y85" s="947"/>
      <c r="Z85" s="947"/>
      <c r="AA85" s="947"/>
      <c r="AB85" s="947"/>
      <c r="AC85" s="947"/>
      <c r="AD85" s="947"/>
      <c r="AE85" s="947"/>
      <c r="AF85" s="947"/>
      <c r="AG85" s="947"/>
      <c r="AH85" s="947"/>
      <c r="AI85" s="947"/>
      <c r="AJ85" s="947"/>
      <c r="AK85" s="947"/>
      <c r="AL85" s="947"/>
      <c r="AM85" s="947"/>
      <c r="AN85" s="947"/>
      <c r="AO85" s="947"/>
      <c r="AP85" s="947"/>
      <c r="AQ85" s="947"/>
      <c r="AR85" s="947"/>
      <c r="AS85" s="947"/>
      <c r="AT85" s="947"/>
      <c r="AU85" s="947"/>
      <c r="AV85" s="947"/>
      <c r="AW85" s="947"/>
      <c r="AX85" s="947"/>
      <c r="AY85" s="947"/>
      <c r="AZ85" s="947"/>
      <c r="BA85" s="947"/>
      <c r="BB85" s="947"/>
      <c r="BC85" s="947"/>
      <c r="BD85" s="947"/>
      <c r="BE85" s="667"/>
      <c r="BF85" s="667"/>
      <c r="BG85" s="701"/>
      <c r="BH85" s="667"/>
      <c r="BI85" s="667"/>
      <c r="BJ85" s="667"/>
      <c r="BK85" s="667"/>
      <c r="BL85" s="667"/>
      <c r="BM85" s="667"/>
      <c r="BN85" s="667"/>
      <c r="BO85" s="667"/>
      <c r="BP85" s="667"/>
      <c r="BQ85" s="947"/>
      <c r="BR85" s="947"/>
      <c r="BS85" s="947"/>
      <c r="BT85" s="947"/>
      <c r="BU85" s="947"/>
      <c r="BV85" s="947"/>
      <c r="BW85" s="701"/>
    </row>
    <row r="86" spans="1:75" s="666" customFormat="1" ht="19.899999999999999" customHeight="1">
      <c r="A86" s="1290" t="s">
        <v>2727</v>
      </c>
      <c r="B86" s="1291"/>
      <c r="C86" s="1291"/>
      <c r="D86" s="1291"/>
      <c r="E86" s="1105"/>
      <c r="F86" s="1105"/>
      <c r="G86" s="1106"/>
      <c r="H86" s="1106"/>
      <c r="I86" s="1107"/>
      <c r="J86" s="942"/>
      <c r="K86" s="942"/>
      <c r="L86" s="943"/>
      <c r="M86" s="944"/>
      <c r="N86" s="945"/>
      <c r="O86" s="946"/>
      <c r="P86" s="946"/>
      <c r="Q86" s="947"/>
      <c r="R86" s="948"/>
      <c r="S86" s="947"/>
      <c r="T86" s="947"/>
      <c r="U86" s="947"/>
      <c r="V86" s="947"/>
      <c r="W86" s="947"/>
      <c r="X86" s="947"/>
      <c r="Y86" s="947"/>
      <c r="Z86" s="947"/>
      <c r="AA86" s="947"/>
      <c r="AB86" s="947"/>
      <c r="AC86" s="947"/>
      <c r="AD86" s="947"/>
      <c r="AE86" s="947"/>
      <c r="AF86" s="947"/>
      <c r="AG86" s="947"/>
      <c r="AH86" s="947"/>
      <c r="AI86" s="947"/>
      <c r="AJ86" s="947"/>
      <c r="AK86" s="947"/>
      <c r="AL86" s="947"/>
      <c r="AM86" s="947"/>
      <c r="AN86" s="947"/>
      <c r="AO86" s="947"/>
      <c r="AP86" s="947"/>
      <c r="AQ86" s="947"/>
      <c r="AR86" s="947"/>
      <c r="AS86" s="947"/>
      <c r="AT86" s="947"/>
      <c r="AU86" s="947"/>
      <c r="AV86" s="947"/>
      <c r="AW86" s="947"/>
      <c r="AX86" s="947"/>
      <c r="AY86" s="947"/>
      <c r="AZ86" s="947"/>
      <c r="BA86" s="947"/>
      <c r="BB86" s="947"/>
      <c r="BC86" s="947"/>
      <c r="BD86" s="947"/>
      <c r="BE86" s="667"/>
      <c r="BF86" s="667"/>
      <c r="BG86" s="701"/>
      <c r="BH86" s="667"/>
      <c r="BI86" s="667"/>
      <c r="BJ86" s="667"/>
      <c r="BK86" s="667"/>
      <c r="BL86" s="667"/>
      <c r="BM86" s="667"/>
      <c r="BN86" s="667"/>
      <c r="BO86" s="667"/>
      <c r="BP86" s="667"/>
      <c r="BQ86" s="947"/>
      <c r="BR86" s="947"/>
      <c r="BS86" s="947"/>
      <c r="BT86" s="947"/>
      <c r="BU86" s="947"/>
      <c r="BV86" s="947"/>
      <c r="BW86" s="701"/>
    </row>
    <row r="87" spans="1:75" s="666" customFormat="1" ht="19.899999999999999" customHeight="1">
      <c r="A87" s="1290" t="s">
        <v>2728</v>
      </c>
      <c r="B87" s="1291"/>
      <c r="C87" s="1291"/>
      <c r="D87" s="1291"/>
      <c r="E87" s="1105"/>
      <c r="F87" s="1105"/>
      <c r="G87" s="1106"/>
      <c r="H87" s="1106"/>
      <c r="I87" s="1107"/>
      <c r="J87" s="942"/>
      <c r="K87" s="942"/>
      <c r="L87" s="943"/>
      <c r="M87" s="944"/>
      <c r="N87" s="945">
        <f ca="1">SUM(N83:N86)</f>
        <v>15936148.800000001</v>
      </c>
      <c r="O87" s="946"/>
      <c r="P87" s="946"/>
      <c r="Q87" s="947"/>
      <c r="R87" s="948"/>
      <c r="S87" s="947"/>
      <c r="T87" s="947"/>
      <c r="U87" s="947"/>
      <c r="V87" s="947"/>
      <c r="W87" s="947"/>
      <c r="X87" s="947"/>
      <c r="Y87" s="947"/>
      <c r="Z87" s="947"/>
      <c r="AA87" s="947"/>
      <c r="AB87" s="947"/>
      <c r="AC87" s="947"/>
      <c r="AD87" s="947"/>
      <c r="AE87" s="947"/>
      <c r="AF87" s="947"/>
      <c r="AG87" s="947"/>
      <c r="AH87" s="947"/>
      <c r="AI87" s="947"/>
      <c r="AJ87" s="947"/>
      <c r="AK87" s="947"/>
      <c r="AL87" s="947"/>
      <c r="AM87" s="947"/>
      <c r="AN87" s="947"/>
      <c r="AO87" s="947"/>
      <c r="AP87" s="947"/>
      <c r="AQ87" s="947"/>
      <c r="AR87" s="947"/>
      <c r="AS87" s="947"/>
      <c r="AT87" s="947"/>
      <c r="AU87" s="947"/>
      <c r="AV87" s="947"/>
      <c r="AW87" s="947"/>
      <c r="AX87" s="947"/>
      <c r="AY87" s="947"/>
      <c r="AZ87" s="947"/>
      <c r="BA87" s="947"/>
      <c r="BB87" s="947"/>
      <c r="BC87" s="947"/>
      <c r="BD87" s="947"/>
      <c r="BE87" s="667"/>
      <c r="BF87" s="667"/>
      <c r="BG87" s="701"/>
      <c r="BH87" s="667"/>
      <c r="BI87" s="667"/>
      <c r="BJ87" s="667"/>
      <c r="BK87" s="667"/>
      <c r="BL87" s="667"/>
      <c r="BM87" s="667"/>
      <c r="BN87" s="667"/>
      <c r="BO87" s="667"/>
      <c r="BP87" s="667"/>
      <c r="BQ87" s="947"/>
      <c r="BR87" s="947"/>
      <c r="BS87" s="947"/>
      <c r="BT87" s="947"/>
      <c r="BU87" s="947"/>
      <c r="BV87" s="947"/>
      <c r="BW87" s="701"/>
    </row>
    <row r="88" spans="1:75" s="666" customFormat="1" ht="19.899999999999999" customHeight="1">
      <c r="A88" s="1290" t="s">
        <v>2520</v>
      </c>
      <c r="B88" s="1291"/>
      <c r="C88" s="1291"/>
      <c r="D88" s="1300"/>
      <c r="E88" s="949">
        <v>0.1</v>
      </c>
      <c r="F88" s="1105"/>
      <c r="G88" s="1106"/>
      <c r="H88" s="1106"/>
      <c r="I88" s="1107"/>
      <c r="J88" s="942"/>
      <c r="L88" s="943"/>
      <c r="M88" s="944"/>
      <c r="N88" s="945">
        <f ca="1">+N87*E88</f>
        <v>1593614.8800000001</v>
      </c>
      <c r="O88" s="946"/>
      <c r="P88" s="946"/>
      <c r="Q88" s="947"/>
      <c r="R88" s="948"/>
      <c r="S88" s="947"/>
      <c r="T88" s="947"/>
      <c r="U88" s="947"/>
      <c r="V88" s="947"/>
      <c r="W88" s="947"/>
      <c r="X88" s="947"/>
      <c r="Y88" s="947"/>
      <c r="Z88" s="947"/>
      <c r="AA88" s="947"/>
      <c r="AB88" s="947"/>
      <c r="AC88" s="947"/>
      <c r="AD88" s="947"/>
      <c r="AE88" s="947"/>
      <c r="AF88" s="947"/>
      <c r="AG88" s="947"/>
      <c r="AH88" s="947"/>
      <c r="AI88" s="947"/>
      <c r="AJ88" s="947"/>
      <c r="AK88" s="947"/>
      <c r="AL88" s="947"/>
      <c r="AM88" s="947"/>
      <c r="AN88" s="947"/>
      <c r="AO88" s="947"/>
      <c r="AP88" s="947"/>
      <c r="AQ88" s="947"/>
      <c r="AR88" s="947"/>
      <c r="AS88" s="947"/>
      <c r="AT88" s="947"/>
      <c r="AU88" s="947"/>
      <c r="AV88" s="947"/>
      <c r="AW88" s="947"/>
      <c r="AX88" s="947"/>
      <c r="AY88" s="947"/>
      <c r="AZ88" s="947"/>
      <c r="BA88" s="947"/>
      <c r="BB88" s="947"/>
      <c r="BC88" s="947"/>
      <c r="BD88" s="947"/>
      <c r="BE88" s="667"/>
      <c r="BF88" s="667"/>
      <c r="BG88" s="701"/>
      <c r="BH88" s="667"/>
      <c r="BI88" s="667"/>
      <c r="BJ88" s="667"/>
      <c r="BK88" s="667"/>
      <c r="BL88" s="667"/>
      <c r="BM88" s="667"/>
      <c r="BN88" s="667"/>
      <c r="BO88" s="667"/>
      <c r="BP88" s="667"/>
      <c r="BQ88" s="947"/>
      <c r="BR88" s="947"/>
      <c r="BS88" s="947"/>
      <c r="BT88" s="947"/>
      <c r="BU88" s="947"/>
      <c r="BV88" s="947"/>
      <c r="BW88" s="701"/>
    </row>
    <row r="89" spans="1:75" s="666" customFormat="1" ht="19.899999999999999" customHeight="1">
      <c r="A89" s="1290" t="s">
        <v>2729</v>
      </c>
      <c r="B89" s="1291"/>
      <c r="C89" s="1291"/>
      <c r="D89" s="1291"/>
      <c r="E89" s="1105"/>
      <c r="F89" s="1105"/>
      <c r="G89" s="1106"/>
      <c r="H89" s="1106"/>
      <c r="I89" s="1107"/>
      <c r="J89" s="942"/>
      <c r="K89" s="942"/>
      <c r="L89" s="943"/>
      <c r="M89" s="944"/>
      <c r="N89" s="945">
        <f ca="1">+SUM(N87:N88)</f>
        <v>17529763.68</v>
      </c>
      <c r="O89" s="946"/>
      <c r="P89" s="946"/>
      <c r="Q89" s="947"/>
      <c r="R89" s="948"/>
      <c r="S89" s="947"/>
      <c r="T89" s="947"/>
      <c r="U89" s="947"/>
      <c r="V89" s="947"/>
      <c r="W89" s="947"/>
      <c r="X89" s="947"/>
      <c r="Y89" s="947"/>
      <c r="Z89" s="947"/>
      <c r="AA89" s="947"/>
      <c r="AB89" s="947"/>
      <c r="AC89" s="947"/>
      <c r="AD89" s="947"/>
      <c r="AE89" s="947"/>
      <c r="AF89" s="947"/>
      <c r="AG89" s="947"/>
      <c r="AH89" s="947"/>
      <c r="AI89" s="947"/>
      <c r="AJ89" s="947"/>
      <c r="AK89" s="947"/>
      <c r="AL89" s="947"/>
      <c r="AM89" s="947"/>
      <c r="AN89" s="947"/>
      <c r="AO89" s="947"/>
      <c r="AP89" s="947"/>
      <c r="AQ89" s="947"/>
      <c r="AR89" s="947"/>
      <c r="AS89" s="947"/>
      <c r="AT89" s="947"/>
      <c r="AU89" s="947"/>
      <c r="AV89" s="947"/>
      <c r="AW89" s="947"/>
      <c r="AX89" s="947"/>
      <c r="AY89" s="947"/>
      <c r="AZ89" s="947"/>
      <c r="BA89" s="947"/>
      <c r="BB89" s="947"/>
      <c r="BC89" s="947"/>
      <c r="BD89" s="947"/>
      <c r="BE89" s="667"/>
      <c r="BF89" s="667"/>
      <c r="BG89" s="701"/>
      <c r="BH89" s="667"/>
      <c r="BI89" s="667"/>
      <c r="BJ89" s="667"/>
      <c r="BK89" s="667"/>
      <c r="BL89" s="667"/>
      <c r="BM89" s="667"/>
      <c r="BN89" s="667"/>
      <c r="BO89" s="667"/>
      <c r="BP89" s="667"/>
      <c r="BQ89" s="947"/>
      <c r="BR89" s="947"/>
      <c r="BS89" s="947"/>
      <c r="BT89" s="947"/>
      <c r="BU89" s="947"/>
      <c r="BV89" s="947"/>
      <c r="BW89" s="701"/>
    </row>
    <row r="90" spans="1:75" s="663" customFormat="1" ht="19.899999999999999" customHeight="1" thickBot="1">
      <c r="A90" s="1316" t="s">
        <v>131</v>
      </c>
      <c r="B90" s="1317"/>
      <c r="C90" s="1354" t="e">
        <f ca="1">[1]!vndU(N89) &amp; " đồng./."</f>
        <v>#NAME?</v>
      </c>
      <c r="D90" s="1355"/>
      <c r="E90" s="1355"/>
      <c r="F90" s="1355"/>
      <c r="G90" s="1355"/>
      <c r="H90" s="1355"/>
      <c r="I90" s="1355"/>
      <c r="J90" s="1355"/>
      <c r="K90" s="1355"/>
      <c r="L90" s="1355"/>
      <c r="M90" s="1355"/>
      <c r="N90" s="1356"/>
    </row>
    <row r="91" spans="1:75" s="671" customFormat="1" ht="19.899999999999999" customHeight="1">
      <c r="A91" s="45" t="s">
        <v>132</v>
      </c>
      <c r="B91" s="30"/>
      <c r="C91" s="30"/>
      <c r="D91" s="119"/>
      <c r="E91" s="29"/>
      <c r="F91" s="46"/>
      <c r="G91" s="46"/>
      <c r="H91" s="46"/>
      <c r="I91" s="47"/>
      <c r="J91" s="48"/>
      <c r="K91" s="773"/>
      <c r="L91" s="49"/>
      <c r="M91" s="49"/>
      <c r="N91" s="50"/>
    </row>
    <row r="92" spans="1:75" s="671" customFormat="1" ht="19.899999999999999" customHeight="1">
      <c r="A92" s="51" t="s">
        <v>2108</v>
      </c>
      <c r="B92" s="52"/>
      <c r="C92" s="52"/>
      <c r="D92" s="120"/>
      <c r="E92" s="46"/>
      <c r="F92" s="46"/>
      <c r="G92" s="46"/>
      <c r="H92" s="46"/>
      <c r="I92" s="47"/>
      <c r="J92" s="48"/>
      <c r="K92" s="48"/>
      <c r="L92" s="49"/>
      <c r="M92" s="49"/>
      <c r="N92" s="50"/>
      <c r="O92" s="664"/>
      <c r="P92" s="664"/>
      <c r="Q92" s="117"/>
      <c r="R92" s="117"/>
      <c r="S92" s="117"/>
      <c r="T92" s="117"/>
      <c r="U92" s="117"/>
      <c r="V92" s="117"/>
      <c r="W92" s="117"/>
      <c r="X92" s="117"/>
      <c r="Y92" s="117"/>
      <c r="Z92" s="117"/>
      <c r="AA92" s="117"/>
      <c r="AE92" s="751"/>
      <c r="AF92" s="751"/>
      <c r="AG92" s="117"/>
      <c r="AH92" s="117"/>
      <c r="AI92" s="117"/>
      <c r="AJ92" s="751"/>
      <c r="AK92" s="50"/>
      <c r="AL92" s="117"/>
      <c r="AM92" s="117"/>
      <c r="AN92" s="117"/>
      <c r="AO92" s="117"/>
      <c r="AP92" s="117"/>
      <c r="AQ92" s="117"/>
      <c r="AR92" s="117"/>
      <c r="AS92" s="117"/>
      <c r="AT92" s="117"/>
      <c r="AX92" s="751"/>
      <c r="AY92" s="751"/>
      <c r="AZ92" s="117"/>
      <c r="BA92" s="117"/>
      <c r="BB92" s="117"/>
      <c r="BC92" s="751"/>
      <c r="BD92" s="835"/>
      <c r="BE92" s="190"/>
      <c r="BF92" s="190"/>
      <c r="BG92" s="700"/>
      <c r="BO92" s="664"/>
      <c r="BP92" s="664"/>
      <c r="BS92" s="117"/>
      <c r="BT92" s="117"/>
      <c r="BU92" s="117"/>
    </row>
    <row r="93" spans="1:75" s="55" customFormat="1" ht="19.899999999999999" customHeight="1">
      <c r="A93" s="51" t="s">
        <v>133</v>
      </c>
      <c r="B93" s="52"/>
      <c r="C93" s="52"/>
      <c r="D93" s="120"/>
      <c r="E93" s="46"/>
      <c r="F93" s="46"/>
      <c r="G93" s="46"/>
      <c r="H93" s="46"/>
      <c r="I93" s="47"/>
      <c r="J93" s="48"/>
      <c r="K93" s="48"/>
      <c r="L93" s="49"/>
      <c r="M93" s="49"/>
      <c r="N93" s="50"/>
      <c r="O93" s="655"/>
      <c r="P93" s="655"/>
      <c r="Q93" s="117"/>
      <c r="R93" s="117"/>
      <c r="S93" s="117"/>
      <c r="T93" s="117"/>
      <c r="U93" s="117"/>
      <c r="V93" s="117"/>
      <c r="W93" s="117"/>
      <c r="X93" s="117"/>
      <c r="Y93" s="117"/>
      <c r="Z93" s="117"/>
      <c r="AA93" s="117"/>
      <c r="AE93" s="752"/>
      <c r="AF93" s="752"/>
      <c r="AG93" s="117"/>
      <c r="AH93" s="117"/>
      <c r="AI93" s="117"/>
      <c r="AJ93" s="752"/>
      <c r="AK93" s="50"/>
      <c r="AL93" s="117"/>
      <c r="AM93" s="117"/>
      <c r="AN93" s="117"/>
      <c r="AO93" s="117"/>
      <c r="AP93" s="117"/>
      <c r="AQ93" s="117"/>
      <c r="AR93" s="117"/>
      <c r="AS93" s="117"/>
      <c r="AT93" s="117"/>
      <c r="AX93" s="752"/>
      <c r="AY93" s="752"/>
      <c r="AZ93" s="117"/>
      <c r="BA93" s="117"/>
      <c r="BB93" s="117"/>
      <c r="BC93" s="752"/>
      <c r="BD93" s="50"/>
      <c r="BE93" s="191"/>
      <c r="BF93" s="191"/>
      <c r="BG93" s="704"/>
      <c r="BH93" s="54"/>
      <c r="BO93" s="655"/>
      <c r="BP93" s="655"/>
      <c r="BS93" s="117"/>
      <c r="BT93" s="117"/>
      <c r="BU93" s="117"/>
    </row>
    <row r="94" spans="1:75" s="55" customFormat="1" ht="19.899999999999999" customHeight="1">
      <c r="A94" s="56" t="str">
        <f ca="1">"  + Thanh " &amp; $BN$8 &amp; " sản xuất cửa được nhập từ chính hãng " &amp; _xlfn.TEXTJOIN(", ",TRUE,$BL$11:$BL$81) &amp;"."</f>
        <v xml:space="preserve">  + Thanh nhôm sản xuất cửa được nhập từ chính hãng XINGFA (GUANGDONG) tem đỏ - Bảo hành 5 năm.</v>
      </c>
      <c r="B94" s="57"/>
      <c r="C94" s="57"/>
      <c r="D94" s="121"/>
      <c r="E94" s="56"/>
      <c r="F94" s="56"/>
      <c r="G94" s="56"/>
      <c r="H94" s="56"/>
      <c r="I94" s="58"/>
      <c r="J94" s="59"/>
      <c r="K94" s="60"/>
      <c r="L94" s="49"/>
      <c r="M94" s="49"/>
      <c r="N94" s="50"/>
      <c r="O94" s="655"/>
      <c r="P94" s="655"/>
      <c r="Q94" s="117"/>
      <c r="R94" s="117"/>
      <c r="S94" s="117"/>
      <c r="T94" s="117"/>
      <c r="U94" s="117"/>
      <c r="V94" s="117"/>
      <c r="W94" s="117"/>
      <c r="X94" s="117"/>
      <c r="Y94" s="117"/>
      <c r="Z94" s="117"/>
      <c r="AA94" s="117"/>
      <c r="AE94" s="752"/>
      <c r="AF94" s="752"/>
      <c r="AG94" s="117"/>
      <c r="AH94" s="117"/>
      <c r="AI94" s="117"/>
      <c r="AJ94" s="752"/>
      <c r="AK94" s="50"/>
      <c r="AL94" s="117"/>
      <c r="AM94" s="117"/>
      <c r="AN94" s="117"/>
      <c r="AO94" s="117"/>
      <c r="AP94" s="117"/>
      <c r="AQ94" s="117"/>
      <c r="AR94" s="117"/>
      <c r="AS94" s="117"/>
      <c r="AT94" s="117"/>
      <c r="AX94" s="752"/>
      <c r="AY94" s="752"/>
      <c r="AZ94" s="117"/>
      <c r="BA94" s="117"/>
      <c r="BB94" s="117"/>
      <c r="BC94" s="752"/>
      <c r="BD94" s="50"/>
      <c r="BE94" s="191"/>
      <c r="BF94" s="191"/>
      <c r="BG94" s="704"/>
      <c r="BO94" s="655"/>
      <c r="BP94" s="655"/>
      <c r="BS94" s="117"/>
      <c r="BT94" s="117"/>
      <c r="BU94" s="117"/>
    </row>
    <row r="95" spans="1:75" s="671" customFormat="1" ht="19.899999999999999" customHeight="1">
      <c r="A95" s="56" t="str">
        <f ca="1">"  + Phụ kiện kim khí (bản lề, tay nắm, khóa, chốt,…) được nhập ĐỒNG BỘ " &amp; _xlfn.TEXTJOIN(", ",TRUE,$BM$11:$BM$81) &amp;"."</f>
        <v xml:space="preserve">  + Phụ kiện kim khí (bản lề, tay nắm, khóa, chốt,…) được nhập ĐỒNG BỘ 3H - Bảo hành 2 năm.</v>
      </c>
      <c r="B95" s="57"/>
      <c r="C95" s="57"/>
      <c r="D95" s="121"/>
      <c r="E95" s="56"/>
      <c r="F95" s="56"/>
      <c r="G95" s="56"/>
      <c r="H95" s="56"/>
      <c r="I95" s="58"/>
      <c r="J95" s="59"/>
      <c r="K95" s="61"/>
      <c r="L95" s="49"/>
      <c r="M95" s="49"/>
      <c r="N95" s="53"/>
      <c r="O95" s="664"/>
      <c r="P95" s="664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E95" s="751"/>
      <c r="AF95" s="751"/>
      <c r="AG95" s="53"/>
      <c r="AH95" s="53"/>
      <c r="AI95" s="53"/>
      <c r="AJ95" s="751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X95" s="751"/>
      <c r="AY95" s="751"/>
      <c r="AZ95" s="53"/>
      <c r="BA95" s="53"/>
      <c r="BB95" s="53"/>
      <c r="BC95" s="751"/>
      <c r="BD95" s="53"/>
      <c r="BE95" s="190"/>
      <c r="BF95" s="190"/>
      <c r="BG95" s="700"/>
      <c r="BH95" s="672"/>
      <c r="BO95" s="664"/>
      <c r="BP95" s="664"/>
      <c r="BS95" s="53"/>
      <c r="BT95" s="53"/>
      <c r="BU95" s="53"/>
    </row>
    <row r="96" spans="1:75" s="663" customFormat="1" ht="19.899999999999999" customHeight="1">
      <c r="A96" s="51" t="s">
        <v>134</v>
      </c>
      <c r="B96" s="52"/>
      <c r="C96" s="52"/>
      <c r="D96" s="120"/>
      <c r="E96" s="46"/>
      <c r="F96" s="46"/>
      <c r="G96" s="46"/>
      <c r="H96" s="46"/>
      <c r="I96" s="47"/>
      <c r="J96" s="48"/>
      <c r="K96" s="48"/>
      <c r="L96" s="49"/>
      <c r="M96" s="49"/>
      <c r="N96" s="50"/>
      <c r="O96" s="664"/>
      <c r="P96" s="664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662"/>
      <c r="AC96" s="662"/>
      <c r="AD96" s="662"/>
      <c r="AE96" s="662"/>
      <c r="AF96" s="662"/>
      <c r="AG96" s="50"/>
      <c r="AH96" s="50"/>
      <c r="AI96" s="50"/>
      <c r="AJ96" s="662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662"/>
      <c r="AV96" s="662"/>
      <c r="AW96" s="662"/>
      <c r="AX96" s="662"/>
      <c r="AY96" s="662"/>
      <c r="AZ96" s="50"/>
      <c r="BA96" s="50"/>
      <c r="BB96" s="50"/>
      <c r="BC96" s="662"/>
      <c r="BD96" s="50"/>
      <c r="BE96" s="189"/>
      <c r="BF96" s="189"/>
      <c r="BG96" s="700"/>
      <c r="BH96" s="673"/>
      <c r="BO96" s="664"/>
      <c r="BP96" s="664"/>
      <c r="BQ96" s="662"/>
      <c r="BR96" s="662"/>
      <c r="BS96" s="50"/>
      <c r="BT96" s="50"/>
      <c r="BU96" s="50"/>
    </row>
    <row r="97" spans="1:73" ht="19.899999999999999" customHeight="1">
      <c r="A97" s="1322" t="s">
        <v>2104</v>
      </c>
      <c r="B97" s="1322"/>
      <c r="C97" s="1322"/>
      <c r="D97" s="1322"/>
      <c r="E97" s="1322"/>
      <c r="F97" s="1322"/>
      <c r="G97" s="1322"/>
      <c r="H97" s="1322"/>
      <c r="I97" s="1322"/>
      <c r="J97" s="33"/>
      <c r="K97" s="33"/>
      <c r="L97" s="34"/>
      <c r="M97" s="34"/>
      <c r="N97" s="674"/>
      <c r="Q97" s="674"/>
      <c r="R97" s="674"/>
      <c r="S97" s="674"/>
      <c r="T97" s="674"/>
      <c r="U97" s="674"/>
      <c r="V97" s="674"/>
      <c r="W97" s="674"/>
      <c r="X97" s="674"/>
      <c r="Y97" s="674"/>
      <c r="Z97" s="674"/>
      <c r="AA97" s="674"/>
      <c r="AG97" s="674"/>
      <c r="AH97" s="674"/>
      <c r="AI97" s="674"/>
      <c r="AK97" s="674"/>
      <c r="AL97" s="674"/>
      <c r="AM97" s="674"/>
      <c r="AN97" s="674"/>
      <c r="AO97" s="674"/>
      <c r="AP97" s="674"/>
      <c r="AQ97" s="674"/>
      <c r="AR97" s="674"/>
      <c r="AS97" s="674"/>
      <c r="AT97" s="674"/>
      <c r="AZ97" s="674"/>
      <c r="BA97" s="674"/>
      <c r="BB97" s="674"/>
      <c r="BD97" s="674"/>
      <c r="BS97" s="674"/>
      <c r="BT97" s="674"/>
      <c r="BU97" s="674"/>
    </row>
    <row r="98" spans="1:73" s="676" customFormat="1" ht="19.899999999999999" customHeight="1">
      <c r="A98" s="62"/>
      <c r="B98" s="63"/>
      <c r="C98" s="63"/>
      <c r="D98" s="122"/>
      <c r="E98" s="64"/>
      <c r="F98" s="65"/>
      <c r="G98" s="65"/>
      <c r="H98" s="65"/>
      <c r="I98" s="66"/>
      <c r="J98" s="67"/>
      <c r="K98" s="67"/>
      <c r="L98" s="68"/>
      <c r="M98" s="68"/>
      <c r="N98" s="69"/>
      <c r="O98" s="677"/>
      <c r="P98" s="677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75"/>
      <c r="AC98" s="675"/>
      <c r="AD98" s="675"/>
      <c r="AE98" s="675"/>
      <c r="AF98" s="675"/>
      <c r="AG98" s="69"/>
      <c r="AH98" s="69"/>
      <c r="AI98" s="69"/>
      <c r="AJ98" s="675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75"/>
      <c r="AV98" s="675"/>
      <c r="AW98" s="675"/>
      <c r="AX98" s="675"/>
      <c r="AY98" s="675"/>
      <c r="AZ98" s="69"/>
      <c r="BA98" s="69"/>
      <c r="BB98" s="69"/>
      <c r="BC98" s="675"/>
      <c r="BD98" s="69"/>
      <c r="BE98" s="192"/>
      <c r="BF98" s="192"/>
      <c r="BG98" s="705"/>
      <c r="BO98" s="677"/>
      <c r="BP98" s="677"/>
      <c r="BQ98" s="675"/>
      <c r="BR98" s="675"/>
      <c r="BS98" s="69"/>
      <c r="BT98" s="69"/>
      <c r="BU98" s="69"/>
    </row>
    <row r="99" spans="1:73" s="681" customFormat="1" ht="19.899999999999999" customHeight="1">
      <c r="A99" s="678"/>
      <c r="B99" s="679" t="s">
        <v>3361</v>
      </c>
      <c r="C99" s="679"/>
      <c r="E99" s="682" t="s">
        <v>3362</v>
      </c>
      <c r="G99" s="1078" t="s">
        <v>3360</v>
      </c>
      <c r="I99" s="683"/>
      <c r="K99" s="684"/>
      <c r="L99" s="652"/>
      <c r="M99" s="652"/>
      <c r="N99" s="685" t="str">
        <f>UPPER(ThongTinChung!A1)</f>
        <v>CÔNG TY TNHH VẬT LIỆU MỚI GIA NGUYỄN</v>
      </c>
      <c r="O99" s="687"/>
      <c r="P99" s="687"/>
      <c r="Q99" s="685"/>
      <c r="R99" s="685"/>
      <c r="S99" s="685"/>
      <c r="T99" s="685"/>
      <c r="U99" s="685"/>
      <c r="V99" s="685"/>
      <c r="W99" s="685"/>
      <c r="X99" s="685"/>
      <c r="Y99" s="685"/>
      <c r="Z99" s="685"/>
      <c r="AA99" s="685"/>
      <c r="AB99" s="686"/>
      <c r="AC99" s="686"/>
      <c r="AD99" s="686"/>
      <c r="AE99" s="686"/>
      <c r="AF99" s="686"/>
      <c r="AG99" s="685"/>
      <c r="AH99" s="685"/>
      <c r="AI99" s="685"/>
      <c r="AJ99" s="686"/>
      <c r="AK99" s="685"/>
      <c r="AL99" s="685"/>
      <c r="AM99" s="685"/>
      <c r="AN99" s="685"/>
      <c r="AO99" s="685"/>
      <c r="AP99" s="685"/>
      <c r="AQ99" s="685"/>
      <c r="AR99" s="685"/>
      <c r="AS99" s="685"/>
      <c r="AT99" s="685"/>
      <c r="AU99" s="686"/>
      <c r="AV99" s="686"/>
      <c r="AW99" s="686"/>
      <c r="AX99" s="686"/>
      <c r="AY99" s="686"/>
      <c r="AZ99" s="685"/>
      <c r="BA99" s="685"/>
      <c r="BB99" s="685"/>
      <c r="BC99" s="686"/>
      <c r="BD99" s="685"/>
      <c r="BE99" s="193"/>
      <c r="BF99" s="193"/>
      <c r="BG99" s="706"/>
      <c r="BO99" s="687"/>
      <c r="BP99" s="687"/>
      <c r="BQ99" s="686"/>
      <c r="BR99" s="686"/>
      <c r="BS99" s="685"/>
      <c r="BT99" s="685"/>
      <c r="BU99" s="685"/>
    </row>
    <row r="100" spans="1:73" ht="18">
      <c r="A100" s="688"/>
      <c r="B100" s="192"/>
      <c r="C100" s="192"/>
      <c r="D100" s="689"/>
      <c r="E100" s="676"/>
      <c r="F100" s="676"/>
      <c r="G100" s="676"/>
      <c r="H100" s="676"/>
      <c r="I100" s="690"/>
      <c r="J100" s="691"/>
      <c r="K100" s="691"/>
      <c r="L100" s="651"/>
      <c r="M100" s="651"/>
      <c r="N100" s="692"/>
      <c r="Q100" s="692"/>
      <c r="R100" s="692"/>
      <c r="S100" s="692"/>
      <c r="T100" s="692"/>
      <c r="U100" s="692"/>
      <c r="V100" s="692"/>
      <c r="W100" s="692"/>
      <c r="X100" s="692"/>
      <c r="Y100" s="692"/>
      <c r="Z100" s="692"/>
      <c r="AA100" s="692"/>
      <c r="AG100" s="692"/>
      <c r="AH100" s="692"/>
      <c r="AI100" s="692"/>
      <c r="AK100" s="692"/>
      <c r="AL100" s="692"/>
      <c r="AM100" s="692"/>
      <c r="AN100" s="692"/>
      <c r="AO100" s="692"/>
      <c r="AP100" s="692"/>
      <c r="AQ100" s="692"/>
      <c r="AR100" s="692"/>
      <c r="AS100" s="692"/>
      <c r="AT100" s="692"/>
      <c r="AZ100" s="692"/>
      <c r="BA100" s="692"/>
      <c r="BB100" s="692"/>
      <c r="BD100" s="692"/>
      <c r="BS100" s="692"/>
      <c r="BT100" s="692"/>
      <c r="BU100" s="692"/>
    </row>
    <row r="101" spans="1:73" ht="18">
      <c r="A101" s="688"/>
      <c r="B101" s="192"/>
      <c r="C101" s="192"/>
      <c r="D101" s="689"/>
      <c r="E101" s="676"/>
      <c r="F101" s="676"/>
      <c r="G101" s="676"/>
      <c r="H101" s="676"/>
      <c r="I101" s="690"/>
      <c r="J101" s="691"/>
      <c r="K101" s="691"/>
      <c r="L101" s="651"/>
      <c r="M101" s="651"/>
      <c r="N101" s="692"/>
      <c r="Q101" s="692"/>
      <c r="R101" s="692"/>
      <c r="S101" s="692"/>
      <c r="T101" s="692"/>
      <c r="U101" s="692"/>
      <c r="V101" s="692"/>
      <c r="W101" s="692"/>
      <c r="X101" s="692"/>
      <c r="Y101" s="692"/>
      <c r="Z101" s="692"/>
      <c r="AA101" s="692"/>
      <c r="AG101" s="692"/>
      <c r="AH101" s="692"/>
      <c r="AI101" s="692"/>
      <c r="AK101" s="692"/>
      <c r="AL101" s="692"/>
      <c r="AM101" s="692"/>
      <c r="AN101" s="692"/>
      <c r="AO101" s="692"/>
      <c r="AP101" s="692"/>
      <c r="AQ101" s="692"/>
      <c r="AR101" s="692"/>
      <c r="AS101" s="692"/>
      <c r="AT101" s="692"/>
      <c r="AZ101" s="692"/>
      <c r="BA101" s="692"/>
      <c r="BB101" s="692"/>
      <c r="BD101" s="692"/>
      <c r="BS101" s="692"/>
      <c r="BT101" s="692"/>
      <c r="BU101" s="692"/>
    </row>
  </sheetData>
  <autoFilter ref="A9:BD97" xr:uid="{09B52931-7681-4D5A-9E73-1BDBC197DE21}"/>
  <mergeCells count="87">
    <mergeCell ref="AG7:AJ7"/>
    <mergeCell ref="AZ8:AZ9"/>
    <mergeCell ref="BA8:BA9"/>
    <mergeCell ref="BW9:BW10"/>
    <mergeCell ref="BB8:BB9"/>
    <mergeCell ref="BC8:BC9"/>
    <mergeCell ref="BD8:BD9"/>
    <mergeCell ref="BE9:BG9"/>
    <mergeCell ref="BO9:BP9"/>
    <mergeCell ref="BJ8:BM8"/>
    <mergeCell ref="BE7:BF8"/>
    <mergeCell ref="BV8:BV9"/>
    <mergeCell ref="BQ8:BQ9"/>
    <mergeCell ref="BR8:BR9"/>
    <mergeCell ref="BS8:BS9"/>
    <mergeCell ref="BT8:BT9"/>
    <mergeCell ref="BU8:BU9"/>
    <mergeCell ref="AM8:AM9"/>
    <mergeCell ref="AN8:AN9"/>
    <mergeCell ref="AV8:AV9"/>
    <mergeCell ref="AW8:AW9"/>
    <mergeCell ref="AY8:AY9"/>
    <mergeCell ref="AX8:AX9"/>
    <mergeCell ref="AO8:AO9"/>
    <mergeCell ref="AP8:AP9"/>
    <mergeCell ref="AQ8:AQ9"/>
    <mergeCell ref="AR8:AR9"/>
    <mergeCell ref="AS8:AS9"/>
    <mergeCell ref="A97:I97"/>
    <mergeCell ref="AT8:AT9"/>
    <mergeCell ref="AU8:AU9"/>
    <mergeCell ref="BH10:BI10"/>
    <mergeCell ref="A10:N10"/>
    <mergeCell ref="Q8:Q9"/>
    <mergeCell ref="T8:T9"/>
    <mergeCell ref="U8:U9"/>
    <mergeCell ref="V8:V9"/>
    <mergeCell ref="W8:W9"/>
    <mergeCell ref="X8:X9"/>
    <mergeCell ref="Y8:Y9"/>
    <mergeCell ref="Z8:Z9"/>
    <mergeCell ref="AA8:AA9"/>
    <mergeCell ref="AB8:AB9"/>
    <mergeCell ref="AC8:AC9"/>
    <mergeCell ref="O8:O9"/>
    <mergeCell ref="P8:P9"/>
    <mergeCell ref="A90:B90"/>
    <mergeCell ref="A81:D81"/>
    <mergeCell ref="A82:D82"/>
    <mergeCell ref="A83:D83"/>
    <mergeCell ref="A84:D84"/>
    <mergeCell ref="A85:D85"/>
    <mergeCell ref="A86:D86"/>
    <mergeCell ref="A87:D87"/>
    <mergeCell ref="A88:D88"/>
    <mergeCell ref="A89:D89"/>
    <mergeCell ref="H8:H9"/>
    <mergeCell ref="C90:N90"/>
    <mergeCell ref="C8:C9"/>
    <mergeCell ref="D1:N2"/>
    <mergeCell ref="A3:N3"/>
    <mergeCell ref="A6:N6"/>
    <mergeCell ref="L5:N5"/>
    <mergeCell ref="L4:N4"/>
    <mergeCell ref="A7:N7"/>
    <mergeCell ref="A8:A9"/>
    <mergeCell ref="B8:B9"/>
    <mergeCell ref="D8:D9"/>
    <mergeCell ref="F8:G8"/>
    <mergeCell ref="I8:I9"/>
    <mergeCell ref="J8:J9"/>
    <mergeCell ref="K8:K9"/>
    <mergeCell ref="L8:L9"/>
    <mergeCell ref="N8:N9"/>
    <mergeCell ref="M8:M9"/>
    <mergeCell ref="E8:E9"/>
    <mergeCell ref="AK8:AK9"/>
    <mergeCell ref="AL8:AL9"/>
    <mergeCell ref="AF8:AF9"/>
    <mergeCell ref="AG8:AG9"/>
    <mergeCell ref="AH8:AH9"/>
    <mergeCell ref="AI8:AI9"/>
    <mergeCell ref="R8:R9"/>
    <mergeCell ref="S8:S9"/>
    <mergeCell ref="AD8:AD9"/>
    <mergeCell ref="AJ8:AJ9"/>
    <mergeCell ref="AE8:AE9"/>
  </mergeCells>
  <conditionalFormatting sqref="B11:B80">
    <cfRule type="expression" dxfId="44" priority="1871">
      <formula>$BW11&lt;&gt;""</formula>
    </cfRule>
  </conditionalFormatting>
  <pageMargins left="0.49" right="0.17" top="0.39" bottom="0.31" header="0.3" footer="0.22"/>
  <pageSetup paperSize="9" scale="50" orientation="portrait" r:id="rId1"/>
  <headerFooter>
    <oddHeader>&amp;C&amp;G</oddHeader>
  </headerFooter>
  <drawing r:id="rId2"/>
  <legacyDrawing r:id="rId3"/>
  <legacyDrawingHF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358F7FFE-48A9-47C5-9AAF-BD47F5158B9A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BD83</xm:sqref>
        </x14:conditionalFormatting>
        <x14:conditionalFormatting xmlns:xm="http://schemas.microsoft.com/office/excel/2006/main">
          <x14:cfRule type="expression" priority="7" id="{255ECB88-F401-466D-9165-BF80B2C9F1B7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BQ11:BU80</xm:sqref>
        </x14:conditionalFormatting>
        <x14:conditionalFormatting xmlns:xm="http://schemas.microsoft.com/office/excel/2006/main">
          <x14:cfRule type="expression" priority="1343" id="{7DC8F98B-A984-4B2F-B543-A05C2DDC7881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BQ8:BV89 Q10:AK10 AL10:BD89</xm:sqref>
        </x14:conditionalFormatting>
        <x14:conditionalFormatting xmlns:xm="http://schemas.microsoft.com/office/excel/2006/main">
          <x14:cfRule type="expression" priority="5" id="{C797FD94-4FC4-4A49-97B1-2A83933A8A65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BV11:BV89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TB Lỗi" error="ĐVT sai" promptTitle="TB" prompt="Chọn ĐVT" xr:uid="{00000000-0002-0000-0100-000000000000}">
          <x14:formula1>
            <xm:f>DanhMuc!$B$192:$B$194</xm:f>
          </x14:formula1>
          <xm:sqref>E11:E80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2F06-3EBC-4612-A056-795A0A6530D7}">
  <sheetPr codeName="Sheet7">
    <tabColor rgb="FF00B0F0"/>
    <pageSetUpPr fitToPage="1"/>
  </sheetPr>
  <dimension ref="A1:O101"/>
  <sheetViews>
    <sheetView showZeros="0" zoomScale="90" zoomScaleNormal="90" zoomScaleSheetLayoutView="100" workbookViewId="0">
      <pane xSplit="4" ySplit="10" topLeftCell="E11" activePane="bottomRight" state="frozen"/>
      <selection pane="topRight" activeCell="D1" sqref="D1"/>
      <selection pane="bottomLeft" activeCell="A11" sqref="A11"/>
      <selection pane="bottomRight" activeCell="J21" sqref="J21"/>
    </sheetView>
  </sheetViews>
  <sheetFormatPr defaultColWidth="9.1796875" defaultRowHeight="14"/>
  <cols>
    <col min="1" max="1" width="3.453125" style="42" customWidth="1"/>
    <col min="2" max="3" width="6.81640625" style="42" customWidth="1"/>
    <col min="4" max="4" width="41.81640625" style="36" customWidth="1"/>
    <col min="5" max="5" width="5.7265625" style="35" customWidth="1"/>
    <col min="6" max="7" width="6.81640625" style="35" customWidth="1"/>
    <col min="8" max="8" width="6.1796875" style="693" customWidth="1"/>
    <col min="9" max="9" width="9.7265625" style="694" customWidth="1"/>
    <col min="10" max="10" width="11.81640625" style="695" customWidth="1"/>
    <col min="11" max="11" width="12" style="649" customWidth="1"/>
    <col min="12" max="12" width="10.7265625" style="649" customWidth="1"/>
    <col min="13" max="13" width="14" style="696" customWidth="1"/>
    <col min="14" max="14" width="10.453125" style="35" customWidth="1"/>
    <col min="15" max="15" width="9.1796875" style="666" hidden="1" customWidth="1"/>
    <col min="16" max="16384" width="9.1796875" style="35"/>
  </cols>
  <sheetData>
    <row r="1" spans="1:15" s="663" customFormat="1" ht="13">
      <c r="A1" s="657"/>
      <c r="B1" s="657"/>
      <c r="C1" s="657"/>
      <c r="D1" s="1260" t="s">
        <v>2372</v>
      </c>
      <c r="E1" s="1260"/>
      <c r="F1" s="1260"/>
      <c r="G1" s="1260"/>
      <c r="H1" s="1260"/>
      <c r="I1" s="1260"/>
      <c r="J1" s="1260"/>
      <c r="K1" s="1260"/>
      <c r="L1" s="1260"/>
      <c r="M1" s="1260"/>
      <c r="O1" s="664"/>
    </row>
    <row r="2" spans="1:15" s="663" customFormat="1" ht="38.25" customHeight="1">
      <c r="A2" s="657"/>
      <c r="B2" s="657"/>
      <c r="C2" s="657"/>
      <c r="D2" s="1260"/>
      <c r="E2" s="1260"/>
      <c r="F2" s="1260"/>
      <c r="G2" s="1260"/>
      <c r="H2" s="1260"/>
      <c r="I2" s="1260"/>
      <c r="J2" s="1260"/>
      <c r="K2" s="1260"/>
      <c r="L2" s="1260"/>
      <c r="M2" s="1260"/>
      <c r="O2" s="664"/>
    </row>
    <row r="3" spans="1:15" ht="25">
      <c r="A3" s="1368" t="str">
        <f>"BẢNG QUYẾT TOÁN KHỐI LƯỢNG ĐỢT " &amp; $N$4</f>
        <v>BẢNG QUYẾT TOÁN KHỐI LƯỢNG ĐỢT 1</v>
      </c>
      <c r="B3" s="1368"/>
      <c r="C3" s="1368"/>
      <c r="D3" s="1368"/>
      <c r="E3" s="1368"/>
      <c r="F3" s="1368"/>
      <c r="G3" s="1368"/>
      <c r="H3" s="1368"/>
      <c r="I3" s="1368"/>
      <c r="J3" s="1368"/>
      <c r="K3" s="1368"/>
      <c r="L3" s="1368"/>
      <c r="M3" s="1368"/>
      <c r="N3" s="883" t="s">
        <v>2308</v>
      </c>
    </row>
    <row r="4" spans="1:15" ht="20">
      <c r="A4" s="70"/>
      <c r="B4" s="70"/>
      <c r="C4" s="70"/>
      <c r="D4" s="864"/>
      <c r="E4" s="865" t="str">
        <f>"(Theo Báo Giá Lần " &amp; RIGHT(ThongTinChung!$C$5,LEN(ThongTinChung!$C$5) - SEARCH("/",ThongTinChung!$C$5,1) - IFERROR(SEARCH("L",(RIGHT(ThongTinChung!$C$5,LEN(ThongTinChung!$C$5) - SEARCH("/",ThongTinChung!$C$5,1))),1),0)) &amp; ")"</f>
        <v>(Theo Báo Giá Lần 1)</v>
      </c>
      <c r="F4" s="866"/>
      <c r="G4" s="866"/>
      <c r="H4" s="866"/>
      <c r="I4" s="867"/>
      <c r="J4" s="638"/>
      <c r="K4" s="1262" t="str">
        <f>"Mã BG: " &amp; ThongTinChung!$C$5 &amp;" - Ngày: " &amp; TEXT(ThongTinChung!$E$5,"dd/mm/yyyy")</f>
        <v>Mã BG: 231222/L1 - Ngày: 15/01/2024</v>
      </c>
      <c r="L4" s="1262"/>
      <c r="M4" s="1262"/>
      <c r="N4" s="884">
        <v>1</v>
      </c>
    </row>
    <row r="5" spans="1:15" ht="15" customHeight="1">
      <c r="A5" s="71"/>
      <c r="B5" s="71"/>
      <c r="C5" s="71"/>
      <c r="D5" s="118"/>
      <c r="E5" s="71"/>
      <c r="F5" s="29"/>
      <c r="G5" s="30"/>
      <c r="H5" s="31"/>
      <c r="I5" s="639"/>
      <c r="J5" s="639"/>
      <c r="K5" s="1263" t="str">
        <f>"Ngày: " &amp; ThongTinChung!E4</f>
        <v>Ngày:      /     /2023</v>
      </c>
      <c r="L5" s="1263"/>
      <c r="M5" s="1263"/>
    </row>
    <row r="6" spans="1:15" ht="24.75" customHeight="1">
      <c r="A6" s="1264" t="str">
        <f>"Kính gửi: " &amp; ThongTinChung!$C$6 &amp; " - " &amp; ThongTinChung!$E$6</f>
        <v>Kính gửi: BOM - Hóc Môn</v>
      </c>
      <c r="B6" s="1264"/>
      <c r="C6" s="1264"/>
      <c r="D6" s="1264"/>
      <c r="E6" s="1264"/>
      <c r="F6" s="1264"/>
      <c r="G6" s="1264"/>
      <c r="H6" s="1264"/>
      <c r="I6" s="1264"/>
      <c r="J6" s="1264"/>
      <c r="K6" s="1264"/>
      <c r="L6" s="1264"/>
      <c r="M6" s="1264"/>
    </row>
    <row r="7" spans="1:15" s="42" customFormat="1" ht="51" customHeight="1">
      <c r="A7" s="1265" t="s">
        <v>2598</v>
      </c>
      <c r="B7" s="1265"/>
      <c r="C7" s="1265"/>
      <c r="D7" s="1265"/>
      <c r="E7" s="1265"/>
      <c r="F7" s="1265"/>
      <c r="G7" s="1265"/>
      <c r="H7" s="1265"/>
      <c r="I7" s="1265"/>
      <c r="J7" s="1265"/>
      <c r="K7" s="1265"/>
      <c r="L7" s="1265"/>
      <c r="M7" s="1265"/>
      <c r="O7" s="667"/>
    </row>
    <row r="8" spans="1:15" ht="24" customHeight="1">
      <c r="A8" s="1381" t="s">
        <v>9</v>
      </c>
      <c r="B8" s="1383" t="s">
        <v>138</v>
      </c>
      <c r="C8" s="1369" t="s">
        <v>3403</v>
      </c>
      <c r="D8" s="1383" t="s">
        <v>123</v>
      </c>
      <c r="E8" s="1383" t="s">
        <v>266</v>
      </c>
      <c r="F8" s="1383" t="s">
        <v>124</v>
      </c>
      <c r="G8" s="1385"/>
      <c r="H8" s="1386" t="s">
        <v>1706</v>
      </c>
      <c r="I8" s="1388" t="s">
        <v>2559</v>
      </c>
      <c r="J8" s="1390" t="s">
        <v>125</v>
      </c>
      <c r="K8" s="1366" t="str">
        <f>"Đơn Giá profile + kính
 (Đồng/ĐVT" &amp; ")
(3)"</f>
        <v>Đơn Giá profile + kính
 (Đồng/ĐVT)
(3)</v>
      </c>
      <c r="L8" s="1366" t="str">
        <f>"Đơn Giá PK
 (Đồng/bộ" &amp; ")
(4)"</f>
        <v>Đơn Giá PK
 (Đồng/bộ)
(4)</v>
      </c>
      <c r="M8" s="1379" t="s">
        <v>2076</v>
      </c>
    </row>
    <row r="9" spans="1:15" ht="26">
      <c r="A9" s="1382"/>
      <c r="B9" s="1384"/>
      <c r="C9" s="1370"/>
      <c r="D9" s="1384"/>
      <c r="E9" s="1384"/>
      <c r="F9" s="950" t="s">
        <v>126</v>
      </c>
      <c r="G9" s="950" t="s">
        <v>127</v>
      </c>
      <c r="H9" s="1387"/>
      <c r="I9" s="1389"/>
      <c r="J9" s="1391"/>
      <c r="K9" s="1367"/>
      <c r="L9" s="1367"/>
      <c r="M9" s="1380"/>
      <c r="N9" s="1376" t="s">
        <v>2595</v>
      </c>
      <c r="O9" s="1374" t="s">
        <v>2599</v>
      </c>
    </row>
    <row r="10" spans="1:15" ht="15.75" customHeight="1">
      <c r="A10" s="1378" t="s">
        <v>2075</v>
      </c>
      <c r="B10" s="1378"/>
      <c r="C10" s="1378"/>
      <c r="D10" s="1378"/>
      <c r="E10" s="1378"/>
      <c r="F10" s="1378"/>
      <c r="G10" s="1378"/>
      <c r="H10" s="1378"/>
      <c r="I10" s="1378"/>
      <c r="J10" s="1378"/>
      <c r="K10" s="1378"/>
      <c r="L10" s="1378"/>
      <c r="M10" s="1378"/>
      <c r="N10" s="1377"/>
      <c r="O10" s="1375"/>
    </row>
    <row r="11" spans="1:15" s="42" customFormat="1">
      <c r="A11" s="951">
        <f ca="1">IF(B11="","",MAX($A$10:A10)+1)</f>
        <v>1</v>
      </c>
      <c r="B11" s="952" t="str">
        <f ca="1">IF($O11="","",INDEX(TinhGia!B$10:B$81,$O11))</f>
        <v>MauKoXoa</v>
      </c>
      <c r="C11" s="952" t="str">
        <f ca="1">IF($O11="","",INDEX(TinhGia!C$10:C$81,$O11))</f>
        <v>test vị trí</v>
      </c>
      <c r="D11" s="953" t="str">
        <f ca="1">IF($O11="","",INDEX(TinhGia!D$10:D$81,$O11))</f>
        <v>- CỬA ĐI MỞ QUAY NGOÀI 1 CÁNH  - XINGFA 55 - XÁM GHI.
- Hở Nền Ốp Đáy.
- Độ dày: 2 mm (±5%).
- Kính đơn 8 mm trong.
- Phụ kiện 3H - Xám ghi: tay nắm + khoá đa điểm + lõi khoá 2 đầu chìa + bản lề 3D (3 bản lề/cánh).</v>
      </c>
      <c r="E11" s="954" t="str">
        <f>IF($O11="","",INDEX(TinhGia!E$10:E$81,$O11))</f>
        <v>m2</v>
      </c>
      <c r="F11" s="954">
        <f ca="1">IF($O11="","",INDEX(TinhGia!F$10:F$81,$O11))</f>
        <v>1600</v>
      </c>
      <c r="G11" s="954">
        <f ca="1">IF($O11="","",INDEX(TinhGia!G$10:G$81,$O11))</f>
        <v>2200</v>
      </c>
      <c r="H11" s="954">
        <f ca="1">IF($O11="","",INDEX(TinhGia!I$10:I$81,$O11))</f>
        <v>2</v>
      </c>
      <c r="I11" s="954">
        <f>IF($O11="","",INDEX(TinhGia!J$10:J$81,$O11))</f>
        <v>0</v>
      </c>
      <c r="J11" s="955">
        <f ca="1">IF($O11="","",INDEX(TinhGia!K$10:K$81,$O11))</f>
        <v>7.04</v>
      </c>
      <c r="K11" s="956">
        <f ca="1">IF($O11="","",INDEX(TinhGia!L$10:L$81,$O11))</f>
        <v>1778000</v>
      </c>
      <c r="L11" s="956">
        <f ca="1">IF($O11="","",INDEX(TinhGia!M$10:M$81,$O11))</f>
        <v>1790000</v>
      </c>
      <c r="M11" s="956">
        <f ca="1">IF($O11="","",INDEX(TinhGia!N$10:N$81,$O11))</f>
        <v>16097120</v>
      </c>
      <c r="N11" s="885">
        <f>IF($O11="","",INDEX(TinhGia!BW$10:BW$81,$O11))</f>
        <v>0</v>
      </c>
      <c r="O11" s="882">
        <f>IF(TYPE(MATCH($N$4,TinhGia!$BF$10:$BF$81,0))=16,"",MATCH($N$4,TinhGia!$BF$10:$BF$81,0))</f>
        <v>2</v>
      </c>
    </row>
    <row r="12" spans="1:15" s="42" customFormat="1">
      <c r="A12" s="951" t="str">
        <f ca="1">IF(B12="","",MAX($A$10:A11)+1)</f>
        <v/>
      </c>
      <c r="B12" s="952" t="str">
        <f ca="1">IF($O12="","",INDEX(TinhGia!B$10:B$81,$O12))</f>
        <v/>
      </c>
      <c r="C12" s="952" t="str">
        <f ca="1">IF($O12="","",INDEX(TinhGia!C$10:C$81,$O12))</f>
        <v/>
      </c>
      <c r="D12" s="953" t="str">
        <f ca="1">IF($O12="","",INDEX(TinhGia!D$10:D$81,$O12))</f>
        <v/>
      </c>
      <c r="E12" s="954" t="str">
        <f ca="1">IF($O12="","",INDEX(TinhGia!E$10:E$81,$O12))</f>
        <v/>
      </c>
      <c r="F12" s="954" t="str">
        <f ca="1">IF($O12="","",INDEX(TinhGia!F$10:F$81,$O12))</f>
        <v/>
      </c>
      <c r="G12" s="954" t="str">
        <f ca="1">IF($O12="","",INDEX(TinhGia!G$10:G$81,$O12))</f>
        <v/>
      </c>
      <c r="H12" s="954" t="str">
        <f ca="1">IF($O12="","",INDEX(TinhGia!I$10:I$81,$O12))</f>
        <v/>
      </c>
      <c r="I12" s="954" t="str">
        <f ca="1">IF($O12="","",INDEX(TinhGia!J$10:J$81,$O12))</f>
        <v/>
      </c>
      <c r="J12" s="955" t="str">
        <f ca="1">IF($O12="","",INDEX(TinhGia!K$10:K$81,$O12))</f>
        <v/>
      </c>
      <c r="K12" s="956" t="str">
        <f ca="1">IF($O12="","",INDEX(TinhGia!L$10:L$81,$O12))</f>
        <v/>
      </c>
      <c r="L12" s="956" t="str">
        <f ca="1">IF($O12="","",INDEX(TinhGia!M$10:M$81,$O12))</f>
        <v/>
      </c>
      <c r="M12" s="956" t="str">
        <f ca="1">IF($O12="","",INDEX(TinhGia!N$10:N$81,$O12))</f>
        <v/>
      </c>
      <c r="N12" s="885" t="str">
        <f ca="1">IF($O12="","",INDEX(TinhGia!BW$10:BW$81,$O12))</f>
        <v/>
      </c>
      <c r="O12" s="882" t="str">
        <f ca="1">IF(TYPE(MATCH($N$4,OFFSET(TinhGia!$BF$10,O11,0):'TinhGia'!$BF$81,0)+O11)=16,"",MATCH($N$4,OFFSET(TinhGia!$BF$10,O11,0):'TinhGia'!$BF$81,0)+O11)</f>
        <v/>
      </c>
    </row>
    <row r="13" spans="1:15" s="42" customFormat="1">
      <c r="A13" s="957" t="str">
        <f ca="1">IF(B13="","",MAX($A$10:A12)+1)</f>
        <v/>
      </c>
      <c r="B13" s="952" t="str">
        <f ca="1">IF($O13="","",INDEX(TinhGia!B$10:B$81,$O13))</f>
        <v/>
      </c>
      <c r="C13" s="952" t="str">
        <f ca="1">IF($O13="","",INDEX(TinhGia!C$10:C$81,$O13))</f>
        <v/>
      </c>
      <c r="D13" s="953" t="str">
        <f ca="1">IF($O13="","",INDEX(TinhGia!D$10:D$81,$O13))</f>
        <v/>
      </c>
      <c r="E13" s="954" t="str">
        <f ca="1">IF($O13="","",INDEX(TinhGia!E$10:E$81,$O13))</f>
        <v/>
      </c>
      <c r="F13" s="954" t="str">
        <f ca="1">IF($O13="","",INDEX(TinhGia!F$10:F$81,$O13))</f>
        <v/>
      </c>
      <c r="G13" s="954" t="str">
        <f ca="1">IF($O13="","",INDEX(TinhGia!G$10:G$81,$O13))</f>
        <v/>
      </c>
      <c r="H13" s="954" t="str">
        <f ca="1">IF($O13="","",INDEX(TinhGia!I$10:I$81,$O13))</f>
        <v/>
      </c>
      <c r="I13" s="954" t="str">
        <f ca="1">IF($O13="","",INDEX(TinhGia!J$10:J$81,$O13))</f>
        <v/>
      </c>
      <c r="J13" s="955" t="str">
        <f ca="1">IF($O13="","",INDEX(TinhGia!K$10:K$81,$O13))</f>
        <v/>
      </c>
      <c r="K13" s="956" t="str">
        <f ca="1">IF($O13="","",INDEX(TinhGia!L$10:L$81,$O13))</f>
        <v/>
      </c>
      <c r="L13" s="956" t="str">
        <f ca="1">IF($O13="","",INDEX(TinhGia!M$10:M$81,$O13))</f>
        <v/>
      </c>
      <c r="M13" s="956" t="str">
        <f ca="1">IF($O13="","",INDEX(TinhGia!N$10:N$81,$O13))</f>
        <v/>
      </c>
      <c r="N13" s="885" t="str">
        <f ca="1">IF($O13="","",INDEX(TinhGia!BW$10:BW$81,$O13))</f>
        <v/>
      </c>
      <c r="O13" s="882" t="str">
        <f ca="1">IF(TYPE(MATCH($N$4,OFFSET(TinhGia!$BF$10,O12,0):'TinhGia'!$BF$81,0)+O12)=16,"",MATCH($N$4,OFFSET(TinhGia!$BF$10,O12,0):'TinhGia'!$BF$81,0)+O12)</f>
        <v/>
      </c>
    </row>
    <row r="14" spans="1:15" s="42" customFormat="1">
      <c r="A14" s="951" t="str">
        <f ca="1">IF(B14="","",MAX($A$10:A13)+1)</f>
        <v/>
      </c>
      <c r="B14" s="952" t="str">
        <f ca="1">IF($O14="","",INDEX(TinhGia!B$10:B$81,$O14))</f>
        <v/>
      </c>
      <c r="C14" s="952" t="str">
        <f ca="1">IF($O14="","",INDEX(TinhGia!C$10:C$81,$O14))</f>
        <v/>
      </c>
      <c r="D14" s="953" t="str">
        <f ca="1">IF($O14="","",INDEX(TinhGia!D$10:D$81,$O14))</f>
        <v/>
      </c>
      <c r="E14" s="954" t="str">
        <f ca="1">IF($O14="","",INDEX(TinhGia!E$10:E$81,$O14))</f>
        <v/>
      </c>
      <c r="F14" s="954" t="str">
        <f ca="1">IF($O14="","",INDEX(TinhGia!F$10:F$81,$O14))</f>
        <v/>
      </c>
      <c r="G14" s="954" t="str">
        <f ca="1">IF($O14="","",INDEX(TinhGia!G$10:G$81,$O14))</f>
        <v/>
      </c>
      <c r="H14" s="954" t="str">
        <f ca="1">IF($O14="","",INDEX(TinhGia!I$10:I$81,$O14))</f>
        <v/>
      </c>
      <c r="I14" s="954" t="str">
        <f ca="1">IF($O14="","",INDEX(TinhGia!J$10:J$81,$O14))</f>
        <v/>
      </c>
      <c r="J14" s="955" t="str">
        <f ca="1">IF($O14="","",INDEX(TinhGia!K$10:K$81,$O14))</f>
        <v/>
      </c>
      <c r="K14" s="956" t="str">
        <f ca="1">IF($O14="","",INDEX(TinhGia!L$10:L$81,$O14))</f>
        <v/>
      </c>
      <c r="L14" s="956" t="str">
        <f ca="1">IF($O14="","",INDEX(TinhGia!M$10:M$81,$O14))</f>
        <v/>
      </c>
      <c r="M14" s="956" t="str">
        <f ca="1">IF($O14="","",INDEX(TinhGia!N$10:N$81,$O14))</f>
        <v/>
      </c>
      <c r="N14" s="885" t="str">
        <f ca="1">IF($O14="","",INDEX(TinhGia!BW$10:BW$81,$O14))</f>
        <v/>
      </c>
      <c r="O14" s="882" t="str">
        <f ca="1">IF(TYPE(MATCH($N$4,OFFSET(TinhGia!$BF$10,O13,0):'TinhGia'!$BF$81,0)+O13)=16,"",MATCH($N$4,OFFSET(TinhGia!$BF$10,O13,0):'TinhGia'!$BF$81,0)+O13)</f>
        <v/>
      </c>
    </row>
    <row r="15" spans="1:15" s="42" customFormat="1">
      <c r="A15" s="951" t="str">
        <f ca="1">IF(B15="","",MAX($A$10:A14)+1)</f>
        <v/>
      </c>
      <c r="B15" s="952" t="str">
        <f ca="1">IF($O15="","",INDEX(TinhGia!B$10:B$81,$O15))</f>
        <v/>
      </c>
      <c r="C15" s="952" t="str">
        <f ca="1">IF($O15="","",INDEX(TinhGia!C$10:C$81,$O15))</f>
        <v/>
      </c>
      <c r="D15" s="953" t="str">
        <f ca="1">IF($O15="","",INDEX(TinhGia!D$10:D$81,$O15))</f>
        <v/>
      </c>
      <c r="E15" s="954" t="str">
        <f ca="1">IF($O15="","",INDEX(TinhGia!E$10:E$81,$O15))</f>
        <v/>
      </c>
      <c r="F15" s="954" t="str">
        <f ca="1">IF($O15="","",INDEX(TinhGia!F$10:F$81,$O15))</f>
        <v/>
      </c>
      <c r="G15" s="954" t="str">
        <f ca="1">IF($O15="","",INDEX(TinhGia!G$10:G$81,$O15))</f>
        <v/>
      </c>
      <c r="H15" s="954" t="str">
        <f ca="1">IF($O15="","",INDEX(TinhGia!I$10:I$81,$O15))</f>
        <v/>
      </c>
      <c r="I15" s="954" t="str">
        <f ca="1">IF($O15="","",INDEX(TinhGia!J$10:J$81,$O15))</f>
        <v/>
      </c>
      <c r="J15" s="955" t="str">
        <f ca="1">IF($O15="","",INDEX(TinhGia!K$10:K$81,$O15))</f>
        <v/>
      </c>
      <c r="K15" s="956" t="str">
        <f ca="1">IF($O15="","",INDEX(TinhGia!L$10:L$81,$O15))</f>
        <v/>
      </c>
      <c r="L15" s="956" t="str">
        <f ca="1">IF($O15="","",INDEX(TinhGia!M$10:M$81,$O15))</f>
        <v/>
      </c>
      <c r="M15" s="956" t="str">
        <f ca="1">IF($O15="","",INDEX(TinhGia!N$10:N$81,$O15))</f>
        <v/>
      </c>
      <c r="N15" s="885" t="str">
        <f ca="1">IF($O15="","",INDEX(TinhGia!BW$10:BW$81,$O15))</f>
        <v/>
      </c>
      <c r="O15" s="882" t="str">
        <f ca="1">IF(TYPE(MATCH($N$4,OFFSET(TinhGia!$BF$10,O14,0):'TinhGia'!$BF$81,0)+O14)=16,"",MATCH($N$4,OFFSET(TinhGia!$BF$10,O14,0):'TinhGia'!$BF$81,0)+O14)</f>
        <v/>
      </c>
    </row>
    <row r="16" spans="1:15" s="42" customFormat="1">
      <c r="A16" s="951" t="str">
        <f ca="1">IF(B16="","",MAX($A$10:A15)+1)</f>
        <v/>
      </c>
      <c r="B16" s="952" t="str">
        <f ca="1">IF($O16="","",INDEX(TinhGia!B$10:B$81,$O16))</f>
        <v/>
      </c>
      <c r="C16" s="952" t="str">
        <f ca="1">IF($O16="","",INDEX(TinhGia!C$10:C$81,$O16))</f>
        <v/>
      </c>
      <c r="D16" s="953" t="str">
        <f ca="1">IF($O16="","",INDEX(TinhGia!D$10:D$81,$O16))</f>
        <v/>
      </c>
      <c r="E16" s="954" t="str">
        <f ca="1">IF($O16="","",INDEX(TinhGia!E$10:E$81,$O16))</f>
        <v/>
      </c>
      <c r="F16" s="954" t="str">
        <f ca="1">IF($O16="","",INDEX(TinhGia!F$10:F$81,$O16))</f>
        <v/>
      </c>
      <c r="G16" s="954" t="str">
        <f ca="1">IF($O16="","",INDEX(TinhGia!G$10:G$81,$O16))</f>
        <v/>
      </c>
      <c r="H16" s="954" t="str">
        <f ca="1">IF($O16="","",INDEX(TinhGia!I$10:I$81,$O16))</f>
        <v/>
      </c>
      <c r="I16" s="954" t="str">
        <f ca="1">IF($O16="","",INDEX(TinhGia!J$10:J$81,$O16))</f>
        <v/>
      </c>
      <c r="J16" s="955" t="str">
        <f ca="1">IF($O16="","",INDEX(TinhGia!K$10:K$81,$O16))</f>
        <v/>
      </c>
      <c r="K16" s="956" t="str">
        <f ca="1">IF($O16="","",INDEX(TinhGia!L$10:L$81,$O16))</f>
        <v/>
      </c>
      <c r="L16" s="956" t="str">
        <f ca="1">IF($O16="","",INDEX(TinhGia!M$10:M$81,$O16))</f>
        <v/>
      </c>
      <c r="M16" s="956" t="str">
        <f ca="1">IF($O16="","",INDEX(TinhGia!N$10:N$81,$O16))</f>
        <v/>
      </c>
      <c r="N16" s="885" t="str">
        <f ca="1">IF($O16="","",INDEX(TinhGia!BW$10:BW$81,$O16))</f>
        <v/>
      </c>
      <c r="O16" s="882" t="str">
        <f ca="1">IF(TYPE(MATCH($N$4,OFFSET(TinhGia!$BF$10,O15,0):'TinhGia'!$BF$81,0)+O15)=16,"",MATCH($N$4,OFFSET(TinhGia!$BF$10,O15,0):'TinhGia'!$BF$81,0)+O15)</f>
        <v/>
      </c>
    </row>
    <row r="17" spans="1:15" s="42" customFormat="1">
      <c r="A17" s="951" t="str">
        <f ca="1">IF(B17="","",MAX($A$10:A16)+1)</f>
        <v/>
      </c>
      <c r="B17" s="952" t="str">
        <f ca="1">IF($O17="","",INDEX(TinhGia!B$10:B$81,$O17))</f>
        <v/>
      </c>
      <c r="C17" s="952" t="str">
        <f ca="1">IF($O17="","",INDEX(TinhGia!C$10:C$81,$O17))</f>
        <v/>
      </c>
      <c r="D17" s="953" t="str">
        <f ca="1">IF($O17="","",INDEX(TinhGia!D$10:D$81,$O17))</f>
        <v/>
      </c>
      <c r="E17" s="954" t="str">
        <f ca="1">IF($O17="","",INDEX(TinhGia!E$10:E$81,$O17))</f>
        <v/>
      </c>
      <c r="F17" s="954" t="str">
        <f ca="1">IF($O17="","",INDEX(TinhGia!F$10:F$81,$O17))</f>
        <v/>
      </c>
      <c r="G17" s="954" t="str">
        <f ca="1">IF($O17="","",INDEX(TinhGia!G$10:G$81,$O17))</f>
        <v/>
      </c>
      <c r="H17" s="954" t="str">
        <f ca="1">IF($O17="","",INDEX(TinhGia!I$10:I$81,$O17))</f>
        <v/>
      </c>
      <c r="I17" s="954" t="str">
        <f ca="1">IF($O17="","",INDEX(TinhGia!J$10:J$81,$O17))</f>
        <v/>
      </c>
      <c r="J17" s="955" t="str">
        <f ca="1">IF($O17="","",INDEX(TinhGia!K$10:K$81,$O17))</f>
        <v/>
      </c>
      <c r="K17" s="956" t="str">
        <f ca="1">IF($O17="","",INDEX(TinhGia!L$10:L$81,$O17))</f>
        <v/>
      </c>
      <c r="L17" s="956" t="str">
        <f ca="1">IF($O17="","",INDEX(TinhGia!M$10:M$81,$O17))</f>
        <v/>
      </c>
      <c r="M17" s="956" t="str">
        <f ca="1">IF($O17="","",INDEX(TinhGia!N$10:N$81,$O17))</f>
        <v/>
      </c>
      <c r="N17" s="885" t="str">
        <f ca="1">IF($O17="","",INDEX(TinhGia!BW$10:BW$81,$O17))</f>
        <v/>
      </c>
      <c r="O17" s="882" t="str">
        <f ca="1">IF(TYPE(MATCH($N$4,OFFSET(TinhGia!$BF$10,O16,0):'TinhGia'!$BF$81,0)+O16)=16,"",MATCH($N$4,OFFSET(TinhGia!$BF$10,O16,0):'TinhGia'!$BF$81,0)+O16)</f>
        <v/>
      </c>
    </row>
    <row r="18" spans="1:15" s="42" customFormat="1">
      <c r="A18" s="951" t="str">
        <f ca="1">IF(B18="","",MAX($A$10:A17)+1)</f>
        <v/>
      </c>
      <c r="B18" s="952" t="str">
        <f ca="1">IF($O18="","",INDEX(TinhGia!B$10:B$81,$O18))</f>
        <v/>
      </c>
      <c r="C18" s="952" t="str">
        <f ca="1">IF($O18="","",INDEX(TinhGia!C$10:C$81,$O18))</f>
        <v/>
      </c>
      <c r="D18" s="953" t="str">
        <f ca="1">IF($O18="","",INDEX(TinhGia!D$10:D$81,$O18))</f>
        <v/>
      </c>
      <c r="E18" s="954" t="str">
        <f ca="1">IF($O18="","",INDEX(TinhGia!E$10:E$81,$O18))</f>
        <v/>
      </c>
      <c r="F18" s="954" t="str">
        <f ca="1">IF($O18="","",INDEX(TinhGia!F$10:F$81,$O18))</f>
        <v/>
      </c>
      <c r="G18" s="954" t="str">
        <f ca="1">IF($O18="","",INDEX(TinhGia!G$10:G$81,$O18))</f>
        <v/>
      </c>
      <c r="H18" s="954" t="str">
        <f ca="1">IF($O18="","",INDEX(TinhGia!I$10:I$81,$O18))</f>
        <v/>
      </c>
      <c r="I18" s="954" t="str">
        <f ca="1">IF($O18="","",INDEX(TinhGia!J$10:J$81,$O18))</f>
        <v/>
      </c>
      <c r="J18" s="955" t="str">
        <f ca="1">IF($O18="","",INDEX(TinhGia!K$10:K$81,$O18))</f>
        <v/>
      </c>
      <c r="K18" s="956" t="str">
        <f ca="1">IF($O18="","",INDEX(TinhGia!L$10:L$81,$O18))</f>
        <v/>
      </c>
      <c r="L18" s="956" t="str">
        <f ca="1">IF($O18="","",INDEX(TinhGia!M$10:M$81,$O18))</f>
        <v/>
      </c>
      <c r="M18" s="956" t="str">
        <f ca="1">IF($O18="","",INDEX(TinhGia!N$10:N$81,$O18))</f>
        <v/>
      </c>
      <c r="N18" s="885" t="str">
        <f ca="1">IF($O18="","",INDEX(TinhGia!BW$10:BW$81,$O18))</f>
        <v/>
      </c>
      <c r="O18" s="882" t="str">
        <f ca="1">IF(TYPE(MATCH($N$4,OFFSET(TinhGia!$BF$10,O17,0):'TinhGia'!$BF$81,0)+O17)=16,"",MATCH($N$4,OFFSET(TinhGia!$BF$10,O17,0):'TinhGia'!$BF$81,0)+O17)</f>
        <v/>
      </c>
    </row>
    <row r="19" spans="1:15" s="42" customFormat="1">
      <c r="A19" s="951" t="str">
        <f ca="1">IF(B19="","",MAX($A$10:A18)+1)</f>
        <v/>
      </c>
      <c r="B19" s="952" t="str">
        <f ca="1">IF($O19="","",INDEX(TinhGia!B$10:B$81,$O19))</f>
        <v/>
      </c>
      <c r="C19" s="952" t="str">
        <f ca="1">IF($O19="","",INDEX(TinhGia!C$10:C$81,$O19))</f>
        <v/>
      </c>
      <c r="D19" s="953" t="str">
        <f ca="1">IF($O19="","",INDEX(TinhGia!D$10:D$81,$O19))</f>
        <v/>
      </c>
      <c r="E19" s="954" t="str">
        <f ca="1">IF($O19="","",INDEX(TinhGia!E$10:E$81,$O19))</f>
        <v/>
      </c>
      <c r="F19" s="954" t="str">
        <f ca="1">IF($O19="","",INDEX(TinhGia!F$10:F$81,$O19))</f>
        <v/>
      </c>
      <c r="G19" s="954" t="str">
        <f ca="1">IF($O19="","",INDEX(TinhGia!G$10:G$81,$O19))</f>
        <v/>
      </c>
      <c r="H19" s="954" t="str">
        <f ca="1">IF($O19="","",INDEX(TinhGia!I$10:I$81,$O19))</f>
        <v/>
      </c>
      <c r="I19" s="954" t="str">
        <f ca="1">IF($O19="","",INDEX(TinhGia!J$10:J$81,$O19))</f>
        <v/>
      </c>
      <c r="J19" s="955" t="str">
        <f ca="1">IF($O19="","",INDEX(TinhGia!K$10:K$81,$O19))</f>
        <v/>
      </c>
      <c r="K19" s="956" t="str">
        <f ca="1">IF($O19="","",INDEX(TinhGia!L$10:L$81,$O19))</f>
        <v/>
      </c>
      <c r="L19" s="956" t="str">
        <f ca="1">IF($O19="","",INDEX(TinhGia!M$10:M$81,$O19))</f>
        <v/>
      </c>
      <c r="M19" s="956" t="str">
        <f ca="1">IF($O19="","",INDEX(TinhGia!N$10:N$81,$O19))</f>
        <v/>
      </c>
      <c r="N19" s="885" t="str">
        <f ca="1">IF($O19="","",INDEX(TinhGia!BW$10:BW$81,$O19))</f>
        <v/>
      </c>
      <c r="O19" s="882" t="str">
        <f ca="1">IF(TYPE(MATCH($N$4,OFFSET(TinhGia!$BF$10,O18,0):'TinhGia'!$BF$81,0)+O18)=16,"",MATCH($N$4,OFFSET(TinhGia!$BF$10,O18,0):'TinhGia'!$BF$81,0)+O18)</f>
        <v/>
      </c>
    </row>
    <row r="20" spans="1:15" s="42" customFormat="1">
      <c r="A20" s="951" t="str">
        <f ca="1">IF(B20="","",MAX($A$10:A19)+1)</f>
        <v/>
      </c>
      <c r="B20" s="952" t="str">
        <f ca="1">IF($O20="","",INDEX(TinhGia!B$10:B$81,$O20))</f>
        <v/>
      </c>
      <c r="C20" s="952" t="str">
        <f ca="1">IF($O20="","",INDEX(TinhGia!C$10:C$81,$O20))</f>
        <v/>
      </c>
      <c r="D20" s="953" t="str">
        <f ca="1">IF($O20="","",INDEX(TinhGia!D$10:D$81,$O20))</f>
        <v/>
      </c>
      <c r="E20" s="954" t="str">
        <f ca="1">IF($O20="","",INDEX(TinhGia!E$10:E$81,$O20))</f>
        <v/>
      </c>
      <c r="F20" s="954" t="str">
        <f ca="1">IF($O20="","",INDEX(TinhGia!F$10:F$81,$O20))</f>
        <v/>
      </c>
      <c r="G20" s="954" t="str">
        <f ca="1">IF($O20="","",INDEX(TinhGia!G$10:G$81,$O20))</f>
        <v/>
      </c>
      <c r="H20" s="954" t="str">
        <f ca="1">IF($O20="","",INDEX(TinhGia!I$10:I$81,$O20))</f>
        <v/>
      </c>
      <c r="I20" s="954" t="str">
        <f ca="1">IF($O20="","",INDEX(TinhGia!J$10:J$81,$O20))</f>
        <v/>
      </c>
      <c r="J20" s="955" t="str">
        <f ca="1">IF($O20="","",INDEX(TinhGia!K$10:K$81,$O20))</f>
        <v/>
      </c>
      <c r="K20" s="956" t="str">
        <f ca="1">IF($O20="","",INDEX(TinhGia!L$10:L$81,$O20))</f>
        <v/>
      </c>
      <c r="L20" s="956" t="str">
        <f ca="1">IF($O20="","",INDEX(TinhGia!M$10:M$81,$O20))</f>
        <v/>
      </c>
      <c r="M20" s="956" t="str">
        <f ca="1">IF($O20="","",INDEX(TinhGia!N$10:N$81,$O20))</f>
        <v/>
      </c>
      <c r="N20" s="885" t="str">
        <f ca="1">IF($O20="","",INDEX(TinhGia!BW$10:BW$81,$O20))</f>
        <v/>
      </c>
      <c r="O20" s="882" t="str">
        <f ca="1">IF(TYPE(MATCH($N$4,OFFSET(TinhGia!$BF$10,O19,0):'TinhGia'!$BF$81,0)+O19)=16,"",MATCH($N$4,OFFSET(TinhGia!$BF$10,O19,0):'TinhGia'!$BF$81,0)+O19)</f>
        <v/>
      </c>
    </row>
    <row r="21" spans="1:15" s="42" customFormat="1">
      <c r="A21" s="951" t="str">
        <f ca="1">IF(B21="","",MAX($A$10:A20)+1)</f>
        <v/>
      </c>
      <c r="B21" s="952" t="str">
        <f ca="1">IF($O21="","",INDEX(TinhGia!B$10:B$81,$O21))</f>
        <v/>
      </c>
      <c r="C21" s="952" t="str">
        <f ca="1">IF($O21="","",INDEX(TinhGia!C$10:C$81,$O21))</f>
        <v/>
      </c>
      <c r="D21" s="953" t="str">
        <f ca="1">IF($O21="","",INDEX(TinhGia!D$10:D$81,$O21))</f>
        <v/>
      </c>
      <c r="E21" s="954" t="str">
        <f ca="1">IF($O21="","",INDEX(TinhGia!E$10:E$81,$O21))</f>
        <v/>
      </c>
      <c r="F21" s="954" t="str">
        <f ca="1">IF($O21="","",INDEX(TinhGia!F$10:F$81,$O21))</f>
        <v/>
      </c>
      <c r="G21" s="954" t="str">
        <f ca="1">IF($O21="","",INDEX(TinhGia!G$10:G$81,$O21))</f>
        <v/>
      </c>
      <c r="H21" s="954" t="str">
        <f ca="1">IF($O21="","",INDEX(TinhGia!I$10:I$81,$O21))</f>
        <v/>
      </c>
      <c r="I21" s="954" t="str">
        <f ca="1">IF($O21="","",INDEX(TinhGia!J$10:J$81,$O21))</f>
        <v/>
      </c>
      <c r="J21" s="955" t="str">
        <f ca="1">IF($O21="","",INDEX(TinhGia!K$10:K$81,$O21))</f>
        <v/>
      </c>
      <c r="K21" s="956" t="str">
        <f ca="1">IF($O21="","",INDEX(TinhGia!L$10:L$81,$O21))</f>
        <v/>
      </c>
      <c r="L21" s="956" t="str">
        <f ca="1">IF($O21="","",INDEX(TinhGia!M$10:M$81,$O21))</f>
        <v/>
      </c>
      <c r="M21" s="956" t="str">
        <f ca="1">IF($O21="","",INDEX(TinhGia!N$10:N$81,$O21))</f>
        <v/>
      </c>
      <c r="N21" s="885" t="str">
        <f ca="1">IF($O21="","",INDEX(TinhGia!BW$10:BW$81,$O21))</f>
        <v/>
      </c>
      <c r="O21" s="882" t="str">
        <f ca="1">IF(TYPE(MATCH($N$4,OFFSET(TinhGia!$BF$10,O20,0):'TinhGia'!$BF$81,0)+O20)=16,"",MATCH($N$4,OFFSET(TinhGia!$BF$10,O20,0):'TinhGia'!$BF$81,0)+O20)</f>
        <v/>
      </c>
    </row>
    <row r="22" spans="1:15" s="42" customFormat="1">
      <c r="A22" s="951" t="str">
        <f ca="1">IF(B22="","",MAX($A$10:A21)+1)</f>
        <v/>
      </c>
      <c r="B22" s="952" t="str">
        <f ca="1">IF($O22="","",INDEX(TinhGia!B$10:B$81,$O22))</f>
        <v/>
      </c>
      <c r="C22" s="952" t="str">
        <f ca="1">IF($O22="","",INDEX(TinhGia!C$10:C$81,$O22))</f>
        <v/>
      </c>
      <c r="D22" s="953" t="str">
        <f ca="1">IF($O22="","",INDEX(TinhGia!D$10:D$81,$O22))</f>
        <v/>
      </c>
      <c r="E22" s="954" t="str">
        <f ca="1">IF($O22="","",INDEX(TinhGia!E$10:E$81,$O22))</f>
        <v/>
      </c>
      <c r="F22" s="954" t="str">
        <f ca="1">IF($O22="","",INDEX(TinhGia!F$10:F$81,$O22))</f>
        <v/>
      </c>
      <c r="G22" s="954" t="str">
        <f ca="1">IF($O22="","",INDEX(TinhGia!G$10:G$81,$O22))</f>
        <v/>
      </c>
      <c r="H22" s="954" t="str">
        <f ca="1">IF($O22="","",INDEX(TinhGia!I$10:I$81,$O22))</f>
        <v/>
      </c>
      <c r="I22" s="954" t="str">
        <f ca="1">IF($O22="","",INDEX(TinhGia!J$10:J$81,$O22))</f>
        <v/>
      </c>
      <c r="J22" s="955" t="str">
        <f ca="1">IF($O22="","",INDEX(TinhGia!K$10:K$81,$O22))</f>
        <v/>
      </c>
      <c r="K22" s="956" t="str">
        <f ca="1">IF($O22="","",INDEX(TinhGia!L$10:L$81,$O22))</f>
        <v/>
      </c>
      <c r="L22" s="956" t="str">
        <f ca="1">IF($O22="","",INDEX(TinhGia!M$10:M$81,$O22))</f>
        <v/>
      </c>
      <c r="M22" s="956" t="str">
        <f ca="1">IF($O22="","",INDEX(TinhGia!N$10:N$81,$O22))</f>
        <v/>
      </c>
      <c r="N22" s="885" t="str">
        <f ca="1">IF($O22="","",INDEX(TinhGia!BW$10:BW$81,$O22))</f>
        <v/>
      </c>
      <c r="O22" s="882" t="str">
        <f ca="1">IF(TYPE(MATCH($N$4,OFFSET(TinhGia!$BF$10,O21,0):'TinhGia'!$BF$81,0)+O21)=16,"",MATCH($N$4,OFFSET(TinhGia!$BF$10,O21,0):'TinhGia'!$BF$81,0)+O21)</f>
        <v/>
      </c>
    </row>
    <row r="23" spans="1:15" s="42" customFormat="1">
      <c r="A23" s="951" t="str">
        <f ca="1">IF(B23="","",MAX($A$10:A22)+1)</f>
        <v/>
      </c>
      <c r="B23" s="952" t="str">
        <f ca="1">IF($O23="","",INDEX(TinhGia!B$10:B$81,$O23))</f>
        <v/>
      </c>
      <c r="C23" s="952" t="str">
        <f ca="1">IF($O23="","",INDEX(TinhGia!C$10:C$81,$O23))</f>
        <v/>
      </c>
      <c r="D23" s="953" t="str">
        <f ca="1">IF($O23="","",INDEX(TinhGia!D$10:D$81,$O23))</f>
        <v/>
      </c>
      <c r="E23" s="954" t="str">
        <f ca="1">IF($O23="","",INDEX(TinhGia!E$10:E$81,$O23))</f>
        <v/>
      </c>
      <c r="F23" s="954" t="str">
        <f ca="1">IF($O23="","",INDEX(TinhGia!F$10:F$81,$O23))</f>
        <v/>
      </c>
      <c r="G23" s="954" t="str">
        <f ca="1">IF($O23="","",INDEX(TinhGia!G$10:G$81,$O23))</f>
        <v/>
      </c>
      <c r="H23" s="954" t="str">
        <f ca="1">IF($O23="","",INDEX(TinhGia!I$10:I$81,$O23))</f>
        <v/>
      </c>
      <c r="I23" s="954" t="str">
        <f ca="1">IF($O23="","",INDEX(TinhGia!J$10:J$81,$O23))</f>
        <v/>
      </c>
      <c r="J23" s="955" t="str">
        <f ca="1">IF($O23="","",INDEX(TinhGia!K$10:K$81,$O23))</f>
        <v/>
      </c>
      <c r="K23" s="956" t="str">
        <f ca="1">IF($O23="","",INDEX(TinhGia!L$10:L$81,$O23))</f>
        <v/>
      </c>
      <c r="L23" s="956" t="str">
        <f ca="1">IF($O23="","",INDEX(TinhGia!M$10:M$81,$O23))</f>
        <v/>
      </c>
      <c r="M23" s="956" t="str">
        <f ca="1">IF($O23="","",INDEX(TinhGia!N$10:N$81,$O23))</f>
        <v/>
      </c>
      <c r="N23" s="885" t="str">
        <f ca="1">IF($O23="","",INDEX(TinhGia!BW$10:BW$81,$O23))</f>
        <v/>
      </c>
      <c r="O23" s="882" t="str">
        <f ca="1">IF(TYPE(MATCH($N$4,OFFSET(TinhGia!$BF$10,O22,0):'TinhGia'!$BF$81,0)+O22)=16,"",MATCH($N$4,OFFSET(TinhGia!$BF$10,O22,0):'TinhGia'!$BF$81,0)+O22)</f>
        <v/>
      </c>
    </row>
    <row r="24" spans="1:15" s="42" customFormat="1">
      <c r="A24" s="951" t="str">
        <f ca="1">IF(B24="","",MAX($A$10:A23)+1)</f>
        <v/>
      </c>
      <c r="B24" s="952" t="str">
        <f ca="1">IF($O24="","",INDEX(TinhGia!B$10:B$81,$O24))</f>
        <v/>
      </c>
      <c r="C24" s="952" t="str">
        <f ca="1">IF($O24="","",INDEX(TinhGia!C$10:C$81,$O24))</f>
        <v/>
      </c>
      <c r="D24" s="953" t="str">
        <f ca="1">IF($O24="","",INDEX(TinhGia!D$10:D$81,$O24))</f>
        <v/>
      </c>
      <c r="E24" s="954" t="str">
        <f ca="1">IF($O24="","",INDEX(TinhGia!E$10:E$81,$O24))</f>
        <v/>
      </c>
      <c r="F24" s="954" t="str">
        <f ca="1">IF($O24="","",INDEX(TinhGia!F$10:F$81,$O24))</f>
        <v/>
      </c>
      <c r="G24" s="954" t="str">
        <f ca="1">IF($O24="","",INDEX(TinhGia!G$10:G$81,$O24))</f>
        <v/>
      </c>
      <c r="H24" s="954" t="str">
        <f ca="1">IF($O24="","",INDEX(TinhGia!I$10:I$81,$O24))</f>
        <v/>
      </c>
      <c r="I24" s="954" t="str">
        <f ca="1">IF($O24="","",INDEX(TinhGia!J$10:J$81,$O24))</f>
        <v/>
      </c>
      <c r="J24" s="955" t="str">
        <f ca="1">IF($O24="","",INDEX(TinhGia!K$10:K$81,$O24))</f>
        <v/>
      </c>
      <c r="K24" s="956" t="str">
        <f ca="1">IF($O24="","",INDEX(TinhGia!L$10:L$81,$O24))</f>
        <v/>
      </c>
      <c r="L24" s="956" t="str">
        <f ca="1">IF($O24="","",INDEX(TinhGia!M$10:M$81,$O24))</f>
        <v/>
      </c>
      <c r="M24" s="956" t="str">
        <f ca="1">IF($O24="","",INDEX(TinhGia!N$10:N$81,$O24))</f>
        <v/>
      </c>
      <c r="N24" s="885" t="str">
        <f ca="1">IF($O24="","",INDEX(TinhGia!BW$10:BW$81,$O24))</f>
        <v/>
      </c>
      <c r="O24" s="882" t="str">
        <f ca="1">IF(TYPE(MATCH($N$4,OFFSET(TinhGia!$BF$10,O23,0):'TinhGia'!$BF$81,0)+O23)=16,"",MATCH($N$4,OFFSET(TinhGia!$BF$10,O23,0):'TinhGia'!$BF$81,0)+O23)</f>
        <v/>
      </c>
    </row>
    <row r="25" spans="1:15" s="42" customFormat="1">
      <c r="A25" s="951" t="str">
        <f ca="1">IF(B25="","",MAX($A$10:A24)+1)</f>
        <v/>
      </c>
      <c r="B25" s="952" t="str">
        <f ca="1">IF($O25="","",INDEX(TinhGia!B$10:B$81,$O25))</f>
        <v/>
      </c>
      <c r="C25" s="952" t="str">
        <f ca="1">IF($O25="","",INDEX(TinhGia!C$10:C$81,$O25))</f>
        <v/>
      </c>
      <c r="D25" s="953" t="str">
        <f ca="1">IF($O25="","",INDEX(TinhGia!D$10:D$81,$O25))</f>
        <v/>
      </c>
      <c r="E25" s="954" t="str">
        <f ca="1">IF($O25="","",INDEX(TinhGia!E$10:E$81,$O25))</f>
        <v/>
      </c>
      <c r="F25" s="954" t="str">
        <f ca="1">IF($O25="","",INDEX(TinhGia!F$10:F$81,$O25))</f>
        <v/>
      </c>
      <c r="G25" s="954" t="str">
        <f ca="1">IF($O25="","",INDEX(TinhGia!G$10:G$81,$O25))</f>
        <v/>
      </c>
      <c r="H25" s="954" t="str">
        <f ca="1">IF($O25="","",INDEX(TinhGia!I$10:I$81,$O25))</f>
        <v/>
      </c>
      <c r="I25" s="954" t="str">
        <f ca="1">IF($O25="","",INDEX(TinhGia!J$10:J$81,$O25))</f>
        <v/>
      </c>
      <c r="J25" s="955" t="str">
        <f ca="1">IF($O25="","",INDEX(TinhGia!K$10:K$81,$O25))</f>
        <v/>
      </c>
      <c r="K25" s="956" t="str">
        <f ca="1">IF($O25="","",INDEX(TinhGia!L$10:L$81,$O25))</f>
        <v/>
      </c>
      <c r="L25" s="956" t="str">
        <f ca="1">IF($O25="","",INDEX(TinhGia!M$10:M$81,$O25))</f>
        <v/>
      </c>
      <c r="M25" s="956" t="str">
        <f ca="1">IF($O25="","",INDEX(TinhGia!N$10:N$81,$O25))</f>
        <v/>
      </c>
      <c r="N25" s="885" t="str">
        <f ca="1">IF($O25="","",INDEX(TinhGia!BW$10:BW$81,$O25))</f>
        <v/>
      </c>
      <c r="O25" s="882" t="str">
        <f ca="1">IF(TYPE(MATCH($N$4,OFFSET(TinhGia!$BF$10,O24,0):'TinhGia'!$BF$81,0)+O24)=16,"",MATCH($N$4,OFFSET(TinhGia!$BF$10,O24,0):'TinhGia'!$BF$81,0)+O24)</f>
        <v/>
      </c>
    </row>
    <row r="26" spans="1:15" s="42" customFormat="1">
      <c r="A26" s="951" t="str">
        <f ca="1">IF(B26="","",MAX($A$10:A25)+1)</f>
        <v/>
      </c>
      <c r="B26" s="952" t="str">
        <f ca="1">IF($O26="","",INDEX(TinhGia!B$10:B$81,$O26))</f>
        <v/>
      </c>
      <c r="C26" s="952" t="str">
        <f ca="1">IF($O26="","",INDEX(TinhGia!C$10:C$81,$O26))</f>
        <v/>
      </c>
      <c r="D26" s="953" t="str">
        <f ca="1">IF($O26="","",INDEX(TinhGia!D$10:D$81,$O26))</f>
        <v/>
      </c>
      <c r="E26" s="954" t="str">
        <f ca="1">IF($O26="","",INDEX(TinhGia!E$10:E$81,$O26))</f>
        <v/>
      </c>
      <c r="F26" s="954" t="str">
        <f ca="1">IF($O26="","",INDEX(TinhGia!F$10:F$81,$O26))</f>
        <v/>
      </c>
      <c r="G26" s="954" t="str">
        <f ca="1">IF($O26="","",INDEX(TinhGia!G$10:G$81,$O26))</f>
        <v/>
      </c>
      <c r="H26" s="954" t="str">
        <f ca="1">IF($O26="","",INDEX(TinhGia!I$10:I$81,$O26))</f>
        <v/>
      </c>
      <c r="I26" s="954" t="str">
        <f ca="1">IF($O26="","",INDEX(TinhGia!J$10:J$81,$O26))</f>
        <v/>
      </c>
      <c r="J26" s="955" t="str">
        <f ca="1">IF($O26="","",INDEX(TinhGia!K$10:K$81,$O26))</f>
        <v/>
      </c>
      <c r="K26" s="956" t="str">
        <f ca="1">IF($O26="","",INDEX(TinhGia!L$10:L$81,$O26))</f>
        <v/>
      </c>
      <c r="L26" s="956" t="str">
        <f ca="1">IF($O26="","",INDEX(TinhGia!M$10:M$81,$O26))</f>
        <v/>
      </c>
      <c r="M26" s="956" t="str">
        <f ca="1">IF($O26="","",INDEX(TinhGia!N$10:N$81,$O26))</f>
        <v/>
      </c>
      <c r="N26" s="885" t="str">
        <f ca="1">IF($O26="","",INDEX(TinhGia!BW$10:BW$81,$O26))</f>
        <v/>
      </c>
      <c r="O26" s="882" t="str">
        <f ca="1">IF(TYPE(MATCH($N$4,OFFSET(TinhGia!$BF$10,O25,0):'TinhGia'!$BF$81,0)+O25)=16,"",MATCH($N$4,OFFSET(TinhGia!$BF$10,O25,0):'TinhGia'!$BF$81,0)+O25)</f>
        <v/>
      </c>
    </row>
    <row r="27" spans="1:15" s="42" customFormat="1">
      <c r="A27" s="951" t="str">
        <f ca="1">IF(B27="","",MAX($A$10:A26)+1)</f>
        <v/>
      </c>
      <c r="B27" s="952" t="str">
        <f ca="1">IF($O27="","",INDEX(TinhGia!B$10:B$81,$O27))</f>
        <v/>
      </c>
      <c r="C27" s="952" t="str">
        <f ca="1">IF($O27="","",INDEX(TinhGia!C$10:C$81,$O27))</f>
        <v/>
      </c>
      <c r="D27" s="953" t="str">
        <f ca="1">IF($O27="","",INDEX(TinhGia!D$10:D$81,$O27))</f>
        <v/>
      </c>
      <c r="E27" s="954" t="str">
        <f ca="1">IF($O27="","",INDEX(TinhGia!E$10:E$81,$O27))</f>
        <v/>
      </c>
      <c r="F27" s="954" t="str">
        <f ca="1">IF($O27="","",INDEX(TinhGia!F$10:F$81,$O27))</f>
        <v/>
      </c>
      <c r="G27" s="954" t="str">
        <f ca="1">IF($O27="","",INDEX(TinhGia!G$10:G$81,$O27))</f>
        <v/>
      </c>
      <c r="H27" s="954" t="str">
        <f ca="1">IF($O27="","",INDEX(TinhGia!I$10:I$81,$O27))</f>
        <v/>
      </c>
      <c r="I27" s="954" t="str">
        <f ca="1">IF($O27="","",INDEX(TinhGia!J$10:J$81,$O27))</f>
        <v/>
      </c>
      <c r="J27" s="955" t="str">
        <f ca="1">IF($O27="","",INDEX(TinhGia!K$10:K$81,$O27))</f>
        <v/>
      </c>
      <c r="K27" s="956" t="str">
        <f ca="1">IF($O27="","",INDEX(TinhGia!L$10:L$81,$O27))</f>
        <v/>
      </c>
      <c r="L27" s="956" t="str">
        <f ca="1">IF($O27="","",INDEX(TinhGia!M$10:M$81,$O27))</f>
        <v/>
      </c>
      <c r="M27" s="956" t="str">
        <f ca="1">IF($O27="","",INDEX(TinhGia!N$10:N$81,$O27))</f>
        <v/>
      </c>
      <c r="N27" s="885" t="str">
        <f ca="1">IF($O27="","",INDEX(TinhGia!BW$10:BW$81,$O27))</f>
        <v/>
      </c>
      <c r="O27" s="882" t="str">
        <f ca="1">IF(TYPE(MATCH($N$4,OFFSET(TinhGia!$BF$10,O26,0):'TinhGia'!$BF$81,0)+O26)=16,"",MATCH($N$4,OFFSET(TinhGia!$BF$10,O26,0):'TinhGia'!$BF$81,0)+O26)</f>
        <v/>
      </c>
    </row>
    <row r="28" spans="1:15" s="42" customFormat="1">
      <c r="A28" s="951" t="str">
        <f ca="1">IF(B28="","",MAX($A$10:A27)+1)</f>
        <v/>
      </c>
      <c r="B28" s="952" t="str">
        <f ca="1">IF($O28="","",INDEX(TinhGia!B$10:B$81,$O28))</f>
        <v/>
      </c>
      <c r="C28" s="952" t="str">
        <f ca="1">IF($O28="","",INDEX(TinhGia!C$10:C$81,$O28))</f>
        <v/>
      </c>
      <c r="D28" s="953" t="str">
        <f ca="1">IF($O28="","",INDEX(TinhGia!D$10:D$81,$O28))</f>
        <v/>
      </c>
      <c r="E28" s="954" t="str">
        <f ca="1">IF($O28="","",INDEX(TinhGia!E$10:E$81,$O28))</f>
        <v/>
      </c>
      <c r="F28" s="954" t="str">
        <f ca="1">IF($O28="","",INDEX(TinhGia!F$10:F$81,$O28))</f>
        <v/>
      </c>
      <c r="G28" s="954" t="str">
        <f ca="1">IF($O28="","",INDEX(TinhGia!G$10:G$81,$O28))</f>
        <v/>
      </c>
      <c r="H28" s="954" t="str">
        <f ca="1">IF($O28="","",INDEX(TinhGia!I$10:I$81,$O28))</f>
        <v/>
      </c>
      <c r="I28" s="954" t="str">
        <f ca="1">IF($O28="","",INDEX(TinhGia!J$10:J$81,$O28))</f>
        <v/>
      </c>
      <c r="J28" s="955" t="str">
        <f ca="1">IF($O28="","",INDEX(TinhGia!K$10:K$81,$O28))</f>
        <v/>
      </c>
      <c r="K28" s="956" t="str">
        <f ca="1">IF($O28="","",INDEX(TinhGia!L$10:L$81,$O28))</f>
        <v/>
      </c>
      <c r="L28" s="956" t="str">
        <f ca="1">IF($O28="","",INDEX(TinhGia!M$10:M$81,$O28))</f>
        <v/>
      </c>
      <c r="M28" s="956" t="str">
        <f ca="1">IF($O28="","",INDEX(TinhGia!N$10:N$81,$O28))</f>
        <v/>
      </c>
      <c r="N28" s="885" t="str">
        <f ca="1">IF($O28="","",INDEX(TinhGia!BW$10:BW$81,$O28))</f>
        <v/>
      </c>
      <c r="O28" s="882" t="str">
        <f ca="1">IF(TYPE(MATCH($N$4,OFFSET(TinhGia!$BF$10,O27,0):'TinhGia'!$BF$81,0)+O27)=16,"",MATCH($N$4,OFFSET(TinhGia!$BF$10,O27,0):'TinhGia'!$BF$81,0)+O27)</f>
        <v/>
      </c>
    </row>
    <row r="29" spans="1:15" s="42" customFormat="1">
      <c r="A29" s="951" t="str">
        <f ca="1">IF(B29="","",MAX($A$10:A28)+1)</f>
        <v/>
      </c>
      <c r="B29" s="952" t="str">
        <f ca="1">IF($O29="","",INDEX(TinhGia!B$10:B$81,$O29))</f>
        <v/>
      </c>
      <c r="C29" s="952" t="str">
        <f ca="1">IF($O29="","",INDEX(TinhGia!C$10:C$81,$O29))</f>
        <v/>
      </c>
      <c r="D29" s="953" t="str">
        <f ca="1">IF($O29="","",INDEX(TinhGia!D$10:D$81,$O29))</f>
        <v/>
      </c>
      <c r="E29" s="954" t="str">
        <f ca="1">IF($O29="","",INDEX(TinhGia!E$10:E$81,$O29))</f>
        <v/>
      </c>
      <c r="F29" s="954" t="str">
        <f ca="1">IF($O29="","",INDEX(TinhGia!F$10:F$81,$O29))</f>
        <v/>
      </c>
      <c r="G29" s="954" t="str">
        <f ca="1">IF($O29="","",INDEX(TinhGia!G$10:G$81,$O29))</f>
        <v/>
      </c>
      <c r="H29" s="954" t="str">
        <f ca="1">IF($O29="","",INDEX(TinhGia!I$10:I$81,$O29))</f>
        <v/>
      </c>
      <c r="I29" s="954" t="str">
        <f ca="1">IF($O29="","",INDEX(TinhGia!J$10:J$81,$O29))</f>
        <v/>
      </c>
      <c r="J29" s="955" t="str">
        <f ca="1">IF($O29="","",INDEX(TinhGia!K$10:K$81,$O29))</f>
        <v/>
      </c>
      <c r="K29" s="956" t="str">
        <f ca="1">IF($O29="","",INDEX(TinhGia!L$10:L$81,$O29))</f>
        <v/>
      </c>
      <c r="L29" s="956" t="str">
        <f ca="1">IF($O29="","",INDEX(TinhGia!M$10:M$81,$O29))</f>
        <v/>
      </c>
      <c r="M29" s="956" t="str">
        <f ca="1">IF($O29="","",INDEX(TinhGia!N$10:N$81,$O29))</f>
        <v/>
      </c>
      <c r="N29" s="885" t="str">
        <f ca="1">IF($O29="","",INDEX(TinhGia!BW$10:BW$81,$O29))</f>
        <v/>
      </c>
      <c r="O29" s="882" t="str">
        <f ca="1">IF(TYPE(MATCH($N$4,OFFSET(TinhGia!$BF$10,O28,0):'TinhGia'!$BF$81,0)+O28)=16,"",MATCH($N$4,OFFSET(TinhGia!$BF$10,O28,0):'TinhGia'!$BF$81,0)+O28)</f>
        <v/>
      </c>
    </row>
    <row r="30" spans="1:15" s="42" customFormat="1">
      <c r="A30" s="951" t="str">
        <f ca="1">IF(B30="","",MAX($A$10:A29)+1)</f>
        <v/>
      </c>
      <c r="B30" s="952" t="str">
        <f ca="1">IF($O30="","",INDEX(TinhGia!B$10:B$81,$O30))</f>
        <v/>
      </c>
      <c r="C30" s="952" t="str">
        <f ca="1">IF($O30="","",INDEX(TinhGia!C$10:C$81,$O30))</f>
        <v/>
      </c>
      <c r="D30" s="953" t="str">
        <f ca="1">IF($O30="","",INDEX(TinhGia!D$10:D$81,$O30))</f>
        <v/>
      </c>
      <c r="E30" s="954" t="str">
        <f ca="1">IF($O30="","",INDEX(TinhGia!E$10:E$81,$O30))</f>
        <v/>
      </c>
      <c r="F30" s="954" t="str">
        <f ca="1">IF($O30="","",INDEX(TinhGia!F$10:F$81,$O30))</f>
        <v/>
      </c>
      <c r="G30" s="954" t="str">
        <f ca="1">IF($O30="","",INDEX(TinhGia!G$10:G$81,$O30))</f>
        <v/>
      </c>
      <c r="H30" s="954" t="str">
        <f ca="1">IF($O30="","",INDEX(TinhGia!I$10:I$81,$O30))</f>
        <v/>
      </c>
      <c r="I30" s="954" t="str">
        <f ca="1">IF($O30="","",INDEX(TinhGia!J$10:J$81,$O30))</f>
        <v/>
      </c>
      <c r="J30" s="955" t="str">
        <f ca="1">IF($O30="","",INDEX(TinhGia!K$10:K$81,$O30))</f>
        <v/>
      </c>
      <c r="K30" s="956" t="str">
        <f ca="1">IF($O30="","",INDEX(TinhGia!L$10:L$81,$O30))</f>
        <v/>
      </c>
      <c r="L30" s="956" t="str">
        <f ca="1">IF($O30="","",INDEX(TinhGia!M$10:M$81,$O30))</f>
        <v/>
      </c>
      <c r="M30" s="956" t="str">
        <f ca="1">IF($O30="","",INDEX(TinhGia!N$10:N$81,$O30))</f>
        <v/>
      </c>
      <c r="N30" s="885" t="str">
        <f ca="1">IF($O30="","",INDEX(TinhGia!BW$10:BW$81,$O30))</f>
        <v/>
      </c>
      <c r="O30" s="882" t="str">
        <f ca="1">IF(TYPE(MATCH($N$4,OFFSET(TinhGia!$BF$10,O29,0):'TinhGia'!$BF$81,0)+O29)=16,"",MATCH($N$4,OFFSET(TinhGia!$BF$10,O29,0):'TinhGia'!$BF$81,0)+O29)</f>
        <v/>
      </c>
    </row>
    <row r="31" spans="1:15" s="42" customFormat="1">
      <c r="A31" s="951" t="str">
        <f ca="1">IF(B31="","",MAX($A$10:A30)+1)</f>
        <v/>
      </c>
      <c r="B31" s="952" t="str">
        <f ca="1">IF($O31="","",INDEX(TinhGia!B$10:B$81,$O31))</f>
        <v/>
      </c>
      <c r="C31" s="952" t="str">
        <f ca="1">IF($O31="","",INDEX(TinhGia!C$10:C$81,$O31))</f>
        <v/>
      </c>
      <c r="D31" s="953" t="str">
        <f ca="1">IF($O31="","",INDEX(TinhGia!D$10:D$81,$O31))</f>
        <v/>
      </c>
      <c r="E31" s="954" t="str">
        <f ca="1">IF($O31="","",INDEX(TinhGia!E$10:E$81,$O31))</f>
        <v/>
      </c>
      <c r="F31" s="954" t="str">
        <f ca="1">IF($O31="","",INDEX(TinhGia!F$10:F$81,$O31))</f>
        <v/>
      </c>
      <c r="G31" s="954" t="str">
        <f ca="1">IF($O31="","",INDEX(TinhGia!G$10:G$81,$O31))</f>
        <v/>
      </c>
      <c r="H31" s="954" t="str">
        <f ca="1">IF($O31="","",INDEX(TinhGia!I$10:I$81,$O31))</f>
        <v/>
      </c>
      <c r="I31" s="954" t="str">
        <f ca="1">IF($O31="","",INDEX(TinhGia!J$10:J$81,$O31))</f>
        <v/>
      </c>
      <c r="J31" s="955" t="str">
        <f ca="1">IF($O31="","",INDEX(TinhGia!K$10:K$81,$O31))</f>
        <v/>
      </c>
      <c r="K31" s="956" t="str">
        <f ca="1">IF($O31="","",INDEX(TinhGia!L$10:L$81,$O31))</f>
        <v/>
      </c>
      <c r="L31" s="956" t="str">
        <f ca="1">IF($O31="","",INDEX(TinhGia!M$10:M$81,$O31))</f>
        <v/>
      </c>
      <c r="M31" s="956" t="str">
        <f ca="1">IF($O31="","",INDEX(TinhGia!N$10:N$81,$O31))</f>
        <v/>
      </c>
      <c r="N31" s="885" t="str">
        <f ca="1">IF($O31="","",INDEX(TinhGia!BW$10:BW$81,$O31))</f>
        <v/>
      </c>
      <c r="O31" s="882" t="str">
        <f ca="1">IF(TYPE(MATCH($N$4,OFFSET(TinhGia!$BF$10,O30,0):'TinhGia'!$BF$81,0)+O30)=16,"",MATCH($N$4,OFFSET(TinhGia!$BF$10,O30,0):'TinhGia'!$BF$81,0)+O30)</f>
        <v/>
      </c>
    </row>
    <row r="32" spans="1:15" s="42" customFormat="1">
      <c r="A32" s="951" t="str">
        <f ca="1">IF(B32="","",MAX($A$10:A31)+1)</f>
        <v/>
      </c>
      <c r="B32" s="952" t="str">
        <f ca="1">IF($O32="","",INDEX(TinhGia!B$10:B$81,$O32))</f>
        <v/>
      </c>
      <c r="C32" s="952" t="str">
        <f ca="1">IF($O32="","",INDEX(TinhGia!C$10:C$81,$O32))</f>
        <v/>
      </c>
      <c r="D32" s="953" t="str">
        <f ca="1">IF($O32="","",INDEX(TinhGia!D$10:D$81,$O32))</f>
        <v/>
      </c>
      <c r="E32" s="954" t="str">
        <f ca="1">IF($O32="","",INDEX(TinhGia!E$10:E$81,$O32))</f>
        <v/>
      </c>
      <c r="F32" s="954" t="str">
        <f ca="1">IF($O32="","",INDEX(TinhGia!F$10:F$81,$O32))</f>
        <v/>
      </c>
      <c r="G32" s="954" t="str">
        <f ca="1">IF($O32="","",INDEX(TinhGia!G$10:G$81,$O32))</f>
        <v/>
      </c>
      <c r="H32" s="954" t="str">
        <f ca="1">IF($O32="","",INDEX(TinhGia!I$10:I$81,$O32))</f>
        <v/>
      </c>
      <c r="I32" s="954" t="str">
        <f ca="1">IF($O32="","",INDEX(TinhGia!J$10:J$81,$O32))</f>
        <v/>
      </c>
      <c r="J32" s="955" t="str">
        <f ca="1">IF($O32="","",INDEX(TinhGia!K$10:K$81,$O32))</f>
        <v/>
      </c>
      <c r="K32" s="956" t="str">
        <f ca="1">IF($O32="","",INDEX(TinhGia!L$10:L$81,$O32))</f>
        <v/>
      </c>
      <c r="L32" s="956" t="str">
        <f ca="1">IF($O32="","",INDEX(TinhGia!M$10:M$81,$O32))</f>
        <v/>
      </c>
      <c r="M32" s="956" t="str">
        <f ca="1">IF($O32="","",INDEX(TinhGia!N$10:N$81,$O32))</f>
        <v/>
      </c>
      <c r="N32" s="885" t="str">
        <f ca="1">IF($O32="","",INDEX(TinhGia!BW$10:BW$81,$O32))</f>
        <v/>
      </c>
      <c r="O32" s="882" t="str">
        <f ca="1">IF(TYPE(MATCH($N$4,OFFSET(TinhGia!$BF$10,O31,0):'TinhGia'!$BF$81,0)+O31)=16,"",MATCH($N$4,OFFSET(TinhGia!$BF$10,O31,0):'TinhGia'!$BF$81,0)+O31)</f>
        <v/>
      </c>
    </row>
    <row r="33" spans="1:15" s="42" customFormat="1">
      <c r="A33" s="951" t="str">
        <f ca="1">IF(B33="","",MAX($A$10:A32)+1)</f>
        <v/>
      </c>
      <c r="B33" s="952" t="str">
        <f ca="1">IF($O33="","",INDEX(TinhGia!B$10:B$81,$O33))</f>
        <v/>
      </c>
      <c r="C33" s="952" t="str">
        <f ca="1">IF($O33="","",INDEX(TinhGia!C$10:C$81,$O33))</f>
        <v/>
      </c>
      <c r="D33" s="953" t="str">
        <f ca="1">IF($O33="","",INDEX(TinhGia!D$10:D$81,$O33))</f>
        <v/>
      </c>
      <c r="E33" s="954" t="str">
        <f ca="1">IF($O33="","",INDEX(TinhGia!E$10:E$81,$O33))</f>
        <v/>
      </c>
      <c r="F33" s="954" t="str">
        <f ca="1">IF($O33="","",INDEX(TinhGia!F$10:F$81,$O33))</f>
        <v/>
      </c>
      <c r="G33" s="954" t="str">
        <f ca="1">IF($O33="","",INDEX(TinhGia!G$10:G$81,$O33))</f>
        <v/>
      </c>
      <c r="H33" s="954" t="str">
        <f ca="1">IF($O33="","",INDEX(TinhGia!I$10:I$81,$O33))</f>
        <v/>
      </c>
      <c r="I33" s="954" t="str">
        <f ca="1">IF($O33="","",INDEX(TinhGia!J$10:J$81,$O33))</f>
        <v/>
      </c>
      <c r="J33" s="955" t="str">
        <f ca="1">IF($O33="","",INDEX(TinhGia!K$10:K$81,$O33))</f>
        <v/>
      </c>
      <c r="K33" s="956" t="str">
        <f ca="1">IF($O33="","",INDEX(TinhGia!L$10:L$81,$O33))</f>
        <v/>
      </c>
      <c r="L33" s="956" t="str">
        <f ca="1">IF($O33="","",INDEX(TinhGia!M$10:M$81,$O33))</f>
        <v/>
      </c>
      <c r="M33" s="956" t="str">
        <f ca="1">IF($O33="","",INDEX(TinhGia!N$10:N$81,$O33))</f>
        <v/>
      </c>
      <c r="N33" s="885" t="str">
        <f ca="1">IF($O33="","",INDEX(TinhGia!BW$10:BW$81,$O33))</f>
        <v/>
      </c>
      <c r="O33" s="882" t="str">
        <f ca="1">IF(TYPE(MATCH($N$4,OFFSET(TinhGia!$BF$10,O32,0):'TinhGia'!$BF$81,0)+O32)=16,"",MATCH($N$4,OFFSET(TinhGia!$BF$10,O32,0):'TinhGia'!$BF$81,0)+O32)</f>
        <v/>
      </c>
    </row>
    <row r="34" spans="1:15" s="42" customFormat="1">
      <c r="A34" s="951" t="str">
        <f ca="1">IF(B34="","",MAX($A$10:A33)+1)</f>
        <v/>
      </c>
      <c r="B34" s="952" t="str">
        <f ca="1">IF($O34="","",INDEX(TinhGia!B$10:B$81,$O34))</f>
        <v/>
      </c>
      <c r="C34" s="952" t="str">
        <f ca="1">IF($O34="","",INDEX(TinhGia!C$10:C$81,$O34))</f>
        <v/>
      </c>
      <c r="D34" s="953" t="str">
        <f ca="1">IF($O34="","",INDEX(TinhGia!D$10:D$81,$O34))</f>
        <v/>
      </c>
      <c r="E34" s="954" t="str">
        <f ca="1">IF($O34="","",INDEX(TinhGia!E$10:E$81,$O34))</f>
        <v/>
      </c>
      <c r="F34" s="954" t="str">
        <f ca="1">IF($O34="","",INDEX(TinhGia!F$10:F$81,$O34))</f>
        <v/>
      </c>
      <c r="G34" s="954" t="str">
        <f ca="1">IF($O34="","",INDEX(TinhGia!G$10:G$81,$O34))</f>
        <v/>
      </c>
      <c r="H34" s="954" t="str">
        <f ca="1">IF($O34="","",INDEX(TinhGia!I$10:I$81,$O34))</f>
        <v/>
      </c>
      <c r="I34" s="954" t="str">
        <f ca="1">IF($O34="","",INDEX(TinhGia!J$10:J$81,$O34))</f>
        <v/>
      </c>
      <c r="J34" s="955" t="str">
        <f ca="1">IF($O34="","",INDEX(TinhGia!K$10:K$81,$O34))</f>
        <v/>
      </c>
      <c r="K34" s="956" t="str">
        <f ca="1">IF($O34="","",INDEX(TinhGia!L$10:L$81,$O34))</f>
        <v/>
      </c>
      <c r="L34" s="956" t="str">
        <f ca="1">IF($O34="","",INDEX(TinhGia!M$10:M$81,$O34))</f>
        <v/>
      </c>
      <c r="M34" s="956" t="str">
        <f ca="1">IF($O34="","",INDEX(TinhGia!N$10:N$81,$O34))</f>
        <v/>
      </c>
      <c r="N34" s="885" t="str">
        <f ca="1">IF($O34="","",INDEX(TinhGia!BW$10:BW$81,$O34))</f>
        <v/>
      </c>
      <c r="O34" s="882" t="str">
        <f ca="1">IF(TYPE(MATCH($N$4,OFFSET(TinhGia!$BF$10,O33,0):'TinhGia'!$BF$81,0)+O33)=16,"",MATCH($N$4,OFFSET(TinhGia!$BF$10,O33,0):'TinhGia'!$BF$81,0)+O33)</f>
        <v/>
      </c>
    </row>
    <row r="35" spans="1:15" s="42" customFormat="1">
      <c r="A35" s="951" t="str">
        <f ca="1">IF(B35="","",MAX($A$10:A34)+1)</f>
        <v/>
      </c>
      <c r="B35" s="952" t="str">
        <f ca="1">IF($O35="","",INDEX(TinhGia!B$10:B$81,$O35))</f>
        <v/>
      </c>
      <c r="C35" s="952" t="str">
        <f ca="1">IF($O35="","",INDEX(TinhGia!C$10:C$81,$O35))</f>
        <v/>
      </c>
      <c r="D35" s="953" t="str">
        <f ca="1">IF($O35="","",INDEX(TinhGia!D$10:D$81,$O35))</f>
        <v/>
      </c>
      <c r="E35" s="954" t="str">
        <f ca="1">IF($O35="","",INDEX(TinhGia!E$10:E$81,$O35))</f>
        <v/>
      </c>
      <c r="F35" s="954" t="str">
        <f ca="1">IF($O35="","",INDEX(TinhGia!F$10:F$81,$O35))</f>
        <v/>
      </c>
      <c r="G35" s="954" t="str">
        <f ca="1">IF($O35="","",INDEX(TinhGia!G$10:G$81,$O35))</f>
        <v/>
      </c>
      <c r="H35" s="954" t="str">
        <f ca="1">IF($O35="","",INDEX(TinhGia!I$10:I$81,$O35))</f>
        <v/>
      </c>
      <c r="I35" s="954" t="str">
        <f ca="1">IF($O35="","",INDEX(TinhGia!J$10:J$81,$O35))</f>
        <v/>
      </c>
      <c r="J35" s="955" t="str">
        <f ca="1">IF($O35="","",INDEX(TinhGia!K$10:K$81,$O35))</f>
        <v/>
      </c>
      <c r="K35" s="956" t="str">
        <f ca="1">IF($O35="","",INDEX(TinhGia!L$10:L$81,$O35))</f>
        <v/>
      </c>
      <c r="L35" s="956" t="str">
        <f ca="1">IF($O35="","",INDEX(TinhGia!M$10:M$81,$O35))</f>
        <v/>
      </c>
      <c r="M35" s="956" t="str">
        <f ca="1">IF($O35="","",INDEX(TinhGia!N$10:N$81,$O35))</f>
        <v/>
      </c>
      <c r="N35" s="885" t="str">
        <f ca="1">IF($O35="","",INDEX(TinhGia!BW$10:BW$81,$O35))</f>
        <v/>
      </c>
      <c r="O35" s="882" t="str">
        <f ca="1">IF(TYPE(MATCH($N$4,OFFSET(TinhGia!$BF$10,O34,0):'TinhGia'!$BF$81,0)+O34)=16,"",MATCH($N$4,OFFSET(TinhGia!$BF$10,O34,0):'TinhGia'!$BF$81,0)+O34)</f>
        <v/>
      </c>
    </row>
    <row r="36" spans="1:15" s="42" customFormat="1">
      <c r="A36" s="951" t="str">
        <f ca="1">IF(B36="","",MAX($A$10:A35)+1)</f>
        <v/>
      </c>
      <c r="B36" s="952" t="str">
        <f ca="1">IF($O36="","",INDEX(TinhGia!B$10:B$81,$O36))</f>
        <v/>
      </c>
      <c r="C36" s="952" t="str">
        <f ca="1">IF($O36="","",INDEX(TinhGia!C$10:C$81,$O36))</f>
        <v/>
      </c>
      <c r="D36" s="953" t="str">
        <f ca="1">IF($O36="","",INDEX(TinhGia!D$10:D$81,$O36))</f>
        <v/>
      </c>
      <c r="E36" s="954" t="str">
        <f ca="1">IF($O36="","",INDEX(TinhGia!E$10:E$81,$O36))</f>
        <v/>
      </c>
      <c r="F36" s="954" t="str">
        <f ca="1">IF($O36="","",INDEX(TinhGia!F$10:F$81,$O36))</f>
        <v/>
      </c>
      <c r="G36" s="954" t="str">
        <f ca="1">IF($O36="","",INDEX(TinhGia!G$10:G$81,$O36))</f>
        <v/>
      </c>
      <c r="H36" s="954" t="str">
        <f ca="1">IF($O36="","",INDEX(TinhGia!I$10:I$81,$O36))</f>
        <v/>
      </c>
      <c r="I36" s="954" t="str">
        <f ca="1">IF($O36="","",INDEX(TinhGia!J$10:J$81,$O36))</f>
        <v/>
      </c>
      <c r="J36" s="955" t="str">
        <f ca="1">IF($O36="","",INDEX(TinhGia!K$10:K$81,$O36))</f>
        <v/>
      </c>
      <c r="K36" s="956" t="str">
        <f ca="1">IF($O36="","",INDEX(TinhGia!L$10:L$81,$O36))</f>
        <v/>
      </c>
      <c r="L36" s="956" t="str">
        <f ca="1">IF($O36="","",INDEX(TinhGia!M$10:M$81,$O36))</f>
        <v/>
      </c>
      <c r="M36" s="956" t="str">
        <f ca="1">IF($O36="","",INDEX(TinhGia!N$10:N$81,$O36))</f>
        <v/>
      </c>
      <c r="N36" s="885" t="str">
        <f ca="1">IF($O36="","",INDEX(TinhGia!BW$10:BW$81,$O36))</f>
        <v/>
      </c>
      <c r="O36" s="882" t="str">
        <f ca="1">IF(TYPE(MATCH($N$4,OFFSET(TinhGia!$BF$10,O35,0):'TinhGia'!$BF$81,0)+O35)=16,"",MATCH($N$4,OFFSET(TinhGia!$BF$10,O35,0):'TinhGia'!$BF$81,0)+O35)</f>
        <v/>
      </c>
    </row>
    <row r="37" spans="1:15" s="42" customFormat="1">
      <c r="A37" s="951" t="str">
        <f ca="1">IF(B37="","",MAX($A$10:A36)+1)</f>
        <v/>
      </c>
      <c r="B37" s="952" t="str">
        <f ca="1">IF($O37="","",INDEX(TinhGia!B$10:B$81,$O37))</f>
        <v/>
      </c>
      <c r="C37" s="952" t="str">
        <f ca="1">IF($O37="","",INDEX(TinhGia!C$10:C$81,$O37))</f>
        <v/>
      </c>
      <c r="D37" s="953" t="str">
        <f ca="1">IF($O37="","",INDEX(TinhGia!D$10:D$81,$O37))</f>
        <v/>
      </c>
      <c r="E37" s="954" t="str">
        <f ca="1">IF($O37="","",INDEX(TinhGia!E$10:E$81,$O37))</f>
        <v/>
      </c>
      <c r="F37" s="954" t="str">
        <f ca="1">IF($O37="","",INDEX(TinhGia!F$10:F$81,$O37))</f>
        <v/>
      </c>
      <c r="G37" s="954" t="str">
        <f ca="1">IF($O37="","",INDEX(TinhGia!G$10:G$81,$O37))</f>
        <v/>
      </c>
      <c r="H37" s="954" t="str">
        <f ca="1">IF($O37="","",INDEX(TinhGia!I$10:I$81,$O37))</f>
        <v/>
      </c>
      <c r="I37" s="954" t="str">
        <f ca="1">IF($O37="","",INDEX(TinhGia!J$10:J$81,$O37))</f>
        <v/>
      </c>
      <c r="J37" s="955" t="str">
        <f ca="1">IF($O37="","",INDEX(TinhGia!K$10:K$81,$O37))</f>
        <v/>
      </c>
      <c r="K37" s="956" t="str">
        <f ca="1">IF($O37="","",INDEX(TinhGia!L$10:L$81,$O37))</f>
        <v/>
      </c>
      <c r="L37" s="956" t="str">
        <f ca="1">IF($O37="","",INDEX(TinhGia!M$10:M$81,$O37))</f>
        <v/>
      </c>
      <c r="M37" s="956" t="str">
        <f ca="1">IF($O37="","",INDEX(TinhGia!N$10:N$81,$O37))</f>
        <v/>
      </c>
      <c r="N37" s="885" t="str">
        <f ca="1">IF($O37="","",INDEX(TinhGia!BW$10:BW$81,$O37))</f>
        <v/>
      </c>
      <c r="O37" s="882" t="str">
        <f ca="1">IF(TYPE(MATCH($N$4,OFFSET(TinhGia!$BF$10,O36,0):'TinhGia'!$BF$81,0)+O36)=16,"",MATCH($N$4,OFFSET(TinhGia!$BF$10,O36,0):'TinhGia'!$BF$81,0)+O36)</f>
        <v/>
      </c>
    </row>
    <row r="38" spans="1:15" s="42" customFormat="1">
      <c r="A38" s="951" t="str">
        <f ca="1">IF(B38="","",MAX($A$10:A37)+1)</f>
        <v/>
      </c>
      <c r="B38" s="952" t="str">
        <f ca="1">IF($O38="","",INDEX(TinhGia!B$10:B$81,$O38))</f>
        <v/>
      </c>
      <c r="C38" s="952" t="str">
        <f ca="1">IF($O38="","",INDEX(TinhGia!C$10:C$81,$O38))</f>
        <v/>
      </c>
      <c r="D38" s="953" t="str">
        <f ca="1">IF($O38="","",INDEX(TinhGia!D$10:D$81,$O38))</f>
        <v/>
      </c>
      <c r="E38" s="954" t="str">
        <f ca="1">IF($O38="","",INDEX(TinhGia!E$10:E$81,$O38))</f>
        <v/>
      </c>
      <c r="F38" s="954" t="str">
        <f ca="1">IF($O38="","",INDEX(TinhGia!F$10:F$81,$O38))</f>
        <v/>
      </c>
      <c r="G38" s="954" t="str">
        <f ca="1">IF($O38="","",INDEX(TinhGia!G$10:G$81,$O38))</f>
        <v/>
      </c>
      <c r="H38" s="954" t="str">
        <f ca="1">IF($O38="","",INDEX(TinhGia!I$10:I$81,$O38))</f>
        <v/>
      </c>
      <c r="I38" s="954" t="str">
        <f ca="1">IF($O38="","",INDEX(TinhGia!J$10:J$81,$O38))</f>
        <v/>
      </c>
      <c r="J38" s="955" t="str">
        <f ca="1">IF($O38="","",INDEX(TinhGia!K$10:K$81,$O38))</f>
        <v/>
      </c>
      <c r="K38" s="956" t="str">
        <f ca="1">IF($O38="","",INDEX(TinhGia!L$10:L$81,$O38))</f>
        <v/>
      </c>
      <c r="L38" s="956" t="str">
        <f ca="1">IF($O38="","",INDEX(TinhGia!M$10:M$81,$O38))</f>
        <v/>
      </c>
      <c r="M38" s="956" t="str">
        <f ca="1">IF($O38="","",INDEX(TinhGia!N$10:N$81,$O38))</f>
        <v/>
      </c>
      <c r="N38" s="885" t="str">
        <f ca="1">IF($O38="","",INDEX(TinhGia!BW$10:BW$81,$O38))</f>
        <v/>
      </c>
      <c r="O38" s="882" t="str">
        <f ca="1">IF(TYPE(MATCH($N$4,OFFSET(TinhGia!$BF$10,O37,0):'TinhGia'!$BF$81,0)+O37)=16,"",MATCH($N$4,OFFSET(TinhGia!$BF$10,O37,0):'TinhGia'!$BF$81,0)+O37)</f>
        <v/>
      </c>
    </row>
    <row r="39" spans="1:15" s="42" customFormat="1">
      <c r="A39" s="951" t="str">
        <f ca="1">IF(B39="","",MAX($A$10:A38)+1)</f>
        <v/>
      </c>
      <c r="B39" s="952" t="str">
        <f ca="1">IF($O39="","",INDEX(TinhGia!B$10:B$81,$O39))</f>
        <v/>
      </c>
      <c r="C39" s="952" t="str">
        <f ca="1">IF($O39="","",INDEX(TinhGia!C$10:C$81,$O39))</f>
        <v/>
      </c>
      <c r="D39" s="953" t="str">
        <f ca="1">IF($O39="","",INDEX(TinhGia!D$10:D$81,$O39))</f>
        <v/>
      </c>
      <c r="E39" s="954" t="str">
        <f ca="1">IF($O39="","",INDEX(TinhGia!E$10:E$81,$O39))</f>
        <v/>
      </c>
      <c r="F39" s="954" t="str">
        <f ca="1">IF($O39="","",INDEX(TinhGia!F$10:F$81,$O39))</f>
        <v/>
      </c>
      <c r="G39" s="954" t="str">
        <f ca="1">IF($O39="","",INDEX(TinhGia!G$10:G$81,$O39))</f>
        <v/>
      </c>
      <c r="H39" s="954" t="str">
        <f ca="1">IF($O39="","",INDEX(TinhGia!I$10:I$81,$O39))</f>
        <v/>
      </c>
      <c r="I39" s="954" t="str">
        <f ca="1">IF($O39="","",INDEX(TinhGia!J$10:J$81,$O39))</f>
        <v/>
      </c>
      <c r="J39" s="955" t="str">
        <f ca="1">IF($O39="","",INDEX(TinhGia!K$10:K$81,$O39))</f>
        <v/>
      </c>
      <c r="K39" s="956" t="str">
        <f ca="1">IF($O39="","",INDEX(TinhGia!L$10:L$81,$O39))</f>
        <v/>
      </c>
      <c r="L39" s="956" t="str">
        <f ca="1">IF($O39="","",INDEX(TinhGia!M$10:M$81,$O39))</f>
        <v/>
      </c>
      <c r="M39" s="956" t="str">
        <f ca="1">IF($O39="","",INDEX(TinhGia!N$10:N$81,$O39))</f>
        <v/>
      </c>
      <c r="N39" s="885" t="str">
        <f ca="1">IF($O39="","",INDEX(TinhGia!BW$10:BW$81,$O39))</f>
        <v/>
      </c>
      <c r="O39" s="882" t="str">
        <f ca="1">IF(TYPE(MATCH($N$4,OFFSET(TinhGia!$BF$10,O38,0):'TinhGia'!$BF$81,0)+O38)=16,"",MATCH($N$4,OFFSET(TinhGia!$BF$10,O38,0):'TinhGia'!$BF$81,0)+O38)</f>
        <v/>
      </c>
    </row>
    <row r="40" spans="1:15" s="42" customFormat="1">
      <c r="A40" s="951" t="str">
        <f ca="1">IF(B40="","",MAX($A$10:A39)+1)</f>
        <v/>
      </c>
      <c r="B40" s="952" t="str">
        <f ca="1">IF($O40="","",INDEX(TinhGia!B$10:B$81,$O40))</f>
        <v/>
      </c>
      <c r="C40" s="952" t="str">
        <f ca="1">IF($O40="","",INDEX(TinhGia!C$10:C$81,$O40))</f>
        <v/>
      </c>
      <c r="D40" s="953" t="str">
        <f ca="1">IF($O40="","",INDEX(TinhGia!D$10:D$81,$O40))</f>
        <v/>
      </c>
      <c r="E40" s="954" t="str">
        <f ca="1">IF($O40="","",INDEX(TinhGia!E$10:E$81,$O40))</f>
        <v/>
      </c>
      <c r="F40" s="954" t="str">
        <f ca="1">IF($O40="","",INDEX(TinhGia!F$10:F$81,$O40))</f>
        <v/>
      </c>
      <c r="G40" s="954" t="str">
        <f ca="1">IF($O40="","",INDEX(TinhGia!G$10:G$81,$O40))</f>
        <v/>
      </c>
      <c r="H40" s="954" t="str">
        <f ca="1">IF($O40="","",INDEX(TinhGia!I$10:I$81,$O40))</f>
        <v/>
      </c>
      <c r="I40" s="954" t="str">
        <f ca="1">IF($O40="","",INDEX(TinhGia!J$10:J$81,$O40))</f>
        <v/>
      </c>
      <c r="J40" s="955" t="str">
        <f ca="1">IF($O40="","",INDEX(TinhGia!K$10:K$81,$O40))</f>
        <v/>
      </c>
      <c r="K40" s="956" t="str">
        <f ca="1">IF($O40="","",INDEX(TinhGia!L$10:L$81,$O40))</f>
        <v/>
      </c>
      <c r="L40" s="956" t="str">
        <f ca="1">IF($O40="","",INDEX(TinhGia!M$10:M$81,$O40))</f>
        <v/>
      </c>
      <c r="M40" s="956" t="str">
        <f ca="1">IF($O40="","",INDEX(TinhGia!N$10:N$81,$O40))</f>
        <v/>
      </c>
      <c r="N40" s="885" t="str">
        <f ca="1">IF($O40="","",INDEX(TinhGia!BW$10:BW$81,$O40))</f>
        <v/>
      </c>
      <c r="O40" s="882" t="str">
        <f ca="1">IF(TYPE(MATCH($N$4,OFFSET(TinhGia!$BF$10,O39,0):'TinhGia'!$BF$81,0)+O39)=16,"",MATCH($N$4,OFFSET(TinhGia!$BF$10,O39,0):'TinhGia'!$BF$81,0)+O39)</f>
        <v/>
      </c>
    </row>
    <row r="41" spans="1:15" s="42" customFormat="1">
      <c r="A41" s="951" t="str">
        <f ca="1">IF(B41="","",MAX($A$10:A40)+1)</f>
        <v/>
      </c>
      <c r="B41" s="952" t="str">
        <f ca="1">IF($O41="","",INDEX(TinhGia!B$10:B$81,$O41))</f>
        <v/>
      </c>
      <c r="C41" s="952" t="str">
        <f ca="1">IF($O41="","",INDEX(TinhGia!C$10:C$81,$O41))</f>
        <v/>
      </c>
      <c r="D41" s="953" t="str">
        <f ca="1">IF($O41="","",INDEX(TinhGia!D$10:D$81,$O41))</f>
        <v/>
      </c>
      <c r="E41" s="954" t="str">
        <f ca="1">IF($O41="","",INDEX(TinhGia!E$10:E$81,$O41))</f>
        <v/>
      </c>
      <c r="F41" s="954" t="str">
        <f ca="1">IF($O41="","",INDEX(TinhGia!F$10:F$81,$O41))</f>
        <v/>
      </c>
      <c r="G41" s="954" t="str">
        <f ca="1">IF($O41="","",INDEX(TinhGia!G$10:G$81,$O41))</f>
        <v/>
      </c>
      <c r="H41" s="954" t="str">
        <f ca="1">IF($O41="","",INDEX(TinhGia!I$10:I$81,$O41))</f>
        <v/>
      </c>
      <c r="I41" s="954" t="str">
        <f ca="1">IF($O41="","",INDEX(TinhGia!J$10:J$81,$O41))</f>
        <v/>
      </c>
      <c r="J41" s="955" t="str">
        <f ca="1">IF($O41="","",INDEX(TinhGia!K$10:K$81,$O41))</f>
        <v/>
      </c>
      <c r="K41" s="956" t="str">
        <f ca="1">IF($O41="","",INDEX(TinhGia!L$10:L$81,$O41))</f>
        <v/>
      </c>
      <c r="L41" s="956" t="str">
        <f ca="1">IF($O41="","",INDEX(TinhGia!M$10:M$81,$O41))</f>
        <v/>
      </c>
      <c r="M41" s="956" t="str">
        <f ca="1">IF($O41="","",INDEX(TinhGia!N$10:N$81,$O41))</f>
        <v/>
      </c>
      <c r="N41" s="885" t="str">
        <f ca="1">IF($O41="","",INDEX(TinhGia!BW$10:BW$81,$O41))</f>
        <v/>
      </c>
      <c r="O41" s="882" t="str">
        <f ca="1">IF(TYPE(MATCH($N$4,OFFSET(TinhGia!$BF$10,O40,0):'TinhGia'!$BF$81,0)+O40)=16,"",MATCH($N$4,OFFSET(TinhGia!$BF$10,O40,0):'TinhGia'!$BF$81,0)+O40)</f>
        <v/>
      </c>
    </row>
    <row r="42" spans="1:15" s="42" customFormat="1">
      <c r="A42" s="951" t="str">
        <f ca="1">IF(B42="","",MAX($A$10:A41)+1)</f>
        <v/>
      </c>
      <c r="B42" s="952" t="str">
        <f ca="1">IF($O42="","",INDEX(TinhGia!B$10:B$81,$O42))</f>
        <v/>
      </c>
      <c r="C42" s="952" t="str">
        <f ca="1">IF($O42="","",INDEX(TinhGia!C$10:C$81,$O42))</f>
        <v/>
      </c>
      <c r="D42" s="953" t="str">
        <f ca="1">IF($O42="","",INDEX(TinhGia!D$10:D$81,$O42))</f>
        <v/>
      </c>
      <c r="E42" s="954" t="str">
        <f ca="1">IF($O42="","",INDEX(TinhGia!E$10:E$81,$O42))</f>
        <v/>
      </c>
      <c r="F42" s="954" t="str">
        <f ca="1">IF($O42="","",INDEX(TinhGia!F$10:F$81,$O42))</f>
        <v/>
      </c>
      <c r="G42" s="954" t="str">
        <f ca="1">IF($O42="","",INDEX(TinhGia!G$10:G$81,$O42))</f>
        <v/>
      </c>
      <c r="H42" s="954" t="str">
        <f ca="1">IF($O42="","",INDEX(TinhGia!I$10:I$81,$O42))</f>
        <v/>
      </c>
      <c r="I42" s="954" t="str">
        <f ca="1">IF($O42="","",INDEX(TinhGia!J$10:J$81,$O42))</f>
        <v/>
      </c>
      <c r="J42" s="955" t="str">
        <f ca="1">IF($O42="","",INDEX(TinhGia!K$10:K$81,$O42))</f>
        <v/>
      </c>
      <c r="K42" s="956" t="str">
        <f ca="1">IF($O42="","",INDEX(TinhGia!L$10:L$81,$O42))</f>
        <v/>
      </c>
      <c r="L42" s="956" t="str">
        <f ca="1">IF($O42="","",INDEX(TinhGia!M$10:M$81,$O42))</f>
        <v/>
      </c>
      <c r="M42" s="956" t="str">
        <f ca="1">IF($O42="","",INDEX(TinhGia!N$10:N$81,$O42))</f>
        <v/>
      </c>
      <c r="N42" s="885" t="str">
        <f ca="1">IF($O42="","",INDEX(TinhGia!BW$10:BW$81,$O42))</f>
        <v/>
      </c>
      <c r="O42" s="882" t="str">
        <f ca="1">IF(TYPE(MATCH($N$4,OFFSET(TinhGia!$BF$10,O41,0):'TinhGia'!$BF$81,0)+O41)=16,"",MATCH($N$4,OFFSET(TinhGia!$BF$10,O41,0):'TinhGia'!$BF$81,0)+O41)</f>
        <v/>
      </c>
    </row>
    <row r="43" spans="1:15" s="42" customFormat="1">
      <c r="A43" s="951" t="str">
        <f ca="1">IF(B43="","",MAX($A$10:A42)+1)</f>
        <v/>
      </c>
      <c r="B43" s="952" t="str">
        <f ca="1">IF($O43="","",INDEX(TinhGia!B$10:B$81,$O43))</f>
        <v/>
      </c>
      <c r="C43" s="952" t="str">
        <f ca="1">IF($O43="","",INDEX(TinhGia!C$10:C$81,$O43))</f>
        <v/>
      </c>
      <c r="D43" s="953" t="str">
        <f ca="1">IF($O43="","",INDEX(TinhGia!D$10:D$81,$O43))</f>
        <v/>
      </c>
      <c r="E43" s="954" t="str">
        <f ca="1">IF($O43="","",INDEX(TinhGia!E$10:E$81,$O43))</f>
        <v/>
      </c>
      <c r="F43" s="954" t="str">
        <f ca="1">IF($O43="","",INDEX(TinhGia!F$10:F$81,$O43))</f>
        <v/>
      </c>
      <c r="G43" s="954" t="str">
        <f ca="1">IF($O43="","",INDEX(TinhGia!G$10:G$81,$O43))</f>
        <v/>
      </c>
      <c r="H43" s="954" t="str">
        <f ca="1">IF($O43="","",INDEX(TinhGia!I$10:I$81,$O43))</f>
        <v/>
      </c>
      <c r="I43" s="954" t="str">
        <f ca="1">IF($O43="","",INDEX(TinhGia!J$10:J$81,$O43))</f>
        <v/>
      </c>
      <c r="J43" s="955" t="str">
        <f ca="1">IF($O43="","",INDEX(TinhGia!K$10:K$81,$O43))</f>
        <v/>
      </c>
      <c r="K43" s="956" t="str">
        <f ca="1">IF($O43="","",INDEX(TinhGia!L$10:L$81,$O43))</f>
        <v/>
      </c>
      <c r="L43" s="956" t="str">
        <f ca="1">IF($O43="","",INDEX(TinhGia!M$10:M$81,$O43))</f>
        <v/>
      </c>
      <c r="M43" s="956" t="str">
        <f ca="1">IF($O43="","",INDEX(TinhGia!N$10:N$81,$O43))</f>
        <v/>
      </c>
      <c r="N43" s="885" t="str">
        <f ca="1">IF($O43="","",INDEX(TinhGia!BW$10:BW$81,$O43))</f>
        <v/>
      </c>
      <c r="O43" s="882" t="str">
        <f ca="1">IF(TYPE(MATCH($N$4,OFFSET(TinhGia!$BF$10,O42,0):'TinhGia'!$BF$81,0)+O42)=16,"",MATCH($N$4,OFFSET(TinhGia!$BF$10,O42,0):'TinhGia'!$BF$81,0)+O42)</f>
        <v/>
      </c>
    </row>
    <row r="44" spans="1:15" s="42" customFormat="1">
      <c r="A44" s="951" t="str">
        <f ca="1">IF(B44="","",MAX($A$10:A43)+1)</f>
        <v/>
      </c>
      <c r="B44" s="952" t="str">
        <f ca="1">IF($O44="","",INDEX(TinhGia!B$10:B$81,$O44))</f>
        <v/>
      </c>
      <c r="C44" s="952" t="str">
        <f ca="1">IF($O44="","",INDEX(TinhGia!C$10:C$81,$O44))</f>
        <v/>
      </c>
      <c r="D44" s="953" t="str">
        <f ca="1">IF($O44="","",INDEX(TinhGia!D$10:D$81,$O44))</f>
        <v/>
      </c>
      <c r="E44" s="954" t="str">
        <f ca="1">IF($O44="","",INDEX(TinhGia!E$10:E$81,$O44))</f>
        <v/>
      </c>
      <c r="F44" s="954" t="str">
        <f ca="1">IF($O44="","",INDEX(TinhGia!F$10:F$81,$O44))</f>
        <v/>
      </c>
      <c r="G44" s="954" t="str">
        <f ca="1">IF($O44="","",INDEX(TinhGia!G$10:G$81,$O44))</f>
        <v/>
      </c>
      <c r="H44" s="954" t="str">
        <f ca="1">IF($O44="","",INDEX(TinhGia!I$10:I$81,$O44))</f>
        <v/>
      </c>
      <c r="I44" s="954" t="str">
        <f ca="1">IF($O44="","",INDEX(TinhGia!J$10:J$81,$O44))</f>
        <v/>
      </c>
      <c r="J44" s="955" t="str">
        <f ca="1">IF($O44="","",INDEX(TinhGia!K$10:K$81,$O44))</f>
        <v/>
      </c>
      <c r="K44" s="956" t="str">
        <f ca="1">IF($O44="","",INDEX(TinhGia!L$10:L$81,$O44))</f>
        <v/>
      </c>
      <c r="L44" s="956" t="str">
        <f ca="1">IF($O44="","",INDEX(TinhGia!M$10:M$81,$O44))</f>
        <v/>
      </c>
      <c r="M44" s="956" t="str">
        <f ca="1">IF($O44="","",INDEX(TinhGia!N$10:N$81,$O44))</f>
        <v/>
      </c>
      <c r="N44" s="885" t="str">
        <f ca="1">IF($O44="","",INDEX(TinhGia!BW$10:BW$81,$O44))</f>
        <v/>
      </c>
      <c r="O44" s="882" t="str">
        <f ca="1">IF(TYPE(MATCH($N$4,OFFSET(TinhGia!$BF$10,O43,0):'TinhGia'!$BF$81,0)+O43)=16,"",MATCH($N$4,OFFSET(TinhGia!$BF$10,O43,0):'TinhGia'!$BF$81,0)+O43)</f>
        <v/>
      </c>
    </row>
    <row r="45" spans="1:15" s="42" customFormat="1">
      <c r="A45" s="951" t="str">
        <f ca="1">IF(B45="","",MAX($A$10:A44)+1)</f>
        <v/>
      </c>
      <c r="B45" s="952" t="str">
        <f ca="1">IF($O45="","",INDEX(TinhGia!B$10:B$81,$O45))</f>
        <v/>
      </c>
      <c r="C45" s="952" t="str">
        <f ca="1">IF($O45="","",INDEX(TinhGia!C$10:C$81,$O45))</f>
        <v/>
      </c>
      <c r="D45" s="953" t="str">
        <f ca="1">IF($O45="","",INDEX(TinhGia!D$10:D$81,$O45))</f>
        <v/>
      </c>
      <c r="E45" s="954" t="str">
        <f ca="1">IF($O45="","",INDEX(TinhGia!E$10:E$81,$O45))</f>
        <v/>
      </c>
      <c r="F45" s="954" t="str">
        <f ca="1">IF($O45="","",INDEX(TinhGia!F$10:F$81,$O45))</f>
        <v/>
      </c>
      <c r="G45" s="954" t="str">
        <f ca="1">IF($O45="","",INDEX(TinhGia!G$10:G$81,$O45))</f>
        <v/>
      </c>
      <c r="H45" s="954" t="str">
        <f ca="1">IF($O45="","",INDEX(TinhGia!I$10:I$81,$O45))</f>
        <v/>
      </c>
      <c r="I45" s="954" t="str">
        <f ca="1">IF($O45="","",INDEX(TinhGia!J$10:J$81,$O45))</f>
        <v/>
      </c>
      <c r="J45" s="955" t="str">
        <f ca="1">IF($O45="","",INDEX(TinhGia!K$10:K$81,$O45))</f>
        <v/>
      </c>
      <c r="K45" s="956" t="str">
        <f ca="1">IF($O45="","",INDEX(TinhGia!L$10:L$81,$O45))</f>
        <v/>
      </c>
      <c r="L45" s="956" t="str">
        <f ca="1">IF($O45="","",INDEX(TinhGia!M$10:M$81,$O45))</f>
        <v/>
      </c>
      <c r="M45" s="956" t="str">
        <f ca="1">IF($O45="","",INDEX(TinhGia!N$10:N$81,$O45))</f>
        <v/>
      </c>
      <c r="N45" s="885" t="str">
        <f ca="1">IF($O45="","",INDEX(TinhGia!BW$10:BW$81,$O45))</f>
        <v/>
      </c>
      <c r="O45" s="882" t="str">
        <f ca="1">IF(TYPE(MATCH($N$4,OFFSET(TinhGia!$BF$10,O44,0):'TinhGia'!$BF$81,0)+O44)=16,"",MATCH($N$4,OFFSET(TinhGia!$BF$10,O44,0):'TinhGia'!$BF$81,0)+O44)</f>
        <v/>
      </c>
    </row>
    <row r="46" spans="1:15" s="42" customFormat="1">
      <c r="A46" s="951" t="str">
        <f ca="1">IF(B46="","",MAX($A$10:A45)+1)</f>
        <v/>
      </c>
      <c r="B46" s="952" t="str">
        <f ca="1">IF($O46="","",INDEX(TinhGia!B$10:B$81,$O46))</f>
        <v/>
      </c>
      <c r="C46" s="952" t="str">
        <f ca="1">IF($O46="","",INDEX(TinhGia!C$10:C$81,$O46))</f>
        <v/>
      </c>
      <c r="D46" s="953" t="str">
        <f ca="1">IF($O46="","",INDEX(TinhGia!D$10:D$81,$O46))</f>
        <v/>
      </c>
      <c r="E46" s="954" t="str">
        <f ca="1">IF($O46="","",INDEX(TinhGia!E$10:E$81,$O46))</f>
        <v/>
      </c>
      <c r="F46" s="954" t="str">
        <f ca="1">IF($O46="","",INDEX(TinhGia!F$10:F$81,$O46))</f>
        <v/>
      </c>
      <c r="G46" s="954" t="str">
        <f ca="1">IF($O46="","",INDEX(TinhGia!G$10:G$81,$O46))</f>
        <v/>
      </c>
      <c r="H46" s="954" t="str">
        <f ca="1">IF($O46="","",INDEX(TinhGia!I$10:I$81,$O46))</f>
        <v/>
      </c>
      <c r="I46" s="954" t="str">
        <f ca="1">IF($O46="","",INDEX(TinhGia!J$10:J$81,$O46))</f>
        <v/>
      </c>
      <c r="J46" s="955" t="str">
        <f ca="1">IF($O46="","",INDEX(TinhGia!K$10:K$81,$O46))</f>
        <v/>
      </c>
      <c r="K46" s="956" t="str">
        <f ca="1">IF($O46="","",INDEX(TinhGia!L$10:L$81,$O46))</f>
        <v/>
      </c>
      <c r="L46" s="956" t="str">
        <f ca="1">IF($O46="","",INDEX(TinhGia!M$10:M$81,$O46))</f>
        <v/>
      </c>
      <c r="M46" s="956" t="str">
        <f ca="1">IF($O46="","",INDEX(TinhGia!N$10:N$81,$O46))</f>
        <v/>
      </c>
      <c r="N46" s="885" t="str">
        <f ca="1">IF($O46="","",INDEX(TinhGia!BW$10:BW$81,$O46))</f>
        <v/>
      </c>
      <c r="O46" s="882" t="str">
        <f ca="1">IF(TYPE(MATCH($N$4,OFFSET(TinhGia!$BF$10,O45,0):'TinhGia'!$BF$81,0)+O45)=16,"",MATCH($N$4,OFFSET(TinhGia!$BF$10,O45,0):'TinhGia'!$BF$81,0)+O45)</f>
        <v/>
      </c>
    </row>
    <row r="47" spans="1:15" s="42" customFormat="1">
      <c r="A47" s="951" t="str">
        <f ca="1">IF(B47="","",MAX($A$10:A46)+1)</f>
        <v/>
      </c>
      <c r="B47" s="952" t="str">
        <f ca="1">IF($O47="","",INDEX(TinhGia!B$10:B$81,$O47))</f>
        <v/>
      </c>
      <c r="C47" s="952" t="str">
        <f ca="1">IF($O47="","",INDEX(TinhGia!C$10:C$81,$O47))</f>
        <v/>
      </c>
      <c r="D47" s="953" t="str">
        <f ca="1">IF($O47="","",INDEX(TinhGia!D$10:D$81,$O47))</f>
        <v/>
      </c>
      <c r="E47" s="954" t="str">
        <f ca="1">IF($O47="","",INDEX(TinhGia!E$10:E$81,$O47))</f>
        <v/>
      </c>
      <c r="F47" s="954" t="str">
        <f ca="1">IF($O47="","",INDEX(TinhGia!F$10:F$81,$O47))</f>
        <v/>
      </c>
      <c r="G47" s="954" t="str">
        <f ca="1">IF($O47="","",INDEX(TinhGia!G$10:G$81,$O47))</f>
        <v/>
      </c>
      <c r="H47" s="954" t="str">
        <f ca="1">IF($O47="","",INDEX(TinhGia!I$10:I$81,$O47))</f>
        <v/>
      </c>
      <c r="I47" s="954" t="str">
        <f ca="1">IF($O47="","",INDEX(TinhGia!J$10:J$81,$O47))</f>
        <v/>
      </c>
      <c r="J47" s="955" t="str">
        <f ca="1">IF($O47="","",INDEX(TinhGia!K$10:K$81,$O47))</f>
        <v/>
      </c>
      <c r="K47" s="956" t="str">
        <f ca="1">IF($O47="","",INDEX(TinhGia!L$10:L$81,$O47))</f>
        <v/>
      </c>
      <c r="L47" s="956" t="str">
        <f ca="1">IF($O47="","",INDEX(TinhGia!M$10:M$81,$O47))</f>
        <v/>
      </c>
      <c r="M47" s="956" t="str">
        <f ca="1">IF($O47="","",INDEX(TinhGia!N$10:N$81,$O47))</f>
        <v/>
      </c>
      <c r="N47" s="885" t="str">
        <f ca="1">IF($O47="","",INDEX(TinhGia!BW$10:BW$81,$O47))</f>
        <v/>
      </c>
      <c r="O47" s="882" t="str">
        <f ca="1">IF(TYPE(MATCH($N$4,OFFSET(TinhGia!$BF$10,O46,0):'TinhGia'!$BF$81,0)+O46)=16,"",MATCH($N$4,OFFSET(TinhGia!$BF$10,O46,0):'TinhGia'!$BF$81,0)+O46)</f>
        <v/>
      </c>
    </row>
    <row r="48" spans="1:15" s="42" customFormat="1">
      <c r="A48" s="951" t="str">
        <f ca="1">IF(B48="","",MAX($A$10:A47)+1)</f>
        <v/>
      </c>
      <c r="B48" s="952" t="str">
        <f ca="1">IF($O48="","",INDEX(TinhGia!B$10:B$81,$O48))</f>
        <v/>
      </c>
      <c r="C48" s="952" t="str">
        <f ca="1">IF($O48="","",INDEX(TinhGia!C$10:C$81,$O48))</f>
        <v/>
      </c>
      <c r="D48" s="953" t="str">
        <f ca="1">IF($O48="","",INDEX(TinhGia!D$10:D$81,$O48))</f>
        <v/>
      </c>
      <c r="E48" s="954" t="str">
        <f ca="1">IF($O48="","",INDEX(TinhGia!E$10:E$81,$O48))</f>
        <v/>
      </c>
      <c r="F48" s="954" t="str">
        <f ca="1">IF($O48="","",INDEX(TinhGia!F$10:F$81,$O48))</f>
        <v/>
      </c>
      <c r="G48" s="954" t="str">
        <f ca="1">IF($O48="","",INDEX(TinhGia!G$10:G$81,$O48))</f>
        <v/>
      </c>
      <c r="H48" s="954" t="str">
        <f ca="1">IF($O48="","",INDEX(TinhGia!I$10:I$81,$O48))</f>
        <v/>
      </c>
      <c r="I48" s="954" t="str">
        <f ca="1">IF($O48="","",INDEX(TinhGia!J$10:J$81,$O48))</f>
        <v/>
      </c>
      <c r="J48" s="955" t="str">
        <f ca="1">IF($O48="","",INDEX(TinhGia!K$10:K$81,$O48))</f>
        <v/>
      </c>
      <c r="K48" s="956" t="str">
        <f ca="1">IF($O48="","",INDEX(TinhGia!L$10:L$81,$O48))</f>
        <v/>
      </c>
      <c r="L48" s="956" t="str">
        <f ca="1">IF($O48="","",INDEX(TinhGia!M$10:M$81,$O48))</f>
        <v/>
      </c>
      <c r="M48" s="956" t="str">
        <f ca="1">IF($O48="","",INDEX(TinhGia!N$10:N$81,$O48))</f>
        <v/>
      </c>
      <c r="N48" s="885" t="str">
        <f ca="1">IF($O48="","",INDEX(TinhGia!BW$10:BW$81,$O48))</f>
        <v/>
      </c>
      <c r="O48" s="882" t="str">
        <f ca="1">IF(TYPE(MATCH($N$4,OFFSET(TinhGia!$BF$10,O47,0):'TinhGia'!$BF$81,0)+O47)=16,"",MATCH($N$4,OFFSET(TinhGia!$BF$10,O47,0):'TinhGia'!$BF$81,0)+O47)</f>
        <v/>
      </c>
    </row>
    <row r="49" spans="1:15" s="42" customFormat="1">
      <c r="A49" s="951" t="str">
        <f ca="1">IF(B49="","",MAX($A$10:A48)+1)</f>
        <v/>
      </c>
      <c r="B49" s="952" t="str">
        <f ca="1">IF($O49="","",INDEX(TinhGia!B$10:B$81,$O49))</f>
        <v/>
      </c>
      <c r="C49" s="952" t="str">
        <f ca="1">IF($O49="","",INDEX(TinhGia!C$10:C$81,$O49))</f>
        <v/>
      </c>
      <c r="D49" s="953" t="str">
        <f ca="1">IF($O49="","",INDEX(TinhGia!D$10:D$81,$O49))</f>
        <v/>
      </c>
      <c r="E49" s="954" t="str">
        <f ca="1">IF($O49="","",INDEX(TinhGia!E$10:E$81,$O49))</f>
        <v/>
      </c>
      <c r="F49" s="954" t="str">
        <f ca="1">IF($O49="","",INDEX(TinhGia!F$10:F$81,$O49))</f>
        <v/>
      </c>
      <c r="G49" s="954" t="str">
        <f ca="1">IF($O49="","",INDEX(TinhGia!G$10:G$81,$O49))</f>
        <v/>
      </c>
      <c r="H49" s="954" t="str">
        <f ca="1">IF($O49="","",INDEX(TinhGia!I$10:I$81,$O49))</f>
        <v/>
      </c>
      <c r="I49" s="954" t="str">
        <f ca="1">IF($O49="","",INDEX(TinhGia!J$10:J$81,$O49))</f>
        <v/>
      </c>
      <c r="J49" s="955" t="str">
        <f ca="1">IF($O49="","",INDEX(TinhGia!K$10:K$81,$O49))</f>
        <v/>
      </c>
      <c r="K49" s="956" t="str">
        <f ca="1">IF($O49="","",INDEX(TinhGia!L$10:L$81,$O49))</f>
        <v/>
      </c>
      <c r="L49" s="956" t="str">
        <f ca="1">IF($O49="","",INDEX(TinhGia!M$10:M$81,$O49))</f>
        <v/>
      </c>
      <c r="M49" s="956" t="str">
        <f ca="1">IF($O49="","",INDEX(TinhGia!N$10:N$81,$O49))</f>
        <v/>
      </c>
      <c r="N49" s="885" t="str">
        <f ca="1">IF($O49="","",INDEX(TinhGia!BW$10:BW$81,$O49))</f>
        <v/>
      </c>
      <c r="O49" s="882" t="str">
        <f ca="1">IF(TYPE(MATCH($N$4,OFFSET(TinhGia!$BF$10,O48,0):'TinhGia'!$BF$81,0)+O48)=16,"",MATCH($N$4,OFFSET(TinhGia!$BF$10,O48,0):'TinhGia'!$BF$81,0)+O48)</f>
        <v/>
      </c>
    </row>
    <row r="50" spans="1:15" s="42" customFormat="1">
      <c r="A50" s="951" t="str">
        <f ca="1">IF(B50="","",MAX($A$10:A49)+1)</f>
        <v/>
      </c>
      <c r="B50" s="952" t="str">
        <f ca="1">IF($O50="","",INDEX(TinhGia!B$10:B$81,$O50))</f>
        <v/>
      </c>
      <c r="C50" s="952" t="str">
        <f ca="1">IF($O50="","",INDEX(TinhGia!C$10:C$81,$O50))</f>
        <v/>
      </c>
      <c r="D50" s="953" t="str">
        <f ca="1">IF($O50="","",INDEX(TinhGia!D$10:D$81,$O50))</f>
        <v/>
      </c>
      <c r="E50" s="954" t="str">
        <f ca="1">IF($O50="","",INDEX(TinhGia!E$10:E$81,$O50))</f>
        <v/>
      </c>
      <c r="F50" s="954" t="str">
        <f ca="1">IF($O50="","",INDEX(TinhGia!F$10:F$81,$O50))</f>
        <v/>
      </c>
      <c r="G50" s="954" t="str">
        <f ca="1">IF($O50="","",INDEX(TinhGia!G$10:G$81,$O50))</f>
        <v/>
      </c>
      <c r="H50" s="954" t="str">
        <f ca="1">IF($O50="","",INDEX(TinhGia!I$10:I$81,$O50))</f>
        <v/>
      </c>
      <c r="I50" s="954" t="str">
        <f ca="1">IF($O50="","",INDEX(TinhGia!J$10:J$81,$O50))</f>
        <v/>
      </c>
      <c r="J50" s="955" t="str">
        <f ca="1">IF($O50="","",INDEX(TinhGia!K$10:K$81,$O50))</f>
        <v/>
      </c>
      <c r="K50" s="956" t="str">
        <f ca="1">IF($O50="","",INDEX(TinhGia!L$10:L$81,$O50))</f>
        <v/>
      </c>
      <c r="L50" s="956" t="str">
        <f ca="1">IF($O50="","",INDEX(TinhGia!M$10:M$81,$O50))</f>
        <v/>
      </c>
      <c r="M50" s="956" t="str">
        <f ca="1">IF($O50="","",INDEX(TinhGia!N$10:N$81,$O50))</f>
        <v/>
      </c>
      <c r="N50" s="885" t="str">
        <f ca="1">IF($O50="","",INDEX(TinhGia!BW$10:BW$81,$O50))</f>
        <v/>
      </c>
      <c r="O50" s="882" t="str">
        <f ca="1">IF(TYPE(MATCH($N$4,OFFSET(TinhGia!$BF$10,O49,0):'TinhGia'!$BF$81,0)+O49)=16,"",MATCH($N$4,OFFSET(TinhGia!$BF$10,O49,0):'TinhGia'!$BF$81,0)+O49)</f>
        <v/>
      </c>
    </row>
    <row r="51" spans="1:15" s="42" customFormat="1">
      <c r="A51" s="951" t="str">
        <f ca="1">IF(B51="","",MAX($A$10:A50)+1)</f>
        <v/>
      </c>
      <c r="B51" s="952" t="str">
        <f ca="1">IF($O51="","",INDEX(TinhGia!B$10:B$81,$O51))</f>
        <v/>
      </c>
      <c r="C51" s="952" t="str">
        <f ca="1">IF($O51="","",INDEX(TinhGia!C$10:C$81,$O51))</f>
        <v/>
      </c>
      <c r="D51" s="953" t="str">
        <f ca="1">IF($O51="","",INDEX(TinhGia!D$10:D$81,$O51))</f>
        <v/>
      </c>
      <c r="E51" s="954" t="str">
        <f ca="1">IF($O51="","",INDEX(TinhGia!E$10:E$81,$O51))</f>
        <v/>
      </c>
      <c r="F51" s="954" t="str">
        <f ca="1">IF($O51="","",INDEX(TinhGia!F$10:F$81,$O51))</f>
        <v/>
      </c>
      <c r="G51" s="954" t="str">
        <f ca="1">IF($O51="","",INDEX(TinhGia!G$10:G$81,$O51))</f>
        <v/>
      </c>
      <c r="H51" s="954" t="str">
        <f ca="1">IF($O51="","",INDEX(TinhGia!I$10:I$81,$O51))</f>
        <v/>
      </c>
      <c r="I51" s="954" t="str">
        <f ca="1">IF($O51="","",INDEX(TinhGia!J$10:J$81,$O51))</f>
        <v/>
      </c>
      <c r="J51" s="955" t="str">
        <f ca="1">IF($O51="","",INDEX(TinhGia!K$10:K$81,$O51))</f>
        <v/>
      </c>
      <c r="K51" s="956" t="str">
        <f ca="1">IF($O51="","",INDEX(TinhGia!L$10:L$81,$O51))</f>
        <v/>
      </c>
      <c r="L51" s="956" t="str">
        <f ca="1">IF($O51="","",INDEX(TinhGia!M$10:M$81,$O51))</f>
        <v/>
      </c>
      <c r="M51" s="956" t="str">
        <f ca="1">IF($O51="","",INDEX(TinhGia!N$10:N$81,$O51))</f>
        <v/>
      </c>
      <c r="N51" s="885" t="str">
        <f ca="1">IF($O51="","",INDEX(TinhGia!BW$10:BW$81,$O51))</f>
        <v/>
      </c>
      <c r="O51" s="882" t="str">
        <f ca="1">IF(TYPE(MATCH($N$4,OFFSET(TinhGia!$BF$10,O50,0):'TinhGia'!$BF$81,0)+O50)=16,"",MATCH($N$4,OFFSET(TinhGia!$BF$10,O50,0):'TinhGia'!$BF$81,0)+O50)</f>
        <v/>
      </c>
    </row>
    <row r="52" spans="1:15" s="42" customFormat="1">
      <c r="A52" s="951" t="str">
        <f ca="1">IF(B52="","",MAX($A$10:A51)+1)</f>
        <v/>
      </c>
      <c r="B52" s="952" t="str">
        <f ca="1">IF($O52="","",INDEX(TinhGia!B$10:B$81,$O52))</f>
        <v/>
      </c>
      <c r="C52" s="952" t="str">
        <f ca="1">IF($O52="","",INDEX(TinhGia!C$10:C$81,$O52))</f>
        <v/>
      </c>
      <c r="D52" s="953" t="str">
        <f ca="1">IF($O52="","",INDEX(TinhGia!D$10:D$81,$O52))</f>
        <v/>
      </c>
      <c r="E52" s="954" t="str">
        <f ca="1">IF($O52="","",INDEX(TinhGia!E$10:E$81,$O52))</f>
        <v/>
      </c>
      <c r="F52" s="954" t="str">
        <f ca="1">IF($O52="","",INDEX(TinhGia!F$10:F$81,$O52))</f>
        <v/>
      </c>
      <c r="G52" s="954" t="str">
        <f ca="1">IF($O52="","",INDEX(TinhGia!G$10:G$81,$O52))</f>
        <v/>
      </c>
      <c r="H52" s="954" t="str">
        <f ca="1">IF($O52="","",INDEX(TinhGia!I$10:I$81,$O52))</f>
        <v/>
      </c>
      <c r="I52" s="954" t="str">
        <f ca="1">IF($O52="","",INDEX(TinhGia!J$10:J$81,$O52))</f>
        <v/>
      </c>
      <c r="J52" s="955" t="str">
        <f ca="1">IF($O52="","",INDEX(TinhGia!K$10:K$81,$O52))</f>
        <v/>
      </c>
      <c r="K52" s="956" t="str">
        <f ca="1">IF($O52="","",INDEX(TinhGia!L$10:L$81,$O52))</f>
        <v/>
      </c>
      <c r="L52" s="956" t="str">
        <f ca="1">IF($O52="","",INDEX(TinhGia!M$10:M$81,$O52))</f>
        <v/>
      </c>
      <c r="M52" s="956" t="str">
        <f ca="1">IF($O52="","",INDEX(TinhGia!N$10:N$81,$O52))</f>
        <v/>
      </c>
      <c r="N52" s="885" t="str">
        <f ca="1">IF($O52="","",INDEX(TinhGia!BW$10:BW$81,$O52))</f>
        <v/>
      </c>
      <c r="O52" s="882" t="str">
        <f ca="1">IF(TYPE(MATCH($N$4,OFFSET(TinhGia!$BF$10,O51,0):'TinhGia'!$BF$81,0)+O51)=16,"",MATCH($N$4,OFFSET(TinhGia!$BF$10,O51,0):'TinhGia'!$BF$81,0)+O51)</f>
        <v/>
      </c>
    </row>
    <row r="53" spans="1:15" s="42" customFormat="1">
      <c r="A53" s="951" t="str">
        <f ca="1">IF(B53="","",MAX($A$10:A52)+1)</f>
        <v/>
      </c>
      <c r="B53" s="952" t="str">
        <f ca="1">IF($O53="","",INDEX(TinhGia!B$10:B$81,$O53))</f>
        <v/>
      </c>
      <c r="C53" s="952" t="str">
        <f ca="1">IF($O53="","",INDEX(TinhGia!C$10:C$81,$O53))</f>
        <v/>
      </c>
      <c r="D53" s="953" t="str">
        <f ca="1">IF($O53="","",INDEX(TinhGia!D$10:D$81,$O53))</f>
        <v/>
      </c>
      <c r="E53" s="954" t="str">
        <f ca="1">IF($O53="","",INDEX(TinhGia!E$10:E$81,$O53))</f>
        <v/>
      </c>
      <c r="F53" s="954" t="str">
        <f ca="1">IF($O53="","",INDEX(TinhGia!F$10:F$81,$O53))</f>
        <v/>
      </c>
      <c r="G53" s="954" t="str">
        <f ca="1">IF($O53="","",INDEX(TinhGia!G$10:G$81,$O53))</f>
        <v/>
      </c>
      <c r="H53" s="954" t="str">
        <f ca="1">IF($O53="","",INDEX(TinhGia!I$10:I$81,$O53))</f>
        <v/>
      </c>
      <c r="I53" s="954" t="str">
        <f ca="1">IF($O53="","",INDEX(TinhGia!J$10:J$81,$O53))</f>
        <v/>
      </c>
      <c r="J53" s="955" t="str">
        <f ca="1">IF($O53="","",INDEX(TinhGia!K$10:K$81,$O53))</f>
        <v/>
      </c>
      <c r="K53" s="956" t="str">
        <f ca="1">IF($O53="","",INDEX(TinhGia!L$10:L$81,$O53))</f>
        <v/>
      </c>
      <c r="L53" s="956" t="str">
        <f ca="1">IF($O53="","",INDEX(TinhGia!M$10:M$81,$O53))</f>
        <v/>
      </c>
      <c r="M53" s="956" t="str">
        <f ca="1">IF($O53="","",INDEX(TinhGia!N$10:N$81,$O53))</f>
        <v/>
      </c>
      <c r="N53" s="885" t="str">
        <f ca="1">IF($O53="","",INDEX(TinhGia!BW$10:BW$81,$O53))</f>
        <v/>
      </c>
      <c r="O53" s="882" t="str">
        <f ca="1">IF(TYPE(MATCH($N$4,OFFSET(TinhGia!$BF$10,O52,0):'TinhGia'!$BF$81,0)+O52)=16,"",MATCH($N$4,OFFSET(TinhGia!$BF$10,O52,0):'TinhGia'!$BF$81,0)+O52)</f>
        <v/>
      </c>
    </row>
    <row r="54" spans="1:15" s="42" customFormat="1">
      <c r="A54" s="951" t="str">
        <f ca="1">IF(B54="","",MAX($A$10:A53)+1)</f>
        <v/>
      </c>
      <c r="B54" s="952" t="str">
        <f ca="1">IF($O54="","",INDEX(TinhGia!B$10:B$81,$O54))</f>
        <v/>
      </c>
      <c r="C54" s="952" t="str">
        <f ca="1">IF($O54="","",INDEX(TinhGia!C$10:C$81,$O54))</f>
        <v/>
      </c>
      <c r="D54" s="953" t="str">
        <f ca="1">IF($O54="","",INDEX(TinhGia!D$10:D$81,$O54))</f>
        <v/>
      </c>
      <c r="E54" s="954" t="str">
        <f ca="1">IF($O54="","",INDEX(TinhGia!E$10:E$81,$O54))</f>
        <v/>
      </c>
      <c r="F54" s="954" t="str">
        <f ca="1">IF($O54="","",INDEX(TinhGia!F$10:F$81,$O54))</f>
        <v/>
      </c>
      <c r="G54" s="954" t="str">
        <f ca="1">IF($O54="","",INDEX(TinhGia!G$10:G$81,$O54))</f>
        <v/>
      </c>
      <c r="H54" s="954" t="str">
        <f ca="1">IF($O54="","",INDEX(TinhGia!I$10:I$81,$O54))</f>
        <v/>
      </c>
      <c r="I54" s="954" t="str">
        <f ca="1">IF($O54="","",INDEX(TinhGia!J$10:J$81,$O54))</f>
        <v/>
      </c>
      <c r="J54" s="955" t="str">
        <f ca="1">IF($O54="","",INDEX(TinhGia!K$10:K$81,$O54))</f>
        <v/>
      </c>
      <c r="K54" s="956" t="str">
        <f ca="1">IF($O54="","",INDEX(TinhGia!L$10:L$81,$O54))</f>
        <v/>
      </c>
      <c r="L54" s="956" t="str">
        <f ca="1">IF($O54="","",INDEX(TinhGia!M$10:M$81,$O54))</f>
        <v/>
      </c>
      <c r="M54" s="956" t="str">
        <f ca="1">IF($O54="","",INDEX(TinhGia!N$10:N$81,$O54))</f>
        <v/>
      </c>
      <c r="N54" s="885" t="str">
        <f ca="1">IF($O54="","",INDEX(TinhGia!BW$10:BW$81,$O54))</f>
        <v/>
      </c>
      <c r="O54" s="882" t="str">
        <f ca="1">IF(TYPE(MATCH($N$4,OFFSET(TinhGia!$BF$10,O53,0):'TinhGia'!$BF$81,0)+O53)=16,"",MATCH($N$4,OFFSET(TinhGia!$BF$10,O53,0):'TinhGia'!$BF$81,0)+O53)</f>
        <v/>
      </c>
    </row>
    <row r="55" spans="1:15" s="42" customFormat="1">
      <c r="A55" s="951" t="str">
        <f ca="1">IF(B55="","",MAX($A$10:A54)+1)</f>
        <v/>
      </c>
      <c r="B55" s="952" t="str">
        <f ca="1">IF($O55="","",INDEX(TinhGia!B$10:B$81,$O55))</f>
        <v/>
      </c>
      <c r="C55" s="952" t="str">
        <f ca="1">IF($O55="","",INDEX(TinhGia!C$10:C$81,$O55))</f>
        <v/>
      </c>
      <c r="D55" s="953" t="str">
        <f ca="1">IF($O55="","",INDEX(TinhGia!D$10:D$81,$O55))</f>
        <v/>
      </c>
      <c r="E55" s="954" t="str">
        <f ca="1">IF($O55="","",INDEX(TinhGia!E$10:E$81,$O55))</f>
        <v/>
      </c>
      <c r="F55" s="954" t="str">
        <f ca="1">IF($O55="","",INDEX(TinhGia!F$10:F$81,$O55))</f>
        <v/>
      </c>
      <c r="G55" s="954" t="str">
        <f ca="1">IF($O55="","",INDEX(TinhGia!G$10:G$81,$O55))</f>
        <v/>
      </c>
      <c r="H55" s="954" t="str">
        <f ca="1">IF($O55="","",INDEX(TinhGia!I$10:I$81,$O55))</f>
        <v/>
      </c>
      <c r="I55" s="954" t="str">
        <f ca="1">IF($O55="","",INDEX(TinhGia!J$10:J$81,$O55))</f>
        <v/>
      </c>
      <c r="J55" s="955" t="str">
        <f ca="1">IF($O55="","",INDEX(TinhGia!K$10:K$81,$O55))</f>
        <v/>
      </c>
      <c r="K55" s="956" t="str">
        <f ca="1">IF($O55="","",INDEX(TinhGia!L$10:L$81,$O55))</f>
        <v/>
      </c>
      <c r="L55" s="956" t="str">
        <f ca="1">IF($O55="","",INDEX(TinhGia!M$10:M$81,$O55))</f>
        <v/>
      </c>
      <c r="M55" s="956" t="str">
        <f ca="1">IF($O55="","",INDEX(TinhGia!N$10:N$81,$O55))</f>
        <v/>
      </c>
      <c r="N55" s="885" t="str">
        <f ca="1">IF($O55="","",INDEX(TinhGia!BW$10:BW$81,$O55))</f>
        <v/>
      </c>
      <c r="O55" s="882" t="str">
        <f ca="1">IF(TYPE(MATCH($N$4,OFFSET(TinhGia!$BF$10,O54,0):'TinhGia'!$BF$81,0)+O54)=16,"",MATCH($N$4,OFFSET(TinhGia!$BF$10,O54,0):'TinhGia'!$BF$81,0)+O54)</f>
        <v/>
      </c>
    </row>
    <row r="56" spans="1:15" s="42" customFormat="1">
      <c r="A56" s="951" t="str">
        <f ca="1">IF(B56="","",MAX($A$10:A55)+1)</f>
        <v/>
      </c>
      <c r="B56" s="952" t="str">
        <f ca="1">IF($O56="","",INDEX(TinhGia!B$10:B$81,$O56))</f>
        <v/>
      </c>
      <c r="C56" s="952" t="str">
        <f ca="1">IF($O56="","",INDEX(TinhGia!C$10:C$81,$O56))</f>
        <v/>
      </c>
      <c r="D56" s="953" t="str">
        <f ca="1">IF($O56="","",INDEX(TinhGia!D$10:D$81,$O56))</f>
        <v/>
      </c>
      <c r="E56" s="954" t="str">
        <f ca="1">IF($O56="","",INDEX(TinhGia!E$10:E$81,$O56))</f>
        <v/>
      </c>
      <c r="F56" s="954" t="str">
        <f ca="1">IF($O56="","",INDEX(TinhGia!F$10:F$81,$O56))</f>
        <v/>
      </c>
      <c r="G56" s="954" t="str">
        <f ca="1">IF($O56="","",INDEX(TinhGia!G$10:G$81,$O56))</f>
        <v/>
      </c>
      <c r="H56" s="954" t="str">
        <f ca="1">IF($O56="","",INDEX(TinhGia!I$10:I$81,$O56))</f>
        <v/>
      </c>
      <c r="I56" s="954" t="str">
        <f ca="1">IF($O56="","",INDEX(TinhGia!J$10:J$81,$O56))</f>
        <v/>
      </c>
      <c r="J56" s="955" t="str">
        <f ca="1">IF($O56="","",INDEX(TinhGia!K$10:K$81,$O56))</f>
        <v/>
      </c>
      <c r="K56" s="956" t="str">
        <f ca="1">IF($O56="","",INDEX(TinhGia!L$10:L$81,$O56))</f>
        <v/>
      </c>
      <c r="L56" s="956" t="str">
        <f ca="1">IF($O56="","",INDEX(TinhGia!M$10:M$81,$O56))</f>
        <v/>
      </c>
      <c r="M56" s="956" t="str">
        <f ca="1">IF($O56="","",INDEX(TinhGia!N$10:N$81,$O56))</f>
        <v/>
      </c>
      <c r="N56" s="885" t="str">
        <f ca="1">IF($O56="","",INDEX(TinhGia!BW$10:BW$81,$O56))</f>
        <v/>
      </c>
      <c r="O56" s="882" t="str">
        <f ca="1">IF(TYPE(MATCH($N$4,OFFSET(TinhGia!$BF$10,O55,0):'TinhGia'!$BF$81,0)+O55)=16,"",MATCH($N$4,OFFSET(TinhGia!$BF$10,O55,0):'TinhGia'!$BF$81,0)+O55)</f>
        <v/>
      </c>
    </row>
    <row r="57" spans="1:15" s="42" customFormat="1">
      <c r="A57" s="951" t="str">
        <f ca="1">IF(B57="","",MAX($A$10:A56)+1)</f>
        <v/>
      </c>
      <c r="B57" s="952" t="str">
        <f ca="1">IF($O57="","",INDEX(TinhGia!B$10:B$81,$O57))</f>
        <v/>
      </c>
      <c r="C57" s="952" t="str">
        <f ca="1">IF($O57="","",INDEX(TinhGia!C$10:C$81,$O57))</f>
        <v/>
      </c>
      <c r="D57" s="953" t="str">
        <f ca="1">IF($O57="","",INDEX(TinhGia!D$10:D$81,$O57))</f>
        <v/>
      </c>
      <c r="E57" s="954" t="str">
        <f ca="1">IF($O57="","",INDEX(TinhGia!E$10:E$81,$O57))</f>
        <v/>
      </c>
      <c r="F57" s="954" t="str">
        <f ca="1">IF($O57="","",INDEX(TinhGia!F$10:F$81,$O57))</f>
        <v/>
      </c>
      <c r="G57" s="954" t="str">
        <f ca="1">IF($O57="","",INDEX(TinhGia!G$10:G$81,$O57))</f>
        <v/>
      </c>
      <c r="H57" s="954" t="str">
        <f ca="1">IF($O57="","",INDEX(TinhGia!I$10:I$81,$O57))</f>
        <v/>
      </c>
      <c r="I57" s="954" t="str">
        <f ca="1">IF($O57="","",INDEX(TinhGia!J$10:J$81,$O57))</f>
        <v/>
      </c>
      <c r="J57" s="955" t="str">
        <f ca="1">IF($O57="","",INDEX(TinhGia!K$10:K$81,$O57))</f>
        <v/>
      </c>
      <c r="K57" s="956" t="str">
        <f ca="1">IF($O57="","",INDEX(TinhGia!L$10:L$81,$O57))</f>
        <v/>
      </c>
      <c r="L57" s="956" t="str">
        <f ca="1">IF($O57="","",INDEX(TinhGia!M$10:M$81,$O57))</f>
        <v/>
      </c>
      <c r="M57" s="956" t="str">
        <f ca="1">IF($O57="","",INDEX(TinhGia!N$10:N$81,$O57))</f>
        <v/>
      </c>
      <c r="N57" s="885" t="str">
        <f ca="1">IF($O57="","",INDEX(TinhGia!BW$10:BW$81,$O57))</f>
        <v/>
      </c>
      <c r="O57" s="882" t="str">
        <f ca="1">IF(TYPE(MATCH($N$4,OFFSET(TinhGia!$BF$10,O56,0):'TinhGia'!$BF$81,0)+O56)=16,"",MATCH($N$4,OFFSET(TinhGia!$BF$10,O56,0):'TinhGia'!$BF$81,0)+O56)</f>
        <v/>
      </c>
    </row>
    <row r="58" spans="1:15" s="42" customFormat="1">
      <c r="A58" s="951" t="str">
        <f ca="1">IF(B58="","",MAX($A$10:A57)+1)</f>
        <v/>
      </c>
      <c r="B58" s="952" t="str">
        <f ca="1">IF($O58="","",INDEX(TinhGia!B$10:B$81,$O58))</f>
        <v/>
      </c>
      <c r="C58" s="952" t="str">
        <f ca="1">IF($O58="","",INDEX(TinhGia!C$10:C$81,$O58))</f>
        <v/>
      </c>
      <c r="D58" s="953" t="str">
        <f ca="1">IF($O58="","",INDEX(TinhGia!D$10:D$81,$O58))</f>
        <v/>
      </c>
      <c r="E58" s="954" t="str">
        <f ca="1">IF($O58="","",INDEX(TinhGia!E$10:E$81,$O58))</f>
        <v/>
      </c>
      <c r="F58" s="954" t="str">
        <f ca="1">IF($O58="","",INDEX(TinhGia!F$10:F$81,$O58))</f>
        <v/>
      </c>
      <c r="G58" s="954" t="str">
        <f ca="1">IF($O58="","",INDEX(TinhGia!G$10:G$81,$O58))</f>
        <v/>
      </c>
      <c r="H58" s="954" t="str">
        <f ca="1">IF($O58="","",INDEX(TinhGia!I$10:I$81,$O58))</f>
        <v/>
      </c>
      <c r="I58" s="954" t="str">
        <f ca="1">IF($O58="","",INDEX(TinhGia!J$10:J$81,$O58))</f>
        <v/>
      </c>
      <c r="J58" s="955" t="str">
        <f ca="1">IF($O58="","",INDEX(TinhGia!K$10:K$81,$O58))</f>
        <v/>
      </c>
      <c r="K58" s="956" t="str">
        <f ca="1">IF($O58="","",INDEX(TinhGia!L$10:L$81,$O58))</f>
        <v/>
      </c>
      <c r="L58" s="956" t="str">
        <f ca="1">IF($O58="","",INDEX(TinhGia!M$10:M$81,$O58))</f>
        <v/>
      </c>
      <c r="M58" s="956" t="str">
        <f ca="1">IF($O58="","",INDEX(TinhGia!N$10:N$81,$O58))</f>
        <v/>
      </c>
      <c r="N58" s="885" t="str">
        <f ca="1">IF($O58="","",INDEX(TinhGia!BW$10:BW$81,$O58))</f>
        <v/>
      </c>
      <c r="O58" s="882" t="str">
        <f ca="1">IF(TYPE(MATCH($N$4,OFFSET(TinhGia!$BF$10,O57,0):'TinhGia'!$BF$81,0)+O57)=16,"",MATCH($N$4,OFFSET(TinhGia!$BF$10,O57,0):'TinhGia'!$BF$81,0)+O57)</f>
        <v/>
      </c>
    </row>
    <row r="59" spans="1:15" s="42" customFormat="1">
      <c r="A59" s="951" t="str">
        <f ca="1">IF(B59="","",MAX($A$10:A58)+1)</f>
        <v/>
      </c>
      <c r="B59" s="952" t="str">
        <f ca="1">IF($O59="","",INDEX(TinhGia!B$10:B$81,$O59))</f>
        <v/>
      </c>
      <c r="C59" s="952" t="str">
        <f ca="1">IF($O59="","",INDEX(TinhGia!C$10:C$81,$O59))</f>
        <v/>
      </c>
      <c r="D59" s="953" t="str">
        <f ca="1">IF($O59="","",INDEX(TinhGia!D$10:D$81,$O59))</f>
        <v/>
      </c>
      <c r="E59" s="954" t="str">
        <f ca="1">IF($O59="","",INDEX(TinhGia!E$10:E$81,$O59))</f>
        <v/>
      </c>
      <c r="F59" s="954" t="str">
        <f ca="1">IF($O59="","",INDEX(TinhGia!F$10:F$81,$O59))</f>
        <v/>
      </c>
      <c r="G59" s="954" t="str">
        <f ca="1">IF($O59="","",INDEX(TinhGia!G$10:G$81,$O59))</f>
        <v/>
      </c>
      <c r="H59" s="954" t="str">
        <f ca="1">IF($O59="","",INDEX(TinhGia!I$10:I$81,$O59))</f>
        <v/>
      </c>
      <c r="I59" s="954" t="str">
        <f ca="1">IF($O59="","",INDEX(TinhGia!J$10:J$81,$O59))</f>
        <v/>
      </c>
      <c r="J59" s="955" t="str">
        <f ca="1">IF($O59="","",INDEX(TinhGia!K$10:K$81,$O59))</f>
        <v/>
      </c>
      <c r="K59" s="956" t="str">
        <f ca="1">IF($O59="","",INDEX(TinhGia!L$10:L$81,$O59))</f>
        <v/>
      </c>
      <c r="L59" s="956" t="str">
        <f ca="1">IF($O59="","",INDEX(TinhGia!M$10:M$81,$O59))</f>
        <v/>
      </c>
      <c r="M59" s="956" t="str">
        <f ca="1">IF($O59="","",INDEX(TinhGia!N$10:N$81,$O59))</f>
        <v/>
      </c>
      <c r="N59" s="885" t="str">
        <f ca="1">IF($O59="","",INDEX(TinhGia!BW$10:BW$81,$O59))</f>
        <v/>
      </c>
      <c r="O59" s="882" t="str">
        <f ca="1">IF(TYPE(MATCH($N$4,OFFSET(TinhGia!$BF$10,O58,0):'TinhGia'!$BF$81,0)+O58)=16,"",MATCH($N$4,OFFSET(TinhGia!$BF$10,O58,0):'TinhGia'!$BF$81,0)+O58)</f>
        <v/>
      </c>
    </row>
    <row r="60" spans="1:15" s="42" customFormat="1">
      <c r="A60" s="951" t="str">
        <f ca="1">IF(B60="","",MAX($A$10:A59)+1)</f>
        <v/>
      </c>
      <c r="B60" s="952" t="str">
        <f ca="1">IF($O60="","",INDEX(TinhGia!B$10:B$81,$O60))</f>
        <v/>
      </c>
      <c r="C60" s="952" t="str">
        <f ca="1">IF($O60="","",INDEX(TinhGia!C$10:C$81,$O60))</f>
        <v/>
      </c>
      <c r="D60" s="953" t="str">
        <f ca="1">IF($O60="","",INDEX(TinhGia!D$10:D$81,$O60))</f>
        <v/>
      </c>
      <c r="E60" s="954" t="str">
        <f ca="1">IF($O60="","",INDEX(TinhGia!E$10:E$81,$O60))</f>
        <v/>
      </c>
      <c r="F60" s="954" t="str">
        <f ca="1">IF($O60="","",INDEX(TinhGia!F$10:F$81,$O60))</f>
        <v/>
      </c>
      <c r="G60" s="954" t="str">
        <f ca="1">IF($O60="","",INDEX(TinhGia!G$10:G$81,$O60))</f>
        <v/>
      </c>
      <c r="H60" s="954" t="str">
        <f ca="1">IF($O60="","",INDEX(TinhGia!I$10:I$81,$O60))</f>
        <v/>
      </c>
      <c r="I60" s="954" t="str">
        <f ca="1">IF($O60="","",INDEX(TinhGia!J$10:J$81,$O60))</f>
        <v/>
      </c>
      <c r="J60" s="955" t="str">
        <f ca="1">IF($O60="","",INDEX(TinhGia!K$10:K$81,$O60))</f>
        <v/>
      </c>
      <c r="K60" s="956" t="str">
        <f ca="1">IF($O60="","",INDEX(TinhGia!L$10:L$81,$O60))</f>
        <v/>
      </c>
      <c r="L60" s="956" t="str">
        <f ca="1">IF($O60="","",INDEX(TinhGia!M$10:M$81,$O60))</f>
        <v/>
      </c>
      <c r="M60" s="956" t="str">
        <f ca="1">IF($O60="","",INDEX(TinhGia!N$10:N$81,$O60))</f>
        <v/>
      </c>
      <c r="N60" s="885" t="str">
        <f ca="1">IF($O60="","",INDEX(TinhGia!BW$10:BW$81,$O60))</f>
        <v/>
      </c>
      <c r="O60" s="882" t="str">
        <f ca="1">IF(TYPE(MATCH($N$4,OFFSET(TinhGia!$BF$10,O59,0):'TinhGia'!$BF$81,0)+O59)=16,"",MATCH($N$4,OFFSET(TinhGia!$BF$10,O59,0):'TinhGia'!$BF$81,0)+O59)</f>
        <v/>
      </c>
    </row>
    <row r="61" spans="1:15" s="42" customFormat="1">
      <c r="A61" s="951" t="str">
        <f ca="1">IF(B61="","",MAX($A$10:A60)+1)</f>
        <v/>
      </c>
      <c r="B61" s="952" t="str">
        <f ca="1">IF($O61="","",INDEX(TinhGia!B$10:B$81,$O61))</f>
        <v/>
      </c>
      <c r="C61" s="952" t="str">
        <f ca="1">IF($O61="","",INDEX(TinhGia!C$10:C$81,$O61))</f>
        <v/>
      </c>
      <c r="D61" s="953" t="str">
        <f ca="1">IF($O61="","",INDEX(TinhGia!D$10:D$81,$O61))</f>
        <v/>
      </c>
      <c r="E61" s="954" t="str">
        <f ca="1">IF($O61="","",INDEX(TinhGia!E$10:E$81,$O61))</f>
        <v/>
      </c>
      <c r="F61" s="954" t="str">
        <f ca="1">IF($O61="","",INDEX(TinhGia!F$10:F$81,$O61))</f>
        <v/>
      </c>
      <c r="G61" s="954" t="str">
        <f ca="1">IF($O61="","",INDEX(TinhGia!G$10:G$81,$O61))</f>
        <v/>
      </c>
      <c r="H61" s="954" t="str">
        <f ca="1">IF($O61="","",INDEX(TinhGia!I$10:I$81,$O61))</f>
        <v/>
      </c>
      <c r="I61" s="954" t="str">
        <f ca="1">IF($O61="","",INDEX(TinhGia!J$10:J$81,$O61))</f>
        <v/>
      </c>
      <c r="J61" s="955" t="str">
        <f ca="1">IF($O61="","",INDEX(TinhGia!K$10:K$81,$O61))</f>
        <v/>
      </c>
      <c r="K61" s="956" t="str">
        <f ca="1">IF($O61="","",INDEX(TinhGia!L$10:L$81,$O61))</f>
        <v/>
      </c>
      <c r="L61" s="956" t="str">
        <f ca="1">IF($O61="","",INDEX(TinhGia!M$10:M$81,$O61))</f>
        <v/>
      </c>
      <c r="M61" s="956" t="str">
        <f ca="1">IF($O61="","",INDEX(TinhGia!N$10:N$81,$O61))</f>
        <v/>
      </c>
      <c r="N61" s="885" t="str">
        <f ca="1">IF($O61="","",INDEX(TinhGia!BW$10:BW$81,$O61))</f>
        <v/>
      </c>
      <c r="O61" s="882" t="str">
        <f ca="1">IF(TYPE(MATCH($N$4,OFFSET(TinhGia!$BF$10,O60,0):'TinhGia'!$BF$81,0)+O60)=16,"",MATCH($N$4,OFFSET(TinhGia!$BF$10,O60,0):'TinhGia'!$BF$81,0)+O60)</f>
        <v/>
      </c>
    </row>
    <row r="62" spans="1:15" s="42" customFormat="1">
      <c r="A62" s="951" t="str">
        <f ca="1">IF(B62="","",MAX($A$10:A61)+1)</f>
        <v/>
      </c>
      <c r="B62" s="952" t="str">
        <f ca="1">IF($O62="","",INDEX(TinhGia!B$10:B$81,$O62))</f>
        <v/>
      </c>
      <c r="C62" s="952" t="str">
        <f ca="1">IF($O62="","",INDEX(TinhGia!C$10:C$81,$O62))</f>
        <v/>
      </c>
      <c r="D62" s="953" t="str">
        <f ca="1">IF($O62="","",INDEX(TinhGia!D$10:D$81,$O62))</f>
        <v/>
      </c>
      <c r="E62" s="954" t="str">
        <f ca="1">IF($O62="","",INDEX(TinhGia!E$10:E$81,$O62))</f>
        <v/>
      </c>
      <c r="F62" s="954" t="str">
        <f ca="1">IF($O62="","",INDEX(TinhGia!F$10:F$81,$O62))</f>
        <v/>
      </c>
      <c r="G62" s="954" t="str">
        <f ca="1">IF($O62="","",INDEX(TinhGia!G$10:G$81,$O62))</f>
        <v/>
      </c>
      <c r="H62" s="954" t="str">
        <f ca="1">IF($O62="","",INDEX(TinhGia!I$10:I$81,$O62))</f>
        <v/>
      </c>
      <c r="I62" s="954" t="str">
        <f ca="1">IF($O62="","",INDEX(TinhGia!J$10:J$81,$O62))</f>
        <v/>
      </c>
      <c r="J62" s="955" t="str">
        <f ca="1">IF($O62="","",INDEX(TinhGia!K$10:K$81,$O62))</f>
        <v/>
      </c>
      <c r="K62" s="956" t="str">
        <f ca="1">IF($O62="","",INDEX(TinhGia!L$10:L$81,$O62))</f>
        <v/>
      </c>
      <c r="L62" s="956" t="str">
        <f ca="1">IF($O62="","",INDEX(TinhGia!M$10:M$81,$O62))</f>
        <v/>
      </c>
      <c r="M62" s="956" t="str">
        <f ca="1">IF($O62="","",INDEX(TinhGia!N$10:N$81,$O62))</f>
        <v/>
      </c>
      <c r="N62" s="885" t="str">
        <f ca="1">IF($O62="","",INDEX(TinhGia!BW$10:BW$81,$O62))</f>
        <v/>
      </c>
      <c r="O62" s="882" t="str">
        <f ca="1">IF(TYPE(MATCH($N$4,OFFSET(TinhGia!$BF$10,O61,0):'TinhGia'!$BF$81,0)+O61)=16,"",MATCH($N$4,OFFSET(TinhGia!$BF$10,O61,0):'TinhGia'!$BF$81,0)+O61)</f>
        <v/>
      </c>
    </row>
    <row r="63" spans="1:15" s="42" customFormat="1">
      <c r="A63" s="951" t="str">
        <f ca="1">IF(B63="","",MAX($A$10:A62)+1)</f>
        <v/>
      </c>
      <c r="B63" s="952" t="str">
        <f ca="1">IF($O63="","",INDEX(TinhGia!B$10:B$81,$O63))</f>
        <v/>
      </c>
      <c r="C63" s="952" t="str">
        <f ca="1">IF($O63="","",INDEX(TinhGia!C$10:C$81,$O63))</f>
        <v/>
      </c>
      <c r="D63" s="953" t="str">
        <f ca="1">IF($O63="","",INDEX(TinhGia!D$10:D$81,$O63))</f>
        <v/>
      </c>
      <c r="E63" s="954" t="str">
        <f ca="1">IF($O63="","",INDEX(TinhGia!E$10:E$81,$O63))</f>
        <v/>
      </c>
      <c r="F63" s="954" t="str">
        <f ca="1">IF($O63="","",INDEX(TinhGia!F$10:F$81,$O63))</f>
        <v/>
      </c>
      <c r="G63" s="954" t="str">
        <f ca="1">IF($O63="","",INDEX(TinhGia!G$10:G$81,$O63))</f>
        <v/>
      </c>
      <c r="H63" s="954" t="str">
        <f ca="1">IF($O63="","",INDEX(TinhGia!I$10:I$81,$O63))</f>
        <v/>
      </c>
      <c r="I63" s="954" t="str">
        <f ca="1">IF($O63="","",INDEX(TinhGia!J$10:J$81,$O63))</f>
        <v/>
      </c>
      <c r="J63" s="955" t="str">
        <f ca="1">IF($O63="","",INDEX(TinhGia!K$10:K$81,$O63))</f>
        <v/>
      </c>
      <c r="K63" s="956" t="str">
        <f ca="1">IF($O63="","",INDEX(TinhGia!L$10:L$81,$O63))</f>
        <v/>
      </c>
      <c r="L63" s="956" t="str">
        <f ca="1">IF($O63="","",INDEX(TinhGia!M$10:M$81,$O63))</f>
        <v/>
      </c>
      <c r="M63" s="956" t="str">
        <f ca="1">IF($O63="","",INDEX(TinhGia!N$10:N$81,$O63))</f>
        <v/>
      </c>
      <c r="N63" s="885" t="str">
        <f ca="1">IF($O63="","",INDEX(TinhGia!BW$10:BW$81,$O63))</f>
        <v/>
      </c>
      <c r="O63" s="882" t="str">
        <f ca="1">IF(TYPE(MATCH($N$4,OFFSET(TinhGia!$BF$10,O62,0):'TinhGia'!$BF$81,0)+O62)=16,"",MATCH($N$4,OFFSET(TinhGia!$BF$10,O62,0):'TinhGia'!$BF$81,0)+O62)</f>
        <v/>
      </c>
    </row>
    <row r="64" spans="1:15" s="42" customFormat="1">
      <c r="A64" s="951" t="str">
        <f ca="1">IF(B64="","",MAX($A$10:A63)+1)</f>
        <v/>
      </c>
      <c r="B64" s="952" t="str">
        <f ca="1">IF($O64="","",INDEX(TinhGia!B$10:B$81,$O64))</f>
        <v/>
      </c>
      <c r="C64" s="952" t="str">
        <f ca="1">IF($O64="","",INDEX(TinhGia!C$10:C$81,$O64))</f>
        <v/>
      </c>
      <c r="D64" s="953" t="str">
        <f ca="1">IF($O64="","",INDEX(TinhGia!D$10:D$81,$O64))</f>
        <v/>
      </c>
      <c r="E64" s="954" t="str">
        <f ca="1">IF($O64="","",INDEX(TinhGia!E$10:E$81,$O64))</f>
        <v/>
      </c>
      <c r="F64" s="954" t="str">
        <f ca="1">IF($O64="","",INDEX(TinhGia!F$10:F$81,$O64))</f>
        <v/>
      </c>
      <c r="G64" s="954" t="str">
        <f ca="1">IF($O64="","",INDEX(TinhGia!G$10:G$81,$O64))</f>
        <v/>
      </c>
      <c r="H64" s="954" t="str">
        <f ca="1">IF($O64="","",INDEX(TinhGia!I$10:I$81,$O64))</f>
        <v/>
      </c>
      <c r="I64" s="954" t="str">
        <f ca="1">IF($O64="","",INDEX(TinhGia!J$10:J$81,$O64))</f>
        <v/>
      </c>
      <c r="J64" s="955" t="str">
        <f ca="1">IF($O64="","",INDEX(TinhGia!K$10:K$81,$O64))</f>
        <v/>
      </c>
      <c r="K64" s="956" t="str">
        <f ca="1">IF($O64="","",INDEX(TinhGia!L$10:L$81,$O64))</f>
        <v/>
      </c>
      <c r="L64" s="956" t="str">
        <f ca="1">IF($O64="","",INDEX(TinhGia!M$10:M$81,$O64))</f>
        <v/>
      </c>
      <c r="M64" s="956" t="str">
        <f ca="1">IF($O64="","",INDEX(TinhGia!N$10:N$81,$O64))</f>
        <v/>
      </c>
      <c r="N64" s="885" t="str">
        <f ca="1">IF($O64="","",INDEX(TinhGia!BW$10:BW$81,$O64))</f>
        <v/>
      </c>
      <c r="O64" s="882" t="str">
        <f ca="1">IF(TYPE(MATCH($N$4,OFFSET(TinhGia!$BF$10,O63,0):'TinhGia'!$BF$81,0)+O63)=16,"",MATCH($N$4,OFFSET(TinhGia!$BF$10,O63,0):'TinhGia'!$BF$81,0)+O63)</f>
        <v/>
      </c>
    </row>
    <row r="65" spans="1:15" s="42" customFormat="1">
      <c r="A65" s="951" t="str">
        <f ca="1">IF(B65="","",MAX($A$10:A64)+1)</f>
        <v/>
      </c>
      <c r="B65" s="952" t="str">
        <f ca="1">IF($O65="","",INDEX(TinhGia!B$10:B$81,$O65))</f>
        <v/>
      </c>
      <c r="C65" s="952" t="str">
        <f ca="1">IF($O65="","",INDEX(TinhGia!C$10:C$81,$O65))</f>
        <v/>
      </c>
      <c r="D65" s="953" t="str">
        <f ca="1">IF($O65="","",INDEX(TinhGia!D$10:D$81,$O65))</f>
        <v/>
      </c>
      <c r="E65" s="954" t="str">
        <f ca="1">IF($O65="","",INDEX(TinhGia!E$10:E$81,$O65))</f>
        <v/>
      </c>
      <c r="F65" s="954" t="str">
        <f ca="1">IF($O65="","",INDEX(TinhGia!F$10:F$81,$O65))</f>
        <v/>
      </c>
      <c r="G65" s="954" t="str">
        <f ca="1">IF($O65="","",INDEX(TinhGia!G$10:G$81,$O65))</f>
        <v/>
      </c>
      <c r="H65" s="954" t="str">
        <f ca="1">IF($O65="","",INDEX(TinhGia!I$10:I$81,$O65))</f>
        <v/>
      </c>
      <c r="I65" s="954" t="str">
        <f ca="1">IF($O65="","",INDEX(TinhGia!J$10:J$81,$O65))</f>
        <v/>
      </c>
      <c r="J65" s="955" t="str">
        <f ca="1">IF($O65="","",INDEX(TinhGia!K$10:K$81,$O65))</f>
        <v/>
      </c>
      <c r="K65" s="956" t="str">
        <f ca="1">IF($O65="","",INDEX(TinhGia!L$10:L$81,$O65))</f>
        <v/>
      </c>
      <c r="L65" s="956" t="str">
        <f ca="1">IF($O65="","",INDEX(TinhGia!M$10:M$81,$O65))</f>
        <v/>
      </c>
      <c r="M65" s="956" t="str">
        <f ca="1">IF($O65="","",INDEX(TinhGia!N$10:N$81,$O65))</f>
        <v/>
      </c>
      <c r="N65" s="885" t="str">
        <f ca="1">IF($O65="","",INDEX(TinhGia!BW$10:BW$81,$O65))</f>
        <v/>
      </c>
      <c r="O65" s="882" t="str">
        <f ca="1">IF(TYPE(MATCH($N$4,OFFSET(TinhGia!$BF$10,O64,0):'TinhGia'!$BF$81,0)+O64)=16,"",MATCH($N$4,OFFSET(TinhGia!$BF$10,O64,0):'TinhGia'!$BF$81,0)+O64)</f>
        <v/>
      </c>
    </row>
    <row r="66" spans="1:15" s="42" customFormat="1">
      <c r="A66" s="951" t="str">
        <f ca="1">IF(B66="","",MAX($A$10:A65)+1)</f>
        <v/>
      </c>
      <c r="B66" s="952" t="str">
        <f ca="1">IF($O66="","",INDEX(TinhGia!B$10:B$81,$O66))</f>
        <v/>
      </c>
      <c r="C66" s="952" t="str">
        <f ca="1">IF($O66="","",INDEX(TinhGia!C$10:C$81,$O66))</f>
        <v/>
      </c>
      <c r="D66" s="953" t="str">
        <f ca="1">IF($O66="","",INDEX(TinhGia!D$10:D$81,$O66))</f>
        <v/>
      </c>
      <c r="E66" s="954" t="str">
        <f ca="1">IF($O66="","",INDEX(TinhGia!E$10:E$81,$O66))</f>
        <v/>
      </c>
      <c r="F66" s="954" t="str">
        <f ca="1">IF($O66="","",INDEX(TinhGia!F$10:F$81,$O66))</f>
        <v/>
      </c>
      <c r="G66" s="954" t="str">
        <f ca="1">IF($O66="","",INDEX(TinhGia!G$10:G$81,$O66))</f>
        <v/>
      </c>
      <c r="H66" s="954" t="str">
        <f ca="1">IF($O66="","",INDEX(TinhGia!I$10:I$81,$O66))</f>
        <v/>
      </c>
      <c r="I66" s="954" t="str">
        <f ca="1">IF($O66="","",INDEX(TinhGia!J$10:J$81,$O66))</f>
        <v/>
      </c>
      <c r="J66" s="955" t="str">
        <f ca="1">IF($O66="","",INDEX(TinhGia!K$10:K$81,$O66))</f>
        <v/>
      </c>
      <c r="K66" s="956" t="str">
        <f ca="1">IF($O66="","",INDEX(TinhGia!L$10:L$81,$O66))</f>
        <v/>
      </c>
      <c r="L66" s="956" t="str">
        <f ca="1">IF($O66="","",INDEX(TinhGia!M$10:M$81,$O66))</f>
        <v/>
      </c>
      <c r="M66" s="956" t="str">
        <f ca="1">IF($O66="","",INDEX(TinhGia!N$10:N$81,$O66))</f>
        <v/>
      </c>
      <c r="N66" s="885" t="str">
        <f ca="1">IF($O66="","",INDEX(TinhGia!BW$10:BW$81,$O66))</f>
        <v/>
      </c>
      <c r="O66" s="882" t="str">
        <f ca="1">IF(TYPE(MATCH($N$4,OFFSET(TinhGia!$BF$10,O65,0):'TinhGia'!$BF$81,0)+O65)=16,"",MATCH($N$4,OFFSET(TinhGia!$BF$10,O65,0):'TinhGia'!$BF$81,0)+O65)</f>
        <v/>
      </c>
    </row>
    <row r="67" spans="1:15" s="42" customFormat="1">
      <c r="A67" s="951" t="str">
        <f ca="1">IF(B67="","",MAX($A$10:A66)+1)</f>
        <v/>
      </c>
      <c r="B67" s="952" t="str">
        <f ca="1">IF($O67="","",INDEX(TinhGia!B$10:B$81,$O67))</f>
        <v/>
      </c>
      <c r="C67" s="952" t="str">
        <f ca="1">IF($O67="","",INDEX(TinhGia!C$10:C$81,$O67))</f>
        <v/>
      </c>
      <c r="D67" s="953" t="str">
        <f ca="1">IF($O67="","",INDEX(TinhGia!D$10:D$81,$O67))</f>
        <v/>
      </c>
      <c r="E67" s="954" t="str">
        <f ca="1">IF($O67="","",INDEX(TinhGia!E$10:E$81,$O67))</f>
        <v/>
      </c>
      <c r="F67" s="954" t="str">
        <f ca="1">IF($O67="","",INDEX(TinhGia!F$10:F$81,$O67))</f>
        <v/>
      </c>
      <c r="G67" s="954" t="str">
        <f ca="1">IF($O67="","",INDEX(TinhGia!G$10:G$81,$O67))</f>
        <v/>
      </c>
      <c r="H67" s="954" t="str">
        <f ca="1">IF($O67="","",INDEX(TinhGia!I$10:I$81,$O67))</f>
        <v/>
      </c>
      <c r="I67" s="954" t="str">
        <f ca="1">IF($O67="","",INDEX(TinhGia!J$10:J$81,$O67))</f>
        <v/>
      </c>
      <c r="J67" s="955" t="str">
        <f ca="1">IF($O67="","",INDEX(TinhGia!K$10:K$81,$O67))</f>
        <v/>
      </c>
      <c r="K67" s="956" t="str">
        <f ca="1">IF($O67="","",INDEX(TinhGia!L$10:L$81,$O67))</f>
        <v/>
      </c>
      <c r="L67" s="956" t="str">
        <f ca="1">IF($O67="","",INDEX(TinhGia!M$10:M$81,$O67))</f>
        <v/>
      </c>
      <c r="M67" s="956" t="str">
        <f ca="1">IF($O67="","",INDEX(TinhGia!N$10:N$81,$O67))</f>
        <v/>
      </c>
      <c r="N67" s="885" t="str">
        <f ca="1">IF($O67="","",INDEX(TinhGia!BW$10:BW$81,$O67))</f>
        <v/>
      </c>
      <c r="O67" s="882" t="str">
        <f ca="1">IF(TYPE(MATCH($N$4,OFFSET(TinhGia!$BF$10,O66,0):'TinhGia'!$BF$81,0)+O66)=16,"",MATCH($N$4,OFFSET(TinhGia!$BF$10,O66,0):'TinhGia'!$BF$81,0)+O66)</f>
        <v/>
      </c>
    </row>
    <row r="68" spans="1:15" s="42" customFormat="1">
      <c r="A68" s="951" t="str">
        <f ca="1">IF(B68="","",MAX($A$10:A67)+1)</f>
        <v/>
      </c>
      <c r="B68" s="952" t="str">
        <f ca="1">IF($O68="","",INDEX(TinhGia!B$10:B$81,$O68))</f>
        <v/>
      </c>
      <c r="C68" s="952" t="str">
        <f ca="1">IF($O68="","",INDEX(TinhGia!C$10:C$81,$O68))</f>
        <v/>
      </c>
      <c r="D68" s="953" t="str">
        <f ca="1">IF($O68="","",INDEX(TinhGia!D$10:D$81,$O68))</f>
        <v/>
      </c>
      <c r="E68" s="954" t="str">
        <f ca="1">IF($O68="","",INDEX(TinhGia!E$10:E$81,$O68))</f>
        <v/>
      </c>
      <c r="F68" s="954" t="str">
        <f ca="1">IF($O68="","",INDEX(TinhGia!F$10:F$81,$O68))</f>
        <v/>
      </c>
      <c r="G68" s="954" t="str">
        <f ca="1">IF($O68="","",INDEX(TinhGia!G$10:G$81,$O68))</f>
        <v/>
      </c>
      <c r="H68" s="954" t="str">
        <f ca="1">IF($O68="","",INDEX(TinhGia!I$10:I$81,$O68))</f>
        <v/>
      </c>
      <c r="I68" s="954" t="str">
        <f ca="1">IF($O68="","",INDEX(TinhGia!J$10:J$81,$O68))</f>
        <v/>
      </c>
      <c r="J68" s="955" t="str">
        <f ca="1">IF($O68="","",INDEX(TinhGia!K$10:K$81,$O68))</f>
        <v/>
      </c>
      <c r="K68" s="956" t="str">
        <f ca="1">IF($O68="","",INDEX(TinhGia!L$10:L$81,$O68))</f>
        <v/>
      </c>
      <c r="L68" s="956" t="str">
        <f ca="1">IF($O68="","",INDEX(TinhGia!M$10:M$81,$O68))</f>
        <v/>
      </c>
      <c r="M68" s="956" t="str">
        <f ca="1">IF($O68="","",INDEX(TinhGia!N$10:N$81,$O68))</f>
        <v/>
      </c>
      <c r="N68" s="885" t="str">
        <f ca="1">IF($O68="","",INDEX(TinhGia!BW$10:BW$81,$O68))</f>
        <v/>
      </c>
      <c r="O68" s="882" t="str">
        <f ca="1">IF(TYPE(MATCH($N$4,OFFSET(TinhGia!$BF$10,O67,0):'TinhGia'!$BF$81,0)+O67)=16,"",MATCH($N$4,OFFSET(TinhGia!$BF$10,O67,0):'TinhGia'!$BF$81,0)+O67)</f>
        <v/>
      </c>
    </row>
    <row r="69" spans="1:15" s="42" customFormat="1">
      <c r="A69" s="951" t="str">
        <f ca="1">IF(B69="","",MAX($A$10:A68)+1)</f>
        <v/>
      </c>
      <c r="B69" s="952" t="str">
        <f ca="1">IF($O69="","",INDEX(TinhGia!B$10:B$81,$O69))</f>
        <v/>
      </c>
      <c r="C69" s="952" t="str">
        <f ca="1">IF($O69="","",INDEX(TinhGia!C$10:C$81,$O69))</f>
        <v/>
      </c>
      <c r="D69" s="953" t="str">
        <f ca="1">IF($O69="","",INDEX(TinhGia!D$10:D$81,$O69))</f>
        <v/>
      </c>
      <c r="E69" s="954" t="str">
        <f ca="1">IF($O69="","",INDEX(TinhGia!E$10:E$81,$O69))</f>
        <v/>
      </c>
      <c r="F69" s="954" t="str">
        <f ca="1">IF($O69="","",INDEX(TinhGia!F$10:F$81,$O69))</f>
        <v/>
      </c>
      <c r="G69" s="954" t="str">
        <f ca="1">IF($O69="","",INDEX(TinhGia!G$10:G$81,$O69))</f>
        <v/>
      </c>
      <c r="H69" s="954" t="str">
        <f ca="1">IF($O69="","",INDEX(TinhGia!I$10:I$81,$O69))</f>
        <v/>
      </c>
      <c r="I69" s="954" t="str">
        <f ca="1">IF($O69="","",INDEX(TinhGia!J$10:J$81,$O69))</f>
        <v/>
      </c>
      <c r="J69" s="955" t="str">
        <f ca="1">IF($O69="","",INDEX(TinhGia!K$10:K$81,$O69))</f>
        <v/>
      </c>
      <c r="K69" s="956" t="str">
        <f ca="1">IF($O69="","",INDEX(TinhGia!L$10:L$81,$O69))</f>
        <v/>
      </c>
      <c r="L69" s="956" t="str">
        <f ca="1">IF($O69="","",INDEX(TinhGia!M$10:M$81,$O69))</f>
        <v/>
      </c>
      <c r="M69" s="956" t="str">
        <f ca="1">IF($O69="","",INDEX(TinhGia!N$10:N$81,$O69))</f>
        <v/>
      </c>
      <c r="N69" s="885" t="str">
        <f ca="1">IF($O69="","",INDEX(TinhGia!BW$10:BW$81,$O69))</f>
        <v/>
      </c>
      <c r="O69" s="882" t="str">
        <f ca="1">IF(TYPE(MATCH($N$4,OFFSET(TinhGia!$BF$10,O68,0):'TinhGia'!$BF$81,0)+O68)=16,"",MATCH($N$4,OFFSET(TinhGia!$BF$10,O68,0):'TinhGia'!$BF$81,0)+O68)</f>
        <v/>
      </c>
    </row>
    <row r="70" spans="1:15" s="42" customFormat="1">
      <c r="A70" s="951" t="str">
        <f ca="1">IF(B70="","",MAX($A$10:A69)+1)</f>
        <v/>
      </c>
      <c r="B70" s="952" t="str">
        <f ca="1">IF($O70="","",INDEX(TinhGia!B$10:B$81,$O70))</f>
        <v/>
      </c>
      <c r="C70" s="952" t="str">
        <f ca="1">IF($O70="","",INDEX(TinhGia!C$10:C$81,$O70))</f>
        <v/>
      </c>
      <c r="D70" s="953" t="str">
        <f ca="1">IF($O70="","",INDEX(TinhGia!D$10:D$81,$O70))</f>
        <v/>
      </c>
      <c r="E70" s="954" t="str">
        <f ca="1">IF($O70="","",INDEX(TinhGia!E$10:E$81,$O70))</f>
        <v/>
      </c>
      <c r="F70" s="954" t="str">
        <f ca="1">IF($O70="","",INDEX(TinhGia!F$10:F$81,$O70))</f>
        <v/>
      </c>
      <c r="G70" s="954" t="str">
        <f ca="1">IF($O70="","",INDEX(TinhGia!G$10:G$81,$O70))</f>
        <v/>
      </c>
      <c r="H70" s="954" t="str">
        <f ca="1">IF($O70="","",INDEX(TinhGia!I$10:I$81,$O70))</f>
        <v/>
      </c>
      <c r="I70" s="954" t="str">
        <f ca="1">IF($O70="","",INDEX(TinhGia!J$10:J$81,$O70))</f>
        <v/>
      </c>
      <c r="J70" s="955" t="str">
        <f ca="1">IF($O70="","",INDEX(TinhGia!K$10:K$81,$O70))</f>
        <v/>
      </c>
      <c r="K70" s="956" t="str">
        <f ca="1">IF($O70="","",INDEX(TinhGia!L$10:L$81,$O70))</f>
        <v/>
      </c>
      <c r="L70" s="956" t="str">
        <f ca="1">IF($O70="","",INDEX(TinhGia!M$10:M$81,$O70))</f>
        <v/>
      </c>
      <c r="M70" s="956" t="str">
        <f ca="1">IF($O70="","",INDEX(TinhGia!N$10:N$81,$O70))</f>
        <v/>
      </c>
      <c r="N70" s="885" t="str">
        <f ca="1">IF($O70="","",INDEX(TinhGia!BW$10:BW$81,$O70))</f>
        <v/>
      </c>
      <c r="O70" s="882" t="str">
        <f ca="1">IF(TYPE(MATCH($N$4,OFFSET(TinhGia!$BF$10,O69,0):'TinhGia'!$BF$81,0)+O69)=16,"",MATCH($N$4,OFFSET(TinhGia!$BF$10,O69,0):'TinhGia'!$BF$81,0)+O69)</f>
        <v/>
      </c>
    </row>
    <row r="71" spans="1:15" s="42" customFormat="1">
      <c r="A71" s="951" t="str">
        <f ca="1">IF(B71="","",MAX($A$10:A70)+1)</f>
        <v/>
      </c>
      <c r="B71" s="952" t="str">
        <f ca="1">IF($O71="","",INDEX(TinhGia!B$10:B$81,$O71))</f>
        <v/>
      </c>
      <c r="C71" s="952" t="str">
        <f ca="1">IF($O71="","",INDEX(TinhGia!C$10:C$81,$O71))</f>
        <v/>
      </c>
      <c r="D71" s="953" t="str">
        <f ca="1">IF($O71="","",INDEX(TinhGia!D$10:D$81,$O71))</f>
        <v/>
      </c>
      <c r="E71" s="954" t="str">
        <f ca="1">IF($O71="","",INDEX(TinhGia!E$10:E$81,$O71))</f>
        <v/>
      </c>
      <c r="F71" s="954" t="str">
        <f ca="1">IF($O71="","",INDEX(TinhGia!F$10:F$81,$O71))</f>
        <v/>
      </c>
      <c r="G71" s="954" t="str">
        <f ca="1">IF($O71="","",INDEX(TinhGia!G$10:G$81,$O71))</f>
        <v/>
      </c>
      <c r="H71" s="954" t="str">
        <f ca="1">IF($O71="","",INDEX(TinhGia!I$10:I$81,$O71))</f>
        <v/>
      </c>
      <c r="I71" s="954" t="str">
        <f ca="1">IF($O71="","",INDEX(TinhGia!J$10:J$81,$O71))</f>
        <v/>
      </c>
      <c r="J71" s="955" t="str">
        <f ca="1">IF($O71="","",INDEX(TinhGia!K$10:K$81,$O71))</f>
        <v/>
      </c>
      <c r="K71" s="956" t="str">
        <f ca="1">IF($O71="","",INDEX(TinhGia!L$10:L$81,$O71))</f>
        <v/>
      </c>
      <c r="L71" s="956" t="str">
        <f ca="1">IF($O71="","",INDEX(TinhGia!M$10:M$81,$O71))</f>
        <v/>
      </c>
      <c r="M71" s="956" t="str">
        <f ca="1">IF($O71="","",INDEX(TinhGia!N$10:N$81,$O71))</f>
        <v/>
      </c>
      <c r="N71" s="885" t="str">
        <f ca="1">IF($O71="","",INDEX(TinhGia!BW$10:BW$81,$O71))</f>
        <v/>
      </c>
      <c r="O71" s="882" t="str">
        <f ca="1">IF(TYPE(MATCH($N$4,OFFSET(TinhGia!$BF$10,O70,0):'TinhGia'!$BF$81,0)+O70)=16,"",MATCH($N$4,OFFSET(TinhGia!$BF$10,O70,0):'TinhGia'!$BF$81,0)+O70)</f>
        <v/>
      </c>
    </row>
    <row r="72" spans="1:15" s="42" customFormat="1">
      <c r="A72" s="951" t="str">
        <f ca="1">IF(B72="","",MAX($A$10:A71)+1)</f>
        <v/>
      </c>
      <c r="B72" s="952" t="str">
        <f ca="1">IF($O72="","",INDEX(TinhGia!B$10:B$81,$O72))</f>
        <v/>
      </c>
      <c r="C72" s="952" t="str">
        <f ca="1">IF($O72="","",INDEX(TinhGia!C$10:C$81,$O72))</f>
        <v/>
      </c>
      <c r="D72" s="953" t="str">
        <f ca="1">IF($O72="","",INDEX(TinhGia!D$10:D$81,$O72))</f>
        <v/>
      </c>
      <c r="E72" s="954" t="str">
        <f ca="1">IF($O72="","",INDEX(TinhGia!E$10:E$81,$O72))</f>
        <v/>
      </c>
      <c r="F72" s="954" t="str">
        <f ca="1">IF($O72="","",INDEX(TinhGia!F$10:F$81,$O72))</f>
        <v/>
      </c>
      <c r="G72" s="954" t="str">
        <f ca="1">IF($O72="","",INDEX(TinhGia!G$10:G$81,$O72))</f>
        <v/>
      </c>
      <c r="H72" s="954" t="str">
        <f ca="1">IF($O72="","",INDEX(TinhGia!I$10:I$81,$O72))</f>
        <v/>
      </c>
      <c r="I72" s="954" t="str">
        <f ca="1">IF($O72="","",INDEX(TinhGia!J$10:J$81,$O72))</f>
        <v/>
      </c>
      <c r="J72" s="955" t="str">
        <f ca="1">IF($O72="","",INDEX(TinhGia!K$10:K$81,$O72))</f>
        <v/>
      </c>
      <c r="K72" s="956" t="str">
        <f ca="1">IF($O72="","",INDEX(TinhGia!L$10:L$81,$O72))</f>
        <v/>
      </c>
      <c r="L72" s="956" t="str">
        <f ca="1">IF($O72="","",INDEX(TinhGia!M$10:M$81,$O72))</f>
        <v/>
      </c>
      <c r="M72" s="956" t="str">
        <f ca="1">IF($O72="","",INDEX(TinhGia!N$10:N$81,$O72))</f>
        <v/>
      </c>
      <c r="N72" s="885" t="str">
        <f ca="1">IF($O72="","",INDEX(TinhGia!BW$10:BW$81,$O72))</f>
        <v/>
      </c>
      <c r="O72" s="882" t="str">
        <f ca="1">IF(TYPE(MATCH($N$4,OFFSET(TinhGia!$BF$10,O71,0):'TinhGia'!$BF$81,0)+O71)=16,"",MATCH($N$4,OFFSET(TinhGia!$BF$10,O71,0):'TinhGia'!$BF$81,0)+O71)</f>
        <v/>
      </c>
    </row>
    <row r="73" spans="1:15" s="42" customFormat="1">
      <c r="A73" s="951" t="str">
        <f ca="1">IF(B73="","",MAX($A$10:A72)+1)</f>
        <v/>
      </c>
      <c r="B73" s="952" t="str">
        <f ca="1">IF($O73="","",INDEX(TinhGia!B$10:B$81,$O73))</f>
        <v/>
      </c>
      <c r="C73" s="952" t="str">
        <f ca="1">IF($O73="","",INDEX(TinhGia!C$10:C$81,$O73))</f>
        <v/>
      </c>
      <c r="D73" s="953" t="str">
        <f ca="1">IF($O73="","",INDEX(TinhGia!D$10:D$81,$O73))</f>
        <v/>
      </c>
      <c r="E73" s="954" t="str">
        <f ca="1">IF($O73="","",INDEX(TinhGia!E$10:E$81,$O73))</f>
        <v/>
      </c>
      <c r="F73" s="954" t="str">
        <f ca="1">IF($O73="","",INDEX(TinhGia!F$10:F$81,$O73))</f>
        <v/>
      </c>
      <c r="G73" s="954" t="str">
        <f ca="1">IF($O73="","",INDEX(TinhGia!G$10:G$81,$O73))</f>
        <v/>
      </c>
      <c r="H73" s="954" t="str">
        <f ca="1">IF($O73="","",INDEX(TinhGia!I$10:I$81,$O73))</f>
        <v/>
      </c>
      <c r="I73" s="954" t="str">
        <f ca="1">IF($O73="","",INDEX(TinhGia!J$10:J$81,$O73))</f>
        <v/>
      </c>
      <c r="J73" s="955" t="str">
        <f ca="1">IF($O73="","",INDEX(TinhGia!K$10:K$81,$O73))</f>
        <v/>
      </c>
      <c r="K73" s="956" t="str">
        <f ca="1">IF($O73="","",INDEX(TinhGia!L$10:L$81,$O73))</f>
        <v/>
      </c>
      <c r="L73" s="956" t="str">
        <f ca="1">IF($O73="","",INDEX(TinhGia!M$10:M$81,$O73))</f>
        <v/>
      </c>
      <c r="M73" s="956" t="str">
        <f ca="1">IF($O73="","",INDEX(TinhGia!N$10:N$81,$O73))</f>
        <v/>
      </c>
      <c r="N73" s="885" t="str">
        <f ca="1">IF($O73="","",INDEX(TinhGia!BW$10:BW$81,$O73))</f>
        <v/>
      </c>
      <c r="O73" s="882" t="str">
        <f ca="1">IF(TYPE(MATCH($N$4,OFFSET(TinhGia!$BF$10,O72,0):'TinhGia'!$BF$81,0)+O72)=16,"",MATCH($N$4,OFFSET(TinhGia!$BF$10,O72,0):'TinhGia'!$BF$81,0)+O72)</f>
        <v/>
      </c>
    </row>
    <row r="74" spans="1:15" s="42" customFormat="1">
      <c r="A74" s="951" t="str">
        <f ca="1">IF(B74="","",MAX($A$10:A73)+1)</f>
        <v/>
      </c>
      <c r="B74" s="952" t="str">
        <f ca="1">IF($O74="","",INDEX(TinhGia!B$10:B$81,$O74))</f>
        <v/>
      </c>
      <c r="C74" s="952" t="str">
        <f ca="1">IF($O74="","",INDEX(TinhGia!C$10:C$81,$O74))</f>
        <v/>
      </c>
      <c r="D74" s="953" t="str">
        <f ca="1">IF($O74="","",INDEX(TinhGia!D$10:D$81,$O74))</f>
        <v/>
      </c>
      <c r="E74" s="954" t="str">
        <f ca="1">IF($O74="","",INDEX(TinhGia!E$10:E$81,$O74))</f>
        <v/>
      </c>
      <c r="F74" s="954" t="str">
        <f ca="1">IF($O74="","",INDEX(TinhGia!F$10:F$81,$O74))</f>
        <v/>
      </c>
      <c r="G74" s="954" t="str">
        <f ca="1">IF($O74="","",INDEX(TinhGia!G$10:G$81,$O74))</f>
        <v/>
      </c>
      <c r="H74" s="954" t="str">
        <f ca="1">IF($O74="","",INDEX(TinhGia!I$10:I$81,$O74))</f>
        <v/>
      </c>
      <c r="I74" s="954" t="str">
        <f ca="1">IF($O74="","",INDEX(TinhGia!J$10:J$81,$O74))</f>
        <v/>
      </c>
      <c r="J74" s="955" t="str">
        <f ca="1">IF($O74="","",INDEX(TinhGia!K$10:K$81,$O74))</f>
        <v/>
      </c>
      <c r="K74" s="956" t="str">
        <f ca="1">IF($O74="","",INDEX(TinhGia!L$10:L$81,$O74))</f>
        <v/>
      </c>
      <c r="L74" s="956" t="str">
        <f ca="1">IF($O74="","",INDEX(TinhGia!M$10:M$81,$O74))</f>
        <v/>
      </c>
      <c r="M74" s="956" t="str">
        <f ca="1">IF($O74="","",INDEX(TinhGia!N$10:N$81,$O74))</f>
        <v/>
      </c>
      <c r="N74" s="885" t="str">
        <f ca="1">IF($O74="","",INDEX(TinhGia!BW$10:BW$81,$O74))</f>
        <v/>
      </c>
      <c r="O74" s="882" t="str">
        <f ca="1">IF(TYPE(MATCH($N$4,OFFSET(TinhGia!$BF$10,O73,0):'TinhGia'!$BF$81,0)+O73)=16,"",MATCH($N$4,OFFSET(TinhGia!$BF$10,O73,0):'TinhGia'!$BF$81,0)+O73)</f>
        <v/>
      </c>
    </row>
    <row r="75" spans="1:15" s="42" customFormat="1">
      <c r="A75" s="951" t="str">
        <f ca="1">IF(B75="","",MAX($A$10:A74)+1)</f>
        <v/>
      </c>
      <c r="B75" s="952" t="str">
        <f ca="1">IF($O75="","",INDEX(TinhGia!B$10:B$81,$O75))</f>
        <v/>
      </c>
      <c r="C75" s="952" t="str">
        <f ca="1">IF($O75="","",INDEX(TinhGia!C$10:C$81,$O75))</f>
        <v/>
      </c>
      <c r="D75" s="953" t="str">
        <f ca="1">IF($O75="","",INDEX(TinhGia!D$10:D$81,$O75))</f>
        <v/>
      </c>
      <c r="E75" s="954" t="str">
        <f ca="1">IF($O75="","",INDEX(TinhGia!E$10:E$81,$O75))</f>
        <v/>
      </c>
      <c r="F75" s="954" t="str">
        <f ca="1">IF($O75="","",INDEX(TinhGia!F$10:F$81,$O75))</f>
        <v/>
      </c>
      <c r="G75" s="954" t="str">
        <f ca="1">IF($O75="","",INDEX(TinhGia!G$10:G$81,$O75))</f>
        <v/>
      </c>
      <c r="H75" s="954" t="str">
        <f ca="1">IF($O75="","",INDEX(TinhGia!I$10:I$81,$O75))</f>
        <v/>
      </c>
      <c r="I75" s="954" t="str">
        <f ca="1">IF($O75="","",INDEX(TinhGia!J$10:J$81,$O75))</f>
        <v/>
      </c>
      <c r="J75" s="955" t="str">
        <f ca="1">IF($O75="","",INDEX(TinhGia!K$10:K$81,$O75))</f>
        <v/>
      </c>
      <c r="K75" s="956" t="str">
        <f ca="1">IF($O75="","",INDEX(TinhGia!L$10:L$81,$O75))</f>
        <v/>
      </c>
      <c r="L75" s="956" t="str">
        <f ca="1">IF($O75="","",INDEX(TinhGia!M$10:M$81,$O75))</f>
        <v/>
      </c>
      <c r="M75" s="956" t="str">
        <f ca="1">IF($O75="","",INDEX(TinhGia!N$10:N$81,$O75))</f>
        <v/>
      </c>
      <c r="N75" s="885" t="str">
        <f ca="1">IF($O75="","",INDEX(TinhGia!BW$10:BW$81,$O75))</f>
        <v/>
      </c>
      <c r="O75" s="882" t="str">
        <f ca="1">IF(TYPE(MATCH($N$4,OFFSET(TinhGia!$BF$10,O74,0):'TinhGia'!$BF$81,0)+O74)=16,"",MATCH($N$4,OFFSET(TinhGia!$BF$10,O74,0):'TinhGia'!$BF$81,0)+O74)</f>
        <v/>
      </c>
    </row>
    <row r="76" spans="1:15" s="42" customFormat="1">
      <c r="A76" s="951" t="str">
        <f ca="1">IF(B76="","",MAX($A$10:A75)+1)</f>
        <v/>
      </c>
      <c r="B76" s="952" t="str">
        <f ca="1">IF($O76="","",INDEX(TinhGia!B$10:B$81,$O76))</f>
        <v/>
      </c>
      <c r="C76" s="952" t="str">
        <f ca="1">IF($O76="","",INDEX(TinhGia!C$10:C$81,$O76))</f>
        <v/>
      </c>
      <c r="D76" s="953" t="str">
        <f ca="1">IF($O76="","",INDEX(TinhGia!D$10:D$81,$O76))</f>
        <v/>
      </c>
      <c r="E76" s="954" t="str">
        <f ca="1">IF($O76="","",INDEX(TinhGia!E$10:E$81,$O76))</f>
        <v/>
      </c>
      <c r="F76" s="954" t="str">
        <f ca="1">IF($O76="","",INDEX(TinhGia!F$10:F$81,$O76))</f>
        <v/>
      </c>
      <c r="G76" s="954" t="str">
        <f ca="1">IF($O76="","",INDEX(TinhGia!G$10:G$81,$O76))</f>
        <v/>
      </c>
      <c r="H76" s="954" t="str">
        <f ca="1">IF($O76="","",INDEX(TinhGia!I$10:I$81,$O76))</f>
        <v/>
      </c>
      <c r="I76" s="954" t="str">
        <f ca="1">IF($O76="","",INDEX(TinhGia!J$10:J$81,$O76))</f>
        <v/>
      </c>
      <c r="J76" s="955" t="str">
        <f ca="1">IF($O76="","",INDEX(TinhGia!K$10:K$81,$O76))</f>
        <v/>
      </c>
      <c r="K76" s="956" t="str">
        <f ca="1">IF($O76="","",INDEX(TinhGia!L$10:L$81,$O76))</f>
        <v/>
      </c>
      <c r="L76" s="956" t="str">
        <f ca="1">IF($O76="","",INDEX(TinhGia!M$10:M$81,$O76))</f>
        <v/>
      </c>
      <c r="M76" s="956" t="str">
        <f ca="1">IF($O76="","",INDEX(TinhGia!N$10:N$81,$O76))</f>
        <v/>
      </c>
      <c r="N76" s="885" t="str">
        <f ca="1">IF($O76="","",INDEX(TinhGia!BW$10:BW$81,$O76))</f>
        <v/>
      </c>
      <c r="O76" s="882" t="str">
        <f ca="1">IF(TYPE(MATCH($N$4,OFFSET(TinhGia!$BF$10,O75,0):'TinhGia'!$BF$81,0)+O75)=16,"",MATCH($N$4,OFFSET(TinhGia!$BF$10,O75,0):'TinhGia'!$BF$81,0)+O75)</f>
        <v/>
      </c>
    </row>
    <row r="77" spans="1:15" s="42" customFormat="1">
      <c r="A77" s="951" t="str">
        <f ca="1">IF(B77="","",MAX($A$10:A76)+1)</f>
        <v/>
      </c>
      <c r="B77" s="952" t="str">
        <f ca="1">IF($O77="","",INDEX(TinhGia!B$10:B$81,$O77))</f>
        <v/>
      </c>
      <c r="C77" s="952" t="str">
        <f ca="1">IF($O77="","",INDEX(TinhGia!C$10:C$81,$O77))</f>
        <v/>
      </c>
      <c r="D77" s="953" t="str">
        <f ca="1">IF($O77="","",INDEX(TinhGia!D$10:D$81,$O77))</f>
        <v/>
      </c>
      <c r="E77" s="954" t="str">
        <f ca="1">IF($O77="","",INDEX(TinhGia!E$10:E$81,$O77))</f>
        <v/>
      </c>
      <c r="F77" s="954" t="str">
        <f ca="1">IF($O77="","",INDEX(TinhGia!F$10:F$81,$O77))</f>
        <v/>
      </c>
      <c r="G77" s="954" t="str">
        <f ca="1">IF($O77="","",INDEX(TinhGia!G$10:G$81,$O77))</f>
        <v/>
      </c>
      <c r="H77" s="954" t="str">
        <f ca="1">IF($O77="","",INDEX(TinhGia!I$10:I$81,$O77))</f>
        <v/>
      </c>
      <c r="I77" s="954" t="str">
        <f ca="1">IF($O77="","",INDEX(TinhGia!J$10:J$81,$O77))</f>
        <v/>
      </c>
      <c r="J77" s="955" t="str">
        <f ca="1">IF($O77="","",INDEX(TinhGia!K$10:K$81,$O77))</f>
        <v/>
      </c>
      <c r="K77" s="956" t="str">
        <f ca="1">IF($O77="","",INDEX(TinhGia!L$10:L$81,$O77))</f>
        <v/>
      </c>
      <c r="L77" s="956" t="str">
        <f ca="1">IF($O77="","",INDEX(TinhGia!M$10:M$81,$O77))</f>
        <v/>
      </c>
      <c r="M77" s="956" t="str">
        <f ca="1">IF($O77="","",INDEX(TinhGia!N$10:N$81,$O77))</f>
        <v/>
      </c>
      <c r="N77" s="885" t="str">
        <f ca="1">IF($O77="","",INDEX(TinhGia!BW$10:BW$81,$O77))</f>
        <v/>
      </c>
      <c r="O77" s="882" t="str">
        <f ca="1">IF(TYPE(MATCH($N$4,OFFSET(TinhGia!$BF$10,O76,0):'TinhGia'!$BF$81,0)+O76)=16,"",MATCH($N$4,OFFSET(TinhGia!$BF$10,O76,0):'TinhGia'!$BF$81,0)+O76)</f>
        <v/>
      </c>
    </row>
    <row r="78" spans="1:15" s="42" customFormat="1">
      <c r="A78" s="951" t="str">
        <f ca="1">IF(B78="","",MAX($A$10:A77)+1)</f>
        <v/>
      </c>
      <c r="B78" s="952" t="str">
        <f ca="1">IF($O78="","",INDEX(TinhGia!B$10:B$81,$O78))</f>
        <v/>
      </c>
      <c r="C78" s="952" t="str">
        <f ca="1">IF($O78="","",INDEX(TinhGia!C$10:C$81,$O78))</f>
        <v/>
      </c>
      <c r="D78" s="953" t="str">
        <f ca="1">IF($O78="","",INDEX(TinhGia!D$10:D$81,$O78))</f>
        <v/>
      </c>
      <c r="E78" s="954" t="str">
        <f ca="1">IF($O78="","",INDEX(TinhGia!E$10:E$81,$O78))</f>
        <v/>
      </c>
      <c r="F78" s="954" t="str">
        <f ca="1">IF($O78="","",INDEX(TinhGia!F$10:F$81,$O78))</f>
        <v/>
      </c>
      <c r="G78" s="954" t="str">
        <f ca="1">IF($O78="","",INDEX(TinhGia!G$10:G$81,$O78))</f>
        <v/>
      </c>
      <c r="H78" s="954" t="str">
        <f ca="1">IF($O78="","",INDEX(TinhGia!I$10:I$81,$O78))</f>
        <v/>
      </c>
      <c r="I78" s="954" t="str">
        <f ca="1">IF($O78="","",INDEX(TinhGia!J$10:J$81,$O78))</f>
        <v/>
      </c>
      <c r="J78" s="955" t="str">
        <f ca="1">IF($O78="","",INDEX(TinhGia!K$10:K$81,$O78))</f>
        <v/>
      </c>
      <c r="K78" s="956" t="str">
        <f ca="1">IF($O78="","",INDEX(TinhGia!L$10:L$81,$O78))</f>
        <v/>
      </c>
      <c r="L78" s="956" t="str">
        <f ca="1">IF($O78="","",INDEX(TinhGia!M$10:M$81,$O78))</f>
        <v/>
      </c>
      <c r="M78" s="956" t="str">
        <f ca="1">IF($O78="","",INDEX(TinhGia!N$10:N$81,$O78))</f>
        <v/>
      </c>
      <c r="N78" s="885" t="str">
        <f ca="1">IF($O78="","",INDEX(TinhGia!BW$10:BW$81,$O78))</f>
        <v/>
      </c>
      <c r="O78" s="882" t="str">
        <f ca="1">IF(TYPE(MATCH($N$4,OFFSET(TinhGia!$BF$10,O77,0):'TinhGia'!$BF$81,0)+O77)=16,"",MATCH($N$4,OFFSET(TinhGia!$BF$10,O77,0):'TinhGia'!$BF$81,0)+O77)</f>
        <v/>
      </c>
    </row>
    <row r="79" spans="1:15" s="42" customFormat="1">
      <c r="A79" s="951" t="str">
        <f ca="1">IF(B79="","",MAX($A$10:A78)+1)</f>
        <v/>
      </c>
      <c r="B79" s="952" t="str">
        <f ca="1">IF($O79="","",INDEX(TinhGia!B$10:B$81,$O79))</f>
        <v/>
      </c>
      <c r="C79" s="952" t="str">
        <f ca="1">IF($O79="","",INDEX(TinhGia!C$10:C$81,$O79))</f>
        <v/>
      </c>
      <c r="D79" s="953" t="str">
        <f ca="1">IF($O79="","",INDEX(TinhGia!D$10:D$81,$O79))</f>
        <v/>
      </c>
      <c r="E79" s="954" t="str">
        <f ca="1">IF($O79="","",INDEX(TinhGia!E$10:E$81,$O79))</f>
        <v/>
      </c>
      <c r="F79" s="954" t="str">
        <f ca="1">IF($O79="","",INDEX(TinhGia!F$10:F$81,$O79))</f>
        <v/>
      </c>
      <c r="G79" s="954" t="str">
        <f ca="1">IF($O79="","",INDEX(TinhGia!G$10:G$81,$O79))</f>
        <v/>
      </c>
      <c r="H79" s="954" t="str">
        <f ca="1">IF($O79="","",INDEX(TinhGia!I$10:I$81,$O79))</f>
        <v/>
      </c>
      <c r="I79" s="954" t="str">
        <f ca="1">IF($O79="","",INDEX(TinhGia!J$10:J$81,$O79))</f>
        <v/>
      </c>
      <c r="J79" s="955" t="str">
        <f ca="1">IF($O79="","",INDEX(TinhGia!K$10:K$81,$O79))</f>
        <v/>
      </c>
      <c r="K79" s="956" t="str">
        <f ca="1">IF($O79="","",INDEX(TinhGia!L$10:L$81,$O79))</f>
        <v/>
      </c>
      <c r="L79" s="956" t="str">
        <f ca="1">IF($O79="","",INDEX(TinhGia!M$10:M$81,$O79))</f>
        <v/>
      </c>
      <c r="M79" s="956" t="str">
        <f ca="1">IF($O79="","",INDEX(TinhGia!N$10:N$81,$O79))</f>
        <v/>
      </c>
      <c r="N79" s="885" t="str">
        <f ca="1">IF($O79="","",INDEX(TinhGia!BW$10:BW$81,$O79))</f>
        <v/>
      </c>
      <c r="O79" s="882" t="str">
        <f ca="1">IF(TYPE(MATCH($N$4,OFFSET(TinhGia!$BF$10,O78,0):'TinhGia'!$BF$81,0)+O78)=16,"",MATCH($N$4,OFFSET(TinhGia!$BF$10,O78,0):'TinhGia'!$BF$81,0)+O78)</f>
        <v/>
      </c>
    </row>
    <row r="80" spans="1:15" s="42" customFormat="1">
      <c r="A80" s="951" t="str">
        <f ca="1">IF(B80="","",MAX($A$10:A79)+1)</f>
        <v/>
      </c>
      <c r="B80" s="952" t="str">
        <f ca="1">IF($O80="","",INDEX(TinhGia!B$10:B$81,$O80))</f>
        <v/>
      </c>
      <c r="C80" s="952" t="str">
        <f ca="1">IF($O80="","",INDEX(TinhGia!C$10:C$81,$O80))</f>
        <v/>
      </c>
      <c r="D80" s="953" t="str">
        <f ca="1">IF($O80="","",INDEX(TinhGia!D$10:D$81,$O80))</f>
        <v/>
      </c>
      <c r="E80" s="954" t="str">
        <f ca="1">IF($O80="","",INDEX(TinhGia!E$10:E$81,$O80))</f>
        <v/>
      </c>
      <c r="F80" s="954" t="str">
        <f ca="1">IF($O80="","",INDEX(TinhGia!F$10:F$81,$O80))</f>
        <v/>
      </c>
      <c r="G80" s="954" t="str">
        <f ca="1">IF($O80="","",INDEX(TinhGia!G$10:G$81,$O80))</f>
        <v/>
      </c>
      <c r="H80" s="954" t="str">
        <f ca="1">IF($O80="","",INDEX(TinhGia!I$10:I$81,$O80))</f>
        <v/>
      </c>
      <c r="I80" s="954" t="str">
        <f ca="1">IF($O80="","",INDEX(TinhGia!J$10:J$81,$O80))</f>
        <v/>
      </c>
      <c r="J80" s="955" t="str">
        <f ca="1">IF($O80="","",INDEX(TinhGia!K$10:K$81,$O80))</f>
        <v/>
      </c>
      <c r="K80" s="956" t="str">
        <f ca="1">IF($O80="","",INDEX(TinhGia!L$10:L$81,$O80))</f>
        <v/>
      </c>
      <c r="L80" s="956" t="str">
        <f ca="1">IF($O80="","",INDEX(TinhGia!M$10:M$81,$O80))</f>
        <v/>
      </c>
      <c r="M80" s="956" t="str">
        <f ca="1">IF($O80="","",INDEX(TinhGia!N$10:N$81,$O80))</f>
        <v/>
      </c>
      <c r="N80" s="885" t="str">
        <f ca="1">IF($O80="","",INDEX(TinhGia!BW$10:BW$81,$O80))</f>
        <v/>
      </c>
      <c r="O80" s="882" t="str">
        <f ca="1">IF(TYPE(MATCH($N$4,OFFSET(TinhGia!$BF$10,O79,0):'TinhGia'!$BF$81,0)+O79)=16,"",MATCH($N$4,OFFSET(TinhGia!$BF$10,O79,0):'TinhGia'!$BF$81,0)+O79)</f>
        <v/>
      </c>
    </row>
    <row r="81" spans="1:15">
      <c r="A81" s="1378" t="s">
        <v>130</v>
      </c>
      <c r="B81" s="1378"/>
      <c r="C81" s="1378"/>
      <c r="D81" s="1378"/>
      <c r="E81" s="962"/>
      <c r="F81" s="962"/>
      <c r="G81" s="962"/>
      <c r="H81" s="958">
        <f ca="1">SUM(H11:H80)</f>
        <v>2</v>
      </c>
      <c r="I81" s="959">
        <f ca="1">SUM(I11:I80)</f>
        <v>0</v>
      </c>
      <c r="J81" s="959">
        <f ca="1">SUM(J11:J80)</f>
        <v>7.04</v>
      </c>
      <c r="K81" s="960"/>
      <c r="L81" s="960"/>
      <c r="M81" s="961">
        <f t="shared" ref="M81" ca="1" si="0">SUM(M11:M80)</f>
        <v>16097120</v>
      </c>
      <c r="N81" s="886" t="s">
        <v>106</v>
      </c>
      <c r="O81" s="654" t="s">
        <v>106</v>
      </c>
    </row>
    <row r="82" spans="1:15">
      <c r="A82" s="1392" t="str">
        <f>+TinhGia!A82</f>
        <v>Giảm giá</v>
      </c>
      <c r="B82" s="1393"/>
      <c r="C82" s="1393"/>
      <c r="D82" s="1393"/>
      <c r="E82" s="1206">
        <f>+TinhGia!E82</f>
        <v>0.01</v>
      </c>
      <c r="F82" s="963"/>
      <c r="G82" s="963"/>
      <c r="H82" s="964"/>
      <c r="I82" s="965"/>
      <c r="J82" s="965"/>
      <c r="K82" s="966"/>
      <c r="L82" s="966"/>
      <c r="M82" s="967">
        <f ca="1">+M81*E82</f>
        <v>160971.20000000001</v>
      </c>
      <c r="N82" s="701"/>
      <c r="O82" s="701"/>
    </row>
    <row r="83" spans="1:15">
      <c r="A83" s="1392" t="str">
        <f>+TinhGia!A83</f>
        <v>Thành tiền sau giảm giá</v>
      </c>
      <c r="B83" s="1393"/>
      <c r="C83" s="1393"/>
      <c r="D83" s="1393"/>
      <c r="E83" s="1206">
        <f>+TinhGia!E83</f>
        <v>0</v>
      </c>
      <c r="F83" s="963"/>
      <c r="G83" s="963"/>
      <c r="H83" s="964"/>
      <c r="I83" s="965"/>
      <c r="J83" s="965"/>
      <c r="K83" s="966"/>
      <c r="L83" s="966"/>
      <c r="M83" s="967">
        <f ca="1">+M81-M82</f>
        <v>15936148.800000001</v>
      </c>
      <c r="N83" s="701"/>
      <c r="O83" s="701"/>
    </row>
    <row r="84" spans="1:15">
      <c r="A84" s="1392" t="str">
        <f>+TinhGia!A84</f>
        <v>Phụ thu chi phí vận chuyển</v>
      </c>
      <c r="B84" s="1393"/>
      <c r="C84" s="1393"/>
      <c r="D84" s="1393"/>
      <c r="E84" s="1206">
        <f>+TinhGia!E84</f>
        <v>0</v>
      </c>
      <c r="F84" s="963"/>
      <c r="G84" s="963"/>
      <c r="H84" s="964"/>
      <c r="I84" s="965"/>
      <c r="J84" s="965"/>
      <c r="K84" s="966"/>
      <c r="L84" s="966"/>
      <c r="M84" s="967"/>
      <c r="N84" s="701"/>
      <c r="O84" s="701"/>
    </row>
    <row r="85" spans="1:15">
      <c r="A85" s="1392" t="str">
        <f>+TinhGia!A85</f>
        <v>Phụ thu chi phí lắp đặt</v>
      </c>
      <c r="B85" s="1393"/>
      <c r="C85" s="1393"/>
      <c r="D85" s="1393"/>
      <c r="E85" s="1206">
        <f>+TinhGia!E85</f>
        <v>0</v>
      </c>
      <c r="F85" s="963"/>
      <c r="G85" s="963"/>
      <c r="H85" s="964"/>
      <c r="I85" s="965"/>
      <c r="J85" s="965"/>
      <c r="K85" s="966"/>
      <c r="L85" s="966"/>
      <c r="M85" s="967"/>
      <c r="N85" s="701"/>
      <c r="O85" s="701"/>
    </row>
    <row r="86" spans="1:15">
      <c r="A86" s="1392" t="str">
        <f>+TinhGia!A86</f>
        <v>Phụ thu khác (nếu có)</v>
      </c>
      <c r="B86" s="1393"/>
      <c r="C86" s="1393"/>
      <c r="D86" s="1393"/>
      <c r="E86" s="1206">
        <f>+TinhGia!E86</f>
        <v>0</v>
      </c>
      <c r="F86" s="963"/>
      <c r="G86" s="963"/>
      <c r="H86" s="964"/>
      <c r="I86" s="965"/>
      <c r="J86" s="965"/>
      <c r="K86" s="966"/>
      <c r="L86" s="966"/>
      <c r="M86" s="967"/>
      <c r="N86" s="701"/>
      <c r="O86" s="701"/>
    </row>
    <row r="87" spans="1:15">
      <c r="A87" s="1392" t="str">
        <f>+TinhGia!A87</f>
        <v>Tổng thành tiền</v>
      </c>
      <c r="B87" s="1393"/>
      <c r="C87" s="1393"/>
      <c r="D87" s="1393"/>
      <c r="E87" s="1206">
        <f>+TinhGia!E87</f>
        <v>0</v>
      </c>
      <c r="F87" s="963"/>
      <c r="G87" s="963"/>
      <c r="H87" s="964"/>
      <c r="I87" s="965"/>
      <c r="J87" s="965"/>
      <c r="K87" s="966"/>
      <c r="L87" s="966"/>
      <c r="M87" s="967">
        <f ca="1">SUM(M83:M86)</f>
        <v>15936148.800000001</v>
      </c>
      <c r="N87" s="701"/>
      <c r="O87" s="701"/>
    </row>
    <row r="88" spans="1:15">
      <c r="A88" s="1392" t="str">
        <f>+TinhGia!A88</f>
        <v>Thuế GTGT</v>
      </c>
      <c r="B88" s="1393"/>
      <c r="C88" s="1393"/>
      <c r="D88" s="1393"/>
      <c r="E88" s="1206">
        <f>+TinhGia!E88</f>
        <v>0.1</v>
      </c>
      <c r="F88" s="963"/>
      <c r="G88" s="963"/>
      <c r="H88" s="964"/>
      <c r="I88" s="965"/>
      <c r="J88" s="965"/>
      <c r="K88" s="966"/>
      <c r="L88" s="966"/>
      <c r="M88" s="967">
        <f ca="1">+M87*E88</f>
        <v>1593614.8800000001</v>
      </c>
      <c r="N88" s="701"/>
      <c r="O88" s="701"/>
    </row>
    <row r="89" spans="1:15">
      <c r="A89" s="1392" t="str">
        <f>+TinhGia!A89</f>
        <v>Thành tiền sau thuế</v>
      </c>
      <c r="B89" s="1393"/>
      <c r="C89" s="1393"/>
      <c r="D89" s="1393"/>
      <c r="E89" s="1207">
        <f>+TinhGia!E89</f>
        <v>0</v>
      </c>
      <c r="F89" s="963"/>
      <c r="G89" s="963"/>
      <c r="H89" s="964"/>
      <c r="I89" s="965"/>
      <c r="J89" s="965"/>
      <c r="K89" s="966"/>
      <c r="L89" s="966"/>
      <c r="M89" s="967">
        <f ca="1">SUM(M87:M88)</f>
        <v>17529763.68</v>
      </c>
      <c r="N89" s="701"/>
      <c r="O89" s="701"/>
    </row>
    <row r="90" spans="1:15" s="663" customFormat="1" ht="15.5">
      <c r="A90" s="1371" t="s">
        <v>131</v>
      </c>
      <c r="B90" s="1371"/>
      <c r="C90" s="1203"/>
      <c r="D90" s="1372" t="e">
        <f ca="1">[1]!vndU(M89) &amp; " đồng./."</f>
        <v>#NAME?</v>
      </c>
      <c r="E90" s="1372"/>
      <c r="F90" s="1373"/>
      <c r="G90" s="1373"/>
      <c r="H90" s="1373"/>
      <c r="I90" s="1373"/>
      <c r="J90" s="1373"/>
      <c r="K90" s="1373"/>
      <c r="L90" s="1373"/>
      <c r="M90" s="1373"/>
      <c r="O90" s="664"/>
    </row>
    <row r="91" spans="1:15" s="671" customFormat="1">
      <c r="A91" s="45" t="s">
        <v>132</v>
      </c>
      <c r="B91" s="30"/>
      <c r="C91" s="30"/>
      <c r="D91" s="119"/>
      <c r="E91" s="29"/>
      <c r="F91" s="46"/>
      <c r="G91" s="46"/>
      <c r="H91" s="47"/>
      <c r="I91" s="48"/>
      <c r="J91" s="773"/>
      <c r="K91" s="49"/>
      <c r="L91" s="49"/>
      <c r="M91" s="50"/>
      <c r="O91" s="664"/>
    </row>
    <row r="92" spans="1:15" s="671" customFormat="1" ht="13.5">
      <c r="A92" s="51" t="s">
        <v>2108</v>
      </c>
      <c r="B92" s="52"/>
      <c r="C92" s="52"/>
      <c r="D92" s="120"/>
      <c r="E92" s="46"/>
      <c r="F92" s="46"/>
      <c r="G92" s="46"/>
      <c r="H92" s="47"/>
      <c r="I92" s="48"/>
      <c r="J92" s="48"/>
      <c r="K92" s="49"/>
      <c r="L92" s="49"/>
      <c r="M92" s="50"/>
      <c r="O92" s="664"/>
    </row>
    <row r="93" spans="1:15" s="55" customFormat="1" ht="13.5">
      <c r="A93" s="51" t="s">
        <v>133</v>
      </c>
      <c r="B93" s="52"/>
      <c r="C93" s="52"/>
      <c r="D93" s="120"/>
      <c r="E93" s="46"/>
      <c r="F93" s="46"/>
      <c r="G93" s="46"/>
      <c r="H93" s="47"/>
      <c r="I93" s="48"/>
      <c r="J93" s="48"/>
      <c r="K93" s="49"/>
      <c r="L93" s="49"/>
      <c r="M93" s="50"/>
      <c r="O93" s="655"/>
    </row>
    <row r="94" spans="1:15" s="55" customFormat="1" ht="13.5">
      <c r="A94" s="56" t="str">
        <f ca="1">+TinhGia!A94</f>
        <v xml:space="preserve">  + Thanh nhôm sản xuất cửa được nhập từ chính hãng XINGFA (GUANGDONG) tem đỏ - Bảo hành 5 năm.</v>
      </c>
      <c r="B94" s="57"/>
      <c r="C94" s="57"/>
      <c r="D94" s="121"/>
      <c r="E94" s="56"/>
      <c r="F94" s="56"/>
      <c r="G94" s="56"/>
      <c r="H94" s="58"/>
      <c r="I94" s="59"/>
      <c r="J94" s="60"/>
      <c r="K94" s="49"/>
      <c r="L94" s="49"/>
      <c r="M94" s="50"/>
      <c r="O94" s="655"/>
    </row>
    <row r="95" spans="1:15" s="671" customFormat="1" ht="13.5">
      <c r="A95" s="56" t="str">
        <f ca="1">+TinhGia!A95</f>
        <v xml:space="preserve">  + Phụ kiện kim khí (bản lề, tay nắm, khóa, chốt,…) được nhập ĐỒNG BỘ 3H - Bảo hành 2 năm.</v>
      </c>
      <c r="B95" s="57"/>
      <c r="C95" s="57"/>
      <c r="D95" s="121"/>
      <c r="E95" s="56"/>
      <c r="F95" s="56"/>
      <c r="G95" s="56"/>
      <c r="H95" s="58"/>
      <c r="I95" s="59"/>
      <c r="J95" s="61"/>
      <c r="K95" s="49"/>
      <c r="L95" s="49"/>
      <c r="M95" s="53"/>
      <c r="O95" s="664"/>
    </row>
    <row r="96" spans="1:15" s="663" customFormat="1" ht="13.5">
      <c r="A96" s="51" t="s">
        <v>134</v>
      </c>
      <c r="B96" s="52"/>
      <c r="C96" s="52"/>
      <c r="D96" s="120"/>
      <c r="E96" s="46"/>
      <c r="F96" s="46"/>
      <c r="G96" s="46"/>
      <c r="H96" s="47"/>
      <c r="I96" s="48"/>
      <c r="J96" s="48"/>
      <c r="K96" s="49"/>
      <c r="L96" s="49"/>
      <c r="M96" s="50"/>
      <c r="O96" s="664"/>
    </row>
    <row r="97" spans="1:15">
      <c r="A97" s="1322" t="s">
        <v>2104</v>
      </c>
      <c r="B97" s="1322"/>
      <c r="C97" s="1322"/>
      <c r="D97" s="1322"/>
      <c r="E97" s="1322"/>
      <c r="F97" s="1322"/>
      <c r="G97" s="1322"/>
      <c r="H97" s="1322"/>
      <c r="I97" s="33"/>
      <c r="J97" s="33"/>
      <c r="K97" s="34"/>
      <c r="L97" s="34"/>
      <c r="M97" s="674"/>
    </row>
    <row r="98" spans="1:15" s="676" customFormat="1" ht="18">
      <c r="A98" s="62"/>
      <c r="B98" s="63"/>
      <c r="C98" s="63"/>
      <c r="D98" s="122"/>
      <c r="E98" s="64"/>
      <c r="F98" s="65"/>
      <c r="G98" s="65"/>
      <c r="H98" s="66"/>
      <c r="I98" s="67"/>
      <c r="J98" s="67"/>
      <c r="K98" s="68"/>
      <c r="L98" s="68"/>
      <c r="M98" s="69"/>
      <c r="O98" s="677"/>
    </row>
    <row r="99" spans="1:15" s="681" customFormat="1" ht="16.5">
      <c r="A99" s="678"/>
      <c r="B99" s="679" t="s">
        <v>135</v>
      </c>
      <c r="C99" s="679"/>
      <c r="D99" s="680"/>
      <c r="F99" s="682" t="s">
        <v>136</v>
      </c>
      <c r="H99" s="683"/>
      <c r="J99" s="684"/>
      <c r="K99" s="652"/>
      <c r="L99" s="652"/>
      <c r="M99" s="685" t="str">
        <f>UPPER(ThongTinChung!A1)</f>
        <v>CÔNG TY TNHH VẬT LIỆU MỚI GIA NGUYỄN</v>
      </c>
      <c r="O99" s="687"/>
    </row>
    <row r="100" spans="1:15" ht="18">
      <c r="A100" s="688"/>
      <c r="B100" s="192"/>
      <c r="C100" s="192"/>
      <c r="D100" s="689"/>
      <c r="E100" s="676"/>
      <c r="F100" s="676"/>
      <c r="G100" s="676"/>
      <c r="H100" s="690"/>
      <c r="I100" s="691"/>
      <c r="J100" s="691"/>
      <c r="K100" s="651"/>
      <c r="L100" s="651"/>
      <c r="M100" s="692"/>
    </row>
    <row r="101" spans="1:15" ht="18">
      <c r="A101" s="688"/>
      <c r="B101" s="192"/>
      <c r="C101" s="192"/>
      <c r="D101" s="689"/>
      <c r="E101" s="676"/>
      <c r="F101" s="676"/>
      <c r="G101" s="676"/>
      <c r="H101" s="690"/>
      <c r="I101" s="691"/>
      <c r="J101" s="691"/>
      <c r="K101" s="651"/>
      <c r="L101" s="651"/>
      <c r="M101" s="692"/>
    </row>
  </sheetData>
  <autoFilter ref="A9:M97" xr:uid="{09B52931-7681-4D5A-9E73-1BDBC197DE21}"/>
  <mergeCells count="33">
    <mergeCell ref="A86:D86"/>
    <mergeCell ref="A87:D87"/>
    <mergeCell ref="A88:D88"/>
    <mergeCell ref="A89:D89"/>
    <mergeCell ref="A81:D81"/>
    <mergeCell ref="A82:D82"/>
    <mergeCell ref="A83:D83"/>
    <mergeCell ref="A84:D84"/>
    <mergeCell ref="A85:D85"/>
    <mergeCell ref="A90:B90"/>
    <mergeCell ref="D90:M90"/>
    <mergeCell ref="A97:H97"/>
    <mergeCell ref="O9:O10"/>
    <mergeCell ref="N9:N10"/>
    <mergeCell ref="A10:M10"/>
    <mergeCell ref="L8:L9"/>
    <mergeCell ref="M8:M9"/>
    <mergeCell ref="A8:A9"/>
    <mergeCell ref="B8:B9"/>
    <mergeCell ref="D8:D9"/>
    <mergeCell ref="E8:E9"/>
    <mergeCell ref="F8:G8"/>
    <mergeCell ref="H8:H9"/>
    <mergeCell ref="I8:I9"/>
    <mergeCell ref="J8:J9"/>
    <mergeCell ref="K8:K9"/>
    <mergeCell ref="D1:M2"/>
    <mergeCell ref="A3:M3"/>
    <mergeCell ref="K4:M4"/>
    <mergeCell ref="K5:M5"/>
    <mergeCell ref="A6:M6"/>
    <mergeCell ref="A7:M7"/>
    <mergeCell ref="C8:C9"/>
  </mergeCells>
  <conditionalFormatting sqref="B11:C80">
    <cfRule type="expression" dxfId="39" priority="1">
      <formula>$N11&lt;&gt;0</formula>
    </cfRule>
  </conditionalFormatting>
  <pageMargins left="0.49" right="0.17" top="0.39" bottom="0.31" header="0.3" footer="0.22"/>
  <pageSetup paperSize="9" scale="57" orientation="portrait" r:id="rId1"/>
  <headerFooter>
    <oddHeader>&amp;C&amp;G</oddHeader>
  </headerFooter>
  <drawing r:id="rId2"/>
  <legacy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1">
    <tabColor rgb="FFFFFF00"/>
    <pageSetUpPr fitToPage="1"/>
  </sheetPr>
  <dimension ref="A1:Y351"/>
  <sheetViews>
    <sheetView showZeros="0" zoomScaleNormal="100" zoomScaleSheetLayoutView="100" workbookViewId="0">
      <pane ySplit="2" topLeftCell="A3" activePane="bottomLeft" state="frozen"/>
      <selection activeCell="H5" sqref="H5"/>
      <selection pane="bottomLeft" activeCell="B2" sqref="B1:C1048576"/>
    </sheetView>
  </sheetViews>
  <sheetFormatPr defaultColWidth="9.1796875" defaultRowHeight="12.5"/>
  <cols>
    <col min="1" max="1" width="4.26953125" style="20" customWidth="1"/>
    <col min="2" max="3" width="10.453125" style="1162" customWidth="1"/>
    <col min="4" max="4" width="12.26953125" style="18" customWidth="1"/>
    <col min="5" max="5" width="19.54296875" style="18" customWidth="1"/>
    <col min="6" max="6" width="9" style="26" customWidth="1"/>
    <col min="7" max="7" width="9.453125" style="26" customWidth="1"/>
    <col min="8" max="8" width="11.26953125" style="18" customWidth="1"/>
    <col min="9" max="10" width="11.453125" style="18" customWidth="1"/>
    <col min="11" max="11" width="13" style="18" customWidth="1"/>
    <col min="12" max="12" width="11.1796875" style="18" customWidth="1"/>
    <col min="13" max="13" width="10.54296875" style="18" customWidth="1"/>
    <col min="14" max="14" width="12" style="18" customWidth="1"/>
    <col min="15" max="15" width="12.26953125" style="18" customWidth="1"/>
    <col min="16" max="16" width="11.453125" style="102" customWidth="1"/>
    <col min="17" max="17" width="5.7265625" style="22" hidden="1" customWidth="1"/>
    <col min="18" max="18" width="6" style="22" hidden="1" customWidth="1"/>
    <col min="19" max="19" width="5" style="20" hidden="1" customWidth="1"/>
    <col min="20" max="20" width="2.1796875" style="78" hidden="1" customWidth="1"/>
    <col min="21" max="24" width="11" style="18" hidden="1" customWidth="1"/>
    <col min="25" max="25" width="6" style="22" hidden="1" customWidth="1"/>
    <col min="26" max="16384" width="9.1796875" style="18"/>
  </cols>
  <sheetData>
    <row r="1" spans="1:25" s="77" customFormat="1" ht="20">
      <c r="A1" s="1397" t="str">
        <f>"ĐƠN ĐẶT HÀNG (PO) - " &amp; ThongTinChung!$C$5 &amp; " - " &amp; ThongTinChung!$C$6 &amp; " - " &amp; ThongTinChung!$E$6</f>
        <v>ĐƠN ĐẶT HÀNG (PO) - 231222/L1 - BOM - Hóc Môn</v>
      </c>
      <c r="B1" s="1397"/>
      <c r="C1" s="1397"/>
      <c r="D1" s="1397"/>
      <c r="E1" s="1397"/>
      <c r="F1" s="1397"/>
      <c r="G1" s="1397"/>
      <c r="H1" s="1397"/>
      <c r="I1" s="1158"/>
      <c r="J1" s="1158"/>
      <c r="K1" s="1159"/>
      <c r="L1" s="1159"/>
      <c r="P1" s="1160"/>
      <c r="Q1" s="73"/>
      <c r="R1" s="73"/>
      <c r="S1" s="175" t="s">
        <v>370</v>
      </c>
      <c r="T1" s="176">
        <f ca="1">COUNTIF(TongVTSX!$T$3:$T$1500,$S1)</f>
        <v>0</v>
      </c>
      <c r="U1" s="1394" t="s">
        <v>553</v>
      </c>
      <c r="V1" s="1394" t="s">
        <v>549</v>
      </c>
      <c r="W1" s="1394" t="s">
        <v>2275</v>
      </c>
      <c r="X1" s="1394" t="s">
        <v>2276</v>
      </c>
      <c r="Y1" s="73"/>
    </row>
    <row r="2" spans="1:25" s="1140" customFormat="1" ht="39">
      <c r="A2" s="112" t="s">
        <v>9</v>
      </c>
      <c r="B2" s="1141" t="s">
        <v>3378</v>
      </c>
      <c r="C2" s="1141" t="s">
        <v>3382</v>
      </c>
      <c r="D2" s="113" t="s">
        <v>146</v>
      </c>
      <c r="E2" s="113" t="s">
        <v>147</v>
      </c>
      <c r="F2" s="113" t="s">
        <v>115</v>
      </c>
      <c r="G2" s="113" t="s">
        <v>56</v>
      </c>
      <c r="H2" s="113" t="s">
        <v>141</v>
      </c>
      <c r="I2" s="113" t="s">
        <v>2676</v>
      </c>
      <c r="J2" s="113" t="s">
        <v>2677</v>
      </c>
      <c r="K2" s="113" t="s">
        <v>128</v>
      </c>
      <c r="L2" s="113" t="s">
        <v>129</v>
      </c>
      <c r="M2" s="113" t="s">
        <v>2748</v>
      </c>
      <c r="N2" s="113" t="s">
        <v>2749</v>
      </c>
      <c r="O2" s="113" t="s">
        <v>2750</v>
      </c>
      <c r="P2" s="113" t="s">
        <v>3385</v>
      </c>
      <c r="Q2" s="741" t="s">
        <v>14</v>
      </c>
      <c r="R2" s="177" t="s">
        <v>112</v>
      </c>
      <c r="S2" s="178" t="s">
        <v>150</v>
      </c>
      <c r="T2" s="175">
        <f ca="1">COUNTIF(TongVTSX!$T$3:$T$1500,$S2)</f>
        <v>5</v>
      </c>
      <c r="U2" s="1395"/>
      <c r="V2" s="1395"/>
      <c r="W2" s="1395"/>
      <c r="X2" s="1395"/>
      <c r="Y2" s="981" t="s">
        <v>2445</v>
      </c>
    </row>
    <row r="3" spans="1:25" ht="13">
      <c r="A3" s="19">
        <f ca="1">IF($Q3="","",MAX($A$2:A2)+1)</f>
        <v>1</v>
      </c>
      <c r="B3" s="1146" t="str">
        <f ca="1">IFERROR(INDEX(NVLSX!$Y$2:$Y$6756,MATCH($D3,NVLSX!$E$2:$E$6756,0)),"")</f>
        <v>GHI TÊN NCC BÊN NVLSX CỘT Y</v>
      </c>
      <c r="C3" s="1146" t="str">
        <f ca="1">IFERROR(INDEX(NVLSX!$Z$2:$Z$6756,MATCH($D3,NVLSX!$E$2:$E$6756,0)),"")</f>
        <v>GHI TÊN HÃNG BÊN NVLSX CỘT Z</v>
      </c>
      <c r="D3" s="23" t="str">
        <f ca="1">IF($Q3="","",INDEX(TongVTSX!C$3:C$1500,$Q3))</f>
        <v>C3328</v>
      </c>
      <c r="E3" s="729" t="str">
        <f ca="1">IF($Q3="","",INDEX(TongVTSX!D$3:D$1500,$Q3) &amp; IF(OR($R3=$S$1,$R3=$S$7)," (" &amp; INDEX(TongVTSX!A$3:A$1500,$Q3) &amp; ")",""))</f>
        <v>Khung bao cửa đi quay 55</v>
      </c>
      <c r="F3" s="745" t="str">
        <f ca="1">IF($Q3="","",IF($R3=$S$7,INDEX(TongVTSX!$G$3:$G$1500,$Q3),INDEX(TongVTSX!$E$3:$E$1500,$Q3)))</f>
        <v>Xám ghi</v>
      </c>
      <c r="G3" s="24" t="str">
        <f ca="1">IF($Q3="","",IF($R3=$S$1,"mm",IF($R3=$S$2,"Thanh",INDEX(TongVTSX!F$3:F$1500,$Q3))))</f>
        <v>Thanh</v>
      </c>
      <c r="H3" s="114">
        <f ca="1">IF($R3=$S$1,INDEX(TongVTSX!$K$3:$K$1500,$Q3),IF($R3=$S$7,INDEX(TongVTSX!$H$3:$H$1500,$Q3),IF($R3=$S$2,ROUNDUP(SUMPRODUCT((TongVTSX!$C$3:$C$1500=$D3)*(TongVTSX!$E$3:$E$1500=$F3)*(TongVTSX!$K$3:$K$1500))/$U3,0),SUMPRODUCT((TongVTSX!$C$3:$C$1500=$D3)*(TongVTSX!$E$3:$E$1500=$F3)*(TongVTSX!$K$3:$K$1500)))))</f>
        <v>3</v>
      </c>
      <c r="I3" s="114"/>
      <c r="J3" s="114"/>
      <c r="K3" s="114">
        <f ca="1">IF($Q3="","",IF($R3=$S$2,INDEX(TongVTSX!M$3:M$1500,$Q3)*$U3,   INDEX(TongVTSX!M$3:M$1500,$Q3)))</f>
        <v>765510.00000000012</v>
      </c>
      <c r="L3" s="92">
        <f ca="1">IF($Q3="",0, IF($R3=$S$7,$F3*$H3*$K3,IF($R3=$S$2,$H3*$K3,    IF($H3*$K3 - SUMPRODUCT((TongVTSX!$C$3:$C$1500=$D3)*(TongVTSX!$E$3:$E$1500=$F3)*(TongVTSX!$O$3:$O$1500)) &lt;=10,$H3*$K3,"PO &lt;&gt; TongVTSX"))))</f>
        <v>2296530.0000000005</v>
      </c>
      <c r="M3" s="114">
        <f ca="1">IF($R3=$S$1,INDEX(TongVTSX!$K$3:$K$1500,$Q3),IF($R3=$S$7,INDEX(TongVTSX!$H$3:$H$1500,$Q3),IF($R3=$S$2,SUMPRODUCT((TongVTSX!$C$3:$C$1500=$D3)*(TongVTSX!$E$3:$E$1500=$F3)*(TongVTSX!$K$3:$K$1500))/$U3,SUMPRODUCT((TongVTSX!$C$3:$C$1500=$D3)*(TongVTSX!$E$3:$E$1500=$F3)*(TongVTSX!$K$3:$K$1500)))))</f>
        <v>2.1052631578947367</v>
      </c>
      <c r="N3" s="92">
        <f ca="1">IF($Q3="",0, IF($R3=$S$7,$F3*$M3*$K3,IF($R3=$S$2,$M3*$K3,    IF($M3*$K3 - SUMPRODUCT((TongVTSX!$C$3:$C$1500=$D3)*(TongVTSX!$E$3:$E$1500=$F3)*(TongVTSX!$O$3:$O$1500)) &lt;=10,$M3*$K3,"PO &lt;&gt; TongVTSX"))))</f>
        <v>1611600.0000000002</v>
      </c>
      <c r="O3" s="92">
        <f t="shared" ref="O3:O34" ca="1" si="0">+L3-N3</f>
        <v>684930.00000000023</v>
      </c>
      <c r="P3" s="1146" t="str">
        <f ca="1">IFERROR(INDEX(NVLSX!$AA$2:$AA$6756,MATCH($D3,NVLSX!$E$2:$E$6756,0)),"")</f>
        <v>GHI NƠI CẤP BÊN NVLSX CỘT AA</v>
      </c>
      <c r="Q3" s="742">
        <f ca="1">IF($R3="","",IF(TYPE(MATCH($R3,TongVTSX!$T$3:$T$1500,0))=16,"",MATCH($R3,TongVTSX!$T$3:$T$1500,0)))</f>
        <v>1</v>
      </c>
      <c r="R3" s="179" t="str">
        <f ca="1">IF($T$1&lt;&gt;0,$S$1,$S$2)</f>
        <v>PR</v>
      </c>
      <c r="S3" s="180" t="s">
        <v>153</v>
      </c>
      <c r="T3" s="176">
        <f ca="1">COUNTIF(TongVTSX!$T$3:$T$1500,$S3)</f>
        <v>8</v>
      </c>
      <c r="U3" s="184">
        <f ca="1">IF($R3="PR",INDEX(NVLSX!$U$2:$U$6941,MATCH($D3,NVLSX!$E$2:$E$6941,0)),"")</f>
        <v>5700</v>
      </c>
      <c r="V3" s="184">
        <f ca="1">IF($R3="PR",INDEX(NVLSX!$S$2:$S$6941,MATCH($D3,NVLSX!$E$2:$E$6941,0))*1000,"")</f>
        <v>5800</v>
      </c>
      <c r="W3" s="776">
        <f ca="1">IF($R3="PR",INDEX(NVLSX!$S$2:$S$6941,MATCH($D3,NVLSX!$E$2:$E$6941,0))*INDEX(NVLSX!$T$2:$T$6941,MATCH($D3,NVLSX!$E$2:$E$6941,0)),"")</f>
        <v>7.2905999999999995</v>
      </c>
      <c r="X3" s="776">
        <f ca="1">IF($R3="PR",W3*H3,0)</f>
        <v>21.8718</v>
      </c>
      <c r="Y3" s="982" t="str">
        <f ca="1">IFERROR(INDEX(NVLSX!$X$2:$X$4655,MATCH($D3,NVLSX!$E$2:$E$4655,0)),"")</f>
        <v>XF</v>
      </c>
    </row>
    <row r="4" spans="1:25" ht="13">
      <c r="A4" s="19">
        <f ca="1">IF($Q4="","",MAX($A$2:A3)+1)</f>
        <v>2</v>
      </c>
      <c r="B4" s="1146" t="str">
        <f ca="1">IFERROR(INDEX(NVLSX!$Y$2:$Y$6756,MATCH($D4,NVLSX!$E$2:$E$6756,0)),"")</f>
        <v>GHI TÊN NCC BÊN NVLSX CỘT Y</v>
      </c>
      <c r="C4" s="1146" t="str">
        <f ca="1">IFERROR(INDEX(NVLSX!$Z$2:$Z$6756,MATCH($D4,NVLSX!$E$2:$E$6756,0)),"")</f>
        <v>GHI TÊN HÃNG BÊN NVLSX CỘT Z</v>
      </c>
      <c r="D4" s="23" t="str">
        <f ca="1">IF($Q4="","",INDEX(TongVTSX!C$3:C$1500,$Q4))</f>
        <v>C3303</v>
      </c>
      <c r="E4" s="729" t="str">
        <f ca="1">IF($Q4="","",INDEX(TongVTSX!D$3:D$1500,$Q4) &amp; IF(OR($R4=$S$1,$R4=$S$7)," (" &amp; INDEX(TongVTSX!A$3:A$1500,$Q4) &amp; ")",""))</f>
        <v>Cánh cửa đi mở quay NGOÀI</v>
      </c>
      <c r="F4" s="745" t="str">
        <f ca="1">IF($Q4="","",IF($R4=$S$7,INDEX(TongVTSX!$G$3:$G$1500,$Q4),INDEX(TongVTSX!$E$3:$E$1500,$Q4)))</f>
        <v>Xám ghi</v>
      </c>
      <c r="G4" s="24" t="str">
        <f ca="1">IF($Q4="","",IF($R4=$S$1,"mm",IF($R4=$S$2,"Thanh",INDEX(TongVTSX!F$3:F$1500,$Q4))))</f>
        <v>Thanh</v>
      </c>
      <c r="H4" s="114">
        <f ca="1">IF($R4=$S$1,INDEX(TongVTSX!$K$3:$K$1500,$Q4),IF($R4=$S$7,INDEX(TongVTSX!$H$3:$H$1500,$Q4),IF($R4=$S$2,ROUNDUP(SUMPRODUCT((TongVTSX!$C$3:$C$1500=$D4)*(TongVTSX!$E$3:$E$1500=$F4)*(TongVTSX!$K$3:$K$1500))/$U4,0),SUMPRODUCT((TongVTSX!$C$3:$C$1500=$D4)*(TongVTSX!$E$3:$E$1500=$F4)*(TongVTSX!$K$3:$K$1500)))))</f>
        <v>3</v>
      </c>
      <c r="I4" s="114"/>
      <c r="J4" s="114"/>
      <c r="K4" s="114">
        <f ca="1">IF($Q4="","",IF($R4=$S$2,INDEX(TongVTSX!M$3:M$1500,$Q4)*$U4,   INDEX(TongVTSX!M$3:M$1500,$Q4)))</f>
        <v>877572</v>
      </c>
      <c r="L4" s="92">
        <f ca="1">IF($Q4="",0, IF($R4=$S$7,$F4*$H4*$K4,IF($R4=$S$2,$H4*$K4,    IF($H4*$K4 - SUMPRODUCT((TongVTSX!$C$3:$C$1500=$D4)*(TongVTSX!$E$3:$E$1500=$F4)*(TongVTSX!$O$3:$O$1500)) &lt;=10,$H4*$K4,"PO &lt;&gt; TongVTSX"))))</f>
        <v>2632716</v>
      </c>
      <c r="M4" s="114">
        <f ca="1">IF($R4=$S$1,INDEX(TongVTSX!$K$3:$K$1500,$Q4),IF($R4=$S$7,INDEX(TongVTSX!$H$3:$H$1500,$Q4),IF($R4=$S$2,SUMPRODUCT((TongVTSX!$C$3:$C$1500=$D4)*(TongVTSX!$E$3:$E$1500=$F4)*(TongVTSX!$K$3:$K$1500))/$U4,SUMPRODUCT((TongVTSX!$C$3:$C$1500=$D4)*(TongVTSX!$E$3:$E$1500=$F4)*(TongVTSX!$K$3:$K$1500)))))</f>
        <v>2.5887719298245613</v>
      </c>
      <c r="N4" s="92">
        <f ca="1">IF($Q4="",0, IF($R4=$S$7,$F4*$M4*$K4,IF($R4=$S$2,$M4*$K4,    IF($M4*$K4 - SUMPRODUCT((TongVTSX!$C$3:$C$1500=$D4)*(TongVTSX!$E$3:$E$1500=$F4)*(TongVTSX!$O$3:$O$1500)) &lt;=10,$M4*$K4,"PO &lt;&gt; TongVTSX"))))</f>
        <v>2271833.7599999998</v>
      </c>
      <c r="O4" s="92">
        <f t="shared" ca="1" si="0"/>
        <v>360882.24000000022</v>
      </c>
      <c r="P4" s="1146" t="str">
        <f ca="1">IFERROR(INDEX(NVLSX!$AA$2:$AA$6756,MATCH($D4,NVLSX!$E$2:$E$6756,0)),"")</f>
        <v>GHI NƠI CẤP BÊN NVLSX CỘT AA</v>
      </c>
      <c r="Q4" s="742">
        <f ca="1">IF($R4="","",IF($R4&lt;&gt;$R3,IF(TYPE(MATCH($R4,TongVTSX!$T$3:$T$1500,0))=16,"",MATCH($R4,TongVTSX!$T$3:$T$1500,0)),IF(TYPE(MATCH($R4,OFFSET(TongVTSX!$T$3,$Q3,0):'TongVTSX'!$T$1500,0)+$Q3)=16,"",MATCH($R4,OFFSET(TongVTSX!$T$3,$Q3,0):'TongVTSX'!$T$1500,0)+$Q3)))</f>
        <v>3</v>
      </c>
      <c r="R4" s="179" t="str">
        <f ca="1">IFERROR(IF(COUNTIF($R$3:R3,R3)&lt; INDEX($T$1:$T$7,MATCH($R3,$S$1:$S$7,0)),$R3,INDEX($S$1:$S$7,MATCH($R3,$S$1:$S$7,0)+1)),"")</f>
        <v>PR</v>
      </c>
      <c r="S4" s="178" t="s">
        <v>151</v>
      </c>
      <c r="T4" s="176">
        <f ca="1">COUNTIF(TongVTSX!$T$3:$T$1500,$S4)</f>
        <v>3</v>
      </c>
      <c r="U4" s="184">
        <f ca="1">IF($R4="PR",INDEX(NVLSX!$U$2:$U$6941,MATCH($D4,NVLSX!$E$2:$E$6941,0)),"")</f>
        <v>5700</v>
      </c>
      <c r="V4" s="184">
        <f ca="1">IF($R4="PR",INDEX(NVLSX!$S$2:$S$6941,MATCH($D4,NVLSX!$E$2:$E$6941,0))*1000,"")</f>
        <v>5800</v>
      </c>
      <c r="W4" s="776">
        <f ca="1">IF($R4="PR",INDEX(NVLSX!$S$2:$S$6941,MATCH($D4,NVLSX!$E$2:$E$6941,0))*INDEX(NVLSX!$T$2:$T$6941,MATCH($D4,NVLSX!$E$2:$E$6941,0)),"")</f>
        <v>8.3577999999999992</v>
      </c>
      <c r="X4" s="776">
        <f t="shared" ref="X4:X67" ca="1" si="1">IF($R4="PR",W4*H4,0)</f>
        <v>25.073399999999999</v>
      </c>
      <c r="Y4" s="982" t="str">
        <f ca="1">IFERROR(INDEX(NVLSX!$X$2:$X$4655,MATCH($D4,NVLSX!$E$2:$E$4655,0)),"")</f>
        <v>XF</v>
      </c>
    </row>
    <row r="5" spans="1:25" ht="13">
      <c r="A5" s="19">
        <f ca="1">IF($Q5="","",MAX($A$2:A4)+1)</f>
        <v>3</v>
      </c>
      <c r="B5" s="1146" t="str">
        <f ca="1">IFERROR(INDEX(NVLSX!$Y$2:$Y$6756,MATCH($D5,NVLSX!$E$2:$E$6756,0)),"")</f>
        <v>GHI TÊN NCC BÊN NVLSX CỘT Y</v>
      </c>
      <c r="C5" s="1146" t="str">
        <f ca="1">IFERROR(INDEX(NVLSX!$Z$2:$Z$6756,MATCH($D5,NVLSX!$E$2:$E$6756,0)),"")</f>
        <v>GHI TÊN HÃNG BÊN NVLSX CỘT Z</v>
      </c>
      <c r="D5" s="23" t="str">
        <f ca="1">IF($Q5="","",INDEX(TongVTSX!C$3:C$1500,$Q5))</f>
        <v>C22900</v>
      </c>
      <c r="E5" s="729" t="str">
        <f ca="1">IF($Q5="","",INDEX(TongVTSX!D$3:D$1500,$Q5) &amp; IF(OR($R5=$S$1,$R5=$S$7)," (" &amp; INDEX(TongVTSX!A$3:A$1500,$Q5) &amp; ")",""))</f>
        <v>Nẹp gioăng lọc bui cho cửa đi
 ngang dưới hệ 55 có gờ</v>
      </c>
      <c r="F5" s="745" t="str">
        <f ca="1">IF($Q5="","",IF($R5=$S$7,INDEX(TongVTSX!$G$3:$G$1500,$Q5),INDEX(TongVTSX!$E$3:$E$1500,$Q5)))</f>
        <v>Xám ghi</v>
      </c>
      <c r="G5" s="24" t="str">
        <f ca="1">IF($Q5="","",IF($R5=$S$1,"mm",IF($R5=$S$2,"Thanh",INDEX(TongVTSX!F$3:F$1500,$Q5))))</f>
        <v>Thanh</v>
      </c>
      <c r="H5" s="114">
        <f ca="1">IF($R5=$S$1,INDEX(TongVTSX!$K$3:$K$1500,$Q5),IF($R5=$S$7,INDEX(TongVTSX!$H$3:$H$1500,$Q5),IF($R5=$S$2,ROUNDUP(SUMPRODUCT((TongVTSX!$C$3:$C$1500=$D5)*(TongVTSX!$E$3:$E$1500=$F5)*(TongVTSX!$K$3:$K$1500))/$U5,0),SUMPRODUCT((TongVTSX!$C$3:$C$1500=$D5)*(TongVTSX!$E$3:$E$1500=$F5)*(TongVTSX!$K$3:$K$1500)))))</f>
        <v>1</v>
      </c>
      <c r="I5" s="114"/>
      <c r="J5" s="114"/>
      <c r="K5" s="114">
        <f ca="1">IF($Q5="","",IF($R5=$S$2,INDEX(TongVTSX!M$3:M$1500,$Q5)*$U5,   INDEX(TongVTSX!M$3:M$1500,$Q5)))</f>
        <v>289902</v>
      </c>
      <c r="L5" s="92">
        <f ca="1">IF($Q5="",0, IF($R5=$S$7,$F5*$H5*$K5,IF($R5=$S$2,$H5*$K5,    IF($H5*$K5 - SUMPRODUCT((TongVTSX!$C$3:$C$1500=$D5)*(TongVTSX!$E$3:$E$1500=$F5)*(TongVTSX!$O$3:$O$1500)) &lt;=10,$H5*$K5,"PO &lt;&gt; TongVTSX"))))</f>
        <v>289902</v>
      </c>
      <c r="M5" s="114">
        <f ca="1">IF($R5=$S$1,INDEX(TongVTSX!$K$3:$K$1500,$Q5),IF($R5=$S$7,INDEX(TongVTSX!$H$3:$H$1500,$Q5),IF($R5=$S$2,SUMPRODUCT((TongVTSX!$C$3:$C$1500=$D5)*(TongVTSX!$E$3:$E$1500=$F5)*(TongVTSX!$K$3:$K$1500))/$U5,SUMPRODUCT((TongVTSX!$C$3:$C$1500=$D5)*(TongVTSX!$E$3:$E$1500=$F5)*(TongVTSX!$K$3:$K$1500)))))</f>
        <v>0.51754385964912286</v>
      </c>
      <c r="N5" s="92">
        <f ca="1">IF($Q5="",0, IF($R5=$S$7,$F5*$M5*$K5,IF($R5=$S$2,$M5*$K5,    IF($M5*$K5 - SUMPRODUCT((TongVTSX!$C$3:$C$1500=$D5)*(TongVTSX!$E$3:$E$1500=$F5)*(TongVTSX!$O$3:$O$1500)) &lt;=10,$M5*$K5,"PO &lt;&gt; TongVTSX"))))</f>
        <v>150037.00000000003</v>
      </c>
      <c r="O5" s="92">
        <f t="shared" ca="1" si="0"/>
        <v>139864.99999999997</v>
      </c>
      <c r="P5" s="1146" t="str">
        <f ca="1">IFERROR(INDEX(NVLSX!$AA$2:$AA$6756,MATCH($D5,NVLSX!$E$2:$E$6756,0)),"")</f>
        <v>GHI NƠI CẤP BÊN NVLSX CỘT AA</v>
      </c>
      <c r="Q5" s="742">
        <f ca="1">IF($R5="","",IF($R5&lt;&gt;$R4,IF(TYPE(MATCH($R5,TongVTSX!$T$3:$T$1500,0))=16,"",MATCH($R5,TongVTSX!$T$3:$T$1500,0)),IF(TYPE(MATCH($R5,OFFSET(TongVTSX!$T$3,$Q4,0):'TongVTSX'!$T$1500,0)+$Q4)=16,"",MATCH($R5,OFFSET(TongVTSX!$T$3,$Q4,0):'TongVTSX'!$T$1500,0)+$Q4)))</f>
        <v>5</v>
      </c>
      <c r="R5" s="179" t="str">
        <f ca="1">IFERROR(IF(COUNTIF($R$3:R4,R4)&lt; INDEX($T$1:$T$7,MATCH($R4,$S$1:$S$7,0)),$R4,INDEX($S$1:$S$7,MATCH($R4,$S$1:$S$7,0)+1)),"")</f>
        <v>PR</v>
      </c>
      <c r="S5" s="178" t="s">
        <v>2408</v>
      </c>
      <c r="T5" s="176">
        <f ca="1">COUNTIF(TongVTSX!$T$3:$T$1500,$S5)</f>
        <v>6</v>
      </c>
      <c r="U5" s="184">
        <f ca="1">IF($R5="PR",INDEX(NVLSX!$U$2:$U$6941,MATCH($D5,NVLSX!$E$2:$E$6941,0)),"")</f>
        <v>5700</v>
      </c>
      <c r="V5" s="184">
        <f ca="1">IF($R5="PR",INDEX(NVLSX!$S$2:$S$6941,MATCH($D5,NVLSX!$E$2:$E$6941,0))*1000,"")</f>
        <v>5800</v>
      </c>
      <c r="W5" s="776">
        <f ca="1">IF($R5="PR",INDEX(NVLSX!$S$2:$S$6941,MATCH($D5,NVLSX!$E$2:$E$6941,0))*INDEX(NVLSX!$T$2:$T$6941,MATCH($D5,NVLSX!$E$2:$E$6941,0)),"")</f>
        <v>2.7607999999999997</v>
      </c>
      <c r="X5" s="776">
        <f t="shared" ca="1" si="1"/>
        <v>2.7607999999999997</v>
      </c>
      <c r="Y5" s="982" t="str">
        <f ca="1">IFERROR(INDEX(NVLSX!$X$2:$X$4655,MATCH($D5,NVLSX!$E$2:$E$4655,0)),"")</f>
        <v>XF</v>
      </c>
    </row>
    <row r="6" spans="1:25" ht="13">
      <c r="A6" s="19">
        <f ca="1">IF($Q6="","",MAX($A$2:A5)+1)</f>
        <v>4</v>
      </c>
      <c r="B6" s="1146" t="str">
        <f ca="1">IFERROR(INDEX(NVLSX!$Y$2:$Y$6756,MATCH($D6,NVLSX!$E$2:$E$6756,0)),"")</f>
        <v>GHI TÊN NCC BÊN NVLSX CỘT Y</v>
      </c>
      <c r="C6" s="1146" t="str">
        <f ca="1">IFERROR(INDEX(NVLSX!$Z$2:$Z$6756,MATCH($D6,NVLSX!$E$2:$E$6756,0)),"")</f>
        <v>GHI TÊN HÃNG BÊN NVLSX CỘT Z</v>
      </c>
      <c r="D6" s="23" t="str">
        <f ca="1">IF($Q6="","",INDEX(TongVTSX!C$3:C$1500,$Q6))</f>
        <v>C3295</v>
      </c>
      <c r="E6" s="729" t="str">
        <f ca="1">IF($Q6="","",INDEX(TongVTSX!D$3:D$1500,$Q6) &amp; IF(OR($R6=$S$1,$R6=$S$7)," (" &amp; INDEX(TongVTSX!A$3:A$1500,$Q6) &amp; ")",""))</f>
        <v>Nẹp kính vuông cho kính 5-10mm hệ 55</v>
      </c>
      <c r="F6" s="745" t="str">
        <f ca="1">IF($Q6="","",IF($R6=$S$7,INDEX(TongVTSX!$G$3:$G$1500,$Q6),INDEX(TongVTSX!$E$3:$E$1500,$Q6)))</f>
        <v>Xám ghi</v>
      </c>
      <c r="G6" s="24" t="str">
        <f ca="1">IF($Q6="","",IF($R6=$S$1,"mm",IF($R6=$S$2,"Thanh",INDEX(TongVTSX!F$3:F$1500,$Q6))))</f>
        <v>Thanh</v>
      </c>
      <c r="H6" s="114">
        <f ca="1">IF($R6=$S$1,INDEX(TongVTSX!$K$3:$K$1500,$Q6),IF($R6=$S$7,INDEX(TongVTSX!$H$3:$H$1500,$Q6),IF($R6=$S$2,ROUNDUP(SUMPRODUCT((TongVTSX!$C$3:$C$1500=$D6)*(TongVTSX!$E$3:$E$1500=$F6)*(TongVTSX!$K$3:$K$1500))/$U6,0),SUMPRODUCT((TongVTSX!$C$3:$C$1500=$D6)*(TongVTSX!$E$3:$E$1500=$F6)*(TongVTSX!$K$3:$K$1500)))))</f>
        <v>3</v>
      </c>
      <c r="I6" s="114"/>
      <c r="J6" s="114"/>
      <c r="K6" s="114">
        <f ca="1">IF($Q6="","",IF($R6=$S$2,INDEX(TongVTSX!M$3:M$1500,$Q6)*$U6,   INDEX(TongVTSX!M$3:M$1500,$Q6)))</f>
        <v>165015</v>
      </c>
      <c r="L6" s="92">
        <f ca="1">IF($Q6="",0, IF($R6=$S$7,$F6*$H6*$K6,IF($R6=$S$2,$H6*$K6,    IF($H6*$K6 - SUMPRODUCT((TongVTSX!$C$3:$C$1500=$D6)*(TongVTSX!$E$3:$E$1500=$F6)*(TongVTSX!$O$3:$O$1500)) &lt;=10,$H6*$K6,"PO &lt;&gt; TongVTSX"))))</f>
        <v>495045</v>
      </c>
      <c r="M6" s="114">
        <f ca="1">IF($R6=$S$1,INDEX(TongVTSX!$K$3:$K$1500,$Q6),IF($R6=$S$7,INDEX(TongVTSX!$H$3:$H$1500,$Q6),IF($R6=$S$2,SUMPRODUCT((TongVTSX!$C$3:$C$1500=$D6)*(TongVTSX!$E$3:$E$1500=$F6)*(TongVTSX!$K$3:$K$1500))/$U6,SUMPRODUCT((TongVTSX!$C$3:$C$1500=$D6)*(TongVTSX!$E$3:$E$1500=$F6)*(TongVTSX!$K$3:$K$1500)))))</f>
        <v>2.3712280701754387</v>
      </c>
      <c r="N6" s="92">
        <f ca="1">IF($Q6="",0, IF($R6=$S$7,$F6*$M6*$K6,IF($R6=$S$2,$M6*$K6,    IF($M6*$K6 - SUMPRODUCT((TongVTSX!$C$3:$C$1500=$D6)*(TongVTSX!$E$3:$E$1500=$F6)*(TongVTSX!$O$3:$O$1500)) &lt;=10,$M6*$K6,"PO &lt;&gt; TongVTSX"))))</f>
        <v>391288.2</v>
      </c>
      <c r="O6" s="92">
        <f t="shared" ca="1" si="0"/>
        <v>103756.79999999999</v>
      </c>
      <c r="P6" s="1146" t="str">
        <f ca="1">IFERROR(INDEX(NVLSX!$AA$2:$AA$6756,MATCH($D6,NVLSX!$E$2:$E$6756,0)),"")</f>
        <v>GHI NƠI CẤP BÊN NVLSX CỘT AA</v>
      </c>
      <c r="Q6" s="742">
        <f ca="1">IF($R6="","",IF($R6&lt;&gt;$R5,IF(TYPE(MATCH($R6,TongVTSX!$T$3:$T$1500,0))=16,"",MATCH($R6,TongVTSX!$T$3:$T$1500,0)),IF(TYPE(MATCH($R6,OFFSET(TongVTSX!$T$3,$Q5,0):'TongVTSX'!$T$1500,0)+$Q5)=16,"",MATCH($R6,OFFSET(TongVTSX!$T$3,$Q5,0):'TongVTSX'!$T$1500,0)+$Q5)))</f>
        <v>6</v>
      </c>
      <c r="R6" s="179" t="str">
        <f ca="1">IFERROR(IF(COUNTIF($R$3:R5,R5)&lt; INDEX($T$1:$T$7,MATCH($R5,$S$1:$S$7,0)),$R5,INDEX($S$1:$S$7,MATCH($R5,$S$1:$S$7,0)+1)),"")</f>
        <v>PR</v>
      </c>
      <c r="S6" s="178" t="s">
        <v>2409</v>
      </c>
      <c r="T6" s="176">
        <f ca="1">COUNTIF(TongVTSX!$T$3:$T$1500,$S6)</f>
        <v>7</v>
      </c>
      <c r="U6" s="184">
        <f ca="1">IF($R6="PR",INDEX(NVLSX!$U$2:$U$6941,MATCH($D6,NVLSX!$E$2:$E$6941,0)),"")</f>
        <v>5700</v>
      </c>
      <c r="V6" s="184">
        <f ca="1">IF($R6="PR",INDEX(NVLSX!$S$2:$S$6941,MATCH($D6,NVLSX!$E$2:$E$6941,0))*1000,"")</f>
        <v>5800</v>
      </c>
      <c r="W6" s="776">
        <f ca="1">IF($R6="PR",INDEX(NVLSX!$S$2:$S$6941,MATCH($D6,NVLSX!$E$2:$E$6941,0))*INDEX(NVLSX!$T$2:$T$6941,MATCH($D6,NVLSX!$E$2:$E$6941,0)),"")</f>
        <v>1.5718000000000001</v>
      </c>
      <c r="X6" s="776">
        <f t="shared" ca="1" si="1"/>
        <v>4.7154000000000007</v>
      </c>
      <c r="Y6" s="982" t="str">
        <f ca="1">IFERROR(INDEX(NVLSX!$X$2:$X$4655,MATCH($D6,NVLSX!$E$2:$E$4655,0)),"")</f>
        <v>XF</v>
      </c>
    </row>
    <row r="7" spans="1:25" ht="13">
      <c r="A7" s="19">
        <f ca="1">IF($Q7="","",MAX($A$2:A6)+1)</f>
        <v>5</v>
      </c>
      <c r="B7" s="1146" t="str">
        <f ca="1">IFERROR(INDEX(NVLSX!$Y$2:$Y$6756,MATCH($D7,NVLSX!$E$2:$E$6756,0)),"")</f>
        <v>GHI TÊN NCC BÊN NVLSX CỘT Y</v>
      </c>
      <c r="C7" s="1146" t="str">
        <f ca="1">IFERROR(INDEX(NVLSX!$Z$2:$Z$6756,MATCH($D7,NVLSX!$E$2:$E$6756,0)),"")</f>
        <v>GHI TÊN HÃNG BÊN NVLSX CỘT Z</v>
      </c>
      <c r="D7" s="23" t="str">
        <f ca="1">IF($Q7="","",INDEX(TongVTSX!C$3:C$1500,$Q7))</f>
        <v>C459</v>
      </c>
      <c r="E7" s="729" t="str">
        <f ca="1">IF($Q7="","",INDEX(TongVTSX!D$3:D$1500,$Q7) &amp; IF(OR($R7=$S$1,$R7=$S$7)," (" &amp; INDEX(TongVTSX!A$3:A$1500,$Q7) &amp; ")",""))</f>
        <v>Thanh truyền khóa cửa đi, cửa sổ hệ 55</v>
      </c>
      <c r="F7" s="745" t="str">
        <f ca="1">IF($Q7="","",IF($R7=$S$7,INDEX(TongVTSX!$G$3:$G$1500,$Q7),INDEX(TongVTSX!$E$3:$E$1500,$Q7)))</f>
        <v>T/C</v>
      </c>
      <c r="G7" s="24" t="str">
        <f ca="1">IF($Q7="","",IF($R7=$S$1,"mm",IF($R7=$S$2,"Thanh",INDEX(TongVTSX!F$3:F$1500,$Q7))))</f>
        <v>Thanh</v>
      </c>
      <c r="H7" s="114">
        <f ca="1">IF($R7=$S$1,INDEX(TongVTSX!$K$3:$K$1500,$Q7),IF($R7=$S$7,INDEX(TongVTSX!$H$3:$H$1500,$Q7),IF($R7=$S$2,ROUNDUP(SUMPRODUCT((TongVTSX!$C$3:$C$1500=$D7)*(TongVTSX!$E$3:$E$1500=$F7)*(TongVTSX!$K$3:$K$1500))/$U7,0),SUMPRODUCT((TongVTSX!$C$3:$C$1500=$D7)*(TongVTSX!$E$3:$E$1500=$F7)*(TongVTSX!$K$3:$K$1500)))))</f>
        <v>1</v>
      </c>
      <c r="I7" s="114"/>
      <c r="J7" s="114"/>
      <c r="K7" s="114">
        <f ca="1">IF($Q7="","",IF($R7=$S$2,INDEX(TongVTSX!M$3:M$1500,$Q7)*$U7,   INDEX(TongVTSX!M$3:M$1500,$Q7)))</f>
        <v>86130</v>
      </c>
      <c r="L7" s="92">
        <f ca="1">IF($Q7="",0, IF($R7=$S$7,$F7*$H7*$K7,IF($R7=$S$2,$H7*$K7,    IF($H7*$K7 - SUMPRODUCT((TongVTSX!$C$3:$C$1500=$D7)*(TongVTSX!$E$3:$E$1500=$F7)*(TongVTSX!$O$3:$O$1500)) &lt;=10,$H7*$K7,"PO &lt;&gt; TongVTSX"))))</f>
        <v>86130</v>
      </c>
      <c r="M7" s="114">
        <f ca="1">IF($R7=$S$1,INDEX(TongVTSX!$K$3:$K$1500,$Q7),IF($R7=$S$7,INDEX(TongVTSX!$H$3:$H$1500,$Q7),IF($R7=$S$2,SUMPRODUCT((TongVTSX!$C$3:$C$1500=$D7)*(TongVTSX!$E$3:$E$1500=$F7)*(TongVTSX!$K$3:$K$1500))/$U7,SUMPRODUCT((TongVTSX!$C$3:$C$1500=$D7)*(TongVTSX!$E$3:$E$1500=$F7)*(TongVTSX!$K$3:$K$1500)))))</f>
        <v>0.68</v>
      </c>
      <c r="N7" s="92">
        <f ca="1">IF($Q7="",0, IF($R7=$S$7,$F7*$M7*$K7,IF($R7=$S$2,$M7*$K7,    IF($M7*$K7 - SUMPRODUCT((TongVTSX!$C$3:$C$1500=$D7)*(TongVTSX!$E$3:$E$1500=$F7)*(TongVTSX!$O$3:$O$1500)) &lt;=10,$M7*$K7,"PO &lt;&gt; TongVTSX"))))</f>
        <v>58568.4</v>
      </c>
      <c r="O7" s="92">
        <f t="shared" ca="1" si="0"/>
        <v>27561.599999999999</v>
      </c>
      <c r="P7" s="1146" t="str">
        <f ca="1">IFERROR(INDEX(NVLSX!$AA$2:$AA$6756,MATCH($D7,NVLSX!$E$2:$E$6756,0)),"")</f>
        <v>GHI NƠI CẤP BÊN NVLSX CỘT AA</v>
      </c>
      <c r="Q7" s="742">
        <f ca="1">IF($R7="","",IF($R7&lt;&gt;$R6,IF(TYPE(MATCH($R7,TongVTSX!$T$3:$T$1500,0))=16,"",MATCH($R7,TongVTSX!$T$3:$T$1500,0)),IF(TYPE(MATCH($R7,OFFSET(TongVTSX!$T$3,$Q6,0):'TongVTSX'!$T$1500,0)+$Q6)=16,"",MATCH($R7,OFFSET(TongVTSX!$T$3,$Q6,0):'TongVTSX'!$T$1500,0)+$Q6)))</f>
        <v>13</v>
      </c>
      <c r="R7" s="179" t="str">
        <f ca="1">IFERROR(IF(COUNTIF($R$3:R6,R6)&lt; INDEX($T$1:$T$7,MATCH($R6,$S$1:$S$7,0)),$R6,INDEX($S$1:$S$7,MATCH($R6,$S$1:$S$7,0)+1)),"")</f>
        <v>PR</v>
      </c>
      <c r="S7" s="178" t="s">
        <v>152</v>
      </c>
      <c r="T7" s="176">
        <f ca="1">COUNTIF(TongVTSX!$T$3:$T$1500,$S7)</f>
        <v>1</v>
      </c>
      <c r="U7" s="184">
        <f ca="1">IF($R7="PR",INDEX(NVLSX!$U$2:$U$6941,MATCH($D7,NVLSX!$E$2:$E$6941,0)),"")</f>
        <v>5800</v>
      </c>
      <c r="V7" s="184">
        <f ca="1">IF($R7="PR",INDEX(NVLSX!$S$2:$S$6941,MATCH($D7,NVLSX!$E$2:$E$6941,0))*1000,"")</f>
        <v>5800</v>
      </c>
      <c r="W7" s="776">
        <f ca="1">IF($R7="PR",INDEX(NVLSX!$S$2:$S$6941,MATCH($D7,NVLSX!$E$2:$E$6941,0))*INDEX(NVLSX!$T$2:$T$6941,MATCH($D7,NVLSX!$E$2:$E$6941,0)),"")</f>
        <v>0.80620000000000003</v>
      </c>
      <c r="X7" s="776">
        <f t="shared" ca="1" si="1"/>
        <v>0.80620000000000003</v>
      </c>
      <c r="Y7" s="982" t="str">
        <f ca="1">IFERROR(INDEX(NVLSX!$X$2:$X$4655,MATCH($D7,NVLSX!$E$2:$E$4655,0)),"")</f>
        <v>C459</v>
      </c>
    </row>
    <row r="8" spans="1:25" ht="13">
      <c r="A8" s="19">
        <f ca="1">IF($Q8="","",MAX($A$2:A7)+1)</f>
        <v>6</v>
      </c>
      <c r="B8" s="1146" t="str">
        <f ca="1">IFERROR(INDEX(NVLSX!$Y$2:$Y$6756,MATCH($D8,NVLSX!$E$2:$E$6756,0)),"")</f>
        <v>GHI TÊN NCC BÊN NVLSX CỘT Y</v>
      </c>
      <c r="C8" s="1146" t="str">
        <f ca="1">IFERROR(INDEX(NVLSX!$Z$2:$Z$6756,MATCH($D8,NVLSX!$E$2:$E$6756,0)),"")</f>
        <v>GHI TÊN HÃNG BÊN NVLSX CỘT Z</v>
      </c>
      <c r="D8" s="23" t="str">
        <f ca="1">IF($Q8="","",INDEX(TongVTSX!C$3:C$1500,$Q8))</f>
        <v>CZM23A</v>
      </c>
      <c r="E8" s="729" t="str">
        <f ca="1">IF($Q8="","",INDEX(TongVTSX!D$3:D$1500,$Q8) &amp; IF(OR($R8=$S$1,$R8=$S$7)," (" &amp; INDEX(TongVTSX!A$3:A$1500,$Q8) &amp; ")",""))</f>
        <v>Door Handle/Tay nắm cửa đi mở quay</v>
      </c>
      <c r="F8" s="745" t="str">
        <f ca="1">IF($Q8="","",IF($R8=$S$7,INDEX(TongVTSX!$G$3:$G$1500,$Q8),INDEX(TongVTSX!$E$3:$E$1500,$Q8)))</f>
        <v>Xám ghi</v>
      </c>
      <c r="G8" s="24" t="str">
        <f ca="1">IF($Q8="","",IF($R8=$S$1,"mm",IF($R8=$S$2,"Thanh",INDEX(TongVTSX!F$3:F$1500,$Q8))))</f>
        <v>Bộ</v>
      </c>
      <c r="H8" s="114">
        <f ca="1">IF($R8=$S$1,INDEX(TongVTSX!$K$3:$K$1500,$Q8),IF($R8=$S$7,INDEX(TongVTSX!$H$3:$H$1500,$Q8),IF($R8=$S$2,ROUNDUP(SUMPRODUCT((TongVTSX!$C$3:$C$1500=$D8)*(TongVTSX!$E$3:$E$1500=$F8)*(TongVTSX!$K$3:$K$1500))/$U8,0),SUMPRODUCT((TongVTSX!$C$3:$C$1500=$D8)*(TongVTSX!$E$3:$E$1500=$F8)*(TongVTSX!$K$3:$K$1500)))))</f>
        <v>2</v>
      </c>
      <c r="I8" s="114"/>
      <c r="J8" s="114"/>
      <c r="K8" s="114">
        <f ca="1">IF($Q8="","",IF($R8=$S$2,INDEX(TongVTSX!M$3:M$1500,$Q8)*$U8,   INDEX(TongVTSX!M$3:M$1500,$Q8)))</f>
        <v>135000</v>
      </c>
      <c r="L8" s="92">
        <f ca="1">IF($Q8="",0, IF($R8=$S$7,$F8*$H8*$K8,IF($R8=$S$2,$H8*$K8,    IF($H8*$K8 - SUMPRODUCT((TongVTSX!$C$3:$C$1500=$D8)*(TongVTSX!$E$3:$E$1500=$F8)*(TongVTSX!$O$3:$O$1500)) &lt;=10,$H8*$K8,"PO &lt;&gt; TongVTSX"))))</f>
        <v>270000</v>
      </c>
      <c r="M8" s="114">
        <f ca="1">IF($R8=$S$1,INDEX(TongVTSX!$K$3:$K$1500,$Q8),IF($R8=$S$7,INDEX(TongVTSX!$H$3:$H$1500,$Q8),IF($R8=$S$2,SUMPRODUCT((TongVTSX!$C$3:$C$1500=$D8)*(TongVTSX!$E$3:$E$1500=$F8)*(TongVTSX!$K$3:$K$1500))/$U8,SUMPRODUCT((TongVTSX!$C$3:$C$1500=$D8)*(TongVTSX!$E$3:$E$1500=$F8)*(TongVTSX!$K$3:$K$1500)))))</f>
        <v>2</v>
      </c>
      <c r="N8" s="92">
        <f ca="1">IF($Q8="",0, IF($R8=$S$7,$F8*$M8*$K8,IF($R8=$S$2,$M8*$K8,    IF($M8*$K8 - SUMPRODUCT((TongVTSX!$C$3:$C$1500=$D8)*(TongVTSX!$E$3:$E$1500=$F8)*(TongVTSX!$O$3:$O$1500)) &lt;=10,$M8*$K8,"PO &lt;&gt; TongVTSX"))))</f>
        <v>270000</v>
      </c>
      <c r="O8" s="92">
        <f t="shared" ca="1" si="0"/>
        <v>0</v>
      </c>
      <c r="P8" s="1146" t="str">
        <f ca="1">IFERROR(INDEX(NVLSX!$AA$2:$AA$6756,MATCH($D8,NVLSX!$E$2:$E$6756,0)),"")</f>
        <v>GHI NƠI CẤP BÊN NVLSX CỘT AA</v>
      </c>
      <c r="Q8" s="742">
        <f ca="1">IF($R8="","",IF($R8&lt;&gt;$R7,IF(TYPE(MATCH($R8,TongVTSX!$T$3:$T$1500,0))=16,"",MATCH($R8,TongVTSX!$T$3:$T$1500,0)),IF(TYPE(MATCH($R8,OFFSET(TongVTSX!$T$3,$Q7,0):'TongVTSX'!$T$1500,0)+$Q7)=16,"",MATCH($R8,OFFSET(TongVTSX!$T$3,$Q7,0):'TongVTSX'!$T$1500,0)+$Q7)))</f>
        <v>8</v>
      </c>
      <c r="R8" s="179" t="str">
        <f ca="1">IFERROR(IF(COUNTIF($R$3:R7,R7)&lt; INDEX($T$1:$T$7,MATCH($R7,$S$1:$S$7,0)),$R7,INDEX($S$1:$S$7,MATCH($R7,$S$1:$S$7,0)+1)),"")</f>
        <v>PK</v>
      </c>
      <c r="S8" s="181"/>
      <c r="T8" s="182"/>
      <c r="U8" s="184" t="str">
        <f ca="1">IF($R8="PR",INDEX(NVLSX!$U$2:$U$6941,MATCH($D8,NVLSX!$E$2:$E$6941,0)),"")</f>
        <v/>
      </c>
      <c r="V8" s="184" t="str">
        <f ca="1">IF($R8="PR",INDEX(NVLSX!$S$2:$S$6941,MATCH($D8,NVLSX!$E$2:$E$6941,0))*1000,"")</f>
        <v/>
      </c>
      <c r="W8" s="776" t="str">
        <f ca="1">IF($R8="PR",INDEX(NVLSX!$S$2:$S$6941,MATCH($D8,NVLSX!$E$2:$E$6941,0))*INDEX(NVLSX!$T$2:$T$6941,MATCH($D8,NVLSX!$E$2:$E$6941,0)),"")</f>
        <v/>
      </c>
      <c r="X8" s="776">
        <f t="shared" ca="1" si="1"/>
        <v>0</v>
      </c>
      <c r="Y8" s="982" t="str">
        <f ca="1">IFERROR(INDEX(NVLSX!$X$2:$X$4655,MATCH($D8,NVLSX!$E$2:$E$4655,0)),"")</f>
        <v>3H</v>
      </c>
    </row>
    <row r="9" spans="1:25" ht="13">
      <c r="A9" s="19">
        <f ca="1">IF($Q9="","",MAX($A$2:A8)+1)</f>
        <v>7</v>
      </c>
      <c r="B9" s="1146" t="str">
        <f ca="1">IFERROR(INDEX(NVLSX!$Y$2:$Y$6756,MATCH($D9,NVLSX!$E$2:$E$6756,0)),"")</f>
        <v>GHI TÊN NCC BÊN NVLSX CỘT Y</v>
      </c>
      <c r="C9" s="1146" t="str">
        <f ca="1">IFERROR(INDEX(NVLSX!$Z$2:$Z$6756,MATCH($D9,NVLSX!$E$2:$E$6756,0)),"")</f>
        <v>GHI TÊN HÃNG BÊN NVLSX CỘT Z</v>
      </c>
      <c r="D9" s="23" t="str">
        <f ca="1">IF($Q9="","",INDEX(TongVTSX!C$3:C$1500,$Q9))</f>
        <v>47/30A</v>
      </c>
      <c r="E9" s="729" t="str">
        <f ca="1">IF($Q9="","",INDEX(TongVTSX!D$3:D$1500,$Q9) &amp; IF(OR($R9=$S$1,$R9=$S$7)," (" &amp; INDEX(TongVTSX!A$3:A$1500,$Q9) &amp; ")",""))</f>
        <v>Cylinder/ Lõi khóa 2 đầu chìa</v>
      </c>
      <c r="F9" s="745" t="str">
        <f ca="1">IF($Q9="","",IF($R9=$S$7,INDEX(TongVTSX!$G$3:$G$1500,$Q9),INDEX(TongVTSX!$E$3:$E$1500,$Q9)))</f>
        <v>T/C</v>
      </c>
      <c r="G9" s="24" t="str">
        <f ca="1">IF($Q9="","",IF($R9=$S$1,"mm",IF($R9=$S$2,"Thanh",INDEX(TongVTSX!F$3:F$1500,$Q9))))</f>
        <v>Cái</v>
      </c>
      <c r="H9" s="114">
        <f ca="1">IF($R9=$S$1,INDEX(TongVTSX!$K$3:$K$1500,$Q9),IF($R9=$S$7,INDEX(TongVTSX!$H$3:$H$1500,$Q9),IF($R9=$S$2,ROUNDUP(SUMPRODUCT((TongVTSX!$C$3:$C$1500=$D9)*(TongVTSX!$E$3:$E$1500=$F9)*(TongVTSX!$K$3:$K$1500))/$U9,0),SUMPRODUCT((TongVTSX!$C$3:$C$1500=$D9)*(TongVTSX!$E$3:$E$1500=$F9)*(TongVTSX!$K$3:$K$1500)))))</f>
        <v>2</v>
      </c>
      <c r="I9" s="114"/>
      <c r="J9" s="114"/>
      <c r="K9" s="114">
        <f ca="1">IF($Q9="","",IF($R9=$S$2,INDEX(TongVTSX!M$3:M$1500,$Q9)*$U9,   INDEX(TongVTSX!M$3:M$1500,$Q9)))</f>
        <v>140000</v>
      </c>
      <c r="L9" s="92">
        <f ca="1">IF($Q9="",0, IF($R9=$S$7,$F9*$H9*$K9,IF($R9=$S$2,$H9*$K9,    IF($H9*$K9 - SUMPRODUCT((TongVTSX!$C$3:$C$1500=$D9)*(TongVTSX!$E$3:$E$1500=$F9)*(TongVTSX!$O$3:$O$1500)) &lt;=10,$H9*$K9,"PO &lt;&gt; TongVTSX"))))</f>
        <v>280000</v>
      </c>
      <c r="M9" s="114">
        <f ca="1">IF($R9=$S$1,INDEX(TongVTSX!$K$3:$K$1500,$Q9),IF($R9=$S$7,INDEX(TongVTSX!$H$3:$H$1500,$Q9),IF($R9=$S$2,SUMPRODUCT((TongVTSX!$C$3:$C$1500=$D9)*(TongVTSX!$E$3:$E$1500=$F9)*(TongVTSX!$K$3:$K$1500))/$U9,SUMPRODUCT((TongVTSX!$C$3:$C$1500=$D9)*(TongVTSX!$E$3:$E$1500=$F9)*(TongVTSX!$K$3:$K$1500)))))</f>
        <v>2</v>
      </c>
      <c r="N9" s="92">
        <f ca="1">IF($Q9="",0, IF($R9=$S$7,$F9*$M9*$K9,IF($R9=$S$2,$M9*$K9,    IF($M9*$K9 - SUMPRODUCT((TongVTSX!$C$3:$C$1500=$D9)*(TongVTSX!$E$3:$E$1500=$F9)*(TongVTSX!$O$3:$O$1500)) &lt;=10,$M9*$K9,"PO &lt;&gt; TongVTSX"))))</f>
        <v>280000</v>
      </c>
      <c r="O9" s="92">
        <f t="shared" ca="1" si="0"/>
        <v>0</v>
      </c>
      <c r="P9" s="1146" t="str">
        <f ca="1">IFERROR(INDEX(NVLSX!$AA$2:$AA$6756,MATCH($D9,NVLSX!$E$2:$E$6756,0)),"")</f>
        <v>GHI NƠI CẤP BÊN NVLSX CỘT AA</v>
      </c>
      <c r="Q9" s="742">
        <f ca="1">IF($R9="","",IF($R9&lt;&gt;$R8,IF(TYPE(MATCH($R9,TongVTSX!$T$3:$T$1500,0))=16,"",MATCH($R9,TongVTSX!$T$3:$T$1500,0)),IF(TYPE(MATCH($R9,OFFSET(TongVTSX!$T$3,$Q8,0):'TongVTSX'!$T$1500,0)+$Q8)=16,"",MATCH($R9,OFFSET(TongVTSX!$T$3,$Q8,0):'TongVTSX'!$T$1500,0)+$Q8)))</f>
        <v>9</v>
      </c>
      <c r="R9" s="179" t="str">
        <f ca="1">IFERROR(IF(COUNTIF($R$3:R8,R8)&lt; INDEX($T$1:$T$7,MATCH($R8,$S$1:$S$7,0)),$R8,INDEX($S$1:$S$7,MATCH($R8,$S$1:$S$7,0)+1)),"")</f>
        <v>PK</v>
      </c>
      <c r="S9" s="181"/>
      <c r="T9" s="182"/>
      <c r="U9" s="184" t="str">
        <f ca="1">IF($R9="PR",INDEX(NVLSX!$U$2:$U$6941,MATCH($D9,NVLSX!$E$2:$E$6941,0)),"")</f>
        <v/>
      </c>
      <c r="V9" s="184" t="str">
        <f ca="1">IF($R9="PR",INDEX(NVLSX!$S$2:$S$6941,MATCH($D9,NVLSX!$E$2:$E$6941,0))*1000,"")</f>
        <v/>
      </c>
      <c r="W9" s="776" t="str">
        <f ca="1">IF($R9="PR",INDEX(NVLSX!$S$2:$S$6941,MATCH($D9,NVLSX!$E$2:$E$6941,0))*INDEX(NVLSX!$T$2:$T$6941,MATCH($D9,NVLSX!$E$2:$E$6941,0)),"")</f>
        <v/>
      </c>
      <c r="X9" s="776">
        <f t="shared" ca="1" si="1"/>
        <v>0</v>
      </c>
      <c r="Y9" s="982" t="str">
        <f ca="1">IFERROR(INDEX(NVLSX!$X$2:$X$4655,MATCH($D9,NVLSX!$E$2:$E$4655,0)),"")</f>
        <v>3H</v>
      </c>
    </row>
    <row r="10" spans="1:25">
      <c r="A10" s="19">
        <f ca="1">IF($Q10="","",MAX($A$2:A9)+1)</f>
        <v>8</v>
      </c>
      <c r="B10" s="1146" t="str">
        <f ca="1">IFERROR(INDEX(NVLSX!$Y$2:$Y$6756,MATCH($D10,NVLSX!$E$2:$E$6756,0)),"")</f>
        <v>GHI TÊN NCC BÊN NVLSX CỘT Y</v>
      </c>
      <c r="C10" s="1146" t="str">
        <f ca="1">IFERROR(INDEX(NVLSX!$Z$2:$Z$6756,MATCH($D10,NVLSX!$E$2:$E$6756,0)),"")</f>
        <v>GHI TÊN HÃNG BÊN NVLSX CỘT Z</v>
      </c>
      <c r="D10" s="23" t="str">
        <f ca="1">IF($Q10="","",INDEX(TongVTSX!C$3:C$1500,$Q10))</f>
        <v>3085E</v>
      </c>
      <c r="E10" s="729" t="str">
        <f ca="1">IF($Q10="","",INDEX(TongVTSX!D$3:D$1500,$Q10) &amp; IF(OR($R10=$S$1,$R10=$S$7)," (" &amp; INDEX(TongVTSX!A$3:A$1500,$Q10) &amp; ")",""))</f>
        <v>Thân khoá đa điểm</v>
      </c>
      <c r="F10" s="745" t="str">
        <f ca="1">IF($Q10="","",IF($R10=$S$7,INDEX(TongVTSX!$G$3:$G$1500,$Q10),INDEX(TongVTSX!$E$3:$E$1500,$Q10)))</f>
        <v>T/C</v>
      </c>
      <c r="G10" s="24" t="str">
        <f ca="1">IF($Q10="","",IF($R10=$S$1,"mm",IF($R10=$S$2,"Thanh",INDEX(TongVTSX!F$3:F$1500,$Q10))))</f>
        <v>Cái</v>
      </c>
      <c r="H10" s="114">
        <f ca="1">IF($R10=$S$1,INDEX(TongVTSX!$K$3:$K$1500,$Q10),IF($R10=$S$7,INDEX(TongVTSX!$H$3:$H$1500,$Q10),IF($R10=$S$2,ROUNDUP(SUMPRODUCT((TongVTSX!$C$3:$C$1500=$D10)*(TongVTSX!$E$3:$E$1500=$F10)*(TongVTSX!$K$3:$K$1500))/$U10,0),SUMPRODUCT((TongVTSX!$C$3:$C$1500=$D10)*(TongVTSX!$E$3:$E$1500=$F10)*(TongVTSX!$K$3:$K$1500)))))</f>
        <v>2</v>
      </c>
      <c r="I10" s="114"/>
      <c r="J10" s="114"/>
      <c r="K10" s="114">
        <f ca="1">IF($Q10="","",IF($R10=$S$2,INDEX(TongVTSX!M$3:M$1500,$Q10)*$U10,   INDEX(TongVTSX!M$3:M$1500,$Q10)))</f>
        <v>185000</v>
      </c>
      <c r="L10" s="92">
        <f ca="1">IF($Q10="",0, IF($R10=$S$7,$F10*$H10*$K10,IF($R10=$S$2,$H10*$K10,    IF($H10*$K10 - SUMPRODUCT((TongVTSX!$C$3:$C$1500=$D10)*(TongVTSX!$E$3:$E$1500=$F10)*(TongVTSX!$O$3:$O$1500)) &lt;=10,$H10*$K10,"PO &lt;&gt; TongVTSX"))))</f>
        <v>370000</v>
      </c>
      <c r="M10" s="114">
        <f ca="1">IF($R10=$S$1,INDEX(TongVTSX!$K$3:$K$1500,$Q10),IF($R10=$S$7,INDEX(TongVTSX!$H$3:$H$1500,$Q10),IF($R10=$S$2,SUMPRODUCT((TongVTSX!$C$3:$C$1500=$D10)*(TongVTSX!$E$3:$E$1500=$F10)*(TongVTSX!$K$3:$K$1500))/$U10,SUMPRODUCT((TongVTSX!$C$3:$C$1500=$D10)*(TongVTSX!$E$3:$E$1500=$F10)*(TongVTSX!$K$3:$K$1500)))))</f>
        <v>2</v>
      </c>
      <c r="N10" s="92">
        <f ca="1">IF($Q10="",0, IF($R10=$S$7,$F10*$M10*$K10,IF($R10=$S$2,$M10*$K10,    IF($M10*$K10 - SUMPRODUCT((TongVTSX!$C$3:$C$1500=$D10)*(TongVTSX!$E$3:$E$1500=$F10)*(TongVTSX!$O$3:$O$1500)) &lt;=10,$M10*$K10,"PO &lt;&gt; TongVTSX"))))</f>
        <v>370000</v>
      </c>
      <c r="O10" s="92">
        <f t="shared" ca="1" si="0"/>
        <v>0</v>
      </c>
      <c r="P10" s="1146" t="str">
        <f ca="1">IFERROR(INDEX(NVLSX!$AA$2:$AA$6756,MATCH($D10,NVLSX!$E$2:$E$6756,0)),"")</f>
        <v>GHI NƠI CẤP BÊN NVLSX CỘT AA</v>
      </c>
      <c r="Q10" s="742">
        <f ca="1">IF($R10="","",IF($R10&lt;&gt;$R9,IF(TYPE(MATCH($R10,TongVTSX!$T$3:$T$1500,0))=16,"",MATCH($R10,TongVTSX!$T$3:$T$1500,0)),IF(TYPE(MATCH($R10,OFFSET(TongVTSX!$T$3,$Q9,0):'TongVTSX'!$T$1500,0)+$Q9)=16,"",MATCH($R10,OFFSET(TongVTSX!$T$3,$Q9,0):'TongVTSX'!$T$1500,0)+$Q9)))</f>
        <v>10</v>
      </c>
      <c r="R10" s="179" t="str">
        <f ca="1">IFERROR(IF(COUNTIF($R$3:R9,R9)&lt; INDEX($T$1:$T$7,MATCH($R9,$S$1:$S$7,0)),$R9,INDEX($S$1:$S$7,MATCH($R9,$S$1:$S$7,0)+1)),"")</f>
        <v>PK</v>
      </c>
      <c r="S10" s="181"/>
      <c r="T10" s="182"/>
      <c r="U10" s="184" t="str">
        <f ca="1">IF($R10="PR",INDEX(NVLSX!$U$2:$U$6941,MATCH($D10,NVLSX!$E$2:$E$6941,0)),"")</f>
        <v/>
      </c>
      <c r="V10" s="184" t="str">
        <f ca="1">IF($R10="PR",INDEX(NVLSX!$S$2:$S$6941,MATCH($D10,NVLSX!$E$2:$E$6941,0))*1000,"")</f>
        <v/>
      </c>
      <c r="W10" s="776" t="str">
        <f ca="1">IF($R10="PR",INDEX(NVLSX!$S$2:$S$6941,MATCH($D10,NVLSX!$E$2:$E$6941,0))*INDEX(NVLSX!$T$2:$T$6941,MATCH($D10,NVLSX!$E$2:$E$6941,0)),"")</f>
        <v/>
      </c>
      <c r="X10" s="776">
        <f t="shared" ca="1" si="1"/>
        <v>0</v>
      </c>
      <c r="Y10" s="982" t="str">
        <f ca="1">IFERROR(INDEX(NVLSX!$X$2:$X$4655,MATCH($D10,NVLSX!$E$2:$E$4655,0)),"")</f>
        <v>3H</v>
      </c>
    </row>
    <row r="11" spans="1:25">
      <c r="A11" s="19">
        <f ca="1">IF($Q11="","",MAX($A$2:A10)+1)</f>
        <v>9</v>
      </c>
      <c r="B11" s="1146" t="str">
        <f ca="1">IFERROR(INDEX(NVLSX!$Y$2:$Y$6756,MATCH($D11,NVLSX!$E$2:$E$6756,0)),"")</f>
        <v>GHI TÊN NCC BÊN NVLSX CỘT Y</v>
      </c>
      <c r="C11" s="1146" t="str">
        <f ca="1">IFERROR(INDEX(NVLSX!$Z$2:$Z$6756,MATCH($D11,NVLSX!$E$2:$E$6756,0)),"")</f>
        <v>GHI TÊN HÃNG BÊN NVLSX CỘT Z</v>
      </c>
      <c r="D11" s="23" t="str">
        <f ca="1">IF($Q11="","",INDEX(TongVTSX!C$3:C$1500,$Q11))</f>
        <v>CL09-8</v>
      </c>
      <c r="E11" s="729" t="str">
        <f ca="1">IF($Q11="","",INDEX(TongVTSX!D$3:D$1500,$Q11) &amp; IF(OR($R11=$S$1,$R11=$S$7)," (" &amp; INDEX(TongVTSX!A$3:A$1500,$Q11) &amp; ")",""))</f>
        <v>Đầu khóa biên cao 8mm</v>
      </c>
      <c r="F11" s="745" t="str">
        <f ca="1">IF($Q11="","",IF($R11=$S$7,INDEX(TongVTSX!$G$3:$G$1500,$Q11),INDEX(TongVTSX!$E$3:$E$1500,$Q11)))</f>
        <v>T/C</v>
      </c>
      <c r="G11" s="24" t="str">
        <f ca="1">IF($Q11="","",IF($R11=$S$1,"mm",IF($R11=$S$2,"Thanh",INDEX(TongVTSX!F$3:F$1500,$Q11))))</f>
        <v>Cái</v>
      </c>
      <c r="H11" s="114">
        <f ca="1">IF($R11=$S$1,INDEX(TongVTSX!$K$3:$K$1500,$Q11),IF($R11=$S$7,INDEX(TongVTSX!$H$3:$H$1500,$Q11),IF($R11=$S$2,ROUNDUP(SUMPRODUCT((TongVTSX!$C$3:$C$1500=$D11)*(TongVTSX!$E$3:$E$1500=$F11)*(TongVTSX!$K$3:$K$1500))/$U11,0),SUMPRODUCT((TongVTSX!$C$3:$C$1500=$D11)*(TongVTSX!$E$3:$E$1500=$F11)*(TongVTSX!$K$3:$K$1500)))))</f>
        <v>4</v>
      </c>
      <c r="I11" s="114"/>
      <c r="J11" s="114"/>
      <c r="K11" s="114">
        <f ca="1">IF($Q11="","",IF($R11=$S$2,INDEX(TongVTSX!M$3:M$1500,$Q11)*$U11,   INDEX(TongVTSX!M$3:M$1500,$Q11)))</f>
        <v>17000</v>
      </c>
      <c r="L11" s="92">
        <f ca="1">IF($Q11="",0, IF($R11=$S$7,$F11*$H11*$K11,IF($R11=$S$2,$H11*$K11,    IF($H11*$K11 - SUMPRODUCT((TongVTSX!$C$3:$C$1500=$D11)*(TongVTSX!$E$3:$E$1500=$F11)*(TongVTSX!$O$3:$O$1500)) &lt;=10,$H11*$K11,"PO &lt;&gt; TongVTSX"))))</f>
        <v>68000</v>
      </c>
      <c r="M11" s="114">
        <f ca="1">IF($R11=$S$1,INDEX(TongVTSX!$K$3:$K$1500,$Q11),IF($R11=$S$7,INDEX(TongVTSX!$H$3:$H$1500,$Q11),IF($R11=$S$2,SUMPRODUCT((TongVTSX!$C$3:$C$1500=$D11)*(TongVTSX!$E$3:$E$1500=$F11)*(TongVTSX!$K$3:$K$1500))/$U11,SUMPRODUCT((TongVTSX!$C$3:$C$1500=$D11)*(TongVTSX!$E$3:$E$1500=$F11)*(TongVTSX!$K$3:$K$1500)))))</f>
        <v>4</v>
      </c>
      <c r="N11" s="92">
        <f ca="1">IF($Q11="",0, IF($R11=$S$7,$F11*$M11*$K11,IF($R11=$S$2,$M11*$K11,    IF($M11*$K11 - SUMPRODUCT((TongVTSX!$C$3:$C$1500=$D11)*(TongVTSX!$E$3:$E$1500=$F11)*(TongVTSX!$O$3:$O$1500)) &lt;=10,$M11*$K11,"PO &lt;&gt; TongVTSX"))))</f>
        <v>68000</v>
      </c>
      <c r="O11" s="92">
        <f t="shared" ca="1" si="0"/>
        <v>0</v>
      </c>
      <c r="P11" s="1146" t="str">
        <f ca="1">IFERROR(INDEX(NVLSX!$AA$2:$AA$6756,MATCH($D11,NVLSX!$E$2:$E$6756,0)),"")</f>
        <v>GHI NƠI CẤP BÊN NVLSX CỘT AA</v>
      </c>
      <c r="Q11" s="742">
        <f ca="1">IF($R11="","",IF($R11&lt;&gt;$R10,IF(TYPE(MATCH($R11,TongVTSX!$T$3:$T$1500,0))=16,"",MATCH($R11,TongVTSX!$T$3:$T$1500,0)),IF(TYPE(MATCH($R11,OFFSET(TongVTSX!$T$3,$Q10,0):'TongVTSX'!$T$1500,0)+$Q10)=16,"",MATCH($R11,OFFSET(TongVTSX!$T$3,$Q10,0):'TongVTSX'!$T$1500,0)+$Q10)))</f>
        <v>11</v>
      </c>
      <c r="R11" s="179" t="str">
        <f ca="1">IFERROR(IF(COUNTIF($R$3:R10,R10)&lt; INDEX($T$1:$T$7,MATCH($R10,$S$1:$S$7,0)),$R10,INDEX($S$1:$S$7,MATCH($R10,$S$1:$S$7,0)+1)),"")</f>
        <v>PK</v>
      </c>
      <c r="S11" s="181"/>
      <c r="T11" s="182"/>
      <c r="U11" s="184" t="str">
        <f ca="1">IF($R11="PR",INDEX(NVLSX!$U$2:$U$6941,MATCH($D11,NVLSX!$E$2:$E$6941,0)),"")</f>
        <v/>
      </c>
      <c r="V11" s="184" t="str">
        <f ca="1">IF($R11="PR",INDEX(NVLSX!$S$2:$S$6941,MATCH($D11,NVLSX!$E$2:$E$6941,0))*1000,"")</f>
        <v/>
      </c>
      <c r="W11" s="776" t="str">
        <f ca="1">IF($R11="PR",INDEX(NVLSX!$S$2:$S$6941,MATCH($D11,NVLSX!$E$2:$E$6941,0))*INDEX(NVLSX!$T$2:$T$6941,MATCH($D11,NVLSX!$E$2:$E$6941,0)),"")</f>
        <v/>
      </c>
      <c r="X11" s="776">
        <f t="shared" ca="1" si="1"/>
        <v>0</v>
      </c>
      <c r="Y11" s="982" t="str">
        <f ca="1">IFERROR(INDEX(NVLSX!$X$2:$X$4655,MATCH($D11,NVLSX!$E$2:$E$4655,0)),"")</f>
        <v>3H</v>
      </c>
    </row>
    <row r="12" spans="1:25">
      <c r="A12" s="19">
        <f ca="1">IF($Q12="","",MAX($A$2:A11)+1)</f>
        <v>10</v>
      </c>
      <c r="B12" s="1146" t="str">
        <f ca="1">IFERROR(INDEX(NVLSX!$Y$2:$Y$6756,MATCH($D12,NVLSX!$E$2:$E$6756,0)),"")</f>
        <v>GHI TÊN NCC BÊN NVLSX CỘT Y</v>
      </c>
      <c r="C12" s="1146" t="str">
        <f ca="1">IFERROR(INDEX(NVLSX!$Z$2:$Z$6756,MATCH($D12,NVLSX!$E$2:$E$6756,0)),"")</f>
        <v>GHI TÊN HÃNG BÊN NVLSX CỘT Z</v>
      </c>
      <c r="D12" s="23" t="str">
        <f ca="1">IF($Q12="","",INDEX(TongVTSX!C$3:C$1500,$Q12))</f>
        <v>CKG23</v>
      </c>
      <c r="E12" s="729" t="str">
        <f ca="1">IF($Q12="","",INDEX(TongVTSX!D$3:D$1500,$Q12) &amp; IF(OR($R12=$S$1,$R12=$S$7)," (" &amp; INDEX(TongVTSX!A$3:A$1500,$Q12) &amp; ")",""))</f>
        <v>Vấu hãm cửa 1 cánh</v>
      </c>
      <c r="F12" s="745" t="str">
        <f ca="1">IF($Q12="","",IF($R12=$S$7,INDEX(TongVTSX!$G$3:$G$1500,$Q12),INDEX(TongVTSX!$E$3:$E$1500,$Q12)))</f>
        <v>T/C</v>
      </c>
      <c r="G12" s="24" t="str">
        <f ca="1">IF($Q12="","",IF($R12=$S$1,"mm",IF($R12=$S$2,"Thanh",INDEX(TongVTSX!F$3:F$1500,$Q12))))</f>
        <v>Cái</v>
      </c>
      <c r="H12" s="114">
        <f ca="1">IF($R12=$S$1,INDEX(TongVTSX!$K$3:$K$1500,$Q12),IF($R12=$S$7,INDEX(TongVTSX!$H$3:$H$1500,$Q12),IF($R12=$S$2,ROUNDUP(SUMPRODUCT((TongVTSX!$C$3:$C$1500=$D12)*(TongVTSX!$E$3:$E$1500=$F12)*(TongVTSX!$K$3:$K$1500))/$U12,0),SUMPRODUCT((TongVTSX!$C$3:$C$1500=$D12)*(TongVTSX!$E$3:$E$1500=$F12)*(TongVTSX!$K$3:$K$1500)))))</f>
        <v>4</v>
      </c>
      <c r="I12" s="114"/>
      <c r="J12" s="114"/>
      <c r="K12" s="114">
        <f ca="1">IF($Q12="","",IF($R12=$S$2,INDEX(TongVTSX!M$3:M$1500,$Q12)*$U12,   INDEX(TongVTSX!M$3:M$1500,$Q12)))</f>
        <v>6500</v>
      </c>
      <c r="L12" s="92">
        <f ca="1">IF($Q12="",0, IF($R12=$S$7,$F12*$H12*$K12,IF($R12=$S$2,$H12*$K12,    IF($H12*$K12 - SUMPRODUCT((TongVTSX!$C$3:$C$1500=$D12)*(TongVTSX!$E$3:$E$1500=$F12)*(TongVTSX!$O$3:$O$1500)) &lt;=10,$H12*$K12,"PO &lt;&gt; TongVTSX"))))</f>
        <v>26000</v>
      </c>
      <c r="M12" s="114">
        <f ca="1">IF($R12=$S$1,INDEX(TongVTSX!$K$3:$K$1500,$Q12),IF($R12=$S$7,INDEX(TongVTSX!$H$3:$H$1500,$Q12),IF($R12=$S$2,SUMPRODUCT((TongVTSX!$C$3:$C$1500=$D12)*(TongVTSX!$E$3:$E$1500=$F12)*(TongVTSX!$K$3:$K$1500))/$U12,SUMPRODUCT((TongVTSX!$C$3:$C$1500=$D12)*(TongVTSX!$E$3:$E$1500=$F12)*(TongVTSX!$K$3:$K$1500)))))</f>
        <v>4</v>
      </c>
      <c r="N12" s="92">
        <f ca="1">IF($Q12="",0, IF($R12=$S$7,$F12*$M12*$K12,IF($R12=$S$2,$M12*$K12,    IF($M12*$K12 - SUMPRODUCT((TongVTSX!$C$3:$C$1500=$D12)*(TongVTSX!$E$3:$E$1500=$F12)*(TongVTSX!$O$3:$O$1500)) &lt;=10,$M12*$K12,"PO &lt;&gt; TongVTSX"))))</f>
        <v>26000</v>
      </c>
      <c r="O12" s="92">
        <f t="shared" ca="1" si="0"/>
        <v>0</v>
      </c>
      <c r="P12" s="1146" t="str">
        <f ca="1">IFERROR(INDEX(NVLSX!$AA$2:$AA$6756,MATCH($D12,NVLSX!$E$2:$E$6756,0)),"")</f>
        <v>GHI NƠI CẤP BÊN NVLSX CỘT AA</v>
      </c>
      <c r="Q12" s="742">
        <f ca="1">IF($R12="","",IF($R12&lt;&gt;$R11,IF(TYPE(MATCH($R12,TongVTSX!$T$3:$T$1500,0))=16,"",MATCH($R12,TongVTSX!$T$3:$T$1500,0)),IF(TYPE(MATCH($R12,OFFSET(TongVTSX!$T$3,$Q11,0):'TongVTSX'!$T$1500,0)+$Q11)=16,"",MATCH($R12,OFFSET(TongVTSX!$T$3,$Q11,0):'TongVTSX'!$T$1500,0)+$Q11)))</f>
        <v>12</v>
      </c>
      <c r="R12" s="179" t="str">
        <f ca="1">IFERROR(IF(COUNTIF($R$3:R11,R11)&lt; INDEX($T$1:$T$7,MATCH($R11,$S$1:$S$7,0)),$R11,INDEX($S$1:$S$7,MATCH($R11,$S$1:$S$7,0)+1)),"")</f>
        <v>PK</v>
      </c>
      <c r="S12" s="181"/>
      <c r="T12" s="182"/>
      <c r="U12" s="184" t="str">
        <f ca="1">IF($R12="PR",INDEX(NVLSX!$U$2:$U$6941,MATCH($D12,NVLSX!$E$2:$E$6941,0)),"")</f>
        <v/>
      </c>
      <c r="V12" s="184" t="str">
        <f ca="1">IF($R12="PR",INDEX(NVLSX!$S$2:$S$6941,MATCH($D12,NVLSX!$E$2:$E$6941,0))*1000,"")</f>
        <v/>
      </c>
      <c r="W12" s="776" t="str">
        <f ca="1">IF($R12="PR",INDEX(NVLSX!$S$2:$S$6941,MATCH($D12,NVLSX!$E$2:$E$6941,0))*INDEX(NVLSX!$T$2:$T$6941,MATCH($D12,NVLSX!$E$2:$E$6941,0)),"")</f>
        <v/>
      </c>
      <c r="X12" s="776">
        <f t="shared" ca="1" si="1"/>
        <v>0</v>
      </c>
      <c r="Y12" s="982" t="str">
        <f ca="1">IFERROR(INDEX(NVLSX!$X$2:$X$4655,MATCH($D12,NVLSX!$E$2:$E$4655,0)),"")</f>
        <v>3H</v>
      </c>
    </row>
    <row r="13" spans="1:25">
      <c r="A13" s="19">
        <f ca="1">IF($Q13="","",MAX($A$2:A12)+1)</f>
        <v>11</v>
      </c>
      <c r="B13" s="1146" t="str">
        <f ca="1">IFERROR(INDEX(NVLSX!$Y$2:$Y$6756,MATCH($D13,NVLSX!$E$2:$E$6756,0)),"")</f>
        <v>GHI TÊN NCC BÊN NVLSX CỘT Y</v>
      </c>
      <c r="C13" s="1146" t="str">
        <f ca="1">IFERROR(INDEX(NVLSX!$Z$2:$Z$6756,MATCH($D13,NVLSX!$E$2:$E$6756,0)),"")</f>
        <v>GHI TÊN HÃNG BÊN NVLSX CỘT Z</v>
      </c>
      <c r="D13" s="23" t="str">
        <f ca="1">IF($Q13="","",INDEX(TongVTSX!C$3:C$1500,$Q13))</f>
        <v>CZMK01</v>
      </c>
      <c r="E13" s="729" t="str">
        <f ca="1">IF($Q13="","",INDEX(TongVTSX!D$3:D$1500,$Q13) &amp; IF(OR($R13=$S$1,$R13=$S$7)," (" &amp; INDEX(TongVTSX!A$3:A$1500,$Q13) &amp; ")",""))</f>
        <v>Miệng khoá cửa đi 1 cánh</v>
      </c>
      <c r="F13" s="745" t="str">
        <f ca="1">IF($Q13="","",IF($R13=$S$7,INDEX(TongVTSX!$G$3:$G$1500,$Q13),INDEX(TongVTSX!$E$3:$E$1500,$Q13)))</f>
        <v>T/C</v>
      </c>
      <c r="G13" s="24" t="str">
        <f ca="1">IF($Q13="","",IF($R13=$S$1,"mm",IF($R13=$S$2,"Thanh",INDEX(TongVTSX!F$3:F$1500,$Q13))))</f>
        <v>Cái</v>
      </c>
      <c r="H13" s="114">
        <f ca="1">IF($R13=$S$1,INDEX(TongVTSX!$K$3:$K$1500,$Q13),IF($R13=$S$7,INDEX(TongVTSX!$H$3:$H$1500,$Q13),IF($R13=$S$2,ROUNDUP(SUMPRODUCT((TongVTSX!$C$3:$C$1500=$D13)*(TongVTSX!$E$3:$E$1500=$F13)*(TongVTSX!$K$3:$K$1500))/$U13,0),SUMPRODUCT((TongVTSX!$C$3:$C$1500=$D13)*(TongVTSX!$E$3:$E$1500=$F13)*(TongVTSX!$K$3:$K$1500)))))</f>
        <v>2</v>
      </c>
      <c r="I13" s="114"/>
      <c r="J13" s="114"/>
      <c r="K13" s="114">
        <f ca="1">IF($Q13="","",IF($R13=$S$2,INDEX(TongVTSX!M$3:M$1500,$Q13)*$U13,   INDEX(TongVTSX!M$3:M$1500,$Q13)))</f>
        <v>26000</v>
      </c>
      <c r="L13" s="92">
        <f ca="1">IF($Q13="",0, IF($R13=$S$7,$F13*$H13*$K13,IF($R13=$S$2,$H13*$K13,    IF($H13*$K13 - SUMPRODUCT((TongVTSX!$C$3:$C$1500=$D13)*(TongVTSX!$E$3:$E$1500=$F13)*(TongVTSX!$O$3:$O$1500)) &lt;=10,$H13*$K13,"PO &lt;&gt; TongVTSX"))))</f>
        <v>52000</v>
      </c>
      <c r="M13" s="114">
        <f ca="1">IF($R13=$S$1,INDEX(TongVTSX!$K$3:$K$1500,$Q13),IF($R13=$S$7,INDEX(TongVTSX!$H$3:$H$1500,$Q13),IF($R13=$S$2,SUMPRODUCT((TongVTSX!$C$3:$C$1500=$D13)*(TongVTSX!$E$3:$E$1500=$F13)*(TongVTSX!$K$3:$K$1500))/$U13,SUMPRODUCT((TongVTSX!$C$3:$C$1500=$D13)*(TongVTSX!$E$3:$E$1500=$F13)*(TongVTSX!$K$3:$K$1500)))))</f>
        <v>2</v>
      </c>
      <c r="N13" s="92">
        <f ca="1">IF($Q13="",0, IF($R13=$S$7,$F13*$M13*$K13,IF($R13=$S$2,$M13*$K13,    IF($M13*$K13 - SUMPRODUCT((TongVTSX!$C$3:$C$1500=$D13)*(TongVTSX!$E$3:$E$1500=$F13)*(TongVTSX!$O$3:$O$1500)) &lt;=10,$M13*$K13,"PO &lt;&gt; TongVTSX"))))</f>
        <v>52000</v>
      </c>
      <c r="O13" s="92">
        <f t="shared" ca="1" si="0"/>
        <v>0</v>
      </c>
      <c r="P13" s="1146" t="str">
        <f ca="1">IFERROR(INDEX(NVLSX!$AA$2:$AA$6756,MATCH($D13,NVLSX!$E$2:$E$6756,0)),"")</f>
        <v>GHI NƠI CẤP BÊN NVLSX CỘT AA</v>
      </c>
      <c r="Q13" s="742">
        <f ca="1">IF($R13="","",IF($R13&lt;&gt;$R12,IF(TYPE(MATCH($R13,TongVTSX!$T$3:$T$1500,0))=16,"",MATCH($R13,TongVTSX!$T$3:$T$1500,0)),IF(TYPE(MATCH($R13,OFFSET(TongVTSX!$T$3,$Q12,0):'TongVTSX'!$T$1500,0)+$Q12)=16,"",MATCH($R13,OFFSET(TongVTSX!$T$3,$Q12,0):'TongVTSX'!$T$1500,0)+$Q12)))</f>
        <v>14</v>
      </c>
      <c r="R13" s="179" t="str">
        <f ca="1">IFERROR(IF(COUNTIF($R$3:R12,R12)&lt; INDEX($T$1:$T$7,MATCH($R12,$S$1:$S$7,0)),$R12,INDEX($S$1:$S$7,MATCH($R12,$S$1:$S$7,0)+1)),"")</f>
        <v>PK</v>
      </c>
      <c r="S13" s="181"/>
      <c r="T13" s="182"/>
      <c r="U13" s="184" t="str">
        <f ca="1">IF($R13="PR",INDEX(NVLSX!$U$2:$U$6941,MATCH($D13,NVLSX!$E$2:$E$6941,0)),"")</f>
        <v/>
      </c>
      <c r="V13" s="184" t="str">
        <f ca="1">IF($R13="PR",INDEX(NVLSX!$S$2:$S$6941,MATCH($D13,NVLSX!$E$2:$E$6941,0))*1000,"")</f>
        <v/>
      </c>
      <c r="W13" s="776" t="str">
        <f ca="1">IF($R13="PR",INDEX(NVLSX!$S$2:$S$6941,MATCH($D13,NVLSX!$E$2:$E$6941,0))*INDEX(NVLSX!$T$2:$T$6941,MATCH($D13,NVLSX!$E$2:$E$6941,0)),"")</f>
        <v/>
      </c>
      <c r="X13" s="776">
        <f t="shared" ca="1" si="1"/>
        <v>0</v>
      </c>
      <c r="Y13" s="982" t="str">
        <f ca="1">IFERROR(INDEX(NVLSX!$X$2:$X$4655,MATCH($D13,NVLSX!$E$2:$E$4655,0)),"")</f>
        <v>3H</v>
      </c>
    </row>
    <row r="14" spans="1:25">
      <c r="A14" s="19">
        <f ca="1">IF($Q14="","",MAX($A$2:A13)+1)</f>
        <v>12</v>
      </c>
      <c r="B14" s="1146" t="str">
        <f ca="1">IFERROR(INDEX(NVLSX!$Y$2:$Y$6756,MATCH($D14,NVLSX!$E$2:$E$6756,0)),"")</f>
        <v>GHI TÊN NCC BÊN NVLSX CỘT Y</v>
      </c>
      <c r="C14" s="1146" t="str">
        <f ca="1">IFERROR(INDEX(NVLSX!$Z$2:$Z$6756,MATCH($D14,NVLSX!$E$2:$E$6756,0)),"")</f>
        <v>GHI TÊN HÃNG BÊN NVLSX CỘT Z</v>
      </c>
      <c r="D14" s="23" t="str">
        <f ca="1">IF($Q14="","",INDEX(TongVTSX!C$3:C$1500,$Q14))</f>
        <v>JX112-R</v>
      </c>
      <c r="E14" s="729" t="str">
        <f ca="1">IF($Q14="","",INDEX(TongVTSX!D$3:D$1500,$Q14) &amp; IF(OR($R14=$S$1,$R14=$S$7)," (" &amp; INDEX(TongVTSX!A$3:A$1500,$Q14) &amp; ")",""))</f>
        <v>Hinge/Bản lề khung cánh hệ 55 có chân (3D) - PHẢI</v>
      </c>
      <c r="F14" s="745" t="str">
        <f ca="1">IF($Q14="","",IF($R14=$S$7,INDEX(TongVTSX!$G$3:$G$1500,$Q14),INDEX(TongVTSX!$E$3:$E$1500,$Q14)))</f>
        <v>Xám ghi</v>
      </c>
      <c r="G14" s="24" t="str">
        <f ca="1">IF($Q14="","",IF($R14=$S$1,"mm",IF($R14=$S$2,"Thanh",INDEX(TongVTSX!F$3:F$1500,$Q14))))</f>
        <v>Cái</v>
      </c>
      <c r="H14" s="114">
        <f ca="1">IF($R14=$S$1,INDEX(TongVTSX!$K$3:$K$1500,$Q14),IF($R14=$S$7,INDEX(TongVTSX!$H$3:$H$1500,$Q14),IF($R14=$S$2,ROUNDUP(SUMPRODUCT((TongVTSX!$C$3:$C$1500=$D14)*(TongVTSX!$E$3:$E$1500=$F14)*(TongVTSX!$K$3:$K$1500))/$U14,0),SUMPRODUCT((TongVTSX!$C$3:$C$1500=$D14)*(TongVTSX!$E$3:$E$1500=$F14)*(TongVTSX!$K$3:$K$1500)))))</f>
        <v>6</v>
      </c>
      <c r="I14" s="114"/>
      <c r="J14" s="114"/>
      <c r="K14" s="114">
        <f ca="1">IF($Q14="","",IF($R14=$S$2,INDEX(TongVTSX!M$3:M$1500,$Q14)*$U14,   INDEX(TongVTSX!M$3:M$1500,$Q14)))</f>
        <v>155000</v>
      </c>
      <c r="L14" s="92">
        <f ca="1">IF($Q14="",0, IF($R14=$S$7,$F14*$H14*$K14,IF($R14=$S$2,$H14*$K14,    IF($H14*$K14 - SUMPRODUCT((TongVTSX!$C$3:$C$1500=$D14)*(TongVTSX!$E$3:$E$1500=$F14)*(TongVTSX!$O$3:$O$1500)) &lt;=10,$H14*$K14,"PO &lt;&gt; TongVTSX"))))</f>
        <v>930000</v>
      </c>
      <c r="M14" s="114">
        <f ca="1">IF($R14=$S$1,INDEX(TongVTSX!$K$3:$K$1500,$Q14),IF($R14=$S$7,INDEX(TongVTSX!$H$3:$H$1500,$Q14),IF($R14=$S$2,SUMPRODUCT((TongVTSX!$C$3:$C$1500=$D14)*(TongVTSX!$E$3:$E$1500=$F14)*(TongVTSX!$K$3:$K$1500))/$U14,SUMPRODUCT((TongVTSX!$C$3:$C$1500=$D14)*(TongVTSX!$E$3:$E$1500=$F14)*(TongVTSX!$K$3:$K$1500)))))</f>
        <v>6</v>
      </c>
      <c r="N14" s="92">
        <f ca="1">IF($Q14="",0, IF($R14=$S$7,$F14*$M14*$K14,IF($R14=$S$2,$M14*$K14,    IF($M14*$K14 - SUMPRODUCT((TongVTSX!$C$3:$C$1500=$D14)*(TongVTSX!$E$3:$E$1500=$F14)*(TongVTSX!$O$3:$O$1500)) &lt;=10,$M14*$K14,"PO &lt;&gt; TongVTSX"))))</f>
        <v>930000</v>
      </c>
      <c r="O14" s="92">
        <f t="shared" ca="1" si="0"/>
        <v>0</v>
      </c>
      <c r="P14" s="1146" t="str">
        <f ca="1">IFERROR(INDEX(NVLSX!$AA$2:$AA$6756,MATCH($D14,NVLSX!$E$2:$E$6756,0)),"")</f>
        <v>GHI NƠI CẤP BÊN NVLSX CỘT AA</v>
      </c>
      <c r="Q14" s="742">
        <f ca="1">IF($R14="","",IF($R14&lt;&gt;$R13,IF(TYPE(MATCH($R14,TongVTSX!$T$3:$T$1500,0))=16,"",MATCH($R14,TongVTSX!$T$3:$T$1500,0)),IF(TYPE(MATCH($R14,OFFSET(TongVTSX!$T$3,$Q13,0):'TongVTSX'!$T$1500,0)+$Q13)=16,"",MATCH($R14,OFFSET(TongVTSX!$T$3,$Q13,0):'TongVTSX'!$T$1500,0)+$Q13)))</f>
        <v>15</v>
      </c>
      <c r="R14" s="179" t="str">
        <f ca="1">IFERROR(IF(COUNTIF($R$3:R13,R13)&lt; INDEX($T$1:$T$7,MATCH($R13,$S$1:$S$7,0)),$R13,INDEX($S$1:$S$7,MATCH($R13,$S$1:$S$7,0)+1)),"")</f>
        <v>PK</v>
      </c>
      <c r="S14" s="181"/>
      <c r="T14" s="182"/>
      <c r="U14" s="184" t="str">
        <f ca="1">IF($R14="PR",INDEX(NVLSX!$U$2:$U$6941,MATCH($D14,NVLSX!$E$2:$E$6941,0)),"")</f>
        <v/>
      </c>
      <c r="V14" s="184" t="str">
        <f ca="1">IF($R14="PR",INDEX(NVLSX!$S$2:$S$6941,MATCH($D14,NVLSX!$E$2:$E$6941,0))*1000,"")</f>
        <v/>
      </c>
      <c r="W14" s="776" t="str">
        <f ca="1">IF($R14="PR",INDEX(NVLSX!$S$2:$S$6941,MATCH($D14,NVLSX!$E$2:$E$6941,0))*INDEX(NVLSX!$T$2:$T$6941,MATCH($D14,NVLSX!$E$2:$E$6941,0)),"")</f>
        <v/>
      </c>
      <c r="X14" s="776">
        <f t="shared" ca="1" si="1"/>
        <v>0</v>
      </c>
      <c r="Y14" s="982" t="str">
        <f ca="1">IFERROR(INDEX(NVLSX!$X$2:$X$4655,MATCH($D14,NVLSX!$E$2:$E$4655,0)),"")</f>
        <v>3H</v>
      </c>
    </row>
    <row r="15" spans="1:25">
      <c r="A15" s="19">
        <f ca="1">IF($Q15="","",MAX($A$2:A14)+1)</f>
        <v>13</v>
      </c>
      <c r="B15" s="1146" t="str">
        <f ca="1">IFERROR(INDEX(NVLSX!$Y$2:$Y$6756,MATCH($D15,NVLSX!$E$2:$E$6756,0)),"")</f>
        <v>GHI TÊN NCC BÊN NVLSX CỘT Y</v>
      </c>
      <c r="C15" s="1146" t="str">
        <f ca="1">IFERROR(INDEX(NVLSX!$Z$2:$Z$6756,MATCH($D15,NVLSX!$E$2:$E$6756,0)),"")</f>
        <v>GHI TÊN HÃNG BÊN NVLSX CỘT Z</v>
      </c>
      <c r="D15" s="23" t="str">
        <f ca="1">IF($Q15="","",INDEX(TongVTSX!C$3:C$1500,$Q15))</f>
        <v>OCCXF</v>
      </c>
      <c r="E15" s="729" t="str">
        <f ca="1">IF($Q15="","",INDEX(TongVTSX!D$3:D$1500,$Q15) &amp; IF(OR($R15=$S$1,$R15=$S$7)," (" &amp; INDEX(TongVTSX!A$3:A$1500,$Q15) &amp; ")",""))</f>
        <v>Ốp chân cánh XF (nẹp liền) (trái + phải)</v>
      </c>
      <c r="F15" s="745" t="str">
        <f ca="1">IF($Q15="","",IF($R15=$S$7,INDEX(TongVTSX!$G$3:$G$1500,$Q15),INDEX(TongVTSX!$E$3:$E$1500,$Q15)))</f>
        <v>Xám ghi</v>
      </c>
      <c r="G15" s="24" t="str">
        <f ca="1">IF($Q15="","",IF($R15=$S$1,"mm",IF($R15=$S$2,"Thanh",INDEX(TongVTSX!F$3:F$1500,$Q15))))</f>
        <v>Cặp</v>
      </c>
      <c r="H15" s="114">
        <f ca="1">IF($R15=$S$1,INDEX(TongVTSX!$K$3:$K$1500,$Q15),IF($R15=$S$7,INDEX(TongVTSX!$H$3:$H$1500,$Q15),IF($R15=$S$2,ROUNDUP(SUMPRODUCT((TongVTSX!$C$3:$C$1500=$D15)*(TongVTSX!$E$3:$E$1500=$F15)*(TongVTSX!$K$3:$K$1500))/$U15,0),SUMPRODUCT((TongVTSX!$C$3:$C$1500=$D15)*(TongVTSX!$E$3:$E$1500=$F15)*(TongVTSX!$K$3:$K$1500)))))</f>
        <v>2</v>
      </c>
      <c r="I15" s="114"/>
      <c r="J15" s="114"/>
      <c r="K15" s="114">
        <f ca="1">IF($Q15="","",IF($R15=$S$2,INDEX(TongVTSX!M$3:M$1500,$Q15)*$U15,   INDEX(TongVTSX!M$3:M$1500,$Q15)))</f>
        <v>2450</v>
      </c>
      <c r="L15" s="92">
        <f ca="1">IF($Q15="",0, IF($R15=$S$7,$F15*$H15*$K15,IF($R15=$S$2,$H15*$K15,    IF($H15*$K15 - SUMPRODUCT((TongVTSX!$C$3:$C$1500=$D15)*(TongVTSX!$E$3:$E$1500=$F15)*(TongVTSX!$O$3:$O$1500)) &lt;=10,$H15*$K15,"PO &lt;&gt; TongVTSX"))))</f>
        <v>4900</v>
      </c>
      <c r="M15" s="114">
        <f ca="1">IF($R15=$S$1,INDEX(TongVTSX!$K$3:$K$1500,$Q15),IF($R15=$S$7,INDEX(TongVTSX!$H$3:$H$1500,$Q15),IF($R15=$S$2,SUMPRODUCT((TongVTSX!$C$3:$C$1500=$D15)*(TongVTSX!$E$3:$E$1500=$F15)*(TongVTSX!$K$3:$K$1500))/$U15,SUMPRODUCT((TongVTSX!$C$3:$C$1500=$D15)*(TongVTSX!$E$3:$E$1500=$F15)*(TongVTSX!$K$3:$K$1500)))))</f>
        <v>2</v>
      </c>
      <c r="N15" s="92">
        <f ca="1">IF($Q15="",0, IF($R15=$S$7,$F15*$M15*$K15,IF($R15=$S$2,$M15*$K15,    IF($M15*$K15 - SUMPRODUCT((TongVTSX!$C$3:$C$1500=$D15)*(TongVTSX!$E$3:$E$1500=$F15)*(TongVTSX!$O$3:$O$1500)) &lt;=10,$M15*$K15,"PO &lt;&gt; TongVTSX"))))</f>
        <v>4900</v>
      </c>
      <c r="O15" s="92">
        <f t="shared" ca="1" si="0"/>
        <v>0</v>
      </c>
      <c r="P15" s="1146" t="str">
        <f ca="1">IFERROR(INDEX(NVLSX!$AA$2:$AA$6756,MATCH($D15,NVLSX!$E$2:$E$6756,0)),"")</f>
        <v>GHI NƠI CẤP BÊN NVLSX CỘT AA</v>
      </c>
      <c r="Q15" s="742">
        <f ca="1">IF($R15="","",IF($R15&lt;&gt;$R14,IF(TYPE(MATCH($R15,TongVTSX!$T$3:$T$1500,0))=16,"",MATCH($R15,TongVTSX!$T$3:$T$1500,0)),IF(TYPE(MATCH($R15,OFFSET(TongVTSX!$T$3,$Q14,0):'TongVTSX'!$T$1500,0)+$Q14)=16,"",MATCH($R15,OFFSET(TongVTSX!$T$3,$Q14,0):'TongVTSX'!$T$1500,0)+$Q14)))</f>
        <v>16</v>
      </c>
      <c r="R15" s="179" t="str">
        <f ca="1">IFERROR(IF(COUNTIF($R$3:R14,R14)&lt; INDEX($T$1:$T$7,MATCH($R14,$S$1:$S$7,0)),$R14,INDEX($S$1:$S$7,MATCH($R14,$S$1:$S$7,0)+1)),"")</f>
        <v>PK</v>
      </c>
      <c r="S15" s="181"/>
      <c r="T15" s="182"/>
      <c r="U15" s="184" t="str">
        <f ca="1">IF($R15="PR",INDEX(NVLSX!$U$2:$U$6941,MATCH($D15,NVLSX!$E$2:$E$6941,0)),"")</f>
        <v/>
      </c>
      <c r="V15" s="184" t="str">
        <f ca="1">IF($R15="PR",INDEX(NVLSX!$S$2:$S$6941,MATCH($D15,NVLSX!$E$2:$E$6941,0))*1000,"")</f>
        <v/>
      </c>
      <c r="W15" s="776" t="str">
        <f ca="1">IF($R15="PR",INDEX(NVLSX!$S$2:$S$6941,MATCH($D15,NVLSX!$E$2:$E$6941,0))*INDEX(NVLSX!$T$2:$T$6941,MATCH($D15,NVLSX!$E$2:$E$6941,0)),"")</f>
        <v/>
      </c>
      <c r="X15" s="776">
        <f t="shared" ca="1" si="1"/>
        <v>0</v>
      </c>
      <c r="Y15" s="982" t="str">
        <f ca="1">IFERROR(INDEX(NVLSX!$X$2:$X$4655,MATCH($D15,NVLSX!$E$2:$E$4655,0)),"")</f>
        <v>3H</v>
      </c>
    </row>
    <row r="16" spans="1:25">
      <c r="A16" s="19">
        <f ca="1">IF($Q16="","",MAX($A$2:A15)+1)</f>
        <v>14</v>
      </c>
      <c r="B16" s="1146" t="str">
        <f ca="1">IFERROR(INDEX(NVLSX!$Y$2:$Y$6756,MATCH($D16,NVLSX!$E$2:$E$6756,0)),"")</f>
        <v>GHI TÊN NCC BÊN NVLSX CỘT Y</v>
      </c>
      <c r="C16" s="1146" t="str">
        <f ca="1">IFERROR(INDEX(NVLSX!$Z$2:$Z$6756,MATCH($D16,NVLSX!$E$2:$E$6756,0)),"")</f>
        <v>GHI TÊN HÃNG BÊN NVLSX CỘT Z</v>
      </c>
      <c r="D16" s="23" t="str">
        <f ca="1">IF($Q16="","",INDEX(TongVTSX!C$3:C$1500,$Q16))</f>
        <v>GONHOMDORI</v>
      </c>
      <c r="E16" s="729" t="str">
        <f ca="1">IF($Q16="","",INDEX(TongVTSX!D$3:D$1500,$Q16) &amp; IF(OR($R16=$S$1,$R16=$S$7)," (" &amp; INDEX(TongVTSX!A$3:A$1500,$Q16) &amp; ")",""))</f>
        <v>Gioăng khung nhôm XINGFA DORI</v>
      </c>
      <c r="F16" s="745" t="str">
        <f ca="1">IF($Q16="","",IF($R16=$S$7,INDEX(TongVTSX!$G$3:$G$1500,$Q16),INDEX(TongVTSX!$E$3:$E$1500,$Q16)))</f>
        <v>T/C</v>
      </c>
      <c r="G16" s="24" t="str">
        <f ca="1">IF($Q16="","",IF($R16=$S$1,"mm",IF($R16=$S$2,"Thanh",INDEX(TongVTSX!F$3:F$1500,$Q16))))</f>
        <v>mm</v>
      </c>
      <c r="H16" s="114">
        <f ca="1">IF($R16=$S$1,INDEX(TongVTSX!$K$3:$K$1500,$Q16),IF($R16=$S$7,INDEX(TongVTSX!$H$3:$H$1500,$Q16),IF($R16=$S$2,ROUNDUP(SUMPRODUCT((TongVTSX!$C$3:$C$1500=$D16)*(TongVTSX!$E$3:$E$1500=$F16)*(TongVTSX!$K$3:$K$1500))/$U16,0),SUMPRODUCT((TongVTSX!$C$3:$C$1500=$D16)*(TongVTSX!$E$3:$E$1500=$F16)*(TongVTSX!$K$3:$K$1500)))))</f>
        <v>32640</v>
      </c>
      <c r="I16" s="114"/>
      <c r="J16" s="114"/>
      <c r="K16" s="114">
        <f ca="1">IF($Q16="","",IF($R16=$S$2,INDEX(TongVTSX!M$3:M$1500,$Q16)*$U16,   INDEX(TongVTSX!M$3:M$1500,$Q16)))</f>
        <v>0.11</v>
      </c>
      <c r="L16" s="92">
        <f ca="1">IF($Q16="",0, IF($R16=$S$7,$F16*$H16*$K16,IF($R16=$S$2,$H16*$K16,    IF($H16*$K16 - SUMPRODUCT((TongVTSX!$C$3:$C$1500=$D16)*(TongVTSX!$E$3:$E$1500=$F16)*(TongVTSX!$O$3:$O$1500)) &lt;=10,$H16*$K16,"PO &lt;&gt; TongVTSX"))))</f>
        <v>3590.4</v>
      </c>
      <c r="M16" s="114">
        <f ca="1">IF($R16=$S$1,INDEX(TongVTSX!$K$3:$K$1500,$Q16),IF($R16=$S$7,INDEX(TongVTSX!$H$3:$H$1500,$Q16),IF($R16=$S$2,SUMPRODUCT((TongVTSX!$C$3:$C$1500=$D16)*(TongVTSX!$E$3:$E$1500=$F16)*(TongVTSX!$K$3:$K$1500))/$U16,SUMPRODUCT((TongVTSX!$C$3:$C$1500=$D16)*(TongVTSX!$E$3:$E$1500=$F16)*(TongVTSX!$K$3:$K$1500)))))</f>
        <v>32640</v>
      </c>
      <c r="N16" s="92">
        <f ca="1">IF($Q16="",0, IF($R16=$S$7,$F16*$M16*$K16,IF($R16=$S$2,$M16*$K16,    IF($M16*$K16 - SUMPRODUCT((TongVTSX!$C$3:$C$1500=$D16)*(TongVTSX!$E$3:$E$1500=$F16)*(TongVTSX!$O$3:$O$1500)) &lt;=10,$M16*$K16,"PO &lt;&gt; TongVTSX"))))</f>
        <v>3590.4</v>
      </c>
      <c r="O16" s="92">
        <f t="shared" ca="1" si="0"/>
        <v>0</v>
      </c>
      <c r="P16" s="1146" t="str">
        <f ca="1">IFERROR(INDEX(NVLSX!$AA$2:$AA$6756,MATCH($D16,NVLSX!$E$2:$E$6756,0)),"")</f>
        <v>GHI NƠI CẤP BÊN NVLSX CỘT AA</v>
      </c>
      <c r="Q16" s="742">
        <f ca="1">IF($R16="","",IF($R16&lt;&gt;$R15,IF(TYPE(MATCH($R16,TongVTSX!$T$3:$T$1500,0))=16,"",MATCH($R16,TongVTSX!$T$3:$T$1500,0)),IF(TYPE(MATCH($R16,OFFSET(TongVTSX!$T$3,$Q15,0):'TongVTSX'!$T$1500,0)+$Q15)=16,"",MATCH($R16,OFFSET(TongVTSX!$T$3,$Q15,0):'TongVTSX'!$T$1500,0)+$Q15)))</f>
        <v>17</v>
      </c>
      <c r="R16" s="179" t="str">
        <f ca="1">IFERROR(IF(COUNTIF($R$3:R15,R15)&lt; INDEX($T$1:$T$7,MATCH($R15,$S$1:$S$7,0)),$R15,INDEX($S$1:$S$7,MATCH($R15,$S$1:$S$7,0)+1)),"")</f>
        <v>GI</v>
      </c>
      <c r="S16" s="880"/>
      <c r="T16" s="182"/>
      <c r="U16" s="184" t="str">
        <f ca="1">IF($R16="PR",INDEX(NVLSX!$U$2:$U$6941,MATCH($D16,NVLSX!$E$2:$E$6941,0)),"")</f>
        <v/>
      </c>
      <c r="V16" s="184" t="str">
        <f ca="1">IF($R16="PR",INDEX(NVLSX!$S$2:$S$6941,MATCH($D16,NVLSX!$E$2:$E$6941,0))*1000,"")</f>
        <v/>
      </c>
      <c r="W16" s="776" t="str">
        <f ca="1">IF($R16="PR",INDEX(NVLSX!$S$2:$S$6941,MATCH($D16,NVLSX!$E$2:$E$6941,0))*INDEX(NVLSX!$T$2:$T$6941,MATCH($D16,NVLSX!$E$2:$E$6941,0)),"")</f>
        <v/>
      </c>
      <c r="X16" s="776">
        <f t="shared" ca="1" si="1"/>
        <v>0</v>
      </c>
      <c r="Y16" s="982" t="str">
        <f ca="1">IFERROR(INDEX(NVLSX!$X$2:$X$4655,MATCH($D16,NVLSX!$E$2:$E$4655,0)),"")</f>
        <v/>
      </c>
    </row>
    <row r="17" spans="1:25">
      <c r="A17" s="19">
        <f ca="1">IF($Q17="","",MAX($A$2:A16)+1)</f>
        <v>15</v>
      </c>
      <c r="B17" s="1146" t="str">
        <f ca="1">IFERROR(INDEX(NVLSX!$Y$2:$Y$6756,MATCH($D17,NVLSX!$E$2:$E$6756,0)),"")</f>
        <v>GHI TÊN NCC BÊN NVLSX CỘT Y</v>
      </c>
      <c r="C17" s="1146" t="str">
        <f ca="1">IFERROR(INDEX(NVLSX!$Z$2:$Z$6756,MATCH($D17,NVLSX!$E$2:$E$6756,0)),"")</f>
        <v>GHI TÊN HÃNG BÊN NVLSX CỘT Z</v>
      </c>
      <c r="D17" s="23" t="str">
        <f ca="1">IF($Q17="","",INDEX(TongVTSX!C$3:C$1500,$Q17))</f>
        <v>Silicone-K</v>
      </c>
      <c r="E17" s="729" t="str">
        <f ca="1">IF($Q17="","",INDEX(TongVTSX!D$3:D$1500,$Q17) &amp; IF(OR($R17=$S$1,$R17=$S$7)," (" &amp; INDEX(TongVTSX!A$3:A$1500,$Q17) &amp; ")",""))</f>
        <v>Silicone KÍNH</v>
      </c>
      <c r="F17" s="745" t="str">
        <f ca="1">IF($Q17="","",IF($R17=$S$7,INDEX(TongVTSX!$G$3:$G$1500,$Q17),INDEX(TongVTSX!$E$3:$E$1500,$Q17)))</f>
        <v>Đen</v>
      </c>
      <c r="G17" s="24" t="str">
        <f ca="1">IF($Q17="","",IF($R17=$S$1,"mm",IF($R17=$S$2,"Thanh",INDEX(TongVTSX!F$3:F$1500,$Q17))))</f>
        <v>Chai</v>
      </c>
      <c r="H17" s="114">
        <f ca="1">IF($R17=$S$1,INDEX(TongVTSX!$K$3:$K$1500,$Q17),IF($R17=$S$7,INDEX(TongVTSX!$H$3:$H$1500,$Q17),IF($R17=$S$2,ROUNDUP(SUMPRODUCT((TongVTSX!$C$3:$C$1500=$D17)*(TongVTSX!$E$3:$E$1500=$F17)*(TongVTSX!$K$3:$K$1500))/$U17,0),SUMPRODUCT((TongVTSX!$C$3:$C$1500=$D17)*(TongVTSX!$E$3:$E$1500=$F17)*(TongVTSX!$K$3:$K$1500)))))</f>
        <v>2.1714285714285713</v>
      </c>
      <c r="I17" s="114"/>
      <c r="J17" s="114"/>
      <c r="K17" s="114">
        <f ca="1">IF($Q17="","",IF($R17=$S$2,INDEX(TongVTSX!M$3:M$1500,$Q17)*$U17,   INDEX(TongVTSX!M$3:M$1500,$Q17)))</f>
        <v>53000</v>
      </c>
      <c r="L17" s="92">
        <f ca="1">IF($Q17="",0, IF($R17=$S$7,$F17*$H17*$K17,IF($R17=$S$2,$H17*$K17,    IF($H17*$K17 - SUMPRODUCT((TongVTSX!$C$3:$C$1500=$D17)*(TongVTSX!$E$3:$E$1500=$F17)*(TongVTSX!$O$3:$O$1500)) &lt;=10,$H17*$K17,"PO &lt;&gt; TongVTSX"))))</f>
        <v>115085.71428571428</v>
      </c>
      <c r="M17" s="114">
        <f ca="1">IF($R17=$S$1,INDEX(TongVTSX!$K$3:$K$1500,$Q17),IF($R17=$S$7,INDEX(TongVTSX!$H$3:$H$1500,$Q17),IF($R17=$S$2,SUMPRODUCT((TongVTSX!$C$3:$C$1500=$D17)*(TongVTSX!$E$3:$E$1500=$F17)*(TongVTSX!$K$3:$K$1500))/$U17,SUMPRODUCT((TongVTSX!$C$3:$C$1500=$D17)*(TongVTSX!$E$3:$E$1500=$F17)*(TongVTSX!$K$3:$K$1500)))))</f>
        <v>2.1714285714285713</v>
      </c>
      <c r="N17" s="92">
        <f ca="1">IF($Q17="",0, IF($R17=$S$7,$F17*$M17*$K17,IF($R17=$S$2,$M17*$K17,    IF($M17*$K17 - SUMPRODUCT((TongVTSX!$C$3:$C$1500=$D17)*(TongVTSX!$E$3:$E$1500=$F17)*(TongVTSX!$O$3:$O$1500)) &lt;=10,$M17*$K17,"PO &lt;&gt; TongVTSX"))))</f>
        <v>115085.71428571428</v>
      </c>
      <c r="O17" s="92">
        <f t="shared" ca="1" si="0"/>
        <v>0</v>
      </c>
      <c r="P17" s="1146" t="str">
        <f ca="1">IFERROR(INDEX(NVLSX!$AA$2:$AA$6756,MATCH($D17,NVLSX!$E$2:$E$6756,0)),"")</f>
        <v>GHI NƠI CẤP BÊN NVLSX CỘT AA</v>
      </c>
      <c r="Q17" s="742">
        <f ca="1">IF($R17="","",IF($R17&lt;&gt;$R16,IF(TYPE(MATCH($R17,TongVTSX!$T$3:$T$1500,0))=16,"",MATCH($R17,TongVTSX!$T$3:$T$1500,0)),IF(TYPE(MATCH($R17,OFFSET(TongVTSX!$T$3,$Q16,0):'TongVTSX'!$T$1500,0)+$Q16)=16,"",MATCH($R17,OFFSET(TongVTSX!$T$3,$Q16,0):'TongVTSX'!$T$1500,0)+$Q16)))</f>
        <v>18</v>
      </c>
      <c r="R17" s="179" t="str">
        <f ca="1">IFERROR(IF(COUNTIF($R$3:R16,R16)&lt; INDEX($T$1:$T$7,MATCH($R16,$S$1:$S$7,0)),$R16,INDEX($S$1:$S$7,MATCH($R16,$S$1:$S$7,0)+1)),"")</f>
        <v>GI</v>
      </c>
      <c r="S17" s="181"/>
      <c r="T17" s="182"/>
      <c r="U17" s="184" t="str">
        <f ca="1">IF($R17="PR",INDEX(NVLSX!$U$2:$U$6941,MATCH($D17,NVLSX!$E$2:$E$6941,0)),"")</f>
        <v/>
      </c>
      <c r="V17" s="184" t="str">
        <f ca="1">IF($R17="PR",INDEX(NVLSX!$S$2:$S$6941,MATCH($D17,NVLSX!$E$2:$E$6941,0))*1000,"")</f>
        <v/>
      </c>
      <c r="W17" s="776" t="str">
        <f ca="1">IF($R17="PR",INDEX(NVLSX!$S$2:$S$6941,MATCH($D17,NVLSX!$E$2:$E$6941,0))*INDEX(NVLSX!$T$2:$T$6941,MATCH($D17,NVLSX!$E$2:$E$6941,0)),"")</f>
        <v/>
      </c>
      <c r="X17" s="776">
        <f t="shared" ca="1" si="1"/>
        <v>0</v>
      </c>
      <c r="Y17" s="982" t="str">
        <f ca="1">IFERROR(INDEX(NVLSX!$X$2:$X$4655,MATCH($D17,NVLSX!$E$2:$E$4655,0)),"")</f>
        <v/>
      </c>
    </row>
    <row r="18" spans="1:25">
      <c r="A18" s="19">
        <f ca="1">IF($Q18="","",MAX($A$2:A17)+1)</f>
        <v>16</v>
      </c>
      <c r="B18" s="1146" t="str">
        <f ca="1">IFERROR(INDEX(NVLSX!$Y$2:$Y$6756,MATCH($D18,NVLSX!$E$2:$E$6756,0)),"")</f>
        <v>GHI TÊN NCC BÊN NVLSX CỘT Y</v>
      </c>
      <c r="C18" s="1146" t="str">
        <f ca="1">IFERROR(INDEX(NVLSX!$Z$2:$Z$6756,MATCH($D18,NVLSX!$E$2:$E$6756,0)),"")</f>
        <v>GHI TÊN HÃNG BÊN NVLSX CỘT Z</v>
      </c>
      <c r="D18" s="23" t="str">
        <f ca="1">IF($Q18="","",INDEX(TongVTSX!C$3:C$1500,$Q18))</f>
        <v>5*7</v>
      </c>
      <c r="E18" s="729" t="str">
        <f ca="1">IF($Q18="","",INDEX(TongVTSX!D$3:D$1500,$Q18) &amp; IF(OR($R18=$S$1,$R18=$S$7)," (" &amp; INDEX(TongVTSX!A$3:A$1500,$Q18) &amp; ")",""))</f>
        <v>Lông nheo 5*7</v>
      </c>
      <c r="F18" s="745" t="str">
        <f ca="1">IF($Q18="","",IF($R18=$S$7,INDEX(TongVTSX!$G$3:$G$1500,$Q18),INDEX(TongVTSX!$E$3:$E$1500,$Q18)))</f>
        <v>T/C</v>
      </c>
      <c r="G18" s="24" t="str">
        <f ca="1">IF($Q18="","",IF($R18=$S$1,"mm",IF($R18=$S$2,"Thanh",INDEX(TongVTSX!F$3:F$1500,$Q18))))</f>
        <v>mm</v>
      </c>
      <c r="H18" s="114">
        <f ca="1">IF($R18=$S$1,INDEX(TongVTSX!$K$3:$K$1500,$Q18),IF($R18=$S$7,INDEX(TongVTSX!$H$3:$H$1500,$Q18),IF($R18=$S$2,ROUNDUP(SUMPRODUCT((TongVTSX!$C$3:$C$1500=$D18)*(TongVTSX!$E$3:$E$1500=$F18)*(TongVTSX!$K$3:$K$1500))/$U18,0),SUMPRODUCT((TongVTSX!$C$3:$C$1500=$D18)*(TongVTSX!$E$3:$E$1500=$F18)*(TongVTSX!$K$3:$K$1500)))))</f>
        <v>7040.0000000000009</v>
      </c>
      <c r="I18" s="114"/>
      <c r="J18" s="114"/>
      <c r="K18" s="114">
        <f ca="1">IF($Q18="","",IF($R18=$S$2,INDEX(TongVTSX!M$3:M$1500,$Q18)*$U18,   INDEX(TongVTSX!M$3:M$1500,$Q18)))</f>
        <v>6</v>
      </c>
      <c r="L18" s="92">
        <f ca="1">IF($Q18="",0, IF($R18=$S$7,$F18*$H18*$K18,IF($R18=$S$2,$H18*$K18,    IF($H18*$K18 - SUMPRODUCT((TongVTSX!$C$3:$C$1500=$D18)*(TongVTSX!$E$3:$E$1500=$F18)*(TongVTSX!$O$3:$O$1500)) &lt;=10,$H18*$K18,"PO &lt;&gt; TongVTSX"))))</f>
        <v>42240.000000000007</v>
      </c>
      <c r="M18" s="114">
        <f ca="1">IF($R18=$S$1,INDEX(TongVTSX!$K$3:$K$1500,$Q18),IF($R18=$S$7,INDEX(TongVTSX!$H$3:$H$1500,$Q18),IF($R18=$S$2,SUMPRODUCT((TongVTSX!$C$3:$C$1500=$D18)*(TongVTSX!$E$3:$E$1500=$F18)*(TongVTSX!$K$3:$K$1500))/$U18,SUMPRODUCT((TongVTSX!$C$3:$C$1500=$D18)*(TongVTSX!$E$3:$E$1500=$F18)*(TongVTSX!$K$3:$K$1500)))))</f>
        <v>7040.0000000000009</v>
      </c>
      <c r="N18" s="92">
        <f ca="1">IF($Q18="",0, IF($R18=$S$7,$F18*$M18*$K18,IF($R18=$S$2,$M18*$K18,    IF($M18*$K18 - SUMPRODUCT((TongVTSX!$C$3:$C$1500=$D18)*(TongVTSX!$E$3:$E$1500=$F18)*(TongVTSX!$O$3:$O$1500)) &lt;=10,$M18*$K18,"PO &lt;&gt; TongVTSX"))))</f>
        <v>42240.000000000007</v>
      </c>
      <c r="O18" s="92">
        <f t="shared" ca="1" si="0"/>
        <v>0</v>
      </c>
      <c r="P18" s="1146" t="str">
        <f ca="1">IFERROR(INDEX(NVLSX!$AA$2:$AA$6756,MATCH($D18,NVLSX!$E$2:$E$6756,0)),"")</f>
        <v>GHI NƠI CẤP BÊN NVLSX CỘT AA</v>
      </c>
      <c r="Q18" s="742">
        <f ca="1">IF($R18="","",IF($R18&lt;&gt;$R17,IF(TYPE(MATCH($R18,TongVTSX!$T$3:$T$1500,0))=16,"",MATCH($R18,TongVTSX!$T$3:$T$1500,0)),IF(TYPE(MATCH($R18,OFFSET(TongVTSX!$T$3,$Q17,0):'TongVTSX'!$T$1500,0)+$Q17)=16,"",MATCH($R18,OFFSET(TongVTSX!$T$3,$Q17,0):'TongVTSX'!$T$1500,0)+$Q17)))</f>
        <v>19</v>
      </c>
      <c r="R18" s="179" t="str">
        <f ca="1">IFERROR(IF(COUNTIF($R$3:R17,R17)&lt; INDEX($T$1:$T$7,MATCH($R17,$S$1:$S$7,0)),$R17,INDEX($S$1:$S$7,MATCH($R17,$S$1:$S$7,0)+1)),"")</f>
        <v>GI</v>
      </c>
      <c r="S18" s="181"/>
      <c r="T18" s="182"/>
      <c r="U18" s="184" t="str">
        <f ca="1">IF($R18="PR",INDEX(NVLSX!$U$2:$U$6941,MATCH($D18,NVLSX!$E$2:$E$6941,0)),"")</f>
        <v/>
      </c>
      <c r="V18" s="184" t="str">
        <f ca="1">IF($R18="PR",INDEX(NVLSX!$S$2:$S$6941,MATCH($D18,NVLSX!$E$2:$E$6941,0))*1000,"")</f>
        <v/>
      </c>
      <c r="W18" s="776" t="str">
        <f ca="1">IF($R18="PR",INDEX(NVLSX!$S$2:$S$6941,MATCH($D18,NVLSX!$E$2:$E$6941,0))*INDEX(NVLSX!$T$2:$T$6941,MATCH($D18,NVLSX!$E$2:$E$6941,0)),"")</f>
        <v/>
      </c>
      <c r="X18" s="776">
        <f t="shared" ca="1" si="1"/>
        <v>0</v>
      </c>
      <c r="Y18" s="982" t="str">
        <f ca="1">IFERROR(INDEX(NVLSX!$X$2:$X$4655,MATCH($D18,NVLSX!$E$2:$E$4655,0)),"")</f>
        <v/>
      </c>
    </row>
    <row r="19" spans="1:25">
      <c r="A19" s="19">
        <f ca="1">IF($Q19="","",MAX($A$2:A18)+1)</f>
        <v>17</v>
      </c>
      <c r="B19" s="1146" t="str">
        <f ca="1">IFERROR(INDEX(NVLSX!$Y$2:$Y$6756,MATCH($D19,NVLSX!$E$2:$E$6756,0)),"")</f>
        <v>GHI TÊN NCC BÊN NVLSX CỘT Y</v>
      </c>
      <c r="C19" s="1146" t="str">
        <f ca="1">IFERROR(INDEX(NVLSX!$Z$2:$Z$6756,MATCH($D19,NVLSX!$E$2:$E$6756,0)),"")</f>
        <v>GHI TÊN HÃNG BÊN NVLSX CỘT Z</v>
      </c>
      <c r="D19" s="23" t="str">
        <f ca="1">IF($Q19="","",INDEX(TongVTSX!C$3:C$1500,$Q19))</f>
        <v>VCF347</v>
      </c>
      <c r="E19" s="729" t="str">
        <f ca="1">IF($Q19="","",INDEX(TongVTSX!D$3:D$1500,$Q19) &amp; IF(OR($R19=$S$1,$R19=$S$7)," (" &amp; INDEX(TongVTSX!A$3:A$1500,$Q19) &amp; ")",""))</f>
        <v>Ke vĩnh cửu KB &amp; cánh đi XF55 31*41</v>
      </c>
      <c r="F19" s="745" t="str">
        <f ca="1">IF($Q19="","",IF($R19=$S$7,INDEX(TongVTSX!$G$3:$G$1500,$Q19),INDEX(TongVTSX!$E$3:$E$1500,$Q19)))</f>
        <v>T/C</v>
      </c>
      <c r="G19" s="24" t="str">
        <f ca="1">IF($Q19="","",IF($R19=$S$1,"mm",IF($R19=$S$2,"Thanh",INDEX(TongVTSX!F$3:F$1500,$Q19))))</f>
        <v>Cái</v>
      </c>
      <c r="H19" s="114">
        <f ca="1">IF($R19=$S$1,INDEX(TongVTSX!$K$3:$K$1500,$Q19),IF($R19=$S$7,INDEX(TongVTSX!$H$3:$H$1500,$Q19),IF($R19=$S$2,ROUNDUP(SUMPRODUCT((TongVTSX!$C$3:$C$1500=$D19)*(TongVTSX!$E$3:$E$1500=$F19)*(TongVTSX!$K$3:$K$1500))/$U19,0),SUMPRODUCT((TongVTSX!$C$3:$C$1500=$D19)*(TongVTSX!$E$3:$E$1500=$F19)*(TongVTSX!$K$3:$K$1500)))))</f>
        <v>12</v>
      </c>
      <c r="I19" s="114"/>
      <c r="J19" s="114"/>
      <c r="K19" s="114">
        <f ca="1">IF($Q19="","",IF($R19=$S$2,INDEX(TongVTSX!M$3:M$1500,$Q19)*$U19,   INDEX(TongVTSX!M$3:M$1500,$Q19)))</f>
        <v>9400</v>
      </c>
      <c r="L19" s="92">
        <f ca="1">IF($Q19="",0, IF($R19=$S$7,$F19*$H19*$K19,IF($R19=$S$2,$H19*$K19,    IF($H19*$K19 - SUMPRODUCT((TongVTSX!$C$3:$C$1500=$D19)*(TongVTSX!$E$3:$E$1500=$F19)*(TongVTSX!$O$3:$O$1500)) &lt;=10,$H19*$K19,"PO &lt;&gt; TongVTSX"))))</f>
        <v>112800</v>
      </c>
      <c r="M19" s="114">
        <f ca="1">IF($R19=$S$1,INDEX(TongVTSX!$K$3:$K$1500,$Q19),IF($R19=$S$7,INDEX(TongVTSX!$H$3:$H$1500,$Q19),IF($R19=$S$2,SUMPRODUCT((TongVTSX!$C$3:$C$1500=$D19)*(TongVTSX!$E$3:$E$1500=$F19)*(TongVTSX!$K$3:$K$1500))/$U19,SUMPRODUCT((TongVTSX!$C$3:$C$1500=$D19)*(TongVTSX!$E$3:$E$1500=$F19)*(TongVTSX!$K$3:$K$1500)))))</f>
        <v>12</v>
      </c>
      <c r="N19" s="92">
        <f ca="1">IF($Q19="",0, IF($R19=$S$7,$F19*$M19*$K19,IF($R19=$S$2,$M19*$K19,    IF($M19*$K19 - SUMPRODUCT((TongVTSX!$C$3:$C$1500=$D19)*(TongVTSX!$E$3:$E$1500=$F19)*(TongVTSX!$O$3:$O$1500)) &lt;=10,$M19*$K19,"PO &lt;&gt; TongVTSX"))))</f>
        <v>112800</v>
      </c>
      <c r="O19" s="92">
        <f t="shared" ca="1" si="0"/>
        <v>0</v>
      </c>
      <c r="P19" s="1146" t="str">
        <f ca="1">IFERROR(INDEX(NVLSX!$AA$2:$AA$6756,MATCH($D19,NVLSX!$E$2:$E$6756,0)),"")</f>
        <v>GHI NƠI CẤP BÊN NVLSX CỘT AA</v>
      </c>
      <c r="Q19" s="742">
        <f ca="1">IF($R19="","",IF($R19&lt;&gt;$R18,IF(TYPE(MATCH($R19,TongVTSX!$T$3:$T$1500,0))=16,"",MATCH($R19,TongVTSX!$T$3:$T$1500,0)),IF(TYPE(MATCH($R19,OFFSET(TongVTSX!$T$3,$Q18,0):'TongVTSX'!$T$1500,0)+$Q18)=16,"",MATCH($R19,OFFSET(TongVTSX!$T$3,$Q18,0):'TongVTSX'!$T$1500,0)+$Q18)))</f>
        <v>20</v>
      </c>
      <c r="R19" s="179" t="str">
        <f ca="1">IFERROR(IF(COUNTIF($R$3:R18,R18)&lt; INDEX($T$1:$T$7,MATCH($R18,$S$1:$S$7,0)),$R18,INDEX($S$1:$S$7,MATCH($R18,$S$1:$S$7,0)+1)),"")</f>
        <v>VTSX</v>
      </c>
      <c r="S19" s="181"/>
      <c r="T19" s="182"/>
      <c r="U19" s="184" t="str">
        <f ca="1">IF($R19="PR",INDEX(NVLSX!$U$2:$U$6941,MATCH($D19,NVLSX!$E$2:$E$6941,0)),"")</f>
        <v/>
      </c>
      <c r="V19" s="184" t="str">
        <f ca="1">IF($R19="PR",INDEX(NVLSX!$S$2:$S$6941,MATCH($D19,NVLSX!$E$2:$E$6941,0))*1000,"")</f>
        <v/>
      </c>
      <c r="W19" s="776" t="str">
        <f ca="1">IF($R19="PR",INDEX(NVLSX!$S$2:$S$6941,MATCH($D19,NVLSX!$E$2:$E$6941,0))*INDEX(NVLSX!$T$2:$T$6941,MATCH($D19,NVLSX!$E$2:$E$6941,0)),"")</f>
        <v/>
      </c>
      <c r="X19" s="776">
        <f t="shared" ca="1" si="1"/>
        <v>0</v>
      </c>
      <c r="Y19" s="982" t="str">
        <f ca="1">IFERROR(INDEX(NVLSX!$X$2:$X$4655,MATCH($D19,NVLSX!$E$2:$E$4655,0)),"")</f>
        <v/>
      </c>
    </row>
    <row r="20" spans="1:25">
      <c r="A20" s="19">
        <f ca="1">IF($Q20="","",MAX($A$2:A19)+1)</f>
        <v>18</v>
      </c>
      <c r="B20" s="1146" t="str">
        <f ca="1">IFERROR(INDEX(NVLSX!$Y$2:$Y$6756,MATCH($D20,NVLSX!$E$2:$E$6756,0)),"")</f>
        <v>GHI TÊN NCC BÊN NVLSX CỘT Y</v>
      </c>
      <c r="C20" s="1146" t="str">
        <f ca="1">IFERROR(INDEX(NVLSX!$Z$2:$Z$6756,MATCH($D20,NVLSX!$E$2:$E$6756,0)),"")</f>
        <v>GHI TÊN HÃNG BÊN NVLSX CỘT Z</v>
      </c>
      <c r="D20" s="23" t="str">
        <f ca="1">IF($Q20="","",INDEX(TongVTSX!C$3:C$1500,$Q20))</f>
        <v>OcKeVC</v>
      </c>
      <c r="E20" s="729" t="str">
        <f ca="1">IF($Q20="","",INDEX(TongVTSX!D$3:D$1500,$Q20) &amp; IF(OR($R20=$S$1,$R20=$S$7)," (" &amp; INDEX(TongVTSX!A$3:A$1500,$Q20) &amp; ")",""))</f>
        <v>Ốc bắt ke vĩnh cửu</v>
      </c>
      <c r="F20" s="745" t="str">
        <f ca="1">IF($Q20="","",IF($R20=$S$7,INDEX(TongVTSX!$G$3:$G$1500,$Q20),INDEX(TongVTSX!$E$3:$E$1500,$Q20)))</f>
        <v>T/C</v>
      </c>
      <c r="G20" s="24" t="str">
        <f ca="1">IF($Q20="","",IF($R20=$S$1,"mm",IF($R20=$S$2,"Thanh",INDEX(TongVTSX!F$3:F$1500,$Q20))))</f>
        <v>Cái</v>
      </c>
      <c r="H20" s="114">
        <f ca="1">IF($R20=$S$1,INDEX(TongVTSX!$K$3:$K$1500,$Q20),IF($R20=$S$7,INDEX(TongVTSX!$H$3:$H$1500,$Q20),IF($R20=$S$2,ROUNDUP(SUMPRODUCT((TongVTSX!$C$3:$C$1500=$D20)*(TongVTSX!$E$3:$E$1500=$F20)*(TongVTSX!$K$3:$K$1500))/$U20,0),SUMPRODUCT((TongVTSX!$C$3:$C$1500=$D20)*(TongVTSX!$E$3:$E$1500=$F20)*(TongVTSX!$K$3:$K$1500)))))</f>
        <v>48</v>
      </c>
      <c r="I20" s="114"/>
      <c r="J20" s="114"/>
      <c r="K20" s="114">
        <f ca="1">IF($Q20="","",IF($R20=$S$2,INDEX(TongVTSX!M$3:M$1500,$Q20)*$U20,   INDEX(TongVTSX!M$3:M$1500,$Q20)))</f>
        <v>600</v>
      </c>
      <c r="L20" s="92">
        <f ca="1">IF($Q20="",0, IF($R20=$S$7,$F20*$H20*$K20,IF($R20=$S$2,$H20*$K20,    IF($H20*$K20 - SUMPRODUCT((TongVTSX!$C$3:$C$1500=$D20)*(TongVTSX!$E$3:$E$1500=$F20)*(TongVTSX!$O$3:$O$1500)) &lt;=10,$H20*$K20,"PO &lt;&gt; TongVTSX"))))</f>
        <v>28800</v>
      </c>
      <c r="M20" s="114">
        <f ca="1">IF($R20=$S$1,INDEX(TongVTSX!$K$3:$K$1500,$Q20),IF($R20=$S$7,INDEX(TongVTSX!$H$3:$H$1500,$Q20),IF($R20=$S$2,SUMPRODUCT((TongVTSX!$C$3:$C$1500=$D20)*(TongVTSX!$E$3:$E$1500=$F20)*(TongVTSX!$K$3:$K$1500))/$U20,SUMPRODUCT((TongVTSX!$C$3:$C$1500=$D20)*(TongVTSX!$E$3:$E$1500=$F20)*(TongVTSX!$K$3:$K$1500)))))</f>
        <v>48</v>
      </c>
      <c r="N20" s="92">
        <f ca="1">IF($Q20="",0, IF($R20=$S$7,$F20*$M20*$K20,IF($R20=$S$2,$M20*$K20,    IF($M20*$K20 - SUMPRODUCT((TongVTSX!$C$3:$C$1500=$D20)*(TongVTSX!$E$3:$E$1500=$F20)*(TongVTSX!$O$3:$O$1500)) &lt;=10,$M20*$K20,"PO &lt;&gt; TongVTSX"))))</f>
        <v>28800</v>
      </c>
      <c r="O20" s="92">
        <f t="shared" ca="1" si="0"/>
        <v>0</v>
      </c>
      <c r="P20" s="1146" t="str">
        <f ca="1">IFERROR(INDEX(NVLSX!$AA$2:$AA$6756,MATCH($D20,NVLSX!$E$2:$E$6756,0)),"")</f>
        <v>GHI NƠI CẤP BÊN NVLSX CỘT AA</v>
      </c>
      <c r="Q20" s="742">
        <f ca="1">IF($R20="","",IF($R20&lt;&gt;$R19,IF(TYPE(MATCH($R20,TongVTSX!$T$3:$T$1500,0))=16,"",MATCH($R20,TongVTSX!$T$3:$T$1500,0)),IF(TYPE(MATCH($R20,OFFSET(TongVTSX!$T$3,$Q19,0):'TongVTSX'!$T$1500,0)+$Q19)=16,"",MATCH($R20,OFFSET(TongVTSX!$T$3,$Q19,0):'TongVTSX'!$T$1500,0)+$Q19)))</f>
        <v>21</v>
      </c>
      <c r="R20" s="179" t="str">
        <f ca="1">IFERROR(IF(COUNTIF($R$3:R19,R19)&lt; INDEX($T$1:$T$7,MATCH($R19,$S$1:$S$7,0)),$R19,INDEX($S$1:$S$7,MATCH($R19,$S$1:$S$7,0)+1)),"")</f>
        <v>VTSX</v>
      </c>
      <c r="S20" s="181"/>
      <c r="T20" s="182"/>
      <c r="U20" s="184" t="str">
        <f ca="1">IF($R20="PR",INDEX(NVLSX!$U$2:$U$6941,MATCH($D20,NVLSX!$E$2:$E$6941,0)),"")</f>
        <v/>
      </c>
      <c r="V20" s="184" t="str">
        <f ca="1">IF($R20="PR",INDEX(NVLSX!$S$2:$S$6941,MATCH($D20,NVLSX!$E$2:$E$6941,0))*1000,"")</f>
        <v/>
      </c>
      <c r="W20" s="776" t="str">
        <f ca="1">IF($R20="PR",INDEX(NVLSX!$S$2:$S$6941,MATCH($D20,NVLSX!$E$2:$E$6941,0))*INDEX(NVLSX!$T$2:$T$6941,MATCH($D20,NVLSX!$E$2:$E$6941,0)),"")</f>
        <v/>
      </c>
      <c r="X20" s="776">
        <f t="shared" ca="1" si="1"/>
        <v>0</v>
      </c>
      <c r="Y20" s="982" t="str">
        <f ca="1">IFERROR(INDEX(NVLSX!$X$2:$X$4655,MATCH($D20,NVLSX!$E$2:$E$4655,0)),"")</f>
        <v/>
      </c>
    </row>
    <row r="21" spans="1:25">
      <c r="A21" s="19">
        <f ca="1">IF($Q21="","",MAX($A$2:A20)+1)</f>
        <v>19</v>
      </c>
      <c r="B21" s="1146" t="str">
        <f ca="1">IFERROR(INDEX(NVLSX!$Y$2:$Y$6756,MATCH($D21,NVLSX!$E$2:$E$6756,0)),"")</f>
        <v>GHI TÊN NCC BÊN NVLSX CỘT Y</v>
      </c>
      <c r="C21" s="1146" t="str">
        <f ca="1">IFERROR(INDEX(NVLSX!$Z$2:$Z$6756,MATCH($D21,NVLSX!$E$2:$E$6756,0)),"")</f>
        <v>GHI TÊN HÃNG BÊN NVLSX CỘT Z</v>
      </c>
      <c r="D21" s="23" t="str">
        <f ca="1">IF($Q21="","",INDEX(TongVTSX!C$3:C$1500,$Q21))</f>
        <v>KTCXF55</v>
      </c>
      <c r="E21" s="729" t="str">
        <f ca="1">IF($Q21="","",INDEX(TongVTSX!D$3:D$1500,$Q21) &amp; IF(OR($R21=$S$1,$R21=$S$7)," (" &amp; INDEX(TongVTSX!A$3:A$1500,$Q21) &amp; ")",""))</f>
        <v>Ke tăng cứng XF55</v>
      </c>
      <c r="F21" s="745" t="str">
        <f ca="1">IF($Q21="","",IF($R21=$S$7,INDEX(TongVTSX!$G$3:$G$1500,$Q21),INDEX(TongVTSX!$E$3:$E$1500,$Q21)))</f>
        <v>T/C</v>
      </c>
      <c r="G21" s="24" t="str">
        <f ca="1">IF($Q21="","",IF($R21=$S$1,"mm",IF($R21=$S$2,"Thanh",INDEX(TongVTSX!F$3:F$1500,$Q21))))</f>
        <v>Cái</v>
      </c>
      <c r="H21" s="114">
        <f ca="1">IF($R21=$S$1,INDEX(TongVTSX!$K$3:$K$1500,$Q21),IF($R21=$S$7,INDEX(TongVTSX!$H$3:$H$1500,$Q21),IF($R21=$S$2,ROUNDUP(SUMPRODUCT((TongVTSX!$C$3:$C$1500=$D21)*(TongVTSX!$E$3:$E$1500=$F21)*(TongVTSX!$K$3:$K$1500))/$U21,0),SUMPRODUCT((TongVTSX!$C$3:$C$1500=$D21)*(TongVTSX!$E$3:$E$1500=$F21)*(TongVTSX!$K$3:$K$1500)))))</f>
        <v>20</v>
      </c>
      <c r="I21" s="114"/>
      <c r="J21" s="114"/>
      <c r="K21" s="114">
        <f ca="1">IF($Q21="","",IF($R21=$S$2,INDEX(TongVTSX!M$3:M$1500,$Q21)*$U21,   INDEX(TongVTSX!M$3:M$1500,$Q21)))</f>
        <v>408</v>
      </c>
      <c r="L21" s="92">
        <f ca="1">IF($Q21="",0, IF($R21=$S$7,$F21*$H21*$K21,IF($R21=$S$2,$H21*$K21,    IF($H21*$K21 - SUMPRODUCT((TongVTSX!$C$3:$C$1500=$D21)*(TongVTSX!$E$3:$E$1500=$F21)*(TongVTSX!$O$3:$O$1500)) &lt;=10,$H21*$K21,"PO &lt;&gt; TongVTSX"))))</f>
        <v>8160</v>
      </c>
      <c r="M21" s="114">
        <f ca="1">IF($R21=$S$1,INDEX(TongVTSX!$K$3:$K$1500,$Q21),IF($R21=$S$7,INDEX(TongVTSX!$H$3:$H$1500,$Q21),IF($R21=$S$2,SUMPRODUCT((TongVTSX!$C$3:$C$1500=$D21)*(TongVTSX!$E$3:$E$1500=$F21)*(TongVTSX!$K$3:$K$1500))/$U21,SUMPRODUCT((TongVTSX!$C$3:$C$1500=$D21)*(TongVTSX!$E$3:$E$1500=$F21)*(TongVTSX!$K$3:$K$1500)))))</f>
        <v>20</v>
      </c>
      <c r="N21" s="92">
        <f ca="1">IF($Q21="",0, IF($R21=$S$7,$F21*$M21*$K21,IF($R21=$S$2,$M21*$K21,    IF($M21*$K21 - SUMPRODUCT((TongVTSX!$C$3:$C$1500=$D21)*(TongVTSX!$E$3:$E$1500=$F21)*(TongVTSX!$O$3:$O$1500)) &lt;=10,$M21*$K21,"PO &lt;&gt; TongVTSX"))))</f>
        <v>8160</v>
      </c>
      <c r="O21" s="92">
        <f t="shared" ca="1" si="0"/>
        <v>0</v>
      </c>
      <c r="P21" s="1146" t="str">
        <f ca="1">IFERROR(INDEX(NVLSX!$AA$2:$AA$6756,MATCH($D21,NVLSX!$E$2:$E$6756,0)),"")</f>
        <v>GHI NƠI CẤP BÊN NVLSX CỘT AA</v>
      </c>
      <c r="Q21" s="742">
        <f ca="1">IF($R21="","",IF($R21&lt;&gt;$R20,IF(TYPE(MATCH($R21,TongVTSX!$T$3:$T$1500,0))=16,"",MATCH($R21,TongVTSX!$T$3:$T$1500,0)),IF(TYPE(MATCH($R21,OFFSET(TongVTSX!$T$3,$Q20,0):'TongVTSX'!$T$1500,0)+$Q20)=16,"",MATCH($R21,OFFSET(TongVTSX!$T$3,$Q20,0):'TongVTSX'!$T$1500,0)+$Q20)))</f>
        <v>22</v>
      </c>
      <c r="R21" s="179" t="str">
        <f ca="1">IFERROR(IF(COUNTIF($R$3:R20,R20)&lt; INDEX($T$1:$T$7,MATCH($R20,$S$1:$S$7,0)),$R20,INDEX($S$1:$S$7,MATCH($R20,$S$1:$S$7,0)+1)),"")</f>
        <v>VTSX</v>
      </c>
      <c r="S21" s="181"/>
      <c r="T21" s="182"/>
      <c r="U21" s="184" t="str">
        <f ca="1">IF($R21="PR",INDEX(NVLSX!$U$2:$U$6941,MATCH($D21,NVLSX!$E$2:$E$6941,0)),"")</f>
        <v/>
      </c>
      <c r="V21" s="184" t="str">
        <f ca="1">IF($R21="PR",INDEX(NVLSX!$S$2:$S$6941,MATCH($D21,NVLSX!$E$2:$E$6941,0))*1000,"")</f>
        <v/>
      </c>
      <c r="W21" s="776" t="str">
        <f ca="1">IF($R21="PR",INDEX(NVLSX!$S$2:$S$6941,MATCH($D21,NVLSX!$E$2:$E$6941,0))*INDEX(NVLSX!$T$2:$T$6941,MATCH($D21,NVLSX!$E$2:$E$6941,0)),"")</f>
        <v/>
      </c>
      <c r="X21" s="776">
        <f t="shared" ca="1" si="1"/>
        <v>0</v>
      </c>
      <c r="Y21" s="982" t="str">
        <f ca="1">IFERROR(INDEX(NVLSX!$X$2:$X$4655,MATCH($D21,NVLSX!$E$2:$E$4655,0)),"")</f>
        <v/>
      </c>
    </row>
    <row r="22" spans="1:25">
      <c r="A22" s="19">
        <f ca="1">IF($Q22="","",MAX($A$2:A21)+1)</f>
        <v>20</v>
      </c>
      <c r="B22" s="1146" t="str">
        <f ca="1">IFERROR(INDEX(NVLSX!$Y$2:$Y$6756,MATCH($D22,NVLSX!$E$2:$E$6756,0)),"")</f>
        <v>GHI TÊN NCC BÊN NVLSX CỘT Y</v>
      </c>
      <c r="C22" s="1146" t="str">
        <f ca="1">IFERROR(INDEX(NVLSX!$Z$2:$Z$6756,MATCH($D22,NVLSX!$E$2:$E$6756,0)),"")</f>
        <v>GHI TÊN HÃNG BÊN NVLSX CỘT Z</v>
      </c>
      <c r="D22" s="23" t="str">
        <f ca="1">IF($Q22="","",INDEX(TongVTSX!C$3:C$1500,$Q22))</f>
        <v>NK</v>
      </c>
      <c r="E22" s="729" t="str">
        <f ca="1">IF($Q22="","",INDEX(TongVTSX!D$3:D$1500,$Q22) &amp; IF(OR($R22=$S$1,$R22=$S$7)," (" &amp; INDEX(TongVTSX!A$3:A$1500,$Q22) &amp; ")",""))</f>
        <v>Đệm chèn kính GĐSX</v>
      </c>
      <c r="F22" s="745" t="str">
        <f ca="1">IF($Q22="","",IF($R22=$S$7,INDEX(TongVTSX!$G$3:$G$1500,$Q22),INDEX(TongVTSX!$E$3:$E$1500,$Q22)))</f>
        <v>T/C</v>
      </c>
      <c r="G22" s="24" t="str">
        <f ca="1">IF($Q22="","",IF($R22=$S$1,"mm",IF($R22=$S$2,"Thanh",INDEX(TongVTSX!F$3:F$1500,$Q22))))</f>
        <v>Gram</v>
      </c>
      <c r="H22" s="114">
        <f ca="1">IF($R22=$S$1,INDEX(TongVTSX!$K$3:$K$1500,$Q22),IF($R22=$S$7,INDEX(TongVTSX!$H$3:$H$1500,$Q22),IF($R22=$S$2,ROUNDUP(SUMPRODUCT((TongVTSX!$C$3:$C$1500=$D22)*(TongVTSX!$E$3:$E$1500=$F22)*(TongVTSX!$K$3:$K$1500))/$U22,0),SUMPRODUCT((TongVTSX!$C$3:$C$1500=$D22)*(TongVTSX!$E$3:$E$1500=$F22)*(TongVTSX!$K$3:$K$1500)))))</f>
        <v>88</v>
      </c>
      <c r="I22" s="114"/>
      <c r="J22" s="114"/>
      <c r="K22" s="114">
        <f ca="1">IF($Q22="","",IF($R22=$S$2,INDEX(TongVTSX!M$3:M$1500,$Q22)*$U22,   INDEX(TongVTSX!M$3:M$1500,$Q22)))</f>
        <v>40</v>
      </c>
      <c r="L22" s="92">
        <f ca="1">IF($Q22="",0, IF($R22=$S$7,$F22*$H22*$K22,IF($R22=$S$2,$H22*$K22,    IF($H22*$K22 - SUMPRODUCT((TongVTSX!$C$3:$C$1500=$D22)*(TongVTSX!$E$3:$E$1500=$F22)*(TongVTSX!$O$3:$O$1500)) &lt;=10,$H22*$K22,"PO &lt;&gt; TongVTSX"))))</f>
        <v>3520</v>
      </c>
      <c r="M22" s="114">
        <f ca="1">IF($R22=$S$1,INDEX(TongVTSX!$K$3:$K$1500,$Q22),IF($R22=$S$7,INDEX(TongVTSX!$H$3:$H$1500,$Q22),IF($R22=$S$2,SUMPRODUCT((TongVTSX!$C$3:$C$1500=$D22)*(TongVTSX!$E$3:$E$1500=$F22)*(TongVTSX!$K$3:$K$1500))/$U22,SUMPRODUCT((TongVTSX!$C$3:$C$1500=$D22)*(TongVTSX!$E$3:$E$1500=$F22)*(TongVTSX!$K$3:$K$1500)))))</f>
        <v>88</v>
      </c>
      <c r="N22" s="92">
        <f ca="1">IF($Q22="",0, IF($R22=$S$7,$F22*$M22*$K22,IF($R22=$S$2,$M22*$K22,    IF($M22*$K22 - SUMPRODUCT((TongVTSX!$C$3:$C$1500=$D22)*(TongVTSX!$E$3:$E$1500=$F22)*(TongVTSX!$O$3:$O$1500)) &lt;=10,$M22*$K22,"PO &lt;&gt; TongVTSX"))))</f>
        <v>3520</v>
      </c>
      <c r="O22" s="92">
        <f t="shared" ca="1" si="0"/>
        <v>0</v>
      </c>
      <c r="P22" s="1146" t="str">
        <f ca="1">IFERROR(INDEX(NVLSX!$AA$2:$AA$6756,MATCH($D22,NVLSX!$E$2:$E$6756,0)),"")</f>
        <v>GHI NƠI CẤP BÊN NVLSX CỘT AA</v>
      </c>
      <c r="Q22" s="742">
        <f ca="1">IF($R22="","",IF($R22&lt;&gt;$R21,IF(TYPE(MATCH($R22,TongVTSX!$T$3:$T$1500,0))=16,"",MATCH($R22,TongVTSX!$T$3:$T$1500,0)),IF(TYPE(MATCH($R22,OFFSET(TongVTSX!$T$3,$Q21,0):'TongVTSX'!$T$1500,0)+$Q21)=16,"",MATCH($R22,OFFSET(TongVTSX!$T$3,$Q21,0):'TongVTSX'!$T$1500,0)+$Q21)))</f>
        <v>23</v>
      </c>
      <c r="R22" s="179" t="str">
        <f ca="1">IFERROR(IF(COUNTIF($R$3:R21,R21)&lt; INDEX($T$1:$T$7,MATCH($R21,$S$1:$S$7,0)),$R21,INDEX($S$1:$S$7,MATCH($R21,$S$1:$S$7,0)+1)),"")</f>
        <v>VTSX</v>
      </c>
      <c r="S22" s="181"/>
      <c r="T22" s="182"/>
      <c r="U22" s="184" t="str">
        <f ca="1">IF($R22="PR",INDEX(NVLSX!$U$2:$U$6941,MATCH($D22,NVLSX!$E$2:$E$6941,0)),"")</f>
        <v/>
      </c>
      <c r="V22" s="184" t="str">
        <f ca="1">IF($R22="PR",INDEX(NVLSX!$S$2:$S$6941,MATCH($D22,NVLSX!$E$2:$E$6941,0))*1000,"")</f>
        <v/>
      </c>
      <c r="W22" s="776" t="str">
        <f ca="1">IF($R22="PR",INDEX(NVLSX!$S$2:$S$6941,MATCH($D22,NVLSX!$E$2:$E$6941,0))*INDEX(NVLSX!$T$2:$T$6941,MATCH($D22,NVLSX!$E$2:$E$6941,0)),"")</f>
        <v/>
      </c>
      <c r="X22" s="776">
        <f t="shared" ca="1" si="1"/>
        <v>0</v>
      </c>
      <c r="Y22" s="982" t="str">
        <f ca="1">IFERROR(INDEX(NVLSX!$X$2:$X$4655,MATCH($D22,NVLSX!$E$2:$E$4655,0)),"")</f>
        <v/>
      </c>
    </row>
    <row r="23" spans="1:25">
      <c r="A23" s="19">
        <f ca="1">IF($Q23="","",MAX($A$2:A22)+1)</f>
        <v>21</v>
      </c>
      <c r="B23" s="1146" t="str">
        <f ca="1">IFERROR(INDEX(NVLSX!$Y$2:$Y$6756,MATCH($D23,NVLSX!$E$2:$E$6756,0)),"")</f>
        <v>GHI TÊN NCC BÊN NVLSX CỘT Y</v>
      </c>
      <c r="C23" s="1146" t="str">
        <f ca="1">IFERROR(INDEX(NVLSX!$Z$2:$Z$6756,MATCH($D23,NVLSX!$E$2:$E$6756,0)),"")</f>
        <v>GHI TÊN HÃNG BÊN NVLSX CỘT Z</v>
      </c>
      <c r="D23" s="23" t="str">
        <f ca="1">IF($Q23="","",INDEX(TongVTSX!C$3:C$1500,$Q23))</f>
        <v>VTKDBDC-M3.9*20-XCR</v>
      </c>
      <c r="E23" s="729" t="str">
        <f ca="1">IF($Q23="","",INDEX(TongVTSX!D$3:D$1500,$Q23) &amp; IF(OR($R23=$S$1,$R23=$S$7)," (" &amp; INDEX(TongVTSX!A$3:A$1500,$Q23) &amp; ")",""))</f>
        <v>Vít tự khoan đầu bằng đuôi cá M3.9*20 xi chống rỉ</v>
      </c>
      <c r="F23" s="745" t="str">
        <f ca="1">IF($Q23="","",IF($R23=$S$7,INDEX(TongVTSX!$G$3:$G$1500,$Q23),INDEX(TongVTSX!$E$3:$E$1500,$Q23)))</f>
        <v>T/C</v>
      </c>
      <c r="G23" s="24" t="str">
        <f ca="1">IF($Q23="","",IF($R23=$S$1,"mm",IF($R23=$S$2,"Thanh",INDEX(TongVTSX!F$3:F$1500,$Q23))))</f>
        <v>Con</v>
      </c>
      <c r="H23" s="114">
        <f ca="1">IF($R23=$S$1,INDEX(TongVTSX!$K$3:$K$1500,$Q23),IF($R23=$S$7,INDEX(TongVTSX!$H$3:$H$1500,$Q23),IF($R23=$S$2,ROUNDUP(SUMPRODUCT((TongVTSX!$C$3:$C$1500=$D23)*(TongVTSX!$E$3:$E$1500=$F23)*(TongVTSX!$K$3:$K$1500))/$U23,0),SUMPRODUCT((TongVTSX!$C$3:$C$1500=$D23)*(TongVTSX!$E$3:$E$1500=$F23)*(TongVTSX!$K$3:$K$1500)))))</f>
        <v>12</v>
      </c>
      <c r="I23" s="114"/>
      <c r="J23" s="114"/>
      <c r="K23" s="114">
        <f ca="1">IF($Q23="","",IF($R23=$S$2,INDEX(TongVTSX!M$3:M$1500,$Q23)*$U23,   INDEX(TongVTSX!M$3:M$1500,$Q23)))</f>
        <v>140</v>
      </c>
      <c r="L23" s="92">
        <f ca="1">IF($Q23="",0, IF($R23=$S$7,$F23*$H23*$K23,IF($R23=$S$2,$H23*$K23,    IF($H23*$K23 - SUMPRODUCT((TongVTSX!$C$3:$C$1500=$D23)*(TongVTSX!$E$3:$E$1500=$F23)*(TongVTSX!$O$3:$O$1500)) &lt;=10,$H23*$K23,"PO &lt;&gt; TongVTSX"))))</f>
        <v>1680</v>
      </c>
      <c r="M23" s="114">
        <f ca="1">IF($R23=$S$1,INDEX(TongVTSX!$K$3:$K$1500,$Q23),IF($R23=$S$7,INDEX(TongVTSX!$H$3:$H$1500,$Q23),IF($R23=$S$2,SUMPRODUCT((TongVTSX!$C$3:$C$1500=$D23)*(TongVTSX!$E$3:$E$1500=$F23)*(TongVTSX!$K$3:$K$1500))/$U23,SUMPRODUCT((TongVTSX!$C$3:$C$1500=$D23)*(TongVTSX!$E$3:$E$1500=$F23)*(TongVTSX!$K$3:$K$1500)))))</f>
        <v>12</v>
      </c>
      <c r="N23" s="92">
        <f ca="1">IF($Q23="",0, IF($R23=$S$7,$F23*$M23*$K23,IF($R23=$S$2,$M23*$K23,    IF($M23*$K23 - SUMPRODUCT((TongVTSX!$C$3:$C$1500=$D23)*(TongVTSX!$E$3:$E$1500=$F23)*(TongVTSX!$O$3:$O$1500)) &lt;=10,$M23*$K23,"PO &lt;&gt; TongVTSX"))))</f>
        <v>1680</v>
      </c>
      <c r="O23" s="92">
        <f t="shared" ca="1" si="0"/>
        <v>0</v>
      </c>
      <c r="P23" s="1146" t="str">
        <f ca="1">IFERROR(INDEX(NVLSX!$AA$2:$AA$6756,MATCH($D23,NVLSX!$E$2:$E$6756,0)),"")</f>
        <v>GHI NƠI CẤP BÊN NVLSX CỘT AA</v>
      </c>
      <c r="Q23" s="742">
        <f ca="1">IF($R23="","",IF($R23&lt;&gt;$R22,IF(TYPE(MATCH($R23,TongVTSX!$T$3:$T$1500,0))=16,"",MATCH($R23,TongVTSX!$T$3:$T$1500,0)),IF(TYPE(MATCH($R23,OFFSET(TongVTSX!$T$3,$Q22,0):'TongVTSX'!$T$1500,0)+$Q22)=16,"",MATCH($R23,OFFSET(TongVTSX!$T$3,$Q22,0):'TongVTSX'!$T$1500,0)+$Q22)))</f>
        <v>24</v>
      </c>
      <c r="R23" s="179" t="str">
        <f ca="1">IFERROR(IF(COUNTIF($R$3:R22,R22)&lt; INDEX($T$1:$T$7,MATCH($R22,$S$1:$S$7,0)),$R22,INDEX($S$1:$S$7,MATCH($R22,$S$1:$S$7,0)+1)),"")</f>
        <v>VTSX</v>
      </c>
      <c r="S23" s="181"/>
      <c r="T23" s="182"/>
      <c r="U23" s="184" t="str">
        <f ca="1">IF($R23="PR",INDEX(NVLSX!$U$2:$U$6941,MATCH($D23,NVLSX!$E$2:$E$6941,0)),"")</f>
        <v/>
      </c>
      <c r="V23" s="184" t="str">
        <f ca="1">IF($R23="PR",INDEX(NVLSX!$S$2:$S$6941,MATCH($D23,NVLSX!$E$2:$E$6941,0))*1000,"")</f>
        <v/>
      </c>
      <c r="W23" s="776" t="str">
        <f ca="1">IF($R23="PR",INDEX(NVLSX!$S$2:$S$6941,MATCH($D23,NVLSX!$E$2:$E$6941,0))*INDEX(NVLSX!$T$2:$T$6941,MATCH($D23,NVLSX!$E$2:$E$6941,0)),"")</f>
        <v/>
      </c>
      <c r="X23" s="776">
        <f t="shared" ca="1" si="1"/>
        <v>0</v>
      </c>
      <c r="Y23" s="982" t="str">
        <f ca="1">IFERROR(INDEX(NVLSX!$X$2:$X$4655,MATCH($D23,NVLSX!$E$2:$E$4655,0)),"")</f>
        <v/>
      </c>
    </row>
    <row r="24" spans="1:25">
      <c r="A24" s="19">
        <f ca="1">IF($Q24="","",MAX($A$2:A23)+1)</f>
        <v>22</v>
      </c>
      <c r="B24" s="1146" t="str">
        <f ca="1">IFERROR(INDEX(NVLSX!$Y$2:$Y$6756,MATCH($D24,NVLSX!$E$2:$E$6756,0)),"")</f>
        <v>GHI TÊN NCC BÊN NVLSX CỘT Y</v>
      </c>
      <c r="C24" s="1146" t="str">
        <f ca="1">IFERROR(INDEX(NVLSX!$Z$2:$Z$6756,MATCH($D24,NVLSX!$E$2:$E$6756,0)),"")</f>
        <v>GHI TÊN HÃNG BÊN NVLSX CỘT Z</v>
      </c>
      <c r="D24" s="23" t="str">
        <f ca="1">IF($Q24="","",INDEX(TongVTSX!C$3:C$1500,$Q24))</f>
        <v>VTKDBDC-M3.9*30-XCR</v>
      </c>
      <c r="E24" s="729" t="str">
        <f ca="1">IF($Q24="","",INDEX(TongVTSX!D$3:D$1500,$Q24) &amp; IF(OR($R24=$S$1,$R24=$S$7)," (" &amp; INDEX(TongVTSX!A$3:A$1500,$Q24) &amp; ")",""))</f>
        <v>Vít tự khoan đầu bằng đuôi cá M3.9*30 xi chống rỉ</v>
      </c>
      <c r="F24" s="745" t="str">
        <f ca="1">IF($Q24="","",IF($R24=$S$7,INDEX(TongVTSX!$G$3:$G$1500,$Q24),INDEX(TongVTSX!$E$3:$E$1500,$Q24)))</f>
        <v>T/C</v>
      </c>
      <c r="G24" s="24" t="str">
        <f ca="1">IF($Q24="","",IF($R24=$S$1,"mm",IF($R24=$S$2,"Thanh",INDEX(TongVTSX!F$3:F$1500,$Q24))))</f>
        <v>Con</v>
      </c>
      <c r="H24" s="114">
        <f ca="1">IF($R24=$S$1,INDEX(TongVTSX!$K$3:$K$1500,$Q24),IF($R24=$S$7,INDEX(TongVTSX!$H$3:$H$1500,$Q24),IF($R24=$S$2,ROUNDUP(SUMPRODUCT((TongVTSX!$C$3:$C$1500=$D24)*(TongVTSX!$E$3:$E$1500=$F24)*(TongVTSX!$K$3:$K$1500))/$U24,0),SUMPRODUCT((TongVTSX!$C$3:$C$1500=$D24)*(TongVTSX!$E$3:$E$1500=$F24)*(TongVTSX!$K$3:$K$1500)))))</f>
        <v>12</v>
      </c>
      <c r="I24" s="114"/>
      <c r="J24" s="114"/>
      <c r="K24" s="114">
        <f ca="1">IF($Q24="","",IF($R24=$S$2,INDEX(TongVTSX!M$3:M$1500,$Q24)*$U24,   INDEX(TongVTSX!M$3:M$1500,$Q24)))</f>
        <v>322</v>
      </c>
      <c r="L24" s="92">
        <f ca="1">IF($Q24="",0, IF($R24=$S$7,$F24*$H24*$K24,IF($R24=$S$2,$H24*$K24,    IF($H24*$K24 - SUMPRODUCT((TongVTSX!$C$3:$C$1500=$D24)*(TongVTSX!$E$3:$E$1500=$F24)*(TongVTSX!$O$3:$O$1500)) &lt;=10,$H24*$K24,"PO &lt;&gt; TongVTSX"))))</f>
        <v>3864</v>
      </c>
      <c r="M24" s="114">
        <f ca="1">IF($R24=$S$1,INDEX(TongVTSX!$K$3:$K$1500,$Q24),IF($R24=$S$7,INDEX(TongVTSX!$H$3:$H$1500,$Q24),IF($R24=$S$2,SUMPRODUCT((TongVTSX!$C$3:$C$1500=$D24)*(TongVTSX!$E$3:$E$1500=$F24)*(TongVTSX!$K$3:$K$1500))/$U24,SUMPRODUCT((TongVTSX!$C$3:$C$1500=$D24)*(TongVTSX!$E$3:$E$1500=$F24)*(TongVTSX!$K$3:$K$1500)))))</f>
        <v>12</v>
      </c>
      <c r="N24" s="92">
        <f ca="1">IF($Q24="",0, IF($R24=$S$7,$F24*$M24*$K24,IF($R24=$S$2,$M24*$K24,    IF($M24*$K24 - SUMPRODUCT((TongVTSX!$C$3:$C$1500=$D24)*(TongVTSX!$E$3:$E$1500=$F24)*(TongVTSX!$O$3:$O$1500)) &lt;=10,$M24*$K24,"PO &lt;&gt; TongVTSX"))))</f>
        <v>3864</v>
      </c>
      <c r="O24" s="92">
        <f t="shared" ca="1" si="0"/>
        <v>0</v>
      </c>
      <c r="P24" s="1146" t="str">
        <f ca="1">IFERROR(INDEX(NVLSX!$AA$2:$AA$6756,MATCH($D24,NVLSX!$E$2:$E$6756,0)),"")</f>
        <v>GHI NƠI CẤP BÊN NVLSX CỘT AA</v>
      </c>
      <c r="Q24" s="742">
        <f ca="1">IF($R24="","",IF($R24&lt;&gt;$R23,IF(TYPE(MATCH($R24,TongVTSX!$T$3:$T$1500,0))=16,"",MATCH($R24,TongVTSX!$T$3:$T$1500,0)),IF(TYPE(MATCH($R24,OFFSET(TongVTSX!$T$3,$Q23,0):'TongVTSX'!$T$1500,0)+$Q23)=16,"",MATCH($R24,OFFSET(TongVTSX!$T$3,$Q23,0):'TongVTSX'!$T$1500,0)+$Q23)))</f>
        <v>25</v>
      </c>
      <c r="R24" s="179" t="str">
        <f ca="1">IFERROR(IF(COUNTIF($R$3:R23,R23)&lt; INDEX($T$1:$T$7,MATCH($R23,$S$1:$S$7,0)),$R23,INDEX($S$1:$S$7,MATCH($R23,$S$1:$S$7,0)+1)),"")</f>
        <v>VTSX</v>
      </c>
      <c r="S24" s="181"/>
      <c r="T24" s="182"/>
      <c r="U24" s="184" t="str">
        <f ca="1">IF($R24="PR",INDEX(NVLSX!$U$2:$U$6941,MATCH($D24,NVLSX!$E$2:$E$6941,0)),"")</f>
        <v/>
      </c>
      <c r="V24" s="184" t="str">
        <f ca="1">IF($R24="PR",INDEX(NVLSX!$S$2:$S$6941,MATCH($D24,NVLSX!$E$2:$E$6941,0))*1000,"")</f>
        <v/>
      </c>
      <c r="W24" s="776" t="str">
        <f ca="1">IF($R24="PR",INDEX(NVLSX!$S$2:$S$6941,MATCH($D24,NVLSX!$E$2:$E$6941,0))*INDEX(NVLSX!$T$2:$T$6941,MATCH($D24,NVLSX!$E$2:$E$6941,0)),"")</f>
        <v/>
      </c>
      <c r="X24" s="776">
        <f t="shared" ca="1" si="1"/>
        <v>0</v>
      </c>
      <c r="Y24" s="982" t="str">
        <f ca="1">IFERROR(INDEX(NVLSX!$X$2:$X$4655,MATCH($D24,NVLSX!$E$2:$E$4655,0)),"")</f>
        <v/>
      </c>
    </row>
    <row r="25" spans="1:25">
      <c r="A25" s="19">
        <f ca="1">IF($Q25="","",MAX($A$2:A24)+1)</f>
        <v>23</v>
      </c>
      <c r="B25" s="1146" t="str">
        <f ca="1">IFERROR(INDEX(NVLSX!$Y$2:$Y$6756,MATCH($D25,NVLSX!$E$2:$E$6756,0)),"")</f>
        <v>GHI TÊN NCC BÊN NVLSX CỘT Y</v>
      </c>
      <c r="C25" s="1146" t="str">
        <f ca="1">IFERROR(INDEX(NVLSX!$Z$2:$Z$6756,MATCH($D25,NVLSX!$E$2:$E$6756,0)),"")</f>
        <v>GHI TÊN HÃNG BÊN NVLSX CỘT Z</v>
      </c>
      <c r="D25" s="23" t="str">
        <f ca="1">IF($Q25="","",INDEX(TongVTSX!C$3:C$1500,$Q25))</f>
        <v>VLD</v>
      </c>
      <c r="E25" s="729" t="str">
        <f ca="1">IF($Q25="","",INDEX(TongVTSX!D$3:D$1500,$Q25) &amp; IF(OR($R25=$S$1,$R25=$S$7)," (" &amp; INDEX(TongVTSX!A$3:A$1500,$Q25) &amp; ")",""))</f>
        <v>Vít lắp đặt (+ tắc kê + nắp đậy) M10*100</v>
      </c>
      <c r="F25" s="745" t="str">
        <f ca="1">IF($Q25="","",IF($R25=$S$7,INDEX(TongVTSX!$G$3:$G$1500,$Q25),INDEX(TongVTSX!$E$3:$E$1500,$Q25)))</f>
        <v>T/C</v>
      </c>
      <c r="G25" s="24" t="str">
        <f ca="1">IF($Q25="","",IF($R25=$S$1,"mm",IF($R25=$S$2,"Thanh",INDEX(TongVTSX!F$3:F$1500,$Q25))))</f>
        <v>Con</v>
      </c>
      <c r="H25" s="114">
        <f ca="1">IF($R25=$S$1,INDEX(TongVTSX!$K$3:$K$1500,$Q25),IF($R25=$S$7,INDEX(TongVTSX!$H$3:$H$1500,$Q25),IF($R25=$S$2,ROUNDUP(SUMPRODUCT((TongVTSX!$C$3:$C$1500=$D25)*(TongVTSX!$E$3:$E$1500=$F25)*(TongVTSX!$K$3:$K$1500))/$U25,0),SUMPRODUCT((TongVTSX!$C$3:$C$1500=$D25)*(TongVTSX!$E$3:$E$1500=$F25)*(TongVTSX!$K$3:$K$1500)))))</f>
        <v>22</v>
      </c>
      <c r="I25" s="114"/>
      <c r="J25" s="114"/>
      <c r="K25" s="114">
        <f ca="1">IF($Q25="","",IF($R25=$S$2,INDEX(TongVTSX!M$3:M$1500,$Q25)*$U25,   INDEX(TongVTSX!M$3:M$1500,$Q25)))</f>
        <v>970</v>
      </c>
      <c r="L25" s="92">
        <f ca="1">IF($Q25="",0, IF($R25=$S$7,$F25*$H25*$K25,IF($R25=$S$2,$H25*$K25,    IF($H25*$K25 - SUMPRODUCT((TongVTSX!$C$3:$C$1500=$D25)*(TongVTSX!$E$3:$E$1500=$F25)*(TongVTSX!$O$3:$O$1500)) &lt;=10,$H25*$K25,"PO &lt;&gt; TongVTSX"))))</f>
        <v>21340</v>
      </c>
      <c r="M25" s="114">
        <f ca="1">IF($R25=$S$1,INDEX(TongVTSX!$K$3:$K$1500,$Q25),IF($R25=$S$7,INDEX(TongVTSX!$H$3:$H$1500,$Q25),IF($R25=$S$2,SUMPRODUCT((TongVTSX!$C$3:$C$1500=$D25)*(TongVTSX!$E$3:$E$1500=$F25)*(TongVTSX!$K$3:$K$1500))/$U25,SUMPRODUCT((TongVTSX!$C$3:$C$1500=$D25)*(TongVTSX!$E$3:$E$1500=$F25)*(TongVTSX!$K$3:$K$1500)))))</f>
        <v>22</v>
      </c>
      <c r="N25" s="92">
        <f ca="1">IF($Q25="",0, IF($R25=$S$7,$F25*$M25*$K25,IF($R25=$S$2,$M25*$K25,    IF($M25*$K25 - SUMPRODUCT((TongVTSX!$C$3:$C$1500=$D25)*(TongVTSX!$E$3:$E$1500=$F25)*(TongVTSX!$O$3:$O$1500)) &lt;=10,$M25*$K25,"PO &lt;&gt; TongVTSX"))))</f>
        <v>21340</v>
      </c>
      <c r="O25" s="92">
        <f t="shared" ca="1" si="0"/>
        <v>0</v>
      </c>
      <c r="P25" s="1146" t="str">
        <f ca="1">IFERROR(INDEX(NVLSX!$AA$2:$AA$6756,MATCH($D25,NVLSX!$E$2:$E$6756,0)),"")</f>
        <v>GHI NƠI CẤP BÊN NVLSX CỘT AA</v>
      </c>
      <c r="Q25" s="742">
        <f ca="1">IF($R25="","",IF($R25&lt;&gt;$R24,IF(TYPE(MATCH($R25,TongVTSX!$T$3:$T$1500,0))=16,"",MATCH($R25,TongVTSX!$T$3:$T$1500,0)),IF(TYPE(MATCH($R25,OFFSET(TongVTSX!$T$3,$Q24,0):'TongVTSX'!$T$1500,0)+$Q24)=16,"",MATCH($R25,OFFSET(TongVTSX!$T$3,$Q24,0):'TongVTSX'!$T$1500,0)+$Q24)))</f>
        <v>26</v>
      </c>
      <c r="R25" s="179" t="str">
        <f ca="1">IFERROR(IF(COUNTIF($R$3:R24,R24)&lt; INDEX($T$1:$T$7,MATCH($R24,$S$1:$S$7,0)),$R24,INDEX($S$1:$S$7,MATCH($R24,$S$1:$S$7,0)+1)),"")</f>
        <v>VTLD</v>
      </c>
      <c r="S25" s="181"/>
      <c r="T25" s="182"/>
      <c r="U25" s="184" t="str">
        <f ca="1">IF($R25="PR",INDEX(NVLSX!$U$2:$U$6941,MATCH($D25,NVLSX!$E$2:$E$6941,0)),"")</f>
        <v/>
      </c>
      <c r="V25" s="184" t="str">
        <f ca="1">IF($R25="PR",INDEX(NVLSX!$S$2:$S$6941,MATCH($D25,NVLSX!$E$2:$E$6941,0))*1000,"")</f>
        <v/>
      </c>
      <c r="W25" s="776" t="str">
        <f ca="1">IF($R25="PR",INDEX(NVLSX!$S$2:$S$6941,MATCH($D25,NVLSX!$E$2:$E$6941,0))*INDEX(NVLSX!$T$2:$T$6941,MATCH($D25,NVLSX!$E$2:$E$6941,0)),"")</f>
        <v/>
      </c>
      <c r="X25" s="776">
        <f t="shared" ca="1" si="1"/>
        <v>0</v>
      </c>
      <c r="Y25" s="982" t="str">
        <f ca="1">IFERROR(INDEX(NVLSX!$X$2:$X$4655,MATCH($D25,NVLSX!$E$2:$E$4655,0)),"")</f>
        <v/>
      </c>
    </row>
    <row r="26" spans="1:25">
      <c r="A26" s="19">
        <f ca="1">IF($Q26="","",MAX($A$2:A25)+1)</f>
        <v>24</v>
      </c>
      <c r="B26" s="1146" t="str">
        <f ca="1">IFERROR(INDEX(NVLSX!$Y$2:$Y$6756,MATCH($D26,NVLSX!$E$2:$E$6756,0)),"")</f>
        <v>GHI TÊN NCC BÊN NVLSX CỘT Y</v>
      </c>
      <c r="C26" s="1146" t="str">
        <f ca="1">IFERROR(INDEX(NVLSX!$Z$2:$Z$6756,MATCH($D26,NVLSX!$E$2:$E$6756,0)),"")</f>
        <v>GHI TÊN HÃNG BÊN NVLSX CỘT Z</v>
      </c>
      <c r="D26" s="23" t="str">
        <f ca="1">IF($Q26="","",INDEX(TongVTSX!C$3:C$1500,$Q26))</f>
        <v>FOAM</v>
      </c>
      <c r="E26" s="729" t="str">
        <f ca="1">IF($Q26="","",INDEX(TongVTSX!D$3:D$1500,$Q26) &amp; IF(OR($R26=$S$1,$R26=$S$7)," (" &amp; INDEX(TongVTSX!A$3:A$1500,$Q26) &amp; ")",""))</f>
        <v>Keo foam</v>
      </c>
      <c r="F26" s="745" t="str">
        <f ca="1">IF($Q26="","",IF($R26=$S$7,INDEX(TongVTSX!$G$3:$G$1500,$Q26),INDEX(TongVTSX!$E$3:$E$1500,$Q26)))</f>
        <v>T/C</v>
      </c>
      <c r="G26" s="24" t="str">
        <f ca="1">IF($Q26="","",IF($R26=$S$1,"mm",IF($R26=$S$2,"Thanh",INDEX(TongVTSX!F$3:F$1500,$Q26))))</f>
        <v>Chai</v>
      </c>
      <c r="H26" s="114">
        <f ca="1">IF($R26=$S$1,INDEX(TongVTSX!$K$3:$K$1500,$Q26),IF($R26=$S$7,INDEX(TongVTSX!$H$3:$H$1500,$Q26),IF($R26=$S$2,ROUNDUP(SUMPRODUCT((TongVTSX!$C$3:$C$1500=$D26)*(TongVTSX!$E$3:$E$1500=$F26)*(TongVTSX!$K$3:$K$1500))/$U26,0),SUMPRODUCT((TongVTSX!$C$3:$C$1500=$D26)*(TongVTSX!$E$3:$E$1500=$F26)*(TongVTSX!$K$3:$K$1500)))))</f>
        <v>0.152</v>
      </c>
      <c r="I26" s="114"/>
      <c r="J26" s="114"/>
      <c r="K26" s="114">
        <f ca="1">IF($Q26="","",IF($R26=$S$2,INDEX(TongVTSX!M$3:M$1500,$Q26)*$U26,   INDEX(TongVTSX!M$3:M$1500,$Q26)))</f>
        <v>60000</v>
      </c>
      <c r="L26" s="92">
        <f ca="1">IF($Q26="",0, IF($R26=$S$7,$F26*$H26*$K26,IF($R26=$S$2,$H26*$K26,    IF($H26*$K26 - SUMPRODUCT((TongVTSX!$C$3:$C$1500=$D26)*(TongVTSX!$E$3:$E$1500=$F26)*(TongVTSX!$O$3:$O$1500)) &lt;=10,$H26*$K26,"PO &lt;&gt; TongVTSX"))))</f>
        <v>9120</v>
      </c>
      <c r="M26" s="114">
        <f ca="1">IF($R26=$S$1,INDEX(TongVTSX!$K$3:$K$1500,$Q26),IF($R26=$S$7,INDEX(TongVTSX!$H$3:$H$1500,$Q26),IF($R26=$S$2,SUMPRODUCT((TongVTSX!$C$3:$C$1500=$D26)*(TongVTSX!$E$3:$E$1500=$F26)*(TongVTSX!$K$3:$K$1500))/$U26,SUMPRODUCT((TongVTSX!$C$3:$C$1500=$D26)*(TongVTSX!$E$3:$E$1500=$F26)*(TongVTSX!$K$3:$K$1500)))))</f>
        <v>0.152</v>
      </c>
      <c r="N26" s="92">
        <f ca="1">IF($Q26="",0, IF($R26=$S$7,$F26*$M26*$K26,IF($R26=$S$2,$M26*$K26,    IF($M26*$K26 - SUMPRODUCT((TongVTSX!$C$3:$C$1500=$D26)*(TongVTSX!$E$3:$E$1500=$F26)*(TongVTSX!$O$3:$O$1500)) &lt;=10,$M26*$K26,"PO &lt;&gt; TongVTSX"))))</f>
        <v>9120</v>
      </c>
      <c r="O26" s="92">
        <f t="shared" ca="1" si="0"/>
        <v>0</v>
      </c>
      <c r="P26" s="1146" t="str">
        <f ca="1">IFERROR(INDEX(NVLSX!$AA$2:$AA$6756,MATCH($D26,NVLSX!$E$2:$E$6756,0)),"")</f>
        <v>GHI NƠI CẤP BÊN NVLSX CỘT AA</v>
      </c>
      <c r="Q26" s="742">
        <f ca="1">IF($R26="","",IF($R26&lt;&gt;$R25,IF(TYPE(MATCH($R26,TongVTSX!$T$3:$T$1500,0))=16,"",MATCH($R26,TongVTSX!$T$3:$T$1500,0)),IF(TYPE(MATCH($R26,OFFSET(TongVTSX!$T$3,$Q25,0):'TongVTSX'!$T$1500,0)+$Q25)=16,"",MATCH($R26,OFFSET(TongVTSX!$T$3,$Q25,0):'TongVTSX'!$T$1500,0)+$Q25)))</f>
        <v>27</v>
      </c>
      <c r="R26" s="179" t="str">
        <f ca="1">IFERROR(IF(COUNTIF($R$3:R25,R25)&lt; INDEX($T$1:$T$7,MATCH($R25,$S$1:$S$7,0)),$R25,INDEX($S$1:$S$7,MATCH($R25,$S$1:$S$7,0)+1)),"")</f>
        <v>VTLD</v>
      </c>
      <c r="S26" s="181"/>
      <c r="T26" s="182"/>
      <c r="U26" s="184" t="str">
        <f ca="1">IF($R26="PR",INDEX(NVLSX!$U$2:$U$6941,MATCH($D26,NVLSX!$E$2:$E$6941,0)),"")</f>
        <v/>
      </c>
      <c r="V26" s="184" t="str">
        <f ca="1">IF($R26="PR",INDEX(NVLSX!$S$2:$S$6941,MATCH($D26,NVLSX!$E$2:$E$6941,0))*1000,"")</f>
        <v/>
      </c>
      <c r="W26" s="776" t="str">
        <f ca="1">IF($R26="PR",INDEX(NVLSX!$S$2:$S$6941,MATCH($D26,NVLSX!$E$2:$E$6941,0))*INDEX(NVLSX!$T$2:$T$6941,MATCH($D26,NVLSX!$E$2:$E$6941,0)),"")</f>
        <v/>
      </c>
      <c r="X26" s="776">
        <f t="shared" ca="1" si="1"/>
        <v>0</v>
      </c>
      <c r="Y26" s="982" t="str">
        <f ca="1">IFERROR(INDEX(NVLSX!$X$2:$X$4655,MATCH($D26,NVLSX!$E$2:$E$4655,0)),"")</f>
        <v/>
      </c>
    </row>
    <row r="27" spans="1:25">
      <c r="A27" s="19">
        <f ca="1">IF($Q27="","",MAX($A$2:A26)+1)</f>
        <v>25</v>
      </c>
      <c r="B27" s="1146" t="str">
        <f ca="1">IFERROR(INDEX(NVLSX!$Y$2:$Y$6756,MATCH($D27,NVLSX!$E$2:$E$6756,0)),"")</f>
        <v>GHI TÊN NCC BÊN NVLSX CỘT Y</v>
      </c>
      <c r="C27" s="1146" t="str">
        <f ca="1">IFERROR(INDEX(NVLSX!$Z$2:$Z$6756,MATCH($D27,NVLSX!$E$2:$E$6756,0)),"")</f>
        <v>GHI TÊN HÃNG BÊN NVLSX CỘT Z</v>
      </c>
      <c r="D27" s="23" t="str">
        <f ca="1">IF($Q27="","",INDEX(TongVTSX!C$3:C$1500,$Q27))</f>
        <v>Silicone-LD</v>
      </c>
      <c r="E27" s="729" t="str">
        <f ca="1">IF($Q27="","",INDEX(TongVTSX!D$3:D$1500,$Q27) &amp; IF(OR($R27=$S$1,$R27=$S$7)," (" &amp; INDEX(TongVTSX!A$3:A$1500,$Q27) &amp; ")",""))</f>
        <v>Silicone lắp đặt</v>
      </c>
      <c r="F27" s="745" t="str">
        <f ca="1">IF($Q27="","",IF($R27=$S$7,INDEX(TongVTSX!$G$3:$G$1500,$Q27),INDEX(TongVTSX!$E$3:$E$1500,$Q27)))</f>
        <v>T/C</v>
      </c>
      <c r="G27" s="24" t="str">
        <f ca="1">IF($Q27="","",IF($R27=$S$1,"mm",IF($R27=$S$2,"Thanh",INDEX(TongVTSX!F$3:F$1500,$Q27))))</f>
        <v>Chai</v>
      </c>
      <c r="H27" s="114">
        <f ca="1">IF($R27=$S$1,INDEX(TongVTSX!$K$3:$K$1500,$Q27),IF($R27=$S$7,INDEX(TongVTSX!$H$3:$H$1500,$Q27),IF($R27=$S$2,ROUNDUP(SUMPRODUCT((TongVTSX!$C$3:$C$1500=$D27)*(TongVTSX!$E$3:$E$1500=$F27)*(TongVTSX!$K$3:$K$1500))/$U27,0),SUMPRODUCT((TongVTSX!$C$3:$C$1500=$D27)*(TongVTSX!$E$3:$E$1500=$F27)*(TongVTSX!$K$3:$K$1500)))))</f>
        <v>2.1714285714285713</v>
      </c>
      <c r="I27" s="114"/>
      <c r="J27" s="114"/>
      <c r="K27" s="114">
        <f ca="1">IF($Q27="","",IF($R27=$S$2,INDEX(TongVTSX!M$3:M$1500,$Q27)*$U27,   INDEX(TongVTSX!M$3:M$1500,$Q27)))</f>
        <v>53000</v>
      </c>
      <c r="L27" s="92">
        <f ca="1">IF($Q27="",0, IF($R27=$S$7,$F27*$H27*$K27,IF($R27=$S$2,$H27*$K27,    IF($H27*$K27 - SUMPRODUCT((TongVTSX!$C$3:$C$1500=$D27)*(TongVTSX!$E$3:$E$1500=$F27)*(TongVTSX!$O$3:$O$1500)) &lt;=10,$H27*$K27,"PO &lt;&gt; TongVTSX"))))</f>
        <v>115085.71428571428</v>
      </c>
      <c r="M27" s="114">
        <f ca="1">IF($R27=$S$1,INDEX(TongVTSX!$K$3:$K$1500,$Q27),IF($R27=$S$7,INDEX(TongVTSX!$H$3:$H$1500,$Q27),IF($R27=$S$2,SUMPRODUCT((TongVTSX!$C$3:$C$1500=$D27)*(TongVTSX!$E$3:$E$1500=$F27)*(TongVTSX!$K$3:$K$1500))/$U27,SUMPRODUCT((TongVTSX!$C$3:$C$1500=$D27)*(TongVTSX!$E$3:$E$1500=$F27)*(TongVTSX!$K$3:$K$1500)))))</f>
        <v>2.1714285714285713</v>
      </c>
      <c r="N27" s="92">
        <f ca="1">IF($Q27="",0, IF($R27=$S$7,$F27*$M27*$K27,IF($R27=$S$2,$M27*$K27,    IF($M27*$K27 - SUMPRODUCT((TongVTSX!$C$3:$C$1500=$D27)*(TongVTSX!$E$3:$E$1500=$F27)*(TongVTSX!$O$3:$O$1500)) &lt;=10,$M27*$K27,"PO &lt;&gt; TongVTSX"))))</f>
        <v>115085.71428571428</v>
      </c>
      <c r="O27" s="92">
        <f t="shared" ca="1" si="0"/>
        <v>0</v>
      </c>
      <c r="P27" s="1146" t="str">
        <f ca="1">IFERROR(INDEX(NVLSX!$AA$2:$AA$6756,MATCH($D27,NVLSX!$E$2:$E$6756,0)),"")</f>
        <v>GHI NƠI CẤP BÊN NVLSX CỘT AA</v>
      </c>
      <c r="Q27" s="742">
        <f ca="1">IF($R27="","",IF($R27&lt;&gt;$R26,IF(TYPE(MATCH($R27,TongVTSX!$T$3:$T$1500,0))=16,"",MATCH($R27,TongVTSX!$T$3:$T$1500,0)),IF(TYPE(MATCH($R27,OFFSET(TongVTSX!$T$3,$Q26,0):'TongVTSX'!$T$1500,0)+$Q26)=16,"",MATCH($R27,OFFSET(TongVTSX!$T$3,$Q26,0):'TongVTSX'!$T$1500,0)+$Q26)))</f>
        <v>28</v>
      </c>
      <c r="R27" s="179" t="str">
        <f ca="1">IFERROR(IF(COUNTIF($R$3:R26,R26)&lt; INDEX($T$1:$T$7,MATCH($R26,$S$1:$S$7,0)),$R26,INDEX($S$1:$S$7,MATCH($R26,$S$1:$S$7,0)+1)),"")</f>
        <v>VTLD</v>
      </c>
      <c r="S27" s="181"/>
      <c r="T27" s="182"/>
      <c r="U27" s="184" t="str">
        <f ca="1">IF($R27="PR",INDEX(NVLSX!$U$2:$U$6941,MATCH($D27,NVLSX!$E$2:$E$6941,0)),"")</f>
        <v/>
      </c>
      <c r="V27" s="184" t="str">
        <f ca="1">IF($R27="PR",INDEX(NVLSX!$S$2:$S$6941,MATCH($D27,NVLSX!$E$2:$E$6941,0))*1000,"")</f>
        <v/>
      </c>
      <c r="W27" s="776" t="str">
        <f ca="1">IF($R27="PR",INDEX(NVLSX!$S$2:$S$6941,MATCH($D27,NVLSX!$E$2:$E$6941,0))*INDEX(NVLSX!$T$2:$T$6941,MATCH($D27,NVLSX!$E$2:$E$6941,0)),"")</f>
        <v/>
      </c>
      <c r="X27" s="776">
        <f t="shared" ca="1" si="1"/>
        <v>0</v>
      </c>
      <c r="Y27" s="982" t="str">
        <f ca="1">IFERROR(INDEX(NVLSX!$X$2:$X$4655,MATCH($D27,NVLSX!$E$2:$E$4655,0)),"")</f>
        <v/>
      </c>
    </row>
    <row r="28" spans="1:25">
      <c r="A28" s="19">
        <f ca="1">IF($Q28="","",MAX($A$2:A27)+1)</f>
        <v>26</v>
      </c>
      <c r="B28" s="1146" t="str">
        <f ca="1">IFERROR(INDEX(NVLSX!$Y$2:$Y$6756,MATCH($D28,NVLSX!$E$2:$E$6756,0)),"")</f>
        <v>GHI TÊN NCC BÊN NVLSX CỘT Y</v>
      </c>
      <c r="C28" s="1146" t="str">
        <f ca="1">IFERROR(INDEX(NVLSX!$Z$2:$Z$6756,MATCH($D28,NVLSX!$E$2:$E$6756,0)),"")</f>
        <v>GHI TÊN HÃNG BÊN NVLSX CỘT Z</v>
      </c>
      <c r="D28" s="23" t="str">
        <f ca="1">IF($Q28="","",INDEX(TongVTSX!C$3:C$1500,$Q28))</f>
        <v>NKLD</v>
      </c>
      <c r="E28" s="729" t="str">
        <f ca="1">IF($Q28="","",INDEX(TongVTSX!D$3:D$1500,$Q28) &amp; IF(OR($R28=$S$1,$R28=$S$7)," (" &amp; INDEX(TongVTSX!A$3:A$1500,$Q28) &amp; ")",""))</f>
        <v>Đệm chèn kính GĐLĐ</v>
      </c>
      <c r="F28" s="745" t="str">
        <f ca="1">IF($Q28="","",IF($R28=$S$7,INDEX(TongVTSX!$G$3:$G$1500,$Q28),INDEX(TongVTSX!$E$3:$E$1500,$Q28)))</f>
        <v>T/C</v>
      </c>
      <c r="G28" s="24" t="str">
        <f ca="1">IF($Q28="","",IF($R28=$S$1,"mm",IF($R28=$S$2,"Thanh",INDEX(TongVTSX!F$3:F$1500,$Q28))))</f>
        <v>Gram</v>
      </c>
      <c r="H28" s="114">
        <f ca="1">IF($R28=$S$1,INDEX(TongVTSX!$K$3:$K$1500,$Q28),IF($R28=$S$7,INDEX(TongVTSX!$H$3:$H$1500,$Q28),IF($R28=$S$2,ROUNDUP(SUMPRODUCT((TongVTSX!$C$3:$C$1500=$D28)*(TongVTSX!$E$3:$E$1500=$F28)*(TongVTSX!$K$3:$K$1500))/$U28,0),SUMPRODUCT((TongVTSX!$C$3:$C$1500=$D28)*(TongVTSX!$E$3:$E$1500=$F28)*(TongVTSX!$K$3:$K$1500)))))</f>
        <v>119.42857142857143</v>
      </c>
      <c r="I28" s="114"/>
      <c r="J28" s="114"/>
      <c r="K28" s="114">
        <f ca="1">IF($Q28="","",IF($R28=$S$2,INDEX(TongVTSX!M$3:M$1500,$Q28)*$U28,   INDEX(TongVTSX!M$3:M$1500,$Q28)))</f>
        <v>40</v>
      </c>
      <c r="L28" s="92">
        <f ca="1">IF($Q28="",0, IF($R28=$S$7,$F28*$H28*$K28,IF($R28=$S$2,$H28*$K28,    IF($H28*$K28 - SUMPRODUCT((TongVTSX!$C$3:$C$1500=$D28)*(TongVTSX!$E$3:$E$1500=$F28)*(TongVTSX!$O$3:$O$1500)) &lt;=10,$H28*$K28,"PO &lt;&gt; TongVTSX"))))</f>
        <v>4777.1428571428569</v>
      </c>
      <c r="M28" s="114">
        <f ca="1">IF($R28=$S$1,INDEX(TongVTSX!$K$3:$K$1500,$Q28),IF($R28=$S$7,INDEX(TongVTSX!$H$3:$H$1500,$Q28),IF($R28=$S$2,SUMPRODUCT((TongVTSX!$C$3:$C$1500=$D28)*(TongVTSX!$E$3:$E$1500=$F28)*(TongVTSX!$K$3:$K$1500))/$U28,SUMPRODUCT((TongVTSX!$C$3:$C$1500=$D28)*(TongVTSX!$E$3:$E$1500=$F28)*(TongVTSX!$K$3:$K$1500)))))</f>
        <v>119.42857142857143</v>
      </c>
      <c r="N28" s="92">
        <f ca="1">IF($Q28="",0, IF($R28=$S$7,$F28*$M28*$K28,IF($R28=$S$2,$M28*$K28,    IF($M28*$K28 - SUMPRODUCT((TongVTSX!$C$3:$C$1500=$D28)*(TongVTSX!$E$3:$E$1500=$F28)*(TongVTSX!$O$3:$O$1500)) &lt;=10,$M28*$K28,"PO &lt;&gt; TongVTSX"))))</f>
        <v>4777.1428571428569</v>
      </c>
      <c r="O28" s="92">
        <f t="shared" ca="1" si="0"/>
        <v>0</v>
      </c>
      <c r="P28" s="1146" t="str">
        <f ca="1">IFERROR(INDEX(NVLSX!$AA$2:$AA$6756,MATCH($D28,NVLSX!$E$2:$E$6756,0)),"")</f>
        <v>GHI NƠI CẤP BÊN NVLSX CỘT AA</v>
      </c>
      <c r="Q28" s="742">
        <f ca="1">IF($R28="","",IF($R28&lt;&gt;$R27,IF(TYPE(MATCH($R28,TongVTSX!$T$3:$T$1500,0))=16,"",MATCH($R28,TongVTSX!$T$3:$T$1500,0)),IF(TYPE(MATCH($R28,OFFSET(TongVTSX!$T$3,$Q27,0):'TongVTSX'!$T$1500,0)+$Q27)=16,"",MATCH($R28,OFFSET(TongVTSX!$T$3,$Q27,0):'TongVTSX'!$T$1500,0)+$Q27)))</f>
        <v>29</v>
      </c>
      <c r="R28" s="179" t="str">
        <f ca="1">IFERROR(IF(COUNTIF($R$3:R27,R27)&lt; INDEX($T$1:$T$7,MATCH($R27,$S$1:$S$7,0)),$R27,INDEX($S$1:$S$7,MATCH($R27,$S$1:$S$7,0)+1)),"")</f>
        <v>VTLD</v>
      </c>
      <c r="S28" s="181"/>
      <c r="T28" s="182"/>
      <c r="U28" s="184" t="str">
        <f ca="1">IF($R28="PR",INDEX(NVLSX!$U$2:$U$6941,MATCH($D28,NVLSX!$E$2:$E$6941,0)),"")</f>
        <v/>
      </c>
      <c r="V28" s="184" t="str">
        <f ca="1">IF($R28="PR",INDEX(NVLSX!$S$2:$S$6941,MATCH($D28,NVLSX!$E$2:$E$6941,0))*1000,"")</f>
        <v/>
      </c>
      <c r="W28" s="776" t="str">
        <f ca="1">IF($R28="PR",INDEX(NVLSX!$S$2:$S$6941,MATCH($D28,NVLSX!$E$2:$E$6941,0))*INDEX(NVLSX!$T$2:$T$6941,MATCH($D28,NVLSX!$E$2:$E$6941,0)),"")</f>
        <v/>
      </c>
      <c r="X28" s="776">
        <f t="shared" ca="1" si="1"/>
        <v>0</v>
      </c>
      <c r="Y28" s="982" t="str">
        <f ca="1">IFERROR(INDEX(NVLSX!$X$2:$X$4655,MATCH($D28,NVLSX!$E$2:$E$4655,0)),"")</f>
        <v/>
      </c>
    </row>
    <row r="29" spans="1:25">
      <c r="A29" s="19">
        <f ca="1">IF($Q29="","",MAX($A$2:A28)+1)</f>
        <v>27</v>
      </c>
      <c r="B29" s="1146" t="str">
        <f ca="1">IFERROR(INDEX(NVLSX!$Y$2:$Y$6756,MATCH($D29,NVLSX!$E$2:$E$6756,0)),"")</f>
        <v>GHI TÊN NCC BÊN NVLSX CỘT Y</v>
      </c>
      <c r="C29" s="1146" t="str">
        <f ca="1">IFERROR(INDEX(NVLSX!$Z$2:$Z$6756,MATCH($D29,NVLSX!$E$2:$E$6756,0)),"")</f>
        <v>GHI TÊN HÃNG BÊN NVLSX CỘT Z</v>
      </c>
      <c r="D29" s="23" t="str">
        <f ca="1">IF($Q29="","",INDEX(TongVTSX!C$3:C$1500,$Q29))</f>
        <v>VT</v>
      </c>
      <c r="E29" s="729" t="str">
        <f ca="1">IF($Q29="","",INDEX(TongVTSX!D$3:D$1500,$Q29) &amp; IF(OR($R29=$S$1,$R29=$S$7)," (" &amp; INDEX(TongVTSX!A$3:A$1500,$Q29) &amp; ")",""))</f>
        <v>Vải trắng</v>
      </c>
      <c r="F29" s="745" t="str">
        <f ca="1">IF($Q29="","",IF($R29=$S$7,INDEX(TongVTSX!$G$3:$G$1500,$Q29),INDEX(TongVTSX!$E$3:$E$1500,$Q29)))</f>
        <v>T/C</v>
      </c>
      <c r="G29" s="24" t="str">
        <f ca="1">IF($Q29="","",IF($R29=$S$1,"mm",IF($R29=$S$2,"Thanh",INDEX(TongVTSX!F$3:F$1500,$Q29))))</f>
        <v>Gram</v>
      </c>
      <c r="H29" s="114">
        <f ca="1">IF($R29=$S$1,INDEX(TongVTSX!$K$3:$K$1500,$Q29),IF($R29=$S$7,INDEX(TongVTSX!$H$3:$H$1500,$Q29),IF($R29=$S$2,ROUNDUP(SUMPRODUCT((TongVTSX!$C$3:$C$1500=$D29)*(TongVTSX!$E$3:$E$1500=$F29)*(TongVTSX!$K$3:$K$1500))/$U29,0),SUMPRODUCT((TongVTSX!$C$3:$C$1500=$D29)*(TongVTSX!$E$3:$E$1500=$F29)*(TongVTSX!$K$3:$K$1500)))))</f>
        <v>70.399999999999991</v>
      </c>
      <c r="I29" s="114"/>
      <c r="J29" s="114"/>
      <c r="K29" s="114">
        <f ca="1">IF($Q29="","",IF($R29=$S$2,INDEX(TongVTSX!M$3:M$1500,$Q29)*$U29,   INDEX(TongVTSX!M$3:M$1500,$Q29)))</f>
        <v>20</v>
      </c>
      <c r="L29" s="92">
        <f ca="1">IF($Q29="",0, IF($R29=$S$7,$F29*$H29*$K29,IF($R29=$S$2,$H29*$K29,    IF($H29*$K29 - SUMPRODUCT((TongVTSX!$C$3:$C$1500=$D29)*(TongVTSX!$E$3:$E$1500=$F29)*(TongVTSX!$O$3:$O$1500)) &lt;=10,$H29*$K29,"PO &lt;&gt; TongVTSX"))))</f>
        <v>1407.9999999999998</v>
      </c>
      <c r="M29" s="114">
        <f ca="1">IF($R29=$S$1,INDEX(TongVTSX!$K$3:$K$1500,$Q29),IF($R29=$S$7,INDEX(TongVTSX!$H$3:$H$1500,$Q29),IF($R29=$S$2,SUMPRODUCT((TongVTSX!$C$3:$C$1500=$D29)*(TongVTSX!$E$3:$E$1500=$F29)*(TongVTSX!$K$3:$K$1500))/$U29,SUMPRODUCT((TongVTSX!$C$3:$C$1500=$D29)*(TongVTSX!$E$3:$E$1500=$F29)*(TongVTSX!$K$3:$K$1500)))))</f>
        <v>70.399999999999991</v>
      </c>
      <c r="N29" s="92">
        <f ca="1">IF($Q29="",0, IF($R29=$S$7,$F29*$M29*$K29,IF($R29=$S$2,$M29*$K29,    IF($M29*$K29 - SUMPRODUCT((TongVTSX!$C$3:$C$1500=$D29)*(TongVTSX!$E$3:$E$1500=$F29)*(TongVTSX!$O$3:$O$1500)) &lt;=10,$M29*$K29,"PO &lt;&gt; TongVTSX"))))</f>
        <v>1407.9999999999998</v>
      </c>
      <c r="O29" s="92">
        <f t="shared" ca="1" si="0"/>
        <v>0</v>
      </c>
      <c r="P29" s="1146" t="str">
        <f ca="1">IFERROR(INDEX(NVLSX!$AA$2:$AA$6756,MATCH($D29,NVLSX!$E$2:$E$6756,0)),"")</f>
        <v>GHI NƠI CẤP BÊN NVLSX CỘT AA</v>
      </c>
      <c r="Q29" s="742">
        <f ca="1">IF($R29="","",IF($R29&lt;&gt;$R28,IF(TYPE(MATCH($R29,TongVTSX!$T$3:$T$1500,0))=16,"",MATCH($R29,TongVTSX!$T$3:$T$1500,0)),IF(TYPE(MATCH($R29,OFFSET(TongVTSX!$T$3,$Q28,0):'TongVTSX'!$T$1500,0)+$Q28)=16,"",MATCH($R29,OFFSET(TongVTSX!$T$3,$Q28,0):'TongVTSX'!$T$1500,0)+$Q28)))</f>
        <v>30</v>
      </c>
      <c r="R29" s="179" t="str">
        <f ca="1">IFERROR(IF(COUNTIF($R$3:R28,R28)&lt; INDEX($T$1:$T$7,MATCH($R28,$S$1:$S$7,0)),$R28,INDEX($S$1:$S$7,MATCH($R28,$S$1:$S$7,0)+1)),"")</f>
        <v>VTLD</v>
      </c>
      <c r="S29" s="181"/>
      <c r="T29" s="182"/>
      <c r="U29" s="184" t="str">
        <f ca="1">IF($R29="PR",INDEX(NVLSX!$U$2:$U$6941,MATCH($D29,NVLSX!$E$2:$E$6941,0)),"")</f>
        <v/>
      </c>
      <c r="V29" s="184" t="str">
        <f ca="1">IF($R29="PR",INDEX(NVLSX!$S$2:$S$6941,MATCH($D29,NVLSX!$E$2:$E$6941,0))*1000,"")</f>
        <v/>
      </c>
      <c r="W29" s="776" t="str">
        <f ca="1">IF($R29="PR",INDEX(NVLSX!$S$2:$S$6941,MATCH($D29,NVLSX!$E$2:$E$6941,0))*INDEX(NVLSX!$T$2:$T$6941,MATCH($D29,NVLSX!$E$2:$E$6941,0)),"")</f>
        <v/>
      </c>
      <c r="X29" s="776">
        <f t="shared" ca="1" si="1"/>
        <v>0</v>
      </c>
      <c r="Y29" s="982" t="str">
        <f ca="1">IFERROR(INDEX(NVLSX!$X$2:$X$4655,MATCH($D29,NVLSX!$E$2:$E$4655,0)),"")</f>
        <v/>
      </c>
    </row>
    <row r="30" spans="1:25">
      <c r="A30" s="19">
        <f ca="1">IF($Q30="","",MAX($A$2:A29)+1)</f>
        <v>28</v>
      </c>
      <c r="B30" s="1146" t="str">
        <f ca="1">IFERROR(INDEX(NVLSX!$Y$2:$Y$6756,MATCH($D30,NVLSX!$E$2:$E$6756,0)),"")</f>
        <v>GHI TÊN NCC BÊN NVLSX CỘT Y</v>
      </c>
      <c r="C30" s="1146" t="str">
        <f ca="1">IFERROR(INDEX(NVLSX!$Z$2:$Z$6756,MATCH($D30,NVLSX!$E$2:$E$6756,0)),"")</f>
        <v>GHI TÊN HÃNG BÊN NVLSX CỘT Z</v>
      </c>
      <c r="D30" s="23" t="str">
        <f ca="1">IF($Q30="","",INDEX(TongVTSX!C$3:C$1500,$Q30))</f>
        <v>NLK</v>
      </c>
      <c r="E30" s="729" t="str">
        <f ca="1">IF($Q30="","",INDEX(TongVTSX!D$3:D$1500,$Q30) &amp; IF(OR($R30=$S$1,$R30=$S$7)," (" &amp; INDEX(TongVTSX!A$3:A$1500,$Q30) &amp; ")",""))</f>
        <v>Nước lau kính</v>
      </c>
      <c r="F30" s="745" t="str">
        <f ca="1">IF($Q30="","",IF($R30=$S$7,INDEX(TongVTSX!$G$3:$G$1500,$Q30),INDEX(TongVTSX!$E$3:$E$1500,$Q30)))</f>
        <v>T/C</v>
      </c>
      <c r="G30" s="24" t="str">
        <f ca="1">IF($Q30="","",IF($R30=$S$1,"mm",IF($R30=$S$2,"Thanh",INDEX(TongVTSX!F$3:F$1500,$Q30))))</f>
        <v>Chai</v>
      </c>
      <c r="H30" s="114">
        <f ca="1">IF($R30=$S$1,INDEX(TongVTSX!$K$3:$K$1500,$Q30),IF($R30=$S$7,INDEX(TongVTSX!$H$3:$H$1500,$Q30),IF($R30=$S$2,ROUNDUP(SUMPRODUCT((TongVTSX!$C$3:$C$1500=$D30)*(TongVTSX!$E$3:$E$1500=$F30)*(TongVTSX!$K$3:$K$1500))/$U30,0),SUMPRODUCT((TongVTSX!$C$3:$C$1500=$D30)*(TongVTSX!$E$3:$E$1500=$F30)*(TongVTSX!$K$3:$K$1500)))))</f>
        <v>8.8000000000000009E-2</v>
      </c>
      <c r="I30" s="114"/>
      <c r="J30" s="114"/>
      <c r="K30" s="114">
        <f ca="1">IF($Q30="","",IF($R30=$S$2,INDEX(TongVTSX!M$3:M$1500,$Q30)*$U30,   INDEX(TongVTSX!M$3:M$1500,$Q30)))</f>
        <v>28000</v>
      </c>
      <c r="L30" s="92">
        <f ca="1">IF($Q30="",0, IF($R30=$S$7,$F30*$H30*$K30,IF($R30=$S$2,$H30*$K30,    IF($H30*$K30 - SUMPRODUCT((TongVTSX!$C$3:$C$1500=$D30)*(TongVTSX!$E$3:$E$1500=$F30)*(TongVTSX!$O$3:$O$1500)) &lt;=10,$H30*$K30,"PO &lt;&gt; TongVTSX"))))</f>
        <v>2464.0000000000005</v>
      </c>
      <c r="M30" s="114">
        <f ca="1">IF($R30=$S$1,INDEX(TongVTSX!$K$3:$K$1500,$Q30),IF($R30=$S$7,INDEX(TongVTSX!$H$3:$H$1500,$Q30),IF($R30=$S$2,SUMPRODUCT((TongVTSX!$C$3:$C$1500=$D30)*(TongVTSX!$E$3:$E$1500=$F30)*(TongVTSX!$K$3:$K$1500))/$U30,SUMPRODUCT((TongVTSX!$C$3:$C$1500=$D30)*(TongVTSX!$E$3:$E$1500=$F30)*(TongVTSX!$K$3:$K$1500)))))</f>
        <v>8.8000000000000009E-2</v>
      </c>
      <c r="N30" s="92">
        <f ca="1">IF($Q30="",0, IF($R30=$S$7,$F30*$M30*$K30,IF($R30=$S$2,$M30*$K30,    IF($M30*$K30 - SUMPRODUCT((TongVTSX!$C$3:$C$1500=$D30)*(TongVTSX!$E$3:$E$1500=$F30)*(TongVTSX!$O$3:$O$1500)) &lt;=10,$M30*$K30,"PO &lt;&gt; TongVTSX"))))</f>
        <v>2464.0000000000005</v>
      </c>
      <c r="O30" s="92">
        <f t="shared" ca="1" si="0"/>
        <v>0</v>
      </c>
      <c r="P30" s="1146" t="str">
        <f ca="1">IFERROR(INDEX(NVLSX!$AA$2:$AA$6756,MATCH($D30,NVLSX!$E$2:$E$6756,0)),"")</f>
        <v>GHI NƠI CẤP BÊN NVLSX CỘT AA</v>
      </c>
      <c r="Q30" s="742">
        <f ca="1">IF($R30="","",IF($R30&lt;&gt;$R29,IF(TYPE(MATCH($R30,TongVTSX!$T$3:$T$1500,0))=16,"",MATCH($R30,TongVTSX!$T$3:$T$1500,0)),IF(TYPE(MATCH($R30,OFFSET(TongVTSX!$T$3,$Q29,0):'TongVTSX'!$T$1500,0)+$Q29)=16,"",MATCH($R30,OFFSET(TongVTSX!$T$3,$Q29,0):'TongVTSX'!$T$1500,0)+$Q29)))</f>
        <v>31</v>
      </c>
      <c r="R30" s="179" t="str">
        <f ca="1">IFERROR(IF(COUNTIF($R$3:R29,R29)&lt; INDEX($T$1:$T$7,MATCH($R29,$S$1:$S$7,0)),$R29,INDEX($S$1:$S$7,MATCH($R29,$S$1:$S$7,0)+1)),"")</f>
        <v>VTLD</v>
      </c>
      <c r="S30" s="181"/>
      <c r="T30" s="182"/>
      <c r="U30" s="184" t="str">
        <f ca="1">IF($R30="PR",INDEX(NVLSX!$U$2:$U$6941,MATCH($D30,NVLSX!$E$2:$E$6941,0)),"")</f>
        <v/>
      </c>
      <c r="V30" s="184" t="str">
        <f ca="1">IF($R30="PR",INDEX(NVLSX!$S$2:$S$6941,MATCH($D30,NVLSX!$E$2:$E$6941,0))*1000,"")</f>
        <v/>
      </c>
      <c r="W30" s="776" t="str">
        <f ca="1">IF($R30="PR",INDEX(NVLSX!$S$2:$S$6941,MATCH($D30,NVLSX!$E$2:$E$6941,0))*INDEX(NVLSX!$T$2:$T$6941,MATCH($D30,NVLSX!$E$2:$E$6941,0)),"")</f>
        <v/>
      </c>
      <c r="X30" s="776">
        <f t="shared" ca="1" si="1"/>
        <v>0</v>
      </c>
      <c r="Y30" s="982" t="str">
        <f ca="1">IFERROR(INDEX(NVLSX!$X$2:$X$4655,MATCH($D30,NVLSX!$E$2:$E$4655,0)),"")</f>
        <v/>
      </c>
    </row>
    <row r="31" spans="1:25">
      <c r="A31" s="19">
        <f ca="1">IF($Q31="","",MAX($A$2:A30)+1)</f>
        <v>29</v>
      </c>
      <c r="B31" s="1146" t="str">
        <f ca="1">IFERROR(INDEX(NVLSX!$Y$2:$Y$6756,MATCH($D31,NVLSX!$E$2:$E$6756,0)),"")</f>
        <v>GHI TÊN NCC BÊN NVLSX CỘT Y</v>
      </c>
      <c r="C31" s="1146" t="str">
        <f ca="1">IFERROR(INDEX(NVLSX!$Z$2:$Z$6756,MATCH($D31,NVLSX!$E$2:$E$6756,0)),"")</f>
        <v>GHI TÊN HÃNG BÊN NVLSX CỘT Z</v>
      </c>
      <c r="D31" s="23" t="str">
        <f ca="1">IF($Q31="","",INDEX(TongVTSX!C$3:C$1500,$Q31))</f>
        <v>LD</v>
      </c>
      <c r="E31" s="729" t="str">
        <f ca="1">IF($Q31="","",INDEX(TongVTSX!D$3:D$1500,$Q31) &amp; IF(OR($R31=$S$1,$R31=$S$7)," (" &amp; INDEX(TongVTSX!A$3:A$1500,$Q31) &amp; ")",""))</f>
        <v>Lưỡi dao rọc giấy</v>
      </c>
      <c r="F31" s="745" t="str">
        <f ca="1">IF($Q31="","",IF($R31=$S$7,INDEX(TongVTSX!$G$3:$G$1500,$Q31),INDEX(TongVTSX!$E$3:$E$1500,$Q31)))</f>
        <v>T/C</v>
      </c>
      <c r="G31" s="24" t="str">
        <f ca="1">IF($Q31="","",IF($R31=$S$1,"mm",IF($R31=$S$2,"Thanh",INDEX(TongVTSX!F$3:F$1500,$Q31))))</f>
        <v>Cái</v>
      </c>
      <c r="H31" s="114">
        <f ca="1">IF($R31=$S$1,INDEX(TongVTSX!$K$3:$K$1500,$Q31),IF($R31=$S$7,INDEX(TongVTSX!$H$3:$H$1500,$Q31),IF($R31=$S$2,ROUNDUP(SUMPRODUCT((TongVTSX!$C$3:$C$1500=$D31)*(TongVTSX!$E$3:$E$1500=$F31)*(TongVTSX!$K$3:$K$1500))/$U31,0),SUMPRODUCT((TongVTSX!$C$3:$C$1500=$D31)*(TongVTSX!$E$3:$E$1500=$F31)*(TongVTSX!$K$3:$K$1500)))))</f>
        <v>2</v>
      </c>
      <c r="I31" s="114"/>
      <c r="J31" s="114"/>
      <c r="K31" s="114">
        <f ca="1">IF($Q31="","",IF($R31=$S$2,INDEX(TongVTSX!M$3:M$1500,$Q31)*$U31,   INDEX(TongVTSX!M$3:M$1500,$Q31)))</f>
        <v>1000</v>
      </c>
      <c r="L31" s="92">
        <f ca="1">IF($Q31="",0, IF($R31=$S$7,$F31*$H31*$K31,IF($R31=$S$2,$H31*$K31,    IF($H31*$K31 - SUMPRODUCT((TongVTSX!$C$3:$C$1500=$D31)*(TongVTSX!$E$3:$E$1500=$F31)*(TongVTSX!$O$3:$O$1500)) &lt;=10,$H31*$K31,"PO &lt;&gt; TongVTSX"))))</f>
        <v>2000</v>
      </c>
      <c r="M31" s="114">
        <f ca="1">IF($R31=$S$1,INDEX(TongVTSX!$K$3:$K$1500,$Q31),IF($R31=$S$7,INDEX(TongVTSX!$H$3:$H$1500,$Q31),IF($R31=$S$2,SUMPRODUCT((TongVTSX!$C$3:$C$1500=$D31)*(TongVTSX!$E$3:$E$1500=$F31)*(TongVTSX!$K$3:$K$1500))/$U31,SUMPRODUCT((TongVTSX!$C$3:$C$1500=$D31)*(TongVTSX!$E$3:$E$1500=$F31)*(TongVTSX!$K$3:$K$1500)))))</f>
        <v>2</v>
      </c>
      <c r="N31" s="92">
        <f ca="1">IF($Q31="",0, IF($R31=$S$7,$F31*$M31*$K31,IF($R31=$S$2,$M31*$K31,    IF($M31*$K31 - SUMPRODUCT((TongVTSX!$C$3:$C$1500=$D31)*(TongVTSX!$E$3:$E$1500=$F31)*(TongVTSX!$O$3:$O$1500)) &lt;=10,$M31*$K31,"PO &lt;&gt; TongVTSX"))))</f>
        <v>2000</v>
      </c>
      <c r="O31" s="92">
        <f t="shared" ca="1" si="0"/>
        <v>0</v>
      </c>
      <c r="P31" s="1146" t="str">
        <f ca="1">IFERROR(INDEX(NVLSX!$AA$2:$AA$6756,MATCH($D31,NVLSX!$E$2:$E$6756,0)),"")</f>
        <v>GHI NƠI CẤP BÊN NVLSX CỘT AA</v>
      </c>
      <c r="Q31" s="742">
        <f ca="1">IF($R31="","",IF($R31&lt;&gt;$R30,IF(TYPE(MATCH($R31,TongVTSX!$T$3:$T$1500,0))=16,"",MATCH($R31,TongVTSX!$T$3:$T$1500,0)),IF(TYPE(MATCH($R31,OFFSET(TongVTSX!$T$3,$Q30,0):'TongVTSX'!$T$1500,0)+$Q30)=16,"",MATCH($R31,OFFSET(TongVTSX!$T$3,$Q30,0):'TongVTSX'!$T$1500,0)+$Q30)))</f>
        <v>32</v>
      </c>
      <c r="R31" s="179" t="str">
        <f ca="1">IFERROR(IF(COUNTIF($R$3:R30,R30)&lt; INDEX($T$1:$T$7,MATCH($R30,$S$1:$S$7,0)),$R30,INDEX($S$1:$S$7,MATCH($R30,$S$1:$S$7,0)+1)),"")</f>
        <v>VTLD</v>
      </c>
      <c r="S31" s="181"/>
      <c r="T31" s="182"/>
      <c r="U31" s="184" t="str">
        <f ca="1">IF($R31="PR",INDEX(NVLSX!$U$2:$U$6941,MATCH($D31,NVLSX!$E$2:$E$6941,0)),"")</f>
        <v/>
      </c>
      <c r="V31" s="184" t="str">
        <f ca="1">IF($R31="PR",INDEX(NVLSX!$S$2:$S$6941,MATCH($D31,NVLSX!$E$2:$E$6941,0))*1000,"")</f>
        <v/>
      </c>
      <c r="W31" s="776" t="str">
        <f ca="1">IF($R31="PR",INDEX(NVLSX!$S$2:$S$6941,MATCH($D31,NVLSX!$E$2:$E$6941,0))*INDEX(NVLSX!$T$2:$T$6941,MATCH($D31,NVLSX!$E$2:$E$6941,0)),"")</f>
        <v/>
      </c>
      <c r="X31" s="776">
        <f t="shared" ca="1" si="1"/>
        <v>0</v>
      </c>
      <c r="Y31" s="982" t="str">
        <f ca="1">IFERROR(INDEX(NVLSX!$X$2:$X$4655,MATCH($D31,NVLSX!$E$2:$E$4655,0)),"")</f>
        <v/>
      </c>
    </row>
    <row r="32" spans="1:25">
      <c r="A32" s="19">
        <f ca="1">IF($Q32="","",MAX($A$2:A31)+1)</f>
        <v>30</v>
      </c>
      <c r="B32" s="1146" t="str">
        <f ca="1">IFERROR(INDEX(NVLSX!$Y$2:$Y$6756,MATCH($D32,NVLSX!$E$2:$E$6756,0)),"")</f>
        <v>CÔNG TY TNHH THIÊN PHÚ</v>
      </c>
      <c r="C32" s="1146" t="str">
        <f ca="1">IFERROR(INDEX(NVLSX!$Z$2:$Z$6756,MATCH($D32,NVLSX!$E$2:$E$6756,0)),"")</f>
        <v>GHI TÊN HÃNG BÊN NVLSX CỘT Z</v>
      </c>
      <c r="D32" s="23" t="str">
        <f ca="1">IF($Q32="","",INDEX(TongVTSX!C$3:C$1500,$Q32))</f>
        <v>KT08</v>
      </c>
      <c r="E32" s="729" t="str">
        <f ca="1">IF($Q32="","",INDEX(TongVTSX!D$3:D$1500,$Q32) &amp; IF(OR($R32=$S$1,$R32=$S$7)," (" &amp; INDEX(TongVTSX!A$3:A$1500,$Q32) &amp; ")",""))</f>
        <v>Kính đơn 8 mm trong (MauKoXoa)</v>
      </c>
      <c r="F32" s="745">
        <f ca="1">IF($Q32="","",IF($R32=$S$7,INDEX(TongVTSX!$G$3:$G$1500,$Q32),INDEX(TongVTSX!$E$3:$E$1500,$Q32)))</f>
        <v>2.7909600000000001</v>
      </c>
      <c r="G32" s="24" t="str">
        <f ca="1">IF($Q32="","",IF($R32=$S$1,"mm",IF($R32=$S$2,"Thanh",INDEX(TongVTSX!F$3:F$1500,$Q32))))</f>
        <v>1392 * 2005</v>
      </c>
      <c r="H32" s="114">
        <f ca="1">IF($R32=$S$1,INDEX(TongVTSX!$K$3:$K$1500,$Q32),IF($R32=$S$7,INDEX(TongVTSX!$H$3:$H$1500,$Q32),IF($R32=$S$2,ROUNDUP(SUMPRODUCT((TongVTSX!$C$3:$C$1500=$D32)*(TongVTSX!$E$3:$E$1500=$F32)*(TongVTSX!$K$3:$K$1500))/$U32,0),SUMPRODUCT((TongVTSX!$C$3:$C$1500=$D32)*(TongVTSX!$E$3:$E$1500=$F32)*(TongVTSX!$K$3:$K$1500)))))</f>
        <v>1</v>
      </c>
      <c r="I32" s="114"/>
      <c r="J32" s="114"/>
      <c r="K32" s="114">
        <f ca="1">IF($Q32="","",IF($R32=$S$2,INDEX(TongVTSX!M$3:M$1500,$Q32)*$U32,   INDEX(TongVTSX!M$3:M$1500,$Q32)))</f>
        <v>220000</v>
      </c>
      <c r="L32" s="92">
        <f ca="1">IF($Q32="",0, IF($R32=$S$7,$F32*$H32*$K32,IF($R32=$S$2,$H32*$K32,    IF($H32*$K32 - SUMPRODUCT((TongVTSX!$C$3:$C$1500=$D32)*(TongVTSX!$E$3:$E$1500=$F32)*(TongVTSX!$O$3:$O$1500)) &lt;=10,$H32*$K32,"PO &lt;&gt; TongVTSX"))))</f>
        <v>614011.20000000007</v>
      </c>
      <c r="M32" s="114">
        <f ca="1">IF($R32=$S$1,INDEX(TongVTSX!$K$3:$K$1500,$Q32),IF($R32=$S$7,INDEX(TongVTSX!$H$3:$H$1500,$Q32),IF($R32=$S$2,SUMPRODUCT((TongVTSX!$C$3:$C$1500=$D32)*(TongVTSX!$E$3:$E$1500=$F32)*(TongVTSX!$K$3:$K$1500))/$U32,SUMPRODUCT((TongVTSX!$C$3:$C$1500=$D32)*(TongVTSX!$E$3:$E$1500=$F32)*(TongVTSX!$K$3:$K$1500)))))</f>
        <v>1</v>
      </c>
      <c r="N32" s="92">
        <f ca="1">IF($Q32="",0, IF($R32=$S$7,$F32*$M32*$K32,IF($R32=$S$2,$M32*$K32,    IF($M32*$K32 - SUMPRODUCT((TongVTSX!$C$3:$C$1500=$D32)*(TongVTSX!$E$3:$E$1500=$F32)*(TongVTSX!$O$3:$O$1500)) &lt;=10,$M32*$K32,"PO &lt;&gt; TongVTSX"))))</f>
        <v>614011.20000000007</v>
      </c>
      <c r="O32" s="92">
        <f t="shared" ca="1" si="0"/>
        <v>0</v>
      </c>
      <c r="P32" s="1146" t="str">
        <f ca="1">IFERROR(INDEX(NVLSX!$AA$2:$AA$6756,MATCH($D32,NVLSX!$E$2:$E$6756,0)),"")</f>
        <v>GHI NƠI CẤP BÊN NVLSX CỘT AA</v>
      </c>
      <c r="Q32" s="742">
        <f ca="1">IF($R32="","",IF($R32&lt;&gt;$R31,IF(TYPE(MATCH($R32,TongVTSX!$T$3:$T$1500,0))=16,"",MATCH($R32,TongVTSX!$T$3:$T$1500,0)),IF(TYPE(MATCH($R32,OFFSET(TongVTSX!$T$3,$Q31,0):'TongVTSX'!$T$1500,0)+$Q31)=16,"",MATCH($R32,OFFSET(TongVTSX!$T$3,$Q31,0):'TongVTSX'!$T$1500,0)+$Q31)))</f>
        <v>33</v>
      </c>
      <c r="R32" s="179" t="str">
        <f ca="1">IFERROR(IF(COUNTIF($R$3:R31,R31)&lt; INDEX($T$1:$T$7,MATCH($R31,$S$1:$S$7,0)),$R31,INDEX($S$1:$S$7,MATCH($R31,$S$1:$S$7,0)+1)),"")</f>
        <v>KI</v>
      </c>
      <c r="S32" s="181"/>
      <c r="T32" s="182"/>
      <c r="U32" s="184" t="str">
        <f ca="1">IF($R32="PR",INDEX(NVLSX!$U$2:$U$6941,MATCH($D32,NVLSX!$E$2:$E$6941,0)),"")</f>
        <v/>
      </c>
      <c r="V32" s="184" t="str">
        <f ca="1">IF($R32="PR",INDEX(NVLSX!$S$2:$S$6941,MATCH($D32,NVLSX!$E$2:$E$6941,0))*1000,"")</f>
        <v/>
      </c>
      <c r="W32" s="776" t="str">
        <f ca="1">IF($R32="PR",INDEX(NVLSX!$S$2:$S$6941,MATCH($D32,NVLSX!$E$2:$E$6941,0))*INDEX(NVLSX!$T$2:$T$6941,MATCH($D32,NVLSX!$E$2:$E$6941,0)),"")</f>
        <v/>
      </c>
      <c r="X32" s="776">
        <f t="shared" ca="1" si="1"/>
        <v>0</v>
      </c>
      <c r="Y32" s="982" t="str">
        <f ca="1">IFERROR(INDEX(NVLSX!$X$2:$X$4655,MATCH($D32,NVLSX!$E$2:$E$4655,0)),"")</f>
        <v/>
      </c>
    </row>
    <row r="33" spans="1:25">
      <c r="A33" s="19" t="str">
        <f ca="1">IF($Q33="","",MAX($A$2:A32)+1)</f>
        <v/>
      </c>
      <c r="B33" s="1146" t="str">
        <f ca="1">IFERROR(INDEX(NVLSX!$Y$2:$Y$6756,MATCH($D33,NVLSX!$E$2:$E$6756,0)),"")</f>
        <v/>
      </c>
      <c r="C33" s="1146" t="str">
        <f ca="1">IFERROR(INDEX(NVLSX!$Z$2:$Z$6756,MATCH($D33,NVLSX!$E$2:$E$6756,0)),"")</f>
        <v/>
      </c>
      <c r="D33" s="23" t="str">
        <f ca="1">IF($Q33="","",INDEX(TongVTSX!C$3:C$1500,$Q33))</f>
        <v/>
      </c>
      <c r="E33" s="729" t="str">
        <f ca="1">IF($Q33="","",INDEX(TongVTSX!D$3:D$1500,$Q33) &amp; IF(OR($R33=$S$1,$R33=$S$7)," (" &amp; INDEX(TongVTSX!A$3:A$1500,$Q33) &amp; ")",""))</f>
        <v/>
      </c>
      <c r="F33" s="745" t="str">
        <f ca="1">IF($Q33="","",IF($R33=$S$7,INDEX(TongVTSX!$G$3:$G$1500,$Q33),INDEX(TongVTSX!$E$3:$E$1500,$Q33)))</f>
        <v/>
      </c>
      <c r="G33" s="24" t="str">
        <f ca="1">IF($Q33="","",IF($R33=$S$1,"mm",IF($R33=$S$2,"Thanh",INDEX(TongVTSX!F$3:F$1500,$Q33))))</f>
        <v/>
      </c>
      <c r="H33" s="114">
        <f ca="1">IF($R33=$S$1,INDEX(TongVTSX!$K$3:$K$1500,$Q33),IF($R33=$S$7,INDEX(TongVTSX!$H$3:$H$1500,$Q33),IF($R33=$S$2,ROUNDUP(SUMPRODUCT((TongVTSX!$C$3:$C$1500=$D33)*(TongVTSX!$E$3:$E$1500=$F33)*(TongVTSX!$K$3:$K$1500))/$U33,0),SUMPRODUCT((TongVTSX!$C$3:$C$1500=$D33)*(TongVTSX!$E$3:$E$1500=$F33)*(TongVTSX!$K$3:$K$1500)))))</f>
        <v>0</v>
      </c>
      <c r="I33" s="114"/>
      <c r="J33" s="114"/>
      <c r="K33" s="114" t="str">
        <f ca="1">IF($Q33="","",IF($R33=$S$2,INDEX(TongVTSX!M$3:M$1500,$Q33)*$U33,   INDEX(TongVTSX!M$3:M$1500,$Q33)))</f>
        <v/>
      </c>
      <c r="L33" s="92">
        <f ca="1">IF($Q33="",0, IF($R33=$S$7,$F33*$H33*$K33,IF($R33=$S$2,$H33*$K33,    IF($H33*$K33 - SUMPRODUCT((TongVTSX!$C$3:$C$1500=$D33)*(TongVTSX!$E$3:$E$1500=$F33)*(TongVTSX!$O$3:$O$1500)) &lt;=10,$H33*$K33,"PO &lt;&gt; TongVTSX"))))</f>
        <v>0</v>
      </c>
      <c r="M33" s="114">
        <f ca="1">IF($R33=$S$1,INDEX(TongVTSX!$K$3:$K$1500,$Q33),IF($R33=$S$7,INDEX(TongVTSX!$H$3:$H$1500,$Q33),IF($R33=$S$2,SUMPRODUCT((TongVTSX!$C$3:$C$1500=$D33)*(TongVTSX!$E$3:$E$1500=$F33)*(TongVTSX!$K$3:$K$1500))/$U33,SUMPRODUCT((TongVTSX!$C$3:$C$1500=$D33)*(TongVTSX!$E$3:$E$1500=$F33)*(TongVTSX!$K$3:$K$1500)))))</f>
        <v>0</v>
      </c>
      <c r="N33" s="92">
        <f ca="1">IF($Q33="",0, IF($R33=$S$7,$F33*$M33*$K33,IF($R33=$S$2,$M33*$K33,    IF($M33*$K33 - SUMPRODUCT((TongVTSX!$C$3:$C$1500=$D33)*(TongVTSX!$E$3:$E$1500=$F33)*(TongVTSX!$O$3:$O$1500)) &lt;=10,$M33*$K33,"PO &lt;&gt; TongVTSX"))))</f>
        <v>0</v>
      </c>
      <c r="O33" s="92">
        <f t="shared" ca="1" si="0"/>
        <v>0</v>
      </c>
      <c r="P33" s="1146" t="str">
        <f ca="1">IFERROR(INDEX(NVLSX!$AA$2:$AA$6756,MATCH($D33,NVLSX!$E$2:$E$6756,0)),"")</f>
        <v/>
      </c>
      <c r="Q33" s="742" t="str">
        <f ca="1">IF($R33="","",IF($R33&lt;&gt;$R32,IF(TYPE(MATCH($R33,TongVTSX!$T$3:$T$1500,0))=16,"",MATCH($R33,TongVTSX!$T$3:$T$1500,0)),IF(TYPE(MATCH($R33,OFFSET(TongVTSX!$T$3,$Q32,0):'TongVTSX'!$T$1500,0)+$Q32)=16,"",MATCH($R33,OFFSET(TongVTSX!$T$3,$Q32,0):'TongVTSX'!$T$1500,0)+$Q32)))</f>
        <v/>
      </c>
      <c r="R33" s="179" t="str">
        <f ca="1">IFERROR(IF(COUNTIF($R$3:R32,R32)&lt; INDEX($T$1:$T$7,MATCH($R32,$S$1:$S$7,0)),$R32,INDEX($S$1:$S$7,MATCH($R32,$S$1:$S$7,0)+1)),"")</f>
        <v/>
      </c>
      <c r="S33" s="181"/>
      <c r="T33" s="182"/>
      <c r="U33" s="184" t="str">
        <f ca="1">IF($R33="PR",INDEX(NVLSX!$U$2:$U$6941,MATCH($D33,NVLSX!$E$2:$E$6941,0)),"")</f>
        <v/>
      </c>
      <c r="V33" s="184" t="str">
        <f ca="1">IF($R33="PR",INDEX(NVLSX!$S$2:$S$6941,MATCH($D33,NVLSX!$E$2:$E$6941,0))*1000,"")</f>
        <v/>
      </c>
      <c r="W33" s="776" t="str">
        <f ca="1">IF($R33="PR",INDEX(NVLSX!$S$2:$S$6941,MATCH($D33,NVLSX!$E$2:$E$6941,0))*INDEX(NVLSX!$T$2:$T$6941,MATCH($D33,NVLSX!$E$2:$E$6941,0)),"")</f>
        <v/>
      </c>
      <c r="X33" s="776">
        <f t="shared" ca="1" si="1"/>
        <v>0</v>
      </c>
      <c r="Y33" s="982" t="str">
        <f ca="1">IFERROR(INDEX(NVLSX!$X$2:$X$4655,MATCH($D33,NVLSX!$E$2:$E$4655,0)),"")</f>
        <v/>
      </c>
    </row>
    <row r="34" spans="1:25">
      <c r="A34" s="19" t="str">
        <f ca="1">IF($Q34="","",MAX($A$2:A33)+1)</f>
        <v/>
      </c>
      <c r="B34" s="1146" t="str">
        <f ca="1">IFERROR(INDEX(NVLSX!$Y$2:$Y$6756,MATCH($D34,NVLSX!$E$2:$E$6756,0)),"")</f>
        <v/>
      </c>
      <c r="C34" s="1146" t="str">
        <f ca="1">IFERROR(INDEX(NVLSX!$Z$2:$Z$6756,MATCH($D34,NVLSX!$E$2:$E$6756,0)),"")</f>
        <v/>
      </c>
      <c r="D34" s="23" t="str">
        <f ca="1">IF($Q34="","",INDEX(TongVTSX!C$3:C$1500,$Q34))</f>
        <v/>
      </c>
      <c r="E34" s="729" t="str">
        <f ca="1">IF($Q34="","",INDEX(TongVTSX!D$3:D$1500,$Q34) &amp; IF(OR($R34=$S$1,$R34=$S$7)," (" &amp; INDEX(TongVTSX!A$3:A$1500,$Q34) &amp; ")",""))</f>
        <v/>
      </c>
      <c r="F34" s="745" t="str">
        <f ca="1">IF($Q34="","",IF($R34=$S$7,INDEX(TongVTSX!$G$3:$G$1500,$Q34),INDEX(TongVTSX!$E$3:$E$1500,$Q34)))</f>
        <v/>
      </c>
      <c r="G34" s="24" t="str">
        <f ca="1">IF($Q34="","",IF($R34=$S$1,"mm",IF($R34=$S$2,"Thanh",INDEX(TongVTSX!F$3:F$1500,$Q34))))</f>
        <v/>
      </c>
      <c r="H34" s="114">
        <f ca="1">IF($R34=$S$1,INDEX(TongVTSX!$K$3:$K$1500,$Q34),IF($R34=$S$7,INDEX(TongVTSX!$H$3:$H$1500,$Q34),IF($R34=$S$2,ROUNDUP(SUMPRODUCT((TongVTSX!$C$3:$C$1500=$D34)*(TongVTSX!$E$3:$E$1500=$F34)*(TongVTSX!$K$3:$K$1500))/$U34,0),SUMPRODUCT((TongVTSX!$C$3:$C$1500=$D34)*(TongVTSX!$E$3:$E$1500=$F34)*(TongVTSX!$K$3:$K$1500)))))</f>
        <v>0</v>
      </c>
      <c r="I34" s="114"/>
      <c r="J34" s="114"/>
      <c r="K34" s="114" t="str">
        <f ca="1">IF($Q34="","",IF($R34=$S$2,INDEX(TongVTSX!M$3:M$1500,$Q34)*$U34,   INDEX(TongVTSX!M$3:M$1500,$Q34)))</f>
        <v/>
      </c>
      <c r="L34" s="92">
        <f ca="1">IF($Q34="",0, IF($R34=$S$7,$F34*$H34*$K34,IF($R34=$S$2,$H34*$K34,    IF($H34*$K34 - SUMPRODUCT((TongVTSX!$C$3:$C$1500=$D34)*(TongVTSX!$E$3:$E$1500=$F34)*(TongVTSX!$O$3:$O$1500)) &lt;=10,$H34*$K34,"PO &lt;&gt; TongVTSX"))))</f>
        <v>0</v>
      </c>
      <c r="M34" s="114">
        <f ca="1">IF($R34=$S$1,INDEX(TongVTSX!$K$3:$K$1500,$Q34),IF($R34=$S$7,INDEX(TongVTSX!$H$3:$H$1500,$Q34),IF($R34=$S$2,SUMPRODUCT((TongVTSX!$C$3:$C$1500=$D34)*(TongVTSX!$E$3:$E$1500=$F34)*(TongVTSX!$K$3:$K$1500))/$U34,SUMPRODUCT((TongVTSX!$C$3:$C$1500=$D34)*(TongVTSX!$E$3:$E$1500=$F34)*(TongVTSX!$K$3:$K$1500)))))</f>
        <v>0</v>
      </c>
      <c r="N34" s="92">
        <f ca="1">IF($Q34="",0, IF($R34=$S$7,$F34*$M34*$K34,IF($R34=$S$2,$M34*$K34,    IF($M34*$K34 - SUMPRODUCT((TongVTSX!$C$3:$C$1500=$D34)*(TongVTSX!$E$3:$E$1500=$F34)*(TongVTSX!$O$3:$O$1500)) &lt;=10,$M34*$K34,"PO &lt;&gt; TongVTSX"))))</f>
        <v>0</v>
      </c>
      <c r="O34" s="92">
        <f t="shared" ca="1" si="0"/>
        <v>0</v>
      </c>
      <c r="P34" s="1146" t="str">
        <f ca="1">IFERROR(INDEX(NVLSX!$AA$2:$AA$6756,MATCH($D34,NVLSX!$E$2:$E$6756,0)),"")</f>
        <v/>
      </c>
      <c r="Q34" s="742" t="str">
        <f ca="1">IF($R34="","",IF($R34&lt;&gt;$R33,IF(TYPE(MATCH($R34,TongVTSX!$T$3:$T$1500,0))=16,"",MATCH($R34,TongVTSX!$T$3:$T$1500,0)),IF(TYPE(MATCH($R34,OFFSET(TongVTSX!$T$3,$Q33,0):'TongVTSX'!$T$1500,0)+$Q33)=16,"",MATCH($R34,OFFSET(TongVTSX!$T$3,$Q33,0):'TongVTSX'!$T$1500,0)+$Q33)))</f>
        <v/>
      </c>
      <c r="R34" s="179" t="str">
        <f ca="1">IFERROR(IF(COUNTIF($R$3:R33,R33)&lt; INDEX($T$1:$T$7,MATCH($R33,$S$1:$S$7,0)),$R33,INDEX($S$1:$S$7,MATCH($R33,$S$1:$S$7,0)+1)),"")</f>
        <v/>
      </c>
      <c r="S34" s="181"/>
      <c r="T34" s="182"/>
      <c r="U34" s="184" t="str">
        <f ca="1">IF($R34="PR",INDEX(NVLSX!$U$2:$U$6941,MATCH($D34,NVLSX!$E$2:$E$6941,0)),"")</f>
        <v/>
      </c>
      <c r="V34" s="184" t="str">
        <f ca="1">IF($R34="PR",INDEX(NVLSX!$S$2:$S$6941,MATCH($D34,NVLSX!$E$2:$E$6941,0))*1000,"")</f>
        <v/>
      </c>
      <c r="W34" s="776" t="str">
        <f ca="1">IF($R34="PR",INDEX(NVLSX!$S$2:$S$6941,MATCH($D34,NVLSX!$E$2:$E$6941,0))*INDEX(NVLSX!$T$2:$T$6941,MATCH($D34,NVLSX!$E$2:$E$6941,0)),"")</f>
        <v/>
      </c>
      <c r="X34" s="776">
        <f t="shared" ca="1" si="1"/>
        <v>0</v>
      </c>
      <c r="Y34" s="982" t="str">
        <f ca="1">IFERROR(INDEX(NVLSX!$X$2:$X$4655,MATCH($D34,NVLSX!$E$2:$E$4655,0)),"")</f>
        <v/>
      </c>
    </row>
    <row r="35" spans="1:25">
      <c r="A35" s="19" t="str">
        <f ca="1">IF($Q35="","",MAX($A$2:A34)+1)</f>
        <v/>
      </c>
      <c r="B35" s="1146" t="str">
        <f ca="1">IFERROR(INDEX(NVLSX!$Y$2:$Y$6756,MATCH($D35,NVLSX!$E$2:$E$6756,0)),"")</f>
        <v/>
      </c>
      <c r="C35" s="1146" t="str">
        <f ca="1">IFERROR(INDEX(NVLSX!$Z$2:$Z$6756,MATCH($D35,NVLSX!$E$2:$E$6756,0)),"")</f>
        <v/>
      </c>
      <c r="D35" s="23" t="str">
        <f ca="1">IF($Q35="","",INDEX(TongVTSX!C$3:C$1500,$Q35))</f>
        <v/>
      </c>
      <c r="E35" s="729" t="str">
        <f ca="1">IF($Q35="","",INDEX(TongVTSX!D$3:D$1500,$Q35) &amp; IF(OR($R35=$S$1,$R35=$S$7)," (" &amp; INDEX(TongVTSX!A$3:A$1500,$Q35) &amp; ")",""))</f>
        <v/>
      </c>
      <c r="F35" s="745" t="str">
        <f ca="1">IF($Q35="","",IF($R35=$S$7,INDEX(TongVTSX!$G$3:$G$1500,$Q35),INDEX(TongVTSX!$E$3:$E$1500,$Q35)))</f>
        <v/>
      </c>
      <c r="G35" s="24" t="str">
        <f ca="1">IF($Q35="","",IF($R35=$S$1,"mm",IF($R35=$S$2,"Thanh",INDEX(TongVTSX!F$3:F$1500,$Q35))))</f>
        <v/>
      </c>
      <c r="H35" s="114">
        <f ca="1">IF($R35=$S$1,INDEX(TongVTSX!$K$3:$K$1500,$Q35),IF($R35=$S$7,INDEX(TongVTSX!$H$3:$H$1500,$Q35),IF($R35=$S$2,ROUNDUP(SUMPRODUCT((TongVTSX!$C$3:$C$1500=$D35)*(TongVTSX!$E$3:$E$1500=$F35)*(TongVTSX!$K$3:$K$1500))/$U35,0),SUMPRODUCT((TongVTSX!$C$3:$C$1500=$D35)*(TongVTSX!$E$3:$E$1500=$F35)*(TongVTSX!$K$3:$K$1500)))))</f>
        <v>0</v>
      </c>
      <c r="I35" s="114"/>
      <c r="J35" s="114"/>
      <c r="K35" s="114" t="str">
        <f ca="1">IF($Q35="","",IF($R35=$S$2,INDEX(TongVTSX!M$3:M$1500,$Q35)*$U35,   INDEX(TongVTSX!M$3:M$1500,$Q35)))</f>
        <v/>
      </c>
      <c r="L35" s="92">
        <f ca="1">IF($Q35="",0, IF($R35=$S$7,$F35*$H35*$K35,IF($R35=$S$2,$H35*$K35,    IF($H35*$K35 - SUMPRODUCT((TongVTSX!$C$3:$C$1500=$D35)*(TongVTSX!$E$3:$E$1500=$F35)*(TongVTSX!$O$3:$O$1500)) &lt;=10,$H35*$K35,"PO &lt;&gt; TongVTSX"))))</f>
        <v>0</v>
      </c>
      <c r="M35" s="114">
        <f ca="1">IF($R35=$S$1,INDEX(TongVTSX!$K$3:$K$1500,$Q35),IF($R35=$S$7,INDEX(TongVTSX!$H$3:$H$1500,$Q35),IF($R35=$S$2,SUMPRODUCT((TongVTSX!$C$3:$C$1500=$D35)*(TongVTSX!$E$3:$E$1500=$F35)*(TongVTSX!$K$3:$K$1500))/$U35,SUMPRODUCT((TongVTSX!$C$3:$C$1500=$D35)*(TongVTSX!$E$3:$E$1500=$F35)*(TongVTSX!$K$3:$K$1500)))))</f>
        <v>0</v>
      </c>
      <c r="N35" s="92">
        <f ca="1">IF($Q35="",0, IF($R35=$S$7,$F35*$M35*$K35,IF($R35=$S$2,$M35*$K35,    IF($M35*$K35 - SUMPRODUCT((TongVTSX!$C$3:$C$1500=$D35)*(TongVTSX!$E$3:$E$1500=$F35)*(TongVTSX!$O$3:$O$1500)) &lt;=10,$M35*$K35,"PO &lt;&gt; TongVTSX"))))</f>
        <v>0</v>
      </c>
      <c r="O35" s="92">
        <f t="shared" ref="O35:O66" ca="1" si="2">+L35-N35</f>
        <v>0</v>
      </c>
      <c r="P35" s="1146" t="str">
        <f ca="1">IFERROR(INDEX(NVLSX!$AA$2:$AA$6756,MATCH($D35,NVLSX!$E$2:$E$6756,0)),"")</f>
        <v/>
      </c>
      <c r="Q35" s="742" t="str">
        <f ca="1">IF($R35="","",IF($R35&lt;&gt;$R34,IF(TYPE(MATCH($R35,TongVTSX!$T$3:$T$1500,0))=16,"",MATCH($R35,TongVTSX!$T$3:$T$1500,0)),IF(TYPE(MATCH($R35,OFFSET(TongVTSX!$T$3,$Q34,0):'TongVTSX'!$T$1500,0)+$Q34)=16,"",MATCH($R35,OFFSET(TongVTSX!$T$3,$Q34,0):'TongVTSX'!$T$1500,0)+$Q34)))</f>
        <v/>
      </c>
      <c r="R35" s="179" t="str">
        <f ca="1">IFERROR(IF(COUNTIF($R$3:R34,R34)&lt; INDEX($T$1:$T$7,MATCH($R34,$S$1:$S$7,0)),$R34,INDEX($S$1:$S$7,MATCH($R34,$S$1:$S$7,0)+1)),"")</f>
        <v/>
      </c>
      <c r="S35" s="181"/>
      <c r="T35" s="182"/>
      <c r="U35" s="184" t="str">
        <f ca="1">IF($R35="PR",INDEX(NVLSX!$U$2:$U$6941,MATCH($D35,NVLSX!$E$2:$E$6941,0)),"")</f>
        <v/>
      </c>
      <c r="V35" s="184" t="str">
        <f ca="1">IF($R35="PR",INDEX(NVLSX!$S$2:$S$6941,MATCH($D35,NVLSX!$E$2:$E$6941,0))*1000,"")</f>
        <v/>
      </c>
      <c r="W35" s="776" t="str">
        <f ca="1">IF($R35="PR",INDEX(NVLSX!$S$2:$S$6941,MATCH($D35,NVLSX!$E$2:$E$6941,0))*INDEX(NVLSX!$T$2:$T$6941,MATCH($D35,NVLSX!$E$2:$E$6941,0)),"")</f>
        <v/>
      </c>
      <c r="X35" s="776">
        <f t="shared" ca="1" si="1"/>
        <v>0</v>
      </c>
      <c r="Y35" s="982" t="str">
        <f ca="1">IFERROR(INDEX(NVLSX!$X$2:$X$4655,MATCH($D35,NVLSX!$E$2:$E$4655,0)),"")</f>
        <v/>
      </c>
    </row>
    <row r="36" spans="1:25">
      <c r="A36" s="19" t="str">
        <f ca="1">IF($Q36="","",MAX($A$2:A35)+1)</f>
        <v/>
      </c>
      <c r="B36" s="1146" t="str">
        <f ca="1">IFERROR(INDEX(NVLSX!$Y$2:$Y$6756,MATCH($D36,NVLSX!$E$2:$E$6756,0)),"")</f>
        <v/>
      </c>
      <c r="C36" s="1146" t="str">
        <f ca="1">IFERROR(INDEX(NVLSX!$Z$2:$Z$6756,MATCH($D36,NVLSX!$E$2:$E$6756,0)),"")</f>
        <v/>
      </c>
      <c r="D36" s="23" t="str">
        <f ca="1">IF($Q36="","",INDEX(TongVTSX!C$3:C$1500,$Q36))</f>
        <v/>
      </c>
      <c r="E36" s="729" t="str">
        <f ca="1">IF($Q36="","",INDEX(TongVTSX!D$3:D$1500,$Q36) &amp; IF(OR($R36=$S$1,$R36=$S$7)," (" &amp; INDEX(TongVTSX!A$3:A$1500,$Q36) &amp; ")",""))</f>
        <v/>
      </c>
      <c r="F36" s="745" t="str">
        <f ca="1">IF($Q36="","",IF($R36=$S$7,INDEX(TongVTSX!$G$3:$G$1500,$Q36),INDEX(TongVTSX!$E$3:$E$1500,$Q36)))</f>
        <v/>
      </c>
      <c r="G36" s="24" t="str">
        <f ca="1">IF($Q36="","",IF($R36=$S$1,"mm",IF($R36=$S$2,"Thanh",INDEX(TongVTSX!F$3:F$1500,$Q36))))</f>
        <v/>
      </c>
      <c r="H36" s="114">
        <f ca="1">IF($R36=$S$1,INDEX(TongVTSX!$K$3:$K$1500,$Q36),IF($R36=$S$7,INDEX(TongVTSX!$H$3:$H$1500,$Q36),IF($R36=$S$2,ROUNDUP(SUMPRODUCT((TongVTSX!$C$3:$C$1500=$D36)*(TongVTSX!$E$3:$E$1500=$F36)*(TongVTSX!$K$3:$K$1500))/$U36,0),SUMPRODUCT((TongVTSX!$C$3:$C$1500=$D36)*(TongVTSX!$E$3:$E$1500=$F36)*(TongVTSX!$K$3:$K$1500)))))</f>
        <v>0</v>
      </c>
      <c r="I36" s="114"/>
      <c r="J36" s="114"/>
      <c r="K36" s="114" t="str">
        <f ca="1">IF($Q36="","",IF($R36=$S$2,INDEX(TongVTSX!M$3:M$1500,$Q36)*$U36,   INDEX(TongVTSX!M$3:M$1500,$Q36)))</f>
        <v/>
      </c>
      <c r="L36" s="92">
        <f ca="1">IF($Q36="",0, IF($R36=$S$7,$F36*$H36*$K36,IF($R36=$S$2,$H36*$K36,    IF($H36*$K36 - SUMPRODUCT((TongVTSX!$C$3:$C$1500=$D36)*(TongVTSX!$E$3:$E$1500=$F36)*(TongVTSX!$O$3:$O$1500)) &lt;=10,$H36*$K36,"PO &lt;&gt; TongVTSX"))))</f>
        <v>0</v>
      </c>
      <c r="M36" s="114">
        <f ca="1">IF($R36=$S$1,INDEX(TongVTSX!$K$3:$K$1500,$Q36),IF($R36=$S$7,INDEX(TongVTSX!$H$3:$H$1500,$Q36),IF($R36=$S$2,SUMPRODUCT((TongVTSX!$C$3:$C$1500=$D36)*(TongVTSX!$E$3:$E$1500=$F36)*(TongVTSX!$K$3:$K$1500))/$U36,SUMPRODUCT((TongVTSX!$C$3:$C$1500=$D36)*(TongVTSX!$E$3:$E$1500=$F36)*(TongVTSX!$K$3:$K$1500)))))</f>
        <v>0</v>
      </c>
      <c r="N36" s="92">
        <f ca="1">IF($Q36="",0, IF($R36=$S$7,$F36*$M36*$K36,IF($R36=$S$2,$M36*$K36,    IF($M36*$K36 - SUMPRODUCT((TongVTSX!$C$3:$C$1500=$D36)*(TongVTSX!$E$3:$E$1500=$F36)*(TongVTSX!$O$3:$O$1500)) &lt;=10,$M36*$K36,"PO &lt;&gt; TongVTSX"))))</f>
        <v>0</v>
      </c>
      <c r="O36" s="92">
        <f t="shared" ca="1" si="2"/>
        <v>0</v>
      </c>
      <c r="P36" s="1146" t="str">
        <f ca="1">IFERROR(INDEX(NVLSX!$AA$2:$AA$6756,MATCH($D36,NVLSX!$E$2:$E$6756,0)),"")</f>
        <v/>
      </c>
      <c r="Q36" s="742" t="str">
        <f ca="1">IF($R36="","",IF($R36&lt;&gt;$R35,IF(TYPE(MATCH($R36,TongVTSX!$T$3:$T$1500,0))=16,"",MATCH($R36,TongVTSX!$T$3:$T$1500,0)),IF(TYPE(MATCH($R36,OFFSET(TongVTSX!$T$3,$Q35,0):'TongVTSX'!$T$1500,0)+$Q35)=16,"",MATCH($R36,OFFSET(TongVTSX!$T$3,$Q35,0):'TongVTSX'!$T$1500,0)+$Q35)))</f>
        <v/>
      </c>
      <c r="R36" s="179" t="str">
        <f ca="1">IFERROR(IF(COUNTIF($R$3:R35,R35)&lt; INDEX($T$1:$T$7,MATCH($R35,$S$1:$S$7,0)),$R35,INDEX($S$1:$S$7,MATCH($R35,$S$1:$S$7,0)+1)),"")</f>
        <v/>
      </c>
      <c r="S36" s="181"/>
      <c r="T36" s="182"/>
      <c r="U36" s="184" t="str">
        <f ca="1">IF($R36="PR",INDEX(NVLSX!$U$2:$U$6941,MATCH($D36,NVLSX!$E$2:$E$6941,0)),"")</f>
        <v/>
      </c>
      <c r="V36" s="184" t="str">
        <f ca="1">IF($R36="PR",INDEX(NVLSX!$S$2:$S$6941,MATCH($D36,NVLSX!$E$2:$E$6941,0))*1000,"")</f>
        <v/>
      </c>
      <c r="W36" s="776" t="str">
        <f ca="1">IF($R36="PR",INDEX(NVLSX!$S$2:$S$6941,MATCH($D36,NVLSX!$E$2:$E$6941,0))*INDEX(NVLSX!$T$2:$T$6941,MATCH($D36,NVLSX!$E$2:$E$6941,0)),"")</f>
        <v/>
      </c>
      <c r="X36" s="776">
        <f t="shared" ca="1" si="1"/>
        <v>0</v>
      </c>
      <c r="Y36" s="982" t="str">
        <f ca="1">IFERROR(INDEX(NVLSX!$X$2:$X$4655,MATCH($D36,NVLSX!$E$2:$E$4655,0)),"")</f>
        <v/>
      </c>
    </row>
    <row r="37" spans="1:25">
      <c r="A37" s="19" t="str">
        <f ca="1">IF($Q37="","",MAX($A$2:A36)+1)</f>
        <v/>
      </c>
      <c r="B37" s="1146" t="str">
        <f ca="1">IFERROR(INDEX(NVLSX!$Y$2:$Y$6756,MATCH($D37,NVLSX!$E$2:$E$6756,0)),"")</f>
        <v/>
      </c>
      <c r="C37" s="1146" t="str">
        <f ca="1">IFERROR(INDEX(NVLSX!$Z$2:$Z$6756,MATCH($D37,NVLSX!$E$2:$E$6756,0)),"")</f>
        <v/>
      </c>
      <c r="D37" s="23" t="str">
        <f ca="1">IF($Q37="","",INDEX(TongVTSX!C$3:C$1500,$Q37))</f>
        <v/>
      </c>
      <c r="E37" s="729" t="str">
        <f ca="1">IF($Q37="","",INDEX(TongVTSX!D$3:D$1500,$Q37) &amp; IF(OR($R37=$S$1,$R37=$S$7)," (" &amp; INDEX(TongVTSX!A$3:A$1500,$Q37) &amp; ")",""))</f>
        <v/>
      </c>
      <c r="F37" s="745" t="str">
        <f ca="1">IF($Q37="","",IF($R37=$S$7,INDEX(TongVTSX!$G$3:$G$1500,$Q37),INDEX(TongVTSX!$E$3:$E$1500,$Q37)))</f>
        <v/>
      </c>
      <c r="G37" s="24" t="str">
        <f ca="1">IF($Q37="","",IF($R37=$S$1,"mm",IF($R37=$S$2,"Thanh",INDEX(TongVTSX!F$3:F$1500,$Q37))))</f>
        <v/>
      </c>
      <c r="H37" s="114">
        <f ca="1">IF($R37=$S$1,INDEX(TongVTSX!$K$3:$K$1500,$Q37),IF($R37=$S$7,INDEX(TongVTSX!$H$3:$H$1500,$Q37),IF($R37=$S$2,ROUNDUP(SUMPRODUCT((TongVTSX!$C$3:$C$1500=$D37)*(TongVTSX!$E$3:$E$1500=$F37)*(TongVTSX!$K$3:$K$1500))/$U37,0),SUMPRODUCT((TongVTSX!$C$3:$C$1500=$D37)*(TongVTSX!$E$3:$E$1500=$F37)*(TongVTSX!$K$3:$K$1500)))))</f>
        <v>0</v>
      </c>
      <c r="I37" s="114"/>
      <c r="J37" s="114"/>
      <c r="K37" s="114" t="str">
        <f ca="1">IF($Q37="","",IF($R37=$S$2,INDEX(TongVTSX!M$3:M$1500,$Q37)*$U37,   INDEX(TongVTSX!M$3:M$1500,$Q37)))</f>
        <v/>
      </c>
      <c r="L37" s="92">
        <f ca="1">IF($Q37="",0, IF($R37=$S$7,$F37*$H37*$K37,IF($R37=$S$2,$H37*$K37,    IF($H37*$K37 - SUMPRODUCT((TongVTSX!$C$3:$C$1500=$D37)*(TongVTSX!$E$3:$E$1500=$F37)*(TongVTSX!$O$3:$O$1500)) &lt;=10,$H37*$K37,"PO &lt;&gt; TongVTSX"))))</f>
        <v>0</v>
      </c>
      <c r="M37" s="114">
        <f ca="1">IF($R37=$S$1,INDEX(TongVTSX!$K$3:$K$1500,$Q37),IF($R37=$S$7,INDEX(TongVTSX!$H$3:$H$1500,$Q37),IF($R37=$S$2,SUMPRODUCT((TongVTSX!$C$3:$C$1500=$D37)*(TongVTSX!$E$3:$E$1500=$F37)*(TongVTSX!$K$3:$K$1500))/$U37,SUMPRODUCT((TongVTSX!$C$3:$C$1500=$D37)*(TongVTSX!$E$3:$E$1500=$F37)*(TongVTSX!$K$3:$K$1500)))))</f>
        <v>0</v>
      </c>
      <c r="N37" s="92">
        <f ca="1">IF($Q37="",0, IF($R37=$S$7,$F37*$M37*$K37,IF($R37=$S$2,$M37*$K37,    IF($M37*$K37 - SUMPRODUCT((TongVTSX!$C$3:$C$1500=$D37)*(TongVTSX!$E$3:$E$1500=$F37)*(TongVTSX!$O$3:$O$1500)) &lt;=10,$M37*$K37,"PO &lt;&gt; TongVTSX"))))</f>
        <v>0</v>
      </c>
      <c r="O37" s="92">
        <f t="shared" ca="1" si="2"/>
        <v>0</v>
      </c>
      <c r="P37" s="1146" t="str">
        <f ca="1">IFERROR(INDEX(NVLSX!$AA$2:$AA$6756,MATCH($D37,NVLSX!$E$2:$E$6756,0)),"")</f>
        <v/>
      </c>
      <c r="Q37" s="742" t="str">
        <f ca="1">IF($R37="","",IF($R37&lt;&gt;$R36,IF(TYPE(MATCH($R37,TongVTSX!$T$3:$T$1500,0))=16,"",MATCH($R37,TongVTSX!$T$3:$T$1500,0)),IF(TYPE(MATCH($R37,OFFSET(TongVTSX!$T$3,$Q36,0):'TongVTSX'!$T$1500,0)+$Q36)=16,"",MATCH($R37,OFFSET(TongVTSX!$T$3,$Q36,0):'TongVTSX'!$T$1500,0)+$Q36)))</f>
        <v/>
      </c>
      <c r="R37" s="179" t="str">
        <f ca="1">IFERROR(IF(COUNTIF($R$3:R36,R36)&lt; INDEX($T$1:$T$7,MATCH($R36,$S$1:$S$7,0)),$R36,INDEX($S$1:$S$7,MATCH($R36,$S$1:$S$7,0)+1)),"")</f>
        <v/>
      </c>
      <c r="S37" s="181"/>
      <c r="T37" s="182"/>
      <c r="U37" s="184" t="str">
        <f ca="1">IF($R37="PR",INDEX(NVLSX!$U$2:$U$6941,MATCH($D37,NVLSX!$E$2:$E$6941,0)),"")</f>
        <v/>
      </c>
      <c r="V37" s="184" t="str">
        <f ca="1">IF($R37="PR",INDEX(NVLSX!$S$2:$S$6941,MATCH($D37,NVLSX!$E$2:$E$6941,0))*1000,"")</f>
        <v/>
      </c>
      <c r="W37" s="776" t="str">
        <f ca="1">IF($R37="PR",INDEX(NVLSX!$S$2:$S$6941,MATCH($D37,NVLSX!$E$2:$E$6941,0))*INDEX(NVLSX!$T$2:$T$6941,MATCH($D37,NVLSX!$E$2:$E$6941,0)),"")</f>
        <v/>
      </c>
      <c r="X37" s="776">
        <f t="shared" ca="1" si="1"/>
        <v>0</v>
      </c>
      <c r="Y37" s="982" t="str">
        <f ca="1">IFERROR(INDEX(NVLSX!$X$2:$X$4655,MATCH($D37,NVLSX!$E$2:$E$4655,0)),"")</f>
        <v/>
      </c>
    </row>
    <row r="38" spans="1:25">
      <c r="A38" s="19" t="str">
        <f ca="1">IF($Q38="","",MAX($A$2:A37)+1)</f>
        <v/>
      </c>
      <c r="B38" s="1146" t="str">
        <f ca="1">IFERROR(INDEX(NVLSX!$Y$2:$Y$6756,MATCH($D38,NVLSX!$E$2:$E$6756,0)),"")</f>
        <v/>
      </c>
      <c r="C38" s="1146" t="str">
        <f ca="1">IFERROR(INDEX(NVLSX!$Z$2:$Z$6756,MATCH($D38,NVLSX!$E$2:$E$6756,0)),"")</f>
        <v/>
      </c>
      <c r="D38" s="23" t="str">
        <f ca="1">IF($Q38="","",INDEX(TongVTSX!C$3:C$1500,$Q38))</f>
        <v/>
      </c>
      <c r="E38" s="729" t="str">
        <f ca="1">IF($Q38="","",INDEX(TongVTSX!D$3:D$1500,$Q38) &amp; IF(OR($R38=$S$1,$R38=$S$7)," (" &amp; INDEX(TongVTSX!A$3:A$1500,$Q38) &amp; ")",""))</f>
        <v/>
      </c>
      <c r="F38" s="745" t="str">
        <f ca="1">IF($Q38="","",IF($R38=$S$7,INDEX(TongVTSX!$G$3:$G$1500,$Q38),INDEX(TongVTSX!$E$3:$E$1500,$Q38)))</f>
        <v/>
      </c>
      <c r="G38" s="24" t="str">
        <f ca="1">IF($Q38="","",IF($R38=$S$1,"mm",IF($R38=$S$2,"Thanh",INDEX(TongVTSX!F$3:F$1500,$Q38))))</f>
        <v/>
      </c>
      <c r="H38" s="114">
        <f ca="1">IF($R38=$S$1,INDEX(TongVTSX!$K$3:$K$1500,$Q38),IF($R38=$S$7,INDEX(TongVTSX!$H$3:$H$1500,$Q38),IF($R38=$S$2,ROUNDUP(SUMPRODUCT((TongVTSX!$C$3:$C$1500=$D38)*(TongVTSX!$E$3:$E$1500=$F38)*(TongVTSX!$K$3:$K$1500))/$U38,0),SUMPRODUCT((TongVTSX!$C$3:$C$1500=$D38)*(TongVTSX!$E$3:$E$1500=$F38)*(TongVTSX!$K$3:$K$1500)))))</f>
        <v>0</v>
      </c>
      <c r="I38" s="114"/>
      <c r="J38" s="114"/>
      <c r="K38" s="114" t="str">
        <f ca="1">IF($Q38="","",IF($R38=$S$2,INDEX(TongVTSX!M$3:M$1500,$Q38)*$U38,   INDEX(TongVTSX!M$3:M$1500,$Q38)))</f>
        <v/>
      </c>
      <c r="L38" s="92">
        <f ca="1">IF($Q38="",0, IF($R38=$S$7,$F38*$H38*$K38,IF($R38=$S$2,$H38*$K38,    IF($H38*$K38 - SUMPRODUCT((TongVTSX!$C$3:$C$1500=$D38)*(TongVTSX!$E$3:$E$1500=$F38)*(TongVTSX!$O$3:$O$1500)) &lt;=10,$H38*$K38,"PO &lt;&gt; TongVTSX"))))</f>
        <v>0</v>
      </c>
      <c r="M38" s="114">
        <f ca="1">IF($R38=$S$1,INDEX(TongVTSX!$K$3:$K$1500,$Q38),IF($R38=$S$7,INDEX(TongVTSX!$H$3:$H$1500,$Q38),IF($R38=$S$2,SUMPRODUCT((TongVTSX!$C$3:$C$1500=$D38)*(TongVTSX!$E$3:$E$1500=$F38)*(TongVTSX!$K$3:$K$1500))/$U38,SUMPRODUCT((TongVTSX!$C$3:$C$1500=$D38)*(TongVTSX!$E$3:$E$1500=$F38)*(TongVTSX!$K$3:$K$1500)))))</f>
        <v>0</v>
      </c>
      <c r="N38" s="92">
        <f ca="1">IF($Q38="",0, IF($R38=$S$7,$F38*$M38*$K38,IF($R38=$S$2,$M38*$K38,    IF($M38*$K38 - SUMPRODUCT((TongVTSX!$C$3:$C$1500=$D38)*(TongVTSX!$E$3:$E$1500=$F38)*(TongVTSX!$O$3:$O$1500)) &lt;=10,$M38*$K38,"PO &lt;&gt; TongVTSX"))))</f>
        <v>0</v>
      </c>
      <c r="O38" s="92">
        <f t="shared" ca="1" si="2"/>
        <v>0</v>
      </c>
      <c r="P38" s="1146" t="str">
        <f ca="1">IFERROR(INDEX(NVLSX!$AA$2:$AA$6756,MATCH($D38,NVLSX!$E$2:$E$6756,0)),"")</f>
        <v/>
      </c>
      <c r="Q38" s="742" t="str">
        <f ca="1">IF($R38="","",IF($R38&lt;&gt;$R37,IF(TYPE(MATCH($R38,TongVTSX!$T$3:$T$1500,0))=16,"",MATCH($R38,TongVTSX!$T$3:$T$1500,0)),IF(TYPE(MATCH($R38,OFFSET(TongVTSX!$T$3,$Q37,0):'TongVTSX'!$T$1500,0)+$Q37)=16,"",MATCH($R38,OFFSET(TongVTSX!$T$3,$Q37,0):'TongVTSX'!$T$1500,0)+$Q37)))</f>
        <v/>
      </c>
      <c r="R38" s="179" t="str">
        <f ca="1">IFERROR(IF(COUNTIF($R$3:R37,R37)&lt; INDEX($T$1:$T$7,MATCH($R37,$S$1:$S$7,0)),$R37,INDEX($S$1:$S$7,MATCH($R37,$S$1:$S$7,0)+1)),"")</f>
        <v/>
      </c>
      <c r="S38" s="181"/>
      <c r="T38" s="182"/>
      <c r="U38" s="184" t="str">
        <f ca="1">IF($R38="PR",INDEX(NVLSX!$U$2:$U$6941,MATCH($D38,NVLSX!$E$2:$E$6941,0)),"")</f>
        <v/>
      </c>
      <c r="V38" s="184" t="str">
        <f ca="1">IF($R38="PR",INDEX(NVLSX!$S$2:$S$6941,MATCH($D38,NVLSX!$E$2:$E$6941,0))*1000,"")</f>
        <v/>
      </c>
      <c r="W38" s="776" t="str">
        <f ca="1">IF($R38="PR",INDEX(NVLSX!$S$2:$S$6941,MATCH($D38,NVLSX!$E$2:$E$6941,0))*INDEX(NVLSX!$T$2:$T$6941,MATCH($D38,NVLSX!$E$2:$E$6941,0)),"")</f>
        <v/>
      </c>
      <c r="X38" s="776">
        <f t="shared" ca="1" si="1"/>
        <v>0</v>
      </c>
      <c r="Y38" s="982" t="str">
        <f ca="1">IFERROR(INDEX(NVLSX!$X$2:$X$4655,MATCH($D38,NVLSX!$E$2:$E$4655,0)),"")</f>
        <v/>
      </c>
    </row>
    <row r="39" spans="1:25">
      <c r="A39" s="19" t="str">
        <f ca="1">IF($Q39="","",MAX($A$2:A38)+1)</f>
        <v/>
      </c>
      <c r="B39" s="1146" t="str">
        <f ca="1">IFERROR(INDEX(NVLSX!$Y$2:$Y$6756,MATCH($D39,NVLSX!$E$2:$E$6756,0)),"")</f>
        <v/>
      </c>
      <c r="C39" s="1146" t="str">
        <f ca="1">IFERROR(INDEX(NVLSX!$Z$2:$Z$6756,MATCH($D39,NVLSX!$E$2:$E$6756,0)),"")</f>
        <v/>
      </c>
      <c r="D39" s="23" t="str">
        <f ca="1">IF($Q39="","",INDEX(TongVTSX!C$3:C$1500,$Q39))</f>
        <v/>
      </c>
      <c r="E39" s="729" t="str">
        <f ca="1">IF($Q39="","",INDEX(TongVTSX!D$3:D$1500,$Q39) &amp; IF(OR($R39=$S$1,$R39=$S$7)," (" &amp; INDEX(TongVTSX!A$3:A$1500,$Q39) &amp; ")",""))</f>
        <v/>
      </c>
      <c r="F39" s="745" t="str">
        <f ca="1">IF($Q39="","",IF($R39=$S$7,INDEX(TongVTSX!$G$3:$G$1500,$Q39),INDEX(TongVTSX!$E$3:$E$1500,$Q39)))</f>
        <v/>
      </c>
      <c r="G39" s="24" t="str">
        <f ca="1">IF($Q39="","",IF($R39=$S$1,"mm",IF($R39=$S$2,"Thanh",INDEX(TongVTSX!F$3:F$1500,$Q39))))</f>
        <v/>
      </c>
      <c r="H39" s="114">
        <f ca="1">IF($R39=$S$1,INDEX(TongVTSX!$K$3:$K$1500,$Q39),IF($R39=$S$7,INDEX(TongVTSX!$H$3:$H$1500,$Q39),IF($R39=$S$2,ROUNDUP(SUMPRODUCT((TongVTSX!$C$3:$C$1500=$D39)*(TongVTSX!$E$3:$E$1500=$F39)*(TongVTSX!$K$3:$K$1500))/$U39,0),SUMPRODUCT((TongVTSX!$C$3:$C$1500=$D39)*(TongVTSX!$E$3:$E$1500=$F39)*(TongVTSX!$K$3:$K$1500)))))</f>
        <v>0</v>
      </c>
      <c r="I39" s="114"/>
      <c r="J39" s="114"/>
      <c r="K39" s="114" t="str">
        <f ca="1">IF($Q39="","",IF($R39=$S$2,INDEX(TongVTSX!M$3:M$1500,$Q39)*$U39,   INDEX(TongVTSX!M$3:M$1500,$Q39)))</f>
        <v/>
      </c>
      <c r="L39" s="92">
        <f ca="1">IF($Q39="",0, IF($R39=$S$7,$F39*$H39*$K39,IF($R39=$S$2,$H39*$K39,    IF($H39*$K39 - SUMPRODUCT((TongVTSX!$C$3:$C$1500=$D39)*(TongVTSX!$E$3:$E$1500=$F39)*(TongVTSX!$O$3:$O$1500)) &lt;=10,$H39*$K39,"PO &lt;&gt; TongVTSX"))))</f>
        <v>0</v>
      </c>
      <c r="M39" s="114">
        <f ca="1">IF($R39=$S$1,INDEX(TongVTSX!$K$3:$K$1500,$Q39),IF($R39=$S$7,INDEX(TongVTSX!$H$3:$H$1500,$Q39),IF($R39=$S$2,SUMPRODUCT((TongVTSX!$C$3:$C$1500=$D39)*(TongVTSX!$E$3:$E$1500=$F39)*(TongVTSX!$K$3:$K$1500))/$U39,SUMPRODUCT((TongVTSX!$C$3:$C$1500=$D39)*(TongVTSX!$E$3:$E$1500=$F39)*(TongVTSX!$K$3:$K$1500)))))</f>
        <v>0</v>
      </c>
      <c r="N39" s="92">
        <f ca="1">IF($Q39="",0, IF($R39=$S$7,$F39*$M39*$K39,IF($R39=$S$2,$M39*$K39,    IF($M39*$K39 - SUMPRODUCT((TongVTSX!$C$3:$C$1500=$D39)*(TongVTSX!$E$3:$E$1500=$F39)*(TongVTSX!$O$3:$O$1500)) &lt;=10,$M39*$K39,"PO &lt;&gt; TongVTSX"))))</f>
        <v>0</v>
      </c>
      <c r="O39" s="92">
        <f t="shared" ca="1" si="2"/>
        <v>0</v>
      </c>
      <c r="P39" s="1146" t="str">
        <f ca="1">IFERROR(INDEX(NVLSX!$AA$2:$AA$6756,MATCH($D39,NVLSX!$E$2:$E$6756,0)),"")</f>
        <v/>
      </c>
      <c r="Q39" s="742" t="str">
        <f ca="1">IF($R39="","",IF($R39&lt;&gt;$R38,IF(TYPE(MATCH($R39,TongVTSX!$T$3:$T$1500,0))=16,"",MATCH($R39,TongVTSX!$T$3:$T$1500,0)),IF(TYPE(MATCH($R39,OFFSET(TongVTSX!$T$3,$Q38,0):'TongVTSX'!$T$1500,0)+$Q38)=16,"",MATCH($R39,OFFSET(TongVTSX!$T$3,$Q38,0):'TongVTSX'!$T$1500,0)+$Q38)))</f>
        <v/>
      </c>
      <c r="R39" s="179" t="str">
        <f ca="1">IFERROR(IF(COUNTIF($R$3:R38,R38)&lt; INDEX($T$1:$T$7,MATCH($R38,$S$1:$S$7,0)),$R38,INDEX($S$1:$S$7,MATCH($R38,$S$1:$S$7,0)+1)),"")</f>
        <v/>
      </c>
      <c r="S39" s="181"/>
      <c r="T39" s="182"/>
      <c r="U39" s="184" t="str">
        <f ca="1">IF($R39="PR",INDEX(NVLSX!$U$2:$U$6941,MATCH($D39,NVLSX!$E$2:$E$6941,0)),"")</f>
        <v/>
      </c>
      <c r="V39" s="184" t="str">
        <f ca="1">IF($R39="PR",INDEX(NVLSX!$S$2:$S$6941,MATCH($D39,NVLSX!$E$2:$E$6941,0))*1000,"")</f>
        <v/>
      </c>
      <c r="W39" s="776" t="str">
        <f ca="1">IF($R39="PR",INDEX(NVLSX!$S$2:$S$6941,MATCH($D39,NVLSX!$E$2:$E$6941,0))*INDEX(NVLSX!$T$2:$T$6941,MATCH($D39,NVLSX!$E$2:$E$6941,0)),"")</f>
        <v/>
      </c>
      <c r="X39" s="776">
        <f t="shared" ca="1" si="1"/>
        <v>0</v>
      </c>
      <c r="Y39" s="982" t="str">
        <f ca="1">IFERROR(INDEX(NVLSX!$X$2:$X$4655,MATCH($D39,NVLSX!$E$2:$E$4655,0)),"")</f>
        <v/>
      </c>
    </row>
    <row r="40" spans="1:25">
      <c r="A40" s="19" t="str">
        <f ca="1">IF($Q40="","",MAX($A$2:A39)+1)</f>
        <v/>
      </c>
      <c r="B40" s="1146" t="str">
        <f ca="1">IFERROR(INDEX(NVLSX!$Y$2:$Y$6756,MATCH($D40,NVLSX!$E$2:$E$6756,0)),"")</f>
        <v/>
      </c>
      <c r="C40" s="1146" t="str">
        <f ca="1">IFERROR(INDEX(NVLSX!$Z$2:$Z$6756,MATCH($D40,NVLSX!$E$2:$E$6756,0)),"")</f>
        <v/>
      </c>
      <c r="D40" s="23" t="str">
        <f ca="1">IF($Q40="","",INDEX(TongVTSX!C$3:C$1500,$Q40))</f>
        <v/>
      </c>
      <c r="E40" s="729" t="str">
        <f ca="1">IF($Q40="","",INDEX(TongVTSX!D$3:D$1500,$Q40) &amp; IF(OR($R40=$S$1,$R40=$S$7)," (" &amp; INDEX(TongVTSX!A$3:A$1500,$Q40) &amp; ")",""))</f>
        <v/>
      </c>
      <c r="F40" s="745" t="str">
        <f ca="1">IF($Q40="","",IF($R40=$S$7,INDEX(TongVTSX!$G$3:$G$1500,$Q40),INDEX(TongVTSX!$E$3:$E$1500,$Q40)))</f>
        <v/>
      </c>
      <c r="G40" s="24" t="str">
        <f ca="1">IF($Q40="","",IF($R40=$S$1,"mm",IF($R40=$S$2,"Thanh",INDEX(TongVTSX!F$3:F$1500,$Q40))))</f>
        <v/>
      </c>
      <c r="H40" s="114">
        <f ca="1">IF($R40=$S$1,INDEX(TongVTSX!$K$3:$K$1500,$Q40),IF($R40=$S$7,INDEX(TongVTSX!$H$3:$H$1500,$Q40),IF($R40=$S$2,ROUNDUP(SUMPRODUCT((TongVTSX!$C$3:$C$1500=$D40)*(TongVTSX!$E$3:$E$1500=$F40)*(TongVTSX!$K$3:$K$1500))/$U40,0),SUMPRODUCT((TongVTSX!$C$3:$C$1500=$D40)*(TongVTSX!$E$3:$E$1500=$F40)*(TongVTSX!$K$3:$K$1500)))))</f>
        <v>0</v>
      </c>
      <c r="I40" s="114"/>
      <c r="J40" s="114"/>
      <c r="K40" s="114" t="str">
        <f ca="1">IF($Q40="","",IF($R40=$S$2,INDEX(TongVTSX!M$3:M$1500,$Q40)*$U40,   INDEX(TongVTSX!M$3:M$1500,$Q40)))</f>
        <v/>
      </c>
      <c r="L40" s="92">
        <f ca="1">IF($Q40="",0, IF($R40=$S$7,$F40*$H40*$K40,IF($R40=$S$2,$H40*$K40,    IF($H40*$K40 - SUMPRODUCT((TongVTSX!$C$3:$C$1500=$D40)*(TongVTSX!$E$3:$E$1500=$F40)*(TongVTSX!$O$3:$O$1500)) &lt;=10,$H40*$K40,"PO &lt;&gt; TongVTSX"))))</f>
        <v>0</v>
      </c>
      <c r="M40" s="114">
        <f ca="1">IF($R40=$S$1,INDEX(TongVTSX!$K$3:$K$1500,$Q40),IF($R40=$S$7,INDEX(TongVTSX!$H$3:$H$1500,$Q40),IF($R40=$S$2,SUMPRODUCT((TongVTSX!$C$3:$C$1500=$D40)*(TongVTSX!$E$3:$E$1500=$F40)*(TongVTSX!$K$3:$K$1500))/$U40,SUMPRODUCT((TongVTSX!$C$3:$C$1500=$D40)*(TongVTSX!$E$3:$E$1500=$F40)*(TongVTSX!$K$3:$K$1500)))))</f>
        <v>0</v>
      </c>
      <c r="N40" s="92">
        <f ca="1">IF($Q40="",0, IF($R40=$S$7,$F40*$M40*$K40,IF($R40=$S$2,$M40*$K40,    IF($M40*$K40 - SUMPRODUCT((TongVTSX!$C$3:$C$1500=$D40)*(TongVTSX!$E$3:$E$1500=$F40)*(TongVTSX!$O$3:$O$1500)) &lt;=10,$M40*$K40,"PO &lt;&gt; TongVTSX"))))</f>
        <v>0</v>
      </c>
      <c r="O40" s="92">
        <f t="shared" ca="1" si="2"/>
        <v>0</v>
      </c>
      <c r="P40" s="1146" t="str">
        <f ca="1">IFERROR(INDEX(NVLSX!$AA$2:$AA$6756,MATCH($D40,NVLSX!$E$2:$E$6756,0)),"")</f>
        <v/>
      </c>
      <c r="Q40" s="742" t="str">
        <f ca="1">IF($R40="","",IF($R40&lt;&gt;$R39,IF(TYPE(MATCH($R40,TongVTSX!$T$3:$T$1500,0))=16,"",MATCH($R40,TongVTSX!$T$3:$T$1500,0)),IF(TYPE(MATCH($R40,OFFSET(TongVTSX!$T$3,$Q39,0):'TongVTSX'!$T$1500,0)+$Q39)=16,"",MATCH($R40,OFFSET(TongVTSX!$T$3,$Q39,0):'TongVTSX'!$T$1500,0)+$Q39)))</f>
        <v/>
      </c>
      <c r="R40" s="179" t="str">
        <f ca="1">IFERROR(IF(COUNTIF($R$3:R39,R39)&lt; INDEX($T$1:$T$7,MATCH($R39,$S$1:$S$7,0)),$R39,INDEX($S$1:$S$7,MATCH($R39,$S$1:$S$7,0)+1)),"")</f>
        <v/>
      </c>
      <c r="S40" s="181"/>
      <c r="T40" s="182"/>
      <c r="U40" s="184" t="str">
        <f ca="1">IF($R40="PR",INDEX(NVLSX!$U$2:$U$6941,MATCH($D40,NVLSX!$E$2:$E$6941,0)),"")</f>
        <v/>
      </c>
      <c r="V40" s="184" t="str">
        <f ca="1">IF($R40="PR",INDEX(NVLSX!$S$2:$S$6941,MATCH($D40,NVLSX!$E$2:$E$6941,0))*1000,"")</f>
        <v/>
      </c>
      <c r="W40" s="776" t="str">
        <f ca="1">IF($R40="PR",INDEX(NVLSX!$S$2:$S$6941,MATCH($D40,NVLSX!$E$2:$E$6941,0))*INDEX(NVLSX!$T$2:$T$6941,MATCH($D40,NVLSX!$E$2:$E$6941,0)),"")</f>
        <v/>
      </c>
      <c r="X40" s="776">
        <f t="shared" ca="1" si="1"/>
        <v>0</v>
      </c>
      <c r="Y40" s="982" t="str">
        <f ca="1">IFERROR(INDEX(NVLSX!$X$2:$X$4655,MATCH($D40,NVLSX!$E$2:$E$4655,0)),"")</f>
        <v/>
      </c>
    </row>
    <row r="41" spans="1:25">
      <c r="A41" s="19" t="str">
        <f ca="1">IF($Q41="","",MAX($A$2:A40)+1)</f>
        <v/>
      </c>
      <c r="B41" s="1146" t="str">
        <f ca="1">IFERROR(INDEX(NVLSX!$Y$2:$Y$6756,MATCH($D41,NVLSX!$E$2:$E$6756,0)),"")</f>
        <v/>
      </c>
      <c r="C41" s="1146" t="str">
        <f ca="1">IFERROR(INDEX(NVLSX!$Z$2:$Z$6756,MATCH($D41,NVLSX!$E$2:$E$6756,0)),"")</f>
        <v/>
      </c>
      <c r="D41" s="23" t="str">
        <f ca="1">IF($Q41="","",INDEX(TongVTSX!C$3:C$1500,$Q41))</f>
        <v/>
      </c>
      <c r="E41" s="729" t="str">
        <f ca="1">IF($Q41="","",INDEX(TongVTSX!D$3:D$1500,$Q41) &amp; IF(OR($R41=$S$1,$R41=$S$7)," (" &amp; INDEX(TongVTSX!A$3:A$1500,$Q41) &amp; ")",""))</f>
        <v/>
      </c>
      <c r="F41" s="745" t="str">
        <f ca="1">IF($Q41="","",IF($R41=$S$7,INDEX(TongVTSX!$G$3:$G$1500,$Q41),INDEX(TongVTSX!$E$3:$E$1500,$Q41)))</f>
        <v/>
      </c>
      <c r="G41" s="24" t="str">
        <f ca="1">IF($Q41="","",IF($R41=$S$1,"mm",IF($R41=$S$2,"Thanh",INDEX(TongVTSX!F$3:F$1500,$Q41))))</f>
        <v/>
      </c>
      <c r="H41" s="114">
        <f ca="1">IF($R41=$S$1,INDEX(TongVTSX!$K$3:$K$1500,$Q41),IF($R41=$S$7,INDEX(TongVTSX!$H$3:$H$1500,$Q41),IF($R41=$S$2,ROUNDUP(SUMPRODUCT((TongVTSX!$C$3:$C$1500=$D41)*(TongVTSX!$E$3:$E$1500=$F41)*(TongVTSX!$K$3:$K$1500))/$U41,0),SUMPRODUCT((TongVTSX!$C$3:$C$1500=$D41)*(TongVTSX!$E$3:$E$1500=$F41)*(TongVTSX!$K$3:$K$1500)))))</f>
        <v>0</v>
      </c>
      <c r="I41" s="114"/>
      <c r="J41" s="114"/>
      <c r="K41" s="114" t="str">
        <f ca="1">IF($Q41="","",IF($R41=$S$2,INDEX(TongVTSX!M$3:M$1500,$Q41)*$U41,   INDEX(TongVTSX!M$3:M$1500,$Q41)))</f>
        <v/>
      </c>
      <c r="L41" s="92">
        <f ca="1">IF($Q41="",0, IF($R41=$S$7,$F41*$H41*$K41,IF($R41=$S$2,$H41*$K41,    IF($H41*$K41 - SUMPRODUCT((TongVTSX!$C$3:$C$1500=$D41)*(TongVTSX!$E$3:$E$1500=$F41)*(TongVTSX!$O$3:$O$1500)) &lt;=10,$H41*$K41,"PO &lt;&gt; TongVTSX"))))</f>
        <v>0</v>
      </c>
      <c r="M41" s="114">
        <f ca="1">IF($R41=$S$1,INDEX(TongVTSX!$K$3:$K$1500,$Q41),IF($R41=$S$7,INDEX(TongVTSX!$H$3:$H$1500,$Q41),IF($R41=$S$2,SUMPRODUCT((TongVTSX!$C$3:$C$1500=$D41)*(TongVTSX!$E$3:$E$1500=$F41)*(TongVTSX!$K$3:$K$1500))/$U41,SUMPRODUCT((TongVTSX!$C$3:$C$1500=$D41)*(TongVTSX!$E$3:$E$1500=$F41)*(TongVTSX!$K$3:$K$1500)))))</f>
        <v>0</v>
      </c>
      <c r="N41" s="92">
        <f ca="1">IF($Q41="",0, IF($R41=$S$7,$F41*$M41*$K41,IF($R41=$S$2,$M41*$K41,    IF($M41*$K41 - SUMPRODUCT((TongVTSX!$C$3:$C$1500=$D41)*(TongVTSX!$E$3:$E$1500=$F41)*(TongVTSX!$O$3:$O$1500)) &lt;=10,$M41*$K41,"PO &lt;&gt; TongVTSX"))))</f>
        <v>0</v>
      </c>
      <c r="O41" s="92">
        <f t="shared" ca="1" si="2"/>
        <v>0</v>
      </c>
      <c r="P41" s="1146" t="str">
        <f ca="1">IFERROR(INDEX(NVLSX!$AA$2:$AA$6756,MATCH($D41,NVLSX!$E$2:$E$6756,0)),"")</f>
        <v/>
      </c>
      <c r="Q41" s="742" t="str">
        <f ca="1">IF($R41="","",IF($R41&lt;&gt;$R40,IF(TYPE(MATCH($R41,TongVTSX!$T$3:$T$1500,0))=16,"",MATCH($R41,TongVTSX!$T$3:$T$1500,0)),IF(TYPE(MATCH($R41,OFFSET(TongVTSX!$T$3,$Q40,0):'TongVTSX'!$T$1500,0)+$Q40)=16,"",MATCH($R41,OFFSET(TongVTSX!$T$3,$Q40,0):'TongVTSX'!$T$1500,0)+$Q40)))</f>
        <v/>
      </c>
      <c r="R41" s="179" t="str">
        <f ca="1">IFERROR(IF(COUNTIF($R$3:R40,R40)&lt; INDEX($T$1:$T$7,MATCH($R40,$S$1:$S$7,0)),$R40,INDEX($S$1:$S$7,MATCH($R40,$S$1:$S$7,0)+1)),"")</f>
        <v/>
      </c>
      <c r="S41" s="181"/>
      <c r="T41" s="182"/>
      <c r="U41" s="184" t="str">
        <f ca="1">IF($R41="PR",INDEX(NVLSX!$U$2:$U$6941,MATCH($D41,NVLSX!$E$2:$E$6941,0)),"")</f>
        <v/>
      </c>
      <c r="V41" s="184" t="str">
        <f ca="1">IF($R41="PR",INDEX(NVLSX!$S$2:$S$6941,MATCH($D41,NVLSX!$E$2:$E$6941,0))*1000,"")</f>
        <v/>
      </c>
      <c r="W41" s="776" t="str">
        <f ca="1">IF($R41="PR",INDEX(NVLSX!$S$2:$S$6941,MATCH($D41,NVLSX!$E$2:$E$6941,0))*INDEX(NVLSX!$T$2:$T$6941,MATCH($D41,NVLSX!$E$2:$E$6941,0)),"")</f>
        <v/>
      </c>
      <c r="X41" s="776">
        <f t="shared" ca="1" si="1"/>
        <v>0</v>
      </c>
      <c r="Y41" s="982" t="str">
        <f ca="1">IFERROR(INDEX(NVLSX!$X$2:$X$4655,MATCH($D41,NVLSX!$E$2:$E$4655,0)),"")</f>
        <v/>
      </c>
    </row>
    <row r="42" spans="1:25">
      <c r="A42" s="19" t="str">
        <f ca="1">IF($Q42="","",MAX($A$2:A41)+1)</f>
        <v/>
      </c>
      <c r="B42" s="1146" t="str">
        <f ca="1">IFERROR(INDEX(NVLSX!$Y$2:$Y$6756,MATCH($D42,NVLSX!$E$2:$E$6756,0)),"")</f>
        <v/>
      </c>
      <c r="C42" s="1146" t="str">
        <f ca="1">IFERROR(INDEX(NVLSX!$Z$2:$Z$6756,MATCH($D42,NVLSX!$E$2:$E$6756,0)),"")</f>
        <v/>
      </c>
      <c r="D42" s="23" t="str">
        <f ca="1">IF($Q42="","",INDEX(TongVTSX!C$3:C$1500,$Q42))</f>
        <v/>
      </c>
      <c r="E42" s="729" t="str">
        <f ca="1">IF($Q42="","",INDEX(TongVTSX!D$3:D$1500,$Q42) &amp; IF(OR($R42=$S$1,$R42=$S$7)," (" &amp; INDEX(TongVTSX!A$3:A$1500,$Q42) &amp; ")",""))</f>
        <v/>
      </c>
      <c r="F42" s="745" t="str">
        <f ca="1">IF($Q42="","",IF($R42=$S$7,INDEX(TongVTSX!$G$3:$G$1500,$Q42),INDEX(TongVTSX!$E$3:$E$1500,$Q42)))</f>
        <v/>
      </c>
      <c r="G42" s="24" t="str">
        <f ca="1">IF($Q42="","",IF($R42=$S$1,"mm",IF($R42=$S$2,"Thanh",INDEX(TongVTSX!F$3:F$1500,$Q42))))</f>
        <v/>
      </c>
      <c r="H42" s="114">
        <f ca="1">IF($R42=$S$1,INDEX(TongVTSX!$K$3:$K$1500,$Q42),IF($R42=$S$7,INDEX(TongVTSX!$H$3:$H$1500,$Q42),IF($R42=$S$2,ROUNDUP(SUMPRODUCT((TongVTSX!$C$3:$C$1500=$D42)*(TongVTSX!$E$3:$E$1500=$F42)*(TongVTSX!$K$3:$K$1500))/$U42,0),SUMPRODUCT((TongVTSX!$C$3:$C$1500=$D42)*(TongVTSX!$E$3:$E$1500=$F42)*(TongVTSX!$K$3:$K$1500)))))</f>
        <v>0</v>
      </c>
      <c r="I42" s="114"/>
      <c r="J42" s="114"/>
      <c r="K42" s="114" t="str">
        <f ca="1">IF($Q42="","",IF($R42=$S$2,INDEX(TongVTSX!M$3:M$1500,$Q42)*$U42,   INDEX(TongVTSX!M$3:M$1500,$Q42)))</f>
        <v/>
      </c>
      <c r="L42" s="92">
        <f ca="1">IF($Q42="",0, IF($R42=$S$7,$F42*$H42*$K42,IF($R42=$S$2,$H42*$K42,    IF($H42*$K42 - SUMPRODUCT((TongVTSX!$C$3:$C$1500=$D42)*(TongVTSX!$E$3:$E$1500=$F42)*(TongVTSX!$O$3:$O$1500)) &lt;=10,$H42*$K42,"PO &lt;&gt; TongVTSX"))))</f>
        <v>0</v>
      </c>
      <c r="M42" s="114">
        <f ca="1">IF($R42=$S$1,INDEX(TongVTSX!$K$3:$K$1500,$Q42),IF($R42=$S$7,INDEX(TongVTSX!$H$3:$H$1500,$Q42),IF($R42=$S$2,SUMPRODUCT((TongVTSX!$C$3:$C$1500=$D42)*(TongVTSX!$E$3:$E$1500=$F42)*(TongVTSX!$K$3:$K$1500))/$U42,SUMPRODUCT((TongVTSX!$C$3:$C$1500=$D42)*(TongVTSX!$E$3:$E$1500=$F42)*(TongVTSX!$K$3:$K$1500)))))</f>
        <v>0</v>
      </c>
      <c r="N42" s="92">
        <f ca="1">IF($Q42="",0, IF($R42=$S$7,$F42*$M42*$K42,IF($R42=$S$2,$M42*$K42,    IF($M42*$K42 - SUMPRODUCT((TongVTSX!$C$3:$C$1500=$D42)*(TongVTSX!$E$3:$E$1500=$F42)*(TongVTSX!$O$3:$O$1500)) &lt;=10,$M42*$K42,"PO &lt;&gt; TongVTSX"))))</f>
        <v>0</v>
      </c>
      <c r="O42" s="92">
        <f t="shared" ca="1" si="2"/>
        <v>0</v>
      </c>
      <c r="P42" s="1146" t="str">
        <f ca="1">IFERROR(INDEX(NVLSX!$AA$2:$AA$6756,MATCH($D42,NVLSX!$E$2:$E$6756,0)),"")</f>
        <v/>
      </c>
      <c r="Q42" s="742" t="str">
        <f ca="1">IF($R42="","",IF($R42&lt;&gt;$R41,IF(TYPE(MATCH($R42,TongVTSX!$T$3:$T$1500,0))=16,"",MATCH($R42,TongVTSX!$T$3:$T$1500,0)),IF(TYPE(MATCH($R42,OFFSET(TongVTSX!$T$3,$Q41,0):'TongVTSX'!$T$1500,0)+$Q41)=16,"",MATCH($R42,OFFSET(TongVTSX!$T$3,$Q41,0):'TongVTSX'!$T$1500,0)+$Q41)))</f>
        <v/>
      </c>
      <c r="R42" s="179" t="str">
        <f ca="1">IFERROR(IF(COUNTIF($R$3:R41,R41)&lt; INDEX($T$1:$T$7,MATCH($R41,$S$1:$S$7,0)),$R41,INDEX($S$1:$S$7,MATCH($R41,$S$1:$S$7,0)+1)),"")</f>
        <v/>
      </c>
      <c r="S42" s="181"/>
      <c r="T42" s="182"/>
      <c r="U42" s="184" t="str">
        <f ca="1">IF($R42="PR",INDEX(NVLSX!$U$2:$U$6941,MATCH($D42,NVLSX!$E$2:$E$6941,0)),"")</f>
        <v/>
      </c>
      <c r="V42" s="184" t="str">
        <f ca="1">IF($R42="PR",INDEX(NVLSX!$S$2:$S$6941,MATCH($D42,NVLSX!$E$2:$E$6941,0))*1000,"")</f>
        <v/>
      </c>
      <c r="W42" s="776" t="str">
        <f ca="1">IF($R42="PR",INDEX(NVLSX!$S$2:$S$6941,MATCH($D42,NVLSX!$E$2:$E$6941,0))*INDEX(NVLSX!$T$2:$T$6941,MATCH($D42,NVLSX!$E$2:$E$6941,0)),"")</f>
        <v/>
      </c>
      <c r="X42" s="776">
        <f t="shared" ca="1" si="1"/>
        <v>0</v>
      </c>
      <c r="Y42" s="982" t="str">
        <f ca="1">IFERROR(INDEX(NVLSX!$X$2:$X$4655,MATCH($D42,NVLSX!$E$2:$E$4655,0)),"")</f>
        <v/>
      </c>
    </row>
    <row r="43" spans="1:25">
      <c r="A43" s="19" t="str">
        <f ca="1">IF($Q43="","",MAX($A$2:A42)+1)</f>
        <v/>
      </c>
      <c r="B43" s="1146" t="str">
        <f ca="1">IFERROR(INDEX(NVLSX!$Y$2:$Y$6756,MATCH($D43,NVLSX!$E$2:$E$6756,0)),"")</f>
        <v/>
      </c>
      <c r="C43" s="1146" t="str">
        <f ca="1">IFERROR(INDEX(NVLSX!$Z$2:$Z$6756,MATCH($D43,NVLSX!$E$2:$E$6756,0)),"")</f>
        <v/>
      </c>
      <c r="D43" s="23" t="str">
        <f ca="1">IF($Q43="","",INDEX(TongVTSX!C$3:C$1500,$Q43))</f>
        <v/>
      </c>
      <c r="E43" s="729" t="str">
        <f ca="1">IF($Q43="","",INDEX(TongVTSX!D$3:D$1500,$Q43) &amp; IF(OR($R43=$S$1,$R43=$S$7)," (" &amp; INDEX(TongVTSX!A$3:A$1500,$Q43) &amp; ")",""))</f>
        <v/>
      </c>
      <c r="F43" s="745" t="str">
        <f ca="1">IF($Q43="","",IF($R43=$S$7,INDEX(TongVTSX!$G$3:$G$1500,$Q43),INDEX(TongVTSX!$E$3:$E$1500,$Q43)))</f>
        <v/>
      </c>
      <c r="G43" s="24" t="str">
        <f ca="1">IF($Q43="","",IF($R43=$S$1,"mm",IF($R43=$S$2,"Thanh",INDEX(TongVTSX!F$3:F$1500,$Q43))))</f>
        <v/>
      </c>
      <c r="H43" s="114">
        <f ca="1">IF($R43=$S$1,INDEX(TongVTSX!$K$3:$K$1500,$Q43),IF($R43=$S$7,INDEX(TongVTSX!$H$3:$H$1500,$Q43),IF($R43=$S$2,ROUNDUP(SUMPRODUCT((TongVTSX!$C$3:$C$1500=$D43)*(TongVTSX!$E$3:$E$1500=$F43)*(TongVTSX!$K$3:$K$1500))/$U43,0),SUMPRODUCT((TongVTSX!$C$3:$C$1500=$D43)*(TongVTSX!$E$3:$E$1500=$F43)*(TongVTSX!$K$3:$K$1500)))))</f>
        <v>0</v>
      </c>
      <c r="I43" s="114"/>
      <c r="J43" s="114"/>
      <c r="K43" s="114" t="str">
        <f ca="1">IF($Q43="","",IF($R43=$S$2,INDEX(TongVTSX!M$3:M$1500,$Q43)*$U43,   INDEX(TongVTSX!M$3:M$1500,$Q43)))</f>
        <v/>
      </c>
      <c r="L43" s="92">
        <f ca="1">IF($Q43="",0, IF($R43=$S$7,$F43*$H43*$K43,IF($R43=$S$2,$H43*$K43,    IF($H43*$K43 - SUMPRODUCT((TongVTSX!$C$3:$C$1500=$D43)*(TongVTSX!$E$3:$E$1500=$F43)*(TongVTSX!$O$3:$O$1500)) &lt;=10,$H43*$K43,"PO &lt;&gt; TongVTSX"))))</f>
        <v>0</v>
      </c>
      <c r="M43" s="114">
        <f ca="1">IF($R43=$S$1,INDEX(TongVTSX!$K$3:$K$1500,$Q43),IF($R43=$S$7,INDEX(TongVTSX!$H$3:$H$1500,$Q43),IF($R43=$S$2,SUMPRODUCT((TongVTSX!$C$3:$C$1500=$D43)*(TongVTSX!$E$3:$E$1500=$F43)*(TongVTSX!$K$3:$K$1500))/$U43,SUMPRODUCT((TongVTSX!$C$3:$C$1500=$D43)*(TongVTSX!$E$3:$E$1500=$F43)*(TongVTSX!$K$3:$K$1500)))))</f>
        <v>0</v>
      </c>
      <c r="N43" s="92">
        <f ca="1">IF($Q43="",0, IF($R43=$S$7,$F43*$M43*$K43,IF($R43=$S$2,$M43*$K43,    IF($M43*$K43 - SUMPRODUCT((TongVTSX!$C$3:$C$1500=$D43)*(TongVTSX!$E$3:$E$1500=$F43)*(TongVTSX!$O$3:$O$1500)) &lt;=10,$M43*$K43,"PO &lt;&gt; TongVTSX"))))</f>
        <v>0</v>
      </c>
      <c r="O43" s="92">
        <f t="shared" ca="1" si="2"/>
        <v>0</v>
      </c>
      <c r="P43" s="1146" t="str">
        <f ca="1">IFERROR(INDEX(NVLSX!$AA$2:$AA$6756,MATCH($D43,NVLSX!$E$2:$E$6756,0)),"")</f>
        <v/>
      </c>
      <c r="Q43" s="742" t="str">
        <f ca="1">IF($R43="","",IF($R43&lt;&gt;$R42,IF(TYPE(MATCH($R43,TongVTSX!$T$3:$T$1500,0))=16,"",MATCH($R43,TongVTSX!$T$3:$T$1500,0)),IF(TYPE(MATCH($R43,OFFSET(TongVTSX!$T$3,$Q42,0):'TongVTSX'!$T$1500,0)+$Q42)=16,"",MATCH($R43,OFFSET(TongVTSX!$T$3,$Q42,0):'TongVTSX'!$T$1500,0)+$Q42)))</f>
        <v/>
      </c>
      <c r="R43" s="179" t="str">
        <f ca="1">IFERROR(IF(COUNTIF($R$3:R42,R42)&lt; INDEX($T$1:$T$7,MATCH($R42,$S$1:$S$7,0)),$R42,INDEX($S$1:$S$7,MATCH($R42,$S$1:$S$7,0)+1)),"")</f>
        <v/>
      </c>
      <c r="S43" s="181"/>
      <c r="T43" s="182"/>
      <c r="U43" s="184" t="str">
        <f ca="1">IF($R43="PR",INDEX(NVLSX!$U$2:$U$6941,MATCH($D43,NVLSX!$E$2:$E$6941,0)),"")</f>
        <v/>
      </c>
      <c r="V43" s="184" t="str">
        <f ca="1">IF($R43="PR",INDEX(NVLSX!$S$2:$S$6941,MATCH($D43,NVLSX!$E$2:$E$6941,0))*1000,"")</f>
        <v/>
      </c>
      <c r="W43" s="776" t="str">
        <f ca="1">IF($R43="PR",INDEX(NVLSX!$S$2:$S$6941,MATCH($D43,NVLSX!$E$2:$E$6941,0))*INDEX(NVLSX!$T$2:$T$6941,MATCH($D43,NVLSX!$E$2:$E$6941,0)),"")</f>
        <v/>
      </c>
      <c r="X43" s="776">
        <f t="shared" ca="1" si="1"/>
        <v>0</v>
      </c>
      <c r="Y43" s="982" t="str">
        <f ca="1">IFERROR(INDEX(NVLSX!$X$2:$X$4655,MATCH($D43,NVLSX!$E$2:$E$4655,0)),"")</f>
        <v/>
      </c>
    </row>
    <row r="44" spans="1:25">
      <c r="A44" s="19" t="str">
        <f ca="1">IF($Q44="","",MAX($A$2:A43)+1)</f>
        <v/>
      </c>
      <c r="B44" s="1146" t="str">
        <f ca="1">IFERROR(INDEX(NVLSX!$Y$2:$Y$6756,MATCH($D44,NVLSX!$E$2:$E$6756,0)),"")</f>
        <v/>
      </c>
      <c r="C44" s="1146" t="str">
        <f ca="1">IFERROR(INDEX(NVLSX!$Z$2:$Z$6756,MATCH($D44,NVLSX!$E$2:$E$6756,0)),"")</f>
        <v/>
      </c>
      <c r="D44" s="23" t="str">
        <f ca="1">IF($Q44="","",INDEX(TongVTSX!C$3:C$1500,$Q44))</f>
        <v/>
      </c>
      <c r="E44" s="729" t="str">
        <f ca="1">IF($Q44="","",INDEX(TongVTSX!D$3:D$1500,$Q44) &amp; IF(OR($R44=$S$1,$R44=$S$7)," (" &amp; INDEX(TongVTSX!A$3:A$1500,$Q44) &amp; ")",""))</f>
        <v/>
      </c>
      <c r="F44" s="745" t="str">
        <f ca="1">IF($Q44="","",IF($R44=$S$7,INDEX(TongVTSX!$G$3:$G$1500,$Q44),INDEX(TongVTSX!$E$3:$E$1500,$Q44)))</f>
        <v/>
      </c>
      <c r="G44" s="24" t="str">
        <f ca="1">IF($Q44="","",IF($R44=$S$1,"mm",IF($R44=$S$2,"Thanh",INDEX(TongVTSX!F$3:F$1500,$Q44))))</f>
        <v/>
      </c>
      <c r="H44" s="114">
        <f ca="1">IF($R44=$S$1,INDEX(TongVTSX!$K$3:$K$1500,$Q44),IF($R44=$S$7,INDEX(TongVTSX!$H$3:$H$1500,$Q44),IF($R44=$S$2,ROUNDUP(SUMPRODUCT((TongVTSX!$C$3:$C$1500=$D44)*(TongVTSX!$E$3:$E$1500=$F44)*(TongVTSX!$K$3:$K$1500))/$U44,0),SUMPRODUCT((TongVTSX!$C$3:$C$1500=$D44)*(TongVTSX!$E$3:$E$1500=$F44)*(TongVTSX!$K$3:$K$1500)))))</f>
        <v>0</v>
      </c>
      <c r="I44" s="114"/>
      <c r="J44" s="114"/>
      <c r="K44" s="114" t="str">
        <f ca="1">IF($Q44="","",IF($R44=$S$2,INDEX(TongVTSX!M$3:M$1500,$Q44)*$U44,   INDEX(TongVTSX!M$3:M$1500,$Q44)))</f>
        <v/>
      </c>
      <c r="L44" s="92">
        <f ca="1">IF($Q44="",0, IF($R44=$S$7,$F44*$H44*$K44,IF($R44=$S$2,$H44*$K44,    IF($H44*$K44 - SUMPRODUCT((TongVTSX!$C$3:$C$1500=$D44)*(TongVTSX!$E$3:$E$1500=$F44)*(TongVTSX!$O$3:$O$1500)) &lt;=10,$H44*$K44,"PO &lt;&gt; TongVTSX"))))</f>
        <v>0</v>
      </c>
      <c r="M44" s="114">
        <f ca="1">IF($R44=$S$1,INDEX(TongVTSX!$K$3:$K$1500,$Q44),IF($R44=$S$7,INDEX(TongVTSX!$H$3:$H$1500,$Q44),IF($R44=$S$2,SUMPRODUCT((TongVTSX!$C$3:$C$1500=$D44)*(TongVTSX!$E$3:$E$1500=$F44)*(TongVTSX!$K$3:$K$1500))/$U44,SUMPRODUCT((TongVTSX!$C$3:$C$1500=$D44)*(TongVTSX!$E$3:$E$1500=$F44)*(TongVTSX!$K$3:$K$1500)))))</f>
        <v>0</v>
      </c>
      <c r="N44" s="92">
        <f ca="1">IF($Q44="",0, IF($R44=$S$7,$F44*$M44*$K44,IF($R44=$S$2,$M44*$K44,    IF($M44*$K44 - SUMPRODUCT((TongVTSX!$C$3:$C$1500=$D44)*(TongVTSX!$E$3:$E$1500=$F44)*(TongVTSX!$O$3:$O$1500)) &lt;=10,$M44*$K44,"PO &lt;&gt; TongVTSX"))))</f>
        <v>0</v>
      </c>
      <c r="O44" s="92">
        <f t="shared" ca="1" si="2"/>
        <v>0</v>
      </c>
      <c r="P44" s="1146" t="str">
        <f ca="1">IFERROR(INDEX(NVLSX!$AA$2:$AA$6756,MATCH($D44,NVLSX!$E$2:$E$6756,0)),"")</f>
        <v/>
      </c>
      <c r="Q44" s="742" t="str">
        <f ca="1">IF($R44="","",IF($R44&lt;&gt;$R43,IF(TYPE(MATCH($R44,TongVTSX!$T$3:$T$1500,0))=16,"",MATCH($R44,TongVTSX!$T$3:$T$1500,0)),IF(TYPE(MATCH($R44,OFFSET(TongVTSX!$T$3,$Q43,0):'TongVTSX'!$T$1500,0)+$Q43)=16,"",MATCH($R44,OFFSET(TongVTSX!$T$3,$Q43,0):'TongVTSX'!$T$1500,0)+$Q43)))</f>
        <v/>
      </c>
      <c r="R44" s="179" t="str">
        <f ca="1">IFERROR(IF(COUNTIF($R$3:R43,R43)&lt; INDEX($T$1:$T$7,MATCH($R43,$S$1:$S$7,0)),$R43,INDEX($S$1:$S$7,MATCH($R43,$S$1:$S$7,0)+1)),"")</f>
        <v/>
      </c>
      <c r="S44" s="181"/>
      <c r="T44" s="182"/>
      <c r="U44" s="184" t="str">
        <f ca="1">IF($R44="PR",INDEX(NVLSX!$U$2:$U$6941,MATCH($D44,NVLSX!$E$2:$E$6941,0)),"")</f>
        <v/>
      </c>
      <c r="V44" s="184" t="str">
        <f ca="1">IF($R44="PR",INDEX(NVLSX!$S$2:$S$6941,MATCH($D44,NVLSX!$E$2:$E$6941,0))*1000,"")</f>
        <v/>
      </c>
      <c r="W44" s="776" t="str">
        <f ca="1">IF($R44="PR",INDEX(NVLSX!$S$2:$S$6941,MATCH($D44,NVLSX!$E$2:$E$6941,0))*INDEX(NVLSX!$T$2:$T$6941,MATCH($D44,NVLSX!$E$2:$E$6941,0)),"")</f>
        <v/>
      </c>
      <c r="X44" s="776">
        <f t="shared" ca="1" si="1"/>
        <v>0</v>
      </c>
      <c r="Y44" s="982" t="str">
        <f ca="1">IFERROR(INDEX(NVLSX!$X$2:$X$4655,MATCH($D44,NVLSX!$E$2:$E$4655,0)),"")</f>
        <v/>
      </c>
    </row>
    <row r="45" spans="1:25">
      <c r="A45" s="19" t="str">
        <f ca="1">IF($Q45="","",MAX($A$2:A44)+1)</f>
        <v/>
      </c>
      <c r="B45" s="1146" t="str">
        <f ca="1">IFERROR(INDEX(NVLSX!$Y$2:$Y$6756,MATCH($D45,NVLSX!$E$2:$E$6756,0)),"")</f>
        <v/>
      </c>
      <c r="C45" s="1146" t="str">
        <f ca="1">IFERROR(INDEX(NVLSX!$Z$2:$Z$6756,MATCH($D45,NVLSX!$E$2:$E$6756,0)),"")</f>
        <v/>
      </c>
      <c r="D45" s="23" t="str">
        <f ca="1">IF($Q45="","",INDEX(TongVTSX!C$3:C$1500,$Q45))</f>
        <v/>
      </c>
      <c r="E45" s="729" t="str">
        <f ca="1">IF($Q45="","",INDEX(TongVTSX!D$3:D$1500,$Q45) &amp; IF(OR($R45=$S$1,$R45=$S$7)," (" &amp; INDEX(TongVTSX!A$3:A$1500,$Q45) &amp; ")",""))</f>
        <v/>
      </c>
      <c r="F45" s="745" t="str">
        <f ca="1">IF($Q45="","",IF($R45=$S$7,INDEX(TongVTSX!$G$3:$G$1500,$Q45),INDEX(TongVTSX!$E$3:$E$1500,$Q45)))</f>
        <v/>
      </c>
      <c r="G45" s="24" t="str">
        <f ca="1">IF($Q45="","",IF($R45=$S$1,"mm",IF($R45=$S$2,"Thanh",INDEX(TongVTSX!F$3:F$1500,$Q45))))</f>
        <v/>
      </c>
      <c r="H45" s="114">
        <f ca="1">IF($R45=$S$1,INDEX(TongVTSX!$K$3:$K$1500,$Q45),IF($R45=$S$7,INDEX(TongVTSX!$H$3:$H$1500,$Q45),IF($R45=$S$2,ROUNDUP(SUMPRODUCT((TongVTSX!$C$3:$C$1500=$D45)*(TongVTSX!$E$3:$E$1500=$F45)*(TongVTSX!$K$3:$K$1500))/$U45,0),SUMPRODUCT((TongVTSX!$C$3:$C$1500=$D45)*(TongVTSX!$E$3:$E$1500=$F45)*(TongVTSX!$K$3:$K$1500)))))</f>
        <v>0</v>
      </c>
      <c r="I45" s="114"/>
      <c r="J45" s="114"/>
      <c r="K45" s="114" t="str">
        <f ca="1">IF($Q45="","",IF($R45=$S$2,INDEX(TongVTSX!M$3:M$1500,$Q45)*$U45,   INDEX(TongVTSX!M$3:M$1500,$Q45)))</f>
        <v/>
      </c>
      <c r="L45" s="92">
        <f ca="1">IF($Q45="",0, IF($R45=$S$7,$F45*$H45*$K45,IF($R45=$S$2,$H45*$K45,    IF($H45*$K45 - SUMPRODUCT((TongVTSX!$C$3:$C$1500=$D45)*(TongVTSX!$E$3:$E$1500=$F45)*(TongVTSX!$O$3:$O$1500)) &lt;=10,$H45*$K45,"PO &lt;&gt; TongVTSX"))))</f>
        <v>0</v>
      </c>
      <c r="M45" s="114">
        <f ca="1">IF($R45=$S$1,INDEX(TongVTSX!$K$3:$K$1500,$Q45),IF($R45=$S$7,INDEX(TongVTSX!$H$3:$H$1500,$Q45),IF($R45=$S$2,SUMPRODUCT((TongVTSX!$C$3:$C$1500=$D45)*(TongVTSX!$E$3:$E$1500=$F45)*(TongVTSX!$K$3:$K$1500))/$U45,SUMPRODUCT((TongVTSX!$C$3:$C$1500=$D45)*(TongVTSX!$E$3:$E$1500=$F45)*(TongVTSX!$K$3:$K$1500)))))</f>
        <v>0</v>
      </c>
      <c r="N45" s="92">
        <f ca="1">IF($Q45="",0, IF($R45=$S$7,$F45*$M45*$K45,IF($R45=$S$2,$M45*$K45,    IF($M45*$K45 - SUMPRODUCT((TongVTSX!$C$3:$C$1500=$D45)*(TongVTSX!$E$3:$E$1500=$F45)*(TongVTSX!$O$3:$O$1500)) &lt;=10,$M45*$K45,"PO &lt;&gt; TongVTSX"))))</f>
        <v>0</v>
      </c>
      <c r="O45" s="92">
        <f t="shared" ca="1" si="2"/>
        <v>0</v>
      </c>
      <c r="P45" s="1146" t="str">
        <f ca="1">IFERROR(INDEX(NVLSX!$AA$2:$AA$6756,MATCH($D45,NVLSX!$E$2:$E$6756,0)),"")</f>
        <v/>
      </c>
      <c r="Q45" s="742" t="str">
        <f ca="1">IF($R45="","",IF($R45&lt;&gt;$R44,IF(TYPE(MATCH($R45,TongVTSX!$T$3:$T$1500,0))=16,"",MATCH($R45,TongVTSX!$T$3:$T$1500,0)),IF(TYPE(MATCH($R45,OFFSET(TongVTSX!$T$3,$Q44,0):'TongVTSX'!$T$1500,0)+$Q44)=16,"",MATCH($R45,OFFSET(TongVTSX!$T$3,$Q44,0):'TongVTSX'!$T$1500,0)+$Q44)))</f>
        <v/>
      </c>
      <c r="R45" s="179" t="str">
        <f ca="1">IFERROR(IF(COUNTIF($R$3:R44,R44)&lt; INDEX($T$1:$T$7,MATCH($R44,$S$1:$S$7,0)),$R44,INDEX($S$1:$S$7,MATCH($R44,$S$1:$S$7,0)+1)),"")</f>
        <v/>
      </c>
      <c r="S45" s="181"/>
      <c r="T45" s="182"/>
      <c r="U45" s="184" t="str">
        <f ca="1">IF($R45="PR",INDEX(NVLSX!$U$2:$U$6941,MATCH($D45,NVLSX!$E$2:$E$6941,0)),"")</f>
        <v/>
      </c>
      <c r="V45" s="184" t="str">
        <f ca="1">IF($R45="PR",INDEX(NVLSX!$S$2:$S$6941,MATCH($D45,NVLSX!$E$2:$E$6941,0))*1000,"")</f>
        <v/>
      </c>
      <c r="W45" s="776" t="str">
        <f ca="1">IF($R45="PR",INDEX(NVLSX!$S$2:$S$6941,MATCH($D45,NVLSX!$E$2:$E$6941,0))*INDEX(NVLSX!$T$2:$T$6941,MATCH($D45,NVLSX!$E$2:$E$6941,0)),"")</f>
        <v/>
      </c>
      <c r="X45" s="776">
        <f t="shared" ca="1" si="1"/>
        <v>0</v>
      </c>
      <c r="Y45" s="982" t="str">
        <f ca="1">IFERROR(INDEX(NVLSX!$X$2:$X$4655,MATCH($D45,NVLSX!$E$2:$E$4655,0)),"")</f>
        <v/>
      </c>
    </row>
    <row r="46" spans="1:25">
      <c r="A46" s="19" t="str">
        <f ca="1">IF($Q46="","",MAX($A$2:A45)+1)</f>
        <v/>
      </c>
      <c r="B46" s="1146" t="str">
        <f ca="1">IFERROR(INDEX(NVLSX!$Y$2:$Y$6756,MATCH($D46,NVLSX!$E$2:$E$6756,0)),"")</f>
        <v/>
      </c>
      <c r="C46" s="1146" t="str">
        <f ca="1">IFERROR(INDEX(NVLSX!$Z$2:$Z$6756,MATCH($D46,NVLSX!$E$2:$E$6756,0)),"")</f>
        <v/>
      </c>
      <c r="D46" s="23" t="str">
        <f ca="1">IF($Q46="","",INDEX(TongVTSX!C$3:C$1500,$Q46))</f>
        <v/>
      </c>
      <c r="E46" s="729" t="str">
        <f ca="1">IF($Q46="","",INDEX(TongVTSX!D$3:D$1500,$Q46) &amp; IF(OR($R46=$S$1,$R46=$S$7)," (" &amp; INDEX(TongVTSX!A$3:A$1500,$Q46) &amp; ")",""))</f>
        <v/>
      </c>
      <c r="F46" s="745" t="str">
        <f ca="1">IF($Q46="","",IF($R46=$S$7,INDEX(TongVTSX!$G$3:$G$1500,$Q46),INDEX(TongVTSX!$E$3:$E$1500,$Q46)))</f>
        <v/>
      </c>
      <c r="G46" s="24" t="str">
        <f ca="1">IF($Q46="","",IF($R46=$S$1,"mm",IF($R46=$S$2,"Thanh",INDEX(TongVTSX!F$3:F$1500,$Q46))))</f>
        <v/>
      </c>
      <c r="H46" s="114">
        <f ca="1">IF($R46=$S$1,INDEX(TongVTSX!$K$3:$K$1500,$Q46),IF($R46=$S$7,INDEX(TongVTSX!$H$3:$H$1500,$Q46),IF($R46=$S$2,ROUNDUP(SUMPRODUCT((TongVTSX!$C$3:$C$1500=$D46)*(TongVTSX!$E$3:$E$1500=$F46)*(TongVTSX!$K$3:$K$1500))/$U46,0),SUMPRODUCT((TongVTSX!$C$3:$C$1500=$D46)*(TongVTSX!$E$3:$E$1500=$F46)*(TongVTSX!$K$3:$K$1500)))))</f>
        <v>0</v>
      </c>
      <c r="I46" s="114"/>
      <c r="J46" s="114"/>
      <c r="K46" s="114" t="str">
        <f ca="1">IF($Q46="","",IF($R46=$S$2,INDEX(TongVTSX!M$3:M$1500,$Q46)*$U46,   INDEX(TongVTSX!M$3:M$1500,$Q46)))</f>
        <v/>
      </c>
      <c r="L46" s="92">
        <f ca="1">IF($Q46="",0, IF($R46=$S$7,$F46*$H46*$K46,IF($R46=$S$2,$H46*$K46,    IF($H46*$K46 - SUMPRODUCT((TongVTSX!$C$3:$C$1500=$D46)*(TongVTSX!$E$3:$E$1500=$F46)*(TongVTSX!$O$3:$O$1500)) &lt;=10,$H46*$K46,"PO &lt;&gt; TongVTSX"))))</f>
        <v>0</v>
      </c>
      <c r="M46" s="114">
        <f ca="1">IF($R46=$S$1,INDEX(TongVTSX!$K$3:$K$1500,$Q46),IF($R46=$S$7,INDEX(TongVTSX!$H$3:$H$1500,$Q46),IF($R46=$S$2,SUMPRODUCT((TongVTSX!$C$3:$C$1500=$D46)*(TongVTSX!$E$3:$E$1500=$F46)*(TongVTSX!$K$3:$K$1500))/$U46,SUMPRODUCT((TongVTSX!$C$3:$C$1500=$D46)*(TongVTSX!$E$3:$E$1500=$F46)*(TongVTSX!$K$3:$K$1500)))))</f>
        <v>0</v>
      </c>
      <c r="N46" s="92">
        <f ca="1">IF($Q46="",0, IF($R46=$S$7,$F46*$M46*$K46,IF($R46=$S$2,$M46*$K46,    IF($M46*$K46 - SUMPRODUCT((TongVTSX!$C$3:$C$1500=$D46)*(TongVTSX!$E$3:$E$1500=$F46)*(TongVTSX!$O$3:$O$1500)) &lt;=10,$M46*$K46,"PO &lt;&gt; TongVTSX"))))</f>
        <v>0</v>
      </c>
      <c r="O46" s="92">
        <f t="shared" ca="1" si="2"/>
        <v>0</v>
      </c>
      <c r="P46" s="1146" t="str">
        <f ca="1">IFERROR(INDEX(NVLSX!$AA$2:$AA$6756,MATCH($D46,NVLSX!$E$2:$E$6756,0)),"")</f>
        <v/>
      </c>
      <c r="Q46" s="742" t="str">
        <f ca="1">IF($R46="","",IF($R46&lt;&gt;$R45,IF(TYPE(MATCH($R46,TongVTSX!$T$3:$T$1500,0))=16,"",MATCH($R46,TongVTSX!$T$3:$T$1500,0)),IF(TYPE(MATCH($R46,OFFSET(TongVTSX!$T$3,$Q45,0):'TongVTSX'!$T$1500,0)+$Q45)=16,"",MATCH($R46,OFFSET(TongVTSX!$T$3,$Q45,0):'TongVTSX'!$T$1500,0)+$Q45)))</f>
        <v/>
      </c>
      <c r="R46" s="179" t="str">
        <f ca="1">IFERROR(IF(COUNTIF($R$3:R45,R45)&lt; INDEX($T$1:$T$7,MATCH($R45,$S$1:$S$7,0)),$R45,INDEX($S$1:$S$7,MATCH($R45,$S$1:$S$7,0)+1)),"")</f>
        <v/>
      </c>
      <c r="S46" s="181"/>
      <c r="T46" s="182"/>
      <c r="U46" s="184" t="str">
        <f ca="1">IF($R46="PR",INDEX(NVLSX!$U$2:$U$6941,MATCH($D46,NVLSX!$E$2:$E$6941,0)),"")</f>
        <v/>
      </c>
      <c r="V46" s="184" t="str">
        <f ca="1">IF($R46="PR",INDEX(NVLSX!$S$2:$S$6941,MATCH($D46,NVLSX!$E$2:$E$6941,0))*1000,"")</f>
        <v/>
      </c>
      <c r="W46" s="776" t="str">
        <f ca="1">IF($R46="PR",INDEX(NVLSX!$S$2:$S$6941,MATCH($D46,NVLSX!$E$2:$E$6941,0))*INDEX(NVLSX!$T$2:$T$6941,MATCH($D46,NVLSX!$E$2:$E$6941,0)),"")</f>
        <v/>
      </c>
      <c r="X46" s="776">
        <f t="shared" ca="1" si="1"/>
        <v>0</v>
      </c>
      <c r="Y46" s="982" t="str">
        <f ca="1">IFERROR(INDEX(NVLSX!$X$2:$X$4655,MATCH($D46,NVLSX!$E$2:$E$4655,0)),"")</f>
        <v/>
      </c>
    </row>
    <row r="47" spans="1:25">
      <c r="A47" s="19" t="str">
        <f ca="1">IF($Q47="","",MAX($A$2:A46)+1)</f>
        <v/>
      </c>
      <c r="B47" s="1146" t="str">
        <f ca="1">IFERROR(INDEX(NVLSX!$Y$2:$Y$6756,MATCH($D47,NVLSX!$E$2:$E$6756,0)),"")</f>
        <v/>
      </c>
      <c r="C47" s="1146" t="str">
        <f ca="1">IFERROR(INDEX(NVLSX!$Z$2:$Z$6756,MATCH($D47,NVLSX!$E$2:$E$6756,0)),"")</f>
        <v/>
      </c>
      <c r="D47" s="23" t="str">
        <f ca="1">IF($Q47="","",INDEX(TongVTSX!C$3:C$1500,$Q47))</f>
        <v/>
      </c>
      <c r="E47" s="729" t="str">
        <f ca="1">IF($Q47="","",INDEX(TongVTSX!D$3:D$1500,$Q47) &amp; IF(OR($R47=$S$1,$R47=$S$7)," (" &amp; INDEX(TongVTSX!A$3:A$1500,$Q47) &amp; ")",""))</f>
        <v/>
      </c>
      <c r="F47" s="745" t="str">
        <f ca="1">IF($Q47="","",IF($R47=$S$7,INDEX(TongVTSX!$G$3:$G$1500,$Q47),INDEX(TongVTSX!$E$3:$E$1500,$Q47)))</f>
        <v/>
      </c>
      <c r="G47" s="24" t="str">
        <f ca="1">IF($Q47="","",IF($R47=$S$1,"mm",IF($R47=$S$2,"Thanh",INDEX(TongVTSX!F$3:F$1500,$Q47))))</f>
        <v/>
      </c>
      <c r="H47" s="114">
        <f ca="1">IF($R47=$S$1,INDEX(TongVTSX!$K$3:$K$1500,$Q47),IF($R47=$S$7,INDEX(TongVTSX!$H$3:$H$1500,$Q47),IF($R47=$S$2,ROUNDUP(SUMPRODUCT((TongVTSX!$C$3:$C$1500=$D47)*(TongVTSX!$E$3:$E$1500=$F47)*(TongVTSX!$K$3:$K$1500))/$U47,0),SUMPRODUCT((TongVTSX!$C$3:$C$1500=$D47)*(TongVTSX!$E$3:$E$1500=$F47)*(TongVTSX!$K$3:$K$1500)))))</f>
        <v>0</v>
      </c>
      <c r="I47" s="114"/>
      <c r="J47" s="114"/>
      <c r="K47" s="114" t="str">
        <f ca="1">IF($Q47="","",IF($R47=$S$2,INDEX(TongVTSX!M$3:M$1500,$Q47)*$U47,   INDEX(TongVTSX!M$3:M$1500,$Q47)))</f>
        <v/>
      </c>
      <c r="L47" s="92">
        <f ca="1">IF($Q47="",0, IF($R47=$S$7,$F47*$H47*$K47,IF($R47=$S$2,$H47*$K47,    IF($H47*$K47 - SUMPRODUCT((TongVTSX!$C$3:$C$1500=$D47)*(TongVTSX!$E$3:$E$1500=$F47)*(TongVTSX!$O$3:$O$1500)) &lt;=10,$H47*$K47,"PO &lt;&gt; TongVTSX"))))</f>
        <v>0</v>
      </c>
      <c r="M47" s="114">
        <f ca="1">IF($R47=$S$1,INDEX(TongVTSX!$K$3:$K$1500,$Q47),IF($R47=$S$7,INDEX(TongVTSX!$H$3:$H$1500,$Q47),IF($R47=$S$2,SUMPRODUCT((TongVTSX!$C$3:$C$1500=$D47)*(TongVTSX!$E$3:$E$1500=$F47)*(TongVTSX!$K$3:$K$1500))/$U47,SUMPRODUCT((TongVTSX!$C$3:$C$1500=$D47)*(TongVTSX!$E$3:$E$1500=$F47)*(TongVTSX!$K$3:$K$1500)))))</f>
        <v>0</v>
      </c>
      <c r="N47" s="92">
        <f ca="1">IF($Q47="",0, IF($R47=$S$7,$F47*$M47*$K47,IF($R47=$S$2,$M47*$K47,    IF($M47*$K47 - SUMPRODUCT((TongVTSX!$C$3:$C$1500=$D47)*(TongVTSX!$E$3:$E$1500=$F47)*(TongVTSX!$O$3:$O$1500)) &lt;=10,$M47*$K47,"PO &lt;&gt; TongVTSX"))))</f>
        <v>0</v>
      </c>
      <c r="O47" s="92">
        <f t="shared" ca="1" si="2"/>
        <v>0</v>
      </c>
      <c r="P47" s="1146" t="str">
        <f ca="1">IFERROR(INDEX(NVLSX!$AA$2:$AA$6756,MATCH($D47,NVLSX!$E$2:$E$6756,0)),"")</f>
        <v/>
      </c>
      <c r="Q47" s="742" t="str">
        <f ca="1">IF($R47="","",IF($R47&lt;&gt;$R46,IF(TYPE(MATCH($R47,TongVTSX!$T$3:$T$1500,0))=16,"",MATCH($R47,TongVTSX!$T$3:$T$1500,0)),IF(TYPE(MATCH($R47,OFFSET(TongVTSX!$T$3,$Q46,0):'TongVTSX'!$T$1500,0)+$Q46)=16,"",MATCH($R47,OFFSET(TongVTSX!$T$3,$Q46,0):'TongVTSX'!$T$1500,0)+$Q46)))</f>
        <v/>
      </c>
      <c r="R47" s="179" t="str">
        <f ca="1">IFERROR(IF(COUNTIF($R$3:R46,R46)&lt; INDEX($T$1:$T$7,MATCH($R46,$S$1:$S$7,0)),$R46,INDEX($S$1:$S$7,MATCH($R46,$S$1:$S$7,0)+1)),"")</f>
        <v/>
      </c>
      <c r="S47" s="181"/>
      <c r="T47" s="182"/>
      <c r="U47" s="184" t="str">
        <f ca="1">IF($R47="PR",INDEX(NVLSX!$U$2:$U$6941,MATCH($D47,NVLSX!$E$2:$E$6941,0)),"")</f>
        <v/>
      </c>
      <c r="V47" s="184" t="str">
        <f ca="1">IF($R47="PR",INDEX(NVLSX!$S$2:$S$6941,MATCH($D47,NVLSX!$E$2:$E$6941,0))*1000,"")</f>
        <v/>
      </c>
      <c r="W47" s="776" t="str">
        <f ca="1">IF($R47="PR",INDEX(NVLSX!$S$2:$S$6941,MATCH($D47,NVLSX!$E$2:$E$6941,0))*INDEX(NVLSX!$T$2:$T$6941,MATCH($D47,NVLSX!$E$2:$E$6941,0)),"")</f>
        <v/>
      </c>
      <c r="X47" s="776">
        <f t="shared" ca="1" si="1"/>
        <v>0</v>
      </c>
      <c r="Y47" s="982" t="str">
        <f ca="1">IFERROR(INDEX(NVLSX!$X$2:$X$4655,MATCH($D47,NVLSX!$E$2:$E$4655,0)),"")</f>
        <v/>
      </c>
    </row>
    <row r="48" spans="1:25">
      <c r="A48" s="19" t="str">
        <f ca="1">IF($Q48="","",MAX($A$2:A47)+1)</f>
        <v/>
      </c>
      <c r="B48" s="1146" t="str">
        <f ca="1">IFERROR(INDEX(NVLSX!$Y$2:$Y$6756,MATCH($D48,NVLSX!$E$2:$E$6756,0)),"")</f>
        <v/>
      </c>
      <c r="C48" s="1146" t="str">
        <f ca="1">IFERROR(INDEX(NVLSX!$Z$2:$Z$6756,MATCH($D48,NVLSX!$E$2:$E$6756,0)),"")</f>
        <v/>
      </c>
      <c r="D48" s="23" t="str">
        <f ca="1">IF($Q48="","",INDEX(TongVTSX!C$3:C$1500,$Q48))</f>
        <v/>
      </c>
      <c r="E48" s="729" t="str">
        <f ca="1">IF($Q48="","",INDEX(TongVTSX!D$3:D$1500,$Q48) &amp; IF(OR($R48=$S$1,$R48=$S$7)," (" &amp; INDEX(TongVTSX!A$3:A$1500,$Q48) &amp; ")",""))</f>
        <v/>
      </c>
      <c r="F48" s="745" t="str">
        <f ca="1">IF($Q48="","",IF($R48=$S$7,INDEX(TongVTSX!$G$3:$G$1500,$Q48),INDEX(TongVTSX!$E$3:$E$1500,$Q48)))</f>
        <v/>
      </c>
      <c r="G48" s="24" t="str">
        <f ca="1">IF($Q48="","",IF($R48=$S$1,"mm",IF($R48=$S$2,"Thanh",INDEX(TongVTSX!F$3:F$1500,$Q48))))</f>
        <v/>
      </c>
      <c r="H48" s="114">
        <f ca="1">IF($R48=$S$1,INDEX(TongVTSX!$K$3:$K$1500,$Q48),IF($R48=$S$7,INDEX(TongVTSX!$H$3:$H$1500,$Q48),IF($R48=$S$2,ROUNDUP(SUMPRODUCT((TongVTSX!$C$3:$C$1500=$D48)*(TongVTSX!$E$3:$E$1500=$F48)*(TongVTSX!$K$3:$K$1500))/$U48,0),SUMPRODUCT((TongVTSX!$C$3:$C$1500=$D48)*(TongVTSX!$E$3:$E$1500=$F48)*(TongVTSX!$K$3:$K$1500)))))</f>
        <v>0</v>
      </c>
      <c r="I48" s="114"/>
      <c r="J48" s="114"/>
      <c r="K48" s="114" t="str">
        <f ca="1">IF($Q48="","",IF($R48=$S$2,INDEX(TongVTSX!M$3:M$1500,$Q48)*$U48,   INDEX(TongVTSX!M$3:M$1500,$Q48)))</f>
        <v/>
      </c>
      <c r="L48" s="92">
        <f ca="1">IF($Q48="",0, IF($R48=$S$7,$F48*$H48*$K48,IF($R48=$S$2,$H48*$K48,    IF($H48*$K48 - SUMPRODUCT((TongVTSX!$C$3:$C$1500=$D48)*(TongVTSX!$E$3:$E$1500=$F48)*(TongVTSX!$O$3:$O$1500)) &lt;=10,$H48*$K48,"PO &lt;&gt; TongVTSX"))))</f>
        <v>0</v>
      </c>
      <c r="M48" s="114">
        <f ca="1">IF($R48=$S$1,INDEX(TongVTSX!$K$3:$K$1500,$Q48),IF($R48=$S$7,INDEX(TongVTSX!$H$3:$H$1500,$Q48),IF($R48=$S$2,SUMPRODUCT((TongVTSX!$C$3:$C$1500=$D48)*(TongVTSX!$E$3:$E$1500=$F48)*(TongVTSX!$K$3:$K$1500))/$U48,SUMPRODUCT((TongVTSX!$C$3:$C$1500=$D48)*(TongVTSX!$E$3:$E$1500=$F48)*(TongVTSX!$K$3:$K$1500)))))</f>
        <v>0</v>
      </c>
      <c r="N48" s="92">
        <f ca="1">IF($Q48="",0, IF($R48=$S$7,$F48*$M48*$K48,IF($R48=$S$2,$M48*$K48,    IF($M48*$K48 - SUMPRODUCT((TongVTSX!$C$3:$C$1500=$D48)*(TongVTSX!$E$3:$E$1500=$F48)*(TongVTSX!$O$3:$O$1500)) &lt;=10,$M48*$K48,"PO &lt;&gt; TongVTSX"))))</f>
        <v>0</v>
      </c>
      <c r="O48" s="92">
        <f t="shared" ca="1" si="2"/>
        <v>0</v>
      </c>
      <c r="P48" s="1146" t="str">
        <f ca="1">IFERROR(INDEX(NVLSX!$AA$2:$AA$6756,MATCH($D48,NVLSX!$E$2:$E$6756,0)),"")</f>
        <v/>
      </c>
      <c r="Q48" s="742" t="str">
        <f ca="1">IF($R48="","",IF($R48&lt;&gt;$R47,IF(TYPE(MATCH($R48,TongVTSX!$T$3:$T$1500,0))=16,"",MATCH($R48,TongVTSX!$T$3:$T$1500,0)),IF(TYPE(MATCH($R48,OFFSET(TongVTSX!$T$3,$Q47,0):'TongVTSX'!$T$1500,0)+$Q47)=16,"",MATCH($R48,OFFSET(TongVTSX!$T$3,$Q47,0):'TongVTSX'!$T$1500,0)+$Q47)))</f>
        <v/>
      </c>
      <c r="R48" s="179" t="str">
        <f ca="1">IFERROR(IF(COUNTIF($R$3:R47,R47)&lt; INDEX($T$1:$T$7,MATCH($R47,$S$1:$S$7,0)),$R47,INDEX($S$1:$S$7,MATCH($R47,$S$1:$S$7,0)+1)),"")</f>
        <v/>
      </c>
      <c r="S48" s="181"/>
      <c r="T48" s="182"/>
      <c r="U48" s="184" t="str">
        <f ca="1">IF($R48="PR",INDEX(NVLSX!$U$2:$U$6941,MATCH($D48,NVLSX!$E$2:$E$6941,0)),"")</f>
        <v/>
      </c>
      <c r="V48" s="184" t="str">
        <f ca="1">IF($R48="PR",INDEX(NVLSX!$S$2:$S$6941,MATCH($D48,NVLSX!$E$2:$E$6941,0))*1000,"")</f>
        <v/>
      </c>
      <c r="W48" s="776" t="str">
        <f ca="1">IF($R48="PR",INDEX(NVLSX!$S$2:$S$6941,MATCH($D48,NVLSX!$E$2:$E$6941,0))*INDEX(NVLSX!$T$2:$T$6941,MATCH($D48,NVLSX!$E$2:$E$6941,0)),"")</f>
        <v/>
      </c>
      <c r="X48" s="776">
        <f t="shared" ca="1" si="1"/>
        <v>0</v>
      </c>
      <c r="Y48" s="982" t="str">
        <f ca="1">IFERROR(INDEX(NVLSX!$X$2:$X$4655,MATCH($D48,NVLSX!$E$2:$E$4655,0)),"")</f>
        <v/>
      </c>
    </row>
    <row r="49" spans="1:25">
      <c r="A49" s="19" t="str">
        <f ca="1">IF($Q49="","",MAX($A$2:A48)+1)</f>
        <v/>
      </c>
      <c r="B49" s="1146" t="str">
        <f ca="1">IFERROR(INDEX(NVLSX!$Y$2:$Y$6756,MATCH($D49,NVLSX!$E$2:$E$6756,0)),"")</f>
        <v/>
      </c>
      <c r="C49" s="1146" t="str">
        <f ca="1">IFERROR(INDEX(NVLSX!$Z$2:$Z$6756,MATCH($D49,NVLSX!$E$2:$E$6756,0)),"")</f>
        <v/>
      </c>
      <c r="D49" s="23" t="str">
        <f ca="1">IF($Q49="","",INDEX(TongVTSX!C$3:C$1500,$Q49))</f>
        <v/>
      </c>
      <c r="E49" s="729" t="str">
        <f ca="1">IF($Q49="","",INDEX(TongVTSX!D$3:D$1500,$Q49) &amp; IF(OR($R49=$S$1,$R49=$S$7)," (" &amp; INDEX(TongVTSX!A$3:A$1500,$Q49) &amp; ")",""))</f>
        <v/>
      </c>
      <c r="F49" s="745" t="str">
        <f ca="1">IF($Q49="","",IF($R49=$S$7,INDEX(TongVTSX!$G$3:$G$1500,$Q49),INDEX(TongVTSX!$E$3:$E$1500,$Q49)))</f>
        <v/>
      </c>
      <c r="G49" s="24" t="str">
        <f ca="1">IF($Q49="","",IF($R49=$S$1,"mm",IF($R49=$S$2,"Thanh",INDEX(TongVTSX!F$3:F$1500,$Q49))))</f>
        <v/>
      </c>
      <c r="H49" s="114">
        <f ca="1">IF($R49=$S$1,INDEX(TongVTSX!$K$3:$K$1500,$Q49),IF($R49=$S$7,INDEX(TongVTSX!$H$3:$H$1500,$Q49),IF($R49=$S$2,ROUNDUP(SUMPRODUCT((TongVTSX!$C$3:$C$1500=$D49)*(TongVTSX!$E$3:$E$1500=$F49)*(TongVTSX!$K$3:$K$1500))/$U49,0),SUMPRODUCT((TongVTSX!$C$3:$C$1500=$D49)*(TongVTSX!$E$3:$E$1500=$F49)*(TongVTSX!$K$3:$K$1500)))))</f>
        <v>0</v>
      </c>
      <c r="I49" s="114"/>
      <c r="J49" s="114"/>
      <c r="K49" s="114" t="str">
        <f ca="1">IF($Q49="","",IF($R49=$S$2,INDEX(TongVTSX!M$3:M$1500,$Q49)*$U49,   INDEX(TongVTSX!M$3:M$1500,$Q49)))</f>
        <v/>
      </c>
      <c r="L49" s="92">
        <f ca="1">IF($Q49="",0, IF($R49=$S$7,$F49*$H49*$K49,IF($R49=$S$2,$H49*$K49,    IF($H49*$K49 - SUMPRODUCT((TongVTSX!$C$3:$C$1500=$D49)*(TongVTSX!$E$3:$E$1500=$F49)*(TongVTSX!$O$3:$O$1500)) &lt;=10,$H49*$K49,"PO &lt;&gt; TongVTSX"))))</f>
        <v>0</v>
      </c>
      <c r="M49" s="114">
        <f ca="1">IF($R49=$S$1,INDEX(TongVTSX!$K$3:$K$1500,$Q49),IF($R49=$S$7,INDEX(TongVTSX!$H$3:$H$1500,$Q49),IF($R49=$S$2,SUMPRODUCT((TongVTSX!$C$3:$C$1500=$D49)*(TongVTSX!$E$3:$E$1500=$F49)*(TongVTSX!$K$3:$K$1500))/$U49,SUMPRODUCT((TongVTSX!$C$3:$C$1500=$D49)*(TongVTSX!$E$3:$E$1500=$F49)*(TongVTSX!$K$3:$K$1500)))))</f>
        <v>0</v>
      </c>
      <c r="N49" s="92">
        <f ca="1">IF($Q49="",0, IF($R49=$S$7,$F49*$M49*$K49,IF($R49=$S$2,$M49*$K49,    IF($M49*$K49 - SUMPRODUCT((TongVTSX!$C$3:$C$1500=$D49)*(TongVTSX!$E$3:$E$1500=$F49)*(TongVTSX!$O$3:$O$1500)) &lt;=10,$M49*$K49,"PO &lt;&gt; TongVTSX"))))</f>
        <v>0</v>
      </c>
      <c r="O49" s="92">
        <f t="shared" ca="1" si="2"/>
        <v>0</v>
      </c>
      <c r="P49" s="1146" t="str">
        <f ca="1">IFERROR(INDEX(NVLSX!$AA$2:$AA$6756,MATCH($D49,NVLSX!$E$2:$E$6756,0)),"")</f>
        <v/>
      </c>
      <c r="Q49" s="742" t="str">
        <f ca="1">IF($R49="","",IF($R49&lt;&gt;$R48,IF(TYPE(MATCH($R49,TongVTSX!$T$3:$T$1500,0))=16,"",MATCH($R49,TongVTSX!$T$3:$T$1500,0)),IF(TYPE(MATCH($R49,OFFSET(TongVTSX!$T$3,$Q48,0):'TongVTSX'!$T$1500,0)+$Q48)=16,"",MATCH($R49,OFFSET(TongVTSX!$T$3,$Q48,0):'TongVTSX'!$T$1500,0)+$Q48)))</f>
        <v/>
      </c>
      <c r="R49" s="179" t="str">
        <f ca="1">IFERROR(IF(COUNTIF($R$3:R48,R48)&lt; INDEX($T$1:$T$7,MATCH($R48,$S$1:$S$7,0)),$R48,INDEX($S$1:$S$7,MATCH($R48,$S$1:$S$7,0)+1)),"")</f>
        <v/>
      </c>
      <c r="S49" s="181"/>
      <c r="T49" s="182"/>
      <c r="U49" s="184" t="str">
        <f ca="1">IF($R49="PR",INDEX(NVLSX!$U$2:$U$6941,MATCH($D49,NVLSX!$E$2:$E$6941,0)),"")</f>
        <v/>
      </c>
      <c r="V49" s="184" t="str">
        <f ca="1">IF($R49="PR",INDEX(NVLSX!$S$2:$S$6941,MATCH($D49,NVLSX!$E$2:$E$6941,0))*1000,"")</f>
        <v/>
      </c>
      <c r="W49" s="776" t="str">
        <f ca="1">IF($R49="PR",INDEX(NVLSX!$S$2:$S$6941,MATCH($D49,NVLSX!$E$2:$E$6941,0))*INDEX(NVLSX!$T$2:$T$6941,MATCH($D49,NVLSX!$E$2:$E$6941,0)),"")</f>
        <v/>
      </c>
      <c r="X49" s="776">
        <f t="shared" ca="1" si="1"/>
        <v>0</v>
      </c>
      <c r="Y49" s="982" t="str">
        <f ca="1">IFERROR(INDEX(NVLSX!$X$2:$X$4655,MATCH($D49,NVLSX!$E$2:$E$4655,0)),"")</f>
        <v/>
      </c>
    </row>
    <row r="50" spans="1:25">
      <c r="A50" s="19" t="str">
        <f ca="1">IF($Q50="","",MAX($A$2:A49)+1)</f>
        <v/>
      </c>
      <c r="B50" s="1146" t="str">
        <f ca="1">IFERROR(INDEX(NVLSX!$Y$2:$Y$6756,MATCH($D50,NVLSX!$E$2:$E$6756,0)),"")</f>
        <v/>
      </c>
      <c r="C50" s="1146" t="str">
        <f ca="1">IFERROR(INDEX(NVLSX!$Z$2:$Z$6756,MATCH($D50,NVLSX!$E$2:$E$6756,0)),"")</f>
        <v/>
      </c>
      <c r="D50" s="23" t="str">
        <f ca="1">IF($Q50="","",INDEX(TongVTSX!C$3:C$1500,$Q50))</f>
        <v/>
      </c>
      <c r="E50" s="729" t="str">
        <f ca="1">IF($Q50="","",INDEX(TongVTSX!D$3:D$1500,$Q50) &amp; IF(OR($R50=$S$1,$R50=$S$7)," (" &amp; INDEX(TongVTSX!A$3:A$1500,$Q50) &amp; ")",""))</f>
        <v/>
      </c>
      <c r="F50" s="745" t="str">
        <f ca="1">IF($Q50="","",IF($R50=$S$7,INDEX(TongVTSX!$G$3:$G$1500,$Q50),INDEX(TongVTSX!$E$3:$E$1500,$Q50)))</f>
        <v/>
      </c>
      <c r="G50" s="24" t="str">
        <f ca="1">IF($Q50="","",IF($R50=$S$1,"mm",IF($R50=$S$2,"Thanh",INDEX(TongVTSX!F$3:F$1500,$Q50))))</f>
        <v/>
      </c>
      <c r="H50" s="114">
        <f ca="1">IF($R50=$S$1,INDEX(TongVTSX!$K$3:$K$1500,$Q50),IF($R50=$S$7,INDEX(TongVTSX!$H$3:$H$1500,$Q50),IF($R50=$S$2,ROUNDUP(SUMPRODUCT((TongVTSX!$C$3:$C$1500=$D50)*(TongVTSX!$E$3:$E$1500=$F50)*(TongVTSX!$K$3:$K$1500))/$U50,0),SUMPRODUCT((TongVTSX!$C$3:$C$1500=$D50)*(TongVTSX!$E$3:$E$1500=$F50)*(TongVTSX!$K$3:$K$1500)))))</f>
        <v>0</v>
      </c>
      <c r="I50" s="114"/>
      <c r="J50" s="114"/>
      <c r="K50" s="114" t="str">
        <f ca="1">IF($Q50="","",IF($R50=$S$2,INDEX(TongVTSX!M$3:M$1500,$Q50)*$U50,   INDEX(TongVTSX!M$3:M$1500,$Q50)))</f>
        <v/>
      </c>
      <c r="L50" s="92">
        <f ca="1">IF($Q50="",0, IF($R50=$S$7,$F50*$H50*$K50,IF($R50=$S$2,$H50*$K50,    IF($H50*$K50 - SUMPRODUCT((TongVTSX!$C$3:$C$1500=$D50)*(TongVTSX!$E$3:$E$1500=$F50)*(TongVTSX!$O$3:$O$1500)) &lt;=10,$H50*$K50,"PO &lt;&gt; TongVTSX"))))</f>
        <v>0</v>
      </c>
      <c r="M50" s="114">
        <f ca="1">IF($R50=$S$1,INDEX(TongVTSX!$K$3:$K$1500,$Q50),IF($R50=$S$7,INDEX(TongVTSX!$H$3:$H$1500,$Q50),IF($R50=$S$2,SUMPRODUCT((TongVTSX!$C$3:$C$1500=$D50)*(TongVTSX!$E$3:$E$1500=$F50)*(TongVTSX!$K$3:$K$1500))/$U50,SUMPRODUCT((TongVTSX!$C$3:$C$1500=$D50)*(TongVTSX!$E$3:$E$1500=$F50)*(TongVTSX!$K$3:$K$1500)))))</f>
        <v>0</v>
      </c>
      <c r="N50" s="92">
        <f ca="1">IF($Q50="",0, IF($R50=$S$7,$F50*$M50*$K50,IF($R50=$S$2,$M50*$K50,    IF($M50*$K50 - SUMPRODUCT((TongVTSX!$C$3:$C$1500=$D50)*(TongVTSX!$E$3:$E$1500=$F50)*(TongVTSX!$O$3:$O$1500)) &lt;=10,$M50*$K50,"PO &lt;&gt; TongVTSX"))))</f>
        <v>0</v>
      </c>
      <c r="O50" s="92">
        <f t="shared" ca="1" si="2"/>
        <v>0</v>
      </c>
      <c r="P50" s="1146" t="str">
        <f ca="1">IFERROR(INDEX(NVLSX!$AA$2:$AA$6756,MATCH($D50,NVLSX!$E$2:$E$6756,0)),"")</f>
        <v/>
      </c>
      <c r="Q50" s="742" t="str">
        <f ca="1">IF($R50="","",IF($R50&lt;&gt;$R49,IF(TYPE(MATCH($R50,TongVTSX!$T$3:$T$1500,0))=16,"",MATCH($R50,TongVTSX!$T$3:$T$1500,0)),IF(TYPE(MATCH($R50,OFFSET(TongVTSX!$T$3,$Q49,0):'TongVTSX'!$T$1500,0)+$Q49)=16,"",MATCH($R50,OFFSET(TongVTSX!$T$3,$Q49,0):'TongVTSX'!$T$1500,0)+$Q49)))</f>
        <v/>
      </c>
      <c r="R50" s="179" t="str">
        <f ca="1">IFERROR(IF(COUNTIF($R$3:R49,R49)&lt; INDEX($T$1:$T$7,MATCH($R49,$S$1:$S$7,0)),$R49,INDEX($S$1:$S$7,MATCH($R49,$S$1:$S$7,0)+1)),"")</f>
        <v/>
      </c>
      <c r="S50" s="181"/>
      <c r="T50" s="182"/>
      <c r="U50" s="184" t="str">
        <f ca="1">IF($R50="PR",INDEX(NVLSX!$U$2:$U$6941,MATCH($D50,NVLSX!$E$2:$E$6941,0)),"")</f>
        <v/>
      </c>
      <c r="V50" s="184" t="str">
        <f ca="1">IF($R50="PR",INDEX(NVLSX!$S$2:$S$6941,MATCH($D50,NVLSX!$E$2:$E$6941,0))*1000,"")</f>
        <v/>
      </c>
      <c r="W50" s="776" t="str">
        <f ca="1">IF($R50="PR",INDEX(NVLSX!$S$2:$S$6941,MATCH($D50,NVLSX!$E$2:$E$6941,0))*INDEX(NVLSX!$T$2:$T$6941,MATCH($D50,NVLSX!$E$2:$E$6941,0)),"")</f>
        <v/>
      </c>
      <c r="X50" s="776">
        <f t="shared" ca="1" si="1"/>
        <v>0</v>
      </c>
      <c r="Y50" s="982" t="str">
        <f ca="1">IFERROR(INDEX(NVLSX!$X$2:$X$4655,MATCH($D50,NVLSX!$E$2:$E$4655,0)),"")</f>
        <v/>
      </c>
    </row>
    <row r="51" spans="1:25">
      <c r="A51" s="19" t="str">
        <f ca="1">IF($Q51="","",MAX($A$2:A50)+1)</f>
        <v/>
      </c>
      <c r="B51" s="1146" t="str">
        <f ca="1">IFERROR(INDEX(NVLSX!$Y$2:$Y$6756,MATCH($D51,NVLSX!$E$2:$E$6756,0)),"")</f>
        <v/>
      </c>
      <c r="C51" s="1146" t="str">
        <f ca="1">IFERROR(INDEX(NVLSX!$Z$2:$Z$6756,MATCH($D51,NVLSX!$E$2:$E$6756,0)),"")</f>
        <v/>
      </c>
      <c r="D51" s="23" t="str">
        <f ca="1">IF($Q51="","",INDEX(TongVTSX!C$3:C$1500,$Q51))</f>
        <v/>
      </c>
      <c r="E51" s="729" t="str">
        <f ca="1">IF($Q51="","",INDEX(TongVTSX!D$3:D$1500,$Q51) &amp; IF(OR($R51=$S$1,$R51=$S$7)," (" &amp; INDEX(TongVTSX!A$3:A$1500,$Q51) &amp; ")",""))</f>
        <v/>
      </c>
      <c r="F51" s="745" t="str">
        <f ca="1">IF($Q51="","",IF($R51=$S$7,INDEX(TongVTSX!$G$3:$G$1500,$Q51),INDEX(TongVTSX!$E$3:$E$1500,$Q51)))</f>
        <v/>
      </c>
      <c r="G51" s="24" t="str">
        <f ca="1">IF($Q51="","",IF($R51=$S$1,"mm",IF($R51=$S$2,"Thanh",INDEX(TongVTSX!F$3:F$1500,$Q51))))</f>
        <v/>
      </c>
      <c r="H51" s="114">
        <f ca="1">IF($R51=$S$1,INDEX(TongVTSX!$K$3:$K$1500,$Q51),IF($R51=$S$7,INDEX(TongVTSX!$H$3:$H$1500,$Q51),IF($R51=$S$2,ROUNDUP(SUMPRODUCT((TongVTSX!$C$3:$C$1500=$D51)*(TongVTSX!$E$3:$E$1500=$F51)*(TongVTSX!$K$3:$K$1500))/$U51,0),SUMPRODUCT((TongVTSX!$C$3:$C$1500=$D51)*(TongVTSX!$E$3:$E$1500=$F51)*(TongVTSX!$K$3:$K$1500)))))</f>
        <v>0</v>
      </c>
      <c r="I51" s="114"/>
      <c r="J51" s="114"/>
      <c r="K51" s="114" t="str">
        <f ca="1">IF($Q51="","",IF($R51=$S$2,INDEX(TongVTSX!M$3:M$1500,$Q51)*$U51,   INDEX(TongVTSX!M$3:M$1500,$Q51)))</f>
        <v/>
      </c>
      <c r="L51" s="92">
        <f ca="1">IF($Q51="",0, IF($R51=$S$7,$F51*$H51*$K51,IF($R51=$S$2,$H51*$K51,    IF($H51*$K51 - SUMPRODUCT((TongVTSX!$C$3:$C$1500=$D51)*(TongVTSX!$E$3:$E$1500=$F51)*(TongVTSX!$O$3:$O$1500)) &lt;=10,$H51*$K51,"PO &lt;&gt; TongVTSX"))))</f>
        <v>0</v>
      </c>
      <c r="M51" s="114">
        <f ca="1">IF($R51=$S$1,INDEX(TongVTSX!$K$3:$K$1500,$Q51),IF($R51=$S$7,INDEX(TongVTSX!$H$3:$H$1500,$Q51),IF($R51=$S$2,SUMPRODUCT((TongVTSX!$C$3:$C$1500=$D51)*(TongVTSX!$E$3:$E$1500=$F51)*(TongVTSX!$K$3:$K$1500))/$U51,SUMPRODUCT((TongVTSX!$C$3:$C$1500=$D51)*(TongVTSX!$E$3:$E$1500=$F51)*(TongVTSX!$K$3:$K$1500)))))</f>
        <v>0</v>
      </c>
      <c r="N51" s="92">
        <f ca="1">IF($Q51="",0, IF($R51=$S$7,$F51*$M51*$K51,IF($R51=$S$2,$M51*$K51,    IF($M51*$K51 - SUMPRODUCT((TongVTSX!$C$3:$C$1500=$D51)*(TongVTSX!$E$3:$E$1500=$F51)*(TongVTSX!$O$3:$O$1500)) &lt;=10,$M51*$K51,"PO &lt;&gt; TongVTSX"))))</f>
        <v>0</v>
      </c>
      <c r="O51" s="92">
        <f t="shared" ca="1" si="2"/>
        <v>0</v>
      </c>
      <c r="P51" s="1146" t="str">
        <f ca="1">IFERROR(INDEX(NVLSX!$AA$2:$AA$6756,MATCH($D51,NVLSX!$E$2:$E$6756,0)),"")</f>
        <v/>
      </c>
      <c r="Q51" s="742" t="str">
        <f ca="1">IF($R51="","",IF($R51&lt;&gt;$R50,IF(TYPE(MATCH($R51,TongVTSX!$T$3:$T$1500,0))=16,"",MATCH($R51,TongVTSX!$T$3:$T$1500,0)),IF(TYPE(MATCH($R51,OFFSET(TongVTSX!$T$3,$Q50,0):'TongVTSX'!$T$1500,0)+$Q50)=16,"",MATCH($R51,OFFSET(TongVTSX!$T$3,$Q50,0):'TongVTSX'!$T$1500,0)+$Q50)))</f>
        <v/>
      </c>
      <c r="R51" s="179" t="str">
        <f ca="1">IFERROR(IF(COUNTIF($R$3:R50,R50)&lt; INDEX($T$1:$T$7,MATCH($R50,$S$1:$S$7,0)),$R50,INDEX($S$1:$S$7,MATCH($R50,$S$1:$S$7,0)+1)),"")</f>
        <v/>
      </c>
      <c r="S51" s="181"/>
      <c r="T51" s="182"/>
      <c r="U51" s="184" t="str">
        <f ca="1">IF($R51="PR",INDEX(NVLSX!$U$2:$U$6941,MATCH($D51,NVLSX!$E$2:$E$6941,0)),"")</f>
        <v/>
      </c>
      <c r="V51" s="184" t="str">
        <f ca="1">IF($R51="PR",INDEX(NVLSX!$S$2:$S$6941,MATCH($D51,NVLSX!$E$2:$E$6941,0))*1000,"")</f>
        <v/>
      </c>
      <c r="W51" s="776" t="str">
        <f ca="1">IF($R51="PR",INDEX(NVLSX!$S$2:$S$6941,MATCH($D51,NVLSX!$E$2:$E$6941,0))*INDEX(NVLSX!$T$2:$T$6941,MATCH($D51,NVLSX!$E$2:$E$6941,0)),"")</f>
        <v/>
      </c>
      <c r="X51" s="776">
        <f t="shared" ca="1" si="1"/>
        <v>0</v>
      </c>
      <c r="Y51" s="982" t="str">
        <f ca="1">IFERROR(INDEX(NVLSX!$X$2:$X$4655,MATCH($D51,NVLSX!$E$2:$E$4655,0)),"")</f>
        <v/>
      </c>
    </row>
    <row r="52" spans="1:25">
      <c r="A52" s="19" t="str">
        <f ca="1">IF($Q52="","",MAX($A$2:A51)+1)</f>
        <v/>
      </c>
      <c r="B52" s="1146" t="str">
        <f ca="1">IFERROR(INDEX(NVLSX!$Y$2:$Y$6756,MATCH($D52,NVLSX!$E$2:$E$6756,0)),"")</f>
        <v/>
      </c>
      <c r="C52" s="1146" t="str">
        <f ca="1">IFERROR(INDEX(NVLSX!$Z$2:$Z$6756,MATCH($D52,NVLSX!$E$2:$E$6756,0)),"")</f>
        <v/>
      </c>
      <c r="D52" s="23" t="str">
        <f ca="1">IF($Q52="","",INDEX(TongVTSX!C$3:C$1500,$Q52))</f>
        <v/>
      </c>
      <c r="E52" s="729" t="str">
        <f ca="1">IF($Q52="","",INDEX(TongVTSX!D$3:D$1500,$Q52) &amp; IF(OR($R52=$S$1,$R52=$S$7)," (" &amp; INDEX(TongVTSX!A$3:A$1500,$Q52) &amp; ")",""))</f>
        <v/>
      </c>
      <c r="F52" s="745" t="str">
        <f ca="1">IF($Q52="","",IF($R52=$S$7,INDEX(TongVTSX!$G$3:$G$1500,$Q52),INDEX(TongVTSX!$E$3:$E$1500,$Q52)))</f>
        <v/>
      </c>
      <c r="G52" s="24" t="str">
        <f ca="1">IF($Q52="","",IF($R52=$S$1,"mm",IF($R52=$S$2,"Thanh",INDEX(TongVTSX!F$3:F$1500,$Q52))))</f>
        <v/>
      </c>
      <c r="H52" s="114">
        <f ca="1">IF($R52=$S$1,INDEX(TongVTSX!$K$3:$K$1500,$Q52),IF($R52=$S$7,INDEX(TongVTSX!$H$3:$H$1500,$Q52),IF($R52=$S$2,ROUNDUP(SUMPRODUCT((TongVTSX!$C$3:$C$1500=$D52)*(TongVTSX!$E$3:$E$1500=$F52)*(TongVTSX!$K$3:$K$1500))/$U52,0),SUMPRODUCT((TongVTSX!$C$3:$C$1500=$D52)*(TongVTSX!$E$3:$E$1500=$F52)*(TongVTSX!$K$3:$K$1500)))))</f>
        <v>0</v>
      </c>
      <c r="I52" s="114"/>
      <c r="J52" s="114"/>
      <c r="K52" s="114" t="str">
        <f ca="1">IF($Q52="","",IF($R52=$S$2,INDEX(TongVTSX!M$3:M$1500,$Q52)*$U52,   INDEX(TongVTSX!M$3:M$1500,$Q52)))</f>
        <v/>
      </c>
      <c r="L52" s="92">
        <f ca="1">IF($Q52="",0, IF($R52=$S$7,$F52*$H52*$K52,IF($R52=$S$2,$H52*$K52,    IF($H52*$K52 - SUMPRODUCT((TongVTSX!$C$3:$C$1500=$D52)*(TongVTSX!$E$3:$E$1500=$F52)*(TongVTSX!$O$3:$O$1500)) &lt;=10,$H52*$K52,"PO &lt;&gt; TongVTSX"))))</f>
        <v>0</v>
      </c>
      <c r="M52" s="114">
        <f ca="1">IF($R52=$S$1,INDEX(TongVTSX!$K$3:$K$1500,$Q52),IF($R52=$S$7,INDEX(TongVTSX!$H$3:$H$1500,$Q52),IF($R52=$S$2,SUMPRODUCT((TongVTSX!$C$3:$C$1500=$D52)*(TongVTSX!$E$3:$E$1500=$F52)*(TongVTSX!$K$3:$K$1500))/$U52,SUMPRODUCT((TongVTSX!$C$3:$C$1500=$D52)*(TongVTSX!$E$3:$E$1500=$F52)*(TongVTSX!$K$3:$K$1500)))))</f>
        <v>0</v>
      </c>
      <c r="N52" s="92">
        <f ca="1">IF($Q52="",0, IF($R52=$S$7,$F52*$M52*$K52,IF($R52=$S$2,$M52*$K52,    IF($M52*$K52 - SUMPRODUCT((TongVTSX!$C$3:$C$1500=$D52)*(TongVTSX!$E$3:$E$1500=$F52)*(TongVTSX!$O$3:$O$1500)) &lt;=10,$M52*$K52,"PO &lt;&gt; TongVTSX"))))</f>
        <v>0</v>
      </c>
      <c r="O52" s="92">
        <f t="shared" ca="1" si="2"/>
        <v>0</v>
      </c>
      <c r="P52" s="1146" t="str">
        <f ca="1">IFERROR(INDEX(NVLSX!$AA$2:$AA$6756,MATCH($D52,NVLSX!$E$2:$E$6756,0)),"")</f>
        <v/>
      </c>
      <c r="Q52" s="742" t="str">
        <f ca="1">IF($R52="","",IF($R52&lt;&gt;$R51,IF(TYPE(MATCH($R52,TongVTSX!$T$3:$T$1500,0))=16,"",MATCH($R52,TongVTSX!$T$3:$T$1500,0)),IF(TYPE(MATCH($R52,OFFSET(TongVTSX!$T$3,$Q51,0):'TongVTSX'!$T$1500,0)+$Q51)=16,"",MATCH($R52,OFFSET(TongVTSX!$T$3,$Q51,0):'TongVTSX'!$T$1500,0)+$Q51)))</f>
        <v/>
      </c>
      <c r="R52" s="179" t="str">
        <f ca="1">IFERROR(IF(COUNTIF($R$3:R51,R51)&lt; INDEX($T$1:$T$7,MATCH($R51,$S$1:$S$7,0)),$R51,INDEX($S$1:$S$7,MATCH($R51,$S$1:$S$7,0)+1)),"")</f>
        <v/>
      </c>
      <c r="S52" s="181"/>
      <c r="T52" s="182"/>
      <c r="U52" s="184" t="str">
        <f ca="1">IF($R52="PR",INDEX(NVLSX!$U$2:$U$6941,MATCH($D52,NVLSX!$E$2:$E$6941,0)),"")</f>
        <v/>
      </c>
      <c r="V52" s="184" t="str">
        <f ca="1">IF($R52="PR",INDEX(NVLSX!$S$2:$S$6941,MATCH($D52,NVLSX!$E$2:$E$6941,0))*1000,"")</f>
        <v/>
      </c>
      <c r="W52" s="776" t="str">
        <f ca="1">IF($R52="PR",INDEX(NVLSX!$S$2:$S$6941,MATCH($D52,NVLSX!$E$2:$E$6941,0))*INDEX(NVLSX!$T$2:$T$6941,MATCH($D52,NVLSX!$E$2:$E$6941,0)),"")</f>
        <v/>
      </c>
      <c r="X52" s="776">
        <f t="shared" ca="1" si="1"/>
        <v>0</v>
      </c>
      <c r="Y52" s="982" t="str">
        <f ca="1">IFERROR(INDEX(NVLSX!$X$2:$X$4655,MATCH($D52,NVLSX!$E$2:$E$4655,0)),"")</f>
        <v/>
      </c>
    </row>
    <row r="53" spans="1:25">
      <c r="A53" s="19" t="str">
        <f ca="1">IF($Q53="","",MAX($A$2:A52)+1)</f>
        <v/>
      </c>
      <c r="B53" s="1146" t="str">
        <f ca="1">IFERROR(INDEX(NVLSX!$Y$2:$Y$6756,MATCH($D53,NVLSX!$E$2:$E$6756,0)),"")</f>
        <v/>
      </c>
      <c r="C53" s="1146" t="str">
        <f ca="1">IFERROR(INDEX(NVLSX!$Z$2:$Z$6756,MATCH($D53,NVLSX!$E$2:$E$6756,0)),"")</f>
        <v/>
      </c>
      <c r="D53" s="23" t="str">
        <f ca="1">IF($Q53="","",INDEX(TongVTSX!C$3:C$1500,$Q53))</f>
        <v/>
      </c>
      <c r="E53" s="729" t="str">
        <f ca="1">IF($Q53="","",INDEX(TongVTSX!D$3:D$1500,$Q53) &amp; IF(OR($R53=$S$1,$R53=$S$7)," (" &amp; INDEX(TongVTSX!A$3:A$1500,$Q53) &amp; ")",""))</f>
        <v/>
      </c>
      <c r="F53" s="745" t="str">
        <f ca="1">IF($Q53="","",IF($R53=$S$7,INDEX(TongVTSX!$G$3:$G$1500,$Q53),INDEX(TongVTSX!$E$3:$E$1500,$Q53)))</f>
        <v/>
      </c>
      <c r="G53" s="24" t="str">
        <f ca="1">IF($Q53="","",IF($R53=$S$1,"mm",IF($R53=$S$2,"Thanh",INDEX(TongVTSX!F$3:F$1500,$Q53))))</f>
        <v/>
      </c>
      <c r="H53" s="114">
        <f ca="1">IF($R53=$S$1,INDEX(TongVTSX!$K$3:$K$1500,$Q53),IF($R53=$S$7,INDEX(TongVTSX!$H$3:$H$1500,$Q53),IF($R53=$S$2,ROUNDUP(SUMPRODUCT((TongVTSX!$C$3:$C$1500=$D53)*(TongVTSX!$E$3:$E$1500=$F53)*(TongVTSX!$K$3:$K$1500))/$U53,0),SUMPRODUCT((TongVTSX!$C$3:$C$1500=$D53)*(TongVTSX!$E$3:$E$1500=$F53)*(TongVTSX!$K$3:$K$1500)))))</f>
        <v>0</v>
      </c>
      <c r="I53" s="114"/>
      <c r="J53" s="114"/>
      <c r="K53" s="114" t="str">
        <f ca="1">IF($Q53="","",IF($R53=$S$2,INDEX(TongVTSX!M$3:M$1500,$Q53)*$U53,   INDEX(TongVTSX!M$3:M$1500,$Q53)))</f>
        <v/>
      </c>
      <c r="L53" s="92">
        <f ca="1">IF($Q53="",0, IF($R53=$S$7,$F53*$H53*$K53,IF($R53=$S$2,$H53*$K53,    IF($H53*$K53 - SUMPRODUCT((TongVTSX!$C$3:$C$1500=$D53)*(TongVTSX!$E$3:$E$1500=$F53)*(TongVTSX!$O$3:$O$1500)) &lt;=10,$H53*$K53,"PO &lt;&gt; TongVTSX"))))</f>
        <v>0</v>
      </c>
      <c r="M53" s="114">
        <f ca="1">IF($R53=$S$1,INDEX(TongVTSX!$K$3:$K$1500,$Q53),IF($R53=$S$7,INDEX(TongVTSX!$H$3:$H$1500,$Q53),IF($R53=$S$2,SUMPRODUCT((TongVTSX!$C$3:$C$1500=$D53)*(TongVTSX!$E$3:$E$1500=$F53)*(TongVTSX!$K$3:$K$1500))/$U53,SUMPRODUCT((TongVTSX!$C$3:$C$1500=$D53)*(TongVTSX!$E$3:$E$1500=$F53)*(TongVTSX!$K$3:$K$1500)))))</f>
        <v>0</v>
      </c>
      <c r="N53" s="92">
        <f ca="1">IF($Q53="",0, IF($R53=$S$7,$F53*$M53*$K53,IF($R53=$S$2,$M53*$K53,    IF($M53*$K53 - SUMPRODUCT((TongVTSX!$C$3:$C$1500=$D53)*(TongVTSX!$E$3:$E$1500=$F53)*(TongVTSX!$O$3:$O$1500)) &lt;=10,$M53*$K53,"PO &lt;&gt; TongVTSX"))))</f>
        <v>0</v>
      </c>
      <c r="O53" s="92">
        <f t="shared" ca="1" si="2"/>
        <v>0</v>
      </c>
      <c r="P53" s="1146" t="str">
        <f ca="1">IFERROR(INDEX(NVLSX!$AA$2:$AA$6756,MATCH($D53,NVLSX!$E$2:$E$6756,0)),"")</f>
        <v/>
      </c>
      <c r="Q53" s="742" t="str">
        <f ca="1">IF($R53="","",IF($R53&lt;&gt;$R52,IF(TYPE(MATCH($R53,TongVTSX!$T$3:$T$1500,0))=16,"",MATCH($R53,TongVTSX!$T$3:$T$1500,0)),IF(TYPE(MATCH($R53,OFFSET(TongVTSX!$T$3,$Q52,0):'TongVTSX'!$T$1500,0)+$Q52)=16,"",MATCH($R53,OFFSET(TongVTSX!$T$3,$Q52,0):'TongVTSX'!$T$1500,0)+$Q52)))</f>
        <v/>
      </c>
      <c r="R53" s="179" t="str">
        <f ca="1">IFERROR(IF(COUNTIF($R$3:R52,R52)&lt; INDEX($T$1:$T$7,MATCH($R52,$S$1:$S$7,0)),$R52,INDEX($S$1:$S$7,MATCH($R52,$S$1:$S$7,0)+1)),"")</f>
        <v/>
      </c>
      <c r="S53" s="181"/>
      <c r="T53" s="182"/>
      <c r="U53" s="184" t="str">
        <f ca="1">IF($R53="PR",INDEX(NVLSX!$U$2:$U$6941,MATCH($D53,NVLSX!$E$2:$E$6941,0)),"")</f>
        <v/>
      </c>
      <c r="V53" s="184" t="str">
        <f ca="1">IF($R53="PR",INDEX(NVLSX!$S$2:$S$6941,MATCH($D53,NVLSX!$E$2:$E$6941,0))*1000,"")</f>
        <v/>
      </c>
      <c r="W53" s="776" t="str">
        <f ca="1">IF($R53="PR",INDEX(NVLSX!$S$2:$S$6941,MATCH($D53,NVLSX!$E$2:$E$6941,0))*INDEX(NVLSX!$T$2:$T$6941,MATCH($D53,NVLSX!$E$2:$E$6941,0)),"")</f>
        <v/>
      </c>
      <c r="X53" s="776">
        <f t="shared" ca="1" si="1"/>
        <v>0</v>
      </c>
      <c r="Y53" s="982" t="str">
        <f ca="1">IFERROR(INDEX(NVLSX!$X$2:$X$4655,MATCH($D53,NVLSX!$E$2:$E$4655,0)),"")</f>
        <v/>
      </c>
    </row>
    <row r="54" spans="1:25">
      <c r="A54" s="19" t="str">
        <f ca="1">IF($Q54="","",MAX($A$2:A53)+1)</f>
        <v/>
      </c>
      <c r="B54" s="1146" t="str">
        <f ca="1">IFERROR(INDEX(NVLSX!$Y$2:$Y$6756,MATCH($D54,NVLSX!$E$2:$E$6756,0)),"")</f>
        <v/>
      </c>
      <c r="C54" s="1146" t="str">
        <f ca="1">IFERROR(INDEX(NVLSX!$Z$2:$Z$6756,MATCH($D54,NVLSX!$E$2:$E$6756,0)),"")</f>
        <v/>
      </c>
      <c r="D54" s="23" t="str">
        <f ca="1">IF($Q54="","",INDEX(TongVTSX!C$3:C$1500,$Q54))</f>
        <v/>
      </c>
      <c r="E54" s="729" t="str">
        <f ca="1">IF($Q54="","",INDEX(TongVTSX!D$3:D$1500,$Q54) &amp; IF(OR($R54=$S$1,$R54=$S$7)," (" &amp; INDEX(TongVTSX!A$3:A$1500,$Q54) &amp; ")",""))</f>
        <v/>
      </c>
      <c r="F54" s="745" t="str">
        <f ca="1">IF($Q54="","",IF($R54=$S$7,INDEX(TongVTSX!$G$3:$G$1500,$Q54),INDEX(TongVTSX!$E$3:$E$1500,$Q54)))</f>
        <v/>
      </c>
      <c r="G54" s="24" t="str">
        <f ca="1">IF($Q54="","",IF($R54=$S$1,"mm",IF($R54=$S$2,"Thanh",INDEX(TongVTSX!F$3:F$1500,$Q54))))</f>
        <v/>
      </c>
      <c r="H54" s="114">
        <f ca="1">IF($R54=$S$1,INDEX(TongVTSX!$K$3:$K$1500,$Q54),IF($R54=$S$7,INDEX(TongVTSX!$H$3:$H$1500,$Q54),IF($R54=$S$2,ROUNDUP(SUMPRODUCT((TongVTSX!$C$3:$C$1500=$D54)*(TongVTSX!$E$3:$E$1500=$F54)*(TongVTSX!$K$3:$K$1500))/$U54,0),SUMPRODUCT((TongVTSX!$C$3:$C$1500=$D54)*(TongVTSX!$E$3:$E$1500=$F54)*(TongVTSX!$K$3:$K$1500)))))</f>
        <v>0</v>
      </c>
      <c r="I54" s="114"/>
      <c r="J54" s="114"/>
      <c r="K54" s="114" t="str">
        <f ca="1">IF($Q54="","",IF($R54=$S$2,INDEX(TongVTSX!M$3:M$1500,$Q54)*$U54,   INDEX(TongVTSX!M$3:M$1500,$Q54)))</f>
        <v/>
      </c>
      <c r="L54" s="92">
        <f ca="1">IF($Q54="",0, IF($R54=$S$7,$F54*$H54*$K54,IF($R54=$S$2,$H54*$K54,    IF($H54*$K54 - SUMPRODUCT((TongVTSX!$C$3:$C$1500=$D54)*(TongVTSX!$E$3:$E$1500=$F54)*(TongVTSX!$O$3:$O$1500)) &lt;=10,$H54*$K54,"PO &lt;&gt; TongVTSX"))))</f>
        <v>0</v>
      </c>
      <c r="M54" s="114">
        <f ca="1">IF($R54=$S$1,INDEX(TongVTSX!$K$3:$K$1500,$Q54),IF($R54=$S$7,INDEX(TongVTSX!$H$3:$H$1500,$Q54),IF($R54=$S$2,SUMPRODUCT((TongVTSX!$C$3:$C$1500=$D54)*(TongVTSX!$E$3:$E$1500=$F54)*(TongVTSX!$K$3:$K$1500))/$U54,SUMPRODUCT((TongVTSX!$C$3:$C$1500=$D54)*(TongVTSX!$E$3:$E$1500=$F54)*(TongVTSX!$K$3:$K$1500)))))</f>
        <v>0</v>
      </c>
      <c r="N54" s="92">
        <f ca="1">IF($Q54="",0, IF($R54=$S$7,$F54*$M54*$K54,IF($R54=$S$2,$M54*$K54,    IF($M54*$K54 - SUMPRODUCT((TongVTSX!$C$3:$C$1500=$D54)*(TongVTSX!$E$3:$E$1500=$F54)*(TongVTSX!$O$3:$O$1500)) &lt;=10,$M54*$K54,"PO &lt;&gt; TongVTSX"))))</f>
        <v>0</v>
      </c>
      <c r="O54" s="92">
        <f t="shared" ca="1" si="2"/>
        <v>0</v>
      </c>
      <c r="P54" s="1146" t="str">
        <f ca="1">IFERROR(INDEX(NVLSX!$AA$2:$AA$6756,MATCH($D54,NVLSX!$E$2:$E$6756,0)),"")</f>
        <v/>
      </c>
      <c r="Q54" s="742" t="str">
        <f ca="1">IF($R54="","",IF($R54&lt;&gt;$R53,IF(TYPE(MATCH($R54,TongVTSX!$T$3:$T$1500,0))=16,"",MATCH($R54,TongVTSX!$T$3:$T$1500,0)),IF(TYPE(MATCH($R54,OFFSET(TongVTSX!$T$3,$Q53,0):'TongVTSX'!$T$1500,0)+$Q53)=16,"",MATCH($R54,OFFSET(TongVTSX!$T$3,$Q53,0):'TongVTSX'!$T$1500,0)+$Q53)))</f>
        <v/>
      </c>
      <c r="R54" s="179" t="str">
        <f ca="1">IFERROR(IF(COUNTIF($R$3:R53,R53)&lt; INDEX($T$1:$T$7,MATCH($R53,$S$1:$S$7,0)),$R53,INDEX($S$1:$S$7,MATCH($R53,$S$1:$S$7,0)+1)),"")</f>
        <v/>
      </c>
      <c r="S54" s="181"/>
      <c r="T54" s="182"/>
      <c r="U54" s="184" t="str">
        <f ca="1">IF($R54="PR",INDEX(NVLSX!$U$2:$U$6941,MATCH($D54,NVLSX!$E$2:$E$6941,0)),"")</f>
        <v/>
      </c>
      <c r="V54" s="184" t="str">
        <f ca="1">IF($R54="PR",INDEX(NVLSX!$S$2:$S$6941,MATCH($D54,NVLSX!$E$2:$E$6941,0))*1000,"")</f>
        <v/>
      </c>
      <c r="W54" s="776" t="str">
        <f ca="1">IF($R54="PR",INDEX(NVLSX!$S$2:$S$6941,MATCH($D54,NVLSX!$E$2:$E$6941,0))*INDEX(NVLSX!$T$2:$T$6941,MATCH($D54,NVLSX!$E$2:$E$6941,0)),"")</f>
        <v/>
      </c>
      <c r="X54" s="776">
        <f t="shared" ca="1" si="1"/>
        <v>0</v>
      </c>
      <c r="Y54" s="982" t="str">
        <f ca="1">IFERROR(INDEX(NVLSX!$X$2:$X$4655,MATCH($D54,NVLSX!$E$2:$E$4655,0)),"")</f>
        <v/>
      </c>
    </row>
    <row r="55" spans="1:25">
      <c r="A55" s="19" t="str">
        <f ca="1">IF($Q55="","",MAX($A$2:A54)+1)</f>
        <v/>
      </c>
      <c r="B55" s="1146" t="str">
        <f ca="1">IFERROR(INDEX(NVLSX!$Y$2:$Y$6756,MATCH($D55,NVLSX!$E$2:$E$6756,0)),"")</f>
        <v/>
      </c>
      <c r="C55" s="1146" t="str">
        <f ca="1">IFERROR(INDEX(NVLSX!$Z$2:$Z$6756,MATCH($D55,NVLSX!$E$2:$E$6756,0)),"")</f>
        <v/>
      </c>
      <c r="D55" s="23" t="str">
        <f ca="1">IF($Q55="","",INDEX(TongVTSX!C$3:C$1500,$Q55))</f>
        <v/>
      </c>
      <c r="E55" s="729" t="str">
        <f ca="1">IF($Q55="","",INDEX(TongVTSX!D$3:D$1500,$Q55) &amp; IF(OR($R55=$S$1,$R55=$S$7)," (" &amp; INDEX(TongVTSX!A$3:A$1500,$Q55) &amp; ")",""))</f>
        <v/>
      </c>
      <c r="F55" s="745" t="str">
        <f ca="1">IF($Q55="","",IF($R55=$S$7,INDEX(TongVTSX!$G$3:$G$1500,$Q55),INDEX(TongVTSX!$E$3:$E$1500,$Q55)))</f>
        <v/>
      </c>
      <c r="G55" s="24" t="str">
        <f ca="1">IF($Q55="","",IF($R55=$S$1,"mm",IF($R55=$S$2,"Thanh",INDEX(TongVTSX!F$3:F$1500,$Q55))))</f>
        <v/>
      </c>
      <c r="H55" s="114">
        <f ca="1">IF($R55=$S$1,INDEX(TongVTSX!$K$3:$K$1500,$Q55),IF($R55=$S$7,INDEX(TongVTSX!$H$3:$H$1500,$Q55),IF($R55=$S$2,ROUNDUP(SUMPRODUCT((TongVTSX!$C$3:$C$1500=$D55)*(TongVTSX!$E$3:$E$1500=$F55)*(TongVTSX!$K$3:$K$1500))/$U55,0),SUMPRODUCT((TongVTSX!$C$3:$C$1500=$D55)*(TongVTSX!$E$3:$E$1500=$F55)*(TongVTSX!$K$3:$K$1500)))))</f>
        <v>0</v>
      </c>
      <c r="I55" s="114"/>
      <c r="J55" s="114"/>
      <c r="K55" s="114" t="str">
        <f ca="1">IF($Q55="","",IF($R55=$S$2,INDEX(TongVTSX!M$3:M$1500,$Q55)*$U55,   INDEX(TongVTSX!M$3:M$1500,$Q55)))</f>
        <v/>
      </c>
      <c r="L55" s="92">
        <f ca="1">IF($Q55="",0, IF($R55=$S$7,$F55*$H55*$K55,IF($R55=$S$2,$H55*$K55,    IF($H55*$K55 - SUMPRODUCT((TongVTSX!$C$3:$C$1500=$D55)*(TongVTSX!$E$3:$E$1500=$F55)*(TongVTSX!$O$3:$O$1500)) &lt;=10,$H55*$K55,"PO &lt;&gt; TongVTSX"))))</f>
        <v>0</v>
      </c>
      <c r="M55" s="114">
        <f ca="1">IF($R55=$S$1,INDEX(TongVTSX!$K$3:$K$1500,$Q55),IF($R55=$S$7,INDEX(TongVTSX!$H$3:$H$1500,$Q55),IF($R55=$S$2,SUMPRODUCT((TongVTSX!$C$3:$C$1500=$D55)*(TongVTSX!$E$3:$E$1500=$F55)*(TongVTSX!$K$3:$K$1500))/$U55,SUMPRODUCT((TongVTSX!$C$3:$C$1500=$D55)*(TongVTSX!$E$3:$E$1500=$F55)*(TongVTSX!$K$3:$K$1500)))))</f>
        <v>0</v>
      </c>
      <c r="N55" s="92">
        <f ca="1">IF($Q55="",0, IF($R55=$S$7,$F55*$M55*$K55,IF($R55=$S$2,$M55*$K55,    IF($M55*$K55 - SUMPRODUCT((TongVTSX!$C$3:$C$1500=$D55)*(TongVTSX!$E$3:$E$1500=$F55)*(TongVTSX!$O$3:$O$1500)) &lt;=10,$M55*$K55,"PO &lt;&gt; TongVTSX"))))</f>
        <v>0</v>
      </c>
      <c r="O55" s="92">
        <f t="shared" ca="1" si="2"/>
        <v>0</v>
      </c>
      <c r="P55" s="1146" t="str">
        <f ca="1">IFERROR(INDEX(NVLSX!$AA$2:$AA$6756,MATCH($D55,NVLSX!$E$2:$E$6756,0)),"")</f>
        <v/>
      </c>
      <c r="Q55" s="742" t="str">
        <f ca="1">IF($R55="","",IF($R55&lt;&gt;$R54,IF(TYPE(MATCH($R55,TongVTSX!$T$3:$T$1500,0))=16,"",MATCH($R55,TongVTSX!$T$3:$T$1500,0)),IF(TYPE(MATCH($R55,OFFSET(TongVTSX!$T$3,$Q54,0):'TongVTSX'!$T$1500,0)+$Q54)=16,"",MATCH($R55,OFFSET(TongVTSX!$T$3,$Q54,0):'TongVTSX'!$T$1500,0)+$Q54)))</f>
        <v/>
      </c>
      <c r="R55" s="179" t="str">
        <f ca="1">IFERROR(IF(COUNTIF($R$3:R54,R54)&lt; INDEX($T$1:$T$7,MATCH($R54,$S$1:$S$7,0)),$R54,INDEX($S$1:$S$7,MATCH($R54,$S$1:$S$7,0)+1)),"")</f>
        <v/>
      </c>
      <c r="S55" s="181"/>
      <c r="T55" s="182"/>
      <c r="U55" s="184" t="str">
        <f ca="1">IF($R55="PR",INDEX(NVLSX!$U$2:$U$6941,MATCH($D55,NVLSX!$E$2:$E$6941,0)),"")</f>
        <v/>
      </c>
      <c r="V55" s="184" t="str">
        <f ca="1">IF($R55="PR",INDEX(NVLSX!$S$2:$S$6941,MATCH($D55,NVLSX!$E$2:$E$6941,0))*1000,"")</f>
        <v/>
      </c>
      <c r="W55" s="776" t="str">
        <f ca="1">IF($R55="PR",INDEX(NVLSX!$S$2:$S$6941,MATCH($D55,NVLSX!$E$2:$E$6941,0))*INDEX(NVLSX!$T$2:$T$6941,MATCH($D55,NVLSX!$E$2:$E$6941,0)),"")</f>
        <v/>
      </c>
      <c r="X55" s="776">
        <f t="shared" ca="1" si="1"/>
        <v>0</v>
      </c>
      <c r="Y55" s="982" t="str">
        <f ca="1">IFERROR(INDEX(NVLSX!$X$2:$X$4655,MATCH($D55,NVLSX!$E$2:$E$4655,0)),"")</f>
        <v/>
      </c>
    </row>
    <row r="56" spans="1:25">
      <c r="A56" s="19" t="str">
        <f ca="1">IF($Q56="","",MAX($A$2:A55)+1)</f>
        <v/>
      </c>
      <c r="B56" s="1146" t="str">
        <f ca="1">IFERROR(INDEX(NVLSX!$Y$2:$Y$6756,MATCH($D56,NVLSX!$E$2:$E$6756,0)),"")</f>
        <v/>
      </c>
      <c r="C56" s="1146" t="str">
        <f ca="1">IFERROR(INDEX(NVLSX!$Z$2:$Z$6756,MATCH($D56,NVLSX!$E$2:$E$6756,0)),"")</f>
        <v/>
      </c>
      <c r="D56" s="23" t="str">
        <f ca="1">IF($Q56="","",INDEX(TongVTSX!C$3:C$1500,$Q56))</f>
        <v/>
      </c>
      <c r="E56" s="729" t="str">
        <f ca="1">IF($Q56="","",INDEX(TongVTSX!D$3:D$1500,$Q56) &amp; IF(OR($R56=$S$1,$R56=$S$7)," (" &amp; INDEX(TongVTSX!A$3:A$1500,$Q56) &amp; ")",""))</f>
        <v/>
      </c>
      <c r="F56" s="745" t="str">
        <f ca="1">IF($Q56="","",IF($R56=$S$7,INDEX(TongVTSX!$G$3:$G$1500,$Q56),INDEX(TongVTSX!$E$3:$E$1500,$Q56)))</f>
        <v/>
      </c>
      <c r="G56" s="24" t="str">
        <f ca="1">IF($Q56="","",IF($R56=$S$1,"mm",IF($R56=$S$2,"Thanh",INDEX(TongVTSX!F$3:F$1500,$Q56))))</f>
        <v/>
      </c>
      <c r="H56" s="114">
        <f ca="1">IF($R56=$S$1,INDEX(TongVTSX!$K$3:$K$1500,$Q56),IF($R56=$S$7,INDEX(TongVTSX!$H$3:$H$1500,$Q56),IF($R56=$S$2,ROUNDUP(SUMPRODUCT((TongVTSX!$C$3:$C$1500=$D56)*(TongVTSX!$E$3:$E$1500=$F56)*(TongVTSX!$K$3:$K$1500))/$U56,0),SUMPRODUCT((TongVTSX!$C$3:$C$1500=$D56)*(TongVTSX!$E$3:$E$1500=$F56)*(TongVTSX!$K$3:$K$1500)))))</f>
        <v>0</v>
      </c>
      <c r="I56" s="114"/>
      <c r="J56" s="114"/>
      <c r="K56" s="114" t="str">
        <f ca="1">IF($Q56="","",IF($R56=$S$2,INDEX(TongVTSX!M$3:M$1500,$Q56)*$U56,   INDEX(TongVTSX!M$3:M$1500,$Q56)))</f>
        <v/>
      </c>
      <c r="L56" s="92">
        <f ca="1">IF($Q56="",0, IF($R56=$S$7,$F56*$H56*$K56,IF($R56=$S$2,$H56*$K56,    IF($H56*$K56 - SUMPRODUCT((TongVTSX!$C$3:$C$1500=$D56)*(TongVTSX!$E$3:$E$1500=$F56)*(TongVTSX!$O$3:$O$1500)) &lt;=10,$H56*$K56,"PO &lt;&gt; TongVTSX"))))</f>
        <v>0</v>
      </c>
      <c r="M56" s="114">
        <f ca="1">IF($R56=$S$1,INDEX(TongVTSX!$K$3:$K$1500,$Q56),IF($R56=$S$7,INDEX(TongVTSX!$H$3:$H$1500,$Q56),IF($R56=$S$2,SUMPRODUCT((TongVTSX!$C$3:$C$1500=$D56)*(TongVTSX!$E$3:$E$1500=$F56)*(TongVTSX!$K$3:$K$1500))/$U56,SUMPRODUCT((TongVTSX!$C$3:$C$1500=$D56)*(TongVTSX!$E$3:$E$1500=$F56)*(TongVTSX!$K$3:$K$1500)))))</f>
        <v>0</v>
      </c>
      <c r="N56" s="92">
        <f ca="1">IF($Q56="",0, IF($R56=$S$7,$F56*$M56*$K56,IF($R56=$S$2,$M56*$K56,    IF($M56*$K56 - SUMPRODUCT((TongVTSX!$C$3:$C$1500=$D56)*(TongVTSX!$E$3:$E$1500=$F56)*(TongVTSX!$O$3:$O$1500)) &lt;=10,$M56*$K56,"PO &lt;&gt; TongVTSX"))))</f>
        <v>0</v>
      </c>
      <c r="O56" s="92">
        <f t="shared" ca="1" si="2"/>
        <v>0</v>
      </c>
      <c r="P56" s="1146" t="str">
        <f ca="1">IFERROR(INDEX(NVLSX!$AA$2:$AA$6756,MATCH($D56,NVLSX!$E$2:$E$6756,0)),"")</f>
        <v/>
      </c>
      <c r="Q56" s="742" t="str">
        <f ca="1">IF($R56="","",IF($R56&lt;&gt;$R55,IF(TYPE(MATCH($R56,TongVTSX!$T$3:$T$1500,0))=16,"",MATCH($R56,TongVTSX!$T$3:$T$1500,0)),IF(TYPE(MATCH($R56,OFFSET(TongVTSX!$T$3,$Q55,0):'TongVTSX'!$T$1500,0)+$Q55)=16,"",MATCH($R56,OFFSET(TongVTSX!$T$3,$Q55,0):'TongVTSX'!$T$1500,0)+$Q55)))</f>
        <v/>
      </c>
      <c r="R56" s="179" t="str">
        <f ca="1">IFERROR(IF(COUNTIF($R$3:R55,R55)&lt; INDEX($T$1:$T$7,MATCH($R55,$S$1:$S$7,0)),$R55,INDEX($S$1:$S$7,MATCH($R55,$S$1:$S$7,0)+1)),"")</f>
        <v/>
      </c>
      <c r="S56" s="181"/>
      <c r="T56" s="182"/>
      <c r="U56" s="184" t="str">
        <f ca="1">IF($R56="PR",INDEX(NVLSX!$U$2:$U$6941,MATCH($D56,NVLSX!$E$2:$E$6941,0)),"")</f>
        <v/>
      </c>
      <c r="V56" s="184" t="str">
        <f ca="1">IF($R56="PR",INDEX(NVLSX!$S$2:$S$6941,MATCH($D56,NVLSX!$E$2:$E$6941,0))*1000,"")</f>
        <v/>
      </c>
      <c r="W56" s="776" t="str">
        <f ca="1">IF($R56="PR",INDEX(NVLSX!$S$2:$S$6941,MATCH($D56,NVLSX!$E$2:$E$6941,0))*INDEX(NVLSX!$T$2:$T$6941,MATCH($D56,NVLSX!$E$2:$E$6941,0)),"")</f>
        <v/>
      </c>
      <c r="X56" s="776">
        <f t="shared" ca="1" si="1"/>
        <v>0</v>
      </c>
      <c r="Y56" s="982" t="str">
        <f ca="1">IFERROR(INDEX(NVLSX!$X$2:$X$4655,MATCH($D56,NVLSX!$E$2:$E$4655,0)),"")</f>
        <v/>
      </c>
    </row>
    <row r="57" spans="1:25">
      <c r="A57" s="19" t="str">
        <f ca="1">IF($Q57="","",MAX($A$2:A56)+1)</f>
        <v/>
      </c>
      <c r="B57" s="1146" t="str">
        <f ca="1">IFERROR(INDEX(NVLSX!$Y$2:$Y$6756,MATCH($D57,NVLSX!$E$2:$E$6756,0)),"")</f>
        <v/>
      </c>
      <c r="C57" s="1146" t="str">
        <f ca="1">IFERROR(INDEX(NVLSX!$Z$2:$Z$6756,MATCH($D57,NVLSX!$E$2:$E$6756,0)),"")</f>
        <v/>
      </c>
      <c r="D57" s="23" t="str">
        <f ca="1">IF($Q57="","",INDEX(TongVTSX!C$3:C$1500,$Q57))</f>
        <v/>
      </c>
      <c r="E57" s="729" t="str">
        <f ca="1">IF($Q57="","",INDEX(TongVTSX!D$3:D$1500,$Q57) &amp; IF(OR($R57=$S$1,$R57=$S$7)," (" &amp; INDEX(TongVTSX!A$3:A$1500,$Q57) &amp; ")",""))</f>
        <v/>
      </c>
      <c r="F57" s="745" t="str">
        <f ca="1">IF($Q57="","",IF($R57=$S$7,INDEX(TongVTSX!$G$3:$G$1500,$Q57),INDEX(TongVTSX!$E$3:$E$1500,$Q57)))</f>
        <v/>
      </c>
      <c r="G57" s="24" t="str">
        <f ca="1">IF($Q57="","",IF($R57=$S$1,"mm",IF($R57=$S$2,"Thanh",INDEX(TongVTSX!F$3:F$1500,$Q57))))</f>
        <v/>
      </c>
      <c r="H57" s="114">
        <f ca="1">IF($R57=$S$1,INDEX(TongVTSX!$K$3:$K$1500,$Q57),IF($R57=$S$7,INDEX(TongVTSX!$H$3:$H$1500,$Q57),IF($R57=$S$2,ROUNDUP(SUMPRODUCT((TongVTSX!$C$3:$C$1500=$D57)*(TongVTSX!$E$3:$E$1500=$F57)*(TongVTSX!$K$3:$K$1500))/$U57,0),SUMPRODUCT((TongVTSX!$C$3:$C$1500=$D57)*(TongVTSX!$E$3:$E$1500=$F57)*(TongVTSX!$K$3:$K$1500)))))</f>
        <v>0</v>
      </c>
      <c r="I57" s="114"/>
      <c r="J57" s="114"/>
      <c r="K57" s="114" t="str">
        <f ca="1">IF($Q57="","",IF($R57=$S$2,INDEX(TongVTSX!M$3:M$1500,$Q57)*$U57,   INDEX(TongVTSX!M$3:M$1500,$Q57)))</f>
        <v/>
      </c>
      <c r="L57" s="92">
        <f ca="1">IF($Q57="",0, IF($R57=$S$7,$F57*$H57*$K57,IF($R57=$S$2,$H57*$K57,    IF($H57*$K57 - SUMPRODUCT((TongVTSX!$C$3:$C$1500=$D57)*(TongVTSX!$E$3:$E$1500=$F57)*(TongVTSX!$O$3:$O$1500)) &lt;=10,$H57*$K57,"PO &lt;&gt; TongVTSX"))))</f>
        <v>0</v>
      </c>
      <c r="M57" s="114">
        <f ca="1">IF($R57=$S$1,INDEX(TongVTSX!$K$3:$K$1500,$Q57),IF($R57=$S$7,INDEX(TongVTSX!$H$3:$H$1500,$Q57),IF($R57=$S$2,SUMPRODUCT((TongVTSX!$C$3:$C$1500=$D57)*(TongVTSX!$E$3:$E$1500=$F57)*(TongVTSX!$K$3:$K$1500))/$U57,SUMPRODUCT((TongVTSX!$C$3:$C$1500=$D57)*(TongVTSX!$E$3:$E$1500=$F57)*(TongVTSX!$K$3:$K$1500)))))</f>
        <v>0</v>
      </c>
      <c r="N57" s="92">
        <f ca="1">IF($Q57="",0, IF($R57=$S$7,$F57*$M57*$K57,IF($R57=$S$2,$M57*$K57,    IF($M57*$K57 - SUMPRODUCT((TongVTSX!$C$3:$C$1500=$D57)*(TongVTSX!$E$3:$E$1500=$F57)*(TongVTSX!$O$3:$O$1500)) &lt;=10,$M57*$K57,"PO &lt;&gt; TongVTSX"))))</f>
        <v>0</v>
      </c>
      <c r="O57" s="92">
        <f t="shared" ca="1" si="2"/>
        <v>0</v>
      </c>
      <c r="P57" s="1146" t="str">
        <f ca="1">IFERROR(INDEX(NVLSX!$AA$2:$AA$6756,MATCH($D57,NVLSX!$E$2:$E$6756,0)),"")</f>
        <v/>
      </c>
      <c r="Q57" s="742" t="str">
        <f ca="1">IF($R57="","",IF($R57&lt;&gt;$R56,IF(TYPE(MATCH($R57,TongVTSX!$T$3:$T$1500,0))=16,"",MATCH($R57,TongVTSX!$T$3:$T$1500,0)),IF(TYPE(MATCH($R57,OFFSET(TongVTSX!$T$3,$Q56,0):'TongVTSX'!$T$1500,0)+$Q56)=16,"",MATCH($R57,OFFSET(TongVTSX!$T$3,$Q56,0):'TongVTSX'!$T$1500,0)+$Q56)))</f>
        <v/>
      </c>
      <c r="R57" s="179" t="str">
        <f ca="1">IFERROR(IF(COUNTIF($R$3:R56,R56)&lt; INDEX($T$1:$T$7,MATCH($R56,$S$1:$S$7,0)),$R56,INDEX($S$1:$S$7,MATCH($R56,$S$1:$S$7,0)+1)),"")</f>
        <v/>
      </c>
      <c r="S57" s="181"/>
      <c r="T57" s="182"/>
      <c r="U57" s="184" t="str">
        <f ca="1">IF($R57="PR",INDEX(NVLSX!$U$2:$U$6941,MATCH($D57,NVLSX!$E$2:$E$6941,0)),"")</f>
        <v/>
      </c>
      <c r="V57" s="184" t="str">
        <f ca="1">IF($R57="PR",INDEX(NVLSX!$S$2:$S$6941,MATCH($D57,NVLSX!$E$2:$E$6941,0))*1000,"")</f>
        <v/>
      </c>
      <c r="W57" s="776" t="str">
        <f ca="1">IF($R57="PR",INDEX(NVLSX!$S$2:$S$6941,MATCH($D57,NVLSX!$E$2:$E$6941,0))*INDEX(NVLSX!$T$2:$T$6941,MATCH($D57,NVLSX!$E$2:$E$6941,0)),"")</f>
        <v/>
      </c>
      <c r="X57" s="776">
        <f t="shared" ca="1" si="1"/>
        <v>0</v>
      </c>
      <c r="Y57" s="982" t="str">
        <f ca="1">IFERROR(INDEX(NVLSX!$X$2:$X$4655,MATCH($D57,NVLSX!$E$2:$E$4655,0)),"")</f>
        <v/>
      </c>
    </row>
    <row r="58" spans="1:25">
      <c r="A58" s="19" t="str">
        <f ca="1">IF($Q58="","",MAX($A$2:A57)+1)</f>
        <v/>
      </c>
      <c r="B58" s="1146" t="str">
        <f ca="1">IFERROR(INDEX(NVLSX!$Y$2:$Y$6756,MATCH($D58,NVLSX!$E$2:$E$6756,0)),"")</f>
        <v/>
      </c>
      <c r="C58" s="1146" t="str">
        <f ca="1">IFERROR(INDEX(NVLSX!$Z$2:$Z$6756,MATCH($D58,NVLSX!$E$2:$E$6756,0)),"")</f>
        <v/>
      </c>
      <c r="D58" s="23" t="str">
        <f ca="1">IF($Q58="","",INDEX(TongVTSX!C$3:C$1500,$Q58))</f>
        <v/>
      </c>
      <c r="E58" s="729" t="str">
        <f ca="1">IF($Q58="","",INDEX(TongVTSX!D$3:D$1500,$Q58) &amp; IF(OR($R58=$S$1,$R58=$S$7)," (" &amp; INDEX(TongVTSX!A$3:A$1500,$Q58) &amp; ")",""))</f>
        <v/>
      </c>
      <c r="F58" s="745" t="str">
        <f ca="1">IF($Q58="","",IF($R58=$S$7,INDEX(TongVTSX!$G$3:$G$1500,$Q58),INDEX(TongVTSX!$E$3:$E$1500,$Q58)))</f>
        <v/>
      </c>
      <c r="G58" s="24" t="str">
        <f ca="1">IF($Q58="","",IF($R58=$S$1,"mm",IF($R58=$S$2,"Thanh",INDEX(TongVTSX!F$3:F$1500,$Q58))))</f>
        <v/>
      </c>
      <c r="H58" s="114">
        <f ca="1">IF($R58=$S$1,INDEX(TongVTSX!$K$3:$K$1500,$Q58),IF($R58=$S$7,INDEX(TongVTSX!$H$3:$H$1500,$Q58),IF($R58=$S$2,ROUNDUP(SUMPRODUCT((TongVTSX!$C$3:$C$1500=$D58)*(TongVTSX!$E$3:$E$1500=$F58)*(TongVTSX!$K$3:$K$1500))/$U58,0),SUMPRODUCT((TongVTSX!$C$3:$C$1500=$D58)*(TongVTSX!$E$3:$E$1500=$F58)*(TongVTSX!$K$3:$K$1500)))))</f>
        <v>0</v>
      </c>
      <c r="I58" s="114"/>
      <c r="J58" s="114"/>
      <c r="K58" s="114" t="str">
        <f ca="1">IF($Q58="","",IF($R58=$S$2,INDEX(TongVTSX!M$3:M$1500,$Q58)*$U58,   INDEX(TongVTSX!M$3:M$1500,$Q58)))</f>
        <v/>
      </c>
      <c r="L58" s="92">
        <f ca="1">IF($Q58="",0, IF($R58=$S$7,$F58*$H58*$K58,IF($R58=$S$2,$H58*$K58,    IF($H58*$K58 - SUMPRODUCT((TongVTSX!$C$3:$C$1500=$D58)*(TongVTSX!$E$3:$E$1500=$F58)*(TongVTSX!$O$3:$O$1500)) &lt;=10,$H58*$K58,"PO &lt;&gt; TongVTSX"))))</f>
        <v>0</v>
      </c>
      <c r="M58" s="114">
        <f ca="1">IF($R58=$S$1,INDEX(TongVTSX!$K$3:$K$1500,$Q58),IF($R58=$S$7,INDEX(TongVTSX!$H$3:$H$1500,$Q58),IF($R58=$S$2,SUMPRODUCT((TongVTSX!$C$3:$C$1500=$D58)*(TongVTSX!$E$3:$E$1500=$F58)*(TongVTSX!$K$3:$K$1500))/$U58,SUMPRODUCT((TongVTSX!$C$3:$C$1500=$D58)*(TongVTSX!$E$3:$E$1500=$F58)*(TongVTSX!$K$3:$K$1500)))))</f>
        <v>0</v>
      </c>
      <c r="N58" s="92">
        <f ca="1">IF($Q58="",0, IF($R58=$S$7,$F58*$M58*$K58,IF($R58=$S$2,$M58*$K58,    IF($M58*$K58 - SUMPRODUCT((TongVTSX!$C$3:$C$1500=$D58)*(TongVTSX!$E$3:$E$1500=$F58)*(TongVTSX!$O$3:$O$1500)) &lt;=10,$M58*$K58,"PO &lt;&gt; TongVTSX"))))</f>
        <v>0</v>
      </c>
      <c r="O58" s="92">
        <f t="shared" ca="1" si="2"/>
        <v>0</v>
      </c>
      <c r="P58" s="1146" t="str">
        <f ca="1">IFERROR(INDEX(NVLSX!$AA$2:$AA$6756,MATCH($D58,NVLSX!$E$2:$E$6756,0)),"")</f>
        <v/>
      </c>
      <c r="Q58" s="742" t="str">
        <f ca="1">IF($R58="","",IF($R58&lt;&gt;$R57,IF(TYPE(MATCH($R58,TongVTSX!$T$3:$T$1500,0))=16,"",MATCH($R58,TongVTSX!$T$3:$T$1500,0)),IF(TYPE(MATCH($R58,OFFSET(TongVTSX!$T$3,$Q57,0):'TongVTSX'!$T$1500,0)+$Q57)=16,"",MATCH($R58,OFFSET(TongVTSX!$T$3,$Q57,0):'TongVTSX'!$T$1500,0)+$Q57)))</f>
        <v/>
      </c>
      <c r="R58" s="179" t="str">
        <f ca="1">IFERROR(IF(COUNTIF($R$3:R57,R57)&lt; INDEX($T$1:$T$7,MATCH($R57,$S$1:$S$7,0)),$R57,INDEX($S$1:$S$7,MATCH($R57,$S$1:$S$7,0)+1)),"")</f>
        <v/>
      </c>
      <c r="S58" s="181"/>
      <c r="T58" s="182"/>
      <c r="U58" s="184" t="str">
        <f ca="1">IF($R58="PR",INDEX(NVLSX!$U$2:$U$6941,MATCH($D58,NVLSX!$E$2:$E$6941,0)),"")</f>
        <v/>
      </c>
      <c r="V58" s="184" t="str">
        <f ca="1">IF($R58="PR",INDEX(NVLSX!$S$2:$S$6941,MATCH($D58,NVLSX!$E$2:$E$6941,0))*1000,"")</f>
        <v/>
      </c>
      <c r="W58" s="776" t="str">
        <f ca="1">IF($R58="PR",INDEX(NVLSX!$S$2:$S$6941,MATCH($D58,NVLSX!$E$2:$E$6941,0))*INDEX(NVLSX!$T$2:$T$6941,MATCH($D58,NVLSX!$E$2:$E$6941,0)),"")</f>
        <v/>
      </c>
      <c r="X58" s="776">
        <f t="shared" ca="1" si="1"/>
        <v>0</v>
      </c>
      <c r="Y58" s="982" t="str">
        <f ca="1">IFERROR(INDEX(NVLSX!$X$2:$X$4655,MATCH($D58,NVLSX!$E$2:$E$4655,0)),"")</f>
        <v/>
      </c>
    </row>
    <row r="59" spans="1:25">
      <c r="A59" s="19" t="str">
        <f ca="1">IF($Q59="","",MAX($A$2:A58)+1)</f>
        <v/>
      </c>
      <c r="B59" s="1146" t="str">
        <f ca="1">IFERROR(INDEX(NVLSX!$Y$2:$Y$6756,MATCH($D59,NVLSX!$E$2:$E$6756,0)),"")</f>
        <v/>
      </c>
      <c r="C59" s="1146" t="str">
        <f ca="1">IFERROR(INDEX(NVLSX!$Z$2:$Z$6756,MATCH($D59,NVLSX!$E$2:$E$6756,0)),"")</f>
        <v/>
      </c>
      <c r="D59" s="23" t="str">
        <f ca="1">IF($Q59="","",INDEX(TongVTSX!C$3:C$1500,$Q59))</f>
        <v/>
      </c>
      <c r="E59" s="729" t="str">
        <f ca="1">IF($Q59="","",INDEX(TongVTSX!D$3:D$1500,$Q59) &amp; IF(OR($R59=$S$1,$R59=$S$7)," (" &amp; INDEX(TongVTSX!A$3:A$1500,$Q59) &amp; ")",""))</f>
        <v/>
      </c>
      <c r="F59" s="745" t="str">
        <f ca="1">IF($Q59="","",IF($R59=$S$7,INDEX(TongVTSX!$G$3:$G$1500,$Q59),INDEX(TongVTSX!$E$3:$E$1500,$Q59)))</f>
        <v/>
      </c>
      <c r="G59" s="24" t="str">
        <f ca="1">IF($Q59="","",IF($R59=$S$1,"mm",IF($R59=$S$2,"Thanh",INDEX(TongVTSX!F$3:F$1500,$Q59))))</f>
        <v/>
      </c>
      <c r="H59" s="114">
        <f ca="1">IF($R59=$S$1,INDEX(TongVTSX!$K$3:$K$1500,$Q59),IF($R59=$S$7,INDEX(TongVTSX!$H$3:$H$1500,$Q59),IF($R59=$S$2,ROUNDUP(SUMPRODUCT((TongVTSX!$C$3:$C$1500=$D59)*(TongVTSX!$E$3:$E$1500=$F59)*(TongVTSX!$K$3:$K$1500))/$U59,0),SUMPRODUCT((TongVTSX!$C$3:$C$1500=$D59)*(TongVTSX!$E$3:$E$1500=$F59)*(TongVTSX!$K$3:$K$1500)))))</f>
        <v>0</v>
      </c>
      <c r="I59" s="114"/>
      <c r="J59" s="114"/>
      <c r="K59" s="114" t="str">
        <f ca="1">IF($Q59="","",IF($R59=$S$2,INDEX(TongVTSX!M$3:M$1500,$Q59)*$U59,   INDEX(TongVTSX!M$3:M$1500,$Q59)))</f>
        <v/>
      </c>
      <c r="L59" s="92">
        <f ca="1">IF($Q59="",0, IF($R59=$S$7,$F59*$H59*$K59,IF($R59=$S$2,$H59*$K59,    IF($H59*$K59 - SUMPRODUCT((TongVTSX!$C$3:$C$1500=$D59)*(TongVTSX!$E$3:$E$1500=$F59)*(TongVTSX!$O$3:$O$1500)) &lt;=10,$H59*$K59,"PO &lt;&gt; TongVTSX"))))</f>
        <v>0</v>
      </c>
      <c r="M59" s="114">
        <f ca="1">IF($R59=$S$1,INDEX(TongVTSX!$K$3:$K$1500,$Q59),IF($R59=$S$7,INDEX(TongVTSX!$H$3:$H$1500,$Q59),IF($R59=$S$2,SUMPRODUCT((TongVTSX!$C$3:$C$1500=$D59)*(TongVTSX!$E$3:$E$1500=$F59)*(TongVTSX!$K$3:$K$1500))/$U59,SUMPRODUCT((TongVTSX!$C$3:$C$1500=$D59)*(TongVTSX!$E$3:$E$1500=$F59)*(TongVTSX!$K$3:$K$1500)))))</f>
        <v>0</v>
      </c>
      <c r="N59" s="92">
        <f ca="1">IF($Q59="",0, IF($R59=$S$7,$F59*$M59*$K59,IF($R59=$S$2,$M59*$K59,    IF($M59*$K59 - SUMPRODUCT((TongVTSX!$C$3:$C$1500=$D59)*(TongVTSX!$E$3:$E$1500=$F59)*(TongVTSX!$O$3:$O$1500)) &lt;=10,$M59*$K59,"PO &lt;&gt; TongVTSX"))))</f>
        <v>0</v>
      </c>
      <c r="O59" s="92">
        <f t="shared" ca="1" si="2"/>
        <v>0</v>
      </c>
      <c r="P59" s="1146" t="str">
        <f ca="1">IFERROR(INDEX(NVLSX!$AA$2:$AA$6756,MATCH($D59,NVLSX!$E$2:$E$6756,0)),"")</f>
        <v/>
      </c>
      <c r="Q59" s="742" t="str">
        <f ca="1">IF($R59="","",IF($R59&lt;&gt;$R58,IF(TYPE(MATCH($R59,TongVTSX!$T$3:$T$1500,0))=16,"",MATCH($R59,TongVTSX!$T$3:$T$1500,0)),IF(TYPE(MATCH($R59,OFFSET(TongVTSX!$T$3,$Q58,0):'TongVTSX'!$T$1500,0)+$Q58)=16,"",MATCH($R59,OFFSET(TongVTSX!$T$3,$Q58,0):'TongVTSX'!$T$1500,0)+$Q58)))</f>
        <v/>
      </c>
      <c r="R59" s="179" t="str">
        <f ca="1">IFERROR(IF(COUNTIF($R$3:R58,R58)&lt; INDEX($T$1:$T$7,MATCH($R58,$S$1:$S$7,0)),$R58,INDEX($S$1:$S$7,MATCH($R58,$S$1:$S$7,0)+1)),"")</f>
        <v/>
      </c>
      <c r="S59" s="181"/>
      <c r="T59" s="182"/>
      <c r="U59" s="184" t="str">
        <f ca="1">IF($R59="PR",INDEX(NVLSX!$U$2:$U$6941,MATCH($D59,NVLSX!$E$2:$E$6941,0)),"")</f>
        <v/>
      </c>
      <c r="V59" s="184" t="str">
        <f ca="1">IF($R59="PR",INDEX(NVLSX!$S$2:$S$6941,MATCH($D59,NVLSX!$E$2:$E$6941,0))*1000,"")</f>
        <v/>
      </c>
      <c r="W59" s="776" t="str">
        <f ca="1">IF($R59="PR",INDEX(NVLSX!$S$2:$S$6941,MATCH($D59,NVLSX!$E$2:$E$6941,0))*INDEX(NVLSX!$T$2:$T$6941,MATCH($D59,NVLSX!$E$2:$E$6941,0)),"")</f>
        <v/>
      </c>
      <c r="X59" s="776">
        <f t="shared" ca="1" si="1"/>
        <v>0</v>
      </c>
      <c r="Y59" s="982" t="str">
        <f ca="1">IFERROR(INDEX(NVLSX!$X$2:$X$4655,MATCH($D59,NVLSX!$E$2:$E$4655,0)),"")</f>
        <v/>
      </c>
    </row>
    <row r="60" spans="1:25">
      <c r="A60" s="19" t="str">
        <f ca="1">IF($Q60="","",MAX($A$2:A59)+1)</f>
        <v/>
      </c>
      <c r="B60" s="1146" t="str">
        <f ca="1">IFERROR(INDEX(NVLSX!$Y$2:$Y$6756,MATCH($D60,NVLSX!$E$2:$E$6756,0)),"")</f>
        <v/>
      </c>
      <c r="C60" s="1146" t="str">
        <f ca="1">IFERROR(INDEX(NVLSX!$Z$2:$Z$6756,MATCH($D60,NVLSX!$E$2:$E$6756,0)),"")</f>
        <v/>
      </c>
      <c r="D60" s="23" t="str">
        <f ca="1">IF($Q60="","",INDEX(TongVTSX!C$3:C$1500,$Q60))</f>
        <v/>
      </c>
      <c r="E60" s="729" t="str">
        <f ca="1">IF($Q60="","",INDEX(TongVTSX!D$3:D$1500,$Q60) &amp; IF(OR($R60=$S$1,$R60=$S$7)," (" &amp; INDEX(TongVTSX!A$3:A$1500,$Q60) &amp; ")",""))</f>
        <v/>
      </c>
      <c r="F60" s="745" t="str">
        <f ca="1">IF($Q60="","",IF($R60=$S$7,INDEX(TongVTSX!$G$3:$G$1500,$Q60),INDEX(TongVTSX!$E$3:$E$1500,$Q60)))</f>
        <v/>
      </c>
      <c r="G60" s="24" t="str">
        <f ca="1">IF($Q60="","",IF($R60=$S$1,"mm",IF($R60=$S$2,"Thanh",INDEX(TongVTSX!F$3:F$1500,$Q60))))</f>
        <v/>
      </c>
      <c r="H60" s="114">
        <f ca="1">IF($R60=$S$1,INDEX(TongVTSX!$K$3:$K$1500,$Q60),IF($R60=$S$7,INDEX(TongVTSX!$H$3:$H$1500,$Q60),IF($R60=$S$2,ROUNDUP(SUMPRODUCT((TongVTSX!$C$3:$C$1500=$D60)*(TongVTSX!$E$3:$E$1500=$F60)*(TongVTSX!$K$3:$K$1500))/$U60,0),SUMPRODUCT((TongVTSX!$C$3:$C$1500=$D60)*(TongVTSX!$E$3:$E$1500=$F60)*(TongVTSX!$K$3:$K$1500)))))</f>
        <v>0</v>
      </c>
      <c r="I60" s="114"/>
      <c r="J60" s="114"/>
      <c r="K60" s="114" t="str">
        <f ca="1">IF($Q60="","",IF($R60=$S$2,INDEX(TongVTSX!M$3:M$1500,$Q60)*$U60,   INDEX(TongVTSX!M$3:M$1500,$Q60)))</f>
        <v/>
      </c>
      <c r="L60" s="92">
        <f ca="1">IF($Q60="",0, IF($R60=$S$7,$F60*$H60*$K60,IF($R60=$S$2,$H60*$K60,    IF($H60*$K60 - SUMPRODUCT((TongVTSX!$C$3:$C$1500=$D60)*(TongVTSX!$E$3:$E$1500=$F60)*(TongVTSX!$O$3:$O$1500)) &lt;=10,$H60*$K60,"PO &lt;&gt; TongVTSX"))))</f>
        <v>0</v>
      </c>
      <c r="M60" s="114">
        <f ca="1">IF($R60=$S$1,INDEX(TongVTSX!$K$3:$K$1500,$Q60),IF($R60=$S$7,INDEX(TongVTSX!$H$3:$H$1500,$Q60),IF($R60=$S$2,SUMPRODUCT((TongVTSX!$C$3:$C$1500=$D60)*(TongVTSX!$E$3:$E$1500=$F60)*(TongVTSX!$K$3:$K$1500))/$U60,SUMPRODUCT((TongVTSX!$C$3:$C$1500=$D60)*(TongVTSX!$E$3:$E$1500=$F60)*(TongVTSX!$K$3:$K$1500)))))</f>
        <v>0</v>
      </c>
      <c r="N60" s="92">
        <f ca="1">IF($Q60="",0, IF($R60=$S$7,$F60*$M60*$K60,IF($R60=$S$2,$M60*$K60,    IF($M60*$K60 - SUMPRODUCT((TongVTSX!$C$3:$C$1500=$D60)*(TongVTSX!$E$3:$E$1500=$F60)*(TongVTSX!$O$3:$O$1500)) &lt;=10,$M60*$K60,"PO &lt;&gt; TongVTSX"))))</f>
        <v>0</v>
      </c>
      <c r="O60" s="92">
        <f t="shared" ca="1" si="2"/>
        <v>0</v>
      </c>
      <c r="P60" s="1146" t="str">
        <f ca="1">IFERROR(INDEX(NVLSX!$AA$2:$AA$6756,MATCH($D60,NVLSX!$E$2:$E$6756,0)),"")</f>
        <v/>
      </c>
      <c r="Q60" s="742" t="str">
        <f ca="1">IF($R60="","",IF($R60&lt;&gt;$R59,IF(TYPE(MATCH($R60,TongVTSX!$T$3:$T$1500,0))=16,"",MATCH($R60,TongVTSX!$T$3:$T$1500,0)),IF(TYPE(MATCH($R60,OFFSET(TongVTSX!$T$3,$Q59,0):'TongVTSX'!$T$1500,0)+$Q59)=16,"",MATCH($R60,OFFSET(TongVTSX!$T$3,$Q59,0):'TongVTSX'!$T$1500,0)+$Q59)))</f>
        <v/>
      </c>
      <c r="R60" s="179" t="str">
        <f ca="1">IFERROR(IF(COUNTIF($R$3:R59,R59)&lt; INDEX($T$1:$T$7,MATCH($R59,$S$1:$S$7,0)),$R59,INDEX($S$1:$S$7,MATCH($R59,$S$1:$S$7,0)+1)),"")</f>
        <v/>
      </c>
      <c r="S60" s="181"/>
      <c r="T60" s="182"/>
      <c r="U60" s="184" t="str">
        <f ca="1">IF($R60="PR",INDEX(NVLSX!$U$2:$U$6941,MATCH($D60,NVLSX!$E$2:$E$6941,0)),"")</f>
        <v/>
      </c>
      <c r="V60" s="184" t="str">
        <f ca="1">IF($R60="PR",INDEX(NVLSX!$S$2:$S$6941,MATCH($D60,NVLSX!$E$2:$E$6941,0))*1000,"")</f>
        <v/>
      </c>
      <c r="W60" s="776" t="str">
        <f ca="1">IF($R60="PR",INDEX(NVLSX!$S$2:$S$6941,MATCH($D60,NVLSX!$E$2:$E$6941,0))*INDEX(NVLSX!$T$2:$T$6941,MATCH($D60,NVLSX!$E$2:$E$6941,0)),"")</f>
        <v/>
      </c>
      <c r="X60" s="776">
        <f t="shared" ca="1" si="1"/>
        <v>0</v>
      </c>
      <c r="Y60" s="982" t="str">
        <f ca="1">IFERROR(INDEX(NVLSX!$X$2:$X$4655,MATCH($D60,NVLSX!$E$2:$E$4655,0)),"")</f>
        <v/>
      </c>
    </row>
    <row r="61" spans="1:25">
      <c r="A61" s="19" t="str">
        <f ca="1">IF($Q61="","",MAX($A$2:A60)+1)</f>
        <v/>
      </c>
      <c r="B61" s="1146" t="str">
        <f ca="1">IFERROR(INDEX(NVLSX!$Y$2:$Y$6756,MATCH($D61,NVLSX!$E$2:$E$6756,0)),"")</f>
        <v/>
      </c>
      <c r="C61" s="1146" t="str">
        <f ca="1">IFERROR(INDEX(NVLSX!$Z$2:$Z$6756,MATCH($D61,NVLSX!$E$2:$E$6756,0)),"")</f>
        <v/>
      </c>
      <c r="D61" s="23" t="str">
        <f ca="1">IF($Q61="","",INDEX(TongVTSX!C$3:C$1500,$Q61))</f>
        <v/>
      </c>
      <c r="E61" s="729" t="str">
        <f ca="1">IF($Q61="","",INDEX(TongVTSX!D$3:D$1500,$Q61) &amp; IF(OR($R61=$S$1,$R61=$S$7)," (" &amp; INDEX(TongVTSX!A$3:A$1500,$Q61) &amp; ")",""))</f>
        <v/>
      </c>
      <c r="F61" s="745" t="str">
        <f ca="1">IF($Q61="","",IF($R61=$S$7,INDEX(TongVTSX!$G$3:$G$1500,$Q61),INDEX(TongVTSX!$E$3:$E$1500,$Q61)))</f>
        <v/>
      </c>
      <c r="G61" s="24" t="str">
        <f ca="1">IF($Q61="","",IF($R61=$S$1,"mm",IF($R61=$S$2,"Thanh",INDEX(TongVTSX!F$3:F$1500,$Q61))))</f>
        <v/>
      </c>
      <c r="H61" s="114">
        <f ca="1">IF($R61=$S$1,INDEX(TongVTSX!$K$3:$K$1500,$Q61),IF($R61=$S$7,INDEX(TongVTSX!$H$3:$H$1500,$Q61),IF($R61=$S$2,ROUNDUP(SUMPRODUCT((TongVTSX!$C$3:$C$1500=$D61)*(TongVTSX!$E$3:$E$1500=$F61)*(TongVTSX!$K$3:$K$1500))/$U61,0),SUMPRODUCT((TongVTSX!$C$3:$C$1500=$D61)*(TongVTSX!$E$3:$E$1500=$F61)*(TongVTSX!$K$3:$K$1500)))))</f>
        <v>0</v>
      </c>
      <c r="I61" s="114"/>
      <c r="J61" s="114"/>
      <c r="K61" s="114" t="str">
        <f ca="1">IF($Q61="","",IF($R61=$S$2,INDEX(TongVTSX!M$3:M$1500,$Q61)*$U61,   INDEX(TongVTSX!M$3:M$1500,$Q61)))</f>
        <v/>
      </c>
      <c r="L61" s="92">
        <f ca="1">IF($Q61="",0, IF($R61=$S$7,$F61*$H61*$K61,IF($R61=$S$2,$H61*$K61,    IF($H61*$K61 - SUMPRODUCT((TongVTSX!$C$3:$C$1500=$D61)*(TongVTSX!$E$3:$E$1500=$F61)*(TongVTSX!$O$3:$O$1500)) &lt;=10,$H61*$K61,"PO &lt;&gt; TongVTSX"))))</f>
        <v>0</v>
      </c>
      <c r="M61" s="114">
        <f ca="1">IF($R61=$S$1,INDEX(TongVTSX!$K$3:$K$1500,$Q61),IF($R61=$S$7,INDEX(TongVTSX!$H$3:$H$1500,$Q61),IF($R61=$S$2,SUMPRODUCT((TongVTSX!$C$3:$C$1500=$D61)*(TongVTSX!$E$3:$E$1500=$F61)*(TongVTSX!$K$3:$K$1500))/$U61,SUMPRODUCT((TongVTSX!$C$3:$C$1500=$D61)*(TongVTSX!$E$3:$E$1500=$F61)*(TongVTSX!$K$3:$K$1500)))))</f>
        <v>0</v>
      </c>
      <c r="N61" s="92">
        <f ca="1">IF($Q61="",0, IF($R61=$S$7,$F61*$M61*$K61,IF($R61=$S$2,$M61*$K61,    IF($M61*$K61 - SUMPRODUCT((TongVTSX!$C$3:$C$1500=$D61)*(TongVTSX!$E$3:$E$1500=$F61)*(TongVTSX!$O$3:$O$1500)) &lt;=10,$M61*$K61,"PO &lt;&gt; TongVTSX"))))</f>
        <v>0</v>
      </c>
      <c r="O61" s="92">
        <f t="shared" ca="1" si="2"/>
        <v>0</v>
      </c>
      <c r="P61" s="1146" t="str">
        <f ca="1">IFERROR(INDEX(NVLSX!$AA$2:$AA$6756,MATCH($D61,NVLSX!$E$2:$E$6756,0)),"")</f>
        <v/>
      </c>
      <c r="Q61" s="742" t="str">
        <f ca="1">IF($R61="","",IF($R61&lt;&gt;$R60,IF(TYPE(MATCH($R61,TongVTSX!$T$3:$T$1500,0))=16,"",MATCH($R61,TongVTSX!$T$3:$T$1500,0)),IF(TYPE(MATCH($R61,OFFSET(TongVTSX!$T$3,$Q60,0):'TongVTSX'!$T$1500,0)+$Q60)=16,"",MATCH($R61,OFFSET(TongVTSX!$T$3,$Q60,0):'TongVTSX'!$T$1500,0)+$Q60)))</f>
        <v/>
      </c>
      <c r="R61" s="179" t="str">
        <f ca="1">IFERROR(IF(COUNTIF($R$3:R60,R60)&lt; INDEX($T$1:$T$7,MATCH($R60,$S$1:$S$7,0)),$R60,INDEX($S$1:$S$7,MATCH($R60,$S$1:$S$7,0)+1)),"")</f>
        <v/>
      </c>
      <c r="S61" s="181"/>
      <c r="T61" s="182"/>
      <c r="U61" s="184" t="str">
        <f ca="1">IF($R61="PR",INDEX(NVLSX!$U$2:$U$6941,MATCH($D61,NVLSX!$E$2:$E$6941,0)),"")</f>
        <v/>
      </c>
      <c r="V61" s="184" t="str">
        <f ca="1">IF($R61="PR",INDEX(NVLSX!$S$2:$S$6941,MATCH($D61,NVLSX!$E$2:$E$6941,0))*1000,"")</f>
        <v/>
      </c>
      <c r="W61" s="776" t="str">
        <f ca="1">IF($R61="PR",INDEX(NVLSX!$S$2:$S$6941,MATCH($D61,NVLSX!$E$2:$E$6941,0))*INDEX(NVLSX!$T$2:$T$6941,MATCH($D61,NVLSX!$E$2:$E$6941,0)),"")</f>
        <v/>
      </c>
      <c r="X61" s="776">
        <f t="shared" ca="1" si="1"/>
        <v>0</v>
      </c>
      <c r="Y61" s="982" t="str">
        <f ca="1">IFERROR(INDEX(NVLSX!$X$2:$X$4655,MATCH($D61,NVLSX!$E$2:$E$4655,0)),"")</f>
        <v/>
      </c>
    </row>
    <row r="62" spans="1:25">
      <c r="A62" s="19" t="str">
        <f ca="1">IF($Q62="","",MAX($A$2:A61)+1)</f>
        <v/>
      </c>
      <c r="B62" s="1146" t="str">
        <f ca="1">IFERROR(INDEX(NVLSX!$Y$2:$Y$6756,MATCH($D62,NVLSX!$E$2:$E$6756,0)),"")</f>
        <v/>
      </c>
      <c r="C62" s="1146" t="str">
        <f ca="1">IFERROR(INDEX(NVLSX!$Z$2:$Z$6756,MATCH($D62,NVLSX!$E$2:$E$6756,0)),"")</f>
        <v/>
      </c>
      <c r="D62" s="23" t="str">
        <f ca="1">IF($Q62="","",INDEX(TongVTSX!C$3:C$1500,$Q62))</f>
        <v/>
      </c>
      <c r="E62" s="729" t="str">
        <f ca="1">IF($Q62="","",INDEX(TongVTSX!D$3:D$1500,$Q62) &amp; IF(OR($R62=$S$1,$R62=$S$7)," (" &amp; INDEX(TongVTSX!A$3:A$1500,$Q62) &amp; ")",""))</f>
        <v/>
      </c>
      <c r="F62" s="745" t="str">
        <f ca="1">IF($Q62="","",IF($R62=$S$7,INDEX(TongVTSX!$G$3:$G$1500,$Q62),INDEX(TongVTSX!$E$3:$E$1500,$Q62)))</f>
        <v/>
      </c>
      <c r="G62" s="24" t="str">
        <f ca="1">IF($Q62="","",IF($R62=$S$1,"mm",IF($R62=$S$2,"Thanh",INDEX(TongVTSX!F$3:F$1500,$Q62))))</f>
        <v/>
      </c>
      <c r="H62" s="114">
        <f ca="1">IF($R62=$S$1,INDEX(TongVTSX!$K$3:$K$1500,$Q62),IF($R62=$S$7,INDEX(TongVTSX!$H$3:$H$1500,$Q62),IF($R62=$S$2,ROUNDUP(SUMPRODUCT((TongVTSX!$C$3:$C$1500=$D62)*(TongVTSX!$E$3:$E$1500=$F62)*(TongVTSX!$K$3:$K$1500))/$U62,0),SUMPRODUCT((TongVTSX!$C$3:$C$1500=$D62)*(TongVTSX!$E$3:$E$1500=$F62)*(TongVTSX!$K$3:$K$1500)))))</f>
        <v>0</v>
      </c>
      <c r="I62" s="114"/>
      <c r="J62" s="114"/>
      <c r="K62" s="114" t="str">
        <f ca="1">IF($Q62="","",IF($R62=$S$2,INDEX(TongVTSX!M$3:M$1500,$Q62)*$U62,   INDEX(TongVTSX!M$3:M$1500,$Q62)))</f>
        <v/>
      </c>
      <c r="L62" s="92">
        <f ca="1">IF($Q62="",0, IF($R62=$S$7,$F62*$H62*$K62,IF($R62=$S$2,$H62*$K62,    IF($H62*$K62 - SUMPRODUCT((TongVTSX!$C$3:$C$1500=$D62)*(TongVTSX!$E$3:$E$1500=$F62)*(TongVTSX!$O$3:$O$1500)) &lt;=10,$H62*$K62,"PO &lt;&gt; TongVTSX"))))</f>
        <v>0</v>
      </c>
      <c r="M62" s="114">
        <f ca="1">IF($R62=$S$1,INDEX(TongVTSX!$K$3:$K$1500,$Q62),IF($R62=$S$7,INDEX(TongVTSX!$H$3:$H$1500,$Q62),IF($R62=$S$2,SUMPRODUCT((TongVTSX!$C$3:$C$1500=$D62)*(TongVTSX!$E$3:$E$1500=$F62)*(TongVTSX!$K$3:$K$1500))/$U62,SUMPRODUCT((TongVTSX!$C$3:$C$1500=$D62)*(TongVTSX!$E$3:$E$1500=$F62)*(TongVTSX!$K$3:$K$1500)))))</f>
        <v>0</v>
      </c>
      <c r="N62" s="92">
        <f ca="1">IF($Q62="",0, IF($R62=$S$7,$F62*$M62*$K62,IF($R62=$S$2,$M62*$K62,    IF($M62*$K62 - SUMPRODUCT((TongVTSX!$C$3:$C$1500=$D62)*(TongVTSX!$E$3:$E$1500=$F62)*(TongVTSX!$O$3:$O$1500)) &lt;=10,$M62*$K62,"PO &lt;&gt; TongVTSX"))))</f>
        <v>0</v>
      </c>
      <c r="O62" s="92">
        <f t="shared" ca="1" si="2"/>
        <v>0</v>
      </c>
      <c r="P62" s="1146" t="str">
        <f ca="1">IFERROR(INDEX(NVLSX!$AA$2:$AA$6756,MATCH($D62,NVLSX!$E$2:$E$6756,0)),"")</f>
        <v/>
      </c>
      <c r="Q62" s="742" t="str">
        <f ca="1">IF($R62="","",IF($R62&lt;&gt;$R61,IF(TYPE(MATCH($R62,TongVTSX!$T$3:$T$1500,0))=16,"",MATCH($R62,TongVTSX!$T$3:$T$1500,0)),IF(TYPE(MATCH($R62,OFFSET(TongVTSX!$T$3,$Q61,0):'TongVTSX'!$T$1500,0)+$Q61)=16,"",MATCH($R62,OFFSET(TongVTSX!$T$3,$Q61,0):'TongVTSX'!$T$1500,0)+$Q61)))</f>
        <v/>
      </c>
      <c r="R62" s="179" t="str">
        <f ca="1">IFERROR(IF(COUNTIF($R$3:R61,R61)&lt; INDEX($T$1:$T$7,MATCH($R61,$S$1:$S$7,0)),$R61,INDEX($S$1:$S$7,MATCH($R61,$S$1:$S$7,0)+1)),"")</f>
        <v/>
      </c>
      <c r="S62" s="181"/>
      <c r="T62" s="182"/>
      <c r="U62" s="184" t="str">
        <f ca="1">IF($R62="PR",INDEX(NVLSX!$U$2:$U$6941,MATCH($D62,NVLSX!$E$2:$E$6941,0)),"")</f>
        <v/>
      </c>
      <c r="V62" s="184" t="str">
        <f ca="1">IF($R62="PR",INDEX(NVLSX!$S$2:$S$6941,MATCH($D62,NVLSX!$E$2:$E$6941,0))*1000,"")</f>
        <v/>
      </c>
      <c r="W62" s="776" t="str">
        <f ca="1">IF($R62="PR",INDEX(NVLSX!$S$2:$S$6941,MATCH($D62,NVLSX!$E$2:$E$6941,0))*INDEX(NVLSX!$T$2:$T$6941,MATCH($D62,NVLSX!$E$2:$E$6941,0)),"")</f>
        <v/>
      </c>
      <c r="X62" s="776">
        <f t="shared" ca="1" si="1"/>
        <v>0</v>
      </c>
      <c r="Y62" s="982" t="str">
        <f ca="1">IFERROR(INDEX(NVLSX!$X$2:$X$4655,MATCH($D62,NVLSX!$E$2:$E$4655,0)),"")</f>
        <v/>
      </c>
    </row>
    <row r="63" spans="1:25">
      <c r="A63" s="19" t="str">
        <f ca="1">IF($Q63="","",MAX($A$2:A62)+1)</f>
        <v/>
      </c>
      <c r="B63" s="1146" t="str">
        <f ca="1">IFERROR(INDEX(NVLSX!$Y$2:$Y$6756,MATCH($D63,NVLSX!$E$2:$E$6756,0)),"")</f>
        <v/>
      </c>
      <c r="C63" s="1146" t="str">
        <f ca="1">IFERROR(INDEX(NVLSX!$Z$2:$Z$6756,MATCH($D63,NVLSX!$E$2:$E$6756,0)),"")</f>
        <v/>
      </c>
      <c r="D63" s="23" t="str">
        <f ca="1">IF($Q63="","",INDEX(TongVTSX!C$3:C$1500,$Q63))</f>
        <v/>
      </c>
      <c r="E63" s="729" t="str">
        <f ca="1">IF($Q63="","",INDEX(TongVTSX!D$3:D$1500,$Q63) &amp; IF(OR($R63=$S$1,$R63=$S$7)," (" &amp; INDEX(TongVTSX!A$3:A$1500,$Q63) &amp; ")",""))</f>
        <v/>
      </c>
      <c r="F63" s="745" t="str">
        <f ca="1">IF($Q63="","",IF($R63=$S$7,INDEX(TongVTSX!$G$3:$G$1500,$Q63),INDEX(TongVTSX!$E$3:$E$1500,$Q63)))</f>
        <v/>
      </c>
      <c r="G63" s="24" t="str">
        <f ca="1">IF($Q63="","",IF($R63=$S$1,"mm",IF($R63=$S$2,"Thanh",INDEX(TongVTSX!F$3:F$1500,$Q63))))</f>
        <v/>
      </c>
      <c r="H63" s="114">
        <f ca="1">IF($R63=$S$1,INDEX(TongVTSX!$K$3:$K$1500,$Q63),IF($R63=$S$7,INDEX(TongVTSX!$H$3:$H$1500,$Q63),IF($R63=$S$2,ROUNDUP(SUMPRODUCT((TongVTSX!$C$3:$C$1500=$D63)*(TongVTSX!$E$3:$E$1500=$F63)*(TongVTSX!$K$3:$K$1500))/$U63,0),SUMPRODUCT((TongVTSX!$C$3:$C$1500=$D63)*(TongVTSX!$E$3:$E$1500=$F63)*(TongVTSX!$K$3:$K$1500)))))</f>
        <v>0</v>
      </c>
      <c r="I63" s="114"/>
      <c r="J63" s="114"/>
      <c r="K63" s="114" t="str">
        <f ca="1">IF($Q63="","",IF($R63=$S$2,INDEX(TongVTSX!M$3:M$1500,$Q63)*$U63,   INDEX(TongVTSX!M$3:M$1500,$Q63)))</f>
        <v/>
      </c>
      <c r="L63" s="92">
        <f ca="1">IF($Q63="",0, IF($R63=$S$7,$F63*$H63*$K63,IF($R63=$S$2,$H63*$K63,    IF($H63*$K63 - SUMPRODUCT((TongVTSX!$C$3:$C$1500=$D63)*(TongVTSX!$E$3:$E$1500=$F63)*(TongVTSX!$O$3:$O$1500)) &lt;=10,$H63*$K63,"PO &lt;&gt; TongVTSX"))))</f>
        <v>0</v>
      </c>
      <c r="M63" s="114">
        <f ca="1">IF($R63=$S$1,INDEX(TongVTSX!$K$3:$K$1500,$Q63),IF($R63=$S$7,INDEX(TongVTSX!$H$3:$H$1500,$Q63),IF($R63=$S$2,SUMPRODUCT((TongVTSX!$C$3:$C$1500=$D63)*(TongVTSX!$E$3:$E$1500=$F63)*(TongVTSX!$K$3:$K$1500))/$U63,SUMPRODUCT((TongVTSX!$C$3:$C$1500=$D63)*(TongVTSX!$E$3:$E$1500=$F63)*(TongVTSX!$K$3:$K$1500)))))</f>
        <v>0</v>
      </c>
      <c r="N63" s="92">
        <f ca="1">IF($Q63="",0, IF($R63=$S$7,$F63*$M63*$K63,IF($R63=$S$2,$M63*$K63,    IF($M63*$K63 - SUMPRODUCT((TongVTSX!$C$3:$C$1500=$D63)*(TongVTSX!$E$3:$E$1500=$F63)*(TongVTSX!$O$3:$O$1500)) &lt;=10,$M63*$K63,"PO &lt;&gt; TongVTSX"))))</f>
        <v>0</v>
      </c>
      <c r="O63" s="92">
        <f t="shared" ca="1" si="2"/>
        <v>0</v>
      </c>
      <c r="P63" s="1146" t="str">
        <f ca="1">IFERROR(INDEX(NVLSX!$AA$2:$AA$6756,MATCH($D63,NVLSX!$E$2:$E$6756,0)),"")</f>
        <v/>
      </c>
      <c r="Q63" s="742" t="str">
        <f ca="1">IF($R63="","",IF($R63&lt;&gt;$R62,IF(TYPE(MATCH($R63,TongVTSX!$T$3:$T$1500,0))=16,"",MATCH($R63,TongVTSX!$T$3:$T$1500,0)),IF(TYPE(MATCH($R63,OFFSET(TongVTSX!$T$3,$Q62,0):'TongVTSX'!$T$1500,0)+$Q62)=16,"",MATCH($R63,OFFSET(TongVTSX!$T$3,$Q62,0):'TongVTSX'!$T$1500,0)+$Q62)))</f>
        <v/>
      </c>
      <c r="R63" s="179" t="str">
        <f ca="1">IFERROR(IF(COUNTIF($R$3:R62,R62)&lt; INDEX($T$1:$T$7,MATCH($R62,$S$1:$S$7,0)),$R62,INDEX($S$1:$S$7,MATCH($R62,$S$1:$S$7,0)+1)),"")</f>
        <v/>
      </c>
      <c r="S63" s="181"/>
      <c r="T63" s="182"/>
      <c r="U63" s="184" t="str">
        <f ca="1">IF($R63="PR",INDEX(NVLSX!$U$2:$U$6941,MATCH($D63,NVLSX!$E$2:$E$6941,0)),"")</f>
        <v/>
      </c>
      <c r="V63" s="184" t="str">
        <f ca="1">IF($R63="PR",INDEX(NVLSX!$S$2:$S$6941,MATCH($D63,NVLSX!$E$2:$E$6941,0))*1000,"")</f>
        <v/>
      </c>
      <c r="W63" s="776" t="str">
        <f ca="1">IF($R63="PR",INDEX(NVLSX!$S$2:$S$6941,MATCH($D63,NVLSX!$E$2:$E$6941,0))*INDEX(NVLSX!$T$2:$T$6941,MATCH($D63,NVLSX!$E$2:$E$6941,0)),"")</f>
        <v/>
      </c>
      <c r="X63" s="776">
        <f t="shared" ca="1" si="1"/>
        <v>0</v>
      </c>
      <c r="Y63" s="982" t="str">
        <f ca="1">IFERROR(INDEX(NVLSX!$X$2:$X$4655,MATCH($D63,NVLSX!$E$2:$E$4655,0)),"")</f>
        <v/>
      </c>
    </row>
    <row r="64" spans="1:25">
      <c r="A64" s="19" t="str">
        <f ca="1">IF($Q64="","",MAX($A$2:A63)+1)</f>
        <v/>
      </c>
      <c r="B64" s="1146" t="str">
        <f ca="1">IFERROR(INDEX(NVLSX!$Y$2:$Y$6756,MATCH($D64,NVLSX!$E$2:$E$6756,0)),"")</f>
        <v/>
      </c>
      <c r="C64" s="1146" t="str">
        <f ca="1">IFERROR(INDEX(NVLSX!$Z$2:$Z$6756,MATCH($D64,NVLSX!$E$2:$E$6756,0)),"")</f>
        <v/>
      </c>
      <c r="D64" s="23" t="str">
        <f ca="1">IF($Q64="","",INDEX(TongVTSX!C$3:C$1500,$Q64))</f>
        <v/>
      </c>
      <c r="E64" s="729" t="str">
        <f ca="1">IF($Q64="","",INDEX(TongVTSX!D$3:D$1500,$Q64) &amp; IF(OR($R64=$S$1,$R64=$S$7)," (" &amp; INDEX(TongVTSX!A$3:A$1500,$Q64) &amp; ")",""))</f>
        <v/>
      </c>
      <c r="F64" s="745" t="str">
        <f ca="1">IF($Q64="","",IF($R64=$S$7,INDEX(TongVTSX!$G$3:$G$1500,$Q64),INDEX(TongVTSX!$E$3:$E$1500,$Q64)))</f>
        <v/>
      </c>
      <c r="G64" s="24" t="str">
        <f ca="1">IF($Q64="","",IF($R64=$S$1,"mm",IF($R64=$S$2,"Thanh",INDEX(TongVTSX!F$3:F$1500,$Q64))))</f>
        <v/>
      </c>
      <c r="H64" s="114">
        <f ca="1">IF($R64=$S$1,INDEX(TongVTSX!$K$3:$K$1500,$Q64),IF($R64=$S$7,INDEX(TongVTSX!$H$3:$H$1500,$Q64),IF($R64=$S$2,ROUNDUP(SUMPRODUCT((TongVTSX!$C$3:$C$1500=$D64)*(TongVTSX!$E$3:$E$1500=$F64)*(TongVTSX!$K$3:$K$1500))/$U64,0),SUMPRODUCT((TongVTSX!$C$3:$C$1500=$D64)*(TongVTSX!$E$3:$E$1500=$F64)*(TongVTSX!$K$3:$K$1500)))))</f>
        <v>0</v>
      </c>
      <c r="I64" s="114"/>
      <c r="J64" s="114"/>
      <c r="K64" s="114" t="str">
        <f ca="1">IF($Q64="","",IF($R64=$S$2,INDEX(TongVTSX!M$3:M$1500,$Q64)*$U64,   INDEX(TongVTSX!M$3:M$1500,$Q64)))</f>
        <v/>
      </c>
      <c r="L64" s="92">
        <f ca="1">IF($Q64="",0, IF($R64=$S$7,$F64*$H64*$K64,IF($R64=$S$2,$H64*$K64,    IF($H64*$K64 - SUMPRODUCT((TongVTSX!$C$3:$C$1500=$D64)*(TongVTSX!$E$3:$E$1500=$F64)*(TongVTSX!$O$3:$O$1500)) &lt;=10,$H64*$K64,"PO &lt;&gt; TongVTSX"))))</f>
        <v>0</v>
      </c>
      <c r="M64" s="114">
        <f ca="1">IF($R64=$S$1,INDEX(TongVTSX!$K$3:$K$1500,$Q64),IF($R64=$S$7,INDEX(TongVTSX!$H$3:$H$1500,$Q64),IF($R64=$S$2,SUMPRODUCT((TongVTSX!$C$3:$C$1500=$D64)*(TongVTSX!$E$3:$E$1500=$F64)*(TongVTSX!$K$3:$K$1500))/$U64,SUMPRODUCT((TongVTSX!$C$3:$C$1500=$D64)*(TongVTSX!$E$3:$E$1500=$F64)*(TongVTSX!$K$3:$K$1500)))))</f>
        <v>0</v>
      </c>
      <c r="N64" s="92">
        <f ca="1">IF($Q64="",0, IF($R64=$S$7,$F64*$M64*$K64,IF($R64=$S$2,$M64*$K64,    IF($M64*$K64 - SUMPRODUCT((TongVTSX!$C$3:$C$1500=$D64)*(TongVTSX!$E$3:$E$1500=$F64)*(TongVTSX!$O$3:$O$1500)) &lt;=10,$M64*$K64,"PO &lt;&gt; TongVTSX"))))</f>
        <v>0</v>
      </c>
      <c r="O64" s="92">
        <f t="shared" ca="1" si="2"/>
        <v>0</v>
      </c>
      <c r="P64" s="1146" t="str">
        <f ca="1">IFERROR(INDEX(NVLSX!$AA$2:$AA$6756,MATCH($D64,NVLSX!$E$2:$E$6756,0)),"")</f>
        <v/>
      </c>
      <c r="Q64" s="742" t="str">
        <f ca="1">IF($R64="","",IF($R64&lt;&gt;$R63,IF(TYPE(MATCH($R64,TongVTSX!$T$3:$T$1500,0))=16,"",MATCH($R64,TongVTSX!$T$3:$T$1500,0)),IF(TYPE(MATCH($R64,OFFSET(TongVTSX!$T$3,$Q63,0):'TongVTSX'!$T$1500,0)+$Q63)=16,"",MATCH($R64,OFFSET(TongVTSX!$T$3,$Q63,0):'TongVTSX'!$T$1500,0)+$Q63)))</f>
        <v/>
      </c>
      <c r="R64" s="179" t="str">
        <f ca="1">IFERROR(IF(COUNTIF($R$3:R63,R63)&lt; INDEX($T$1:$T$7,MATCH($R63,$S$1:$S$7,0)),$R63,INDEX($S$1:$S$7,MATCH($R63,$S$1:$S$7,0)+1)),"")</f>
        <v/>
      </c>
      <c r="S64" s="181"/>
      <c r="T64" s="182"/>
      <c r="U64" s="184" t="str">
        <f ca="1">IF($R64="PR",INDEX(NVLSX!$U$2:$U$6941,MATCH($D64,NVLSX!$E$2:$E$6941,0)),"")</f>
        <v/>
      </c>
      <c r="V64" s="184" t="str">
        <f ca="1">IF($R64="PR",INDEX(NVLSX!$S$2:$S$6941,MATCH($D64,NVLSX!$E$2:$E$6941,0))*1000,"")</f>
        <v/>
      </c>
      <c r="W64" s="776" t="str">
        <f ca="1">IF($R64="PR",INDEX(NVLSX!$S$2:$S$6941,MATCH($D64,NVLSX!$E$2:$E$6941,0))*INDEX(NVLSX!$T$2:$T$6941,MATCH($D64,NVLSX!$E$2:$E$6941,0)),"")</f>
        <v/>
      </c>
      <c r="X64" s="776">
        <f t="shared" ca="1" si="1"/>
        <v>0</v>
      </c>
      <c r="Y64" s="982" t="str">
        <f ca="1">IFERROR(INDEX(NVLSX!$X$2:$X$4655,MATCH($D64,NVLSX!$E$2:$E$4655,0)),"")</f>
        <v/>
      </c>
    </row>
    <row r="65" spans="1:25">
      <c r="A65" s="19" t="str">
        <f ca="1">IF($Q65="","",MAX($A$2:A64)+1)</f>
        <v/>
      </c>
      <c r="B65" s="1146" t="str">
        <f ca="1">IFERROR(INDEX(NVLSX!$Y$2:$Y$6756,MATCH($D65,NVLSX!$E$2:$E$6756,0)),"")</f>
        <v/>
      </c>
      <c r="C65" s="1146" t="str">
        <f ca="1">IFERROR(INDEX(NVLSX!$Z$2:$Z$6756,MATCH($D65,NVLSX!$E$2:$E$6756,0)),"")</f>
        <v/>
      </c>
      <c r="D65" s="23" t="str">
        <f ca="1">IF($Q65="","",INDEX(TongVTSX!C$3:C$1500,$Q65))</f>
        <v/>
      </c>
      <c r="E65" s="729" t="str">
        <f ca="1">IF($Q65="","",INDEX(TongVTSX!D$3:D$1500,$Q65) &amp; IF(OR($R65=$S$1,$R65=$S$7)," (" &amp; INDEX(TongVTSX!A$3:A$1500,$Q65) &amp; ")",""))</f>
        <v/>
      </c>
      <c r="F65" s="745" t="str">
        <f ca="1">IF($Q65="","",IF($R65=$S$7,INDEX(TongVTSX!$G$3:$G$1500,$Q65),INDEX(TongVTSX!$E$3:$E$1500,$Q65)))</f>
        <v/>
      </c>
      <c r="G65" s="24" t="str">
        <f ca="1">IF($Q65="","",IF($R65=$S$1,"mm",IF($R65=$S$2,"Thanh",INDEX(TongVTSX!F$3:F$1500,$Q65))))</f>
        <v/>
      </c>
      <c r="H65" s="114">
        <f ca="1">IF($R65=$S$1,INDEX(TongVTSX!$K$3:$K$1500,$Q65),IF($R65=$S$7,INDEX(TongVTSX!$H$3:$H$1500,$Q65),IF($R65=$S$2,ROUNDUP(SUMPRODUCT((TongVTSX!$C$3:$C$1500=$D65)*(TongVTSX!$E$3:$E$1500=$F65)*(TongVTSX!$K$3:$K$1500))/$U65,0),SUMPRODUCT((TongVTSX!$C$3:$C$1500=$D65)*(TongVTSX!$E$3:$E$1500=$F65)*(TongVTSX!$K$3:$K$1500)))))</f>
        <v>0</v>
      </c>
      <c r="I65" s="114"/>
      <c r="J65" s="114"/>
      <c r="K65" s="114" t="str">
        <f ca="1">IF($Q65="","",IF($R65=$S$2,INDEX(TongVTSX!M$3:M$1500,$Q65)*$U65,   INDEX(TongVTSX!M$3:M$1500,$Q65)))</f>
        <v/>
      </c>
      <c r="L65" s="92">
        <f ca="1">IF($Q65="",0, IF($R65=$S$7,$F65*$H65*$K65,IF($R65=$S$2,$H65*$K65,    IF($H65*$K65 - SUMPRODUCT((TongVTSX!$C$3:$C$1500=$D65)*(TongVTSX!$E$3:$E$1500=$F65)*(TongVTSX!$O$3:$O$1500)) &lt;=10,$H65*$K65,"PO &lt;&gt; TongVTSX"))))</f>
        <v>0</v>
      </c>
      <c r="M65" s="114">
        <f ca="1">IF($R65=$S$1,INDEX(TongVTSX!$K$3:$K$1500,$Q65),IF($R65=$S$7,INDEX(TongVTSX!$H$3:$H$1500,$Q65),IF($R65=$S$2,SUMPRODUCT((TongVTSX!$C$3:$C$1500=$D65)*(TongVTSX!$E$3:$E$1500=$F65)*(TongVTSX!$K$3:$K$1500))/$U65,SUMPRODUCT((TongVTSX!$C$3:$C$1500=$D65)*(TongVTSX!$E$3:$E$1500=$F65)*(TongVTSX!$K$3:$K$1500)))))</f>
        <v>0</v>
      </c>
      <c r="N65" s="92">
        <f ca="1">IF($Q65="",0, IF($R65=$S$7,$F65*$M65*$K65,IF($R65=$S$2,$M65*$K65,    IF($M65*$K65 - SUMPRODUCT((TongVTSX!$C$3:$C$1500=$D65)*(TongVTSX!$E$3:$E$1500=$F65)*(TongVTSX!$O$3:$O$1500)) &lt;=10,$M65*$K65,"PO &lt;&gt; TongVTSX"))))</f>
        <v>0</v>
      </c>
      <c r="O65" s="92">
        <f t="shared" ca="1" si="2"/>
        <v>0</v>
      </c>
      <c r="P65" s="1146" t="str">
        <f ca="1">IFERROR(INDEX(NVLSX!$AA$2:$AA$6756,MATCH($D65,NVLSX!$E$2:$E$6756,0)),"")</f>
        <v/>
      </c>
      <c r="Q65" s="742" t="str">
        <f ca="1">IF($R65="","",IF($R65&lt;&gt;$R64,IF(TYPE(MATCH($R65,TongVTSX!$T$3:$T$1500,0))=16,"",MATCH($R65,TongVTSX!$T$3:$T$1500,0)),IF(TYPE(MATCH($R65,OFFSET(TongVTSX!$T$3,$Q64,0):'TongVTSX'!$T$1500,0)+$Q64)=16,"",MATCH($R65,OFFSET(TongVTSX!$T$3,$Q64,0):'TongVTSX'!$T$1500,0)+$Q64)))</f>
        <v/>
      </c>
      <c r="R65" s="179" t="str">
        <f ca="1">IFERROR(IF(COUNTIF($R$3:R64,R64)&lt; INDEX($T$1:$T$7,MATCH($R64,$S$1:$S$7,0)),$R64,INDEX($S$1:$S$7,MATCH($R64,$S$1:$S$7,0)+1)),"")</f>
        <v/>
      </c>
      <c r="S65" s="181"/>
      <c r="T65" s="182"/>
      <c r="U65" s="184" t="str">
        <f ca="1">IF($R65="PR",INDEX(NVLSX!$U$2:$U$6941,MATCH($D65,NVLSX!$E$2:$E$6941,0)),"")</f>
        <v/>
      </c>
      <c r="V65" s="184" t="str">
        <f ca="1">IF($R65="PR",INDEX(NVLSX!$S$2:$S$6941,MATCH($D65,NVLSX!$E$2:$E$6941,0))*1000,"")</f>
        <v/>
      </c>
      <c r="W65" s="776" t="str">
        <f ca="1">IF($R65="PR",INDEX(NVLSX!$S$2:$S$6941,MATCH($D65,NVLSX!$E$2:$E$6941,0))*INDEX(NVLSX!$T$2:$T$6941,MATCH($D65,NVLSX!$E$2:$E$6941,0)),"")</f>
        <v/>
      </c>
      <c r="X65" s="776">
        <f t="shared" ca="1" si="1"/>
        <v>0</v>
      </c>
      <c r="Y65" s="982" t="str">
        <f ca="1">IFERROR(INDEX(NVLSX!$X$2:$X$4655,MATCH($D65,NVLSX!$E$2:$E$4655,0)),"")</f>
        <v/>
      </c>
    </row>
    <row r="66" spans="1:25">
      <c r="A66" s="19" t="str">
        <f ca="1">IF($Q66="","",MAX($A$2:A65)+1)</f>
        <v/>
      </c>
      <c r="B66" s="1146" t="str">
        <f ca="1">IFERROR(INDEX(NVLSX!$Y$2:$Y$6756,MATCH($D66,NVLSX!$E$2:$E$6756,0)),"")</f>
        <v/>
      </c>
      <c r="C66" s="1146" t="str">
        <f ca="1">IFERROR(INDEX(NVLSX!$Z$2:$Z$6756,MATCH($D66,NVLSX!$E$2:$E$6756,0)),"")</f>
        <v/>
      </c>
      <c r="D66" s="23" t="str">
        <f ca="1">IF($Q66="","",INDEX(TongVTSX!C$3:C$1500,$Q66))</f>
        <v/>
      </c>
      <c r="E66" s="729" t="str">
        <f ca="1">IF($Q66="","",INDEX(TongVTSX!D$3:D$1500,$Q66) &amp; IF(OR($R66=$S$1,$R66=$S$7)," (" &amp; INDEX(TongVTSX!A$3:A$1500,$Q66) &amp; ")",""))</f>
        <v/>
      </c>
      <c r="F66" s="745" t="str">
        <f ca="1">IF($Q66="","",IF($R66=$S$7,INDEX(TongVTSX!$G$3:$G$1500,$Q66),INDEX(TongVTSX!$E$3:$E$1500,$Q66)))</f>
        <v/>
      </c>
      <c r="G66" s="24" t="str">
        <f ca="1">IF($Q66="","",IF($R66=$S$1,"mm",IF($R66=$S$2,"Thanh",INDEX(TongVTSX!F$3:F$1500,$Q66))))</f>
        <v/>
      </c>
      <c r="H66" s="114">
        <f ca="1">IF($R66=$S$1,INDEX(TongVTSX!$K$3:$K$1500,$Q66),IF($R66=$S$7,INDEX(TongVTSX!$H$3:$H$1500,$Q66),IF($R66=$S$2,ROUNDUP(SUMPRODUCT((TongVTSX!$C$3:$C$1500=$D66)*(TongVTSX!$E$3:$E$1500=$F66)*(TongVTSX!$K$3:$K$1500))/$U66,0),SUMPRODUCT((TongVTSX!$C$3:$C$1500=$D66)*(TongVTSX!$E$3:$E$1500=$F66)*(TongVTSX!$K$3:$K$1500)))))</f>
        <v>0</v>
      </c>
      <c r="I66" s="114"/>
      <c r="J66" s="114"/>
      <c r="K66" s="114" t="str">
        <f ca="1">IF($Q66="","",IF($R66=$S$2,INDEX(TongVTSX!M$3:M$1500,$Q66)*$U66,   INDEX(TongVTSX!M$3:M$1500,$Q66)))</f>
        <v/>
      </c>
      <c r="L66" s="92">
        <f ca="1">IF($Q66="",0, IF($R66=$S$7,$F66*$H66*$K66,IF($R66=$S$2,$H66*$K66,    IF($H66*$K66 - SUMPRODUCT((TongVTSX!$C$3:$C$1500=$D66)*(TongVTSX!$E$3:$E$1500=$F66)*(TongVTSX!$O$3:$O$1500)) &lt;=10,$H66*$K66,"PO &lt;&gt; TongVTSX"))))</f>
        <v>0</v>
      </c>
      <c r="M66" s="114">
        <f ca="1">IF($R66=$S$1,INDEX(TongVTSX!$K$3:$K$1500,$Q66),IF($R66=$S$7,INDEX(TongVTSX!$H$3:$H$1500,$Q66),IF($R66=$S$2,SUMPRODUCT((TongVTSX!$C$3:$C$1500=$D66)*(TongVTSX!$E$3:$E$1500=$F66)*(TongVTSX!$K$3:$K$1500))/$U66,SUMPRODUCT((TongVTSX!$C$3:$C$1500=$D66)*(TongVTSX!$E$3:$E$1500=$F66)*(TongVTSX!$K$3:$K$1500)))))</f>
        <v>0</v>
      </c>
      <c r="N66" s="92">
        <f ca="1">IF($Q66="",0, IF($R66=$S$7,$F66*$M66*$K66,IF($R66=$S$2,$M66*$K66,    IF($M66*$K66 - SUMPRODUCT((TongVTSX!$C$3:$C$1500=$D66)*(TongVTSX!$E$3:$E$1500=$F66)*(TongVTSX!$O$3:$O$1500)) &lt;=10,$M66*$K66,"PO &lt;&gt; TongVTSX"))))</f>
        <v>0</v>
      </c>
      <c r="O66" s="92">
        <f t="shared" ca="1" si="2"/>
        <v>0</v>
      </c>
      <c r="P66" s="1146" t="str">
        <f ca="1">IFERROR(INDEX(NVLSX!$AA$2:$AA$6756,MATCH($D66,NVLSX!$E$2:$E$6756,0)),"")</f>
        <v/>
      </c>
      <c r="Q66" s="742" t="str">
        <f ca="1">IF($R66="","",IF($R66&lt;&gt;$R65,IF(TYPE(MATCH($R66,TongVTSX!$T$3:$T$1500,0))=16,"",MATCH($R66,TongVTSX!$T$3:$T$1500,0)),IF(TYPE(MATCH($R66,OFFSET(TongVTSX!$T$3,$Q65,0):'TongVTSX'!$T$1500,0)+$Q65)=16,"",MATCH($R66,OFFSET(TongVTSX!$T$3,$Q65,0):'TongVTSX'!$T$1500,0)+$Q65)))</f>
        <v/>
      </c>
      <c r="R66" s="179" t="str">
        <f ca="1">IFERROR(IF(COUNTIF($R$3:R65,R65)&lt; INDEX($T$1:$T$7,MATCH($R65,$S$1:$S$7,0)),$R65,INDEX($S$1:$S$7,MATCH($R65,$S$1:$S$7,0)+1)),"")</f>
        <v/>
      </c>
      <c r="S66" s="181"/>
      <c r="T66" s="182"/>
      <c r="U66" s="184" t="str">
        <f ca="1">IF($R66="PR",INDEX(NVLSX!$U$2:$U$6941,MATCH($D66,NVLSX!$E$2:$E$6941,0)),"")</f>
        <v/>
      </c>
      <c r="V66" s="184" t="str">
        <f ca="1">IF($R66="PR",INDEX(NVLSX!$S$2:$S$6941,MATCH($D66,NVLSX!$E$2:$E$6941,0))*1000,"")</f>
        <v/>
      </c>
      <c r="W66" s="776" t="str">
        <f ca="1">IF($R66="PR",INDEX(NVLSX!$S$2:$S$6941,MATCH($D66,NVLSX!$E$2:$E$6941,0))*INDEX(NVLSX!$T$2:$T$6941,MATCH($D66,NVLSX!$E$2:$E$6941,0)),"")</f>
        <v/>
      </c>
      <c r="X66" s="776">
        <f t="shared" ca="1" si="1"/>
        <v>0</v>
      </c>
      <c r="Y66" s="982" t="str">
        <f ca="1">IFERROR(INDEX(NVLSX!$X$2:$X$4655,MATCH($D66,NVLSX!$E$2:$E$4655,0)),"")</f>
        <v/>
      </c>
    </row>
    <row r="67" spans="1:25">
      <c r="A67" s="19" t="str">
        <f ca="1">IF($Q67="","",MAX($A$2:A66)+1)</f>
        <v/>
      </c>
      <c r="B67" s="1146" t="str">
        <f ca="1">IFERROR(INDEX(NVLSX!$Y$2:$Y$6756,MATCH($D67,NVLSX!$E$2:$E$6756,0)),"")</f>
        <v/>
      </c>
      <c r="C67" s="1146" t="str">
        <f ca="1">IFERROR(INDEX(NVLSX!$Z$2:$Z$6756,MATCH($D67,NVLSX!$E$2:$E$6756,0)),"")</f>
        <v/>
      </c>
      <c r="D67" s="23" t="str">
        <f ca="1">IF($Q67="","",INDEX(TongVTSX!C$3:C$1500,$Q67))</f>
        <v/>
      </c>
      <c r="E67" s="729" t="str">
        <f ca="1">IF($Q67="","",INDEX(TongVTSX!D$3:D$1500,$Q67) &amp; IF(OR($R67=$S$1,$R67=$S$7)," (" &amp; INDEX(TongVTSX!A$3:A$1500,$Q67) &amp; ")",""))</f>
        <v/>
      </c>
      <c r="F67" s="745" t="str">
        <f ca="1">IF($Q67="","",IF($R67=$S$7,INDEX(TongVTSX!$G$3:$G$1500,$Q67),INDEX(TongVTSX!$E$3:$E$1500,$Q67)))</f>
        <v/>
      </c>
      <c r="G67" s="24" t="str">
        <f ca="1">IF($Q67="","",IF($R67=$S$1,"mm",IF($R67=$S$2,"Thanh",INDEX(TongVTSX!F$3:F$1500,$Q67))))</f>
        <v/>
      </c>
      <c r="H67" s="114">
        <f ca="1">IF($R67=$S$1,INDEX(TongVTSX!$K$3:$K$1500,$Q67),IF($R67=$S$7,INDEX(TongVTSX!$H$3:$H$1500,$Q67),IF($R67=$S$2,ROUNDUP(SUMPRODUCT((TongVTSX!$C$3:$C$1500=$D67)*(TongVTSX!$E$3:$E$1500=$F67)*(TongVTSX!$K$3:$K$1500))/$U67,0),SUMPRODUCT((TongVTSX!$C$3:$C$1500=$D67)*(TongVTSX!$E$3:$E$1500=$F67)*(TongVTSX!$K$3:$K$1500)))))</f>
        <v>0</v>
      </c>
      <c r="I67" s="114"/>
      <c r="J67" s="114"/>
      <c r="K67" s="114" t="str">
        <f ca="1">IF($Q67="","",IF($R67=$S$2,INDEX(TongVTSX!M$3:M$1500,$Q67)*$U67,   INDEX(TongVTSX!M$3:M$1500,$Q67)))</f>
        <v/>
      </c>
      <c r="L67" s="92">
        <f ca="1">IF($Q67="",0, IF($R67=$S$7,$F67*$H67*$K67,IF($R67=$S$2,$H67*$K67,    IF($H67*$K67 - SUMPRODUCT((TongVTSX!$C$3:$C$1500=$D67)*(TongVTSX!$E$3:$E$1500=$F67)*(TongVTSX!$O$3:$O$1500)) &lt;=10,$H67*$K67,"PO &lt;&gt; TongVTSX"))))</f>
        <v>0</v>
      </c>
      <c r="M67" s="114">
        <f ca="1">IF($R67=$S$1,INDEX(TongVTSX!$K$3:$K$1500,$Q67),IF($R67=$S$7,INDEX(TongVTSX!$H$3:$H$1500,$Q67),IF($R67=$S$2,SUMPRODUCT((TongVTSX!$C$3:$C$1500=$D67)*(TongVTSX!$E$3:$E$1500=$F67)*(TongVTSX!$K$3:$K$1500))/$U67,SUMPRODUCT((TongVTSX!$C$3:$C$1500=$D67)*(TongVTSX!$E$3:$E$1500=$F67)*(TongVTSX!$K$3:$K$1500)))))</f>
        <v>0</v>
      </c>
      <c r="N67" s="92">
        <f ca="1">IF($Q67="",0, IF($R67=$S$7,$F67*$M67*$K67,IF($R67=$S$2,$M67*$K67,    IF($M67*$K67 - SUMPRODUCT((TongVTSX!$C$3:$C$1500=$D67)*(TongVTSX!$E$3:$E$1500=$F67)*(TongVTSX!$O$3:$O$1500)) &lt;=10,$M67*$K67,"PO &lt;&gt; TongVTSX"))))</f>
        <v>0</v>
      </c>
      <c r="O67" s="92">
        <f t="shared" ref="O67:O98" ca="1" si="3">+L67-N67</f>
        <v>0</v>
      </c>
      <c r="P67" s="1146" t="str">
        <f ca="1">IFERROR(INDEX(NVLSX!$AA$2:$AA$6756,MATCH($D67,NVLSX!$E$2:$E$6756,0)),"")</f>
        <v/>
      </c>
      <c r="Q67" s="742" t="str">
        <f ca="1">IF($R67="","",IF($R67&lt;&gt;$R66,IF(TYPE(MATCH($R67,TongVTSX!$T$3:$T$1500,0))=16,"",MATCH($R67,TongVTSX!$T$3:$T$1500,0)),IF(TYPE(MATCH($R67,OFFSET(TongVTSX!$T$3,$Q66,0):'TongVTSX'!$T$1500,0)+$Q66)=16,"",MATCH($R67,OFFSET(TongVTSX!$T$3,$Q66,0):'TongVTSX'!$T$1500,0)+$Q66)))</f>
        <v/>
      </c>
      <c r="R67" s="179" t="str">
        <f ca="1">IFERROR(IF(COUNTIF($R$3:R66,R66)&lt; INDEX($T$1:$T$7,MATCH($R66,$S$1:$S$7,0)),$R66,INDEX($S$1:$S$7,MATCH($R66,$S$1:$S$7,0)+1)),"")</f>
        <v/>
      </c>
      <c r="S67" s="181"/>
      <c r="T67" s="182"/>
      <c r="U67" s="184" t="str">
        <f ca="1">IF($R67="PR",INDEX(NVLSX!$U$2:$U$6941,MATCH($D67,NVLSX!$E$2:$E$6941,0)),"")</f>
        <v/>
      </c>
      <c r="V67" s="184" t="str">
        <f ca="1">IF($R67="PR",INDEX(NVLSX!$S$2:$S$6941,MATCH($D67,NVLSX!$E$2:$E$6941,0))*1000,"")</f>
        <v/>
      </c>
      <c r="W67" s="776" t="str">
        <f ca="1">IF($R67="PR",INDEX(NVLSX!$S$2:$S$6941,MATCH($D67,NVLSX!$E$2:$E$6941,0))*INDEX(NVLSX!$T$2:$T$6941,MATCH($D67,NVLSX!$E$2:$E$6941,0)),"")</f>
        <v/>
      </c>
      <c r="X67" s="776">
        <f t="shared" ca="1" si="1"/>
        <v>0</v>
      </c>
      <c r="Y67" s="982" t="str">
        <f ca="1">IFERROR(INDEX(NVLSX!$X$2:$X$4655,MATCH($D67,NVLSX!$E$2:$E$4655,0)),"")</f>
        <v/>
      </c>
    </row>
    <row r="68" spans="1:25">
      <c r="A68" s="19" t="str">
        <f ca="1">IF($Q68="","",MAX($A$2:A67)+1)</f>
        <v/>
      </c>
      <c r="B68" s="1146" t="str">
        <f ca="1">IFERROR(INDEX(NVLSX!$Y$2:$Y$6756,MATCH($D68,NVLSX!$E$2:$E$6756,0)),"")</f>
        <v/>
      </c>
      <c r="C68" s="1146" t="str">
        <f ca="1">IFERROR(INDEX(NVLSX!$Z$2:$Z$6756,MATCH($D68,NVLSX!$E$2:$E$6756,0)),"")</f>
        <v/>
      </c>
      <c r="D68" s="23" t="str">
        <f ca="1">IF($Q68="","",INDEX(TongVTSX!C$3:C$1500,$Q68))</f>
        <v/>
      </c>
      <c r="E68" s="729" t="str">
        <f ca="1">IF($Q68="","",INDEX(TongVTSX!D$3:D$1500,$Q68) &amp; IF(OR($R68=$S$1,$R68=$S$7)," (" &amp; INDEX(TongVTSX!A$3:A$1500,$Q68) &amp; ")",""))</f>
        <v/>
      </c>
      <c r="F68" s="745" t="str">
        <f ca="1">IF($Q68="","",IF($R68=$S$7,INDEX(TongVTSX!$G$3:$G$1500,$Q68),INDEX(TongVTSX!$E$3:$E$1500,$Q68)))</f>
        <v/>
      </c>
      <c r="G68" s="24" t="str">
        <f ca="1">IF($Q68="","",IF($R68=$S$1,"mm",IF($R68=$S$2,"Thanh",INDEX(TongVTSX!F$3:F$1500,$Q68))))</f>
        <v/>
      </c>
      <c r="H68" s="114">
        <f ca="1">IF($R68=$S$1,INDEX(TongVTSX!$K$3:$K$1500,$Q68),IF($R68=$S$7,INDEX(TongVTSX!$H$3:$H$1500,$Q68),IF($R68=$S$2,ROUNDUP(SUMPRODUCT((TongVTSX!$C$3:$C$1500=$D68)*(TongVTSX!$E$3:$E$1500=$F68)*(TongVTSX!$K$3:$K$1500))/$U68,0),SUMPRODUCT((TongVTSX!$C$3:$C$1500=$D68)*(TongVTSX!$E$3:$E$1500=$F68)*(TongVTSX!$K$3:$K$1500)))))</f>
        <v>0</v>
      </c>
      <c r="I68" s="114"/>
      <c r="J68" s="114"/>
      <c r="K68" s="114" t="str">
        <f ca="1">IF($Q68="","",IF($R68=$S$2,INDEX(TongVTSX!M$3:M$1500,$Q68)*$U68,   INDEX(TongVTSX!M$3:M$1500,$Q68)))</f>
        <v/>
      </c>
      <c r="L68" s="92">
        <f ca="1">IF($Q68="",0, IF($R68=$S$7,$F68*$H68*$K68,IF($R68=$S$2,$H68*$K68,    IF($H68*$K68 - SUMPRODUCT((TongVTSX!$C$3:$C$1500=$D68)*(TongVTSX!$E$3:$E$1500=$F68)*(TongVTSX!$O$3:$O$1500)) &lt;=10,$H68*$K68,"PO &lt;&gt; TongVTSX"))))</f>
        <v>0</v>
      </c>
      <c r="M68" s="114">
        <f ca="1">IF($R68=$S$1,INDEX(TongVTSX!$K$3:$K$1500,$Q68),IF($R68=$S$7,INDEX(TongVTSX!$H$3:$H$1500,$Q68),IF($R68=$S$2,SUMPRODUCT((TongVTSX!$C$3:$C$1500=$D68)*(TongVTSX!$E$3:$E$1500=$F68)*(TongVTSX!$K$3:$K$1500))/$U68,SUMPRODUCT((TongVTSX!$C$3:$C$1500=$D68)*(TongVTSX!$E$3:$E$1500=$F68)*(TongVTSX!$K$3:$K$1500)))))</f>
        <v>0</v>
      </c>
      <c r="N68" s="92">
        <f ca="1">IF($Q68="",0, IF($R68=$S$7,$F68*$M68*$K68,IF($R68=$S$2,$M68*$K68,    IF($M68*$K68 - SUMPRODUCT((TongVTSX!$C$3:$C$1500=$D68)*(TongVTSX!$E$3:$E$1500=$F68)*(TongVTSX!$O$3:$O$1500)) &lt;=10,$M68*$K68,"PO &lt;&gt; TongVTSX"))))</f>
        <v>0</v>
      </c>
      <c r="O68" s="92">
        <f t="shared" ca="1" si="3"/>
        <v>0</v>
      </c>
      <c r="P68" s="1146" t="str">
        <f ca="1">IFERROR(INDEX(NVLSX!$AA$2:$AA$6756,MATCH($D68,NVLSX!$E$2:$E$6756,0)),"")</f>
        <v/>
      </c>
      <c r="Q68" s="742" t="str">
        <f ca="1">IF($R68="","",IF($R68&lt;&gt;$R67,IF(TYPE(MATCH($R68,TongVTSX!$T$3:$T$1500,0))=16,"",MATCH($R68,TongVTSX!$T$3:$T$1500,0)),IF(TYPE(MATCH($R68,OFFSET(TongVTSX!$T$3,$Q67,0):'TongVTSX'!$T$1500,0)+$Q67)=16,"",MATCH($R68,OFFSET(TongVTSX!$T$3,$Q67,0):'TongVTSX'!$T$1500,0)+$Q67)))</f>
        <v/>
      </c>
      <c r="R68" s="179" t="str">
        <f ca="1">IFERROR(IF(COUNTIF($R$3:R67,R67)&lt; INDEX($T$1:$T$7,MATCH($R67,$S$1:$S$7,0)),$R67,INDEX($S$1:$S$7,MATCH($R67,$S$1:$S$7,0)+1)),"")</f>
        <v/>
      </c>
      <c r="S68" s="181"/>
      <c r="T68" s="182"/>
      <c r="U68" s="184" t="str">
        <f ca="1">IF($R68="PR",INDEX(NVLSX!$U$2:$U$6941,MATCH($D68,NVLSX!$E$2:$E$6941,0)),"")</f>
        <v/>
      </c>
      <c r="V68" s="184" t="str">
        <f ca="1">IF($R68="PR",INDEX(NVLSX!$S$2:$S$6941,MATCH($D68,NVLSX!$E$2:$E$6941,0))*1000,"")</f>
        <v/>
      </c>
      <c r="W68" s="776" t="str">
        <f ca="1">IF($R68="PR",INDEX(NVLSX!$S$2:$S$6941,MATCH($D68,NVLSX!$E$2:$E$6941,0))*INDEX(NVLSX!$T$2:$T$6941,MATCH($D68,NVLSX!$E$2:$E$6941,0)),"")</f>
        <v/>
      </c>
      <c r="X68" s="776">
        <f t="shared" ref="X68:X131" ca="1" si="4">IF($R68="PR",W68*H68,0)</f>
        <v>0</v>
      </c>
      <c r="Y68" s="982" t="str">
        <f ca="1">IFERROR(INDEX(NVLSX!$X$2:$X$4655,MATCH($D68,NVLSX!$E$2:$E$4655,0)),"")</f>
        <v/>
      </c>
    </row>
    <row r="69" spans="1:25">
      <c r="A69" s="19" t="str">
        <f ca="1">IF($Q69="","",MAX($A$2:A68)+1)</f>
        <v/>
      </c>
      <c r="B69" s="1146" t="str">
        <f ca="1">IFERROR(INDEX(NVLSX!$Y$2:$Y$6756,MATCH($D69,NVLSX!$E$2:$E$6756,0)),"")</f>
        <v/>
      </c>
      <c r="C69" s="1146" t="str">
        <f ca="1">IFERROR(INDEX(NVLSX!$Z$2:$Z$6756,MATCH($D69,NVLSX!$E$2:$E$6756,0)),"")</f>
        <v/>
      </c>
      <c r="D69" s="23" t="str">
        <f ca="1">IF($Q69="","",INDEX(TongVTSX!C$3:C$1500,$Q69))</f>
        <v/>
      </c>
      <c r="E69" s="729" t="str">
        <f ca="1">IF($Q69="","",INDEX(TongVTSX!D$3:D$1500,$Q69) &amp; IF(OR($R69=$S$1,$R69=$S$7)," (" &amp; INDEX(TongVTSX!A$3:A$1500,$Q69) &amp; ")",""))</f>
        <v/>
      </c>
      <c r="F69" s="745" t="str">
        <f ca="1">IF($Q69="","",IF($R69=$S$7,INDEX(TongVTSX!$G$3:$G$1500,$Q69),INDEX(TongVTSX!$E$3:$E$1500,$Q69)))</f>
        <v/>
      </c>
      <c r="G69" s="24" t="str">
        <f ca="1">IF($Q69="","",IF($R69=$S$1,"mm",IF($R69=$S$2,"Thanh",INDEX(TongVTSX!F$3:F$1500,$Q69))))</f>
        <v/>
      </c>
      <c r="H69" s="114">
        <f ca="1">IF($R69=$S$1,INDEX(TongVTSX!$K$3:$K$1500,$Q69),IF($R69=$S$7,INDEX(TongVTSX!$H$3:$H$1500,$Q69),IF($R69=$S$2,ROUNDUP(SUMPRODUCT((TongVTSX!$C$3:$C$1500=$D69)*(TongVTSX!$E$3:$E$1500=$F69)*(TongVTSX!$K$3:$K$1500))/$U69,0),SUMPRODUCT((TongVTSX!$C$3:$C$1500=$D69)*(TongVTSX!$E$3:$E$1500=$F69)*(TongVTSX!$K$3:$K$1500)))))</f>
        <v>0</v>
      </c>
      <c r="I69" s="114"/>
      <c r="J69" s="114"/>
      <c r="K69" s="114" t="str">
        <f ca="1">IF($Q69="","",IF($R69=$S$2,INDEX(TongVTSX!M$3:M$1500,$Q69)*$U69,   INDEX(TongVTSX!M$3:M$1500,$Q69)))</f>
        <v/>
      </c>
      <c r="L69" s="92">
        <f ca="1">IF($Q69="",0, IF($R69=$S$7,$F69*$H69*$K69,IF($R69=$S$2,$H69*$K69,    IF($H69*$K69 - SUMPRODUCT((TongVTSX!$C$3:$C$1500=$D69)*(TongVTSX!$E$3:$E$1500=$F69)*(TongVTSX!$O$3:$O$1500)) &lt;=10,$H69*$K69,"PO &lt;&gt; TongVTSX"))))</f>
        <v>0</v>
      </c>
      <c r="M69" s="114">
        <f ca="1">IF($R69=$S$1,INDEX(TongVTSX!$K$3:$K$1500,$Q69),IF($R69=$S$7,INDEX(TongVTSX!$H$3:$H$1500,$Q69),IF($R69=$S$2,SUMPRODUCT((TongVTSX!$C$3:$C$1500=$D69)*(TongVTSX!$E$3:$E$1500=$F69)*(TongVTSX!$K$3:$K$1500))/$U69,SUMPRODUCT((TongVTSX!$C$3:$C$1500=$D69)*(TongVTSX!$E$3:$E$1500=$F69)*(TongVTSX!$K$3:$K$1500)))))</f>
        <v>0</v>
      </c>
      <c r="N69" s="92">
        <f ca="1">IF($Q69="",0, IF($R69=$S$7,$F69*$M69*$K69,IF($R69=$S$2,$M69*$K69,    IF($M69*$K69 - SUMPRODUCT((TongVTSX!$C$3:$C$1500=$D69)*(TongVTSX!$E$3:$E$1500=$F69)*(TongVTSX!$O$3:$O$1500)) &lt;=10,$M69*$K69,"PO &lt;&gt; TongVTSX"))))</f>
        <v>0</v>
      </c>
      <c r="O69" s="92">
        <f t="shared" ca="1" si="3"/>
        <v>0</v>
      </c>
      <c r="P69" s="1146" t="str">
        <f ca="1">IFERROR(INDEX(NVLSX!$AA$2:$AA$6756,MATCH($D69,NVLSX!$E$2:$E$6756,0)),"")</f>
        <v/>
      </c>
      <c r="Q69" s="742" t="str">
        <f ca="1">IF($R69="","",IF($R69&lt;&gt;$R68,IF(TYPE(MATCH($R69,TongVTSX!$T$3:$T$1500,0))=16,"",MATCH($R69,TongVTSX!$T$3:$T$1500,0)),IF(TYPE(MATCH($R69,OFFSET(TongVTSX!$T$3,$Q68,0):'TongVTSX'!$T$1500,0)+$Q68)=16,"",MATCH($R69,OFFSET(TongVTSX!$T$3,$Q68,0):'TongVTSX'!$T$1500,0)+$Q68)))</f>
        <v/>
      </c>
      <c r="R69" s="179" t="str">
        <f ca="1">IFERROR(IF(COUNTIF($R$3:R68,R68)&lt; INDEX($T$1:$T$7,MATCH($R68,$S$1:$S$7,0)),$R68,INDEX($S$1:$S$7,MATCH($R68,$S$1:$S$7,0)+1)),"")</f>
        <v/>
      </c>
      <c r="S69" s="181"/>
      <c r="T69" s="182"/>
      <c r="U69" s="184" t="str">
        <f ca="1">IF($R69="PR",INDEX(NVLSX!$U$2:$U$6941,MATCH($D69,NVLSX!$E$2:$E$6941,0)),"")</f>
        <v/>
      </c>
      <c r="V69" s="184" t="str">
        <f ca="1">IF($R69="PR",INDEX(NVLSX!$S$2:$S$6941,MATCH($D69,NVLSX!$E$2:$E$6941,0))*1000,"")</f>
        <v/>
      </c>
      <c r="W69" s="776" t="str">
        <f ca="1">IF($R69="PR",INDEX(NVLSX!$S$2:$S$6941,MATCH($D69,NVLSX!$E$2:$E$6941,0))*INDEX(NVLSX!$T$2:$T$6941,MATCH($D69,NVLSX!$E$2:$E$6941,0)),"")</f>
        <v/>
      </c>
      <c r="X69" s="776">
        <f t="shared" ca="1" si="4"/>
        <v>0</v>
      </c>
      <c r="Y69" s="982" t="str">
        <f ca="1">IFERROR(INDEX(NVLSX!$X$2:$X$4655,MATCH($D69,NVLSX!$E$2:$E$4655,0)),"")</f>
        <v/>
      </c>
    </row>
    <row r="70" spans="1:25">
      <c r="A70" s="19" t="str">
        <f ca="1">IF($Q70="","",MAX($A$2:A69)+1)</f>
        <v/>
      </c>
      <c r="B70" s="1146" t="str">
        <f ca="1">IFERROR(INDEX(NVLSX!$Y$2:$Y$6756,MATCH($D70,NVLSX!$E$2:$E$6756,0)),"")</f>
        <v/>
      </c>
      <c r="C70" s="1146" t="str">
        <f ca="1">IFERROR(INDEX(NVLSX!$Z$2:$Z$6756,MATCH($D70,NVLSX!$E$2:$E$6756,0)),"")</f>
        <v/>
      </c>
      <c r="D70" s="23" t="str">
        <f ca="1">IF($Q70="","",INDEX(TongVTSX!C$3:C$1500,$Q70))</f>
        <v/>
      </c>
      <c r="E70" s="729" t="str">
        <f ca="1">IF($Q70="","",INDEX(TongVTSX!D$3:D$1500,$Q70) &amp; IF(OR($R70=$S$1,$R70=$S$7)," (" &amp; INDEX(TongVTSX!A$3:A$1500,$Q70) &amp; ")",""))</f>
        <v/>
      </c>
      <c r="F70" s="745" t="str">
        <f ca="1">IF($Q70="","",IF($R70=$S$7,INDEX(TongVTSX!$G$3:$G$1500,$Q70),INDEX(TongVTSX!$E$3:$E$1500,$Q70)))</f>
        <v/>
      </c>
      <c r="G70" s="24" t="str">
        <f ca="1">IF($Q70="","",IF($R70=$S$1,"mm",IF($R70=$S$2,"Thanh",INDEX(TongVTSX!F$3:F$1500,$Q70))))</f>
        <v/>
      </c>
      <c r="H70" s="114">
        <f ca="1">IF($R70=$S$1,INDEX(TongVTSX!$K$3:$K$1500,$Q70),IF($R70=$S$7,INDEX(TongVTSX!$H$3:$H$1500,$Q70),IF($R70=$S$2,ROUNDUP(SUMPRODUCT((TongVTSX!$C$3:$C$1500=$D70)*(TongVTSX!$E$3:$E$1500=$F70)*(TongVTSX!$K$3:$K$1500))/$U70,0),SUMPRODUCT((TongVTSX!$C$3:$C$1500=$D70)*(TongVTSX!$E$3:$E$1500=$F70)*(TongVTSX!$K$3:$K$1500)))))</f>
        <v>0</v>
      </c>
      <c r="I70" s="114"/>
      <c r="J70" s="114"/>
      <c r="K70" s="114" t="str">
        <f ca="1">IF($Q70="","",IF($R70=$S$2,INDEX(TongVTSX!M$3:M$1500,$Q70)*$U70,   INDEX(TongVTSX!M$3:M$1500,$Q70)))</f>
        <v/>
      </c>
      <c r="L70" s="92">
        <f ca="1">IF($Q70="",0, IF($R70=$S$7,$F70*$H70*$K70,IF($R70=$S$2,$H70*$K70,    IF($H70*$K70 - SUMPRODUCT((TongVTSX!$C$3:$C$1500=$D70)*(TongVTSX!$E$3:$E$1500=$F70)*(TongVTSX!$O$3:$O$1500)) &lt;=10,$H70*$K70,"PO &lt;&gt; TongVTSX"))))</f>
        <v>0</v>
      </c>
      <c r="M70" s="114">
        <f ca="1">IF($R70=$S$1,INDEX(TongVTSX!$K$3:$K$1500,$Q70),IF($R70=$S$7,INDEX(TongVTSX!$H$3:$H$1500,$Q70),IF($R70=$S$2,SUMPRODUCT((TongVTSX!$C$3:$C$1500=$D70)*(TongVTSX!$E$3:$E$1500=$F70)*(TongVTSX!$K$3:$K$1500))/$U70,SUMPRODUCT((TongVTSX!$C$3:$C$1500=$D70)*(TongVTSX!$E$3:$E$1500=$F70)*(TongVTSX!$K$3:$K$1500)))))</f>
        <v>0</v>
      </c>
      <c r="N70" s="92">
        <f ca="1">IF($Q70="",0, IF($R70=$S$7,$F70*$M70*$K70,IF($R70=$S$2,$M70*$K70,    IF($M70*$K70 - SUMPRODUCT((TongVTSX!$C$3:$C$1500=$D70)*(TongVTSX!$E$3:$E$1500=$F70)*(TongVTSX!$O$3:$O$1500)) &lt;=10,$M70*$K70,"PO &lt;&gt; TongVTSX"))))</f>
        <v>0</v>
      </c>
      <c r="O70" s="92">
        <f t="shared" ca="1" si="3"/>
        <v>0</v>
      </c>
      <c r="P70" s="1146" t="str">
        <f ca="1">IFERROR(INDEX(NVLSX!$AA$2:$AA$6756,MATCH($D70,NVLSX!$E$2:$E$6756,0)),"")</f>
        <v/>
      </c>
      <c r="Q70" s="742" t="str">
        <f ca="1">IF($R70="","",IF($R70&lt;&gt;$R69,IF(TYPE(MATCH($R70,TongVTSX!$T$3:$T$1500,0))=16,"",MATCH($R70,TongVTSX!$T$3:$T$1500,0)),IF(TYPE(MATCH($R70,OFFSET(TongVTSX!$T$3,$Q69,0):'TongVTSX'!$T$1500,0)+$Q69)=16,"",MATCH($R70,OFFSET(TongVTSX!$T$3,$Q69,0):'TongVTSX'!$T$1500,0)+$Q69)))</f>
        <v/>
      </c>
      <c r="R70" s="179" t="str">
        <f ca="1">IFERROR(IF(COUNTIF($R$3:R69,R69)&lt; INDEX($T$1:$T$7,MATCH($R69,$S$1:$S$7,0)),$R69,INDEX($S$1:$S$7,MATCH($R69,$S$1:$S$7,0)+1)),"")</f>
        <v/>
      </c>
      <c r="S70" s="181"/>
      <c r="T70" s="182"/>
      <c r="U70" s="184" t="str">
        <f ca="1">IF($R70="PR",INDEX(NVLSX!$U$2:$U$6941,MATCH($D70,NVLSX!$E$2:$E$6941,0)),"")</f>
        <v/>
      </c>
      <c r="V70" s="184" t="str">
        <f ca="1">IF($R70="PR",INDEX(NVLSX!$S$2:$S$6941,MATCH($D70,NVLSX!$E$2:$E$6941,0))*1000,"")</f>
        <v/>
      </c>
      <c r="W70" s="776" t="str">
        <f ca="1">IF($R70="PR",INDEX(NVLSX!$S$2:$S$6941,MATCH($D70,NVLSX!$E$2:$E$6941,0))*INDEX(NVLSX!$T$2:$T$6941,MATCH($D70,NVLSX!$E$2:$E$6941,0)),"")</f>
        <v/>
      </c>
      <c r="X70" s="776">
        <f t="shared" ca="1" si="4"/>
        <v>0</v>
      </c>
      <c r="Y70" s="982" t="str">
        <f ca="1">IFERROR(INDEX(NVLSX!$X$2:$X$4655,MATCH($D70,NVLSX!$E$2:$E$4655,0)),"")</f>
        <v/>
      </c>
    </row>
    <row r="71" spans="1:25">
      <c r="A71" s="19" t="str">
        <f ca="1">IF($Q71="","",MAX($A$2:A70)+1)</f>
        <v/>
      </c>
      <c r="B71" s="1146" t="str">
        <f ca="1">IFERROR(INDEX(NVLSX!$Y$2:$Y$6756,MATCH($D71,NVLSX!$E$2:$E$6756,0)),"")</f>
        <v/>
      </c>
      <c r="C71" s="1146" t="str">
        <f ca="1">IFERROR(INDEX(NVLSX!$Z$2:$Z$6756,MATCH($D71,NVLSX!$E$2:$E$6756,0)),"")</f>
        <v/>
      </c>
      <c r="D71" s="23" t="str">
        <f ca="1">IF($Q71="","",INDEX(TongVTSX!C$3:C$1500,$Q71))</f>
        <v/>
      </c>
      <c r="E71" s="729" t="str">
        <f ca="1">IF($Q71="","",INDEX(TongVTSX!D$3:D$1500,$Q71) &amp; IF(OR($R71=$S$1,$R71=$S$7)," (" &amp; INDEX(TongVTSX!A$3:A$1500,$Q71) &amp; ")",""))</f>
        <v/>
      </c>
      <c r="F71" s="745" t="str">
        <f ca="1">IF($Q71="","",IF($R71=$S$7,INDEX(TongVTSX!$G$3:$G$1500,$Q71),INDEX(TongVTSX!$E$3:$E$1500,$Q71)))</f>
        <v/>
      </c>
      <c r="G71" s="24" t="str">
        <f ca="1">IF($Q71="","",IF($R71=$S$1,"mm",IF($R71=$S$2,"Thanh",INDEX(TongVTSX!F$3:F$1500,$Q71))))</f>
        <v/>
      </c>
      <c r="H71" s="114">
        <f ca="1">IF($R71=$S$1,INDEX(TongVTSX!$K$3:$K$1500,$Q71),IF($R71=$S$7,INDEX(TongVTSX!$H$3:$H$1500,$Q71),IF($R71=$S$2,ROUNDUP(SUMPRODUCT((TongVTSX!$C$3:$C$1500=$D71)*(TongVTSX!$E$3:$E$1500=$F71)*(TongVTSX!$K$3:$K$1500))/$U71,0),SUMPRODUCT((TongVTSX!$C$3:$C$1500=$D71)*(TongVTSX!$E$3:$E$1500=$F71)*(TongVTSX!$K$3:$K$1500)))))</f>
        <v>0</v>
      </c>
      <c r="I71" s="114"/>
      <c r="J71" s="114"/>
      <c r="K71" s="114" t="str">
        <f ca="1">IF($Q71="","",IF($R71=$S$2,INDEX(TongVTSX!M$3:M$1500,$Q71)*$U71,   INDEX(TongVTSX!M$3:M$1500,$Q71)))</f>
        <v/>
      </c>
      <c r="L71" s="92">
        <f ca="1">IF($Q71="",0, IF($R71=$S$7,$F71*$H71*$K71,IF($R71=$S$2,$H71*$K71,    IF($H71*$K71 - SUMPRODUCT((TongVTSX!$C$3:$C$1500=$D71)*(TongVTSX!$E$3:$E$1500=$F71)*(TongVTSX!$O$3:$O$1500)) &lt;=10,$H71*$K71,"PO &lt;&gt; TongVTSX"))))</f>
        <v>0</v>
      </c>
      <c r="M71" s="114">
        <f ca="1">IF($R71=$S$1,INDEX(TongVTSX!$K$3:$K$1500,$Q71),IF($R71=$S$7,INDEX(TongVTSX!$H$3:$H$1500,$Q71),IF($R71=$S$2,SUMPRODUCT((TongVTSX!$C$3:$C$1500=$D71)*(TongVTSX!$E$3:$E$1500=$F71)*(TongVTSX!$K$3:$K$1500))/$U71,SUMPRODUCT((TongVTSX!$C$3:$C$1500=$D71)*(TongVTSX!$E$3:$E$1500=$F71)*(TongVTSX!$K$3:$K$1500)))))</f>
        <v>0</v>
      </c>
      <c r="N71" s="92">
        <f ca="1">IF($Q71="",0, IF($R71=$S$7,$F71*$M71*$K71,IF($R71=$S$2,$M71*$K71,    IF($M71*$K71 - SUMPRODUCT((TongVTSX!$C$3:$C$1500=$D71)*(TongVTSX!$E$3:$E$1500=$F71)*(TongVTSX!$O$3:$O$1500)) &lt;=10,$M71*$K71,"PO &lt;&gt; TongVTSX"))))</f>
        <v>0</v>
      </c>
      <c r="O71" s="92">
        <f t="shared" ca="1" si="3"/>
        <v>0</v>
      </c>
      <c r="P71" s="1146" t="str">
        <f ca="1">IFERROR(INDEX(NVLSX!$AA$2:$AA$6756,MATCH($D71,NVLSX!$E$2:$E$6756,0)),"")</f>
        <v/>
      </c>
      <c r="Q71" s="742" t="str">
        <f ca="1">IF($R71="","",IF($R71&lt;&gt;$R70,IF(TYPE(MATCH($R71,TongVTSX!$T$3:$T$1500,0))=16,"",MATCH($R71,TongVTSX!$T$3:$T$1500,0)),IF(TYPE(MATCH($R71,OFFSET(TongVTSX!$T$3,$Q70,0):'TongVTSX'!$T$1500,0)+$Q70)=16,"",MATCH($R71,OFFSET(TongVTSX!$T$3,$Q70,0):'TongVTSX'!$T$1500,0)+$Q70)))</f>
        <v/>
      </c>
      <c r="R71" s="179" t="str">
        <f ca="1">IFERROR(IF(COUNTIF($R$3:R70,R70)&lt; INDEX($T$1:$T$7,MATCH($R70,$S$1:$S$7,0)),$R70,INDEX($S$1:$S$7,MATCH($R70,$S$1:$S$7,0)+1)),"")</f>
        <v/>
      </c>
      <c r="S71" s="181"/>
      <c r="T71" s="182"/>
      <c r="U71" s="184" t="str">
        <f ca="1">IF($R71="PR",INDEX(NVLSX!$U$2:$U$6941,MATCH($D71,NVLSX!$E$2:$E$6941,0)),"")</f>
        <v/>
      </c>
      <c r="V71" s="184" t="str">
        <f ca="1">IF($R71="PR",INDEX(NVLSX!$S$2:$S$6941,MATCH($D71,NVLSX!$E$2:$E$6941,0))*1000,"")</f>
        <v/>
      </c>
      <c r="W71" s="776" t="str">
        <f ca="1">IF($R71="PR",INDEX(NVLSX!$S$2:$S$6941,MATCH($D71,NVLSX!$E$2:$E$6941,0))*INDEX(NVLSX!$T$2:$T$6941,MATCH($D71,NVLSX!$E$2:$E$6941,0)),"")</f>
        <v/>
      </c>
      <c r="X71" s="776">
        <f t="shared" ca="1" si="4"/>
        <v>0</v>
      </c>
      <c r="Y71" s="982" t="str">
        <f ca="1">IFERROR(INDEX(NVLSX!$X$2:$X$4655,MATCH($D71,NVLSX!$E$2:$E$4655,0)),"")</f>
        <v/>
      </c>
    </row>
    <row r="72" spans="1:25">
      <c r="A72" s="19" t="str">
        <f ca="1">IF($Q72="","",MAX($A$2:A71)+1)</f>
        <v/>
      </c>
      <c r="B72" s="1146" t="str">
        <f ca="1">IFERROR(INDEX(NVLSX!$Y$2:$Y$6756,MATCH($D72,NVLSX!$E$2:$E$6756,0)),"")</f>
        <v/>
      </c>
      <c r="C72" s="1146" t="str">
        <f ca="1">IFERROR(INDEX(NVLSX!$Z$2:$Z$6756,MATCH($D72,NVLSX!$E$2:$E$6756,0)),"")</f>
        <v/>
      </c>
      <c r="D72" s="23" t="str">
        <f ca="1">IF($Q72="","",INDEX(TongVTSX!C$3:C$1500,$Q72))</f>
        <v/>
      </c>
      <c r="E72" s="729" t="str">
        <f ca="1">IF($Q72="","",INDEX(TongVTSX!D$3:D$1500,$Q72) &amp; IF(OR($R72=$S$1,$R72=$S$7)," (" &amp; INDEX(TongVTSX!A$3:A$1500,$Q72) &amp; ")",""))</f>
        <v/>
      </c>
      <c r="F72" s="745" t="str">
        <f ca="1">IF($Q72="","",IF($R72=$S$7,INDEX(TongVTSX!$G$3:$G$1500,$Q72),INDEX(TongVTSX!$E$3:$E$1500,$Q72)))</f>
        <v/>
      </c>
      <c r="G72" s="24" t="str">
        <f ca="1">IF($Q72="","",IF($R72=$S$1,"mm",IF($R72=$S$2,"Thanh",INDEX(TongVTSX!F$3:F$1500,$Q72))))</f>
        <v/>
      </c>
      <c r="H72" s="114">
        <f ca="1">IF($R72=$S$1,INDEX(TongVTSX!$K$3:$K$1500,$Q72),IF($R72=$S$7,INDEX(TongVTSX!$H$3:$H$1500,$Q72),IF($R72=$S$2,ROUNDUP(SUMPRODUCT((TongVTSX!$C$3:$C$1500=$D72)*(TongVTSX!$E$3:$E$1500=$F72)*(TongVTSX!$K$3:$K$1500))/$U72,0),SUMPRODUCT((TongVTSX!$C$3:$C$1500=$D72)*(TongVTSX!$E$3:$E$1500=$F72)*(TongVTSX!$K$3:$K$1500)))))</f>
        <v>0</v>
      </c>
      <c r="I72" s="114"/>
      <c r="J72" s="114"/>
      <c r="K72" s="114" t="str">
        <f ca="1">IF($Q72="","",IF($R72=$S$2,INDEX(TongVTSX!M$3:M$1500,$Q72)*$U72,   INDEX(TongVTSX!M$3:M$1500,$Q72)))</f>
        <v/>
      </c>
      <c r="L72" s="92">
        <f ca="1">IF($Q72="",0, IF($R72=$S$7,$F72*$H72*$K72,IF($R72=$S$2,$H72*$K72,    IF($H72*$K72 - SUMPRODUCT((TongVTSX!$C$3:$C$1500=$D72)*(TongVTSX!$E$3:$E$1500=$F72)*(TongVTSX!$O$3:$O$1500)) &lt;=10,$H72*$K72,"PO &lt;&gt; TongVTSX"))))</f>
        <v>0</v>
      </c>
      <c r="M72" s="114">
        <f ca="1">IF($R72=$S$1,INDEX(TongVTSX!$K$3:$K$1500,$Q72),IF($R72=$S$7,INDEX(TongVTSX!$H$3:$H$1500,$Q72),IF($R72=$S$2,SUMPRODUCT((TongVTSX!$C$3:$C$1500=$D72)*(TongVTSX!$E$3:$E$1500=$F72)*(TongVTSX!$K$3:$K$1500))/$U72,SUMPRODUCT((TongVTSX!$C$3:$C$1500=$D72)*(TongVTSX!$E$3:$E$1500=$F72)*(TongVTSX!$K$3:$K$1500)))))</f>
        <v>0</v>
      </c>
      <c r="N72" s="92">
        <f ca="1">IF($Q72="",0, IF($R72=$S$7,$F72*$M72*$K72,IF($R72=$S$2,$M72*$K72,    IF($M72*$K72 - SUMPRODUCT((TongVTSX!$C$3:$C$1500=$D72)*(TongVTSX!$E$3:$E$1500=$F72)*(TongVTSX!$O$3:$O$1500)) &lt;=10,$M72*$K72,"PO &lt;&gt; TongVTSX"))))</f>
        <v>0</v>
      </c>
      <c r="O72" s="92">
        <f t="shared" ca="1" si="3"/>
        <v>0</v>
      </c>
      <c r="P72" s="1146" t="str">
        <f ca="1">IFERROR(INDEX(NVLSX!$AA$2:$AA$6756,MATCH($D72,NVLSX!$E$2:$E$6756,0)),"")</f>
        <v/>
      </c>
      <c r="Q72" s="742" t="str">
        <f ca="1">IF($R72="","",IF($R72&lt;&gt;$R71,IF(TYPE(MATCH($R72,TongVTSX!$T$3:$T$1500,0))=16,"",MATCH($R72,TongVTSX!$T$3:$T$1500,0)),IF(TYPE(MATCH($R72,OFFSET(TongVTSX!$T$3,$Q71,0):'TongVTSX'!$T$1500,0)+$Q71)=16,"",MATCH($R72,OFFSET(TongVTSX!$T$3,$Q71,0):'TongVTSX'!$T$1500,0)+$Q71)))</f>
        <v/>
      </c>
      <c r="R72" s="179" t="str">
        <f ca="1">IFERROR(IF(COUNTIF($R$3:R71,R71)&lt; INDEX($T$1:$T$7,MATCH($R71,$S$1:$S$7,0)),$R71,INDEX($S$1:$S$7,MATCH($R71,$S$1:$S$7,0)+1)),"")</f>
        <v/>
      </c>
      <c r="S72" s="181"/>
      <c r="T72" s="182"/>
      <c r="U72" s="184" t="str">
        <f ca="1">IF($R72="PR",INDEX(NVLSX!$U$2:$U$6941,MATCH($D72,NVLSX!$E$2:$E$6941,0)),"")</f>
        <v/>
      </c>
      <c r="V72" s="184" t="str">
        <f ca="1">IF($R72="PR",INDEX(NVLSX!$S$2:$S$6941,MATCH($D72,NVLSX!$E$2:$E$6941,0))*1000,"")</f>
        <v/>
      </c>
      <c r="W72" s="776" t="str">
        <f ca="1">IF($R72="PR",INDEX(NVLSX!$S$2:$S$6941,MATCH($D72,NVLSX!$E$2:$E$6941,0))*INDEX(NVLSX!$T$2:$T$6941,MATCH($D72,NVLSX!$E$2:$E$6941,0)),"")</f>
        <v/>
      </c>
      <c r="X72" s="776">
        <f t="shared" ca="1" si="4"/>
        <v>0</v>
      </c>
      <c r="Y72" s="982" t="str">
        <f ca="1">IFERROR(INDEX(NVLSX!$X$2:$X$4655,MATCH($D72,NVLSX!$E$2:$E$4655,0)),"")</f>
        <v/>
      </c>
    </row>
    <row r="73" spans="1:25">
      <c r="A73" s="19" t="str">
        <f ca="1">IF($Q73="","",MAX($A$2:A72)+1)</f>
        <v/>
      </c>
      <c r="B73" s="1146" t="str">
        <f ca="1">IFERROR(INDEX(NVLSX!$Y$2:$Y$6756,MATCH($D73,NVLSX!$E$2:$E$6756,0)),"")</f>
        <v/>
      </c>
      <c r="C73" s="1146" t="str">
        <f ca="1">IFERROR(INDEX(NVLSX!$Z$2:$Z$6756,MATCH($D73,NVLSX!$E$2:$E$6756,0)),"")</f>
        <v/>
      </c>
      <c r="D73" s="23" t="str">
        <f ca="1">IF($Q73="","",INDEX(TongVTSX!C$3:C$1500,$Q73))</f>
        <v/>
      </c>
      <c r="E73" s="729" t="str">
        <f ca="1">IF($Q73="","",INDEX(TongVTSX!D$3:D$1500,$Q73) &amp; IF(OR($R73=$S$1,$R73=$S$7)," (" &amp; INDEX(TongVTSX!A$3:A$1500,$Q73) &amp; ")",""))</f>
        <v/>
      </c>
      <c r="F73" s="745" t="str">
        <f ca="1">IF($Q73="","",IF($R73=$S$7,INDEX(TongVTSX!$G$3:$G$1500,$Q73),INDEX(TongVTSX!$E$3:$E$1500,$Q73)))</f>
        <v/>
      </c>
      <c r="G73" s="24" t="str">
        <f ca="1">IF($Q73="","",IF($R73=$S$1,"mm",IF($R73=$S$2,"Thanh",INDEX(TongVTSX!F$3:F$1500,$Q73))))</f>
        <v/>
      </c>
      <c r="H73" s="114">
        <f ca="1">IF($R73=$S$1,INDEX(TongVTSX!$K$3:$K$1500,$Q73),IF($R73=$S$7,INDEX(TongVTSX!$H$3:$H$1500,$Q73),IF($R73=$S$2,ROUNDUP(SUMPRODUCT((TongVTSX!$C$3:$C$1500=$D73)*(TongVTSX!$E$3:$E$1500=$F73)*(TongVTSX!$K$3:$K$1500))/$U73,0),SUMPRODUCT((TongVTSX!$C$3:$C$1500=$D73)*(TongVTSX!$E$3:$E$1500=$F73)*(TongVTSX!$K$3:$K$1500)))))</f>
        <v>0</v>
      </c>
      <c r="I73" s="114"/>
      <c r="J73" s="114"/>
      <c r="K73" s="114" t="str">
        <f ca="1">IF($Q73="","",IF($R73=$S$2,INDEX(TongVTSX!M$3:M$1500,$Q73)*$U73,   INDEX(TongVTSX!M$3:M$1500,$Q73)))</f>
        <v/>
      </c>
      <c r="L73" s="92">
        <f ca="1">IF($Q73="",0, IF($R73=$S$7,$F73*$H73*$K73,IF($R73=$S$2,$H73*$K73,    IF($H73*$K73 - SUMPRODUCT((TongVTSX!$C$3:$C$1500=$D73)*(TongVTSX!$E$3:$E$1500=$F73)*(TongVTSX!$O$3:$O$1500)) &lt;=10,$H73*$K73,"PO &lt;&gt; TongVTSX"))))</f>
        <v>0</v>
      </c>
      <c r="M73" s="114">
        <f ca="1">IF($R73=$S$1,INDEX(TongVTSX!$K$3:$K$1500,$Q73),IF($R73=$S$7,INDEX(TongVTSX!$H$3:$H$1500,$Q73),IF($R73=$S$2,SUMPRODUCT((TongVTSX!$C$3:$C$1500=$D73)*(TongVTSX!$E$3:$E$1500=$F73)*(TongVTSX!$K$3:$K$1500))/$U73,SUMPRODUCT((TongVTSX!$C$3:$C$1500=$D73)*(TongVTSX!$E$3:$E$1500=$F73)*(TongVTSX!$K$3:$K$1500)))))</f>
        <v>0</v>
      </c>
      <c r="N73" s="92">
        <f ca="1">IF($Q73="",0, IF($R73=$S$7,$F73*$M73*$K73,IF($R73=$S$2,$M73*$K73,    IF($M73*$K73 - SUMPRODUCT((TongVTSX!$C$3:$C$1500=$D73)*(TongVTSX!$E$3:$E$1500=$F73)*(TongVTSX!$O$3:$O$1500)) &lt;=10,$M73*$K73,"PO &lt;&gt; TongVTSX"))))</f>
        <v>0</v>
      </c>
      <c r="O73" s="92">
        <f t="shared" ca="1" si="3"/>
        <v>0</v>
      </c>
      <c r="P73" s="1146" t="str">
        <f ca="1">IFERROR(INDEX(NVLSX!$AA$2:$AA$6756,MATCH($D73,NVLSX!$E$2:$E$6756,0)),"")</f>
        <v/>
      </c>
      <c r="Q73" s="742" t="str">
        <f ca="1">IF($R73="","",IF($R73&lt;&gt;$R72,IF(TYPE(MATCH($R73,TongVTSX!$T$3:$T$1500,0))=16,"",MATCH($R73,TongVTSX!$T$3:$T$1500,0)),IF(TYPE(MATCH($R73,OFFSET(TongVTSX!$T$3,$Q72,0):'TongVTSX'!$T$1500,0)+$Q72)=16,"",MATCH($R73,OFFSET(TongVTSX!$T$3,$Q72,0):'TongVTSX'!$T$1500,0)+$Q72)))</f>
        <v/>
      </c>
      <c r="R73" s="179" t="str">
        <f ca="1">IFERROR(IF(COUNTIF($R$3:R72,R72)&lt; INDEX($T$1:$T$7,MATCH($R72,$S$1:$S$7,0)),$R72,INDEX($S$1:$S$7,MATCH($R72,$S$1:$S$7,0)+1)),"")</f>
        <v/>
      </c>
      <c r="S73" s="181"/>
      <c r="T73" s="182"/>
      <c r="U73" s="184" t="str">
        <f ca="1">IF($R73="PR",INDEX(NVLSX!$U$2:$U$6941,MATCH($D73,NVLSX!$E$2:$E$6941,0)),"")</f>
        <v/>
      </c>
      <c r="V73" s="184" t="str">
        <f ca="1">IF($R73="PR",INDEX(NVLSX!$S$2:$S$6941,MATCH($D73,NVLSX!$E$2:$E$6941,0))*1000,"")</f>
        <v/>
      </c>
      <c r="W73" s="776" t="str">
        <f ca="1">IF($R73="PR",INDEX(NVLSX!$S$2:$S$6941,MATCH($D73,NVLSX!$E$2:$E$6941,0))*INDEX(NVLSX!$T$2:$T$6941,MATCH($D73,NVLSX!$E$2:$E$6941,0)),"")</f>
        <v/>
      </c>
      <c r="X73" s="776">
        <f t="shared" ca="1" si="4"/>
        <v>0</v>
      </c>
      <c r="Y73" s="982" t="str">
        <f ca="1">IFERROR(INDEX(NVLSX!$X$2:$X$4655,MATCH($D73,NVLSX!$E$2:$E$4655,0)),"")</f>
        <v/>
      </c>
    </row>
    <row r="74" spans="1:25">
      <c r="A74" s="19" t="str">
        <f ca="1">IF($Q74="","",MAX($A$2:A73)+1)</f>
        <v/>
      </c>
      <c r="B74" s="1146" t="str">
        <f ca="1">IFERROR(INDEX(NVLSX!$Y$2:$Y$6756,MATCH($D74,NVLSX!$E$2:$E$6756,0)),"")</f>
        <v/>
      </c>
      <c r="C74" s="1146" t="str">
        <f ca="1">IFERROR(INDEX(NVLSX!$Z$2:$Z$6756,MATCH($D74,NVLSX!$E$2:$E$6756,0)),"")</f>
        <v/>
      </c>
      <c r="D74" s="23" t="str">
        <f ca="1">IF($Q74="","",INDEX(TongVTSX!C$3:C$1500,$Q74))</f>
        <v/>
      </c>
      <c r="E74" s="729" t="str">
        <f ca="1">IF($Q74="","",INDEX(TongVTSX!D$3:D$1500,$Q74) &amp; IF(OR($R74=$S$1,$R74=$S$7)," (" &amp; INDEX(TongVTSX!A$3:A$1500,$Q74) &amp; ")",""))</f>
        <v/>
      </c>
      <c r="F74" s="745" t="str">
        <f ca="1">IF($Q74="","",IF($R74=$S$7,INDEX(TongVTSX!$G$3:$G$1500,$Q74),INDEX(TongVTSX!$E$3:$E$1500,$Q74)))</f>
        <v/>
      </c>
      <c r="G74" s="24" t="str">
        <f ca="1">IF($Q74="","",IF($R74=$S$1,"mm",IF($R74=$S$2,"Thanh",INDEX(TongVTSX!F$3:F$1500,$Q74))))</f>
        <v/>
      </c>
      <c r="H74" s="114">
        <f ca="1">IF($R74=$S$1,INDEX(TongVTSX!$K$3:$K$1500,$Q74),IF($R74=$S$7,INDEX(TongVTSX!$H$3:$H$1500,$Q74),IF($R74=$S$2,ROUNDUP(SUMPRODUCT((TongVTSX!$C$3:$C$1500=$D74)*(TongVTSX!$E$3:$E$1500=$F74)*(TongVTSX!$K$3:$K$1500))/$U74,0),SUMPRODUCT((TongVTSX!$C$3:$C$1500=$D74)*(TongVTSX!$E$3:$E$1500=$F74)*(TongVTSX!$K$3:$K$1500)))))</f>
        <v>0</v>
      </c>
      <c r="I74" s="114"/>
      <c r="J74" s="114"/>
      <c r="K74" s="114" t="str">
        <f ca="1">IF($Q74="","",IF($R74=$S$2,INDEX(TongVTSX!M$3:M$1500,$Q74)*$U74,   INDEX(TongVTSX!M$3:M$1500,$Q74)))</f>
        <v/>
      </c>
      <c r="L74" s="92">
        <f ca="1">IF($Q74="",0, IF($R74=$S$7,$F74*$H74*$K74,IF($R74=$S$2,$H74*$K74,    IF($H74*$K74 - SUMPRODUCT((TongVTSX!$C$3:$C$1500=$D74)*(TongVTSX!$E$3:$E$1500=$F74)*(TongVTSX!$O$3:$O$1500)) &lt;=10,$H74*$K74,"PO &lt;&gt; TongVTSX"))))</f>
        <v>0</v>
      </c>
      <c r="M74" s="114">
        <f ca="1">IF($R74=$S$1,INDEX(TongVTSX!$K$3:$K$1500,$Q74),IF($R74=$S$7,INDEX(TongVTSX!$H$3:$H$1500,$Q74),IF($R74=$S$2,SUMPRODUCT((TongVTSX!$C$3:$C$1500=$D74)*(TongVTSX!$E$3:$E$1500=$F74)*(TongVTSX!$K$3:$K$1500))/$U74,SUMPRODUCT((TongVTSX!$C$3:$C$1500=$D74)*(TongVTSX!$E$3:$E$1500=$F74)*(TongVTSX!$K$3:$K$1500)))))</f>
        <v>0</v>
      </c>
      <c r="N74" s="92">
        <f ca="1">IF($Q74="",0, IF($R74=$S$7,$F74*$M74*$K74,IF($R74=$S$2,$M74*$K74,    IF($M74*$K74 - SUMPRODUCT((TongVTSX!$C$3:$C$1500=$D74)*(TongVTSX!$E$3:$E$1500=$F74)*(TongVTSX!$O$3:$O$1500)) &lt;=10,$M74*$K74,"PO &lt;&gt; TongVTSX"))))</f>
        <v>0</v>
      </c>
      <c r="O74" s="92">
        <f t="shared" ca="1" si="3"/>
        <v>0</v>
      </c>
      <c r="P74" s="1146" t="str">
        <f ca="1">IFERROR(INDEX(NVLSX!$AA$2:$AA$6756,MATCH($D74,NVLSX!$E$2:$E$6756,0)),"")</f>
        <v/>
      </c>
      <c r="Q74" s="742" t="str">
        <f ca="1">IF($R74="","",IF($R74&lt;&gt;$R73,IF(TYPE(MATCH($R74,TongVTSX!$T$3:$T$1500,0))=16,"",MATCH($R74,TongVTSX!$T$3:$T$1500,0)),IF(TYPE(MATCH($R74,OFFSET(TongVTSX!$T$3,$Q73,0):'TongVTSX'!$T$1500,0)+$Q73)=16,"",MATCH($R74,OFFSET(TongVTSX!$T$3,$Q73,0):'TongVTSX'!$T$1500,0)+$Q73)))</f>
        <v/>
      </c>
      <c r="R74" s="179" t="str">
        <f ca="1">IFERROR(IF(COUNTIF($R$3:R73,R73)&lt; INDEX($T$1:$T$7,MATCH($R73,$S$1:$S$7,0)),$R73,INDEX($S$1:$S$7,MATCH($R73,$S$1:$S$7,0)+1)),"")</f>
        <v/>
      </c>
      <c r="S74" s="181"/>
      <c r="T74" s="182"/>
      <c r="U74" s="184" t="str">
        <f ca="1">IF($R74="PR",INDEX(NVLSX!$U$2:$U$6941,MATCH($D74,NVLSX!$E$2:$E$6941,0)),"")</f>
        <v/>
      </c>
      <c r="V74" s="184" t="str">
        <f ca="1">IF($R74="PR",INDEX(NVLSX!$S$2:$S$6941,MATCH($D74,NVLSX!$E$2:$E$6941,0))*1000,"")</f>
        <v/>
      </c>
      <c r="W74" s="776" t="str">
        <f ca="1">IF($R74="PR",INDEX(NVLSX!$S$2:$S$6941,MATCH($D74,NVLSX!$E$2:$E$6941,0))*INDEX(NVLSX!$T$2:$T$6941,MATCH($D74,NVLSX!$E$2:$E$6941,0)),"")</f>
        <v/>
      </c>
      <c r="X74" s="776">
        <f t="shared" ca="1" si="4"/>
        <v>0</v>
      </c>
      <c r="Y74" s="982" t="str">
        <f ca="1">IFERROR(INDEX(NVLSX!$X$2:$X$4655,MATCH($D74,NVLSX!$E$2:$E$4655,0)),"")</f>
        <v/>
      </c>
    </row>
    <row r="75" spans="1:25">
      <c r="A75" s="19" t="str">
        <f ca="1">IF($Q75="","",MAX($A$2:A74)+1)</f>
        <v/>
      </c>
      <c r="B75" s="1146" t="str">
        <f ca="1">IFERROR(INDEX(NVLSX!$Y$2:$Y$6756,MATCH($D75,NVLSX!$E$2:$E$6756,0)),"")</f>
        <v/>
      </c>
      <c r="C75" s="1146" t="str">
        <f ca="1">IFERROR(INDEX(NVLSX!$Z$2:$Z$6756,MATCH($D75,NVLSX!$E$2:$E$6756,0)),"")</f>
        <v/>
      </c>
      <c r="D75" s="23" t="str">
        <f ca="1">IF($Q75="","",INDEX(TongVTSX!C$3:C$1500,$Q75))</f>
        <v/>
      </c>
      <c r="E75" s="729" t="str">
        <f ca="1">IF($Q75="","",INDEX(TongVTSX!D$3:D$1500,$Q75) &amp; IF(OR($R75=$S$1,$R75=$S$7)," (" &amp; INDEX(TongVTSX!A$3:A$1500,$Q75) &amp; ")",""))</f>
        <v/>
      </c>
      <c r="F75" s="745" t="str">
        <f ca="1">IF($Q75="","",IF($R75=$S$7,INDEX(TongVTSX!$G$3:$G$1500,$Q75),INDEX(TongVTSX!$E$3:$E$1500,$Q75)))</f>
        <v/>
      </c>
      <c r="G75" s="24" t="str">
        <f ca="1">IF($Q75="","",IF($R75=$S$1,"mm",IF($R75=$S$2,"Thanh",INDEX(TongVTSX!F$3:F$1500,$Q75))))</f>
        <v/>
      </c>
      <c r="H75" s="114">
        <f ca="1">IF($R75=$S$1,INDEX(TongVTSX!$K$3:$K$1500,$Q75),IF($R75=$S$7,INDEX(TongVTSX!$H$3:$H$1500,$Q75),IF($R75=$S$2,ROUNDUP(SUMPRODUCT((TongVTSX!$C$3:$C$1500=$D75)*(TongVTSX!$E$3:$E$1500=$F75)*(TongVTSX!$K$3:$K$1500))/$U75,0),SUMPRODUCT((TongVTSX!$C$3:$C$1500=$D75)*(TongVTSX!$E$3:$E$1500=$F75)*(TongVTSX!$K$3:$K$1500)))))</f>
        <v>0</v>
      </c>
      <c r="I75" s="114"/>
      <c r="J75" s="114"/>
      <c r="K75" s="114" t="str">
        <f ca="1">IF($Q75="","",IF($R75=$S$2,INDEX(TongVTSX!M$3:M$1500,$Q75)*$U75,   INDEX(TongVTSX!M$3:M$1500,$Q75)))</f>
        <v/>
      </c>
      <c r="L75" s="92">
        <f ca="1">IF($Q75="",0, IF($R75=$S$7,$F75*$H75*$K75,IF($R75=$S$2,$H75*$K75,    IF($H75*$K75 - SUMPRODUCT((TongVTSX!$C$3:$C$1500=$D75)*(TongVTSX!$E$3:$E$1500=$F75)*(TongVTSX!$O$3:$O$1500)) &lt;=10,$H75*$K75,"PO &lt;&gt; TongVTSX"))))</f>
        <v>0</v>
      </c>
      <c r="M75" s="114">
        <f ca="1">IF($R75=$S$1,INDEX(TongVTSX!$K$3:$K$1500,$Q75),IF($R75=$S$7,INDEX(TongVTSX!$H$3:$H$1500,$Q75),IF($R75=$S$2,SUMPRODUCT((TongVTSX!$C$3:$C$1500=$D75)*(TongVTSX!$E$3:$E$1500=$F75)*(TongVTSX!$K$3:$K$1500))/$U75,SUMPRODUCT((TongVTSX!$C$3:$C$1500=$D75)*(TongVTSX!$E$3:$E$1500=$F75)*(TongVTSX!$K$3:$K$1500)))))</f>
        <v>0</v>
      </c>
      <c r="N75" s="92">
        <f ca="1">IF($Q75="",0, IF($R75=$S$7,$F75*$M75*$K75,IF($R75=$S$2,$M75*$K75,    IF($M75*$K75 - SUMPRODUCT((TongVTSX!$C$3:$C$1500=$D75)*(TongVTSX!$E$3:$E$1500=$F75)*(TongVTSX!$O$3:$O$1500)) &lt;=10,$M75*$K75,"PO &lt;&gt; TongVTSX"))))</f>
        <v>0</v>
      </c>
      <c r="O75" s="92">
        <f t="shared" ca="1" si="3"/>
        <v>0</v>
      </c>
      <c r="P75" s="1146" t="str">
        <f ca="1">IFERROR(INDEX(NVLSX!$AA$2:$AA$6756,MATCH($D75,NVLSX!$E$2:$E$6756,0)),"")</f>
        <v/>
      </c>
      <c r="Q75" s="742" t="str">
        <f ca="1">IF($R75="","",IF($R75&lt;&gt;$R74,IF(TYPE(MATCH($R75,TongVTSX!$T$3:$T$1500,0))=16,"",MATCH($R75,TongVTSX!$T$3:$T$1500,0)),IF(TYPE(MATCH($R75,OFFSET(TongVTSX!$T$3,$Q74,0):'TongVTSX'!$T$1500,0)+$Q74)=16,"",MATCH($R75,OFFSET(TongVTSX!$T$3,$Q74,0):'TongVTSX'!$T$1500,0)+$Q74)))</f>
        <v/>
      </c>
      <c r="R75" s="179" t="str">
        <f ca="1">IFERROR(IF(COUNTIF($R$3:R74,R74)&lt; INDEX($T$1:$T$7,MATCH($R74,$S$1:$S$7,0)),$R74,INDEX($S$1:$S$7,MATCH($R74,$S$1:$S$7,0)+1)),"")</f>
        <v/>
      </c>
      <c r="S75" s="181"/>
      <c r="T75" s="182"/>
      <c r="U75" s="184" t="str">
        <f ca="1">IF($R75="PR",INDEX(NVLSX!$U$2:$U$6941,MATCH($D75,NVLSX!$E$2:$E$6941,0)),"")</f>
        <v/>
      </c>
      <c r="V75" s="184" t="str">
        <f ca="1">IF($R75="PR",INDEX(NVLSX!$S$2:$S$6941,MATCH($D75,NVLSX!$E$2:$E$6941,0))*1000,"")</f>
        <v/>
      </c>
      <c r="W75" s="776" t="str">
        <f ca="1">IF($R75="PR",INDEX(NVLSX!$S$2:$S$6941,MATCH($D75,NVLSX!$E$2:$E$6941,0))*INDEX(NVLSX!$T$2:$T$6941,MATCH($D75,NVLSX!$E$2:$E$6941,0)),"")</f>
        <v/>
      </c>
      <c r="X75" s="776">
        <f t="shared" ca="1" si="4"/>
        <v>0</v>
      </c>
      <c r="Y75" s="982" t="str">
        <f ca="1">IFERROR(INDEX(NVLSX!$X$2:$X$4655,MATCH($D75,NVLSX!$E$2:$E$4655,0)),"")</f>
        <v/>
      </c>
    </row>
    <row r="76" spans="1:25">
      <c r="A76" s="19" t="str">
        <f ca="1">IF($Q76="","",MAX($A$2:A75)+1)</f>
        <v/>
      </c>
      <c r="B76" s="1146" t="str">
        <f ca="1">IFERROR(INDEX(NVLSX!$Y$2:$Y$6756,MATCH($D76,NVLSX!$E$2:$E$6756,0)),"")</f>
        <v/>
      </c>
      <c r="C76" s="1146" t="str">
        <f ca="1">IFERROR(INDEX(NVLSX!$Z$2:$Z$6756,MATCH($D76,NVLSX!$E$2:$E$6756,0)),"")</f>
        <v/>
      </c>
      <c r="D76" s="23" t="str">
        <f ca="1">IF($Q76="","",INDEX(TongVTSX!C$3:C$1500,$Q76))</f>
        <v/>
      </c>
      <c r="E76" s="729" t="str">
        <f ca="1">IF($Q76="","",INDEX(TongVTSX!D$3:D$1500,$Q76) &amp; IF(OR($R76=$S$1,$R76=$S$7)," (" &amp; INDEX(TongVTSX!A$3:A$1500,$Q76) &amp; ")",""))</f>
        <v/>
      </c>
      <c r="F76" s="745" t="str">
        <f ca="1">IF($Q76="","",IF($R76=$S$7,INDEX(TongVTSX!$G$3:$G$1500,$Q76),INDEX(TongVTSX!$E$3:$E$1500,$Q76)))</f>
        <v/>
      </c>
      <c r="G76" s="24" t="str">
        <f ca="1">IF($Q76="","",IF($R76=$S$1,"mm",IF($R76=$S$2,"Thanh",INDEX(TongVTSX!F$3:F$1500,$Q76))))</f>
        <v/>
      </c>
      <c r="H76" s="114">
        <f ca="1">IF($R76=$S$1,INDEX(TongVTSX!$K$3:$K$1500,$Q76),IF($R76=$S$7,INDEX(TongVTSX!$H$3:$H$1500,$Q76),IF($R76=$S$2,ROUNDUP(SUMPRODUCT((TongVTSX!$C$3:$C$1500=$D76)*(TongVTSX!$E$3:$E$1500=$F76)*(TongVTSX!$K$3:$K$1500))/$U76,0),SUMPRODUCT((TongVTSX!$C$3:$C$1500=$D76)*(TongVTSX!$E$3:$E$1500=$F76)*(TongVTSX!$K$3:$K$1500)))))</f>
        <v>0</v>
      </c>
      <c r="I76" s="114"/>
      <c r="J76" s="114"/>
      <c r="K76" s="114" t="str">
        <f ca="1">IF($Q76="","",IF($R76=$S$2,INDEX(TongVTSX!M$3:M$1500,$Q76)*$U76,   INDEX(TongVTSX!M$3:M$1500,$Q76)))</f>
        <v/>
      </c>
      <c r="L76" s="92">
        <f ca="1">IF($Q76="",0, IF($R76=$S$7,$F76*$H76*$K76,IF($R76=$S$2,$H76*$K76,    IF($H76*$K76 - SUMPRODUCT((TongVTSX!$C$3:$C$1500=$D76)*(TongVTSX!$E$3:$E$1500=$F76)*(TongVTSX!$O$3:$O$1500)) &lt;=10,$H76*$K76,"PO &lt;&gt; TongVTSX"))))</f>
        <v>0</v>
      </c>
      <c r="M76" s="114">
        <f ca="1">IF($R76=$S$1,INDEX(TongVTSX!$K$3:$K$1500,$Q76),IF($R76=$S$7,INDEX(TongVTSX!$H$3:$H$1500,$Q76),IF($R76=$S$2,SUMPRODUCT((TongVTSX!$C$3:$C$1500=$D76)*(TongVTSX!$E$3:$E$1500=$F76)*(TongVTSX!$K$3:$K$1500))/$U76,SUMPRODUCT((TongVTSX!$C$3:$C$1500=$D76)*(TongVTSX!$E$3:$E$1500=$F76)*(TongVTSX!$K$3:$K$1500)))))</f>
        <v>0</v>
      </c>
      <c r="N76" s="92">
        <f ca="1">IF($Q76="",0, IF($R76=$S$7,$F76*$M76*$K76,IF($R76=$S$2,$M76*$K76,    IF($M76*$K76 - SUMPRODUCT((TongVTSX!$C$3:$C$1500=$D76)*(TongVTSX!$E$3:$E$1500=$F76)*(TongVTSX!$O$3:$O$1500)) &lt;=10,$M76*$K76,"PO &lt;&gt; TongVTSX"))))</f>
        <v>0</v>
      </c>
      <c r="O76" s="92">
        <f t="shared" ca="1" si="3"/>
        <v>0</v>
      </c>
      <c r="P76" s="1146" t="str">
        <f ca="1">IFERROR(INDEX(NVLSX!$AA$2:$AA$6756,MATCH($D76,NVLSX!$E$2:$E$6756,0)),"")</f>
        <v/>
      </c>
      <c r="Q76" s="742" t="str">
        <f ca="1">IF($R76="","",IF($R76&lt;&gt;$R75,IF(TYPE(MATCH($R76,TongVTSX!$T$3:$T$1500,0))=16,"",MATCH($R76,TongVTSX!$T$3:$T$1500,0)),IF(TYPE(MATCH($R76,OFFSET(TongVTSX!$T$3,$Q75,0):'TongVTSX'!$T$1500,0)+$Q75)=16,"",MATCH($R76,OFFSET(TongVTSX!$T$3,$Q75,0):'TongVTSX'!$T$1500,0)+$Q75)))</f>
        <v/>
      </c>
      <c r="R76" s="179" t="str">
        <f ca="1">IFERROR(IF(COUNTIF($R$3:R75,R75)&lt; INDEX($T$1:$T$7,MATCH($R75,$S$1:$S$7,0)),$R75,INDEX($S$1:$S$7,MATCH($R75,$S$1:$S$7,0)+1)),"")</f>
        <v/>
      </c>
      <c r="S76" s="181"/>
      <c r="T76" s="182"/>
      <c r="U76" s="184" t="str">
        <f ca="1">IF($R76="PR",INDEX(NVLSX!$U$2:$U$6941,MATCH($D76,NVLSX!$E$2:$E$6941,0)),"")</f>
        <v/>
      </c>
      <c r="V76" s="184" t="str">
        <f ca="1">IF($R76="PR",INDEX(NVLSX!$S$2:$S$6941,MATCH($D76,NVLSX!$E$2:$E$6941,0))*1000,"")</f>
        <v/>
      </c>
      <c r="W76" s="776" t="str">
        <f ca="1">IF($R76="PR",INDEX(NVLSX!$S$2:$S$6941,MATCH($D76,NVLSX!$E$2:$E$6941,0))*INDEX(NVLSX!$T$2:$T$6941,MATCH($D76,NVLSX!$E$2:$E$6941,0)),"")</f>
        <v/>
      </c>
      <c r="X76" s="776">
        <f t="shared" ca="1" si="4"/>
        <v>0</v>
      </c>
      <c r="Y76" s="982" t="str">
        <f ca="1">IFERROR(INDEX(NVLSX!$X$2:$X$4655,MATCH($D76,NVLSX!$E$2:$E$4655,0)),"")</f>
        <v/>
      </c>
    </row>
    <row r="77" spans="1:25">
      <c r="A77" s="19" t="str">
        <f ca="1">IF($Q77="","",MAX($A$2:A76)+1)</f>
        <v/>
      </c>
      <c r="B77" s="1146" t="str">
        <f ca="1">IFERROR(INDEX(NVLSX!$Y$2:$Y$6756,MATCH($D77,NVLSX!$E$2:$E$6756,0)),"")</f>
        <v/>
      </c>
      <c r="C77" s="1146" t="str">
        <f ca="1">IFERROR(INDEX(NVLSX!$Z$2:$Z$6756,MATCH($D77,NVLSX!$E$2:$E$6756,0)),"")</f>
        <v/>
      </c>
      <c r="D77" s="23" t="str">
        <f ca="1">IF($Q77="","",INDEX(TongVTSX!C$3:C$1500,$Q77))</f>
        <v/>
      </c>
      <c r="E77" s="729" t="str">
        <f ca="1">IF($Q77="","",INDEX(TongVTSX!D$3:D$1500,$Q77) &amp; IF(OR($R77=$S$1,$R77=$S$7)," (" &amp; INDEX(TongVTSX!A$3:A$1500,$Q77) &amp; ")",""))</f>
        <v/>
      </c>
      <c r="F77" s="745" t="str">
        <f ca="1">IF($Q77="","",IF($R77=$S$7,INDEX(TongVTSX!$G$3:$G$1500,$Q77),INDEX(TongVTSX!$E$3:$E$1500,$Q77)))</f>
        <v/>
      </c>
      <c r="G77" s="24" t="str">
        <f ca="1">IF($Q77="","",IF($R77=$S$1,"mm",IF($R77=$S$2,"Thanh",INDEX(TongVTSX!F$3:F$1500,$Q77))))</f>
        <v/>
      </c>
      <c r="H77" s="114">
        <f ca="1">IF($R77=$S$1,INDEX(TongVTSX!$K$3:$K$1500,$Q77),IF($R77=$S$7,INDEX(TongVTSX!$H$3:$H$1500,$Q77),IF($R77=$S$2,ROUNDUP(SUMPRODUCT((TongVTSX!$C$3:$C$1500=$D77)*(TongVTSX!$E$3:$E$1500=$F77)*(TongVTSX!$K$3:$K$1500))/$U77,0),SUMPRODUCT((TongVTSX!$C$3:$C$1500=$D77)*(TongVTSX!$E$3:$E$1500=$F77)*(TongVTSX!$K$3:$K$1500)))))</f>
        <v>0</v>
      </c>
      <c r="I77" s="114"/>
      <c r="J77" s="114"/>
      <c r="K77" s="114" t="str">
        <f ca="1">IF($Q77="","",IF($R77=$S$2,INDEX(TongVTSX!M$3:M$1500,$Q77)*$U77,   INDEX(TongVTSX!M$3:M$1500,$Q77)))</f>
        <v/>
      </c>
      <c r="L77" s="92">
        <f ca="1">IF($Q77="",0, IF($R77=$S$7,$F77*$H77*$K77,IF($R77=$S$2,$H77*$K77,    IF($H77*$K77 - SUMPRODUCT((TongVTSX!$C$3:$C$1500=$D77)*(TongVTSX!$E$3:$E$1500=$F77)*(TongVTSX!$O$3:$O$1500)) &lt;=10,$H77*$K77,"PO &lt;&gt; TongVTSX"))))</f>
        <v>0</v>
      </c>
      <c r="M77" s="114">
        <f ca="1">IF($R77=$S$1,INDEX(TongVTSX!$K$3:$K$1500,$Q77),IF($R77=$S$7,INDEX(TongVTSX!$H$3:$H$1500,$Q77),IF($R77=$S$2,SUMPRODUCT((TongVTSX!$C$3:$C$1500=$D77)*(TongVTSX!$E$3:$E$1500=$F77)*(TongVTSX!$K$3:$K$1500))/$U77,SUMPRODUCT((TongVTSX!$C$3:$C$1500=$D77)*(TongVTSX!$E$3:$E$1500=$F77)*(TongVTSX!$K$3:$K$1500)))))</f>
        <v>0</v>
      </c>
      <c r="N77" s="92">
        <f ca="1">IF($Q77="",0, IF($R77=$S$7,$F77*$M77*$K77,IF($R77=$S$2,$M77*$K77,    IF($M77*$K77 - SUMPRODUCT((TongVTSX!$C$3:$C$1500=$D77)*(TongVTSX!$E$3:$E$1500=$F77)*(TongVTSX!$O$3:$O$1500)) &lt;=10,$M77*$K77,"PO &lt;&gt; TongVTSX"))))</f>
        <v>0</v>
      </c>
      <c r="O77" s="92">
        <f t="shared" ca="1" si="3"/>
        <v>0</v>
      </c>
      <c r="P77" s="1146" t="str">
        <f ca="1">IFERROR(INDEX(NVLSX!$AA$2:$AA$6756,MATCH($D77,NVLSX!$E$2:$E$6756,0)),"")</f>
        <v/>
      </c>
      <c r="Q77" s="742" t="str">
        <f ca="1">IF($R77="","",IF($R77&lt;&gt;$R76,IF(TYPE(MATCH($R77,TongVTSX!$T$3:$T$1500,0))=16,"",MATCH($R77,TongVTSX!$T$3:$T$1500,0)),IF(TYPE(MATCH($R77,OFFSET(TongVTSX!$T$3,$Q76,0):'TongVTSX'!$T$1500,0)+$Q76)=16,"",MATCH($R77,OFFSET(TongVTSX!$T$3,$Q76,0):'TongVTSX'!$T$1500,0)+$Q76)))</f>
        <v/>
      </c>
      <c r="R77" s="179" t="str">
        <f ca="1">IFERROR(IF(COUNTIF($R$3:R76,R76)&lt; INDEX($T$1:$T$7,MATCH($R76,$S$1:$S$7,0)),$R76,INDEX($S$1:$S$7,MATCH($R76,$S$1:$S$7,0)+1)),"")</f>
        <v/>
      </c>
      <c r="S77" s="181"/>
      <c r="T77" s="182"/>
      <c r="U77" s="184" t="str">
        <f ca="1">IF($R77="PR",INDEX(NVLSX!$U$2:$U$6941,MATCH($D77,NVLSX!$E$2:$E$6941,0)),"")</f>
        <v/>
      </c>
      <c r="V77" s="184" t="str">
        <f ca="1">IF($R77="PR",INDEX(NVLSX!$S$2:$S$6941,MATCH($D77,NVLSX!$E$2:$E$6941,0))*1000,"")</f>
        <v/>
      </c>
      <c r="W77" s="776" t="str">
        <f ca="1">IF($R77="PR",INDEX(NVLSX!$S$2:$S$6941,MATCH($D77,NVLSX!$E$2:$E$6941,0))*INDEX(NVLSX!$T$2:$T$6941,MATCH($D77,NVLSX!$E$2:$E$6941,0)),"")</f>
        <v/>
      </c>
      <c r="X77" s="776">
        <f t="shared" ca="1" si="4"/>
        <v>0</v>
      </c>
      <c r="Y77" s="982" t="str">
        <f ca="1">IFERROR(INDEX(NVLSX!$X$2:$X$4655,MATCH($D77,NVLSX!$E$2:$E$4655,0)),"")</f>
        <v/>
      </c>
    </row>
    <row r="78" spans="1:25">
      <c r="A78" s="19" t="str">
        <f ca="1">IF($Q78="","",MAX($A$2:A77)+1)</f>
        <v/>
      </c>
      <c r="B78" s="1146" t="str">
        <f ca="1">IFERROR(INDEX(NVLSX!$Y$2:$Y$6756,MATCH($D78,NVLSX!$E$2:$E$6756,0)),"")</f>
        <v/>
      </c>
      <c r="C78" s="1146" t="str">
        <f ca="1">IFERROR(INDEX(NVLSX!$Z$2:$Z$6756,MATCH($D78,NVLSX!$E$2:$E$6756,0)),"")</f>
        <v/>
      </c>
      <c r="D78" s="23" t="str">
        <f ca="1">IF($Q78="","",INDEX(TongVTSX!C$3:C$1500,$Q78))</f>
        <v/>
      </c>
      <c r="E78" s="729" t="str">
        <f ca="1">IF($Q78="","",INDEX(TongVTSX!D$3:D$1500,$Q78) &amp; IF(OR($R78=$S$1,$R78=$S$7)," (" &amp; INDEX(TongVTSX!A$3:A$1500,$Q78) &amp; ")",""))</f>
        <v/>
      </c>
      <c r="F78" s="745" t="str">
        <f ca="1">IF($Q78="","",IF($R78=$S$7,INDEX(TongVTSX!$G$3:$G$1500,$Q78),INDEX(TongVTSX!$E$3:$E$1500,$Q78)))</f>
        <v/>
      </c>
      <c r="G78" s="24" t="str">
        <f ca="1">IF($Q78="","",IF($R78=$S$1,"mm",IF($R78=$S$2,"Thanh",INDEX(TongVTSX!F$3:F$1500,$Q78))))</f>
        <v/>
      </c>
      <c r="H78" s="114">
        <f ca="1">IF($R78=$S$1,INDEX(TongVTSX!$K$3:$K$1500,$Q78),IF($R78=$S$7,INDEX(TongVTSX!$H$3:$H$1500,$Q78),IF($R78=$S$2,ROUNDUP(SUMPRODUCT((TongVTSX!$C$3:$C$1500=$D78)*(TongVTSX!$E$3:$E$1500=$F78)*(TongVTSX!$K$3:$K$1500))/$U78,0),SUMPRODUCT((TongVTSX!$C$3:$C$1500=$D78)*(TongVTSX!$E$3:$E$1500=$F78)*(TongVTSX!$K$3:$K$1500)))))</f>
        <v>0</v>
      </c>
      <c r="I78" s="114"/>
      <c r="J78" s="114"/>
      <c r="K78" s="114" t="str">
        <f ca="1">IF($Q78="","",IF($R78=$S$2,INDEX(TongVTSX!M$3:M$1500,$Q78)*$U78,   INDEX(TongVTSX!M$3:M$1500,$Q78)))</f>
        <v/>
      </c>
      <c r="L78" s="92">
        <f ca="1">IF($Q78="",0, IF($R78=$S$7,$F78*$H78*$K78,IF($R78=$S$2,$H78*$K78,    IF($H78*$K78 - SUMPRODUCT((TongVTSX!$C$3:$C$1500=$D78)*(TongVTSX!$E$3:$E$1500=$F78)*(TongVTSX!$O$3:$O$1500)) &lt;=10,$H78*$K78,"PO &lt;&gt; TongVTSX"))))</f>
        <v>0</v>
      </c>
      <c r="M78" s="114">
        <f ca="1">IF($R78=$S$1,INDEX(TongVTSX!$K$3:$K$1500,$Q78),IF($R78=$S$7,INDEX(TongVTSX!$H$3:$H$1500,$Q78),IF($R78=$S$2,SUMPRODUCT((TongVTSX!$C$3:$C$1500=$D78)*(TongVTSX!$E$3:$E$1500=$F78)*(TongVTSX!$K$3:$K$1500))/$U78,SUMPRODUCT((TongVTSX!$C$3:$C$1500=$D78)*(TongVTSX!$E$3:$E$1500=$F78)*(TongVTSX!$K$3:$K$1500)))))</f>
        <v>0</v>
      </c>
      <c r="N78" s="92">
        <f ca="1">IF($Q78="",0, IF($R78=$S$7,$F78*$M78*$K78,IF($R78=$S$2,$M78*$K78,    IF($M78*$K78 - SUMPRODUCT((TongVTSX!$C$3:$C$1500=$D78)*(TongVTSX!$E$3:$E$1500=$F78)*(TongVTSX!$O$3:$O$1500)) &lt;=10,$M78*$K78,"PO &lt;&gt; TongVTSX"))))</f>
        <v>0</v>
      </c>
      <c r="O78" s="92">
        <f t="shared" ca="1" si="3"/>
        <v>0</v>
      </c>
      <c r="P78" s="1146" t="str">
        <f ca="1">IFERROR(INDEX(NVLSX!$AA$2:$AA$6756,MATCH($D78,NVLSX!$E$2:$E$6756,0)),"")</f>
        <v/>
      </c>
      <c r="Q78" s="742" t="str">
        <f ca="1">IF($R78="","",IF($R78&lt;&gt;$R77,IF(TYPE(MATCH($R78,TongVTSX!$T$3:$T$1500,0))=16,"",MATCH($R78,TongVTSX!$T$3:$T$1500,0)),IF(TYPE(MATCH($R78,OFFSET(TongVTSX!$T$3,$Q77,0):'TongVTSX'!$T$1500,0)+$Q77)=16,"",MATCH($R78,OFFSET(TongVTSX!$T$3,$Q77,0):'TongVTSX'!$T$1500,0)+$Q77)))</f>
        <v/>
      </c>
      <c r="R78" s="179" t="str">
        <f ca="1">IFERROR(IF(COUNTIF($R$3:R77,R77)&lt; INDEX($T$1:$T$7,MATCH($R77,$S$1:$S$7,0)),$R77,INDEX($S$1:$S$7,MATCH($R77,$S$1:$S$7,0)+1)),"")</f>
        <v/>
      </c>
      <c r="S78" s="181"/>
      <c r="T78" s="182"/>
      <c r="U78" s="184" t="str">
        <f ca="1">IF($R78="PR",INDEX(NVLSX!$U$2:$U$6941,MATCH($D78,NVLSX!$E$2:$E$6941,0)),"")</f>
        <v/>
      </c>
      <c r="V78" s="184" t="str">
        <f ca="1">IF($R78="PR",INDEX(NVLSX!$S$2:$S$6941,MATCH($D78,NVLSX!$E$2:$E$6941,0))*1000,"")</f>
        <v/>
      </c>
      <c r="W78" s="776" t="str">
        <f ca="1">IF($R78="PR",INDEX(NVLSX!$S$2:$S$6941,MATCH($D78,NVLSX!$E$2:$E$6941,0))*INDEX(NVLSX!$T$2:$T$6941,MATCH($D78,NVLSX!$E$2:$E$6941,0)),"")</f>
        <v/>
      </c>
      <c r="X78" s="776">
        <f t="shared" ca="1" si="4"/>
        <v>0</v>
      </c>
      <c r="Y78" s="982" t="str">
        <f ca="1">IFERROR(INDEX(NVLSX!$X$2:$X$4655,MATCH($D78,NVLSX!$E$2:$E$4655,0)),"")</f>
        <v/>
      </c>
    </row>
    <row r="79" spans="1:25">
      <c r="A79" s="19" t="str">
        <f ca="1">IF($Q79="","",MAX($A$2:A78)+1)</f>
        <v/>
      </c>
      <c r="B79" s="1146" t="str">
        <f ca="1">IFERROR(INDEX(NVLSX!$Y$2:$Y$6756,MATCH($D79,NVLSX!$E$2:$E$6756,0)),"")</f>
        <v/>
      </c>
      <c r="C79" s="1146" t="str">
        <f ca="1">IFERROR(INDEX(NVLSX!$Z$2:$Z$6756,MATCH($D79,NVLSX!$E$2:$E$6756,0)),"")</f>
        <v/>
      </c>
      <c r="D79" s="23" t="str">
        <f ca="1">IF($Q79="","",INDEX(TongVTSX!C$3:C$1500,$Q79))</f>
        <v/>
      </c>
      <c r="E79" s="729" t="str">
        <f ca="1">IF($Q79="","",INDEX(TongVTSX!D$3:D$1500,$Q79) &amp; IF(OR($R79=$S$1,$R79=$S$7)," (" &amp; INDEX(TongVTSX!A$3:A$1500,$Q79) &amp; ")",""))</f>
        <v/>
      </c>
      <c r="F79" s="745" t="str">
        <f ca="1">IF($Q79="","",IF($R79=$S$7,INDEX(TongVTSX!$G$3:$G$1500,$Q79),INDEX(TongVTSX!$E$3:$E$1500,$Q79)))</f>
        <v/>
      </c>
      <c r="G79" s="24" t="str">
        <f ca="1">IF($Q79="","",IF($R79=$S$1,"mm",IF($R79=$S$2,"Thanh",INDEX(TongVTSX!F$3:F$1500,$Q79))))</f>
        <v/>
      </c>
      <c r="H79" s="114">
        <f ca="1">IF($R79=$S$1,INDEX(TongVTSX!$K$3:$K$1500,$Q79),IF($R79=$S$7,INDEX(TongVTSX!$H$3:$H$1500,$Q79),IF($R79=$S$2,ROUNDUP(SUMPRODUCT((TongVTSX!$C$3:$C$1500=$D79)*(TongVTSX!$E$3:$E$1500=$F79)*(TongVTSX!$K$3:$K$1500))/$U79,0),SUMPRODUCT((TongVTSX!$C$3:$C$1500=$D79)*(TongVTSX!$E$3:$E$1500=$F79)*(TongVTSX!$K$3:$K$1500)))))</f>
        <v>0</v>
      </c>
      <c r="I79" s="114"/>
      <c r="J79" s="114"/>
      <c r="K79" s="114" t="str">
        <f ca="1">IF($Q79="","",IF($R79=$S$2,INDEX(TongVTSX!M$3:M$1500,$Q79)*$U79,   INDEX(TongVTSX!M$3:M$1500,$Q79)))</f>
        <v/>
      </c>
      <c r="L79" s="92">
        <f ca="1">IF($Q79="",0, IF($R79=$S$7,$F79*$H79*$K79,IF($R79=$S$2,$H79*$K79,    IF($H79*$K79 - SUMPRODUCT((TongVTSX!$C$3:$C$1500=$D79)*(TongVTSX!$E$3:$E$1500=$F79)*(TongVTSX!$O$3:$O$1500)) &lt;=10,$H79*$K79,"PO &lt;&gt; TongVTSX"))))</f>
        <v>0</v>
      </c>
      <c r="M79" s="114">
        <f ca="1">IF($R79=$S$1,INDEX(TongVTSX!$K$3:$K$1500,$Q79),IF($R79=$S$7,INDEX(TongVTSX!$H$3:$H$1500,$Q79),IF($R79=$S$2,SUMPRODUCT((TongVTSX!$C$3:$C$1500=$D79)*(TongVTSX!$E$3:$E$1500=$F79)*(TongVTSX!$K$3:$K$1500))/$U79,SUMPRODUCT((TongVTSX!$C$3:$C$1500=$D79)*(TongVTSX!$E$3:$E$1500=$F79)*(TongVTSX!$K$3:$K$1500)))))</f>
        <v>0</v>
      </c>
      <c r="N79" s="92">
        <f ca="1">IF($Q79="",0, IF($R79=$S$7,$F79*$M79*$K79,IF($R79=$S$2,$M79*$K79,    IF($M79*$K79 - SUMPRODUCT((TongVTSX!$C$3:$C$1500=$D79)*(TongVTSX!$E$3:$E$1500=$F79)*(TongVTSX!$O$3:$O$1500)) &lt;=10,$M79*$K79,"PO &lt;&gt; TongVTSX"))))</f>
        <v>0</v>
      </c>
      <c r="O79" s="92">
        <f t="shared" ca="1" si="3"/>
        <v>0</v>
      </c>
      <c r="P79" s="1146" t="str">
        <f ca="1">IFERROR(INDEX(NVLSX!$AA$2:$AA$6756,MATCH($D79,NVLSX!$E$2:$E$6756,0)),"")</f>
        <v/>
      </c>
      <c r="Q79" s="742" t="str">
        <f ca="1">IF($R79="","",IF($R79&lt;&gt;$R78,IF(TYPE(MATCH($R79,TongVTSX!$T$3:$T$1500,0))=16,"",MATCH($R79,TongVTSX!$T$3:$T$1500,0)),IF(TYPE(MATCH($R79,OFFSET(TongVTSX!$T$3,$Q78,0):'TongVTSX'!$T$1500,0)+$Q78)=16,"",MATCH($R79,OFFSET(TongVTSX!$T$3,$Q78,0):'TongVTSX'!$T$1500,0)+$Q78)))</f>
        <v/>
      </c>
      <c r="R79" s="179" t="str">
        <f ca="1">IFERROR(IF(COUNTIF($R$3:R78,R78)&lt; INDEX($T$1:$T$7,MATCH($R78,$S$1:$S$7,0)),$R78,INDEX($S$1:$S$7,MATCH($R78,$S$1:$S$7,0)+1)),"")</f>
        <v/>
      </c>
      <c r="S79" s="181"/>
      <c r="T79" s="182"/>
      <c r="U79" s="184" t="str">
        <f ca="1">IF($R79="PR",INDEX(NVLSX!$U$2:$U$6941,MATCH($D79,NVLSX!$E$2:$E$6941,0)),"")</f>
        <v/>
      </c>
      <c r="V79" s="184" t="str">
        <f ca="1">IF($R79="PR",INDEX(NVLSX!$S$2:$S$6941,MATCH($D79,NVLSX!$E$2:$E$6941,0))*1000,"")</f>
        <v/>
      </c>
      <c r="W79" s="776" t="str">
        <f ca="1">IF($R79="PR",INDEX(NVLSX!$S$2:$S$6941,MATCH($D79,NVLSX!$E$2:$E$6941,0))*INDEX(NVLSX!$T$2:$T$6941,MATCH($D79,NVLSX!$E$2:$E$6941,0)),"")</f>
        <v/>
      </c>
      <c r="X79" s="776">
        <f t="shared" ca="1" si="4"/>
        <v>0</v>
      </c>
      <c r="Y79" s="982" t="str">
        <f ca="1">IFERROR(INDEX(NVLSX!$X$2:$X$4655,MATCH($D79,NVLSX!$E$2:$E$4655,0)),"")</f>
        <v/>
      </c>
    </row>
    <row r="80" spans="1:25">
      <c r="A80" s="19" t="str">
        <f ca="1">IF($Q80="","",MAX($A$2:A79)+1)</f>
        <v/>
      </c>
      <c r="B80" s="1146" t="str">
        <f ca="1">IFERROR(INDEX(NVLSX!$Y$2:$Y$6756,MATCH($D80,NVLSX!$E$2:$E$6756,0)),"")</f>
        <v/>
      </c>
      <c r="C80" s="1146" t="str">
        <f ca="1">IFERROR(INDEX(NVLSX!$Z$2:$Z$6756,MATCH($D80,NVLSX!$E$2:$E$6756,0)),"")</f>
        <v/>
      </c>
      <c r="D80" s="23" t="str">
        <f ca="1">IF($Q80="","",INDEX(TongVTSX!C$3:C$1500,$Q80))</f>
        <v/>
      </c>
      <c r="E80" s="729" t="str">
        <f ca="1">IF($Q80="","",INDEX(TongVTSX!D$3:D$1500,$Q80) &amp; IF(OR($R80=$S$1,$R80=$S$7)," (" &amp; INDEX(TongVTSX!A$3:A$1500,$Q80) &amp; ")",""))</f>
        <v/>
      </c>
      <c r="F80" s="745" t="str">
        <f ca="1">IF($Q80="","",IF($R80=$S$7,INDEX(TongVTSX!$G$3:$G$1500,$Q80),INDEX(TongVTSX!$E$3:$E$1500,$Q80)))</f>
        <v/>
      </c>
      <c r="G80" s="24" t="str">
        <f ca="1">IF($Q80="","",IF($R80=$S$1,"mm",IF($R80=$S$2,"Thanh",INDEX(TongVTSX!F$3:F$1500,$Q80))))</f>
        <v/>
      </c>
      <c r="H80" s="114">
        <f ca="1">IF($R80=$S$1,INDEX(TongVTSX!$K$3:$K$1500,$Q80),IF($R80=$S$7,INDEX(TongVTSX!$H$3:$H$1500,$Q80),IF($R80=$S$2,ROUNDUP(SUMPRODUCT((TongVTSX!$C$3:$C$1500=$D80)*(TongVTSX!$E$3:$E$1500=$F80)*(TongVTSX!$K$3:$K$1500))/$U80,0),SUMPRODUCT((TongVTSX!$C$3:$C$1500=$D80)*(TongVTSX!$E$3:$E$1500=$F80)*(TongVTSX!$K$3:$K$1500)))))</f>
        <v>0</v>
      </c>
      <c r="I80" s="114"/>
      <c r="J80" s="114"/>
      <c r="K80" s="114" t="str">
        <f ca="1">IF($Q80="","",IF($R80=$S$2,INDEX(TongVTSX!M$3:M$1500,$Q80)*$U80,   INDEX(TongVTSX!M$3:M$1500,$Q80)))</f>
        <v/>
      </c>
      <c r="L80" s="92">
        <f ca="1">IF($Q80="",0, IF($R80=$S$7,$F80*$H80*$K80,IF($R80=$S$2,$H80*$K80,    IF($H80*$K80 - SUMPRODUCT((TongVTSX!$C$3:$C$1500=$D80)*(TongVTSX!$E$3:$E$1500=$F80)*(TongVTSX!$O$3:$O$1500)) &lt;=10,$H80*$K80,"PO &lt;&gt; TongVTSX"))))</f>
        <v>0</v>
      </c>
      <c r="M80" s="114">
        <f ca="1">IF($R80=$S$1,INDEX(TongVTSX!$K$3:$K$1500,$Q80),IF($R80=$S$7,INDEX(TongVTSX!$H$3:$H$1500,$Q80),IF($R80=$S$2,SUMPRODUCT((TongVTSX!$C$3:$C$1500=$D80)*(TongVTSX!$E$3:$E$1500=$F80)*(TongVTSX!$K$3:$K$1500))/$U80,SUMPRODUCT((TongVTSX!$C$3:$C$1500=$D80)*(TongVTSX!$E$3:$E$1500=$F80)*(TongVTSX!$K$3:$K$1500)))))</f>
        <v>0</v>
      </c>
      <c r="N80" s="92">
        <f ca="1">IF($Q80="",0, IF($R80=$S$7,$F80*$M80*$K80,IF($R80=$S$2,$M80*$K80,    IF($M80*$K80 - SUMPRODUCT((TongVTSX!$C$3:$C$1500=$D80)*(TongVTSX!$E$3:$E$1500=$F80)*(TongVTSX!$O$3:$O$1500)) &lt;=10,$M80*$K80,"PO &lt;&gt; TongVTSX"))))</f>
        <v>0</v>
      </c>
      <c r="O80" s="92">
        <f t="shared" ca="1" si="3"/>
        <v>0</v>
      </c>
      <c r="P80" s="1146" t="str">
        <f ca="1">IFERROR(INDEX(NVLSX!$AA$2:$AA$6756,MATCH($D80,NVLSX!$E$2:$E$6756,0)),"")</f>
        <v/>
      </c>
      <c r="Q80" s="742" t="str">
        <f ca="1">IF($R80="","",IF($R80&lt;&gt;$R79,IF(TYPE(MATCH($R80,TongVTSX!$T$3:$T$1500,0))=16,"",MATCH($R80,TongVTSX!$T$3:$T$1500,0)),IF(TYPE(MATCH($R80,OFFSET(TongVTSX!$T$3,$Q79,0):'TongVTSX'!$T$1500,0)+$Q79)=16,"",MATCH($R80,OFFSET(TongVTSX!$T$3,$Q79,0):'TongVTSX'!$T$1500,0)+$Q79)))</f>
        <v/>
      </c>
      <c r="R80" s="179" t="str">
        <f ca="1">IFERROR(IF(COUNTIF($R$3:R79,R79)&lt; INDEX($T$1:$T$7,MATCH($R79,$S$1:$S$7,0)),$R79,INDEX($S$1:$S$7,MATCH($R79,$S$1:$S$7,0)+1)),"")</f>
        <v/>
      </c>
      <c r="S80" s="181"/>
      <c r="T80" s="182"/>
      <c r="U80" s="184" t="str">
        <f ca="1">IF($R80="PR",INDEX(NVLSX!$U$2:$U$6941,MATCH($D80,NVLSX!$E$2:$E$6941,0)),"")</f>
        <v/>
      </c>
      <c r="V80" s="184" t="str">
        <f ca="1">IF($R80="PR",INDEX(NVLSX!$S$2:$S$6941,MATCH($D80,NVLSX!$E$2:$E$6941,0))*1000,"")</f>
        <v/>
      </c>
      <c r="W80" s="776" t="str">
        <f ca="1">IF($R80="PR",INDEX(NVLSX!$S$2:$S$6941,MATCH($D80,NVLSX!$E$2:$E$6941,0))*INDEX(NVLSX!$T$2:$T$6941,MATCH($D80,NVLSX!$E$2:$E$6941,0)),"")</f>
        <v/>
      </c>
      <c r="X80" s="776">
        <f t="shared" ca="1" si="4"/>
        <v>0</v>
      </c>
      <c r="Y80" s="982" t="str">
        <f ca="1">IFERROR(INDEX(NVLSX!$X$2:$X$4655,MATCH($D80,NVLSX!$E$2:$E$4655,0)),"")</f>
        <v/>
      </c>
    </row>
    <row r="81" spans="1:25">
      <c r="A81" s="19" t="str">
        <f ca="1">IF($Q81="","",MAX($A$2:A80)+1)</f>
        <v/>
      </c>
      <c r="B81" s="1146" t="str">
        <f ca="1">IFERROR(INDEX(NVLSX!$Y$2:$Y$6756,MATCH($D81,NVLSX!$E$2:$E$6756,0)),"")</f>
        <v/>
      </c>
      <c r="C81" s="1146" t="str">
        <f ca="1">IFERROR(INDEX(NVLSX!$Z$2:$Z$6756,MATCH($D81,NVLSX!$E$2:$E$6756,0)),"")</f>
        <v/>
      </c>
      <c r="D81" s="23" t="str">
        <f ca="1">IF($Q81="","",INDEX(TongVTSX!C$3:C$1500,$Q81))</f>
        <v/>
      </c>
      <c r="E81" s="729" t="str">
        <f ca="1">IF($Q81="","",INDEX(TongVTSX!D$3:D$1500,$Q81) &amp; IF(OR($R81=$S$1,$R81=$S$7)," (" &amp; INDEX(TongVTSX!A$3:A$1500,$Q81) &amp; ")",""))</f>
        <v/>
      </c>
      <c r="F81" s="745" t="str">
        <f ca="1">IF($Q81="","",IF($R81=$S$7,INDEX(TongVTSX!$G$3:$G$1500,$Q81),INDEX(TongVTSX!$E$3:$E$1500,$Q81)))</f>
        <v/>
      </c>
      <c r="G81" s="24" t="str">
        <f ca="1">IF($Q81="","",IF($R81=$S$1,"mm",IF($R81=$S$2,"Thanh",INDEX(TongVTSX!F$3:F$1500,$Q81))))</f>
        <v/>
      </c>
      <c r="H81" s="114">
        <f ca="1">IF($R81=$S$1,INDEX(TongVTSX!$K$3:$K$1500,$Q81),IF($R81=$S$7,INDEX(TongVTSX!$H$3:$H$1500,$Q81),IF($R81=$S$2,ROUNDUP(SUMPRODUCT((TongVTSX!$C$3:$C$1500=$D81)*(TongVTSX!$E$3:$E$1500=$F81)*(TongVTSX!$K$3:$K$1500))/$U81,0),SUMPRODUCT((TongVTSX!$C$3:$C$1500=$D81)*(TongVTSX!$E$3:$E$1500=$F81)*(TongVTSX!$K$3:$K$1500)))))</f>
        <v>0</v>
      </c>
      <c r="I81" s="114"/>
      <c r="J81" s="114"/>
      <c r="K81" s="114" t="str">
        <f ca="1">IF($Q81="","",IF($R81=$S$2,INDEX(TongVTSX!M$3:M$1500,$Q81)*$U81,   INDEX(TongVTSX!M$3:M$1500,$Q81)))</f>
        <v/>
      </c>
      <c r="L81" s="92">
        <f ca="1">IF($Q81="",0, IF($R81=$S$7,$F81*$H81*$K81,IF($R81=$S$2,$H81*$K81,    IF($H81*$K81 - SUMPRODUCT((TongVTSX!$C$3:$C$1500=$D81)*(TongVTSX!$E$3:$E$1500=$F81)*(TongVTSX!$O$3:$O$1500)) &lt;=10,$H81*$K81,"PO &lt;&gt; TongVTSX"))))</f>
        <v>0</v>
      </c>
      <c r="M81" s="114">
        <f ca="1">IF($R81=$S$1,INDEX(TongVTSX!$K$3:$K$1500,$Q81),IF($R81=$S$7,INDEX(TongVTSX!$H$3:$H$1500,$Q81),IF($R81=$S$2,SUMPRODUCT((TongVTSX!$C$3:$C$1500=$D81)*(TongVTSX!$E$3:$E$1500=$F81)*(TongVTSX!$K$3:$K$1500))/$U81,SUMPRODUCT((TongVTSX!$C$3:$C$1500=$D81)*(TongVTSX!$E$3:$E$1500=$F81)*(TongVTSX!$K$3:$K$1500)))))</f>
        <v>0</v>
      </c>
      <c r="N81" s="92">
        <f ca="1">IF($Q81="",0, IF($R81=$S$7,$F81*$M81*$K81,IF($R81=$S$2,$M81*$K81,    IF($M81*$K81 - SUMPRODUCT((TongVTSX!$C$3:$C$1500=$D81)*(TongVTSX!$E$3:$E$1500=$F81)*(TongVTSX!$O$3:$O$1500)) &lt;=10,$M81*$K81,"PO &lt;&gt; TongVTSX"))))</f>
        <v>0</v>
      </c>
      <c r="O81" s="92">
        <f t="shared" ca="1" si="3"/>
        <v>0</v>
      </c>
      <c r="P81" s="1146" t="str">
        <f ca="1">IFERROR(INDEX(NVLSX!$AA$2:$AA$6756,MATCH($D81,NVLSX!$E$2:$E$6756,0)),"")</f>
        <v/>
      </c>
      <c r="Q81" s="742" t="str">
        <f ca="1">IF($R81="","",IF($R81&lt;&gt;$R80,IF(TYPE(MATCH($R81,TongVTSX!$T$3:$T$1500,0))=16,"",MATCH($R81,TongVTSX!$T$3:$T$1500,0)),IF(TYPE(MATCH($R81,OFFSET(TongVTSX!$T$3,$Q80,0):'TongVTSX'!$T$1500,0)+$Q80)=16,"",MATCH($R81,OFFSET(TongVTSX!$T$3,$Q80,0):'TongVTSX'!$T$1500,0)+$Q80)))</f>
        <v/>
      </c>
      <c r="R81" s="179" t="str">
        <f ca="1">IFERROR(IF(COUNTIF($R$3:R80,R80)&lt; INDEX($T$1:$T$7,MATCH($R80,$S$1:$S$7,0)),$R80,INDEX($S$1:$S$7,MATCH($R80,$S$1:$S$7,0)+1)),"")</f>
        <v/>
      </c>
      <c r="S81" s="181"/>
      <c r="T81" s="182"/>
      <c r="U81" s="184" t="str">
        <f ca="1">IF($R81="PR",INDEX(NVLSX!$U$2:$U$6941,MATCH($D81,NVLSX!$E$2:$E$6941,0)),"")</f>
        <v/>
      </c>
      <c r="V81" s="184" t="str">
        <f ca="1">IF($R81="PR",INDEX(NVLSX!$S$2:$S$6941,MATCH($D81,NVLSX!$E$2:$E$6941,0))*1000,"")</f>
        <v/>
      </c>
      <c r="W81" s="776" t="str">
        <f ca="1">IF($R81="PR",INDEX(NVLSX!$S$2:$S$6941,MATCH($D81,NVLSX!$E$2:$E$6941,0))*INDEX(NVLSX!$T$2:$T$6941,MATCH($D81,NVLSX!$E$2:$E$6941,0)),"")</f>
        <v/>
      </c>
      <c r="X81" s="776">
        <f t="shared" ca="1" si="4"/>
        <v>0</v>
      </c>
      <c r="Y81" s="982" t="str">
        <f ca="1">IFERROR(INDEX(NVLSX!$X$2:$X$4655,MATCH($D81,NVLSX!$E$2:$E$4655,0)),"")</f>
        <v/>
      </c>
    </row>
    <row r="82" spans="1:25">
      <c r="A82" s="19" t="str">
        <f ca="1">IF($Q82="","",MAX($A$2:A81)+1)</f>
        <v/>
      </c>
      <c r="B82" s="1146" t="str">
        <f ca="1">IFERROR(INDEX(NVLSX!$Y$2:$Y$6756,MATCH($D82,NVLSX!$E$2:$E$6756,0)),"")</f>
        <v/>
      </c>
      <c r="C82" s="1146" t="str">
        <f ca="1">IFERROR(INDEX(NVLSX!$Z$2:$Z$6756,MATCH($D82,NVLSX!$E$2:$E$6756,0)),"")</f>
        <v/>
      </c>
      <c r="D82" s="23" t="str">
        <f ca="1">IF($Q82="","",INDEX(TongVTSX!C$3:C$1500,$Q82))</f>
        <v/>
      </c>
      <c r="E82" s="729" t="str">
        <f ca="1">IF($Q82="","",INDEX(TongVTSX!D$3:D$1500,$Q82) &amp; IF(OR($R82=$S$1,$R82=$S$7)," (" &amp; INDEX(TongVTSX!A$3:A$1500,$Q82) &amp; ")",""))</f>
        <v/>
      </c>
      <c r="F82" s="745" t="str">
        <f ca="1">IF($Q82="","",IF($R82=$S$7,INDEX(TongVTSX!$G$3:$G$1500,$Q82),INDEX(TongVTSX!$E$3:$E$1500,$Q82)))</f>
        <v/>
      </c>
      <c r="G82" s="24" t="str">
        <f ca="1">IF($Q82="","",IF($R82=$S$1,"mm",IF($R82=$S$2,"Thanh",INDEX(TongVTSX!F$3:F$1500,$Q82))))</f>
        <v/>
      </c>
      <c r="H82" s="114">
        <f ca="1">IF($R82=$S$1,INDEX(TongVTSX!$K$3:$K$1500,$Q82),IF($R82=$S$7,INDEX(TongVTSX!$H$3:$H$1500,$Q82),IF($R82=$S$2,ROUNDUP(SUMPRODUCT((TongVTSX!$C$3:$C$1500=$D82)*(TongVTSX!$E$3:$E$1500=$F82)*(TongVTSX!$K$3:$K$1500))/$U82,0),SUMPRODUCT((TongVTSX!$C$3:$C$1500=$D82)*(TongVTSX!$E$3:$E$1500=$F82)*(TongVTSX!$K$3:$K$1500)))))</f>
        <v>0</v>
      </c>
      <c r="I82" s="114"/>
      <c r="J82" s="114"/>
      <c r="K82" s="114" t="str">
        <f ca="1">IF($Q82="","",IF($R82=$S$2,INDEX(TongVTSX!M$3:M$1500,$Q82)*$U82,   INDEX(TongVTSX!M$3:M$1500,$Q82)))</f>
        <v/>
      </c>
      <c r="L82" s="92">
        <f ca="1">IF($Q82="",0, IF($R82=$S$7,$F82*$H82*$K82,IF($R82=$S$2,$H82*$K82,    IF($H82*$K82 - SUMPRODUCT((TongVTSX!$C$3:$C$1500=$D82)*(TongVTSX!$E$3:$E$1500=$F82)*(TongVTSX!$O$3:$O$1500)) &lt;=10,$H82*$K82,"PO &lt;&gt; TongVTSX"))))</f>
        <v>0</v>
      </c>
      <c r="M82" s="114">
        <f ca="1">IF($R82=$S$1,INDEX(TongVTSX!$K$3:$K$1500,$Q82),IF($R82=$S$7,INDEX(TongVTSX!$H$3:$H$1500,$Q82),IF($R82=$S$2,SUMPRODUCT((TongVTSX!$C$3:$C$1500=$D82)*(TongVTSX!$E$3:$E$1500=$F82)*(TongVTSX!$K$3:$K$1500))/$U82,SUMPRODUCT((TongVTSX!$C$3:$C$1500=$D82)*(TongVTSX!$E$3:$E$1500=$F82)*(TongVTSX!$K$3:$K$1500)))))</f>
        <v>0</v>
      </c>
      <c r="N82" s="92">
        <f ca="1">IF($Q82="",0, IF($R82=$S$7,$F82*$M82*$K82,IF($R82=$S$2,$M82*$K82,    IF($M82*$K82 - SUMPRODUCT((TongVTSX!$C$3:$C$1500=$D82)*(TongVTSX!$E$3:$E$1500=$F82)*(TongVTSX!$O$3:$O$1500)) &lt;=10,$M82*$K82,"PO &lt;&gt; TongVTSX"))))</f>
        <v>0</v>
      </c>
      <c r="O82" s="92">
        <f t="shared" ca="1" si="3"/>
        <v>0</v>
      </c>
      <c r="P82" s="1146" t="str">
        <f ca="1">IFERROR(INDEX(NVLSX!$AA$2:$AA$6756,MATCH($D82,NVLSX!$E$2:$E$6756,0)),"")</f>
        <v/>
      </c>
      <c r="Q82" s="742" t="str">
        <f ca="1">IF($R82="","",IF($R82&lt;&gt;$R81,IF(TYPE(MATCH($R82,TongVTSX!$T$3:$T$1500,0))=16,"",MATCH($R82,TongVTSX!$T$3:$T$1500,0)),IF(TYPE(MATCH($R82,OFFSET(TongVTSX!$T$3,$Q81,0):'TongVTSX'!$T$1500,0)+$Q81)=16,"",MATCH($R82,OFFSET(TongVTSX!$T$3,$Q81,0):'TongVTSX'!$T$1500,0)+$Q81)))</f>
        <v/>
      </c>
      <c r="R82" s="179" t="str">
        <f ca="1">IFERROR(IF(COUNTIF($R$3:R81,R81)&lt; INDEX($T$1:$T$7,MATCH($R81,$S$1:$S$7,0)),$R81,INDEX($S$1:$S$7,MATCH($R81,$S$1:$S$7,0)+1)),"")</f>
        <v/>
      </c>
      <c r="S82" s="181"/>
      <c r="T82" s="182"/>
      <c r="U82" s="184" t="str">
        <f ca="1">IF($R82="PR",INDEX(NVLSX!$U$2:$U$6941,MATCH($D82,NVLSX!$E$2:$E$6941,0)),"")</f>
        <v/>
      </c>
      <c r="V82" s="184" t="str">
        <f ca="1">IF($R82="PR",INDEX(NVLSX!$S$2:$S$6941,MATCH($D82,NVLSX!$E$2:$E$6941,0))*1000,"")</f>
        <v/>
      </c>
      <c r="W82" s="776" t="str">
        <f ca="1">IF($R82="PR",INDEX(NVLSX!$S$2:$S$6941,MATCH($D82,NVLSX!$E$2:$E$6941,0))*INDEX(NVLSX!$T$2:$T$6941,MATCH($D82,NVLSX!$E$2:$E$6941,0)),"")</f>
        <v/>
      </c>
      <c r="X82" s="776">
        <f t="shared" ca="1" si="4"/>
        <v>0</v>
      </c>
      <c r="Y82" s="982" t="str">
        <f ca="1">IFERROR(INDEX(NVLSX!$X$2:$X$4655,MATCH($D82,NVLSX!$E$2:$E$4655,0)),"")</f>
        <v/>
      </c>
    </row>
    <row r="83" spans="1:25">
      <c r="A83" s="19" t="str">
        <f ca="1">IF($Q83="","",MAX($A$2:A82)+1)</f>
        <v/>
      </c>
      <c r="B83" s="1146" t="str">
        <f ca="1">IFERROR(INDEX(NVLSX!$Y$2:$Y$6756,MATCH($D83,NVLSX!$E$2:$E$6756,0)),"")</f>
        <v/>
      </c>
      <c r="C83" s="1146" t="str">
        <f ca="1">IFERROR(INDEX(NVLSX!$Z$2:$Z$6756,MATCH($D83,NVLSX!$E$2:$E$6756,0)),"")</f>
        <v/>
      </c>
      <c r="D83" s="23" t="str">
        <f ca="1">IF($Q83="","",INDEX(TongVTSX!C$3:C$1500,$Q83))</f>
        <v/>
      </c>
      <c r="E83" s="729" t="str">
        <f ca="1">IF($Q83="","",INDEX(TongVTSX!D$3:D$1500,$Q83) &amp; IF(OR($R83=$S$1,$R83=$S$7)," (" &amp; INDEX(TongVTSX!A$3:A$1500,$Q83) &amp; ")",""))</f>
        <v/>
      </c>
      <c r="F83" s="745" t="str">
        <f ca="1">IF($Q83="","",IF($R83=$S$7,INDEX(TongVTSX!$G$3:$G$1500,$Q83),INDEX(TongVTSX!$E$3:$E$1500,$Q83)))</f>
        <v/>
      </c>
      <c r="G83" s="24" t="str">
        <f ca="1">IF($Q83="","",IF($R83=$S$1,"mm",IF($R83=$S$2,"Thanh",INDEX(TongVTSX!F$3:F$1500,$Q83))))</f>
        <v/>
      </c>
      <c r="H83" s="114">
        <f ca="1">IF($R83=$S$1,INDEX(TongVTSX!$K$3:$K$1500,$Q83),IF($R83=$S$7,INDEX(TongVTSX!$H$3:$H$1500,$Q83),IF($R83=$S$2,ROUNDUP(SUMPRODUCT((TongVTSX!$C$3:$C$1500=$D83)*(TongVTSX!$E$3:$E$1500=$F83)*(TongVTSX!$K$3:$K$1500))/$U83,0),SUMPRODUCT((TongVTSX!$C$3:$C$1500=$D83)*(TongVTSX!$E$3:$E$1500=$F83)*(TongVTSX!$K$3:$K$1500)))))</f>
        <v>0</v>
      </c>
      <c r="I83" s="114"/>
      <c r="J83" s="114"/>
      <c r="K83" s="114" t="str">
        <f ca="1">IF($Q83="","",IF($R83=$S$2,INDEX(TongVTSX!M$3:M$1500,$Q83)*$U83,   INDEX(TongVTSX!M$3:M$1500,$Q83)))</f>
        <v/>
      </c>
      <c r="L83" s="92">
        <f ca="1">IF($Q83="",0, IF($R83=$S$7,$F83*$H83*$K83,IF($R83=$S$2,$H83*$K83,    IF($H83*$K83 - SUMPRODUCT((TongVTSX!$C$3:$C$1500=$D83)*(TongVTSX!$E$3:$E$1500=$F83)*(TongVTSX!$O$3:$O$1500)) &lt;=10,$H83*$K83,"PO &lt;&gt; TongVTSX"))))</f>
        <v>0</v>
      </c>
      <c r="M83" s="114">
        <f ca="1">IF($R83=$S$1,INDEX(TongVTSX!$K$3:$K$1500,$Q83),IF($R83=$S$7,INDEX(TongVTSX!$H$3:$H$1500,$Q83),IF($R83=$S$2,SUMPRODUCT((TongVTSX!$C$3:$C$1500=$D83)*(TongVTSX!$E$3:$E$1500=$F83)*(TongVTSX!$K$3:$K$1500))/$U83,SUMPRODUCT((TongVTSX!$C$3:$C$1500=$D83)*(TongVTSX!$E$3:$E$1500=$F83)*(TongVTSX!$K$3:$K$1500)))))</f>
        <v>0</v>
      </c>
      <c r="N83" s="92">
        <f ca="1">IF($Q83="",0, IF($R83=$S$7,$F83*$M83*$K83,IF($R83=$S$2,$M83*$K83,    IF($M83*$K83 - SUMPRODUCT((TongVTSX!$C$3:$C$1500=$D83)*(TongVTSX!$E$3:$E$1500=$F83)*(TongVTSX!$O$3:$O$1500)) &lt;=10,$M83*$K83,"PO &lt;&gt; TongVTSX"))))</f>
        <v>0</v>
      </c>
      <c r="O83" s="92">
        <f t="shared" ca="1" si="3"/>
        <v>0</v>
      </c>
      <c r="P83" s="1146" t="str">
        <f ca="1">IFERROR(INDEX(NVLSX!$AA$2:$AA$6756,MATCH($D83,NVLSX!$E$2:$E$6756,0)),"")</f>
        <v/>
      </c>
      <c r="Q83" s="742" t="str">
        <f ca="1">IF($R83="","",IF($R83&lt;&gt;$R82,IF(TYPE(MATCH($R83,TongVTSX!$T$3:$T$1500,0))=16,"",MATCH($R83,TongVTSX!$T$3:$T$1500,0)),IF(TYPE(MATCH($R83,OFFSET(TongVTSX!$T$3,$Q82,0):'TongVTSX'!$T$1500,0)+$Q82)=16,"",MATCH($R83,OFFSET(TongVTSX!$T$3,$Q82,0):'TongVTSX'!$T$1500,0)+$Q82)))</f>
        <v/>
      </c>
      <c r="R83" s="179" t="str">
        <f ca="1">IFERROR(IF(COUNTIF($R$3:R82,R82)&lt; INDEX($T$1:$T$7,MATCH($R82,$S$1:$S$7,0)),$R82,INDEX($S$1:$S$7,MATCH($R82,$S$1:$S$7,0)+1)),"")</f>
        <v/>
      </c>
      <c r="S83" s="181"/>
      <c r="T83" s="182"/>
      <c r="U83" s="184" t="str">
        <f ca="1">IF($R83="PR",INDEX(NVLSX!$U$2:$U$6941,MATCH($D83,NVLSX!$E$2:$E$6941,0)),"")</f>
        <v/>
      </c>
      <c r="V83" s="184" t="str">
        <f ca="1">IF($R83="PR",INDEX(NVLSX!$S$2:$S$6941,MATCH($D83,NVLSX!$E$2:$E$6941,0))*1000,"")</f>
        <v/>
      </c>
      <c r="W83" s="776" t="str">
        <f ca="1">IF($R83="PR",INDEX(NVLSX!$S$2:$S$6941,MATCH($D83,NVLSX!$E$2:$E$6941,0))*INDEX(NVLSX!$T$2:$T$6941,MATCH($D83,NVLSX!$E$2:$E$6941,0)),"")</f>
        <v/>
      </c>
      <c r="X83" s="776">
        <f t="shared" ca="1" si="4"/>
        <v>0</v>
      </c>
      <c r="Y83" s="982" t="str">
        <f ca="1">IFERROR(INDEX(NVLSX!$X$2:$X$4655,MATCH($D83,NVLSX!$E$2:$E$4655,0)),"")</f>
        <v/>
      </c>
    </row>
    <row r="84" spans="1:25">
      <c r="A84" s="19" t="str">
        <f ca="1">IF($Q84="","",MAX($A$2:A83)+1)</f>
        <v/>
      </c>
      <c r="B84" s="1146" t="str">
        <f ca="1">IFERROR(INDEX(NVLSX!$Y$2:$Y$6756,MATCH($D84,NVLSX!$E$2:$E$6756,0)),"")</f>
        <v/>
      </c>
      <c r="C84" s="1146" t="str">
        <f ca="1">IFERROR(INDEX(NVLSX!$Z$2:$Z$6756,MATCH($D84,NVLSX!$E$2:$E$6756,0)),"")</f>
        <v/>
      </c>
      <c r="D84" s="23" t="str">
        <f ca="1">IF($Q84="","",INDEX(TongVTSX!C$3:C$1500,$Q84))</f>
        <v/>
      </c>
      <c r="E84" s="729" t="str">
        <f ca="1">IF($Q84="","",INDEX(TongVTSX!D$3:D$1500,$Q84) &amp; IF(OR($R84=$S$1,$R84=$S$7)," (" &amp; INDEX(TongVTSX!A$3:A$1500,$Q84) &amp; ")",""))</f>
        <v/>
      </c>
      <c r="F84" s="745" t="str">
        <f ca="1">IF($Q84="","",IF($R84=$S$7,INDEX(TongVTSX!$G$3:$G$1500,$Q84),INDEX(TongVTSX!$E$3:$E$1500,$Q84)))</f>
        <v/>
      </c>
      <c r="G84" s="24" t="str">
        <f ca="1">IF($Q84="","",IF($R84=$S$1,"mm",IF($R84=$S$2,"Thanh",INDEX(TongVTSX!F$3:F$1500,$Q84))))</f>
        <v/>
      </c>
      <c r="H84" s="114">
        <f ca="1">IF($R84=$S$1,INDEX(TongVTSX!$K$3:$K$1500,$Q84),IF($R84=$S$7,INDEX(TongVTSX!$H$3:$H$1500,$Q84),IF($R84=$S$2,ROUNDUP(SUMPRODUCT((TongVTSX!$C$3:$C$1500=$D84)*(TongVTSX!$E$3:$E$1500=$F84)*(TongVTSX!$K$3:$K$1500))/$U84,0),SUMPRODUCT((TongVTSX!$C$3:$C$1500=$D84)*(TongVTSX!$E$3:$E$1500=$F84)*(TongVTSX!$K$3:$K$1500)))))</f>
        <v>0</v>
      </c>
      <c r="I84" s="114"/>
      <c r="J84" s="114"/>
      <c r="K84" s="114" t="str">
        <f ca="1">IF($Q84="","",IF($R84=$S$2,INDEX(TongVTSX!M$3:M$1500,$Q84)*$U84,   INDEX(TongVTSX!M$3:M$1500,$Q84)))</f>
        <v/>
      </c>
      <c r="L84" s="92">
        <f ca="1">IF($Q84="",0, IF($R84=$S$7,$F84*$H84*$K84,IF($R84=$S$2,$H84*$K84,    IF($H84*$K84 - SUMPRODUCT((TongVTSX!$C$3:$C$1500=$D84)*(TongVTSX!$E$3:$E$1500=$F84)*(TongVTSX!$O$3:$O$1500)) &lt;=10,$H84*$K84,"PO &lt;&gt; TongVTSX"))))</f>
        <v>0</v>
      </c>
      <c r="M84" s="114">
        <f ca="1">IF($R84=$S$1,INDEX(TongVTSX!$K$3:$K$1500,$Q84),IF($R84=$S$7,INDEX(TongVTSX!$H$3:$H$1500,$Q84),IF($R84=$S$2,SUMPRODUCT((TongVTSX!$C$3:$C$1500=$D84)*(TongVTSX!$E$3:$E$1500=$F84)*(TongVTSX!$K$3:$K$1500))/$U84,SUMPRODUCT((TongVTSX!$C$3:$C$1500=$D84)*(TongVTSX!$E$3:$E$1500=$F84)*(TongVTSX!$K$3:$K$1500)))))</f>
        <v>0</v>
      </c>
      <c r="N84" s="92">
        <f ca="1">IF($Q84="",0, IF($R84=$S$7,$F84*$M84*$K84,IF($R84=$S$2,$M84*$K84,    IF($M84*$K84 - SUMPRODUCT((TongVTSX!$C$3:$C$1500=$D84)*(TongVTSX!$E$3:$E$1500=$F84)*(TongVTSX!$O$3:$O$1500)) &lt;=10,$M84*$K84,"PO &lt;&gt; TongVTSX"))))</f>
        <v>0</v>
      </c>
      <c r="O84" s="92">
        <f t="shared" ca="1" si="3"/>
        <v>0</v>
      </c>
      <c r="P84" s="1146" t="str">
        <f ca="1">IFERROR(INDEX(NVLSX!$AA$2:$AA$6756,MATCH($D84,NVLSX!$E$2:$E$6756,0)),"")</f>
        <v/>
      </c>
      <c r="Q84" s="742" t="str">
        <f ca="1">IF($R84="","",IF($R84&lt;&gt;$R83,IF(TYPE(MATCH($R84,TongVTSX!$T$3:$T$1500,0))=16,"",MATCH($R84,TongVTSX!$T$3:$T$1500,0)),IF(TYPE(MATCH($R84,OFFSET(TongVTSX!$T$3,$Q83,0):'TongVTSX'!$T$1500,0)+$Q83)=16,"",MATCH($R84,OFFSET(TongVTSX!$T$3,$Q83,0):'TongVTSX'!$T$1500,0)+$Q83)))</f>
        <v/>
      </c>
      <c r="R84" s="179" t="str">
        <f ca="1">IFERROR(IF(COUNTIF($R$3:R83,R83)&lt; INDEX($T$1:$T$7,MATCH($R83,$S$1:$S$7,0)),$R83,INDEX($S$1:$S$7,MATCH($R83,$S$1:$S$7,0)+1)),"")</f>
        <v/>
      </c>
      <c r="S84" s="181"/>
      <c r="T84" s="182"/>
      <c r="U84" s="184" t="str">
        <f ca="1">IF($R84="PR",INDEX(NVLSX!$U$2:$U$6941,MATCH($D84,NVLSX!$E$2:$E$6941,0)),"")</f>
        <v/>
      </c>
      <c r="V84" s="184" t="str">
        <f ca="1">IF($R84="PR",INDEX(NVLSX!$S$2:$S$6941,MATCH($D84,NVLSX!$E$2:$E$6941,0))*1000,"")</f>
        <v/>
      </c>
      <c r="W84" s="776" t="str">
        <f ca="1">IF($R84="PR",INDEX(NVLSX!$S$2:$S$6941,MATCH($D84,NVLSX!$E$2:$E$6941,0))*INDEX(NVLSX!$T$2:$T$6941,MATCH($D84,NVLSX!$E$2:$E$6941,0)),"")</f>
        <v/>
      </c>
      <c r="X84" s="776">
        <f t="shared" ca="1" si="4"/>
        <v>0</v>
      </c>
      <c r="Y84" s="982" t="str">
        <f ca="1">IFERROR(INDEX(NVLSX!$X$2:$X$4655,MATCH($D84,NVLSX!$E$2:$E$4655,0)),"")</f>
        <v/>
      </c>
    </row>
    <row r="85" spans="1:25">
      <c r="A85" s="19" t="str">
        <f ca="1">IF($Q85="","",MAX($A$2:A84)+1)</f>
        <v/>
      </c>
      <c r="B85" s="1146" t="str">
        <f ca="1">IFERROR(INDEX(NVLSX!$Y$2:$Y$6756,MATCH($D85,NVLSX!$E$2:$E$6756,0)),"")</f>
        <v/>
      </c>
      <c r="C85" s="1146" t="str">
        <f ca="1">IFERROR(INDEX(NVLSX!$Z$2:$Z$6756,MATCH($D85,NVLSX!$E$2:$E$6756,0)),"")</f>
        <v/>
      </c>
      <c r="D85" s="23" t="str">
        <f ca="1">IF($Q85="","",INDEX(TongVTSX!C$3:C$1500,$Q85))</f>
        <v/>
      </c>
      <c r="E85" s="729" t="str">
        <f ca="1">IF($Q85="","",INDEX(TongVTSX!D$3:D$1500,$Q85) &amp; IF(OR($R85=$S$1,$R85=$S$7)," (" &amp; INDEX(TongVTSX!A$3:A$1500,$Q85) &amp; ")",""))</f>
        <v/>
      </c>
      <c r="F85" s="745" t="str">
        <f ca="1">IF($Q85="","",IF($R85=$S$7,INDEX(TongVTSX!$G$3:$G$1500,$Q85),INDEX(TongVTSX!$E$3:$E$1500,$Q85)))</f>
        <v/>
      </c>
      <c r="G85" s="24" t="str">
        <f ca="1">IF($Q85="","",IF($R85=$S$1,"mm",IF($R85=$S$2,"Thanh",INDEX(TongVTSX!F$3:F$1500,$Q85))))</f>
        <v/>
      </c>
      <c r="H85" s="114">
        <f ca="1">IF($R85=$S$1,INDEX(TongVTSX!$K$3:$K$1500,$Q85),IF($R85=$S$7,INDEX(TongVTSX!$H$3:$H$1500,$Q85),IF($R85=$S$2,ROUNDUP(SUMPRODUCT((TongVTSX!$C$3:$C$1500=$D85)*(TongVTSX!$E$3:$E$1500=$F85)*(TongVTSX!$K$3:$K$1500))/$U85,0),SUMPRODUCT((TongVTSX!$C$3:$C$1500=$D85)*(TongVTSX!$E$3:$E$1500=$F85)*(TongVTSX!$K$3:$K$1500)))))</f>
        <v>0</v>
      </c>
      <c r="I85" s="114"/>
      <c r="J85" s="114"/>
      <c r="K85" s="114" t="str">
        <f ca="1">IF($Q85="","",IF($R85=$S$2,INDEX(TongVTSX!M$3:M$1500,$Q85)*$U85,   INDEX(TongVTSX!M$3:M$1500,$Q85)))</f>
        <v/>
      </c>
      <c r="L85" s="92">
        <f ca="1">IF($Q85="",0, IF($R85=$S$7,$F85*$H85*$K85,IF($R85=$S$2,$H85*$K85,    IF($H85*$K85 - SUMPRODUCT((TongVTSX!$C$3:$C$1500=$D85)*(TongVTSX!$E$3:$E$1500=$F85)*(TongVTSX!$O$3:$O$1500)) &lt;=10,$H85*$K85,"PO &lt;&gt; TongVTSX"))))</f>
        <v>0</v>
      </c>
      <c r="M85" s="114">
        <f ca="1">IF($R85=$S$1,INDEX(TongVTSX!$K$3:$K$1500,$Q85),IF($R85=$S$7,INDEX(TongVTSX!$H$3:$H$1500,$Q85),IF($R85=$S$2,SUMPRODUCT((TongVTSX!$C$3:$C$1500=$D85)*(TongVTSX!$E$3:$E$1500=$F85)*(TongVTSX!$K$3:$K$1500))/$U85,SUMPRODUCT((TongVTSX!$C$3:$C$1500=$D85)*(TongVTSX!$E$3:$E$1500=$F85)*(TongVTSX!$K$3:$K$1500)))))</f>
        <v>0</v>
      </c>
      <c r="N85" s="92">
        <f ca="1">IF($Q85="",0, IF($R85=$S$7,$F85*$M85*$K85,IF($R85=$S$2,$M85*$K85,    IF($M85*$K85 - SUMPRODUCT((TongVTSX!$C$3:$C$1500=$D85)*(TongVTSX!$E$3:$E$1500=$F85)*(TongVTSX!$O$3:$O$1500)) &lt;=10,$M85*$K85,"PO &lt;&gt; TongVTSX"))))</f>
        <v>0</v>
      </c>
      <c r="O85" s="92">
        <f t="shared" ca="1" si="3"/>
        <v>0</v>
      </c>
      <c r="P85" s="1146" t="str">
        <f ca="1">IFERROR(INDEX(NVLSX!$AA$2:$AA$6756,MATCH($D85,NVLSX!$E$2:$E$6756,0)),"")</f>
        <v/>
      </c>
      <c r="Q85" s="742" t="str">
        <f ca="1">IF($R85="","",IF($R85&lt;&gt;$R84,IF(TYPE(MATCH($R85,TongVTSX!$T$3:$T$1500,0))=16,"",MATCH($R85,TongVTSX!$T$3:$T$1500,0)),IF(TYPE(MATCH($R85,OFFSET(TongVTSX!$T$3,$Q84,0):'TongVTSX'!$T$1500,0)+$Q84)=16,"",MATCH($R85,OFFSET(TongVTSX!$T$3,$Q84,0):'TongVTSX'!$T$1500,0)+$Q84)))</f>
        <v/>
      </c>
      <c r="R85" s="179" t="str">
        <f ca="1">IFERROR(IF(COUNTIF($R$3:R84,R84)&lt; INDEX($T$1:$T$7,MATCH($R84,$S$1:$S$7,0)),$R84,INDEX($S$1:$S$7,MATCH($R84,$S$1:$S$7,0)+1)),"")</f>
        <v/>
      </c>
      <c r="S85" s="181"/>
      <c r="T85" s="182"/>
      <c r="U85" s="184" t="str">
        <f ca="1">IF($R85="PR",INDEX(NVLSX!$U$2:$U$6941,MATCH($D85,NVLSX!$E$2:$E$6941,0)),"")</f>
        <v/>
      </c>
      <c r="V85" s="184" t="str">
        <f ca="1">IF($R85="PR",INDEX(NVLSX!$S$2:$S$6941,MATCH($D85,NVLSX!$E$2:$E$6941,0))*1000,"")</f>
        <v/>
      </c>
      <c r="W85" s="776" t="str">
        <f ca="1">IF($R85="PR",INDEX(NVLSX!$S$2:$S$6941,MATCH($D85,NVLSX!$E$2:$E$6941,0))*INDEX(NVLSX!$T$2:$T$6941,MATCH($D85,NVLSX!$E$2:$E$6941,0)),"")</f>
        <v/>
      </c>
      <c r="X85" s="776">
        <f t="shared" ca="1" si="4"/>
        <v>0</v>
      </c>
      <c r="Y85" s="982" t="str">
        <f ca="1">IFERROR(INDEX(NVLSX!$X$2:$X$4655,MATCH($D85,NVLSX!$E$2:$E$4655,0)),"")</f>
        <v/>
      </c>
    </row>
    <row r="86" spans="1:25">
      <c r="A86" s="19" t="str">
        <f ca="1">IF($Q86="","",MAX($A$2:A85)+1)</f>
        <v/>
      </c>
      <c r="B86" s="1146" t="str">
        <f ca="1">IFERROR(INDEX(NVLSX!$Y$2:$Y$6756,MATCH($D86,NVLSX!$E$2:$E$6756,0)),"")</f>
        <v/>
      </c>
      <c r="C86" s="1146" t="str">
        <f ca="1">IFERROR(INDEX(NVLSX!$Z$2:$Z$6756,MATCH($D86,NVLSX!$E$2:$E$6756,0)),"")</f>
        <v/>
      </c>
      <c r="D86" s="23" t="str">
        <f ca="1">IF($Q86="","",INDEX(TongVTSX!C$3:C$1500,$Q86))</f>
        <v/>
      </c>
      <c r="E86" s="729" t="str">
        <f ca="1">IF($Q86="","",INDEX(TongVTSX!D$3:D$1500,$Q86) &amp; IF(OR($R86=$S$1,$R86=$S$7)," (" &amp; INDEX(TongVTSX!A$3:A$1500,$Q86) &amp; ")",""))</f>
        <v/>
      </c>
      <c r="F86" s="745" t="str">
        <f ca="1">IF($Q86="","",IF($R86=$S$7,INDEX(TongVTSX!$G$3:$G$1500,$Q86),INDEX(TongVTSX!$E$3:$E$1500,$Q86)))</f>
        <v/>
      </c>
      <c r="G86" s="24" t="str">
        <f ca="1">IF($Q86="","",IF($R86=$S$1,"mm",IF($R86=$S$2,"Thanh",INDEX(TongVTSX!F$3:F$1500,$Q86))))</f>
        <v/>
      </c>
      <c r="H86" s="114">
        <f ca="1">IF($R86=$S$1,INDEX(TongVTSX!$K$3:$K$1500,$Q86),IF($R86=$S$7,INDEX(TongVTSX!$H$3:$H$1500,$Q86),IF($R86=$S$2,ROUNDUP(SUMPRODUCT((TongVTSX!$C$3:$C$1500=$D86)*(TongVTSX!$E$3:$E$1500=$F86)*(TongVTSX!$K$3:$K$1500))/$U86,0),SUMPRODUCT((TongVTSX!$C$3:$C$1500=$D86)*(TongVTSX!$E$3:$E$1500=$F86)*(TongVTSX!$K$3:$K$1500)))))</f>
        <v>0</v>
      </c>
      <c r="I86" s="114"/>
      <c r="J86" s="114"/>
      <c r="K86" s="114" t="str">
        <f ca="1">IF($Q86="","",IF($R86=$S$2,INDEX(TongVTSX!M$3:M$1500,$Q86)*$U86,   INDEX(TongVTSX!M$3:M$1500,$Q86)))</f>
        <v/>
      </c>
      <c r="L86" s="92">
        <f ca="1">IF($Q86="",0, IF($R86=$S$7,$F86*$H86*$K86,IF($R86=$S$2,$H86*$K86,    IF($H86*$K86 - SUMPRODUCT((TongVTSX!$C$3:$C$1500=$D86)*(TongVTSX!$E$3:$E$1500=$F86)*(TongVTSX!$O$3:$O$1500)) &lt;=10,$H86*$K86,"PO &lt;&gt; TongVTSX"))))</f>
        <v>0</v>
      </c>
      <c r="M86" s="114">
        <f ca="1">IF($R86=$S$1,INDEX(TongVTSX!$K$3:$K$1500,$Q86),IF($R86=$S$7,INDEX(TongVTSX!$H$3:$H$1500,$Q86),IF($R86=$S$2,SUMPRODUCT((TongVTSX!$C$3:$C$1500=$D86)*(TongVTSX!$E$3:$E$1500=$F86)*(TongVTSX!$K$3:$K$1500))/$U86,SUMPRODUCT((TongVTSX!$C$3:$C$1500=$D86)*(TongVTSX!$E$3:$E$1500=$F86)*(TongVTSX!$K$3:$K$1500)))))</f>
        <v>0</v>
      </c>
      <c r="N86" s="92">
        <f ca="1">IF($Q86="",0, IF($R86=$S$7,$F86*$M86*$K86,IF($R86=$S$2,$M86*$K86,    IF($M86*$K86 - SUMPRODUCT((TongVTSX!$C$3:$C$1500=$D86)*(TongVTSX!$E$3:$E$1500=$F86)*(TongVTSX!$O$3:$O$1500)) &lt;=10,$M86*$K86,"PO &lt;&gt; TongVTSX"))))</f>
        <v>0</v>
      </c>
      <c r="O86" s="92">
        <f t="shared" ca="1" si="3"/>
        <v>0</v>
      </c>
      <c r="P86" s="1146" t="str">
        <f ca="1">IFERROR(INDEX(NVLSX!$AA$2:$AA$6756,MATCH($D86,NVLSX!$E$2:$E$6756,0)),"")</f>
        <v/>
      </c>
      <c r="Q86" s="742" t="str">
        <f ca="1">IF($R86="","",IF($R86&lt;&gt;$R85,IF(TYPE(MATCH($R86,TongVTSX!$T$3:$T$1500,0))=16,"",MATCH($R86,TongVTSX!$T$3:$T$1500,0)),IF(TYPE(MATCH($R86,OFFSET(TongVTSX!$T$3,$Q85,0):'TongVTSX'!$T$1500,0)+$Q85)=16,"",MATCH($R86,OFFSET(TongVTSX!$T$3,$Q85,0):'TongVTSX'!$T$1500,0)+$Q85)))</f>
        <v/>
      </c>
      <c r="R86" s="179" t="str">
        <f ca="1">IFERROR(IF(COUNTIF($R$3:R85,R85)&lt; INDEX($T$1:$T$7,MATCH($R85,$S$1:$S$7,0)),$R85,INDEX($S$1:$S$7,MATCH($R85,$S$1:$S$7,0)+1)),"")</f>
        <v/>
      </c>
      <c r="S86" s="181"/>
      <c r="T86" s="182"/>
      <c r="U86" s="184" t="str">
        <f ca="1">IF($R86="PR",INDEX(NVLSX!$U$2:$U$6941,MATCH($D86,NVLSX!$E$2:$E$6941,0)),"")</f>
        <v/>
      </c>
      <c r="V86" s="184" t="str">
        <f ca="1">IF($R86="PR",INDEX(NVLSX!$S$2:$S$6941,MATCH($D86,NVLSX!$E$2:$E$6941,0))*1000,"")</f>
        <v/>
      </c>
      <c r="W86" s="776" t="str">
        <f ca="1">IF($R86="PR",INDEX(NVLSX!$S$2:$S$6941,MATCH($D86,NVLSX!$E$2:$E$6941,0))*INDEX(NVLSX!$T$2:$T$6941,MATCH($D86,NVLSX!$E$2:$E$6941,0)),"")</f>
        <v/>
      </c>
      <c r="X86" s="776">
        <f t="shared" ca="1" si="4"/>
        <v>0</v>
      </c>
      <c r="Y86" s="982" t="str">
        <f ca="1">IFERROR(INDEX(NVLSX!$X$2:$X$4655,MATCH($D86,NVLSX!$E$2:$E$4655,0)),"")</f>
        <v/>
      </c>
    </row>
    <row r="87" spans="1:25">
      <c r="A87" s="19" t="str">
        <f ca="1">IF($Q87="","",MAX($A$2:A86)+1)</f>
        <v/>
      </c>
      <c r="B87" s="1146" t="str">
        <f ca="1">IFERROR(INDEX(NVLSX!$Y$2:$Y$6756,MATCH($D87,NVLSX!$E$2:$E$6756,0)),"")</f>
        <v/>
      </c>
      <c r="C87" s="1146" t="str">
        <f ca="1">IFERROR(INDEX(NVLSX!$Z$2:$Z$6756,MATCH($D87,NVLSX!$E$2:$E$6756,0)),"")</f>
        <v/>
      </c>
      <c r="D87" s="23" t="str">
        <f ca="1">IF($Q87="","",INDEX(TongVTSX!C$3:C$1500,$Q87))</f>
        <v/>
      </c>
      <c r="E87" s="729" t="str">
        <f ca="1">IF($Q87="","",INDEX(TongVTSX!D$3:D$1500,$Q87) &amp; IF(OR($R87=$S$1,$R87=$S$7)," (" &amp; INDEX(TongVTSX!A$3:A$1500,$Q87) &amp; ")",""))</f>
        <v/>
      </c>
      <c r="F87" s="745" t="str">
        <f ca="1">IF($Q87="","",IF($R87=$S$7,INDEX(TongVTSX!$G$3:$G$1500,$Q87),INDEX(TongVTSX!$E$3:$E$1500,$Q87)))</f>
        <v/>
      </c>
      <c r="G87" s="24" t="str">
        <f ca="1">IF($Q87="","",IF($R87=$S$1,"mm",IF($R87=$S$2,"Thanh",INDEX(TongVTSX!F$3:F$1500,$Q87))))</f>
        <v/>
      </c>
      <c r="H87" s="114">
        <f ca="1">IF($R87=$S$1,INDEX(TongVTSX!$K$3:$K$1500,$Q87),IF($R87=$S$7,INDEX(TongVTSX!$H$3:$H$1500,$Q87),IF($R87=$S$2,ROUNDUP(SUMPRODUCT((TongVTSX!$C$3:$C$1500=$D87)*(TongVTSX!$E$3:$E$1500=$F87)*(TongVTSX!$K$3:$K$1500))/$U87,0),SUMPRODUCT((TongVTSX!$C$3:$C$1500=$D87)*(TongVTSX!$E$3:$E$1500=$F87)*(TongVTSX!$K$3:$K$1500)))))</f>
        <v>0</v>
      </c>
      <c r="I87" s="114"/>
      <c r="J87" s="114"/>
      <c r="K87" s="114" t="str">
        <f ca="1">IF($Q87="","",IF($R87=$S$2,INDEX(TongVTSX!M$3:M$1500,$Q87)*$U87,   INDEX(TongVTSX!M$3:M$1500,$Q87)))</f>
        <v/>
      </c>
      <c r="L87" s="92">
        <f ca="1">IF($Q87="",0, IF($R87=$S$7,$F87*$H87*$K87,IF($R87=$S$2,$H87*$K87,    IF($H87*$K87 - SUMPRODUCT((TongVTSX!$C$3:$C$1500=$D87)*(TongVTSX!$E$3:$E$1500=$F87)*(TongVTSX!$O$3:$O$1500)) &lt;=10,$H87*$K87,"PO &lt;&gt; TongVTSX"))))</f>
        <v>0</v>
      </c>
      <c r="M87" s="114">
        <f ca="1">IF($R87=$S$1,INDEX(TongVTSX!$K$3:$K$1500,$Q87),IF($R87=$S$7,INDEX(TongVTSX!$H$3:$H$1500,$Q87),IF($R87=$S$2,SUMPRODUCT((TongVTSX!$C$3:$C$1500=$D87)*(TongVTSX!$E$3:$E$1500=$F87)*(TongVTSX!$K$3:$K$1500))/$U87,SUMPRODUCT((TongVTSX!$C$3:$C$1500=$D87)*(TongVTSX!$E$3:$E$1500=$F87)*(TongVTSX!$K$3:$K$1500)))))</f>
        <v>0</v>
      </c>
      <c r="N87" s="92">
        <f ca="1">IF($Q87="",0, IF($R87=$S$7,$F87*$M87*$K87,IF($R87=$S$2,$M87*$K87,    IF($M87*$K87 - SUMPRODUCT((TongVTSX!$C$3:$C$1500=$D87)*(TongVTSX!$E$3:$E$1500=$F87)*(TongVTSX!$O$3:$O$1500)) &lt;=10,$M87*$K87,"PO &lt;&gt; TongVTSX"))))</f>
        <v>0</v>
      </c>
      <c r="O87" s="92">
        <f t="shared" ca="1" si="3"/>
        <v>0</v>
      </c>
      <c r="P87" s="1146" t="str">
        <f ca="1">IFERROR(INDEX(NVLSX!$AA$2:$AA$6756,MATCH($D87,NVLSX!$E$2:$E$6756,0)),"")</f>
        <v/>
      </c>
      <c r="Q87" s="742" t="str">
        <f ca="1">IF($R87="","",IF($R87&lt;&gt;$R86,IF(TYPE(MATCH($R87,TongVTSX!$T$3:$T$1500,0))=16,"",MATCH($R87,TongVTSX!$T$3:$T$1500,0)),IF(TYPE(MATCH($R87,OFFSET(TongVTSX!$T$3,$Q86,0):'TongVTSX'!$T$1500,0)+$Q86)=16,"",MATCH($R87,OFFSET(TongVTSX!$T$3,$Q86,0):'TongVTSX'!$T$1500,0)+$Q86)))</f>
        <v/>
      </c>
      <c r="R87" s="179" t="str">
        <f ca="1">IFERROR(IF(COUNTIF($R$3:R86,R86)&lt; INDEX($T$1:$T$7,MATCH($R86,$S$1:$S$7,0)),$R86,INDEX($S$1:$S$7,MATCH($R86,$S$1:$S$7,0)+1)),"")</f>
        <v/>
      </c>
      <c r="S87" s="181"/>
      <c r="T87" s="182"/>
      <c r="U87" s="184" t="str">
        <f ca="1">IF($R87="PR",INDEX(NVLSX!$U$2:$U$6941,MATCH($D87,NVLSX!$E$2:$E$6941,0)),"")</f>
        <v/>
      </c>
      <c r="V87" s="184" t="str">
        <f ca="1">IF($R87="PR",INDEX(NVLSX!$S$2:$S$6941,MATCH($D87,NVLSX!$E$2:$E$6941,0))*1000,"")</f>
        <v/>
      </c>
      <c r="W87" s="776" t="str">
        <f ca="1">IF($R87="PR",INDEX(NVLSX!$S$2:$S$6941,MATCH($D87,NVLSX!$E$2:$E$6941,0))*INDEX(NVLSX!$T$2:$T$6941,MATCH($D87,NVLSX!$E$2:$E$6941,0)),"")</f>
        <v/>
      </c>
      <c r="X87" s="776">
        <f t="shared" ca="1" si="4"/>
        <v>0</v>
      </c>
      <c r="Y87" s="982" t="str">
        <f ca="1">IFERROR(INDEX(NVLSX!$X$2:$X$4655,MATCH($D87,NVLSX!$E$2:$E$4655,0)),"")</f>
        <v/>
      </c>
    </row>
    <row r="88" spans="1:25">
      <c r="A88" s="19" t="str">
        <f ca="1">IF($Q88="","",MAX($A$2:A87)+1)</f>
        <v/>
      </c>
      <c r="B88" s="1146" t="str">
        <f ca="1">IFERROR(INDEX(NVLSX!$Y$2:$Y$6756,MATCH($D88,NVLSX!$E$2:$E$6756,0)),"")</f>
        <v/>
      </c>
      <c r="C88" s="1146" t="str">
        <f ca="1">IFERROR(INDEX(NVLSX!$Z$2:$Z$6756,MATCH($D88,NVLSX!$E$2:$E$6756,0)),"")</f>
        <v/>
      </c>
      <c r="D88" s="23" t="str">
        <f ca="1">IF($Q88="","",INDEX(TongVTSX!C$3:C$1500,$Q88))</f>
        <v/>
      </c>
      <c r="E88" s="729" t="str">
        <f ca="1">IF($Q88="","",INDEX(TongVTSX!D$3:D$1500,$Q88) &amp; IF(OR($R88=$S$1,$R88=$S$7)," (" &amp; INDEX(TongVTSX!A$3:A$1500,$Q88) &amp; ")",""))</f>
        <v/>
      </c>
      <c r="F88" s="745" t="str">
        <f ca="1">IF($Q88="","",IF($R88=$S$7,INDEX(TongVTSX!$G$3:$G$1500,$Q88),INDEX(TongVTSX!$E$3:$E$1500,$Q88)))</f>
        <v/>
      </c>
      <c r="G88" s="24" t="str">
        <f ca="1">IF($Q88="","",IF($R88=$S$1,"mm",IF($R88=$S$2,"Thanh",INDEX(TongVTSX!F$3:F$1500,$Q88))))</f>
        <v/>
      </c>
      <c r="H88" s="114">
        <f ca="1">IF($R88=$S$1,INDEX(TongVTSX!$K$3:$K$1500,$Q88),IF($R88=$S$7,INDEX(TongVTSX!$H$3:$H$1500,$Q88),IF($R88=$S$2,ROUNDUP(SUMPRODUCT((TongVTSX!$C$3:$C$1500=$D88)*(TongVTSX!$E$3:$E$1500=$F88)*(TongVTSX!$K$3:$K$1500))/$U88,0),SUMPRODUCT((TongVTSX!$C$3:$C$1500=$D88)*(TongVTSX!$E$3:$E$1500=$F88)*(TongVTSX!$K$3:$K$1500)))))</f>
        <v>0</v>
      </c>
      <c r="I88" s="114"/>
      <c r="J88" s="114"/>
      <c r="K88" s="114" t="str">
        <f ca="1">IF($Q88="","",IF($R88=$S$2,INDEX(TongVTSX!M$3:M$1500,$Q88)*$U88,   INDEX(TongVTSX!M$3:M$1500,$Q88)))</f>
        <v/>
      </c>
      <c r="L88" s="92">
        <f ca="1">IF($Q88="",0, IF($R88=$S$7,$F88*$H88*$K88,IF($R88=$S$2,$H88*$K88,    IF($H88*$K88 - SUMPRODUCT((TongVTSX!$C$3:$C$1500=$D88)*(TongVTSX!$E$3:$E$1500=$F88)*(TongVTSX!$O$3:$O$1500)) &lt;=10,$H88*$K88,"PO &lt;&gt; TongVTSX"))))</f>
        <v>0</v>
      </c>
      <c r="M88" s="114">
        <f ca="1">IF($R88=$S$1,INDEX(TongVTSX!$K$3:$K$1500,$Q88),IF($R88=$S$7,INDEX(TongVTSX!$H$3:$H$1500,$Q88),IF($R88=$S$2,SUMPRODUCT((TongVTSX!$C$3:$C$1500=$D88)*(TongVTSX!$E$3:$E$1500=$F88)*(TongVTSX!$K$3:$K$1500))/$U88,SUMPRODUCT((TongVTSX!$C$3:$C$1500=$D88)*(TongVTSX!$E$3:$E$1500=$F88)*(TongVTSX!$K$3:$K$1500)))))</f>
        <v>0</v>
      </c>
      <c r="N88" s="92">
        <f ca="1">IF($Q88="",0, IF($R88=$S$7,$F88*$M88*$K88,IF($R88=$S$2,$M88*$K88,    IF($M88*$K88 - SUMPRODUCT((TongVTSX!$C$3:$C$1500=$D88)*(TongVTSX!$E$3:$E$1500=$F88)*(TongVTSX!$O$3:$O$1500)) &lt;=10,$M88*$K88,"PO &lt;&gt; TongVTSX"))))</f>
        <v>0</v>
      </c>
      <c r="O88" s="92">
        <f t="shared" ca="1" si="3"/>
        <v>0</v>
      </c>
      <c r="P88" s="1146" t="str">
        <f ca="1">IFERROR(INDEX(NVLSX!$AA$2:$AA$6756,MATCH($D88,NVLSX!$E$2:$E$6756,0)),"")</f>
        <v/>
      </c>
      <c r="Q88" s="742" t="str">
        <f ca="1">IF($R88="","",IF($R88&lt;&gt;$R87,IF(TYPE(MATCH($R88,TongVTSX!$T$3:$T$1500,0))=16,"",MATCH($R88,TongVTSX!$T$3:$T$1500,0)),IF(TYPE(MATCH($R88,OFFSET(TongVTSX!$T$3,$Q87,0):'TongVTSX'!$T$1500,0)+$Q87)=16,"",MATCH($R88,OFFSET(TongVTSX!$T$3,$Q87,0):'TongVTSX'!$T$1500,0)+$Q87)))</f>
        <v/>
      </c>
      <c r="R88" s="179" t="str">
        <f ca="1">IFERROR(IF(COUNTIF($R$3:R87,R87)&lt; INDEX($T$1:$T$7,MATCH($R87,$S$1:$S$7,0)),$R87,INDEX($S$1:$S$7,MATCH($R87,$S$1:$S$7,0)+1)),"")</f>
        <v/>
      </c>
      <c r="S88" s="181"/>
      <c r="T88" s="182"/>
      <c r="U88" s="184" t="str">
        <f ca="1">IF($R88="PR",INDEX(NVLSX!$U$2:$U$6941,MATCH($D88,NVLSX!$E$2:$E$6941,0)),"")</f>
        <v/>
      </c>
      <c r="V88" s="184" t="str">
        <f ca="1">IF($R88="PR",INDEX(NVLSX!$S$2:$S$6941,MATCH($D88,NVLSX!$E$2:$E$6941,0))*1000,"")</f>
        <v/>
      </c>
      <c r="W88" s="776" t="str">
        <f ca="1">IF($R88="PR",INDEX(NVLSX!$S$2:$S$6941,MATCH($D88,NVLSX!$E$2:$E$6941,0))*INDEX(NVLSX!$T$2:$T$6941,MATCH($D88,NVLSX!$E$2:$E$6941,0)),"")</f>
        <v/>
      </c>
      <c r="X88" s="776">
        <f t="shared" ca="1" si="4"/>
        <v>0</v>
      </c>
      <c r="Y88" s="982" t="str">
        <f ca="1">IFERROR(INDEX(NVLSX!$X$2:$X$4655,MATCH($D88,NVLSX!$E$2:$E$4655,0)),"")</f>
        <v/>
      </c>
    </row>
    <row r="89" spans="1:25">
      <c r="A89" s="19" t="str">
        <f ca="1">IF($Q89="","",MAX($A$2:A88)+1)</f>
        <v/>
      </c>
      <c r="B89" s="1146" t="str">
        <f ca="1">IFERROR(INDEX(NVLSX!$Y$2:$Y$6756,MATCH($D89,NVLSX!$E$2:$E$6756,0)),"")</f>
        <v/>
      </c>
      <c r="C89" s="1146" t="str">
        <f ca="1">IFERROR(INDEX(NVLSX!$Z$2:$Z$6756,MATCH($D89,NVLSX!$E$2:$E$6756,0)),"")</f>
        <v/>
      </c>
      <c r="D89" s="23" t="str">
        <f ca="1">IF($Q89="","",INDEX(TongVTSX!C$3:C$1500,$Q89))</f>
        <v/>
      </c>
      <c r="E89" s="729" t="str">
        <f ca="1">IF($Q89="","",INDEX(TongVTSX!D$3:D$1500,$Q89) &amp; IF(OR($R89=$S$1,$R89=$S$7)," (" &amp; INDEX(TongVTSX!A$3:A$1500,$Q89) &amp; ")",""))</f>
        <v/>
      </c>
      <c r="F89" s="745" t="str">
        <f ca="1">IF($Q89="","",IF($R89=$S$7,INDEX(TongVTSX!$G$3:$G$1500,$Q89),INDEX(TongVTSX!$E$3:$E$1500,$Q89)))</f>
        <v/>
      </c>
      <c r="G89" s="24" t="str">
        <f ca="1">IF($Q89="","",IF($R89=$S$1,"mm",IF($R89=$S$2,"Thanh",INDEX(TongVTSX!F$3:F$1500,$Q89))))</f>
        <v/>
      </c>
      <c r="H89" s="114">
        <f ca="1">IF($R89=$S$1,INDEX(TongVTSX!$K$3:$K$1500,$Q89),IF($R89=$S$7,INDEX(TongVTSX!$H$3:$H$1500,$Q89),IF($R89=$S$2,ROUNDUP(SUMPRODUCT((TongVTSX!$C$3:$C$1500=$D89)*(TongVTSX!$E$3:$E$1500=$F89)*(TongVTSX!$K$3:$K$1500))/$U89,0),SUMPRODUCT((TongVTSX!$C$3:$C$1500=$D89)*(TongVTSX!$E$3:$E$1500=$F89)*(TongVTSX!$K$3:$K$1500)))))</f>
        <v>0</v>
      </c>
      <c r="I89" s="114"/>
      <c r="J89" s="114"/>
      <c r="K89" s="114" t="str">
        <f ca="1">IF($Q89="","",IF($R89=$S$2,INDEX(TongVTSX!M$3:M$1500,$Q89)*$U89,   INDEX(TongVTSX!M$3:M$1500,$Q89)))</f>
        <v/>
      </c>
      <c r="L89" s="92">
        <f ca="1">IF($Q89="",0, IF($R89=$S$7,$F89*$H89*$K89,IF($R89=$S$2,$H89*$K89,    IF($H89*$K89 - SUMPRODUCT((TongVTSX!$C$3:$C$1500=$D89)*(TongVTSX!$E$3:$E$1500=$F89)*(TongVTSX!$O$3:$O$1500)) &lt;=10,$H89*$K89,"PO &lt;&gt; TongVTSX"))))</f>
        <v>0</v>
      </c>
      <c r="M89" s="114">
        <f ca="1">IF($R89=$S$1,INDEX(TongVTSX!$K$3:$K$1500,$Q89),IF($R89=$S$7,INDEX(TongVTSX!$H$3:$H$1500,$Q89),IF($R89=$S$2,SUMPRODUCT((TongVTSX!$C$3:$C$1500=$D89)*(TongVTSX!$E$3:$E$1500=$F89)*(TongVTSX!$K$3:$K$1500))/$U89,SUMPRODUCT((TongVTSX!$C$3:$C$1500=$D89)*(TongVTSX!$E$3:$E$1500=$F89)*(TongVTSX!$K$3:$K$1500)))))</f>
        <v>0</v>
      </c>
      <c r="N89" s="92">
        <f ca="1">IF($Q89="",0, IF($R89=$S$7,$F89*$M89*$K89,IF($R89=$S$2,$M89*$K89,    IF($M89*$K89 - SUMPRODUCT((TongVTSX!$C$3:$C$1500=$D89)*(TongVTSX!$E$3:$E$1500=$F89)*(TongVTSX!$O$3:$O$1500)) &lt;=10,$M89*$K89,"PO &lt;&gt; TongVTSX"))))</f>
        <v>0</v>
      </c>
      <c r="O89" s="92">
        <f t="shared" ca="1" si="3"/>
        <v>0</v>
      </c>
      <c r="P89" s="1146" t="str">
        <f ca="1">IFERROR(INDEX(NVLSX!$AA$2:$AA$6756,MATCH($D89,NVLSX!$E$2:$E$6756,0)),"")</f>
        <v/>
      </c>
      <c r="Q89" s="742" t="str">
        <f ca="1">IF($R89="","",IF($R89&lt;&gt;$R88,IF(TYPE(MATCH($R89,TongVTSX!$T$3:$T$1500,0))=16,"",MATCH($R89,TongVTSX!$T$3:$T$1500,0)),IF(TYPE(MATCH($R89,OFFSET(TongVTSX!$T$3,$Q88,0):'TongVTSX'!$T$1500,0)+$Q88)=16,"",MATCH($R89,OFFSET(TongVTSX!$T$3,$Q88,0):'TongVTSX'!$T$1500,0)+$Q88)))</f>
        <v/>
      </c>
      <c r="R89" s="179" t="str">
        <f ca="1">IFERROR(IF(COUNTIF($R$3:R88,R88)&lt; INDEX($T$1:$T$7,MATCH($R88,$S$1:$S$7,0)),$R88,INDEX($S$1:$S$7,MATCH($R88,$S$1:$S$7,0)+1)),"")</f>
        <v/>
      </c>
      <c r="S89" s="181"/>
      <c r="T89" s="182"/>
      <c r="U89" s="184" t="str">
        <f ca="1">IF($R89="PR",INDEX(NVLSX!$U$2:$U$6941,MATCH($D89,NVLSX!$E$2:$E$6941,0)),"")</f>
        <v/>
      </c>
      <c r="V89" s="184" t="str">
        <f ca="1">IF($R89="PR",INDEX(NVLSX!$S$2:$S$6941,MATCH($D89,NVLSX!$E$2:$E$6941,0))*1000,"")</f>
        <v/>
      </c>
      <c r="W89" s="776" t="str">
        <f ca="1">IF($R89="PR",INDEX(NVLSX!$S$2:$S$6941,MATCH($D89,NVLSX!$E$2:$E$6941,0))*INDEX(NVLSX!$T$2:$T$6941,MATCH($D89,NVLSX!$E$2:$E$6941,0)),"")</f>
        <v/>
      </c>
      <c r="X89" s="776">
        <f t="shared" ca="1" si="4"/>
        <v>0</v>
      </c>
      <c r="Y89" s="982" t="str">
        <f ca="1">IFERROR(INDEX(NVLSX!$X$2:$X$4655,MATCH($D89,NVLSX!$E$2:$E$4655,0)),"")</f>
        <v/>
      </c>
    </row>
    <row r="90" spans="1:25">
      <c r="A90" s="19" t="str">
        <f ca="1">IF($Q90="","",MAX($A$2:A89)+1)</f>
        <v/>
      </c>
      <c r="B90" s="1146" t="str">
        <f ca="1">IFERROR(INDEX(NVLSX!$Y$2:$Y$6756,MATCH($D90,NVLSX!$E$2:$E$6756,0)),"")</f>
        <v/>
      </c>
      <c r="C90" s="1146" t="str">
        <f ca="1">IFERROR(INDEX(NVLSX!$Z$2:$Z$6756,MATCH($D90,NVLSX!$E$2:$E$6756,0)),"")</f>
        <v/>
      </c>
      <c r="D90" s="23" t="str">
        <f ca="1">IF($Q90="","",INDEX(TongVTSX!C$3:C$1500,$Q90))</f>
        <v/>
      </c>
      <c r="E90" s="729" t="str">
        <f ca="1">IF($Q90="","",INDEX(TongVTSX!D$3:D$1500,$Q90) &amp; IF(OR($R90=$S$1,$R90=$S$7)," (" &amp; INDEX(TongVTSX!A$3:A$1500,$Q90) &amp; ")",""))</f>
        <v/>
      </c>
      <c r="F90" s="745" t="str">
        <f ca="1">IF($Q90="","",IF($R90=$S$7,INDEX(TongVTSX!$G$3:$G$1500,$Q90),INDEX(TongVTSX!$E$3:$E$1500,$Q90)))</f>
        <v/>
      </c>
      <c r="G90" s="24" t="str">
        <f ca="1">IF($Q90="","",IF($R90=$S$1,"mm",IF($R90=$S$2,"Thanh",INDEX(TongVTSX!F$3:F$1500,$Q90))))</f>
        <v/>
      </c>
      <c r="H90" s="114">
        <f ca="1">IF($R90=$S$1,INDEX(TongVTSX!$K$3:$K$1500,$Q90),IF($R90=$S$7,INDEX(TongVTSX!$H$3:$H$1500,$Q90),IF($R90=$S$2,ROUNDUP(SUMPRODUCT((TongVTSX!$C$3:$C$1500=$D90)*(TongVTSX!$E$3:$E$1500=$F90)*(TongVTSX!$K$3:$K$1500))/$U90,0),SUMPRODUCT((TongVTSX!$C$3:$C$1500=$D90)*(TongVTSX!$E$3:$E$1500=$F90)*(TongVTSX!$K$3:$K$1500)))))</f>
        <v>0</v>
      </c>
      <c r="I90" s="114"/>
      <c r="J90" s="114"/>
      <c r="K90" s="114" t="str">
        <f ca="1">IF($Q90="","",IF($R90=$S$2,INDEX(TongVTSX!M$3:M$1500,$Q90)*$U90,   INDEX(TongVTSX!M$3:M$1500,$Q90)))</f>
        <v/>
      </c>
      <c r="L90" s="92">
        <f ca="1">IF($Q90="",0, IF($R90=$S$7,$F90*$H90*$K90,IF($R90=$S$2,$H90*$K90,    IF($H90*$K90 - SUMPRODUCT((TongVTSX!$C$3:$C$1500=$D90)*(TongVTSX!$E$3:$E$1500=$F90)*(TongVTSX!$O$3:$O$1500)) &lt;=10,$H90*$K90,"PO &lt;&gt; TongVTSX"))))</f>
        <v>0</v>
      </c>
      <c r="M90" s="114">
        <f ca="1">IF($R90=$S$1,INDEX(TongVTSX!$K$3:$K$1500,$Q90),IF($R90=$S$7,INDEX(TongVTSX!$H$3:$H$1500,$Q90),IF($R90=$S$2,SUMPRODUCT((TongVTSX!$C$3:$C$1500=$D90)*(TongVTSX!$E$3:$E$1500=$F90)*(TongVTSX!$K$3:$K$1500))/$U90,SUMPRODUCT((TongVTSX!$C$3:$C$1500=$D90)*(TongVTSX!$E$3:$E$1500=$F90)*(TongVTSX!$K$3:$K$1500)))))</f>
        <v>0</v>
      </c>
      <c r="N90" s="92">
        <f ca="1">IF($Q90="",0, IF($R90=$S$7,$F90*$M90*$K90,IF($R90=$S$2,$M90*$K90,    IF($M90*$K90 - SUMPRODUCT((TongVTSX!$C$3:$C$1500=$D90)*(TongVTSX!$E$3:$E$1500=$F90)*(TongVTSX!$O$3:$O$1500)) &lt;=10,$M90*$K90,"PO &lt;&gt; TongVTSX"))))</f>
        <v>0</v>
      </c>
      <c r="O90" s="92">
        <f t="shared" ca="1" si="3"/>
        <v>0</v>
      </c>
      <c r="P90" s="1146" t="str">
        <f ca="1">IFERROR(INDEX(NVLSX!$AA$2:$AA$6756,MATCH($D90,NVLSX!$E$2:$E$6756,0)),"")</f>
        <v/>
      </c>
      <c r="Q90" s="742" t="str">
        <f ca="1">IF($R90="","",IF($R90&lt;&gt;$R89,IF(TYPE(MATCH($R90,TongVTSX!$T$3:$T$1500,0))=16,"",MATCH($R90,TongVTSX!$T$3:$T$1500,0)),IF(TYPE(MATCH($R90,OFFSET(TongVTSX!$T$3,$Q89,0):'TongVTSX'!$T$1500,0)+$Q89)=16,"",MATCH($R90,OFFSET(TongVTSX!$T$3,$Q89,0):'TongVTSX'!$T$1500,0)+$Q89)))</f>
        <v/>
      </c>
      <c r="R90" s="179" t="str">
        <f ca="1">IFERROR(IF(COUNTIF($R$3:R89,R89)&lt; INDEX($T$1:$T$7,MATCH($R89,$S$1:$S$7,0)),$R89,INDEX($S$1:$S$7,MATCH($R89,$S$1:$S$7,0)+1)),"")</f>
        <v/>
      </c>
      <c r="S90" s="181"/>
      <c r="T90" s="182"/>
      <c r="U90" s="184" t="str">
        <f ca="1">IF($R90="PR",INDEX(NVLSX!$U$2:$U$6941,MATCH($D90,NVLSX!$E$2:$E$6941,0)),"")</f>
        <v/>
      </c>
      <c r="V90" s="184" t="str">
        <f ca="1">IF($R90="PR",INDEX(NVLSX!$S$2:$S$6941,MATCH($D90,NVLSX!$E$2:$E$6941,0))*1000,"")</f>
        <v/>
      </c>
      <c r="W90" s="776" t="str">
        <f ca="1">IF($R90="PR",INDEX(NVLSX!$S$2:$S$6941,MATCH($D90,NVLSX!$E$2:$E$6941,0))*INDEX(NVLSX!$T$2:$T$6941,MATCH($D90,NVLSX!$E$2:$E$6941,0)),"")</f>
        <v/>
      </c>
      <c r="X90" s="776">
        <f t="shared" ca="1" si="4"/>
        <v>0</v>
      </c>
      <c r="Y90" s="982" t="str">
        <f ca="1">IFERROR(INDEX(NVLSX!$X$2:$X$4655,MATCH($D90,NVLSX!$E$2:$E$4655,0)),"")</f>
        <v/>
      </c>
    </row>
    <row r="91" spans="1:25">
      <c r="A91" s="19" t="str">
        <f ca="1">IF($Q91="","",MAX($A$2:A90)+1)</f>
        <v/>
      </c>
      <c r="B91" s="1146" t="str">
        <f ca="1">IFERROR(INDEX(NVLSX!$Y$2:$Y$6756,MATCH($D91,NVLSX!$E$2:$E$6756,0)),"")</f>
        <v/>
      </c>
      <c r="C91" s="1146" t="str">
        <f ca="1">IFERROR(INDEX(NVLSX!$Z$2:$Z$6756,MATCH($D91,NVLSX!$E$2:$E$6756,0)),"")</f>
        <v/>
      </c>
      <c r="D91" s="23" t="str">
        <f ca="1">IF($Q91="","",INDEX(TongVTSX!C$3:C$1500,$Q91))</f>
        <v/>
      </c>
      <c r="E91" s="729" t="str">
        <f ca="1">IF($Q91="","",INDEX(TongVTSX!D$3:D$1500,$Q91) &amp; IF(OR($R91=$S$1,$R91=$S$7)," (" &amp; INDEX(TongVTSX!A$3:A$1500,$Q91) &amp; ")",""))</f>
        <v/>
      </c>
      <c r="F91" s="745" t="str">
        <f ca="1">IF($Q91="","",IF($R91=$S$7,INDEX(TongVTSX!$G$3:$G$1500,$Q91),INDEX(TongVTSX!$E$3:$E$1500,$Q91)))</f>
        <v/>
      </c>
      <c r="G91" s="24" t="str">
        <f ca="1">IF($Q91="","",IF($R91=$S$1,"mm",IF($R91=$S$2,"Thanh",INDEX(TongVTSX!F$3:F$1500,$Q91))))</f>
        <v/>
      </c>
      <c r="H91" s="114">
        <f ca="1">IF($R91=$S$1,INDEX(TongVTSX!$K$3:$K$1500,$Q91),IF($R91=$S$7,INDEX(TongVTSX!$H$3:$H$1500,$Q91),IF($R91=$S$2,ROUNDUP(SUMPRODUCT((TongVTSX!$C$3:$C$1500=$D91)*(TongVTSX!$E$3:$E$1500=$F91)*(TongVTSX!$K$3:$K$1500))/$U91,0),SUMPRODUCT((TongVTSX!$C$3:$C$1500=$D91)*(TongVTSX!$E$3:$E$1500=$F91)*(TongVTSX!$K$3:$K$1500)))))</f>
        <v>0</v>
      </c>
      <c r="I91" s="114"/>
      <c r="J91" s="114"/>
      <c r="K91" s="114" t="str">
        <f ca="1">IF($Q91="","",IF($R91=$S$2,INDEX(TongVTSX!M$3:M$1500,$Q91)*$U91,   INDEX(TongVTSX!M$3:M$1500,$Q91)))</f>
        <v/>
      </c>
      <c r="L91" s="92">
        <f ca="1">IF($Q91="",0, IF($R91=$S$7,$F91*$H91*$K91,IF($R91=$S$2,$H91*$K91,    IF($H91*$K91 - SUMPRODUCT((TongVTSX!$C$3:$C$1500=$D91)*(TongVTSX!$E$3:$E$1500=$F91)*(TongVTSX!$O$3:$O$1500)) &lt;=10,$H91*$K91,"PO &lt;&gt; TongVTSX"))))</f>
        <v>0</v>
      </c>
      <c r="M91" s="114">
        <f ca="1">IF($R91=$S$1,INDEX(TongVTSX!$K$3:$K$1500,$Q91),IF($R91=$S$7,INDEX(TongVTSX!$H$3:$H$1500,$Q91),IF($R91=$S$2,SUMPRODUCT((TongVTSX!$C$3:$C$1500=$D91)*(TongVTSX!$E$3:$E$1500=$F91)*(TongVTSX!$K$3:$K$1500))/$U91,SUMPRODUCT((TongVTSX!$C$3:$C$1500=$D91)*(TongVTSX!$E$3:$E$1500=$F91)*(TongVTSX!$K$3:$K$1500)))))</f>
        <v>0</v>
      </c>
      <c r="N91" s="92">
        <f ca="1">IF($Q91="",0, IF($R91=$S$7,$F91*$M91*$K91,IF($R91=$S$2,$M91*$K91,    IF($M91*$K91 - SUMPRODUCT((TongVTSX!$C$3:$C$1500=$D91)*(TongVTSX!$E$3:$E$1500=$F91)*(TongVTSX!$O$3:$O$1500)) &lt;=10,$M91*$K91,"PO &lt;&gt; TongVTSX"))))</f>
        <v>0</v>
      </c>
      <c r="O91" s="92">
        <f t="shared" ca="1" si="3"/>
        <v>0</v>
      </c>
      <c r="P91" s="1146" t="str">
        <f ca="1">IFERROR(INDEX(NVLSX!$AA$2:$AA$6756,MATCH($D91,NVLSX!$E$2:$E$6756,0)),"")</f>
        <v/>
      </c>
      <c r="Q91" s="742" t="str">
        <f ca="1">IF($R91="","",IF($R91&lt;&gt;$R90,IF(TYPE(MATCH($R91,TongVTSX!$T$3:$T$1500,0))=16,"",MATCH($R91,TongVTSX!$T$3:$T$1500,0)),IF(TYPE(MATCH($R91,OFFSET(TongVTSX!$T$3,$Q90,0):'TongVTSX'!$T$1500,0)+$Q90)=16,"",MATCH($R91,OFFSET(TongVTSX!$T$3,$Q90,0):'TongVTSX'!$T$1500,0)+$Q90)))</f>
        <v/>
      </c>
      <c r="R91" s="179" t="str">
        <f ca="1">IFERROR(IF(COUNTIF($R$3:R90,R90)&lt; INDEX($T$1:$T$7,MATCH($R90,$S$1:$S$7,0)),$R90,INDEX($S$1:$S$7,MATCH($R90,$S$1:$S$7,0)+1)),"")</f>
        <v/>
      </c>
      <c r="S91" s="181"/>
      <c r="T91" s="182"/>
      <c r="U91" s="184" t="str">
        <f ca="1">IF($R91="PR",INDEX(NVLSX!$U$2:$U$6941,MATCH($D91,NVLSX!$E$2:$E$6941,0)),"")</f>
        <v/>
      </c>
      <c r="V91" s="184" t="str">
        <f ca="1">IF($R91="PR",INDEX(NVLSX!$S$2:$S$6941,MATCH($D91,NVLSX!$E$2:$E$6941,0))*1000,"")</f>
        <v/>
      </c>
      <c r="W91" s="776" t="str">
        <f ca="1">IF($R91="PR",INDEX(NVLSX!$S$2:$S$6941,MATCH($D91,NVLSX!$E$2:$E$6941,0))*INDEX(NVLSX!$T$2:$T$6941,MATCH($D91,NVLSX!$E$2:$E$6941,0)),"")</f>
        <v/>
      </c>
      <c r="X91" s="776">
        <f t="shared" ca="1" si="4"/>
        <v>0</v>
      </c>
      <c r="Y91" s="982" t="str">
        <f ca="1">IFERROR(INDEX(NVLSX!$X$2:$X$4655,MATCH($D91,NVLSX!$E$2:$E$4655,0)),"")</f>
        <v/>
      </c>
    </row>
    <row r="92" spans="1:25">
      <c r="A92" s="19" t="str">
        <f ca="1">IF($Q92="","",MAX($A$2:A91)+1)</f>
        <v/>
      </c>
      <c r="B92" s="1146" t="str">
        <f ca="1">IFERROR(INDEX(NVLSX!$Y$2:$Y$6756,MATCH($D92,NVLSX!$E$2:$E$6756,0)),"")</f>
        <v/>
      </c>
      <c r="C92" s="1146" t="str">
        <f ca="1">IFERROR(INDEX(NVLSX!$Z$2:$Z$6756,MATCH($D92,NVLSX!$E$2:$E$6756,0)),"")</f>
        <v/>
      </c>
      <c r="D92" s="23" t="str">
        <f ca="1">IF($Q92="","",INDEX(TongVTSX!C$3:C$1500,$Q92))</f>
        <v/>
      </c>
      <c r="E92" s="729" t="str">
        <f ca="1">IF($Q92="","",INDEX(TongVTSX!D$3:D$1500,$Q92) &amp; IF(OR($R92=$S$1,$R92=$S$7)," (" &amp; INDEX(TongVTSX!A$3:A$1500,$Q92) &amp; ")",""))</f>
        <v/>
      </c>
      <c r="F92" s="745" t="str">
        <f ca="1">IF($Q92="","",IF($R92=$S$7,INDEX(TongVTSX!$G$3:$G$1500,$Q92),INDEX(TongVTSX!$E$3:$E$1500,$Q92)))</f>
        <v/>
      </c>
      <c r="G92" s="24" t="str">
        <f ca="1">IF($Q92="","",IF($R92=$S$1,"mm",IF($R92=$S$2,"Thanh",INDEX(TongVTSX!F$3:F$1500,$Q92))))</f>
        <v/>
      </c>
      <c r="H92" s="114">
        <f ca="1">IF($R92=$S$1,INDEX(TongVTSX!$K$3:$K$1500,$Q92),IF($R92=$S$7,INDEX(TongVTSX!$H$3:$H$1500,$Q92),IF($R92=$S$2,ROUNDUP(SUMPRODUCT((TongVTSX!$C$3:$C$1500=$D92)*(TongVTSX!$E$3:$E$1500=$F92)*(TongVTSX!$K$3:$K$1500))/$U92,0),SUMPRODUCT((TongVTSX!$C$3:$C$1500=$D92)*(TongVTSX!$E$3:$E$1500=$F92)*(TongVTSX!$K$3:$K$1500)))))</f>
        <v>0</v>
      </c>
      <c r="I92" s="114"/>
      <c r="J92" s="114"/>
      <c r="K92" s="114" t="str">
        <f ca="1">IF($Q92="","",IF($R92=$S$2,INDEX(TongVTSX!M$3:M$1500,$Q92)*$U92,   INDEX(TongVTSX!M$3:M$1500,$Q92)))</f>
        <v/>
      </c>
      <c r="L92" s="92">
        <f ca="1">IF($Q92="",0, IF($R92=$S$7,$F92*$H92*$K92,IF($R92=$S$2,$H92*$K92,    IF($H92*$K92 - SUMPRODUCT((TongVTSX!$C$3:$C$1500=$D92)*(TongVTSX!$E$3:$E$1500=$F92)*(TongVTSX!$O$3:$O$1500)) &lt;=10,$H92*$K92,"PO &lt;&gt; TongVTSX"))))</f>
        <v>0</v>
      </c>
      <c r="M92" s="114">
        <f ca="1">IF($R92=$S$1,INDEX(TongVTSX!$K$3:$K$1500,$Q92),IF($R92=$S$7,INDEX(TongVTSX!$H$3:$H$1500,$Q92),IF($R92=$S$2,SUMPRODUCT((TongVTSX!$C$3:$C$1500=$D92)*(TongVTSX!$E$3:$E$1500=$F92)*(TongVTSX!$K$3:$K$1500))/$U92,SUMPRODUCT((TongVTSX!$C$3:$C$1500=$D92)*(TongVTSX!$E$3:$E$1500=$F92)*(TongVTSX!$K$3:$K$1500)))))</f>
        <v>0</v>
      </c>
      <c r="N92" s="92">
        <f ca="1">IF($Q92="",0, IF($R92=$S$7,$F92*$M92*$K92,IF($R92=$S$2,$M92*$K92,    IF($M92*$K92 - SUMPRODUCT((TongVTSX!$C$3:$C$1500=$D92)*(TongVTSX!$E$3:$E$1500=$F92)*(TongVTSX!$O$3:$O$1500)) &lt;=10,$M92*$K92,"PO &lt;&gt; TongVTSX"))))</f>
        <v>0</v>
      </c>
      <c r="O92" s="92">
        <f t="shared" ca="1" si="3"/>
        <v>0</v>
      </c>
      <c r="P92" s="1146" t="str">
        <f ca="1">IFERROR(INDEX(NVLSX!$AA$2:$AA$6756,MATCH($D92,NVLSX!$E$2:$E$6756,0)),"")</f>
        <v/>
      </c>
      <c r="Q92" s="742" t="str">
        <f ca="1">IF($R92="","",IF($R92&lt;&gt;$R91,IF(TYPE(MATCH($R92,TongVTSX!$T$3:$T$1500,0))=16,"",MATCH($R92,TongVTSX!$T$3:$T$1500,0)),IF(TYPE(MATCH($R92,OFFSET(TongVTSX!$T$3,$Q91,0):'TongVTSX'!$T$1500,0)+$Q91)=16,"",MATCH($R92,OFFSET(TongVTSX!$T$3,$Q91,0):'TongVTSX'!$T$1500,0)+$Q91)))</f>
        <v/>
      </c>
      <c r="R92" s="179" t="str">
        <f ca="1">IFERROR(IF(COUNTIF($R$3:R91,R91)&lt; INDEX($T$1:$T$7,MATCH($R91,$S$1:$S$7,0)),$R91,INDEX($S$1:$S$7,MATCH($R91,$S$1:$S$7,0)+1)),"")</f>
        <v/>
      </c>
      <c r="S92" s="181"/>
      <c r="T92" s="182"/>
      <c r="U92" s="184" t="str">
        <f ca="1">IF($R92="PR",INDEX(NVLSX!$U$2:$U$6941,MATCH($D92,NVLSX!$E$2:$E$6941,0)),"")</f>
        <v/>
      </c>
      <c r="V92" s="184" t="str">
        <f ca="1">IF($R92="PR",INDEX(NVLSX!$S$2:$S$6941,MATCH($D92,NVLSX!$E$2:$E$6941,0))*1000,"")</f>
        <v/>
      </c>
      <c r="W92" s="776" t="str">
        <f ca="1">IF($R92="PR",INDEX(NVLSX!$S$2:$S$6941,MATCH($D92,NVLSX!$E$2:$E$6941,0))*INDEX(NVLSX!$T$2:$T$6941,MATCH($D92,NVLSX!$E$2:$E$6941,0)),"")</f>
        <v/>
      </c>
      <c r="X92" s="776">
        <f t="shared" ca="1" si="4"/>
        <v>0</v>
      </c>
      <c r="Y92" s="982" t="str">
        <f ca="1">IFERROR(INDEX(NVLSX!$X$2:$X$4655,MATCH($D92,NVLSX!$E$2:$E$4655,0)),"")</f>
        <v/>
      </c>
    </row>
    <row r="93" spans="1:25">
      <c r="A93" s="19" t="str">
        <f ca="1">IF($Q93="","",MAX($A$2:A92)+1)</f>
        <v/>
      </c>
      <c r="B93" s="1146" t="str">
        <f ca="1">IFERROR(INDEX(NVLSX!$Y$2:$Y$6756,MATCH($D93,NVLSX!$E$2:$E$6756,0)),"")</f>
        <v/>
      </c>
      <c r="C93" s="1146" t="str">
        <f ca="1">IFERROR(INDEX(NVLSX!$Z$2:$Z$6756,MATCH($D93,NVLSX!$E$2:$E$6756,0)),"")</f>
        <v/>
      </c>
      <c r="D93" s="23" t="str">
        <f ca="1">IF($Q93="","",INDEX(TongVTSX!C$3:C$1500,$Q93))</f>
        <v/>
      </c>
      <c r="E93" s="729" t="str">
        <f ca="1">IF($Q93="","",INDEX(TongVTSX!D$3:D$1500,$Q93) &amp; IF(OR($R93=$S$1,$R93=$S$7)," (" &amp; INDEX(TongVTSX!A$3:A$1500,$Q93) &amp; ")",""))</f>
        <v/>
      </c>
      <c r="F93" s="745" t="str">
        <f ca="1">IF($Q93="","",IF($R93=$S$7,INDEX(TongVTSX!$G$3:$G$1500,$Q93),INDEX(TongVTSX!$E$3:$E$1500,$Q93)))</f>
        <v/>
      </c>
      <c r="G93" s="24" t="str">
        <f ca="1">IF($Q93="","",IF($R93=$S$1,"mm",IF($R93=$S$2,"Thanh",INDEX(TongVTSX!F$3:F$1500,$Q93))))</f>
        <v/>
      </c>
      <c r="H93" s="114">
        <f ca="1">IF($R93=$S$1,INDEX(TongVTSX!$K$3:$K$1500,$Q93),IF($R93=$S$7,INDEX(TongVTSX!$H$3:$H$1500,$Q93),IF($R93=$S$2,ROUNDUP(SUMPRODUCT((TongVTSX!$C$3:$C$1500=$D93)*(TongVTSX!$E$3:$E$1500=$F93)*(TongVTSX!$K$3:$K$1500))/$U93,0),SUMPRODUCT((TongVTSX!$C$3:$C$1500=$D93)*(TongVTSX!$E$3:$E$1500=$F93)*(TongVTSX!$K$3:$K$1500)))))</f>
        <v>0</v>
      </c>
      <c r="I93" s="114"/>
      <c r="J93" s="114"/>
      <c r="K93" s="114" t="str">
        <f ca="1">IF($Q93="","",IF($R93=$S$2,INDEX(TongVTSX!M$3:M$1500,$Q93)*$U93,   INDEX(TongVTSX!M$3:M$1500,$Q93)))</f>
        <v/>
      </c>
      <c r="L93" s="92">
        <f ca="1">IF($Q93="",0, IF($R93=$S$7,$F93*$H93*$K93,IF($R93=$S$2,$H93*$K93,    IF($H93*$K93 - SUMPRODUCT((TongVTSX!$C$3:$C$1500=$D93)*(TongVTSX!$E$3:$E$1500=$F93)*(TongVTSX!$O$3:$O$1500)) &lt;=10,$H93*$K93,"PO &lt;&gt; TongVTSX"))))</f>
        <v>0</v>
      </c>
      <c r="M93" s="114">
        <f ca="1">IF($R93=$S$1,INDEX(TongVTSX!$K$3:$K$1500,$Q93),IF($R93=$S$7,INDEX(TongVTSX!$H$3:$H$1500,$Q93),IF($R93=$S$2,SUMPRODUCT((TongVTSX!$C$3:$C$1500=$D93)*(TongVTSX!$E$3:$E$1500=$F93)*(TongVTSX!$K$3:$K$1500))/$U93,SUMPRODUCT((TongVTSX!$C$3:$C$1500=$D93)*(TongVTSX!$E$3:$E$1500=$F93)*(TongVTSX!$K$3:$K$1500)))))</f>
        <v>0</v>
      </c>
      <c r="N93" s="92">
        <f ca="1">IF($Q93="",0, IF($R93=$S$7,$F93*$M93*$K93,IF($R93=$S$2,$M93*$K93,    IF($M93*$K93 - SUMPRODUCT((TongVTSX!$C$3:$C$1500=$D93)*(TongVTSX!$E$3:$E$1500=$F93)*(TongVTSX!$O$3:$O$1500)) &lt;=10,$M93*$K93,"PO &lt;&gt; TongVTSX"))))</f>
        <v>0</v>
      </c>
      <c r="O93" s="92">
        <f t="shared" ca="1" si="3"/>
        <v>0</v>
      </c>
      <c r="P93" s="1146" t="str">
        <f ca="1">IFERROR(INDEX(NVLSX!$AA$2:$AA$6756,MATCH($D93,NVLSX!$E$2:$E$6756,0)),"")</f>
        <v/>
      </c>
      <c r="Q93" s="742" t="str">
        <f ca="1">IF($R93="","",IF($R93&lt;&gt;$R92,IF(TYPE(MATCH($R93,TongVTSX!$T$3:$T$1500,0))=16,"",MATCH($R93,TongVTSX!$T$3:$T$1500,0)),IF(TYPE(MATCH($R93,OFFSET(TongVTSX!$T$3,$Q92,0):'TongVTSX'!$T$1500,0)+$Q92)=16,"",MATCH($R93,OFFSET(TongVTSX!$T$3,$Q92,0):'TongVTSX'!$T$1500,0)+$Q92)))</f>
        <v/>
      </c>
      <c r="R93" s="179" t="str">
        <f ca="1">IFERROR(IF(COUNTIF($R$3:R92,R92)&lt; INDEX($T$1:$T$7,MATCH($R92,$S$1:$S$7,0)),$R92,INDEX($S$1:$S$7,MATCH($R92,$S$1:$S$7,0)+1)),"")</f>
        <v/>
      </c>
      <c r="S93" s="181"/>
      <c r="T93" s="182"/>
      <c r="U93" s="184" t="str">
        <f ca="1">IF($R93="PR",INDEX(NVLSX!$U$2:$U$6941,MATCH($D93,NVLSX!$E$2:$E$6941,0)),"")</f>
        <v/>
      </c>
      <c r="V93" s="184" t="str">
        <f ca="1">IF($R93="PR",INDEX(NVLSX!$S$2:$S$6941,MATCH($D93,NVLSX!$E$2:$E$6941,0))*1000,"")</f>
        <v/>
      </c>
      <c r="W93" s="776" t="str">
        <f ca="1">IF($R93="PR",INDEX(NVLSX!$S$2:$S$6941,MATCH($D93,NVLSX!$E$2:$E$6941,0))*INDEX(NVLSX!$T$2:$T$6941,MATCH($D93,NVLSX!$E$2:$E$6941,0)),"")</f>
        <v/>
      </c>
      <c r="X93" s="776">
        <f t="shared" ca="1" si="4"/>
        <v>0</v>
      </c>
      <c r="Y93" s="982" t="str">
        <f ca="1">IFERROR(INDEX(NVLSX!$X$2:$X$4655,MATCH($D93,NVLSX!$E$2:$E$4655,0)),"")</f>
        <v/>
      </c>
    </row>
    <row r="94" spans="1:25">
      <c r="A94" s="19" t="str">
        <f ca="1">IF($Q94="","",MAX($A$2:A93)+1)</f>
        <v/>
      </c>
      <c r="B94" s="1146" t="str">
        <f ca="1">IFERROR(INDEX(NVLSX!$Y$2:$Y$6756,MATCH($D94,NVLSX!$E$2:$E$6756,0)),"")</f>
        <v/>
      </c>
      <c r="C94" s="1146" t="str">
        <f ca="1">IFERROR(INDEX(NVLSX!$Z$2:$Z$6756,MATCH($D94,NVLSX!$E$2:$E$6756,0)),"")</f>
        <v/>
      </c>
      <c r="D94" s="23" t="str">
        <f ca="1">IF($Q94="","",INDEX(TongVTSX!C$3:C$1500,$Q94))</f>
        <v/>
      </c>
      <c r="E94" s="729" t="str">
        <f ca="1">IF($Q94="","",INDEX(TongVTSX!D$3:D$1500,$Q94) &amp; IF(OR($R94=$S$1,$R94=$S$7)," (" &amp; INDEX(TongVTSX!A$3:A$1500,$Q94) &amp; ")",""))</f>
        <v/>
      </c>
      <c r="F94" s="745" t="str">
        <f ca="1">IF($Q94="","",IF($R94=$S$7,INDEX(TongVTSX!$G$3:$G$1500,$Q94),INDEX(TongVTSX!$E$3:$E$1500,$Q94)))</f>
        <v/>
      </c>
      <c r="G94" s="24" t="str">
        <f ca="1">IF($Q94="","",IF($R94=$S$1,"mm",IF($R94=$S$2,"Thanh",INDEX(TongVTSX!F$3:F$1500,$Q94))))</f>
        <v/>
      </c>
      <c r="H94" s="114">
        <f ca="1">IF($R94=$S$1,INDEX(TongVTSX!$K$3:$K$1500,$Q94),IF($R94=$S$7,INDEX(TongVTSX!$H$3:$H$1500,$Q94),IF($R94=$S$2,ROUNDUP(SUMPRODUCT((TongVTSX!$C$3:$C$1500=$D94)*(TongVTSX!$E$3:$E$1500=$F94)*(TongVTSX!$K$3:$K$1500))/$U94,0),SUMPRODUCT((TongVTSX!$C$3:$C$1500=$D94)*(TongVTSX!$E$3:$E$1500=$F94)*(TongVTSX!$K$3:$K$1500)))))</f>
        <v>0</v>
      </c>
      <c r="I94" s="114"/>
      <c r="J94" s="114"/>
      <c r="K94" s="114" t="str">
        <f ca="1">IF($Q94="","",IF($R94=$S$2,INDEX(TongVTSX!M$3:M$1500,$Q94)*$U94,   INDEX(TongVTSX!M$3:M$1500,$Q94)))</f>
        <v/>
      </c>
      <c r="L94" s="92">
        <f ca="1">IF($Q94="",0, IF($R94=$S$7,$F94*$H94*$K94,IF($R94=$S$2,$H94*$K94,    IF($H94*$K94 - SUMPRODUCT((TongVTSX!$C$3:$C$1500=$D94)*(TongVTSX!$E$3:$E$1500=$F94)*(TongVTSX!$O$3:$O$1500)) &lt;=10,$H94*$K94,"PO &lt;&gt; TongVTSX"))))</f>
        <v>0</v>
      </c>
      <c r="M94" s="114">
        <f ca="1">IF($R94=$S$1,INDEX(TongVTSX!$K$3:$K$1500,$Q94),IF($R94=$S$7,INDEX(TongVTSX!$H$3:$H$1500,$Q94),IF($R94=$S$2,SUMPRODUCT((TongVTSX!$C$3:$C$1500=$D94)*(TongVTSX!$E$3:$E$1500=$F94)*(TongVTSX!$K$3:$K$1500))/$U94,SUMPRODUCT((TongVTSX!$C$3:$C$1500=$D94)*(TongVTSX!$E$3:$E$1500=$F94)*(TongVTSX!$K$3:$K$1500)))))</f>
        <v>0</v>
      </c>
      <c r="N94" s="92">
        <f ca="1">IF($Q94="",0, IF($R94=$S$7,$F94*$M94*$K94,IF($R94=$S$2,$M94*$K94,    IF($M94*$K94 - SUMPRODUCT((TongVTSX!$C$3:$C$1500=$D94)*(TongVTSX!$E$3:$E$1500=$F94)*(TongVTSX!$O$3:$O$1500)) &lt;=10,$M94*$K94,"PO &lt;&gt; TongVTSX"))))</f>
        <v>0</v>
      </c>
      <c r="O94" s="92">
        <f t="shared" ca="1" si="3"/>
        <v>0</v>
      </c>
      <c r="P94" s="1146" t="str">
        <f ca="1">IFERROR(INDEX(NVLSX!$AA$2:$AA$6756,MATCH($D94,NVLSX!$E$2:$E$6756,0)),"")</f>
        <v/>
      </c>
      <c r="Q94" s="742" t="str">
        <f ca="1">IF($R94="","",IF($R94&lt;&gt;$R93,IF(TYPE(MATCH($R94,TongVTSX!$T$3:$T$1500,0))=16,"",MATCH($R94,TongVTSX!$T$3:$T$1500,0)),IF(TYPE(MATCH($R94,OFFSET(TongVTSX!$T$3,$Q93,0):'TongVTSX'!$T$1500,0)+$Q93)=16,"",MATCH($R94,OFFSET(TongVTSX!$T$3,$Q93,0):'TongVTSX'!$T$1500,0)+$Q93)))</f>
        <v/>
      </c>
      <c r="R94" s="179" t="str">
        <f ca="1">IFERROR(IF(COUNTIF($R$3:R93,R93)&lt; INDEX($T$1:$T$7,MATCH($R93,$S$1:$S$7,0)),$R93,INDEX($S$1:$S$7,MATCH($R93,$S$1:$S$7,0)+1)),"")</f>
        <v/>
      </c>
      <c r="S94" s="181"/>
      <c r="T94" s="182"/>
      <c r="U94" s="184" t="str">
        <f ca="1">IF($R94="PR",INDEX(NVLSX!$U$2:$U$6941,MATCH($D94,NVLSX!$E$2:$E$6941,0)),"")</f>
        <v/>
      </c>
      <c r="V94" s="184" t="str">
        <f ca="1">IF($R94="PR",INDEX(NVLSX!$S$2:$S$6941,MATCH($D94,NVLSX!$E$2:$E$6941,0))*1000,"")</f>
        <v/>
      </c>
      <c r="W94" s="776" t="str">
        <f ca="1">IF($R94="PR",INDEX(NVLSX!$S$2:$S$6941,MATCH($D94,NVLSX!$E$2:$E$6941,0))*INDEX(NVLSX!$T$2:$T$6941,MATCH($D94,NVLSX!$E$2:$E$6941,0)),"")</f>
        <v/>
      </c>
      <c r="X94" s="776">
        <f t="shared" ca="1" si="4"/>
        <v>0</v>
      </c>
      <c r="Y94" s="982" t="str">
        <f ca="1">IFERROR(INDEX(NVLSX!$X$2:$X$4655,MATCH($D94,NVLSX!$E$2:$E$4655,0)),"")</f>
        <v/>
      </c>
    </row>
    <row r="95" spans="1:25">
      <c r="A95" s="19" t="str">
        <f ca="1">IF($Q95="","",MAX($A$2:A94)+1)</f>
        <v/>
      </c>
      <c r="B95" s="1146" t="str">
        <f ca="1">IFERROR(INDEX(NVLSX!$Y$2:$Y$6756,MATCH($D95,NVLSX!$E$2:$E$6756,0)),"")</f>
        <v/>
      </c>
      <c r="C95" s="1146" t="str">
        <f ca="1">IFERROR(INDEX(NVLSX!$Z$2:$Z$6756,MATCH($D95,NVLSX!$E$2:$E$6756,0)),"")</f>
        <v/>
      </c>
      <c r="D95" s="23" t="str">
        <f ca="1">IF($Q95="","",INDEX(TongVTSX!C$3:C$1500,$Q95))</f>
        <v/>
      </c>
      <c r="E95" s="729" t="str">
        <f ca="1">IF($Q95="","",INDEX(TongVTSX!D$3:D$1500,$Q95) &amp; IF(OR($R95=$S$1,$R95=$S$7)," (" &amp; INDEX(TongVTSX!A$3:A$1500,$Q95) &amp; ")",""))</f>
        <v/>
      </c>
      <c r="F95" s="745" t="str">
        <f ca="1">IF($Q95="","",IF($R95=$S$7,INDEX(TongVTSX!$G$3:$G$1500,$Q95),INDEX(TongVTSX!$E$3:$E$1500,$Q95)))</f>
        <v/>
      </c>
      <c r="G95" s="24" t="str">
        <f ca="1">IF($Q95="","",IF($R95=$S$1,"mm",IF($R95=$S$2,"Thanh",INDEX(TongVTSX!F$3:F$1500,$Q95))))</f>
        <v/>
      </c>
      <c r="H95" s="114">
        <f ca="1">IF($R95=$S$1,INDEX(TongVTSX!$K$3:$K$1500,$Q95),IF($R95=$S$7,INDEX(TongVTSX!$H$3:$H$1500,$Q95),IF($R95=$S$2,ROUNDUP(SUMPRODUCT((TongVTSX!$C$3:$C$1500=$D95)*(TongVTSX!$E$3:$E$1500=$F95)*(TongVTSX!$K$3:$K$1500))/$U95,0),SUMPRODUCT((TongVTSX!$C$3:$C$1500=$D95)*(TongVTSX!$E$3:$E$1500=$F95)*(TongVTSX!$K$3:$K$1500)))))</f>
        <v>0</v>
      </c>
      <c r="I95" s="114"/>
      <c r="J95" s="114"/>
      <c r="K95" s="114" t="str">
        <f ca="1">IF($Q95="","",IF($R95=$S$2,INDEX(TongVTSX!M$3:M$1500,$Q95)*$U95,   INDEX(TongVTSX!M$3:M$1500,$Q95)))</f>
        <v/>
      </c>
      <c r="L95" s="92">
        <f ca="1">IF($Q95="",0, IF($R95=$S$7,$F95*$H95*$K95,IF($R95=$S$2,$H95*$K95,    IF($H95*$K95 - SUMPRODUCT((TongVTSX!$C$3:$C$1500=$D95)*(TongVTSX!$E$3:$E$1500=$F95)*(TongVTSX!$O$3:$O$1500)) &lt;=10,$H95*$K95,"PO &lt;&gt; TongVTSX"))))</f>
        <v>0</v>
      </c>
      <c r="M95" s="114">
        <f ca="1">IF($R95=$S$1,INDEX(TongVTSX!$K$3:$K$1500,$Q95),IF($R95=$S$7,INDEX(TongVTSX!$H$3:$H$1500,$Q95),IF($R95=$S$2,SUMPRODUCT((TongVTSX!$C$3:$C$1500=$D95)*(TongVTSX!$E$3:$E$1500=$F95)*(TongVTSX!$K$3:$K$1500))/$U95,SUMPRODUCT((TongVTSX!$C$3:$C$1500=$D95)*(TongVTSX!$E$3:$E$1500=$F95)*(TongVTSX!$K$3:$K$1500)))))</f>
        <v>0</v>
      </c>
      <c r="N95" s="92">
        <f ca="1">IF($Q95="",0, IF($R95=$S$7,$F95*$M95*$K95,IF($R95=$S$2,$M95*$K95,    IF($M95*$K95 - SUMPRODUCT((TongVTSX!$C$3:$C$1500=$D95)*(TongVTSX!$E$3:$E$1500=$F95)*(TongVTSX!$O$3:$O$1500)) &lt;=10,$M95*$K95,"PO &lt;&gt; TongVTSX"))))</f>
        <v>0</v>
      </c>
      <c r="O95" s="92">
        <f t="shared" ca="1" si="3"/>
        <v>0</v>
      </c>
      <c r="P95" s="1146" t="str">
        <f ca="1">IFERROR(INDEX(NVLSX!$AA$2:$AA$6756,MATCH($D95,NVLSX!$E$2:$E$6756,0)),"")</f>
        <v/>
      </c>
      <c r="Q95" s="742" t="str">
        <f ca="1">IF($R95="","",IF($R95&lt;&gt;$R94,IF(TYPE(MATCH($R95,TongVTSX!$T$3:$T$1500,0))=16,"",MATCH($R95,TongVTSX!$T$3:$T$1500,0)),IF(TYPE(MATCH($R95,OFFSET(TongVTSX!$T$3,$Q94,0):'TongVTSX'!$T$1500,0)+$Q94)=16,"",MATCH($R95,OFFSET(TongVTSX!$T$3,$Q94,0):'TongVTSX'!$T$1500,0)+$Q94)))</f>
        <v/>
      </c>
      <c r="R95" s="179" t="str">
        <f ca="1">IFERROR(IF(COUNTIF($R$3:R94,R94)&lt; INDEX($T$1:$T$7,MATCH($R94,$S$1:$S$7,0)),$R94,INDEX($S$1:$S$7,MATCH($R94,$S$1:$S$7,0)+1)),"")</f>
        <v/>
      </c>
      <c r="S95" s="181"/>
      <c r="T95" s="182"/>
      <c r="U95" s="184" t="str">
        <f ca="1">IF($R95="PR",INDEX(NVLSX!$U$2:$U$6941,MATCH($D95,NVLSX!$E$2:$E$6941,0)),"")</f>
        <v/>
      </c>
      <c r="V95" s="184" t="str">
        <f ca="1">IF($R95="PR",INDEX(NVLSX!$S$2:$S$6941,MATCH($D95,NVLSX!$E$2:$E$6941,0))*1000,"")</f>
        <v/>
      </c>
      <c r="W95" s="776" t="str">
        <f ca="1">IF($R95="PR",INDEX(NVLSX!$S$2:$S$6941,MATCH($D95,NVLSX!$E$2:$E$6941,0))*INDEX(NVLSX!$T$2:$T$6941,MATCH($D95,NVLSX!$E$2:$E$6941,0)),"")</f>
        <v/>
      </c>
      <c r="X95" s="776">
        <f t="shared" ca="1" si="4"/>
        <v>0</v>
      </c>
      <c r="Y95" s="982" t="str">
        <f ca="1">IFERROR(INDEX(NVLSX!$X$2:$X$4655,MATCH($D95,NVLSX!$E$2:$E$4655,0)),"")</f>
        <v/>
      </c>
    </row>
    <row r="96" spans="1:25">
      <c r="A96" s="19" t="str">
        <f ca="1">IF($Q96="","",MAX($A$2:A95)+1)</f>
        <v/>
      </c>
      <c r="B96" s="1146" t="str">
        <f ca="1">IFERROR(INDEX(NVLSX!$Y$2:$Y$6756,MATCH($D96,NVLSX!$E$2:$E$6756,0)),"")</f>
        <v/>
      </c>
      <c r="C96" s="1146" t="str">
        <f ca="1">IFERROR(INDEX(NVLSX!$Z$2:$Z$6756,MATCH($D96,NVLSX!$E$2:$E$6756,0)),"")</f>
        <v/>
      </c>
      <c r="D96" s="23" t="str">
        <f ca="1">IF($Q96="","",INDEX(TongVTSX!C$3:C$1500,$Q96))</f>
        <v/>
      </c>
      <c r="E96" s="729" t="str">
        <f ca="1">IF($Q96="","",INDEX(TongVTSX!D$3:D$1500,$Q96) &amp; IF(OR($R96=$S$1,$R96=$S$7)," (" &amp; INDEX(TongVTSX!A$3:A$1500,$Q96) &amp; ")",""))</f>
        <v/>
      </c>
      <c r="F96" s="745" t="str">
        <f ca="1">IF($Q96="","",IF($R96=$S$7,INDEX(TongVTSX!$G$3:$G$1500,$Q96),INDEX(TongVTSX!$E$3:$E$1500,$Q96)))</f>
        <v/>
      </c>
      <c r="G96" s="24" t="str">
        <f ca="1">IF($Q96="","",IF($R96=$S$1,"mm",IF($R96=$S$2,"Thanh",INDEX(TongVTSX!F$3:F$1500,$Q96))))</f>
        <v/>
      </c>
      <c r="H96" s="114">
        <f ca="1">IF($R96=$S$1,INDEX(TongVTSX!$K$3:$K$1500,$Q96),IF($R96=$S$7,INDEX(TongVTSX!$H$3:$H$1500,$Q96),IF($R96=$S$2,ROUNDUP(SUMPRODUCT((TongVTSX!$C$3:$C$1500=$D96)*(TongVTSX!$E$3:$E$1500=$F96)*(TongVTSX!$K$3:$K$1500))/$U96,0),SUMPRODUCT((TongVTSX!$C$3:$C$1500=$D96)*(TongVTSX!$E$3:$E$1500=$F96)*(TongVTSX!$K$3:$K$1500)))))</f>
        <v>0</v>
      </c>
      <c r="I96" s="114"/>
      <c r="J96" s="114"/>
      <c r="K96" s="114" t="str">
        <f ca="1">IF($Q96="","",IF($R96=$S$2,INDEX(TongVTSX!M$3:M$1500,$Q96)*$U96,   INDEX(TongVTSX!M$3:M$1500,$Q96)))</f>
        <v/>
      </c>
      <c r="L96" s="92">
        <f ca="1">IF($Q96="",0, IF($R96=$S$7,$F96*$H96*$K96,IF($R96=$S$2,$H96*$K96,    IF($H96*$K96 - SUMPRODUCT((TongVTSX!$C$3:$C$1500=$D96)*(TongVTSX!$E$3:$E$1500=$F96)*(TongVTSX!$O$3:$O$1500)) &lt;=10,$H96*$K96,"PO &lt;&gt; TongVTSX"))))</f>
        <v>0</v>
      </c>
      <c r="M96" s="114">
        <f ca="1">IF($R96=$S$1,INDEX(TongVTSX!$K$3:$K$1500,$Q96),IF($R96=$S$7,INDEX(TongVTSX!$H$3:$H$1500,$Q96),IF($R96=$S$2,SUMPRODUCT((TongVTSX!$C$3:$C$1500=$D96)*(TongVTSX!$E$3:$E$1500=$F96)*(TongVTSX!$K$3:$K$1500))/$U96,SUMPRODUCT((TongVTSX!$C$3:$C$1500=$D96)*(TongVTSX!$E$3:$E$1500=$F96)*(TongVTSX!$K$3:$K$1500)))))</f>
        <v>0</v>
      </c>
      <c r="N96" s="92">
        <f ca="1">IF($Q96="",0, IF($R96=$S$7,$F96*$M96*$K96,IF($R96=$S$2,$M96*$K96,    IF($M96*$K96 - SUMPRODUCT((TongVTSX!$C$3:$C$1500=$D96)*(TongVTSX!$E$3:$E$1500=$F96)*(TongVTSX!$O$3:$O$1500)) &lt;=10,$M96*$K96,"PO &lt;&gt; TongVTSX"))))</f>
        <v>0</v>
      </c>
      <c r="O96" s="92">
        <f t="shared" ca="1" si="3"/>
        <v>0</v>
      </c>
      <c r="P96" s="1146" t="str">
        <f ca="1">IFERROR(INDEX(NVLSX!$AA$2:$AA$6756,MATCH($D96,NVLSX!$E$2:$E$6756,0)),"")</f>
        <v/>
      </c>
      <c r="Q96" s="742" t="str">
        <f ca="1">IF($R96="","",IF($R96&lt;&gt;$R95,IF(TYPE(MATCH($R96,TongVTSX!$T$3:$T$1500,0))=16,"",MATCH($R96,TongVTSX!$T$3:$T$1500,0)),IF(TYPE(MATCH($R96,OFFSET(TongVTSX!$T$3,$Q95,0):'TongVTSX'!$T$1500,0)+$Q95)=16,"",MATCH($R96,OFFSET(TongVTSX!$T$3,$Q95,0):'TongVTSX'!$T$1500,0)+$Q95)))</f>
        <v/>
      </c>
      <c r="R96" s="179" t="str">
        <f ca="1">IFERROR(IF(COUNTIF($R$3:R95,R95)&lt; INDEX($T$1:$T$7,MATCH($R95,$S$1:$S$7,0)),$R95,INDEX($S$1:$S$7,MATCH($R95,$S$1:$S$7,0)+1)),"")</f>
        <v/>
      </c>
      <c r="S96" s="181"/>
      <c r="T96" s="182"/>
      <c r="U96" s="184" t="str">
        <f ca="1">IF($R96="PR",INDEX(NVLSX!$U$2:$U$6941,MATCH($D96,NVLSX!$E$2:$E$6941,0)),"")</f>
        <v/>
      </c>
      <c r="V96" s="184" t="str">
        <f ca="1">IF($R96="PR",INDEX(NVLSX!$S$2:$S$6941,MATCH($D96,NVLSX!$E$2:$E$6941,0))*1000,"")</f>
        <v/>
      </c>
      <c r="W96" s="776" t="str">
        <f ca="1">IF($R96="PR",INDEX(NVLSX!$S$2:$S$6941,MATCH($D96,NVLSX!$E$2:$E$6941,0))*INDEX(NVLSX!$T$2:$T$6941,MATCH($D96,NVLSX!$E$2:$E$6941,0)),"")</f>
        <v/>
      </c>
      <c r="X96" s="776">
        <f t="shared" ca="1" si="4"/>
        <v>0</v>
      </c>
      <c r="Y96" s="982" t="str">
        <f ca="1">IFERROR(INDEX(NVLSX!$X$2:$X$4655,MATCH($D96,NVLSX!$E$2:$E$4655,0)),"")</f>
        <v/>
      </c>
    </row>
    <row r="97" spans="1:25">
      <c r="A97" s="19" t="str">
        <f ca="1">IF($Q97="","",MAX($A$2:A96)+1)</f>
        <v/>
      </c>
      <c r="B97" s="1146" t="str">
        <f ca="1">IFERROR(INDEX(NVLSX!$Y$2:$Y$6756,MATCH($D97,NVLSX!$E$2:$E$6756,0)),"")</f>
        <v/>
      </c>
      <c r="C97" s="1146" t="str">
        <f ca="1">IFERROR(INDEX(NVLSX!$Z$2:$Z$6756,MATCH($D97,NVLSX!$E$2:$E$6756,0)),"")</f>
        <v/>
      </c>
      <c r="D97" s="23" t="str">
        <f ca="1">IF($Q97="","",INDEX(TongVTSX!C$3:C$1500,$Q97))</f>
        <v/>
      </c>
      <c r="E97" s="729" t="str">
        <f ca="1">IF($Q97="","",INDEX(TongVTSX!D$3:D$1500,$Q97) &amp; IF(OR($R97=$S$1,$R97=$S$7)," (" &amp; INDEX(TongVTSX!A$3:A$1500,$Q97) &amp; ")",""))</f>
        <v/>
      </c>
      <c r="F97" s="745" t="str">
        <f ca="1">IF($Q97="","",IF($R97=$S$7,INDEX(TongVTSX!$G$3:$G$1500,$Q97),INDEX(TongVTSX!$E$3:$E$1500,$Q97)))</f>
        <v/>
      </c>
      <c r="G97" s="24" t="str">
        <f ca="1">IF($Q97="","",IF($R97=$S$1,"mm",IF($R97=$S$2,"Thanh",INDEX(TongVTSX!F$3:F$1500,$Q97))))</f>
        <v/>
      </c>
      <c r="H97" s="114">
        <f ca="1">IF($R97=$S$1,INDEX(TongVTSX!$K$3:$K$1500,$Q97),IF($R97=$S$7,INDEX(TongVTSX!$H$3:$H$1500,$Q97),IF($R97=$S$2,ROUNDUP(SUMPRODUCT((TongVTSX!$C$3:$C$1500=$D97)*(TongVTSX!$E$3:$E$1500=$F97)*(TongVTSX!$K$3:$K$1500))/$U97,0),SUMPRODUCT((TongVTSX!$C$3:$C$1500=$D97)*(TongVTSX!$E$3:$E$1500=$F97)*(TongVTSX!$K$3:$K$1500)))))</f>
        <v>0</v>
      </c>
      <c r="I97" s="114"/>
      <c r="J97" s="114"/>
      <c r="K97" s="114" t="str">
        <f ca="1">IF($Q97="","",IF($R97=$S$2,INDEX(TongVTSX!M$3:M$1500,$Q97)*$U97,   INDEX(TongVTSX!M$3:M$1500,$Q97)))</f>
        <v/>
      </c>
      <c r="L97" s="92">
        <f ca="1">IF($Q97="",0, IF($R97=$S$7,$F97*$H97*$K97,IF($R97=$S$2,$H97*$K97,    IF($H97*$K97 - SUMPRODUCT((TongVTSX!$C$3:$C$1500=$D97)*(TongVTSX!$E$3:$E$1500=$F97)*(TongVTSX!$O$3:$O$1500)) &lt;=10,$H97*$K97,"PO &lt;&gt; TongVTSX"))))</f>
        <v>0</v>
      </c>
      <c r="M97" s="114">
        <f ca="1">IF($R97=$S$1,INDEX(TongVTSX!$K$3:$K$1500,$Q97),IF($R97=$S$7,INDEX(TongVTSX!$H$3:$H$1500,$Q97),IF($R97=$S$2,SUMPRODUCT((TongVTSX!$C$3:$C$1500=$D97)*(TongVTSX!$E$3:$E$1500=$F97)*(TongVTSX!$K$3:$K$1500))/$U97,SUMPRODUCT((TongVTSX!$C$3:$C$1500=$D97)*(TongVTSX!$E$3:$E$1500=$F97)*(TongVTSX!$K$3:$K$1500)))))</f>
        <v>0</v>
      </c>
      <c r="N97" s="92">
        <f ca="1">IF($Q97="",0, IF($R97=$S$7,$F97*$M97*$K97,IF($R97=$S$2,$M97*$K97,    IF($M97*$K97 - SUMPRODUCT((TongVTSX!$C$3:$C$1500=$D97)*(TongVTSX!$E$3:$E$1500=$F97)*(TongVTSX!$O$3:$O$1500)) &lt;=10,$M97*$K97,"PO &lt;&gt; TongVTSX"))))</f>
        <v>0</v>
      </c>
      <c r="O97" s="92">
        <f t="shared" ca="1" si="3"/>
        <v>0</v>
      </c>
      <c r="P97" s="1146" t="str">
        <f ca="1">IFERROR(INDEX(NVLSX!$AA$2:$AA$6756,MATCH($D97,NVLSX!$E$2:$E$6756,0)),"")</f>
        <v/>
      </c>
      <c r="Q97" s="742" t="str">
        <f ca="1">IF($R97="","",IF($R97&lt;&gt;$R96,IF(TYPE(MATCH($R97,TongVTSX!$T$3:$T$1500,0))=16,"",MATCH($R97,TongVTSX!$T$3:$T$1500,0)),IF(TYPE(MATCH($R97,OFFSET(TongVTSX!$T$3,$Q96,0):'TongVTSX'!$T$1500,0)+$Q96)=16,"",MATCH($R97,OFFSET(TongVTSX!$T$3,$Q96,0):'TongVTSX'!$T$1500,0)+$Q96)))</f>
        <v/>
      </c>
      <c r="R97" s="179" t="str">
        <f ca="1">IFERROR(IF(COUNTIF($R$3:R96,R96)&lt; INDEX($T$1:$T$7,MATCH($R96,$S$1:$S$7,0)),$R96,INDEX($S$1:$S$7,MATCH($R96,$S$1:$S$7,0)+1)),"")</f>
        <v/>
      </c>
      <c r="S97" s="181"/>
      <c r="T97" s="182"/>
      <c r="U97" s="184" t="str">
        <f ca="1">IF($R97="PR",INDEX(NVLSX!$U$2:$U$6941,MATCH($D97,NVLSX!$E$2:$E$6941,0)),"")</f>
        <v/>
      </c>
      <c r="V97" s="184" t="str">
        <f ca="1">IF($R97="PR",INDEX(NVLSX!$S$2:$S$6941,MATCH($D97,NVLSX!$E$2:$E$6941,0))*1000,"")</f>
        <v/>
      </c>
      <c r="W97" s="776" t="str">
        <f ca="1">IF($R97="PR",INDEX(NVLSX!$S$2:$S$6941,MATCH($D97,NVLSX!$E$2:$E$6941,0))*INDEX(NVLSX!$T$2:$T$6941,MATCH($D97,NVLSX!$E$2:$E$6941,0)),"")</f>
        <v/>
      </c>
      <c r="X97" s="776">
        <f t="shared" ca="1" si="4"/>
        <v>0</v>
      </c>
      <c r="Y97" s="982" t="str">
        <f ca="1">IFERROR(INDEX(NVLSX!$X$2:$X$4655,MATCH($D97,NVLSX!$E$2:$E$4655,0)),"")</f>
        <v/>
      </c>
    </row>
    <row r="98" spans="1:25">
      <c r="A98" s="19" t="str">
        <f ca="1">IF($Q98="","",MAX($A$2:A97)+1)</f>
        <v/>
      </c>
      <c r="B98" s="1146" t="str">
        <f ca="1">IFERROR(INDEX(NVLSX!$Y$2:$Y$6756,MATCH($D98,NVLSX!$E$2:$E$6756,0)),"")</f>
        <v/>
      </c>
      <c r="C98" s="1146" t="str">
        <f ca="1">IFERROR(INDEX(NVLSX!$Z$2:$Z$6756,MATCH($D98,NVLSX!$E$2:$E$6756,0)),"")</f>
        <v/>
      </c>
      <c r="D98" s="23" t="str">
        <f ca="1">IF($Q98="","",INDEX(TongVTSX!C$3:C$1500,$Q98))</f>
        <v/>
      </c>
      <c r="E98" s="729" t="str">
        <f ca="1">IF($Q98="","",INDEX(TongVTSX!D$3:D$1500,$Q98) &amp; IF(OR($R98=$S$1,$R98=$S$7)," (" &amp; INDEX(TongVTSX!A$3:A$1500,$Q98) &amp; ")",""))</f>
        <v/>
      </c>
      <c r="F98" s="745" t="str">
        <f ca="1">IF($Q98="","",IF($R98=$S$7,INDEX(TongVTSX!$G$3:$G$1500,$Q98),INDEX(TongVTSX!$E$3:$E$1500,$Q98)))</f>
        <v/>
      </c>
      <c r="G98" s="24" t="str">
        <f ca="1">IF($Q98="","",IF($R98=$S$1,"mm",IF($R98=$S$2,"Thanh",INDEX(TongVTSX!F$3:F$1500,$Q98))))</f>
        <v/>
      </c>
      <c r="H98" s="114">
        <f ca="1">IF($R98=$S$1,INDEX(TongVTSX!$K$3:$K$1500,$Q98),IF($R98=$S$7,INDEX(TongVTSX!$H$3:$H$1500,$Q98),IF($R98=$S$2,ROUNDUP(SUMPRODUCT((TongVTSX!$C$3:$C$1500=$D98)*(TongVTSX!$E$3:$E$1500=$F98)*(TongVTSX!$K$3:$K$1500))/$U98,0),SUMPRODUCT((TongVTSX!$C$3:$C$1500=$D98)*(TongVTSX!$E$3:$E$1500=$F98)*(TongVTSX!$K$3:$K$1500)))))</f>
        <v>0</v>
      </c>
      <c r="I98" s="114"/>
      <c r="J98" s="114"/>
      <c r="K98" s="114" t="str">
        <f ca="1">IF($Q98="","",IF($R98=$S$2,INDEX(TongVTSX!M$3:M$1500,$Q98)*$U98,   INDEX(TongVTSX!M$3:M$1500,$Q98)))</f>
        <v/>
      </c>
      <c r="L98" s="92">
        <f ca="1">IF($Q98="",0, IF($R98=$S$7,$F98*$H98*$K98,IF($R98=$S$2,$H98*$K98,    IF($H98*$K98 - SUMPRODUCT((TongVTSX!$C$3:$C$1500=$D98)*(TongVTSX!$E$3:$E$1500=$F98)*(TongVTSX!$O$3:$O$1500)) &lt;=10,$H98*$K98,"PO &lt;&gt; TongVTSX"))))</f>
        <v>0</v>
      </c>
      <c r="M98" s="114">
        <f ca="1">IF($R98=$S$1,INDEX(TongVTSX!$K$3:$K$1500,$Q98),IF($R98=$S$7,INDEX(TongVTSX!$H$3:$H$1500,$Q98),IF($R98=$S$2,SUMPRODUCT((TongVTSX!$C$3:$C$1500=$D98)*(TongVTSX!$E$3:$E$1500=$F98)*(TongVTSX!$K$3:$K$1500))/$U98,SUMPRODUCT((TongVTSX!$C$3:$C$1500=$D98)*(TongVTSX!$E$3:$E$1500=$F98)*(TongVTSX!$K$3:$K$1500)))))</f>
        <v>0</v>
      </c>
      <c r="N98" s="92">
        <f ca="1">IF($Q98="",0, IF($R98=$S$7,$F98*$M98*$K98,IF($R98=$S$2,$M98*$K98,    IF($M98*$K98 - SUMPRODUCT((TongVTSX!$C$3:$C$1500=$D98)*(TongVTSX!$E$3:$E$1500=$F98)*(TongVTSX!$O$3:$O$1500)) &lt;=10,$M98*$K98,"PO &lt;&gt; TongVTSX"))))</f>
        <v>0</v>
      </c>
      <c r="O98" s="92">
        <f t="shared" ca="1" si="3"/>
        <v>0</v>
      </c>
      <c r="P98" s="1146" t="str">
        <f ca="1">IFERROR(INDEX(NVLSX!$AA$2:$AA$6756,MATCH($D98,NVLSX!$E$2:$E$6756,0)),"")</f>
        <v/>
      </c>
      <c r="Q98" s="742" t="str">
        <f ca="1">IF($R98="","",IF($R98&lt;&gt;$R97,IF(TYPE(MATCH($R98,TongVTSX!$T$3:$T$1500,0))=16,"",MATCH($R98,TongVTSX!$T$3:$T$1500,0)),IF(TYPE(MATCH($R98,OFFSET(TongVTSX!$T$3,$Q97,0):'TongVTSX'!$T$1500,0)+$Q97)=16,"",MATCH($R98,OFFSET(TongVTSX!$T$3,$Q97,0):'TongVTSX'!$T$1500,0)+$Q97)))</f>
        <v/>
      </c>
      <c r="R98" s="179" t="str">
        <f ca="1">IFERROR(IF(COUNTIF($R$3:R97,R97)&lt; INDEX($T$1:$T$7,MATCH($R97,$S$1:$S$7,0)),$R97,INDEX($S$1:$S$7,MATCH($R97,$S$1:$S$7,0)+1)),"")</f>
        <v/>
      </c>
      <c r="S98" s="181"/>
      <c r="T98" s="182"/>
      <c r="U98" s="184" t="str">
        <f ca="1">IF($R98="PR",INDEX(NVLSX!$U$2:$U$6941,MATCH($D98,NVLSX!$E$2:$E$6941,0)),"")</f>
        <v/>
      </c>
      <c r="V98" s="184" t="str">
        <f ca="1">IF($R98="PR",INDEX(NVLSX!$S$2:$S$6941,MATCH($D98,NVLSX!$E$2:$E$6941,0))*1000,"")</f>
        <v/>
      </c>
      <c r="W98" s="776" t="str">
        <f ca="1">IF($R98="PR",INDEX(NVLSX!$S$2:$S$6941,MATCH($D98,NVLSX!$E$2:$E$6941,0))*INDEX(NVLSX!$T$2:$T$6941,MATCH($D98,NVLSX!$E$2:$E$6941,0)),"")</f>
        <v/>
      </c>
      <c r="X98" s="776">
        <f t="shared" ca="1" si="4"/>
        <v>0</v>
      </c>
      <c r="Y98" s="982" t="str">
        <f ca="1">IFERROR(INDEX(NVLSX!$X$2:$X$4655,MATCH($D98,NVLSX!$E$2:$E$4655,0)),"")</f>
        <v/>
      </c>
    </row>
    <row r="99" spans="1:25">
      <c r="A99" s="19" t="str">
        <f ca="1">IF($Q99="","",MAX($A$2:A98)+1)</f>
        <v/>
      </c>
      <c r="B99" s="1146" t="str">
        <f ca="1">IFERROR(INDEX(NVLSX!$Y$2:$Y$6756,MATCH($D99,NVLSX!$E$2:$E$6756,0)),"")</f>
        <v/>
      </c>
      <c r="C99" s="1146" t="str">
        <f ca="1">IFERROR(INDEX(NVLSX!$Z$2:$Z$6756,MATCH($D99,NVLSX!$E$2:$E$6756,0)),"")</f>
        <v/>
      </c>
      <c r="D99" s="23" t="str">
        <f ca="1">IF($Q99="","",INDEX(TongVTSX!C$3:C$1500,$Q99))</f>
        <v/>
      </c>
      <c r="E99" s="729" t="str">
        <f ca="1">IF($Q99="","",INDEX(TongVTSX!D$3:D$1500,$Q99) &amp; IF(OR($R99=$S$1,$R99=$S$7)," (" &amp; INDEX(TongVTSX!A$3:A$1500,$Q99) &amp; ")",""))</f>
        <v/>
      </c>
      <c r="F99" s="745" t="str">
        <f ca="1">IF($Q99="","",IF($R99=$S$7,INDEX(TongVTSX!$G$3:$G$1500,$Q99),INDEX(TongVTSX!$E$3:$E$1500,$Q99)))</f>
        <v/>
      </c>
      <c r="G99" s="24" t="str">
        <f ca="1">IF($Q99="","",IF($R99=$S$1,"mm",IF($R99=$S$2,"Thanh",INDEX(TongVTSX!F$3:F$1500,$Q99))))</f>
        <v/>
      </c>
      <c r="H99" s="114">
        <f ca="1">IF($R99=$S$1,INDEX(TongVTSX!$K$3:$K$1500,$Q99),IF($R99=$S$7,INDEX(TongVTSX!$H$3:$H$1500,$Q99),IF($R99=$S$2,ROUNDUP(SUMPRODUCT((TongVTSX!$C$3:$C$1500=$D99)*(TongVTSX!$E$3:$E$1500=$F99)*(TongVTSX!$K$3:$K$1500))/$U99,0),SUMPRODUCT((TongVTSX!$C$3:$C$1500=$D99)*(TongVTSX!$E$3:$E$1500=$F99)*(TongVTSX!$K$3:$K$1500)))))</f>
        <v>0</v>
      </c>
      <c r="I99" s="114"/>
      <c r="J99" s="114"/>
      <c r="K99" s="114" t="str">
        <f ca="1">IF($Q99="","",IF($R99=$S$2,INDEX(TongVTSX!M$3:M$1500,$Q99)*$U99,   INDEX(TongVTSX!M$3:M$1500,$Q99)))</f>
        <v/>
      </c>
      <c r="L99" s="92">
        <f ca="1">IF($Q99="",0, IF($R99=$S$7,$F99*$H99*$K99,IF($R99=$S$2,$H99*$K99,    IF($H99*$K99 - SUMPRODUCT((TongVTSX!$C$3:$C$1500=$D99)*(TongVTSX!$E$3:$E$1500=$F99)*(TongVTSX!$O$3:$O$1500)) &lt;=10,$H99*$K99,"PO &lt;&gt; TongVTSX"))))</f>
        <v>0</v>
      </c>
      <c r="M99" s="114">
        <f ca="1">IF($R99=$S$1,INDEX(TongVTSX!$K$3:$K$1500,$Q99),IF($R99=$S$7,INDEX(TongVTSX!$H$3:$H$1500,$Q99),IF($R99=$S$2,SUMPRODUCT((TongVTSX!$C$3:$C$1500=$D99)*(TongVTSX!$E$3:$E$1500=$F99)*(TongVTSX!$K$3:$K$1500))/$U99,SUMPRODUCT((TongVTSX!$C$3:$C$1500=$D99)*(TongVTSX!$E$3:$E$1500=$F99)*(TongVTSX!$K$3:$K$1500)))))</f>
        <v>0</v>
      </c>
      <c r="N99" s="92">
        <f ca="1">IF($Q99="",0, IF($R99=$S$7,$F99*$M99*$K99,IF($R99=$S$2,$M99*$K99,    IF($M99*$K99 - SUMPRODUCT((TongVTSX!$C$3:$C$1500=$D99)*(TongVTSX!$E$3:$E$1500=$F99)*(TongVTSX!$O$3:$O$1500)) &lt;=10,$M99*$K99,"PO &lt;&gt; TongVTSX"))))</f>
        <v>0</v>
      </c>
      <c r="O99" s="92">
        <f t="shared" ref="O99:O130" ca="1" si="5">+L99-N99</f>
        <v>0</v>
      </c>
      <c r="P99" s="1146" t="str">
        <f ca="1">IFERROR(INDEX(NVLSX!$AA$2:$AA$6756,MATCH($D99,NVLSX!$E$2:$E$6756,0)),"")</f>
        <v/>
      </c>
      <c r="Q99" s="742" t="str">
        <f ca="1">IF($R99="","",IF($R99&lt;&gt;$R98,IF(TYPE(MATCH($R99,TongVTSX!$T$3:$T$1500,0))=16,"",MATCH($R99,TongVTSX!$T$3:$T$1500,0)),IF(TYPE(MATCH($R99,OFFSET(TongVTSX!$T$3,$Q98,0):'TongVTSX'!$T$1500,0)+$Q98)=16,"",MATCH($R99,OFFSET(TongVTSX!$T$3,$Q98,0):'TongVTSX'!$T$1500,0)+$Q98)))</f>
        <v/>
      </c>
      <c r="R99" s="179" t="str">
        <f ca="1">IFERROR(IF(COUNTIF($R$3:R98,R98)&lt; INDEX($T$1:$T$7,MATCH($R98,$S$1:$S$7,0)),$R98,INDEX($S$1:$S$7,MATCH($R98,$S$1:$S$7,0)+1)),"")</f>
        <v/>
      </c>
      <c r="S99" s="181"/>
      <c r="T99" s="182"/>
      <c r="U99" s="184" t="str">
        <f ca="1">IF($R99="PR",INDEX(NVLSX!$U$2:$U$6941,MATCH($D99,NVLSX!$E$2:$E$6941,0)),"")</f>
        <v/>
      </c>
      <c r="V99" s="184" t="str">
        <f ca="1">IF($R99="PR",INDEX(NVLSX!$S$2:$S$6941,MATCH($D99,NVLSX!$E$2:$E$6941,0))*1000,"")</f>
        <v/>
      </c>
      <c r="W99" s="776" t="str">
        <f ca="1">IF($R99="PR",INDEX(NVLSX!$S$2:$S$6941,MATCH($D99,NVLSX!$E$2:$E$6941,0))*INDEX(NVLSX!$T$2:$T$6941,MATCH($D99,NVLSX!$E$2:$E$6941,0)),"")</f>
        <v/>
      </c>
      <c r="X99" s="776">
        <f t="shared" ca="1" si="4"/>
        <v>0</v>
      </c>
      <c r="Y99" s="982" t="str">
        <f ca="1">IFERROR(INDEX(NVLSX!$X$2:$X$4655,MATCH($D99,NVLSX!$E$2:$E$4655,0)),"")</f>
        <v/>
      </c>
    </row>
    <row r="100" spans="1:25">
      <c r="A100" s="19" t="str">
        <f ca="1">IF($Q100="","",MAX($A$2:A99)+1)</f>
        <v/>
      </c>
      <c r="B100" s="1146" t="str">
        <f ca="1">IFERROR(INDEX(NVLSX!$Y$2:$Y$6756,MATCH($D100,NVLSX!$E$2:$E$6756,0)),"")</f>
        <v/>
      </c>
      <c r="C100" s="1146" t="str">
        <f ca="1">IFERROR(INDEX(NVLSX!$Z$2:$Z$6756,MATCH($D100,NVLSX!$E$2:$E$6756,0)),"")</f>
        <v/>
      </c>
      <c r="D100" s="23" t="str">
        <f ca="1">IF($Q100="","",INDEX(TongVTSX!C$3:C$1500,$Q100))</f>
        <v/>
      </c>
      <c r="E100" s="729" t="str">
        <f ca="1">IF($Q100="","",INDEX(TongVTSX!D$3:D$1500,$Q100) &amp; IF(OR($R100=$S$1,$R100=$S$7)," (" &amp; INDEX(TongVTSX!A$3:A$1500,$Q100) &amp; ")",""))</f>
        <v/>
      </c>
      <c r="F100" s="745" t="str">
        <f ca="1">IF($Q100="","",IF($R100=$S$7,INDEX(TongVTSX!$G$3:$G$1500,$Q100),INDEX(TongVTSX!$E$3:$E$1500,$Q100)))</f>
        <v/>
      </c>
      <c r="G100" s="24" t="str">
        <f ca="1">IF($Q100="","",IF($R100=$S$1,"mm",IF($R100=$S$2,"Thanh",INDEX(TongVTSX!F$3:F$1500,$Q100))))</f>
        <v/>
      </c>
      <c r="H100" s="114">
        <f ca="1">IF($R100=$S$1,INDEX(TongVTSX!$K$3:$K$1500,$Q100),IF($R100=$S$7,INDEX(TongVTSX!$H$3:$H$1500,$Q100),IF($R100=$S$2,ROUNDUP(SUMPRODUCT((TongVTSX!$C$3:$C$1500=$D100)*(TongVTSX!$E$3:$E$1500=$F100)*(TongVTSX!$K$3:$K$1500))/$U100,0),SUMPRODUCT((TongVTSX!$C$3:$C$1500=$D100)*(TongVTSX!$E$3:$E$1500=$F100)*(TongVTSX!$K$3:$K$1500)))))</f>
        <v>0</v>
      </c>
      <c r="I100" s="114"/>
      <c r="J100" s="114"/>
      <c r="K100" s="114" t="str">
        <f ca="1">IF($Q100="","",IF($R100=$S$2,INDEX(TongVTSX!M$3:M$1500,$Q100)*$U100,   INDEX(TongVTSX!M$3:M$1500,$Q100)))</f>
        <v/>
      </c>
      <c r="L100" s="92">
        <f ca="1">IF($Q100="",0, IF($R100=$S$7,$F100*$H100*$K100,IF($R100=$S$2,$H100*$K100,    IF($H100*$K100 - SUMPRODUCT((TongVTSX!$C$3:$C$1500=$D100)*(TongVTSX!$E$3:$E$1500=$F100)*(TongVTSX!$O$3:$O$1500)) &lt;=10,$H100*$K100,"PO &lt;&gt; TongVTSX"))))</f>
        <v>0</v>
      </c>
      <c r="M100" s="114">
        <f ca="1">IF($R100=$S$1,INDEX(TongVTSX!$K$3:$K$1500,$Q100),IF($R100=$S$7,INDEX(TongVTSX!$H$3:$H$1500,$Q100),IF($R100=$S$2,SUMPRODUCT((TongVTSX!$C$3:$C$1500=$D100)*(TongVTSX!$E$3:$E$1500=$F100)*(TongVTSX!$K$3:$K$1500))/$U100,SUMPRODUCT((TongVTSX!$C$3:$C$1500=$D100)*(TongVTSX!$E$3:$E$1500=$F100)*(TongVTSX!$K$3:$K$1500)))))</f>
        <v>0</v>
      </c>
      <c r="N100" s="92">
        <f ca="1">IF($Q100="",0, IF($R100=$S$7,$F100*$M100*$K100,IF($R100=$S$2,$M100*$K100,    IF($M100*$K100 - SUMPRODUCT((TongVTSX!$C$3:$C$1500=$D100)*(TongVTSX!$E$3:$E$1500=$F100)*(TongVTSX!$O$3:$O$1500)) &lt;=10,$M100*$K100,"PO &lt;&gt; TongVTSX"))))</f>
        <v>0</v>
      </c>
      <c r="O100" s="92">
        <f t="shared" ca="1" si="5"/>
        <v>0</v>
      </c>
      <c r="P100" s="1146" t="str">
        <f ca="1">IFERROR(INDEX(NVLSX!$AA$2:$AA$6756,MATCH($D100,NVLSX!$E$2:$E$6756,0)),"")</f>
        <v/>
      </c>
      <c r="Q100" s="742" t="str">
        <f ca="1">IF($R100="","",IF($R100&lt;&gt;$R99,IF(TYPE(MATCH($R100,TongVTSX!$T$3:$T$1500,0))=16,"",MATCH($R100,TongVTSX!$T$3:$T$1500,0)),IF(TYPE(MATCH($R100,OFFSET(TongVTSX!$T$3,$Q99,0):'TongVTSX'!$T$1500,0)+$Q99)=16,"",MATCH($R100,OFFSET(TongVTSX!$T$3,$Q99,0):'TongVTSX'!$T$1500,0)+$Q99)))</f>
        <v/>
      </c>
      <c r="R100" s="179" t="str">
        <f ca="1">IFERROR(IF(COUNTIF($R$3:R99,R99)&lt; INDEX($T$1:$T$7,MATCH($R99,$S$1:$S$7,0)),$R99,INDEX($S$1:$S$7,MATCH($R99,$S$1:$S$7,0)+1)),"")</f>
        <v/>
      </c>
      <c r="S100" s="181"/>
      <c r="T100" s="182"/>
      <c r="U100" s="184" t="str">
        <f ca="1">IF($R100="PR",INDEX(NVLSX!$U$2:$U$6941,MATCH($D100,NVLSX!$E$2:$E$6941,0)),"")</f>
        <v/>
      </c>
      <c r="V100" s="184" t="str">
        <f ca="1">IF($R100="PR",INDEX(NVLSX!$S$2:$S$6941,MATCH($D100,NVLSX!$E$2:$E$6941,0))*1000,"")</f>
        <v/>
      </c>
      <c r="W100" s="776" t="str">
        <f ca="1">IF($R100="PR",INDEX(NVLSX!$S$2:$S$6941,MATCH($D100,NVLSX!$E$2:$E$6941,0))*INDEX(NVLSX!$T$2:$T$6941,MATCH($D100,NVLSX!$E$2:$E$6941,0)),"")</f>
        <v/>
      </c>
      <c r="X100" s="776">
        <f t="shared" ca="1" si="4"/>
        <v>0</v>
      </c>
      <c r="Y100" s="982" t="str">
        <f ca="1">IFERROR(INDEX(NVLSX!$X$2:$X$4655,MATCH($D100,NVLSX!$E$2:$E$4655,0)),"")</f>
        <v/>
      </c>
    </row>
    <row r="101" spans="1:25">
      <c r="A101" s="19" t="str">
        <f ca="1">IF($Q101="","",MAX($A$2:A100)+1)</f>
        <v/>
      </c>
      <c r="B101" s="1146" t="str">
        <f ca="1">IFERROR(INDEX(NVLSX!$Y$2:$Y$6756,MATCH($D101,NVLSX!$E$2:$E$6756,0)),"")</f>
        <v/>
      </c>
      <c r="C101" s="1146" t="str">
        <f ca="1">IFERROR(INDEX(NVLSX!$Z$2:$Z$6756,MATCH($D101,NVLSX!$E$2:$E$6756,0)),"")</f>
        <v/>
      </c>
      <c r="D101" s="23" t="str">
        <f ca="1">IF($Q101="","",INDEX(TongVTSX!C$3:C$1500,$Q101))</f>
        <v/>
      </c>
      <c r="E101" s="729" t="str">
        <f ca="1">IF($Q101="","",INDEX(TongVTSX!D$3:D$1500,$Q101) &amp; IF(OR($R101=$S$1,$R101=$S$7)," (" &amp; INDEX(TongVTSX!A$3:A$1500,$Q101) &amp; ")",""))</f>
        <v/>
      </c>
      <c r="F101" s="745" t="str">
        <f ca="1">IF($Q101="","",IF($R101=$S$7,INDEX(TongVTSX!$G$3:$G$1500,$Q101),INDEX(TongVTSX!$E$3:$E$1500,$Q101)))</f>
        <v/>
      </c>
      <c r="G101" s="24" t="str">
        <f ca="1">IF($Q101="","",IF($R101=$S$1,"mm",IF($R101=$S$2,"Thanh",INDEX(TongVTSX!F$3:F$1500,$Q101))))</f>
        <v/>
      </c>
      <c r="H101" s="114">
        <f ca="1">IF($R101=$S$1,INDEX(TongVTSX!$K$3:$K$1500,$Q101),IF($R101=$S$7,INDEX(TongVTSX!$H$3:$H$1500,$Q101),IF($R101=$S$2,ROUNDUP(SUMPRODUCT((TongVTSX!$C$3:$C$1500=$D101)*(TongVTSX!$E$3:$E$1500=$F101)*(TongVTSX!$K$3:$K$1500))/$U101,0),SUMPRODUCT((TongVTSX!$C$3:$C$1500=$D101)*(TongVTSX!$E$3:$E$1500=$F101)*(TongVTSX!$K$3:$K$1500)))))</f>
        <v>0</v>
      </c>
      <c r="I101" s="114"/>
      <c r="J101" s="114"/>
      <c r="K101" s="114" t="str">
        <f ca="1">IF($Q101="","",IF($R101=$S$2,INDEX(TongVTSX!M$3:M$1500,$Q101)*$U101,   INDEX(TongVTSX!M$3:M$1500,$Q101)))</f>
        <v/>
      </c>
      <c r="L101" s="92">
        <f ca="1">IF($Q101="",0, IF($R101=$S$7,$F101*$H101*$K101,IF($R101=$S$2,$H101*$K101,    IF($H101*$K101 - SUMPRODUCT((TongVTSX!$C$3:$C$1500=$D101)*(TongVTSX!$E$3:$E$1500=$F101)*(TongVTSX!$O$3:$O$1500)) &lt;=10,$H101*$K101,"PO &lt;&gt; TongVTSX"))))</f>
        <v>0</v>
      </c>
      <c r="M101" s="114">
        <f ca="1">IF($R101=$S$1,INDEX(TongVTSX!$K$3:$K$1500,$Q101),IF($R101=$S$7,INDEX(TongVTSX!$H$3:$H$1500,$Q101),IF($R101=$S$2,SUMPRODUCT((TongVTSX!$C$3:$C$1500=$D101)*(TongVTSX!$E$3:$E$1500=$F101)*(TongVTSX!$K$3:$K$1500))/$U101,SUMPRODUCT((TongVTSX!$C$3:$C$1500=$D101)*(TongVTSX!$E$3:$E$1500=$F101)*(TongVTSX!$K$3:$K$1500)))))</f>
        <v>0</v>
      </c>
      <c r="N101" s="92">
        <f ca="1">IF($Q101="",0, IF($R101=$S$7,$F101*$M101*$K101,IF($R101=$S$2,$M101*$K101,    IF($M101*$K101 - SUMPRODUCT((TongVTSX!$C$3:$C$1500=$D101)*(TongVTSX!$E$3:$E$1500=$F101)*(TongVTSX!$O$3:$O$1500)) &lt;=10,$M101*$K101,"PO &lt;&gt; TongVTSX"))))</f>
        <v>0</v>
      </c>
      <c r="O101" s="92">
        <f t="shared" ca="1" si="5"/>
        <v>0</v>
      </c>
      <c r="P101" s="1146" t="str">
        <f ca="1">IFERROR(INDEX(NVLSX!$AA$2:$AA$6756,MATCH($D101,NVLSX!$E$2:$E$6756,0)),"")</f>
        <v/>
      </c>
      <c r="Q101" s="742" t="str">
        <f ca="1">IF($R101="","",IF($R101&lt;&gt;$R100,IF(TYPE(MATCH($R101,TongVTSX!$T$3:$T$1500,0))=16,"",MATCH($R101,TongVTSX!$T$3:$T$1500,0)),IF(TYPE(MATCH($R101,OFFSET(TongVTSX!$T$3,$Q100,0):'TongVTSX'!$T$1500,0)+$Q100)=16,"",MATCH($R101,OFFSET(TongVTSX!$T$3,$Q100,0):'TongVTSX'!$T$1500,0)+$Q100)))</f>
        <v/>
      </c>
      <c r="R101" s="179" t="str">
        <f ca="1">IFERROR(IF(COUNTIF($R$3:R100,R100)&lt; INDEX($T$1:$T$7,MATCH($R100,$S$1:$S$7,0)),$R100,INDEX($S$1:$S$7,MATCH($R100,$S$1:$S$7,0)+1)),"")</f>
        <v/>
      </c>
      <c r="S101" s="181"/>
      <c r="T101" s="182"/>
      <c r="U101" s="184" t="str">
        <f ca="1">IF($R101="PR",INDEX(NVLSX!$U$2:$U$6941,MATCH($D101,NVLSX!$E$2:$E$6941,0)),"")</f>
        <v/>
      </c>
      <c r="V101" s="184" t="str">
        <f ca="1">IF($R101="PR",INDEX(NVLSX!$S$2:$S$6941,MATCH($D101,NVLSX!$E$2:$E$6941,0))*1000,"")</f>
        <v/>
      </c>
      <c r="W101" s="776" t="str">
        <f ca="1">IF($R101="PR",INDEX(NVLSX!$S$2:$S$6941,MATCH($D101,NVLSX!$E$2:$E$6941,0))*INDEX(NVLSX!$T$2:$T$6941,MATCH($D101,NVLSX!$E$2:$E$6941,0)),"")</f>
        <v/>
      </c>
      <c r="X101" s="776">
        <f t="shared" ca="1" si="4"/>
        <v>0</v>
      </c>
      <c r="Y101" s="982" t="str">
        <f ca="1">IFERROR(INDEX(NVLSX!$X$2:$X$4655,MATCH($D101,NVLSX!$E$2:$E$4655,0)),"")</f>
        <v/>
      </c>
    </row>
    <row r="102" spans="1:25">
      <c r="A102" s="19" t="str">
        <f ca="1">IF($Q102="","",MAX($A$2:A101)+1)</f>
        <v/>
      </c>
      <c r="B102" s="1146" t="str">
        <f ca="1">IFERROR(INDEX(NVLSX!$Y$2:$Y$6756,MATCH($D102,NVLSX!$E$2:$E$6756,0)),"")</f>
        <v/>
      </c>
      <c r="C102" s="1146" t="str">
        <f ca="1">IFERROR(INDEX(NVLSX!$Z$2:$Z$6756,MATCH($D102,NVLSX!$E$2:$E$6756,0)),"")</f>
        <v/>
      </c>
      <c r="D102" s="23" t="str">
        <f ca="1">IF($Q102="","",INDEX(TongVTSX!C$3:C$1500,$Q102))</f>
        <v/>
      </c>
      <c r="E102" s="729" t="str">
        <f ca="1">IF($Q102="","",INDEX(TongVTSX!D$3:D$1500,$Q102) &amp; IF(OR($R102=$S$1,$R102=$S$7)," (" &amp; INDEX(TongVTSX!A$3:A$1500,$Q102) &amp; ")",""))</f>
        <v/>
      </c>
      <c r="F102" s="745" t="str">
        <f ca="1">IF($Q102="","",IF($R102=$S$7,INDEX(TongVTSX!$G$3:$G$1500,$Q102),INDEX(TongVTSX!$E$3:$E$1500,$Q102)))</f>
        <v/>
      </c>
      <c r="G102" s="24" t="str">
        <f ca="1">IF($Q102="","",IF($R102=$S$1,"mm",IF($R102=$S$2,"Thanh",INDEX(TongVTSX!F$3:F$1500,$Q102))))</f>
        <v/>
      </c>
      <c r="H102" s="114">
        <f ca="1">IF($R102=$S$1,INDEX(TongVTSX!$K$3:$K$1500,$Q102),IF($R102=$S$7,INDEX(TongVTSX!$H$3:$H$1500,$Q102),IF($R102=$S$2,ROUNDUP(SUMPRODUCT((TongVTSX!$C$3:$C$1500=$D102)*(TongVTSX!$E$3:$E$1500=$F102)*(TongVTSX!$K$3:$K$1500))/$U102,0),SUMPRODUCT((TongVTSX!$C$3:$C$1500=$D102)*(TongVTSX!$E$3:$E$1500=$F102)*(TongVTSX!$K$3:$K$1500)))))</f>
        <v>0</v>
      </c>
      <c r="I102" s="114"/>
      <c r="J102" s="114"/>
      <c r="K102" s="114" t="str">
        <f ca="1">IF($Q102="","",IF($R102=$S$2,INDEX(TongVTSX!M$3:M$1500,$Q102)*$U102,   INDEX(TongVTSX!M$3:M$1500,$Q102)))</f>
        <v/>
      </c>
      <c r="L102" s="92">
        <f ca="1">IF($Q102="",0, IF($R102=$S$7,$F102*$H102*$K102,IF($R102=$S$2,$H102*$K102,    IF($H102*$K102 - SUMPRODUCT((TongVTSX!$C$3:$C$1500=$D102)*(TongVTSX!$E$3:$E$1500=$F102)*(TongVTSX!$O$3:$O$1500)) &lt;=10,$H102*$K102,"PO &lt;&gt; TongVTSX"))))</f>
        <v>0</v>
      </c>
      <c r="M102" s="114">
        <f ca="1">IF($R102=$S$1,INDEX(TongVTSX!$K$3:$K$1500,$Q102),IF($R102=$S$7,INDEX(TongVTSX!$H$3:$H$1500,$Q102),IF($R102=$S$2,SUMPRODUCT((TongVTSX!$C$3:$C$1500=$D102)*(TongVTSX!$E$3:$E$1500=$F102)*(TongVTSX!$K$3:$K$1500))/$U102,SUMPRODUCT((TongVTSX!$C$3:$C$1500=$D102)*(TongVTSX!$E$3:$E$1500=$F102)*(TongVTSX!$K$3:$K$1500)))))</f>
        <v>0</v>
      </c>
      <c r="N102" s="92">
        <f ca="1">IF($Q102="",0, IF($R102=$S$7,$F102*$M102*$K102,IF($R102=$S$2,$M102*$K102,    IF($M102*$K102 - SUMPRODUCT((TongVTSX!$C$3:$C$1500=$D102)*(TongVTSX!$E$3:$E$1500=$F102)*(TongVTSX!$O$3:$O$1500)) &lt;=10,$M102*$K102,"PO &lt;&gt; TongVTSX"))))</f>
        <v>0</v>
      </c>
      <c r="O102" s="92">
        <f t="shared" ca="1" si="5"/>
        <v>0</v>
      </c>
      <c r="P102" s="1146" t="str">
        <f ca="1">IFERROR(INDEX(NVLSX!$AA$2:$AA$6756,MATCH($D102,NVLSX!$E$2:$E$6756,0)),"")</f>
        <v/>
      </c>
      <c r="Q102" s="742" t="str">
        <f ca="1">IF($R102="","",IF($R102&lt;&gt;$R101,IF(TYPE(MATCH($R102,TongVTSX!$T$3:$T$1500,0))=16,"",MATCH($R102,TongVTSX!$T$3:$T$1500,0)),IF(TYPE(MATCH($R102,OFFSET(TongVTSX!$T$3,$Q101,0):'TongVTSX'!$T$1500,0)+$Q101)=16,"",MATCH($R102,OFFSET(TongVTSX!$T$3,$Q101,0):'TongVTSX'!$T$1500,0)+$Q101)))</f>
        <v/>
      </c>
      <c r="R102" s="179" t="str">
        <f ca="1">IFERROR(IF(COUNTIF($R$3:R101,R101)&lt; INDEX($T$1:$T$7,MATCH($R101,$S$1:$S$7,0)),$R101,INDEX($S$1:$S$7,MATCH($R101,$S$1:$S$7,0)+1)),"")</f>
        <v/>
      </c>
      <c r="S102" s="181"/>
      <c r="T102" s="182"/>
      <c r="U102" s="184" t="str">
        <f ca="1">IF($R102="PR",INDEX(NVLSX!$U$2:$U$6941,MATCH($D102,NVLSX!$E$2:$E$6941,0)),"")</f>
        <v/>
      </c>
      <c r="V102" s="184" t="str">
        <f ca="1">IF($R102="PR",INDEX(NVLSX!$S$2:$S$6941,MATCH($D102,NVLSX!$E$2:$E$6941,0))*1000,"")</f>
        <v/>
      </c>
      <c r="W102" s="776" t="str">
        <f ca="1">IF($R102="PR",INDEX(NVLSX!$S$2:$S$6941,MATCH($D102,NVLSX!$E$2:$E$6941,0))*INDEX(NVLSX!$T$2:$T$6941,MATCH($D102,NVLSX!$E$2:$E$6941,0)),"")</f>
        <v/>
      </c>
      <c r="X102" s="776">
        <f t="shared" ca="1" si="4"/>
        <v>0</v>
      </c>
      <c r="Y102" s="982" t="str">
        <f ca="1">IFERROR(INDEX(NVLSX!$X$2:$X$4655,MATCH($D102,NVLSX!$E$2:$E$4655,0)),"")</f>
        <v/>
      </c>
    </row>
    <row r="103" spans="1:25">
      <c r="A103" s="19" t="str">
        <f ca="1">IF($Q103="","",MAX($A$2:A102)+1)</f>
        <v/>
      </c>
      <c r="B103" s="1146" t="str">
        <f ca="1">IFERROR(INDEX(NVLSX!$Y$2:$Y$6756,MATCH($D103,NVLSX!$E$2:$E$6756,0)),"")</f>
        <v/>
      </c>
      <c r="C103" s="1146" t="str">
        <f ca="1">IFERROR(INDEX(NVLSX!$Z$2:$Z$6756,MATCH($D103,NVLSX!$E$2:$E$6756,0)),"")</f>
        <v/>
      </c>
      <c r="D103" s="23" t="str">
        <f ca="1">IF($Q103="","",INDEX(TongVTSX!C$3:C$1500,$Q103))</f>
        <v/>
      </c>
      <c r="E103" s="729" t="str">
        <f ca="1">IF($Q103="","",INDEX(TongVTSX!D$3:D$1500,$Q103) &amp; IF(OR($R103=$S$1,$R103=$S$7)," (" &amp; INDEX(TongVTSX!A$3:A$1500,$Q103) &amp; ")",""))</f>
        <v/>
      </c>
      <c r="F103" s="745" t="str">
        <f ca="1">IF($Q103="","",IF($R103=$S$7,INDEX(TongVTSX!$G$3:$G$1500,$Q103),INDEX(TongVTSX!$E$3:$E$1500,$Q103)))</f>
        <v/>
      </c>
      <c r="G103" s="24" t="str">
        <f ca="1">IF($Q103="","",IF($R103=$S$1,"mm",IF($R103=$S$2,"Thanh",INDEX(TongVTSX!F$3:F$1500,$Q103))))</f>
        <v/>
      </c>
      <c r="H103" s="114">
        <f ca="1">IF($R103=$S$1,INDEX(TongVTSX!$K$3:$K$1500,$Q103),IF($R103=$S$7,INDEX(TongVTSX!$H$3:$H$1500,$Q103),IF($R103=$S$2,ROUNDUP(SUMPRODUCT((TongVTSX!$C$3:$C$1500=$D103)*(TongVTSX!$E$3:$E$1500=$F103)*(TongVTSX!$K$3:$K$1500))/$U103,0),SUMPRODUCT((TongVTSX!$C$3:$C$1500=$D103)*(TongVTSX!$E$3:$E$1500=$F103)*(TongVTSX!$K$3:$K$1500)))))</f>
        <v>0</v>
      </c>
      <c r="I103" s="114"/>
      <c r="J103" s="114"/>
      <c r="K103" s="114" t="str">
        <f ca="1">IF($Q103="","",IF($R103=$S$2,INDEX(TongVTSX!M$3:M$1500,$Q103)*$U103,   INDEX(TongVTSX!M$3:M$1500,$Q103)))</f>
        <v/>
      </c>
      <c r="L103" s="92">
        <f ca="1">IF($Q103="",0, IF($R103=$S$7,$F103*$H103*$K103,IF($R103=$S$2,$H103*$K103,    IF($H103*$K103 - SUMPRODUCT((TongVTSX!$C$3:$C$1500=$D103)*(TongVTSX!$E$3:$E$1500=$F103)*(TongVTSX!$O$3:$O$1500)) &lt;=10,$H103*$K103,"PO &lt;&gt; TongVTSX"))))</f>
        <v>0</v>
      </c>
      <c r="M103" s="114">
        <f ca="1">IF($R103=$S$1,INDEX(TongVTSX!$K$3:$K$1500,$Q103),IF($R103=$S$7,INDEX(TongVTSX!$H$3:$H$1500,$Q103),IF($R103=$S$2,SUMPRODUCT((TongVTSX!$C$3:$C$1500=$D103)*(TongVTSX!$E$3:$E$1500=$F103)*(TongVTSX!$K$3:$K$1500))/$U103,SUMPRODUCT((TongVTSX!$C$3:$C$1500=$D103)*(TongVTSX!$E$3:$E$1500=$F103)*(TongVTSX!$K$3:$K$1500)))))</f>
        <v>0</v>
      </c>
      <c r="N103" s="92">
        <f ca="1">IF($Q103="",0, IF($R103=$S$7,$F103*$M103*$K103,IF($R103=$S$2,$M103*$K103,    IF($M103*$K103 - SUMPRODUCT((TongVTSX!$C$3:$C$1500=$D103)*(TongVTSX!$E$3:$E$1500=$F103)*(TongVTSX!$O$3:$O$1500)) &lt;=10,$M103*$K103,"PO &lt;&gt; TongVTSX"))))</f>
        <v>0</v>
      </c>
      <c r="O103" s="92">
        <f t="shared" ca="1" si="5"/>
        <v>0</v>
      </c>
      <c r="P103" s="1146" t="str">
        <f ca="1">IFERROR(INDEX(NVLSX!$AA$2:$AA$6756,MATCH($D103,NVLSX!$E$2:$E$6756,0)),"")</f>
        <v/>
      </c>
      <c r="Q103" s="742" t="str">
        <f ca="1">IF($R103="","",IF($R103&lt;&gt;$R102,IF(TYPE(MATCH($R103,TongVTSX!$T$3:$T$1500,0))=16,"",MATCH($R103,TongVTSX!$T$3:$T$1500,0)),IF(TYPE(MATCH($R103,OFFSET(TongVTSX!$T$3,$Q102,0):'TongVTSX'!$T$1500,0)+$Q102)=16,"",MATCH($R103,OFFSET(TongVTSX!$T$3,$Q102,0):'TongVTSX'!$T$1500,0)+$Q102)))</f>
        <v/>
      </c>
      <c r="R103" s="179" t="str">
        <f ca="1">IFERROR(IF(COUNTIF($R$3:R102,R102)&lt; INDEX($T$1:$T$7,MATCH($R102,$S$1:$S$7,0)),$R102,INDEX($S$1:$S$7,MATCH($R102,$S$1:$S$7,0)+1)),"")</f>
        <v/>
      </c>
      <c r="S103" s="181"/>
      <c r="T103" s="182"/>
      <c r="U103" s="184" t="str">
        <f ca="1">IF($R103="PR",INDEX(NVLSX!$U$2:$U$6941,MATCH($D103,NVLSX!$E$2:$E$6941,0)),"")</f>
        <v/>
      </c>
      <c r="V103" s="184" t="str">
        <f ca="1">IF($R103="PR",INDEX(NVLSX!$S$2:$S$6941,MATCH($D103,NVLSX!$E$2:$E$6941,0))*1000,"")</f>
        <v/>
      </c>
      <c r="W103" s="776" t="str">
        <f ca="1">IF($R103="PR",INDEX(NVLSX!$S$2:$S$6941,MATCH($D103,NVLSX!$E$2:$E$6941,0))*INDEX(NVLSX!$T$2:$T$6941,MATCH($D103,NVLSX!$E$2:$E$6941,0)),"")</f>
        <v/>
      </c>
      <c r="X103" s="776">
        <f t="shared" ca="1" si="4"/>
        <v>0</v>
      </c>
      <c r="Y103" s="982" t="str">
        <f ca="1">IFERROR(INDEX(NVLSX!$X$2:$X$4655,MATCH($D103,NVLSX!$E$2:$E$4655,0)),"")</f>
        <v/>
      </c>
    </row>
    <row r="104" spans="1:25">
      <c r="A104" s="19" t="str">
        <f ca="1">IF($Q104="","",MAX($A$2:A103)+1)</f>
        <v/>
      </c>
      <c r="B104" s="1146" t="str">
        <f ca="1">IFERROR(INDEX(NVLSX!$Y$2:$Y$6756,MATCH($D104,NVLSX!$E$2:$E$6756,0)),"")</f>
        <v/>
      </c>
      <c r="C104" s="1146" t="str">
        <f ca="1">IFERROR(INDEX(NVLSX!$Z$2:$Z$6756,MATCH($D104,NVLSX!$E$2:$E$6756,0)),"")</f>
        <v/>
      </c>
      <c r="D104" s="23" t="str">
        <f ca="1">IF($Q104="","",INDEX(TongVTSX!C$3:C$1500,$Q104))</f>
        <v/>
      </c>
      <c r="E104" s="729" t="str">
        <f ca="1">IF($Q104="","",INDEX(TongVTSX!D$3:D$1500,$Q104) &amp; IF(OR($R104=$S$1,$R104=$S$7)," (" &amp; INDEX(TongVTSX!A$3:A$1500,$Q104) &amp; ")",""))</f>
        <v/>
      </c>
      <c r="F104" s="745" t="str">
        <f ca="1">IF($Q104="","",IF($R104=$S$7,INDEX(TongVTSX!$G$3:$G$1500,$Q104),INDEX(TongVTSX!$E$3:$E$1500,$Q104)))</f>
        <v/>
      </c>
      <c r="G104" s="24" t="str">
        <f ca="1">IF($Q104="","",IF($R104=$S$1,"mm",IF($R104=$S$2,"Thanh",INDEX(TongVTSX!F$3:F$1500,$Q104))))</f>
        <v/>
      </c>
      <c r="H104" s="114">
        <f ca="1">IF($R104=$S$1,INDEX(TongVTSX!$K$3:$K$1500,$Q104),IF($R104=$S$7,INDEX(TongVTSX!$H$3:$H$1500,$Q104),IF($R104=$S$2,ROUNDUP(SUMPRODUCT((TongVTSX!$C$3:$C$1500=$D104)*(TongVTSX!$E$3:$E$1500=$F104)*(TongVTSX!$K$3:$K$1500))/$U104,0),SUMPRODUCT((TongVTSX!$C$3:$C$1500=$D104)*(TongVTSX!$E$3:$E$1500=$F104)*(TongVTSX!$K$3:$K$1500)))))</f>
        <v>0</v>
      </c>
      <c r="I104" s="114"/>
      <c r="J104" s="114"/>
      <c r="K104" s="114" t="str">
        <f ca="1">IF($Q104="","",IF($R104=$S$2,INDEX(TongVTSX!M$3:M$1500,$Q104)*$U104,   INDEX(TongVTSX!M$3:M$1500,$Q104)))</f>
        <v/>
      </c>
      <c r="L104" s="92">
        <f ca="1">IF($Q104="",0, IF($R104=$S$7,$F104*$H104*$K104,IF($R104=$S$2,$H104*$K104,    IF($H104*$K104 - SUMPRODUCT((TongVTSX!$C$3:$C$1500=$D104)*(TongVTSX!$E$3:$E$1500=$F104)*(TongVTSX!$O$3:$O$1500)) &lt;=10,$H104*$K104,"PO &lt;&gt; TongVTSX"))))</f>
        <v>0</v>
      </c>
      <c r="M104" s="114">
        <f ca="1">IF($R104=$S$1,INDEX(TongVTSX!$K$3:$K$1500,$Q104),IF($R104=$S$7,INDEX(TongVTSX!$H$3:$H$1500,$Q104),IF($R104=$S$2,SUMPRODUCT((TongVTSX!$C$3:$C$1500=$D104)*(TongVTSX!$E$3:$E$1500=$F104)*(TongVTSX!$K$3:$K$1500))/$U104,SUMPRODUCT((TongVTSX!$C$3:$C$1500=$D104)*(TongVTSX!$E$3:$E$1500=$F104)*(TongVTSX!$K$3:$K$1500)))))</f>
        <v>0</v>
      </c>
      <c r="N104" s="92">
        <f ca="1">IF($Q104="",0, IF($R104=$S$7,$F104*$M104*$K104,IF($R104=$S$2,$M104*$K104,    IF($M104*$K104 - SUMPRODUCT((TongVTSX!$C$3:$C$1500=$D104)*(TongVTSX!$E$3:$E$1500=$F104)*(TongVTSX!$O$3:$O$1500)) &lt;=10,$M104*$K104,"PO &lt;&gt; TongVTSX"))))</f>
        <v>0</v>
      </c>
      <c r="O104" s="92">
        <f t="shared" ca="1" si="5"/>
        <v>0</v>
      </c>
      <c r="P104" s="1146" t="str">
        <f ca="1">IFERROR(INDEX(NVLSX!$AA$2:$AA$6756,MATCH($D104,NVLSX!$E$2:$E$6756,0)),"")</f>
        <v/>
      </c>
      <c r="Q104" s="742" t="str">
        <f ca="1">IF($R104="","",IF($R104&lt;&gt;$R103,IF(TYPE(MATCH($R104,TongVTSX!$T$3:$T$1500,0))=16,"",MATCH($R104,TongVTSX!$T$3:$T$1500,0)),IF(TYPE(MATCH($R104,OFFSET(TongVTSX!$T$3,$Q103,0):'TongVTSX'!$T$1500,0)+$Q103)=16,"",MATCH($R104,OFFSET(TongVTSX!$T$3,$Q103,0):'TongVTSX'!$T$1500,0)+$Q103)))</f>
        <v/>
      </c>
      <c r="R104" s="179" t="str">
        <f ca="1">IFERROR(IF(COUNTIF($R$3:R103,R103)&lt; INDEX($T$1:$T$7,MATCH($R103,$S$1:$S$7,0)),$R103,INDEX($S$1:$S$7,MATCH($R103,$S$1:$S$7,0)+1)),"")</f>
        <v/>
      </c>
      <c r="S104" s="181"/>
      <c r="T104" s="182"/>
      <c r="U104" s="184" t="str">
        <f ca="1">IF($R104="PR",INDEX(NVLSX!$U$2:$U$6941,MATCH($D104,NVLSX!$E$2:$E$6941,0)),"")</f>
        <v/>
      </c>
      <c r="V104" s="184" t="str">
        <f ca="1">IF($R104="PR",INDEX(NVLSX!$S$2:$S$6941,MATCH($D104,NVLSX!$E$2:$E$6941,0))*1000,"")</f>
        <v/>
      </c>
      <c r="W104" s="776" t="str">
        <f ca="1">IF($R104="PR",INDEX(NVLSX!$S$2:$S$6941,MATCH($D104,NVLSX!$E$2:$E$6941,0))*INDEX(NVLSX!$T$2:$T$6941,MATCH($D104,NVLSX!$E$2:$E$6941,0)),"")</f>
        <v/>
      </c>
      <c r="X104" s="776">
        <f t="shared" ca="1" si="4"/>
        <v>0</v>
      </c>
      <c r="Y104" s="982" t="str">
        <f ca="1">IFERROR(INDEX(NVLSX!$X$2:$X$4655,MATCH($D104,NVLSX!$E$2:$E$4655,0)),"")</f>
        <v/>
      </c>
    </row>
    <row r="105" spans="1:25">
      <c r="A105" s="19" t="str">
        <f ca="1">IF($Q105="","",MAX($A$2:A104)+1)</f>
        <v/>
      </c>
      <c r="B105" s="1146" t="str">
        <f ca="1">IFERROR(INDEX(NVLSX!$Y$2:$Y$6756,MATCH($D105,NVLSX!$E$2:$E$6756,0)),"")</f>
        <v/>
      </c>
      <c r="C105" s="1146" t="str">
        <f ca="1">IFERROR(INDEX(NVLSX!$Z$2:$Z$6756,MATCH($D105,NVLSX!$E$2:$E$6756,0)),"")</f>
        <v/>
      </c>
      <c r="D105" s="23" t="str">
        <f ca="1">IF($Q105="","",INDEX(TongVTSX!C$3:C$1500,$Q105))</f>
        <v/>
      </c>
      <c r="E105" s="729" t="str">
        <f ca="1">IF($Q105="","",INDEX(TongVTSX!D$3:D$1500,$Q105) &amp; IF(OR($R105=$S$1,$R105=$S$7)," (" &amp; INDEX(TongVTSX!A$3:A$1500,$Q105) &amp; ")",""))</f>
        <v/>
      </c>
      <c r="F105" s="745" t="str">
        <f ca="1">IF($Q105="","",IF($R105=$S$7,INDEX(TongVTSX!$G$3:$G$1500,$Q105),INDEX(TongVTSX!$E$3:$E$1500,$Q105)))</f>
        <v/>
      </c>
      <c r="G105" s="24" t="str">
        <f ca="1">IF($Q105="","",IF($R105=$S$1,"mm",IF($R105=$S$2,"Thanh",INDEX(TongVTSX!F$3:F$1500,$Q105))))</f>
        <v/>
      </c>
      <c r="H105" s="114">
        <f ca="1">IF($R105=$S$1,INDEX(TongVTSX!$K$3:$K$1500,$Q105),IF($R105=$S$7,INDEX(TongVTSX!$H$3:$H$1500,$Q105),IF($R105=$S$2,ROUNDUP(SUMPRODUCT((TongVTSX!$C$3:$C$1500=$D105)*(TongVTSX!$E$3:$E$1500=$F105)*(TongVTSX!$K$3:$K$1500))/$U105,0),SUMPRODUCT((TongVTSX!$C$3:$C$1500=$D105)*(TongVTSX!$E$3:$E$1500=$F105)*(TongVTSX!$K$3:$K$1500)))))</f>
        <v>0</v>
      </c>
      <c r="I105" s="114"/>
      <c r="J105" s="114"/>
      <c r="K105" s="114" t="str">
        <f ca="1">IF($Q105="","",IF($R105=$S$2,INDEX(TongVTSX!M$3:M$1500,$Q105)*$U105,   INDEX(TongVTSX!M$3:M$1500,$Q105)))</f>
        <v/>
      </c>
      <c r="L105" s="92">
        <f ca="1">IF($Q105="",0, IF($R105=$S$7,$F105*$H105*$K105,IF($R105=$S$2,$H105*$K105,    IF($H105*$K105 - SUMPRODUCT((TongVTSX!$C$3:$C$1500=$D105)*(TongVTSX!$E$3:$E$1500=$F105)*(TongVTSX!$O$3:$O$1500)) &lt;=10,$H105*$K105,"PO &lt;&gt; TongVTSX"))))</f>
        <v>0</v>
      </c>
      <c r="M105" s="114">
        <f ca="1">IF($R105=$S$1,INDEX(TongVTSX!$K$3:$K$1500,$Q105),IF($R105=$S$7,INDEX(TongVTSX!$H$3:$H$1500,$Q105),IF($R105=$S$2,SUMPRODUCT((TongVTSX!$C$3:$C$1500=$D105)*(TongVTSX!$E$3:$E$1500=$F105)*(TongVTSX!$K$3:$K$1500))/$U105,SUMPRODUCT((TongVTSX!$C$3:$C$1500=$D105)*(TongVTSX!$E$3:$E$1500=$F105)*(TongVTSX!$K$3:$K$1500)))))</f>
        <v>0</v>
      </c>
      <c r="N105" s="92">
        <f ca="1">IF($Q105="",0, IF($R105=$S$7,$F105*$M105*$K105,IF($R105=$S$2,$M105*$K105,    IF($M105*$K105 - SUMPRODUCT((TongVTSX!$C$3:$C$1500=$D105)*(TongVTSX!$E$3:$E$1500=$F105)*(TongVTSX!$O$3:$O$1500)) &lt;=10,$M105*$K105,"PO &lt;&gt; TongVTSX"))))</f>
        <v>0</v>
      </c>
      <c r="O105" s="92">
        <f t="shared" ca="1" si="5"/>
        <v>0</v>
      </c>
      <c r="P105" s="1146" t="str">
        <f ca="1">IFERROR(INDEX(NVLSX!$AA$2:$AA$6756,MATCH($D105,NVLSX!$E$2:$E$6756,0)),"")</f>
        <v/>
      </c>
      <c r="Q105" s="742" t="str">
        <f ca="1">IF($R105="","",IF($R105&lt;&gt;$R104,IF(TYPE(MATCH($R105,TongVTSX!$T$3:$T$1500,0))=16,"",MATCH($R105,TongVTSX!$T$3:$T$1500,0)),IF(TYPE(MATCH($R105,OFFSET(TongVTSX!$T$3,$Q104,0):'TongVTSX'!$T$1500,0)+$Q104)=16,"",MATCH($R105,OFFSET(TongVTSX!$T$3,$Q104,0):'TongVTSX'!$T$1500,0)+$Q104)))</f>
        <v/>
      </c>
      <c r="R105" s="179" t="str">
        <f ca="1">IFERROR(IF(COUNTIF($R$3:R104,R104)&lt; INDEX($T$1:$T$7,MATCH($R104,$S$1:$S$7,0)),$R104,INDEX($S$1:$S$7,MATCH($R104,$S$1:$S$7,0)+1)),"")</f>
        <v/>
      </c>
      <c r="S105" s="181"/>
      <c r="T105" s="182"/>
      <c r="U105" s="184" t="str">
        <f ca="1">IF($R105="PR",INDEX(NVLSX!$U$2:$U$6941,MATCH($D105,NVLSX!$E$2:$E$6941,0)),"")</f>
        <v/>
      </c>
      <c r="V105" s="184" t="str">
        <f ca="1">IF($R105="PR",INDEX(NVLSX!$S$2:$S$6941,MATCH($D105,NVLSX!$E$2:$E$6941,0))*1000,"")</f>
        <v/>
      </c>
      <c r="W105" s="776" t="str">
        <f ca="1">IF($R105="PR",INDEX(NVLSX!$S$2:$S$6941,MATCH($D105,NVLSX!$E$2:$E$6941,0))*INDEX(NVLSX!$T$2:$T$6941,MATCH($D105,NVLSX!$E$2:$E$6941,0)),"")</f>
        <v/>
      </c>
      <c r="X105" s="776">
        <f t="shared" ca="1" si="4"/>
        <v>0</v>
      </c>
      <c r="Y105" s="982" t="str">
        <f ca="1">IFERROR(INDEX(NVLSX!$X$2:$X$4655,MATCH($D105,NVLSX!$E$2:$E$4655,0)),"")</f>
        <v/>
      </c>
    </row>
    <row r="106" spans="1:25">
      <c r="A106" s="19" t="str">
        <f ca="1">IF($Q106="","",MAX($A$2:A105)+1)</f>
        <v/>
      </c>
      <c r="B106" s="1146" t="str">
        <f ca="1">IFERROR(INDEX(NVLSX!$Y$2:$Y$6756,MATCH($D106,NVLSX!$E$2:$E$6756,0)),"")</f>
        <v/>
      </c>
      <c r="C106" s="1146" t="str">
        <f ca="1">IFERROR(INDEX(NVLSX!$Z$2:$Z$6756,MATCH($D106,NVLSX!$E$2:$E$6756,0)),"")</f>
        <v/>
      </c>
      <c r="D106" s="23" t="str">
        <f ca="1">IF($Q106="","",INDEX(TongVTSX!C$3:C$1500,$Q106))</f>
        <v/>
      </c>
      <c r="E106" s="729" t="str">
        <f ca="1">IF($Q106="","",INDEX(TongVTSX!D$3:D$1500,$Q106) &amp; IF(OR($R106=$S$1,$R106=$S$7)," (" &amp; INDEX(TongVTSX!A$3:A$1500,$Q106) &amp; ")",""))</f>
        <v/>
      </c>
      <c r="F106" s="745" t="str">
        <f ca="1">IF($Q106="","",IF($R106=$S$7,INDEX(TongVTSX!$G$3:$G$1500,$Q106),INDEX(TongVTSX!$E$3:$E$1500,$Q106)))</f>
        <v/>
      </c>
      <c r="G106" s="24" t="str">
        <f ca="1">IF($Q106="","",IF($R106=$S$1,"mm",IF($R106=$S$2,"Thanh",INDEX(TongVTSX!F$3:F$1500,$Q106))))</f>
        <v/>
      </c>
      <c r="H106" s="114">
        <f ca="1">IF($R106=$S$1,INDEX(TongVTSX!$K$3:$K$1500,$Q106),IF($R106=$S$7,INDEX(TongVTSX!$H$3:$H$1500,$Q106),IF($R106=$S$2,ROUNDUP(SUMPRODUCT((TongVTSX!$C$3:$C$1500=$D106)*(TongVTSX!$E$3:$E$1500=$F106)*(TongVTSX!$K$3:$K$1500))/$U106,0),SUMPRODUCT((TongVTSX!$C$3:$C$1500=$D106)*(TongVTSX!$E$3:$E$1500=$F106)*(TongVTSX!$K$3:$K$1500)))))</f>
        <v>0</v>
      </c>
      <c r="I106" s="114"/>
      <c r="J106" s="114"/>
      <c r="K106" s="114" t="str">
        <f ca="1">IF($Q106="","",IF($R106=$S$2,INDEX(TongVTSX!M$3:M$1500,$Q106)*$U106,   INDEX(TongVTSX!M$3:M$1500,$Q106)))</f>
        <v/>
      </c>
      <c r="L106" s="92">
        <f ca="1">IF($Q106="",0, IF($R106=$S$7,$F106*$H106*$K106,IF($R106=$S$2,$H106*$K106,    IF($H106*$K106 - SUMPRODUCT((TongVTSX!$C$3:$C$1500=$D106)*(TongVTSX!$E$3:$E$1500=$F106)*(TongVTSX!$O$3:$O$1500)) &lt;=10,$H106*$K106,"PO &lt;&gt; TongVTSX"))))</f>
        <v>0</v>
      </c>
      <c r="M106" s="114">
        <f ca="1">IF($R106=$S$1,INDEX(TongVTSX!$K$3:$K$1500,$Q106),IF($R106=$S$7,INDEX(TongVTSX!$H$3:$H$1500,$Q106),IF($R106=$S$2,SUMPRODUCT((TongVTSX!$C$3:$C$1500=$D106)*(TongVTSX!$E$3:$E$1500=$F106)*(TongVTSX!$K$3:$K$1500))/$U106,SUMPRODUCT((TongVTSX!$C$3:$C$1500=$D106)*(TongVTSX!$E$3:$E$1500=$F106)*(TongVTSX!$K$3:$K$1500)))))</f>
        <v>0</v>
      </c>
      <c r="N106" s="92">
        <f ca="1">IF($Q106="",0, IF($R106=$S$7,$F106*$M106*$K106,IF($R106=$S$2,$M106*$K106,    IF($M106*$K106 - SUMPRODUCT((TongVTSX!$C$3:$C$1500=$D106)*(TongVTSX!$E$3:$E$1500=$F106)*(TongVTSX!$O$3:$O$1500)) &lt;=10,$M106*$K106,"PO &lt;&gt; TongVTSX"))))</f>
        <v>0</v>
      </c>
      <c r="O106" s="92">
        <f t="shared" ca="1" si="5"/>
        <v>0</v>
      </c>
      <c r="P106" s="1146" t="str">
        <f ca="1">IFERROR(INDEX(NVLSX!$AA$2:$AA$6756,MATCH($D106,NVLSX!$E$2:$E$6756,0)),"")</f>
        <v/>
      </c>
      <c r="Q106" s="742" t="str">
        <f ca="1">IF($R106="","",IF($R106&lt;&gt;$R105,IF(TYPE(MATCH($R106,TongVTSX!$T$3:$T$1500,0))=16,"",MATCH($R106,TongVTSX!$T$3:$T$1500,0)),IF(TYPE(MATCH($R106,OFFSET(TongVTSX!$T$3,$Q105,0):'TongVTSX'!$T$1500,0)+$Q105)=16,"",MATCH($R106,OFFSET(TongVTSX!$T$3,$Q105,0):'TongVTSX'!$T$1500,0)+$Q105)))</f>
        <v/>
      </c>
      <c r="R106" s="179" t="str">
        <f ca="1">IFERROR(IF(COUNTIF($R$3:R105,R105)&lt; INDEX($T$1:$T$7,MATCH($R105,$S$1:$S$7,0)),$R105,INDEX($S$1:$S$7,MATCH($R105,$S$1:$S$7,0)+1)),"")</f>
        <v/>
      </c>
      <c r="S106" s="181"/>
      <c r="T106" s="182"/>
      <c r="U106" s="184" t="str">
        <f ca="1">IF($R106="PR",INDEX(NVLSX!$U$2:$U$6941,MATCH($D106,NVLSX!$E$2:$E$6941,0)),"")</f>
        <v/>
      </c>
      <c r="V106" s="184" t="str">
        <f ca="1">IF($R106="PR",INDEX(NVLSX!$S$2:$S$6941,MATCH($D106,NVLSX!$E$2:$E$6941,0))*1000,"")</f>
        <v/>
      </c>
      <c r="W106" s="776" t="str">
        <f ca="1">IF($R106="PR",INDEX(NVLSX!$S$2:$S$6941,MATCH($D106,NVLSX!$E$2:$E$6941,0))*INDEX(NVLSX!$T$2:$T$6941,MATCH($D106,NVLSX!$E$2:$E$6941,0)),"")</f>
        <v/>
      </c>
      <c r="X106" s="776">
        <f t="shared" ca="1" si="4"/>
        <v>0</v>
      </c>
      <c r="Y106" s="982" t="str">
        <f ca="1">IFERROR(INDEX(NVLSX!$X$2:$X$4655,MATCH($D106,NVLSX!$E$2:$E$4655,0)),"")</f>
        <v/>
      </c>
    </row>
    <row r="107" spans="1:25">
      <c r="A107" s="19" t="str">
        <f ca="1">IF($Q107="","",MAX($A$2:A106)+1)</f>
        <v/>
      </c>
      <c r="B107" s="1146" t="str">
        <f ca="1">IFERROR(INDEX(NVLSX!$Y$2:$Y$6756,MATCH($D107,NVLSX!$E$2:$E$6756,0)),"")</f>
        <v/>
      </c>
      <c r="C107" s="1146" t="str">
        <f ca="1">IFERROR(INDEX(NVLSX!$Z$2:$Z$6756,MATCH($D107,NVLSX!$E$2:$E$6756,0)),"")</f>
        <v/>
      </c>
      <c r="D107" s="23" t="str">
        <f ca="1">IF($Q107="","",INDEX(TongVTSX!C$3:C$1500,$Q107))</f>
        <v/>
      </c>
      <c r="E107" s="729" t="str">
        <f ca="1">IF($Q107="","",INDEX(TongVTSX!D$3:D$1500,$Q107) &amp; IF(OR($R107=$S$1,$R107=$S$7)," (" &amp; INDEX(TongVTSX!A$3:A$1500,$Q107) &amp; ")",""))</f>
        <v/>
      </c>
      <c r="F107" s="745" t="str">
        <f ca="1">IF($Q107="","",IF($R107=$S$7,INDEX(TongVTSX!$G$3:$G$1500,$Q107),INDEX(TongVTSX!$E$3:$E$1500,$Q107)))</f>
        <v/>
      </c>
      <c r="G107" s="24" t="str">
        <f ca="1">IF($Q107="","",IF($R107=$S$1,"mm",IF($R107=$S$2,"Thanh",INDEX(TongVTSX!F$3:F$1500,$Q107))))</f>
        <v/>
      </c>
      <c r="H107" s="114">
        <f ca="1">IF($R107=$S$1,INDEX(TongVTSX!$K$3:$K$1500,$Q107),IF($R107=$S$7,INDEX(TongVTSX!$H$3:$H$1500,$Q107),IF($R107=$S$2,ROUNDUP(SUMPRODUCT((TongVTSX!$C$3:$C$1500=$D107)*(TongVTSX!$E$3:$E$1500=$F107)*(TongVTSX!$K$3:$K$1500))/$U107,0),SUMPRODUCT((TongVTSX!$C$3:$C$1500=$D107)*(TongVTSX!$E$3:$E$1500=$F107)*(TongVTSX!$K$3:$K$1500)))))</f>
        <v>0</v>
      </c>
      <c r="I107" s="114"/>
      <c r="J107" s="114"/>
      <c r="K107" s="114" t="str">
        <f ca="1">IF($Q107="","",IF($R107=$S$2,INDEX(TongVTSX!M$3:M$1500,$Q107)*$U107,   INDEX(TongVTSX!M$3:M$1500,$Q107)))</f>
        <v/>
      </c>
      <c r="L107" s="92">
        <f ca="1">IF($Q107="",0, IF($R107=$S$7,$F107*$H107*$K107,IF($R107=$S$2,$H107*$K107,    IF($H107*$K107 - SUMPRODUCT((TongVTSX!$C$3:$C$1500=$D107)*(TongVTSX!$E$3:$E$1500=$F107)*(TongVTSX!$O$3:$O$1500)) &lt;=10,$H107*$K107,"PO &lt;&gt; TongVTSX"))))</f>
        <v>0</v>
      </c>
      <c r="M107" s="114">
        <f ca="1">IF($R107=$S$1,INDEX(TongVTSX!$K$3:$K$1500,$Q107),IF($R107=$S$7,INDEX(TongVTSX!$H$3:$H$1500,$Q107),IF($R107=$S$2,SUMPRODUCT((TongVTSX!$C$3:$C$1500=$D107)*(TongVTSX!$E$3:$E$1500=$F107)*(TongVTSX!$K$3:$K$1500))/$U107,SUMPRODUCT((TongVTSX!$C$3:$C$1500=$D107)*(TongVTSX!$E$3:$E$1500=$F107)*(TongVTSX!$K$3:$K$1500)))))</f>
        <v>0</v>
      </c>
      <c r="N107" s="92">
        <f ca="1">IF($Q107="",0, IF($R107=$S$7,$F107*$M107*$K107,IF($R107=$S$2,$M107*$K107,    IF($M107*$K107 - SUMPRODUCT((TongVTSX!$C$3:$C$1500=$D107)*(TongVTSX!$E$3:$E$1500=$F107)*(TongVTSX!$O$3:$O$1500)) &lt;=10,$M107*$K107,"PO &lt;&gt; TongVTSX"))))</f>
        <v>0</v>
      </c>
      <c r="O107" s="92">
        <f t="shared" ca="1" si="5"/>
        <v>0</v>
      </c>
      <c r="P107" s="1146" t="str">
        <f ca="1">IFERROR(INDEX(NVLSX!$AA$2:$AA$6756,MATCH($D107,NVLSX!$E$2:$E$6756,0)),"")</f>
        <v/>
      </c>
      <c r="Q107" s="742" t="str">
        <f ca="1">IF($R107="","",IF($R107&lt;&gt;$R106,IF(TYPE(MATCH($R107,TongVTSX!$T$3:$T$1500,0))=16,"",MATCH($R107,TongVTSX!$T$3:$T$1500,0)),IF(TYPE(MATCH($R107,OFFSET(TongVTSX!$T$3,$Q106,0):'TongVTSX'!$T$1500,0)+$Q106)=16,"",MATCH($R107,OFFSET(TongVTSX!$T$3,$Q106,0):'TongVTSX'!$T$1500,0)+$Q106)))</f>
        <v/>
      </c>
      <c r="R107" s="179" t="str">
        <f ca="1">IFERROR(IF(COUNTIF($R$3:R106,R106)&lt; INDEX($T$1:$T$7,MATCH($R106,$S$1:$S$7,0)),$R106,INDEX($S$1:$S$7,MATCH($R106,$S$1:$S$7,0)+1)),"")</f>
        <v/>
      </c>
      <c r="S107" s="181"/>
      <c r="T107" s="182"/>
      <c r="U107" s="184" t="str">
        <f ca="1">IF($R107="PR",INDEX(NVLSX!$U$2:$U$6941,MATCH($D107,NVLSX!$E$2:$E$6941,0)),"")</f>
        <v/>
      </c>
      <c r="V107" s="184" t="str">
        <f ca="1">IF($R107="PR",INDEX(NVLSX!$S$2:$S$6941,MATCH($D107,NVLSX!$E$2:$E$6941,0))*1000,"")</f>
        <v/>
      </c>
      <c r="W107" s="776" t="str">
        <f ca="1">IF($R107="PR",INDEX(NVLSX!$S$2:$S$6941,MATCH($D107,NVLSX!$E$2:$E$6941,0))*INDEX(NVLSX!$T$2:$T$6941,MATCH($D107,NVLSX!$E$2:$E$6941,0)),"")</f>
        <v/>
      </c>
      <c r="X107" s="776">
        <f t="shared" ca="1" si="4"/>
        <v>0</v>
      </c>
      <c r="Y107" s="982" t="str">
        <f ca="1">IFERROR(INDEX(NVLSX!$X$2:$X$4655,MATCH($D107,NVLSX!$E$2:$E$4655,0)),"")</f>
        <v/>
      </c>
    </row>
    <row r="108" spans="1:25">
      <c r="A108" s="19" t="str">
        <f ca="1">IF($Q108="","",MAX($A$2:A107)+1)</f>
        <v/>
      </c>
      <c r="B108" s="1146" t="str">
        <f ca="1">IFERROR(INDEX(NVLSX!$Y$2:$Y$6756,MATCH($D108,NVLSX!$E$2:$E$6756,0)),"")</f>
        <v/>
      </c>
      <c r="C108" s="1146" t="str">
        <f ca="1">IFERROR(INDEX(NVLSX!$Z$2:$Z$6756,MATCH($D108,NVLSX!$E$2:$E$6756,0)),"")</f>
        <v/>
      </c>
      <c r="D108" s="23" t="str">
        <f ca="1">IF($Q108="","",INDEX(TongVTSX!C$3:C$1500,$Q108))</f>
        <v/>
      </c>
      <c r="E108" s="729" t="str">
        <f ca="1">IF($Q108="","",INDEX(TongVTSX!D$3:D$1500,$Q108) &amp; IF(OR($R108=$S$1,$R108=$S$7)," (" &amp; INDEX(TongVTSX!A$3:A$1500,$Q108) &amp; ")",""))</f>
        <v/>
      </c>
      <c r="F108" s="745" t="str">
        <f ca="1">IF($Q108="","",IF($R108=$S$7,INDEX(TongVTSX!$G$3:$G$1500,$Q108),INDEX(TongVTSX!$E$3:$E$1500,$Q108)))</f>
        <v/>
      </c>
      <c r="G108" s="24" t="str">
        <f ca="1">IF($Q108="","",IF($R108=$S$1,"mm",IF($R108=$S$2,"Thanh",INDEX(TongVTSX!F$3:F$1500,$Q108))))</f>
        <v/>
      </c>
      <c r="H108" s="114">
        <f ca="1">IF($R108=$S$1,INDEX(TongVTSX!$K$3:$K$1500,$Q108),IF($R108=$S$7,INDEX(TongVTSX!$H$3:$H$1500,$Q108),IF($R108=$S$2,ROUNDUP(SUMPRODUCT((TongVTSX!$C$3:$C$1500=$D108)*(TongVTSX!$E$3:$E$1500=$F108)*(TongVTSX!$K$3:$K$1500))/$U108,0),SUMPRODUCT((TongVTSX!$C$3:$C$1500=$D108)*(TongVTSX!$E$3:$E$1500=$F108)*(TongVTSX!$K$3:$K$1500)))))</f>
        <v>0</v>
      </c>
      <c r="I108" s="114"/>
      <c r="J108" s="114"/>
      <c r="K108" s="114" t="str">
        <f ca="1">IF($Q108="","",IF($R108=$S$2,INDEX(TongVTSX!M$3:M$1500,$Q108)*$U108,   INDEX(TongVTSX!M$3:M$1500,$Q108)))</f>
        <v/>
      </c>
      <c r="L108" s="92">
        <f ca="1">IF($Q108="",0, IF($R108=$S$7,$F108*$H108*$K108,IF($R108=$S$2,$H108*$K108,    IF($H108*$K108 - SUMPRODUCT((TongVTSX!$C$3:$C$1500=$D108)*(TongVTSX!$E$3:$E$1500=$F108)*(TongVTSX!$O$3:$O$1500)) &lt;=10,$H108*$K108,"PO &lt;&gt; TongVTSX"))))</f>
        <v>0</v>
      </c>
      <c r="M108" s="114">
        <f ca="1">IF($R108=$S$1,INDEX(TongVTSX!$K$3:$K$1500,$Q108),IF($R108=$S$7,INDEX(TongVTSX!$H$3:$H$1500,$Q108),IF($R108=$S$2,SUMPRODUCT((TongVTSX!$C$3:$C$1500=$D108)*(TongVTSX!$E$3:$E$1500=$F108)*(TongVTSX!$K$3:$K$1500))/$U108,SUMPRODUCT((TongVTSX!$C$3:$C$1500=$D108)*(TongVTSX!$E$3:$E$1500=$F108)*(TongVTSX!$K$3:$K$1500)))))</f>
        <v>0</v>
      </c>
      <c r="N108" s="92">
        <f ca="1">IF($Q108="",0, IF($R108=$S$7,$F108*$M108*$K108,IF($R108=$S$2,$M108*$K108,    IF($M108*$K108 - SUMPRODUCT((TongVTSX!$C$3:$C$1500=$D108)*(TongVTSX!$E$3:$E$1500=$F108)*(TongVTSX!$O$3:$O$1500)) &lt;=10,$M108*$K108,"PO &lt;&gt; TongVTSX"))))</f>
        <v>0</v>
      </c>
      <c r="O108" s="92">
        <f t="shared" ca="1" si="5"/>
        <v>0</v>
      </c>
      <c r="P108" s="1146" t="str">
        <f ca="1">IFERROR(INDEX(NVLSX!$AA$2:$AA$6756,MATCH($D108,NVLSX!$E$2:$E$6756,0)),"")</f>
        <v/>
      </c>
      <c r="Q108" s="742" t="str">
        <f ca="1">IF($R108="","",IF($R108&lt;&gt;$R107,IF(TYPE(MATCH($R108,TongVTSX!$T$3:$T$1500,0))=16,"",MATCH($R108,TongVTSX!$T$3:$T$1500,0)),IF(TYPE(MATCH($R108,OFFSET(TongVTSX!$T$3,$Q107,0):'TongVTSX'!$T$1500,0)+$Q107)=16,"",MATCH($R108,OFFSET(TongVTSX!$T$3,$Q107,0):'TongVTSX'!$T$1500,0)+$Q107)))</f>
        <v/>
      </c>
      <c r="R108" s="179" t="str">
        <f ca="1">IFERROR(IF(COUNTIF($R$3:R107,R107)&lt; INDEX($T$1:$T$7,MATCH($R107,$S$1:$S$7,0)),$R107,INDEX($S$1:$S$7,MATCH($R107,$S$1:$S$7,0)+1)),"")</f>
        <v/>
      </c>
      <c r="S108" s="181"/>
      <c r="T108" s="182"/>
      <c r="U108" s="184" t="str">
        <f ca="1">IF($R108="PR",INDEX(NVLSX!$U$2:$U$6941,MATCH($D108,NVLSX!$E$2:$E$6941,0)),"")</f>
        <v/>
      </c>
      <c r="V108" s="184" t="str">
        <f ca="1">IF($R108="PR",INDEX(NVLSX!$S$2:$S$6941,MATCH($D108,NVLSX!$E$2:$E$6941,0))*1000,"")</f>
        <v/>
      </c>
      <c r="W108" s="776" t="str">
        <f ca="1">IF($R108="PR",INDEX(NVLSX!$S$2:$S$6941,MATCH($D108,NVLSX!$E$2:$E$6941,0))*INDEX(NVLSX!$T$2:$T$6941,MATCH($D108,NVLSX!$E$2:$E$6941,0)),"")</f>
        <v/>
      </c>
      <c r="X108" s="776">
        <f t="shared" ca="1" si="4"/>
        <v>0</v>
      </c>
      <c r="Y108" s="982" t="str">
        <f ca="1">IFERROR(INDEX(NVLSX!$X$2:$X$4655,MATCH($D108,NVLSX!$E$2:$E$4655,0)),"")</f>
        <v/>
      </c>
    </row>
    <row r="109" spans="1:25">
      <c r="A109" s="19" t="str">
        <f ca="1">IF($Q109="","",MAX($A$2:A108)+1)</f>
        <v/>
      </c>
      <c r="B109" s="1146" t="str">
        <f ca="1">IFERROR(INDEX(NVLSX!$Y$2:$Y$6756,MATCH($D109,NVLSX!$E$2:$E$6756,0)),"")</f>
        <v/>
      </c>
      <c r="C109" s="1146" t="str">
        <f ca="1">IFERROR(INDEX(NVLSX!$Z$2:$Z$6756,MATCH($D109,NVLSX!$E$2:$E$6756,0)),"")</f>
        <v/>
      </c>
      <c r="D109" s="23" t="str">
        <f ca="1">IF($Q109="","",INDEX(TongVTSX!C$3:C$1500,$Q109))</f>
        <v/>
      </c>
      <c r="E109" s="729" t="str">
        <f ca="1">IF($Q109="","",INDEX(TongVTSX!D$3:D$1500,$Q109) &amp; IF(OR($R109=$S$1,$R109=$S$7)," (" &amp; INDEX(TongVTSX!A$3:A$1500,$Q109) &amp; ")",""))</f>
        <v/>
      </c>
      <c r="F109" s="745" t="str">
        <f ca="1">IF($Q109="","",IF($R109=$S$7,INDEX(TongVTSX!$G$3:$G$1500,$Q109),INDEX(TongVTSX!$E$3:$E$1500,$Q109)))</f>
        <v/>
      </c>
      <c r="G109" s="24" t="str">
        <f ca="1">IF($Q109="","",IF($R109=$S$1,"mm",IF($R109=$S$2,"Thanh",INDEX(TongVTSX!F$3:F$1500,$Q109))))</f>
        <v/>
      </c>
      <c r="H109" s="114">
        <f ca="1">IF($R109=$S$1,INDEX(TongVTSX!$K$3:$K$1500,$Q109),IF($R109=$S$7,INDEX(TongVTSX!$H$3:$H$1500,$Q109),IF($R109=$S$2,ROUNDUP(SUMPRODUCT((TongVTSX!$C$3:$C$1500=$D109)*(TongVTSX!$E$3:$E$1500=$F109)*(TongVTSX!$K$3:$K$1500))/$U109,0),SUMPRODUCT((TongVTSX!$C$3:$C$1500=$D109)*(TongVTSX!$E$3:$E$1500=$F109)*(TongVTSX!$K$3:$K$1500)))))</f>
        <v>0</v>
      </c>
      <c r="I109" s="114"/>
      <c r="J109" s="114"/>
      <c r="K109" s="114" t="str">
        <f ca="1">IF($Q109="","",IF($R109=$S$2,INDEX(TongVTSX!M$3:M$1500,$Q109)*$U109,   INDEX(TongVTSX!M$3:M$1500,$Q109)))</f>
        <v/>
      </c>
      <c r="L109" s="92">
        <f ca="1">IF($Q109="",0, IF($R109=$S$7,$F109*$H109*$K109,IF($R109=$S$2,$H109*$K109,    IF($H109*$K109 - SUMPRODUCT((TongVTSX!$C$3:$C$1500=$D109)*(TongVTSX!$E$3:$E$1500=$F109)*(TongVTSX!$O$3:$O$1500)) &lt;=10,$H109*$K109,"PO &lt;&gt; TongVTSX"))))</f>
        <v>0</v>
      </c>
      <c r="M109" s="114">
        <f ca="1">IF($R109=$S$1,INDEX(TongVTSX!$K$3:$K$1500,$Q109),IF($R109=$S$7,INDEX(TongVTSX!$H$3:$H$1500,$Q109),IF($R109=$S$2,SUMPRODUCT((TongVTSX!$C$3:$C$1500=$D109)*(TongVTSX!$E$3:$E$1500=$F109)*(TongVTSX!$K$3:$K$1500))/$U109,SUMPRODUCT((TongVTSX!$C$3:$C$1500=$D109)*(TongVTSX!$E$3:$E$1500=$F109)*(TongVTSX!$K$3:$K$1500)))))</f>
        <v>0</v>
      </c>
      <c r="N109" s="92">
        <f ca="1">IF($Q109="",0, IF($R109=$S$7,$F109*$M109*$K109,IF($R109=$S$2,$M109*$K109,    IF($M109*$K109 - SUMPRODUCT((TongVTSX!$C$3:$C$1500=$D109)*(TongVTSX!$E$3:$E$1500=$F109)*(TongVTSX!$O$3:$O$1500)) &lt;=10,$M109*$K109,"PO &lt;&gt; TongVTSX"))))</f>
        <v>0</v>
      </c>
      <c r="O109" s="92">
        <f t="shared" ca="1" si="5"/>
        <v>0</v>
      </c>
      <c r="P109" s="1146" t="str">
        <f ca="1">IFERROR(INDEX(NVLSX!$AA$2:$AA$6756,MATCH($D109,NVLSX!$E$2:$E$6756,0)),"")</f>
        <v/>
      </c>
      <c r="Q109" s="742" t="str">
        <f ca="1">IF($R109="","",IF($R109&lt;&gt;$R108,IF(TYPE(MATCH($R109,TongVTSX!$T$3:$T$1500,0))=16,"",MATCH($R109,TongVTSX!$T$3:$T$1500,0)),IF(TYPE(MATCH($R109,OFFSET(TongVTSX!$T$3,$Q108,0):'TongVTSX'!$T$1500,0)+$Q108)=16,"",MATCH($R109,OFFSET(TongVTSX!$T$3,$Q108,0):'TongVTSX'!$T$1500,0)+$Q108)))</f>
        <v/>
      </c>
      <c r="R109" s="179" t="str">
        <f ca="1">IFERROR(IF(COUNTIF($R$3:R108,R108)&lt; INDEX($T$1:$T$7,MATCH($R108,$S$1:$S$7,0)),$R108,INDEX($S$1:$S$7,MATCH($R108,$S$1:$S$7,0)+1)),"")</f>
        <v/>
      </c>
      <c r="S109" s="181"/>
      <c r="T109" s="182"/>
      <c r="U109" s="184" t="str">
        <f ca="1">IF($R109="PR",INDEX(NVLSX!$U$2:$U$6941,MATCH($D109,NVLSX!$E$2:$E$6941,0)),"")</f>
        <v/>
      </c>
      <c r="V109" s="184" t="str">
        <f ca="1">IF($R109="PR",INDEX(NVLSX!$S$2:$S$6941,MATCH($D109,NVLSX!$E$2:$E$6941,0))*1000,"")</f>
        <v/>
      </c>
      <c r="W109" s="776" t="str">
        <f ca="1">IF($R109="PR",INDEX(NVLSX!$S$2:$S$6941,MATCH($D109,NVLSX!$E$2:$E$6941,0))*INDEX(NVLSX!$T$2:$T$6941,MATCH($D109,NVLSX!$E$2:$E$6941,0)),"")</f>
        <v/>
      </c>
      <c r="X109" s="776">
        <f t="shared" ca="1" si="4"/>
        <v>0</v>
      </c>
      <c r="Y109" s="982" t="str">
        <f ca="1">IFERROR(INDEX(NVLSX!$X$2:$X$4655,MATCH($D109,NVLSX!$E$2:$E$4655,0)),"")</f>
        <v/>
      </c>
    </row>
    <row r="110" spans="1:25">
      <c r="A110" s="19" t="str">
        <f ca="1">IF($Q110="","",MAX($A$2:A109)+1)</f>
        <v/>
      </c>
      <c r="B110" s="1146" t="str">
        <f ca="1">IFERROR(INDEX(NVLSX!$Y$2:$Y$6756,MATCH($D110,NVLSX!$E$2:$E$6756,0)),"")</f>
        <v/>
      </c>
      <c r="C110" s="1146" t="str">
        <f ca="1">IFERROR(INDEX(NVLSX!$Z$2:$Z$6756,MATCH($D110,NVLSX!$E$2:$E$6756,0)),"")</f>
        <v/>
      </c>
      <c r="D110" s="23" t="str">
        <f ca="1">IF($Q110="","",INDEX(TongVTSX!C$3:C$1500,$Q110))</f>
        <v/>
      </c>
      <c r="E110" s="729" t="str">
        <f ca="1">IF($Q110="","",INDEX(TongVTSX!D$3:D$1500,$Q110) &amp; IF(OR($R110=$S$1,$R110=$S$7)," (" &amp; INDEX(TongVTSX!A$3:A$1500,$Q110) &amp; ")",""))</f>
        <v/>
      </c>
      <c r="F110" s="745" t="str">
        <f ca="1">IF($Q110="","",IF($R110=$S$7,INDEX(TongVTSX!$G$3:$G$1500,$Q110),INDEX(TongVTSX!$E$3:$E$1500,$Q110)))</f>
        <v/>
      </c>
      <c r="G110" s="24" t="str">
        <f ca="1">IF($Q110="","",IF($R110=$S$1,"mm",IF($R110=$S$2,"Thanh",INDEX(TongVTSX!F$3:F$1500,$Q110))))</f>
        <v/>
      </c>
      <c r="H110" s="114">
        <f ca="1">IF($R110=$S$1,INDEX(TongVTSX!$K$3:$K$1500,$Q110),IF($R110=$S$7,INDEX(TongVTSX!$H$3:$H$1500,$Q110),IF($R110=$S$2,ROUNDUP(SUMPRODUCT((TongVTSX!$C$3:$C$1500=$D110)*(TongVTSX!$E$3:$E$1500=$F110)*(TongVTSX!$K$3:$K$1500))/$U110,0),SUMPRODUCT((TongVTSX!$C$3:$C$1500=$D110)*(TongVTSX!$E$3:$E$1500=$F110)*(TongVTSX!$K$3:$K$1500)))))</f>
        <v>0</v>
      </c>
      <c r="I110" s="114"/>
      <c r="J110" s="114"/>
      <c r="K110" s="114" t="str">
        <f ca="1">IF($Q110="","",IF($R110=$S$2,INDEX(TongVTSX!M$3:M$1500,$Q110)*$U110,   INDEX(TongVTSX!M$3:M$1500,$Q110)))</f>
        <v/>
      </c>
      <c r="L110" s="92">
        <f ca="1">IF($Q110="",0, IF($R110=$S$7,$F110*$H110*$K110,IF($R110=$S$2,$H110*$K110,    IF($H110*$K110 - SUMPRODUCT((TongVTSX!$C$3:$C$1500=$D110)*(TongVTSX!$E$3:$E$1500=$F110)*(TongVTSX!$O$3:$O$1500)) &lt;=10,$H110*$K110,"PO &lt;&gt; TongVTSX"))))</f>
        <v>0</v>
      </c>
      <c r="M110" s="114">
        <f ca="1">IF($R110=$S$1,INDEX(TongVTSX!$K$3:$K$1500,$Q110),IF($R110=$S$7,INDEX(TongVTSX!$H$3:$H$1500,$Q110),IF($R110=$S$2,SUMPRODUCT((TongVTSX!$C$3:$C$1500=$D110)*(TongVTSX!$E$3:$E$1500=$F110)*(TongVTSX!$K$3:$K$1500))/$U110,SUMPRODUCT((TongVTSX!$C$3:$C$1500=$D110)*(TongVTSX!$E$3:$E$1500=$F110)*(TongVTSX!$K$3:$K$1500)))))</f>
        <v>0</v>
      </c>
      <c r="N110" s="92">
        <f ca="1">IF($Q110="",0, IF($R110=$S$7,$F110*$M110*$K110,IF($R110=$S$2,$M110*$K110,    IF($M110*$K110 - SUMPRODUCT((TongVTSX!$C$3:$C$1500=$D110)*(TongVTSX!$E$3:$E$1500=$F110)*(TongVTSX!$O$3:$O$1500)) &lt;=10,$M110*$K110,"PO &lt;&gt; TongVTSX"))))</f>
        <v>0</v>
      </c>
      <c r="O110" s="92">
        <f t="shared" ca="1" si="5"/>
        <v>0</v>
      </c>
      <c r="P110" s="1146" t="str">
        <f ca="1">IFERROR(INDEX(NVLSX!$AA$2:$AA$6756,MATCH($D110,NVLSX!$E$2:$E$6756,0)),"")</f>
        <v/>
      </c>
      <c r="Q110" s="742" t="str">
        <f ca="1">IF($R110="","",IF($R110&lt;&gt;$R109,IF(TYPE(MATCH($R110,TongVTSX!$T$3:$T$1500,0))=16,"",MATCH($R110,TongVTSX!$T$3:$T$1500,0)),IF(TYPE(MATCH($R110,OFFSET(TongVTSX!$T$3,$Q109,0):'TongVTSX'!$T$1500,0)+$Q109)=16,"",MATCH($R110,OFFSET(TongVTSX!$T$3,$Q109,0):'TongVTSX'!$T$1500,0)+$Q109)))</f>
        <v/>
      </c>
      <c r="R110" s="179" t="str">
        <f ca="1">IFERROR(IF(COUNTIF($R$3:R109,R109)&lt; INDEX($T$1:$T$7,MATCH($R109,$S$1:$S$7,0)),$R109,INDEX($S$1:$S$7,MATCH($R109,$S$1:$S$7,0)+1)),"")</f>
        <v/>
      </c>
      <c r="S110" s="181"/>
      <c r="T110" s="182"/>
      <c r="U110" s="184" t="str">
        <f ca="1">IF($R110="PR",INDEX(NVLSX!$U$2:$U$6941,MATCH($D110,NVLSX!$E$2:$E$6941,0)),"")</f>
        <v/>
      </c>
      <c r="V110" s="184" t="str">
        <f ca="1">IF($R110="PR",INDEX(NVLSX!$S$2:$S$6941,MATCH($D110,NVLSX!$E$2:$E$6941,0))*1000,"")</f>
        <v/>
      </c>
      <c r="W110" s="776" t="str">
        <f ca="1">IF($R110="PR",INDEX(NVLSX!$S$2:$S$6941,MATCH($D110,NVLSX!$E$2:$E$6941,0))*INDEX(NVLSX!$T$2:$T$6941,MATCH($D110,NVLSX!$E$2:$E$6941,0)),"")</f>
        <v/>
      </c>
      <c r="X110" s="776">
        <f t="shared" ca="1" si="4"/>
        <v>0</v>
      </c>
      <c r="Y110" s="982" t="str">
        <f ca="1">IFERROR(INDEX(NVLSX!$X$2:$X$4655,MATCH($D110,NVLSX!$E$2:$E$4655,0)),"")</f>
        <v/>
      </c>
    </row>
    <row r="111" spans="1:25">
      <c r="A111" s="19" t="str">
        <f ca="1">IF($Q111="","",MAX($A$2:A110)+1)</f>
        <v/>
      </c>
      <c r="B111" s="1146" t="str">
        <f ca="1">IFERROR(INDEX(NVLSX!$Y$2:$Y$6756,MATCH($D111,NVLSX!$E$2:$E$6756,0)),"")</f>
        <v/>
      </c>
      <c r="C111" s="1146" t="str">
        <f ca="1">IFERROR(INDEX(NVLSX!$Z$2:$Z$6756,MATCH($D111,NVLSX!$E$2:$E$6756,0)),"")</f>
        <v/>
      </c>
      <c r="D111" s="23" t="str">
        <f ca="1">IF($Q111="","",INDEX(TongVTSX!C$3:C$1500,$Q111))</f>
        <v/>
      </c>
      <c r="E111" s="729" t="str">
        <f ca="1">IF($Q111="","",INDEX(TongVTSX!D$3:D$1500,$Q111) &amp; IF(OR($R111=$S$1,$R111=$S$7)," (" &amp; INDEX(TongVTSX!A$3:A$1500,$Q111) &amp; ")",""))</f>
        <v/>
      </c>
      <c r="F111" s="745" t="str">
        <f ca="1">IF($Q111="","",IF($R111=$S$7,INDEX(TongVTSX!$G$3:$G$1500,$Q111),INDEX(TongVTSX!$E$3:$E$1500,$Q111)))</f>
        <v/>
      </c>
      <c r="G111" s="24" t="str">
        <f ca="1">IF($Q111="","",IF($R111=$S$1,"mm",IF($R111=$S$2,"Thanh",INDEX(TongVTSX!F$3:F$1500,$Q111))))</f>
        <v/>
      </c>
      <c r="H111" s="114">
        <f ca="1">IF($R111=$S$1,INDEX(TongVTSX!$K$3:$K$1500,$Q111),IF($R111=$S$7,INDEX(TongVTSX!$H$3:$H$1500,$Q111),IF($R111=$S$2,ROUNDUP(SUMPRODUCT((TongVTSX!$C$3:$C$1500=$D111)*(TongVTSX!$E$3:$E$1500=$F111)*(TongVTSX!$K$3:$K$1500))/$U111,0),SUMPRODUCT((TongVTSX!$C$3:$C$1500=$D111)*(TongVTSX!$E$3:$E$1500=$F111)*(TongVTSX!$K$3:$K$1500)))))</f>
        <v>0</v>
      </c>
      <c r="I111" s="114"/>
      <c r="J111" s="114"/>
      <c r="K111" s="114" t="str">
        <f ca="1">IF($Q111="","",IF($R111=$S$2,INDEX(TongVTSX!M$3:M$1500,$Q111)*$U111,   INDEX(TongVTSX!M$3:M$1500,$Q111)))</f>
        <v/>
      </c>
      <c r="L111" s="92">
        <f ca="1">IF($Q111="",0, IF($R111=$S$7,$F111*$H111*$K111,IF($R111=$S$2,$H111*$K111,    IF($H111*$K111 - SUMPRODUCT((TongVTSX!$C$3:$C$1500=$D111)*(TongVTSX!$E$3:$E$1500=$F111)*(TongVTSX!$O$3:$O$1500)) &lt;=10,$H111*$K111,"PO &lt;&gt; TongVTSX"))))</f>
        <v>0</v>
      </c>
      <c r="M111" s="114">
        <f ca="1">IF($R111=$S$1,INDEX(TongVTSX!$K$3:$K$1500,$Q111),IF($R111=$S$7,INDEX(TongVTSX!$H$3:$H$1500,$Q111),IF($R111=$S$2,SUMPRODUCT((TongVTSX!$C$3:$C$1500=$D111)*(TongVTSX!$E$3:$E$1500=$F111)*(TongVTSX!$K$3:$K$1500))/$U111,SUMPRODUCT((TongVTSX!$C$3:$C$1500=$D111)*(TongVTSX!$E$3:$E$1500=$F111)*(TongVTSX!$K$3:$K$1500)))))</f>
        <v>0</v>
      </c>
      <c r="N111" s="92">
        <f ca="1">IF($Q111="",0, IF($R111=$S$7,$F111*$M111*$K111,IF($R111=$S$2,$M111*$K111,    IF($M111*$K111 - SUMPRODUCT((TongVTSX!$C$3:$C$1500=$D111)*(TongVTSX!$E$3:$E$1500=$F111)*(TongVTSX!$O$3:$O$1500)) &lt;=10,$M111*$K111,"PO &lt;&gt; TongVTSX"))))</f>
        <v>0</v>
      </c>
      <c r="O111" s="92">
        <f t="shared" ca="1" si="5"/>
        <v>0</v>
      </c>
      <c r="P111" s="1146" t="str">
        <f ca="1">IFERROR(INDEX(NVLSX!$AA$2:$AA$6756,MATCH($D111,NVLSX!$E$2:$E$6756,0)),"")</f>
        <v/>
      </c>
      <c r="Q111" s="742" t="str">
        <f ca="1">IF($R111="","",IF($R111&lt;&gt;$R110,IF(TYPE(MATCH($R111,TongVTSX!$T$3:$T$1500,0))=16,"",MATCH($R111,TongVTSX!$T$3:$T$1500,0)),IF(TYPE(MATCH($R111,OFFSET(TongVTSX!$T$3,$Q110,0):'TongVTSX'!$T$1500,0)+$Q110)=16,"",MATCH($R111,OFFSET(TongVTSX!$T$3,$Q110,0):'TongVTSX'!$T$1500,0)+$Q110)))</f>
        <v/>
      </c>
      <c r="R111" s="179" t="str">
        <f ca="1">IFERROR(IF(COUNTIF($R$3:R110,R110)&lt; INDEX($T$1:$T$7,MATCH($R110,$S$1:$S$7,0)),$R110,INDEX($S$1:$S$7,MATCH($R110,$S$1:$S$7,0)+1)),"")</f>
        <v/>
      </c>
      <c r="S111" s="181"/>
      <c r="T111" s="182"/>
      <c r="U111" s="184" t="str">
        <f ca="1">IF($R111="PR",INDEX(NVLSX!$U$2:$U$6941,MATCH($D111,NVLSX!$E$2:$E$6941,0)),"")</f>
        <v/>
      </c>
      <c r="V111" s="184" t="str">
        <f ca="1">IF($R111="PR",INDEX(NVLSX!$S$2:$S$6941,MATCH($D111,NVLSX!$E$2:$E$6941,0))*1000,"")</f>
        <v/>
      </c>
      <c r="W111" s="776" t="str">
        <f ca="1">IF($R111="PR",INDEX(NVLSX!$S$2:$S$6941,MATCH($D111,NVLSX!$E$2:$E$6941,0))*INDEX(NVLSX!$T$2:$T$6941,MATCH($D111,NVLSX!$E$2:$E$6941,0)),"")</f>
        <v/>
      </c>
      <c r="X111" s="776">
        <f t="shared" ca="1" si="4"/>
        <v>0</v>
      </c>
      <c r="Y111" s="982" t="str">
        <f ca="1">IFERROR(INDEX(NVLSX!$X$2:$X$4655,MATCH($D111,NVLSX!$E$2:$E$4655,0)),"")</f>
        <v/>
      </c>
    </row>
    <row r="112" spans="1:25">
      <c r="A112" s="19" t="str">
        <f ca="1">IF($Q112="","",MAX($A$2:A111)+1)</f>
        <v/>
      </c>
      <c r="B112" s="1146" t="str">
        <f ca="1">IFERROR(INDEX(NVLSX!$Y$2:$Y$6756,MATCH($D112,NVLSX!$E$2:$E$6756,0)),"")</f>
        <v/>
      </c>
      <c r="C112" s="1146" t="str">
        <f ca="1">IFERROR(INDEX(NVLSX!$Z$2:$Z$6756,MATCH($D112,NVLSX!$E$2:$E$6756,0)),"")</f>
        <v/>
      </c>
      <c r="D112" s="23" t="str">
        <f ca="1">IF($Q112="","",INDEX(TongVTSX!C$3:C$1500,$Q112))</f>
        <v/>
      </c>
      <c r="E112" s="729" t="str">
        <f ca="1">IF($Q112="","",INDEX(TongVTSX!D$3:D$1500,$Q112) &amp; IF(OR($R112=$S$1,$R112=$S$7)," (" &amp; INDEX(TongVTSX!A$3:A$1500,$Q112) &amp; ")",""))</f>
        <v/>
      </c>
      <c r="F112" s="745" t="str">
        <f ca="1">IF($Q112="","",IF($R112=$S$7,INDEX(TongVTSX!$G$3:$G$1500,$Q112),INDEX(TongVTSX!$E$3:$E$1500,$Q112)))</f>
        <v/>
      </c>
      <c r="G112" s="24" t="str">
        <f ca="1">IF($Q112="","",IF($R112=$S$1,"mm",IF($R112=$S$2,"Thanh",INDEX(TongVTSX!F$3:F$1500,$Q112))))</f>
        <v/>
      </c>
      <c r="H112" s="114">
        <f ca="1">IF($R112=$S$1,INDEX(TongVTSX!$K$3:$K$1500,$Q112),IF($R112=$S$7,INDEX(TongVTSX!$H$3:$H$1500,$Q112),IF($R112=$S$2,ROUNDUP(SUMPRODUCT((TongVTSX!$C$3:$C$1500=$D112)*(TongVTSX!$E$3:$E$1500=$F112)*(TongVTSX!$K$3:$K$1500))/$U112,0),SUMPRODUCT((TongVTSX!$C$3:$C$1500=$D112)*(TongVTSX!$E$3:$E$1500=$F112)*(TongVTSX!$K$3:$K$1500)))))</f>
        <v>0</v>
      </c>
      <c r="I112" s="114"/>
      <c r="J112" s="114"/>
      <c r="K112" s="114" t="str">
        <f ca="1">IF($Q112="","",IF($R112=$S$2,INDEX(TongVTSX!M$3:M$1500,$Q112)*$U112,   INDEX(TongVTSX!M$3:M$1500,$Q112)))</f>
        <v/>
      </c>
      <c r="L112" s="92">
        <f ca="1">IF($Q112="",0, IF($R112=$S$7,$F112*$H112*$K112,IF($R112=$S$2,$H112*$K112,    IF($H112*$K112 - SUMPRODUCT((TongVTSX!$C$3:$C$1500=$D112)*(TongVTSX!$E$3:$E$1500=$F112)*(TongVTSX!$O$3:$O$1500)) &lt;=10,$H112*$K112,"PO &lt;&gt; TongVTSX"))))</f>
        <v>0</v>
      </c>
      <c r="M112" s="114">
        <f ca="1">IF($R112=$S$1,INDEX(TongVTSX!$K$3:$K$1500,$Q112),IF($R112=$S$7,INDEX(TongVTSX!$H$3:$H$1500,$Q112),IF($R112=$S$2,SUMPRODUCT((TongVTSX!$C$3:$C$1500=$D112)*(TongVTSX!$E$3:$E$1500=$F112)*(TongVTSX!$K$3:$K$1500))/$U112,SUMPRODUCT((TongVTSX!$C$3:$C$1500=$D112)*(TongVTSX!$E$3:$E$1500=$F112)*(TongVTSX!$K$3:$K$1500)))))</f>
        <v>0</v>
      </c>
      <c r="N112" s="92">
        <f ca="1">IF($Q112="",0, IF($R112=$S$7,$F112*$M112*$K112,IF($R112=$S$2,$M112*$K112,    IF($M112*$K112 - SUMPRODUCT((TongVTSX!$C$3:$C$1500=$D112)*(TongVTSX!$E$3:$E$1500=$F112)*(TongVTSX!$O$3:$O$1500)) &lt;=10,$M112*$K112,"PO &lt;&gt; TongVTSX"))))</f>
        <v>0</v>
      </c>
      <c r="O112" s="92">
        <f t="shared" ca="1" si="5"/>
        <v>0</v>
      </c>
      <c r="P112" s="1146" t="str">
        <f ca="1">IFERROR(INDEX(NVLSX!$AA$2:$AA$6756,MATCH($D112,NVLSX!$E$2:$E$6756,0)),"")</f>
        <v/>
      </c>
      <c r="Q112" s="742" t="str">
        <f ca="1">IF($R112="","",IF($R112&lt;&gt;$R111,IF(TYPE(MATCH($R112,TongVTSX!$T$3:$T$1500,0))=16,"",MATCH($R112,TongVTSX!$T$3:$T$1500,0)),IF(TYPE(MATCH($R112,OFFSET(TongVTSX!$T$3,$Q111,0):'TongVTSX'!$T$1500,0)+$Q111)=16,"",MATCH($R112,OFFSET(TongVTSX!$T$3,$Q111,0):'TongVTSX'!$T$1500,0)+$Q111)))</f>
        <v/>
      </c>
      <c r="R112" s="179" t="str">
        <f ca="1">IFERROR(IF(COUNTIF($R$3:R111,R111)&lt; INDEX($T$1:$T$7,MATCH($R111,$S$1:$S$7,0)),$R111,INDEX($S$1:$S$7,MATCH($R111,$S$1:$S$7,0)+1)),"")</f>
        <v/>
      </c>
      <c r="S112" s="181"/>
      <c r="T112" s="182"/>
      <c r="U112" s="184" t="str">
        <f ca="1">IF($R112="PR",INDEX(NVLSX!$U$2:$U$6941,MATCH($D112,NVLSX!$E$2:$E$6941,0)),"")</f>
        <v/>
      </c>
      <c r="V112" s="184" t="str">
        <f ca="1">IF($R112="PR",INDEX(NVLSX!$S$2:$S$6941,MATCH($D112,NVLSX!$E$2:$E$6941,0))*1000,"")</f>
        <v/>
      </c>
      <c r="W112" s="776" t="str">
        <f ca="1">IF($R112="PR",INDEX(NVLSX!$S$2:$S$6941,MATCH($D112,NVLSX!$E$2:$E$6941,0))*INDEX(NVLSX!$T$2:$T$6941,MATCH($D112,NVLSX!$E$2:$E$6941,0)),"")</f>
        <v/>
      </c>
      <c r="X112" s="776">
        <f t="shared" ca="1" si="4"/>
        <v>0</v>
      </c>
      <c r="Y112" s="982" t="str">
        <f ca="1">IFERROR(INDEX(NVLSX!$X$2:$X$4655,MATCH($D112,NVLSX!$E$2:$E$4655,0)),"")</f>
        <v/>
      </c>
    </row>
    <row r="113" spans="1:25">
      <c r="A113" s="19" t="str">
        <f ca="1">IF($Q113="","",MAX($A$2:A112)+1)</f>
        <v/>
      </c>
      <c r="B113" s="1146" t="str">
        <f ca="1">IFERROR(INDEX(NVLSX!$Y$2:$Y$6756,MATCH($D113,NVLSX!$E$2:$E$6756,0)),"")</f>
        <v/>
      </c>
      <c r="C113" s="1146" t="str">
        <f ca="1">IFERROR(INDEX(NVLSX!$Z$2:$Z$6756,MATCH($D113,NVLSX!$E$2:$E$6756,0)),"")</f>
        <v/>
      </c>
      <c r="D113" s="23" t="str">
        <f ca="1">IF($Q113="","",INDEX(TongVTSX!C$3:C$1500,$Q113))</f>
        <v/>
      </c>
      <c r="E113" s="729" t="str">
        <f ca="1">IF($Q113="","",INDEX(TongVTSX!D$3:D$1500,$Q113) &amp; IF(OR($R113=$S$1,$R113=$S$7)," (" &amp; INDEX(TongVTSX!A$3:A$1500,$Q113) &amp; ")",""))</f>
        <v/>
      </c>
      <c r="F113" s="745" t="str">
        <f ca="1">IF($Q113="","",IF($R113=$S$7,INDEX(TongVTSX!$G$3:$G$1500,$Q113),INDEX(TongVTSX!$E$3:$E$1500,$Q113)))</f>
        <v/>
      </c>
      <c r="G113" s="24" t="str">
        <f ca="1">IF($Q113="","",IF($R113=$S$1,"mm",IF($R113=$S$2,"Thanh",INDEX(TongVTSX!F$3:F$1500,$Q113))))</f>
        <v/>
      </c>
      <c r="H113" s="114">
        <f ca="1">IF($R113=$S$1,INDEX(TongVTSX!$K$3:$K$1500,$Q113),IF($R113=$S$7,INDEX(TongVTSX!$H$3:$H$1500,$Q113),IF($R113=$S$2,ROUNDUP(SUMPRODUCT((TongVTSX!$C$3:$C$1500=$D113)*(TongVTSX!$E$3:$E$1500=$F113)*(TongVTSX!$K$3:$K$1500))/$U113,0),SUMPRODUCT((TongVTSX!$C$3:$C$1500=$D113)*(TongVTSX!$E$3:$E$1500=$F113)*(TongVTSX!$K$3:$K$1500)))))</f>
        <v>0</v>
      </c>
      <c r="I113" s="114"/>
      <c r="J113" s="114"/>
      <c r="K113" s="114" t="str">
        <f ca="1">IF($Q113="","",IF($R113=$S$2,INDEX(TongVTSX!M$3:M$1500,$Q113)*$U113,   INDEX(TongVTSX!M$3:M$1500,$Q113)))</f>
        <v/>
      </c>
      <c r="L113" s="92">
        <f ca="1">IF($Q113="",0, IF($R113=$S$7,$F113*$H113*$K113,IF($R113=$S$2,$H113*$K113,    IF($H113*$K113 - SUMPRODUCT((TongVTSX!$C$3:$C$1500=$D113)*(TongVTSX!$E$3:$E$1500=$F113)*(TongVTSX!$O$3:$O$1500)) &lt;=10,$H113*$K113,"PO &lt;&gt; TongVTSX"))))</f>
        <v>0</v>
      </c>
      <c r="M113" s="114">
        <f ca="1">IF($R113=$S$1,INDEX(TongVTSX!$K$3:$K$1500,$Q113),IF($R113=$S$7,INDEX(TongVTSX!$H$3:$H$1500,$Q113),IF($R113=$S$2,SUMPRODUCT((TongVTSX!$C$3:$C$1500=$D113)*(TongVTSX!$E$3:$E$1500=$F113)*(TongVTSX!$K$3:$K$1500))/$U113,SUMPRODUCT((TongVTSX!$C$3:$C$1500=$D113)*(TongVTSX!$E$3:$E$1500=$F113)*(TongVTSX!$K$3:$K$1500)))))</f>
        <v>0</v>
      </c>
      <c r="N113" s="92">
        <f ca="1">IF($Q113="",0, IF($R113=$S$7,$F113*$M113*$K113,IF($R113=$S$2,$M113*$K113,    IF($M113*$K113 - SUMPRODUCT((TongVTSX!$C$3:$C$1500=$D113)*(TongVTSX!$E$3:$E$1500=$F113)*(TongVTSX!$O$3:$O$1500)) &lt;=10,$M113*$K113,"PO &lt;&gt; TongVTSX"))))</f>
        <v>0</v>
      </c>
      <c r="O113" s="92">
        <f t="shared" ca="1" si="5"/>
        <v>0</v>
      </c>
      <c r="P113" s="1146" t="str">
        <f ca="1">IFERROR(INDEX(NVLSX!$AA$2:$AA$6756,MATCH($D113,NVLSX!$E$2:$E$6756,0)),"")</f>
        <v/>
      </c>
      <c r="Q113" s="742" t="str">
        <f ca="1">IF($R113="","",IF($R113&lt;&gt;$R112,IF(TYPE(MATCH($R113,TongVTSX!$T$3:$T$1500,0))=16,"",MATCH($R113,TongVTSX!$T$3:$T$1500,0)),IF(TYPE(MATCH($R113,OFFSET(TongVTSX!$T$3,$Q112,0):'TongVTSX'!$T$1500,0)+$Q112)=16,"",MATCH($R113,OFFSET(TongVTSX!$T$3,$Q112,0):'TongVTSX'!$T$1500,0)+$Q112)))</f>
        <v/>
      </c>
      <c r="R113" s="179" t="str">
        <f ca="1">IFERROR(IF(COUNTIF($R$3:R112,R112)&lt; INDEX($T$1:$T$7,MATCH($R112,$S$1:$S$7,0)),$R112,INDEX($S$1:$S$7,MATCH($R112,$S$1:$S$7,0)+1)),"")</f>
        <v/>
      </c>
      <c r="S113" s="181"/>
      <c r="T113" s="182"/>
      <c r="U113" s="184" t="str">
        <f ca="1">IF($R113="PR",INDEX(NVLSX!$U$2:$U$6941,MATCH($D113,NVLSX!$E$2:$E$6941,0)),"")</f>
        <v/>
      </c>
      <c r="V113" s="184" t="str">
        <f ca="1">IF($R113="PR",INDEX(NVLSX!$S$2:$S$6941,MATCH($D113,NVLSX!$E$2:$E$6941,0))*1000,"")</f>
        <v/>
      </c>
      <c r="W113" s="776" t="str">
        <f ca="1">IF($R113="PR",INDEX(NVLSX!$S$2:$S$6941,MATCH($D113,NVLSX!$E$2:$E$6941,0))*INDEX(NVLSX!$T$2:$T$6941,MATCH($D113,NVLSX!$E$2:$E$6941,0)),"")</f>
        <v/>
      </c>
      <c r="X113" s="776">
        <f t="shared" ca="1" si="4"/>
        <v>0</v>
      </c>
      <c r="Y113" s="982" t="str">
        <f ca="1">IFERROR(INDEX(NVLSX!$X$2:$X$4655,MATCH($D113,NVLSX!$E$2:$E$4655,0)),"")</f>
        <v/>
      </c>
    </row>
    <row r="114" spans="1:25">
      <c r="A114" s="19" t="str">
        <f ca="1">IF($Q114="","",MAX($A$2:A113)+1)</f>
        <v/>
      </c>
      <c r="B114" s="1146" t="str">
        <f ca="1">IFERROR(INDEX(NVLSX!$Y$2:$Y$6756,MATCH($D114,NVLSX!$E$2:$E$6756,0)),"")</f>
        <v/>
      </c>
      <c r="C114" s="1146" t="str">
        <f ca="1">IFERROR(INDEX(NVLSX!$Z$2:$Z$6756,MATCH($D114,NVLSX!$E$2:$E$6756,0)),"")</f>
        <v/>
      </c>
      <c r="D114" s="23" t="str">
        <f ca="1">IF($Q114="","",INDEX(TongVTSX!C$3:C$1500,$Q114))</f>
        <v/>
      </c>
      <c r="E114" s="729" t="str">
        <f ca="1">IF($Q114="","",INDEX(TongVTSX!D$3:D$1500,$Q114) &amp; IF(OR($R114=$S$1,$R114=$S$7)," (" &amp; INDEX(TongVTSX!A$3:A$1500,$Q114) &amp; ")",""))</f>
        <v/>
      </c>
      <c r="F114" s="745" t="str">
        <f ca="1">IF($Q114="","",IF($R114=$S$7,INDEX(TongVTSX!$G$3:$G$1500,$Q114),INDEX(TongVTSX!$E$3:$E$1500,$Q114)))</f>
        <v/>
      </c>
      <c r="G114" s="24" t="str">
        <f ca="1">IF($Q114="","",IF($R114=$S$1,"mm",IF($R114=$S$2,"Thanh",INDEX(TongVTSX!F$3:F$1500,$Q114))))</f>
        <v/>
      </c>
      <c r="H114" s="114">
        <f ca="1">IF($R114=$S$1,INDEX(TongVTSX!$K$3:$K$1500,$Q114),IF($R114=$S$7,INDEX(TongVTSX!$H$3:$H$1500,$Q114),IF($R114=$S$2,ROUNDUP(SUMPRODUCT((TongVTSX!$C$3:$C$1500=$D114)*(TongVTSX!$E$3:$E$1500=$F114)*(TongVTSX!$K$3:$K$1500))/$U114,0),SUMPRODUCT((TongVTSX!$C$3:$C$1500=$D114)*(TongVTSX!$E$3:$E$1500=$F114)*(TongVTSX!$K$3:$K$1500)))))</f>
        <v>0</v>
      </c>
      <c r="I114" s="114"/>
      <c r="J114" s="114"/>
      <c r="K114" s="114" t="str">
        <f ca="1">IF($Q114="","",IF($R114=$S$2,INDEX(TongVTSX!M$3:M$1500,$Q114)*$U114,   INDEX(TongVTSX!M$3:M$1500,$Q114)))</f>
        <v/>
      </c>
      <c r="L114" s="92">
        <f ca="1">IF($Q114="",0, IF($R114=$S$7,$F114*$H114*$K114,IF($R114=$S$2,$H114*$K114,    IF($H114*$K114 - SUMPRODUCT((TongVTSX!$C$3:$C$1500=$D114)*(TongVTSX!$E$3:$E$1500=$F114)*(TongVTSX!$O$3:$O$1500)) &lt;=10,$H114*$K114,"PO &lt;&gt; TongVTSX"))))</f>
        <v>0</v>
      </c>
      <c r="M114" s="114">
        <f ca="1">IF($R114=$S$1,INDEX(TongVTSX!$K$3:$K$1500,$Q114),IF($R114=$S$7,INDEX(TongVTSX!$H$3:$H$1500,$Q114),IF($R114=$S$2,SUMPRODUCT((TongVTSX!$C$3:$C$1500=$D114)*(TongVTSX!$E$3:$E$1500=$F114)*(TongVTSX!$K$3:$K$1500))/$U114,SUMPRODUCT((TongVTSX!$C$3:$C$1500=$D114)*(TongVTSX!$E$3:$E$1500=$F114)*(TongVTSX!$K$3:$K$1500)))))</f>
        <v>0</v>
      </c>
      <c r="N114" s="92">
        <f ca="1">IF($Q114="",0, IF($R114=$S$7,$F114*$M114*$K114,IF($R114=$S$2,$M114*$K114,    IF($M114*$K114 - SUMPRODUCT((TongVTSX!$C$3:$C$1500=$D114)*(TongVTSX!$E$3:$E$1500=$F114)*(TongVTSX!$O$3:$O$1500)) &lt;=10,$M114*$K114,"PO &lt;&gt; TongVTSX"))))</f>
        <v>0</v>
      </c>
      <c r="O114" s="92">
        <f t="shared" ca="1" si="5"/>
        <v>0</v>
      </c>
      <c r="P114" s="1146" t="str">
        <f ca="1">IFERROR(INDEX(NVLSX!$AA$2:$AA$6756,MATCH($D114,NVLSX!$E$2:$E$6756,0)),"")</f>
        <v/>
      </c>
      <c r="Q114" s="742" t="str">
        <f ca="1">IF($R114="","",IF($R114&lt;&gt;$R113,IF(TYPE(MATCH($R114,TongVTSX!$T$3:$T$1500,0))=16,"",MATCH($R114,TongVTSX!$T$3:$T$1500,0)),IF(TYPE(MATCH($R114,OFFSET(TongVTSX!$T$3,$Q113,0):'TongVTSX'!$T$1500,0)+$Q113)=16,"",MATCH($R114,OFFSET(TongVTSX!$T$3,$Q113,0):'TongVTSX'!$T$1500,0)+$Q113)))</f>
        <v/>
      </c>
      <c r="R114" s="179" t="str">
        <f ca="1">IFERROR(IF(COUNTIF($R$3:R113,R113)&lt; INDEX($T$1:$T$7,MATCH($R113,$S$1:$S$7,0)),$R113,INDEX($S$1:$S$7,MATCH($R113,$S$1:$S$7,0)+1)),"")</f>
        <v/>
      </c>
      <c r="S114" s="181"/>
      <c r="T114" s="182"/>
      <c r="U114" s="184" t="str">
        <f ca="1">IF($R114="PR",INDEX(NVLSX!$U$2:$U$6941,MATCH($D114,NVLSX!$E$2:$E$6941,0)),"")</f>
        <v/>
      </c>
      <c r="V114" s="184" t="str">
        <f ca="1">IF($R114="PR",INDEX(NVLSX!$S$2:$S$6941,MATCH($D114,NVLSX!$E$2:$E$6941,0))*1000,"")</f>
        <v/>
      </c>
      <c r="W114" s="776" t="str">
        <f ca="1">IF($R114="PR",INDEX(NVLSX!$S$2:$S$6941,MATCH($D114,NVLSX!$E$2:$E$6941,0))*INDEX(NVLSX!$T$2:$T$6941,MATCH($D114,NVLSX!$E$2:$E$6941,0)),"")</f>
        <v/>
      </c>
      <c r="X114" s="776">
        <f t="shared" ca="1" si="4"/>
        <v>0</v>
      </c>
      <c r="Y114" s="982" t="str">
        <f ca="1">IFERROR(INDEX(NVLSX!$X$2:$X$4655,MATCH($D114,NVLSX!$E$2:$E$4655,0)),"")</f>
        <v/>
      </c>
    </row>
    <row r="115" spans="1:25">
      <c r="A115" s="19" t="str">
        <f ca="1">IF($Q115="","",MAX($A$2:A114)+1)</f>
        <v/>
      </c>
      <c r="B115" s="1146" t="str">
        <f ca="1">IFERROR(INDEX(NVLSX!$Y$2:$Y$6756,MATCH($D115,NVLSX!$E$2:$E$6756,0)),"")</f>
        <v/>
      </c>
      <c r="C115" s="1146" t="str">
        <f ca="1">IFERROR(INDEX(NVLSX!$Z$2:$Z$6756,MATCH($D115,NVLSX!$E$2:$E$6756,0)),"")</f>
        <v/>
      </c>
      <c r="D115" s="23" t="str">
        <f ca="1">IF($Q115="","",INDEX(TongVTSX!C$3:C$1500,$Q115))</f>
        <v/>
      </c>
      <c r="E115" s="729" t="str">
        <f ca="1">IF($Q115="","",INDEX(TongVTSX!D$3:D$1500,$Q115) &amp; IF(OR($R115=$S$1,$R115=$S$7)," (" &amp; INDEX(TongVTSX!A$3:A$1500,$Q115) &amp; ")",""))</f>
        <v/>
      </c>
      <c r="F115" s="745" t="str">
        <f ca="1">IF($Q115="","",IF($R115=$S$7,INDEX(TongVTSX!$G$3:$G$1500,$Q115),INDEX(TongVTSX!$E$3:$E$1500,$Q115)))</f>
        <v/>
      </c>
      <c r="G115" s="24" t="str">
        <f ca="1">IF($Q115="","",IF($R115=$S$1,"mm",IF($R115=$S$2,"Thanh",INDEX(TongVTSX!F$3:F$1500,$Q115))))</f>
        <v/>
      </c>
      <c r="H115" s="114">
        <f ca="1">IF($R115=$S$1,INDEX(TongVTSX!$K$3:$K$1500,$Q115),IF($R115=$S$7,INDEX(TongVTSX!$H$3:$H$1500,$Q115),IF($R115=$S$2,ROUNDUP(SUMPRODUCT((TongVTSX!$C$3:$C$1500=$D115)*(TongVTSX!$E$3:$E$1500=$F115)*(TongVTSX!$K$3:$K$1500))/$U115,0),SUMPRODUCT((TongVTSX!$C$3:$C$1500=$D115)*(TongVTSX!$E$3:$E$1500=$F115)*(TongVTSX!$K$3:$K$1500)))))</f>
        <v>0</v>
      </c>
      <c r="I115" s="114"/>
      <c r="J115" s="114"/>
      <c r="K115" s="114" t="str">
        <f ca="1">IF($Q115="","",IF($R115=$S$2,INDEX(TongVTSX!M$3:M$1500,$Q115)*$U115,   INDEX(TongVTSX!M$3:M$1500,$Q115)))</f>
        <v/>
      </c>
      <c r="L115" s="92">
        <f ca="1">IF($Q115="",0, IF($R115=$S$7,$F115*$H115*$K115,IF($R115=$S$2,$H115*$K115,    IF($H115*$K115 - SUMPRODUCT((TongVTSX!$C$3:$C$1500=$D115)*(TongVTSX!$E$3:$E$1500=$F115)*(TongVTSX!$O$3:$O$1500)) &lt;=10,$H115*$K115,"PO &lt;&gt; TongVTSX"))))</f>
        <v>0</v>
      </c>
      <c r="M115" s="114">
        <f ca="1">IF($R115=$S$1,INDEX(TongVTSX!$K$3:$K$1500,$Q115),IF($R115=$S$7,INDEX(TongVTSX!$H$3:$H$1500,$Q115),IF($R115=$S$2,SUMPRODUCT((TongVTSX!$C$3:$C$1500=$D115)*(TongVTSX!$E$3:$E$1500=$F115)*(TongVTSX!$K$3:$K$1500))/$U115,SUMPRODUCT((TongVTSX!$C$3:$C$1500=$D115)*(TongVTSX!$E$3:$E$1500=$F115)*(TongVTSX!$K$3:$K$1500)))))</f>
        <v>0</v>
      </c>
      <c r="N115" s="92">
        <f ca="1">IF($Q115="",0, IF($R115=$S$7,$F115*$M115*$K115,IF($R115=$S$2,$M115*$K115,    IF($M115*$K115 - SUMPRODUCT((TongVTSX!$C$3:$C$1500=$D115)*(TongVTSX!$E$3:$E$1500=$F115)*(TongVTSX!$O$3:$O$1500)) &lt;=10,$M115*$K115,"PO &lt;&gt; TongVTSX"))))</f>
        <v>0</v>
      </c>
      <c r="O115" s="92">
        <f t="shared" ca="1" si="5"/>
        <v>0</v>
      </c>
      <c r="P115" s="1146" t="str">
        <f ca="1">IFERROR(INDEX(NVLSX!$AA$2:$AA$6756,MATCH($D115,NVLSX!$E$2:$E$6756,0)),"")</f>
        <v/>
      </c>
      <c r="Q115" s="742" t="str">
        <f ca="1">IF($R115="","",IF($R115&lt;&gt;$R114,IF(TYPE(MATCH($R115,TongVTSX!$T$3:$T$1500,0))=16,"",MATCH($R115,TongVTSX!$T$3:$T$1500,0)),IF(TYPE(MATCH($R115,OFFSET(TongVTSX!$T$3,$Q114,0):'TongVTSX'!$T$1500,0)+$Q114)=16,"",MATCH($R115,OFFSET(TongVTSX!$T$3,$Q114,0):'TongVTSX'!$T$1500,0)+$Q114)))</f>
        <v/>
      </c>
      <c r="R115" s="179" t="str">
        <f ca="1">IFERROR(IF(COUNTIF($R$3:R114,R114)&lt; INDEX($T$1:$T$7,MATCH($R114,$S$1:$S$7,0)),$R114,INDEX($S$1:$S$7,MATCH($R114,$S$1:$S$7,0)+1)),"")</f>
        <v/>
      </c>
      <c r="S115" s="181"/>
      <c r="T115" s="182"/>
      <c r="U115" s="184" t="str">
        <f ca="1">IF($R115="PR",INDEX(NVLSX!$U$2:$U$6941,MATCH($D115,NVLSX!$E$2:$E$6941,0)),"")</f>
        <v/>
      </c>
      <c r="V115" s="184" t="str">
        <f ca="1">IF($R115="PR",INDEX(NVLSX!$S$2:$S$6941,MATCH($D115,NVLSX!$E$2:$E$6941,0))*1000,"")</f>
        <v/>
      </c>
      <c r="W115" s="776" t="str">
        <f ca="1">IF($R115="PR",INDEX(NVLSX!$S$2:$S$6941,MATCH($D115,NVLSX!$E$2:$E$6941,0))*INDEX(NVLSX!$T$2:$T$6941,MATCH($D115,NVLSX!$E$2:$E$6941,0)),"")</f>
        <v/>
      </c>
      <c r="X115" s="776">
        <f t="shared" ca="1" si="4"/>
        <v>0</v>
      </c>
      <c r="Y115" s="982" t="str">
        <f ca="1">IFERROR(INDEX(NVLSX!$X$2:$X$4655,MATCH($D115,NVLSX!$E$2:$E$4655,0)),"")</f>
        <v/>
      </c>
    </row>
    <row r="116" spans="1:25">
      <c r="A116" s="19" t="str">
        <f ca="1">IF($Q116="","",MAX($A$2:A115)+1)</f>
        <v/>
      </c>
      <c r="B116" s="1146" t="str">
        <f ca="1">IFERROR(INDEX(NVLSX!$Y$2:$Y$6756,MATCH($D116,NVLSX!$E$2:$E$6756,0)),"")</f>
        <v/>
      </c>
      <c r="C116" s="1146" t="str">
        <f ca="1">IFERROR(INDEX(NVLSX!$Z$2:$Z$6756,MATCH($D116,NVLSX!$E$2:$E$6756,0)),"")</f>
        <v/>
      </c>
      <c r="D116" s="23" t="str">
        <f ca="1">IF($Q116="","",INDEX(TongVTSX!C$3:C$1500,$Q116))</f>
        <v/>
      </c>
      <c r="E116" s="729" t="str">
        <f ca="1">IF($Q116="","",INDEX(TongVTSX!D$3:D$1500,$Q116) &amp; IF(OR($R116=$S$1,$R116=$S$7)," (" &amp; INDEX(TongVTSX!A$3:A$1500,$Q116) &amp; ")",""))</f>
        <v/>
      </c>
      <c r="F116" s="745" t="str">
        <f ca="1">IF($Q116="","",IF($R116=$S$7,INDEX(TongVTSX!$G$3:$G$1500,$Q116),INDEX(TongVTSX!$E$3:$E$1500,$Q116)))</f>
        <v/>
      </c>
      <c r="G116" s="24" t="str">
        <f ca="1">IF($Q116="","",IF($R116=$S$1,"mm",IF($R116=$S$2,"Thanh",INDEX(TongVTSX!F$3:F$1500,$Q116))))</f>
        <v/>
      </c>
      <c r="H116" s="114">
        <f ca="1">IF($R116=$S$1,INDEX(TongVTSX!$K$3:$K$1500,$Q116),IF($R116=$S$7,INDEX(TongVTSX!$H$3:$H$1500,$Q116),IF($R116=$S$2,ROUNDUP(SUMPRODUCT((TongVTSX!$C$3:$C$1500=$D116)*(TongVTSX!$E$3:$E$1500=$F116)*(TongVTSX!$K$3:$K$1500))/$U116,0),SUMPRODUCT((TongVTSX!$C$3:$C$1500=$D116)*(TongVTSX!$E$3:$E$1500=$F116)*(TongVTSX!$K$3:$K$1500)))))</f>
        <v>0</v>
      </c>
      <c r="I116" s="114"/>
      <c r="J116" s="114"/>
      <c r="K116" s="114" t="str">
        <f ca="1">IF($Q116="","",IF($R116=$S$2,INDEX(TongVTSX!M$3:M$1500,$Q116)*$U116,   INDEX(TongVTSX!M$3:M$1500,$Q116)))</f>
        <v/>
      </c>
      <c r="L116" s="92">
        <f ca="1">IF($Q116="",0, IF($R116=$S$7,$F116*$H116*$K116,IF($R116=$S$2,$H116*$K116,    IF($H116*$K116 - SUMPRODUCT((TongVTSX!$C$3:$C$1500=$D116)*(TongVTSX!$E$3:$E$1500=$F116)*(TongVTSX!$O$3:$O$1500)) &lt;=10,$H116*$K116,"PO &lt;&gt; TongVTSX"))))</f>
        <v>0</v>
      </c>
      <c r="M116" s="114">
        <f ca="1">IF($R116=$S$1,INDEX(TongVTSX!$K$3:$K$1500,$Q116),IF($R116=$S$7,INDEX(TongVTSX!$H$3:$H$1500,$Q116),IF($R116=$S$2,SUMPRODUCT((TongVTSX!$C$3:$C$1500=$D116)*(TongVTSX!$E$3:$E$1500=$F116)*(TongVTSX!$K$3:$K$1500))/$U116,SUMPRODUCT((TongVTSX!$C$3:$C$1500=$D116)*(TongVTSX!$E$3:$E$1500=$F116)*(TongVTSX!$K$3:$K$1500)))))</f>
        <v>0</v>
      </c>
      <c r="N116" s="92">
        <f ca="1">IF($Q116="",0, IF($R116=$S$7,$F116*$M116*$K116,IF($R116=$S$2,$M116*$K116,    IF($M116*$K116 - SUMPRODUCT((TongVTSX!$C$3:$C$1500=$D116)*(TongVTSX!$E$3:$E$1500=$F116)*(TongVTSX!$O$3:$O$1500)) &lt;=10,$M116*$K116,"PO &lt;&gt; TongVTSX"))))</f>
        <v>0</v>
      </c>
      <c r="O116" s="92">
        <f t="shared" ca="1" si="5"/>
        <v>0</v>
      </c>
      <c r="P116" s="1146" t="str">
        <f ca="1">IFERROR(INDEX(NVLSX!$AA$2:$AA$6756,MATCH($D116,NVLSX!$E$2:$E$6756,0)),"")</f>
        <v/>
      </c>
      <c r="Q116" s="742" t="str">
        <f ca="1">IF($R116="","",IF($R116&lt;&gt;$R115,IF(TYPE(MATCH($R116,TongVTSX!$T$3:$T$1500,0))=16,"",MATCH($R116,TongVTSX!$T$3:$T$1500,0)),IF(TYPE(MATCH($R116,OFFSET(TongVTSX!$T$3,$Q115,0):'TongVTSX'!$T$1500,0)+$Q115)=16,"",MATCH($R116,OFFSET(TongVTSX!$T$3,$Q115,0):'TongVTSX'!$T$1500,0)+$Q115)))</f>
        <v/>
      </c>
      <c r="R116" s="179" t="str">
        <f ca="1">IFERROR(IF(COUNTIF($R$3:R115,R115)&lt; INDEX($T$1:$T$7,MATCH($R115,$S$1:$S$7,0)),$R115,INDEX($S$1:$S$7,MATCH($R115,$S$1:$S$7,0)+1)),"")</f>
        <v/>
      </c>
      <c r="S116" s="181"/>
      <c r="T116" s="182"/>
      <c r="U116" s="184" t="str">
        <f ca="1">IF($R116="PR",INDEX(NVLSX!$U$2:$U$6941,MATCH($D116,NVLSX!$E$2:$E$6941,0)),"")</f>
        <v/>
      </c>
      <c r="V116" s="184" t="str">
        <f ca="1">IF($R116="PR",INDEX(NVLSX!$S$2:$S$6941,MATCH($D116,NVLSX!$E$2:$E$6941,0))*1000,"")</f>
        <v/>
      </c>
      <c r="W116" s="776" t="str">
        <f ca="1">IF($R116="PR",INDEX(NVLSX!$S$2:$S$6941,MATCH($D116,NVLSX!$E$2:$E$6941,0))*INDEX(NVLSX!$T$2:$T$6941,MATCH($D116,NVLSX!$E$2:$E$6941,0)),"")</f>
        <v/>
      </c>
      <c r="X116" s="776">
        <f t="shared" ca="1" si="4"/>
        <v>0</v>
      </c>
      <c r="Y116" s="982" t="str">
        <f ca="1">IFERROR(INDEX(NVLSX!$X$2:$X$4655,MATCH($D116,NVLSX!$E$2:$E$4655,0)),"")</f>
        <v/>
      </c>
    </row>
    <row r="117" spans="1:25">
      <c r="A117" s="19" t="str">
        <f ca="1">IF($Q117="","",MAX($A$2:A116)+1)</f>
        <v/>
      </c>
      <c r="B117" s="1146" t="str">
        <f ca="1">IFERROR(INDEX(NVLSX!$Y$2:$Y$6756,MATCH($D117,NVLSX!$E$2:$E$6756,0)),"")</f>
        <v/>
      </c>
      <c r="C117" s="1146" t="str">
        <f ca="1">IFERROR(INDEX(NVLSX!$Z$2:$Z$6756,MATCH($D117,NVLSX!$E$2:$E$6756,0)),"")</f>
        <v/>
      </c>
      <c r="D117" s="23" t="str">
        <f ca="1">IF($Q117="","",INDEX(TongVTSX!C$3:C$1500,$Q117))</f>
        <v/>
      </c>
      <c r="E117" s="729" t="str">
        <f ca="1">IF($Q117="","",INDEX(TongVTSX!D$3:D$1500,$Q117) &amp; IF(OR($R117=$S$1,$R117=$S$7)," (" &amp; INDEX(TongVTSX!A$3:A$1500,$Q117) &amp; ")",""))</f>
        <v/>
      </c>
      <c r="F117" s="745" t="str">
        <f ca="1">IF($Q117="","",IF($R117=$S$7,INDEX(TongVTSX!$G$3:$G$1500,$Q117),INDEX(TongVTSX!$E$3:$E$1500,$Q117)))</f>
        <v/>
      </c>
      <c r="G117" s="24" t="str">
        <f ca="1">IF($Q117="","",IF($R117=$S$1,"mm",IF($R117=$S$2,"Thanh",INDEX(TongVTSX!F$3:F$1500,$Q117))))</f>
        <v/>
      </c>
      <c r="H117" s="114">
        <f ca="1">IF($R117=$S$1,INDEX(TongVTSX!$K$3:$K$1500,$Q117),IF($R117=$S$7,INDEX(TongVTSX!$H$3:$H$1500,$Q117),IF($R117=$S$2,ROUNDUP(SUMPRODUCT((TongVTSX!$C$3:$C$1500=$D117)*(TongVTSX!$E$3:$E$1500=$F117)*(TongVTSX!$K$3:$K$1500))/$U117,0),SUMPRODUCT((TongVTSX!$C$3:$C$1500=$D117)*(TongVTSX!$E$3:$E$1500=$F117)*(TongVTSX!$K$3:$K$1500)))))</f>
        <v>0</v>
      </c>
      <c r="I117" s="114"/>
      <c r="J117" s="114"/>
      <c r="K117" s="114" t="str">
        <f ca="1">IF($Q117="","",IF($R117=$S$2,INDEX(TongVTSX!M$3:M$1500,$Q117)*$U117,   INDEX(TongVTSX!M$3:M$1500,$Q117)))</f>
        <v/>
      </c>
      <c r="L117" s="92">
        <f ca="1">IF($Q117="",0, IF($R117=$S$7,$F117*$H117*$K117,IF($R117=$S$2,$H117*$K117,    IF($H117*$K117 - SUMPRODUCT((TongVTSX!$C$3:$C$1500=$D117)*(TongVTSX!$E$3:$E$1500=$F117)*(TongVTSX!$O$3:$O$1500)) &lt;=10,$H117*$K117,"PO &lt;&gt; TongVTSX"))))</f>
        <v>0</v>
      </c>
      <c r="M117" s="114">
        <f ca="1">IF($R117=$S$1,INDEX(TongVTSX!$K$3:$K$1500,$Q117),IF($R117=$S$7,INDEX(TongVTSX!$H$3:$H$1500,$Q117),IF($R117=$S$2,SUMPRODUCT((TongVTSX!$C$3:$C$1500=$D117)*(TongVTSX!$E$3:$E$1500=$F117)*(TongVTSX!$K$3:$K$1500))/$U117,SUMPRODUCT((TongVTSX!$C$3:$C$1500=$D117)*(TongVTSX!$E$3:$E$1500=$F117)*(TongVTSX!$K$3:$K$1500)))))</f>
        <v>0</v>
      </c>
      <c r="N117" s="92">
        <f ca="1">IF($Q117="",0, IF($R117=$S$7,$F117*$M117*$K117,IF($R117=$S$2,$M117*$K117,    IF($M117*$K117 - SUMPRODUCT((TongVTSX!$C$3:$C$1500=$D117)*(TongVTSX!$E$3:$E$1500=$F117)*(TongVTSX!$O$3:$O$1500)) &lt;=10,$M117*$K117,"PO &lt;&gt; TongVTSX"))))</f>
        <v>0</v>
      </c>
      <c r="O117" s="92">
        <f t="shared" ca="1" si="5"/>
        <v>0</v>
      </c>
      <c r="P117" s="1146" t="str">
        <f ca="1">IFERROR(INDEX(NVLSX!$AA$2:$AA$6756,MATCH($D117,NVLSX!$E$2:$E$6756,0)),"")</f>
        <v/>
      </c>
      <c r="Q117" s="742" t="str">
        <f ca="1">IF($R117="","",IF($R117&lt;&gt;$R116,IF(TYPE(MATCH($R117,TongVTSX!$T$3:$T$1500,0))=16,"",MATCH($R117,TongVTSX!$T$3:$T$1500,0)),IF(TYPE(MATCH($R117,OFFSET(TongVTSX!$T$3,$Q116,0):'TongVTSX'!$T$1500,0)+$Q116)=16,"",MATCH($R117,OFFSET(TongVTSX!$T$3,$Q116,0):'TongVTSX'!$T$1500,0)+$Q116)))</f>
        <v/>
      </c>
      <c r="R117" s="179" t="str">
        <f ca="1">IFERROR(IF(COUNTIF($R$3:R116,R116)&lt; INDEX($T$1:$T$7,MATCH($R116,$S$1:$S$7,0)),$R116,INDEX($S$1:$S$7,MATCH($R116,$S$1:$S$7,0)+1)),"")</f>
        <v/>
      </c>
      <c r="S117" s="181"/>
      <c r="T117" s="182"/>
      <c r="U117" s="184" t="str">
        <f ca="1">IF($R117="PR",INDEX(NVLSX!$U$2:$U$6941,MATCH($D117,NVLSX!$E$2:$E$6941,0)),"")</f>
        <v/>
      </c>
      <c r="V117" s="184" t="str">
        <f ca="1">IF($R117="PR",INDEX(NVLSX!$S$2:$S$6941,MATCH($D117,NVLSX!$E$2:$E$6941,0))*1000,"")</f>
        <v/>
      </c>
      <c r="W117" s="776" t="str">
        <f ca="1">IF($R117="PR",INDEX(NVLSX!$S$2:$S$6941,MATCH($D117,NVLSX!$E$2:$E$6941,0))*INDEX(NVLSX!$T$2:$T$6941,MATCH($D117,NVLSX!$E$2:$E$6941,0)),"")</f>
        <v/>
      </c>
      <c r="X117" s="776">
        <f t="shared" ca="1" si="4"/>
        <v>0</v>
      </c>
      <c r="Y117" s="982" t="str">
        <f ca="1">IFERROR(INDEX(NVLSX!$X$2:$X$4655,MATCH($D117,NVLSX!$E$2:$E$4655,0)),"")</f>
        <v/>
      </c>
    </row>
    <row r="118" spans="1:25">
      <c r="A118" s="19" t="str">
        <f ca="1">IF($Q118="","",MAX($A$2:A117)+1)</f>
        <v/>
      </c>
      <c r="B118" s="1146" t="str">
        <f ca="1">IFERROR(INDEX(NVLSX!$Y$2:$Y$6756,MATCH($D118,NVLSX!$E$2:$E$6756,0)),"")</f>
        <v/>
      </c>
      <c r="C118" s="1146" t="str">
        <f ca="1">IFERROR(INDEX(NVLSX!$Z$2:$Z$6756,MATCH($D118,NVLSX!$E$2:$E$6756,0)),"")</f>
        <v/>
      </c>
      <c r="D118" s="23" t="str">
        <f ca="1">IF($Q118="","",INDEX(TongVTSX!C$3:C$1500,$Q118))</f>
        <v/>
      </c>
      <c r="E118" s="729" t="str">
        <f ca="1">IF($Q118="","",INDEX(TongVTSX!D$3:D$1500,$Q118) &amp; IF(OR($R118=$S$1,$R118=$S$7)," (" &amp; INDEX(TongVTSX!A$3:A$1500,$Q118) &amp; ")",""))</f>
        <v/>
      </c>
      <c r="F118" s="745" t="str">
        <f ca="1">IF($Q118="","",IF($R118=$S$7,INDEX(TongVTSX!$G$3:$G$1500,$Q118),INDEX(TongVTSX!$E$3:$E$1500,$Q118)))</f>
        <v/>
      </c>
      <c r="G118" s="24" t="str">
        <f ca="1">IF($Q118="","",IF($R118=$S$1,"mm",IF($R118=$S$2,"Thanh",INDEX(TongVTSX!F$3:F$1500,$Q118))))</f>
        <v/>
      </c>
      <c r="H118" s="114">
        <f ca="1">IF($R118=$S$1,INDEX(TongVTSX!$K$3:$K$1500,$Q118),IF($R118=$S$7,INDEX(TongVTSX!$H$3:$H$1500,$Q118),IF($R118=$S$2,ROUNDUP(SUMPRODUCT((TongVTSX!$C$3:$C$1500=$D118)*(TongVTSX!$E$3:$E$1500=$F118)*(TongVTSX!$K$3:$K$1500))/$U118,0),SUMPRODUCT((TongVTSX!$C$3:$C$1500=$D118)*(TongVTSX!$E$3:$E$1500=$F118)*(TongVTSX!$K$3:$K$1500)))))</f>
        <v>0</v>
      </c>
      <c r="I118" s="114"/>
      <c r="J118" s="114"/>
      <c r="K118" s="114" t="str">
        <f ca="1">IF($Q118="","",IF($R118=$S$2,INDEX(TongVTSX!M$3:M$1500,$Q118)*$U118,   INDEX(TongVTSX!M$3:M$1500,$Q118)))</f>
        <v/>
      </c>
      <c r="L118" s="92">
        <f ca="1">IF($Q118="",0, IF($R118=$S$7,$F118*$H118*$K118,IF($R118=$S$2,$H118*$K118,    IF($H118*$K118 - SUMPRODUCT((TongVTSX!$C$3:$C$1500=$D118)*(TongVTSX!$E$3:$E$1500=$F118)*(TongVTSX!$O$3:$O$1500)) &lt;=10,$H118*$K118,"PO &lt;&gt; TongVTSX"))))</f>
        <v>0</v>
      </c>
      <c r="M118" s="114">
        <f ca="1">IF($R118=$S$1,INDEX(TongVTSX!$K$3:$K$1500,$Q118),IF($R118=$S$7,INDEX(TongVTSX!$H$3:$H$1500,$Q118),IF($R118=$S$2,SUMPRODUCT((TongVTSX!$C$3:$C$1500=$D118)*(TongVTSX!$E$3:$E$1500=$F118)*(TongVTSX!$K$3:$K$1500))/$U118,SUMPRODUCT((TongVTSX!$C$3:$C$1500=$D118)*(TongVTSX!$E$3:$E$1500=$F118)*(TongVTSX!$K$3:$K$1500)))))</f>
        <v>0</v>
      </c>
      <c r="N118" s="92">
        <f ca="1">IF($Q118="",0, IF($R118=$S$7,$F118*$M118*$K118,IF($R118=$S$2,$M118*$K118,    IF($M118*$K118 - SUMPRODUCT((TongVTSX!$C$3:$C$1500=$D118)*(TongVTSX!$E$3:$E$1500=$F118)*(TongVTSX!$O$3:$O$1500)) &lt;=10,$M118*$K118,"PO &lt;&gt; TongVTSX"))))</f>
        <v>0</v>
      </c>
      <c r="O118" s="92">
        <f t="shared" ca="1" si="5"/>
        <v>0</v>
      </c>
      <c r="P118" s="1146" t="str">
        <f ca="1">IFERROR(INDEX(NVLSX!$AA$2:$AA$6756,MATCH($D118,NVLSX!$E$2:$E$6756,0)),"")</f>
        <v/>
      </c>
      <c r="Q118" s="742" t="str">
        <f ca="1">IF($R118="","",IF($R118&lt;&gt;$R117,IF(TYPE(MATCH($R118,TongVTSX!$T$3:$T$1500,0))=16,"",MATCH($R118,TongVTSX!$T$3:$T$1500,0)),IF(TYPE(MATCH($R118,OFFSET(TongVTSX!$T$3,$Q117,0):'TongVTSX'!$T$1500,0)+$Q117)=16,"",MATCH($R118,OFFSET(TongVTSX!$T$3,$Q117,0):'TongVTSX'!$T$1500,0)+$Q117)))</f>
        <v/>
      </c>
      <c r="R118" s="179" t="str">
        <f ca="1">IFERROR(IF(COUNTIF($R$3:R117,R117)&lt; INDEX($T$1:$T$7,MATCH($R117,$S$1:$S$7,0)),$R117,INDEX($S$1:$S$7,MATCH($R117,$S$1:$S$7,0)+1)),"")</f>
        <v/>
      </c>
      <c r="S118" s="181"/>
      <c r="T118" s="182"/>
      <c r="U118" s="184" t="str">
        <f ca="1">IF($R118="PR",INDEX(NVLSX!$U$2:$U$6941,MATCH($D118,NVLSX!$E$2:$E$6941,0)),"")</f>
        <v/>
      </c>
      <c r="V118" s="184" t="str">
        <f ca="1">IF($R118="PR",INDEX(NVLSX!$S$2:$S$6941,MATCH($D118,NVLSX!$E$2:$E$6941,0))*1000,"")</f>
        <v/>
      </c>
      <c r="W118" s="776" t="str">
        <f ca="1">IF($R118="PR",INDEX(NVLSX!$S$2:$S$6941,MATCH($D118,NVLSX!$E$2:$E$6941,0))*INDEX(NVLSX!$T$2:$T$6941,MATCH($D118,NVLSX!$E$2:$E$6941,0)),"")</f>
        <v/>
      </c>
      <c r="X118" s="776">
        <f t="shared" ca="1" si="4"/>
        <v>0</v>
      </c>
      <c r="Y118" s="982" t="str">
        <f ca="1">IFERROR(INDEX(NVLSX!$X$2:$X$4655,MATCH($D118,NVLSX!$E$2:$E$4655,0)),"")</f>
        <v/>
      </c>
    </row>
    <row r="119" spans="1:25">
      <c r="A119" s="19" t="str">
        <f ca="1">IF($Q119="","",MAX($A$2:A118)+1)</f>
        <v/>
      </c>
      <c r="B119" s="1146" t="str">
        <f ca="1">IFERROR(INDEX(NVLSX!$Y$2:$Y$6756,MATCH($D119,NVLSX!$E$2:$E$6756,0)),"")</f>
        <v/>
      </c>
      <c r="C119" s="1146" t="str">
        <f ca="1">IFERROR(INDEX(NVLSX!$Z$2:$Z$6756,MATCH($D119,NVLSX!$E$2:$E$6756,0)),"")</f>
        <v/>
      </c>
      <c r="D119" s="23" t="str">
        <f ca="1">IF($Q119="","",INDEX(TongVTSX!C$3:C$1500,$Q119))</f>
        <v/>
      </c>
      <c r="E119" s="729" t="str">
        <f ca="1">IF($Q119="","",INDEX(TongVTSX!D$3:D$1500,$Q119) &amp; IF(OR($R119=$S$1,$R119=$S$7)," (" &amp; INDEX(TongVTSX!A$3:A$1500,$Q119) &amp; ")",""))</f>
        <v/>
      </c>
      <c r="F119" s="745" t="str">
        <f ca="1">IF($Q119="","",IF($R119=$S$7,INDEX(TongVTSX!$G$3:$G$1500,$Q119),INDEX(TongVTSX!$E$3:$E$1500,$Q119)))</f>
        <v/>
      </c>
      <c r="G119" s="24" t="str">
        <f ca="1">IF($Q119="","",IF($R119=$S$1,"mm",IF($R119=$S$2,"Thanh",INDEX(TongVTSX!F$3:F$1500,$Q119))))</f>
        <v/>
      </c>
      <c r="H119" s="114">
        <f ca="1">IF($R119=$S$1,INDEX(TongVTSX!$K$3:$K$1500,$Q119),IF($R119=$S$7,INDEX(TongVTSX!$H$3:$H$1500,$Q119),IF($R119=$S$2,ROUNDUP(SUMPRODUCT((TongVTSX!$C$3:$C$1500=$D119)*(TongVTSX!$E$3:$E$1500=$F119)*(TongVTSX!$K$3:$K$1500))/$U119,0),SUMPRODUCT((TongVTSX!$C$3:$C$1500=$D119)*(TongVTSX!$E$3:$E$1500=$F119)*(TongVTSX!$K$3:$K$1500)))))</f>
        <v>0</v>
      </c>
      <c r="I119" s="114"/>
      <c r="J119" s="114"/>
      <c r="K119" s="114" t="str">
        <f ca="1">IF($Q119="","",IF($R119=$S$2,INDEX(TongVTSX!M$3:M$1500,$Q119)*$U119,   INDEX(TongVTSX!M$3:M$1500,$Q119)))</f>
        <v/>
      </c>
      <c r="L119" s="92">
        <f ca="1">IF($Q119="",0, IF($R119=$S$7,$F119*$H119*$K119,IF($R119=$S$2,$H119*$K119,    IF($H119*$K119 - SUMPRODUCT((TongVTSX!$C$3:$C$1500=$D119)*(TongVTSX!$E$3:$E$1500=$F119)*(TongVTSX!$O$3:$O$1500)) &lt;=10,$H119*$K119,"PO &lt;&gt; TongVTSX"))))</f>
        <v>0</v>
      </c>
      <c r="M119" s="114">
        <f ca="1">IF($R119=$S$1,INDEX(TongVTSX!$K$3:$K$1500,$Q119),IF($R119=$S$7,INDEX(TongVTSX!$H$3:$H$1500,$Q119),IF($R119=$S$2,SUMPRODUCT((TongVTSX!$C$3:$C$1500=$D119)*(TongVTSX!$E$3:$E$1500=$F119)*(TongVTSX!$K$3:$K$1500))/$U119,SUMPRODUCT((TongVTSX!$C$3:$C$1500=$D119)*(TongVTSX!$E$3:$E$1500=$F119)*(TongVTSX!$K$3:$K$1500)))))</f>
        <v>0</v>
      </c>
      <c r="N119" s="92">
        <f ca="1">IF($Q119="",0, IF($R119=$S$7,$F119*$M119*$K119,IF($R119=$S$2,$M119*$K119,    IF($M119*$K119 - SUMPRODUCT((TongVTSX!$C$3:$C$1500=$D119)*(TongVTSX!$E$3:$E$1500=$F119)*(TongVTSX!$O$3:$O$1500)) &lt;=10,$M119*$K119,"PO &lt;&gt; TongVTSX"))))</f>
        <v>0</v>
      </c>
      <c r="O119" s="92">
        <f t="shared" ca="1" si="5"/>
        <v>0</v>
      </c>
      <c r="P119" s="1146" t="str">
        <f ca="1">IFERROR(INDEX(NVLSX!$AA$2:$AA$6756,MATCH($D119,NVLSX!$E$2:$E$6756,0)),"")</f>
        <v/>
      </c>
      <c r="Q119" s="742" t="str">
        <f ca="1">IF($R119="","",IF($R119&lt;&gt;$R118,IF(TYPE(MATCH($R119,TongVTSX!$T$3:$T$1500,0))=16,"",MATCH($R119,TongVTSX!$T$3:$T$1500,0)),IF(TYPE(MATCH($R119,OFFSET(TongVTSX!$T$3,$Q118,0):'TongVTSX'!$T$1500,0)+$Q118)=16,"",MATCH($R119,OFFSET(TongVTSX!$T$3,$Q118,0):'TongVTSX'!$T$1500,0)+$Q118)))</f>
        <v/>
      </c>
      <c r="R119" s="179" t="str">
        <f ca="1">IFERROR(IF(COUNTIF($R$3:R118,R118)&lt; INDEX($T$1:$T$7,MATCH($R118,$S$1:$S$7,0)),$R118,INDEX($S$1:$S$7,MATCH($R118,$S$1:$S$7,0)+1)),"")</f>
        <v/>
      </c>
      <c r="S119" s="181"/>
      <c r="T119" s="182"/>
      <c r="U119" s="184" t="str">
        <f ca="1">IF($R119="PR",INDEX(NVLSX!$U$2:$U$6941,MATCH($D119,NVLSX!$E$2:$E$6941,0)),"")</f>
        <v/>
      </c>
      <c r="V119" s="184" t="str">
        <f ca="1">IF($R119="PR",INDEX(NVLSX!$S$2:$S$6941,MATCH($D119,NVLSX!$E$2:$E$6941,0))*1000,"")</f>
        <v/>
      </c>
      <c r="W119" s="776" t="str">
        <f ca="1">IF($R119="PR",INDEX(NVLSX!$S$2:$S$6941,MATCH($D119,NVLSX!$E$2:$E$6941,0))*INDEX(NVLSX!$T$2:$T$6941,MATCH($D119,NVLSX!$E$2:$E$6941,0)),"")</f>
        <v/>
      </c>
      <c r="X119" s="776">
        <f t="shared" ca="1" si="4"/>
        <v>0</v>
      </c>
      <c r="Y119" s="982" t="str">
        <f ca="1">IFERROR(INDEX(NVLSX!$X$2:$X$4655,MATCH($D119,NVLSX!$E$2:$E$4655,0)),"")</f>
        <v/>
      </c>
    </row>
    <row r="120" spans="1:25">
      <c r="A120" s="19" t="str">
        <f ca="1">IF($Q120="","",MAX($A$2:A119)+1)</f>
        <v/>
      </c>
      <c r="B120" s="1146" t="str">
        <f ca="1">IFERROR(INDEX(NVLSX!$Y$2:$Y$6756,MATCH($D120,NVLSX!$E$2:$E$6756,0)),"")</f>
        <v/>
      </c>
      <c r="C120" s="1146" t="str">
        <f ca="1">IFERROR(INDEX(NVLSX!$Z$2:$Z$6756,MATCH($D120,NVLSX!$E$2:$E$6756,0)),"")</f>
        <v/>
      </c>
      <c r="D120" s="23" t="str">
        <f ca="1">IF($Q120="","",INDEX(TongVTSX!C$3:C$1500,$Q120))</f>
        <v/>
      </c>
      <c r="E120" s="729" t="str">
        <f ca="1">IF($Q120="","",INDEX(TongVTSX!D$3:D$1500,$Q120) &amp; IF(OR($R120=$S$1,$R120=$S$7)," (" &amp; INDEX(TongVTSX!A$3:A$1500,$Q120) &amp; ")",""))</f>
        <v/>
      </c>
      <c r="F120" s="745" t="str">
        <f ca="1">IF($Q120="","",IF($R120=$S$7,INDEX(TongVTSX!$G$3:$G$1500,$Q120),INDEX(TongVTSX!$E$3:$E$1500,$Q120)))</f>
        <v/>
      </c>
      <c r="G120" s="24" t="str">
        <f ca="1">IF($Q120="","",IF($R120=$S$1,"mm",IF($R120=$S$2,"Thanh",INDEX(TongVTSX!F$3:F$1500,$Q120))))</f>
        <v/>
      </c>
      <c r="H120" s="114">
        <f ca="1">IF($R120=$S$1,INDEX(TongVTSX!$K$3:$K$1500,$Q120),IF($R120=$S$7,INDEX(TongVTSX!$H$3:$H$1500,$Q120),IF($R120=$S$2,ROUNDUP(SUMPRODUCT((TongVTSX!$C$3:$C$1500=$D120)*(TongVTSX!$E$3:$E$1500=$F120)*(TongVTSX!$K$3:$K$1500))/$U120,0),SUMPRODUCT((TongVTSX!$C$3:$C$1500=$D120)*(TongVTSX!$E$3:$E$1500=$F120)*(TongVTSX!$K$3:$K$1500)))))</f>
        <v>0</v>
      </c>
      <c r="I120" s="114"/>
      <c r="J120" s="114"/>
      <c r="K120" s="114" t="str">
        <f ca="1">IF($Q120="","",IF($R120=$S$2,INDEX(TongVTSX!M$3:M$1500,$Q120)*$U120,   INDEX(TongVTSX!M$3:M$1500,$Q120)))</f>
        <v/>
      </c>
      <c r="L120" s="92">
        <f ca="1">IF($Q120="",0, IF($R120=$S$7,$F120*$H120*$K120,IF($R120=$S$2,$H120*$K120,    IF($H120*$K120 - SUMPRODUCT((TongVTSX!$C$3:$C$1500=$D120)*(TongVTSX!$E$3:$E$1500=$F120)*(TongVTSX!$O$3:$O$1500)) &lt;=10,$H120*$K120,"PO &lt;&gt; TongVTSX"))))</f>
        <v>0</v>
      </c>
      <c r="M120" s="114">
        <f ca="1">IF($R120=$S$1,INDEX(TongVTSX!$K$3:$K$1500,$Q120),IF($R120=$S$7,INDEX(TongVTSX!$H$3:$H$1500,$Q120),IF($R120=$S$2,SUMPRODUCT((TongVTSX!$C$3:$C$1500=$D120)*(TongVTSX!$E$3:$E$1500=$F120)*(TongVTSX!$K$3:$K$1500))/$U120,SUMPRODUCT((TongVTSX!$C$3:$C$1500=$D120)*(TongVTSX!$E$3:$E$1500=$F120)*(TongVTSX!$K$3:$K$1500)))))</f>
        <v>0</v>
      </c>
      <c r="N120" s="92">
        <f ca="1">IF($Q120="",0, IF($R120=$S$7,$F120*$M120*$K120,IF($R120=$S$2,$M120*$K120,    IF($M120*$K120 - SUMPRODUCT((TongVTSX!$C$3:$C$1500=$D120)*(TongVTSX!$E$3:$E$1500=$F120)*(TongVTSX!$O$3:$O$1500)) &lt;=10,$M120*$K120,"PO &lt;&gt; TongVTSX"))))</f>
        <v>0</v>
      </c>
      <c r="O120" s="92">
        <f t="shared" ca="1" si="5"/>
        <v>0</v>
      </c>
      <c r="P120" s="1146" t="str">
        <f ca="1">IFERROR(INDEX(NVLSX!$AA$2:$AA$6756,MATCH($D120,NVLSX!$E$2:$E$6756,0)),"")</f>
        <v/>
      </c>
      <c r="Q120" s="742" t="str">
        <f ca="1">IF($R120="","",IF($R120&lt;&gt;$R119,IF(TYPE(MATCH($R120,TongVTSX!$T$3:$T$1500,0))=16,"",MATCH($R120,TongVTSX!$T$3:$T$1500,0)),IF(TYPE(MATCH($R120,OFFSET(TongVTSX!$T$3,$Q119,0):'TongVTSX'!$T$1500,0)+$Q119)=16,"",MATCH($R120,OFFSET(TongVTSX!$T$3,$Q119,0):'TongVTSX'!$T$1500,0)+$Q119)))</f>
        <v/>
      </c>
      <c r="R120" s="179" t="str">
        <f ca="1">IFERROR(IF(COUNTIF($R$3:R119,R119)&lt; INDEX($T$1:$T$7,MATCH($R119,$S$1:$S$7,0)),$R119,INDEX($S$1:$S$7,MATCH($R119,$S$1:$S$7,0)+1)),"")</f>
        <v/>
      </c>
      <c r="S120" s="181"/>
      <c r="T120" s="182"/>
      <c r="U120" s="184" t="str">
        <f ca="1">IF($R120="PR",INDEX(NVLSX!$U$2:$U$6941,MATCH($D120,NVLSX!$E$2:$E$6941,0)),"")</f>
        <v/>
      </c>
      <c r="V120" s="184" t="str">
        <f ca="1">IF($R120="PR",INDEX(NVLSX!$S$2:$S$6941,MATCH($D120,NVLSX!$E$2:$E$6941,0))*1000,"")</f>
        <v/>
      </c>
      <c r="W120" s="776" t="str">
        <f ca="1">IF($R120="PR",INDEX(NVLSX!$S$2:$S$6941,MATCH($D120,NVLSX!$E$2:$E$6941,0))*INDEX(NVLSX!$T$2:$T$6941,MATCH($D120,NVLSX!$E$2:$E$6941,0)),"")</f>
        <v/>
      </c>
      <c r="X120" s="776">
        <f t="shared" ca="1" si="4"/>
        <v>0</v>
      </c>
      <c r="Y120" s="982" t="str">
        <f ca="1">IFERROR(INDEX(NVLSX!$X$2:$X$4655,MATCH($D120,NVLSX!$E$2:$E$4655,0)),"")</f>
        <v/>
      </c>
    </row>
    <row r="121" spans="1:25">
      <c r="A121" s="19" t="str">
        <f ca="1">IF($Q121="","",MAX($A$2:A120)+1)</f>
        <v/>
      </c>
      <c r="B121" s="1146" t="str">
        <f ca="1">IFERROR(INDEX(NVLSX!$Y$2:$Y$6756,MATCH($D121,NVLSX!$E$2:$E$6756,0)),"")</f>
        <v/>
      </c>
      <c r="C121" s="1146" t="str">
        <f ca="1">IFERROR(INDEX(NVLSX!$Z$2:$Z$6756,MATCH($D121,NVLSX!$E$2:$E$6756,0)),"")</f>
        <v/>
      </c>
      <c r="D121" s="23" t="str">
        <f ca="1">IF($Q121="","",INDEX(TongVTSX!C$3:C$1500,$Q121))</f>
        <v/>
      </c>
      <c r="E121" s="729" t="str">
        <f ca="1">IF($Q121="","",INDEX(TongVTSX!D$3:D$1500,$Q121) &amp; IF(OR($R121=$S$1,$R121=$S$7)," (" &amp; INDEX(TongVTSX!A$3:A$1500,$Q121) &amp; ")",""))</f>
        <v/>
      </c>
      <c r="F121" s="745" t="str">
        <f ca="1">IF($Q121="","",IF($R121=$S$7,INDEX(TongVTSX!$G$3:$G$1500,$Q121),INDEX(TongVTSX!$E$3:$E$1500,$Q121)))</f>
        <v/>
      </c>
      <c r="G121" s="24" t="str">
        <f ca="1">IF($Q121="","",IF($R121=$S$1,"mm",IF($R121=$S$2,"Thanh",INDEX(TongVTSX!F$3:F$1500,$Q121))))</f>
        <v/>
      </c>
      <c r="H121" s="114">
        <f ca="1">IF($R121=$S$1,INDEX(TongVTSX!$K$3:$K$1500,$Q121),IF($R121=$S$7,INDEX(TongVTSX!$H$3:$H$1500,$Q121),IF($R121=$S$2,ROUNDUP(SUMPRODUCT((TongVTSX!$C$3:$C$1500=$D121)*(TongVTSX!$E$3:$E$1500=$F121)*(TongVTSX!$K$3:$K$1500))/$U121,0),SUMPRODUCT((TongVTSX!$C$3:$C$1500=$D121)*(TongVTSX!$E$3:$E$1500=$F121)*(TongVTSX!$K$3:$K$1500)))))</f>
        <v>0</v>
      </c>
      <c r="I121" s="114"/>
      <c r="J121" s="114"/>
      <c r="K121" s="114" t="str">
        <f ca="1">IF($Q121="","",IF($R121=$S$2,INDEX(TongVTSX!M$3:M$1500,$Q121)*$U121,   INDEX(TongVTSX!M$3:M$1500,$Q121)))</f>
        <v/>
      </c>
      <c r="L121" s="92">
        <f ca="1">IF($Q121="",0, IF($R121=$S$7,$F121*$H121*$K121,IF($R121=$S$2,$H121*$K121,    IF($H121*$K121 - SUMPRODUCT((TongVTSX!$C$3:$C$1500=$D121)*(TongVTSX!$E$3:$E$1500=$F121)*(TongVTSX!$O$3:$O$1500)) &lt;=10,$H121*$K121,"PO &lt;&gt; TongVTSX"))))</f>
        <v>0</v>
      </c>
      <c r="M121" s="114">
        <f ca="1">IF($R121=$S$1,INDEX(TongVTSX!$K$3:$K$1500,$Q121),IF($R121=$S$7,INDEX(TongVTSX!$H$3:$H$1500,$Q121),IF($R121=$S$2,SUMPRODUCT((TongVTSX!$C$3:$C$1500=$D121)*(TongVTSX!$E$3:$E$1500=$F121)*(TongVTSX!$K$3:$K$1500))/$U121,SUMPRODUCT((TongVTSX!$C$3:$C$1500=$D121)*(TongVTSX!$E$3:$E$1500=$F121)*(TongVTSX!$K$3:$K$1500)))))</f>
        <v>0</v>
      </c>
      <c r="N121" s="92">
        <f ca="1">IF($Q121="",0, IF($R121=$S$7,$F121*$M121*$K121,IF($R121=$S$2,$M121*$K121,    IF($M121*$K121 - SUMPRODUCT((TongVTSX!$C$3:$C$1500=$D121)*(TongVTSX!$E$3:$E$1500=$F121)*(TongVTSX!$O$3:$O$1500)) &lt;=10,$M121*$K121,"PO &lt;&gt; TongVTSX"))))</f>
        <v>0</v>
      </c>
      <c r="O121" s="92">
        <f t="shared" ca="1" si="5"/>
        <v>0</v>
      </c>
      <c r="P121" s="1146" t="str">
        <f ca="1">IFERROR(INDEX(NVLSX!$AA$2:$AA$6756,MATCH($D121,NVLSX!$E$2:$E$6756,0)),"")</f>
        <v/>
      </c>
      <c r="Q121" s="742" t="str">
        <f ca="1">IF($R121="","",IF($R121&lt;&gt;$R120,IF(TYPE(MATCH($R121,TongVTSX!$T$3:$T$1500,0))=16,"",MATCH($R121,TongVTSX!$T$3:$T$1500,0)),IF(TYPE(MATCH($R121,OFFSET(TongVTSX!$T$3,$Q120,0):'TongVTSX'!$T$1500,0)+$Q120)=16,"",MATCH($R121,OFFSET(TongVTSX!$T$3,$Q120,0):'TongVTSX'!$T$1500,0)+$Q120)))</f>
        <v/>
      </c>
      <c r="R121" s="179" t="str">
        <f ca="1">IFERROR(IF(COUNTIF($R$3:R120,R120)&lt; INDEX($T$1:$T$7,MATCH($R120,$S$1:$S$7,0)),$R120,INDEX($S$1:$S$7,MATCH($R120,$S$1:$S$7,0)+1)),"")</f>
        <v/>
      </c>
      <c r="S121" s="181"/>
      <c r="T121" s="182"/>
      <c r="U121" s="184" t="str">
        <f ca="1">IF($R121="PR",INDEX(NVLSX!$U$2:$U$6941,MATCH($D121,NVLSX!$E$2:$E$6941,0)),"")</f>
        <v/>
      </c>
      <c r="V121" s="184" t="str">
        <f ca="1">IF($R121="PR",INDEX(NVLSX!$S$2:$S$6941,MATCH($D121,NVLSX!$E$2:$E$6941,0))*1000,"")</f>
        <v/>
      </c>
      <c r="W121" s="776" t="str">
        <f ca="1">IF($R121="PR",INDEX(NVLSX!$S$2:$S$6941,MATCH($D121,NVLSX!$E$2:$E$6941,0))*INDEX(NVLSX!$T$2:$T$6941,MATCH($D121,NVLSX!$E$2:$E$6941,0)),"")</f>
        <v/>
      </c>
      <c r="X121" s="776">
        <f t="shared" ca="1" si="4"/>
        <v>0</v>
      </c>
      <c r="Y121" s="982" t="str">
        <f ca="1">IFERROR(INDEX(NVLSX!$X$2:$X$4655,MATCH($D121,NVLSX!$E$2:$E$4655,0)),"")</f>
        <v/>
      </c>
    </row>
    <row r="122" spans="1:25">
      <c r="A122" s="19" t="str">
        <f ca="1">IF($Q122="","",MAX($A$2:A121)+1)</f>
        <v/>
      </c>
      <c r="B122" s="1146" t="str">
        <f ca="1">IFERROR(INDEX(NVLSX!$Y$2:$Y$6756,MATCH($D122,NVLSX!$E$2:$E$6756,0)),"")</f>
        <v/>
      </c>
      <c r="C122" s="1146" t="str">
        <f ca="1">IFERROR(INDEX(NVLSX!$Z$2:$Z$6756,MATCH($D122,NVLSX!$E$2:$E$6756,0)),"")</f>
        <v/>
      </c>
      <c r="D122" s="23" t="str">
        <f ca="1">IF($Q122="","",INDEX(TongVTSX!C$3:C$1500,$Q122))</f>
        <v/>
      </c>
      <c r="E122" s="729" t="str">
        <f ca="1">IF($Q122="","",INDEX(TongVTSX!D$3:D$1500,$Q122) &amp; IF(OR($R122=$S$1,$R122=$S$7)," (" &amp; INDEX(TongVTSX!A$3:A$1500,$Q122) &amp; ")",""))</f>
        <v/>
      </c>
      <c r="F122" s="745" t="str">
        <f ca="1">IF($Q122="","",IF($R122=$S$7,INDEX(TongVTSX!$G$3:$G$1500,$Q122),INDEX(TongVTSX!$E$3:$E$1500,$Q122)))</f>
        <v/>
      </c>
      <c r="G122" s="24" t="str">
        <f ca="1">IF($Q122="","",IF($R122=$S$1,"mm",IF($R122=$S$2,"Thanh",INDEX(TongVTSX!F$3:F$1500,$Q122))))</f>
        <v/>
      </c>
      <c r="H122" s="114">
        <f ca="1">IF($R122=$S$1,INDEX(TongVTSX!$K$3:$K$1500,$Q122),IF($R122=$S$7,INDEX(TongVTSX!$H$3:$H$1500,$Q122),IF($R122=$S$2,ROUNDUP(SUMPRODUCT((TongVTSX!$C$3:$C$1500=$D122)*(TongVTSX!$E$3:$E$1500=$F122)*(TongVTSX!$K$3:$K$1500))/$U122,0),SUMPRODUCT((TongVTSX!$C$3:$C$1500=$D122)*(TongVTSX!$E$3:$E$1500=$F122)*(TongVTSX!$K$3:$K$1500)))))</f>
        <v>0</v>
      </c>
      <c r="I122" s="114"/>
      <c r="J122" s="114"/>
      <c r="K122" s="114" t="str">
        <f ca="1">IF($Q122="","",IF($R122=$S$2,INDEX(TongVTSX!M$3:M$1500,$Q122)*$U122,   INDEX(TongVTSX!M$3:M$1500,$Q122)))</f>
        <v/>
      </c>
      <c r="L122" s="92">
        <f ca="1">IF($Q122="",0, IF($R122=$S$7,$F122*$H122*$K122,IF($R122=$S$2,$H122*$K122,    IF($H122*$K122 - SUMPRODUCT((TongVTSX!$C$3:$C$1500=$D122)*(TongVTSX!$E$3:$E$1500=$F122)*(TongVTSX!$O$3:$O$1500)) &lt;=10,$H122*$K122,"PO &lt;&gt; TongVTSX"))))</f>
        <v>0</v>
      </c>
      <c r="M122" s="114">
        <f ca="1">IF($R122=$S$1,INDEX(TongVTSX!$K$3:$K$1500,$Q122),IF($R122=$S$7,INDEX(TongVTSX!$H$3:$H$1500,$Q122),IF($R122=$S$2,SUMPRODUCT((TongVTSX!$C$3:$C$1500=$D122)*(TongVTSX!$E$3:$E$1500=$F122)*(TongVTSX!$K$3:$K$1500))/$U122,SUMPRODUCT((TongVTSX!$C$3:$C$1500=$D122)*(TongVTSX!$E$3:$E$1500=$F122)*(TongVTSX!$K$3:$K$1500)))))</f>
        <v>0</v>
      </c>
      <c r="N122" s="92">
        <f ca="1">IF($Q122="",0, IF($R122=$S$7,$F122*$M122*$K122,IF($R122=$S$2,$M122*$K122,    IF($M122*$K122 - SUMPRODUCT((TongVTSX!$C$3:$C$1500=$D122)*(TongVTSX!$E$3:$E$1500=$F122)*(TongVTSX!$O$3:$O$1500)) &lt;=10,$M122*$K122,"PO &lt;&gt; TongVTSX"))))</f>
        <v>0</v>
      </c>
      <c r="O122" s="92">
        <f t="shared" ca="1" si="5"/>
        <v>0</v>
      </c>
      <c r="P122" s="1146" t="str">
        <f ca="1">IFERROR(INDEX(NVLSX!$AA$2:$AA$6756,MATCH($D122,NVLSX!$E$2:$E$6756,0)),"")</f>
        <v/>
      </c>
      <c r="Q122" s="742" t="str">
        <f ca="1">IF($R122="","",IF($R122&lt;&gt;$R121,IF(TYPE(MATCH($R122,TongVTSX!$T$3:$T$1500,0))=16,"",MATCH($R122,TongVTSX!$T$3:$T$1500,0)),IF(TYPE(MATCH($R122,OFFSET(TongVTSX!$T$3,$Q121,0):'TongVTSX'!$T$1500,0)+$Q121)=16,"",MATCH($R122,OFFSET(TongVTSX!$T$3,$Q121,0):'TongVTSX'!$T$1500,0)+$Q121)))</f>
        <v/>
      </c>
      <c r="R122" s="179" t="str">
        <f ca="1">IFERROR(IF(COUNTIF($R$3:R121,R121)&lt; INDEX($T$1:$T$7,MATCH($R121,$S$1:$S$7,0)),$R121,INDEX($S$1:$S$7,MATCH($R121,$S$1:$S$7,0)+1)),"")</f>
        <v/>
      </c>
      <c r="S122" s="181"/>
      <c r="T122" s="182"/>
      <c r="U122" s="184" t="str">
        <f ca="1">IF($R122="PR",INDEX(NVLSX!$U$2:$U$6941,MATCH($D122,NVLSX!$E$2:$E$6941,0)),"")</f>
        <v/>
      </c>
      <c r="V122" s="184" t="str">
        <f ca="1">IF($R122="PR",INDEX(NVLSX!$S$2:$S$6941,MATCH($D122,NVLSX!$E$2:$E$6941,0))*1000,"")</f>
        <v/>
      </c>
      <c r="W122" s="776" t="str">
        <f ca="1">IF($R122="PR",INDEX(NVLSX!$S$2:$S$6941,MATCH($D122,NVLSX!$E$2:$E$6941,0))*INDEX(NVLSX!$T$2:$T$6941,MATCH($D122,NVLSX!$E$2:$E$6941,0)),"")</f>
        <v/>
      </c>
      <c r="X122" s="776">
        <f t="shared" ca="1" si="4"/>
        <v>0</v>
      </c>
      <c r="Y122" s="982" t="str">
        <f ca="1">IFERROR(INDEX(NVLSX!$X$2:$X$4655,MATCH($D122,NVLSX!$E$2:$E$4655,0)),"")</f>
        <v/>
      </c>
    </row>
    <row r="123" spans="1:25">
      <c r="A123" s="19" t="str">
        <f ca="1">IF($Q123="","",MAX($A$2:A122)+1)</f>
        <v/>
      </c>
      <c r="B123" s="1146" t="str">
        <f ca="1">IFERROR(INDEX(NVLSX!$Y$2:$Y$6756,MATCH($D123,NVLSX!$E$2:$E$6756,0)),"")</f>
        <v/>
      </c>
      <c r="C123" s="1146" t="str">
        <f ca="1">IFERROR(INDEX(NVLSX!$Z$2:$Z$6756,MATCH($D123,NVLSX!$E$2:$E$6756,0)),"")</f>
        <v/>
      </c>
      <c r="D123" s="23" t="str">
        <f ca="1">IF($Q123="","",INDEX(TongVTSX!C$3:C$1500,$Q123))</f>
        <v/>
      </c>
      <c r="E123" s="729" t="str">
        <f ca="1">IF($Q123="","",INDEX(TongVTSX!D$3:D$1500,$Q123) &amp; IF(OR($R123=$S$1,$R123=$S$7)," (" &amp; INDEX(TongVTSX!A$3:A$1500,$Q123) &amp; ")",""))</f>
        <v/>
      </c>
      <c r="F123" s="745" t="str">
        <f ca="1">IF($Q123="","",IF($R123=$S$7,INDEX(TongVTSX!$G$3:$G$1500,$Q123),INDEX(TongVTSX!$E$3:$E$1500,$Q123)))</f>
        <v/>
      </c>
      <c r="G123" s="24" t="str">
        <f ca="1">IF($Q123="","",IF($R123=$S$1,"mm",IF($R123=$S$2,"Thanh",INDEX(TongVTSX!F$3:F$1500,$Q123))))</f>
        <v/>
      </c>
      <c r="H123" s="114">
        <f ca="1">IF($R123=$S$1,INDEX(TongVTSX!$K$3:$K$1500,$Q123),IF($R123=$S$7,INDEX(TongVTSX!$H$3:$H$1500,$Q123),IF($R123=$S$2,ROUNDUP(SUMPRODUCT((TongVTSX!$C$3:$C$1500=$D123)*(TongVTSX!$E$3:$E$1500=$F123)*(TongVTSX!$K$3:$K$1500))/$U123,0),SUMPRODUCT((TongVTSX!$C$3:$C$1500=$D123)*(TongVTSX!$E$3:$E$1500=$F123)*(TongVTSX!$K$3:$K$1500)))))</f>
        <v>0</v>
      </c>
      <c r="I123" s="114"/>
      <c r="J123" s="114"/>
      <c r="K123" s="114" t="str">
        <f ca="1">IF($Q123="","",IF($R123=$S$2,INDEX(TongVTSX!M$3:M$1500,$Q123)*$U123,   INDEX(TongVTSX!M$3:M$1500,$Q123)))</f>
        <v/>
      </c>
      <c r="L123" s="92">
        <f ca="1">IF($Q123="",0, IF($R123=$S$7,$F123*$H123*$K123,IF($R123=$S$2,$H123*$K123,    IF($H123*$K123 - SUMPRODUCT((TongVTSX!$C$3:$C$1500=$D123)*(TongVTSX!$E$3:$E$1500=$F123)*(TongVTSX!$O$3:$O$1500)) &lt;=10,$H123*$K123,"PO &lt;&gt; TongVTSX"))))</f>
        <v>0</v>
      </c>
      <c r="M123" s="114">
        <f ca="1">IF($R123=$S$1,INDEX(TongVTSX!$K$3:$K$1500,$Q123),IF($R123=$S$7,INDEX(TongVTSX!$H$3:$H$1500,$Q123),IF($R123=$S$2,SUMPRODUCT((TongVTSX!$C$3:$C$1500=$D123)*(TongVTSX!$E$3:$E$1500=$F123)*(TongVTSX!$K$3:$K$1500))/$U123,SUMPRODUCT((TongVTSX!$C$3:$C$1500=$D123)*(TongVTSX!$E$3:$E$1500=$F123)*(TongVTSX!$K$3:$K$1500)))))</f>
        <v>0</v>
      </c>
      <c r="N123" s="92">
        <f ca="1">IF($Q123="",0, IF($R123=$S$7,$F123*$M123*$K123,IF($R123=$S$2,$M123*$K123,    IF($M123*$K123 - SUMPRODUCT((TongVTSX!$C$3:$C$1500=$D123)*(TongVTSX!$E$3:$E$1500=$F123)*(TongVTSX!$O$3:$O$1500)) &lt;=10,$M123*$K123,"PO &lt;&gt; TongVTSX"))))</f>
        <v>0</v>
      </c>
      <c r="O123" s="92">
        <f t="shared" ca="1" si="5"/>
        <v>0</v>
      </c>
      <c r="P123" s="1146" t="str">
        <f ca="1">IFERROR(INDEX(NVLSX!$AA$2:$AA$6756,MATCH($D123,NVLSX!$E$2:$E$6756,0)),"")</f>
        <v/>
      </c>
      <c r="Q123" s="742" t="str">
        <f ca="1">IF($R123="","",IF($R123&lt;&gt;$R122,IF(TYPE(MATCH($R123,TongVTSX!$T$3:$T$1500,0))=16,"",MATCH($R123,TongVTSX!$T$3:$T$1500,0)),IF(TYPE(MATCH($R123,OFFSET(TongVTSX!$T$3,$Q122,0):'TongVTSX'!$T$1500,0)+$Q122)=16,"",MATCH($R123,OFFSET(TongVTSX!$T$3,$Q122,0):'TongVTSX'!$T$1500,0)+$Q122)))</f>
        <v/>
      </c>
      <c r="R123" s="179" t="str">
        <f ca="1">IFERROR(IF(COUNTIF($R$3:R122,R122)&lt; INDEX($T$1:$T$7,MATCH($R122,$S$1:$S$7,0)),$R122,INDEX($S$1:$S$7,MATCH($R122,$S$1:$S$7,0)+1)),"")</f>
        <v/>
      </c>
      <c r="S123" s="181"/>
      <c r="T123" s="182"/>
      <c r="U123" s="184" t="str">
        <f ca="1">IF($R123="PR",INDEX(NVLSX!$U$2:$U$6941,MATCH($D123,NVLSX!$E$2:$E$6941,0)),"")</f>
        <v/>
      </c>
      <c r="V123" s="184" t="str">
        <f ca="1">IF($R123="PR",INDEX(NVLSX!$S$2:$S$6941,MATCH($D123,NVLSX!$E$2:$E$6941,0))*1000,"")</f>
        <v/>
      </c>
      <c r="W123" s="776" t="str">
        <f ca="1">IF($R123="PR",INDEX(NVLSX!$S$2:$S$6941,MATCH($D123,NVLSX!$E$2:$E$6941,0))*INDEX(NVLSX!$T$2:$T$6941,MATCH($D123,NVLSX!$E$2:$E$6941,0)),"")</f>
        <v/>
      </c>
      <c r="X123" s="776">
        <f t="shared" ca="1" si="4"/>
        <v>0</v>
      </c>
      <c r="Y123" s="982" t="str">
        <f ca="1">IFERROR(INDEX(NVLSX!$X$2:$X$4655,MATCH($D123,NVLSX!$E$2:$E$4655,0)),"")</f>
        <v/>
      </c>
    </row>
    <row r="124" spans="1:25">
      <c r="A124" s="19" t="str">
        <f ca="1">IF($Q124="","",MAX($A$2:A123)+1)</f>
        <v/>
      </c>
      <c r="B124" s="1146" t="str">
        <f ca="1">IFERROR(INDEX(NVLSX!$Y$2:$Y$6756,MATCH($D124,NVLSX!$E$2:$E$6756,0)),"")</f>
        <v/>
      </c>
      <c r="C124" s="1146" t="str">
        <f ca="1">IFERROR(INDEX(NVLSX!$Z$2:$Z$6756,MATCH($D124,NVLSX!$E$2:$E$6756,0)),"")</f>
        <v/>
      </c>
      <c r="D124" s="23" t="str">
        <f ca="1">IF($Q124="","",INDEX(TongVTSX!C$3:C$1500,$Q124))</f>
        <v/>
      </c>
      <c r="E124" s="729" t="str">
        <f ca="1">IF($Q124="","",INDEX(TongVTSX!D$3:D$1500,$Q124) &amp; IF(OR($R124=$S$1,$R124=$S$7)," (" &amp; INDEX(TongVTSX!A$3:A$1500,$Q124) &amp; ")",""))</f>
        <v/>
      </c>
      <c r="F124" s="745" t="str">
        <f ca="1">IF($Q124="","",IF($R124=$S$7,INDEX(TongVTSX!$G$3:$G$1500,$Q124),INDEX(TongVTSX!$E$3:$E$1500,$Q124)))</f>
        <v/>
      </c>
      <c r="G124" s="24" t="str">
        <f ca="1">IF($Q124="","",IF($R124=$S$1,"mm",IF($R124=$S$2,"Thanh",INDEX(TongVTSX!F$3:F$1500,$Q124))))</f>
        <v/>
      </c>
      <c r="H124" s="114">
        <f ca="1">IF($R124=$S$1,INDEX(TongVTSX!$K$3:$K$1500,$Q124),IF($R124=$S$7,INDEX(TongVTSX!$H$3:$H$1500,$Q124),IF($R124=$S$2,ROUNDUP(SUMPRODUCT((TongVTSX!$C$3:$C$1500=$D124)*(TongVTSX!$E$3:$E$1500=$F124)*(TongVTSX!$K$3:$K$1500))/$U124,0),SUMPRODUCT((TongVTSX!$C$3:$C$1500=$D124)*(TongVTSX!$E$3:$E$1500=$F124)*(TongVTSX!$K$3:$K$1500)))))</f>
        <v>0</v>
      </c>
      <c r="I124" s="114"/>
      <c r="J124" s="114"/>
      <c r="K124" s="114" t="str">
        <f ca="1">IF($Q124="","",IF($R124=$S$2,INDEX(TongVTSX!M$3:M$1500,$Q124)*$U124,   INDEX(TongVTSX!M$3:M$1500,$Q124)))</f>
        <v/>
      </c>
      <c r="L124" s="92">
        <f ca="1">IF($Q124="",0, IF($R124=$S$7,$F124*$H124*$K124,IF($R124=$S$2,$H124*$K124,    IF($H124*$K124 - SUMPRODUCT((TongVTSX!$C$3:$C$1500=$D124)*(TongVTSX!$E$3:$E$1500=$F124)*(TongVTSX!$O$3:$O$1500)) &lt;=10,$H124*$K124,"PO &lt;&gt; TongVTSX"))))</f>
        <v>0</v>
      </c>
      <c r="M124" s="114">
        <f ca="1">IF($R124=$S$1,INDEX(TongVTSX!$K$3:$K$1500,$Q124),IF($R124=$S$7,INDEX(TongVTSX!$H$3:$H$1500,$Q124),IF($R124=$S$2,SUMPRODUCT((TongVTSX!$C$3:$C$1500=$D124)*(TongVTSX!$E$3:$E$1500=$F124)*(TongVTSX!$K$3:$K$1500))/$U124,SUMPRODUCT((TongVTSX!$C$3:$C$1500=$D124)*(TongVTSX!$E$3:$E$1500=$F124)*(TongVTSX!$K$3:$K$1500)))))</f>
        <v>0</v>
      </c>
      <c r="N124" s="92">
        <f ca="1">IF($Q124="",0, IF($R124=$S$7,$F124*$M124*$K124,IF($R124=$S$2,$M124*$K124,    IF($M124*$K124 - SUMPRODUCT((TongVTSX!$C$3:$C$1500=$D124)*(TongVTSX!$E$3:$E$1500=$F124)*(TongVTSX!$O$3:$O$1500)) &lt;=10,$M124*$K124,"PO &lt;&gt; TongVTSX"))))</f>
        <v>0</v>
      </c>
      <c r="O124" s="92">
        <f t="shared" ca="1" si="5"/>
        <v>0</v>
      </c>
      <c r="P124" s="1146" t="str">
        <f ca="1">IFERROR(INDEX(NVLSX!$AA$2:$AA$6756,MATCH($D124,NVLSX!$E$2:$E$6756,0)),"")</f>
        <v/>
      </c>
      <c r="Q124" s="742" t="str">
        <f ca="1">IF($R124="","",IF($R124&lt;&gt;$R123,IF(TYPE(MATCH($R124,TongVTSX!$T$3:$T$1500,0))=16,"",MATCH($R124,TongVTSX!$T$3:$T$1500,0)),IF(TYPE(MATCH($R124,OFFSET(TongVTSX!$T$3,$Q123,0):'TongVTSX'!$T$1500,0)+$Q123)=16,"",MATCH($R124,OFFSET(TongVTSX!$T$3,$Q123,0):'TongVTSX'!$T$1500,0)+$Q123)))</f>
        <v/>
      </c>
      <c r="R124" s="179" t="str">
        <f ca="1">IFERROR(IF(COUNTIF($R$3:R123,R123)&lt; INDEX($T$1:$T$7,MATCH($R123,$S$1:$S$7,0)),$R123,INDEX($S$1:$S$7,MATCH($R123,$S$1:$S$7,0)+1)),"")</f>
        <v/>
      </c>
      <c r="S124" s="181"/>
      <c r="T124" s="182"/>
      <c r="U124" s="184" t="str">
        <f ca="1">IF($R124="PR",INDEX(NVLSX!$U$2:$U$6941,MATCH($D124,NVLSX!$E$2:$E$6941,0)),"")</f>
        <v/>
      </c>
      <c r="V124" s="184" t="str">
        <f ca="1">IF($R124="PR",INDEX(NVLSX!$S$2:$S$6941,MATCH($D124,NVLSX!$E$2:$E$6941,0))*1000,"")</f>
        <v/>
      </c>
      <c r="W124" s="776" t="str">
        <f ca="1">IF($R124="PR",INDEX(NVLSX!$S$2:$S$6941,MATCH($D124,NVLSX!$E$2:$E$6941,0))*INDEX(NVLSX!$T$2:$T$6941,MATCH($D124,NVLSX!$E$2:$E$6941,0)),"")</f>
        <v/>
      </c>
      <c r="X124" s="776">
        <f t="shared" ca="1" si="4"/>
        <v>0</v>
      </c>
      <c r="Y124" s="982" t="str">
        <f ca="1">IFERROR(INDEX(NVLSX!$X$2:$X$4655,MATCH($D124,NVLSX!$E$2:$E$4655,0)),"")</f>
        <v/>
      </c>
    </row>
    <row r="125" spans="1:25">
      <c r="A125" s="19" t="str">
        <f ca="1">IF($Q125="","",MAX($A$2:A124)+1)</f>
        <v/>
      </c>
      <c r="B125" s="1146" t="str">
        <f ca="1">IFERROR(INDEX(NVLSX!$Y$2:$Y$6756,MATCH($D125,NVLSX!$E$2:$E$6756,0)),"")</f>
        <v/>
      </c>
      <c r="C125" s="1146" t="str">
        <f ca="1">IFERROR(INDEX(NVLSX!$Z$2:$Z$6756,MATCH($D125,NVLSX!$E$2:$E$6756,0)),"")</f>
        <v/>
      </c>
      <c r="D125" s="23" t="str">
        <f ca="1">IF($Q125="","",INDEX(TongVTSX!C$3:C$1500,$Q125))</f>
        <v/>
      </c>
      <c r="E125" s="729" t="str">
        <f ca="1">IF($Q125="","",INDEX(TongVTSX!D$3:D$1500,$Q125) &amp; IF(OR($R125=$S$1,$R125=$S$7)," (" &amp; INDEX(TongVTSX!A$3:A$1500,$Q125) &amp; ")",""))</f>
        <v/>
      </c>
      <c r="F125" s="745" t="str">
        <f ca="1">IF($Q125="","",IF($R125=$S$7,INDEX(TongVTSX!$G$3:$G$1500,$Q125),INDEX(TongVTSX!$E$3:$E$1500,$Q125)))</f>
        <v/>
      </c>
      <c r="G125" s="24" t="str">
        <f ca="1">IF($Q125="","",IF($R125=$S$1,"mm",IF($R125=$S$2,"Thanh",INDEX(TongVTSX!F$3:F$1500,$Q125))))</f>
        <v/>
      </c>
      <c r="H125" s="114">
        <f ca="1">IF($R125=$S$1,INDEX(TongVTSX!$K$3:$K$1500,$Q125),IF($R125=$S$7,INDEX(TongVTSX!$H$3:$H$1500,$Q125),IF($R125=$S$2,ROUNDUP(SUMPRODUCT((TongVTSX!$C$3:$C$1500=$D125)*(TongVTSX!$E$3:$E$1500=$F125)*(TongVTSX!$K$3:$K$1500))/$U125,0),SUMPRODUCT((TongVTSX!$C$3:$C$1500=$D125)*(TongVTSX!$E$3:$E$1500=$F125)*(TongVTSX!$K$3:$K$1500)))))</f>
        <v>0</v>
      </c>
      <c r="I125" s="114"/>
      <c r="J125" s="114"/>
      <c r="K125" s="114" t="str">
        <f ca="1">IF($Q125="","",IF($R125=$S$2,INDEX(TongVTSX!M$3:M$1500,$Q125)*$U125,   INDEX(TongVTSX!M$3:M$1500,$Q125)))</f>
        <v/>
      </c>
      <c r="L125" s="92">
        <f ca="1">IF($Q125="",0, IF($R125=$S$7,$F125*$H125*$K125,IF($R125=$S$2,$H125*$K125,    IF($H125*$K125 - SUMPRODUCT((TongVTSX!$C$3:$C$1500=$D125)*(TongVTSX!$E$3:$E$1500=$F125)*(TongVTSX!$O$3:$O$1500)) &lt;=10,$H125*$K125,"PO &lt;&gt; TongVTSX"))))</f>
        <v>0</v>
      </c>
      <c r="M125" s="114">
        <f ca="1">IF($R125=$S$1,INDEX(TongVTSX!$K$3:$K$1500,$Q125),IF($R125=$S$7,INDEX(TongVTSX!$H$3:$H$1500,$Q125),IF($R125=$S$2,SUMPRODUCT((TongVTSX!$C$3:$C$1500=$D125)*(TongVTSX!$E$3:$E$1500=$F125)*(TongVTSX!$K$3:$K$1500))/$U125,SUMPRODUCT((TongVTSX!$C$3:$C$1500=$D125)*(TongVTSX!$E$3:$E$1500=$F125)*(TongVTSX!$K$3:$K$1500)))))</f>
        <v>0</v>
      </c>
      <c r="N125" s="92">
        <f ca="1">IF($Q125="",0, IF($R125=$S$7,$F125*$M125*$K125,IF($R125=$S$2,$M125*$K125,    IF($M125*$K125 - SUMPRODUCT((TongVTSX!$C$3:$C$1500=$D125)*(TongVTSX!$E$3:$E$1500=$F125)*(TongVTSX!$O$3:$O$1500)) &lt;=10,$M125*$K125,"PO &lt;&gt; TongVTSX"))))</f>
        <v>0</v>
      </c>
      <c r="O125" s="92">
        <f t="shared" ca="1" si="5"/>
        <v>0</v>
      </c>
      <c r="P125" s="1146" t="str">
        <f ca="1">IFERROR(INDEX(NVLSX!$AA$2:$AA$6756,MATCH($D125,NVLSX!$E$2:$E$6756,0)),"")</f>
        <v/>
      </c>
      <c r="Q125" s="742" t="str">
        <f ca="1">IF($R125="","",IF($R125&lt;&gt;$R124,IF(TYPE(MATCH($R125,TongVTSX!$T$3:$T$1500,0))=16,"",MATCH($R125,TongVTSX!$T$3:$T$1500,0)),IF(TYPE(MATCH($R125,OFFSET(TongVTSX!$T$3,$Q124,0):'TongVTSX'!$T$1500,0)+$Q124)=16,"",MATCH($R125,OFFSET(TongVTSX!$T$3,$Q124,0):'TongVTSX'!$T$1500,0)+$Q124)))</f>
        <v/>
      </c>
      <c r="R125" s="179" t="str">
        <f ca="1">IFERROR(IF(COUNTIF($R$3:R124,R124)&lt; INDEX($T$1:$T$7,MATCH($R124,$S$1:$S$7,0)),$R124,INDEX($S$1:$S$7,MATCH($R124,$S$1:$S$7,0)+1)),"")</f>
        <v/>
      </c>
      <c r="S125" s="181"/>
      <c r="T125" s="182"/>
      <c r="U125" s="184" t="str">
        <f ca="1">IF($R125="PR",INDEX(NVLSX!$U$2:$U$6941,MATCH($D125,NVLSX!$E$2:$E$6941,0)),"")</f>
        <v/>
      </c>
      <c r="V125" s="184" t="str">
        <f ca="1">IF($R125="PR",INDEX(NVLSX!$S$2:$S$6941,MATCH($D125,NVLSX!$E$2:$E$6941,0))*1000,"")</f>
        <v/>
      </c>
      <c r="W125" s="776" t="str">
        <f ca="1">IF($R125="PR",INDEX(NVLSX!$S$2:$S$6941,MATCH($D125,NVLSX!$E$2:$E$6941,0))*INDEX(NVLSX!$T$2:$T$6941,MATCH($D125,NVLSX!$E$2:$E$6941,0)),"")</f>
        <v/>
      </c>
      <c r="X125" s="776">
        <f t="shared" ca="1" si="4"/>
        <v>0</v>
      </c>
      <c r="Y125" s="982" t="str">
        <f ca="1">IFERROR(INDEX(NVLSX!$X$2:$X$4655,MATCH($D125,NVLSX!$E$2:$E$4655,0)),"")</f>
        <v/>
      </c>
    </row>
    <row r="126" spans="1:25">
      <c r="A126" s="19" t="str">
        <f ca="1">IF($Q126="","",MAX($A$2:A125)+1)</f>
        <v/>
      </c>
      <c r="B126" s="1146" t="str">
        <f ca="1">IFERROR(INDEX(NVLSX!$Y$2:$Y$6756,MATCH($D126,NVLSX!$E$2:$E$6756,0)),"")</f>
        <v/>
      </c>
      <c r="C126" s="1146" t="str">
        <f ca="1">IFERROR(INDEX(NVLSX!$Z$2:$Z$6756,MATCH($D126,NVLSX!$E$2:$E$6756,0)),"")</f>
        <v/>
      </c>
      <c r="D126" s="23" t="str">
        <f ca="1">IF($Q126="","",INDEX(TongVTSX!C$3:C$1500,$Q126))</f>
        <v/>
      </c>
      <c r="E126" s="729" t="str">
        <f ca="1">IF($Q126="","",INDEX(TongVTSX!D$3:D$1500,$Q126) &amp; IF(OR($R126=$S$1,$R126=$S$7)," (" &amp; INDEX(TongVTSX!A$3:A$1500,$Q126) &amp; ")",""))</f>
        <v/>
      </c>
      <c r="F126" s="745" t="str">
        <f ca="1">IF($Q126="","",IF($R126=$S$7,INDEX(TongVTSX!$G$3:$G$1500,$Q126),INDEX(TongVTSX!$E$3:$E$1500,$Q126)))</f>
        <v/>
      </c>
      <c r="G126" s="24" t="str">
        <f ca="1">IF($Q126="","",IF($R126=$S$1,"mm",IF($R126=$S$2,"Thanh",INDEX(TongVTSX!F$3:F$1500,$Q126))))</f>
        <v/>
      </c>
      <c r="H126" s="114">
        <f ca="1">IF($R126=$S$1,INDEX(TongVTSX!$K$3:$K$1500,$Q126),IF($R126=$S$7,INDEX(TongVTSX!$H$3:$H$1500,$Q126),IF($R126=$S$2,ROUNDUP(SUMPRODUCT((TongVTSX!$C$3:$C$1500=$D126)*(TongVTSX!$E$3:$E$1500=$F126)*(TongVTSX!$K$3:$K$1500))/$U126,0),SUMPRODUCT((TongVTSX!$C$3:$C$1500=$D126)*(TongVTSX!$E$3:$E$1500=$F126)*(TongVTSX!$K$3:$K$1500)))))</f>
        <v>0</v>
      </c>
      <c r="I126" s="114"/>
      <c r="J126" s="114"/>
      <c r="K126" s="114" t="str">
        <f ca="1">IF($Q126="","",IF($R126=$S$2,INDEX(TongVTSX!M$3:M$1500,$Q126)*$U126,   INDEX(TongVTSX!M$3:M$1500,$Q126)))</f>
        <v/>
      </c>
      <c r="L126" s="92">
        <f ca="1">IF($Q126="",0, IF($R126=$S$7,$F126*$H126*$K126,IF($R126=$S$2,$H126*$K126,    IF($H126*$K126 - SUMPRODUCT((TongVTSX!$C$3:$C$1500=$D126)*(TongVTSX!$E$3:$E$1500=$F126)*(TongVTSX!$O$3:$O$1500)) &lt;=10,$H126*$K126,"PO &lt;&gt; TongVTSX"))))</f>
        <v>0</v>
      </c>
      <c r="M126" s="114">
        <f ca="1">IF($R126=$S$1,INDEX(TongVTSX!$K$3:$K$1500,$Q126),IF($R126=$S$7,INDEX(TongVTSX!$H$3:$H$1500,$Q126),IF($R126=$S$2,SUMPRODUCT((TongVTSX!$C$3:$C$1500=$D126)*(TongVTSX!$E$3:$E$1500=$F126)*(TongVTSX!$K$3:$K$1500))/$U126,SUMPRODUCT((TongVTSX!$C$3:$C$1500=$D126)*(TongVTSX!$E$3:$E$1500=$F126)*(TongVTSX!$K$3:$K$1500)))))</f>
        <v>0</v>
      </c>
      <c r="N126" s="92">
        <f ca="1">IF($Q126="",0, IF($R126=$S$7,$F126*$M126*$K126,IF($R126=$S$2,$M126*$K126,    IF($M126*$K126 - SUMPRODUCT((TongVTSX!$C$3:$C$1500=$D126)*(TongVTSX!$E$3:$E$1500=$F126)*(TongVTSX!$O$3:$O$1500)) &lt;=10,$M126*$K126,"PO &lt;&gt; TongVTSX"))))</f>
        <v>0</v>
      </c>
      <c r="O126" s="92">
        <f t="shared" ca="1" si="5"/>
        <v>0</v>
      </c>
      <c r="P126" s="1146" t="str">
        <f ca="1">IFERROR(INDEX(NVLSX!$AA$2:$AA$6756,MATCH($D126,NVLSX!$E$2:$E$6756,0)),"")</f>
        <v/>
      </c>
      <c r="Q126" s="742" t="str">
        <f ca="1">IF($R126="","",IF($R126&lt;&gt;$R125,IF(TYPE(MATCH($R126,TongVTSX!$T$3:$T$1500,0))=16,"",MATCH($R126,TongVTSX!$T$3:$T$1500,0)),IF(TYPE(MATCH($R126,OFFSET(TongVTSX!$T$3,$Q125,0):'TongVTSX'!$T$1500,0)+$Q125)=16,"",MATCH($R126,OFFSET(TongVTSX!$T$3,$Q125,0):'TongVTSX'!$T$1500,0)+$Q125)))</f>
        <v/>
      </c>
      <c r="R126" s="179" t="str">
        <f ca="1">IFERROR(IF(COUNTIF($R$3:R125,R125)&lt; INDEX($T$1:$T$7,MATCH($R125,$S$1:$S$7,0)),$R125,INDEX($S$1:$S$7,MATCH($R125,$S$1:$S$7,0)+1)),"")</f>
        <v/>
      </c>
      <c r="S126" s="181"/>
      <c r="T126" s="182"/>
      <c r="U126" s="184" t="str">
        <f ca="1">IF($R126="PR",INDEX(NVLSX!$U$2:$U$6941,MATCH($D126,NVLSX!$E$2:$E$6941,0)),"")</f>
        <v/>
      </c>
      <c r="V126" s="184" t="str">
        <f ca="1">IF($R126="PR",INDEX(NVLSX!$S$2:$S$6941,MATCH($D126,NVLSX!$E$2:$E$6941,0))*1000,"")</f>
        <v/>
      </c>
      <c r="W126" s="776" t="str">
        <f ca="1">IF($R126="PR",INDEX(NVLSX!$S$2:$S$6941,MATCH($D126,NVLSX!$E$2:$E$6941,0))*INDEX(NVLSX!$T$2:$T$6941,MATCH($D126,NVLSX!$E$2:$E$6941,0)),"")</f>
        <v/>
      </c>
      <c r="X126" s="776">
        <f t="shared" ca="1" si="4"/>
        <v>0</v>
      </c>
      <c r="Y126" s="982" t="str">
        <f ca="1">IFERROR(INDEX(NVLSX!$X$2:$X$4655,MATCH($D126,NVLSX!$E$2:$E$4655,0)),"")</f>
        <v/>
      </c>
    </row>
    <row r="127" spans="1:25">
      <c r="A127" s="19" t="str">
        <f ca="1">IF($Q127="","",MAX($A$2:A126)+1)</f>
        <v/>
      </c>
      <c r="B127" s="1146" t="str">
        <f ca="1">IFERROR(INDEX(NVLSX!$Y$2:$Y$6756,MATCH($D127,NVLSX!$E$2:$E$6756,0)),"")</f>
        <v/>
      </c>
      <c r="C127" s="1146" t="str">
        <f ca="1">IFERROR(INDEX(NVLSX!$Z$2:$Z$6756,MATCH($D127,NVLSX!$E$2:$E$6756,0)),"")</f>
        <v/>
      </c>
      <c r="D127" s="23" t="str">
        <f ca="1">IF($Q127="","",INDEX(TongVTSX!C$3:C$1500,$Q127))</f>
        <v/>
      </c>
      <c r="E127" s="729" t="str">
        <f ca="1">IF($Q127="","",INDEX(TongVTSX!D$3:D$1500,$Q127) &amp; IF(OR($R127=$S$1,$R127=$S$7)," (" &amp; INDEX(TongVTSX!A$3:A$1500,$Q127) &amp; ")",""))</f>
        <v/>
      </c>
      <c r="F127" s="745" t="str">
        <f ca="1">IF($Q127="","",IF($R127=$S$7,INDEX(TongVTSX!$G$3:$G$1500,$Q127),INDEX(TongVTSX!$E$3:$E$1500,$Q127)))</f>
        <v/>
      </c>
      <c r="G127" s="24" t="str">
        <f ca="1">IF($Q127="","",IF($R127=$S$1,"mm",IF($R127=$S$2,"Thanh",INDEX(TongVTSX!F$3:F$1500,$Q127))))</f>
        <v/>
      </c>
      <c r="H127" s="114">
        <f ca="1">IF($R127=$S$1,INDEX(TongVTSX!$K$3:$K$1500,$Q127),IF($R127=$S$7,INDEX(TongVTSX!$H$3:$H$1500,$Q127),IF($R127=$S$2,ROUNDUP(SUMPRODUCT((TongVTSX!$C$3:$C$1500=$D127)*(TongVTSX!$E$3:$E$1500=$F127)*(TongVTSX!$K$3:$K$1500))/$U127,0),SUMPRODUCT((TongVTSX!$C$3:$C$1500=$D127)*(TongVTSX!$E$3:$E$1500=$F127)*(TongVTSX!$K$3:$K$1500)))))</f>
        <v>0</v>
      </c>
      <c r="I127" s="114"/>
      <c r="J127" s="114"/>
      <c r="K127" s="114" t="str">
        <f ca="1">IF($Q127="","",IF($R127=$S$2,INDEX(TongVTSX!M$3:M$1500,$Q127)*$U127,   INDEX(TongVTSX!M$3:M$1500,$Q127)))</f>
        <v/>
      </c>
      <c r="L127" s="92">
        <f ca="1">IF($Q127="",0, IF($R127=$S$7,$F127*$H127*$K127,IF($R127=$S$2,$H127*$K127,    IF($H127*$K127 - SUMPRODUCT((TongVTSX!$C$3:$C$1500=$D127)*(TongVTSX!$E$3:$E$1500=$F127)*(TongVTSX!$O$3:$O$1500)) &lt;=10,$H127*$K127,"PO &lt;&gt; TongVTSX"))))</f>
        <v>0</v>
      </c>
      <c r="M127" s="114">
        <f ca="1">IF($R127=$S$1,INDEX(TongVTSX!$K$3:$K$1500,$Q127),IF($R127=$S$7,INDEX(TongVTSX!$H$3:$H$1500,$Q127),IF($R127=$S$2,SUMPRODUCT((TongVTSX!$C$3:$C$1500=$D127)*(TongVTSX!$E$3:$E$1500=$F127)*(TongVTSX!$K$3:$K$1500))/$U127,SUMPRODUCT((TongVTSX!$C$3:$C$1500=$D127)*(TongVTSX!$E$3:$E$1500=$F127)*(TongVTSX!$K$3:$K$1500)))))</f>
        <v>0</v>
      </c>
      <c r="N127" s="92">
        <f ca="1">IF($Q127="",0, IF($R127=$S$7,$F127*$M127*$K127,IF($R127=$S$2,$M127*$K127,    IF($M127*$K127 - SUMPRODUCT((TongVTSX!$C$3:$C$1500=$D127)*(TongVTSX!$E$3:$E$1500=$F127)*(TongVTSX!$O$3:$O$1500)) &lt;=10,$M127*$K127,"PO &lt;&gt; TongVTSX"))))</f>
        <v>0</v>
      </c>
      <c r="O127" s="92">
        <f t="shared" ca="1" si="5"/>
        <v>0</v>
      </c>
      <c r="P127" s="1146" t="str">
        <f ca="1">IFERROR(INDEX(NVLSX!$AA$2:$AA$6756,MATCH($D127,NVLSX!$E$2:$E$6756,0)),"")</f>
        <v/>
      </c>
      <c r="Q127" s="742" t="str">
        <f ca="1">IF($R127="","",IF($R127&lt;&gt;$R126,IF(TYPE(MATCH($R127,TongVTSX!$T$3:$T$1500,0))=16,"",MATCH($R127,TongVTSX!$T$3:$T$1500,0)),IF(TYPE(MATCH($R127,OFFSET(TongVTSX!$T$3,$Q126,0):'TongVTSX'!$T$1500,0)+$Q126)=16,"",MATCH($R127,OFFSET(TongVTSX!$T$3,$Q126,0):'TongVTSX'!$T$1500,0)+$Q126)))</f>
        <v/>
      </c>
      <c r="R127" s="179" t="str">
        <f ca="1">IFERROR(IF(COUNTIF($R$3:R126,R126)&lt; INDEX($T$1:$T$7,MATCH($R126,$S$1:$S$7,0)),$R126,INDEX($S$1:$S$7,MATCH($R126,$S$1:$S$7,0)+1)),"")</f>
        <v/>
      </c>
      <c r="S127" s="181"/>
      <c r="T127" s="182"/>
      <c r="U127" s="184" t="str">
        <f ca="1">IF($R127="PR",INDEX(NVLSX!$U$2:$U$6941,MATCH($D127,NVLSX!$E$2:$E$6941,0)),"")</f>
        <v/>
      </c>
      <c r="V127" s="184" t="str">
        <f ca="1">IF($R127="PR",INDEX(NVLSX!$S$2:$S$6941,MATCH($D127,NVLSX!$E$2:$E$6941,0))*1000,"")</f>
        <v/>
      </c>
      <c r="W127" s="776" t="str">
        <f ca="1">IF($R127="PR",INDEX(NVLSX!$S$2:$S$6941,MATCH($D127,NVLSX!$E$2:$E$6941,0))*INDEX(NVLSX!$T$2:$T$6941,MATCH($D127,NVLSX!$E$2:$E$6941,0)),"")</f>
        <v/>
      </c>
      <c r="X127" s="776">
        <f t="shared" ca="1" si="4"/>
        <v>0</v>
      </c>
      <c r="Y127" s="982" t="str">
        <f ca="1">IFERROR(INDEX(NVLSX!$X$2:$X$4655,MATCH($D127,NVLSX!$E$2:$E$4655,0)),"")</f>
        <v/>
      </c>
    </row>
    <row r="128" spans="1:25">
      <c r="A128" s="19" t="str">
        <f ca="1">IF($Q128="","",MAX($A$2:A127)+1)</f>
        <v/>
      </c>
      <c r="B128" s="1146" t="str">
        <f ca="1">IFERROR(INDEX(NVLSX!$Y$2:$Y$6756,MATCH($D128,NVLSX!$E$2:$E$6756,0)),"")</f>
        <v/>
      </c>
      <c r="C128" s="1146" t="str">
        <f ca="1">IFERROR(INDEX(NVLSX!$Z$2:$Z$6756,MATCH($D128,NVLSX!$E$2:$E$6756,0)),"")</f>
        <v/>
      </c>
      <c r="D128" s="23" t="str">
        <f ca="1">IF($Q128="","",INDEX(TongVTSX!C$3:C$1500,$Q128))</f>
        <v/>
      </c>
      <c r="E128" s="729" t="str">
        <f ca="1">IF($Q128="","",INDEX(TongVTSX!D$3:D$1500,$Q128) &amp; IF(OR($R128=$S$1,$R128=$S$7)," (" &amp; INDEX(TongVTSX!A$3:A$1500,$Q128) &amp; ")",""))</f>
        <v/>
      </c>
      <c r="F128" s="745" t="str">
        <f ca="1">IF($Q128="","",IF($R128=$S$7,INDEX(TongVTSX!$G$3:$G$1500,$Q128),INDEX(TongVTSX!$E$3:$E$1500,$Q128)))</f>
        <v/>
      </c>
      <c r="G128" s="24" t="str">
        <f ca="1">IF($Q128="","",IF($R128=$S$1,"mm",IF($R128=$S$2,"Thanh",INDEX(TongVTSX!F$3:F$1500,$Q128))))</f>
        <v/>
      </c>
      <c r="H128" s="114">
        <f ca="1">IF($R128=$S$1,INDEX(TongVTSX!$K$3:$K$1500,$Q128),IF($R128=$S$7,INDEX(TongVTSX!$H$3:$H$1500,$Q128),IF($R128=$S$2,ROUNDUP(SUMPRODUCT((TongVTSX!$C$3:$C$1500=$D128)*(TongVTSX!$E$3:$E$1500=$F128)*(TongVTSX!$K$3:$K$1500))/$U128,0),SUMPRODUCT((TongVTSX!$C$3:$C$1500=$D128)*(TongVTSX!$E$3:$E$1500=$F128)*(TongVTSX!$K$3:$K$1500)))))</f>
        <v>0</v>
      </c>
      <c r="I128" s="114"/>
      <c r="J128" s="114"/>
      <c r="K128" s="114" t="str">
        <f ca="1">IF($Q128="","",IF($R128=$S$2,INDEX(TongVTSX!M$3:M$1500,$Q128)*$U128,   INDEX(TongVTSX!M$3:M$1500,$Q128)))</f>
        <v/>
      </c>
      <c r="L128" s="92">
        <f ca="1">IF($Q128="",0, IF($R128=$S$7,$F128*$H128*$K128,IF($R128=$S$2,$H128*$K128,    IF($H128*$K128 - SUMPRODUCT((TongVTSX!$C$3:$C$1500=$D128)*(TongVTSX!$E$3:$E$1500=$F128)*(TongVTSX!$O$3:$O$1500)) &lt;=10,$H128*$K128,"PO &lt;&gt; TongVTSX"))))</f>
        <v>0</v>
      </c>
      <c r="M128" s="114">
        <f ca="1">IF($R128=$S$1,INDEX(TongVTSX!$K$3:$K$1500,$Q128),IF($R128=$S$7,INDEX(TongVTSX!$H$3:$H$1500,$Q128),IF($R128=$S$2,SUMPRODUCT((TongVTSX!$C$3:$C$1500=$D128)*(TongVTSX!$E$3:$E$1500=$F128)*(TongVTSX!$K$3:$K$1500))/$U128,SUMPRODUCT((TongVTSX!$C$3:$C$1500=$D128)*(TongVTSX!$E$3:$E$1500=$F128)*(TongVTSX!$K$3:$K$1500)))))</f>
        <v>0</v>
      </c>
      <c r="N128" s="92">
        <f ca="1">IF($Q128="",0, IF($R128=$S$7,$F128*$M128*$K128,IF($R128=$S$2,$M128*$K128,    IF($M128*$K128 - SUMPRODUCT((TongVTSX!$C$3:$C$1500=$D128)*(TongVTSX!$E$3:$E$1500=$F128)*(TongVTSX!$O$3:$O$1500)) &lt;=10,$M128*$K128,"PO &lt;&gt; TongVTSX"))))</f>
        <v>0</v>
      </c>
      <c r="O128" s="92">
        <f t="shared" ca="1" si="5"/>
        <v>0</v>
      </c>
      <c r="P128" s="1146" t="str">
        <f ca="1">IFERROR(INDEX(NVLSX!$AA$2:$AA$6756,MATCH($D128,NVLSX!$E$2:$E$6756,0)),"")</f>
        <v/>
      </c>
      <c r="Q128" s="742" t="str">
        <f ca="1">IF($R128="","",IF($R128&lt;&gt;$R127,IF(TYPE(MATCH($R128,TongVTSX!$T$3:$T$1500,0))=16,"",MATCH($R128,TongVTSX!$T$3:$T$1500,0)),IF(TYPE(MATCH($R128,OFFSET(TongVTSX!$T$3,$Q127,0):'TongVTSX'!$T$1500,0)+$Q127)=16,"",MATCH($R128,OFFSET(TongVTSX!$T$3,$Q127,0):'TongVTSX'!$T$1500,0)+$Q127)))</f>
        <v/>
      </c>
      <c r="R128" s="179" t="str">
        <f ca="1">IFERROR(IF(COUNTIF($R$3:R127,R127)&lt; INDEX($T$1:$T$7,MATCH($R127,$S$1:$S$7,0)),$R127,INDEX($S$1:$S$7,MATCH($R127,$S$1:$S$7,0)+1)),"")</f>
        <v/>
      </c>
      <c r="S128" s="181"/>
      <c r="T128" s="182"/>
      <c r="U128" s="184" t="str">
        <f ca="1">IF($R128="PR",INDEX(NVLSX!$U$2:$U$6941,MATCH($D128,NVLSX!$E$2:$E$6941,0)),"")</f>
        <v/>
      </c>
      <c r="V128" s="184" t="str">
        <f ca="1">IF($R128="PR",INDEX(NVLSX!$S$2:$S$6941,MATCH($D128,NVLSX!$E$2:$E$6941,0))*1000,"")</f>
        <v/>
      </c>
      <c r="W128" s="776" t="str">
        <f ca="1">IF($R128="PR",INDEX(NVLSX!$S$2:$S$6941,MATCH($D128,NVLSX!$E$2:$E$6941,0))*INDEX(NVLSX!$T$2:$T$6941,MATCH($D128,NVLSX!$E$2:$E$6941,0)),"")</f>
        <v/>
      </c>
      <c r="X128" s="776">
        <f t="shared" ca="1" si="4"/>
        <v>0</v>
      </c>
      <c r="Y128" s="982" t="str">
        <f ca="1">IFERROR(INDEX(NVLSX!$X$2:$X$4655,MATCH($D128,NVLSX!$E$2:$E$4655,0)),"")</f>
        <v/>
      </c>
    </row>
    <row r="129" spans="1:25">
      <c r="A129" s="19" t="str">
        <f ca="1">IF($Q129="","",MAX($A$2:A128)+1)</f>
        <v/>
      </c>
      <c r="B129" s="1146" t="str">
        <f ca="1">IFERROR(INDEX(NVLSX!$Y$2:$Y$6756,MATCH($D129,NVLSX!$E$2:$E$6756,0)),"")</f>
        <v/>
      </c>
      <c r="C129" s="1146" t="str">
        <f ca="1">IFERROR(INDEX(NVLSX!$Z$2:$Z$6756,MATCH($D129,NVLSX!$E$2:$E$6756,0)),"")</f>
        <v/>
      </c>
      <c r="D129" s="23" t="str">
        <f ca="1">IF($Q129="","",INDEX(TongVTSX!C$3:C$1500,$Q129))</f>
        <v/>
      </c>
      <c r="E129" s="729" t="str">
        <f ca="1">IF($Q129="","",INDEX(TongVTSX!D$3:D$1500,$Q129) &amp; IF(OR($R129=$S$1,$R129=$S$7)," (" &amp; INDEX(TongVTSX!A$3:A$1500,$Q129) &amp; ")",""))</f>
        <v/>
      </c>
      <c r="F129" s="745" t="str">
        <f ca="1">IF($Q129="","",IF($R129=$S$7,INDEX(TongVTSX!$G$3:$G$1500,$Q129),INDEX(TongVTSX!$E$3:$E$1500,$Q129)))</f>
        <v/>
      </c>
      <c r="G129" s="24" t="str">
        <f ca="1">IF($Q129="","",IF($R129=$S$1,"mm",IF($R129=$S$2,"Thanh",INDEX(TongVTSX!F$3:F$1500,$Q129))))</f>
        <v/>
      </c>
      <c r="H129" s="114">
        <f ca="1">IF($R129=$S$1,INDEX(TongVTSX!$K$3:$K$1500,$Q129),IF($R129=$S$7,INDEX(TongVTSX!$H$3:$H$1500,$Q129),IF($R129=$S$2,ROUNDUP(SUMPRODUCT((TongVTSX!$C$3:$C$1500=$D129)*(TongVTSX!$E$3:$E$1500=$F129)*(TongVTSX!$K$3:$K$1500))/$U129,0),SUMPRODUCT((TongVTSX!$C$3:$C$1500=$D129)*(TongVTSX!$E$3:$E$1500=$F129)*(TongVTSX!$K$3:$K$1500)))))</f>
        <v>0</v>
      </c>
      <c r="I129" s="114"/>
      <c r="J129" s="114"/>
      <c r="K129" s="114" t="str">
        <f ca="1">IF($Q129="","",IF($R129=$S$2,INDEX(TongVTSX!M$3:M$1500,$Q129)*$U129,   INDEX(TongVTSX!M$3:M$1500,$Q129)))</f>
        <v/>
      </c>
      <c r="L129" s="92">
        <f ca="1">IF($Q129="",0, IF($R129=$S$7,$F129*$H129*$K129,IF($R129=$S$2,$H129*$K129,    IF($H129*$K129 - SUMPRODUCT((TongVTSX!$C$3:$C$1500=$D129)*(TongVTSX!$E$3:$E$1500=$F129)*(TongVTSX!$O$3:$O$1500)) &lt;=10,$H129*$K129,"PO &lt;&gt; TongVTSX"))))</f>
        <v>0</v>
      </c>
      <c r="M129" s="114">
        <f ca="1">IF($R129=$S$1,INDEX(TongVTSX!$K$3:$K$1500,$Q129),IF($R129=$S$7,INDEX(TongVTSX!$H$3:$H$1500,$Q129),IF($R129=$S$2,SUMPRODUCT((TongVTSX!$C$3:$C$1500=$D129)*(TongVTSX!$E$3:$E$1500=$F129)*(TongVTSX!$K$3:$K$1500))/$U129,SUMPRODUCT((TongVTSX!$C$3:$C$1500=$D129)*(TongVTSX!$E$3:$E$1500=$F129)*(TongVTSX!$K$3:$K$1500)))))</f>
        <v>0</v>
      </c>
      <c r="N129" s="92">
        <f ca="1">IF($Q129="",0, IF($R129=$S$7,$F129*$M129*$K129,IF($R129=$S$2,$M129*$K129,    IF($M129*$K129 - SUMPRODUCT((TongVTSX!$C$3:$C$1500=$D129)*(TongVTSX!$E$3:$E$1500=$F129)*(TongVTSX!$O$3:$O$1500)) &lt;=10,$M129*$K129,"PO &lt;&gt; TongVTSX"))))</f>
        <v>0</v>
      </c>
      <c r="O129" s="92">
        <f t="shared" ca="1" si="5"/>
        <v>0</v>
      </c>
      <c r="P129" s="1146" t="str">
        <f ca="1">IFERROR(INDEX(NVLSX!$AA$2:$AA$6756,MATCH($D129,NVLSX!$E$2:$E$6756,0)),"")</f>
        <v/>
      </c>
      <c r="Q129" s="742" t="str">
        <f ca="1">IF($R129="","",IF($R129&lt;&gt;$R128,IF(TYPE(MATCH($R129,TongVTSX!$T$3:$T$1500,0))=16,"",MATCH($R129,TongVTSX!$T$3:$T$1500,0)),IF(TYPE(MATCH($R129,OFFSET(TongVTSX!$T$3,$Q128,0):'TongVTSX'!$T$1500,0)+$Q128)=16,"",MATCH($R129,OFFSET(TongVTSX!$T$3,$Q128,0):'TongVTSX'!$T$1500,0)+$Q128)))</f>
        <v/>
      </c>
      <c r="R129" s="179" t="str">
        <f ca="1">IFERROR(IF(COUNTIF($R$3:R128,R128)&lt; INDEX($T$1:$T$7,MATCH($R128,$S$1:$S$7,0)),$R128,INDEX($S$1:$S$7,MATCH($R128,$S$1:$S$7,0)+1)),"")</f>
        <v/>
      </c>
      <c r="S129" s="181"/>
      <c r="T129" s="182"/>
      <c r="U129" s="184" t="str">
        <f ca="1">IF($R129="PR",INDEX(NVLSX!$U$2:$U$6941,MATCH($D129,NVLSX!$E$2:$E$6941,0)),"")</f>
        <v/>
      </c>
      <c r="V129" s="184" t="str">
        <f ca="1">IF($R129="PR",INDEX(NVLSX!$S$2:$S$6941,MATCH($D129,NVLSX!$E$2:$E$6941,0))*1000,"")</f>
        <v/>
      </c>
      <c r="W129" s="776" t="str">
        <f ca="1">IF($R129="PR",INDEX(NVLSX!$S$2:$S$6941,MATCH($D129,NVLSX!$E$2:$E$6941,0))*INDEX(NVLSX!$T$2:$T$6941,MATCH($D129,NVLSX!$E$2:$E$6941,0)),"")</f>
        <v/>
      </c>
      <c r="X129" s="776">
        <f t="shared" ca="1" si="4"/>
        <v>0</v>
      </c>
      <c r="Y129" s="982" t="str">
        <f ca="1">IFERROR(INDEX(NVLSX!$X$2:$X$4655,MATCH($D129,NVLSX!$E$2:$E$4655,0)),"")</f>
        <v/>
      </c>
    </row>
    <row r="130" spans="1:25">
      <c r="A130" s="19" t="str">
        <f ca="1">IF($Q130="","",MAX($A$2:A129)+1)</f>
        <v/>
      </c>
      <c r="B130" s="1146" t="str">
        <f ca="1">IFERROR(INDEX(NVLSX!$Y$2:$Y$6756,MATCH($D130,NVLSX!$E$2:$E$6756,0)),"")</f>
        <v/>
      </c>
      <c r="C130" s="1146" t="str">
        <f ca="1">IFERROR(INDEX(NVLSX!$Z$2:$Z$6756,MATCH($D130,NVLSX!$E$2:$E$6756,0)),"")</f>
        <v/>
      </c>
      <c r="D130" s="23" t="str">
        <f ca="1">IF($Q130="","",INDEX(TongVTSX!C$3:C$1500,$Q130))</f>
        <v/>
      </c>
      <c r="E130" s="729" t="str">
        <f ca="1">IF($Q130="","",INDEX(TongVTSX!D$3:D$1500,$Q130) &amp; IF(OR($R130=$S$1,$R130=$S$7)," (" &amp; INDEX(TongVTSX!A$3:A$1500,$Q130) &amp; ")",""))</f>
        <v/>
      </c>
      <c r="F130" s="745" t="str">
        <f ca="1">IF($Q130="","",IF($R130=$S$7,INDEX(TongVTSX!$G$3:$G$1500,$Q130),INDEX(TongVTSX!$E$3:$E$1500,$Q130)))</f>
        <v/>
      </c>
      <c r="G130" s="24" t="str">
        <f ca="1">IF($Q130="","",IF($R130=$S$1,"mm",IF($R130=$S$2,"Thanh",INDEX(TongVTSX!F$3:F$1500,$Q130))))</f>
        <v/>
      </c>
      <c r="H130" s="114">
        <f ca="1">IF($R130=$S$1,INDEX(TongVTSX!$K$3:$K$1500,$Q130),IF($R130=$S$7,INDEX(TongVTSX!$H$3:$H$1500,$Q130),IF($R130=$S$2,ROUNDUP(SUMPRODUCT((TongVTSX!$C$3:$C$1500=$D130)*(TongVTSX!$E$3:$E$1500=$F130)*(TongVTSX!$K$3:$K$1500))/$U130,0),SUMPRODUCT((TongVTSX!$C$3:$C$1500=$D130)*(TongVTSX!$E$3:$E$1500=$F130)*(TongVTSX!$K$3:$K$1500)))))</f>
        <v>0</v>
      </c>
      <c r="I130" s="114"/>
      <c r="J130" s="114"/>
      <c r="K130" s="114" t="str">
        <f ca="1">IF($Q130="","",IF($R130=$S$2,INDEX(TongVTSX!M$3:M$1500,$Q130)*$U130,   INDEX(TongVTSX!M$3:M$1500,$Q130)))</f>
        <v/>
      </c>
      <c r="L130" s="92">
        <f ca="1">IF($Q130="",0, IF($R130=$S$7,$F130*$H130*$K130,IF($R130=$S$2,$H130*$K130,    IF($H130*$K130 - SUMPRODUCT((TongVTSX!$C$3:$C$1500=$D130)*(TongVTSX!$E$3:$E$1500=$F130)*(TongVTSX!$O$3:$O$1500)) &lt;=10,$H130*$K130,"PO &lt;&gt; TongVTSX"))))</f>
        <v>0</v>
      </c>
      <c r="M130" s="114">
        <f ca="1">IF($R130=$S$1,INDEX(TongVTSX!$K$3:$K$1500,$Q130),IF($R130=$S$7,INDEX(TongVTSX!$H$3:$H$1500,$Q130),IF($R130=$S$2,SUMPRODUCT((TongVTSX!$C$3:$C$1500=$D130)*(TongVTSX!$E$3:$E$1500=$F130)*(TongVTSX!$K$3:$K$1500))/$U130,SUMPRODUCT((TongVTSX!$C$3:$C$1500=$D130)*(TongVTSX!$E$3:$E$1500=$F130)*(TongVTSX!$K$3:$K$1500)))))</f>
        <v>0</v>
      </c>
      <c r="N130" s="92">
        <f ca="1">IF($Q130="",0, IF($R130=$S$7,$F130*$M130*$K130,IF($R130=$S$2,$M130*$K130,    IF($M130*$K130 - SUMPRODUCT((TongVTSX!$C$3:$C$1500=$D130)*(TongVTSX!$E$3:$E$1500=$F130)*(TongVTSX!$O$3:$O$1500)) &lt;=10,$M130*$K130,"PO &lt;&gt; TongVTSX"))))</f>
        <v>0</v>
      </c>
      <c r="O130" s="92">
        <f t="shared" ca="1" si="5"/>
        <v>0</v>
      </c>
      <c r="P130" s="1146" t="str">
        <f ca="1">IFERROR(INDEX(NVLSX!$AA$2:$AA$6756,MATCH($D130,NVLSX!$E$2:$E$6756,0)),"")</f>
        <v/>
      </c>
      <c r="Q130" s="742" t="str">
        <f ca="1">IF($R130="","",IF($R130&lt;&gt;$R129,IF(TYPE(MATCH($R130,TongVTSX!$T$3:$T$1500,0))=16,"",MATCH($R130,TongVTSX!$T$3:$T$1500,0)),IF(TYPE(MATCH($R130,OFFSET(TongVTSX!$T$3,$Q129,0):'TongVTSX'!$T$1500,0)+$Q129)=16,"",MATCH($R130,OFFSET(TongVTSX!$T$3,$Q129,0):'TongVTSX'!$T$1500,0)+$Q129)))</f>
        <v/>
      </c>
      <c r="R130" s="179" t="str">
        <f ca="1">IFERROR(IF(COUNTIF($R$3:R129,R129)&lt; INDEX($T$1:$T$7,MATCH($R129,$S$1:$S$7,0)),$R129,INDEX($S$1:$S$7,MATCH($R129,$S$1:$S$7,0)+1)),"")</f>
        <v/>
      </c>
      <c r="S130" s="181"/>
      <c r="T130" s="182"/>
      <c r="U130" s="184" t="str">
        <f ca="1">IF($R130="PR",INDEX(NVLSX!$U$2:$U$6941,MATCH($D130,NVLSX!$E$2:$E$6941,0)),"")</f>
        <v/>
      </c>
      <c r="V130" s="184" t="str">
        <f ca="1">IF($R130="PR",INDEX(NVLSX!$S$2:$S$6941,MATCH($D130,NVLSX!$E$2:$E$6941,0))*1000,"")</f>
        <v/>
      </c>
      <c r="W130" s="776" t="str">
        <f ca="1">IF($R130="PR",INDEX(NVLSX!$S$2:$S$6941,MATCH($D130,NVLSX!$E$2:$E$6941,0))*INDEX(NVLSX!$T$2:$T$6941,MATCH($D130,NVLSX!$E$2:$E$6941,0)),"")</f>
        <v/>
      </c>
      <c r="X130" s="776">
        <f t="shared" ca="1" si="4"/>
        <v>0</v>
      </c>
      <c r="Y130" s="982" t="str">
        <f ca="1">IFERROR(INDEX(NVLSX!$X$2:$X$4655,MATCH($D130,NVLSX!$E$2:$E$4655,0)),"")</f>
        <v/>
      </c>
    </row>
    <row r="131" spans="1:25">
      <c r="A131" s="19" t="str">
        <f ca="1">IF($Q131="","",MAX($A$2:A130)+1)</f>
        <v/>
      </c>
      <c r="B131" s="1146" t="str">
        <f ca="1">IFERROR(INDEX(NVLSX!$Y$2:$Y$6756,MATCH($D131,NVLSX!$E$2:$E$6756,0)),"")</f>
        <v/>
      </c>
      <c r="C131" s="1146" t="str">
        <f ca="1">IFERROR(INDEX(NVLSX!$Z$2:$Z$6756,MATCH($D131,NVLSX!$E$2:$E$6756,0)),"")</f>
        <v/>
      </c>
      <c r="D131" s="23" t="str">
        <f ca="1">IF($Q131="","",INDEX(TongVTSX!C$3:C$1500,$Q131))</f>
        <v/>
      </c>
      <c r="E131" s="729" t="str">
        <f ca="1">IF($Q131="","",INDEX(TongVTSX!D$3:D$1500,$Q131) &amp; IF(OR($R131=$S$1,$R131=$S$7)," (" &amp; INDEX(TongVTSX!A$3:A$1500,$Q131) &amp; ")",""))</f>
        <v/>
      </c>
      <c r="F131" s="745" t="str">
        <f ca="1">IF($Q131="","",IF($R131=$S$7,INDEX(TongVTSX!$G$3:$G$1500,$Q131),INDEX(TongVTSX!$E$3:$E$1500,$Q131)))</f>
        <v/>
      </c>
      <c r="G131" s="24" t="str">
        <f ca="1">IF($Q131="","",IF($R131=$S$1,"mm",IF($R131=$S$2,"Thanh",INDEX(TongVTSX!F$3:F$1500,$Q131))))</f>
        <v/>
      </c>
      <c r="H131" s="114">
        <f ca="1">IF($R131=$S$1,INDEX(TongVTSX!$K$3:$K$1500,$Q131),IF($R131=$S$7,INDEX(TongVTSX!$H$3:$H$1500,$Q131),IF($R131=$S$2,ROUNDUP(SUMPRODUCT((TongVTSX!$C$3:$C$1500=$D131)*(TongVTSX!$E$3:$E$1500=$F131)*(TongVTSX!$K$3:$K$1500))/$U131,0),SUMPRODUCT((TongVTSX!$C$3:$C$1500=$D131)*(TongVTSX!$E$3:$E$1500=$F131)*(TongVTSX!$K$3:$K$1500)))))</f>
        <v>0</v>
      </c>
      <c r="I131" s="114"/>
      <c r="J131" s="114"/>
      <c r="K131" s="114" t="str">
        <f ca="1">IF($Q131="","",IF($R131=$S$2,INDEX(TongVTSX!M$3:M$1500,$Q131)*$U131,   INDEX(TongVTSX!M$3:M$1500,$Q131)))</f>
        <v/>
      </c>
      <c r="L131" s="92">
        <f ca="1">IF($Q131="",0, IF($R131=$S$7,$F131*$H131*$K131,IF($R131=$S$2,$H131*$K131,    IF($H131*$K131 - SUMPRODUCT((TongVTSX!$C$3:$C$1500=$D131)*(TongVTSX!$E$3:$E$1500=$F131)*(TongVTSX!$O$3:$O$1500)) &lt;=10,$H131*$K131,"PO &lt;&gt; TongVTSX"))))</f>
        <v>0</v>
      </c>
      <c r="M131" s="114">
        <f ca="1">IF($R131=$S$1,INDEX(TongVTSX!$K$3:$K$1500,$Q131),IF($R131=$S$7,INDEX(TongVTSX!$H$3:$H$1500,$Q131),IF($R131=$S$2,SUMPRODUCT((TongVTSX!$C$3:$C$1500=$D131)*(TongVTSX!$E$3:$E$1500=$F131)*(TongVTSX!$K$3:$K$1500))/$U131,SUMPRODUCT((TongVTSX!$C$3:$C$1500=$D131)*(TongVTSX!$E$3:$E$1500=$F131)*(TongVTSX!$K$3:$K$1500)))))</f>
        <v>0</v>
      </c>
      <c r="N131" s="92">
        <f ca="1">IF($Q131="",0, IF($R131=$S$7,$F131*$M131*$K131,IF($R131=$S$2,$M131*$K131,    IF($M131*$K131 - SUMPRODUCT((TongVTSX!$C$3:$C$1500=$D131)*(TongVTSX!$E$3:$E$1500=$F131)*(TongVTSX!$O$3:$O$1500)) &lt;=10,$M131*$K131,"PO &lt;&gt; TongVTSX"))))</f>
        <v>0</v>
      </c>
      <c r="O131" s="92">
        <f t="shared" ref="O131:O162" ca="1" si="6">+L131-N131</f>
        <v>0</v>
      </c>
      <c r="P131" s="1146" t="str">
        <f ca="1">IFERROR(INDEX(NVLSX!$AA$2:$AA$6756,MATCH($D131,NVLSX!$E$2:$E$6756,0)),"")</f>
        <v/>
      </c>
      <c r="Q131" s="742" t="str">
        <f ca="1">IF($R131="","",IF($R131&lt;&gt;$R130,IF(TYPE(MATCH($R131,TongVTSX!$T$3:$T$1500,0))=16,"",MATCH($R131,TongVTSX!$T$3:$T$1500,0)),IF(TYPE(MATCH($R131,OFFSET(TongVTSX!$T$3,$Q130,0):'TongVTSX'!$T$1500,0)+$Q130)=16,"",MATCH($R131,OFFSET(TongVTSX!$T$3,$Q130,0):'TongVTSX'!$T$1500,0)+$Q130)))</f>
        <v/>
      </c>
      <c r="R131" s="179" t="str">
        <f ca="1">IFERROR(IF(COUNTIF($R$3:R130,R130)&lt; INDEX($T$1:$T$7,MATCH($R130,$S$1:$S$7,0)),$R130,INDEX($S$1:$S$7,MATCH($R130,$S$1:$S$7,0)+1)),"")</f>
        <v/>
      </c>
      <c r="S131" s="181"/>
      <c r="T131" s="182"/>
      <c r="U131" s="184" t="str">
        <f ca="1">IF($R131="PR",INDEX(NVLSX!$U$2:$U$6941,MATCH($D131,NVLSX!$E$2:$E$6941,0)),"")</f>
        <v/>
      </c>
      <c r="V131" s="184" t="str">
        <f ca="1">IF($R131="PR",INDEX(NVLSX!$S$2:$S$6941,MATCH($D131,NVLSX!$E$2:$E$6941,0))*1000,"")</f>
        <v/>
      </c>
      <c r="W131" s="776" t="str">
        <f ca="1">IF($R131="PR",INDEX(NVLSX!$S$2:$S$6941,MATCH($D131,NVLSX!$E$2:$E$6941,0))*INDEX(NVLSX!$T$2:$T$6941,MATCH($D131,NVLSX!$E$2:$E$6941,0)),"")</f>
        <v/>
      </c>
      <c r="X131" s="776">
        <f t="shared" ca="1" si="4"/>
        <v>0</v>
      </c>
      <c r="Y131" s="982" t="str">
        <f ca="1">IFERROR(INDEX(NVLSX!$X$2:$X$4655,MATCH($D131,NVLSX!$E$2:$E$4655,0)),"")</f>
        <v/>
      </c>
    </row>
    <row r="132" spans="1:25">
      <c r="A132" s="19" t="str">
        <f ca="1">IF($Q132="","",MAX($A$2:A131)+1)</f>
        <v/>
      </c>
      <c r="B132" s="1146" t="str">
        <f ca="1">IFERROR(INDEX(NVLSX!$Y$2:$Y$6756,MATCH($D132,NVLSX!$E$2:$E$6756,0)),"")</f>
        <v/>
      </c>
      <c r="C132" s="1146" t="str">
        <f ca="1">IFERROR(INDEX(NVLSX!$Z$2:$Z$6756,MATCH($D132,NVLSX!$E$2:$E$6756,0)),"")</f>
        <v/>
      </c>
      <c r="D132" s="23" t="str">
        <f ca="1">IF($Q132="","",INDEX(TongVTSX!C$3:C$1500,$Q132))</f>
        <v/>
      </c>
      <c r="E132" s="729" t="str">
        <f ca="1">IF($Q132="","",INDEX(TongVTSX!D$3:D$1500,$Q132) &amp; IF(OR($R132=$S$1,$R132=$S$7)," (" &amp; INDEX(TongVTSX!A$3:A$1500,$Q132) &amp; ")",""))</f>
        <v/>
      </c>
      <c r="F132" s="745" t="str">
        <f ca="1">IF($Q132="","",IF($R132=$S$7,INDEX(TongVTSX!$G$3:$G$1500,$Q132),INDEX(TongVTSX!$E$3:$E$1500,$Q132)))</f>
        <v/>
      </c>
      <c r="G132" s="24" t="str">
        <f ca="1">IF($Q132="","",IF($R132=$S$1,"mm",IF($R132=$S$2,"Thanh",INDEX(TongVTSX!F$3:F$1500,$Q132))))</f>
        <v/>
      </c>
      <c r="H132" s="114">
        <f ca="1">IF($R132=$S$1,INDEX(TongVTSX!$K$3:$K$1500,$Q132),IF($R132=$S$7,INDEX(TongVTSX!$H$3:$H$1500,$Q132),IF($R132=$S$2,ROUNDUP(SUMPRODUCT((TongVTSX!$C$3:$C$1500=$D132)*(TongVTSX!$E$3:$E$1500=$F132)*(TongVTSX!$K$3:$K$1500))/$U132,0),SUMPRODUCT((TongVTSX!$C$3:$C$1500=$D132)*(TongVTSX!$E$3:$E$1500=$F132)*(TongVTSX!$K$3:$K$1500)))))</f>
        <v>0</v>
      </c>
      <c r="I132" s="114"/>
      <c r="J132" s="114"/>
      <c r="K132" s="114" t="str">
        <f ca="1">IF($Q132="","",IF($R132=$S$2,INDEX(TongVTSX!M$3:M$1500,$Q132)*$U132,   INDEX(TongVTSX!M$3:M$1500,$Q132)))</f>
        <v/>
      </c>
      <c r="L132" s="92">
        <f ca="1">IF($Q132="",0, IF($R132=$S$7,$F132*$H132*$K132,IF($R132=$S$2,$H132*$K132,    IF($H132*$K132 - SUMPRODUCT((TongVTSX!$C$3:$C$1500=$D132)*(TongVTSX!$E$3:$E$1500=$F132)*(TongVTSX!$O$3:$O$1500)) &lt;=10,$H132*$K132,"PO &lt;&gt; TongVTSX"))))</f>
        <v>0</v>
      </c>
      <c r="M132" s="114">
        <f ca="1">IF($R132=$S$1,INDEX(TongVTSX!$K$3:$K$1500,$Q132),IF($R132=$S$7,INDEX(TongVTSX!$H$3:$H$1500,$Q132),IF($R132=$S$2,SUMPRODUCT((TongVTSX!$C$3:$C$1500=$D132)*(TongVTSX!$E$3:$E$1500=$F132)*(TongVTSX!$K$3:$K$1500))/$U132,SUMPRODUCT((TongVTSX!$C$3:$C$1500=$D132)*(TongVTSX!$E$3:$E$1500=$F132)*(TongVTSX!$K$3:$K$1500)))))</f>
        <v>0</v>
      </c>
      <c r="N132" s="92">
        <f ca="1">IF($Q132="",0, IF($R132=$S$7,$F132*$M132*$K132,IF($R132=$S$2,$M132*$K132,    IF($M132*$K132 - SUMPRODUCT((TongVTSX!$C$3:$C$1500=$D132)*(TongVTSX!$E$3:$E$1500=$F132)*(TongVTSX!$O$3:$O$1500)) &lt;=10,$M132*$K132,"PO &lt;&gt; TongVTSX"))))</f>
        <v>0</v>
      </c>
      <c r="O132" s="92">
        <f t="shared" ca="1" si="6"/>
        <v>0</v>
      </c>
      <c r="P132" s="1146" t="str">
        <f ca="1">IFERROR(INDEX(NVLSX!$AA$2:$AA$6756,MATCH($D132,NVLSX!$E$2:$E$6756,0)),"")</f>
        <v/>
      </c>
      <c r="Q132" s="742" t="str">
        <f ca="1">IF($R132="","",IF($R132&lt;&gt;$R131,IF(TYPE(MATCH($R132,TongVTSX!$T$3:$T$1500,0))=16,"",MATCH($R132,TongVTSX!$T$3:$T$1500,0)),IF(TYPE(MATCH($R132,OFFSET(TongVTSX!$T$3,$Q131,0):'TongVTSX'!$T$1500,0)+$Q131)=16,"",MATCH($R132,OFFSET(TongVTSX!$T$3,$Q131,0):'TongVTSX'!$T$1500,0)+$Q131)))</f>
        <v/>
      </c>
      <c r="R132" s="179" t="str">
        <f ca="1">IFERROR(IF(COUNTIF($R$3:R131,R131)&lt; INDEX($T$1:$T$7,MATCH($R131,$S$1:$S$7,0)),$R131,INDEX($S$1:$S$7,MATCH($R131,$S$1:$S$7,0)+1)),"")</f>
        <v/>
      </c>
      <c r="S132" s="181"/>
      <c r="T132" s="182"/>
      <c r="U132" s="184" t="str">
        <f ca="1">IF($R132="PR",INDEX(NVLSX!$U$2:$U$6941,MATCH($D132,NVLSX!$E$2:$E$6941,0)),"")</f>
        <v/>
      </c>
      <c r="V132" s="184" t="str">
        <f ca="1">IF($R132="PR",INDEX(NVLSX!$S$2:$S$6941,MATCH($D132,NVLSX!$E$2:$E$6941,0))*1000,"")</f>
        <v/>
      </c>
      <c r="W132" s="776" t="str">
        <f ca="1">IF($R132="PR",INDEX(NVLSX!$S$2:$S$6941,MATCH($D132,NVLSX!$E$2:$E$6941,0))*INDEX(NVLSX!$T$2:$T$6941,MATCH($D132,NVLSX!$E$2:$E$6941,0)),"")</f>
        <v/>
      </c>
      <c r="X132" s="776">
        <f t="shared" ref="X132:X195" ca="1" si="7">IF($R132="PR",W132*H132,0)</f>
        <v>0</v>
      </c>
      <c r="Y132" s="982" t="str">
        <f ca="1">IFERROR(INDEX(NVLSX!$X$2:$X$4655,MATCH($D132,NVLSX!$E$2:$E$4655,0)),"")</f>
        <v/>
      </c>
    </row>
    <row r="133" spans="1:25">
      <c r="A133" s="19" t="str">
        <f ca="1">IF($Q133="","",MAX($A$2:A132)+1)</f>
        <v/>
      </c>
      <c r="B133" s="1146" t="str">
        <f ca="1">IFERROR(INDEX(NVLSX!$Y$2:$Y$6756,MATCH($D133,NVLSX!$E$2:$E$6756,0)),"")</f>
        <v/>
      </c>
      <c r="C133" s="1146" t="str">
        <f ca="1">IFERROR(INDEX(NVLSX!$Z$2:$Z$6756,MATCH($D133,NVLSX!$E$2:$E$6756,0)),"")</f>
        <v/>
      </c>
      <c r="D133" s="23" t="str">
        <f ca="1">IF($Q133="","",INDEX(TongVTSX!C$3:C$1500,$Q133))</f>
        <v/>
      </c>
      <c r="E133" s="729" t="str">
        <f ca="1">IF($Q133="","",INDEX(TongVTSX!D$3:D$1500,$Q133) &amp; IF(OR($R133=$S$1,$R133=$S$7)," (" &amp; INDEX(TongVTSX!A$3:A$1500,$Q133) &amp; ")",""))</f>
        <v/>
      </c>
      <c r="F133" s="745" t="str">
        <f ca="1">IF($Q133="","",IF($R133=$S$7,INDEX(TongVTSX!$G$3:$G$1500,$Q133),INDEX(TongVTSX!$E$3:$E$1500,$Q133)))</f>
        <v/>
      </c>
      <c r="G133" s="24" t="str">
        <f ca="1">IF($Q133="","",IF($R133=$S$1,"mm",IF($R133=$S$2,"Thanh",INDEX(TongVTSX!F$3:F$1500,$Q133))))</f>
        <v/>
      </c>
      <c r="H133" s="114">
        <f ca="1">IF($R133=$S$1,INDEX(TongVTSX!$K$3:$K$1500,$Q133),IF($R133=$S$7,INDEX(TongVTSX!$H$3:$H$1500,$Q133),IF($R133=$S$2,ROUNDUP(SUMPRODUCT((TongVTSX!$C$3:$C$1500=$D133)*(TongVTSX!$E$3:$E$1500=$F133)*(TongVTSX!$K$3:$K$1500))/$U133,0),SUMPRODUCT((TongVTSX!$C$3:$C$1500=$D133)*(TongVTSX!$E$3:$E$1500=$F133)*(TongVTSX!$K$3:$K$1500)))))</f>
        <v>0</v>
      </c>
      <c r="I133" s="114"/>
      <c r="J133" s="114"/>
      <c r="K133" s="114" t="str">
        <f ca="1">IF($Q133="","",IF($R133=$S$2,INDEX(TongVTSX!M$3:M$1500,$Q133)*$U133,   INDEX(TongVTSX!M$3:M$1500,$Q133)))</f>
        <v/>
      </c>
      <c r="L133" s="92">
        <f ca="1">IF($Q133="",0, IF($R133=$S$7,$F133*$H133*$K133,IF($R133=$S$2,$H133*$K133,    IF($H133*$K133 - SUMPRODUCT((TongVTSX!$C$3:$C$1500=$D133)*(TongVTSX!$E$3:$E$1500=$F133)*(TongVTSX!$O$3:$O$1500)) &lt;=10,$H133*$K133,"PO &lt;&gt; TongVTSX"))))</f>
        <v>0</v>
      </c>
      <c r="M133" s="114">
        <f ca="1">IF($R133=$S$1,INDEX(TongVTSX!$K$3:$K$1500,$Q133),IF($R133=$S$7,INDEX(TongVTSX!$H$3:$H$1500,$Q133),IF($R133=$S$2,SUMPRODUCT((TongVTSX!$C$3:$C$1500=$D133)*(TongVTSX!$E$3:$E$1500=$F133)*(TongVTSX!$K$3:$K$1500))/$U133,SUMPRODUCT((TongVTSX!$C$3:$C$1500=$D133)*(TongVTSX!$E$3:$E$1500=$F133)*(TongVTSX!$K$3:$K$1500)))))</f>
        <v>0</v>
      </c>
      <c r="N133" s="92">
        <f ca="1">IF($Q133="",0, IF($R133=$S$7,$F133*$M133*$K133,IF($R133=$S$2,$M133*$K133,    IF($M133*$K133 - SUMPRODUCT((TongVTSX!$C$3:$C$1500=$D133)*(TongVTSX!$E$3:$E$1500=$F133)*(TongVTSX!$O$3:$O$1500)) &lt;=10,$M133*$K133,"PO &lt;&gt; TongVTSX"))))</f>
        <v>0</v>
      </c>
      <c r="O133" s="92">
        <f t="shared" ca="1" si="6"/>
        <v>0</v>
      </c>
      <c r="P133" s="1146" t="str">
        <f ca="1">IFERROR(INDEX(NVLSX!$AA$2:$AA$6756,MATCH($D133,NVLSX!$E$2:$E$6756,0)),"")</f>
        <v/>
      </c>
      <c r="Q133" s="742" t="str">
        <f ca="1">IF($R133="","",IF($R133&lt;&gt;$R132,IF(TYPE(MATCH($R133,TongVTSX!$T$3:$T$1500,0))=16,"",MATCH($R133,TongVTSX!$T$3:$T$1500,0)),IF(TYPE(MATCH($R133,OFFSET(TongVTSX!$T$3,$Q132,0):'TongVTSX'!$T$1500,0)+$Q132)=16,"",MATCH($R133,OFFSET(TongVTSX!$T$3,$Q132,0):'TongVTSX'!$T$1500,0)+$Q132)))</f>
        <v/>
      </c>
      <c r="R133" s="179" t="str">
        <f ca="1">IFERROR(IF(COUNTIF($R$3:R132,R132)&lt; INDEX($T$1:$T$7,MATCH($R132,$S$1:$S$7,0)),$R132,INDEX($S$1:$S$7,MATCH($R132,$S$1:$S$7,0)+1)),"")</f>
        <v/>
      </c>
      <c r="S133" s="181"/>
      <c r="T133" s="182"/>
      <c r="U133" s="184" t="str">
        <f ca="1">IF($R133="PR",INDEX(NVLSX!$U$2:$U$6941,MATCH($D133,NVLSX!$E$2:$E$6941,0)),"")</f>
        <v/>
      </c>
      <c r="V133" s="184" t="str">
        <f ca="1">IF($R133="PR",INDEX(NVLSX!$S$2:$S$6941,MATCH($D133,NVLSX!$E$2:$E$6941,0))*1000,"")</f>
        <v/>
      </c>
      <c r="W133" s="776" t="str">
        <f ca="1">IF($R133="PR",INDEX(NVLSX!$S$2:$S$6941,MATCH($D133,NVLSX!$E$2:$E$6941,0))*INDEX(NVLSX!$T$2:$T$6941,MATCH($D133,NVLSX!$E$2:$E$6941,0)),"")</f>
        <v/>
      </c>
      <c r="X133" s="776">
        <f t="shared" ca="1" si="7"/>
        <v>0</v>
      </c>
      <c r="Y133" s="982" t="str">
        <f ca="1">IFERROR(INDEX(NVLSX!$X$2:$X$4655,MATCH($D133,NVLSX!$E$2:$E$4655,0)),"")</f>
        <v/>
      </c>
    </row>
    <row r="134" spans="1:25">
      <c r="A134" s="19" t="str">
        <f ca="1">IF($Q134="","",MAX($A$2:A133)+1)</f>
        <v/>
      </c>
      <c r="B134" s="1146" t="str">
        <f ca="1">IFERROR(INDEX(NVLSX!$Y$2:$Y$6756,MATCH($D134,NVLSX!$E$2:$E$6756,0)),"")</f>
        <v/>
      </c>
      <c r="C134" s="1146" t="str">
        <f ca="1">IFERROR(INDEX(NVLSX!$Z$2:$Z$6756,MATCH($D134,NVLSX!$E$2:$E$6756,0)),"")</f>
        <v/>
      </c>
      <c r="D134" s="23" t="str">
        <f ca="1">IF($Q134="","",INDEX(TongVTSX!C$3:C$1500,$Q134))</f>
        <v/>
      </c>
      <c r="E134" s="729" t="str">
        <f ca="1">IF($Q134="","",INDEX(TongVTSX!D$3:D$1500,$Q134) &amp; IF(OR($R134=$S$1,$R134=$S$7)," (" &amp; INDEX(TongVTSX!A$3:A$1500,$Q134) &amp; ")",""))</f>
        <v/>
      </c>
      <c r="F134" s="745" t="str">
        <f ca="1">IF($Q134="","",IF($R134=$S$7,INDEX(TongVTSX!$G$3:$G$1500,$Q134),INDEX(TongVTSX!$E$3:$E$1500,$Q134)))</f>
        <v/>
      </c>
      <c r="G134" s="24" t="str">
        <f ca="1">IF($Q134="","",IF($R134=$S$1,"mm",IF($R134=$S$2,"Thanh",INDEX(TongVTSX!F$3:F$1500,$Q134))))</f>
        <v/>
      </c>
      <c r="H134" s="114">
        <f ca="1">IF($R134=$S$1,INDEX(TongVTSX!$K$3:$K$1500,$Q134),IF($R134=$S$7,INDEX(TongVTSX!$H$3:$H$1500,$Q134),IF($R134=$S$2,ROUNDUP(SUMPRODUCT((TongVTSX!$C$3:$C$1500=$D134)*(TongVTSX!$E$3:$E$1500=$F134)*(TongVTSX!$K$3:$K$1500))/$U134,0),SUMPRODUCT((TongVTSX!$C$3:$C$1500=$D134)*(TongVTSX!$E$3:$E$1500=$F134)*(TongVTSX!$K$3:$K$1500)))))</f>
        <v>0</v>
      </c>
      <c r="I134" s="114"/>
      <c r="J134" s="114"/>
      <c r="K134" s="114" t="str">
        <f ca="1">IF($Q134="","",IF($R134=$S$2,INDEX(TongVTSX!M$3:M$1500,$Q134)*$U134,   INDEX(TongVTSX!M$3:M$1500,$Q134)))</f>
        <v/>
      </c>
      <c r="L134" s="92">
        <f ca="1">IF($Q134="",0, IF($R134=$S$7,$F134*$H134*$K134,IF($R134=$S$2,$H134*$K134,    IF($H134*$K134 - SUMPRODUCT((TongVTSX!$C$3:$C$1500=$D134)*(TongVTSX!$E$3:$E$1500=$F134)*(TongVTSX!$O$3:$O$1500)) &lt;=10,$H134*$K134,"PO &lt;&gt; TongVTSX"))))</f>
        <v>0</v>
      </c>
      <c r="M134" s="114">
        <f ca="1">IF($R134=$S$1,INDEX(TongVTSX!$K$3:$K$1500,$Q134),IF($R134=$S$7,INDEX(TongVTSX!$H$3:$H$1500,$Q134),IF($R134=$S$2,SUMPRODUCT((TongVTSX!$C$3:$C$1500=$D134)*(TongVTSX!$E$3:$E$1500=$F134)*(TongVTSX!$K$3:$K$1500))/$U134,SUMPRODUCT((TongVTSX!$C$3:$C$1500=$D134)*(TongVTSX!$E$3:$E$1500=$F134)*(TongVTSX!$K$3:$K$1500)))))</f>
        <v>0</v>
      </c>
      <c r="N134" s="92">
        <f ca="1">IF($Q134="",0, IF($R134=$S$7,$F134*$M134*$K134,IF($R134=$S$2,$M134*$K134,    IF($M134*$K134 - SUMPRODUCT((TongVTSX!$C$3:$C$1500=$D134)*(TongVTSX!$E$3:$E$1500=$F134)*(TongVTSX!$O$3:$O$1500)) &lt;=10,$M134*$K134,"PO &lt;&gt; TongVTSX"))))</f>
        <v>0</v>
      </c>
      <c r="O134" s="92">
        <f t="shared" ca="1" si="6"/>
        <v>0</v>
      </c>
      <c r="P134" s="1146" t="str">
        <f ca="1">IFERROR(INDEX(NVLSX!$AA$2:$AA$6756,MATCH($D134,NVLSX!$E$2:$E$6756,0)),"")</f>
        <v/>
      </c>
      <c r="Q134" s="742" t="str">
        <f ca="1">IF($R134="","",IF($R134&lt;&gt;$R133,IF(TYPE(MATCH($R134,TongVTSX!$T$3:$T$1500,0))=16,"",MATCH($R134,TongVTSX!$T$3:$T$1500,0)),IF(TYPE(MATCH($R134,OFFSET(TongVTSX!$T$3,$Q133,0):'TongVTSX'!$T$1500,0)+$Q133)=16,"",MATCH($R134,OFFSET(TongVTSX!$T$3,$Q133,0):'TongVTSX'!$T$1500,0)+$Q133)))</f>
        <v/>
      </c>
      <c r="R134" s="179" t="str">
        <f ca="1">IFERROR(IF(COUNTIF($R$3:R133,R133)&lt; INDEX($T$1:$T$7,MATCH($R133,$S$1:$S$7,0)),$R133,INDEX($S$1:$S$7,MATCH($R133,$S$1:$S$7,0)+1)),"")</f>
        <v/>
      </c>
      <c r="S134" s="181"/>
      <c r="T134" s="182"/>
      <c r="U134" s="184" t="str">
        <f ca="1">IF($R134="PR",INDEX(NVLSX!$U$2:$U$6941,MATCH($D134,NVLSX!$E$2:$E$6941,0)),"")</f>
        <v/>
      </c>
      <c r="V134" s="184" t="str">
        <f ca="1">IF($R134="PR",INDEX(NVLSX!$S$2:$S$6941,MATCH($D134,NVLSX!$E$2:$E$6941,0))*1000,"")</f>
        <v/>
      </c>
      <c r="W134" s="776" t="str">
        <f ca="1">IF($R134="PR",INDEX(NVLSX!$S$2:$S$6941,MATCH($D134,NVLSX!$E$2:$E$6941,0))*INDEX(NVLSX!$T$2:$T$6941,MATCH($D134,NVLSX!$E$2:$E$6941,0)),"")</f>
        <v/>
      </c>
      <c r="X134" s="776">
        <f t="shared" ca="1" si="7"/>
        <v>0</v>
      </c>
      <c r="Y134" s="982" t="str">
        <f ca="1">IFERROR(INDEX(NVLSX!$X$2:$X$4655,MATCH($D134,NVLSX!$E$2:$E$4655,0)),"")</f>
        <v/>
      </c>
    </row>
    <row r="135" spans="1:25">
      <c r="A135" s="19" t="str">
        <f ca="1">IF($Q135="","",MAX($A$2:A134)+1)</f>
        <v/>
      </c>
      <c r="B135" s="1146" t="str">
        <f ca="1">IFERROR(INDEX(NVLSX!$Y$2:$Y$6756,MATCH($D135,NVLSX!$E$2:$E$6756,0)),"")</f>
        <v/>
      </c>
      <c r="C135" s="1146" t="str">
        <f ca="1">IFERROR(INDEX(NVLSX!$Z$2:$Z$6756,MATCH($D135,NVLSX!$E$2:$E$6756,0)),"")</f>
        <v/>
      </c>
      <c r="D135" s="23" t="str">
        <f ca="1">IF($Q135="","",INDEX(TongVTSX!C$3:C$1500,$Q135))</f>
        <v/>
      </c>
      <c r="E135" s="729" t="str">
        <f ca="1">IF($Q135="","",INDEX(TongVTSX!D$3:D$1500,$Q135) &amp; IF(OR($R135=$S$1,$R135=$S$7)," (" &amp; INDEX(TongVTSX!A$3:A$1500,$Q135) &amp; ")",""))</f>
        <v/>
      </c>
      <c r="F135" s="745" t="str">
        <f ca="1">IF($Q135="","",IF($R135=$S$7,INDEX(TongVTSX!$G$3:$G$1500,$Q135),INDEX(TongVTSX!$E$3:$E$1500,$Q135)))</f>
        <v/>
      </c>
      <c r="G135" s="24" t="str">
        <f ca="1">IF($Q135="","",IF($R135=$S$1,"mm",IF($R135=$S$2,"Thanh",INDEX(TongVTSX!F$3:F$1500,$Q135))))</f>
        <v/>
      </c>
      <c r="H135" s="114">
        <f ca="1">IF($R135=$S$1,INDEX(TongVTSX!$K$3:$K$1500,$Q135),IF($R135=$S$7,INDEX(TongVTSX!$H$3:$H$1500,$Q135),IF($R135=$S$2,ROUNDUP(SUMPRODUCT((TongVTSX!$C$3:$C$1500=$D135)*(TongVTSX!$E$3:$E$1500=$F135)*(TongVTSX!$K$3:$K$1500))/$U135,0),SUMPRODUCT((TongVTSX!$C$3:$C$1500=$D135)*(TongVTSX!$E$3:$E$1500=$F135)*(TongVTSX!$K$3:$K$1500)))))</f>
        <v>0</v>
      </c>
      <c r="I135" s="114"/>
      <c r="J135" s="114"/>
      <c r="K135" s="114" t="str">
        <f ca="1">IF($Q135="","",IF($R135=$S$2,INDEX(TongVTSX!M$3:M$1500,$Q135)*$U135,   INDEX(TongVTSX!M$3:M$1500,$Q135)))</f>
        <v/>
      </c>
      <c r="L135" s="92">
        <f ca="1">IF($Q135="",0, IF($R135=$S$7,$F135*$H135*$K135,IF($R135=$S$2,$H135*$K135,    IF($H135*$K135 - SUMPRODUCT((TongVTSX!$C$3:$C$1500=$D135)*(TongVTSX!$E$3:$E$1500=$F135)*(TongVTSX!$O$3:$O$1500)) &lt;=10,$H135*$K135,"PO &lt;&gt; TongVTSX"))))</f>
        <v>0</v>
      </c>
      <c r="M135" s="114">
        <f ca="1">IF($R135=$S$1,INDEX(TongVTSX!$K$3:$K$1500,$Q135),IF($R135=$S$7,INDEX(TongVTSX!$H$3:$H$1500,$Q135),IF($R135=$S$2,SUMPRODUCT((TongVTSX!$C$3:$C$1500=$D135)*(TongVTSX!$E$3:$E$1500=$F135)*(TongVTSX!$K$3:$K$1500))/$U135,SUMPRODUCT((TongVTSX!$C$3:$C$1500=$D135)*(TongVTSX!$E$3:$E$1500=$F135)*(TongVTSX!$K$3:$K$1500)))))</f>
        <v>0</v>
      </c>
      <c r="N135" s="92">
        <f ca="1">IF($Q135="",0, IF($R135=$S$7,$F135*$M135*$K135,IF($R135=$S$2,$M135*$K135,    IF($M135*$K135 - SUMPRODUCT((TongVTSX!$C$3:$C$1500=$D135)*(TongVTSX!$E$3:$E$1500=$F135)*(TongVTSX!$O$3:$O$1500)) &lt;=10,$M135*$K135,"PO &lt;&gt; TongVTSX"))))</f>
        <v>0</v>
      </c>
      <c r="O135" s="92">
        <f t="shared" ca="1" si="6"/>
        <v>0</v>
      </c>
      <c r="P135" s="1146" t="str">
        <f ca="1">IFERROR(INDEX(NVLSX!$AA$2:$AA$6756,MATCH($D135,NVLSX!$E$2:$E$6756,0)),"")</f>
        <v/>
      </c>
      <c r="Q135" s="742" t="str">
        <f ca="1">IF($R135="","",IF($R135&lt;&gt;$R134,IF(TYPE(MATCH($R135,TongVTSX!$T$3:$T$1500,0))=16,"",MATCH($R135,TongVTSX!$T$3:$T$1500,0)),IF(TYPE(MATCH($R135,OFFSET(TongVTSX!$T$3,$Q134,0):'TongVTSX'!$T$1500,0)+$Q134)=16,"",MATCH($R135,OFFSET(TongVTSX!$T$3,$Q134,0):'TongVTSX'!$T$1500,0)+$Q134)))</f>
        <v/>
      </c>
      <c r="R135" s="179" t="str">
        <f ca="1">IFERROR(IF(COUNTIF($R$3:R134,R134)&lt; INDEX($T$1:$T$7,MATCH($R134,$S$1:$S$7,0)),$R134,INDEX($S$1:$S$7,MATCH($R134,$S$1:$S$7,0)+1)),"")</f>
        <v/>
      </c>
      <c r="S135" s="181"/>
      <c r="T135" s="182"/>
      <c r="U135" s="184" t="str">
        <f ca="1">IF($R135="PR",INDEX(NVLSX!$U$2:$U$6941,MATCH($D135,NVLSX!$E$2:$E$6941,0)),"")</f>
        <v/>
      </c>
      <c r="V135" s="184" t="str">
        <f ca="1">IF($R135="PR",INDEX(NVLSX!$S$2:$S$6941,MATCH($D135,NVLSX!$E$2:$E$6941,0))*1000,"")</f>
        <v/>
      </c>
      <c r="W135" s="776" t="str">
        <f ca="1">IF($R135="PR",INDEX(NVLSX!$S$2:$S$6941,MATCH($D135,NVLSX!$E$2:$E$6941,0))*INDEX(NVLSX!$T$2:$T$6941,MATCH($D135,NVLSX!$E$2:$E$6941,0)),"")</f>
        <v/>
      </c>
      <c r="X135" s="776">
        <f t="shared" ca="1" si="7"/>
        <v>0</v>
      </c>
      <c r="Y135" s="982" t="str">
        <f ca="1">IFERROR(INDEX(NVLSX!$X$2:$X$4655,MATCH($D135,NVLSX!$E$2:$E$4655,0)),"")</f>
        <v/>
      </c>
    </row>
    <row r="136" spans="1:25">
      <c r="A136" s="19" t="str">
        <f ca="1">IF($Q136="","",MAX($A$2:A135)+1)</f>
        <v/>
      </c>
      <c r="B136" s="1146" t="str">
        <f ca="1">IFERROR(INDEX(NVLSX!$Y$2:$Y$6756,MATCH($D136,NVLSX!$E$2:$E$6756,0)),"")</f>
        <v/>
      </c>
      <c r="C136" s="1146" t="str">
        <f ca="1">IFERROR(INDEX(NVLSX!$Z$2:$Z$6756,MATCH($D136,NVLSX!$E$2:$E$6756,0)),"")</f>
        <v/>
      </c>
      <c r="D136" s="23" t="str">
        <f ca="1">IF($Q136="","",INDEX(TongVTSX!C$3:C$1500,$Q136))</f>
        <v/>
      </c>
      <c r="E136" s="729" t="str">
        <f ca="1">IF($Q136="","",INDEX(TongVTSX!D$3:D$1500,$Q136) &amp; IF(OR($R136=$S$1,$R136=$S$7)," (" &amp; INDEX(TongVTSX!A$3:A$1500,$Q136) &amp; ")",""))</f>
        <v/>
      </c>
      <c r="F136" s="745" t="str">
        <f ca="1">IF($Q136="","",IF($R136=$S$7,INDEX(TongVTSX!$G$3:$G$1500,$Q136),INDEX(TongVTSX!$E$3:$E$1500,$Q136)))</f>
        <v/>
      </c>
      <c r="G136" s="24" t="str">
        <f ca="1">IF($Q136="","",IF($R136=$S$1,"mm",IF($R136=$S$2,"Thanh",INDEX(TongVTSX!F$3:F$1500,$Q136))))</f>
        <v/>
      </c>
      <c r="H136" s="114">
        <f ca="1">IF($R136=$S$1,INDEX(TongVTSX!$K$3:$K$1500,$Q136),IF($R136=$S$7,INDEX(TongVTSX!$H$3:$H$1500,$Q136),IF($R136=$S$2,ROUNDUP(SUMPRODUCT((TongVTSX!$C$3:$C$1500=$D136)*(TongVTSX!$E$3:$E$1500=$F136)*(TongVTSX!$K$3:$K$1500))/$U136,0),SUMPRODUCT((TongVTSX!$C$3:$C$1500=$D136)*(TongVTSX!$E$3:$E$1500=$F136)*(TongVTSX!$K$3:$K$1500)))))</f>
        <v>0</v>
      </c>
      <c r="I136" s="114"/>
      <c r="J136" s="114"/>
      <c r="K136" s="114" t="str">
        <f ca="1">IF($Q136="","",IF($R136=$S$2,INDEX(TongVTSX!M$3:M$1500,$Q136)*$U136,   INDEX(TongVTSX!M$3:M$1500,$Q136)))</f>
        <v/>
      </c>
      <c r="L136" s="92">
        <f ca="1">IF($Q136="",0, IF($R136=$S$7,$F136*$H136*$K136,IF($R136=$S$2,$H136*$K136,    IF($H136*$K136 - SUMPRODUCT((TongVTSX!$C$3:$C$1500=$D136)*(TongVTSX!$E$3:$E$1500=$F136)*(TongVTSX!$O$3:$O$1500)) &lt;=10,$H136*$K136,"PO &lt;&gt; TongVTSX"))))</f>
        <v>0</v>
      </c>
      <c r="M136" s="114">
        <f ca="1">IF($R136=$S$1,INDEX(TongVTSX!$K$3:$K$1500,$Q136),IF($R136=$S$7,INDEX(TongVTSX!$H$3:$H$1500,$Q136),IF($R136=$S$2,SUMPRODUCT((TongVTSX!$C$3:$C$1500=$D136)*(TongVTSX!$E$3:$E$1500=$F136)*(TongVTSX!$K$3:$K$1500))/$U136,SUMPRODUCT((TongVTSX!$C$3:$C$1500=$D136)*(TongVTSX!$E$3:$E$1500=$F136)*(TongVTSX!$K$3:$K$1500)))))</f>
        <v>0</v>
      </c>
      <c r="N136" s="92">
        <f ca="1">IF($Q136="",0, IF($R136=$S$7,$F136*$M136*$K136,IF($R136=$S$2,$M136*$K136,    IF($M136*$K136 - SUMPRODUCT((TongVTSX!$C$3:$C$1500=$D136)*(TongVTSX!$E$3:$E$1500=$F136)*(TongVTSX!$O$3:$O$1500)) &lt;=10,$M136*$K136,"PO &lt;&gt; TongVTSX"))))</f>
        <v>0</v>
      </c>
      <c r="O136" s="92">
        <f t="shared" ca="1" si="6"/>
        <v>0</v>
      </c>
      <c r="P136" s="1146" t="str">
        <f ca="1">IFERROR(INDEX(NVLSX!$AA$2:$AA$6756,MATCH($D136,NVLSX!$E$2:$E$6756,0)),"")</f>
        <v/>
      </c>
      <c r="Q136" s="742" t="str">
        <f ca="1">IF($R136="","",IF($R136&lt;&gt;$R135,IF(TYPE(MATCH($R136,TongVTSX!$T$3:$T$1500,0))=16,"",MATCH($R136,TongVTSX!$T$3:$T$1500,0)),IF(TYPE(MATCH($R136,OFFSET(TongVTSX!$T$3,$Q135,0):'TongVTSX'!$T$1500,0)+$Q135)=16,"",MATCH($R136,OFFSET(TongVTSX!$T$3,$Q135,0):'TongVTSX'!$T$1500,0)+$Q135)))</f>
        <v/>
      </c>
      <c r="R136" s="179" t="str">
        <f ca="1">IFERROR(IF(COUNTIF($R$3:R135,R135)&lt; INDEX($T$1:$T$7,MATCH($R135,$S$1:$S$7,0)),$R135,INDEX($S$1:$S$7,MATCH($R135,$S$1:$S$7,0)+1)),"")</f>
        <v/>
      </c>
      <c r="S136" s="181"/>
      <c r="T136" s="182"/>
      <c r="U136" s="184" t="str">
        <f ca="1">IF($R136="PR",INDEX(NVLSX!$U$2:$U$6941,MATCH($D136,NVLSX!$E$2:$E$6941,0)),"")</f>
        <v/>
      </c>
      <c r="V136" s="184" t="str">
        <f ca="1">IF($R136="PR",INDEX(NVLSX!$S$2:$S$6941,MATCH($D136,NVLSX!$E$2:$E$6941,0))*1000,"")</f>
        <v/>
      </c>
      <c r="W136" s="776" t="str">
        <f ca="1">IF($R136="PR",INDEX(NVLSX!$S$2:$S$6941,MATCH($D136,NVLSX!$E$2:$E$6941,0))*INDEX(NVLSX!$T$2:$T$6941,MATCH($D136,NVLSX!$E$2:$E$6941,0)),"")</f>
        <v/>
      </c>
      <c r="X136" s="776">
        <f t="shared" ca="1" si="7"/>
        <v>0</v>
      </c>
      <c r="Y136" s="982" t="str">
        <f ca="1">IFERROR(INDEX(NVLSX!$X$2:$X$4655,MATCH($D136,NVLSX!$E$2:$E$4655,0)),"")</f>
        <v/>
      </c>
    </row>
    <row r="137" spans="1:25">
      <c r="A137" s="19" t="str">
        <f ca="1">IF($Q137="","",MAX($A$2:A136)+1)</f>
        <v/>
      </c>
      <c r="B137" s="1146" t="str">
        <f ca="1">IFERROR(INDEX(NVLSX!$Y$2:$Y$6756,MATCH($D137,NVLSX!$E$2:$E$6756,0)),"")</f>
        <v/>
      </c>
      <c r="C137" s="1146" t="str">
        <f ca="1">IFERROR(INDEX(NVLSX!$Z$2:$Z$6756,MATCH($D137,NVLSX!$E$2:$E$6756,0)),"")</f>
        <v/>
      </c>
      <c r="D137" s="23" t="str">
        <f ca="1">IF($Q137="","",INDEX(TongVTSX!C$3:C$1500,$Q137))</f>
        <v/>
      </c>
      <c r="E137" s="729" t="str">
        <f ca="1">IF($Q137="","",INDEX(TongVTSX!D$3:D$1500,$Q137) &amp; IF(OR($R137=$S$1,$R137=$S$7)," (" &amp; INDEX(TongVTSX!A$3:A$1500,$Q137) &amp; ")",""))</f>
        <v/>
      </c>
      <c r="F137" s="745" t="str">
        <f ca="1">IF($Q137="","",IF($R137=$S$7,INDEX(TongVTSX!$G$3:$G$1500,$Q137),INDEX(TongVTSX!$E$3:$E$1500,$Q137)))</f>
        <v/>
      </c>
      <c r="G137" s="24" t="str">
        <f ca="1">IF($Q137="","",IF($R137=$S$1,"mm",IF($R137=$S$2,"Thanh",INDEX(TongVTSX!F$3:F$1500,$Q137))))</f>
        <v/>
      </c>
      <c r="H137" s="114">
        <f ca="1">IF($R137=$S$1,INDEX(TongVTSX!$K$3:$K$1500,$Q137),IF($R137=$S$7,INDEX(TongVTSX!$H$3:$H$1500,$Q137),IF($R137=$S$2,ROUNDUP(SUMPRODUCT((TongVTSX!$C$3:$C$1500=$D137)*(TongVTSX!$E$3:$E$1500=$F137)*(TongVTSX!$K$3:$K$1500))/$U137,0),SUMPRODUCT((TongVTSX!$C$3:$C$1500=$D137)*(TongVTSX!$E$3:$E$1500=$F137)*(TongVTSX!$K$3:$K$1500)))))</f>
        <v>0</v>
      </c>
      <c r="I137" s="114"/>
      <c r="J137" s="114"/>
      <c r="K137" s="114" t="str">
        <f ca="1">IF($Q137="","",IF($R137=$S$2,INDEX(TongVTSX!M$3:M$1500,$Q137)*$U137,   INDEX(TongVTSX!M$3:M$1500,$Q137)))</f>
        <v/>
      </c>
      <c r="L137" s="92">
        <f ca="1">IF($Q137="",0, IF($R137=$S$7,$F137*$H137*$K137,IF($R137=$S$2,$H137*$K137,    IF($H137*$K137 - SUMPRODUCT((TongVTSX!$C$3:$C$1500=$D137)*(TongVTSX!$E$3:$E$1500=$F137)*(TongVTSX!$O$3:$O$1500)) &lt;=10,$H137*$K137,"PO &lt;&gt; TongVTSX"))))</f>
        <v>0</v>
      </c>
      <c r="M137" s="114">
        <f ca="1">IF($R137=$S$1,INDEX(TongVTSX!$K$3:$K$1500,$Q137),IF($R137=$S$7,INDEX(TongVTSX!$H$3:$H$1500,$Q137),IF($R137=$S$2,SUMPRODUCT((TongVTSX!$C$3:$C$1500=$D137)*(TongVTSX!$E$3:$E$1500=$F137)*(TongVTSX!$K$3:$K$1500))/$U137,SUMPRODUCT((TongVTSX!$C$3:$C$1500=$D137)*(TongVTSX!$E$3:$E$1500=$F137)*(TongVTSX!$K$3:$K$1500)))))</f>
        <v>0</v>
      </c>
      <c r="N137" s="92">
        <f ca="1">IF($Q137="",0, IF($R137=$S$7,$F137*$M137*$K137,IF($R137=$S$2,$M137*$K137,    IF($M137*$K137 - SUMPRODUCT((TongVTSX!$C$3:$C$1500=$D137)*(TongVTSX!$E$3:$E$1500=$F137)*(TongVTSX!$O$3:$O$1500)) &lt;=10,$M137*$K137,"PO &lt;&gt; TongVTSX"))))</f>
        <v>0</v>
      </c>
      <c r="O137" s="92">
        <f t="shared" ca="1" si="6"/>
        <v>0</v>
      </c>
      <c r="P137" s="1146" t="str">
        <f ca="1">IFERROR(INDEX(NVLSX!$AA$2:$AA$6756,MATCH($D137,NVLSX!$E$2:$E$6756,0)),"")</f>
        <v/>
      </c>
      <c r="Q137" s="742" t="str">
        <f ca="1">IF($R137="","",IF($R137&lt;&gt;$R136,IF(TYPE(MATCH($R137,TongVTSX!$T$3:$T$1500,0))=16,"",MATCH($R137,TongVTSX!$T$3:$T$1500,0)),IF(TYPE(MATCH($R137,OFFSET(TongVTSX!$T$3,$Q136,0):'TongVTSX'!$T$1500,0)+$Q136)=16,"",MATCH($R137,OFFSET(TongVTSX!$T$3,$Q136,0):'TongVTSX'!$T$1500,0)+$Q136)))</f>
        <v/>
      </c>
      <c r="R137" s="179" t="str">
        <f ca="1">IFERROR(IF(COUNTIF($R$3:R136,R136)&lt; INDEX($T$1:$T$7,MATCH($R136,$S$1:$S$7,0)),$R136,INDEX($S$1:$S$7,MATCH($R136,$S$1:$S$7,0)+1)),"")</f>
        <v/>
      </c>
      <c r="S137" s="181"/>
      <c r="T137" s="182"/>
      <c r="U137" s="184" t="str">
        <f ca="1">IF($R137="PR",INDEX(NVLSX!$U$2:$U$6941,MATCH($D137,NVLSX!$E$2:$E$6941,0)),"")</f>
        <v/>
      </c>
      <c r="V137" s="184" t="str">
        <f ca="1">IF($R137="PR",INDEX(NVLSX!$S$2:$S$6941,MATCH($D137,NVLSX!$E$2:$E$6941,0))*1000,"")</f>
        <v/>
      </c>
      <c r="W137" s="776" t="str">
        <f ca="1">IF($R137="PR",INDEX(NVLSX!$S$2:$S$6941,MATCH($D137,NVLSX!$E$2:$E$6941,0))*INDEX(NVLSX!$T$2:$T$6941,MATCH($D137,NVLSX!$E$2:$E$6941,0)),"")</f>
        <v/>
      </c>
      <c r="X137" s="776">
        <f t="shared" ca="1" si="7"/>
        <v>0</v>
      </c>
      <c r="Y137" s="982" t="str">
        <f ca="1">IFERROR(INDEX(NVLSX!$X$2:$X$4655,MATCH($D137,NVLSX!$E$2:$E$4655,0)),"")</f>
        <v/>
      </c>
    </row>
    <row r="138" spans="1:25">
      <c r="A138" s="19" t="str">
        <f ca="1">IF($Q138="","",MAX($A$2:A137)+1)</f>
        <v/>
      </c>
      <c r="B138" s="1146" t="str">
        <f ca="1">IFERROR(INDEX(NVLSX!$Y$2:$Y$6756,MATCH($D138,NVLSX!$E$2:$E$6756,0)),"")</f>
        <v/>
      </c>
      <c r="C138" s="1146" t="str">
        <f ca="1">IFERROR(INDEX(NVLSX!$Z$2:$Z$6756,MATCH($D138,NVLSX!$E$2:$E$6756,0)),"")</f>
        <v/>
      </c>
      <c r="D138" s="23" t="str">
        <f ca="1">IF($Q138="","",INDEX(TongVTSX!C$3:C$1500,$Q138))</f>
        <v/>
      </c>
      <c r="E138" s="729" t="str">
        <f ca="1">IF($Q138="","",INDEX(TongVTSX!D$3:D$1500,$Q138) &amp; IF(OR($R138=$S$1,$R138=$S$7)," (" &amp; INDEX(TongVTSX!A$3:A$1500,$Q138) &amp; ")",""))</f>
        <v/>
      </c>
      <c r="F138" s="745" t="str">
        <f ca="1">IF($Q138="","",IF($R138=$S$7,INDEX(TongVTSX!$G$3:$G$1500,$Q138),INDEX(TongVTSX!$E$3:$E$1500,$Q138)))</f>
        <v/>
      </c>
      <c r="G138" s="24" t="str">
        <f ca="1">IF($Q138="","",IF($R138=$S$1,"mm",IF($R138=$S$2,"Thanh",INDEX(TongVTSX!F$3:F$1500,$Q138))))</f>
        <v/>
      </c>
      <c r="H138" s="114">
        <f ca="1">IF($R138=$S$1,INDEX(TongVTSX!$K$3:$K$1500,$Q138),IF($R138=$S$7,INDEX(TongVTSX!$H$3:$H$1500,$Q138),IF($R138=$S$2,ROUNDUP(SUMPRODUCT((TongVTSX!$C$3:$C$1500=$D138)*(TongVTSX!$E$3:$E$1500=$F138)*(TongVTSX!$K$3:$K$1500))/$U138,0),SUMPRODUCT((TongVTSX!$C$3:$C$1500=$D138)*(TongVTSX!$E$3:$E$1500=$F138)*(TongVTSX!$K$3:$K$1500)))))</f>
        <v>0</v>
      </c>
      <c r="I138" s="114"/>
      <c r="J138" s="114"/>
      <c r="K138" s="114" t="str">
        <f ca="1">IF($Q138="","",IF($R138=$S$2,INDEX(TongVTSX!M$3:M$1500,$Q138)*$U138,   INDEX(TongVTSX!M$3:M$1500,$Q138)))</f>
        <v/>
      </c>
      <c r="L138" s="92">
        <f ca="1">IF($Q138="",0, IF($R138=$S$7,$F138*$H138*$K138,IF($R138=$S$2,$H138*$K138,    IF($H138*$K138 - SUMPRODUCT((TongVTSX!$C$3:$C$1500=$D138)*(TongVTSX!$E$3:$E$1500=$F138)*(TongVTSX!$O$3:$O$1500)) &lt;=10,$H138*$K138,"PO &lt;&gt; TongVTSX"))))</f>
        <v>0</v>
      </c>
      <c r="M138" s="114">
        <f ca="1">IF($R138=$S$1,INDEX(TongVTSX!$K$3:$K$1500,$Q138),IF($R138=$S$7,INDEX(TongVTSX!$H$3:$H$1500,$Q138),IF($R138=$S$2,SUMPRODUCT((TongVTSX!$C$3:$C$1500=$D138)*(TongVTSX!$E$3:$E$1500=$F138)*(TongVTSX!$K$3:$K$1500))/$U138,SUMPRODUCT((TongVTSX!$C$3:$C$1500=$D138)*(TongVTSX!$E$3:$E$1500=$F138)*(TongVTSX!$K$3:$K$1500)))))</f>
        <v>0</v>
      </c>
      <c r="N138" s="92">
        <f ca="1">IF($Q138="",0, IF($R138=$S$7,$F138*$M138*$K138,IF($R138=$S$2,$M138*$K138,    IF($M138*$K138 - SUMPRODUCT((TongVTSX!$C$3:$C$1500=$D138)*(TongVTSX!$E$3:$E$1500=$F138)*(TongVTSX!$O$3:$O$1500)) &lt;=10,$M138*$K138,"PO &lt;&gt; TongVTSX"))))</f>
        <v>0</v>
      </c>
      <c r="O138" s="92">
        <f t="shared" ca="1" si="6"/>
        <v>0</v>
      </c>
      <c r="P138" s="1146" t="str">
        <f ca="1">IFERROR(INDEX(NVLSX!$AA$2:$AA$6756,MATCH($D138,NVLSX!$E$2:$E$6756,0)),"")</f>
        <v/>
      </c>
      <c r="Q138" s="742" t="str">
        <f ca="1">IF($R138="","",IF($R138&lt;&gt;$R137,IF(TYPE(MATCH($R138,TongVTSX!$T$3:$T$1500,0))=16,"",MATCH($R138,TongVTSX!$T$3:$T$1500,0)),IF(TYPE(MATCH($R138,OFFSET(TongVTSX!$T$3,$Q137,0):'TongVTSX'!$T$1500,0)+$Q137)=16,"",MATCH($R138,OFFSET(TongVTSX!$T$3,$Q137,0):'TongVTSX'!$T$1500,0)+$Q137)))</f>
        <v/>
      </c>
      <c r="R138" s="179" t="str">
        <f ca="1">IFERROR(IF(COUNTIF($R$3:R137,R137)&lt; INDEX($T$1:$T$7,MATCH($R137,$S$1:$S$7,0)),$R137,INDEX($S$1:$S$7,MATCH($R137,$S$1:$S$7,0)+1)),"")</f>
        <v/>
      </c>
      <c r="S138" s="181"/>
      <c r="T138" s="182"/>
      <c r="U138" s="184" t="str">
        <f ca="1">IF($R138="PR",INDEX(NVLSX!$U$2:$U$6941,MATCH($D138,NVLSX!$E$2:$E$6941,0)),"")</f>
        <v/>
      </c>
      <c r="V138" s="184" t="str">
        <f ca="1">IF($R138="PR",INDEX(NVLSX!$S$2:$S$6941,MATCH($D138,NVLSX!$E$2:$E$6941,0))*1000,"")</f>
        <v/>
      </c>
      <c r="W138" s="776" t="str">
        <f ca="1">IF($R138="PR",INDEX(NVLSX!$S$2:$S$6941,MATCH($D138,NVLSX!$E$2:$E$6941,0))*INDEX(NVLSX!$T$2:$T$6941,MATCH($D138,NVLSX!$E$2:$E$6941,0)),"")</f>
        <v/>
      </c>
      <c r="X138" s="776">
        <f t="shared" ca="1" si="7"/>
        <v>0</v>
      </c>
      <c r="Y138" s="982" t="str">
        <f ca="1">IFERROR(INDEX(NVLSX!$X$2:$X$4655,MATCH($D138,NVLSX!$E$2:$E$4655,0)),"")</f>
        <v/>
      </c>
    </row>
    <row r="139" spans="1:25">
      <c r="A139" s="19" t="str">
        <f ca="1">IF($Q139="","",MAX($A$2:A138)+1)</f>
        <v/>
      </c>
      <c r="B139" s="1146" t="str">
        <f ca="1">IFERROR(INDEX(NVLSX!$Y$2:$Y$6756,MATCH($D139,NVLSX!$E$2:$E$6756,0)),"")</f>
        <v/>
      </c>
      <c r="C139" s="1146" t="str">
        <f ca="1">IFERROR(INDEX(NVLSX!$Z$2:$Z$6756,MATCH($D139,NVLSX!$E$2:$E$6756,0)),"")</f>
        <v/>
      </c>
      <c r="D139" s="23" t="str">
        <f ca="1">IF($Q139="","",INDEX(TongVTSX!C$3:C$1500,$Q139))</f>
        <v/>
      </c>
      <c r="E139" s="729" t="str">
        <f ca="1">IF($Q139="","",INDEX(TongVTSX!D$3:D$1500,$Q139) &amp; IF(OR($R139=$S$1,$R139=$S$7)," (" &amp; INDEX(TongVTSX!A$3:A$1500,$Q139) &amp; ")",""))</f>
        <v/>
      </c>
      <c r="F139" s="745" t="str">
        <f ca="1">IF($Q139="","",IF($R139=$S$7,INDEX(TongVTSX!$G$3:$G$1500,$Q139),INDEX(TongVTSX!$E$3:$E$1500,$Q139)))</f>
        <v/>
      </c>
      <c r="G139" s="24" t="str">
        <f ca="1">IF($Q139="","",IF($R139=$S$1,"mm",IF($R139=$S$2,"Thanh",INDEX(TongVTSX!F$3:F$1500,$Q139))))</f>
        <v/>
      </c>
      <c r="H139" s="114">
        <f ca="1">IF($R139=$S$1,INDEX(TongVTSX!$K$3:$K$1500,$Q139),IF($R139=$S$7,INDEX(TongVTSX!$H$3:$H$1500,$Q139),IF($R139=$S$2,ROUNDUP(SUMPRODUCT((TongVTSX!$C$3:$C$1500=$D139)*(TongVTSX!$E$3:$E$1500=$F139)*(TongVTSX!$K$3:$K$1500))/$U139,0),SUMPRODUCT((TongVTSX!$C$3:$C$1500=$D139)*(TongVTSX!$E$3:$E$1500=$F139)*(TongVTSX!$K$3:$K$1500)))))</f>
        <v>0</v>
      </c>
      <c r="I139" s="114"/>
      <c r="J139" s="114"/>
      <c r="K139" s="114" t="str">
        <f ca="1">IF($Q139="","",IF($R139=$S$2,INDEX(TongVTSX!M$3:M$1500,$Q139)*$U139,   INDEX(TongVTSX!M$3:M$1500,$Q139)))</f>
        <v/>
      </c>
      <c r="L139" s="92">
        <f ca="1">IF($Q139="",0, IF($R139=$S$7,$F139*$H139*$K139,IF($R139=$S$2,$H139*$K139,    IF($H139*$K139 - SUMPRODUCT((TongVTSX!$C$3:$C$1500=$D139)*(TongVTSX!$E$3:$E$1500=$F139)*(TongVTSX!$O$3:$O$1500)) &lt;=10,$H139*$K139,"PO &lt;&gt; TongVTSX"))))</f>
        <v>0</v>
      </c>
      <c r="M139" s="114">
        <f ca="1">IF($R139=$S$1,INDEX(TongVTSX!$K$3:$K$1500,$Q139),IF($R139=$S$7,INDEX(TongVTSX!$H$3:$H$1500,$Q139),IF($R139=$S$2,SUMPRODUCT((TongVTSX!$C$3:$C$1500=$D139)*(TongVTSX!$E$3:$E$1500=$F139)*(TongVTSX!$K$3:$K$1500))/$U139,SUMPRODUCT((TongVTSX!$C$3:$C$1500=$D139)*(TongVTSX!$E$3:$E$1500=$F139)*(TongVTSX!$K$3:$K$1500)))))</f>
        <v>0</v>
      </c>
      <c r="N139" s="92">
        <f ca="1">IF($Q139="",0, IF($R139=$S$7,$F139*$M139*$K139,IF($R139=$S$2,$M139*$K139,    IF($M139*$K139 - SUMPRODUCT((TongVTSX!$C$3:$C$1500=$D139)*(TongVTSX!$E$3:$E$1500=$F139)*(TongVTSX!$O$3:$O$1500)) &lt;=10,$M139*$K139,"PO &lt;&gt; TongVTSX"))))</f>
        <v>0</v>
      </c>
      <c r="O139" s="92">
        <f t="shared" ca="1" si="6"/>
        <v>0</v>
      </c>
      <c r="P139" s="1146" t="str">
        <f ca="1">IFERROR(INDEX(NVLSX!$AA$2:$AA$6756,MATCH($D139,NVLSX!$E$2:$E$6756,0)),"")</f>
        <v/>
      </c>
      <c r="Q139" s="742" t="str">
        <f ca="1">IF($R139="","",IF($R139&lt;&gt;$R138,IF(TYPE(MATCH($R139,TongVTSX!$T$3:$T$1500,0))=16,"",MATCH($R139,TongVTSX!$T$3:$T$1500,0)),IF(TYPE(MATCH($R139,OFFSET(TongVTSX!$T$3,$Q138,0):'TongVTSX'!$T$1500,0)+$Q138)=16,"",MATCH($R139,OFFSET(TongVTSX!$T$3,$Q138,0):'TongVTSX'!$T$1500,0)+$Q138)))</f>
        <v/>
      </c>
      <c r="R139" s="179" t="str">
        <f ca="1">IFERROR(IF(COUNTIF($R$3:R138,R138)&lt; INDEX($T$1:$T$7,MATCH($R138,$S$1:$S$7,0)),$R138,INDEX($S$1:$S$7,MATCH($R138,$S$1:$S$7,0)+1)),"")</f>
        <v/>
      </c>
      <c r="S139" s="181"/>
      <c r="T139" s="182"/>
      <c r="U139" s="184" t="str">
        <f ca="1">IF($R139="PR",INDEX(NVLSX!$U$2:$U$6941,MATCH($D139,NVLSX!$E$2:$E$6941,0)),"")</f>
        <v/>
      </c>
      <c r="V139" s="184" t="str">
        <f ca="1">IF($R139="PR",INDEX(NVLSX!$S$2:$S$6941,MATCH($D139,NVLSX!$E$2:$E$6941,0))*1000,"")</f>
        <v/>
      </c>
      <c r="W139" s="776" t="str">
        <f ca="1">IF($R139="PR",INDEX(NVLSX!$S$2:$S$6941,MATCH($D139,NVLSX!$E$2:$E$6941,0))*INDEX(NVLSX!$T$2:$T$6941,MATCH($D139,NVLSX!$E$2:$E$6941,0)),"")</f>
        <v/>
      </c>
      <c r="X139" s="776">
        <f t="shared" ca="1" si="7"/>
        <v>0</v>
      </c>
      <c r="Y139" s="982" t="str">
        <f ca="1">IFERROR(INDEX(NVLSX!$X$2:$X$4655,MATCH($D139,NVLSX!$E$2:$E$4655,0)),"")</f>
        <v/>
      </c>
    </row>
    <row r="140" spans="1:25">
      <c r="A140" s="19" t="str">
        <f ca="1">IF($Q140="","",MAX($A$2:A139)+1)</f>
        <v/>
      </c>
      <c r="B140" s="1146" t="str">
        <f ca="1">IFERROR(INDEX(NVLSX!$Y$2:$Y$6756,MATCH($D140,NVLSX!$E$2:$E$6756,0)),"")</f>
        <v/>
      </c>
      <c r="C140" s="1146" t="str">
        <f ca="1">IFERROR(INDEX(NVLSX!$Z$2:$Z$6756,MATCH($D140,NVLSX!$E$2:$E$6756,0)),"")</f>
        <v/>
      </c>
      <c r="D140" s="23" t="str">
        <f ca="1">IF($Q140="","",INDEX(TongVTSX!C$3:C$1500,$Q140))</f>
        <v/>
      </c>
      <c r="E140" s="729" t="str">
        <f ca="1">IF($Q140="","",INDEX(TongVTSX!D$3:D$1500,$Q140) &amp; IF(OR($R140=$S$1,$R140=$S$7)," (" &amp; INDEX(TongVTSX!A$3:A$1500,$Q140) &amp; ")",""))</f>
        <v/>
      </c>
      <c r="F140" s="745" t="str">
        <f ca="1">IF($Q140="","",IF($R140=$S$7,INDEX(TongVTSX!$G$3:$G$1500,$Q140),INDEX(TongVTSX!$E$3:$E$1500,$Q140)))</f>
        <v/>
      </c>
      <c r="G140" s="24" t="str">
        <f ca="1">IF($Q140="","",IF($R140=$S$1,"mm",IF($R140=$S$2,"Thanh",INDEX(TongVTSX!F$3:F$1500,$Q140))))</f>
        <v/>
      </c>
      <c r="H140" s="114">
        <f ca="1">IF($R140=$S$1,INDEX(TongVTSX!$K$3:$K$1500,$Q140),IF($R140=$S$7,INDEX(TongVTSX!$H$3:$H$1500,$Q140),IF($R140=$S$2,ROUNDUP(SUMPRODUCT((TongVTSX!$C$3:$C$1500=$D140)*(TongVTSX!$E$3:$E$1500=$F140)*(TongVTSX!$K$3:$K$1500))/$U140,0),SUMPRODUCT((TongVTSX!$C$3:$C$1500=$D140)*(TongVTSX!$E$3:$E$1500=$F140)*(TongVTSX!$K$3:$K$1500)))))</f>
        <v>0</v>
      </c>
      <c r="I140" s="114"/>
      <c r="J140" s="114"/>
      <c r="K140" s="114" t="str">
        <f ca="1">IF($Q140="","",IF($R140=$S$2,INDEX(TongVTSX!M$3:M$1500,$Q140)*$U140,   INDEX(TongVTSX!M$3:M$1500,$Q140)))</f>
        <v/>
      </c>
      <c r="L140" s="92">
        <f ca="1">IF($Q140="",0, IF($R140=$S$7,$F140*$H140*$K140,IF($R140=$S$2,$H140*$K140,    IF($H140*$K140 - SUMPRODUCT((TongVTSX!$C$3:$C$1500=$D140)*(TongVTSX!$E$3:$E$1500=$F140)*(TongVTSX!$O$3:$O$1500)) &lt;=10,$H140*$K140,"PO &lt;&gt; TongVTSX"))))</f>
        <v>0</v>
      </c>
      <c r="M140" s="114">
        <f ca="1">IF($R140=$S$1,INDEX(TongVTSX!$K$3:$K$1500,$Q140),IF($R140=$S$7,INDEX(TongVTSX!$H$3:$H$1500,$Q140),IF($R140=$S$2,SUMPRODUCT((TongVTSX!$C$3:$C$1500=$D140)*(TongVTSX!$E$3:$E$1500=$F140)*(TongVTSX!$K$3:$K$1500))/$U140,SUMPRODUCT((TongVTSX!$C$3:$C$1500=$D140)*(TongVTSX!$E$3:$E$1500=$F140)*(TongVTSX!$K$3:$K$1500)))))</f>
        <v>0</v>
      </c>
      <c r="N140" s="92">
        <f ca="1">IF($Q140="",0, IF($R140=$S$7,$F140*$M140*$K140,IF($R140=$S$2,$M140*$K140,    IF($M140*$K140 - SUMPRODUCT((TongVTSX!$C$3:$C$1500=$D140)*(TongVTSX!$E$3:$E$1500=$F140)*(TongVTSX!$O$3:$O$1500)) &lt;=10,$M140*$K140,"PO &lt;&gt; TongVTSX"))))</f>
        <v>0</v>
      </c>
      <c r="O140" s="92">
        <f t="shared" ca="1" si="6"/>
        <v>0</v>
      </c>
      <c r="P140" s="1146" t="str">
        <f ca="1">IFERROR(INDEX(NVLSX!$AA$2:$AA$6756,MATCH($D140,NVLSX!$E$2:$E$6756,0)),"")</f>
        <v/>
      </c>
      <c r="Q140" s="742" t="str">
        <f ca="1">IF($R140="","",IF($R140&lt;&gt;$R139,IF(TYPE(MATCH($R140,TongVTSX!$T$3:$T$1500,0))=16,"",MATCH($R140,TongVTSX!$T$3:$T$1500,0)),IF(TYPE(MATCH($R140,OFFSET(TongVTSX!$T$3,$Q139,0):'TongVTSX'!$T$1500,0)+$Q139)=16,"",MATCH($R140,OFFSET(TongVTSX!$T$3,$Q139,0):'TongVTSX'!$T$1500,0)+$Q139)))</f>
        <v/>
      </c>
      <c r="R140" s="179" t="str">
        <f ca="1">IFERROR(IF(COUNTIF($R$3:R139,R139)&lt; INDEX($T$1:$T$7,MATCH($R139,$S$1:$S$7,0)),$R139,INDEX($S$1:$S$7,MATCH($R139,$S$1:$S$7,0)+1)),"")</f>
        <v/>
      </c>
      <c r="S140" s="181"/>
      <c r="T140" s="182"/>
      <c r="U140" s="184" t="str">
        <f ca="1">IF($R140="PR",INDEX(NVLSX!$U$2:$U$6941,MATCH($D140,NVLSX!$E$2:$E$6941,0)),"")</f>
        <v/>
      </c>
      <c r="V140" s="184" t="str">
        <f ca="1">IF($R140="PR",INDEX(NVLSX!$S$2:$S$6941,MATCH($D140,NVLSX!$E$2:$E$6941,0))*1000,"")</f>
        <v/>
      </c>
      <c r="W140" s="776" t="str">
        <f ca="1">IF($R140="PR",INDEX(NVLSX!$S$2:$S$6941,MATCH($D140,NVLSX!$E$2:$E$6941,0))*INDEX(NVLSX!$T$2:$T$6941,MATCH($D140,NVLSX!$E$2:$E$6941,0)),"")</f>
        <v/>
      </c>
      <c r="X140" s="776">
        <f t="shared" ca="1" si="7"/>
        <v>0</v>
      </c>
      <c r="Y140" s="982" t="str">
        <f ca="1">IFERROR(INDEX(NVLSX!$X$2:$X$4655,MATCH($D140,NVLSX!$E$2:$E$4655,0)),"")</f>
        <v/>
      </c>
    </row>
    <row r="141" spans="1:25">
      <c r="A141" s="19" t="str">
        <f ca="1">IF($Q141="","",MAX($A$2:A140)+1)</f>
        <v/>
      </c>
      <c r="B141" s="1146" t="str">
        <f ca="1">IFERROR(INDEX(NVLSX!$Y$2:$Y$6756,MATCH($D141,NVLSX!$E$2:$E$6756,0)),"")</f>
        <v/>
      </c>
      <c r="C141" s="1146" t="str">
        <f ca="1">IFERROR(INDEX(NVLSX!$Z$2:$Z$6756,MATCH($D141,NVLSX!$E$2:$E$6756,0)),"")</f>
        <v/>
      </c>
      <c r="D141" s="23" t="str">
        <f ca="1">IF($Q141="","",INDEX(TongVTSX!C$3:C$1500,$Q141))</f>
        <v/>
      </c>
      <c r="E141" s="729" t="str">
        <f ca="1">IF($Q141="","",INDEX(TongVTSX!D$3:D$1500,$Q141) &amp; IF(OR($R141=$S$1,$R141=$S$7)," (" &amp; INDEX(TongVTSX!A$3:A$1500,$Q141) &amp; ")",""))</f>
        <v/>
      </c>
      <c r="F141" s="745" t="str">
        <f ca="1">IF($Q141="","",IF($R141=$S$7,INDEX(TongVTSX!$G$3:$G$1500,$Q141),INDEX(TongVTSX!$E$3:$E$1500,$Q141)))</f>
        <v/>
      </c>
      <c r="G141" s="24" t="str">
        <f ca="1">IF($Q141="","",IF($R141=$S$1,"mm",IF($R141=$S$2,"Thanh",INDEX(TongVTSX!F$3:F$1500,$Q141))))</f>
        <v/>
      </c>
      <c r="H141" s="114">
        <f ca="1">IF($R141=$S$1,INDEX(TongVTSX!$K$3:$K$1500,$Q141),IF($R141=$S$7,INDEX(TongVTSX!$H$3:$H$1500,$Q141),IF($R141=$S$2,ROUNDUP(SUMPRODUCT((TongVTSX!$C$3:$C$1500=$D141)*(TongVTSX!$E$3:$E$1500=$F141)*(TongVTSX!$K$3:$K$1500))/$U141,0),SUMPRODUCT((TongVTSX!$C$3:$C$1500=$D141)*(TongVTSX!$E$3:$E$1500=$F141)*(TongVTSX!$K$3:$K$1500)))))</f>
        <v>0</v>
      </c>
      <c r="I141" s="114"/>
      <c r="J141" s="114"/>
      <c r="K141" s="114" t="str">
        <f ca="1">IF($Q141="","",IF($R141=$S$2,INDEX(TongVTSX!M$3:M$1500,$Q141)*$U141,   INDEX(TongVTSX!M$3:M$1500,$Q141)))</f>
        <v/>
      </c>
      <c r="L141" s="92">
        <f ca="1">IF($Q141="",0, IF($R141=$S$7,$F141*$H141*$K141,IF($R141=$S$2,$H141*$K141,    IF($H141*$K141 - SUMPRODUCT((TongVTSX!$C$3:$C$1500=$D141)*(TongVTSX!$E$3:$E$1500=$F141)*(TongVTSX!$O$3:$O$1500)) &lt;=10,$H141*$K141,"PO &lt;&gt; TongVTSX"))))</f>
        <v>0</v>
      </c>
      <c r="M141" s="114">
        <f ca="1">IF($R141=$S$1,INDEX(TongVTSX!$K$3:$K$1500,$Q141),IF($R141=$S$7,INDEX(TongVTSX!$H$3:$H$1500,$Q141),IF($R141=$S$2,SUMPRODUCT((TongVTSX!$C$3:$C$1500=$D141)*(TongVTSX!$E$3:$E$1500=$F141)*(TongVTSX!$K$3:$K$1500))/$U141,SUMPRODUCT((TongVTSX!$C$3:$C$1500=$D141)*(TongVTSX!$E$3:$E$1500=$F141)*(TongVTSX!$K$3:$K$1500)))))</f>
        <v>0</v>
      </c>
      <c r="N141" s="92">
        <f ca="1">IF($Q141="",0, IF($R141=$S$7,$F141*$M141*$K141,IF($R141=$S$2,$M141*$K141,    IF($M141*$K141 - SUMPRODUCT((TongVTSX!$C$3:$C$1500=$D141)*(TongVTSX!$E$3:$E$1500=$F141)*(TongVTSX!$O$3:$O$1500)) &lt;=10,$M141*$K141,"PO &lt;&gt; TongVTSX"))))</f>
        <v>0</v>
      </c>
      <c r="O141" s="92">
        <f t="shared" ca="1" si="6"/>
        <v>0</v>
      </c>
      <c r="P141" s="1146" t="str">
        <f ca="1">IFERROR(INDEX(NVLSX!$AA$2:$AA$6756,MATCH($D141,NVLSX!$E$2:$E$6756,0)),"")</f>
        <v/>
      </c>
      <c r="Q141" s="742" t="str">
        <f ca="1">IF($R141="","",IF($R141&lt;&gt;$R140,IF(TYPE(MATCH($R141,TongVTSX!$T$3:$T$1500,0))=16,"",MATCH($R141,TongVTSX!$T$3:$T$1500,0)),IF(TYPE(MATCH($R141,OFFSET(TongVTSX!$T$3,$Q140,0):'TongVTSX'!$T$1500,0)+$Q140)=16,"",MATCH($R141,OFFSET(TongVTSX!$T$3,$Q140,0):'TongVTSX'!$T$1500,0)+$Q140)))</f>
        <v/>
      </c>
      <c r="R141" s="179" t="str">
        <f ca="1">IFERROR(IF(COUNTIF($R$3:R140,R140)&lt; INDEX($T$1:$T$7,MATCH($R140,$S$1:$S$7,0)),$R140,INDEX($S$1:$S$7,MATCH($R140,$S$1:$S$7,0)+1)),"")</f>
        <v/>
      </c>
      <c r="S141" s="181"/>
      <c r="T141" s="182"/>
      <c r="U141" s="184" t="str">
        <f ca="1">IF($R141="PR",INDEX(NVLSX!$U$2:$U$6941,MATCH($D141,NVLSX!$E$2:$E$6941,0)),"")</f>
        <v/>
      </c>
      <c r="V141" s="184" t="str">
        <f ca="1">IF($R141="PR",INDEX(NVLSX!$S$2:$S$6941,MATCH($D141,NVLSX!$E$2:$E$6941,0))*1000,"")</f>
        <v/>
      </c>
      <c r="W141" s="776" t="str">
        <f ca="1">IF($R141="PR",INDEX(NVLSX!$S$2:$S$6941,MATCH($D141,NVLSX!$E$2:$E$6941,0))*INDEX(NVLSX!$T$2:$T$6941,MATCH($D141,NVLSX!$E$2:$E$6941,0)),"")</f>
        <v/>
      </c>
      <c r="X141" s="776">
        <f t="shared" ca="1" si="7"/>
        <v>0</v>
      </c>
      <c r="Y141" s="982" t="str">
        <f ca="1">IFERROR(INDEX(NVLSX!$X$2:$X$4655,MATCH($D141,NVLSX!$E$2:$E$4655,0)),"")</f>
        <v/>
      </c>
    </row>
    <row r="142" spans="1:25">
      <c r="A142" s="19" t="str">
        <f ca="1">IF($Q142="","",MAX($A$2:A141)+1)</f>
        <v/>
      </c>
      <c r="B142" s="1146" t="str">
        <f ca="1">IFERROR(INDEX(NVLSX!$Y$2:$Y$6756,MATCH($D142,NVLSX!$E$2:$E$6756,0)),"")</f>
        <v/>
      </c>
      <c r="C142" s="1146" t="str">
        <f ca="1">IFERROR(INDEX(NVLSX!$Z$2:$Z$6756,MATCH($D142,NVLSX!$E$2:$E$6756,0)),"")</f>
        <v/>
      </c>
      <c r="D142" s="23" t="str">
        <f ca="1">IF($Q142="","",INDEX(TongVTSX!C$3:C$1500,$Q142))</f>
        <v/>
      </c>
      <c r="E142" s="729" t="str">
        <f ca="1">IF($Q142="","",INDEX(TongVTSX!D$3:D$1500,$Q142) &amp; IF(OR($R142=$S$1,$R142=$S$7)," (" &amp; INDEX(TongVTSX!A$3:A$1500,$Q142) &amp; ")",""))</f>
        <v/>
      </c>
      <c r="F142" s="745" t="str">
        <f ca="1">IF($Q142="","",IF($R142=$S$7,INDEX(TongVTSX!$G$3:$G$1500,$Q142),INDEX(TongVTSX!$E$3:$E$1500,$Q142)))</f>
        <v/>
      </c>
      <c r="G142" s="24" t="str">
        <f ca="1">IF($Q142="","",IF($R142=$S$1,"mm",IF($R142=$S$2,"Thanh",INDEX(TongVTSX!F$3:F$1500,$Q142))))</f>
        <v/>
      </c>
      <c r="H142" s="114">
        <f ca="1">IF($R142=$S$1,INDEX(TongVTSX!$K$3:$K$1500,$Q142),IF($R142=$S$7,INDEX(TongVTSX!$H$3:$H$1500,$Q142),IF($R142=$S$2,ROUNDUP(SUMPRODUCT((TongVTSX!$C$3:$C$1500=$D142)*(TongVTSX!$E$3:$E$1500=$F142)*(TongVTSX!$K$3:$K$1500))/$U142,0),SUMPRODUCT((TongVTSX!$C$3:$C$1500=$D142)*(TongVTSX!$E$3:$E$1500=$F142)*(TongVTSX!$K$3:$K$1500)))))</f>
        <v>0</v>
      </c>
      <c r="I142" s="114"/>
      <c r="J142" s="114"/>
      <c r="K142" s="114" t="str">
        <f ca="1">IF($Q142="","",IF($R142=$S$2,INDEX(TongVTSX!M$3:M$1500,$Q142)*$U142,   INDEX(TongVTSX!M$3:M$1500,$Q142)))</f>
        <v/>
      </c>
      <c r="L142" s="92">
        <f ca="1">IF($Q142="",0, IF($R142=$S$7,$F142*$H142*$K142,IF($R142=$S$2,$H142*$K142,    IF($H142*$K142 - SUMPRODUCT((TongVTSX!$C$3:$C$1500=$D142)*(TongVTSX!$E$3:$E$1500=$F142)*(TongVTSX!$O$3:$O$1500)) &lt;=10,$H142*$K142,"PO &lt;&gt; TongVTSX"))))</f>
        <v>0</v>
      </c>
      <c r="M142" s="114">
        <f ca="1">IF($R142=$S$1,INDEX(TongVTSX!$K$3:$K$1500,$Q142),IF($R142=$S$7,INDEX(TongVTSX!$H$3:$H$1500,$Q142),IF($R142=$S$2,SUMPRODUCT((TongVTSX!$C$3:$C$1500=$D142)*(TongVTSX!$E$3:$E$1500=$F142)*(TongVTSX!$K$3:$K$1500))/$U142,SUMPRODUCT((TongVTSX!$C$3:$C$1500=$D142)*(TongVTSX!$E$3:$E$1500=$F142)*(TongVTSX!$K$3:$K$1500)))))</f>
        <v>0</v>
      </c>
      <c r="N142" s="92">
        <f ca="1">IF($Q142="",0, IF($R142=$S$7,$F142*$M142*$K142,IF($R142=$S$2,$M142*$K142,    IF($M142*$K142 - SUMPRODUCT((TongVTSX!$C$3:$C$1500=$D142)*(TongVTSX!$E$3:$E$1500=$F142)*(TongVTSX!$O$3:$O$1500)) &lt;=10,$M142*$K142,"PO &lt;&gt; TongVTSX"))))</f>
        <v>0</v>
      </c>
      <c r="O142" s="92">
        <f t="shared" ca="1" si="6"/>
        <v>0</v>
      </c>
      <c r="P142" s="1146" t="str">
        <f ca="1">IFERROR(INDEX(NVLSX!$AA$2:$AA$6756,MATCH($D142,NVLSX!$E$2:$E$6756,0)),"")</f>
        <v/>
      </c>
      <c r="Q142" s="742" t="str">
        <f ca="1">IF($R142="","",IF($R142&lt;&gt;$R141,IF(TYPE(MATCH($R142,TongVTSX!$T$3:$T$1500,0))=16,"",MATCH($R142,TongVTSX!$T$3:$T$1500,0)),IF(TYPE(MATCH($R142,OFFSET(TongVTSX!$T$3,$Q141,0):'TongVTSX'!$T$1500,0)+$Q141)=16,"",MATCH($R142,OFFSET(TongVTSX!$T$3,$Q141,0):'TongVTSX'!$T$1500,0)+$Q141)))</f>
        <v/>
      </c>
      <c r="R142" s="179" t="str">
        <f ca="1">IFERROR(IF(COUNTIF($R$3:R141,R141)&lt; INDEX($T$1:$T$7,MATCH($R141,$S$1:$S$7,0)),$R141,INDEX($S$1:$S$7,MATCH($R141,$S$1:$S$7,0)+1)),"")</f>
        <v/>
      </c>
      <c r="S142" s="181"/>
      <c r="T142" s="182"/>
      <c r="U142" s="184" t="str">
        <f ca="1">IF($R142="PR",INDEX(NVLSX!$U$2:$U$6941,MATCH($D142,NVLSX!$E$2:$E$6941,0)),"")</f>
        <v/>
      </c>
      <c r="V142" s="184" t="str">
        <f ca="1">IF($R142="PR",INDEX(NVLSX!$S$2:$S$6941,MATCH($D142,NVLSX!$E$2:$E$6941,0))*1000,"")</f>
        <v/>
      </c>
      <c r="W142" s="776" t="str">
        <f ca="1">IF($R142="PR",INDEX(NVLSX!$S$2:$S$6941,MATCH($D142,NVLSX!$E$2:$E$6941,0))*INDEX(NVLSX!$T$2:$T$6941,MATCH($D142,NVLSX!$E$2:$E$6941,0)),"")</f>
        <v/>
      </c>
      <c r="X142" s="776">
        <f t="shared" ca="1" si="7"/>
        <v>0</v>
      </c>
      <c r="Y142" s="982" t="str">
        <f ca="1">IFERROR(INDEX(NVLSX!$X$2:$X$4655,MATCH($D142,NVLSX!$E$2:$E$4655,0)),"")</f>
        <v/>
      </c>
    </row>
    <row r="143" spans="1:25">
      <c r="A143" s="19" t="str">
        <f ca="1">IF($Q143="","",MAX($A$2:A142)+1)</f>
        <v/>
      </c>
      <c r="B143" s="1146" t="str">
        <f ca="1">IFERROR(INDEX(NVLSX!$Y$2:$Y$6756,MATCH($D143,NVLSX!$E$2:$E$6756,0)),"")</f>
        <v/>
      </c>
      <c r="C143" s="1146" t="str">
        <f ca="1">IFERROR(INDEX(NVLSX!$Z$2:$Z$6756,MATCH($D143,NVLSX!$E$2:$E$6756,0)),"")</f>
        <v/>
      </c>
      <c r="D143" s="23" t="str">
        <f ca="1">IF($Q143="","",INDEX(TongVTSX!C$3:C$1500,$Q143))</f>
        <v/>
      </c>
      <c r="E143" s="729" t="str">
        <f ca="1">IF($Q143="","",INDEX(TongVTSX!D$3:D$1500,$Q143) &amp; IF(OR($R143=$S$1,$R143=$S$7)," (" &amp; INDEX(TongVTSX!A$3:A$1500,$Q143) &amp; ")",""))</f>
        <v/>
      </c>
      <c r="F143" s="745" t="str">
        <f ca="1">IF($Q143="","",IF($R143=$S$7,INDEX(TongVTSX!$G$3:$G$1500,$Q143),INDEX(TongVTSX!$E$3:$E$1500,$Q143)))</f>
        <v/>
      </c>
      <c r="G143" s="24" t="str">
        <f ca="1">IF($Q143="","",IF($R143=$S$1,"mm",IF($R143=$S$2,"Thanh",INDEX(TongVTSX!F$3:F$1500,$Q143))))</f>
        <v/>
      </c>
      <c r="H143" s="114">
        <f ca="1">IF($R143=$S$1,INDEX(TongVTSX!$K$3:$K$1500,$Q143),IF($R143=$S$7,INDEX(TongVTSX!$H$3:$H$1500,$Q143),IF($R143=$S$2,ROUNDUP(SUMPRODUCT((TongVTSX!$C$3:$C$1500=$D143)*(TongVTSX!$E$3:$E$1500=$F143)*(TongVTSX!$K$3:$K$1500))/$U143,0),SUMPRODUCT((TongVTSX!$C$3:$C$1500=$D143)*(TongVTSX!$E$3:$E$1500=$F143)*(TongVTSX!$K$3:$K$1500)))))</f>
        <v>0</v>
      </c>
      <c r="I143" s="114"/>
      <c r="J143" s="114"/>
      <c r="K143" s="114" t="str">
        <f ca="1">IF($Q143="","",IF($R143=$S$2,INDEX(TongVTSX!M$3:M$1500,$Q143)*$U143,   INDEX(TongVTSX!M$3:M$1500,$Q143)))</f>
        <v/>
      </c>
      <c r="L143" s="92">
        <f ca="1">IF($Q143="",0, IF($R143=$S$7,$F143*$H143*$K143,IF($R143=$S$2,$H143*$K143,    IF($H143*$K143 - SUMPRODUCT((TongVTSX!$C$3:$C$1500=$D143)*(TongVTSX!$E$3:$E$1500=$F143)*(TongVTSX!$O$3:$O$1500)) &lt;=10,$H143*$K143,"PO &lt;&gt; TongVTSX"))))</f>
        <v>0</v>
      </c>
      <c r="M143" s="114">
        <f ca="1">IF($R143=$S$1,INDEX(TongVTSX!$K$3:$K$1500,$Q143),IF($R143=$S$7,INDEX(TongVTSX!$H$3:$H$1500,$Q143),IF($R143=$S$2,SUMPRODUCT((TongVTSX!$C$3:$C$1500=$D143)*(TongVTSX!$E$3:$E$1500=$F143)*(TongVTSX!$K$3:$K$1500))/$U143,SUMPRODUCT((TongVTSX!$C$3:$C$1500=$D143)*(TongVTSX!$E$3:$E$1500=$F143)*(TongVTSX!$K$3:$K$1500)))))</f>
        <v>0</v>
      </c>
      <c r="N143" s="92">
        <f ca="1">IF($Q143="",0, IF($R143=$S$7,$F143*$M143*$K143,IF($R143=$S$2,$M143*$K143,    IF($M143*$K143 - SUMPRODUCT((TongVTSX!$C$3:$C$1500=$D143)*(TongVTSX!$E$3:$E$1500=$F143)*(TongVTSX!$O$3:$O$1500)) &lt;=10,$M143*$K143,"PO &lt;&gt; TongVTSX"))))</f>
        <v>0</v>
      </c>
      <c r="O143" s="92">
        <f t="shared" ca="1" si="6"/>
        <v>0</v>
      </c>
      <c r="P143" s="1146" t="str">
        <f ca="1">IFERROR(INDEX(NVLSX!$AA$2:$AA$6756,MATCH($D143,NVLSX!$E$2:$E$6756,0)),"")</f>
        <v/>
      </c>
      <c r="Q143" s="742" t="str">
        <f ca="1">IF($R143="","",IF($R143&lt;&gt;$R142,IF(TYPE(MATCH($R143,TongVTSX!$T$3:$T$1500,0))=16,"",MATCH($R143,TongVTSX!$T$3:$T$1500,0)),IF(TYPE(MATCH($R143,OFFSET(TongVTSX!$T$3,$Q142,0):'TongVTSX'!$T$1500,0)+$Q142)=16,"",MATCH($R143,OFFSET(TongVTSX!$T$3,$Q142,0):'TongVTSX'!$T$1500,0)+$Q142)))</f>
        <v/>
      </c>
      <c r="R143" s="179" t="str">
        <f ca="1">IFERROR(IF(COUNTIF($R$3:R142,R142)&lt; INDEX($T$1:$T$7,MATCH($R142,$S$1:$S$7,0)),$R142,INDEX($S$1:$S$7,MATCH($R142,$S$1:$S$7,0)+1)),"")</f>
        <v/>
      </c>
      <c r="S143" s="181"/>
      <c r="T143" s="182"/>
      <c r="U143" s="184" t="str">
        <f ca="1">IF($R143="PR",INDEX(NVLSX!$U$2:$U$6941,MATCH($D143,NVLSX!$E$2:$E$6941,0)),"")</f>
        <v/>
      </c>
      <c r="V143" s="184" t="str">
        <f ca="1">IF($R143="PR",INDEX(NVLSX!$S$2:$S$6941,MATCH($D143,NVLSX!$E$2:$E$6941,0))*1000,"")</f>
        <v/>
      </c>
      <c r="W143" s="776" t="str">
        <f ca="1">IF($R143="PR",INDEX(NVLSX!$S$2:$S$6941,MATCH($D143,NVLSX!$E$2:$E$6941,0))*INDEX(NVLSX!$T$2:$T$6941,MATCH($D143,NVLSX!$E$2:$E$6941,0)),"")</f>
        <v/>
      </c>
      <c r="X143" s="776">
        <f t="shared" ca="1" si="7"/>
        <v>0</v>
      </c>
      <c r="Y143" s="982" t="str">
        <f ca="1">IFERROR(INDEX(NVLSX!$X$2:$X$4655,MATCH($D143,NVLSX!$E$2:$E$4655,0)),"")</f>
        <v/>
      </c>
    </row>
    <row r="144" spans="1:25">
      <c r="A144" s="19" t="str">
        <f ca="1">IF($Q144="","",MAX($A$2:A143)+1)</f>
        <v/>
      </c>
      <c r="B144" s="1146" t="str">
        <f ca="1">IFERROR(INDEX(NVLSX!$Y$2:$Y$6756,MATCH($D144,NVLSX!$E$2:$E$6756,0)),"")</f>
        <v/>
      </c>
      <c r="C144" s="1146" t="str">
        <f ca="1">IFERROR(INDEX(NVLSX!$Z$2:$Z$6756,MATCH($D144,NVLSX!$E$2:$E$6756,0)),"")</f>
        <v/>
      </c>
      <c r="D144" s="23" t="str">
        <f ca="1">IF($Q144="","",INDEX(TongVTSX!C$3:C$1500,$Q144))</f>
        <v/>
      </c>
      <c r="E144" s="729" t="str">
        <f ca="1">IF($Q144="","",INDEX(TongVTSX!D$3:D$1500,$Q144) &amp; IF(OR($R144=$S$1,$R144=$S$7)," (" &amp; INDEX(TongVTSX!A$3:A$1500,$Q144) &amp; ")",""))</f>
        <v/>
      </c>
      <c r="F144" s="745" t="str">
        <f ca="1">IF($Q144="","",IF($R144=$S$7,INDEX(TongVTSX!$G$3:$G$1500,$Q144),INDEX(TongVTSX!$E$3:$E$1500,$Q144)))</f>
        <v/>
      </c>
      <c r="G144" s="24" t="str">
        <f ca="1">IF($Q144="","",IF($R144=$S$1,"mm",IF($R144=$S$2,"Thanh",INDEX(TongVTSX!F$3:F$1500,$Q144))))</f>
        <v/>
      </c>
      <c r="H144" s="114">
        <f ca="1">IF($R144=$S$1,INDEX(TongVTSX!$K$3:$K$1500,$Q144),IF($R144=$S$7,INDEX(TongVTSX!$H$3:$H$1500,$Q144),IF($R144=$S$2,ROUNDUP(SUMPRODUCT((TongVTSX!$C$3:$C$1500=$D144)*(TongVTSX!$E$3:$E$1500=$F144)*(TongVTSX!$K$3:$K$1500))/$U144,0),SUMPRODUCT((TongVTSX!$C$3:$C$1500=$D144)*(TongVTSX!$E$3:$E$1500=$F144)*(TongVTSX!$K$3:$K$1500)))))</f>
        <v>0</v>
      </c>
      <c r="I144" s="114"/>
      <c r="J144" s="114"/>
      <c r="K144" s="114" t="str">
        <f ca="1">IF($Q144="","",IF($R144=$S$2,INDEX(TongVTSX!M$3:M$1500,$Q144)*$U144,   INDEX(TongVTSX!M$3:M$1500,$Q144)))</f>
        <v/>
      </c>
      <c r="L144" s="92">
        <f ca="1">IF($Q144="",0, IF($R144=$S$7,$F144*$H144*$K144,IF($R144=$S$2,$H144*$K144,    IF($H144*$K144 - SUMPRODUCT((TongVTSX!$C$3:$C$1500=$D144)*(TongVTSX!$E$3:$E$1500=$F144)*(TongVTSX!$O$3:$O$1500)) &lt;=10,$H144*$K144,"PO &lt;&gt; TongVTSX"))))</f>
        <v>0</v>
      </c>
      <c r="M144" s="114">
        <f ca="1">IF($R144=$S$1,INDEX(TongVTSX!$K$3:$K$1500,$Q144),IF($R144=$S$7,INDEX(TongVTSX!$H$3:$H$1500,$Q144),IF($R144=$S$2,SUMPRODUCT((TongVTSX!$C$3:$C$1500=$D144)*(TongVTSX!$E$3:$E$1500=$F144)*(TongVTSX!$K$3:$K$1500))/$U144,SUMPRODUCT((TongVTSX!$C$3:$C$1500=$D144)*(TongVTSX!$E$3:$E$1500=$F144)*(TongVTSX!$K$3:$K$1500)))))</f>
        <v>0</v>
      </c>
      <c r="N144" s="92">
        <f ca="1">IF($Q144="",0, IF($R144=$S$7,$F144*$M144*$K144,IF($R144=$S$2,$M144*$K144,    IF($M144*$K144 - SUMPRODUCT((TongVTSX!$C$3:$C$1500=$D144)*(TongVTSX!$E$3:$E$1500=$F144)*(TongVTSX!$O$3:$O$1500)) &lt;=10,$M144*$K144,"PO &lt;&gt; TongVTSX"))))</f>
        <v>0</v>
      </c>
      <c r="O144" s="92">
        <f t="shared" ca="1" si="6"/>
        <v>0</v>
      </c>
      <c r="P144" s="1146" t="str">
        <f ca="1">IFERROR(INDEX(NVLSX!$AA$2:$AA$6756,MATCH($D144,NVLSX!$E$2:$E$6756,0)),"")</f>
        <v/>
      </c>
      <c r="Q144" s="742" t="str">
        <f ca="1">IF($R144="","",IF($R144&lt;&gt;$R143,IF(TYPE(MATCH($R144,TongVTSX!$T$3:$T$1500,0))=16,"",MATCH($R144,TongVTSX!$T$3:$T$1500,0)),IF(TYPE(MATCH($R144,OFFSET(TongVTSX!$T$3,$Q143,0):'TongVTSX'!$T$1500,0)+$Q143)=16,"",MATCH($R144,OFFSET(TongVTSX!$T$3,$Q143,0):'TongVTSX'!$T$1500,0)+$Q143)))</f>
        <v/>
      </c>
      <c r="R144" s="179" t="str">
        <f ca="1">IFERROR(IF(COUNTIF($R$3:R143,R143)&lt; INDEX($T$1:$T$7,MATCH($R143,$S$1:$S$7,0)),$R143,INDEX($S$1:$S$7,MATCH($R143,$S$1:$S$7,0)+1)),"")</f>
        <v/>
      </c>
      <c r="S144" s="181"/>
      <c r="T144" s="182"/>
      <c r="U144" s="184" t="str">
        <f ca="1">IF($R144="PR",INDEX(NVLSX!$U$2:$U$6941,MATCH($D144,NVLSX!$E$2:$E$6941,0)),"")</f>
        <v/>
      </c>
      <c r="V144" s="184" t="str">
        <f ca="1">IF($R144="PR",INDEX(NVLSX!$S$2:$S$6941,MATCH($D144,NVLSX!$E$2:$E$6941,0))*1000,"")</f>
        <v/>
      </c>
      <c r="W144" s="776" t="str">
        <f ca="1">IF($R144="PR",INDEX(NVLSX!$S$2:$S$6941,MATCH($D144,NVLSX!$E$2:$E$6941,0))*INDEX(NVLSX!$T$2:$T$6941,MATCH($D144,NVLSX!$E$2:$E$6941,0)),"")</f>
        <v/>
      </c>
      <c r="X144" s="776">
        <f t="shared" ca="1" si="7"/>
        <v>0</v>
      </c>
      <c r="Y144" s="982" t="str">
        <f ca="1">IFERROR(INDEX(NVLSX!$X$2:$X$4655,MATCH($D144,NVLSX!$E$2:$E$4655,0)),"")</f>
        <v/>
      </c>
    </row>
    <row r="145" spans="1:25">
      <c r="A145" s="19" t="str">
        <f ca="1">IF($Q145="","",MAX($A$2:A144)+1)</f>
        <v/>
      </c>
      <c r="B145" s="1146" t="str">
        <f ca="1">IFERROR(INDEX(NVLSX!$Y$2:$Y$6756,MATCH($D145,NVLSX!$E$2:$E$6756,0)),"")</f>
        <v/>
      </c>
      <c r="C145" s="1146" t="str">
        <f ca="1">IFERROR(INDEX(NVLSX!$Z$2:$Z$6756,MATCH($D145,NVLSX!$E$2:$E$6756,0)),"")</f>
        <v/>
      </c>
      <c r="D145" s="23" t="str">
        <f ca="1">IF($Q145="","",INDEX(TongVTSX!C$3:C$1500,$Q145))</f>
        <v/>
      </c>
      <c r="E145" s="729" t="str">
        <f ca="1">IF($Q145="","",INDEX(TongVTSX!D$3:D$1500,$Q145) &amp; IF(OR($R145=$S$1,$R145=$S$7)," (" &amp; INDEX(TongVTSX!A$3:A$1500,$Q145) &amp; ")",""))</f>
        <v/>
      </c>
      <c r="F145" s="745" t="str">
        <f ca="1">IF($Q145="","",IF($R145=$S$7,INDEX(TongVTSX!$G$3:$G$1500,$Q145),INDEX(TongVTSX!$E$3:$E$1500,$Q145)))</f>
        <v/>
      </c>
      <c r="G145" s="24" t="str">
        <f ca="1">IF($Q145="","",IF($R145=$S$1,"mm",IF($R145=$S$2,"Thanh",INDEX(TongVTSX!F$3:F$1500,$Q145))))</f>
        <v/>
      </c>
      <c r="H145" s="114">
        <f ca="1">IF($R145=$S$1,INDEX(TongVTSX!$K$3:$K$1500,$Q145),IF($R145=$S$7,INDEX(TongVTSX!$H$3:$H$1500,$Q145),IF($R145=$S$2,ROUNDUP(SUMPRODUCT((TongVTSX!$C$3:$C$1500=$D145)*(TongVTSX!$E$3:$E$1500=$F145)*(TongVTSX!$K$3:$K$1500))/$U145,0),SUMPRODUCT((TongVTSX!$C$3:$C$1500=$D145)*(TongVTSX!$E$3:$E$1500=$F145)*(TongVTSX!$K$3:$K$1500)))))</f>
        <v>0</v>
      </c>
      <c r="I145" s="114"/>
      <c r="J145" s="114"/>
      <c r="K145" s="114" t="str">
        <f ca="1">IF($Q145="","",IF($R145=$S$2,INDEX(TongVTSX!M$3:M$1500,$Q145)*$U145,   INDEX(TongVTSX!M$3:M$1500,$Q145)))</f>
        <v/>
      </c>
      <c r="L145" s="92">
        <f ca="1">IF($Q145="",0, IF($R145=$S$7,$F145*$H145*$K145,IF($R145=$S$2,$H145*$K145,    IF($H145*$K145 - SUMPRODUCT((TongVTSX!$C$3:$C$1500=$D145)*(TongVTSX!$E$3:$E$1500=$F145)*(TongVTSX!$O$3:$O$1500)) &lt;=10,$H145*$K145,"PO &lt;&gt; TongVTSX"))))</f>
        <v>0</v>
      </c>
      <c r="M145" s="114">
        <f ca="1">IF($R145=$S$1,INDEX(TongVTSX!$K$3:$K$1500,$Q145),IF($R145=$S$7,INDEX(TongVTSX!$H$3:$H$1500,$Q145),IF($R145=$S$2,SUMPRODUCT((TongVTSX!$C$3:$C$1500=$D145)*(TongVTSX!$E$3:$E$1500=$F145)*(TongVTSX!$K$3:$K$1500))/$U145,SUMPRODUCT((TongVTSX!$C$3:$C$1500=$D145)*(TongVTSX!$E$3:$E$1500=$F145)*(TongVTSX!$K$3:$K$1500)))))</f>
        <v>0</v>
      </c>
      <c r="N145" s="92">
        <f ca="1">IF($Q145="",0, IF($R145=$S$7,$F145*$M145*$K145,IF($R145=$S$2,$M145*$K145,    IF($M145*$K145 - SUMPRODUCT((TongVTSX!$C$3:$C$1500=$D145)*(TongVTSX!$E$3:$E$1500=$F145)*(TongVTSX!$O$3:$O$1500)) &lt;=10,$M145*$K145,"PO &lt;&gt; TongVTSX"))))</f>
        <v>0</v>
      </c>
      <c r="O145" s="92">
        <f t="shared" ca="1" si="6"/>
        <v>0</v>
      </c>
      <c r="P145" s="1146" t="str">
        <f ca="1">IFERROR(INDEX(NVLSX!$AA$2:$AA$6756,MATCH($D145,NVLSX!$E$2:$E$6756,0)),"")</f>
        <v/>
      </c>
      <c r="Q145" s="742" t="str">
        <f ca="1">IF($R145="","",IF($R145&lt;&gt;$R144,IF(TYPE(MATCH($R145,TongVTSX!$T$3:$T$1500,0))=16,"",MATCH($R145,TongVTSX!$T$3:$T$1500,0)),IF(TYPE(MATCH($R145,OFFSET(TongVTSX!$T$3,$Q144,0):'TongVTSX'!$T$1500,0)+$Q144)=16,"",MATCH($R145,OFFSET(TongVTSX!$T$3,$Q144,0):'TongVTSX'!$T$1500,0)+$Q144)))</f>
        <v/>
      </c>
      <c r="R145" s="179" t="str">
        <f ca="1">IFERROR(IF(COUNTIF($R$3:R144,R144)&lt; INDEX($T$1:$T$7,MATCH($R144,$S$1:$S$7,0)),$R144,INDEX($S$1:$S$7,MATCH($R144,$S$1:$S$7,0)+1)),"")</f>
        <v/>
      </c>
      <c r="S145" s="181"/>
      <c r="T145" s="182"/>
      <c r="U145" s="184" t="str">
        <f ca="1">IF($R145="PR",INDEX(NVLSX!$U$2:$U$6941,MATCH($D145,NVLSX!$E$2:$E$6941,0)),"")</f>
        <v/>
      </c>
      <c r="V145" s="184" t="str">
        <f ca="1">IF($R145="PR",INDEX(NVLSX!$S$2:$S$6941,MATCH($D145,NVLSX!$E$2:$E$6941,0))*1000,"")</f>
        <v/>
      </c>
      <c r="W145" s="776" t="str">
        <f ca="1">IF($R145="PR",INDEX(NVLSX!$S$2:$S$6941,MATCH($D145,NVLSX!$E$2:$E$6941,0))*INDEX(NVLSX!$T$2:$T$6941,MATCH($D145,NVLSX!$E$2:$E$6941,0)),"")</f>
        <v/>
      </c>
      <c r="X145" s="776">
        <f t="shared" ca="1" si="7"/>
        <v>0</v>
      </c>
      <c r="Y145" s="982" t="str">
        <f ca="1">IFERROR(INDEX(NVLSX!$X$2:$X$4655,MATCH($D145,NVLSX!$E$2:$E$4655,0)),"")</f>
        <v/>
      </c>
    </row>
    <row r="146" spans="1:25">
      <c r="A146" s="19" t="str">
        <f ca="1">IF($Q146="","",MAX($A$2:A145)+1)</f>
        <v/>
      </c>
      <c r="B146" s="1146" t="str">
        <f ca="1">IFERROR(INDEX(NVLSX!$Y$2:$Y$6756,MATCH($D146,NVLSX!$E$2:$E$6756,0)),"")</f>
        <v/>
      </c>
      <c r="C146" s="1146" t="str">
        <f ca="1">IFERROR(INDEX(NVLSX!$Z$2:$Z$6756,MATCH($D146,NVLSX!$E$2:$E$6756,0)),"")</f>
        <v/>
      </c>
      <c r="D146" s="23" t="str">
        <f ca="1">IF($Q146="","",INDEX(TongVTSX!C$3:C$1500,$Q146))</f>
        <v/>
      </c>
      <c r="E146" s="729" t="str">
        <f ca="1">IF($Q146="","",INDEX(TongVTSX!D$3:D$1500,$Q146) &amp; IF(OR($R146=$S$1,$R146=$S$7)," (" &amp; INDEX(TongVTSX!A$3:A$1500,$Q146) &amp; ")",""))</f>
        <v/>
      </c>
      <c r="F146" s="745" t="str">
        <f ca="1">IF($Q146="","",IF($R146=$S$7,INDEX(TongVTSX!$G$3:$G$1500,$Q146),INDEX(TongVTSX!$E$3:$E$1500,$Q146)))</f>
        <v/>
      </c>
      <c r="G146" s="24" t="str">
        <f ca="1">IF($Q146="","",IF($R146=$S$1,"mm",IF($R146=$S$2,"Thanh",INDEX(TongVTSX!F$3:F$1500,$Q146))))</f>
        <v/>
      </c>
      <c r="H146" s="114">
        <f ca="1">IF($R146=$S$1,INDEX(TongVTSX!$K$3:$K$1500,$Q146),IF($R146=$S$7,INDEX(TongVTSX!$H$3:$H$1500,$Q146),IF($R146=$S$2,ROUNDUP(SUMPRODUCT((TongVTSX!$C$3:$C$1500=$D146)*(TongVTSX!$E$3:$E$1500=$F146)*(TongVTSX!$K$3:$K$1500))/$U146,0),SUMPRODUCT((TongVTSX!$C$3:$C$1500=$D146)*(TongVTSX!$E$3:$E$1500=$F146)*(TongVTSX!$K$3:$K$1500)))))</f>
        <v>0</v>
      </c>
      <c r="I146" s="114"/>
      <c r="J146" s="114"/>
      <c r="K146" s="114" t="str">
        <f ca="1">IF($Q146="","",IF($R146=$S$2,INDEX(TongVTSX!M$3:M$1500,$Q146)*$U146,   INDEX(TongVTSX!M$3:M$1500,$Q146)))</f>
        <v/>
      </c>
      <c r="L146" s="92">
        <f ca="1">IF($Q146="",0, IF($R146=$S$7,$F146*$H146*$K146,IF($R146=$S$2,$H146*$K146,    IF($H146*$K146 - SUMPRODUCT((TongVTSX!$C$3:$C$1500=$D146)*(TongVTSX!$E$3:$E$1500=$F146)*(TongVTSX!$O$3:$O$1500)) &lt;=10,$H146*$K146,"PO &lt;&gt; TongVTSX"))))</f>
        <v>0</v>
      </c>
      <c r="M146" s="114">
        <f ca="1">IF($R146=$S$1,INDEX(TongVTSX!$K$3:$K$1500,$Q146),IF($R146=$S$7,INDEX(TongVTSX!$H$3:$H$1500,$Q146),IF($R146=$S$2,SUMPRODUCT((TongVTSX!$C$3:$C$1500=$D146)*(TongVTSX!$E$3:$E$1500=$F146)*(TongVTSX!$K$3:$K$1500))/$U146,SUMPRODUCT((TongVTSX!$C$3:$C$1500=$D146)*(TongVTSX!$E$3:$E$1500=$F146)*(TongVTSX!$K$3:$K$1500)))))</f>
        <v>0</v>
      </c>
      <c r="N146" s="92">
        <f ca="1">IF($Q146="",0, IF($R146=$S$7,$F146*$M146*$K146,IF($R146=$S$2,$M146*$K146,    IF($M146*$K146 - SUMPRODUCT((TongVTSX!$C$3:$C$1500=$D146)*(TongVTSX!$E$3:$E$1500=$F146)*(TongVTSX!$O$3:$O$1500)) &lt;=10,$M146*$K146,"PO &lt;&gt; TongVTSX"))))</f>
        <v>0</v>
      </c>
      <c r="O146" s="92">
        <f t="shared" ca="1" si="6"/>
        <v>0</v>
      </c>
      <c r="P146" s="1146" t="str">
        <f ca="1">IFERROR(INDEX(NVLSX!$AA$2:$AA$6756,MATCH($D146,NVLSX!$E$2:$E$6756,0)),"")</f>
        <v/>
      </c>
      <c r="Q146" s="742" t="str">
        <f ca="1">IF($R146="","",IF($R146&lt;&gt;$R145,IF(TYPE(MATCH($R146,TongVTSX!$T$3:$T$1500,0))=16,"",MATCH($R146,TongVTSX!$T$3:$T$1500,0)),IF(TYPE(MATCH($R146,OFFSET(TongVTSX!$T$3,$Q145,0):'TongVTSX'!$T$1500,0)+$Q145)=16,"",MATCH($R146,OFFSET(TongVTSX!$T$3,$Q145,0):'TongVTSX'!$T$1500,0)+$Q145)))</f>
        <v/>
      </c>
      <c r="R146" s="179" t="str">
        <f ca="1">IFERROR(IF(COUNTIF($R$3:R145,R145)&lt; INDEX($T$1:$T$7,MATCH($R145,$S$1:$S$7,0)),$R145,INDEX($S$1:$S$7,MATCH($R145,$S$1:$S$7,0)+1)),"")</f>
        <v/>
      </c>
      <c r="S146" s="181"/>
      <c r="T146" s="182"/>
      <c r="U146" s="184" t="str">
        <f ca="1">IF($R146="PR",INDEX(NVLSX!$U$2:$U$6941,MATCH($D146,NVLSX!$E$2:$E$6941,0)),"")</f>
        <v/>
      </c>
      <c r="V146" s="184" t="str">
        <f ca="1">IF($R146="PR",INDEX(NVLSX!$S$2:$S$6941,MATCH($D146,NVLSX!$E$2:$E$6941,0))*1000,"")</f>
        <v/>
      </c>
      <c r="W146" s="776" t="str">
        <f ca="1">IF($R146="PR",INDEX(NVLSX!$S$2:$S$6941,MATCH($D146,NVLSX!$E$2:$E$6941,0))*INDEX(NVLSX!$T$2:$T$6941,MATCH($D146,NVLSX!$E$2:$E$6941,0)),"")</f>
        <v/>
      </c>
      <c r="X146" s="776">
        <f t="shared" ca="1" si="7"/>
        <v>0</v>
      </c>
      <c r="Y146" s="982" t="str">
        <f ca="1">IFERROR(INDEX(NVLSX!$X$2:$X$4655,MATCH($D146,NVLSX!$E$2:$E$4655,0)),"")</f>
        <v/>
      </c>
    </row>
    <row r="147" spans="1:25">
      <c r="A147" s="19" t="str">
        <f ca="1">IF($Q147="","",MAX($A$2:A146)+1)</f>
        <v/>
      </c>
      <c r="B147" s="1146" t="str">
        <f ca="1">IFERROR(INDEX(NVLSX!$Y$2:$Y$6756,MATCH($D147,NVLSX!$E$2:$E$6756,0)),"")</f>
        <v/>
      </c>
      <c r="C147" s="1146" t="str">
        <f ca="1">IFERROR(INDEX(NVLSX!$Z$2:$Z$6756,MATCH($D147,NVLSX!$E$2:$E$6756,0)),"")</f>
        <v/>
      </c>
      <c r="D147" s="23" t="str">
        <f ca="1">IF($Q147="","",INDEX(TongVTSX!C$3:C$1500,$Q147))</f>
        <v/>
      </c>
      <c r="E147" s="729" t="str">
        <f ca="1">IF($Q147="","",INDEX(TongVTSX!D$3:D$1500,$Q147) &amp; IF(OR($R147=$S$1,$R147=$S$7)," (" &amp; INDEX(TongVTSX!A$3:A$1500,$Q147) &amp; ")",""))</f>
        <v/>
      </c>
      <c r="F147" s="745" t="str">
        <f ca="1">IF($Q147="","",IF($R147=$S$7,INDEX(TongVTSX!$G$3:$G$1500,$Q147),INDEX(TongVTSX!$E$3:$E$1500,$Q147)))</f>
        <v/>
      </c>
      <c r="G147" s="24" t="str">
        <f ca="1">IF($Q147="","",IF($R147=$S$1,"mm",IF($R147=$S$2,"Thanh",INDEX(TongVTSX!F$3:F$1500,$Q147))))</f>
        <v/>
      </c>
      <c r="H147" s="114">
        <f ca="1">IF($R147=$S$1,INDEX(TongVTSX!$K$3:$K$1500,$Q147),IF($R147=$S$7,INDEX(TongVTSX!$H$3:$H$1500,$Q147),IF($R147=$S$2,ROUNDUP(SUMPRODUCT((TongVTSX!$C$3:$C$1500=$D147)*(TongVTSX!$E$3:$E$1500=$F147)*(TongVTSX!$K$3:$K$1500))/$U147,0),SUMPRODUCT((TongVTSX!$C$3:$C$1500=$D147)*(TongVTSX!$E$3:$E$1500=$F147)*(TongVTSX!$K$3:$K$1500)))))</f>
        <v>0</v>
      </c>
      <c r="I147" s="114"/>
      <c r="J147" s="114"/>
      <c r="K147" s="114" t="str">
        <f ca="1">IF($Q147="","",IF($R147=$S$2,INDEX(TongVTSX!M$3:M$1500,$Q147)*$U147,   INDEX(TongVTSX!M$3:M$1500,$Q147)))</f>
        <v/>
      </c>
      <c r="L147" s="92">
        <f ca="1">IF($Q147="",0, IF($R147=$S$7,$F147*$H147*$K147,IF($R147=$S$2,$H147*$K147,    IF($H147*$K147 - SUMPRODUCT((TongVTSX!$C$3:$C$1500=$D147)*(TongVTSX!$E$3:$E$1500=$F147)*(TongVTSX!$O$3:$O$1500)) &lt;=10,$H147*$K147,"PO &lt;&gt; TongVTSX"))))</f>
        <v>0</v>
      </c>
      <c r="M147" s="114">
        <f ca="1">IF($R147=$S$1,INDEX(TongVTSX!$K$3:$K$1500,$Q147),IF($R147=$S$7,INDEX(TongVTSX!$H$3:$H$1500,$Q147),IF($R147=$S$2,SUMPRODUCT((TongVTSX!$C$3:$C$1500=$D147)*(TongVTSX!$E$3:$E$1500=$F147)*(TongVTSX!$K$3:$K$1500))/$U147,SUMPRODUCT((TongVTSX!$C$3:$C$1500=$D147)*(TongVTSX!$E$3:$E$1500=$F147)*(TongVTSX!$K$3:$K$1500)))))</f>
        <v>0</v>
      </c>
      <c r="N147" s="92">
        <f ca="1">IF($Q147="",0, IF($R147=$S$7,$F147*$M147*$K147,IF($R147=$S$2,$M147*$K147,    IF($M147*$K147 - SUMPRODUCT((TongVTSX!$C$3:$C$1500=$D147)*(TongVTSX!$E$3:$E$1500=$F147)*(TongVTSX!$O$3:$O$1500)) &lt;=10,$M147*$K147,"PO &lt;&gt; TongVTSX"))))</f>
        <v>0</v>
      </c>
      <c r="O147" s="92">
        <f t="shared" ca="1" si="6"/>
        <v>0</v>
      </c>
      <c r="P147" s="1146" t="str">
        <f ca="1">IFERROR(INDEX(NVLSX!$AA$2:$AA$6756,MATCH($D147,NVLSX!$E$2:$E$6756,0)),"")</f>
        <v/>
      </c>
      <c r="Q147" s="742" t="str">
        <f ca="1">IF($R147="","",IF($R147&lt;&gt;$R146,IF(TYPE(MATCH($R147,TongVTSX!$T$3:$T$1500,0))=16,"",MATCH($R147,TongVTSX!$T$3:$T$1500,0)),IF(TYPE(MATCH($R147,OFFSET(TongVTSX!$T$3,$Q146,0):'TongVTSX'!$T$1500,0)+$Q146)=16,"",MATCH($R147,OFFSET(TongVTSX!$T$3,$Q146,0):'TongVTSX'!$T$1500,0)+$Q146)))</f>
        <v/>
      </c>
      <c r="R147" s="179" t="str">
        <f ca="1">IFERROR(IF(COUNTIF($R$3:R146,R146)&lt; INDEX($T$1:$T$7,MATCH($R146,$S$1:$S$7,0)),$R146,INDEX($S$1:$S$7,MATCH($R146,$S$1:$S$7,0)+1)),"")</f>
        <v/>
      </c>
      <c r="S147" s="181"/>
      <c r="T147" s="182"/>
      <c r="U147" s="184" t="str">
        <f ca="1">IF($R147="PR",INDEX(NVLSX!$U$2:$U$6941,MATCH($D147,NVLSX!$E$2:$E$6941,0)),"")</f>
        <v/>
      </c>
      <c r="V147" s="184" t="str">
        <f ca="1">IF($R147="PR",INDEX(NVLSX!$S$2:$S$6941,MATCH($D147,NVLSX!$E$2:$E$6941,0))*1000,"")</f>
        <v/>
      </c>
      <c r="W147" s="776" t="str">
        <f ca="1">IF($R147="PR",INDEX(NVLSX!$S$2:$S$6941,MATCH($D147,NVLSX!$E$2:$E$6941,0))*INDEX(NVLSX!$T$2:$T$6941,MATCH($D147,NVLSX!$E$2:$E$6941,0)),"")</f>
        <v/>
      </c>
      <c r="X147" s="776">
        <f t="shared" ca="1" si="7"/>
        <v>0</v>
      </c>
      <c r="Y147" s="982" t="str">
        <f ca="1">IFERROR(INDEX(NVLSX!$X$2:$X$4655,MATCH($D147,NVLSX!$E$2:$E$4655,0)),"")</f>
        <v/>
      </c>
    </row>
    <row r="148" spans="1:25">
      <c r="A148" s="19" t="str">
        <f ca="1">IF($Q148="","",MAX($A$2:A147)+1)</f>
        <v/>
      </c>
      <c r="B148" s="1146" t="str">
        <f ca="1">IFERROR(INDEX(NVLSX!$Y$2:$Y$6756,MATCH($D148,NVLSX!$E$2:$E$6756,0)),"")</f>
        <v/>
      </c>
      <c r="C148" s="1146" t="str">
        <f ca="1">IFERROR(INDEX(NVLSX!$Z$2:$Z$6756,MATCH($D148,NVLSX!$E$2:$E$6756,0)),"")</f>
        <v/>
      </c>
      <c r="D148" s="23" t="str">
        <f ca="1">IF($Q148="","",INDEX(TongVTSX!C$3:C$1500,$Q148))</f>
        <v/>
      </c>
      <c r="E148" s="729" t="str">
        <f ca="1">IF($Q148="","",INDEX(TongVTSX!D$3:D$1500,$Q148) &amp; IF(OR($R148=$S$1,$R148=$S$7)," (" &amp; INDEX(TongVTSX!A$3:A$1500,$Q148) &amp; ")",""))</f>
        <v/>
      </c>
      <c r="F148" s="745" t="str">
        <f ca="1">IF($Q148="","",IF($R148=$S$7,INDEX(TongVTSX!$G$3:$G$1500,$Q148),INDEX(TongVTSX!$E$3:$E$1500,$Q148)))</f>
        <v/>
      </c>
      <c r="G148" s="24" t="str">
        <f ca="1">IF($Q148="","",IF($R148=$S$1,"mm",IF($R148=$S$2,"Thanh",INDEX(TongVTSX!F$3:F$1500,$Q148))))</f>
        <v/>
      </c>
      <c r="H148" s="114">
        <f ca="1">IF($R148=$S$1,INDEX(TongVTSX!$K$3:$K$1500,$Q148),IF($R148=$S$7,INDEX(TongVTSX!$H$3:$H$1500,$Q148),IF($R148=$S$2,ROUNDUP(SUMPRODUCT((TongVTSX!$C$3:$C$1500=$D148)*(TongVTSX!$E$3:$E$1500=$F148)*(TongVTSX!$K$3:$K$1500))/$U148,0),SUMPRODUCT((TongVTSX!$C$3:$C$1500=$D148)*(TongVTSX!$E$3:$E$1500=$F148)*(TongVTSX!$K$3:$K$1500)))))</f>
        <v>0</v>
      </c>
      <c r="I148" s="114"/>
      <c r="J148" s="114"/>
      <c r="K148" s="114" t="str">
        <f ca="1">IF($Q148="","",IF($R148=$S$2,INDEX(TongVTSX!M$3:M$1500,$Q148)*$U148,   INDEX(TongVTSX!M$3:M$1500,$Q148)))</f>
        <v/>
      </c>
      <c r="L148" s="92">
        <f ca="1">IF($Q148="",0, IF($R148=$S$7,$F148*$H148*$K148,IF($R148=$S$2,$H148*$K148,    IF($H148*$K148 - SUMPRODUCT((TongVTSX!$C$3:$C$1500=$D148)*(TongVTSX!$E$3:$E$1500=$F148)*(TongVTSX!$O$3:$O$1500)) &lt;=10,$H148*$K148,"PO &lt;&gt; TongVTSX"))))</f>
        <v>0</v>
      </c>
      <c r="M148" s="114">
        <f ca="1">IF($R148=$S$1,INDEX(TongVTSX!$K$3:$K$1500,$Q148),IF($R148=$S$7,INDEX(TongVTSX!$H$3:$H$1500,$Q148),IF($R148=$S$2,SUMPRODUCT((TongVTSX!$C$3:$C$1500=$D148)*(TongVTSX!$E$3:$E$1500=$F148)*(TongVTSX!$K$3:$K$1500))/$U148,SUMPRODUCT((TongVTSX!$C$3:$C$1500=$D148)*(TongVTSX!$E$3:$E$1500=$F148)*(TongVTSX!$K$3:$K$1500)))))</f>
        <v>0</v>
      </c>
      <c r="N148" s="92">
        <f ca="1">IF($Q148="",0, IF($R148=$S$7,$F148*$M148*$K148,IF($R148=$S$2,$M148*$K148,    IF($M148*$K148 - SUMPRODUCT((TongVTSX!$C$3:$C$1500=$D148)*(TongVTSX!$E$3:$E$1500=$F148)*(TongVTSX!$O$3:$O$1500)) &lt;=10,$M148*$K148,"PO &lt;&gt; TongVTSX"))))</f>
        <v>0</v>
      </c>
      <c r="O148" s="92">
        <f t="shared" ca="1" si="6"/>
        <v>0</v>
      </c>
      <c r="P148" s="1146" t="str">
        <f ca="1">IFERROR(INDEX(NVLSX!$AA$2:$AA$6756,MATCH($D148,NVLSX!$E$2:$E$6756,0)),"")</f>
        <v/>
      </c>
      <c r="Q148" s="742" t="str">
        <f ca="1">IF($R148="","",IF($R148&lt;&gt;$R147,IF(TYPE(MATCH($R148,TongVTSX!$T$3:$T$1500,0))=16,"",MATCH($R148,TongVTSX!$T$3:$T$1500,0)),IF(TYPE(MATCH($R148,OFFSET(TongVTSX!$T$3,$Q147,0):'TongVTSX'!$T$1500,0)+$Q147)=16,"",MATCH($R148,OFFSET(TongVTSX!$T$3,$Q147,0):'TongVTSX'!$T$1500,0)+$Q147)))</f>
        <v/>
      </c>
      <c r="R148" s="179" t="str">
        <f ca="1">IFERROR(IF(COUNTIF($R$3:R147,R147)&lt; INDEX($T$1:$T$7,MATCH($R147,$S$1:$S$7,0)),$R147,INDEX($S$1:$S$7,MATCH($R147,$S$1:$S$7,0)+1)),"")</f>
        <v/>
      </c>
      <c r="S148" s="181"/>
      <c r="T148" s="182"/>
      <c r="U148" s="184" t="str">
        <f ca="1">IF($R148="PR",INDEX(NVLSX!$U$2:$U$6941,MATCH($D148,NVLSX!$E$2:$E$6941,0)),"")</f>
        <v/>
      </c>
      <c r="V148" s="184" t="str">
        <f ca="1">IF($R148="PR",INDEX(NVLSX!$S$2:$S$6941,MATCH($D148,NVLSX!$E$2:$E$6941,0))*1000,"")</f>
        <v/>
      </c>
      <c r="W148" s="776" t="str">
        <f ca="1">IF($R148="PR",INDEX(NVLSX!$S$2:$S$6941,MATCH($D148,NVLSX!$E$2:$E$6941,0))*INDEX(NVLSX!$T$2:$T$6941,MATCH($D148,NVLSX!$E$2:$E$6941,0)),"")</f>
        <v/>
      </c>
      <c r="X148" s="776">
        <f t="shared" ca="1" si="7"/>
        <v>0</v>
      </c>
      <c r="Y148" s="982" t="str">
        <f ca="1">IFERROR(INDEX(NVLSX!$X$2:$X$4655,MATCH($D148,NVLSX!$E$2:$E$4655,0)),"")</f>
        <v/>
      </c>
    </row>
    <row r="149" spans="1:25">
      <c r="A149" s="19" t="str">
        <f ca="1">IF($Q149="","",MAX($A$2:A148)+1)</f>
        <v/>
      </c>
      <c r="B149" s="1146" t="str">
        <f ca="1">IFERROR(INDEX(NVLSX!$Y$2:$Y$6756,MATCH($D149,NVLSX!$E$2:$E$6756,0)),"")</f>
        <v/>
      </c>
      <c r="C149" s="1146" t="str">
        <f ca="1">IFERROR(INDEX(NVLSX!$Z$2:$Z$6756,MATCH($D149,NVLSX!$E$2:$E$6756,0)),"")</f>
        <v/>
      </c>
      <c r="D149" s="23" t="str">
        <f ca="1">IF($Q149="","",INDEX(TongVTSX!C$3:C$1500,$Q149))</f>
        <v/>
      </c>
      <c r="E149" s="729" t="str">
        <f ca="1">IF($Q149="","",INDEX(TongVTSX!D$3:D$1500,$Q149) &amp; IF(OR($R149=$S$1,$R149=$S$7)," (" &amp; INDEX(TongVTSX!A$3:A$1500,$Q149) &amp; ")",""))</f>
        <v/>
      </c>
      <c r="F149" s="745" t="str">
        <f ca="1">IF($Q149="","",IF($R149=$S$7,INDEX(TongVTSX!$G$3:$G$1500,$Q149),INDEX(TongVTSX!$E$3:$E$1500,$Q149)))</f>
        <v/>
      </c>
      <c r="G149" s="24" t="str">
        <f ca="1">IF($Q149="","",IF($R149=$S$1,"mm",IF($R149=$S$2,"Thanh",INDEX(TongVTSX!F$3:F$1500,$Q149))))</f>
        <v/>
      </c>
      <c r="H149" s="114">
        <f ca="1">IF($R149=$S$1,INDEX(TongVTSX!$K$3:$K$1500,$Q149),IF($R149=$S$7,INDEX(TongVTSX!$H$3:$H$1500,$Q149),IF($R149=$S$2,ROUNDUP(SUMPRODUCT((TongVTSX!$C$3:$C$1500=$D149)*(TongVTSX!$E$3:$E$1500=$F149)*(TongVTSX!$K$3:$K$1500))/$U149,0),SUMPRODUCT((TongVTSX!$C$3:$C$1500=$D149)*(TongVTSX!$E$3:$E$1500=$F149)*(TongVTSX!$K$3:$K$1500)))))</f>
        <v>0</v>
      </c>
      <c r="I149" s="114"/>
      <c r="J149" s="114"/>
      <c r="K149" s="114" t="str">
        <f ca="1">IF($Q149="","",IF($R149=$S$2,INDEX(TongVTSX!M$3:M$1500,$Q149)*$U149,   INDEX(TongVTSX!M$3:M$1500,$Q149)))</f>
        <v/>
      </c>
      <c r="L149" s="92">
        <f ca="1">IF($Q149="",0, IF($R149=$S$7,$F149*$H149*$K149,IF($R149=$S$2,$H149*$K149,    IF($H149*$K149 - SUMPRODUCT((TongVTSX!$C$3:$C$1500=$D149)*(TongVTSX!$E$3:$E$1500=$F149)*(TongVTSX!$O$3:$O$1500)) &lt;=10,$H149*$K149,"PO &lt;&gt; TongVTSX"))))</f>
        <v>0</v>
      </c>
      <c r="M149" s="114">
        <f ca="1">IF($R149=$S$1,INDEX(TongVTSX!$K$3:$K$1500,$Q149),IF($R149=$S$7,INDEX(TongVTSX!$H$3:$H$1500,$Q149),IF($R149=$S$2,SUMPRODUCT((TongVTSX!$C$3:$C$1500=$D149)*(TongVTSX!$E$3:$E$1500=$F149)*(TongVTSX!$K$3:$K$1500))/$U149,SUMPRODUCT((TongVTSX!$C$3:$C$1500=$D149)*(TongVTSX!$E$3:$E$1500=$F149)*(TongVTSX!$K$3:$K$1500)))))</f>
        <v>0</v>
      </c>
      <c r="N149" s="92">
        <f ca="1">IF($Q149="",0, IF($R149=$S$7,$F149*$M149*$K149,IF($R149=$S$2,$M149*$K149,    IF($M149*$K149 - SUMPRODUCT((TongVTSX!$C$3:$C$1500=$D149)*(TongVTSX!$E$3:$E$1500=$F149)*(TongVTSX!$O$3:$O$1500)) &lt;=10,$M149*$K149,"PO &lt;&gt; TongVTSX"))))</f>
        <v>0</v>
      </c>
      <c r="O149" s="92">
        <f t="shared" ca="1" si="6"/>
        <v>0</v>
      </c>
      <c r="P149" s="1146" t="str">
        <f ca="1">IFERROR(INDEX(NVLSX!$AA$2:$AA$6756,MATCH($D149,NVLSX!$E$2:$E$6756,0)),"")</f>
        <v/>
      </c>
      <c r="Q149" s="742" t="str">
        <f ca="1">IF($R149="","",IF($R149&lt;&gt;$R148,IF(TYPE(MATCH($R149,TongVTSX!$T$3:$T$1500,0))=16,"",MATCH($R149,TongVTSX!$T$3:$T$1500,0)),IF(TYPE(MATCH($R149,OFFSET(TongVTSX!$T$3,$Q148,0):'TongVTSX'!$T$1500,0)+$Q148)=16,"",MATCH($R149,OFFSET(TongVTSX!$T$3,$Q148,0):'TongVTSX'!$T$1500,0)+$Q148)))</f>
        <v/>
      </c>
      <c r="R149" s="179" t="str">
        <f ca="1">IFERROR(IF(COUNTIF($R$3:R148,R148)&lt; INDEX($T$1:$T$7,MATCH($R148,$S$1:$S$7,0)),$R148,INDEX($S$1:$S$7,MATCH($R148,$S$1:$S$7,0)+1)),"")</f>
        <v/>
      </c>
      <c r="S149" s="181"/>
      <c r="T149" s="182"/>
      <c r="U149" s="184" t="str">
        <f ca="1">IF($R149="PR",INDEX(NVLSX!$U$2:$U$6941,MATCH($D149,NVLSX!$E$2:$E$6941,0)),"")</f>
        <v/>
      </c>
      <c r="V149" s="184" t="str">
        <f ca="1">IF($R149="PR",INDEX(NVLSX!$S$2:$S$6941,MATCH($D149,NVLSX!$E$2:$E$6941,0))*1000,"")</f>
        <v/>
      </c>
      <c r="W149" s="776" t="str">
        <f ca="1">IF($R149="PR",INDEX(NVLSX!$S$2:$S$6941,MATCH($D149,NVLSX!$E$2:$E$6941,0))*INDEX(NVLSX!$T$2:$T$6941,MATCH($D149,NVLSX!$E$2:$E$6941,0)),"")</f>
        <v/>
      </c>
      <c r="X149" s="776">
        <f t="shared" ca="1" si="7"/>
        <v>0</v>
      </c>
      <c r="Y149" s="982" t="str">
        <f ca="1">IFERROR(INDEX(NVLSX!$X$2:$X$4655,MATCH($D149,NVLSX!$E$2:$E$4655,0)),"")</f>
        <v/>
      </c>
    </row>
    <row r="150" spans="1:25">
      <c r="A150" s="19" t="str">
        <f ca="1">IF($Q150="","",MAX($A$2:A149)+1)</f>
        <v/>
      </c>
      <c r="B150" s="1146" t="str">
        <f ca="1">IFERROR(INDEX(NVLSX!$Y$2:$Y$6756,MATCH($D150,NVLSX!$E$2:$E$6756,0)),"")</f>
        <v/>
      </c>
      <c r="C150" s="1146" t="str">
        <f ca="1">IFERROR(INDEX(NVLSX!$Z$2:$Z$6756,MATCH($D150,NVLSX!$E$2:$E$6756,0)),"")</f>
        <v/>
      </c>
      <c r="D150" s="23" t="str">
        <f ca="1">IF($Q150="","",INDEX(TongVTSX!C$3:C$1500,$Q150))</f>
        <v/>
      </c>
      <c r="E150" s="729" t="str">
        <f ca="1">IF($Q150="","",INDEX(TongVTSX!D$3:D$1500,$Q150) &amp; IF(OR($R150=$S$1,$R150=$S$7)," (" &amp; INDEX(TongVTSX!A$3:A$1500,$Q150) &amp; ")",""))</f>
        <v/>
      </c>
      <c r="F150" s="745" t="str">
        <f ca="1">IF($Q150="","",IF($R150=$S$7,INDEX(TongVTSX!$G$3:$G$1500,$Q150),INDEX(TongVTSX!$E$3:$E$1500,$Q150)))</f>
        <v/>
      </c>
      <c r="G150" s="24" t="str">
        <f ca="1">IF($Q150="","",IF($R150=$S$1,"mm",IF($R150=$S$2,"Thanh",INDEX(TongVTSX!F$3:F$1500,$Q150))))</f>
        <v/>
      </c>
      <c r="H150" s="114">
        <f ca="1">IF($R150=$S$1,INDEX(TongVTSX!$K$3:$K$1500,$Q150),IF($R150=$S$7,INDEX(TongVTSX!$H$3:$H$1500,$Q150),IF($R150=$S$2,ROUNDUP(SUMPRODUCT((TongVTSX!$C$3:$C$1500=$D150)*(TongVTSX!$E$3:$E$1500=$F150)*(TongVTSX!$K$3:$K$1500))/$U150,0),SUMPRODUCT((TongVTSX!$C$3:$C$1500=$D150)*(TongVTSX!$E$3:$E$1500=$F150)*(TongVTSX!$K$3:$K$1500)))))</f>
        <v>0</v>
      </c>
      <c r="I150" s="114"/>
      <c r="J150" s="114"/>
      <c r="K150" s="114" t="str">
        <f ca="1">IF($Q150="","",IF($R150=$S$2,INDEX(TongVTSX!M$3:M$1500,$Q150)*$U150,   INDEX(TongVTSX!M$3:M$1500,$Q150)))</f>
        <v/>
      </c>
      <c r="L150" s="92">
        <f ca="1">IF($Q150="",0, IF($R150=$S$7,$F150*$H150*$K150,IF($R150=$S$2,$H150*$K150,    IF($H150*$K150 - SUMPRODUCT((TongVTSX!$C$3:$C$1500=$D150)*(TongVTSX!$E$3:$E$1500=$F150)*(TongVTSX!$O$3:$O$1500)) &lt;=10,$H150*$K150,"PO &lt;&gt; TongVTSX"))))</f>
        <v>0</v>
      </c>
      <c r="M150" s="114">
        <f ca="1">IF($R150=$S$1,INDEX(TongVTSX!$K$3:$K$1500,$Q150),IF($R150=$S$7,INDEX(TongVTSX!$H$3:$H$1500,$Q150),IF($R150=$S$2,SUMPRODUCT((TongVTSX!$C$3:$C$1500=$D150)*(TongVTSX!$E$3:$E$1500=$F150)*(TongVTSX!$K$3:$K$1500))/$U150,SUMPRODUCT((TongVTSX!$C$3:$C$1500=$D150)*(TongVTSX!$E$3:$E$1500=$F150)*(TongVTSX!$K$3:$K$1500)))))</f>
        <v>0</v>
      </c>
      <c r="N150" s="92">
        <f ca="1">IF($Q150="",0, IF($R150=$S$7,$F150*$M150*$K150,IF($R150=$S$2,$M150*$K150,    IF($M150*$K150 - SUMPRODUCT((TongVTSX!$C$3:$C$1500=$D150)*(TongVTSX!$E$3:$E$1500=$F150)*(TongVTSX!$O$3:$O$1500)) &lt;=10,$M150*$K150,"PO &lt;&gt; TongVTSX"))))</f>
        <v>0</v>
      </c>
      <c r="O150" s="92">
        <f t="shared" ca="1" si="6"/>
        <v>0</v>
      </c>
      <c r="P150" s="1146" t="str">
        <f ca="1">IFERROR(INDEX(NVLSX!$AA$2:$AA$6756,MATCH($D150,NVLSX!$E$2:$E$6756,0)),"")</f>
        <v/>
      </c>
      <c r="Q150" s="742" t="str">
        <f ca="1">IF($R150="","",IF($R150&lt;&gt;$R149,IF(TYPE(MATCH($R150,TongVTSX!$T$3:$T$1500,0))=16,"",MATCH($R150,TongVTSX!$T$3:$T$1500,0)),IF(TYPE(MATCH($R150,OFFSET(TongVTSX!$T$3,$Q149,0):'TongVTSX'!$T$1500,0)+$Q149)=16,"",MATCH($R150,OFFSET(TongVTSX!$T$3,$Q149,0):'TongVTSX'!$T$1500,0)+$Q149)))</f>
        <v/>
      </c>
      <c r="R150" s="179" t="str">
        <f ca="1">IFERROR(IF(COUNTIF($R$3:R149,R149)&lt; INDEX($T$1:$T$7,MATCH($R149,$S$1:$S$7,0)),$R149,INDEX($S$1:$S$7,MATCH($R149,$S$1:$S$7,0)+1)),"")</f>
        <v/>
      </c>
      <c r="S150" s="181"/>
      <c r="T150" s="182"/>
      <c r="U150" s="184" t="str">
        <f ca="1">IF($R150="PR",INDEX(NVLSX!$U$2:$U$6941,MATCH($D150,NVLSX!$E$2:$E$6941,0)),"")</f>
        <v/>
      </c>
      <c r="V150" s="184" t="str">
        <f ca="1">IF($R150="PR",INDEX(NVLSX!$S$2:$S$6941,MATCH($D150,NVLSX!$E$2:$E$6941,0))*1000,"")</f>
        <v/>
      </c>
      <c r="W150" s="776" t="str">
        <f ca="1">IF($R150="PR",INDEX(NVLSX!$S$2:$S$6941,MATCH($D150,NVLSX!$E$2:$E$6941,0))*INDEX(NVLSX!$T$2:$T$6941,MATCH($D150,NVLSX!$E$2:$E$6941,0)),"")</f>
        <v/>
      </c>
      <c r="X150" s="776">
        <f t="shared" ca="1" si="7"/>
        <v>0</v>
      </c>
      <c r="Y150" s="982" t="str">
        <f ca="1">IFERROR(INDEX(NVLSX!$X$2:$X$4655,MATCH($D150,NVLSX!$E$2:$E$4655,0)),"")</f>
        <v/>
      </c>
    </row>
    <row r="151" spans="1:25">
      <c r="A151" s="19" t="str">
        <f ca="1">IF($Q151="","",MAX($A$2:A150)+1)</f>
        <v/>
      </c>
      <c r="B151" s="1146" t="str">
        <f ca="1">IFERROR(INDEX(NVLSX!$Y$2:$Y$6756,MATCH($D151,NVLSX!$E$2:$E$6756,0)),"")</f>
        <v/>
      </c>
      <c r="C151" s="1146" t="str">
        <f ca="1">IFERROR(INDEX(NVLSX!$Z$2:$Z$6756,MATCH($D151,NVLSX!$E$2:$E$6756,0)),"")</f>
        <v/>
      </c>
      <c r="D151" s="23" t="str">
        <f ca="1">IF($Q151="","",INDEX(TongVTSX!C$3:C$1500,$Q151))</f>
        <v/>
      </c>
      <c r="E151" s="729" t="str">
        <f ca="1">IF($Q151="","",INDEX(TongVTSX!D$3:D$1500,$Q151) &amp; IF(OR($R151=$S$1,$R151=$S$7)," (" &amp; INDEX(TongVTSX!A$3:A$1500,$Q151) &amp; ")",""))</f>
        <v/>
      </c>
      <c r="F151" s="745" t="str">
        <f ca="1">IF($Q151="","",IF($R151=$S$7,INDEX(TongVTSX!$G$3:$G$1500,$Q151),INDEX(TongVTSX!$E$3:$E$1500,$Q151)))</f>
        <v/>
      </c>
      <c r="G151" s="24" t="str">
        <f ca="1">IF($Q151="","",IF($R151=$S$1,"mm",IF($R151=$S$2,"Thanh",INDEX(TongVTSX!F$3:F$1500,$Q151))))</f>
        <v/>
      </c>
      <c r="H151" s="114">
        <f ca="1">IF($R151=$S$1,INDEX(TongVTSX!$K$3:$K$1500,$Q151),IF($R151=$S$7,INDEX(TongVTSX!$H$3:$H$1500,$Q151),IF($R151=$S$2,ROUNDUP(SUMPRODUCT((TongVTSX!$C$3:$C$1500=$D151)*(TongVTSX!$E$3:$E$1500=$F151)*(TongVTSX!$K$3:$K$1500))/$U151,0),SUMPRODUCT((TongVTSX!$C$3:$C$1500=$D151)*(TongVTSX!$E$3:$E$1500=$F151)*(TongVTSX!$K$3:$K$1500)))))</f>
        <v>0</v>
      </c>
      <c r="I151" s="114"/>
      <c r="J151" s="114"/>
      <c r="K151" s="114" t="str">
        <f ca="1">IF($Q151="","",IF($R151=$S$2,INDEX(TongVTSX!M$3:M$1500,$Q151)*$U151,   INDEX(TongVTSX!M$3:M$1500,$Q151)))</f>
        <v/>
      </c>
      <c r="L151" s="92">
        <f ca="1">IF($Q151="",0, IF($R151=$S$7,$F151*$H151*$K151,IF($R151=$S$2,$H151*$K151,    IF($H151*$K151 - SUMPRODUCT((TongVTSX!$C$3:$C$1500=$D151)*(TongVTSX!$E$3:$E$1500=$F151)*(TongVTSX!$O$3:$O$1500)) &lt;=10,$H151*$K151,"PO &lt;&gt; TongVTSX"))))</f>
        <v>0</v>
      </c>
      <c r="M151" s="114">
        <f ca="1">IF($R151=$S$1,INDEX(TongVTSX!$K$3:$K$1500,$Q151),IF($R151=$S$7,INDEX(TongVTSX!$H$3:$H$1500,$Q151),IF($R151=$S$2,SUMPRODUCT((TongVTSX!$C$3:$C$1500=$D151)*(TongVTSX!$E$3:$E$1500=$F151)*(TongVTSX!$K$3:$K$1500))/$U151,SUMPRODUCT((TongVTSX!$C$3:$C$1500=$D151)*(TongVTSX!$E$3:$E$1500=$F151)*(TongVTSX!$K$3:$K$1500)))))</f>
        <v>0</v>
      </c>
      <c r="N151" s="92">
        <f ca="1">IF($Q151="",0, IF($R151=$S$7,$F151*$M151*$K151,IF($R151=$S$2,$M151*$K151,    IF($M151*$K151 - SUMPRODUCT((TongVTSX!$C$3:$C$1500=$D151)*(TongVTSX!$E$3:$E$1500=$F151)*(TongVTSX!$O$3:$O$1500)) &lt;=10,$M151*$K151,"PO &lt;&gt; TongVTSX"))))</f>
        <v>0</v>
      </c>
      <c r="O151" s="92">
        <f t="shared" ca="1" si="6"/>
        <v>0</v>
      </c>
      <c r="P151" s="1146" t="str">
        <f ca="1">IFERROR(INDEX(NVLSX!$AA$2:$AA$6756,MATCH($D151,NVLSX!$E$2:$E$6756,0)),"")</f>
        <v/>
      </c>
      <c r="Q151" s="742" t="str">
        <f ca="1">IF($R151="","",IF($R151&lt;&gt;$R150,IF(TYPE(MATCH($R151,TongVTSX!$T$3:$T$1500,0))=16,"",MATCH($R151,TongVTSX!$T$3:$T$1500,0)),IF(TYPE(MATCH($R151,OFFSET(TongVTSX!$T$3,$Q150,0):'TongVTSX'!$T$1500,0)+$Q150)=16,"",MATCH($R151,OFFSET(TongVTSX!$T$3,$Q150,0):'TongVTSX'!$T$1500,0)+$Q150)))</f>
        <v/>
      </c>
      <c r="R151" s="179" t="str">
        <f ca="1">IFERROR(IF(COUNTIF($R$3:R150,R150)&lt; INDEX($T$1:$T$7,MATCH($R150,$S$1:$S$7,0)),$R150,INDEX($S$1:$S$7,MATCH($R150,$S$1:$S$7,0)+1)),"")</f>
        <v/>
      </c>
      <c r="S151" s="181"/>
      <c r="T151" s="182"/>
      <c r="U151" s="184" t="str">
        <f ca="1">IF($R151="PR",INDEX(NVLSX!$U$2:$U$6941,MATCH($D151,NVLSX!$E$2:$E$6941,0)),"")</f>
        <v/>
      </c>
      <c r="V151" s="184" t="str">
        <f ca="1">IF($R151="PR",INDEX(NVLSX!$S$2:$S$6941,MATCH($D151,NVLSX!$E$2:$E$6941,0))*1000,"")</f>
        <v/>
      </c>
      <c r="W151" s="776" t="str">
        <f ca="1">IF($R151="PR",INDEX(NVLSX!$S$2:$S$6941,MATCH($D151,NVLSX!$E$2:$E$6941,0))*INDEX(NVLSX!$T$2:$T$6941,MATCH($D151,NVLSX!$E$2:$E$6941,0)),"")</f>
        <v/>
      </c>
      <c r="X151" s="776">
        <f t="shared" ca="1" si="7"/>
        <v>0</v>
      </c>
      <c r="Y151" s="982" t="str">
        <f ca="1">IFERROR(INDEX(NVLSX!$X$2:$X$4655,MATCH($D151,NVLSX!$E$2:$E$4655,0)),"")</f>
        <v/>
      </c>
    </row>
    <row r="152" spans="1:25">
      <c r="A152" s="19" t="str">
        <f ca="1">IF($Q152="","",MAX($A$2:A151)+1)</f>
        <v/>
      </c>
      <c r="B152" s="1146" t="str">
        <f ca="1">IFERROR(INDEX(NVLSX!$Y$2:$Y$6756,MATCH($D152,NVLSX!$E$2:$E$6756,0)),"")</f>
        <v/>
      </c>
      <c r="C152" s="1146" t="str">
        <f ca="1">IFERROR(INDEX(NVLSX!$Z$2:$Z$6756,MATCH($D152,NVLSX!$E$2:$E$6756,0)),"")</f>
        <v/>
      </c>
      <c r="D152" s="23" t="str">
        <f ca="1">IF($Q152="","",INDEX(TongVTSX!C$3:C$1500,$Q152))</f>
        <v/>
      </c>
      <c r="E152" s="729" t="str">
        <f ca="1">IF($Q152="","",INDEX(TongVTSX!D$3:D$1500,$Q152) &amp; IF(OR($R152=$S$1,$R152=$S$7)," (" &amp; INDEX(TongVTSX!A$3:A$1500,$Q152) &amp; ")",""))</f>
        <v/>
      </c>
      <c r="F152" s="745" t="str">
        <f ca="1">IF($Q152="","",IF($R152=$S$7,INDEX(TongVTSX!$G$3:$G$1500,$Q152),INDEX(TongVTSX!$E$3:$E$1500,$Q152)))</f>
        <v/>
      </c>
      <c r="G152" s="24" t="str">
        <f ca="1">IF($Q152="","",IF($R152=$S$1,"mm",IF($R152=$S$2,"Thanh",INDEX(TongVTSX!F$3:F$1500,$Q152))))</f>
        <v/>
      </c>
      <c r="H152" s="114">
        <f ca="1">IF($R152=$S$1,INDEX(TongVTSX!$K$3:$K$1500,$Q152),IF($R152=$S$7,INDEX(TongVTSX!$H$3:$H$1500,$Q152),IF($R152=$S$2,ROUNDUP(SUMPRODUCT((TongVTSX!$C$3:$C$1500=$D152)*(TongVTSX!$E$3:$E$1500=$F152)*(TongVTSX!$K$3:$K$1500))/$U152,0),SUMPRODUCT((TongVTSX!$C$3:$C$1500=$D152)*(TongVTSX!$E$3:$E$1500=$F152)*(TongVTSX!$K$3:$K$1500)))))</f>
        <v>0</v>
      </c>
      <c r="I152" s="114"/>
      <c r="J152" s="114"/>
      <c r="K152" s="114" t="str">
        <f ca="1">IF($Q152="","",IF($R152=$S$2,INDEX(TongVTSX!M$3:M$1500,$Q152)*$U152,   INDEX(TongVTSX!M$3:M$1500,$Q152)))</f>
        <v/>
      </c>
      <c r="L152" s="92">
        <f ca="1">IF($Q152="",0, IF($R152=$S$7,$F152*$H152*$K152,IF($R152=$S$2,$H152*$K152,    IF($H152*$K152 - SUMPRODUCT((TongVTSX!$C$3:$C$1500=$D152)*(TongVTSX!$E$3:$E$1500=$F152)*(TongVTSX!$O$3:$O$1500)) &lt;=10,$H152*$K152,"PO &lt;&gt; TongVTSX"))))</f>
        <v>0</v>
      </c>
      <c r="M152" s="114">
        <f ca="1">IF($R152=$S$1,INDEX(TongVTSX!$K$3:$K$1500,$Q152),IF($R152=$S$7,INDEX(TongVTSX!$H$3:$H$1500,$Q152),IF($R152=$S$2,SUMPRODUCT((TongVTSX!$C$3:$C$1500=$D152)*(TongVTSX!$E$3:$E$1500=$F152)*(TongVTSX!$K$3:$K$1500))/$U152,SUMPRODUCT((TongVTSX!$C$3:$C$1500=$D152)*(TongVTSX!$E$3:$E$1500=$F152)*(TongVTSX!$K$3:$K$1500)))))</f>
        <v>0</v>
      </c>
      <c r="N152" s="92">
        <f ca="1">IF($Q152="",0, IF($R152=$S$7,$F152*$M152*$K152,IF($R152=$S$2,$M152*$K152,    IF($M152*$K152 - SUMPRODUCT((TongVTSX!$C$3:$C$1500=$D152)*(TongVTSX!$E$3:$E$1500=$F152)*(TongVTSX!$O$3:$O$1500)) &lt;=10,$M152*$K152,"PO &lt;&gt; TongVTSX"))))</f>
        <v>0</v>
      </c>
      <c r="O152" s="92">
        <f t="shared" ca="1" si="6"/>
        <v>0</v>
      </c>
      <c r="P152" s="1146" t="str">
        <f ca="1">IFERROR(INDEX(NVLSX!$AA$2:$AA$6756,MATCH($D152,NVLSX!$E$2:$E$6756,0)),"")</f>
        <v/>
      </c>
      <c r="Q152" s="742" t="str">
        <f ca="1">IF($R152="","",IF($R152&lt;&gt;$R151,IF(TYPE(MATCH($R152,TongVTSX!$T$3:$T$1500,0))=16,"",MATCH($R152,TongVTSX!$T$3:$T$1500,0)),IF(TYPE(MATCH($R152,OFFSET(TongVTSX!$T$3,$Q151,0):'TongVTSX'!$T$1500,0)+$Q151)=16,"",MATCH($R152,OFFSET(TongVTSX!$T$3,$Q151,0):'TongVTSX'!$T$1500,0)+$Q151)))</f>
        <v/>
      </c>
      <c r="R152" s="179" t="str">
        <f ca="1">IFERROR(IF(COUNTIF($R$3:R151,R151)&lt; INDEX($T$1:$T$7,MATCH($R151,$S$1:$S$7,0)),$R151,INDEX($S$1:$S$7,MATCH($R151,$S$1:$S$7,0)+1)),"")</f>
        <v/>
      </c>
      <c r="S152" s="181"/>
      <c r="T152" s="182"/>
      <c r="U152" s="184" t="str">
        <f ca="1">IF($R152="PR",INDEX(NVLSX!$U$2:$U$6941,MATCH($D152,NVLSX!$E$2:$E$6941,0)),"")</f>
        <v/>
      </c>
      <c r="V152" s="184" t="str">
        <f ca="1">IF($R152="PR",INDEX(NVLSX!$S$2:$S$6941,MATCH($D152,NVLSX!$E$2:$E$6941,0))*1000,"")</f>
        <v/>
      </c>
      <c r="W152" s="776" t="str">
        <f ca="1">IF($R152="PR",INDEX(NVLSX!$S$2:$S$6941,MATCH($D152,NVLSX!$E$2:$E$6941,0))*INDEX(NVLSX!$T$2:$T$6941,MATCH($D152,NVLSX!$E$2:$E$6941,0)),"")</f>
        <v/>
      </c>
      <c r="X152" s="776">
        <f t="shared" ca="1" si="7"/>
        <v>0</v>
      </c>
      <c r="Y152" s="982" t="str">
        <f ca="1">IFERROR(INDEX(NVLSX!$X$2:$X$4655,MATCH($D152,NVLSX!$E$2:$E$4655,0)),"")</f>
        <v/>
      </c>
    </row>
    <row r="153" spans="1:25">
      <c r="A153" s="19" t="str">
        <f ca="1">IF($Q153="","",MAX($A$2:A152)+1)</f>
        <v/>
      </c>
      <c r="B153" s="1146" t="str">
        <f ca="1">IFERROR(INDEX(NVLSX!$Y$2:$Y$6756,MATCH($D153,NVLSX!$E$2:$E$6756,0)),"")</f>
        <v/>
      </c>
      <c r="C153" s="1146" t="str">
        <f ca="1">IFERROR(INDEX(NVLSX!$Z$2:$Z$6756,MATCH($D153,NVLSX!$E$2:$E$6756,0)),"")</f>
        <v/>
      </c>
      <c r="D153" s="23" t="str">
        <f ca="1">IF($Q153="","",INDEX(TongVTSX!C$3:C$1500,$Q153))</f>
        <v/>
      </c>
      <c r="E153" s="729" t="str">
        <f ca="1">IF($Q153="","",INDEX(TongVTSX!D$3:D$1500,$Q153) &amp; IF(OR($R153=$S$1,$R153=$S$7)," (" &amp; INDEX(TongVTSX!A$3:A$1500,$Q153) &amp; ")",""))</f>
        <v/>
      </c>
      <c r="F153" s="745" t="str">
        <f ca="1">IF($Q153="","",IF($R153=$S$7,INDEX(TongVTSX!$G$3:$G$1500,$Q153),INDEX(TongVTSX!$E$3:$E$1500,$Q153)))</f>
        <v/>
      </c>
      <c r="G153" s="24" t="str">
        <f ca="1">IF($Q153="","",IF($R153=$S$1,"mm",IF($R153=$S$2,"Thanh",INDEX(TongVTSX!F$3:F$1500,$Q153))))</f>
        <v/>
      </c>
      <c r="H153" s="114">
        <f ca="1">IF($R153=$S$1,INDEX(TongVTSX!$K$3:$K$1500,$Q153),IF($R153=$S$7,INDEX(TongVTSX!$H$3:$H$1500,$Q153),IF($R153=$S$2,ROUNDUP(SUMPRODUCT((TongVTSX!$C$3:$C$1500=$D153)*(TongVTSX!$E$3:$E$1500=$F153)*(TongVTSX!$K$3:$K$1500))/$U153,0),SUMPRODUCT((TongVTSX!$C$3:$C$1500=$D153)*(TongVTSX!$E$3:$E$1500=$F153)*(TongVTSX!$K$3:$K$1500)))))</f>
        <v>0</v>
      </c>
      <c r="I153" s="114"/>
      <c r="J153" s="114"/>
      <c r="K153" s="114" t="str">
        <f ca="1">IF($Q153="","",IF($R153=$S$2,INDEX(TongVTSX!M$3:M$1500,$Q153)*$U153,   INDEX(TongVTSX!M$3:M$1500,$Q153)))</f>
        <v/>
      </c>
      <c r="L153" s="92">
        <f ca="1">IF($Q153="",0, IF($R153=$S$7,$F153*$H153*$K153,IF($R153=$S$2,$H153*$K153,    IF($H153*$K153 - SUMPRODUCT((TongVTSX!$C$3:$C$1500=$D153)*(TongVTSX!$E$3:$E$1500=$F153)*(TongVTSX!$O$3:$O$1500)) &lt;=10,$H153*$K153,"PO &lt;&gt; TongVTSX"))))</f>
        <v>0</v>
      </c>
      <c r="M153" s="114">
        <f ca="1">IF($R153=$S$1,INDEX(TongVTSX!$K$3:$K$1500,$Q153),IF($R153=$S$7,INDEX(TongVTSX!$H$3:$H$1500,$Q153),IF($R153=$S$2,SUMPRODUCT((TongVTSX!$C$3:$C$1500=$D153)*(TongVTSX!$E$3:$E$1500=$F153)*(TongVTSX!$K$3:$K$1500))/$U153,SUMPRODUCT((TongVTSX!$C$3:$C$1500=$D153)*(TongVTSX!$E$3:$E$1500=$F153)*(TongVTSX!$K$3:$K$1500)))))</f>
        <v>0</v>
      </c>
      <c r="N153" s="92">
        <f ca="1">IF($Q153="",0, IF($R153=$S$7,$F153*$M153*$K153,IF($R153=$S$2,$M153*$K153,    IF($M153*$K153 - SUMPRODUCT((TongVTSX!$C$3:$C$1500=$D153)*(TongVTSX!$E$3:$E$1500=$F153)*(TongVTSX!$O$3:$O$1500)) &lt;=10,$M153*$K153,"PO &lt;&gt; TongVTSX"))))</f>
        <v>0</v>
      </c>
      <c r="O153" s="92">
        <f t="shared" ca="1" si="6"/>
        <v>0</v>
      </c>
      <c r="P153" s="1146" t="str">
        <f ca="1">IFERROR(INDEX(NVLSX!$AA$2:$AA$6756,MATCH($D153,NVLSX!$E$2:$E$6756,0)),"")</f>
        <v/>
      </c>
      <c r="Q153" s="742" t="str">
        <f ca="1">IF($R153="","",IF($R153&lt;&gt;$R152,IF(TYPE(MATCH($R153,TongVTSX!$T$3:$T$1500,0))=16,"",MATCH($R153,TongVTSX!$T$3:$T$1500,0)),IF(TYPE(MATCH($R153,OFFSET(TongVTSX!$T$3,$Q152,0):'TongVTSX'!$T$1500,0)+$Q152)=16,"",MATCH($R153,OFFSET(TongVTSX!$T$3,$Q152,0):'TongVTSX'!$T$1500,0)+$Q152)))</f>
        <v/>
      </c>
      <c r="R153" s="179" t="str">
        <f ca="1">IFERROR(IF(COUNTIF($R$3:R152,R152)&lt; INDEX($T$1:$T$7,MATCH($R152,$S$1:$S$7,0)),$R152,INDEX($S$1:$S$7,MATCH($R152,$S$1:$S$7,0)+1)),"")</f>
        <v/>
      </c>
      <c r="S153" s="181"/>
      <c r="T153" s="182"/>
      <c r="U153" s="184" t="str">
        <f ca="1">IF($R153="PR",INDEX(NVLSX!$U$2:$U$6941,MATCH($D153,NVLSX!$E$2:$E$6941,0)),"")</f>
        <v/>
      </c>
      <c r="V153" s="184" t="str">
        <f ca="1">IF($R153="PR",INDEX(NVLSX!$S$2:$S$6941,MATCH($D153,NVLSX!$E$2:$E$6941,0))*1000,"")</f>
        <v/>
      </c>
      <c r="W153" s="776" t="str">
        <f ca="1">IF($R153="PR",INDEX(NVLSX!$S$2:$S$6941,MATCH($D153,NVLSX!$E$2:$E$6941,0))*INDEX(NVLSX!$T$2:$T$6941,MATCH($D153,NVLSX!$E$2:$E$6941,0)),"")</f>
        <v/>
      </c>
      <c r="X153" s="776">
        <f t="shared" ca="1" si="7"/>
        <v>0</v>
      </c>
      <c r="Y153" s="982" t="str">
        <f ca="1">IFERROR(INDEX(NVLSX!$X$2:$X$4655,MATCH($D153,NVLSX!$E$2:$E$4655,0)),"")</f>
        <v/>
      </c>
    </row>
    <row r="154" spans="1:25">
      <c r="A154" s="19" t="str">
        <f ca="1">IF($Q154="","",MAX($A$2:A153)+1)</f>
        <v/>
      </c>
      <c r="B154" s="1146" t="str">
        <f ca="1">IFERROR(INDEX(NVLSX!$Y$2:$Y$6756,MATCH($D154,NVLSX!$E$2:$E$6756,0)),"")</f>
        <v/>
      </c>
      <c r="C154" s="1146" t="str">
        <f ca="1">IFERROR(INDEX(NVLSX!$Z$2:$Z$6756,MATCH($D154,NVLSX!$E$2:$E$6756,0)),"")</f>
        <v/>
      </c>
      <c r="D154" s="23" t="str">
        <f ca="1">IF($Q154="","",INDEX(TongVTSX!C$3:C$1500,$Q154))</f>
        <v/>
      </c>
      <c r="E154" s="729" t="str">
        <f ca="1">IF($Q154="","",INDEX(TongVTSX!D$3:D$1500,$Q154) &amp; IF(OR($R154=$S$1,$R154=$S$7)," (" &amp; INDEX(TongVTSX!A$3:A$1500,$Q154) &amp; ")",""))</f>
        <v/>
      </c>
      <c r="F154" s="745" t="str">
        <f ca="1">IF($Q154="","",IF($R154=$S$7,INDEX(TongVTSX!$G$3:$G$1500,$Q154),INDEX(TongVTSX!$E$3:$E$1500,$Q154)))</f>
        <v/>
      </c>
      <c r="G154" s="24" t="str">
        <f ca="1">IF($Q154="","",IF($R154=$S$1,"mm",IF($R154=$S$2,"Thanh",INDEX(TongVTSX!F$3:F$1500,$Q154))))</f>
        <v/>
      </c>
      <c r="H154" s="114">
        <f ca="1">IF($R154=$S$1,INDEX(TongVTSX!$K$3:$K$1500,$Q154),IF($R154=$S$7,INDEX(TongVTSX!$H$3:$H$1500,$Q154),IF($R154=$S$2,ROUNDUP(SUMPRODUCT((TongVTSX!$C$3:$C$1500=$D154)*(TongVTSX!$E$3:$E$1500=$F154)*(TongVTSX!$K$3:$K$1500))/$U154,0),SUMPRODUCT((TongVTSX!$C$3:$C$1500=$D154)*(TongVTSX!$E$3:$E$1500=$F154)*(TongVTSX!$K$3:$K$1500)))))</f>
        <v>0</v>
      </c>
      <c r="I154" s="114"/>
      <c r="J154" s="114"/>
      <c r="K154" s="114" t="str">
        <f ca="1">IF($Q154="","",IF($R154=$S$2,INDEX(TongVTSX!M$3:M$1500,$Q154)*$U154,   INDEX(TongVTSX!M$3:M$1500,$Q154)))</f>
        <v/>
      </c>
      <c r="L154" s="92">
        <f ca="1">IF($Q154="",0, IF($R154=$S$7,$F154*$H154*$K154,IF($R154=$S$2,$H154*$K154,    IF($H154*$K154 - SUMPRODUCT((TongVTSX!$C$3:$C$1500=$D154)*(TongVTSX!$E$3:$E$1500=$F154)*(TongVTSX!$O$3:$O$1500)) &lt;=10,$H154*$K154,"PO &lt;&gt; TongVTSX"))))</f>
        <v>0</v>
      </c>
      <c r="M154" s="114">
        <f ca="1">IF($R154=$S$1,INDEX(TongVTSX!$K$3:$K$1500,$Q154),IF($R154=$S$7,INDEX(TongVTSX!$H$3:$H$1500,$Q154),IF($R154=$S$2,SUMPRODUCT((TongVTSX!$C$3:$C$1500=$D154)*(TongVTSX!$E$3:$E$1500=$F154)*(TongVTSX!$K$3:$K$1500))/$U154,SUMPRODUCT((TongVTSX!$C$3:$C$1500=$D154)*(TongVTSX!$E$3:$E$1500=$F154)*(TongVTSX!$K$3:$K$1500)))))</f>
        <v>0</v>
      </c>
      <c r="N154" s="92">
        <f ca="1">IF($Q154="",0, IF($R154=$S$7,$F154*$M154*$K154,IF($R154=$S$2,$M154*$K154,    IF($M154*$K154 - SUMPRODUCT((TongVTSX!$C$3:$C$1500=$D154)*(TongVTSX!$E$3:$E$1500=$F154)*(TongVTSX!$O$3:$O$1500)) &lt;=10,$M154*$K154,"PO &lt;&gt; TongVTSX"))))</f>
        <v>0</v>
      </c>
      <c r="O154" s="92">
        <f t="shared" ca="1" si="6"/>
        <v>0</v>
      </c>
      <c r="P154" s="1146" t="str">
        <f ca="1">IFERROR(INDEX(NVLSX!$AA$2:$AA$6756,MATCH($D154,NVLSX!$E$2:$E$6756,0)),"")</f>
        <v/>
      </c>
      <c r="Q154" s="742" t="str">
        <f ca="1">IF($R154="","",IF($R154&lt;&gt;$R153,IF(TYPE(MATCH($R154,TongVTSX!$T$3:$T$1500,0))=16,"",MATCH($R154,TongVTSX!$T$3:$T$1500,0)),IF(TYPE(MATCH($R154,OFFSET(TongVTSX!$T$3,$Q153,0):'TongVTSX'!$T$1500,0)+$Q153)=16,"",MATCH($R154,OFFSET(TongVTSX!$T$3,$Q153,0):'TongVTSX'!$T$1500,0)+$Q153)))</f>
        <v/>
      </c>
      <c r="R154" s="179" t="str">
        <f ca="1">IFERROR(IF(COUNTIF($R$3:R153,R153)&lt; INDEX($T$1:$T$7,MATCH($R153,$S$1:$S$7,0)),$R153,INDEX($S$1:$S$7,MATCH($R153,$S$1:$S$7,0)+1)),"")</f>
        <v/>
      </c>
      <c r="S154" s="181"/>
      <c r="T154" s="182"/>
      <c r="U154" s="184" t="str">
        <f ca="1">IF($R154="PR",INDEX(NVLSX!$U$2:$U$6941,MATCH($D154,NVLSX!$E$2:$E$6941,0)),"")</f>
        <v/>
      </c>
      <c r="V154" s="184" t="str">
        <f ca="1">IF($R154="PR",INDEX(NVLSX!$S$2:$S$6941,MATCH($D154,NVLSX!$E$2:$E$6941,0))*1000,"")</f>
        <v/>
      </c>
      <c r="W154" s="776" t="str">
        <f ca="1">IF($R154="PR",INDEX(NVLSX!$S$2:$S$6941,MATCH($D154,NVLSX!$E$2:$E$6941,0))*INDEX(NVLSX!$T$2:$T$6941,MATCH($D154,NVLSX!$E$2:$E$6941,0)),"")</f>
        <v/>
      </c>
      <c r="X154" s="776">
        <f t="shared" ca="1" si="7"/>
        <v>0</v>
      </c>
      <c r="Y154" s="982" t="str">
        <f ca="1">IFERROR(INDEX(NVLSX!$X$2:$X$4655,MATCH($D154,NVLSX!$E$2:$E$4655,0)),"")</f>
        <v/>
      </c>
    </row>
    <row r="155" spans="1:25">
      <c r="A155" s="19" t="str">
        <f ca="1">IF($Q155="","",MAX($A$2:A154)+1)</f>
        <v/>
      </c>
      <c r="B155" s="1146" t="str">
        <f ca="1">IFERROR(INDEX(NVLSX!$Y$2:$Y$6756,MATCH($D155,NVLSX!$E$2:$E$6756,0)),"")</f>
        <v/>
      </c>
      <c r="C155" s="1146" t="str">
        <f ca="1">IFERROR(INDEX(NVLSX!$Z$2:$Z$6756,MATCH($D155,NVLSX!$E$2:$E$6756,0)),"")</f>
        <v/>
      </c>
      <c r="D155" s="23" t="str">
        <f ca="1">IF($Q155="","",INDEX(TongVTSX!C$3:C$1500,$Q155))</f>
        <v/>
      </c>
      <c r="E155" s="729" t="str">
        <f ca="1">IF($Q155="","",INDEX(TongVTSX!D$3:D$1500,$Q155) &amp; IF(OR($R155=$S$1,$R155=$S$7)," (" &amp; INDEX(TongVTSX!A$3:A$1500,$Q155) &amp; ")",""))</f>
        <v/>
      </c>
      <c r="F155" s="745" t="str">
        <f ca="1">IF($Q155="","",IF($R155=$S$7,INDEX(TongVTSX!$G$3:$G$1500,$Q155),INDEX(TongVTSX!$E$3:$E$1500,$Q155)))</f>
        <v/>
      </c>
      <c r="G155" s="24" t="str">
        <f ca="1">IF($Q155="","",IF($R155=$S$1,"mm",IF($R155=$S$2,"Thanh",INDEX(TongVTSX!F$3:F$1500,$Q155))))</f>
        <v/>
      </c>
      <c r="H155" s="114">
        <f ca="1">IF($R155=$S$1,INDEX(TongVTSX!$K$3:$K$1500,$Q155),IF($R155=$S$7,INDEX(TongVTSX!$H$3:$H$1500,$Q155),IF($R155=$S$2,ROUNDUP(SUMPRODUCT((TongVTSX!$C$3:$C$1500=$D155)*(TongVTSX!$E$3:$E$1500=$F155)*(TongVTSX!$K$3:$K$1500))/$U155,0),SUMPRODUCT((TongVTSX!$C$3:$C$1500=$D155)*(TongVTSX!$E$3:$E$1500=$F155)*(TongVTSX!$K$3:$K$1500)))))</f>
        <v>0</v>
      </c>
      <c r="I155" s="114"/>
      <c r="J155" s="114"/>
      <c r="K155" s="114" t="str">
        <f ca="1">IF($Q155="","",IF($R155=$S$2,INDEX(TongVTSX!M$3:M$1500,$Q155)*$U155,   INDEX(TongVTSX!M$3:M$1500,$Q155)))</f>
        <v/>
      </c>
      <c r="L155" s="92">
        <f ca="1">IF($Q155="",0, IF($R155=$S$7,$F155*$H155*$K155,IF($R155=$S$2,$H155*$K155,    IF($H155*$K155 - SUMPRODUCT((TongVTSX!$C$3:$C$1500=$D155)*(TongVTSX!$E$3:$E$1500=$F155)*(TongVTSX!$O$3:$O$1500)) &lt;=10,$H155*$K155,"PO &lt;&gt; TongVTSX"))))</f>
        <v>0</v>
      </c>
      <c r="M155" s="114">
        <f ca="1">IF($R155=$S$1,INDEX(TongVTSX!$K$3:$K$1500,$Q155),IF($R155=$S$7,INDEX(TongVTSX!$H$3:$H$1500,$Q155),IF($R155=$S$2,SUMPRODUCT((TongVTSX!$C$3:$C$1500=$D155)*(TongVTSX!$E$3:$E$1500=$F155)*(TongVTSX!$K$3:$K$1500))/$U155,SUMPRODUCT((TongVTSX!$C$3:$C$1500=$D155)*(TongVTSX!$E$3:$E$1500=$F155)*(TongVTSX!$K$3:$K$1500)))))</f>
        <v>0</v>
      </c>
      <c r="N155" s="92">
        <f ca="1">IF($Q155="",0, IF($R155=$S$7,$F155*$M155*$K155,IF($R155=$S$2,$M155*$K155,    IF($M155*$K155 - SUMPRODUCT((TongVTSX!$C$3:$C$1500=$D155)*(TongVTSX!$E$3:$E$1500=$F155)*(TongVTSX!$O$3:$O$1500)) &lt;=10,$M155*$K155,"PO &lt;&gt; TongVTSX"))))</f>
        <v>0</v>
      </c>
      <c r="O155" s="92">
        <f t="shared" ca="1" si="6"/>
        <v>0</v>
      </c>
      <c r="P155" s="1146" t="str">
        <f ca="1">IFERROR(INDEX(NVLSX!$AA$2:$AA$6756,MATCH($D155,NVLSX!$E$2:$E$6756,0)),"")</f>
        <v/>
      </c>
      <c r="Q155" s="742" t="str">
        <f ca="1">IF($R155="","",IF($R155&lt;&gt;$R154,IF(TYPE(MATCH($R155,TongVTSX!$T$3:$T$1500,0))=16,"",MATCH($R155,TongVTSX!$T$3:$T$1500,0)),IF(TYPE(MATCH($R155,OFFSET(TongVTSX!$T$3,$Q154,0):'TongVTSX'!$T$1500,0)+$Q154)=16,"",MATCH($R155,OFFSET(TongVTSX!$T$3,$Q154,0):'TongVTSX'!$T$1500,0)+$Q154)))</f>
        <v/>
      </c>
      <c r="R155" s="179" t="str">
        <f ca="1">IFERROR(IF(COUNTIF($R$3:R154,R154)&lt; INDEX($T$1:$T$7,MATCH($R154,$S$1:$S$7,0)),$R154,INDEX($S$1:$S$7,MATCH($R154,$S$1:$S$7,0)+1)),"")</f>
        <v/>
      </c>
      <c r="S155" s="181"/>
      <c r="T155" s="182"/>
      <c r="U155" s="184" t="str">
        <f ca="1">IF($R155="PR",INDEX(NVLSX!$U$2:$U$6941,MATCH($D155,NVLSX!$E$2:$E$6941,0)),"")</f>
        <v/>
      </c>
      <c r="V155" s="184" t="str">
        <f ca="1">IF($R155="PR",INDEX(NVLSX!$S$2:$S$6941,MATCH($D155,NVLSX!$E$2:$E$6941,0))*1000,"")</f>
        <v/>
      </c>
      <c r="W155" s="776" t="str">
        <f ca="1">IF($R155="PR",INDEX(NVLSX!$S$2:$S$6941,MATCH($D155,NVLSX!$E$2:$E$6941,0))*INDEX(NVLSX!$T$2:$T$6941,MATCH($D155,NVLSX!$E$2:$E$6941,0)),"")</f>
        <v/>
      </c>
      <c r="X155" s="776">
        <f t="shared" ca="1" si="7"/>
        <v>0</v>
      </c>
      <c r="Y155" s="982" t="str">
        <f ca="1">IFERROR(INDEX(NVLSX!$X$2:$X$4655,MATCH($D155,NVLSX!$E$2:$E$4655,0)),"")</f>
        <v/>
      </c>
    </row>
    <row r="156" spans="1:25">
      <c r="A156" s="19" t="str">
        <f ca="1">IF($Q156="","",MAX($A$2:A155)+1)</f>
        <v/>
      </c>
      <c r="B156" s="1146" t="str">
        <f ca="1">IFERROR(INDEX(NVLSX!$Y$2:$Y$6756,MATCH($D156,NVLSX!$E$2:$E$6756,0)),"")</f>
        <v/>
      </c>
      <c r="C156" s="1146" t="str">
        <f ca="1">IFERROR(INDEX(NVLSX!$Z$2:$Z$6756,MATCH($D156,NVLSX!$E$2:$E$6756,0)),"")</f>
        <v/>
      </c>
      <c r="D156" s="23" t="str">
        <f ca="1">IF($Q156="","",INDEX(TongVTSX!C$3:C$1500,$Q156))</f>
        <v/>
      </c>
      <c r="E156" s="729" t="str">
        <f ca="1">IF($Q156="","",INDEX(TongVTSX!D$3:D$1500,$Q156) &amp; IF(OR($R156=$S$1,$R156=$S$7)," (" &amp; INDEX(TongVTSX!A$3:A$1500,$Q156) &amp; ")",""))</f>
        <v/>
      </c>
      <c r="F156" s="745" t="str">
        <f ca="1">IF($Q156="","",IF($R156=$S$7,INDEX(TongVTSX!$G$3:$G$1500,$Q156),INDEX(TongVTSX!$E$3:$E$1500,$Q156)))</f>
        <v/>
      </c>
      <c r="G156" s="24" t="str">
        <f ca="1">IF($Q156="","",IF($R156=$S$1,"mm",IF($R156=$S$2,"Thanh",INDEX(TongVTSX!F$3:F$1500,$Q156))))</f>
        <v/>
      </c>
      <c r="H156" s="114">
        <f ca="1">IF($R156=$S$1,INDEX(TongVTSX!$K$3:$K$1500,$Q156),IF($R156=$S$7,INDEX(TongVTSX!$H$3:$H$1500,$Q156),IF($R156=$S$2,ROUNDUP(SUMPRODUCT((TongVTSX!$C$3:$C$1500=$D156)*(TongVTSX!$E$3:$E$1500=$F156)*(TongVTSX!$K$3:$K$1500))/$U156,0),SUMPRODUCT((TongVTSX!$C$3:$C$1500=$D156)*(TongVTSX!$E$3:$E$1500=$F156)*(TongVTSX!$K$3:$K$1500)))))</f>
        <v>0</v>
      </c>
      <c r="I156" s="114"/>
      <c r="J156" s="114"/>
      <c r="K156" s="114" t="str">
        <f ca="1">IF($Q156="","",IF($R156=$S$2,INDEX(TongVTSX!M$3:M$1500,$Q156)*$U156,   INDEX(TongVTSX!M$3:M$1500,$Q156)))</f>
        <v/>
      </c>
      <c r="L156" s="92">
        <f ca="1">IF($Q156="",0, IF($R156=$S$7,$F156*$H156*$K156,IF($R156=$S$2,$H156*$K156,    IF($H156*$K156 - SUMPRODUCT((TongVTSX!$C$3:$C$1500=$D156)*(TongVTSX!$E$3:$E$1500=$F156)*(TongVTSX!$O$3:$O$1500)) &lt;=10,$H156*$K156,"PO &lt;&gt; TongVTSX"))))</f>
        <v>0</v>
      </c>
      <c r="M156" s="114">
        <f ca="1">IF($R156=$S$1,INDEX(TongVTSX!$K$3:$K$1500,$Q156),IF($R156=$S$7,INDEX(TongVTSX!$H$3:$H$1500,$Q156),IF($R156=$S$2,SUMPRODUCT((TongVTSX!$C$3:$C$1500=$D156)*(TongVTSX!$E$3:$E$1500=$F156)*(TongVTSX!$K$3:$K$1500))/$U156,SUMPRODUCT((TongVTSX!$C$3:$C$1500=$D156)*(TongVTSX!$E$3:$E$1500=$F156)*(TongVTSX!$K$3:$K$1500)))))</f>
        <v>0</v>
      </c>
      <c r="N156" s="92">
        <f ca="1">IF($Q156="",0, IF($R156=$S$7,$F156*$M156*$K156,IF($R156=$S$2,$M156*$K156,    IF($M156*$K156 - SUMPRODUCT((TongVTSX!$C$3:$C$1500=$D156)*(TongVTSX!$E$3:$E$1500=$F156)*(TongVTSX!$O$3:$O$1500)) &lt;=10,$M156*$K156,"PO &lt;&gt; TongVTSX"))))</f>
        <v>0</v>
      </c>
      <c r="O156" s="92">
        <f t="shared" ca="1" si="6"/>
        <v>0</v>
      </c>
      <c r="P156" s="1146" t="str">
        <f ca="1">IFERROR(INDEX(NVLSX!$AA$2:$AA$6756,MATCH($D156,NVLSX!$E$2:$E$6756,0)),"")</f>
        <v/>
      </c>
      <c r="Q156" s="742" t="str">
        <f ca="1">IF($R156="","",IF($R156&lt;&gt;$R155,IF(TYPE(MATCH($R156,TongVTSX!$T$3:$T$1500,0))=16,"",MATCH($R156,TongVTSX!$T$3:$T$1500,0)),IF(TYPE(MATCH($R156,OFFSET(TongVTSX!$T$3,$Q155,0):'TongVTSX'!$T$1500,0)+$Q155)=16,"",MATCH($R156,OFFSET(TongVTSX!$T$3,$Q155,0):'TongVTSX'!$T$1500,0)+$Q155)))</f>
        <v/>
      </c>
      <c r="R156" s="179" t="str">
        <f ca="1">IFERROR(IF(COUNTIF($R$3:R155,R155)&lt; INDEX($T$1:$T$7,MATCH($R155,$S$1:$S$7,0)),$R155,INDEX($S$1:$S$7,MATCH($R155,$S$1:$S$7,0)+1)),"")</f>
        <v/>
      </c>
      <c r="S156" s="181"/>
      <c r="T156" s="182"/>
      <c r="U156" s="184" t="str">
        <f ca="1">IF($R156="PR",INDEX(NVLSX!$U$2:$U$6941,MATCH($D156,NVLSX!$E$2:$E$6941,0)),"")</f>
        <v/>
      </c>
      <c r="V156" s="184" t="str">
        <f ca="1">IF($R156="PR",INDEX(NVLSX!$S$2:$S$6941,MATCH($D156,NVLSX!$E$2:$E$6941,0))*1000,"")</f>
        <v/>
      </c>
      <c r="W156" s="776" t="str">
        <f ca="1">IF($R156="PR",INDEX(NVLSX!$S$2:$S$6941,MATCH($D156,NVLSX!$E$2:$E$6941,0))*INDEX(NVLSX!$T$2:$T$6941,MATCH($D156,NVLSX!$E$2:$E$6941,0)),"")</f>
        <v/>
      </c>
      <c r="X156" s="776">
        <f t="shared" ca="1" si="7"/>
        <v>0</v>
      </c>
      <c r="Y156" s="982" t="str">
        <f ca="1">IFERROR(INDEX(NVLSX!$X$2:$X$4655,MATCH($D156,NVLSX!$E$2:$E$4655,0)),"")</f>
        <v/>
      </c>
    </row>
    <row r="157" spans="1:25">
      <c r="A157" s="19" t="str">
        <f ca="1">IF($Q157="","",MAX($A$2:A156)+1)</f>
        <v/>
      </c>
      <c r="B157" s="1146" t="str">
        <f ca="1">IFERROR(INDEX(NVLSX!$Y$2:$Y$6756,MATCH($D157,NVLSX!$E$2:$E$6756,0)),"")</f>
        <v/>
      </c>
      <c r="C157" s="1146" t="str">
        <f ca="1">IFERROR(INDEX(NVLSX!$Z$2:$Z$6756,MATCH($D157,NVLSX!$E$2:$E$6756,0)),"")</f>
        <v/>
      </c>
      <c r="D157" s="23" t="str">
        <f ca="1">IF($Q157="","",INDEX(TongVTSX!C$3:C$1500,$Q157))</f>
        <v/>
      </c>
      <c r="E157" s="729" t="str">
        <f ca="1">IF($Q157="","",INDEX(TongVTSX!D$3:D$1500,$Q157) &amp; IF(OR($R157=$S$1,$R157=$S$7)," (" &amp; INDEX(TongVTSX!A$3:A$1500,$Q157) &amp; ")",""))</f>
        <v/>
      </c>
      <c r="F157" s="745" t="str">
        <f ca="1">IF($Q157="","",IF($R157=$S$7,INDEX(TongVTSX!$G$3:$G$1500,$Q157),INDEX(TongVTSX!$E$3:$E$1500,$Q157)))</f>
        <v/>
      </c>
      <c r="G157" s="24" t="str">
        <f ca="1">IF($Q157="","",IF($R157=$S$1,"mm",IF($R157=$S$2,"Thanh",INDEX(TongVTSX!F$3:F$1500,$Q157))))</f>
        <v/>
      </c>
      <c r="H157" s="114">
        <f ca="1">IF($R157=$S$1,INDEX(TongVTSX!$K$3:$K$1500,$Q157),IF($R157=$S$7,INDEX(TongVTSX!$H$3:$H$1500,$Q157),IF($R157=$S$2,ROUNDUP(SUMPRODUCT((TongVTSX!$C$3:$C$1500=$D157)*(TongVTSX!$E$3:$E$1500=$F157)*(TongVTSX!$K$3:$K$1500))/$U157,0),SUMPRODUCT((TongVTSX!$C$3:$C$1500=$D157)*(TongVTSX!$E$3:$E$1500=$F157)*(TongVTSX!$K$3:$K$1500)))))</f>
        <v>0</v>
      </c>
      <c r="I157" s="114"/>
      <c r="J157" s="114"/>
      <c r="K157" s="114" t="str">
        <f ca="1">IF($Q157="","",IF($R157=$S$2,INDEX(TongVTSX!M$3:M$1500,$Q157)*$U157,   INDEX(TongVTSX!M$3:M$1500,$Q157)))</f>
        <v/>
      </c>
      <c r="L157" s="92">
        <f ca="1">IF($Q157="",0, IF($R157=$S$7,$F157*$H157*$K157,IF($R157=$S$2,$H157*$K157,    IF($H157*$K157 - SUMPRODUCT((TongVTSX!$C$3:$C$1500=$D157)*(TongVTSX!$E$3:$E$1500=$F157)*(TongVTSX!$O$3:$O$1500)) &lt;=10,$H157*$K157,"PO &lt;&gt; TongVTSX"))))</f>
        <v>0</v>
      </c>
      <c r="M157" s="114">
        <f ca="1">IF($R157=$S$1,INDEX(TongVTSX!$K$3:$K$1500,$Q157),IF($R157=$S$7,INDEX(TongVTSX!$H$3:$H$1500,$Q157),IF($R157=$S$2,SUMPRODUCT((TongVTSX!$C$3:$C$1500=$D157)*(TongVTSX!$E$3:$E$1500=$F157)*(TongVTSX!$K$3:$K$1500))/$U157,SUMPRODUCT((TongVTSX!$C$3:$C$1500=$D157)*(TongVTSX!$E$3:$E$1500=$F157)*(TongVTSX!$K$3:$K$1500)))))</f>
        <v>0</v>
      </c>
      <c r="N157" s="92">
        <f ca="1">IF($Q157="",0, IF($R157=$S$7,$F157*$M157*$K157,IF($R157=$S$2,$M157*$K157,    IF($M157*$K157 - SUMPRODUCT((TongVTSX!$C$3:$C$1500=$D157)*(TongVTSX!$E$3:$E$1500=$F157)*(TongVTSX!$O$3:$O$1500)) &lt;=10,$M157*$K157,"PO &lt;&gt; TongVTSX"))))</f>
        <v>0</v>
      </c>
      <c r="O157" s="92">
        <f t="shared" ca="1" si="6"/>
        <v>0</v>
      </c>
      <c r="P157" s="1146" t="str">
        <f ca="1">IFERROR(INDEX(NVLSX!$AA$2:$AA$6756,MATCH($D157,NVLSX!$E$2:$E$6756,0)),"")</f>
        <v/>
      </c>
      <c r="Q157" s="742" t="str">
        <f ca="1">IF($R157="","",IF($R157&lt;&gt;$R156,IF(TYPE(MATCH($R157,TongVTSX!$T$3:$T$1500,0))=16,"",MATCH($R157,TongVTSX!$T$3:$T$1500,0)),IF(TYPE(MATCH($R157,OFFSET(TongVTSX!$T$3,$Q156,0):'TongVTSX'!$T$1500,0)+$Q156)=16,"",MATCH($R157,OFFSET(TongVTSX!$T$3,$Q156,0):'TongVTSX'!$T$1500,0)+$Q156)))</f>
        <v/>
      </c>
      <c r="R157" s="179" t="str">
        <f ca="1">IFERROR(IF(COUNTIF($R$3:R156,R156)&lt; INDEX($T$1:$T$7,MATCH($R156,$S$1:$S$7,0)),$R156,INDEX($S$1:$S$7,MATCH($R156,$S$1:$S$7,0)+1)),"")</f>
        <v/>
      </c>
      <c r="S157" s="181"/>
      <c r="T157" s="182"/>
      <c r="U157" s="184" t="str">
        <f ca="1">IF($R157="PR",INDEX(NVLSX!$U$2:$U$6941,MATCH($D157,NVLSX!$E$2:$E$6941,0)),"")</f>
        <v/>
      </c>
      <c r="V157" s="184" t="str">
        <f ca="1">IF($R157="PR",INDEX(NVLSX!$S$2:$S$6941,MATCH($D157,NVLSX!$E$2:$E$6941,0))*1000,"")</f>
        <v/>
      </c>
      <c r="W157" s="776" t="str">
        <f ca="1">IF($R157="PR",INDEX(NVLSX!$S$2:$S$6941,MATCH($D157,NVLSX!$E$2:$E$6941,0))*INDEX(NVLSX!$T$2:$T$6941,MATCH($D157,NVLSX!$E$2:$E$6941,0)),"")</f>
        <v/>
      </c>
      <c r="X157" s="776">
        <f t="shared" ca="1" si="7"/>
        <v>0</v>
      </c>
      <c r="Y157" s="982" t="str">
        <f ca="1">IFERROR(INDEX(NVLSX!$X$2:$X$4655,MATCH($D157,NVLSX!$E$2:$E$4655,0)),"")</f>
        <v/>
      </c>
    </row>
    <row r="158" spans="1:25">
      <c r="A158" s="19" t="str">
        <f ca="1">IF($Q158="","",MAX($A$2:A157)+1)</f>
        <v/>
      </c>
      <c r="B158" s="1146" t="str">
        <f ca="1">IFERROR(INDEX(NVLSX!$Y$2:$Y$6756,MATCH($D158,NVLSX!$E$2:$E$6756,0)),"")</f>
        <v/>
      </c>
      <c r="C158" s="1146" t="str">
        <f ca="1">IFERROR(INDEX(NVLSX!$Z$2:$Z$6756,MATCH($D158,NVLSX!$E$2:$E$6756,0)),"")</f>
        <v/>
      </c>
      <c r="D158" s="23" t="str">
        <f ca="1">IF($Q158="","",INDEX(TongVTSX!C$3:C$1500,$Q158))</f>
        <v/>
      </c>
      <c r="E158" s="729" t="str">
        <f ca="1">IF($Q158="","",INDEX(TongVTSX!D$3:D$1500,$Q158) &amp; IF(OR($R158=$S$1,$R158=$S$7)," (" &amp; INDEX(TongVTSX!A$3:A$1500,$Q158) &amp; ")",""))</f>
        <v/>
      </c>
      <c r="F158" s="745" t="str">
        <f ca="1">IF($Q158="","",IF($R158=$S$7,INDEX(TongVTSX!$G$3:$G$1500,$Q158),INDEX(TongVTSX!$E$3:$E$1500,$Q158)))</f>
        <v/>
      </c>
      <c r="G158" s="24" t="str">
        <f ca="1">IF($Q158="","",IF($R158=$S$1,"mm",IF($R158=$S$2,"Thanh",INDEX(TongVTSX!F$3:F$1500,$Q158))))</f>
        <v/>
      </c>
      <c r="H158" s="114">
        <f ca="1">IF($R158=$S$1,INDEX(TongVTSX!$K$3:$K$1500,$Q158),IF($R158=$S$7,INDEX(TongVTSX!$H$3:$H$1500,$Q158),IF($R158=$S$2,ROUNDUP(SUMPRODUCT((TongVTSX!$C$3:$C$1500=$D158)*(TongVTSX!$E$3:$E$1500=$F158)*(TongVTSX!$K$3:$K$1500))/$U158,0),SUMPRODUCT((TongVTSX!$C$3:$C$1500=$D158)*(TongVTSX!$E$3:$E$1500=$F158)*(TongVTSX!$K$3:$K$1500)))))</f>
        <v>0</v>
      </c>
      <c r="I158" s="114"/>
      <c r="J158" s="114"/>
      <c r="K158" s="114" t="str">
        <f ca="1">IF($Q158="","",IF($R158=$S$2,INDEX(TongVTSX!M$3:M$1500,$Q158)*$U158,   INDEX(TongVTSX!M$3:M$1500,$Q158)))</f>
        <v/>
      </c>
      <c r="L158" s="92">
        <f ca="1">IF($Q158="",0, IF($R158=$S$7,$F158*$H158*$K158,IF($R158=$S$2,$H158*$K158,    IF($H158*$K158 - SUMPRODUCT((TongVTSX!$C$3:$C$1500=$D158)*(TongVTSX!$E$3:$E$1500=$F158)*(TongVTSX!$O$3:$O$1500)) &lt;=10,$H158*$K158,"PO &lt;&gt; TongVTSX"))))</f>
        <v>0</v>
      </c>
      <c r="M158" s="114">
        <f ca="1">IF($R158=$S$1,INDEX(TongVTSX!$K$3:$K$1500,$Q158),IF($R158=$S$7,INDEX(TongVTSX!$H$3:$H$1500,$Q158),IF($R158=$S$2,SUMPRODUCT((TongVTSX!$C$3:$C$1500=$D158)*(TongVTSX!$E$3:$E$1500=$F158)*(TongVTSX!$K$3:$K$1500))/$U158,SUMPRODUCT((TongVTSX!$C$3:$C$1500=$D158)*(TongVTSX!$E$3:$E$1500=$F158)*(TongVTSX!$K$3:$K$1500)))))</f>
        <v>0</v>
      </c>
      <c r="N158" s="92">
        <f ca="1">IF($Q158="",0, IF($R158=$S$7,$F158*$M158*$K158,IF($R158=$S$2,$M158*$K158,    IF($M158*$K158 - SUMPRODUCT((TongVTSX!$C$3:$C$1500=$D158)*(TongVTSX!$E$3:$E$1500=$F158)*(TongVTSX!$O$3:$O$1500)) &lt;=10,$M158*$K158,"PO &lt;&gt; TongVTSX"))))</f>
        <v>0</v>
      </c>
      <c r="O158" s="92">
        <f t="shared" ca="1" si="6"/>
        <v>0</v>
      </c>
      <c r="P158" s="1146" t="str">
        <f ca="1">IFERROR(INDEX(NVLSX!$AA$2:$AA$6756,MATCH($D158,NVLSX!$E$2:$E$6756,0)),"")</f>
        <v/>
      </c>
      <c r="Q158" s="742" t="str">
        <f ca="1">IF($R158="","",IF($R158&lt;&gt;$R157,IF(TYPE(MATCH($R158,TongVTSX!$T$3:$T$1500,0))=16,"",MATCH($R158,TongVTSX!$T$3:$T$1500,0)),IF(TYPE(MATCH($R158,OFFSET(TongVTSX!$T$3,$Q157,0):'TongVTSX'!$T$1500,0)+$Q157)=16,"",MATCH($R158,OFFSET(TongVTSX!$T$3,$Q157,0):'TongVTSX'!$T$1500,0)+$Q157)))</f>
        <v/>
      </c>
      <c r="R158" s="179" t="str">
        <f ca="1">IFERROR(IF(COUNTIF($R$3:R157,R157)&lt; INDEX($T$1:$T$7,MATCH($R157,$S$1:$S$7,0)),$R157,INDEX($S$1:$S$7,MATCH($R157,$S$1:$S$7,0)+1)),"")</f>
        <v/>
      </c>
      <c r="S158" s="181"/>
      <c r="T158" s="182"/>
      <c r="U158" s="184" t="str">
        <f ca="1">IF($R158="PR",INDEX(NVLSX!$U$2:$U$6941,MATCH($D158,NVLSX!$E$2:$E$6941,0)),"")</f>
        <v/>
      </c>
      <c r="V158" s="184" t="str">
        <f ca="1">IF($R158="PR",INDEX(NVLSX!$S$2:$S$6941,MATCH($D158,NVLSX!$E$2:$E$6941,0))*1000,"")</f>
        <v/>
      </c>
      <c r="W158" s="776" t="str">
        <f ca="1">IF($R158="PR",INDEX(NVLSX!$S$2:$S$6941,MATCH($D158,NVLSX!$E$2:$E$6941,0))*INDEX(NVLSX!$T$2:$T$6941,MATCH($D158,NVLSX!$E$2:$E$6941,0)),"")</f>
        <v/>
      </c>
      <c r="X158" s="776">
        <f t="shared" ca="1" si="7"/>
        <v>0</v>
      </c>
      <c r="Y158" s="982" t="str">
        <f ca="1">IFERROR(INDEX(NVLSX!$X$2:$X$4655,MATCH($D158,NVLSX!$E$2:$E$4655,0)),"")</f>
        <v/>
      </c>
    </row>
    <row r="159" spans="1:25">
      <c r="A159" s="19" t="str">
        <f ca="1">IF($Q159="","",MAX($A$2:A158)+1)</f>
        <v/>
      </c>
      <c r="B159" s="1146" t="str">
        <f ca="1">IFERROR(INDEX(NVLSX!$Y$2:$Y$6756,MATCH($D159,NVLSX!$E$2:$E$6756,0)),"")</f>
        <v/>
      </c>
      <c r="C159" s="1146" t="str">
        <f ca="1">IFERROR(INDEX(NVLSX!$Z$2:$Z$6756,MATCH($D159,NVLSX!$E$2:$E$6756,0)),"")</f>
        <v/>
      </c>
      <c r="D159" s="23" t="str">
        <f ca="1">IF($Q159="","",INDEX(TongVTSX!C$3:C$1500,$Q159))</f>
        <v/>
      </c>
      <c r="E159" s="729" t="str">
        <f ca="1">IF($Q159="","",INDEX(TongVTSX!D$3:D$1500,$Q159) &amp; IF(OR($R159=$S$1,$R159=$S$7)," (" &amp; INDEX(TongVTSX!A$3:A$1500,$Q159) &amp; ")",""))</f>
        <v/>
      </c>
      <c r="F159" s="745" t="str">
        <f ca="1">IF($Q159="","",IF($R159=$S$7,INDEX(TongVTSX!$G$3:$G$1500,$Q159),INDEX(TongVTSX!$E$3:$E$1500,$Q159)))</f>
        <v/>
      </c>
      <c r="G159" s="24" t="str">
        <f ca="1">IF($Q159="","",IF($R159=$S$1,"mm",IF($R159=$S$2,"Thanh",INDEX(TongVTSX!F$3:F$1500,$Q159))))</f>
        <v/>
      </c>
      <c r="H159" s="114">
        <f ca="1">IF($R159=$S$1,INDEX(TongVTSX!$K$3:$K$1500,$Q159),IF($R159=$S$7,INDEX(TongVTSX!$H$3:$H$1500,$Q159),IF($R159=$S$2,ROUNDUP(SUMPRODUCT((TongVTSX!$C$3:$C$1500=$D159)*(TongVTSX!$E$3:$E$1500=$F159)*(TongVTSX!$K$3:$K$1500))/$U159,0),SUMPRODUCT((TongVTSX!$C$3:$C$1500=$D159)*(TongVTSX!$E$3:$E$1500=$F159)*(TongVTSX!$K$3:$K$1500)))))</f>
        <v>0</v>
      </c>
      <c r="I159" s="114"/>
      <c r="J159" s="114"/>
      <c r="K159" s="114" t="str">
        <f ca="1">IF($Q159="","",IF($R159=$S$2,INDEX(TongVTSX!M$3:M$1500,$Q159)*$U159,   INDEX(TongVTSX!M$3:M$1500,$Q159)))</f>
        <v/>
      </c>
      <c r="L159" s="92">
        <f ca="1">IF($Q159="",0, IF($R159=$S$7,$F159*$H159*$K159,IF($R159=$S$2,$H159*$K159,    IF($H159*$K159 - SUMPRODUCT((TongVTSX!$C$3:$C$1500=$D159)*(TongVTSX!$E$3:$E$1500=$F159)*(TongVTSX!$O$3:$O$1500)) &lt;=10,$H159*$K159,"PO &lt;&gt; TongVTSX"))))</f>
        <v>0</v>
      </c>
      <c r="M159" s="114">
        <f ca="1">IF($R159=$S$1,INDEX(TongVTSX!$K$3:$K$1500,$Q159),IF($R159=$S$7,INDEX(TongVTSX!$H$3:$H$1500,$Q159),IF($R159=$S$2,SUMPRODUCT((TongVTSX!$C$3:$C$1500=$D159)*(TongVTSX!$E$3:$E$1500=$F159)*(TongVTSX!$K$3:$K$1500))/$U159,SUMPRODUCT((TongVTSX!$C$3:$C$1500=$D159)*(TongVTSX!$E$3:$E$1500=$F159)*(TongVTSX!$K$3:$K$1500)))))</f>
        <v>0</v>
      </c>
      <c r="N159" s="92">
        <f ca="1">IF($Q159="",0, IF($R159=$S$7,$F159*$M159*$K159,IF($R159=$S$2,$M159*$K159,    IF($M159*$K159 - SUMPRODUCT((TongVTSX!$C$3:$C$1500=$D159)*(TongVTSX!$E$3:$E$1500=$F159)*(TongVTSX!$O$3:$O$1500)) &lt;=10,$M159*$K159,"PO &lt;&gt; TongVTSX"))))</f>
        <v>0</v>
      </c>
      <c r="O159" s="92">
        <f t="shared" ca="1" si="6"/>
        <v>0</v>
      </c>
      <c r="P159" s="1146" t="str">
        <f ca="1">IFERROR(INDEX(NVLSX!$AA$2:$AA$6756,MATCH($D159,NVLSX!$E$2:$E$6756,0)),"")</f>
        <v/>
      </c>
      <c r="Q159" s="742" t="str">
        <f ca="1">IF($R159="","",IF($R159&lt;&gt;$R158,IF(TYPE(MATCH($R159,TongVTSX!$T$3:$T$1500,0))=16,"",MATCH($R159,TongVTSX!$T$3:$T$1500,0)),IF(TYPE(MATCH($R159,OFFSET(TongVTSX!$T$3,$Q158,0):'TongVTSX'!$T$1500,0)+$Q158)=16,"",MATCH($R159,OFFSET(TongVTSX!$T$3,$Q158,0):'TongVTSX'!$T$1500,0)+$Q158)))</f>
        <v/>
      </c>
      <c r="R159" s="179" t="str">
        <f ca="1">IFERROR(IF(COUNTIF($R$3:R158,R158)&lt; INDEX($T$1:$T$7,MATCH($R158,$S$1:$S$7,0)),$R158,INDEX($S$1:$S$7,MATCH($R158,$S$1:$S$7,0)+1)),"")</f>
        <v/>
      </c>
      <c r="S159" s="181"/>
      <c r="T159" s="182"/>
      <c r="U159" s="184" t="str">
        <f ca="1">IF($R159="PR",INDEX(NVLSX!$U$2:$U$6941,MATCH($D159,NVLSX!$E$2:$E$6941,0)),"")</f>
        <v/>
      </c>
      <c r="V159" s="184" t="str">
        <f ca="1">IF($R159="PR",INDEX(NVLSX!$S$2:$S$6941,MATCH($D159,NVLSX!$E$2:$E$6941,0))*1000,"")</f>
        <v/>
      </c>
      <c r="W159" s="776" t="str">
        <f ca="1">IF($R159="PR",INDEX(NVLSX!$S$2:$S$6941,MATCH($D159,NVLSX!$E$2:$E$6941,0))*INDEX(NVLSX!$T$2:$T$6941,MATCH($D159,NVLSX!$E$2:$E$6941,0)),"")</f>
        <v/>
      </c>
      <c r="X159" s="776">
        <f t="shared" ca="1" si="7"/>
        <v>0</v>
      </c>
      <c r="Y159" s="982" t="str">
        <f ca="1">IFERROR(INDEX(NVLSX!$X$2:$X$4655,MATCH($D159,NVLSX!$E$2:$E$4655,0)),"")</f>
        <v/>
      </c>
    </row>
    <row r="160" spans="1:25">
      <c r="A160" s="19" t="str">
        <f ca="1">IF($Q160="","",MAX($A$2:A159)+1)</f>
        <v/>
      </c>
      <c r="B160" s="1146" t="str">
        <f ca="1">IFERROR(INDEX(NVLSX!$Y$2:$Y$6756,MATCH($D160,NVLSX!$E$2:$E$6756,0)),"")</f>
        <v/>
      </c>
      <c r="C160" s="1146" t="str">
        <f ca="1">IFERROR(INDEX(NVLSX!$Z$2:$Z$6756,MATCH($D160,NVLSX!$E$2:$E$6756,0)),"")</f>
        <v/>
      </c>
      <c r="D160" s="23" t="str">
        <f ca="1">IF($Q160="","",INDEX(TongVTSX!C$3:C$1500,$Q160))</f>
        <v/>
      </c>
      <c r="E160" s="729" t="str">
        <f ca="1">IF($Q160="","",INDEX(TongVTSX!D$3:D$1500,$Q160) &amp; IF(OR($R160=$S$1,$R160=$S$7)," (" &amp; INDEX(TongVTSX!A$3:A$1500,$Q160) &amp; ")",""))</f>
        <v/>
      </c>
      <c r="F160" s="745" t="str">
        <f ca="1">IF($Q160="","",IF($R160=$S$7,INDEX(TongVTSX!$G$3:$G$1500,$Q160),INDEX(TongVTSX!$E$3:$E$1500,$Q160)))</f>
        <v/>
      </c>
      <c r="G160" s="24" t="str">
        <f ca="1">IF($Q160="","",IF($R160=$S$1,"mm",IF($R160=$S$2,"Thanh",INDEX(TongVTSX!F$3:F$1500,$Q160))))</f>
        <v/>
      </c>
      <c r="H160" s="114">
        <f ca="1">IF($R160=$S$1,INDEX(TongVTSX!$K$3:$K$1500,$Q160),IF($R160=$S$7,INDEX(TongVTSX!$H$3:$H$1500,$Q160),IF($R160=$S$2,ROUNDUP(SUMPRODUCT((TongVTSX!$C$3:$C$1500=$D160)*(TongVTSX!$E$3:$E$1500=$F160)*(TongVTSX!$K$3:$K$1500))/$U160,0),SUMPRODUCT((TongVTSX!$C$3:$C$1500=$D160)*(TongVTSX!$E$3:$E$1500=$F160)*(TongVTSX!$K$3:$K$1500)))))</f>
        <v>0</v>
      </c>
      <c r="I160" s="114"/>
      <c r="J160" s="114"/>
      <c r="K160" s="114" t="str">
        <f ca="1">IF($Q160="","",IF($R160=$S$2,INDEX(TongVTSX!M$3:M$1500,$Q160)*$U160,   INDEX(TongVTSX!M$3:M$1500,$Q160)))</f>
        <v/>
      </c>
      <c r="L160" s="92">
        <f ca="1">IF($Q160="",0, IF($R160=$S$7,$F160*$H160*$K160,IF($R160=$S$2,$H160*$K160,    IF($H160*$K160 - SUMPRODUCT((TongVTSX!$C$3:$C$1500=$D160)*(TongVTSX!$E$3:$E$1500=$F160)*(TongVTSX!$O$3:$O$1500)) &lt;=10,$H160*$K160,"PO &lt;&gt; TongVTSX"))))</f>
        <v>0</v>
      </c>
      <c r="M160" s="114">
        <f ca="1">IF($R160=$S$1,INDEX(TongVTSX!$K$3:$K$1500,$Q160),IF($R160=$S$7,INDEX(TongVTSX!$H$3:$H$1500,$Q160),IF($R160=$S$2,SUMPRODUCT((TongVTSX!$C$3:$C$1500=$D160)*(TongVTSX!$E$3:$E$1500=$F160)*(TongVTSX!$K$3:$K$1500))/$U160,SUMPRODUCT((TongVTSX!$C$3:$C$1500=$D160)*(TongVTSX!$E$3:$E$1500=$F160)*(TongVTSX!$K$3:$K$1500)))))</f>
        <v>0</v>
      </c>
      <c r="N160" s="92">
        <f ca="1">IF($Q160="",0, IF($R160=$S$7,$F160*$M160*$K160,IF($R160=$S$2,$M160*$K160,    IF($M160*$K160 - SUMPRODUCT((TongVTSX!$C$3:$C$1500=$D160)*(TongVTSX!$E$3:$E$1500=$F160)*(TongVTSX!$O$3:$O$1500)) &lt;=10,$M160*$K160,"PO &lt;&gt; TongVTSX"))))</f>
        <v>0</v>
      </c>
      <c r="O160" s="92">
        <f t="shared" ca="1" si="6"/>
        <v>0</v>
      </c>
      <c r="P160" s="1146" t="str">
        <f ca="1">IFERROR(INDEX(NVLSX!$AA$2:$AA$6756,MATCH($D160,NVLSX!$E$2:$E$6756,0)),"")</f>
        <v/>
      </c>
      <c r="Q160" s="742" t="str">
        <f ca="1">IF($R160="","",IF($R160&lt;&gt;$R159,IF(TYPE(MATCH($R160,TongVTSX!$T$3:$T$1500,0))=16,"",MATCH($R160,TongVTSX!$T$3:$T$1500,0)),IF(TYPE(MATCH($R160,OFFSET(TongVTSX!$T$3,$Q159,0):'TongVTSX'!$T$1500,0)+$Q159)=16,"",MATCH($R160,OFFSET(TongVTSX!$T$3,$Q159,0):'TongVTSX'!$T$1500,0)+$Q159)))</f>
        <v/>
      </c>
      <c r="R160" s="179" t="str">
        <f ca="1">IFERROR(IF(COUNTIF($R$3:R159,R159)&lt; INDEX($T$1:$T$7,MATCH($R159,$S$1:$S$7,0)),$R159,INDEX($S$1:$S$7,MATCH($R159,$S$1:$S$7,0)+1)),"")</f>
        <v/>
      </c>
      <c r="S160" s="181"/>
      <c r="T160" s="182"/>
      <c r="U160" s="184" t="str">
        <f ca="1">IF($R160="PR",INDEX(NVLSX!$U$2:$U$6941,MATCH($D160,NVLSX!$E$2:$E$6941,0)),"")</f>
        <v/>
      </c>
      <c r="V160" s="184" t="str">
        <f ca="1">IF($R160="PR",INDEX(NVLSX!$S$2:$S$6941,MATCH($D160,NVLSX!$E$2:$E$6941,0))*1000,"")</f>
        <v/>
      </c>
      <c r="W160" s="776" t="str">
        <f ca="1">IF($R160="PR",INDEX(NVLSX!$S$2:$S$6941,MATCH($D160,NVLSX!$E$2:$E$6941,0))*INDEX(NVLSX!$T$2:$T$6941,MATCH($D160,NVLSX!$E$2:$E$6941,0)),"")</f>
        <v/>
      </c>
      <c r="X160" s="776">
        <f t="shared" ca="1" si="7"/>
        <v>0</v>
      </c>
      <c r="Y160" s="982" t="str">
        <f ca="1">IFERROR(INDEX(NVLSX!$X$2:$X$4655,MATCH($D160,NVLSX!$E$2:$E$4655,0)),"")</f>
        <v/>
      </c>
    </row>
    <row r="161" spans="1:25">
      <c r="A161" s="19" t="str">
        <f ca="1">IF($Q161="","",MAX($A$2:A160)+1)</f>
        <v/>
      </c>
      <c r="B161" s="1146" t="str">
        <f ca="1">IFERROR(INDEX(NVLSX!$Y$2:$Y$6756,MATCH($D161,NVLSX!$E$2:$E$6756,0)),"")</f>
        <v/>
      </c>
      <c r="C161" s="1146" t="str">
        <f ca="1">IFERROR(INDEX(NVLSX!$Z$2:$Z$6756,MATCH($D161,NVLSX!$E$2:$E$6756,0)),"")</f>
        <v/>
      </c>
      <c r="D161" s="23" t="str">
        <f ca="1">IF($Q161="","",INDEX(TongVTSX!C$3:C$1500,$Q161))</f>
        <v/>
      </c>
      <c r="E161" s="729" t="str">
        <f ca="1">IF($Q161="","",INDEX(TongVTSX!D$3:D$1500,$Q161) &amp; IF(OR($R161=$S$1,$R161=$S$7)," (" &amp; INDEX(TongVTSX!A$3:A$1500,$Q161) &amp; ")",""))</f>
        <v/>
      </c>
      <c r="F161" s="745" t="str">
        <f ca="1">IF($Q161="","",IF($R161=$S$7,INDEX(TongVTSX!$G$3:$G$1500,$Q161),INDEX(TongVTSX!$E$3:$E$1500,$Q161)))</f>
        <v/>
      </c>
      <c r="G161" s="24" t="str">
        <f ca="1">IF($Q161="","",IF($R161=$S$1,"mm",IF($R161=$S$2,"Thanh",INDEX(TongVTSX!F$3:F$1500,$Q161))))</f>
        <v/>
      </c>
      <c r="H161" s="114">
        <f ca="1">IF($R161=$S$1,INDEX(TongVTSX!$K$3:$K$1500,$Q161),IF($R161=$S$7,INDEX(TongVTSX!$H$3:$H$1500,$Q161),IF($R161=$S$2,ROUNDUP(SUMPRODUCT((TongVTSX!$C$3:$C$1500=$D161)*(TongVTSX!$E$3:$E$1500=$F161)*(TongVTSX!$K$3:$K$1500))/$U161,0),SUMPRODUCT((TongVTSX!$C$3:$C$1500=$D161)*(TongVTSX!$E$3:$E$1500=$F161)*(TongVTSX!$K$3:$K$1500)))))</f>
        <v>0</v>
      </c>
      <c r="I161" s="114"/>
      <c r="J161" s="114"/>
      <c r="K161" s="114" t="str">
        <f ca="1">IF($Q161="","",IF($R161=$S$2,INDEX(TongVTSX!M$3:M$1500,$Q161)*$U161,   INDEX(TongVTSX!M$3:M$1500,$Q161)))</f>
        <v/>
      </c>
      <c r="L161" s="92">
        <f ca="1">IF($Q161="",0, IF($R161=$S$7,$F161*$H161*$K161,IF($R161=$S$2,$H161*$K161,    IF($H161*$K161 - SUMPRODUCT((TongVTSX!$C$3:$C$1500=$D161)*(TongVTSX!$E$3:$E$1500=$F161)*(TongVTSX!$O$3:$O$1500)) &lt;=10,$H161*$K161,"PO &lt;&gt; TongVTSX"))))</f>
        <v>0</v>
      </c>
      <c r="M161" s="114">
        <f ca="1">IF($R161=$S$1,INDEX(TongVTSX!$K$3:$K$1500,$Q161),IF($R161=$S$7,INDEX(TongVTSX!$H$3:$H$1500,$Q161),IF($R161=$S$2,SUMPRODUCT((TongVTSX!$C$3:$C$1500=$D161)*(TongVTSX!$E$3:$E$1500=$F161)*(TongVTSX!$K$3:$K$1500))/$U161,SUMPRODUCT((TongVTSX!$C$3:$C$1500=$D161)*(TongVTSX!$E$3:$E$1500=$F161)*(TongVTSX!$K$3:$K$1500)))))</f>
        <v>0</v>
      </c>
      <c r="N161" s="92">
        <f ca="1">IF($Q161="",0, IF($R161=$S$7,$F161*$M161*$K161,IF($R161=$S$2,$M161*$K161,    IF($M161*$K161 - SUMPRODUCT((TongVTSX!$C$3:$C$1500=$D161)*(TongVTSX!$E$3:$E$1500=$F161)*(TongVTSX!$O$3:$O$1500)) &lt;=10,$M161*$K161,"PO &lt;&gt; TongVTSX"))))</f>
        <v>0</v>
      </c>
      <c r="O161" s="92">
        <f t="shared" ca="1" si="6"/>
        <v>0</v>
      </c>
      <c r="P161" s="1146" t="str">
        <f ca="1">IFERROR(INDEX(NVLSX!$AA$2:$AA$6756,MATCH($D161,NVLSX!$E$2:$E$6756,0)),"")</f>
        <v/>
      </c>
      <c r="Q161" s="742" t="str">
        <f ca="1">IF($R161="","",IF($R161&lt;&gt;$R160,IF(TYPE(MATCH($R161,TongVTSX!$T$3:$T$1500,0))=16,"",MATCH($R161,TongVTSX!$T$3:$T$1500,0)),IF(TYPE(MATCH($R161,OFFSET(TongVTSX!$T$3,$Q160,0):'TongVTSX'!$T$1500,0)+$Q160)=16,"",MATCH($R161,OFFSET(TongVTSX!$T$3,$Q160,0):'TongVTSX'!$T$1500,0)+$Q160)))</f>
        <v/>
      </c>
      <c r="R161" s="179" t="str">
        <f ca="1">IFERROR(IF(COUNTIF($R$3:R160,R160)&lt; INDEX($T$1:$T$7,MATCH($R160,$S$1:$S$7,0)),$R160,INDEX($S$1:$S$7,MATCH($R160,$S$1:$S$7,0)+1)),"")</f>
        <v/>
      </c>
      <c r="S161" s="181"/>
      <c r="T161" s="182"/>
      <c r="U161" s="184" t="str">
        <f ca="1">IF($R161="PR",INDEX(NVLSX!$U$2:$U$6941,MATCH($D161,NVLSX!$E$2:$E$6941,0)),"")</f>
        <v/>
      </c>
      <c r="V161" s="184" t="str">
        <f ca="1">IF($R161="PR",INDEX(NVLSX!$S$2:$S$6941,MATCH($D161,NVLSX!$E$2:$E$6941,0))*1000,"")</f>
        <v/>
      </c>
      <c r="W161" s="776" t="str">
        <f ca="1">IF($R161="PR",INDEX(NVLSX!$S$2:$S$6941,MATCH($D161,NVLSX!$E$2:$E$6941,0))*INDEX(NVLSX!$T$2:$T$6941,MATCH($D161,NVLSX!$E$2:$E$6941,0)),"")</f>
        <v/>
      </c>
      <c r="X161" s="776">
        <f t="shared" ca="1" si="7"/>
        <v>0</v>
      </c>
      <c r="Y161" s="982" t="str">
        <f ca="1">IFERROR(INDEX(NVLSX!$X$2:$X$4655,MATCH($D161,NVLSX!$E$2:$E$4655,0)),"")</f>
        <v/>
      </c>
    </row>
    <row r="162" spans="1:25">
      <c r="A162" s="19" t="str">
        <f ca="1">IF($Q162="","",MAX($A$2:A161)+1)</f>
        <v/>
      </c>
      <c r="B162" s="1146" t="str">
        <f ca="1">IFERROR(INDEX(NVLSX!$Y$2:$Y$6756,MATCH($D162,NVLSX!$E$2:$E$6756,0)),"")</f>
        <v/>
      </c>
      <c r="C162" s="1146" t="str">
        <f ca="1">IFERROR(INDEX(NVLSX!$Z$2:$Z$6756,MATCH($D162,NVLSX!$E$2:$E$6756,0)),"")</f>
        <v/>
      </c>
      <c r="D162" s="23" t="str">
        <f ca="1">IF($Q162="","",INDEX(TongVTSX!C$3:C$1500,$Q162))</f>
        <v/>
      </c>
      <c r="E162" s="729" t="str">
        <f ca="1">IF($Q162="","",INDEX(TongVTSX!D$3:D$1500,$Q162) &amp; IF(OR($R162=$S$1,$R162=$S$7)," (" &amp; INDEX(TongVTSX!A$3:A$1500,$Q162) &amp; ")",""))</f>
        <v/>
      </c>
      <c r="F162" s="745" t="str">
        <f ca="1">IF($Q162="","",IF($R162=$S$7,INDEX(TongVTSX!$G$3:$G$1500,$Q162),INDEX(TongVTSX!$E$3:$E$1500,$Q162)))</f>
        <v/>
      </c>
      <c r="G162" s="24" t="str">
        <f ca="1">IF($Q162="","",IF($R162=$S$1,"mm",IF($R162=$S$2,"Thanh",INDEX(TongVTSX!F$3:F$1500,$Q162))))</f>
        <v/>
      </c>
      <c r="H162" s="114">
        <f ca="1">IF($R162=$S$1,INDEX(TongVTSX!$K$3:$K$1500,$Q162),IF($R162=$S$7,INDEX(TongVTSX!$H$3:$H$1500,$Q162),IF($R162=$S$2,ROUNDUP(SUMPRODUCT((TongVTSX!$C$3:$C$1500=$D162)*(TongVTSX!$E$3:$E$1500=$F162)*(TongVTSX!$K$3:$K$1500))/$U162,0),SUMPRODUCT((TongVTSX!$C$3:$C$1500=$D162)*(TongVTSX!$E$3:$E$1500=$F162)*(TongVTSX!$K$3:$K$1500)))))</f>
        <v>0</v>
      </c>
      <c r="I162" s="114"/>
      <c r="J162" s="114"/>
      <c r="K162" s="114" t="str">
        <f ca="1">IF($Q162="","",IF($R162=$S$2,INDEX(TongVTSX!M$3:M$1500,$Q162)*$U162,   INDEX(TongVTSX!M$3:M$1500,$Q162)))</f>
        <v/>
      </c>
      <c r="L162" s="92">
        <f ca="1">IF($Q162="",0, IF($R162=$S$7,$F162*$H162*$K162,IF($R162=$S$2,$H162*$K162,    IF($H162*$K162 - SUMPRODUCT((TongVTSX!$C$3:$C$1500=$D162)*(TongVTSX!$E$3:$E$1500=$F162)*(TongVTSX!$O$3:$O$1500)) &lt;=10,$H162*$K162,"PO &lt;&gt; TongVTSX"))))</f>
        <v>0</v>
      </c>
      <c r="M162" s="114">
        <f ca="1">IF($R162=$S$1,INDEX(TongVTSX!$K$3:$K$1500,$Q162),IF($R162=$S$7,INDEX(TongVTSX!$H$3:$H$1500,$Q162),IF($R162=$S$2,SUMPRODUCT((TongVTSX!$C$3:$C$1500=$D162)*(TongVTSX!$E$3:$E$1500=$F162)*(TongVTSX!$K$3:$K$1500))/$U162,SUMPRODUCT((TongVTSX!$C$3:$C$1500=$D162)*(TongVTSX!$E$3:$E$1500=$F162)*(TongVTSX!$K$3:$K$1500)))))</f>
        <v>0</v>
      </c>
      <c r="N162" s="92">
        <f ca="1">IF($Q162="",0, IF($R162=$S$7,$F162*$M162*$K162,IF($R162=$S$2,$M162*$K162,    IF($M162*$K162 - SUMPRODUCT((TongVTSX!$C$3:$C$1500=$D162)*(TongVTSX!$E$3:$E$1500=$F162)*(TongVTSX!$O$3:$O$1500)) &lt;=10,$M162*$K162,"PO &lt;&gt; TongVTSX"))))</f>
        <v>0</v>
      </c>
      <c r="O162" s="92">
        <f t="shared" ca="1" si="6"/>
        <v>0</v>
      </c>
      <c r="P162" s="1146" t="str">
        <f ca="1">IFERROR(INDEX(NVLSX!$AA$2:$AA$6756,MATCH($D162,NVLSX!$E$2:$E$6756,0)),"")</f>
        <v/>
      </c>
      <c r="Q162" s="742" t="str">
        <f ca="1">IF($R162="","",IF($R162&lt;&gt;$R161,IF(TYPE(MATCH($R162,TongVTSX!$T$3:$T$1500,0))=16,"",MATCH($R162,TongVTSX!$T$3:$T$1500,0)),IF(TYPE(MATCH($R162,OFFSET(TongVTSX!$T$3,$Q161,0):'TongVTSX'!$T$1500,0)+$Q161)=16,"",MATCH($R162,OFFSET(TongVTSX!$T$3,$Q161,0):'TongVTSX'!$T$1500,0)+$Q161)))</f>
        <v/>
      </c>
      <c r="R162" s="179" t="str">
        <f ca="1">IFERROR(IF(COUNTIF($R$3:R161,R161)&lt; INDEX($T$1:$T$7,MATCH($R161,$S$1:$S$7,0)),$R161,INDEX($S$1:$S$7,MATCH($R161,$S$1:$S$7,0)+1)),"")</f>
        <v/>
      </c>
      <c r="S162" s="181"/>
      <c r="T162" s="182"/>
      <c r="U162" s="184" t="str">
        <f ca="1">IF($R162="PR",INDEX(NVLSX!$U$2:$U$6941,MATCH($D162,NVLSX!$E$2:$E$6941,0)),"")</f>
        <v/>
      </c>
      <c r="V162" s="184" t="str">
        <f ca="1">IF($R162="PR",INDEX(NVLSX!$S$2:$S$6941,MATCH($D162,NVLSX!$E$2:$E$6941,0))*1000,"")</f>
        <v/>
      </c>
      <c r="W162" s="776" t="str">
        <f ca="1">IF($R162="PR",INDEX(NVLSX!$S$2:$S$6941,MATCH($D162,NVLSX!$E$2:$E$6941,0))*INDEX(NVLSX!$T$2:$T$6941,MATCH($D162,NVLSX!$E$2:$E$6941,0)),"")</f>
        <v/>
      </c>
      <c r="X162" s="776">
        <f t="shared" ca="1" si="7"/>
        <v>0</v>
      </c>
      <c r="Y162" s="982" t="str">
        <f ca="1">IFERROR(INDEX(NVLSX!$X$2:$X$4655,MATCH($D162,NVLSX!$E$2:$E$4655,0)),"")</f>
        <v/>
      </c>
    </row>
    <row r="163" spans="1:25">
      <c r="A163" s="19" t="str">
        <f ca="1">IF($Q163="","",MAX($A$2:A162)+1)</f>
        <v/>
      </c>
      <c r="B163" s="1146" t="str">
        <f ca="1">IFERROR(INDEX(NVLSX!$Y$2:$Y$6756,MATCH($D163,NVLSX!$E$2:$E$6756,0)),"")</f>
        <v/>
      </c>
      <c r="C163" s="1146" t="str">
        <f ca="1">IFERROR(INDEX(NVLSX!$Z$2:$Z$6756,MATCH($D163,NVLSX!$E$2:$E$6756,0)),"")</f>
        <v/>
      </c>
      <c r="D163" s="23" t="str">
        <f ca="1">IF($Q163="","",INDEX(TongVTSX!C$3:C$1500,$Q163))</f>
        <v/>
      </c>
      <c r="E163" s="729" t="str">
        <f ca="1">IF($Q163="","",INDEX(TongVTSX!D$3:D$1500,$Q163) &amp; IF(OR($R163=$S$1,$R163=$S$7)," (" &amp; INDEX(TongVTSX!A$3:A$1500,$Q163) &amp; ")",""))</f>
        <v/>
      </c>
      <c r="F163" s="745" t="str">
        <f ca="1">IF($Q163="","",IF($R163=$S$7,INDEX(TongVTSX!$G$3:$G$1500,$Q163),INDEX(TongVTSX!$E$3:$E$1500,$Q163)))</f>
        <v/>
      </c>
      <c r="G163" s="24" t="str">
        <f ca="1">IF($Q163="","",IF($R163=$S$1,"mm",IF($R163=$S$2,"Thanh",INDEX(TongVTSX!F$3:F$1500,$Q163))))</f>
        <v/>
      </c>
      <c r="H163" s="114">
        <f ca="1">IF($R163=$S$1,INDEX(TongVTSX!$K$3:$K$1500,$Q163),IF($R163=$S$7,INDEX(TongVTSX!$H$3:$H$1500,$Q163),IF($R163=$S$2,ROUNDUP(SUMPRODUCT((TongVTSX!$C$3:$C$1500=$D163)*(TongVTSX!$E$3:$E$1500=$F163)*(TongVTSX!$K$3:$K$1500))/$U163,0),SUMPRODUCT((TongVTSX!$C$3:$C$1500=$D163)*(TongVTSX!$E$3:$E$1500=$F163)*(TongVTSX!$K$3:$K$1500)))))</f>
        <v>0</v>
      </c>
      <c r="I163" s="114"/>
      <c r="J163" s="114"/>
      <c r="K163" s="114" t="str">
        <f ca="1">IF($Q163="","",IF($R163=$S$2,INDEX(TongVTSX!M$3:M$1500,$Q163)*$U163,   INDEX(TongVTSX!M$3:M$1500,$Q163)))</f>
        <v/>
      </c>
      <c r="L163" s="92">
        <f ca="1">IF($Q163="",0, IF($R163=$S$7,$F163*$H163*$K163,IF($R163=$S$2,$H163*$K163,    IF($H163*$K163 - SUMPRODUCT((TongVTSX!$C$3:$C$1500=$D163)*(TongVTSX!$E$3:$E$1500=$F163)*(TongVTSX!$O$3:$O$1500)) &lt;=10,$H163*$K163,"PO &lt;&gt; TongVTSX"))))</f>
        <v>0</v>
      </c>
      <c r="M163" s="114">
        <f ca="1">IF($R163=$S$1,INDEX(TongVTSX!$K$3:$K$1500,$Q163),IF($R163=$S$7,INDEX(TongVTSX!$H$3:$H$1500,$Q163),IF($R163=$S$2,SUMPRODUCT((TongVTSX!$C$3:$C$1500=$D163)*(TongVTSX!$E$3:$E$1500=$F163)*(TongVTSX!$K$3:$K$1500))/$U163,SUMPRODUCT((TongVTSX!$C$3:$C$1500=$D163)*(TongVTSX!$E$3:$E$1500=$F163)*(TongVTSX!$K$3:$K$1500)))))</f>
        <v>0</v>
      </c>
      <c r="N163" s="92">
        <f ca="1">IF($Q163="",0, IF($R163=$S$7,$F163*$M163*$K163,IF($R163=$S$2,$M163*$K163,    IF($M163*$K163 - SUMPRODUCT((TongVTSX!$C$3:$C$1500=$D163)*(TongVTSX!$E$3:$E$1500=$F163)*(TongVTSX!$O$3:$O$1500)) &lt;=10,$M163*$K163,"PO &lt;&gt; TongVTSX"))))</f>
        <v>0</v>
      </c>
      <c r="O163" s="92">
        <f t="shared" ref="O163:O194" ca="1" si="8">+L163-N163</f>
        <v>0</v>
      </c>
      <c r="P163" s="1146" t="str">
        <f ca="1">IFERROR(INDEX(NVLSX!$AA$2:$AA$6756,MATCH($D163,NVLSX!$E$2:$E$6756,0)),"")</f>
        <v/>
      </c>
      <c r="Q163" s="742" t="str">
        <f ca="1">IF($R163="","",IF($R163&lt;&gt;$R162,IF(TYPE(MATCH($R163,TongVTSX!$T$3:$T$1500,0))=16,"",MATCH($R163,TongVTSX!$T$3:$T$1500,0)),IF(TYPE(MATCH($R163,OFFSET(TongVTSX!$T$3,$Q162,0):'TongVTSX'!$T$1500,0)+$Q162)=16,"",MATCH($R163,OFFSET(TongVTSX!$T$3,$Q162,0):'TongVTSX'!$T$1500,0)+$Q162)))</f>
        <v/>
      </c>
      <c r="R163" s="179" t="str">
        <f ca="1">IFERROR(IF(COUNTIF($R$3:R162,R162)&lt; INDEX($T$1:$T$7,MATCH($R162,$S$1:$S$7,0)),$R162,INDEX($S$1:$S$7,MATCH($R162,$S$1:$S$7,0)+1)),"")</f>
        <v/>
      </c>
      <c r="S163" s="181"/>
      <c r="T163" s="182"/>
      <c r="U163" s="184" t="str">
        <f ca="1">IF($R163="PR",INDEX(NVLSX!$U$2:$U$6941,MATCH($D163,NVLSX!$E$2:$E$6941,0)),"")</f>
        <v/>
      </c>
      <c r="V163" s="184" t="str">
        <f ca="1">IF($R163="PR",INDEX(NVLSX!$S$2:$S$6941,MATCH($D163,NVLSX!$E$2:$E$6941,0))*1000,"")</f>
        <v/>
      </c>
      <c r="W163" s="776" t="str">
        <f ca="1">IF($R163="PR",INDEX(NVLSX!$S$2:$S$6941,MATCH($D163,NVLSX!$E$2:$E$6941,0))*INDEX(NVLSX!$T$2:$T$6941,MATCH($D163,NVLSX!$E$2:$E$6941,0)),"")</f>
        <v/>
      </c>
      <c r="X163" s="776">
        <f t="shared" ca="1" si="7"/>
        <v>0</v>
      </c>
      <c r="Y163" s="982" t="str">
        <f ca="1">IFERROR(INDEX(NVLSX!$X$2:$X$4655,MATCH($D163,NVLSX!$E$2:$E$4655,0)),"")</f>
        <v/>
      </c>
    </row>
    <row r="164" spans="1:25">
      <c r="A164" s="19" t="str">
        <f ca="1">IF($Q164="","",MAX($A$2:A163)+1)</f>
        <v/>
      </c>
      <c r="B164" s="1146" t="str">
        <f ca="1">IFERROR(INDEX(NVLSX!$Y$2:$Y$6756,MATCH($D164,NVLSX!$E$2:$E$6756,0)),"")</f>
        <v/>
      </c>
      <c r="C164" s="1146" t="str">
        <f ca="1">IFERROR(INDEX(NVLSX!$Z$2:$Z$6756,MATCH($D164,NVLSX!$E$2:$E$6756,0)),"")</f>
        <v/>
      </c>
      <c r="D164" s="23" t="str">
        <f ca="1">IF($Q164="","",INDEX(TongVTSX!C$3:C$1500,$Q164))</f>
        <v/>
      </c>
      <c r="E164" s="729" t="str">
        <f ca="1">IF($Q164="","",INDEX(TongVTSX!D$3:D$1500,$Q164) &amp; IF(OR($R164=$S$1,$R164=$S$7)," (" &amp; INDEX(TongVTSX!A$3:A$1500,$Q164) &amp; ")",""))</f>
        <v/>
      </c>
      <c r="F164" s="745" t="str">
        <f ca="1">IF($Q164="","",IF($R164=$S$7,INDEX(TongVTSX!$G$3:$G$1500,$Q164),INDEX(TongVTSX!$E$3:$E$1500,$Q164)))</f>
        <v/>
      </c>
      <c r="G164" s="24" t="str">
        <f ca="1">IF($Q164="","",IF($R164=$S$1,"mm",IF($R164=$S$2,"Thanh",INDEX(TongVTSX!F$3:F$1500,$Q164))))</f>
        <v/>
      </c>
      <c r="H164" s="114">
        <f ca="1">IF($R164=$S$1,INDEX(TongVTSX!$K$3:$K$1500,$Q164),IF($R164=$S$7,INDEX(TongVTSX!$H$3:$H$1500,$Q164),IF($R164=$S$2,ROUNDUP(SUMPRODUCT((TongVTSX!$C$3:$C$1500=$D164)*(TongVTSX!$E$3:$E$1500=$F164)*(TongVTSX!$K$3:$K$1500))/$U164,0),SUMPRODUCT((TongVTSX!$C$3:$C$1500=$D164)*(TongVTSX!$E$3:$E$1500=$F164)*(TongVTSX!$K$3:$K$1500)))))</f>
        <v>0</v>
      </c>
      <c r="I164" s="114"/>
      <c r="J164" s="114"/>
      <c r="K164" s="114" t="str">
        <f ca="1">IF($Q164="","",IF($R164=$S$2,INDEX(TongVTSX!M$3:M$1500,$Q164)*$U164,   INDEX(TongVTSX!M$3:M$1500,$Q164)))</f>
        <v/>
      </c>
      <c r="L164" s="92">
        <f ca="1">IF($Q164="",0, IF($R164=$S$7,$F164*$H164*$K164,IF($R164=$S$2,$H164*$K164,    IF($H164*$K164 - SUMPRODUCT((TongVTSX!$C$3:$C$1500=$D164)*(TongVTSX!$E$3:$E$1500=$F164)*(TongVTSX!$O$3:$O$1500)) &lt;=10,$H164*$K164,"PO &lt;&gt; TongVTSX"))))</f>
        <v>0</v>
      </c>
      <c r="M164" s="114">
        <f ca="1">IF($R164=$S$1,INDEX(TongVTSX!$K$3:$K$1500,$Q164),IF($R164=$S$7,INDEX(TongVTSX!$H$3:$H$1500,$Q164),IF($R164=$S$2,SUMPRODUCT((TongVTSX!$C$3:$C$1500=$D164)*(TongVTSX!$E$3:$E$1500=$F164)*(TongVTSX!$K$3:$K$1500))/$U164,SUMPRODUCT((TongVTSX!$C$3:$C$1500=$D164)*(TongVTSX!$E$3:$E$1500=$F164)*(TongVTSX!$K$3:$K$1500)))))</f>
        <v>0</v>
      </c>
      <c r="N164" s="92">
        <f ca="1">IF($Q164="",0, IF($R164=$S$7,$F164*$M164*$K164,IF($R164=$S$2,$M164*$K164,    IF($M164*$K164 - SUMPRODUCT((TongVTSX!$C$3:$C$1500=$D164)*(TongVTSX!$E$3:$E$1500=$F164)*(TongVTSX!$O$3:$O$1500)) &lt;=10,$M164*$K164,"PO &lt;&gt; TongVTSX"))))</f>
        <v>0</v>
      </c>
      <c r="O164" s="92">
        <f t="shared" ca="1" si="8"/>
        <v>0</v>
      </c>
      <c r="P164" s="1146" t="str">
        <f ca="1">IFERROR(INDEX(NVLSX!$AA$2:$AA$6756,MATCH($D164,NVLSX!$E$2:$E$6756,0)),"")</f>
        <v/>
      </c>
      <c r="Q164" s="742" t="str">
        <f ca="1">IF($R164="","",IF($R164&lt;&gt;$R163,IF(TYPE(MATCH($R164,TongVTSX!$T$3:$T$1500,0))=16,"",MATCH($R164,TongVTSX!$T$3:$T$1500,0)),IF(TYPE(MATCH($R164,OFFSET(TongVTSX!$T$3,$Q163,0):'TongVTSX'!$T$1500,0)+$Q163)=16,"",MATCH($R164,OFFSET(TongVTSX!$T$3,$Q163,0):'TongVTSX'!$T$1500,0)+$Q163)))</f>
        <v/>
      </c>
      <c r="R164" s="179" t="str">
        <f ca="1">IFERROR(IF(COUNTIF($R$3:R163,R163)&lt; INDEX($T$1:$T$7,MATCH($R163,$S$1:$S$7,0)),$R163,INDEX($S$1:$S$7,MATCH($R163,$S$1:$S$7,0)+1)),"")</f>
        <v/>
      </c>
      <c r="S164" s="181"/>
      <c r="T164" s="182"/>
      <c r="U164" s="184" t="str">
        <f ca="1">IF($R164="PR",INDEX(NVLSX!$U$2:$U$6941,MATCH($D164,NVLSX!$E$2:$E$6941,0)),"")</f>
        <v/>
      </c>
      <c r="V164" s="184" t="str">
        <f ca="1">IF($R164="PR",INDEX(NVLSX!$S$2:$S$6941,MATCH($D164,NVLSX!$E$2:$E$6941,0))*1000,"")</f>
        <v/>
      </c>
      <c r="W164" s="776" t="str">
        <f ca="1">IF($R164="PR",INDEX(NVLSX!$S$2:$S$6941,MATCH($D164,NVLSX!$E$2:$E$6941,0))*INDEX(NVLSX!$T$2:$T$6941,MATCH($D164,NVLSX!$E$2:$E$6941,0)),"")</f>
        <v/>
      </c>
      <c r="X164" s="776">
        <f t="shared" ca="1" si="7"/>
        <v>0</v>
      </c>
      <c r="Y164" s="982" t="str">
        <f ca="1">IFERROR(INDEX(NVLSX!$X$2:$X$4655,MATCH($D164,NVLSX!$E$2:$E$4655,0)),"")</f>
        <v/>
      </c>
    </row>
    <row r="165" spans="1:25">
      <c r="A165" s="19" t="str">
        <f ca="1">IF($Q165="","",MAX($A$2:A164)+1)</f>
        <v/>
      </c>
      <c r="B165" s="1146" t="str">
        <f ca="1">IFERROR(INDEX(NVLSX!$Y$2:$Y$6756,MATCH($D165,NVLSX!$E$2:$E$6756,0)),"")</f>
        <v/>
      </c>
      <c r="C165" s="1146" t="str">
        <f ca="1">IFERROR(INDEX(NVLSX!$Z$2:$Z$6756,MATCH($D165,NVLSX!$E$2:$E$6756,0)),"")</f>
        <v/>
      </c>
      <c r="D165" s="23" t="str">
        <f ca="1">IF($Q165="","",INDEX(TongVTSX!C$3:C$1500,$Q165))</f>
        <v/>
      </c>
      <c r="E165" s="729" t="str">
        <f ca="1">IF($Q165="","",INDEX(TongVTSX!D$3:D$1500,$Q165) &amp; IF(OR($R165=$S$1,$R165=$S$7)," (" &amp; INDEX(TongVTSX!A$3:A$1500,$Q165) &amp; ")",""))</f>
        <v/>
      </c>
      <c r="F165" s="745" t="str">
        <f ca="1">IF($Q165="","",IF($R165=$S$7,INDEX(TongVTSX!$G$3:$G$1500,$Q165),INDEX(TongVTSX!$E$3:$E$1500,$Q165)))</f>
        <v/>
      </c>
      <c r="G165" s="24" t="str">
        <f ca="1">IF($Q165="","",IF($R165=$S$1,"mm",IF($R165=$S$2,"Thanh",INDEX(TongVTSX!F$3:F$1500,$Q165))))</f>
        <v/>
      </c>
      <c r="H165" s="114">
        <f ca="1">IF($R165=$S$1,INDEX(TongVTSX!$K$3:$K$1500,$Q165),IF($R165=$S$7,INDEX(TongVTSX!$H$3:$H$1500,$Q165),IF($R165=$S$2,ROUNDUP(SUMPRODUCT((TongVTSX!$C$3:$C$1500=$D165)*(TongVTSX!$E$3:$E$1500=$F165)*(TongVTSX!$K$3:$K$1500))/$U165,0),SUMPRODUCT((TongVTSX!$C$3:$C$1500=$D165)*(TongVTSX!$E$3:$E$1500=$F165)*(TongVTSX!$K$3:$K$1500)))))</f>
        <v>0</v>
      </c>
      <c r="I165" s="114"/>
      <c r="J165" s="114"/>
      <c r="K165" s="114" t="str">
        <f ca="1">IF($Q165="","",IF($R165=$S$2,INDEX(TongVTSX!M$3:M$1500,$Q165)*$U165,   INDEX(TongVTSX!M$3:M$1500,$Q165)))</f>
        <v/>
      </c>
      <c r="L165" s="92">
        <f ca="1">IF($Q165="",0, IF($R165=$S$7,$F165*$H165*$K165,IF($R165=$S$2,$H165*$K165,    IF($H165*$K165 - SUMPRODUCT((TongVTSX!$C$3:$C$1500=$D165)*(TongVTSX!$E$3:$E$1500=$F165)*(TongVTSX!$O$3:$O$1500)) &lt;=10,$H165*$K165,"PO &lt;&gt; TongVTSX"))))</f>
        <v>0</v>
      </c>
      <c r="M165" s="114">
        <f ca="1">IF($R165=$S$1,INDEX(TongVTSX!$K$3:$K$1500,$Q165),IF($R165=$S$7,INDEX(TongVTSX!$H$3:$H$1500,$Q165),IF($R165=$S$2,SUMPRODUCT((TongVTSX!$C$3:$C$1500=$D165)*(TongVTSX!$E$3:$E$1500=$F165)*(TongVTSX!$K$3:$K$1500))/$U165,SUMPRODUCT((TongVTSX!$C$3:$C$1500=$D165)*(TongVTSX!$E$3:$E$1500=$F165)*(TongVTSX!$K$3:$K$1500)))))</f>
        <v>0</v>
      </c>
      <c r="N165" s="92">
        <f ca="1">IF($Q165="",0, IF($R165=$S$7,$F165*$M165*$K165,IF($R165=$S$2,$M165*$K165,    IF($M165*$K165 - SUMPRODUCT((TongVTSX!$C$3:$C$1500=$D165)*(TongVTSX!$E$3:$E$1500=$F165)*(TongVTSX!$O$3:$O$1500)) &lt;=10,$M165*$K165,"PO &lt;&gt; TongVTSX"))))</f>
        <v>0</v>
      </c>
      <c r="O165" s="92">
        <f t="shared" ca="1" si="8"/>
        <v>0</v>
      </c>
      <c r="P165" s="1146" t="str">
        <f ca="1">IFERROR(INDEX(NVLSX!$AA$2:$AA$6756,MATCH($D165,NVLSX!$E$2:$E$6756,0)),"")</f>
        <v/>
      </c>
      <c r="Q165" s="742" t="str">
        <f ca="1">IF($R165="","",IF($R165&lt;&gt;$R164,IF(TYPE(MATCH($R165,TongVTSX!$T$3:$T$1500,0))=16,"",MATCH($R165,TongVTSX!$T$3:$T$1500,0)),IF(TYPE(MATCH($R165,OFFSET(TongVTSX!$T$3,$Q164,0):'TongVTSX'!$T$1500,0)+$Q164)=16,"",MATCH($R165,OFFSET(TongVTSX!$T$3,$Q164,0):'TongVTSX'!$T$1500,0)+$Q164)))</f>
        <v/>
      </c>
      <c r="R165" s="179" t="str">
        <f ca="1">IFERROR(IF(COUNTIF($R$3:R164,R164)&lt; INDEX($T$1:$T$7,MATCH($R164,$S$1:$S$7,0)),$R164,INDEX($S$1:$S$7,MATCH($R164,$S$1:$S$7,0)+1)),"")</f>
        <v/>
      </c>
      <c r="S165" s="181"/>
      <c r="T165" s="182"/>
      <c r="U165" s="184" t="str">
        <f ca="1">IF($R165="PR",INDEX(NVLSX!$U$2:$U$6941,MATCH($D165,NVLSX!$E$2:$E$6941,0)),"")</f>
        <v/>
      </c>
      <c r="V165" s="184" t="str">
        <f ca="1">IF($R165="PR",INDEX(NVLSX!$S$2:$S$6941,MATCH($D165,NVLSX!$E$2:$E$6941,0))*1000,"")</f>
        <v/>
      </c>
      <c r="W165" s="776" t="str">
        <f ca="1">IF($R165="PR",INDEX(NVLSX!$S$2:$S$6941,MATCH($D165,NVLSX!$E$2:$E$6941,0))*INDEX(NVLSX!$T$2:$T$6941,MATCH($D165,NVLSX!$E$2:$E$6941,0)),"")</f>
        <v/>
      </c>
      <c r="X165" s="776">
        <f t="shared" ca="1" si="7"/>
        <v>0</v>
      </c>
      <c r="Y165" s="982" t="str">
        <f ca="1">IFERROR(INDEX(NVLSX!$X$2:$X$4655,MATCH($D165,NVLSX!$E$2:$E$4655,0)),"")</f>
        <v/>
      </c>
    </row>
    <row r="166" spans="1:25">
      <c r="A166" s="19" t="str">
        <f ca="1">IF($Q166="","",MAX($A$2:A165)+1)</f>
        <v/>
      </c>
      <c r="B166" s="1146" t="str">
        <f ca="1">IFERROR(INDEX(NVLSX!$Y$2:$Y$6756,MATCH($D166,NVLSX!$E$2:$E$6756,0)),"")</f>
        <v/>
      </c>
      <c r="C166" s="1146" t="str">
        <f ca="1">IFERROR(INDEX(NVLSX!$Z$2:$Z$6756,MATCH($D166,NVLSX!$E$2:$E$6756,0)),"")</f>
        <v/>
      </c>
      <c r="D166" s="23" t="str">
        <f ca="1">IF($Q166="","",INDEX(TongVTSX!C$3:C$1500,$Q166))</f>
        <v/>
      </c>
      <c r="E166" s="729" t="str">
        <f ca="1">IF($Q166="","",INDEX(TongVTSX!D$3:D$1500,$Q166) &amp; IF(OR($R166=$S$1,$R166=$S$7)," (" &amp; INDEX(TongVTSX!A$3:A$1500,$Q166) &amp; ")",""))</f>
        <v/>
      </c>
      <c r="F166" s="745" t="str">
        <f ca="1">IF($Q166="","",IF($R166=$S$7,INDEX(TongVTSX!$G$3:$G$1500,$Q166),INDEX(TongVTSX!$E$3:$E$1500,$Q166)))</f>
        <v/>
      </c>
      <c r="G166" s="24" t="str">
        <f ca="1">IF($Q166="","",IF($R166=$S$1,"mm",IF($R166=$S$2,"Thanh",INDEX(TongVTSX!F$3:F$1500,$Q166))))</f>
        <v/>
      </c>
      <c r="H166" s="114">
        <f ca="1">IF($R166=$S$1,INDEX(TongVTSX!$K$3:$K$1500,$Q166),IF($R166=$S$7,INDEX(TongVTSX!$H$3:$H$1500,$Q166),IF($R166=$S$2,ROUNDUP(SUMPRODUCT((TongVTSX!$C$3:$C$1500=$D166)*(TongVTSX!$E$3:$E$1500=$F166)*(TongVTSX!$K$3:$K$1500))/$U166,0),SUMPRODUCT((TongVTSX!$C$3:$C$1500=$D166)*(TongVTSX!$E$3:$E$1500=$F166)*(TongVTSX!$K$3:$K$1500)))))</f>
        <v>0</v>
      </c>
      <c r="I166" s="114"/>
      <c r="J166" s="114"/>
      <c r="K166" s="114" t="str">
        <f ca="1">IF($Q166="","",IF($R166=$S$2,INDEX(TongVTSX!M$3:M$1500,$Q166)*$U166,   INDEX(TongVTSX!M$3:M$1500,$Q166)))</f>
        <v/>
      </c>
      <c r="L166" s="92">
        <f ca="1">IF($Q166="",0, IF($R166=$S$7,$F166*$H166*$K166,IF($R166=$S$2,$H166*$K166,    IF($H166*$K166 - SUMPRODUCT((TongVTSX!$C$3:$C$1500=$D166)*(TongVTSX!$E$3:$E$1500=$F166)*(TongVTSX!$O$3:$O$1500)) &lt;=10,$H166*$K166,"PO &lt;&gt; TongVTSX"))))</f>
        <v>0</v>
      </c>
      <c r="M166" s="114">
        <f ca="1">IF($R166=$S$1,INDEX(TongVTSX!$K$3:$K$1500,$Q166),IF($R166=$S$7,INDEX(TongVTSX!$H$3:$H$1500,$Q166),IF($R166=$S$2,SUMPRODUCT((TongVTSX!$C$3:$C$1500=$D166)*(TongVTSX!$E$3:$E$1500=$F166)*(TongVTSX!$K$3:$K$1500))/$U166,SUMPRODUCT((TongVTSX!$C$3:$C$1500=$D166)*(TongVTSX!$E$3:$E$1500=$F166)*(TongVTSX!$K$3:$K$1500)))))</f>
        <v>0</v>
      </c>
      <c r="N166" s="92">
        <f ca="1">IF($Q166="",0, IF($R166=$S$7,$F166*$M166*$K166,IF($R166=$S$2,$M166*$K166,    IF($M166*$K166 - SUMPRODUCT((TongVTSX!$C$3:$C$1500=$D166)*(TongVTSX!$E$3:$E$1500=$F166)*(TongVTSX!$O$3:$O$1500)) &lt;=10,$M166*$K166,"PO &lt;&gt; TongVTSX"))))</f>
        <v>0</v>
      </c>
      <c r="O166" s="92">
        <f t="shared" ca="1" si="8"/>
        <v>0</v>
      </c>
      <c r="P166" s="1146" t="str">
        <f ca="1">IFERROR(INDEX(NVLSX!$AA$2:$AA$6756,MATCH($D166,NVLSX!$E$2:$E$6756,0)),"")</f>
        <v/>
      </c>
      <c r="Q166" s="742" t="str">
        <f ca="1">IF($R166="","",IF($R166&lt;&gt;$R165,IF(TYPE(MATCH($R166,TongVTSX!$T$3:$T$1500,0))=16,"",MATCH($R166,TongVTSX!$T$3:$T$1500,0)),IF(TYPE(MATCH($R166,OFFSET(TongVTSX!$T$3,$Q165,0):'TongVTSX'!$T$1500,0)+$Q165)=16,"",MATCH($R166,OFFSET(TongVTSX!$T$3,$Q165,0):'TongVTSX'!$T$1500,0)+$Q165)))</f>
        <v/>
      </c>
      <c r="R166" s="179" t="str">
        <f ca="1">IFERROR(IF(COUNTIF($R$3:R165,R165)&lt; INDEX($T$1:$T$7,MATCH($R165,$S$1:$S$7,0)),$R165,INDEX($S$1:$S$7,MATCH($R165,$S$1:$S$7,0)+1)),"")</f>
        <v/>
      </c>
      <c r="S166" s="181"/>
      <c r="T166" s="182"/>
      <c r="U166" s="184" t="str">
        <f ca="1">IF($R166="PR",INDEX(NVLSX!$U$2:$U$6941,MATCH($D166,NVLSX!$E$2:$E$6941,0)),"")</f>
        <v/>
      </c>
      <c r="V166" s="184" t="str">
        <f ca="1">IF($R166="PR",INDEX(NVLSX!$S$2:$S$6941,MATCH($D166,NVLSX!$E$2:$E$6941,0))*1000,"")</f>
        <v/>
      </c>
      <c r="W166" s="776" t="str">
        <f ca="1">IF($R166="PR",INDEX(NVLSX!$S$2:$S$6941,MATCH($D166,NVLSX!$E$2:$E$6941,0))*INDEX(NVLSX!$T$2:$T$6941,MATCH($D166,NVLSX!$E$2:$E$6941,0)),"")</f>
        <v/>
      </c>
      <c r="X166" s="776">
        <f t="shared" ca="1" si="7"/>
        <v>0</v>
      </c>
      <c r="Y166" s="982" t="str">
        <f ca="1">IFERROR(INDEX(NVLSX!$X$2:$X$4655,MATCH($D166,NVLSX!$E$2:$E$4655,0)),"")</f>
        <v/>
      </c>
    </row>
    <row r="167" spans="1:25">
      <c r="A167" s="19" t="str">
        <f ca="1">IF($Q167="","",MAX($A$2:A166)+1)</f>
        <v/>
      </c>
      <c r="B167" s="1146" t="str">
        <f ca="1">IFERROR(INDEX(NVLSX!$Y$2:$Y$6756,MATCH($D167,NVLSX!$E$2:$E$6756,0)),"")</f>
        <v/>
      </c>
      <c r="C167" s="1146" t="str">
        <f ca="1">IFERROR(INDEX(NVLSX!$Z$2:$Z$6756,MATCH($D167,NVLSX!$E$2:$E$6756,0)),"")</f>
        <v/>
      </c>
      <c r="D167" s="23" t="str">
        <f ca="1">IF($Q167="","",INDEX(TongVTSX!C$3:C$1500,$Q167))</f>
        <v/>
      </c>
      <c r="E167" s="729" t="str">
        <f ca="1">IF($Q167="","",INDEX(TongVTSX!D$3:D$1500,$Q167) &amp; IF(OR($R167=$S$1,$R167=$S$7)," (" &amp; INDEX(TongVTSX!A$3:A$1500,$Q167) &amp; ")",""))</f>
        <v/>
      </c>
      <c r="F167" s="745" t="str">
        <f ca="1">IF($Q167="","",IF($R167=$S$7,INDEX(TongVTSX!$G$3:$G$1500,$Q167),INDEX(TongVTSX!$E$3:$E$1500,$Q167)))</f>
        <v/>
      </c>
      <c r="G167" s="24" t="str">
        <f ca="1">IF($Q167="","",IF($R167=$S$1,"mm",IF($R167=$S$2,"Thanh",INDEX(TongVTSX!F$3:F$1500,$Q167))))</f>
        <v/>
      </c>
      <c r="H167" s="114">
        <f ca="1">IF($R167=$S$1,INDEX(TongVTSX!$K$3:$K$1500,$Q167),IF($R167=$S$7,INDEX(TongVTSX!$H$3:$H$1500,$Q167),IF($R167=$S$2,ROUNDUP(SUMPRODUCT((TongVTSX!$C$3:$C$1500=$D167)*(TongVTSX!$E$3:$E$1500=$F167)*(TongVTSX!$K$3:$K$1500))/$U167,0),SUMPRODUCT((TongVTSX!$C$3:$C$1500=$D167)*(TongVTSX!$E$3:$E$1500=$F167)*(TongVTSX!$K$3:$K$1500)))))</f>
        <v>0</v>
      </c>
      <c r="I167" s="114"/>
      <c r="J167" s="114"/>
      <c r="K167" s="114" t="str">
        <f ca="1">IF($Q167="","",IF($R167=$S$2,INDEX(TongVTSX!M$3:M$1500,$Q167)*$U167,   INDEX(TongVTSX!M$3:M$1500,$Q167)))</f>
        <v/>
      </c>
      <c r="L167" s="92">
        <f ca="1">IF($Q167="",0, IF($R167=$S$7,$F167*$H167*$K167,IF($R167=$S$2,$H167*$K167,    IF($H167*$K167 - SUMPRODUCT((TongVTSX!$C$3:$C$1500=$D167)*(TongVTSX!$E$3:$E$1500=$F167)*(TongVTSX!$O$3:$O$1500)) &lt;=10,$H167*$K167,"PO &lt;&gt; TongVTSX"))))</f>
        <v>0</v>
      </c>
      <c r="M167" s="114">
        <f ca="1">IF($R167=$S$1,INDEX(TongVTSX!$K$3:$K$1500,$Q167),IF($R167=$S$7,INDEX(TongVTSX!$H$3:$H$1500,$Q167),IF($R167=$S$2,SUMPRODUCT((TongVTSX!$C$3:$C$1500=$D167)*(TongVTSX!$E$3:$E$1500=$F167)*(TongVTSX!$K$3:$K$1500))/$U167,SUMPRODUCT((TongVTSX!$C$3:$C$1500=$D167)*(TongVTSX!$E$3:$E$1500=$F167)*(TongVTSX!$K$3:$K$1500)))))</f>
        <v>0</v>
      </c>
      <c r="N167" s="92">
        <f ca="1">IF($Q167="",0, IF($R167=$S$7,$F167*$M167*$K167,IF($R167=$S$2,$M167*$K167,    IF($M167*$K167 - SUMPRODUCT((TongVTSX!$C$3:$C$1500=$D167)*(TongVTSX!$E$3:$E$1500=$F167)*(TongVTSX!$O$3:$O$1500)) &lt;=10,$M167*$K167,"PO &lt;&gt; TongVTSX"))))</f>
        <v>0</v>
      </c>
      <c r="O167" s="92">
        <f t="shared" ca="1" si="8"/>
        <v>0</v>
      </c>
      <c r="P167" s="1146" t="str">
        <f ca="1">IFERROR(INDEX(NVLSX!$AA$2:$AA$6756,MATCH($D167,NVLSX!$E$2:$E$6756,0)),"")</f>
        <v/>
      </c>
      <c r="Q167" s="742" t="str">
        <f ca="1">IF($R167="","",IF($R167&lt;&gt;$R166,IF(TYPE(MATCH($R167,TongVTSX!$T$3:$T$1500,0))=16,"",MATCH($R167,TongVTSX!$T$3:$T$1500,0)),IF(TYPE(MATCH($R167,OFFSET(TongVTSX!$T$3,$Q166,0):'TongVTSX'!$T$1500,0)+$Q166)=16,"",MATCH($R167,OFFSET(TongVTSX!$T$3,$Q166,0):'TongVTSX'!$T$1500,0)+$Q166)))</f>
        <v/>
      </c>
      <c r="R167" s="179" t="str">
        <f ca="1">IFERROR(IF(COUNTIF($R$3:R166,R166)&lt; INDEX($T$1:$T$7,MATCH($R166,$S$1:$S$7,0)),$R166,INDEX($S$1:$S$7,MATCH($R166,$S$1:$S$7,0)+1)),"")</f>
        <v/>
      </c>
      <c r="S167" s="181"/>
      <c r="T167" s="182"/>
      <c r="U167" s="184" t="str">
        <f ca="1">IF($R167="PR",INDEX(NVLSX!$U$2:$U$6941,MATCH($D167,NVLSX!$E$2:$E$6941,0)),"")</f>
        <v/>
      </c>
      <c r="V167" s="184" t="str">
        <f ca="1">IF($R167="PR",INDEX(NVLSX!$S$2:$S$6941,MATCH($D167,NVLSX!$E$2:$E$6941,0))*1000,"")</f>
        <v/>
      </c>
      <c r="W167" s="776" t="str">
        <f ca="1">IF($R167="PR",INDEX(NVLSX!$S$2:$S$6941,MATCH($D167,NVLSX!$E$2:$E$6941,0))*INDEX(NVLSX!$T$2:$T$6941,MATCH($D167,NVLSX!$E$2:$E$6941,0)),"")</f>
        <v/>
      </c>
      <c r="X167" s="776">
        <f t="shared" ca="1" si="7"/>
        <v>0</v>
      </c>
      <c r="Y167" s="982" t="str">
        <f ca="1">IFERROR(INDEX(NVLSX!$X$2:$X$4655,MATCH($D167,NVLSX!$E$2:$E$4655,0)),"")</f>
        <v/>
      </c>
    </row>
    <row r="168" spans="1:25">
      <c r="A168" s="19" t="str">
        <f ca="1">IF($Q168="","",MAX($A$2:A167)+1)</f>
        <v/>
      </c>
      <c r="B168" s="1146" t="str">
        <f ca="1">IFERROR(INDEX(NVLSX!$Y$2:$Y$6756,MATCH($D168,NVLSX!$E$2:$E$6756,0)),"")</f>
        <v/>
      </c>
      <c r="C168" s="1146" t="str">
        <f ca="1">IFERROR(INDEX(NVLSX!$Z$2:$Z$6756,MATCH($D168,NVLSX!$E$2:$E$6756,0)),"")</f>
        <v/>
      </c>
      <c r="D168" s="23" t="str">
        <f ca="1">IF($Q168="","",INDEX(TongVTSX!C$3:C$1500,$Q168))</f>
        <v/>
      </c>
      <c r="E168" s="729" t="str">
        <f ca="1">IF($Q168="","",INDEX(TongVTSX!D$3:D$1500,$Q168) &amp; IF(OR($R168=$S$1,$R168=$S$7)," (" &amp; INDEX(TongVTSX!A$3:A$1500,$Q168) &amp; ")",""))</f>
        <v/>
      </c>
      <c r="F168" s="745" t="str">
        <f ca="1">IF($Q168="","",IF($R168=$S$7,INDEX(TongVTSX!$G$3:$G$1500,$Q168),INDEX(TongVTSX!$E$3:$E$1500,$Q168)))</f>
        <v/>
      </c>
      <c r="G168" s="24" t="str">
        <f ca="1">IF($Q168="","",IF($R168=$S$1,"mm",IF($R168=$S$2,"Thanh",INDEX(TongVTSX!F$3:F$1500,$Q168))))</f>
        <v/>
      </c>
      <c r="H168" s="114">
        <f ca="1">IF($R168=$S$1,INDEX(TongVTSX!$K$3:$K$1500,$Q168),IF($R168=$S$7,INDEX(TongVTSX!$H$3:$H$1500,$Q168),IF($R168=$S$2,ROUNDUP(SUMPRODUCT((TongVTSX!$C$3:$C$1500=$D168)*(TongVTSX!$E$3:$E$1500=$F168)*(TongVTSX!$K$3:$K$1500))/$U168,0),SUMPRODUCT((TongVTSX!$C$3:$C$1500=$D168)*(TongVTSX!$E$3:$E$1500=$F168)*(TongVTSX!$K$3:$K$1500)))))</f>
        <v>0</v>
      </c>
      <c r="I168" s="114"/>
      <c r="J168" s="114"/>
      <c r="K168" s="114" t="str">
        <f ca="1">IF($Q168="","",IF($R168=$S$2,INDEX(TongVTSX!M$3:M$1500,$Q168)*$U168,   INDEX(TongVTSX!M$3:M$1500,$Q168)))</f>
        <v/>
      </c>
      <c r="L168" s="92">
        <f ca="1">IF($Q168="",0, IF($R168=$S$7,$F168*$H168*$K168,IF($R168=$S$2,$H168*$K168,    IF($H168*$K168 - SUMPRODUCT((TongVTSX!$C$3:$C$1500=$D168)*(TongVTSX!$E$3:$E$1500=$F168)*(TongVTSX!$O$3:$O$1500)) &lt;=10,$H168*$K168,"PO &lt;&gt; TongVTSX"))))</f>
        <v>0</v>
      </c>
      <c r="M168" s="114">
        <f ca="1">IF($R168=$S$1,INDEX(TongVTSX!$K$3:$K$1500,$Q168),IF($R168=$S$7,INDEX(TongVTSX!$H$3:$H$1500,$Q168),IF($R168=$S$2,SUMPRODUCT((TongVTSX!$C$3:$C$1500=$D168)*(TongVTSX!$E$3:$E$1500=$F168)*(TongVTSX!$K$3:$K$1500))/$U168,SUMPRODUCT((TongVTSX!$C$3:$C$1500=$D168)*(TongVTSX!$E$3:$E$1500=$F168)*(TongVTSX!$K$3:$K$1500)))))</f>
        <v>0</v>
      </c>
      <c r="N168" s="92">
        <f ca="1">IF($Q168="",0, IF($R168=$S$7,$F168*$M168*$K168,IF($R168=$S$2,$M168*$K168,    IF($M168*$K168 - SUMPRODUCT((TongVTSX!$C$3:$C$1500=$D168)*(TongVTSX!$E$3:$E$1500=$F168)*(TongVTSX!$O$3:$O$1500)) &lt;=10,$M168*$K168,"PO &lt;&gt; TongVTSX"))))</f>
        <v>0</v>
      </c>
      <c r="O168" s="92">
        <f t="shared" ca="1" si="8"/>
        <v>0</v>
      </c>
      <c r="P168" s="1146" t="str">
        <f ca="1">IFERROR(INDEX(NVLSX!$AA$2:$AA$6756,MATCH($D168,NVLSX!$E$2:$E$6756,0)),"")</f>
        <v/>
      </c>
      <c r="Q168" s="742" t="str">
        <f ca="1">IF($R168="","",IF($R168&lt;&gt;$R167,IF(TYPE(MATCH($R168,TongVTSX!$T$3:$T$1500,0))=16,"",MATCH($R168,TongVTSX!$T$3:$T$1500,0)),IF(TYPE(MATCH($R168,OFFSET(TongVTSX!$T$3,$Q167,0):'TongVTSX'!$T$1500,0)+$Q167)=16,"",MATCH($R168,OFFSET(TongVTSX!$T$3,$Q167,0):'TongVTSX'!$T$1500,0)+$Q167)))</f>
        <v/>
      </c>
      <c r="R168" s="179" t="str">
        <f ca="1">IFERROR(IF(COUNTIF($R$3:R167,R167)&lt; INDEX($T$1:$T$7,MATCH($R167,$S$1:$S$7,0)),$R167,INDEX($S$1:$S$7,MATCH($R167,$S$1:$S$7,0)+1)),"")</f>
        <v/>
      </c>
      <c r="S168" s="181"/>
      <c r="T168" s="182"/>
      <c r="U168" s="184" t="str">
        <f ca="1">IF($R168="PR",INDEX(NVLSX!$U$2:$U$6941,MATCH($D168,NVLSX!$E$2:$E$6941,0)),"")</f>
        <v/>
      </c>
      <c r="V168" s="184" t="str">
        <f ca="1">IF($R168="PR",INDEX(NVLSX!$S$2:$S$6941,MATCH($D168,NVLSX!$E$2:$E$6941,0))*1000,"")</f>
        <v/>
      </c>
      <c r="W168" s="776" t="str">
        <f ca="1">IF($R168="PR",INDEX(NVLSX!$S$2:$S$6941,MATCH($D168,NVLSX!$E$2:$E$6941,0))*INDEX(NVLSX!$T$2:$T$6941,MATCH($D168,NVLSX!$E$2:$E$6941,0)),"")</f>
        <v/>
      </c>
      <c r="X168" s="776">
        <f t="shared" ca="1" si="7"/>
        <v>0</v>
      </c>
      <c r="Y168" s="982" t="str">
        <f ca="1">IFERROR(INDEX(NVLSX!$X$2:$X$4655,MATCH($D168,NVLSX!$E$2:$E$4655,0)),"")</f>
        <v/>
      </c>
    </row>
    <row r="169" spans="1:25">
      <c r="A169" s="19" t="str">
        <f ca="1">IF($Q169="","",MAX($A$2:A168)+1)</f>
        <v/>
      </c>
      <c r="B169" s="1146" t="str">
        <f ca="1">IFERROR(INDEX(NVLSX!$Y$2:$Y$6756,MATCH($D169,NVLSX!$E$2:$E$6756,0)),"")</f>
        <v/>
      </c>
      <c r="C169" s="1146" t="str">
        <f ca="1">IFERROR(INDEX(NVLSX!$Z$2:$Z$6756,MATCH($D169,NVLSX!$E$2:$E$6756,0)),"")</f>
        <v/>
      </c>
      <c r="D169" s="23" t="str">
        <f ca="1">IF($Q169="","",INDEX(TongVTSX!C$3:C$1500,$Q169))</f>
        <v/>
      </c>
      <c r="E169" s="729" t="str">
        <f ca="1">IF($Q169="","",INDEX(TongVTSX!D$3:D$1500,$Q169) &amp; IF(OR($R169=$S$1,$R169=$S$7)," (" &amp; INDEX(TongVTSX!A$3:A$1500,$Q169) &amp; ")",""))</f>
        <v/>
      </c>
      <c r="F169" s="745" t="str">
        <f ca="1">IF($Q169="","",IF($R169=$S$7,INDEX(TongVTSX!$G$3:$G$1500,$Q169),INDEX(TongVTSX!$E$3:$E$1500,$Q169)))</f>
        <v/>
      </c>
      <c r="G169" s="24" t="str">
        <f ca="1">IF($Q169="","",IF($R169=$S$1,"mm",IF($R169=$S$2,"Thanh",INDEX(TongVTSX!F$3:F$1500,$Q169))))</f>
        <v/>
      </c>
      <c r="H169" s="114">
        <f ca="1">IF($R169=$S$1,INDEX(TongVTSX!$K$3:$K$1500,$Q169),IF($R169=$S$7,INDEX(TongVTSX!$H$3:$H$1500,$Q169),IF($R169=$S$2,ROUNDUP(SUMPRODUCT((TongVTSX!$C$3:$C$1500=$D169)*(TongVTSX!$E$3:$E$1500=$F169)*(TongVTSX!$K$3:$K$1500))/$U169,0),SUMPRODUCT((TongVTSX!$C$3:$C$1500=$D169)*(TongVTSX!$E$3:$E$1500=$F169)*(TongVTSX!$K$3:$K$1500)))))</f>
        <v>0</v>
      </c>
      <c r="I169" s="114"/>
      <c r="J169" s="114"/>
      <c r="K169" s="114" t="str">
        <f ca="1">IF($Q169="","",IF($R169=$S$2,INDEX(TongVTSX!M$3:M$1500,$Q169)*$U169,   INDEX(TongVTSX!M$3:M$1500,$Q169)))</f>
        <v/>
      </c>
      <c r="L169" s="92">
        <f ca="1">IF($Q169="",0, IF($R169=$S$7,$F169*$H169*$K169,IF($R169=$S$2,$H169*$K169,    IF($H169*$K169 - SUMPRODUCT((TongVTSX!$C$3:$C$1500=$D169)*(TongVTSX!$E$3:$E$1500=$F169)*(TongVTSX!$O$3:$O$1500)) &lt;=10,$H169*$K169,"PO &lt;&gt; TongVTSX"))))</f>
        <v>0</v>
      </c>
      <c r="M169" s="114">
        <f ca="1">IF($R169=$S$1,INDEX(TongVTSX!$K$3:$K$1500,$Q169),IF($R169=$S$7,INDEX(TongVTSX!$H$3:$H$1500,$Q169),IF($R169=$S$2,SUMPRODUCT((TongVTSX!$C$3:$C$1500=$D169)*(TongVTSX!$E$3:$E$1500=$F169)*(TongVTSX!$K$3:$K$1500))/$U169,SUMPRODUCT((TongVTSX!$C$3:$C$1500=$D169)*(TongVTSX!$E$3:$E$1500=$F169)*(TongVTSX!$K$3:$K$1500)))))</f>
        <v>0</v>
      </c>
      <c r="N169" s="92">
        <f ca="1">IF($Q169="",0, IF($R169=$S$7,$F169*$M169*$K169,IF($R169=$S$2,$M169*$K169,    IF($M169*$K169 - SUMPRODUCT((TongVTSX!$C$3:$C$1500=$D169)*(TongVTSX!$E$3:$E$1500=$F169)*(TongVTSX!$O$3:$O$1500)) &lt;=10,$M169*$K169,"PO &lt;&gt; TongVTSX"))))</f>
        <v>0</v>
      </c>
      <c r="O169" s="92">
        <f t="shared" ca="1" si="8"/>
        <v>0</v>
      </c>
      <c r="P169" s="1146" t="str">
        <f ca="1">IFERROR(INDEX(NVLSX!$AA$2:$AA$6756,MATCH($D169,NVLSX!$E$2:$E$6756,0)),"")</f>
        <v/>
      </c>
      <c r="Q169" s="742" t="str">
        <f ca="1">IF($R169="","",IF($R169&lt;&gt;$R168,IF(TYPE(MATCH($R169,TongVTSX!$T$3:$T$1500,0))=16,"",MATCH($R169,TongVTSX!$T$3:$T$1500,0)),IF(TYPE(MATCH($R169,OFFSET(TongVTSX!$T$3,$Q168,0):'TongVTSX'!$T$1500,0)+$Q168)=16,"",MATCH($R169,OFFSET(TongVTSX!$T$3,$Q168,0):'TongVTSX'!$T$1500,0)+$Q168)))</f>
        <v/>
      </c>
      <c r="R169" s="179" t="str">
        <f ca="1">IFERROR(IF(COUNTIF($R$3:R168,R168)&lt; INDEX($T$1:$T$7,MATCH($R168,$S$1:$S$7,0)),$R168,INDEX($S$1:$S$7,MATCH($R168,$S$1:$S$7,0)+1)),"")</f>
        <v/>
      </c>
      <c r="S169" s="181"/>
      <c r="T169" s="182"/>
      <c r="U169" s="184" t="str">
        <f ca="1">IF($R169="PR",INDEX(NVLSX!$U$2:$U$6941,MATCH($D169,NVLSX!$E$2:$E$6941,0)),"")</f>
        <v/>
      </c>
      <c r="V169" s="184" t="str">
        <f ca="1">IF($R169="PR",INDEX(NVLSX!$S$2:$S$6941,MATCH($D169,NVLSX!$E$2:$E$6941,0))*1000,"")</f>
        <v/>
      </c>
      <c r="W169" s="776" t="str">
        <f ca="1">IF($R169="PR",INDEX(NVLSX!$S$2:$S$6941,MATCH($D169,NVLSX!$E$2:$E$6941,0))*INDEX(NVLSX!$T$2:$T$6941,MATCH($D169,NVLSX!$E$2:$E$6941,0)),"")</f>
        <v/>
      </c>
      <c r="X169" s="776">
        <f t="shared" ca="1" si="7"/>
        <v>0</v>
      </c>
      <c r="Y169" s="982" t="str">
        <f ca="1">IFERROR(INDEX(NVLSX!$X$2:$X$4655,MATCH($D169,NVLSX!$E$2:$E$4655,0)),"")</f>
        <v/>
      </c>
    </row>
    <row r="170" spans="1:25">
      <c r="A170" s="19" t="str">
        <f ca="1">IF($Q170="","",MAX($A$2:A169)+1)</f>
        <v/>
      </c>
      <c r="B170" s="1146" t="str">
        <f ca="1">IFERROR(INDEX(NVLSX!$Y$2:$Y$6756,MATCH($D170,NVLSX!$E$2:$E$6756,0)),"")</f>
        <v/>
      </c>
      <c r="C170" s="1146" t="str">
        <f ca="1">IFERROR(INDEX(NVLSX!$Z$2:$Z$6756,MATCH($D170,NVLSX!$E$2:$E$6756,0)),"")</f>
        <v/>
      </c>
      <c r="D170" s="23" t="str">
        <f ca="1">IF($Q170="","",INDEX(TongVTSX!C$3:C$1500,$Q170))</f>
        <v/>
      </c>
      <c r="E170" s="729" t="str">
        <f ca="1">IF($Q170="","",INDEX(TongVTSX!D$3:D$1500,$Q170) &amp; IF(OR($R170=$S$1,$R170=$S$7)," (" &amp; INDEX(TongVTSX!A$3:A$1500,$Q170) &amp; ")",""))</f>
        <v/>
      </c>
      <c r="F170" s="745" t="str">
        <f ca="1">IF($Q170="","",IF($R170=$S$7,INDEX(TongVTSX!$G$3:$G$1500,$Q170),INDEX(TongVTSX!$E$3:$E$1500,$Q170)))</f>
        <v/>
      </c>
      <c r="G170" s="24" t="str">
        <f ca="1">IF($Q170="","",IF($R170=$S$1,"mm",IF($R170=$S$2,"Thanh",INDEX(TongVTSX!F$3:F$1500,$Q170))))</f>
        <v/>
      </c>
      <c r="H170" s="114">
        <f ca="1">IF($R170=$S$1,INDEX(TongVTSX!$K$3:$K$1500,$Q170),IF($R170=$S$7,INDEX(TongVTSX!$H$3:$H$1500,$Q170),IF($R170=$S$2,ROUNDUP(SUMPRODUCT((TongVTSX!$C$3:$C$1500=$D170)*(TongVTSX!$E$3:$E$1500=$F170)*(TongVTSX!$K$3:$K$1500))/$U170,0),SUMPRODUCT((TongVTSX!$C$3:$C$1500=$D170)*(TongVTSX!$E$3:$E$1500=$F170)*(TongVTSX!$K$3:$K$1500)))))</f>
        <v>0</v>
      </c>
      <c r="I170" s="114"/>
      <c r="J170" s="114"/>
      <c r="K170" s="114" t="str">
        <f ca="1">IF($Q170="","",IF($R170=$S$2,INDEX(TongVTSX!M$3:M$1500,$Q170)*$U170,   INDEX(TongVTSX!M$3:M$1500,$Q170)))</f>
        <v/>
      </c>
      <c r="L170" s="92">
        <f ca="1">IF($Q170="",0, IF($R170=$S$7,$F170*$H170*$K170,IF($R170=$S$2,$H170*$K170,    IF($H170*$K170 - SUMPRODUCT((TongVTSX!$C$3:$C$1500=$D170)*(TongVTSX!$E$3:$E$1500=$F170)*(TongVTSX!$O$3:$O$1500)) &lt;=10,$H170*$K170,"PO &lt;&gt; TongVTSX"))))</f>
        <v>0</v>
      </c>
      <c r="M170" s="114">
        <f ca="1">IF($R170=$S$1,INDEX(TongVTSX!$K$3:$K$1500,$Q170),IF($R170=$S$7,INDEX(TongVTSX!$H$3:$H$1500,$Q170),IF($R170=$S$2,SUMPRODUCT((TongVTSX!$C$3:$C$1500=$D170)*(TongVTSX!$E$3:$E$1500=$F170)*(TongVTSX!$K$3:$K$1500))/$U170,SUMPRODUCT((TongVTSX!$C$3:$C$1500=$D170)*(TongVTSX!$E$3:$E$1500=$F170)*(TongVTSX!$K$3:$K$1500)))))</f>
        <v>0</v>
      </c>
      <c r="N170" s="92">
        <f ca="1">IF($Q170="",0, IF($R170=$S$7,$F170*$M170*$K170,IF($R170=$S$2,$M170*$K170,    IF($M170*$K170 - SUMPRODUCT((TongVTSX!$C$3:$C$1500=$D170)*(TongVTSX!$E$3:$E$1500=$F170)*(TongVTSX!$O$3:$O$1500)) &lt;=10,$M170*$K170,"PO &lt;&gt; TongVTSX"))))</f>
        <v>0</v>
      </c>
      <c r="O170" s="92">
        <f t="shared" ca="1" si="8"/>
        <v>0</v>
      </c>
      <c r="P170" s="1146" t="str">
        <f ca="1">IFERROR(INDEX(NVLSX!$AA$2:$AA$6756,MATCH($D170,NVLSX!$E$2:$E$6756,0)),"")</f>
        <v/>
      </c>
      <c r="Q170" s="742" t="str">
        <f ca="1">IF($R170="","",IF($R170&lt;&gt;$R169,IF(TYPE(MATCH($R170,TongVTSX!$T$3:$T$1500,0))=16,"",MATCH($R170,TongVTSX!$T$3:$T$1500,0)),IF(TYPE(MATCH($R170,OFFSET(TongVTSX!$T$3,$Q169,0):'TongVTSX'!$T$1500,0)+$Q169)=16,"",MATCH($R170,OFFSET(TongVTSX!$T$3,$Q169,0):'TongVTSX'!$T$1500,0)+$Q169)))</f>
        <v/>
      </c>
      <c r="R170" s="179" t="str">
        <f ca="1">IFERROR(IF(COUNTIF($R$3:R169,R169)&lt; INDEX($T$1:$T$7,MATCH($R169,$S$1:$S$7,0)),$R169,INDEX($S$1:$S$7,MATCH($R169,$S$1:$S$7,0)+1)),"")</f>
        <v/>
      </c>
      <c r="S170" s="181"/>
      <c r="T170" s="182"/>
      <c r="U170" s="184" t="str">
        <f ca="1">IF($R170="PR",INDEX(NVLSX!$U$2:$U$6941,MATCH($D170,NVLSX!$E$2:$E$6941,0)),"")</f>
        <v/>
      </c>
      <c r="V170" s="184" t="str">
        <f ca="1">IF($R170="PR",INDEX(NVLSX!$S$2:$S$6941,MATCH($D170,NVLSX!$E$2:$E$6941,0))*1000,"")</f>
        <v/>
      </c>
      <c r="W170" s="776" t="str">
        <f ca="1">IF($R170="PR",INDEX(NVLSX!$S$2:$S$6941,MATCH($D170,NVLSX!$E$2:$E$6941,0))*INDEX(NVLSX!$T$2:$T$6941,MATCH($D170,NVLSX!$E$2:$E$6941,0)),"")</f>
        <v/>
      </c>
      <c r="X170" s="776">
        <f t="shared" ca="1" si="7"/>
        <v>0</v>
      </c>
      <c r="Y170" s="982" t="str">
        <f ca="1">IFERROR(INDEX(NVLSX!$X$2:$X$4655,MATCH($D170,NVLSX!$E$2:$E$4655,0)),"")</f>
        <v/>
      </c>
    </row>
    <row r="171" spans="1:25">
      <c r="A171" s="19" t="str">
        <f ca="1">IF($Q171="","",MAX($A$2:A170)+1)</f>
        <v/>
      </c>
      <c r="B171" s="1146" t="str">
        <f ca="1">IFERROR(INDEX(NVLSX!$Y$2:$Y$6756,MATCH($D171,NVLSX!$E$2:$E$6756,0)),"")</f>
        <v/>
      </c>
      <c r="C171" s="1146" t="str">
        <f ca="1">IFERROR(INDEX(NVLSX!$Z$2:$Z$6756,MATCH($D171,NVLSX!$E$2:$E$6756,0)),"")</f>
        <v/>
      </c>
      <c r="D171" s="23" t="str">
        <f ca="1">IF($Q171="","",INDEX(TongVTSX!C$3:C$1500,$Q171))</f>
        <v/>
      </c>
      <c r="E171" s="729" t="str">
        <f ca="1">IF($Q171="","",INDEX(TongVTSX!D$3:D$1500,$Q171) &amp; IF(OR($R171=$S$1,$R171=$S$7)," (" &amp; INDEX(TongVTSX!A$3:A$1500,$Q171) &amp; ")",""))</f>
        <v/>
      </c>
      <c r="F171" s="745" t="str">
        <f ca="1">IF($Q171="","",IF($R171=$S$7,INDEX(TongVTSX!$G$3:$G$1500,$Q171),INDEX(TongVTSX!$E$3:$E$1500,$Q171)))</f>
        <v/>
      </c>
      <c r="G171" s="24" t="str">
        <f ca="1">IF($Q171="","",IF($R171=$S$1,"mm",IF($R171=$S$2,"Thanh",INDEX(TongVTSX!F$3:F$1500,$Q171))))</f>
        <v/>
      </c>
      <c r="H171" s="114">
        <f ca="1">IF($R171=$S$1,INDEX(TongVTSX!$K$3:$K$1500,$Q171),IF($R171=$S$7,INDEX(TongVTSX!$H$3:$H$1500,$Q171),IF($R171=$S$2,ROUNDUP(SUMPRODUCT((TongVTSX!$C$3:$C$1500=$D171)*(TongVTSX!$E$3:$E$1500=$F171)*(TongVTSX!$K$3:$K$1500))/$U171,0),SUMPRODUCT((TongVTSX!$C$3:$C$1500=$D171)*(TongVTSX!$E$3:$E$1500=$F171)*(TongVTSX!$K$3:$K$1500)))))</f>
        <v>0</v>
      </c>
      <c r="I171" s="114"/>
      <c r="J171" s="114"/>
      <c r="K171" s="114" t="str">
        <f ca="1">IF($Q171="","",IF($R171=$S$2,INDEX(TongVTSX!M$3:M$1500,$Q171)*$U171,   INDEX(TongVTSX!M$3:M$1500,$Q171)))</f>
        <v/>
      </c>
      <c r="L171" s="92">
        <f ca="1">IF($Q171="",0, IF($R171=$S$7,$F171*$H171*$K171,IF($R171=$S$2,$H171*$K171,    IF($H171*$K171 - SUMPRODUCT((TongVTSX!$C$3:$C$1500=$D171)*(TongVTSX!$E$3:$E$1500=$F171)*(TongVTSX!$O$3:$O$1500)) &lt;=10,$H171*$K171,"PO &lt;&gt; TongVTSX"))))</f>
        <v>0</v>
      </c>
      <c r="M171" s="114">
        <f ca="1">IF($R171=$S$1,INDEX(TongVTSX!$K$3:$K$1500,$Q171),IF($R171=$S$7,INDEX(TongVTSX!$H$3:$H$1500,$Q171),IF($R171=$S$2,SUMPRODUCT((TongVTSX!$C$3:$C$1500=$D171)*(TongVTSX!$E$3:$E$1500=$F171)*(TongVTSX!$K$3:$K$1500))/$U171,SUMPRODUCT((TongVTSX!$C$3:$C$1500=$D171)*(TongVTSX!$E$3:$E$1500=$F171)*(TongVTSX!$K$3:$K$1500)))))</f>
        <v>0</v>
      </c>
      <c r="N171" s="92">
        <f ca="1">IF($Q171="",0, IF($R171=$S$7,$F171*$M171*$K171,IF($R171=$S$2,$M171*$K171,    IF($M171*$K171 - SUMPRODUCT((TongVTSX!$C$3:$C$1500=$D171)*(TongVTSX!$E$3:$E$1500=$F171)*(TongVTSX!$O$3:$O$1500)) &lt;=10,$M171*$K171,"PO &lt;&gt; TongVTSX"))))</f>
        <v>0</v>
      </c>
      <c r="O171" s="92">
        <f t="shared" ca="1" si="8"/>
        <v>0</v>
      </c>
      <c r="P171" s="1146" t="str">
        <f ca="1">IFERROR(INDEX(NVLSX!$AA$2:$AA$6756,MATCH($D171,NVLSX!$E$2:$E$6756,0)),"")</f>
        <v/>
      </c>
      <c r="Q171" s="742" t="str">
        <f ca="1">IF($R171="","",IF($R171&lt;&gt;$R170,IF(TYPE(MATCH($R171,TongVTSX!$T$3:$T$1500,0))=16,"",MATCH($R171,TongVTSX!$T$3:$T$1500,0)),IF(TYPE(MATCH($R171,OFFSET(TongVTSX!$T$3,$Q170,0):'TongVTSX'!$T$1500,0)+$Q170)=16,"",MATCH($R171,OFFSET(TongVTSX!$T$3,$Q170,0):'TongVTSX'!$T$1500,0)+$Q170)))</f>
        <v/>
      </c>
      <c r="R171" s="179" t="str">
        <f ca="1">IFERROR(IF(COUNTIF($R$3:R170,R170)&lt; INDEX($T$1:$T$7,MATCH($R170,$S$1:$S$7,0)),$R170,INDEX($S$1:$S$7,MATCH($R170,$S$1:$S$7,0)+1)),"")</f>
        <v/>
      </c>
      <c r="S171" s="181"/>
      <c r="T171" s="182"/>
      <c r="U171" s="184" t="str">
        <f ca="1">IF($R171="PR",INDEX(NVLSX!$U$2:$U$6941,MATCH($D171,NVLSX!$E$2:$E$6941,0)),"")</f>
        <v/>
      </c>
      <c r="V171" s="184" t="str">
        <f ca="1">IF($R171="PR",INDEX(NVLSX!$S$2:$S$6941,MATCH($D171,NVLSX!$E$2:$E$6941,0))*1000,"")</f>
        <v/>
      </c>
      <c r="W171" s="776" t="str">
        <f ca="1">IF($R171="PR",INDEX(NVLSX!$S$2:$S$6941,MATCH($D171,NVLSX!$E$2:$E$6941,0))*INDEX(NVLSX!$T$2:$T$6941,MATCH($D171,NVLSX!$E$2:$E$6941,0)),"")</f>
        <v/>
      </c>
      <c r="X171" s="776">
        <f t="shared" ca="1" si="7"/>
        <v>0</v>
      </c>
      <c r="Y171" s="982" t="str">
        <f ca="1">IFERROR(INDEX(NVLSX!$X$2:$X$4655,MATCH($D171,NVLSX!$E$2:$E$4655,0)),"")</f>
        <v/>
      </c>
    </row>
    <row r="172" spans="1:25">
      <c r="A172" s="19" t="str">
        <f ca="1">IF($Q172="","",MAX($A$2:A171)+1)</f>
        <v/>
      </c>
      <c r="B172" s="1146" t="str">
        <f ca="1">IFERROR(INDEX(NVLSX!$Y$2:$Y$6756,MATCH($D172,NVLSX!$E$2:$E$6756,0)),"")</f>
        <v/>
      </c>
      <c r="C172" s="1146" t="str">
        <f ca="1">IFERROR(INDEX(NVLSX!$Z$2:$Z$6756,MATCH($D172,NVLSX!$E$2:$E$6756,0)),"")</f>
        <v/>
      </c>
      <c r="D172" s="23" t="str">
        <f ca="1">IF($Q172="","",INDEX(TongVTSX!C$3:C$1500,$Q172))</f>
        <v/>
      </c>
      <c r="E172" s="729" t="str">
        <f ca="1">IF($Q172="","",INDEX(TongVTSX!D$3:D$1500,$Q172) &amp; IF(OR($R172=$S$1,$R172=$S$7)," (" &amp; INDEX(TongVTSX!A$3:A$1500,$Q172) &amp; ")",""))</f>
        <v/>
      </c>
      <c r="F172" s="745" t="str">
        <f ca="1">IF($Q172="","",IF($R172=$S$7,INDEX(TongVTSX!$G$3:$G$1500,$Q172),INDEX(TongVTSX!$E$3:$E$1500,$Q172)))</f>
        <v/>
      </c>
      <c r="G172" s="24" t="str">
        <f ca="1">IF($Q172="","",IF($R172=$S$1,"mm",IF($R172=$S$2,"Thanh",INDEX(TongVTSX!F$3:F$1500,$Q172))))</f>
        <v/>
      </c>
      <c r="H172" s="114">
        <f ca="1">IF($R172=$S$1,INDEX(TongVTSX!$K$3:$K$1500,$Q172),IF($R172=$S$7,INDEX(TongVTSX!$H$3:$H$1500,$Q172),IF($R172=$S$2,ROUNDUP(SUMPRODUCT((TongVTSX!$C$3:$C$1500=$D172)*(TongVTSX!$E$3:$E$1500=$F172)*(TongVTSX!$K$3:$K$1500))/$U172,0),SUMPRODUCT((TongVTSX!$C$3:$C$1500=$D172)*(TongVTSX!$E$3:$E$1500=$F172)*(TongVTSX!$K$3:$K$1500)))))</f>
        <v>0</v>
      </c>
      <c r="I172" s="114"/>
      <c r="J172" s="114"/>
      <c r="K172" s="114" t="str">
        <f ca="1">IF($Q172="","",IF($R172=$S$2,INDEX(TongVTSX!M$3:M$1500,$Q172)*$U172,   INDEX(TongVTSX!M$3:M$1500,$Q172)))</f>
        <v/>
      </c>
      <c r="L172" s="92">
        <f ca="1">IF($Q172="",0, IF($R172=$S$7,$F172*$H172*$K172,IF($R172=$S$2,$H172*$K172,    IF($H172*$K172 - SUMPRODUCT((TongVTSX!$C$3:$C$1500=$D172)*(TongVTSX!$E$3:$E$1500=$F172)*(TongVTSX!$O$3:$O$1500)) &lt;=10,$H172*$K172,"PO &lt;&gt; TongVTSX"))))</f>
        <v>0</v>
      </c>
      <c r="M172" s="114">
        <f ca="1">IF($R172=$S$1,INDEX(TongVTSX!$K$3:$K$1500,$Q172),IF($R172=$S$7,INDEX(TongVTSX!$H$3:$H$1500,$Q172),IF($R172=$S$2,SUMPRODUCT((TongVTSX!$C$3:$C$1500=$D172)*(TongVTSX!$E$3:$E$1500=$F172)*(TongVTSX!$K$3:$K$1500))/$U172,SUMPRODUCT((TongVTSX!$C$3:$C$1500=$D172)*(TongVTSX!$E$3:$E$1500=$F172)*(TongVTSX!$K$3:$K$1500)))))</f>
        <v>0</v>
      </c>
      <c r="N172" s="92">
        <f ca="1">IF($Q172="",0, IF($R172=$S$7,$F172*$M172*$K172,IF($R172=$S$2,$M172*$K172,    IF($M172*$K172 - SUMPRODUCT((TongVTSX!$C$3:$C$1500=$D172)*(TongVTSX!$E$3:$E$1500=$F172)*(TongVTSX!$O$3:$O$1500)) &lt;=10,$M172*$K172,"PO &lt;&gt; TongVTSX"))))</f>
        <v>0</v>
      </c>
      <c r="O172" s="92">
        <f t="shared" ca="1" si="8"/>
        <v>0</v>
      </c>
      <c r="P172" s="1146" t="str">
        <f ca="1">IFERROR(INDEX(NVLSX!$AA$2:$AA$6756,MATCH($D172,NVLSX!$E$2:$E$6756,0)),"")</f>
        <v/>
      </c>
      <c r="Q172" s="742" t="str">
        <f ca="1">IF($R172="","",IF($R172&lt;&gt;$R171,IF(TYPE(MATCH($R172,TongVTSX!$T$3:$T$1500,0))=16,"",MATCH($R172,TongVTSX!$T$3:$T$1500,0)),IF(TYPE(MATCH($R172,OFFSET(TongVTSX!$T$3,$Q171,0):'TongVTSX'!$T$1500,0)+$Q171)=16,"",MATCH($R172,OFFSET(TongVTSX!$T$3,$Q171,0):'TongVTSX'!$T$1500,0)+$Q171)))</f>
        <v/>
      </c>
      <c r="R172" s="179" t="str">
        <f ca="1">IFERROR(IF(COUNTIF($R$3:R171,R171)&lt; INDEX($T$1:$T$7,MATCH($R171,$S$1:$S$7,0)),$R171,INDEX($S$1:$S$7,MATCH($R171,$S$1:$S$7,0)+1)),"")</f>
        <v/>
      </c>
      <c r="S172" s="181"/>
      <c r="T172" s="182"/>
      <c r="U172" s="184" t="str">
        <f ca="1">IF($R172="PR",INDEX(NVLSX!$U$2:$U$6941,MATCH($D172,NVLSX!$E$2:$E$6941,0)),"")</f>
        <v/>
      </c>
      <c r="V172" s="184" t="str">
        <f ca="1">IF($R172="PR",INDEX(NVLSX!$S$2:$S$6941,MATCH($D172,NVLSX!$E$2:$E$6941,0))*1000,"")</f>
        <v/>
      </c>
      <c r="W172" s="776" t="str">
        <f ca="1">IF($R172="PR",INDEX(NVLSX!$S$2:$S$6941,MATCH($D172,NVLSX!$E$2:$E$6941,0))*INDEX(NVLSX!$T$2:$T$6941,MATCH($D172,NVLSX!$E$2:$E$6941,0)),"")</f>
        <v/>
      </c>
      <c r="X172" s="776">
        <f t="shared" ca="1" si="7"/>
        <v>0</v>
      </c>
      <c r="Y172" s="982" t="str">
        <f ca="1">IFERROR(INDEX(NVLSX!$X$2:$X$4655,MATCH($D172,NVLSX!$E$2:$E$4655,0)),"")</f>
        <v/>
      </c>
    </row>
    <row r="173" spans="1:25">
      <c r="A173" s="19" t="str">
        <f ca="1">IF($Q173="","",MAX($A$2:A172)+1)</f>
        <v/>
      </c>
      <c r="B173" s="1146" t="str">
        <f ca="1">IFERROR(INDEX(NVLSX!$Y$2:$Y$6756,MATCH($D173,NVLSX!$E$2:$E$6756,0)),"")</f>
        <v/>
      </c>
      <c r="C173" s="1146" t="str">
        <f ca="1">IFERROR(INDEX(NVLSX!$Z$2:$Z$6756,MATCH($D173,NVLSX!$E$2:$E$6756,0)),"")</f>
        <v/>
      </c>
      <c r="D173" s="23" t="str">
        <f ca="1">IF($Q173="","",INDEX(TongVTSX!C$3:C$1500,$Q173))</f>
        <v/>
      </c>
      <c r="E173" s="729" t="str">
        <f ca="1">IF($Q173="","",INDEX(TongVTSX!D$3:D$1500,$Q173) &amp; IF(OR($R173=$S$1,$R173=$S$7)," (" &amp; INDEX(TongVTSX!A$3:A$1500,$Q173) &amp; ")",""))</f>
        <v/>
      </c>
      <c r="F173" s="745" t="str">
        <f ca="1">IF($Q173="","",IF($R173=$S$7,INDEX(TongVTSX!$G$3:$G$1500,$Q173),INDEX(TongVTSX!$E$3:$E$1500,$Q173)))</f>
        <v/>
      </c>
      <c r="G173" s="24" t="str">
        <f ca="1">IF($Q173="","",IF($R173=$S$1,"mm",IF($R173=$S$2,"Thanh",INDEX(TongVTSX!F$3:F$1500,$Q173))))</f>
        <v/>
      </c>
      <c r="H173" s="114">
        <f ca="1">IF($R173=$S$1,INDEX(TongVTSX!$K$3:$K$1500,$Q173),IF($R173=$S$7,INDEX(TongVTSX!$H$3:$H$1500,$Q173),IF($R173=$S$2,ROUNDUP(SUMPRODUCT((TongVTSX!$C$3:$C$1500=$D173)*(TongVTSX!$E$3:$E$1500=$F173)*(TongVTSX!$K$3:$K$1500))/$U173,0),SUMPRODUCT((TongVTSX!$C$3:$C$1500=$D173)*(TongVTSX!$E$3:$E$1500=$F173)*(TongVTSX!$K$3:$K$1500)))))</f>
        <v>0</v>
      </c>
      <c r="I173" s="114"/>
      <c r="J173" s="114"/>
      <c r="K173" s="114" t="str">
        <f ca="1">IF($Q173="","",IF($R173=$S$2,INDEX(TongVTSX!M$3:M$1500,$Q173)*$U173,   INDEX(TongVTSX!M$3:M$1500,$Q173)))</f>
        <v/>
      </c>
      <c r="L173" s="92">
        <f ca="1">IF($Q173="",0, IF($R173=$S$7,$F173*$H173*$K173,IF($R173=$S$2,$H173*$K173,    IF($H173*$K173 - SUMPRODUCT((TongVTSX!$C$3:$C$1500=$D173)*(TongVTSX!$E$3:$E$1500=$F173)*(TongVTSX!$O$3:$O$1500)) &lt;=10,$H173*$K173,"PO &lt;&gt; TongVTSX"))))</f>
        <v>0</v>
      </c>
      <c r="M173" s="114">
        <f ca="1">IF($R173=$S$1,INDEX(TongVTSX!$K$3:$K$1500,$Q173),IF($R173=$S$7,INDEX(TongVTSX!$H$3:$H$1500,$Q173),IF($R173=$S$2,SUMPRODUCT((TongVTSX!$C$3:$C$1500=$D173)*(TongVTSX!$E$3:$E$1500=$F173)*(TongVTSX!$K$3:$K$1500))/$U173,SUMPRODUCT((TongVTSX!$C$3:$C$1500=$D173)*(TongVTSX!$E$3:$E$1500=$F173)*(TongVTSX!$K$3:$K$1500)))))</f>
        <v>0</v>
      </c>
      <c r="N173" s="92">
        <f ca="1">IF($Q173="",0, IF($R173=$S$7,$F173*$M173*$K173,IF($R173=$S$2,$M173*$K173,    IF($M173*$K173 - SUMPRODUCT((TongVTSX!$C$3:$C$1500=$D173)*(TongVTSX!$E$3:$E$1500=$F173)*(TongVTSX!$O$3:$O$1500)) &lt;=10,$M173*$K173,"PO &lt;&gt; TongVTSX"))))</f>
        <v>0</v>
      </c>
      <c r="O173" s="92">
        <f t="shared" ca="1" si="8"/>
        <v>0</v>
      </c>
      <c r="P173" s="1146" t="str">
        <f ca="1">IFERROR(INDEX(NVLSX!$AA$2:$AA$6756,MATCH($D173,NVLSX!$E$2:$E$6756,0)),"")</f>
        <v/>
      </c>
      <c r="Q173" s="742" t="str">
        <f ca="1">IF($R173="","",IF($R173&lt;&gt;$R172,IF(TYPE(MATCH($R173,TongVTSX!$T$3:$T$1500,0))=16,"",MATCH($R173,TongVTSX!$T$3:$T$1500,0)),IF(TYPE(MATCH($R173,OFFSET(TongVTSX!$T$3,$Q172,0):'TongVTSX'!$T$1500,0)+$Q172)=16,"",MATCH($R173,OFFSET(TongVTSX!$T$3,$Q172,0):'TongVTSX'!$T$1500,0)+$Q172)))</f>
        <v/>
      </c>
      <c r="R173" s="179" t="str">
        <f ca="1">IFERROR(IF(COUNTIF($R$3:R172,R172)&lt; INDEX($T$1:$T$7,MATCH($R172,$S$1:$S$7,0)),$R172,INDEX($S$1:$S$7,MATCH($R172,$S$1:$S$7,0)+1)),"")</f>
        <v/>
      </c>
      <c r="S173" s="181"/>
      <c r="T173" s="182"/>
      <c r="U173" s="184" t="str">
        <f ca="1">IF($R173="PR",INDEX(NVLSX!$U$2:$U$6941,MATCH($D173,NVLSX!$E$2:$E$6941,0)),"")</f>
        <v/>
      </c>
      <c r="V173" s="184" t="str">
        <f ca="1">IF($R173="PR",INDEX(NVLSX!$S$2:$S$6941,MATCH($D173,NVLSX!$E$2:$E$6941,0))*1000,"")</f>
        <v/>
      </c>
      <c r="W173" s="776" t="str">
        <f ca="1">IF($R173="PR",INDEX(NVLSX!$S$2:$S$6941,MATCH($D173,NVLSX!$E$2:$E$6941,0))*INDEX(NVLSX!$T$2:$T$6941,MATCH($D173,NVLSX!$E$2:$E$6941,0)),"")</f>
        <v/>
      </c>
      <c r="X173" s="776">
        <f t="shared" ca="1" si="7"/>
        <v>0</v>
      </c>
      <c r="Y173" s="982" t="str">
        <f ca="1">IFERROR(INDEX(NVLSX!$X$2:$X$4655,MATCH($D173,NVLSX!$E$2:$E$4655,0)),"")</f>
        <v/>
      </c>
    </row>
    <row r="174" spans="1:25">
      <c r="A174" s="19" t="str">
        <f ca="1">IF($Q174="","",MAX($A$2:A173)+1)</f>
        <v/>
      </c>
      <c r="B174" s="1146" t="str">
        <f ca="1">IFERROR(INDEX(NVLSX!$Y$2:$Y$6756,MATCH($D174,NVLSX!$E$2:$E$6756,0)),"")</f>
        <v/>
      </c>
      <c r="C174" s="1146" t="str">
        <f ca="1">IFERROR(INDEX(NVLSX!$Z$2:$Z$6756,MATCH($D174,NVLSX!$E$2:$E$6756,0)),"")</f>
        <v/>
      </c>
      <c r="D174" s="23" t="str">
        <f ca="1">IF($Q174="","",INDEX(TongVTSX!C$3:C$1500,$Q174))</f>
        <v/>
      </c>
      <c r="E174" s="729" t="str">
        <f ca="1">IF($Q174="","",INDEX(TongVTSX!D$3:D$1500,$Q174) &amp; IF(OR($R174=$S$1,$R174=$S$7)," (" &amp; INDEX(TongVTSX!A$3:A$1500,$Q174) &amp; ")",""))</f>
        <v/>
      </c>
      <c r="F174" s="745" t="str">
        <f ca="1">IF($Q174="","",IF($R174=$S$7,INDEX(TongVTSX!$G$3:$G$1500,$Q174),INDEX(TongVTSX!$E$3:$E$1500,$Q174)))</f>
        <v/>
      </c>
      <c r="G174" s="24" t="str">
        <f ca="1">IF($Q174="","",IF($R174=$S$1,"mm",IF($R174=$S$2,"Thanh",INDEX(TongVTSX!F$3:F$1500,$Q174))))</f>
        <v/>
      </c>
      <c r="H174" s="114">
        <f ca="1">IF($R174=$S$1,INDEX(TongVTSX!$K$3:$K$1500,$Q174),IF($R174=$S$7,INDEX(TongVTSX!$H$3:$H$1500,$Q174),IF($R174=$S$2,ROUNDUP(SUMPRODUCT((TongVTSX!$C$3:$C$1500=$D174)*(TongVTSX!$E$3:$E$1500=$F174)*(TongVTSX!$K$3:$K$1500))/$U174,0),SUMPRODUCT((TongVTSX!$C$3:$C$1500=$D174)*(TongVTSX!$E$3:$E$1500=$F174)*(TongVTSX!$K$3:$K$1500)))))</f>
        <v>0</v>
      </c>
      <c r="I174" s="114"/>
      <c r="J174" s="114"/>
      <c r="K174" s="114" t="str">
        <f ca="1">IF($Q174="","",IF($R174=$S$2,INDEX(TongVTSX!M$3:M$1500,$Q174)*$U174,   INDEX(TongVTSX!M$3:M$1500,$Q174)))</f>
        <v/>
      </c>
      <c r="L174" s="92">
        <f ca="1">IF($Q174="",0, IF($R174=$S$7,$F174*$H174*$K174,IF($R174=$S$2,$H174*$K174,    IF($H174*$K174 - SUMPRODUCT((TongVTSX!$C$3:$C$1500=$D174)*(TongVTSX!$E$3:$E$1500=$F174)*(TongVTSX!$O$3:$O$1500)) &lt;=10,$H174*$K174,"PO &lt;&gt; TongVTSX"))))</f>
        <v>0</v>
      </c>
      <c r="M174" s="114">
        <f ca="1">IF($R174=$S$1,INDEX(TongVTSX!$K$3:$K$1500,$Q174),IF($R174=$S$7,INDEX(TongVTSX!$H$3:$H$1500,$Q174),IF($R174=$S$2,SUMPRODUCT((TongVTSX!$C$3:$C$1500=$D174)*(TongVTSX!$E$3:$E$1500=$F174)*(TongVTSX!$K$3:$K$1500))/$U174,SUMPRODUCT((TongVTSX!$C$3:$C$1500=$D174)*(TongVTSX!$E$3:$E$1500=$F174)*(TongVTSX!$K$3:$K$1500)))))</f>
        <v>0</v>
      </c>
      <c r="N174" s="92">
        <f ca="1">IF($Q174="",0, IF($R174=$S$7,$F174*$M174*$K174,IF($R174=$S$2,$M174*$K174,    IF($M174*$K174 - SUMPRODUCT((TongVTSX!$C$3:$C$1500=$D174)*(TongVTSX!$E$3:$E$1500=$F174)*(TongVTSX!$O$3:$O$1500)) &lt;=10,$M174*$K174,"PO &lt;&gt; TongVTSX"))))</f>
        <v>0</v>
      </c>
      <c r="O174" s="92">
        <f t="shared" ca="1" si="8"/>
        <v>0</v>
      </c>
      <c r="P174" s="1146" t="str">
        <f ca="1">IFERROR(INDEX(NVLSX!$AA$2:$AA$6756,MATCH($D174,NVLSX!$E$2:$E$6756,0)),"")</f>
        <v/>
      </c>
      <c r="Q174" s="742" t="str">
        <f ca="1">IF($R174="","",IF($R174&lt;&gt;$R173,IF(TYPE(MATCH($R174,TongVTSX!$T$3:$T$1500,0))=16,"",MATCH($R174,TongVTSX!$T$3:$T$1500,0)),IF(TYPE(MATCH($R174,OFFSET(TongVTSX!$T$3,$Q173,0):'TongVTSX'!$T$1500,0)+$Q173)=16,"",MATCH($R174,OFFSET(TongVTSX!$T$3,$Q173,0):'TongVTSX'!$T$1500,0)+$Q173)))</f>
        <v/>
      </c>
      <c r="R174" s="179" t="str">
        <f ca="1">IFERROR(IF(COUNTIF($R$3:R173,R173)&lt; INDEX($T$1:$T$7,MATCH($R173,$S$1:$S$7,0)),$R173,INDEX($S$1:$S$7,MATCH($R173,$S$1:$S$7,0)+1)),"")</f>
        <v/>
      </c>
      <c r="S174" s="181"/>
      <c r="T174" s="182"/>
      <c r="U174" s="184" t="str">
        <f ca="1">IF($R174="PR",INDEX(NVLSX!$U$2:$U$6941,MATCH($D174,NVLSX!$E$2:$E$6941,0)),"")</f>
        <v/>
      </c>
      <c r="V174" s="184" t="str">
        <f ca="1">IF($R174="PR",INDEX(NVLSX!$S$2:$S$6941,MATCH($D174,NVLSX!$E$2:$E$6941,0))*1000,"")</f>
        <v/>
      </c>
      <c r="W174" s="776" t="str">
        <f ca="1">IF($R174="PR",INDEX(NVLSX!$S$2:$S$6941,MATCH($D174,NVLSX!$E$2:$E$6941,0))*INDEX(NVLSX!$T$2:$T$6941,MATCH($D174,NVLSX!$E$2:$E$6941,0)),"")</f>
        <v/>
      </c>
      <c r="X174" s="776">
        <f t="shared" ca="1" si="7"/>
        <v>0</v>
      </c>
      <c r="Y174" s="982" t="str">
        <f ca="1">IFERROR(INDEX(NVLSX!$X$2:$X$4655,MATCH($D174,NVLSX!$E$2:$E$4655,0)),"")</f>
        <v/>
      </c>
    </row>
    <row r="175" spans="1:25">
      <c r="A175" s="19" t="str">
        <f ca="1">IF($Q175="","",MAX($A$2:A174)+1)</f>
        <v/>
      </c>
      <c r="B175" s="1146" t="str">
        <f ca="1">IFERROR(INDEX(NVLSX!$Y$2:$Y$6756,MATCH($D175,NVLSX!$E$2:$E$6756,0)),"")</f>
        <v/>
      </c>
      <c r="C175" s="1146" t="str">
        <f ca="1">IFERROR(INDEX(NVLSX!$Z$2:$Z$6756,MATCH($D175,NVLSX!$E$2:$E$6756,0)),"")</f>
        <v/>
      </c>
      <c r="D175" s="23" t="str">
        <f ca="1">IF($Q175="","",INDEX(TongVTSX!C$3:C$1500,$Q175))</f>
        <v/>
      </c>
      <c r="E175" s="729" t="str">
        <f ca="1">IF($Q175="","",INDEX(TongVTSX!D$3:D$1500,$Q175) &amp; IF(OR($R175=$S$1,$R175=$S$7)," (" &amp; INDEX(TongVTSX!A$3:A$1500,$Q175) &amp; ")",""))</f>
        <v/>
      </c>
      <c r="F175" s="745" t="str">
        <f ca="1">IF($Q175="","",IF($R175=$S$7,INDEX(TongVTSX!$G$3:$G$1500,$Q175),INDEX(TongVTSX!$E$3:$E$1500,$Q175)))</f>
        <v/>
      </c>
      <c r="G175" s="24" t="str">
        <f ca="1">IF($Q175="","",IF($R175=$S$1,"mm",IF($R175=$S$2,"Thanh",INDEX(TongVTSX!F$3:F$1500,$Q175))))</f>
        <v/>
      </c>
      <c r="H175" s="114">
        <f ca="1">IF($R175=$S$1,INDEX(TongVTSX!$K$3:$K$1500,$Q175),IF($R175=$S$7,INDEX(TongVTSX!$H$3:$H$1500,$Q175),IF($R175=$S$2,ROUNDUP(SUMPRODUCT((TongVTSX!$C$3:$C$1500=$D175)*(TongVTSX!$E$3:$E$1500=$F175)*(TongVTSX!$K$3:$K$1500))/$U175,0),SUMPRODUCT((TongVTSX!$C$3:$C$1500=$D175)*(TongVTSX!$E$3:$E$1500=$F175)*(TongVTSX!$K$3:$K$1500)))))</f>
        <v>0</v>
      </c>
      <c r="I175" s="114"/>
      <c r="J175" s="114"/>
      <c r="K175" s="114" t="str">
        <f ca="1">IF($Q175="","",IF($R175=$S$2,INDEX(TongVTSX!M$3:M$1500,$Q175)*$U175,   INDEX(TongVTSX!M$3:M$1500,$Q175)))</f>
        <v/>
      </c>
      <c r="L175" s="92">
        <f ca="1">IF($Q175="",0, IF($R175=$S$7,$F175*$H175*$K175,IF($R175=$S$2,$H175*$K175,    IF($H175*$K175 - SUMPRODUCT((TongVTSX!$C$3:$C$1500=$D175)*(TongVTSX!$E$3:$E$1500=$F175)*(TongVTSX!$O$3:$O$1500)) &lt;=10,$H175*$K175,"PO &lt;&gt; TongVTSX"))))</f>
        <v>0</v>
      </c>
      <c r="M175" s="114">
        <f ca="1">IF($R175=$S$1,INDEX(TongVTSX!$K$3:$K$1500,$Q175),IF($R175=$S$7,INDEX(TongVTSX!$H$3:$H$1500,$Q175),IF($R175=$S$2,SUMPRODUCT((TongVTSX!$C$3:$C$1500=$D175)*(TongVTSX!$E$3:$E$1500=$F175)*(TongVTSX!$K$3:$K$1500))/$U175,SUMPRODUCT((TongVTSX!$C$3:$C$1500=$D175)*(TongVTSX!$E$3:$E$1500=$F175)*(TongVTSX!$K$3:$K$1500)))))</f>
        <v>0</v>
      </c>
      <c r="N175" s="92">
        <f ca="1">IF($Q175="",0, IF($R175=$S$7,$F175*$M175*$K175,IF($R175=$S$2,$M175*$K175,    IF($M175*$K175 - SUMPRODUCT((TongVTSX!$C$3:$C$1500=$D175)*(TongVTSX!$E$3:$E$1500=$F175)*(TongVTSX!$O$3:$O$1500)) &lt;=10,$M175*$K175,"PO &lt;&gt; TongVTSX"))))</f>
        <v>0</v>
      </c>
      <c r="O175" s="92">
        <f t="shared" ca="1" si="8"/>
        <v>0</v>
      </c>
      <c r="P175" s="1146" t="str">
        <f ca="1">IFERROR(INDEX(NVLSX!$AA$2:$AA$6756,MATCH($D175,NVLSX!$E$2:$E$6756,0)),"")</f>
        <v/>
      </c>
      <c r="Q175" s="742" t="str">
        <f ca="1">IF($R175="","",IF($R175&lt;&gt;$R174,IF(TYPE(MATCH($R175,TongVTSX!$T$3:$T$1500,0))=16,"",MATCH($R175,TongVTSX!$T$3:$T$1500,0)),IF(TYPE(MATCH($R175,OFFSET(TongVTSX!$T$3,$Q174,0):'TongVTSX'!$T$1500,0)+$Q174)=16,"",MATCH($R175,OFFSET(TongVTSX!$T$3,$Q174,0):'TongVTSX'!$T$1500,0)+$Q174)))</f>
        <v/>
      </c>
      <c r="R175" s="179" t="str">
        <f ca="1">IFERROR(IF(COUNTIF($R$3:R174,R174)&lt; INDEX($T$1:$T$7,MATCH($R174,$S$1:$S$7,0)),$R174,INDEX($S$1:$S$7,MATCH($R174,$S$1:$S$7,0)+1)),"")</f>
        <v/>
      </c>
      <c r="S175" s="181"/>
      <c r="T175" s="182"/>
      <c r="U175" s="184" t="str">
        <f ca="1">IF($R175="PR",INDEX(NVLSX!$U$2:$U$6941,MATCH($D175,NVLSX!$E$2:$E$6941,0)),"")</f>
        <v/>
      </c>
      <c r="V175" s="184" t="str">
        <f ca="1">IF($R175="PR",INDEX(NVLSX!$S$2:$S$6941,MATCH($D175,NVLSX!$E$2:$E$6941,0))*1000,"")</f>
        <v/>
      </c>
      <c r="W175" s="776" t="str">
        <f ca="1">IF($R175="PR",INDEX(NVLSX!$S$2:$S$6941,MATCH($D175,NVLSX!$E$2:$E$6941,0))*INDEX(NVLSX!$T$2:$T$6941,MATCH($D175,NVLSX!$E$2:$E$6941,0)),"")</f>
        <v/>
      </c>
      <c r="X175" s="776">
        <f t="shared" ca="1" si="7"/>
        <v>0</v>
      </c>
      <c r="Y175" s="982" t="str">
        <f ca="1">IFERROR(INDEX(NVLSX!$X$2:$X$4655,MATCH($D175,NVLSX!$E$2:$E$4655,0)),"")</f>
        <v/>
      </c>
    </row>
    <row r="176" spans="1:25">
      <c r="A176" s="19" t="str">
        <f ca="1">IF($Q176="","",MAX($A$2:A175)+1)</f>
        <v/>
      </c>
      <c r="B176" s="1146" t="str">
        <f ca="1">IFERROR(INDEX(NVLSX!$Y$2:$Y$6756,MATCH($D176,NVLSX!$E$2:$E$6756,0)),"")</f>
        <v/>
      </c>
      <c r="C176" s="1146" t="str">
        <f ca="1">IFERROR(INDEX(NVLSX!$Z$2:$Z$6756,MATCH($D176,NVLSX!$E$2:$E$6756,0)),"")</f>
        <v/>
      </c>
      <c r="D176" s="23" t="str">
        <f ca="1">IF($Q176="","",INDEX(TongVTSX!C$3:C$1500,$Q176))</f>
        <v/>
      </c>
      <c r="E176" s="729" t="str">
        <f ca="1">IF($Q176="","",INDEX(TongVTSX!D$3:D$1500,$Q176) &amp; IF(OR($R176=$S$1,$R176=$S$7)," (" &amp; INDEX(TongVTSX!A$3:A$1500,$Q176) &amp; ")",""))</f>
        <v/>
      </c>
      <c r="F176" s="745" t="str">
        <f ca="1">IF($Q176="","",IF($R176=$S$7,INDEX(TongVTSX!$G$3:$G$1500,$Q176),INDEX(TongVTSX!$E$3:$E$1500,$Q176)))</f>
        <v/>
      </c>
      <c r="G176" s="24" t="str">
        <f ca="1">IF($Q176="","",IF($R176=$S$1,"mm",IF($R176=$S$2,"Thanh",INDEX(TongVTSX!F$3:F$1500,$Q176))))</f>
        <v/>
      </c>
      <c r="H176" s="114">
        <f ca="1">IF($R176=$S$1,INDEX(TongVTSX!$K$3:$K$1500,$Q176),IF($R176=$S$7,INDEX(TongVTSX!$H$3:$H$1500,$Q176),IF($R176=$S$2,ROUNDUP(SUMPRODUCT((TongVTSX!$C$3:$C$1500=$D176)*(TongVTSX!$E$3:$E$1500=$F176)*(TongVTSX!$K$3:$K$1500))/$U176,0),SUMPRODUCT((TongVTSX!$C$3:$C$1500=$D176)*(TongVTSX!$E$3:$E$1500=$F176)*(TongVTSX!$K$3:$K$1500)))))</f>
        <v>0</v>
      </c>
      <c r="I176" s="114"/>
      <c r="J176" s="114"/>
      <c r="K176" s="114" t="str">
        <f ca="1">IF($Q176="","",IF($R176=$S$2,INDEX(TongVTSX!M$3:M$1500,$Q176)*$U176,   INDEX(TongVTSX!M$3:M$1500,$Q176)))</f>
        <v/>
      </c>
      <c r="L176" s="92">
        <f ca="1">IF($Q176="",0, IF($R176=$S$7,$F176*$H176*$K176,IF($R176=$S$2,$H176*$K176,    IF($H176*$K176 - SUMPRODUCT((TongVTSX!$C$3:$C$1500=$D176)*(TongVTSX!$E$3:$E$1500=$F176)*(TongVTSX!$O$3:$O$1500)) &lt;=10,$H176*$K176,"PO &lt;&gt; TongVTSX"))))</f>
        <v>0</v>
      </c>
      <c r="M176" s="114">
        <f ca="1">IF($R176=$S$1,INDEX(TongVTSX!$K$3:$K$1500,$Q176),IF($R176=$S$7,INDEX(TongVTSX!$H$3:$H$1500,$Q176),IF($R176=$S$2,SUMPRODUCT((TongVTSX!$C$3:$C$1500=$D176)*(TongVTSX!$E$3:$E$1500=$F176)*(TongVTSX!$K$3:$K$1500))/$U176,SUMPRODUCT((TongVTSX!$C$3:$C$1500=$D176)*(TongVTSX!$E$3:$E$1500=$F176)*(TongVTSX!$K$3:$K$1500)))))</f>
        <v>0</v>
      </c>
      <c r="N176" s="92">
        <f ca="1">IF($Q176="",0, IF($R176=$S$7,$F176*$M176*$K176,IF($R176=$S$2,$M176*$K176,    IF($M176*$K176 - SUMPRODUCT((TongVTSX!$C$3:$C$1500=$D176)*(TongVTSX!$E$3:$E$1500=$F176)*(TongVTSX!$O$3:$O$1500)) &lt;=10,$M176*$K176,"PO &lt;&gt; TongVTSX"))))</f>
        <v>0</v>
      </c>
      <c r="O176" s="92">
        <f t="shared" ca="1" si="8"/>
        <v>0</v>
      </c>
      <c r="P176" s="1146" t="str">
        <f ca="1">IFERROR(INDEX(NVLSX!$AA$2:$AA$6756,MATCH($D176,NVLSX!$E$2:$E$6756,0)),"")</f>
        <v/>
      </c>
      <c r="Q176" s="742" t="str">
        <f ca="1">IF($R176="","",IF($R176&lt;&gt;$R175,IF(TYPE(MATCH($R176,TongVTSX!$T$3:$T$1500,0))=16,"",MATCH($R176,TongVTSX!$T$3:$T$1500,0)),IF(TYPE(MATCH($R176,OFFSET(TongVTSX!$T$3,$Q175,0):'TongVTSX'!$T$1500,0)+$Q175)=16,"",MATCH($R176,OFFSET(TongVTSX!$T$3,$Q175,0):'TongVTSX'!$T$1500,0)+$Q175)))</f>
        <v/>
      </c>
      <c r="R176" s="179" t="str">
        <f ca="1">IFERROR(IF(COUNTIF($R$3:R175,R175)&lt; INDEX($T$1:$T$7,MATCH($R175,$S$1:$S$7,0)),$R175,INDEX($S$1:$S$7,MATCH($R175,$S$1:$S$7,0)+1)),"")</f>
        <v/>
      </c>
      <c r="S176" s="181"/>
      <c r="T176" s="182"/>
      <c r="U176" s="184" t="str">
        <f ca="1">IF($R176="PR",INDEX(NVLSX!$U$2:$U$6941,MATCH($D176,NVLSX!$E$2:$E$6941,0)),"")</f>
        <v/>
      </c>
      <c r="V176" s="184" t="str">
        <f ca="1">IF($R176="PR",INDEX(NVLSX!$S$2:$S$6941,MATCH($D176,NVLSX!$E$2:$E$6941,0))*1000,"")</f>
        <v/>
      </c>
      <c r="W176" s="776" t="str">
        <f ca="1">IF($R176="PR",INDEX(NVLSX!$S$2:$S$6941,MATCH($D176,NVLSX!$E$2:$E$6941,0))*INDEX(NVLSX!$T$2:$T$6941,MATCH($D176,NVLSX!$E$2:$E$6941,0)),"")</f>
        <v/>
      </c>
      <c r="X176" s="776">
        <f t="shared" ca="1" si="7"/>
        <v>0</v>
      </c>
      <c r="Y176" s="982" t="str">
        <f ca="1">IFERROR(INDEX(NVLSX!$X$2:$X$4655,MATCH($D176,NVLSX!$E$2:$E$4655,0)),"")</f>
        <v/>
      </c>
    </row>
    <row r="177" spans="1:25">
      <c r="A177" s="19" t="str">
        <f ca="1">IF($Q177="","",MAX($A$2:A176)+1)</f>
        <v/>
      </c>
      <c r="B177" s="1146" t="str">
        <f ca="1">IFERROR(INDEX(NVLSX!$Y$2:$Y$6756,MATCH($D177,NVLSX!$E$2:$E$6756,0)),"")</f>
        <v/>
      </c>
      <c r="C177" s="1146" t="str">
        <f ca="1">IFERROR(INDEX(NVLSX!$Z$2:$Z$6756,MATCH($D177,NVLSX!$E$2:$E$6756,0)),"")</f>
        <v/>
      </c>
      <c r="D177" s="23" t="str">
        <f ca="1">IF($Q177="","",INDEX(TongVTSX!C$3:C$1500,$Q177))</f>
        <v/>
      </c>
      <c r="E177" s="729" t="str">
        <f ca="1">IF($Q177="","",INDEX(TongVTSX!D$3:D$1500,$Q177) &amp; IF(OR($R177=$S$1,$R177=$S$7)," (" &amp; INDEX(TongVTSX!A$3:A$1500,$Q177) &amp; ")",""))</f>
        <v/>
      </c>
      <c r="F177" s="745" t="str">
        <f ca="1">IF($Q177="","",IF($R177=$S$7,INDEX(TongVTSX!$G$3:$G$1500,$Q177),INDEX(TongVTSX!$E$3:$E$1500,$Q177)))</f>
        <v/>
      </c>
      <c r="G177" s="24" t="str">
        <f ca="1">IF($Q177="","",IF($R177=$S$1,"mm",IF($R177=$S$2,"Thanh",INDEX(TongVTSX!F$3:F$1500,$Q177))))</f>
        <v/>
      </c>
      <c r="H177" s="114">
        <f ca="1">IF($R177=$S$1,INDEX(TongVTSX!$K$3:$K$1500,$Q177),IF($R177=$S$7,INDEX(TongVTSX!$H$3:$H$1500,$Q177),IF($R177=$S$2,ROUNDUP(SUMPRODUCT((TongVTSX!$C$3:$C$1500=$D177)*(TongVTSX!$E$3:$E$1500=$F177)*(TongVTSX!$K$3:$K$1500))/$U177,0),SUMPRODUCT((TongVTSX!$C$3:$C$1500=$D177)*(TongVTSX!$E$3:$E$1500=$F177)*(TongVTSX!$K$3:$K$1500)))))</f>
        <v>0</v>
      </c>
      <c r="I177" s="114"/>
      <c r="J177" s="114"/>
      <c r="K177" s="114" t="str">
        <f ca="1">IF($Q177="","",IF($R177=$S$2,INDEX(TongVTSX!M$3:M$1500,$Q177)*$U177,   INDEX(TongVTSX!M$3:M$1500,$Q177)))</f>
        <v/>
      </c>
      <c r="L177" s="92">
        <f ca="1">IF($Q177="",0, IF($R177=$S$7,$F177*$H177*$K177,IF($R177=$S$2,$H177*$K177,    IF($H177*$K177 - SUMPRODUCT((TongVTSX!$C$3:$C$1500=$D177)*(TongVTSX!$E$3:$E$1500=$F177)*(TongVTSX!$O$3:$O$1500)) &lt;=10,$H177*$K177,"PO &lt;&gt; TongVTSX"))))</f>
        <v>0</v>
      </c>
      <c r="M177" s="114">
        <f ca="1">IF($R177=$S$1,INDEX(TongVTSX!$K$3:$K$1500,$Q177),IF($R177=$S$7,INDEX(TongVTSX!$H$3:$H$1500,$Q177),IF($R177=$S$2,SUMPRODUCT((TongVTSX!$C$3:$C$1500=$D177)*(TongVTSX!$E$3:$E$1500=$F177)*(TongVTSX!$K$3:$K$1500))/$U177,SUMPRODUCT((TongVTSX!$C$3:$C$1500=$D177)*(TongVTSX!$E$3:$E$1500=$F177)*(TongVTSX!$K$3:$K$1500)))))</f>
        <v>0</v>
      </c>
      <c r="N177" s="92">
        <f ca="1">IF($Q177="",0, IF($R177=$S$7,$F177*$M177*$K177,IF($R177=$S$2,$M177*$K177,    IF($M177*$K177 - SUMPRODUCT((TongVTSX!$C$3:$C$1500=$D177)*(TongVTSX!$E$3:$E$1500=$F177)*(TongVTSX!$O$3:$O$1500)) &lt;=10,$M177*$K177,"PO &lt;&gt; TongVTSX"))))</f>
        <v>0</v>
      </c>
      <c r="O177" s="92">
        <f t="shared" ca="1" si="8"/>
        <v>0</v>
      </c>
      <c r="P177" s="1146" t="str">
        <f ca="1">IFERROR(INDEX(NVLSX!$AA$2:$AA$6756,MATCH($D177,NVLSX!$E$2:$E$6756,0)),"")</f>
        <v/>
      </c>
      <c r="Q177" s="742" t="str">
        <f ca="1">IF($R177="","",IF($R177&lt;&gt;$R176,IF(TYPE(MATCH($R177,TongVTSX!$T$3:$T$1500,0))=16,"",MATCH($R177,TongVTSX!$T$3:$T$1500,0)),IF(TYPE(MATCH($R177,OFFSET(TongVTSX!$T$3,$Q176,0):'TongVTSX'!$T$1500,0)+$Q176)=16,"",MATCH($R177,OFFSET(TongVTSX!$T$3,$Q176,0):'TongVTSX'!$T$1500,0)+$Q176)))</f>
        <v/>
      </c>
      <c r="R177" s="179" t="str">
        <f ca="1">IFERROR(IF(COUNTIF($R$3:R176,R176)&lt; INDEX($T$1:$T$7,MATCH($R176,$S$1:$S$7,0)),$R176,INDEX($S$1:$S$7,MATCH($R176,$S$1:$S$7,0)+1)),"")</f>
        <v/>
      </c>
      <c r="S177" s="181"/>
      <c r="T177" s="182"/>
      <c r="U177" s="184" t="str">
        <f ca="1">IF($R177="PR",INDEX(NVLSX!$U$2:$U$6941,MATCH($D177,NVLSX!$E$2:$E$6941,0)),"")</f>
        <v/>
      </c>
      <c r="V177" s="184" t="str">
        <f ca="1">IF($R177="PR",INDEX(NVLSX!$S$2:$S$6941,MATCH($D177,NVLSX!$E$2:$E$6941,0))*1000,"")</f>
        <v/>
      </c>
      <c r="W177" s="776" t="str">
        <f ca="1">IF($R177="PR",INDEX(NVLSX!$S$2:$S$6941,MATCH($D177,NVLSX!$E$2:$E$6941,0))*INDEX(NVLSX!$T$2:$T$6941,MATCH($D177,NVLSX!$E$2:$E$6941,0)),"")</f>
        <v/>
      </c>
      <c r="X177" s="776">
        <f t="shared" ca="1" si="7"/>
        <v>0</v>
      </c>
      <c r="Y177" s="982" t="str">
        <f ca="1">IFERROR(INDEX(NVLSX!$X$2:$X$4655,MATCH($D177,NVLSX!$E$2:$E$4655,0)),"")</f>
        <v/>
      </c>
    </row>
    <row r="178" spans="1:25">
      <c r="A178" s="19" t="str">
        <f ca="1">IF($Q178="","",MAX($A$2:A177)+1)</f>
        <v/>
      </c>
      <c r="B178" s="1146" t="str">
        <f ca="1">IFERROR(INDEX(NVLSX!$Y$2:$Y$6756,MATCH($D178,NVLSX!$E$2:$E$6756,0)),"")</f>
        <v/>
      </c>
      <c r="C178" s="1146" t="str">
        <f ca="1">IFERROR(INDEX(NVLSX!$Z$2:$Z$6756,MATCH($D178,NVLSX!$E$2:$E$6756,0)),"")</f>
        <v/>
      </c>
      <c r="D178" s="23" t="str">
        <f ca="1">IF($Q178="","",INDEX(TongVTSX!C$3:C$1500,$Q178))</f>
        <v/>
      </c>
      <c r="E178" s="729" t="str">
        <f ca="1">IF($Q178="","",INDEX(TongVTSX!D$3:D$1500,$Q178) &amp; IF(OR($R178=$S$1,$R178=$S$7)," (" &amp; INDEX(TongVTSX!A$3:A$1500,$Q178) &amp; ")",""))</f>
        <v/>
      </c>
      <c r="F178" s="745" t="str">
        <f ca="1">IF($Q178="","",IF($R178=$S$7,INDEX(TongVTSX!$G$3:$G$1500,$Q178),INDEX(TongVTSX!$E$3:$E$1500,$Q178)))</f>
        <v/>
      </c>
      <c r="G178" s="24" t="str">
        <f ca="1">IF($Q178="","",IF($R178=$S$1,"mm",IF($R178=$S$2,"Thanh",INDEX(TongVTSX!F$3:F$1500,$Q178))))</f>
        <v/>
      </c>
      <c r="H178" s="114">
        <f ca="1">IF($R178=$S$1,INDEX(TongVTSX!$K$3:$K$1500,$Q178),IF($R178=$S$7,INDEX(TongVTSX!$H$3:$H$1500,$Q178),IF($R178=$S$2,ROUNDUP(SUMPRODUCT((TongVTSX!$C$3:$C$1500=$D178)*(TongVTSX!$E$3:$E$1500=$F178)*(TongVTSX!$K$3:$K$1500))/$U178,0),SUMPRODUCT((TongVTSX!$C$3:$C$1500=$D178)*(TongVTSX!$E$3:$E$1500=$F178)*(TongVTSX!$K$3:$K$1500)))))</f>
        <v>0</v>
      </c>
      <c r="I178" s="114"/>
      <c r="J178" s="114"/>
      <c r="K178" s="114" t="str">
        <f ca="1">IF($Q178="","",IF($R178=$S$2,INDEX(TongVTSX!M$3:M$1500,$Q178)*$U178,   INDEX(TongVTSX!M$3:M$1500,$Q178)))</f>
        <v/>
      </c>
      <c r="L178" s="92">
        <f ca="1">IF($Q178="",0, IF($R178=$S$7,$F178*$H178*$K178,IF($R178=$S$2,$H178*$K178,    IF($H178*$K178 - SUMPRODUCT((TongVTSX!$C$3:$C$1500=$D178)*(TongVTSX!$E$3:$E$1500=$F178)*(TongVTSX!$O$3:$O$1500)) &lt;=10,$H178*$K178,"PO &lt;&gt; TongVTSX"))))</f>
        <v>0</v>
      </c>
      <c r="M178" s="114">
        <f ca="1">IF($R178=$S$1,INDEX(TongVTSX!$K$3:$K$1500,$Q178),IF($R178=$S$7,INDEX(TongVTSX!$H$3:$H$1500,$Q178),IF($R178=$S$2,SUMPRODUCT((TongVTSX!$C$3:$C$1500=$D178)*(TongVTSX!$E$3:$E$1500=$F178)*(TongVTSX!$K$3:$K$1500))/$U178,SUMPRODUCT((TongVTSX!$C$3:$C$1500=$D178)*(TongVTSX!$E$3:$E$1500=$F178)*(TongVTSX!$K$3:$K$1500)))))</f>
        <v>0</v>
      </c>
      <c r="N178" s="92">
        <f ca="1">IF($Q178="",0, IF($R178=$S$7,$F178*$M178*$K178,IF($R178=$S$2,$M178*$K178,    IF($M178*$K178 - SUMPRODUCT((TongVTSX!$C$3:$C$1500=$D178)*(TongVTSX!$E$3:$E$1500=$F178)*(TongVTSX!$O$3:$O$1500)) &lt;=10,$M178*$K178,"PO &lt;&gt; TongVTSX"))))</f>
        <v>0</v>
      </c>
      <c r="O178" s="92">
        <f t="shared" ca="1" si="8"/>
        <v>0</v>
      </c>
      <c r="P178" s="1146" t="str">
        <f ca="1">IFERROR(INDEX(NVLSX!$AA$2:$AA$6756,MATCH($D178,NVLSX!$E$2:$E$6756,0)),"")</f>
        <v/>
      </c>
      <c r="Q178" s="742" t="str">
        <f ca="1">IF($R178="","",IF($R178&lt;&gt;$R177,IF(TYPE(MATCH($R178,TongVTSX!$T$3:$T$1500,0))=16,"",MATCH($R178,TongVTSX!$T$3:$T$1500,0)),IF(TYPE(MATCH($R178,OFFSET(TongVTSX!$T$3,$Q177,0):'TongVTSX'!$T$1500,0)+$Q177)=16,"",MATCH($R178,OFFSET(TongVTSX!$T$3,$Q177,0):'TongVTSX'!$T$1500,0)+$Q177)))</f>
        <v/>
      </c>
      <c r="R178" s="179" t="str">
        <f ca="1">IFERROR(IF(COUNTIF($R$3:R177,R177)&lt; INDEX($T$1:$T$7,MATCH($R177,$S$1:$S$7,0)),$R177,INDEX($S$1:$S$7,MATCH($R177,$S$1:$S$7,0)+1)),"")</f>
        <v/>
      </c>
      <c r="S178" s="181"/>
      <c r="T178" s="182"/>
      <c r="U178" s="184" t="str">
        <f ca="1">IF($R178="PR",INDEX(NVLSX!$U$2:$U$6941,MATCH($D178,NVLSX!$E$2:$E$6941,0)),"")</f>
        <v/>
      </c>
      <c r="V178" s="184" t="str">
        <f ca="1">IF($R178="PR",INDEX(NVLSX!$S$2:$S$6941,MATCH($D178,NVLSX!$E$2:$E$6941,0))*1000,"")</f>
        <v/>
      </c>
      <c r="W178" s="776" t="str">
        <f ca="1">IF($R178="PR",INDEX(NVLSX!$S$2:$S$6941,MATCH($D178,NVLSX!$E$2:$E$6941,0))*INDEX(NVLSX!$T$2:$T$6941,MATCH($D178,NVLSX!$E$2:$E$6941,0)),"")</f>
        <v/>
      </c>
      <c r="X178" s="776">
        <f t="shared" ca="1" si="7"/>
        <v>0</v>
      </c>
      <c r="Y178" s="982" t="str">
        <f ca="1">IFERROR(INDEX(NVLSX!$X$2:$X$4655,MATCH($D178,NVLSX!$E$2:$E$4655,0)),"")</f>
        <v/>
      </c>
    </row>
    <row r="179" spans="1:25">
      <c r="A179" s="19" t="str">
        <f ca="1">IF($Q179="","",MAX($A$2:A178)+1)</f>
        <v/>
      </c>
      <c r="B179" s="1146" t="str">
        <f ca="1">IFERROR(INDEX(NVLSX!$Y$2:$Y$6756,MATCH($D179,NVLSX!$E$2:$E$6756,0)),"")</f>
        <v/>
      </c>
      <c r="C179" s="1146" t="str">
        <f ca="1">IFERROR(INDEX(NVLSX!$Z$2:$Z$6756,MATCH($D179,NVLSX!$E$2:$E$6756,0)),"")</f>
        <v/>
      </c>
      <c r="D179" s="23" t="str">
        <f ca="1">IF($Q179="","",INDEX(TongVTSX!C$3:C$1500,$Q179))</f>
        <v/>
      </c>
      <c r="E179" s="729" t="str">
        <f ca="1">IF($Q179="","",INDEX(TongVTSX!D$3:D$1500,$Q179) &amp; IF(OR($R179=$S$1,$R179=$S$7)," (" &amp; INDEX(TongVTSX!A$3:A$1500,$Q179) &amp; ")",""))</f>
        <v/>
      </c>
      <c r="F179" s="745" t="str">
        <f ca="1">IF($Q179="","",IF($R179=$S$7,INDEX(TongVTSX!$G$3:$G$1500,$Q179),INDEX(TongVTSX!$E$3:$E$1500,$Q179)))</f>
        <v/>
      </c>
      <c r="G179" s="24" t="str">
        <f ca="1">IF($Q179="","",IF($R179=$S$1,"mm",IF($R179=$S$2,"Thanh",INDEX(TongVTSX!F$3:F$1500,$Q179))))</f>
        <v/>
      </c>
      <c r="H179" s="114">
        <f ca="1">IF($R179=$S$1,INDEX(TongVTSX!$K$3:$K$1500,$Q179),IF($R179=$S$7,INDEX(TongVTSX!$H$3:$H$1500,$Q179),IF($R179=$S$2,ROUNDUP(SUMPRODUCT((TongVTSX!$C$3:$C$1500=$D179)*(TongVTSX!$E$3:$E$1500=$F179)*(TongVTSX!$K$3:$K$1500))/$U179,0),SUMPRODUCT((TongVTSX!$C$3:$C$1500=$D179)*(TongVTSX!$E$3:$E$1500=$F179)*(TongVTSX!$K$3:$K$1500)))))</f>
        <v>0</v>
      </c>
      <c r="I179" s="114"/>
      <c r="J179" s="114"/>
      <c r="K179" s="114" t="str">
        <f ca="1">IF($Q179="","",IF($R179=$S$2,INDEX(TongVTSX!M$3:M$1500,$Q179)*$U179,   INDEX(TongVTSX!M$3:M$1500,$Q179)))</f>
        <v/>
      </c>
      <c r="L179" s="92">
        <f ca="1">IF($Q179="",0, IF($R179=$S$7,$F179*$H179*$K179,IF($R179=$S$2,$H179*$K179,    IF($H179*$K179 - SUMPRODUCT((TongVTSX!$C$3:$C$1500=$D179)*(TongVTSX!$E$3:$E$1500=$F179)*(TongVTSX!$O$3:$O$1500)) &lt;=10,$H179*$K179,"PO &lt;&gt; TongVTSX"))))</f>
        <v>0</v>
      </c>
      <c r="M179" s="114">
        <f ca="1">IF($R179=$S$1,INDEX(TongVTSX!$K$3:$K$1500,$Q179),IF($R179=$S$7,INDEX(TongVTSX!$H$3:$H$1500,$Q179),IF($R179=$S$2,SUMPRODUCT((TongVTSX!$C$3:$C$1500=$D179)*(TongVTSX!$E$3:$E$1500=$F179)*(TongVTSX!$K$3:$K$1500))/$U179,SUMPRODUCT((TongVTSX!$C$3:$C$1500=$D179)*(TongVTSX!$E$3:$E$1500=$F179)*(TongVTSX!$K$3:$K$1500)))))</f>
        <v>0</v>
      </c>
      <c r="N179" s="92">
        <f ca="1">IF($Q179="",0, IF($R179=$S$7,$F179*$M179*$K179,IF($R179=$S$2,$M179*$K179,    IF($M179*$K179 - SUMPRODUCT((TongVTSX!$C$3:$C$1500=$D179)*(TongVTSX!$E$3:$E$1500=$F179)*(TongVTSX!$O$3:$O$1500)) &lt;=10,$M179*$K179,"PO &lt;&gt; TongVTSX"))))</f>
        <v>0</v>
      </c>
      <c r="O179" s="92">
        <f t="shared" ca="1" si="8"/>
        <v>0</v>
      </c>
      <c r="P179" s="1146" t="str">
        <f ca="1">IFERROR(INDEX(NVLSX!$AA$2:$AA$6756,MATCH($D179,NVLSX!$E$2:$E$6756,0)),"")</f>
        <v/>
      </c>
      <c r="Q179" s="742" t="str">
        <f ca="1">IF($R179="","",IF($R179&lt;&gt;$R178,IF(TYPE(MATCH($R179,TongVTSX!$T$3:$T$1500,0))=16,"",MATCH($R179,TongVTSX!$T$3:$T$1500,0)),IF(TYPE(MATCH($R179,OFFSET(TongVTSX!$T$3,$Q178,0):'TongVTSX'!$T$1500,0)+$Q178)=16,"",MATCH($R179,OFFSET(TongVTSX!$T$3,$Q178,0):'TongVTSX'!$T$1500,0)+$Q178)))</f>
        <v/>
      </c>
      <c r="R179" s="179" t="str">
        <f ca="1">IFERROR(IF(COUNTIF($R$3:R178,R178)&lt; INDEX($T$1:$T$7,MATCH($R178,$S$1:$S$7,0)),$R178,INDEX($S$1:$S$7,MATCH($R178,$S$1:$S$7,0)+1)),"")</f>
        <v/>
      </c>
      <c r="S179" s="181"/>
      <c r="T179" s="182"/>
      <c r="U179" s="184" t="str">
        <f ca="1">IF($R179="PR",INDEX(NVLSX!$U$2:$U$6941,MATCH($D179,NVLSX!$E$2:$E$6941,0)),"")</f>
        <v/>
      </c>
      <c r="V179" s="184" t="str">
        <f ca="1">IF($R179="PR",INDEX(NVLSX!$S$2:$S$6941,MATCH($D179,NVLSX!$E$2:$E$6941,0))*1000,"")</f>
        <v/>
      </c>
      <c r="W179" s="776" t="str">
        <f ca="1">IF($R179="PR",INDEX(NVLSX!$S$2:$S$6941,MATCH($D179,NVLSX!$E$2:$E$6941,0))*INDEX(NVLSX!$T$2:$T$6941,MATCH($D179,NVLSX!$E$2:$E$6941,0)),"")</f>
        <v/>
      </c>
      <c r="X179" s="776">
        <f t="shared" ca="1" si="7"/>
        <v>0</v>
      </c>
      <c r="Y179" s="982" t="str">
        <f ca="1">IFERROR(INDEX(NVLSX!$X$2:$X$4655,MATCH($D179,NVLSX!$E$2:$E$4655,0)),"")</f>
        <v/>
      </c>
    </row>
    <row r="180" spans="1:25">
      <c r="A180" s="19" t="str">
        <f ca="1">IF($Q180="","",MAX($A$2:A179)+1)</f>
        <v/>
      </c>
      <c r="B180" s="1146" t="str">
        <f ca="1">IFERROR(INDEX(NVLSX!$Y$2:$Y$6756,MATCH($D180,NVLSX!$E$2:$E$6756,0)),"")</f>
        <v/>
      </c>
      <c r="C180" s="1146" t="str">
        <f ca="1">IFERROR(INDEX(NVLSX!$Z$2:$Z$6756,MATCH($D180,NVLSX!$E$2:$E$6756,0)),"")</f>
        <v/>
      </c>
      <c r="D180" s="23" t="str">
        <f ca="1">IF($Q180="","",INDEX(TongVTSX!C$3:C$1500,$Q180))</f>
        <v/>
      </c>
      <c r="E180" s="729" t="str">
        <f ca="1">IF($Q180="","",INDEX(TongVTSX!D$3:D$1500,$Q180) &amp; IF(OR($R180=$S$1,$R180=$S$7)," (" &amp; INDEX(TongVTSX!A$3:A$1500,$Q180) &amp; ")",""))</f>
        <v/>
      </c>
      <c r="F180" s="745" t="str">
        <f ca="1">IF($Q180="","",IF($R180=$S$7,INDEX(TongVTSX!$G$3:$G$1500,$Q180),INDEX(TongVTSX!$E$3:$E$1500,$Q180)))</f>
        <v/>
      </c>
      <c r="G180" s="24" t="str">
        <f ca="1">IF($Q180="","",IF($R180=$S$1,"mm",IF($R180=$S$2,"Thanh",INDEX(TongVTSX!F$3:F$1500,$Q180))))</f>
        <v/>
      </c>
      <c r="H180" s="114">
        <f ca="1">IF($R180=$S$1,INDEX(TongVTSX!$K$3:$K$1500,$Q180),IF($R180=$S$7,INDEX(TongVTSX!$H$3:$H$1500,$Q180),IF($R180=$S$2,ROUNDUP(SUMPRODUCT((TongVTSX!$C$3:$C$1500=$D180)*(TongVTSX!$E$3:$E$1500=$F180)*(TongVTSX!$K$3:$K$1500))/$U180,0),SUMPRODUCT((TongVTSX!$C$3:$C$1500=$D180)*(TongVTSX!$E$3:$E$1500=$F180)*(TongVTSX!$K$3:$K$1500)))))</f>
        <v>0</v>
      </c>
      <c r="I180" s="114"/>
      <c r="J180" s="114"/>
      <c r="K180" s="114" t="str">
        <f ca="1">IF($Q180="","",IF($R180=$S$2,INDEX(TongVTSX!M$3:M$1500,$Q180)*$U180,   INDEX(TongVTSX!M$3:M$1500,$Q180)))</f>
        <v/>
      </c>
      <c r="L180" s="92">
        <f ca="1">IF($Q180="",0, IF($R180=$S$7,$F180*$H180*$K180,IF($R180=$S$2,$H180*$K180,    IF($H180*$K180 - SUMPRODUCT((TongVTSX!$C$3:$C$1500=$D180)*(TongVTSX!$E$3:$E$1500=$F180)*(TongVTSX!$O$3:$O$1500)) &lt;=10,$H180*$K180,"PO &lt;&gt; TongVTSX"))))</f>
        <v>0</v>
      </c>
      <c r="M180" s="114">
        <f ca="1">IF($R180=$S$1,INDEX(TongVTSX!$K$3:$K$1500,$Q180),IF($R180=$S$7,INDEX(TongVTSX!$H$3:$H$1500,$Q180),IF($R180=$S$2,SUMPRODUCT((TongVTSX!$C$3:$C$1500=$D180)*(TongVTSX!$E$3:$E$1500=$F180)*(TongVTSX!$K$3:$K$1500))/$U180,SUMPRODUCT((TongVTSX!$C$3:$C$1500=$D180)*(TongVTSX!$E$3:$E$1500=$F180)*(TongVTSX!$K$3:$K$1500)))))</f>
        <v>0</v>
      </c>
      <c r="N180" s="92">
        <f ca="1">IF($Q180="",0, IF($R180=$S$7,$F180*$M180*$K180,IF($R180=$S$2,$M180*$K180,    IF($M180*$K180 - SUMPRODUCT((TongVTSX!$C$3:$C$1500=$D180)*(TongVTSX!$E$3:$E$1500=$F180)*(TongVTSX!$O$3:$O$1500)) &lt;=10,$M180*$K180,"PO &lt;&gt; TongVTSX"))))</f>
        <v>0</v>
      </c>
      <c r="O180" s="92">
        <f t="shared" ca="1" si="8"/>
        <v>0</v>
      </c>
      <c r="P180" s="1146" t="str">
        <f ca="1">IFERROR(INDEX(NVLSX!$AA$2:$AA$6756,MATCH($D180,NVLSX!$E$2:$E$6756,0)),"")</f>
        <v/>
      </c>
      <c r="Q180" s="742" t="str">
        <f ca="1">IF($R180="","",IF($R180&lt;&gt;$R179,IF(TYPE(MATCH($R180,TongVTSX!$T$3:$T$1500,0))=16,"",MATCH($R180,TongVTSX!$T$3:$T$1500,0)),IF(TYPE(MATCH($R180,OFFSET(TongVTSX!$T$3,$Q179,0):'TongVTSX'!$T$1500,0)+$Q179)=16,"",MATCH($R180,OFFSET(TongVTSX!$T$3,$Q179,0):'TongVTSX'!$T$1500,0)+$Q179)))</f>
        <v/>
      </c>
      <c r="R180" s="179" t="str">
        <f ca="1">IFERROR(IF(COUNTIF($R$3:R179,R179)&lt; INDEX($T$1:$T$7,MATCH($R179,$S$1:$S$7,0)),$R179,INDEX($S$1:$S$7,MATCH($R179,$S$1:$S$7,0)+1)),"")</f>
        <v/>
      </c>
      <c r="S180" s="181"/>
      <c r="T180" s="182"/>
      <c r="U180" s="184" t="str">
        <f ca="1">IF($R180="PR",INDEX(NVLSX!$U$2:$U$6941,MATCH($D180,NVLSX!$E$2:$E$6941,0)),"")</f>
        <v/>
      </c>
      <c r="V180" s="184" t="str">
        <f ca="1">IF($R180="PR",INDEX(NVLSX!$S$2:$S$6941,MATCH($D180,NVLSX!$E$2:$E$6941,0))*1000,"")</f>
        <v/>
      </c>
      <c r="W180" s="776" t="str">
        <f ca="1">IF($R180="PR",INDEX(NVLSX!$S$2:$S$6941,MATCH($D180,NVLSX!$E$2:$E$6941,0))*INDEX(NVLSX!$T$2:$T$6941,MATCH($D180,NVLSX!$E$2:$E$6941,0)),"")</f>
        <v/>
      </c>
      <c r="X180" s="776">
        <f t="shared" ca="1" si="7"/>
        <v>0</v>
      </c>
      <c r="Y180" s="982" t="str">
        <f ca="1">IFERROR(INDEX(NVLSX!$X$2:$X$4655,MATCH($D180,NVLSX!$E$2:$E$4655,0)),"")</f>
        <v/>
      </c>
    </row>
    <row r="181" spans="1:25">
      <c r="A181" s="19" t="str">
        <f ca="1">IF($Q181="","",MAX($A$2:A180)+1)</f>
        <v/>
      </c>
      <c r="B181" s="1146" t="str">
        <f ca="1">IFERROR(INDEX(NVLSX!$Y$2:$Y$6756,MATCH($D181,NVLSX!$E$2:$E$6756,0)),"")</f>
        <v/>
      </c>
      <c r="C181" s="1146" t="str">
        <f ca="1">IFERROR(INDEX(NVLSX!$Z$2:$Z$6756,MATCH($D181,NVLSX!$E$2:$E$6756,0)),"")</f>
        <v/>
      </c>
      <c r="D181" s="23" t="str">
        <f ca="1">IF($Q181="","",INDEX(TongVTSX!C$3:C$1500,$Q181))</f>
        <v/>
      </c>
      <c r="E181" s="729" t="str">
        <f ca="1">IF($Q181="","",INDEX(TongVTSX!D$3:D$1500,$Q181) &amp; IF(OR($R181=$S$1,$R181=$S$7)," (" &amp; INDEX(TongVTSX!A$3:A$1500,$Q181) &amp; ")",""))</f>
        <v/>
      </c>
      <c r="F181" s="745" t="str">
        <f ca="1">IF($Q181="","",IF($R181=$S$7,INDEX(TongVTSX!$G$3:$G$1500,$Q181),INDEX(TongVTSX!$E$3:$E$1500,$Q181)))</f>
        <v/>
      </c>
      <c r="G181" s="24" t="str">
        <f ca="1">IF($Q181="","",IF($R181=$S$1,"mm",IF($R181=$S$2,"Thanh",INDEX(TongVTSX!F$3:F$1500,$Q181))))</f>
        <v/>
      </c>
      <c r="H181" s="114">
        <f ca="1">IF($R181=$S$1,INDEX(TongVTSX!$K$3:$K$1500,$Q181),IF($R181=$S$7,INDEX(TongVTSX!$H$3:$H$1500,$Q181),IF($R181=$S$2,ROUNDUP(SUMPRODUCT((TongVTSX!$C$3:$C$1500=$D181)*(TongVTSX!$E$3:$E$1500=$F181)*(TongVTSX!$K$3:$K$1500))/$U181,0),SUMPRODUCT((TongVTSX!$C$3:$C$1500=$D181)*(TongVTSX!$E$3:$E$1500=$F181)*(TongVTSX!$K$3:$K$1500)))))</f>
        <v>0</v>
      </c>
      <c r="I181" s="114"/>
      <c r="J181" s="114"/>
      <c r="K181" s="114" t="str">
        <f ca="1">IF($Q181="","",IF($R181=$S$2,INDEX(TongVTSX!M$3:M$1500,$Q181)*$U181,   INDEX(TongVTSX!M$3:M$1500,$Q181)))</f>
        <v/>
      </c>
      <c r="L181" s="92">
        <f ca="1">IF($Q181="",0, IF($R181=$S$7,$F181*$H181*$K181,IF($R181=$S$2,$H181*$K181,    IF($H181*$K181 - SUMPRODUCT((TongVTSX!$C$3:$C$1500=$D181)*(TongVTSX!$E$3:$E$1500=$F181)*(TongVTSX!$O$3:$O$1500)) &lt;=10,$H181*$K181,"PO &lt;&gt; TongVTSX"))))</f>
        <v>0</v>
      </c>
      <c r="M181" s="114">
        <f ca="1">IF($R181=$S$1,INDEX(TongVTSX!$K$3:$K$1500,$Q181),IF($R181=$S$7,INDEX(TongVTSX!$H$3:$H$1500,$Q181),IF($R181=$S$2,SUMPRODUCT((TongVTSX!$C$3:$C$1500=$D181)*(TongVTSX!$E$3:$E$1500=$F181)*(TongVTSX!$K$3:$K$1500))/$U181,SUMPRODUCT((TongVTSX!$C$3:$C$1500=$D181)*(TongVTSX!$E$3:$E$1500=$F181)*(TongVTSX!$K$3:$K$1500)))))</f>
        <v>0</v>
      </c>
      <c r="N181" s="92">
        <f ca="1">IF($Q181="",0, IF($R181=$S$7,$F181*$M181*$K181,IF($R181=$S$2,$M181*$K181,    IF($M181*$K181 - SUMPRODUCT((TongVTSX!$C$3:$C$1500=$D181)*(TongVTSX!$E$3:$E$1500=$F181)*(TongVTSX!$O$3:$O$1500)) &lt;=10,$M181*$K181,"PO &lt;&gt; TongVTSX"))))</f>
        <v>0</v>
      </c>
      <c r="O181" s="92">
        <f t="shared" ca="1" si="8"/>
        <v>0</v>
      </c>
      <c r="P181" s="1146" t="str">
        <f ca="1">IFERROR(INDEX(NVLSX!$AA$2:$AA$6756,MATCH($D181,NVLSX!$E$2:$E$6756,0)),"")</f>
        <v/>
      </c>
      <c r="Q181" s="742" t="str">
        <f ca="1">IF($R181="","",IF($R181&lt;&gt;$R180,IF(TYPE(MATCH($R181,TongVTSX!$T$3:$T$1500,0))=16,"",MATCH($R181,TongVTSX!$T$3:$T$1500,0)),IF(TYPE(MATCH($R181,OFFSET(TongVTSX!$T$3,$Q180,0):'TongVTSX'!$T$1500,0)+$Q180)=16,"",MATCH($R181,OFFSET(TongVTSX!$T$3,$Q180,0):'TongVTSX'!$T$1500,0)+$Q180)))</f>
        <v/>
      </c>
      <c r="R181" s="179" t="str">
        <f ca="1">IFERROR(IF(COUNTIF($R$3:R180,R180)&lt; INDEX($T$1:$T$7,MATCH($R180,$S$1:$S$7,0)),$R180,INDEX($S$1:$S$7,MATCH($R180,$S$1:$S$7,0)+1)),"")</f>
        <v/>
      </c>
      <c r="S181" s="181"/>
      <c r="T181" s="182"/>
      <c r="U181" s="184" t="str">
        <f ca="1">IF($R181="PR",INDEX(NVLSX!$U$2:$U$6941,MATCH($D181,NVLSX!$E$2:$E$6941,0)),"")</f>
        <v/>
      </c>
      <c r="V181" s="184" t="str">
        <f ca="1">IF($R181="PR",INDEX(NVLSX!$S$2:$S$6941,MATCH($D181,NVLSX!$E$2:$E$6941,0))*1000,"")</f>
        <v/>
      </c>
      <c r="W181" s="776" t="str">
        <f ca="1">IF($R181="PR",INDEX(NVLSX!$S$2:$S$6941,MATCH($D181,NVLSX!$E$2:$E$6941,0))*INDEX(NVLSX!$T$2:$T$6941,MATCH($D181,NVLSX!$E$2:$E$6941,0)),"")</f>
        <v/>
      </c>
      <c r="X181" s="776">
        <f t="shared" ca="1" si="7"/>
        <v>0</v>
      </c>
      <c r="Y181" s="982" t="str">
        <f ca="1">IFERROR(INDEX(NVLSX!$X$2:$X$4655,MATCH($D181,NVLSX!$E$2:$E$4655,0)),"")</f>
        <v/>
      </c>
    </row>
    <row r="182" spans="1:25">
      <c r="A182" s="19" t="str">
        <f ca="1">IF($Q182="","",MAX($A$2:A181)+1)</f>
        <v/>
      </c>
      <c r="B182" s="1146" t="str">
        <f ca="1">IFERROR(INDEX(NVLSX!$Y$2:$Y$6756,MATCH($D182,NVLSX!$E$2:$E$6756,0)),"")</f>
        <v/>
      </c>
      <c r="C182" s="1146" t="str">
        <f ca="1">IFERROR(INDEX(NVLSX!$Z$2:$Z$6756,MATCH($D182,NVLSX!$E$2:$E$6756,0)),"")</f>
        <v/>
      </c>
      <c r="D182" s="23" t="str">
        <f ca="1">IF($Q182="","",INDEX(TongVTSX!C$3:C$1500,$Q182))</f>
        <v/>
      </c>
      <c r="E182" s="729" t="str">
        <f ca="1">IF($Q182="","",INDEX(TongVTSX!D$3:D$1500,$Q182) &amp; IF(OR($R182=$S$1,$R182=$S$7)," (" &amp; INDEX(TongVTSX!A$3:A$1500,$Q182) &amp; ")",""))</f>
        <v/>
      </c>
      <c r="F182" s="745" t="str">
        <f ca="1">IF($Q182="","",IF($R182=$S$7,INDEX(TongVTSX!$G$3:$G$1500,$Q182),INDEX(TongVTSX!$E$3:$E$1500,$Q182)))</f>
        <v/>
      </c>
      <c r="G182" s="24" t="str">
        <f ca="1">IF($Q182="","",IF($R182=$S$1,"mm",IF($R182=$S$2,"Thanh",INDEX(TongVTSX!F$3:F$1500,$Q182))))</f>
        <v/>
      </c>
      <c r="H182" s="114">
        <f ca="1">IF($R182=$S$1,INDEX(TongVTSX!$K$3:$K$1500,$Q182),IF($R182=$S$7,INDEX(TongVTSX!$H$3:$H$1500,$Q182),IF($R182=$S$2,ROUNDUP(SUMPRODUCT((TongVTSX!$C$3:$C$1500=$D182)*(TongVTSX!$E$3:$E$1500=$F182)*(TongVTSX!$K$3:$K$1500))/$U182,0),SUMPRODUCT((TongVTSX!$C$3:$C$1500=$D182)*(TongVTSX!$E$3:$E$1500=$F182)*(TongVTSX!$K$3:$K$1500)))))</f>
        <v>0</v>
      </c>
      <c r="I182" s="114"/>
      <c r="J182" s="114"/>
      <c r="K182" s="114" t="str">
        <f ca="1">IF($Q182="","",IF($R182=$S$2,INDEX(TongVTSX!M$3:M$1500,$Q182)*$U182,   INDEX(TongVTSX!M$3:M$1500,$Q182)))</f>
        <v/>
      </c>
      <c r="L182" s="92">
        <f ca="1">IF($Q182="",0, IF($R182=$S$7,$F182*$H182*$K182,IF($R182=$S$2,$H182*$K182,    IF($H182*$K182 - SUMPRODUCT((TongVTSX!$C$3:$C$1500=$D182)*(TongVTSX!$E$3:$E$1500=$F182)*(TongVTSX!$O$3:$O$1500)) &lt;=10,$H182*$K182,"PO &lt;&gt; TongVTSX"))))</f>
        <v>0</v>
      </c>
      <c r="M182" s="114">
        <f ca="1">IF($R182=$S$1,INDEX(TongVTSX!$K$3:$K$1500,$Q182),IF($R182=$S$7,INDEX(TongVTSX!$H$3:$H$1500,$Q182),IF($R182=$S$2,SUMPRODUCT((TongVTSX!$C$3:$C$1500=$D182)*(TongVTSX!$E$3:$E$1500=$F182)*(TongVTSX!$K$3:$K$1500))/$U182,SUMPRODUCT((TongVTSX!$C$3:$C$1500=$D182)*(TongVTSX!$E$3:$E$1500=$F182)*(TongVTSX!$K$3:$K$1500)))))</f>
        <v>0</v>
      </c>
      <c r="N182" s="92">
        <f ca="1">IF($Q182="",0, IF($R182=$S$7,$F182*$M182*$K182,IF($R182=$S$2,$M182*$K182,    IF($M182*$K182 - SUMPRODUCT((TongVTSX!$C$3:$C$1500=$D182)*(TongVTSX!$E$3:$E$1500=$F182)*(TongVTSX!$O$3:$O$1500)) &lt;=10,$M182*$K182,"PO &lt;&gt; TongVTSX"))))</f>
        <v>0</v>
      </c>
      <c r="O182" s="92">
        <f t="shared" ca="1" si="8"/>
        <v>0</v>
      </c>
      <c r="P182" s="1146" t="str">
        <f ca="1">IFERROR(INDEX(NVLSX!$AA$2:$AA$6756,MATCH($D182,NVLSX!$E$2:$E$6756,0)),"")</f>
        <v/>
      </c>
      <c r="Q182" s="742" t="str">
        <f ca="1">IF($R182="","",IF($R182&lt;&gt;$R181,IF(TYPE(MATCH($R182,TongVTSX!$T$3:$T$1500,0))=16,"",MATCH($R182,TongVTSX!$T$3:$T$1500,0)),IF(TYPE(MATCH($R182,OFFSET(TongVTSX!$T$3,$Q181,0):'TongVTSX'!$T$1500,0)+$Q181)=16,"",MATCH($R182,OFFSET(TongVTSX!$T$3,$Q181,0):'TongVTSX'!$T$1500,0)+$Q181)))</f>
        <v/>
      </c>
      <c r="R182" s="179" t="str">
        <f ca="1">IFERROR(IF(COUNTIF($R$3:R181,R181)&lt; INDEX($T$1:$T$7,MATCH($R181,$S$1:$S$7,0)),$R181,INDEX($S$1:$S$7,MATCH($R181,$S$1:$S$7,0)+1)),"")</f>
        <v/>
      </c>
      <c r="S182" s="181"/>
      <c r="T182" s="182"/>
      <c r="U182" s="184" t="str">
        <f ca="1">IF($R182="PR",INDEX(NVLSX!$U$2:$U$6941,MATCH($D182,NVLSX!$E$2:$E$6941,0)),"")</f>
        <v/>
      </c>
      <c r="V182" s="184" t="str">
        <f ca="1">IF($R182="PR",INDEX(NVLSX!$S$2:$S$6941,MATCH($D182,NVLSX!$E$2:$E$6941,0))*1000,"")</f>
        <v/>
      </c>
      <c r="W182" s="776" t="str">
        <f ca="1">IF($R182="PR",INDEX(NVLSX!$S$2:$S$6941,MATCH($D182,NVLSX!$E$2:$E$6941,0))*INDEX(NVLSX!$T$2:$T$6941,MATCH($D182,NVLSX!$E$2:$E$6941,0)),"")</f>
        <v/>
      </c>
      <c r="X182" s="776">
        <f t="shared" ca="1" si="7"/>
        <v>0</v>
      </c>
      <c r="Y182" s="982" t="str">
        <f ca="1">IFERROR(INDEX(NVLSX!$X$2:$X$4655,MATCH($D182,NVLSX!$E$2:$E$4655,0)),"")</f>
        <v/>
      </c>
    </row>
    <row r="183" spans="1:25">
      <c r="A183" s="19" t="str">
        <f ca="1">IF($Q183="","",MAX($A$2:A182)+1)</f>
        <v/>
      </c>
      <c r="B183" s="1146" t="str">
        <f ca="1">IFERROR(INDEX(NVLSX!$Y$2:$Y$6756,MATCH($D183,NVLSX!$E$2:$E$6756,0)),"")</f>
        <v/>
      </c>
      <c r="C183" s="1146" t="str">
        <f ca="1">IFERROR(INDEX(NVLSX!$Z$2:$Z$6756,MATCH($D183,NVLSX!$E$2:$E$6756,0)),"")</f>
        <v/>
      </c>
      <c r="D183" s="23" t="str">
        <f ca="1">IF($Q183="","",INDEX(TongVTSX!C$3:C$1500,$Q183))</f>
        <v/>
      </c>
      <c r="E183" s="729" t="str">
        <f ca="1">IF($Q183="","",INDEX(TongVTSX!D$3:D$1500,$Q183) &amp; IF(OR($R183=$S$1,$R183=$S$7)," (" &amp; INDEX(TongVTSX!A$3:A$1500,$Q183) &amp; ")",""))</f>
        <v/>
      </c>
      <c r="F183" s="745" t="str">
        <f ca="1">IF($Q183="","",IF($R183=$S$7,INDEX(TongVTSX!$G$3:$G$1500,$Q183),INDEX(TongVTSX!$E$3:$E$1500,$Q183)))</f>
        <v/>
      </c>
      <c r="G183" s="24" t="str">
        <f ca="1">IF($Q183="","",IF($R183=$S$1,"mm",IF($R183=$S$2,"Thanh",INDEX(TongVTSX!F$3:F$1500,$Q183))))</f>
        <v/>
      </c>
      <c r="H183" s="114">
        <f ca="1">IF($R183=$S$1,INDEX(TongVTSX!$K$3:$K$1500,$Q183),IF($R183=$S$7,INDEX(TongVTSX!$H$3:$H$1500,$Q183),IF($R183=$S$2,ROUNDUP(SUMPRODUCT((TongVTSX!$C$3:$C$1500=$D183)*(TongVTSX!$E$3:$E$1500=$F183)*(TongVTSX!$K$3:$K$1500))/$U183,0),SUMPRODUCT((TongVTSX!$C$3:$C$1500=$D183)*(TongVTSX!$E$3:$E$1500=$F183)*(TongVTSX!$K$3:$K$1500)))))</f>
        <v>0</v>
      </c>
      <c r="I183" s="114"/>
      <c r="J183" s="114"/>
      <c r="K183" s="114" t="str">
        <f ca="1">IF($Q183="","",IF($R183=$S$2,INDEX(TongVTSX!M$3:M$1500,$Q183)*$U183,   INDEX(TongVTSX!M$3:M$1500,$Q183)))</f>
        <v/>
      </c>
      <c r="L183" s="92">
        <f ca="1">IF($Q183="",0, IF($R183=$S$7,$F183*$H183*$K183,IF($R183=$S$2,$H183*$K183,    IF($H183*$K183 - SUMPRODUCT((TongVTSX!$C$3:$C$1500=$D183)*(TongVTSX!$E$3:$E$1500=$F183)*(TongVTSX!$O$3:$O$1500)) &lt;=10,$H183*$K183,"PO &lt;&gt; TongVTSX"))))</f>
        <v>0</v>
      </c>
      <c r="M183" s="114">
        <f ca="1">IF($R183=$S$1,INDEX(TongVTSX!$K$3:$K$1500,$Q183),IF($R183=$S$7,INDEX(TongVTSX!$H$3:$H$1500,$Q183),IF($R183=$S$2,SUMPRODUCT((TongVTSX!$C$3:$C$1500=$D183)*(TongVTSX!$E$3:$E$1500=$F183)*(TongVTSX!$K$3:$K$1500))/$U183,SUMPRODUCT((TongVTSX!$C$3:$C$1500=$D183)*(TongVTSX!$E$3:$E$1500=$F183)*(TongVTSX!$K$3:$K$1500)))))</f>
        <v>0</v>
      </c>
      <c r="N183" s="92">
        <f ca="1">IF($Q183="",0, IF($R183=$S$7,$F183*$M183*$K183,IF($R183=$S$2,$M183*$K183,    IF($M183*$K183 - SUMPRODUCT((TongVTSX!$C$3:$C$1500=$D183)*(TongVTSX!$E$3:$E$1500=$F183)*(TongVTSX!$O$3:$O$1500)) &lt;=10,$M183*$K183,"PO &lt;&gt; TongVTSX"))))</f>
        <v>0</v>
      </c>
      <c r="O183" s="92">
        <f t="shared" ca="1" si="8"/>
        <v>0</v>
      </c>
      <c r="P183" s="1146" t="str">
        <f ca="1">IFERROR(INDEX(NVLSX!$AA$2:$AA$6756,MATCH($D183,NVLSX!$E$2:$E$6756,0)),"")</f>
        <v/>
      </c>
      <c r="Q183" s="742" t="str">
        <f ca="1">IF($R183="","",IF($R183&lt;&gt;$R182,IF(TYPE(MATCH($R183,TongVTSX!$T$3:$T$1500,0))=16,"",MATCH($R183,TongVTSX!$T$3:$T$1500,0)),IF(TYPE(MATCH($R183,OFFSET(TongVTSX!$T$3,$Q182,0):'TongVTSX'!$T$1500,0)+$Q182)=16,"",MATCH($R183,OFFSET(TongVTSX!$T$3,$Q182,0):'TongVTSX'!$T$1500,0)+$Q182)))</f>
        <v/>
      </c>
      <c r="R183" s="179" t="str">
        <f ca="1">IFERROR(IF(COUNTIF($R$3:R182,R182)&lt; INDEX($T$1:$T$7,MATCH($R182,$S$1:$S$7,0)),$R182,INDEX($S$1:$S$7,MATCH($R182,$S$1:$S$7,0)+1)),"")</f>
        <v/>
      </c>
      <c r="S183" s="181"/>
      <c r="T183" s="182"/>
      <c r="U183" s="184" t="str">
        <f ca="1">IF($R183="PR",INDEX(NVLSX!$U$2:$U$6941,MATCH($D183,NVLSX!$E$2:$E$6941,0)),"")</f>
        <v/>
      </c>
      <c r="V183" s="184" t="str">
        <f ca="1">IF($R183="PR",INDEX(NVLSX!$S$2:$S$6941,MATCH($D183,NVLSX!$E$2:$E$6941,0))*1000,"")</f>
        <v/>
      </c>
      <c r="W183" s="776" t="str">
        <f ca="1">IF($R183="PR",INDEX(NVLSX!$S$2:$S$6941,MATCH($D183,NVLSX!$E$2:$E$6941,0))*INDEX(NVLSX!$T$2:$T$6941,MATCH($D183,NVLSX!$E$2:$E$6941,0)),"")</f>
        <v/>
      </c>
      <c r="X183" s="776">
        <f t="shared" ca="1" si="7"/>
        <v>0</v>
      </c>
      <c r="Y183" s="982" t="str">
        <f ca="1">IFERROR(INDEX(NVLSX!$X$2:$X$4655,MATCH($D183,NVLSX!$E$2:$E$4655,0)),"")</f>
        <v/>
      </c>
    </row>
    <row r="184" spans="1:25">
      <c r="A184" s="19" t="str">
        <f ca="1">IF($Q184="","",MAX($A$2:A183)+1)</f>
        <v/>
      </c>
      <c r="B184" s="1146" t="str">
        <f ca="1">IFERROR(INDEX(NVLSX!$Y$2:$Y$6756,MATCH($D184,NVLSX!$E$2:$E$6756,0)),"")</f>
        <v/>
      </c>
      <c r="C184" s="1146" t="str">
        <f ca="1">IFERROR(INDEX(NVLSX!$Z$2:$Z$6756,MATCH($D184,NVLSX!$E$2:$E$6756,0)),"")</f>
        <v/>
      </c>
      <c r="D184" s="23" t="str">
        <f ca="1">IF($Q184="","",INDEX(TongVTSX!C$3:C$1500,$Q184))</f>
        <v/>
      </c>
      <c r="E184" s="729" t="str">
        <f ca="1">IF($Q184="","",INDEX(TongVTSX!D$3:D$1500,$Q184) &amp; IF(OR($R184=$S$1,$R184=$S$7)," (" &amp; INDEX(TongVTSX!A$3:A$1500,$Q184) &amp; ")",""))</f>
        <v/>
      </c>
      <c r="F184" s="745" t="str">
        <f ca="1">IF($Q184="","",IF($R184=$S$7,INDEX(TongVTSX!$G$3:$G$1500,$Q184),INDEX(TongVTSX!$E$3:$E$1500,$Q184)))</f>
        <v/>
      </c>
      <c r="G184" s="24" t="str">
        <f ca="1">IF($Q184="","",IF($R184=$S$1,"mm",IF($R184=$S$2,"Thanh",INDEX(TongVTSX!F$3:F$1500,$Q184))))</f>
        <v/>
      </c>
      <c r="H184" s="114">
        <f ca="1">IF($R184=$S$1,INDEX(TongVTSX!$K$3:$K$1500,$Q184),IF($R184=$S$7,INDEX(TongVTSX!$H$3:$H$1500,$Q184),IF($R184=$S$2,ROUNDUP(SUMPRODUCT((TongVTSX!$C$3:$C$1500=$D184)*(TongVTSX!$E$3:$E$1500=$F184)*(TongVTSX!$K$3:$K$1500))/$U184,0),SUMPRODUCT((TongVTSX!$C$3:$C$1500=$D184)*(TongVTSX!$E$3:$E$1500=$F184)*(TongVTSX!$K$3:$K$1500)))))</f>
        <v>0</v>
      </c>
      <c r="I184" s="114"/>
      <c r="J184" s="114"/>
      <c r="K184" s="114" t="str">
        <f ca="1">IF($Q184="","",IF($R184=$S$2,INDEX(TongVTSX!M$3:M$1500,$Q184)*$U184,   INDEX(TongVTSX!M$3:M$1500,$Q184)))</f>
        <v/>
      </c>
      <c r="L184" s="92">
        <f ca="1">IF($Q184="",0, IF($R184=$S$7,$F184*$H184*$K184,IF($R184=$S$2,$H184*$K184,    IF($H184*$K184 - SUMPRODUCT((TongVTSX!$C$3:$C$1500=$D184)*(TongVTSX!$E$3:$E$1500=$F184)*(TongVTSX!$O$3:$O$1500)) &lt;=10,$H184*$K184,"PO &lt;&gt; TongVTSX"))))</f>
        <v>0</v>
      </c>
      <c r="M184" s="114">
        <f ca="1">IF($R184=$S$1,INDEX(TongVTSX!$K$3:$K$1500,$Q184),IF($R184=$S$7,INDEX(TongVTSX!$H$3:$H$1500,$Q184),IF($R184=$S$2,SUMPRODUCT((TongVTSX!$C$3:$C$1500=$D184)*(TongVTSX!$E$3:$E$1500=$F184)*(TongVTSX!$K$3:$K$1500))/$U184,SUMPRODUCT((TongVTSX!$C$3:$C$1500=$D184)*(TongVTSX!$E$3:$E$1500=$F184)*(TongVTSX!$K$3:$K$1500)))))</f>
        <v>0</v>
      </c>
      <c r="N184" s="92">
        <f ca="1">IF($Q184="",0, IF($R184=$S$7,$F184*$M184*$K184,IF($R184=$S$2,$M184*$K184,    IF($M184*$K184 - SUMPRODUCT((TongVTSX!$C$3:$C$1500=$D184)*(TongVTSX!$E$3:$E$1500=$F184)*(TongVTSX!$O$3:$O$1500)) &lt;=10,$M184*$K184,"PO &lt;&gt; TongVTSX"))))</f>
        <v>0</v>
      </c>
      <c r="O184" s="92">
        <f t="shared" ca="1" si="8"/>
        <v>0</v>
      </c>
      <c r="P184" s="1146" t="str">
        <f ca="1">IFERROR(INDEX(NVLSX!$AA$2:$AA$6756,MATCH($D184,NVLSX!$E$2:$E$6756,0)),"")</f>
        <v/>
      </c>
      <c r="Q184" s="742" t="str">
        <f ca="1">IF($R184="","",IF($R184&lt;&gt;$R183,IF(TYPE(MATCH($R184,TongVTSX!$T$3:$T$1500,0))=16,"",MATCH($R184,TongVTSX!$T$3:$T$1500,0)),IF(TYPE(MATCH($R184,OFFSET(TongVTSX!$T$3,$Q183,0):'TongVTSX'!$T$1500,0)+$Q183)=16,"",MATCH($R184,OFFSET(TongVTSX!$T$3,$Q183,0):'TongVTSX'!$T$1500,0)+$Q183)))</f>
        <v/>
      </c>
      <c r="R184" s="179" t="str">
        <f ca="1">IFERROR(IF(COUNTIF($R$3:R183,R183)&lt; INDEX($T$1:$T$7,MATCH($R183,$S$1:$S$7,0)),$R183,INDEX($S$1:$S$7,MATCH($R183,$S$1:$S$7,0)+1)),"")</f>
        <v/>
      </c>
      <c r="S184" s="181"/>
      <c r="T184" s="182"/>
      <c r="U184" s="184" t="str">
        <f ca="1">IF($R184="PR",INDEX(NVLSX!$U$2:$U$6941,MATCH($D184,NVLSX!$E$2:$E$6941,0)),"")</f>
        <v/>
      </c>
      <c r="V184" s="184" t="str">
        <f ca="1">IF($R184="PR",INDEX(NVLSX!$S$2:$S$6941,MATCH($D184,NVLSX!$E$2:$E$6941,0))*1000,"")</f>
        <v/>
      </c>
      <c r="W184" s="776" t="str">
        <f ca="1">IF($R184="PR",INDEX(NVLSX!$S$2:$S$6941,MATCH($D184,NVLSX!$E$2:$E$6941,0))*INDEX(NVLSX!$T$2:$T$6941,MATCH($D184,NVLSX!$E$2:$E$6941,0)),"")</f>
        <v/>
      </c>
      <c r="X184" s="776">
        <f t="shared" ca="1" si="7"/>
        <v>0</v>
      </c>
      <c r="Y184" s="982" t="str">
        <f ca="1">IFERROR(INDEX(NVLSX!$X$2:$X$4655,MATCH($D184,NVLSX!$E$2:$E$4655,0)),"")</f>
        <v/>
      </c>
    </row>
    <row r="185" spans="1:25">
      <c r="A185" s="19" t="str">
        <f ca="1">IF($Q185="","",MAX($A$2:A184)+1)</f>
        <v/>
      </c>
      <c r="B185" s="1146" t="str">
        <f ca="1">IFERROR(INDEX(NVLSX!$Y$2:$Y$6756,MATCH($D185,NVLSX!$E$2:$E$6756,0)),"")</f>
        <v/>
      </c>
      <c r="C185" s="1146" t="str">
        <f ca="1">IFERROR(INDEX(NVLSX!$Z$2:$Z$6756,MATCH($D185,NVLSX!$E$2:$E$6756,0)),"")</f>
        <v/>
      </c>
      <c r="D185" s="23" t="str">
        <f ca="1">IF($Q185="","",INDEX(TongVTSX!C$3:C$1500,$Q185))</f>
        <v/>
      </c>
      <c r="E185" s="729" t="str">
        <f ca="1">IF($Q185="","",INDEX(TongVTSX!D$3:D$1500,$Q185) &amp; IF(OR($R185=$S$1,$R185=$S$7)," (" &amp; INDEX(TongVTSX!A$3:A$1500,$Q185) &amp; ")",""))</f>
        <v/>
      </c>
      <c r="F185" s="745" t="str">
        <f ca="1">IF($Q185="","",IF($R185=$S$7,INDEX(TongVTSX!$G$3:$G$1500,$Q185),INDEX(TongVTSX!$E$3:$E$1500,$Q185)))</f>
        <v/>
      </c>
      <c r="G185" s="24" t="str">
        <f ca="1">IF($Q185="","",IF($R185=$S$1,"mm",IF($R185=$S$2,"Thanh",INDEX(TongVTSX!F$3:F$1500,$Q185))))</f>
        <v/>
      </c>
      <c r="H185" s="114">
        <f ca="1">IF($R185=$S$1,INDEX(TongVTSX!$K$3:$K$1500,$Q185),IF($R185=$S$7,INDEX(TongVTSX!$H$3:$H$1500,$Q185),IF($R185=$S$2,ROUNDUP(SUMPRODUCT((TongVTSX!$C$3:$C$1500=$D185)*(TongVTSX!$E$3:$E$1500=$F185)*(TongVTSX!$K$3:$K$1500))/$U185,0),SUMPRODUCT((TongVTSX!$C$3:$C$1500=$D185)*(TongVTSX!$E$3:$E$1500=$F185)*(TongVTSX!$K$3:$K$1500)))))</f>
        <v>0</v>
      </c>
      <c r="I185" s="114"/>
      <c r="J185" s="114"/>
      <c r="K185" s="114" t="str">
        <f ca="1">IF($Q185="","",IF($R185=$S$2,INDEX(TongVTSX!M$3:M$1500,$Q185)*$U185,   INDEX(TongVTSX!M$3:M$1500,$Q185)))</f>
        <v/>
      </c>
      <c r="L185" s="92">
        <f ca="1">IF($Q185="",0, IF($R185=$S$7,$F185*$H185*$K185,IF($R185=$S$2,$H185*$K185,    IF($H185*$K185 - SUMPRODUCT((TongVTSX!$C$3:$C$1500=$D185)*(TongVTSX!$E$3:$E$1500=$F185)*(TongVTSX!$O$3:$O$1500)) &lt;=10,$H185*$K185,"PO &lt;&gt; TongVTSX"))))</f>
        <v>0</v>
      </c>
      <c r="M185" s="114">
        <f ca="1">IF($R185=$S$1,INDEX(TongVTSX!$K$3:$K$1500,$Q185),IF($R185=$S$7,INDEX(TongVTSX!$H$3:$H$1500,$Q185),IF($R185=$S$2,SUMPRODUCT((TongVTSX!$C$3:$C$1500=$D185)*(TongVTSX!$E$3:$E$1500=$F185)*(TongVTSX!$K$3:$K$1500))/$U185,SUMPRODUCT((TongVTSX!$C$3:$C$1500=$D185)*(TongVTSX!$E$3:$E$1500=$F185)*(TongVTSX!$K$3:$K$1500)))))</f>
        <v>0</v>
      </c>
      <c r="N185" s="92">
        <f ca="1">IF($Q185="",0, IF($R185=$S$7,$F185*$M185*$K185,IF($R185=$S$2,$M185*$K185,    IF($M185*$K185 - SUMPRODUCT((TongVTSX!$C$3:$C$1500=$D185)*(TongVTSX!$E$3:$E$1500=$F185)*(TongVTSX!$O$3:$O$1500)) &lt;=10,$M185*$K185,"PO &lt;&gt; TongVTSX"))))</f>
        <v>0</v>
      </c>
      <c r="O185" s="92">
        <f t="shared" ca="1" si="8"/>
        <v>0</v>
      </c>
      <c r="P185" s="1146" t="str">
        <f ca="1">IFERROR(INDEX(NVLSX!$AA$2:$AA$6756,MATCH($D185,NVLSX!$E$2:$E$6756,0)),"")</f>
        <v/>
      </c>
      <c r="Q185" s="742" t="str">
        <f ca="1">IF($R185="","",IF($R185&lt;&gt;$R184,IF(TYPE(MATCH($R185,TongVTSX!$T$3:$T$1500,0))=16,"",MATCH($R185,TongVTSX!$T$3:$T$1500,0)),IF(TYPE(MATCH($R185,OFFSET(TongVTSX!$T$3,$Q184,0):'TongVTSX'!$T$1500,0)+$Q184)=16,"",MATCH($R185,OFFSET(TongVTSX!$T$3,$Q184,0):'TongVTSX'!$T$1500,0)+$Q184)))</f>
        <v/>
      </c>
      <c r="R185" s="179" t="str">
        <f ca="1">IFERROR(IF(COUNTIF($R$3:R184,R184)&lt; INDEX($T$1:$T$7,MATCH($R184,$S$1:$S$7,0)),$R184,INDEX($S$1:$S$7,MATCH($R184,$S$1:$S$7,0)+1)),"")</f>
        <v/>
      </c>
      <c r="S185" s="181"/>
      <c r="T185" s="182"/>
      <c r="U185" s="184" t="str">
        <f ca="1">IF($R185="PR",INDEX(NVLSX!$U$2:$U$6941,MATCH($D185,NVLSX!$E$2:$E$6941,0)),"")</f>
        <v/>
      </c>
      <c r="V185" s="184" t="str">
        <f ca="1">IF($R185="PR",INDEX(NVLSX!$S$2:$S$6941,MATCH($D185,NVLSX!$E$2:$E$6941,0))*1000,"")</f>
        <v/>
      </c>
      <c r="W185" s="776" t="str">
        <f ca="1">IF($R185="PR",INDEX(NVLSX!$S$2:$S$6941,MATCH($D185,NVLSX!$E$2:$E$6941,0))*INDEX(NVLSX!$T$2:$T$6941,MATCH($D185,NVLSX!$E$2:$E$6941,0)),"")</f>
        <v/>
      </c>
      <c r="X185" s="776">
        <f t="shared" ca="1" si="7"/>
        <v>0</v>
      </c>
      <c r="Y185" s="982" t="str">
        <f ca="1">IFERROR(INDEX(NVLSX!$X$2:$X$4655,MATCH($D185,NVLSX!$E$2:$E$4655,0)),"")</f>
        <v/>
      </c>
    </row>
    <row r="186" spans="1:25">
      <c r="A186" s="19" t="str">
        <f ca="1">IF($Q186="","",MAX($A$2:A185)+1)</f>
        <v/>
      </c>
      <c r="B186" s="1146" t="str">
        <f ca="1">IFERROR(INDEX(NVLSX!$Y$2:$Y$6756,MATCH($D186,NVLSX!$E$2:$E$6756,0)),"")</f>
        <v/>
      </c>
      <c r="C186" s="1146" t="str">
        <f ca="1">IFERROR(INDEX(NVLSX!$Z$2:$Z$6756,MATCH($D186,NVLSX!$E$2:$E$6756,0)),"")</f>
        <v/>
      </c>
      <c r="D186" s="23" t="str">
        <f ca="1">IF($Q186="","",INDEX(TongVTSX!C$3:C$1500,$Q186))</f>
        <v/>
      </c>
      <c r="E186" s="729" t="str">
        <f ca="1">IF($Q186="","",INDEX(TongVTSX!D$3:D$1500,$Q186) &amp; IF(OR($R186=$S$1,$R186=$S$7)," (" &amp; INDEX(TongVTSX!A$3:A$1500,$Q186) &amp; ")",""))</f>
        <v/>
      </c>
      <c r="F186" s="745" t="str">
        <f ca="1">IF($Q186="","",IF($R186=$S$7,INDEX(TongVTSX!$G$3:$G$1500,$Q186),INDEX(TongVTSX!$E$3:$E$1500,$Q186)))</f>
        <v/>
      </c>
      <c r="G186" s="24" t="str">
        <f ca="1">IF($Q186="","",IF($R186=$S$1,"mm",IF($R186=$S$2,"Thanh",INDEX(TongVTSX!F$3:F$1500,$Q186))))</f>
        <v/>
      </c>
      <c r="H186" s="114">
        <f ca="1">IF($R186=$S$1,INDEX(TongVTSX!$K$3:$K$1500,$Q186),IF($R186=$S$7,INDEX(TongVTSX!$H$3:$H$1500,$Q186),IF($R186=$S$2,ROUNDUP(SUMPRODUCT((TongVTSX!$C$3:$C$1500=$D186)*(TongVTSX!$E$3:$E$1500=$F186)*(TongVTSX!$K$3:$K$1500))/$U186,0),SUMPRODUCT((TongVTSX!$C$3:$C$1500=$D186)*(TongVTSX!$E$3:$E$1500=$F186)*(TongVTSX!$K$3:$K$1500)))))</f>
        <v>0</v>
      </c>
      <c r="I186" s="114"/>
      <c r="J186" s="114"/>
      <c r="K186" s="114" t="str">
        <f ca="1">IF($Q186="","",IF($R186=$S$2,INDEX(TongVTSX!M$3:M$1500,$Q186)*$U186,   INDEX(TongVTSX!M$3:M$1500,$Q186)))</f>
        <v/>
      </c>
      <c r="L186" s="92">
        <f ca="1">IF($Q186="",0, IF($R186=$S$7,$F186*$H186*$K186,IF($R186=$S$2,$H186*$K186,    IF($H186*$K186 - SUMPRODUCT((TongVTSX!$C$3:$C$1500=$D186)*(TongVTSX!$E$3:$E$1500=$F186)*(TongVTSX!$O$3:$O$1500)) &lt;=10,$H186*$K186,"PO &lt;&gt; TongVTSX"))))</f>
        <v>0</v>
      </c>
      <c r="M186" s="114">
        <f ca="1">IF($R186=$S$1,INDEX(TongVTSX!$K$3:$K$1500,$Q186),IF($R186=$S$7,INDEX(TongVTSX!$H$3:$H$1500,$Q186),IF($R186=$S$2,SUMPRODUCT((TongVTSX!$C$3:$C$1500=$D186)*(TongVTSX!$E$3:$E$1500=$F186)*(TongVTSX!$K$3:$K$1500))/$U186,SUMPRODUCT((TongVTSX!$C$3:$C$1500=$D186)*(TongVTSX!$E$3:$E$1500=$F186)*(TongVTSX!$K$3:$K$1500)))))</f>
        <v>0</v>
      </c>
      <c r="N186" s="92">
        <f ca="1">IF($Q186="",0, IF($R186=$S$7,$F186*$M186*$K186,IF($R186=$S$2,$M186*$K186,    IF($M186*$K186 - SUMPRODUCT((TongVTSX!$C$3:$C$1500=$D186)*(TongVTSX!$E$3:$E$1500=$F186)*(TongVTSX!$O$3:$O$1500)) &lt;=10,$M186*$K186,"PO &lt;&gt; TongVTSX"))))</f>
        <v>0</v>
      </c>
      <c r="O186" s="92">
        <f t="shared" ca="1" si="8"/>
        <v>0</v>
      </c>
      <c r="P186" s="1146" t="str">
        <f ca="1">IFERROR(INDEX(NVLSX!$AA$2:$AA$6756,MATCH($D186,NVLSX!$E$2:$E$6756,0)),"")</f>
        <v/>
      </c>
      <c r="Q186" s="742" t="str">
        <f ca="1">IF($R186="","",IF($R186&lt;&gt;$R185,IF(TYPE(MATCH($R186,TongVTSX!$T$3:$T$1500,0))=16,"",MATCH($R186,TongVTSX!$T$3:$T$1500,0)),IF(TYPE(MATCH($R186,OFFSET(TongVTSX!$T$3,$Q185,0):'TongVTSX'!$T$1500,0)+$Q185)=16,"",MATCH($R186,OFFSET(TongVTSX!$T$3,$Q185,0):'TongVTSX'!$T$1500,0)+$Q185)))</f>
        <v/>
      </c>
      <c r="R186" s="179" t="str">
        <f ca="1">IFERROR(IF(COUNTIF($R$3:R185,R185)&lt; INDEX($T$1:$T$7,MATCH($R185,$S$1:$S$7,0)),$R185,INDEX($S$1:$S$7,MATCH($R185,$S$1:$S$7,0)+1)),"")</f>
        <v/>
      </c>
      <c r="S186" s="181"/>
      <c r="T186" s="182"/>
      <c r="U186" s="184" t="str">
        <f ca="1">IF($R186="PR",INDEX(NVLSX!$U$2:$U$6941,MATCH($D186,NVLSX!$E$2:$E$6941,0)),"")</f>
        <v/>
      </c>
      <c r="V186" s="184" t="str">
        <f ca="1">IF($R186="PR",INDEX(NVLSX!$S$2:$S$6941,MATCH($D186,NVLSX!$E$2:$E$6941,0))*1000,"")</f>
        <v/>
      </c>
      <c r="W186" s="776" t="str">
        <f ca="1">IF($R186="PR",INDEX(NVLSX!$S$2:$S$6941,MATCH($D186,NVLSX!$E$2:$E$6941,0))*INDEX(NVLSX!$T$2:$T$6941,MATCH($D186,NVLSX!$E$2:$E$6941,0)),"")</f>
        <v/>
      </c>
      <c r="X186" s="776">
        <f t="shared" ca="1" si="7"/>
        <v>0</v>
      </c>
      <c r="Y186" s="982" t="str">
        <f ca="1">IFERROR(INDEX(NVLSX!$X$2:$X$4655,MATCH($D186,NVLSX!$E$2:$E$4655,0)),"")</f>
        <v/>
      </c>
    </row>
    <row r="187" spans="1:25">
      <c r="A187" s="19" t="str">
        <f ca="1">IF($Q187="","",MAX($A$2:A186)+1)</f>
        <v/>
      </c>
      <c r="B187" s="1146" t="str">
        <f ca="1">IFERROR(INDEX(NVLSX!$Y$2:$Y$6756,MATCH($D187,NVLSX!$E$2:$E$6756,0)),"")</f>
        <v/>
      </c>
      <c r="C187" s="1146" t="str">
        <f ca="1">IFERROR(INDEX(NVLSX!$Z$2:$Z$6756,MATCH($D187,NVLSX!$E$2:$E$6756,0)),"")</f>
        <v/>
      </c>
      <c r="D187" s="23" t="str">
        <f ca="1">IF($Q187="","",INDEX(TongVTSX!C$3:C$1500,$Q187))</f>
        <v/>
      </c>
      <c r="E187" s="729" t="str">
        <f ca="1">IF($Q187="","",INDEX(TongVTSX!D$3:D$1500,$Q187) &amp; IF(OR($R187=$S$1,$R187=$S$7)," (" &amp; INDEX(TongVTSX!A$3:A$1500,$Q187) &amp; ")",""))</f>
        <v/>
      </c>
      <c r="F187" s="745" t="str">
        <f ca="1">IF($Q187="","",IF($R187=$S$7,INDEX(TongVTSX!$G$3:$G$1500,$Q187),INDEX(TongVTSX!$E$3:$E$1500,$Q187)))</f>
        <v/>
      </c>
      <c r="G187" s="24" t="str">
        <f ca="1">IF($Q187="","",IF($R187=$S$1,"mm",IF($R187=$S$2,"Thanh",INDEX(TongVTSX!F$3:F$1500,$Q187))))</f>
        <v/>
      </c>
      <c r="H187" s="114">
        <f ca="1">IF($R187=$S$1,INDEX(TongVTSX!$K$3:$K$1500,$Q187),IF($R187=$S$7,INDEX(TongVTSX!$H$3:$H$1500,$Q187),IF($R187=$S$2,ROUNDUP(SUMPRODUCT((TongVTSX!$C$3:$C$1500=$D187)*(TongVTSX!$E$3:$E$1500=$F187)*(TongVTSX!$K$3:$K$1500))/$U187,0),SUMPRODUCT((TongVTSX!$C$3:$C$1500=$D187)*(TongVTSX!$E$3:$E$1500=$F187)*(TongVTSX!$K$3:$K$1500)))))</f>
        <v>0</v>
      </c>
      <c r="I187" s="114"/>
      <c r="J187" s="114"/>
      <c r="K187" s="114" t="str">
        <f ca="1">IF($Q187="","",IF($R187=$S$2,INDEX(TongVTSX!M$3:M$1500,$Q187)*$U187,   INDEX(TongVTSX!M$3:M$1500,$Q187)))</f>
        <v/>
      </c>
      <c r="L187" s="92">
        <f ca="1">IF($Q187="",0, IF($R187=$S$7,$F187*$H187*$K187,IF($R187=$S$2,$H187*$K187,    IF($H187*$K187 - SUMPRODUCT((TongVTSX!$C$3:$C$1500=$D187)*(TongVTSX!$E$3:$E$1500=$F187)*(TongVTSX!$O$3:$O$1500)) &lt;=10,$H187*$K187,"PO &lt;&gt; TongVTSX"))))</f>
        <v>0</v>
      </c>
      <c r="M187" s="114">
        <f ca="1">IF($R187=$S$1,INDEX(TongVTSX!$K$3:$K$1500,$Q187),IF($R187=$S$7,INDEX(TongVTSX!$H$3:$H$1500,$Q187),IF($R187=$S$2,SUMPRODUCT((TongVTSX!$C$3:$C$1500=$D187)*(TongVTSX!$E$3:$E$1500=$F187)*(TongVTSX!$K$3:$K$1500))/$U187,SUMPRODUCT((TongVTSX!$C$3:$C$1500=$D187)*(TongVTSX!$E$3:$E$1500=$F187)*(TongVTSX!$K$3:$K$1500)))))</f>
        <v>0</v>
      </c>
      <c r="N187" s="92">
        <f ca="1">IF($Q187="",0, IF($R187=$S$7,$F187*$M187*$K187,IF($R187=$S$2,$M187*$K187,    IF($M187*$K187 - SUMPRODUCT((TongVTSX!$C$3:$C$1500=$D187)*(TongVTSX!$E$3:$E$1500=$F187)*(TongVTSX!$O$3:$O$1500)) &lt;=10,$M187*$K187,"PO &lt;&gt; TongVTSX"))))</f>
        <v>0</v>
      </c>
      <c r="O187" s="92">
        <f t="shared" ca="1" si="8"/>
        <v>0</v>
      </c>
      <c r="P187" s="1146" t="str">
        <f ca="1">IFERROR(INDEX(NVLSX!$AA$2:$AA$6756,MATCH($D187,NVLSX!$E$2:$E$6756,0)),"")</f>
        <v/>
      </c>
      <c r="Q187" s="742" t="str">
        <f ca="1">IF($R187="","",IF($R187&lt;&gt;$R186,IF(TYPE(MATCH($R187,TongVTSX!$T$3:$T$1500,0))=16,"",MATCH($R187,TongVTSX!$T$3:$T$1500,0)),IF(TYPE(MATCH($R187,OFFSET(TongVTSX!$T$3,$Q186,0):'TongVTSX'!$T$1500,0)+$Q186)=16,"",MATCH($R187,OFFSET(TongVTSX!$T$3,$Q186,0):'TongVTSX'!$T$1500,0)+$Q186)))</f>
        <v/>
      </c>
      <c r="R187" s="179" t="str">
        <f ca="1">IFERROR(IF(COUNTIF($R$3:R186,R186)&lt; INDEX($T$1:$T$7,MATCH($R186,$S$1:$S$7,0)),$R186,INDEX($S$1:$S$7,MATCH($R186,$S$1:$S$7,0)+1)),"")</f>
        <v/>
      </c>
      <c r="S187" s="181"/>
      <c r="T187" s="182"/>
      <c r="U187" s="184" t="str">
        <f ca="1">IF($R187="PR",INDEX(NVLSX!$U$2:$U$6941,MATCH($D187,NVLSX!$E$2:$E$6941,0)),"")</f>
        <v/>
      </c>
      <c r="V187" s="184" t="str">
        <f ca="1">IF($R187="PR",INDEX(NVLSX!$S$2:$S$6941,MATCH($D187,NVLSX!$E$2:$E$6941,0))*1000,"")</f>
        <v/>
      </c>
      <c r="W187" s="776" t="str">
        <f ca="1">IF($R187="PR",INDEX(NVLSX!$S$2:$S$6941,MATCH($D187,NVLSX!$E$2:$E$6941,0))*INDEX(NVLSX!$T$2:$T$6941,MATCH($D187,NVLSX!$E$2:$E$6941,0)),"")</f>
        <v/>
      </c>
      <c r="X187" s="776">
        <f t="shared" ca="1" si="7"/>
        <v>0</v>
      </c>
      <c r="Y187" s="982" t="str">
        <f ca="1">IFERROR(INDEX(NVLSX!$X$2:$X$4655,MATCH($D187,NVLSX!$E$2:$E$4655,0)),"")</f>
        <v/>
      </c>
    </row>
    <row r="188" spans="1:25">
      <c r="A188" s="19" t="str">
        <f ca="1">IF($Q188="","",MAX($A$2:A187)+1)</f>
        <v/>
      </c>
      <c r="B188" s="1146" t="str">
        <f ca="1">IFERROR(INDEX(NVLSX!$Y$2:$Y$6756,MATCH($D188,NVLSX!$E$2:$E$6756,0)),"")</f>
        <v/>
      </c>
      <c r="C188" s="1146" t="str">
        <f ca="1">IFERROR(INDEX(NVLSX!$Z$2:$Z$6756,MATCH($D188,NVLSX!$E$2:$E$6756,0)),"")</f>
        <v/>
      </c>
      <c r="D188" s="23" t="str">
        <f ca="1">IF($Q188="","",INDEX(TongVTSX!C$3:C$1500,$Q188))</f>
        <v/>
      </c>
      <c r="E188" s="729" t="str">
        <f ca="1">IF($Q188="","",INDEX(TongVTSX!D$3:D$1500,$Q188) &amp; IF(OR($R188=$S$1,$R188=$S$7)," (" &amp; INDEX(TongVTSX!A$3:A$1500,$Q188) &amp; ")",""))</f>
        <v/>
      </c>
      <c r="F188" s="745" t="str">
        <f ca="1">IF($Q188="","",IF($R188=$S$7,INDEX(TongVTSX!$G$3:$G$1500,$Q188),INDEX(TongVTSX!$E$3:$E$1500,$Q188)))</f>
        <v/>
      </c>
      <c r="G188" s="24" t="str">
        <f ca="1">IF($Q188="","",IF($R188=$S$1,"mm",IF($R188=$S$2,"Thanh",INDEX(TongVTSX!F$3:F$1500,$Q188))))</f>
        <v/>
      </c>
      <c r="H188" s="114">
        <f ca="1">IF($R188=$S$1,INDEX(TongVTSX!$K$3:$K$1500,$Q188),IF($R188=$S$7,INDEX(TongVTSX!$H$3:$H$1500,$Q188),IF($R188=$S$2,ROUNDUP(SUMPRODUCT((TongVTSX!$C$3:$C$1500=$D188)*(TongVTSX!$E$3:$E$1500=$F188)*(TongVTSX!$K$3:$K$1500))/$U188,0),SUMPRODUCT((TongVTSX!$C$3:$C$1500=$D188)*(TongVTSX!$E$3:$E$1500=$F188)*(TongVTSX!$K$3:$K$1500)))))</f>
        <v>0</v>
      </c>
      <c r="I188" s="114"/>
      <c r="J188" s="114"/>
      <c r="K188" s="114" t="str">
        <f ca="1">IF($Q188="","",IF($R188=$S$2,INDEX(TongVTSX!M$3:M$1500,$Q188)*$U188,   INDEX(TongVTSX!M$3:M$1500,$Q188)))</f>
        <v/>
      </c>
      <c r="L188" s="92">
        <f ca="1">IF($Q188="",0, IF($R188=$S$7,$F188*$H188*$K188,IF($R188=$S$2,$H188*$K188,    IF($H188*$K188 - SUMPRODUCT((TongVTSX!$C$3:$C$1500=$D188)*(TongVTSX!$E$3:$E$1500=$F188)*(TongVTSX!$O$3:$O$1500)) &lt;=10,$H188*$K188,"PO &lt;&gt; TongVTSX"))))</f>
        <v>0</v>
      </c>
      <c r="M188" s="114">
        <f ca="1">IF($R188=$S$1,INDEX(TongVTSX!$K$3:$K$1500,$Q188),IF($R188=$S$7,INDEX(TongVTSX!$H$3:$H$1500,$Q188),IF($R188=$S$2,SUMPRODUCT((TongVTSX!$C$3:$C$1500=$D188)*(TongVTSX!$E$3:$E$1500=$F188)*(TongVTSX!$K$3:$K$1500))/$U188,SUMPRODUCT((TongVTSX!$C$3:$C$1500=$D188)*(TongVTSX!$E$3:$E$1500=$F188)*(TongVTSX!$K$3:$K$1500)))))</f>
        <v>0</v>
      </c>
      <c r="N188" s="92">
        <f ca="1">IF($Q188="",0, IF($R188=$S$7,$F188*$M188*$K188,IF($R188=$S$2,$M188*$K188,    IF($M188*$K188 - SUMPRODUCT((TongVTSX!$C$3:$C$1500=$D188)*(TongVTSX!$E$3:$E$1500=$F188)*(TongVTSX!$O$3:$O$1500)) &lt;=10,$M188*$K188,"PO &lt;&gt; TongVTSX"))))</f>
        <v>0</v>
      </c>
      <c r="O188" s="92">
        <f t="shared" ca="1" si="8"/>
        <v>0</v>
      </c>
      <c r="P188" s="1146" t="str">
        <f ca="1">IFERROR(INDEX(NVLSX!$AA$2:$AA$6756,MATCH($D188,NVLSX!$E$2:$E$6756,0)),"")</f>
        <v/>
      </c>
      <c r="Q188" s="742" t="str">
        <f ca="1">IF($R188="","",IF($R188&lt;&gt;$R187,IF(TYPE(MATCH($R188,TongVTSX!$T$3:$T$1500,0))=16,"",MATCH($R188,TongVTSX!$T$3:$T$1500,0)),IF(TYPE(MATCH($R188,OFFSET(TongVTSX!$T$3,$Q187,0):'TongVTSX'!$T$1500,0)+$Q187)=16,"",MATCH($R188,OFFSET(TongVTSX!$T$3,$Q187,0):'TongVTSX'!$T$1500,0)+$Q187)))</f>
        <v/>
      </c>
      <c r="R188" s="179" t="str">
        <f ca="1">IFERROR(IF(COUNTIF($R$3:R187,R187)&lt; INDEX($T$1:$T$7,MATCH($R187,$S$1:$S$7,0)),$R187,INDEX($S$1:$S$7,MATCH($R187,$S$1:$S$7,0)+1)),"")</f>
        <v/>
      </c>
      <c r="S188" s="181"/>
      <c r="T188" s="182"/>
      <c r="U188" s="184" t="str">
        <f ca="1">IF($R188="PR",INDEX(NVLSX!$U$2:$U$6941,MATCH($D188,NVLSX!$E$2:$E$6941,0)),"")</f>
        <v/>
      </c>
      <c r="V188" s="184" t="str">
        <f ca="1">IF($R188="PR",INDEX(NVLSX!$S$2:$S$6941,MATCH($D188,NVLSX!$E$2:$E$6941,0))*1000,"")</f>
        <v/>
      </c>
      <c r="W188" s="776" t="str">
        <f ca="1">IF($R188="PR",INDEX(NVLSX!$S$2:$S$6941,MATCH($D188,NVLSX!$E$2:$E$6941,0))*INDEX(NVLSX!$T$2:$T$6941,MATCH($D188,NVLSX!$E$2:$E$6941,0)),"")</f>
        <v/>
      </c>
      <c r="X188" s="776">
        <f t="shared" ca="1" si="7"/>
        <v>0</v>
      </c>
      <c r="Y188" s="982" t="str">
        <f ca="1">IFERROR(INDEX(NVLSX!$X$2:$X$4655,MATCH($D188,NVLSX!$E$2:$E$4655,0)),"")</f>
        <v/>
      </c>
    </row>
    <row r="189" spans="1:25">
      <c r="A189" s="19" t="str">
        <f ca="1">IF($Q189="","",MAX($A$2:A188)+1)</f>
        <v/>
      </c>
      <c r="B189" s="1146" t="str">
        <f ca="1">IFERROR(INDEX(NVLSX!$Y$2:$Y$6756,MATCH($D189,NVLSX!$E$2:$E$6756,0)),"")</f>
        <v/>
      </c>
      <c r="C189" s="1146" t="str">
        <f ca="1">IFERROR(INDEX(NVLSX!$Z$2:$Z$6756,MATCH($D189,NVLSX!$E$2:$E$6756,0)),"")</f>
        <v/>
      </c>
      <c r="D189" s="23" t="str">
        <f ca="1">IF($Q189="","",INDEX(TongVTSX!C$3:C$1500,$Q189))</f>
        <v/>
      </c>
      <c r="E189" s="729" t="str">
        <f ca="1">IF($Q189="","",INDEX(TongVTSX!D$3:D$1500,$Q189) &amp; IF(OR($R189=$S$1,$R189=$S$7)," (" &amp; INDEX(TongVTSX!A$3:A$1500,$Q189) &amp; ")",""))</f>
        <v/>
      </c>
      <c r="F189" s="745" t="str">
        <f ca="1">IF($Q189="","",IF($R189=$S$7,INDEX(TongVTSX!$G$3:$G$1500,$Q189),INDEX(TongVTSX!$E$3:$E$1500,$Q189)))</f>
        <v/>
      </c>
      <c r="G189" s="24" t="str">
        <f ca="1">IF($Q189="","",IF($R189=$S$1,"mm",IF($R189=$S$2,"Thanh",INDEX(TongVTSX!F$3:F$1500,$Q189))))</f>
        <v/>
      </c>
      <c r="H189" s="114">
        <f ca="1">IF($R189=$S$1,INDEX(TongVTSX!$K$3:$K$1500,$Q189),IF($R189=$S$7,INDEX(TongVTSX!$H$3:$H$1500,$Q189),IF($R189=$S$2,ROUNDUP(SUMPRODUCT((TongVTSX!$C$3:$C$1500=$D189)*(TongVTSX!$E$3:$E$1500=$F189)*(TongVTSX!$K$3:$K$1500))/$U189,0),SUMPRODUCT((TongVTSX!$C$3:$C$1500=$D189)*(TongVTSX!$E$3:$E$1500=$F189)*(TongVTSX!$K$3:$K$1500)))))</f>
        <v>0</v>
      </c>
      <c r="I189" s="114"/>
      <c r="J189" s="114"/>
      <c r="K189" s="114" t="str">
        <f ca="1">IF($Q189="","",IF($R189=$S$2,INDEX(TongVTSX!M$3:M$1500,$Q189)*$U189,   INDEX(TongVTSX!M$3:M$1500,$Q189)))</f>
        <v/>
      </c>
      <c r="L189" s="92">
        <f ca="1">IF($Q189="",0, IF($R189=$S$7,$F189*$H189*$K189,IF($R189=$S$2,$H189*$K189,    IF($H189*$K189 - SUMPRODUCT((TongVTSX!$C$3:$C$1500=$D189)*(TongVTSX!$E$3:$E$1500=$F189)*(TongVTSX!$O$3:$O$1500)) &lt;=10,$H189*$K189,"PO &lt;&gt; TongVTSX"))))</f>
        <v>0</v>
      </c>
      <c r="M189" s="114">
        <f ca="1">IF($R189=$S$1,INDEX(TongVTSX!$K$3:$K$1500,$Q189),IF($R189=$S$7,INDEX(TongVTSX!$H$3:$H$1500,$Q189),IF($R189=$S$2,SUMPRODUCT((TongVTSX!$C$3:$C$1500=$D189)*(TongVTSX!$E$3:$E$1500=$F189)*(TongVTSX!$K$3:$K$1500))/$U189,SUMPRODUCT((TongVTSX!$C$3:$C$1500=$D189)*(TongVTSX!$E$3:$E$1500=$F189)*(TongVTSX!$K$3:$K$1500)))))</f>
        <v>0</v>
      </c>
      <c r="N189" s="92">
        <f ca="1">IF($Q189="",0, IF($R189=$S$7,$F189*$M189*$K189,IF($R189=$S$2,$M189*$K189,    IF($M189*$K189 - SUMPRODUCT((TongVTSX!$C$3:$C$1500=$D189)*(TongVTSX!$E$3:$E$1500=$F189)*(TongVTSX!$O$3:$O$1500)) &lt;=10,$M189*$K189,"PO &lt;&gt; TongVTSX"))))</f>
        <v>0</v>
      </c>
      <c r="O189" s="92">
        <f t="shared" ca="1" si="8"/>
        <v>0</v>
      </c>
      <c r="P189" s="1146" t="str">
        <f ca="1">IFERROR(INDEX(NVLSX!$AA$2:$AA$6756,MATCH($D189,NVLSX!$E$2:$E$6756,0)),"")</f>
        <v/>
      </c>
      <c r="Q189" s="742" t="str">
        <f ca="1">IF($R189="","",IF($R189&lt;&gt;$R188,IF(TYPE(MATCH($R189,TongVTSX!$T$3:$T$1500,0))=16,"",MATCH($R189,TongVTSX!$T$3:$T$1500,0)),IF(TYPE(MATCH($R189,OFFSET(TongVTSX!$T$3,$Q188,0):'TongVTSX'!$T$1500,0)+$Q188)=16,"",MATCH($R189,OFFSET(TongVTSX!$T$3,$Q188,0):'TongVTSX'!$T$1500,0)+$Q188)))</f>
        <v/>
      </c>
      <c r="R189" s="179" t="str">
        <f ca="1">IFERROR(IF(COUNTIF($R$3:R188,R188)&lt; INDEX($T$1:$T$7,MATCH($R188,$S$1:$S$7,0)),$R188,INDEX($S$1:$S$7,MATCH($R188,$S$1:$S$7,0)+1)),"")</f>
        <v/>
      </c>
      <c r="S189" s="181"/>
      <c r="T189" s="182"/>
      <c r="U189" s="184" t="str">
        <f ca="1">IF($R189="PR",INDEX(NVLSX!$U$2:$U$6941,MATCH($D189,NVLSX!$E$2:$E$6941,0)),"")</f>
        <v/>
      </c>
      <c r="V189" s="184" t="str">
        <f ca="1">IF($R189="PR",INDEX(NVLSX!$S$2:$S$6941,MATCH($D189,NVLSX!$E$2:$E$6941,0))*1000,"")</f>
        <v/>
      </c>
      <c r="W189" s="776" t="str">
        <f ca="1">IF($R189="PR",INDEX(NVLSX!$S$2:$S$6941,MATCH($D189,NVLSX!$E$2:$E$6941,0))*INDEX(NVLSX!$T$2:$T$6941,MATCH($D189,NVLSX!$E$2:$E$6941,0)),"")</f>
        <v/>
      </c>
      <c r="X189" s="776">
        <f t="shared" ca="1" si="7"/>
        <v>0</v>
      </c>
      <c r="Y189" s="982" t="str">
        <f ca="1">IFERROR(INDEX(NVLSX!$X$2:$X$4655,MATCH($D189,NVLSX!$E$2:$E$4655,0)),"")</f>
        <v/>
      </c>
    </row>
    <row r="190" spans="1:25">
      <c r="A190" s="19" t="str">
        <f ca="1">IF($Q190="","",MAX($A$2:A189)+1)</f>
        <v/>
      </c>
      <c r="B190" s="1146" t="str">
        <f ca="1">IFERROR(INDEX(NVLSX!$Y$2:$Y$6756,MATCH($D190,NVLSX!$E$2:$E$6756,0)),"")</f>
        <v/>
      </c>
      <c r="C190" s="1146" t="str">
        <f ca="1">IFERROR(INDEX(NVLSX!$Z$2:$Z$6756,MATCH($D190,NVLSX!$E$2:$E$6756,0)),"")</f>
        <v/>
      </c>
      <c r="D190" s="23" t="str">
        <f ca="1">IF($Q190="","",INDEX(TongVTSX!C$3:C$1500,$Q190))</f>
        <v/>
      </c>
      <c r="E190" s="729" t="str">
        <f ca="1">IF($Q190="","",INDEX(TongVTSX!D$3:D$1500,$Q190) &amp; IF(OR($R190=$S$1,$R190=$S$7)," (" &amp; INDEX(TongVTSX!A$3:A$1500,$Q190) &amp; ")",""))</f>
        <v/>
      </c>
      <c r="F190" s="745" t="str">
        <f ca="1">IF($Q190="","",IF($R190=$S$7,INDEX(TongVTSX!$G$3:$G$1500,$Q190),INDEX(TongVTSX!$E$3:$E$1500,$Q190)))</f>
        <v/>
      </c>
      <c r="G190" s="24" t="str">
        <f ca="1">IF($Q190="","",IF($R190=$S$1,"mm",IF($R190=$S$2,"Thanh",INDEX(TongVTSX!F$3:F$1500,$Q190))))</f>
        <v/>
      </c>
      <c r="H190" s="114">
        <f ca="1">IF($R190=$S$1,INDEX(TongVTSX!$K$3:$K$1500,$Q190),IF($R190=$S$7,INDEX(TongVTSX!$H$3:$H$1500,$Q190),IF($R190=$S$2,ROUNDUP(SUMPRODUCT((TongVTSX!$C$3:$C$1500=$D190)*(TongVTSX!$E$3:$E$1500=$F190)*(TongVTSX!$K$3:$K$1500))/$U190,0),SUMPRODUCT((TongVTSX!$C$3:$C$1500=$D190)*(TongVTSX!$E$3:$E$1500=$F190)*(TongVTSX!$K$3:$K$1500)))))</f>
        <v>0</v>
      </c>
      <c r="I190" s="114"/>
      <c r="J190" s="114"/>
      <c r="K190" s="114" t="str">
        <f ca="1">IF($Q190="","",IF($R190=$S$2,INDEX(TongVTSX!M$3:M$1500,$Q190)*$U190,   INDEX(TongVTSX!M$3:M$1500,$Q190)))</f>
        <v/>
      </c>
      <c r="L190" s="92">
        <f ca="1">IF($Q190="",0, IF($R190=$S$7,$F190*$H190*$K190,IF($R190=$S$2,$H190*$K190,    IF($H190*$K190 - SUMPRODUCT((TongVTSX!$C$3:$C$1500=$D190)*(TongVTSX!$E$3:$E$1500=$F190)*(TongVTSX!$O$3:$O$1500)) &lt;=10,$H190*$K190,"PO &lt;&gt; TongVTSX"))))</f>
        <v>0</v>
      </c>
      <c r="M190" s="114">
        <f ca="1">IF($R190=$S$1,INDEX(TongVTSX!$K$3:$K$1500,$Q190),IF($R190=$S$7,INDEX(TongVTSX!$H$3:$H$1500,$Q190),IF($R190=$S$2,SUMPRODUCT((TongVTSX!$C$3:$C$1500=$D190)*(TongVTSX!$E$3:$E$1500=$F190)*(TongVTSX!$K$3:$K$1500))/$U190,SUMPRODUCT((TongVTSX!$C$3:$C$1500=$D190)*(TongVTSX!$E$3:$E$1500=$F190)*(TongVTSX!$K$3:$K$1500)))))</f>
        <v>0</v>
      </c>
      <c r="N190" s="92">
        <f ca="1">IF($Q190="",0, IF($R190=$S$7,$F190*$M190*$K190,IF($R190=$S$2,$M190*$K190,    IF($M190*$K190 - SUMPRODUCT((TongVTSX!$C$3:$C$1500=$D190)*(TongVTSX!$E$3:$E$1500=$F190)*(TongVTSX!$O$3:$O$1500)) &lt;=10,$M190*$K190,"PO &lt;&gt; TongVTSX"))))</f>
        <v>0</v>
      </c>
      <c r="O190" s="92">
        <f t="shared" ca="1" si="8"/>
        <v>0</v>
      </c>
      <c r="P190" s="1146" t="str">
        <f ca="1">IFERROR(INDEX(NVLSX!$AA$2:$AA$6756,MATCH($D190,NVLSX!$E$2:$E$6756,0)),"")</f>
        <v/>
      </c>
      <c r="Q190" s="742" t="str">
        <f ca="1">IF($R190="","",IF($R190&lt;&gt;$R189,IF(TYPE(MATCH($R190,TongVTSX!$T$3:$T$1500,0))=16,"",MATCH($R190,TongVTSX!$T$3:$T$1500,0)),IF(TYPE(MATCH($R190,OFFSET(TongVTSX!$T$3,$Q189,0):'TongVTSX'!$T$1500,0)+$Q189)=16,"",MATCH($R190,OFFSET(TongVTSX!$T$3,$Q189,0):'TongVTSX'!$T$1500,0)+$Q189)))</f>
        <v/>
      </c>
      <c r="R190" s="179" t="str">
        <f ca="1">IFERROR(IF(COUNTIF($R$3:R189,R189)&lt; INDEX($T$1:$T$7,MATCH($R189,$S$1:$S$7,0)),$R189,INDEX($S$1:$S$7,MATCH($R189,$S$1:$S$7,0)+1)),"")</f>
        <v/>
      </c>
      <c r="S190" s="181"/>
      <c r="T190" s="182"/>
      <c r="U190" s="184" t="str">
        <f ca="1">IF($R190="PR",INDEX(NVLSX!$U$2:$U$6941,MATCH($D190,NVLSX!$E$2:$E$6941,0)),"")</f>
        <v/>
      </c>
      <c r="V190" s="184" t="str">
        <f ca="1">IF($R190="PR",INDEX(NVLSX!$S$2:$S$6941,MATCH($D190,NVLSX!$E$2:$E$6941,0))*1000,"")</f>
        <v/>
      </c>
      <c r="W190" s="776" t="str">
        <f ca="1">IF($R190="PR",INDEX(NVLSX!$S$2:$S$6941,MATCH($D190,NVLSX!$E$2:$E$6941,0))*INDEX(NVLSX!$T$2:$T$6941,MATCH($D190,NVLSX!$E$2:$E$6941,0)),"")</f>
        <v/>
      </c>
      <c r="X190" s="776">
        <f t="shared" ca="1" si="7"/>
        <v>0</v>
      </c>
      <c r="Y190" s="982" t="str">
        <f ca="1">IFERROR(INDEX(NVLSX!$X$2:$X$4655,MATCH($D190,NVLSX!$E$2:$E$4655,0)),"")</f>
        <v/>
      </c>
    </row>
    <row r="191" spans="1:25">
      <c r="A191" s="19" t="str">
        <f ca="1">IF($Q191="","",MAX($A$2:A190)+1)</f>
        <v/>
      </c>
      <c r="B191" s="1146" t="str">
        <f ca="1">IFERROR(INDEX(NVLSX!$Y$2:$Y$6756,MATCH($D191,NVLSX!$E$2:$E$6756,0)),"")</f>
        <v/>
      </c>
      <c r="C191" s="1146" t="str">
        <f ca="1">IFERROR(INDEX(NVLSX!$Z$2:$Z$6756,MATCH($D191,NVLSX!$E$2:$E$6756,0)),"")</f>
        <v/>
      </c>
      <c r="D191" s="23" t="str">
        <f ca="1">IF($Q191="","",INDEX(TongVTSX!C$3:C$1500,$Q191))</f>
        <v/>
      </c>
      <c r="E191" s="729" t="str">
        <f ca="1">IF($Q191="","",INDEX(TongVTSX!D$3:D$1500,$Q191) &amp; IF(OR($R191=$S$1,$R191=$S$7)," (" &amp; INDEX(TongVTSX!A$3:A$1500,$Q191) &amp; ")",""))</f>
        <v/>
      </c>
      <c r="F191" s="745" t="str">
        <f ca="1">IF($Q191="","",IF($R191=$S$7,INDEX(TongVTSX!$G$3:$G$1500,$Q191),INDEX(TongVTSX!$E$3:$E$1500,$Q191)))</f>
        <v/>
      </c>
      <c r="G191" s="24" t="str">
        <f ca="1">IF($Q191="","",IF($R191=$S$1,"mm",IF($R191=$S$2,"Thanh",INDEX(TongVTSX!F$3:F$1500,$Q191))))</f>
        <v/>
      </c>
      <c r="H191" s="114">
        <f ca="1">IF($R191=$S$1,INDEX(TongVTSX!$K$3:$K$1500,$Q191),IF($R191=$S$7,INDEX(TongVTSX!$H$3:$H$1500,$Q191),IF($R191=$S$2,ROUNDUP(SUMPRODUCT((TongVTSX!$C$3:$C$1500=$D191)*(TongVTSX!$E$3:$E$1500=$F191)*(TongVTSX!$K$3:$K$1500))/$U191,0),SUMPRODUCT((TongVTSX!$C$3:$C$1500=$D191)*(TongVTSX!$E$3:$E$1500=$F191)*(TongVTSX!$K$3:$K$1500)))))</f>
        <v>0</v>
      </c>
      <c r="I191" s="114"/>
      <c r="J191" s="114"/>
      <c r="K191" s="114" t="str">
        <f ca="1">IF($Q191="","",IF($R191=$S$2,INDEX(TongVTSX!M$3:M$1500,$Q191)*$U191,   INDEX(TongVTSX!M$3:M$1500,$Q191)))</f>
        <v/>
      </c>
      <c r="L191" s="92">
        <f ca="1">IF($Q191="",0, IF($R191=$S$7,$F191*$H191*$K191,IF($R191=$S$2,$H191*$K191,    IF($H191*$K191 - SUMPRODUCT((TongVTSX!$C$3:$C$1500=$D191)*(TongVTSX!$E$3:$E$1500=$F191)*(TongVTSX!$O$3:$O$1500)) &lt;=10,$H191*$K191,"PO &lt;&gt; TongVTSX"))))</f>
        <v>0</v>
      </c>
      <c r="M191" s="114">
        <f ca="1">IF($R191=$S$1,INDEX(TongVTSX!$K$3:$K$1500,$Q191),IF($R191=$S$7,INDEX(TongVTSX!$H$3:$H$1500,$Q191),IF($R191=$S$2,SUMPRODUCT((TongVTSX!$C$3:$C$1500=$D191)*(TongVTSX!$E$3:$E$1500=$F191)*(TongVTSX!$K$3:$K$1500))/$U191,SUMPRODUCT((TongVTSX!$C$3:$C$1500=$D191)*(TongVTSX!$E$3:$E$1500=$F191)*(TongVTSX!$K$3:$K$1500)))))</f>
        <v>0</v>
      </c>
      <c r="N191" s="92">
        <f ca="1">IF($Q191="",0, IF($R191=$S$7,$F191*$M191*$K191,IF($R191=$S$2,$M191*$K191,    IF($M191*$K191 - SUMPRODUCT((TongVTSX!$C$3:$C$1500=$D191)*(TongVTSX!$E$3:$E$1500=$F191)*(TongVTSX!$O$3:$O$1500)) &lt;=10,$M191*$K191,"PO &lt;&gt; TongVTSX"))))</f>
        <v>0</v>
      </c>
      <c r="O191" s="92">
        <f t="shared" ca="1" si="8"/>
        <v>0</v>
      </c>
      <c r="P191" s="1146" t="str">
        <f ca="1">IFERROR(INDEX(NVLSX!$AA$2:$AA$6756,MATCH($D191,NVLSX!$E$2:$E$6756,0)),"")</f>
        <v/>
      </c>
      <c r="Q191" s="742" t="str">
        <f ca="1">IF($R191="","",IF($R191&lt;&gt;$R190,IF(TYPE(MATCH($R191,TongVTSX!$T$3:$T$1500,0))=16,"",MATCH($R191,TongVTSX!$T$3:$T$1500,0)),IF(TYPE(MATCH($R191,OFFSET(TongVTSX!$T$3,$Q190,0):'TongVTSX'!$T$1500,0)+$Q190)=16,"",MATCH($R191,OFFSET(TongVTSX!$T$3,$Q190,0):'TongVTSX'!$T$1500,0)+$Q190)))</f>
        <v/>
      </c>
      <c r="R191" s="179" t="str">
        <f ca="1">IFERROR(IF(COUNTIF($R$3:R190,R190)&lt; INDEX($T$1:$T$7,MATCH($R190,$S$1:$S$7,0)),$R190,INDEX($S$1:$S$7,MATCH($R190,$S$1:$S$7,0)+1)),"")</f>
        <v/>
      </c>
      <c r="S191" s="181"/>
      <c r="T191" s="182"/>
      <c r="U191" s="184" t="str">
        <f ca="1">IF($R191="PR",INDEX(NVLSX!$U$2:$U$6941,MATCH($D191,NVLSX!$E$2:$E$6941,0)),"")</f>
        <v/>
      </c>
      <c r="V191" s="184" t="str">
        <f ca="1">IF($R191="PR",INDEX(NVLSX!$S$2:$S$6941,MATCH($D191,NVLSX!$E$2:$E$6941,0))*1000,"")</f>
        <v/>
      </c>
      <c r="W191" s="776" t="str">
        <f ca="1">IF($R191="PR",INDEX(NVLSX!$S$2:$S$6941,MATCH($D191,NVLSX!$E$2:$E$6941,0))*INDEX(NVLSX!$T$2:$T$6941,MATCH($D191,NVLSX!$E$2:$E$6941,0)),"")</f>
        <v/>
      </c>
      <c r="X191" s="776">
        <f t="shared" ca="1" si="7"/>
        <v>0</v>
      </c>
      <c r="Y191" s="982" t="str">
        <f ca="1">IFERROR(INDEX(NVLSX!$X$2:$X$4655,MATCH($D191,NVLSX!$E$2:$E$4655,0)),"")</f>
        <v/>
      </c>
    </row>
    <row r="192" spans="1:25">
      <c r="A192" s="19" t="str">
        <f ca="1">IF($Q192="","",MAX($A$2:A191)+1)</f>
        <v/>
      </c>
      <c r="B192" s="1146" t="str">
        <f ca="1">IFERROR(INDEX(NVLSX!$Y$2:$Y$6756,MATCH($D192,NVLSX!$E$2:$E$6756,0)),"")</f>
        <v/>
      </c>
      <c r="C192" s="1146" t="str">
        <f ca="1">IFERROR(INDEX(NVLSX!$Z$2:$Z$6756,MATCH($D192,NVLSX!$E$2:$E$6756,0)),"")</f>
        <v/>
      </c>
      <c r="D192" s="23" t="str">
        <f ca="1">IF($Q192="","",INDEX(TongVTSX!C$3:C$1500,$Q192))</f>
        <v/>
      </c>
      <c r="E192" s="729" t="str">
        <f ca="1">IF($Q192="","",INDEX(TongVTSX!D$3:D$1500,$Q192) &amp; IF(OR($R192=$S$1,$R192=$S$7)," (" &amp; INDEX(TongVTSX!A$3:A$1500,$Q192) &amp; ")",""))</f>
        <v/>
      </c>
      <c r="F192" s="745" t="str">
        <f ca="1">IF($Q192="","",IF($R192=$S$7,INDEX(TongVTSX!$G$3:$G$1500,$Q192),INDEX(TongVTSX!$E$3:$E$1500,$Q192)))</f>
        <v/>
      </c>
      <c r="G192" s="24" t="str">
        <f ca="1">IF($Q192="","",IF($R192=$S$1,"mm",IF($R192=$S$2,"Thanh",INDEX(TongVTSX!F$3:F$1500,$Q192))))</f>
        <v/>
      </c>
      <c r="H192" s="114">
        <f ca="1">IF($R192=$S$1,INDEX(TongVTSX!$K$3:$K$1500,$Q192),IF($R192=$S$7,INDEX(TongVTSX!$H$3:$H$1500,$Q192),IF($R192=$S$2,ROUNDUP(SUMPRODUCT((TongVTSX!$C$3:$C$1500=$D192)*(TongVTSX!$E$3:$E$1500=$F192)*(TongVTSX!$K$3:$K$1500))/$U192,0),SUMPRODUCT((TongVTSX!$C$3:$C$1500=$D192)*(TongVTSX!$E$3:$E$1500=$F192)*(TongVTSX!$K$3:$K$1500)))))</f>
        <v>0</v>
      </c>
      <c r="I192" s="114"/>
      <c r="J192" s="114"/>
      <c r="K192" s="114" t="str">
        <f ca="1">IF($Q192="","",IF($R192=$S$2,INDEX(TongVTSX!M$3:M$1500,$Q192)*$U192,   INDEX(TongVTSX!M$3:M$1500,$Q192)))</f>
        <v/>
      </c>
      <c r="L192" s="92">
        <f ca="1">IF($Q192="",0, IF($R192=$S$7,$F192*$H192*$K192,IF($R192=$S$2,$H192*$K192,    IF($H192*$K192 - SUMPRODUCT((TongVTSX!$C$3:$C$1500=$D192)*(TongVTSX!$E$3:$E$1500=$F192)*(TongVTSX!$O$3:$O$1500)) &lt;=10,$H192*$K192,"PO &lt;&gt; TongVTSX"))))</f>
        <v>0</v>
      </c>
      <c r="M192" s="114">
        <f ca="1">IF($R192=$S$1,INDEX(TongVTSX!$K$3:$K$1500,$Q192),IF($R192=$S$7,INDEX(TongVTSX!$H$3:$H$1500,$Q192),IF($R192=$S$2,SUMPRODUCT((TongVTSX!$C$3:$C$1500=$D192)*(TongVTSX!$E$3:$E$1500=$F192)*(TongVTSX!$K$3:$K$1500))/$U192,SUMPRODUCT((TongVTSX!$C$3:$C$1500=$D192)*(TongVTSX!$E$3:$E$1500=$F192)*(TongVTSX!$K$3:$K$1500)))))</f>
        <v>0</v>
      </c>
      <c r="N192" s="92">
        <f ca="1">IF($Q192="",0, IF($R192=$S$7,$F192*$M192*$K192,IF($R192=$S$2,$M192*$K192,    IF($M192*$K192 - SUMPRODUCT((TongVTSX!$C$3:$C$1500=$D192)*(TongVTSX!$E$3:$E$1500=$F192)*(TongVTSX!$O$3:$O$1500)) &lt;=10,$M192*$K192,"PO &lt;&gt; TongVTSX"))))</f>
        <v>0</v>
      </c>
      <c r="O192" s="92">
        <f t="shared" ca="1" si="8"/>
        <v>0</v>
      </c>
      <c r="P192" s="1146" t="str">
        <f ca="1">IFERROR(INDEX(NVLSX!$AA$2:$AA$6756,MATCH($D192,NVLSX!$E$2:$E$6756,0)),"")</f>
        <v/>
      </c>
      <c r="Q192" s="742" t="str">
        <f ca="1">IF($R192="","",IF($R192&lt;&gt;$R191,IF(TYPE(MATCH($R192,TongVTSX!$T$3:$T$1500,0))=16,"",MATCH($R192,TongVTSX!$T$3:$T$1500,0)),IF(TYPE(MATCH($R192,OFFSET(TongVTSX!$T$3,$Q191,0):'TongVTSX'!$T$1500,0)+$Q191)=16,"",MATCH($R192,OFFSET(TongVTSX!$T$3,$Q191,0):'TongVTSX'!$T$1500,0)+$Q191)))</f>
        <v/>
      </c>
      <c r="R192" s="179" t="str">
        <f ca="1">IFERROR(IF(COUNTIF($R$3:R191,R191)&lt; INDEX($T$1:$T$7,MATCH($R191,$S$1:$S$7,0)),$R191,INDEX($S$1:$S$7,MATCH($R191,$S$1:$S$7,0)+1)),"")</f>
        <v/>
      </c>
      <c r="S192" s="181"/>
      <c r="T192" s="182"/>
      <c r="U192" s="184" t="str">
        <f ca="1">IF($R192="PR",INDEX(NVLSX!$U$2:$U$6941,MATCH($D192,NVLSX!$E$2:$E$6941,0)),"")</f>
        <v/>
      </c>
      <c r="V192" s="184" t="str">
        <f ca="1">IF($R192="PR",INDEX(NVLSX!$S$2:$S$6941,MATCH($D192,NVLSX!$E$2:$E$6941,0))*1000,"")</f>
        <v/>
      </c>
      <c r="W192" s="776" t="str">
        <f ca="1">IF($R192="PR",INDEX(NVLSX!$S$2:$S$6941,MATCH($D192,NVLSX!$E$2:$E$6941,0))*INDEX(NVLSX!$T$2:$T$6941,MATCH($D192,NVLSX!$E$2:$E$6941,0)),"")</f>
        <v/>
      </c>
      <c r="X192" s="776">
        <f t="shared" ca="1" si="7"/>
        <v>0</v>
      </c>
      <c r="Y192" s="982" t="str">
        <f ca="1">IFERROR(INDEX(NVLSX!$X$2:$X$4655,MATCH($D192,NVLSX!$E$2:$E$4655,0)),"")</f>
        <v/>
      </c>
    </row>
    <row r="193" spans="1:25">
      <c r="A193" s="19" t="str">
        <f ca="1">IF($Q193="","",MAX($A$2:A192)+1)</f>
        <v/>
      </c>
      <c r="B193" s="1146" t="str">
        <f ca="1">IFERROR(INDEX(NVLSX!$Y$2:$Y$6756,MATCH($D193,NVLSX!$E$2:$E$6756,0)),"")</f>
        <v/>
      </c>
      <c r="C193" s="1146" t="str">
        <f ca="1">IFERROR(INDEX(NVLSX!$Z$2:$Z$6756,MATCH($D193,NVLSX!$E$2:$E$6756,0)),"")</f>
        <v/>
      </c>
      <c r="D193" s="23" t="str">
        <f ca="1">IF($Q193="","",INDEX(TongVTSX!C$3:C$1500,$Q193))</f>
        <v/>
      </c>
      <c r="E193" s="729" t="str">
        <f ca="1">IF($Q193="","",INDEX(TongVTSX!D$3:D$1500,$Q193) &amp; IF(OR($R193=$S$1,$R193=$S$7)," (" &amp; INDEX(TongVTSX!A$3:A$1500,$Q193) &amp; ")",""))</f>
        <v/>
      </c>
      <c r="F193" s="745" t="str">
        <f ca="1">IF($Q193="","",IF($R193=$S$7,INDEX(TongVTSX!$G$3:$G$1500,$Q193),INDEX(TongVTSX!$E$3:$E$1500,$Q193)))</f>
        <v/>
      </c>
      <c r="G193" s="24" t="str">
        <f ca="1">IF($Q193="","",IF($R193=$S$1,"mm",IF($R193=$S$2,"Thanh",INDEX(TongVTSX!F$3:F$1500,$Q193))))</f>
        <v/>
      </c>
      <c r="H193" s="114">
        <f ca="1">IF($R193=$S$1,INDEX(TongVTSX!$K$3:$K$1500,$Q193),IF($R193=$S$7,INDEX(TongVTSX!$H$3:$H$1500,$Q193),IF($R193=$S$2,ROUNDUP(SUMPRODUCT((TongVTSX!$C$3:$C$1500=$D193)*(TongVTSX!$E$3:$E$1500=$F193)*(TongVTSX!$K$3:$K$1500))/$U193,0),SUMPRODUCT((TongVTSX!$C$3:$C$1500=$D193)*(TongVTSX!$E$3:$E$1500=$F193)*(TongVTSX!$K$3:$K$1500)))))</f>
        <v>0</v>
      </c>
      <c r="I193" s="114"/>
      <c r="J193" s="114"/>
      <c r="K193" s="114" t="str">
        <f ca="1">IF($Q193="","",IF($R193=$S$2,INDEX(TongVTSX!M$3:M$1500,$Q193)*$U193,   INDEX(TongVTSX!M$3:M$1500,$Q193)))</f>
        <v/>
      </c>
      <c r="L193" s="92">
        <f ca="1">IF($Q193="",0, IF($R193=$S$7,$F193*$H193*$K193,IF($R193=$S$2,$H193*$K193,    IF($H193*$K193 - SUMPRODUCT((TongVTSX!$C$3:$C$1500=$D193)*(TongVTSX!$E$3:$E$1500=$F193)*(TongVTSX!$O$3:$O$1500)) &lt;=10,$H193*$K193,"PO &lt;&gt; TongVTSX"))))</f>
        <v>0</v>
      </c>
      <c r="M193" s="114">
        <f ca="1">IF($R193=$S$1,INDEX(TongVTSX!$K$3:$K$1500,$Q193),IF($R193=$S$7,INDEX(TongVTSX!$H$3:$H$1500,$Q193),IF($R193=$S$2,SUMPRODUCT((TongVTSX!$C$3:$C$1500=$D193)*(TongVTSX!$E$3:$E$1500=$F193)*(TongVTSX!$K$3:$K$1500))/$U193,SUMPRODUCT((TongVTSX!$C$3:$C$1500=$D193)*(TongVTSX!$E$3:$E$1500=$F193)*(TongVTSX!$K$3:$K$1500)))))</f>
        <v>0</v>
      </c>
      <c r="N193" s="92">
        <f ca="1">IF($Q193="",0, IF($R193=$S$7,$F193*$M193*$K193,IF($R193=$S$2,$M193*$K193,    IF($M193*$K193 - SUMPRODUCT((TongVTSX!$C$3:$C$1500=$D193)*(TongVTSX!$E$3:$E$1500=$F193)*(TongVTSX!$O$3:$O$1500)) &lt;=10,$M193*$K193,"PO &lt;&gt; TongVTSX"))))</f>
        <v>0</v>
      </c>
      <c r="O193" s="92">
        <f t="shared" ca="1" si="8"/>
        <v>0</v>
      </c>
      <c r="P193" s="1146" t="str">
        <f ca="1">IFERROR(INDEX(NVLSX!$AA$2:$AA$6756,MATCH($D193,NVLSX!$E$2:$E$6756,0)),"")</f>
        <v/>
      </c>
      <c r="Q193" s="742" t="str">
        <f ca="1">IF($R193="","",IF($R193&lt;&gt;$R192,IF(TYPE(MATCH($R193,TongVTSX!$T$3:$T$1500,0))=16,"",MATCH($R193,TongVTSX!$T$3:$T$1500,0)),IF(TYPE(MATCH($R193,OFFSET(TongVTSX!$T$3,$Q192,0):'TongVTSX'!$T$1500,0)+$Q192)=16,"",MATCH($R193,OFFSET(TongVTSX!$T$3,$Q192,0):'TongVTSX'!$T$1500,0)+$Q192)))</f>
        <v/>
      </c>
      <c r="R193" s="179" t="str">
        <f ca="1">IFERROR(IF(COUNTIF($R$3:R192,R192)&lt; INDEX($T$1:$T$7,MATCH($R192,$S$1:$S$7,0)),$R192,INDEX($S$1:$S$7,MATCH($R192,$S$1:$S$7,0)+1)),"")</f>
        <v/>
      </c>
      <c r="S193" s="181"/>
      <c r="T193" s="182"/>
      <c r="U193" s="184" t="str">
        <f ca="1">IF($R193="PR",INDEX(NVLSX!$U$2:$U$6941,MATCH($D193,NVLSX!$E$2:$E$6941,0)),"")</f>
        <v/>
      </c>
      <c r="V193" s="184" t="str">
        <f ca="1">IF($R193="PR",INDEX(NVLSX!$S$2:$S$6941,MATCH($D193,NVLSX!$E$2:$E$6941,0))*1000,"")</f>
        <v/>
      </c>
      <c r="W193" s="776" t="str">
        <f ca="1">IF($R193="PR",INDEX(NVLSX!$S$2:$S$6941,MATCH($D193,NVLSX!$E$2:$E$6941,0))*INDEX(NVLSX!$T$2:$T$6941,MATCH($D193,NVLSX!$E$2:$E$6941,0)),"")</f>
        <v/>
      </c>
      <c r="X193" s="776">
        <f t="shared" ca="1" si="7"/>
        <v>0</v>
      </c>
      <c r="Y193" s="982" t="str">
        <f ca="1">IFERROR(INDEX(NVLSX!$X$2:$X$4655,MATCH($D193,NVLSX!$E$2:$E$4655,0)),"")</f>
        <v/>
      </c>
    </row>
    <row r="194" spans="1:25">
      <c r="A194" s="19" t="str">
        <f ca="1">IF($Q194="","",MAX($A$2:A193)+1)</f>
        <v/>
      </c>
      <c r="B194" s="1146" t="str">
        <f ca="1">IFERROR(INDEX(NVLSX!$Y$2:$Y$6756,MATCH($D194,NVLSX!$E$2:$E$6756,0)),"")</f>
        <v/>
      </c>
      <c r="C194" s="1146" t="str">
        <f ca="1">IFERROR(INDEX(NVLSX!$Z$2:$Z$6756,MATCH($D194,NVLSX!$E$2:$E$6756,0)),"")</f>
        <v/>
      </c>
      <c r="D194" s="23" t="str">
        <f ca="1">IF($Q194="","",INDEX(TongVTSX!C$3:C$1500,$Q194))</f>
        <v/>
      </c>
      <c r="E194" s="729" t="str">
        <f ca="1">IF($Q194="","",INDEX(TongVTSX!D$3:D$1500,$Q194) &amp; IF(OR($R194=$S$1,$R194=$S$7)," (" &amp; INDEX(TongVTSX!A$3:A$1500,$Q194) &amp; ")",""))</f>
        <v/>
      </c>
      <c r="F194" s="745" t="str">
        <f ca="1">IF($Q194="","",IF($R194=$S$7,INDEX(TongVTSX!$G$3:$G$1500,$Q194),INDEX(TongVTSX!$E$3:$E$1500,$Q194)))</f>
        <v/>
      </c>
      <c r="G194" s="24" t="str">
        <f ca="1">IF($Q194="","",IF($R194=$S$1,"mm",IF($R194=$S$2,"Thanh",INDEX(TongVTSX!F$3:F$1500,$Q194))))</f>
        <v/>
      </c>
      <c r="H194" s="114">
        <f ca="1">IF($R194=$S$1,INDEX(TongVTSX!$K$3:$K$1500,$Q194),IF($R194=$S$7,INDEX(TongVTSX!$H$3:$H$1500,$Q194),IF($R194=$S$2,ROUNDUP(SUMPRODUCT((TongVTSX!$C$3:$C$1500=$D194)*(TongVTSX!$E$3:$E$1500=$F194)*(TongVTSX!$K$3:$K$1500))/$U194,0),SUMPRODUCT((TongVTSX!$C$3:$C$1500=$D194)*(TongVTSX!$E$3:$E$1500=$F194)*(TongVTSX!$K$3:$K$1500)))))</f>
        <v>0</v>
      </c>
      <c r="I194" s="114"/>
      <c r="J194" s="114"/>
      <c r="K194" s="114" t="str">
        <f ca="1">IF($Q194="","",IF($R194=$S$2,INDEX(TongVTSX!M$3:M$1500,$Q194)*$U194,   INDEX(TongVTSX!M$3:M$1500,$Q194)))</f>
        <v/>
      </c>
      <c r="L194" s="92">
        <f ca="1">IF($Q194="",0, IF($R194=$S$7,$F194*$H194*$K194,IF($R194=$S$2,$H194*$K194,    IF($H194*$K194 - SUMPRODUCT((TongVTSX!$C$3:$C$1500=$D194)*(TongVTSX!$E$3:$E$1500=$F194)*(TongVTSX!$O$3:$O$1500)) &lt;=10,$H194*$K194,"PO &lt;&gt; TongVTSX"))))</f>
        <v>0</v>
      </c>
      <c r="M194" s="114">
        <f ca="1">IF($R194=$S$1,INDEX(TongVTSX!$K$3:$K$1500,$Q194),IF($R194=$S$7,INDEX(TongVTSX!$H$3:$H$1500,$Q194),IF($R194=$S$2,SUMPRODUCT((TongVTSX!$C$3:$C$1500=$D194)*(TongVTSX!$E$3:$E$1500=$F194)*(TongVTSX!$K$3:$K$1500))/$U194,SUMPRODUCT((TongVTSX!$C$3:$C$1500=$D194)*(TongVTSX!$E$3:$E$1500=$F194)*(TongVTSX!$K$3:$K$1500)))))</f>
        <v>0</v>
      </c>
      <c r="N194" s="92">
        <f ca="1">IF($Q194="",0, IF($R194=$S$7,$F194*$M194*$K194,IF($R194=$S$2,$M194*$K194,    IF($M194*$K194 - SUMPRODUCT((TongVTSX!$C$3:$C$1500=$D194)*(TongVTSX!$E$3:$E$1500=$F194)*(TongVTSX!$O$3:$O$1500)) &lt;=10,$M194*$K194,"PO &lt;&gt; TongVTSX"))))</f>
        <v>0</v>
      </c>
      <c r="O194" s="92">
        <f t="shared" ca="1" si="8"/>
        <v>0</v>
      </c>
      <c r="P194" s="1146" t="str">
        <f ca="1">IFERROR(INDEX(NVLSX!$AA$2:$AA$6756,MATCH($D194,NVLSX!$E$2:$E$6756,0)),"")</f>
        <v/>
      </c>
      <c r="Q194" s="742" t="str">
        <f ca="1">IF($R194="","",IF($R194&lt;&gt;$R193,IF(TYPE(MATCH($R194,TongVTSX!$T$3:$T$1500,0))=16,"",MATCH($R194,TongVTSX!$T$3:$T$1500,0)),IF(TYPE(MATCH($R194,OFFSET(TongVTSX!$T$3,$Q193,0):'TongVTSX'!$T$1500,0)+$Q193)=16,"",MATCH($R194,OFFSET(TongVTSX!$T$3,$Q193,0):'TongVTSX'!$T$1500,0)+$Q193)))</f>
        <v/>
      </c>
      <c r="R194" s="179" t="str">
        <f ca="1">IFERROR(IF(COUNTIF($R$3:R193,R193)&lt; INDEX($T$1:$T$7,MATCH($R193,$S$1:$S$7,0)),$R193,INDEX($S$1:$S$7,MATCH($R193,$S$1:$S$7,0)+1)),"")</f>
        <v/>
      </c>
      <c r="S194" s="181"/>
      <c r="T194" s="182"/>
      <c r="U194" s="184" t="str">
        <f ca="1">IF($R194="PR",INDEX(NVLSX!$U$2:$U$6941,MATCH($D194,NVLSX!$E$2:$E$6941,0)),"")</f>
        <v/>
      </c>
      <c r="V194" s="184" t="str">
        <f ca="1">IF($R194="PR",INDEX(NVLSX!$S$2:$S$6941,MATCH($D194,NVLSX!$E$2:$E$6941,0))*1000,"")</f>
        <v/>
      </c>
      <c r="W194" s="776" t="str">
        <f ca="1">IF($R194="PR",INDEX(NVLSX!$S$2:$S$6941,MATCH($D194,NVLSX!$E$2:$E$6941,0))*INDEX(NVLSX!$T$2:$T$6941,MATCH($D194,NVLSX!$E$2:$E$6941,0)),"")</f>
        <v/>
      </c>
      <c r="X194" s="776">
        <f t="shared" ca="1" si="7"/>
        <v>0</v>
      </c>
      <c r="Y194" s="982" t="str">
        <f ca="1">IFERROR(INDEX(NVLSX!$X$2:$X$4655,MATCH($D194,NVLSX!$E$2:$E$4655,0)),"")</f>
        <v/>
      </c>
    </row>
    <row r="195" spans="1:25">
      <c r="A195" s="19" t="str">
        <f ca="1">IF($Q195="","",MAX($A$2:A194)+1)</f>
        <v/>
      </c>
      <c r="B195" s="1146" t="str">
        <f ca="1">IFERROR(INDEX(NVLSX!$Y$2:$Y$6756,MATCH($D195,NVLSX!$E$2:$E$6756,0)),"")</f>
        <v/>
      </c>
      <c r="C195" s="1146" t="str">
        <f ca="1">IFERROR(INDEX(NVLSX!$Z$2:$Z$6756,MATCH($D195,NVLSX!$E$2:$E$6756,0)),"")</f>
        <v/>
      </c>
      <c r="D195" s="23" t="str">
        <f ca="1">IF($Q195="","",INDEX(TongVTSX!C$3:C$1500,$Q195))</f>
        <v/>
      </c>
      <c r="E195" s="729" t="str">
        <f ca="1">IF($Q195="","",INDEX(TongVTSX!D$3:D$1500,$Q195) &amp; IF(OR($R195=$S$1,$R195=$S$7)," (" &amp; INDEX(TongVTSX!A$3:A$1500,$Q195) &amp; ")",""))</f>
        <v/>
      </c>
      <c r="F195" s="745" t="str">
        <f ca="1">IF($Q195="","",IF($R195=$S$7,INDEX(TongVTSX!$G$3:$G$1500,$Q195),INDEX(TongVTSX!$E$3:$E$1500,$Q195)))</f>
        <v/>
      </c>
      <c r="G195" s="24" t="str">
        <f ca="1">IF($Q195="","",IF($R195=$S$1,"mm",IF($R195=$S$2,"Thanh",INDEX(TongVTSX!F$3:F$1500,$Q195))))</f>
        <v/>
      </c>
      <c r="H195" s="114">
        <f ca="1">IF($R195=$S$1,INDEX(TongVTSX!$K$3:$K$1500,$Q195),IF($R195=$S$7,INDEX(TongVTSX!$H$3:$H$1500,$Q195),IF($R195=$S$2,ROUNDUP(SUMPRODUCT((TongVTSX!$C$3:$C$1500=$D195)*(TongVTSX!$E$3:$E$1500=$F195)*(TongVTSX!$K$3:$K$1500))/$U195,0),SUMPRODUCT((TongVTSX!$C$3:$C$1500=$D195)*(TongVTSX!$E$3:$E$1500=$F195)*(TongVTSX!$K$3:$K$1500)))))</f>
        <v>0</v>
      </c>
      <c r="I195" s="114"/>
      <c r="J195" s="114"/>
      <c r="K195" s="114" t="str">
        <f ca="1">IF($Q195="","",IF($R195=$S$2,INDEX(TongVTSX!M$3:M$1500,$Q195)*$U195,   INDEX(TongVTSX!M$3:M$1500,$Q195)))</f>
        <v/>
      </c>
      <c r="L195" s="92">
        <f ca="1">IF($Q195="",0, IF($R195=$S$7,$F195*$H195*$K195,IF($R195=$S$2,$H195*$K195,    IF($H195*$K195 - SUMPRODUCT((TongVTSX!$C$3:$C$1500=$D195)*(TongVTSX!$E$3:$E$1500=$F195)*(TongVTSX!$O$3:$O$1500)) &lt;=10,$H195*$K195,"PO &lt;&gt; TongVTSX"))))</f>
        <v>0</v>
      </c>
      <c r="M195" s="114">
        <f ca="1">IF($R195=$S$1,INDEX(TongVTSX!$K$3:$K$1500,$Q195),IF($R195=$S$7,INDEX(TongVTSX!$H$3:$H$1500,$Q195),IF($R195=$S$2,SUMPRODUCT((TongVTSX!$C$3:$C$1500=$D195)*(TongVTSX!$E$3:$E$1500=$F195)*(TongVTSX!$K$3:$K$1500))/$U195,SUMPRODUCT((TongVTSX!$C$3:$C$1500=$D195)*(TongVTSX!$E$3:$E$1500=$F195)*(TongVTSX!$K$3:$K$1500)))))</f>
        <v>0</v>
      </c>
      <c r="N195" s="92">
        <f ca="1">IF($Q195="",0, IF($R195=$S$7,$F195*$M195*$K195,IF($R195=$S$2,$M195*$K195,    IF($M195*$K195 - SUMPRODUCT((TongVTSX!$C$3:$C$1500=$D195)*(TongVTSX!$E$3:$E$1500=$F195)*(TongVTSX!$O$3:$O$1500)) &lt;=10,$M195*$K195,"PO &lt;&gt; TongVTSX"))))</f>
        <v>0</v>
      </c>
      <c r="O195" s="92">
        <f t="shared" ref="O195:O200" ca="1" si="9">+L195-N195</f>
        <v>0</v>
      </c>
      <c r="P195" s="1146" t="str">
        <f ca="1">IFERROR(INDEX(NVLSX!$AA$2:$AA$6756,MATCH($D195,NVLSX!$E$2:$E$6756,0)),"")</f>
        <v/>
      </c>
      <c r="Q195" s="742" t="str">
        <f ca="1">IF($R195="","",IF($R195&lt;&gt;$R194,IF(TYPE(MATCH($R195,TongVTSX!$T$3:$T$1500,0))=16,"",MATCH($R195,TongVTSX!$T$3:$T$1500,0)),IF(TYPE(MATCH($R195,OFFSET(TongVTSX!$T$3,$Q194,0):'TongVTSX'!$T$1500,0)+$Q194)=16,"",MATCH($R195,OFFSET(TongVTSX!$T$3,$Q194,0):'TongVTSX'!$T$1500,0)+$Q194)))</f>
        <v/>
      </c>
      <c r="R195" s="179" t="str">
        <f ca="1">IFERROR(IF(COUNTIF($R$3:R194,R194)&lt; INDEX($T$1:$T$7,MATCH($R194,$S$1:$S$7,0)),$R194,INDEX($S$1:$S$7,MATCH($R194,$S$1:$S$7,0)+1)),"")</f>
        <v/>
      </c>
      <c r="S195" s="181"/>
      <c r="T195" s="182"/>
      <c r="U195" s="184" t="str">
        <f ca="1">IF($R195="PR",INDEX(NVLSX!$U$2:$U$6941,MATCH($D195,NVLSX!$E$2:$E$6941,0)),"")</f>
        <v/>
      </c>
      <c r="V195" s="184" t="str">
        <f ca="1">IF($R195="PR",INDEX(NVLSX!$S$2:$S$6941,MATCH($D195,NVLSX!$E$2:$E$6941,0))*1000,"")</f>
        <v/>
      </c>
      <c r="W195" s="776" t="str">
        <f ca="1">IF($R195="PR",INDEX(NVLSX!$S$2:$S$6941,MATCH($D195,NVLSX!$E$2:$E$6941,0))*INDEX(NVLSX!$T$2:$T$6941,MATCH($D195,NVLSX!$E$2:$E$6941,0)),"")</f>
        <v/>
      </c>
      <c r="X195" s="776">
        <f t="shared" ca="1" si="7"/>
        <v>0</v>
      </c>
      <c r="Y195" s="982" t="str">
        <f ca="1">IFERROR(INDEX(NVLSX!$X$2:$X$4655,MATCH($D195,NVLSX!$E$2:$E$4655,0)),"")</f>
        <v/>
      </c>
    </row>
    <row r="196" spans="1:25">
      <c r="A196" s="19" t="str">
        <f ca="1">IF($Q196="","",MAX($A$2:A195)+1)</f>
        <v/>
      </c>
      <c r="B196" s="1146" t="str">
        <f ca="1">IFERROR(INDEX(NVLSX!$Y$2:$Y$6756,MATCH($D196,NVLSX!$E$2:$E$6756,0)),"")</f>
        <v/>
      </c>
      <c r="C196" s="1146" t="str">
        <f ca="1">IFERROR(INDEX(NVLSX!$Z$2:$Z$6756,MATCH($D196,NVLSX!$E$2:$E$6756,0)),"")</f>
        <v/>
      </c>
      <c r="D196" s="23" t="str">
        <f ca="1">IF($Q196="","",INDEX(TongVTSX!C$3:C$1500,$Q196))</f>
        <v/>
      </c>
      <c r="E196" s="729" t="str">
        <f ca="1">IF($Q196="","",INDEX(TongVTSX!D$3:D$1500,$Q196) &amp; IF(OR($R196=$S$1,$R196=$S$7)," (" &amp; INDEX(TongVTSX!A$3:A$1500,$Q196) &amp; ")",""))</f>
        <v/>
      </c>
      <c r="F196" s="745" t="str">
        <f ca="1">IF($Q196="","",IF($R196=$S$7,INDEX(TongVTSX!$G$3:$G$1500,$Q196),INDEX(TongVTSX!$E$3:$E$1500,$Q196)))</f>
        <v/>
      </c>
      <c r="G196" s="24" t="str">
        <f ca="1">IF($Q196="","",IF($R196=$S$1,"mm",IF($R196=$S$2,"Thanh",INDEX(TongVTSX!F$3:F$1500,$Q196))))</f>
        <v/>
      </c>
      <c r="H196" s="114">
        <f ca="1">IF($R196=$S$1,INDEX(TongVTSX!$K$3:$K$1500,$Q196),IF($R196=$S$7,INDEX(TongVTSX!$H$3:$H$1500,$Q196),IF($R196=$S$2,ROUNDUP(SUMPRODUCT((TongVTSX!$C$3:$C$1500=$D196)*(TongVTSX!$E$3:$E$1500=$F196)*(TongVTSX!$K$3:$K$1500))/$U196,0),SUMPRODUCT((TongVTSX!$C$3:$C$1500=$D196)*(TongVTSX!$E$3:$E$1500=$F196)*(TongVTSX!$K$3:$K$1500)))))</f>
        <v>0</v>
      </c>
      <c r="I196" s="114"/>
      <c r="J196" s="114"/>
      <c r="K196" s="114" t="str">
        <f ca="1">IF($Q196="","",IF($R196=$S$2,INDEX(TongVTSX!M$3:M$1500,$Q196)*$U196,   INDEX(TongVTSX!M$3:M$1500,$Q196)))</f>
        <v/>
      </c>
      <c r="L196" s="92">
        <f ca="1">IF($Q196="",0, IF($R196=$S$7,$F196*$H196*$K196,IF($R196=$S$2,$H196*$K196,    IF($H196*$K196 - SUMPRODUCT((TongVTSX!$C$3:$C$1500=$D196)*(TongVTSX!$E$3:$E$1500=$F196)*(TongVTSX!$O$3:$O$1500)) &lt;=10,$H196*$K196,"PO &lt;&gt; TongVTSX"))))</f>
        <v>0</v>
      </c>
      <c r="M196" s="114">
        <f ca="1">IF($R196=$S$1,INDEX(TongVTSX!$K$3:$K$1500,$Q196),IF($R196=$S$7,INDEX(TongVTSX!$H$3:$H$1500,$Q196),IF($R196=$S$2,SUMPRODUCT((TongVTSX!$C$3:$C$1500=$D196)*(TongVTSX!$E$3:$E$1500=$F196)*(TongVTSX!$K$3:$K$1500))/$U196,SUMPRODUCT((TongVTSX!$C$3:$C$1500=$D196)*(TongVTSX!$E$3:$E$1500=$F196)*(TongVTSX!$K$3:$K$1500)))))</f>
        <v>0</v>
      </c>
      <c r="N196" s="92">
        <f ca="1">IF($Q196="",0, IF($R196=$S$7,$F196*$M196*$K196,IF($R196=$S$2,$M196*$K196,    IF($M196*$K196 - SUMPRODUCT((TongVTSX!$C$3:$C$1500=$D196)*(TongVTSX!$E$3:$E$1500=$F196)*(TongVTSX!$O$3:$O$1500)) &lt;=10,$M196*$K196,"PO &lt;&gt; TongVTSX"))))</f>
        <v>0</v>
      </c>
      <c r="O196" s="92">
        <f t="shared" ca="1" si="9"/>
        <v>0</v>
      </c>
      <c r="P196" s="1146" t="str">
        <f ca="1">IFERROR(INDEX(NVLSX!$AA$2:$AA$6756,MATCH($D196,NVLSX!$E$2:$E$6756,0)),"")</f>
        <v/>
      </c>
      <c r="Q196" s="742" t="str">
        <f ca="1">IF($R196="","",IF($R196&lt;&gt;$R195,IF(TYPE(MATCH($R196,TongVTSX!$T$3:$T$1500,0))=16,"",MATCH($R196,TongVTSX!$T$3:$T$1500,0)),IF(TYPE(MATCH($R196,OFFSET(TongVTSX!$T$3,$Q195,0):'TongVTSX'!$T$1500,0)+$Q195)=16,"",MATCH($R196,OFFSET(TongVTSX!$T$3,$Q195,0):'TongVTSX'!$T$1500,0)+$Q195)))</f>
        <v/>
      </c>
      <c r="R196" s="179" t="str">
        <f ca="1">IFERROR(IF(COUNTIF($R$3:R195,R195)&lt; INDEX($T$1:$T$7,MATCH($R195,$S$1:$S$7,0)),$R195,INDEX($S$1:$S$7,MATCH($R195,$S$1:$S$7,0)+1)),"")</f>
        <v/>
      </c>
      <c r="S196" s="181"/>
      <c r="T196" s="182"/>
      <c r="U196" s="184" t="str">
        <f ca="1">IF($R196="PR",INDEX(NVLSX!$U$2:$U$6941,MATCH($D196,NVLSX!$E$2:$E$6941,0)),"")</f>
        <v/>
      </c>
      <c r="V196" s="184" t="str">
        <f ca="1">IF($R196="PR",INDEX(NVLSX!$S$2:$S$6941,MATCH($D196,NVLSX!$E$2:$E$6941,0))*1000,"")</f>
        <v/>
      </c>
      <c r="W196" s="776" t="str">
        <f ca="1">IF($R196="PR",INDEX(NVLSX!$S$2:$S$6941,MATCH($D196,NVLSX!$E$2:$E$6941,0))*INDEX(NVLSX!$T$2:$T$6941,MATCH($D196,NVLSX!$E$2:$E$6941,0)),"")</f>
        <v/>
      </c>
      <c r="X196" s="776">
        <f t="shared" ref="X196:X200" ca="1" si="10">IF($R196="PR",W196*H196,0)</f>
        <v>0</v>
      </c>
      <c r="Y196" s="982" t="str">
        <f ca="1">IFERROR(INDEX(NVLSX!$X$2:$X$4655,MATCH($D196,NVLSX!$E$2:$E$4655,0)),"")</f>
        <v/>
      </c>
    </row>
    <row r="197" spans="1:25">
      <c r="A197" s="19" t="str">
        <f ca="1">IF($Q197="","",MAX($A$2:A196)+1)</f>
        <v/>
      </c>
      <c r="B197" s="1146" t="str">
        <f ca="1">IFERROR(INDEX(NVLSX!$Y$2:$Y$6756,MATCH($D197,NVLSX!$E$2:$E$6756,0)),"")</f>
        <v/>
      </c>
      <c r="C197" s="1146" t="str">
        <f ca="1">IFERROR(INDEX(NVLSX!$Z$2:$Z$6756,MATCH($D197,NVLSX!$E$2:$E$6756,0)),"")</f>
        <v/>
      </c>
      <c r="D197" s="23" t="str">
        <f ca="1">IF($Q197="","",INDEX(TongVTSX!C$3:C$1500,$Q197))</f>
        <v/>
      </c>
      <c r="E197" s="729" t="str">
        <f ca="1">IF($Q197="","",INDEX(TongVTSX!D$3:D$1500,$Q197) &amp; IF(OR($R197=$S$1,$R197=$S$7)," (" &amp; INDEX(TongVTSX!A$3:A$1500,$Q197) &amp; ")",""))</f>
        <v/>
      </c>
      <c r="F197" s="745" t="str">
        <f ca="1">IF($Q197="","",IF($R197=$S$7,INDEX(TongVTSX!$G$3:$G$1500,$Q197),INDEX(TongVTSX!$E$3:$E$1500,$Q197)))</f>
        <v/>
      </c>
      <c r="G197" s="24" t="str">
        <f ca="1">IF($Q197="","",IF($R197=$S$1,"mm",IF($R197=$S$2,"Thanh",INDEX(TongVTSX!F$3:F$1500,$Q197))))</f>
        <v/>
      </c>
      <c r="H197" s="114">
        <f ca="1">IF($R197=$S$1,INDEX(TongVTSX!$K$3:$K$1500,$Q197),IF($R197=$S$7,INDEX(TongVTSX!$H$3:$H$1500,$Q197),IF($R197=$S$2,ROUNDUP(SUMPRODUCT((TongVTSX!$C$3:$C$1500=$D197)*(TongVTSX!$E$3:$E$1500=$F197)*(TongVTSX!$K$3:$K$1500))/$U197,0),SUMPRODUCT((TongVTSX!$C$3:$C$1500=$D197)*(TongVTSX!$E$3:$E$1500=$F197)*(TongVTSX!$K$3:$K$1500)))))</f>
        <v>0</v>
      </c>
      <c r="I197" s="114"/>
      <c r="J197" s="114"/>
      <c r="K197" s="114" t="str">
        <f ca="1">IF($Q197="","",IF($R197=$S$2,INDEX(TongVTSX!M$3:M$1500,$Q197)*$U197,   INDEX(TongVTSX!M$3:M$1500,$Q197)))</f>
        <v/>
      </c>
      <c r="L197" s="92">
        <f ca="1">IF($Q197="",0, IF($R197=$S$7,$F197*$H197*$K197,IF($R197=$S$2,$H197*$K197,    IF($H197*$K197 - SUMPRODUCT((TongVTSX!$C$3:$C$1500=$D197)*(TongVTSX!$E$3:$E$1500=$F197)*(TongVTSX!$O$3:$O$1500)) &lt;=10,$H197*$K197,"PO &lt;&gt; TongVTSX"))))</f>
        <v>0</v>
      </c>
      <c r="M197" s="114">
        <f ca="1">IF($R197=$S$1,INDEX(TongVTSX!$K$3:$K$1500,$Q197),IF($R197=$S$7,INDEX(TongVTSX!$H$3:$H$1500,$Q197),IF($R197=$S$2,SUMPRODUCT((TongVTSX!$C$3:$C$1500=$D197)*(TongVTSX!$E$3:$E$1500=$F197)*(TongVTSX!$K$3:$K$1500))/$U197,SUMPRODUCT((TongVTSX!$C$3:$C$1500=$D197)*(TongVTSX!$E$3:$E$1500=$F197)*(TongVTSX!$K$3:$K$1500)))))</f>
        <v>0</v>
      </c>
      <c r="N197" s="92">
        <f ca="1">IF($Q197="",0, IF($R197=$S$7,$F197*$M197*$K197,IF($R197=$S$2,$M197*$K197,    IF($M197*$K197 - SUMPRODUCT((TongVTSX!$C$3:$C$1500=$D197)*(TongVTSX!$E$3:$E$1500=$F197)*(TongVTSX!$O$3:$O$1500)) &lt;=10,$M197*$K197,"PO &lt;&gt; TongVTSX"))))</f>
        <v>0</v>
      </c>
      <c r="O197" s="92">
        <f t="shared" ca="1" si="9"/>
        <v>0</v>
      </c>
      <c r="P197" s="1146" t="str">
        <f ca="1">IFERROR(INDEX(NVLSX!$AA$2:$AA$6756,MATCH($D197,NVLSX!$E$2:$E$6756,0)),"")</f>
        <v/>
      </c>
      <c r="Q197" s="742" t="str">
        <f ca="1">IF($R197="","",IF($R197&lt;&gt;$R196,IF(TYPE(MATCH($R197,TongVTSX!$T$3:$T$1500,0))=16,"",MATCH($R197,TongVTSX!$T$3:$T$1500,0)),IF(TYPE(MATCH($R197,OFFSET(TongVTSX!$T$3,$Q196,0):'TongVTSX'!$T$1500,0)+$Q196)=16,"",MATCH($R197,OFFSET(TongVTSX!$T$3,$Q196,0):'TongVTSX'!$T$1500,0)+$Q196)))</f>
        <v/>
      </c>
      <c r="R197" s="179" t="str">
        <f ca="1">IFERROR(IF(COUNTIF($R$3:R196,R196)&lt; INDEX($T$1:$T$7,MATCH($R196,$S$1:$S$7,0)),$R196,INDEX($S$1:$S$7,MATCH($R196,$S$1:$S$7,0)+1)),"")</f>
        <v/>
      </c>
      <c r="S197" s="181"/>
      <c r="T197" s="182"/>
      <c r="U197" s="184" t="str">
        <f ca="1">IF($R197="PR",INDEX(NVLSX!$U$2:$U$6941,MATCH($D197,NVLSX!$E$2:$E$6941,0)),"")</f>
        <v/>
      </c>
      <c r="V197" s="184" t="str">
        <f ca="1">IF($R197="PR",INDEX(NVLSX!$S$2:$S$6941,MATCH($D197,NVLSX!$E$2:$E$6941,0))*1000,"")</f>
        <v/>
      </c>
      <c r="W197" s="776" t="str">
        <f ca="1">IF($R197="PR",INDEX(NVLSX!$S$2:$S$6941,MATCH($D197,NVLSX!$E$2:$E$6941,0))*INDEX(NVLSX!$T$2:$T$6941,MATCH($D197,NVLSX!$E$2:$E$6941,0)),"")</f>
        <v/>
      </c>
      <c r="X197" s="776">
        <f t="shared" ca="1" si="10"/>
        <v>0</v>
      </c>
      <c r="Y197" s="982" t="str">
        <f ca="1">IFERROR(INDEX(NVLSX!$X$2:$X$4655,MATCH($D197,NVLSX!$E$2:$E$4655,0)),"")</f>
        <v/>
      </c>
    </row>
    <row r="198" spans="1:25">
      <c r="A198" s="19" t="str">
        <f ca="1">IF($Q198="","",MAX($A$2:A197)+1)</f>
        <v/>
      </c>
      <c r="B198" s="1146" t="str">
        <f ca="1">IFERROR(INDEX(NVLSX!$Y$2:$Y$6756,MATCH($D198,NVLSX!$E$2:$E$6756,0)),"")</f>
        <v/>
      </c>
      <c r="C198" s="1146" t="str">
        <f ca="1">IFERROR(INDEX(NVLSX!$Z$2:$Z$6756,MATCH($D198,NVLSX!$E$2:$E$6756,0)),"")</f>
        <v/>
      </c>
      <c r="D198" s="23" t="str">
        <f ca="1">IF($Q198="","",INDEX(TongVTSX!C$3:C$1500,$Q198))</f>
        <v/>
      </c>
      <c r="E198" s="729" t="str">
        <f ca="1">IF($Q198="","",INDEX(TongVTSX!D$3:D$1500,$Q198) &amp; IF(OR($R198=$S$1,$R198=$S$7)," (" &amp; INDEX(TongVTSX!A$3:A$1500,$Q198) &amp; ")",""))</f>
        <v/>
      </c>
      <c r="F198" s="745" t="str">
        <f ca="1">IF($Q198="","",IF($R198=$S$7,INDEX(TongVTSX!$G$3:$G$1500,$Q198),INDEX(TongVTSX!$E$3:$E$1500,$Q198)))</f>
        <v/>
      </c>
      <c r="G198" s="24" t="str">
        <f ca="1">IF($Q198="","",IF($R198=$S$1,"mm",IF($R198=$S$2,"Thanh",INDEX(TongVTSX!F$3:F$1500,$Q198))))</f>
        <v/>
      </c>
      <c r="H198" s="114">
        <f ca="1">IF($R198=$S$1,INDEX(TongVTSX!$K$3:$K$1500,$Q198),IF($R198=$S$7,INDEX(TongVTSX!$H$3:$H$1500,$Q198),IF($R198=$S$2,ROUNDUP(SUMPRODUCT((TongVTSX!$C$3:$C$1500=$D198)*(TongVTSX!$E$3:$E$1500=$F198)*(TongVTSX!$K$3:$K$1500))/$U198,0),SUMPRODUCT((TongVTSX!$C$3:$C$1500=$D198)*(TongVTSX!$E$3:$E$1500=$F198)*(TongVTSX!$K$3:$K$1500)))))</f>
        <v>0</v>
      </c>
      <c r="I198" s="114"/>
      <c r="J198" s="114"/>
      <c r="K198" s="114" t="str">
        <f ca="1">IF($Q198="","",IF($R198=$S$2,INDEX(TongVTSX!M$3:M$1500,$Q198)*$U198,   INDEX(TongVTSX!M$3:M$1500,$Q198)))</f>
        <v/>
      </c>
      <c r="L198" s="92">
        <f ca="1">IF($Q198="",0, IF($R198=$S$7,$F198*$H198*$K198,IF($R198=$S$2,$H198*$K198,    IF($H198*$K198 - SUMPRODUCT((TongVTSX!$C$3:$C$1500=$D198)*(TongVTSX!$E$3:$E$1500=$F198)*(TongVTSX!$O$3:$O$1500)) &lt;=10,$H198*$K198,"PO &lt;&gt; TongVTSX"))))</f>
        <v>0</v>
      </c>
      <c r="M198" s="114">
        <f ca="1">IF($R198=$S$1,INDEX(TongVTSX!$K$3:$K$1500,$Q198),IF($R198=$S$7,INDEX(TongVTSX!$H$3:$H$1500,$Q198),IF($R198=$S$2,SUMPRODUCT((TongVTSX!$C$3:$C$1500=$D198)*(TongVTSX!$E$3:$E$1500=$F198)*(TongVTSX!$K$3:$K$1500))/$U198,SUMPRODUCT((TongVTSX!$C$3:$C$1500=$D198)*(TongVTSX!$E$3:$E$1500=$F198)*(TongVTSX!$K$3:$K$1500)))))</f>
        <v>0</v>
      </c>
      <c r="N198" s="92">
        <f ca="1">IF($Q198="",0, IF($R198=$S$7,$F198*$M198*$K198,IF($R198=$S$2,$M198*$K198,    IF($M198*$K198 - SUMPRODUCT((TongVTSX!$C$3:$C$1500=$D198)*(TongVTSX!$E$3:$E$1500=$F198)*(TongVTSX!$O$3:$O$1500)) &lt;=10,$M198*$K198,"PO &lt;&gt; TongVTSX"))))</f>
        <v>0</v>
      </c>
      <c r="O198" s="92">
        <f t="shared" ca="1" si="9"/>
        <v>0</v>
      </c>
      <c r="P198" s="1146" t="str">
        <f ca="1">IFERROR(INDEX(NVLSX!$AA$2:$AA$6756,MATCH($D198,NVLSX!$E$2:$E$6756,0)),"")</f>
        <v/>
      </c>
      <c r="Q198" s="742" t="str">
        <f ca="1">IF($R198="","",IF($R198&lt;&gt;$R197,IF(TYPE(MATCH($R198,TongVTSX!$T$3:$T$1500,0))=16,"",MATCH($R198,TongVTSX!$T$3:$T$1500,0)),IF(TYPE(MATCH($R198,OFFSET(TongVTSX!$T$3,$Q197,0):'TongVTSX'!$T$1500,0)+$Q197)=16,"",MATCH($R198,OFFSET(TongVTSX!$T$3,$Q197,0):'TongVTSX'!$T$1500,0)+$Q197)))</f>
        <v/>
      </c>
      <c r="R198" s="179" t="str">
        <f ca="1">IFERROR(IF(COUNTIF($R$3:R197,R197)&lt; INDEX($T$1:$T$7,MATCH($R197,$S$1:$S$7,0)),$R197,INDEX($S$1:$S$7,MATCH($R197,$S$1:$S$7,0)+1)),"")</f>
        <v/>
      </c>
      <c r="S198" s="181"/>
      <c r="T198" s="182"/>
      <c r="U198" s="184" t="str">
        <f ca="1">IF($R198="PR",INDEX(NVLSX!$U$2:$U$6941,MATCH($D198,NVLSX!$E$2:$E$6941,0)),"")</f>
        <v/>
      </c>
      <c r="V198" s="184" t="str">
        <f ca="1">IF($R198="PR",INDEX(NVLSX!$S$2:$S$6941,MATCH($D198,NVLSX!$E$2:$E$6941,0))*1000,"")</f>
        <v/>
      </c>
      <c r="W198" s="776" t="str">
        <f ca="1">IF($R198="PR",INDEX(NVLSX!$S$2:$S$6941,MATCH($D198,NVLSX!$E$2:$E$6941,0))*INDEX(NVLSX!$T$2:$T$6941,MATCH($D198,NVLSX!$E$2:$E$6941,0)),"")</f>
        <v/>
      </c>
      <c r="X198" s="776">
        <f t="shared" ca="1" si="10"/>
        <v>0</v>
      </c>
      <c r="Y198" s="982" t="str">
        <f ca="1">IFERROR(INDEX(NVLSX!$X$2:$X$4655,MATCH($D198,NVLSX!$E$2:$E$4655,0)),"")</f>
        <v/>
      </c>
    </row>
    <row r="199" spans="1:25">
      <c r="A199" s="19" t="str">
        <f ca="1">IF($Q199="","",MAX($A$2:A198)+1)</f>
        <v/>
      </c>
      <c r="B199" s="1146" t="str">
        <f ca="1">IFERROR(INDEX(NVLSX!$Y$2:$Y$6756,MATCH($D199,NVLSX!$E$2:$E$6756,0)),"")</f>
        <v/>
      </c>
      <c r="C199" s="1146" t="str">
        <f ca="1">IFERROR(INDEX(NVLSX!$Z$2:$Z$6756,MATCH($D199,NVLSX!$E$2:$E$6756,0)),"")</f>
        <v/>
      </c>
      <c r="D199" s="23" t="str">
        <f ca="1">IF($Q199="","",INDEX(TongVTSX!C$3:C$1500,$Q199))</f>
        <v/>
      </c>
      <c r="E199" s="729" t="str">
        <f ca="1">IF($Q199="","",INDEX(TongVTSX!D$3:D$1500,$Q199) &amp; IF(OR($R199=$S$1,$R199=$S$7)," (" &amp; INDEX(TongVTSX!A$3:A$1500,$Q199) &amp; ")",""))</f>
        <v/>
      </c>
      <c r="F199" s="745" t="str">
        <f ca="1">IF($Q199="","",IF($R199=$S$7,INDEX(TongVTSX!$G$3:$G$1500,$Q199),INDEX(TongVTSX!$E$3:$E$1500,$Q199)))</f>
        <v/>
      </c>
      <c r="G199" s="24" t="str">
        <f ca="1">IF($Q199="","",IF($R199=$S$1,"mm",IF($R199=$S$2,"Thanh",INDEX(TongVTSX!F$3:F$1500,$Q199))))</f>
        <v/>
      </c>
      <c r="H199" s="114">
        <f ca="1">IF($R199=$S$1,INDEX(TongVTSX!$K$3:$K$1500,$Q199),IF($R199=$S$7,INDEX(TongVTSX!$H$3:$H$1500,$Q199),IF($R199=$S$2,ROUNDUP(SUMPRODUCT((TongVTSX!$C$3:$C$1500=$D199)*(TongVTSX!$E$3:$E$1500=$F199)*(TongVTSX!$K$3:$K$1500))/$U199,0),SUMPRODUCT((TongVTSX!$C$3:$C$1500=$D199)*(TongVTSX!$E$3:$E$1500=$F199)*(TongVTSX!$K$3:$K$1500)))))</f>
        <v>0</v>
      </c>
      <c r="I199" s="114"/>
      <c r="J199" s="114"/>
      <c r="K199" s="114" t="str">
        <f ca="1">IF($Q199="","",IF($R199=$S$2,INDEX(TongVTSX!M$3:M$1500,$Q199)*$U199,   INDEX(TongVTSX!M$3:M$1500,$Q199)))</f>
        <v/>
      </c>
      <c r="L199" s="92">
        <f ca="1">IF($Q199="",0, IF($R199=$S$7,$F199*$H199*$K199,IF($R199=$S$2,$H199*$K199,    IF($H199*$K199 - SUMPRODUCT((TongVTSX!$C$3:$C$1500=$D199)*(TongVTSX!$E$3:$E$1500=$F199)*(TongVTSX!$O$3:$O$1500)) &lt;=10,$H199*$K199,"PO &lt;&gt; TongVTSX"))))</f>
        <v>0</v>
      </c>
      <c r="M199" s="114">
        <f ca="1">IF($R199=$S$1,INDEX(TongVTSX!$K$3:$K$1500,$Q199),IF($R199=$S$7,INDEX(TongVTSX!$H$3:$H$1500,$Q199),IF($R199=$S$2,SUMPRODUCT((TongVTSX!$C$3:$C$1500=$D199)*(TongVTSX!$E$3:$E$1500=$F199)*(TongVTSX!$K$3:$K$1500))/$U199,SUMPRODUCT((TongVTSX!$C$3:$C$1500=$D199)*(TongVTSX!$E$3:$E$1500=$F199)*(TongVTSX!$K$3:$K$1500)))))</f>
        <v>0</v>
      </c>
      <c r="N199" s="92">
        <f ca="1">IF($Q199="",0, IF($R199=$S$7,$F199*$M199*$K199,IF($R199=$S$2,$M199*$K199,    IF($M199*$K199 - SUMPRODUCT((TongVTSX!$C$3:$C$1500=$D199)*(TongVTSX!$E$3:$E$1500=$F199)*(TongVTSX!$O$3:$O$1500)) &lt;=10,$M199*$K199,"PO &lt;&gt; TongVTSX"))))</f>
        <v>0</v>
      </c>
      <c r="O199" s="92">
        <f t="shared" ca="1" si="9"/>
        <v>0</v>
      </c>
      <c r="P199" s="1146" t="str">
        <f ca="1">IFERROR(INDEX(NVLSX!$AA$2:$AA$6756,MATCH($D199,NVLSX!$E$2:$E$6756,0)),"")</f>
        <v/>
      </c>
      <c r="Q199" s="742" t="str">
        <f ca="1">IF($R199="","",IF($R199&lt;&gt;$R198,IF(TYPE(MATCH($R199,TongVTSX!$T$3:$T$1500,0))=16,"",MATCH($R199,TongVTSX!$T$3:$T$1500,0)),IF(TYPE(MATCH($R199,OFFSET(TongVTSX!$T$3,$Q198,0):'TongVTSX'!$T$1500,0)+$Q198)=16,"",MATCH($R199,OFFSET(TongVTSX!$T$3,$Q198,0):'TongVTSX'!$T$1500,0)+$Q198)))</f>
        <v/>
      </c>
      <c r="R199" s="179" t="str">
        <f ca="1">IFERROR(IF(COUNTIF($R$3:R198,R198)&lt; INDEX($T$1:$T$7,MATCH($R198,$S$1:$S$7,0)),$R198,INDEX($S$1:$S$7,MATCH($R198,$S$1:$S$7,0)+1)),"")</f>
        <v/>
      </c>
      <c r="S199" s="181"/>
      <c r="T199" s="182"/>
      <c r="U199" s="184" t="str">
        <f ca="1">IF($R199="PR",INDEX(NVLSX!$U$2:$U$6941,MATCH($D199,NVLSX!$E$2:$E$6941,0)),"")</f>
        <v/>
      </c>
      <c r="V199" s="184" t="str">
        <f ca="1">IF($R199="PR",INDEX(NVLSX!$S$2:$S$6941,MATCH($D199,NVLSX!$E$2:$E$6941,0))*1000,"")</f>
        <v/>
      </c>
      <c r="W199" s="776" t="str">
        <f ca="1">IF($R199="PR",INDEX(NVLSX!$S$2:$S$6941,MATCH($D199,NVLSX!$E$2:$E$6941,0))*INDEX(NVLSX!$T$2:$T$6941,MATCH($D199,NVLSX!$E$2:$E$6941,0)),"")</f>
        <v/>
      </c>
      <c r="X199" s="776">
        <f t="shared" ca="1" si="10"/>
        <v>0</v>
      </c>
      <c r="Y199" s="982" t="str">
        <f ca="1">IFERROR(INDEX(NVLSX!$X$2:$X$4655,MATCH($D199,NVLSX!$E$2:$E$4655,0)),"")</f>
        <v/>
      </c>
    </row>
    <row r="200" spans="1:25">
      <c r="A200" s="19" t="str">
        <f ca="1">IF($Q200="","",MAX($A$2:A199)+1)</f>
        <v/>
      </c>
      <c r="B200" s="1146" t="str">
        <f ca="1">IFERROR(INDEX(NVLSX!$Y$2:$Y$6756,MATCH($D200,NVLSX!$E$2:$E$6756,0)),"")</f>
        <v/>
      </c>
      <c r="C200" s="1146" t="str">
        <f ca="1">IFERROR(INDEX(NVLSX!$Z$2:$Z$6756,MATCH($D200,NVLSX!$E$2:$E$6756,0)),"")</f>
        <v/>
      </c>
      <c r="D200" s="23" t="str">
        <f ca="1">IF($Q200="","",INDEX(TongVTSX!C$3:C$1500,$Q200))</f>
        <v/>
      </c>
      <c r="E200" s="729" t="str">
        <f ca="1">IF($Q200="","",INDEX(TongVTSX!D$3:D$1500,$Q200) &amp; IF(OR($R200=$S$1,$R200=$S$7)," (" &amp; INDEX(TongVTSX!A$3:A$1500,$Q200) &amp; ")",""))</f>
        <v/>
      </c>
      <c r="F200" s="745" t="str">
        <f ca="1">IF($Q200="","",IF($R200=$S$7,INDEX(TongVTSX!$G$3:$G$1500,$Q200),INDEX(TongVTSX!$E$3:$E$1500,$Q200)))</f>
        <v/>
      </c>
      <c r="G200" s="24" t="str">
        <f ca="1">IF($Q200="","",IF($R200=$S$1,"mm",IF($R200=$S$2,"Thanh",INDEX(TongVTSX!F$3:F$1500,$Q200))))</f>
        <v/>
      </c>
      <c r="H200" s="114">
        <f ca="1">IF($R200=$S$1,INDEX(TongVTSX!$K$3:$K$1500,$Q200),IF($R200=$S$7,INDEX(TongVTSX!$H$3:$H$1500,$Q200),IF($R200=$S$2,ROUNDUP(SUMPRODUCT((TongVTSX!$C$3:$C$1500=$D200)*(TongVTSX!$E$3:$E$1500=$F200)*(TongVTSX!$K$3:$K$1500))/$U200,0),SUMPRODUCT((TongVTSX!$C$3:$C$1500=$D200)*(TongVTSX!$E$3:$E$1500=$F200)*(TongVTSX!$K$3:$K$1500)))))</f>
        <v>0</v>
      </c>
      <c r="I200" s="114"/>
      <c r="J200" s="114"/>
      <c r="K200" s="114" t="str">
        <f ca="1">IF($Q200="","",IF($R200=$S$2,INDEX(TongVTSX!M$3:M$1500,$Q200)*$U200,   INDEX(TongVTSX!M$3:M$1500,$Q200)))</f>
        <v/>
      </c>
      <c r="L200" s="92">
        <f ca="1">IF($Q200="",0, IF($R200=$S$7,$F200*$H200*$K200,IF($R200=$S$2,$H200*$K200,    IF($H200*$K200 - SUMPRODUCT((TongVTSX!$C$3:$C$1500=$D200)*(TongVTSX!$E$3:$E$1500=$F200)*(TongVTSX!$O$3:$O$1500)) &lt;=10,$H200*$K200,"PO &lt;&gt; TongVTSX"))))</f>
        <v>0</v>
      </c>
      <c r="M200" s="114">
        <f ca="1">IF($R200=$S$1,INDEX(TongVTSX!$K$3:$K$1500,$Q200),IF($R200=$S$7,INDEX(TongVTSX!$H$3:$H$1500,$Q200),IF($R200=$S$2,SUMPRODUCT((TongVTSX!$C$3:$C$1500=$D200)*(TongVTSX!$E$3:$E$1500=$F200)*(TongVTSX!$K$3:$K$1500))/$U200,SUMPRODUCT((TongVTSX!$C$3:$C$1500=$D200)*(TongVTSX!$E$3:$E$1500=$F200)*(TongVTSX!$K$3:$K$1500)))))</f>
        <v>0</v>
      </c>
      <c r="N200" s="92">
        <f ca="1">IF($Q200="",0, IF($R200=$S$7,$F200*$M200*$K200,IF($R200=$S$2,$M200*$K200,    IF($M200*$K200 - SUMPRODUCT((TongVTSX!$C$3:$C$1500=$D200)*(TongVTSX!$E$3:$E$1500=$F200)*(TongVTSX!$O$3:$O$1500)) &lt;=10,$M200*$K200,"PO &lt;&gt; TongVTSX"))))</f>
        <v>0</v>
      </c>
      <c r="O200" s="92">
        <f t="shared" ca="1" si="9"/>
        <v>0</v>
      </c>
      <c r="P200" s="1146" t="str">
        <f ca="1">IFERROR(INDEX(NVLSX!$AA$2:$AA$6756,MATCH($D200,NVLSX!$E$2:$E$6756,0)),"")</f>
        <v/>
      </c>
      <c r="Q200" s="742" t="str">
        <f ca="1">IF($R200="","",IF($R200&lt;&gt;$R199,IF(TYPE(MATCH($R200,TongVTSX!$T$3:$T$1500,0))=16,"",MATCH($R200,TongVTSX!$T$3:$T$1500,0)),IF(TYPE(MATCH($R200,OFFSET(TongVTSX!$T$3,$Q199,0):'TongVTSX'!$T$1500,0)+$Q199)=16,"",MATCH($R200,OFFSET(TongVTSX!$T$3,$Q199,0):'TongVTSX'!$T$1500,0)+$Q199)))</f>
        <v/>
      </c>
      <c r="R200" s="179" t="str">
        <f ca="1">IFERROR(IF(COUNTIF($R$3:R199,R199)&lt; INDEX($T$1:$T$7,MATCH($R199,$S$1:$S$7,0)),$R199,INDEX($S$1:$S$7,MATCH($R199,$S$1:$S$7,0)+1)),"")</f>
        <v/>
      </c>
      <c r="S200" s="181"/>
      <c r="T200" s="182"/>
      <c r="U200" s="184" t="str">
        <f ca="1">IF($R200="PR",INDEX(NVLSX!$U$2:$U$6941,MATCH($D200,NVLSX!$E$2:$E$6941,0)),"")</f>
        <v/>
      </c>
      <c r="V200" s="184" t="str">
        <f ca="1">IF($R200="PR",INDEX(NVLSX!$S$2:$S$6941,MATCH($D200,NVLSX!$E$2:$E$6941,0))*1000,"")</f>
        <v/>
      </c>
      <c r="W200" s="776" t="str">
        <f ca="1">IF($R200="PR",INDEX(NVLSX!$S$2:$S$6941,MATCH($D200,NVLSX!$E$2:$E$6941,0))*INDEX(NVLSX!$T$2:$T$6941,MATCH($D200,NVLSX!$E$2:$E$6941,0)),"")</f>
        <v/>
      </c>
      <c r="X200" s="776">
        <f t="shared" ca="1" si="10"/>
        <v>0</v>
      </c>
      <c r="Y200" s="982" t="str">
        <f ca="1">IFERROR(INDEX(NVLSX!$X$2:$X$4655,MATCH($D200,NVLSX!$E$2:$E$4655,0)),"")</f>
        <v/>
      </c>
    </row>
    <row r="201" spans="1:25" s="111" customFormat="1" ht="13">
      <c r="A201" s="1396" t="s">
        <v>149</v>
      </c>
      <c r="B201" s="1396"/>
      <c r="C201" s="1396"/>
      <c r="D201" s="1396"/>
      <c r="E201" s="1396"/>
      <c r="F201" s="1396"/>
      <c r="G201" s="1396"/>
      <c r="H201" s="1396"/>
      <c r="I201" s="888"/>
      <c r="J201" s="888"/>
      <c r="K201" s="746"/>
      <c r="L201" s="747">
        <f ca="1">SUM(L3:L200)</f>
        <v>8891169.1714285724</v>
      </c>
      <c r="M201" s="746"/>
      <c r="N201" s="747">
        <f ca="1">SUM(N3:N200)</f>
        <v>7574173.5314285727</v>
      </c>
      <c r="O201" s="747">
        <f ca="1">SUM(O3:O200)</f>
        <v>1316995.6400000006</v>
      </c>
      <c r="P201" s="1161"/>
      <c r="Q201" s="743" t="s">
        <v>106</v>
      </c>
      <c r="R201" s="183" t="s">
        <v>106</v>
      </c>
      <c r="S201" s="183" t="s">
        <v>106</v>
      </c>
      <c r="T201" s="183" t="s">
        <v>106</v>
      </c>
      <c r="U201" s="185" t="s">
        <v>106</v>
      </c>
      <c r="V201" s="185" t="s">
        <v>106</v>
      </c>
      <c r="W201" s="777">
        <f ca="1">SUM(W3:W200)</f>
        <v>20.787199999999999</v>
      </c>
      <c r="X201" s="777">
        <f ca="1">SUM(X3:X200)</f>
        <v>55.227600000000002</v>
      </c>
      <c r="Y201" s="1038" t="s">
        <v>106</v>
      </c>
    </row>
    <row r="202" spans="1:25" ht="13">
      <c r="L202" s="707"/>
      <c r="S202" s="1035"/>
    </row>
    <row r="203" spans="1:25" ht="26">
      <c r="A203" s="112" t="s">
        <v>9</v>
      </c>
      <c r="B203" s="1139"/>
      <c r="C203" s="1139"/>
      <c r="D203" s="113" t="s">
        <v>146</v>
      </c>
      <c r="E203" s="113" t="s">
        <v>147</v>
      </c>
      <c r="F203" s="113" t="s">
        <v>115</v>
      </c>
      <c r="G203" s="113" t="s">
        <v>400</v>
      </c>
      <c r="H203" s="113" t="s">
        <v>552</v>
      </c>
      <c r="I203" s="113" t="s">
        <v>551</v>
      </c>
      <c r="J203" s="113" t="s">
        <v>550</v>
      </c>
      <c r="K203" s="186" t="s">
        <v>554</v>
      </c>
      <c r="Q203" s="1031" t="s">
        <v>14</v>
      </c>
      <c r="R203" s="1034"/>
      <c r="S203" s="1035"/>
      <c r="Y203" s="1039"/>
    </row>
    <row r="204" spans="1:25">
      <c r="A204" s="19">
        <f ca="1">IF($Q204="","",MAX($A$203:A203)+1)</f>
        <v>1</v>
      </c>
      <c r="B204" s="1146"/>
      <c r="C204" s="1146"/>
      <c r="D204" s="23" t="str">
        <f ca="1">IF($Q204="","",INDEX(TongVTSX!C$3:C$1500,$Q204))</f>
        <v>C3328</v>
      </c>
      <c r="E204" s="23" t="str">
        <f ca="1">IF($Q204="","",INDEX(TongVTSX!D$3:D$1500,$Q204))</f>
        <v>Khung bao cửa đi quay 55</v>
      </c>
      <c r="F204" s="24" t="str">
        <f ca="1">IF($Q204="","",INDEX(TongVTSX!E$3:E$1500,$Q204))</f>
        <v>Xám ghi</v>
      </c>
      <c r="G204" s="24">
        <f ca="1">IF($Q204="","",INDEX(TongVTSX!G$3:G$1500,$Q204))</f>
        <v>1600</v>
      </c>
      <c r="H204" s="23">
        <f ca="1">IF($Q204="","",SUMPRODUCT((TongVTSX!$C$3:$C$1500=$D204)*(TongVTSX!$E$3:$E$1500=$F204)*(TongVTSX!$G$3:$G$1500=$G204)*(TongVTSX!$H$3:$H$1500)))</f>
        <v>1</v>
      </c>
      <c r="I204" s="92">
        <f t="shared" ref="I204:I235" ca="1" si="11">IFERROR($G204*$H204,0)</f>
        <v>1600</v>
      </c>
      <c r="J204" s="114">
        <f t="shared" ref="J204:J235" ca="1" si="12">IFERROR(I204/INDEX($U$3:$U$200,MATCH($D204,$D$3:$D$200,0)),0)</f>
        <v>0.2807017543859649</v>
      </c>
      <c r="K204" s="187">
        <f t="shared" ref="K204:K235" ca="1" si="13">IFERROR((ROUNDUP($J204,0)-$J204)*INDEX($U$3:$U$200,MATCH($D204,$D$3:$D$200,0)),"")</f>
        <v>4100</v>
      </c>
      <c r="Q204" s="1032">
        <f ca="1">IF(TYPE(MATCH($S$2,TongVTSX!$U$3:$U$1500,0))=16,"",MATCH($S$2,TongVTSX!$U$3:$U$1500,0))</f>
        <v>1</v>
      </c>
      <c r="R204" s="1036"/>
      <c r="S204" s="18"/>
    </row>
    <row r="205" spans="1:25">
      <c r="A205" s="19">
        <f ca="1">IF($Q205="","",MAX($A$203:A204)+1)</f>
        <v>2</v>
      </c>
      <c r="B205" s="1146"/>
      <c r="C205" s="1146"/>
      <c r="D205" s="23" t="str">
        <f ca="1">IF($Q205="","",INDEX(TongVTSX!C$3:C$1500,$Q205))</f>
        <v>C3328</v>
      </c>
      <c r="E205" s="23" t="str">
        <f ca="1">IF($Q205="","",INDEX(TongVTSX!D$3:D$1500,$Q205))</f>
        <v>Khung bao cửa đi quay 55</v>
      </c>
      <c r="F205" s="24" t="str">
        <f ca="1">IF($Q205="","",INDEX(TongVTSX!E$3:E$1500,$Q205))</f>
        <v>Xám ghi</v>
      </c>
      <c r="G205" s="24">
        <f ca="1">IF($Q205="","",INDEX(TongVTSX!G$3:G$1500,$Q205))</f>
        <v>2200</v>
      </c>
      <c r="H205" s="23">
        <f ca="1">IF($Q205="","",SUMPRODUCT((TongVTSX!$C$3:$C$1500=$D205)*(TongVTSX!$E$3:$E$1500=$F205)*(TongVTSX!$G$3:$G$1500=$G205)*(TongVTSX!$H$3:$H$1500)))</f>
        <v>2</v>
      </c>
      <c r="I205" s="92">
        <f t="shared" ca="1" si="11"/>
        <v>4400</v>
      </c>
      <c r="J205" s="114">
        <f t="shared" ca="1" si="12"/>
        <v>0.77192982456140347</v>
      </c>
      <c r="K205" s="187">
        <f t="shared" ca="1" si="13"/>
        <v>1300.0000000000002</v>
      </c>
      <c r="Q205" s="1032">
        <f ca="1">IF(TYPE(MATCH($S$2,OFFSET(TongVTSX!$U$3,Q204,0):'TongVTSX'!$U$1500,0)+Q204)=16,"",MATCH($S$2,OFFSET(TongVTSX!$U$3,Q204,0):'TongVTSX'!$U$1500,0)+Q204)</f>
        <v>2</v>
      </c>
      <c r="R205" s="1036"/>
      <c r="S205" s="18"/>
    </row>
    <row r="206" spans="1:25">
      <c r="A206" s="19">
        <f ca="1">IF($Q206="","",MAX($A$203:A205)+1)</f>
        <v>3</v>
      </c>
      <c r="B206" s="1146"/>
      <c r="C206" s="1146"/>
      <c r="D206" s="23" t="str">
        <f ca="1">IF($Q206="","",INDEX(TongVTSX!C$3:C$1500,$Q206))</f>
        <v>C3303</v>
      </c>
      <c r="E206" s="23" t="str">
        <f ca="1">IF($Q206="","",INDEX(TongVTSX!D$3:D$1500,$Q206))</f>
        <v>Cánh cửa đi mở quay NGOÀI</v>
      </c>
      <c r="F206" s="24" t="str">
        <f ca="1">IF($Q206="","",INDEX(TongVTSX!E$3:E$1500,$Q206))</f>
        <v>Xám ghi</v>
      </c>
      <c r="G206" s="24">
        <f ca="1">IF($Q206="","",INDEX(TongVTSX!G$3:G$1500,$Q206))</f>
        <v>1538</v>
      </c>
      <c r="H206" s="23">
        <f ca="1">IF($Q206="","",SUMPRODUCT((TongVTSX!$C$3:$C$1500=$D206)*(TongVTSX!$E$3:$E$1500=$F206)*(TongVTSX!$G$3:$G$1500=$G206)*(TongVTSX!$H$3:$H$1500)))</f>
        <v>2</v>
      </c>
      <c r="I206" s="92">
        <f t="shared" ca="1" si="11"/>
        <v>3076</v>
      </c>
      <c r="J206" s="114">
        <f t="shared" ca="1" si="12"/>
        <v>0.53964912280701749</v>
      </c>
      <c r="K206" s="187">
        <f t="shared" ca="1" si="13"/>
        <v>2624.0000000000005</v>
      </c>
      <c r="Q206" s="1032">
        <f ca="1">IF(TYPE(MATCH($S$2,OFFSET(TongVTSX!$U$3,Q205,0):'TongVTSX'!$U$1500,0)+Q205)=16,"",MATCH($S$2,OFFSET(TongVTSX!$U$3,Q205,0):'TongVTSX'!$U$1500,0)+Q205)</f>
        <v>3</v>
      </c>
      <c r="R206" s="1036"/>
      <c r="S206" s="18"/>
    </row>
    <row r="207" spans="1:25">
      <c r="A207" s="19">
        <f ca="1">IF($Q207="","",MAX($A$203:A206)+1)</f>
        <v>4</v>
      </c>
      <c r="B207" s="1146"/>
      <c r="C207" s="1146"/>
      <c r="D207" s="23" t="str">
        <f ca="1">IF($Q207="","",INDEX(TongVTSX!C$3:C$1500,$Q207))</f>
        <v>C3303</v>
      </c>
      <c r="E207" s="23" t="str">
        <f ca="1">IF($Q207="","",INDEX(TongVTSX!D$3:D$1500,$Q207))</f>
        <v>Cánh cửa đi mở quay NGOÀI</v>
      </c>
      <c r="F207" s="24" t="str">
        <f ca="1">IF($Q207="","",INDEX(TongVTSX!E$3:E$1500,$Q207))</f>
        <v>Xám ghi</v>
      </c>
      <c r="G207" s="24">
        <f ca="1">IF($Q207="","",INDEX(TongVTSX!G$3:G$1500,$Q207))</f>
        <v>2151</v>
      </c>
      <c r="H207" s="23">
        <f ca="1">IF($Q207="","",SUMPRODUCT((TongVTSX!$C$3:$C$1500=$D207)*(TongVTSX!$E$3:$E$1500=$F207)*(TongVTSX!$G$3:$G$1500=$G207)*(TongVTSX!$H$3:$H$1500)))</f>
        <v>2</v>
      </c>
      <c r="I207" s="92">
        <f t="shared" ca="1" si="11"/>
        <v>4302</v>
      </c>
      <c r="J207" s="114">
        <f t="shared" ca="1" si="12"/>
        <v>0.75473684210526315</v>
      </c>
      <c r="K207" s="187">
        <f t="shared" ca="1" si="13"/>
        <v>1398</v>
      </c>
      <c r="Q207" s="1032">
        <f ca="1">IF(TYPE(MATCH($S$2,OFFSET(TongVTSX!$U$3,Q206,0):'TongVTSX'!$U$1500,0)+Q206)=16,"",MATCH($S$2,OFFSET(TongVTSX!$U$3,Q206,0):'TongVTSX'!$U$1500,0)+Q206)</f>
        <v>4</v>
      </c>
      <c r="R207" s="1036"/>
      <c r="S207" s="18"/>
    </row>
    <row r="208" spans="1:25">
      <c r="A208" s="19">
        <f ca="1">IF($Q208="","",MAX($A$203:A207)+1)</f>
        <v>5</v>
      </c>
      <c r="B208" s="1146"/>
      <c r="C208" s="1146"/>
      <c r="D208" s="23" t="str">
        <f ca="1">IF($Q208="","",INDEX(TongVTSX!C$3:C$1500,$Q208))</f>
        <v>C22900</v>
      </c>
      <c r="E208" s="23" t="str">
        <f ca="1">IF($Q208="","",INDEX(TongVTSX!D$3:D$1500,$Q208))</f>
        <v>Nẹp gioăng lọc bui cho cửa đi
 ngang dưới hệ 55 có gờ</v>
      </c>
      <c r="F208" s="24" t="str">
        <f ca="1">IF($Q208="","",INDEX(TongVTSX!E$3:E$1500,$Q208))</f>
        <v>Xám ghi</v>
      </c>
      <c r="G208" s="24">
        <f ca="1">IF($Q208="","",INDEX(TongVTSX!G$3:G$1500,$Q208))</f>
        <v>1475</v>
      </c>
      <c r="H208" s="23">
        <f ca="1">IF($Q208="","",SUMPRODUCT((TongVTSX!$C$3:$C$1500=$D208)*(TongVTSX!$E$3:$E$1500=$F208)*(TongVTSX!$G$3:$G$1500=$G208)*(TongVTSX!$H$3:$H$1500)))</f>
        <v>1</v>
      </c>
      <c r="I208" s="92">
        <f t="shared" ca="1" si="11"/>
        <v>1475</v>
      </c>
      <c r="J208" s="114">
        <f t="shared" ca="1" si="12"/>
        <v>0.25877192982456143</v>
      </c>
      <c r="K208" s="187">
        <f t="shared" ca="1" si="13"/>
        <v>4225</v>
      </c>
      <c r="Q208" s="1032">
        <f ca="1">IF(TYPE(MATCH($S$2,OFFSET(TongVTSX!$U$3,Q207,0):'TongVTSX'!$U$1500,0)+Q207)=16,"",MATCH($S$2,OFFSET(TongVTSX!$U$3,Q207,0):'TongVTSX'!$U$1500,0)+Q207)</f>
        <v>5</v>
      </c>
      <c r="R208" s="1036"/>
      <c r="S208" s="18"/>
    </row>
    <row r="209" spans="1:19">
      <c r="A209" s="19">
        <f ca="1">IF($Q209="","",MAX($A$203:A208)+1)</f>
        <v>6</v>
      </c>
      <c r="B209" s="1146"/>
      <c r="C209" s="1146"/>
      <c r="D209" s="23" t="str">
        <f ca="1">IF($Q209="","",INDEX(TongVTSX!C$3:C$1500,$Q209))</f>
        <v>C3295</v>
      </c>
      <c r="E209" s="23" t="str">
        <f ca="1">IF($Q209="","",INDEX(TongVTSX!D$3:D$1500,$Q209))</f>
        <v>Nẹp kính vuông cho kính 5-10mm hệ 55</v>
      </c>
      <c r="F209" s="24" t="str">
        <f ca="1">IF($Q209="","",INDEX(TongVTSX!E$3:E$1500,$Q209))</f>
        <v>Xám ghi</v>
      </c>
      <c r="G209" s="24">
        <f ca="1">IF($Q209="","",INDEX(TongVTSX!G$3:G$1500,$Q209))</f>
        <v>1402</v>
      </c>
      <c r="H209" s="23">
        <f ca="1">IF($Q209="","",SUMPRODUCT((TongVTSX!$C$3:$C$1500=$D209)*(TongVTSX!$E$3:$E$1500=$F209)*(TongVTSX!$G$3:$G$1500=$G209)*(TongVTSX!$H$3:$H$1500)))</f>
        <v>2</v>
      </c>
      <c r="I209" s="92">
        <f t="shared" ca="1" si="11"/>
        <v>2804</v>
      </c>
      <c r="J209" s="114">
        <f t="shared" ca="1" si="12"/>
        <v>0.49192982456140349</v>
      </c>
      <c r="K209" s="187">
        <f t="shared" ca="1" si="13"/>
        <v>2896.0000000000005</v>
      </c>
      <c r="Q209" s="1032">
        <f ca="1">IF(TYPE(MATCH($S$2,OFFSET(TongVTSX!$U$3,Q208,0):'TongVTSX'!$U$1500,0)+Q208)=16,"",MATCH($S$2,OFFSET(TongVTSX!$U$3,Q208,0):'TongVTSX'!$U$1500,0)+Q208)</f>
        <v>6</v>
      </c>
      <c r="R209" s="1036"/>
      <c r="S209" s="18"/>
    </row>
    <row r="210" spans="1:19">
      <c r="A210" s="19">
        <f ca="1">IF($Q210="","",MAX($A$203:A209)+1)</f>
        <v>7</v>
      </c>
      <c r="B210" s="1146"/>
      <c r="C210" s="1146"/>
      <c r="D210" s="23" t="str">
        <f ca="1">IF($Q210="","",INDEX(TongVTSX!C$3:C$1500,$Q210))</f>
        <v>C3295</v>
      </c>
      <c r="E210" s="23" t="str">
        <f ca="1">IF($Q210="","",INDEX(TongVTSX!D$3:D$1500,$Q210))</f>
        <v>Nẹp kính vuông cho kính 5-10mm hệ 55</v>
      </c>
      <c r="F210" s="24" t="str">
        <f ca="1">IF($Q210="","",INDEX(TongVTSX!E$3:E$1500,$Q210))</f>
        <v>Xám ghi</v>
      </c>
      <c r="G210" s="24">
        <f ca="1">IF($Q210="","",INDEX(TongVTSX!G$3:G$1500,$Q210))</f>
        <v>1977</v>
      </c>
      <c r="H210" s="23">
        <f ca="1">IF($Q210="","",SUMPRODUCT((TongVTSX!$C$3:$C$1500=$D210)*(TongVTSX!$E$3:$E$1500=$F210)*(TongVTSX!$G$3:$G$1500=$G210)*(TongVTSX!$H$3:$H$1500)))</f>
        <v>2</v>
      </c>
      <c r="I210" s="92">
        <f t="shared" ca="1" si="11"/>
        <v>3954</v>
      </c>
      <c r="J210" s="114">
        <f t="shared" ca="1" si="12"/>
        <v>0.69368421052631579</v>
      </c>
      <c r="K210" s="187">
        <f t="shared" ca="1" si="13"/>
        <v>1746</v>
      </c>
      <c r="Q210" s="1032">
        <f ca="1">IF(TYPE(MATCH($S$2,OFFSET(TongVTSX!$U$3,Q209,0):'TongVTSX'!$U$1500,0)+Q209)=16,"",MATCH($S$2,OFFSET(TongVTSX!$U$3,Q209,0):'TongVTSX'!$U$1500,0)+Q209)</f>
        <v>7</v>
      </c>
      <c r="R210" s="1036"/>
      <c r="S210" s="18"/>
    </row>
    <row r="211" spans="1:19">
      <c r="A211" s="19">
        <f ca="1">IF($Q211="","",MAX($A$203:A210)+1)</f>
        <v>8</v>
      </c>
      <c r="B211" s="1146"/>
      <c r="C211" s="1146"/>
      <c r="D211" s="23" t="str">
        <f ca="1">IF($Q211="","",INDEX(TongVTSX!C$3:C$1500,$Q211))</f>
        <v>C459</v>
      </c>
      <c r="E211" s="23" t="str">
        <f ca="1">IF($Q211="","",INDEX(TongVTSX!D$3:D$1500,$Q211))</f>
        <v>Thanh truyền khóa cửa đi, cửa sổ hệ 55</v>
      </c>
      <c r="F211" s="24" t="str">
        <f ca="1">IF($Q211="","",INDEX(TongVTSX!E$3:E$1500,$Q211))</f>
        <v>T/C</v>
      </c>
      <c r="G211" s="24">
        <f ca="1">IF($Q211="","",INDEX(TongVTSX!G$3:G$1500,$Q211))</f>
        <v>1972</v>
      </c>
      <c r="H211" s="23">
        <f ca="1">IF($Q211="","",SUMPRODUCT((TongVTSX!$C$3:$C$1500=$D211)*(TongVTSX!$E$3:$E$1500=$F211)*(TongVTSX!$G$3:$G$1500=$G211)*(TongVTSX!$H$3:$H$1500)))</f>
        <v>1</v>
      </c>
      <c r="I211" s="92">
        <f t="shared" ca="1" si="11"/>
        <v>1972</v>
      </c>
      <c r="J211" s="114">
        <f t="shared" ca="1" si="12"/>
        <v>0.34</v>
      </c>
      <c r="K211" s="187">
        <f t="shared" ca="1" si="13"/>
        <v>3827.9999999999995</v>
      </c>
      <c r="Q211" s="1032">
        <f ca="1">IF(TYPE(MATCH($S$2,OFFSET(TongVTSX!$U$3,Q210,0):'TongVTSX'!$U$1500,0)+Q210)=16,"",MATCH($S$2,OFFSET(TongVTSX!$U$3,Q210,0):'TongVTSX'!$U$1500,0)+Q210)</f>
        <v>13</v>
      </c>
      <c r="R211" s="1036"/>
      <c r="S211" s="18"/>
    </row>
    <row r="212" spans="1:19">
      <c r="A212" s="19" t="str">
        <f ca="1">IF($Q212="","",MAX($A$203:A211)+1)</f>
        <v/>
      </c>
      <c r="B212" s="1146"/>
      <c r="C212" s="1146"/>
      <c r="D212" s="23" t="str">
        <f ca="1">IF($Q212="","",INDEX(TongVTSX!C$3:C$1500,$Q212))</f>
        <v/>
      </c>
      <c r="E212" s="23" t="str">
        <f ca="1">IF($Q212="","",INDEX(TongVTSX!D$3:D$1500,$Q212))</f>
        <v/>
      </c>
      <c r="F212" s="24" t="str">
        <f ca="1">IF($Q212="","",INDEX(TongVTSX!E$3:E$1500,$Q212))</f>
        <v/>
      </c>
      <c r="G212" s="24" t="str">
        <f ca="1">IF($Q212="","",INDEX(TongVTSX!G$3:G$1500,$Q212))</f>
        <v/>
      </c>
      <c r="H212" s="23" t="str">
        <f ca="1">IF($Q212="","",SUMPRODUCT((TongVTSX!$C$3:$C$1500=$D212)*(TongVTSX!$E$3:$E$1500=$F212)*(TongVTSX!$G$3:$G$1500=$G212)*(TongVTSX!$H$3:$H$1500)))</f>
        <v/>
      </c>
      <c r="I212" s="92">
        <f t="shared" ca="1" si="11"/>
        <v>0</v>
      </c>
      <c r="J212" s="114">
        <f t="shared" ca="1" si="12"/>
        <v>0</v>
      </c>
      <c r="K212" s="187" t="str">
        <f t="shared" ca="1" si="13"/>
        <v/>
      </c>
      <c r="Q212" s="1032" t="str">
        <f ca="1">IF(TYPE(MATCH($S$2,OFFSET(TongVTSX!$U$3,Q211,0):'TongVTSX'!$U$1500,0)+Q211)=16,"",MATCH($S$2,OFFSET(TongVTSX!$U$3,Q211,0):'TongVTSX'!$U$1500,0)+Q211)</f>
        <v/>
      </c>
      <c r="R212" s="1036"/>
      <c r="S212" s="18"/>
    </row>
    <row r="213" spans="1:19">
      <c r="A213" s="19" t="str">
        <f ca="1">IF($Q213="","",MAX($A$203:A212)+1)</f>
        <v/>
      </c>
      <c r="B213" s="1146"/>
      <c r="C213" s="1146"/>
      <c r="D213" s="23" t="str">
        <f ca="1">IF($Q213="","",INDEX(TongVTSX!C$3:C$1500,$Q213))</f>
        <v/>
      </c>
      <c r="E213" s="23" t="str">
        <f ca="1">IF($Q213="","",INDEX(TongVTSX!D$3:D$1500,$Q213))</f>
        <v/>
      </c>
      <c r="F213" s="24" t="str">
        <f ca="1">IF($Q213="","",INDEX(TongVTSX!E$3:E$1500,$Q213))</f>
        <v/>
      </c>
      <c r="G213" s="24" t="str">
        <f ca="1">IF($Q213="","",INDEX(TongVTSX!G$3:G$1500,$Q213))</f>
        <v/>
      </c>
      <c r="H213" s="23" t="str">
        <f ca="1">IF($Q213="","",SUMPRODUCT((TongVTSX!$C$3:$C$1500=$D213)*(TongVTSX!$E$3:$E$1500=$F213)*(TongVTSX!$G$3:$G$1500=$G213)*(TongVTSX!$H$3:$H$1500)))</f>
        <v/>
      </c>
      <c r="I213" s="92">
        <f t="shared" ca="1" si="11"/>
        <v>0</v>
      </c>
      <c r="J213" s="114">
        <f t="shared" ca="1" si="12"/>
        <v>0</v>
      </c>
      <c r="K213" s="187" t="str">
        <f t="shared" ca="1" si="13"/>
        <v/>
      </c>
      <c r="Q213" s="1032" t="str">
        <f ca="1">IF(TYPE(MATCH($S$2,OFFSET(TongVTSX!$U$3,Q212,0):'TongVTSX'!$U$1500,0)+Q212)=16,"",MATCH($S$2,OFFSET(TongVTSX!$U$3,Q212,0):'TongVTSX'!$U$1500,0)+Q212)</f>
        <v/>
      </c>
      <c r="R213" s="1036"/>
      <c r="S213" s="18"/>
    </row>
    <row r="214" spans="1:19">
      <c r="A214" s="19" t="str">
        <f ca="1">IF($Q214="","",MAX($A$203:A213)+1)</f>
        <v/>
      </c>
      <c r="B214" s="1146"/>
      <c r="C214" s="1146"/>
      <c r="D214" s="23" t="str">
        <f ca="1">IF($Q214="","",INDEX(TongVTSX!C$3:C$1500,$Q214))</f>
        <v/>
      </c>
      <c r="E214" s="23" t="str">
        <f ca="1">IF($Q214="","",INDEX(TongVTSX!D$3:D$1500,$Q214))</f>
        <v/>
      </c>
      <c r="F214" s="24" t="str">
        <f ca="1">IF($Q214="","",INDEX(TongVTSX!E$3:E$1500,$Q214))</f>
        <v/>
      </c>
      <c r="G214" s="24" t="str">
        <f ca="1">IF($Q214="","",INDEX(TongVTSX!G$3:G$1500,$Q214))</f>
        <v/>
      </c>
      <c r="H214" s="23" t="str">
        <f ca="1">IF($Q214="","",SUMPRODUCT((TongVTSX!$C$3:$C$1500=$D214)*(TongVTSX!$E$3:$E$1500=$F214)*(TongVTSX!$G$3:$G$1500=$G214)*(TongVTSX!$H$3:$H$1500)))</f>
        <v/>
      </c>
      <c r="I214" s="92">
        <f t="shared" ca="1" si="11"/>
        <v>0</v>
      </c>
      <c r="J214" s="114">
        <f t="shared" ca="1" si="12"/>
        <v>0</v>
      </c>
      <c r="K214" s="187" t="str">
        <f t="shared" ca="1" si="13"/>
        <v/>
      </c>
      <c r="Q214" s="1032" t="str">
        <f ca="1">IF(TYPE(MATCH($S$2,OFFSET(TongVTSX!$U$3,Q213,0):'TongVTSX'!$U$1500,0)+Q213)=16,"",MATCH($S$2,OFFSET(TongVTSX!$U$3,Q213,0):'TongVTSX'!$U$1500,0)+Q213)</f>
        <v/>
      </c>
      <c r="R214" s="1036"/>
      <c r="S214" s="18"/>
    </row>
    <row r="215" spans="1:19">
      <c r="A215" s="19" t="str">
        <f ca="1">IF($Q215="","",MAX($A$203:A214)+1)</f>
        <v/>
      </c>
      <c r="B215" s="1146"/>
      <c r="C215" s="1146"/>
      <c r="D215" s="23" t="str">
        <f ca="1">IF($Q215="","",INDEX(TongVTSX!C$3:C$1500,$Q215))</f>
        <v/>
      </c>
      <c r="E215" s="23" t="str">
        <f ca="1">IF($Q215="","",INDEX(TongVTSX!D$3:D$1500,$Q215))</f>
        <v/>
      </c>
      <c r="F215" s="24" t="str">
        <f ca="1">IF($Q215="","",INDEX(TongVTSX!E$3:E$1500,$Q215))</f>
        <v/>
      </c>
      <c r="G215" s="24" t="str">
        <f ca="1">IF($Q215="","",INDEX(TongVTSX!G$3:G$1500,$Q215))</f>
        <v/>
      </c>
      <c r="H215" s="23" t="str">
        <f ca="1">IF($Q215="","",SUMPRODUCT((TongVTSX!$C$3:$C$1500=$D215)*(TongVTSX!$E$3:$E$1500=$F215)*(TongVTSX!$G$3:$G$1500=$G215)*(TongVTSX!$H$3:$H$1500)))</f>
        <v/>
      </c>
      <c r="I215" s="92">
        <f t="shared" ca="1" si="11"/>
        <v>0</v>
      </c>
      <c r="J215" s="114">
        <f t="shared" ca="1" si="12"/>
        <v>0</v>
      </c>
      <c r="K215" s="187" t="str">
        <f t="shared" ca="1" si="13"/>
        <v/>
      </c>
      <c r="Q215" s="1032" t="str">
        <f ca="1">IF(TYPE(MATCH($S$2,OFFSET(TongVTSX!$U$3,Q214,0):'TongVTSX'!$U$1500,0)+Q214)=16,"",MATCH($S$2,OFFSET(TongVTSX!$U$3,Q214,0):'TongVTSX'!$U$1500,0)+Q214)</f>
        <v/>
      </c>
      <c r="R215" s="1036"/>
      <c r="S215" s="18"/>
    </row>
    <row r="216" spans="1:19">
      <c r="A216" s="19" t="str">
        <f ca="1">IF($Q216="","",MAX($A$203:A215)+1)</f>
        <v/>
      </c>
      <c r="B216" s="1146"/>
      <c r="C216" s="1146"/>
      <c r="D216" s="23" t="str">
        <f ca="1">IF($Q216="","",INDEX(TongVTSX!C$3:C$1500,$Q216))</f>
        <v/>
      </c>
      <c r="E216" s="23" t="str">
        <f ca="1">IF($Q216="","",INDEX(TongVTSX!D$3:D$1500,$Q216))</f>
        <v/>
      </c>
      <c r="F216" s="24" t="str">
        <f ca="1">IF($Q216="","",INDEX(TongVTSX!E$3:E$1500,$Q216))</f>
        <v/>
      </c>
      <c r="G216" s="24" t="str">
        <f ca="1">IF($Q216="","",INDEX(TongVTSX!G$3:G$1500,$Q216))</f>
        <v/>
      </c>
      <c r="H216" s="23" t="str">
        <f ca="1">IF($Q216="","",SUMPRODUCT((TongVTSX!$C$3:$C$1500=$D216)*(TongVTSX!$E$3:$E$1500=$F216)*(TongVTSX!$G$3:$G$1500=$G216)*(TongVTSX!$H$3:$H$1500)))</f>
        <v/>
      </c>
      <c r="I216" s="92">
        <f t="shared" ca="1" si="11"/>
        <v>0</v>
      </c>
      <c r="J216" s="114">
        <f t="shared" ca="1" si="12"/>
        <v>0</v>
      </c>
      <c r="K216" s="187" t="str">
        <f t="shared" ca="1" si="13"/>
        <v/>
      </c>
      <c r="Q216" s="1032" t="str">
        <f ca="1">IF(TYPE(MATCH($S$2,OFFSET(TongVTSX!$U$3,Q215,0):'TongVTSX'!$U$1500,0)+Q215)=16,"",MATCH($S$2,OFFSET(TongVTSX!$U$3,Q215,0):'TongVTSX'!$U$1500,0)+Q215)</f>
        <v/>
      </c>
      <c r="R216" s="1036"/>
      <c r="S216" s="18"/>
    </row>
    <row r="217" spans="1:19">
      <c r="A217" s="19" t="str">
        <f ca="1">IF($Q217="","",MAX($A$203:A216)+1)</f>
        <v/>
      </c>
      <c r="B217" s="1146"/>
      <c r="C217" s="1146"/>
      <c r="D217" s="23" t="str">
        <f ca="1">IF($Q217="","",INDEX(TongVTSX!C$3:C$1500,$Q217))</f>
        <v/>
      </c>
      <c r="E217" s="23" t="str">
        <f ca="1">IF($Q217="","",INDEX(TongVTSX!D$3:D$1500,$Q217))</f>
        <v/>
      </c>
      <c r="F217" s="24" t="str">
        <f ca="1">IF($Q217="","",INDEX(TongVTSX!E$3:E$1500,$Q217))</f>
        <v/>
      </c>
      <c r="G217" s="24" t="str">
        <f ca="1">IF($Q217="","",INDEX(TongVTSX!G$3:G$1500,$Q217))</f>
        <v/>
      </c>
      <c r="H217" s="23" t="str">
        <f ca="1">IF($Q217="","",SUMPRODUCT((TongVTSX!$C$3:$C$1500=$D217)*(TongVTSX!$E$3:$E$1500=$F217)*(TongVTSX!$G$3:$G$1500=$G217)*(TongVTSX!$H$3:$H$1500)))</f>
        <v/>
      </c>
      <c r="I217" s="92">
        <f t="shared" ca="1" si="11"/>
        <v>0</v>
      </c>
      <c r="J217" s="114">
        <f t="shared" ca="1" si="12"/>
        <v>0</v>
      </c>
      <c r="K217" s="187" t="str">
        <f t="shared" ca="1" si="13"/>
        <v/>
      </c>
      <c r="Q217" s="1032" t="str">
        <f ca="1">IF(TYPE(MATCH($S$2,OFFSET(TongVTSX!$U$3,Q216,0):'TongVTSX'!$U$1500,0)+Q216)=16,"",MATCH($S$2,OFFSET(TongVTSX!$U$3,Q216,0):'TongVTSX'!$U$1500,0)+Q216)</f>
        <v/>
      </c>
      <c r="R217" s="1036"/>
      <c r="S217" s="18"/>
    </row>
    <row r="218" spans="1:19">
      <c r="A218" s="19" t="str">
        <f ca="1">IF($Q218="","",MAX($A$203:A217)+1)</f>
        <v/>
      </c>
      <c r="B218" s="1146"/>
      <c r="C218" s="1146"/>
      <c r="D218" s="23" t="str">
        <f ca="1">IF($Q218="","",INDEX(TongVTSX!C$3:C$1500,$Q218))</f>
        <v/>
      </c>
      <c r="E218" s="23" t="str">
        <f ca="1">IF($Q218="","",INDEX(TongVTSX!D$3:D$1500,$Q218))</f>
        <v/>
      </c>
      <c r="F218" s="24" t="str">
        <f ca="1">IF($Q218="","",INDEX(TongVTSX!E$3:E$1500,$Q218))</f>
        <v/>
      </c>
      <c r="G218" s="24" t="str">
        <f ca="1">IF($Q218="","",INDEX(TongVTSX!G$3:G$1500,$Q218))</f>
        <v/>
      </c>
      <c r="H218" s="23" t="str">
        <f ca="1">IF($Q218="","",SUMPRODUCT((TongVTSX!$C$3:$C$1500=$D218)*(TongVTSX!$E$3:$E$1500=$F218)*(TongVTSX!$G$3:$G$1500=$G218)*(TongVTSX!$H$3:$H$1500)))</f>
        <v/>
      </c>
      <c r="I218" s="92">
        <f t="shared" ca="1" si="11"/>
        <v>0</v>
      </c>
      <c r="J218" s="114">
        <f t="shared" ca="1" si="12"/>
        <v>0</v>
      </c>
      <c r="K218" s="187" t="str">
        <f t="shared" ca="1" si="13"/>
        <v/>
      </c>
      <c r="Q218" s="1032" t="str">
        <f ca="1">IF(TYPE(MATCH($S$2,OFFSET(TongVTSX!$U$3,Q217,0):'TongVTSX'!$U$1500,0)+Q217)=16,"",MATCH($S$2,OFFSET(TongVTSX!$U$3,Q217,0):'TongVTSX'!$U$1500,0)+Q217)</f>
        <v/>
      </c>
      <c r="R218" s="1036"/>
      <c r="S218" s="18"/>
    </row>
    <row r="219" spans="1:19">
      <c r="A219" s="19" t="str">
        <f ca="1">IF($Q219="","",MAX($A$203:A218)+1)</f>
        <v/>
      </c>
      <c r="B219" s="1146"/>
      <c r="C219" s="1146"/>
      <c r="D219" s="23" t="str">
        <f ca="1">IF($Q219="","",INDEX(TongVTSX!C$3:C$1500,$Q219))</f>
        <v/>
      </c>
      <c r="E219" s="23" t="str">
        <f ca="1">IF($Q219="","",INDEX(TongVTSX!D$3:D$1500,$Q219))</f>
        <v/>
      </c>
      <c r="F219" s="24" t="str">
        <f ca="1">IF($Q219="","",INDEX(TongVTSX!E$3:E$1500,$Q219))</f>
        <v/>
      </c>
      <c r="G219" s="24" t="str">
        <f ca="1">IF($Q219="","",INDEX(TongVTSX!G$3:G$1500,$Q219))</f>
        <v/>
      </c>
      <c r="H219" s="23" t="str">
        <f ca="1">IF($Q219="","",SUMPRODUCT((TongVTSX!$C$3:$C$1500=$D219)*(TongVTSX!$E$3:$E$1500=$F219)*(TongVTSX!$G$3:$G$1500=$G219)*(TongVTSX!$H$3:$H$1500)))</f>
        <v/>
      </c>
      <c r="I219" s="92">
        <f t="shared" ca="1" si="11"/>
        <v>0</v>
      </c>
      <c r="J219" s="114">
        <f t="shared" ca="1" si="12"/>
        <v>0</v>
      </c>
      <c r="K219" s="187" t="str">
        <f t="shared" ca="1" si="13"/>
        <v/>
      </c>
      <c r="Q219" s="1032" t="str">
        <f ca="1">IF(TYPE(MATCH($S$2,OFFSET(TongVTSX!$U$3,Q218,0):'TongVTSX'!$U$1500,0)+Q218)=16,"",MATCH($S$2,OFFSET(TongVTSX!$U$3,Q218,0):'TongVTSX'!$U$1500,0)+Q218)</f>
        <v/>
      </c>
      <c r="R219" s="1036"/>
      <c r="S219" s="18"/>
    </row>
    <row r="220" spans="1:19">
      <c r="A220" s="19" t="str">
        <f ca="1">IF($Q220="","",MAX($A$203:A219)+1)</f>
        <v/>
      </c>
      <c r="B220" s="1146"/>
      <c r="C220" s="1146"/>
      <c r="D220" s="23" t="str">
        <f ca="1">IF($Q220="","",INDEX(TongVTSX!C$3:C$1500,$Q220))</f>
        <v/>
      </c>
      <c r="E220" s="23" t="str">
        <f ca="1">IF($Q220="","",INDEX(TongVTSX!D$3:D$1500,$Q220))</f>
        <v/>
      </c>
      <c r="F220" s="24" t="str">
        <f ca="1">IF($Q220="","",INDEX(TongVTSX!E$3:E$1500,$Q220))</f>
        <v/>
      </c>
      <c r="G220" s="24" t="str">
        <f ca="1">IF($Q220="","",INDEX(TongVTSX!G$3:G$1500,$Q220))</f>
        <v/>
      </c>
      <c r="H220" s="23" t="str">
        <f ca="1">IF($Q220="","",SUMPRODUCT((TongVTSX!$C$3:$C$1500=$D220)*(TongVTSX!$E$3:$E$1500=$F220)*(TongVTSX!$G$3:$G$1500=$G220)*(TongVTSX!$H$3:$H$1500)))</f>
        <v/>
      </c>
      <c r="I220" s="92">
        <f t="shared" ca="1" si="11"/>
        <v>0</v>
      </c>
      <c r="J220" s="114">
        <f t="shared" ca="1" si="12"/>
        <v>0</v>
      </c>
      <c r="K220" s="187" t="str">
        <f t="shared" ca="1" si="13"/>
        <v/>
      </c>
      <c r="Q220" s="1032" t="str">
        <f ca="1">IF(TYPE(MATCH($S$2,OFFSET(TongVTSX!$U$3,Q219,0):'TongVTSX'!$U$1500,0)+Q219)=16,"",MATCH($S$2,OFFSET(TongVTSX!$U$3,Q219,0):'TongVTSX'!$U$1500,0)+Q219)</f>
        <v/>
      </c>
      <c r="R220" s="1036"/>
      <c r="S220" s="18"/>
    </row>
    <row r="221" spans="1:19">
      <c r="A221" s="19" t="str">
        <f ca="1">IF($Q221="","",MAX($A$203:A220)+1)</f>
        <v/>
      </c>
      <c r="B221" s="1146"/>
      <c r="C221" s="1146"/>
      <c r="D221" s="23" t="str">
        <f ca="1">IF($Q221="","",INDEX(TongVTSX!C$3:C$1500,$Q221))</f>
        <v/>
      </c>
      <c r="E221" s="23" t="str">
        <f ca="1">IF($Q221="","",INDEX(TongVTSX!D$3:D$1500,$Q221))</f>
        <v/>
      </c>
      <c r="F221" s="24" t="str">
        <f ca="1">IF($Q221="","",INDEX(TongVTSX!E$3:E$1500,$Q221))</f>
        <v/>
      </c>
      <c r="G221" s="24" t="str">
        <f ca="1">IF($Q221="","",INDEX(TongVTSX!G$3:G$1500,$Q221))</f>
        <v/>
      </c>
      <c r="H221" s="23" t="str">
        <f ca="1">IF($Q221="","",SUMPRODUCT((TongVTSX!$C$3:$C$1500=$D221)*(TongVTSX!$E$3:$E$1500=$F221)*(TongVTSX!$G$3:$G$1500=$G221)*(TongVTSX!$H$3:$H$1500)))</f>
        <v/>
      </c>
      <c r="I221" s="92">
        <f t="shared" ca="1" si="11"/>
        <v>0</v>
      </c>
      <c r="J221" s="114">
        <f t="shared" ca="1" si="12"/>
        <v>0</v>
      </c>
      <c r="K221" s="187" t="str">
        <f t="shared" ca="1" si="13"/>
        <v/>
      </c>
      <c r="Q221" s="1032" t="str">
        <f ca="1">IF(TYPE(MATCH($S$2,OFFSET(TongVTSX!$U$3,Q220,0):'TongVTSX'!$U$1500,0)+Q220)=16,"",MATCH($S$2,OFFSET(TongVTSX!$U$3,Q220,0):'TongVTSX'!$U$1500,0)+Q220)</f>
        <v/>
      </c>
      <c r="R221" s="1036"/>
      <c r="S221" s="18"/>
    </row>
    <row r="222" spans="1:19">
      <c r="A222" s="19" t="str">
        <f ca="1">IF($Q222="","",MAX($A$203:A221)+1)</f>
        <v/>
      </c>
      <c r="B222" s="1146"/>
      <c r="C222" s="1146"/>
      <c r="D222" s="23" t="str">
        <f ca="1">IF($Q222="","",INDEX(TongVTSX!C$3:C$1500,$Q222))</f>
        <v/>
      </c>
      <c r="E222" s="23" t="str">
        <f ca="1">IF($Q222="","",INDEX(TongVTSX!D$3:D$1500,$Q222))</f>
        <v/>
      </c>
      <c r="F222" s="24" t="str">
        <f ca="1">IF($Q222="","",INDEX(TongVTSX!E$3:E$1500,$Q222))</f>
        <v/>
      </c>
      <c r="G222" s="24" t="str">
        <f ca="1">IF($Q222="","",INDEX(TongVTSX!G$3:G$1500,$Q222))</f>
        <v/>
      </c>
      <c r="H222" s="23" t="str">
        <f ca="1">IF($Q222="","",SUMPRODUCT((TongVTSX!$C$3:$C$1500=$D222)*(TongVTSX!$E$3:$E$1500=$F222)*(TongVTSX!$G$3:$G$1500=$G222)*(TongVTSX!$H$3:$H$1500)))</f>
        <v/>
      </c>
      <c r="I222" s="92">
        <f t="shared" ca="1" si="11"/>
        <v>0</v>
      </c>
      <c r="J222" s="114">
        <f t="shared" ca="1" si="12"/>
        <v>0</v>
      </c>
      <c r="K222" s="187" t="str">
        <f t="shared" ca="1" si="13"/>
        <v/>
      </c>
      <c r="Q222" s="1032" t="str">
        <f ca="1">IF(TYPE(MATCH($S$2,OFFSET(TongVTSX!$U$3,Q221,0):'TongVTSX'!$U$1500,0)+Q221)=16,"",MATCH($S$2,OFFSET(TongVTSX!$U$3,Q221,0):'TongVTSX'!$U$1500,0)+Q221)</f>
        <v/>
      </c>
      <c r="R222" s="1036"/>
      <c r="S222" s="18"/>
    </row>
    <row r="223" spans="1:19">
      <c r="A223" s="19" t="str">
        <f ca="1">IF($Q223="","",MAX($A$203:A222)+1)</f>
        <v/>
      </c>
      <c r="B223" s="1146"/>
      <c r="C223" s="1146"/>
      <c r="D223" s="23" t="str">
        <f ca="1">IF($Q223="","",INDEX(TongVTSX!C$3:C$1500,$Q223))</f>
        <v/>
      </c>
      <c r="E223" s="23" t="str">
        <f ca="1">IF($Q223="","",INDEX(TongVTSX!D$3:D$1500,$Q223))</f>
        <v/>
      </c>
      <c r="F223" s="24" t="str">
        <f ca="1">IF($Q223="","",INDEX(TongVTSX!E$3:E$1500,$Q223))</f>
        <v/>
      </c>
      <c r="G223" s="24" t="str">
        <f ca="1">IF($Q223="","",INDEX(TongVTSX!G$3:G$1500,$Q223))</f>
        <v/>
      </c>
      <c r="H223" s="23" t="str">
        <f ca="1">IF($Q223="","",SUMPRODUCT((TongVTSX!$C$3:$C$1500=$D223)*(TongVTSX!$E$3:$E$1500=$F223)*(TongVTSX!$G$3:$G$1500=$G223)*(TongVTSX!$H$3:$H$1500)))</f>
        <v/>
      </c>
      <c r="I223" s="92">
        <f t="shared" ca="1" si="11"/>
        <v>0</v>
      </c>
      <c r="J223" s="114">
        <f t="shared" ca="1" si="12"/>
        <v>0</v>
      </c>
      <c r="K223" s="187" t="str">
        <f t="shared" ca="1" si="13"/>
        <v/>
      </c>
      <c r="Q223" s="1032" t="str">
        <f ca="1">IF(TYPE(MATCH($S$2,OFFSET(TongVTSX!$U$3,Q222,0):'TongVTSX'!$U$1500,0)+Q222)=16,"",MATCH($S$2,OFFSET(TongVTSX!$U$3,Q222,0):'TongVTSX'!$U$1500,0)+Q222)</f>
        <v/>
      </c>
      <c r="R223" s="1036"/>
      <c r="S223" s="18"/>
    </row>
    <row r="224" spans="1:19">
      <c r="A224" s="19" t="str">
        <f ca="1">IF($Q224="","",MAX($A$203:A223)+1)</f>
        <v/>
      </c>
      <c r="B224" s="1146"/>
      <c r="C224" s="1146"/>
      <c r="D224" s="23" t="str">
        <f ca="1">IF($Q224="","",INDEX(TongVTSX!C$3:C$1500,$Q224))</f>
        <v/>
      </c>
      <c r="E224" s="23" t="str">
        <f ca="1">IF($Q224="","",INDEX(TongVTSX!D$3:D$1500,$Q224))</f>
        <v/>
      </c>
      <c r="F224" s="24" t="str">
        <f ca="1">IF($Q224="","",INDEX(TongVTSX!E$3:E$1500,$Q224))</f>
        <v/>
      </c>
      <c r="G224" s="24" t="str">
        <f ca="1">IF($Q224="","",INDEX(TongVTSX!G$3:G$1500,$Q224))</f>
        <v/>
      </c>
      <c r="H224" s="23" t="str">
        <f ca="1">IF($Q224="","",SUMPRODUCT((TongVTSX!$C$3:$C$1500=$D224)*(TongVTSX!$E$3:$E$1500=$F224)*(TongVTSX!$G$3:$G$1500=$G224)*(TongVTSX!$H$3:$H$1500)))</f>
        <v/>
      </c>
      <c r="I224" s="92">
        <f t="shared" ca="1" si="11"/>
        <v>0</v>
      </c>
      <c r="J224" s="114">
        <f t="shared" ca="1" si="12"/>
        <v>0</v>
      </c>
      <c r="K224" s="187" t="str">
        <f t="shared" ca="1" si="13"/>
        <v/>
      </c>
      <c r="Q224" s="1032" t="str">
        <f ca="1">IF(TYPE(MATCH($S$2,OFFSET(TongVTSX!$U$3,Q223,0):'TongVTSX'!$U$1500,0)+Q223)=16,"",MATCH($S$2,OFFSET(TongVTSX!$U$3,Q223,0):'TongVTSX'!$U$1500,0)+Q223)</f>
        <v/>
      </c>
      <c r="R224" s="1036"/>
      <c r="S224" s="18"/>
    </row>
    <row r="225" spans="1:19">
      <c r="A225" s="19" t="str">
        <f ca="1">IF($Q225="","",MAX($A$203:A224)+1)</f>
        <v/>
      </c>
      <c r="B225" s="1146"/>
      <c r="C225" s="1146"/>
      <c r="D225" s="23" t="str">
        <f ca="1">IF($Q225="","",INDEX(TongVTSX!C$3:C$1500,$Q225))</f>
        <v/>
      </c>
      <c r="E225" s="23" t="str">
        <f ca="1">IF($Q225="","",INDEX(TongVTSX!D$3:D$1500,$Q225))</f>
        <v/>
      </c>
      <c r="F225" s="24" t="str">
        <f ca="1">IF($Q225="","",INDEX(TongVTSX!E$3:E$1500,$Q225))</f>
        <v/>
      </c>
      <c r="G225" s="24" t="str">
        <f ca="1">IF($Q225="","",INDEX(TongVTSX!G$3:G$1500,$Q225))</f>
        <v/>
      </c>
      <c r="H225" s="23" t="str">
        <f ca="1">IF($Q225="","",SUMPRODUCT((TongVTSX!$C$3:$C$1500=$D225)*(TongVTSX!$E$3:$E$1500=$F225)*(TongVTSX!$G$3:$G$1500=$G225)*(TongVTSX!$H$3:$H$1500)))</f>
        <v/>
      </c>
      <c r="I225" s="92">
        <f t="shared" ca="1" si="11"/>
        <v>0</v>
      </c>
      <c r="J225" s="114">
        <f t="shared" ca="1" si="12"/>
        <v>0</v>
      </c>
      <c r="K225" s="187" t="str">
        <f t="shared" ca="1" si="13"/>
        <v/>
      </c>
      <c r="Q225" s="1032" t="str">
        <f ca="1">IF(TYPE(MATCH($S$2,OFFSET(TongVTSX!$U$3,Q224,0):'TongVTSX'!$U$1500,0)+Q224)=16,"",MATCH($S$2,OFFSET(TongVTSX!$U$3,Q224,0):'TongVTSX'!$U$1500,0)+Q224)</f>
        <v/>
      </c>
      <c r="R225" s="1036"/>
      <c r="S225" s="18"/>
    </row>
    <row r="226" spans="1:19">
      <c r="A226" s="19" t="str">
        <f ca="1">IF($Q226="","",MAX($A$203:A225)+1)</f>
        <v/>
      </c>
      <c r="B226" s="1146"/>
      <c r="C226" s="1146"/>
      <c r="D226" s="23" t="str">
        <f ca="1">IF($Q226="","",INDEX(TongVTSX!C$3:C$1500,$Q226))</f>
        <v/>
      </c>
      <c r="E226" s="23" t="str">
        <f ca="1">IF($Q226="","",INDEX(TongVTSX!D$3:D$1500,$Q226))</f>
        <v/>
      </c>
      <c r="F226" s="24" t="str">
        <f ca="1">IF($Q226="","",INDEX(TongVTSX!E$3:E$1500,$Q226))</f>
        <v/>
      </c>
      <c r="G226" s="24" t="str">
        <f ca="1">IF($Q226="","",INDEX(TongVTSX!G$3:G$1500,$Q226))</f>
        <v/>
      </c>
      <c r="H226" s="23" t="str">
        <f ca="1">IF($Q226="","",SUMPRODUCT((TongVTSX!$C$3:$C$1500=$D226)*(TongVTSX!$E$3:$E$1500=$F226)*(TongVTSX!$G$3:$G$1500=$G226)*(TongVTSX!$H$3:$H$1500)))</f>
        <v/>
      </c>
      <c r="I226" s="92">
        <f t="shared" ca="1" si="11"/>
        <v>0</v>
      </c>
      <c r="J226" s="114">
        <f t="shared" ca="1" si="12"/>
        <v>0</v>
      </c>
      <c r="K226" s="187" t="str">
        <f t="shared" ca="1" si="13"/>
        <v/>
      </c>
      <c r="Q226" s="1032" t="str">
        <f ca="1">IF(TYPE(MATCH($S$2,OFFSET(TongVTSX!$U$3,Q225,0):'TongVTSX'!$U$1500,0)+Q225)=16,"",MATCH($S$2,OFFSET(TongVTSX!$U$3,Q225,0):'TongVTSX'!$U$1500,0)+Q225)</f>
        <v/>
      </c>
      <c r="R226" s="1036"/>
      <c r="S226" s="18"/>
    </row>
    <row r="227" spans="1:19">
      <c r="A227" s="19" t="str">
        <f ca="1">IF($Q227="","",MAX($A$203:A226)+1)</f>
        <v/>
      </c>
      <c r="B227" s="1146"/>
      <c r="C227" s="1146"/>
      <c r="D227" s="23" t="str">
        <f ca="1">IF($Q227="","",INDEX(TongVTSX!C$3:C$1500,$Q227))</f>
        <v/>
      </c>
      <c r="E227" s="23" t="str">
        <f ca="1">IF($Q227="","",INDEX(TongVTSX!D$3:D$1500,$Q227))</f>
        <v/>
      </c>
      <c r="F227" s="24" t="str">
        <f ca="1">IF($Q227="","",INDEX(TongVTSX!E$3:E$1500,$Q227))</f>
        <v/>
      </c>
      <c r="G227" s="24" t="str">
        <f ca="1">IF($Q227="","",INDEX(TongVTSX!G$3:G$1500,$Q227))</f>
        <v/>
      </c>
      <c r="H227" s="23" t="str">
        <f ca="1">IF($Q227="","",SUMPRODUCT((TongVTSX!$C$3:$C$1500=$D227)*(TongVTSX!$E$3:$E$1500=$F227)*(TongVTSX!$G$3:$G$1500=$G227)*(TongVTSX!$H$3:$H$1500)))</f>
        <v/>
      </c>
      <c r="I227" s="92">
        <f t="shared" ca="1" si="11"/>
        <v>0</v>
      </c>
      <c r="J227" s="114">
        <f t="shared" ca="1" si="12"/>
        <v>0</v>
      </c>
      <c r="K227" s="187" t="str">
        <f t="shared" ca="1" si="13"/>
        <v/>
      </c>
      <c r="Q227" s="1032" t="str">
        <f ca="1">IF(TYPE(MATCH($S$2,OFFSET(TongVTSX!$U$3,Q226,0):'TongVTSX'!$U$1500,0)+Q226)=16,"",MATCH($S$2,OFFSET(TongVTSX!$U$3,Q226,0):'TongVTSX'!$U$1500,0)+Q226)</f>
        <v/>
      </c>
      <c r="R227" s="1036"/>
      <c r="S227" s="18"/>
    </row>
    <row r="228" spans="1:19">
      <c r="A228" s="19" t="str">
        <f ca="1">IF($Q228="","",MAX($A$203:A227)+1)</f>
        <v/>
      </c>
      <c r="B228" s="1146"/>
      <c r="C228" s="1146"/>
      <c r="D228" s="23" t="str">
        <f ca="1">IF($Q228="","",INDEX(TongVTSX!C$3:C$1500,$Q228))</f>
        <v/>
      </c>
      <c r="E228" s="23" t="str">
        <f ca="1">IF($Q228="","",INDEX(TongVTSX!D$3:D$1500,$Q228))</f>
        <v/>
      </c>
      <c r="F228" s="24" t="str">
        <f ca="1">IF($Q228="","",INDEX(TongVTSX!E$3:E$1500,$Q228))</f>
        <v/>
      </c>
      <c r="G228" s="24" t="str">
        <f ca="1">IF($Q228="","",INDEX(TongVTSX!G$3:G$1500,$Q228))</f>
        <v/>
      </c>
      <c r="H228" s="23" t="str">
        <f ca="1">IF($Q228="","",SUMPRODUCT((TongVTSX!$C$3:$C$1500=$D228)*(TongVTSX!$E$3:$E$1500=$F228)*(TongVTSX!$G$3:$G$1500=$G228)*(TongVTSX!$H$3:$H$1500)))</f>
        <v/>
      </c>
      <c r="I228" s="92">
        <f t="shared" ca="1" si="11"/>
        <v>0</v>
      </c>
      <c r="J228" s="114">
        <f t="shared" ca="1" si="12"/>
        <v>0</v>
      </c>
      <c r="K228" s="187" t="str">
        <f t="shared" ca="1" si="13"/>
        <v/>
      </c>
      <c r="Q228" s="1032" t="str">
        <f ca="1">IF(TYPE(MATCH($S$2,OFFSET(TongVTSX!$U$3,Q227,0):'TongVTSX'!$U$1500,0)+Q227)=16,"",MATCH($S$2,OFFSET(TongVTSX!$U$3,Q227,0):'TongVTSX'!$U$1500,0)+Q227)</f>
        <v/>
      </c>
      <c r="R228" s="1036"/>
      <c r="S228" s="18"/>
    </row>
    <row r="229" spans="1:19">
      <c r="A229" s="19" t="str">
        <f ca="1">IF($Q229="","",MAX($A$203:A228)+1)</f>
        <v/>
      </c>
      <c r="B229" s="1146"/>
      <c r="C229" s="1146"/>
      <c r="D229" s="23" t="str">
        <f ca="1">IF($Q229="","",INDEX(TongVTSX!C$3:C$1500,$Q229))</f>
        <v/>
      </c>
      <c r="E229" s="23" t="str">
        <f ca="1">IF($Q229="","",INDEX(TongVTSX!D$3:D$1500,$Q229))</f>
        <v/>
      </c>
      <c r="F229" s="24" t="str">
        <f ca="1">IF($Q229="","",INDEX(TongVTSX!E$3:E$1500,$Q229))</f>
        <v/>
      </c>
      <c r="G229" s="24" t="str">
        <f ca="1">IF($Q229="","",INDEX(TongVTSX!G$3:G$1500,$Q229))</f>
        <v/>
      </c>
      <c r="H229" s="23" t="str">
        <f ca="1">IF($Q229="","",SUMPRODUCT((TongVTSX!$C$3:$C$1500=$D229)*(TongVTSX!$E$3:$E$1500=$F229)*(TongVTSX!$G$3:$G$1500=$G229)*(TongVTSX!$H$3:$H$1500)))</f>
        <v/>
      </c>
      <c r="I229" s="92">
        <f t="shared" ca="1" si="11"/>
        <v>0</v>
      </c>
      <c r="J229" s="114">
        <f t="shared" ca="1" si="12"/>
        <v>0</v>
      </c>
      <c r="K229" s="187" t="str">
        <f t="shared" ca="1" si="13"/>
        <v/>
      </c>
      <c r="Q229" s="1032" t="str">
        <f ca="1">IF(TYPE(MATCH($S$2,OFFSET(TongVTSX!$U$3,Q228,0):'TongVTSX'!$U$1500,0)+Q228)=16,"",MATCH($S$2,OFFSET(TongVTSX!$U$3,Q228,0):'TongVTSX'!$U$1500,0)+Q228)</f>
        <v/>
      </c>
      <c r="R229" s="1036"/>
      <c r="S229" s="18"/>
    </row>
    <row r="230" spans="1:19">
      <c r="A230" s="19" t="str">
        <f ca="1">IF($Q230="","",MAX($A$203:A229)+1)</f>
        <v/>
      </c>
      <c r="B230" s="1146"/>
      <c r="C230" s="1146"/>
      <c r="D230" s="23" t="str">
        <f ca="1">IF($Q230="","",INDEX(TongVTSX!C$3:C$1500,$Q230))</f>
        <v/>
      </c>
      <c r="E230" s="23" t="str">
        <f ca="1">IF($Q230="","",INDEX(TongVTSX!D$3:D$1500,$Q230))</f>
        <v/>
      </c>
      <c r="F230" s="24" t="str">
        <f ca="1">IF($Q230="","",INDEX(TongVTSX!E$3:E$1500,$Q230))</f>
        <v/>
      </c>
      <c r="G230" s="24" t="str">
        <f ca="1">IF($Q230="","",INDEX(TongVTSX!G$3:G$1500,$Q230))</f>
        <v/>
      </c>
      <c r="H230" s="23" t="str">
        <f ca="1">IF($Q230="","",SUMPRODUCT((TongVTSX!$C$3:$C$1500=$D230)*(TongVTSX!$E$3:$E$1500=$F230)*(TongVTSX!$G$3:$G$1500=$G230)*(TongVTSX!$H$3:$H$1500)))</f>
        <v/>
      </c>
      <c r="I230" s="92">
        <f t="shared" ca="1" si="11"/>
        <v>0</v>
      </c>
      <c r="J230" s="114">
        <f t="shared" ca="1" si="12"/>
        <v>0</v>
      </c>
      <c r="K230" s="187" t="str">
        <f t="shared" ca="1" si="13"/>
        <v/>
      </c>
      <c r="Q230" s="1032" t="str">
        <f ca="1">IF(TYPE(MATCH($S$2,OFFSET(TongVTSX!$U$3,Q229,0):'TongVTSX'!$U$1500,0)+Q229)=16,"",MATCH($S$2,OFFSET(TongVTSX!$U$3,Q229,0):'TongVTSX'!$U$1500,0)+Q229)</f>
        <v/>
      </c>
      <c r="R230" s="1036"/>
      <c r="S230" s="18"/>
    </row>
    <row r="231" spans="1:19">
      <c r="A231" s="19" t="str">
        <f ca="1">IF($Q231="","",MAX($A$203:A230)+1)</f>
        <v/>
      </c>
      <c r="B231" s="1146"/>
      <c r="C231" s="1146"/>
      <c r="D231" s="23" t="str">
        <f ca="1">IF($Q231="","",INDEX(TongVTSX!C$3:C$1500,$Q231))</f>
        <v/>
      </c>
      <c r="E231" s="23" t="str">
        <f ca="1">IF($Q231="","",INDEX(TongVTSX!D$3:D$1500,$Q231))</f>
        <v/>
      </c>
      <c r="F231" s="24" t="str">
        <f ca="1">IF($Q231="","",INDEX(TongVTSX!E$3:E$1500,$Q231))</f>
        <v/>
      </c>
      <c r="G231" s="24" t="str">
        <f ca="1">IF($Q231="","",INDEX(TongVTSX!G$3:G$1500,$Q231))</f>
        <v/>
      </c>
      <c r="H231" s="23" t="str">
        <f ca="1">IF($Q231="","",SUMPRODUCT((TongVTSX!$C$3:$C$1500=$D231)*(TongVTSX!$E$3:$E$1500=$F231)*(TongVTSX!$G$3:$G$1500=$G231)*(TongVTSX!$H$3:$H$1500)))</f>
        <v/>
      </c>
      <c r="I231" s="92">
        <f t="shared" ca="1" si="11"/>
        <v>0</v>
      </c>
      <c r="J231" s="114">
        <f t="shared" ca="1" si="12"/>
        <v>0</v>
      </c>
      <c r="K231" s="187" t="str">
        <f t="shared" ca="1" si="13"/>
        <v/>
      </c>
      <c r="Q231" s="1032" t="str">
        <f ca="1">IF(TYPE(MATCH($S$2,OFFSET(TongVTSX!$U$3,Q230,0):'TongVTSX'!$U$1500,0)+Q230)=16,"",MATCH($S$2,OFFSET(TongVTSX!$U$3,Q230,0):'TongVTSX'!$U$1500,0)+Q230)</f>
        <v/>
      </c>
      <c r="R231" s="1036"/>
      <c r="S231" s="18"/>
    </row>
    <row r="232" spans="1:19">
      <c r="A232" s="19" t="str">
        <f ca="1">IF($Q232="","",MAX($A$203:A231)+1)</f>
        <v/>
      </c>
      <c r="B232" s="1146"/>
      <c r="C232" s="1146"/>
      <c r="D232" s="23" t="str">
        <f ca="1">IF($Q232="","",INDEX(TongVTSX!C$3:C$1500,$Q232))</f>
        <v/>
      </c>
      <c r="E232" s="23" t="str">
        <f ca="1">IF($Q232="","",INDEX(TongVTSX!D$3:D$1500,$Q232))</f>
        <v/>
      </c>
      <c r="F232" s="24" t="str">
        <f ca="1">IF($Q232="","",INDEX(TongVTSX!E$3:E$1500,$Q232))</f>
        <v/>
      </c>
      <c r="G232" s="24" t="str">
        <f ca="1">IF($Q232="","",INDEX(TongVTSX!G$3:G$1500,$Q232))</f>
        <v/>
      </c>
      <c r="H232" s="23" t="str">
        <f ca="1">IF($Q232="","",SUMPRODUCT((TongVTSX!$C$3:$C$1500=$D232)*(TongVTSX!$E$3:$E$1500=$F232)*(TongVTSX!$G$3:$G$1500=$G232)*(TongVTSX!$H$3:$H$1500)))</f>
        <v/>
      </c>
      <c r="I232" s="92">
        <f t="shared" ca="1" si="11"/>
        <v>0</v>
      </c>
      <c r="J232" s="114">
        <f t="shared" ca="1" si="12"/>
        <v>0</v>
      </c>
      <c r="K232" s="187" t="str">
        <f t="shared" ca="1" si="13"/>
        <v/>
      </c>
      <c r="Q232" s="1032" t="str">
        <f ca="1">IF(TYPE(MATCH($S$2,OFFSET(TongVTSX!$U$3,Q231,0):'TongVTSX'!$U$1500,0)+Q231)=16,"",MATCH($S$2,OFFSET(TongVTSX!$U$3,Q231,0):'TongVTSX'!$U$1500,0)+Q231)</f>
        <v/>
      </c>
      <c r="R232" s="1036"/>
      <c r="S232" s="18"/>
    </row>
    <row r="233" spans="1:19">
      <c r="A233" s="19" t="str">
        <f ca="1">IF($Q233="","",MAX($A$203:A232)+1)</f>
        <v/>
      </c>
      <c r="B233" s="1146"/>
      <c r="C233" s="1146"/>
      <c r="D233" s="23" t="str">
        <f ca="1">IF($Q233="","",INDEX(TongVTSX!C$3:C$1500,$Q233))</f>
        <v/>
      </c>
      <c r="E233" s="23" t="str">
        <f ca="1">IF($Q233="","",INDEX(TongVTSX!D$3:D$1500,$Q233))</f>
        <v/>
      </c>
      <c r="F233" s="24" t="str">
        <f ca="1">IF($Q233="","",INDEX(TongVTSX!E$3:E$1500,$Q233))</f>
        <v/>
      </c>
      <c r="G233" s="24" t="str">
        <f ca="1">IF($Q233="","",INDEX(TongVTSX!G$3:G$1500,$Q233))</f>
        <v/>
      </c>
      <c r="H233" s="23" t="str">
        <f ca="1">IF($Q233="","",SUMPRODUCT((TongVTSX!$C$3:$C$1500=$D233)*(TongVTSX!$E$3:$E$1500=$F233)*(TongVTSX!$G$3:$G$1500=$G233)*(TongVTSX!$H$3:$H$1500)))</f>
        <v/>
      </c>
      <c r="I233" s="92">
        <f t="shared" ca="1" si="11"/>
        <v>0</v>
      </c>
      <c r="J233" s="114">
        <f t="shared" ca="1" si="12"/>
        <v>0</v>
      </c>
      <c r="K233" s="187" t="str">
        <f t="shared" ca="1" si="13"/>
        <v/>
      </c>
      <c r="Q233" s="1032" t="str">
        <f ca="1">IF(TYPE(MATCH($S$2,OFFSET(TongVTSX!$U$3,Q232,0):'TongVTSX'!$U$1500,0)+Q232)=16,"",MATCH($S$2,OFFSET(TongVTSX!$U$3,Q232,0):'TongVTSX'!$U$1500,0)+Q232)</f>
        <v/>
      </c>
      <c r="R233" s="1036"/>
      <c r="S233" s="18"/>
    </row>
    <row r="234" spans="1:19">
      <c r="A234" s="19" t="str">
        <f ca="1">IF($Q234="","",MAX($A$203:A233)+1)</f>
        <v/>
      </c>
      <c r="B234" s="1146"/>
      <c r="C234" s="1146"/>
      <c r="D234" s="23" t="str">
        <f ca="1">IF($Q234="","",INDEX(TongVTSX!C$3:C$1500,$Q234))</f>
        <v/>
      </c>
      <c r="E234" s="23" t="str">
        <f ca="1">IF($Q234="","",INDEX(TongVTSX!D$3:D$1500,$Q234))</f>
        <v/>
      </c>
      <c r="F234" s="24" t="str">
        <f ca="1">IF($Q234="","",INDEX(TongVTSX!E$3:E$1500,$Q234))</f>
        <v/>
      </c>
      <c r="G234" s="24" t="str">
        <f ca="1">IF($Q234="","",INDEX(TongVTSX!G$3:G$1500,$Q234))</f>
        <v/>
      </c>
      <c r="H234" s="23" t="str">
        <f ca="1">IF($Q234="","",SUMPRODUCT((TongVTSX!$C$3:$C$1500=$D234)*(TongVTSX!$E$3:$E$1500=$F234)*(TongVTSX!$G$3:$G$1500=$G234)*(TongVTSX!$H$3:$H$1500)))</f>
        <v/>
      </c>
      <c r="I234" s="92">
        <f t="shared" ca="1" si="11"/>
        <v>0</v>
      </c>
      <c r="J234" s="114">
        <f t="shared" ca="1" si="12"/>
        <v>0</v>
      </c>
      <c r="K234" s="187" t="str">
        <f t="shared" ca="1" si="13"/>
        <v/>
      </c>
      <c r="Q234" s="1032" t="str">
        <f ca="1">IF(TYPE(MATCH($S$2,OFFSET(TongVTSX!$U$3,Q233,0):'TongVTSX'!$U$1500,0)+Q233)=16,"",MATCH($S$2,OFFSET(TongVTSX!$U$3,Q233,0):'TongVTSX'!$U$1500,0)+Q233)</f>
        <v/>
      </c>
      <c r="R234" s="1036"/>
      <c r="S234" s="18"/>
    </row>
    <row r="235" spans="1:19">
      <c r="A235" s="19" t="str">
        <f ca="1">IF($Q235="","",MAX($A$203:A234)+1)</f>
        <v/>
      </c>
      <c r="B235" s="1146"/>
      <c r="C235" s="1146"/>
      <c r="D235" s="23" t="str">
        <f ca="1">IF($Q235="","",INDEX(TongVTSX!C$3:C$1500,$Q235))</f>
        <v/>
      </c>
      <c r="E235" s="23" t="str">
        <f ca="1">IF($Q235="","",INDEX(TongVTSX!D$3:D$1500,$Q235))</f>
        <v/>
      </c>
      <c r="F235" s="24" t="str">
        <f ca="1">IF($Q235="","",INDEX(TongVTSX!E$3:E$1500,$Q235))</f>
        <v/>
      </c>
      <c r="G235" s="24" t="str">
        <f ca="1">IF($Q235="","",INDEX(TongVTSX!G$3:G$1500,$Q235))</f>
        <v/>
      </c>
      <c r="H235" s="23" t="str">
        <f ca="1">IF($Q235="","",SUMPRODUCT((TongVTSX!$C$3:$C$1500=$D235)*(TongVTSX!$E$3:$E$1500=$F235)*(TongVTSX!$G$3:$G$1500=$G235)*(TongVTSX!$H$3:$H$1500)))</f>
        <v/>
      </c>
      <c r="I235" s="92">
        <f t="shared" ca="1" si="11"/>
        <v>0</v>
      </c>
      <c r="J235" s="114">
        <f t="shared" ca="1" si="12"/>
        <v>0</v>
      </c>
      <c r="K235" s="187" t="str">
        <f t="shared" ca="1" si="13"/>
        <v/>
      </c>
      <c r="Q235" s="1032" t="str">
        <f ca="1">IF(TYPE(MATCH($S$2,OFFSET(TongVTSX!$U$3,Q234,0):'TongVTSX'!$U$1500,0)+Q234)=16,"",MATCH($S$2,OFFSET(TongVTSX!$U$3,Q234,0):'TongVTSX'!$U$1500,0)+Q234)</f>
        <v/>
      </c>
      <c r="R235" s="1036"/>
      <c r="S235" s="18"/>
    </row>
    <row r="236" spans="1:19">
      <c r="A236" s="19" t="str">
        <f ca="1">IF($Q236="","",MAX($A$203:A235)+1)</f>
        <v/>
      </c>
      <c r="B236" s="1146"/>
      <c r="C236" s="1146"/>
      <c r="D236" s="23" t="str">
        <f ca="1">IF($Q236="","",INDEX(TongVTSX!C$3:C$1500,$Q236))</f>
        <v/>
      </c>
      <c r="E236" s="23" t="str">
        <f ca="1">IF($Q236="","",INDEX(TongVTSX!D$3:D$1500,$Q236))</f>
        <v/>
      </c>
      <c r="F236" s="24" t="str">
        <f ca="1">IF($Q236="","",INDEX(TongVTSX!E$3:E$1500,$Q236))</f>
        <v/>
      </c>
      <c r="G236" s="24" t="str">
        <f ca="1">IF($Q236="","",INDEX(TongVTSX!G$3:G$1500,$Q236))</f>
        <v/>
      </c>
      <c r="H236" s="23" t="str">
        <f ca="1">IF($Q236="","",SUMPRODUCT((TongVTSX!$C$3:$C$1500=$D236)*(TongVTSX!$E$3:$E$1500=$F236)*(TongVTSX!$G$3:$G$1500=$G236)*(TongVTSX!$H$3:$H$1500)))</f>
        <v/>
      </c>
      <c r="I236" s="92">
        <f t="shared" ref="I236:I267" ca="1" si="14">IFERROR($G236*$H236,0)</f>
        <v>0</v>
      </c>
      <c r="J236" s="114">
        <f t="shared" ref="J236:J267" ca="1" si="15">IFERROR(I236/INDEX($U$3:$U$200,MATCH($D236,$D$3:$D$200,0)),0)</f>
        <v>0</v>
      </c>
      <c r="K236" s="187" t="str">
        <f t="shared" ref="K236:K267" ca="1" si="16">IFERROR((ROUNDUP($J236,0)-$J236)*INDEX($U$3:$U$200,MATCH($D236,$D$3:$D$200,0)),"")</f>
        <v/>
      </c>
      <c r="Q236" s="1032" t="str">
        <f ca="1">IF(TYPE(MATCH($S$2,OFFSET(TongVTSX!$U$3,Q235,0):'TongVTSX'!$U$1500,0)+Q235)=16,"",MATCH($S$2,OFFSET(TongVTSX!$U$3,Q235,0):'TongVTSX'!$U$1500,0)+Q235)</f>
        <v/>
      </c>
      <c r="R236" s="1036"/>
      <c r="S236" s="18"/>
    </row>
    <row r="237" spans="1:19">
      <c r="A237" s="19" t="str">
        <f ca="1">IF($Q237="","",MAX($A$203:A236)+1)</f>
        <v/>
      </c>
      <c r="B237" s="1146"/>
      <c r="C237" s="1146"/>
      <c r="D237" s="23" t="str">
        <f ca="1">IF($Q237="","",INDEX(TongVTSX!C$3:C$1500,$Q237))</f>
        <v/>
      </c>
      <c r="E237" s="23" t="str">
        <f ca="1">IF($Q237="","",INDEX(TongVTSX!D$3:D$1500,$Q237))</f>
        <v/>
      </c>
      <c r="F237" s="24" t="str">
        <f ca="1">IF($Q237="","",INDEX(TongVTSX!E$3:E$1500,$Q237))</f>
        <v/>
      </c>
      <c r="G237" s="24" t="str">
        <f ca="1">IF($Q237="","",INDEX(TongVTSX!G$3:G$1500,$Q237))</f>
        <v/>
      </c>
      <c r="H237" s="23" t="str">
        <f ca="1">IF($Q237="","",SUMPRODUCT((TongVTSX!$C$3:$C$1500=$D237)*(TongVTSX!$E$3:$E$1500=$F237)*(TongVTSX!$G$3:$G$1500=$G237)*(TongVTSX!$H$3:$H$1500)))</f>
        <v/>
      </c>
      <c r="I237" s="92">
        <f t="shared" ca="1" si="14"/>
        <v>0</v>
      </c>
      <c r="J237" s="114">
        <f t="shared" ca="1" si="15"/>
        <v>0</v>
      </c>
      <c r="K237" s="187" t="str">
        <f t="shared" ca="1" si="16"/>
        <v/>
      </c>
      <c r="Q237" s="1032" t="str">
        <f ca="1">IF(TYPE(MATCH($S$2,OFFSET(TongVTSX!$U$3,Q236,0):'TongVTSX'!$U$1500,0)+Q236)=16,"",MATCH($S$2,OFFSET(TongVTSX!$U$3,Q236,0):'TongVTSX'!$U$1500,0)+Q236)</f>
        <v/>
      </c>
      <c r="R237" s="1036"/>
      <c r="S237" s="18"/>
    </row>
    <row r="238" spans="1:19">
      <c r="A238" s="19" t="str">
        <f ca="1">IF($Q238="","",MAX($A$203:A237)+1)</f>
        <v/>
      </c>
      <c r="B238" s="1146"/>
      <c r="C238" s="1146"/>
      <c r="D238" s="23" t="str">
        <f ca="1">IF($Q238="","",INDEX(TongVTSX!C$3:C$1500,$Q238))</f>
        <v/>
      </c>
      <c r="E238" s="23" t="str">
        <f ca="1">IF($Q238="","",INDEX(TongVTSX!D$3:D$1500,$Q238))</f>
        <v/>
      </c>
      <c r="F238" s="24" t="str">
        <f ca="1">IF($Q238="","",INDEX(TongVTSX!E$3:E$1500,$Q238))</f>
        <v/>
      </c>
      <c r="G238" s="24" t="str">
        <f ca="1">IF($Q238="","",INDEX(TongVTSX!G$3:G$1500,$Q238))</f>
        <v/>
      </c>
      <c r="H238" s="23" t="str">
        <f ca="1">IF($Q238="","",SUMPRODUCT((TongVTSX!$C$3:$C$1500=$D238)*(TongVTSX!$E$3:$E$1500=$F238)*(TongVTSX!$G$3:$G$1500=$G238)*(TongVTSX!$H$3:$H$1500)))</f>
        <v/>
      </c>
      <c r="I238" s="92">
        <f t="shared" ca="1" si="14"/>
        <v>0</v>
      </c>
      <c r="J238" s="114">
        <f t="shared" ca="1" si="15"/>
        <v>0</v>
      </c>
      <c r="K238" s="187" t="str">
        <f t="shared" ca="1" si="16"/>
        <v/>
      </c>
      <c r="Q238" s="1032" t="str">
        <f ca="1">IF(TYPE(MATCH($S$2,OFFSET(TongVTSX!$U$3,Q237,0):'TongVTSX'!$U$1500,0)+Q237)=16,"",MATCH($S$2,OFFSET(TongVTSX!$U$3,Q237,0):'TongVTSX'!$U$1500,0)+Q237)</f>
        <v/>
      </c>
      <c r="R238" s="1036"/>
      <c r="S238" s="18"/>
    </row>
    <row r="239" spans="1:19">
      <c r="A239" s="19" t="str">
        <f ca="1">IF($Q239="","",MAX($A$203:A238)+1)</f>
        <v/>
      </c>
      <c r="B239" s="1146"/>
      <c r="C239" s="1146"/>
      <c r="D239" s="23" t="str">
        <f ca="1">IF($Q239="","",INDEX(TongVTSX!C$3:C$1500,$Q239))</f>
        <v/>
      </c>
      <c r="E239" s="23" t="str">
        <f ca="1">IF($Q239="","",INDEX(TongVTSX!D$3:D$1500,$Q239))</f>
        <v/>
      </c>
      <c r="F239" s="24" t="str">
        <f ca="1">IF($Q239="","",INDEX(TongVTSX!E$3:E$1500,$Q239))</f>
        <v/>
      </c>
      <c r="G239" s="24" t="str">
        <f ca="1">IF($Q239="","",INDEX(TongVTSX!G$3:G$1500,$Q239))</f>
        <v/>
      </c>
      <c r="H239" s="23" t="str">
        <f ca="1">IF($Q239="","",SUMPRODUCT((TongVTSX!$C$3:$C$1500=$D239)*(TongVTSX!$E$3:$E$1500=$F239)*(TongVTSX!$G$3:$G$1500=$G239)*(TongVTSX!$H$3:$H$1500)))</f>
        <v/>
      </c>
      <c r="I239" s="92">
        <f t="shared" ca="1" si="14"/>
        <v>0</v>
      </c>
      <c r="J239" s="114">
        <f t="shared" ca="1" si="15"/>
        <v>0</v>
      </c>
      <c r="K239" s="187" t="str">
        <f t="shared" ca="1" si="16"/>
        <v/>
      </c>
      <c r="Q239" s="1032" t="str">
        <f ca="1">IF(TYPE(MATCH($S$2,OFFSET(TongVTSX!$U$3,Q238,0):'TongVTSX'!$U$1500,0)+Q238)=16,"",MATCH($S$2,OFFSET(TongVTSX!$U$3,Q238,0):'TongVTSX'!$U$1500,0)+Q238)</f>
        <v/>
      </c>
      <c r="R239" s="1036"/>
      <c r="S239" s="18"/>
    </row>
    <row r="240" spans="1:19">
      <c r="A240" s="19" t="str">
        <f ca="1">IF($Q240="","",MAX($A$203:A239)+1)</f>
        <v/>
      </c>
      <c r="B240" s="1146"/>
      <c r="C240" s="1146"/>
      <c r="D240" s="23" t="str">
        <f ca="1">IF($Q240="","",INDEX(TongVTSX!C$3:C$1500,$Q240))</f>
        <v/>
      </c>
      <c r="E240" s="23" t="str">
        <f ca="1">IF($Q240="","",INDEX(TongVTSX!D$3:D$1500,$Q240))</f>
        <v/>
      </c>
      <c r="F240" s="24" t="str">
        <f ca="1">IF($Q240="","",INDEX(TongVTSX!E$3:E$1500,$Q240))</f>
        <v/>
      </c>
      <c r="G240" s="24" t="str">
        <f ca="1">IF($Q240="","",INDEX(TongVTSX!G$3:G$1500,$Q240))</f>
        <v/>
      </c>
      <c r="H240" s="23" t="str">
        <f ca="1">IF($Q240="","",SUMPRODUCT((TongVTSX!$C$3:$C$1500=$D240)*(TongVTSX!$E$3:$E$1500=$F240)*(TongVTSX!$G$3:$G$1500=$G240)*(TongVTSX!$H$3:$H$1500)))</f>
        <v/>
      </c>
      <c r="I240" s="92">
        <f t="shared" ca="1" si="14"/>
        <v>0</v>
      </c>
      <c r="J240" s="114">
        <f t="shared" ca="1" si="15"/>
        <v>0</v>
      </c>
      <c r="K240" s="187" t="str">
        <f t="shared" ca="1" si="16"/>
        <v/>
      </c>
      <c r="Q240" s="1032" t="str">
        <f ca="1">IF(TYPE(MATCH($S$2,OFFSET(TongVTSX!$U$3,Q239,0):'TongVTSX'!$U$1500,0)+Q239)=16,"",MATCH($S$2,OFFSET(TongVTSX!$U$3,Q239,0):'TongVTSX'!$U$1500,0)+Q239)</f>
        <v/>
      </c>
      <c r="R240" s="1036"/>
      <c r="S240" s="18"/>
    </row>
    <row r="241" spans="1:19">
      <c r="A241" s="19" t="str">
        <f ca="1">IF($Q241="","",MAX($A$203:A240)+1)</f>
        <v/>
      </c>
      <c r="B241" s="1146"/>
      <c r="C241" s="1146"/>
      <c r="D241" s="23" t="str">
        <f ca="1">IF($Q241="","",INDEX(TongVTSX!C$3:C$1500,$Q241))</f>
        <v/>
      </c>
      <c r="E241" s="23" t="str">
        <f ca="1">IF($Q241="","",INDEX(TongVTSX!D$3:D$1500,$Q241))</f>
        <v/>
      </c>
      <c r="F241" s="24" t="str">
        <f ca="1">IF($Q241="","",INDEX(TongVTSX!E$3:E$1500,$Q241))</f>
        <v/>
      </c>
      <c r="G241" s="24" t="str">
        <f ca="1">IF($Q241="","",INDEX(TongVTSX!G$3:G$1500,$Q241))</f>
        <v/>
      </c>
      <c r="H241" s="23" t="str">
        <f ca="1">IF($Q241="","",SUMPRODUCT((TongVTSX!$C$3:$C$1500=$D241)*(TongVTSX!$E$3:$E$1500=$F241)*(TongVTSX!$G$3:$G$1500=$G241)*(TongVTSX!$H$3:$H$1500)))</f>
        <v/>
      </c>
      <c r="I241" s="92">
        <f t="shared" ca="1" si="14"/>
        <v>0</v>
      </c>
      <c r="J241" s="114">
        <f t="shared" ca="1" si="15"/>
        <v>0</v>
      </c>
      <c r="K241" s="187" t="str">
        <f t="shared" ca="1" si="16"/>
        <v/>
      </c>
      <c r="Q241" s="1032" t="str">
        <f ca="1">IF(TYPE(MATCH($S$2,OFFSET(TongVTSX!$U$3,Q240,0):'TongVTSX'!$U$1500,0)+Q240)=16,"",MATCH($S$2,OFFSET(TongVTSX!$U$3,Q240,0):'TongVTSX'!$U$1500,0)+Q240)</f>
        <v/>
      </c>
      <c r="R241" s="1036"/>
      <c r="S241" s="18"/>
    </row>
    <row r="242" spans="1:19">
      <c r="A242" s="19" t="str">
        <f ca="1">IF($Q242="","",MAX($A$203:A241)+1)</f>
        <v/>
      </c>
      <c r="B242" s="1146"/>
      <c r="C242" s="1146"/>
      <c r="D242" s="23" t="str">
        <f ca="1">IF($Q242="","",INDEX(TongVTSX!C$3:C$1500,$Q242))</f>
        <v/>
      </c>
      <c r="E242" s="23" t="str">
        <f ca="1">IF($Q242="","",INDEX(TongVTSX!D$3:D$1500,$Q242))</f>
        <v/>
      </c>
      <c r="F242" s="24" t="str">
        <f ca="1">IF($Q242="","",INDEX(TongVTSX!E$3:E$1500,$Q242))</f>
        <v/>
      </c>
      <c r="G242" s="24" t="str">
        <f ca="1">IF($Q242="","",INDEX(TongVTSX!G$3:G$1500,$Q242))</f>
        <v/>
      </c>
      <c r="H242" s="23" t="str">
        <f ca="1">IF($Q242="","",SUMPRODUCT((TongVTSX!$C$3:$C$1500=$D242)*(TongVTSX!$E$3:$E$1500=$F242)*(TongVTSX!$G$3:$G$1500=$G242)*(TongVTSX!$H$3:$H$1500)))</f>
        <v/>
      </c>
      <c r="I242" s="92">
        <f t="shared" ca="1" si="14"/>
        <v>0</v>
      </c>
      <c r="J242" s="114">
        <f t="shared" ca="1" si="15"/>
        <v>0</v>
      </c>
      <c r="K242" s="187" t="str">
        <f t="shared" ca="1" si="16"/>
        <v/>
      </c>
      <c r="Q242" s="1032" t="str">
        <f ca="1">IF(TYPE(MATCH($S$2,OFFSET(TongVTSX!$U$3,Q241,0):'TongVTSX'!$U$1500,0)+Q241)=16,"",MATCH($S$2,OFFSET(TongVTSX!$U$3,Q241,0):'TongVTSX'!$U$1500,0)+Q241)</f>
        <v/>
      </c>
      <c r="R242" s="1036"/>
      <c r="S242" s="18"/>
    </row>
    <row r="243" spans="1:19">
      <c r="A243" s="19" t="str">
        <f ca="1">IF($Q243="","",MAX($A$203:A242)+1)</f>
        <v/>
      </c>
      <c r="B243" s="1146"/>
      <c r="C243" s="1146"/>
      <c r="D243" s="23" t="str">
        <f ca="1">IF($Q243="","",INDEX(TongVTSX!C$3:C$1500,$Q243))</f>
        <v/>
      </c>
      <c r="E243" s="23" t="str">
        <f ca="1">IF($Q243="","",INDEX(TongVTSX!D$3:D$1500,$Q243))</f>
        <v/>
      </c>
      <c r="F243" s="24" t="str">
        <f ca="1">IF($Q243="","",INDEX(TongVTSX!E$3:E$1500,$Q243))</f>
        <v/>
      </c>
      <c r="G243" s="24" t="str">
        <f ca="1">IF($Q243="","",INDEX(TongVTSX!G$3:G$1500,$Q243))</f>
        <v/>
      </c>
      <c r="H243" s="23" t="str">
        <f ca="1">IF($Q243="","",SUMPRODUCT((TongVTSX!$C$3:$C$1500=$D243)*(TongVTSX!$E$3:$E$1500=$F243)*(TongVTSX!$G$3:$G$1500=$G243)*(TongVTSX!$H$3:$H$1500)))</f>
        <v/>
      </c>
      <c r="I243" s="92">
        <f t="shared" ca="1" si="14"/>
        <v>0</v>
      </c>
      <c r="J243" s="114">
        <f t="shared" ca="1" si="15"/>
        <v>0</v>
      </c>
      <c r="K243" s="187" t="str">
        <f t="shared" ca="1" si="16"/>
        <v/>
      </c>
      <c r="Q243" s="1032" t="str">
        <f ca="1">IF(TYPE(MATCH($S$2,OFFSET(TongVTSX!$U$3,Q242,0):'TongVTSX'!$U$1500,0)+Q242)=16,"",MATCH($S$2,OFFSET(TongVTSX!$U$3,Q242,0):'TongVTSX'!$U$1500,0)+Q242)</f>
        <v/>
      </c>
      <c r="R243" s="1036"/>
      <c r="S243" s="18"/>
    </row>
    <row r="244" spans="1:19">
      <c r="A244" s="19" t="str">
        <f ca="1">IF($Q244="","",MAX($A$203:A243)+1)</f>
        <v/>
      </c>
      <c r="B244" s="1146"/>
      <c r="C244" s="1146"/>
      <c r="D244" s="23" t="str">
        <f ca="1">IF($Q244="","",INDEX(TongVTSX!C$3:C$1500,$Q244))</f>
        <v/>
      </c>
      <c r="E244" s="23" t="str">
        <f ca="1">IF($Q244="","",INDEX(TongVTSX!D$3:D$1500,$Q244))</f>
        <v/>
      </c>
      <c r="F244" s="24" t="str">
        <f ca="1">IF($Q244="","",INDEX(TongVTSX!E$3:E$1500,$Q244))</f>
        <v/>
      </c>
      <c r="G244" s="24" t="str">
        <f ca="1">IF($Q244="","",INDEX(TongVTSX!G$3:G$1500,$Q244))</f>
        <v/>
      </c>
      <c r="H244" s="23" t="str">
        <f ca="1">IF($Q244="","",SUMPRODUCT((TongVTSX!$C$3:$C$1500=$D244)*(TongVTSX!$E$3:$E$1500=$F244)*(TongVTSX!$G$3:$G$1500=$G244)*(TongVTSX!$H$3:$H$1500)))</f>
        <v/>
      </c>
      <c r="I244" s="92">
        <f t="shared" ca="1" si="14"/>
        <v>0</v>
      </c>
      <c r="J244" s="114">
        <f t="shared" ca="1" si="15"/>
        <v>0</v>
      </c>
      <c r="K244" s="187" t="str">
        <f t="shared" ca="1" si="16"/>
        <v/>
      </c>
      <c r="Q244" s="1032" t="str">
        <f ca="1">IF(TYPE(MATCH($S$2,OFFSET(TongVTSX!$U$3,Q243,0):'TongVTSX'!$U$1500,0)+Q243)=16,"",MATCH($S$2,OFFSET(TongVTSX!$U$3,Q243,0):'TongVTSX'!$U$1500,0)+Q243)</f>
        <v/>
      </c>
      <c r="R244" s="1036"/>
      <c r="S244" s="18"/>
    </row>
    <row r="245" spans="1:19">
      <c r="A245" s="19" t="str">
        <f ca="1">IF($Q245="","",MAX($A$203:A244)+1)</f>
        <v/>
      </c>
      <c r="B245" s="1146"/>
      <c r="C245" s="1146"/>
      <c r="D245" s="23" t="str">
        <f ca="1">IF($Q245="","",INDEX(TongVTSX!C$3:C$1500,$Q245))</f>
        <v/>
      </c>
      <c r="E245" s="23" t="str">
        <f ca="1">IF($Q245="","",INDEX(TongVTSX!D$3:D$1500,$Q245))</f>
        <v/>
      </c>
      <c r="F245" s="24" t="str">
        <f ca="1">IF($Q245="","",INDEX(TongVTSX!E$3:E$1500,$Q245))</f>
        <v/>
      </c>
      <c r="G245" s="24" t="str">
        <f ca="1">IF($Q245="","",INDEX(TongVTSX!G$3:G$1500,$Q245))</f>
        <v/>
      </c>
      <c r="H245" s="23" t="str">
        <f ca="1">IF($Q245="","",SUMPRODUCT((TongVTSX!$C$3:$C$1500=$D245)*(TongVTSX!$E$3:$E$1500=$F245)*(TongVTSX!$G$3:$G$1500=$G245)*(TongVTSX!$H$3:$H$1500)))</f>
        <v/>
      </c>
      <c r="I245" s="92">
        <f t="shared" ca="1" si="14"/>
        <v>0</v>
      </c>
      <c r="J245" s="114">
        <f t="shared" ca="1" si="15"/>
        <v>0</v>
      </c>
      <c r="K245" s="187" t="str">
        <f t="shared" ca="1" si="16"/>
        <v/>
      </c>
      <c r="Q245" s="1032" t="str">
        <f ca="1">IF(TYPE(MATCH($S$2,OFFSET(TongVTSX!$U$3,Q244,0):'TongVTSX'!$U$1500,0)+Q244)=16,"",MATCH($S$2,OFFSET(TongVTSX!$U$3,Q244,0):'TongVTSX'!$U$1500,0)+Q244)</f>
        <v/>
      </c>
      <c r="R245" s="1036"/>
      <c r="S245" s="18"/>
    </row>
    <row r="246" spans="1:19">
      <c r="A246" s="19" t="str">
        <f ca="1">IF($Q246="","",MAX($A$203:A245)+1)</f>
        <v/>
      </c>
      <c r="B246" s="1146"/>
      <c r="C246" s="1146"/>
      <c r="D246" s="23" t="str">
        <f ca="1">IF($Q246="","",INDEX(TongVTSX!C$3:C$1500,$Q246))</f>
        <v/>
      </c>
      <c r="E246" s="23" t="str">
        <f ca="1">IF($Q246="","",INDEX(TongVTSX!D$3:D$1500,$Q246))</f>
        <v/>
      </c>
      <c r="F246" s="24" t="str">
        <f ca="1">IF($Q246="","",INDEX(TongVTSX!E$3:E$1500,$Q246))</f>
        <v/>
      </c>
      <c r="G246" s="24" t="str">
        <f ca="1">IF($Q246="","",INDEX(TongVTSX!G$3:G$1500,$Q246))</f>
        <v/>
      </c>
      <c r="H246" s="23" t="str">
        <f ca="1">IF($Q246="","",SUMPRODUCT((TongVTSX!$C$3:$C$1500=$D246)*(TongVTSX!$E$3:$E$1500=$F246)*(TongVTSX!$G$3:$G$1500=$G246)*(TongVTSX!$H$3:$H$1500)))</f>
        <v/>
      </c>
      <c r="I246" s="92">
        <f t="shared" ca="1" si="14"/>
        <v>0</v>
      </c>
      <c r="J246" s="114">
        <f t="shared" ca="1" si="15"/>
        <v>0</v>
      </c>
      <c r="K246" s="187" t="str">
        <f t="shared" ca="1" si="16"/>
        <v/>
      </c>
      <c r="Q246" s="1032" t="str">
        <f ca="1">IF(TYPE(MATCH($S$2,OFFSET(TongVTSX!$U$3,Q245,0):'TongVTSX'!$U$1500,0)+Q245)=16,"",MATCH($S$2,OFFSET(TongVTSX!$U$3,Q245,0):'TongVTSX'!$U$1500,0)+Q245)</f>
        <v/>
      </c>
      <c r="R246" s="1036"/>
      <c r="S246" s="18"/>
    </row>
    <row r="247" spans="1:19">
      <c r="A247" s="19" t="str">
        <f ca="1">IF($Q247="","",MAX($A$203:A246)+1)</f>
        <v/>
      </c>
      <c r="B247" s="1146"/>
      <c r="C247" s="1146"/>
      <c r="D247" s="23" t="str">
        <f ca="1">IF($Q247="","",INDEX(TongVTSX!C$3:C$1500,$Q247))</f>
        <v/>
      </c>
      <c r="E247" s="23" t="str">
        <f ca="1">IF($Q247="","",INDEX(TongVTSX!D$3:D$1500,$Q247))</f>
        <v/>
      </c>
      <c r="F247" s="24" t="str">
        <f ca="1">IF($Q247="","",INDEX(TongVTSX!E$3:E$1500,$Q247))</f>
        <v/>
      </c>
      <c r="G247" s="24" t="str">
        <f ca="1">IF($Q247="","",INDEX(TongVTSX!G$3:G$1500,$Q247))</f>
        <v/>
      </c>
      <c r="H247" s="23" t="str">
        <f ca="1">IF($Q247="","",SUMPRODUCT((TongVTSX!$C$3:$C$1500=$D247)*(TongVTSX!$E$3:$E$1500=$F247)*(TongVTSX!$G$3:$G$1500=$G247)*(TongVTSX!$H$3:$H$1500)))</f>
        <v/>
      </c>
      <c r="I247" s="92">
        <f t="shared" ca="1" si="14"/>
        <v>0</v>
      </c>
      <c r="J247" s="114">
        <f t="shared" ca="1" si="15"/>
        <v>0</v>
      </c>
      <c r="K247" s="187" t="str">
        <f t="shared" ca="1" si="16"/>
        <v/>
      </c>
      <c r="Q247" s="1032" t="str">
        <f ca="1">IF(TYPE(MATCH($S$2,OFFSET(TongVTSX!$U$3,Q246,0):'TongVTSX'!$U$1500,0)+Q246)=16,"",MATCH($S$2,OFFSET(TongVTSX!$U$3,Q246,0):'TongVTSX'!$U$1500,0)+Q246)</f>
        <v/>
      </c>
      <c r="R247" s="1036"/>
      <c r="S247" s="18"/>
    </row>
    <row r="248" spans="1:19">
      <c r="A248" s="19" t="str">
        <f ca="1">IF($Q248="","",MAX($A$203:A247)+1)</f>
        <v/>
      </c>
      <c r="B248" s="1146"/>
      <c r="C248" s="1146"/>
      <c r="D248" s="23" t="str">
        <f ca="1">IF($Q248="","",INDEX(TongVTSX!C$3:C$1500,$Q248))</f>
        <v/>
      </c>
      <c r="E248" s="23" t="str">
        <f ca="1">IF($Q248="","",INDEX(TongVTSX!D$3:D$1500,$Q248))</f>
        <v/>
      </c>
      <c r="F248" s="24" t="str">
        <f ca="1">IF($Q248="","",INDEX(TongVTSX!E$3:E$1500,$Q248))</f>
        <v/>
      </c>
      <c r="G248" s="24" t="str">
        <f ca="1">IF($Q248="","",INDEX(TongVTSX!G$3:G$1500,$Q248))</f>
        <v/>
      </c>
      <c r="H248" s="23" t="str">
        <f ca="1">IF($Q248="","",SUMPRODUCT((TongVTSX!$C$3:$C$1500=$D248)*(TongVTSX!$E$3:$E$1500=$F248)*(TongVTSX!$G$3:$G$1500=$G248)*(TongVTSX!$H$3:$H$1500)))</f>
        <v/>
      </c>
      <c r="I248" s="92">
        <f t="shared" ca="1" si="14"/>
        <v>0</v>
      </c>
      <c r="J248" s="114">
        <f t="shared" ca="1" si="15"/>
        <v>0</v>
      </c>
      <c r="K248" s="187" t="str">
        <f t="shared" ca="1" si="16"/>
        <v/>
      </c>
      <c r="Q248" s="1032" t="str">
        <f ca="1">IF(TYPE(MATCH($S$2,OFFSET(TongVTSX!$U$3,Q247,0):'TongVTSX'!$U$1500,0)+Q247)=16,"",MATCH($S$2,OFFSET(TongVTSX!$U$3,Q247,0):'TongVTSX'!$U$1500,0)+Q247)</f>
        <v/>
      </c>
      <c r="R248" s="1036"/>
      <c r="S248" s="18"/>
    </row>
    <row r="249" spans="1:19">
      <c r="A249" s="19" t="str">
        <f ca="1">IF($Q249="","",MAX($A$203:A248)+1)</f>
        <v/>
      </c>
      <c r="B249" s="1146"/>
      <c r="C249" s="1146"/>
      <c r="D249" s="23" t="str">
        <f ca="1">IF($Q249="","",INDEX(TongVTSX!C$3:C$1500,$Q249))</f>
        <v/>
      </c>
      <c r="E249" s="23" t="str">
        <f ca="1">IF($Q249="","",INDEX(TongVTSX!D$3:D$1500,$Q249))</f>
        <v/>
      </c>
      <c r="F249" s="24" t="str">
        <f ca="1">IF($Q249="","",INDEX(TongVTSX!E$3:E$1500,$Q249))</f>
        <v/>
      </c>
      <c r="G249" s="24" t="str">
        <f ca="1">IF($Q249="","",INDEX(TongVTSX!G$3:G$1500,$Q249))</f>
        <v/>
      </c>
      <c r="H249" s="23" t="str">
        <f ca="1">IF($Q249="","",SUMPRODUCT((TongVTSX!$C$3:$C$1500=$D249)*(TongVTSX!$E$3:$E$1500=$F249)*(TongVTSX!$G$3:$G$1500=$G249)*(TongVTSX!$H$3:$H$1500)))</f>
        <v/>
      </c>
      <c r="I249" s="92">
        <f t="shared" ca="1" si="14"/>
        <v>0</v>
      </c>
      <c r="J249" s="114">
        <f t="shared" ca="1" si="15"/>
        <v>0</v>
      </c>
      <c r="K249" s="187" t="str">
        <f t="shared" ca="1" si="16"/>
        <v/>
      </c>
      <c r="Q249" s="1032" t="str">
        <f ca="1">IF(TYPE(MATCH($S$2,OFFSET(TongVTSX!$U$3,Q248,0):'TongVTSX'!$U$1500,0)+Q248)=16,"",MATCH($S$2,OFFSET(TongVTSX!$U$3,Q248,0):'TongVTSX'!$U$1500,0)+Q248)</f>
        <v/>
      </c>
      <c r="R249" s="1036"/>
      <c r="S249" s="18"/>
    </row>
    <row r="250" spans="1:19">
      <c r="A250" s="19" t="str">
        <f ca="1">IF($Q250="","",MAX($A$203:A249)+1)</f>
        <v/>
      </c>
      <c r="B250" s="1146"/>
      <c r="C250" s="1146"/>
      <c r="D250" s="23" t="str">
        <f ca="1">IF($Q250="","",INDEX(TongVTSX!C$3:C$1500,$Q250))</f>
        <v/>
      </c>
      <c r="E250" s="23" t="str">
        <f ca="1">IF($Q250="","",INDEX(TongVTSX!D$3:D$1500,$Q250))</f>
        <v/>
      </c>
      <c r="F250" s="24" t="str">
        <f ca="1">IF($Q250="","",INDEX(TongVTSX!E$3:E$1500,$Q250))</f>
        <v/>
      </c>
      <c r="G250" s="24" t="str">
        <f ca="1">IF($Q250="","",INDEX(TongVTSX!G$3:G$1500,$Q250))</f>
        <v/>
      </c>
      <c r="H250" s="23" t="str">
        <f ca="1">IF($Q250="","",SUMPRODUCT((TongVTSX!$C$3:$C$1500=$D250)*(TongVTSX!$E$3:$E$1500=$F250)*(TongVTSX!$G$3:$G$1500=$G250)*(TongVTSX!$H$3:$H$1500)))</f>
        <v/>
      </c>
      <c r="I250" s="92">
        <f t="shared" ca="1" si="14"/>
        <v>0</v>
      </c>
      <c r="J250" s="114">
        <f t="shared" ca="1" si="15"/>
        <v>0</v>
      </c>
      <c r="K250" s="187" t="str">
        <f t="shared" ca="1" si="16"/>
        <v/>
      </c>
      <c r="Q250" s="1032" t="str">
        <f ca="1">IF(TYPE(MATCH($S$2,OFFSET(TongVTSX!$U$3,Q249,0):'TongVTSX'!$U$1500,0)+Q249)=16,"",MATCH($S$2,OFFSET(TongVTSX!$U$3,Q249,0):'TongVTSX'!$U$1500,0)+Q249)</f>
        <v/>
      </c>
      <c r="R250" s="1036"/>
      <c r="S250" s="18"/>
    </row>
    <row r="251" spans="1:19">
      <c r="A251" s="19" t="str">
        <f ca="1">IF($Q251="","",MAX($A$203:A250)+1)</f>
        <v/>
      </c>
      <c r="B251" s="1146"/>
      <c r="C251" s="1146"/>
      <c r="D251" s="23" t="str">
        <f ca="1">IF($Q251="","",INDEX(TongVTSX!C$3:C$1500,$Q251))</f>
        <v/>
      </c>
      <c r="E251" s="23" t="str">
        <f ca="1">IF($Q251="","",INDEX(TongVTSX!D$3:D$1500,$Q251))</f>
        <v/>
      </c>
      <c r="F251" s="24" t="str">
        <f ca="1">IF($Q251="","",INDEX(TongVTSX!E$3:E$1500,$Q251))</f>
        <v/>
      </c>
      <c r="G251" s="24" t="str">
        <f ca="1">IF($Q251="","",INDEX(TongVTSX!G$3:G$1500,$Q251))</f>
        <v/>
      </c>
      <c r="H251" s="23" t="str">
        <f ca="1">IF($Q251="","",SUMPRODUCT((TongVTSX!$C$3:$C$1500=$D251)*(TongVTSX!$E$3:$E$1500=$F251)*(TongVTSX!$G$3:$G$1500=$G251)*(TongVTSX!$H$3:$H$1500)))</f>
        <v/>
      </c>
      <c r="I251" s="92">
        <f t="shared" ca="1" si="14"/>
        <v>0</v>
      </c>
      <c r="J251" s="114">
        <f t="shared" ca="1" si="15"/>
        <v>0</v>
      </c>
      <c r="K251" s="187" t="str">
        <f t="shared" ca="1" si="16"/>
        <v/>
      </c>
      <c r="Q251" s="1032" t="str">
        <f ca="1">IF(TYPE(MATCH($S$2,OFFSET(TongVTSX!$U$3,Q250,0):'TongVTSX'!$U$1500,0)+Q250)=16,"",MATCH($S$2,OFFSET(TongVTSX!$U$3,Q250,0):'TongVTSX'!$U$1500,0)+Q250)</f>
        <v/>
      </c>
      <c r="R251" s="1036"/>
      <c r="S251" s="18"/>
    </row>
    <row r="252" spans="1:19">
      <c r="A252" s="19" t="str">
        <f ca="1">IF($Q252="","",MAX($A$203:A251)+1)</f>
        <v/>
      </c>
      <c r="B252" s="1146"/>
      <c r="C252" s="1146"/>
      <c r="D252" s="23" t="str">
        <f ca="1">IF($Q252="","",INDEX(TongVTSX!C$3:C$1500,$Q252))</f>
        <v/>
      </c>
      <c r="E252" s="23" t="str">
        <f ca="1">IF($Q252="","",INDEX(TongVTSX!D$3:D$1500,$Q252))</f>
        <v/>
      </c>
      <c r="F252" s="24" t="str">
        <f ca="1">IF($Q252="","",INDEX(TongVTSX!E$3:E$1500,$Q252))</f>
        <v/>
      </c>
      <c r="G252" s="24" t="str">
        <f ca="1">IF($Q252="","",INDEX(TongVTSX!G$3:G$1500,$Q252))</f>
        <v/>
      </c>
      <c r="H252" s="23" t="str">
        <f ca="1">IF($Q252="","",SUMPRODUCT((TongVTSX!$C$3:$C$1500=$D252)*(TongVTSX!$E$3:$E$1500=$F252)*(TongVTSX!$G$3:$G$1500=$G252)*(TongVTSX!$H$3:$H$1500)))</f>
        <v/>
      </c>
      <c r="I252" s="92">
        <f t="shared" ca="1" si="14"/>
        <v>0</v>
      </c>
      <c r="J252" s="114">
        <f t="shared" ca="1" si="15"/>
        <v>0</v>
      </c>
      <c r="K252" s="187" t="str">
        <f t="shared" ca="1" si="16"/>
        <v/>
      </c>
      <c r="Q252" s="1032" t="str">
        <f ca="1">IF(TYPE(MATCH($S$2,OFFSET(TongVTSX!$U$3,Q251,0):'TongVTSX'!$U$1500,0)+Q251)=16,"",MATCH($S$2,OFFSET(TongVTSX!$U$3,Q251,0):'TongVTSX'!$U$1500,0)+Q251)</f>
        <v/>
      </c>
      <c r="R252" s="1036"/>
      <c r="S252" s="18"/>
    </row>
    <row r="253" spans="1:19">
      <c r="A253" s="19" t="str">
        <f ca="1">IF($Q253="","",MAX($A$203:A252)+1)</f>
        <v/>
      </c>
      <c r="B253" s="1146"/>
      <c r="C253" s="1146"/>
      <c r="D253" s="23" t="str">
        <f ca="1">IF($Q253="","",INDEX(TongVTSX!C$3:C$1500,$Q253))</f>
        <v/>
      </c>
      <c r="E253" s="23" t="str">
        <f ca="1">IF($Q253="","",INDEX(TongVTSX!D$3:D$1500,$Q253))</f>
        <v/>
      </c>
      <c r="F253" s="24" t="str">
        <f ca="1">IF($Q253="","",INDEX(TongVTSX!E$3:E$1500,$Q253))</f>
        <v/>
      </c>
      <c r="G253" s="24" t="str">
        <f ca="1">IF($Q253="","",INDEX(TongVTSX!G$3:G$1500,$Q253))</f>
        <v/>
      </c>
      <c r="H253" s="23" t="str">
        <f ca="1">IF($Q253="","",SUMPRODUCT((TongVTSX!$C$3:$C$1500=$D253)*(TongVTSX!$E$3:$E$1500=$F253)*(TongVTSX!$G$3:$G$1500=$G253)*(TongVTSX!$H$3:$H$1500)))</f>
        <v/>
      </c>
      <c r="I253" s="92">
        <f t="shared" ca="1" si="14"/>
        <v>0</v>
      </c>
      <c r="J253" s="114">
        <f t="shared" ca="1" si="15"/>
        <v>0</v>
      </c>
      <c r="K253" s="187" t="str">
        <f t="shared" ca="1" si="16"/>
        <v/>
      </c>
      <c r="Q253" s="1032" t="str">
        <f ca="1">IF(TYPE(MATCH($S$2,OFFSET(TongVTSX!$U$3,Q252,0):'TongVTSX'!$U$1500,0)+Q252)=16,"",MATCH($S$2,OFFSET(TongVTSX!$U$3,Q252,0):'TongVTSX'!$U$1500,0)+Q252)</f>
        <v/>
      </c>
      <c r="R253" s="1036"/>
      <c r="S253" s="18"/>
    </row>
    <row r="254" spans="1:19">
      <c r="A254" s="19" t="str">
        <f ca="1">IF($Q254="","",MAX($A$203:A253)+1)</f>
        <v/>
      </c>
      <c r="B254" s="1146"/>
      <c r="C254" s="1146"/>
      <c r="D254" s="23" t="str">
        <f ca="1">IF($Q254="","",INDEX(TongVTSX!C$3:C$1500,$Q254))</f>
        <v/>
      </c>
      <c r="E254" s="23" t="str">
        <f ca="1">IF($Q254="","",INDEX(TongVTSX!D$3:D$1500,$Q254))</f>
        <v/>
      </c>
      <c r="F254" s="24" t="str">
        <f ca="1">IF($Q254="","",INDEX(TongVTSX!E$3:E$1500,$Q254))</f>
        <v/>
      </c>
      <c r="G254" s="24" t="str">
        <f ca="1">IF($Q254="","",INDEX(TongVTSX!G$3:G$1500,$Q254))</f>
        <v/>
      </c>
      <c r="H254" s="23" t="str">
        <f ca="1">IF($Q254="","",SUMPRODUCT((TongVTSX!$C$3:$C$1500=$D254)*(TongVTSX!$E$3:$E$1500=$F254)*(TongVTSX!$G$3:$G$1500=$G254)*(TongVTSX!$H$3:$H$1500)))</f>
        <v/>
      </c>
      <c r="I254" s="92">
        <f t="shared" ca="1" si="14"/>
        <v>0</v>
      </c>
      <c r="J254" s="114">
        <f t="shared" ca="1" si="15"/>
        <v>0</v>
      </c>
      <c r="K254" s="187" t="str">
        <f t="shared" ca="1" si="16"/>
        <v/>
      </c>
      <c r="Q254" s="1032" t="str">
        <f ca="1">IF(TYPE(MATCH($S$2,OFFSET(TongVTSX!$U$3,Q253,0):'TongVTSX'!$U$1500,0)+Q253)=16,"",MATCH($S$2,OFFSET(TongVTSX!$U$3,Q253,0):'TongVTSX'!$U$1500,0)+Q253)</f>
        <v/>
      </c>
      <c r="R254" s="1036"/>
      <c r="S254" s="18"/>
    </row>
    <row r="255" spans="1:19">
      <c r="A255" s="19" t="str">
        <f ca="1">IF($Q255="","",MAX($A$203:A254)+1)</f>
        <v/>
      </c>
      <c r="B255" s="1146"/>
      <c r="C255" s="1146"/>
      <c r="D255" s="23" t="str">
        <f ca="1">IF($Q255="","",INDEX(TongVTSX!C$3:C$1500,$Q255))</f>
        <v/>
      </c>
      <c r="E255" s="23" t="str">
        <f ca="1">IF($Q255="","",INDEX(TongVTSX!D$3:D$1500,$Q255))</f>
        <v/>
      </c>
      <c r="F255" s="24" t="str">
        <f ca="1">IF($Q255="","",INDEX(TongVTSX!E$3:E$1500,$Q255))</f>
        <v/>
      </c>
      <c r="G255" s="24" t="str">
        <f ca="1">IF($Q255="","",INDEX(TongVTSX!G$3:G$1500,$Q255))</f>
        <v/>
      </c>
      <c r="H255" s="23" t="str">
        <f ca="1">IF($Q255="","",SUMPRODUCT((TongVTSX!$C$3:$C$1500=$D255)*(TongVTSX!$E$3:$E$1500=$F255)*(TongVTSX!$G$3:$G$1500=$G255)*(TongVTSX!$H$3:$H$1500)))</f>
        <v/>
      </c>
      <c r="I255" s="92">
        <f t="shared" ca="1" si="14"/>
        <v>0</v>
      </c>
      <c r="J255" s="114">
        <f t="shared" ca="1" si="15"/>
        <v>0</v>
      </c>
      <c r="K255" s="187" t="str">
        <f t="shared" ca="1" si="16"/>
        <v/>
      </c>
      <c r="Q255" s="1032" t="str">
        <f ca="1">IF(TYPE(MATCH($S$2,OFFSET(TongVTSX!$U$3,Q254,0):'TongVTSX'!$U$1500,0)+Q254)=16,"",MATCH($S$2,OFFSET(TongVTSX!$U$3,Q254,0):'TongVTSX'!$U$1500,0)+Q254)</f>
        <v/>
      </c>
      <c r="R255" s="1036"/>
      <c r="S255" s="18"/>
    </row>
    <row r="256" spans="1:19">
      <c r="A256" s="19" t="str">
        <f ca="1">IF($Q256="","",MAX($A$203:A255)+1)</f>
        <v/>
      </c>
      <c r="B256" s="1146"/>
      <c r="C256" s="1146"/>
      <c r="D256" s="23" t="str">
        <f ca="1">IF($Q256="","",INDEX(TongVTSX!C$3:C$1500,$Q256))</f>
        <v/>
      </c>
      <c r="E256" s="23" t="str">
        <f ca="1">IF($Q256="","",INDEX(TongVTSX!D$3:D$1500,$Q256))</f>
        <v/>
      </c>
      <c r="F256" s="24" t="str">
        <f ca="1">IF($Q256="","",INDEX(TongVTSX!E$3:E$1500,$Q256))</f>
        <v/>
      </c>
      <c r="G256" s="24" t="str">
        <f ca="1">IF($Q256="","",INDEX(TongVTSX!G$3:G$1500,$Q256))</f>
        <v/>
      </c>
      <c r="H256" s="23" t="str">
        <f ca="1">IF($Q256="","",SUMPRODUCT((TongVTSX!$C$3:$C$1500=$D256)*(TongVTSX!$E$3:$E$1500=$F256)*(TongVTSX!$G$3:$G$1500=$G256)*(TongVTSX!$H$3:$H$1500)))</f>
        <v/>
      </c>
      <c r="I256" s="92">
        <f t="shared" ca="1" si="14"/>
        <v>0</v>
      </c>
      <c r="J256" s="114">
        <f t="shared" ca="1" si="15"/>
        <v>0</v>
      </c>
      <c r="K256" s="187" t="str">
        <f t="shared" ca="1" si="16"/>
        <v/>
      </c>
      <c r="Q256" s="1032" t="str">
        <f ca="1">IF(TYPE(MATCH($S$2,OFFSET(TongVTSX!$U$3,Q255,0):'TongVTSX'!$U$1500,0)+Q255)=16,"",MATCH($S$2,OFFSET(TongVTSX!$U$3,Q255,0):'TongVTSX'!$U$1500,0)+Q255)</f>
        <v/>
      </c>
      <c r="R256" s="1036"/>
      <c r="S256" s="18"/>
    </row>
    <row r="257" spans="1:19">
      <c r="A257" s="19" t="str">
        <f ca="1">IF($Q257="","",MAX($A$203:A256)+1)</f>
        <v/>
      </c>
      <c r="B257" s="1146"/>
      <c r="C257" s="1146"/>
      <c r="D257" s="23" t="str">
        <f ca="1">IF($Q257="","",INDEX(TongVTSX!C$3:C$1500,$Q257))</f>
        <v/>
      </c>
      <c r="E257" s="23" t="str">
        <f ca="1">IF($Q257="","",INDEX(TongVTSX!D$3:D$1500,$Q257))</f>
        <v/>
      </c>
      <c r="F257" s="24" t="str">
        <f ca="1">IF($Q257="","",INDEX(TongVTSX!E$3:E$1500,$Q257))</f>
        <v/>
      </c>
      <c r="G257" s="24" t="str">
        <f ca="1">IF($Q257="","",INDEX(TongVTSX!G$3:G$1500,$Q257))</f>
        <v/>
      </c>
      <c r="H257" s="23" t="str">
        <f ca="1">IF($Q257="","",SUMPRODUCT((TongVTSX!$C$3:$C$1500=$D257)*(TongVTSX!$E$3:$E$1500=$F257)*(TongVTSX!$G$3:$G$1500=$G257)*(TongVTSX!$H$3:$H$1500)))</f>
        <v/>
      </c>
      <c r="I257" s="92">
        <f t="shared" ca="1" si="14"/>
        <v>0</v>
      </c>
      <c r="J257" s="114">
        <f t="shared" ca="1" si="15"/>
        <v>0</v>
      </c>
      <c r="K257" s="187" t="str">
        <f t="shared" ca="1" si="16"/>
        <v/>
      </c>
      <c r="Q257" s="1032" t="str">
        <f ca="1">IF(TYPE(MATCH($S$2,OFFSET(TongVTSX!$U$3,Q256,0):'TongVTSX'!$U$1500,0)+Q256)=16,"",MATCH($S$2,OFFSET(TongVTSX!$U$3,Q256,0):'TongVTSX'!$U$1500,0)+Q256)</f>
        <v/>
      </c>
      <c r="R257" s="1036"/>
      <c r="S257" s="18"/>
    </row>
    <row r="258" spans="1:19">
      <c r="A258" s="19" t="str">
        <f ca="1">IF($Q258="","",MAX($A$203:A257)+1)</f>
        <v/>
      </c>
      <c r="B258" s="1146"/>
      <c r="C258" s="1146"/>
      <c r="D258" s="23" t="str">
        <f ca="1">IF($Q258="","",INDEX(TongVTSX!C$3:C$1500,$Q258))</f>
        <v/>
      </c>
      <c r="E258" s="23" t="str">
        <f ca="1">IF($Q258="","",INDEX(TongVTSX!D$3:D$1500,$Q258))</f>
        <v/>
      </c>
      <c r="F258" s="24" t="str">
        <f ca="1">IF($Q258="","",INDEX(TongVTSX!E$3:E$1500,$Q258))</f>
        <v/>
      </c>
      <c r="G258" s="24" t="str">
        <f ca="1">IF($Q258="","",INDEX(TongVTSX!G$3:G$1500,$Q258))</f>
        <v/>
      </c>
      <c r="H258" s="23" t="str">
        <f ca="1">IF($Q258="","",SUMPRODUCT((TongVTSX!$C$3:$C$1500=$D258)*(TongVTSX!$E$3:$E$1500=$F258)*(TongVTSX!$G$3:$G$1500=$G258)*(TongVTSX!$H$3:$H$1500)))</f>
        <v/>
      </c>
      <c r="I258" s="92">
        <f t="shared" ca="1" si="14"/>
        <v>0</v>
      </c>
      <c r="J258" s="114">
        <f t="shared" ca="1" si="15"/>
        <v>0</v>
      </c>
      <c r="K258" s="187" t="str">
        <f t="shared" ca="1" si="16"/>
        <v/>
      </c>
      <c r="Q258" s="1032" t="str">
        <f ca="1">IF(TYPE(MATCH($S$2,OFFSET(TongVTSX!$U$3,Q257,0):'TongVTSX'!$U$1500,0)+Q257)=16,"",MATCH($S$2,OFFSET(TongVTSX!$U$3,Q257,0):'TongVTSX'!$U$1500,0)+Q257)</f>
        <v/>
      </c>
      <c r="R258" s="1036"/>
      <c r="S258" s="18"/>
    </row>
    <row r="259" spans="1:19">
      <c r="A259" s="19" t="str">
        <f ca="1">IF($Q259="","",MAX($A$203:A258)+1)</f>
        <v/>
      </c>
      <c r="B259" s="1146"/>
      <c r="C259" s="1146"/>
      <c r="D259" s="23" t="str">
        <f ca="1">IF($Q259="","",INDEX(TongVTSX!C$3:C$1500,$Q259))</f>
        <v/>
      </c>
      <c r="E259" s="23" t="str">
        <f ca="1">IF($Q259="","",INDEX(TongVTSX!D$3:D$1500,$Q259))</f>
        <v/>
      </c>
      <c r="F259" s="24" t="str">
        <f ca="1">IF($Q259="","",INDEX(TongVTSX!E$3:E$1500,$Q259))</f>
        <v/>
      </c>
      <c r="G259" s="24" t="str">
        <f ca="1">IF($Q259="","",INDEX(TongVTSX!G$3:G$1500,$Q259))</f>
        <v/>
      </c>
      <c r="H259" s="23" t="str">
        <f ca="1">IF($Q259="","",SUMPRODUCT((TongVTSX!$C$3:$C$1500=$D259)*(TongVTSX!$E$3:$E$1500=$F259)*(TongVTSX!$G$3:$G$1500=$G259)*(TongVTSX!$H$3:$H$1500)))</f>
        <v/>
      </c>
      <c r="I259" s="92">
        <f t="shared" ca="1" si="14"/>
        <v>0</v>
      </c>
      <c r="J259" s="114">
        <f t="shared" ca="1" si="15"/>
        <v>0</v>
      </c>
      <c r="K259" s="187" t="str">
        <f t="shared" ca="1" si="16"/>
        <v/>
      </c>
      <c r="Q259" s="1032" t="str">
        <f ca="1">IF(TYPE(MATCH($S$2,OFFSET(TongVTSX!$U$3,Q258,0):'TongVTSX'!$U$1500,0)+Q258)=16,"",MATCH($S$2,OFFSET(TongVTSX!$U$3,Q258,0):'TongVTSX'!$U$1500,0)+Q258)</f>
        <v/>
      </c>
      <c r="R259" s="1036"/>
      <c r="S259" s="18"/>
    </row>
    <row r="260" spans="1:19">
      <c r="A260" s="19" t="str">
        <f ca="1">IF($Q260="","",MAX($A$203:A259)+1)</f>
        <v/>
      </c>
      <c r="B260" s="1146"/>
      <c r="C260" s="1146"/>
      <c r="D260" s="23" t="str">
        <f ca="1">IF($Q260="","",INDEX(TongVTSX!C$3:C$1500,$Q260))</f>
        <v/>
      </c>
      <c r="E260" s="23" t="str">
        <f ca="1">IF($Q260="","",INDEX(TongVTSX!D$3:D$1500,$Q260))</f>
        <v/>
      </c>
      <c r="F260" s="24" t="str">
        <f ca="1">IF($Q260="","",INDEX(TongVTSX!E$3:E$1500,$Q260))</f>
        <v/>
      </c>
      <c r="G260" s="24" t="str">
        <f ca="1">IF($Q260="","",INDEX(TongVTSX!G$3:G$1500,$Q260))</f>
        <v/>
      </c>
      <c r="H260" s="23" t="str">
        <f ca="1">IF($Q260="","",SUMPRODUCT((TongVTSX!$C$3:$C$1500=$D260)*(TongVTSX!$E$3:$E$1500=$F260)*(TongVTSX!$G$3:$G$1500=$G260)*(TongVTSX!$H$3:$H$1500)))</f>
        <v/>
      </c>
      <c r="I260" s="92">
        <f t="shared" ca="1" si="14"/>
        <v>0</v>
      </c>
      <c r="J260" s="114">
        <f t="shared" ca="1" si="15"/>
        <v>0</v>
      </c>
      <c r="K260" s="187" t="str">
        <f t="shared" ca="1" si="16"/>
        <v/>
      </c>
      <c r="Q260" s="1032" t="str">
        <f ca="1">IF(TYPE(MATCH($S$2,OFFSET(TongVTSX!$U$3,Q259,0):'TongVTSX'!$U$1500,0)+Q259)=16,"",MATCH($S$2,OFFSET(TongVTSX!$U$3,Q259,0):'TongVTSX'!$U$1500,0)+Q259)</f>
        <v/>
      </c>
      <c r="R260" s="1036"/>
      <c r="S260" s="18"/>
    </row>
    <row r="261" spans="1:19">
      <c r="A261" s="19" t="str">
        <f ca="1">IF($Q261="","",MAX($A$203:A260)+1)</f>
        <v/>
      </c>
      <c r="B261" s="1146"/>
      <c r="C261" s="1146"/>
      <c r="D261" s="23" t="str">
        <f ca="1">IF($Q261="","",INDEX(TongVTSX!C$3:C$1500,$Q261))</f>
        <v/>
      </c>
      <c r="E261" s="23" t="str">
        <f ca="1">IF($Q261="","",INDEX(TongVTSX!D$3:D$1500,$Q261))</f>
        <v/>
      </c>
      <c r="F261" s="24" t="str">
        <f ca="1">IF($Q261="","",INDEX(TongVTSX!E$3:E$1500,$Q261))</f>
        <v/>
      </c>
      <c r="G261" s="24" t="str">
        <f ca="1">IF($Q261="","",INDEX(TongVTSX!G$3:G$1500,$Q261))</f>
        <v/>
      </c>
      <c r="H261" s="23" t="str">
        <f ca="1">IF($Q261="","",SUMPRODUCT((TongVTSX!$C$3:$C$1500=$D261)*(TongVTSX!$E$3:$E$1500=$F261)*(TongVTSX!$G$3:$G$1500=$G261)*(TongVTSX!$H$3:$H$1500)))</f>
        <v/>
      </c>
      <c r="I261" s="92">
        <f t="shared" ca="1" si="14"/>
        <v>0</v>
      </c>
      <c r="J261" s="114">
        <f t="shared" ca="1" si="15"/>
        <v>0</v>
      </c>
      <c r="K261" s="187" t="str">
        <f t="shared" ca="1" si="16"/>
        <v/>
      </c>
      <c r="Q261" s="1032" t="str">
        <f ca="1">IF(TYPE(MATCH($S$2,OFFSET(TongVTSX!$U$3,Q260,0):'TongVTSX'!$U$1500,0)+Q260)=16,"",MATCH($S$2,OFFSET(TongVTSX!$U$3,Q260,0):'TongVTSX'!$U$1500,0)+Q260)</f>
        <v/>
      </c>
      <c r="R261" s="1036"/>
      <c r="S261" s="18"/>
    </row>
    <row r="262" spans="1:19">
      <c r="A262" s="19" t="str">
        <f ca="1">IF($Q262="","",MAX($A$203:A261)+1)</f>
        <v/>
      </c>
      <c r="B262" s="1146"/>
      <c r="C262" s="1146"/>
      <c r="D262" s="23" t="str">
        <f ca="1">IF($Q262="","",INDEX(TongVTSX!C$3:C$1500,$Q262))</f>
        <v/>
      </c>
      <c r="E262" s="23" t="str">
        <f ca="1">IF($Q262="","",INDEX(TongVTSX!D$3:D$1500,$Q262))</f>
        <v/>
      </c>
      <c r="F262" s="24" t="str">
        <f ca="1">IF($Q262="","",INDEX(TongVTSX!E$3:E$1500,$Q262))</f>
        <v/>
      </c>
      <c r="G262" s="24" t="str">
        <f ca="1">IF($Q262="","",INDEX(TongVTSX!G$3:G$1500,$Q262))</f>
        <v/>
      </c>
      <c r="H262" s="23" t="str">
        <f ca="1">IF($Q262="","",SUMPRODUCT((TongVTSX!$C$3:$C$1500=$D262)*(TongVTSX!$E$3:$E$1500=$F262)*(TongVTSX!$G$3:$G$1500=$G262)*(TongVTSX!$H$3:$H$1500)))</f>
        <v/>
      </c>
      <c r="I262" s="92">
        <f t="shared" ca="1" si="14"/>
        <v>0</v>
      </c>
      <c r="J262" s="114">
        <f t="shared" ca="1" si="15"/>
        <v>0</v>
      </c>
      <c r="K262" s="187" t="str">
        <f t="shared" ca="1" si="16"/>
        <v/>
      </c>
      <c r="Q262" s="1032" t="str">
        <f ca="1">IF(TYPE(MATCH($S$2,OFFSET(TongVTSX!$U$3,Q261,0):'TongVTSX'!$U$1500,0)+Q261)=16,"",MATCH($S$2,OFFSET(TongVTSX!$U$3,Q261,0):'TongVTSX'!$U$1500,0)+Q261)</f>
        <v/>
      </c>
      <c r="R262" s="1036"/>
      <c r="S262" s="18"/>
    </row>
    <row r="263" spans="1:19">
      <c r="A263" s="19" t="str">
        <f ca="1">IF($Q263="","",MAX($A$203:A262)+1)</f>
        <v/>
      </c>
      <c r="B263" s="1146"/>
      <c r="C263" s="1146"/>
      <c r="D263" s="23" t="str">
        <f ca="1">IF($Q263="","",INDEX(TongVTSX!C$3:C$1500,$Q263))</f>
        <v/>
      </c>
      <c r="E263" s="23" t="str">
        <f ca="1">IF($Q263="","",INDEX(TongVTSX!D$3:D$1500,$Q263))</f>
        <v/>
      </c>
      <c r="F263" s="24" t="str">
        <f ca="1">IF($Q263="","",INDEX(TongVTSX!E$3:E$1500,$Q263))</f>
        <v/>
      </c>
      <c r="G263" s="24" t="str">
        <f ca="1">IF($Q263="","",INDEX(TongVTSX!G$3:G$1500,$Q263))</f>
        <v/>
      </c>
      <c r="H263" s="23" t="str">
        <f ca="1">IF($Q263="","",SUMPRODUCT((TongVTSX!$C$3:$C$1500=$D263)*(TongVTSX!$E$3:$E$1500=$F263)*(TongVTSX!$G$3:$G$1500=$G263)*(TongVTSX!$H$3:$H$1500)))</f>
        <v/>
      </c>
      <c r="I263" s="92">
        <f t="shared" ca="1" si="14"/>
        <v>0</v>
      </c>
      <c r="J263" s="114">
        <f t="shared" ca="1" si="15"/>
        <v>0</v>
      </c>
      <c r="K263" s="187" t="str">
        <f t="shared" ca="1" si="16"/>
        <v/>
      </c>
      <c r="Q263" s="1032" t="str">
        <f ca="1">IF(TYPE(MATCH($S$2,OFFSET(TongVTSX!$U$3,Q262,0):'TongVTSX'!$U$1500,0)+Q262)=16,"",MATCH($S$2,OFFSET(TongVTSX!$U$3,Q262,0):'TongVTSX'!$U$1500,0)+Q262)</f>
        <v/>
      </c>
      <c r="R263" s="1036"/>
      <c r="S263" s="18"/>
    </row>
    <row r="264" spans="1:19">
      <c r="A264" s="19" t="str">
        <f ca="1">IF($Q264="","",MAX($A$203:A263)+1)</f>
        <v/>
      </c>
      <c r="B264" s="1146"/>
      <c r="C264" s="1146"/>
      <c r="D264" s="23" t="str">
        <f ca="1">IF($Q264="","",INDEX(TongVTSX!C$3:C$1500,$Q264))</f>
        <v/>
      </c>
      <c r="E264" s="23" t="str">
        <f ca="1">IF($Q264="","",INDEX(TongVTSX!D$3:D$1500,$Q264))</f>
        <v/>
      </c>
      <c r="F264" s="24" t="str">
        <f ca="1">IF($Q264="","",INDEX(TongVTSX!E$3:E$1500,$Q264))</f>
        <v/>
      </c>
      <c r="G264" s="24" t="str">
        <f ca="1">IF($Q264="","",INDEX(TongVTSX!G$3:G$1500,$Q264))</f>
        <v/>
      </c>
      <c r="H264" s="23" t="str">
        <f ca="1">IF($Q264="","",SUMPRODUCT((TongVTSX!$C$3:$C$1500=$D264)*(TongVTSX!$E$3:$E$1500=$F264)*(TongVTSX!$G$3:$G$1500=$G264)*(TongVTSX!$H$3:$H$1500)))</f>
        <v/>
      </c>
      <c r="I264" s="92">
        <f t="shared" ca="1" si="14"/>
        <v>0</v>
      </c>
      <c r="J264" s="114">
        <f t="shared" ca="1" si="15"/>
        <v>0</v>
      </c>
      <c r="K264" s="187" t="str">
        <f t="shared" ca="1" si="16"/>
        <v/>
      </c>
      <c r="Q264" s="1032" t="str">
        <f ca="1">IF(TYPE(MATCH($S$2,OFFSET(TongVTSX!$U$3,Q263,0):'TongVTSX'!$U$1500,0)+Q263)=16,"",MATCH($S$2,OFFSET(TongVTSX!$U$3,Q263,0):'TongVTSX'!$U$1500,0)+Q263)</f>
        <v/>
      </c>
      <c r="R264" s="1036"/>
      <c r="S264" s="18"/>
    </row>
    <row r="265" spans="1:19">
      <c r="A265" s="19" t="str">
        <f ca="1">IF($Q265="","",MAX($A$203:A264)+1)</f>
        <v/>
      </c>
      <c r="B265" s="1146"/>
      <c r="C265" s="1146"/>
      <c r="D265" s="23" t="str">
        <f ca="1">IF($Q265="","",INDEX(TongVTSX!C$3:C$1500,$Q265))</f>
        <v/>
      </c>
      <c r="E265" s="23" t="str">
        <f ca="1">IF($Q265="","",INDEX(TongVTSX!D$3:D$1500,$Q265))</f>
        <v/>
      </c>
      <c r="F265" s="24" t="str">
        <f ca="1">IF($Q265="","",INDEX(TongVTSX!E$3:E$1500,$Q265))</f>
        <v/>
      </c>
      <c r="G265" s="24" t="str">
        <f ca="1">IF($Q265="","",INDEX(TongVTSX!G$3:G$1500,$Q265))</f>
        <v/>
      </c>
      <c r="H265" s="23" t="str">
        <f ca="1">IF($Q265="","",SUMPRODUCT((TongVTSX!$C$3:$C$1500=$D265)*(TongVTSX!$E$3:$E$1500=$F265)*(TongVTSX!$G$3:$G$1500=$G265)*(TongVTSX!$H$3:$H$1500)))</f>
        <v/>
      </c>
      <c r="I265" s="92">
        <f t="shared" ca="1" si="14"/>
        <v>0</v>
      </c>
      <c r="J265" s="114">
        <f t="shared" ca="1" si="15"/>
        <v>0</v>
      </c>
      <c r="K265" s="187" t="str">
        <f t="shared" ca="1" si="16"/>
        <v/>
      </c>
      <c r="Q265" s="1032" t="str">
        <f ca="1">IF(TYPE(MATCH($S$2,OFFSET(TongVTSX!$U$3,Q264,0):'TongVTSX'!$U$1500,0)+Q264)=16,"",MATCH($S$2,OFFSET(TongVTSX!$U$3,Q264,0):'TongVTSX'!$U$1500,0)+Q264)</f>
        <v/>
      </c>
      <c r="R265" s="1036"/>
      <c r="S265" s="18"/>
    </row>
    <row r="266" spans="1:19">
      <c r="A266" s="19" t="str">
        <f ca="1">IF($Q266="","",MAX($A$203:A265)+1)</f>
        <v/>
      </c>
      <c r="B266" s="1146"/>
      <c r="C266" s="1146"/>
      <c r="D266" s="23" t="str">
        <f ca="1">IF($Q266="","",INDEX(TongVTSX!C$3:C$1500,$Q266))</f>
        <v/>
      </c>
      <c r="E266" s="23" t="str">
        <f ca="1">IF($Q266="","",INDEX(TongVTSX!D$3:D$1500,$Q266))</f>
        <v/>
      </c>
      <c r="F266" s="24" t="str">
        <f ca="1">IF($Q266="","",INDEX(TongVTSX!E$3:E$1500,$Q266))</f>
        <v/>
      </c>
      <c r="G266" s="24" t="str">
        <f ca="1">IF($Q266="","",INDEX(TongVTSX!G$3:G$1500,$Q266))</f>
        <v/>
      </c>
      <c r="H266" s="23" t="str">
        <f ca="1">IF($Q266="","",SUMPRODUCT((TongVTSX!$C$3:$C$1500=$D266)*(TongVTSX!$E$3:$E$1500=$F266)*(TongVTSX!$G$3:$G$1500=$G266)*(TongVTSX!$H$3:$H$1500)))</f>
        <v/>
      </c>
      <c r="I266" s="92">
        <f t="shared" ca="1" si="14"/>
        <v>0</v>
      </c>
      <c r="J266" s="114">
        <f t="shared" ca="1" si="15"/>
        <v>0</v>
      </c>
      <c r="K266" s="187" t="str">
        <f t="shared" ca="1" si="16"/>
        <v/>
      </c>
      <c r="Q266" s="1032" t="str">
        <f ca="1">IF(TYPE(MATCH($S$2,OFFSET(TongVTSX!$U$3,Q265,0):'TongVTSX'!$U$1500,0)+Q265)=16,"",MATCH($S$2,OFFSET(TongVTSX!$U$3,Q265,0):'TongVTSX'!$U$1500,0)+Q265)</f>
        <v/>
      </c>
      <c r="R266" s="1036"/>
      <c r="S266" s="18"/>
    </row>
    <row r="267" spans="1:19">
      <c r="A267" s="19" t="str">
        <f ca="1">IF($Q267="","",MAX($A$203:A266)+1)</f>
        <v/>
      </c>
      <c r="B267" s="1146"/>
      <c r="C267" s="1146"/>
      <c r="D267" s="23" t="str">
        <f ca="1">IF($Q267="","",INDEX(TongVTSX!C$3:C$1500,$Q267))</f>
        <v/>
      </c>
      <c r="E267" s="23" t="str">
        <f ca="1">IF($Q267="","",INDEX(TongVTSX!D$3:D$1500,$Q267))</f>
        <v/>
      </c>
      <c r="F267" s="24" t="str">
        <f ca="1">IF($Q267="","",INDEX(TongVTSX!E$3:E$1500,$Q267))</f>
        <v/>
      </c>
      <c r="G267" s="24" t="str">
        <f ca="1">IF($Q267="","",INDEX(TongVTSX!G$3:G$1500,$Q267))</f>
        <v/>
      </c>
      <c r="H267" s="23" t="str">
        <f ca="1">IF($Q267="","",SUMPRODUCT((TongVTSX!$C$3:$C$1500=$D267)*(TongVTSX!$E$3:$E$1500=$F267)*(TongVTSX!$G$3:$G$1500=$G267)*(TongVTSX!$H$3:$H$1500)))</f>
        <v/>
      </c>
      <c r="I267" s="92">
        <f t="shared" ca="1" si="14"/>
        <v>0</v>
      </c>
      <c r="J267" s="114">
        <f t="shared" ca="1" si="15"/>
        <v>0</v>
      </c>
      <c r="K267" s="187" t="str">
        <f t="shared" ca="1" si="16"/>
        <v/>
      </c>
      <c r="Q267" s="1032" t="str">
        <f ca="1">IF(TYPE(MATCH($S$2,OFFSET(TongVTSX!$U$3,Q266,0):'TongVTSX'!$U$1500,0)+Q266)=16,"",MATCH($S$2,OFFSET(TongVTSX!$U$3,Q266,0):'TongVTSX'!$U$1500,0)+Q266)</f>
        <v/>
      </c>
      <c r="R267" s="1036"/>
      <c r="S267" s="18"/>
    </row>
    <row r="268" spans="1:19">
      <c r="A268" s="19" t="str">
        <f ca="1">IF($Q268="","",MAX($A$203:A267)+1)</f>
        <v/>
      </c>
      <c r="B268" s="1146"/>
      <c r="C268" s="1146"/>
      <c r="D268" s="23" t="str">
        <f ca="1">IF($Q268="","",INDEX(TongVTSX!C$3:C$1500,$Q268))</f>
        <v/>
      </c>
      <c r="E268" s="23" t="str">
        <f ca="1">IF($Q268="","",INDEX(TongVTSX!D$3:D$1500,$Q268))</f>
        <v/>
      </c>
      <c r="F268" s="24" t="str">
        <f ca="1">IF($Q268="","",INDEX(TongVTSX!E$3:E$1500,$Q268))</f>
        <v/>
      </c>
      <c r="G268" s="24" t="str">
        <f ca="1">IF($Q268="","",INDEX(TongVTSX!G$3:G$1500,$Q268))</f>
        <v/>
      </c>
      <c r="H268" s="23" t="str">
        <f ca="1">IF($Q268="","",SUMPRODUCT((TongVTSX!$C$3:$C$1500=$D268)*(TongVTSX!$E$3:$E$1500=$F268)*(TongVTSX!$G$3:$G$1500=$G268)*(TongVTSX!$H$3:$H$1500)))</f>
        <v/>
      </c>
      <c r="I268" s="92">
        <f t="shared" ref="I268:I299" ca="1" si="17">IFERROR($G268*$H268,0)</f>
        <v>0</v>
      </c>
      <c r="J268" s="114">
        <f t="shared" ref="J268:J299" ca="1" si="18">IFERROR(I268/INDEX($U$3:$U$200,MATCH($D268,$D$3:$D$200,0)),0)</f>
        <v>0</v>
      </c>
      <c r="K268" s="187" t="str">
        <f t="shared" ref="K268:K299" ca="1" si="19">IFERROR((ROUNDUP($J268,0)-$J268)*INDEX($U$3:$U$200,MATCH($D268,$D$3:$D$200,0)),"")</f>
        <v/>
      </c>
      <c r="Q268" s="1032" t="str">
        <f ca="1">IF(TYPE(MATCH($S$2,OFFSET(TongVTSX!$U$3,Q267,0):'TongVTSX'!$U$1500,0)+Q267)=16,"",MATCH($S$2,OFFSET(TongVTSX!$U$3,Q267,0):'TongVTSX'!$U$1500,0)+Q267)</f>
        <v/>
      </c>
      <c r="R268" s="1036"/>
      <c r="S268" s="18"/>
    </row>
    <row r="269" spans="1:19">
      <c r="A269" s="19" t="str">
        <f ca="1">IF($Q269="","",MAX($A$203:A268)+1)</f>
        <v/>
      </c>
      <c r="B269" s="1146"/>
      <c r="C269" s="1146"/>
      <c r="D269" s="23" t="str">
        <f ca="1">IF($Q269="","",INDEX(TongVTSX!C$3:C$1500,$Q269))</f>
        <v/>
      </c>
      <c r="E269" s="23" t="str">
        <f ca="1">IF($Q269="","",INDEX(TongVTSX!D$3:D$1500,$Q269))</f>
        <v/>
      </c>
      <c r="F269" s="24" t="str">
        <f ca="1">IF($Q269="","",INDEX(TongVTSX!E$3:E$1500,$Q269))</f>
        <v/>
      </c>
      <c r="G269" s="24" t="str">
        <f ca="1">IF($Q269="","",INDEX(TongVTSX!G$3:G$1500,$Q269))</f>
        <v/>
      </c>
      <c r="H269" s="23" t="str">
        <f ca="1">IF($Q269="","",SUMPRODUCT((TongVTSX!$C$3:$C$1500=$D269)*(TongVTSX!$E$3:$E$1500=$F269)*(TongVTSX!$G$3:$G$1500=$G269)*(TongVTSX!$H$3:$H$1500)))</f>
        <v/>
      </c>
      <c r="I269" s="92">
        <f t="shared" ca="1" si="17"/>
        <v>0</v>
      </c>
      <c r="J269" s="114">
        <f t="shared" ca="1" si="18"/>
        <v>0</v>
      </c>
      <c r="K269" s="187" t="str">
        <f t="shared" ca="1" si="19"/>
        <v/>
      </c>
      <c r="Q269" s="1032" t="str">
        <f ca="1">IF(TYPE(MATCH($S$2,OFFSET(TongVTSX!$U$3,Q268,0):'TongVTSX'!$U$1500,0)+Q268)=16,"",MATCH($S$2,OFFSET(TongVTSX!$U$3,Q268,0):'TongVTSX'!$U$1500,0)+Q268)</f>
        <v/>
      </c>
      <c r="R269" s="1036"/>
      <c r="S269" s="18"/>
    </row>
    <row r="270" spans="1:19">
      <c r="A270" s="19" t="str">
        <f ca="1">IF($Q270="","",MAX($A$203:A269)+1)</f>
        <v/>
      </c>
      <c r="B270" s="1146"/>
      <c r="C270" s="1146"/>
      <c r="D270" s="23" t="str">
        <f ca="1">IF($Q270="","",INDEX(TongVTSX!C$3:C$1500,$Q270))</f>
        <v/>
      </c>
      <c r="E270" s="23" t="str">
        <f ca="1">IF($Q270="","",INDEX(TongVTSX!D$3:D$1500,$Q270))</f>
        <v/>
      </c>
      <c r="F270" s="24" t="str">
        <f ca="1">IF($Q270="","",INDEX(TongVTSX!E$3:E$1500,$Q270))</f>
        <v/>
      </c>
      <c r="G270" s="24" t="str">
        <f ca="1">IF($Q270="","",INDEX(TongVTSX!G$3:G$1500,$Q270))</f>
        <v/>
      </c>
      <c r="H270" s="23" t="str">
        <f ca="1">IF($Q270="","",SUMPRODUCT((TongVTSX!$C$3:$C$1500=$D270)*(TongVTSX!$E$3:$E$1500=$F270)*(TongVTSX!$G$3:$G$1500=$G270)*(TongVTSX!$H$3:$H$1500)))</f>
        <v/>
      </c>
      <c r="I270" s="92">
        <f t="shared" ca="1" si="17"/>
        <v>0</v>
      </c>
      <c r="J270" s="114">
        <f t="shared" ca="1" si="18"/>
        <v>0</v>
      </c>
      <c r="K270" s="187" t="str">
        <f t="shared" ca="1" si="19"/>
        <v/>
      </c>
      <c r="Q270" s="1032" t="str">
        <f ca="1">IF(TYPE(MATCH($S$2,OFFSET(TongVTSX!$U$3,Q269,0):'TongVTSX'!$U$1500,0)+Q269)=16,"",MATCH($S$2,OFFSET(TongVTSX!$U$3,Q269,0):'TongVTSX'!$U$1500,0)+Q269)</f>
        <v/>
      </c>
      <c r="R270" s="1036"/>
      <c r="S270" s="18"/>
    </row>
    <row r="271" spans="1:19">
      <c r="A271" s="19" t="str">
        <f ca="1">IF($Q271="","",MAX($A$203:A270)+1)</f>
        <v/>
      </c>
      <c r="B271" s="1146"/>
      <c r="C271" s="1146"/>
      <c r="D271" s="23" t="str">
        <f ca="1">IF($Q271="","",INDEX(TongVTSX!C$3:C$1500,$Q271))</f>
        <v/>
      </c>
      <c r="E271" s="23" t="str">
        <f ca="1">IF($Q271="","",INDEX(TongVTSX!D$3:D$1500,$Q271))</f>
        <v/>
      </c>
      <c r="F271" s="24" t="str">
        <f ca="1">IF($Q271="","",INDEX(TongVTSX!E$3:E$1500,$Q271))</f>
        <v/>
      </c>
      <c r="G271" s="24" t="str">
        <f ca="1">IF($Q271="","",INDEX(TongVTSX!G$3:G$1500,$Q271))</f>
        <v/>
      </c>
      <c r="H271" s="23" t="str">
        <f ca="1">IF($Q271="","",SUMPRODUCT((TongVTSX!$C$3:$C$1500=$D271)*(TongVTSX!$E$3:$E$1500=$F271)*(TongVTSX!$G$3:$G$1500=$G271)*(TongVTSX!$H$3:$H$1500)))</f>
        <v/>
      </c>
      <c r="I271" s="92">
        <f t="shared" ca="1" si="17"/>
        <v>0</v>
      </c>
      <c r="J271" s="114">
        <f t="shared" ca="1" si="18"/>
        <v>0</v>
      </c>
      <c r="K271" s="187" t="str">
        <f t="shared" ca="1" si="19"/>
        <v/>
      </c>
      <c r="Q271" s="1032" t="str">
        <f ca="1">IF(TYPE(MATCH($S$2,OFFSET(TongVTSX!$U$3,Q270,0):'TongVTSX'!$U$1500,0)+Q270)=16,"",MATCH($S$2,OFFSET(TongVTSX!$U$3,Q270,0):'TongVTSX'!$U$1500,0)+Q270)</f>
        <v/>
      </c>
      <c r="R271" s="1036"/>
      <c r="S271" s="18"/>
    </row>
    <row r="272" spans="1:19">
      <c r="A272" s="19" t="str">
        <f ca="1">IF($Q272="","",MAX($A$203:A271)+1)</f>
        <v/>
      </c>
      <c r="B272" s="1146"/>
      <c r="C272" s="1146"/>
      <c r="D272" s="23" t="str">
        <f ca="1">IF($Q272="","",INDEX(TongVTSX!C$3:C$1500,$Q272))</f>
        <v/>
      </c>
      <c r="E272" s="23" t="str">
        <f ca="1">IF($Q272="","",INDEX(TongVTSX!D$3:D$1500,$Q272))</f>
        <v/>
      </c>
      <c r="F272" s="24" t="str">
        <f ca="1">IF($Q272="","",INDEX(TongVTSX!E$3:E$1500,$Q272))</f>
        <v/>
      </c>
      <c r="G272" s="24" t="str">
        <f ca="1">IF($Q272="","",INDEX(TongVTSX!G$3:G$1500,$Q272))</f>
        <v/>
      </c>
      <c r="H272" s="23" t="str">
        <f ca="1">IF($Q272="","",SUMPRODUCT((TongVTSX!$C$3:$C$1500=$D272)*(TongVTSX!$E$3:$E$1500=$F272)*(TongVTSX!$G$3:$G$1500=$G272)*(TongVTSX!$H$3:$H$1500)))</f>
        <v/>
      </c>
      <c r="I272" s="92">
        <f t="shared" ca="1" si="17"/>
        <v>0</v>
      </c>
      <c r="J272" s="114">
        <f t="shared" ca="1" si="18"/>
        <v>0</v>
      </c>
      <c r="K272" s="187" t="str">
        <f t="shared" ca="1" si="19"/>
        <v/>
      </c>
      <c r="Q272" s="1032" t="str">
        <f ca="1">IF(TYPE(MATCH($S$2,OFFSET(TongVTSX!$U$3,Q271,0):'TongVTSX'!$U$1500,0)+Q271)=16,"",MATCH($S$2,OFFSET(TongVTSX!$U$3,Q271,0):'TongVTSX'!$U$1500,0)+Q271)</f>
        <v/>
      </c>
      <c r="R272" s="1036"/>
      <c r="S272" s="18"/>
    </row>
    <row r="273" spans="1:19">
      <c r="A273" s="19" t="str">
        <f ca="1">IF($Q273="","",MAX($A$203:A272)+1)</f>
        <v/>
      </c>
      <c r="B273" s="1146"/>
      <c r="C273" s="1146"/>
      <c r="D273" s="23" t="str">
        <f ca="1">IF($Q273="","",INDEX(TongVTSX!C$3:C$1500,$Q273))</f>
        <v/>
      </c>
      <c r="E273" s="23" t="str">
        <f ca="1">IF($Q273="","",INDEX(TongVTSX!D$3:D$1500,$Q273))</f>
        <v/>
      </c>
      <c r="F273" s="24" t="str">
        <f ca="1">IF($Q273="","",INDEX(TongVTSX!E$3:E$1500,$Q273))</f>
        <v/>
      </c>
      <c r="G273" s="24" t="str">
        <f ca="1">IF($Q273="","",INDEX(TongVTSX!G$3:G$1500,$Q273))</f>
        <v/>
      </c>
      <c r="H273" s="23" t="str">
        <f ca="1">IF($Q273="","",SUMPRODUCT((TongVTSX!$C$3:$C$1500=$D273)*(TongVTSX!$E$3:$E$1500=$F273)*(TongVTSX!$G$3:$G$1500=$G273)*(TongVTSX!$H$3:$H$1500)))</f>
        <v/>
      </c>
      <c r="I273" s="92">
        <f t="shared" ca="1" si="17"/>
        <v>0</v>
      </c>
      <c r="J273" s="114">
        <f t="shared" ca="1" si="18"/>
        <v>0</v>
      </c>
      <c r="K273" s="187" t="str">
        <f t="shared" ca="1" si="19"/>
        <v/>
      </c>
      <c r="Q273" s="1032" t="str">
        <f ca="1">IF(TYPE(MATCH($S$2,OFFSET(TongVTSX!$U$3,Q272,0):'TongVTSX'!$U$1500,0)+Q272)=16,"",MATCH($S$2,OFFSET(TongVTSX!$U$3,Q272,0):'TongVTSX'!$U$1500,0)+Q272)</f>
        <v/>
      </c>
      <c r="R273" s="1036"/>
      <c r="S273" s="18"/>
    </row>
    <row r="274" spans="1:19">
      <c r="A274" s="19" t="str">
        <f ca="1">IF($Q274="","",MAX($A$203:A273)+1)</f>
        <v/>
      </c>
      <c r="B274" s="1146"/>
      <c r="C274" s="1146"/>
      <c r="D274" s="23" t="str">
        <f ca="1">IF($Q274="","",INDEX(TongVTSX!C$3:C$1500,$Q274))</f>
        <v/>
      </c>
      <c r="E274" s="23" t="str">
        <f ca="1">IF($Q274="","",INDEX(TongVTSX!D$3:D$1500,$Q274))</f>
        <v/>
      </c>
      <c r="F274" s="24" t="str">
        <f ca="1">IF($Q274="","",INDEX(TongVTSX!E$3:E$1500,$Q274))</f>
        <v/>
      </c>
      <c r="G274" s="24" t="str">
        <f ca="1">IF($Q274="","",INDEX(TongVTSX!G$3:G$1500,$Q274))</f>
        <v/>
      </c>
      <c r="H274" s="23" t="str">
        <f ca="1">IF($Q274="","",SUMPRODUCT((TongVTSX!$C$3:$C$1500=$D274)*(TongVTSX!$E$3:$E$1500=$F274)*(TongVTSX!$G$3:$G$1500=$G274)*(TongVTSX!$H$3:$H$1500)))</f>
        <v/>
      </c>
      <c r="I274" s="92">
        <f t="shared" ca="1" si="17"/>
        <v>0</v>
      </c>
      <c r="J274" s="114">
        <f t="shared" ca="1" si="18"/>
        <v>0</v>
      </c>
      <c r="K274" s="187" t="str">
        <f t="shared" ca="1" si="19"/>
        <v/>
      </c>
      <c r="Q274" s="1032" t="str">
        <f ca="1">IF(TYPE(MATCH($S$2,OFFSET(TongVTSX!$U$3,Q273,0):'TongVTSX'!$U$1500,0)+Q273)=16,"",MATCH($S$2,OFFSET(TongVTSX!$U$3,Q273,0):'TongVTSX'!$U$1500,0)+Q273)</f>
        <v/>
      </c>
      <c r="R274" s="1036"/>
      <c r="S274" s="18"/>
    </row>
    <row r="275" spans="1:19">
      <c r="A275" s="19" t="str">
        <f ca="1">IF($Q275="","",MAX($A$203:A274)+1)</f>
        <v/>
      </c>
      <c r="B275" s="1146"/>
      <c r="C275" s="1146"/>
      <c r="D275" s="23" t="str">
        <f ca="1">IF($Q275="","",INDEX(TongVTSX!C$3:C$1500,$Q275))</f>
        <v/>
      </c>
      <c r="E275" s="23" t="str">
        <f ca="1">IF($Q275="","",INDEX(TongVTSX!D$3:D$1500,$Q275))</f>
        <v/>
      </c>
      <c r="F275" s="24" t="str">
        <f ca="1">IF($Q275="","",INDEX(TongVTSX!E$3:E$1500,$Q275))</f>
        <v/>
      </c>
      <c r="G275" s="24" t="str">
        <f ca="1">IF($Q275="","",INDEX(TongVTSX!G$3:G$1500,$Q275))</f>
        <v/>
      </c>
      <c r="H275" s="23" t="str">
        <f ca="1">IF($Q275="","",SUMPRODUCT((TongVTSX!$C$3:$C$1500=$D275)*(TongVTSX!$E$3:$E$1500=$F275)*(TongVTSX!$G$3:$G$1500=$G275)*(TongVTSX!$H$3:$H$1500)))</f>
        <v/>
      </c>
      <c r="I275" s="92">
        <f t="shared" ca="1" si="17"/>
        <v>0</v>
      </c>
      <c r="J275" s="114">
        <f t="shared" ca="1" si="18"/>
        <v>0</v>
      </c>
      <c r="K275" s="187" t="str">
        <f t="shared" ca="1" si="19"/>
        <v/>
      </c>
      <c r="Q275" s="1032" t="str">
        <f ca="1">IF(TYPE(MATCH($S$2,OFFSET(TongVTSX!$U$3,Q274,0):'TongVTSX'!$U$1500,0)+Q274)=16,"",MATCH($S$2,OFFSET(TongVTSX!$U$3,Q274,0):'TongVTSX'!$U$1500,0)+Q274)</f>
        <v/>
      </c>
      <c r="R275" s="1036"/>
      <c r="S275" s="18"/>
    </row>
    <row r="276" spans="1:19">
      <c r="A276" s="19" t="str">
        <f ca="1">IF($Q276="","",MAX($A$203:A275)+1)</f>
        <v/>
      </c>
      <c r="B276" s="1146"/>
      <c r="C276" s="1146"/>
      <c r="D276" s="23" t="str">
        <f ca="1">IF($Q276="","",INDEX(TongVTSX!C$3:C$1500,$Q276))</f>
        <v/>
      </c>
      <c r="E276" s="23" t="str">
        <f ca="1">IF($Q276="","",INDEX(TongVTSX!D$3:D$1500,$Q276))</f>
        <v/>
      </c>
      <c r="F276" s="24" t="str">
        <f ca="1">IF($Q276="","",INDEX(TongVTSX!E$3:E$1500,$Q276))</f>
        <v/>
      </c>
      <c r="G276" s="24" t="str">
        <f ca="1">IF($Q276="","",INDEX(TongVTSX!G$3:G$1500,$Q276))</f>
        <v/>
      </c>
      <c r="H276" s="23" t="str">
        <f ca="1">IF($Q276="","",SUMPRODUCT((TongVTSX!$C$3:$C$1500=$D276)*(TongVTSX!$E$3:$E$1500=$F276)*(TongVTSX!$G$3:$G$1500=$G276)*(TongVTSX!$H$3:$H$1500)))</f>
        <v/>
      </c>
      <c r="I276" s="92">
        <f t="shared" ca="1" si="17"/>
        <v>0</v>
      </c>
      <c r="J276" s="114">
        <f t="shared" ca="1" si="18"/>
        <v>0</v>
      </c>
      <c r="K276" s="187" t="str">
        <f t="shared" ca="1" si="19"/>
        <v/>
      </c>
      <c r="Q276" s="1032" t="str">
        <f ca="1">IF(TYPE(MATCH($S$2,OFFSET(TongVTSX!$U$3,Q275,0):'TongVTSX'!$U$1500,0)+Q275)=16,"",MATCH($S$2,OFFSET(TongVTSX!$U$3,Q275,0):'TongVTSX'!$U$1500,0)+Q275)</f>
        <v/>
      </c>
      <c r="R276" s="1036"/>
      <c r="S276" s="18"/>
    </row>
    <row r="277" spans="1:19">
      <c r="A277" s="19" t="str">
        <f ca="1">IF($Q277="","",MAX($A$203:A276)+1)</f>
        <v/>
      </c>
      <c r="B277" s="1146"/>
      <c r="C277" s="1146"/>
      <c r="D277" s="23" t="str">
        <f ca="1">IF($Q277="","",INDEX(TongVTSX!C$3:C$1500,$Q277))</f>
        <v/>
      </c>
      <c r="E277" s="23" t="str">
        <f ca="1">IF($Q277="","",INDEX(TongVTSX!D$3:D$1500,$Q277))</f>
        <v/>
      </c>
      <c r="F277" s="24" t="str">
        <f ca="1">IF($Q277="","",INDEX(TongVTSX!E$3:E$1500,$Q277))</f>
        <v/>
      </c>
      <c r="G277" s="24" t="str">
        <f ca="1">IF($Q277="","",INDEX(TongVTSX!G$3:G$1500,$Q277))</f>
        <v/>
      </c>
      <c r="H277" s="23" t="str">
        <f ca="1">IF($Q277="","",SUMPRODUCT((TongVTSX!$C$3:$C$1500=$D277)*(TongVTSX!$E$3:$E$1500=$F277)*(TongVTSX!$G$3:$G$1500=$G277)*(TongVTSX!$H$3:$H$1500)))</f>
        <v/>
      </c>
      <c r="I277" s="92">
        <f t="shared" ca="1" si="17"/>
        <v>0</v>
      </c>
      <c r="J277" s="114">
        <f t="shared" ca="1" si="18"/>
        <v>0</v>
      </c>
      <c r="K277" s="187" t="str">
        <f t="shared" ca="1" si="19"/>
        <v/>
      </c>
      <c r="Q277" s="1032" t="str">
        <f ca="1">IF(TYPE(MATCH($S$2,OFFSET(TongVTSX!$U$3,Q276,0):'TongVTSX'!$U$1500,0)+Q276)=16,"",MATCH($S$2,OFFSET(TongVTSX!$U$3,Q276,0):'TongVTSX'!$U$1500,0)+Q276)</f>
        <v/>
      </c>
      <c r="R277" s="1036"/>
      <c r="S277" s="18"/>
    </row>
    <row r="278" spans="1:19">
      <c r="A278" s="19" t="str">
        <f ca="1">IF($Q278="","",MAX($A$203:A277)+1)</f>
        <v/>
      </c>
      <c r="B278" s="1146"/>
      <c r="C278" s="1146"/>
      <c r="D278" s="23" t="str">
        <f ca="1">IF($Q278="","",INDEX(TongVTSX!C$3:C$1500,$Q278))</f>
        <v/>
      </c>
      <c r="E278" s="23" t="str">
        <f ca="1">IF($Q278="","",INDEX(TongVTSX!D$3:D$1500,$Q278))</f>
        <v/>
      </c>
      <c r="F278" s="24" t="str">
        <f ca="1">IF($Q278="","",INDEX(TongVTSX!E$3:E$1500,$Q278))</f>
        <v/>
      </c>
      <c r="G278" s="24" t="str">
        <f ca="1">IF($Q278="","",INDEX(TongVTSX!G$3:G$1500,$Q278))</f>
        <v/>
      </c>
      <c r="H278" s="23" t="str">
        <f ca="1">IF($Q278="","",SUMPRODUCT((TongVTSX!$C$3:$C$1500=$D278)*(TongVTSX!$E$3:$E$1500=$F278)*(TongVTSX!$G$3:$G$1500=$G278)*(TongVTSX!$H$3:$H$1500)))</f>
        <v/>
      </c>
      <c r="I278" s="92">
        <f t="shared" ca="1" si="17"/>
        <v>0</v>
      </c>
      <c r="J278" s="114">
        <f t="shared" ca="1" si="18"/>
        <v>0</v>
      </c>
      <c r="K278" s="187" t="str">
        <f t="shared" ca="1" si="19"/>
        <v/>
      </c>
      <c r="Q278" s="1032" t="str">
        <f ca="1">IF(TYPE(MATCH($S$2,OFFSET(TongVTSX!$U$3,Q277,0):'TongVTSX'!$U$1500,0)+Q277)=16,"",MATCH($S$2,OFFSET(TongVTSX!$U$3,Q277,0):'TongVTSX'!$U$1500,0)+Q277)</f>
        <v/>
      </c>
      <c r="R278" s="1036"/>
      <c r="S278" s="18"/>
    </row>
    <row r="279" spans="1:19">
      <c r="A279" s="19" t="str">
        <f ca="1">IF($Q279="","",MAX($A$203:A278)+1)</f>
        <v/>
      </c>
      <c r="B279" s="1146"/>
      <c r="C279" s="1146"/>
      <c r="D279" s="23" t="str">
        <f ca="1">IF($Q279="","",INDEX(TongVTSX!C$3:C$1500,$Q279))</f>
        <v/>
      </c>
      <c r="E279" s="23" t="str">
        <f ca="1">IF($Q279="","",INDEX(TongVTSX!D$3:D$1500,$Q279))</f>
        <v/>
      </c>
      <c r="F279" s="24" t="str">
        <f ca="1">IF($Q279="","",INDEX(TongVTSX!E$3:E$1500,$Q279))</f>
        <v/>
      </c>
      <c r="G279" s="24" t="str">
        <f ca="1">IF($Q279="","",INDEX(TongVTSX!G$3:G$1500,$Q279))</f>
        <v/>
      </c>
      <c r="H279" s="23" t="str">
        <f ca="1">IF($Q279="","",SUMPRODUCT((TongVTSX!$C$3:$C$1500=$D279)*(TongVTSX!$E$3:$E$1500=$F279)*(TongVTSX!$G$3:$G$1500=$G279)*(TongVTSX!$H$3:$H$1500)))</f>
        <v/>
      </c>
      <c r="I279" s="92">
        <f t="shared" ca="1" si="17"/>
        <v>0</v>
      </c>
      <c r="J279" s="114">
        <f t="shared" ca="1" si="18"/>
        <v>0</v>
      </c>
      <c r="K279" s="187" t="str">
        <f t="shared" ca="1" si="19"/>
        <v/>
      </c>
      <c r="Q279" s="1032" t="str">
        <f ca="1">IF(TYPE(MATCH($S$2,OFFSET(TongVTSX!$U$3,Q278,0):'TongVTSX'!$U$1500,0)+Q278)=16,"",MATCH($S$2,OFFSET(TongVTSX!$U$3,Q278,0):'TongVTSX'!$U$1500,0)+Q278)</f>
        <v/>
      </c>
      <c r="R279" s="1036"/>
      <c r="S279" s="18"/>
    </row>
    <row r="280" spans="1:19">
      <c r="A280" s="19" t="str">
        <f ca="1">IF($Q280="","",MAX($A$203:A279)+1)</f>
        <v/>
      </c>
      <c r="B280" s="1146"/>
      <c r="C280" s="1146"/>
      <c r="D280" s="23" t="str">
        <f ca="1">IF($Q280="","",INDEX(TongVTSX!C$3:C$1500,$Q280))</f>
        <v/>
      </c>
      <c r="E280" s="23" t="str">
        <f ca="1">IF($Q280="","",INDEX(TongVTSX!D$3:D$1500,$Q280))</f>
        <v/>
      </c>
      <c r="F280" s="24" t="str">
        <f ca="1">IF($Q280="","",INDEX(TongVTSX!E$3:E$1500,$Q280))</f>
        <v/>
      </c>
      <c r="G280" s="24" t="str">
        <f ca="1">IF($Q280="","",INDEX(TongVTSX!G$3:G$1500,$Q280))</f>
        <v/>
      </c>
      <c r="H280" s="23" t="str">
        <f ca="1">IF($Q280="","",SUMPRODUCT((TongVTSX!$C$3:$C$1500=$D280)*(TongVTSX!$E$3:$E$1500=$F280)*(TongVTSX!$G$3:$G$1500=$G280)*(TongVTSX!$H$3:$H$1500)))</f>
        <v/>
      </c>
      <c r="I280" s="92">
        <f t="shared" ca="1" si="17"/>
        <v>0</v>
      </c>
      <c r="J280" s="114">
        <f t="shared" ca="1" si="18"/>
        <v>0</v>
      </c>
      <c r="K280" s="187" t="str">
        <f t="shared" ca="1" si="19"/>
        <v/>
      </c>
      <c r="Q280" s="1032" t="str">
        <f ca="1">IF(TYPE(MATCH($S$2,OFFSET(TongVTSX!$U$3,Q279,0):'TongVTSX'!$U$1500,0)+Q279)=16,"",MATCH($S$2,OFFSET(TongVTSX!$U$3,Q279,0):'TongVTSX'!$U$1500,0)+Q279)</f>
        <v/>
      </c>
      <c r="R280" s="1036"/>
      <c r="S280" s="18"/>
    </row>
    <row r="281" spans="1:19">
      <c r="A281" s="19" t="str">
        <f ca="1">IF($Q281="","",MAX($A$203:A280)+1)</f>
        <v/>
      </c>
      <c r="B281" s="1146"/>
      <c r="C281" s="1146"/>
      <c r="D281" s="23" t="str">
        <f ca="1">IF($Q281="","",INDEX(TongVTSX!C$3:C$1500,$Q281))</f>
        <v/>
      </c>
      <c r="E281" s="23" t="str">
        <f ca="1">IF($Q281="","",INDEX(TongVTSX!D$3:D$1500,$Q281))</f>
        <v/>
      </c>
      <c r="F281" s="24" t="str">
        <f ca="1">IF($Q281="","",INDEX(TongVTSX!E$3:E$1500,$Q281))</f>
        <v/>
      </c>
      <c r="G281" s="24" t="str">
        <f ca="1">IF($Q281="","",INDEX(TongVTSX!G$3:G$1500,$Q281))</f>
        <v/>
      </c>
      <c r="H281" s="23" t="str">
        <f ca="1">IF($Q281="","",SUMPRODUCT((TongVTSX!$C$3:$C$1500=$D281)*(TongVTSX!$E$3:$E$1500=$F281)*(TongVTSX!$G$3:$G$1500=$G281)*(TongVTSX!$H$3:$H$1500)))</f>
        <v/>
      </c>
      <c r="I281" s="92">
        <f t="shared" ca="1" si="17"/>
        <v>0</v>
      </c>
      <c r="J281" s="114">
        <f t="shared" ca="1" si="18"/>
        <v>0</v>
      </c>
      <c r="K281" s="187" t="str">
        <f t="shared" ca="1" si="19"/>
        <v/>
      </c>
      <c r="Q281" s="1032" t="str">
        <f ca="1">IF(TYPE(MATCH($S$2,OFFSET(TongVTSX!$U$3,Q280,0):'TongVTSX'!$U$1500,0)+Q280)=16,"",MATCH($S$2,OFFSET(TongVTSX!$U$3,Q280,0):'TongVTSX'!$U$1500,0)+Q280)</f>
        <v/>
      </c>
      <c r="R281" s="1036"/>
      <c r="S281" s="18"/>
    </row>
    <row r="282" spans="1:19">
      <c r="A282" s="19" t="str">
        <f ca="1">IF($Q282="","",MAX($A$203:A281)+1)</f>
        <v/>
      </c>
      <c r="B282" s="1146"/>
      <c r="C282" s="1146"/>
      <c r="D282" s="23" t="str">
        <f ca="1">IF($Q282="","",INDEX(TongVTSX!C$3:C$1500,$Q282))</f>
        <v/>
      </c>
      <c r="E282" s="23" t="str">
        <f ca="1">IF($Q282="","",INDEX(TongVTSX!D$3:D$1500,$Q282))</f>
        <v/>
      </c>
      <c r="F282" s="24" t="str">
        <f ca="1">IF($Q282="","",INDEX(TongVTSX!E$3:E$1500,$Q282))</f>
        <v/>
      </c>
      <c r="G282" s="24" t="str">
        <f ca="1">IF($Q282="","",INDEX(TongVTSX!G$3:G$1500,$Q282))</f>
        <v/>
      </c>
      <c r="H282" s="23" t="str">
        <f ca="1">IF($Q282="","",SUMPRODUCT((TongVTSX!$C$3:$C$1500=$D282)*(TongVTSX!$E$3:$E$1500=$F282)*(TongVTSX!$G$3:$G$1500=$G282)*(TongVTSX!$H$3:$H$1500)))</f>
        <v/>
      </c>
      <c r="I282" s="92">
        <f t="shared" ca="1" si="17"/>
        <v>0</v>
      </c>
      <c r="J282" s="114">
        <f t="shared" ca="1" si="18"/>
        <v>0</v>
      </c>
      <c r="K282" s="187" t="str">
        <f t="shared" ca="1" si="19"/>
        <v/>
      </c>
      <c r="Q282" s="1032" t="str">
        <f ca="1">IF(TYPE(MATCH($S$2,OFFSET(TongVTSX!$U$3,Q281,0):'TongVTSX'!$U$1500,0)+Q281)=16,"",MATCH($S$2,OFFSET(TongVTSX!$U$3,Q281,0):'TongVTSX'!$U$1500,0)+Q281)</f>
        <v/>
      </c>
      <c r="R282" s="1036"/>
      <c r="S282" s="18"/>
    </row>
    <row r="283" spans="1:19">
      <c r="A283" s="19" t="str">
        <f ca="1">IF($Q283="","",MAX($A$203:A282)+1)</f>
        <v/>
      </c>
      <c r="B283" s="1146"/>
      <c r="C283" s="1146"/>
      <c r="D283" s="23" t="str">
        <f ca="1">IF($Q283="","",INDEX(TongVTSX!C$3:C$1500,$Q283))</f>
        <v/>
      </c>
      <c r="E283" s="23" t="str">
        <f ca="1">IF($Q283="","",INDEX(TongVTSX!D$3:D$1500,$Q283))</f>
        <v/>
      </c>
      <c r="F283" s="24" t="str">
        <f ca="1">IF($Q283="","",INDEX(TongVTSX!E$3:E$1500,$Q283))</f>
        <v/>
      </c>
      <c r="G283" s="24" t="str">
        <f ca="1">IF($Q283="","",INDEX(TongVTSX!G$3:G$1500,$Q283))</f>
        <v/>
      </c>
      <c r="H283" s="23" t="str">
        <f ca="1">IF($Q283="","",SUMPRODUCT((TongVTSX!$C$3:$C$1500=$D283)*(TongVTSX!$E$3:$E$1500=$F283)*(TongVTSX!$G$3:$G$1500=$G283)*(TongVTSX!$H$3:$H$1500)))</f>
        <v/>
      </c>
      <c r="I283" s="92">
        <f t="shared" ca="1" si="17"/>
        <v>0</v>
      </c>
      <c r="J283" s="114">
        <f t="shared" ca="1" si="18"/>
        <v>0</v>
      </c>
      <c r="K283" s="187" t="str">
        <f t="shared" ca="1" si="19"/>
        <v/>
      </c>
      <c r="Q283" s="1032" t="str">
        <f ca="1">IF(TYPE(MATCH($S$2,OFFSET(TongVTSX!$U$3,Q282,0):'TongVTSX'!$U$1500,0)+Q282)=16,"",MATCH($S$2,OFFSET(TongVTSX!$U$3,Q282,0):'TongVTSX'!$U$1500,0)+Q282)</f>
        <v/>
      </c>
      <c r="R283" s="1036"/>
      <c r="S283" s="18"/>
    </row>
    <row r="284" spans="1:19">
      <c r="A284" s="19" t="str">
        <f ca="1">IF($Q284="","",MAX($A$203:A283)+1)</f>
        <v/>
      </c>
      <c r="B284" s="1146"/>
      <c r="C284" s="1146"/>
      <c r="D284" s="23" t="str">
        <f ca="1">IF($Q284="","",INDEX(TongVTSX!C$3:C$1500,$Q284))</f>
        <v/>
      </c>
      <c r="E284" s="23" t="str">
        <f ca="1">IF($Q284="","",INDEX(TongVTSX!D$3:D$1500,$Q284))</f>
        <v/>
      </c>
      <c r="F284" s="24" t="str">
        <f ca="1">IF($Q284="","",INDEX(TongVTSX!E$3:E$1500,$Q284))</f>
        <v/>
      </c>
      <c r="G284" s="24" t="str">
        <f ca="1">IF($Q284="","",INDEX(TongVTSX!G$3:G$1500,$Q284))</f>
        <v/>
      </c>
      <c r="H284" s="23" t="str">
        <f ca="1">IF($Q284="","",SUMPRODUCT((TongVTSX!$C$3:$C$1500=$D284)*(TongVTSX!$E$3:$E$1500=$F284)*(TongVTSX!$G$3:$G$1500=$G284)*(TongVTSX!$H$3:$H$1500)))</f>
        <v/>
      </c>
      <c r="I284" s="92">
        <f t="shared" ca="1" si="17"/>
        <v>0</v>
      </c>
      <c r="J284" s="114">
        <f t="shared" ca="1" si="18"/>
        <v>0</v>
      </c>
      <c r="K284" s="187" t="str">
        <f t="shared" ca="1" si="19"/>
        <v/>
      </c>
      <c r="Q284" s="1032" t="str">
        <f ca="1">IF(TYPE(MATCH($S$2,OFFSET(TongVTSX!$U$3,Q283,0):'TongVTSX'!$U$1500,0)+Q283)=16,"",MATCH($S$2,OFFSET(TongVTSX!$U$3,Q283,0):'TongVTSX'!$U$1500,0)+Q283)</f>
        <v/>
      </c>
      <c r="R284" s="1036"/>
      <c r="S284" s="18"/>
    </row>
    <row r="285" spans="1:19">
      <c r="A285" s="19" t="str">
        <f ca="1">IF($Q285="","",MAX($A$203:A284)+1)</f>
        <v/>
      </c>
      <c r="B285" s="1146"/>
      <c r="C285" s="1146"/>
      <c r="D285" s="23" t="str">
        <f ca="1">IF($Q285="","",INDEX(TongVTSX!C$3:C$1500,$Q285))</f>
        <v/>
      </c>
      <c r="E285" s="23" t="str">
        <f ca="1">IF($Q285="","",INDEX(TongVTSX!D$3:D$1500,$Q285))</f>
        <v/>
      </c>
      <c r="F285" s="24" t="str">
        <f ca="1">IF($Q285="","",INDEX(TongVTSX!E$3:E$1500,$Q285))</f>
        <v/>
      </c>
      <c r="G285" s="24" t="str">
        <f ca="1">IF($Q285="","",INDEX(TongVTSX!G$3:G$1500,$Q285))</f>
        <v/>
      </c>
      <c r="H285" s="23" t="str">
        <f ca="1">IF($Q285="","",SUMPRODUCT((TongVTSX!$C$3:$C$1500=$D285)*(TongVTSX!$E$3:$E$1500=$F285)*(TongVTSX!$G$3:$G$1500=$G285)*(TongVTSX!$H$3:$H$1500)))</f>
        <v/>
      </c>
      <c r="I285" s="92">
        <f t="shared" ca="1" si="17"/>
        <v>0</v>
      </c>
      <c r="J285" s="114">
        <f t="shared" ca="1" si="18"/>
        <v>0</v>
      </c>
      <c r="K285" s="187" t="str">
        <f t="shared" ca="1" si="19"/>
        <v/>
      </c>
      <c r="Q285" s="1032" t="str">
        <f ca="1">IF(TYPE(MATCH($S$2,OFFSET(TongVTSX!$U$3,Q284,0):'TongVTSX'!$U$1500,0)+Q284)=16,"",MATCH($S$2,OFFSET(TongVTSX!$U$3,Q284,0):'TongVTSX'!$U$1500,0)+Q284)</f>
        <v/>
      </c>
      <c r="R285" s="1036"/>
      <c r="S285" s="18"/>
    </row>
    <row r="286" spans="1:19">
      <c r="A286" s="19" t="str">
        <f ca="1">IF($Q286="","",MAX($A$203:A285)+1)</f>
        <v/>
      </c>
      <c r="B286" s="1146"/>
      <c r="C286" s="1146"/>
      <c r="D286" s="23" t="str">
        <f ca="1">IF($Q286="","",INDEX(TongVTSX!C$3:C$1500,$Q286))</f>
        <v/>
      </c>
      <c r="E286" s="23" t="str">
        <f ca="1">IF($Q286="","",INDEX(TongVTSX!D$3:D$1500,$Q286))</f>
        <v/>
      </c>
      <c r="F286" s="24" t="str">
        <f ca="1">IF($Q286="","",INDEX(TongVTSX!E$3:E$1500,$Q286))</f>
        <v/>
      </c>
      <c r="G286" s="24" t="str">
        <f ca="1">IF($Q286="","",INDEX(TongVTSX!G$3:G$1500,$Q286))</f>
        <v/>
      </c>
      <c r="H286" s="23" t="str">
        <f ca="1">IF($Q286="","",SUMPRODUCT((TongVTSX!$C$3:$C$1500=$D286)*(TongVTSX!$E$3:$E$1500=$F286)*(TongVTSX!$G$3:$G$1500=$G286)*(TongVTSX!$H$3:$H$1500)))</f>
        <v/>
      </c>
      <c r="I286" s="92">
        <f t="shared" ca="1" si="17"/>
        <v>0</v>
      </c>
      <c r="J286" s="114">
        <f t="shared" ca="1" si="18"/>
        <v>0</v>
      </c>
      <c r="K286" s="187" t="str">
        <f t="shared" ca="1" si="19"/>
        <v/>
      </c>
      <c r="Q286" s="1032" t="str">
        <f ca="1">IF(TYPE(MATCH($S$2,OFFSET(TongVTSX!$U$3,Q285,0):'TongVTSX'!$U$1500,0)+Q285)=16,"",MATCH($S$2,OFFSET(TongVTSX!$U$3,Q285,0):'TongVTSX'!$U$1500,0)+Q285)</f>
        <v/>
      </c>
      <c r="R286" s="1036"/>
      <c r="S286" s="18"/>
    </row>
    <row r="287" spans="1:19">
      <c r="A287" s="19" t="str">
        <f ca="1">IF($Q287="","",MAX($A$203:A286)+1)</f>
        <v/>
      </c>
      <c r="B287" s="1146"/>
      <c r="C287" s="1146"/>
      <c r="D287" s="23" t="str">
        <f ca="1">IF($Q287="","",INDEX(TongVTSX!C$3:C$1500,$Q287))</f>
        <v/>
      </c>
      <c r="E287" s="23" t="str">
        <f ca="1">IF($Q287="","",INDEX(TongVTSX!D$3:D$1500,$Q287))</f>
        <v/>
      </c>
      <c r="F287" s="24" t="str">
        <f ca="1">IF($Q287="","",INDEX(TongVTSX!E$3:E$1500,$Q287))</f>
        <v/>
      </c>
      <c r="G287" s="24" t="str">
        <f ca="1">IF($Q287="","",INDEX(TongVTSX!G$3:G$1500,$Q287))</f>
        <v/>
      </c>
      <c r="H287" s="23" t="str">
        <f ca="1">IF($Q287="","",SUMPRODUCT((TongVTSX!$C$3:$C$1500=$D287)*(TongVTSX!$E$3:$E$1500=$F287)*(TongVTSX!$G$3:$G$1500=$G287)*(TongVTSX!$H$3:$H$1500)))</f>
        <v/>
      </c>
      <c r="I287" s="92">
        <f t="shared" ca="1" si="17"/>
        <v>0</v>
      </c>
      <c r="J287" s="114">
        <f t="shared" ca="1" si="18"/>
        <v>0</v>
      </c>
      <c r="K287" s="187" t="str">
        <f t="shared" ca="1" si="19"/>
        <v/>
      </c>
      <c r="Q287" s="1032" t="str">
        <f ca="1">IF(TYPE(MATCH($S$2,OFFSET(TongVTSX!$U$3,Q286,0):'TongVTSX'!$U$1500,0)+Q286)=16,"",MATCH($S$2,OFFSET(TongVTSX!$U$3,Q286,0):'TongVTSX'!$U$1500,0)+Q286)</f>
        <v/>
      </c>
      <c r="R287" s="1036"/>
      <c r="S287" s="18"/>
    </row>
    <row r="288" spans="1:19">
      <c r="A288" s="19" t="str">
        <f ca="1">IF($Q288="","",MAX($A$203:A287)+1)</f>
        <v/>
      </c>
      <c r="B288" s="1146"/>
      <c r="C288" s="1146"/>
      <c r="D288" s="23" t="str">
        <f ca="1">IF($Q288="","",INDEX(TongVTSX!C$3:C$1500,$Q288))</f>
        <v/>
      </c>
      <c r="E288" s="23" t="str">
        <f ca="1">IF($Q288="","",INDEX(TongVTSX!D$3:D$1500,$Q288))</f>
        <v/>
      </c>
      <c r="F288" s="24" t="str">
        <f ca="1">IF($Q288="","",INDEX(TongVTSX!E$3:E$1500,$Q288))</f>
        <v/>
      </c>
      <c r="G288" s="24" t="str">
        <f ca="1">IF($Q288="","",INDEX(TongVTSX!G$3:G$1500,$Q288))</f>
        <v/>
      </c>
      <c r="H288" s="23" t="str">
        <f ca="1">IF($Q288="","",SUMPRODUCT((TongVTSX!$C$3:$C$1500=$D288)*(TongVTSX!$E$3:$E$1500=$F288)*(TongVTSX!$G$3:$G$1500=$G288)*(TongVTSX!$H$3:$H$1500)))</f>
        <v/>
      </c>
      <c r="I288" s="92">
        <f t="shared" ca="1" si="17"/>
        <v>0</v>
      </c>
      <c r="J288" s="114">
        <f t="shared" ca="1" si="18"/>
        <v>0</v>
      </c>
      <c r="K288" s="187" t="str">
        <f t="shared" ca="1" si="19"/>
        <v/>
      </c>
      <c r="Q288" s="1032" t="str">
        <f ca="1">IF(TYPE(MATCH($S$2,OFFSET(TongVTSX!$U$3,Q287,0):'TongVTSX'!$U$1500,0)+Q287)=16,"",MATCH($S$2,OFFSET(TongVTSX!$U$3,Q287,0):'TongVTSX'!$U$1500,0)+Q287)</f>
        <v/>
      </c>
      <c r="R288" s="1036"/>
      <c r="S288" s="18"/>
    </row>
    <row r="289" spans="1:19">
      <c r="A289" s="19" t="str">
        <f ca="1">IF($Q289="","",MAX($A$203:A288)+1)</f>
        <v/>
      </c>
      <c r="B289" s="1146"/>
      <c r="C289" s="1146"/>
      <c r="D289" s="23" t="str">
        <f ca="1">IF($Q289="","",INDEX(TongVTSX!C$3:C$1500,$Q289))</f>
        <v/>
      </c>
      <c r="E289" s="23" t="str">
        <f ca="1">IF($Q289="","",INDEX(TongVTSX!D$3:D$1500,$Q289))</f>
        <v/>
      </c>
      <c r="F289" s="24" t="str">
        <f ca="1">IF($Q289="","",INDEX(TongVTSX!E$3:E$1500,$Q289))</f>
        <v/>
      </c>
      <c r="G289" s="24" t="str">
        <f ca="1">IF($Q289="","",INDEX(TongVTSX!G$3:G$1500,$Q289))</f>
        <v/>
      </c>
      <c r="H289" s="23" t="str">
        <f ca="1">IF($Q289="","",SUMPRODUCT((TongVTSX!$C$3:$C$1500=$D289)*(TongVTSX!$E$3:$E$1500=$F289)*(TongVTSX!$G$3:$G$1500=$G289)*(TongVTSX!$H$3:$H$1500)))</f>
        <v/>
      </c>
      <c r="I289" s="92">
        <f t="shared" ca="1" si="17"/>
        <v>0</v>
      </c>
      <c r="J289" s="114">
        <f t="shared" ca="1" si="18"/>
        <v>0</v>
      </c>
      <c r="K289" s="187" t="str">
        <f t="shared" ca="1" si="19"/>
        <v/>
      </c>
      <c r="Q289" s="1032" t="str">
        <f ca="1">IF(TYPE(MATCH($S$2,OFFSET(TongVTSX!$U$3,Q288,0):'TongVTSX'!$U$1500,0)+Q288)=16,"",MATCH($S$2,OFFSET(TongVTSX!$U$3,Q288,0):'TongVTSX'!$U$1500,0)+Q288)</f>
        <v/>
      </c>
      <c r="R289" s="1036"/>
      <c r="S289" s="18"/>
    </row>
    <row r="290" spans="1:19">
      <c r="A290" s="19" t="str">
        <f ca="1">IF($Q290="","",MAX($A$203:A289)+1)</f>
        <v/>
      </c>
      <c r="B290" s="1146"/>
      <c r="C290" s="1146"/>
      <c r="D290" s="23" t="str">
        <f ca="1">IF($Q290="","",INDEX(TongVTSX!C$3:C$1500,$Q290))</f>
        <v/>
      </c>
      <c r="E290" s="23" t="str">
        <f ca="1">IF($Q290="","",INDEX(TongVTSX!D$3:D$1500,$Q290))</f>
        <v/>
      </c>
      <c r="F290" s="24" t="str">
        <f ca="1">IF($Q290="","",INDEX(TongVTSX!E$3:E$1500,$Q290))</f>
        <v/>
      </c>
      <c r="G290" s="24" t="str">
        <f ca="1">IF($Q290="","",INDEX(TongVTSX!G$3:G$1500,$Q290))</f>
        <v/>
      </c>
      <c r="H290" s="23" t="str">
        <f ca="1">IF($Q290="","",SUMPRODUCT((TongVTSX!$C$3:$C$1500=$D290)*(TongVTSX!$E$3:$E$1500=$F290)*(TongVTSX!$G$3:$G$1500=$G290)*(TongVTSX!$H$3:$H$1500)))</f>
        <v/>
      </c>
      <c r="I290" s="92">
        <f t="shared" ca="1" si="17"/>
        <v>0</v>
      </c>
      <c r="J290" s="114">
        <f t="shared" ca="1" si="18"/>
        <v>0</v>
      </c>
      <c r="K290" s="187" t="str">
        <f t="shared" ca="1" si="19"/>
        <v/>
      </c>
      <c r="Q290" s="1032" t="str">
        <f ca="1">IF(TYPE(MATCH($S$2,OFFSET(TongVTSX!$U$3,Q289,0):'TongVTSX'!$U$1500,0)+Q289)=16,"",MATCH($S$2,OFFSET(TongVTSX!$U$3,Q289,0):'TongVTSX'!$U$1500,0)+Q289)</f>
        <v/>
      </c>
      <c r="R290" s="1036"/>
      <c r="S290" s="18"/>
    </row>
    <row r="291" spans="1:19">
      <c r="A291" s="19" t="str">
        <f ca="1">IF($Q291="","",MAX($A$203:A290)+1)</f>
        <v/>
      </c>
      <c r="B291" s="1146"/>
      <c r="C291" s="1146"/>
      <c r="D291" s="23" t="str">
        <f ca="1">IF($Q291="","",INDEX(TongVTSX!C$3:C$1500,$Q291))</f>
        <v/>
      </c>
      <c r="E291" s="23" t="str">
        <f ca="1">IF($Q291="","",INDEX(TongVTSX!D$3:D$1500,$Q291))</f>
        <v/>
      </c>
      <c r="F291" s="24" t="str">
        <f ca="1">IF($Q291="","",INDEX(TongVTSX!E$3:E$1500,$Q291))</f>
        <v/>
      </c>
      <c r="G291" s="24" t="str">
        <f ca="1">IF($Q291="","",INDEX(TongVTSX!G$3:G$1500,$Q291))</f>
        <v/>
      </c>
      <c r="H291" s="23" t="str">
        <f ca="1">IF($Q291="","",SUMPRODUCT((TongVTSX!$C$3:$C$1500=$D291)*(TongVTSX!$E$3:$E$1500=$F291)*(TongVTSX!$G$3:$G$1500=$G291)*(TongVTSX!$H$3:$H$1500)))</f>
        <v/>
      </c>
      <c r="I291" s="92">
        <f t="shared" ca="1" si="17"/>
        <v>0</v>
      </c>
      <c r="J291" s="114">
        <f t="shared" ca="1" si="18"/>
        <v>0</v>
      </c>
      <c r="K291" s="187" t="str">
        <f t="shared" ca="1" si="19"/>
        <v/>
      </c>
      <c r="Q291" s="1032" t="str">
        <f ca="1">IF(TYPE(MATCH($S$2,OFFSET(TongVTSX!$U$3,Q290,0):'TongVTSX'!$U$1500,0)+Q290)=16,"",MATCH($S$2,OFFSET(TongVTSX!$U$3,Q290,0):'TongVTSX'!$U$1500,0)+Q290)</f>
        <v/>
      </c>
      <c r="R291" s="1036"/>
      <c r="S291" s="18"/>
    </row>
    <row r="292" spans="1:19">
      <c r="A292" s="19" t="str">
        <f ca="1">IF($Q292="","",MAX($A$203:A291)+1)</f>
        <v/>
      </c>
      <c r="B292" s="1146"/>
      <c r="C292" s="1146"/>
      <c r="D292" s="23" t="str">
        <f ca="1">IF($Q292="","",INDEX(TongVTSX!C$3:C$1500,$Q292))</f>
        <v/>
      </c>
      <c r="E292" s="23" t="str">
        <f ca="1">IF($Q292="","",INDEX(TongVTSX!D$3:D$1500,$Q292))</f>
        <v/>
      </c>
      <c r="F292" s="24" t="str">
        <f ca="1">IF($Q292="","",INDEX(TongVTSX!E$3:E$1500,$Q292))</f>
        <v/>
      </c>
      <c r="G292" s="24" t="str">
        <f ca="1">IF($Q292="","",INDEX(TongVTSX!G$3:G$1500,$Q292))</f>
        <v/>
      </c>
      <c r="H292" s="23" t="str">
        <f ca="1">IF($Q292="","",SUMPRODUCT((TongVTSX!$C$3:$C$1500=$D292)*(TongVTSX!$E$3:$E$1500=$F292)*(TongVTSX!$G$3:$G$1500=$G292)*(TongVTSX!$H$3:$H$1500)))</f>
        <v/>
      </c>
      <c r="I292" s="92">
        <f t="shared" ca="1" si="17"/>
        <v>0</v>
      </c>
      <c r="J292" s="114">
        <f t="shared" ca="1" si="18"/>
        <v>0</v>
      </c>
      <c r="K292" s="187" t="str">
        <f t="shared" ca="1" si="19"/>
        <v/>
      </c>
      <c r="Q292" s="1032" t="str">
        <f ca="1">IF(TYPE(MATCH($S$2,OFFSET(TongVTSX!$U$3,Q291,0):'TongVTSX'!$U$1500,0)+Q291)=16,"",MATCH($S$2,OFFSET(TongVTSX!$U$3,Q291,0):'TongVTSX'!$U$1500,0)+Q291)</f>
        <v/>
      </c>
      <c r="R292" s="1036"/>
      <c r="S292" s="18"/>
    </row>
    <row r="293" spans="1:19">
      <c r="A293" s="19" t="str">
        <f ca="1">IF($Q293="","",MAX($A$203:A292)+1)</f>
        <v/>
      </c>
      <c r="B293" s="1146"/>
      <c r="C293" s="1146"/>
      <c r="D293" s="23" t="str">
        <f ca="1">IF($Q293="","",INDEX(TongVTSX!C$3:C$1500,$Q293))</f>
        <v/>
      </c>
      <c r="E293" s="23" t="str">
        <f ca="1">IF($Q293="","",INDEX(TongVTSX!D$3:D$1500,$Q293))</f>
        <v/>
      </c>
      <c r="F293" s="24" t="str">
        <f ca="1">IF($Q293="","",INDEX(TongVTSX!E$3:E$1500,$Q293))</f>
        <v/>
      </c>
      <c r="G293" s="24" t="str">
        <f ca="1">IF($Q293="","",INDEX(TongVTSX!G$3:G$1500,$Q293))</f>
        <v/>
      </c>
      <c r="H293" s="23" t="str">
        <f ca="1">IF($Q293="","",SUMPRODUCT((TongVTSX!$C$3:$C$1500=$D293)*(TongVTSX!$E$3:$E$1500=$F293)*(TongVTSX!$G$3:$G$1500=$G293)*(TongVTSX!$H$3:$H$1500)))</f>
        <v/>
      </c>
      <c r="I293" s="92">
        <f t="shared" ca="1" si="17"/>
        <v>0</v>
      </c>
      <c r="J293" s="114">
        <f t="shared" ca="1" si="18"/>
        <v>0</v>
      </c>
      <c r="K293" s="187" t="str">
        <f t="shared" ca="1" si="19"/>
        <v/>
      </c>
      <c r="Q293" s="1032" t="str">
        <f ca="1">IF(TYPE(MATCH($S$2,OFFSET(TongVTSX!$U$3,Q292,0):'TongVTSX'!$U$1500,0)+Q292)=16,"",MATCH($S$2,OFFSET(TongVTSX!$U$3,Q292,0):'TongVTSX'!$U$1500,0)+Q292)</f>
        <v/>
      </c>
      <c r="R293" s="1036"/>
      <c r="S293" s="18"/>
    </row>
    <row r="294" spans="1:19">
      <c r="A294" s="19" t="str">
        <f ca="1">IF($Q294="","",MAX($A$203:A293)+1)</f>
        <v/>
      </c>
      <c r="B294" s="1146"/>
      <c r="C294" s="1146"/>
      <c r="D294" s="23" t="str">
        <f ca="1">IF($Q294="","",INDEX(TongVTSX!C$3:C$1500,$Q294))</f>
        <v/>
      </c>
      <c r="E294" s="23" t="str">
        <f ca="1">IF($Q294="","",INDEX(TongVTSX!D$3:D$1500,$Q294))</f>
        <v/>
      </c>
      <c r="F294" s="24" t="str">
        <f ca="1">IF($Q294="","",INDEX(TongVTSX!E$3:E$1500,$Q294))</f>
        <v/>
      </c>
      <c r="G294" s="24" t="str">
        <f ca="1">IF($Q294="","",INDEX(TongVTSX!G$3:G$1500,$Q294))</f>
        <v/>
      </c>
      <c r="H294" s="23" t="str">
        <f ca="1">IF($Q294="","",SUMPRODUCT((TongVTSX!$C$3:$C$1500=$D294)*(TongVTSX!$E$3:$E$1500=$F294)*(TongVTSX!$G$3:$G$1500=$G294)*(TongVTSX!$H$3:$H$1500)))</f>
        <v/>
      </c>
      <c r="I294" s="92">
        <f t="shared" ca="1" si="17"/>
        <v>0</v>
      </c>
      <c r="J294" s="114">
        <f t="shared" ca="1" si="18"/>
        <v>0</v>
      </c>
      <c r="K294" s="187" t="str">
        <f t="shared" ca="1" si="19"/>
        <v/>
      </c>
      <c r="Q294" s="1032" t="str">
        <f ca="1">IF(TYPE(MATCH($S$2,OFFSET(TongVTSX!$U$3,Q293,0):'TongVTSX'!$U$1500,0)+Q293)=16,"",MATCH($S$2,OFFSET(TongVTSX!$U$3,Q293,0):'TongVTSX'!$U$1500,0)+Q293)</f>
        <v/>
      </c>
      <c r="R294" s="1036"/>
      <c r="S294" s="18"/>
    </row>
    <row r="295" spans="1:19">
      <c r="A295" s="19" t="str">
        <f ca="1">IF($Q295="","",MAX($A$203:A294)+1)</f>
        <v/>
      </c>
      <c r="B295" s="1146"/>
      <c r="C295" s="1146"/>
      <c r="D295" s="23" t="str">
        <f ca="1">IF($Q295="","",INDEX(TongVTSX!C$3:C$1500,$Q295))</f>
        <v/>
      </c>
      <c r="E295" s="23" t="str">
        <f ca="1">IF($Q295="","",INDEX(TongVTSX!D$3:D$1500,$Q295))</f>
        <v/>
      </c>
      <c r="F295" s="24" t="str">
        <f ca="1">IF($Q295="","",INDEX(TongVTSX!E$3:E$1500,$Q295))</f>
        <v/>
      </c>
      <c r="G295" s="24" t="str">
        <f ca="1">IF($Q295="","",INDEX(TongVTSX!G$3:G$1500,$Q295))</f>
        <v/>
      </c>
      <c r="H295" s="23" t="str">
        <f ca="1">IF($Q295="","",SUMPRODUCT((TongVTSX!$C$3:$C$1500=$D295)*(TongVTSX!$E$3:$E$1500=$F295)*(TongVTSX!$G$3:$G$1500=$G295)*(TongVTSX!$H$3:$H$1500)))</f>
        <v/>
      </c>
      <c r="I295" s="92">
        <f t="shared" ca="1" si="17"/>
        <v>0</v>
      </c>
      <c r="J295" s="114">
        <f t="shared" ca="1" si="18"/>
        <v>0</v>
      </c>
      <c r="K295" s="187" t="str">
        <f t="shared" ca="1" si="19"/>
        <v/>
      </c>
      <c r="Q295" s="1032" t="str">
        <f ca="1">IF(TYPE(MATCH($S$2,OFFSET(TongVTSX!$U$3,Q294,0):'TongVTSX'!$U$1500,0)+Q294)=16,"",MATCH($S$2,OFFSET(TongVTSX!$U$3,Q294,0):'TongVTSX'!$U$1500,0)+Q294)</f>
        <v/>
      </c>
      <c r="R295" s="1036"/>
      <c r="S295" s="18"/>
    </row>
    <row r="296" spans="1:19">
      <c r="A296" s="19" t="str">
        <f ca="1">IF($Q296="","",MAX($A$203:A295)+1)</f>
        <v/>
      </c>
      <c r="B296" s="1146"/>
      <c r="C296" s="1146"/>
      <c r="D296" s="23" t="str">
        <f ca="1">IF($Q296="","",INDEX(TongVTSX!C$3:C$1500,$Q296))</f>
        <v/>
      </c>
      <c r="E296" s="23" t="str">
        <f ca="1">IF($Q296="","",INDEX(TongVTSX!D$3:D$1500,$Q296))</f>
        <v/>
      </c>
      <c r="F296" s="24" t="str">
        <f ca="1">IF($Q296="","",INDEX(TongVTSX!E$3:E$1500,$Q296))</f>
        <v/>
      </c>
      <c r="G296" s="24" t="str">
        <f ca="1">IF($Q296="","",INDEX(TongVTSX!G$3:G$1500,$Q296))</f>
        <v/>
      </c>
      <c r="H296" s="23" t="str">
        <f ca="1">IF($Q296="","",SUMPRODUCT((TongVTSX!$C$3:$C$1500=$D296)*(TongVTSX!$E$3:$E$1500=$F296)*(TongVTSX!$G$3:$G$1500=$G296)*(TongVTSX!$H$3:$H$1500)))</f>
        <v/>
      </c>
      <c r="I296" s="92">
        <f t="shared" ca="1" si="17"/>
        <v>0</v>
      </c>
      <c r="J296" s="114">
        <f t="shared" ca="1" si="18"/>
        <v>0</v>
      </c>
      <c r="K296" s="187" t="str">
        <f t="shared" ca="1" si="19"/>
        <v/>
      </c>
      <c r="Q296" s="1032" t="str">
        <f ca="1">IF(TYPE(MATCH($S$2,OFFSET(TongVTSX!$U$3,Q295,0):'TongVTSX'!$U$1500,0)+Q295)=16,"",MATCH($S$2,OFFSET(TongVTSX!$U$3,Q295,0):'TongVTSX'!$U$1500,0)+Q295)</f>
        <v/>
      </c>
      <c r="R296" s="1036"/>
      <c r="S296" s="18"/>
    </row>
    <row r="297" spans="1:19">
      <c r="A297" s="19" t="str">
        <f ca="1">IF($Q297="","",MAX($A$203:A296)+1)</f>
        <v/>
      </c>
      <c r="B297" s="1146"/>
      <c r="C297" s="1146"/>
      <c r="D297" s="23" t="str">
        <f ca="1">IF($Q297="","",INDEX(TongVTSX!C$3:C$1500,$Q297))</f>
        <v/>
      </c>
      <c r="E297" s="23" t="str">
        <f ca="1">IF($Q297="","",INDEX(TongVTSX!D$3:D$1500,$Q297))</f>
        <v/>
      </c>
      <c r="F297" s="24" t="str">
        <f ca="1">IF($Q297="","",INDEX(TongVTSX!E$3:E$1500,$Q297))</f>
        <v/>
      </c>
      <c r="G297" s="24" t="str">
        <f ca="1">IF($Q297="","",INDEX(TongVTSX!G$3:G$1500,$Q297))</f>
        <v/>
      </c>
      <c r="H297" s="23" t="str">
        <f ca="1">IF($Q297="","",SUMPRODUCT((TongVTSX!$C$3:$C$1500=$D297)*(TongVTSX!$E$3:$E$1500=$F297)*(TongVTSX!$G$3:$G$1500=$G297)*(TongVTSX!$H$3:$H$1500)))</f>
        <v/>
      </c>
      <c r="I297" s="92">
        <f t="shared" ca="1" si="17"/>
        <v>0</v>
      </c>
      <c r="J297" s="114">
        <f t="shared" ca="1" si="18"/>
        <v>0</v>
      </c>
      <c r="K297" s="187" t="str">
        <f t="shared" ca="1" si="19"/>
        <v/>
      </c>
      <c r="Q297" s="1032" t="str">
        <f ca="1">IF(TYPE(MATCH($S$2,OFFSET(TongVTSX!$U$3,Q296,0):'TongVTSX'!$U$1500,0)+Q296)=16,"",MATCH($S$2,OFFSET(TongVTSX!$U$3,Q296,0):'TongVTSX'!$U$1500,0)+Q296)</f>
        <v/>
      </c>
      <c r="R297" s="1036"/>
      <c r="S297" s="18"/>
    </row>
    <row r="298" spans="1:19">
      <c r="A298" s="19" t="str">
        <f ca="1">IF($Q298="","",MAX($A$203:A297)+1)</f>
        <v/>
      </c>
      <c r="B298" s="1146"/>
      <c r="C298" s="1146"/>
      <c r="D298" s="23" t="str">
        <f ca="1">IF($Q298="","",INDEX(TongVTSX!C$3:C$1500,$Q298))</f>
        <v/>
      </c>
      <c r="E298" s="23" t="str">
        <f ca="1">IF($Q298="","",INDEX(TongVTSX!D$3:D$1500,$Q298))</f>
        <v/>
      </c>
      <c r="F298" s="24" t="str">
        <f ca="1">IF($Q298="","",INDEX(TongVTSX!E$3:E$1500,$Q298))</f>
        <v/>
      </c>
      <c r="G298" s="24" t="str">
        <f ca="1">IF($Q298="","",INDEX(TongVTSX!G$3:G$1500,$Q298))</f>
        <v/>
      </c>
      <c r="H298" s="23" t="str">
        <f ca="1">IF($Q298="","",SUMPRODUCT((TongVTSX!$C$3:$C$1500=$D298)*(TongVTSX!$E$3:$E$1500=$F298)*(TongVTSX!$G$3:$G$1500=$G298)*(TongVTSX!$H$3:$H$1500)))</f>
        <v/>
      </c>
      <c r="I298" s="92">
        <f t="shared" ca="1" si="17"/>
        <v>0</v>
      </c>
      <c r="J298" s="114">
        <f t="shared" ca="1" si="18"/>
        <v>0</v>
      </c>
      <c r="K298" s="187" t="str">
        <f t="shared" ca="1" si="19"/>
        <v/>
      </c>
      <c r="Q298" s="1032" t="str">
        <f ca="1">IF(TYPE(MATCH($S$2,OFFSET(TongVTSX!$U$3,Q297,0):'TongVTSX'!$U$1500,0)+Q297)=16,"",MATCH($S$2,OFFSET(TongVTSX!$U$3,Q297,0):'TongVTSX'!$U$1500,0)+Q297)</f>
        <v/>
      </c>
      <c r="R298" s="1036"/>
      <c r="S298" s="18"/>
    </row>
    <row r="299" spans="1:19">
      <c r="A299" s="19" t="str">
        <f ca="1">IF($Q299="","",MAX($A$203:A298)+1)</f>
        <v/>
      </c>
      <c r="B299" s="1146"/>
      <c r="C299" s="1146"/>
      <c r="D299" s="23" t="str">
        <f ca="1">IF($Q299="","",INDEX(TongVTSX!C$3:C$1500,$Q299))</f>
        <v/>
      </c>
      <c r="E299" s="23" t="str">
        <f ca="1">IF($Q299="","",INDEX(TongVTSX!D$3:D$1500,$Q299))</f>
        <v/>
      </c>
      <c r="F299" s="24" t="str">
        <f ca="1">IF($Q299="","",INDEX(TongVTSX!E$3:E$1500,$Q299))</f>
        <v/>
      </c>
      <c r="G299" s="24" t="str">
        <f ca="1">IF($Q299="","",INDEX(TongVTSX!G$3:G$1500,$Q299))</f>
        <v/>
      </c>
      <c r="H299" s="23" t="str">
        <f ca="1">IF($Q299="","",SUMPRODUCT((TongVTSX!$C$3:$C$1500=$D299)*(TongVTSX!$E$3:$E$1500=$F299)*(TongVTSX!$G$3:$G$1500=$G299)*(TongVTSX!$H$3:$H$1500)))</f>
        <v/>
      </c>
      <c r="I299" s="92">
        <f t="shared" ca="1" si="17"/>
        <v>0</v>
      </c>
      <c r="J299" s="114">
        <f t="shared" ca="1" si="18"/>
        <v>0</v>
      </c>
      <c r="K299" s="187" t="str">
        <f t="shared" ca="1" si="19"/>
        <v/>
      </c>
      <c r="Q299" s="1032" t="str">
        <f ca="1">IF(TYPE(MATCH($S$2,OFFSET(TongVTSX!$U$3,Q298,0):'TongVTSX'!$U$1500,0)+Q298)=16,"",MATCH($S$2,OFFSET(TongVTSX!$U$3,Q298,0):'TongVTSX'!$U$1500,0)+Q298)</f>
        <v/>
      </c>
      <c r="R299" s="1036"/>
      <c r="S299" s="18"/>
    </row>
    <row r="300" spans="1:19">
      <c r="A300" s="19" t="str">
        <f ca="1">IF($Q300="","",MAX($A$203:A299)+1)</f>
        <v/>
      </c>
      <c r="B300" s="1146"/>
      <c r="C300" s="1146"/>
      <c r="D300" s="23" t="str">
        <f ca="1">IF($Q300="","",INDEX(TongVTSX!C$3:C$1500,$Q300))</f>
        <v/>
      </c>
      <c r="E300" s="23" t="str">
        <f ca="1">IF($Q300="","",INDEX(TongVTSX!D$3:D$1500,$Q300))</f>
        <v/>
      </c>
      <c r="F300" s="24" t="str">
        <f ca="1">IF($Q300="","",INDEX(TongVTSX!E$3:E$1500,$Q300))</f>
        <v/>
      </c>
      <c r="G300" s="24" t="str">
        <f ca="1">IF($Q300="","",INDEX(TongVTSX!G$3:G$1500,$Q300))</f>
        <v/>
      </c>
      <c r="H300" s="23" t="str">
        <f ca="1">IF($Q300="","",SUMPRODUCT((TongVTSX!$C$3:$C$1500=$D300)*(TongVTSX!$E$3:$E$1500=$F300)*(TongVTSX!$G$3:$G$1500=$G300)*(TongVTSX!$H$3:$H$1500)))</f>
        <v/>
      </c>
      <c r="I300" s="92">
        <f t="shared" ref="I300:I331" ca="1" si="20">IFERROR($G300*$H300,0)</f>
        <v>0</v>
      </c>
      <c r="J300" s="114">
        <f t="shared" ref="J300:J331" ca="1" si="21">IFERROR(I300/INDEX($U$3:$U$200,MATCH($D300,$D$3:$D$200,0)),0)</f>
        <v>0</v>
      </c>
      <c r="K300" s="187" t="str">
        <f t="shared" ref="K300:K331" ca="1" si="22">IFERROR((ROUNDUP($J300,0)-$J300)*INDEX($U$3:$U$200,MATCH($D300,$D$3:$D$200,0)),"")</f>
        <v/>
      </c>
      <c r="Q300" s="1032" t="str">
        <f ca="1">IF(TYPE(MATCH($S$2,OFFSET(TongVTSX!$U$3,Q299,0):'TongVTSX'!$U$1500,0)+Q299)=16,"",MATCH($S$2,OFFSET(TongVTSX!$U$3,Q299,0):'TongVTSX'!$U$1500,0)+Q299)</f>
        <v/>
      </c>
      <c r="R300" s="1036"/>
      <c r="S300" s="18"/>
    </row>
    <row r="301" spans="1:19">
      <c r="A301" s="19" t="str">
        <f ca="1">IF($Q301="","",MAX($A$203:A300)+1)</f>
        <v/>
      </c>
      <c r="B301" s="1146"/>
      <c r="C301" s="1146"/>
      <c r="D301" s="23" t="str">
        <f ca="1">IF($Q301="","",INDEX(TongVTSX!C$3:C$1500,$Q301))</f>
        <v/>
      </c>
      <c r="E301" s="23" t="str">
        <f ca="1">IF($Q301="","",INDEX(TongVTSX!D$3:D$1500,$Q301))</f>
        <v/>
      </c>
      <c r="F301" s="24" t="str">
        <f ca="1">IF($Q301="","",INDEX(TongVTSX!E$3:E$1500,$Q301))</f>
        <v/>
      </c>
      <c r="G301" s="24" t="str">
        <f ca="1">IF($Q301="","",INDEX(TongVTSX!G$3:G$1500,$Q301))</f>
        <v/>
      </c>
      <c r="H301" s="23" t="str">
        <f ca="1">IF($Q301="","",SUMPRODUCT((TongVTSX!$C$3:$C$1500=$D301)*(TongVTSX!$E$3:$E$1500=$F301)*(TongVTSX!$G$3:$G$1500=$G301)*(TongVTSX!$H$3:$H$1500)))</f>
        <v/>
      </c>
      <c r="I301" s="92">
        <f t="shared" ca="1" si="20"/>
        <v>0</v>
      </c>
      <c r="J301" s="114">
        <f t="shared" ca="1" si="21"/>
        <v>0</v>
      </c>
      <c r="K301" s="187" t="str">
        <f t="shared" ca="1" si="22"/>
        <v/>
      </c>
      <c r="Q301" s="1032" t="str">
        <f ca="1">IF(TYPE(MATCH($S$2,OFFSET(TongVTSX!$U$3,Q300,0):'TongVTSX'!$U$1500,0)+Q300)=16,"",MATCH($S$2,OFFSET(TongVTSX!$U$3,Q300,0):'TongVTSX'!$U$1500,0)+Q300)</f>
        <v/>
      </c>
      <c r="R301" s="1036"/>
      <c r="S301" s="18"/>
    </row>
    <row r="302" spans="1:19">
      <c r="A302" s="19" t="str">
        <f ca="1">IF($Q302="","",MAX($A$203:A301)+1)</f>
        <v/>
      </c>
      <c r="B302" s="1146"/>
      <c r="C302" s="1146"/>
      <c r="D302" s="23" t="str">
        <f ca="1">IF($Q302="","",INDEX(TongVTSX!C$3:C$1500,$Q302))</f>
        <v/>
      </c>
      <c r="E302" s="23" t="str">
        <f ca="1">IF($Q302="","",INDEX(TongVTSX!D$3:D$1500,$Q302))</f>
        <v/>
      </c>
      <c r="F302" s="24" t="str">
        <f ca="1">IF($Q302="","",INDEX(TongVTSX!E$3:E$1500,$Q302))</f>
        <v/>
      </c>
      <c r="G302" s="24" t="str">
        <f ca="1">IF($Q302="","",INDEX(TongVTSX!G$3:G$1500,$Q302))</f>
        <v/>
      </c>
      <c r="H302" s="23" t="str">
        <f ca="1">IF($Q302="","",SUMPRODUCT((TongVTSX!$C$3:$C$1500=$D302)*(TongVTSX!$E$3:$E$1500=$F302)*(TongVTSX!$G$3:$G$1500=$G302)*(TongVTSX!$H$3:$H$1500)))</f>
        <v/>
      </c>
      <c r="I302" s="92">
        <f t="shared" ca="1" si="20"/>
        <v>0</v>
      </c>
      <c r="J302" s="114">
        <f t="shared" ca="1" si="21"/>
        <v>0</v>
      </c>
      <c r="K302" s="187" t="str">
        <f t="shared" ca="1" si="22"/>
        <v/>
      </c>
      <c r="Q302" s="1032" t="str">
        <f ca="1">IF(TYPE(MATCH($S$2,OFFSET(TongVTSX!$U$3,Q301,0):'TongVTSX'!$U$1500,0)+Q301)=16,"",MATCH($S$2,OFFSET(TongVTSX!$U$3,Q301,0):'TongVTSX'!$U$1500,0)+Q301)</f>
        <v/>
      </c>
      <c r="R302" s="1036"/>
      <c r="S302" s="18"/>
    </row>
    <row r="303" spans="1:19">
      <c r="A303" s="19" t="str">
        <f ca="1">IF($Q303="","",MAX($A$203:A302)+1)</f>
        <v/>
      </c>
      <c r="B303" s="1146"/>
      <c r="C303" s="1146"/>
      <c r="D303" s="23" t="str">
        <f ca="1">IF($Q303="","",INDEX(TongVTSX!C$3:C$1500,$Q303))</f>
        <v/>
      </c>
      <c r="E303" s="23" t="str">
        <f ca="1">IF($Q303="","",INDEX(TongVTSX!D$3:D$1500,$Q303))</f>
        <v/>
      </c>
      <c r="F303" s="24" t="str">
        <f ca="1">IF($Q303="","",INDEX(TongVTSX!E$3:E$1500,$Q303))</f>
        <v/>
      </c>
      <c r="G303" s="24" t="str">
        <f ca="1">IF($Q303="","",INDEX(TongVTSX!G$3:G$1500,$Q303))</f>
        <v/>
      </c>
      <c r="H303" s="23" t="str">
        <f ca="1">IF($Q303="","",SUMPRODUCT((TongVTSX!$C$3:$C$1500=$D303)*(TongVTSX!$E$3:$E$1500=$F303)*(TongVTSX!$G$3:$G$1500=$G303)*(TongVTSX!$H$3:$H$1500)))</f>
        <v/>
      </c>
      <c r="I303" s="92">
        <f t="shared" ca="1" si="20"/>
        <v>0</v>
      </c>
      <c r="J303" s="114">
        <f t="shared" ca="1" si="21"/>
        <v>0</v>
      </c>
      <c r="K303" s="187" t="str">
        <f t="shared" ca="1" si="22"/>
        <v/>
      </c>
      <c r="Q303" s="1032" t="str">
        <f ca="1">IF(TYPE(MATCH($S$2,OFFSET(TongVTSX!$U$3,Q302,0):'TongVTSX'!$U$1500,0)+Q302)=16,"",MATCH($S$2,OFFSET(TongVTSX!$U$3,Q302,0):'TongVTSX'!$U$1500,0)+Q302)</f>
        <v/>
      </c>
      <c r="R303" s="1036"/>
      <c r="S303" s="18"/>
    </row>
    <row r="304" spans="1:19">
      <c r="A304" s="19" t="str">
        <f ca="1">IF($Q304="","",MAX($A$203:A303)+1)</f>
        <v/>
      </c>
      <c r="B304" s="1146"/>
      <c r="C304" s="1146"/>
      <c r="D304" s="23" t="str">
        <f ca="1">IF($Q304="","",INDEX(TongVTSX!C$3:C$1500,$Q304))</f>
        <v/>
      </c>
      <c r="E304" s="23" t="str">
        <f ca="1">IF($Q304="","",INDEX(TongVTSX!D$3:D$1500,$Q304))</f>
        <v/>
      </c>
      <c r="F304" s="24" t="str">
        <f ca="1">IF($Q304="","",INDEX(TongVTSX!E$3:E$1500,$Q304))</f>
        <v/>
      </c>
      <c r="G304" s="24" t="str">
        <f ca="1">IF($Q304="","",INDEX(TongVTSX!G$3:G$1500,$Q304))</f>
        <v/>
      </c>
      <c r="H304" s="23" t="str">
        <f ca="1">IF($Q304="","",SUMPRODUCT((TongVTSX!$C$3:$C$1500=$D304)*(TongVTSX!$E$3:$E$1500=$F304)*(TongVTSX!$G$3:$G$1500=$G304)*(TongVTSX!$H$3:$H$1500)))</f>
        <v/>
      </c>
      <c r="I304" s="92">
        <f t="shared" ca="1" si="20"/>
        <v>0</v>
      </c>
      <c r="J304" s="114">
        <f t="shared" ca="1" si="21"/>
        <v>0</v>
      </c>
      <c r="K304" s="187" t="str">
        <f t="shared" ca="1" si="22"/>
        <v/>
      </c>
      <c r="Q304" s="1032" t="str">
        <f ca="1">IF(TYPE(MATCH($S$2,OFFSET(TongVTSX!$U$3,Q303,0):'TongVTSX'!$U$1500,0)+Q303)=16,"",MATCH($S$2,OFFSET(TongVTSX!$U$3,Q303,0):'TongVTSX'!$U$1500,0)+Q303)</f>
        <v/>
      </c>
      <c r="R304" s="1036"/>
      <c r="S304" s="18"/>
    </row>
    <row r="305" spans="1:19">
      <c r="A305" s="19" t="str">
        <f ca="1">IF($Q305="","",MAX($A$203:A304)+1)</f>
        <v/>
      </c>
      <c r="B305" s="1146"/>
      <c r="C305" s="1146"/>
      <c r="D305" s="23" t="str">
        <f ca="1">IF($Q305="","",INDEX(TongVTSX!C$3:C$1500,$Q305))</f>
        <v/>
      </c>
      <c r="E305" s="23" t="str">
        <f ca="1">IF($Q305="","",INDEX(TongVTSX!D$3:D$1500,$Q305))</f>
        <v/>
      </c>
      <c r="F305" s="24" t="str">
        <f ca="1">IF($Q305="","",INDEX(TongVTSX!E$3:E$1500,$Q305))</f>
        <v/>
      </c>
      <c r="G305" s="24" t="str">
        <f ca="1">IF($Q305="","",INDEX(TongVTSX!G$3:G$1500,$Q305))</f>
        <v/>
      </c>
      <c r="H305" s="23" t="str">
        <f ca="1">IF($Q305="","",SUMPRODUCT((TongVTSX!$C$3:$C$1500=$D305)*(TongVTSX!$E$3:$E$1500=$F305)*(TongVTSX!$G$3:$G$1500=$G305)*(TongVTSX!$H$3:$H$1500)))</f>
        <v/>
      </c>
      <c r="I305" s="92">
        <f t="shared" ca="1" si="20"/>
        <v>0</v>
      </c>
      <c r="J305" s="114">
        <f t="shared" ca="1" si="21"/>
        <v>0</v>
      </c>
      <c r="K305" s="187" t="str">
        <f t="shared" ca="1" si="22"/>
        <v/>
      </c>
      <c r="Q305" s="1032" t="str">
        <f ca="1">IF(TYPE(MATCH($S$2,OFFSET(TongVTSX!$U$3,Q304,0):'TongVTSX'!$U$1500,0)+Q304)=16,"",MATCH($S$2,OFFSET(TongVTSX!$U$3,Q304,0):'TongVTSX'!$U$1500,0)+Q304)</f>
        <v/>
      </c>
      <c r="R305" s="1036"/>
      <c r="S305" s="18"/>
    </row>
    <row r="306" spans="1:19">
      <c r="A306" s="19" t="str">
        <f ca="1">IF($Q306="","",MAX($A$203:A305)+1)</f>
        <v/>
      </c>
      <c r="B306" s="1146"/>
      <c r="C306" s="1146"/>
      <c r="D306" s="23" t="str">
        <f ca="1">IF($Q306="","",INDEX(TongVTSX!C$3:C$1500,$Q306))</f>
        <v/>
      </c>
      <c r="E306" s="23" t="str">
        <f ca="1">IF($Q306="","",INDEX(TongVTSX!D$3:D$1500,$Q306))</f>
        <v/>
      </c>
      <c r="F306" s="24" t="str">
        <f ca="1">IF($Q306="","",INDEX(TongVTSX!E$3:E$1500,$Q306))</f>
        <v/>
      </c>
      <c r="G306" s="24" t="str">
        <f ca="1">IF($Q306="","",INDEX(TongVTSX!G$3:G$1500,$Q306))</f>
        <v/>
      </c>
      <c r="H306" s="23" t="str">
        <f ca="1">IF($Q306="","",SUMPRODUCT((TongVTSX!$C$3:$C$1500=$D306)*(TongVTSX!$E$3:$E$1500=$F306)*(TongVTSX!$G$3:$G$1500=$G306)*(TongVTSX!$H$3:$H$1500)))</f>
        <v/>
      </c>
      <c r="I306" s="92">
        <f t="shared" ca="1" si="20"/>
        <v>0</v>
      </c>
      <c r="J306" s="114">
        <f t="shared" ca="1" si="21"/>
        <v>0</v>
      </c>
      <c r="K306" s="187" t="str">
        <f t="shared" ca="1" si="22"/>
        <v/>
      </c>
      <c r="Q306" s="1032" t="str">
        <f ca="1">IF(TYPE(MATCH($S$2,OFFSET(TongVTSX!$U$3,Q305,0):'TongVTSX'!$U$1500,0)+Q305)=16,"",MATCH($S$2,OFFSET(TongVTSX!$U$3,Q305,0):'TongVTSX'!$U$1500,0)+Q305)</f>
        <v/>
      </c>
      <c r="R306" s="1036"/>
      <c r="S306" s="18"/>
    </row>
    <row r="307" spans="1:19">
      <c r="A307" s="19" t="str">
        <f ca="1">IF($Q307="","",MAX($A$203:A306)+1)</f>
        <v/>
      </c>
      <c r="B307" s="1146"/>
      <c r="C307" s="1146"/>
      <c r="D307" s="23" t="str">
        <f ca="1">IF($Q307="","",INDEX(TongVTSX!C$3:C$1500,$Q307))</f>
        <v/>
      </c>
      <c r="E307" s="23" t="str">
        <f ca="1">IF($Q307="","",INDEX(TongVTSX!D$3:D$1500,$Q307))</f>
        <v/>
      </c>
      <c r="F307" s="24" t="str">
        <f ca="1">IF($Q307="","",INDEX(TongVTSX!E$3:E$1500,$Q307))</f>
        <v/>
      </c>
      <c r="G307" s="24" t="str">
        <f ca="1">IF($Q307="","",INDEX(TongVTSX!G$3:G$1500,$Q307))</f>
        <v/>
      </c>
      <c r="H307" s="23" t="str">
        <f ca="1">IF($Q307="","",SUMPRODUCT((TongVTSX!$C$3:$C$1500=$D307)*(TongVTSX!$E$3:$E$1500=$F307)*(TongVTSX!$G$3:$G$1500=$G307)*(TongVTSX!$H$3:$H$1500)))</f>
        <v/>
      </c>
      <c r="I307" s="92">
        <f t="shared" ca="1" si="20"/>
        <v>0</v>
      </c>
      <c r="J307" s="114">
        <f t="shared" ca="1" si="21"/>
        <v>0</v>
      </c>
      <c r="K307" s="187" t="str">
        <f t="shared" ca="1" si="22"/>
        <v/>
      </c>
      <c r="Q307" s="1032" t="str">
        <f ca="1">IF(TYPE(MATCH($S$2,OFFSET(TongVTSX!$U$3,Q306,0):'TongVTSX'!$U$1500,0)+Q306)=16,"",MATCH($S$2,OFFSET(TongVTSX!$U$3,Q306,0):'TongVTSX'!$U$1500,0)+Q306)</f>
        <v/>
      </c>
      <c r="R307" s="1036"/>
      <c r="S307" s="18"/>
    </row>
    <row r="308" spans="1:19">
      <c r="A308" s="19" t="str">
        <f ca="1">IF($Q308="","",MAX($A$203:A307)+1)</f>
        <v/>
      </c>
      <c r="B308" s="1146"/>
      <c r="C308" s="1146"/>
      <c r="D308" s="23" t="str">
        <f ca="1">IF($Q308="","",INDEX(TongVTSX!C$3:C$1500,$Q308))</f>
        <v/>
      </c>
      <c r="E308" s="23" t="str">
        <f ca="1">IF($Q308="","",INDEX(TongVTSX!D$3:D$1500,$Q308))</f>
        <v/>
      </c>
      <c r="F308" s="24" t="str">
        <f ca="1">IF($Q308="","",INDEX(TongVTSX!E$3:E$1500,$Q308))</f>
        <v/>
      </c>
      <c r="G308" s="24" t="str">
        <f ca="1">IF($Q308="","",INDEX(TongVTSX!G$3:G$1500,$Q308))</f>
        <v/>
      </c>
      <c r="H308" s="23" t="str">
        <f ca="1">IF($Q308="","",SUMPRODUCT((TongVTSX!$C$3:$C$1500=$D308)*(TongVTSX!$E$3:$E$1500=$F308)*(TongVTSX!$G$3:$G$1500=$G308)*(TongVTSX!$H$3:$H$1500)))</f>
        <v/>
      </c>
      <c r="I308" s="92">
        <f t="shared" ca="1" si="20"/>
        <v>0</v>
      </c>
      <c r="J308" s="114">
        <f t="shared" ca="1" si="21"/>
        <v>0</v>
      </c>
      <c r="K308" s="187" t="str">
        <f t="shared" ca="1" si="22"/>
        <v/>
      </c>
      <c r="Q308" s="1032" t="str">
        <f ca="1">IF(TYPE(MATCH($S$2,OFFSET(TongVTSX!$U$3,Q307,0):'TongVTSX'!$U$1500,0)+Q307)=16,"",MATCH($S$2,OFFSET(TongVTSX!$U$3,Q307,0):'TongVTSX'!$U$1500,0)+Q307)</f>
        <v/>
      </c>
      <c r="R308" s="1036"/>
      <c r="S308" s="18"/>
    </row>
    <row r="309" spans="1:19">
      <c r="A309" s="19" t="str">
        <f ca="1">IF($Q309="","",MAX($A$203:A308)+1)</f>
        <v/>
      </c>
      <c r="B309" s="1146"/>
      <c r="C309" s="1146"/>
      <c r="D309" s="23" t="str">
        <f ca="1">IF($Q309="","",INDEX(TongVTSX!C$3:C$1500,$Q309))</f>
        <v/>
      </c>
      <c r="E309" s="23" t="str">
        <f ca="1">IF($Q309="","",INDEX(TongVTSX!D$3:D$1500,$Q309))</f>
        <v/>
      </c>
      <c r="F309" s="24" t="str">
        <f ca="1">IF($Q309="","",INDEX(TongVTSX!E$3:E$1500,$Q309))</f>
        <v/>
      </c>
      <c r="G309" s="24" t="str">
        <f ca="1">IF($Q309="","",INDEX(TongVTSX!G$3:G$1500,$Q309))</f>
        <v/>
      </c>
      <c r="H309" s="23" t="str">
        <f ca="1">IF($Q309="","",SUMPRODUCT((TongVTSX!$C$3:$C$1500=$D309)*(TongVTSX!$E$3:$E$1500=$F309)*(TongVTSX!$G$3:$G$1500=$G309)*(TongVTSX!$H$3:$H$1500)))</f>
        <v/>
      </c>
      <c r="I309" s="92">
        <f t="shared" ca="1" si="20"/>
        <v>0</v>
      </c>
      <c r="J309" s="114">
        <f t="shared" ca="1" si="21"/>
        <v>0</v>
      </c>
      <c r="K309" s="187" t="str">
        <f t="shared" ca="1" si="22"/>
        <v/>
      </c>
      <c r="Q309" s="1032" t="str">
        <f ca="1">IF(TYPE(MATCH($S$2,OFFSET(TongVTSX!$U$3,Q308,0):'TongVTSX'!$U$1500,0)+Q308)=16,"",MATCH($S$2,OFFSET(TongVTSX!$U$3,Q308,0):'TongVTSX'!$U$1500,0)+Q308)</f>
        <v/>
      </c>
      <c r="R309" s="1036"/>
      <c r="S309" s="18"/>
    </row>
    <row r="310" spans="1:19">
      <c r="A310" s="19" t="str">
        <f ca="1">IF($Q310="","",MAX($A$203:A309)+1)</f>
        <v/>
      </c>
      <c r="B310" s="1146"/>
      <c r="C310" s="1146"/>
      <c r="D310" s="23" t="str">
        <f ca="1">IF($Q310="","",INDEX(TongVTSX!C$3:C$1500,$Q310))</f>
        <v/>
      </c>
      <c r="E310" s="23" t="str">
        <f ca="1">IF($Q310="","",INDEX(TongVTSX!D$3:D$1500,$Q310))</f>
        <v/>
      </c>
      <c r="F310" s="24" t="str">
        <f ca="1">IF($Q310="","",INDEX(TongVTSX!E$3:E$1500,$Q310))</f>
        <v/>
      </c>
      <c r="G310" s="24" t="str">
        <f ca="1">IF($Q310="","",INDEX(TongVTSX!G$3:G$1500,$Q310))</f>
        <v/>
      </c>
      <c r="H310" s="23" t="str">
        <f ca="1">IF($Q310="","",SUMPRODUCT((TongVTSX!$C$3:$C$1500=$D310)*(TongVTSX!$E$3:$E$1500=$F310)*(TongVTSX!$G$3:$G$1500=$G310)*(TongVTSX!$H$3:$H$1500)))</f>
        <v/>
      </c>
      <c r="I310" s="92">
        <f t="shared" ca="1" si="20"/>
        <v>0</v>
      </c>
      <c r="J310" s="114">
        <f t="shared" ca="1" si="21"/>
        <v>0</v>
      </c>
      <c r="K310" s="187" t="str">
        <f t="shared" ca="1" si="22"/>
        <v/>
      </c>
      <c r="Q310" s="1032" t="str">
        <f ca="1">IF(TYPE(MATCH($S$2,OFFSET(TongVTSX!$U$3,Q309,0):'TongVTSX'!$U$1500,0)+Q309)=16,"",MATCH($S$2,OFFSET(TongVTSX!$U$3,Q309,0):'TongVTSX'!$U$1500,0)+Q309)</f>
        <v/>
      </c>
      <c r="R310" s="1036"/>
      <c r="S310" s="18"/>
    </row>
    <row r="311" spans="1:19">
      <c r="A311" s="19" t="str">
        <f ca="1">IF($Q311="","",MAX($A$203:A310)+1)</f>
        <v/>
      </c>
      <c r="B311" s="1146"/>
      <c r="C311" s="1146"/>
      <c r="D311" s="23" t="str">
        <f ca="1">IF($Q311="","",INDEX(TongVTSX!C$3:C$1500,$Q311))</f>
        <v/>
      </c>
      <c r="E311" s="23" t="str">
        <f ca="1">IF($Q311="","",INDEX(TongVTSX!D$3:D$1500,$Q311))</f>
        <v/>
      </c>
      <c r="F311" s="24" t="str">
        <f ca="1">IF($Q311="","",INDEX(TongVTSX!E$3:E$1500,$Q311))</f>
        <v/>
      </c>
      <c r="G311" s="24" t="str">
        <f ca="1">IF($Q311="","",INDEX(TongVTSX!G$3:G$1500,$Q311))</f>
        <v/>
      </c>
      <c r="H311" s="23" t="str">
        <f ca="1">IF($Q311="","",SUMPRODUCT((TongVTSX!$C$3:$C$1500=$D311)*(TongVTSX!$E$3:$E$1500=$F311)*(TongVTSX!$G$3:$G$1500=$G311)*(TongVTSX!$H$3:$H$1500)))</f>
        <v/>
      </c>
      <c r="I311" s="92">
        <f t="shared" ca="1" si="20"/>
        <v>0</v>
      </c>
      <c r="J311" s="114">
        <f t="shared" ca="1" si="21"/>
        <v>0</v>
      </c>
      <c r="K311" s="187" t="str">
        <f t="shared" ca="1" si="22"/>
        <v/>
      </c>
      <c r="Q311" s="1032" t="str">
        <f ca="1">IF(TYPE(MATCH($S$2,OFFSET(TongVTSX!$U$3,Q310,0):'TongVTSX'!$U$1500,0)+Q310)=16,"",MATCH($S$2,OFFSET(TongVTSX!$U$3,Q310,0):'TongVTSX'!$U$1500,0)+Q310)</f>
        <v/>
      </c>
      <c r="R311" s="1036"/>
      <c r="S311" s="18"/>
    </row>
    <row r="312" spans="1:19">
      <c r="A312" s="19" t="str">
        <f ca="1">IF($Q312="","",MAX($A$203:A311)+1)</f>
        <v/>
      </c>
      <c r="B312" s="1146"/>
      <c r="C312" s="1146"/>
      <c r="D312" s="23" t="str">
        <f ca="1">IF($Q312="","",INDEX(TongVTSX!C$3:C$1500,$Q312))</f>
        <v/>
      </c>
      <c r="E312" s="23" t="str">
        <f ca="1">IF($Q312="","",INDEX(TongVTSX!D$3:D$1500,$Q312))</f>
        <v/>
      </c>
      <c r="F312" s="24" t="str">
        <f ca="1">IF($Q312="","",INDEX(TongVTSX!E$3:E$1500,$Q312))</f>
        <v/>
      </c>
      <c r="G312" s="24" t="str">
        <f ca="1">IF($Q312="","",INDEX(TongVTSX!G$3:G$1500,$Q312))</f>
        <v/>
      </c>
      <c r="H312" s="23" t="str">
        <f ca="1">IF($Q312="","",SUMPRODUCT((TongVTSX!$C$3:$C$1500=$D312)*(TongVTSX!$E$3:$E$1500=$F312)*(TongVTSX!$G$3:$G$1500=$G312)*(TongVTSX!$H$3:$H$1500)))</f>
        <v/>
      </c>
      <c r="I312" s="92">
        <f t="shared" ca="1" si="20"/>
        <v>0</v>
      </c>
      <c r="J312" s="114">
        <f t="shared" ca="1" si="21"/>
        <v>0</v>
      </c>
      <c r="K312" s="187" t="str">
        <f t="shared" ca="1" si="22"/>
        <v/>
      </c>
      <c r="Q312" s="1032" t="str">
        <f ca="1">IF(TYPE(MATCH($S$2,OFFSET(TongVTSX!$U$3,Q311,0):'TongVTSX'!$U$1500,0)+Q311)=16,"",MATCH($S$2,OFFSET(TongVTSX!$U$3,Q311,0):'TongVTSX'!$U$1500,0)+Q311)</f>
        <v/>
      </c>
      <c r="R312" s="1036"/>
      <c r="S312" s="18"/>
    </row>
    <row r="313" spans="1:19">
      <c r="A313" s="19" t="str">
        <f ca="1">IF($Q313="","",MAX($A$203:A312)+1)</f>
        <v/>
      </c>
      <c r="B313" s="1146"/>
      <c r="C313" s="1146"/>
      <c r="D313" s="23" t="str">
        <f ca="1">IF($Q313="","",INDEX(TongVTSX!C$3:C$1500,$Q313))</f>
        <v/>
      </c>
      <c r="E313" s="23" t="str">
        <f ca="1">IF($Q313="","",INDEX(TongVTSX!D$3:D$1500,$Q313))</f>
        <v/>
      </c>
      <c r="F313" s="24" t="str">
        <f ca="1">IF($Q313="","",INDEX(TongVTSX!E$3:E$1500,$Q313))</f>
        <v/>
      </c>
      <c r="G313" s="24" t="str">
        <f ca="1">IF($Q313="","",INDEX(TongVTSX!G$3:G$1500,$Q313))</f>
        <v/>
      </c>
      <c r="H313" s="23" t="str">
        <f ca="1">IF($Q313="","",SUMPRODUCT((TongVTSX!$C$3:$C$1500=$D313)*(TongVTSX!$E$3:$E$1500=$F313)*(TongVTSX!$G$3:$G$1500=$G313)*(TongVTSX!$H$3:$H$1500)))</f>
        <v/>
      </c>
      <c r="I313" s="92">
        <f t="shared" ca="1" si="20"/>
        <v>0</v>
      </c>
      <c r="J313" s="114">
        <f t="shared" ca="1" si="21"/>
        <v>0</v>
      </c>
      <c r="K313" s="187" t="str">
        <f t="shared" ca="1" si="22"/>
        <v/>
      </c>
      <c r="Q313" s="1032" t="str">
        <f ca="1">IF(TYPE(MATCH($S$2,OFFSET(TongVTSX!$U$3,Q312,0):'TongVTSX'!$U$1500,0)+Q312)=16,"",MATCH($S$2,OFFSET(TongVTSX!$U$3,Q312,0):'TongVTSX'!$U$1500,0)+Q312)</f>
        <v/>
      </c>
      <c r="R313" s="1036"/>
      <c r="S313" s="18"/>
    </row>
    <row r="314" spans="1:19">
      <c r="A314" s="19" t="str">
        <f ca="1">IF($Q314="","",MAX($A$203:A313)+1)</f>
        <v/>
      </c>
      <c r="B314" s="1146"/>
      <c r="C314" s="1146"/>
      <c r="D314" s="23" t="str">
        <f ca="1">IF($Q314="","",INDEX(TongVTSX!C$3:C$1500,$Q314))</f>
        <v/>
      </c>
      <c r="E314" s="23" t="str">
        <f ca="1">IF($Q314="","",INDEX(TongVTSX!D$3:D$1500,$Q314))</f>
        <v/>
      </c>
      <c r="F314" s="24" t="str">
        <f ca="1">IF($Q314="","",INDEX(TongVTSX!E$3:E$1500,$Q314))</f>
        <v/>
      </c>
      <c r="G314" s="24" t="str">
        <f ca="1">IF($Q314="","",INDEX(TongVTSX!G$3:G$1500,$Q314))</f>
        <v/>
      </c>
      <c r="H314" s="23" t="str">
        <f ca="1">IF($Q314="","",SUMPRODUCT((TongVTSX!$C$3:$C$1500=$D314)*(TongVTSX!$E$3:$E$1500=$F314)*(TongVTSX!$G$3:$G$1500=$G314)*(TongVTSX!$H$3:$H$1500)))</f>
        <v/>
      </c>
      <c r="I314" s="92">
        <f t="shared" ca="1" si="20"/>
        <v>0</v>
      </c>
      <c r="J314" s="114">
        <f t="shared" ca="1" si="21"/>
        <v>0</v>
      </c>
      <c r="K314" s="187" t="str">
        <f t="shared" ca="1" si="22"/>
        <v/>
      </c>
      <c r="Q314" s="1032" t="str">
        <f ca="1">IF(TYPE(MATCH($S$2,OFFSET(TongVTSX!$U$3,Q313,0):'TongVTSX'!$U$1500,0)+Q313)=16,"",MATCH($S$2,OFFSET(TongVTSX!$U$3,Q313,0):'TongVTSX'!$U$1500,0)+Q313)</f>
        <v/>
      </c>
      <c r="R314" s="1036"/>
      <c r="S314" s="18"/>
    </row>
    <row r="315" spans="1:19">
      <c r="A315" s="19" t="str">
        <f ca="1">IF($Q315="","",MAX($A$203:A314)+1)</f>
        <v/>
      </c>
      <c r="B315" s="1146"/>
      <c r="C315" s="1146"/>
      <c r="D315" s="23" t="str">
        <f ca="1">IF($Q315="","",INDEX(TongVTSX!C$3:C$1500,$Q315))</f>
        <v/>
      </c>
      <c r="E315" s="23" t="str">
        <f ca="1">IF($Q315="","",INDEX(TongVTSX!D$3:D$1500,$Q315))</f>
        <v/>
      </c>
      <c r="F315" s="24" t="str">
        <f ca="1">IF($Q315="","",INDEX(TongVTSX!E$3:E$1500,$Q315))</f>
        <v/>
      </c>
      <c r="G315" s="24" t="str">
        <f ca="1">IF($Q315="","",INDEX(TongVTSX!G$3:G$1500,$Q315))</f>
        <v/>
      </c>
      <c r="H315" s="23" t="str">
        <f ca="1">IF($Q315="","",SUMPRODUCT((TongVTSX!$C$3:$C$1500=$D315)*(TongVTSX!$E$3:$E$1500=$F315)*(TongVTSX!$G$3:$G$1500=$G315)*(TongVTSX!$H$3:$H$1500)))</f>
        <v/>
      </c>
      <c r="I315" s="92">
        <f t="shared" ca="1" si="20"/>
        <v>0</v>
      </c>
      <c r="J315" s="114">
        <f t="shared" ca="1" si="21"/>
        <v>0</v>
      </c>
      <c r="K315" s="187" t="str">
        <f t="shared" ca="1" si="22"/>
        <v/>
      </c>
      <c r="Q315" s="1032" t="str">
        <f ca="1">IF(TYPE(MATCH($S$2,OFFSET(TongVTSX!$U$3,Q314,0):'TongVTSX'!$U$1500,0)+Q314)=16,"",MATCH($S$2,OFFSET(TongVTSX!$U$3,Q314,0):'TongVTSX'!$U$1500,0)+Q314)</f>
        <v/>
      </c>
      <c r="R315" s="1036"/>
      <c r="S315" s="18"/>
    </row>
    <row r="316" spans="1:19">
      <c r="A316" s="19" t="str">
        <f ca="1">IF($Q316="","",MAX($A$203:A315)+1)</f>
        <v/>
      </c>
      <c r="B316" s="1146"/>
      <c r="C316" s="1146"/>
      <c r="D316" s="23" t="str">
        <f ca="1">IF($Q316="","",INDEX(TongVTSX!C$3:C$1500,$Q316))</f>
        <v/>
      </c>
      <c r="E316" s="23" t="str">
        <f ca="1">IF($Q316="","",INDEX(TongVTSX!D$3:D$1500,$Q316))</f>
        <v/>
      </c>
      <c r="F316" s="24" t="str">
        <f ca="1">IF($Q316="","",INDEX(TongVTSX!E$3:E$1500,$Q316))</f>
        <v/>
      </c>
      <c r="G316" s="24" t="str">
        <f ca="1">IF($Q316="","",INDEX(TongVTSX!G$3:G$1500,$Q316))</f>
        <v/>
      </c>
      <c r="H316" s="23" t="str">
        <f ca="1">IF($Q316="","",SUMPRODUCT((TongVTSX!$C$3:$C$1500=$D316)*(TongVTSX!$E$3:$E$1500=$F316)*(TongVTSX!$G$3:$G$1500=$G316)*(TongVTSX!$H$3:$H$1500)))</f>
        <v/>
      </c>
      <c r="I316" s="92">
        <f t="shared" ca="1" si="20"/>
        <v>0</v>
      </c>
      <c r="J316" s="114">
        <f t="shared" ca="1" si="21"/>
        <v>0</v>
      </c>
      <c r="K316" s="187" t="str">
        <f t="shared" ca="1" si="22"/>
        <v/>
      </c>
      <c r="Q316" s="1032" t="str">
        <f ca="1">IF(TYPE(MATCH($S$2,OFFSET(TongVTSX!$U$3,Q315,0):'TongVTSX'!$U$1500,0)+Q315)=16,"",MATCH($S$2,OFFSET(TongVTSX!$U$3,Q315,0):'TongVTSX'!$U$1500,0)+Q315)</f>
        <v/>
      </c>
      <c r="R316" s="1036"/>
      <c r="S316" s="18"/>
    </row>
    <row r="317" spans="1:19">
      <c r="A317" s="19" t="str">
        <f ca="1">IF($Q317="","",MAX($A$203:A316)+1)</f>
        <v/>
      </c>
      <c r="B317" s="1146"/>
      <c r="C317" s="1146"/>
      <c r="D317" s="23" t="str">
        <f ca="1">IF($Q317="","",INDEX(TongVTSX!C$3:C$1500,$Q317))</f>
        <v/>
      </c>
      <c r="E317" s="23" t="str">
        <f ca="1">IF($Q317="","",INDEX(TongVTSX!D$3:D$1500,$Q317))</f>
        <v/>
      </c>
      <c r="F317" s="24" t="str">
        <f ca="1">IF($Q317="","",INDEX(TongVTSX!E$3:E$1500,$Q317))</f>
        <v/>
      </c>
      <c r="G317" s="24" t="str">
        <f ca="1">IF($Q317="","",INDEX(TongVTSX!G$3:G$1500,$Q317))</f>
        <v/>
      </c>
      <c r="H317" s="23" t="str">
        <f ca="1">IF($Q317="","",SUMPRODUCT((TongVTSX!$C$3:$C$1500=$D317)*(TongVTSX!$E$3:$E$1500=$F317)*(TongVTSX!$G$3:$G$1500=$G317)*(TongVTSX!$H$3:$H$1500)))</f>
        <v/>
      </c>
      <c r="I317" s="92">
        <f t="shared" ca="1" si="20"/>
        <v>0</v>
      </c>
      <c r="J317" s="114">
        <f t="shared" ca="1" si="21"/>
        <v>0</v>
      </c>
      <c r="K317" s="187" t="str">
        <f t="shared" ca="1" si="22"/>
        <v/>
      </c>
      <c r="Q317" s="1032" t="str">
        <f ca="1">IF(TYPE(MATCH($S$2,OFFSET(TongVTSX!$U$3,Q316,0):'TongVTSX'!$U$1500,0)+Q316)=16,"",MATCH($S$2,OFFSET(TongVTSX!$U$3,Q316,0):'TongVTSX'!$U$1500,0)+Q316)</f>
        <v/>
      </c>
      <c r="R317" s="1036"/>
      <c r="S317" s="18"/>
    </row>
    <row r="318" spans="1:19">
      <c r="A318" s="19" t="str">
        <f ca="1">IF($Q318="","",MAX($A$203:A317)+1)</f>
        <v/>
      </c>
      <c r="B318" s="1146"/>
      <c r="C318" s="1146"/>
      <c r="D318" s="23" t="str">
        <f ca="1">IF($Q318="","",INDEX(TongVTSX!C$3:C$1500,$Q318))</f>
        <v/>
      </c>
      <c r="E318" s="23" t="str">
        <f ca="1">IF($Q318="","",INDEX(TongVTSX!D$3:D$1500,$Q318))</f>
        <v/>
      </c>
      <c r="F318" s="24" t="str">
        <f ca="1">IF($Q318="","",INDEX(TongVTSX!E$3:E$1500,$Q318))</f>
        <v/>
      </c>
      <c r="G318" s="24" t="str">
        <f ca="1">IF($Q318="","",INDEX(TongVTSX!G$3:G$1500,$Q318))</f>
        <v/>
      </c>
      <c r="H318" s="23" t="str">
        <f ca="1">IF($Q318="","",SUMPRODUCT((TongVTSX!$C$3:$C$1500=$D318)*(TongVTSX!$E$3:$E$1500=$F318)*(TongVTSX!$G$3:$G$1500=$G318)*(TongVTSX!$H$3:$H$1500)))</f>
        <v/>
      </c>
      <c r="I318" s="92">
        <f t="shared" ca="1" si="20"/>
        <v>0</v>
      </c>
      <c r="J318" s="114">
        <f t="shared" ca="1" si="21"/>
        <v>0</v>
      </c>
      <c r="K318" s="187" t="str">
        <f t="shared" ca="1" si="22"/>
        <v/>
      </c>
      <c r="Q318" s="1032" t="str">
        <f ca="1">IF(TYPE(MATCH($S$2,OFFSET(TongVTSX!$U$3,Q317,0):'TongVTSX'!$U$1500,0)+Q317)=16,"",MATCH($S$2,OFFSET(TongVTSX!$U$3,Q317,0):'TongVTSX'!$U$1500,0)+Q317)</f>
        <v/>
      </c>
      <c r="R318" s="1036"/>
      <c r="S318" s="18"/>
    </row>
    <row r="319" spans="1:19">
      <c r="A319" s="19" t="str">
        <f ca="1">IF($Q319="","",MAX($A$203:A318)+1)</f>
        <v/>
      </c>
      <c r="B319" s="1146"/>
      <c r="C319" s="1146"/>
      <c r="D319" s="23" t="str">
        <f ca="1">IF($Q319="","",INDEX(TongVTSX!C$3:C$1500,$Q319))</f>
        <v/>
      </c>
      <c r="E319" s="23" t="str">
        <f ca="1">IF($Q319="","",INDEX(TongVTSX!D$3:D$1500,$Q319))</f>
        <v/>
      </c>
      <c r="F319" s="24" t="str">
        <f ca="1">IF($Q319="","",INDEX(TongVTSX!E$3:E$1500,$Q319))</f>
        <v/>
      </c>
      <c r="G319" s="24" t="str">
        <f ca="1">IF($Q319="","",INDEX(TongVTSX!G$3:G$1500,$Q319))</f>
        <v/>
      </c>
      <c r="H319" s="23" t="str">
        <f ca="1">IF($Q319="","",SUMPRODUCT((TongVTSX!$C$3:$C$1500=$D319)*(TongVTSX!$E$3:$E$1500=$F319)*(TongVTSX!$G$3:$G$1500=$G319)*(TongVTSX!$H$3:$H$1500)))</f>
        <v/>
      </c>
      <c r="I319" s="92">
        <f t="shared" ca="1" si="20"/>
        <v>0</v>
      </c>
      <c r="J319" s="114">
        <f t="shared" ca="1" si="21"/>
        <v>0</v>
      </c>
      <c r="K319" s="187" t="str">
        <f t="shared" ca="1" si="22"/>
        <v/>
      </c>
      <c r="Q319" s="1032" t="str">
        <f ca="1">IF(TYPE(MATCH($S$2,OFFSET(TongVTSX!$U$3,Q318,0):'TongVTSX'!$U$1500,0)+Q318)=16,"",MATCH($S$2,OFFSET(TongVTSX!$U$3,Q318,0):'TongVTSX'!$U$1500,0)+Q318)</f>
        <v/>
      </c>
      <c r="R319" s="1036"/>
      <c r="S319" s="18"/>
    </row>
    <row r="320" spans="1:19">
      <c r="A320" s="19" t="str">
        <f ca="1">IF($Q320="","",MAX($A$203:A319)+1)</f>
        <v/>
      </c>
      <c r="B320" s="1146"/>
      <c r="C320" s="1146"/>
      <c r="D320" s="23" t="str">
        <f ca="1">IF($Q320="","",INDEX(TongVTSX!C$3:C$1500,$Q320))</f>
        <v/>
      </c>
      <c r="E320" s="23" t="str">
        <f ca="1">IF($Q320="","",INDEX(TongVTSX!D$3:D$1500,$Q320))</f>
        <v/>
      </c>
      <c r="F320" s="24" t="str">
        <f ca="1">IF($Q320="","",INDEX(TongVTSX!E$3:E$1500,$Q320))</f>
        <v/>
      </c>
      <c r="G320" s="24" t="str">
        <f ca="1">IF($Q320="","",INDEX(TongVTSX!G$3:G$1500,$Q320))</f>
        <v/>
      </c>
      <c r="H320" s="23" t="str">
        <f ca="1">IF($Q320="","",SUMPRODUCT((TongVTSX!$C$3:$C$1500=$D320)*(TongVTSX!$E$3:$E$1500=$F320)*(TongVTSX!$G$3:$G$1500=$G320)*(TongVTSX!$H$3:$H$1500)))</f>
        <v/>
      </c>
      <c r="I320" s="92">
        <f t="shared" ca="1" si="20"/>
        <v>0</v>
      </c>
      <c r="J320" s="114">
        <f t="shared" ca="1" si="21"/>
        <v>0</v>
      </c>
      <c r="K320" s="187" t="str">
        <f t="shared" ca="1" si="22"/>
        <v/>
      </c>
      <c r="Q320" s="1032" t="str">
        <f ca="1">IF(TYPE(MATCH($S$2,OFFSET(TongVTSX!$U$3,Q319,0):'TongVTSX'!$U$1500,0)+Q319)=16,"",MATCH($S$2,OFFSET(TongVTSX!$U$3,Q319,0):'TongVTSX'!$U$1500,0)+Q319)</f>
        <v/>
      </c>
      <c r="R320" s="1036"/>
      <c r="S320" s="18"/>
    </row>
    <row r="321" spans="1:19">
      <c r="A321" s="19" t="str">
        <f ca="1">IF($Q321="","",MAX($A$203:A320)+1)</f>
        <v/>
      </c>
      <c r="B321" s="1146"/>
      <c r="C321" s="1146"/>
      <c r="D321" s="23" t="str">
        <f ca="1">IF($Q321="","",INDEX(TongVTSX!C$3:C$1500,$Q321))</f>
        <v/>
      </c>
      <c r="E321" s="23" t="str">
        <f ca="1">IF($Q321="","",INDEX(TongVTSX!D$3:D$1500,$Q321))</f>
        <v/>
      </c>
      <c r="F321" s="24" t="str">
        <f ca="1">IF($Q321="","",INDEX(TongVTSX!E$3:E$1500,$Q321))</f>
        <v/>
      </c>
      <c r="G321" s="24" t="str">
        <f ca="1">IF($Q321="","",INDEX(TongVTSX!G$3:G$1500,$Q321))</f>
        <v/>
      </c>
      <c r="H321" s="23" t="str">
        <f ca="1">IF($Q321="","",SUMPRODUCT((TongVTSX!$C$3:$C$1500=$D321)*(TongVTSX!$E$3:$E$1500=$F321)*(TongVTSX!$G$3:$G$1500=$G321)*(TongVTSX!$H$3:$H$1500)))</f>
        <v/>
      </c>
      <c r="I321" s="92">
        <f t="shared" ca="1" si="20"/>
        <v>0</v>
      </c>
      <c r="J321" s="114">
        <f t="shared" ca="1" si="21"/>
        <v>0</v>
      </c>
      <c r="K321" s="187" t="str">
        <f t="shared" ca="1" si="22"/>
        <v/>
      </c>
      <c r="Q321" s="1032" t="str">
        <f ca="1">IF(TYPE(MATCH($S$2,OFFSET(TongVTSX!$U$3,Q320,0):'TongVTSX'!$U$1500,0)+Q320)=16,"",MATCH($S$2,OFFSET(TongVTSX!$U$3,Q320,0):'TongVTSX'!$U$1500,0)+Q320)</f>
        <v/>
      </c>
      <c r="R321" s="1036"/>
      <c r="S321" s="18"/>
    </row>
    <row r="322" spans="1:19">
      <c r="A322" s="19" t="str">
        <f ca="1">IF($Q322="","",MAX($A$203:A321)+1)</f>
        <v/>
      </c>
      <c r="B322" s="1146"/>
      <c r="C322" s="1146"/>
      <c r="D322" s="23" t="str">
        <f ca="1">IF($Q322="","",INDEX(TongVTSX!C$3:C$1500,$Q322))</f>
        <v/>
      </c>
      <c r="E322" s="23" t="str">
        <f ca="1">IF($Q322="","",INDEX(TongVTSX!D$3:D$1500,$Q322))</f>
        <v/>
      </c>
      <c r="F322" s="24" t="str">
        <f ca="1">IF($Q322="","",INDEX(TongVTSX!E$3:E$1500,$Q322))</f>
        <v/>
      </c>
      <c r="G322" s="24" t="str">
        <f ca="1">IF($Q322="","",INDEX(TongVTSX!G$3:G$1500,$Q322))</f>
        <v/>
      </c>
      <c r="H322" s="23" t="str">
        <f ca="1">IF($Q322="","",SUMPRODUCT((TongVTSX!$C$3:$C$1500=$D322)*(TongVTSX!$E$3:$E$1500=$F322)*(TongVTSX!$G$3:$G$1500=$G322)*(TongVTSX!$H$3:$H$1500)))</f>
        <v/>
      </c>
      <c r="I322" s="92">
        <f t="shared" ca="1" si="20"/>
        <v>0</v>
      </c>
      <c r="J322" s="114">
        <f t="shared" ca="1" si="21"/>
        <v>0</v>
      </c>
      <c r="K322" s="187" t="str">
        <f t="shared" ca="1" si="22"/>
        <v/>
      </c>
      <c r="Q322" s="1032" t="str">
        <f ca="1">IF(TYPE(MATCH($S$2,OFFSET(TongVTSX!$U$3,Q321,0):'TongVTSX'!$U$1500,0)+Q321)=16,"",MATCH($S$2,OFFSET(TongVTSX!$U$3,Q321,0):'TongVTSX'!$U$1500,0)+Q321)</f>
        <v/>
      </c>
      <c r="R322" s="1036"/>
      <c r="S322" s="18"/>
    </row>
    <row r="323" spans="1:19">
      <c r="A323" s="19" t="str">
        <f ca="1">IF($Q323="","",MAX($A$203:A322)+1)</f>
        <v/>
      </c>
      <c r="B323" s="1146"/>
      <c r="C323" s="1146"/>
      <c r="D323" s="23" t="str">
        <f ca="1">IF($Q323="","",INDEX(TongVTSX!C$3:C$1500,$Q323))</f>
        <v/>
      </c>
      <c r="E323" s="23" t="str">
        <f ca="1">IF($Q323="","",INDEX(TongVTSX!D$3:D$1500,$Q323))</f>
        <v/>
      </c>
      <c r="F323" s="24" t="str">
        <f ca="1">IF($Q323="","",INDEX(TongVTSX!E$3:E$1500,$Q323))</f>
        <v/>
      </c>
      <c r="G323" s="24" t="str">
        <f ca="1">IF($Q323="","",INDEX(TongVTSX!G$3:G$1500,$Q323))</f>
        <v/>
      </c>
      <c r="H323" s="23" t="str">
        <f ca="1">IF($Q323="","",SUMPRODUCT((TongVTSX!$C$3:$C$1500=$D323)*(TongVTSX!$E$3:$E$1500=$F323)*(TongVTSX!$G$3:$G$1500=$G323)*(TongVTSX!$H$3:$H$1500)))</f>
        <v/>
      </c>
      <c r="I323" s="92">
        <f t="shared" ca="1" si="20"/>
        <v>0</v>
      </c>
      <c r="J323" s="114">
        <f t="shared" ca="1" si="21"/>
        <v>0</v>
      </c>
      <c r="K323" s="187" t="str">
        <f t="shared" ca="1" si="22"/>
        <v/>
      </c>
      <c r="Q323" s="1032" t="str">
        <f ca="1">IF(TYPE(MATCH($S$2,OFFSET(TongVTSX!$U$3,Q322,0):'TongVTSX'!$U$1500,0)+Q322)=16,"",MATCH($S$2,OFFSET(TongVTSX!$U$3,Q322,0):'TongVTSX'!$U$1500,0)+Q322)</f>
        <v/>
      </c>
      <c r="R323" s="1036"/>
      <c r="S323" s="18"/>
    </row>
    <row r="324" spans="1:19">
      <c r="A324" s="19" t="str">
        <f ca="1">IF($Q324="","",MAX($A$203:A323)+1)</f>
        <v/>
      </c>
      <c r="B324" s="1146"/>
      <c r="C324" s="1146"/>
      <c r="D324" s="23" t="str">
        <f ca="1">IF($Q324="","",INDEX(TongVTSX!C$3:C$1500,$Q324))</f>
        <v/>
      </c>
      <c r="E324" s="23" t="str">
        <f ca="1">IF($Q324="","",INDEX(TongVTSX!D$3:D$1500,$Q324))</f>
        <v/>
      </c>
      <c r="F324" s="24" t="str">
        <f ca="1">IF($Q324="","",INDEX(TongVTSX!E$3:E$1500,$Q324))</f>
        <v/>
      </c>
      <c r="G324" s="24" t="str">
        <f ca="1">IF($Q324="","",INDEX(TongVTSX!G$3:G$1500,$Q324))</f>
        <v/>
      </c>
      <c r="H324" s="23" t="str">
        <f ca="1">IF($Q324="","",SUMPRODUCT((TongVTSX!$C$3:$C$1500=$D324)*(TongVTSX!$E$3:$E$1500=$F324)*(TongVTSX!$G$3:$G$1500=$G324)*(TongVTSX!$H$3:$H$1500)))</f>
        <v/>
      </c>
      <c r="I324" s="92">
        <f t="shared" ca="1" si="20"/>
        <v>0</v>
      </c>
      <c r="J324" s="114">
        <f t="shared" ca="1" si="21"/>
        <v>0</v>
      </c>
      <c r="K324" s="187" t="str">
        <f t="shared" ca="1" si="22"/>
        <v/>
      </c>
      <c r="Q324" s="1032" t="str">
        <f ca="1">IF(TYPE(MATCH($S$2,OFFSET(TongVTSX!$U$3,Q323,0):'TongVTSX'!$U$1500,0)+Q323)=16,"",MATCH($S$2,OFFSET(TongVTSX!$U$3,Q323,0):'TongVTSX'!$U$1500,0)+Q323)</f>
        <v/>
      </c>
      <c r="R324" s="1036"/>
      <c r="S324" s="18"/>
    </row>
    <row r="325" spans="1:19">
      <c r="A325" s="19" t="str">
        <f ca="1">IF($Q325="","",MAX($A$203:A324)+1)</f>
        <v/>
      </c>
      <c r="B325" s="1146"/>
      <c r="C325" s="1146"/>
      <c r="D325" s="23" t="str">
        <f ca="1">IF($Q325="","",INDEX(TongVTSX!C$3:C$1500,$Q325))</f>
        <v/>
      </c>
      <c r="E325" s="23" t="str">
        <f ca="1">IF($Q325="","",INDEX(TongVTSX!D$3:D$1500,$Q325))</f>
        <v/>
      </c>
      <c r="F325" s="24" t="str">
        <f ca="1">IF($Q325="","",INDEX(TongVTSX!E$3:E$1500,$Q325))</f>
        <v/>
      </c>
      <c r="G325" s="24" t="str">
        <f ca="1">IF($Q325="","",INDEX(TongVTSX!G$3:G$1500,$Q325))</f>
        <v/>
      </c>
      <c r="H325" s="23" t="str">
        <f ca="1">IF($Q325="","",SUMPRODUCT((TongVTSX!$C$3:$C$1500=$D325)*(TongVTSX!$E$3:$E$1500=$F325)*(TongVTSX!$G$3:$G$1500=$G325)*(TongVTSX!$H$3:$H$1500)))</f>
        <v/>
      </c>
      <c r="I325" s="92">
        <f t="shared" ca="1" si="20"/>
        <v>0</v>
      </c>
      <c r="J325" s="114">
        <f t="shared" ca="1" si="21"/>
        <v>0</v>
      </c>
      <c r="K325" s="187" t="str">
        <f t="shared" ca="1" si="22"/>
        <v/>
      </c>
      <c r="Q325" s="1032" t="str">
        <f ca="1">IF(TYPE(MATCH($S$2,OFFSET(TongVTSX!$U$3,Q324,0):'TongVTSX'!$U$1500,0)+Q324)=16,"",MATCH($S$2,OFFSET(TongVTSX!$U$3,Q324,0):'TongVTSX'!$U$1500,0)+Q324)</f>
        <v/>
      </c>
      <c r="R325" s="1036"/>
      <c r="S325" s="18"/>
    </row>
    <row r="326" spans="1:19">
      <c r="A326" s="19" t="str">
        <f ca="1">IF($Q326="","",MAX($A$203:A325)+1)</f>
        <v/>
      </c>
      <c r="B326" s="1146"/>
      <c r="C326" s="1146"/>
      <c r="D326" s="23" t="str">
        <f ca="1">IF($Q326="","",INDEX(TongVTSX!C$3:C$1500,$Q326))</f>
        <v/>
      </c>
      <c r="E326" s="23" t="str">
        <f ca="1">IF($Q326="","",INDEX(TongVTSX!D$3:D$1500,$Q326))</f>
        <v/>
      </c>
      <c r="F326" s="24" t="str">
        <f ca="1">IF($Q326="","",INDEX(TongVTSX!E$3:E$1500,$Q326))</f>
        <v/>
      </c>
      <c r="G326" s="24" t="str">
        <f ca="1">IF($Q326="","",INDEX(TongVTSX!G$3:G$1500,$Q326))</f>
        <v/>
      </c>
      <c r="H326" s="23" t="str">
        <f ca="1">IF($Q326="","",SUMPRODUCT((TongVTSX!$C$3:$C$1500=$D326)*(TongVTSX!$E$3:$E$1500=$F326)*(TongVTSX!$G$3:$G$1500=$G326)*(TongVTSX!$H$3:$H$1500)))</f>
        <v/>
      </c>
      <c r="I326" s="92">
        <f t="shared" ca="1" si="20"/>
        <v>0</v>
      </c>
      <c r="J326" s="114">
        <f t="shared" ca="1" si="21"/>
        <v>0</v>
      </c>
      <c r="K326" s="187" t="str">
        <f t="shared" ca="1" si="22"/>
        <v/>
      </c>
      <c r="Q326" s="1032" t="str">
        <f ca="1">IF(TYPE(MATCH($S$2,OFFSET(TongVTSX!$U$3,Q325,0):'TongVTSX'!$U$1500,0)+Q325)=16,"",MATCH($S$2,OFFSET(TongVTSX!$U$3,Q325,0):'TongVTSX'!$U$1500,0)+Q325)</f>
        <v/>
      </c>
      <c r="R326" s="1036"/>
      <c r="S326" s="18"/>
    </row>
    <row r="327" spans="1:19">
      <c r="A327" s="19" t="str">
        <f ca="1">IF($Q327="","",MAX($A$203:A326)+1)</f>
        <v/>
      </c>
      <c r="B327" s="1146"/>
      <c r="C327" s="1146"/>
      <c r="D327" s="23" t="str">
        <f ca="1">IF($Q327="","",INDEX(TongVTSX!C$3:C$1500,$Q327))</f>
        <v/>
      </c>
      <c r="E327" s="23" t="str">
        <f ca="1">IF($Q327="","",INDEX(TongVTSX!D$3:D$1500,$Q327))</f>
        <v/>
      </c>
      <c r="F327" s="24" t="str">
        <f ca="1">IF($Q327="","",INDEX(TongVTSX!E$3:E$1500,$Q327))</f>
        <v/>
      </c>
      <c r="G327" s="24" t="str">
        <f ca="1">IF($Q327="","",INDEX(TongVTSX!G$3:G$1500,$Q327))</f>
        <v/>
      </c>
      <c r="H327" s="23" t="str">
        <f ca="1">IF($Q327="","",SUMPRODUCT((TongVTSX!$C$3:$C$1500=$D327)*(TongVTSX!$E$3:$E$1500=$F327)*(TongVTSX!$G$3:$G$1500=$G327)*(TongVTSX!$H$3:$H$1500)))</f>
        <v/>
      </c>
      <c r="I327" s="92">
        <f t="shared" ca="1" si="20"/>
        <v>0</v>
      </c>
      <c r="J327" s="114">
        <f t="shared" ca="1" si="21"/>
        <v>0</v>
      </c>
      <c r="K327" s="187" t="str">
        <f t="shared" ca="1" si="22"/>
        <v/>
      </c>
      <c r="Q327" s="1032" t="str">
        <f ca="1">IF(TYPE(MATCH($S$2,OFFSET(TongVTSX!$U$3,Q326,0):'TongVTSX'!$U$1500,0)+Q326)=16,"",MATCH($S$2,OFFSET(TongVTSX!$U$3,Q326,0):'TongVTSX'!$U$1500,0)+Q326)</f>
        <v/>
      </c>
      <c r="R327" s="1036"/>
      <c r="S327" s="18"/>
    </row>
    <row r="328" spans="1:19">
      <c r="A328" s="19" t="str">
        <f ca="1">IF($Q328="","",MAX($A$203:A327)+1)</f>
        <v/>
      </c>
      <c r="B328" s="1146"/>
      <c r="C328" s="1146"/>
      <c r="D328" s="23" t="str">
        <f ca="1">IF($Q328="","",INDEX(TongVTSX!C$3:C$1500,$Q328))</f>
        <v/>
      </c>
      <c r="E328" s="23" t="str">
        <f ca="1">IF($Q328="","",INDEX(TongVTSX!D$3:D$1500,$Q328))</f>
        <v/>
      </c>
      <c r="F328" s="24" t="str">
        <f ca="1">IF($Q328="","",INDEX(TongVTSX!E$3:E$1500,$Q328))</f>
        <v/>
      </c>
      <c r="G328" s="24" t="str">
        <f ca="1">IF($Q328="","",INDEX(TongVTSX!G$3:G$1500,$Q328))</f>
        <v/>
      </c>
      <c r="H328" s="23" t="str">
        <f ca="1">IF($Q328="","",SUMPRODUCT((TongVTSX!$C$3:$C$1500=$D328)*(TongVTSX!$E$3:$E$1500=$F328)*(TongVTSX!$G$3:$G$1500=$G328)*(TongVTSX!$H$3:$H$1500)))</f>
        <v/>
      </c>
      <c r="I328" s="92">
        <f t="shared" ca="1" si="20"/>
        <v>0</v>
      </c>
      <c r="J328" s="114">
        <f t="shared" ca="1" si="21"/>
        <v>0</v>
      </c>
      <c r="K328" s="187" t="str">
        <f t="shared" ca="1" si="22"/>
        <v/>
      </c>
      <c r="Q328" s="1032" t="str">
        <f ca="1">IF(TYPE(MATCH($S$2,OFFSET(TongVTSX!$U$3,Q327,0):'TongVTSX'!$U$1500,0)+Q327)=16,"",MATCH($S$2,OFFSET(TongVTSX!$U$3,Q327,0):'TongVTSX'!$U$1500,0)+Q327)</f>
        <v/>
      </c>
      <c r="R328" s="1036"/>
      <c r="S328" s="18"/>
    </row>
    <row r="329" spans="1:19">
      <c r="A329" s="19" t="str">
        <f ca="1">IF($Q329="","",MAX($A$203:A328)+1)</f>
        <v/>
      </c>
      <c r="B329" s="1146"/>
      <c r="C329" s="1146"/>
      <c r="D329" s="23" t="str">
        <f ca="1">IF($Q329="","",INDEX(TongVTSX!C$3:C$1500,$Q329))</f>
        <v/>
      </c>
      <c r="E329" s="23" t="str">
        <f ca="1">IF($Q329="","",INDEX(TongVTSX!D$3:D$1500,$Q329))</f>
        <v/>
      </c>
      <c r="F329" s="24" t="str">
        <f ca="1">IF($Q329="","",INDEX(TongVTSX!E$3:E$1500,$Q329))</f>
        <v/>
      </c>
      <c r="G329" s="24" t="str">
        <f ca="1">IF($Q329="","",INDEX(TongVTSX!G$3:G$1500,$Q329))</f>
        <v/>
      </c>
      <c r="H329" s="23" t="str">
        <f ca="1">IF($Q329="","",SUMPRODUCT((TongVTSX!$C$3:$C$1500=$D329)*(TongVTSX!$E$3:$E$1500=$F329)*(TongVTSX!$G$3:$G$1500=$G329)*(TongVTSX!$H$3:$H$1500)))</f>
        <v/>
      </c>
      <c r="I329" s="92">
        <f t="shared" ca="1" si="20"/>
        <v>0</v>
      </c>
      <c r="J329" s="114">
        <f t="shared" ca="1" si="21"/>
        <v>0</v>
      </c>
      <c r="K329" s="187" t="str">
        <f t="shared" ca="1" si="22"/>
        <v/>
      </c>
      <c r="Q329" s="1032" t="str">
        <f ca="1">IF(TYPE(MATCH($S$2,OFFSET(TongVTSX!$U$3,Q328,0):'TongVTSX'!$U$1500,0)+Q328)=16,"",MATCH($S$2,OFFSET(TongVTSX!$U$3,Q328,0):'TongVTSX'!$U$1500,0)+Q328)</f>
        <v/>
      </c>
      <c r="R329" s="1036"/>
      <c r="S329" s="18"/>
    </row>
    <row r="330" spans="1:19">
      <c r="A330" s="19" t="str">
        <f ca="1">IF($Q330="","",MAX($A$203:A329)+1)</f>
        <v/>
      </c>
      <c r="B330" s="1146"/>
      <c r="C330" s="1146"/>
      <c r="D330" s="23" t="str">
        <f ca="1">IF($Q330="","",INDEX(TongVTSX!C$3:C$1500,$Q330))</f>
        <v/>
      </c>
      <c r="E330" s="23" t="str">
        <f ca="1">IF($Q330="","",INDEX(TongVTSX!D$3:D$1500,$Q330))</f>
        <v/>
      </c>
      <c r="F330" s="24" t="str">
        <f ca="1">IF($Q330="","",INDEX(TongVTSX!E$3:E$1500,$Q330))</f>
        <v/>
      </c>
      <c r="G330" s="24" t="str">
        <f ca="1">IF($Q330="","",INDEX(TongVTSX!G$3:G$1500,$Q330))</f>
        <v/>
      </c>
      <c r="H330" s="23" t="str">
        <f ca="1">IF($Q330="","",SUMPRODUCT((TongVTSX!$C$3:$C$1500=$D330)*(TongVTSX!$E$3:$E$1500=$F330)*(TongVTSX!$G$3:$G$1500=$G330)*(TongVTSX!$H$3:$H$1500)))</f>
        <v/>
      </c>
      <c r="I330" s="92">
        <f t="shared" ca="1" si="20"/>
        <v>0</v>
      </c>
      <c r="J330" s="114">
        <f t="shared" ca="1" si="21"/>
        <v>0</v>
      </c>
      <c r="K330" s="187" t="str">
        <f t="shared" ca="1" si="22"/>
        <v/>
      </c>
      <c r="Q330" s="1032" t="str">
        <f ca="1">IF(TYPE(MATCH($S$2,OFFSET(TongVTSX!$U$3,Q329,0):'TongVTSX'!$U$1500,0)+Q329)=16,"",MATCH($S$2,OFFSET(TongVTSX!$U$3,Q329,0):'TongVTSX'!$U$1500,0)+Q329)</f>
        <v/>
      </c>
      <c r="R330" s="1036"/>
      <c r="S330" s="18"/>
    </row>
    <row r="331" spans="1:19">
      <c r="A331" s="19" t="str">
        <f ca="1">IF($Q331="","",MAX($A$203:A330)+1)</f>
        <v/>
      </c>
      <c r="B331" s="1146"/>
      <c r="C331" s="1146"/>
      <c r="D331" s="23" t="str">
        <f ca="1">IF($Q331="","",INDEX(TongVTSX!C$3:C$1500,$Q331))</f>
        <v/>
      </c>
      <c r="E331" s="23" t="str">
        <f ca="1">IF($Q331="","",INDEX(TongVTSX!D$3:D$1500,$Q331))</f>
        <v/>
      </c>
      <c r="F331" s="24" t="str">
        <f ca="1">IF($Q331="","",INDEX(TongVTSX!E$3:E$1500,$Q331))</f>
        <v/>
      </c>
      <c r="G331" s="24" t="str">
        <f ca="1">IF($Q331="","",INDEX(TongVTSX!G$3:G$1500,$Q331))</f>
        <v/>
      </c>
      <c r="H331" s="23" t="str">
        <f ca="1">IF($Q331="","",SUMPRODUCT((TongVTSX!$C$3:$C$1500=$D331)*(TongVTSX!$E$3:$E$1500=$F331)*(TongVTSX!$G$3:$G$1500=$G331)*(TongVTSX!$H$3:$H$1500)))</f>
        <v/>
      </c>
      <c r="I331" s="92">
        <f t="shared" ca="1" si="20"/>
        <v>0</v>
      </c>
      <c r="J331" s="114">
        <f t="shared" ca="1" si="21"/>
        <v>0</v>
      </c>
      <c r="K331" s="187" t="str">
        <f t="shared" ca="1" si="22"/>
        <v/>
      </c>
      <c r="Q331" s="1032" t="str">
        <f ca="1">IF(TYPE(MATCH($S$2,OFFSET(TongVTSX!$U$3,Q330,0):'TongVTSX'!$U$1500,0)+Q330)=16,"",MATCH($S$2,OFFSET(TongVTSX!$U$3,Q330,0):'TongVTSX'!$U$1500,0)+Q330)</f>
        <v/>
      </c>
      <c r="R331" s="1036"/>
      <c r="S331" s="18"/>
    </row>
    <row r="332" spans="1:19">
      <c r="A332" s="19" t="str">
        <f ca="1">IF($Q332="","",MAX($A$203:A331)+1)</f>
        <v/>
      </c>
      <c r="B332" s="1146"/>
      <c r="C332" s="1146"/>
      <c r="D332" s="23" t="str">
        <f ca="1">IF($Q332="","",INDEX(TongVTSX!C$3:C$1500,$Q332))</f>
        <v/>
      </c>
      <c r="E332" s="23" t="str">
        <f ca="1">IF($Q332="","",INDEX(TongVTSX!D$3:D$1500,$Q332))</f>
        <v/>
      </c>
      <c r="F332" s="24" t="str">
        <f ca="1">IF($Q332="","",INDEX(TongVTSX!E$3:E$1500,$Q332))</f>
        <v/>
      </c>
      <c r="G332" s="24" t="str">
        <f ca="1">IF($Q332="","",INDEX(TongVTSX!G$3:G$1500,$Q332))</f>
        <v/>
      </c>
      <c r="H332" s="23" t="str">
        <f ca="1">IF($Q332="","",SUMPRODUCT((TongVTSX!$C$3:$C$1500=$D332)*(TongVTSX!$E$3:$E$1500=$F332)*(TongVTSX!$G$3:$G$1500=$G332)*(TongVTSX!$H$3:$H$1500)))</f>
        <v/>
      </c>
      <c r="I332" s="92">
        <f t="shared" ref="I332:I350" ca="1" si="23">IFERROR($G332*$H332,0)</f>
        <v>0</v>
      </c>
      <c r="J332" s="114">
        <f t="shared" ref="J332:J350" ca="1" si="24">IFERROR(I332/INDEX($U$3:$U$200,MATCH($D332,$D$3:$D$200,0)),0)</f>
        <v>0</v>
      </c>
      <c r="K332" s="187" t="str">
        <f t="shared" ref="K332:K350" ca="1" si="25">IFERROR((ROUNDUP($J332,0)-$J332)*INDEX($U$3:$U$200,MATCH($D332,$D$3:$D$200,0)),"")</f>
        <v/>
      </c>
      <c r="Q332" s="1032" t="str">
        <f ca="1">IF(TYPE(MATCH($S$2,OFFSET(TongVTSX!$U$3,Q331,0):'TongVTSX'!$U$1500,0)+Q331)=16,"",MATCH($S$2,OFFSET(TongVTSX!$U$3,Q331,0):'TongVTSX'!$U$1500,0)+Q331)</f>
        <v/>
      </c>
      <c r="R332" s="1036"/>
      <c r="S332" s="18"/>
    </row>
    <row r="333" spans="1:19">
      <c r="A333" s="19" t="str">
        <f ca="1">IF($Q333="","",MAX($A$203:A332)+1)</f>
        <v/>
      </c>
      <c r="B333" s="1146"/>
      <c r="C333" s="1146"/>
      <c r="D333" s="23" t="str">
        <f ca="1">IF($Q333="","",INDEX(TongVTSX!C$3:C$1500,$Q333))</f>
        <v/>
      </c>
      <c r="E333" s="23" t="str">
        <f ca="1">IF($Q333="","",INDEX(TongVTSX!D$3:D$1500,$Q333))</f>
        <v/>
      </c>
      <c r="F333" s="24" t="str">
        <f ca="1">IF($Q333="","",INDEX(TongVTSX!E$3:E$1500,$Q333))</f>
        <v/>
      </c>
      <c r="G333" s="24" t="str">
        <f ca="1">IF($Q333="","",INDEX(TongVTSX!G$3:G$1500,$Q333))</f>
        <v/>
      </c>
      <c r="H333" s="23" t="str">
        <f ca="1">IF($Q333="","",SUMPRODUCT((TongVTSX!$C$3:$C$1500=$D333)*(TongVTSX!$E$3:$E$1500=$F333)*(TongVTSX!$G$3:$G$1500=$G333)*(TongVTSX!$H$3:$H$1500)))</f>
        <v/>
      </c>
      <c r="I333" s="92">
        <f t="shared" ca="1" si="23"/>
        <v>0</v>
      </c>
      <c r="J333" s="114">
        <f t="shared" ca="1" si="24"/>
        <v>0</v>
      </c>
      <c r="K333" s="187" t="str">
        <f t="shared" ca="1" si="25"/>
        <v/>
      </c>
      <c r="Q333" s="1032" t="str">
        <f ca="1">IF(TYPE(MATCH($S$2,OFFSET(TongVTSX!$U$3,Q332,0):'TongVTSX'!$U$1500,0)+Q332)=16,"",MATCH($S$2,OFFSET(TongVTSX!$U$3,Q332,0):'TongVTSX'!$U$1500,0)+Q332)</f>
        <v/>
      </c>
      <c r="R333" s="1036"/>
      <c r="S333" s="18"/>
    </row>
    <row r="334" spans="1:19">
      <c r="A334" s="19" t="str">
        <f ca="1">IF($Q334="","",MAX($A$203:A333)+1)</f>
        <v/>
      </c>
      <c r="B334" s="1146"/>
      <c r="C334" s="1146"/>
      <c r="D334" s="23" t="str">
        <f ca="1">IF($Q334="","",INDEX(TongVTSX!C$3:C$1500,$Q334))</f>
        <v/>
      </c>
      <c r="E334" s="23" t="str">
        <f ca="1">IF($Q334="","",INDEX(TongVTSX!D$3:D$1500,$Q334))</f>
        <v/>
      </c>
      <c r="F334" s="24" t="str">
        <f ca="1">IF($Q334="","",INDEX(TongVTSX!E$3:E$1500,$Q334))</f>
        <v/>
      </c>
      <c r="G334" s="24" t="str">
        <f ca="1">IF($Q334="","",INDEX(TongVTSX!G$3:G$1500,$Q334))</f>
        <v/>
      </c>
      <c r="H334" s="23" t="str">
        <f ca="1">IF($Q334="","",SUMPRODUCT((TongVTSX!$C$3:$C$1500=$D334)*(TongVTSX!$E$3:$E$1500=$F334)*(TongVTSX!$G$3:$G$1500=$G334)*(TongVTSX!$H$3:$H$1500)))</f>
        <v/>
      </c>
      <c r="I334" s="92">
        <f t="shared" ca="1" si="23"/>
        <v>0</v>
      </c>
      <c r="J334" s="114">
        <f t="shared" ca="1" si="24"/>
        <v>0</v>
      </c>
      <c r="K334" s="187" t="str">
        <f t="shared" ca="1" si="25"/>
        <v/>
      </c>
      <c r="Q334" s="1032" t="str">
        <f ca="1">IF(TYPE(MATCH($S$2,OFFSET(TongVTSX!$U$3,Q333,0):'TongVTSX'!$U$1500,0)+Q333)=16,"",MATCH($S$2,OFFSET(TongVTSX!$U$3,Q333,0):'TongVTSX'!$U$1500,0)+Q333)</f>
        <v/>
      </c>
      <c r="R334" s="1036"/>
      <c r="S334" s="18"/>
    </row>
    <row r="335" spans="1:19">
      <c r="A335" s="19" t="str">
        <f ca="1">IF($Q335="","",MAX($A$203:A334)+1)</f>
        <v/>
      </c>
      <c r="B335" s="1146"/>
      <c r="C335" s="1146"/>
      <c r="D335" s="23" t="str">
        <f ca="1">IF($Q335="","",INDEX(TongVTSX!C$3:C$1500,$Q335))</f>
        <v/>
      </c>
      <c r="E335" s="23" t="str">
        <f ca="1">IF($Q335="","",INDEX(TongVTSX!D$3:D$1500,$Q335))</f>
        <v/>
      </c>
      <c r="F335" s="24" t="str">
        <f ca="1">IF($Q335="","",INDEX(TongVTSX!E$3:E$1500,$Q335))</f>
        <v/>
      </c>
      <c r="G335" s="24" t="str">
        <f ca="1">IF($Q335="","",INDEX(TongVTSX!G$3:G$1500,$Q335))</f>
        <v/>
      </c>
      <c r="H335" s="23" t="str">
        <f ca="1">IF($Q335="","",SUMPRODUCT((TongVTSX!$C$3:$C$1500=$D335)*(TongVTSX!$E$3:$E$1500=$F335)*(TongVTSX!$G$3:$G$1500=$G335)*(TongVTSX!$H$3:$H$1500)))</f>
        <v/>
      </c>
      <c r="I335" s="92">
        <f t="shared" ca="1" si="23"/>
        <v>0</v>
      </c>
      <c r="J335" s="114">
        <f t="shared" ca="1" si="24"/>
        <v>0</v>
      </c>
      <c r="K335" s="187" t="str">
        <f t="shared" ca="1" si="25"/>
        <v/>
      </c>
      <c r="Q335" s="1032" t="str">
        <f ca="1">IF(TYPE(MATCH($S$2,OFFSET(TongVTSX!$U$3,Q334,0):'TongVTSX'!$U$1500,0)+Q334)=16,"",MATCH($S$2,OFFSET(TongVTSX!$U$3,Q334,0):'TongVTSX'!$U$1500,0)+Q334)</f>
        <v/>
      </c>
      <c r="R335" s="1036"/>
      <c r="S335" s="18"/>
    </row>
    <row r="336" spans="1:19">
      <c r="A336" s="19" t="str">
        <f ca="1">IF($Q336="","",MAX($A$203:A335)+1)</f>
        <v/>
      </c>
      <c r="B336" s="1146"/>
      <c r="C336" s="1146"/>
      <c r="D336" s="23" t="str">
        <f ca="1">IF($Q336="","",INDEX(TongVTSX!C$3:C$1500,$Q336))</f>
        <v/>
      </c>
      <c r="E336" s="23" t="str">
        <f ca="1">IF($Q336="","",INDEX(TongVTSX!D$3:D$1500,$Q336))</f>
        <v/>
      </c>
      <c r="F336" s="24" t="str">
        <f ca="1">IF($Q336="","",INDEX(TongVTSX!E$3:E$1500,$Q336))</f>
        <v/>
      </c>
      <c r="G336" s="24" t="str">
        <f ca="1">IF($Q336="","",INDEX(TongVTSX!G$3:G$1500,$Q336))</f>
        <v/>
      </c>
      <c r="H336" s="23" t="str">
        <f ca="1">IF($Q336="","",SUMPRODUCT((TongVTSX!$C$3:$C$1500=$D336)*(TongVTSX!$E$3:$E$1500=$F336)*(TongVTSX!$G$3:$G$1500=$G336)*(TongVTSX!$H$3:$H$1500)))</f>
        <v/>
      </c>
      <c r="I336" s="92">
        <f t="shared" ca="1" si="23"/>
        <v>0</v>
      </c>
      <c r="J336" s="114">
        <f t="shared" ca="1" si="24"/>
        <v>0</v>
      </c>
      <c r="K336" s="187" t="str">
        <f t="shared" ca="1" si="25"/>
        <v/>
      </c>
      <c r="Q336" s="1032" t="str">
        <f ca="1">IF(TYPE(MATCH($S$2,OFFSET(TongVTSX!$U$3,Q335,0):'TongVTSX'!$U$1500,0)+Q335)=16,"",MATCH($S$2,OFFSET(TongVTSX!$U$3,Q335,0):'TongVTSX'!$U$1500,0)+Q335)</f>
        <v/>
      </c>
      <c r="R336" s="1036"/>
      <c r="S336" s="18"/>
    </row>
    <row r="337" spans="1:19">
      <c r="A337" s="19" t="str">
        <f ca="1">IF($Q337="","",MAX($A$203:A336)+1)</f>
        <v/>
      </c>
      <c r="B337" s="1146"/>
      <c r="C337" s="1146"/>
      <c r="D337" s="23" t="str">
        <f ca="1">IF($Q337="","",INDEX(TongVTSX!C$3:C$1500,$Q337))</f>
        <v/>
      </c>
      <c r="E337" s="23" t="str">
        <f ca="1">IF($Q337="","",INDEX(TongVTSX!D$3:D$1500,$Q337))</f>
        <v/>
      </c>
      <c r="F337" s="24" t="str">
        <f ca="1">IF($Q337="","",INDEX(TongVTSX!E$3:E$1500,$Q337))</f>
        <v/>
      </c>
      <c r="G337" s="24" t="str">
        <f ca="1">IF($Q337="","",INDEX(TongVTSX!G$3:G$1500,$Q337))</f>
        <v/>
      </c>
      <c r="H337" s="23" t="str">
        <f ca="1">IF($Q337="","",SUMPRODUCT((TongVTSX!$C$3:$C$1500=$D337)*(TongVTSX!$E$3:$E$1500=$F337)*(TongVTSX!$G$3:$G$1500=$G337)*(TongVTSX!$H$3:$H$1500)))</f>
        <v/>
      </c>
      <c r="I337" s="92">
        <f t="shared" ca="1" si="23"/>
        <v>0</v>
      </c>
      <c r="J337" s="114">
        <f t="shared" ca="1" si="24"/>
        <v>0</v>
      </c>
      <c r="K337" s="187" t="str">
        <f t="shared" ca="1" si="25"/>
        <v/>
      </c>
      <c r="Q337" s="1032" t="str">
        <f ca="1">IF(TYPE(MATCH($S$2,OFFSET(TongVTSX!$U$3,Q336,0):'TongVTSX'!$U$1500,0)+Q336)=16,"",MATCH($S$2,OFFSET(TongVTSX!$U$3,Q336,0):'TongVTSX'!$U$1500,0)+Q336)</f>
        <v/>
      </c>
      <c r="R337" s="1036"/>
      <c r="S337" s="18"/>
    </row>
    <row r="338" spans="1:19">
      <c r="A338" s="19" t="str">
        <f ca="1">IF($Q338="","",MAX($A$203:A337)+1)</f>
        <v/>
      </c>
      <c r="B338" s="1146"/>
      <c r="C338" s="1146"/>
      <c r="D338" s="23" t="str">
        <f ca="1">IF($Q338="","",INDEX(TongVTSX!C$3:C$1500,$Q338))</f>
        <v/>
      </c>
      <c r="E338" s="23" t="str">
        <f ca="1">IF($Q338="","",INDEX(TongVTSX!D$3:D$1500,$Q338))</f>
        <v/>
      </c>
      <c r="F338" s="24" t="str">
        <f ca="1">IF($Q338="","",INDEX(TongVTSX!E$3:E$1500,$Q338))</f>
        <v/>
      </c>
      <c r="G338" s="24" t="str">
        <f ca="1">IF($Q338="","",INDEX(TongVTSX!G$3:G$1500,$Q338))</f>
        <v/>
      </c>
      <c r="H338" s="23" t="str">
        <f ca="1">IF($Q338="","",SUMPRODUCT((TongVTSX!$C$3:$C$1500=$D338)*(TongVTSX!$E$3:$E$1500=$F338)*(TongVTSX!$G$3:$G$1500=$G338)*(TongVTSX!$H$3:$H$1500)))</f>
        <v/>
      </c>
      <c r="I338" s="92">
        <f t="shared" ca="1" si="23"/>
        <v>0</v>
      </c>
      <c r="J338" s="114">
        <f t="shared" ca="1" si="24"/>
        <v>0</v>
      </c>
      <c r="K338" s="187" t="str">
        <f t="shared" ca="1" si="25"/>
        <v/>
      </c>
      <c r="Q338" s="1032" t="str">
        <f ca="1">IF(TYPE(MATCH($S$2,OFFSET(TongVTSX!$U$3,Q337,0):'TongVTSX'!$U$1500,0)+Q337)=16,"",MATCH($S$2,OFFSET(TongVTSX!$U$3,Q337,0):'TongVTSX'!$U$1500,0)+Q337)</f>
        <v/>
      </c>
      <c r="R338" s="1036"/>
      <c r="S338" s="18"/>
    </row>
    <row r="339" spans="1:19">
      <c r="A339" s="19" t="str">
        <f ca="1">IF($Q339="","",MAX($A$203:A338)+1)</f>
        <v/>
      </c>
      <c r="B339" s="1146"/>
      <c r="C339" s="1146"/>
      <c r="D339" s="23" t="str">
        <f ca="1">IF($Q339="","",INDEX(TongVTSX!C$3:C$1500,$Q339))</f>
        <v/>
      </c>
      <c r="E339" s="23" t="str">
        <f ca="1">IF($Q339="","",INDEX(TongVTSX!D$3:D$1500,$Q339))</f>
        <v/>
      </c>
      <c r="F339" s="24" t="str">
        <f ca="1">IF($Q339="","",INDEX(TongVTSX!E$3:E$1500,$Q339))</f>
        <v/>
      </c>
      <c r="G339" s="24" t="str">
        <f ca="1">IF($Q339="","",INDEX(TongVTSX!G$3:G$1500,$Q339))</f>
        <v/>
      </c>
      <c r="H339" s="23" t="str">
        <f ca="1">IF($Q339="","",SUMPRODUCT((TongVTSX!$C$3:$C$1500=$D339)*(TongVTSX!$E$3:$E$1500=$F339)*(TongVTSX!$G$3:$G$1500=$G339)*(TongVTSX!$H$3:$H$1500)))</f>
        <v/>
      </c>
      <c r="I339" s="92">
        <f t="shared" ca="1" si="23"/>
        <v>0</v>
      </c>
      <c r="J339" s="114">
        <f t="shared" ca="1" si="24"/>
        <v>0</v>
      </c>
      <c r="K339" s="187" t="str">
        <f t="shared" ca="1" si="25"/>
        <v/>
      </c>
      <c r="Q339" s="1032" t="str">
        <f ca="1">IF(TYPE(MATCH($S$2,OFFSET(TongVTSX!$U$3,Q338,0):'TongVTSX'!$U$1500,0)+Q338)=16,"",MATCH($S$2,OFFSET(TongVTSX!$U$3,Q338,0):'TongVTSX'!$U$1500,0)+Q338)</f>
        <v/>
      </c>
      <c r="R339" s="1036"/>
      <c r="S339" s="18"/>
    </row>
    <row r="340" spans="1:19">
      <c r="A340" s="19" t="str">
        <f ca="1">IF($Q340="","",MAX($A$203:A339)+1)</f>
        <v/>
      </c>
      <c r="B340" s="1146"/>
      <c r="C340" s="1146"/>
      <c r="D340" s="23" t="str">
        <f ca="1">IF($Q340="","",INDEX(TongVTSX!C$3:C$1500,$Q340))</f>
        <v/>
      </c>
      <c r="E340" s="23" t="str">
        <f ca="1">IF($Q340="","",INDEX(TongVTSX!D$3:D$1500,$Q340))</f>
        <v/>
      </c>
      <c r="F340" s="24" t="str">
        <f ca="1">IF($Q340="","",INDEX(TongVTSX!E$3:E$1500,$Q340))</f>
        <v/>
      </c>
      <c r="G340" s="24" t="str">
        <f ca="1">IF($Q340="","",INDEX(TongVTSX!G$3:G$1500,$Q340))</f>
        <v/>
      </c>
      <c r="H340" s="23" t="str">
        <f ca="1">IF($Q340="","",SUMPRODUCT((TongVTSX!$C$3:$C$1500=$D340)*(TongVTSX!$E$3:$E$1500=$F340)*(TongVTSX!$G$3:$G$1500=$G340)*(TongVTSX!$H$3:$H$1500)))</f>
        <v/>
      </c>
      <c r="I340" s="92">
        <f t="shared" ca="1" si="23"/>
        <v>0</v>
      </c>
      <c r="J340" s="114">
        <f t="shared" ca="1" si="24"/>
        <v>0</v>
      </c>
      <c r="K340" s="187" t="str">
        <f t="shared" ca="1" si="25"/>
        <v/>
      </c>
      <c r="Q340" s="1032" t="str">
        <f ca="1">IF(TYPE(MATCH($S$2,OFFSET(TongVTSX!$U$3,Q339,0):'TongVTSX'!$U$1500,0)+Q339)=16,"",MATCH($S$2,OFFSET(TongVTSX!$U$3,Q339,0):'TongVTSX'!$U$1500,0)+Q339)</f>
        <v/>
      </c>
      <c r="R340" s="1036"/>
      <c r="S340" s="18"/>
    </row>
    <row r="341" spans="1:19">
      <c r="A341" s="19" t="str">
        <f ca="1">IF($Q341="","",MAX($A$203:A340)+1)</f>
        <v/>
      </c>
      <c r="B341" s="1146"/>
      <c r="C341" s="1146"/>
      <c r="D341" s="23" t="str">
        <f ca="1">IF($Q341="","",INDEX(TongVTSX!C$3:C$1500,$Q341))</f>
        <v/>
      </c>
      <c r="E341" s="23" t="str">
        <f ca="1">IF($Q341="","",INDEX(TongVTSX!D$3:D$1500,$Q341))</f>
        <v/>
      </c>
      <c r="F341" s="24" t="str">
        <f ca="1">IF($Q341="","",INDEX(TongVTSX!E$3:E$1500,$Q341))</f>
        <v/>
      </c>
      <c r="G341" s="24" t="str">
        <f ca="1">IF($Q341="","",INDEX(TongVTSX!G$3:G$1500,$Q341))</f>
        <v/>
      </c>
      <c r="H341" s="23" t="str">
        <f ca="1">IF($Q341="","",SUMPRODUCT((TongVTSX!$C$3:$C$1500=$D341)*(TongVTSX!$E$3:$E$1500=$F341)*(TongVTSX!$G$3:$G$1500=$G341)*(TongVTSX!$H$3:$H$1500)))</f>
        <v/>
      </c>
      <c r="I341" s="92">
        <f t="shared" ca="1" si="23"/>
        <v>0</v>
      </c>
      <c r="J341" s="114">
        <f t="shared" ca="1" si="24"/>
        <v>0</v>
      </c>
      <c r="K341" s="187" t="str">
        <f t="shared" ca="1" si="25"/>
        <v/>
      </c>
      <c r="Q341" s="1032" t="str">
        <f ca="1">IF(TYPE(MATCH($S$2,OFFSET(TongVTSX!$U$3,Q340,0):'TongVTSX'!$U$1500,0)+Q340)=16,"",MATCH($S$2,OFFSET(TongVTSX!$U$3,Q340,0):'TongVTSX'!$U$1500,0)+Q340)</f>
        <v/>
      </c>
      <c r="R341" s="1036"/>
      <c r="S341" s="18"/>
    </row>
    <row r="342" spans="1:19">
      <c r="A342" s="19" t="str">
        <f ca="1">IF($Q342="","",MAX($A$203:A341)+1)</f>
        <v/>
      </c>
      <c r="B342" s="1146"/>
      <c r="C342" s="1146"/>
      <c r="D342" s="23" t="str">
        <f ca="1">IF($Q342="","",INDEX(TongVTSX!C$3:C$1500,$Q342))</f>
        <v/>
      </c>
      <c r="E342" s="23" t="str">
        <f ca="1">IF($Q342="","",INDEX(TongVTSX!D$3:D$1500,$Q342))</f>
        <v/>
      </c>
      <c r="F342" s="24" t="str">
        <f ca="1">IF($Q342="","",INDEX(TongVTSX!E$3:E$1500,$Q342))</f>
        <v/>
      </c>
      <c r="G342" s="24" t="str">
        <f ca="1">IF($Q342="","",INDEX(TongVTSX!G$3:G$1500,$Q342))</f>
        <v/>
      </c>
      <c r="H342" s="23" t="str">
        <f ca="1">IF($Q342="","",SUMPRODUCT((TongVTSX!$C$3:$C$1500=$D342)*(TongVTSX!$E$3:$E$1500=$F342)*(TongVTSX!$G$3:$G$1500=$G342)*(TongVTSX!$H$3:$H$1500)))</f>
        <v/>
      </c>
      <c r="I342" s="92">
        <f t="shared" ca="1" si="23"/>
        <v>0</v>
      </c>
      <c r="J342" s="114">
        <f t="shared" ca="1" si="24"/>
        <v>0</v>
      </c>
      <c r="K342" s="187" t="str">
        <f t="shared" ca="1" si="25"/>
        <v/>
      </c>
      <c r="Q342" s="1032" t="str">
        <f ca="1">IF(TYPE(MATCH($S$2,OFFSET(TongVTSX!$U$3,Q341,0):'TongVTSX'!$U$1500,0)+Q341)=16,"",MATCH($S$2,OFFSET(TongVTSX!$U$3,Q341,0):'TongVTSX'!$U$1500,0)+Q341)</f>
        <v/>
      </c>
      <c r="R342" s="1036"/>
      <c r="S342" s="18"/>
    </row>
    <row r="343" spans="1:19">
      <c r="A343" s="19" t="str">
        <f ca="1">IF($Q343="","",MAX($A$203:A342)+1)</f>
        <v/>
      </c>
      <c r="B343" s="1146"/>
      <c r="C343" s="1146"/>
      <c r="D343" s="23" t="str">
        <f ca="1">IF($Q343="","",INDEX(TongVTSX!C$3:C$1500,$Q343))</f>
        <v/>
      </c>
      <c r="E343" s="23" t="str">
        <f ca="1">IF($Q343="","",INDEX(TongVTSX!D$3:D$1500,$Q343))</f>
        <v/>
      </c>
      <c r="F343" s="24" t="str">
        <f ca="1">IF($Q343="","",INDEX(TongVTSX!E$3:E$1500,$Q343))</f>
        <v/>
      </c>
      <c r="G343" s="24" t="str">
        <f ca="1">IF($Q343="","",INDEX(TongVTSX!G$3:G$1500,$Q343))</f>
        <v/>
      </c>
      <c r="H343" s="23" t="str">
        <f ca="1">IF($Q343="","",SUMPRODUCT((TongVTSX!$C$3:$C$1500=$D343)*(TongVTSX!$E$3:$E$1500=$F343)*(TongVTSX!$G$3:$G$1500=$G343)*(TongVTSX!$H$3:$H$1500)))</f>
        <v/>
      </c>
      <c r="I343" s="92">
        <f t="shared" ca="1" si="23"/>
        <v>0</v>
      </c>
      <c r="J343" s="114">
        <f t="shared" ca="1" si="24"/>
        <v>0</v>
      </c>
      <c r="K343" s="187" t="str">
        <f t="shared" ca="1" si="25"/>
        <v/>
      </c>
      <c r="Q343" s="1032" t="str">
        <f ca="1">IF(TYPE(MATCH($S$2,OFFSET(TongVTSX!$U$3,Q342,0):'TongVTSX'!$U$1500,0)+Q342)=16,"",MATCH($S$2,OFFSET(TongVTSX!$U$3,Q342,0):'TongVTSX'!$U$1500,0)+Q342)</f>
        <v/>
      </c>
      <c r="R343" s="1036"/>
      <c r="S343" s="18"/>
    </row>
    <row r="344" spans="1:19">
      <c r="A344" s="19" t="str">
        <f ca="1">IF($Q344="","",MAX($A$203:A343)+1)</f>
        <v/>
      </c>
      <c r="B344" s="1146"/>
      <c r="C344" s="1146"/>
      <c r="D344" s="23" t="str">
        <f ca="1">IF($Q344="","",INDEX(TongVTSX!C$3:C$1500,$Q344))</f>
        <v/>
      </c>
      <c r="E344" s="23" t="str">
        <f ca="1">IF($Q344="","",INDEX(TongVTSX!D$3:D$1500,$Q344))</f>
        <v/>
      </c>
      <c r="F344" s="24" t="str">
        <f ca="1">IF($Q344="","",INDEX(TongVTSX!E$3:E$1500,$Q344))</f>
        <v/>
      </c>
      <c r="G344" s="24" t="str">
        <f ca="1">IF($Q344="","",INDEX(TongVTSX!G$3:G$1500,$Q344))</f>
        <v/>
      </c>
      <c r="H344" s="23" t="str">
        <f ca="1">IF($Q344="","",SUMPRODUCT((TongVTSX!$C$3:$C$1500=$D344)*(TongVTSX!$E$3:$E$1500=$F344)*(TongVTSX!$G$3:$G$1500=$G344)*(TongVTSX!$H$3:$H$1500)))</f>
        <v/>
      </c>
      <c r="I344" s="92">
        <f t="shared" ca="1" si="23"/>
        <v>0</v>
      </c>
      <c r="J344" s="114">
        <f t="shared" ca="1" si="24"/>
        <v>0</v>
      </c>
      <c r="K344" s="187" t="str">
        <f t="shared" ca="1" si="25"/>
        <v/>
      </c>
      <c r="Q344" s="1032" t="str">
        <f ca="1">IF(TYPE(MATCH($S$2,OFFSET(TongVTSX!$U$3,Q343,0):'TongVTSX'!$U$1500,0)+Q343)=16,"",MATCH($S$2,OFFSET(TongVTSX!$U$3,Q343,0):'TongVTSX'!$U$1500,0)+Q343)</f>
        <v/>
      </c>
      <c r="R344" s="1036"/>
      <c r="S344" s="18"/>
    </row>
    <row r="345" spans="1:19">
      <c r="A345" s="19" t="str">
        <f ca="1">IF($Q345="","",MAX($A$203:A344)+1)</f>
        <v/>
      </c>
      <c r="B345" s="1146"/>
      <c r="C345" s="1146"/>
      <c r="D345" s="23" t="str">
        <f ca="1">IF($Q345="","",INDEX(TongVTSX!C$3:C$1500,$Q345))</f>
        <v/>
      </c>
      <c r="E345" s="23" t="str">
        <f ca="1">IF($Q345="","",INDEX(TongVTSX!D$3:D$1500,$Q345))</f>
        <v/>
      </c>
      <c r="F345" s="24" t="str">
        <f ca="1">IF($Q345="","",INDEX(TongVTSX!E$3:E$1500,$Q345))</f>
        <v/>
      </c>
      <c r="G345" s="24" t="str">
        <f ca="1">IF($Q345="","",INDEX(TongVTSX!G$3:G$1500,$Q345))</f>
        <v/>
      </c>
      <c r="H345" s="23" t="str">
        <f ca="1">IF($Q345="","",SUMPRODUCT((TongVTSX!$C$3:$C$1500=$D345)*(TongVTSX!$E$3:$E$1500=$F345)*(TongVTSX!$G$3:$G$1500=$G345)*(TongVTSX!$H$3:$H$1500)))</f>
        <v/>
      </c>
      <c r="I345" s="92">
        <f t="shared" ca="1" si="23"/>
        <v>0</v>
      </c>
      <c r="J345" s="114">
        <f t="shared" ca="1" si="24"/>
        <v>0</v>
      </c>
      <c r="K345" s="187" t="str">
        <f t="shared" ca="1" si="25"/>
        <v/>
      </c>
      <c r="Q345" s="1032" t="str">
        <f ca="1">IF(TYPE(MATCH($S$2,OFFSET(TongVTSX!$U$3,Q344,0):'TongVTSX'!$U$1500,0)+Q344)=16,"",MATCH($S$2,OFFSET(TongVTSX!$U$3,Q344,0):'TongVTSX'!$U$1500,0)+Q344)</f>
        <v/>
      </c>
      <c r="R345" s="1036"/>
      <c r="S345" s="18"/>
    </row>
    <row r="346" spans="1:19">
      <c r="A346" s="19" t="str">
        <f ca="1">IF($Q346="","",MAX($A$203:A345)+1)</f>
        <v/>
      </c>
      <c r="B346" s="1146"/>
      <c r="C346" s="1146"/>
      <c r="D346" s="23" t="str">
        <f ca="1">IF($Q346="","",INDEX(TongVTSX!C$3:C$1500,$Q346))</f>
        <v/>
      </c>
      <c r="E346" s="23" t="str">
        <f ca="1">IF($Q346="","",INDEX(TongVTSX!D$3:D$1500,$Q346))</f>
        <v/>
      </c>
      <c r="F346" s="24" t="str">
        <f ca="1">IF($Q346="","",INDEX(TongVTSX!E$3:E$1500,$Q346))</f>
        <v/>
      </c>
      <c r="G346" s="24" t="str">
        <f ca="1">IF($Q346="","",INDEX(TongVTSX!G$3:G$1500,$Q346))</f>
        <v/>
      </c>
      <c r="H346" s="23" t="str">
        <f ca="1">IF($Q346="","",SUMPRODUCT((TongVTSX!$C$3:$C$1500=$D346)*(TongVTSX!$E$3:$E$1500=$F346)*(TongVTSX!$G$3:$G$1500=$G346)*(TongVTSX!$H$3:$H$1500)))</f>
        <v/>
      </c>
      <c r="I346" s="92">
        <f t="shared" ca="1" si="23"/>
        <v>0</v>
      </c>
      <c r="J346" s="114">
        <f t="shared" ca="1" si="24"/>
        <v>0</v>
      </c>
      <c r="K346" s="187" t="str">
        <f t="shared" ca="1" si="25"/>
        <v/>
      </c>
      <c r="Q346" s="1032" t="str">
        <f ca="1">IF(TYPE(MATCH($S$2,OFFSET(TongVTSX!$U$3,Q345,0):'TongVTSX'!$U$1500,0)+Q345)=16,"",MATCH($S$2,OFFSET(TongVTSX!$U$3,Q345,0):'TongVTSX'!$U$1500,0)+Q345)</f>
        <v/>
      </c>
      <c r="R346" s="1036"/>
      <c r="S346" s="18"/>
    </row>
    <row r="347" spans="1:19">
      <c r="A347" s="19" t="str">
        <f ca="1">IF($Q347="","",MAX($A$203:A346)+1)</f>
        <v/>
      </c>
      <c r="B347" s="1146"/>
      <c r="C347" s="1146"/>
      <c r="D347" s="23" t="str">
        <f ca="1">IF($Q347="","",INDEX(TongVTSX!C$3:C$1500,$Q347))</f>
        <v/>
      </c>
      <c r="E347" s="23" t="str">
        <f ca="1">IF($Q347="","",INDEX(TongVTSX!D$3:D$1500,$Q347))</f>
        <v/>
      </c>
      <c r="F347" s="24" t="str">
        <f ca="1">IF($Q347="","",INDEX(TongVTSX!E$3:E$1500,$Q347))</f>
        <v/>
      </c>
      <c r="G347" s="24" t="str">
        <f ca="1">IF($Q347="","",INDEX(TongVTSX!G$3:G$1500,$Q347))</f>
        <v/>
      </c>
      <c r="H347" s="23" t="str">
        <f ca="1">IF($Q347="","",SUMPRODUCT((TongVTSX!$C$3:$C$1500=$D347)*(TongVTSX!$E$3:$E$1500=$F347)*(TongVTSX!$G$3:$G$1500=$G347)*(TongVTSX!$H$3:$H$1500)))</f>
        <v/>
      </c>
      <c r="I347" s="92">
        <f t="shared" ca="1" si="23"/>
        <v>0</v>
      </c>
      <c r="J347" s="114">
        <f t="shared" ca="1" si="24"/>
        <v>0</v>
      </c>
      <c r="K347" s="187" t="str">
        <f t="shared" ca="1" si="25"/>
        <v/>
      </c>
      <c r="Q347" s="1032" t="str">
        <f ca="1">IF(TYPE(MATCH($S$2,OFFSET(TongVTSX!$U$3,Q346,0):'TongVTSX'!$U$1500,0)+Q346)=16,"",MATCH($S$2,OFFSET(TongVTSX!$U$3,Q346,0):'TongVTSX'!$U$1500,0)+Q346)</f>
        <v/>
      </c>
      <c r="R347" s="1036"/>
      <c r="S347" s="18"/>
    </row>
    <row r="348" spans="1:19">
      <c r="A348" s="19" t="str">
        <f ca="1">IF($Q348="","",MAX($A$203:A347)+1)</f>
        <v/>
      </c>
      <c r="B348" s="1146"/>
      <c r="C348" s="1146"/>
      <c r="D348" s="23" t="str">
        <f ca="1">IF($Q348="","",INDEX(TongVTSX!C$3:C$1500,$Q348))</f>
        <v/>
      </c>
      <c r="E348" s="23" t="str">
        <f ca="1">IF($Q348="","",INDEX(TongVTSX!D$3:D$1500,$Q348))</f>
        <v/>
      </c>
      <c r="F348" s="24" t="str">
        <f ca="1">IF($Q348="","",INDEX(TongVTSX!E$3:E$1500,$Q348))</f>
        <v/>
      </c>
      <c r="G348" s="24" t="str">
        <f ca="1">IF($Q348="","",INDEX(TongVTSX!G$3:G$1500,$Q348))</f>
        <v/>
      </c>
      <c r="H348" s="23" t="str">
        <f ca="1">IF($Q348="","",SUMPRODUCT((TongVTSX!$C$3:$C$1500=$D348)*(TongVTSX!$E$3:$E$1500=$F348)*(TongVTSX!$G$3:$G$1500=$G348)*(TongVTSX!$H$3:$H$1500)))</f>
        <v/>
      </c>
      <c r="I348" s="92">
        <f t="shared" ca="1" si="23"/>
        <v>0</v>
      </c>
      <c r="J348" s="114">
        <f t="shared" ca="1" si="24"/>
        <v>0</v>
      </c>
      <c r="K348" s="187" t="str">
        <f t="shared" ca="1" si="25"/>
        <v/>
      </c>
      <c r="Q348" s="1032" t="str">
        <f ca="1">IF(TYPE(MATCH($S$2,OFFSET(TongVTSX!$U$3,Q347,0):'TongVTSX'!$U$1500,0)+Q347)=16,"",MATCH($S$2,OFFSET(TongVTSX!$U$3,Q347,0):'TongVTSX'!$U$1500,0)+Q347)</f>
        <v/>
      </c>
      <c r="R348" s="1036"/>
      <c r="S348" s="18"/>
    </row>
    <row r="349" spans="1:19">
      <c r="A349" s="19" t="str">
        <f ca="1">IF($Q349="","",MAX($A$203:A348)+1)</f>
        <v/>
      </c>
      <c r="B349" s="1146"/>
      <c r="C349" s="1146"/>
      <c r="D349" s="23" t="str">
        <f ca="1">IF($Q349="","",INDEX(TongVTSX!C$3:C$1500,$Q349))</f>
        <v/>
      </c>
      <c r="E349" s="23" t="str">
        <f ca="1">IF($Q349="","",INDEX(TongVTSX!D$3:D$1500,$Q349))</f>
        <v/>
      </c>
      <c r="F349" s="24" t="str">
        <f ca="1">IF($Q349="","",INDEX(TongVTSX!E$3:E$1500,$Q349))</f>
        <v/>
      </c>
      <c r="G349" s="24" t="str">
        <f ca="1">IF($Q349="","",INDEX(TongVTSX!G$3:G$1500,$Q349))</f>
        <v/>
      </c>
      <c r="H349" s="23" t="str">
        <f ca="1">IF($Q349="","",SUMPRODUCT((TongVTSX!$C$3:$C$1500=$D349)*(TongVTSX!$E$3:$E$1500=$F349)*(TongVTSX!$G$3:$G$1500=$G349)*(TongVTSX!$H$3:$H$1500)))</f>
        <v/>
      </c>
      <c r="I349" s="92">
        <f t="shared" ca="1" si="23"/>
        <v>0</v>
      </c>
      <c r="J349" s="114">
        <f t="shared" ca="1" si="24"/>
        <v>0</v>
      </c>
      <c r="K349" s="187" t="str">
        <f t="shared" ca="1" si="25"/>
        <v/>
      </c>
      <c r="Q349" s="1032" t="str">
        <f ca="1">IF(TYPE(MATCH($S$2,OFFSET(TongVTSX!$U$3,Q348,0):'TongVTSX'!$U$1500,0)+Q348)=16,"",MATCH($S$2,OFFSET(TongVTSX!$U$3,Q348,0):'TongVTSX'!$U$1500,0)+Q348)</f>
        <v/>
      </c>
      <c r="R349" s="1036"/>
      <c r="S349" s="18"/>
    </row>
    <row r="350" spans="1:19">
      <c r="A350" s="19" t="str">
        <f ca="1">IF($Q350="","",MAX($A$203:A349)+1)</f>
        <v/>
      </c>
      <c r="B350" s="1146"/>
      <c r="C350" s="1146"/>
      <c r="D350" s="23" t="str">
        <f ca="1">IF($Q350="","",INDEX(TongVTSX!C$3:C$1500,$Q350))</f>
        <v/>
      </c>
      <c r="E350" s="23" t="str">
        <f ca="1">IF($Q350="","",INDEX(TongVTSX!D$3:D$1500,$Q350))</f>
        <v/>
      </c>
      <c r="F350" s="24" t="str">
        <f ca="1">IF($Q350="","",INDEX(TongVTSX!E$3:E$1500,$Q350))</f>
        <v/>
      </c>
      <c r="G350" s="24" t="str">
        <f ca="1">IF($Q350="","",INDEX(TongVTSX!G$3:G$1500,$Q350))</f>
        <v/>
      </c>
      <c r="H350" s="23" t="str">
        <f ca="1">IF($Q350="","",SUMPRODUCT((TongVTSX!$C$3:$C$1500=$D350)*(TongVTSX!$E$3:$E$1500=$F350)*(TongVTSX!$G$3:$G$1500=$G350)*(TongVTSX!$H$3:$H$1500)))</f>
        <v/>
      </c>
      <c r="I350" s="92">
        <f t="shared" ca="1" si="23"/>
        <v>0</v>
      </c>
      <c r="J350" s="114">
        <f t="shared" ca="1" si="24"/>
        <v>0</v>
      </c>
      <c r="K350" s="187" t="str">
        <f t="shared" ca="1" si="25"/>
        <v/>
      </c>
      <c r="Q350" s="1032" t="str">
        <f ca="1">IF(TYPE(MATCH($S$2,OFFSET(TongVTSX!$U$3,Q349,0):'TongVTSX'!$U$1500,0)+Q349)=16,"",MATCH($S$2,OFFSET(TongVTSX!$U$3,Q349,0):'TongVTSX'!$U$1500,0)+Q349)</f>
        <v/>
      </c>
      <c r="R350" s="1036"/>
      <c r="S350" s="18"/>
    </row>
    <row r="351" spans="1:19">
      <c r="A351" s="188" t="s">
        <v>106</v>
      </c>
      <c r="B351" s="1163"/>
      <c r="C351" s="1163"/>
      <c r="D351" s="188" t="s">
        <v>106</v>
      </c>
      <c r="E351" s="188" t="s">
        <v>106</v>
      </c>
      <c r="F351" s="188" t="s">
        <v>106</v>
      </c>
      <c r="G351" s="881">
        <f ca="1">SUM(G204:G350)</f>
        <v>14315</v>
      </c>
      <c r="H351" s="881">
        <f t="shared" ref="H351" ca="1" si="26">SUM(H204:H350)</f>
        <v>13</v>
      </c>
      <c r="I351" s="881">
        <f ca="1">SUM(I204:I350)</f>
        <v>23583</v>
      </c>
      <c r="J351" s="881">
        <f ca="1">SUM(J204:J350)</f>
        <v>4.1314035087719301</v>
      </c>
      <c r="K351" s="188" t="s">
        <v>106</v>
      </c>
      <c r="Q351" s="1033" t="s">
        <v>106</v>
      </c>
      <c r="R351" s="1037"/>
      <c r="S351" s="22"/>
    </row>
  </sheetData>
  <mergeCells count="6">
    <mergeCell ref="X1:X2"/>
    <mergeCell ref="A201:H201"/>
    <mergeCell ref="A1:H1"/>
    <mergeCell ref="U1:U2"/>
    <mergeCell ref="V1:V2"/>
    <mergeCell ref="W1:W2"/>
  </mergeCells>
  <conditionalFormatting sqref="D3:J200">
    <cfRule type="expression" dxfId="38" priority="7">
      <formula>$R3&lt;&gt;$R2</formula>
    </cfRule>
  </conditionalFormatting>
  <conditionalFormatting sqref="D3:O200 L201:P201">
    <cfRule type="expression" dxfId="37" priority="11">
      <formula>AND($L3&lt;=0,$H3&gt;0)</formula>
    </cfRule>
  </conditionalFormatting>
  <conditionalFormatting sqref="M3:M200">
    <cfRule type="expression" dxfId="35" priority="1">
      <formula>AND($L3&lt;=0,$H3&gt;0)</formula>
    </cfRule>
  </conditionalFormatting>
  <printOptions horizontalCentered="1"/>
  <pageMargins left="7.8740157480315001E-2" right="7.8740157480315001E-2" top="7.8740157480315001E-2" bottom="7.8740157480315001E-2" header="0" footer="0"/>
  <pageSetup paperSize="9" scale="94" fitToHeight="0" orientation="portrait" r:id="rId1"/>
  <headerFooter>
    <oddFooter>Page &amp;P of 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93" id="{68A43D91-1AD1-4D63-AB38-A7D11C7E6225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K3:O200 K201:P201 K202</xm:sqref>
        </x14:conditionalFormatting>
        <x14:conditionalFormatting xmlns:xm="http://schemas.microsoft.com/office/excel/2006/main">
          <x14:cfRule type="expression" priority="2" id="{73DAB970-1865-4323-B24E-E556C47A8C05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M3:O200 M201:P201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F00"/>
    <pageSetUpPr fitToPage="1"/>
  </sheetPr>
  <dimension ref="A1:X206"/>
  <sheetViews>
    <sheetView showZeros="0" zoomScaleNormal="100" zoomScaleSheetLayoutView="100" workbookViewId="0">
      <pane ySplit="2" topLeftCell="A3" activePane="bottomLeft" state="frozen"/>
      <selection activeCell="H5" sqref="H5"/>
      <selection pane="bottomLeft" activeCell="E9" sqref="E9"/>
    </sheetView>
  </sheetViews>
  <sheetFormatPr defaultColWidth="9.1796875" defaultRowHeight="12.5"/>
  <cols>
    <col min="1" max="1" width="4.54296875" style="20" customWidth="1"/>
    <col min="2" max="2" width="12.1796875" style="1147" customWidth="1"/>
    <col min="3" max="3" width="10.453125" style="1147" customWidth="1"/>
    <col min="4" max="4" width="9.81640625" style="18" customWidth="1"/>
    <col min="5" max="5" width="20.453125" style="18" customWidth="1"/>
    <col min="6" max="6" width="8.81640625" style="20" bestFit="1" customWidth="1"/>
    <col min="7" max="7" width="11.453125" style="26" customWidth="1"/>
    <col min="8" max="8" width="10.26953125" style="18" customWidth="1"/>
    <col min="9" max="9" width="9.1796875" style="26" customWidth="1"/>
    <col min="10" max="11" width="8.26953125" style="26" customWidth="1"/>
    <col min="12" max="12" width="7.26953125" style="18" customWidth="1"/>
    <col min="13" max="13" width="10" style="18" customWidth="1"/>
    <col min="14" max="14" width="18.453125" style="18" customWidth="1"/>
    <col min="15" max="16" width="13.26953125" style="18" customWidth="1"/>
    <col min="17" max="17" width="10" style="102" customWidth="1"/>
    <col min="18" max="18" width="6.1796875" style="22" hidden="1" customWidth="1"/>
    <col min="19" max="19" width="4.7265625" style="22" hidden="1" customWidth="1"/>
    <col min="20" max="20" width="4.26953125" style="20" hidden="1" customWidth="1"/>
    <col min="21" max="21" width="2.7265625" style="207" hidden="1" customWidth="1"/>
    <col min="22" max="22" width="8.81640625" style="25" hidden="1" customWidth="1"/>
    <col min="23" max="23" width="14.7265625" style="1131" customWidth="1"/>
    <col min="24" max="24" width="14.7265625" style="18" customWidth="1"/>
    <col min="25" max="16384" width="9.1796875" style="18"/>
  </cols>
  <sheetData>
    <row r="1" spans="1:24" s="721" customFormat="1" ht="15.5">
      <c r="A1" s="739" t="str">
        <f>IF($X$2="PO","ĐƠN ĐẶT HÀNG (PO): ","TỔNG NVL XUẤT KHO SX: ") &amp;  IF($X$1&lt;&gt;"","ĐỢT " &amp; $X$1,"CẢ ĐƠN HÀNG") &amp; " - " &amp; ThongTinChung!C5 &amp; " - " &amp;ThongTinChung!C6 &amp; " - "&amp;ThongTinChung!E6</f>
        <v>TỔNG NVL XUẤT KHO SX: ĐỢT 1 - 231222/L1 - BOM - Hóc Môn</v>
      </c>
      <c r="B1" s="739"/>
      <c r="C1" s="739"/>
      <c r="D1" s="739"/>
      <c r="E1" s="739"/>
      <c r="F1" s="739"/>
      <c r="G1" s="739"/>
      <c r="H1" s="739"/>
      <c r="I1" s="739"/>
      <c r="J1" s="739"/>
      <c r="K1" s="739"/>
      <c r="L1" s="739"/>
      <c r="M1" s="979"/>
      <c r="N1" s="978">
        <f>IFERROR(INDEX(TinhGia!$BE$10:$BE$81,MATCH($X$1,TinhGia!$BF$10:$BF$81,0)),"")</f>
        <v>45196</v>
      </c>
      <c r="O1" s="736"/>
      <c r="P1" s="736"/>
      <c r="Q1" s="1145"/>
      <c r="R1" s="720"/>
      <c r="S1" s="720"/>
      <c r="T1" s="175" t="s">
        <v>370</v>
      </c>
      <c r="U1" s="206">
        <f ca="1">COUNTIF(TongVTSX!$Q$3:$Q$1500,T1)</f>
        <v>0</v>
      </c>
      <c r="W1" s="722" t="s">
        <v>2308</v>
      </c>
      <c r="X1" s="1135">
        <v>1</v>
      </c>
    </row>
    <row r="2" spans="1:24" s="102" customFormat="1" ht="39">
      <c r="A2" s="112" t="s">
        <v>9</v>
      </c>
      <c r="B2" s="1141" t="s">
        <v>3378</v>
      </c>
      <c r="C2" s="1141" t="s">
        <v>3382</v>
      </c>
      <c r="D2" s="113" t="s">
        <v>146</v>
      </c>
      <c r="E2" s="113" t="s">
        <v>147</v>
      </c>
      <c r="F2" s="112" t="s">
        <v>2741</v>
      </c>
      <c r="G2" s="113" t="s">
        <v>56</v>
      </c>
      <c r="H2" s="738" t="s">
        <v>2357</v>
      </c>
      <c r="I2" s="737" t="s">
        <v>2359</v>
      </c>
      <c r="J2" s="744" t="s">
        <v>2676</v>
      </c>
      <c r="K2" s="744" t="s">
        <v>2677</v>
      </c>
      <c r="L2" s="113" t="s">
        <v>425</v>
      </c>
      <c r="M2" s="113" t="s">
        <v>2754</v>
      </c>
      <c r="N2" s="113" t="s">
        <v>426</v>
      </c>
      <c r="O2" s="738" t="s">
        <v>2358</v>
      </c>
      <c r="P2" s="1149" t="s">
        <v>2360</v>
      </c>
      <c r="Q2" s="1154" t="s">
        <v>3385</v>
      </c>
      <c r="R2" s="115" t="s">
        <v>14</v>
      </c>
      <c r="S2" s="116" t="s">
        <v>112</v>
      </c>
      <c r="T2" s="175" t="s">
        <v>150</v>
      </c>
      <c r="U2" s="206">
        <f ca="1">COUNTIF(TongVTSX!$Q$3:$Q$1500,T2)</f>
        <v>5</v>
      </c>
      <c r="V2" s="1132" t="s">
        <v>553</v>
      </c>
      <c r="W2" s="1142" t="s">
        <v>3386</v>
      </c>
      <c r="X2" s="1142" t="s">
        <v>3387</v>
      </c>
    </row>
    <row r="3" spans="1:24" ht="13">
      <c r="A3" s="728">
        <f t="shared" ref="A3:A34" ca="1" si="0">IF($S3="","",IF($S3&lt;&gt;$S2,1,$A2+1))</f>
        <v>1</v>
      </c>
      <c r="B3" s="1146" t="str">
        <f ca="1">IFERROR(INDEX(NVLSX!$Y$2:$Y$6756,MATCH($D3,NVLSX!$E$2:$E$6756,0)),"")</f>
        <v>GHI TÊN NCC BÊN NVLSX CỘT Y</v>
      </c>
      <c r="C3" s="1146" t="str">
        <f ca="1">IFERROR(INDEX(NVLSX!$Z$2:$Z$6756,MATCH($D3,NVLSX!$E$2:$E$6756,0)),"")</f>
        <v>GHI TÊN HÃNG BÊN NVLSX CỘT Z</v>
      </c>
      <c r="D3" s="729" t="str">
        <f ca="1">IF($R3="","",INDEX(TongVTSX!C$3:C$1500,$R3))</f>
        <v>C3328</v>
      </c>
      <c r="E3" s="729" t="str">
        <f ca="1">IF($R3="","",IF($S3=$T$7,INDEX(TongVTSX!D$3:D$1500,$R3) &amp;  " (" &amp; INDEX(TongVTSX!A$3:A$1500,$R3) &amp; ")",INDEX(TongVTSX!D$3:D$1500,$R3)))</f>
        <v>Khung bao cửa đi quay 55</v>
      </c>
      <c r="F3" s="874" t="str">
        <f ca="1">IF($R3="","",IF($S3&lt;&gt;NVLSX!$N$6492,INDEX(TongVTSX!E$3:E$1500,$R3),INDEX(TongVTSX!G$3:G$1500,$R3)))</f>
        <v>Xám ghi</v>
      </c>
      <c r="G3" s="730" t="str">
        <f ca="1">IF($R3="","",INDEX(TongVTSX!F$3:F$1500,$R3))</f>
        <v>Ngang trên</v>
      </c>
      <c r="H3" s="731">
        <f ca="1">IF($S3=$T$7,INDEX(TongVTSX!$K$3:$K$1500,$R3)/INDEX(TongVTSX!$G$3:$G$1500,$R3),IF($S3=$T$2,ROUNDUP(SUMPRODUCT((TongVTSX!$C$3:$C$1500=$D3)*(TongVTSX!$E$3:$E$1500=$F3)*(TongVTSX!$S$3:$S$1500=TongVTSX!$S$2)*(TongVTSX!$K$3:$K$1500))/$V3,0),SUMPRODUCT((TongVTSX!$C$3:$C$1500=$D3)*(TongVTSX!$E$3:$E$1500=$F3)*(TongVTSX!$S$3:$S$1500=TongVTSX!$S$2)*(TongVTSX!$K$3:$K$1500))))</f>
        <v>3</v>
      </c>
      <c r="I3" s="731">
        <f ca="1">IF($S3=$T$2,ROUNDUP(SUMPRODUCT((TongVTSX!$C$3:$C$1500=$D3)*(TongVTSX!$E$3:$E$1500=$F3)*(TongVTSX!$S$3:$S$1500=TongVTSX!$S$2)*(TongVTSX!$K$3:$K$1500))/$V3,2),0)</f>
        <v>2.11</v>
      </c>
      <c r="J3" s="731"/>
      <c r="K3" s="731"/>
      <c r="L3" s="732"/>
      <c r="M3" s="732">
        <f ca="1">IF($S3=$T$2,($H3-$I3)*$V3,"")</f>
        <v>5073.0000000000009</v>
      </c>
      <c r="N3" s="732"/>
      <c r="O3" s="732">
        <f ca="1">IF($S3=$T$7,INDEX(TongVTSX!$O$3:$O$1500,$R3),IF($S3=$T$2,INDEX(TongVTSX!$M$3:$M$1500,$R3)*$V3*$H3,SUMPRODUCT((TongVTSX!$C$3:$C$1500=$D3)*(TongVTSX!$E$3:$E$1500=$F3)*(TongVTSX!$S$3:$S$1500=TongVTSX!$S$2)*(TongVTSX!$O$3:$O$1500))))</f>
        <v>2296530.0000000005</v>
      </c>
      <c r="P3" s="1150">
        <f ca="1">IF($S3=$T$7,INDEX(TongVTSX!$O$3:$O$1500,$R3),IF($S3=$T$2,INDEX(TongVTSX!$M$3:$M$1500,$R3)*$I3*$V3,SUMPRODUCT((TongVTSX!$C$3:$C$1500=$D3)*(TongVTSX!$E$3:$E$1500=$F3)*(TongVTSX!$S$3:$S$1500=TongVTSX!$S$2)*(TongVTSX!$O$3:$O$1500))))</f>
        <v>1615226.0999999999</v>
      </c>
      <c r="Q3" s="1155" t="str">
        <f ca="1">IFERROR(INDEX(NVLSX!$AA$2:$AA$6756,MATCH($D3,NVLSX!$E$2:$E$6756,0)),"")</f>
        <v>GHI NƠI CẤP BÊN NVLSX CỘT AA</v>
      </c>
      <c r="R3" s="75">
        <f ca="1">IF($S3="","",IF(TYPE(MATCH($S3,TongVTSX!$Q$3:$Q$1500,0))=16,"",MATCH($S3,TongVTSX!$Q$3:$Q$1500,0)))</f>
        <v>1</v>
      </c>
      <c r="S3" s="76" t="str">
        <f ca="1">IF($U$1&lt;&gt;0,$T$1,$T$2)</f>
        <v>PR</v>
      </c>
      <c r="T3" s="205" t="s">
        <v>153</v>
      </c>
      <c r="U3" s="206">
        <f ca="1">COUNTIF(TongVTSX!$Q$3:$Q$1500,T3)</f>
        <v>8</v>
      </c>
      <c r="V3" s="1133">
        <f ca="1">IFERROR(INDEX(NVLSX!$U$2:$U$6941,MATCH($D3,NVLSX!$E$2:$E$6941,0)),"")</f>
        <v>5700</v>
      </c>
      <c r="W3" s="1143"/>
      <c r="X3" s="1143"/>
    </row>
    <row r="4" spans="1:24" ht="13">
      <c r="A4" s="728">
        <f t="shared" ca="1" si="0"/>
        <v>2</v>
      </c>
      <c r="B4" s="1146" t="str">
        <f ca="1">IFERROR(INDEX(NVLSX!$Y$2:$Y$6756,MATCH($D4,NVLSX!$E$2:$E$6756,0)),"")</f>
        <v>GHI TÊN NCC BÊN NVLSX CỘT Y</v>
      </c>
      <c r="C4" s="1146" t="str">
        <f ca="1">IFERROR(INDEX(NVLSX!$Z$2:$Z$6756,MATCH($D4,NVLSX!$E$2:$E$6756,0)),"")</f>
        <v>GHI TÊN HÃNG BÊN NVLSX CỘT Z</v>
      </c>
      <c r="D4" s="729" t="str">
        <f ca="1">IF($R4="","",INDEX(TongVTSX!C$3:C$1500,$R4))</f>
        <v>C3303</v>
      </c>
      <c r="E4" s="729" t="str">
        <f ca="1">IF($R4="","",IF($S4=$T$7,INDEX(TongVTSX!D$3:D$1500,$R4) &amp;  " (" &amp; INDEX(TongVTSX!A$3:A$1500,$R4) &amp; ")",INDEX(TongVTSX!D$3:D$1500,$R4)))</f>
        <v>Cánh cửa đi mở quay NGOÀI</v>
      </c>
      <c r="F4" s="874" t="str">
        <f ca="1">IF($R4="","",IF($S4&lt;&gt;NVLSX!$N$6492,INDEX(TongVTSX!E$3:E$1500,$R4),INDEX(TongVTSX!G$3:G$1500,$R4)))</f>
        <v>Xám ghi</v>
      </c>
      <c r="G4" s="730" t="str">
        <f ca="1">IF($R4="","",INDEX(TongVTSX!F$3:F$1500,$R4))</f>
        <v>Ngang</v>
      </c>
      <c r="H4" s="731">
        <f ca="1">IF($S4=$T$7,INDEX(TongVTSX!$K$3:$K$1500,$R4)/INDEX(TongVTSX!$G$3:$G$1500,$R4),IF($S4=$T$2,ROUNDUP(SUMPRODUCT((TongVTSX!$C$3:$C$1500=$D4)*(TongVTSX!$E$3:$E$1500=$F4)*(TongVTSX!$S$3:$S$1500=TongVTSX!$S$2)*(TongVTSX!$K$3:$K$1500))/$V4,0),SUMPRODUCT((TongVTSX!$C$3:$C$1500=$D4)*(TongVTSX!$E$3:$E$1500=$F4)*(TongVTSX!$S$3:$S$1500=TongVTSX!$S$2)*(TongVTSX!$K$3:$K$1500))))</f>
        <v>3</v>
      </c>
      <c r="I4" s="731">
        <f ca="1">IF($S4=$T$2,ROUNDUP(SUMPRODUCT((TongVTSX!$C$3:$C$1500=$D4)*(TongVTSX!$E$3:$E$1500=$F4)*(TongVTSX!$S$3:$S$1500=TongVTSX!$S$2)*(TongVTSX!$K$3:$K$1500))/$V4,2),0)</f>
        <v>2.59</v>
      </c>
      <c r="J4" s="731"/>
      <c r="K4" s="731"/>
      <c r="L4" s="732"/>
      <c r="M4" s="732">
        <f t="shared" ref="M4:M67" ca="1" si="1">IF($S4=$T$2,($H4-$I4)*$V4,"")</f>
        <v>2337.0000000000009</v>
      </c>
      <c r="N4" s="732"/>
      <c r="O4" s="732">
        <f ca="1">IF($S4=$T$7,INDEX(TongVTSX!$O$3:$O$1500,$R4),IF($S4=$T$2,INDEX(TongVTSX!$M$3:$M$1500,$R4)*$V4*$H4,SUMPRODUCT((TongVTSX!$C$3:$C$1500=$D4)*(TongVTSX!$E$3:$E$1500=$F4)*(TongVTSX!$S$3:$S$1500=TongVTSX!$S$2)*(TongVTSX!$O$3:$O$1500))))</f>
        <v>2632716</v>
      </c>
      <c r="P4" s="1150">
        <f ca="1">IF($S4=$T$7,INDEX(TongVTSX!$O$3:$O$1500,$R4),IF($S4=$T$2,INDEX(TongVTSX!$M$3:$M$1500,$R4)*$I4*$V4,SUMPRODUCT((TongVTSX!$C$3:$C$1500=$D4)*(TongVTSX!$E$3:$E$1500=$F4)*(TongVTSX!$S$3:$S$1500=TongVTSX!$S$2)*(TongVTSX!$O$3:$O$1500))))</f>
        <v>2272911.48</v>
      </c>
      <c r="Q4" s="1155" t="str">
        <f ca="1">IFERROR(INDEX(NVLSX!$AA$2:$AA$6756,MATCH($D4,NVLSX!$E$2:$E$6756,0)),"")</f>
        <v>GHI NƠI CẤP BÊN NVLSX CỘT AA</v>
      </c>
      <c r="R4" s="75">
        <f ca="1">IF(S4="","",IF(S4&lt;&gt;S3,IF(TYPE(MATCH(S4,TongVTSX!$Q$3:$Q$1500,0))=16,"",MATCH(S4,TongVTSX!$Q$3:$Q$1500,0)),IF(TYPE(MATCH(S4,OFFSET(TongVTSX!$Q$3,R3,0):'TongVTSX'!$Q$1500,0)+R3)=16,"",MATCH(S4,OFFSET(TongVTSX!$Q$3,R3,0):'TongVTSX'!$Q$1500,0)+R3)))</f>
        <v>3</v>
      </c>
      <c r="S4" s="76" t="str">
        <f ca="1">IFERROR(IF(COUNTIF($S$3:S3,S3)&lt; INDEX($U$1:$U$7,MATCH($S3,$T$1:$T$7,0)),$S3,INDEX($T$1:$T$7,MATCH($S3,$T$1:$T$7,0)+1)),"")</f>
        <v>PR</v>
      </c>
      <c r="T4" s="175" t="s">
        <v>151</v>
      </c>
      <c r="U4" s="206">
        <f ca="1">COUNTIF(TongVTSX!$Q$3:$Q$1500,T4)</f>
        <v>3</v>
      </c>
      <c r="V4" s="1133">
        <f ca="1">IFERROR(INDEX(NVLSX!$U$2:$U$6941,MATCH($D4,NVLSX!$E$2:$E$6941,0)),"")</f>
        <v>5700</v>
      </c>
      <c r="W4" s="1143"/>
      <c r="X4" s="1143"/>
    </row>
    <row r="5" spans="1:24" ht="13">
      <c r="A5" s="728">
        <f t="shared" ca="1" si="0"/>
        <v>3</v>
      </c>
      <c r="B5" s="1146" t="str">
        <f ca="1">IFERROR(INDEX(NVLSX!$Y$2:$Y$6756,MATCH($D5,NVLSX!$E$2:$E$6756,0)),"")</f>
        <v>GHI TÊN NCC BÊN NVLSX CỘT Y</v>
      </c>
      <c r="C5" s="1146" t="str">
        <f ca="1">IFERROR(INDEX(NVLSX!$Z$2:$Z$6756,MATCH($D5,NVLSX!$E$2:$E$6756,0)),"")</f>
        <v>GHI TÊN HÃNG BÊN NVLSX CỘT Z</v>
      </c>
      <c r="D5" s="729" t="str">
        <f ca="1">IF($R5="","",INDEX(TongVTSX!C$3:C$1500,$R5))</f>
        <v>C22900</v>
      </c>
      <c r="E5" s="729" t="str">
        <f ca="1">IF($R5="","",IF($S5=$T$7,INDEX(TongVTSX!D$3:D$1500,$R5) &amp;  " (" &amp; INDEX(TongVTSX!A$3:A$1500,$R5) &amp; ")",INDEX(TongVTSX!D$3:D$1500,$R5)))</f>
        <v>Nẹp gioăng lọc bui cho cửa đi
 ngang dưới hệ 55 có gờ</v>
      </c>
      <c r="F5" s="874" t="str">
        <f ca="1">IF($R5="","",IF($S5&lt;&gt;NVLSX!$N$6492,INDEX(TongVTSX!E$3:E$1500,$R5),INDEX(TongVTSX!G$3:G$1500,$R5)))</f>
        <v>Xám ghi</v>
      </c>
      <c r="G5" s="730" t="str">
        <f ca="1">IF($R5="","",INDEX(TongVTSX!F$3:F$1500,$R5))</f>
        <v>Ngang</v>
      </c>
      <c r="H5" s="731">
        <f ca="1">IF($S5=$T$7,INDEX(TongVTSX!$K$3:$K$1500,$R5)/INDEX(TongVTSX!$G$3:$G$1500,$R5),IF($S5=$T$2,ROUNDUP(SUMPRODUCT((TongVTSX!$C$3:$C$1500=$D5)*(TongVTSX!$E$3:$E$1500=$F5)*(TongVTSX!$S$3:$S$1500=TongVTSX!$S$2)*(TongVTSX!$K$3:$K$1500))/$V5,0),SUMPRODUCT((TongVTSX!$C$3:$C$1500=$D5)*(TongVTSX!$E$3:$E$1500=$F5)*(TongVTSX!$S$3:$S$1500=TongVTSX!$S$2)*(TongVTSX!$K$3:$K$1500))))</f>
        <v>1</v>
      </c>
      <c r="I5" s="731">
        <f ca="1">IF($S5=$T$2,ROUNDUP(SUMPRODUCT((TongVTSX!$C$3:$C$1500=$D5)*(TongVTSX!$E$3:$E$1500=$F5)*(TongVTSX!$S$3:$S$1500=TongVTSX!$S$2)*(TongVTSX!$K$3:$K$1500))/$V5,2),0)</f>
        <v>0.52</v>
      </c>
      <c r="J5" s="731"/>
      <c r="K5" s="731"/>
      <c r="L5" s="732"/>
      <c r="M5" s="732">
        <f t="shared" ca="1" si="1"/>
        <v>2736</v>
      </c>
      <c r="N5" s="732"/>
      <c r="O5" s="732">
        <f ca="1">IF($S5=$T$7,INDEX(TongVTSX!$O$3:$O$1500,$R5),IF($S5=$T$2,INDEX(TongVTSX!$M$3:$M$1500,$R5)*$V5*$H5,SUMPRODUCT((TongVTSX!$C$3:$C$1500=$D5)*(TongVTSX!$E$3:$E$1500=$F5)*(TongVTSX!$S$3:$S$1500=TongVTSX!$S$2)*(TongVTSX!$O$3:$O$1500))))</f>
        <v>289902</v>
      </c>
      <c r="P5" s="1150">
        <f ca="1">IF($S5=$T$7,INDEX(TongVTSX!$O$3:$O$1500,$R5),IF($S5=$T$2,INDEX(TongVTSX!$M$3:$M$1500,$R5)*$I5*$V5,SUMPRODUCT((TongVTSX!$C$3:$C$1500=$D5)*(TongVTSX!$E$3:$E$1500=$F5)*(TongVTSX!$S$3:$S$1500=TongVTSX!$S$2)*(TongVTSX!$O$3:$O$1500))))</f>
        <v>150749.04</v>
      </c>
      <c r="Q5" s="1155" t="str">
        <f ca="1">IFERROR(INDEX(NVLSX!$AA$2:$AA$6756,MATCH($D5,NVLSX!$E$2:$E$6756,0)),"")</f>
        <v>GHI NƠI CẤP BÊN NVLSX CỘT AA</v>
      </c>
      <c r="R5" s="75">
        <f ca="1">IF(S5="","",IF(S5&lt;&gt;S4,IF(TYPE(MATCH(S5,TongVTSX!$Q$3:$Q$1500,0))=16,"",MATCH(S5,TongVTSX!$Q$3:$Q$1500,0)),IF(TYPE(MATCH(S5,OFFSET(TongVTSX!$Q$3,R4,0):'TongVTSX'!$Q$1500,0)+R4)=16,"",MATCH(S5,OFFSET(TongVTSX!$Q$3,R4,0):'TongVTSX'!$Q$1500,0)+R4)))</f>
        <v>5</v>
      </c>
      <c r="S5" s="76" t="str">
        <f ca="1">IFERROR(IF(COUNTIF($S$3:S4,S4)&lt; INDEX($U$1:$U$7,MATCH($S4,$T$1:$T$7,0)),$S4,INDEX($T$1:$T$7,MATCH($S4,$T$1:$T$7,0)+1)),"")</f>
        <v>PR</v>
      </c>
      <c r="T5" s="178" t="s">
        <v>2408</v>
      </c>
      <c r="U5" s="206">
        <f ca="1">COUNTIF(TongVTSX!$Q$3:$Q$1500,T5)</f>
        <v>6</v>
      </c>
      <c r="V5" s="1133">
        <f ca="1">IFERROR(INDEX(NVLSX!$U$2:$U$6941,MATCH($D5,NVLSX!$E$2:$E$6941,0)),"")</f>
        <v>5700</v>
      </c>
      <c r="W5" s="1143"/>
      <c r="X5" s="1143"/>
    </row>
    <row r="6" spans="1:24" ht="13">
      <c r="A6" s="728">
        <f t="shared" ca="1" si="0"/>
        <v>4</v>
      </c>
      <c r="B6" s="1146" t="str">
        <f ca="1">IFERROR(INDEX(NVLSX!$Y$2:$Y$6756,MATCH($D6,NVLSX!$E$2:$E$6756,0)),"")</f>
        <v>GHI TÊN NCC BÊN NVLSX CỘT Y</v>
      </c>
      <c r="C6" s="1146" t="str">
        <f ca="1">IFERROR(INDEX(NVLSX!$Z$2:$Z$6756,MATCH($D6,NVLSX!$E$2:$E$6756,0)),"")</f>
        <v>GHI TÊN HÃNG BÊN NVLSX CỘT Z</v>
      </c>
      <c r="D6" s="729" t="str">
        <f ca="1">IF($R6="","",INDEX(TongVTSX!C$3:C$1500,$R6))</f>
        <v>C3295</v>
      </c>
      <c r="E6" s="729" t="str">
        <f ca="1">IF($R6="","",IF($S6=$T$7,INDEX(TongVTSX!D$3:D$1500,$R6) &amp;  " (" &amp; INDEX(TongVTSX!A$3:A$1500,$R6) &amp; ")",INDEX(TongVTSX!D$3:D$1500,$R6)))</f>
        <v>Nẹp kính vuông cho kính 5-10mm hệ 55</v>
      </c>
      <c r="F6" s="874" t="str">
        <f ca="1">IF($R6="","",IF($S6&lt;&gt;NVLSX!$N$6492,INDEX(TongVTSX!E$3:E$1500,$R6),INDEX(TongVTSX!G$3:G$1500,$R6)))</f>
        <v>Xám ghi</v>
      </c>
      <c r="G6" s="730" t="str">
        <f ca="1">IF($R6="","",INDEX(TongVTSX!F$3:F$1500,$R6))</f>
        <v>Ngang</v>
      </c>
      <c r="H6" s="731">
        <f ca="1">IF($S6=$T$7,INDEX(TongVTSX!$K$3:$K$1500,$R6)/INDEX(TongVTSX!$G$3:$G$1500,$R6),IF($S6=$T$2,ROUNDUP(SUMPRODUCT((TongVTSX!$C$3:$C$1500=$D6)*(TongVTSX!$E$3:$E$1500=$F6)*(TongVTSX!$S$3:$S$1500=TongVTSX!$S$2)*(TongVTSX!$K$3:$K$1500))/$V6,0),SUMPRODUCT((TongVTSX!$C$3:$C$1500=$D6)*(TongVTSX!$E$3:$E$1500=$F6)*(TongVTSX!$S$3:$S$1500=TongVTSX!$S$2)*(TongVTSX!$K$3:$K$1500))))</f>
        <v>3</v>
      </c>
      <c r="I6" s="731">
        <f ca="1">IF($S6=$T$2,ROUNDUP(SUMPRODUCT((TongVTSX!$C$3:$C$1500=$D6)*(TongVTSX!$E$3:$E$1500=$F6)*(TongVTSX!$S$3:$S$1500=TongVTSX!$S$2)*(TongVTSX!$K$3:$K$1500))/$V6,2),0)</f>
        <v>2.38</v>
      </c>
      <c r="J6" s="731"/>
      <c r="K6" s="731"/>
      <c r="L6" s="732"/>
      <c r="M6" s="732">
        <f t="shared" ca="1" si="1"/>
        <v>3534.0000000000005</v>
      </c>
      <c r="N6" s="732"/>
      <c r="O6" s="732">
        <f ca="1">IF($S6=$T$7,INDEX(TongVTSX!$O$3:$O$1500,$R6),IF($S6=$T$2,INDEX(TongVTSX!$M$3:$M$1500,$R6)*$V6*$H6,SUMPRODUCT((TongVTSX!$C$3:$C$1500=$D6)*(TongVTSX!$E$3:$E$1500=$F6)*(TongVTSX!$S$3:$S$1500=TongVTSX!$S$2)*(TongVTSX!$O$3:$O$1500))))</f>
        <v>495045</v>
      </c>
      <c r="P6" s="1150">
        <f ca="1">IF($S6=$T$7,INDEX(TongVTSX!$O$3:$O$1500,$R6),IF($S6=$T$2,INDEX(TongVTSX!$M$3:$M$1500,$R6)*$I6*$V6,SUMPRODUCT((TongVTSX!$C$3:$C$1500=$D6)*(TongVTSX!$E$3:$E$1500=$F6)*(TongVTSX!$S$3:$S$1500=TongVTSX!$S$2)*(TongVTSX!$O$3:$O$1500))))</f>
        <v>392735.69999999995</v>
      </c>
      <c r="Q6" s="1155" t="str">
        <f ca="1">IFERROR(INDEX(NVLSX!$AA$2:$AA$6756,MATCH($D6,NVLSX!$E$2:$E$6756,0)),"")</f>
        <v>GHI NƠI CẤP BÊN NVLSX CỘT AA</v>
      </c>
      <c r="R6" s="75">
        <f ca="1">IF(S6="","",IF(S6&lt;&gt;S5,IF(TYPE(MATCH(S6,TongVTSX!$Q$3:$Q$1500,0))=16,"",MATCH(S6,TongVTSX!$Q$3:$Q$1500,0)),IF(TYPE(MATCH(S6,OFFSET(TongVTSX!$Q$3,R5,0):'TongVTSX'!$Q$1500,0)+R5)=16,"",MATCH(S6,OFFSET(TongVTSX!$Q$3,R5,0):'TongVTSX'!$Q$1500,0)+R5)))</f>
        <v>6</v>
      </c>
      <c r="S6" s="76" t="str">
        <f ca="1">IFERROR(IF(COUNTIF($S$3:S5,S5)&lt; INDEX($U$1:$U$7,MATCH($S5,$T$1:$T$7,0)),$S5,INDEX($T$1:$T$7,MATCH($S5,$T$1:$T$7,0)+1)),"")</f>
        <v>PR</v>
      </c>
      <c r="T6" s="178" t="s">
        <v>2409</v>
      </c>
      <c r="U6" s="206">
        <f ca="1">COUNTIF(TongVTSX!$Q$3:$Q$1500,T6)</f>
        <v>7</v>
      </c>
      <c r="V6" s="1133">
        <f ca="1">IFERROR(INDEX(NVLSX!$U$2:$U$6941,MATCH($D6,NVLSX!$E$2:$E$6941,0)),"")</f>
        <v>5700</v>
      </c>
      <c r="W6" s="1143"/>
      <c r="X6" s="1143"/>
    </row>
    <row r="7" spans="1:24" ht="13">
      <c r="A7" s="728">
        <f t="shared" ca="1" si="0"/>
        <v>5</v>
      </c>
      <c r="B7" s="1146" t="str">
        <f ca="1">IFERROR(INDEX(NVLSX!$Y$2:$Y$6756,MATCH($D7,NVLSX!$E$2:$E$6756,0)),"")</f>
        <v>GHI TÊN NCC BÊN NVLSX CỘT Y</v>
      </c>
      <c r="C7" s="1146" t="str">
        <f ca="1">IFERROR(INDEX(NVLSX!$Z$2:$Z$6756,MATCH($D7,NVLSX!$E$2:$E$6756,0)),"")</f>
        <v>GHI TÊN HÃNG BÊN NVLSX CỘT Z</v>
      </c>
      <c r="D7" s="729" t="str">
        <f ca="1">IF($R7="","",INDEX(TongVTSX!C$3:C$1500,$R7))</f>
        <v>C459</v>
      </c>
      <c r="E7" s="729" t="str">
        <f ca="1">IF($R7="","",IF($S7=$T$7,INDEX(TongVTSX!D$3:D$1500,$R7) &amp;  " (" &amp; INDEX(TongVTSX!A$3:A$1500,$R7) &amp; ")",INDEX(TongVTSX!D$3:D$1500,$R7)))</f>
        <v>Thanh truyền khóa cửa đi, cửa sổ hệ 55</v>
      </c>
      <c r="F7" s="874" t="str">
        <f ca="1">IF($R7="","",IF($S7&lt;&gt;NVLSX!$N$6492,INDEX(TongVTSX!E$3:E$1500,$R7),INDEX(TongVTSX!G$3:G$1500,$R7)))</f>
        <v>T/C</v>
      </c>
      <c r="G7" s="730" t="str">
        <f ca="1">IF($R7="","",INDEX(TongVTSX!F$3:F$1500,$R7))</f>
        <v>mm</v>
      </c>
      <c r="H7" s="731">
        <f ca="1">IF($S7=$T$7,INDEX(TongVTSX!$K$3:$K$1500,$R7)/INDEX(TongVTSX!$G$3:$G$1500,$R7),IF($S7=$T$2,ROUNDUP(SUMPRODUCT((TongVTSX!$C$3:$C$1500=$D7)*(TongVTSX!$E$3:$E$1500=$F7)*(TongVTSX!$S$3:$S$1500=TongVTSX!$S$2)*(TongVTSX!$K$3:$K$1500))/$V7,0),SUMPRODUCT((TongVTSX!$C$3:$C$1500=$D7)*(TongVTSX!$E$3:$E$1500=$F7)*(TongVTSX!$S$3:$S$1500=TongVTSX!$S$2)*(TongVTSX!$K$3:$K$1500))))</f>
        <v>1</v>
      </c>
      <c r="I7" s="731">
        <f ca="1">IF($S7=$T$2,ROUNDUP(SUMPRODUCT((TongVTSX!$C$3:$C$1500=$D7)*(TongVTSX!$E$3:$E$1500=$F7)*(TongVTSX!$S$3:$S$1500=TongVTSX!$S$2)*(TongVTSX!$K$3:$K$1500))/$V7,2),0)</f>
        <v>0.68</v>
      </c>
      <c r="J7" s="731"/>
      <c r="K7" s="731"/>
      <c r="L7" s="732"/>
      <c r="M7" s="732">
        <f t="shared" ca="1" si="1"/>
        <v>1855.9999999999998</v>
      </c>
      <c r="N7" s="732"/>
      <c r="O7" s="732">
        <f ca="1">IF($S7=$T$7,INDEX(TongVTSX!$O$3:$O$1500,$R7),IF($S7=$T$2,INDEX(TongVTSX!$M$3:$M$1500,$R7)*$V7*$H7,SUMPRODUCT((TongVTSX!$C$3:$C$1500=$D7)*(TongVTSX!$E$3:$E$1500=$F7)*(TongVTSX!$S$3:$S$1500=TongVTSX!$S$2)*(TongVTSX!$O$3:$O$1500))))</f>
        <v>86130</v>
      </c>
      <c r="P7" s="1150">
        <f ca="1">IF($S7=$T$7,INDEX(TongVTSX!$O$3:$O$1500,$R7),IF($S7=$T$2,INDEX(TongVTSX!$M$3:$M$1500,$R7)*$I7*$V7,SUMPRODUCT((TongVTSX!$C$3:$C$1500=$D7)*(TongVTSX!$E$3:$E$1500=$F7)*(TongVTSX!$S$3:$S$1500=TongVTSX!$S$2)*(TongVTSX!$O$3:$O$1500))))</f>
        <v>58568.4</v>
      </c>
      <c r="Q7" s="1155" t="str">
        <f ca="1">IFERROR(INDEX(NVLSX!$AA$2:$AA$6756,MATCH($D7,NVLSX!$E$2:$E$6756,0)),"")</f>
        <v>GHI NƠI CẤP BÊN NVLSX CỘT AA</v>
      </c>
      <c r="R7" s="75">
        <f ca="1">IF(S7="","",IF(S7&lt;&gt;S6,IF(TYPE(MATCH(S7,TongVTSX!$Q$3:$Q$1500,0))=16,"",MATCH(S7,TongVTSX!$Q$3:$Q$1500,0)),IF(TYPE(MATCH(S7,OFFSET(TongVTSX!$Q$3,R6,0):'TongVTSX'!$Q$1500,0)+R6)=16,"",MATCH(S7,OFFSET(TongVTSX!$Q$3,R6,0):'TongVTSX'!$Q$1500,0)+R6)))</f>
        <v>13</v>
      </c>
      <c r="S7" s="76" t="str">
        <f ca="1">IFERROR(IF(COUNTIF($S$3:S6,S6)&lt; INDEX($U$1:$U$7,MATCH($S6,$T$1:$T$7,0)),$S6,INDEX($T$1:$T$7,MATCH($S6,$T$1:$T$7,0)+1)),"")</f>
        <v>PR</v>
      </c>
      <c r="T7" s="175" t="s">
        <v>152</v>
      </c>
      <c r="U7" s="206">
        <f ca="1">COUNTIF(TongVTSX!$Q$3:$Q$1500,T7)</f>
        <v>1</v>
      </c>
      <c r="V7" s="1133">
        <f ca="1">IFERROR(INDEX(NVLSX!$U$2:$U$6941,MATCH($D7,NVLSX!$E$2:$E$6941,0)),"")</f>
        <v>5800</v>
      </c>
      <c r="W7" s="1143"/>
      <c r="X7" s="1143"/>
    </row>
    <row r="8" spans="1:24" ht="13">
      <c r="A8" s="728">
        <f t="shared" ca="1" si="0"/>
        <v>1</v>
      </c>
      <c r="B8" s="1146" t="str">
        <f ca="1">IFERROR(INDEX(NVLSX!$Y$2:$Y$6756,MATCH($D8,NVLSX!$E$2:$E$6756,0)),"")</f>
        <v>GHI TÊN NCC BÊN NVLSX CỘT Y</v>
      </c>
      <c r="C8" s="1146" t="str">
        <f ca="1">IFERROR(INDEX(NVLSX!$Z$2:$Z$6756,MATCH($D8,NVLSX!$E$2:$E$6756,0)),"")</f>
        <v>GHI TÊN HÃNG BÊN NVLSX CỘT Z</v>
      </c>
      <c r="D8" s="729" t="str">
        <f ca="1">IF($R8="","",INDEX(TongVTSX!C$3:C$1500,$R8))</f>
        <v>CZM23A</v>
      </c>
      <c r="E8" s="729" t="str">
        <f ca="1">IF($R8="","",IF($S8=$T$7,INDEX(TongVTSX!D$3:D$1500,$R8) &amp;  " (" &amp; INDEX(TongVTSX!A$3:A$1500,$R8) &amp; ")",INDEX(TongVTSX!D$3:D$1500,$R8)))</f>
        <v>Door Handle/Tay nắm cửa đi mở quay</v>
      </c>
      <c r="F8" s="874" t="str">
        <f ca="1">IF($R8="","",IF($S8&lt;&gt;NVLSX!$N$6492,INDEX(TongVTSX!E$3:E$1500,$R8),INDEX(TongVTSX!G$3:G$1500,$R8)))</f>
        <v>Xám ghi</v>
      </c>
      <c r="G8" s="730" t="str">
        <f ca="1">IF($R8="","",INDEX(TongVTSX!F$3:F$1500,$R8))</f>
        <v>Bộ</v>
      </c>
      <c r="H8" s="731">
        <f ca="1">IF($S8=$T$7,INDEX(TongVTSX!$K$3:$K$1500,$R8)/INDEX(TongVTSX!$G$3:$G$1500,$R8),IF($S8=$T$2,ROUNDUP(SUMPRODUCT((TongVTSX!$C$3:$C$1500=$D8)*(TongVTSX!$E$3:$E$1500=$F8)*(TongVTSX!$S$3:$S$1500=TongVTSX!$S$2)*(TongVTSX!$K$3:$K$1500))/$V8,0),SUMPRODUCT((TongVTSX!$C$3:$C$1500=$D8)*(TongVTSX!$E$3:$E$1500=$F8)*(TongVTSX!$S$3:$S$1500=TongVTSX!$S$2)*(TongVTSX!$K$3:$K$1500))))</f>
        <v>2</v>
      </c>
      <c r="I8" s="731">
        <f ca="1">IF($S8=$T$2,ROUNDUP(SUMPRODUCT((TongVTSX!$C$3:$C$1500=$D8)*(TongVTSX!$E$3:$E$1500=$F8)*(TongVTSX!$S$3:$S$1500=TongVTSX!$S$2)*(TongVTSX!$K$3:$K$1500))/$V8,2),0)</f>
        <v>0</v>
      </c>
      <c r="J8" s="731"/>
      <c r="K8" s="731"/>
      <c r="L8" s="732"/>
      <c r="M8" s="732" t="str">
        <f t="shared" ca="1" si="1"/>
        <v/>
      </c>
      <c r="N8" s="732"/>
      <c r="O8" s="732">
        <f ca="1">IF($S8=$T$7,INDEX(TongVTSX!$O$3:$O$1500,$R8),IF($S8=$T$2,INDEX(TongVTSX!$M$3:$M$1500,$R8)*$V8*$H8,SUMPRODUCT((TongVTSX!$C$3:$C$1500=$D8)*(TongVTSX!$E$3:$E$1500=$F8)*(TongVTSX!$S$3:$S$1500=TongVTSX!$S$2)*(TongVTSX!$O$3:$O$1500))))</f>
        <v>270000</v>
      </c>
      <c r="P8" s="1150">
        <f ca="1">IF($S8=$T$7,INDEX(TongVTSX!$O$3:$O$1500,$R8),IF($S8=$T$2,INDEX(TongVTSX!$M$3:$M$1500,$R8)*$I8*$V8,SUMPRODUCT((TongVTSX!$C$3:$C$1500=$D8)*(TongVTSX!$E$3:$E$1500=$F8)*(TongVTSX!$S$3:$S$1500=TongVTSX!$S$2)*(TongVTSX!$O$3:$O$1500))))</f>
        <v>270000</v>
      </c>
      <c r="Q8" s="1155" t="str">
        <f ca="1">IFERROR(INDEX(NVLSX!$AA$2:$AA$6756,MATCH($D8,NVLSX!$E$2:$E$6756,0)),"")</f>
        <v>GHI NƠI CẤP BÊN NVLSX CỘT AA</v>
      </c>
      <c r="R8" s="75">
        <f ca="1">IF(S8="","",IF(S8&lt;&gt;S7,IF(TYPE(MATCH(S8,TongVTSX!$Q$3:$Q$1500,0))=16,"",MATCH(S8,TongVTSX!$Q$3:$Q$1500,0)),IF(TYPE(MATCH(S8,OFFSET(TongVTSX!$Q$3,R7,0):'TongVTSX'!$Q$1500,0)+R7)=16,"",MATCH(S8,OFFSET(TongVTSX!$Q$3,R7,0):'TongVTSX'!$Q$1500,0)+R7)))</f>
        <v>8</v>
      </c>
      <c r="S8" s="76" t="str">
        <f ca="1">IFERROR(IF(COUNTIF($S$3:S7,S7)&lt; INDEX($U$1:$U$7,MATCH($S7,$T$1:$T$7,0)),$S7,INDEX($T$1:$T$7,MATCH($S7,$T$1:$T$7,0)+1)),"")</f>
        <v>PK</v>
      </c>
      <c r="V8" s="1133" t="str">
        <f ca="1">IFERROR(INDEX(NVLSX!$U$2:$U$6941,MATCH($D8,NVLSX!$E$2:$E$6941,0)),"")</f>
        <v/>
      </c>
      <c r="W8" s="1143"/>
      <c r="X8" s="1143"/>
    </row>
    <row r="9" spans="1:24" ht="13">
      <c r="A9" s="728">
        <f t="shared" ca="1" si="0"/>
        <v>2</v>
      </c>
      <c r="B9" s="1146" t="str">
        <f ca="1">IFERROR(INDEX(NVLSX!$Y$2:$Y$6756,MATCH($D9,NVLSX!$E$2:$E$6756,0)),"")</f>
        <v>GHI TÊN NCC BÊN NVLSX CỘT Y</v>
      </c>
      <c r="C9" s="1146" t="str">
        <f ca="1">IFERROR(INDEX(NVLSX!$Z$2:$Z$6756,MATCH($D9,NVLSX!$E$2:$E$6756,0)),"")</f>
        <v>GHI TÊN HÃNG BÊN NVLSX CỘT Z</v>
      </c>
      <c r="D9" s="729" t="str">
        <f ca="1">IF($R9="","",INDEX(TongVTSX!C$3:C$1500,$R9))</f>
        <v>47/30A</v>
      </c>
      <c r="E9" s="729" t="str">
        <f ca="1">IF($R9="","",IF($S9=$T$7,INDEX(TongVTSX!D$3:D$1500,$R9) &amp;  " (" &amp; INDEX(TongVTSX!A$3:A$1500,$R9) &amp; ")",INDEX(TongVTSX!D$3:D$1500,$R9)))</f>
        <v>Cylinder/ Lõi khóa 2 đầu chìa</v>
      </c>
      <c r="F9" s="874" t="str">
        <f ca="1">IF($R9="","",IF($S9&lt;&gt;NVLSX!$N$6492,INDEX(TongVTSX!E$3:E$1500,$R9),INDEX(TongVTSX!G$3:G$1500,$R9)))</f>
        <v>T/C</v>
      </c>
      <c r="G9" s="730" t="str">
        <f ca="1">IF($R9="","",INDEX(TongVTSX!F$3:F$1500,$R9))</f>
        <v>Cái</v>
      </c>
      <c r="H9" s="731">
        <f ca="1">IF($S9=$T$7,INDEX(TongVTSX!$K$3:$K$1500,$R9)/INDEX(TongVTSX!$G$3:$G$1500,$R9),IF($S9=$T$2,ROUNDUP(SUMPRODUCT((TongVTSX!$C$3:$C$1500=$D9)*(TongVTSX!$E$3:$E$1500=$F9)*(TongVTSX!$S$3:$S$1500=TongVTSX!$S$2)*(TongVTSX!$K$3:$K$1500))/$V9,0),SUMPRODUCT((TongVTSX!$C$3:$C$1500=$D9)*(TongVTSX!$E$3:$E$1500=$F9)*(TongVTSX!$S$3:$S$1500=TongVTSX!$S$2)*(TongVTSX!$K$3:$K$1500))))</f>
        <v>2</v>
      </c>
      <c r="I9" s="731">
        <f ca="1">IF($S9=$T$2,ROUNDUP(SUMPRODUCT((TongVTSX!$C$3:$C$1500=$D9)*(TongVTSX!$E$3:$E$1500=$F9)*(TongVTSX!$S$3:$S$1500=TongVTSX!$S$2)*(TongVTSX!$K$3:$K$1500))/$V9,2),0)</f>
        <v>0</v>
      </c>
      <c r="J9" s="731"/>
      <c r="K9" s="731"/>
      <c r="L9" s="732"/>
      <c r="M9" s="732" t="str">
        <f t="shared" ca="1" si="1"/>
        <v/>
      </c>
      <c r="N9" s="732"/>
      <c r="O9" s="732">
        <f ca="1">IF($S9=$T$7,INDEX(TongVTSX!$O$3:$O$1500,$R9),IF($S9=$T$2,INDEX(TongVTSX!$M$3:$M$1500,$R9)*$V9*$H9,SUMPRODUCT((TongVTSX!$C$3:$C$1500=$D9)*(TongVTSX!$E$3:$E$1500=$F9)*(TongVTSX!$S$3:$S$1500=TongVTSX!$S$2)*(TongVTSX!$O$3:$O$1500))))</f>
        <v>280000</v>
      </c>
      <c r="P9" s="1150">
        <f ca="1">IF($S9=$T$7,INDEX(TongVTSX!$O$3:$O$1500,$R9),IF($S9=$T$2,INDEX(TongVTSX!$M$3:$M$1500,$R9)*$I9*$V9,SUMPRODUCT((TongVTSX!$C$3:$C$1500=$D9)*(TongVTSX!$E$3:$E$1500=$F9)*(TongVTSX!$S$3:$S$1500=TongVTSX!$S$2)*(TongVTSX!$O$3:$O$1500))))</f>
        <v>280000</v>
      </c>
      <c r="Q9" s="1155" t="str">
        <f ca="1">IFERROR(INDEX(NVLSX!$AA$2:$AA$6756,MATCH($D9,NVLSX!$E$2:$E$6756,0)),"")</f>
        <v>GHI NƠI CẤP BÊN NVLSX CỘT AA</v>
      </c>
      <c r="R9" s="75">
        <f ca="1">IF(S9="","",IF(S9&lt;&gt;S8,IF(TYPE(MATCH(S9,TongVTSX!$Q$3:$Q$1500,0))=16,"",MATCH(S9,TongVTSX!$Q$3:$Q$1500,0)),IF(TYPE(MATCH(S9,OFFSET(TongVTSX!$Q$3,R8,0):'TongVTSX'!$Q$1500,0)+R8)=16,"",MATCH(S9,OFFSET(TongVTSX!$Q$3,R8,0):'TongVTSX'!$Q$1500,0)+R8)))</f>
        <v>9</v>
      </c>
      <c r="S9" s="76" t="str">
        <f ca="1">IFERROR(IF(COUNTIF($S$3:S8,S8)&lt; INDEX($U$1:$U$7,MATCH($S8,$T$1:$T$7,0)),$S8,INDEX($T$1:$T$7,MATCH($S8,$T$1:$T$7,0)+1)),"")</f>
        <v>PK</v>
      </c>
      <c r="V9" s="1133" t="str">
        <f ca="1">IFERROR(INDEX(NVLSX!$U$2:$U$6941,MATCH($D9,NVLSX!$E$2:$E$6941,0)),"")</f>
        <v/>
      </c>
      <c r="W9" s="1143"/>
      <c r="X9" s="1143"/>
    </row>
    <row r="10" spans="1:24">
      <c r="A10" s="728">
        <f t="shared" ca="1" si="0"/>
        <v>3</v>
      </c>
      <c r="B10" s="1146" t="str">
        <f ca="1">IFERROR(INDEX(NVLSX!$Y$2:$Y$6756,MATCH($D10,NVLSX!$E$2:$E$6756,0)),"")</f>
        <v>GHI TÊN NCC BÊN NVLSX CỘT Y</v>
      </c>
      <c r="C10" s="1146" t="str">
        <f ca="1">IFERROR(INDEX(NVLSX!$Z$2:$Z$6756,MATCH($D10,NVLSX!$E$2:$E$6756,0)),"")</f>
        <v>GHI TÊN HÃNG BÊN NVLSX CỘT Z</v>
      </c>
      <c r="D10" s="729" t="str">
        <f ca="1">IF($R10="","",INDEX(TongVTSX!C$3:C$1500,$R10))</f>
        <v>3085E</v>
      </c>
      <c r="E10" s="729" t="str">
        <f ca="1">IF($R10="","",IF($S10=$T$7,INDEX(TongVTSX!D$3:D$1500,$R10) &amp;  " (" &amp; INDEX(TongVTSX!A$3:A$1500,$R10) &amp; ")",INDEX(TongVTSX!D$3:D$1500,$R10)))</f>
        <v>Thân khoá đa điểm</v>
      </c>
      <c r="F10" s="874" t="str">
        <f ca="1">IF($R10="","",IF($S10&lt;&gt;NVLSX!$N$6492,INDEX(TongVTSX!E$3:E$1500,$R10),INDEX(TongVTSX!G$3:G$1500,$R10)))</f>
        <v>T/C</v>
      </c>
      <c r="G10" s="730" t="str">
        <f ca="1">IF($R10="","",INDEX(TongVTSX!F$3:F$1500,$R10))</f>
        <v>Cái</v>
      </c>
      <c r="H10" s="731">
        <f ca="1">IF($S10=$T$7,INDEX(TongVTSX!$K$3:$K$1500,$R10)/INDEX(TongVTSX!$G$3:$G$1500,$R10),IF($S10=$T$2,ROUNDUP(SUMPRODUCT((TongVTSX!$C$3:$C$1500=$D10)*(TongVTSX!$E$3:$E$1500=$F10)*(TongVTSX!$S$3:$S$1500=TongVTSX!$S$2)*(TongVTSX!$K$3:$K$1500))/$V10,0),SUMPRODUCT((TongVTSX!$C$3:$C$1500=$D10)*(TongVTSX!$E$3:$E$1500=$F10)*(TongVTSX!$S$3:$S$1500=TongVTSX!$S$2)*(TongVTSX!$K$3:$K$1500))))</f>
        <v>2</v>
      </c>
      <c r="I10" s="731">
        <f ca="1">IF($S10=$T$2,ROUNDUP(SUMPRODUCT((TongVTSX!$C$3:$C$1500=$D10)*(TongVTSX!$E$3:$E$1500=$F10)*(TongVTSX!$S$3:$S$1500=TongVTSX!$S$2)*(TongVTSX!$K$3:$K$1500))/$V10,2),0)</f>
        <v>0</v>
      </c>
      <c r="J10" s="731"/>
      <c r="K10" s="731"/>
      <c r="L10" s="732"/>
      <c r="M10" s="732" t="str">
        <f t="shared" ca="1" si="1"/>
        <v/>
      </c>
      <c r="N10" s="732"/>
      <c r="O10" s="732">
        <f ca="1">IF($S10=$T$7,INDEX(TongVTSX!$O$3:$O$1500,$R10),IF($S10=$T$2,INDEX(TongVTSX!$M$3:$M$1500,$R10)*$V10*$H10,SUMPRODUCT((TongVTSX!$C$3:$C$1500=$D10)*(TongVTSX!$E$3:$E$1500=$F10)*(TongVTSX!$S$3:$S$1500=TongVTSX!$S$2)*(TongVTSX!$O$3:$O$1500))))</f>
        <v>370000</v>
      </c>
      <c r="P10" s="1150">
        <f ca="1">IF($S10=$T$7,INDEX(TongVTSX!$O$3:$O$1500,$R10),IF($S10=$T$2,INDEX(TongVTSX!$M$3:$M$1500,$R10)*$I10*$V10,SUMPRODUCT((TongVTSX!$C$3:$C$1500=$D10)*(TongVTSX!$E$3:$E$1500=$F10)*(TongVTSX!$S$3:$S$1500=TongVTSX!$S$2)*(TongVTSX!$O$3:$O$1500))))</f>
        <v>370000</v>
      </c>
      <c r="Q10" s="1155" t="str">
        <f ca="1">IFERROR(INDEX(NVLSX!$AA$2:$AA$6756,MATCH($D10,NVLSX!$E$2:$E$6756,0)),"")</f>
        <v>GHI NƠI CẤP BÊN NVLSX CỘT AA</v>
      </c>
      <c r="R10" s="75">
        <f ca="1">IF(S10="","",IF(S10&lt;&gt;S9,IF(TYPE(MATCH(S10,TongVTSX!$Q$3:$Q$1500,0))=16,"",MATCH(S10,TongVTSX!$Q$3:$Q$1500,0)),IF(TYPE(MATCH(S10,OFFSET(TongVTSX!$Q$3,R9,0):'TongVTSX'!$Q$1500,0)+R9)=16,"",MATCH(S10,OFFSET(TongVTSX!$Q$3,R9,0):'TongVTSX'!$Q$1500,0)+R9)))</f>
        <v>10</v>
      </c>
      <c r="S10" s="76" t="str">
        <f ca="1">IFERROR(IF(COUNTIF($S$3:S9,S9)&lt; INDEX($U$1:$U$7,MATCH($S9,$T$1:$T$7,0)),$S9,INDEX($T$1:$T$7,MATCH($S9,$T$1:$T$7,0)+1)),"")</f>
        <v>PK</v>
      </c>
      <c r="V10" s="1133" t="str">
        <f ca="1">IFERROR(INDEX(NVLSX!$U$2:$U$6941,MATCH($D10,NVLSX!$E$2:$E$6941,0)),"")</f>
        <v/>
      </c>
      <c r="W10" s="1143"/>
      <c r="X10" s="1143"/>
    </row>
    <row r="11" spans="1:24">
      <c r="A11" s="728">
        <f t="shared" ca="1" si="0"/>
        <v>4</v>
      </c>
      <c r="B11" s="1146" t="str">
        <f ca="1">IFERROR(INDEX(NVLSX!$Y$2:$Y$6756,MATCH($D11,NVLSX!$E$2:$E$6756,0)),"")</f>
        <v>GHI TÊN NCC BÊN NVLSX CỘT Y</v>
      </c>
      <c r="C11" s="1146" t="str">
        <f ca="1">IFERROR(INDEX(NVLSX!$Z$2:$Z$6756,MATCH($D11,NVLSX!$E$2:$E$6756,0)),"")</f>
        <v>GHI TÊN HÃNG BÊN NVLSX CỘT Z</v>
      </c>
      <c r="D11" s="729" t="str">
        <f ca="1">IF($R11="","",INDEX(TongVTSX!C$3:C$1500,$R11))</f>
        <v>CL09-8</v>
      </c>
      <c r="E11" s="729" t="str">
        <f ca="1">IF($R11="","",IF($S11=$T$7,INDEX(TongVTSX!D$3:D$1500,$R11) &amp;  " (" &amp; INDEX(TongVTSX!A$3:A$1500,$R11) &amp; ")",INDEX(TongVTSX!D$3:D$1500,$R11)))</f>
        <v>Đầu khóa biên cao 8mm</v>
      </c>
      <c r="F11" s="874" t="str">
        <f ca="1">IF($R11="","",IF($S11&lt;&gt;NVLSX!$N$6492,INDEX(TongVTSX!E$3:E$1500,$R11),INDEX(TongVTSX!G$3:G$1500,$R11)))</f>
        <v>T/C</v>
      </c>
      <c r="G11" s="730" t="str">
        <f ca="1">IF($R11="","",INDEX(TongVTSX!F$3:F$1500,$R11))</f>
        <v>Cái</v>
      </c>
      <c r="H11" s="731">
        <f ca="1">IF($S11=$T$7,INDEX(TongVTSX!$K$3:$K$1500,$R11)/INDEX(TongVTSX!$G$3:$G$1500,$R11),IF($S11=$T$2,ROUNDUP(SUMPRODUCT((TongVTSX!$C$3:$C$1500=$D11)*(TongVTSX!$E$3:$E$1500=$F11)*(TongVTSX!$S$3:$S$1500=TongVTSX!$S$2)*(TongVTSX!$K$3:$K$1500))/$V11,0),SUMPRODUCT((TongVTSX!$C$3:$C$1500=$D11)*(TongVTSX!$E$3:$E$1500=$F11)*(TongVTSX!$S$3:$S$1500=TongVTSX!$S$2)*(TongVTSX!$K$3:$K$1500))))</f>
        <v>4</v>
      </c>
      <c r="I11" s="731">
        <f ca="1">IF($S11=$T$2,ROUNDUP(SUMPRODUCT((TongVTSX!$C$3:$C$1500=$D11)*(TongVTSX!$E$3:$E$1500=$F11)*(TongVTSX!$S$3:$S$1500=TongVTSX!$S$2)*(TongVTSX!$K$3:$K$1500))/$V11,2),0)</f>
        <v>0</v>
      </c>
      <c r="J11" s="731"/>
      <c r="K11" s="731"/>
      <c r="L11" s="732"/>
      <c r="M11" s="732" t="str">
        <f t="shared" ca="1" si="1"/>
        <v/>
      </c>
      <c r="N11" s="732"/>
      <c r="O11" s="732">
        <f ca="1">IF($S11=$T$7,INDEX(TongVTSX!$O$3:$O$1500,$R11),IF($S11=$T$2,INDEX(TongVTSX!$M$3:$M$1500,$R11)*$V11*$H11,SUMPRODUCT((TongVTSX!$C$3:$C$1500=$D11)*(TongVTSX!$E$3:$E$1500=$F11)*(TongVTSX!$S$3:$S$1500=TongVTSX!$S$2)*(TongVTSX!$O$3:$O$1500))))</f>
        <v>68000</v>
      </c>
      <c r="P11" s="1150">
        <f ca="1">IF($S11=$T$7,INDEX(TongVTSX!$O$3:$O$1500,$R11),IF($S11=$T$2,INDEX(TongVTSX!$M$3:$M$1500,$R11)*$I11*$V11,SUMPRODUCT((TongVTSX!$C$3:$C$1500=$D11)*(TongVTSX!$E$3:$E$1500=$F11)*(TongVTSX!$S$3:$S$1500=TongVTSX!$S$2)*(TongVTSX!$O$3:$O$1500))))</f>
        <v>68000</v>
      </c>
      <c r="Q11" s="1155" t="str">
        <f ca="1">IFERROR(INDEX(NVLSX!$AA$2:$AA$6756,MATCH($D11,NVLSX!$E$2:$E$6756,0)),"")</f>
        <v>GHI NƠI CẤP BÊN NVLSX CỘT AA</v>
      </c>
      <c r="R11" s="75">
        <f ca="1">IF(S11="","",IF(S11&lt;&gt;S10,IF(TYPE(MATCH(S11,TongVTSX!$Q$3:$Q$1500,0))=16,"",MATCH(S11,TongVTSX!$Q$3:$Q$1500,0)),IF(TYPE(MATCH(S11,OFFSET(TongVTSX!$Q$3,R10,0):'TongVTSX'!$Q$1500,0)+R10)=16,"",MATCH(S11,OFFSET(TongVTSX!$Q$3,R10,0):'TongVTSX'!$Q$1500,0)+R10)))</f>
        <v>11</v>
      </c>
      <c r="S11" s="76" t="str">
        <f ca="1">IFERROR(IF(COUNTIF($S$3:S10,S10)&lt; INDEX($U$1:$U$7,MATCH($S10,$T$1:$T$7,0)),$S10,INDEX($T$1:$T$7,MATCH($S10,$T$1:$T$7,0)+1)),"")</f>
        <v>PK</v>
      </c>
      <c r="V11" s="1133" t="str">
        <f ca="1">IFERROR(INDEX(NVLSX!$U$2:$U$6941,MATCH($D11,NVLSX!$E$2:$E$6941,0)),"")</f>
        <v/>
      </c>
      <c r="W11" s="1143"/>
      <c r="X11" s="1143"/>
    </row>
    <row r="12" spans="1:24">
      <c r="A12" s="728">
        <f t="shared" ca="1" si="0"/>
        <v>5</v>
      </c>
      <c r="B12" s="1146" t="str">
        <f ca="1">IFERROR(INDEX(NVLSX!$Y$2:$Y$6756,MATCH($D12,NVLSX!$E$2:$E$6756,0)),"")</f>
        <v>GHI TÊN NCC BÊN NVLSX CỘT Y</v>
      </c>
      <c r="C12" s="1146" t="str">
        <f ca="1">IFERROR(INDEX(NVLSX!$Z$2:$Z$6756,MATCH($D12,NVLSX!$E$2:$E$6756,0)),"")</f>
        <v>GHI TÊN HÃNG BÊN NVLSX CỘT Z</v>
      </c>
      <c r="D12" s="729" t="str">
        <f ca="1">IF($R12="","",INDEX(TongVTSX!C$3:C$1500,$R12))</f>
        <v>CKG23</v>
      </c>
      <c r="E12" s="729" t="str">
        <f ca="1">IF($R12="","",IF($S12=$T$7,INDEX(TongVTSX!D$3:D$1500,$R12) &amp;  " (" &amp; INDEX(TongVTSX!A$3:A$1500,$R12) &amp; ")",INDEX(TongVTSX!D$3:D$1500,$R12)))</f>
        <v>Vấu hãm cửa 1 cánh</v>
      </c>
      <c r="F12" s="874" t="str">
        <f ca="1">IF($R12="","",IF($S12&lt;&gt;NVLSX!$N$6492,INDEX(TongVTSX!E$3:E$1500,$R12),INDEX(TongVTSX!G$3:G$1500,$R12)))</f>
        <v>T/C</v>
      </c>
      <c r="G12" s="730" t="str">
        <f ca="1">IF($R12="","",INDEX(TongVTSX!F$3:F$1500,$R12))</f>
        <v>Cái</v>
      </c>
      <c r="H12" s="731">
        <f ca="1">IF($S12=$T$7,INDEX(TongVTSX!$K$3:$K$1500,$R12)/INDEX(TongVTSX!$G$3:$G$1500,$R12),IF($S12=$T$2,ROUNDUP(SUMPRODUCT((TongVTSX!$C$3:$C$1500=$D12)*(TongVTSX!$E$3:$E$1500=$F12)*(TongVTSX!$S$3:$S$1500=TongVTSX!$S$2)*(TongVTSX!$K$3:$K$1500))/$V12,0),SUMPRODUCT((TongVTSX!$C$3:$C$1500=$D12)*(TongVTSX!$E$3:$E$1500=$F12)*(TongVTSX!$S$3:$S$1500=TongVTSX!$S$2)*(TongVTSX!$K$3:$K$1500))))</f>
        <v>4</v>
      </c>
      <c r="I12" s="731">
        <f ca="1">IF($S12=$T$2,ROUNDUP(SUMPRODUCT((TongVTSX!$C$3:$C$1500=$D12)*(TongVTSX!$E$3:$E$1500=$F12)*(TongVTSX!$S$3:$S$1500=TongVTSX!$S$2)*(TongVTSX!$K$3:$K$1500))/$V12,2),0)</f>
        <v>0</v>
      </c>
      <c r="J12" s="731"/>
      <c r="K12" s="731"/>
      <c r="L12" s="732"/>
      <c r="M12" s="732" t="str">
        <f t="shared" ca="1" si="1"/>
        <v/>
      </c>
      <c r="N12" s="732"/>
      <c r="O12" s="732">
        <f ca="1">IF($S12=$T$7,INDEX(TongVTSX!$O$3:$O$1500,$R12),IF($S12=$T$2,INDEX(TongVTSX!$M$3:$M$1500,$R12)*$V12*$H12,SUMPRODUCT((TongVTSX!$C$3:$C$1500=$D12)*(TongVTSX!$E$3:$E$1500=$F12)*(TongVTSX!$S$3:$S$1500=TongVTSX!$S$2)*(TongVTSX!$O$3:$O$1500))))</f>
        <v>26000</v>
      </c>
      <c r="P12" s="1150">
        <f ca="1">IF($S12=$T$7,INDEX(TongVTSX!$O$3:$O$1500,$R12),IF($S12=$T$2,INDEX(TongVTSX!$M$3:$M$1500,$R12)*$I12*$V12,SUMPRODUCT((TongVTSX!$C$3:$C$1500=$D12)*(TongVTSX!$E$3:$E$1500=$F12)*(TongVTSX!$S$3:$S$1500=TongVTSX!$S$2)*(TongVTSX!$O$3:$O$1500))))</f>
        <v>26000</v>
      </c>
      <c r="Q12" s="1155" t="str">
        <f ca="1">IFERROR(INDEX(NVLSX!$AA$2:$AA$6756,MATCH($D12,NVLSX!$E$2:$E$6756,0)),"")</f>
        <v>GHI NƠI CẤP BÊN NVLSX CỘT AA</v>
      </c>
      <c r="R12" s="75">
        <f ca="1">IF(S12="","",IF(S12&lt;&gt;S11,IF(TYPE(MATCH(S12,TongVTSX!$Q$3:$Q$1500,0))=16,"",MATCH(S12,TongVTSX!$Q$3:$Q$1500,0)),IF(TYPE(MATCH(S12,OFFSET(TongVTSX!$Q$3,R11,0):'TongVTSX'!$Q$1500,0)+R11)=16,"",MATCH(S12,OFFSET(TongVTSX!$Q$3,R11,0):'TongVTSX'!$Q$1500,0)+R11)))</f>
        <v>12</v>
      </c>
      <c r="S12" s="76" t="str">
        <f ca="1">IFERROR(IF(COUNTIF($S$3:S11,S11)&lt; INDEX($U$1:$U$7,MATCH($S11,$T$1:$T$7,0)),$S11,INDEX($T$1:$T$7,MATCH($S11,$T$1:$T$7,0)+1)),"")</f>
        <v>PK</v>
      </c>
      <c r="V12" s="1133" t="str">
        <f ca="1">IFERROR(INDEX(NVLSX!$U$2:$U$6941,MATCH($D12,NVLSX!$E$2:$E$6941,0)),"")</f>
        <v/>
      </c>
      <c r="W12" s="1143"/>
      <c r="X12" s="1143"/>
    </row>
    <row r="13" spans="1:24">
      <c r="A13" s="728">
        <f t="shared" ca="1" si="0"/>
        <v>6</v>
      </c>
      <c r="B13" s="1146" t="str">
        <f ca="1">IFERROR(INDEX(NVLSX!$Y$2:$Y$6756,MATCH($D13,NVLSX!$E$2:$E$6756,0)),"")</f>
        <v>GHI TÊN NCC BÊN NVLSX CỘT Y</v>
      </c>
      <c r="C13" s="1146" t="str">
        <f ca="1">IFERROR(INDEX(NVLSX!$Z$2:$Z$6756,MATCH($D13,NVLSX!$E$2:$E$6756,0)),"")</f>
        <v>GHI TÊN HÃNG BÊN NVLSX CỘT Z</v>
      </c>
      <c r="D13" s="729" t="str">
        <f ca="1">IF($R13="","",INDEX(TongVTSX!C$3:C$1500,$R13))</f>
        <v>CZMK01</v>
      </c>
      <c r="E13" s="729" t="str">
        <f ca="1">IF($R13="","",IF($S13=$T$7,INDEX(TongVTSX!D$3:D$1500,$R13) &amp;  " (" &amp; INDEX(TongVTSX!A$3:A$1500,$R13) &amp; ")",INDEX(TongVTSX!D$3:D$1500,$R13)))</f>
        <v>Miệng khoá cửa đi 1 cánh</v>
      </c>
      <c r="F13" s="874" t="str">
        <f ca="1">IF($R13="","",IF($S13&lt;&gt;NVLSX!$N$6492,INDEX(TongVTSX!E$3:E$1500,$R13),INDEX(TongVTSX!G$3:G$1500,$R13)))</f>
        <v>T/C</v>
      </c>
      <c r="G13" s="730" t="str">
        <f ca="1">IF($R13="","",INDEX(TongVTSX!F$3:F$1500,$R13))</f>
        <v>Cái</v>
      </c>
      <c r="H13" s="731">
        <f ca="1">IF($S13=$T$7,INDEX(TongVTSX!$K$3:$K$1500,$R13)/INDEX(TongVTSX!$G$3:$G$1500,$R13),IF($S13=$T$2,ROUNDUP(SUMPRODUCT((TongVTSX!$C$3:$C$1500=$D13)*(TongVTSX!$E$3:$E$1500=$F13)*(TongVTSX!$S$3:$S$1500=TongVTSX!$S$2)*(TongVTSX!$K$3:$K$1500))/$V13,0),SUMPRODUCT((TongVTSX!$C$3:$C$1500=$D13)*(TongVTSX!$E$3:$E$1500=$F13)*(TongVTSX!$S$3:$S$1500=TongVTSX!$S$2)*(TongVTSX!$K$3:$K$1500))))</f>
        <v>2</v>
      </c>
      <c r="I13" s="731">
        <f ca="1">IF($S13=$T$2,ROUNDUP(SUMPRODUCT((TongVTSX!$C$3:$C$1500=$D13)*(TongVTSX!$E$3:$E$1500=$F13)*(TongVTSX!$S$3:$S$1500=TongVTSX!$S$2)*(TongVTSX!$K$3:$K$1500))/$V13,2),0)</f>
        <v>0</v>
      </c>
      <c r="J13" s="731"/>
      <c r="K13" s="731"/>
      <c r="L13" s="732"/>
      <c r="M13" s="732" t="str">
        <f t="shared" ca="1" si="1"/>
        <v/>
      </c>
      <c r="N13" s="732"/>
      <c r="O13" s="732">
        <f ca="1">IF($S13=$T$7,INDEX(TongVTSX!$O$3:$O$1500,$R13),IF($S13=$T$2,INDEX(TongVTSX!$M$3:$M$1500,$R13)*$V13*$H13,SUMPRODUCT((TongVTSX!$C$3:$C$1500=$D13)*(TongVTSX!$E$3:$E$1500=$F13)*(TongVTSX!$S$3:$S$1500=TongVTSX!$S$2)*(TongVTSX!$O$3:$O$1500))))</f>
        <v>52000</v>
      </c>
      <c r="P13" s="1150">
        <f ca="1">IF($S13=$T$7,INDEX(TongVTSX!$O$3:$O$1500,$R13),IF($S13=$T$2,INDEX(TongVTSX!$M$3:$M$1500,$R13)*$I13*$V13,SUMPRODUCT((TongVTSX!$C$3:$C$1500=$D13)*(TongVTSX!$E$3:$E$1500=$F13)*(TongVTSX!$S$3:$S$1500=TongVTSX!$S$2)*(TongVTSX!$O$3:$O$1500))))</f>
        <v>52000</v>
      </c>
      <c r="Q13" s="1155" t="str">
        <f ca="1">IFERROR(INDEX(NVLSX!$AA$2:$AA$6756,MATCH($D13,NVLSX!$E$2:$E$6756,0)),"")</f>
        <v>GHI NƠI CẤP BÊN NVLSX CỘT AA</v>
      </c>
      <c r="R13" s="75">
        <f ca="1">IF(S13="","",IF(S13&lt;&gt;S12,IF(TYPE(MATCH(S13,TongVTSX!$Q$3:$Q$1500,0))=16,"",MATCH(S13,TongVTSX!$Q$3:$Q$1500,0)),IF(TYPE(MATCH(S13,OFFSET(TongVTSX!$Q$3,R12,0):'TongVTSX'!$Q$1500,0)+R12)=16,"",MATCH(S13,OFFSET(TongVTSX!$Q$3,R12,0):'TongVTSX'!$Q$1500,0)+R12)))</f>
        <v>14</v>
      </c>
      <c r="S13" s="76" t="str">
        <f ca="1">IFERROR(IF(COUNTIF($S$3:S12,S12)&lt; INDEX($U$1:$U$7,MATCH($S12,$T$1:$T$7,0)),$S12,INDEX($T$1:$T$7,MATCH($S12,$T$1:$T$7,0)+1)),"")</f>
        <v>PK</v>
      </c>
      <c r="V13" s="1133" t="str">
        <f ca="1">IFERROR(INDEX(NVLSX!$U$2:$U$6941,MATCH($D13,NVLSX!$E$2:$E$6941,0)),"")</f>
        <v/>
      </c>
      <c r="W13" s="1143"/>
      <c r="X13" s="1143"/>
    </row>
    <row r="14" spans="1:24">
      <c r="A14" s="728">
        <f t="shared" ca="1" si="0"/>
        <v>7</v>
      </c>
      <c r="B14" s="1146" t="str">
        <f ca="1">IFERROR(INDEX(NVLSX!$Y$2:$Y$6756,MATCH($D14,NVLSX!$E$2:$E$6756,0)),"")</f>
        <v>GHI TÊN NCC BÊN NVLSX CỘT Y</v>
      </c>
      <c r="C14" s="1146" t="str">
        <f ca="1">IFERROR(INDEX(NVLSX!$Z$2:$Z$6756,MATCH($D14,NVLSX!$E$2:$E$6756,0)),"")</f>
        <v>GHI TÊN HÃNG BÊN NVLSX CỘT Z</v>
      </c>
      <c r="D14" s="729" t="str">
        <f ca="1">IF($R14="","",INDEX(TongVTSX!C$3:C$1500,$R14))</f>
        <v>JX112-R</v>
      </c>
      <c r="E14" s="729" t="str">
        <f ca="1">IF($R14="","",IF($S14=$T$7,INDEX(TongVTSX!D$3:D$1500,$R14) &amp;  " (" &amp; INDEX(TongVTSX!A$3:A$1500,$R14) &amp; ")",INDEX(TongVTSX!D$3:D$1500,$R14)))</f>
        <v>Hinge/Bản lề khung cánh hệ 55 có chân (3D) - PHẢI</v>
      </c>
      <c r="F14" s="874" t="str">
        <f ca="1">IF($R14="","",IF($S14&lt;&gt;NVLSX!$N$6492,INDEX(TongVTSX!E$3:E$1500,$R14),INDEX(TongVTSX!G$3:G$1500,$R14)))</f>
        <v>Xám ghi</v>
      </c>
      <c r="G14" s="730" t="str">
        <f ca="1">IF($R14="","",INDEX(TongVTSX!F$3:F$1500,$R14))</f>
        <v>Cái</v>
      </c>
      <c r="H14" s="731">
        <f ca="1">IF($S14=$T$7,INDEX(TongVTSX!$K$3:$K$1500,$R14)/INDEX(TongVTSX!$G$3:$G$1500,$R14),IF($S14=$T$2,ROUNDUP(SUMPRODUCT((TongVTSX!$C$3:$C$1500=$D14)*(TongVTSX!$E$3:$E$1500=$F14)*(TongVTSX!$S$3:$S$1500=TongVTSX!$S$2)*(TongVTSX!$K$3:$K$1500))/$V14,0),SUMPRODUCT((TongVTSX!$C$3:$C$1500=$D14)*(TongVTSX!$E$3:$E$1500=$F14)*(TongVTSX!$S$3:$S$1500=TongVTSX!$S$2)*(TongVTSX!$K$3:$K$1500))))</f>
        <v>6</v>
      </c>
      <c r="I14" s="731">
        <f ca="1">IF($S14=$T$2,ROUNDUP(SUMPRODUCT((TongVTSX!$C$3:$C$1500=$D14)*(TongVTSX!$E$3:$E$1500=$F14)*(TongVTSX!$S$3:$S$1500=TongVTSX!$S$2)*(TongVTSX!$K$3:$K$1500))/$V14,2),0)</f>
        <v>0</v>
      </c>
      <c r="J14" s="731"/>
      <c r="K14" s="731"/>
      <c r="L14" s="732"/>
      <c r="M14" s="732" t="str">
        <f t="shared" ca="1" si="1"/>
        <v/>
      </c>
      <c r="N14" s="732"/>
      <c r="O14" s="732">
        <f ca="1">IF($S14=$T$7,INDEX(TongVTSX!$O$3:$O$1500,$R14),IF($S14=$T$2,INDEX(TongVTSX!$M$3:$M$1500,$R14)*$V14*$H14,SUMPRODUCT((TongVTSX!$C$3:$C$1500=$D14)*(TongVTSX!$E$3:$E$1500=$F14)*(TongVTSX!$S$3:$S$1500=TongVTSX!$S$2)*(TongVTSX!$O$3:$O$1500))))</f>
        <v>930000</v>
      </c>
      <c r="P14" s="1150">
        <f ca="1">IF($S14=$T$7,INDEX(TongVTSX!$O$3:$O$1500,$R14),IF($S14=$T$2,INDEX(TongVTSX!$M$3:$M$1500,$R14)*$I14*$V14,SUMPRODUCT((TongVTSX!$C$3:$C$1500=$D14)*(TongVTSX!$E$3:$E$1500=$F14)*(TongVTSX!$S$3:$S$1500=TongVTSX!$S$2)*(TongVTSX!$O$3:$O$1500))))</f>
        <v>930000</v>
      </c>
      <c r="Q14" s="1155" t="str">
        <f ca="1">IFERROR(INDEX(NVLSX!$AA$2:$AA$6756,MATCH($D14,NVLSX!$E$2:$E$6756,0)),"")</f>
        <v>GHI NƠI CẤP BÊN NVLSX CỘT AA</v>
      </c>
      <c r="R14" s="75">
        <f ca="1">IF(S14="","",IF(S14&lt;&gt;S13,IF(TYPE(MATCH(S14,TongVTSX!$Q$3:$Q$1500,0))=16,"",MATCH(S14,TongVTSX!$Q$3:$Q$1500,0)),IF(TYPE(MATCH(S14,OFFSET(TongVTSX!$Q$3,R13,0):'TongVTSX'!$Q$1500,0)+R13)=16,"",MATCH(S14,OFFSET(TongVTSX!$Q$3,R13,0):'TongVTSX'!$Q$1500,0)+R13)))</f>
        <v>15</v>
      </c>
      <c r="S14" s="76" t="str">
        <f ca="1">IFERROR(IF(COUNTIF($S$3:S13,S13)&lt; INDEX($U$1:$U$7,MATCH($S13,$T$1:$T$7,0)),$S13,INDEX($T$1:$T$7,MATCH($S13,$T$1:$T$7,0)+1)),"")</f>
        <v>PK</v>
      </c>
      <c r="V14" s="1133" t="str">
        <f ca="1">IFERROR(INDEX(NVLSX!$U$2:$U$6941,MATCH($D14,NVLSX!$E$2:$E$6941,0)),"")</f>
        <v/>
      </c>
      <c r="W14" s="1143"/>
      <c r="X14" s="1143"/>
    </row>
    <row r="15" spans="1:24">
      <c r="A15" s="728">
        <f t="shared" ca="1" si="0"/>
        <v>8</v>
      </c>
      <c r="B15" s="1146" t="str">
        <f ca="1">IFERROR(INDEX(NVLSX!$Y$2:$Y$6756,MATCH($D15,NVLSX!$E$2:$E$6756,0)),"")</f>
        <v>GHI TÊN NCC BÊN NVLSX CỘT Y</v>
      </c>
      <c r="C15" s="1146" t="str">
        <f ca="1">IFERROR(INDEX(NVLSX!$Z$2:$Z$6756,MATCH($D15,NVLSX!$E$2:$E$6756,0)),"")</f>
        <v>GHI TÊN HÃNG BÊN NVLSX CỘT Z</v>
      </c>
      <c r="D15" s="729" t="str">
        <f ca="1">IF($R15="","",INDEX(TongVTSX!C$3:C$1500,$R15))</f>
        <v>OCCXF</v>
      </c>
      <c r="E15" s="729" t="str">
        <f ca="1">IF($R15="","",IF($S15=$T$7,INDEX(TongVTSX!D$3:D$1500,$R15) &amp;  " (" &amp; INDEX(TongVTSX!A$3:A$1500,$R15) &amp; ")",INDEX(TongVTSX!D$3:D$1500,$R15)))</f>
        <v>Ốp chân cánh XF (nẹp liền) (trái + phải)</v>
      </c>
      <c r="F15" s="874" t="str">
        <f ca="1">IF($R15="","",IF($S15&lt;&gt;NVLSX!$N$6492,INDEX(TongVTSX!E$3:E$1500,$R15),INDEX(TongVTSX!G$3:G$1500,$R15)))</f>
        <v>Xám ghi</v>
      </c>
      <c r="G15" s="730" t="str">
        <f ca="1">IF($R15="","",INDEX(TongVTSX!F$3:F$1500,$R15))</f>
        <v>Cặp</v>
      </c>
      <c r="H15" s="731">
        <f ca="1">IF($S15=$T$7,INDEX(TongVTSX!$K$3:$K$1500,$R15)/INDEX(TongVTSX!$G$3:$G$1500,$R15),IF($S15=$T$2,ROUNDUP(SUMPRODUCT((TongVTSX!$C$3:$C$1500=$D15)*(TongVTSX!$E$3:$E$1500=$F15)*(TongVTSX!$S$3:$S$1500=TongVTSX!$S$2)*(TongVTSX!$K$3:$K$1500))/$V15,0),SUMPRODUCT((TongVTSX!$C$3:$C$1500=$D15)*(TongVTSX!$E$3:$E$1500=$F15)*(TongVTSX!$S$3:$S$1500=TongVTSX!$S$2)*(TongVTSX!$K$3:$K$1500))))</f>
        <v>2</v>
      </c>
      <c r="I15" s="731">
        <f ca="1">IF($S15=$T$2,ROUNDUP(SUMPRODUCT((TongVTSX!$C$3:$C$1500=$D15)*(TongVTSX!$E$3:$E$1500=$F15)*(TongVTSX!$S$3:$S$1500=TongVTSX!$S$2)*(TongVTSX!$K$3:$K$1500))/$V15,2),0)</f>
        <v>0</v>
      </c>
      <c r="J15" s="731"/>
      <c r="K15" s="731"/>
      <c r="L15" s="732"/>
      <c r="M15" s="732" t="str">
        <f t="shared" ca="1" si="1"/>
        <v/>
      </c>
      <c r="N15" s="732"/>
      <c r="O15" s="732">
        <f ca="1">IF($S15=$T$7,INDEX(TongVTSX!$O$3:$O$1500,$R15),IF($S15=$T$2,INDEX(TongVTSX!$M$3:$M$1500,$R15)*$V15*$H15,SUMPRODUCT((TongVTSX!$C$3:$C$1500=$D15)*(TongVTSX!$E$3:$E$1500=$F15)*(TongVTSX!$S$3:$S$1500=TongVTSX!$S$2)*(TongVTSX!$O$3:$O$1500))))</f>
        <v>4900</v>
      </c>
      <c r="P15" s="1150">
        <f ca="1">IF($S15=$T$7,INDEX(TongVTSX!$O$3:$O$1500,$R15),IF($S15=$T$2,INDEX(TongVTSX!$M$3:$M$1500,$R15)*$I15*$V15,SUMPRODUCT((TongVTSX!$C$3:$C$1500=$D15)*(TongVTSX!$E$3:$E$1500=$F15)*(TongVTSX!$S$3:$S$1500=TongVTSX!$S$2)*(TongVTSX!$O$3:$O$1500))))</f>
        <v>4900</v>
      </c>
      <c r="Q15" s="1155" t="str">
        <f ca="1">IFERROR(INDEX(NVLSX!$AA$2:$AA$6756,MATCH($D15,NVLSX!$E$2:$E$6756,0)),"")</f>
        <v>GHI NƠI CẤP BÊN NVLSX CỘT AA</v>
      </c>
      <c r="R15" s="75">
        <f ca="1">IF(S15="","",IF(S15&lt;&gt;S14,IF(TYPE(MATCH(S15,TongVTSX!$Q$3:$Q$1500,0))=16,"",MATCH(S15,TongVTSX!$Q$3:$Q$1500,0)),IF(TYPE(MATCH(S15,OFFSET(TongVTSX!$Q$3,R14,0):'TongVTSX'!$Q$1500,0)+R14)=16,"",MATCH(S15,OFFSET(TongVTSX!$Q$3,R14,0):'TongVTSX'!$Q$1500,0)+R14)))</f>
        <v>16</v>
      </c>
      <c r="S15" s="76" t="str">
        <f ca="1">IFERROR(IF(COUNTIF($S$3:S14,S14)&lt; INDEX($U$1:$U$7,MATCH($S14,$T$1:$T$7,0)),$S14,INDEX($T$1:$T$7,MATCH($S14,$T$1:$T$7,0)+1)),"")</f>
        <v>PK</v>
      </c>
      <c r="V15" s="1133" t="str">
        <f ca="1">IFERROR(INDEX(NVLSX!$U$2:$U$6941,MATCH($D15,NVLSX!$E$2:$E$6941,0)),"")</f>
        <v/>
      </c>
      <c r="W15" s="1143"/>
      <c r="X15" s="1143"/>
    </row>
    <row r="16" spans="1:24">
      <c r="A16" s="728">
        <f t="shared" ca="1" si="0"/>
        <v>1</v>
      </c>
      <c r="B16" s="1146" t="str">
        <f ca="1">IFERROR(INDEX(NVLSX!$Y$2:$Y$6756,MATCH($D16,NVLSX!$E$2:$E$6756,0)),"")</f>
        <v>GHI TÊN NCC BÊN NVLSX CỘT Y</v>
      </c>
      <c r="C16" s="1146" t="str">
        <f ca="1">IFERROR(INDEX(NVLSX!$Z$2:$Z$6756,MATCH($D16,NVLSX!$E$2:$E$6756,0)),"")</f>
        <v>GHI TÊN HÃNG BÊN NVLSX CỘT Z</v>
      </c>
      <c r="D16" s="729" t="str">
        <f ca="1">IF($R16="","",INDEX(TongVTSX!C$3:C$1500,$R16))</f>
        <v>GONHOMDORI</v>
      </c>
      <c r="E16" s="729" t="str">
        <f ca="1">IF($R16="","",IF($S16=$T$7,INDEX(TongVTSX!D$3:D$1500,$R16) &amp;  " (" &amp; INDEX(TongVTSX!A$3:A$1500,$R16) &amp; ")",INDEX(TongVTSX!D$3:D$1500,$R16)))</f>
        <v>Gioăng khung nhôm XINGFA DORI</v>
      </c>
      <c r="F16" s="874" t="str">
        <f ca="1">IF($R16="","",IF($S16&lt;&gt;NVLSX!$N$6492,INDEX(TongVTSX!E$3:E$1500,$R16),INDEX(TongVTSX!G$3:G$1500,$R16)))</f>
        <v>T/C</v>
      </c>
      <c r="G16" s="730" t="str">
        <f ca="1">IF($R16="","",INDEX(TongVTSX!F$3:F$1500,$R16))</f>
        <v>mm</v>
      </c>
      <c r="H16" s="731">
        <f ca="1">IF($S16=$T$7,INDEX(TongVTSX!$K$3:$K$1500,$R16)/INDEX(TongVTSX!$G$3:$G$1500,$R16),IF($S16=$T$2,ROUNDUP(SUMPRODUCT((TongVTSX!$C$3:$C$1500=$D16)*(TongVTSX!$E$3:$E$1500=$F16)*(TongVTSX!$S$3:$S$1500=TongVTSX!$S$2)*(TongVTSX!$K$3:$K$1500))/$V16,0),SUMPRODUCT((TongVTSX!$C$3:$C$1500=$D16)*(TongVTSX!$E$3:$E$1500=$F16)*(TongVTSX!$S$3:$S$1500=TongVTSX!$S$2)*(TongVTSX!$K$3:$K$1500))))</f>
        <v>32640</v>
      </c>
      <c r="I16" s="731">
        <f ca="1">IF($S16=$T$2,ROUNDUP(SUMPRODUCT((TongVTSX!$C$3:$C$1500=$D16)*(TongVTSX!$E$3:$E$1500=$F16)*(TongVTSX!$S$3:$S$1500=TongVTSX!$S$2)*(TongVTSX!$K$3:$K$1500))/$V16,2),0)</f>
        <v>0</v>
      </c>
      <c r="J16" s="731"/>
      <c r="K16" s="731"/>
      <c r="L16" s="732"/>
      <c r="M16" s="732" t="str">
        <f t="shared" ca="1" si="1"/>
        <v/>
      </c>
      <c r="N16" s="732"/>
      <c r="O16" s="732">
        <f ca="1">IF($S16=$T$7,INDEX(TongVTSX!$O$3:$O$1500,$R16),IF($S16=$T$2,INDEX(TongVTSX!$M$3:$M$1500,$R16)*$V16*$H16,SUMPRODUCT((TongVTSX!$C$3:$C$1500=$D16)*(TongVTSX!$E$3:$E$1500=$F16)*(TongVTSX!$S$3:$S$1500=TongVTSX!$S$2)*(TongVTSX!$O$3:$O$1500))))</f>
        <v>3590</v>
      </c>
      <c r="P16" s="1150">
        <f ca="1">IF($S16=$T$7,INDEX(TongVTSX!$O$3:$O$1500,$R16),IF($S16=$T$2,INDEX(TongVTSX!$M$3:$M$1500,$R16)*$I16*$V16,SUMPRODUCT((TongVTSX!$C$3:$C$1500=$D16)*(TongVTSX!$E$3:$E$1500=$F16)*(TongVTSX!$S$3:$S$1500=TongVTSX!$S$2)*(TongVTSX!$O$3:$O$1500))))</f>
        <v>3590</v>
      </c>
      <c r="Q16" s="1155" t="str">
        <f ca="1">IFERROR(INDEX(NVLSX!$AA$2:$AA$6756,MATCH($D16,NVLSX!$E$2:$E$6756,0)),"")</f>
        <v>GHI NƠI CẤP BÊN NVLSX CỘT AA</v>
      </c>
      <c r="R16" s="75">
        <f ca="1">IF(S16="","",IF(S16&lt;&gt;S15,IF(TYPE(MATCH(S16,TongVTSX!$Q$3:$Q$1500,0))=16,"",MATCH(S16,TongVTSX!$Q$3:$Q$1500,0)),IF(TYPE(MATCH(S16,OFFSET(TongVTSX!$Q$3,R15,0):'TongVTSX'!$Q$1500,0)+R15)=16,"",MATCH(S16,OFFSET(TongVTSX!$Q$3,R15,0):'TongVTSX'!$Q$1500,0)+R15)))</f>
        <v>17</v>
      </c>
      <c r="S16" s="76" t="str">
        <f ca="1">IFERROR(IF(COUNTIF($S$3:S15,S15)&lt; INDEX($U$1:$U$7,MATCH($S15,$T$1:$T$7,0)),$S15,INDEX($T$1:$T$7,MATCH($S15,$T$1:$T$7,0)+1)),"")</f>
        <v>GI</v>
      </c>
      <c r="V16" s="1133" t="str">
        <f ca="1">IFERROR(INDEX(NVLSX!$U$2:$U$6941,MATCH($D16,NVLSX!$E$2:$E$6941,0)),"")</f>
        <v/>
      </c>
      <c r="W16" s="1143"/>
      <c r="X16" s="1143"/>
    </row>
    <row r="17" spans="1:24">
      <c r="A17" s="728">
        <f t="shared" ca="1" si="0"/>
        <v>2</v>
      </c>
      <c r="B17" s="1146" t="str">
        <f ca="1">IFERROR(INDEX(NVLSX!$Y$2:$Y$6756,MATCH($D17,NVLSX!$E$2:$E$6756,0)),"")</f>
        <v>GHI TÊN NCC BÊN NVLSX CỘT Y</v>
      </c>
      <c r="C17" s="1146" t="str">
        <f ca="1">IFERROR(INDEX(NVLSX!$Z$2:$Z$6756,MATCH($D17,NVLSX!$E$2:$E$6756,0)),"")</f>
        <v>GHI TÊN HÃNG BÊN NVLSX CỘT Z</v>
      </c>
      <c r="D17" s="729" t="str">
        <f ca="1">IF($R17="","",INDEX(TongVTSX!C$3:C$1500,$R17))</f>
        <v>Silicone-K</v>
      </c>
      <c r="E17" s="729" t="str">
        <f ca="1">IF($R17="","",IF($S17=$T$7,INDEX(TongVTSX!D$3:D$1500,$R17) &amp;  " (" &amp; INDEX(TongVTSX!A$3:A$1500,$R17) &amp; ")",INDEX(TongVTSX!D$3:D$1500,$R17)))</f>
        <v>Silicone KÍNH</v>
      </c>
      <c r="F17" s="874" t="str">
        <f ca="1">IF($R17="","",IF($S17&lt;&gt;NVLSX!$N$6492,INDEX(TongVTSX!E$3:E$1500,$R17),INDEX(TongVTSX!G$3:G$1500,$R17)))</f>
        <v>Đen</v>
      </c>
      <c r="G17" s="730" t="str">
        <f ca="1">IF($R17="","",INDEX(TongVTSX!F$3:F$1500,$R17))</f>
        <v>Chai</v>
      </c>
      <c r="H17" s="731">
        <f ca="1">IF($S17=$T$7,INDEX(TongVTSX!$K$3:$K$1500,$R17)/INDEX(TongVTSX!$G$3:$G$1500,$R17),IF($S17=$T$2,ROUNDUP(SUMPRODUCT((TongVTSX!$C$3:$C$1500=$D17)*(TongVTSX!$E$3:$E$1500=$F17)*(TongVTSX!$S$3:$S$1500=TongVTSX!$S$2)*(TongVTSX!$K$3:$K$1500))/$V17,0),SUMPRODUCT((TongVTSX!$C$3:$C$1500=$D17)*(TongVTSX!$E$3:$E$1500=$F17)*(TongVTSX!$S$3:$S$1500=TongVTSX!$S$2)*(TongVTSX!$K$3:$K$1500))))</f>
        <v>2.1714285714285713</v>
      </c>
      <c r="I17" s="731">
        <f ca="1">IF($S17=$T$2,ROUNDUP(SUMPRODUCT((TongVTSX!$C$3:$C$1500=$D17)*(TongVTSX!$E$3:$E$1500=$F17)*(TongVTSX!$S$3:$S$1500=TongVTSX!$S$2)*(TongVTSX!$K$3:$K$1500))/$V17,2),0)</f>
        <v>0</v>
      </c>
      <c r="J17" s="731"/>
      <c r="K17" s="731"/>
      <c r="L17" s="732"/>
      <c r="M17" s="732" t="str">
        <f t="shared" ca="1" si="1"/>
        <v/>
      </c>
      <c r="N17" s="732"/>
      <c r="O17" s="732">
        <f ca="1">IF($S17=$T$7,INDEX(TongVTSX!$O$3:$O$1500,$R17),IF($S17=$T$2,INDEX(TongVTSX!$M$3:$M$1500,$R17)*$V17*$H17,SUMPRODUCT((TongVTSX!$C$3:$C$1500=$D17)*(TongVTSX!$E$3:$E$1500=$F17)*(TongVTSX!$S$3:$S$1500=TongVTSX!$S$2)*(TongVTSX!$O$3:$O$1500))))</f>
        <v>115086</v>
      </c>
      <c r="P17" s="1150">
        <f ca="1">IF($S17=$T$7,INDEX(TongVTSX!$O$3:$O$1500,$R17),IF($S17=$T$2,INDEX(TongVTSX!$M$3:$M$1500,$R17)*$I17*$V17,SUMPRODUCT((TongVTSX!$C$3:$C$1500=$D17)*(TongVTSX!$E$3:$E$1500=$F17)*(TongVTSX!$S$3:$S$1500=TongVTSX!$S$2)*(TongVTSX!$O$3:$O$1500))))</f>
        <v>115086</v>
      </c>
      <c r="Q17" s="1155" t="str">
        <f ca="1">IFERROR(INDEX(NVLSX!$AA$2:$AA$6756,MATCH($D17,NVLSX!$E$2:$E$6756,0)),"")</f>
        <v>GHI NƠI CẤP BÊN NVLSX CỘT AA</v>
      </c>
      <c r="R17" s="75">
        <f ca="1">IF(S17="","",IF(S17&lt;&gt;S16,IF(TYPE(MATCH(S17,TongVTSX!$Q$3:$Q$1500,0))=16,"",MATCH(S17,TongVTSX!$Q$3:$Q$1500,0)),IF(TYPE(MATCH(S17,OFFSET(TongVTSX!$Q$3,R16,0):'TongVTSX'!$Q$1500,0)+R16)=16,"",MATCH(S17,OFFSET(TongVTSX!$Q$3,R16,0):'TongVTSX'!$Q$1500,0)+R16)))</f>
        <v>18</v>
      </c>
      <c r="S17" s="76" t="str">
        <f ca="1">IFERROR(IF(COUNTIF($S$3:S16,S16)&lt; INDEX($U$1:$U$7,MATCH($S16,$T$1:$T$7,0)),$S16,INDEX($T$1:$T$7,MATCH($S16,$T$1:$T$7,0)+1)),"")</f>
        <v>GI</v>
      </c>
      <c r="V17" s="1133" t="str">
        <f ca="1">IFERROR(INDEX(NVLSX!$U$2:$U$6941,MATCH($D17,NVLSX!$E$2:$E$6941,0)),"")</f>
        <v/>
      </c>
      <c r="W17" s="1143"/>
      <c r="X17" s="1143"/>
    </row>
    <row r="18" spans="1:24">
      <c r="A18" s="728">
        <f t="shared" ca="1" si="0"/>
        <v>3</v>
      </c>
      <c r="B18" s="1146" t="str">
        <f ca="1">IFERROR(INDEX(NVLSX!$Y$2:$Y$6756,MATCH($D18,NVLSX!$E$2:$E$6756,0)),"")</f>
        <v>GHI TÊN NCC BÊN NVLSX CỘT Y</v>
      </c>
      <c r="C18" s="1146" t="str">
        <f ca="1">IFERROR(INDEX(NVLSX!$Z$2:$Z$6756,MATCH($D18,NVLSX!$E$2:$E$6756,0)),"")</f>
        <v>GHI TÊN HÃNG BÊN NVLSX CỘT Z</v>
      </c>
      <c r="D18" s="729" t="str">
        <f ca="1">IF($R18="","",INDEX(TongVTSX!C$3:C$1500,$R18))</f>
        <v>5*7</v>
      </c>
      <c r="E18" s="729" t="str">
        <f ca="1">IF($R18="","",IF($S18=$T$7,INDEX(TongVTSX!D$3:D$1500,$R18) &amp;  " (" &amp; INDEX(TongVTSX!A$3:A$1500,$R18) &amp; ")",INDEX(TongVTSX!D$3:D$1500,$R18)))</f>
        <v>Lông nheo 5*7</v>
      </c>
      <c r="F18" s="874" t="str">
        <f ca="1">IF($R18="","",IF($S18&lt;&gt;NVLSX!$N$6492,INDEX(TongVTSX!E$3:E$1500,$R18),INDEX(TongVTSX!G$3:G$1500,$R18)))</f>
        <v>T/C</v>
      </c>
      <c r="G18" s="730" t="str">
        <f ca="1">IF($R18="","",INDEX(TongVTSX!F$3:F$1500,$R18))</f>
        <v>mm</v>
      </c>
      <c r="H18" s="731">
        <f ca="1">IF($S18=$T$7,INDEX(TongVTSX!$K$3:$K$1500,$R18)/INDEX(TongVTSX!$G$3:$G$1500,$R18),IF($S18=$T$2,ROUNDUP(SUMPRODUCT((TongVTSX!$C$3:$C$1500=$D18)*(TongVTSX!$E$3:$E$1500=$F18)*(TongVTSX!$S$3:$S$1500=TongVTSX!$S$2)*(TongVTSX!$K$3:$K$1500))/$V18,0),SUMPRODUCT((TongVTSX!$C$3:$C$1500=$D18)*(TongVTSX!$E$3:$E$1500=$F18)*(TongVTSX!$S$3:$S$1500=TongVTSX!$S$2)*(TongVTSX!$K$3:$K$1500))))</f>
        <v>7040.0000000000009</v>
      </c>
      <c r="I18" s="731">
        <f ca="1">IF($S18=$T$2,ROUNDUP(SUMPRODUCT((TongVTSX!$C$3:$C$1500=$D18)*(TongVTSX!$E$3:$E$1500=$F18)*(TongVTSX!$S$3:$S$1500=TongVTSX!$S$2)*(TongVTSX!$K$3:$K$1500))/$V18,2),0)</f>
        <v>0</v>
      </c>
      <c r="J18" s="731"/>
      <c r="K18" s="731"/>
      <c r="L18" s="732"/>
      <c r="M18" s="732" t="str">
        <f t="shared" ca="1" si="1"/>
        <v/>
      </c>
      <c r="N18" s="732"/>
      <c r="O18" s="732">
        <f ca="1">IF($S18=$T$7,INDEX(TongVTSX!$O$3:$O$1500,$R18),IF($S18=$T$2,INDEX(TongVTSX!$M$3:$M$1500,$R18)*$V18*$H18,SUMPRODUCT((TongVTSX!$C$3:$C$1500=$D18)*(TongVTSX!$E$3:$E$1500=$F18)*(TongVTSX!$S$3:$S$1500=TongVTSX!$S$2)*(TongVTSX!$O$3:$O$1500))))</f>
        <v>42240</v>
      </c>
      <c r="P18" s="1150">
        <f ca="1">IF($S18=$T$7,INDEX(TongVTSX!$O$3:$O$1500,$R18),IF($S18=$T$2,INDEX(TongVTSX!$M$3:$M$1500,$R18)*$I18*$V18,SUMPRODUCT((TongVTSX!$C$3:$C$1500=$D18)*(TongVTSX!$E$3:$E$1500=$F18)*(TongVTSX!$S$3:$S$1500=TongVTSX!$S$2)*(TongVTSX!$O$3:$O$1500))))</f>
        <v>42240</v>
      </c>
      <c r="Q18" s="1155" t="str">
        <f ca="1">IFERROR(INDEX(NVLSX!$AA$2:$AA$6756,MATCH($D18,NVLSX!$E$2:$E$6756,0)),"")</f>
        <v>GHI NƠI CẤP BÊN NVLSX CỘT AA</v>
      </c>
      <c r="R18" s="75">
        <f ca="1">IF(S18="","",IF(S18&lt;&gt;S17,IF(TYPE(MATCH(S18,TongVTSX!$Q$3:$Q$1500,0))=16,"",MATCH(S18,TongVTSX!$Q$3:$Q$1500,0)),IF(TYPE(MATCH(S18,OFFSET(TongVTSX!$Q$3,R17,0):'TongVTSX'!$Q$1500,0)+R17)=16,"",MATCH(S18,OFFSET(TongVTSX!$Q$3,R17,0):'TongVTSX'!$Q$1500,0)+R17)))</f>
        <v>19</v>
      </c>
      <c r="S18" s="76" t="str">
        <f ca="1">IFERROR(IF(COUNTIF($S$3:S17,S17)&lt; INDEX($U$1:$U$7,MATCH($S17,$T$1:$T$7,0)),$S17,INDEX($T$1:$T$7,MATCH($S17,$T$1:$T$7,0)+1)),"")</f>
        <v>GI</v>
      </c>
      <c r="V18" s="1133" t="str">
        <f ca="1">IFERROR(INDEX(NVLSX!$U$2:$U$6941,MATCH($D18,NVLSX!$E$2:$E$6941,0)),"")</f>
        <v/>
      </c>
      <c r="W18" s="1143"/>
      <c r="X18" s="1143"/>
    </row>
    <row r="19" spans="1:24">
      <c r="A19" s="728">
        <f t="shared" ca="1" si="0"/>
        <v>1</v>
      </c>
      <c r="B19" s="1146" t="str">
        <f ca="1">IFERROR(INDEX(NVLSX!$Y$2:$Y$6756,MATCH($D19,NVLSX!$E$2:$E$6756,0)),"")</f>
        <v>GHI TÊN NCC BÊN NVLSX CỘT Y</v>
      </c>
      <c r="C19" s="1146" t="str">
        <f ca="1">IFERROR(INDEX(NVLSX!$Z$2:$Z$6756,MATCH($D19,NVLSX!$E$2:$E$6756,0)),"")</f>
        <v>GHI TÊN HÃNG BÊN NVLSX CỘT Z</v>
      </c>
      <c r="D19" s="729" t="str">
        <f ca="1">IF($R19="","",INDEX(TongVTSX!C$3:C$1500,$R19))</f>
        <v>VCF347</v>
      </c>
      <c r="E19" s="729" t="str">
        <f ca="1">IF($R19="","",IF($S19=$T$7,INDEX(TongVTSX!D$3:D$1500,$R19) &amp;  " (" &amp; INDEX(TongVTSX!A$3:A$1500,$R19) &amp; ")",INDEX(TongVTSX!D$3:D$1500,$R19)))</f>
        <v>Ke vĩnh cửu KB &amp; cánh đi XF55 31*41</v>
      </c>
      <c r="F19" s="874" t="str">
        <f ca="1">IF($R19="","",IF($S19&lt;&gt;NVLSX!$N$6492,INDEX(TongVTSX!E$3:E$1500,$R19),INDEX(TongVTSX!G$3:G$1500,$R19)))</f>
        <v>T/C</v>
      </c>
      <c r="G19" s="730" t="str">
        <f ca="1">IF($R19="","",INDEX(TongVTSX!F$3:F$1500,$R19))</f>
        <v>Cái</v>
      </c>
      <c r="H19" s="731">
        <f ca="1">IF($S19=$T$7,INDEX(TongVTSX!$K$3:$K$1500,$R19)/INDEX(TongVTSX!$G$3:$G$1500,$R19),IF($S19=$T$2,ROUNDUP(SUMPRODUCT((TongVTSX!$C$3:$C$1500=$D19)*(TongVTSX!$E$3:$E$1500=$F19)*(TongVTSX!$S$3:$S$1500=TongVTSX!$S$2)*(TongVTSX!$K$3:$K$1500))/$V19,0),SUMPRODUCT((TongVTSX!$C$3:$C$1500=$D19)*(TongVTSX!$E$3:$E$1500=$F19)*(TongVTSX!$S$3:$S$1500=TongVTSX!$S$2)*(TongVTSX!$K$3:$K$1500))))</f>
        <v>12</v>
      </c>
      <c r="I19" s="731">
        <f ca="1">IF($S19=$T$2,ROUNDUP(SUMPRODUCT((TongVTSX!$C$3:$C$1500=$D19)*(TongVTSX!$E$3:$E$1500=$F19)*(TongVTSX!$S$3:$S$1500=TongVTSX!$S$2)*(TongVTSX!$K$3:$K$1500))/$V19,2),0)</f>
        <v>0</v>
      </c>
      <c r="J19" s="731"/>
      <c r="K19" s="731"/>
      <c r="L19" s="732"/>
      <c r="M19" s="732" t="str">
        <f t="shared" ca="1" si="1"/>
        <v/>
      </c>
      <c r="N19" s="732"/>
      <c r="O19" s="732">
        <f ca="1">IF($S19=$T$7,INDEX(TongVTSX!$O$3:$O$1500,$R19),IF($S19=$T$2,INDEX(TongVTSX!$M$3:$M$1500,$R19)*$V19*$H19,SUMPRODUCT((TongVTSX!$C$3:$C$1500=$D19)*(TongVTSX!$E$3:$E$1500=$F19)*(TongVTSX!$S$3:$S$1500=TongVTSX!$S$2)*(TongVTSX!$O$3:$O$1500))))</f>
        <v>112800</v>
      </c>
      <c r="P19" s="1150">
        <f ca="1">IF($S19=$T$7,INDEX(TongVTSX!$O$3:$O$1500,$R19),IF($S19=$T$2,INDEX(TongVTSX!$M$3:$M$1500,$R19)*$I19*$V19,SUMPRODUCT((TongVTSX!$C$3:$C$1500=$D19)*(TongVTSX!$E$3:$E$1500=$F19)*(TongVTSX!$S$3:$S$1500=TongVTSX!$S$2)*(TongVTSX!$O$3:$O$1500))))</f>
        <v>112800</v>
      </c>
      <c r="Q19" s="1155" t="str">
        <f ca="1">IFERROR(INDEX(NVLSX!$AA$2:$AA$6756,MATCH($D19,NVLSX!$E$2:$E$6756,0)),"")</f>
        <v>GHI NƠI CẤP BÊN NVLSX CỘT AA</v>
      </c>
      <c r="R19" s="75">
        <f ca="1">IF(S19="","",IF(S19&lt;&gt;S18,IF(TYPE(MATCH(S19,TongVTSX!$Q$3:$Q$1500,0))=16,"",MATCH(S19,TongVTSX!$Q$3:$Q$1500,0)),IF(TYPE(MATCH(S19,OFFSET(TongVTSX!$Q$3,R18,0):'TongVTSX'!$Q$1500,0)+R18)=16,"",MATCH(S19,OFFSET(TongVTSX!$Q$3,R18,0):'TongVTSX'!$Q$1500,0)+R18)))</f>
        <v>20</v>
      </c>
      <c r="S19" s="76" t="str">
        <f ca="1">IFERROR(IF(COUNTIF($S$3:S18,S18)&lt; INDEX($U$1:$U$7,MATCH($S18,$T$1:$T$7,0)),$S18,INDEX($T$1:$T$7,MATCH($S18,$T$1:$T$7,0)+1)),"")</f>
        <v>VTSX</v>
      </c>
      <c r="V19" s="1133" t="str">
        <f ca="1">IFERROR(INDEX(NVLSX!$U$2:$U$6941,MATCH($D19,NVLSX!$E$2:$E$6941,0)),"")</f>
        <v/>
      </c>
      <c r="W19" s="1143"/>
      <c r="X19" s="1143"/>
    </row>
    <row r="20" spans="1:24">
      <c r="A20" s="728">
        <f t="shared" ca="1" si="0"/>
        <v>2</v>
      </c>
      <c r="B20" s="1146" t="str">
        <f ca="1">IFERROR(INDEX(NVLSX!$Y$2:$Y$6756,MATCH($D20,NVLSX!$E$2:$E$6756,0)),"")</f>
        <v>GHI TÊN NCC BÊN NVLSX CỘT Y</v>
      </c>
      <c r="C20" s="1146" t="str">
        <f ca="1">IFERROR(INDEX(NVLSX!$Z$2:$Z$6756,MATCH($D20,NVLSX!$E$2:$E$6756,0)),"")</f>
        <v>GHI TÊN HÃNG BÊN NVLSX CỘT Z</v>
      </c>
      <c r="D20" s="729" t="str">
        <f ca="1">IF($R20="","",INDEX(TongVTSX!C$3:C$1500,$R20))</f>
        <v>OcKeVC</v>
      </c>
      <c r="E20" s="729" t="str">
        <f ca="1">IF($R20="","",IF($S20=$T$7,INDEX(TongVTSX!D$3:D$1500,$R20) &amp;  " (" &amp; INDEX(TongVTSX!A$3:A$1500,$R20) &amp; ")",INDEX(TongVTSX!D$3:D$1500,$R20)))</f>
        <v>Ốc bắt ke vĩnh cửu</v>
      </c>
      <c r="F20" s="874" t="str">
        <f ca="1">IF($R20="","",IF($S20&lt;&gt;NVLSX!$N$6492,INDEX(TongVTSX!E$3:E$1500,$R20),INDEX(TongVTSX!G$3:G$1500,$R20)))</f>
        <v>T/C</v>
      </c>
      <c r="G20" s="730" t="str">
        <f ca="1">IF($R20="","",INDEX(TongVTSX!F$3:F$1500,$R20))</f>
        <v>Cái</v>
      </c>
      <c r="H20" s="731">
        <f ca="1">IF($S20=$T$7,INDEX(TongVTSX!$K$3:$K$1500,$R20)/INDEX(TongVTSX!$G$3:$G$1500,$R20),IF($S20=$T$2,ROUNDUP(SUMPRODUCT((TongVTSX!$C$3:$C$1500=$D20)*(TongVTSX!$E$3:$E$1500=$F20)*(TongVTSX!$S$3:$S$1500=TongVTSX!$S$2)*(TongVTSX!$K$3:$K$1500))/$V20,0),SUMPRODUCT((TongVTSX!$C$3:$C$1500=$D20)*(TongVTSX!$E$3:$E$1500=$F20)*(TongVTSX!$S$3:$S$1500=TongVTSX!$S$2)*(TongVTSX!$K$3:$K$1500))))</f>
        <v>48</v>
      </c>
      <c r="I20" s="731">
        <f ca="1">IF($S20=$T$2,ROUNDUP(SUMPRODUCT((TongVTSX!$C$3:$C$1500=$D20)*(TongVTSX!$E$3:$E$1500=$F20)*(TongVTSX!$S$3:$S$1500=TongVTSX!$S$2)*(TongVTSX!$K$3:$K$1500))/$V20,2),0)</f>
        <v>0</v>
      </c>
      <c r="J20" s="731"/>
      <c r="K20" s="731"/>
      <c r="L20" s="732"/>
      <c r="M20" s="732" t="str">
        <f t="shared" ca="1" si="1"/>
        <v/>
      </c>
      <c r="N20" s="732"/>
      <c r="O20" s="732">
        <f ca="1">IF($S20=$T$7,INDEX(TongVTSX!$O$3:$O$1500,$R20),IF($S20=$T$2,INDEX(TongVTSX!$M$3:$M$1500,$R20)*$V20*$H20,SUMPRODUCT((TongVTSX!$C$3:$C$1500=$D20)*(TongVTSX!$E$3:$E$1500=$F20)*(TongVTSX!$S$3:$S$1500=TongVTSX!$S$2)*(TongVTSX!$O$3:$O$1500))))</f>
        <v>28800</v>
      </c>
      <c r="P20" s="1150">
        <f ca="1">IF($S20=$T$7,INDEX(TongVTSX!$O$3:$O$1500,$R20),IF($S20=$T$2,INDEX(TongVTSX!$M$3:$M$1500,$R20)*$I20*$V20,SUMPRODUCT((TongVTSX!$C$3:$C$1500=$D20)*(TongVTSX!$E$3:$E$1500=$F20)*(TongVTSX!$S$3:$S$1500=TongVTSX!$S$2)*(TongVTSX!$O$3:$O$1500))))</f>
        <v>28800</v>
      </c>
      <c r="Q20" s="1155" t="str">
        <f ca="1">IFERROR(INDEX(NVLSX!$AA$2:$AA$6756,MATCH($D20,NVLSX!$E$2:$E$6756,0)),"")</f>
        <v>GHI NƠI CẤP BÊN NVLSX CỘT AA</v>
      </c>
      <c r="R20" s="75">
        <f ca="1">IF(S20="","",IF(S20&lt;&gt;S19,IF(TYPE(MATCH(S20,TongVTSX!$Q$3:$Q$1500,0))=16,"",MATCH(S20,TongVTSX!$Q$3:$Q$1500,0)),IF(TYPE(MATCH(S20,OFFSET(TongVTSX!$Q$3,R19,0):'TongVTSX'!$Q$1500,0)+R19)=16,"",MATCH(S20,OFFSET(TongVTSX!$Q$3,R19,0):'TongVTSX'!$Q$1500,0)+R19)))</f>
        <v>21</v>
      </c>
      <c r="S20" s="76" t="str">
        <f ca="1">IFERROR(IF(COUNTIF($S$3:S19,S19)&lt; INDEX($U$1:$U$7,MATCH($S19,$T$1:$T$7,0)),$S19,INDEX($T$1:$T$7,MATCH($S19,$T$1:$T$7,0)+1)),"")</f>
        <v>VTSX</v>
      </c>
      <c r="V20" s="1133" t="str">
        <f ca="1">IFERROR(INDEX(NVLSX!$U$2:$U$6941,MATCH($D20,NVLSX!$E$2:$E$6941,0)),"")</f>
        <v/>
      </c>
      <c r="W20" s="1143"/>
      <c r="X20" s="1143"/>
    </row>
    <row r="21" spans="1:24">
      <c r="A21" s="728">
        <f t="shared" ca="1" si="0"/>
        <v>3</v>
      </c>
      <c r="B21" s="1146" t="str">
        <f ca="1">IFERROR(INDEX(NVLSX!$Y$2:$Y$6756,MATCH($D21,NVLSX!$E$2:$E$6756,0)),"")</f>
        <v>GHI TÊN NCC BÊN NVLSX CỘT Y</v>
      </c>
      <c r="C21" s="1146" t="str">
        <f ca="1">IFERROR(INDEX(NVLSX!$Z$2:$Z$6756,MATCH($D21,NVLSX!$E$2:$E$6756,0)),"")</f>
        <v>GHI TÊN HÃNG BÊN NVLSX CỘT Z</v>
      </c>
      <c r="D21" s="729" t="str">
        <f ca="1">IF($R21="","",INDEX(TongVTSX!C$3:C$1500,$R21))</f>
        <v>KTCXF55</v>
      </c>
      <c r="E21" s="729" t="str">
        <f ca="1">IF($R21="","",IF($S21=$T$7,INDEX(TongVTSX!D$3:D$1500,$R21) &amp;  " (" &amp; INDEX(TongVTSX!A$3:A$1500,$R21) &amp; ")",INDEX(TongVTSX!D$3:D$1500,$R21)))</f>
        <v>Ke tăng cứng XF55</v>
      </c>
      <c r="F21" s="874" t="str">
        <f ca="1">IF($R21="","",IF($S21&lt;&gt;NVLSX!$N$6492,INDEX(TongVTSX!E$3:E$1500,$R21),INDEX(TongVTSX!G$3:G$1500,$R21)))</f>
        <v>T/C</v>
      </c>
      <c r="G21" s="730" t="str">
        <f ca="1">IF($R21="","",INDEX(TongVTSX!F$3:F$1500,$R21))</f>
        <v>Cái</v>
      </c>
      <c r="H21" s="731">
        <f ca="1">IF($S21=$T$7,INDEX(TongVTSX!$K$3:$K$1500,$R21)/INDEX(TongVTSX!$G$3:$G$1500,$R21),IF($S21=$T$2,ROUNDUP(SUMPRODUCT((TongVTSX!$C$3:$C$1500=$D21)*(TongVTSX!$E$3:$E$1500=$F21)*(TongVTSX!$S$3:$S$1500=TongVTSX!$S$2)*(TongVTSX!$K$3:$K$1500))/$V21,0),SUMPRODUCT((TongVTSX!$C$3:$C$1500=$D21)*(TongVTSX!$E$3:$E$1500=$F21)*(TongVTSX!$S$3:$S$1500=TongVTSX!$S$2)*(TongVTSX!$K$3:$K$1500))))</f>
        <v>20</v>
      </c>
      <c r="I21" s="731">
        <f ca="1">IF($S21=$T$2,ROUNDUP(SUMPRODUCT((TongVTSX!$C$3:$C$1500=$D21)*(TongVTSX!$E$3:$E$1500=$F21)*(TongVTSX!$S$3:$S$1500=TongVTSX!$S$2)*(TongVTSX!$K$3:$K$1500))/$V21,2),0)</f>
        <v>0</v>
      </c>
      <c r="J21" s="731"/>
      <c r="K21" s="731"/>
      <c r="L21" s="732"/>
      <c r="M21" s="732" t="str">
        <f t="shared" ca="1" si="1"/>
        <v/>
      </c>
      <c r="N21" s="732"/>
      <c r="O21" s="732">
        <f ca="1">IF($S21=$T$7,INDEX(TongVTSX!$O$3:$O$1500,$R21),IF($S21=$T$2,INDEX(TongVTSX!$M$3:$M$1500,$R21)*$V21*$H21,SUMPRODUCT((TongVTSX!$C$3:$C$1500=$D21)*(TongVTSX!$E$3:$E$1500=$F21)*(TongVTSX!$S$3:$S$1500=TongVTSX!$S$2)*(TongVTSX!$O$3:$O$1500))))</f>
        <v>8160</v>
      </c>
      <c r="P21" s="1150">
        <f ca="1">IF($S21=$T$7,INDEX(TongVTSX!$O$3:$O$1500,$R21),IF($S21=$T$2,INDEX(TongVTSX!$M$3:$M$1500,$R21)*$I21*$V21,SUMPRODUCT((TongVTSX!$C$3:$C$1500=$D21)*(TongVTSX!$E$3:$E$1500=$F21)*(TongVTSX!$S$3:$S$1500=TongVTSX!$S$2)*(TongVTSX!$O$3:$O$1500))))</f>
        <v>8160</v>
      </c>
      <c r="Q21" s="1155" t="str">
        <f ca="1">IFERROR(INDEX(NVLSX!$AA$2:$AA$6756,MATCH($D21,NVLSX!$E$2:$E$6756,0)),"")</f>
        <v>GHI NƠI CẤP BÊN NVLSX CỘT AA</v>
      </c>
      <c r="R21" s="75">
        <f ca="1">IF(S21="","",IF(S21&lt;&gt;S20,IF(TYPE(MATCH(S21,TongVTSX!$Q$3:$Q$1500,0))=16,"",MATCH(S21,TongVTSX!$Q$3:$Q$1500,0)),IF(TYPE(MATCH(S21,OFFSET(TongVTSX!$Q$3,R20,0):'TongVTSX'!$Q$1500,0)+R20)=16,"",MATCH(S21,OFFSET(TongVTSX!$Q$3,R20,0):'TongVTSX'!$Q$1500,0)+R20)))</f>
        <v>22</v>
      </c>
      <c r="S21" s="76" t="str">
        <f ca="1">IFERROR(IF(COUNTIF($S$3:S20,S20)&lt; INDEX($U$1:$U$7,MATCH($S20,$T$1:$T$7,0)),$S20,INDEX($T$1:$T$7,MATCH($S20,$T$1:$T$7,0)+1)),"")</f>
        <v>VTSX</v>
      </c>
      <c r="V21" s="1133" t="str">
        <f ca="1">IFERROR(INDEX(NVLSX!$U$2:$U$6941,MATCH($D21,NVLSX!$E$2:$E$6941,0)),"")</f>
        <v/>
      </c>
      <c r="W21" s="1143"/>
      <c r="X21" s="1143"/>
    </row>
    <row r="22" spans="1:24">
      <c r="A22" s="728">
        <f t="shared" ca="1" si="0"/>
        <v>4</v>
      </c>
      <c r="B22" s="1146" t="str">
        <f ca="1">IFERROR(INDEX(NVLSX!$Y$2:$Y$6756,MATCH($D22,NVLSX!$E$2:$E$6756,0)),"")</f>
        <v>GHI TÊN NCC BÊN NVLSX CỘT Y</v>
      </c>
      <c r="C22" s="1146" t="str">
        <f ca="1">IFERROR(INDEX(NVLSX!$Z$2:$Z$6756,MATCH($D22,NVLSX!$E$2:$E$6756,0)),"")</f>
        <v>GHI TÊN HÃNG BÊN NVLSX CỘT Z</v>
      </c>
      <c r="D22" s="729" t="str">
        <f ca="1">IF($R22="","",INDEX(TongVTSX!C$3:C$1500,$R22))</f>
        <v>NK</v>
      </c>
      <c r="E22" s="729" t="str">
        <f ca="1">IF($R22="","",IF($S22=$T$7,INDEX(TongVTSX!D$3:D$1500,$R22) &amp;  " (" &amp; INDEX(TongVTSX!A$3:A$1500,$R22) &amp; ")",INDEX(TongVTSX!D$3:D$1500,$R22)))</f>
        <v>Đệm chèn kính GĐSX</v>
      </c>
      <c r="F22" s="874" t="str">
        <f ca="1">IF($R22="","",IF($S22&lt;&gt;NVLSX!$N$6492,INDEX(TongVTSX!E$3:E$1500,$R22),INDEX(TongVTSX!G$3:G$1500,$R22)))</f>
        <v>T/C</v>
      </c>
      <c r="G22" s="730" t="str">
        <f ca="1">IF($R22="","",INDEX(TongVTSX!F$3:F$1500,$R22))</f>
        <v>Gram</v>
      </c>
      <c r="H22" s="731">
        <f ca="1">IF($S22=$T$7,INDEX(TongVTSX!$K$3:$K$1500,$R22)/INDEX(TongVTSX!$G$3:$G$1500,$R22),IF($S22=$T$2,ROUNDUP(SUMPRODUCT((TongVTSX!$C$3:$C$1500=$D22)*(TongVTSX!$E$3:$E$1500=$F22)*(TongVTSX!$S$3:$S$1500=TongVTSX!$S$2)*(TongVTSX!$K$3:$K$1500))/$V22,0),SUMPRODUCT((TongVTSX!$C$3:$C$1500=$D22)*(TongVTSX!$E$3:$E$1500=$F22)*(TongVTSX!$S$3:$S$1500=TongVTSX!$S$2)*(TongVTSX!$K$3:$K$1500))))</f>
        <v>88</v>
      </c>
      <c r="I22" s="731">
        <f ca="1">IF($S22=$T$2,ROUNDUP(SUMPRODUCT((TongVTSX!$C$3:$C$1500=$D22)*(TongVTSX!$E$3:$E$1500=$F22)*(TongVTSX!$S$3:$S$1500=TongVTSX!$S$2)*(TongVTSX!$K$3:$K$1500))/$V22,2),0)</f>
        <v>0</v>
      </c>
      <c r="J22" s="731"/>
      <c r="K22" s="731"/>
      <c r="L22" s="732"/>
      <c r="M22" s="732" t="str">
        <f t="shared" ca="1" si="1"/>
        <v/>
      </c>
      <c r="N22" s="732"/>
      <c r="O22" s="732">
        <f ca="1">IF($S22=$T$7,INDEX(TongVTSX!$O$3:$O$1500,$R22),IF($S22=$T$2,INDEX(TongVTSX!$M$3:$M$1500,$R22)*$V22*$H22,SUMPRODUCT((TongVTSX!$C$3:$C$1500=$D22)*(TongVTSX!$E$3:$E$1500=$F22)*(TongVTSX!$S$3:$S$1500=TongVTSX!$S$2)*(TongVTSX!$O$3:$O$1500))))</f>
        <v>3520</v>
      </c>
      <c r="P22" s="1150">
        <f ca="1">IF($S22=$T$7,INDEX(TongVTSX!$O$3:$O$1500,$R22),IF($S22=$T$2,INDEX(TongVTSX!$M$3:$M$1500,$R22)*$I22*$V22,SUMPRODUCT((TongVTSX!$C$3:$C$1500=$D22)*(TongVTSX!$E$3:$E$1500=$F22)*(TongVTSX!$S$3:$S$1500=TongVTSX!$S$2)*(TongVTSX!$O$3:$O$1500))))</f>
        <v>3520</v>
      </c>
      <c r="Q22" s="1155" t="str">
        <f ca="1">IFERROR(INDEX(NVLSX!$AA$2:$AA$6756,MATCH($D22,NVLSX!$E$2:$E$6756,0)),"")</f>
        <v>GHI NƠI CẤP BÊN NVLSX CỘT AA</v>
      </c>
      <c r="R22" s="75">
        <f ca="1">IF(S22="","",IF(S22&lt;&gt;S21,IF(TYPE(MATCH(S22,TongVTSX!$Q$3:$Q$1500,0))=16,"",MATCH(S22,TongVTSX!$Q$3:$Q$1500,0)),IF(TYPE(MATCH(S22,OFFSET(TongVTSX!$Q$3,R21,0):'TongVTSX'!$Q$1500,0)+R21)=16,"",MATCH(S22,OFFSET(TongVTSX!$Q$3,R21,0):'TongVTSX'!$Q$1500,0)+R21)))</f>
        <v>23</v>
      </c>
      <c r="S22" s="76" t="str">
        <f ca="1">IFERROR(IF(COUNTIF($S$3:S21,S21)&lt; INDEX($U$1:$U$7,MATCH($S21,$T$1:$T$7,0)),$S21,INDEX($T$1:$T$7,MATCH($S21,$T$1:$T$7,0)+1)),"")</f>
        <v>VTSX</v>
      </c>
      <c r="V22" s="1133" t="str">
        <f ca="1">IFERROR(INDEX(NVLSX!$U$2:$U$6941,MATCH($D22,NVLSX!$E$2:$E$6941,0)),"")</f>
        <v/>
      </c>
      <c r="W22" s="1143"/>
      <c r="X22" s="1143"/>
    </row>
    <row r="23" spans="1:24">
      <c r="A23" s="728">
        <f t="shared" ca="1" si="0"/>
        <v>5</v>
      </c>
      <c r="B23" s="1146" t="str">
        <f ca="1">IFERROR(INDEX(NVLSX!$Y$2:$Y$6756,MATCH($D23,NVLSX!$E$2:$E$6756,0)),"")</f>
        <v>GHI TÊN NCC BÊN NVLSX CỘT Y</v>
      </c>
      <c r="C23" s="1146" t="str">
        <f ca="1">IFERROR(INDEX(NVLSX!$Z$2:$Z$6756,MATCH($D23,NVLSX!$E$2:$E$6756,0)),"")</f>
        <v>GHI TÊN HÃNG BÊN NVLSX CỘT Z</v>
      </c>
      <c r="D23" s="729" t="str">
        <f ca="1">IF($R23="","",INDEX(TongVTSX!C$3:C$1500,$R23))</f>
        <v>VTKDBDC-M3.9*20-XCR</v>
      </c>
      <c r="E23" s="729" t="str">
        <f ca="1">IF($R23="","",IF($S23=$T$7,INDEX(TongVTSX!D$3:D$1500,$R23) &amp;  " (" &amp; INDEX(TongVTSX!A$3:A$1500,$R23) &amp; ")",INDEX(TongVTSX!D$3:D$1500,$R23)))</f>
        <v>Vít tự khoan đầu bằng đuôi cá M3.9*20 xi chống rỉ</v>
      </c>
      <c r="F23" s="874" t="str">
        <f ca="1">IF($R23="","",IF($S23&lt;&gt;NVLSX!$N$6492,INDEX(TongVTSX!E$3:E$1500,$R23),INDEX(TongVTSX!G$3:G$1500,$R23)))</f>
        <v>T/C</v>
      </c>
      <c r="G23" s="730" t="str">
        <f ca="1">IF($R23="","",INDEX(TongVTSX!F$3:F$1500,$R23))</f>
        <v>Con</v>
      </c>
      <c r="H23" s="731">
        <f ca="1">IF($S23=$T$7,INDEX(TongVTSX!$K$3:$K$1500,$R23)/INDEX(TongVTSX!$G$3:$G$1500,$R23),IF($S23=$T$2,ROUNDUP(SUMPRODUCT((TongVTSX!$C$3:$C$1500=$D23)*(TongVTSX!$E$3:$E$1500=$F23)*(TongVTSX!$S$3:$S$1500=TongVTSX!$S$2)*(TongVTSX!$K$3:$K$1500))/$V23,0),SUMPRODUCT((TongVTSX!$C$3:$C$1500=$D23)*(TongVTSX!$E$3:$E$1500=$F23)*(TongVTSX!$S$3:$S$1500=TongVTSX!$S$2)*(TongVTSX!$K$3:$K$1500))))</f>
        <v>12</v>
      </c>
      <c r="I23" s="731">
        <f ca="1">IF($S23=$T$2,ROUNDUP(SUMPRODUCT((TongVTSX!$C$3:$C$1500=$D23)*(TongVTSX!$E$3:$E$1500=$F23)*(TongVTSX!$S$3:$S$1500=TongVTSX!$S$2)*(TongVTSX!$K$3:$K$1500))/$V23,2),0)</f>
        <v>0</v>
      </c>
      <c r="J23" s="731"/>
      <c r="K23" s="731"/>
      <c r="L23" s="732"/>
      <c r="M23" s="732" t="str">
        <f t="shared" ca="1" si="1"/>
        <v/>
      </c>
      <c r="N23" s="732"/>
      <c r="O23" s="732">
        <f ca="1">IF($S23=$T$7,INDEX(TongVTSX!$O$3:$O$1500,$R23),IF($S23=$T$2,INDEX(TongVTSX!$M$3:$M$1500,$R23)*$V23*$H23,SUMPRODUCT((TongVTSX!$C$3:$C$1500=$D23)*(TongVTSX!$E$3:$E$1500=$F23)*(TongVTSX!$S$3:$S$1500=TongVTSX!$S$2)*(TongVTSX!$O$3:$O$1500))))</f>
        <v>1680</v>
      </c>
      <c r="P23" s="1150">
        <f ca="1">IF($S23=$T$7,INDEX(TongVTSX!$O$3:$O$1500,$R23),IF($S23=$T$2,INDEX(TongVTSX!$M$3:$M$1500,$R23)*$I23*$V23,SUMPRODUCT((TongVTSX!$C$3:$C$1500=$D23)*(TongVTSX!$E$3:$E$1500=$F23)*(TongVTSX!$S$3:$S$1500=TongVTSX!$S$2)*(TongVTSX!$O$3:$O$1500))))</f>
        <v>1680</v>
      </c>
      <c r="Q23" s="1155" t="str">
        <f ca="1">IFERROR(INDEX(NVLSX!$AA$2:$AA$6756,MATCH($D23,NVLSX!$E$2:$E$6756,0)),"")</f>
        <v>GHI NƠI CẤP BÊN NVLSX CỘT AA</v>
      </c>
      <c r="R23" s="75">
        <f ca="1">IF(S23="","",IF(S23&lt;&gt;S22,IF(TYPE(MATCH(S23,TongVTSX!$Q$3:$Q$1500,0))=16,"",MATCH(S23,TongVTSX!$Q$3:$Q$1500,0)),IF(TYPE(MATCH(S23,OFFSET(TongVTSX!$Q$3,R22,0):'TongVTSX'!$Q$1500,0)+R22)=16,"",MATCH(S23,OFFSET(TongVTSX!$Q$3,R22,0):'TongVTSX'!$Q$1500,0)+R22)))</f>
        <v>24</v>
      </c>
      <c r="S23" s="76" t="str">
        <f ca="1">IFERROR(IF(COUNTIF($S$3:S22,S22)&lt; INDEX($U$1:$U$7,MATCH($S22,$T$1:$T$7,0)),$S22,INDEX($T$1:$T$7,MATCH($S22,$T$1:$T$7,0)+1)),"")</f>
        <v>VTSX</v>
      </c>
      <c r="V23" s="1133" t="str">
        <f ca="1">IFERROR(INDEX(NVLSX!$U$2:$U$6941,MATCH($D23,NVLSX!$E$2:$E$6941,0)),"")</f>
        <v/>
      </c>
      <c r="W23" s="1143"/>
      <c r="X23" s="1143"/>
    </row>
    <row r="24" spans="1:24">
      <c r="A24" s="728">
        <f t="shared" ca="1" si="0"/>
        <v>6</v>
      </c>
      <c r="B24" s="1146" t="str">
        <f ca="1">IFERROR(INDEX(NVLSX!$Y$2:$Y$6756,MATCH($D24,NVLSX!$E$2:$E$6756,0)),"")</f>
        <v>GHI TÊN NCC BÊN NVLSX CỘT Y</v>
      </c>
      <c r="C24" s="1146" t="str">
        <f ca="1">IFERROR(INDEX(NVLSX!$Z$2:$Z$6756,MATCH($D24,NVLSX!$E$2:$E$6756,0)),"")</f>
        <v>GHI TÊN HÃNG BÊN NVLSX CỘT Z</v>
      </c>
      <c r="D24" s="729" t="str">
        <f ca="1">IF($R24="","",INDEX(TongVTSX!C$3:C$1500,$R24))</f>
        <v>VTKDBDC-M3.9*30-XCR</v>
      </c>
      <c r="E24" s="729" t="str">
        <f ca="1">IF($R24="","",IF($S24=$T$7,INDEX(TongVTSX!D$3:D$1500,$R24) &amp;  " (" &amp; INDEX(TongVTSX!A$3:A$1500,$R24) &amp; ")",INDEX(TongVTSX!D$3:D$1500,$R24)))</f>
        <v>Vít tự khoan đầu bằng đuôi cá M3.9*30 xi chống rỉ</v>
      </c>
      <c r="F24" s="874" t="str">
        <f ca="1">IF($R24="","",IF($S24&lt;&gt;NVLSX!$N$6492,INDEX(TongVTSX!E$3:E$1500,$R24),INDEX(TongVTSX!G$3:G$1500,$R24)))</f>
        <v>T/C</v>
      </c>
      <c r="G24" s="730" t="str">
        <f ca="1">IF($R24="","",INDEX(TongVTSX!F$3:F$1500,$R24))</f>
        <v>Con</v>
      </c>
      <c r="H24" s="731">
        <f ca="1">IF($S24=$T$7,INDEX(TongVTSX!$K$3:$K$1500,$R24)/INDEX(TongVTSX!$G$3:$G$1500,$R24),IF($S24=$T$2,ROUNDUP(SUMPRODUCT((TongVTSX!$C$3:$C$1500=$D24)*(TongVTSX!$E$3:$E$1500=$F24)*(TongVTSX!$S$3:$S$1500=TongVTSX!$S$2)*(TongVTSX!$K$3:$K$1500))/$V24,0),SUMPRODUCT((TongVTSX!$C$3:$C$1500=$D24)*(TongVTSX!$E$3:$E$1500=$F24)*(TongVTSX!$S$3:$S$1500=TongVTSX!$S$2)*(TongVTSX!$K$3:$K$1500))))</f>
        <v>12</v>
      </c>
      <c r="I24" s="731">
        <f ca="1">IF($S24=$T$2,ROUNDUP(SUMPRODUCT((TongVTSX!$C$3:$C$1500=$D24)*(TongVTSX!$E$3:$E$1500=$F24)*(TongVTSX!$S$3:$S$1500=TongVTSX!$S$2)*(TongVTSX!$K$3:$K$1500))/$V24,2),0)</f>
        <v>0</v>
      </c>
      <c r="J24" s="731"/>
      <c r="K24" s="731"/>
      <c r="L24" s="732"/>
      <c r="M24" s="732" t="str">
        <f t="shared" ca="1" si="1"/>
        <v/>
      </c>
      <c r="N24" s="732"/>
      <c r="O24" s="732">
        <f ca="1">IF($S24=$T$7,INDEX(TongVTSX!$O$3:$O$1500,$R24),IF($S24=$T$2,INDEX(TongVTSX!$M$3:$M$1500,$R24)*$V24*$H24,SUMPRODUCT((TongVTSX!$C$3:$C$1500=$D24)*(TongVTSX!$E$3:$E$1500=$F24)*(TongVTSX!$S$3:$S$1500=TongVTSX!$S$2)*(TongVTSX!$O$3:$O$1500))))</f>
        <v>3864</v>
      </c>
      <c r="P24" s="1150">
        <f ca="1">IF($S24=$T$7,INDEX(TongVTSX!$O$3:$O$1500,$R24),IF($S24=$T$2,INDEX(TongVTSX!$M$3:$M$1500,$R24)*$I24*$V24,SUMPRODUCT((TongVTSX!$C$3:$C$1500=$D24)*(TongVTSX!$E$3:$E$1500=$F24)*(TongVTSX!$S$3:$S$1500=TongVTSX!$S$2)*(TongVTSX!$O$3:$O$1500))))</f>
        <v>3864</v>
      </c>
      <c r="Q24" s="1155" t="str">
        <f ca="1">IFERROR(INDEX(NVLSX!$AA$2:$AA$6756,MATCH($D24,NVLSX!$E$2:$E$6756,0)),"")</f>
        <v>GHI NƠI CẤP BÊN NVLSX CỘT AA</v>
      </c>
      <c r="R24" s="75">
        <f ca="1">IF(S24="","",IF(S24&lt;&gt;S23,IF(TYPE(MATCH(S24,TongVTSX!$Q$3:$Q$1500,0))=16,"",MATCH(S24,TongVTSX!$Q$3:$Q$1500,0)),IF(TYPE(MATCH(S24,OFFSET(TongVTSX!$Q$3,R23,0):'TongVTSX'!$Q$1500,0)+R23)=16,"",MATCH(S24,OFFSET(TongVTSX!$Q$3,R23,0):'TongVTSX'!$Q$1500,0)+R23)))</f>
        <v>25</v>
      </c>
      <c r="S24" s="76" t="str">
        <f ca="1">IFERROR(IF(COUNTIF($S$3:S23,S23)&lt; INDEX($U$1:$U$7,MATCH($S23,$T$1:$T$7,0)),$S23,INDEX($T$1:$T$7,MATCH($S23,$T$1:$T$7,0)+1)),"")</f>
        <v>VTSX</v>
      </c>
      <c r="V24" s="1133" t="str">
        <f ca="1">IFERROR(INDEX(NVLSX!$U$2:$U$6941,MATCH($D24,NVLSX!$E$2:$E$6941,0)),"")</f>
        <v/>
      </c>
      <c r="W24" s="1143"/>
      <c r="X24" s="1143"/>
    </row>
    <row r="25" spans="1:24">
      <c r="A25" s="728">
        <f t="shared" ca="1" si="0"/>
        <v>1</v>
      </c>
      <c r="B25" s="1146" t="str">
        <f ca="1">IFERROR(INDEX(NVLSX!$Y$2:$Y$6756,MATCH($D25,NVLSX!$E$2:$E$6756,0)),"")</f>
        <v>GHI TÊN NCC BÊN NVLSX CỘT Y</v>
      </c>
      <c r="C25" s="1146" t="str">
        <f ca="1">IFERROR(INDEX(NVLSX!$Z$2:$Z$6756,MATCH($D25,NVLSX!$E$2:$E$6756,0)),"")</f>
        <v>GHI TÊN HÃNG BÊN NVLSX CỘT Z</v>
      </c>
      <c r="D25" s="729" t="str">
        <f ca="1">IF($R25="","",INDEX(TongVTSX!C$3:C$1500,$R25))</f>
        <v>VLD</v>
      </c>
      <c r="E25" s="729" t="str">
        <f ca="1">IF($R25="","",IF($S25=$T$7,INDEX(TongVTSX!D$3:D$1500,$R25) &amp;  " (" &amp; INDEX(TongVTSX!A$3:A$1500,$R25) &amp; ")",INDEX(TongVTSX!D$3:D$1500,$R25)))</f>
        <v>Vít lắp đặt (+ tắc kê + nắp đậy) M10*100</v>
      </c>
      <c r="F25" s="874" t="str">
        <f ca="1">IF($R25="","",IF($S25&lt;&gt;NVLSX!$N$6492,INDEX(TongVTSX!E$3:E$1500,$R25),INDEX(TongVTSX!G$3:G$1500,$R25)))</f>
        <v>T/C</v>
      </c>
      <c r="G25" s="730" t="str">
        <f ca="1">IF($R25="","",INDEX(TongVTSX!F$3:F$1500,$R25))</f>
        <v>Con</v>
      </c>
      <c r="H25" s="731">
        <f ca="1">IF($S25=$T$7,INDEX(TongVTSX!$K$3:$K$1500,$R25)/INDEX(TongVTSX!$G$3:$G$1500,$R25),IF($S25=$T$2,ROUNDUP(SUMPRODUCT((TongVTSX!$C$3:$C$1500=$D25)*(TongVTSX!$E$3:$E$1500=$F25)*(TongVTSX!$S$3:$S$1500=TongVTSX!$S$2)*(TongVTSX!$K$3:$K$1500))/$V25,0),SUMPRODUCT((TongVTSX!$C$3:$C$1500=$D25)*(TongVTSX!$E$3:$E$1500=$F25)*(TongVTSX!$S$3:$S$1500=TongVTSX!$S$2)*(TongVTSX!$K$3:$K$1500))))</f>
        <v>22</v>
      </c>
      <c r="I25" s="731">
        <f ca="1">IF($S25=$T$2,ROUNDUP(SUMPRODUCT((TongVTSX!$C$3:$C$1500=$D25)*(TongVTSX!$E$3:$E$1500=$F25)*(TongVTSX!$S$3:$S$1500=TongVTSX!$S$2)*(TongVTSX!$K$3:$K$1500))/$V25,2),0)</f>
        <v>0</v>
      </c>
      <c r="J25" s="731"/>
      <c r="K25" s="731"/>
      <c r="L25" s="732"/>
      <c r="M25" s="732" t="str">
        <f t="shared" ca="1" si="1"/>
        <v/>
      </c>
      <c r="N25" s="732"/>
      <c r="O25" s="732">
        <f ca="1">IF($S25=$T$7,INDEX(TongVTSX!$O$3:$O$1500,$R25),IF($S25=$T$2,INDEX(TongVTSX!$M$3:$M$1500,$R25)*$V25*$H25,SUMPRODUCT((TongVTSX!$C$3:$C$1500=$D25)*(TongVTSX!$E$3:$E$1500=$F25)*(TongVTSX!$S$3:$S$1500=TongVTSX!$S$2)*(TongVTSX!$O$3:$O$1500))))</f>
        <v>21340</v>
      </c>
      <c r="P25" s="1150">
        <f ca="1">IF($S25=$T$7,INDEX(TongVTSX!$O$3:$O$1500,$R25),IF($S25=$T$2,INDEX(TongVTSX!$M$3:$M$1500,$R25)*$I25*$V25,SUMPRODUCT((TongVTSX!$C$3:$C$1500=$D25)*(TongVTSX!$E$3:$E$1500=$F25)*(TongVTSX!$S$3:$S$1500=TongVTSX!$S$2)*(TongVTSX!$O$3:$O$1500))))</f>
        <v>21340</v>
      </c>
      <c r="Q25" s="1155" t="str">
        <f ca="1">IFERROR(INDEX(NVLSX!$AA$2:$AA$6756,MATCH($D25,NVLSX!$E$2:$E$6756,0)),"")</f>
        <v>GHI NƠI CẤP BÊN NVLSX CỘT AA</v>
      </c>
      <c r="R25" s="75">
        <f ca="1">IF(S25="","",IF(S25&lt;&gt;S24,IF(TYPE(MATCH(S25,TongVTSX!$Q$3:$Q$1500,0))=16,"",MATCH(S25,TongVTSX!$Q$3:$Q$1500,0)),IF(TYPE(MATCH(S25,OFFSET(TongVTSX!$Q$3,R24,0):'TongVTSX'!$Q$1500,0)+R24)=16,"",MATCH(S25,OFFSET(TongVTSX!$Q$3,R24,0):'TongVTSX'!$Q$1500,0)+R24)))</f>
        <v>26</v>
      </c>
      <c r="S25" s="76" t="str">
        <f ca="1">IFERROR(IF(COUNTIF($S$3:S24,S24)&lt; INDEX($U$1:$U$7,MATCH($S24,$T$1:$T$7,0)),$S24,INDEX($T$1:$T$7,MATCH($S24,$T$1:$T$7,0)+1)),"")</f>
        <v>VTLD</v>
      </c>
      <c r="V25" s="1133" t="str">
        <f ca="1">IFERROR(INDEX(NVLSX!$U$2:$U$6941,MATCH($D25,NVLSX!$E$2:$E$6941,0)),"")</f>
        <v/>
      </c>
      <c r="W25" s="1143"/>
      <c r="X25" s="1143"/>
    </row>
    <row r="26" spans="1:24">
      <c r="A26" s="728">
        <f t="shared" ca="1" si="0"/>
        <v>2</v>
      </c>
      <c r="B26" s="1146" t="str">
        <f ca="1">IFERROR(INDEX(NVLSX!$Y$2:$Y$6756,MATCH($D26,NVLSX!$E$2:$E$6756,0)),"")</f>
        <v>GHI TÊN NCC BÊN NVLSX CỘT Y</v>
      </c>
      <c r="C26" s="1146" t="str">
        <f ca="1">IFERROR(INDEX(NVLSX!$Z$2:$Z$6756,MATCH($D26,NVLSX!$E$2:$E$6756,0)),"")</f>
        <v>GHI TÊN HÃNG BÊN NVLSX CỘT Z</v>
      </c>
      <c r="D26" s="729" t="str">
        <f ca="1">IF($R26="","",INDEX(TongVTSX!C$3:C$1500,$R26))</f>
        <v>FOAM</v>
      </c>
      <c r="E26" s="729" t="str">
        <f ca="1">IF($R26="","",IF($S26=$T$7,INDEX(TongVTSX!D$3:D$1500,$R26) &amp;  " (" &amp; INDEX(TongVTSX!A$3:A$1500,$R26) &amp; ")",INDEX(TongVTSX!D$3:D$1500,$R26)))</f>
        <v>Keo foam</v>
      </c>
      <c r="F26" s="874" t="str">
        <f ca="1">IF($R26="","",IF($S26&lt;&gt;NVLSX!$N$6492,INDEX(TongVTSX!E$3:E$1500,$R26),INDEX(TongVTSX!G$3:G$1500,$R26)))</f>
        <v>T/C</v>
      </c>
      <c r="G26" s="730" t="str">
        <f ca="1">IF($R26="","",INDEX(TongVTSX!F$3:F$1500,$R26))</f>
        <v>Chai</v>
      </c>
      <c r="H26" s="731">
        <f ca="1">IF($S26=$T$7,INDEX(TongVTSX!$K$3:$K$1500,$R26)/INDEX(TongVTSX!$G$3:$G$1500,$R26),IF($S26=$T$2,ROUNDUP(SUMPRODUCT((TongVTSX!$C$3:$C$1500=$D26)*(TongVTSX!$E$3:$E$1500=$F26)*(TongVTSX!$S$3:$S$1500=TongVTSX!$S$2)*(TongVTSX!$K$3:$K$1500))/$V26,0),SUMPRODUCT((TongVTSX!$C$3:$C$1500=$D26)*(TongVTSX!$E$3:$E$1500=$F26)*(TongVTSX!$S$3:$S$1500=TongVTSX!$S$2)*(TongVTSX!$K$3:$K$1500))))</f>
        <v>0.152</v>
      </c>
      <c r="I26" s="731">
        <f ca="1">IF($S26=$T$2,ROUNDUP(SUMPRODUCT((TongVTSX!$C$3:$C$1500=$D26)*(TongVTSX!$E$3:$E$1500=$F26)*(TongVTSX!$S$3:$S$1500=TongVTSX!$S$2)*(TongVTSX!$K$3:$K$1500))/$V26,2),0)</f>
        <v>0</v>
      </c>
      <c r="J26" s="731"/>
      <c r="K26" s="731"/>
      <c r="L26" s="732"/>
      <c r="M26" s="732" t="str">
        <f t="shared" ca="1" si="1"/>
        <v/>
      </c>
      <c r="N26" s="732"/>
      <c r="O26" s="732">
        <f ca="1">IF($S26=$T$7,INDEX(TongVTSX!$O$3:$O$1500,$R26),IF($S26=$T$2,INDEX(TongVTSX!$M$3:$M$1500,$R26)*$V26*$H26,SUMPRODUCT((TongVTSX!$C$3:$C$1500=$D26)*(TongVTSX!$E$3:$E$1500=$F26)*(TongVTSX!$S$3:$S$1500=TongVTSX!$S$2)*(TongVTSX!$O$3:$O$1500))))</f>
        <v>9120</v>
      </c>
      <c r="P26" s="1150">
        <f ca="1">IF($S26=$T$7,INDEX(TongVTSX!$O$3:$O$1500,$R26),IF($S26=$T$2,INDEX(TongVTSX!$M$3:$M$1500,$R26)*$I26*$V26,SUMPRODUCT((TongVTSX!$C$3:$C$1500=$D26)*(TongVTSX!$E$3:$E$1500=$F26)*(TongVTSX!$S$3:$S$1500=TongVTSX!$S$2)*(TongVTSX!$O$3:$O$1500))))</f>
        <v>9120</v>
      </c>
      <c r="Q26" s="1155" t="str">
        <f ca="1">IFERROR(INDEX(NVLSX!$AA$2:$AA$6756,MATCH($D26,NVLSX!$E$2:$E$6756,0)),"")</f>
        <v>GHI NƠI CẤP BÊN NVLSX CỘT AA</v>
      </c>
      <c r="R26" s="75">
        <f ca="1">IF(S26="","",IF(S26&lt;&gt;S25,IF(TYPE(MATCH(S26,TongVTSX!$Q$3:$Q$1500,0))=16,"",MATCH(S26,TongVTSX!$Q$3:$Q$1500,0)),IF(TYPE(MATCH(S26,OFFSET(TongVTSX!$Q$3,R25,0):'TongVTSX'!$Q$1500,0)+R25)=16,"",MATCH(S26,OFFSET(TongVTSX!$Q$3,R25,0):'TongVTSX'!$Q$1500,0)+R25)))</f>
        <v>27</v>
      </c>
      <c r="S26" s="76" t="str">
        <f ca="1">IFERROR(IF(COUNTIF($S$3:S25,S25)&lt; INDEX($U$1:$U$7,MATCH($S25,$T$1:$T$7,0)),$S25,INDEX($T$1:$T$7,MATCH($S25,$T$1:$T$7,0)+1)),"")</f>
        <v>VTLD</v>
      </c>
      <c r="V26" s="1133" t="str">
        <f ca="1">IFERROR(INDEX(NVLSX!$U$2:$U$6941,MATCH($D26,NVLSX!$E$2:$E$6941,0)),"")</f>
        <v/>
      </c>
      <c r="W26" s="1143"/>
      <c r="X26" s="1143"/>
    </row>
    <row r="27" spans="1:24">
      <c r="A27" s="728">
        <f t="shared" ca="1" si="0"/>
        <v>3</v>
      </c>
      <c r="B27" s="1146" t="str">
        <f ca="1">IFERROR(INDEX(NVLSX!$Y$2:$Y$6756,MATCH($D27,NVLSX!$E$2:$E$6756,0)),"")</f>
        <v>GHI TÊN NCC BÊN NVLSX CỘT Y</v>
      </c>
      <c r="C27" s="1146" t="str">
        <f ca="1">IFERROR(INDEX(NVLSX!$Z$2:$Z$6756,MATCH($D27,NVLSX!$E$2:$E$6756,0)),"")</f>
        <v>GHI TÊN HÃNG BÊN NVLSX CỘT Z</v>
      </c>
      <c r="D27" s="729" t="str">
        <f ca="1">IF($R27="","",INDEX(TongVTSX!C$3:C$1500,$R27))</f>
        <v>Silicone-LD</v>
      </c>
      <c r="E27" s="729" t="str">
        <f ca="1">IF($R27="","",IF($S27=$T$7,INDEX(TongVTSX!D$3:D$1500,$R27) &amp;  " (" &amp; INDEX(TongVTSX!A$3:A$1500,$R27) &amp; ")",INDEX(TongVTSX!D$3:D$1500,$R27)))</f>
        <v>Silicone lắp đặt</v>
      </c>
      <c r="F27" s="874" t="str">
        <f ca="1">IF($R27="","",IF($S27&lt;&gt;NVLSX!$N$6492,INDEX(TongVTSX!E$3:E$1500,$R27),INDEX(TongVTSX!G$3:G$1500,$R27)))</f>
        <v>T/C</v>
      </c>
      <c r="G27" s="730" t="str">
        <f ca="1">IF($R27="","",INDEX(TongVTSX!F$3:F$1500,$R27))</f>
        <v>Chai</v>
      </c>
      <c r="H27" s="731">
        <f ca="1">IF($S27=$T$7,INDEX(TongVTSX!$K$3:$K$1500,$R27)/INDEX(TongVTSX!$G$3:$G$1500,$R27),IF($S27=$T$2,ROUNDUP(SUMPRODUCT((TongVTSX!$C$3:$C$1500=$D27)*(TongVTSX!$E$3:$E$1500=$F27)*(TongVTSX!$S$3:$S$1500=TongVTSX!$S$2)*(TongVTSX!$K$3:$K$1500))/$V27,0),SUMPRODUCT((TongVTSX!$C$3:$C$1500=$D27)*(TongVTSX!$E$3:$E$1500=$F27)*(TongVTSX!$S$3:$S$1500=TongVTSX!$S$2)*(TongVTSX!$K$3:$K$1500))))</f>
        <v>2.1714285714285713</v>
      </c>
      <c r="I27" s="731">
        <f ca="1">IF($S27=$T$2,ROUNDUP(SUMPRODUCT((TongVTSX!$C$3:$C$1500=$D27)*(TongVTSX!$E$3:$E$1500=$F27)*(TongVTSX!$S$3:$S$1500=TongVTSX!$S$2)*(TongVTSX!$K$3:$K$1500))/$V27,2),0)</f>
        <v>0</v>
      </c>
      <c r="J27" s="731"/>
      <c r="K27" s="731"/>
      <c r="L27" s="732"/>
      <c r="M27" s="732" t="str">
        <f t="shared" ca="1" si="1"/>
        <v/>
      </c>
      <c r="N27" s="732"/>
      <c r="O27" s="732">
        <f ca="1">IF($S27=$T$7,INDEX(TongVTSX!$O$3:$O$1500,$R27),IF($S27=$T$2,INDEX(TongVTSX!$M$3:$M$1500,$R27)*$V27*$H27,SUMPRODUCT((TongVTSX!$C$3:$C$1500=$D27)*(TongVTSX!$E$3:$E$1500=$F27)*(TongVTSX!$S$3:$S$1500=TongVTSX!$S$2)*(TongVTSX!$O$3:$O$1500))))</f>
        <v>115086</v>
      </c>
      <c r="P27" s="1150">
        <f ca="1">IF($S27=$T$7,INDEX(TongVTSX!$O$3:$O$1500,$R27),IF($S27=$T$2,INDEX(TongVTSX!$M$3:$M$1500,$R27)*$I27*$V27,SUMPRODUCT((TongVTSX!$C$3:$C$1500=$D27)*(TongVTSX!$E$3:$E$1500=$F27)*(TongVTSX!$S$3:$S$1500=TongVTSX!$S$2)*(TongVTSX!$O$3:$O$1500))))</f>
        <v>115086</v>
      </c>
      <c r="Q27" s="1155" t="str">
        <f ca="1">IFERROR(INDEX(NVLSX!$AA$2:$AA$6756,MATCH($D27,NVLSX!$E$2:$E$6756,0)),"")</f>
        <v>GHI NƠI CẤP BÊN NVLSX CỘT AA</v>
      </c>
      <c r="R27" s="75">
        <f ca="1">IF(S27="","",IF(S27&lt;&gt;S26,IF(TYPE(MATCH(S27,TongVTSX!$Q$3:$Q$1500,0))=16,"",MATCH(S27,TongVTSX!$Q$3:$Q$1500,0)),IF(TYPE(MATCH(S27,OFFSET(TongVTSX!$Q$3,R26,0):'TongVTSX'!$Q$1500,0)+R26)=16,"",MATCH(S27,OFFSET(TongVTSX!$Q$3,R26,0):'TongVTSX'!$Q$1500,0)+R26)))</f>
        <v>28</v>
      </c>
      <c r="S27" s="76" t="str">
        <f ca="1">IFERROR(IF(COUNTIF($S$3:S26,S26)&lt; INDEX($U$1:$U$7,MATCH($S26,$T$1:$T$7,0)),$S26,INDEX($T$1:$T$7,MATCH($S26,$T$1:$T$7,0)+1)),"")</f>
        <v>VTLD</v>
      </c>
      <c r="V27" s="1133" t="str">
        <f ca="1">IFERROR(INDEX(NVLSX!$U$2:$U$6941,MATCH($D27,NVLSX!$E$2:$E$6941,0)),"")</f>
        <v/>
      </c>
      <c r="W27" s="1143"/>
      <c r="X27" s="1143"/>
    </row>
    <row r="28" spans="1:24">
      <c r="A28" s="728">
        <f t="shared" ca="1" si="0"/>
        <v>4</v>
      </c>
      <c r="B28" s="1146" t="str">
        <f ca="1">IFERROR(INDEX(NVLSX!$Y$2:$Y$6756,MATCH($D28,NVLSX!$E$2:$E$6756,0)),"")</f>
        <v>GHI TÊN NCC BÊN NVLSX CỘT Y</v>
      </c>
      <c r="C28" s="1146" t="str">
        <f ca="1">IFERROR(INDEX(NVLSX!$Z$2:$Z$6756,MATCH($D28,NVLSX!$E$2:$E$6756,0)),"")</f>
        <v>GHI TÊN HÃNG BÊN NVLSX CỘT Z</v>
      </c>
      <c r="D28" s="729" t="str">
        <f ca="1">IF($R28="","",INDEX(TongVTSX!C$3:C$1500,$R28))</f>
        <v>NKLD</v>
      </c>
      <c r="E28" s="729" t="str">
        <f ca="1">IF($R28="","",IF($S28=$T$7,INDEX(TongVTSX!D$3:D$1500,$R28) &amp;  " (" &amp; INDEX(TongVTSX!A$3:A$1500,$R28) &amp; ")",INDEX(TongVTSX!D$3:D$1500,$R28)))</f>
        <v>Đệm chèn kính GĐLĐ</v>
      </c>
      <c r="F28" s="874" t="str">
        <f ca="1">IF($R28="","",IF($S28&lt;&gt;NVLSX!$N$6492,INDEX(TongVTSX!E$3:E$1500,$R28),INDEX(TongVTSX!G$3:G$1500,$R28)))</f>
        <v>T/C</v>
      </c>
      <c r="G28" s="730" t="str">
        <f ca="1">IF($R28="","",INDEX(TongVTSX!F$3:F$1500,$R28))</f>
        <v>Gram</v>
      </c>
      <c r="H28" s="731">
        <f ca="1">IF($S28=$T$7,INDEX(TongVTSX!$K$3:$K$1500,$R28)/INDEX(TongVTSX!$G$3:$G$1500,$R28),IF($S28=$T$2,ROUNDUP(SUMPRODUCT((TongVTSX!$C$3:$C$1500=$D28)*(TongVTSX!$E$3:$E$1500=$F28)*(TongVTSX!$S$3:$S$1500=TongVTSX!$S$2)*(TongVTSX!$K$3:$K$1500))/$V28,0),SUMPRODUCT((TongVTSX!$C$3:$C$1500=$D28)*(TongVTSX!$E$3:$E$1500=$F28)*(TongVTSX!$S$3:$S$1500=TongVTSX!$S$2)*(TongVTSX!$K$3:$K$1500))))</f>
        <v>119.42857142857143</v>
      </c>
      <c r="I28" s="731">
        <f ca="1">IF($S28=$T$2,ROUNDUP(SUMPRODUCT((TongVTSX!$C$3:$C$1500=$D28)*(TongVTSX!$E$3:$E$1500=$F28)*(TongVTSX!$S$3:$S$1500=TongVTSX!$S$2)*(TongVTSX!$K$3:$K$1500))/$V28,2),0)</f>
        <v>0</v>
      </c>
      <c r="J28" s="731"/>
      <c r="K28" s="731"/>
      <c r="L28" s="732"/>
      <c r="M28" s="732" t="str">
        <f t="shared" ca="1" si="1"/>
        <v/>
      </c>
      <c r="N28" s="732"/>
      <c r="O28" s="732">
        <f ca="1">IF($S28=$T$7,INDEX(TongVTSX!$O$3:$O$1500,$R28),IF($S28=$T$2,INDEX(TongVTSX!$M$3:$M$1500,$R28)*$V28*$H28,SUMPRODUCT((TongVTSX!$C$3:$C$1500=$D28)*(TongVTSX!$E$3:$E$1500=$F28)*(TongVTSX!$S$3:$S$1500=TongVTSX!$S$2)*(TongVTSX!$O$3:$O$1500))))</f>
        <v>4777</v>
      </c>
      <c r="P28" s="1150">
        <f ca="1">IF($S28=$T$7,INDEX(TongVTSX!$O$3:$O$1500,$R28),IF($S28=$T$2,INDEX(TongVTSX!$M$3:$M$1500,$R28)*$I28*$V28,SUMPRODUCT((TongVTSX!$C$3:$C$1500=$D28)*(TongVTSX!$E$3:$E$1500=$F28)*(TongVTSX!$S$3:$S$1500=TongVTSX!$S$2)*(TongVTSX!$O$3:$O$1500))))</f>
        <v>4777</v>
      </c>
      <c r="Q28" s="1155" t="str">
        <f ca="1">IFERROR(INDEX(NVLSX!$AA$2:$AA$6756,MATCH($D28,NVLSX!$E$2:$E$6756,0)),"")</f>
        <v>GHI NƠI CẤP BÊN NVLSX CỘT AA</v>
      </c>
      <c r="R28" s="75">
        <f ca="1">IF(S28="","",IF(S28&lt;&gt;S27,IF(TYPE(MATCH(S28,TongVTSX!$Q$3:$Q$1500,0))=16,"",MATCH(S28,TongVTSX!$Q$3:$Q$1500,0)),IF(TYPE(MATCH(S28,OFFSET(TongVTSX!$Q$3,R27,0):'TongVTSX'!$Q$1500,0)+R27)=16,"",MATCH(S28,OFFSET(TongVTSX!$Q$3,R27,0):'TongVTSX'!$Q$1500,0)+R27)))</f>
        <v>29</v>
      </c>
      <c r="S28" s="76" t="str">
        <f ca="1">IFERROR(IF(COUNTIF($S$3:S27,S27)&lt; INDEX($U$1:$U$7,MATCH($S27,$T$1:$T$7,0)),$S27,INDEX($T$1:$T$7,MATCH($S27,$T$1:$T$7,0)+1)),"")</f>
        <v>VTLD</v>
      </c>
      <c r="V28" s="1133" t="str">
        <f ca="1">IFERROR(INDEX(NVLSX!$U$2:$U$6941,MATCH($D28,NVLSX!$E$2:$E$6941,0)),"")</f>
        <v/>
      </c>
      <c r="W28" s="1143"/>
      <c r="X28" s="1143"/>
    </row>
    <row r="29" spans="1:24">
      <c r="A29" s="19">
        <f t="shared" ca="1" si="0"/>
        <v>5</v>
      </c>
      <c r="B29" s="1146" t="str">
        <f ca="1">IFERROR(INDEX(NVLSX!$Y$2:$Y$6756,MATCH($D29,NVLSX!$E$2:$E$6756,0)),"")</f>
        <v>GHI TÊN NCC BÊN NVLSX CỘT Y</v>
      </c>
      <c r="C29" s="1146" t="str">
        <f ca="1">IFERROR(INDEX(NVLSX!$Z$2:$Z$6756,MATCH($D29,NVLSX!$E$2:$E$6756,0)),"")</f>
        <v>GHI TÊN HÃNG BÊN NVLSX CỘT Z</v>
      </c>
      <c r="D29" s="729" t="str">
        <f ca="1">IF($R29="","",INDEX(TongVTSX!C$3:C$1500,$R29))</f>
        <v>VT</v>
      </c>
      <c r="E29" s="729" t="str">
        <f ca="1">IF($R29="","",IF($S29=$T$7,INDEX(TongVTSX!D$3:D$1500,$R29) &amp;  " (" &amp; INDEX(TongVTSX!A$3:A$1500,$R29) &amp; ")",INDEX(TongVTSX!D$3:D$1500,$R29)))</f>
        <v>Vải trắng</v>
      </c>
      <c r="F29" s="874" t="str">
        <f ca="1">IF($R29="","",IF($S29&lt;&gt;NVLSX!$N$6492,INDEX(TongVTSX!E$3:E$1500,$R29),INDEX(TongVTSX!G$3:G$1500,$R29)))</f>
        <v>T/C</v>
      </c>
      <c r="G29" s="730" t="str">
        <f ca="1">IF($R29="","",INDEX(TongVTSX!F$3:F$1500,$R29))</f>
        <v>Gram</v>
      </c>
      <c r="H29" s="731">
        <f ca="1">IF($S29=$T$7,INDEX(TongVTSX!$K$3:$K$1500,$R29)/INDEX(TongVTSX!$G$3:$G$1500,$R29),IF($S29=$T$2,ROUNDUP(SUMPRODUCT((TongVTSX!$C$3:$C$1500=$D29)*(TongVTSX!$E$3:$E$1500=$F29)*(TongVTSX!$S$3:$S$1500=TongVTSX!$S$2)*(TongVTSX!$K$3:$K$1500))/$V29,0),SUMPRODUCT((TongVTSX!$C$3:$C$1500=$D29)*(TongVTSX!$E$3:$E$1500=$F29)*(TongVTSX!$S$3:$S$1500=TongVTSX!$S$2)*(TongVTSX!$K$3:$K$1500))))</f>
        <v>70.399999999999991</v>
      </c>
      <c r="I29" s="731">
        <f ca="1">IF($S29=$T$2,ROUNDUP(SUMPRODUCT((TongVTSX!$C$3:$C$1500=$D29)*(TongVTSX!$E$3:$E$1500=$F29)*(TongVTSX!$S$3:$S$1500=TongVTSX!$S$2)*(TongVTSX!$K$3:$K$1500))/$V29,2),0)</f>
        <v>0</v>
      </c>
      <c r="J29" s="731"/>
      <c r="K29" s="731"/>
      <c r="L29" s="732"/>
      <c r="M29" s="732" t="str">
        <f t="shared" ca="1" si="1"/>
        <v/>
      </c>
      <c r="N29" s="732"/>
      <c r="O29" s="732">
        <f ca="1">IF($S29=$T$7,INDEX(TongVTSX!$O$3:$O$1500,$R29),IF($S29=$T$2,INDEX(TongVTSX!$M$3:$M$1500,$R29)*$V29*$H29,SUMPRODUCT((TongVTSX!$C$3:$C$1500=$D29)*(TongVTSX!$E$3:$E$1500=$F29)*(TongVTSX!$S$3:$S$1500=TongVTSX!$S$2)*(TongVTSX!$O$3:$O$1500))))</f>
        <v>1408</v>
      </c>
      <c r="P29" s="1150">
        <f ca="1">IF($S29=$T$7,INDEX(TongVTSX!$O$3:$O$1500,$R29),IF($S29=$T$2,INDEX(TongVTSX!$M$3:$M$1500,$R29)*$I29*$V29,SUMPRODUCT((TongVTSX!$C$3:$C$1500=$D29)*(TongVTSX!$E$3:$E$1500=$F29)*(TongVTSX!$S$3:$S$1500=TongVTSX!$S$2)*(TongVTSX!$O$3:$O$1500))))</f>
        <v>1408</v>
      </c>
      <c r="Q29" s="1155" t="str">
        <f ca="1">IFERROR(INDEX(NVLSX!$AA$2:$AA$6756,MATCH($D29,NVLSX!$E$2:$E$6756,0)),"")</f>
        <v>GHI NƠI CẤP BÊN NVLSX CỘT AA</v>
      </c>
      <c r="R29" s="75">
        <f ca="1">IF(S29="","",IF(S29&lt;&gt;S28,IF(TYPE(MATCH(S29,TongVTSX!$Q$3:$Q$1500,0))=16,"",MATCH(S29,TongVTSX!$Q$3:$Q$1500,0)),IF(TYPE(MATCH(S29,OFFSET(TongVTSX!$Q$3,R28,0):'TongVTSX'!$Q$1500,0)+R28)=16,"",MATCH(S29,OFFSET(TongVTSX!$Q$3,R28,0):'TongVTSX'!$Q$1500,0)+R28)))</f>
        <v>30</v>
      </c>
      <c r="S29" s="76" t="str">
        <f ca="1">IFERROR(IF(COUNTIF($S$3:S28,S28)&lt; INDEX($U$1:$U$7,MATCH($S28,$T$1:$T$7,0)),$S28,INDEX($T$1:$T$7,MATCH($S28,$T$1:$T$7,0)+1)),"")</f>
        <v>VTLD</v>
      </c>
      <c r="V29" s="1133" t="str">
        <f ca="1">IFERROR(INDEX(NVLSX!$U$2:$U$6941,MATCH($D29,NVLSX!$E$2:$E$6941,0)),"")</f>
        <v/>
      </c>
      <c r="W29" s="1143"/>
      <c r="X29" s="1143"/>
    </row>
    <row r="30" spans="1:24">
      <c r="A30" s="19">
        <f t="shared" ca="1" si="0"/>
        <v>6</v>
      </c>
      <c r="B30" s="1146" t="str">
        <f ca="1">IFERROR(INDEX(NVLSX!$Y$2:$Y$6756,MATCH($D30,NVLSX!$E$2:$E$6756,0)),"")</f>
        <v>GHI TÊN NCC BÊN NVLSX CỘT Y</v>
      </c>
      <c r="C30" s="1146" t="str">
        <f ca="1">IFERROR(INDEX(NVLSX!$Z$2:$Z$6756,MATCH($D30,NVLSX!$E$2:$E$6756,0)),"")</f>
        <v>GHI TÊN HÃNG BÊN NVLSX CỘT Z</v>
      </c>
      <c r="D30" s="729" t="str">
        <f ca="1">IF($R30="","",INDEX(TongVTSX!C$3:C$1500,$R30))</f>
        <v>NLK</v>
      </c>
      <c r="E30" s="729" t="str">
        <f ca="1">IF($R30="","",IF($S30=$T$7,INDEX(TongVTSX!D$3:D$1500,$R30) &amp;  " (" &amp; INDEX(TongVTSX!A$3:A$1500,$R30) &amp; ")",INDEX(TongVTSX!D$3:D$1500,$R30)))</f>
        <v>Nước lau kính</v>
      </c>
      <c r="F30" s="874" t="str">
        <f ca="1">IF($R30="","",IF($S30&lt;&gt;NVLSX!$N$6492,INDEX(TongVTSX!E$3:E$1500,$R30),INDEX(TongVTSX!G$3:G$1500,$R30)))</f>
        <v>T/C</v>
      </c>
      <c r="G30" s="730" t="str">
        <f ca="1">IF($R30="","",INDEX(TongVTSX!F$3:F$1500,$R30))</f>
        <v>Chai</v>
      </c>
      <c r="H30" s="731">
        <f ca="1">IF($S30=$T$7,INDEX(TongVTSX!$K$3:$K$1500,$R30)/INDEX(TongVTSX!$G$3:$G$1500,$R30),IF($S30=$T$2,ROUNDUP(SUMPRODUCT((TongVTSX!$C$3:$C$1500=$D30)*(TongVTSX!$E$3:$E$1500=$F30)*(TongVTSX!$S$3:$S$1500=TongVTSX!$S$2)*(TongVTSX!$K$3:$K$1500))/$V30,0),SUMPRODUCT((TongVTSX!$C$3:$C$1500=$D30)*(TongVTSX!$E$3:$E$1500=$F30)*(TongVTSX!$S$3:$S$1500=TongVTSX!$S$2)*(TongVTSX!$K$3:$K$1500))))</f>
        <v>8.8000000000000009E-2</v>
      </c>
      <c r="I30" s="731">
        <f ca="1">IF($S30=$T$2,ROUNDUP(SUMPRODUCT((TongVTSX!$C$3:$C$1500=$D30)*(TongVTSX!$E$3:$E$1500=$F30)*(TongVTSX!$S$3:$S$1500=TongVTSX!$S$2)*(TongVTSX!$K$3:$K$1500))/$V30,2),0)</f>
        <v>0</v>
      </c>
      <c r="J30" s="731"/>
      <c r="K30" s="731"/>
      <c r="L30" s="732"/>
      <c r="M30" s="732" t="str">
        <f t="shared" ca="1" si="1"/>
        <v/>
      </c>
      <c r="N30" s="732"/>
      <c r="O30" s="732">
        <f ca="1">IF($S30=$T$7,INDEX(TongVTSX!$O$3:$O$1500,$R30),IF($S30=$T$2,INDEX(TongVTSX!$M$3:$M$1500,$R30)*$V30*$H30,SUMPRODUCT((TongVTSX!$C$3:$C$1500=$D30)*(TongVTSX!$E$3:$E$1500=$F30)*(TongVTSX!$S$3:$S$1500=TongVTSX!$S$2)*(TongVTSX!$O$3:$O$1500))))</f>
        <v>2464</v>
      </c>
      <c r="P30" s="1150">
        <f ca="1">IF($S30=$T$7,INDEX(TongVTSX!$O$3:$O$1500,$R30),IF($S30=$T$2,INDEX(TongVTSX!$M$3:$M$1500,$R30)*$I30*$V30,SUMPRODUCT((TongVTSX!$C$3:$C$1500=$D30)*(TongVTSX!$E$3:$E$1500=$F30)*(TongVTSX!$S$3:$S$1500=TongVTSX!$S$2)*(TongVTSX!$O$3:$O$1500))))</f>
        <v>2464</v>
      </c>
      <c r="Q30" s="1155" t="str">
        <f ca="1">IFERROR(INDEX(NVLSX!$AA$2:$AA$6756,MATCH($D30,NVLSX!$E$2:$E$6756,0)),"")</f>
        <v>GHI NƠI CẤP BÊN NVLSX CỘT AA</v>
      </c>
      <c r="R30" s="75">
        <f ca="1">IF(S30="","",IF(S30&lt;&gt;S29,IF(TYPE(MATCH(S30,TongVTSX!$Q$3:$Q$1500,0))=16,"",MATCH(S30,TongVTSX!$Q$3:$Q$1500,0)),IF(TYPE(MATCH(S30,OFFSET(TongVTSX!$Q$3,R29,0):'TongVTSX'!$Q$1500,0)+R29)=16,"",MATCH(S30,OFFSET(TongVTSX!$Q$3,R29,0):'TongVTSX'!$Q$1500,0)+R29)))</f>
        <v>31</v>
      </c>
      <c r="S30" s="76" t="str">
        <f ca="1">IFERROR(IF(COUNTIF($S$3:S29,S29)&lt; INDEX($U$1:$U$7,MATCH($S29,$T$1:$T$7,0)),$S29,INDEX($T$1:$T$7,MATCH($S29,$T$1:$T$7,0)+1)),"")</f>
        <v>VTLD</v>
      </c>
      <c r="V30" s="1133" t="str">
        <f ca="1">IFERROR(INDEX(NVLSX!$U$2:$U$6941,MATCH($D30,NVLSX!$E$2:$E$6941,0)),"")</f>
        <v/>
      </c>
      <c r="W30" s="1143"/>
      <c r="X30" s="1143"/>
    </row>
    <row r="31" spans="1:24">
      <c r="A31" s="19">
        <f t="shared" ca="1" si="0"/>
        <v>7</v>
      </c>
      <c r="B31" s="1146" t="str">
        <f ca="1">IFERROR(INDEX(NVLSX!$Y$2:$Y$6756,MATCH($D31,NVLSX!$E$2:$E$6756,0)),"")</f>
        <v>GHI TÊN NCC BÊN NVLSX CỘT Y</v>
      </c>
      <c r="C31" s="1146" t="str">
        <f ca="1">IFERROR(INDEX(NVLSX!$Z$2:$Z$6756,MATCH($D31,NVLSX!$E$2:$E$6756,0)),"")</f>
        <v>GHI TÊN HÃNG BÊN NVLSX CỘT Z</v>
      </c>
      <c r="D31" s="729" t="str">
        <f ca="1">IF($R31="","",INDEX(TongVTSX!C$3:C$1500,$R31))</f>
        <v>LD</v>
      </c>
      <c r="E31" s="729" t="str">
        <f ca="1">IF($R31="","",IF($S31=$T$7,INDEX(TongVTSX!D$3:D$1500,$R31) &amp;  " (" &amp; INDEX(TongVTSX!A$3:A$1500,$R31) &amp; ")",INDEX(TongVTSX!D$3:D$1500,$R31)))</f>
        <v>Lưỡi dao rọc giấy</v>
      </c>
      <c r="F31" s="874" t="str">
        <f ca="1">IF($R31="","",IF($S31&lt;&gt;NVLSX!$N$6492,INDEX(TongVTSX!E$3:E$1500,$R31),INDEX(TongVTSX!G$3:G$1500,$R31)))</f>
        <v>T/C</v>
      </c>
      <c r="G31" s="730" t="str">
        <f ca="1">IF($R31="","",INDEX(TongVTSX!F$3:F$1500,$R31))</f>
        <v>Cái</v>
      </c>
      <c r="H31" s="731">
        <f ca="1">IF($S31=$T$7,INDEX(TongVTSX!$K$3:$K$1500,$R31)/INDEX(TongVTSX!$G$3:$G$1500,$R31),IF($S31=$T$2,ROUNDUP(SUMPRODUCT((TongVTSX!$C$3:$C$1500=$D31)*(TongVTSX!$E$3:$E$1500=$F31)*(TongVTSX!$S$3:$S$1500=TongVTSX!$S$2)*(TongVTSX!$K$3:$K$1500))/$V31,0),SUMPRODUCT((TongVTSX!$C$3:$C$1500=$D31)*(TongVTSX!$E$3:$E$1500=$F31)*(TongVTSX!$S$3:$S$1500=TongVTSX!$S$2)*(TongVTSX!$K$3:$K$1500))))</f>
        <v>2</v>
      </c>
      <c r="I31" s="731">
        <f ca="1">IF($S31=$T$2,ROUNDUP(SUMPRODUCT((TongVTSX!$C$3:$C$1500=$D31)*(TongVTSX!$E$3:$E$1500=$F31)*(TongVTSX!$S$3:$S$1500=TongVTSX!$S$2)*(TongVTSX!$K$3:$K$1500))/$V31,2),0)</f>
        <v>0</v>
      </c>
      <c r="J31" s="731"/>
      <c r="K31" s="731"/>
      <c r="L31" s="732"/>
      <c r="M31" s="732" t="str">
        <f t="shared" ca="1" si="1"/>
        <v/>
      </c>
      <c r="N31" s="732"/>
      <c r="O31" s="732">
        <f ca="1">IF($S31=$T$7,INDEX(TongVTSX!$O$3:$O$1500,$R31),IF($S31=$T$2,INDEX(TongVTSX!$M$3:$M$1500,$R31)*$V31*$H31,SUMPRODUCT((TongVTSX!$C$3:$C$1500=$D31)*(TongVTSX!$E$3:$E$1500=$F31)*(TongVTSX!$S$3:$S$1500=TongVTSX!$S$2)*(TongVTSX!$O$3:$O$1500))))</f>
        <v>2000</v>
      </c>
      <c r="P31" s="1150">
        <f ca="1">IF($S31=$T$7,INDEX(TongVTSX!$O$3:$O$1500,$R31),IF($S31=$T$2,INDEX(TongVTSX!$M$3:$M$1500,$R31)*$I31*$V31,SUMPRODUCT((TongVTSX!$C$3:$C$1500=$D31)*(TongVTSX!$E$3:$E$1500=$F31)*(TongVTSX!$S$3:$S$1500=TongVTSX!$S$2)*(TongVTSX!$O$3:$O$1500))))</f>
        <v>2000</v>
      </c>
      <c r="Q31" s="1155" t="str">
        <f ca="1">IFERROR(INDEX(NVLSX!$AA$2:$AA$6756,MATCH($D31,NVLSX!$E$2:$E$6756,0)),"")</f>
        <v>GHI NƠI CẤP BÊN NVLSX CỘT AA</v>
      </c>
      <c r="R31" s="75">
        <f ca="1">IF(S31="","",IF(S31&lt;&gt;S30,IF(TYPE(MATCH(S31,TongVTSX!$Q$3:$Q$1500,0))=16,"",MATCH(S31,TongVTSX!$Q$3:$Q$1500,0)),IF(TYPE(MATCH(S31,OFFSET(TongVTSX!$Q$3,R30,0):'TongVTSX'!$Q$1500,0)+R30)=16,"",MATCH(S31,OFFSET(TongVTSX!$Q$3,R30,0):'TongVTSX'!$Q$1500,0)+R30)))</f>
        <v>32</v>
      </c>
      <c r="S31" s="76" t="str">
        <f ca="1">IFERROR(IF(COUNTIF($S$3:S30,S30)&lt; INDEX($U$1:$U$7,MATCH($S30,$T$1:$T$7,0)),$S30,INDEX($T$1:$T$7,MATCH($S30,$T$1:$T$7,0)+1)),"")</f>
        <v>VTLD</v>
      </c>
      <c r="V31" s="1133" t="str">
        <f ca="1">IFERROR(INDEX(NVLSX!$U$2:$U$6941,MATCH($D31,NVLSX!$E$2:$E$6941,0)),"")</f>
        <v/>
      </c>
      <c r="W31" s="1143"/>
      <c r="X31" s="1143"/>
    </row>
    <row r="32" spans="1:24">
      <c r="A32" s="19">
        <f t="shared" ca="1" si="0"/>
        <v>1</v>
      </c>
      <c r="B32" s="1146" t="str">
        <f ca="1">IFERROR(INDEX(NVLSX!$Y$2:$Y$6756,MATCH($D32,NVLSX!$E$2:$E$6756,0)),"")</f>
        <v>CÔNG TY TNHH THIÊN PHÚ</v>
      </c>
      <c r="C32" s="1146" t="str">
        <f ca="1">IFERROR(INDEX(NVLSX!$Z$2:$Z$6756,MATCH($D32,NVLSX!$E$2:$E$6756,0)),"")</f>
        <v>GHI TÊN HÃNG BÊN NVLSX CỘT Z</v>
      </c>
      <c r="D32" s="729" t="str">
        <f ca="1">IF($R32="","",INDEX(TongVTSX!C$3:C$1500,$R32))</f>
        <v>KT08</v>
      </c>
      <c r="E32" s="729" t="str">
        <f ca="1">IF($R32="","",IF($S32=$T$7,INDEX(TongVTSX!D$3:D$1500,$R32) &amp;  " (" &amp; INDEX(TongVTSX!A$3:A$1500,$R32) &amp; ")",INDEX(TongVTSX!D$3:D$1500,$R32)))</f>
        <v>Kính đơn 8 mm trong (MauKoXoa)</v>
      </c>
      <c r="F32" s="874">
        <f ca="1">IF($R32="","",IF($S32&lt;&gt;NVLSX!$N$6492,INDEX(TongVTSX!E$3:E$1500,$R32),INDEX(TongVTSX!G$3:G$1500,$R32)))</f>
        <v>2.7909600000000001</v>
      </c>
      <c r="G32" s="730" t="str">
        <f ca="1">IF($R32="","",INDEX(TongVTSX!F$3:F$1500,$R32))</f>
        <v>1392 * 2005</v>
      </c>
      <c r="H32" s="731">
        <f ca="1">IF($S32=$T$7,INDEX(TongVTSX!$K$3:$K$1500,$R32)/INDEX(TongVTSX!$G$3:$G$1500,$R32),IF($S32=$T$2,ROUNDUP(SUMPRODUCT((TongVTSX!$C$3:$C$1500=$D32)*(TongVTSX!$E$3:$E$1500=$F32)*(TongVTSX!$S$3:$S$1500=TongVTSX!$S$2)*(TongVTSX!$K$3:$K$1500))/$V32,0),SUMPRODUCT((TongVTSX!$C$3:$C$1500=$D32)*(TongVTSX!$E$3:$E$1500=$F32)*(TongVTSX!$S$3:$S$1500=TongVTSX!$S$2)*(TongVTSX!$K$3:$K$1500))))</f>
        <v>2</v>
      </c>
      <c r="I32" s="731">
        <f ca="1">IF($S32=$T$2,ROUNDUP(SUMPRODUCT((TongVTSX!$C$3:$C$1500=$D32)*(TongVTSX!$E$3:$E$1500=$F32)*(TongVTSX!$S$3:$S$1500=TongVTSX!$S$2)*(TongVTSX!$K$3:$K$1500))/$V32,2),0)</f>
        <v>0</v>
      </c>
      <c r="J32" s="731"/>
      <c r="K32" s="731"/>
      <c r="L32" s="732"/>
      <c r="M32" s="732" t="str">
        <f t="shared" ca="1" si="1"/>
        <v/>
      </c>
      <c r="N32" s="732"/>
      <c r="O32" s="732">
        <f ca="1">IF($S32=$T$7,INDEX(TongVTSX!$O$3:$O$1500,$R32),IF($S32=$T$2,INDEX(TongVTSX!$M$3:$M$1500,$R32)*$V32*$H32,SUMPRODUCT((TongVTSX!$C$3:$C$1500=$D32)*(TongVTSX!$E$3:$E$1500=$F32)*(TongVTSX!$S$3:$S$1500=TongVTSX!$S$2)*(TongVTSX!$O$3:$O$1500))))</f>
        <v>1228022</v>
      </c>
      <c r="P32" s="1150">
        <f ca="1">IF($S32=$T$7,INDEX(TongVTSX!$O$3:$O$1500,$R32),IF($S32=$T$2,INDEX(TongVTSX!$M$3:$M$1500,$R32)*$I32*$V32,SUMPRODUCT((TongVTSX!$C$3:$C$1500=$D32)*(TongVTSX!$E$3:$E$1500=$F32)*(TongVTSX!$S$3:$S$1500=TongVTSX!$S$2)*(TongVTSX!$O$3:$O$1500))))</f>
        <v>1228022</v>
      </c>
      <c r="Q32" s="1155" t="str">
        <f ca="1">IFERROR(INDEX(NVLSX!$AA$2:$AA$6756,MATCH($D32,NVLSX!$E$2:$E$6756,0)),"")</f>
        <v>GHI NƠI CẤP BÊN NVLSX CỘT AA</v>
      </c>
      <c r="R32" s="75">
        <f ca="1">IF(S32="","",IF(S32&lt;&gt;S31,IF(TYPE(MATCH(S32,TongVTSX!$Q$3:$Q$1500,0))=16,"",MATCH(S32,TongVTSX!$Q$3:$Q$1500,0)),IF(TYPE(MATCH(S32,OFFSET(TongVTSX!$Q$3,R31,0):'TongVTSX'!$Q$1500,0)+R31)=16,"",MATCH(S32,OFFSET(TongVTSX!$Q$3,R31,0):'TongVTSX'!$Q$1500,0)+R31)))</f>
        <v>33</v>
      </c>
      <c r="S32" s="76" t="str">
        <f ca="1">IFERROR(IF(COUNTIF($S$3:S31,S31)&lt; INDEX($U$1:$U$7,MATCH($S31,$T$1:$T$7,0)),$S31,INDEX($T$1:$T$7,MATCH($S31,$T$1:$T$7,0)+1)),"")</f>
        <v>KI</v>
      </c>
      <c r="V32" s="1133">
        <f ca="1">IFERROR(INDEX(NVLSX!$U$2:$U$6941,MATCH($D32,NVLSX!$E$2:$E$6941,0)),"")</f>
        <v>0</v>
      </c>
      <c r="W32" s="1143"/>
      <c r="X32" s="1143"/>
    </row>
    <row r="33" spans="1:24">
      <c r="A33" s="19" t="str">
        <f t="shared" ca="1" si="0"/>
        <v/>
      </c>
      <c r="B33" s="1146" t="str">
        <f ca="1">IFERROR(INDEX(NVLSX!$Y$2:$Y$6756,MATCH($D33,NVLSX!$E$2:$E$6756,0)),"")</f>
        <v/>
      </c>
      <c r="C33" s="1146" t="str">
        <f ca="1">IFERROR(INDEX(NVLSX!$Z$2:$Z$6756,MATCH($D33,NVLSX!$E$2:$E$6756,0)),"")</f>
        <v/>
      </c>
      <c r="D33" s="729" t="str">
        <f ca="1">IF($R33="","",INDEX(TongVTSX!C$3:C$1500,$R33))</f>
        <v/>
      </c>
      <c r="E33" s="729" t="str">
        <f ca="1">IF($R33="","",IF($S33=$T$7,INDEX(TongVTSX!D$3:D$1500,$R33) &amp;  " (" &amp; INDEX(TongVTSX!A$3:A$1500,$R33) &amp; ")",INDEX(TongVTSX!D$3:D$1500,$R33)))</f>
        <v/>
      </c>
      <c r="F33" s="874" t="str">
        <f ca="1">IF($R33="","",IF($S33&lt;&gt;NVLSX!$N$6492,INDEX(TongVTSX!E$3:E$1500,$R33),INDEX(TongVTSX!G$3:G$1500,$R33)))</f>
        <v/>
      </c>
      <c r="G33" s="730" t="str">
        <f ca="1">IF($R33="","",INDEX(TongVTSX!F$3:F$1500,$R33))</f>
        <v/>
      </c>
      <c r="H33" s="731">
        <f ca="1">IF($S33=$T$7,INDEX(TongVTSX!$K$3:$K$1500,$R33)/INDEX(TongVTSX!$G$3:$G$1500,$R33),IF($S33=$T$2,ROUNDUP(SUMPRODUCT((TongVTSX!$C$3:$C$1500=$D33)*(TongVTSX!$E$3:$E$1500=$F33)*(TongVTSX!$S$3:$S$1500=TongVTSX!$S$2)*(TongVTSX!$K$3:$K$1500))/$V33,0),SUMPRODUCT((TongVTSX!$C$3:$C$1500=$D33)*(TongVTSX!$E$3:$E$1500=$F33)*(TongVTSX!$S$3:$S$1500=TongVTSX!$S$2)*(TongVTSX!$K$3:$K$1500))))</f>
        <v>0</v>
      </c>
      <c r="I33" s="731">
        <f ca="1">IF($S33=$T$2,ROUNDUP(SUMPRODUCT((TongVTSX!$C$3:$C$1500=$D33)*(TongVTSX!$E$3:$E$1500=$F33)*(TongVTSX!$S$3:$S$1500=TongVTSX!$S$2)*(TongVTSX!$K$3:$K$1500))/$V33,2),0)</f>
        <v>0</v>
      </c>
      <c r="J33" s="731"/>
      <c r="K33" s="731"/>
      <c r="L33" s="732"/>
      <c r="M33" s="732" t="str">
        <f t="shared" ca="1" si="1"/>
        <v/>
      </c>
      <c r="N33" s="732"/>
      <c r="O33" s="732">
        <f ca="1">IF($S33=$T$7,INDEX(TongVTSX!$O$3:$O$1500,$R33),IF($S33=$T$2,INDEX(TongVTSX!$M$3:$M$1500,$R33)*$V33*$H33,SUMPRODUCT((TongVTSX!$C$3:$C$1500=$D33)*(TongVTSX!$E$3:$E$1500=$F33)*(TongVTSX!$S$3:$S$1500=TongVTSX!$S$2)*(TongVTSX!$O$3:$O$1500))))</f>
        <v>0</v>
      </c>
      <c r="P33" s="1150">
        <f ca="1">IF($S33=$T$7,INDEX(TongVTSX!$O$3:$O$1500,$R33),IF($S33=$T$2,INDEX(TongVTSX!$M$3:$M$1500,$R33)*$I33*$V33,SUMPRODUCT((TongVTSX!$C$3:$C$1500=$D33)*(TongVTSX!$E$3:$E$1500=$F33)*(TongVTSX!$S$3:$S$1500=TongVTSX!$S$2)*(TongVTSX!$O$3:$O$1500))))</f>
        <v>0</v>
      </c>
      <c r="Q33" s="1155" t="str">
        <f ca="1">IFERROR(INDEX(NVLSX!$AA$2:$AA$6756,MATCH($D33,NVLSX!$E$2:$E$6756,0)),"")</f>
        <v/>
      </c>
      <c r="R33" s="75" t="str">
        <f ca="1">IF(S33="","",IF(S33&lt;&gt;S32,IF(TYPE(MATCH(S33,TongVTSX!$Q$3:$Q$1500,0))=16,"",MATCH(S33,TongVTSX!$Q$3:$Q$1500,0)),IF(TYPE(MATCH(S33,OFFSET(TongVTSX!$Q$3,R32,0):'TongVTSX'!$Q$1500,0)+R32)=16,"",MATCH(S33,OFFSET(TongVTSX!$Q$3,R32,0):'TongVTSX'!$Q$1500,0)+R32)))</f>
        <v/>
      </c>
      <c r="S33" s="76" t="str">
        <f ca="1">IFERROR(IF(COUNTIF($S$3:S32,S32)&lt; INDEX($U$1:$U$7,MATCH($S32,$T$1:$T$7,0)),$S32,INDEX($T$1:$T$7,MATCH($S32,$T$1:$T$7,0)+1)),"")</f>
        <v/>
      </c>
      <c r="V33" s="1133" t="str">
        <f ca="1">IFERROR(INDEX(NVLSX!$U$2:$U$6941,MATCH($D33,NVLSX!$E$2:$E$6941,0)),"")</f>
        <v/>
      </c>
      <c r="W33" s="1143"/>
      <c r="X33" s="1143"/>
    </row>
    <row r="34" spans="1:24">
      <c r="A34" s="19" t="str">
        <f t="shared" ca="1" si="0"/>
        <v/>
      </c>
      <c r="B34" s="1146" t="str">
        <f ca="1">IFERROR(INDEX(NVLSX!$Y$2:$Y$6756,MATCH($D34,NVLSX!$E$2:$E$6756,0)),"")</f>
        <v/>
      </c>
      <c r="C34" s="1146" t="str">
        <f ca="1">IFERROR(INDEX(NVLSX!$Z$2:$Z$6756,MATCH($D34,NVLSX!$E$2:$E$6756,0)),"")</f>
        <v/>
      </c>
      <c r="D34" s="729" t="str">
        <f ca="1">IF($R34="","",INDEX(TongVTSX!C$3:C$1500,$R34))</f>
        <v/>
      </c>
      <c r="E34" s="729" t="str">
        <f ca="1">IF($R34="","",IF($S34=$T$7,INDEX(TongVTSX!D$3:D$1500,$R34) &amp;  " (" &amp; INDEX(TongVTSX!A$3:A$1500,$R34) &amp; ")",INDEX(TongVTSX!D$3:D$1500,$R34)))</f>
        <v/>
      </c>
      <c r="F34" s="874" t="str">
        <f ca="1">IF($R34="","",IF($S34&lt;&gt;NVLSX!$N$6492,INDEX(TongVTSX!E$3:E$1500,$R34),INDEX(TongVTSX!G$3:G$1500,$R34)))</f>
        <v/>
      </c>
      <c r="G34" s="730" t="str">
        <f ca="1">IF($R34="","",INDEX(TongVTSX!F$3:F$1500,$R34))</f>
        <v/>
      </c>
      <c r="H34" s="731">
        <f ca="1">IF($S34=$T$7,INDEX(TongVTSX!$K$3:$K$1500,$R34)/INDEX(TongVTSX!$G$3:$G$1500,$R34),IF($S34=$T$2,ROUNDUP(SUMPRODUCT((TongVTSX!$C$3:$C$1500=$D34)*(TongVTSX!$E$3:$E$1500=$F34)*(TongVTSX!$S$3:$S$1500=TongVTSX!$S$2)*(TongVTSX!$K$3:$K$1500))/$V34,0),SUMPRODUCT((TongVTSX!$C$3:$C$1500=$D34)*(TongVTSX!$E$3:$E$1500=$F34)*(TongVTSX!$S$3:$S$1500=TongVTSX!$S$2)*(TongVTSX!$K$3:$K$1500))))</f>
        <v>0</v>
      </c>
      <c r="I34" s="731">
        <f ca="1">IF($S34=$T$2,ROUNDUP(SUMPRODUCT((TongVTSX!$C$3:$C$1500=$D34)*(TongVTSX!$E$3:$E$1500=$F34)*(TongVTSX!$S$3:$S$1500=TongVTSX!$S$2)*(TongVTSX!$K$3:$K$1500))/$V34,2),0)</f>
        <v>0</v>
      </c>
      <c r="J34" s="731"/>
      <c r="K34" s="731"/>
      <c r="L34" s="732"/>
      <c r="M34" s="732" t="str">
        <f t="shared" ca="1" si="1"/>
        <v/>
      </c>
      <c r="N34" s="732"/>
      <c r="O34" s="732">
        <f ca="1">IF($S34=$T$7,INDEX(TongVTSX!$O$3:$O$1500,$R34),IF($S34=$T$2,INDEX(TongVTSX!$M$3:$M$1500,$R34)*$V34*$H34,SUMPRODUCT((TongVTSX!$C$3:$C$1500=$D34)*(TongVTSX!$E$3:$E$1500=$F34)*(TongVTSX!$S$3:$S$1500=TongVTSX!$S$2)*(TongVTSX!$O$3:$O$1500))))</f>
        <v>0</v>
      </c>
      <c r="P34" s="1150">
        <f ca="1">IF($S34=$T$7,INDEX(TongVTSX!$O$3:$O$1500,$R34),IF($S34=$T$2,INDEX(TongVTSX!$M$3:$M$1500,$R34)*$I34*$V34,SUMPRODUCT((TongVTSX!$C$3:$C$1500=$D34)*(TongVTSX!$E$3:$E$1500=$F34)*(TongVTSX!$S$3:$S$1500=TongVTSX!$S$2)*(TongVTSX!$O$3:$O$1500))))</f>
        <v>0</v>
      </c>
      <c r="Q34" s="1155" t="str">
        <f ca="1">IFERROR(INDEX(NVLSX!$AA$2:$AA$6756,MATCH($D34,NVLSX!$E$2:$E$6756,0)),"")</f>
        <v/>
      </c>
      <c r="R34" s="75" t="str">
        <f ca="1">IF(S34="","",IF(S34&lt;&gt;S33,IF(TYPE(MATCH(S34,TongVTSX!$Q$3:$Q$1500,0))=16,"",MATCH(S34,TongVTSX!$Q$3:$Q$1500,0)),IF(TYPE(MATCH(S34,OFFSET(TongVTSX!$Q$3,R33,0):'TongVTSX'!$Q$1500,0)+R33)=16,"",MATCH(S34,OFFSET(TongVTSX!$Q$3,R33,0):'TongVTSX'!$Q$1500,0)+R33)))</f>
        <v/>
      </c>
      <c r="S34" s="76" t="str">
        <f ca="1">IFERROR(IF(COUNTIF($S$3:S33,S33)&lt; INDEX($U$1:$U$7,MATCH($S33,$T$1:$T$7,0)),$S33,INDEX($T$1:$T$7,MATCH($S33,$T$1:$T$7,0)+1)),"")</f>
        <v/>
      </c>
      <c r="V34" s="1133" t="str">
        <f ca="1">IFERROR(INDEX(NVLSX!$U$2:$U$6941,MATCH($D34,NVLSX!$E$2:$E$6941,0)),"")</f>
        <v/>
      </c>
      <c r="W34" s="1143"/>
      <c r="X34" s="1143"/>
    </row>
    <row r="35" spans="1:24">
      <c r="A35" s="19" t="str">
        <f t="shared" ref="A35:A66" ca="1" si="2">IF($S35="","",IF($S35&lt;&gt;$S34,1,$A34+1))</f>
        <v/>
      </c>
      <c r="B35" s="1146" t="str">
        <f ca="1">IFERROR(INDEX(NVLSX!$Y$2:$Y$6756,MATCH($D35,NVLSX!$E$2:$E$6756,0)),"")</f>
        <v/>
      </c>
      <c r="C35" s="1146" t="str">
        <f ca="1">IFERROR(INDEX(NVLSX!$Z$2:$Z$6756,MATCH($D35,NVLSX!$E$2:$E$6756,0)),"")</f>
        <v/>
      </c>
      <c r="D35" s="729" t="str">
        <f ca="1">IF($R35="","",INDEX(TongVTSX!C$3:C$1500,$R35))</f>
        <v/>
      </c>
      <c r="E35" s="729" t="str">
        <f ca="1">IF($R35="","",IF($S35=$T$7,INDEX(TongVTSX!D$3:D$1500,$R35) &amp;  " (" &amp; INDEX(TongVTSX!A$3:A$1500,$R35) &amp; ")",INDEX(TongVTSX!D$3:D$1500,$R35)))</f>
        <v/>
      </c>
      <c r="F35" s="874" t="str">
        <f ca="1">IF($R35="","",IF($S35&lt;&gt;NVLSX!$N$6492,INDEX(TongVTSX!E$3:E$1500,$R35),INDEX(TongVTSX!G$3:G$1500,$R35)))</f>
        <v/>
      </c>
      <c r="G35" s="730" t="str">
        <f ca="1">IF($R35="","",INDEX(TongVTSX!F$3:F$1500,$R35))</f>
        <v/>
      </c>
      <c r="H35" s="731">
        <f ca="1">IF($S35=$T$7,INDEX(TongVTSX!$K$3:$K$1500,$R35)/INDEX(TongVTSX!$G$3:$G$1500,$R35),IF($S35=$T$2,ROUNDUP(SUMPRODUCT((TongVTSX!$C$3:$C$1500=$D35)*(TongVTSX!$E$3:$E$1500=$F35)*(TongVTSX!$S$3:$S$1500=TongVTSX!$S$2)*(TongVTSX!$K$3:$K$1500))/$V35,0),SUMPRODUCT((TongVTSX!$C$3:$C$1500=$D35)*(TongVTSX!$E$3:$E$1500=$F35)*(TongVTSX!$S$3:$S$1500=TongVTSX!$S$2)*(TongVTSX!$K$3:$K$1500))))</f>
        <v>0</v>
      </c>
      <c r="I35" s="731">
        <f ca="1">IF($S35=$T$2,ROUNDUP(SUMPRODUCT((TongVTSX!$C$3:$C$1500=$D35)*(TongVTSX!$E$3:$E$1500=$F35)*(TongVTSX!$S$3:$S$1500=TongVTSX!$S$2)*(TongVTSX!$K$3:$K$1500))/$V35,2),0)</f>
        <v>0</v>
      </c>
      <c r="J35" s="731"/>
      <c r="K35" s="731"/>
      <c r="L35" s="732"/>
      <c r="M35" s="732" t="str">
        <f t="shared" ca="1" si="1"/>
        <v/>
      </c>
      <c r="N35" s="732"/>
      <c r="O35" s="732">
        <f ca="1">IF($S35=$T$7,INDEX(TongVTSX!$O$3:$O$1500,$R35),IF($S35=$T$2,INDEX(TongVTSX!$M$3:$M$1500,$R35)*$V35*$H35,SUMPRODUCT((TongVTSX!$C$3:$C$1500=$D35)*(TongVTSX!$E$3:$E$1500=$F35)*(TongVTSX!$S$3:$S$1500=TongVTSX!$S$2)*(TongVTSX!$O$3:$O$1500))))</f>
        <v>0</v>
      </c>
      <c r="P35" s="1150">
        <f ca="1">IF($S35=$T$7,INDEX(TongVTSX!$O$3:$O$1500,$R35),IF($S35=$T$2,INDEX(TongVTSX!$M$3:$M$1500,$R35)*$I35*$V35,SUMPRODUCT((TongVTSX!$C$3:$C$1500=$D35)*(TongVTSX!$E$3:$E$1500=$F35)*(TongVTSX!$S$3:$S$1500=TongVTSX!$S$2)*(TongVTSX!$O$3:$O$1500))))</f>
        <v>0</v>
      </c>
      <c r="Q35" s="1155" t="str">
        <f ca="1">IFERROR(INDEX(NVLSX!$AA$2:$AA$6756,MATCH($D35,NVLSX!$E$2:$E$6756,0)),"")</f>
        <v/>
      </c>
      <c r="R35" s="75" t="str">
        <f ca="1">IF(S35="","",IF(S35&lt;&gt;S34,IF(TYPE(MATCH(S35,TongVTSX!$Q$3:$Q$1500,0))=16,"",MATCH(S35,TongVTSX!$Q$3:$Q$1500,0)),IF(TYPE(MATCH(S35,OFFSET(TongVTSX!$Q$3,R34,0):'TongVTSX'!$Q$1500,0)+R34)=16,"",MATCH(S35,OFFSET(TongVTSX!$Q$3,R34,0):'TongVTSX'!$Q$1500,0)+R34)))</f>
        <v/>
      </c>
      <c r="S35" s="76" t="str">
        <f ca="1">IFERROR(IF(COUNTIF($S$3:S34,S34)&lt; INDEX($U$1:$U$7,MATCH($S34,$T$1:$T$7,0)),$S34,INDEX($T$1:$T$7,MATCH($S34,$T$1:$T$7,0)+1)),"")</f>
        <v/>
      </c>
      <c r="V35" s="1133" t="str">
        <f ca="1">IFERROR(INDEX(NVLSX!$U$2:$U$6941,MATCH($D35,NVLSX!$E$2:$E$6941,0)),"")</f>
        <v/>
      </c>
      <c r="W35" s="1143"/>
      <c r="X35" s="1143"/>
    </row>
    <row r="36" spans="1:24">
      <c r="A36" s="19" t="str">
        <f t="shared" ca="1" si="2"/>
        <v/>
      </c>
      <c r="B36" s="1146" t="str">
        <f ca="1">IFERROR(INDEX(NVLSX!$Y$2:$Y$6756,MATCH($D36,NVLSX!$E$2:$E$6756,0)),"")</f>
        <v/>
      </c>
      <c r="C36" s="1146" t="str">
        <f ca="1">IFERROR(INDEX(NVLSX!$Z$2:$Z$6756,MATCH($D36,NVLSX!$E$2:$E$6756,0)),"")</f>
        <v/>
      </c>
      <c r="D36" s="729" t="str">
        <f ca="1">IF($R36="","",INDEX(TongVTSX!C$3:C$1500,$R36))</f>
        <v/>
      </c>
      <c r="E36" s="729" t="str">
        <f ca="1">IF($R36="","",IF($S36=$T$7,INDEX(TongVTSX!D$3:D$1500,$R36) &amp;  " (" &amp; INDEX(TongVTSX!A$3:A$1500,$R36) &amp; ")",INDEX(TongVTSX!D$3:D$1500,$R36)))</f>
        <v/>
      </c>
      <c r="F36" s="874" t="str">
        <f ca="1">IF($R36="","",IF($S36&lt;&gt;NVLSX!$N$6492,INDEX(TongVTSX!E$3:E$1500,$R36),INDEX(TongVTSX!G$3:G$1500,$R36)))</f>
        <v/>
      </c>
      <c r="G36" s="730" t="str">
        <f ca="1">IF($R36="","",INDEX(TongVTSX!F$3:F$1500,$R36))</f>
        <v/>
      </c>
      <c r="H36" s="731">
        <f ca="1">IF($S36=$T$7,INDEX(TongVTSX!$K$3:$K$1500,$R36)/INDEX(TongVTSX!$G$3:$G$1500,$R36),IF($S36=$T$2,ROUNDUP(SUMPRODUCT((TongVTSX!$C$3:$C$1500=$D36)*(TongVTSX!$E$3:$E$1500=$F36)*(TongVTSX!$S$3:$S$1500=TongVTSX!$S$2)*(TongVTSX!$K$3:$K$1500))/$V36,0),SUMPRODUCT((TongVTSX!$C$3:$C$1500=$D36)*(TongVTSX!$E$3:$E$1500=$F36)*(TongVTSX!$S$3:$S$1500=TongVTSX!$S$2)*(TongVTSX!$K$3:$K$1500))))</f>
        <v>0</v>
      </c>
      <c r="I36" s="731">
        <f ca="1">IF($S36=$T$2,ROUNDUP(SUMPRODUCT((TongVTSX!$C$3:$C$1500=$D36)*(TongVTSX!$E$3:$E$1500=$F36)*(TongVTSX!$S$3:$S$1500=TongVTSX!$S$2)*(TongVTSX!$K$3:$K$1500))/$V36,2),0)</f>
        <v>0</v>
      </c>
      <c r="J36" s="731"/>
      <c r="K36" s="731"/>
      <c r="L36" s="732"/>
      <c r="M36" s="732" t="str">
        <f t="shared" ca="1" si="1"/>
        <v/>
      </c>
      <c r="N36" s="732"/>
      <c r="O36" s="732">
        <f ca="1">IF($S36=$T$7,INDEX(TongVTSX!$O$3:$O$1500,$R36),IF($S36=$T$2,INDEX(TongVTSX!$M$3:$M$1500,$R36)*$V36*$H36,SUMPRODUCT((TongVTSX!$C$3:$C$1500=$D36)*(TongVTSX!$E$3:$E$1500=$F36)*(TongVTSX!$S$3:$S$1500=TongVTSX!$S$2)*(TongVTSX!$O$3:$O$1500))))</f>
        <v>0</v>
      </c>
      <c r="P36" s="1150">
        <f ca="1">IF($S36=$T$7,INDEX(TongVTSX!$O$3:$O$1500,$R36),IF($S36=$T$2,INDEX(TongVTSX!$M$3:$M$1500,$R36)*$I36*$V36,SUMPRODUCT((TongVTSX!$C$3:$C$1500=$D36)*(TongVTSX!$E$3:$E$1500=$F36)*(TongVTSX!$S$3:$S$1500=TongVTSX!$S$2)*(TongVTSX!$O$3:$O$1500))))</f>
        <v>0</v>
      </c>
      <c r="Q36" s="1155" t="str">
        <f ca="1">IFERROR(INDEX(NVLSX!$AA$2:$AA$6756,MATCH($D36,NVLSX!$E$2:$E$6756,0)),"")</f>
        <v/>
      </c>
      <c r="R36" s="75" t="str">
        <f ca="1">IF(S36="","",IF(S36&lt;&gt;S35,IF(TYPE(MATCH(S36,TongVTSX!$Q$3:$Q$1500,0))=16,"",MATCH(S36,TongVTSX!$Q$3:$Q$1500,0)),IF(TYPE(MATCH(S36,OFFSET(TongVTSX!$Q$3,R35,0):'TongVTSX'!$Q$1500,0)+R35)=16,"",MATCH(S36,OFFSET(TongVTSX!$Q$3,R35,0):'TongVTSX'!$Q$1500,0)+R35)))</f>
        <v/>
      </c>
      <c r="S36" s="76" t="str">
        <f ca="1">IFERROR(IF(COUNTIF($S$3:S35,S35)&lt; INDEX($U$1:$U$7,MATCH($S35,$T$1:$T$7,0)),$S35,INDEX($T$1:$T$7,MATCH($S35,$T$1:$T$7,0)+1)),"")</f>
        <v/>
      </c>
      <c r="V36" s="1133" t="str">
        <f ca="1">IFERROR(INDEX(NVLSX!$U$2:$U$6941,MATCH($D36,NVLSX!$E$2:$E$6941,0)),"")</f>
        <v/>
      </c>
      <c r="W36" s="1143"/>
      <c r="X36" s="1143"/>
    </row>
    <row r="37" spans="1:24">
      <c r="A37" s="19" t="str">
        <f t="shared" ca="1" si="2"/>
        <v/>
      </c>
      <c r="B37" s="1146" t="str">
        <f ca="1">IFERROR(INDEX(NVLSX!$Y$2:$Y$6756,MATCH($D37,NVLSX!$E$2:$E$6756,0)),"")</f>
        <v/>
      </c>
      <c r="C37" s="1146" t="str">
        <f ca="1">IFERROR(INDEX(NVLSX!$Z$2:$Z$6756,MATCH($D37,NVLSX!$E$2:$E$6756,0)),"")</f>
        <v/>
      </c>
      <c r="D37" s="729" t="str">
        <f ca="1">IF($R37="","",INDEX(TongVTSX!C$3:C$1500,$R37))</f>
        <v/>
      </c>
      <c r="E37" s="729" t="str">
        <f ca="1">IF($R37="","",IF($S37=$T$7,INDEX(TongVTSX!D$3:D$1500,$R37) &amp;  " (" &amp; INDEX(TongVTSX!A$3:A$1500,$R37) &amp; ")",INDEX(TongVTSX!D$3:D$1500,$R37)))</f>
        <v/>
      </c>
      <c r="F37" s="874" t="str">
        <f ca="1">IF($R37="","",IF($S37&lt;&gt;NVLSX!$N$6492,INDEX(TongVTSX!E$3:E$1500,$R37),INDEX(TongVTSX!G$3:G$1500,$R37)))</f>
        <v/>
      </c>
      <c r="G37" s="730" t="str">
        <f ca="1">IF($R37="","",INDEX(TongVTSX!F$3:F$1500,$R37))</f>
        <v/>
      </c>
      <c r="H37" s="731">
        <f ca="1">IF($S37=$T$7,INDEX(TongVTSX!$K$3:$K$1500,$R37)/INDEX(TongVTSX!$G$3:$G$1500,$R37),IF($S37=$T$2,ROUNDUP(SUMPRODUCT((TongVTSX!$C$3:$C$1500=$D37)*(TongVTSX!$E$3:$E$1500=$F37)*(TongVTSX!$S$3:$S$1500=TongVTSX!$S$2)*(TongVTSX!$K$3:$K$1500))/$V37,0),SUMPRODUCT((TongVTSX!$C$3:$C$1500=$D37)*(TongVTSX!$E$3:$E$1500=$F37)*(TongVTSX!$S$3:$S$1500=TongVTSX!$S$2)*(TongVTSX!$K$3:$K$1500))))</f>
        <v>0</v>
      </c>
      <c r="I37" s="731">
        <f ca="1">IF($S37=$T$2,ROUNDUP(SUMPRODUCT((TongVTSX!$C$3:$C$1500=$D37)*(TongVTSX!$E$3:$E$1500=$F37)*(TongVTSX!$S$3:$S$1500=TongVTSX!$S$2)*(TongVTSX!$K$3:$K$1500))/$V37,2),0)</f>
        <v>0</v>
      </c>
      <c r="J37" s="731"/>
      <c r="K37" s="731"/>
      <c r="L37" s="732"/>
      <c r="M37" s="732" t="str">
        <f t="shared" ca="1" si="1"/>
        <v/>
      </c>
      <c r="N37" s="732"/>
      <c r="O37" s="732">
        <f ca="1">IF($S37=$T$7,INDEX(TongVTSX!$O$3:$O$1500,$R37),IF($S37=$T$2,INDEX(TongVTSX!$M$3:$M$1500,$R37)*$V37*$H37,SUMPRODUCT((TongVTSX!$C$3:$C$1500=$D37)*(TongVTSX!$E$3:$E$1500=$F37)*(TongVTSX!$S$3:$S$1500=TongVTSX!$S$2)*(TongVTSX!$O$3:$O$1500))))</f>
        <v>0</v>
      </c>
      <c r="P37" s="1150">
        <f ca="1">IF($S37=$T$7,INDEX(TongVTSX!$O$3:$O$1500,$R37),IF($S37=$T$2,INDEX(TongVTSX!$M$3:$M$1500,$R37)*$I37*$V37,SUMPRODUCT((TongVTSX!$C$3:$C$1500=$D37)*(TongVTSX!$E$3:$E$1500=$F37)*(TongVTSX!$S$3:$S$1500=TongVTSX!$S$2)*(TongVTSX!$O$3:$O$1500))))</f>
        <v>0</v>
      </c>
      <c r="Q37" s="1155" t="str">
        <f ca="1">IFERROR(INDEX(NVLSX!$AA$2:$AA$6756,MATCH($D37,NVLSX!$E$2:$E$6756,0)),"")</f>
        <v/>
      </c>
      <c r="R37" s="75" t="str">
        <f ca="1">IF(S37="","",IF(S37&lt;&gt;S36,IF(TYPE(MATCH(S37,TongVTSX!$Q$3:$Q$1500,0))=16,"",MATCH(S37,TongVTSX!$Q$3:$Q$1500,0)),IF(TYPE(MATCH(S37,OFFSET(TongVTSX!$Q$3,R36,0):'TongVTSX'!$Q$1500,0)+R36)=16,"",MATCH(S37,OFFSET(TongVTSX!$Q$3,R36,0):'TongVTSX'!$Q$1500,0)+R36)))</f>
        <v/>
      </c>
      <c r="S37" s="76" t="str">
        <f ca="1">IFERROR(IF(COUNTIF($S$3:S36,S36)&lt; INDEX($U$1:$U$7,MATCH($S36,$T$1:$T$7,0)),$S36,INDEX($T$1:$T$7,MATCH($S36,$T$1:$T$7,0)+1)),"")</f>
        <v/>
      </c>
      <c r="V37" s="1133" t="str">
        <f ca="1">IFERROR(INDEX(NVLSX!$U$2:$U$6941,MATCH($D37,NVLSX!$E$2:$E$6941,0)),"")</f>
        <v/>
      </c>
      <c r="W37" s="1143"/>
      <c r="X37" s="1143"/>
    </row>
    <row r="38" spans="1:24">
      <c r="A38" s="19" t="str">
        <f t="shared" ca="1" si="2"/>
        <v/>
      </c>
      <c r="B38" s="1146" t="str">
        <f ca="1">IFERROR(INDEX(NVLSX!$Y$2:$Y$6756,MATCH($D38,NVLSX!$E$2:$E$6756,0)),"")</f>
        <v/>
      </c>
      <c r="C38" s="1146" t="str">
        <f ca="1">IFERROR(INDEX(NVLSX!$Z$2:$Z$6756,MATCH($D38,NVLSX!$E$2:$E$6756,0)),"")</f>
        <v/>
      </c>
      <c r="D38" s="729" t="str">
        <f ca="1">IF($R38="","",INDEX(TongVTSX!C$3:C$1500,$R38))</f>
        <v/>
      </c>
      <c r="E38" s="729" t="str">
        <f ca="1">IF($R38="","",IF($S38=$T$7,INDEX(TongVTSX!D$3:D$1500,$R38) &amp;  " (" &amp; INDEX(TongVTSX!A$3:A$1500,$R38) &amp; ")",INDEX(TongVTSX!D$3:D$1500,$R38)))</f>
        <v/>
      </c>
      <c r="F38" s="874" t="str">
        <f ca="1">IF($R38="","",IF($S38&lt;&gt;NVLSX!$N$6492,INDEX(TongVTSX!E$3:E$1500,$R38),INDEX(TongVTSX!G$3:G$1500,$R38)))</f>
        <v/>
      </c>
      <c r="G38" s="730" t="str">
        <f ca="1">IF($R38="","",INDEX(TongVTSX!F$3:F$1500,$R38))</f>
        <v/>
      </c>
      <c r="H38" s="731">
        <f ca="1">IF($S38=$T$7,INDEX(TongVTSX!$K$3:$K$1500,$R38)/INDEX(TongVTSX!$G$3:$G$1500,$R38),IF($S38=$T$2,ROUNDUP(SUMPRODUCT((TongVTSX!$C$3:$C$1500=$D38)*(TongVTSX!$E$3:$E$1500=$F38)*(TongVTSX!$S$3:$S$1500=TongVTSX!$S$2)*(TongVTSX!$K$3:$K$1500))/$V38,0),SUMPRODUCT((TongVTSX!$C$3:$C$1500=$D38)*(TongVTSX!$E$3:$E$1500=$F38)*(TongVTSX!$S$3:$S$1500=TongVTSX!$S$2)*(TongVTSX!$K$3:$K$1500))))</f>
        <v>0</v>
      </c>
      <c r="I38" s="731">
        <f ca="1">IF($S38=$T$2,ROUNDUP(SUMPRODUCT((TongVTSX!$C$3:$C$1500=$D38)*(TongVTSX!$E$3:$E$1500=$F38)*(TongVTSX!$S$3:$S$1500=TongVTSX!$S$2)*(TongVTSX!$K$3:$K$1500))/$V38,2),0)</f>
        <v>0</v>
      </c>
      <c r="J38" s="731"/>
      <c r="K38" s="731"/>
      <c r="L38" s="732"/>
      <c r="M38" s="732" t="str">
        <f t="shared" ca="1" si="1"/>
        <v/>
      </c>
      <c r="N38" s="732"/>
      <c r="O38" s="732">
        <f ca="1">IF($S38=$T$7,INDEX(TongVTSX!$O$3:$O$1500,$R38),IF($S38=$T$2,INDEX(TongVTSX!$M$3:$M$1500,$R38)*$V38*$H38,SUMPRODUCT((TongVTSX!$C$3:$C$1500=$D38)*(TongVTSX!$E$3:$E$1500=$F38)*(TongVTSX!$S$3:$S$1500=TongVTSX!$S$2)*(TongVTSX!$O$3:$O$1500))))</f>
        <v>0</v>
      </c>
      <c r="P38" s="1150">
        <f ca="1">IF($S38=$T$7,INDEX(TongVTSX!$O$3:$O$1500,$R38),IF($S38=$T$2,INDEX(TongVTSX!$M$3:$M$1500,$R38)*$I38*$V38,SUMPRODUCT((TongVTSX!$C$3:$C$1500=$D38)*(TongVTSX!$E$3:$E$1500=$F38)*(TongVTSX!$S$3:$S$1500=TongVTSX!$S$2)*(TongVTSX!$O$3:$O$1500))))</f>
        <v>0</v>
      </c>
      <c r="Q38" s="1155" t="str">
        <f ca="1">IFERROR(INDEX(NVLSX!$AA$2:$AA$6756,MATCH($D38,NVLSX!$E$2:$E$6756,0)),"")</f>
        <v/>
      </c>
      <c r="R38" s="75" t="str">
        <f ca="1">IF(S38="","",IF(S38&lt;&gt;S37,IF(TYPE(MATCH(S38,TongVTSX!$Q$3:$Q$1500,0))=16,"",MATCH(S38,TongVTSX!$Q$3:$Q$1500,0)),IF(TYPE(MATCH(S38,OFFSET(TongVTSX!$Q$3,R37,0):'TongVTSX'!$Q$1500,0)+R37)=16,"",MATCH(S38,OFFSET(TongVTSX!$Q$3,R37,0):'TongVTSX'!$Q$1500,0)+R37)))</f>
        <v/>
      </c>
      <c r="S38" s="76" t="str">
        <f ca="1">IFERROR(IF(COUNTIF($S$3:S37,S37)&lt; INDEX($U$1:$U$7,MATCH($S37,$T$1:$T$7,0)),$S37,INDEX($T$1:$T$7,MATCH($S37,$T$1:$T$7,0)+1)),"")</f>
        <v/>
      </c>
      <c r="V38" s="1133" t="str">
        <f ca="1">IFERROR(INDEX(NVLSX!$U$2:$U$6941,MATCH($D38,NVLSX!$E$2:$E$6941,0)),"")</f>
        <v/>
      </c>
      <c r="W38" s="1143"/>
      <c r="X38" s="1143"/>
    </row>
    <row r="39" spans="1:24">
      <c r="A39" s="19" t="str">
        <f t="shared" ca="1" si="2"/>
        <v/>
      </c>
      <c r="B39" s="1146" t="str">
        <f ca="1">IFERROR(INDEX(NVLSX!$Y$2:$Y$6756,MATCH($D39,NVLSX!$E$2:$E$6756,0)),"")</f>
        <v/>
      </c>
      <c r="C39" s="1146" t="str">
        <f ca="1">IFERROR(INDEX(NVLSX!$Z$2:$Z$6756,MATCH($D39,NVLSX!$E$2:$E$6756,0)),"")</f>
        <v/>
      </c>
      <c r="D39" s="729" t="str">
        <f ca="1">IF($R39="","",INDEX(TongVTSX!C$3:C$1500,$R39))</f>
        <v/>
      </c>
      <c r="E39" s="729" t="str">
        <f ca="1">IF($R39="","",IF($S39=$T$7,INDEX(TongVTSX!D$3:D$1500,$R39) &amp;  " (" &amp; INDEX(TongVTSX!A$3:A$1500,$R39) &amp; ")",INDEX(TongVTSX!D$3:D$1500,$R39)))</f>
        <v/>
      </c>
      <c r="F39" s="874" t="str">
        <f ca="1">IF($R39="","",IF($S39&lt;&gt;NVLSX!$N$6492,INDEX(TongVTSX!E$3:E$1500,$R39),INDEX(TongVTSX!G$3:G$1500,$R39)))</f>
        <v/>
      </c>
      <c r="G39" s="730" t="str">
        <f ca="1">IF($R39="","",INDEX(TongVTSX!F$3:F$1500,$R39))</f>
        <v/>
      </c>
      <c r="H39" s="731">
        <f ca="1">IF($S39=$T$7,INDEX(TongVTSX!$K$3:$K$1500,$R39)/INDEX(TongVTSX!$G$3:$G$1500,$R39),IF($S39=$T$2,ROUNDUP(SUMPRODUCT((TongVTSX!$C$3:$C$1500=$D39)*(TongVTSX!$E$3:$E$1500=$F39)*(TongVTSX!$S$3:$S$1500=TongVTSX!$S$2)*(TongVTSX!$K$3:$K$1500))/$V39,0),SUMPRODUCT((TongVTSX!$C$3:$C$1500=$D39)*(TongVTSX!$E$3:$E$1500=$F39)*(TongVTSX!$S$3:$S$1500=TongVTSX!$S$2)*(TongVTSX!$K$3:$K$1500))))</f>
        <v>0</v>
      </c>
      <c r="I39" s="731">
        <f ca="1">IF($S39=$T$2,ROUNDUP(SUMPRODUCT((TongVTSX!$C$3:$C$1500=$D39)*(TongVTSX!$E$3:$E$1500=$F39)*(TongVTSX!$S$3:$S$1500=TongVTSX!$S$2)*(TongVTSX!$K$3:$K$1500))/$V39,2),0)</f>
        <v>0</v>
      </c>
      <c r="J39" s="731"/>
      <c r="K39" s="731"/>
      <c r="L39" s="732"/>
      <c r="M39" s="732" t="str">
        <f t="shared" ca="1" si="1"/>
        <v/>
      </c>
      <c r="N39" s="732"/>
      <c r="O39" s="732">
        <f ca="1">IF($S39=$T$7,INDEX(TongVTSX!$O$3:$O$1500,$R39),IF($S39=$T$2,INDEX(TongVTSX!$M$3:$M$1500,$R39)*$V39*$H39,SUMPRODUCT((TongVTSX!$C$3:$C$1500=$D39)*(TongVTSX!$E$3:$E$1500=$F39)*(TongVTSX!$S$3:$S$1500=TongVTSX!$S$2)*(TongVTSX!$O$3:$O$1500))))</f>
        <v>0</v>
      </c>
      <c r="P39" s="1150">
        <f ca="1">IF($S39=$T$7,INDEX(TongVTSX!$O$3:$O$1500,$R39),IF($S39=$T$2,INDEX(TongVTSX!$M$3:$M$1500,$R39)*$I39*$V39,SUMPRODUCT((TongVTSX!$C$3:$C$1500=$D39)*(TongVTSX!$E$3:$E$1500=$F39)*(TongVTSX!$S$3:$S$1500=TongVTSX!$S$2)*(TongVTSX!$O$3:$O$1500))))</f>
        <v>0</v>
      </c>
      <c r="Q39" s="1155" t="str">
        <f ca="1">IFERROR(INDEX(NVLSX!$AA$2:$AA$6756,MATCH($D39,NVLSX!$E$2:$E$6756,0)),"")</f>
        <v/>
      </c>
      <c r="R39" s="75" t="str">
        <f ca="1">IF(S39="","",IF(S39&lt;&gt;S38,IF(TYPE(MATCH(S39,TongVTSX!$Q$3:$Q$1500,0))=16,"",MATCH(S39,TongVTSX!$Q$3:$Q$1500,0)),IF(TYPE(MATCH(S39,OFFSET(TongVTSX!$Q$3,R38,0):'TongVTSX'!$Q$1500,0)+R38)=16,"",MATCH(S39,OFFSET(TongVTSX!$Q$3,R38,0):'TongVTSX'!$Q$1500,0)+R38)))</f>
        <v/>
      </c>
      <c r="S39" s="76" t="str">
        <f ca="1">IFERROR(IF(COUNTIF($S$3:S38,S38)&lt; INDEX($U$1:$U$7,MATCH($S38,$T$1:$T$7,0)),$S38,INDEX($T$1:$T$7,MATCH($S38,$T$1:$T$7,0)+1)),"")</f>
        <v/>
      </c>
      <c r="V39" s="1133" t="str">
        <f ca="1">IFERROR(INDEX(NVLSX!$U$2:$U$6941,MATCH($D39,NVLSX!$E$2:$E$6941,0)),"")</f>
        <v/>
      </c>
      <c r="W39" s="1143"/>
      <c r="X39" s="1143"/>
    </row>
    <row r="40" spans="1:24">
      <c r="A40" s="19" t="str">
        <f t="shared" ca="1" si="2"/>
        <v/>
      </c>
      <c r="B40" s="1146" t="str">
        <f ca="1">IFERROR(INDEX(NVLSX!$Y$2:$Y$6756,MATCH($D40,NVLSX!$E$2:$E$6756,0)),"")</f>
        <v/>
      </c>
      <c r="C40" s="1146" t="str">
        <f ca="1">IFERROR(INDEX(NVLSX!$Z$2:$Z$6756,MATCH($D40,NVLSX!$E$2:$E$6756,0)),"")</f>
        <v/>
      </c>
      <c r="D40" s="729" t="str">
        <f ca="1">IF($R40="","",INDEX(TongVTSX!C$3:C$1500,$R40))</f>
        <v/>
      </c>
      <c r="E40" s="729" t="str">
        <f ca="1">IF($R40="","",IF($S40=$T$7,INDEX(TongVTSX!D$3:D$1500,$R40) &amp;  " (" &amp; INDEX(TongVTSX!A$3:A$1500,$R40) &amp; ")",INDEX(TongVTSX!D$3:D$1500,$R40)))</f>
        <v/>
      </c>
      <c r="F40" s="874" t="str">
        <f ca="1">IF($R40="","",IF($S40&lt;&gt;NVLSX!$N$6492,INDEX(TongVTSX!E$3:E$1500,$R40),INDEX(TongVTSX!G$3:G$1500,$R40)))</f>
        <v/>
      </c>
      <c r="G40" s="730" t="str">
        <f ca="1">IF($R40="","",INDEX(TongVTSX!F$3:F$1500,$R40))</f>
        <v/>
      </c>
      <c r="H40" s="731">
        <f ca="1">IF($S40=$T$7,INDEX(TongVTSX!$K$3:$K$1500,$R40)/INDEX(TongVTSX!$G$3:$G$1500,$R40),IF($S40=$T$2,ROUNDUP(SUMPRODUCT((TongVTSX!$C$3:$C$1500=$D40)*(TongVTSX!$E$3:$E$1500=$F40)*(TongVTSX!$S$3:$S$1500=TongVTSX!$S$2)*(TongVTSX!$K$3:$K$1500))/$V40,0),SUMPRODUCT((TongVTSX!$C$3:$C$1500=$D40)*(TongVTSX!$E$3:$E$1500=$F40)*(TongVTSX!$S$3:$S$1500=TongVTSX!$S$2)*(TongVTSX!$K$3:$K$1500))))</f>
        <v>0</v>
      </c>
      <c r="I40" s="731">
        <f ca="1">IF($S40=$T$2,ROUNDUP(SUMPRODUCT((TongVTSX!$C$3:$C$1500=$D40)*(TongVTSX!$E$3:$E$1500=$F40)*(TongVTSX!$S$3:$S$1500=TongVTSX!$S$2)*(TongVTSX!$K$3:$K$1500))/$V40,2),0)</f>
        <v>0</v>
      </c>
      <c r="J40" s="731"/>
      <c r="K40" s="731"/>
      <c r="L40" s="732"/>
      <c r="M40" s="732" t="str">
        <f t="shared" ca="1" si="1"/>
        <v/>
      </c>
      <c r="N40" s="732"/>
      <c r="O40" s="732">
        <f ca="1">IF($S40=$T$7,INDEX(TongVTSX!$O$3:$O$1500,$R40),IF($S40=$T$2,INDEX(TongVTSX!$M$3:$M$1500,$R40)*$V40*$H40,SUMPRODUCT((TongVTSX!$C$3:$C$1500=$D40)*(TongVTSX!$E$3:$E$1500=$F40)*(TongVTSX!$S$3:$S$1500=TongVTSX!$S$2)*(TongVTSX!$O$3:$O$1500))))</f>
        <v>0</v>
      </c>
      <c r="P40" s="1150">
        <f ca="1">IF($S40=$T$7,INDEX(TongVTSX!$O$3:$O$1500,$R40),IF($S40=$T$2,INDEX(TongVTSX!$M$3:$M$1500,$R40)*$I40*$V40,SUMPRODUCT((TongVTSX!$C$3:$C$1500=$D40)*(TongVTSX!$E$3:$E$1500=$F40)*(TongVTSX!$S$3:$S$1500=TongVTSX!$S$2)*(TongVTSX!$O$3:$O$1500))))</f>
        <v>0</v>
      </c>
      <c r="Q40" s="1155" t="str">
        <f ca="1">IFERROR(INDEX(NVLSX!$AA$2:$AA$6756,MATCH($D40,NVLSX!$E$2:$E$6756,0)),"")</f>
        <v/>
      </c>
      <c r="R40" s="75" t="str">
        <f ca="1">IF(S40="","",IF(S40&lt;&gt;S39,IF(TYPE(MATCH(S40,TongVTSX!$Q$3:$Q$1500,0))=16,"",MATCH(S40,TongVTSX!$Q$3:$Q$1500,0)),IF(TYPE(MATCH(S40,OFFSET(TongVTSX!$Q$3,R39,0):'TongVTSX'!$Q$1500,0)+R39)=16,"",MATCH(S40,OFFSET(TongVTSX!$Q$3,R39,0):'TongVTSX'!$Q$1500,0)+R39)))</f>
        <v/>
      </c>
      <c r="S40" s="76" t="str">
        <f ca="1">IFERROR(IF(COUNTIF($S$3:S39,S39)&lt; INDEX($U$1:$U$7,MATCH($S39,$T$1:$T$7,0)),$S39,INDEX($T$1:$T$7,MATCH($S39,$T$1:$T$7,0)+1)),"")</f>
        <v/>
      </c>
      <c r="V40" s="1133" t="str">
        <f ca="1">IFERROR(INDEX(NVLSX!$U$2:$U$6941,MATCH($D40,NVLSX!$E$2:$E$6941,0)),"")</f>
        <v/>
      </c>
      <c r="W40" s="1143"/>
      <c r="X40" s="1143"/>
    </row>
    <row r="41" spans="1:24">
      <c r="A41" s="19" t="str">
        <f t="shared" ca="1" si="2"/>
        <v/>
      </c>
      <c r="B41" s="1146" t="str">
        <f ca="1">IFERROR(INDEX(NVLSX!$Y$2:$Y$6756,MATCH($D41,NVLSX!$E$2:$E$6756,0)),"")</f>
        <v/>
      </c>
      <c r="C41" s="1146" t="str">
        <f ca="1">IFERROR(INDEX(NVLSX!$Z$2:$Z$6756,MATCH($D41,NVLSX!$E$2:$E$6756,0)),"")</f>
        <v/>
      </c>
      <c r="D41" s="729" t="str">
        <f ca="1">IF($R41="","",INDEX(TongVTSX!C$3:C$1500,$R41))</f>
        <v/>
      </c>
      <c r="E41" s="729" t="str">
        <f ca="1">IF($R41="","",IF($S41=$T$7,INDEX(TongVTSX!D$3:D$1500,$R41) &amp;  " (" &amp; INDEX(TongVTSX!A$3:A$1500,$R41) &amp; ")",INDEX(TongVTSX!D$3:D$1500,$R41)))</f>
        <v/>
      </c>
      <c r="F41" s="874" t="str">
        <f ca="1">IF($R41="","",IF($S41&lt;&gt;NVLSX!$N$6492,INDEX(TongVTSX!E$3:E$1500,$R41),INDEX(TongVTSX!G$3:G$1500,$R41)))</f>
        <v/>
      </c>
      <c r="G41" s="730" t="str">
        <f ca="1">IF($R41="","",INDEX(TongVTSX!F$3:F$1500,$R41))</f>
        <v/>
      </c>
      <c r="H41" s="731">
        <f ca="1">IF($S41=$T$7,INDEX(TongVTSX!$K$3:$K$1500,$R41)/INDEX(TongVTSX!$G$3:$G$1500,$R41),IF($S41=$T$2,ROUNDUP(SUMPRODUCT((TongVTSX!$C$3:$C$1500=$D41)*(TongVTSX!$E$3:$E$1500=$F41)*(TongVTSX!$S$3:$S$1500=TongVTSX!$S$2)*(TongVTSX!$K$3:$K$1500))/$V41,0),SUMPRODUCT((TongVTSX!$C$3:$C$1500=$D41)*(TongVTSX!$E$3:$E$1500=$F41)*(TongVTSX!$S$3:$S$1500=TongVTSX!$S$2)*(TongVTSX!$K$3:$K$1500))))</f>
        <v>0</v>
      </c>
      <c r="I41" s="731">
        <f ca="1">IF($S41=$T$2,ROUNDUP(SUMPRODUCT((TongVTSX!$C$3:$C$1500=$D41)*(TongVTSX!$E$3:$E$1500=$F41)*(TongVTSX!$S$3:$S$1500=TongVTSX!$S$2)*(TongVTSX!$K$3:$K$1500))/$V41,2),0)</f>
        <v>0</v>
      </c>
      <c r="J41" s="731"/>
      <c r="K41" s="731"/>
      <c r="L41" s="732"/>
      <c r="M41" s="732" t="str">
        <f t="shared" ca="1" si="1"/>
        <v/>
      </c>
      <c r="N41" s="732"/>
      <c r="O41" s="732">
        <f ca="1">IF($S41=$T$7,INDEX(TongVTSX!$O$3:$O$1500,$R41),IF($S41=$T$2,INDEX(TongVTSX!$M$3:$M$1500,$R41)*$V41*$H41,SUMPRODUCT((TongVTSX!$C$3:$C$1500=$D41)*(TongVTSX!$E$3:$E$1500=$F41)*(TongVTSX!$S$3:$S$1500=TongVTSX!$S$2)*(TongVTSX!$O$3:$O$1500))))</f>
        <v>0</v>
      </c>
      <c r="P41" s="1150">
        <f ca="1">IF($S41=$T$7,INDEX(TongVTSX!$O$3:$O$1500,$R41),IF($S41=$T$2,INDEX(TongVTSX!$M$3:$M$1500,$R41)*$I41*$V41,SUMPRODUCT((TongVTSX!$C$3:$C$1500=$D41)*(TongVTSX!$E$3:$E$1500=$F41)*(TongVTSX!$S$3:$S$1500=TongVTSX!$S$2)*(TongVTSX!$O$3:$O$1500))))</f>
        <v>0</v>
      </c>
      <c r="Q41" s="1155" t="str">
        <f ca="1">IFERROR(INDEX(NVLSX!$AA$2:$AA$6756,MATCH($D41,NVLSX!$E$2:$E$6756,0)),"")</f>
        <v/>
      </c>
      <c r="R41" s="75" t="str">
        <f ca="1">IF(S41="","",IF(S41&lt;&gt;S40,IF(TYPE(MATCH(S41,TongVTSX!$Q$3:$Q$1500,0))=16,"",MATCH(S41,TongVTSX!$Q$3:$Q$1500,0)),IF(TYPE(MATCH(S41,OFFSET(TongVTSX!$Q$3,R40,0):'TongVTSX'!$Q$1500,0)+R40)=16,"",MATCH(S41,OFFSET(TongVTSX!$Q$3,R40,0):'TongVTSX'!$Q$1500,0)+R40)))</f>
        <v/>
      </c>
      <c r="S41" s="76" t="str">
        <f ca="1">IFERROR(IF(COUNTIF($S$3:S40,S40)&lt; INDEX($U$1:$U$7,MATCH($S40,$T$1:$T$7,0)),$S40,INDEX($T$1:$T$7,MATCH($S40,$T$1:$T$7,0)+1)),"")</f>
        <v/>
      </c>
      <c r="V41" s="1133" t="str">
        <f ca="1">IFERROR(INDEX(NVLSX!$U$2:$U$6941,MATCH($D41,NVLSX!$E$2:$E$6941,0)),"")</f>
        <v/>
      </c>
      <c r="W41" s="1143"/>
      <c r="X41" s="1143"/>
    </row>
    <row r="42" spans="1:24">
      <c r="A42" s="19" t="str">
        <f t="shared" ca="1" si="2"/>
        <v/>
      </c>
      <c r="B42" s="1146" t="str">
        <f ca="1">IFERROR(INDEX(NVLSX!$Y$2:$Y$6756,MATCH($D42,NVLSX!$E$2:$E$6756,0)),"")</f>
        <v/>
      </c>
      <c r="C42" s="1146" t="str">
        <f ca="1">IFERROR(INDEX(NVLSX!$Z$2:$Z$6756,MATCH($D42,NVLSX!$E$2:$E$6756,0)),"")</f>
        <v/>
      </c>
      <c r="D42" s="729" t="str">
        <f ca="1">IF($R42="","",INDEX(TongVTSX!C$3:C$1500,$R42))</f>
        <v/>
      </c>
      <c r="E42" s="729" t="str">
        <f ca="1">IF($R42="","",IF($S42=$T$7,INDEX(TongVTSX!D$3:D$1500,$R42) &amp;  " (" &amp; INDEX(TongVTSX!A$3:A$1500,$R42) &amp; ")",INDEX(TongVTSX!D$3:D$1500,$R42)))</f>
        <v/>
      </c>
      <c r="F42" s="874" t="str">
        <f ca="1">IF($R42="","",IF($S42&lt;&gt;NVLSX!$N$6492,INDEX(TongVTSX!E$3:E$1500,$R42),INDEX(TongVTSX!G$3:G$1500,$R42)))</f>
        <v/>
      </c>
      <c r="G42" s="730" t="str">
        <f ca="1">IF($R42="","",INDEX(TongVTSX!F$3:F$1500,$R42))</f>
        <v/>
      </c>
      <c r="H42" s="731">
        <f ca="1">IF($S42=$T$7,INDEX(TongVTSX!$K$3:$K$1500,$R42)/INDEX(TongVTSX!$G$3:$G$1500,$R42),IF($S42=$T$2,ROUNDUP(SUMPRODUCT((TongVTSX!$C$3:$C$1500=$D42)*(TongVTSX!$E$3:$E$1500=$F42)*(TongVTSX!$S$3:$S$1500=TongVTSX!$S$2)*(TongVTSX!$K$3:$K$1500))/$V42,0),SUMPRODUCT((TongVTSX!$C$3:$C$1500=$D42)*(TongVTSX!$E$3:$E$1500=$F42)*(TongVTSX!$S$3:$S$1500=TongVTSX!$S$2)*(TongVTSX!$K$3:$K$1500))))</f>
        <v>0</v>
      </c>
      <c r="I42" s="731">
        <f ca="1">IF($S42=$T$2,ROUNDUP(SUMPRODUCT((TongVTSX!$C$3:$C$1500=$D42)*(TongVTSX!$E$3:$E$1500=$F42)*(TongVTSX!$S$3:$S$1500=TongVTSX!$S$2)*(TongVTSX!$K$3:$K$1500))/$V42,2),0)</f>
        <v>0</v>
      </c>
      <c r="J42" s="731"/>
      <c r="K42" s="731"/>
      <c r="L42" s="732"/>
      <c r="M42" s="732" t="str">
        <f t="shared" ca="1" si="1"/>
        <v/>
      </c>
      <c r="N42" s="732"/>
      <c r="O42" s="732">
        <f ca="1">IF($S42=$T$7,INDEX(TongVTSX!$O$3:$O$1500,$R42),IF($S42=$T$2,INDEX(TongVTSX!$M$3:$M$1500,$R42)*$V42*$H42,SUMPRODUCT((TongVTSX!$C$3:$C$1500=$D42)*(TongVTSX!$E$3:$E$1500=$F42)*(TongVTSX!$S$3:$S$1500=TongVTSX!$S$2)*(TongVTSX!$O$3:$O$1500))))</f>
        <v>0</v>
      </c>
      <c r="P42" s="1150">
        <f ca="1">IF($S42=$T$7,INDEX(TongVTSX!$O$3:$O$1500,$R42),IF($S42=$T$2,INDEX(TongVTSX!$M$3:$M$1500,$R42)*$I42*$V42,SUMPRODUCT((TongVTSX!$C$3:$C$1500=$D42)*(TongVTSX!$E$3:$E$1500=$F42)*(TongVTSX!$S$3:$S$1500=TongVTSX!$S$2)*(TongVTSX!$O$3:$O$1500))))</f>
        <v>0</v>
      </c>
      <c r="Q42" s="1155" t="str">
        <f ca="1">IFERROR(INDEX(NVLSX!$AA$2:$AA$6756,MATCH($D42,NVLSX!$E$2:$E$6756,0)),"")</f>
        <v/>
      </c>
      <c r="R42" s="75" t="str">
        <f ca="1">IF(S42="","",IF(S42&lt;&gt;S41,IF(TYPE(MATCH(S42,TongVTSX!$Q$3:$Q$1500,0))=16,"",MATCH(S42,TongVTSX!$Q$3:$Q$1500,0)),IF(TYPE(MATCH(S42,OFFSET(TongVTSX!$Q$3,R41,0):'TongVTSX'!$Q$1500,0)+R41)=16,"",MATCH(S42,OFFSET(TongVTSX!$Q$3,R41,0):'TongVTSX'!$Q$1500,0)+R41)))</f>
        <v/>
      </c>
      <c r="S42" s="76" t="str">
        <f ca="1">IFERROR(IF(COUNTIF($S$3:S41,S41)&lt; INDEX($U$1:$U$7,MATCH($S41,$T$1:$T$7,0)),$S41,INDEX($T$1:$T$7,MATCH($S41,$T$1:$T$7,0)+1)),"")</f>
        <v/>
      </c>
      <c r="V42" s="1133" t="str">
        <f ca="1">IFERROR(INDEX(NVLSX!$U$2:$U$6941,MATCH($D42,NVLSX!$E$2:$E$6941,0)),"")</f>
        <v/>
      </c>
      <c r="W42" s="1143"/>
      <c r="X42" s="1143"/>
    </row>
    <row r="43" spans="1:24">
      <c r="A43" s="19" t="str">
        <f t="shared" ca="1" si="2"/>
        <v/>
      </c>
      <c r="B43" s="1146" t="str">
        <f ca="1">IFERROR(INDEX(NVLSX!$Y$2:$Y$6756,MATCH($D43,NVLSX!$E$2:$E$6756,0)),"")</f>
        <v/>
      </c>
      <c r="C43" s="1146" t="str">
        <f ca="1">IFERROR(INDEX(NVLSX!$Z$2:$Z$6756,MATCH($D43,NVLSX!$E$2:$E$6756,0)),"")</f>
        <v/>
      </c>
      <c r="D43" s="729" t="str">
        <f ca="1">IF($R43="","",INDEX(TongVTSX!C$3:C$1500,$R43))</f>
        <v/>
      </c>
      <c r="E43" s="729" t="str">
        <f ca="1">IF($R43="","",IF($S43=$T$7,INDEX(TongVTSX!D$3:D$1500,$R43) &amp;  " (" &amp; INDEX(TongVTSX!A$3:A$1500,$R43) &amp; ")",INDEX(TongVTSX!D$3:D$1500,$R43)))</f>
        <v/>
      </c>
      <c r="F43" s="874" t="str">
        <f ca="1">IF($R43="","",IF($S43&lt;&gt;NVLSX!$N$6492,INDEX(TongVTSX!E$3:E$1500,$R43),INDEX(TongVTSX!G$3:G$1500,$R43)))</f>
        <v/>
      </c>
      <c r="G43" s="730" t="str">
        <f ca="1">IF($R43="","",INDEX(TongVTSX!F$3:F$1500,$R43))</f>
        <v/>
      </c>
      <c r="H43" s="731">
        <f ca="1">IF($S43=$T$7,INDEX(TongVTSX!$K$3:$K$1500,$R43)/INDEX(TongVTSX!$G$3:$G$1500,$R43),IF($S43=$T$2,ROUNDUP(SUMPRODUCT((TongVTSX!$C$3:$C$1500=$D43)*(TongVTSX!$E$3:$E$1500=$F43)*(TongVTSX!$S$3:$S$1500=TongVTSX!$S$2)*(TongVTSX!$K$3:$K$1500))/$V43,0),SUMPRODUCT((TongVTSX!$C$3:$C$1500=$D43)*(TongVTSX!$E$3:$E$1500=$F43)*(TongVTSX!$S$3:$S$1500=TongVTSX!$S$2)*(TongVTSX!$K$3:$K$1500))))</f>
        <v>0</v>
      </c>
      <c r="I43" s="731">
        <f ca="1">IF($S43=$T$2,ROUNDUP(SUMPRODUCT((TongVTSX!$C$3:$C$1500=$D43)*(TongVTSX!$E$3:$E$1500=$F43)*(TongVTSX!$S$3:$S$1500=TongVTSX!$S$2)*(TongVTSX!$K$3:$K$1500))/$V43,2),0)</f>
        <v>0</v>
      </c>
      <c r="J43" s="731"/>
      <c r="K43" s="731"/>
      <c r="L43" s="732"/>
      <c r="M43" s="732" t="str">
        <f t="shared" ca="1" si="1"/>
        <v/>
      </c>
      <c r="N43" s="732"/>
      <c r="O43" s="732">
        <f ca="1">IF($S43=$T$7,INDEX(TongVTSX!$O$3:$O$1500,$R43),IF($S43=$T$2,INDEX(TongVTSX!$M$3:$M$1500,$R43)*$V43*$H43,SUMPRODUCT((TongVTSX!$C$3:$C$1500=$D43)*(TongVTSX!$E$3:$E$1500=$F43)*(TongVTSX!$S$3:$S$1500=TongVTSX!$S$2)*(TongVTSX!$O$3:$O$1500))))</f>
        <v>0</v>
      </c>
      <c r="P43" s="1150">
        <f ca="1">IF($S43=$T$7,INDEX(TongVTSX!$O$3:$O$1500,$R43),IF($S43=$T$2,INDEX(TongVTSX!$M$3:$M$1500,$R43)*$I43*$V43,SUMPRODUCT((TongVTSX!$C$3:$C$1500=$D43)*(TongVTSX!$E$3:$E$1500=$F43)*(TongVTSX!$S$3:$S$1500=TongVTSX!$S$2)*(TongVTSX!$O$3:$O$1500))))</f>
        <v>0</v>
      </c>
      <c r="Q43" s="1155" t="str">
        <f ca="1">IFERROR(INDEX(NVLSX!$AA$2:$AA$6756,MATCH($D43,NVLSX!$E$2:$E$6756,0)),"")</f>
        <v/>
      </c>
      <c r="R43" s="75" t="str">
        <f ca="1">IF(S43="","",IF(S43&lt;&gt;S42,IF(TYPE(MATCH(S43,TongVTSX!$Q$3:$Q$1500,0))=16,"",MATCH(S43,TongVTSX!$Q$3:$Q$1500,0)),IF(TYPE(MATCH(S43,OFFSET(TongVTSX!$Q$3,R42,0):'TongVTSX'!$Q$1500,0)+R42)=16,"",MATCH(S43,OFFSET(TongVTSX!$Q$3,R42,0):'TongVTSX'!$Q$1500,0)+R42)))</f>
        <v/>
      </c>
      <c r="S43" s="76" t="str">
        <f ca="1">IFERROR(IF(COUNTIF($S$3:S42,S42)&lt; INDEX($U$1:$U$7,MATCH($S42,$T$1:$T$7,0)),$S42,INDEX($T$1:$T$7,MATCH($S42,$T$1:$T$7,0)+1)),"")</f>
        <v/>
      </c>
      <c r="V43" s="1133" t="str">
        <f ca="1">IFERROR(INDEX(NVLSX!$U$2:$U$6941,MATCH($D43,NVLSX!$E$2:$E$6941,0)),"")</f>
        <v/>
      </c>
      <c r="W43" s="1143"/>
      <c r="X43" s="1143"/>
    </row>
    <row r="44" spans="1:24">
      <c r="A44" s="19" t="str">
        <f t="shared" ca="1" si="2"/>
        <v/>
      </c>
      <c r="B44" s="1146" t="str">
        <f ca="1">IFERROR(INDEX(NVLSX!$Y$2:$Y$6756,MATCH($D44,NVLSX!$E$2:$E$6756,0)),"")</f>
        <v/>
      </c>
      <c r="C44" s="1146" t="str">
        <f ca="1">IFERROR(INDEX(NVLSX!$Z$2:$Z$6756,MATCH($D44,NVLSX!$E$2:$E$6756,0)),"")</f>
        <v/>
      </c>
      <c r="D44" s="729" t="str">
        <f ca="1">IF($R44="","",INDEX(TongVTSX!C$3:C$1500,$R44))</f>
        <v/>
      </c>
      <c r="E44" s="729" t="str">
        <f ca="1">IF($R44="","",IF($S44=$T$7,INDEX(TongVTSX!D$3:D$1500,$R44) &amp;  " (" &amp; INDEX(TongVTSX!A$3:A$1500,$R44) &amp; ")",INDEX(TongVTSX!D$3:D$1500,$R44)))</f>
        <v/>
      </c>
      <c r="F44" s="874" t="str">
        <f ca="1">IF($R44="","",IF($S44&lt;&gt;NVLSX!$N$6492,INDEX(TongVTSX!E$3:E$1500,$R44),INDEX(TongVTSX!G$3:G$1500,$R44)))</f>
        <v/>
      </c>
      <c r="G44" s="730" t="str">
        <f ca="1">IF($R44="","",INDEX(TongVTSX!F$3:F$1500,$R44))</f>
        <v/>
      </c>
      <c r="H44" s="731">
        <f ca="1">IF($S44=$T$7,INDEX(TongVTSX!$K$3:$K$1500,$R44)/INDEX(TongVTSX!$G$3:$G$1500,$R44),IF($S44=$T$2,ROUNDUP(SUMPRODUCT((TongVTSX!$C$3:$C$1500=$D44)*(TongVTSX!$E$3:$E$1500=$F44)*(TongVTSX!$S$3:$S$1500=TongVTSX!$S$2)*(TongVTSX!$K$3:$K$1500))/$V44,0),SUMPRODUCT((TongVTSX!$C$3:$C$1500=$D44)*(TongVTSX!$E$3:$E$1500=$F44)*(TongVTSX!$S$3:$S$1500=TongVTSX!$S$2)*(TongVTSX!$K$3:$K$1500))))</f>
        <v>0</v>
      </c>
      <c r="I44" s="731">
        <f ca="1">IF($S44=$T$2,ROUNDUP(SUMPRODUCT((TongVTSX!$C$3:$C$1500=$D44)*(TongVTSX!$E$3:$E$1500=$F44)*(TongVTSX!$S$3:$S$1500=TongVTSX!$S$2)*(TongVTSX!$K$3:$K$1500))/$V44,2),0)</f>
        <v>0</v>
      </c>
      <c r="J44" s="731"/>
      <c r="K44" s="731"/>
      <c r="L44" s="732"/>
      <c r="M44" s="732" t="str">
        <f t="shared" ca="1" si="1"/>
        <v/>
      </c>
      <c r="N44" s="732"/>
      <c r="O44" s="732">
        <f ca="1">IF($S44=$T$7,INDEX(TongVTSX!$O$3:$O$1500,$R44),IF($S44=$T$2,INDEX(TongVTSX!$M$3:$M$1500,$R44)*$V44*$H44,SUMPRODUCT((TongVTSX!$C$3:$C$1500=$D44)*(TongVTSX!$E$3:$E$1500=$F44)*(TongVTSX!$S$3:$S$1500=TongVTSX!$S$2)*(TongVTSX!$O$3:$O$1500))))</f>
        <v>0</v>
      </c>
      <c r="P44" s="1150">
        <f ca="1">IF($S44=$T$7,INDEX(TongVTSX!$O$3:$O$1500,$R44),IF($S44=$T$2,INDEX(TongVTSX!$M$3:$M$1500,$R44)*$I44*$V44,SUMPRODUCT((TongVTSX!$C$3:$C$1500=$D44)*(TongVTSX!$E$3:$E$1500=$F44)*(TongVTSX!$S$3:$S$1500=TongVTSX!$S$2)*(TongVTSX!$O$3:$O$1500))))</f>
        <v>0</v>
      </c>
      <c r="Q44" s="1155" t="str">
        <f ca="1">IFERROR(INDEX(NVLSX!$AA$2:$AA$6756,MATCH($D44,NVLSX!$E$2:$E$6756,0)),"")</f>
        <v/>
      </c>
      <c r="R44" s="75" t="str">
        <f ca="1">IF(S44="","",IF(S44&lt;&gt;S43,IF(TYPE(MATCH(S44,TongVTSX!$Q$3:$Q$1500,0))=16,"",MATCH(S44,TongVTSX!$Q$3:$Q$1500,0)),IF(TYPE(MATCH(S44,OFFSET(TongVTSX!$Q$3,R43,0):'TongVTSX'!$Q$1500,0)+R43)=16,"",MATCH(S44,OFFSET(TongVTSX!$Q$3,R43,0):'TongVTSX'!$Q$1500,0)+R43)))</f>
        <v/>
      </c>
      <c r="S44" s="76" t="str">
        <f ca="1">IFERROR(IF(COUNTIF($S$3:S43,S43)&lt; INDEX($U$1:$U$7,MATCH($S43,$T$1:$T$7,0)),$S43,INDEX($T$1:$T$7,MATCH($S43,$T$1:$T$7,0)+1)),"")</f>
        <v/>
      </c>
      <c r="V44" s="1133" t="str">
        <f ca="1">IFERROR(INDEX(NVLSX!$U$2:$U$6941,MATCH($D44,NVLSX!$E$2:$E$6941,0)),"")</f>
        <v/>
      </c>
      <c r="W44" s="1143"/>
      <c r="X44" s="1143"/>
    </row>
    <row r="45" spans="1:24">
      <c r="A45" s="19" t="str">
        <f t="shared" ca="1" si="2"/>
        <v/>
      </c>
      <c r="B45" s="1146" t="str">
        <f ca="1">IFERROR(INDEX(NVLSX!$Y$2:$Y$6756,MATCH($D45,NVLSX!$E$2:$E$6756,0)),"")</f>
        <v/>
      </c>
      <c r="C45" s="1146" t="str">
        <f ca="1">IFERROR(INDEX(NVLSX!$Z$2:$Z$6756,MATCH($D45,NVLSX!$E$2:$E$6756,0)),"")</f>
        <v/>
      </c>
      <c r="D45" s="729" t="str">
        <f ca="1">IF($R45="","",INDEX(TongVTSX!C$3:C$1500,$R45))</f>
        <v/>
      </c>
      <c r="E45" s="729" t="str">
        <f ca="1">IF($R45="","",IF($S45=$T$7,INDEX(TongVTSX!D$3:D$1500,$R45) &amp;  " (" &amp; INDEX(TongVTSX!A$3:A$1500,$R45) &amp; ")",INDEX(TongVTSX!D$3:D$1500,$R45)))</f>
        <v/>
      </c>
      <c r="F45" s="874" t="str">
        <f ca="1">IF($R45="","",IF($S45&lt;&gt;NVLSX!$N$6492,INDEX(TongVTSX!E$3:E$1500,$R45),INDEX(TongVTSX!G$3:G$1500,$R45)))</f>
        <v/>
      </c>
      <c r="G45" s="730" t="str">
        <f ca="1">IF($R45="","",INDEX(TongVTSX!F$3:F$1500,$R45))</f>
        <v/>
      </c>
      <c r="H45" s="731">
        <f ca="1">IF($S45=$T$7,INDEX(TongVTSX!$K$3:$K$1500,$R45)/INDEX(TongVTSX!$G$3:$G$1500,$R45),IF($S45=$T$2,ROUNDUP(SUMPRODUCT((TongVTSX!$C$3:$C$1500=$D45)*(TongVTSX!$E$3:$E$1500=$F45)*(TongVTSX!$S$3:$S$1500=TongVTSX!$S$2)*(TongVTSX!$K$3:$K$1500))/$V45,0),SUMPRODUCT((TongVTSX!$C$3:$C$1500=$D45)*(TongVTSX!$E$3:$E$1500=$F45)*(TongVTSX!$S$3:$S$1500=TongVTSX!$S$2)*(TongVTSX!$K$3:$K$1500))))</f>
        <v>0</v>
      </c>
      <c r="I45" s="731">
        <f ca="1">IF($S45=$T$2,ROUNDUP(SUMPRODUCT((TongVTSX!$C$3:$C$1500=$D45)*(TongVTSX!$E$3:$E$1500=$F45)*(TongVTSX!$S$3:$S$1500=TongVTSX!$S$2)*(TongVTSX!$K$3:$K$1500))/$V45,2),0)</f>
        <v>0</v>
      </c>
      <c r="J45" s="731"/>
      <c r="K45" s="731"/>
      <c r="L45" s="732"/>
      <c r="M45" s="732" t="str">
        <f t="shared" ca="1" si="1"/>
        <v/>
      </c>
      <c r="N45" s="732"/>
      <c r="O45" s="732">
        <f ca="1">IF($S45=$T$7,INDEX(TongVTSX!$O$3:$O$1500,$R45),IF($S45=$T$2,INDEX(TongVTSX!$M$3:$M$1500,$R45)*$V45*$H45,SUMPRODUCT((TongVTSX!$C$3:$C$1500=$D45)*(TongVTSX!$E$3:$E$1500=$F45)*(TongVTSX!$S$3:$S$1500=TongVTSX!$S$2)*(TongVTSX!$O$3:$O$1500))))</f>
        <v>0</v>
      </c>
      <c r="P45" s="1150">
        <f ca="1">IF($S45=$T$7,INDEX(TongVTSX!$O$3:$O$1500,$R45),IF($S45=$T$2,INDEX(TongVTSX!$M$3:$M$1500,$R45)*$I45*$V45,SUMPRODUCT((TongVTSX!$C$3:$C$1500=$D45)*(TongVTSX!$E$3:$E$1500=$F45)*(TongVTSX!$S$3:$S$1500=TongVTSX!$S$2)*(TongVTSX!$O$3:$O$1500))))</f>
        <v>0</v>
      </c>
      <c r="Q45" s="1155" t="str">
        <f ca="1">IFERROR(INDEX(NVLSX!$AA$2:$AA$6756,MATCH($D45,NVLSX!$E$2:$E$6756,0)),"")</f>
        <v/>
      </c>
      <c r="R45" s="75" t="str">
        <f ca="1">IF(S45="","",IF(S45&lt;&gt;S44,IF(TYPE(MATCH(S45,TongVTSX!$Q$3:$Q$1500,0))=16,"",MATCH(S45,TongVTSX!$Q$3:$Q$1500,0)),IF(TYPE(MATCH(S45,OFFSET(TongVTSX!$Q$3,R44,0):'TongVTSX'!$Q$1500,0)+R44)=16,"",MATCH(S45,OFFSET(TongVTSX!$Q$3,R44,0):'TongVTSX'!$Q$1500,0)+R44)))</f>
        <v/>
      </c>
      <c r="S45" s="76" t="str">
        <f ca="1">IFERROR(IF(COUNTIF($S$3:S44,S44)&lt; INDEX($U$1:$U$7,MATCH($S44,$T$1:$T$7,0)),$S44,INDEX($T$1:$T$7,MATCH($S44,$T$1:$T$7,0)+1)),"")</f>
        <v/>
      </c>
      <c r="V45" s="1133" t="str">
        <f ca="1">IFERROR(INDEX(NVLSX!$U$2:$U$6941,MATCH($D45,NVLSX!$E$2:$E$6941,0)),"")</f>
        <v/>
      </c>
      <c r="W45" s="1143"/>
      <c r="X45" s="1143"/>
    </row>
    <row r="46" spans="1:24">
      <c r="A46" s="19" t="str">
        <f t="shared" ca="1" si="2"/>
        <v/>
      </c>
      <c r="B46" s="1146" t="str">
        <f ca="1">IFERROR(INDEX(NVLSX!$Y$2:$Y$6756,MATCH($D46,NVLSX!$E$2:$E$6756,0)),"")</f>
        <v/>
      </c>
      <c r="C46" s="1146" t="str">
        <f ca="1">IFERROR(INDEX(NVLSX!$Z$2:$Z$6756,MATCH($D46,NVLSX!$E$2:$E$6756,0)),"")</f>
        <v/>
      </c>
      <c r="D46" s="729" t="str">
        <f ca="1">IF($R46="","",INDEX(TongVTSX!C$3:C$1500,$R46))</f>
        <v/>
      </c>
      <c r="E46" s="729" t="str">
        <f ca="1">IF($R46="","",IF($S46=$T$7,INDEX(TongVTSX!D$3:D$1500,$R46) &amp;  " (" &amp; INDEX(TongVTSX!A$3:A$1500,$R46) &amp; ")",INDEX(TongVTSX!D$3:D$1500,$R46)))</f>
        <v/>
      </c>
      <c r="F46" s="874" t="str">
        <f ca="1">IF($R46="","",IF($S46&lt;&gt;NVLSX!$N$6492,INDEX(TongVTSX!E$3:E$1500,$R46),INDEX(TongVTSX!G$3:G$1500,$R46)))</f>
        <v/>
      </c>
      <c r="G46" s="730" t="str">
        <f ca="1">IF($R46="","",INDEX(TongVTSX!F$3:F$1500,$R46))</f>
        <v/>
      </c>
      <c r="H46" s="731">
        <f ca="1">IF($S46=$T$7,INDEX(TongVTSX!$K$3:$K$1500,$R46)/INDEX(TongVTSX!$G$3:$G$1500,$R46),IF($S46=$T$2,ROUNDUP(SUMPRODUCT((TongVTSX!$C$3:$C$1500=$D46)*(TongVTSX!$E$3:$E$1500=$F46)*(TongVTSX!$S$3:$S$1500=TongVTSX!$S$2)*(TongVTSX!$K$3:$K$1500))/$V46,0),SUMPRODUCT((TongVTSX!$C$3:$C$1500=$D46)*(TongVTSX!$E$3:$E$1500=$F46)*(TongVTSX!$S$3:$S$1500=TongVTSX!$S$2)*(TongVTSX!$K$3:$K$1500))))</f>
        <v>0</v>
      </c>
      <c r="I46" s="731">
        <f ca="1">IF($S46=$T$2,ROUNDUP(SUMPRODUCT((TongVTSX!$C$3:$C$1500=$D46)*(TongVTSX!$E$3:$E$1500=$F46)*(TongVTSX!$S$3:$S$1500=TongVTSX!$S$2)*(TongVTSX!$K$3:$K$1500))/$V46,2),0)</f>
        <v>0</v>
      </c>
      <c r="J46" s="731"/>
      <c r="K46" s="731"/>
      <c r="L46" s="732"/>
      <c r="M46" s="732" t="str">
        <f t="shared" ca="1" si="1"/>
        <v/>
      </c>
      <c r="N46" s="732"/>
      <c r="O46" s="732">
        <f ca="1">IF($S46=$T$7,INDEX(TongVTSX!$O$3:$O$1500,$R46),IF($S46=$T$2,INDEX(TongVTSX!$M$3:$M$1500,$R46)*$V46*$H46,SUMPRODUCT((TongVTSX!$C$3:$C$1500=$D46)*(TongVTSX!$E$3:$E$1500=$F46)*(TongVTSX!$S$3:$S$1500=TongVTSX!$S$2)*(TongVTSX!$O$3:$O$1500))))</f>
        <v>0</v>
      </c>
      <c r="P46" s="1150">
        <f ca="1">IF($S46=$T$7,INDEX(TongVTSX!$O$3:$O$1500,$R46),IF($S46=$T$2,INDEX(TongVTSX!$M$3:$M$1500,$R46)*$I46*$V46,SUMPRODUCT((TongVTSX!$C$3:$C$1500=$D46)*(TongVTSX!$E$3:$E$1500=$F46)*(TongVTSX!$S$3:$S$1500=TongVTSX!$S$2)*(TongVTSX!$O$3:$O$1500))))</f>
        <v>0</v>
      </c>
      <c r="Q46" s="1155" t="str">
        <f ca="1">IFERROR(INDEX(NVLSX!$AA$2:$AA$6756,MATCH($D46,NVLSX!$E$2:$E$6756,0)),"")</f>
        <v/>
      </c>
      <c r="R46" s="75" t="str">
        <f ca="1">IF(S46="","",IF(S46&lt;&gt;S45,IF(TYPE(MATCH(S46,TongVTSX!$Q$3:$Q$1500,0))=16,"",MATCH(S46,TongVTSX!$Q$3:$Q$1500,0)),IF(TYPE(MATCH(S46,OFFSET(TongVTSX!$Q$3,R45,0):'TongVTSX'!$Q$1500,0)+R45)=16,"",MATCH(S46,OFFSET(TongVTSX!$Q$3,R45,0):'TongVTSX'!$Q$1500,0)+R45)))</f>
        <v/>
      </c>
      <c r="S46" s="76" t="str">
        <f ca="1">IFERROR(IF(COUNTIF($S$3:S45,S45)&lt; INDEX($U$1:$U$7,MATCH($S45,$T$1:$T$7,0)),$S45,INDEX($T$1:$T$7,MATCH($S45,$T$1:$T$7,0)+1)),"")</f>
        <v/>
      </c>
      <c r="V46" s="1133" t="str">
        <f ca="1">IFERROR(INDEX(NVLSX!$U$2:$U$6941,MATCH($D46,NVLSX!$E$2:$E$6941,0)),"")</f>
        <v/>
      </c>
      <c r="W46" s="1143"/>
      <c r="X46" s="1143"/>
    </row>
    <row r="47" spans="1:24">
      <c r="A47" s="19" t="str">
        <f t="shared" ca="1" si="2"/>
        <v/>
      </c>
      <c r="B47" s="1146" t="str">
        <f ca="1">IFERROR(INDEX(NVLSX!$Y$2:$Y$6756,MATCH($D47,NVLSX!$E$2:$E$6756,0)),"")</f>
        <v/>
      </c>
      <c r="C47" s="1146" t="str">
        <f ca="1">IFERROR(INDEX(NVLSX!$Z$2:$Z$6756,MATCH($D47,NVLSX!$E$2:$E$6756,0)),"")</f>
        <v/>
      </c>
      <c r="D47" s="729" t="str">
        <f ca="1">IF($R47="","",INDEX(TongVTSX!C$3:C$1500,$R47))</f>
        <v/>
      </c>
      <c r="E47" s="729" t="str">
        <f ca="1">IF($R47="","",IF($S47=$T$7,INDEX(TongVTSX!D$3:D$1500,$R47) &amp;  " (" &amp; INDEX(TongVTSX!A$3:A$1500,$R47) &amp; ")",INDEX(TongVTSX!D$3:D$1500,$R47)))</f>
        <v/>
      </c>
      <c r="F47" s="874" t="str">
        <f ca="1">IF($R47="","",IF($S47&lt;&gt;NVLSX!$N$6492,INDEX(TongVTSX!E$3:E$1500,$R47),INDEX(TongVTSX!G$3:G$1500,$R47)))</f>
        <v/>
      </c>
      <c r="G47" s="730" t="str">
        <f ca="1">IF($R47="","",INDEX(TongVTSX!F$3:F$1500,$R47))</f>
        <v/>
      </c>
      <c r="H47" s="731">
        <f ca="1">IF($S47=$T$7,INDEX(TongVTSX!$K$3:$K$1500,$R47)/INDEX(TongVTSX!$G$3:$G$1500,$R47),IF($S47=$T$2,ROUNDUP(SUMPRODUCT((TongVTSX!$C$3:$C$1500=$D47)*(TongVTSX!$E$3:$E$1500=$F47)*(TongVTSX!$S$3:$S$1500=TongVTSX!$S$2)*(TongVTSX!$K$3:$K$1500))/$V47,0),SUMPRODUCT((TongVTSX!$C$3:$C$1500=$D47)*(TongVTSX!$E$3:$E$1500=$F47)*(TongVTSX!$S$3:$S$1500=TongVTSX!$S$2)*(TongVTSX!$K$3:$K$1500))))</f>
        <v>0</v>
      </c>
      <c r="I47" s="731">
        <f ca="1">IF($S47=$T$2,ROUNDUP(SUMPRODUCT((TongVTSX!$C$3:$C$1500=$D47)*(TongVTSX!$E$3:$E$1500=$F47)*(TongVTSX!$S$3:$S$1500=TongVTSX!$S$2)*(TongVTSX!$K$3:$K$1500))/$V47,2),0)</f>
        <v>0</v>
      </c>
      <c r="J47" s="731"/>
      <c r="K47" s="731"/>
      <c r="L47" s="732"/>
      <c r="M47" s="732" t="str">
        <f t="shared" ca="1" si="1"/>
        <v/>
      </c>
      <c r="N47" s="732"/>
      <c r="O47" s="732">
        <f ca="1">IF($S47=$T$7,INDEX(TongVTSX!$O$3:$O$1500,$R47),IF($S47=$T$2,INDEX(TongVTSX!$M$3:$M$1500,$R47)*$V47*$H47,SUMPRODUCT((TongVTSX!$C$3:$C$1500=$D47)*(TongVTSX!$E$3:$E$1500=$F47)*(TongVTSX!$S$3:$S$1500=TongVTSX!$S$2)*(TongVTSX!$O$3:$O$1500))))</f>
        <v>0</v>
      </c>
      <c r="P47" s="1150">
        <f ca="1">IF($S47=$T$7,INDEX(TongVTSX!$O$3:$O$1500,$R47),IF($S47=$T$2,INDEX(TongVTSX!$M$3:$M$1500,$R47)*$I47*$V47,SUMPRODUCT((TongVTSX!$C$3:$C$1500=$D47)*(TongVTSX!$E$3:$E$1500=$F47)*(TongVTSX!$S$3:$S$1500=TongVTSX!$S$2)*(TongVTSX!$O$3:$O$1500))))</f>
        <v>0</v>
      </c>
      <c r="Q47" s="1155" t="str">
        <f ca="1">IFERROR(INDEX(NVLSX!$AA$2:$AA$6756,MATCH($D47,NVLSX!$E$2:$E$6756,0)),"")</f>
        <v/>
      </c>
      <c r="R47" s="75" t="str">
        <f ca="1">IF(S47="","",IF(S47&lt;&gt;S46,IF(TYPE(MATCH(S47,TongVTSX!$Q$3:$Q$1500,0))=16,"",MATCH(S47,TongVTSX!$Q$3:$Q$1500,0)),IF(TYPE(MATCH(S47,OFFSET(TongVTSX!$Q$3,R46,0):'TongVTSX'!$Q$1500,0)+R46)=16,"",MATCH(S47,OFFSET(TongVTSX!$Q$3,R46,0):'TongVTSX'!$Q$1500,0)+R46)))</f>
        <v/>
      </c>
      <c r="S47" s="76" t="str">
        <f ca="1">IFERROR(IF(COUNTIF($S$3:S46,S46)&lt; INDEX($U$1:$U$7,MATCH($S46,$T$1:$T$7,0)),$S46,INDEX($T$1:$T$7,MATCH($S46,$T$1:$T$7,0)+1)),"")</f>
        <v/>
      </c>
      <c r="V47" s="1133" t="str">
        <f ca="1">IFERROR(INDEX(NVLSX!$U$2:$U$6941,MATCH($D47,NVLSX!$E$2:$E$6941,0)),"")</f>
        <v/>
      </c>
      <c r="W47" s="1143"/>
      <c r="X47" s="1143"/>
    </row>
    <row r="48" spans="1:24">
      <c r="A48" s="19" t="str">
        <f t="shared" ca="1" si="2"/>
        <v/>
      </c>
      <c r="B48" s="1146" t="str">
        <f ca="1">IFERROR(INDEX(NVLSX!$Y$2:$Y$6756,MATCH($D48,NVLSX!$E$2:$E$6756,0)),"")</f>
        <v/>
      </c>
      <c r="C48" s="1146" t="str">
        <f ca="1">IFERROR(INDEX(NVLSX!$Z$2:$Z$6756,MATCH($D48,NVLSX!$E$2:$E$6756,0)),"")</f>
        <v/>
      </c>
      <c r="D48" s="729" t="str">
        <f ca="1">IF($R48="","",INDEX(TongVTSX!C$3:C$1500,$R48))</f>
        <v/>
      </c>
      <c r="E48" s="729" t="str">
        <f ca="1">IF($R48="","",IF($S48=$T$7,INDEX(TongVTSX!D$3:D$1500,$R48) &amp;  " (" &amp; INDEX(TongVTSX!A$3:A$1500,$R48) &amp; ")",INDEX(TongVTSX!D$3:D$1500,$R48)))</f>
        <v/>
      </c>
      <c r="F48" s="874" t="str">
        <f ca="1">IF($R48="","",IF($S48&lt;&gt;NVLSX!$N$6492,INDEX(TongVTSX!E$3:E$1500,$R48),INDEX(TongVTSX!G$3:G$1500,$R48)))</f>
        <v/>
      </c>
      <c r="G48" s="730" t="str">
        <f ca="1">IF($R48="","",INDEX(TongVTSX!F$3:F$1500,$R48))</f>
        <v/>
      </c>
      <c r="H48" s="731">
        <f ca="1">IF($S48=$T$7,INDEX(TongVTSX!$K$3:$K$1500,$R48)/INDEX(TongVTSX!$G$3:$G$1500,$R48),IF($S48=$T$2,ROUNDUP(SUMPRODUCT((TongVTSX!$C$3:$C$1500=$D48)*(TongVTSX!$E$3:$E$1500=$F48)*(TongVTSX!$S$3:$S$1500=TongVTSX!$S$2)*(TongVTSX!$K$3:$K$1500))/$V48,0),SUMPRODUCT((TongVTSX!$C$3:$C$1500=$D48)*(TongVTSX!$E$3:$E$1500=$F48)*(TongVTSX!$S$3:$S$1500=TongVTSX!$S$2)*(TongVTSX!$K$3:$K$1500))))</f>
        <v>0</v>
      </c>
      <c r="I48" s="731">
        <f ca="1">IF($S48=$T$2,ROUNDUP(SUMPRODUCT((TongVTSX!$C$3:$C$1500=$D48)*(TongVTSX!$E$3:$E$1500=$F48)*(TongVTSX!$S$3:$S$1500=TongVTSX!$S$2)*(TongVTSX!$K$3:$K$1500))/$V48,2),0)</f>
        <v>0</v>
      </c>
      <c r="J48" s="731"/>
      <c r="K48" s="731"/>
      <c r="L48" s="732"/>
      <c r="M48" s="732" t="str">
        <f t="shared" ca="1" si="1"/>
        <v/>
      </c>
      <c r="N48" s="732"/>
      <c r="O48" s="732">
        <f ca="1">IF($S48=$T$7,INDEX(TongVTSX!$O$3:$O$1500,$R48),IF($S48=$T$2,INDEX(TongVTSX!$M$3:$M$1500,$R48)*$V48*$H48,SUMPRODUCT((TongVTSX!$C$3:$C$1500=$D48)*(TongVTSX!$E$3:$E$1500=$F48)*(TongVTSX!$S$3:$S$1500=TongVTSX!$S$2)*(TongVTSX!$O$3:$O$1500))))</f>
        <v>0</v>
      </c>
      <c r="P48" s="1150">
        <f ca="1">IF($S48=$T$7,INDEX(TongVTSX!$O$3:$O$1500,$R48),IF($S48=$T$2,INDEX(TongVTSX!$M$3:$M$1500,$R48)*$I48*$V48,SUMPRODUCT((TongVTSX!$C$3:$C$1500=$D48)*(TongVTSX!$E$3:$E$1500=$F48)*(TongVTSX!$S$3:$S$1500=TongVTSX!$S$2)*(TongVTSX!$O$3:$O$1500))))</f>
        <v>0</v>
      </c>
      <c r="Q48" s="1155" t="str">
        <f ca="1">IFERROR(INDEX(NVLSX!$AA$2:$AA$6756,MATCH($D48,NVLSX!$E$2:$E$6756,0)),"")</f>
        <v/>
      </c>
      <c r="R48" s="75" t="str">
        <f ca="1">IF(S48="","",IF(S48&lt;&gt;S47,IF(TYPE(MATCH(S48,TongVTSX!$Q$3:$Q$1500,0))=16,"",MATCH(S48,TongVTSX!$Q$3:$Q$1500,0)),IF(TYPE(MATCH(S48,OFFSET(TongVTSX!$Q$3,R47,0):'TongVTSX'!$Q$1500,0)+R47)=16,"",MATCH(S48,OFFSET(TongVTSX!$Q$3,R47,0):'TongVTSX'!$Q$1500,0)+R47)))</f>
        <v/>
      </c>
      <c r="S48" s="76" t="str">
        <f ca="1">IFERROR(IF(COUNTIF($S$3:S47,S47)&lt; INDEX($U$1:$U$7,MATCH($S47,$T$1:$T$7,0)),$S47,INDEX($T$1:$T$7,MATCH($S47,$T$1:$T$7,0)+1)),"")</f>
        <v/>
      </c>
      <c r="V48" s="1133" t="str">
        <f ca="1">IFERROR(INDEX(NVLSX!$U$2:$U$6941,MATCH($D48,NVLSX!$E$2:$E$6941,0)),"")</f>
        <v/>
      </c>
      <c r="W48" s="1143"/>
      <c r="X48" s="1143"/>
    </row>
    <row r="49" spans="1:24">
      <c r="A49" s="19" t="str">
        <f t="shared" ca="1" si="2"/>
        <v/>
      </c>
      <c r="B49" s="1146" t="str">
        <f ca="1">IFERROR(INDEX(NVLSX!$Y$2:$Y$6756,MATCH($D49,NVLSX!$E$2:$E$6756,0)),"")</f>
        <v/>
      </c>
      <c r="C49" s="1146" t="str">
        <f ca="1">IFERROR(INDEX(NVLSX!$Z$2:$Z$6756,MATCH($D49,NVLSX!$E$2:$E$6756,0)),"")</f>
        <v/>
      </c>
      <c r="D49" s="729" t="str">
        <f ca="1">IF($R49="","",INDEX(TongVTSX!C$3:C$1500,$R49))</f>
        <v/>
      </c>
      <c r="E49" s="729" t="str">
        <f ca="1">IF($R49="","",IF($S49=$T$7,INDEX(TongVTSX!D$3:D$1500,$R49) &amp;  " (" &amp; INDEX(TongVTSX!A$3:A$1500,$R49) &amp; ")",INDEX(TongVTSX!D$3:D$1500,$R49)))</f>
        <v/>
      </c>
      <c r="F49" s="874" t="str">
        <f ca="1">IF($R49="","",IF($S49&lt;&gt;NVLSX!$N$6492,INDEX(TongVTSX!E$3:E$1500,$R49),INDEX(TongVTSX!G$3:G$1500,$R49)))</f>
        <v/>
      </c>
      <c r="G49" s="730" t="str">
        <f ca="1">IF($R49="","",INDEX(TongVTSX!F$3:F$1500,$R49))</f>
        <v/>
      </c>
      <c r="H49" s="731">
        <f ca="1">IF($S49=$T$7,INDEX(TongVTSX!$K$3:$K$1500,$R49)/INDEX(TongVTSX!$G$3:$G$1500,$R49),IF($S49=$T$2,ROUNDUP(SUMPRODUCT((TongVTSX!$C$3:$C$1500=$D49)*(TongVTSX!$E$3:$E$1500=$F49)*(TongVTSX!$S$3:$S$1500=TongVTSX!$S$2)*(TongVTSX!$K$3:$K$1500))/$V49,0),SUMPRODUCT((TongVTSX!$C$3:$C$1500=$D49)*(TongVTSX!$E$3:$E$1500=$F49)*(TongVTSX!$S$3:$S$1500=TongVTSX!$S$2)*(TongVTSX!$K$3:$K$1500))))</f>
        <v>0</v>
      </c>
      <c r="I49" s="731">
        <f ca="1">IF($S49=$T$2,ROUNDUP(SUMPRODUCT((TongVTSX!$C$3:$C$1500=$D49)*(TongVTSX!$E$3:$E$1500=$F49)*(TongVTSX!$S$3:$S$1500=TongVTSX!$S$2)*(TongVTSX!$K$3:$K$1500))/$V49,2),0)</f>
        <v>0</v>
      </c>
      <c r="J49" s="731"/>
      <c r="K49" s="731"/>
      <c r="L49" s="732"/>
      <c r="M49" s="732" t="str">
        <f t="shared" ca="1" si="1"/>
        <v/>
      </c>
      <c r="N49" s="732"/>
      <c r="O49" s="732">
        <f ca="1">IF($S49=$T$7,INDEX(TongVTSX!$O$3:$O$1500,$R49),IF($S49=$T$2,INDEX(TongVTSX!$M$3:$M$1500,$R49)*$V49*$H49,SUMPRODUCT((TongVTSX!$C$3:$C$1500=$D49)*(TongVTSX!$E$3:$E$1500=$F49)*(TongVTSX!$S$3:$S$1500=TongVTSX!$S$2)*(TongVTSX!$O$3:$O$1500))))</f>
        <v>0</v>
      </c>
      <c r="P49" s="1150">
        <f ca="1">IF($S49=$T$7,INDEX(TongVTSX!$O$3:$O$1500,$R49),IF($S49=$T$2,INDEX(TongVTSX!$M$3:$M$1500,$R49)*$I49*$V49,SUMPRODUCT((TongVTSX!$C$3:$C$1500=$D49)*(TongVTSX!$E$3:$E$1500=$F49)*(TongVTSX!$S$3:$S$1500=TongVTSX!$S$2)*(TongVTSX!$O$3:$O$1500))))</f>
        <v>0</v>
      </c>
      <c r="Q49" s="1155" t="str">
        <f ca="1">IFERROR(INDEX(NVLSX!$AA$2:$AA$6756,MATCH($D49,NVLSX!$E$2:$E$6756,0)),"")</f>
        <v/>
      </c>
      <c r="R49" s="75" t="str">
        <f ca="1">IF(S49="","",IF(S49&lt;&gt;S48,IF(TYPE(MATCH(S49,TongVTSX!$Q$3:$Q$1500,0))=16,"",MATCH(S49,TongVTSX!$Q$3:$Q$1500,0)),IF(TYPE(MATCH(S49,OFFSET(TongVTSX!$Q$3,R48,0):'TongVTSX'!$Q$1500,0)+R48)=16,"",MATCH(S49,OFFSET(TongVTSX!$Q$3,R48,0):'TongVTSX'!$Q$1500,0)+R48)))</f>
        <v/>
      </c>
      <c r="S49" s="76" t="str">
        <f ca="1">IFERROR(IF(COUNTIF($S$3:S48,S48)&lt; INDEX($U$1:$U$7,MATCH($S48,$T$1:$T$7,0)),$S48,INDEX($T$1:$T$7,MATCH($S48,$T$1:$T$7,0)+1)),"")</f>
        <v/>
      </c>
      <c r="V49" s="1133" t="str">
        <f ca="1">IFERROR(INDEX(NVLSX!$U$2:$U$6941,MATCH($D49,NVLSX!$E$2:$E$6941,0)),"")</f>
        <v/>
      </c>
      <c r="W49" s="1143"/>
      <c r="X49" s="1143"/>
    </row>
    <row r="50" spans="1:24">
      <c r="A50" s="19" t="str">
        <f t="shared" ca="1" si="2"/>
        <v/>
      </c>
      <c r="B50" s="1146" t="str">
        <f ca="1">IFERROR(INDEX(NVLSX!$Y$2:$Y$6756,MATCH($D50,NVLSX!$E$2:$E$6756,0)),"")</f>
        <v/>
      </c>
      <c r="C50" s="1146" t="str">
        <f ca="1">IFERROR(INDEX(NVLSX!$Z$2:$Z$6756,MATCH($D50,NVLSX!$E$2:$E$6756,0)),"")</f>
        <v/>
      </c>
      <c r="D50" s="729" t="str">
        <f ca="1">IF($R50="","",INDEX(TongVTSX!C$3:C$1500,$R50))</f>
        <v/>
      </c>
      <c r="E50" s="729" t="str">
        <f ca="1">IF($R50="","",IF($S50=$T$7,INDEX(TongVTSX!D$3:D$1500,$R50) &amp;  " (" &amp; INDEX(TongVTSX!A$3:A$1500,$R50) &amp; ")",INDEX(TongVTSX!D$3:D$1500,$R50)))</f>
        <v/>
      </c>
      <c r="F50" s="874" t="str">
        <f ca="1">IF($R50="","",IF($S50&lt;&gt;NVLSX!$N$6492,INDEX(TongVTSX!E$3:E$1500,$R50),INDEX(TongVTSX!G$3:G$1500,$R50)))</f>
        <v/>
      </c>
      <c r="G50" s="730" t="str">
        <f ca="1">IF($R50="","",INDEX(TongVTSX!F$3:F$1500,$R50))</f>
        <v/>
      </c>
      <c r="H50" s="731">
        <f ca="1">IF($S50=$T$7,INDEX(TongVTSX!$K$3:$K$1500,$R50)/INDEX(TongVTSX!$G$3:$G$1500,$R50),IF($S50=$T$2,ROUNDUP(SUMPRODUCT((TongVTSX!$C$3:$C$1500=$D50)*(TongVTSX!$E$3:$E$1500=$F50)*(TongVTSX!$S$3:$S$1500=TongVTSX!$S$2)*(TongVTSX!$K$3:$K$1500))/$V50,0),SUMPRODUCT((TongVTSX!$C$3:$C$1500=$D50)*(TongVTSX!$E$3:$E$1500=$F50)*(TongVTSX!$S$3:$S$1500=TongVTSX!$S$2)*(TongVTSX!$K$3:$K$1500))))</f>
        <v>0</v>
      </c>
      <c r="I50" s="731">
        <f ca="1">IF($S50=$T$2,ROUNDUP(SUMPRODUCT((TongVTSX!$C$3:$C$1500=$D50)*(TongVTSX!$E$3:$E$1500=$F50)*(TongVTSX!$S$3:$S$1500=TongVTSX!$S$2)*(TongVTSX!$K$3:$K$1500))/$V50,2),0)</f>
        <v>0</v>
      </c>
      <c r="J50" s="731"/>
      <c r="K50" s="731"/>
      <c r="L50" s="732"/>
      <c r="M50" s="732" t="str">
        <f t="shared" ca="1" si="1"/>
        <v/>
      </c>
      <c r="N50" s="732"/>
      <c r="O50" s="732">
        <f ca="1">IF($S50=$T$7,INDEX(TongVTSX!$O$3:$O$1500,$R50),IF($S50=$T$2,INDEX(TongVTSX!$M$3:$M$1500,$R50)*$V50*$H50,SUMPRODUCT((TongVTSX!$C$3:$C$1500=$D50)*(TongVTSX!$E$3:$E$1500=$F50)*(TongVTSX!$S$3:$S$1500=TongVTSX!$S$2)*(TongVTSX!$O$3:$O$1500))))</f>
        <v>0</v>
      </c>
      <c r="P50" s="1150">
        <f ca="1">IF($S50=$T$7,INDEX(TongVTSX!$O$3:$O$1500,$R50),IF($S50=$T$2,INDEX(TongVTSX!$M$3:$M$1500,$R50)*$I50*$V50,SUMPRODUCT((TongVTSX!$C$3:$C$1500=$D50)*(TongVTSX!$E$3:$E$1500=$F50)*(TongVTSX!$S$3:$S$1500=TongVTSX!$S$2)*(TongVTSX!$O$3:$O$1500))))</f>
        <v>0</v>
      </c>
      <c r="Q50" s="1155" t="str">
        <f ca="1">IFERROR(INDEX(NVLSX!$AA$2:$AA$6756,MATCH($D50,NVLSX!$E$2:$E$6756,0)),"")</f>
        <v/>
      </c>
      <c r="R50" s="75" t="str">
        <f ca="1">IF(S50="","",IF(S50&lt;&gt;S49,IF(TYPE(MATCH(S50,TongVTSX!$Q$3:$Q$1500,0))=16,"",MATCH(S50,TongVTSX!$Q$3:$Q$1500,0)),IF(TYPE(MATCH(S50,OFFSET(TongVTSX!$Q$3,R49,0):'TongVTSX'!$Q$1500,0)+R49)=16,"",MATCH(S50,OFFSET(TongVTSX!$Q$3,R49,0):'TongVTSX'!$Q$1500,0)+R49)))</f>
        <v/>
      </c>
      <c r="S50" s="76" t="str">
        <f ca="1">IFERROR(IF(COUNTIF($S$3:S49,S49)&lt; INDEX($U$1:$U$7,MATCH($S49,$T$1:$T$7,0)),$S49,INDEX($T$1:$T$7,MATCH($S49,$T$1:$T$7,0)+1)),"")</f>
        <v/>
      </c>
      <c r="V50" s="1133" t="str">
        <f ca="1">IFERROR(INDEX(NVLSX!$U$2:$U$6941,MATCH($D50,NVLSX!$E$2:$E$6941,0)),"")</f>
        <v/>
      </c>
      <c r="W50" s="1143"/>
      <c r="X50" s="1143"/>
    </row>
    <row r="51" spans="1:24">
      <c r="A51" s="19" t="str">
        <f t="shared" ca="1" si="2"/>
        <v/>
      </c>
      <c r="B51" s="1146" t="str">
        <f ca="1">IFERROR(INDEX(NVLSX!$Y$2:$Y$6756,MATCH($D51,NVLSX!$E$2:$E$6756,0)),"")</f>
        <v/>
      </c>
      <c r="C51" s="1146" t="str">
        <f ca="1">IFERROR(INDEX(NVLSX!$Z$2:$Z$6756,MATCH($D51,NVLSX!$E$2:$E$6756,0)),"")</f>
        <v/>
      </c>
      <c r="D51" s="729" t="str">
        <f ca="1">IF($R51="","",INDEX(TongVTSX!C$3:C$1500,$R51))</f>
        <v/>
      </c>
      <c r="E51" s="729" t="str">
        <f ca="1">IF($R51="","",IF($S51=$T$7,INDEX(TongVTSX!D$3:D$1500,$R51) &amp;  " (" &amp; INDEX(TongVTSX!A$3:A$1500,$R51) &amp; ")",INDEX(TongVTSX!D$3:D$1500,$R51)))</f>
        <v/>
      </c>
      <c r="F51" s="874" t="str">
        <f ca="1">IF($R51="","",IF($S51&lt;&gt;NVLSX!$N$6492,INDEX(TongVTSX!E$3:E$1500,$R51),INDEX(TongVTSX!G$3:G$1500,$R51)))</f>
        <v/>
      </c>
      <c r="G51" s="730" t="str">
        <f ca="1">IF($R51="","",INDEX(TongVTSX!F$3:F$1500,$R51))</f>
        <v/>
      </c>
      <c r="H51" s="731">
        <f ca="1">IF($S51=$T$7,INDEX(TongVTSX!$K$3:$K$1500,$R51)/INDEX(TongVTSX!$G$3:$G$1500,$R51),IF($S51=$T$2,ROUNDUP(SUMPRODUCT((TongVTSX!$C$3:$C$1500=$D51)*(TongVTSX!$E$3:$E$1500=$F51)*(TongVTSX!$S$3:$S$1500=TongVTSX!$S$2)*(TongVTSX!$K$3:$K$1500))/$V51,0),SUMPRODUCT((TongVTSX!$C$3:$C$1500=$D51)*(TongVTSX!$E$3:$E$1500=$F51)*(TongVTSX!$S$3:$S$1500=TongVTSX!$S$2)*(TongVTSX!$K$3:$K$1500))))</f>
        <v>0</v>
      </c>
      <c r="I51" s="731">
        <f ca="1">IF($S51=$T$2,ROUNDUP(SUMPRODUCT((TongVTSX!$C$3:$C$1500=$D51)*(TongVTSX!$E$3:$E$1500=$F51)*(TongVTSX!$S$3:$S$1500=TongVTSX!$S$2)*(TongVTSX!$K$3:$K$1500))/$V51,2),0)</f>
        <v>0</v>
      </c>
      <c r="J51" s="731"/>
      <c r="K51" s="731"/>
      <c r="L51" s="732"/>
      <c r="M51" s="732" t="str">
        <f t="shared" ca="1" si="1"/>
        <v/>
      </c>
      <c r="N51" s="732"/>
      <c r="O51" s="732">
        <f ca="1">IF($S51=$T$7,INDEX(TongVTSX!$O$3:$O$1500,$R51),IF($S51=$T$2,INDEX(TongVTSX!$M$3:$M$1500,$R51)*$V51*$H51,SUMPRODUCT((TongVTSX!$C$3:$C$1500=$D51)*(TongVTSX!$E$3:$E$1500=$F51)*(TongVTSX!$S$3:$S$1500=TongVTSX!$S$2)*(TongVTSX!$O$3:$O$1500))))</f>
        <v>0</v>
      </c>
      <c r="P51" s="1150">
        <f ca="1">IF($S51=$T$7,INDEX(TongVTSX!$O$3:$O$1500,$R51),IF($S51=$T$2,INDEX(TongVTSX!$M$3:$M$1500,$R51)*$I51*$V51,SUMPRODUCT((TongVTSX!$C$3:$C$1500=$D51)*(TongVTSX!$E$3:$E$1500=$F51)*(TongVTSX!$S$3:$S$1500=TongVTSX!$S$2)*(TongVTSX!$O$3:$O$1500))))</f>
        <v>0</v>
      </c>
      <c r="Q51" s="1155" t="str">
        <f ca="1">IFERROR(INDEX(NVLSX!$AA$2:$AA$6756,MATCH($D51,NVLSX!$E$2:$E$6756,0)),"")</f>
        <v/>
      </c>
      <c r="R51" s="75" t="str">
        <f ca="1">IF(S51="","",IF(S51&lt;&gt;S50,IF(TYPE(MATCH(S51,TongVTSX!$Q$3:$Q$1500,0))=16,"",MATCH(S51,TongVTSX!$Q$3:$Q$1500,0)),IF(TYPE(MATCH(S51,OFFSET(TongVTSX!$Q$3,R50,0):'TongVTSX'!$Q$1500,0)+R50)=16,"",MATCH(S51,OFFSET(TongVTSX!$Q$3,R50,0):'TongVTSX'!$Q$1500,0)+R50)))</f>
        <v/>
      </c>
      <c r="S51" s="76" t="str">
        <f ca="1">IFERROR(IF(COUNTIF($S$3:S50,S50)&lt; INDEX($U$1:$U$7,MATCH($S50,$T$1:$T$7,0)),$S50,INDEX($T$1:$T$7,MATCH($S50,$T$1:$T$7,0)+1)),"")</f>
        <v/>
      </c>
      <c r="V51" s="1133" t="str">
        <f ca="1">IFERROR(INDEX(NVLSX!$U$2:$U$6941,MATCH($D51,NVLSX!$E$2:$E$6941,0)),"")</f>
        <v/>
      </c>
      <c r="W51" s="1143"/>
      <c r="X51" s="1143"/>
    </row>
    <row r="52" spans="1:24">
      <c r="A52" s="19" t="str">
        <f t="shared" ca="1" si="2"/>
        <v/>
      </c>
      <c r="B52" s="1146" t="str">
        <f ca="1">IFERROR(INDEX(NVLSX!$Y$2:$Y$6756,MATCH($D52,NVLSX!$E$2:$E$6756,0)),"")</f>
        <v/>
      </c>
      <c r="C52" s="1146" t="str">
        <f ca="1">IFERROR(INDEX(NVLSX!$Z$2:$Z$6756,MATCH($D52,NVLSX!$E$2:$E$6756,0)),"")</f>
        <v/>
      </c>
      <c r="D52" s="729" t="str">
        <f ca="1">IF($R52="","",INDEX(TongVTSX!C$3:C$1500,$R52))</f>
        <v/>
      </c>
      <c r="E52" s="729" t="str">
        <f ca="1">IF($R52="","",IF($S52=$T$7,INDEX(TongVTSX!D$3:D$1500,$R52) &amp;  " (" &amp; INDEX(TongVTSX!A$3:A$1500,$R52) &amp; ")",INDEX(TongVTSX!D$3:D$1500,$R52)))</f>
        <v/>
      </c>
      <c r="F52" s="874" t="str">
        <f ca="1">IF($R52="","",IF($S52&lt;&gt;NVLSX!$N$6492,INDEX(TongVTSX!E$3:E$1500,$R52),INDEX(TongVTSX!G$3:G$1500,$R52)))</f>
        <v/>
      </c>
      <c r="G52" s="730" t="str">
        <f ca="1">IF($R52="","",INDEX(TongVTSX!F$3:F$1500,$R52))</f>
        <v/>
      </c>
      <c r="H52" s="731">
        <f ca="1">IF($S52=$T$7,INDEX(TongVTSX!$K$3:$K$1500,$R52)/INDEX(TongVTSX!$G$3:$G$1500,$R52),IF($S52=$T$2,ROUNDUP(SUMPRODUCT((TongVTSX!$C$3:$C$1500=$D52)*(TongVTSX!$E$3:$E$1500=$F52)*(TongVTSX!$S$3:$S$1500=TongVTSX!$S$2)*(TongVTSX!$K$3:$K$1500))/$V52,0),SUMPRODUCT((TongVTSX!$C$3:$C$1500=$D52)*(TongVTSX!$E$3:$E$1500=$F52)*(TongVTSX!$S$3:$S$1500=TongVTSX!$S$2)*(TongVTSX!$K$3:$K$1500))))</f>
        <v>0</v>
      </c>
      <c r="I52" s="731">
        <f ca="1">IF($S52=$T$2,ROUNDUP(SUMPRODUCT((TongVTSX!$C$3:$C$1500=$D52)*(TongVTSX!$E$3:$E$1500=$F52)*(TongVTSX!$S$3:$S$1500=TongVTSX!$S$2)*(TongVTSX!$K$3:$K$1500))/$V52,2),0)</f>
        <v>0</v>
      </c>
      <c r="J52" s="731"/>
      <c r="K52" s="731"/>
      <c r="L52" s="732"/>
      <c r="M52" s="732" t="str">
        <f t="shared" ca="1" si="1"/>
        <v/>
      </c>
      <c r="N52" s="732"/>
      <c r="O52" s="732">
        <f ca="1">IF($S52=$T$7,INDEX(TongVTSX!$O$3:$O$1500,$R52),IF($S52=$T$2,INDEX(TongVTSX!$M$3:$M$1500,$R52)*$V52*$H52,SUMPRODUCT((TongVTSX!$C$3:$C$1500=$D52)*(TongVTSX!$E$3:$E$1500=$F52)*(TongVTSX!$S$3:$S$1500=TongVTSX!$S$2)*(TongVTSX!$O$3:$O$1500))))</f>
        <v>0</v>
      </c>
      <c r="P52" s="1150">
        <f ca="1">IF($S52=$T$7,INDEX(TongVTSX!$O$3:$O$1500,$R52),IF($S52=$T$2,INDEX(TongVTSX!$M$3:$M$1500,$R52)*$I52*$V52,SUMPRODUCT((TongVTSX!$C$3:$C$1500=$D52)*(TongVTSX!$E$3:$E$1500=$F52)*(TongVTSX!$S$3:$S$1500=TongVTSX!$S$2)*(TongVTSX!$O$3:$O$1500))))</f>
        <v>0</v>
      </c>
      <c r="Q52" s="1155" t="str">
        <f ca="1">IFERROR(INDEX(NVLSX!$AA$2:$AA$6756,MATCH($D52,NVLSX!$E$2:$E$6756,0)),"")</f>
        <v/>
      </c>
      <c r="R52" s="75" t="str">
        <f ca="1">IF(S52="","",IF(S52&lt;&gt;S51,IF(TYPE(MATCH(S52,TongVTSX!$Q$3:$Q$1500,0))=16,"",MATCH(S52,TongVTSX!$Q$3:$Q$1500,0)),IF(TYPE(MATCH(S52,OFFSET(TongVTSX!$Q$3,R51,0):'TongVTSX'!$Q$1500,0)+R51)=16,"",MATCH(S52,OFFSET(TongVTSX!$Q$3,R51,0):'TongVTSX'!$Q$1500,0)+R51)))</f>
        <v/>
      </c>
      <c r="S52" s="76" t="str">
        <f ca="1">IFERROR(IF(COUNTIF($S$3:S51,S51)&lt; INDEX($U$1:$U$7,MATCH($S51,$T$1:$T$7,0)),$S51,INDEX($T$1:$T$7,MATCH($S51,$T$1:$T$7,0)+1)),"")</f>
        <v/>
      </c>
      <c r="V52" s="1133" t="str">
        <f ca="1">IFERROR(INDEX(NVLSX!$U$2:$U$6941,MATCH($D52,NVLSX!$E$2:$E$6941,0)),"")</f>
        <v/>
      </c>
      <c r="W52" s="1143"/>
      <c r="X52" s="1143"/>
    </row>
    <row r="53" spans="1:24">
      <c r="A53" s="19" t="str">
        <f t="shared" ca="1" si="2"/>
        <v/>
      </c>
      <c r="B53" s="1146" t="str">
        <f ca="1">IFERROR(INDEX(NVLSX!$Y$2:$Y$6756,MATCH($D53,NVLSX!$E$2:$E$6756,0)),"")</f>
        <v/>
      </c>
      <c r="C53" s="1146" t="str">
        <f ca="1">IFERROR(INDEX(NVLSX!$Z$2:$Z$6756,MATCH($D53,NVLSX!$E$2:$E$6756,0)),"")</f>
        <v/>
      </c>
      <c r="D53" s="729" t="str">
        <f ca="1">IF($R53="","",INDEX(TongVTSX!C$3:C$1500,$R53))</f>
        <v/>
      </c>
      <c r="E53" s="729" t="str">
        <f ca="1">IF($R53="","",IF($S53=$T$7,INDEX(TongVTSX!D$3:D$1500,$R53) &amp;  " (" &amp; INDEX(TongVTSX!A$3:A$1500,$R53) &amp; ")",INDEX(TongVTSX!D$3:D$1500,$R53)))</f>
        <v/>
      </c>
      <c r="F53" s="874" t="str">
        <f ca="1">IF($R53="","",IF($S53&lt;&gt;NVLSX!$N$6492,INDEX(TongVTSX!E$3:E$1500,$R53),INDEX(TongVTSX!G$3:G$1500,$R53)))</f>
        <v/>
      </c>
      <c r="G53" s="730" t="str">
        <f ca="1">IF($R53="","",INDEX(TongVTSX!F$3:F$1500,$R53))</f>
        <v/>
      </c>
      <c r="H53" s="731">
        <f ca="1">IF($S53=$T$7,INDEX(TongVTSX!$K$3:$K$1500,$R53)/INDEX(TongVTSX!$G$3:$G$1500,$R53),IF($S53=$T$2,ROUNDUP(SUMPRODUCT((TongVTSX!$C$3:$C$1500=$D53)*(TongVTSX!$E$3:$E$1500=$F53)*(TongVTSX!$S$3:$S$1500=TongVTSX!$S$2)*(TongVTSX!$K$3:$K$1500))/$V53,0),SUMPRODUCT((TongVTSX!$C$3:$C$1500=$D53)*(TongVTSX!$E$3:$E$1500=$F53)*(TongVTSX!$S$3:$S$1500=TongVTSX!$S$2)*(TongVTSX!$K$3:$K$1500))))</f>
        <v>0</v>
      </c>
      <c r="I53" s="731">
        <f ca="1">IF($S53=$T$2,ROUNDUP(SUMPRODUCT((TongVTSX!$C$3:$C$1500=$D53)*(TongVTSX!$E$3:$E$1500=$F53)*(TongVTSX!$S$3:$S$1500=TongVTSX!$S$2)*(TongVTSX!$K$3:$K$1500))/$V53,2),0)</f>
        <v>0</v>
      </c>
      <c r="J53" s="731"/>
      <c r="K53" s="731"/>
      <c r="L53" s="732"/>
      <c r="M53" s="732" t="str">
        <f t="shared" ca="1" si="1"/>
        <v/>
      </c>
      <c r="N53" s="732"/>
      <c r="O53" s="732">
        <f ca="1">IF($S53=$T$7,INDEX(TongVTSX!$O$3:$O$1500,$R53),IF($S53=$T$2,INDEX(TongVTSX!$M$3:$M$1500,$R53)*$V53*$H53,SUMPRODUCT((TongVTSX!$C$3:$C$1500=$D53)*(TongVTSX!$E$3:$E$1500=$F53)*(TongVTSX!$S$3:$S$1500=TongVTSX!$S$2)*(TongVTSX!$O$3:$O$1500))))</f>
        <v>0</v>
      </c>
      <c r="P53" s="1150">
        <f ca="1">IF($S53=$T$7,INDEX(TongVTSX!$O$3:$O$1500,$R53),IF($S53=$T$2,INDEX(TongVTSX!$M$3:$M$1500,$R53)*$I53*$V53,SUMPRODUCT((TongVTSX!$C$3:$C$1500=$D53)*(TongVTSX!$E$3:$E$1500=$F53)*(TongVTSX!$S$3:$S$1500=TongVTSX!$S$2)*(TongVTSX!$O$3:$O$1500))))</f>
        <v>0</v>
      </c>
      <c r="Q53" s="1155" t="str">
        <f ca="1">IFERROR(INDEX(NVLSX!$AA$2:$AA$6756,MATCH($D53,NVLSX!$E$2:$E$6756,0)),"")</f>
        <v/>
      </c>
      <c r="R53" s="75" t="str">
        <f ca="1">IF(S53="","",IF(S53&lt;&gt;S52,IF(TYPE(MATCH(S53,TongVTSX!$Q$3:$Q$1500,0))=16,"",MATCH(S53,TongVTSX!$Q$3:$Q$1500,0)),IF(TYPE(MATCH(S53,OFFSET(TongVTSX!$Q$3,R52,0):'TongVTSX'!$Q$1500,0)+R52)=16,"",MATCH(S53,OFFSET(TongVTSX!$Q$3,R52,0):'TongVTSX'!$Q$1500,0)+R52)))</f>
        <v/>
      </c>
      <c r="S53" s="76" t="str">
        <f ca="1">IFERROR(IF(COUNTIF($S$3:S52,S52)&lt; INDEX($U$1:$U$7,MATCH($S52,$T$1:$T$7,0)),$S52,INDEX($T$1:$T$7,MATCH($S52,$T$1:$T$7,0)+1)),"")</f>
        <v/>
      </c>
      <c r="V53" s="1133" t="str">
        <f ca="1">IFERROR(INDEX(NVLSX!$U$2:$U$6941,MATCH($D53,NVLSX!$E$2:$E$6941,0)),"")</f>
        <v/>
      </c>
      <c r="W53" s="1143"/>
      <c r="X53" s="1143"/>
    </row>
    <row r="54" spans="1:24">
      <c r="A54" s="19" t="str">
        <f t="shared" ca="1" si="2"/>
        <v/>
      </c>
      <c r="B54" s="1146" t="str">
        <f ca="1">IFERROR(INDEX(NVLSX!$Y$2:$Y$6756,MATCH($D54,NVLSX!$E$2:$E$6756,0)),"")</f>
        <v/>
      </c>
      <c r="C54" s="1146" t="str">
        <f ca="1">IFERROR(INDEX(NVLSX!$Z$2:$Z$6756,MATCH($D54,NVLSX!$E$2:$E$6756,0)),"")</f>
        <v/>
      </c>
      <c r="D54" s="729" t="str">
        <f ca="1">IF($R54="","",INDEX(TongVTSX!C$3:C$1500,$R54))</f>
        <v/>
      </c>
      <c r="E54" s="729" t="str">
        <f ca="1">IF($R54="","",IF($S54=$T$7,INDEX(TongVTSX!D$3:D$1500,$R54) &amp;  " (" &amp; INDEX(TongVTSX!A$3:A$1500,$R54) &amp; ")",INDEX(TongVTSX!D$3:D$1500,$R54)))</f>
        <v/>
      </c>
      <c r="F54" s="874" t="str">
        <f ca="1">IF($R54="","",IF($S54&lt;&gt;NVLSX!$N$6492,INDEX(TongVTSX!E$3:E$1500,$R54),INDEX(TongVTSX!G$3:G$1500,$R54)))</f>
        <v/>
      </c>
      <c r="G54" s="730" t="str">
        <f ca="1">IF($R54="","",INDEX(TongVTSX!F$3:F$1500,$R54))</f>
        <v/>
      </c>
      <c r="H54" s="731">
        <f ca="1">IF($S54=$T$7,INDEX(TongVTSX!$K$3:$K$1500,$R54)/INDEX(TongVTSX!$G$3:$G$1500,$R54),IF($S54=$T$2,ROUNDUP(SUMPRODUCT((TongVTSX!$C$3:$C$1500=$D54)*(TongVTSX!$E$3:$E$1500=$F54)*(TongVTSX!$S$3:$S$1500=TongVTSX!$S$2)*(TongVTSX!$K$3:$K$1500))/$V54,0),SUMPRODUCT((TongVTSX!$C$3:$C$1500=$D54)*(TongVTSX!$E$3:$E$1500=$F54)*(TongVTSX!$S$3:$S$1500=TongVTSX!$S$2)*(TongVTSX!$K$3:$K$1500))))</f>
        <v>0</v>
      </c>
      <c r="I54" s="731">
        <f ca="1">IF($S54=$T$2,ROUNDUP(SUMPRODUCT((TongVTSX!$C$3:$C$1500=$D54)*(TongVTSX!$E$3:$E$1500=$F54)*(TongVTSX!$S$3:$S$1500=TongVTSX!$S$2)*(TongVTSX!$K$3:$K$1500))/$V54,2),0)</f>
        <v>0</v>
      </c>
      <c r="J54" s="731"/>
      <c r="K54" s="731"/>
      <c r="L54" s="732"/>
      <c r="M54" s="732" t="str">
        <f t="shared" ca="1" si="1"/>
        <v/>
      </c>
      <c r="N54" s="732"/>
      <c r="O54" s="732">
        <f ca="1">IF($S54=$T$7,INDEX(TongVTSX!$O$3:$O$1500,$R54),IF($S54=$T$2,INDEX(TongVTSX!$M$3:$M$1500,$R54)*$V54*$H54,SUMPRODUCT((TongVTSX!$C$3:$C$1500=$D54)*(TongVTSX!$E$3:$E$1500=$F54)*(TongVTSX!$S$3:$S$1500=TongVTSX!$S$2)*(TongVTSX!$O$3:$O$1500))))</f>
        <v>0</v>
      </c>
      <c r="P54" s="1150">
        <f ca="1">IF($S54=$T$7,INDEX(TongVTSX!$O$3:$O$1500,$R54),IF($S54=$T$2,INDEX(TongVTSX!$M$3:$M$1500,$R54)*$I54*$V54,SUMPRODUCT((TongVTSX!$C$3:$C$1500=$D54)*(TongVTSX!$E$3:$E$1500=$F54)*(TongVTSX!$S$3:$S$1500=TongVTSX!$S$2)*(TongVTSX!$O$3:$O$1500))))</f>
        <v>0</v>
      </c>
      <c r="Q54" s="1155" t="str">
        <f ca="1">IFERROR(INDEX(NVLSX!$AA$2:$AA$6756,MATCH($D54,NVLSX!$E$2:$E$6756,0)),"")</f>
        <v/>
      </c>
      <c r="R54" s="75" t="str">
        <f ca="1">IF(S54="","",IF(S54&lt;&gt;S53,IF(TYPE(MATCH(S54,TongVTSX!$Q$3:$Q$1500,0))=16,"",MATCH(S54,TongVTSX!$Q$3:$Q$1500,0)),IF(TYPE(MATCH(S54,OFFSET(TongVTSX!$Q$3,R53,0):'TongVTSX'!$Q$1500,0)+R53)=16,"",MATCH(S54,OFFSET(TongVTSX!$Q$3,R53,0):'TongVTSX'!$Q$1500,0)+R53)))</f>
        <v/>
      </c>
      <c r="S54" s="76" t="str">
        <f ca="1">IFERROR(IF(COUNTIF($S$3:S53,S53)&lt; INDEX($U$1:$U$7,MATCH($S53,$T$1:$T$7,0)),$S53,INDEX($T$1:$T$7,MATCH($S53,$T$1:$T$7,0)+1)),"")</f>
        <v/>
      </c>
      <c r="V54" s="1133" t="str">
        <f ca="1">IFERROR(INDEX(NVLSX!$U$2:$U$6941,MATCH($D54,NVLSX!$E$2:$E$6941,0)),"")</f>
        <v/>
      </c>
      <c r="W54" s="1143"/>
      <c r="X54" s="1143"/>
    </row>
    <row r="55" spans="1:24">
      <c r="A55" s="19" t="str">
        <f t="shared" ca="1" si="2"/>
        <v/>
      </c>
      <c r="B55" s="1146" t="str">
        <f ca="1">IFERROR(INDEX(NVLSX!$Y$2:$Y$6756,MATCH($D55,NVLSX!$E$2:$E$6756,0)),"")</f>
        <v/>
      </c>
      <c r="C55" s="1146" t="str">
        <f ca="1">IFERROR(INDEX(NVLSX!$Z$2:$Z$6756,MATCH($D55,NVLSX!$E$2:$E$6756,0)),"")</f>
        <v/>
      </c>
      <c r="D55" s="729" t="str">
        <f ca="1">IF($R55="","",INDEX(TongVTSX!C$3:C$1500,$R55))</f>
        <v/>
      </c>
      <c r="E55" s="729" t="str">
        <f ca="1">IF($R55="","",IF($S55=$T$7,INDEX(TongVTSX!D$3:D$1500,$R55) &amp;  " (" &amp; INDEX(TongVTSX!A$3:A$1500,$R55) &amp; ")",INDEX(TongVTSX!D$3:D$1500,$R55)))</f>
        <v/>
      </c>
      <c r="F55" s="874" t="str">
        <f ca="1">IF($R55="","",IF($S55&lt;&gt;NVLSX!$N$6492,INDEX(TongVTSX!E$3:E$1500,$R55),INDEX(TongVTSX!G$3:G$1500,$R55)))</f>
        <v/>
      </c>
      <c r="G55" s="730" t="str">
        <f ca="1">IF($R55="","",INDEX(TongVTSX!F$3:F$1500,$R55))</f>
        <v/>
      </c>
      <c r="H55" s="731">
        <f ca="1">IF($S55=$T$7,INDEX(TongVTSX!$K$3:$K$1500,$R55)/INDEX(TongVTSX!$G$3:$G$1500,$R55),IF($S55=$T$2,ROUNDUP(SUMPRODUCT((TongVTSX!$C$3:$C$1500=$D55)*(TongVTSX!$E$3:$E$1500=$F55)*(TongVTSX!$S$3:$S$1500=TongVTSX!$S$2)*(TongVTSX!$K$3:$K$1500))/$V55,0),SUMPRODUCT((TongVTSX!$C$3:$C$1500=$D55)*(TongVTSX!$E$3:$E$1500=$F55)*(TongVTSX!$S$3:$S$1500=TongVTSX!$S$2)*(TongVTSX!$K$3:$K$1500))))</f>
        <v>0</v>
      </c>
      <c r="I55" s="731">
        <f ca="1">IF($S55=$T$2,ROUNDUP(SUMPRODUCT((TongVTSX!$C$3:$C$1500=$D55)*(TongVTSX!$E$3:$E$1500=$F55)*(TongVTSX!$S$3:$S$1500=TongVTSX!$S$2)*(TongVTSX!$K$3:$K$1500))/$V55,2),0)</f>
        <v>0</v>
      </c>
      <c r="J55" s="731"/>
      <c r="K55" s="731"/>
      <c r="L55" s="732"/>
      <c r="M55" s="732" t="str">
        <f t="shared" ca="1" si="1"/>
        <v/>
      </c>
      <c r="N55" s="732"/>
      <c r="O55" s="732">
        <f ca="1">IF($S55=$T$7,INDEX(TongVTSX!$O$3:$O$1500,$R55),IF($S55=$T$2,INDEX(TongVTSX!$M$3:$M$1500,$R55)*$V55*$H55,SUMPRODUCT((TongVTSX!$C$3:$C$1500=$D55)*(TongVTSX!$E$3:$E$1500=$F55)*(TongVTSX!$S$3:$S$1500=TongVTSX!$S$2)*(TongVTSX!$O$3:$O$1500))))</f>
        <v>0</v>
      </c>
      <c r="P55" s="1150">
        <f ca="1">IF($S55=$T$7,INDEX(TongVTSX!$O$3:$O$1500,$R55),IF($S55=$T$2,INDEX(TongVTSX!$M$3:$M$1500,$R55)*$I55*$V55,SUMPRODUCT((TongVTSX!$C$3:$C$1500=$D55)*(TongVTSX!$E$3:$E$1500=$F55)*(TongVTSX!$S$3:$S$1500=TongVTSX!$S$2)*(TongVTSX!$O$3:$O$1500))))</f>
        <v>0</v>
      </c>
      <c r="Q55" s="1155" t="str">
        <f ca="1">IFERROR(INDEX(NVLSX!$AA$2:$AA$6756,MATCH($D55,NVLSX!$E$2:$E$6756,0)),"")</f>
        <v/>
      </c>
      <c r="R55" s="75" t="str">
        <f ca="1">IF(S55="","",IF(S55&lt;&gt;S54,IF(TYPE(MATCH(S55,TongVTSX!$Q$3:$Q$1500,0))=16,"",MATCH(S55,TongVTSX!$Q$3:$Q$1500,0)),IF(TYPE(MATCH(S55,OFFSET(TongVTSX!$Q$3,R54,0):'TongVTSX'!$Q$1500,0)+R54)=16,"",MATCH(S55,OFFSET(TongVTSX!$Q$3,R54,0):'TongVTSX'!$Q$1500,0)+R54)))</f>
        <v/>
      </c>
      <c r="S55" s="76" t="str">
        <f ca="1">IFERROR(IF(COUNTIF($S$3:S54,S54)&lt; INDEX($U$1:$U$7,MATCH($S54,$T$1:$T$7,0)),$S54,INDEX($T$1:$T$7,MATCH($S54,$T$1:$T$7,0)+1)),"")</f>
        <v/>
      </c>
      <c r="V55" s="1133" t="str">
        <f ca="1">IFERROR(INDEX(NVLSX!$U$2:$U$6941,MATCH($D55,NVLSX!$E$2:$E$6941,0)),"")</f>
        <v/>
      </c>
      <c r="W55" s="1143"/>
      <c r="X55" s="1143"/>
    </row>
    <row r="56" spans="1:24">
      <c r="A56" s="19" t="str">
        <f t="shared" ca="1" si="2"/>
        <v/>
      </c>
      <c r="B56" s="1146" t="str">
        <f ca="1">IFERROR(INDEX(NVLSX!$Y$2:$Y$6756,MATCH($D56,NVLSX!$E$2:$E$6756,0)),"")</f>
        <v/>
      </c>
      <c r="C56" s="1146" t="str">
        <f ca="1">IFERROR(INDEX(NVLSX!$Z$2:$Z$6756,MATCH($D56,NVLSX!$E$2:$E$6756,0)),"")</f>
        <v/>
      </c>
      <c r="D56" s="729" t="str">
        <f ca="1">IF($R56="","",INDEX(TongVTSX!C$3:C$1500,$R56))</f>
        <v/>
      </c>
      <c r="E56" s="729" t="str">
        <f ca="1">IF($R56="","",IF($S56=$T$7,INDEX(TongVTSX!D$3:D$1500,$R56) &amp;  " (" &amp; INDEX(TongVTSX!A$3:A$1500,$R56) &amp; ")",INDEX(TongVTSX!D$3:D$1500,$R56)))</f>
        <v/>
      </c>
      <c r="F56" s="874" t="str">
        <f ca="1">IF($R56="","",IF($S56&lt;&gt;NVLSX!$N$6492,INDEX(TongVTSX!E$3:E$1500,$R56),INDEX(TongVTSX!G$3:G$1500,$R56)))</f>
        <v/>
      </c>
      <c r="G56" s="730" t="str">
        <f ca="1">IF($R56="","",INDEX(TongVTSX!F$3:F$1500,$R56))</f>
        <v/>
      </c>
      <c r="H56" s="731">
        <f ca="1">IF($S56=$T$7,INDEX(TongVTSX!$K$3:$K$1500,$R56)/INDEX(TongVTSX!$G$3:$G$1500,$R56),IF($S56=$T$2,ROUNDUP(SUMPRODUCT((TongVTSX!$C$3:$C$1500=$D56)*(TongVTSX!$E$3:$E$1500=$F56)*(TongVTSX!$S$3:$S$1500=TongVTSX!$S$2)*(TongVTSX!$K$3:$K$1500))/$V56,0),SUMPRODUCT((TongVTSX!$C$3:$C$1500=$D56)*(TongVTSX!$E$3:$E$1500=$F56)*(TongVTSX!$S$3:$S$1500=TongVTSX!$S$2)*(TongVTSX!$K$3:$K$1500))))</f>
        <v>0</v>
      </c>
      <c r="I56" s="731">
        <f ca="1">IF($S56=$T$2,ROUNDUP(SUMPRODUCT((TongVTSX!$C$3:$C$1500=$D56)*(TongVTSX!$E$3:$E$1500=$F56)*(TongVTSX!$S$3:$S$1500=TongVTSX!$S$2)*(TongVTSX!$K$3:$K$1500))/$V56,2),0)</f>
        <v>0</v>
      </c>
      <c r="J56" s="731"/>
      <c r="K56" s="731"/>
      <c r="L56" s="732"/>
      <c r="M56" s="732" t="str">
        <f t="shared" ca="1" si="1"/>
        <v/>
      </c>
      <c r="N56" s="732"/>
      <c r="O56" s="732">
        <f ca="1">IF($S56=$T$7,INDEX(TongVTSX!$O$3:$O$1500,$R56),IF($S56=$T$2,INDEX(TongVTSX!$M$3:$M$1500,$R56)*$V56*$H56,SUMPRODUCT((TongVTSX!$C$3:$C$1500=$D56)*(TongVTSX!$E$3:$E$1500=$F56)*(TongVTSX!$S$3:$S$1500=TongVTSX!$S$2)*(TongVTSX!$O$3:$O$1500))))</f>
        <v>0</v>
      </c>
      <c r="P56" s="1150">
        <f ca="1">IF($S56=$T$7,INDEX(TongVTSX!$O$3:$O$1500,$R56),IF($S56=$T$2,INDEX(TongVTSX!$M$3:$M$1500,$R56)*$I56*$V56,SUMPRODUCT((TongVTSX!$C$3:$C$1500=$D56)*(TongVTSX!$E$3:$E$1500=$F56)*(TongVTSX!$S$3:$S$1500=TongVTSX!$S$2)*(TongVTSX!$O$3:$O$1500))))</f>
        <v>0</v>
      </c>
      <c r="Q56" s="1155" t="str">
        <f ca="1">IFERROR(INDEX(NVLSX!$AA$2:$AA$6756,MATCH($D56,NVLSX!$E$2:$E$6756,0)),"")</f>
        <v/>
      </c>
      <c r="R56" s="75" t="str">
        <f ca="1">IF(S56="","",IF(S56&lt;&gt;S55,IF(TYPE(MATCH(S56,TongVTSX!$Q$3:$Q$1500,0))=16,"",MATCH(S56,TongVTSX!$Q$3:$Q$1500,0)),IF(TYPE(MATCH(S56,OFFSET(TongVTSX!$Q$3,R55,0):'TongVTSX'!$Q$1500,0)+R55)=16,"",MATCH(S56,OFFSET(TongVTSX!$Q$3,R55,0):'TongVTSX'!$Q$1500,0)+R55)))</f>
        <v/>
      </c>
      <c r="S56" s="76" t="str">
        <f ca="1">IFERROR(IF(COUNTIF($S$3:S55,S55)&lt; INDEX($U$1:$U$7,MATCH($S55,$T$1:$T$7,0)),$S55,INDEX($T$1:$T$7,MATCH($S55,$T$1:$T$7,0)+1)),"")</f>
        <v/>
      </c>
      <c r="V56" s="1133" t="str">
        <f ca="1">IFERROR(INDEX(NVLSX!$U$2:$U$6941,MATCH($D56,NVLSX!$E$2:$E$6941,0)),"")</f>
        <v/>
      </c>
      <c r="W56" s="1143"/>
      <c r="X56" s="1143"/>
    </row>
    <row r="57" spans="1:24">
      <c r="A57" s="19" t="str">
        <f t="shared" ca="1" si="2"/>
        <v/>
      </c>
      <c r="B57" s="1146" t="str">
        <f ca="1">IFERROR(INDEX(NVLSX!$Y$2:$Y$6756,MATCH($D57,NVLSX!$E$2:$E$6756,0)),"")</f>
        <v/>
      </c>
      <c r="C57" s="1146" t="str">
        <f ca="1">IFERROR(INDEX(NVLSX!$Z$2:$Z$6756,MATCH($D57,NVLSX!$E$2:$E$6756,0)),"")</f>
        <v/>
      </c>
      <c r="D57" s="729" t="str">
        <f ca="1">IF($R57="","",INDEX(TongVTSX!C$3:C$1500,$R57))</f>
        <v/>
      </c>
      <c r="E57" s="729" t="str">
        <f ca="1">IF($R57="","",IF($S57=$T$7,INDEX(TongVTSX!D$3:D$1500,$R57) &amp;  " (" &amp; INDEX(TongVTSX!A$3:A$1500,$R57) &amp; ")",INDEX(TongVTSX!D$3:D$1500,$R57)))</f>
        <v/>
      </c>
      <c r="F57" s="874" t="str">
        <f ca="1">IF($R57="","",IF($S57&lt;&gt;NVLSX!$N$6492,INDEX(TongVTSX!E$3:E$1500,$R57),INDEX(TongVTSX!G$3:G$1500,$R57)))</f>
        <v/>
      </c>
      <c r="G57" s="730" t="str">
        <f ca="1">IF($R57="","",INDEX(TongVTSX!F$3:F$1500,$R57))</f>
        <v/>
      </c>
      <c r="H57" s="731">
        <f ca="1">IF($S57=$T$7,INDEX(TongVTSX!$K$3:$K$1500,$R57)/INDEX(TongVTSX!$G$3:$G$1500,$R57),IF($S57=$T$2,ROUNDUP(SUMPRODUCT((TongVTSX!$C$3:$C$1500=$D57)*(TongVTSX!$E$3:$E$1500=$F57)*(TongVTSX!$S$3:$S$1500=TongVTSX!$S$2)*(TongVTSX!$K$3:$K$1500))/$V57,0),SUMPRODUCT((TongVTSX!$C$3:$C$1500=$D57)*(TongVTSX!$E$3:$E$1500=$F57)*(TongVTSX!$S$3:$S$1500=TongVTSX!$S$2)*(TongVTSX!$K$3:$K$1500))))</f>
        <v>0</v>
      </c>
      <c r="I57" s="731">
        <f ca="1">IF($S57=$T$2,ROUNDUP(SUMPRODUCT((TongVTSX!$C$3:$C$1500=$D57)*(TongVTSX!$E$3:$E$1500=$F57)*(TongVTSX!$S$3:$S$1500=TongVTSX!$S$2)*(TongVTSX!$K$3:$K$1500))/$V57,2),0)</f>
        <v>0</v>
      </c>
      <c r="J57" s="731"/>
      <c r="K57" s="731"/>
      <c r="L57" s="732"/>
      <c r="M57" s="732" t="str">
        <f t="shared" ca="1" si="1"/>
        <v/>
      </c>
      <c r="N57" s="732"/>
      <c r="O57" s="732">
        <f ca="1">IF($S57=$T$7,INDEX(TongVTSX!$O$3:$O$1500,$R57),IF($S57=$T$2,INDEX(TongVTSX!$M$3:$M$1500,$R57)*$V57*$H57,SUMPRODUCT((TongVTSX!$C$3:$C$1500=$D57)*(TongVTSX!$E$3:$E$1500=$F57)*(TongVTSX!$S$3:$S$1500=TongVTSX!$S$2)*(TongVTSX!$O$3:$O$1500))))</f>
        <v>0</v>
      </c>
      <c r="P57" s="1150">
        <f ca="1">IF($S57=$T$7,INDEX(TongVTSX!$O$3:$O$1500,$R57),IF($S57=$T$2,INDEX(TongVTSX!$M$3:$M$1500,$R57)*$I57*$V57,SUMPRODUCT((TongVTSX!$C$3:$C$1500=$D57)*(TongVTSX!$E$3:$E$1500=$F57)*(TongVTSX!$S$3:$S$1500=TongVTSX!$S$2)*(TongVTSX!$O$3:$O$1500))))</f>
        <v>0</v>
      </c>
      <c r="Q57" s="1155" t="str">
        <f ca="1">IFERROR(INDEX(NVLSX!$AA$2:$AA$6756,MATCH($D57,NVLSX!$E$2:$E$6756,0)),"")</f>
        <v/>
      </c>
      <c r="R57" s="75" t="str">
        <f ca="1">IF(S57="","",IF(S57&lt;&gt;S56,IF(TYPE(MATCH(S57,TongVTSX!$Q$3:$Q$1500,0))=16,"",MATCH(S57,TongVTSX!$Q$3:$Q$1500,0)),IF(TYPE(MATCH(S57,OFFSET(TongVTSX!$Q$3,R56,0):'TongVTSX'!$Q$1500,0)+R56)=16,"",MATCH(S57,OFFSET(TongVTSX!$Q$3,R56,0):'TongVTSX'!$Q$1500,0)+R56)))</f>
        <v/>
      </c>
      <c r="S57" s="76" t="str">
        <f ca="1">IFERROR(IF(COUNTIF($S$3:S56,S56)&lt; INDEX($U$1:$U$7,MATCH($S56,$T$1:$T$7,0)),$S56,INDEX($T$1:$T$7,MATCH($S56,$T$1:$T$7,0)+1)),"")</f>
        <v/>
      </c>
      <c r="V57" s="1133" t="str">
        <f ca="1">IFERROR(INDEX(NVLSX!$U$2:$U$6941,MATCH($D57,NVLSX!$E$2:$E$6941,0)),"")</f>
        <v/>
      </c>
      <c r="W57" s="1143"/>
      <c r="X57" s="1143"/>
    </row>
    <row r="58" spans="1:24">
      <c r="A58" s="19" t="str">
        <f t="shared" ca="1" si="2"/>
        <v/>
      </c>
      <c r="B58" s="1146" t="str">
        <f ca="1">IFERROR(INDEX(NVLSX!$Y$2:$Y$6756,MATCH($D58,NVLSX!$E$2:$E$6756,0)),"")</f>
        <v/>
      </c>
      <c r="C58" s="1146" t="str">
        <f ca="1">IFERROR(INDEX(NVLSX!$Z$2:$Z$6756,MATCH($D58,NVLSX!$E$2:$E$6756,0)),"")</f>
        <v/>
      </c>
      <c r="D58" s="729" t="str">
        <f ca="1">IF($R58="","",INDEX(TongVTSX!C$3:C$1500,$R58))</f>
        <v/>
      </c>
      <c r="E58" s="729" t="str">
        <f ca="1">IF($R58="","",IF($S58=$T$7,INDEX(TongVTSX!D$3:D$1500,$R58) &amp;  " (" &amp; INDEX(TongVTSX!A$3:A$1500,$R58) &amp; ")",INDEX(TongVTSX!D$3:D$1500,$R58)))</f>
        <v/>
      </c>
      <c r="F58" s="874" t="str">
        <f ca="1">IF($R58="","",IF($S58&lt;&gt;NVLSX!$N$6492,INDEX(TongVTSX!E$3:E$1500,$R58),INDEX(TongVTSX!G$3:G$1500,$R58)))</f>
        <v/>
      </c>
      <c r="G58" s="730" t="str">
        <f ca="1">IF($R58="","",INDEX(TongVTSX!F$3:F$1500,$R58))</f>
        <v/>
      </c>
      <c r="H58" s="731">
        <f ca="1">IF($S58=$T$7,INDEX(TongVTSX!$K$3:$K$1500,$R58)/INDEX(TongVTSX!$G$3:$G$1500,$R58),IF($S58=$T$2,ROUNDUP(SUMPRODUCT((TongVTSX!$C$3:$C$1500=$D58)*(TongVTSX!$E$3:$E$1500=$F58)*(TongVTSX!$S$3:$S$1500=TongVTSX!$S$2)*(TongVTSX!$K$3:$K$1500))/$V58,0),SUMPRODUCT((TongVTSX!$C$3:$C$1500=$D58)*(TongVTSX!$E$3:$E$1500=$F58)*(TongVTSX!$S$3:$S$1500=TongVTSX!$S$2)*(TongVTSX!$K$3:$K$1500))))</f>
        <v>0</v>
      </c>
      <c r="I58" s="731">
        <f ca="1">IF($S58=$T$2,ROUNDUP(SUMPRODUCT((TongVTSX!$C$3:$C$1500=$D58)*(TongVTSX!$E$3:$E$1500=$F58)*(TongVTSX!$S$3:$S$1500=TongVTSX!$S$2)*(TongVTSX!$K$3:$K$1500))/$V58,2),0)</f>
        <v>0</v>
      </c>
      <c r="J58" s="731"/>
      <c r="K58" s="731"/>
      <c r="L58" s="732"/>
      <c r="M58" s="732" t="str">
        <f t="shared" ca="1" si="1"/>
        <v/>
      </c>
      <c r="N58" s="732"/>
      <c r="O58" s="732">
        <f ca="1">IF($S58=$T$7,INDEX(TongVTSX!$O$3:$O$1500,$R58),IF($S58=$T$2,INDEX(TongVTSX!$M$3:$M$1500,$R58)*$V58*$H58,SUMPRODUCT((TongVTSX!$C$3:$C$1500=$D58)*(TongVTSX!$E$3:$E$1500=$F58)*(TongVTSX!$S$3:$S$1500=TongVTSX!$S$2)*(TongVTSX!$O$3:$O$1500))))</f>
        <v>0</v>
      </c>
      <c r="P58" s="1150">
        <f ca="1">IF($S58=$T$7,INDEX(TongVTSX!$O$3:$O$1500,$R58),IF($S58=$T$2,INDEX(TongVTSX!$M$3:$M$1500,$R58)*$I58*$V58,SUMPRODUCT((TongVTSX!$C$3:$C$1500=$D58)*(TongVTSX!$E$3:$E$1500=$F58)*(TongVTSX!$S$3:$S$1500=TongVTSX!$S$2)*(TongVTSX!$O$3:$O$1500))))</f>
        <v>0</v>
      </c>
      <c r="Q58" s="1155" t="str">
        <f ca="1">IFERROR(INDEX(NVLSX!$AA$2:$AA$6756,MATCH($D58,NVLSX!$E$2:$E$6756,0)),"")</f>
        <v/>
      </c>
      <c r="R58" s="75" t="str">
        <f ca="1">IF(S58="","",IF(S58&lt;&gt;S57,IF(TYPE(MATCH(S58,TongVTSX!$Q$3:$Q$1500,0))=16,"",MATCH(S58,TongVTSX!$Q$3:$Q$1500,0)),IF(TYPE(MATCH(S58,OFFSET(TongVTSX!$Q$3,R57,0):'TongVTSX'!$Q$1500,0)+R57)=16,"",MATCH(S58,OFFSET(TongVTSX!$Q$3,R57,0):'TongVTSX'!$Q$1500,0)+R57)))</f>
        <v/>
      </c>
      <c r="S58" s="76" t="str">
        <f ca="1">IFERROR(IF(COUNTIF($S$3:S57,S57)&lt; INDEX($U$1:$U$7,MATCH($S57,$T$1:$T$7,0)),$S57,INDEX($T$1:$T$7,MATCH($S57,$T$1:$T$7,0)+1)),"")</f>
        <v/>
      </c>
      <c r="V58" s="1133" t="str">
        <f ca="1">IFERROR(INDEX(NVLSX!$U$2:$U$6941,MATCH($D58,NVLSX!$E$2:$E$6941,0)),"")</f>
        <v/>
      </c>
      <c r="W58" s="1143"/>
      <c r="X58" s="1143"/>
    </row>
    <row r="59" spans="1:24">
      <c r="A59" s="19" t="str">
        <f t="shared" ca="1" si="2"/>
        <v/>
      </c>
      <c r="B59" s="1146" t="str">
        <f ca="1">IFERROR(INDEX(NVLSX!$Y$2:$Y$6756,MATCH($D59,NVLSX!$E$2:$E$6756,0)),"")</f>
        <v/>
      </c>
      <c r="C59" s="1146" t="str">
        <f ca="1">IFERROR(INDEX(NVLSX!$Z$2:$Z$6756,MATCH($D59,NVLSX!$E$2:$E$6756,0)),"")</f>
        <v/>
      </c>
      <c r="D59" s="729" t="str">
        <f ca="1">IF($R59="","",INDEX(TongVTSX!C$3:C$1500,$R59))</f>
        <v/>
      </c>
      <c r="E59" s="729" t="str">
        <f ca="1">IF($R59="","",IF($S59=$T$7,INDEX(TongVTSX!D$3:D$1500,$R59) &amp;  " (" &amp; INDEX(TongVTSX!A$3:A$1500,$R59) &amp; ")",INDEX(TongVTSX!D$3:D$1500,$R59)))</f>
        <v/>
      </c>
      <c r="F59" s="874" t="str">
        <f ca="1">IF($R59="","",IF($S59&lt;&gt;NVLSX!$N$6492,INDEX(TongVTSX!E$3:E$1500,$R59),INDEX(TongVTSX!G$3:G$1500,$R59)))</f>
        <v/>
      </c>
      <c r="G59" s="730" t="str">
        <f ca="1">IF($R59="","",INDEX(TongVTSX!F$3:F$1500,$R59))</f>
        <v/>
      </c>
      <c r="H59" s="731">
        <f ca="1">IF($S59=$T$7,INDEX(TongVTSX!$K$3:$K$1500,$R59)/INDEX(TongVTSX!$G$3:$G$1500,$R59),IF($S59=$T$2,ROUNDUP(SUMPRODUCT((TongVTSX!$C$3:$C$1500=$D59)*(TongVTSX!$E$3:$E$1500=$F59)*(TongVTSX!$S$3:$S$1500=TongVTSX!$S$2)*(TongVTSX!$K$3:$K$1500))/$V59,0),SUMPRODUCT((TongVTSX!$C$3:$C$1500=$D59)*(TongVTSX!$E$3:$E$1500=$F59)*(TongVTSX!$S$3:$S$1500=TongVTSX!$S$2)*(TongVTSX!$K$3:$K$1500))))</f>
        <v>0</v>
      </c>
      <c r="I59" s="731">
        <f ca="1">IF($S59=$T$2,ROUNDUP(SUMPRODUCT((TongVTSX!$C$3:$C$1500=$D59)*(TongVTSX!$E$3:$E$1500=$F59)*(TongVTSX!$S$3:$S$1500=TongVTSX!$S$2)*(TongVTSX!$K$3:$K$1500))/$V59,2),0)</f>
        <v>0</v>
      </c>
      <c r="J59" s="731"/>
      <c r="K59" s="731"/>
      <c r="L59" s="732"/>
      <c r="M59" s="732" t="str">
        <f t="shared" ca="1" si="1"/>
        <v/>
      </c>
      <c r="N59" s="732"/>
      <c r="O59" s="732">
        <f ca="1">IF($S59=$T$7,INDEX(TongVTSX!$O$3:$O$1500,$R59),IF($S59=$T$2,INDEX(TongVTSX!$M$3:$M$1500,$R59)*$V59*$H59,SUMPRODUCT((TongVTSX!$C$3:$C$1500=$D59)*(TongVTSX!$E$3:$E$1500=$F59)*(TongVTSX!$S$3:$S$1500=TongVTSX!$S$2)*(TongVTSX!$O$3:$O$1500))))</f>
        <v>0</v>
      </c>
      <c r="P59" s="1150">
        <f ca="1">IF($S59=$T$7,INDEX(TongVTSX!$O$3:$O$1500,$R59),IF($S59=$T$2,INDEX(TongVTSX!$M$3:$M$1500,$R59)*$I59*$V59,SUMPRODUCT((TongVTSX!$C$3:$C$1500=$D59)*(TongVTSX!$E$3:$E$1500=$F59)*(TongVTSX!$S$3:$S$1500=TongVTSX!$S$2)*(TongVTSX!$O$3:$O$1500))))</f>
        <v>0</v>
      </c>
      <c r="Q59" s="1155" t="str">
        <f ca="1">IFERROR(INDEX(NVLSX!$AA$2:$AA$6756,MATCH($D59,NVLSX!$E$2:$E$6756,0)),"")</f>
        <v/>
      </c>
      <c r="R59" s="75" t="str">
        <f ca="1">IF(S59="","",IF(S59&lt;&gt;S58,IF(TYPE(MATCH(S59,TongVTSX!$Q$3:$Q$1500,0))=16,"",MATCH(S59,TongVTSX!$Q$3:$Q$1500,0)),IF(TYPE(MATCH(S59,OFFSET(TongVTSX!$Q$3,R58,0):'TongVTSX'!$Q$1500,0)+R58)=16,"",MATCH(S59,OFFSET(TongVTSX!$Q$3,R58,0):'TongVTSX'!$Q$1500,0)+R58)))</f>
        <v/>
      </c>
      <c r="S59" s="76" t="str">
        <f ca="1">IFERROR(IF(COUNTIF($S$3:S58,S58)&lt; INDEX($U$1:$U$7,MATCH($S58,$T$1:$T$7,0)),$S58,INDEX($T$1:$T$7,MATCH($S58,$T$1:$T$7,0)+1)),"")</f>
        <v/>
      </c>
      <c r="V59" s="1133" t="str">
        <f ca="1">IFERROR(INDEX(NVLSX!$U$2:$U$6941,MATCH($D59,NVLSX!$E$2:$E$6941,0)),"")</f>
        <v/>
      </c>
      <c r="W59" s="1143"/>
      <c r="X59" s="1143"/>
    </row>
    <row r="60" spans="1:24">
      <c r="A60" s="19" t="str">
        <f t="shared" ca="1" si="2"/>
        <v/>
      </c>
      <c r="B60" s="1146" t="str">
        <f ca="1">IFERROR(INDEX(NVLSX!$Y$2:$Y$6756,MATCH($D60,NVLSX!$E$2:$E$6756,0)),"")</f>
        <v/>
      </c>
      <c r="C60" s="1146" t="str">
        <f ca="1">IFERROR(INDEX(NVLSX!$Z$2:$Z$6756,MATCH($D60,NVLSX!$E$2:$E$6756,0)),"")</f>
        <v/>
      </c>
      <c r="D60" s="729" t="str">
        <f ca="1">IF($R60="","",INDEX(TongVTSX!C$3:C$1500,$R60))</f>
        <v/>
      </c>
      <c r="E60" s="729" t="str">
        <f ca="1">IF($R60="","",IF($S60=$T$7,INDEX(TongVTSX!D$3:D$1500,$R60) &amp;  " (" &amp; INDEX(TongVTSX!A$3:A$1500,$R60) &amp; ")",INDEX(TongVTSX!D$3:D$1500,$R60)))</f>
        <v/>
      </c>
      <c r="F60" s="874" t="str">
        <f ca="1">IF($R60="","",IF($S60&lt;&gt;NVLSX!$N$6492,INDEX(TongVTSX!E$3:E$1500,$R60),INDEX(TongVTSX!G$3:G$1500,$R60)))</f>
        <v/>
      </c>
      <c r="G60" s="730" t="str">
        <f ca="1">IF($R60="","",INDEX(TongVTSX!F$3:F$1500,$R60))</f>
        <v/>
      </c>
      <c r="H60" s="731">
        <f ca="1">IF($S60=$T$7,INDEX(TongVTSX!$K$3:$K$1500,$R60)/INDEX(TongVTSX!$G$3:$G$1500,$R60),IF($S60=$T$2,ROUNDUP(SUMPRODUCT((TongVTSX!$C$3:$C$1500=$D60)*(TongVTSX!$E$3:$E$1500=$F60)*(TongVTSX!$S$3:$S$1500=TongVTSX!$S$2)*(TongVTSX!$K$3:$K$1500))/$V60,0),SUMPRODUCT((TongVTSX!$C$3:$C$1500=$D60)*(TongVTSX!$E$3:$E$1500=$F60)*(TongVTSX!$S$3:$S$1500=TongVTSX!$S$2)*(TongVTSX!$K$3:$K$1500))))</f>
        <v>0</v>
      </c>
      <c r="I60" s="731">
        <f ca="1">IF($S60=$T$2,ROUNDUP(SUMPRODUCT((TongVTSX!$C$3:$C$1500=$D60)*(TongVTSX!$E$3:$E$1500=$F60)*(TongVTSX!$S$3:$S$1500=TongVTSX!$S$2)*(TongVTSX!$K$3:$K$1500))/$V60,2),0)</f>
        <v>0</v>
      </c>
      <c r="J60" s="731"/>
      <c r="K60" s="731"/>
      <c r="L60" s="732"/>
      <c r="M60" s="732" t="str">
        <f t="shared" ca="1" si="1"/>
        <v/>
      </c>
      <c r="N60" s="732"/>
      <c r="O60" s="732">
        <f ca="1">IF($S60=$T$7,INDEX(TongVTSX!$O$3:$O$1500,$R60),IF($S60=$T$2,INDEX(TongVTSX!$M$3:$M$1500,$R60)*$V60*$H60,SUMPRODUCT((TongVTSX!$C$3:$C$1500=$D60)*(TongVTSX!$E$3:$E$1500=$F60)*(TongVTSX!$S$3:$S$1500=TongVTSX!$S$2)*(TongVTSX!$O$3:$O$1500))))</f>
        <v>0</v>
      </c>
      <c r="P60" s="1150">
        <f ca="1">IF($S60=$T$7,INDEX(TongVTSX!$O$3:$O$1500,$R60),IF($S60=$T$2,INDEX(TongVTSX!$M$3:$M$1500,$R60)*$I60*$V60,SUMPRODUCT((TongVTSX!$C$3:$C$1500=$D60)*(TongVTSX!$E$3:$E$1500=$F60)*(TongVTSX!$S$3:$S$1500=TongVTSX!$S$2)*(TongVTSX!$O$3:$O$1500))))</f>
        <v>0</v>
      </c>
      <c r="Q60" s="1155" t="str">
        <f ca="1">IFERROR(INDEX(NVLSX!$AA$2:$AA$6756,MATCH($D60,NVLSX!$E$2:$E$6756,0)),"")</f>
        <v/>
      </c>
      <c r="R60" s="75" t="str">
        <f ca="1">IF(S60="","",IF(S60&lt;&gt;S59,IF(TYPE(MATCH(S60,TongVTSX!$Q$3:$Q$1500,0))=16,"",MATCH(S60,TongVTSX!$Q$3:$Q$1500,0)),IF(TYPE(MATCH(S60,OFFSET(TongVTSX!$Q$3,R59,0):'TongVTSX'!$Q$1500,0)+R59)=16,"",MATCH(S60,OFFSET(TongVTSX!$Q$3,R59,0):'TongVTSX'!$Q$1500,0)+R59)))</f>
        <v/>
      </c>
      <c r="S60" s="76" t="str">
        <f ca="1">IFERROR(IF(COUNTIF($S$3:S59,S59)&lt; INDEX($U$1:$U$7,MATCH($S59,$T$1:$T$7,0)),$S59,INDEX($T$1:$T$7,MATCH($S59,$T$1:$T$7,0)+1)),"")</f>
        <v/>
      </c>
      <c r="V60" s="1133" t="str">
        <f ca="1">IFERROR(INDEX(NVLSX!$U$2:$U$6941,MATCH($D60,NVLSX!$E$2:$E$6941,0)),"")</f>
        <v/>
      </c>
      <c r="W60" s="1143"/>
      <c r="X60" s="1143"/>
    </row>
    <row r="61" spans="1:24">
      <c r="A61" s="19" t="str">
        <f t="shared" ca="1" si="2"/>
        <v/>
      </c>
      <c r="B61" s="1146" t="str">
        <f ca="1">IFERROR(INDEX(NVLSX!$Y$2:$Y$6756,MATCH($D61,NVLSX!$E$2:$E$6756,0)),"")</f>
        <v/>
      </c>
      <c r="C61" s="1146" t="str">
        <f ca="1">IFERROR(INDEX(NVLSX!$Z$2:$Z$6756,MATCH($D61,NVLSX!$E$2:$E$6756,0)),"")</f>
        <v/>
      </c>
      <c r="D61" s="729" t="str">
        <f ca="1">IF($R61="","",INDEX(TongVTSX!C$3:C$1500,$R61))</f>
        <v/>
      </c>
      <c r="E61" s="729" t="str">
        <f ca="1">IF($R61="","",IF($S61=$T$7,INDEX(TongVTSX!D$3:D$1500,$R61) &amp;  " (" &amp; INDEX(TongVTSX!A$3:A$1500,$R61) &amp; ")",INDEX(TongVTSX!D$3:D$1500,$R61)))</f>
        <v/>
      </c>
      <c r="F61" s="874" t="str">
        <f ca="1">IF($R61="","",IF($S61&lt;&gt;NVLSX!$N$6492,INDEX(TongVTSX!E$3:E$1500,$R61),INDEX(TongVTSX!G$3:G$1500,$R61)))</f>
        <v/>
      </c>
      <c r="G61" s="730" t="str">
        <f ca="1">IF($R61="","",INDEX(TongVTSX!F$3:F$1500,$R61))</f>
        <v/>
      </c>
      <c r="H61" s="731">
        <f ca="1">IF($S61=$T$7,INDEX(TongVTSX!$K$3:$K$1500,$R61)/INDEX(TongVTSX!$G$3:$G$1500,$R61),IF($S61=$T$2,ROUNDUP(SUMPRODUCT((TongVTSX!$C$3:$C$1500=$D61)*(TongVTSX!$E$3:$E$1500=$F61)*(TongVTSX!$S$3:$S$1500=TongVTSX!$S$2)*(TongVTSX!$K$3:$K$1500))/$V61,0),SUMPRODUCT((TongVTSX!$C$3:$C$1500=$D61)*(TongVTSX!$E$3:$E$1500=$F61)*(TongVTSX!$S$3:$S$1500=TongVTSX!$S$2)*(TongVTSX!$K$3:$K$1500))))</f>
        <v>0</v>
      </c>
      <c r="I61" s="731">
        <f ca="1">IF($S61=$T$2,ROUNDUP(SUMPRODUCT((TongVTSX!$C$3:$C$1500=$D61)*(TongVTSX!$E$3:$E$1500=$F61)*(TongVTSX!$S$3:$S$1500=TongVTSX!$S$2)*(TongVTSX!$K$3:$K$1500))/$V61,2),0)</f>
        <v>0</v>
      </c>
      <c r="J61" s="731"/>
      <c r="K61" s="731"/>
      <c r="L61" s="732"/>
      <c r="M61" s="732" t="str">
        <f t="shared" ca="1" si="1"/>
        <v/>
      </c>
      <c r="N61" s="732"/>
      <c r="O61" s="732">
        <f ca="1">IF($S61=$T$7,INDEX(TongVTSX!$O$3:$O$1500,$R61),IF($S61=$T$2,INDEX(TongVTSX!$M$3:$M$1500,$R61)*$V61*$H61,SUMPRODUCT((TongVTSX!$C$3:$C$1500=$D61)*(TongVTSX!$E$3:$E$1500=$F61)*(TongVTSX!$S$3:$S$1500=TongVTSX!$S$2)*(TongVTSX!$O$3:$O$1500))))</f>
        <v>0</v>
      </c>
      <c r="P61" s="1150">
        <f ca="1">IF($S61=$T$7,INDEX(TongVTSX!$O$3:$O$1500,$R61),IF($S61=$T$2,INDEX(TongVTSX!$M$3:$M$1500,$R61)*$I61*$V61,SUMPRODUCT((TongVTSX!$C$3:$C$1500=$D61)*(TongVTSX!$E$3:$E$1500=$F61)*(TongVTSX!$S$3:$S$1500=TongVTSX!$S$2)*(TongVTSX!$O$3:$O$1500))))</f>
        <v>0</v>
      </c>
      <c r="Q61" s="1155" t="str">
        <f ca="1">IFERROR(INDEX(NVLSX!$AA$2:$AA$6756,MATCH($D61,NVLSX!$E$2:$E$6756,0)),"")</f>
        <v/>
      </c>
      <c r="R61" s="75" t="str">
        <f ca="1">IF(S61="","",IF(S61&lt;&gt;S60,IF(TYPE(MATCH(S61,TongVTSX!$Q$3:$Q$1500,0))=16,"",MATCH(S61,TongVTSX!$Q$3:$Q$1500,0)),IF(TYPE(MATCH(S61,OFFSET(TongVTSX!$Q$3,R60,0):'TongVTSX'!$Q$1500,0)+R60)=16,"",MATCH(S61,OFFSET(TongVTSX!$Q$3,R60,0):'TongVTSX'!$Q$1500,0)+R60)))</f>
        <v/>
      </c>
      <c r="S61" s="76" t="str">
        <f ca="1">IFERROR(IF(COUNTIF($S$3:S60,S60)&lt; INDEX($U$1:$U$7,MATCH($S60,$T$1:$T$7,0)),$S60,INDEX($T$1:$T$7,MATCH($S60,$T$1:$T$7,0)+1)),"")</f>
        <v/>
      </c>
      <c r="V61" s="1133" t="str">
        <f ca="1">IFERROR(INDEX(NVLSX!$U$2:$U$6941,MATCH($D61,NVLSX!$E$2:$E$6941,0)),"")</f>
        <v/>
      </c>
      <c r="W61" s="1143"/>
      <c r="X61" s="1143"/>
    </row>
    <row r="62" spans="1:24">
      <c r="A62" s="19" t="str">
        <f t="shared" ca="1" si="2"/>
        <v/>
      </c>
      <c r="B62" s="1146" t="str">
        <f ca="1">IFERROR(INDEX(NVLSX!$Y$2:$Y$6756,MATCH($D62,NVLSX!$E$2:$E$6756,0)),"")</f>
        <v/>
      </c>
      <c r="C62" s="1146" t="str">
        <f ca="1">IFERROR(INDEX(NVLSX!$Z$2:$Z$6756,MATCH($D62,NVLSX!$E$2:$E$6756,0)),"")</f>
        <v/>
      </c>
      <c r="D62" s="729" t="str">
        <f ca="1">IF($R62="","",INDEX(TongVTSX!C$3:C$1500,$R62))</f>
        <v/>
      </c>
      <c r="E62" s="729" t="str">
        <f ca="1">IF($R62="","",IF($S62=$T$7,INDEX(TongVTSX!D$3:D$1500,$R62) &amp;  " (" &amp; INDEX(TongVTSX!A$3:A$1500,$R62) &amp; ")",INDEX(TongVTSX!D$3:D$1500,$R62)))</f>
        <v/>
      </c>
      <c r="F62" s="874" t="str">
        <f ca="1">IF($R62="","",IF($S62&lt;&gt;NVLSX!$N$6492,INDEX(TongVTSX!E$3:E$1500,$R62),INDEX(TongVTSX!G$3:G$1500,$R62)))</f>
        <v/>
      </c>
      <c r="G62" s="730" t="str">
        <f ca="1">IF($R62="","",INDEX(TongVTSX!F$3:F$1500,$R62))</f>
        <v/>
      </c>
      <c r="H62" s="731">
        <f ca="1">IF($S62=$T$7,INDEX(TongVTSX!$K$3:$K$1500,$R62)/INDEX(TongVTSX!$G$3:$G$1500,$R62),IF($S62=$T$2,ROUNDUP(SUMPRODUCT((TongVTSX!$C$3:$C$1500=$D62)*(TongVTSX!$E$3:$E$1500=$F62)*(TongVTSX!$S$3:$S$1500=TongVTSX!$S$2)*(TongVTSX!$K$3:$K$1500))/$V62,0),SUMPRODUCT((TongVTSX!$C$3:$C$1500=$D62)*(TongVTSX!$E$3:$E$1500=$F62)*(TongVTSX!$S$3:$S$1500=TongVTSX!$S$2)*(TongVTSX!$K$3:$K$1500))))</f>
        <v>0</v>
      </c>
      <c r="I62" s="731">
        <f ca="1">IF($S62=$T$2,ROUNDUP(SUMPRODUCT((TongVTSX!$C$3:$C$1500=$D62)*(TongVTSX!$E$3:$E$1500=$F62)*(TongVTSX!$S$3:$S$1500=TongVTSX!$S$2)*(TongVTSX!$K$3:$K$1500))/$V62,2),0)</f>
        <v>0</v>
      </c>
      <c r="J62" s="731"/>
      <c r="K62" s="731"/>
      <c r="L62" s="732"/>
      <c r="M62" s="732" t="str">
        <f t="shared" ca="1" si="1"/>
        <v/>
      </c>
      <c r="N62" s="732"/>
      <c r="O62" s="732">
        <f ca="1">IF($S62=$T$7,INDEX(TongVTSX!$O$3:$O$1500,$R62),IF($S62=$T$2,INDEX(TongVTSX!$M$3:$M$1500,$R62)*$V62*$H62,SUMPRODUCT((TongVTSX!$C$3:$C$1500=$D62)*(TongVTSX!$E$3:$E$1500=$F62)*(TongVTSX!$S$3:$S$1500=TongVTSX!$S$2)*(TongVTSX!$O$3:$O$1500))))</f>
        <v>0</v>
      </c>
      <c r="P62" s="1150">
        <f ca="1">IF($S62=$T$7,INDEX(TongVTSX!$O$3:$O$1500,$R62),IF($S62=$T$2,INDEX(TongVTSX!$M$3:$M$1500,$R62)*$I62*$V62,SUMPRODUCT((TongVTSX!$C$3:$C$1500=$D62)*(TongVTSX!$E$3:$E$1500=$F62)*(TongVTSX!$S$3:$S$1500=TongVTSX!$S$2)*(TongVTSX!$O$3:$O$1500))))</f>
        <v>0</v>
      </c>
      <c r="Q62" s="1155" t="str">
        <f ca="1">IFERROR(INDEX(NVLSX!$AA$2:$AA$6756,MATCH($D62,NVLSX!$E$2:$E$6756,0)),"")</f>
        <v/>
      </c>
      <c r="R62" s="75" t="str">
        <f ca="1">IF(S62="","",IF(S62&lt;&gt;S61,IF(TYPE(MATCH(S62,TongVTSX!$Q$3:$Q$1500,0))=16,"",MATCH(S62,TongVTSX!$Q$3:$Q$1500,0)),IF(TYPE(MATCH(S62,OFFSET(TongVTSX!$Q$3,R61,0):'TongVTSX'!$Q$1500,0)+R61)=16,"",MATCH(S62,OFFSET(TongVTSX!$Q$3,R61,0):'TongVTSX'!$Q$1500,0)+R61)))</f>
        <v/>
      </c>
      <c r="S62" s="76" t="str">
        <f ca="1">IFERROR(IF(COUNTIF($S$3:S61,S61)&lt; INDEX($U$1:$U$7,MATCH($S61,$T$1:$T$7,0)),$S61,INDEX($T$1:$T$7,MATCH($S61,$T$1:$T$7,0)+1)),"")</f>
        <v/>
      </c>
      <c r="V62" s="1133" t="str">
        <f ca="1">IFERROR(INDEX(NVLSX!$U$2:$U$6941,MATCH($D62,NVLSX!$E$2:$E$6941,0)),"")</f>
        <v/>
      </c>
      <c r="W62" s="1143"/>
      <c r="X62" s="1143"/>
    </row>
    <row r="63" spans="1:24">
      <c r="A63" s="19" t="str">
        <f t="shared" ca="1" si="2"/>
        <v/>
      </c>
      <c r="B63" s="1146" t="str">
        <f ca="1">IFERROR(INDEX(NVLSX!$Y$2:$Y$6756,MATCH($D63,NVLSX!$E$2:$E$6756,0)),"")</f>
        <v/>
      </c>
      <c r="C63" s="1146" t="str">
        <f ca="1">IFERROR(INDEX(NVLSX!$Z$2:$Z$6756,MATCH($D63,NVLSX!$E$2:$E$6756,0)),"")</f>
        <v/>
      </c>
      <c r="D63" s="729" t="str">
        <f ca="1">IF($R63="","",INDEX(TongVTSX!C$3:C$1500,$R63))</f>
        <v/>
      </c>
      <c r="E63" s="729" t="str">
        <f ca="1">IF($R63="","",IF($S63=$T$7,INDEX(TongVTSX!D$3:D$1500,$R63) &amp;  " (" &amp; INDEX(TongVTSX!A$3:A$1500,$R63) &amp; ")",INDEX(TongVTSX!D$3:D$1500,$R63)))</f>
        <v/>
      </c>
      <c r="F63" s="874" t="str">
        <f ca="1">IF($R63="","",IF($S63&lt;&gt;NVLSX!$N$6492,INDEX(TongVTSX!E$3:E$1500,$R63),INDEX(TongVTSX!G$3:G$1500,$R63)))</f>
        <v/>
      </c>
      <c r="G63" s="730" t="str">
        <f ca="1">IF($R63="","",INDEX(TongVTSX!F$3:F$1500,$R63))</f>
        <v/>
      </c>
      <c r="H63" s="731">
        <f ca="1">IF($S63=$T$7,INDEX(TongVTSX!$K$3:$K$1500,$R63)/INDEX(TongVTSX!$G$3:$G$1500,$R63),IF($S63=$T$2,ROUNDUP(SUMPRODUCT((TongVTSX!$C$3:$C$1500=$D63)*(TongVTSX!$E$3:$E$1500=$F63)*(TongVTSX!$S$3:$S$1500=TongVTSX!$S$2)*(TongVTSX!$K$3:$K$1500))/$V63,0),SUMPRODUCT((TongVTSX!$C$3:$C$1500=$D63)*(TongVTSX!$E$3:$E$1500=$F63)*(TongVTSX!$S$3:$S$1500=TongVTSX!$S$2)*(TongVTSX!$K$3:$K$1500))))</f>
        <v>0</v>
      </c>
      <c r="I63" s="731">
        <f ca="1">IF($S63=$T$2,ROUNDUP(SUMPRODUCT((TongVTSX!$C$3:$C$1500=$D63)*(TongVTSX!$E$3:$E$1500=$F63)*(TongVTSX!$S$3:$S$1500=TongVTSX!$S$2)*(TongVTSX!$K$3:$K$1500))/$V63,2),0)</f>
        <v>0</v>
      </c>
      <c r="J63" s="731"/>
      <c r="K63" s="731"/>
      <c r="L63" s="732"/>
      <c r="M63" s="732" t="str">
        <f t="shared" ca="1" si="1"/>
        <v/>
      </c>
      <c r="N63" s="732"/>
      <c r="O63" s="732">
        <f ca="1">IF($S63=$T$7,INDEX(TongVTSX!$O$3:$O$1500,$R63),IF($S63=$T$2,INDEX(TongVTSX!$M$3:$M$1500,$R63)*$V63*$H63,SUMPRODUCT((TongVTSX!$C$3:$C$1500=$D63)*(TongVTSX!$E$3:$E$1500=$F63)*(TongVTSX!$S$3:$S$1500=TongVTSX!$S$2)*(TongVTSX!$O$3:$O$1500))))</f>
        <v>0</v>
      </c>
      <c r="P63" s="1150">
        <f ca="1">IF($S63=$T$7,INDEX(TongVTSX!$O$3:$O$1500,$R63),IF($S63=$T$2,INDEX(TongVTSX!$M$3:$M$1500,$R63)*$I63*$V63,SUMPRODUCT((TongVTSX!$C$3:$C$1500=$D63)*(TongVTSX!$E$3:$E$1500=$F63)*(TongVTSX!$S$3:$S$1500=TongVTSX!$S$2)*(TongVTSX!$O$3:$O$1500))))</f>
        <v>0</v>
      </c>
      <c r="Q63" s="1155" t="str">
        <f ca="1">IFERROR(INDEX(NVLSX!$AA$2:$AA$6756,MATCH($D63,NVLSX!$E$2:$E$6756,0)),"")</f>
        <v/>
      </c>
      <c r="R63" s="75" t="str">
        <f ca="1">IF(S63="","",IF(S63&lt;&gt;S62,IF(TYPE(MATCH(S63,TongVTSX!$Q$3:$Q$1500,0))=16,"",MATCH(S63,TongVTSX!$Q$3:$Q$1500,0)),IF(TYPE(MATCH(S63,OFFSET(TongVTSX!$Q$3,R62,0):'TongVTSX'!$Q$1500,0)+R62)=16,"",MATCH(S63,OFFSET(TongVTSX!$Q$3,R62,0):'TongVTSX'!$Q$1500,0)+R62)))</f>
        <v/>
      </c>
      <c r="S63" s="76" t="str">
        <f ca="1">IFERROR(IF(COUNTIF($S$3:S62,S62)&lt; INDEX($U$1:$U$7,MATCH($S62,$T$1:$T$7,0)),$S62,INDEX($T$1:$T$7,MATCH($S62,$T$1:$T$7,0)+1)),"")</f>
        <v/>
      </c>
      <c r="V63" s="1133" t="str">
        <f ca="1">IFERROR(INDEX(NVLSX!$U$2:$U$6941,MATCH($D63,NVLSX!$E$2:$E$6941,0)),"")</f>
        <v/>
      </c>
      <c r="W63" s="1143"/>
      <c r="X63" s="1143"/>
    </row>
    <row r="64" spans="1:24">
      <c r="A64" s="19" t="str">
        <f t="shared" ca="1" si="2"/>
        <v/>
      </c>
      <c r="B64" s="1146" t="str">
        <f ca="1">IFERROR(INDEX(NVLSX!$Y$2:$Y$6756,MATCH($D64,NVLSX!$E$2:$E$6756,0)),"")</f>
        <v/>
      </c>
      <c r="C64" s="1146" t="str">
        <f ca="1">IFERROR(INDEX(NVLSX!$Z$2:$Z$6756,MATCH($D64,NVLSX!$E$2:$E$6756,0)),"")</f>
        <v/>
      </c>
      <c r="D64" s="729" t="str">
        <f ca="1">IF($R64="","",INDEX(TongVTSX!C$3:C$1500,$R64))</f>
        <v/>
      </c>
      <c r="E64" s="729" t="str">
        <f ca="1">IF($R64="","",IF($S64=$T$7,INDEX(TongVTSX!D$3:D$1500,$R64) &amp;  " (" &amp; INDEX(TongVTSX!A$3:A$1500,$R64) &amp; ")",INDEX(TongVTSX!D$3:D$1500,$R64)))</f>
        <v/>
      </c>
      <c r="F64" s="874" t="str">
        <f ca="1">IF($R64="","",IF($S64&lt;&gt;NVLSX!$N$6492,INDEX(TongVTSX!E$3:E$1500,$R64),INDEX(TongVTSX!G$3:G$1500,$R64)))</f>
        <v/>
      </c>
      <c r="G64" s="730" t="str">
        <f ca="1">IF($R64="","",INDEX(TongVTSX!F$3:F$1500,$R64))</f>
        <v/>
      </c>
      <c r="H64" s="731">
        <f ca="1">IF($S64=$T$7,INDEX(TongVTSX!$K$3:$K$1500,$R64)/INDEX(TongVTSX!$G$3:$G$1500,$R64),IF($S64=$T$2,ROUNDUP(SUMPRODUCT((TongVTSX!$C$3:$C$1500=$D64)*(TongVTSX!$E$3:$E$1500=$F64)*(TongVTSX!$S$3:$S$1500=TongVTSX!$S$2)*(TongVTSX!$K$3:$K$1500))/$V64,0),SUMPRODUCT((TongVTSX!$C$3:$C$1500=$D64)*(TongVTSX!$E$3:$E$1500=$F64)*(TongVTSX!$S$3:$S$1500=TongVTSX!$S$2)*(TongVTSX!$K$3:$K$1500))))</f>
        <v>0</v>
      </c>
      <c r="I64" s="731">
        <f ca="1">IF($S64=$T$2,ROUNDUP(SUMPRODUCT((TongVTSX!$C$3:$C$1500=$D64)*(TongVTSX!$E$3:$E$1500=$F64)*(TongVTSX!$S$3:$S$1500=TongVTSX!$S$2)*(TongVTSX!$K$3:$K$1500))/$V64,2),0)</f>
        <v>0</v>
      </c>
      <c r="J64" s="731"/>
      <c r="K64" s="731"/>
      <c r="L64" s="732"/>
      <c r="M64" s="732" t="str">
        <f t="shared" ca="1" si="1"/>
        <v/>
      </c>
      <c r="N64" s="732"/>
      <c r="O64" s="732">
        <f ca="1">IF($S64=$T$7,INDEX(TongVTSX!$O$3:$O$1500,$R64),IF($S64=$T$2,INDEX(TongVTSX!$M$3:$M$1500,$R64)*$V64*$H64,SUMPRODUCT((TongVTSX!$C$3:$C$1500=$D64)*(TongVTSX!$E$3:$E$1500=$F64)*(TongVTSX!$S$3:$S$1500=TongVTSX!$S$2)*(TongVTSX!$O$3:$O$1500))))</f>
        <v>0</v>
      </c>
      <c r="P64" s="1150">
        <f ca="1">IF($S64=$T$7,INDEX(TongVTSX!$O$3:$O$1500,$R64),IF($S64=$T$2,INDEX(TongVTSX!$M$3:$M$1500,$R64)*$I64*$V64,SUMPRODUCT((TongVTSX!$C$3:$C$1500=$D64)*(TongVTSX!$E$3:$E$1500=$F64)*(TongVTSX!$S$3:$S$1500=TongVTSX!$S$2)*(TongVTSX!$O$3:$O$1500))))</f>
        <v>0</v>
      </c>
      <c r="Q64" s="1155" t="str">
        <f ca="1">IFERROR(INDEX(NVLSX!$AA$2:$AA$6756,MATCH($D64,NVLSX!$E$2:$E$6756,0)),"")</f>
        <v/>
      </c>
      <c r="R64" s="75" t="str">
        <f ca="1">IF(S64="","",IF(S64&lt;&gt;S63,IF(TYPE(MATCH(S64,TongVTSX!$Q$3:$Q$1500,0))=16,"",MATCH(S64,TongVTSX!$Q$3:$Q$1500,0)),IF(TYPE(MATCH(S64,OFFSET(TongVTSX!$Q$3,R63,0):'TongVTSX'!$Q$1500,0)+R63)=16,"",MATCH(S64,OFFSET(TongVTSX!$Q$3,R63,0):'TongVTSX'!$Q$1500,0)+R63)))</f>
        <v/>
      </c>
      <c r="S64" s="76" t="str">
        <f ca="1">IFERROR(IF(COUNTIF($S$3:S63,S63)&lt; INDEX($U$1:$U$7,MATCH($S63,$T$1:$T$7,0)),$S63,INDEX($T$1:$T$7,MATCH($S63,$T$1:$T$7,0)+1)),"")</f>
        <v/>
      </c>
      <c r="V64" s="1133" t="str">
        <f ca="1">IFERROR(INDEX(NVLSX!$U$2:$U$6941,MATCH($D64,NVLSX!$E$2:$E$6941,0)),"")</f>
        <v/>
      </c>
      <c r="W64" s="1143"/>
      <c r="X64" s="1143"/>
    </row>
    <row r="65" spans="1:24">
      <c r="A65" s="19" t="str">
        <f t="shared" ca="1" si="2"/>
        <v/>
      </c>
      <c r="B65" s="1146" t="str">
        <f ca="1">IFERROR(INDEX(NVLSX!$Y$2:$Y$6756,MATCH($D65,NVLSX!$E$2:$E$6756,0)),"")</f>
        <v/>
      </c>
      <c r="C65" s="1146" t="str">
        <f ca="1">IFERROR(INDEX(NVLSX!$Z$2:$Z$6756,MATCH($D65,NVLSX!$E$2:$E$6756,0)),"")</f>
        <v/>
      </c>
      <c r="D65" s="729" t="str">
        <f ca="1">IF($R65="","",INDEX(TongVTSX!C$3:C$1500,$R65))</f>
        <v/>
      </c>
      <c r="E65" s="729" t="str">
        <f ca="1">IF($R65="","",IF($S65=$T$7,INDEX(TongVTSX!D$3:D$1500,$R65) &amp;  " (" &amp; INDEX(TongVTSX!A$3:A$1500,$R65) &amp; ")",INDEX(TongVTSX!D$3:D$1500,$R65)))</f>
        <v/>
      </c>
      <c r="F65" s="874" t="str">
        <f ca="1">IF($R65="","",IF($S65&lt;&gt;NVLSX!$N$6492,INDEX(TongVTSX!E$3:E$1500,$R65),INDEX(TongVTSX!G$3:G$1500,$R65)))</f>
        <v/>
      </c>
      <c r="G65" s="730" t="str">
        <f ca="1">IF($R65="","",INDEX(TongVTSX!F$3:F$1500,$R65))</f>
        <v/>
      </c>
      <c r="H65" s="731">
        <f ca="1">IF($S65=$T$7,INDEX(TongVTSX!$K$3:$K$1500,$R65)/INDEX(TongVTSX!$G$3:$G$1500,$R65),IF($S65=$T$2,ROUNDUP(SUMPRODUCT((TongVTSX!$C$3:$C$1500=$D65)*(TongVTSX!$E$3:$E$1500=$F65)*(TongVTSX!$S$3:$S$1500=TongVTSX!$S$2)*(TongVTSX!$K$3:$K$1500))/$V65,0),SUMPRODUCT((TongVTSX!$C$3:$C$1500=$D65)*(TongVTSX!$E$3:$E$1500=$F65)*(TongVTSX!$S$3:$S$1500=TongVTSX!$S$2)*(TongVTSX!$K$3:$K$1500))))</f>
        <v>0</v>
      </c>
      <c r="I65" s="731">
        <f ca="1">IF($S65=$T$2,ROUNDUP(SUMPRODUCT((TongVTSX!$C$3:$C$1500=$D65)*(TongVTSX!$E$3:$E$1500=$F65)*(TongVTSX!$S$3:$S$1500=TongVTSX!$S$2)*(TongVTSX!$K$3:$K$1500))/$V65,2),0)</f>
        <v>0</v>
      </c>
      <c r="J65" s="731"/>
      <c r="K65" s="731"/>
      <c r="L65" s="732"/>
      <c r="M65" s="732" t="str">
        <f t="shared" ca="1" si="1"/>
        <v/>
      </c>
      <c r="N65" s="732"/>
      <c r="O65" s="732">
        <f ca="1">IF($S65=$T$7,INDEX(TongVTSX!$O$3:$O$1500,$R65),IF($S65=$T$2,INDEX(TongVTSX!$M$3:$M$1500,$R65)*$V65*$H65,SUMPRODUCT((TongVTSX!$C$3:$C$1500=$D65)*(TongVTSX!$E$3:$E$1500=$F65)*(TongVTSX!$S$3:$S$1500=TongVTSX!$S$2)*(TongVTSX!$O$3:$O$1500))))</f>
        <v>0</v>
      </c>
      <c r="P65" s="1150">
        <f ca="1">IF($S65=$T$7,INDEX(TongVTSX!$O$3:$O$1500,$R65),IF($S65=$T$2,INDEX(TongVTSX!$M$3:$M$1500,$R65)*$I65*$V65,SUMPRODUCT((TongVTSX!$C$3:$C$1500=$D65)*(TongVTSX!$E$3:$E$1500=$F65)*(TongVTSX!$S$3:$S$1500=TongVTSX!$S$2)*(TongVTSX!$O$3:$O$1500))))</f>
        <v>0</v>
      </c>
      <c r="Q65" s="1155" t="str">
        <f ca="1">IFERROR(INDEX(NVLSX!$AA$2:$AA$6756,MATCH($D65,NVLSX!$E$2:$E$6756,0)),"")</f>
        <v/>
      </c>
      <c r="R65" s="75" t="str">
        <f ca="1">IF(S65="","",IF(S65&lt;&gt;S64,IF(TYPE(MATCH(S65,TongVTSX!$Q$3:$Q$1500,0))=16,"",MATCH(S65,TongVTSX!$Q$3:$Q$1500,0)),IF(TYPE(MATCH(S65,OFFSET(TongVTSX!$Q$3,R64,0):'TongVTSX'!$Q$1500,0)+R64)=16,"",MATCH(S65,OFFSET(TongVTSX!$Q$3,R64,0):'TongVTSX'!$Q$1500,0)+R64)))</f>
        <v/>
      </c>
      <c r="S65" s="76" t="str">
        <f ca="1">IFERROR(IF(COUNTIF($S$3:S64,S64)&lt; INDEX($U$1:$U$7,MATCH($S64,$T$1:$T$7,0)),$S64,INDEX($T$1:$T$7,MATCH($S64,$T$1:$T$7,0)+1)),"")</f>
        <v/>
      </c>
      <c r="V65" s="1133" t="str">
        <f ca="1">IFERROR(INDEX(NVLSX!$U$2:$U$6941,MATCH($D65,NVLSX!$E$2:$E$6941,0)),"")</f>
        <v/>
      </c>
      <c r="W65" s="1143"/>
      <c r="X65" s="1143"/>
    </row>
    <row r="66" spans="1:24">
      <c r="A66" s="19" t="str">
        <f t="shared" ca="1" si="2"/>
        <v/>
      </c>
      <c r="B66" s="1146" t="str">
        <f ca="1">IFERROR(INDEX(NVLSX!$Y$2:$Y$6756,MATCH($D66,NVLSX!$E$2:$E$6756,0)),"")</f>
        <v/>
      </c>
      <c r="C66" s="1146" t="str">
        <f ca="1">IFERROR(INDEX(NVLSX!$Z$2:$Z$6756,MATCH($D66,NVLSX!$E$2:$E$6756,0)),"")</f>
        <v/>
      </c>
      <c r="D66" s="729" t="str">
        <f ca="1">IF($R66="","",INDEX(TongVTSX!C$3:C$1500,$R66))</f>
        <v/>
      </c>
      <c r="E66" s="729" t="str">
        <f ca="1">IF($R66="","",IF($S66=$T$7,INDEX(TongVTSX!D$3:D$1500,$R66) &amp;  " (" &amp; INDEX(TongVTSX!A$3:A$1500,$R66) &amp; ")",INDEX(TongVTSX!D$3:D$1500,$R66)))</f>
        <v/>
      </c>
      <c r="F66" s="874" t="str">
        <f ca="1">IF($R66="","",IF($S66&lt;&gt;NVLSX!$N$6492,INDEX(TongVTSX!E$3:E$1500,$R66),INDEX(TongVTSX!G$3:G$1500,$R66)))</f>
        <v/>
      </c>
      <c r="G66" s="730" t="str">
        <f ca="1">IF($R66="","",INDEX(TongVTSX!F$3:F$1500,$R66))</f>
        <v/>
      </c>
      <c r="H66" s="731">
        <f ca="1">IF($S66=$T$7,INDEX(TongVTSX!$K$3:$K$1500,$R66)/INDEX(TongVTSX!$G$3:$G$1500,$R66),IF($S66=$T$2,ROUNDUP(SUMPRODUCT((TongVTSX!$C$3:$C$1500=$D66)*(TongVTSX!$E$3:$E$1500=$F66)*(TongVTSX!$S$3:$S$1500=TongVTSX!$S$2)*(TongVTSX!$K$3:$K$1500))/$V66,0),SUMPRODUCT((TongVTSX!$C$3:$C$1500=$D66)*(TongVTSX!$E$3:$E$1500=$F66)*(TongVTSX!$S$3:$S$1500=TongVTSX!$S$2)*(TongVTSX!$K$3:$K$1500))))</f>
        <v>0</v>
      </c>
      <c r="I66" s="731">
        <f ca="1">IF($S66=$T$2,ROUNDUP(SUMPRODUCT((TongVTSX!$C$3:$C$1500=$D66)*(TongVTSX!$E$3:$E$1500=$F66)*(TongVTSX!$S$3:$S$1500=TongVTSX!$S$2)*(TongVTSX!$K$3:$K$1500))/$V66,2),0)</f>
        <v>0</v>
      </c>
      <c r="J66" s="731"/>
      <c r="K66" s="731"/>
      <c r="L66" s="732"/>
      <c r="M66" s="732" t="str">
        <f t="shared" ca="1" si="1"/>
        <v/>
      </c>
      <c r="N66" s="732"/>
      <c r="O66" s="732">
        <f ca="1">IF($S66=$T$7,INDEX(TongVTSX!$O$3:$O$1500,$R66),IF($S66=$T$2,INDEX(TongVTSX!$M$3:$M$1500,$R66)*$V66*$H66,SUMPRODUCT((TongVTSX!$C$3:$C$1500=$D66)*(TongVTSX!$E$3:$E$1500=$F66)*(TongVTSX!$S$3:$S$1500=TongVTSX!$S$2)*(TongVTSX!$O$3:$O$1500))))</f>
        <v>0</v>
      </c>
      <c r="P66" s="1150">
        <f ca="1">IF($S66=$T$7,INDEX(TongVTSX!$O$3:$O$1500,$R66),IF($S66=$T$2,INDEX(TongVTSX!$M$3:$M$1500,$R66)*$I66*$V66,SUMPRODUCT((TongVTSX!$C$3:$C$1500=$D66)*(TongVTSX!$E$3:$E$1500=$F66)*(TongVTSX!$S$3:$S$1500=TongVTSX!$S$2)*(TongVTSX!$O$3:$O$1500))))</f>
        <v>0</v>
      </c>
      <c r="Q66" s="1155" t="str">
        <f ca="1">IFERROR(INDEX(NVLSX!$AA$2:$AA$6756,MATCH($D66,NVLSX!$E$2:$E$6756,0)),"")</f>
        <v/>
      </c>
      <c r="R66" s="75" t="str">
        <f ca="1">IF(S66="","",IF(S66&lt;&gt;S65,IF(TYPE(MATCH(S66,TongVTSX!$Q$3:$Q$1500,0))=16,"",MATCH(S66,TongVTSX!$Q$3:$Q$1500,0)),IF(TYPE(MATCH(S66,OFFSET(TongVTSX!$Q$3,R65,0):'TongVTSX'!$Q$1500,0)+R65)=16,"",MATCH(S66,OFFSET(TongVTSX!$Q$3,R65,0):'TongVTSX'!$Q$1500,0)+R65)))</f>
        <v/>
      </c>
      <c r="S66" s="76" t="str">
        <f ca="1">IFERROR(IF(COUNTIF($S$3:S65,S65)&lt; INDEX($U$1:$U$7,MATCH($S65,$T$1:$T$7,0)),$S65,INDEX($T$1:$T$7,MATCH($S65,$T$1:$T$7,0)+1)),"")</f>
        <v/>
      </c>
      <c r="V66" s="1133" t="str">
        <f ca="1">IFERROR(INDEX(NVLSX!$U$2:$U$6941,MATCH($D66,NVLSX!$E$2:$E$6941,0)),"")</f>
        <v/>
      </c>
      <c r="W66" s="1143"/>
      <c r="X66" s="1143"/>
    </row>
    <row r="67" spans="1:24">
      <c r="A67" s="19" t="str">
        <f t="shared" ref="A67:A98" ca="1" si="3">IF($S67="","",IF($S67&lt;&gt;$S66,1,$A66+1))</f>
        <v/>
      </c>
      <c r="B67" s="1146" t="str">
        <f ca="1">IFERROR(INDEX(NVLSX!$Y$2:$Y$6756,MATCH($D67,NVLSX!$E$2:$E$6756,0)),"")</f>
        <v/>
      </c>
      <c r="C67" s="1146" t="str">
        <f ca="1">IFERROR(INDEX(NVLSX!$Z$2:$Z$6756,MATCH($D67,NVLSX!$E$2:$E$6756,0)),"")</f>
        <v/>
      </c>
      <c r="D67" s="729" t="str">
        <f ca="1">IF($R67="","",INDEX(TongVTSX!C$3:C$1500,$R67))</f>
        <v/>
      </c>
      <c r="E67" s="729" t="str">
        <f ca="1">IF($R67="","",IF($S67=$T$7,INDEX(TongVTSX!D$3:D$1500,$R67) &amp;  " (" &amp; INDEX(TongVTSX!A$3:A$1500,$R67) &amp; ")",INDEX(TongVTSX!D$3:D$1500,$R67)))</f>
        <v/>
      </c>
      <c r="F67" s="874" t="str">
        <f ca="1">IF($R67="","",IF($S67&lt;&gt;NVLSX!$N$6492,INDEX(TongVTSX!E$3:E$1500,$R67),INDEX(TongVTSX!G$3:G$1500,$R67)))</f>
        <v/>
      </c>
      <c r="G67" s="730" t="str">
        <f ca="1">IF($R67="","",INDEX(TongVTSX!F$3:F$1500,$R67))</f>
        <v/>
      </c>
      <c r="H67" s="731">
        <f ca="1">IF($S67=$T$7,INDEX(TongVTSX!$K$3:$K$1500,$R67)/INDEX(TongVTSX!$G$3:$G$1500,$R67),IF($S67=$T$2,ROUNDUP(SUMPRODUCT((TongVTSX!$C$3:$C$1500=$D67)*(TongVTSX!$E$3:$E$1500=$F67)*(TongVTSX!$S$3:$S$1500=TongVTSX!$S$2)*(TongVTSX!$K$3:$K$1500))/$V67,0),SUMPRODUCT((TongVTSX!$C$3:$C$1500=$D67)*(TongVTSX!$E$3:$E$1500=$F67)*(TongVTSX!$S$3:$S$1500=TongVTSX!$S$2)*(TongVTSX!$K$3:$K$1500))))</f>
        <v>0</v>
      </c>
      <c r="I67" s="731">
        <f ca="1">IF($S67=$T$2,ROUNDUP(SUMPRODUCT((TongVTSX!$C$3:$C$1500=$D67)*(TongVTSX!$E$3:$E$1500=$F67)*(TongVTSX!$S$3:$S$1500=TongVTSX!$S$2)*(TongVTSX!$K$3:$K$1500))/$V67,2),0)</f>
        <v>0</v>
      </c>
      <c r="J67" s="731"/>
      <c r="K67" s="731"/>
      <c r="L67" s="732"/>
      <c r="M67" s="732" t="str">
        <f t="shared" ca="1" si="1"/>
        <v/>
      </c>
      <c r="N67" s="732"/>
      <c r="O67" s="732">
        <f ca="1">IF($S67=$T$7,INDEX(TongVTSX!$O$3:$O$1500,$R67),IF($S67=$T$2,INDEX(TongVTSX!$M$3:$M$1500,$R67)*$V67*$H67,SUMPRODUCT((TongVTSX!$C$3:$C$1500=$D67)*(TongVTSX!$E$3:$E$1500=$F67)*(TongVTSX!$S$3:$S$1500=TongVTSX!$S$2)*(TongVTSX!$O$3:$O$1500))))</f>
        <v>0</v>
      </c>
      <c r="P67" s="1150">
        <f ca="1">IF($S67=$T$7,INDEX(TongVTSX!$O$3:$O$1500,$R67),IF($S67=$T$2,INDEX(TongVTSX!$M$3:$M$1500,$R67)*$I67*$V67,SUMPRODUCT((TongVTSX!$C$3:$C$1500=$D67)*(TongVTSX!$E$3:$E$1500=$F67)*(TongVTSX!$S$3:$S$1500=TongVTSX!$S$2)*(TongVTSX!$O$3:$O$1500))))</f>
        <v>0</v>
      </c>
      <c r="Q67" s="1155" t="str">
        <f ca="1">IFERROR(INDEX(NVLSX!$AA$2:$AA$6756,MATCH($D67,NVLSX!$E$2:$E$6756,0)),"")</f>
        <v/>
      </c>
      <c r="R67" s="75" t="str">
        <f ca="1">IF(S67="","",IF(S67&lt;&gt;S66,IF(TYPE(MATCH(S67,TongVTSX!$Q$3:$Q$1500,0))=16,"",MATCH(S67,TongVTSX!$Q$3:$Q$1500,0)),IF(TYPE(MATCH(S67,OFFSET(TongVTSX!$Q$3,R66,0):'TongVTSX'!$Q$1500,0)+R66)=16,"",MATCH(S67,OFFSET(TongVTSX!$Q$3,R66,0):'TongVTSX'!$Q$1500,0)+R66)))</f>
        <v/>
      </c>
      <c r="S67" s="76" t="str">
        <f ca="1">IFERROR(IF(COUNTIF($S$3:S66,S66)&lt; INDEX($U$1:$U$7,MATCH($S66,$T$1:$T$7,0)),$S66,INDEX($T$1:$T$7,MATCH($S66,$T$1:$T$7,0)+1)),"")</f>
        <v/>
      </c>
      <c r="V67" s="1133" t="str">
        <f ca="1">IFERROR(INDEX(NVLSX!$U$2:$U$6941,MATCH($D67,NVLSX!$E$2:$E$6941,0)),"")</f>
        <v/>
      </c>
      <c r="W67" s="1143"/>
      <c r="X67" s="1143"/>
    </row>
    <row r="68" spans="1:24">
      <c r="A68" s="19" t="str">
        <f t="shared" ca="1" si="3"/>
        <v/>
      </c>
      <c r="B68" s="1146" t="str">
        <f ca="1">IFERROR(INDEX(NVLSX!$Y$2:$Y$6756,MATCH($D68,NVLSX!$E$2:$E$6756,0)),"")</f>
        <v/>
      </c>
      <c r="C68" s="1146" t="str">
        <f ca="1">IFERROR(INDEX(NVLSX!$Z$2:$Z$6756,MATCH($D68,NVLSX!$E$2:$E$6756,0)),"")</f>
        <v/>
      </c>
      <c r="D68" s="729" t="str">
        <f ca="1">IF($R68="","",INDEX(TongVTSX!C$3:C$1500,$R68))</f>
        <v/>
      </c>
      <c r="E68" s="729" t="str">
        <f ca="1">IF($R68="","",IF($S68=$T$7,INDEX(TongVTSX!D$3:D$1500,$R68) &amp;  " (" &amp; INDEX(TongVTSX!A$3:A$1500,$R68) &amp; ")",INDEX(TongVTSX!D$3:D$1500,$R68)))</f>
        <v/>
      </c>
      <c r="F68" s="874" t="str">
        <f ca="1">IF($R68="","",IF($S68&lt;&gt;NVLSX!$N$6492,INDEX(TongVTSX!E$3:E$1500,$R68),INDEX(TongVTSX!G$3:G$1500,$R68)))</f>
        <v/>
      </c>
      <c r="G68" s="730" t="str">
        <f ca="1">IF($R68="","",INDEX(TongVTSX!F$3:F$1500,$R68))</f>
        <v/>
      </c>
      <c r="H68" s="731">
        <f ca="1">IF($S68=$T$7,INDEX(TongVTSX!$K$3:$K$1500,$R68)/INDEX(TongVTSX!$G$3:$G$1500,$R68),IF($S68=$T$2,ROUNDUP(SUMPRODUCT((TongVTSX!$C$3:$C$1500=$D68)*(TongVTSX!$E$3:$E$1500=$F68)*(TongVTSX!$S$3:$S$1500=TongVTSX!$S$2)*(TongVTSX!$K$3:$K$1500))/$V68,0),SUMPRODUCT((TongVTSX!$C$3:$C$1500=$D68)*(TongVTSX!$E$3:$E$1500=$F68)*(TongVTSX!$S$3:$S$1500=TongVTSX!$S$2)*(TongVTSX!$K$3:$K$1500))))</f>
        <v>0</v>
      </c>
      <c r="I68" s="731">
        <f ca="1">IF($S68=$T$2,ROUNDUP(SUMPRODUCT((TongVTSX!$C$3:$C$1500=$D68)*(TongVTSX!$E$3:$E$1500=$F68)*(TongVTSX!$S$3:$S$1500=TongVTSX!$S$2)*(TongVTSX!$K$3:$K$1500))/$V68,2),0)</f>
        <v>0</v>
      </c>
      <c r="J68" s="731"/>
      <c r="K68" s="731"/>
      <c r="L68" s="732"/>
      <c r="M68" s="732" t="str">
        <f t="shared" ref="M68:M131" ca="1" si="4">IF($S68=$T$2,($H68-$I68)*$V68,"")</f>
        <v/>
      </c>
      <c r="N68" s="732"/>
      <c r="O68" s="732">
        <f ca="1">IF($S68=$T$7,INDEX(TongVTSX!$O$3:$O$1500,$R68),IF($S68=$T$2,INDEX(TongVTSX!$M$3:$M$1500,$R68)*$V68*$H68,SUMPRODUCT((TongVTSX!$C$3:$C$1500=$D68)*(TongVTSX!$E$3:$E$1500=$F68)*(TongVTSX!$S$3:$S$1500=TongVTSX!$S$2)*(TongVTSX!$O$3:$O$1500))))</f>
        <v>0</v>
      </c>
      <c r="P68" s="1150">
        <f ca="1">IF($S68=$T$7,INDEX(TongVTSX!$O$3:$O$1500,$R68),IF($S68=$T$2,INDEX(TongVTSX!$M$3:$M$1500,$R68)*$I68*$V68,SUMPRODUCT((TongVTSX!$C$3:$C$1500=$D68)*(TongVTSX!$E$3:$E$1500=$F68)*(TongVTSX!$S$3:$S$1500=TongVTSX!$S$2)*(TongVTSX!$O$3:$O$1500))))</f>
        <v>0</v>
      </c>
      <c r="Q68" s="1155" t="str">
        <f ca="1">IFERROR(INDEX(NVLSX!$AA$2:$AA$6756,MATCH($D68,NVLSX!$E$2:$E$6756,0)),"")</f>
        <v/>
      </c>
      <c r="R68" s="75" t="str">
        <f ca="1">IF(S68="","",IF(S68&lt;&gt;S67,IF(TYPE(MATCH(S68,TongVTSX!$Q$3:$Q$1500,0))=16,"",MATCH(S68,TongVTSX!$Q$3:$Q$1500,0)),IF(TYPE(MATCH(S68,OFFSET(TongVTSX!$Q$3,R67,0):'TongVTSX'!$Q$1500,0)+R67)=16,"",MATCH(S68,OFFSET(TongVTSX!$Q$3,R67,0):'TongVTSX'!$Q$1500,0)+R67)))</f>
        <v/>
      </c>
      <c r="S68" s="76" t="str">
        <f ca="1">IFERROR(IF(COUNTIF($S$3:S67,S67)&lt; INDEX($U$1:$U$7,MATCH($S67,$T$1:$T$7,0)),$S67,INDEX($T$1:$T$7,MATCH($S67,$T$1:$T$7,0)+1)),"")</f>
        <v/>
      </c>
      <c r="V68" s="1133" t="str">
        <f ca="1">IFERROR(INDEX(NVLSX!$U$2:$U$6941,MATCH($D68,NVLSX!$E$2:$E$6941,0)),"")</f>
        <v/>
      </c>
      <c r="W68" s="1143"/>
      <c r="X68" s="1143"/>
    </row>
    <row r="69" spans="1:24">
      <c r="A69" s="19" t="str">
        <f t="shared" ca="1" si="3"/>
        <v/>
      </c>
      <c r="B69" s="1146" t="str">
        <f ca="1">IFERROR(INDEX(NVLSX!$Y$2:$Y$6756,MATCH($D69,NVLSX!$E$2:$E$6756,0)),"")</f>
        <v/>
      </c>
      <c r="C69" s="1146" t="str">
        <f ca="1">IFERROR(INDEX(NVLSX!$Z$2:$Z$6756,MATCH($D69,NVLSX!$E$2:$E$6756,0)),"")</f>
        <v/>
      </c>
      <c r="D69" s="729" t="str">
        <f ca="1">IF($R69="","",INDEX(TongVTSX!C$3:C$1500,$R69))</f>
        <v/>
      </c>
      <c r="E69" s="729" t="str">
        <f ca="1">IF($R69="","",IF($S69=$T$7,INDEX(TongVTSX!D$3:D$1500,$R69) &amp;  " (" &amp; INDEX(TongVTSX!A$3:A$1500,$R69) &amp; ")",INDEX(TongVTSX!D$3:D$1500,$R69)))</f>
        <v/>
      </c>
      <c r="F69" s="874" t="str">
        <f ca="1">IF($R69="","",IF($S69&lt;&gt;NVLSX!$N$6492,INDEX(TongVTSX!E$3:E$1500,$R69),INDEX(TongVTSX!G$3:G$1500,$R69)))</f>
        <v/>
      </c>
      <c r="G69" s="730" t="str">
        <f ca="1">IF($R69="","",INDEX(TongVTSX!F$3:F$1500,$R69))</f>
        <v/>
      </c>
      <c r="H69" s="731">
        <f ca="1">IF($S69=$T$7,INDEX(TongVTSX!$K$3:$K$1500,$R69)/INDEX(TongVTSX!$G$3:$G$1500,$R69),IF($S69=$T$2,ROUNDUP(SUMPRODUCT((TongVTSX!$C$3:$C$1500=$D69)*(TongVTSX!$E$3:$E$1500=$F69)*(TongVTSX!$S$3:$S$1500=TongVTSX!$S$2)*(TongVTSX!$K$3:$K$1500))/$V69,0),SUMPRODUCT((TongVTSX!$C$3:$C$1500=$D69)*(TongVTSX!$E$3:$E$1500=$F69)*(TongVTSX!$S$3:$S$1500=TongVTSX!$S$2)*(TongVTSX!$K$3:$K$1500))))</f>
        <v>0</v>
      </c>
      <c r="I69" s="731">
        <f ca="1">IF($S69=$T$2,ROUNDUP(SUMPRODUCT((TongVTSX!$C$3:$C$1500=$D69)*(TongVTSX!$E$3:$E$1500=$F69)*(TongVTSX!$S$3:$S$1500=TongVTSX!$S$2)*(TongVTSX!$K$3:$K$1500))/$V69,2),0)</f>
        <v>0</v>
      </c>
      <c r="J69" s="731"/>
      <c r="K69" s="731"/>
      <c r="L69" s="732"/>
      <c r="M69" s="732" t="str">
        <f t="shared" ca="1" si="4"/>
        <v/>
      </c>
      <c r="N69" s="732"/>
      <c r="O69" s="732">
        <f ca="1">IF($S69=$T$7,INDEX(TongVTSX!$O$3:$O$1500,$R69),IF($S69=$T$2,INDEX(TongVTSX!$M$3:$M$1500,$R69)*$V69*$H69,SUMPRODUCT((TongVTSX!$C$3:$C$1500=$D69)*(TongVTSX!$E$3:$E$1500=$F69)*(TongVTSX!$S$3:$S$1500=TongVTSX!$S$2)*(TongVTSX!$O$3:$O$1500))))</f>
        <v>0</v>
      </c>
      <c r="P69" s="1150">
        <f ca="1">IF($S69=$T$7,INDEX(TongVTSX!$O$3:$O$1500,$R69),IF($S69=$T$2,INDEX(TongVTSX!$M$3:$M$1500,$R69)*$I69*$V69,SUMPRODUCT((TongVTSX!$C$3:$C$1500=$D69)*(TongVTSX!$E$3:$E$1500=$F69)*(TongVTSX!$S$3:$S$1500=TongVTSX!$S$2)*(TongVTSX!$O$3:$O$1500))))</f>
        <v>0</v>
      </c>
      <c r="Q69" s="1155" t="str">
        <f ca="1">IFERROR(INDEX(NVLSX!$AA$2:$AA$6756,MATCH($D69,NVLSX!$E$2:$E$6756,0)),"")</f>
        <v/>
      </c>
      <c r="R69" s="75" t="str">
        <f ca="1">IF(S69="","",IF(S69&lt;&gt;S68,IF(TYPE(MATCH(S69,TongVTSX!$Q$3:$Q$1500,0))=16,"",MATCH(S69,TongVTSX!$Q$3:$Q$1500,0)),IF(TYPE(MATCH(S69,OFFSET(TongVTSX!$Q$3,R68,0):'TongVTSX'!$Q$1500,0)+R68)=16,"",MATCH(S69,OFFSET(TongVTSX!$Q$3,R68,0):'TongVTSX'!$Q$1500,0)+R68)))</f>
        <v/>
      </c>
      <c r="S69" s="76" t="str">
        <f ca="1">IFERROR(IF(COUNTIF($S$3:S68,S68)&lt; INDEX($U$1:$U$7,MATCH($S68,$T$1:$T$7,0)),$S68,INDEX($T$1:$T$7,MATCH($S68,$T$1:$T$7,0)+1)),"")</f>
        <v/>
      </c>
      <c r="V69" s="1133" t="str">
        <f ca="1">IFERROR(INDEX(NVLSX!$U$2:$U$6941,MATCH($D69,NVLSX!$E$2:$E$6941,0)),"")</f>
        <v/>
      </c>
      <c r="W69" s="1143"/>
      <c r="X69" s="1143"/>
    </row>
    <row r="70" spans="1:24">
      <c r="A70" s="19" t="str">
        <f t="shared" ca="1" si="3"/>
        <v/>
      </c>
      <c r="B70" s="1146" t="str">
        <f ca="1">IFERROR(INDEX(NVLSX!$Y$2:$Y$6756,MATCH($D70,NVLSX!$E$2:$E$6756,0)),"")</f>
        <v/>
      </c>
      <c r="C70" s="1146" t="str">
        <f ca="1">IFERROR(INDEX(NVLSX!$Z$2:$Z$6756,MATCH($D70,NVLSX!$E$2:$E$6756,0)),"")</f>
        <v/>
      </c>
      <c r="D70" s="729" t="str">
        <f ca="1">IF($R70="","",INDEX(TongVTSX!C$3:C$1500,$R70))</f>
        <v/>
      </c>
      <c r="E70" s="729" t="str">
        <f ca="1">IF($R70="","",IF($S70=$T$7,INDEX(TongVTSX!D$3:D$1500,$R70) &amp;  " (" &amp; INDEX(TongVTSX!A$3:A$1500,$R70) &amp; ")",INDEX(TongVTSX!D$3:D$1500,$R70)))</f>
        <v/>
      </c>
      <c r="F70" s="874" t="str">
        <f ca="1">IF($R70="","",IF($S70&lt;&gt;NVLSX!$N$6492,INDEX(TongVTSX!E$3:E$1500,$R70),INDEX(TongVTSX!G$3:G$1500,$R70)))</f>
        <v/>
      </c>
      <c r="G70" s="730" t="str">
        <f ca="1">IF($R70="","",INDEX(TongVTSX!F$3:F$1500,$R70))</f>
        <v/>
      </c>
      <c r="H70" s="731">
        <f ca="1">IF($S70=$T$7,INDEX(TongVTSX!$K$3:$K$1500,$R70)/INDEX(TongVTSX!$G$3:$G$1500,$R70),IF($S70=$T$2,ROUNDUP(SUMPRODUCT((TongVTSX!$C$3:$C$1500=$D70)*(TongVTSX!$E$3:$E$1500=$F70)*(TongVTSX!$S$3:$S$1500=TongVTSX!$S$2)*(TongVTSX!$K$3:$K$1500))/$V70,0),SUMPRODUCT((TongVTSX!$C$3:$C$1500=$D70)*(TongVTSX!$E$3:$E$1500=$F70)*(TongVTSX!$S$3:$S$1500=TongVTSX!$S$2)*(TongVTSX!$K$3:$K$1500))))</f>
        <v>0</v>
      </c>
      <c r="I70" s="731">
        <f ca="1">IF($S70=$T$2,ROUNDUP(SUMPRODUCT((TongVTSX!$C$3:$C$1500=$D70)*(TongVTSX!$E$3:$E$1500=$F70)*(TongVTSX!$S$3:$S$1500=TongVTSX!$S$2)*(TongVTSX!$K$3:$K$1500))/$V70,2),0)</f>
        <v>0</v>
      </c>
      <c r="J70" s="731"/>
      <c r="K70" s="731"/>
      <c r="L70" s="732"/>
      <c r="M70" s="732" t="str">
        <f t="shared" ca="1" si="4"/>
        <v/>
      </c>
      <c r="N70" s="732"/>
      <c r="O70" s="732">
        <f ca="1">IF($S70=$T$7,INDEX(TongVTSX!$O$3:$O$1500,$R70),IF($S70=$T$2,INDEX(TongVTSX!$M$3:$M$1500,$R70)*$V70*$H70,SUMPRODUCT((TongVTSX!$C$3:$C$1500=$D70)*(TongVTSX!$E$3:$E$1500=$F70)*(TongVTSX!$S$3:$S$1500=TongVTSX!$S$2)*(TongVTSX!$O$3:$O$1500))))</f>
        <v>0</v>
      </c>
      <c r="P70" s="1150">
        <f ca="1">IF($S70=$T$7,INDEX(TongVTSX!$O$3:$O$1500,$R70),IF($S70=$T$2,INDEX(TongVTSX!$M$3:$M$1500,$R70)*$I70*$V70,SUMPRODUCT((TongVTSX!$C$3:$C$1500=$D70)*(TongVTSX!$E$3:$E$1500=$F70)*(TongVTSX!$S$3:$S$1500=TongVTSX!$S$2)*(TongVTSX!$O$3:$O$1500))))</f>
        <v>0</v>
      </c>
      <c r="Q70" s="1155" t="str">
        <f ca="1">IFERROR(INDEX(NVLSX!$AA$2:$AA$6756,MATCH($D70,NVLSX!$E$2:$E$6756,0)),"")</f>
        <v/>
      </c>
      <c r="R70" s="75" t="str">
        <f ca="1">IF(S70="","",IF(S70&lt;&gt;S69,IF(TYPE(MATCH(S70,TongVTSX!$Q$3:$Q$1500,0))=16,"",MATCH(S70,TongVTSX!$Q$3:$Q$1500,0)),IF(TYPE(MATCH(S70,OFFSET(TongVTSX!$Q$3,R69,0):'TongVTSX'!$Q$1500,0)+R69)=16,"",MATCH(S70,OFFSET(TongVTSX!$Q$3,R69,0):'TongVTSX'!$Q$1500,0)+R69)))</f>
        <v/>
      </c>
      <c r="S70" s="76" t="str">
        <f ca="1">IFERROR(IF(COUNTIF($S$3:S69,S69)&lt; INDEX($U$1:$U$7,MATCH($S69,$T$1:$T$7,0)),$S69,INDEX($T$1:$T$7,MATCH($S69,$T$1:$T$7,0)+1)),"")</f>
        <v/>
      </c>
      <c r="V70" s="1133" t="str">
        <f ca="1">IFERROR(INDEX(NVLSX!$U$2:$U$6941,MATCH($D70,NVLSX!$E$2:$E$6941,0)),"")</f>
        <v/>
      </c>
      <c r="W70" s="1143"/>
      <c r="X70" s="1143"/>
    </row>
    <row r="71" spans="1:24">
      <c r="A71" s="19" t="str">
        <f t="shared" ca="1" si="3"/>
        <v/>
      </c>
      <c r="B71" s="1146" t="str">
        <f ca="1">IFERROR(INDEX(NVLSX!$Y$2:$Y$6756,MATCH($D71,NVLSX!$E$2:$E$6756,0)),"")</f>
        <v/>
      </c>
      <c r="C71" s="1146" t="str">
        <f ca="1">IFERROR(INDEX(NVLSX!$Z$2:$Z$6756,MATCH($D71,NVLSX!$E$2:$E$6756,0)),"")</f>
        <v/>
      </c>
      <c r="D71" s="729" t="str">
        <f ca="1">IF($R71="","",INDEX(TongVTSX!C$3:C$1500,$R71))</f>
        <v/>
      </c>
      <c r="E71" s="729" t="str">
        <f ca="1">IF($R71="","",IF($S71=$T$7,INDEX(TongVTSX!D$3:D$1500,$R71) &amp;  " (" &amp; INDEX(TongVTSX!A$3:A$1500,$R71) &amp; ")",INDEX(TongVTSX!D$3:D$1500,$R71)))</f>
        <v/>
      </c>
      <c r="F71" s="874" t="str">
        <f ca="1">IF($R71="","",IF($S71&lt;&gt;NVLSX!$N$6492,INDEX(TongVTSX!E$3:E$1500,$R71),INDEX(TongVTSX!G$3:G$1500,$R71)))</f>
        <v/>
      </c>
      <c r="G71" s="730" t="str">
        <f ca="1">IF($R71="","",INDEX(TongVTSX!F$3:F$1500,$R71))</f>
        <v/>
      </c>
      <c r="H71" s="731">
        <f ca="1">IF($S71=$T$7,INDEX(TongVTSX!$K$3:$K$1500,$R71)/INDEX(TongVTSX!$G$3:$G$1500,$R71),IF($S71=$T$2,ROUNDUP(SUMPRODUCT((TongVTSX!$C$3:$C$1500=$D71)*(TongVTSX!$E$3:$E$1500=$F71)*(TongVTSX!$S$3:$S$1500=TongVTSX!$S$2)*(TongVTSX!$K$3:$K$1500))/$V71,0),SUMPRODUCT((TongVTSX!$C$3:$C$1500=$D71)*(TongVTSX!$E$3:$E$1500=$F71)*(TongVTSX!$S$3:$S$1500=TongVTSX!$S$2)*(TongVTSX!$K$3:$K$1500))))</f>
        <v>0</v>
      </c>
      <c r="I71" s="731">
        <f ca="1">IF($S71=$T$2,ROUNDUP(SUMPRODUCT((TongVTSX!$C$3:$C$1500=$D71)*(TongVTSX!$E$3:$E$1500=$F71)*(TongVTSX!$S$3:$S$1500=TongVTSX!$S$2)*(TongVTSX!$K$3:$K$1500))/$V71,2),0)</f>
        <v>0</v>
      </c>
      <c r="J71" s="731"/>
      <c r="K71" s="731"/>
      <c r="L71" s="732"/>
      <c r="M71" s="732" t="str">
        <f t="shared" ca="1" si="4"/>
        <v/>
      </c>
      <c r="N71" s="732"/>
      <c r="O71" s="732">
        <f ca="1">IF($S71=$T$7,INDEX(TongVTSX!$O$3:$O$1500,$R71),IF($S71=$T$2,INDEX(TongVTSX!$M$3:$M$1500,$R71)*$V71*$H71,SUMPRODUCT((TongVTSX!$C$3:$C$1500=$D71)*(TongVTSX!$E$3:$E$1500=$F71)*(TongVTSX!$S$3:$S$1500=TongVTSX!$S$2)*(TongVTSX!$O$3:$O$1500))))</f>
        <v>0</v>
      </c>
      <c r="P71" s="1150">
        <f ca="1">IF($S71=$T$7,INDEX(TongVTSX!$O$3:$O$1500,$R71),IF($S71=$T$2,INDEX(TongVTSX!$M$3:$M$1500,$R71)*$I71*$V71,SUMPRODUCT((TongVTSX!$C$3:$C$1500=$D71)*(TongVTSX!$E$3:$E$1500=$F71)*(TongVTSX!$S$3:$S$1500=TongVTSX!$S$2)*(TongVTSX!$O$3:$O$1500))))</f>
        <v>0</v>
      </c>
      <c r="Q71" s="1155" t="str">
        <f ca="1">IFERROR(INDEX(NVLSX!$AA$2:$AA$6756,MATCH($D71,NVLSX!$E$2:$E$6756,0)),"")</f>
        <v/>
      </c>
      <c r="R71" s="75" t="str">
        <f ca="1">IF(S71="","",IF(S71&lt;&gt;S70,IF(TYPE(MATCH(S71,TongVTSX!$Q$3:$Q$1500,0))=16,"",MATCH(S71,TongVTSX!$Q$3:$Q$1500,0)),IF(TYPE(MATCH(S71,OFFSET(TongVTSX!$Q$3,R70,0):'TongVTSX'!$Q$1500,0)+R70)=16,"",MATCH(S71,OFFSET(TongVTSX!$Q$3,R70,0):'TongVTSX'!$Q$1500,0)+R70)))</f>
        <v/>
      </c>
      <c r="S71" s="76" t="str">
        <f ca="1">IFERROR(IF(COUNTIF($S$3:S70,S70)&lt; INDEX($U$1:$U$7,MATCH($S70,$T$1:$T$7,0)),$S70,INDEX($T$1:$T$7,MATCH($S70,$T$1:$T$7,0)+1)),"")</f>
        <v/>
      </c>
      <c r="V71" s="1133" t="str">
        <f ca="1">IFERROR(INDEX(NVLSX!$U$2:$U$6941,MATCH($D71,NVLSX!$E$2:$E$6941,0)),"")</f>
        <v/>
      </c>
      <c r="W71" s="1143"/>
      <c r="X71" s="1143"/>
    </row>
    <row r="72" spans="1:24">
      <c r="A72" s="19" t="str">
        <f t="shared" ca="1" si="3"/>
        <v/>
      </c>
      <c r="B72" s="1146" t="str">
        <f ca="1">IFERROR(INDEX(NVLSX!$Y$2:$Y$6756,MATCH($D72,NVLSX!$E$2:$E$6756,0)),"")</f>
        <v/>
      </c>
      <c r="C72" s="1146" t="str">
        <f ca="1">IFERROR(INDEX(NVLSX!$Z$2:$Z$6756,MATCH($D72,NVLSX!$E$2:$E$6756,0)),"")</f>
        <v/>
      </c>
      <c r="D72" s="729" t="str">
        <f ca="1">IF($R72="","",INDEX(TongVTSX!C$3:C$1500,$R72))</f>
        <v/>
      </c>
      <c r="E72" s="729" t="str">
        <f ca="1">IF($R72="","",IF($S72=$T$7,INDEX(TongVTSX!D$3:D$1500,$R72) &amp;  " (" &amp; INDEX(TongVTSX!A$3:A$1500,$R72) &amp; ")",INDEX(TongVTSX!D$3:D$1500,$R72)))</f>
        <v/>
      </c>
      <c r="F72" s="874" t="str">
        <f ca="1">IF($R72="","",IF($S72&lt;&gt;NVLSX!$N$6492,INDEX(TongVTSX!E$3:E$1500,$R72),INDEX(TongVTSX!G$3:G$1500,$R72)))</f>
        <v/>
      </c>
      <c r="G72" s="730" t="str">
        <f ca="1">IF($R72="","",INDEX(TongVTSX!F$3:F$1500,$R72))</f>
        <v/>
      </c>
      <c r="H72" s="731">
        <f ca="1">IF($S72=$T$7,INDEX(TongVTSX!$K$3:$K$1500,$R72)/INDEX(TongVTSX!$G$3:$G$1500,$R72),IF($S72=$T$2,ROUNDUP(SUMPRODUCT((TongVTSX!$C$3:$C$1500=$D72)*(TongVTSX!$E$3:$E$1500=$F72)*(TongVTSX!$S$3:$S$1500=TongVTSX!$S$2)*(TongVTSX!$K$3:$K$1500))/$V72,0),SUMPRODUCT((TongVTSX!$C$3:$C$1500=$D72)*(TongVTSX!$E$3:$E$1500=$F72)*(TongVTSX!$S$3:$S$1500=TongVTSX!$S$2)*(TongVTSX!$K$3:$K$1500))))</f>
        <v>0</v>
      </c>
      <c r="I72" s="731">
        <f ca="1">IF($S72=$T$2,ROUNDUP(SUMPRODUCT((TongVTSX!$C$3:$C$1500=$D72)*(TongVTSX!$E$3:$E$1500=$F72)*(TongVTSX!$S$3:$S$1500=TongVTSX!$S$2)*(TongVTSX!$K$3:$K$1500))/$V72,2),0)</f>
        <v>0</v>
      </c>
      <c r="J72" s="731"/>
      <c r="K72" s="731"/>
      <c r="L72" s="732"/>
      <c r="M72" s="732" t="str">
        <f t="shared" ca="1" si="4"/>
        <v/>
      </c>
      <c r="N72" s="732"/>
      <c r="O72" s="732">
        <f ca="1">IF($S72=$T$7,INDEX(TongVTSX!$O$3:$O$1500,$R72),IF($S72=$T$2,INDEX(TongVTSX!$M$3:$M$1500,$R72)*$V72*$H72,SUMPRODUCT((TongVTSX!$C$3:$C$1500=$D72)*(TongVTSX!$E$3:$E$1500=$F72)*(TongVTSX!$S$3:$S$1500=TongVTSX!$S$2)*(TongVTSX!$O$3:$O$1500))))</f>
        <v>0</v>
      </c>
      <c r="P72" s="1150">
        <f ca="1">IF($S72=$T$7,INDEX(TongVTSX!$O$3:$O$1500,$R72),IF($S72=$T$2,INDEX(TongVTSX!$M$3:$M$1500,$R72)*$I72*$V72,SUMPRODUCT((TongVTSX!$C$3:$C$1500=$D72)*(TongVTSX!$E$3:$E$1500=$F72)*(TongVTSX!$S$3:$S$1500=TongVTSX!$S$2)*(TongVTSX!$O$3:$O$1500))))</f>
        <v>0</v>
      </c>
      <c r="Q72" s="1155" t="str">
        <f ca="1">IFERROR(INDEX(NVLSX!$AA$2:$AA$6756,MATCH($D72,NVLSX!$E$2:$E$6756,0)),"")</f>
        <v/>
      </c>
      <c r="R72" s="75" t="str">
        <f ca="1">IF(S72="","",IF(S72&lt;&gt;S71,IF(TYPE(MATCH(S72,TongVTSX!$Q$3:$Q$1500,0))=16,"",MATCH(S72,TongVTSX!$Q$3:$Q$1500,0)),IF(TYPE(MATCH(S72,OFFSET(TongVTSX!$Q$3,R71,0):'TongVTSX'!$Q$1500,0)+R71)=16,"",MATCH(S72,OFFSET(TongVTSX!$Q$3,R71,0):'TongVTSX'!$Q$1500,0)+R71)))</f>
        <v/>
      </c>
      <c r="S72" s="76" t="str">
        <f ca="1">IFERROR(IF(COUNTIF($S$3:S71,S71)&lt; INDEX($U$1:$U$7,MATCH($S71,$T$1:$T$7,0)),$S71,INDEX($T$1:$T$7,MATCH($S71,$T$1:$T$7,0)+1)),"")</f>
        <v/>
      </c>
      <c r="V72" s="1133" t="str">
        <f ca="1">IFERROR(INDEX(NVLSX!$U$2:$U$6941,MATCH($D72,NVLSX!$E$2:$E$6941,0)),"")</f>
        <v/>
      </c>
      <c r="W72" s="1143"/>
      <c r="X72" s="1143"/>
    </row>
    <row r="73" spans="1:24">
      <c r="A73" s="19" t="str">
        <f t="shared" ca="1" si="3"/>
        <v/>
      </c>
      <c r="B73" s="1146" t="str">
        <f ca="1">IFERROR(INDEX(NVLSX!$Y$2:$Y$6756,MATCH($D73,NVLSX!$E$2:$E$6756,0)),"")</f>
        <v/>
      </c>
      <c r="C73" s="1146" t="str">
        <f ca="1">IFERROR(INDEX(NVLSX!$Z$2:$Z$6756,MATCH($D73,NVLSX!$E$2:$E$6756,0)),"")</f>
        <v/>
      </c>
      <c r="D73" s="729" t="str">
        <f ca="1">IF($R73="","",INDEX(TongVTSX!C$3:C$1500,$R73))</f>
        <v/>
      </c>
      <c r="E73" s="729" t="str">
        <f ca="1">IF($R73="","",IF($S73=$T$7,INDEX(TongVTSX!D$3:D$1500,$R73) &amp;  " (" &amp; INDEX(TongVTSX!A$3:A$1500,$R73) &amp; ")",INDEX(TongVTSX!D$3:D$1500,$R73)))</f>
        <v/>
      </c>
      <c r="F73" s="874" t="str">
        <f ca="1">IF($R73="","",IF($S73&lt;&gt;NVLSX!$N$6492,INDEX(TongVTSX!E$3:E$1500,$R73),INDEX(TongVTSX!G$3:G$1500,$R73)))</f>
        <v/>
      </c>
      <c r="G73" s="730" t="str">
        <f ca="1">IF($R73="","",INDEX(TongVTSX!F$3:F$1500,$R73))</f>
        <v/>
      </c>
      <c r="H73" s="731">
        <f ca="1">IF($S73=$T$7,INDEX(TongVTSX!$K$3:$K$1500,$R73)/INDEX(TongVTSX!$G$3:$G$1500,$R73),IF($S73=$T$2,ROUNDUP(SUMPRODUCT((TongVTSX!$C$3:$C$1500=$D73)*(TongVTSX!$E$3:$E$1500=$F73)*(TongVTSX!$S$3:$S$1500=TongVTSX!$S$2)*(TongVTSX!$K$3:$K$1500))/$V73,0),SUMPRODUCT((TongVTSX!$C$3:$C$1500=$D73)*(TongVTSX!$E$3:$E$1500=$F73)*(TongVTSX!$S$3:$S$1500=TongVTSX!$S$2)*(TongVTSX!$K$3:$K$1500))))</f>
        <v>0</v>
      </c>
      <c r="I73" s="731">
        <f ca="1">IF($S73=$T$2,ROUNDUP(SUMPRODUCT((TongVTSX!$C$3:$C$1500=$D73)*(TongVTSX!$E$3:$E$1500=$F73)*(TongVTSX!$S$3:$S$1500=TongVTSX!$S$2)*(TongVTSX!$K$3:$K$1500))/$V73,2),0)</f>
        <v>0</v>
      </c>
      <c r="J73" s="731"/>
      <c r="K73" s="731"/>
      <c r="L73" s="732"/>
      <c r="M73" s="732" t="str">
        <f t="shared" ca="1" si="4"/>
        <v/>
      </c>
      <c r="N73" s="732"/>
      <c r="O73" s="732">
        <f ca="1">IF($S73=$T$7,INDEX(TongVTSX!$O$3:$O$1500,$R73),IF($S73=$T$2,INDEX(TongVTSX!$M$3:$M$1500,$R73)*$V73*$H73,SUMPRODUCT((TongVTSX!$C$3:$C$1500=$D73)*(TongVTSX!$E$3:$E$1500=$F73)*(TongVTSX!$S$3:$S$1500=TongVTSX!$S$2)*(TongVTSX!$O$3:$O$1500))))</f>
        <v>0</v>
      </c>
      <c r="P73" s="1150">
        <f ca="1">IF($S73=$T$7,INDEX(TongVTSX!$O$3:$O$1500,$R73),IF($S73=$T$2,INDEX(TongVTSX!$M$3:$M$1500,$R73)*$I73*$V73,SUMPRODUCT((TongVTSX!$C$3:$C$1500=$D73)*(TongVTSX!$E$3:$E$1500=$F73)*(TongVTSX!$S$3:$S$1500=TongVTSX!$S$2)*(TongVTSX!$O$3:$O$1500))))</f>
        <v>0</v>
      </c>
      <c r="Q73" s="1155" t="str">
        <f ca="1">IFERROR(INDEX(NVLSX!$AA$2:$AA$6756,MATCH($D73,NVLSX!$E$2:$E$6756,0)),"")</f>
        <v/>
      </c>
      <c r="R73" s="75" t="str">
        <f ca="1">IF(S73="","",IF(S73&lt;&gt;S72,IF(TYPE(MATCH(S73,TongVTSX!$Q$3:$Q$1500,0))=16,"",MATCH(S73,TongVTSX!$Q$3:$Q$1500,0)),IF(TYPE(MATCH(S73,OFFSET(TongVTSX!$Q$3,R72,0):'TongVTSX'!$Q$1500,0)+R72)=16,"",MATCH(S73,OFFSET(TongVTSX!$Q$3,R72,0):'TongVTSX'!$Q$1500,0)+R72)))</f>
        <v/>
      </c>
      <c r="S73" s="76" t="str">
        <f ca="1">IFERROR(IF(COUNTIF($S$3:S72,S72)&lt; INDEX($U$1:$U$7,MATCH($S72,$T$1:$T$7,0)),$S72,INDEX($T$1:$T$7,MATCH($S72,$T$1:$T$7,0)+1)),"")</f>
        <v/>
      </c>
      <c r="V73" s="1133" t="str">
        <f ca="1">IFERROR(INDEX(NVLSX!$U$2:$U$6941,MATCH($D73,NVLSX!$E$2:$E$6941,0)),"")</f>
        <v/>
      </c>
      <c r="W73" s="1143"/>
      <c r="X73" s="1143"/>
    </row>
    <row r="74" spans="1:24">
      <c r="A74" s="19" t="str">
        <f t="shared" ca="1" si="3"/>
        <v/>
      </c>
      <c r="B74" s="1146" t="str">
        <f ca="1">IFERROR(INDEX(NVLSX!$Y$2:$Y$6756,MATCH($D74,NVLSX!$E$2:$E$6756,0)),"")</f>
        <v/>
      </c>
      <c r="C74" s="1146" t="str">
        <f ca="1">IFERROR(INDEX(NVLSX!$Z$2:$Z$6756,MATCH($D74,NVLSX!$E$2:$E$6756,0)),"")</f>
        <v/>
      </c>
      <c r="D74" s="729" t="str">
        <f ca="1">IF($R74="","",INDEX(TongVTSX!C$3:C$1500,$R74))</f>
        <v/>
      </c>
      <c r="E74" s="729" t="str">
        <f ca="1">IF($R74="","",IF($S74=$T$7,INDEX(TongVTSX!D$3:D$1500,$R74) &amp;  " (" &amp; INDEX(TongVTSX!A$3:A$1500,$R74) &amp; ")",INDEX(TongVTSX!D$3:D$1500,$R74)))</f>
        <v/>
      </c>
      <c r="F74" s="874" t="str">
        <f ca="1">IF($R74="","",IF($S74&lt;&gt;NVLSX!$N$6492,INDEX(TongVTSX!E$3:E$1500,$R74),INDEX(TongVTSX!G$3:G$1500,$R74)))</f>
        <v/>
      </c>
      <c r="G74" s="730" t="str">
        <f ca="1">IF($R74="","",INDEX(TongVTSX!F$3:F$1500,$R74))</f>
        <v/>
      </c>
      <c r="H74" s="731">
        <f ca="1">IF($S74=$T$7,INDEX(TongVTSX!$K$3:$K$1500,$R74)/INDEX(TongVTSX!$G$3:$G$1500,$R74),IF($S74=$T$2,ROUNDUP(SUMPRODUCT((TongVTSX!$C$3:$C$1500=$D74)*(TongVTSX!$E$3:$E$1500=$F74)*(TongVTSX!$S$3:$S$1500=TongVTSX!$S$2)*(TongVTSX!$K$3:$K$1500))/$V74,0),SUMPRODUCT((TongVTSX!$C$3:$C$1500=$D74)*(TongVTSX!$E$3:$E$1500=$F74)*(TongVTSX!$S$3:$S$1500=TongVTSX!$S$2)*(TongVTSX!$K$3:$K$1500))))</f>
        <v>0</v>
      </c>
      <c r="I74" s="731">
        <f ca="1">IF($S74=$T$2,ROUNDUP(SUMPRODUCT((TongVTSX!$C$3:$C$1500=$D74)*(TongVTSX!$E$3:$E$1500=$F74)*(TongVTSX!$S$3:$S$1500=TongVTSX!$S$2)*(TongVTSX!$K$3:$K$1500))/$V74,2),0)</f>
        <v>0</v>
      </c>
      <c r="J74" s="731"/>
      <c r="K74" s="731"/>
      <c r="L74" s="732"/>
      <c r="M74" s="732" t="str">
        <f t="shared" ca="1" si="4"/>
        <v/>
      </c>
      <c r="N74" s="732"/>
      <c r="O74" s="732">
        <f ca="1">IF($S74=$T$7,INDEX(TongVTSX!$O$3:$O$1500,$R74),IF($S74=$T$2,INDEX(TongVTSX!$M$3:$M$1500,$R74)*$V74*$H74,SUMPRODUCT((TongVTSX!$C$3:$C$1500=$D74)*(TongVTSX!$E$3:$E$1500=$F74)*(TongVTSX!$S$3:$S$1500=TongVTSX!$S$2)*(TongVTSX!$O$3:$O$1500))))</f>
        <v>0</v>
      </c>
      <c r="P74" s="1150">
        <f ca="1">IF($S74=$T$7,INDEX(TongVTSX!$O$3:$O$1500,$R74),IF($S74=$T$2,INDEX(TongVTSX!$M$3:$M$1500,$R74)*$I74*$V74,SUMPRODUCT((TongVTSX!$C$3:$C$1500=$D74)*(TongVTSX!$E$3:$E$1500=$F74)*(TongVTSX!$S$3:$S$1500=TongVTSX!$S$2)*(TongVTSX!$O$3:$O$1500))))</f>
        <v>0</v>
      </c>
      <c r="Q74" s="1155" t="str">
        <f ca="1">IFERROR(INDEX(NVLSX!$AA$2:$AA$6756,MATCH($D74,NVLSX!$E$2:$E$6756,0)),"")</f>
        <v/>
      </c>
      <c r="R74" s="75" t="str">
        <f ca="1">IF(S74="","",IF(S74&lt;&gt;S73,IF(TYPE(MATCH(S74,TongVTSX!$Q$3:$Q$1500,0))=16,"",MATCH(S74,TongVTSX!$Q$3:$Q$1500,0)),IF(TYPE(MATCH(S74,OFFSET(TongVTSX!$Q$3,R73,0):'TongVTSX'!$Q$1500,0)+R73)=16,"",MATCH(S74,OFFSET(TongVTSX!$Q$3,R73,0):'TongVTSX'!$Q$1500,0)+R73)))</f>
        <v/>
      </c>
      <c r="S74" s="76" t="str">
        <f ca="1">IFERROR(IF(COUNTIF($S$3:S73,S73)&lt; INDEX($U$1:$U$7,MATCH($S73,$T$1:$T$7,0)),$S73,INDEX($T$1:$T$7,MATCH($S73,$T$1:$T$7,0)+1)),"")</f>
        <v/>
      </c>
      <c r="V74" s="1133" t="str">
        <f ca="1">IFERROR(INDEX(NVLSX!$U$2:$U$6941,MATCH($D74,NVLSX!$E$2:$E$6941,0)),"")</f>
        <v/>
      </c>
      <c r="W74" s="1143"/>
      <c r="X74" s="1143"/>
    </row>
    <row r="75" spans="1:24">
      <c r="A75" s="19" t="str">
        <f t="shared" ca="1" si="3"/>
        <v/>
      </c>
      <c r="B75" s="1146" t="str">
        <f ca="1">IFERROR(INDEX(NVLSX!$Y$2:$Y$6756,MATCH($D75,NVLSX!$E$2:$E$6756,0)),"")</f>
        <v/>
      </c>
      <c r="C75" s="1146" t="str">
        <f ca="1">IFERROR(INDEX(NVLSX!$Z$2:$Z$6756,MATCH($D75,NVLSX!$E$2:$E$6756,0)),"")</f>
        <v/>
      </c>
      <c r="D75" s="729" t="str">
        <f ca="1">IF($R75="","",INDEX(TongVTSX!C$3:C$1500,$R75))</f>
        <v/>
      </c>
      <c r="E75" s="729" t="str">
        <f ca="1">IF($R75="","",IF($S75=$T$7,INDEX(TongVTSX!D$3:D$1500,$R75) &amp;  " (" &amp; INDEX(TongVTSX!A$3:A$1500,$R75) &amp; ")",INDEX(TongVTSX!D$3:D$1500,$R75)))</f>
        <v/>
      </c>
      <c r="F75" s="874" t="str">
        <f ca="1">IF($R75="","",IF($S75&lt;&gt;NVLSX!$N$6492,INDEX(TongVTSX!E$3:E$1500,$R75),INDEX(TongVTSX!G$3:G$1500,$R75)))</f>
        <v/>
      </c>
      <c r="G75" s="730" t="str">
        <f ca="1">IF($R75="","",INDEX(TongVTSX!F$3:F$1500,$R75))</f>
        <v/>
      </c>
      <c r="H75" s="731">
        <f ca="1">IF($S75=$T$7,INDEX(TongVTSX!$K$3:$K$1500,$R75)/INDEX(TongVTSX!$G$3:$G$1500,$R75),IF($S75=$T$2,ROUNDUP(SUMPRODUCT((TongVTSX!$C$3:$C$1500=$D75)*(TongVTSX!$E$3:$E$1500=$F75)*(TongVTSX!$S$3:$S$1500=TongVTSX!$S$2)*(TongVTSX!$K$3:$K$1500))/$V75,0),SUMPRODUCT((TongVTSX!$C$3:$C$1500=$D75)*(TongVTSX!$E$3:$E$1500=$F75)*(TongVTSX!$S$3:$S$1500=TongVTSX!$S$2)*(TongVTSX!$K$3:$K$1500))))</f>
        <v>0</v>
      </c>
      <c r="I75" s="731">
        <f ca="1">IF($S75=$T$2,ROUNDUP(SUMPRODUCT((TongVTSX!$C$3:$C$1500=$D75)*(TongVTSX!$E$3:$E$1500=$F75)*(TongVTSX!$S$3:$S$1500=TongVTSX!$S$2)*(TongVTSX!$K$3:$K$1500))/$V75,2),0)</f>
        <v>0</v>
      </c>
      <c r="J75" s="731"/>
      <c r="K75" s="731"/>
      <c r="L75" s="732"/>
      <c r="M75" s="732" t="str">
        <f t="shared" ca="1" si="4"/>
        <v/>
      </c>
      <c r="N75" s="732"/>
      <c r="O75" s="732">
        <f ca="1">IF($S75=$T$7,INDEX(TongVTSX!$O$3:$O$1500,$R75),IF($S75=$T$2,INDEX(TongVTSX!$M$3:$M$1500,$R75)*$V75*$H75,SUMPRODUCT((TongVTSX!$C$3:$C$1500=$D75)*(TongVTSX!$E$3:$E$1500=$F75)*(TongVTSX!$S$3:$S$1500=TongVTSX!$S$2)*(TongVTSX!$O$3:$O$1500))))</f>
        <v>0</v>
      </c>
      <c r="P75" s="1150">
        <f ca="1">IF($S75=$T$7,INDEX(TongVTSX!$O$3:$O$1500,$R75),IF($S75=$T$2,INDEX(TongVTSX!$M$3:$M$1500,$R75)*$I75*$V75,SUMPRODUCT((TongVTSX!$C$3:$C$1500=$D75)*(TongVTSX!$E$3:$E$1500=$F75)*(TongVTSX!$S$3:$S$1500=TongVTSX!$S$2)*(TongVTSX!$O$3:$O$1500))))</f>
        <v>0</v>
      </c>
      <c r="Q75" s="1155" t="str">
        <f ca="1">IFERROR(INDEX(NVLSX!$AA$2:$AA$6756,MATCH($D75,NVLSX!$E$2:$E$6756,0)),"")</f>
        <v/>
      </c>
      <c r="R75" s="75" t="str">
        <f ca="1">IF(S75="","",IF(S75&lt;&gt;S74,IF(TYPE(MATCH(S75,TongVTSX!$Q$3:$Q$1500,0))=16,"",MATCH(S75,TongVTSX!$Q$3:$Q$1500,0)),IF(TYPE(MATCH(S75,OFFSET(TongVTSX!$Q$3,R74,0):'TongVTSX'!$Q$1500,0)+R74)=16,"",MATCH(S75,OFFSET(TongVTSX!$Q$3,R74,0):'TongVTSX'!$Q$1500,0)+R74)))</f>
        <v/>
      </c>
      <c r="S75" s="76" t="str">
        <f ca="1">IFERROR(IF(COUNTIF($S$3:S74,S74)&lt; INDEX($U$1:$U$7,MATCH($S74,$T$1:$T$7,0)),$S74,INDEX($T$1:$T$7,MATCH($S74,$T$1:$T$7,0)+1)),"")</f>
        <v/>
      </c>
      <c r="V75" s="1133" t="str">
        <f ca="1">IFERROR(INDEX(NVLSX!$U$2:$U$6941,MATCH($D75,NVLSX!$E$2:$E$6941,0)),"")</f>
        <v/>
      </c>
      <c r="W75" s="1143"/>
      <c r="X75" s="1143"/>
    </row>
    <row r="76" spans="1:24">
      <c r="A76" s="19" t="str">
        <f t="shared" ca="1" si="3"/>
        <v/>
      </c>
      <c r="B76" s="1146" t="str">
        <f ca="1">IFERROR(INDEX(NVLSX!$Y$2:$Y$6756,MATCH($D76,NVLSX!$E$2:$E$6756,0)),"")</f>
        <v/>
      </c>
      <c r="C76" s="1146" t="str">
        <f ca="1">IFERROR(INDEX(NVLSX!$Z$2:$Z$6756,MATCH($D76,NVLSX!$E$2:$E$6756,0)),"")</f>
        <v/>
      </c>
      <c r="D76" s="729" t="str">
        <f ca="1">IF($R76="","",INDEX(TongVTSX!C$3:C$1500,$R76))</f>
        <v/>
      </c>
      <c r="E76" s="729" t="str">
        <f ca="1">IF($R76="","",IF($S76=$T$7,INDEX(TongVTSX!D$3:D$1500,$R76) &amp;  " (" &amp; INDEX(TongVTSX!A$3:A$1500,$R76) &amp; ")",INDEX(TongVTSX!D$3:D$1500,$R76)))</f>
        <v/>
      </c>
      <c r="F76" s="874" t="str">
        <f ca="1">IF($R76="","",IF($S76&lt;&gt;NVLSX!$N$6492,INDEX(TongVTSX!E$3:E$1500,$R76),INDEX(TongVTSX!G$3:G$1500,$R76)))</f>
        <v/>
      </c>
      <c r="G76" s="730" t="str">
        <f ca="1">IF($R76="","",INDEX(TongVTSX!F$3:F$1500,$R76))</f>
        <v/>
      </c>
      <c r="H76" s="731">
        <f ca="1">IF($S76=$T$7,INDEX(TongVTSX!$K$3:$K$1500,$R76)/INDEX(TongVTSX!$G$3:$G$1500,$R76),IF($S76=$T$2,ROUNDUP(SUMPRODUCT((TongVTSX!$C$3:$C$1500=$D76)*(TongVTSX!$E$3:$E$1500=$F76)*(TongVTSX!$S$3:$S$1500=TongVTSX!$S$2)*(TongVTSX!$K$3:$K$1500))/$V76,0),SUMPRODUCT((TongVTSX!$C$3:$C$1500=$D76)*(TongVTSX!$E$3:$E$1500=$F76)*(TongVTSX!$S$3:$S$1500=TongVTSX!$S$2)*(TongVTSX!$K$3:$K$1500))))</f>
        <v>0</v>
      </c>
      <c r="I76" s="731">
        <f ca="1">IF($S76=$T$2,ROUNDUP(SUMPRODUCT((TongVTSX!$C$3:$C$1500=$D76)*(TongVTSX!$E$3:$E$1500=$F76)*(TongVTSX!$S$3:$S$1500=TongVTSX!$S$2)*(TongVTSX!$K$3:$K$1500))/$V76,2),0)</f>
        <v>0</v>
      </c>
      <c r="J76" s="731"/>
      <c r="K76" s="731"/>
      <c r="L76" s="732"/>
      <c r="M76" s="732" t="str">
        <f t="shared" ca="1" si="4"/>
        <v/>
      </c>
      <c r="N76" s="732"/>
      <c r="O76" s="732">
        <f ca="1">IF($S76=$T$7,INDEX(TongVTSX!$O$3:$O$1500,$R76),IF($S76=$T$2,INDEX(TongVTSX!$M$3:$M$1500,$R76)*$V76*$H76,SUMPRODUCT((TongVTSX!$C$3:$C$1500=$D76)*(TongVTSX!$E$3:$E$1500=$F76)*(TongVTSX!$S$3:$S$1500=TongVTSX!$S$2)*(TongVTSX!$O$3:$O$1500))))</f>
        <v>0</v>
      </c>
      <c r="P76" s="1150">
        <f ca="1">IF($S76=$T$7,INDEX(TongVTSX!$O$3:$O$1500,$R76),IF($S76=$T$2,INDEX(TongVTSX!$M$3:$M$1500,$R76)*$I76*$V76,SUMPRODUCT((TongVTSX!$C$3:$C$1500=$D76)*(TongVTSX!$E$3:$E$1500=$F76)*(TongVTSX!$S$3:$S$1500=TongVTSX!$S$2)*(TongVTSX!$O$3:$O$1500))))</f>
        <v>0</v>
      </c>
      <c r="Q76" s="1155" t="str">
        <f ca="1">IFERROR(INDEX(NVLSX!$AA$2:$AA$6756,MATCH($D76,NVLSX!$E$2:$E$6756,0)),"")</f>
        <v/>
      </c>
      <c r="R76" s="75" t="str">
        <f ca="1">IF(S76="","",IF(S76&lt;&gt;S75,IF(TYPE(MATCH(S76,TongVTSX!$Q$3:$Q$1500,0))=16,"",MATCH(S76,TongVTSX!$Q$3:$Q$1500,0)),IF(TYPE(MATCH(S76,OFFSET(TongVTSX!$Q$3,R75,0):'TongVTSX'!$Q$1500,0)+R75)=16,"",MATCH(S76,OFFSET(TongVTSX!$Q$3,R75,0):'TongVTSX'!$Q$1500,0)+R75)))</f>
        <v/>
      </c>
      <c r="S76" s="76" t="str">
        <f ca="1">IFERROR(IF(COUNTIF($S$3:S75,S75)&lt; INDEX($U$1:$U$7,MATCH($S75,$T$1:$T$7,0)),$S75,INDEX($T$1:$T$7,MATCH($S75,$T$1:$T$7,0)+1)),"")</f>
        <v/>
      </c>
      <c r="V76" s="1133" t="str">
        <f ca="1">IFERROR(INDEX(NVLSX!$U$2:$U$6941,MATCH($D76,NVLSX!$E$2:$E$6941,0)),"")</f>
        <v/>
      </c>
      <c r="W76" s="1143"/>
      <c r="X76" s="1143"/>
    </row>
    <row r="77" spans="1:24">
      <c r="A77" s="19" t="str">
        <f t="shared" ca="1" si="3"/>
        <v/>
      </c>
      <c r="B77" s="1146" t="str">
        <f ca="1">IFERROR(INDEX(NVLSX!$Y$2:$Y$6756,MATCH($D77,NVLSX!$E$2:$E$6756,0)),"")</f>
        <v/>
      </c>
      <c r="C77" s="1146" t="str">
        <f ca="1">IFERROR(INDEX(NVLSX!$Z$2:$Z$6756,MATCH($D77,NVLSX!$E$2:$E$6756,0)),"")</f>
        <v/>
      </c>
      <c r="D77" s="729" t="str">
        <f ca="1">IF($R77="","",INDEX(TongVTSX!C$3:C$1500,$R77))</f>
        <v/>
      </c>
      <c r="E77" s="729" t="str">
        <f ca="1">IF($R77="","",IF($S77=$T$7,INDEX(TongVTSX!D$3:D$1500,$R77) &amp;  " (" &amp; INDEX(TongVTSX!A$3:A$1500,$R77) &amp; ")",INDEX(TongVTSX!D$3:D$1500,$R77)))</f>
        <v/>
      </c>
      <c r="F77" s="874" t="str">
        <f ca="1">IF($R77="","",IF($S77&lt;&gt;NVLSX!$N$6492,INDEX(TongVTSX!E$3:E$1500,$R77),INDEX(TongVTSX!G$3:G$1500,$R77)))</f>
        <v/>
      </c>
      <c r="G77" s="730" t="str">
        <f ca="1">IF($R77="","",INDEX(TongVTSX!F$3:F$1500,$R77))</f>
        <v/>
      </c>
      <c r="H77" s="731">
        <f ca="1">IF($S77=$T$7,INDEX(TongVTSX!$K$3:$K$1500,$R77)/INDEX(TongVTSX!$G$3:$G$1500,$R77),IF($S77=$T$2,ROUNDUP(SUMPRODUCT((TongVTSX!$C$3:$C$1500=$D77)*(TongVTSX!$E$3:$E$1500=$F77)*(TongVTSX!$S$3:$S$1500=TongVTSX!$S$2)*(TongVTSX!$K$3:$K$1500))/$V77,0),SUMPRODUCT((TongVTSX!$C$3:$C$1500=$D77)*(TongVTSX!$E$3:$E$1500=$F77)*(TongVTSX!$S$3:$S$1500=TongVTSX!$S$2)*(TongVTSX!$K$3:$K$1500))))</f>
        <v>0</v>
      </c>
      <c r="I77" s="731">
        <f ca="1">IF($S77=$T$2,ROUNDUP(SUMPRODUCT((TongVTSX!$C$3:$C$1500=$D77)*(TongVTSX!$E$3:$E$1500=$F77)*(TongVTSX!$S$3:$S$1500=TongVTSX!$S$2)*(TongVTSX!$K$3:$K$1500))/$V77,2),0)</f>
        <v>0</v>
      </c>
      <c r="J77" s="731"/>
      <c r="K77" s="731"/>
      <c r="L77" s="732"/>
      <c r="M77" s="732" t="str">
        <f t="shared" ca="1" si="4"/>
        <v/>
      </c>
      <c r="N77" s="732"/>
      <c r="O77" s="732">
        <f ca="1">IF($S77=$T$7,INDEX(TongVTSX!$O$3:$O$1500,$R77),IF($S77=$T$2,INDEX(TongVTSX!$M$3:$M$1500,$R77)*$V77*$H77,SUMPRODUCT((TongVTSX!$C$3:$C$1500=$D77)*(TongVTSX!$E$3:$E$1500=$F77)*(TongVTSX!$S$3:$S$1500=TongVTSX!$S$2)*(TongVTSX!$O$3:$O$1500))))</f>
        <v>0</v>
      </c>
      <c r="P77" s="1150">
        <f ca="1">IF($S77=$T$7,INDEX(TongVTSX!$O$3:$O$1500,$R77),IF($S77=$T$2,INDEX(TongVTSX!$M$3:$M$1500,$R77)*$I77*$V77,SUMPRODUCT((TongVTSX!$C$3:$C$1500=$D77)*(TongVTSX!$E$3:$E$1500=$F77)*(TongVTSX!$S$3:$S$1500=TongVTSX!$S$2)*(TongVTSX!$O$3:$O$1500))))</f>
        <v>0</v>
      </c>
      <c r="Q77" s="1155" t="str">
        <f ca="1">IFERROR(INDEX(NVLSX!$AA$2:$AA$6756,MATCH($D77,NVLSX!$E$2:$E$6756,0)),"")</f>
        <v/>
      </c>
      <c r="R77" s="75" t="str">
        <f ca="1">IF(S77="","",IF(S77&lt;&gt;S76,IF(TYPE(MATCH(S77,TongVTSX!$Q$3:$Q$1500,0))=16,"",MATCH(S77,TongVTSX!$Q$3:$Q$1500,0)),IF(TYPE(MATCH(S77,OFFSET(TongVTSX!$Q$3,R76,0):'TongVTSX'!$Q$1500,0)+R76)=16,"",MATCH(S77,OFFSET(TongVTSX!$Q$3,R76,0):'TongVTSX'!$Q$1500,0)+R76)))</f>
        <v/>
      </c>
      <c r="S77" s="76" t="str">
        <f ca="1">IFERROR(IF(COUNTIF($S$3:S76,S76)&lt; INDEX($U$1:$U$7,MATCH($S76,$T$1:$T$7,0)),$S76,INDEX($T$1:$T$7,MATCH($S76,$T$1:$T$7,0)+1)),"")</f>
        <v/>
      </c>
      <c r="V77" s="1133" t="str">
        <f ca="1">IFERROR(INDEX(NVLSX!$U$2:$U$6941,MATCH($D77,NVLSX!$E$2:$E$6941,0)),"")</f>
        <v/>
      </c>
      <c r="W77" s="1143"/>
      <c r="X77" s="1143"/>
    </row>
    <row r="78" spans="1:24">
      <c r="A78" s="19" t="str">
        <f t="shared" ca="1" si="3"/>
        <v/>
      </c>
      <c r="B78" s="1146" t="str">
        <f ca="1">IFERROR(INDEX(NVLSX!$Y$2:$Y$6756,MATCH($D78,NVLSX!$E$2:$E$6756,0)),"")</f>
        <v/>
      </c>
      <c r="C78" s="1146" t="str">
        <f ca="1">IFERROR(INDEX(NVLSX!$Z$2:$Z$6756,MATCH($D78,NVLSX!$E$2:$E$6756,0)),"")</f>
        <v/>
      </c>
      <c r="D78" s="729" t="str">
        <f ca="1">IF($R78="","",INDEX(TongVTSX!C$3:C$1500,$R78))</f>
        <v/>
      </c>
      <c r="E78" s="729" t="str">
        <f ca="1">IF($R78="","",IF($S78=$T$7,INDEX(TongVTSX!D$3:D$1500,$R78) &amp;  " (" &amp; INDEX(TongVTSX!A$3:A$1500,$R78) &amp; ")",INDEX(TongVTSX!D$3:D$1500,$R78)))</f>
        <v/>
      </c>
      <c r="F78" s="874" t="str">
        <f ca="1">IF($R78="","",IF($S78&lt;&gt;NVLSX!$N$6492,INDEX(TongVTSX!E$3:E$1500,$R78),INDEX(TongVTSX!G$3:G$1500,$R78)))</f>
        <v/>
      </c>
      <c r="G78" s="730" t="str">
        <f ca="1">IF($R78="","",INDEX(TongVTSX!F$3:F$1500,$R78))</f>
        <v/>
      </c>
      <c r="H78" s="731">
        <f ca="1">IF($S78=$T$7,INDEX(TongVTSX!$K$3:$K$1500,$R78)/INDEX(TongVTSX!$G$3:$G$1500,$R78),IF($S78=$T$2,ROUNDUP(SUMPRODUCT((TongVTSX!$C$3:$C$1500=$D78)*(TongVTSX!$E$3:$E$1500=$F78)*(TongVTSX!$S$3:$S$1500=TongVTSX!$S$2)*(TongVTSX!$K$3:$K$1500))/$V78,0),SUMPRODUCT((TongVTSX!$C$3:$C$1500=$D78)*(TongVTSX!$E$3:$E$1500=$F78)*(TongVTSX!$S$3:$S$1500=TongVTSX!$S$2)*(TongVTSX!$K$3:$K$1500))))</f>
        <v>0</v>
      </c>
      <c r="I78" s="731">
        <f ca="1">IF($S78=$T$2,ROUNDUP(SUMPRODUCT((TongVTSX!$C$3:$C$1500=$D78)*(TongVTSX!$E$3:$E$1500=$F78)*(TongVTSX!$S$3:$S$1500=TongVTSX!$S$2)*(TongVTSX!$K$3:$K$1500))/$V78,2),0)</f>
        <v>0</v>
      </c>
      <c r="J78" s="731"/>
      <c r="K78" s="731"/>
      <c r="L78" s="732"/>
      <c r="M78" s="732" t="str">
        <f t="shared" ca="1" si="4"/>
        <v/>
      </c>
      <c r="N78" s="732"/>
      <c r="O78" s="732">
        <f ca="1">IF($S78=$T$7,INDEX(TongVTSX!$O$3:$O$1500,$R78),IF($S78=$T$2,INDEX(TongVTSX!$M$3:$M$1500,$R78)*$V78*$H78,SUMPRODUCT((TongVTSX!$C$3:$C$1500=$D78)*(TongVTSX!$E$3:$E$1500=$F78)*(TongVTSX!$S$3:$S$1500=TongVTSX!$S$2)*(TongVTSX!$O$3:$O$1500))))</f>
        <v>0</v>
      </c>
      <c r="P78" s="1150">
        <f ca="1">IF($S78=$T$7,INDEX(TongVTSX!$O$3:$O$1500,$R78),IF($S78=$T$2,INDEX(TongVTSX!$M$3:$M$1500,$R78)*$I78*$V78,SUMPRODUCT((TongVTSX!$C$3:$C$1500=$D78)*(TongVTSX!$E$3:$E$1500=$F78)*(TongVTSX!$S$3:$S$1500=TongVTSX!$S$2)*(TongVTSX!$O$3:$O$1500))))</f>
        <v>0</v>
      </c>
      <c r="Q78" s="1155" t="str">
        <f ca="1">IFERROR(INDEX(NVLSX!$AA$2:$AA$6756,MATCH($D78,NVLSX!$E$2:$E$6756,0)),"")</f>
        <v/>
      </c>
      <c r="R78" s="75" t="str">
        <f ca="1">IF(S78="","",IF(S78&lt;&gt;S77,IF(TYPE(MATCH(S78,TongVTSX!$Q$3:$Q$1500,0))=16,"",MATCH(S78,TongVTSX!$Q$3:$Q$1500,0)),IF(TYPE(MATCH(S78,OFFSET(TongVTSX!$Q$3,R77,0):'TongVTSX'!$Q$1500,0)+R77)=16,"",MATCH(S78,OFFSET(TongVTSX!$Q$3,R77,0):'TongVTSX'!$Q$1500,0)+R77)))</f>
        <v/>
      </c>
      <c r="S78" s="76" t="str">
        <f ca="1">IFERROR(IF(COUNTIF($S$3:S77,S77)&lt; INDEX($U$1:$U$7,MATCH($S77,$T$1:$T$7,0)),$S77,INDEX($T$1:$T$7,MATCH($S77,$T$1:$T$7,0)+1)),"")</f>
        <v/>
      </c>
      <c r="V78" s="1133" t="str">
        <f ca="1">IFERROR(INDEX(NVLSX!$U$2:$U$6941,MATCH($D78,NVLSX!$E$2:$E$6941,0)),"")</f>
        <v/>
      </c>
      <c r="W78" s="1143"/>
      <c r="X78" s="1143"/>
    </row>
    <row r="79" spans="1:24">
      <c r="A79" s="19" t="str">
        <f t="shared" ca="1" si="3"/>
        <v/>
      </c>
      <c r="B79" s="1146" t="str">
        <f ca="1">IFERROR(INDEX(NVLSX!$Y$2:$Y$6756,MATCH($D79,NVLSX!$E$2:$E$6756,0)),"")</f>
        <v/>
      </c>
      <c r="C79" s="1146" t="str">
        <f ca="1">IFERROR(INDEX(NVLSX!$Z$2:$Z$6756,MATCH($D79,NVLSX!$E$2:$E$6756,0)),"")</f>
        <v/>
      </c>
      <c r="D79" s="729" t="str">
        <f ca="1">IF($R79="","",INDEX(TongVTSX!C$3:C$1500,$R79))</f>
        <v/>
      </c>
      <c r="E79" s="729" t="str">
        <f ca="1">IF($R79="","",IF($S79=$T$7,INDEX(TongVTSX!D$3:D$1500,$R79) &amp;  " (" &amp; INDEX(TongVTSX!A$3:A$1500,$R79) &amp; ")",INDEX(TongVTSX!D$3:D$1500,$R79)))</f>
        <v/>
      </c>
      <c r="F79" s="874" t="str">
        <f ca="1">IF($R79="","",IF($S79&lt;&gt;NVLSX!$N$6492,INDEX(TongVTSX!E$3:E$1500,$R79),INDEX(TongVTSX!G$3:G$1500,$R79)))</f>
        <v/>
      </c>
      <c r="G79" s="730" t="str">
        <f ca="1">IF($R79="","",INDEX(TongVTSX!F$3:F$1500,$R79))</f>
        <v/>
      </c>
      <c r="H79" s="731">
        <f ca="1">IF($S79=$T$7,INDEX(TongVTSX!$K$3:$K$1500,$R79)/INDEX(TongVTSX!$G$3:$G$1500,$R79),IF($S79=$T$2,ROUNDUP(SUMPRODUCT((TongVTSX!$C$3:$C$1500=$D79)*(TongVTSX!$E$3:$E$1500=$F79)*(TongVTSX!$S$3:$S$1500=TongVTSX!$S$2)*(TongVTSX!$K$3:$K$1500))/$V79,0),SUMPRODUCT((TongVTSX!$C$3:$C$1500=$D79)*(TongVTSX!$E$3:$E$1500=$F79)*(TongVTSX!$S$3:$S$1500=TongVTSX!$S$2)*(TongVTSX!$K$3:$K$1500))))</f>
        <v>0</v>
      </c>
      <c r="I79" s="731">
        <f ca="1">IF($S79=$T$2,ROUNDUP(SUMPRODUCT((TongVTSX!$C$3:$C$1500=$D79)*(TongVTSX!$E$3:$E$1500=$F79)*(TongVTSX!$S$3:$S$1500=TongVTSX!$S$2)*(TongVTSX!$K$3:$K$1500))/$V79,2),0)</f>
        <v>0</v>
      </c>
      <c r="J79" s="731"/>
      <c r="K79" s="731"/>
      <c r="L79" s="732"/>
      <c r="M79" s="732" t="str">
        <f t="shared" ca="1" si="4"/>
        <v/>
      </c>
      <c r="N79" s="732"/>
      <c r="O79" s="732">
        <f ca="1">IF($S79=$T$7,INDEX(TongVTSX!$O$3:$O$1500,$R79),IF($S79=$T$2,INDEX(TongVTSX!$M$3:$M$1500,$R79)*$V79*$H79,SUMPRODUCT((TongVTSX!$C$3:$C$1500=$D79)*(TongVTSX!$E$3:$E$1500=$F79)*(TongVTSX!$S$3:$S$1500=TongVTSX!$S$2)*(TongVTSX!$O$3:$O$1500))))</f>
        <v>0</v>
      </c>
      <c r="P79" s="1150">
        <f ca="1">IF($S79=$T$7,INDEX(TongVTSX!$O$3:$O$1500,$R79),IF($S79=$T$2,INDEX(TongVTSX!$M$3:$M$1500,$R79)*$I79*$V79,SUMPRODUCT((TongVTSX!$C$3:$C$1500=$D79)*(TongVTSX!$E$3:$E$1500=$F79)*(TongVTSX!$S$3:$S$1500=TongVTSX!$S$2)*(TongVTSX!$O$3:$O$1500))))</f>
        <v>0</v>
      </c>
      <c r="Q79" s="1155" t="str">
        <f ca="1">IFERROR(INDEX(NVLSX!$AA$2:$AA$6756,MATCH($D79,NVLSX!$E$2:$E$6756,0)),"")</f>
        <v/>
      </c>
      <c r="R79" s="75" t="str">
        <f ca="1">IF(S79="","",IF(S79&lt;&gt;S78,IF(TYPE(MATCH(S79,TongVTSX!$Q$3:$Q$1500,0))=16,"",MATCH(S79,TongVTSX!$Q$3:$Q$1500,0)),IF(TYPE(MATCH(S79,OFFSET(TongVTSX!$Q$3,R78,0):'TongVTSX'!$Q$1500,0)+R78)=16,"",MATCH(S79,OFFSET(TongVTSX!$Q$3,R78,0):'TongVTSX'!$Q$1500,0)+R78)))</f>
        <v/>
      </c>
      <c r="S79" s="76" t="str">
        <f ca="1">IFERROR(IF(COUNTIF($S$3:S78,S78)&lt; INDEX($U$1:$U$7,MATCH($S78,$T$1:$T$7,0)),$S78,INDEX($T$1:$T$7,MATCH($S78,$T$1:$T$7,0)+1)),"")</f>
        <v/>
      </c>
      <c r="V79" s="1133" t="str">
        <f ca="1">IFERROR(INDEX(NVLSX!$U$2:$U$6941,MATCH($D79,NVLSX!$E$2:$E$6941,0)),"")</f>
        <v/>
      </c>
      <c r="W79" s="1143"/>
      <c r="X79" s="1143"/>
    </row>
    <row r="80" spans="1:24">
      <c r="A80" s="19" t="str">
        <f t="shared" ca="1" si="3"/>
        <v/>
      </c>
      <c r="B80" s="1146" t="str">
        <f ca="1">IFERROR(INDEX(NVLSX!$Y$2:$Y$6756,MATCH($D80,NVLSX!$E$2:$E$6756,0)),"")</f>
        <v/>
      </c>
      <c r="C80" s="1146" t="str">
        <f ca="1">IFERROR(INDEX(NVLSX!$Z$2:$Z$6756,MATCH($D80,NVLSX!$E$2:$E$6756,0)),"")</f>
        <v/>
      </c>
      <c r="D80" s="729" t="str">
        <f ca="1">IF($R80="","",INDEX(TongVTSX!C$3:C$1500,$R80))</f>
        <v/>
      </c>
      <c r="E80" s="729" t="str">
        <f ca="1">IF($R80="","",IF($S80=$T$7,INDEX(TongVTSX!D$3:D$1500,$R80) &amp;  " (" &amp; INDEX(TongVTSX!A$3:A$1500,$R80) &amp; ")",INDEX(TongVTSX!D$3:D$1500,$R80)))</f>
        <v/>
      </c>
      <c r="F80" s="874" t="str">
        <f ca="1">IF($R80="","",IF($S80&lt;&gt;NVLSX!$N$6492,INDEX(TongVTSX!E$3:E$1500,$R80),INDEX(TongVTSX!G$3:G$1500,$R80)))</f>
        <v/>
      </c>
      <c r="G80" s="730" t="str">
        <f ca="1">IF($R80="","",INDEX(TongVTSX!F$3:F$1500,$R80))</f>
        <v/>
      </c>
      <c r="H80" s="731">
        <f ca="1">IF($S80=$T$7,INDEX(TongVTSX!$K$3:$K$1500,$R80)/INDEX(TongVTSX!$G$3:$G$1500,$R80),IF($S80=$T$2,ROUNDUP(SUMPRODUCT((TongVTSX!$C$3:$C$1500=$D80)*(TongVTSX!$E$3:$E$1500=$F80)*(TongVTSX!$S$3:$S$1500=TongVTSX!$S$2)*(TongVTSX!$K$3:$K$1500))/$V80,0),SUMPRODUCT((TongVTSX!$C$3:$C$1500=$D80)*(TongVTSX!$E$3:$E$1500=$F80)*(TongVTSX!$S$3:$S$1500=TongVTSX!$S$2)*(TongVTSX!$K$3:$K$1500))))</f>
        <v>0</v>
      </c>
      <c r="I80" s="731">
        <f ca="1">IF($S80=$T$2,ROUNDUP(SUMPRODUCT((TongVTSX!$C$3:$C$1500=$D80)*(TongVTSX!$E$3:$E$1500=$F80)*(TongVTSX!$S$3:$S$1500=TongVTSX!$S$2)*(TongVTSX!$K$3:$K$1500))/$V80,2),0)</f>
        <v>0</v>
      </c>
      <c r="J80" s="731"/>
      <c r="K80" s="731"/>
      <c r="L80" s="732"/>
      <c r="M80" s="732" t="str">
        <f t="shared" ca="1" si="4"/>
        <v/>
      </c>
      <c r="N80" s="732"/>
      <c r="O80" s="732">
        <f ca="1">IF($S80=$T$7,INDEX(TongVTSX!$O$3:$O$1500,$R80),IF($S80=$T$2,INDEX(TongVTSX!$M$3:$M$1500,$R80)*$V80*$H80,SUMPRODUCT((TongVTSX!$C$3:$C$1500=$D80)*(TongVTSX!$E$3:$E$1500=$F80)*(TongVTSX!$S$3:$S$1500=TongVTSX!$S$2)*(TongVTSX!$O$3:$O$1500))))</f>
        <v>0</v>
      </c>
      <c r="P80" s="1150">
        <f ca="1">IF($S80=$T$7,INDEX(TongVTSX!$O$3:$O$1500,$R80),IF($S80=$T$2,INDEX(TongVTSX!$M$3:$M$1500,$R80)*$I80*$V80,SUMPRODUCT((TongVTSX!$C$3:$C$1500=$D80)*(TongVTSX!$E$3:$E$1500=$F80)*(TongVTSX!$S$3:$S$1500=TongVTSX!$S$2)*(TongVTSX!$O$3:$O$1500))))</f>
        <v>0</v>
      </c>
      <c r="Q80" s="1155" t="str">
        <f ca="1">IFERROR(INDEX(NVLSX!$AA$2:$AA$6756,MATCH($D80,NVLSX!$E$2:$E$6756,0)),"")</f>
        <v/>
      </c>
      <c r="R80" s="75" t="str">
        <f ca="1">IF(S80="","",IF(S80&lt;&gt;S79,IF(TYPE(MATCH(S80,TongVTSX!$Q$3:$Q$1500,0))=16,"",MATCH(S80,TongVTSX!$Q$3:$Q$1500,0)),IF(TYPE(MATCH(S80,OFFSET(TongVTSX!$Q$3,R79,0):'TongVTSX'!$Q$1500,0)+R79)=16,"",MATCH(S80,OFFSET(TongVTSX!$Q$3,R79,0):'TongVTSX'!$Q$1500,0)+R79)))</f>
        <v/>
      </c>
      <c r="S80" s="76" t="str">
        <f ca="1">IFERROR(IF(COUNTIF($S$3:S79,S79)&lt; INDEX($U$1:$U$7,MATCH($S79,$T$1:$T$7,0)),$S79,INDEX($T$1:$T$7,MATCH($S79,$T$1:$T$7,0)+1)),"")</f>
        <v/>
      </c>
      <c r="V80" s="1133" t="str">
        <f ca="1">IFERROR(INDEX(NVLSX!$U$2:$U$6941,MATCH($D80,NVLSX!$E$2:$E$6941,0)),"")</f>
        <v/>
      </c>
      <c r="W80" s="1143"/>
      <c r="X80" s="1143"/>
    </row>
    <row r="81" spans="1:24">
      <c r="A81" s="19" t="str">
        <f t="shared" ca="1" si="3"/>
        <v/>
      </c>
      <c r="B81" s="1146" t="str">
        <f ca="1">IFERROR(INDEX(NVLSX!$Y$2:$Y$6756,MATCH($D81,NVLSX!$E$2:$E$6756,0)),"")</f>
        <v/>
      </c>
      <c r="C81" s="1146" t="str">
        <f ca="1">IFERROR(INDEX(NVLSX!$Z$2:$Z$6756,MATCH($D81,NVLSX!$E$2:$E$6756,0)),"")</f>
        <v/>
      </c>
      <c r="D81" s="729" t="str">
        <f ca="1">IF($R81="","",INDEX(TongVTSX!C$3:C$1500,$R81))</f>
        <v/>
      </c>
      <c r="E81" s="729" t="str">
        <f ca="1">IF($R81="","",IF($S81=$T$7,INDEX(TongVTSX!D$3:D$1500,$R81) &amp;  " (" &amp; INDEX(TongVTSX!A$3:A$1500,$R81) &amp; ")",INDEX(TongVTSX!D$3:D$1500,$R81)))</f>
        <v/>
      </c>
      <c r="F81" s="874" t="str">
        <f ca="1">IF($R81="","",IF($S81&lt;&gt;NVLSX!$N$6492,INDEX(TongVTSX!E$3:E$1500,$R81),INDEX(TongVTSX!G$3:G$1500,$R81)))</f>
        <v/>
      </c>
      <c r="G81" s="730" t="str">
        <f ca="1">IF($R81="","",INDEX(TongVTSX!F$3:F$1500,$R81))</f>
        <v/>
      </c>
      <c r="H81" s="731">
        <f ca="1">IF($S81=$T$7,INDEX(TongVTSX!$K$3:$K$1500,$R81)/INDEX(TongVTSX!$G$3:$G$1500,$R81),IF($S81=$T$2,ROUNDUP(SUMPRODUCT((TongVTSX!$C$3:$C$1500=$D81)*(TongVTSX!$E$3:$E$1500=$F81)*(TongVTSX!$S$3:$S$1500=TongVTSX!$S$2)*(TongVTSX!$K$3:$K$1500))/$V81,0),SUMPRODUCT((TongVTSX!$C$3:$C$1500=$D81)*(TongVTSX!$E$3:$E$1500=$F81)*(TongVTSX!$S$3:$S$1500=TongVTSX!$S$2)*(TongVTSX!$K$3:$K$1500))))</f>
        <v>0</v>
      </c>
      <c r="I81" s="731">
        <f ca="1">IF($S81=$T$2,ROUNDUP(SUMPRODUCT((TongVTSX!$C$3:$C$1500=$D81)*(TongVTSX!$E$3:$E$1500=$F81)*(TongVTSX!$S$3:$S$1500=TongVTSX!$S$2)*(TongVTSX!$K$3:$K$1500))/$V81,2),0)</f>
        <v>0</v>
      </c>
      <c r="J81" s="731"/>
      <c r="K81" s="731"/>
      <c r="L81" s="732"/>
      <c r="M81" s="732" t="str">
        <f t="shared" ca="1" si="4"/>
        <v/>
      </c>
      <c r="N81" s="732"/>
      <c r="O81" s="732">
        <f ca="1">IF($S81=$T$7,INDEX(TongVTSX!$O$3:$O$1500,$R81),IF($S81=$T$2,INDEX(TongVTSX!$M$3:$M$1500,$R81)*$V81*$H81,SUMPRODUCT((TongVTSX!$C$3:$C$1500=$D81)*(TongVTSX!$E$3:$E$1500=$F81)*(TongVTSX!$S$3:$S$1500=TongVTSX!$S$2)*(TongVTSX!$O$3:$O$1500))))</f>
        <v>0</v>
      </c>
      <c r="P81" s="1150">
        <f ca="1">IF($S81=$T$7,INDEX(TongVTSX!$O$3:$O$1500,$R81),IF($S81=$T$2,INDEX(TongVTSX!$M$3:$M$1500,$R81)*$I81*$V81,SUMPRODUCT((TongVTSX!$C$3:$C$1500=$D81)*(TongVTSX!$E$3:$E$1500=$F81)*(TongVTSX!$S$3:$S$1500=TongVTSX!$S$2)*(TongVTSX!$O$3:$O$1500))))</f>
        <v>0</v>
      </c>
      <c r="Q81" s="1155" t="str">
        <f ca="1">IFERROR(INDEX(NVLSX!$AA$2:$AA$6756,MATCH($D81,NVLSX!$E$2:$E$6756,0)),"")</f>
        <v/>
      </c>
      <c r="R81" s="75" t="str">
        <f ca="1">IF(S81="","",IF(S81&lt;&gt;S80,IF(TYPE(MATCH(S81,TongVTSX!$Q$3:$Q$1500,0))=16,"",MATCH(S81,TongVTSX!$Q$3:$Q$1500,0)),IF(TYPE(MATCH(S81,OFFSET(TongVTSX!$Q$3,R80,0):'TongVTSX'!$Q$1500,0)+R80)=16,"",MATCH(S81,OFFSET(TongVTSX!$Q$3,R80,0):'TongVTSX'!$Q$1500,0)+R80)))</f>
        <v/>
      </c>
      <c r="S81" s="76" t="str">
        <f ca="1">IFERROR(IF(COUNTIF($S$3:S80,S80)&lt; INDEX($U$1:$U$7,MATCH($S80,$T$1:$T$7,0)),$S80,INDEX($T$1:$T$7,MATCH($S80,$T$1:$T$7,0)+1)),"")</f>
        <v/>
      </c>
      <c r="V81" s="1133" t="str">
        <f ca="1">IFERROR(INDEX(NVLSX!$U$2:$U$6941,MATCH($D81,NVLSX!$E$2:$E$6941,0)),"")</f>
        <v/>
      </c>
      <c r="W81" s="1143"/>
      <c r="X81" s="1143"/>
    </row>
    <row r="82" spans="1:24">
      <c r="A82" s="19" t="str">
        <f t="shared" ca="1" si="3"/>
        <v/>
      </c>
      <c r="B82" s="1146" t="str">
        <f ca="1">IFERROR(INDEX(NVLSX!$Y$2:$Y$6756,MATCH($D82,NVLSX!$E$2:$E$6756,0)),"")</f>
        <v/>
      </c>
      <c r="C82" s="1146" t="str">
        <f ca="1">IFERROR(INDEX(NVLSX!$Z$2:$Z$6756,MATCH($D82,NVLSX!$E$2:$E$6756,0)),"")</f>
        <v/>
      </c>
      <c r="D82" s="729" t="str">
        <f ca="1">IF($R82="","",INDEX(TongVTSX!C$3:C$1500,$R82))</f>
        <v/>
      </c>
      <c r="E82" s="729" t="str">
        <f ca="1">IF($R82="","",IF($S82=$T$7,INDEX(TongVTSX!D$3:D$1500,$R82) &amp;  " (" &amp; INDEX(TongVTSX!A$3:A$1500,$R82) &amp; ")",INDEX(TongVTSX!D$3:D$1500,$R82)))</f>
        <v/>
      </c>
      <c r="F82" s="874" t="str">
        <f ca="1">IF($R82="","",IF($S82&lt;&gt;NVLSX!$N$6492,INDEX(TongVTSX!E$3:E$1500,$R82),INDEX(TongVTSX!G$3:G$1500,$R82)))</f>
        <v/>
      </c>
      <c r="G82" s="730" t="str">
        <f ca="1">IF($R82="","",INDEX(TongVTSX!F$3:F$1500,$R82))</f>
        <v/>
      </c>
      <c r="H82" s="731">
        <f ca="1">IF($S82=$T$7,INDEX(TongVTSX!$K$3:$K$1500,$R82)/INDEX(TongVTSX!$G$3:$G$1500,$R82),IF($S82=$T$2,ROUNDUP(SUMPRODUCT((TongVTSX!$C$3:$C$1500=$D82)*(TongVTSX!$E$3:$E$1500=$F82)*(TongVTSX!$S$3:$S$1500=TongVTSX!$S$2)*(TongVTSX!$K$3:$K$1500))/$V82,0),SUMPRODUCT((TongVTSX!$C$3:$C$1500=$D82)*(TongVTSX!$E$3:$E$1500=$F82)*(TongVTSX!$S$3:$S$1500=TongVTSX!$S$2)*(TongVTSX!$K$3:$K$1500))))</f>
        <v>0</v>
      </c>
      <c r="I82" s="731">
        <f ca="1">IF($S82=$T$2,ROUNDUP(SUMPRODUCT((TongVTSX!$C$3:$C$1500=$D82)*(TongVTSX!$E$3:$E$1500=$F82)*(TongVTSX!$S$3:$S$1500=TongVTSX!$S$2)*(TongVTSX!$K$3:$K$1500))/$V82,2),0)</f>
        <v>0</v>
      </c>
      <c r="J82" s="731"/>
      <c r="K82" s="731"/>
      <c r="L82" s="732"/>
      <c r="M82" s="732" t="str">
        <f t="shared" ca="1" si="4"/>
        <v/>
      </c>
      <c r="N82" s="732"/>
      <c r="O82" s="732">
        <f ca="1">IF($S82=$T$7,INDEX(TongVTSX!$O$3:$O$1500,$R82),IF($S82=$T$2,INDEX(TongVTSX!$M$3:$M$1500,$R82)*$V82*$H82,SUMPRODUCT((TongVTSX!$C$3:$C$1500=$D82)*(TongVTSX!$E$3:$E$1500=$F82)*(TongVTSX!$S$3:$S$1500=TongVTSX!$S$2)*(TongVTSX!$O$3:$O$1500))))</f>
        <v>0</v>
      </c>
      <c r="P82" s="1150">
        <f ca="1">IF($S82=$T$7,INDEX(TongVTSX!$O$3:$O$1500,$R82),IF($S82=$T$2,INDEX(TongVTSX!$M$3:$M$1500,$R82)*$I82*$V82,SUMPRODUCT((TongVTSX!$C$3:$C$1500=$D82)*(TongVTSX!$E$3:$E$1500=$F82)*(TongVTSX!$S$3:$S$1500=TongVTSX!$S$2)*(TongVTSX!$O$3:$O$1500))))</f>
        <v>0</v>
      </c>
      <c r="Q82" s="1155" t="str">
        <f ca="1">IFERROR(INDEX(NVLSX!$AA$2:$AA$6756,MATCH($D82,NVLSX!$E$2:$E$6756,0)),"")</f>
        <v/>
      </c>
      <c r="R82" s="75" t="str">
        <f ca="1">IF(S82="","",IF(S82&lt;&gt;S81,IF(TYPE(MATCH(S82,TongVTSX!$Q$3:$Q$1500,0))=16,"",MATCH(S82,TongVTSX!$Q$3:$Q$1500,0)),IF(TYPE(MATCH(S82,OFFSET(TongVTSX!$Q$3,R81,0):'TongVTSX'!$Q$1500,0)+R81)=16,"",MATCH(S82,OFFSET(TongVTSX!$Q$3,R81,0):'TongVTSX'!$Q$1500,0)+R81)))</f>
        <v/>
      </c>
      <c r="S82" s="76" t="str">
        <f ca="1">IFERROR(IF(COUNTIF($S$3:S81,S81)&lt; INDEX($U$1:$U$7,MATCH($S81,$T$1:$T$7,0)),$S81,INDEX($T$1:$T$7,MATCH($S81,$T$1:$T$7,0)+1)),"")</f>
        <v/>
      </c>
      <c r="V82" s="1133" t="str">
        <f ca="1">IFERROR(INDEX(NVLSX!$U$2:$U$6941,MATCH($D82,NVLSX!$E$2:$E$6941,0)),"")</f>
        <v/>
      </c>
      <c r="W82" s="1143"/>
      <c r="X82" s="1143"/>
    </row>
    <row r="83" spans="1:24">
      <c r="A83" s="19" t="str">
        <f t="shared" ca="1" si="3"/>
        <v/>
      </c>
      <c r="B83" s="1146" t="str">
        <f ca="1">IFERROR(INDEX(NVLSX!$Y$2:$Y$6756,MATCH($D83,NVLSX!$E$2:$E$6756,0)),"")</f>
        <v/>
      </c>
      <c r="C83" s="1146" t="str">
        <f ca="1">IFERROR(INDEX(NVLSX!$Z$2:$Z$6756,MATCH($D83,NVLSX!$E$2:$E$6756,0)),"")</f>
        <v/>
      </c>
      <c r="D83" s="729" t="str">
        <f ca="1">IF($R83="","",INDEX(TongVTSX!C$3:C$1500,$R83))</f>
        <v/>
      </c>
      <c r="E83" s="729" t="str">
        <f ca="1">IF($R83="","",IF($S83=$T$7,INDEX(TongVTSX!D$3:D$1500,$R83) &amp;  " (" &amp; INDEX(TongVTSX!A$3:A$1500,$R83) &amp; ")",INDEX(TongVTSX!D$3:D$1500,$R83)))</f>
        <v/>
      </c>
      <c r="F83" s="874" t="str">
        <f ca="1">IF($R83="","",IF($S83&lt;&gt;NVLSX!$N$6492,INDEX(TongVTSX!E$3:E$1500,$R83),INDEX(TongVTSX!G$3:G$1500,$R83)))</f>
        <v/>
      </c>
      <c r="G83" s="730" t="str">
        <f ca="1">IF($R83="","",INDEX(TongVTSX!F$3:F$1500,$R83))</f>
        <v/>
      </c>
      <c r="H83" s="731">
        <f ca="1">IF($S83=$T$7,INDEX(TongVTSX!$K$3:$K$1500,$R83)/INDEX(TongVTSX!$G$3:$G$1500,$R83),IF($S83=$T$2,ROUNDUP(SUMPRODUCT((TongVTSX!$C$3:$C$1500=$D83)*(TongVTSX!$E$3:$E$1500=$F83)*(TongVTSX!$S$3:$S$1500=TongVTSX!$S$2)*(TongVTSX!$K$3:$K$1500))/$V83,0),SUMPRODUCT((TongVTSX!$C$3:$C$1500=$D83)*(TongVTSX!$E$3:$E$1500=$F83)*(TongVTSX!$S$3:$S$1500=TongVTSX!$S$2)*(TongVTSX!$K$3:$K$1500))))</f>
        <v>0</v>
      </c>
      <c r="I83" s="731">
        <f ca="1">IF($S83=$T$2,ROUNDUP(SUMPRODUCT((TongVTSX!$C$3:$C$1500=$D83)*(TongVTSX!$E$3:$E$1500=$F83)*(TongVTSX!$S$3:$S$1500=TongVTSX!$S$2)*(TongVTSX!$K$3:$K$1500))/$V83,2),0)</f>
        <v>0</v>
      </c>
      <c r="J83" s="731"/>
      <c r="K83" s="731"/>
      <c r="L83" s="732"/>
      <c r="M83" s="732" t="str">
        <f t="shared" ca="1" si="4"/>
        <v/>
      </c>
      <c r="N83" s="732"/>
      <c r="O83" s="732">
        <f ca="1">IF($S83=$T$7,INDEX(TongVTSX!$O$3:$O$1500,$R83),IF($S83=$T$2,INDEX(TongVTSX!$M$3:$M$1500,$R83)*$V83*$H83,SUMPRODUCT((TongVTSX!$C$3:$C$1500=$D83)*(TongVTSX!$E$3:$E$1500=$F83)*(TongVTSX!$S$3:$S$1500=TongVTSX!$S$2)*(TongVTSX!$O$3:$O$1500))))</f>
        <v>0</v>
      </c>
      <c r="P83" s="1150">
        <f ca="1">IF($S83=$T$7,INDEX(TongVTSX!$O$3:$O$1500,$R83),IF($S83=$T$2,INDEX(TongVTSX!$M$3:$M$1500,$R83)*$I83*$V83,SUMPRODUCT((TongVTSX!$C$3:$C$1500=$D83)*(TongVTSX!$E$3:$E$1500=$F83)*(TongVTSX!$S$3:$S$1500=TongVTSX!$S$2)*(TongVTSX!$O$3:$O$1500))))</f>
        <v>0</v>
      </c>
      <c r="Q83" s="1155" t="str">
        <f ca="1">IFERROR(INDEX(NVLSX!$AA$2:$AA$6756,MATCH($D83,NVLSX!$E$2:$E$6756,0)),"")</f>
        <v/>
      </c>
      <c r="R83" s="75" t="str">
        <f ca="1">IF(S83="","",IF(S83&lt;&gt;S82,IF(TYPE(MATCH(S83,TongVTSX!$Q$3:$Q$1500,0))=16,"",MATCH(S83,TongVTSX!$Q$3:$Q$1500,0)),IF(TYPE(MATCH(S83,OFFSET(TongVTSX!$Q$3,R82,0):'TongVTSX'!$Q$1500,0)+R82)=16,"",MATCH(S83,OFFSET(TongVTSX!$Q$3,R82,0):'TongVTSX'!$Q$1500,0)+R82)))</f>
        <v/>
      </c>
      <c r="S83" s="76" t="str">
        <f ca="1">IFERROR(IF(COUNTIF($S$3:S82,S82)&lt; INDEX($U$1:$U$7,MATCH($S82,$T$1:$T$7,0)),$S82,INDEX($T$1:$T$7,MATCH($S82,$T$1:$T$7,0)+1)),"")</f>
        <v/>
      </c>
      <c r="V83" s="1133" t="str">
        <f ca="1">IFERROR(INDEX(NVLSX!$U$2:$U$6941,MATCH($D83,NVLSX!$E$2:$E$6941,0)),"")</f>
        <v/>
      </c>
      <c r="W83" s="1143"/>
      <c r="X83" s="1143"/>
    </row>
    <row r="84" spans="1:24">
      <c r="A84" s="19" t="str">
        <f t="shared" ca="1" si="3"/>
        <v/>
      </c>
      <c r="B84" s="1146" t="str">
        <f ca="1">IFERROR(INDEX(NVLSX!$Y$2:$Y$6756,MATCH($D84,NVLSX!$E$2:$E$6756,0)),"")</f>
        <v/>
      </c>
      <c r="C84" s="1146" t="str">
        <f ca="1">IFERROR(INDEX(NVLSX!$Z$2:$Z$6756,MATCH($D84,NVLSX!$E$2:$E$6756,0)),"")</f>
        <v/>
      </c>
      <c r="D84" s="729" t="str">
        <f ca="1">IF($R84="","",INDEX(TongVTSX!C$3:C$1500,$R84))</f>
        <v/>
      </c>
      <c r="E84" s="729" t="str">
        <f ca="1">IF($R84="","",IF($S84=$T$7,INDEX(TongVTSX!D$3:D$1500,$R84) &amp;  " (" &amp; INDEX(TongVTSX!A$3:A$1500,$R84) &amp; ")",INDEX(TongVTSX!D$3:D$1500,$R84)))</f>
        <v/>
      </c>
      <c r="F84" s="874" t="str">
        <f ca="1">IF($R84="","",IF($S84&lt;&gt;NVLSX!$N$6492,INDEX(TongVTSX!E$3:E$1500,$R84),INDEX(TongVTSX!G$3:G$1500,$R84)))</f>
        <v/>
      </c>
      <c r="G84" s="730" t="str">
        <f ca="1">IF($R84="","",INDEX(TongVTSX!F$3:F$1500,$R84))</f>
        <v/>
      </c>
      <c r="H84" s="731">
        <f ca="1">IF($S84=$T$7,INDEX(TongVTSX!$K$3:$K$1500,$R84)/INDEX(TongVTSX!$G$3:$G$1500,$R84),IF($S84=$T$2,ROUNDUP(SUMPRODUCT((TongVTSX!$C$3:$C$1500=$D84)*(TongVTSX!$E$3:$E$1500=$F84)*(TongVTSX!$S$3:$S$1500=TongVTSX!$S$2)*(TongVTSX!$K$3:$K$1500))/$V84,0),SUMPRODUCT((TongVTSX!$C$3:$C$1500=$D84)*(TongVTSX!$E$3:$E$1500=$F84)*(TongVTSX!$S$3:$S$1500=TongVTSX!$S$2)*(TongVTSX!$K$3:$K$1500))))</f>
        <v>0</v>
      </c>
      <c r="I84" s="731">
        <f ca="1">IF($S84=$T$2,ROUNDUP(SUMPRODUCT((TongVTSX!$C$3:$C$1500=$D84)*(TongVTSX!$E$3:$E$1500=$F84)*(TongVTSX!$S$3:$S$1500=TongVTSX!$S$2)*(TongVTSX!$K$3:$K$1500))/$V84,2),0)</f>
        <v>0</v>
      </c>
      <c r="J84" s="731"/>
      <c r="K84" s="731"/>
      <c r="L84" s="732"/>
      <c r="M84" s="732" t="str">
        <f t="shared" ca="1" si="4"/>
        <v/>
      </c>
      <c r="N84" s="732"/>
      <c r="O84" s="732">
        <f ca="1">IF($S84=$T$7,INDEX(TongVTSX!$O$3:$O$1500,$R84),IF($S84=$T$2,INDEX(TongVTSX!$M$3:$M$1500,$R84)*$V84*$H84,SUMPRODUCT((TongVTSX!$C$3:$C$1500=$D84)*(TongVTSX!$E$3:$E$1500=$F84)*(TongVTSX!$S$3:$S$1500=TongVTSX!$S$2)*(TongVTSX!$O$3:$O$1500))))</f>
        <v>0</v>
      </c>
      <c r="P84" s="1150">
        <f ca="1">IF($S84=$T$7,INDEX(TongVTSX!$O$3:$O$1500,$R84),IF($S84=$T$2,INDEX(TongVTSX!$M$3:$M$1500,$R84)*$I84*$V84,SUMPRODUCT((TongVTSX!$C$3:$C$1500=$D84)*(TongVTSX!$E$3:$E$1500=$F84)*(TongVTSX!$S$3:$S$1500=TongVTSX!$S$2)*(TongVTSX!$O$3:$O$1500))))</f>
        <v>0</v>
      </c>
      <c r="Q84" s="1155" t="str">
        <f ca="1">IFERROR(INDEX(NVLSX!$AA$2:$AA$6756,MATCH($D84,NVLSX!$E$2:$E$6756,0)),"")</f>
        <v/>
      </c>
      <c r="R84" s="75" t="str">
        <f ca="1">IF(S84="","",IF(S84&lt;&gt;S83,IF(TYPE(MATCH(S84,TongVTSX!$Q$3:$Q$1500,0))=16,"",MATCH(S84,TongVTSX!$Q$3:$Q$1500,0)),IF(TYPE(MATCH(S84,OFFSET(TongVTSX!$Q$3,R83,0):'TongVTSX'!$Q$1500,0)+R83)=16,"",MATCH(S84,OFFSET(TongVTSX!$Q$3,R83,0):'TongVTSX'!$Q$1500,0)+R83)))</f>
        <v/>
      </c>
      <c r="S84" s="76" t="str">
        <f ca="1">IFERROR(IF(COUNTIF($S$3:S83,S83)&lt; INDEX($U$1:$U$7,MATCH($S83,$T$1:$T$7,0)),$S83,INDEX($T$1:$T$7,MATCH($S83,$T$1:$T$7,0)+1)),"")</f>
        <v/>
      </c>
      <c r="V84" s="1133" t="str">
        <f ca="1">IFERROR(INDEX(NVLSX!$U$2:$U$6941,MATCH($D84,NVLSX!$E$2:$E$6941,0)),"")</f>
        <v/>
      </c>
      <c r="W84" s="1143"/>
      <c r="X84" s="1143"/>
    </row>
    <row r="85" spans="1:24">
      <c r="A85" s="19" t="str">
        <f t="shared" ca="1" si="3"/>
        <v/>
      </c>
      <c r="B85" s="1146" t="str">
        <f ca="1">IFERROR(INDEX(NVLSX!$Y$2:$Y$6756,MATCH($D85,NVLSX!$E$2:$E$6756,0)),"")</f>
        <v/>
      </c>
      <c r="C85" s="1146" t="str">
        <f ca="1">IFERROR(INDEX(NVLSX!$Z$2:$Z$6756,MATCH($D85,NVLSX!$E$2:$E$6756,0)),"")</f>
        <v/>
      </c>
      <c r="D85" s="729" t="str">
        <f ca="1">IF($R85="","",INDEX(TongVTSX!C$3:C$1500,$R85))</f>
        <v/>
      </c>
      <c r="E85" s="729" t="str">
        <f ca="1">IF($R85="","",IF($S85=$T$7,INDEX(TongVTSX!D$3:D$1500,$R85) &amp;  " (" &amp; INDEX(TongVTSX!A$3:A$1500,$R85) &amp; ")",INDEX(TongVTSX!D$3:D$1500,$R85)))</f>
        <v/>
      </c>
      <c r="F85" s="874" t="str">
        <f ca="1">IF($R85="","",IF($S85&lt;&gt;NVLSX!$N$6492,INDEX(TongVTSX!E$3:E$1500,$R85),INDEX(TongVTSX!G$3:G$1500,$R85)))</f>
        <v/>
      </c>
      <c r="G85" s="730" t="str">
        <f ca="1">IF($R85="","",INDEX(TongVTSX!F$3:F$1500,$R85))</f>
        <v/>
      </c>
      <c r="H85" s="731">
        <f ca="1">IF($S85=$T$7,INDEX(TongVTSX!$K$3:$K$1500,$R85)/INDEX(TongVTSX!$G$3:$G$1500,$R85),IF($S85=$T$2,ROUNDUP(SUMPRODUCT((TongVTSX!$C$3:$C$1500=$D85)*(TongVTSX!$E$3:$E$1500=$F85)*(TongVTSX!$S$3:$S$1500=TongVTSX!$S$2)*(TongVTSX!$K$3:$K$1500))/$V85,0),SUMPRODUCT((TongVTSX!$C$3:$C$1500=$D85)*(TongVTSX!$E$3:$E$1500=$F85)*(TongVTSX!$S$3:$S$1500=TongVTSX!$S$2)*(TongVTSX!$K$3:$K$1500))))</f>
        <v>0</v>
      </c>
      <c r="I85" s="731">
        <f ca="1">IF($S85=$T$2,ROUNDUP(SUMPRODUCT((TongVTSX!$C$3:$C$1500=$D85)*(TongVTSX!$E$3:$E$1500=$F85)*(TongVTSX!$S$3:$S$1500=TongVTSX!$S$2)*(TongVTSX!$K$3:$K$1500))/$V85,2),0)</f>
        <v>0</v>
      </c>
      <c r="J85" s="731"/>
      <c r="K85" s="731"/>
      <c r="L85" s="732"/>
      <c r="M85" s="732" t="str">
        <f t="shared" ca="1" si="4"/>
        <v/>
      </c>
      <c r="N85" s="732"/>
      <c r="O85" s="732">
        <f ca="1">IF($S85=$T$7,INDEX(TongVTSX!$O$3:$O$1500,$R85),IF($S85=$T$2,INDEX(TongVTSX!$M$3:$M$1500,$R85)*$V85*$H85,SUMPRODUCT((TongVTSX!$C$3:$C$1500=$D85)*(TongVTSX!$E$3:$E$1500=$F85)*(TongVTSX!$S$3:$S$1500=TongVTSX!$S$2)*(TongVTSX!$O$3:$O$1500))))</f>
        <v>0</v>
      </c>
      <c r="P85" s="1150">
        <f ca="1">IF($S85=$T$7,INDEX(TongVTSX!$O$3:$O$1500,$R85),IF($S85=$T$2,INDEX(TongVTSX!$M$3:$M$1500,$R85)*$I85*$V85,SUMPRODUCT((TongVTSX!$C$3:$C$1500=$D85)*(TongVTSX!$E$3:$E$1500=$F85)*(TongVTSX!$S$3:$S$1500=TongVTSX!$S$2)*(TongVTSX!$O$3:$O$1500))))</f>
        <v>0</v>
      </c>
      <c r="Q85" s="1155" t="str">
        <f ca="1">IFERROR(INDEX(NVLSX!$AA$2:$AA$6756,MATCH($D85,NVLSX!$E$2:$E$6756,0)),"")</f>
        <v/>
      </c>
      <c r="R85" s="75" t="str">
        <f ca="1">IF(S85="","",IF(S85&lt;&gt;S84,IF(TYPE(MATCH(S85,TongVTSX!$Q$3:$Q$1500,0))=16,"",MATCH(S85,TongVTSX!$Q$3:$Q$1500,0)),IF(TYPE(MATCH(S85,OFFSET(TongVTSX!$Q$3,R84,0):'TongVTSX'!$Q$1500,0)+R84)=16,"",MATCH(S85,OFFSET(TongVTSX!$Q$3,R84,0):'TongVTSX'!$Q$1500,0)+R84)))</f>
        <v/>
      </c>
      <c r="S85" s="76" t="str">
        <f ca="1">IFERROR(IF(COUNTIF($S$3:S84,S84)&lt; INDEX($U$1:$U$7,MATCH($S84,$T$1:$T$7,0)),$S84,INDEX($T$1:$T$7,MATCH($S84,$T$1:$T$7,0)+1)),"")</f>
        <v/>
      </c>
      <c r="V85" s="1133" t="str">
        <f ca="1">IFERROR(INDEX(NVLSX!$U$2:$U$6941,MATCH($D85,NVLSX!$E$2:$E$6941,0)),"")</f>
        <v/>
      </c>
      <c r="W85" s="1143"/>
      <c r="X85" s="1143"/>
    </row>
    <row r="86" spans="1:24">
      <c r="A86" s="19" t="str">
        <f t="shared" ca="1" si="3"/>
        <v/>
      </c>
      <c r="B86" s="1146" t="str">
        <f ca="1">IFERROR(INDEX(NVLSX!$Y$2:$Y$6756,MATCH($D86,NVLSX!$E$2:$E$6756,0)),"")</f>
        <v/>
      </c>
      <c r="C86" s="1146" t="str">
        <f ca="1">IFERROR(INDEX(NVLSX!$Z$2:$Z$6756,MATCH($D86,NVLSX!$E$2:$E$6756,0)),"")</f>
        <v/>
      </c>
      <c r="D86" s="729" t="str">
        <f ca="1">IF($R86="","",INDEX(TongVTSX!C$3:C$1500,$R86))</f>
        <v/>
      </c>
      <c r="E86" s="729" t="str">
        <f ca="1">IF($R86="","",IF($S86=$T$7,INDEX(TongVTSX!D$3:D$1500,$R86) &amp;  " (" &amp; INDEX(TongVTSX!A$3:A$1500,$R86) &amp; ")",INDEX(TongVTSX!D$3:D$1500,$R86)))</f>
        <v/>
      </c>
      <c r="F86" s="874" t="str">
        <f ca="1">IF($R86="","",IF($S86&lt;&gt;NVLSX!$N$6492,INDEX(TongVTSX!E$3:E$1500,$R86),INDEX(TongVTSX!G$3:G$1500,$R86)))</f>
        <v/>
      </c>
      <c r="G86" s="730" t="str">
        <f ca="1">IF($R86="","",INDEX(TongVTSX!F$3:F$1500,$R86))</f>
        <v/>
      </c>
      <c r="H86" s="731">
        <f ca="1">IF($S86=$T$7,INDEX(TongVTSX!$K$3:$K$1500,$R86)/INDEX(TongVTSX!$G$3:$G$1500,$R86),IF($S86=$T$2,ROUNDUP(SUMPRODUCT((TongVTSX!$C$3:$C$1500=$D86)*(TongVTSX!$E$3:$E$1500=$F86)*(TongVTSX!$S$3:$S$1500=TongVTSX!$S$2)*(TongVTSX!$K$3:$K$1500))/$V86,0),SUMPRODUCT((TongVTSX!$C$3:$C$1500=$D86)*(TongVTSX!$E$3:$E$1500=$F86)*(TongVTSX!$S$3:$S$1500=TongVTSX!$S$2)*(TongVTSX!$K$3:$K$1500))))</f>
        <v>0</v>
      </c>
      <c r="I86" s="731">
        <f ca="1">IF($S86=$T$2,ROUNDUP(SUMPRODUCT((TongVTSX!$C$3:$C$1500=$D86)*(TongVTSX!$E$3:$E$1500=$F86)*(TongVTSX!$S$3:$S$1500=TongVTSX!$S$2)*(TongVTSX!$K$3:$K$1500))/$V86,2),0)</f>
        <v>0</v>
      </c>
      <c r="J86" s="731"/>
      <c r="K86" s="731"/>
      <c r="L86" s="732"/>
      <c r="M86" s="732" t="str">
        <f t="shared" ca="1" si="4"/>
        <v/>
      </c>
      <c r="N86" s="732"/>
      <c r="O86" s="732">
        <f ca="1">IF($S86=$T$7,INDEX(TongVTSX!$O$3:$O$1500,$R86),IF($S86=$T$2,INDEX(TongVTSX!$M$3:$M$1500,$R86)*$V86*$H86,SUMPRODUCT((TongVTSX!$C$3:$C$1500=$D86)*(TongVTSX!$E$3:$E$1500=$F86)*(TongVTSX!$S$3:$S$1500=TongVTSX!$S$2)*(TongVTSX!$O$3:$O$1500))))</f>
        <v>0</v>
      </c>
      <c r="P86" s="1150">
        <f ca="1">IF($S86=$T$7,INDEX(TongVTSX!$O$3:$O$1500,$R86),IF($S86=$T$2,INDEX(TongVTSX!$M$3:$M$1500,$R86)*$I86*$V86,SUMPRODUCT((TongVTSX!$C$3:$C$1500=$D86)*(TongVTSX!$E$3:$E$1500=$F86)*(TongVTSX!$S$3:$S$1500=TongVTSX!$S$2)*(TongVTSX!$O$3:$O$1500))))</f>
        <v>0</v>
      </c>
      <c r="Q86" s="1155" t="str">
        <f ca="1">IFERROR(INDEX(NVLSX!$AA$2:$AA$6756,MATCH($D86,NVLSX!$E$2:$E$6756,0)),"")</f>
        <v/>
      </c>
      <c r="R86" s="75" t="str">
        <f ca="1">IF(S86="","",IF(S86&lt;&gt;S85,IF(TYPE(MATCH(S86,TongVTSX!$Q$3:$Q$1500,0))=16,"",MATCH(S86,TongVTSX!$Q$3:$Q$1500,0)),IF(TYPE(MATCH(S86,OFFSET(TongVTSX!$Q$3,R85,0):'TongVTSX'!$Q$1500,0)+R85)=16,"",MATCH(S86,OFFSET(TongVTSX!$Q$3,R85,0):'TongVTSX'!$Q$1500,0)+R85)))</f>
        <v/>
      </c>
      <c r="S86" s="76" t="str">
        <f ca="1">IFERROR(IF(COUNTIF($S$3:S85,S85)&lt; INDEX($U$1:$U$7,MATCH($S85,$T$1:$T$7,0)),$S85,INDEX($T$1:$T$7,MATCH($S85,$T$1:$T$7,0)+1)),"")</f>
        <v/>
      </c>
      <c r="V86" s="1133" t="str">
        <f ca="1">IFERROR(INDEX(NVLSX!$U$2:$U$6941,MATCH($D86,NVLSX!$E$2:$E$6941,0)),"")</f>
        <v/>
      </c>
      <c r="W86" s="1143"/>
      <c r="X86" s="1143"/>
    </row>
    <row r="87" spans="1:24">
      <c r="A87" s="19" t="str">
        <f t="shared" ca="1" si="3"/>
        <v/>
      </c>
      <c r="B87" s="1146" t="str">
        <f ca="1">IFERROR(INDEX(NVLSX!$Y$2:$Y$6756,MATCH($D87,NVLSX!$E$2:$E$6756,0)),"")</f>
        <v/>
      </c>
      <c r="C87" s="1146" t="str">
        <f ca="1">IFERROR(INDEX(NVLSX!$Z$2:$Z$6756,MATCH($D87,NVLSX!$E$2:$E$6756,0)),"")</f>
        <v/>
      </c>
      <c r="D87" s="729" t="str">
        <f ca="1">IF($R87="","",INDEX(TongVTSX!C$3:C$1500,$R87))</f>
        <v/>
      </c>
      <c r="E87" s="729" t="str">
        <f ca="1">IF($R87="","",IF($S87=$T$7,INDEX(TongVTSX!D$3:D$1500,$R87) &amp;  " (" &amp; INDEX(TongVTSX!A$3:A$1500,$R87) &amp; ")",INDEX(TongVTSX!D$3:D$1500,$R87)))</f>
        <v/>
      </c>
      <c r="F87" s="874" t="str">
        <f ca="1">IF($R87="","",IF($S87&lt;&gt;NVLSX!$N$6492,INDEX(TongVTSX!E$3:E$1500,$R87),INDEX(TongVTSX!G$3:G$1500,$R87)))</f>
        <v/>
      </c>
      <c r="G87" s="730" t="str">
        <f ca="1">IF($R87="","",INDEX(TongVTSX!F$3:F$1500,$R87))</f>
        <v/>
      </c>
      <c r="H87" s="731">
        <f ca="1">IF($S87=$T$7,INDEX(TongVTSX!$K$3:$K$1500,$R87)/INDEX(TongVTSX!$G$3:$G$1500,$R87),IF($S87=$T$2,ROUNDUP(SUMPRODUCT((TongVTSX!$C$3:$C$1500=$D87)*(TongVTSX!$E$3:$E$1500=$F87)*(TongVTSX!$S$3:$S$1500=TongVTSX!$S$2)*(TongVTSX!$K$3:$K$1500))/$V87,0),SUMPRODUCT((TongVTSX!$C$3:$C$1500=$D87)*(TongVTSX!$E$3:$E$1500=$F87)*(TongVTSX!$S$3:$S$1500=TongVTSX!$S$2)*(TongVTSX!$K$3:$K$1500))))</f>
        <v>0</v>
      </c>
      <c r="I87" s="731">
        <f ca="1">IF($S87=$T$2,ROUNDUP(SUMPRODUCT((TongVTSX!$C$3:$C$1500=$D87)*(TongVTSX!$E$3:$E$1500=$F87)*(TongVTSX!$S$3:$S$1500=TongVTSX!$S$2)*(TongVTSX!$K$3:$K$1500))/$V87,2),0)</f>
        <v>0</v>
      </c>
      <c r="J87" s="731"/>
      <c r="K87" s="731"/>
      <c r="L87" s="732"/>
      <c r="M87" s="732" t="str">
        <f t="shared" ca="1" si="4"/>
        <v/>
      </c>
      <c r="N87" s="732"/>
      <c r="O87" s="732">
        <f ca="1">IF($S87=$T$7,INDEX(TongVTSX!$O$3:$O$1500,$R87),IF($S87=$T$2,INDEX(TongVTSX!$M$3:$M$1500,$R87)*$V87*$H87,SUMPRODUCT((TongVTSX!$C$3:$C$1500=$D87)*(TongVTSX!$E$3:$E$1500=$F87)*(TongVTSX!$S$3:$S$1500=TongVTSX!$S$2)*(TongVTSX!$O$3:$O$1500))))</f>
        <v>0</v>
      </c>
      <c r="P87" s="1150">
        <f ca="1">IF($S87=$T$7,INDEX(TongVTSX!$O$3:$O$1500,$R87),IF($S87=$T$2,INDEX(TongVTSX!$M$3:$M$1500,$R87)*$I87*$V87,SUMPRODUCT((TongVTSX!$C$3:$C$1500=$D87)*(TongVTSX!$E$3:$E$1500=$F87)*(TongVTSX!$S$3:$S$1500=TongVTSX!$S$2)*(TongVTSX!$O$3:$O$1500))))</f>
        <v>0</v>
      </c>
      <c r="Q87" s="1155" t="str">
        <f ca="1">IFERROR(INDEX(NVLSX!$AA$2:$AA$6756,MATCH($D87,NVLSX!$E$2:$E$6756,0)),"")</f>
        <v/>
      </c>
      <c r="R87" s="75" t="str">
        <f ca="1">IF(S87="","",IF(S87&lt;&gt;S86,IF(TYPE(MATCH(S87,TongVTSX!$Q$3:$Q$1500,0))=16,"",MATCH(S87,TongVTSX!$Q$3:$Q$1500,0)),IF(TYPE(MATCH(S87,OFFSET(TongVTSX!$Q$3,R86,0):'TongVTSX'!$Q$1500,0)+R86)=16,"",MATCH(S87,OFFSET(TongVTSX!$Q$3,R86,0):'TongVTSX'!$Q$1500,0)+R86)))</f>
        <v/>
      </c>
      <c r="S87" s="76" t="str">
        <f ca="1">IFERROR(IF(COUNTIF($S$3:S86,S86)&lt; INDEX($U$1:$U$7,MATCH($S86,$T$1:$T$7,0)),$S86,INDEX($T$1:$T$7,MATCH($S86,$T$1:$T$7,0)+1)),"")</f>
        <v/>
      </c>
      <c r="V87" s="1133" t="str">
        <f ca="1">IFERROR(INDEX(NVLSX!$U$2:$U$6941,MATCH($D87,NVLSX!$E$2:$E$6941,0)),"")</f>
        <v/>
      </c>
      <c r="W87" s="1143"/>
      <c r="X87" s="1143"/>
    </row>
    <row r="88" spans="1:24">
      <c r="A88" s="19" t="str">
        <f t="shared" ca="1" si="3"/>
        <v/>
      </c>
      <c r="B88" s="1146" t="str">
        <f ca="1">IFERROR(INDEX(NVLSX!$Y$2:$Y$6756,MATCH($D88,NVLSX!$E$2:$E$6756,0)),"")</f>
        <v/>
      </c>
      <c r="C88" s="1146" t="str">
        <f ca="1">IFERROR(INDEX(NVLSX!$Z$2:$Z$6756,MATCH($D88,NVLSX!$E$2:$E$6756,0)),"")</f>
        <v/>
      </c>
      <c r="D88" s="729" t="str">
        <f ca="1">IF($R88="","",INDEX(TongVTSX!C$3:C$1500,$R88))</f>
        <v/>
      </c>
      <c r="E88" s="729" t="str">
        <f ca="1">IF($R88="","",IF($S88=$T$7,INDEX(TongVTSX!D$3:D$1500,$R88) &amp;  " (" &amp; INDEX(TongVTSX!A$3:A$1500,$R88) &amp; ")",INDEX(TongVTSX!D$3:D$1500,$R88)))</f>
        <v/>
      </c>
      <c r="F88" s="874" t="str">
        <f ca="1">IF($R88="","",IF($S88&lt;&gt;NVLSX!$N$6492,INDEX(TongVTSX!E$3:E$1500,$R88),INDEX(TongVTSX!G$3:G$1500,$R88)))</f>
        <v/>
      </c>
      <c r="G88" s="730" t="str">
        <f ca="1">IF($R88="","",INDEX(TongVTSX!F$3:F$1500,$R88))</f>
        <v/>
      </c>
      <c r="H88" s="731">
        <f ca="1">IF($S88=$T$7,INDEX(TongVTSX!$K$3:$K$1500,$R88)/INDEX(TongVTSX!$G$3:$G$1500,$R88),IF($S88=$T$2,ROUNDUP(SUMPRODUCT((TongVTSX!$C$3:$C$1500=$D88)*(TongVTSX!$E$3:$E$1500=$F88)*(TongVTSX!$S$3:$S$1500=TongVTSX!$S$2)*(TongVTSX!$K$3:$K$1500))/$V88,0),SUMPRODUCT((TongVTSX!$C$3:$C$1500=$D88)*(TongVTSX!$E$3:$E$1500=$F88)*(TongVTSX!$S$3:$S$1500=TongVTSX!$S$2)*(TongVTSX!$K$3:$K$1500))))</f>
        <v>0</v>
      </c>
      <c r="I88" s="731">
        <f ca="1">IF($S88=$T$2,ROUNDUP(SUMPRODUCT((TongVTSX!$C$3:$C$1500=$D88)*(TongVTSX!$E$3:$E$1500=$F88)*(TongVTSX!$S$3:$S$1500=TongVTSX!$S$2)*(TongVTSX!$K$3:$K$1500))/$V88,2),0)</f>
        <v>0</v>
      </c>
      <c r="J88" s="731"/>
      <c r="K88" s="731"/>
      <c r="L88" s="732"/>
      <c r="M88" s="732" t="str">
        <f t="shared" ca="1" si="4"/>
        <v/>
      </c>
      <c r="N88" s="732"/>
      <c r="O88" s="732">
        <f ca="1">IF($S88=$T$7,INDEX(TongVTSX!$O$3:$O$1500,$R88),IF($S88=$T$2,INDEX(TongVTSX!$M$3:$M$1500,$R88)*$V88*$H88,SUMPRODUCT((TongVTSX!$C$3:$C$1500=$D88)*(TongVTSX!$E$3:$E$1500=$F88)*(TongVTSX!$S$3:$S$1500=TongVTSX!$S$2)*(TongVTSX!$O$3:$O$1500))))</f>
        <v>0</v>
      </c>
      <c r="P88" s="1150">
        <f ca="1">IF($S88=$T$7,INDEX(TongVTSX!$O$3:$O$1500,$R88),IF($S88=$T$2,INDEX(TongVTSX!$M$3:$M$1500,$R88)*$I88*$V88,SUMPRODUCT((TongVTSX!$C$3:$C$1500=$D88)*(TongVTSX!$E$3:$E$1500=$F88)*(TongVTSX!$S$3:$S$1500=TongVTSX!$S$2)*(TongVTSX!$O$3:$O$1500))))</f>
        <v>0</v>
      </c>
      <c r="Q88" s="1155" t="str">
        <f ca="1">IFERROR(INDEX(NVLSX!$AA$2:$AA$6756,MATCH($D88,NVLSX!$E$2:$E$6756,0)),"")</f>
        <v/>
      </c>
      <c r="R88" s="75" t="str">
        <f ca="1">IF(S88="","",IF(S88&lt;&gt;S87,IF(TYPE(MATCH(S88,TongVTSX!$Q$3:$Q$1500,0))=16,"",MATCH(S88,TongVTSX!$Q$3:$Q$1500,0)),IF(TYPE(MATCH(S88,OFFSET(TongVTSX!$Q$3,R87,0):'TongVTSX'!$Q$1500,0)+R87)=16,"",MATCH(S88,OFFSET(TongVTSX!$Q$3,R87,0):'TongVTSX'!$Q$1500,0)+R87)))</f>
        <v/>
      </c>
      <c r="S88" s="76" t="str">
        <f ca="1">IFERROR(IF(COUNTIF($S$3:S87,S87)&lt; INDEX($U$1:$U$7,MATCH($S87,$T$1:$T$7,0)),$S87,INDEX($T$1:$T$7,MATCH($S87,$T$1:$T$7,0)+1)),"")</f>
        <v/>
      </c>
      <c r="V88" s="1133" t="str">
        <f ca="1">IFERROR(INDEX(NVLSX!$U$2:$U$6941,MATCH($D88,NVLSX!$E$2:$E$6941,0)),"")</f>
        <v/>
      </c>
      <c r="W88" s="1143"/>
      <c r="X88" s="1143"/>
    </row>
    <row r="89" spans="1:24">
      <c r="A89" s="19" t="str">
        <f t="shared" ca="1" si="3"/>
        <v/>
      </c>
      <c r="B89" s="1146" t="str">
        <f ca="1">IFERROR(INDEX(NVLSX!$Y$2:$Y$6756,MATCH($D89,NVLSX!$E$2:$E$6756,0)),"")</f>
        <v/>
      </c>
      <c r="C89" s="1146" t="str">
        <f ca="1">IFERROR(INDEX(NVLSX!$Z$2:$Z$6756,MATCH($D89,NVLSX!$E$2:$E$6756,0)),"")</f>
        <v/>
      </c>
      <c r="D89" s="729" t="str">
        <f ca="1">IF($R89="","",INDEX(TongVTSX!C$3:C$1500,$R89))</f>
        <v/>
      </c>
      <c r="E89" s="729" t="str">
        <f ca="1">IF($R89="","",IF($S89=$T$7,INDEX(TongVTSX!D$3:D$1500,$R89) &amp;  " (" &amp; INDEX(TongVTSX!A$3:A$1500,$R89) &amp; ")",INDEX(TongVTSX!D$3:D$1500,$R89)))</f>
        <v/>
      </c>
      <c r="F89" s="874" t="str">
        <f ca="1">IF($R89="","",IF($S89&lt;&gt;NVLSX!$N$6492,INDEX(TongVTSX!E$3:E$1500,$R89),INDEX(TongVTSX!G$3:G$1500,$R89)))</f>
        <v/>
      </c>
      <c r="G89" s="730" t="str">
        <f ca="1">IF($R89="","",INDEX(TongVTSX!F$3:F$1500,$R89))</f>
        <v/>
      </c>
      <c r="H89" s="731">
        <f ca="1">IF($S89=$T$7,INDEX(TongVTSX!$K$3:$K$1500,$R89)/INDEX(TongVTSX!$G$3:$G$1500,$R89),IF($S89=$T$2,ROUNDUP(SUMPRODUCT((TongVTSX!$C$3:$C$1500=$D89)*(TongVTSX!$E$3:$E$1500=$F89)*(TongVTSX!$S$3:$S$1500=TongVTSX!$S$2)*(TongVTSX!$K$3:$K$1500))/$V89,0),SUMPRODUCT((TongVTSX!$C$3:$C$1500=$D89)*(TongVTSX!$E$3:$E$1500=$F89)*(TongVTSX!$S$3:$S$1500=TongVTSX!$S$2)*(TongVTSX!$K$3:$K$1500))))</f>
        <v>0</v>
      </c>
      <c r="I89" s="731">
        <f ca="1">IF($S89=$T$2,ROUNDUP(SUMPRODUCT((TongVTSX!$C$3:$C$1500=$D89)*(TongVTSX!$E$3:$E$1500=$F89)*(TongVTSX!$S$3:$S$1500=TongVTSX!$S$2)*(TongVTSX!$K$3:$K$1500))/$V89,2),0)</f>
        <v>0</v>
      </c>
      <c r="J89" s="731"/>
      <c r="K89" s="731"/>
      <c r="L89" s="732"/>
      <c r="M89" s="732" t="str">
        <f t="shared" ca="1" si="4"/>
        <v/>
      </c>
      <c r="N89" s="732"/>
      <c r="O89" s="732">
        <f ca="1">IF($S89=$T$7,INDEX(TongVTSX!$O$3:$O$1500,$R89),IF($S89=$T$2,INDEX(TongVTSX!$M$3:$M$1500,$R89)*$V89*$H89,SUMPRODUCT((TongVTSX!$C$3:$C$1500=$D89)*(TongVTSX!$E$3:$E$1500=$F89)*(TongVTSX!$S$3:$S$1500=TongVTSX!$S$2)*(TongVTSX!$O$3:$O$1500))))</f>
        <v>0</v>
      </c>
      <c r="P89" s="1150">
        <f ca="1">IF($S89=$T$7,INDEX(TongVTSX!$O$3:$O$1500,$R89),IF($S89=$T$2,INDEX(TongVTSX!$M$3:$M$1500,$R89)*$I89*$V89,SUMPRODUCT((TongVTSX!$C$3:$C$1500=$D89)*(TongVTSX!$E$3:$E$1500=$F89)*(TongVTSX!$S$3:$S$1500=TongVTSX!$S$2)*(TongVTSX!$O$3:$O$1500))))</f>
        <v>0</v>
      </c>
      <c r="Q89" s="1155" t="str">
        <f ca="1">IFERROR(INDEX(NVLSX!$AA$2:$AA$6756,MATCH($D89,NVLSX!$E$2:$E$6756,0)),"")</f>
        <v/>
      </c>
      <c r="R89" s="75" t="str">
        <f ca="1">IF(S89="","",IF(S89&lt;&gt;S88,IF(TYPE(MATCH(S89,TongVTSX!$Q$3:$Q$1500,0))=16,"",MATCH(S89,TongVTSX!$Q$3:$Q$1500,0)),IF(TYPE(MATCH(S89,OFFSET(TongVTSX!$Q$3,R88,0):'TongVTSX'!$Q$1500,0)+R88)=16,"",MATCH(S89,OFFSET(TongVTSX!$Q$3,R88,0):'TongVTSX'!$Q$1500,0)+R88)))</f>
        <v/>
      </c>
      <c r="S89" s="76" t="str">
        <f ca="1">IFERROR(IF(COUNTIF($S$3:S88,S88)&lt; INDEX($U$1:$U$7,MATCH($S88,$T$1:$T$7,0)),$S88,INDEX($T$1:$T$7,MATCH($S88,$T$1:$T$7,0)+1)),"")</f>
        <v/>
      </c>
      <c r="V89" s="1133" t="str">
        <f ca="1">IFERROR(INDEX(NVLSX!$U$2:$U$6941,MATCH($D89,NVLSX!$E$2:$E$6941,0)),"")</f>
        <v/>
      </c>
      <c r="W89" s="1143"/>
      <c r="X89" s="1143"/>
    </row>
    <row r="90" spans="1:24">
      <c r="A90" s="19" t="str">
        <f t="shared" ca="1" si="3"/>
        <v/>
      </c>
      <c r="B90" s="1146" t="str">
        <f ca="1">IFERROR(INDEX(NVLSX!$Y$2:$Y$6756,MATCH($D90,NVLSX!$E$2:$E$6756,0)),"")</f>
        <v/>
      </c>
      <c r="C90" s="1146" t="str">
        <f ca="1">IFERROR(INDEX(NVLSX!$Z$2:$Z$6756,MATCH($D90,NVLSX!$E$2:$E$6756,0)),"")</f>
        <v/>
      </c>
      <c r="D90" s="729" t="str">
        <f ca="1">IF($R90="","",INDEX(TongVTSX!C$3:C$1500,$R90))</f>
        <v/>
      </c>
      <c r="E90" s="729" t="str">
        <f ca="1">IF($R90="","",IF($S90=$T$7,INDEX(TongVTSX!D$3:D$1500,$R90) &amp;  " (" &amp; INDEX(TongVTSX!A$3:A$1500,$R90) &amp; ")",INDEX(TongVTSX!D$3:D$1500,$R90)))</f>
        <v/>
      </c>
      <c r="F90" s="874" t="str">
        <f ca="1">IF($R90="","",IF($S90&lt;&gt;NVLSX!$N$6492,INDEX(TongVTSX!E$3:E$1500,$R90),INDEX(TongVTSX!G$3:G$1500,$R90)))</f>
        <v/>
      </c>
      <c r="G90" s="730" t="str">
        <f ca="1">IF($R90="","",INDEX(TongVTSX!F$3:F$1500,$R90))</f>
        <v/>
      </c>
      <c r="H90" s="731">
        <f ca="1">IF($S90=$T$7,INDEX(TongVTSX!$K$3:$K$1500,$R90)/INDEX(TongVTSX!$G$3:$G$1500,$R90),IF($S90=$T$2,ROUNDUP(SUMPRODUCT((TongVTSX!$C$3:$C$1500=$D90)*(TongVTSX!$E$3:$E$1500=$F90)*(TongVTSX!$S$3:$S$1500=TongVTSX!$S$2)*(TongVTSX!$K$3:$K$1500))/$V90,0),SUMPRODUCT((TongVTSX!$C$3:$C$1500=$D90)*(TongVTSX!$E$3:$E$1500=$F90)*(TongVTSX!$S$3:$S$1500=TongVTSX!$S$2)*(TongVTSX!$K$3:$K$1500))))</f>
        <v>0</v>
      </c>
      <c r="I90" s="731">
        <f ca="1">IF($S90=$T$2,ROUNDUP(SUMPRODUCT((TongVTSX!$C$3:$C$1500=$D90)*(TongVTSX!$E$3:$E$1500=$F90)*(TongVTSX!$S$3:$S$1500=TongVTSX!$S$2)*(TongVTSX!$K$3:$K$1500))/$V90,2),0)</f>
        <v>0</v>
      </c>
      <c r="J90" s="731"/>
      <c r="K90" s="731"/>
      <c r="L90" s="732"/>
      <c r="M90" s="732" t="str">
        <f t="shared" ca="1" si="4"/>
        <v/>
      </c>
      <c r="N90" s="732"/>
      <c r="O90" s="732">
        <f ca="1">IF($S90=$T$7,INDEX(TongVTSX!$O$3:$O$1500,$R90),IF($S90=$T$2,INDEX(TongVTSX!$M$3:$M$1500,$R90)*$V90*$H90,SUMPRODUCT((TongVTSX!$C$3:$C$1500=$D90)*(TongVTSX!$E$3:$E$1500=$F90)*(TongVTSX!$S$3:$S$1500=TongVTSX!$S$2)*(TongVTSX!$O$3:$O$1500))))</f>
        <v>0</v>
      </c>
      <c r="P90" s="1150">
        <f ca="1">IF($S90=$T$7,INDEX(TongVTSX!$O$3:$O$1500,$R90),IF($S90=$T$2,INDEX(TongVTSX!$M$3:$M$1500,$R90)*$I90*$V90,SUMPRODUCT((TongVTSX!$C$3:$C$1500=$D90)*(TongVTSX!$E$3:$E$1500=$F90)*(TongVTSX!$S$3:$S$1500=TongVTSX!$S$2)*(TongVTSX!$O$3:$O$1500))))</f>
        <v>0</v>
      </c>
      <c r="Q90" s="1155" t="str">
        <f ca="1">IFERROR(INDEX(NVLSX!$AA$2:$AA$6756,MATCH($D90,NVLSX!$E$2:$E$6756,0)),"")</f>
        <v/>
      </c>
      <c r="R90" s="75" t="str">
        <f ca="1">IF(S90="","",IF(S90&lt;&gt;S89,IF(TYPE(MATCH(S90,TongVTSX!$Q$3:$Q$1500,0))=16,"",MATCH(S90,TongVTSX!$Q$3:$Q$1500,0)),IF(TYPE(MATCH(S90,OFFSET(TongVTSX!$Q$3,R89,0):'TongVTSX'!$Q$1500,0)+R89)=16,"",MATCH(S90,OFFSET(TongVTSX!$Q$3,R89,0):'TongVTSX'!$Q$1500,0)+R89)))</f>
        <v/>
      </c>
      <c r="S90" s="76" t="str">
        <f ca="1">IFERROR(IF(COUNTIF($S$3:S89,S89)&lt; INDEX($U$1:$U$7,MATCH($S89,$T$1:$T$7,0)),$S89,INDEX($T$1:$T$7,MATCH($S89,$T$1:$T$7,0)+1)),"")</f>
        <v/>
      </c>
      <c r="V90" s="1133" t="str">
        <f ca="1">IFERROR(INDEX(NVLSX!$U$2:$U$6941,MATCH($D90,NVLSX!$E$2:$E$6941,0)),"")</f>
        <v/>
      </c>
      <c r="W90" s="1143"/>
      <c r="X90" s="1143"/>
    </row>
    <row r="91" spans="1:24">
      <c r="A91" s="19" t="str">
        <f t="shared" ca="1" si="3"/>
        <v/>
      </c>
      <c r="B91" s="1146" t="str">
        <f ca="1">IFERROR(INDEX(NVLSX!$Y$2:$Y$6756,MATCH($D91,NVLSX!$E$2:$E$6756,0)),"")</f>
        <v/>
      </c>
      <c r="C91" s="1146" t="str">
        <f ca="1">IFERROR(INDEX(NVLSX!$Z$2:$Z$6756,MATCH($D91,NVLSX!$E$2:$E$6756,0)),"")</f>
        <v/>
      </c>
      <c r="D91" s="729" t="str">
        <f ca="1">IF($R91="","",INDEX(TongVTSX!C$3:C$1500,$R91))</f>
        <v/>
      </c>
      <c r="E91" s="729" t="str">
        <f ca="1">IF($R91="","",IF($S91=$T$7,INDEX(TongVTSX!D$3:D$1500,$R91) &amp;  " (" &amp; INDEX(TongVTSX!A$3:A$1500,$R91) &amp; ")",INDEX(TongVTSX!D$3:D$1500,$R91)))</f>
        <v/>
      </c>
      <c r="F91" s="874" t="str">
        <f ca="1">IF($R91="","",IF($S91&lt;&gt;NVLSX!$N$6492,INDEX(TongVTSX!E$3:E$1500,$R91),INDEX(TongVTSX!G$3:G$1500,$R91)))</f>
        <v/>
      </c>
      <c r="G91" s="730" t="str">
        <f ca="1">IF($R91="","",INDEX(TongVTSX!F$3:F$1500,$R91))</f>
        <v/>
      </c>
      <c r="H91" s="731">
        <f ca="1">IF($S91=$T$7,INDEX(TongVTSX!$K$3:$K$1500,$R91)/INDEX(TongVTSX!$G$3:$G$1500,$R91),IF($S91=$T$2,ROUNDUP(SUMPRODUCT((TongVTSX!$C$3:$C$1500=$D91)*(TongVTSX!$E$3:$E$1500=$F91)*(TongVTSX!$S$3:$S$1500=TongVTSX!$S$2)*(TongVTSX!$K$3:$K$1500))/$V91,0),SUMPRODUCT((TongVTSX!$C$3:$C$1500=$D91)*(TongVTSX!$E$3:$E$1500=$F91)*(TongVTSX!$S$3:$S$1500=TongVTSX!$S$2)*(TongVTSX!$K$3:$K$1500))))</f>
        <v>0</v>
      </c>
      <c r="I91" s="731">
        <f ca="1">IF($S91=$T$2,ROUNDUP(SUMPRODUCT((TongVTSX!$C$3:$C$1500=$D91)*(TongVTSX!$E$3:$E$1500=$F91)*(TongVTSX!$S$3:$S$1500=TongVTSX!$S$2)*(TongVTSX!$K$3:$K$1500))/$V91,2),0)</f>
        <v>0</v>
      </c>
      <c r="J91" s="731"/>
      <c r="K91" s="731"/>
      <c r="L91" s="732"/>
      <c r="M91" s="732" t="str">
        <f t="shared" ca="1" si="4"/>
        <v/>
      </c>
      <c r="N91" s="732"/>
      <c r="O91" s="732">
        <f ca="1">IF($S91=$T$7,INDEX(TongVTSX!$O$3:$O$1500,$R91),IF($S91=$T$2,INDEX(TongVTSX!$M$3:$M$1500,$R91)*$V91*$H91,SUMPRODUCT((TongVTSX!$C$3:$C$1500=$D91)*(TongVTSX!$E$3:$E$1500=$F91)*(TongVTSX!$S$3:$S$1500=TongVTSX!$S$2)*(TongVTSX!$O$3:$O$1500))))</f>
        <v>0</v>
      </c>
      <c r="P91" s="1150">
        <f ca="1">IF($S91=$T$7,INDEX(TongVTSX!$O$3:$O$1500,$R91),IF($S91=$T$2,INDEX(TongVTSX!$M$3:$M$1500,$R91)*$I91*$V91,SUMPRODUCT((TongVTSX!$C$3:$C$1500=$D91)*(TongVTSX!$E$3:$E$1500=$F91)*(TongVTSX!$S$3:$S$1500=TongVTSX!$S$2)*(TongVTSX!$O$3:$O$1500))))</f>
        <v>0</v>
      </c>
      <c r="Q91" s="1155" t="str">
        <f ca="1">IFERROR(INDEX(NVLSX!$AA$2:$AA$6756,MATCH($D91,NVLSX!$E$2:$E$6756,0)),"")</f>
        <v/>
      </c>
      <c r="R91" s="75" t="str">
        <f ca="1">IF(S91="","",IF(S91&lt;&gt;S90,IF(TYPE(MATCH(S91,TongVTSX!$Q$3:$Q$1500,0))=16,"",MATCH(S91,TongVTSX!$Q$3:$Q$1500,0)),IF(TYPE(MATCH(S91,OFFSET(TongVTSX!$Q$3,R90,0):'TongVTSX'!$Q$1500,0)+R90)=16,"",MATCH(S91,OFFSET(TongVTSX!$Q$3,R90,0):'TongVTSX'!$Q$1500,0)+R90)))</f>
        <v/>
      </c>
      <c r="S91" s="76" t="str">
        <f ca="1">IFERROR(IF(COUNTIF($S$3:S90,S90)&lt; INDEX($U$1:$U$7,MATCH($S90,$T$1:$T$7,0)),$S90,INDEX($T$1:$T$7,MATCH($S90,$T$1:$T$7,0)+1)),"")</f>
        <v/>
      </c>
      <c r="V91" s="1133" t="str">
        <f ca="1">IFERROR(INDEX(NVLSX!$U$2:$U$6941,MATCH($D91,NVLSX!$E$2:$E$6941,0)),"")</f>
        <v/>
      </c>
      <c r="W91" s="1143"/>
      <c r="X91" s="1143"/>
    </row>
    <row r="92" spans="1:24">
      <c r="A92" s="19" t="str">
        <f t="shared" ca="1" si="3"/>
        <v/>
      </c>
      <c r="B92" s="1146" t="str">
        <f ca="1">IFERROR(INDEX(NVLSX!$Y$2:$Y$6756,MATCH($D92,NVLSX!$E$2:$E$6756,0)),"")</f>
        <v/>
      </c>
      <c r="C92" s="1146" t="str">
        <f ca="1">IFERROR(INDEX(NVLSX!$Z$2:$Z$6756,MATCH($D92,NVLSX!$E$2:$E$6756,0)),"")</f>
        <v/>
      </c>
      <c r="D92" s="729" t="str">
        <f ca="1">IF($R92="","",INDEX(TongVTSX!C$3:C$1500,$R92))</f>
        <v/>
      </c>
      <c r="E92" s="729" t="str">
        <f ca="1">IF($R92="","",IF($S92=$T$7,INDEX(TongVTSX!D$3:D$1500,$R92) &amp;  " (" &amp; INDEX(TongVTSX!A$3:A$1500,$R92) &amp; ")",INDEX(TongVTSX!D$3:D$1500,$R92)))</f>
        <v/>
      </c>
      <c r="F92" s="874" t="str">
        <f ca="1">IF($R92="","",IF($S92&lt;&gt;NVLSX!$N$6492,INDEX(TongVTSX!E$3:E$1500,$R92),INDEX(TongVTSX!G$3:G$1500,$R92)))</f>
        <v/>
      </c>
      <c r="G92" s="730" t="str">
        <f ca="1">IF($R92="","",INDEX(TongVTSX!F$3:F$1500,$R92))</f>
        <v/>
      </c>
      <c r="H92" s="731">
        <f ca="1">IF($S92=$T$7,INDEX(TongVTSX!$K$3:$K$1500,$R92)/INDEX(TongVTSX!$G$3:$G$1500,$R92),IF($S92=$T$2,ROUNDUP(SUMPRODUCT((TongVTSX!$C$3:$C$1500=$D92)*(TongVTSX!$E$3:$E$1500=$F92)*(TongVTSX!$S$3:$S$1500=TongVTSX!$S$2)*(TongVTSX!$K$3:$K$1500))/$V92,0),SUMPRODUCT((TongVTSX!$C$3:$C$1500=$D92)*(TongVTSX!$E$3:$E$1500=$F92)*(TongVTSX!$S$3:$S$1500=TongVTSX!$S$2)*(TongVTSX!$K$3:$K$1500))))</f>
        <v>0</v>
      </c>
      <c r="I92" s="731">
        <f ca="1">IF($S92=$T$2,ROUNDUP(SUMPRODUCT((TongVTSX!$C$3:$C$1500=$D92)*(TongVTSX!$E$3:$E$1500=$F92)*(TongVTSX!$S$3:$S$1500=TongVTSX!$S$2)*(TongVTSX!$K$3:$K$1500))/$V92,2),0)</f>
        <v>0</v>
      </c>
      <c r="J92" s="731"/>
      <c r="K92" s="731"/>
      <c r="L92" s="732"/>
      <c r="M92" s="732" t="str">
        <f t="shared" ca="1" si="4"/>
        <v/>
      </c>
      <c r="N92" s="732"/>
      <c r="O92" s="732">
        <f ca="1">IF($S92=$T$7,INDEX(TongVTSX!$O$3:$O$1500,$R92),IF($S92=$T$2,INDEX(TongVTSX!$M$3:$M$1500,$R92)*$V92*$H92,SUMPRODUCT((TongVTSX!$C$3:$C$1500=$D92)*(TongVTSX!$E$3:$E$1500=$F92)*(TongVTSX!$S$3:$S$1500=TongVTSX!$S$2)*(TongVTSX!$O$3:$O$1500))))</f>
        <v>0</v>
      </c>
      <c r="P92" s="1150">
        <f ca="1">IF($S92=$T$7,INDEX(TongVTSX!$O$3:$O$1500,$R92),IF($S92=$T$2,INDEX(TongVTSX!$M$3:$M$1500,$R92)*$I92*$V92,SUMPRODUCT((TongVTSX!$C$3:$C$1500=$D92)*(TongVTSX!$E$3:$E$1500=$F92)*(TongVTSX!$S$3:$S$1500=TongVTSX!$S$2)*(TongVTSX!$O$3:$O$1500))))</f>
        <v>0</v>
      </c>
      <c r="Q92" s="1155" t="str">
        <f ca="1">IFERROR(INDEX(NVLSX!$AA$2:$AA$6756,MATCH($D92,NVLSX!$E$2:$E$6756,0)),"")</f>
        <v/>
      </c>
      <c r="R92" s="75" t="str">
        <f ca="1">IF(S92="","",IF(S92&lt;&gt;S91,IF(TYPE(MATCH(S92,TongVTSX!$Q$3:$Q$1500,0))=16,"",MATCH(S92,TongVTSX!$Q$3:$Q$1500,0)),IF(TYPE(MATCH(S92,OFFSET(TongVTSX!$Q$3,R91,0):'TongVTSX'!$Q$1500,0)+R91)=16,"",MATCH(S92,OFFSET(TongVTSX!$Q$3,R91,0):'TongVTSX'!$Q$1500,0)+R91)))</f>
        <v/>
      </c>
      <c r="S92" s="76" t="str">
        <f ca="1">IFERROR(IF(COUNTIF($S$3:S91,S91)&lt; INDEX($U$1:$U$7,MATCH($S91,$T$1:$T$7,0)),$S91,INDEX($T$1:$T$7,MATCH($S91,$T$1:$T$7,0)+1)),"")</f>
        <v/>
      </c>
      <c r="V92" s="1133" t="str">
        <f ca="1">IFERROR(INDEX(NVLSX!$U$2:$U$6941,MATCH($D92,NVLSX!$E$2:$E$6941,0)),"")</f>
        <v/>
      </c>
      <c r="W92" s="1143"/>
      <c r="X92" s="1143"/>
    </row>
    <row r="93" spans="1:24">
      <c r="A93" s="19" t="str">
        <f t="shared" ca="1" si="3"/>
        <v/>
      </c>
      <c r="B93" s="1146" t="str">
        <f ca="1">IFERROR(INDEX(NVLSX!$Y$2:$Y$6756,MATCH($D93,NVLSX!$E$2:$E$6756,0)),"")</f>
        <v/>
      </c>
      <c r="C93" s="1146" t="str">
        <f ca="1">IFERROR(INDEX(NVLSX!$Z$2:$Z$6756,MATCH($D93,NVLSX!$E$2:$E$6756,0)),"")</f>
        <v/>
      </c>
      <c r="D93" s="729" t="str">
        <f ca="1">IF($R93="","",INDEX(TongVTSX!C$3:C$1500,$R93))</f>
        <v/>
      </c>
      <c r="E93" s="729" t="str">
        <f ca="1">IF($R93="","",IF($S93=$T$7,INDEX(TongVTSX!D$3:D$1500,$R93) &amp;  " (" &amp; INDEX(TongVTSX!A$3:A$1500,$R93) &amp; ")",INDEX(TongVTSX!D$3:D$1500,$R93)))</f>
        <v/>
      </c>
      <c r="F93" s="874" t="str">
        <f ca="1">IF($R93="","",IF($S93&lt;&gt;NVLSX!$N$6492,INDEX(TongVTSX!E$3:E$1500,$R93),INDEX(TongVTSX!G$3:G$1500,$R93)))</f>
        <v/>
      </c>
      <c r="G93" s="730" t="str">
        <f ca="1">IF($R93="","",INDEX(TongVTSX!F$3:F$1500,$R93))</f>
        <v/>
      </c>
      <c r="H93" s="731">
        <f ca="1">IF($S93=$T$7,INDEX(TongVTSX!$K$3:$K$1500,$R93)/INDEX(TongVTSX!$G$3:$G$1500,$R93),IF($S93=$T$2,ROUNDUP(SUMPRODUCT((TongVTSX!$C$3:$C$1500=$D93)*(TongVTSX!$E$3:$E$1500=$F93)*(TongVTSX!$S$3:$S$1500=TongVTSX!$S$2)*(TongVTSX!$K$3:$K$1500))/$V93,0),SUMPRODUCT((TongVTSX!$C$3:$C$1500=$D93)*(TongVTSX!$E$3:$E$1500=$F93)*(TongVTSX!$S$3:$S$1500=TongVTSX!$S$2)*(TongVTSX!$K$3:$K$1500))))</f>
        <v>0</v>
      </c>
      <c r="I93" s="731">
        <f ca="1">IF($S93=$T$2,ROUNDUP(SUMPRODUCT((TongVTSX!$C$3:$C$1500=$D93)*(TongVTSX!$E$3:$E$1500=$F93)*(TongVTSX!$S$3:$S$1500=TongVTSX!$S$2)*(TongVTSX!$K$3:$K$1500))/$V93,2),0)</f>
        <v>0</v>
      </c>
      <c r="J93" s="731"/>
      <c r="K93" s="731"/>
      <c r="L93" s="732"/>
      <c r="M93" s="732" t="str">
        <f t="shared" ca="1" si="4"/>
        <v/>
      </c>
      <c r="N93" s="732"/>
      <c r="O93" s="732">
        <f ca="1">IF($S93=$T$7,INDEX(TongVTSX!$O$3:$O$1500,$R93),IF($S93=$T$2,INDEX(TongVTSX!$M$3:$M$1500,$R93)*$V93*$H93,SUMPRODUCT((TongVTSX!$C$3:$C$1500=$D93)*(TongVTSX!$E$3:$E$1500=$F93)*(TongVTSX!$S$3:$S$1500=TongVTSX!$S$2)*(TongVTSX!$O$3:$O$1500))))</f>
        <v>0</v>
      </c>
      <c r="P93" s="1150">
        <f ca="1">IF($S93=$T$7,INDEX(TongVTSX!$O$3:$O$1500,$R93),IF($S93=$T$2,INDEX(TongVTSX!$M$3:$M$1500,$R93)*$I93*$V93,SUMPRODUCT((TongVTSX!$C$3:$C$1500=$D93)*(TongVTSX!$E$3:$E$1500=$F93)*(TongVTSX!$S$3:$S$1500=TongVTSX!$S$2)*(TongVTSX!$O$3:$O$1500))))</f>
        <v>0</v>
      </c>
      <c r="Q93" s="1155" t="str">
        <f ca="1">IFERROR(INDEX(NVLSX!$AA$2:$AA$6756,MATCH($D93,NVLSX!$E$2:$E$6756,0)),"")</f>
        <v/>
      </c>
      <c r="R93" s="75" t="str">
        <f ca="1">IF(S93="","",IF(S93&lt;&gt;S92,IF(TYPE(MATCH(S93,TongVTSX!$Q$3:$Q$1500,0))=16,"",MATCH(S93,TongVTSX!$Q$3:$Q$1500,0)),IF(TYPE(MATCH(S93,OFFSET(TongVTSX!$Q$3,R92,0):'TongVTSX'!$Q$1500,0)+R92)=16,"",MATCH(S93,OFFSET(TongVTSX!$Q$3,R92,0):'TongVTSX'!$Q$1500,0)+R92)))</f>
        <v/>
      </c>
      <c r="S93" s="76" t="str">
        <f ca="1">IFERROR(IF(COUNTIF($S$3:S92,S92)&lt; INDEX($U$1:$U$7,MATCH($S92,$T$1:$T$7,0)),$S92,INDEX($T$1:$T$7,MATCH($S92,$T$1:$T$7,0)+1)),"")</f>
        <v/>
      </c>
      <c r="V93" s="1133" t="str">
        <f ca="1">IFERROR(INDEX(NVLSX!$U$2:$U$6941,MATCH($D93,NVLSX!$E$2:$E$6941,0)),"")</f>
        <v/>
      </c>
      <c r="W93" s="1143"/>
      <c r="X93" s="1143"/>
    </row>
    <row r="94" spans="1:24">
      <c r="A94" s="19" t="str">
        <f t="shared" ca="1" si="3"/>
        <v/>
      </c>
      <c r="B94" s="1146" t="str">
        <f ca="1">IFERROR(INDEX(NVLSX!$Y$2:$Y$6756,MATCH($D94,NVLSX!$E$2:$E$6756,0)),"")</f>
        <v/>
      </c>
      <c r="C94" s="1146" t="str">
        <f ca="1">IFERROR(INDEX(NVLSX!$Z$2:$Z$6756,MATCH($D94,NVLSX!$E$2:$E$6756,0)),"")</f>
        <v/>
      </c>
      <c r="D94" s="729" t="str">
        <f ca="1">IF($R94="","",INDEX(TongVTSX!C$3:C$1500,$R94))</f>
        <v/>
      </c>
      <c r="E94" s="729" t="str">
        <f ca="1">IF($R94="","",IF($S94=$T$7,INDEX(TongVTSX!D$3:D$1500,$R94) &amp;  " (" &amp; INDEX(TongVTSX!A$3:A$1500,$R94) &amp; ")",INDEX(TongVTSX!D$3:D$1500,$R94)))</f>
        <v/>
      </c>
      <c r="F94" s="874" t="str">
        <f ca="1">IF($R94="","",IF($S94&lt;&gt;NVLSX!$N$6492,INDEX(TongVTSX!E$3:E$1500,$R94),INDEX(TongVTSX!G$3:G$1500,$R94)))</f>
        <v/>
      </c>
      <c r="G94" s="730" t="str">
        <f ca="1">IF($R94="","",INDEX(TongVTSX!F$3:F$1500,$R94))</f>
        <v/>
      </c>
      <c r="H94" s="731">
        <f ca="1">IF($S94=$T$7,INDEX(TongVTSX!$K$3:$K$1500,$R94)/INDEX(TongVTSX!$G$3:$G$1500,$R94),IF($S94=$T$2,ROUNDUP(SUMPRODUCT((TongVTSX!$C$3:$C$1500=$D94)*(TongVTSX!$E$3:$E$1500=$F94)*(TongVTSX!$S$3:$S$1500=TongVTSX!$S$2)*(TongVTSX!$K$3:$K$1500))/$V94,0),SUMPRODUCT((TongVTSX!$C$3:$C$1500=$D94)*(TongVTSX!$E$3:$E$1500=$F94)*(TongVTSX!$S$3:$S$1500=TongVTSX!$S$2)*(TongVTSX!$K$3:$K$1500))))</f>
        <v>0</v>
      </c>
      <c r="I94" s="731">
        <f ca="1">IF($S94=$T$2,ROUNDUP(SUMPRODUCT((TongVTSX!$C$3:$C$1500=$D94)*(TongVTSX!$E$3:$E$1500=$F94)*(TongVTSX!$S$3:$S$1500=TongVTSX!$S$2)*(TongVTSX!$K$3:$K$1500))/$V94,2),0)</f>
        <v>0</v>
      </c>
      <c r="J94" s="731"/>
      <c r="K94" s="731"/>
      <c r="L94" s="732"/>
      <c r="M94" s="732" t="str">
        <f t="shared" ca="1" si="4"/>
        <v/>
      </c>
      <c r="N94" s="732"/>
      <c r="O94" s="732">
        <f ca="1">IF($S94=$T$7,INDEX(TongVTSX!$O$3:$O$1500,$R94),IF($S94=$T$2,INDEX(TongVTSX!$M$3:$M$1500,$R94)*$V94*$H94,SUMPRODUCT((TongVTSX!$C$3:$C$1500=$D94)*(TongVTSX!$E$3:$E$1500=$F94)*(TongVTSX!$S$3:$S$1500=TongVTSX!$S$2)*(TongVTSX!$O$3:$O$1500))))</f>
        <v>0</v>
      </c>
      <c r="P94" s="1150">
        <f ca="1">IF($S94=$T$7,INDEX(TongVTSX!$O$3:$O$1500,$R94),IF($S94=$T$2,INDEX(TongVTSX!$M$3:$M$1500,$R94)*$I94*$V94,SUMPRODUCT((TongVTSX!$C$3:$C$1500=$D94)*(TongVTSX!$E$3:$E$1500=$F94)*(TongVTSX!$S$3:$S$1500=TongVTSX!$S$2)*(TongVTSX!$O$3:$O$1500))))</f>
        <v>0</v>
      </c>
      <c r="Q94" s="1155" t="str">
        <f ca="1">IFERROR(INDEX(NVLSX!$AA$2:$AA$6756,MATCH($D94,NVLSX!$E$2:$E$6756,0)),"")</f>
        <v/>
      </c>
      <c r="R94" s="75" t="str">
        <f ca="1">IF(S94="","",IF(S94&lt;&gt;S93,IF(TYPE(MATCH(S94,TongVTSX!$Q$3:$Q$1500,0))=16,"",MATCH(S94,TongVTSX!$Q$3:$Q$1500,0)),IF(TYPE(MATCH(S94,OFFSET(TongVTSX!$Q$3,R93,0):'TongVTSX'!$Q$1500,0)+R93)=16,"",MATCH(S94,OFFSET(TongVTSX!$Q$3,R93,0):'TongVTSX'!$Q$1500,0)+R93)))</f>
        <v/>
      </c>
      <c r="S94" s="76" t="str">
        <f ca="1">IFERROR(IF(COUNTIF($S$3:S93,S93)&lt; INDEX($U$1:$U$7,MATCH($S93,$T$1:$T$7,0)),$S93,INDEX($T$1:$T$7,MATCH($S93,$T$1:$T$7,0)+1)),"")</f>
        <v/>
      </c>
      <c r="V94" s="1133" t="str">
        <f ca="1">IFERROR(INDEX(NVLSX!$U$2:$U$6941,MATCH($D94,NVLSX!$E$2:$E$6941,0)),"")</f>
        <v/>
      </c>
      <c r="W94" s="1143"/>
      <c r="X94" s="1143"/>
    </row>
    <row r="95" spans="1:24">
      <c r="A95" s="19" t="str">
        <f t="shared" ca="1" si="3"/>
        <v/>
      </c>
      <c r="B95" s="1146" t="str">
        <f ca="1">IFERROR(INDEX(NVLSX!$Y$2:$Y$6756,MATCH($D95,NVLSX!$E$2:$E$6756,0)),"")</f>
        <v/>
      </c>
      <c r="C95" s="1146" t="str">
        <f ca="1">IFERROR(INDEX(NVLSX!$Z$2:$Z$6756,MATCH($D95,NVLSX!$E$2:$E$6756,0)),"")</f>
        <v/>
      </c>
      <c r="D95" s="729" t="str">
        <f ca="1">IF($R95="","",INDEX(TongVTSX!C$3:C$1500,$R95))</f>
        <v/>
      </c>
      <c r="E95" s="729" t="str">
        <f ca="1">IF($R95="","",IF($S95=$T$7,INDEX(TongVTSX!D$3:D$1500,$R95) &amp;  " (" &amp; INDEX(TongVTSX!A$3:A$1500,$R95) &amp; ")",INDEX(TongVTSX!D$3:D$1500,$R95)))</f>
        <v/>
      </c>
      <c r="F95" s="874" t="str">
        <f ca="1">IF($R95="","",IF($S95&lt;&gt;NVLSX!$N$6492,INDEX(TongVTSX!E$3:E$1500,$R95),INDEX(TongVTSX!G$3:G$1500,$R95)))</f>
        <v/>
      </c>
      <c r="G95" s="730" t="str">
        <f ca="1">IF($R95="","",INDEX(TongVTSX!F$3:F$1500,$R95))</f>
        <v/>
      </c>
      <c r="H95" s="731">
        <f ca="1">IF($S95=$T$7,INDEX(TongVTSX!$K$3:$K$1500,$R95)/INDEX(TongVTSX!$G$3:$G$1500,$R95),IF($S95=$T$2,ROUNDUP(SUMPRODUCT((TongVTSX!$C$3:$C$1500=$D95)*(TongVTSX!$E$3:$E$1500=$F95)*(TongVTSX!$S$3:$S$1500=TongVTSX!$S$2)*(TongVTSX!$K$3:$K$1500))/$V95,0),SUMPRODUCT((TongVTSX!$C$3:$C$1500=$D95)*(TongVTSX!$E$3:$E$1500=$F95)*(TongVTSX!$S$3:$S$1500=TongVTSX!$S$2)*(TongVTSX!$K$3:$K$1500))))</f>
        <v>0</v>
      </c>
      <c r="I95" s="731">
        <f ca="1">IF($S95=$T$2,ROUNDUP(SUMPRODUCT((TongVTSX!$C$3:$C$1500=$D95)*(TongVTSX!$E$3:$E$1500=$F95)*(TongVTSX!$S$3:$S$1500=TongVTSX!$S$2)*(TongVTSX!$K$3:$K$1500))/$V95,2),0)</f>
        <v>0</v>
      </c>
      <c r="J95" s="731"/>
      <c r="K95" s="731"/>
      <c r="L95" s="732"/>
      <c r="M95" s="732" t="str">
        <f t="shared" ca="1" si="4"/>
        <v/>
      </c>
      <c r="N95" s="732"/>
      <c r="O95" s="732">
        <f ca="1">IF($S95=$T$7,INDEX(TongVTSX!$O$3:$O$1500,$R95),IF($S95=$T$2,INDEX(TongVTSX!$M$3:$M$1500,$R95)*$V95*$H95,SUMPRODUCT((TongVTSX!$C$3:$C$1500=$D95)*(TongVTSX!$E$3:$E$1500=$F95)*(TongVTSX!$S$3:$S$1500=TongVTSX!$S$2)*(TongVTSX!$O$3:$O$1500))))</f>
        <v>0</v>
      </c>
      <c r="P95" s="1150">
        <f ca="1">IF($S95=$T$7,INDEX(TongVTSX!$O$3:$O$1500,$R95),IF($S95=$T$2,INDEX(TongVTSX!$M$3:$M$1500,$R95)*$I95*$V95,SUMPRODUCT((TongVTSX!$C$3:$C$1500=$D95)*(TongVTSX!$E$3:$E$1500=$F95)*(TongVTSX!$S$3:$S$1500=TongVTSX!$S$2)*(TongVTSX!$O$3:$O$1500))))</f>
        <v>0</v>
      </c>
      <c r="Q95" s="1155" t="str">
        <f ca="1">IFERROR(INDEX(NVLSX!$AA$2:$AA$6756,MATCH($D95,NVLSX!$E$2:$E$6756,0)),"")</f>
        <v/>
      </c>
      <c r="R95" s="75" t="str">
        <f ca="1">IF(S95="","",IF(S95&lt;&gt;S94,IF(TYPE(MATCH(S95,TongVTSX!$Q$3:$Q$1500,0))=16,"",MATCH(S95,TongVTSX!$Q$3:$Q$1500,0)),IF(TYPE(MATCH(S95,OFFSET(TongVTSX!$Q$3,R94,0):'TongVTSX'!$Q$1500,0)+R94)=16,"",MATCH(S95,OFFSET(TongVTSX!$Q$3,R94,0):'TongVTSX'!$Q$1500,0)+R94)))</f>
        <v/>
      </c>
      <c r="S95" s="76" t="str">
        <f ca="1">IFERROR(IF(COUNTIF($S$3:S94,S94)&lt; INDEX($U$1:$U$7,MATCH($S94,$T$1:$T$7,0)),$S94,INDEX($T$1:$T$7,MATCH($S94,$T$1:$T$7,0)+1)),"")</f>
        <v/>
      </c>
      <c r="V95" s="1133" t="str">
        <f ca="1">IFERROR(INDEX(NVLSX!$U$2:$U$6941,MATCH($D95,NVLSX!$E$2:$E$6941,0)),"")</f>
        <v/>
      </c>
      <c r="W95" s="1143"/>
      <c r="X95" s="1143"/>
    </row>
    <row r="96" spans="1:24">
      <c r="A96" s="19" t="str">
        <f t="shared" ca="1" si="3"/>
        <v/>
      </c>
      <c r="B96" s="1146" t="str">
        <f ca="1">IFERROR(INDEX(NVLSX!$Y$2:$Y$6756,MATCH($D96,NVLSX!$E$2:$E$6756,0)),"")</f>
        <v/>
      </c>
      <c r="C96" s="1146" t="str">
        <f ca="1">IFERROR(INDEX(NVLSX!$Z$2:$Z$6756,MATCH($D96,NVLSX!$E$2:$E$6756,0)),"")</f>
        <v/>
      </c>
      <c r="D96" s="729" t="str">
        <f ca="1">IF($R96="","",INDEX(TongVTSX!C$3:C$1500,$R96))</f>
        <v/>
      </c>
      <c r="E96" s="729" t="str">
        <f ca="1">IF($R96="","",IF($S96=$T$7,INDEX(TongVTSX!D$3:D$1500,$R96) &amp;  " (" &amp; INDEX(TongVTSX!A$3:A$1500,$R96) &amp; ")",INDEX(TongVTSX!D$3:D$1500,$R96)))</f>
        <v/>
      </c>
      <c r="F96" s="874" t="str">
        <f ca="1">IF($R96="","",IF($S96&lt;&gt;NVLSX!$N$6492,INDEX(TongVTSX!E$3:E$1500,$R96),INDEX(TongVTSX!G$3:G$1500,$R96)))</f>
        <v/>
      </c>
      <c r="G96" s="730" t="str">
        <f ca="1">IF($R96="","",INDEX(TongVTSX!F$3:F$1500,$R96))</f>
        <v/>
      </c>
      <c r="H96" s="731">
        <f ca="1">IF($S96=$T$7,INDEX(TongVTSX!$K$3:$K$1500,$R96)/INDEX(TongVTSX!$G$3:$G$1500,$R96),IF($S96=$T$2,ROUNDUP(SUMPRODUCT((TongVTSX!$C$3:$C$1500=$D96)*(TongVTSX!$E$3:$E$1500=$F96)*(TongVTSX!$S$3:$S$1500=TongVTSX!$S$2)*(TongVTSX!$K$3:$K$1500))/$V96,0),SUMPRODUCT((TongVTSX!$C$3:$C$1500=$D96)*(TongVTSX!$E$3:$E$1500=$F96)*(TongVTSX!$S$3:$S$1500=TongVTSX!$S$2)*(TongVTSX!$K$3:$K$1500))))</f>
        <v>0</v>
      </c>
      <c r="I96" s="731">
        <f ca="1">IF($S96=$T$2,ROUNDUP(SUMPRODUCT((TongVTSX!$C$3:$C$1500=$D96)*(TongVTSX!$E$3:$E$1500=$F96)*(TongVTSX!$S$3:$S$1500=TongVTSX!$S$2)*(TongVTSX!$K$3:$K$1500))/$V96,2),0)</f>
        <v>0</v>
      </c>
      <c r="J96" s="731"/>
      <c r="K96" s="731"/>
      <c r="L96" s="732"/>
      <c r="M96" s="732" t="str">
        <f t="shared" ca="1" si="4"/>
        <v/>
      </c>
      <c r="N96" s="732"/>
      <c r="O96" s="732">
        <f ca="1">IF($S96=$T$7,INDEX(TongVTSX!$O$3:$O$1500,$R96),IF($S96=$T$2,INDEX(TongVTSX!$M$3:$M$1500,$R96)*$V96*$H96,SUMPRODUCT((TongVTSX!$C$3:$C$1500=$D96)*(TongVTSX!$E$3:$E$1500=$F96)*(TongVTSX!$S$3:$S$1500=TongVTSX!$S$2)*(TongVTSX!$O$3:$O$1500))))</f>
        <v>0</v>
      </c>
      <c r="P96" s="1150">
        <f ca="1">IF($S96=$T$7,INDEX(TongVTSX!$O$3:$O$1500,$R96),IF($S96=$T$2,INDEX(TongVTSX!$M$3:$M$1500,$R96)*$I96*$V96,SUMPRODUCT((TongVTSX!$C$3:$C$1500=$D96)*(TongVTSX!$E$3:$E$1500=$F96)*(TongVTSX!$S$3:$S$1500=TongVTSX!$S$2)*(TongVTSX!$O$3:$O$1500))))</f>
        <v>0</v>
      </c>
      <c r="Q96" s="1155" t="str">
        <f ca="1">IFERROR(INDEX(NVLSX!$AA$2:$AA$6756,MATCH($D96,NVLSX!$E$2:$E$6756,0)),"")</f>
        <v/>
      </c>
      <c r="R96" s="75" t="str">
        <f ca="1">IF(S96="","",IF(S96&lt;&gt;S95,IF(TYPE(MATCH(S96,TongVTSX!$Q$3:$Q$1500,0))=16,"",MATCH(S96,TongVTSX!$Q$3:$Q$1500,0)),IF(TYPE(MATCH(S96,OFFSET(TongVTSX!$Q$3,R95,0):'TongVTSX'!$Q$1500,0)+R95)=16,"",MATCH(S96,OFFSET(TongVTSX!$Q$3,R95,0):'TongVTSX'!$Q$1500,0)+R95)))</f>
        <v/>
      </c>
      <c r="S96" s="76" t="str">
        <f ca="1">IFERROR(IF(COUNTIF($S$3:S95,S95)&lt; INDEX($U$1:$U$7,MATCH($S95,$T$1:$T$7,0)),$S95,INDEX($T$1:$T$7,MATCH($S95,$T$1:$T$7,0)+1)),"")</f>
        <v/>
      </c>
      <c r="V96" s="1133" t="str">
        <f ca="1">IFERROR(INDEX(NVLSX!$U$2:$U$6941,MATCH($D96,NVLSX!$E$2:$E$6941,0)),"")</f>
        <v/>
      </c>
      <c r="W96" s="1143"/>
      <c r="X96" s="1143"/>
    </row>
    <row r="97" spans="1:24">
      <c r="A97" s="19" t="str">
        <f t="shared" ca="1" si="3"/>
        <v/>
      </c>
      <c r="B97" s="1146" t="str">
        <f ca="1">IFERROR(INDEX(NVLSX!$Y$2:$Y$6756,MATCH($D97,NVLSX!$E$2:$E$6756,0)),"")</f>
        <v/>
      </c>
      <c r="C97" s="1146" t="str">
        <f ca="1">IFERROR(INDEX(NVLSX!$Z$2:$Z$6756,MATCH($D97,NVLSX!$E$2:$E$6756,0)),"")</f>
        <v/>
      </c>
      <c r="D97" s="729" t="str">
        <f ca="1">IF($R97="","",INDEX(TongVTSX!C$3:C$1500,$R97))</f>
        <v/>
      </c>
      <c r="E97" s="729" t="str">
        <f ca="1">IF($R97="","",IF($S97=$T$7,INDEX(TongVTSX!D$3:D$1500,$R97) &amp;  " (" &amp; INDEX(TongVTSX!A$3:A$1500,$R97) &amp; ")",INDEX(TongVTSX!D$3:D$1500,$R97)))</f>
        <v/>
      </c>
      <c r="F97" s="874" t="str">
        <f ca="1">IF($R97="","",IF($S97&lt;&gt;NVLSX!$N$6492,INDEX(TongVTSX!E$3:E$1500,$R97),INDEX(TongVTSX!G$3:G$1500,$R97)))</f>
        <v/>
      </c>
      <c r="G97" s="730" t="str">
        <f ca="1">IF($R97="","",INDEX(TongVTSX!F$3:F$1500,$R97))</f>
        <v/>
      </c>
      <c r="H97" s="731">
        <f ca="1">IF($S97=$T$7,INDEX(TongVTSX!$K$3:$K$1500,$R97)/INDEX(TongVTSX!$G$3:$G$1500,$R97),IF($S97=$T$2,ROUNDUP(SUMPRODUCT((TongVTSX!$C$3:$C$1500=$D97)*(TongVTSX!$E$3:$E$1500=$F97)*(TongVTSX!$S$3:$S$1500=TongVTSX!$S$2)*(TongVTSX!$K$3:$K$1500))/$V97,0),SUMPRODUCT((TongVTSX!$C$3:$C$1500=$D97)*(TongVTSX!$E$3:$E$1500=$F97)*(TongVTSX!$S$3:$S$1500=TongVTSX!$S$2)*(TongVTSX!$K$3:$K$1500))))</f>
        <v>0</v>
      </c>
      <c r="I97" s="731">
        <f ca="1">IF($S97=$T$2,ROUNDUP(SUMPRODUCT((TongVTSX!$C$3:$C$1500=$D97)*(TongVTSX!$E$3:$E$1500=$F97)*(TongVTSX!$S$3:$S$1500=TongVTSX!$S$2)*(TongVTSX!$K$3:$K$1500))/$V97,2),0)</f>
        <v>0</v>
      </c>
      <c r="J97" s="731"/>
      <c r="K97" s="731"/>
      <c r="L97" s="732"/>
      <c r="M97" s="732" t="str">
        <f t="shared" ca="1" si="4"/>
        <v/>
      </c>
      <c r="N97" s="732"/>
      <c r="O97" s="732">
        <f ca="1">IF($S97=$T$7,INDEX(TongVTSX!$O$3:$O$1500,$R97),IF($S97=$T$2,INDEX(TongVTSX!$M$3:$M$1500,$R97)*$V97*$H97,SUMPRODUCT((TongVTSX!$C$3:$C$1500=$D97)*(TongVTSX!$E$3:$E$1500=$F97)*(TongVTSX!$S$3:$S$1500=TongVTSX!$S$2)*(TongVTSX!$O$3:$O$1500))))</f>
        <v>0</v>
      </c>
      <c r="P97" s="1150">
        <f ca="1">IF($S97=$T$7,INDEX(TongVTSX!$O$3:$O$1500,$R97),IF($S97=$T$2,INDEX(TongVTSX!$M$3:$M$1500,$R97)*$I97*$V97,SUMPRODUCT((TongVTSX!$C$3:$C$1500=$D97)*(TongVTSX!$E$3:$E$1500=$F97)*(TongVTSX!$S$3:$S$1500=TongVTSX!$S$2)*(TongVTSX!$O$3:$O$1500))))</f>
        <v>0</v>
      </c>
      <c r="Q97" s="1155" t="str">
        <f ca="1">IFERROR(INDEX(NVLSX!$AA$2:$AA$6756,MATCH($D97,NVLSX!$E$2:$E$6756,0)),"")</f>
        <v/>
      </c>
      <c r="R97" s="75" t="str">
        <f ca="1">IF(S97="","",IF(S97&lt;&gt;S96,IF(TYPE(MATCH(S97,TongVTSX!$Q$3:$Q$1500,0))=16,"",MATCH(S97,TongVTSX!$Q$3:$Q$1500,0)),IF(TYPE(MATCH(S97,OFFSET(TongVTSX!$Q$3,R96,0):'TongVTSX'!$Q$1500,0)+R96)=16,"",MATCH(S97,OFFSET(TongVTSX!$Q$3,R96,0):'TongVTSX'!$Q$1500,0)+R96)))</f>
        <v/>
      </c>
      <c r="S97" s="76" t="str">
        <f ca="1">IFERROR(IF(COUNTIF($S$3:S96,S96)&lt; INDEX($U$1:$U$7,MATCH($S96,$T$1:$T$7,0)),$S96,INDEX($T$1:$T$7,MATCH($S96,$T$1:$T$7,0)+1)),"")</f>
        <v/>
      </c>
      <c r="V97" s="1133" t="str">
        <f ca="1">IFERROR(INDEX(NVLSX!$U$2:$U$6941,MATCH($D97,NVLSX!$E$2:$E$6941,0)),"")</f>
        <v/>
      </c>
      <c r="W97" s="1143"/>
      <c r="X97" s="1143"/>
    </row>
    <row r="98" spans="1:24">
      <c r="A98" s="19" t="str">
        <f t="shared" ca="1" si="3"/>
        <v/>
      </c>
      <c r="B98" s="1146" t="str">
        <f ca="1">IFERROR(INDEX(NVLSX!$Y$2:$Y$6756,MATCH($D98,NVLSX!$E$2:$E$6756,0)),"")</f>
        <v/>
      </c>
      <c r="C98" s="1146" t="str">
        <f ca="1">IFERROR(INDEX(NVLSX!$Z$2:$Z$6756,MATCH($D98,NVLSX!$E$2:$E$6756,0)),"")</f>
        <v/>
      </c>
      <c r="D98" s="729" t="str">
        <f ca="1">IF($R98="","",INDEX(TongVTSX!C$3:C$1500,$R98))</f>
        <v/>
      </c>
      <c r="E98" s="729" t="str">
        <f ca="1">IF($R98="","",IF($S98=$T$7,INDEX(TongVTSX!D$3:D$1500,$R98) &amp;  " (" &amp; INDEX(TongVTSX!A$3:A$1500,$R98) &amp; ")",INDEX(TongVTSX!D$3:D$1500,$R98)))</f>
        <v/>
      </c>
      <c r="F98" s="874" t="str">
        <f ca="1">IF($R98="","",IF($S98&lt;&gt;NVLSX!$N$6492,INDEX(TongVTSX!E$3:E$1500,$R98),INDEX(TongVTSX!G$3:G$1500,$R98)))</f>
        <v/>
      </c>
      <c r="G98" s="730" t="str">
        <f ca="1">IF($R98="","",INDEX(TongVTSX!F$3:F$1500,$R98))</f>
        <v/>
      </c>
      <c r="H98" s="731">
        <f ca="1">IF($S98=$T$7,INDEX(TongVTSX!$K$3:$K$1500,$R98)/INDEX(TongVTSX!$G$3:$G$1500,$R98),IF($S98=$T$2,ROUNDUP(SUMPRODUCT((TongVTSX!$C$3:$C$1500=$D98)*(TongVTSX!$E$3:$E$1500=$F98)*(TongVTSX!$S$3:$S$1500=TongVTSX!$S$2)*(TongVTSX!$K$3:$K$1500))/$V98,0),SUMPRODUCT((TongVTSX!$C$3:$C$1500=$D98)*(TongVTSX!$E$3:$E$1500=$F98)*(TongVTSX!$S$3:$S$1500=TongVTSX!$S$2)*(TongVTSX!$K$3:$K$1500))))</f>
        <v>0</v>
      </c>
      <c r="I98" s="731">
        <f ca="1">IF($S98=$T$2,ROUNDUP(SUMPRODUCT((TongVTSX!$C$3:$C$1500=$D98)*(TongVTSX!$E$3:$E$1500=$F98)*(TongVTSX!$S$3:$S$1500=TongVTSX!$S$2)*(TongVTSX!$K$3:$K$1500))/$V98,2),0)</f>
        <v>0</v>
      </c>
      <c r="J98" s="731"/>
      <c r="K98" s="731"/>
      <c r="L98" s="732"/>
      <c r="M98" s="732" t="str">
        <f t="shared" ca="1" si="4"/>
        <v/>
      </c>
      <c r="N98" s="732"/>
      <c r="O98" s="732">
        <f ca="1">IF($S98=$T$7,INDEX(TongVTSX!$O$3:$O$1500,$R98),IF($S98=$T$2,INDEX(TongVTSX!$M$3:$M$1500,$R98)*$V98*$H98,SUMPRODUCT((TongVTSX!$C$3:$C$1500=$D98)*(TongVTSX!$E$3:$E$1500=$F98)*(TongVTSX!$S$3:$S$1500=TongVTSX!$S$2)*(TongVTSX!$O$3:$O$1500))))</f>
        <v>0</v>
      </c>
      <c r="P98" s="1150">
        <f ca="1">IF($S98=$T$7,INDEX(TongVTSX!$O$3:$O$1500,$R98),IF($S98=$T$2,INDEX(TongVTSX!$M$3:$M$1500,$R98)*$I98*$V98,SUMPRODUCT((TongVTSX!$C$3:$C$1500=$D98)*(TongVTSX!$E$3:$E$1500=$F98)*(TongVTSX!$S$3:$S$1500=TongVTSX!$S$2)*(TongVTSX!$O$3:$O$1500))))</f>
        <v>0</v>
      </c>
      <c r="Q98" s="1155" t="str">
        <f ca="1">IFERROR(INDEX(NVLSX!$AA$2:$AA$6756,MATCH($D98,NVLSX!$E$2:$E$6756,0)),"")</f>
        <v/>
      </c>
      <c r="R98" s="75" t="str">
        <f ca="1">IF(S98="","",IF(S98&lt;&gt;S97,IF(TYPE(MATCH(S98,TongVTSX!$Q$3:$Q$1500,0))=16,"",MATCH(S98,TongVTSX!$Q$3:$Q$1500,0)),IF(TYPE(MATCH(S98,OFFSET(TongVTSX!$Q$3,R97,0):'TongVTSX'!$Q$1500,0)+R97)=16,"",MATCH(S98,OFFSET(TongVTSX!$Q$3,R97,0):'TongVTSX'!$Q$1500,0)+R97)))</f>
        <v/>
      </c>
      <c r="S98" s="76" t="str">
        <f ca="1">IFERROR(IF(COUNTIF($S$3:S97,S97)&lt; INDEX($U$1:$U$7,MATCH($S97,$T$1:$T$7,0)),$S97,INDEX($T$1:$T$7,MATCH($S97,$T$1:$T$7,0)+1)),"")</f>
        <v/>
      </c>
      <c r="V98" s="1133" t="str">
        <f ca="1">IFERROR(INDEX(NVLSX!$U$2:$U$6941,MATCH($D98,NVLSX!$E$2:$E$6941,0)),"")</f>
        <v/>
      </c>
      <c r="W98" s="1143"/>
      <c r="X98" s="1143"/>
    </row>
    <row r="99" spans="1:24">
      <c r="A99" s="19" t="str">
        <f t="shared" ref="A99:A130" ca="1" si="5">IF($S99="","",IF($S99&lt;&gt;$S98,1,$A98+1))</f>
        <v/>
      </c>
      <c r="B99" s="1146" t="str">
        <f ca="1">IFERROR(INDEX(NVLSX!$Y$2:$Y$6756,MATCH($D99,NVLSX!$E$2:$E$6756,0)),"")</f>
        <v/>
      </c>
      <c r="C99" s="1146" t="str">
        <f ca="1">IFERROR(INDEX(NVLSX!$Z$2:$Z$6756,MATCH($D99,NVLSX!$E$2:$E$6756,0)),"")</f>
        <v/>
      </c>
      <c r="D99" s="729" t="str">
        <f ca="1">IF($R99="","",INDEX(TongVTSX!C$3:C$1500,$R99))</f>
        <v/>
      </c>
      <c r="E99" s="729" t="str">
        <f ca="1">IF($R99="","",IF($S99=$T$7,INDEX(TongVTSX!D$3:D$1500,$R99) &amp;  " (" &amp; INDEX(TongVTSX!A$3:A$1500,$R99) &amp; ")",INDEX(TongVTSX!D$3:D$1500,$R99)))</f>
        <v/>
      </c>
      <c r="F99" s="874" t="str">
        <f ca="1">IF($R99="","",IF($S99&lt;&gt;NVLSX!$N$6492,INDEX(TongVTSX!E$3:E$1500,$R99),INDEX(TongVTSX!G$3:G$1500,$R99)))</f>
        <v/>
      </c>
      <c r="G99" s="730" t="str">
        <f ca="1">IF($R99="","",INDEX(TongVTSX!F$3:F$1500,$R99))</f>
        <v/>
      </c>
      <c r="H99" s="731">
        <f ca="1">IF($S99=$T$7,INDEX(TongVTSX!$K$3:$K$1500,$R99)/INDEX(TongVTSX!$G$3:$G$1500,$R99),IF($S99=$T$2,ROUNDUP(SUMPRODUCT((TongVTSX!$C$3:$C$1500=$D99)*(TongVTSX!$E$3:$E$1500=$F99)*(TongVTSX!$S$3:$S$1500=TongVTSX!$S$2)*(TongVTSX!$K$3:$K$1500))/$V99,0),SUMPRODUCT((TongVTSX!$C$3:$C$1500=$D99)*(TongVTSX!$E$3:$E$1500=$F99)*(TongVTSX!$S$3:$S$1500=TongVTSX!$S$2)*(TongVTSX!$K$3:$K$1500))))</f>
        <v>0</v>
      </c>
      <c r="I99" s="731">
        <f ca="1">IF($S99=$T$2,ROUNDUP(SUMPRODUCT((TongVTSX!$C$3:$C$1500=$D99)*(TongVTSX!$E$3:$E$1500=$F99)*(TongVTSX!$S$3:$S$1500=TongVTSX!$S$2)*(TongVTSX!$K$3:$K$1500))/$V99,2),0)</f>
        <v>0</v>
      </c>
      <c r="J99" s="731"/>
      <c r="K99" s="731"/>
      <c r="L99" s="732"/>
      <c r="M99" s="732" t="str">
        <f t="shared" ca="1" si="4"/>
        <v/>
      </c>
      <c r="N99" s="732"/>
      <c r="O99" s="732">
        <f ca="1">IF($S99=$T$7,INDEX(TongVTSX!$O$3:$O$1500,$R99),IF($S99=$T$2,INDEX(TongVTSX!$M$3:$M$1500,$R99)*$V99*$H99,SUMPRODUCT((TongVTSX!$C$3:$C$1500=$D99)*(TongVTSX!$E$3:$E$1500=$F99)*(TongVTSX!$S$3:$S$1500=TongVTSX!$S$2)*(TongVTSX!$O$3:$O$1500))))</f>
        <v>0</v>
      </c>
      <c r="P99" s="1150">
        <f ca="1">IF($S99=$T$7,INDEX(TongVTSX!$O$3:$O$1500,$R99),IF($S99=$T$2,INDEX(TongVTSX!$M$3:$M$1500,$R99)*$I99*$V99,SUMPRODUCT((TongVTSX!$C$3:$C$1500=$D99)*(TongVTSX!$E$3:$E$1500=$F99)*(TongVTSX!$S$3:$S$1500=TongVTSX!$S$2)*(TongVTSX!$O$3:$O$1500))))</f>
        <v>0</v>
      </c>
      <c r="Q99" s="1155" t="str">
        <f ca="1">IFERROR(INDEX(NVLSX!$AA$2:$AA$6756,MATCH($D99,NVLSX!$E$2:$E$6756,0)),"")</f>
        <v/>
      </c>
      <c r="R99" s="75" t="str">
        <f ca="1">IF(S99="","",IF(S99&lt;&gt;S98,IF(TYPE(MATCH(S99,TongVTSX!$Q$3:$Q$1500,0))=16,"",MATCH(S99,TongVTSX!$Q$3:$Q$1500,0)),IF(TYPE(MATCH(S99,OFFSET(TongVTSX!$Q$3,R98,0):'TongVTSX'!$Q$1500,0)+R98)=16,"",MATCH(S99,OFFSET(TongVTSX!$Q$3,R98,0):'TongVTSX'!$Q$1500,0)+R98)))</f>
        <v/>
      </c>
      <c r="S99" s="76" t="str">
        <f ca="1">IFERROR(IF(COUNTIF($S$3:S98,S98)&lt; INDEX($U$1:$U$7,MATCH($S98,$T$1:$T$7,0)),$S98,INDEX($T$1:$T$7,MATCH($S98,$T$1:$T$7,0)+1)),"")</f>
        <v/>
      </c>
      <c r="V99" s="1133" t="str">
        <f ca="1">IFERROR(INDEX(NVLSX!$U$2:$U$6941,MATCH($D99,NVLSX!$E$2:$E$6941,0)),"")</f>
        <v/>
      </c>
      <c r="W99" s="1143"/>
      <c r="X99" s="1143"/>
    </row>
    <row r="100" spans="1:24">
      <c r="A100" s="19" t="str">
        <f t="shared" ca="1" si="5"/>
        <v/>
      </c>
      <c r="B100" s="1146" t="str">
        <f ca="1">IFERROR(INDEX(NVLSX!$Y$2:$Y$6756,MATCH($D100,NVLSX!$E$2:$E$6756,0)),"")</f>
        <v/>
      </c>
      <c r="C100" s="1146" t="str">
        <f ca="1">IFERROR(INDEX(NVLSX!$Z$2:$Z$6756,MATCH($D100,NVLSX!$E$2:$E$6756,0)),"")</f>
        <v/>
      </c>
      <c r="D100" s="729" t="str">
        <f ca="1">IF($R100="","",INDEX(TongVTSX!C$3:C$1500,$R100))</f>
        <v/>
      </c>
      <c r="E100" s="729" t="str">
        <f ca="1">IF($R100="","",IF($S100=$T$7,INDEX(TongVTSX!D$3:D$1500,$R100) &amp;  " (" &amp; INDEX(TongVTSX!A$3:A$1500,$R100) &amp; ")",INDEX(TongVTSX!D$3:D$1500,$R100)))</f>
        <v/>
      </c>
      <c r="F100" s="874" t="str">
        <f ca="1">IF($R100="","",IF($S100&lt;&gt;NVLSX!$N$6492,INDEX(TongVTSX!E$3:E$1500,$R100),INDEX(TongVTSX!G$3:G$1500,$R100)))</f>
        <v/>
      </c>
      <c r="G100" s="730" t="str">
        <f ca="1">IF($R100="","",INDEX(TongVTSX!F$3:F$1500,$R100))</f>
        <v/>
      </c>
      <c r="H100" s="731">
        <f ca="1">IF($S100=$T$7,INDEX(TongVTSX!$K$3:$K$1500,$R100)/INDEX(TongVTSX!$G$3:$G$1500,$R100),IF($S100=$T$2,ROUNDUP(SUMPRODUCT((TongVTSX!$C$3:$C$1500=$D100)*(TongVTSX!$E$3:$E$1500=$F100)*(TongVTSX!$S$3:$S$1500=TongVTSX!$S$2)*(TongVTSX!$K$3:$K$1500))/$V100,0),SUMPRODUCT((TongVTSX!$C$3:$C$1500=$D100)*(TongVTSX!$E$3:$E$1500=$F100)*(TongVTSX!$S$3:$S$1500=TongVTSX!$S$2)*(TongVTSX!$K$3:$K$1500))))</f>
        <v>0</v>
      </c>
      <c r="I100" s="731">
        <f ca="1">IF($S100=$T$2,ROUNDUP(SUMPRODUCT((TongVTSX!$C$3:$C$1500=$D100)*(TongVTSX!$E$3:$E$1500=$F100)*(TongVTSX!$S$3:$S$1500=TongVTSX!$S$2)*(TongVTSX!$K$3:$K$1500))/$V100,2),0)</f>
        <v>0</v>
      </c>
      <c r="J100" s="731"/>
      <c r="K100" s="731"/>
      <c r="L100" s="732"/>
      <c r="M100" s="732" t="str">
        <f t="shared" ca="1" si="4"/>
        <v/>
      </c>
      <c r="N100" s="732"/>
      <c r="O100" s="732">
        <f ca="1">IF($S100=$T$7,INDEX(TongVTSX!$O$3:$O$1500,$R100),IF($S100=$T$2,INDEX(TongVTSX!$M$3:$M$1500,$R100)*$V100*$H100,SUMPRODUCT((TongVTSX!$C$3:$C$1500=$D100)*(TongVTSX!$E$3:$E$1500=$F100)*(TongVTSX!$S$3:$S$1500=TongVTSX!$S$2)*(TongVTSX!$O$3:$O$1500))))</f>
        <v>0</v>
      </c>
      <c r="P100" s="1150">
        <f ca="1">IF($S100=$T$7,INDEX(TongVTSX!$O$3:$O$1500,$R100),IF($S100=$T$2,INDEX(TongVTSX!$M$3:$M$1500,$R100)*$I100*$V100,SUMPRODUCT((TongVTSX!$C$3:$C$1500=$D100)*(TongVTSX!$E$3:$E$1500=$F100)*(TongVTSX!$S$3:$S$1500=TongVTSX!$S$2)*(TongVTSX!$O$3:$O$1500))))</f>
        <v>0</v>
      </c>
      <c r="Q100" s="1155" t="str">
        <f ca="1">IFERROR(INDEX(NVLSX!$AA$2:$AA$6756,MATCH($D100,NVLSX!$E$2:$E$6756,0)),"")</f>
        <v/>
      </c>
      <c r="R100" s="75" t="str">
        <f ca="1">IF(S100="","",IF(S100&lt;&gt;S99,IF(TYPE(MATCH(S100,TongVTSX!$Q$3:$Q$1500,0))=16,"",MATCH(S100,TongVTSX!$Q$3:$Q$1500,0)),IF(TYPE(MATCH(S100,OFFSET(TongVTSX!$Q$3,R99,0):'TongVTSX'!$Q$1500,0)+R99)=16,"",MATCH(S100,OFFSET(TongVTSX!$Q$3,R99,0):'TongVTSX'!$Q$1500,0)+R99)))</f>
        <v/>
      </c>
      <c r="S100" s="76" t="str">
        <f ca="1">IFERROR(IF(COUNTIF($S$3:S99,S99)&lt; INDEX($U$1:$U$7,MATCH($S99,$T$1:$T$7,0)),$S99,INDEX($T$1:$T$7,MATCH($S99,$T$1:$T$7,0)+1)),"")</f>
        <v/>
      </c>
      <c r="V100" s="1133" t="str">
        <f ca="1">IFERROR(INDEX(NVLSX!$U$2:$U$6941,MATCH($D100,NVLSX!$E$2:$E$6941,0)),"")</f>
        <v/>
      </c>
      <c r="W100" s="1143"/>
      <c r="X100" s="1143"/>
    </row>
    <row r="101" spans="1:24">
      <c r="A101" s="19" t="str">
        <f t="shared" ca="1" si="5"/>
        <v/>
      </c>
      <c r="B101" s="1146" t="str">
        <f ca="1">IFERROR(INDEX(NVLSX!$Y$2:$Y$6756,MATCH($D101,NVLSX!$E$2:$E$6756,0)),"")</f>
        <v/>
      </c>
      <c r="C101" s="1146" t="str">
        <f ca="1">IFERROR(INDEX(NVLSX!$Z$2:$Z$6756,MATCH($D101,NVLSX!$E$2:$E$6756,0)),"")</f>
        <v/>
      </c>
      <c r="D101" s="729" t="str">
        <f ca="1">IF($R101="","",INDEX(TongVTSX!C$3:C$1500,$R101))</f>
        <v/>
      </c>
      <c r="E101" s="729" t="str">
        <f ca="1">IF($R101="","",IF($S101=$T$7,INDEX(TongVTSX!D$3:D$1500,$R101) &amp;  " (" &amp; INDEX(TongVTSX!A$3:A$1500,$R101) &amp; ")",INDEX(TongVTSX!D$3:D$1500,$R101)))</f>
        <v/>
      </c>
      <c r="F101" s="874" t="str">
        <f ca="1">IF($R101="","",IF($S101&lt;&gt;NVLSX!$N$6492,INDEX(TongVTSX!E$3:E$1500,$R101),INDEX(TongVTSX!G$3:G$1500,$R101)))</f>
        <v/>
      </c>
      <c r="G101" s="730" t="str">
        <f ca="1">IF($R101="","",INDEX(TongVTSX!F$3:F$1500,$R101))</f>
        <v/>
      </c>
      <c r="H101" s="731">
        <f ca="1">IF($S101=$T$7,INDEX(TongVTSX!$K$3:$K$1500,$R101)/INDEX(TongVTSX!$G$3:$G$1500,$R101),IF($S101=$T$2,ROUNDUP(SUMPRODUCT((TongVTSX!$C$3:$C$1500=$D101)*(TongVTSX!$E$3:$E$1500=$F101)*(TongVTSX!$S$3:$S$1500=TongVTSX!$S$2)*(TongVTSX!$K$3:$K$1500))/$V101,0),SUMPRODUCT((TongVTSX!$C$3:$C$1500=$D101)*(TongVTSX!$E$3:$E$1500=$F101)*(TongVTSX!$S$3:$S$1500=TongVTSX!$S$2)*(TongVTSX!$K$3:$K$1500))))</f>
        <v>0</v>
      </c>
      <c r="I101" s="731">
        <f ca="1">IF($S101=$T$2,ROUNDUP(SUMPRODUCT((TongVTSX!$C$3:$C$1500=$D101)*(TongVTSX!$E$3:$E$1500=$F101)*(TongVTSX!$S$3:$S$1500=TongVTSX!$S$2)*(TongVTSX!$K$3:$K$1500))/$V101,2),0)</f>
        <v>0</v>
      </c>
      <c r="J101" s="731"/>
      <c r="K101" s="731"/>
      <c r="L101" s="732"/>
      <c r="M101" s="732" t="str">
        <f t="shared" ca="1" si="4"/>
        <v/>
      </c>
      <c r="N101" s="732"/>
      <c r="O101" s="732">
        <f ca="1">IF($S101=$T$7,INDEX(TongVTSX!$O$3:$O$1500,$R101),IF($S101=$T$2,INDEX(TongVTSX!$M$3:$M$1500,$R101)*$V101*$H101,SUMPRODUCT((TongVTSX!$C$3:$C$1500=$D101)*(TongVTSX!$E$3:$E$1500=$F101)*(TongVTSX!$S$3:$S$1500=TongVTSX!$S$2)*(TongVTSX!$O$3:$O$1500))))</f>
        <v>0</v>
      </c>
      <c r="P101" s="1150">
        <f ca="1">IF($S101=$T$7,INDEX(TongVTSX!$O$3:$O$1500,$R101),IF($S101=$T$2,INDEX(TongVTSX!$M$3:$M$1500,$R101)*$I101*$V101,SUMPRODUCT((TongVTSX!$C$3:$C$1500=$D101)*(TongVTSX!$E$3:$E$1500=$F101)*(TongVTSX!$S$3:$S$1500=TongVTSX!$S$2)*(TongVTSX!$O$3:$O$1500))))</f>
        <v>0</v>
      </c>
      <c r="Q101" s="1155" t="str">
        <f ca="1">IFERROR(INDEX(NVLSX!$AA$2:$AA$6756,MATCH($D101,NVLSX!$E$2:$E$6756,0)),"")</f>
        <v/>
      </c>
      <c r="R101" s="75" t="str">
        <f ca="1">IF(S101="","",IF(S101&lt;&gt;S100,IF(TYPE(MATCH(S101,TongVTSX!$Q$3:$Q$1500,0))=16,"",MATCH(S101,TongVTSX!$Q$3:$Q$1500,0)),IF(TYPE(MATCH(S101,OFFSET(TongVTSX!$Q$3,R100,0):'TongVTSX'!$Q$1500,0)+R100)=16,"",MATCH(S101,OFFSET(TongVTSX!$Q$3,R100,0):'TongVTSX'!$Q$1500,0)+R100)))</f>
        <v/>
      </c>
      <c r="S101" s="76" t="str">
        <f ca="1">IFERROR(IF(COUNTIF($S$3:S100,S100)&lt; INDEX($U$1:$U$7,MATCH($S100,$T$1:$T$7,0)),$S100,INDEX($T$1:$T$7,MATCH($S100,$T$1:$T$7,0)+1)),"")</f>
        <v/>
      </c>
      <c r="V101" s="1133" t="str">
        <f ca="1">IFERROR(INDEX(NVLSX!$U$2:$U$6941,MATCH($D101,NVLSX!$E$2:$E$6941,0)),"")</f>
        <v/>
      </c>
      <c r="W101" s="1143"/>
      <c r="X101" s="1143"/>
    </row>
    <row r="102" spans="1:24">
      <c r="A102" s="19" t="str">
        <f t="shared" ca="1" si="5"/>
        <v/>
      </c>
      <c r="B102" s="1146" t="str">
        <f ca="1">IFERROR(INDEX(NVLSX!$Y$2:$Y$6756,MATCH($D102,NVLSX!$E$2:$E$6756,0)),"")</f>
        <v/>
      </c>
      <c r="C102" s="1146" t="str">
        <f ca="1">IFERROR(INDEX(NVLSX!$Z$2:$Z$6756,MATCH($D102,NVLSX!$E$2:$E$6756,0)),"")</f>
        <v/>
      </c>
      <c r="D102" s="729" t="str">
        <f ca="1">IF($R102="","",INDEX(TongVTSX!C$3:C$1500,$R102))</f>
        <v/>
      </c>
      <c r="E102" s="729" t="str">
        <f ca="1">IF($R102="","",IF($S102=$T$7,INDEX(TongVTSX!D$3:D$1500,$R102) &amp;  " (" &amp; INDEX(TongVTSX!A$3:A$1500,$R102) &amp; ")",INDEX(TongVTSX!D$3:D$1500,$R102)))</f>
        <v/>
      </c>
      <c r="F102" s="874" t="str">
        <f ca="1">IF($R102="","",IF($S102&lt;&gt;NVLSX!$N$6492,INDEX(TongVTSX!E$3:E$1500,$R102),INDEX(TongVTSX!G$3:G$1500,$R102)))</f>
        <v/>
      </c>
      <c r="G102" s="730" t="str">
        <f ca="1">IF($R102="","",INDEX(TongVTSX!F$3:F$1500,$R102))</f>
        <v/>
      </c>
      <c r="H102" s="731">
        <f ca="1">IF($S102=$T$7,INDEX(TongVTSX!$K$3:$K$1500,$R102)/INDEX(TongVTSX!$G$3:$G$1500,$R102),IF($S102=$T$2,ROUNDUP(SUMPRODUCT((TongVTSX!$C$3:$C$1500=$D102)*(TongVTSX!$E$3:$E$1500=$F102)*(TongVTSX!$S$3:$S$1500=TongVTSX!$S$2)*(TongVTSX!$K$3:$K$1500))/$V102,0),SUMPRODUCT((TongVTSX!$C$3:$C$1500=$D102)*(TongVTSX!$E$3:$E$1500=$F102)*(TongVTSX!$S$3:$S$1500=TongVTSX!$S$2)*(TongVTSX!$K$3:$K$1500))))</f>
        <v>0</v>
      </c>
      <c r="I102" s="731">
        <f ca="1">IF($S102=$T$2,ROUNDUP(SUMPRODUCT((TongVTSX!$C$3:$C$1500=$D102)*(TongVTSX!$E$3:$E$1500=$F102)*(TongVTSX!$S$3:$S$1500=TongVTSX!$S$2)*(TongVTSX!$K$3:$K$1500))/$V102,2),0)</f>
        <v>0</v>
      </c>
      <c r="J102" s="731"/>
      <c r="K102" s="731"/>
      <c r="L102" s="732"/>
      <c r="M102" s="732" t="str">
        <f t="shared" ca="1" si="4"/>
        <v/>
      </c>
      <c r="N102" s="732"/>
      <c r="O102" s="732">
        <f ca="1">IF($S102=$T$7,INDEX(TongVTSX!$O$3:$O$1500,$R102),IF($S102=$T$2,INDEX(TongVTSX!$M$3:$M$1500,$R102)*$V102*$H102,SUMPRODUCT((TongVTSX!$C$3:$C$1500=$D102)*(TongVTSX!$E$3:$E$1500=$F102)*(TongVTSX!$S$3:$S$1500=TongVTSX!$S$2)*(TongVTSX!$O$3:$O$1500))))</f>
        <v>0</v>
      </c>
      <c r="P102" s="1150">
        <f ca="1">IF($S102=$T$7,INDEX(TongVTSX!$O$3:$O$1500,$R102),IF($S102=$T$2,INDEX(TongVTSX!$M$3:$M$1500,$R102)*$I102*$V102,SUMPRODUCT((TongVTSX!$C$3:$C$1500=$D102)*(TongVTSX!$E$3:$E$1500=$F102)*(TongVTSX!$S$3:$S$1500=TongVTSX!$S$2)*(TongVTSX!$O$3:$O$1500))))</f>
        <v>0</v>
      </c>
      <c r="Q102" s="1155" t="str">
        <f ca="1">IFERROR(INDEX(NVLSX!$AA$2:$AA$6756,MATCH($D102,NVLSX!$E$2:$E$6756,0)),"")</f>
        <v/>
      </c>
      <c r="R102" s="75" t="str">
        <f ca="1">IF(S102="","",IF(S102&lt;&gt;S101,IF(TYPE(MATCH(S102,TongVTSX!$Q$3:$Q$1500,0))=16,"",MATCH(S102,TongVTSX!$Q$3:$Q$1500,0)),IF(TYPE(MATCH(S102,OFFSET(TongVTSX!$Q$3,R101,0):'TongVTSX'!$Q$1500,0)+R101)=16,"",MATCH(S102,OFFSET(TongVTSX!$Q$3,R101,0):'TongVTSX'!$Q$1500,0)+R101)))</f>
        <v/>
      </c>
      <c r="S102" s="76" t="str">
        <f ca="1">IFERROR(IF(COUNTIF($S$3:S101,S101)&lt; INDEX($U$1:$U$7,MATCH($S101,$T$1:$T$7,0)),$S101,INDEX($T$1:$T$7,MATCH($S101,$T$1:$T$7,0)+1)),"")</f>
        <v/>
      </c>
      <c r="V102" s="1133" t="str">
        <f ca="1">IFERROR(INDEX(NVLSX!$U$2:$U$6941,MATCH($D102,NVLSX!$E$2:$E$6941,0)),"")</f>
        <v/>
      </c>
      <c r="W102" s="1143"/>
      <c r="X102" s="1143"/>
    </row>
    <row r="103" spans="1:24">
      <c r="A103" s="19" t="str">
        <f t="shared" ca="1" si="5"/>
        <v/>
      </c>
      <c r="B103" s="1146" t="str">
        <f ca="1">IFERROR(INDEX(NVLSX!$Y$2:$Y$6756,MATCH($D103,NVLSX!$E$2:$E$6756,0)),"")</f>
        <v/>
      </c>
      <c r="C103" s="1146" t="str">
        <f ca="1">IFERROR(INDEX(NVLSX!$Z$2:$Z$6756,MATCH($D103,NVLSX!$E$2:$E$6756,0)),"")</f>
        <v/>
      </c>
      <c r="D103" s="729" t="str">
        <f ca="1">IF($R103="","",INDEX(TongVTSX!C$3:C$1500,$R103))</f>
        <v/>
      </c>
      <c r="E103" s="729" t="str">
        <f ca="1">IF($R103="","",IF($S103=$T$7,INDEX(TongVTSX!D$3:D$1500,$R103) &amp;  " (" &amp; INDEX(TongVTSX!A$3:A$1500,$R103) &amp; ")",INDEX(TongVTSX!D$3:D$1500,$R103)))</f>
        <v/>
      </c>
      <c r="F103" s="874" t="str">
        <f ca="1">IF($R103="","",IF($S103&lt;&gt;NVLSX!$N$6492,INDEX(TongVTSX!E$3:E$1500,$R103),INDEX(TongVTSX!G$3:G$1500,$R103)))</f>
        <v/>
      </c>
      <c r="G103" s="730" t="str">
        <f ca="1">IF($R103="","",INDEX(TongVTSX!F$3:F$1500,$R103))</f>
        <v/>
      </c>
      <c r="H103" s="731">
        <f ca="1">IF($S103=$T$7,INDEX(TongVTSX!$K$3:$K$1500,$R103)/INDEX(TongVTSX!$G$3:$G$1500,$R103),IF($S103=$T$2,ROUNDUP(SUMPRODUCT((TongVTSX!$C$3:$C$1500=$D103)*(TongVTSX!$E$3:$E$1500=$F103)*(TongVTSX!$S$3:$S$1500=TongVTSX!$S$2)*(TongVTSX!$K$3:$K$1500))/$V103,0),SUMPRODUCT((TongVTSX!$C$3:$C$1500=$D103)*(TongVTSX!$E$3:$E$1500=$F103)*(TongVTSX!$S$3:$S$1500=TongVTSX!$S$2)*(TongVTSX!$K$3:$K$1500))))</f>
        <v>0</v>
      </c>
      <c r="I103" s="731">
        <f ca="1">IF($S103=$T$2,ROUNDUP(SUMPRODUCT((TongVTSX!$C$3:$C$1500=$D103)*(TongVTSX!$E$3:$E$1500=$F103)*(TongVTSX!$S$3:$S$1500=TongVTSX!$S$2)*(TongVTSX!$K$3:$K$1500))/$V103,2),0)</f>
        <v>0</v>
      </c>
      <c r="J103" s="731"/>
      <c r="K103" s="731"/>
      <c r="L103" s="732"/>
      <c r="M103" s="732" t="str">
        <f t="shared" ca="1" si="4"/>
        <v/>
      </c>
      <c r="N103" s="732"/>
      <c r="O103" s="732">
        <f ca="1">IF($S103=$T$7,INDEX(TongVTSX!$O$3:$O$1500,$R103),IF($S103=$T$2,INDEX(TongVTSX!$M$3:$M$1500,$R103)*$V103*$H103,SUMPRODUCT((TongVTSX!$C$3:$C$1500=$D103)*(TongVTSX!$E$3:$E$1500=$F103)*(TongVTSX!$S$3:$S$1500=TongVTSX!$S$2)*(TongVTSX!$O$3:$O$1500))))</f>
        <v>0</v>
      </c>
      <c r="P103" s="1150">
        <f ca="1">IF($S103=$T$7,INDEX(TongVTSX!$O$3:$O$1500,$R103),IF($S103=$T$2,INDEX(TongVTSX!$M$3:$M$1500,$R103)*$I103*$V103,SUMPRODUCT((TongVTSX!$C$3:$C$1500=$D103)*(TongVTSX!$E$3:$E$1500=$F103)*(TongVTSX!$S$3:$S$1500=TongVTSX!$S$2)*(TongVTSX!$O$3:$O$1500))))</f>
        <v>0</v>
      </c>
      <c r="Q103" s="1155" t="str">
        <f ca="1">IFERROR(INDEX(NVLSX!$AA$2:$AA$6756,MATCH($D103,NVLSX!$E$2:$E$6756,0)),"")</f>
        <v/>
      </c>
      <c r="R103" s="75" t="str">
        <f ca="1">IF(S103="","",IF(S103&lt;&gt;S102,IF(TYPE(MATCH(S103,TongVTSX!$Q$3:$Q$1500,0))=16,"",MATCH(S103,TongVTSX!$Q$3:$Q$1500,0)),IF(TYPE(MATCH(S103,OFFSET(TongVTSX!$Q$3,R102,0):'TongVTSX'!$Q$1500,0)+R102)=16,"",MATCH(S103,OFFSET(TongVTSX!$Q$3,R102,0):'TongVTSX'!$Q$1500,0)+R102)))</f>
        <v/>
      </c>
      <c r="S103" s="76" t="str">
        <f ca="1">IFERROR(IF(COUNTIF($S$3:S102,S102)&lt; INDEX($U$1:$U$7,MATCH($S102,$T$1:$T$7,0)),$S102,INDEX($T$1:$T$7,MATCH($S102,$T$1:$T$7,0)+1)),"")</f>
        <v/>
      </c>
      <c r="V103" s="1133" t="str">
        <f ca="1">IFERROR(INDEX(NVLSX!$U$2:$U$6941,MATCH($D103,NVLSX!$E$2:$E$6941,0)),"")</f>
        <v/>
      </c>
      <c r="W103" s="1143"/>
      <c r="X103" s="1143"/>
    </row>
    <row r="104" spans="1:24">
      <c r="A104" s="19" t="str">
        <f t="shared" ca="1" si="5"/>
        <v/>
      </c>
      <c r="B104" s="1146" t="str">
        <f ca="1">IFERROR(INDEX(NVLSX!$Y$2:$Y$6756,MATCH($D104,NVLSX!$E$2:$E$6756,0)),"")</f>
        <v/>
      </c>
      <c r="C104" s="1146" t="str">
        <f ca="1">IFERROR(INDEX(NVLSX!$Z$2:$Z$6756,MATCH($D104,NVLSX!$E$2:$E$6756,0)),"")</f>
        <v/>
      </c>
      <c r="D104" s="729" t="str">
        <f ca="1">IF($R104="","",INDEX(TongVTSX!C$3:C$1500,$R104))</f>
        <v/>
      </c>
      <c r="E104" s="729" t="str">
        <f ca="1">IF($R104="","",IF($S104=$T$7,INDEX(TongVTSX!D$3:D$1500,$R104) &amp;  " (" &amp; INDEX(TongVTSX!A$3:A$1500,$R104) &amp; ")",INDEX(TongVTSX!D$3:D$1500,$R104)))</f>
        <v/>
      </c>
      <c r="F104" s="874" t="str">
        <f ca="1">IF($R104="","",IF($S104&lt;&gt;NVLSX!$N$6492,INDEX(TongVTSX!E$3:E$1500,$R104),INDEX(TongVTSX!G$3:G$1500,$R104)))</f>
        <v/>
      </c>
      <c r="G104" s="730" t="str">
        <f ca="1">IF($R104="","",INDEX(TongVTSX!F$3:F$1500,$R104))</f>
        <v/>
      </c>
      <c r="H104" s="731">
        <f ca="1">IF($S104=$T$7,INDEX(TongVTSX!$K$3:$K$1500,$R104)/INDEX(TongVTSX!$G$3:$G$1500,$R104),IF($S104=$T$2,ROUNDUP(SUMPRODUCT((TongVTSX!$C$3:$C$1500=$D104)*(TongVTSX!$E$3:$E$1500=$F104)*(TongVTSX!$S$3:$S$1500=TongVTSX!$S$2)*(TongVTSX!$K$3:$K$1500))/$V104,0),SUMPRODUCT((TongVTSX!$C$3:$C$1500=$D104)*(TongVTSX!$E$3:$E$1500=$F104)*(TongVTSX!$S$3:$S$1500=TongVTSX!$S$2)*(TongVTSX!$K$3:$K$1500))))</f>
        <v>0</v>
      </c>
      <c r="I104" s="731">
        <f ca="1">IF($S104=$T$2,ROUNDUP(SUMPRODUCT((TongVTSX!$C$3:$C$1500=$D104)*(TongVTSX!$E$3:$E$1500=$F104)*(TongVTSX!$S$3:$S$1500=TongVTSX!$S$2)*(TongVTSX!$K$3:$K$1500))/$V104,2),0)</f>
        <v>0</v>
      </c>
      <c r="J104" s="731"/>
      <c r="K104" s="731"/>
      <c r="L104" s="732"/>
      <c r="M104" s="732" t="str">
        <f t="shared" ca="1" si="4"/>
        <v/>
      </c>
      <c r="N104" s="732"/>
      <c r="O104" s="732">
        <f ca="1">IF($S104=$T$7,INDEX(TongVTSX!$O$3:$O$1500,$R104),IF($S104=$T$2,INDEX(TongVTSX!$M$3:$M$1500,$R104)*$V104*$H104,SUMPRODUCT((TongVTSX!$C$3:$C$1500=$D104)*(TongVTSX!$E$3:$E$1500=$F104)*(TongVTSX!$S$3:$S$1500=TongVTSX!$S$2)*(TongVTSX!$O$3:$O$1500))))</f>
        <v>0</v>
      </c>
      <c r="P104" s="1150">
        <f ca="1">IF($S104=$T$7,INDEX(TongVTSX!$O$3:$O$1500,$R104),IF($S104=$T$2,INDEX(TongVTSX!$M$3:$M$1500,$R104)*$I104*$V104,SUMPRODUCT((TongVTSX!$C$3:$C$1500=$D104)*(TongVTSX!$E$3:$E$1500=$F104)*(TongVTSX!$S$3:$S$1500=TongVTSX!$S$2)*(TongVTSX!$O$3:$O$1500))))</f>
        <v>0</v>
      </c>
      <c r="Q104" s="1155" t="str">
        <f ca="1">IFERROR(INDEX(NVLSX!$AA$2:$AA$6756,MATCH($D104,NVLSX!$E$2:$E$6756,0)),"")</f>
        <v/>
      </c>
      <c r="R104" s="75" t="str">
        <f ca="1">IF(S104="","",IF(S104&lt;&gt;S103,IF(TYPE(MATCH(S104,TongVTSX!$Q$3:$Q$1500,0))=16,"",MATCH(S104,TongVTSX!$Q$3:$Q$1500,0)),IF(TYPE(MATCH(S104,OFFSET(TongVTSX!$Q$3,R103,0):'TongVTSX'!$Q$1500,0)+R103)=16,"",MATCH(S104,OFFSET(TongVTSX!$Q$3,R103,0):'TongVTSX'!$Q$1500,0)+R103)))</f>
        <v/>
      </c>
      <c r="S104" s="76" t="str">
        <f ca="1">IFERROR(IF(COUNTIF($S$3:S103,S103)&lt; INDEX($U$1:$U$7,MATCH($S103,$T$1:$T$7,0)),$S103,INDEX($T$1:$T$7,MATCH($S103,$T$1:$T$7,0)+1)),"")</f>
        <v/>
      </c>
      <c r="V104" s="1133" t="str">
        <f ca="1">IFERROR(INDEX(NVLSX!$U$2:$U$6941,MATCH($D104,NVLSX!$E$2:$E$6941,0)),"")</f>
        <v/>
      </c>
      <c r="W104" s="1143"/>
      <c r="X104" s="1143"/>
    </row>
    <row r="105" spans="1:24">
      <c r="A105" s="19" t="str">
        <f t="shared" ca="1" si="5"/>
        <v/>
      </c>
      <c r="B105" s="1146" t="str">
        <f ca="1">IFERROR(INDEX(NVLSX!$Y$2:$Y$6756,MATCH($D105,NVLSX!$E$2:$E$6756,0)),"")</f>
        <v/>
      </c>
      <c r="C105" s="1146" t="str">
        <f ca="1">IFERROR(INDEX(NVLSX!$Z$2:$Z$6756,MATCH($D105,NVLSX!$E$2:$E$6756,0)),"")</f>
        <v/>
      </c>
      <c r="D105" s="729" t="str">
        <f ca="1">IF($R105="","",INDEX(TongVTSX!C$3:C$1500,$R105))</f>
        <v/>
      </c>
      <c r="E105" s="729" t="str">
        <f ca="1">IF($R105="","",IF($S105=$T$7,INDEX(TongVTSX!D$3:D$1500,$R105) &amp;  " (" &amp; INDEX(TongVTSX!A$3:A$1500,$R105) &amp; ")",INDEX(TongVTSX!D$3:D$1500,$R105)))</f>
        <v/>
      </c>
      <c r="F105" s="874" t="str">
        <f ca="1">IF($R105="","",IF($S105&lt;&gt;NVLSX!$N$6492,INDEX(TongVTSX!E$3:E$1500,$R105),INDEX(TongVTSX!G$3:G$1500,$R105)))</f>
        <v/>
      </c>
      <c r="G105" s="730" t="str">
        <f ca="1">IF($R105="","",INDEX(TongVTSX!F$3:F$1500,$R105))</f>
        <v/>
      </c>
      <c r="H105" s="731">
        <f ca="1">IF($S105=$T$7,INDEX(TongVTSX!$K$3:$K$1500,$R105)/INDEX(TongVTSX!$G$3:$G$1500,$R105),IF($S105=$T$2,ROUNDUP(SUMPRODUCT((TongVTSX!$C$3:$C$1500=$D105)*(TongVTSX!$E$3:$E$1500=$F105)*(TongVTSX!$S$3:$S$1500=TongVTSX!$S$2)*(TongVTSX!$K$3:$K$1500))/$V105,0),SUMPRODUCT((TongVTSX!$C$3:$C$1500=$D105)*(TongVTSX!$E$3:$E$1500=$F105)*(TongVTSX!$S$3:$S$1500=TongVTSX!$S$2)*(TongVTSX!$K$3:$K$1500))))</f>
        <v>0</v>
      </c>
      <c r="I105" s="731">
        <f ca="1">IF($S105=$T$2,ROUNDUP(SUMPRODUCT((TongVTSX!$C$3:$C$1500=$D105)*(TongVTSX!$E$3:$E$1500=$F105)*(TongVTSX!$S$3:$S$1500=TongVTSX!$S$2)*(TongVTSX!$K$3:$K$1500))/$V105,2),0)</f>
        <v>0</v>
      </c>
      <c r="J105" s="731"/>
      <c r="K105" s="731"/>
      <c r="L105" s="732"/>
      <c r="M105" s="732" t="str">
        <f t="shared" ca="1" si="4"/>
        <v/>
      </c>
      <c r="N105" s="732"/>
      <c r="O105" s="732">
        <f ca="1">IF($S105=$T$7,INDEX(TongVTSX!$O$3:$O$1500,$R105),IF($S105=$T$2,INDEX(TongVTSX!$M$3:$M$1500,$R105)*$V105*$H105,SUMPRODUCT((TongVTSX!$C$3:$C$1500=$D105)*(TongVTSX!$E$3:$E$1500=$F105)*(TongVTSX!$S$3:$S$1500=TongVTSX!$S$2)*(TongVTSX!$O$3:$O$1500))))</f>
        <v>0</v>
      </c>
      <c r="P105" s="1150">
        <f ca="1">IF($S105=$T$7,INDEX(TongVTSX!$O$3:$O$1500,$R105),IF($S105=$T$2,INDEX(TongVTSX!$M$3:$M$1500,$R105)*$I105*$V105,SUMPRODUCT((TongVTSX!$C$3:$C$1500=$D105)*(TongVTSX!$E$3:$E$1500=$F105)*(TongVTSX!$S$3:$S$1500=TongVTSX!$S$2)*(TongVTSX!$O$3:$O$1500))))</f>
        <v>0</v>
      </c>
      <c r="Q105" s="1155" t="str">
        <f ca="1">IFERROR(INDEX(NVLSX!$AA$2:$AA$6756,MATCH($D105,NVLSX!$E$2:$E$6756,0)),"")</f>
        <v/>
      </c>
      <c r="R105" s="75" t="str">
        <f ca="1">IF(S105="","",IF(S105&lt;&gt;S104,IF(TYPE(MATCH(S105,TongVTSX!$Q$3:$Q$1500,0))=16,"",MATCH(S105,TongVTSX!$Q$3:$Q$1500,0)),IF(TYPE(MATCH(S105,OFFSET(TongVTSX!$Q$3,R104,0):'TongVTSX'!$Q$1500,0)+R104)=16,"",MATCH(S105,OFFSET(TongVTSX!$Q$3,R104,0):'TongVTSX'!$Q$1500,0)+R104)))</f>
        <v/>
      </c>
      <c r="S105" s="76" t="str">
        <f ca="1">IFERROR(IF(COUNTIF($S$3:S104,S104)&lt; INDEX($U$1:$U$7,MATCH($S104,$T$1:$T$7,0)),$S104,INDEX($T$1:$T$7,MATCH($S104,$T$1:$T$7,0)+1)),"")</f>
        <v/>
      </c>
      <c r="V105" s="1133" t="str">
        <f ca="1">IFERROR(INDEX(NVLSX!$U$2:$U$6941,MATCH($D105,NVLSX!$E$2:$E$6941,0)),"")</f>
        <v/>
      </c>
      <c r="W105" s="1143"/>
      <c r="X105" s="1143"/>
    </row>
    <row r="106" spans="1:24">
      <c r="A106" s="19" t="str">
        <f t="shared" ca="1" si="5"/>
        <v/>
      </c>
      <c r="B106" s="1146" t="str">
        <f ca="1">IFERROR(INDEX(NVLSX!$Y$2:$Y$6756,MATCH($D106,NVLSX!$E$2:$E$6756,0)),"")</f>
        <v/>
      </c>
      <c r="C106" s="1146" t="str">
        <f ca="1">IFERROR(INDEX(NVLSX!$Z$2:$Z$6756,MATCH($D106,NVLSX!$E$2:$E$6756,0)),"")</f>
        <v/>
      </c>
      <c r="D106" s="729" t="str">
        <f ca="1">IF($R106="","",INDEX(TongVTSX!C$3:C$1500,$R106))</f>
        <v/>
      </c>
      <c r="E106" s="729" t="str">
        <f ca="1">IF($R106="","",IF($S106=$T$7,INDEX(TongVTSX!D$3:D$1500,$R106) &amp;  " (" &amp; INDEX(TongVTSX!A$3:A$1500,$R106) &amp; ")",INDEX(TongVTSX!D$3:D$1500,$R106)))</f>
        <v/>
      </c>
      <c r="F106" s="874" t="str">
        <f ca="1">IF($R106="","",IF($S106&lt;&gt;NVLSX!$N$6492,INDEX(TongVTSX!E$3:E$1500,$R106),INDEX(TongVTSX!G$3:G$1500,$R106)))</f>
        <v/>
      </c>
      <c r="G106" s="730" t="str">
        <f ca="1">IF($R106="","",INDEX(TongVTSX!F$3:F$1500,$R106))</f>
        <v/>
      </c>
      <c r="H106" s="731">
        <f ca="1">IF($S106=$T$7,INDEX(TongVTSX!$K$3:$K$1500,$R106)/INDEX(TongVTSX!$G$3:$G$1500,$R106),IF($S106=$T$2,ROUNDUP(SUMPRODUCT((TongVTSX!$C$3:$C$1500=$D106)*(TongVTSX!$E$3:$E$1500=$F106)*(TongVTSX!$S$3:$S$1500=TongVTSX!$S$2)*(TongVTSX!$K$3:$K$1500))/$V106,0),SUMPRODUCT((TongVTSX!$C$3:$C$1500=$D106)*(TongVTSX!$E$3:$E$1500=$F106)*(TongVTSX!$S$3:$S$1500=TongVTSX!$S$2)*(TongVTSX!$K$3:$K$1500))))</f>
        <v>0</v>
      </c>
      <c r="I106" s="731">
        <f ca="1">IF($S106=$T$2,ROUNDUP(SUMPRODUCT((TongVTSX!$C$3:$C$1500=$D106)*(TongVTSX!$E$3:$E$1500=$F106)*(TongVTSX!$S$3:$S$1500=TongVTSX!$S$2)*(TongVTSX!$K$3:$K$1500))/$V106,2),0)</f>
        <v>0</v>
      </c>
      <c r="J106" s="731"/>
      <c r="K106" s="731"/>
      <c r="L106" s="732"/>
      <c r="M106" s="732" t="str">
        <f t="shared" ca="1" si="4"/>
        <v/>
      </c>
      <c r="N106" s="732"/>
      <c r="O106" s="732">
        <f ca="1">IF($S106=$T$7,INDEX(TongVTSX!$O$3:$O$1500,$R106),IF($S106=$T$2,INDEX(TongVTSX!$M$3:$M$1500,$R106)*$V106*$H106,SUMPRODUCT((TongVTSX!$C$3:$C$1500=$D106)*(TongVTSX!$E$3:$E$1500=$F106)*(TongVTSX!$S$3:$S$1500=TongVTSX!$S$2)*(TongVTSX!$O$3:$O$1500))))</f>
        <v>0</v>
      </c>
      <c r="P106" s="1150">
        <f ca="1">IF($S106=$T$7,INDEX(TongVTSX!$O$3:$O$1500,$R106),IF($S106=$T$2,INDEX(TongVTSX!$M$3:$M$1500,$R106)*$I106*$V106,SUMPRODUCT((TongVTSX!$C$3:$C$1500=$D106)*(TongVTSX!$E$3:$E$1500=$F106)*(TongVTSX!$S$3:$S$1500=TongVTSX!$S$2)*(TongVTSX!$O$3:$O$1500))))</f>
        <v>0</v>
      </c>
      <c r="Q106" s="1155" t="str">
        <f ca="1">IFERROR(INDEX(NVLSX!$AA$2:$AA$6756,MATCH($D106,NVLSX!$E$2:$E$6756,0)),"")</f>
        <v/>
      </c>
      <c r="R106" s="75" t="str">
        <f ca="1">IF(S106="","",IF(S106&lt;&gt;S105,IF(TYPE(MATCH(S106,TongVTSX!$Q$3:$Q$1500,0))=16,"",MATCH(S106,TongVTSX!$Q$3:$Q$1500,0)),IF(TYPE(MATCH(S106,OFFSET(TongVTSX!$Q$3,R105,0):'TongVTSX'!$Q$1500,0)+R105)=16,"",MATCH(S106,OFFSET(TongVTSX!$Q$3,R105,0):'TongVTSX'!$Q$1500,0)+R105)))</f>
        <v/>
      </c>
      <c r="S106" s="76" t="str">
        <f ca="1">IFERROR(IF(COUNTIF($S$3:S105,S105)&lt; INDEX($U$1:$U$7,MATCH($S105,$T$1:$T$7,0)),$S105,INDEX($T$1:$T$7,MATCH($S105,$T$1:$T$7,0)+1)),"")</f>
        <v/>
      </c>
      <c r="V106" s="1133" t="str">
        <f ca="1">IFERROR(INDEX(NVLSX!$U$2:$U$6941,MATCH($D106,NVLSX!$E$2:$E$6941,0)),"")</f>
        <v/>
      </c>
      <c r="W106" s="1143"/>
      <c r="X106" s="1143"/>
    </row>
    <row r="107" spans="1:24">
      <c r="A107" s="19" t="str">
        <f t="shared" ca="1" si="5"/>
        <v/>
      </c>
      <c r="B107" s="1146" t="str">
        <f ca="1">IFERROR(INDEX(NVLSX!$Y$2:$Y$6756,MATCH($D107,NVLSX!$E$2:$E$6756,0)),"")</f>
        <v/>
      </c>
      <c r="C107" s="1146" t="str">
        <f ca="1">IFERROR(INDEX(NVLSX!$Z$2:$Z$6756,MATCH($D107,NVLSX!$E$2:$E$6756,0)),"")</f>
        <v/>
      </c>
      <c r="D107" s="729" t="str">
        <f ca="1">IF($R107="","",INDEX(TongVTSX!C$3:C$1500,$R107))</f>
        <v/>
      </c>
      <c r="E107" s="729" t="str">
        <f ca="1">IF($R107="","",IF($S107=$T$7,INDEX(TongVTSX!D$3:D$1500,$R107) &amp;  " (" &amp; INDEX(TongVTSX!A$3:A$1500,$R107) &amp; ")",INDEX(TongVTSX!D$3:D$1500,$R107)))</f>
        <v/>
      </c>
      <c r="F107" s="874" t="str">
        <f ca="1">IF($R107="","",IF($S107&lt;&gt;NVLSX!$N$6492,INDEX(TongVTSX!E$3:E$1500,$R107),INDEX(TongVTSX!G$3:G$1500,$R107)))</f>
        <v/>
      </c>
      <c r="G107" s="730" t="str">
        <f ca="1">IF($R107="","",INDEX(TongVTSX!F$3:F$1500,$R107))</f>
        <v/>
      </c>
      <c r="H107" s="731">
        <f ca="1">IF($S107=$T$7,INDEX(TongVTSX!$K$3:$K$1500,$R107)/INDEX(TongVTSX!$G$3:$G$1500,$R107),IF($S107=$T$2,ROUNDUP(SUMPRODUCT((TongVTSX!$C$3:$C$1500=$D107)*(TongVTSX!$E$3:$E$1500=$F107)*(TongVTSX!$S$3:$S$1500=TongVTSX!$S$2)*(TongVTSX!$K$3:$K$1500))/$V107,0),SUMPRODUCT((TongVTSX!$C$3:$C$1500=$D107)*(TongVTSX!$E$3:$E$1500=$F107)*(TongVTSX!$S$3:$S$1500=TongVTSX!$S$2)*(TongVTSX!$K$3:$K$1500))))</f>
        <v>0</v>
      </c>
      <c r="I107" s="731">
        <f ca="1">IF($S107=$T$2,ROUNDUP(SUMPRODUCT((TongVTSX!$C$3:$C$1500=$D107)*(TongVTSX!$E$3:$E$1500=$F107)*(TongVTSX!$S$3:$S$1500=TongVTSX!$S$2)*(TongVTSX!$K$3:$K$1500))/$V107,2),0)</f>
        <v>0</v>
      </c>
      <c r="J107" s="731"/>
      <c r="K107" s="731"/>
      <c r="L107" s="732"/>
      <c r="M107" s="732" t="str">
        <f t="shared" ca="1" si="4"/>
        <v/>
      </c>
      <c r="N107" s="732"/>
      <c r="O107" s="732">
        <f ca="1">IF($S107=$T$7,INDEX(TongVTSX!$O$3:$O$1500,$R107),IF($S107=$T$2,INDEX(TongVTSX!$M$3:$M$1500,$R107)*$V107*$H107,SUMPRODUCT((TongVTSX!$C$3:$C$1500=$D107)*(TongVTSX!$E$3:$E$1500=$F107)*(TongVTSX!$S$3:$S$1500=TongVTSX!$S$2)*(TongVTSX!$O$3:$O$1500))))</f>
        <v>0</v>
      </c>
      <c r="P107" s="1150">
        <f ca="1">IF($S107=$T$7,INDEX(TongVTSX!$O$3:$O$1500,$R107),IF($S107=$T$2,INDEX(TongVTSX!$M$3:$M$1500,$R107)*$I107*$V107,SUMPRODUCT((TongVTSX!$C$3:$C$1500=$D107)*(TongVTSX!$E$3:$E$1500=$F107)*(TongVTSX!$S$3:$S$1500=TongVTSX!$S$2)*(TongVTSX!$O$3:$O$1500))))</f>
        <v>0</v>
      </c>
      <c r="Q107" s="1155" t="str">
        <f ca="1">IFERROR(INDEX(NVLSX!$AA$2:$AA$6756,MATCH($D107,NVLSX!$E$2:$E$6756,0)),"")</f>
        <v/>
      </c>
      <c r="R107" s="75" t="str">
        <f ca="1">IF(S107="","",IF(S107&lt;&gt;S106,IF(TYPE(MATCH(S107,TongVTSX!$Q$3:$Q$1500,0))=16,"",MATCH(S107,TongVTSX!$Q$3:$Q$1500,0)),IF(TYPE(MATCH(S107,OFFSET(TongVTSX!$Q$3,R106,0):'TongVTSX'!$Q$1500,0)+R106)=16,"",MATCH(S107,OFFSET(TongVTSX!$Q$3,R106,0):'TongVTSX'!$Q$1500,0)+R106)))</f>
        <v/>
      </c>
      <c r="S107" s="76" t="str">
        <f ca="1">IFERROR(IF(COUNTIF($S$3:S106,S106)&lt; INDEX($U$1:$U$7,MATCH($S106,$T$1:$T$7,0)),$S106,INDEX($T$1:$T$7,MATCH($S106,$T$1:$T$7,0)+1)),"")</f>
        <v/>
      </c>
      <c r="V107" s="1133" t="str">
        <f ca="1">IFERROR(INDEX(NVLSX!$U$2:$U$6941,MATCH($D107,NVLSX!$E$2:$E$6941,0)),"")</f>
        <v/>
      </c>
      <c r="W107" s="1143"/>
      <c r="X107" s="1143"/>
    </row>
    <row r="108" spans="1:24">
      <c r="A108" s="19" t="str">
        <f t="shared" ca="1" si="5"/>
        <v/>
      </c>
      <c r="B108" s="1146" t="str">
        <f ca="1">IFERROR(INDEX(NVLSX!$Y$2:$Y$6756,MATCH($D108,NVLSX!$E$2:$E$6756,0)),"")</f>
        <v/>
      </c>
      <c r="C108" s="1146" t="str">
        <f ca="1">IFERROR(INDEX(NVLSX!$Z$2:$Z$6756,MATCH($D108,NVLSX!$E$2:$E$6756,0)),"")</f>
        <v/>
      </c>
      <c r="D108" s="729" t="str">
        <f ca="1">IF($R108="","",INDEX(TongVTSX!C$3:C$1500,$R108))</f>
        <v/>
      </c>
      <c r="E108" s="729" t="str">
        <f ca="1">IF($R108="","",IF($S108=$T$7,INDEX(TongVTSX!D$3:D$1500,$R108) &amp;  " (" &amp; INDEX(TongVTSX!A$3:A$1500,$R108) &amp; ")",INDEX(TongVTSX!D$3:D$1500,$R108)))</f>
        <v/>
      </c>
      <c r="F108" s="874" t="str">
        <f ca="1">IF($R108="","",IF($S108&lt;&gt;NVLSX!$N$6492,INDEX(TongVTSX!E$3:E$1500,$R108),INDEX(TongVTSX!G$3:G$1500,$R108)))</f>
        <v/>
      </c>
      <c r="G108" s="730" t="str">
        <f ca="1">IF($R108="","",INDEX(TongVTSX!F$3:F$1500,$R108))</f>
        <v/>
      </c>
      <c r="H108" s="731">
        <f ca="1">IF($S108=$T$7,INDEX(TongVTSX!$K$3:$K$1500,$R108)/INDEX(TongVTSX!$G$3:$G$1500,$R108),IF($S108=$T$2,ROUNDUP(SUMPRODUCT((TongVTSX!$C$3:$C$1500=$D108)*(TongVTSX!$E$3:$E$1500=$F108)*(TongVTSX!$S$3:$S$1500=TongVTSX!$S$2)*(TongVTSX!$K$3:$K$1500))/$V108,0),SUMPRODUCT((TongVTSX!$C$3:$C$1500=$D108)*(TongVTSX!$E$3:$E$1500=$F108)*(TongVTSX!$S$3:$S$1500=TongVTSX!$S$2)*(TongVTSX!$K$3:$K$1500))))</f>
        <v>0</v>
      </c>
      <c r="I108" s="731">
        <f ca="1">IF($S108=$T$2,ROUNDUP(SUMPRODUCT((TongVTSX!$C$3:$C$1500=$D108)*(TongVTSX!$E$3:$E$1500=$F108)*(TongVTSX!$S$3:$S$1500=TongVTSX!$S$2)*(TongVTSX!$K$3:$K$1500))/$V108,2),0)</f>
        <v>0</v>
      </c>
      <c r="J108" s="731"/>
      <c r="K108" s="731"/>
      <c r="L108" s="732"/>
      <c r="M108" s="732" t="str">
        <f t="shared" ca="1" si="4"/>
        <v/>
      </c>
      <c r="N108" s="732"/>
      <c r="O108" s="732">
        <f ca="1">IF($S108=$T$7,INDEX(TongVTSX!$O$3:$O$1500,$R108),IF($S108=$T$2,INDEX(TongVTSX!$M$3:$M$1500,$R108)*$V108*$H108,SUMPRODUCT((TongVTSX!$C$3:$C$1500=$D108)*(TongVTSX!$E$3:$E$1500=$F108)*(TongVTSX!$S$3:$S$1500=TongVTSX!$S$2)*(TongVTSX!$O$3:$O$1500))))</f>
        <v>0</v>
      </c>
      <c r="P108" s="1150">
        <f ca="1">IF($S108=$T$7,INDEX(TongVTSX!$O$3:$O$1500,$R108),IF($S108=$T$2,INDEX(TongVTSX!$M$3:$M$1500,$R108)*$I108*$V108,SUMPRODUCT((TongVTSX!$C$3:$C$1500=$D108)*(TongVTSX!$E$3:$E$1500=$F108)*(TongVTSX!$S$3:$S$1500=TongVTSX!$S$2)*(TongVTSX!$O$3:$O$1500))))</f>
        <v>0</v>
      </c>
      <c r="Q108" s="1155" t="str">
        <f ca="1">IFERROR(INDEX(NVLSX!$AA$2:$AA$6756,MATCH($D108,NVLSX!$E$2:$E$6756,0)),"")</f>
        <v/>
      </c>
      <c r="R108" s="75" t="str">
        <f ca="1">IF(S108="","",IF(S108&lt;&gt;S107,IF(TYPE(MATCH(S108,TongVTSX!$Q$3:$Q$1500,0))=16,"",MATCH(S108,TongVTSX!$Q$3:$Q$1500,0)),IF(TYPE(MATCH(S108,OFFSET(TongVTSX!$Q$3,R107,0):'TongVTSX'!$Q$1500,0)+R107)=16,"",MATCH(S108,OFFSET(TongVTSX!$Q$3,R107,0):'TongVTSX'!$Q$1500,0)+R107)))</f>
        <v/>
      </c>
      <c r="S108" s="76" t="str">
        <f ca="1">IFERROR(IF(COUNTIF($S$3:S107,S107)&lt; INDEX($U$1:$U$7,MATCH($S107,$T$1:$T$7,0)),$S107,INDEX($T$1:$T$7,MATCH($S107,$T$1:$T$7,0)+1)),"")</f>
        <v/>
      </c>
      <c r="V108" s="1133" t="str">
        <f ca="1">IFERROR(INDEX(NVLSX!$U$2:$U$6941,MATCH($D108,NVLSX!$E$2:$E$6941,0)),"")</f>
        <v/>
      </c>
      <c r="W108" s="1143"/>
      <c r="X108" s="1143"/>
    </row>
    <row r="109" spans="1:24">
      <c r="A109" s="19" t="str">
        <f t="shared" ca="1" si="5"/>
        <v/>
      </c>
      <c r="B109" s="1146" t="str">
        <f ca="1">IFERROR(INDEX(NVLSX!$Y$2:$Y$6756,MATCH($D109,NVLSX!$E$2:$E$6756,0)),"")</f>
        <v/>
      </c>
      <c r="C109" s="1146" t="str">
        <f ca="1">IFERROR(INDEX(NVLSX!$Z$2:$Z$6756,MATCH($D109,NVLSX!$E$2:$E$6756,0)),"")</f>
        <v/>
      </c>
      <c r="D109" s="729" t="str">
        <f ca="1">IF($R109="","",INDEX(TongVTSX!C$3:C$1500,$R109))</f>
        <v/>
      </c>
      <c r="E109" s="729" t="str">
        <f ca="1">IF($R109="","",IF($S109=$T$7,INDEX(TongVTSX!D$3:D$1500,$R109) &amp;  " (" &amp; INDEX(TongVTSX!A$3:A$1500,$R109) &amp; ")",INDEX(TongVTSX!D$3:D$1500,$R109)))</f>
        <v/>
      </c>
      <c r="F109" s="874" t="str">
        <f ca="1">IF($R109="","",IF($S109&lt;&gt;NVLSX!$N$6492,INDEX(TongVTSX!E$3:E$1500,$R109),INDEX(TongVTSX!G$3:G$1500,$R109)))</f>
        <v/>
      </c>
      <c r="G109" s="730" t="str">
        <f ca="1">IF($R109="","",INDEX(TongVTSX!F$3:F$1500,$R109))</f>
        <v/>
      </c>
      <c r="H109" s="731">
        <f ca="1">IF($S109=$T$7,INDEX(TongVTSX!$K$3:$K$1500,$R109)/INDEX(TongVTSX!$G$3:$G$1500,$R109),IF($S109=$T$2,ROUNDUP(SUMPRODUCT((TongVTSX!$C$3:$C$1500=$D109)*(TongVTSX!$E$3:$E$1500=$F109)*(TongVTSX!$S$3:$S$1500=TongVTSX!$S$2)*(TongVTSX!$K$3:$K$1500))/$V109,0),SUMPRODUCT((TongVTSX!$C$3:$C$1500=$D109)*(TongVTSX!$E$3:$E$1500=$F109)*(TongVTSX!$S$3:$S$1500=TongVTSX!$S$2)*(TongVTSX!$K$3:$K$1500))))</f>
        <v>0</v>
      </c>
      <c r="I109" s="731">
        <f ca="1">IF($S109=$T$2,ROUNDUP(SUMPRODUCT((TongVTSX!$C$3:$C$1500=$D109)*(TongVTSX!$E$3:$E$1500=$F109)*(TongVTSX!$S$3:$S$1500=TongVTSX!$S$2)*(TongVTSX!$K$3:$K$1500))/$V109,2),0)</f>
        <v>0</v>
      </c>
      <c r="J109" s="731"/>
      <c r="K109" s="731"/>
      <c r="L109" s="732"/>
      <c r="M109" s="732" t="str">
        <f t="shared" ca="1" si="4"/>
        <v/>
      </c>
      <c r="N109" s="732"/>
      <c r="O109" s="732">
        <f ca="1">IF($S109=$T$7,INDEX(TongVTSX!$O$3:$O$1500,$R109),IF($S109=$T$2,INDEX(TongVTSX!$M$3:$M$1500,$R109)*$V109*$H109,SUMPRODUCT((TongVTSX!$C$3:$C$1500=$D109)*(TongVTSX!$E$3:$E$1500=$F109)*(TongVTSX!$S$3:$S$1500=TongVTSX!$S$2)*(TongVTSX!$O$3:$O$1500))))</f>
        <v>0</v>
      </c>
      <c r="P109" s="1150">
        <f ca="1">IF($S109=$T$7,INDEX(TongVTSX!$O$3:$O$1500,$R109),IF($S109=$T$2,INDEX(TongVTSX!$M$3:$M$1500,$R109)*$I109*$V109,SUMPRODUCT((TongVTSX!$C$3:$C$1500=$D109)*(TongVTSX!$E$3:$E$1500=$F109)*(TongVTSX!$S$3:$S$1500=TongVTSX!$S$2)*(TongVTSX!$O$3:$O$1500))))</f>
        <v>0</v>
      </c>
      <c r="Q109" s="1155" t="str">
        <f ca="1">IFERROR(INDEX(NVLSX!$AA$2:$AA$6756,MATCH($D109,NVLSX!$E$2:$E$6756,0)),"")</f>
        <v/>
      </c>
      <c r="R109" s="75" t="str">
        <f ca="1">IF(S109="","",IF(S109&lt;&gt;S108,IF(TYPE(MATCH(S109,TongVTSX!$Q$3:$Q$1500,0))=16,"",MATCH(S109,TongVTSX!$Q$3:$Q$1500,0)),IF(TYPE(MATCH(S109,OFFSET(TongVTSX!$Q$3,R108,0):'TongVTSX'!$Q$1500,0)+R108)=16,"",MATCH(S109,OFFSET(TongVTSX!$Q$3,R108,0):'TongVTSX'!$Q$1500,0)+R108)))</f>
        <v/>
      </c>
      <c r="S109" s="76" t="str">
        <f ca="1">IFERROR(IF(COUNTIF($S$3:S108,S108)&lt; INDEX($U$1:$U$7,MATCH($S108,$T$1:$T$7,0)),$S108,INDEX($T$1:$T$7,MATCH($S108,$T$1:$T$7,0)+1)),"")</f>
        <v/>
      </c>
      <c r="V109" s="1133" t="str">
        <f ca="1">IFERROR(INDEX(NVLSX!$U$2:$U$6941,MATCH($D109,NVLSX!$E$2:$E$6941,0)),"")</f>
        <v/>
      </c>
      <c r="W109" s="1143"/>
      <c r="X109" s="1143"/>
    </row>
    <row r="110" spans="1:24">
      <c r="A110" s="19" t="str">
        <f t="shared" ca="1" si="5"/>
        <v/>
      </c>
      <c r="B110" s="1146" t="str">
        <f ca="1">IFERROR(INDEX(NVLSX!$Y$2:$Y$6756,MATCH($D110,NVLSX!$E$2:$E$6756,0)),"")</f>
        <v/>
      </c>
      <c r="C110" s="1146" t="str">
        <f ca="1">IFERROR(INDEX(NVLSX!$Z$2:$Z$6756,MATCH($D110,NVLSX!$E$2:$E$6756,0)),"")</f>
        <v/>
      </c>
      <c r="D110" s="729" t="str">
        <f ca="1">IF($R110="","",INDEX(TongVTSX!C$3:C$1500,$R110))</f>
        <v/>
      </c>
      <c r="E110" s="729" t="str">
        <f ca="1">IF($R110="","",IF($S110=$T$7,INDEX(TongVTSX!D$3:D$1500,$R110) &amp;  " (" &amp; INDEX(TongVTSX!A$3:A$1500,$R110) &amp; ")",INDEX(TongVTSX!D$3:D$1500,$R110)))</f>
        <v/>
      </c>
      <c r="F110" s="874" t="str">
        <f ca="1">IF($R110="","",IF($S110&lt;&gt;NVLSX!$N$6492,INDEX(TongVTSX!E$3:E$1500,$R110),INDEX(TongVTSX!G$3:G$1500,$R110)))</f>
        <v/>
      </c>
      <c r="G110" s="730" t="str">
        <f ca="1">IF($R110="","",INDEX(TongVTSX!F$3:F$1500,$R110))</f>
        <v/>
      </c>
      <c r="H110" s="731">
        <f ca="1">IF($S110=$T$7,INDEX(TongVTSX!$K$3:$K$1500,$R110)/INDEX(TongVTSX!$G$3:$G$1500,$R110),IF($S110=$T$2,ROUNDUP(SUMPRODUCT((TongVTSX!$C$3:$C$1500=$D110)*(TongVTSX!$E$3:$E$1500=$F110)*(TongVTSX!$S$3:$S$1500=TongVTSX!$S$2)*(TongVTSX!$K$3:$K$1500))/$V110,0),SUMPRODUCT((TongVTSX!$C$3:$C$1500=$D110)*(TongVTSX!$E$3:$E$1500=$F110)*(TongVTSX!$S$3:$S$1500=TongVTSX!$S$2)*(TongVTSX!$K$3:$K$1500))))</f>
        <v>0</v>
      </c>
      <c r="I110" s="731">
        <f ca="1">IF($S110=$T$2,ROUNDUP(SUMPRODUCT((TongVTSX!$C$3:$C$1500=$D110)*(TongVTSX!$E$3:$E$1500=$F110)*(TongVTSX!$S$3:$S$1500=TongVTSX!$S$2)*(TongVTSX!$K$3:$K$1500))/$V110,2),0)</f>
        <v>0</v>
      </c>
      <c r="J110" s="731"/>
      <c r="K110" s="731"/>
      <c r="L110" s="732"/>
      <c r="M110" s="732" t="str">
        <f t="shared" ca="1" si="4"/>
        <v/>
      </c>
      <c r="N110" s="732"/>
      <c r="O110" s="732">
        <f ca="1">IF($S110=$T$7,INDEX(TongVTSX!$O$3:$O$1500,$R110),IF($S110=$T$2,INDEX(TongVTSX!$M$3:$M$1500,$R110)*$V110*$H110,SUMPRODUCT((TongVTSX!$C$3:$C$1500=$D110)*(TongVTSX!$E$3:$E$1500=$F110)*(TongVTSX!$S$3:$S$1500=TongVTSX!$S$2)*(TongVTSX!$O$3:$O$1500))))</f>
        <v>0</v>
      </c>
      <c r="P110" s="1150">
        <f ca="1">IF($S110=$T$7,INDEX(TongVTSX!$O$3:$O$1500,$R110),IF($S110=$T$2,INDEX(TongVTSX!$M$3:$M$1500,$R110)*$I110*$V110,SUMPRODUCT((TongVTSX!$C$3:$C$1500=$D110)*(TongVTSX!$E$3:$E$1500=$F110)*(TongVTSX!$S$3:$S$1500=TongVTSX!$S$2)*(TongVTSX!$O$3:$O$1500))))</f>
        <v>0</v>
      </c>
      <c r="Q110" s="1155" t="str">
        <f ca="1">IFERROR(INDEX(NVLSX!$AA$2:$AA$6756,MATCH($D110,NVLSX!$E$2:$E$6756,0)),"")</f>
        <v/>
      </c>
      <c r="R110" s="75" t="str">
        <f ca="1">IF(S110="","",IF(S110&lt;&gt;S109,IF(TYPE(MATCH(S110,TongVTSX!$Q$3:$Q$1500,0))=16,"",MATCH(S110,TongVTSX!$Q$3:$Q$1500,0)),IF(TYPE(MATCH(S110,OFFSET(TongVTSX!$Q$3,R109,0):'TongVTSX'!$Q$1500,0)+R109)=16,"",MATCH(S110,OFFSET(TongVTSX!$Q$3,R109,0):'TongVTSX'!$Q$1500,0)+R109)))</f>
        <v/>
      </c>
      <c r="S110" s="76" t="str">
        <f ca="1">IFERROR(IF(COUNTIF($S$3:S109,S109)&lt; INDEX($U$1:$U$7,MATCH($S109,$T$1:$T$7,0)),$S109,INDEX($T$1:$T$7,MATCH($S109,$T$1:$T$7,0)+1)),"")</f>
        <v/>
      </c>
      <c r="V110" s="1133" t="str">
        <f ca="1">IFERROR(INDEX(NVLSX!$U$2:$U$6941,MATCH($D110,NVLSX!$E$2:$E$6941,0)),"")</f>
        <v/>
      </c>
      <c r="W110" s="1143"/>
      <c r="X110" s="1143"/>
    </row>
    <row r="111" spans="1:24">
      <c r="A111" s="19" t="str">
        <f t="shared" ca="1" si="5"/>
        <v/>
      </c>
      <c r="B111" s="1146" t="str">
        <f ca="1">IFERROR(INDEX(NVLSX!$Y$2:$Y$6756,MATCH($D111,NVLSX!$E$2:$E$6756,0)),"")</f>
        <v/>
      </c>
      <c r="C111" s="1146" t="str">
        <f ca="1">IFERROR(INDEX(NVLSX!$Z$2:$Z$6756,MATCH($D111,NVLSX!$E$2:$E$6756,0)),"")</f>
        <v/>
      </c>
      <c r="D111" s="729" t="str">
        <f ca="1">IF($R111="","",INDEX(TongVTSX!C$3:C$1500,$R111))</f>
        <v/>
      </c>
      <c r="E111" s="729" t="str">
        <f ca="1">IF($R111="","",IF($S111=$T$7,INDEX(TongVTSX!D$3:D$1500,$R111) &amp;  " (" &amp; INDEX(TongVTSX!A$3:A$1500,$R111) &amp; ")",INDEX(TongVTSX!D$3:D$1500,$R111)))</f>
        <v/>
      </c>
      <c r="F111" s="874" t="str">
        <f ca="1">IF($R111="","",IF($S111&lt;&gt;NVLSX!$N$6492,INDEX(TongVTSX!E$3:E$1500,$R111),INDEX(TongVTSX!G$3:G$1500,$R111)))</f>
        <v/>
      </c>
      <c r="G111" s="730" t="str">
        <f ca="1">IF($R111="","",INDEX(TongVTSX!F$3:F$1500,$R111))</f>
        <v/>
      </c>
      <c r="H111" s="731">
        <f ca="1">IF($S111=$T$7,INDEX(TongVTSX!$K$3:$K$1500,$R111)/INDEX(TongVTSX!$G$3:$G$1500,$R111),IF($S111=$T$2,ROUNDUP(SUMPRODUCT((TongVTSX!$C$3:$C$1500=$D111)*(TongVTSX!$E$3:$E$1500=$F111)*(TongVTSX!$S$3:$S$1500=TongVTSX!$S$2)*(TongVTSX!$K$3:$K$1500))/$V111,0),SUMPRODUCT((TongVTSX!$C$3:$C$1500=$D111)*(TongVTSX!$E$3:$E$1500=$F111)*(TongVTSX!$S$3:$S$1500=TongVTSX!$S$2)*(TongVTSX!$K$3:$K$1500))))</f>
        <v>0</v>
      </c>
      <c r="I111" s="731">
        <f ca="1">IF($S111=$T$2,ROUNDUP(SUMPRODUCT((TongVTSX!$C$3:$C$1500=$D111)*(TongVTSX!$E$3:$E$1500=$F111)*(TongVTSX!$S$3:$S$1500=TongVTSX!$S$2)*(TongVTSX!$K$3:$K$1500))/$V111,2),0)</f>
        <v>0</v>
      </c>
      <c r="J111" s="731"/>
      <c r="K111" s="731"/>
      <c r="L111" s="732"/>
      <c r="M111" s="732" t="str">
        <f t="shared" ca="1" si="4"/>
        <v/>
      </c>
      <c r="N111" s="732"/>
      <c r="O111" s="732">
        <f ca="1">IF($S111=$T$7,INDEX(TongVTSX!$O$3:$O$1500,$R111),IF($S111=$T$2,INDEX(TongVTSX!$M$3:$M$1500,$R111)*$V111*$H111,SUMPRODUCT((TongVTSX!$C$3:$C$1500=$D111)*(TongVTSX!$E$3:$E$1500=$F111)*(TongVTSX!$S$3:$S$1500=TongVTSX!$S$2)*(TongVTSX!$O$3:$O$1500))))</f>
        <v>0</v>
      </c>
      <c r="P111" s="1150">
        <f ca="1">IF($S111=$T$7,INDEX(TongVTSX!$O$3:$O$1500,$R111),IF($S111=$T$2,INDEX(TongVTSX!$M$3:$M$1500,$R111)*$I111*$V111,SUMPRODUCT((TongVTSX!$C$3:$C$1500=$D111)*(TongVTSX!$E$3:$E$1500=$F111)*(TongVTSX!$S$3:$S$1500=TongVTSX!$S$2)*(TongVTSX!$O$3:$O$1500))))</f>
        <v>0</v>
      </c>
      <c r="Q111" s="1155" t="str">
        <f ca="1">IFERROR(INDEX(NVLSX!$AA$2:$AA$6756,MATCH($D111,NVLSX!$E$2:$E$6756,0)),"")</f>
        <v/>
      </c>
      <c r="R111" s="75" t="str">
        <f ca="1">IF(S111="","",IF(S111&lt;&gt;S110,IF(TYPE(MATCH(S111,TongVTSX!$Q$3:$Q$1500,0))=16,"",MATCH(S111,TongVTSX!$Q$3:$Q$1500,0)),IF(TYPE(MATCH(S111,OFFSET(TongVTSX!$Q$3,R110,0):'TongVTSX'!$Q$1500,0)+R110)=16,"",MATCH(S111,OFFSET(TongVTSX!$Q$3,R110,0):'TongVTSX'!$Q$1500,0)+R110)))</f>
        <v/>
      </c>
      <c r="S111" s="76" t="str">
        <f ca="1">IFERROR(IF(COUNTIF($S$3:S110,S110)&lt; INDEX($U$1:$U$7,MATCH($S110,$T$1:$T$7,0)),$S110,INDEX($T$1:$T$7,MATCH($S110,$T$1:$T$7,0)+1)),"")</f>
        <v/>
      </c>
      <c r="V111" s="1133" t="str">
        <f ca="1">IFERROR(INDEX(NVLSX!$U$2:$U$6941,MATCH($D111,NVLSX!$E$2:$E$6941,0)),"")</f>
        <v/>
      </c>
      <c r="W111" s="1143"/>
      <c r="X111" s="1143"/>
    </row>
    <row r="112" spans="1:24">
      <c r="A112" s="19" t="str">
        <f t="shared" ca="1" si="5"/>
        <v/>
      </c>
      <c r="B112" s="1146" t="str">
        <f ca="1">IFERROR(INDEX(NVLSX!$Y$2:$Y$6756,MATCH($D112,NVLSX!$E$2:$E$6756,0)),"")</f>
        <v/>
      </c>
      <c r="C112" s="1146" t="str">
        <f ca="1">IFERROR(INDEX(NVLSX!$Z$2:$Z$6756,MATCH($D112,NVLSX!$E$2:$E$6756,0)),"")</f>
        <v/>
      </c>
      <c r="D112" s="729" t="str">
        <f ca="1">IF($R112="","",INDEX(TongVTSX!C$3:C$1500,$R112))</f>
        <v/>
      </c>
      <c r="E112" s="729" t="str">
        <f ca="1">IF($R112="","",IF($S112=$T$7,INDEX(TongVTSX!D$3:D$1500,$R112) &amp;  " (" &amp; INDEX(TongVTSX!A$3:A$1500,$R112) &amp; ")",INDEX(TongVTSX!D$3:D$1500,$R112)))</f>
        <v/>
      </c>
      <c r="F112" s="874" t="str">
        <f ca="1">IF($R112="","",IF($S112&lt;&gt;NVLSX!$N$6492,INDEX(TongVTSX!E$3:E$1500,$R112),INDEX(TongVTSX!G$3:G$1500,$R112)))</f>
        <v/>
      </c>
      <c r="G112" s="730" t="str">
        <f ca="1">IF($R112="","",INDEX(TongVTSX!F$3:F$1500,$R112))</f>
        <v/>
      </c>
      <c r="H112" s="731">
        <f ca="1">IF($S112=$T$7,INDEX(TongVTSX!$K$3:$K$1500,$R112)/INDEX(TongVTSX!$G$3:$G$1500,$R112),IF($S112=$T$2,ROUNDUP(SUMPRODUCT((TongVTSX!$C$3:$C$1500=$D112)*(TongVTSX!$E$3:$E$1500=$F112)*(TongVTSX!$S$3:$S$1500=TongVTSX!$S$2)*(TongVTSX!$K$3:$K$1500))/$V112,0),SUMPRODUCT((TongVTSX!$C$3:$C$1500=$D112)*(TongVTSX!$E$3:$E$1500=$F112)*(TongVTSX!$S$3:$S$1500=TongVTSX!$S$2)*(TongVTSX!$K$3:$K$1500))))</f>
        <v>0</v>
      </c>
      <c r="I112" s="731">
        <f ca="1">IF($S112=$T$2,ROUNDUP(SUMPRODUCT((TongVTSX!$C$3:$C$1500=$D112)*(TongVTSX!$E$3:$E$1500=$F112)*(TongVTSX!$S$3:$S$1500=TongVTSX!$S$2)*(TongVTSX!$K$3:$K$1500))/$V112,2),0)</f>
        <v>0</v>
      </c>
      <c r="J112" s="731"/>
      <c r="K112" s="731"/>
      <c r="L112" s="732"/>
      <c r="M112" s="732" t="str">
        <f t="shared" ca="1" si="4"/>
        <v/>
      </c>
      <c r="N112" s="732"/>
      <c r="O112" s="732">
        <f ca="1">IF($S112=$T$7,INDEX(TongVTSX!$O$3:$O$1500,$R112),IF($S112=$T$2,INDEX(TongVTSX!$M$3:$M$1500,$R112)*$V112*$H112,SUMPRODUCT((TongVTSX!$C$3:$C$1500=$D112)*(TongVTSX!$E$3:$E$1500=$F112)*(TongVTSX!$S$3:$S$1500=TongVTSX!$S$2)*(TongVTSX!$O$3:$O$1500))))</f>
        <v>0</v>
      </c>
      <c r="P112" s="1150">
        <f ca="1">IF($S112=$T$7,INDEX(TongVTSX!$O$3:$O$1500,$R112),IF($S112=$T$2,INDEX(TongVTSX!$M$3:$M$1500,$R112)*$I112*$V112,SUMPRODUCT((TongVTSX!$C$3:$C$1500=$D112)*(TongVTSX!$E$3:$E$1500=$F112)*(TongVTSX!$S$3:$S$1500=TongVTSX!$S$2)*(TongVTSX!$O$3:$O$1500))))</f>
        <v>0</v>
      </c>
      <c r="Q112" s="1155" t="str">
        <f ca="1">IFERROR(INDEX(NVLSX!$AA$2:$AA$6756,MATCH($D112,NVLSX!$E$2:$E$6756,0)),"")</f>
        <v/>
      </c>
      <c r="R112" s="75" t="str">
        <f ca="1">IF(S112="","",IF(S112&lt;&gt;S111,IF(TYPE(MATCH(S112,TongVTSX!$Q$3:$Q$1500,0))=16,"",MATCH(S112,TongVTSX!$Q$3:$Q$1500,0)),IF(TYPE(MATCH(S112,OFFSET(TongVTSX!$Q$3,R111,0):'TongVTSX'!$Q$1500,0)+R111)=16,"",MATCH(S112,OFFSET(TongVTSX!$Q$3,R111,0):'TongVTSX'!$Q$1500,0)+R111)))</f>
        <v/>
      </c>
      <c r="S112" s="76" t="str">
        <f ca="1">IFERROR(IF(COUNTIF($S$3:S111,S111)&lt; INDEX($U$1:$U$7,MATCH($S111,$T$1:$T$7,0)),$S111,INDEX($T$1:$T$7,MATCH($S111,$T$1:$T$7,0)+1)),"")</f>
        <v/>
      </c>
      <c r="V112" s="1133" t="str">
        <f ca="1">IFERROR(INDEX(NVLSX!$U$2:$U$6941,MATCH($D112,NVLSX!$E$2:$E$6941,0)),"")</f>
        <v/>
      </c>
      <c r="W112" s="1143"/>
      <c r="X112" s="1143"/>
    </row>
    <row r="113" spans="1:24">
      <c r="A113" s="19" t="str">
        <f t="shared" ca="1" si="5"/>
        <v/>
      </c>
      <c r="B113" s="1146" t="str">
        <f ca="1">IFERROR(INDEX(NVLSX!$Y$2:$Y$6756,MATCH($D113,NVLSX!$E$2:$E$6756,0)),"")</f>
        <v/>
      </c>
      <c r="C113" s="1146" t="str">
        <f ca="1">IFERROR(INDEX(NVLSX!$Z$2:$Z$6756,MATCH($D113,NVLSX!$E$2:$E$6756,0)),"")</f>
        <v/>
      </c>
      <c r="D113" s="729" t="str">
        <f ca="1">IF($R113="","",INDEX(TongVTSX!C$3:C$1500,$R113))</f>
        <v/>
      </c>
      <c r="E113" s="729" t="str">
        <f ca="1">IF($R113="","",IF($S113=$T$7,INDEX(TongVTSX!D$3:D$1500,$R113) &amp;  " (" &amp; INDEX(TongVTSX!A$3:A$1500,$R113) &amp; ")",INDEX(TongVTSX!D$3:D$1500,$R113)))</f>
        <v/>
      </c>
      <c r="F113" s="874" t="str">
        <f ca="1">IF($R113="","",IF($S113&lt;&gt;NVLSX!$N$6492,INDEX(TongVTSX!E$3:E$1500,$R113),INDEX(TongVTSX!G$3:G$1500,$R113)))</f>
        <v/>
      </c>
      <c r="G113" s="730" t="str">
        <f ca="1">IF($R113="","",INDEX(TongVTSX!F$3:F$1500,$R113))</f>
        <v/>
      </c>
      <c r="H113" s="731">
        <f ca="1">IF($S113=$T$7,INDEX(TongVTSX!$K$3:$K$1500,$R113)/INDEX(TongVTSX!$G$3:$G$1500,$R113),IF($S113=$T$2,ROUNDUP(SUMPRODUCT((TongVTSX!$C$3:$C$1500=$D113)*(TongVTSX!$E$3:$E$1500=$F113)*(TongVTSX!$S$3:$S$1500=TongVTSX!$S$2)*(TongVTSX!$K$3:$K$1500))/$V113,0),SUMPRODUCT((TongVTSX!$C$3:$C$1500=$D113)*(TongVTSX!$E$3:$E$1500=$F113)*(TongVTSX!$S$3:$S$1500=TongVTSX!$S$2)*(TongVTSX!$K$3:$K$1500))))</f>
        <v>0</v>
      </c>
      <c r="I113" s="731">
        <f ca="1">IF($S113=$T$2,ROUNDUP(SUMPRODUCT((TongVTSX!$C$3:$C$1500=$D113)*(TongVTSX!$E$3:$E$1500=$F113)*(TongVTSX!$S$3:$S$1500=TongVTSX!$S$2)*(TongVTSX!$K$3:$K$1500))/$V113,2),0)</f>
        <v>0</v>
      </c>
      <c r="J113" s="731"/>
      <c r="K113" s="731"/>
      <c r="L113" s="732"/>
      <c r="M113" s="732" t="str">
        <f t="shared" ca="1" si="4"/>
        <v/>
      </c>
      <c r="N113" s="732"/>
      <c r="O113" s="732">
        <f ca="1">IF($S113=$T$7,INDEX(TongVTSX!$O$3:$O$1500,$R113),IF($S113=$T$2,INDEX(TongVTSX!$M$3:$M$1500,$R113)*$V113*$H113,SUMPRODUCT((TongVTSX!$C$3:$C$1500=$D113)*(TongVTSX!$E$3:$E$1500=$F113)*(TongVTSX!$S$3:$S$1500=TongVTSX!$S$2)*(TongVTSX!$O$3:$O$1500))))</f>
        <v>0</v>
      </c>
      <c r="P113" s="1150">
        <f ca="1">IF($S113=$T$7,INDEX(TongVTSX!$O$3:$O$1500,$R113),IF($S113=$T$2,INDEX(TongVTSX!$M$3:$M$1500,$R113)*$I113*$V113,SUMPRODUCT((TongVTSX!$C$3:$C$1500=$D113)*(TongVTSX!$E$3:$E$1500=$F113)*(TongVTSX!$S$3:$S$1500=TongVTSX!$S$2)*(TongVTSX!$O$3:$O$1500))))</f>
        <v>0</v>
      </c>
      <c r="Q113" s="1155" t="str">
        <f ca="1">IFERROR(INDEX(NVLSX!$AA$2:$AA$6756,MATCH($D113,NVLSX!$E$2:$E$6756,0)),"")</f>
        <v/>
      </c>
      <c r="R113" s="75" t="str">
        <f ca="1">IF(S113="","",IF(S113&lt;&gt;S112,IF(TYPE(MATCH(S113,TongVTSX!$Q$3:$Q$1500,0))=16,"",MATCH(S113,TongVTSX!$Q$3:$Q$1500,0)),IF(TYPE(MATCH(S113,OFFSET(TongVTSX!$Q$3,R112,0):'TongVTSX'!$Q$1500,0)+R112)=16,"",MATCH(S113,OFFSET(TongVTSX!$Q$3,R112,0):'TongVTSX'!$Q$1500,0)+R112)))</f>
        <v/>
      </c>
      <c r="S113" s="76" t="str">
        <f ca="1">IFERROR(IF(COUNTIF($S$3:S112,S112)&lt; INDEX($U$1:$U$7,MATCH($S112,$T$1:$T$7,0)),$S112,INDEX($T$1:$T$7,MATCH($S112,$T$1:$T$7,0)+1)),"")</f>
        <v/>
      </c>
      <c r="V113" s="1133" t="str">
        <f ca="1">IFERROR(INDEX(NVLSX!$U$2:$U$6941,MATCH($D113,NVLSX!$E$2:$E$6941,0)),"")</f>
        <v/>
      </c>
      <c r="W113" s="1143"/>
      <c r="X113" s="1143"/>
    </row>
    <row r="114" spans="1:24">
      <c r="A114" s="19" t="str">
        <f t="shared" ca="1" si="5"/>
        <v/>
      </c>
      <c r="B114" s="1146" t="str">
        <f ca="1">IFERROR(INDEX(NVLSX!$Y$2:$Y$6756,MATCH($D114,NVLSX!$E$2:$E$6756,0)),"")</f>
        <v/>
      </c>
      <c r="C114" s="1146" t="str">
        <f ca="1">IFERROR(INDEX(NVLSX!$Z$2:$Z$6756,MATCH($D114,NVLSX!$E$2:$E$6756,0)),"")</f>
        <v/>
      </c>
      <c r="D114" s="729" t="str">
        <f ca="1">IF($R114="","",INDEX(TongVTSX!C$3:C$1500,$R114))</f>
        <v/>
      </c>
      <c r="E114" s="729" t="str">
        <f ca="1">IF($R114="","",IF($S114=$T$7,INDEX(TongVTSX!D$3:D$1500,$R114) &amp;  " (" &amp; INDEX(TongVTSX!A$3:A$1500,$R114) &amp; ")",INDEX(TongVTSX!D$3:D$1500,$R114)))</f>
        <v/>
      </c>
      <c r="F114" s="874" t="str">
        <f ca="1">IF($R114="","",IF($S114&lt;&gt;NVLSX!$N$6492,INDEX(TongVTSX!E$3:E$1500,$R114),INDEX(TongVTSX!G$3:G$1500,$R114)))</f>
        <v/>
      </c>
      <c r="G114" s="730" t="str">
        <f ca="1">IF($R114="","",INDEX(TongVTSX!F$3:F$1500,$R114))</f>
        <v/>
      </c>
      <c r="H114" s="731">
        <f ca="1">IF($S114=$T$7,INDEX(TongVTSX!$K$3:$K$1500,$R114)/INDEX(TongVTSX!$G$3:$G$1500,$R114),IF($S114=$T$2,ROUNDUP(SUMPRODUCT((TongVTSX!$C$3:$C$1500=$D114)*(TongVTSX!$E$3:$E$1500=$F114)*(TongVTSX!$S$3:$S$1500=TongVTSX!$S$2)*(TongVTSX!$K$3:$K$1500))/$V114,0),SUMPRODUCT((TongVTSX!$C$3:$C$1500=$D114)*(TongVTSX!$E$3:$E$1500=$F114)*(TongVTSX!$S$3:$S$1500=TongVTSX!$S$2)*(TongVTSX!$K$3:$K$1500))))</f>
        <v>0</v>
      </c>
      <c r="I114" s="731">
        <f ca="1">IF($S114=$T$2,ROUNDUP(SUMPRODUCT((TongVTSX!$C$3:$C$1500=$D114)*(TongVTSX!$E$3:$E$1500=$F114)*(TongVTSX!$S$3:$S$1500=TongVTSX!$S$2)*(TongVTSX!$K$3:$K$1500))/$V114,2),0)</f>
        <v>0</v>
      </c>
      <c r="J114" s="731"/>
      <c r="K114" s="731"/>
      <c r="L114" s="732"/>
      <c r="M114" s="732" t="str">
        <f t="shared" ca="1" si="4"/>
        <v/>
      </c>
      <c r="N114" s="732"/>
      <c r="O114" s="732">
        <f ca="1">IF($S114=$T$7,INDEX(TongVTSX!$O$3:$O$1500,$R114),IF($S114=$T$2,INDEX(TongVTSX!$M$3:$M$1500,$R114)*$V114*$H114,SUMPRODUCT((TongVTSX!$C$3:$C$1500=$D114)*(TongVTSX!$E$3:$E$1500=$F114)*(TongVTSX!$S$3:$S$1500=TongVTSX!$S$2)*(TongVTSX!$O$3:$O$1500))))</f>
        <v>0</v>
      </c>
      <c r="P114" s="1150">
        <f ca="1">IF($S114=$T$7,INDEX(TongVTSX!$O$3:$O$1500,$R114),IF($S114=$T$2,INDEX(TongVTSX!$M$3:$M$1500,$R114)*$I114*$V114,SUMPRODUCT((TongVTSX!$C$3:$C$1500=$D114)*(TongVTSX!$E$3:$E$1500=$F114)*(TongVTSX!$S$3:$S$1500=TongVTSX!$S$2)*(TongVTSX!$O$3:$O$1500))))</f>
        <v>0</v>
      </c>
      <c r="Q114" s="1155" t="str">
        <f ca="1">IFERROR(INDEX(NVLSX!$AA$2:$AA$6756,MATCH($D114,NVLSX!$E$2:$E$6756,0)),"")</f>
        <v/>
      </c>
      <c r="R114" s="75" t="str">
        <f ca="1">IF(S114="","",IF(S114&lt;&gt;S113,IF(TYPE(MATCH(S114,TongVTSX!$Q$3:$Q$1500,0))=16,"",MATCH(S114,TongVTSX!$Q$3:$Q$1500,0)),IF(TYPE(MATCH(S114,OFFSET(TongVTSX!$Q$3,R113,0):'TongVTSX'!$Q$1500,0)+R113)=16,"",MATCH(S114,OFFSET(TongVTSX!$Q$3,R113,0):'TongVTSX'!$Q$1500,0)+R113)))</f>
        <v/>
      </c>
      <c r="S114" s="76" t="str">
        <f ca="1">IFERROR(IF(COUNTIF($S$3:S113,S113)&lt; INDEX($U$1:$U$7,MATCH($S113,$T$1:$T$7,0)),$S113,INDEX($T$1:$T$7,MATCH($S113,$T$1:$T$7,0)+1)),"")</f>
        <v/>
      </c>
      <c r="V114" s="1133" t="str">
        <f ca="1">IFERROR(INDEX(NVLSX!$U$2:$U$6941,MATCH($D114,NVLSX!$E$2:$E$6941,0)),"")</f>
        <v/>
      </c>
      <c r="W114" s="1143"/>
      <c r="X114" s="1143"/>
    </row>
    <row r="115" spans="1:24">
      <c r="A115" s="19" t="str">
        <f t="shared" ca="1" si="5"/>
        <v/>
      </c>
      <c r="B115" s="1146" t="str">
        <f ca="1">IFERROR(INDEX(NVLSX!$Y$2:$Y$6756,MATCH($D115,NVLSX!$E$2:$E$6756,0)),"")</f>
        <v/>
      </c>
      <c r="C115" s="1146" t="str">
        <f ca="1">IFERROR(INDEX(NVLSX!$Z$2:$Z$6756,MATCH($D115,NVLSX!$E$2:$E$6756,0)),"")</f>
        <v/>
      </c>
      <c r="D115" s="729" t="str">
        <f ca="1">IF($R115="","",INDEX(TongVTSX!C$3:C$1500,$R115))</f>
        <v/>
      </c>
      <c r="E115" s="729" t="str">
        <f ca="1">IF($R115="","",IF($S115=$T$7,INDEX(TongVTSX!D$3:D$1500,$R115) &amp;  " (" &amp; INDEX(TongVTSX!A$3:A$1500,$R115) &amp; ")",INDEX(TongVTSX!D$3:D$1500,$R115)))</f>
        <v/>
      </c>
      <c r="F115" s="874" t="str">
        <f ca="1">IF($R115="","",IF($S115&lt;&gt;NVLSX!$N$6492,INDEX(TongVTSX!E$3:E$1500,$R115),INDEX(TongVTSX!G$3:G$1500,$R115)))</f>
        <v/>
      </c>
      <c r="G115" s="730" t="str">
        <f ca="1">IF($R115="","",INDEX(TongVTSX!F$3:F$1500,$R115))</f>
        <v/>
      </c>
      <c r="H115" s="731">
        <f ca="1">IF($S115=$T$7,INDEX(TongVTSX!$K$3:$K$1500,$R115)/INDEX(TongVTSX!$G$3:$G$1500,$R115),IF($S115=$T$2,ROUNDUP(SUMPRODUCT((TongVTSX!$C$3:$C$1500=$D115)*(TongVTSX!$E$3:$E$1500=$F115)*(TongVTSX!$S$3:$S$1500=TongVTSX!$S$2)*(TongVTSX!$K$3:$K$1500))/$V115,0),SUMPRODUCT((TongVTSX!$C$3:$C$1500=$D115)*(TongVTSX!$E$3:$E$1500=$F115)*(TongVTSX!$S$3:$S$1500=TongVTSX!$S$2)*(TongVTSX!$K$3:$K$1500))))</f>
        <v>0</v>
      </c>
      <c r="I115" s="731">
        <f ca="1">IF($S115=$T$2,ROUNDUP(SUMPRODUCT((TongVTSX!$C$3:$C$1500=$D115)*(TongVTSX!$E$3:$E$1500=$F115)*(TongVTSX!$S$3:$S$1500=TongVTSX!$S$2)*(TongVTSX!$K$3:$K$1500))/$V115,2),0)</f>
        <v>0</v>
      </c>
      <c r="J115" s="731"/>
      <c r="K115" s="731"/>
      <c r="L115" s="732"/>
      <c r="M115" s="732" t="str">
        <f t="shared" ca="1" si="4"/>
        <v/>
      </c>
      <c r="N115" s="732"/>
      <c r="O115" s="732">
        <f ca="1">IF($S115=$T$7,INDEX(TongVTSX!$O$3:$O$1500,$R115),IF($S115=$T$2,INDEX(TongVTSX!$M$3:$M$1500,$R115)*$V115*$H115,SUMPRODUCT((TongVTSX!$C$3:$C$1500=$D115)*(TongVTSX!$E$3:$E$1500=$F115)*(TongVTSX!$S$3:$S$1500=TongVTSX!$S$2)*(TongVTSX!$O$3:$O$1500))))</f>
        <v>0</v>
      </c>
      <c r="P115" s="1150">
        <f ca="1">IF($S115=$T$7,INDEX(TongVTSX!$O$3:$O$1500,$R115),IF($S115=$T$2,INDEX(TongVTSX!$M$3:$M$1500,$R115)*$I115*$V115,SUMPRODUCT((TongVTSX!$C$3:$C$1500=$D115)*(TongVTSX!$E$3:$E$1500=$F115)*(TongVTSX!$S$3:$S$1500=TongVTSX!$S$2)*(TongVTSX!$O$3:$O$1500))))</f>
        <v>0</v>
      </c>
      <c r="Q115" s="1155" t="str">
        <f ca="1">IFERROR(INDEX(NVLSX!$AA$2:$AA$6756,MATCH($D115,NVLSX!$E$2:$E$6756,0)),"")</f>
        <v/>
      </c>
      <c r="R115" s="75" t="str">
        <f ca="1">IF(S115="","",IF(S115&lt;&gt;S114,IF(TYPE(MATCH(S115,TongVTSX!$Q$3:$Q$1500,0))=16,"",MATCH(S115,TongVTSX!$Q$3:$Q$1500,0)),IF(TYPE(MATCH(S115,OFFSET(TongVTSX!$Q$3,R114,0):'TongVTSX'!$Q$1500,0)+R114)=16,"",MATCH(S115,OFFSET(TongVTSX!$Q$3,R114,0):'TongVTSX'!$Q$1500,0)+R114)))</f>
        <v/>
      </c>
      <c r="S115" s="76" t="str">
        <f ca="1">IFERROR(IF(COUNTIF($S$3:S114,S114)&lt; INDEX($U$1:$U$7,MATCH($S114,$T$1:$T$7,0)),$S114,INDEX($T$1:$T$7,MATCH($S114,$T$1:$T$7,0)+1)),"")</f>
        <v/>
      </c>
      <c r="V115" s="1133" t="str">
        <f ca="1">IFERROR(INDEX(NVLSX!$U$2:$U$6941,MATCH($D115,NVLSX!$E$2:$E$6941,0)),"")</f>
        <v/>
      </c>
      <c r="W115" s="1143"/>
      <c r="X115" s="1143"/>
    </row>
    <row r="116" spans="1:24">
      <c r="A116" s="19" t="str">
        <f t="shared" ca="1" si="5"/>
        <v/>
      </c>
      <c r="B116" s="1146" t="str">
        <f ca="1">IFERROR(INDEX(NVLSX!$Y$2:$Y$6756,MATCH($D116,NVLSX!$E$2:$E$6756,0)),"")</f>
        <v/>
      </c>
      <c r="C116" s="1146" t="str">
        <f ca="1">IFERROR(INDEX(NVLSX!$Z$2:$Z$6756,MATCH($D116,NVLSX!$E$2:$E$6756,0)),"")</f>
        <v/>
      </c>
      <c r="D116" s="729" t="str">
        <f ca="1">IF($R116="","",INDEX(TongVTSX!C$3:C$1500,$R116))</f>
        <v/>
      </c>
      <c r="E116" s="729" t="str">
        <f ca="1">IF($R116="","",IF($S116=$T$7,INDEX(TongVTSX!D$3:D$1500,$R116) &amp;  " (" &amp; INDEX(TongVTSX!A$3:A$1500,$R116) &amp; ")",INDEX(TongVTSX!D$3:D$1500,$R116)))</f>
        <v/>
      </c>
      <c r="F116" s="874" t="str">
        <f ca="1">IF($R116="","",IF($S116&lt;&gt;NVLSX!$N$6492,INDEX(TongVTSX!E$3:E$1500,$R116),INDEX(TongVTSX!G$3:G$1500,$R116)))</f>
        <v/>
      </c>
      <c r="G116" s="730" t="str">
        <f ca="1">IF($R116="","",INDEX(TongVTSX!F$3:F$1500,$R116))</f>
        <v/>
      </c>
      <c r="H116" s="731">
        <f ca="1">IF($S116=$T$7,INDEX(TongVTSX!$K$3:$K$1500,$R116)/INDEX(TongVTSX!$G$3:$G$1500,$R116),IF($S116=$T$2,ROUNDUP(SUMPRODUCT((TongVTSX!$C$3:$C$1500=$D116)*(TongVTSX!$E$3:$E$1500=$F116)*(TongVTSX!$S$3:$S$1500=TongVTSX!$S$2)*(TongVTSX!$K$3:$K$1500))/$V116,0),SUMPRODUCT((TongVTSX!$C$3:$C$1500=$D116)*(TongVTSX!$E$3:$E$1500=$F116)*(TongVTSX!$S$3:$S$1500=TongVTSX!$S$2)*(TongVTSX!$K$3:$K$1500))))</f>
        <v>0</v>
      </c>
      <c r="I116" s="731">
        <f ca="1">IF($S116=$T$2,ROUNDUP(SUMPRODUCT((TongVTSX!$C$3:$C$1500=$D116)*(TongVTSX!$E$3:$E$1500=$F116)*(TongVTSX!$S$3:$S$1500=TongVTSX!$S$2)*(TongVTSX!$K$3:$K$1500))/$V116,2),0)</f>
        <v>0</v>
      </c>
      <c r="J116" s="731"/>
      <c r="K116" s="731"/>
      <c r="L116" s="732"/>
      <c r="M116" s="732" t="str">
        <f t="shared" ca="1" si="4"/>
        <v/>
      </c>
      <c r="N116" s="732"/>
      <c r="O116" s="732">
        <f ca="1">IF($S116=$T$7,INDEX(TongVTSX!$O$3:$O$1500,$R116),IF($S116=$T$2,INDEX(TongVTSX!$M$3:$M$1500,$R116)*$V116*$H116,SUMPRODUCT((TongVTSX!$C$3:$C$1500=$D116)*(TongVTSX!$E$3:$E$1500=$F116)*(TongVTSX!$S$3:$S$1500=TongVTSX!$S$2)*(TongVTSX!$O$3:$O$1500))))</f>
        <v>0</v>
      </c>
      <c r="P116" s="1150">
        <f ca="1">IF($S116=$T$7,INDEX(TongVTSX!$O$3:$O$1500,$R116),IF($S116=$T$2,INDEX(TongVTSX!$M$3:$M$1500,$R116)*$I116*$V116,SUMPRODUCT((TongVTSX!$C$3:$C$1500=$D116)*(TongVTSX!$E$3:$E$1500=$F116)*(TongVTSX!$S$3:$S$1500=TongVTSX!$S$2)*(TongVTSX!$O$3:$O$1500))))</f>
        <v>0</v>
      </c>
      <c r="Q116" s="1155" t="str">
        <f ca="1">IFERROR(INDEX(NVLSX!$AA$2:$AA$6756,MATCH($D116,NVLSX!$E$2:$E$6756,0)),"")</f>
        <v/>
      </c>
      <c r="R116" s="75" t="str">
        <f ca="1">IF(S116="","",IF(S116&lt;&gt;S115,IF(TYPE(MATCH(S116,TongVTSX!$Q$3:$Q$1500,0))=16,"",MATCH(S116,TongVTSX!$Q$3:$Q$1500,0)),IF(TYPE(MATCH(S116,OFFSET(TongVTSX!$Q$3,R115,0):'TongVTSX'!$Q$1500,0)+R115)=16,"",MATCH(S116,OFFSET(TongVTSX!$Q$3,R115,0):'TongVTSX'!$Q$1500,0)+R115)))</f>
        <v/>
      </c>
      <c r="S116" s="76" t="str">
        <f ca="1">IFERROR(IF(COUNTIF($S$3:S115,S115)&lt; INDEX($U$1:$U$7,MATCH($S115,$T$1:$T$7,0)),$S115,INDEX($T$1:$T$7,MATCH($S115,$T$1:$T$7,0)+1)),"")</f>
        <v/>
      </c>
      <c r="V116" s="1133" t="str">
        <f ca="1">IFERROR(INDEX(NVLSX!$U$2:$U$6941,MATCH($D116,NVLSX!$E$2:$E$6941,0)),"")</f>
        <v/>
      </c>
      <c r="W116" s="1143"/>
      <c r="X116" s="1143"/>
    </row>
    <row r="117" spans="1:24">
      <c r="A117" s="19" t="str">
        <f t="shared" ca="1" si="5"/>
        <v/>
      </c>
      <c r="B117" s="1146" t="str">
        <f ca="1">IFERROR(INDEX(NVLSX!$Y$2:$Y$6756,MATCH($D117,NVLSX!$E$2:$E$6756,0)),"")</f>
        <v/>
      </c>
      <c r="C117" s="1146" t="str">
        <f ca="1">IFERROR(INDEX(NVLSX!$Z$2:$Z$6756,MATCH($D117,NVLSX!$E$2:$E$6756,0)),"")</f>
        <v/>
      </c>
      <c r="D117" s="729" t="str">
        <f ca="1">IF($R117="","",INDEX(TongVTSX!C$3:C$1500,$R117))</f>
        <v/>
      </c>
      <c r="E117" s="729" t="str">
        <f ca="1">IF($R117="","",IF($S117=$T$7,INDEX(TongVTSX!D$3:D$1500,$R117) &amp;  " (" &amp; INDEX(TongVTSX!A$3:A$1500,$R117) &amp; ")",INDEX(TongVTSX!D$3:D$1500,$R117)))</f>
        <v/>
      </c>
      <c r="F117" s="874" t="str">
        <f ca="1">IF($R117="","",IF($S117&lt;&gt;NVLSX!$N$6492,INDEX(TongVTSX!E$3:E$1500,$R117),INDEX(TongVTSX!G$3:G$1500,$R117)))</f>
        <v/>
      </c>
      <c r="G117" s="730" t="str">
        <f ca="1">IF($R117="","",INDEX(TongVTSX!F$3:F$1500,$R117))</f>
        <v/>
      </c>
      <c r="H117" s="731">
        <f ca="1">IF($S117=$T$7,INDEX(TongVTSX!$K$3:$K$1500,$R117)/INDEX(TongVTSX!$G$3:$G$1500,$R117),IF($S117=$T$2,ROUNDUP(SUMPRODUCT((TongVTSX!$C$3:$C$1500=$D117)*(TongVTSX!$E$3:$E$1500=$F117)*(TongVTSX!$S$3:$S$1500=TongVTSX!$S$2)*(TongVTSX!$K$3:$K$1500))/$V117,0),SUMPRODUCT((TongVTSX!$C$3:$C$1500=$D117)*(TongVTSX!$E$3:$E$1500=$F117)*(TongVTSX!$S$3:$S$1500=TongVTSX!$S$2)*(TongVTSX!$K$3:$K$1500))))</f>
        <v>0</v>
      </c>
      <c r="I117" s="731">
        <f ca="1">IF($S117=$T$2,ROUNDUP(SUMPRODUCT((TongVTSX!$C$3:$C$1500=$D117)*(TongVTSX!$E$3:$E$1500=$F117)*(TongVTSX!$S$3:$S$1500=TongVTSX!$S$2)*(TongVTSX!$K$3:$K$1500))/$V117,2),0)</f>
        <v>0</v>
      </c>
      <c r="J117" s="731"/>
      <c r="K117" s="731"/>
      <c r="L117" s="732"/>
      <c r="M117" s="732" t="str">
        <f t="shared" ca="1" si="4"/>
        <v/>
      </c>
      <c r="N117" s="732"/>
      <c r="O117" s="732">
        <f ca="1">IF($S117=$T$7,INDEX(TongVTSX!$O$3:$O$1500,$R117),IF($S117=$T$2,INDEX(TongVTSX!$M$3:$M$1500,$R117)*$V117*$H117,SUMPRODUCT((TongVTSX!$C$3:$C$1500=$D117)*(TongVTSX!$E$3:$E$1500=$F117)*(TongVTSX!$S$3:$S$1500=TongVTSX!$S$2)*(TongVTSX!$O$3:$O$1500))))</f>
        <v>0</v>
      </c>
      <c r="P117" s="1150">
        <f ca="1">IF($S117=$T$7,INDEX(TongVTSX!$O$3:$O$1500,$R117),IF($S117=$T$2,INDEX(TongVTSX!$M$3:$M$1500,$R117)*$I117*$V117,SUMPRODUCT((TongVTSX!$C$3:$C$1500=$D117)*(TongVTSX!$E$3:$E$1500=$F117)*(TongVTSX!$S$3:$S$1500=TongVTSX!$S$2)*(TongVTSX!$O$3:$O$1500))))</f>
        <v>0</v>
      </c>
      <c r="Q117" s="1155" t="str">
        <f ca="1">IFERROR(INDEX(NVLSX!$AA$2:$AA$6756,MATCH($D117,NVLSX!$E$2:$E$6756,0)),"")</f>
        <v/>
      </c>
      <c r="R117" s="75" t="str">
        <f ca="1">IF(S117="","",IF(S117&lt;&gt;S116,IF(TYPE(MATCH(S117,TongVTSX!$Q$3:$Q$1500,0))=16,"",MATCH(S117,TongVTSX!$Q$3:$Q$1500,0)),IF(TYPE(MATCH(S117,OFFSET(TongVTSX!$Q$3,R116,0):'TongVTSX'!$Q$1500,0)+R116)=16,"",MATCH(S117,OFFSET(TongVTSX!$Q$3,R116,0):'TongVTSX'!$Q$1500,0)+R116)))</f>
        <v/>
      </c>
      <c r="S117" s="76" t="str">
        <f ca="1">IFERROR(IF(COUNTIF($S$3:S116,S116)&lt; INDEX($U$1:$U$7,MATCH($S116,$T$1:$T$7,0)),$S116,INDEX($T$1:$T$7,MATCH($S116,$T$1:$T$7,0)+1)),"")</f>
        <v/>
      </c>
      <c r="V117" s="1133" t="str">
        <f ca="1">IFERROR(INDEX(NVLSX!$U$2:$U$6941,MATCH($D117,NVLSX!$E$2:$E$6941,0)),"")</f>
        <v/>
      </c>
      <c r="W117" s="1143"/>
      <c r="X117" s="1143"/>
    </row>
    <row r="118" spans="1:24">
      <c r="A118" s="19" t="str">
        <f t="shared" ca="1" si="5"/>
        <v/>
      </c>
      <c r="B118" s="1146" t="str">
        <f ca="1">IFERROR(INDEX(NVLSX!$Y$2:$Y$6756,MATCH($D118,NVLSX!$E$2:$E$6756,0)),"")</f>
        <v/>
      </c>
      <c r="C118" s="1146" t="str">
        <f ca="1">IFERROR(INDEX(NVLSX!$Z$2:$Z$6756,MATCH($D118,NVLSX!$E$2:$E$6756,0)),"")</f>
        <v/>
      </c>
      <c r="D118" s="729" t="str">
        <f ca="1">IF($R118="","",INDEX(TongVTSX!C$3:C$1500,$R118))</f>
        <v/>
      </c>
      <c r="E118" s="729" t="str">
        <f ca="1">IF($R118="","",IF($S118=$T$7,INDEX(TongVTSX!D$3:D$1500,$R118) &amp;  " (" &amp; INDEX(TongVTSX!A$3:A$1500,$R118) &amp; ")",INDEX(TongVTSX!D$3:D$1500,$R118)))</f>
        <v/>
      </c>
      <c r="F118" s="874" t="str">
        <f ca="1">IF($R118="","",IF($S118&lt;&gt;NVLSX!$N$6492,INDEX(TongVTSX!E$3:E$1500,$R118),INDEX(TongVTSX!G$3:G$1500,$R118)))</f>
        <v/>
      </c>
      <c r="G118" s="730" t="str">
        <f ca="1">IF($R118="","",INDEX(TongVTSX!F$3:F$1500,$R118))</f>
        <v/>
      </c>
      <c r="H118" s="731">
        <f ca="1">IF($S118=$T$7,INDEX(TongVTSX!$K$3:$K$1500,$R118)/INDEX(TongVTSX!$G$3:$G$1500,$R118),IF($S118=$T$2,ROUNDUP(SUMPRODUCT((TongVTSX!$C$3:$C$1500=$D118)*(TongVTSX!$E$3:$E$1500=$F118)*(TongVTSX!$S$3:$S$1500=TongVTSX!$S$2)*(TongVTSX!$K$3:$K$1500))/$V118,0),SUMPRODUCT((TongVTSX!$C$3:$C$1500=$D118)*(TongVTSX!$E$3:$E$1500=$F118)*(TongVTSX!$S$3:$S$1500=TongVTSX!$S$2)*(TongVTSX!$K$3:$K$1500))))</f>
        <v>0</v>
      </c>
      <c r="I118" s="731">
        <f ca="1">IF($S118=$T$2,ROUNDUP(SUMPRODUCT((TongVTSX!$C$3:$C$1500=$D118)*(TongVTSX!$E$3:$E$1500=$F118)*(TongVTSX!$S$3:$S$1500=TongVTSX!$S$2)*(TongVTSX!$K$3:$K$1500))/$V118,2),0)</f>
        <v>0</v>
      </c>
      <c r="J118" s="731"/>
      <c r="K118" s="731"/>
      <c r="L118" s="732"/>
      <c r="M118" s="732" t="str">
        <f t="shared" ca="1" si="4"/>
        <v/>
      </c>
      <c r="N118" s="732"/>
      <c r="O118" s="732">
        <f ca="1">IF($S118=$T$7,INDEX(TongVTSX!$O$3:$O$1500,$R118),IF($S118=$T$2,INDEX(TongVTSX!$M$3:$M$1500,$R118)*$V118*$H118,SUMPRODUCT((TongVTSX!$C$3:$C$1500=$D118)*(TongVTSX!$E$3:$E$1500=$F118)*(TongVTSX!$S$3:$S$1500=TongVTSX!$S$2)*(TongVTSX!$O$3:$O$1500))))</f>
        <v>0</v>
      </c>
      <c r="P118" s="1150">
        <f ca="1">IF($S118=$T$7,INDEX(TongVTSX!$O$3:$O$1500,$R118),IF($S118=$T$2,INDEX(TongVTSX!$M$3:$M$1500,$R118)*$I118*$V118,SUMPRODUCT((TongVTSX!$C$3:$C$1500=$D118)*(TongVTSX!$E$3:$E$1500=$F118)*(TongVTSX!$S$3:$S$1500=TongVTSX!$S$2)*(TongVTSX!$O$3:$O$1500))))</f>
        <v>0</v>
      </c>
      <c r="Q118" s="1155" t="str">
        <f ca="1">IFERROR(INDEX(NVLSX!$AA$2:$AA$6756,MATCH($D118,NVLSX!$E$2:$E$6756,0)),"")</f>
        <v/>
      </c>
      <c r="R118" s="75" t="str">
        <f ca="1">IF(S118="","",IF(S118&lt;&gt;S117,IF(TYPE(MATCH(S118,TongVTSX!$Q$3:$Q$1500,0))=16,"",MATCH(S118,TongVTSX!$Q$3:$Q$1500,0)),IF(TYPE(MATCH(S118,OFFSET(TongVTSX!$Q$3,R117,0):'TongVTSX'!$Q$1500,0)+R117)=16,"",MATCH(S118,OFFSET(TongVTSX!$Q$3,R117,0):'TongVTSX'!$Q$1500,0)+R117)))</f>
        <v/>
      </c>
      <c r="S118" s="76" t="str">
        <f ca="1">IFERROR(IF(COUNTIF($S$3:S117,S117)&lt; INDEX($U$1:$U$7,MATCH($S117,$T$1:$T$7,0)),$S117,INDEX($T$1:$T$7,MATCH($S117,$T$1:$T$7,0)+1)),"")</f>
        <v/>
      </c>
      <c r="V118" s="1133" t="str">
        <f ca="1">IFERROR(INDEX(NVLSX!$U$2:$U$6941,MATCH($D118,NVLSX!$E$2:$E$6941,0)),"")</f>
        <v/>
      </c>
      <c r="W118" s="1143"/>
      <c r="X118" s="1143"/>
    </row>
    <row r="119" spans="1:24">
      <c r="A119" s="19" t="str">
        <f t="shared" ca="1" si="5"/>
        <v/>
      </c>
      <c r="B119" s="1146" t="str">
        <f ca="1">IFERROR(INDEX(NVLSX!$Y$2:$Y$6756,MATCH($D119,NVLSX!$E$2:$E$6756,0)),"")</f>
        <v/>
      </c>
      <c r="C119" s="1146" t="str">
        <f ca="1">IFERROR(INDEX(NVLSX!$Z$2:$Z$6756,MATCH($D119,NVLSX!$E$2:$E$6756,0)),"")</f>
        <v/>
      </c>
      <c r="D119" s="729" t="str">
        <f ca="1">IF($R119="","",INDEX(TongVTSX!C$3:C$1500,$R119))</f>
        <v/>
      </c>
      <c r="E119" s="729" t="str">
        <f ca="1">IF($R119="","",IF($S119=$T$7,INDEX(TongVTSX!D$3:D$1500,$R119) &amp;  " (" &amp; INDEX(TongVTSX!A$3:A$1500,$R119) &amp; ")",INDEX(TongVTSX!D$3:D$1500,$R119)))</f>
        <v/>
      </c>
      <c r="F119" s="874" t="str">
        <f ca="1">IF($R119="","",IF($S119&lt;&gt;NVLSX!$N$6492,INDEX(TongVTSX!E$3:E$1500,$R119),INDEX(TongVTSX!G$3:G$1500,$R119)))</f>
        <v/>
      </c>
      <c r="G119" s="730" t="str">
        <f ca="1">IF($R119="","",INDEX(TongVTSX!F$3:F$1500,$R119))</f>
        <v/>
      </c>
      <c r="H119" s="731">
        <f ca="1">IF($S119=$T$7,INDEX(TongVTSX!$K$3:$K$1500,$R119)/INDEX(TongVTSX!$G$3:$G$1500,$R119),IF($S119=$T$2,ROUNDUP(SUMPRODUCT((TongVTSX!$C$3:$C$1500=$D119)*(TongVTSX!$E$3:$E$1500=$F119)*(TongVTSX!$S$3:$S$1500=TongVTSX!$S$2)*(TongVTSX!$K$3:$K$1500))/$V119,0),SUMPRODUCT((TongVTSX!$C$3:$C$1500=$D119)*(TongVTSX!$E$3:$E$1500=$F119)*(TongVTSX!$S$3:$S$1500=TongVTSX!$S$2)*(TongVTSX!$K$3:$K$1500))))</f>
        <v>0</v>
      </c>
      <c r="I119" s="731">
        <f ca="1">IF($S119=$T$2,ROUNDUP(SUMPRODUCT((TongVTSX!$C$3:$C$1500=$D119)*(TongVTSX!$E$3:$E$1500=$F119)*(TongVTSX!$S$3:$S$1500=TongVTSX!$S$2)*(TongVTSX!$K$3:$K$1500))/$V119,2),0)</f>
        <v>0</v>
      </c>
      <c r="J119" s="731"/>
      <c r="K119" s="731"/>
      <c r="L119" s="732"/>
      <c r="M119" s="732" t="str">
        <f t="shared" ca="1" si="4"/>
        <v/>
      </c>
      <c r="N119" s="732"/>
      <c r="O119" s="732">
        <f ca="1">IF($S119=$T$7,INDEX(TongVTSX!$O$3:$O$1500,$R119),IF($S119=$T$2,INDEX(TongVTSX!$M$3:$M$1500,$R119)*$V119*$H119,SUMPRODUCT((TongVTSX!$C$3:$C$1500=$D119)*(TongVTSX!$E$3:$E$1500=$F119)*(TongVTSX!$S$3:$S$1500=TongVTSX!$S$2)*(TongVTSX!$O$3:$O$1500))))</f>
        <v>0</v>
      </c>
      <c r="P119" s="1150">
        <f ca="1">IF($S119=$T$7,INDEX(TongVTSX!$O$3:$O$1500,$R119),IF($S119=$T$2,INDEX(TongVTSX!$M$3:$M$1500,$R119)*$I119*$V119,SUMPRODUCT((TongVTSX!$C$3:$C$1500=$D119)*(TongVTSX!$E$3:$E$1500=$F119)*(TongVTSX!$S$3:$S$1500=TongVTSX!$S$2)*(TongVTSX!$O$3:$O$1500))))</f>
        <v>0</v>
      </c>
      <c r="Q119" s="1155" t="str">
        <f ca="1">IFERROR(INDEX(NVLSX!$AA$2:$AA$6756,MATCH($D119,NVLSX!$E$2:$E$6756,0)),"")</f>
        <v/>
      </c>
      <c r="R119" s="75" t="str">
        <f ca="1">IF(S119="","",IF(S119&lt;&gt;S118,IF(TYPE(MATCH(S119,TongVTSX!$Q$3:$Q$1500,0))=16,"",MATCH(S119,TongVTSX!$Q$3:$Q$1500,0)),IF(TYPE(MATCH(S119,OFFSET(TongVTSX!$Q$3,R118,0):'TongVTSX'!$Q$1500,0)+R118)=16,"",MATCH(S119,OFFSET(TongVTSX!$Q$3,R118,0):'TongVTSX'!$Q$1500,0)+R118)))</f>
        <v/>
      </c>
      <c r="S119" s="76" t="str">
        <f ca="1">IFERROR(IF(COUNTIF($S$3:S118,S118)&lt; INDEX($U$1:$U$7,MATCH($S118,$T$1:$T$7,0)),$S118,INDEX($T$1:$T$7,MATCH($S118,$T$1:$T$7,0)+1)),"")</f>
        <v/>
      </c>
      <c r="V119" s="1133" t="str">
        <f ca="1">IFERROR(INDEX(NVLSX!$U$2:$U$6941,MATCH($D119,NVLSX!$E$2:$E$6941,0)),"")</f>
        <v/>
      </c>
      <c r="W119" s="1143"/>
      <c r="X119" s="1143"/>
    </row>
    <row r="120" spans="1:24">
      <c r="A120" s="19" t="str">
        <f t="shared" ca="1" si="5"/>
        <v/>
      </c>
      <c r="B120" s="1146" t="str">
        <f ca="1">IFERROR(INDEX(NVLSX!$Y$2:$Y$6756,MATCH($D120,NVLSX!$E$2:$E$6756,0)),"")</f>
        <v/>
      </c>
      <c r="C120" s="1146" t="str">
        <f ca="1">IFERROR(INDEX(NVLSX!$Z$2:$Z$6756,MATCH($D120,NVLSX!$E$2:$E$6756,0)),"")</f>
        <v/>
      </c>
      <c r="D120" s="729" t="str">
        <f ca="1">IF($R120="","",INDEX(TongVTSX!C$3:C$1500,$R120))</f>
        <v/>
      </c>
      <c r="E120" s="729" t="str">
        <f ca="1">IF($R120="","",IF($S120=$T$7,INDEX(TongVTSX!D$3:D$1500,$R120) &amp;  " (" &amp; INDEX(TongVTSX!A$3:A$1500,$R120) &amp; ")",INDEX(TongVTSX!D$3:D$1500,$R120)))</f>
        <v/>
      </c>
      <c r="F120" s="874" t="str">
        <f ca="1">IF($R120="","",IF($S120&lt;&gt;NVLSX!$N$6492,INDEX(TongVTSX!E$3:E$1500,$R120),INDEX(TongVTSX!G$3:G$1500,$R120)))</f>
        <v/>
      </c>
      <c r="G120" s="730" t="str">
        <f ca="1">IF($R120="","",INDEX(TongVTSX!F$3:F$1500,$R120))</f>
        <v/>
      </c>
      <c r="H120" s="731">
        <f ca="1">IF($S120=$T$7,INDEX(TongVTSX!$K$3:$K$1500,$R120)/INDEX(TongVTSX!$G$3:$G$1500,$R120),IF($S120=$T$2,ROUNDUP(SUMPRODUCT((TongVTSX!$C$3:$C$1500=$D120)*(TongVTSX!$E$3:$E$1500=$F120)*(TongVTSX!$S$3:$S$1500=TongVTSX!$S$2)*(TongVTSX!$K$3:$K$1500))/$V120,0),SUMPRODUCT((TongVTSX!$C$3:$C$1500=$D120)*(TongVTSX!$E$3:$E$1500=$F120)*(TongVTSX!$S$3:$S$1500=TongVTSX!$S$2)*(TongVTSX!$K$3:$K$1500))))</f>
        <v>0</v>
      </c>
      <c r="I120" s="731">
        <f ca="1">IF($S120=$T$2,ROUNDUP(SUMPRODUCT((TongVTSX!$C$3:$C$1500=$D120)*(TongVTSX!$E$3:$E$1500=$F120)*(TongVTSX!$S$3:$S$1500=TongVTSX!$S$2)*(TongVTSX!$K$3:$K$1500))/$V120,2),0)</f>
        <v>0</v>
      </c>
      <c r="J120" s="731"/>
      <c r="K120" s="731"/>
      <c r="L120" s="732"/>
      <c r="M120" s="732" t="str">
        <f t="shared" ca="1" si="4"/>
        <v/>
      </c>
      <c r="N120" s="732"/>
      <c r="O120" s="732">
        <f ca="1">IF($S120=$T$7,INDEX(TongVTSX!$O$3:$O$1500,$R120),IF($S120=$T$2,INDEX(TongVTSX!$M$3:$M$1500,$R120)*$V120*$H120,SUMPRODUCT((TongVTSX!$C$3:$C$1500=$D120)*(TongVTSX!$E$3:$E$1500=$F120)*(TongVTSX!$S$3:$S$1500=TongVTSX!$S$2)*(TongVTSX!$O$3:$O$1500))))</f>
        <v>0</v>
      </c>
      <c r="P120" s="1150">
        <f ca="1">IF($S120=$T$7,INDEX(TongVTSX!$O$3:$O$1500,$R120),IF($S120=$T$2,INDEX(TongVTSX!$M$3:$M$1500,$R120)*$I120*$V120,SUMPRODUCT((TongVTSX!$C$3:$C$1500=$D120)*(TongVTSX!$E$3:$E$1500=$F120)*(TongVTSX!$S$3:$S$1500=TongVTSX!$S$2)*(TongVTSX!$O$3:$O$1500))))</f>
        <v>0</v>
      </c>
      <c r="Q120" s="1155" t="str">
        <f ca="1">IFERROR(INDEX(NVLSX!$AA$2:$AA$6756,MATCH($D120,NVLSX!$E$2:$E$6756,0)),"")</f>
        <v/>
      </c>
      <c r="R120" s="75" t="str">
        <f ca="1">IF(S120="","",IF(S120&lt;&gt;S119,IF(TYPE(MATCH(S120,TongVTSX!$Q$3:$Q$1500,0))=16,"",MATCH(S120,TongVTSX!$Q$3:$Q$1500,0)),IF(TYPE(MATCH(S120,OFFSET(TongVTSX!$Q$3,R119,0):'TongVTSX'!$Q$1500,0)+R119)=16,"",MATCH(S120,OFFSET(TongVTSX!$Q$3,R119,0):'TongVTSX'!$Q$1500,0)+R119)))</f>
        <v/>
      </c>
      <c r="S120" s="76" t="str">
        <f ca="1">IFERROR(IF(COUNTIF($S$3:S119,S119)&lt; INDEX($U$1:$U$7,MATCH($S119,$T$1:$T$7,0)),$S119,INDEX($T$1:$T$7,MATCH($S119,$T$1:$T$7,0)+1)),"")</f>
        <v/>
      </c>
      <c r="V120" s="1133" t="str">
        <f ca="1">IFERROR(INDEX(NVLSX!$U$2:$U$6941,MATCH($D120,NVLSX!$E$2:$E$6941,0)),"")</f>
        <v/>
      </c>
      <c r="W120" s="1143"/>
      <c r="X120" s="1143"/>
    </row>
    <row r="121" spans="1:24">
      <c r="A121" s="19" t="str">
        <f t="shared" ca="1" si="5"/>
        <v/>
      </c>
      <c r="B121" s="1146" t="str">
        <f ca="1">IFERROR(INDEX(NVLSX!$Y$2:$Y$6756,MATCH($D121,NVLSX!$E$2:$E$6756,0)),"")</f>
        <v/>
      </c>
      <c r="C121" s="1146" t="str">
        <f ca="1">IFERROR(INDEX(NVLSX!$Z$2:$Z$6756,MATCH($D121,NVLSX!$E$2:$E$6756,0)),"")</f>
        <v/>
      </c>
      <c r="D121" s="729" t="str">
        <f ca="1">IF($R121="","",INDEX(TongVTSX!C$3:C$1500,$R121))</f>
        <v/>
      </c>
      <c r="E121" s="729" t="str">
        <f ca="1">IF($R121="","",IF($S121=$T$7,INDEX(TongVTSX!D$3:D$1500,$R121) &amp;  " (" &amp; INDEX(TongVTSX!A$3:A$1500,$R121) &amp; ")",INDEX(TongVTSX!D$3:D$1500,$R121)))</f>
        <v/>
      </c>
      <c r="F121" s="874" t="str">
        <f ca="1">IF($R121="","",IF($S121&lt;&gt;NVLSX!$N$6492,INDEX(TongVTSX!E$3:E$1500,$R121),INDEX(TongVTSX!G$3:G$1500,$R121)))</f>
        <v/>
      </c>
      <c r="G121" s="730" t="str">
        <f ca="1">IF($R121="","",INDEX(TongVTSX!F$3:F$1500,$R121))</f>
        <v/>
      </c>
      <c r="H121" s="731">
        <f ca="1">IF($S121=$T$7,INDEX(TongVTSX!$K$3:$K$1500,$R121)/INDEX(TongVTSX!$G$3:$G$1500,$R121),IF($S121=$T$2,ROUNDUP(SUMPRODUCT((TongVTSX!$C$3:$C$1500=$D121)*(TongVTSX!$E$3:$E$1500=$F121)*(TongVTSX!$S$3:$S$1500=TongVTSX!$S$2)*(TongVTSX!$K$3:$K$1500))/$V121,0),SUMPRODUCT((TongVTSX!$C$3:$C$1500=$D121)*(TongVTSX!$E$3:$E$1500=$F121)*(TongVTSX!$S$3:$S$1500=TongVTSX!$S$2)*(TongVTSX!$K$3:$K$1500))))</f>
        <v>0</v>
      </c>
      <c r="I121" s="731">
        <f ca="1">IF($S121=$T$2,ROUNDUP(SUMPRODUCT((TongVTSX!$C$3:$C$1500=$D121)*(TongVTSX!$E$3:$E$1500=$F121)*(TongVTSX!$S$3:$S$1500=TongVTSX!$S$2)*(TongVTSX!$K$3:$K$1500))/$V121,2),0)</f>
        <v>0</v>
      </c>
      <c r="J121" s="731"/>
      <c r="K121" s="731"/>
      <c r="L121" s="732"/>
      <c r="M121" s="732" t="str">
        <f t="shared" ca="1" si="4"/>
        <v/>
      </c>
      <c r="N121" s="732"/>
      <c r="O121" s="732">
        <f ca="1">IF($S121=$T$7,INDEX(TongVTSX!$O$3:$O$1500,$R121),IF($S121=$T$2,INDEX(TongVTSX!$M$3:$M$1500,$R121)*$V121*$H121,SUMPRODUCT((TongVTSX!$C$3:$C$1500=$D121)*(TongVTSX!$E$3:$E$1500=$F121)*(TongVTSX!$S$3:$S$1500=TongVTSX!$S$2)*(TongVTSX!$O$3:$O$1500))))</f>
        <v>0</v>
      </c>
      <c r="P121" s="1150">
        <f ca="1">IF($S121=$T$7,INDEX(TongVTSX!$O$3:$O$1500,$R121),IF($S121=$T$2,INDEX(TongVTSX!$M$3:$M$1500,$R121)*$I121*$V121,SUMPRODUCT((TongVTSX!$C$3:$C$1500=$D121)*(TongVTSX!$E$3:$E$1500=$F121)*(TongVTSX!$S$3:$S$1500=TongVTSX!$S$2)*(TongVTSX!$O$3:$O$1500))))</f>
        <v>0</v>
      </c>
      <c r="Q121" s="1155" t="str">
        <f ca="1">IFERROR(INDEX(NVLSX!$AA$2:$AA$6756,MATCH($D121,NVLSX!$E$2:$E$6756,0)),"")</f>
        <v/>
      </c>
      <c r="R121" s="75" t="str">
        <f ca="1">IF(S121="","",IF(S121&lt;&gt;S120,IF(TYPE(MATCH(S121,TongVTSX!$Q$3:$Q$1500,0))=16,"",MATCH(S121,TongVTSX!$Q$3:$Q$1500,0)),IF(TYPE(MATCH(S121,OFFSET(TongVTSX!$Q$3,R120,0):'TongVTSX'!$Q$1500,0)+R120)=16,"",MATCH(S121,OFFSET(TongVTSX!$Q$3,R120,0):'TongVTSX'!$Q$1500,0)+R120)))</f>
        <v/>
      </c>
      <c r="S121" s="76" t="str">
        <f ca="1">IFERROR(IF(COUNTIF($S$3:S120,S120)&lt; INDEX($U$1:$U$7,MATCH($S120,$T$1:$T$7,0)),$S120,INDEX($T$1:$T$7,MATCH($S120,$T$1:$T$7,0)+1)),"")</f>
        <v/>
      </c>
      <c r="V121" s="1133" t="str">
        <f ca="1">IFERROR(INDEX(NVLSX!$U$2:$U$6941,MATCH($D121,NVLSX!$E$2:$E$6941,0)),"")</f>
        <v/>
      </c>
      <c r="W121" s="1143"/>
      <c r="X121" s="1143"/>
    </row>
    <row r="122" spans="1:24">
      <c r="A122" s="19" t="str">
        <f t="shared" ca="1" si="5"/>
        <v/>
      </c>
      <c r="B122" s="1146" t="str">
        <f ca="1">IFERROR(INDEX(NVLSX!$Y$2:$Y$6756,MATCH($D122,NVLSX!$E$2:$E$6756,0)),"")</f>
        <v/>
      </c>
      <c r="C122" s="1146" t="str">
        <f ca="1">IFERROR(INDEX(NVLSX!$Z$2:$Z$6756,MATCH($D122,NVLSX!$E$2:$E$6756,0)),"")</f>
        <v/>
      </c>
      <c r="D122" s="729" t="str">
        <f ca="1">IF($R122="","",INDEX(TongVTSX!C$3:C$1500,$R122))</f>
        <v/>
      </c>
      <c r="E122" s="729" t="str">
        <f ca="1">IF($R122="","",IF($S122=$T$7,INDEX(TongVTSX!D$3:D$1500,$R122) &amp;  " (" &amp; INDEX(TongVTSX!A$3:A$1500,$R122) &amp; ")",INDEX(TongVTSX!D$3:D$1500,$R122)))</f>
        <v/>
      </c>
      <c r="F122" s="874" t="str">
        <f ca="1">IF($R122="","",IF($S122&lt;&gt;NVLSX!$N$6492,INDEX(TongVTSX!E$3:E$1500,$R122),INDEX(TongVTSX!G$3:G$1500,$R122)))</f>
        <v/>
      </c>
      <c r="G122" s="730" t="str">
        <f ca="1">IF($R122="","",INDEX(TongVTSX!F$3:F$1500,$R122))</f>
        <v/>
      </c>
      <c r="H122" s="731">
        <f ca="1">IF($S122=$T$7,INDEX(TongVTSX!$K$3:$K$1500,$R122)/INDEX(TongVTSX!$G$3:$G$1500,$R122),IF($S122=$T$2,ROUNDUP(SUMPRODUCT((TongVTSX!$C$3:$C$1500=$D122)*(TongVTSX!$E$3:$E$1500=$F122)*(TongVTSX!$S$3:$S$1500=TongVTSX!$S$2)*(TongVTSX!$K$3:$K$1500))/$V122,0),SUMPRODUCT((TongVTSX!$C$3:$C$1500=$D122)*(TongVTSX!$E$3:$E$1500=$F122)*(TongVTSX!$S$3:$S$1500=TongVTSX!$S$2)*(TongVTSX!$K$3:$K$1500))))</f>
        <v>0</v>
      </c>
      <c r="I122" s="731">
        <f ca="1">IF($S122=$T$2,ROUNDUP(SUMPRODUCT((TongVTSX!$C$3:$C$1500=$D122)*(TongVTSX!$E$3:$E$1500=$F122)*(TongVTSX!$S$3:$S$1500=TongVTSX!$S$2)*(TongVTSX!$K$3:$K$1500))/$V122,2),0)</f>
        <v>0</v>
      </c>
      <c r="J122" s="731"/>
      <c r="K122" s="731"/>
      <c r="L122" s="732"/>
      <c r="M122" s="732" t="str">
        <f t="shared" ca="1" si="4"/>
        <v/>
      </c>
      <c r="N122" s="732"/>
      <c r="O122" s="732">
        <f ca="1">IF($S122=$T$7,INDEX(TongVTSX!$O$3:$O$1500,$R122),IF($S122=$T$2,INDEX(TongVTSX!$M$3:$M$1500,$R122)*$V122*$H122,SUMPRODUCT((TongVTSX!$C$3:$C$1500=$D122)*(TongVTSX!$E$3:$E$1500=$F122)*(TongVTSX!$S$3:$S$1500=TongVTSX!$S$2)*(TongVTSX!$O$3:$O$1500))))</f>
        <v>0</v>
      </c>
      <c r="P122" s="1150">
        <f ca="1">IF($S122=$T$7,INDEX(TongVTSX!$O$3:$O$1500,$R122),IF($S122=$T$2,INDEX(TongVTSX!$M$3:$M$1500,$R122)*$I122*$V122,SUMPRODUCT((TongVTSX!$C$3:$C$1500=$D122)*(TongVTSX!$E$3:$E$1500=$F122)*(TongVTSX!$S$3:$S$1500=TongVTSX!$S$2)*(TongVTSX!$O$3:$O$1500))))</f>
        <v>0</v>
      </c>
      <c r="Q122" s="1155" t="str">
        <f ca="1">IFERROR(INDEX(NVLSX!$AA$2:$AA$6756,MATCH($D122,NVLSX!$E$2:$E$6756,0)),"")</f>
        <v/>
      </c>
      <c r="R122" s="75" t="str">
        <f ca="1">IF(S122="","",IF(S122&lt;&gt;S121,IF(TYPE(MATCH(S122,TongVTSX!$Q$3:$Q$1500,0))=16,"",MATCH(S122,TongVTSX!$Q$3:$Q$1500,0)),IF(TYPE(MATCH(S122,OFFSET(TongVTSX!$Q$3,R121,0):'TongVTSX'!$Q$1500,0)+R121)=16,"",MATCH(S122,OFFSET(TongVTSX!$Q$3,R121,0):'TongVTSX'!$Q$1500,0)+R121)))</f>
        <v/>
      </c>
      <c r="S122" s="76" t="str">
        <f ca="1">IFERROR(IF(COUNTIF($S$3:S121,S121)&lt; INDEX($U$1:$U$7,MATCH($S121,$T$1:$T$7,0)),$S121,INDEX($T$1:$T$7,MATCH($S121,$T$1:$T$7,0)+1)),"")</f>
        <v/>
      </c>
      <c r="V122" s="1133" t="str">
        <f ca="1">IFERROR(INDEX(NVLSX!$U$2:$U$6941,MATCH($D122,NVLSX!$E$2:$E$6941,0)),"")</f>
        <v/>
      </c>
      <c r="W122" s="1143"/>
      <c r="X122" s="1143"/>
    </row>
    <row r="123" spans="1:24">
      <c r="A123" s="19" t="str">
        <f t="shared" ca="1" si="5"/>
        <v/>
      </c>
      <c r="B123" s="1146" t="str">
        <f ca="1">IFERROR(INDEX(NVLSX!$Y$2:$Y$6756,MATCH($D123,NVLSX!$E$2:$E$6756,0)),"")</f>
        <v/>
      </c>
      <c r="C123" s="1146" t="str">
        <f ca="1">IFERROR(INDEX(NVLSX!$Z$2:$Z$6756,MATCH($D123,NVLSX!$E$2:$E$6756,0)),"")</f>
        <v/>
      </c>
      <c r="D123" s="729" t="str">
        <f ca="1">IF($R123="","",INDEX(TongVTSX!C$3:C$1500,$R123))</f>
        <v/>
      </c>
      <c r="E123" s="729" t="str">
        <f ca="1">IF($R123="","",IF($S123=$T$7,INDEX(TongVTSX!D$3:D$1500,$R123) &amp;  " (" &amp; INDEX(TongVTSX!A$3:A$1500,$R123) &amp; ")",INDEX(TongVTSX!D$3:D$1500,$R123)))</f>
        <v/>
      </c>
      <c r="F123" s="874" t="str">
        <f ca="1">IF($R123="","",IF($S123&lt;&gt;NVLSX!$N$6492,INDEX(TongVTSX!E$3:E$1500,$R123),INDEX(TongVTSX!G$3:G$1500,$R123)))</f>
        <v/>
      </c>
      <c r="G123" s="730" t="str">
        <f ca="1">IF($R123="","",INDEX(TongVTSX!F$3:F$1500,$R123))</f>
        <v/>
      </c>
      <c r="H123" s="731">
        <f ca="1">IF($S123=$T$7,INDEX(TongVTSX!$K$3:$K$1500,$R123)/INDEX(TongVTSX!$G$3:$G$1500,$R123),IF($S123=$T$2,ROUNDUP(SUMPRODUCT((TongVTSX!$C$3:$C$1500=$D123)*(TongVTSX!$E$3:$E$1500=$F123)*(TongVTSX!$S$3:$S$1500=TongVTSX!$S$2)*(TongVTSX!$K$3:$K$1500))/$V123,0),SUMPRODUCT((TongVTSX!$C$3:$C$1500=$D123)*(TongVTSX!$E$3:$E$1500=$F123)*(TongVTSX!$S$3:$S$1500=TongVTSX!$S$2)*(TongVTSX!$K$3:$K$1500))))</f>
        <v>0</v>
      </c>
      <c r="I123" s="731">
        <f ca="1">IF($S123=$T$2,ROUNDUP(SUMPRODUCT((TongVTSX!$C$3:$C$1500=$D123)*(TongVTSX!$E$3:$E$1500=$F123)*(TongVTSX!$S$3:$S$1500=TongVTSX!$S$2)*(TongVTSX!$K$3:$K$1500))/$V123,2),0)</f>
        <v>0</v>
      </c>
      <c r="J123" s="731"/>
      <c r="K123" s="731"/>
      <c r="L123" s="732"/>
      <c r="M123" s="732" t="str">
        <f t="shared" ca="1" si="4"/>
        <v/>
      </c>
      <c r="N123" s="732"/>
      <c r="O123" s="732">
        <f ca="1">IF($S123=$T$7,INDEX(TongVTSX!$O$3:$O$1500,$R123),IF($S123=$T$2,INDEX(TongVTSX!$M$3:$M$1500,$R123)*$V123*$H123,SUMPRODUCT((TongVTSX!$C$3:$C$1500=$D123)*(TongVTSX!$E$3:$E$1500=$F123)*(TongVTSX!$S$3:$S$1500=TongVTSX!$S$2)*(TongVTSX!$O$3:$O$1500))))</f>
        <v>0</v>
      </c>
      <c r="P123" s="1150">
        <f ca="1">IF($S123=$T$7,INDEX(TongVTSX!$O$3:$O$1500,$R123),IF($S123=$T$2,INDEX(TongVTSX!$M$3:$M$1500,$R123)*$I123*$V123,SUMPRODUCT((TongVTSX!$C$3:$C$1500=$D123)*(TongVTSX!$E$3:$E$1500=$F123)*(TongVTSX!$S$3:$S$1500=TongVTSX!$S$2)*(TongVTSX!$O$3:$O$1500))))</f>
        <v>0</v>
      </c>
      <c r="Q123" s="1155" t="str">
        <f ca="1">IFERROR(INDEX(NVLSX!$AA$2:$AA$6756,MATCH($D123,NVLSX!$E$2:$E$6756,0)),"")</f>
        <v/>
      </c>
      <c r="R123" s="75" t="str">
        <f ca="1">IF(S123="","",IF(S123&lt;&gt;S122,IF(TYPE(MATCH(S123,TongVTSX!$Q$3:$Q$1500,0))=16,"",MATCH(S123,TongVTSX!$Q$3:$Q$1500,0)),IF(TYPE(MATCH(S123,OFFSET(TongVTSX!$Q$3,R122,0):'TongVTSX'!$Q$1500,0)+R122)=16,"",MATCH(S123,OFFSET(TongVTSX!$Q$3,R122,0):'TongVTSX'!$Q$1500,0)+R122)))</f>
        <v/>
      </c>
      <c r="S123" s="76" t="str">
        <f ca="1">IFERROR(IF(COUNTIF($S$3:S122,S122)&lt; INDEX($U$1:$U$7,MATCH($S122,$T$1:$T$7,0)),$S122,INDEX($T$1:$T$7,MATCH($S122,$T$1:$T$7,0)+1)),"")</f>
        <v/>
      </c>
      <c r="V123" s="1133" t="str">
        <f ca="1">IFERROR(INDEX(NVLSX!$U$2:$U$6941,MATCH($D123,NVLSX!$E$2:$E$6941,0)),"")</f>
        <v/>
      </c>
      <c r="W123" s="1143"/>
      <c r="X123" s="1143"/>
    </row>
    <row r="124" spans="1:24">
      <c r="A124" s="19" t="str">
        <f t="shared" ca="1" si="5"/>
        <v/>
      </c>
      <c r="B124" s="1146" t="str">
        <f ca="1">IFERROR(INDEX(NVLSX!$Y$2:$Y$6756,MATCH($D124,NVLSX!$E$2:$E$6756,0)),"")</f>
        <v/>
      </c>
      <c r="C124" s="1146" t="str">
        <f ca="1">IFERROR(INDEX(NVLSX!$Z$2:$Z$6756,MATCH($D124,NVLSX!$E$2:$E$6756,0)),"")</f>
        <v/>
      </c>
      <c r="D124" s="729" t="str">
        <f ca="1">IF($R124="","",INDEX(TongVTSX!C$3:C$1500,$R124))</f>
        <v/>
      </c>
      <c r="E124" s="729" t="str">
        <f ca="1">IF($R124="","",IF($S124=$T$7,INDEX(TongVTSX!D$3:D$1500,$R124) &amp;  " (" &amp; INDEX(TongVTSX!A$3:A$1500,$R124) &amp; ")",INDEX(TongVTSX!D$3:D$1500,$R124)))</f>
        <v/>
      </c>
      <c r="F124" s="874" t="str">
        <f ca="1">IF($R124="","",IF($S124&lt;&gt;NVLSX!$N$6492,INDEX(TongVTSX!E$3:E$1500,$R124),INDEX(TongVTSX!G$3:G$1500,$R124)))</f>
        <v/>
      </c>
      <c r="G124" s="730" t="str">
        <f ca="1">IF($R124="","",INDEX(TongVTSX!F$3:F$1500,$R124))</f>
        <v/>
      </c>
      <c r="H124" s="731">
        <f ca="1">IF($S124=$T$7,INDEX(TongVTSX!$K$3:$K$1500,$R124)/INDEX(TongVTSX!$G$3:$G$1500,$R124),IF($S124=$T$2,ROUNDUP(SUMPRODUCT((TongVTSX!$C$3:$C$1500=$D124)*(TongVTSX!$E$3:$E$1500=$F124)*(TongVTSX!$S$3:$S$1500=TongVTSX!$S$2)*(TongVTSX!$K$3:$K$1500))/$V124,0),SUMPRODUCT((TongVTSX!$C$3:$C$1500=$D124)*(TongVTSX!$E$3:$E$1500=$F124)*(TongVTSX!$S$3:$S$1500=TongVTSX!$S$2)*(TongVTSX!$K$3:$K$1500))))</f>
        <v>0</v>
      </c>
      <c r="I124" s="731">
        <f ca="1">IF($S124=$T$2,ROUNDUP(SUMPRODUCT((TongVTSX!$C$3:$C$1500=$D124)*(TongVTSX!$E$3:$E$1500=$F124)*(TongVTSX!$S$3:$S$1500=TongVTSX!$S$2)*(TongVTSX!$K$3:$K$1500))/$V124,2),0)</f>
        <v>0</v>
      </c>
      <c r="J124" s="731"/>
      <c r="K124" s="731"/>
      <c r="L124" s="732"/>
      <c r="M124" s="732" t="str">
        <f t="shared" ca="1" si="4"/>
        <v/>
      </c>
      <c r="N124" s="732"/>
      <c r="O124" s="732">
        <f ca="1">IF($S124=$T$7,INDEX(TongVTSX!$O$3:$O$1500,$R124),IF($S124=$T$2,INDEX(TongVTSX!$M$3:$M$1500,$R124)*$V124*$H124,SUMPRODUCT((TongVTSX!$C$3:$C$1500=$D124)*(TongVTSX!$E$3:$E$1500=$F124)*(TongVTSX!$S$3:$S$1500=TongVTSX!$S$2)*(TongVTSX!$O$3:$O$1500))))</f>
        <v>0</v>
      </c>
      <c r="P124" s="1150">
        <f ca="1">IF($S124=$T$7,INDEX(TongVTSX!$O$3:$O$1500,$R124),IF($S124=$T$2,INDEX(TongVTSX!$M$3:$M$1500,$R124)*$I124*$V124,SUMPRODUCT((TongVTSX!$C$3:$C$1500=$D124)*(TongVTSX!$E$3:$E$1500=$F124)*(TongVTSX!$S$3:$S$1500=TongVTSX!$S$2)*(TongVTSX!$O$3:$O$1500))))</f>
        <v>0</v>
      </c>
      <c r="Q124" s="1155" t="str">
        <f ca="1">IFERROR(INDEX(NVLSX!$AA$2:$AA$6756,MATCH($D124,NVLSX!$E$2:$E$6756,0)),"")</f>
        <v/>
      </c>
      <c r="R124" s="75" t="str">
        <f ca="1">IF(S124="","",IF(S124&lt;&gt;S123,IF(TYPE(MATCH(S124,TongVTSX!$Q$3:$Q$1500,0))=16,"",MATCH(S124,TongVTSX!$Q$3:$Q$1500,0)),IF(TYPE(MATCH(S124,OFFSET(TongVTSX!$Q$3,R123,0):'TongVTSX'!$Q$1500,0)+R123)=16,"",MATCH(S124,OFFSET(TongVTSX!$Q$3,R123,0):'TongVTSX'!$Q$1500,0)+R123)))</f>
        <v/>
      </c>
      <c r="S124" s="76" t="str">
        <f ca="1">IFERROR(IF(COUNTIF($S$3:S123,S123)&lt; INDEX($U$1:$U$7,MATCH($S123,$T$1:$T$7,0)),$S123,INDEX($T$1:$T$7,MATCH($S123,$T$1:$T$7,0)+1)),"")</f>
        <v/>
      </c>
      <c r="V124" s="1133" t="str">
        <f ca="1">IFERROR(INDEX(NVLSX!$U$2:$U$6941,MATCH($D124,NVLSX!$E$2:$E$6941,0)),"")</f>
        <v/>
      </c>
      <c r="W124" s="1143"/>
      <c r="X124" s="1143"/>
    </row>
    <row r="125" spans="1:24">
      <c r="A125" s="19" t="str">
        <f t="shared" ca="1" si="5"/>
        <v/>
      </c>
      <c r="B125" s="1146" t="str">
        <f ca="1">IFERROR(INDEX(NVLSX!$Y$2:$Y$6756,MATCH($D125,NVLSX!$E$2:$E$6756,0)),"")</f>
        <v/>
      </c>
      <c r="C125" s="1146" t="str">
        <f ca="1">IFERROR(INDEX(NVLSX!$Z$2:$Z$6756,MATCH($D125,NVLSX!$E$2:$E$6756,0)),"")</f>
        <v/>
      </c>
      <c r="D125" s="729" t="str">
        <f ca="1">IF($R125="","",INDEX(TongVTSX!C$3:C$1500,$R125))</f>
        <v/>
      </c>
      <c r="E125" s="729" t="str">
        <f ca="1">IF($R125="","",IF($S125=$T$7,INDEX(TongVTSX!D$3:D$1500,$R125) &amp;  " (" &amp; INDEX(TongVTSX!A$3:A$1500,$R125) &amp; ")",INDEX(TongVTSX!D$3:D$1500,$R125)))</f>
        <v/>
      </c>
      <c r="F125" s="874" t="str">
        <f ca="1">IF($R125="","",IF($S125&lt;&gt;NVLSX!$N$6492,INDEX(TongVTSX!E$3:E$1500,$R125),INDEX(TongVTSX!G$3:G$1500,$R125)))</f>
        <v/>
      </c>
      <c r="G125" s="730" t="str">
        <f ca="1">IF($R125="","",INDEX(TongVTSX!F$3:F$1500,$R125))</f>
        <v/>
      </c>
      <c r="H125" s="731">
        <f ca="1">IF($S125=$T$7,INDEX(TongVTSX!$K$3:$K$1500,$R125)/INDEX(TongVTSX!$G$3:$G$1500,$R125),IF($S125=$T$2,ROUNDUP(SUMPRODUCT((TongVTSX!$C$3:$C$1500=$D125)*(TongVTSX!$E$3:$E$1500=$F125)*(TongVTSX!$S$3:$S$1500=TongVTSX!$S$2)*(TongVTSX!$K$3:$K$1500))/$V125,0),SUMPRODUCT((TongVTSX!$C$3:$C$1500=$D125)*(TongVTSX!$E$3:$E$1500=$F125)*(TongVTSX!$S$3:$S$1500=TongVTSX!$S$2)*(TongVTSX!$K$3:$K$1500))))</f>
        <v>0</v>
      </c>
      <c r="I125" s="731">
        <f ca="1">IF($S125=$T$2,ROUNDUP(SUMPRODUCT((TongVTSX!$C$3:$C$1500=$D125)*(TongVTSX!$E$3:$E$1500=$F125)*(TongVTSX!$S$3:$S$1500=TongVTSX!$S$2)*(TongVTSX!$K$3:$K$1500))/$V125,2),0)</f>
        <v>0</v>
      </c>
      <c r="J125" s="731"/>
      <c r="K125" s="731"/>
      <c r="L125" s="732"/>
      <c r="M125" s="732" t="str">
        <f t="shared" ca="1" si="4"/>
        <v/>
      </c>
      <c r="N125" s="732"/>
      <c r="O125" s="732">
        <f ca="1">IF($S125=$T$7,INDEX(TongVTSX!$O$3:$O$1500,$R125),IF($S125=$T$2,INDEX(TongVTSX!$M$3:$M$1500,$R125)*$V125*$H125,SUMPRODUCT((TongVTSX!$C$3:$C$1500=$D125)*(TongVTSX!$E$3:$E$1500=$F125)*(TongVTSX!$S$3:$S$1500=TongVTSX!$S$2)*(TongVTSX!$O$3:$O$1500))))</f>
        <v>0</v>
      </c>
      <c r="P125" s="1150">
        <f ca="1">IF($S125=$T$7,INDEX(TongVTSX!$O$3:$O$1500,$R125),IF($S125=$T$2,INDEX(TongVTSX!$M$3:$M$1500,$R125)*$I125*$V125,SUMPRODUCT((TongVTSX!$C$3:$C$1500=$D125)*(TongVTSX!$E$3:$E$1500=$F125)*(TongVTSX!$S$3:$S$1500=TongVTSX!$S$2)*(TongVTSX!$O$3:$O$1500))))</f>
        <v>0</v>
      </c>
      <c r="Q125" s="1155" t="str">
        <f ca="1">IFERROR(INDEX(NVLSX!$AA$2:$AA$6756,MATCH($D125,NVLSX!$E$2:$E$6756,0)),"")</f>
        <v/>
      </c>
      <c r="R125" s="75" t="str">
        <f ca="1">IF(S125="","",IF(S125&lt;&gt;S124,IF(TYPE(MATCH(S125,TongVTSX!$Q$3:$Q$1500,0))=16,"",MATCH(S125,TongVTSX!$Q$3:$Q$1500,0)),IF(TYPE(MATCH(S125,OFFSET(TongVTSX!$Q$3,R124,0):'TongVTSX'!$Q$1500,0)+R124)=16,"",MATCH(S125,OFFSET(TongVTSX!$Q$3,R124,0):'TongVTSX'!$Q$1500,0)+R124)))</f>
        <v/>
      </c>
      <c r="S125" s="76" t="str">
        <f ca="1">IFERROR(IF(COUNTIF($S$3:S124,S124)&lt; INDEX($U$1:$U$7,MATCH($S124,$T$1:$T$7,0)),$S124,INDEX($T$1:$T$7,MATCH($S124,$T$1:$T$7,0)+1)),"")</f>
        <v/>
      </c>
      <c r="V125" s="1133" t="str">
        <f ca="1">IFERROR(INDEX(NVLSX!$U$2:$U$6941,MATCH($D125,NVLSX!$E$2:$E$6941,0)),"")</f>
        <v/>
      </c>
      <c r="W125" s="1143"/>
      <c r="X125" s="1143"/>
    </row>
    <row r="126" spans="1:24">
      <c r="A126" s="19" t="str">
        <f t="shared" ca="1" si="5"/>
        <v/>
      </c>
      <c r="B126" s="1146" t="str">
        <f ca="1">IFERROR(INDEX(NVLSX!$Y$2:$Y$6756,MATCH($D126,NVLSX!$E$2:$E$6756,0)),"")</f>
        <v/>
      </c>
      <c r="C126" s="1146" t="str">
        <f ca="1">IFERROR(INDEX(NVLSX!$Z$2:$Z$6756,MATCH($D126,NVLSX!$E$2:$E$6756,0)),"")</f>
        <v/>
      </c>
      <c r="D126" s="729" t="str">
        <f ca="1">IF($R126="","",INDEX(TongVTSX!C$3:C$1500,$R126))</f>
        <v/>
      </c>
      <c r="E126" s="729" t="str">
        <f ca="1">IF($R126="","",IF($S126=$T$7,INDEX(TongVTSX!D$3:D$1500,$R126) &amp;  " (" &amp; INDEX(TongVTSX!A$3:A$1500,$R126) &amp; ")",INDEX(TongVTSX!D$3:D$1500,$R126)))</f>
        <v/>
      </c>
      <c r="F126" s="874" t="str">
        <f ca="1">IF($R126="","",IF($S126&lt;&gt;NVLSX!$N$6492,INDEX(TongVTSX!E$3:E$1500,$R126),INDEX(TongVTSX!G$3:G$1500,$R126)))</f>
        <v/>
      </c>
      <c r="G126" s="730" t="str">
        <f ca="1">IF($R126="","",INDEX(TongVTSX!F$3:F$1500,$R126))</f>
        <v/>
      </c>
      <c r="H126" s="731">
        <f ca="1">IF($S126=$T$7,INDEX(TongVTSX!$K$3:$K$1500,$R126)/INDEX(TongVTSX!$G$3:$G$1500,$R126),IF($S126=$T$2,ROUNDUP(SUMPRODUCT((TongVTSX!$C$3:$C$1500=$D126)*(TongVTSX!$E$3:$E$1500=$F126)*(TongVTSX!$S$3:$S$1500=TongVTSX!$S$2)*(TongVTSX!$K$3:$K$1500))/$V126,0),SUMPRODUCT((TongVTSX!$C$3:$C$1500=$D126)*(TongVTSX!$E$3:$E$1500=$F126)*(TongVTSX!$S$3:$S$1500=TongVTSX!$S$2)*(TongVTSX!$K$3:$K$1500))))</f>
        <v>0</v>
      </c>
      <c r="I126" s="731">
        <f ca="1">IF($S126=$T$2,ROUNDUP(SUMPRODUCT((TongVTSX!$C$3:$C$1500=$D126)*(TongVTSX!$E$3:$E$1500=$F126)*(TongVTSX!$S$3:$S$1500=TongVTSX!$S$2)*(TongVTSX!$K$3:$K$1500))/$V126,2),0)</f>
        <v>0</v>
      </c>
      <c r="J126" s="731"/>
      <c r="K126" s="731"/>
      <c r="L126" s="732"/>
      <c r="M126" s="732" t="str">
        <f t="shared" ca="1" si="4"/>
        <v/>
      </c>
      <c r="N126" s="732"/>
      <c r="O126" s="732">
        <f ca="1">IF($S126=$T$7,INDEX(TongVTSX!$O$3:$O$1500,$R126),IF($S126=$T$2,INDEX(TongVTSX!$M$3:$M$1500,$R126)*$V126*$H126,SUMPRODUCT((TongVTSX!$C$3:$C$1500=$D126)*(TongVTSX!$E$3:$E$1500=$F126)*(TongVTSX!$S$3:$S$1500=TongVTSX!$S$2)*(TongVTSX!$O$3:$O$1500))))</f>
        <v>0</v>
      </c>
      <c r="P126" s="1150">
        <f ca="1">IF($S126=$T$7,INDEX(TongVTSX!$O$3:$O$1500,$R126),IF($S126=$T$2,INDEX(TongVTSX!$M$3:$M$1500,$R126)*$I126*$V126,SUMPRODUCT((TongVTSX!$C$3:$C$1500=$D126)*(TongVTSX!$E$3:$E$1500=$F126)*(TongVTSX!$S$3:$S$1500=TongVTSX!$S$2)*(TongVTSX!$O$3:$O$1500))))</f>
        <v>0</v>
      </c>
      <c r="Q126" s="1155" t="str">
        <f ca="1">IFERROR(INDEX(NVLSX!$AA$2:$AA$6756,MATCH($D126,NVLSX!$E$2:$E$6756,0)),"")</f>
        <v/>
      </c>
      <c r="R126" s="75" t="str">
        <f ca="1">IF(S126="","",IF(S126&lt;&gt;S125,IF(TYPE(MATCH(S126,TongVTSX!$Q$3:$Q$1500,0))=16,"",MATCH(S126,TongVTSX!$Q$3:$Q$1500,0)),IF(TYPE(MATCH(S126,OFFSET(TongVTSX!$Q$3,R125,0):'TongVTSX'!$Q$1500,0)+R125)=16,"",MATCH(S126,OFFSET(TongVTSX!$Q$3,R125,0):'TongVTSX'!$Q$1500,0)+R125)))</f>
        <v/>
      </c>
      <c r="S126" s="76" t="str">
        <f ca="1">IFERROR(IF(COUNTIF($S$3:S125,S125)&lt; INDEX($U$1:$U$7,MATCH($S125,$T$1:$T$7,0)),$S125,INDEX($T$1:$T$7,MATCH($S125,$T$1:$T$7,0)+1)),"")</f>
        <v/>
      </c>
      <c r="V126" s="1133" t="str">
        <f ca="1">IFERROR(INDEX(NVLSX!$U$2:$U$6941,MATCH($D126,NVLSX!$E$2:$E$6941,0)),"")</f>
        <v/>
      </c>
      <c r="W126" s="1143"/>
      <c r="X126" s="1143"/>
    </row>
    <row r="127" spans="1:24">
      <c r="A127" s="19" t="str">
        <f t="shared" ca="1" si="5"/>
        <v/>
      </c>
      <c r="B127" s="1146" t="str">
        <f ca="1">IFERROR(INDEX(NVLSX!$Y$2:$Y$6756,MATCH($D127,NVLSX!$E$2:$E$6756,0)),"")</f>
        <v/>
      </c>
      <c r="C127" s="1146" t="str">
        <f ca="1">IFERROR(INDEX(NVLSX!$Z$2:$Z$6756,MATCH($D127,NVLSX!$E$2:$E$6756,0)),"")</f>
        <v/>
      </c>
      <c r="D127" s="729" t="str">
        <f ca="1">IF($R127="","",INDEX(TongVTSX!C$3:C$1500,$R127))</f>
        <v/>
      </c>
      <c r="E127" s="729" t="str">
        <f ca="1">IF($R127="","",IF($S127=$T$7,INDEX(TongVTSX!D$3:D$1500,$R127) &amp;  " (" &amp; INDEX(TongVTSX!A$3:A$1500,$R127) &amp; ")",INDEX(TongVTSX!D$3:D$1500,$R127)))</f>
        <v/>
      </c>
      <c r="F127" s="874" t="str">
        <f ca="1">IF($R127="","",IF($S127&lt;&gt;NVLSX!$N$6492,INDEX(TongVTSX!E$3:E$1500,$R127),INDEX(TongVTSX!G$3:G$1500,$R127)))</f>
        <v/>
      </c>
      <c r="G127" s="730" t="str">
        <f ca="1">IF($R127="","",INDEX(TongVTSX!F$3:F$1500,$R127))</f>
        <v/>
      </c>
      <c r="H127" s="731">
        <f ca="1">IF($S127=$T$7,INDEX(TongVTSX!$K$3:$K$1500,$R127)/INDEX(TongVTSX!$G$3:$G$1500,$R127),IF($S127=$T$2,ROUNDUP(SUMPRODUCT((TongVTSX!$C$3:$C$1500=$D127)*(TongVTSX!$E$3:$E$1500=$F127)*(TongVTSX!$S$3:$S$1500=TongVTSX!$S$2)*(TongVTSX!$K$3:$K$1500))/$V127,0),SUMPRODUCT((TongVTSX!$C$3:$C$1500=$D127)*(TongVTSX!$E$3:$E$1500=$F127)*(TongVTSX!$S$3:$S$1500=TongVTSX!$S$2)*(TongVTSX!$K$3:$K$1500))))</f>
        <v>0</v>
      </c>
      <c r="I127" s="731">
        <f ca="1">IF($S127=$T$2,ROUNDUP(SUMPRODUCT((TongVTSX!$C$3:$C$1500=$D127)*(TongVTSX!$E$3:$E$1500=$F127)*(TongVTSX!$S$3:$S$1500=TongVTSX!$S$2)*(TongVTSX!$K$3:$K$1500))/$V127,2),0)</f>
        <v>0</v>
      </c>
      <c r="J127" s="731"/>
      <c r="K127" s="731"/>
      <c r="L127" s="732"/>
      <c r="M127" s="732" t="str">
        <f t="shared" ca="1" si="4"/>
        <v/>
      </c>
      <c r="N127" s="732"/>
      <c r="O127" s="732">
        <f ca="1">IF($S127=$T$7,INDEX(TongVTSX!$O$3:$O$1500,$R127),IF($S127=$T$2,INDEX(TongVTSX!$M$3:$M$1500,$R127)*$V127*$H127,SUMPRODUCT((TongVTSX!$C$3:$C$1500=$D127)*(TongVTSX!$E$3:$E$1500=$F127)*(TongVTSX!$S$3:$S$1500=TongVTSX!$S$2)*(TongVTSX!$O$3:$O$1500))))</f>
        <v>0</v>
      </c>
      <c r="P127" s="1150">
        <f ca="1">IF($S127=$T$7,INDEX(TongVTSX!$O$3:$O$1500,$R127),IF($S127=$T$2,INDEX(TongVTSX!$M$3:$M$1500,$R127)*$I127*$V127,SUMPRODUCT((TongVTSX!$C$3:$C$1500=$D127)*(TongVTSX!$E$3:$E$1500=$F127)*(TongVTSX!$S$3:$S$1500=TongVTSX!$S$2)*(TongVTSX!$O$3:$O$1500))))</f>
        <v>0</v>
      </c>
      <c r="Q127" s="1155" t="str">
        <f ca="1">IFERROR(INDEX(NVLSX!$AA$2:$AA$6756,MATCH($D127,NVLSX!$E$2:$E$6756,0)),"")</f>
        <v/>
      </c>
      <c r="R127" s="75" t="str">
        <f ca="1">IF(S127="","",IF(S127&lt;&gt;S126,IF(TYPE(MATCH(S127,TongVTSX!$Q$3:$Q$1500,0))=16,"",MATCH(S127,TongVTSX!$Q$3:$Q$1500,0)),IF(TYPE(MATCH(S127,OFFSET(TongVTSX!$Q$3,R126,0):'TongVTSX'!$Q$1500,0)+R126)=16,"",MATCH(S127,OFFSET(TongVTSX!$Q$3,R126,0):'TongVTSX'!$Q$1500,0)+R126)))</f>
        <v/>
      </c>
      <c r="S127" s="76" t="str">
        <f ca="1">IFERROR(IF(COUNTIF($S$3:S126,S126)&lt; INDEX($U$1:$U$7,MATCH($S126,$T$1:$T$7,0)),$S126,INDEX($T$1:$T$7,MATCH($S126,$T$1:$T$7,0)+1)),"")</f>
        <v/>
      </c>
      <c r="V127" s="1133" t="str">
        <f ca="1">IFERROR(INDEX(NVLSX!$U$2:$U$6941,MATCH($D127,NVLSX!$E$2:$E$6941,0)),"")</f>
        <v/>
      </c>
      <c r="W127" s="1143"/>
      <c r="X127" s="1143"/>
    </row>
    <row r="128" spans="1:24">
      <c r="A128" s="19" t="str">
        <f t="shared" ca="1" si="5"/>
        <v/>
      </c>
      <c r="B128" s="1146" t="str">
        <f ca="1">IFERROR(INDEX(NVLSX!$Y$2:$Y$6756,MATCH($D128,NVLSX!$E$2:$E$6756,0)),"")</f>
        <v/>
      </c>
      <c r="C128" s="1146" t="str">
        <f ca="1">IFERROR(INDEX(NVLSX!$Z$2:$Z$6756,MATCH($D128,NVLSX!$E$2:$E$6756,0)),"")</f>
        <v/>
      </c>
      <c r="D128" s="729" t="str">
        <f ca="1">IF($R128="","",INDEX(TongVTSX!C$3:C$1500,$R128))</f>
        <v/>
      </c>
      <c r="E128" s="729" t="str">
        <f ca="1">IF($R128="","",IF($S128=$T$7,INDEX(TongVTSX!D$3:D$1500,$R128) &amp;  " (" &amp; INDEX(TongVTSX!A$3:A$1500,$R128) &amp; ")",INDEX(TongVTSX!D$3:D$1500,$R128)))</f>
        <v/>
      </c>
      <c r="F128" s="874" t="str">
        <f ca="1">IF($R128="","",IF($S128&lt;&gt;NVLSX!$N$6492,INDEX(TongVTSX!E$3:E$1500,$R128),INDEX(TongVTSX!G$3:G$1500,$R128)))</f>
        <v/>
      </c>
      <c r="G128" s="730" t="str">
        <f ca="1">IF($R128="","",INDEX(TongVTSX!F$3:F$1500,$R128))</f>
        <v/>
      </c>
      <c r="H128" s="731">
        <f ca="1">IF($S128=$T$7,INDEX(TongVTSX!$K$3:$K$1500,$R128)/INDEX(TongVTSX!$G$3:$G$1500,$R128),IF($S128=$T$2,ROUNDUP(SUMPRODUCT((TongVTSX!$C$3:$C$1500=$D128)*(TongVTSX!$E$3:$E$1500=$F128)*(TongVTSX!$S$3:$S$1500=TongVTSX!$S$2)*(TongVTSX!$K$3:$K$1500))/$V128,0),SUMPRODUCT((TongVTSX!$C$3:$C$1500=$D128)*(TongVTSX!$E$3:$E$1500=$F128)*(TongVTSX!$S$3:$S$1500=TongVTSX!$S$2)*(TongVTSX!$K$3:$K$1500))))</f>
        <v>0</v>
      </c>
      <c r="I128" s="731">
        <f ca="1">IF($S128=$T$2,ROUNDUP(SUMPRODUCT((TongVTSX!$C$3:$C$1500=$D128)*(TongVTSX!$E$3:$E$1500=$F128)*(TongVTSX!$S$3:$S$1500=TongVTSX!$S$2)*(TongVTSX!$K$3:$K$1500))/$V128,2),0)</f>
        <v>0</v>
      </c>
      <c r="J128" s="731"/>
      <c r="K128" s="731"/>
      <c r="L128" s="732"/>
      <c r="M128" s="732" t="str">
        <f t="shared" ca="1" si="4"/>
        <v/>
      </c>
      <c r="N128" s="732"/>
      <c r="O128" s="732">
        <f ca="1">IF($S128=$T$7,INDEX(TongVTSX!$O$3:$O$1500,$R128),IF($S128=$T$2,INDEX(TongVTSX!$M$3:$M$1500,$R128)*$V128*$H128,SUMPRODUCT((TongVTSX!$C$3:$C$1500=$D128)*(TongVTSX!$E$3:$E$1500=$F128)*(TongVTSX!$S$3:$S$1500=TongVTSX!$S$2)*(TongVTSX!$O$3:$O$1500))))</f>
        <v>0</v>
      </c>
      <c r="P128" s="1150">
        <f ca="1">IF($S128=$T$7,INDEX(TongVTSX!$O$3:$O$1500,$R128),IF($S128=$T$2,INDEX(TongVTSX!$M$3:$M$1500,$R128)*$I128*$V128,SUMPRODUCT((TongVTSX!$C$3:$C$1500=$D128)*(TongVTSX!$E$3:$E$1500=$F128)*(TongVTSX!$S$3:$S$1500=TongVTSX!$S$2)*(TongVTSX!$O$3:$O$1500))))</f>
        <v>0</v>
      </c>
      <c r="Q128" s="1155" t="str">
        <f ca="1">IFERROR(INDEX(NVLSX!$AA$2:$AA$6756,MATCH($D128,NVLSX!$E$2:$E$6756,0)),"")</f>
        <v/>
      </c>
      <c r="R128" s="75" t="str">
        <f ca="1">IF(S128="","",IF(S128&lt;&gt;S127,IF(TYPE(MATCH(S128,TongVTSX!$Q$3:$Q$1500,0))=16,"",MATCH(S128,TongVTSX!$Q$3:$Q$1500,0)),IF(TYPE(MATCH(S128,OFFSET(TongVTSX!$Q$3,R127,0):'TongVTSX'!$Q$1500,0)+R127)=16,"",MATCH(S128,OFFSET(TongVTSX!$Q$3,R127,0):'TongVTSX'!$Q$1500,0)+R127)))</f>
        <v/>
      </c>
      <c r="S128" s="76" t="str">
        <f ca="1">IFERROR(IF(COUNTIF($S$3:S127,S127)&lt; INDEX($U$1:$U$7,MATCH($S127,$T$1:$T$7,0)),$S127,INDEX($T$1:$T$7,MATCH($S127,$T$1:$T$7,0)+1)),"")</f>
        <v/>
      </c>
      <c r="V128" s="1133" t="str">
        <f ca="1">IFERROR(INDEX(NVLSX!$U$2:$U$6941,MATCH($D128,NVLSX!$E$2:$E$6941,0)),"")</f>
        <v/>
      </c>
      <c r="W128" s="1143"/>
      <c r="X128" s="1143"/>
    </row>
    <row r="129" spans="1:24">
      <c r="A129" s="19" t="str">
        <f t="shared" ca="1" si="5"/>
        <v/>
      </c>
      <c r="B129" s="1146" t="str">
        <f ca="1">IFERROR(INDEX(NVLSX!$Y$2:$Y$6756,MATCH($D129,NVLSX!$E$2:$E$6756,0)),"")</f>
        <v/>
      </c>
      <c r="C129" s="1146" t="str">
        <f ca="1">IFERROR(INDEX(NVLSX!$Z$2:$Z$6756,MATCH($D129,NVLSX!$E$2:$E$6756,0)),"")</f>
        <v/>
      </c>
      <c r="D129" s="729" t="str">
        <f ca="1">IF($R129="","",INDEX(TongVTSX!C$3:C$1500,$R129))</f>
        <v/>
      </c>
      <c r="E129" s="729" t="str">
        <f ca="1">IF($R129="","",IF($S129=$T$7,INDEX(TongVTSX!D$3:D$1500,$R129) &amp;  " (" &amp; INDEX(TongVTSX!A$3:A$1500,$R129) &amp; ")",INDEX(TongVTSX!D$3:D$1500,$R129)))</f>
        <v/>
      </c>
      <c r="F129" s="874" t="str">
        <f ca="1">IF($R129="","",IF($S129&lt;&gt;NVLSX!$N$6492,INDEX(TongVTSX!E$3:E$1500,$R129),INDEX(TongVTSX!G$3:G$1500,$R129)))</f>
        <v/>
      </c>
      <c r="G129" s="730" t="str">
        <f ca="1">IF($R129="","",INDEX(TongVTSX!F$3:F$1500,$R129))</f>
        <v/>
      </c>
      <c r="H129" s="731">
        <f ca="1">IF($S129=$T$7,INDEX(TongVTSX!$K$3:$K$1500,$R129)/INDEX(TongVTSX!$G$3:$G$1500,$R129),IF($S129=$T$2,ROUNDUP(SUMPRODUCT((TongVTSX!$C$3:$C$1500=$D129)*(TongVTSX!$E$3:$E$1500=$F129)*(TongVTSX!$S$3:$S$1500=TongVTSX!$S$2)*(TongVTSX!$K$3:$K$1500))/$V129,0),SUMPRODUCT((TongVTSX!$C$3:$C$1500=$D129)*(TongVTSX!$E$3:$E$1500=$F129)*(TongVTSX!$S$3:$S$1500=TongVTSX!$S$2)*(TongVTSX!$K$3:$K$1500))))</f>
        <v>0</v>
      </c>
      <c r="I129" s="731">
        <f ca="1">IF($S129=$T$2,ROUNDUP(SUMPRODUCT((TongVTSX!$C$3:$C$1500=$D129)*(TongVTSX!$E$3:$E$1500=$F129)*(TongVTSX!$S$3:$S$1500=TongVTSX!$S$2)*(TongVTSX!$K$3:$K$1500))/$V129,2),0)</f>
        <v>0</v>
      </c>
      <c r="J129" s="731"/>
      <c r="K129" s="731"/>
      <c r="L129" s="732"/>
      <c r="M129" s="732" t="str">
        <f t="shared" ca="1" si="4"/>
        <v/>
      </c>
      <c r="N129" s="732"/>
      <c r="O129" s="732">
        <f ca="1">IF($S129=$T$7,INDEX(TongVTSX!$O$3:$O$1500,$R129),IF($S129=$T$2,INDEX(TongVTSX!$M$3:$M$1500,$R129)*$V129*$H129,SUMPRODUCT((TongVTSX!$C$3:$C$1500=$D129)*(TongVTSX!$E$3:$E$1500=$F129)*(TongVTSX!$S$3:$S$1500=TongVTSX!$S$2)*(TongVTSX!$O$3:$O$1500))))</f>
        <v>0</v>
      </c>
      <c r="P129" s="1150">
        <f ca="1">IF($S129=$T$7,INDEX(TongVTSX!$O$3:$O$1500,$R129),IF($S129=$T$2,INDEX(TongVTSX!$M$3:$M$1500,$R129)*$I129*$V129,SUMPRODUCT((TongVTSX!$C$3:$C$1500=$D129)*(TongVTSX!$E$3:$E$1500=$F129)*(TongVTSX!$S$3:$S$1500=TongVTSX!$S$2)*(TongVTSX!$O$3:$O$1500))))</f>
        <v>0</v>
      </c>
      <c r="Q129" s="1155" t="str">
        <f ca="1">IFERROR(INDEX(NVLSX!$AA$2:$AA$6756,MATCH($D129,NVLSX!$E$2:$E$6756,0)),"")</f>
        <v/>
      </c>
      <c r="R129" s="75" t="str">
        <f ca="1">IF(S129="","",IF(S129&lt;&gt;S128,IF(TYPE(MATCH(S129,TongVTSX!$Q$3:$Q$1500,0))=16,"",MATCH(S129,TongVTSX!$Q$3:$Q$1500,0)),IF(TYPE(MATCH(S129,OFFSET(TongVTSX!$Q$3,R128,0):'TongVTSX'!$Q$1500,0)+R128)=16,"",MATCH(S129,OFFSET(TongVTSX!$Q$3,R128,0):'TongVTSX'!$Q$1500,0)+R128)))</f>
        <v/>
      </c>
      <c r="S129" s="76" t="str">
        <f ca="1">IFERROR(IF(COUNTIF($S$3:S128,S128)&lt; INDEX($U$1:$U$7,MATCH($S128,$T$1:$T$7,0)),$S128,INDEX($T$1:$T$7,MATCH($S128,$T$1:$T$7,0)+1)),"")</f>
        <v/>
      </c>
      <c r="V129" s="1133" t="str">
        <f ca="1">IFERROR(INDEX(NVLSX!$U$2:$U$6941,MATCH($D129,NVLSX!$E$2:$E$6941,0)),"")</f>
        <v/>
      </c>
      <c r="W129" s="1143"/>
      <c r="X129" s="1143"/>
    </row>
    <row r="130" spans="1:24">
      <c r="A130" s="19" t="str">
        <f t="shared" ca="1" si="5"/>
        <v/>
      </c>
      <c r="B130" s="1146" t="str">
        <f ca="1">IFERROR(INDEX(NVLSX!$Y$2:$Y$6756,MATCH($D130,NVLSX!$E$2:$E$6756,0)),"")</f>
        <v/>
      </c>
      <c r="C130" s="1146" t="str">
        <f ca="1">IFERROR(INDEX(NVLSX!$Z$2:$Z$6756,MATCH($D130,NVLSX!$E$2:$E$6756,0)),"")</f>
        <v/>
      </c>
      <c r="D130" s="729" t="str">
        <f ca="1">IF($R130="","",INDEX(TongVTSX!C$3:C$1500,$R130))</f>
        <v/>
      </c>
      <c r="E130" s="729" t="str">
        <f ca="1">IF($R130="","",IF($S130=$T$7,INDEX(TongVTSX!D$3:D$1500,$R130) &amp;  " (" &amp; INDEX(TongVTSX!A$3:A$1500,$R130) &amp; ")",INDEX(TongVTSX!D$3:D$1500,$R130)))</f>
        <v/>
      </c>
      <c r="F130" s="874" t="str">
        <f ca="1">IF($R130="","",IF($S130&lt;&gt;NVLSX!$N$6492,INDEX(TongVTSX!E$3:E$1500,$R130),INDEX(TongVTSX!G$3:G$1500,$R130)))</f>
        <v/>
      </c>
      <c r="G130" s="730" t="str">
        <f ca="1">IF($R130="","",INDEX(TongVTSX!F$3:F$1500,$R130))</f>
        <v/>
      </c>
      <c r="H130" s="731">
        <f ca="1">IF($S130=$T$7,INDEX(TongVTSX!$K$3:$K$1500,$R130)/INDEX(TongVTSX!$G$3:$G$1500,$R130),IF($S130=$T$2,ROUNDUP(SUMPRODUCT((TongVTSX!$C$3:$C$1500=$D130)*(TongVTSX!$E$3:$E$1500=$F130)*(TongVTSX!$S$3:$S$1500=TongVTSX!$S$2)*(TongVTSX!$K$3:$K$1500))/$V130,0),SUMPRODUCT((TongVTSX!$C$3:$C$1500=$D130)*(TongVTSX!$E$3:$E$1500=$F130)*(TongVTSX!$S$3:$S$1500=TongVTSX!$S$2)*(TongVTSX!$K$3:$K$1500))))</f>
        <v>0</v>
      </c>
      <c r="I130" s="731">
        <f ca="1">IF($S130=$T$2,ROUNDUP(SUMPRODUCT((TongVTSX!$C$3:$C$1500=$D130)*(TongVTSX!$E$3:$E$1500=$F130)*(TongVTSX!$S$3:$S$1500=TongVTSX!$S$2)*(TongVTSX!$K$3:$K$1500))/$V130,2),0)</f>
        <v>0</v>
      </c>
      <c r="J130" s="731"/>
      <c r="K130" s="731"/>
      <c r="L130" s="732"/>
      <c r="M130" s="732" t="str">
        <f t="shared" ca="1" si="4"/>
        <v/>
      </c>
      <c r="N130" s="732"/>
      <c r="O130" s="732">
        <f ca="1">IF($S130=$T$7,INDEX(TongVTSX!$O$3:$O$1500,$R130),IF($S130=$T$2,INDEX(TongVTSX!$M$3:$M$1500,$R130)*$V130*$H130,SUMPRODUCT((TongVTSX!$C$3:$C$1500=$D130)*(TongVTSX!$E$3:$E$1500=$F130)*(TongVTSX!$S$3:$S$1500=TongVTSX!$S$2)*(TongVTSX!$O$3:$O$1500))))</f>
        <v>0</v>
      </c>
      <c r="P130" s="1150">
        <f ca="1">IF($S130=$T$7,INDEX(TongVTSX!$O$3:$O$1500,$R130),IF($S130=$T$2,INDEX(TongVTSX!$M$3:$M$1500,$R130)*$I130*$V130,SUMPRODUCT((TongVTSX!$C$3:$C$1500=$D130)*(TongVTSX!$E$3:$E$1500=$F130)*(TongVTSX!$S$3:$S$1500=TongVTSX!$S$2)*(TongVTSX!$O$3:$O$1500))))</f>
        <v>0</v>
      </c>
      <c r="Q130" s="1155" t="str">
        <f ca="1">IFERROR(INDEX(NVLSX!$AA$2:$AA$6756,MATCH($D130,NVLSX!$E$2:$E$6756,0)),"")</f>
        <v/>
      </c>
      <c r="R130" s="75" t="str">
        <f ca="1">IF(S130="","",IF(S130&lt;&gt;S129,IF(TYPE(MATCH(S130,TongVTSX!$Q$3:$Q$1500,0))=16,"",MATCH(S130,TongVTSX!$Q$3:$Q$1500,0)),IF(TYPE(MATCH(S130,OFFSET(TongVTSX!$Q$3,R129,0):'TongVTSX'!$Q$1500,0)+R129)=16,"",MATCH(S130,OFFSET(TongVTSX!$Q$3,R129,0):'TongVTSX'!$Q$1500,0)+R129)))</f>
        <v/>
      </c>
      <c r="S130" s="76" t="str">
        <f ca="1">IFERROR(IF(COUNTIF($S$3:S129,S129)&lt; INDEX($U$1:$U$7,MATCH($S129,$T$1:$T$7,0)),$S129,INDEX($T$1:$T$7,MATCH($S129,$T$1:$T$7,0)+1)),"")</f>
        <v/>
      </c>
      <c r="V130" s="1133" t="str">
        <f ca="1">IFERROR(INDEX(NVLSX!$U$2:$U$6941,MATCH($D130,NVLSX!$E$2:$E$6941,0)),"")</f>
        <v/>
      </c>
      <c r="W130" s="1143"/>
      <c r="X130" s="1143"/>
    </row>
    <row r="131" spans="1:24">
      <c r="A131" s="19" t="str">
        <f t="shared" ref="A131:A162" ca="1" si="6">IF($S131="","",IF($S131&lt;&gt;$S130,1,$A130+1))</f>
        <v/>
      </c>
      <c r="B131" s="1146" t="str">
        <f ca="1">IFERROR(INDEX(NVLSX!$Y$2:$Y$6756,MATCH($D131,NVLSX!$E$2:$E$6756,0)),"")</f>
        <v/>
      </c>
      <c r="C131" s="1146" t="str">
        <f ca="1">IFERROR(INDEX(NVLSX!$Z$2:$Z$6756,MATCH($D131,NVLSX!$E$2:$E$6756,0)),"")</f>
        <v/>
      </c>
      <c r="D131" s="729" t="str">
        <f ca="1">IF($R131="","",INDEX(TongVTSX!C$3:C$1500,$R131))</f>
        <v/>
      </c>
      <c r="E131" s="729" t="str">
        <f ca="1">IF($R131="","",IF($S131=$T$7,INDEX(TongVTSX!D$3:D$1500,$R131) &amp;  " (" &amp; INDEX(TongVTSX!A$3:A$1500,$R131) &amp; ")",INDEX(TongVTSX!D$3:D$1500,$R131)))</f>
        <v/>
      </c>
      <c r="F131" s="874" t="str">
        <f ca="1">IF($R131="","",IF($S131&lt;&gt;NVLSX!$N$6492,INDEX(TongVTSX!E$3:E$1500,$R131),INDEX(TongVTSX!G$3:G$1500,$R131)))</f>
        <v/>
      </c>
      <c r="G131" s="730" t="str">
        <f ca="1">IF($R131="","",INDEX(TongVTSX!F$3:F$1500,$R131))</f>
        <v/>
      </c>
      <c r="H131" s="731">
        <f ca="1">IF($S131=$T$7,INDEX(TongVTSX!$K$3:$K$1500,$R131)/INDEX(TongVTSX!$G$3:$G$1500,$R131),IF($S131=$T$2,ROUNDUP(SUMPRODUCT((TongVTSX!$C$3:$C$1500=$D131)*(TongVTSX!$E$3:$E$1500=$F131)*(TongVTSX!$S$3:$S$1500=TongVTSX!$S$2)*(TongVTSX!$K$3:$K$1500))/$V131,0),SUMPRODUCT((TongVTSX!$C$3:$C$1500=$D131)*(TongVTSX!$E$3:$E$1500=$F131)*(TongVTSX!$S$3:$S$1500=TongVTSX!$S$2)*(TongVTSX!$K$3:$K$1500))))</f>
        <v>0</v>
      </c>
      <c r="I131" s="731">
        <f ca="1">IF($S131=$T$2,ROUNDUP(SUMPRODUCT((TongVTSX!$C$3:$C$1500=$D131)*(TongVTSX!$E$3:$E$1500=$F131)*(TongVTSX!$S$3:$S$1500=TongVTSX!$S$2)*(TongVTSX!$K$3:$K$1500))/$V131,2),0)</f>
        <v>0</v>
      </c>
      <c r="J131" s="731"/>
      <c r="K131" s="731"/>
      <c r="L131" s="732"/>
      <c r="M131" s="732" t="str">
        <f t="shared" ca="1" si="4"/>
        <v/>
      </c>
      <c r="N131" s="732"/>
      <c r="O131" s="732">
        <f ca="1">IF($S131=$T$7,INDEX(TongVTSX!$O$3:$O$1500,$R131),IF($S131=$T$2,INDEX(TongVTSX!$M$3:$M$1500,$R131)*$V131*$H131,SUMPRODUCT((TongVTSX!$C$3:$C$1500=$D131)*(TongVTSX!$E$3:$E$1500=$F131)*(TongVTSX!$S$3:$S$1500=TongVTSX!$S$2)*(TongVTSX!$O$3:$O$1500))))</f>
        <v>0</v>
      </c>
      <c r="P131" s="1150">
        <f ca="1">IF($S131=$T$7,INDEX(TongVTSX!$O$3:$O$1500,$R131),IF($S131=$T$2,INDEX(TongVTSX!$M$3:$M$1500,$R131)*$I131*$V131,SUMPRODUCT((TongVTSX!$C$3:$C$1500=$D131)*(TongVTSX!$E$3:$E$1500=$F131)*(TongVTSX!$S$3:$S$1500=TongVTSX!$S$2)*(TongVTSX!$O$3:$O$1500))))</f>
        <v>0</v>
      </c>
      <c r="Q131" s="1155" t="str">
        <f ca="1">IFERROR(INDEX(NVLSX!$AA$2:$AA$6756,MATCH($D131,NVLSX!$E$2:$E$6756,0)),"")</f>
        <v/>
      </c>
      <c r="R131" s="75" t="str">
        <f ca="1">IF(S131="","",IF(S131&lt;&gt;S130,IF(TYPE(MATCH(S131,TongVTSX!$Q$3:$Q$1500,0))=16,"",MATCH(S131,TongVTSX!$Q$3:$Q$1500,0)),IF(TYPE(MATCH(S131,OFFSET(TongVTSX!$Q$3,R130,0):'TongVTSX'!$Q$1500,0)+R130)=16,"",MATCH(S131,OFFSET(TongVTSX!$Q$3,R130,0):'TongVTSX'!$Q$1500,0)+R130)))</f>
        <v/>
      </c>
      <c r="S131" s="76" t="str">
        <f ca="1">IFERROR(IF(COUNTIF($S$3:S130,S130)&lt; INDEX($U$1:$U$7,MATCH($S130,$T$1:$T$7,0)),$S130,INDEX($T$1:$T$7,MATCH($S130,$T$1:$T$7,0)+1)),"")</f>
        <v/>
      </c>
      <c r="V131" s="1133" t="str">
        <f ca="1">IFERROR(INDEX(NVLSX!$U$2:$U$6941,MATCH($D131,NVLSX!$E$2:$E$6941,0)),"")</f>
        <v/>
      </c>
      <c r="W131" s="1143"/>
      <c r="X131" s="1143"/>
    </row>
    <row r="132" spans="1:24">
      <c r="A132" s="19" t="str">
        <f t="shared" ca="1" si="6"/>
        <v/>
      </c>
      <c r="B132" s="1146" t="str">
        <f ca="1">IFERROR(INDEX(NVLSX!$Y$2:$Y$6756,MATCH($D132,NVLSX!$E$2:$E$6756,0)),"")</f>
        <v/>
      </c>
      <c r="C132" s="1146" t="str">
        <f ca="1">IFERROR(INDEX(NVLSX!$Z$2:$Z$6756,MATCH($D132,NVLSX!$E$2:$E$6756,0)),"")</f>
        <v/>
      </c>
      <c r="D132" s="729" t="str">
        <f ca="1">IF($R132="","",INDEX(TongVTSX!C$3:C$1500,$R132))</f>
        <v/>
      </c>
      <c r="E132" s="729" t="str">
        <f ca="1">IF($R132="","",IF($S132=$T$7,INDEX(TongVTSX!D$3:D$1500,$R132) &amp;  " (" &amp; INDEX(TongVTSX!A$3:A$1500,$R132) &amp; ")",INDEX(TongVTSX!D$3:D$1500,$R132)))</f>
        <v/>
      </c>
      <c r="F132" s="874" t="str">
        <f ca="1">IF($R132="","",IF($S132&lt;&gt;NVLSX!$N$6492,INDEX(TongVTSX!E$3:E$1500,$R132),INDEX(TongVTSX!G$3:G$1500,$R132)))</f>
        <v/>
      </c>
      <c r="G132" s="730" t="str">
        <f ca="1">IF($R132="","",INDEX(TongVTSX!F$3:F$1500,$R132))</f>
        <v/>
      </c>
      <c r="H132" s="731">
        <f ca="1">IF($S132=$T$7,INDEX(TongVTSX!$K$3:$K$1500,$R132)/INDEX(TongVTSX!$G$3:$G$1500,$R132),IF($S132=$T$2,ROUNDUP(SUMPRODUCT((TongVTSX!$C$3:$C$1500=$D132)*(TongVTSX!$E$3:$E$1500=$F132)*(TongVTSX!$S$3:$S$1500=TongVTSX!$S$2)*(TongVTSX!$K$3:$K$1500))/$V132,0),SUMPRODUCT((TongVTSX!$C$3:$C$1500=$D132)*(TongVTSX!$E$3:$E$1500=$F132)*(TongVTSX!$S$3:$S$1500=TongVTSX!$S$2)*(TongVTSX!$K$3:$K$1500))))</f>
        <v>0</v>
      </c>
      <c r="I132" s="731">
        <f ca="1">IF($S132=$T$2,ROUNDUP(SUMPRODUCT((TongVTSX!$C$3:$C$1500=$D132)*(TongVTSX!$E$3:$E$1500=$F132)*(TongVTSX!$S$3:$S$1500=TongVTSX!$S$2)*(TongVTSX!$K$3:$K$1500))/$V132,2),0)</f>
        <v>0</v>
      </c>
      <c r="J132" s="731"/>
      <c r="K132" s="731"/>
      <c r="L132" s="732"/>
      <c r="M132" s="732" t="str">
        <f t="shared" ref="M132:M195" ca="1" si="7">IF($S132=$T$2,($H132-$I132)*$V132,"")</f>
        <v/>
      </c>
      <c r="N132" s="732"/>
      <c r="O132" s="732">
        <f ca="1">IF($S132=$T$7,INDEX(TongVTSX!$O$3:$O$1500,$R132),IF($S132=$T$2,INDEX(TongVTSX!$M$3:$M$1500,$R132)*$V132*$H132,SUMPRODUCT((TongVTSX!$C$3:$C$1500=$D132)*(TongVTSX!$E$3:$E$1500=$F132)*(TongVTSX!$S$3:$S$1500=TongVTSX!$S$2)*(TongVTSX!$O$3:$O$1500))))</f>
        <v>0</v>
      </c>
      <c r="P132" s="1150">
        <f ca="1">IF($S132=$T$7,INDEX(TongVTSX!$O$3:$O$1500,$R132),IF($S132=$T$2,INDEX(TongVTSX!$M$3:$M$1500,$R132)*$I132*$V132,SUMPRODUCT((TongVTSX!$C$3:$C$1500=$D132)*(TongVTSX!$E$3:$E$1500=$F132)*(TongVTSX!$S$3:$S$1500=TongVTSX!$S$2)*(TongVTSX!$O$3:$O$1500))))</f>
        <v>0</v>
      </c>
      <c r="Q132" s="1155" t="str">
        <f ca="1">IFERROR(INDEX(NVLSX!$AA$2:$AA$6756,MATCH($D132,NVLSX!$E$2:$E$6756,0)),"")</f>
        <v/>
      </c>
      <c r="R132" s="75" t="str">
        <f ca="1">IF(S132="","",IF(S132&lt;&gt;S131,IF(TYPE(MATCH(S132,TongVTSX!$Q$3:$Q$1500,0))=16,"",MATCH(S132,TongVTSX!$Q$3:$Q$1500,0)),IF(TYPE(MATCH(S132,OFFSET(TongVTSX!$Q$3,R131,0):'TongVTSX'!$Q$1500,0)+R131)=16,"",MATCH(S132,OFFSET(TongVTSX!$Q$3,R131,0):'TongVTSX'!$Q$1500,0)+R131)))</f>
        <v/>
      </c>
      <c r="S132" s="76" t="str">
        <f ca="1">IFERROR(IF(COUNTIF($S$3:S131,S131)&lt; INDEX($U$1:$U$7,MATCH($S131,$T$1:$T$7,0)),$S131,INDEX($T$1:$T$7,MATCH($S131,$T$1:$T$7,0)+1)),"")</f>
        <v/>
      </c>
      <c r="V132" s="1133" t="str">
        <f ca="1">IFERROR(INDEX(NVLSX!$U$2:$U$6941,MATCH($D132,NVLSX!$E$2:$E$6941,0)),"")</f>
        <v/>
      </c>
      <c r="W132" s="1143"/>
      <c r="X132" s="1143"/>
    </row>
    <row r="133" spans="1:24">
      <c r="A133" s="19" t="str">
        <f t="shared" ca="1" si="6"/>
        <v/>
      </c>
      <c r="B133" s="1146" t="str">
        <f ca="1">IFERROR(INDEX(NVLSX!$Y$2:$Y$6756,MATCH($D133,NVLSX!$E$2:$E$6756,0)),"")</f>
        <v/>
      </c>
      <c r="C133" s="1146" t="str">
        <f ca="1">IFERROR(INDEX(NVLSX!$Z$2:$Z$6756,MATCH($D133,NVLSX!$E$2:$E$6756,0)),"")</f>
        <v/>
      </c>
      <c r="D133" s="729" t="str">
        <f ca="1">IF($R133="","",INDEX(TongVTSX!C$3:C$1500,$R133))</f>
        <v/>
      </c>
      <c r="E133" s="729" t="str">
        <f ca="1">IF($R133="","",IF($S133=$T$7,INDEX(TongVTSX!D$3:D$1500,$R133) &amp;  " (" &amp; INDEX(TongVTSX!A$3:A$1500,$R133) &amp; ")",INDEX(TongVTSX!D$3:D$1500,$R133)))</f>
        <v/>
      </c>
      <c r="F133" s="874" t="str">
        <f ca="1">IF($R133="","",IF($S133&lt;&gt;NVLSX!$N$6492,INDEX(TongVTSX!E$3:E$1500,$R133),INDEX(TongVTSX!G$3:G$1500,$R133)))</f>
        <v/>
      </c>
      <c r="G133" s="730" t="str">
        <f ca="1">IF($R133="","",INDEX(TongVTSX!F$3:F$1500,$R133))</f>
        <v/>
      </c>
      <c r="H133" s="731">
        <f ca="1">IF($S133=$T$7,INDEX(TongVTSX!$K$3:$K$1500,$R133)/INDEX(TongVTSX!$G$3:$G$1500,$R133),IF($S133=$T$2,ROUNDUP(SUMPRODUCT((TongVTSX!$C$3:$C$1500=$D133)*(TongVTSX!$E$3:$E$1500=$F133)*(TongVTSX!$S$3:$S$1500=TongVTSX!$S$2)*(TongVTSX!$K$3:$K$1500))/$V133,0),SUMPRODUCT((TongVTSX!$C$3:$C$1500=$D133)*(TongVTSX!$E$3:$E$1500=$F133)*(TongVTSX!$S$3:$S$1500=TongVTSX!$S$2)*(TongVTSX!$K$3:$K$1500))))</f>
        <v>0</v>
      </c>
      <c r="I133" s="731">
        <f ca="1">IF($S133=$T$2,ROUNDUP(SUMPRODUCT((TongVTSX!$C$3:$C$1500=$D133)*(TongVTSX!$E$3:$E$1500=$F133)*(TongVTSX!$S$3:$S$1500=TongVTSX!$S$2)*(TongVTSX!$K$3:$K$1500))/$V133,2),0)</f>
        <v>0</v>
      </c>
      <c r="J133" s="731"/>
      <c r="K133" s="731"/>
      <c r="L133" s="732"/>
      <c r="M133" s="732" t="str">
        <f t="shared" ca="1" si="7"/>
        <v/>
      </c>
      <c r="N133" s="732"/>
      <c r="O133" s="732">
        <f ca="1">IF($S133=$T$7,INDEX(TongVTSX!$O$3:$O$1500,$R133),IF($S133=$T$2,INDEX(TongVTSX!$M$3:$M$1500,$R133)*$V133*$H133,SUMPRODUCT((TongVTSX!$C$3:$C$1500=$D133)*(TongVTSX!$E$3:$E$1500=$F133)*(TongVTSX!$S$3:$S$1500=TongVTSX!$S$2)*(TongVTSX!$O$3:$O$1500))))</f>
        <v>0</v>
      </c>
      <c r="P133" s="1150">
        <f ca="1">IF($S133=$T$7,INDEX(TongVTSX!$O$3:$O$1500,$R133),IF($S133=$T$2,INDEX(TongVTSX!$M$3:$M$1500,$R133)*$I133*$V133,SUMPRODUCT((TongVTSX!$C$3:$C$1500=$D133)*(TongVTSX!$E$3:$E$1500=$F133)*(TongVTSX!$S$3:$S$1500=TongVTSX!$S$2)*(TongVTSX!$O$3:$O$1500))))</f>
        <v>0</v>
      </c>
      <c r="Q133" s="1155" t="str">
        <f ca="1">IFERROR(INDEX(NVLSX!$AA$2:$AA$6756,MATCH($D133,NVLSX!$E$2:$E$6756,0)),"")</f>
        <v/>
      </c>
      <c r="R133" s="75" t="str">
        <f ca="1">IF(S133="","",IF(S133&lt;&gt;S132,IF(TYPE(MATCH(S133,TongVTSX!$Q$3:$Q$1500,0))=16,"",MATCH(S133,TongVTSX!$Q$3:$Q$1500,0)),IF(TYPE(MATCH(S133,OFFSET(TongVTSX!$Q$3,R132,0):'TongVTSX'!$Q$1500,0)+R132)=16,"",MATCH(S133,OFFSET(TongVTSX!$Q$3,R132,0):'TongVTSX'!$Q$1500,0)+R132)))</f>
        <v/>
      </c>
      <c r="S133" s="76" t="str">
        <f ca="1">IFERROR(IF(COUNTIF($S$3:S132,S132)&lt; INDEX($U$1:$U$7,MATCH($S132,$T$1:$T$7,0)),$S132,INDEX($T$1:$T$7,MATCH($S132,$T$1:$T$7,0)+1)),"")</f>
        <v/>
      </c>
      <c r="V133" s="1133" t="str">
        <f ca="1">IFERROR(INDEX(NVLSX!$U$2:$U$6941,MATCH($D133,NVLSX!$E$2:$E$6941,0)),"")</f>
        <v/>
      </c>
      <c r="W133" s="1143"/>
      <c r="X133" s="1143"/>
    </row>
    <row r="134" spans="1:24">
      <c r="A134" s="19" t="str">
        <f t="shared" ca="1" si="6"/>
        <v/>
      </c>
      <c r="B134" s="1146" t="str">
        <f ca="1">IFERROR(INDEX(NVLSX!$Y$2:$Y$6756,MATCH($D134,NVLSX!$E$2:$E$6756,0)),"")</f>
        <v/>
      </c>
      <c r="C134" s="1146" t="str">
        <f ca="1">IFERROR(INDEX(NVLSX!$Z$2:$Z$6756,MATCH($D134,NVLSX!$E$2:$E$6756,0)),"")</f>
        <v/>
      </c>
      <c r="D134" s="729" t="str">
        <f ca="1">IF($R134="","",INDEX(TongVTSX!C$3:C$1500,$R134))</f>
        <v/>
      </c>
      <c r="E134" s="729" t="str">
        <f ca="1">IF($R134="","",IF($S134=$T$7,INDEX(TongVTSX!D$3:D$1500,$R134) &amp;  " (" &amp; INDEX(TongVTSX!A$3:A$1500,$R134) &amp; ")",INDEX(TongVTSX!D$3:D$1500,$R134)))</f>
        <v/>
      </c>
      <c r="F134" s="874" t="str">
        <f ca="1">IF($R134="","",IF($S134&lt;&gt;NVLSX!$N$6492,INDEX(TongVTSX!E$3:E$1500,$R134),INDEX(TongVTSX!G$3:G$1500,$R134)))</f>
        <v/>
      </c>
      <c r="G134" s="730" t="str">
        <f ca="1">IF($R134="","",INDEX(TongVTSX!F$3:F$1500,$R134))</f>
        <v/>
      </c>
      <c r="H134" s="731">
        <f ca="1">IF($S134=$T$7,INDEX(TongVTSX!$K$3:$K$1500,$R134)/INDEX(TongVTSX!$G$3:$G$1500,$R134),IF($S134=$T$2,ROUNDUP(SUMPRODUCT((TongVTSX!$C$3:$C$1500=$D134)*(TongVTSX!$E$3:$E$1500=$F134)*(TongVTSX!$S$3:$S$1500=TongVTSX!$S$2)*(TongVTSX!$K$3:$K$1500))/$V134,0),SUMPRODUCT((TongVTSX!$C$3:$C$1500=$D134)*(TongVTSX!$E$3:$E$1500=$F134)*(TongVTSX!$S$3:$S$1500=TongVTSX!$S$2)*(TongVTSX!$K$3:$K$1500))))</f>
        <v>0</v>
      </c>
      <c r="I134" s="731">
        <f ca="1">IF($S134=$T$2,ROUNDUP(SUMPRODUCT((TongVTSX!$C$3:$C$1500=$D134)*(TongVTSX!$E$3:$E$1500=$F134)*(TongVTSX!$S$3:$S$1500=TongVTSX!$S$2)*(TongVTSX!$K$3:$K$1500))/$V134,2),0)</f>
        <v>0</v>
      </c>
      <c r="J134" s="731"/>
      <c r="K134" s="731"/>
      <c r="L134" s="732"/>
      <c r="M134" s="732" t="str">
        <f t="shared" ca="1" si="7"/>
        <v/>
      </c>
      <c r="N134" s="732"/>
      <c r="O134" s="732">
        <f ca="1">IF($S134=$T$7,INDEX(TongVTSX!$O$3:$O$1500,$R134),IF($S134=$T$2,INDEX(TongVTSX!$M$3:$M$1500,$R134)*$V134*$H134,SUMPRODUCT((TongVTSX!$C$3:$C$1500=$D134)*(TongVTSX!$E$3:$E$1500=$F134)*(TongVTSX!$S$3:$S$1500=TongVTSX!$S$2)*(TongVTSX!$O$3:$O$1500))))</f>
        <v>0</v>
      </c>
      <c r="P134" s="1150">
        <f ca="1">IF($S134=$T$7,INDEX(TongVTSX!$O$3:$O$1500,$R134),IF($S134=$T$2,INDEX(TongVTSX!$M$3:$M$1500,$R134)*$I134*$V134,SUMPRODUCT((TongVTSX!$C$3:$C$1500=$D134)*(TongVTSX!$E$3:$E$1500=$F134)*(TongVTSX!$S$3:$S$1500=TongVTSX!$S$2)*(TongVTSX!$O$3:$O$1500))))</f>
        <v>0</v>
      </c>
      <c r="Q134" s="1155" t="str">
        <f ca="1">IFERROR(INDEX(NVLSX!$AA$2:$AA$6756,MATCH($D134,NVLSX!$E$2:$E$6756,0)),"")</f>
        <v/>
      </c>
      <c r="R134" s="75" t="str">
        <f ca="1">IF(S134="","",IF(S134&lt;&gt;S133,IF(TYPE(MATCH(S134,TongVTSX!$Q$3:$Q$1500,0))=16,"",MATCH(S134,TongVTSX!$Q$3:$Q$1500,0)),IF(TYPE(MATCH(S134,OFFSET(TongVTSX!$Q$3,R133,0):'TongVTSX'!$Q$1500,0)+R133)=16,"",MATCH(S134,OFFSET(TongVTSX!$Q$3,R133,0):'TongVTSX'!$Q$1500,0)+R133)))</f>
        <v/>
      </c>
      <c r="S134" s="76" t="str">
        <f ca="1">IFERROR(IF(COUNTIF($S$3:S133,S133)&lt; INDEX($U$1:$U$7,MATCH($S133,$T$1:$T$7,0)),$S133,INDEX($T$1:$T$7,MATCH($S133,$T$1:$T$7,0)+1)),"")</f>
        <v/>
      </c>
      <c r="V134" s="1133" t="str">
        <f ca="1">IFERROR(INDEX(NVLSX!$U$2:$U$6941,MATCH($D134,NVLSX!$E$2:$E$6941,0)),"")</f>
        <v/>
      </c>
      <c r="W134" s="1143"/>
      <c r="X134" s="1143"/>
    </row>
    <row r="135" spans="1:24">
      <c r="A135" s="19" t="str">
        <f t="shared" ca="1" si="6"/>
        <v/>
      </c>
      <c r="B135" s="1146" t="str">
        <f ca="1">IFERROR(INDEX(NVLSX!$Y$2:$Y$6756,MATCH($D135,NVLSX!$E$2:$E$6756,0)),"")</f>
        <v/>
      </c>
      <c r="C135" s="1146" t="str">
        <f ca="1">IFERROR(INDEX(NVLSX!$Z$2:$Z$6756,MATCH($D135,NVLSX!$E$2:$E$6756,0)),"")</f>
        <v/>
      </c>
      <c r="D135" s="729" t="str">
        <f ca="1">IF($R135="","",INDEX(TongVTSX!C$3:C$1500,$R135))</f>
        <v/>
      </c>
      <c r="E135" s="729" t="str">
        <f ca="1">IF($R135="","",IF($S135=$T$7,INDEX(TongVTSX!D$3:D$1500,$R135) &amp;  " (" &amp; INDEX(TongVTSX!A$3:A$1500,$R135) &amp; ")",INDEX(TongVTSX!D$3:D$1500,$R135)))</f>
        <v/>
      </c>
      <c r="F135" s="874" t="str">
        <f ca="1">IF($R135="","",IF($S135&lt;&gt;NVLSX!$N$6492,INDEX(TongVTSX!E$3:E$1500,$R135),INDEX(TongVTSX!G$3:G$1500,$R135)))</f>
        <v/>
      </c>
      <c r="G135" s="730" t="str">
        <f ca="1">IF($R135="","",INDEX(TongVTSX!F$3:F$1500,$R135))</f>
        <v/>
      </c>
      <c r="H135" s="731">
        <f ca="1">IF($S135=$T$7,INDEX(TongVTSX!$K$3:$K$1500,$R135)/INDEX(TongVTSX!$G$3:$G$1500,$R135),IF($S135=$T$2,ROUNDUP(SUMPRODUCT((TongVTSX!$C$3:$C$1500=$D135)*(TongVTSX!$E$3:$E$1500=$F135)*(TongVTSX!$S$3:$S$1500=TongVTSX!$S$2)*(TongVTSX!$K$3:$K$1500))/$V135,0),SUMPRODUCT((TongVTSX!$C$3:$C$1500=$D135)*(TongVTSX!$E$3:$E$1500=$F135)*(TongVTSX!$S$3:$S$1500=TongVTSX!$S$2)*(TongVTSX!$K$3:$K$1500))))</f>
        <v>0</v>
      </c>
      <c r="I135" s="731">
        <f ca="1">IF($S135=$T$2,ROUNDUP(SUMPRODUCT((TongVTSX!$C$3:$C$1500=$D135)*(TongVTSX!$E$3:$E$1500=$F135)*(TongVTSX!$S$3:$S$1500=TongVTSX!$S$2)*(TongVTSX!$K$3:$K$1500))/$V135,2),0)</f>
        <v>0</v>
      </c>
      <c r="J135" s="731"/>
      <c r="K135" s="731"/>
      <c r="L135" s="732"/>
      <c r="M135" s="732" t="str">
        <f t="shared" ca="1" si="7"/>
        <v/>
      </c>
      <c r="N135" s="732"/>
      <c r="O135" s="732">
        <f ca="1">IF($S135=$T$7,INDEX(TongVTSX!$O$3:$O$1500,$R135),IF($S135=$T$2,INDEX(TongVTSX!$M$3:$M$1500,$R135)*$V135*$H135,SUMPRODUCT((TongVTSX!$C$3:$C$1500=$D135)*(TongVTSX!$E$3:$E$1500=$F135)*(TongVTSX!$S$3:$S$1500=TongVTSX!$S$2)*(TongVTSX!$O$3:$O$1500))))</f>
        <v>0</v>
      </c>
      <c r="P135" s="1150">
        <f ca="1">IF($S135=$T$7,INDEX(TongVTSX!$O$3:$O$1500,$R135),IF($S135=$T$2,INDEX(TongVTSX!$M$3:$M$1500,$R135)*$I135*$V135,SUMPRODUCT((TongVTSX!$C$3:$C$1500=$D135)*(TongVTSX!$E$3:$E$1500=$F135)*(TongVTSX!$S$3:$S$1500=TongVTSX!$S$2)*(TongVTSX!$O$3:$O$1500))))</f>
        <v>0</v>
      </c>
      <c r="Q135" s="1155" t="str">
        <f ca="1">IFERROR(INDEX(NVLSX!$AA$2:$AA$6756,MATCH($D135,NVLSX!$E$2:$E$6756,0)),"")</f>
        <v/>
      </c>
      <c r="R135" s="75" t="str">
        <f ca="1">IF(S135="","",IF(S135&lt;&gt;S134,IF(TYPE(MATCH(S135,TongVTSX!$Q$3:$Q$1500,0))=16,"",MATCH(S135,TongVTSX!$Q$3:$Q$1500,0)),IF(TYPE(MATCH(S135,OFFSET(TongVTSX!$Q$3,R134,0):'TongVTSX'!$Q$1500,0)+R134)=16,"",MATCH(S135,OFFSET(TongVTSX!$Q$3,R134,0):'TongVTSX'!$Q$1500,0)+R134)))</f>
        <v/>
      </c>
      <c r="S135" s="76" t="str">
        <f ca="1">IFERROR(IF(COUNTIF($S$3:S134,S134)&lt; INDEX($U$1:$U$7,MATCH($S134,$T$1:$T$7,0)),$S134,INDEX($T$1:$T$7,MATCH($S134,$T$1:$T$7,0)+1)),"")</f>
        <v/>
      </c>
      <c r="V135" s="1133" t="str">
        <f ca="1">IFERROR(INDEX(NVLSX!$U$2:$U$6941,MATCH($D135,NVLSX!$E$2:$E$6941,0)),"")</f>
        <v/>
      </c>
      <c r="W135" s="1143"/>
      <c r="X135" s="1143"/>
    </row>
    <row r="136" spans="1:24">
      <c r="A136" s="19" t="str">
        <f t="shared" ca="1" si="6"/>
        <v/>
      </c>
      <c r="B136" s="1146" t="str">
        <f ca="1">IFERROR(INDEX(NVLSX!$Y$2:$Y$6756,MATCH($D136,NVLSX!$E$2:$E$6756,0)),"")</f>
        <v/>
      </c>
      <c r="C136" s="1146" t="str">
        <f ca="1">IFERROR(INDEX(NVLSX!$Z$2:$Z$6756,MATCH($D136,NVLSX!$E$2:$E$6756,0)),"")</f>
        <v/>
      </c>
      <c r="D136" s="729" t="str">
        <f ca="1">IF($R136="","",INDEX(TongVTSX!C$3:C$1500,$R136))</f>
        <v/>
      </c>
      <c r="E136" s="729" t="str">
        <f ca="1">IF($R136="","",IF($S136=$T$7,INDEX(TongVTSX!D$3:D$1500,$R136) &amp;  " (" &amp; INDEX(TongVTSX!A$3:A$1500,$R136) &amp; ")",INDEX(TongVTSX!D$3:D$1500,$R136)))</f>
        <v/>
      </c>
      <c r="F136" s="874" t="str">
        <f ca="1">IF($R136="","",IF($S136&lt;&gt;NVLSX!$N$6492,INDEX(TongVTSX!E$3:E$1500,$R136),INDEX(TongVTSX!G$3:G$1500,$R136)))</f>
        <v/>
      </c>
      <c r="G136" s="730" t="str">
        <f ca="1">IF($R136="","",INDEX(TongVTSX!F$3:F$1500,$R136))</f>
        <v/>
      </c>
      <c r="H136" s="731">
        <f ca="1">IF($S136=$T$7,INDEX(TongVTSX!$K$3:$K$1500,$R136)/INDEX(TongVTSX!$G$3:$G$1500,$R136),IF($S136=$T$2,ROUNDUP(SUMPRODUCT((TongVTSX!$C$3:$C$1500=$D136)*(TongVTSX!$E$3:$E$1500=$F136)*(TongVTSX!$S$3:$S$1500=TongVTSX!$S$2)*(TongVTSX!$K$3:$K$1500))/$V136,0),SUMPRODUCT((TongVTSX!$C$3:$C$1500=$D136)*(TongVTSX!$E$3:$E$1500=$F136)*(TongVTSX!$S$3:$S$1500=TongVTSX!$S$2)*(TongVTSX!$K$3:$K$1500))))</f>
        <v>0</v>
      </c>
      <c r="I136" s="731">
        <f ca="1">IF($S136=$T$2,ROUNDUP(SUMPRODUCT((TongVTSX!$C$3:$C$1500=$D136)*(TongVTSX!$E$3:$E$1500=$F136)*(TongVTSX!$S$3:$S$1500=TongVTSX!$S$2)*(TongVTSX!$K$3:$K$1500))/$V136,2),0)</f>
        <v>0</v>
      </c>
      <c r="J136" s="731"/>
      <c r="K136" s="731"/>
      <c r="L136" s="732"/>
      <c r="M136" s="732" t="str">
        <f t="shared" ca="1" si="7"/>
        <v/>
      </c>
      <c r="N136" s="732"/>
      <c r="O136" s="732">
        <f ca="1">IF($S136=$T$7,INDEX(TongVTSX!$O$3:$O$1500,$R136),IF($S136=$T$2,INDEX(TongVTSX!$M$3:$M$1500,$R136)*$V136*$H136,SUMPRODUCT((TongVTSX!$C$3:$C$1500=$D136)*(TongVTSX!$E$3:$E$1500=$F136)*(TongVTSX!$S$3:$S$1500=TongVTSX!$S$2)*(TongVTSX!$O$3:$O$1500))))</f>
        <v>0</v>
      </c>
      <c r="P136" s="1150">
        <f ca="1">IF($S136=$T$7,INDEX(TongVTSX!$O$3:$O$1500,$R136),IF($S136=$T$2,INDEX(TongVTSX!$M$3:$M$1500,$R136)*$I136*$V136,SUMPRODUCT((TongVTSX!$C$3:$C$1500=$D136)*(TongVTSX!$E$3:$E$1500=$F136)*(TongVTSX!$S$3:$S$1500=TongVTSX!$S$2)*(TongVTSX!$O$3:$O$1500))))</f>
        <v>0</v>
      </c>
      <c r="Q136" s="1155" t="str">
        <f ca="1">IFERROR(INDEX(NVLSX!$AA$2:$AA$6756,MATCH($D136,NVLSX!$E$2:$E$6756,0)),"")</f>
        <v/>
      </c>
      <c r="R136" s="75" t="str">
        <f ca="1">IF(S136="","",IF(S136&lt;&gt;S135,IF(TYPE(MATCH(S136,TongVTSX!$Q$3:$Q$1500,0))=16,"",MATCH(S136,TongVTSX!$Q$3:$Q$1500,0)),IF(TYPE(MATCH(S136,OFFSET(TongVTSX!$Q$3,R135,0):'TongVTSX'!$Q$1500,0)+R135)=16,"",MATCH(S136,OFFSET(TongVTSX!$Q$3,R135,0):'TongVTSX'!$Q$1500,0)+R135)))</f>
        <v/>
      </c>
      <c r="S136" s="76" t="str">
        <f ca="1">IFERROR(IF(COUNTIF($S$3:S135,S135)&lt; INDEX($U$1:$U$7,MATCH($S135,$T$1:$T$7,0)),$S135,INDEX($T$1:$T$7,MATCH($S135,$T$1:$T$7,0)+1)),"")</f>
        <v/>
      </c>
      <c r="V136" s="1133" t="str">
        <f ca="1">IFERROR(INDEX(NVLSX!$U$2:$U$6941,MATCH($D136,NVLSX!$E$2:$E$6941,0)),"")</f>
        <v/>
      </c>
      <c r="W136" s="1143"/>
      <c r="X136" s="1143"/>
    </row>
    <row r="137" spans="1:24">
      <c r="A137" s="19" t="str">
        <f t="shared" ca="1" si="6"/>
        <v/>
      </c>
      <c r="B137" s="1146" t="str">
        <f ca="1">IFERROR(INDEX(NVLSX!$Y$2:$Y$6756,MATCH($D137,NVLSX!$E$2:$E$6756,0)),"")</f>
        <v/>
      </c>
      <c r="C137" s="1146" t="str">
        <f ca="1">IFERROR(INDEX(NVLSX!$Z$2:$Z$6756,MATCH($D137,NVLSX!$E$2:$E$6756,0)),"")</f>
        <v/>
      </c>
      <c r="D137" s="729" t="str">
        <f ca="1">IF($R137="","",INDEX(TongVTSX!C$3:C$1500,$R137))</f>
        <v/>
      </c>
      <c r="E137" s="729" t="str">
        <f ca="1">IF($R137="","",IF($S137=$T$7,INDEX(TongVTSX!D$3:D$1500,$R137) &amp;  " (" &amp; INDEX(TongVTSX!A$3:A$1500,$R137) &amp; ")",INDEX(TongVTSX!D$3:D$1500,$R137)))</f>
        <v/>
      </c>
      <c r="F137" s="874" t="str">
        <f ca="1">IF($R137="","",IF($S137&lt;&gt;NVLSX!$N$6492,INDEX(TongVTSX!E$3:E$1500,$R137),INDEX(TongVTSX!G$3:G$1500,$R137)))</f>
        <v/>
      </c>
      <c r="G137" s="730" t="str">
        <f ca="1">IF($R137="","",INDEX(TongVTSX!F$3:F$1500,$R137))</f>
        <v/>
      </c>
      <c r="H137" s="731">
        <f ca="1">IF($S137=$T$7,INDEX(TongVTSX!$K$3:$K$1500,$R137)/INDEX(TongVTSX!$G$3:$G$1500,$R137),IF($S137=$T$2,ROUNDUP(SUMPRODUCT((TongVTSX!$C$3:$C$1500=$D137)*(TongVTSX!$E$3:$E$1500=$F137)*(TongVTSX!$S$3:$S$1500=TongVTSX!$S$2)*(TongVTSX!$K$3:$K$1500))/$V137,0),SUMPRODUCT((TongVTSX!$C$3:$C$1500=$D137)*(TongVTSX!$E$3:$E$1500=$F137)*(TongVTSX!$S$3:$S$1500=TongVTSX!$S$2)*(TongVTSX!$K$3:$K$1500))))</f>
        <v>0</v>
      </c>
      <c r="I137" s="731">
        <f ca="1">IF($S137=$T$2,ROUNDUP(SUMPRODUCT((TongVTSX!$C$3:$C$1500=$D137)*(TongVTSX!$E$3:$E$1500=$F137)*(TongVTSX!$S$3:$S$1500=TongVTSX!$S$2)*(TongVTSX!$K$3:$K$1500))/$V137,2),0)</f>
        <v>0</v>
      </c>
      <c r="J137" s="731"/>
      <c r="K137" s="731"/>
      <c r="L137" s="732"/>
      <c r="M137" s="732" t="str">
        <f t="shared" ca="1" si="7"/>
        <v/>
      </c>
      <c r="N137" s="732"/>
      <c r="O137" s="732">
        <f ca="1">IF($S137=$T$7,INDEX(TongVTSX!$O$3:$O$1500,$R137),IF($S137=$T$2,INDEX(TongVTSX!$M$3:$M$1500,$R137)*$V137*$H137,SUMPRODUCT((TongVTSX!$C$3:$C$1500=$D137)*(TongVTSX!$E$3:$E$1500=$F137)*(TongVTSX!$S$3:$S$1500=TongVTSX!$S$2)*(TongVTSX!$O$3:$O$1500))))</f>
        <v>0</v>
      </c>
      <c r="P137" s="1150">
        <f ca="1">IF($S137=$T$7,INDEX(TongVTSX!$O$3:$O$1500,$R137),IF($S137=$T$2,INDEX(TongVTSX!$M$3:$M$1500,$R137)*$I137*$V137,SUMPRODUCT((TongVTSX!$C$3:$C$1500=$D137)*(TongVTSX!$E$3:$E$1500=$F137)*(TongVTSX!$S$3:$S$1500=TongVTSX!$S$2)*(TongVTSX!$O$3:$O$1500))))</f>
        <v>0</v>
      </c>
      <c r="Q137" s="1155" t="str">
        <f ca="1">IFERROR(INDEX(NVLSX!$AA$2:$AA$6756,MATCH($D137,NVLSX!$E$2:$E$6756,0)),"")</f>
        <v/>
      </c>
      <c r="R137" s="75" t="str">
        <f ca="1">IF(S137="","",IF(S137&lt;&gt;S136,IF(TYPE(MATCH(S137,TongVTSX!$Q$3:$Q$1500,0))=16,"",MATCH(S137,TongVTSX!$Q$3:$Q$1500,0)),IF(TYPE(MATCH(S137,OFFSET(TongVTSX!$Q$3,R136,0):'TongVTSX'!$Q$1500,0)+R136)=16,"",MATCH(S137,OFFSET(TongVTSX!$Q$3,R136,0):'TongVTSX'!$Q$1500,0)+R136)))</f>
        <v/>
      </c>
      <c r="S137" s="76" t="str">
        <f ca="1">IFERROR(IF(COUNTIF($S$3:S136,S136)&lt; INDEX($U$1:$U$7,MATCH($S136,$T$1:$T$7,0)),$S136,INDEX($T$1:$T$7,MATCH($S136,$T$1:$T$7,0)+1)),"")</f>
        <v/>
      </c>
      <c r="V137" s="1133" t="str">
        <f ca="1">IFERROR(INDEX(NVLSX!$U$2:$U$6941,MATCH($D137,NVLSX!$E$2:$E$6941,0)),"")</f>
        <v/>
      </c>
      <c r="W137" s="1143"/>
      <c r="X137" s="1143"/>
    </row>
    <row r="138" spans="1:24">
      <c r="A138" s="19" t="str">
        <f t="shared" ca="1" si="6"/>
        <v/>
      </c>
      <c r="B138" s="1146" t="str">
        <f ca="1">IFERROR(INDEX(NVLSX!$Y$2:$Y$6756,MATCH($D138,NVLSX!$E$2:$E$6756,0)),"")</f>
        <v/>
      </c>
      <c r="C138" s="1146" t="str">
        <f ca="1">IFERROR(INDEX(NVLSX!$Z$2:$Z$6756,MATCH($D138,NVLSX!$E$2:$E$6756,0)),"")</f>
        <v/>
      </c>
      <c r="D138" s="729" t="str">
        <f ca="1">IF($R138="","",INDEX(TongVTSX!C$3:C$1500,$R138))</f>
        <v/>
      </c>
      <c r="E138" s="729" t="str">
        <f ca="1">IF($R138="","",IF($S138=$T$7,INDEX(TongVTSX!D$3:D$1500,$R138) &amp;  " (" &amp; INDEX(TongVTSX!A$3:A$1500,$R138) &amp; ")",INDEX(TongVTSX!D$3:D$1500,$R138)))</f>
        <v/>
      </c>
      <c r="F138" s="874" t="str">
        <f ca="1">IF($R138="","",IF($S138&lt;&gt;NVLSX!$N$6492,INDEX(TongVTSX!E$3:E$1500,$R138),INDEX(TongVTSX!G$3:G$1500,$R138)))</f>
        <v/>
      </c>
      <c r="G138" s="730" t="str">
        <f ca="1">IF($R138="","",INDEX(TongVTSX!F$3:F$1500,$R138))</f>
        <v/>
      </c>
      <c r="H138" s="731">
        <f ca="1">IF($S138=$T$7,INDEX(TongVTSX!$K$3:$K$1500,$R138)/INDEX(TongVTSX!$G$3:$G$1500,$R138),IF($S138=$T$2,ROUNDUP(SUMPRODUCT((TongVTSX!$C$3:$C$1500=$D138)*(TongVTSX!$E$3:$E$1500=$F138)*(TongVTSX!$S$3:$S$1500=TongVTSX!$S$2)*(TongVTSX!$K$3:$K$1500))/$V138,0),SUMPRODUCT((TongVTSX!$C$3:$C$1500=$D138)*(TongVTSX!$E$3:$E$1500=$F138)*(TongVTSX!$S$3:$S$1500=TongVTSX!$S$2)*(TongVTSX!$K$3:$K$1500))))</f>
        <v>0</v>
      </c>
      <c r="I138" s="731">
        <f ca="1">IF($S138=$T$2,ROUNDUP(SUMPRODUCT((TongVTSX!$C$3:$C$1500=$D138)*(TongVTSX!$E$3:$E$1500=$F138)*(TongVTSX!$S$3:$S$1500=TongVTSX!$S$2)*(TongVTSX!$K$3:$K$1500))/$V138,2),0)</f>
        <v>0</v>
      </c>
      <c r="J138" s="731"/>
      <c r="K138" s="731"/>
      <c r="L138" s="732"/>
      <c r="M138" s="732" t="str">
        <f t="shared" ca="1" si="7"/>
        <v/>
      </c>
      <c r="N138" s="732"/>
      <c r="O138" s="732">
        <f ca="1">IF($S138=$T$7,INDEX(TongVTSX!$O$3:$O$1500,$R138),IF($S138=$T$2,INDEX(TongVTSX!$M$3:$M$1500,$R138)*$V138*$H138,SUMPRODUCT((TongVTSX!$C$3:$C$1500=$D138)*(TongVTSX!$E$3:$E$1500=$F138)*(TongVTSX!$S$3:$S$1500=TongVTSX!$S$2)*(TongVTSX!$O$3:$O$1500))))</f>
        <v>0</v>
      </c>
      <c r="P138" s="1150">
        <f ca="1">IF($S138=$T$7,INDEX(TongVTSX!$O$3:$O$1500,$R138),IF($S138=$T$2,INDEX(TongVTSX!$M$3:$M$1500,$R138)*$I138*$V138,SUMPRODUCT((TongVTSX!$C$3:$C$1500=$D138)*(TongVTSX!$E$3:$E$1500=$F138)*(TongVTSX!$S$3:$S$1500=TongVTSX!$S$2)*(TongVTSX!$O$3:$O$1500))))</f>
        <v>0</v>
      </c>
      <c r="Q138" s="1155" t="str">
        <f ca="1">IFERROR(INDEX(NVLSX!$AA$2:$AA$6756,MATCH($D138,NVLSX!$E$2:$E$6756,0)),"")</f>
        <v/>
      </c>
      <c r="R138" s="75" t="str">
        <f ca="1">IF(S138="","",IF(S138&lt;&gt;S137,IF(TYPE(MATCH(S138,TongVTSX!$Q$3:$Q$1500,0))=16,"",MATCH(S138,TongVTSX!$Q$3:$Q$1500,0)),IF(TYPE(MATCH(S138,OFFSET(TongVTSX!$Q$3,R137,0):'TongVTSX'!$Q$1500,0)+R137)=16,"",MATCH(S138,OFFSET(TongVTSX!$Q$3,R137,0):'TongVTSX'!$Q$1500,0)+R137)))</f>
        <v/>
      </c>
      <c r="S138" s="76" t="str">
        <f ca="1">IFERROR(IF(COUNTIF($S$3:S137,S137)&lt; INDEX($U$1:$U$7,MATCH($S137,$T$1:$T$7,0)),$S137,INDEX($T$1:$T$7,MATCH($S137,$T$1:$T$7,0)+1)),"")</f>
        <v/>
      </c>
      <c r="V138" s="1133" t="str">
        <f ca="1">IFERROR(INDEX(NVLSX!$U$2:$U$6941,MATCH($D138,NVLSX!$E$2:$E$6941,0)),"")</f>
        <v/>
      </c>
      <c r="W138" s="1143"/>
      <c r="X138" s="1143"/>
    </row>
    <row r="139" spans="1:24">
      <c r="A139" s="19" t="str">
        <f t="shared" ca="1" si="6"/>
        <v/>
      </c>
      <c r="B139" s="1146" t="str">
        <f ca="1">IFERROR(INDEX(NVLSX!$Y$2:$Y$6756,MATCH($D139,NVLSX!$E$2:$E$6756,0)),"")</f>
        <v/>
      </c>
      <c r="C139" s="1146" t="str">
        <f ca="1">IFERROR(INDEX(NVLSX!$Z$2:$Z$6756,MATCH($D139,NVLSX!$E$2:$E$6756,0)),"")</f>
        <v/>
      </c>
      <c r="D139" s="729" t="str">
        <f ca="1">IF($R139="","",INDEX(TongVTSX!C$3:C$1500,$R139))</f>
        <v/>
      </c>
      <c r="E139" s="729" t="str">
        <f ca="1">IF($R139="","",IF($S139=$T$7,INDEX(TongVTSX!D$3:D$1500,$R139) &amp;  " (" &amp; INDEX(TongVTSX!A$3:A$1500,$R139) &amp; ")",INDEX(TongVTSX!D$3:D$1500,$R139)))</f>
        <v/>
      </c>
      <c r="F139" s="874" t="str">
        <f ca="1">IF($R139="","",IF($S139&lt;&gt;NVLSX!$N$6492,INDEX(TongVTSX!E$3:E$1500,$R139),INDEX(TongVTSX!G$3:G$1500,$R139)))</f>
        <v/>
      </c>
      <c r="G139" s="730" t="str">
        <f ca="1">IF($R139="","",INDEX(TongVTSX!F$3:F$1500,$R139))</f>
        <v/>
      </c>
      <c r="H139" s="731">
        <f ca="1">IF($S139=$T$7,INDEX(TongVTSX!$K$3:$K$1500,$R139)/INDEX(TongVTSX!$G$3:$G$1500,$R139),IF($S139=$T$2,ROUNDUP(SUMPRODUCT((TongVTSX!$C$3:$C$1500=$D139)*(TongVTSX!$E$3:$E$1500=$F139)*(TongVTSX!$S$3:$S$1500=TongVTSX!$S$2)*(TongVTSX!$K$3:$K$1500))/$V139,0),SUMPRODUCT((TongVTSX!$C$3:$C$1500=$D139)*(TongVTSX!$E$3:$E$1500=$F139)*(TongVTSX!$S$3:$S$1500=TongVTSX!$S$2)*(TongVTSX!$K$3:$K$1500))))</f>
        <v>0</v>
      </c>
      <c r="I139" s="731">
        <f ca="1">IF($S139=$T$2,ROUNDUP(SUMPRODUCT((TongVTSX!$C$3:$C$1500=$D139)*(TongVTSX!$E$3:$E$1500=$F139)*(TongVTSX!$S$3:$S$1500=TongVTSX!$S$2)*(TongVTSX!$K$3:$K$1500))/$V139,2),0)</f>
        <v>0</v>
      </c>
      <c r="J139" s="731"/>
      <c r="K139" s="731"/>
      <c r="L139" s="732"/>
      <c r="M139" s="732" t="str">
        <f t="shared" ca="1" si="7"/>
        <v/>
      </c>
      <c r="N139" s="732"/>
      <c r="O139" s="732">
        <f ca="1">IF($S139=$T$7,INDEX(TongVTSX!$O$3:$O$1500,$R139),IF($S139=$T$2,INDEX(TongVTSX!$M$3:$M$1500,$R139)*$V139*$H139,SUMPRODUCT((TongVTSX!$C$3:$C$1500=$D139)*(TongVTSX!$E$3:$E$1500=$F139)*(TongVTSX!$S$3:$S$1500=TongVTSX!$S$2)*(TongVTSX!$O$3:$O$1500))))</f>
        <v>0</v>
      </c>
      <c r="P139" s="1150">
        <f ca="1">IF($S139=$T$7,INDEX(TongVTSX!$O$3:$O$1500,$R139),IF($S139=$T$2,INDEX(TongVTSX!$M$3:$M$1500,$R139)*$I139*$V139,SUMPRODUCT((TongVTSX!$C$3:$C$1500=$D139)*(TongVTSX!$E$3:$E$1500=$F139)*(TongVTSX!$S$3:$S$1500=TongVTSX!$S$2)*(TongVTSX!$O$3:$O$1500))))</f>
        <v>0</v>
      </c>
      <c r="Q139" s="1155" t="str">
        <f ca="1">IFERROR(INDEX(NVLSX!$AA$2:$AA$6756,MATCH($D139,NVLSX!$E$2:$E$6756,0)),"")</f>
        <v/>
      </c>
      <c r="R139" s="75" t="str">
        <f ca="1">IF(S139="","",IF(S139&lt;&gt;S138,IF(TYPE(MATCH(S139,TongVTSX!$Q$3:$Q$1500,0))=16,"",MATCH(S139,TongVTSX!$Q$3:$Q$1500,0)),IF(TYPE(MATCH(S139,OFFSET(TongVTSX!$Q$3,R138,0):'TongVTSX'!$Q$1500,0)+R138)=16,"",MATCH(S139,OFFSET(TongVTSX!$Q$3,R138,0):'TongVTSX'!$Q$1500,0)+R138)))</f>
        <v/>
      </c>
      <c r="S139" s="76" t="str">
        <f ca="1">IFERROR(IF(COUNTIF($S$3:S138,S138)&lt; INDEX($U$1:$U$7,MATCH($S138,$T$1:$T$7,0)),$S138,INDEX($T$1:$T$7,MATCH($S138,$T$1:$T$7,0)+1)),"")</f>
        <v/>
      </c>
      <c r="V139" s="1133" t="str">
        <f ca="1">IFERROR(INDEX(NVLSX!$U$2:$U$6941,MATCH($D139,NVLSX!$E$2:$E$6941,0)),"")</f>
        <v/>
      </c>
      <c r="W139" s="1143"/>
      <c r="X139" s="1143"/>
    </row>
    <row r="140" spans="1:24">
      <c r="A140" s="19" t="str">
        <f t="shared" ca="1" si="6"/>
        <v/>
      </c>
      <c r="B140" s="1146" t="str">
        <f ca="1">IFERROR(INDEX(NVLSX!$Y$2:$Y$6756,MATCH($D140,NVLSX!$E$2:$E$6756,0)),"")</f>
        <v/>
      </c>
      <c r="C140" s="1146" t="str">
        <f ca="1">IFERROR(INDEX(NVLSX!$Z$2:$Z$6756,MATCH($D140,NVLSX!$E$2:$E$6756,0)),"")</f>
        <v/>
      </c>
      <c r="D140" s="729" t="str">
        <f ca="1">IF($R140="","",INDEX(TongVTSX!C$3:C$1500,$R140))</f>
        <v/>
      </c>
      <c r="E140" s="729" t="str">
        <f ca="1">IF($R140="","",IF($S140=$T$7,INDEX(TongVTSX!D$3:D$1500,$R140) &amp;  " (" &amp; INDEX(TongVTSX!A$3:A$1500,$R140) &amp; ")",INDEX(TongVTSX!D$3:D$1500,$R140)))</f>
        <v/>
      </c>
      <c r="F140" s="874" t="str">
        <f ca="1">IF($R140="","",IF($S140&lt;&gt;NVLSX!$N$6492,INDEX(TongVTSX!E$3:E$1500,$R140),INDEX(TongVTSX!G$3:G$1500,$R140)))</f>
        <v/>
      </c>
      <c r="G140" s="730" t="str">
        <f ca="1">IF($R140="","",INDEX(TongVTSX!F$3:F$1500,$R140))</f>
        <v/>
      </c>
      <c r="H140" s="731">
        <f ca="1">IF($S140=$T$7,INDEX(TongVTSX!$K$3:$K$1500,$R140)/INDEX(TongVTSX!$G$3:$G$1500,$R140),IF($S140=$T$2,ROUNDUP(SUMPRODUCT((TongVTSX!$C$3:$C$1500=$D140)*(TongVTSX!$E$3:$E$1500=$F140)*(TongVTSX!$S$3:$S$1500=TongVTSX!$S$2)*(TongVTSX!$K$3:$K$1500))/$V140,0),SUMPRODUCT((TongVTSX!$C$3:$C$1500=$D140)*(TongVTSX!$E$3:$E$1500=$F140)*(TongVTSX!$S$3:$S$1500=TongVTSX!$S$2)*(TongVTSX!$K$3:$K$1500))))</f>
        <v>0</v>
      </c>
      <c r="I140" s="731">
        <f ca="1">IF($S140=$T$2,ROUNDUP(SUMPRODUCT((TongVTSX!$C$3:$C$1500=$D140)*(TongVTSX!$E$3:$E$1500=$F140)*(TongVTSX!$S$3:$S$1500=TongVTSX!$S$2)*(TongVTSX!$K$3:$K$1500))/$V140,2),0)</f>
        <v>0</v>
      </c>
      <c r="J140" s="731"/>
      <c r="K140" s="731"/>
      <c r="L140" s="732"/>
      <c r="M140" s="732" t="str">
        <f t="shared" ca="1" si="7"/>
        <v/>
      </c>
      <c r="N140" s="732"/>
      <c r="O140" s="732">
        <f ca="1">IF($S140=$T$7,INDEX(TongVTSX!$O$3:$O$1500,$R140),IF($S140=$T$2,INDEX(TongVTSX!$M$3:$M$1500,$R140)*$V140*$H140,SUMPRODUCT((TongVTSX!$C$3:$C$1500=$D140)*(TongVTSX!$E$3:$E$1500=$F140)*(TongVTSX!$S$3:$S$1500=TongVTSX!$S$2)*(TongVTSX!$O$3:$O$1500))))</f>
        <v>0</v>
      </c>
      <c r="P140" s="1150">
        <f ca="1">IF($S140=$T$7,INDEX(TongVTSX!$O$3:$O$1500,$R140),IF($S140=$T$2,INDEX(TongVTSX!$M$3:$M$1500,$R140)*$I140*$V140,SUMPRODUCT((TongVTSX!$C$3:$C$1500=$D140)*(TongVTSX!$E$3:$E$1500=$F140)*(TongVTSX!$S$3:$S$1500=TongVTSX!$S$2)*(TongVTSX!$O$3:$O$1500))))</f>
        <v>0</v>
      </c>
      <c r="Q140" s="1155" t="str">
        <f ca="1">IFERROR(INDEX(NVLSX!$AA$2:$AA$6756,MATCH($D140,NVLSX!$E$2:$E$6756,0)),"")</f>
        <v/>
      </c>
      <c r="R140" s="75" t="str">
        <f ca="1">IF(S140="","",IF(S140&lt;&gt;S139,IF(TYPE(MATCH(S140,TongVTSX!$Q$3:$Q$1500,0))=16,"",MATCH(S140,TongVTSX!$Q$3:$Q$1500,0)),IF(TYPE(MATCH(S140,OFFSET(TongVTSX!$Q$3,R139,0):'TongVTSX'!$Q$1500,0)+R139)=16,"",MATCH(S140,OFFSET(TongVTSX!$Q$3,R139,0):'TongVTSX'!$Q$1500,0)+R139)))</f>
        <v/>
      </c>
      <c r="S140" s="76" t="str">
        <f ca="1">IFERROR(IF(COUNTIF($S$3:S139,S139)&lt; INDEX($U$1:$U$7,MATCH($S139,$T$1:$T$7,0)),$S139,INDEX($T$1:$T$7,MATCH($S139,$T$1:$T$7,0)+1)),"")</f>
        <v/>
      </c>
      <c r="V140" s="1133" t="str">
        <f ca="1">IFERROR(INDEX(NVLSX!$U$2:$U$6941,MATCH($D140,NVLSX!$E$2:$E$6941,0)),"")</f>
        <v/>
      </c>
      <c r="W140" s="1143"/>
      <c r="X140" s="1143"/>
    </row>
    <row r="141" spans="1:24">
      <c r="A141" s="19" t="str">
        <f t="shared" ca="1" si="6"/>
        <v/>
      </c>
      <c r="B141" s="1146" t="str">
        <f ca="1">IFERROR(INDEX(NVLSX!$Y$2:$Y$6756,MATCH($D141,NVLSX!$E$2:$E$6756,0)),"")</f>
        <v/>
      </c>
      <c r="C141" s="1146" t="str">
        <f ca="1">IFERROR(INDEX(NVLSX!$Z$2:$Z$6756,MATCH($D141,NVLSX!$E$2:$E$6756,0)),"")</f>
        <v/>
      </c>
      <c r="D141" s="729" t="str">
        <f ca="1">IF($R141="","",INDEX(TongVTSX!C$3:C$1500,$R141))</f>
        <v/>
      </c>
      <c r="E141" s="729" t="str">
        <f ca="1">IF($R141="","",IF($S141=$T$7,INDEX(TongVTSX!D$3:D$1500,$R141) &amp;  " (" &amp; INDEX(TongVTSX!A$3:A$1500,$R141) &amp; ")",INDEX(TongVTSX!D$3:D$1500,$R141)))</f>
        <v/>
      </c>
      <c r="F141" s="874" t="str">
        <f ca="1">IF($R141="","",IF($S141&lt;&gt;NVLSX!$N$6492,INDEX(TongVTSX!E$3:E$1500,$R141),INDEX(TongVTSX!G$3:G$1500,$R141)))</f>
        <v/>
      </c>
      <c r="G141" s="730" t="str">
        <f ca="1">IF($R141="","",INDEX(TongVTSX!F$3:F$1500,$R141))</f>
        <v/>
      </c>
      <c r="H141" s="731">
        <f ca="1">IF($S141=$T$7,INDEX(TongVTSX!$K$3:$K$1500,$R141)/INDEX(TongVTSX!$G$3:$G$1500,$R141),IF($S141=$T$2,ROUNDUP(SUMPRODUCT((TongVTSX!$C$3:$C$1500=$D141)*(TongVTSX!$E$3:$E$1500=$F141)*(TongVTSX!$S$3:$S$1500=TongVTSX!$S$2)*(TongVTSX!$K$3:$K$1500))/$V141,0),SUMPRODUCT((TongVTSX!$C$3:$C$1500=$D141)*(TongVTSX!$E$3:$E$1500=$F141)*(TongVTSX!$S$3:$S$1500=TongVTSX!$S$2)*(TongVTSX!$K$3:$K$1500))))</f>
        <v>0</v>
      </c>
      <c r="I141" s="731">
        <f ca="1">IF($S141=$T$2,ROUNDUP(SUMPRODUCT((TongVTSX!$C$3:$C$1500=$D141)*(TongVTSX!$E$3:$E$1500=$F141)*(TongVTSX!$S$3:$S$1500=TongVTSX!$S$2)*(TongVTSX!$K$3:$K$1500))/$V141,2),0)</f>
        <v>0</v>
      </c>
      <c r="J141" s="731"/>
      <c r="K141" s="731"/>
      <c r="L141" s="732"/>
      <c r="M141" s="732" t="str">
        <f t="shared" ca="1" si="7"/>
        <v/>
      </c>
      <c r="N141" s="732"/>
      <c r="O141" s="732">
        <f ca="1">IF($S141=$T$7,INDEX(TongVTSX!$O$3:$O$1500,$R141),IF($S141=$T$2,INDEX(TongVTSX!$M$3:$M$1500,$R141)*$V141*$H141,SUMPRODUCT((TongVTSX!$C$3:$C$1500=$D141)*(TongVTSX!$E$3:$E$1500=$F141)*(TongVTSX!$S$3:$S$1500=TongVTSX!$S$2)*(TongVTSX!$O$3:$O$1500))))</f>
        <v>0</v>
      </c>
      <c r="P141" s="1150">
        <f ca="1">IF($S141=$T$7,INDEX(TongVTSX!$O$3:$O$1500,$R141),IF($S141=$T$2,INDEX(TongVTSX!$M$3:$M$1500,$R141)*$I141*$V141,SUMPRODUCT((TongVTSX!$C$3:$C$1500=$D141)*(TongVTSX!$E$3:$E$1500=$F141)*(TongVTSX!$S$3:$S$1500=TongVTSX!$S$2)*(TongVTSX!$O$3:$O$1500))))</f>
        <v>0</v>
      </c>
      <c r="Q141" s="1155" t="str">
        <f ca="1">IFERROR(INDEX(NVLSX!$AA$2:$AA$6756,MATCH($D141,NVLSX!$E$2:$E$6756,0)),"")</f>
        <v/>
      </c>
      <c r="R141" s="75" t="str">
        <f ca="1">IF(S141="","",IF(S141&lt;&gt;S140,IF(TYPE(MATCH(S141,TongVTSX!$Q$3:$Q$1500,0))=16,"",MATCH(S141,TongVTSX!$Q$3:$Q$1500,0)),IF(TYPE(MATCH(S141,OFFSET(TongVTSX!$Q$3,R140,0):'TongVTSX'!$Q$1500,0)+R140)=16,"",MATCH(S141,OFFSET(TongVTSX!$Q$3,R140,0):'TongVTSX'!$Q$1500,0)+R140)))</f>
        <v/>
      </c>
      <c r="S141" s="76" t="str">
        <f ca="1">IFERROR(IF(COUNTIF($S$3:S140,S140)&lt; INDEX($U$1:$U$7,MATCH($S140,$T$1:$T$7,0)),$S140,INDEX($T$1:$T$7,MATCH($S140,$T$1:$T$7,0)+1)),"")</f>
        <v/>
      </c>
      <c r="V141" s="1133" t="str">
        <f ca="1">IFERROR(INDEX(NVLSX!$U$2:$U$6941,MATCH($D141,NVLSX!$E$2:$E$6941,0)),"")</f>
        <v/>
      </c>
      <c r="W141" s="1143"/>
      <c r="X141" s="1143"/>
    </row>
    <row r="142" spans="1:24">
      <c r="A142" s="19" t="str">
        <f t="shared" ca="1" si="6"/>
        <v/>
      </c>
      <c r="B142" s="1146" t="str">
        <f ca="1">IFERROR(INDEX(NVLSX!$Y$2:$Y$6756,MATCH($D142,NVLSX!$E$2:$E$6756,0)),"")</f>
        <v/>
      </c>
      <c r="C142" s="1146" t="str">
        <f ca="1">IFERROR(INDEX(NVLSX!$Z$2:$Z$6756,MATCH($D142,NVLSX!$E$2:$E$6756,0)),"")</f>
        <v/>
      </c>
      <c r="D142" s="729" t="str">
        <f ca="1">IF($R142="","",INDEX(TongVTSX!C$3:C$1500,$R142))</f>
        <v/>
      </c>
      <c r="E142" s="729" t="str">
        <f ca="1">IF($R142="","",IF($S142=$T$7,INDEX(TongVTSX!D$3:D$1500,$R142) &amp;  " (" &amp; INDEX(TongVTSX!A$3:A$1500,$R142) &amp; ")",INDEX(TongVTSX!D$3:D$1500,$R142)))</f>
        <v/>
      </c>
      <c r="F142" s="874" t="str">
        <f ca="1">IF($R142="","",IF($S142&lt;&gt;NVLSX!$N$6492,INDEX(TongVTSX!E$3:E$1500,$R142),INDEX(TongVTSX!G$3:G$1500,$R142)))</f>
        <v/>
      </c>
      <c r="G142" s="730" t="str">
        <f ca="1">IF($R142="","",INDEX(TongVTSX!F$3:F$1500,$R142))</f>
        <v/>
      </c>
      <c r="H142" s="731">
        <f ca="1">IF($S142=$T$7,INDEX(TongVTSX!$K$3:$K$1500,$R142)/INDEX(TongVTSX!$G$3:$G$1500,$R142),IF($S142=$T$2,ROUNDUP(SUMPRODUCT((TongVTSX!$C$3:$C$1500=$D142)*(TongVTSX!$E$3:$E$1500=$F142)*(TongVTSX!$S$3:$S$1500=TongVTSX!$S$2)*(TongVTSX!$K$3:$K$1500))/$V142,0),SUMPRODUCT((TongVTSX!$C$3:$C$1500=$D142)*(TongVTSX!$E$3:$E$1500=$F142)*(TongVTSX!$S$3:$S$1500=TongVTSX!$S$2)*(TongVTSX!$K$3:$K$1500))))</f>
        <v>0</v>
      </c>
      <c r="I142" s="731">
        <f ca="1">IF($S142=$T$2,ROUNDUP(SUMPRODUCT((TongVTSX!$C$3:$C$1500=$D142)*(TongVTSX!$E$3:$E$1500=$F142)*(TongVTSX!$S$3:$S$1500=TongVTSX!$S$2)*(TongVTSX!$K$3:$K$1500))/$V142,2),0)</f>
        <v>0</v>
      </c>
      <c r="J142" s="731"/>
      <c r="K142" s="731"/>
      <c r="L142" s="732"/>
      <c r="M142" s="732" t="str">
        <f t="shared" ca="1" si="7"/>
        <v/>
      </c>
      <c r="N142" s="732"/>
      <c r="O142" s="732">
        <f ca="1">IF($S142=$T$7,INDEX(TongVTSX!$O$3:$O$1500,$R142),IF($S142=$T$2,INDEX(TongVTSX!$M$3:$M$1500,$R142)*$V142*$H142,SUMPRODUCT((TongVTSX!$C$3:$C$1500=$D142)*(TongVTSX!$E$3:$E$1500=$F142)*(TongVTSX!$S$3:$S$1500=TongVTSX!$S$2)*(TongVTSX!$O$3:$O$1500))))</f>
        <v>0</v>
      </c>
      <c r="P142" s="1150">
        <f ca="1">IF($S142=$T$7,INDEX(TongVTSX!$O$3:$O$1500,$R142),IF($S142=$T$2,INDEX(TongVTSX!$M$3:$M$1500,$R142)*$I142*$V142,SUMPRODUCT((TongVTSX!$C$3:$C$1500=$D142)*(TongVTSX!$E$3:$E$1500=$F142)*(TongVTSX!$S$3:$S$1500=TongVTSX!$S$2)*(TongVTSX!$O$3:$O$1500))))</f>
        <v>0</v>
      </c>
      <c r="Q142" s="1155" t="str">
        <f ca="1">IFERROR(INDEX(NVLSX!$AA$2:$AA$6756,MATCH($D142,NVLSX!$E$2:$E$6756,0)),"")</f>
        <v/>
      </c>
      <c r="R142" s="75" t="str">
        <f ca="1">IF(S142="","",IF(S142&lt;&gt;S141,IF(TYPE(MATCH(S142,TongVTSX!$Q$3:$Q$1500,0))=16,"",MATCH(S142,TongVTSX!$Q$3:$Q$1500,0)),IF(TYPE(MATCH(S142,OFFSET(TongVTSX!$Q$3,R141,0):'TongVTSX'!$Q$1500,0)+R141)=16,"",MATCH(S142,OFFSET(TongVTSX!$Q$3,R141,0):'TongVTSX'!$Q$1500,0)+R141)))</f>
        <v/>
      </c>
      <c r="S142" s="76" t="str">
        <f ca="1">IFERROR(IF(COUNTIF($S$3:S141,S141)&lt; INDEX($U$1:$U$7,MATCH($S141,$T$1:$T$7,0)),$S141,INDEX($T$1:$T$7,MATCH($S141,$T$1:$T$7,0)+1)),"")</f>
        <v/>
      </c>
      <c r="V142" s="1133" t="str">
        <f ca="1">IFERROR(INDEX(NVLSX!$U$2:$U$6941,MATCH($D142,NVLSX!$E$2:$E$6941,0)),"")</f>
        <v/>
      </c>
      <c r="W142" s="1143"/>
      <c r="X142" s="1143"/>
    </row>
    <row r="143" spans="1:24">
      <c r="A143" s="19" t="str">
        <f t="shared" ca="1" si="6"/>
        <v/>
      </c>
      <c r="B143" s="1146" t="str">
        <f ca="1">IFERROR(INDEX(NVLSX!$Y$2:$Y$6756,MATCH($D143,NVLSX!$E$2:$E$6756,0)),"")</f>
        <v/>
      </c>
      <c r="C143" s="1146" t="str">
        <f ca="1">IFERROR(INDEX(NVLSX!$Z$2:$Z$6756,MATCH($D143,NVLSX!$E$2:$E$6756,0)),"")</f>
        <v/>
      </c>
      <c r="D143" s="729" t="str">
        <f ca="1">IF($R143="","",INDEX(TongVTSX!C$3:C$1500,$R143))</f>
        <v/>
      </c>
      <c r="E143" s="729" t="str">
        <f ca="1">IF($R143="","",IF($S143=$T$7,INDEX(TongVTSX!D$3:D$1500,$R143) &amp;  " (" &amp; INDEX(TongVTSX!A$3:A$1500,$R143) &amp; ")",INDEX(TongVTSX!D$3:D$1500,$R143)))</f>
        <v/>
      </c>
      <c r="F143" s="874" t="str">
        <f ca="1">IF($R143="","",IF($S143&lt;&gt;NVLSX!$N$6492,INDEX(TongVTSX!E$3:E$1500,$R143),INDEX(TongVTSX!G$3:G$1500,$R143)))</f>
        <v/>
      </c>
      <c r="G143" s="730" t="str">
        <f ca="1">IF($R143="","",INDEX(TongVTSX!F$3:F$1500,$R143))</f>
        <v/>
      </c>
      <c r="H143" s="731">
        <f ca="1">IF($S143=$T$7,INDEX(TongVTSX!$K$3:$K$1500,$R143)/INDEX(TongVTSX!$G$3:$G$1500,$R143),IF($S143=$T$2,ROUNDUP(SUMPRODUCT((TongVTSX!$C$3:$C$1500=$D143)*(TongVTSX!$E$3:$E$1500=$F143)*(TongVTSX!$S$3:$S$1500=TongVTSX!$S$2)*(TongVTSX!$K$3:$K$1500))/$V143,0),SUMPRODUCT((TongVTSX!$C$3:$C$1500=$D143)*(TongVTSX!$E$3:$E$1500=$F143)*(TongVTSX!$S$3:$S$1500=TongVTSX!$S$2)*(TongVTSX!$K$3:$K$1500))))</f>
        <v>0</v>
      </c>
      <c r="I143" s="731">
        <f ca="1">IF($S143=$T$2,ROUNDUP(SUMPRODUCT((TongVTSX!$C$3:$C$1500=$D143)*(TongVTSX!$E$3:$E$1500=$F143)*(TongVTSX!$S$3:$S$1500=TongVTSX!$S$2)*(TongVTSX!$K$3:$K$1500))/$V143,2),0)</f>
        <v>0</v>
      </c>
      <c r="J143" s="731"/>
      <c r="K143" s="731"/>
      <c r="L143" s="732"/>
      <c r="M143" s="732" t="str">
        <f t="shared" ca="1" si="7"/>
        <v/>
      </c>
      <c r="N143" s="732"/>
      <c r="O143" s="732">
        <f ca="1">IF($S143=$T$7,INDEX(TongVTSX!$O$3:$O$1500,$R143),IF($S143=$T$2,INDEX(TongVTSX!$M$3:$M$1500,$R143)*$V143*$H143,SUMPRODUCT((TongVTSX!$C$3:$C$1500=$D143)*(TongVTSX!$E$3:$E$1500=$F143)*(TongVTSX!$S$3:$S$1500=TongVTSX!$S$2)*(TongVTSX!$O$3:$O$1500))))</f>
        <v>0</v>
      </c>
      <c r="P143" s="1150">
        <f ca="1">IF($S143=$T$7,INDEX(TongVTSX!$O$3:$O$1500,$R143),IF($S143=$T$2,INDEX(TongVTSX!$M$3:$M$1500,$R143)*$I143*$V143,SUMPRODUCT((TongVTSX!$C$3:$C$1500=$D143)*(TongVTSX!$E$3:$E$1500=$F143)*(TongVTSX!$S$3:$S$1500=TongVTSX!$S$2)*(TongVTSX!$O$3:$O$1500))))</f>
        <v>0</v>
      </c>
      <c r="Q143" s="1155" t="str">
        <f ca="1">IFERROR(INDEX(NVLSX!$AA$2:$AA$6756,MATCH($D143,NVLSX!$E$2:$E$6756,0)),"")</f>
        <v/>
      </c>
      <c r="R143" s="75" t="str">
        <f ca="1">IF(S143="","",IF(S143&lt;&gt;S142,IF(TYPE(MATCH(S143,TongVTSX!$Q$3:$Q$1500,0))=16,"",MATCH(S143,TongVTSX!$Q$3:$Q$1500,0)),IF(TYPE(MATCH(S143,OFFSET(TongVTSX!$Q$3,R142,0):'TongVTSX'!$Q$1500,0)+R142)=16,"",MATCH(S143,OFFSET(TongVTSX!$Q$3,R142,0):'TongVTSX'!$Q$1500,0)+R142)))</f>
        <v/>
      </c>
      <c r="S143" s="76" t="str">
        <f ca="1">IFERROR(IF(COUNTIF($S$3:S142,S142)&lt; INDEX($U$1:$U$7,MATCH($S142,$T$1:$T$7,0)),$S142,INDEX($T$1:$T$7,MATCH($S142,$T$1:$T$7,0)+1)),"")</f>
        <v/>
      </c>
      <c r="V143" s="1133" t="str">
        <f ca="1">IFERROR(INDEX(NVLSX!$U$2:$U$6941,MATCH($D143,NVLSX!$E$2:$E$6941,0)),"")</f>
        <v/>
      </c>
      <c r="W143" s="1143"/>
      <c r="X143" s="1143"/>
    </row>
    <row r="144" spans="1:24">
      <c r="A144" s="19" t="str">
        <f t="shared" ca="1" si="6"/>
        <v/>
      </c>
      <c r="B144" s="1146" t="str">
        <f ca="1">IFERROR(INDEX(NVLSX!$Y$2:$Y$6756,MATCH($D144,NVLSX!$E$2:$E$6756,0)),"")</f>
        <v/>
      </c>
      <c r="C144" s="1146" t="str">
        <f ca="1">IFERROR(INDEX(NVLSX!$Z$2:$Z$6756,MATCH($D144,NVLSX!$E$2:$E$6756,0)),"")</f>
        <v/>
      </c>
      <c r="D144" s="729" t="str">
        <f ca="1">IF($R144="","",INDEX(TongVTSX!C$3:C$1500,$R144))</f>
        <v/>
      </c>
      <c r="E144" s="729" t="str">
        <f ca="1">IF($R144="","",IF($S144=$T$7,INDEX(TongVTSX!D$3:D$1500,$R144) &amp;  " (" &amp; INDEX(TongVTSX!A$3:A$1500,$R144) &amp; ")",INDEX(TongVTSX!D$3:D$1500,$R144)))</f>
        <v/>
      </c>
      <c r="F144" s="874" t="str">
        <f ca="1">IF($R144="","",IF($S144&lt;&gt;NVLSX!$N$6492,INDEX(TongVTSX!E$3:E$1500,$R144),INDEX(TongVTSX!G$3:G$1500,$R144)))</f>
        <v/>
      </c>
      <c r="G144" s="730" t="str">
        <f ca="1">IF($R144="","",INDEX(TongVTSX!F$3:F$1500,$R144))</f>
        <v/>
      </c>
      <c r="H144" s="731">
        <f ca="1">IF($S144=$T$7,INDEX(TongVTSX!$K$3:$K$1500,$R144)/INDEX(TongVTSX!$G$3:$G$1500,$R144),IF($S144=$T$2,ROUNDUP(SUMPRODUCT((TongVTSX!$C$3:$C$1500=$D144)*(TongVTSX!$E$3:$E$1500=$F144)*(TongVTSX!$S$3:$S$1500=TongVTSX!$S$2)*(TongVTSX!$K$3:$K$1500))/$V144,0),SUMPRODUCT((TongVTSX!$C$3:$C$1500=$D144)*(TongVTSX!$E$3:$E$1500=$F144)*(TongVTSX!$S$3:$S$1500=TongVTSX!$S$2)*(TongVTSX!$K$3:$K$1500))))</f>
        <v>0</v>
      </c>
      <c r="I144" s="731">
        <f ca="1">IF($S144=$T$2,ROUNDUP(SUMPRODUCT((TongVTSX!$C$3:$C$1500=$D144)*(TongVTSX!$E$3:$E$1500=$F144)*(TongVTSX!$S$3:$S$1500=TongVTSX!$S$2)*(TongVTSX!$K$3:$K$1500))/$V144,2),0)</f>
        <v>0</v>
      </c>
      <c r="J144" s="731"/>
      <c r="K144" s="731"/>
      <c r="L144" s="732"/>
      <c r="M144" s="732" t="str">
        <f t="shared" ca="1" si="7"/>
        <v/>
      </c>
      <c r="N144" s="732"/>
      <c r="O144" s="732">
        <f ca="1">IF($S144=$T$7,INDEX(TongVTSX!$O$3:$O$1500,$R144),IF($S144=$T$2,INDEX(TongVTSX!$M$3:$M$1500,$R144)*$V144*$H144,SUMPRODUCT((TongVTSX!$C$3:$C$1500=$D144)*(TongVTSX!$E$3:$E$1500=$F144)*(TongVTSX!$S$3:$S$1500=TongVTSX!$S$2)*(TongVTSX!$O$3:$O$1500))))</f>
        <v>0</v>
      </c>
      <c r="P144" s="1150">
        <f ca="1">IF($S144=$T$7,INDEX(TongVTSX!$O$3:$O$1500,$R144),IF($S144=$T$2,INDEX(TongVTSX!$M$3:$M$1500,$R144)*$I144*$V144,SUMPRODUCT((TongVTSX!$C$3:$C$1500=$D144)*(TongVTSX!$E$3:$E$1500=$F144)*(TongVTSX!$S$3:$S$1500=TongVTSX!$S$2)*(TongVTSX!$O$3:$O$1500))))</f>
        <v>0</v>
      </c>
      <c r="Q144" s="1155" t="str">
        <f ca="1">IFERROR(INDEX(NVLSX!$AA$2:$AA$6756,MATCH($D144,NVLSX!$E$2:$E$6756,0)),"")</f>
        <v/>
      </c>
      <c r="R144" s="75" t="str">
        <f ca="1">IF(S144="","",IF(S144&lt;&gt;S143,IF(TYPE(MATCH(S144,TongVTSX!$Q$3:$Q$1500,0))=16,"",MATCH(S144,TongVTSX!$Q$3:$Q$1500,0)),IF(TYPE(MATCH(S144,OFFSET(TongVTSX!$Q$3,R143,0):'TongVTSX'!$Q$1500,0)+R143)=16,"",MATCH(S144,OFFSET(TongVTSX!$Q$3,R143,0):'TongVTSX'!$Q$1500,0)+R143)))</f>
        <v/>
      </c>
      <c r="S144" s="76" t="str">
        <f ca="1">IFERROR(IF(COUNTIF($S$3:S143,S143)&lt; INDEX($U$1:$U$7,MATCH($S143,$T$1:$T$7,0)),$S143,INDEX($T$1:$T$7,MATCH($S143,$T$1:$T$7,0)+1)),"")</f>
        <v/>
      </c>
      <c r="V144" s="1133" t="str">
        <f ca="1">IFERROR(INDEX(NVLSX!$U$2:$U$6941,MATCH($D144,NVLSX!$E$2:$E$6941,0)),"")</f>
        <v/>
      </c>
      <c r="W144" s="1143"/>
      <c r="X144" s="1143"/>
    </row>
    <row r="145" spans="1:24">
      <c r="A145" s="19" t="str">
        <f t="shared" ca="1" si="6"/>
        <v/>
      </c>
      <c r="B145" s="1146" t="str">
        <f ca="1">IFERROR(INDEX(NVLSX!$Y$2:$Y$6756,MATCH($D145,NVLSX!$E$2:$E$6756,0)),"")</f>
        <v/>
      </c>
      <c r="C145" s="1146" t="str">
        <f ca="1">IFERROR(INDEX(NVLSX!$Z$2:$Z$6756,MATCH($D145,NVLSX!$E$2:$E$6756,0)),"")</f>
        <v/>
      </c>
      <c r="D145" s="729" t="str">
        <f ca="1">IF($R145="","",INDEX(TongVTSX!C$3:C$1500,$R145))</f>
        <v/>
      </c>
      <c r="E145" s="729" t="str">
        <f ca="1">IF($R145="","",IF($S145=$T$7,INDEX(TongVTSX!D$3:D$1500,$R145) &amp;  " (" &amp; INDEX(TongVTSX!A$3:A$1500,$R145) &amp; ")",INDEX(TongVTSX!D$3:D$1500,$R145)))</f>
        <v/>
      </c>
      <c r="F145" s="874" t="str">
        <f ca="1">IF($R145="","",IF($S145&lt;&gt;NVLSX!$N$6492,INDEX(TongVTSX!E$3:E$1500,$R145),INDEX(TongVTSX!G$3:G$1500,$R145)))</f>
        <v/>
      </c>
      <c r="G145" s="730" t="str">
        <f ca="1">IF($R145="","",INDEX(TongVTSX!F$3:F$1500,$R145))</f>
        <v/>
      </c>
      <c r="H145" s="731">
        <f ca="1">IF($S145=$T$7,INDEX(TongVTSX!$K$3:$K$1500,$R145)/INDEX(TongVTSX!$G$3:$G$1500,$R145),IF($S145=$T$2,ROUNDUP(SUMPRODUCT((TongVTSX!$C$3:$C$1500=$D145)*(TongVTSX!$E$3:$E$1500=$F145)*(TongVTSX!$S$3:$S$1500=TongVTSX!$S$2)*(TongVTSX!$K$3:$K$1500))/$V145,0),SUMPRODUCT((TongVTSX!$C$3:$C$1500=$D145)*(TongVTSX!$E$3:$E$1500=$F145)*(TongVTSX!$S$3:$S$1500=TongVTSX!$S$2)*(TongVTSX!$K$3:$K$1500))))</f>
        <v>0</v>
      </c>
      <c r="I145" s="731">
        <f ca="1">IF($S145=$T$2,ROUNDUP(SUMPRODUCT((TongVTSX!$C$3:$C$1500=$D145)*(TongVTSX!$E$3:$E$1500=$F145)*(TongVTSX!$S$3:$S$1500=TongVTSX!$S$2)*(TongVTSX!$K$3:$K$1500))/$V145,2),0)</f>
        <v>0</v>
      </c>
      <c r="J145" s="731"/>
      <c r="K145" s="731"/>
      <c r="L145" s="732"/>
      <c r="M145" s="732" t="str">
        <f t="shared" ca="1" si="7"/>
        <v/>
      </c>
      <c r="N145" s="732"/>
      <c r="O145" s="732">
        <f ca="1">IF($S145=$T$7,INDEX(TongVTSX!$O$3:$O$1500,$R145),IF($S145=$T$2,INDEX(TongVTSX!$M$3:$M$1500,$R145)*$V145*$H145,SUMPRODUCT((TongVTSX!$C$3:$C$1500=$D145)*(TongVTSX!$E$3:$E$1500=$F145)*(TongVTSX!$S$3:$S$1500=TongVTSX!$S$2)*(TongVTSX!$O$3:$O$1500))))</f>
        <v>0</v>
      </c>
      <c r="P145" s="1150">
        <f ca="1">IF($S145=$T$7,INDEX(TongVTSX!$O$3:$O$1500,$R145),IF($S145=$T$2,INDEX(TongVTSX!$M$3:$M$1500,$R145)*$I145*$V145,SUMPRODUCT((TongVTSX!$C$3:$C$1500=$D145)*(TongVTSX!$E$3:$E$1500=$F145)*(TongVTSX!$S$3:$S$1500=TongVTSX!$S$2)*(TongVTSX!$O$3:$O$1500))))</f>
        <v>0</v>
      </c>
      <c r="Q145" s="1155" t="str">
        <f ca="1">IFERROR(INDEX(NVLSX!$AA$2:$AA$6756,MATCH($D145,NVLSX!$E$2:$E$6756,0)),"")</f>
        <v/>
      </c>
      <c r="R145" s="75" t="str">
        <f ca="1">IF(S145="","",IF(S145&lt;&gt;S144,IF(TYPE(MATCH(S145,TongVTSX!$Q$3:$Q$1500,0))=16,"",MATCH(S145,TongVTSX!$Q$3:$Q$1500,0)),IF(TYPE(MATCH(S145,OFFSET(TongVTSX!$Q$3,R144,0):'TongVTSX'!$Q$1500,0)+R144)=16,"",MATCH(S145,OFFSET(TongVTSX!$Q$3,R144,0):'TongVTSX'!$Q$1500,0)+R144)))</f>
        <v/>
      </c>
      <c r="S145" s="76" t="str">
        <f ca="1">IFERROR(IF(COUNTIF($S$3:S144,S144)&lt; INDEX($U$1:$U$7,MATCH($S144,$T$1:$T$7,0)),$S144,INDEX($T$1:$T$7,MATCH($S144,$T$1:$T$7,0)+1)),"")</f>
        <v/>
      </c>
      <c r="V145" s="1133" t="str">
        <f ca="1">IFERROR(INDEX(NVLSX!$U$2:$U$6941,MATCH($D145,NVLSX!$E$2:$E$6941,0)),"")</f>
        <v/>
      </c>
      <c r="W145" s="1143"/>
      <c r="X145" s="1143"/>
    </row>
    <row r="146" spans="1:24">
      <c r="A146" s="19" t="str">
        <f t="shared" ca="1" si="6"/>
        <v/>
      </c>
      <c r="B146" s="1146" t="str">
        <f ca="1">IFERROR(INDEX(NVLSX!$Y$2:$Y$6756,MATCH($D146,NVLSX!$E$2:$E$6756,0)),"")</f>
        <v/>
      </c>
      <c r="C146" s="1146" t="str">
        <f ca="1">IFERROR(INDEX(NVLSX!$Z$2:$Z$6756,MATCH($D146,NVLSX!$E$2:$E$6756,0)),"")</f>
        <v/>
      </c>
      <c r="D146" s="729" t="str">
        <f ca="1">IF($R146="","",INDEX(TongVTSX!C$3:C$1500,$R146))</f>
        <v/>
      </c>
      <c r="E146" s="729" t="str">
        <f ca="1">IF($R146="","",IF($S146=$T$7,INDEX(TongVTSX!D$3:D$1500,$R146) &amp;  " (" &amp; INDEX(TongVTSX!A$3:A$1500,$R146) &amp; ")",INDEX(TongVTSX!D$3:D$1500,$R146)))</f>
        <v/>
      </c>
      <c r="F146" s="874" t="str">
        <f ca="1">IF($R146="","",IF($S146&lt;&gt;NVLSX!$N$6492,INDEX(TongVTSX!E$3:E$1500,$R146),INDEX(TongVTSX!G$3:G$1500,$R146)))</f>
        <v/>
      </c>
      <c r="G146" s="730" t="str">
        <f ca="1">IF($R146="","",INDEX(TongVTSX!F$3:F$1500,$R146))</f>
        <v/>
      </c>
      <c r="H146" s="731">
        <f ca="1">IF($S146=$T$7,INDEX(TongVTSX!$K$3:$K$1500,$R146)/INDEX(TongVTSX!$G$3:$G$1500,$R146),IF($S146=$T$2,ROUNDUP(SUMPRODUCT((TongVTSX!$C$3:$C$1500=$D146)*(TongVTSX!$E$3:$E$1500=$F146)*(TongVTSX!$S$3:$S$1500=TongVTSX!$S$2)*(TongVTSX!$K$3:$K$1500))/$V146,0),SUMPRODUCT((TongVTSX!$C$3:$C$1500=$D146)*(TongVTSX!$E$3:$E$1500=$F146)*(TongVTSX!$S$3:$S$1500=TongVTSX!$S$2)*(TongVTSX!$K$3:$K$1500))))</f>
        <v>0</v>
      </c>
      <c r="I146" s="731">
        <f ca="1">IF($S146=$T$2,ROUNDUP(SUMPRODUCT((TongVTSX!$C$3:$C$1500=$D146)*(TongVTSX!$E$3:$E$1500=$F146)*(TongVTSX!$S$3:$S$1500=TongVTSX!$S$2)*(TongVTSX!$K$3:$K$1500))/$V146,2),0)</f>
        <v>0</v>
      </c>
      <c r="J146" s="731"/>
      <c r="K146" s="731"/>
      <c r="L146" s="732"/>
      <c r="M146" s="732" t="str">
        <f t="shared" ca="1" si="7"/>
        <v/>
      </c>
      <c r="N146" s="732"/>
      <c r="O146" s="732">
        <f ca="1">IF($S146=$T$7,INDEX(TongVTSX!$O$3:$O$1500,$R146),IF($S146=$T$2,INDEX(TongVTSX!$M$3:$M$1500,$R146)*$V146*$H146,SUMPRODUCT((TongVTSX!$C$3:$C$1500=$D146)*(TongVTSX!$E$3:$E$1500=$F146)*(TongVTSX!$S$3:$S$1500=TongVTSX!$S$2)*(TongVTSX!$O$3:$O$1500))))</f>
        <v>0</v>
      </c>
      <c r="P146" s="1150">
        <f ca="1">IF($S146=$T$7,INDEX(TongVTSX!$O$3:$O$1500,$R146),IF($S146=$T$2,INDEX(TongVTSX!$M$3:$M$1500,$R146)*$I146*$V146,SUMPRODUCT((TongVTSX!$C$3:$C$1500=$D146)*(TongVTSX!$E$3:$E$1500=$F146)*(TongVTSX!$S$3:$S$1500=TongVTSX!$S$2)*(TongVTSX!$O$3:$O$1500))))</f>
        <v>0</v>
      </c>
      <c r="Q146" s="1155" t="str">
        <f ca="1">IFERROR(INDEX(NVLSX!$AA$2:$AA$6756,MATCH($D146,NVLSX!$E$2:$E$6756,0)),"")</f>
        <v/>
      </c>
      <c r="R146" s="75" t="str">
        <f ca="1">IF(S146="","",IF(S146&lt;&gt;S145,IF(TYPE(MATCH(S146,TongVTSX!$Q$3:$Q$1500,0))=16,"",MATCH(S146,TongVTSX!$Q$3:$Q$1500,0)),IF(TYPE(MATCH(S146,OFFSET(TongVTSX!$Q$3,R145,0):'TongVTSX'!$Q$1500,0)+R145)=16,"",MATCH(S146,OFFSET(TongVTSX!$Q$3,R145,0):'TongVTSX'!$Q$1500,0)+R145)))</f>
        <v/>
      </c>
      <c r="S146" s="76" t="str">
        <f ca="1">IFERROR(IF(COUNTIF($S$3:S145,S145)&lt; INDEX($U$1:$U$7,MATCH($S145,$T$1:$T$7,0)),$S145,INDEX($T$1:$T$7,MATCH($S145,$T$1:$T$7,0)+1)),"")</f>
        <v/>
      </c>
      <c r="V146" s="1133" t="str">
        <f ca="1">IFERROR(INDEX(NVLSX!$U$2:$U$6941,MATCH($D146,NVLSX!$E$2:$E$6941,0)),"")</f>
        <v/>
      </c>
      <c r="W146" s="1143"/>
      <c r="X146" s="1143"/>
    </row>
    <row r="147" spans="1:24">
      <c r="A147" s="19" t="str">
        <f t="shared" ca="1" si="6"/>
        <v/>
      </c>
      <c r="B147" s="1146" t="str">
        <f ca="1">IFERROR(INDEX(NVLSX!$Y$2:$Y$6756,MATCH($D147,NVLSX!$E$2:$E$6756,0)),"")</f>
        <v/>
      </c>
      <c r="C147" s="1146" t="str">
        <f ca="1">IFERROR(INDEX(NVLSX!$Z$2:$Z$6756,MATCH($D147,NVLSX!$E$2:$E$6756,0)),"")</f>
        <v/>
      </c>
      <c r="D147" s="729" t="str">
        <f ca="1">IF($R147="","",INDEX(TongVTSX!C$3:C$1500,$R147))</f>
        <v/>
      </c>
      <c r="E147" s="729" t="str">
        <f ca="1">IF($R147="","",IF($S147=$T$7,INDEX(TongVTSX!D$3:D$1500,$R147) &amp;  " (" &amp; INDEX(TongVTSX!A$3:A$1500,$R147) &amp; ")",INDEX(TongVTSX!D$3:D$1500,$R147)))</f>
        <v/>
      </c>
      <c r="F147" s="874" t="str">
        <f ca="1">IF($R147="","",IF($S147&lt;&gt;NVLSX!$N$6492,INDEX(TongVTSX!E$3:E$1500,$R147),INDEX(TongVTSX!G$3:G$1500,$R147)))</f>
        <v/>
      </c>
      <c r="G147" s="730" t="str">
        <f ca="1">IF($R147="","",INDEX(TongVTSX!F$3:F$1500,$R147))</f>
        <v/>
      </c>
      <c r="H147" s="731">
        <f ca="1">IF($S147=$T$7,INDEX(TongVTSX!$K$3:$K$1500,$R147)/INDEX(TongVTSX!$G$3:$G$1500,$R147),IF($S147=$T$2,ROUNDUP(SUMPRODUCT((TongVTSX!$C$3:$C$1500=$D147)*(TongVTSX!$E$3:$E$1500=$F147)*(TongVTSX!$S$3:$S$1500=TongVTSX!$S$2)*(TongVTSX!$K$3:$K$1500))/$V147,0),SUMPRODUCT((TongVTSX!$C$3:$C$1500=$D147)*(TongVTSX!$E$3:$E$1500=$F147)*(TongVTSX!$S$3:$S$1500=TongVTSX!$S$2)*(TongVTSX!$K$3:$K$1500))))</f>
        <v>0</v>
      </c>
      <c r="I147" s="731">
        <f ca="1">IF($S147=$T$2,ROUNDUP(SUMPRODUCT((TongVTSX!$C$3:$C$1500=$D147)*(TongVTSX!$E$3:$E$1500=$F147)*(TongVTSX!$S$3:$S$1500=TongVTSX!$S$2)*(TongVTSX!$K$3:$K$1500))/$V147,2),0)</f>
        <v>0</v>
      </c>
      <c r="J147" s="731"/>
      <c r="K147" s="731"/>
      <c r="L147" s="732"/>
      <c r="M147" s="732" t="str">
        <f t="shared" ca="1" si="7"/>
        <v/>
      </c>
      <c r="N147" s="732"/>
      <c r="O147" s="732">
        <f ca="1">IF($S147=$T$7,INDEX(TongVTSX!$O$3:$O$1500,$R147),IF($S147=$T$2,INDEX(TongVTSX!$M$3:$M$1500,$R147)*$V147*$H147,SUMPRODUCT((TongVTSX!$C$3:$C$1500=$D147)*(TongVTSX!$E$3:$E$1500=$F147)*(TongVTSX!$S$3:$S$1500=TongVTSX!$S$2)*(TongVTSX!$O$3:$O$1500))))</f>
        <v>0</v>
      </c>
      <c r="P147" s="1150">
        <f ca="1">IF($S147=$T$7,INDEX(TongVTSX!$O$3:$O$1500,$R147),IF($S147=$T$2,INDEX(TongVTSX!$M$3:$M$1500,$R147)*$I147*$V147,SUMPRODUCT((TongVTSX!$C$3:$C$1500=$D147)*(TongVTSX!$E$3:$E$1500=$F147)*(TongVTSX!$S$3:$S$1500=TongVTSX!$S$2)*(TongVTSX!$O$3:$O$1500))))</f>
        <v>0</v>
      </c>
      <c r="Q147" s="1155" t="str">
        <f ca="1">IFERROR(INDEX(NVLSX!$AA$2:$AA$6756,MATCH($D147,NVLSX!$E$2:$E$6756,0)),"")</f>
        <v/>
      </c>
      <c r="R147" s="75" t="str">
        <f ca="1">IF(S147="","",IF(S147&lt;&gt;S146,IF(TYPE(MATCH(S147,TongVTSX!$Q$3:$Q$1500,0))=16,"",MATCH(S147,TongVTSX!$Q$3:$Q$1500,0)),IF(TYPE(MATCH(S147,OFFSET(TongVTSX!$Q$3,R146,0):'TongVTSX'!$Q$1500,0)+R146)=16,"",MATCH(S147,OFFSET(TongVTSX!$Q$3,R146,0):'TongVTSX'!$Q$1500,0)+R146)))</f>
        <v/>
      </c>
      <c r="S147" s="76" t="str">
        <f ca="1">IFERROR(IF(COUNTIF($S$3:S146,S146)&lt; INDEX($U$1:$U$7,MATCH($S146,$T$1:$T$7,0)),$S146,INDEX($T$1:$T$7,MATCH($S146,$T$1:$T$7,0)+1)),"")</f>
        <v/>
      </c>
      <c r="V147" s="1133" t="str">
        <f ca="1">IFERROR(INDEX(NVLSX!$U$2:$U$6941,MATCH($D147,NVLSX!$E$2:$E$6941,0)),"")</f>
        <v/>
      </c>
      <c r="W147" s="1143"/>
      <c r="X147" s="1143"/>
    </row>
    <row r="148" spans="1:24">
      <c r="A148" s="19" t="str">
        <f t="shared" ca="1" si="6"/>
        <v/>
      </c>
      <c r="B148" s="1146" t="str">
        <f ca="1">IFERROR(INDEX(NVLSX!$Y$2:$Y$6756,MATCH($D148,NVLSX!$E$2:$E$6756,0)),"")</f>
        <v/>
      </c>
      <c r="C148" s="1146" t="str">
        <f ca="1">IFERROR(INDEX(NVLSX!$Z$2:$Z$6756,MATCH($D148,NVLSX!$E$2:$E$6756,0)),"")</f>
        <v/>
      </c>
      <c r="D148" s="729" t="str">
        <f ca="1">IF($R148="","",INDEX(TongVTSX!C$3:C$1500,$R148))</f>
        <v/>
      </c>
      <c r="E148" s="729" t="str">
        <f ca="1">IF($R148="","",IF($S148=$T$7,INDEX(TongVTSX!D$3:D$1500,$R148) &amp;  " (" &amp; INDEX(TongVTSX!A$3:A$1500,$R148) &amp; ")",INDEX(TongVTSX!D$3:D$1500,$R148)))</f>
        <v/>
      </c>
      <c r="F148" s="874" t="str">
        <f ca="1">IF($R148="","",IF($S148&lt;&gt;NVLSX!$N$6492,INDEX(TongVTSX!E$3:E$1500,$R148),INDEX(TongVTSX!G$3:G$1500,$R148)))</f>
        <v/>
      </c>
      <c r="G148" s="730" t="str">
        <f ca="1">IF($R148="","",INDEX(TongVTSX!F$3:F$1500,$R148))</f>
        <v/>
      </c>
      <c r="H148" s="731">
        <f ca="1">IF($S148=$T$7,INDEX(TongVTSX!$K$3:$K$1500,$R148)/INDEX(TongVTSX!$G$3:$G$1500,$R148),IF($S148=$T$2,ROUNDUP(SUMPRODUCT((TongVTSX!$C$3:$C$1500=$D148)*(TongVTSX!$E$3:$E$1500=$F148)*(TongVTSX!$S$3:$S$1500=TongVTSX!$S$2)*(TongVTSX!$K$3:$K$1500))/$V148,0),SUMPRODUCT((TongVTSX!$C$3:$C$1500=$D148)*(TongVTSX!$E$3:$E$1500=$F148)*(TongVTSX!$S$3:$S$1500=TongVTSX!$S$2)*(TongVTSX!$K$3:$K$1500))))</f>
        <v>0</v>
      </c>
      <c r="I148" s="731">
        <f ca="1">IF($S148=$T$2,ROUNDUP(SUMPRODUCT((TongVTSX!$C$3:$C$1500=$D148)*(TongVTSX!$E$3:$E$1500=$F148)*(TongVTSX!$S$3:$S$1500=TongVTSX!$S$2)*(TongVTSX!$K$3:$K$1500))/$V148,2),0)</f>
        <v>0</v>
      </c>
      <c r="J148" s="731"/>
      <c r="K148" s="731"/>
      <c r="L148" s="732"/>
      <c r="M148" s="732" t="str">
        <f t="shared" ca="1" si="7"/>
        <v/>
      </c>
      <c r="N148" s="732"/>
      <c r="O148" s="732">
        <f ca="1">IF($S148=$T$7,INDEX(TongVTSX!$O$3:$O$1500,$R148),IF($S148=$T$2,INDEX(TongVTSX!$M$3:$M$1500,$R148)*$V148*$H148,SUMPRODUCT((TongVTSX!$C$3:$C$1500=$D148)*(TongVTSX!$E$3:$E$1500=$F148)*(TongVTSX!$S$3:$S$1500=TongVTSX!$S$2)*(TongVTSX!$O$3:$O$1500))))</f>
        <v>0</v>
      </c>
      <c r="P148" s="1150">
        <f ca="1">IF($S148=$T$7,INDEX(TongVTSX!$O$3:$O$1500,$R148),IF($S148=$T$2,INDEX(TongVTSX!$M$3:$M$1500,$R148)*$I148*$V148,SUMPRODUCT((TongVTSX!$C$3:$C$1500=$D148)*(TongVTSX!$E$3:$E$1500=$F148)*(TongVTSX!$S$3:$S$1500=TongVTSX!$S$2)*(TongVTSX!$O$3:$O$1500))))</f>
        <v>0</v>
      </c>
      <c r="Q148" s="1155" t="str">
        <f ca="1">IFERROR(INDEX(NVLSX!$AA$2:$AA$6756,MATCH($D148,NVLSX!$E$2:$E$6756,0)),"")</f>
        <v/>
      </c>
      <c r="R148" s="75" t="str">
        <f ca="1">IF(S148="","",IF(S148&lt;&gt;S147,IF(TYPE(MATCH(S148,TongVTSX!$Q$3:$Q$1500,0))=16,"",MATCH(S148,TongVTSX!$Q$3:$Q$1500,0)),IF(TYPE(MATCH(S148,OFFSET(TongVTSX!$Q$3,R147,0):'TongVTSX'!$Q$1500,0)+R147)=16,"",MATCH(S148,OFFSET(TongVTSX!$Q$3,R147,0):'TongVTSX'!$Q$1500,0)+R147)))</f>
        <v/>
      </c>
      <c r="S148" s="76" t="str">
        <f ca="1">IFERROR(IF(COUNTIF($S$3:S147,S147)&lt; INDEX($U$1:$U$7,MATCH($S147,$T$1:$T$7,0)),$S147,INDEX($T$1:$T$7,MATCH($S147,$T$1:$T$7,0)+1)),"")</f>
        <v/>
      </c>
      <c r="V148" s="1133" t="str">
        <f ca="1">IFERROR(INDEX(NVLSX!$U$2:$U$6941,MATCH($D148,NVLSX!$E$2:$E$6941,0)),"")</f>
        <v/>
      </c>
      <c r="W148" s="1143"/>
      <c r="X148" s="1143"/>
    </row>
    <row r="149" spans="1:24">
      <c r="A149" s="19" t="str">
        <f t="shared" ca="1" si="6"/>
        <v/>
      </c>
      <c r="B149" s="1146" t="str">
        <f ca="1">IFERROR(INDEX(NVLSX!$Y$2:$Y$6756,MATCH($D149,NVLSX!$E$2:$E$6756,0)),"")</f>
        <v/>
      </c>
      <c r="C149" s="1146" t="str">
        <f ca="1">IFERROR(INDEX(NVLSX!$Z$2:$Z$6756,MATCH($D149,NVLSX!$E$2:$E$6756,0)),"")</f>
        <v/>
      </c>
      <c r="D149" s="729" t="str">
        <f ca="1">IF($R149="","",INDEX(TongVTSX!C$3:C$1500,$R149))</f>
        <v/>
      </c>
      <c r="E149" s="729" t="str">
        <f ca="1">IF($R149="","",IF($S149=$T$7,INDEX(TongVTSX!D$3:D$1500,$R149) &amp;  " (" &amp; INDEX(TongVTSX!A$3:A$1500,$R149) &amp; ")",INDEX(TongVTSX!D$3:D$1500,$R149)))</f>
        <v/>
      </c>
      <c r="F149" s="874" t="str">
        <f ca="1">IF($R149="","",IF($S149&lt;&gt;NVLSX!$N$6492,INDEX(TongVTSX!E$3:E$1500,$R149),INDEX(TongVTSX!G$3:G$1500,$R149)))</f>
        <v/>
      </c>
      <c r="G149" s="730" t="str">
        <f ca="1">IF($R149="","",INDEX(TongVTSX!F$3:F$1500,$R149))</f>
        <v/>
      </c>
      <c r="H149" s="731">
        <f ca="1">IF($S149=$T$7,INDEX(TongVTSX!$K$3:$K$1500,$R149)/INDEX(TongVTSX!$G$3:$G$1500,$R149),IF($S149=$T$2,ROUNDUP(SUMPRODUCT((TongVTSX!$C$3:$C$1500=$D149)*(TongVTSX!$E$3:$E$1500=$F149)*(TongVTSX!$S$3:$S$1500=TongVTSX!$S$2)*(TongVTSX!$K$3:$K$1500))/$V149,0),SUMPRODUCT((TongVTSX!$C$3:$C$1500=$D149)*(TongVTSX!$E$3:$E$1500=$F149)*(TongVTSX!$S$3:$S$1500=TongVTSX!$S$2)*(TongVTSX!$K$3:$K$1500))))</f>
        <v>0</v>
      </c>
      <c r="I149" s="731">
        <f ca="1">IF($S149=$T$2,ROUNDUP(SUMPRODUCT((TongVTSX!$C$3:$C$1500=$D149)*(TongVTSX!$E$3:$E$1500=$F149)*(TongVTSX!$S$3:$S$1500=TongVTSX!$S$2)*(TongVTSX!$K$3:$K$1500))/$V149,2),0)</f>
        <v>0</v>
      </c>
      <c r="J149" s="731"/>
      <c r="K149" s="731"/>
      <c r="L149" s="732"/>
      <c r="M149" s="732" t="str">
        <f t="shared" ca="1" si="7"/>
        <v/>
      </c>
      <c r="N149" s="732"/>
      <c r="O149" s="732">
        <f ca="1">IF($S149=$T$7,INDEX(TongVTSX!$O$3:$O$1500,$R149),IF($S149=$T$2,INDEX(TongVTSX!$M$3:$M$1500,$R149)*$V149*$H149,SUMPRODUCT((TongVTSX!$C$3:$C$1500=$D149)*(TongVTSX!$E$3:$E$1500=$F149)*(TongVTSX!$S$3:$S$1500=TongVTSX!$S$2)*(TongVTSX!$O$3:$O$1500))))</f>
        <v>0</v>
      </c>
      <c r="P149" s="1150">
        <f ca="1">IF($S149=$T$7,INDEX(TongVTSX!$O$3:$O$1500,$R149),IF($S149=$T$2,INDEX(TongVTSX!$M$3:$M$1500,$R149)*$I149*$V149,SUMPRODUCT((TongVTSX!$C$3:$C$1500=$D149)*(TongVTSX!$E$3:$E$1500=$F149)*(TongVTSX!$S$3:$S$1500=TongVTSX!$S$2)*(TongVTSX!$O$3:$O$1500))))</f>
        <v>0</v>
      </c>
      <c r="Q149" s="1155" t="str">
        <f ca="1">IFERROR(INDEX(NVLSX!$AA$2:$AA$6756,MATCH($D149,NVLSX!$E$2:$E$6756,0)),"")</f>
        <v/>
      </c>
      <c r="R149" s="75" t="str">
        <f ca="1">IF(S149="","",IF(S149&lt;&gt;S148,IF(TYPE(MATCH(S149,TongVTSX!$Q$3:$Q$1500,0))=16,"",MATCH(S149,TongVTSX!$Q$3:$Q$1500,0)),IF(TYPE(MATCH(S149,OFFSET(TongVTSX!$Q$3,R148,0):'TongVTSX'!$Q$1500,0)+R148)=16,"",MATCH(S149,OFFSET(TongVTSX!$Q$3,R148,0):'TongVTSX'!$Q$1500,0)+R148)))</f>
        <v/>
      </c>
      <c r="S149" s="76" t="str">
        <f ca="1">IFERROR(IF(COUNTIF($S$3:S148,S148)&lt; INDEX($U$1:$U$7,MATCH($S148,$T$1:$T$7,0)),$S148,INDEX($T$1:$T$7,MATCH($S148,$T$1:$T$7,0)+1)),"")</f>
        <v/>
      </c>
      <c r="V149" s="1133" t="str">
        <f ca="1">IFERROR(INDEX(NVLSX!$U$2:$U$6941,MATCH($D149,NVLSX!$E$2:$E$6941,0)),"")</f>
        <v/>
      </c>
      <c r="W149" s="1143"/>
      <c r="X149" s="1143"/>
    </row>
    <row r="150" spans="1:24">
      <c r="A150" s="19" t="str">
        <f t="shared" ca="1" si="6"/>
        <v/>
      </c>
      <c r="B150" s="1146" t="str">
        <f ca="1">IFERROR(INDEX(NVLSX!$Y$2:$Y$6756,MATCH($D150,NVLSX!$E$2:$E$6756,0)),"")</f>
        <v/>
      </c>
      <c r="C150" s="1146" t="str">
        <f ca="1">IFERROR(INDEX(NVLSX!$Z$2:$Z$6756,MATCH($D150,NVLSX!$E$2:$E$6756,0)),"")</f>
        <v/>
      </c>
      <c r="D150" s="729" t="str">
        <f ca="1">IF($R150="","",INDEX(TongVTSX!C$3:C$1500,$R150))</f>
        <v/>
      </c>
      <c r="E150" s="729" t="str">
        <f ca="1">IF($R150="","",IF($S150=$T$7,INDEX(TongVTSX!D$3:D$1500,$R150) &amp;  " (" &amp; INDEX(TongVTSX!A$3:A$1500,$R150) &amp; ")",INDEX(TongVTSX!D$3:D$1500,$R150)))</f>
        <v/>
      </c>
      <c r="F150" s="874" t="str">
        <f ca="1">IF($R150="","",IF($S150&lt;&gt;NVLSX!$N$6492,INDEX(TongVTSX!E$3:E$1500,$R150),INDEX(TongVTSX!G$3:G$1500,$R150)))</f>
        <v/>
      </c>
      <c r="G150" s="730" t="str">
        <f ca="1">IF($R150="","",INDEX(TongVTSX!F$3:F$1500,$R150))</f>
        <v/>
      </c>
      <c r="H150" s="731">
        <f ca="1">IF($S150=$T$7,INDEX(TongVTSX!$K$3:$K$1500,$R150)/INDEX(TongVTSX!$G$3:$G$1500,$R150),IF($S150=$T$2,ROUNDUP(SUMPRODUCT((TongVTSX!$C$3:$C$1500=$D150)*(TongVTSX!$E$3:$E$1500=$F150)*(TongVTSX!$S$3:$S$1500=TongVTSX!$S$2)*(TongVTSX!$K$3:$K$1500))/$V150,0),SUMPRODUCT((TongVTSX!$C$3:$C$1500=$D150)*(TongVTSX!$E$3:$E$1500=$F150)*(TongVTSX!$S$3:$S$1500=TongVTSX!$S$2)*(TongVTSX!$K$3:$K$1500))))</f>
        <v>0</v>
      </c>
      <c r="I150" s="731">
        <f ca="1">IF($S150=$T$2,ROUNDUP(SUMPRODUCT((TongVTSX!$C$3:$C$1500=$D150)*(TongVTSX!$E$3:$E$1500=$F150)*(TongVTSX!$S$3:$S$1500=TongVTSX!$S$2)*(TongVTSX!$K$3:$K$1500))/$V150,2),0)</f>
        <v>0</v>
      </c>
      <c r="J150" s="731"/>
      <c r="K150" s="731"/>
      <c r="L150" s="732"/>
      <c r="M150" s="732" t="str">
        <f t="shared" ca="1" si="7"/>
        <v/>
      </c>
      <c r="N150" s="732"/>
      <c r="O150" s="732">
        <f ca="1">IF($S150=$T$7,INDEX(TongVTSX!$O$3:$O$1500,$R150),IF($S150=$T$2,INDEX(TongVTSX!$M$3:$M$1500,$R150)*$V150*$H150,SUMPRODUCT((TongVTSX!$C$3:$C$1500=$D150)*(TongVTSX!$E$3:$E$1500=$F150)*(TongVTSX!$S$3:$S$1500=TongVTSX!$S$2)*(TongVTSX!$O$3:$O$1500))))</f>
        <v>0</v>
      </c>
      <c r="P150" s="1150">
        <f ca="1">IF($S150=$T$7,INDEX(TongVTSX!$O$3:$O$1500,$R150),IF($S150=$T$2,INDEX(TongVTSX!$M$3:$M$1500,$R150)*$I150*$V150,SUMPRODUCT((TongVTSX!$C$3:$C$1500=$D150)*(TongVTSX!$E$3:$E$1500=$F150)*(TongVTSX!$S$3:$S$1500=TongVTSX!$S$2)*(TongVTSX!$O$3:$O$1500))))</f>
        <v>0</v>
      </c>
      <c r="Q150" s="1155" t="str">
        <f ca="1">IFERROR(INDEX(NVLSX!$AA$2:$AA$6756,MATCH($D150,NVLSX!$E$2:$E$6756,0)),"")</f>
        <v/>
      </c>
      <c r="R150" s="75" t="str">
        <f ca="1">IF(S150="","",IF(S150&lt;&gt;S149,IF(TYPE(MATCH(S150,TongVTSX!$Q$3:$Q$1500,0))=16,"",MATCH(S150,TongVTSX!$Q$3:$Q$1500,0)),IF(TYPE(MATCH(S150,OFFSET(TongVTSX!$Q$3,R149,0):'TongVTSX'!$Q$1500,0)+R149)=16,"",MATCH(S150,OFFSET(TongVTSX!$Q$3,R149,0):'TongVTSX'!$Q$1500,0)+R149)))</f>
        <v/>
      </c>
      <c r="S150" s="76" t="str">
        <f ca="1">IFERROR(IF(COUNTIF($S$3:S149,S149)&lt; INDEX($U$1:$U$7,MATCH($S149,$T$1:$T$7,0)),$S149,INDEX($T$1:$T$7,MATCH($S149,$T$1:$T$7,0)+1)),"")</f>
        <v/>
      </c>
      <c r="V150" s="1133" t="str">
        <f ca="1">IFERROR(INDEX(NVLSX!$U$2:$U$6941,MATCH($D150,NVLSX!$E$2:$E$6941,0)),"")</f>
        <v/>
      </c>
      <c r="W150" s="1143"/>
      <c r="X150" s="1143"/>
    </row>
    <row r="151" spans="1:24">
      <c r="A151" s="19" t="str">
        <f t="shared" ca="1" si="6"/>
        <v/>
      </c>
      <c r="B151" s="1146" t="str">
        <f ca="1">IFERROR(INDEX(NVLSX!$Y$2:$Y$6756,MATCH($D151,NVLSX!$E$2:$E$6756,0)),"")</f>
        <v/>
      </c>
      <c r="C151" s="1146" t="str">
        <f ca="1">IFERROR(INDEX(NVLSX!$Z$2:$Z$6756,MATCH($D151,NVLSX!$E$2:$E$6756,0)),"")</f>
        <v/>
      </c>
      <c r="D151" s="729" t="str">
        <f ca="1">IF($R151="","",INDEX(TongVTSX!C$3:C$1500,$R151))</f>
        <v/>
      </c>
      <c r="E151" s="729" t="str">
        <f ca="1">IF($R151="","",IF($S151=$T$7,INDEX(TongVTSX!D$3:D$1500,$R151) &amp;  " (" &amp; INDEX(TongVTSX!A$3:A$1500,$R151) &amp; ")",INDEX(TongVTSX!D$3:D$1500,$R151)))</f>
        <v/>
      </c>
      <c r="F151" s="874" t="str">
        <f ca="1">IF($R151="","",IF($S151&lt;&gt;NVLSX!$N$6492,INDEX(TongVTSX!E$3:E$1500,$R151),INDEX(TongVTSX!G$3:G$1500,$R151)))</f>
        <v/>
      </c>
      <c r="G151" s="730" t="str">
        <f ca="1">IF($R151="","",INDEX(TongVTSX!F$3:F$1500,$R151))</f>
        <v/>
      </c>
      <c r="H151" s="731">
        <f ca="1">IF($S151=$T$7,INDEX(TongVTSX!$K$3:$K$1500,$R151)/INDEX(TongVTSX!$G$3:$G$1500,$R151),IF($S151=$T$2,ROUNDUP(SUMPRODUCT((TongVTSX!$C$3:$C$1500=$D151)*(TongVTSX!$E$3:$E$1500=$F151)*(TongVTSX!$S$3:$S$1500=TongVTSX!$S$2)*(TongVTSX!$K$3:$K$1500))/$V151,0),SUMPRODUCT((TongVTSX!$C$3:$C$1500=$D151)*(TongVTSX!$E$3:$E$1500=$F151)*(TongVTSX!$S$3:$S$1500=TongVTSX!$S$2)*(TongVTSX!$K$3:$K$1500))))</f>
        <v>0</v>
      </c>
      <c r="I151" s="731">
        <f ca="1">IF($S151=$T$2,ROUNDUP(SUMPRODUCT((TongVTSX!$C$3:$C$1500=$D151)*(TongVTSX!$E$3:$E$1500=$F151)*(TongVTSX!$S$3:$S$1500=TongVTSX!$S$2)*(TongVTSX!$K$3:$K$1500))/$V151,2),0)</f>
        <v>0</v>
      </c>
      <c r="J151" s="731"/>
      <c r="K151" s="731"/>
      <c r="L151" s="732"/>
      <c r="M151" s="732" t="str">
        <f t="shared" ca="1" si="7"/>
        <v/>
      </c>
      <c r="N151" s="732"/>
      <c r="O151" s="732">
        <f ca="1">IF($S151=$T$7,INDEX(TongVTSX!$O$3:$O$1500,$R151),IF($S151=$T$2,INDEX(TongVTSX!$M$3:$M$1500,$R151)*$V151*$H151,SUMPRODUCT((TongVTSX!$C$3:$C$1500=$D151)*(TongVTSX!$E$3:$E$1500=$F151)*(TongVTSX!$S$3:$S$1500=TongVTSX!$S$2)*(TongVTSX!$O$3:$O$1500))))</f>
        <v>0</v>
      </c>
      <c r="P151" s="1150">
        <f ca="1">IF($S151=$T$7,INDEX(TongVTSX!$O$3:$O$1500,$R151),IF($S151=$T$2,INDEX(TongVTSX!$M$3:$M$1500,$R151)*$I151*$V151,SUMPRODUCT((TongVTSX!$C$3:$C$1500=$D151)*(TongVTSX!$E$3:$E$1500=$F151)*(TongVTSX!$S$3:$S$1500=TongVTSX!$S$2)*(TongVTSX!$O$3:$O$1500))))</f>
        <v>0</v>
      </c>
      <c r="Q151" s="1155" t="str">
        <f ca="1">IFERROR(INDEX(NVLSX!$AA$2:$AA$6756,MATCH($D151,NVLSX!$E$2:$E$6756,0)),"")</f>
        <v/>
      </c>
      <c r="R151" s="75" t="str">
        <f ca="1">IF(S151="","",IF(S151&lt;&gt;S150,IF(TYPE(MATCH(S151,TongVTSX!$Q$3:$Q$1500,0))=16,"",MATCH(S151,TongVTSX!$Q$3:$Q$1500,0)),IF(TYPE(MATCH(S151,OFFSET(TongVTSX!$Q$3,R150,0):'TongVTSX'!$Q$1500,0)+R150)=16,"",MATCH(S151,OFFSET(TongVTSX!$Q$3,R150,0):'TongVTSX'!$Q$1500,0)+R150)))</f>
        <v/>
      </c>
      <c r="S151" s="76" t="str">
        <f ca="1">IFERROR(IF(COUNTIF($S$3:S150,S150)&lt; INDEX($U$1:$U$7,MATCH($S150,$T$1:$T$7,0)),$S150,INDEX($T$1:$T$7,MATCH($S150,$T$1:$T$7,0)+1)),"")</f>
        <v/>
      </c>
      <c r="V151" s="1133" t="str">
        <f ca="1">IFERROR(INDEX(NVLSX!$U$2:$U$6941,MATCH($D151,NVLSX!$E$2:$E$6941,0)),"")</f>
        <v/>
      </c>
      <c r="W151" s="1143"/>
      <c r="X151" s="1143"/>
    </row>
    <row r="152" spans="1:24">
      <c r="A152" s="19" t="str">
        <f t="shared" ca="1" si="6"/>
        <v/>
      </c>
      <c r="B152" s="1146" t="str">
        <f ca="1">IFERROR(INDEX(NVLSX!$Y$2:$Y$6756,MATCH($D152,NVLSX!$E$2:$E$6756,0)),"")</f>
        <v/>
      </c>
      <c r="C152" s="1146" t="str">
        <f ca="1">IFERROR(INDEX(NVLSX!$Z$2:$Z$6756,MATCH($D152,NVLSX!$E$2:$E$6756,0)),"")</f>
        <v/>
      </c>
      <c r="D152" s="729" t="str">
        <f ca="1">IF($R152="","",INDEX(TongVTSX!C$3:C$1500,$R152))</f>
        <v/>
      </c>
      <c r="E152" s="729" t="str">
        <f ca="1">IF($R152="","",IF($S152=$T$7,INDEX(TongVTSX!D$3:D$1500,$R152) &amp;  " (" &amp; INDEX(TongVTSX!A$3:A$1500,$R152) &amp; ")",INDEX(TongVTSX!D$3:D$1500,$R152)))</f>
        <v/>
      </c>
      <c r="F152" s="874" t="str">
        <f ca="1">IF($R152="","",IF($S152&lt;&gt;NVLSX!$N$6492,INDEX(TongVTSX!E$3:E$1500,$R152),INDEX(TongVTSX!G$3:G$1500,$R152)))</f>
        <v/>
      </c>
      <c r="G152" s="730" t="str">
        <f ca="1">IF($R152="","",INDEX(TongVTSX!F$3:F$1500,$R152))</f>
        <v/>
      </c>
      <c r="H152" s="731">
        <f ca="1">IF($S152=$T$7,INDEX(TongVTSX!$K$3:$K$1500,$R152)/INDEX(TongVTSX!$G$3:$G$1500,$R152),IF($S152=$T$2,ROUNDUP(SUMPRODUCT((TongVTSX!$C$3:$C$1500=$D152)*(TongVTSX!$E$3:$E$1500=$F152)*(TongVTSX!$S$3:$S$1500=TongVTSX!$S$2)*(TongVTSX!$K$3:$K$1500))/$V152,0),SUMPRODUCT((TongVTSX!$C$3:$C$1500=$D152)*(TongVTSX!$E$3:$E$1500=$F152)*(TongVTSX!$S$3:$S$1500=TongVTSX!$S$2)*(TongVTSX!$K$3:$K$1500))))</f>
        <v>0</v>
      </c>
      <c r="I152" s="731">
        <f ca="1">IF($S152=$T$2,ROUNDUP(SUMPRODUCT((TongVTSX!$C$3:$C$1500=$D152)*(TongVTSX!$E$3:$E$1500=$F152)*(TongVTSX!$S$3:$S$1500=TongVTSX!$S$2)*(TongVTSX!$K$3:$K$1500))/$V152,2),0)</f>
        <v>0</v>
      </c>
      <c r="J152" s="731"/>
      <c r="K152" s="731"/>
      <c r="L152" s="732"/>
      <c r="M152" s="732" t="str">
        <f t="shared" ca="1" si="7"/>
        <v/>
      </c>
      <c r="N152" s="732"/>
      <c r="O152" s="732">
        <f ca="1">IF($S152=$T$7,INDEX(TongVTSX!$O$3:$O$1500,$R152),IF($S152=$T$2,INDEX(TongVTSX!$M$3:$M$1500,$R152)*$V152*$H152,SUMPRODUCT((TongVTSX!$C$3:$C$1500=$D152)*(TongVTSX!$E$3:$E$1500=$F152)*(TongVTSX!$S$3:$S$1500=TongVTSX!$S$2)*(TongVTSX!$O$3:$O$1500))))</f>
        <v>0</v>
      </c>
      <c r="P152" s="1150">
        <f ca="1">IF($S152=$T$7,INDEX(TongVTSX!$O$3:$O$1500,$R152),IF($S152=$T$2,INDEX(TongVTSX!$M$3:$M$1500,$R152)*$I152*$V152,SUMPRODUCT((TongVTSX!$C$3:$C$1500=$D152)*(TongVTSX!$E$3:$E$1500=$F152)*(TongVTSX!$S$3:$S$1500=TongVTSX!$S$2)*(TongVTSX!$O$3:$O$1500))))</f>
        <v>0</v>
      </c>
      <c r="Q152" s="1155" t="str">
        <f ca="1">IFERROR(INDEX(NVLSX!$AA$2:$AA$6756,MATCH($D152,NVLSX!$E$2:$E$6756,0)),"")</f>
        <v/>
      </c>
      <c r="R152" s="75" t="str">
        <f ca="1">IF(S152="","",IF(S152&lt;&gt;S151,IF(TYPE(MATCH(S152,TongVTSX!$Q$3:$Q$1500,0))=16,"",MATCH(S152,TongVTSX!$Q$3:$Q$1500,0)),IF(TYPE(MATCH(S152,OFFSET(TongVTSX!$Q$3,R151,0):'TongVTSX'!$Q$1500,0)+R151)=16,"",MATCH(S152,OFFSET(TongVTSX!$Q$3,R151,0):'TongVTSX'!$Q$1500,0)+R151)))</f>
        <v/>
      </c>
      <c r="S152" s="76" t="str">
        <f ca="1">IFERROR(IF(COUNTIF($S$3:S151,S151)&lt; INDEX($U$1:$U$7,MATCH($S151,$T$1:$T$7,0)),$S151,INDEX($T$1:$T$7,MATCH($S151,$T$1:$T$7,0)+1)),"")</f>
        <v/>
      </c>
      <c r="V152" s="1133" t="str">
        <f ca="1">IFERROR(INDEX(NVLSX!$U$2:$U$6941,MATCH($D152,NVLSX!$E$2:$E$6941,0)),"")</f>
        <v/>
      </c>
      <c r="W152" s="1143"/>
      <c r="X152" s="1143"/>
    </row>
    <row r="153" spans="1:24">
      <c r="A153" s="19" t="str">
        <f t="shared" ca="1" si="6"/>
        <v/>
      </c>
      <c r="B153" s="1146" t="str">
        <f ca="1">IFERROR(INDEX(NVLSX!$Y$2:$Y$6756,MATCH($D153,NVLSX!$E$2:$E$6756,0)),"")</f>
        <v/>
      </c>
      <c r="C153" s="1146" t="str">
        <f ca="1">IFERROR(INDEX(NVLSX!$Z$2:$Z$6756,MATCH($D153,NVLSX!$E$2:$E$6756,0)),"")</f>
        <v/>
      </c>
      <c r="D153" s="729" t="str">
        <f ca="1">IF($R153="","",INDEX(TongVTSX!C$3:C$1500,$R153))</f>
        <v/>
      </c>
      <c r="E153" s="729" t="str">
        <f ca="1">IF($R153="","",IF($S153=$T$7,INDEX(TongVTSX!D$3:D$1500,$R153) &amp;  " (" &amp; INDEX(TongVTSX!A$3:A$1500,$R153) &amp; ")",INDEX(TongVTSX!D$3:D$1500,$R153)))</f>
        <v/>
      </c>
      <c r="F153" s="874" t="str">
        <f ca="1">IF($R153="","",IF($S153&lt;&gt;NVLSX!$N$6492,INDEX(TongVTSX!E$3:E$1500,$R153),INDEX(TongVTSX!G$3:G$1500,$R153)))</f>
        <v/>
      </c>
      <c r="G153" s="730" t="str">
        <f ca="1">IF($R153="","",INDEX(TongVTSX!F$3:F$1500,$R153))</f>
        <v/>
      </c>
      <c r="H153" s="731">
        <f ca="1">IF($S153=$T$7,INDEX(TongVTSX!$K$3:$K$1500,$R153)/INDEX(TongVTSX!$G$3:$G$1500,$R153),IF($S153=$T$2,ROUNDUP(SUMPRODUCT((TongVTSX!$C$3:$C$1500=$D153)*(TongVTSX!$E$3:$E$1500=$F153)*(TongVTSX!$S$3:$S$1500=TongVTSX!$S$2)*(TongVTSX!$K$3:$K$1500))/$V153,0),SUMPRODUCT((TongVTSX!$C$3:$C$1500=$D153)*(TongVTSX!$E$3:$E$1500=$F153)*(TongVTSX!$S$3:$S$1500=TongVTSX!$S$2)*(TongVTSX!$K$3:$K$1500))))</f>
        <v>0</v>
      </c>
      <c r="I153" s="731">
        <f ca="1">IF($S153=$T$2,ROUNDUP(SUMPRODUCT((TongVTSX!$C$3:$C$1500=$D153)*(TongVTSX!$E$3:$E$1500=$F153)*(TongVTSX!$S$3:$S$1500=TongVTSX!$S$2)*(TongVTSX!$K$3:$K$1500))/$V153,2),0)</f>
        <v>0</v>
      </c>
      <c r="J153" s="731"/>
      <c r="K153" s="731"/>
      <c r="L153" s="732"/>
      <c r="M153" s="732" t="str">
        <f t="shared" ca="1" si="7"/>
        <v/>
      </c>
      <c r="N153" s="732"/>
      <c r="O153" s="732">
        <f ca="1">IF($S153=$T$7,INDEX(TongVTSX!$O$3:$O$1500,$R153),IF($S153=$T$2,INDEX(TongVTSX!$M$3:$M$1500,$R153)*$V153*$H153,SUMPRODUCT((TongVTSX!$C$3:$C$1500=$D153)*(TongVTSX!$E$3:$E$1500=$F153)*(TongVTSX!$S$3:$S$1500=TongVTSX!$S$2)*(TongVTSX!$O$3:$O$1500))))</f>
        <v>0</v>
      </c>
      <c r="P153" s="1150">
        <f ca="1">IF($S153=$T$7,INDEX(TongVTSX!$O$3:$O$1500,$R153),IF($S153=$T$2,INDEX(TongVTSX!$M$3:$M$1500,$R153)*$I153*$V153,SUMPRODUCT((TongVTSX!$C$3:$C$1500=$D153)*(TongVTSX!$E$3:$E$1500=$F153)*(TongVTSX!$S$3:$S$1500=TongVTSX!$S$2)*(TongVTSX!$O$3:$O$1500))))</f>
        <v>0</v>
      </c>
      <c r="Q153" s="1155" t="str">
        <f ca="1">IFERROR(INDEX(NVLSX!$AA$2:$AA$6756,MATCH($D153,NVLSX!$E$2:$E$6756,0)),"")</f>
        <v/>
      </c>
      <c r="R153" s="75" t="str">
        <f ca="1">IF(S153="","",IF(S153&lt;&gt;S152,IF(TYPE(MATCH(S153,TongVTSX!$Q$3:$Q$1500,0))=16,"",MATCH(S153,TongVTSX!$Q$3:$Q$1500,0)),IF(TYPE(MATCH(S153,OFFSET(TongVTSX!$Q$3,R152,0):'TongVTSX'!$Q$1500,0)+R152)=16,"",MATCH(S153,OFFSET(TongVTSX!$Q$3,R152,0):'TongVTSX'!$Q$1500,0)+R152)))</f>
        <v/>
      </c>
      <c r="S153" s="76" t="str">
        <f ca="1">IFERROR(IF(COUNTIF($S$3:S152,S152)&lt; INDEX($U$1:$U$7,MATCH($S152,$T$1:$T$7,0)),$S152,INDEX($T$1:$T$7,MATCH($S152,$T$1:$T$7,0)+1)),"")</f>
        <v/>
      </c>
      <c r="V153" s="1133" t="str">
        <f ca="1">IFERROR(INDEX(NVLSX!$U$2:$U$6941,MATCH($D153,NVLSX!$E$2:$E$6941,0)),"")</f>
        <v/>
      </c>
      <c r="W153" s="1143"/>
      <c r="X153" s="1143"/>
    </row>
    <row r="154" spans="1:24">
      <c r="A154" s="19" t="str">
        <f t="shared" ca="1" si="6"/>
        <v/>
      </c>
      <c r="B154" s="1146" t="str">
        <f ca="1">IFERROR(INDEX(NVLSX!$Y$2:$Y$6756,MATCH($D154,NVLSX!$E$2:$E$6756,0)),"")</f>
        <v/>
      </c>
      <c r="C154" s="1146" t="str">
        <f ca="1">IFERROR(INDEX(NVLSX!$Z$2:$Z$6756,MATCH($D154,NVLSX!$E$2:$E$6756,0)),"")</f>
        <v/>
      </c>
      <c r="D154" s="729" t="str">
        <f ca="1">IF($R154="","",INDEX(TongVTSX!C$3:C$1500,$R154))</f>
        <v/>
      </c>
      <c r="E154" s="729" t="str">
        <f ca="1">IF($R154="","",IF($S154=$T$7,INDEX(TongVTSX!D$3:D$1500,$R154) &amp;  " (" &amp; INDEX(TongVTSX!A$3:A$1500,$R154) &amp; ")",INDEX(TongVTSX!D$3:D$1500,$R154)))</f>
        <v/>
      </c>
      <c r="F154" s="874" t="str">
        <f ca="1">IF($R154="","",IF($S154&lt;&gt;NVLSX!$N$6492,INDEX(TongVTSX!E$3:E$1500,$R154),INDEX(TongVTSX!G$3:G$1500,$R154)))</f>
        <v/>
      </c>
      <c r="G154" s="730" t="str">
        <f ca="1">IF($R154="","",INDEX(TongVTSX!F$3:F$1500,$R154))</f>
        <v/>
      </c>
      <c r="H154" s="731">
        <f ca="1">IF($S154=$T$7,INDEX(TongVTSX!$K$3:$K$1500,$R154)/INDEX(TongVTSX!$G$3:$G$1500,$R154),IF($S154=$T$2,ROUNDUP(SUMPRODUCT((TongVTSX!$C$3:$C$1500=$D154)*(TongVTSX!$E$3:$E$1500=$F154)*(TongVTSX!$S$3:$S$1500=TongVTSX!$S$2)*(TongVTSX!$K$3:$K$1500))/$V154,0),SUMPRODUCT((TongVTSX!$C$3:$C$1500=$D154)*(TongVTSX!$E$3:$E$1500=$F154)*(TongVTSX!$S$3:$S$1500=TongVTSX!$S$2)*(TongVTSX!$K$3:$K$1500))))</f>
        <v>0</v>
      </c>
      <c r="I154" s="731">
        <f ca="1">IF($S154=$T$2,ROUNDUP(SUMPRODUCT((TongVTSX!$C$3:$C$1500=$D154)*(TongVTSX!$E$3:$E$1500=$F154)*(TongVTSX!$S$3:$S$1500=TongVTSX!$S$2)*(TongVTSX!$K$3:$K$1500))/$V154,2),0)</f>
        <v>0</v>
      </c>
      <c r="J154" s="731"/>
      <c r="K154" s="731"/>
      <c r="L154" s="732"/>
      <c r="M154" s="732" t="str">
        <f t="shared" ca="1" si="7"/>
        <v/>
      </c>
      <c r="N154" s="732"/>
      <c r="O154" s="732">
        <f ca="1">IF($S154=$T$7,INDEX(TongVTSX!$O$3:$O$1500,$R154),IF($S154=$T$2,INDEX(TongVTSX!$M$3:$M$1500,$R154)*$V154*$H154,SUMPRODUCT((TongVTSX!$C$3:$C$1500=$D154)*(TongVTSX!$E$3:$E$1500=$F154)*(TongVTSX!$S$3:$S$1500=TongVTSX!$S$2)*(TongVTSX!$O$3:$O$1500))))</f>
        <v>0</v>
      </c>
      <c r="P154" s="1150">
        <f ca="1">IF($S154=$T$7,INDEX(TongVTSX!$O$3:$O$1500,$R154),IF($S154=$T$2,INDEX(TongVTSX!$M$3:$M$1500,$R154)*$I154*$V154,SUMPRODUCT((TongVTSX!$C$3:$C$1500=$D154)*(TongVTSX!$E$3:$E$1500=$F154)*(TongVTSX!$S$3:$S$1500=TongVTSX!$S$2)*(TongVTSX!$O$3:$O$1500))))</f>
        <v>0</v>
      </c>
      <c r="Q154" s="1155" t="str">
        <f ca="1">IFERROR(INDEX(NVLSX!$AA$2:$AA$6756,MATCH($D154,NVLSX!$E$2:$E$6756,0)),"")</f>
        <v/>
      </c>
      <c r="R154" s="75" t="str">
        <f ca="1">IF(S154="","",IF(S154&lt;&gt;S153,IF(TYPE(MATCH(S154,TongVTSX!$Q$3:$Q$1500,0))=16,"",MATCH(S154,TongVTSX!$Q$3:$Q$1500,0)),IF(TYPE(MATCH(S154,OFFSET(TongVTSX!$Q$3,R153,0):'TongVTSX'!$Q$1500,0)+R153)=16,"",MATCH(S154,OFFSET(TongVTSX!$Q$3,R153,0):'TongVTSX'!$Q$1500,0)+R153)))</f>
        <v/>
      </c>
      <c r="S154" s="76" t="str">
        <f ca="1">IFERROR(IF(COUNTIF($S$3:S153,S153)&lt; INDEX($U$1:$U$7,MATCH($S153,$T$1:$T$7,0)),$S153,INDEX($T$1:$T$7,MATCH($S153,$T$1:$T$7,0)+1)),"")</f>
        <v/>
      </c>
      <c r="V154" s="1133" t="str">
        <f ca="1">IFERROR(INDEX(NVLSX!$U$2:$U$6941,MATCH($D154,NVLSX!$E$2:$E$6941,0)),"")</f>
        <v/>
      </c>
      <c r="W154" s="1143"/>
      <c r="X154" s="1143"/>
    </row>
    <row r="155" spans="1:24">
      <c r="A155" s="19" t="str">
        <f t="shared" ca="1" si="6"/>
        <v/>
      </c>
      <c r="B155" s="1146" t="str">
        <f ca="1">IFERROR(INDEX(NVLSX!$Y$2:$Y$6756,MATCH($D155,NVLSX!$E$2:$E$6756,0)),"")</f>
        <v/>
      </c>
      <c r="C155" s="1146" t="str">
        <f ca="1">IFERROR(INDEX(NVLSX!$Z$2:$Z$6756,MATCH($D155,NVLSX!$E$2:$E$6756,0)),"")</f>
        <v/>
      </c>
      <c r="D155" s="729" t="str">
        <f ca="1">IF($R155="","",INDEX(TongVTSX!C$3:C$1500,$R155))</f>
        <v/>
      </c>
      <c r="E155" s="729" t="str">
        <f ca="1">IF($R155="","",IF($S155=$T$7,INDEX(TongVTSX!D$3:D$1500,$R155) &amp;  " (" &amp; INDEX(TongVTSX!A$3:A$1500,$R155) &amp; ")",INDEX(TongVTSX!D$3:D$1500,$R155)))</f>
        <v/>
      </c>
      <c r="F155" s="874" t="str">
        <f ca="1">IF($R155="","",IF($S155&lt;&gt;NVLSX!$N$6492,INDEX(TongVTSX!E$3:E$1500,$R155),INDEX(TongVTSX!G$3:G$1500,$R155)))</f>
        <v/>
      </c>
      <c r="G155" s="730" t="str">
        <f ca="1">IF($R155="","",INDEX(TongVTSX!F$3:F$1500,$R155))</f>
        <v/>
      </c>
      <c r="H155" s="731">
        <f ca="1">IF($S155=$T$7,INDEX(TongVTSX!$K$3:$K$1500,$R155)/INDEX(TongVTSX!$G$3:$G$1500,$R155),IF($S155=$T$2,ROUNDUP(SUMPRODUCT((TongVTSX!$C$3:$C$1500=$D155)*(TongVTSX!$E$3:$E$1500=$F155)*(TongVTSX!$S$3:$S$1500=TongVTSX!$S$2)*(TongVTSX!$K$3:$K$1500))/$V155,0),SUMPRODUCT((TongVTSX!$C$3:$C$1500=$D155)*(TongVTSX!$E$3:$E$1500=$F155)*(TongVTSX!$S$3:$S$1500=TongVTSX!$S$2)*(TongVTSX!$K$3:$K$1500))))</f>
        <v>0</v>
      </c>
      <c r="I155" s="731">
        <f ca="1">IF($S155=$T$2,ROUNDUP(SUMPRODUCT((TongVTSX!$C$3:$C$1500=$D155)*(TongVTSX!$E$3:$E$1500=$F155)*(TongVTSX!$S$3:$S$1500=TongVTSX!$S$2)*(TongVTSX!$K$3:$K$1500))/$V155,2),0)</f>
        <v>0</v>
      </c>
      <c r="J155" s="731"/>
      <c r="K155" s="731"/>
      <c r="L155" s="732"/>
      <c r="M155" s="732" t="str">
        <f t="shared" ca="1" si="7"/>
        <v/>
      </c>
      <c r="N155" s="732"/>
      <c r="O155" s="732">
        <f ca="1">IF($S155=$T$7,INDEX(TongVTSX!$O$3:$O$1500,$R155),IF($S155=$T$2,INDEX(TongVTSX!$M$3:$M$1500,$R155)*$V155*$H155,SUMPRODUCT((TongVTSX!$C$3:$C$1500=$D155)*(TongVTSX!$E$3:$E$1500=$F155)*(TongVTSX!$S$3:$S$1500=TongVTSX!$S$2)*(TongVTSX!$O$3:$O$1500))))</f>
        <v>0</v>
      </c>
      <c r="P155" s="1150">
        <f ca="1">IF($S155=$T$7,INDEX(TongVTSX!$O$3:$O$1500,$R155),IF($S155=$T$2,INDEX(TongVTSX!$M$3:$M$1500,$R155)*$I155*$V155,SUMPRODUCT((TongVTSX!$C$3:$C$1500=$D155)*(TongVTSX!$E$3:$E$1500=$F155)*(TongVTSX!$S$3:$S$1500=TongVTSX!$S$2)*(TongVTSX!$O$3:$O$1500))))</f>
        <v>0</v>
      </c>
      <c r="Q155" s="1155" t="str">
        <f ca="1">IFERROR(INDEX(NVLSX!$AA$2:$AA$6756,MATCH($D155,NVLSX!$E$2:$E$6756,0)),"")</f>
        <v/>
      </c>
      <c r="R155" s="75" t="str">
        <f ca="1">IF(S155="","",IF(S155&lt;&gt;S154,IF(TYPE(MATCH(S155,TongVTSX!$Q$3:$Q$1500,0))=16,"",MATCH(S155,TongVTSX!$Q$3:$Q$1500,0)),IF(TYPE(MATCH(S155,OFFSET(TongVTSX!$Q$3,R154,0):'TongVTSX'!$Q$1500,0)+R154)=16,"",MATCH(S155,OFFSET(TongVTSX!$Q$3,R154,0):'TongVTSX'!$Q$1500,0)+R154)))</f>
        <v/>
      </c>
      <c r="S155" s="76" t="str">
        <f ca="1">IFERROR(IF(COUNTIF($S$3:S154,S154)&lt; INDEX($U$1:$U$7,MATCH($S154,$T$1:$T$7,0)),$S154,INDEX($T$1:$T$7,MATCH($S154,$T$1:$T$7,0)+1)),"")</f>
        <v/>
      </c>
      <c r="V155" s="1133" t="str">
        <f ca="1">IFERROR(INDEX(NVLSX!$U$2:$U$6941,MATCH($D155,NVLSX!$E$2:$E$6941,0)),"")</f>
        <v/>
      </c>
      <c r="W155" s="1143"/>
      <c r="X155" s="1143"/>
    </row>
    <row r="156" spans="1:24">
      <c r="A156" s="19" t="str">
        <f t="shared" ca="1" si="6"/>
        <v/>
      </c>
      <c r="B156" s="1146" t="str">
        <f ca="1">IFERROR(INDEX(NVLSX!$Y$2:$Y$6756,MATCH($D156,NVLSX!$E$2:$E$6756,0)),"")</f>
        <v/>
      </c>
      <c r="C156" s="1146" t="str">
        <f ca="1">IFERROR(INDEX(NVLSX!$Z$2:$Z$6756,MATCH($D156,NVLSX!$E$2:$E$6756,0)),"")</f>
        <v/>
      </c>
      <c r="D156" s="729" t="str">
        <f ca="1">IF($R156="","",INDEX(TongVTSX!C$3:C$1500,$R156))</f>
        <v/>
      </c>
      <c r="E156" s="729" t="str">
        <f ca="1">IF($R156="","",IF($S156=$T$7,INDEX(TongVTSX!D$3:D$1500,$R156) &amp;  " (" &amp; INDEX(TongVTSX!A$3:A$1500,$R156) &amp; ")",INDEX(TongVTSX!D$3:D$1500,$R156)))</f>
        <v/>
      </c>
      <c r="F156" s="874" t="str">
        <f ca="1">IF($R156="","",IF($S156&lt;&gt;NVLSX!$N$6492,INDEX(TongVTSX!E$3:E$1500,$R156),INDEX(TongVTSX!G$3:G$1500,$R156)))</f>
        <v/>
      </c>
      <c r="G156" s="730" t="str">
        <f ca="1">IF($R156="","",INDEX(TongVTSX!F$3:F$1500,$R156))</f>
        <v/>
      </c>
      <c r="H156" s="731">
        <f ca="1">IF($S156=$T$7,INDEX(TongVTSX!$K$3:$K$1500,$R156)/INDEX(TongVTSX!$G$3:$G$1500,$R156),IF($S156=$T$2,ROUNDUP(SUMPRODUCT((TongVTSX!$C$3:$C$1500=$D156)*(TongVTSX!$E$3:$E$1500=$F156)*(TongVTSX!$S$3:$S$1500=TongVTSX!$S$2)*(TongVTSX!$K$3:$K$1500))/$V156,0),SUMPRODUCT((TongVTSX!$C$3:$C$1500=$D156)*(TongVTSX!$E$3:$E$1500=$F156)*(TongVTSX!$S$3:$S$1500=TongVTSX!$S$2)*(TongVTSX!$K$3:$K$1500))))</f>
        <v>0</v>
      </c>
      <c r="I156" s="731">
        <f ca="1">IF($S156=$T$2,ROUNDUP(SUMPRODUCT((TongVTSX!$C$3:$C$1500=$D156)*(TongVTSX!$E$3:$E$1500=$F156)*(TongVTSX!$S$3:$S$1500=TongVTSX!$S$2)*(TongVTSX!$K$3:$K$1500))/$V156,2),0)</f>
        <v>0</v>
      </c>
      <c r="J156" s="731"/>
      <c r="K156" s="731"/>
      <c r="L156" s="732"/>
      <c r="M156" s="732" t="str">
        <f t="shared" ca="1" si="7"/>
        <v/>
      </c>
      <c r="N156" s="732"/>
      <c r="O156" s="732">
        <f ca="1">IF($S156=$T$7,INDEX(TongVTSX!$O$3:$O$1500,$R156),IF($S156=$T$2,INDEX(TongVTSX!$M$3:$M$1500,$R156)*$V156*$H156,SUMPRODUCT((TongVTSX!$C$3:$C$1500=$D156)*(TongVTSX!$E$3:$E$1500=$F156)*(TongVTSX!$S$3:$S$1500=TongVTSX!$S$2)*(TongVTSX!$O$3:$O$1500))))</f>
        <v>0</v>
      </c>
      <c r="P156" s="1150">
        <f ca="1">IF($S156=$T$7,INDEX(TongVTSX!$O$3:$O$1500,$R156),IF($S156=$T$2,INDEX(TongVTSX!$M$3:$M$1500,$R156)*$I156*$V156,SUMPRODUCT((TongVTSX!$C$3:$C$1500=$D156)*(TongVTSX!$E$3:$E$1500=$F156)*(TongVTSX!$S$3:$S$1500=TongVTSX!$S$2)*(TongVTSX!$O$3:$O$1500))))</f>
        <v>0</v>
      </c>
      <c r="Q156" s="1155" t="str">
        <f ca="1">IFERROR(INDEX(NVLSX!$AA$2:$AA$6756,MATCH($D156,NVLSX!$E$2:$E$6756,0)),"")</f>
        <v/>
      </c>
      <c r="R156" s="75" t="str">
        <f ca="1">IF(S156="","",IF(S156&lt;&gt;S155,IF(TYPE(MATCH(S156,TongVTSX!$Q$3:$Q$1500,0))=16,"",MATCH(S156,TongVTSX!$Q$3:$Q$1500,0)),IF(TYPE(MATCH(S156,OFFSET(TongVTSX!$Q$3,R155,0):'TongVTSX'!$Q$1500,0)+R155)=16,"",MATCH(S156,OFFSET(TongVTSX!$Q$3,R155,0):'TongVTSX'!$Q$1500,0)+R155)))</f>
        <v/>
      </c>
      <c r="S156" s="76" t="str">
        <f ca="1">IFERROR(IF(COUNTIF($S$3:S155,S155)&lt; INDEX($U$1:$U$7,MATCH($S155,$T$1:$T$7,0)),$S155,INDEX($T$1:$T$7,MATCH($S155,$T$1:$T$7,0)+1)),"")</f>
        <v/>
      </c>
      <c r="V156" s="1133" t="str">
        <f ca="1">IFERROR(INDEX(NVLSX!$U$2:$U$6941,MATCH($D156,NVLSX!$E$2:$E$6941,0)),"")</f>
        <v/>
      </c>
      <c r="W156" s="1143"/>
      <c r="X156" s="1143"/>
    </row>
    <row r="157" spans="1:24">
      <c r="A157" s="19" t="str">
        <f t="shared" ca="1" si="6"/>
        <v/>
      </c>
      <c r="B157" s="1146" t="str">
        <f ca="1">IFERROR(INDEX(NVLSX!$Y$2:$Y$6756,MATCH($D157,NVLSX!$E$2:$E$6756,0)),"")</f>
        <v/>
      </c>
      <c r="C157" s="1146" t="str">
        <f ca="1">IFERROR(INDEX(NVLSX!$Z$2:$Z$6756,MATCH($D157,NVLSX!$E$2:$E$6756,0)),"")</f>
        <v/>
      </c>
      <c r="D157" s="729" t="str">
        <f ca="1">IF($R157="","",INDEX(TongVTSX!C$3:C$1500,$R157))</f>
        <v/>
      </c>
      <c r="E157" s="729" t="str">
        <f ca="1">IF($R157="","",IF($S157=$T$7,INDEX(TongVTSX!D$3:D$1500,$R157) &amp;  " (" &amp; INDEX(TongVTSX!A$3:A$1500,$R157) &amp; ")",INDEX(TongVTSX!D$3:D$1500,$R157)))</f>
        <v/>
      </c>
      <c r="F157" s="874" t="str">
        <f ca="1">IF($R157="","",IF($S157&lt;&gt;NVLSX!$N$6492,INDEX(TongVTSX!E$3:E$1500,$R157),INDEX(TongVTSX!G$3:G$1500,$R157)))</f>
        <v/>
      </c>
      <c r="G157" s="730" t="str">
        <f ca="1">IF($R157="","",INDEX(TongVTSX!F$3:F$1500,$R157))</f>
        <v/>
      </c>
      <c r="H157" s="731">
        <f ca="1">IF($S157=$T$7,INDEX(TongVTSX!$K$3:$K$1500,$R157)/INDEX(TongVTSX!$G$3:$G$1500,$R157),IF($S157=$T$2,ROUNDUP(SUMPRODUCT((TongVTSX!$C$3:$C$1500=$D157)*(TongVTSX!$E$3:$E$1500=$F157)*(TongVTSX!$S$3:$S$1500=TongVTSX!$S$2)*(TongVTSX!$K$3:$K$1500))/$V157,0),SUMPRODUCT((TongVTSX!$C$3:$C$1500=$D157)*(TongVTSX!$E$3:$E$1500=$F157)*(TongVTSX!$S$3:$S$1500=TongVTSX!$S$2)*(TongVTSX!$K$3:$K$1500))))</f>
        <v>0</v>
      </c>
      <c r="I157" s="731">
        <f ca="1">IF($S157=$T$2,ROUNDUP(SUMPRODUCT((TongVTSX!$C$3:$C$1500=$D157)*(TongVTSX!$E$3:$E$1500=$F157)*(TongVTSX!$S$3:$S$1500=TongVTSX!$S$2)*(TongVTSX!$K$3:$K$1500))/$V157,2),0)</f>
        <v>0</v>
      </c>
      <c r="J157" s="731"/>
      <c r="K157" s="731"/>
      <c r="L157" s="732"/>
      <c r="M157" s="732" t="str">
        <f t="shared" ca="1" si="7"/>
        <v/>
      </c>
      <c r="N157" s="732"/>
      <c r="O157" s="732">
        <f ca="1">IF($S157=$T$7,INDEX(TongVTSX!$O$3:$O$1500,$R157),IF($S157=$T$2,INDEX(TongVTSX!$M$3:$M$1500,$R157)*$V157*$H157,SUMPRODUCT((TongVTSX!$C$3:$C$1500=$D157)*(TongVTSX!$E$3:$E$1500=$F157)*(TongVTSX!$S$3:$S$1500=TongVTSX!$S$2)*(TongVTSX!$O$3:$O$1500))))</f>
        <v>0</v>
      </c>
      <c r="P157" s="1150">
        <f ca="1">IF($S157=$T$7,INDEX(TongVTSX!$O$3:$O$1500,$R157),IF($S157=$T$2,INDEX(TongVTSX!$M$3:$M$1500,$R157)*$I157*$V157,SUMPRODUCT((TongVTSX!$C$3:$C$1500=$D157)*(TongVTSX!$E$3:$E$1500=$F157)*(TongVTSX!$S$3:$S$1500=TongVTSX!$S$2)*(TongVTSX!$O$3:$O$1500))))</f>
        <v>0</v>
      </c>
      <c r="Q157" s="1155" t="str">
        <f ca="1">IFERROR(INDEX(NVLSX!$AA$2:$AA$6756,MATCH($D157,NVLSX!$E$2:$E$6756,0)),"")</f>
        <v/>
      </c>
      <c r="R157" s="75" t="str">
        <f ca="1">IF(S157="","",IF(S157&lt;&gt;S156,IF(TYPE(MATCH(S157,TongVTSX!$Q$3:$Q$1500,0))=16,"",MATCH(S157,TongVTSX!$Q$3:$Q$1500,0)),IF(TYPE(MATCH(S157,OFFSET(TongVTSX!$Q$3,R156,0):'TongVTSX'!$Q$1500,0)+R156)=16,"",MATCH(S157,OFFSET(TongVTSX!$Q$3,R156,0):'TongVTSX'!$Q$1500,0)+R156)))</f>
        <v/>
      </c>
      <c r="S157" s="76" t="str">
        <f ca="1">IFERROR(IF(COUNTIF($S$3:S156,S156)&lt; INDEX($U$1:$U$7,MATCH($S156,$T$1:$T$7,0)),$S156,INDEX($T$1:$T$7,MATCH($S156,$T$1:$T$7,0)+1)),"")</f>
        <v/>
      </c>
      <c r="V157" s="1133" t="str">
        <f ca="1">IFERROR(INDEX(NVLSX!$U$2:$U$6941,MATCH($D157,NVLSX!$E$2:$E$6941,0)),"")</f>
        <v/>
      </c>
      <c r="W157" s="1143"/>
      <c r="X157" s="1143"/>
    </row>
    <row r="158" spans="1:24">
      <c r="A158" s="19" t="str">
        <f t="shared" ca="1" si="6"/>
        <v/>
      </c>
      <c r="B158" s="1146" t="str">
        <f ca="1">IFERROR(INDEX(NVLSX!$Y$2:$Y$6756,MATCH($D158,NVLSX!$E$2:$E$6756,0)),"")</f>
        <v/>
      </c>
      <c r="C158" s="1146" t="str">
        <f ca="1">IFERROR(INDEX(NVLSX!$Z$2:$Z$6756,MATCH($D158,NVLSX!$E$2:$E$6756,0)),"")</f>
        <v/>
      </c>
      <c r="D158" s="729" t="str">
        <f ca="1">IF($R158="","",INDEX(TongVTSX!C$3:C$1500,$R158))</f>
        <v/>
      </c>
      <c r="E158" s="729" t="str">
        <f ca="1">IF($R158="","",IF($S158=$T$7,INDEX(TongVTSX!D$3:D$1500,$R158) &amp;  " (" &amp; INDEX(TongVTSX!A$3:A$1500,$R158) &amp; ")",INDEX(TongVTSX!D$3:D$1500,$R158)))</f>
        <v/>
      </c>
      <c r="F158" s="874" t="str">
        <f ca="1">IF($R158="","",IF($S158&lt;&gt;NVLSX!$N$6492,INDEX(TongVTSX!E$3:E$1500,$R158),INDEX(TongVTSX!G$3:G$1500,$R158)))</f>
        <v/>
      </c>
      <c r="G158" s="730" t="str">
        <f ca="1">IF($R158="","",INDEX(TongVTSX!F$3:F$1500,$R158))</f>
        <v/>
      </c>
      <c r="H158" s="731">
        <f ca="1">IF($S158=$T$7,INDEX(TongVTSX!$K$3:$K$1500,$R158)/INDEX(TongVTSX!$G$3:$G$1500,$R158),IF($S158=$T$2,ROUNDUP(SUMPRODUCT((TongVTSX!$C$3:$C$1500=$D158)*(TongVTSX!$E$3:$E$1500=$F158)*(TongVTSX!$S$3:$S$1500=TongVTSX!$S$2)*(TongVTSX!$K$3:$K$1500))/$V158,0),SUMPRODUCT((TongVTSX!$C$3:$C$1500=$D158)*(TongVTSX!$E$3:$E$1500=$F158)*(TongVTSX!$S$3:$S$1500=TongVTSX!$S$2)*(TongVTSX!$K$3:$K$1500))))</f>
        <v>0</v>
      </c>
      <c r="I158" s="731">
        <f ca="1">IF($S158=$T$2,ROUNDUP(SUMPRODUCT((TongVTSX!$C$3:$C$1500=$D158)*(TongVTSX!$E$3:$E$1500=$F158)*(TongVTSX!$S$3:$S$1500=TongVTSX!$S$2)*(TongVTSX!$K$3:$K$1500))/$V158,2),0)</f>
        <v>0</v>
      </c>
      <c r="J158" s="731"/>
      <c r="K158" s="731"/>
      <c r="L158" s="732"/>
      <c r="M158" s="732" t="str">
        <f t="shared" ca="1" si="7"/>
        <v/>
      </c>
      <c r="N158" s="732"/>
      <c r="O158" s="732">
        <f ca="1">IF($S158=$T$7,INDEX(TongVTSX!$O$3:$O$1500,$R158),IF($S158=$T$2,INDEX(TongVTSX!$M$3:$M$1500,$R158)*$V158*$H158,SUMPRODUCT((TongVTSX!$C$3:$C$1500=$D158)*(TongVTSX!$E$3:$E$1500=$F158)*(TongVTSX!$S$3:$S$1500=TongVTSX!$S$2)*(TongVTSX!$O$3:$O$1500))))</f>
        <v>0</v>
      </c>
      <c r="P158" s="1150">
        <f ca="1">IF($S158=$T$7,INDEX(TongVTSX!$O$3:$O$1500,$R158),IF($S158=$T$2,INDEX(TongVTSX!$M$3:$M$1500,$R158)*$I158*$V158,SUMPRODUCT((TongVTSX!$C$3:$C$1500=$D158)*(TongVTSX!$E$3:$E$1500=$F158)*(TongVTSX!$S$3:$S$1500=TongVTSX!$S$2)*(TongVTSX!$O$3:$O$1500))))</f>
        <v>0</v>
      </c>
      <c r="Q158" s="1155" t="str">
        <f ca="1">IFERROR(INDEX(NVLSX!$AA$2:$AA$6756,MATCH($D158,NVLSX!$E$2:$E$6756,0)),"")</f>
        <v/>
      </c>
      <c r="R158" s="75" t="str">
        <f ca="1">IF(S158="","",IF(S158&lt;&gt;S157,IF(TYPE(MATCH(S158,TongVTSX!$Q$3:$Q$1500,0))=16,"",MATCH(S158,TongVTSX!$Q$3:$Q$1500,0)),IF(TYPE(MATCH(S158,OFFSET(TongVTSX!$Q$3,R157,0):'TongVTSX'!$Q$1500,0)+R157)=16,"",MATCH(S158,OFFSET(TongVTSX!$Q$3,R157,0):'TongVTSX'!$Q$1500,0)+R157)))</f>
        <v/>
      </c>
      <c r="S158" s="76" t="str">
        <f ca="1">IFERROR(IF(COUNTIF($S$3:S157,S157)&lt; INDEX($U$1:$U$7,MATCH($S157,$T$1:$T$7,0)),$S157,INDEX($T$1:$T$7,MATCH($S157,$T$1:$T$7,0)+1)),"")</f>
        <v/>
      </c>
      <c r="V158" s="1133" t="str">
        <f ca="1">IFERROR(INDEX(NVLSX!$U$2:$U$6941,MATCH($D158,NVLSX!$E$2:$E$6941,0)),"")</f>
        <v/>
      </c>
      <c r="W158" s="1143"/>
      <c r="X158" s="1143"/>
    </row>
    <row r="159" spans="1:24">
      <c r="A159" s="19" t="str">
        <f t="shared" ca="1" si="6"/>
        <v/>
      </c>
      <c r="B159" s="1146" t="str">
        <f ca="1">IFERROR(INDEX(NVLSX!$Y$2:$Y$6756,MATCH($D159,NVLSX!$E$2:$E$6756,0)),"")</f>
        <v/>
      </c>
      <c r="C159" s="1146" t="str">
        <f ca="1">IFERROR(INDEX(NVLSX!$Z$2:$Z$6756,MATCH($D159,NVLSX!$E$2:$E$6756,0)),"")</f>
        <v/>
      </c>
      <c r="D159" s="729" t="str">
        <f ca="1">IF($R159="","",INDEX(TongVTSX!C$3:C$1500,$R159))</f>
        <v/>
      </c>
      <c r="E159" s="729" t="str">
        <f ca="1">IF($R159="","",IF($S159=$T$7,INDEX(TongVTSX!D$3:D$1500,$R159) &amp;  " (" &amp; INDEX(TongVTSX!A$3:A$1500,$R159) &amp; ")",INDEX(TongVTSX!D$3:D$1500,$R159)))</f>
        <v/>
      </c>
      <c r="F159" s="874" t="str">
        <f ca="1">IF($R159="","",IF($S159&lt;&gt;NVLSX!$N$6492,INDEX(TongVTSX!E$3:E$1500,$R159),INDEX(TongVTSX!G$3:G$1500,$R159)))</f>
        <v/>
      </c>
      <c r="G159" s="730" t="str">
        <f ca="1">IF($R159="","",INDEX(TongVTSX!F$3:F$1500,$R159))</f>
        <v/>
      </c>
      <c r="H159" s="731">
        <f ca="1">IF($S159=$T$7,INDEX(TongVTSX!$K$3:$K$1500,$R159)/INDEX(TongVTSX!$G$3:$G$1500,$R159),IF($S159=$T$2,ROUNDUP(SUMPRODUCT((TongVTSX!$C$3:$C$1500=$D159)*(TongVTSX!$E$3:$E$1500=$F159)*(TongVTSX!$S$3:$S$1500=TongVTSX!$S$2)*(TongVTSX!$K$3:$K$1500))/$V159,0),SUMPRODUCT((TongVTSX!$C$3:$C$1500=$D159)*(TongVTSX!$E$3:$E$1500=$F159)*(TongVTSX!$S$3:$S$1500=TongVTSX!$S$2)*(TongVTSX!$K$3:$K$1500))))</f>
        <v>0</v>
      </c>
      <c r="I159" s="731">
        <f ca="1">IF($S159=$T$2,ROUNDUP(SUMPRODUCT((TongVTSX!$C$3:$C$1500=$D159)*(TongVTSX!$E$3:$E$1500=$F159)*(TongVTSX!$S$3:$S$1500=TongVTSX!$S$2)*(TongVTSX!$K$3:$K$1500))/$V159,2),0)</f>
        <v>0</v>
      </c>
      <c r="J159" s="731"/>
      <c r="K159" s="731"/>
      <c r="L159" s="732"/>
      <c r="M159" s="732" t="str">
        <f t="shared" ca="1" si="7"/>
        <v/>
      </c>
      <c r="N159" s="732"/>
      <c r="O159" s="732">
        <f ca="1">IF($S159=$T$7,INDEX(TongVTSX!$O$3:$O$1500,$R159),IF($S159=$T$2,INDEX(TongVTSX!$M$3:$M$1500,$R159)*$V159*$H159,SUMPRODUCT((TongVTSX!$C$3:$C$1500=$D159)*(TongVTSX!$E$3:$E$1500=$F159)*(TongVTSX!$S$3:$S$1500=TongVTSX!$S$2)*(TongVTSX!$O$3:$O$1500))))</f>
        <v>0</v>
      </c>
      <c r="P159" s="1150">
        <f ca="1">IF($S159=$T$7,INDEX(TongVTSX!$O$3:$O$1500,$R159),IF($S159=$T$2,INDEX(TongVTSX!$M$3:$M$1500,$R159)*$I159*$V159,SUMPRODUCT((TongVTSX!$C$3:$C$1500=$D159)*(TongVTSX!$E$3:$E$1500=$F159)*(TongVTSX!$S$3:$S$1500=TongVTSX!$S$2)*(TongVTSX!$O$3:$O$1500))))</f>
        <v>0</v>
      </c>
      <c r="Q159" s="1155" t="str">
        <f ca="1">IFERROR(INDEX(NVLSX!$AA$2:$AA$6756,MATCH($D159,NVLSX!$E$2:$E$6756,0)),"")</f>
        <v/>
      </c>
      <c r="R159" s="75" t="str">
        <f ca="1">IF(S159="","",IF(S159&lt;&gt;S158,IF(TYPE(MATCH(S159,TongVTSX!$Q$3:$Q$1500,0))=16,"",MATCH(S159,TongVTSX!$Q$3:$Q$1500,0)),IF(TYPE(MATCH(S159,OFFSET(TongVTSX!$Q$3,R158,0):'TongVTSX'!$Q$1500,0)+R158)=16,"",MATCH(S159,OFFSET(TongVTSX!$Q$3,R158,0):'TongVTSX'!$Q$1500,0)+R158)))</f>
        <v/>
      </c>
      <c r="S159" s="76" t="str">
        <f ca="1">IFERROR(IF(COUNTIF($S$3:S158,S158)&lt; INDEX($U$1:$U$7,MATCH($S158,$T$1:$T$7,0)),$S158,INDEX($T$1:$T$7,MATCH($S158,$T$1:$T$7,0)+1)),"")</f>
        <v/>
      </c>
      <c r="V159" s="1133" t="str">
        <f ca="1">IFERROR(INDEX(NVLSX!$U$2:$U$6941,MATCH($D159,NVLSX!$E$2:$E$6941,0)),"")</f>
        <v/>
      </c>
      <c r="W159" s="1143"/>
      <c r="X159" s="1143"/>
    </row>
    <row r="160" spans="1:24">
      <c r="A160" s="19" t="str">
        <f t="shared" ca="1" si="6"/>
        <v/>
      </c>
      <c r="B160" s="1146" t="str">
        <f ca="1">IFERROR(INDEX(NVLSX!$Y$2:$Y$6756,MATCH($D160,NVLSX!$E$2:$E$6756,0)),"")</f>
        <v/>
      </c>
      <c r="C160" s="1146" t="str">
        <f ca="1">IFERROR(INDEX(NVLSX!$Z$2:$Z$6756,MATCH($D160,NVLSX!$E$2:$E$6756,0)),"")</f>
        <v/>
      </c>
      <c r="D160" s="729" t="str">
        <f ca="1">IF($R160="","",INDEX(TongVTSX!C$3:C$1500,$R160))</f>
        <v/>
      </c>
      <c r="E160" s="729" t="str">
        <f ca="1">IF($R160="","",IF($S160=$T$7,INDEX(TongVTSX!D$3:D$1500,$R160) &amp;  " (" &amp; INDEX(TongVTSX!A$3:A$1500,$R160) &amp; ")",INDEX(TongVTSX!D$3:D$1500,$R160)))</f>
        <v/>
      </c>
      <c r="F160" s="874" t="str">
        <f ca="1">IF($R160="","",IF($S160&lt;&gt;NVLSX!$N$6492,INDEX(TongVTSX!E$3:E$1500,$R160),INDEX(TongVTSX!G$3:G$1500,$R160)))</f>
        <v/>
      </c>
      <c r="G160" s="730" t="str">
        <f ca="1">IF($R160="","",INDEX(TongVTSX!F$3:F$1500,$R160))</f>
        <v/>
      </c>
      <c r="H160" s="731">
        <f ca="1">IF($S160=$T$7,INDEX(TongVTSX!$K$3:$K$1500,$R160)/INDEX(TongVTSX!$G$3:$G$1500,$R160),IF($S160=$T$2,ROUNDUP(SUMPRODUCT((TongVTSX!$C$3:$C$1500=$D160)*(TongVTSX!$E$3:$E$1500=$F160)*(TongVTSX!$S$3:$S$1500=TongVTSX!$S$2)*(TongVTSX!$K$3:$K$1500))/$V160,0),SUMPRODUCT((TongVTSX!$C$3:$C$1500=$D160)*(TongVTSX!$E$3:$E$1500=$F160)*(TongVTSX!$S$3:$S$1500=TongVTSX!$S$2)*(TongVTSX!$K$3:$K$1500))))</f>
        <v>0</v>
      </c>
      <c r="I160" s="731">
        <f ca="1">IF($S160=$T$2,ROUNDUP(SUMPRODUCT((TongVTSX!$C$3:$C$1500=$D160)*(TongVTSX!$E$3:$E$1500=$F160)*(TongVTSX!$S$3:$S$1500=TongVTSX!$S$2)*(TongVTSX!$K$3:$K$1500))/$V160,2),0)</f>
        <v>0</v>
      </c>
      <c r="J160" s="731"/>
      <c r="K160" s="731"/>
      <c r="L160" s="732"/>
      <c r="M160" s="732" t="str">
        <f t="shared" ca="1" si="7"/>
        <v/>
      </c>
      <c r="N160" s="732"/>
      <c r="O160" s="732">
        <f ca="1">IF($S160=$T$7,INDEX(TongVTSX!$O$3:$O$1500,$R160),IF($S160=$T$2,INDEX(TongVTSX!$M$3:$M$1500,$R160)*$V160*$H160,SUMPRODUCT((TongVTSX!$C$3:$C$1500=$D160)*(TongVTSX!$E$3:$E$1500=$F160)*(TongVTSX!$S$3:$S$1500=TongVTSX!$S$2)*(TongVTSX!$O$3:$O$1500))))</f>
        <v>0</v>
      </c>
      <c r="P160" s="1150">
        <f ca="1">IF($S160=$T$7,INDEX(TongVTSX!$O$3:$O$1500,$R160),IF($S160=$T$2,INDEX(TongVTSX!$M$3:$M$1500,$R160)*$I160*$V160,SUMPRODUCT((TongVTSX!$C$3:$C$1500=$D160)*(TongVTSX!$E$3:$E$1500=$F160)*(TongVTSX!$S$3:$S$1500=TongVTSX!$S$2)*(TongVTSX!$O$3:$O$1500))))</f>
        <v>0</v>
      </c>
      <c r="Q160" s="1155" t="str">
        <f ca="1">IFERROR(INDEX(NVLSX!$AA$2:$AA$6756,MATCH($D160,NVLSX!$E$2:$E$6756,0)),"")</f>
        <v/>
      </c>
      <c r="R160" s="75" t="str">
        <f ca="1">IF(S160="","",IF(S160&lt;&gt;S159,IF(TYPE(MATCH(S160,TongVTSX!$Q$3:$Q$1500,0))=16,"",MATCH(S160,TongVTSX!$Q$3:$Q$1500,0)),IF(TYPE(MATCH(S160,OFFSET(TongVTSX!$Q$3,R159,0):'TongVTSX'!$Q$1500,0)+R159)=16,"",MATCH(S160,OFFSET(TongVTSX!$Q$3,R159,0):'TongVTSX'!$Q$1500,0)+R159)))</f>
        <v/>
      </c>
      <c r="S160" s="76" t="str">
        <f ca="1">IFERROR(IF(COUNTIF($S$3:S159,S159)&lt; INDEX($U$1:$U$7,MATCH($S159,$T$1:$T$7,0)),$S159,INDEX($T$1:$T$7,MATCH($S159,$T$1:$T$7,0)+1)),"")</f>
        <v/>
      </c>
      <c r="V160" s="1133" t="str">
        <f ca="1">IFERROR(INDEX(NVLSX!$U$2:$U$6941,MATCH($D160,NVLSX!$E$2:$E$6941,0)),"")</f>
        <v/>
      </c>
      <c r="W160" s="1143"/>
      <c r="X160" s="1143"/>
    </row>
    <row r="161" spans="1:24">
      <c r="A161" s="19" t="str">
        <f t="shared" ca="1" si="6"/>
        <v/>
      </c>
      <c r="B161" s="1146" t="str">
        <f ca="1">IFERROR(INDEX(NVLSX!$Y$2:$Y$6756,MATCH($D161,NVLSX!$E$2:$E$6756,0)),"")</f>
        <v/>
      </c>
      <c r="C161" s="1146" t="str">
        <f ca="1">IFERROR(INDEX(NVLSX!$Z$2:$Z$6756,MATCH($D161,NVLSX!$E$2:$E$6756,0)),"")</f>
        <v/>
      </c>
      <c r="D161" s="729" t="str">
        <f ca="1">IF($R161="","",INDEX(TongVTSX!C$3:C$1500,$R161))</f>
        <v/>
      </c>
      <c r="E161" s="729" t="str">
        <f ca="1">IF($R161="","",IF($S161=$T$7,INDEX(TongVTSX!D$3:D$1500,$R161) &amp;  " (" &amp; INDEX(TongVTSX!A$3:A$1500,$R161) &amp; ")",INDEX(TongVTSX!D$3:D$1500,$R161)))</f>
        <v/>
      </c>
      <c r="F161" s="874" t="str">
        <f ca="1">IF($R161="","",IF($S161&lt;&gt;NVLSX!$N$6492,INDEX(TongVTSX!E$3:E$1500,$R161),INDEX(TongVTSX!G$3:G$1500,$R161)))</f>
        <v/>
      </c>
      <c r="G161" s="730" t="str">
        <f ca="1">IF($R161="","",INDEX(TongVTSX!F$3:F$1500,$R161))</f>
        <v/>
      </c>
      <c r="H161" s="731">
        <f ca="1">IF($S161=$T$7,INDEX(TongVTSX!$K$3:$K$1500,$R161)/INDEX(TongVTSX!$G$3:$G$1500,$R161),IF($S161=$T$2,ROUNDUP(SUMPRODUCT((TongVTSX!$C$3:$C$1500=$D161)*(TongVTSX!$E$3:$E$1500=$F161)*(TongVTSX!$S$3:$S$1500=TongVTSX!$S$2)*(TongVTSX!$K$3:$K$1500))/$V161,0),SUMPRODUCT((TongVTSX!$C$3:$C$1500=$D161)*(TongVTSX!$E$3:$E$1500=$F161)*(TongVTSX!$S$3:$S$1500=TongVTSX!$S$2)*(TongVTSX!$K$3:$K$1500))))</f>
        <v>0</v>
      </c>
      <c r="I161" s="731">
        <f ca="1">IF($S161=$T$2,ROUNDUP(SUMPRODUCT((TongVTSX!$C$3:$C$1500=$D161)*(TongVTSX!$E$3:$E$1500=$F161)*(TongVTSX!$S$3:$S$1500=TongVTSX!$S$2)*(TongVTSX!$K$3:$K$1500))/$V161,2),0)</f>
        <v>0</v>
      </c>
      <c r="J161" s="731"/>
      <c r="K161" s="731"/>
      <c r="L161" s="732"/>
      <c r="M161" s="732" t="str">
        <f t="shared" ca="1" si="7"/>
        <v/>
      </c>
      <c r="N161" s="732"/>
      <c r="O161" s="732">
        <f ca="1">IF($S161=$T$7,INDEX(TongVTSX!$O$3:$O$1500,$R161),IF($S161=$T$2,INDEX(TongVTSX!$M$3:$M$1500,$R161)*$V161*$H161,SUMPRODUCT((TongVTSX!$C$3:$C$1500=$D161)*(TongVTSX!$E$3:$E$1500=$F161)*(TongVTSX!$S$3:$S$1500=TongVTSX!$S$2)*(TongVTSX!$O$3:$O$1500))))</f>
        <v>0</v>
      </c>
      <c r="P161" s="1150">
        <f ca="1">IF($S161=$T$7,INDEX(TongVTSX!$O$3:$O$1500,$R161),IF($S161=$T$2,INDEX(TongVTSX!$M$3:$M$1500,$R161)*$I161*$V161,SUMPRODUCT((TongVTSX!$C$3:$C$1500=$D161)*(TongVTSX!$E$3:$E$1500=$F161)*(TongVTSX!$S$3:$S$1500=TongVTSX!$S$2)*(TongVTSX!$O$3:$O$1500))))</f>
        <v>0</v>
      </c>
      <c r="Q161" s="1155" t="str">
        <f ca="1">IFERROR(INDEX(NVLSX!$AA$2:$AA$6756,MATCH($D161,NVLSX!$E$2:$E$6756,0)),"")</f>
        <v/>
      </c>
      <c r="R161" s="75" t="str">
        <f ca="1">IF(S161="","",IF(S161&lt;&gt;S160,IF(TYPE(MATCH(S161,TongVTSX!$Q$3:$Q$1500,0))=16,"",MATCH(S161,TongVTSX!$Q$3:$Q$1500,0)),IF(TYPE(MATCH(S161,OFFSET(TongVTSX!$Q$3,R160,0):'TongVTSX'!$Q$1500,0)+R160)=16,"",MATCH(S161,OFFSET(TongVTSX!$Q$3,R160,0):'TongVTSX'!$Q$1500,0)+R160)))</f>
        <v/>
      </c>
      <c r="S161" s="76" t="str">
        <f ca="1">IFERROR(IF(COUNTIF($S$3:S160,S160)&lt; INDEX($U$1:$U$7,MATCH($S160,$T$1:$T$7,0)),$S160,INDEX($T$1:$T$7,MATCH($S160,$T$1:$T$7,0)+1)),"")</f>
        <v/>
      </c>
      <c r="V161" s="1133" t="str">
        <f ca="1">IFERROR(INDEX(NVLSX!$U$2:$U$6941,MATCH($D161,NVLSX!$E$2:$E$6941,0)),"")</f>
        <v/>
      </c>
      <c r="W161" s="1143"/>
      <c r="X161" s="1143"/>
    </row>
    <row r="162" spans="1:24">
      <c r="A162" s="19" t="str">
        <f t="shared" ca="1" si="6"/>
        <v/>
      </c>
      <c r="B162" s="1146" t="str">
        <f ca="1">IFERROR(INDEX(NVLSX!$Y$2:$Y$6756,MATCH($D162,NVLSX!$E$2:$E$6756,0)),"")</f>
        <v/>
      </c>
      <c r="C162" s="1146" t="str">
        <f ca="1">IFERROR(INDEX(NVLSX!$Z$2:$Z$6756,MATCH($D162,NVLSX!$E$2:$E$6756,0)),"")</f>
        <v/>
      </c>
      <c r="D162" s="729" t="str">
        <f ca="1">IF($R162="","",INDEX(TongVTSX!C$3:C$1500,$R162))</f>
        <v/>
      </c>
      <c r="E162" s="729" t="str">
        <f ca="1">IF($R162="","",IF($S162=$T$7,INDEX(TongVTSX!D$3:D$1500,$R162) &amp;  " (" &amp; INDEX(TongVTSX!A$3:A$1500,$R162) &amp; ")",INDEX(TongVTSX!D$3:D$1500,$R162)))</f>
        <v/>
      </c>
      <c r="F162" s="874" t="str">
        <f ca="1">IF($R162="","",IF($S162&lt;&gt;NVLSX!$N$6492,INDEX(TongVTSX!E$3:E$1500,$R162),INDEX(TongVTSX!G$3:G$1500,$R162)))</f>
        <v/>
      </c>
      <c r="G162" s="730" t="str">
        <f ca="1">IF($R162="","",INDEX(TongVTSX!F$3:F$1500,$R162))</f>
        <v/>
      </c>
      <c r="H162" s="731">
        <f ca="1">IF($S162=$T$7,INDEX(TongVTSX!$K$3:$K$1500,$R162)/INDEX(TongVTSX!$G$3:$G$1500,$R162),IF($S162=$T$2,ROUNDUP(SUMPRODUCT((TongVTSX!$C$3:$C$1500=$D162)*(TongVTSX!$E$3:$E$1500=$F162)*(TongVTSX!$S$3:$S$1500=TongVTSX!$S$2)*(TongVTSX!$K$3:$K$1500))/$V162,0),SUMPRODUCT((TongVTSX!$C$3:$C$1500=$D162)*(TongVTSX!$E$3:$E$1500=$F162)*(TongVTSX!$S$3:$S$1500=TongVTSX!$S$2)*(TongVTSX!$K$3:$K$1500))))</f>
        <v>0</v>
      </c>
      <c r="I162" s="731">
        <f ca="1">IF($S162=$T$2,ROUNDUP(SUMPRODUCT((TongVTSX!$C$3:$C$1500=$D162)*(TongVTSX!$E$3:$E$1500=$F162)*(TongVTSX!$S$3:$S$1500=TongVTSX!$S$2)*(TongVTSX!$K$3:$K$1500))/$V162,2),0)</f>
        <v>0</v>
      </c>
      <c r="J162" s="731"/>
      <c r="K162" s="731"/>
      <c r="L162" s="732"/>
      <c r="M162" s="732" t="str">
        <f t="shared" ca="1" si="7"/>
        <v/>
      </c>
      <c r="N162" s="732"/>
      <c r="O162" s="732">
        <f ca="1">IF($S162=$T$7,INDEX(TongVTSX!$O$3:$O$1500,$R162),IF($S162=$T$2,INDEX(TongVTSX!$M$3:$M$1500,$R162)*$V162*$H162,SUMPRODUCT((TongVTSX!$C$3:$C$1500=$D162)*(TongVTSX!$E$3:$E$1500=$F162)*(TongVTSX!$S$3:$S$1500=TongVTSX!$S$2)*(TongVTSX!$O$3:$O$1500))))</f>
        <v>0</v>
      </c>
      <c r="P162" s="1150">
        <f ca="1">IF($S162=$T$7,INDEX(TongVTSX!$O$3:$O$1500,$R162),IF($S162=$T$2,INDEX(TongVTSX!$M$3:$M$1500,$R162)*$I162*$V162,SUMPRODUCT((TongVTSX!$C$3:$C$1500=$D162)*(TongVTSX!$E$3:$E$1500=$F162)*(TongVTSX!$S$3:$S$1500=TongVTSX!$S$2)*(TongVTSX!$O$3:$O$1500))))</f>
        <v>0</v>
      </c>
      <c r="Q162" s="1155" t="str">
        <f ca="1">IFERROR(INDEX(NVLSX!$AA$2:$AA$6756,MATCH($D162,NVLSX!$E$2:$E$6756,0)),"")</f>
        <v/>
      </c>
      <c r="R162" s="75" t="str">
        <f ca="1">IF(S162="","",IF(S162&lt;&gt;S161,IF(TYPE(MATCH(S162,TongVTSX!$Q$3:$Q$1500,0))=16,"",MATCH(S162,TongVTSX!$Q$3:$Q$1500,0)),IF(TYPE(MATCH(S162,OFFSET(TongVTSX!$Q$3,R161,0):'TongVTSX'!$Q$1500,0)+R161)=16,"",MATCH(S162,OFFSET(TongVTSX!$Q$3,R161,0):'TongVTSX'!$Q$1500,0)+R161)))</f>
        <v/>
      </c>
      <c r="S162" s="76" t="str">
        <f ca="1">IFERROR(IF(COUNTIF($S$3:S161,S161)&lt; INDEX($U$1:$U$7,MATCH($S161,$T$1:$T$7,0)),$S161,INDEX($T$1:$T$7,MATCH($S161,$T$1:$T$7,0)+1)),"")</f>
        <v/>
      </c>
      <c r="V162" s="1133" t="str">
        <f ca="1">IFERROR(INDEX(NVLSX!$U$2:$U$6941,MATCH($D162,NVLSX!$E$2:$E$6941,0)),"")</f>
        <v/>
      </c>
      <c r="W162" s="1143"/>
      <c r="X162" s="1143"/>
    </row>
    <row r="163" spans="1:24">
      <c r="A163" s="19" t="str">
        <f t="shared" ref="A163:A194" ca="1" si="8">IF($S163="","",IF($S163&lt;&gt;$S162,1,$A162+1))</f>
        <v/>
      </c>
      <c r="B163" s="1146" t="str">
        <f ca="1">IFERROR(INDEX(NVLSX!$Y$2:$Y$6756,MATCH($D163,NVLSX!$E$2:$E$6756,0)),"")</f>
        <v/>
      </c>
      <c r="C163" s="1146" t="str">
        <f ca="1">IFERROR(INDEX(NVLSX!$Z$2:$Z$6756,MATCH($D163,NVLSX!$E$2:$E$6756,0)),"")</f>
        <v/>
      </c>
      <c r="D163" s="729" t="str">
        <f ca="1">IF($R163="","",INDEX(TongVTSX!C$3:C$1500,$R163))</f>
        <v/>
      </c>
      <c r="E163" s="729" t="str">
        <f ca="1">IF($R163="","",IF($S163=$T$7,INDEX(TongVTSX!D$3:D$1500,$R163) &amp;  " (" &amp; INDEX(TongVTSX!A$3:A$1500,$R163) &amp; ")",INDEX(TongVTSX!D$3:D$1500,$R163)))</f>
        <v/>
      </c>
      <c r="F163" s="874" t="str">
        <f ca="1">IF($R163="","",IF($S163&lt;&gt;NVLSX!$N$6492,INDEX(TongVTSX!E$3:E$1500,$R163),INDEX(TongVTSX!G$3:G$1500,$R163)))</f>
        <v/>
      </c>
      <c r="G163" s="730" t="str">
        <f ca="1">IF($R163="","",INDEX(TongVTSX!F$3:F$1500,$R163))</f>
        <v/>
      </c>
      <c r="H163" s="731">
        <f ca="1">IF($S163=$T$7,INDEX(TongVTSX!$K$3:$K$1500,$R163)/INDEX(TongVTSX!$G$3:$G$1500,$R163),IF($S163=$T$2,ROUNDUP(SUMPRODUCT((TongVTSX!$C$3:$C$1500=$D163)*(TongVTSX!$E$3:$E$1500=$F163)*(TongVTSX!$S$3:$S$1500=TongVTSX!$S$2)*(TongVTSX!$K$3:$K$1500))/$V163,0),SUMPRODUCT((TongVTSX!$C$3:$C$1500=$D163)*(TongVTSX!$E$3:$E$1500=$F163)*(TongVTSX!$S$3:$S$1500=TongVTSX!$S$2)*(TongVTSX!$K$3:$K$1500))))</f>
        <v>0</v>
      </c>
      <c r="I163" s="731">
        <f ca="1">IF($S163=$T$2,ROUNDUP(SUMPRODUCT((TongVTSX!$C$3:$C$1500=$D163)*(TongVTSX!$E$3:$E$1500=$F163)*(TongVTSX!$S$3:$S$1500=TongVTSX!$S$2)*(TongVTSX!$K$3:$K$1500))/$V163,2),0)</f>
        <v>0</v>
      </c>
      <c r="J163" s="731"/>
      <c r="K163" s="731"/>
      <c r="L163" s="732"/>
      <c r="M163" s="732" t="str">
        <f t="shared" ca="1" si="7"/>
        <v/>
      </c>
      <c r="N163" s="732"/>
      <c r="O163" s="732">
        <f ca="1">IF($S163=$T$7,INDEX(TongVTSX!$O$3:$O$1500,$R163),IF($S163=$T$2,INDEX(TongVTSX!$M$3:$M$1500,$R163)*$V163*$H163,SUMPRODUCT((TongVTSX!$C$3:$C$1500=$D163)*(TongVTSX!$E$3:$E$1500=$F163)*(TongVTSX!$S$3:$S$1500=TongVTSX!$S$2)*(TongVTSX!$O$3:$O$1500))))</f>
        <v>0</v>
      </c>
      <c r="P163" s="1150">
        <f ca="1">IF($S163=$T$7,INDEX(TongVTSX!$O$3:$O$1500,$R163),IF($S163=$T$2,INDEX(TongVTSX!$M$3:$M$1500,$R163)*$I163*$V163,SUMPRODUCT((TongVTSX!$C$3:$C$1500=$D163)*(TongVTSX!$E$3:$E$1500=$F163)*(TongVTSX!$S$3:$S$1500=TongVTSX!$S$2)*(TongVTSX!$O$3:$O$1500))))</f>
        <v>0</v>
      </c>
      <c r="Q163" s="1155" t="str">
        <f ca="1">IFERROR(INDEX(NVLSX!$AA$2:$AA$6756,MATCH($D163,NVLSX!$E$2:$E$6756,0)),"")</f>
        <v/>
      </c>
      <c r="R163" s="75" t="str">
        <f ca="1">IF(S163="","",IF(S163&lt;&gt;S162,IF(TYPE(MATCH(S163,TongVTSX!$Q$3:$Q$1500,0))=16,"",MATCH(S163,TongVTSX!$Q$3:$Q$1500,0)),IF(TYPE(MATCH(S163,OFFSET(TongVTSX!$Q$3,R162,0):'TongVTSX'!$Q$1500,0)+R162)=16,"",MATCH(S163,OFFSET(TongVTSX!$Q$3,R162,0):'TongVTSX'!$Q$1500,0)+R162)))</f>
        <v/>
      </c>
      <c r="S163" s="76" t="str">
        <f ca="1">IFERROR(IF(COUNTIF($S$3:S162,S162)&lt; INDEX($U$1:$U$7,MATCH($S162,$T$1:$T$7,0)),$S162,INDEX($T$1:$T$7,MATCH($S162,$T$1:$T$7,0)+1)),"")</f>
        <v/>
      </c>
      <c r="V163" s="1133" t="str">
        <f ca="1">IFERROR(INDEX(NVLSX!$U$2:$U$6941,MATCH($D163,NVLSX!$E$2:$E$6941,0)),"")</f>
        <v/>
      </c>
      <c r="W163" s="1143"/>
      <c r="X163" s="1143"/>
    </row>
    <row r="164" spans="1:24">
      <c r="A164" s="19" t="str">
        <f t="shared" ca="1" si="8"/>
        <v/>
      </c>
      <c r="B164" s="1146" t="str">
        <f ca="1">IFERROR(INDEX(NVLSX!$Y$2:$Y$6756,MATCH($D164,NVLSX!$E$2:$E$6756,0)),"")</f>
        <v/>
      </c>
      <c r="C164" s="1146" t="str">
        <f ca="1">IFERROR(INDEX(NVLSX!$Z$2:$Z$6756,MATCH($D164,NVLSX!$E$2:$E$6756,0)),"")</f>
        <v/>
      </c>
      <c r="D164" s="729" t="str">
        <f ca="1">IF($R164="","",INDEX(TongVTSX!C$3:C$1500,$R164))</f>
        <v/>
      </c>
      <c r="E164" s="729" t="str">
        <f ca="1">IF($R164="","",IF($S164=$T$7,INDEX(TongVTSX!D$3:D$1500,$R164) &amp;  " (" &amp; INDEX(TongVTSX!A$3:A$1500,$R164) &amp; ")",INDEX(TongVTSX!D$3:D$1500,$R164)))</f>
        <v/>
      </c>
      <c r="F164" s="874" t="str">
        <f ca="1">IF($R164="","",IF($S164&lt;&gt;NVLSX!$N$6492,INDEX(TongVTSX!E$3:E$1500,$R164),INDEX(TongVTSX!G$3:G$1500,$R164)))</f>
        <v/>
      </c>
      <c r="G164" s="730" t="str">
        <f ca="1">IF($R164="","",INDEX(TongVTSX!F$3:F$1500,$R164))</f>
        <v/>
      </c>
      <c r="H164" s="731">
        <f ca="1">IF($S164=$T$7,INDEX(TongVTSX!$K$3:$K$1500,$R164)/INDEX(TongVTSX!$G$3:$G$1500,$R164),IF($S164=$T$2,ROUNDUP(SUMPRODUCT((TongVTSX!$C$3:$C$1500=$D164)*(TongVTSX!$E$3:$E$1500=$F164)*(TongVTSX!$S$3:$S$1500=TongVTSX!$S$2)*(TongVTSX!$K$3:$K$1500))/$V164,0),SUMPRODUCT((TongVTSX!$C$3:$C$1500=$D164)*(TongVTSX!$E$3:$E$1500=$F164)*(TongVTSX!$S$3:$S$1500=TongVTSX!$S$2)*(TongVTSX!$K$3:$K$1500))))</f>
        <v>0</v>
      </c>
      <c r="I164" s="731">
        <f ca="1">IF($S164=$T$2,ROUNDUP(SUMPRODUCT((TongVTSX!$C$3:$C$1500=$D164)*(TongVTSX!$E$3:$E$1500=$F164)*(TongVTSX!$S$3:$S$1500=TongVTSX!$S$2)*(TongVTSX!$K$3:$K$1500))/$V164,2),0)</f>
        <v>0</v>
      </c>
      <c r="J164" s="731"/>
      <c r="K164" s="731"/>
      <c r="L164" s="732"/>
      <c r="M164" s="732" t="str">
        <f t="shared" ca="1" si="7"/>
        <v/>
      </c>
      <c r="N164" s="732"/>
      <c r="O164" s="732">
        <f ca="1">IF($S164=$T$7,INDEX(TongVTSX!$O$3:$O$1500,$R164),IF($S164=$T$2,INDEX(TongVTSX!$M$3:$M$1500,$R164)*$V164*$H164,SUMPRODUCT((TongVTSX!$C$3:$C$1500=$D164)*(TongVTSX!$E$3:$E$1500=$F164)*(TongVTSX!$S$3:$S$1500=TongVTSX!$S$2)*(TongVTSX!$O$3:$O$1500))))</f>
        <v>0</v>
      </c>
      <c r="P164" s="1150">
        <f ca="1">IF($S164=$T$7,INDEX(TongVTSX!$O$3:$O$1500,$R164),IF($S164=$T$2,INDEX(TongVTSX!$M$3:$M$1500,$R164)*$I164*$V164,SUMPRODUCT((TongVTSX!$C$3:$C$1500=$D164)*(TongVTSX!$E$3:$E$1500=$F164)*(TongVTSX!$S$3:$S$1500=TongVTSX!$S$2)*(TongVTSX!$O$3:$O$1500))))</f>
        <v>0</v>
      </c>
      <c r="Q164" s="1155" t="str">
        <f ca="1">IFERROR(INDEX(NVLSX!$AA$2:$AA$6756,MATCH($D164,NVLSX!$E$2:$E$6756,0)),"")</f>
        <v/>
      </c>
      <c r="R164" s="75" t="str">
        <f ca="1">IF(S164="","",IF(S164&lt;&gt;S163,IF(TYPE(MATCH(S164,TongVTSX!$Q$3:$Q$1500,0))=16,"",MATCH(S164,TongVTSX!$Q$3:$Q$1500,0)),IF(TYPE(MATCH(S164,OFFSET(TongVTSX!$Q$3,R163,0):'TongVTSX'!$Q$1500,0)+R163)=16,"",MATCH(S164,OFFSET(TongVTSX!$Q$3,R163,0):'TongVTSX'!$Q$1500,0)+R163)))</f>
        <v/>
      </c>
      <c r="S164" s="76" t="str">
        <f ca="1">IFERROR(IF(COUNTIF($S$3:S163,S163)&lt; INDEX($U$1:$U$7,MATCH($S163,$T$1:$T$7,0)),$S163,INDEX($T$1:$T$7,MATCH($S163,$T$1:$T$7,0)+1)),"")</f>
        <v/>
      </c>
      <c r="V164" s="1133" t="str">
        <f ca="1">IFERROR(INDEX(NVLSX!$U$2:$U$6941,MATCH($D164,NVLSX!$E$2:$E$6941,0)),"")</f>
        <v/>
      </c>
      <c r="W164" s="1143"/>
      <c r="X164" s="1143"/>
    </row>
    <row r="165" spans="1:24">
      <c r="A165" s="19" t="str">
        <f t="shared" ca="1" si="8"/>
        <v/>
      </c>
      <c r="B165" s="1146" t="str">
        <f ca="1">IFERROR(INDEX(NVLSX!$Y$2:$Y$6756,MATCH($D165,NVLSX!$E$2:$E$6756,0)),"")</f>
        <v/>
      </c>
      <c r="C165" s="1146" t="str">
        <f ca="1">IFERROR(INDEX(NVLSX!$Z$2:$Z$6756,MATCH($D165,NVLSX!$E$2:$E$6756,0)),"")</f>
        <v/>
      </c>
      <c r="D165" s="729" t="str">
        <f ca="1">IF($R165="","",INDEX(TongVTSX!C$3:C$1500,$R165))</f>
        <v/>
      </c>
      <c r="E165" s="729" t="str">
        <f ca="1">IF($R165="","",IF($S165=$T$7,INDEX(TongVTSX!D$3:D$1500,$R165) &amp;  " (" &amp; INDEX(TongVTSX!A$3:A$1500,$R165) &amp; ")",INDEX(TongVTSX!D$3:D$1500,$R165)))</f>
        <v/>
      </c>
      <c r="F165" s="874" t="str">
        <f ca="1">IF($R165="","",IF($S165&lt;&gt;NVLSX!$N$6492,INDEX(TongVTSX!E$3:E$1500,$R165),INDEX(TongVTSX!G$3:G$1500,$R165)))</f>
        <v/>
      </c>
      <c r="G165" s="730" t="str">
        <f ca="1">IF($R165="","",INDEX(TongVTSX!F$3:F$1500,$R165))</f>
        <v/>
      </c>
      <c r="H165" s="731">
        <f ca="1">IF($S165=$T$7,INDEX(TongVTSX!$K$3:$K$1500,$R165)/INDEX(TongVTSX!$G$3:$G$1500,$R165),IF($S165=$T$2,ROUNDUP(SUMPRODUCT((TongVTSX!$C$3:$C$1500=$D165)*(TongVTSX!$E$3:$E$1500=$F165)*(TongVTSX!$S$3:$S$1500=TongVTSX!$S$2)*(TongVTSX!$K$3:$K$1500))/$V165,0),SUMPRODUCT((TongVTSX!$C$3:$C$1500=$D165)*(TongVTSX!$E$3:$E$1500=$F165)*(TongVTSX!$S$3:$S$1500=TongVTSX!$S$2)*(TongVTSX!$K$3:$K$1500))))</f>
        <v>0</v>
      </c>
      <c r="I165" s="731">
        <f ca="1">IF($S165=$T$2,ROUNDUP(SUMPRODUCT((TongVTSX!$C$3:$C$1500=$D165)*(TongVTSX!$E$3:$E$1500=$F165)*(TongVTSX!$S$3:$S$1500=TongVTSX!$S$2)*(TongVTSX!$K$3:$K$1500))/$V165,2),0)</f>
        <v>0</v>
      </c>
      <c r="J165" s="731"/>
      <c r="K165" s="731"/>
      <c r="L165" s="732"/>
      <c r="M165" s="732" t="str">
        <f t="shared" ca="1" si="7"/>
        <v/>
      </c>
      <c r="N165" s="732"/>
      <c r="O165" s="732">
        <f ca="1">IF($S165=$T$7,INDEX(TongVTSX!$O$3:$O$1500,$R165),IF($S165=$T$2,INDEX(TongVTSX!$M$3:$M$1500,$R165)*$V165*$H165,SUMPRODUCT((TongVTSX!$C$3:$C$1500=$D165)*(TongVTSX!$E$3:$E$1500=$F165)*(TongVTSX!$S$3:$S$1500=TongVTSX!$S$2)*(TongVTSX!$O$3:$O$1500))))</f>
        <v>0</v>
      </c>
      <c r="P165" s="1150">
        <f ca="1">IF($S165=$T$7,INDEX(TongVTSX!$O$3:$O$1500,$R165),IF($S165=$T$2,INDEX(TongVTSX!$M$3:$M$1500,$R165)*$I165*$V165,SUMPRODUCT((TongVTSX!$C$3:$C$1500=$D165)*(TongVTSX!$E$3:$E$1500=$F165)*(TongVTSX!$S$3:$S$1500=TongVTSX!$S$2)*(TongVTSX!$O$3:$O$1500))))</f>
        <v>0</v>
      </c>
      <c r="Q165" s="1155" t="str">
        <f ca="1">IFERROR(INDEX(NVLSX!$AA$2:$AA$6756,MATCH($D165,NVLSX!$E$2:$E$6756,0)),"")</f>
        <v/>
      </c>
      <c r="R165" s="75" t="str">
        <f ca="1">IF(S165="","",IF(S165&lt;&gt;S164,IF(TYPE(MATCH(S165,TongVTSX!$Q$3:$Q$1500,0))=16,"",MATCH(S165,TongVTSX!$Q$3:$Q$1500,0)),IF(TYPE(MATCH(S165,OFFSET(TongVTSX!$Q$3,R164,0):'TongVTSX'!$Q$1500,0)+R164)=16,"",MATCH(S165,OFFSET(TongVTSX!$Q$3,R164,0):'TongVTSX'!$Q$1500,0)+R164)))</f>
        <v/>
      </c>
      <c r="S165" s="76" t="str">
        <f ca="1">IFERROR(IF(COUNTIF($S$3:S164,S164)&lt; INDEX($U$1:$U$7,MATCH($S164,$T$1:$T$7,0)),$S164,INDEX($T$1:$T$7,MATCH($S164,$T$1:$T$7,0)+1)),"")</f>
        <v/>
      </c>
      <c r="V165" s="1133" t="str">
        <f ca="1">IFERROR(INDEX(NVLSX!$U$2:$U$6941,MATCH($D165,NVLSX!$E$2:$E$6941,0)),"")</f>
        <v/>
      </c>
      <c r="W165" s="1143"/>
      <c r="X165" s="1143"/>
    </row>
    <row r="166" spans="1:24">
      <c r="A166" s="19" t="str">
        <f t="shared" ca="1" si="8"/>
        <v/>
      </c>
      <c r="B166" s="1146" t="str">
        <f ca="1">IFERROR(INDEX(NVLSX!$Y$2:$Y$6756,MATCH($D166,NVLSX!$E$2:$E$6756,0)),"")</f>
        <v/>
      </c>
      <c r="C166" s="1146" t="str">
        <f ca="1">IFERROR(INDEX(NVLSX!$Z$2:$Z$6756,MATCH($D166,NVLSX!$E$2:$E$6756,0)),"")</f>
        <v/>
      </c>
      <c r="D166" s="729" t="str">
        <f ca="1">IF($R166="","",INDEX(TongVTSX!C$3:C$1500,$R166))</f>
        <v/>
      </c>
      <c r="E166" s="729" t="str">
        <f ca="1">IF($R166="","",IF($S166=$T$7,INDEX(TongVTSX!D$3:D$1500,$R166) &amp;  " (" &amp; INDEX(TongVTSX!A$3:A$1500,$R166) &amp; ")",INDEX(TongVTSX!D$3:D$1500,$R166)))</f>
        <v/>
      </c>
      <c r="F166" s="874" t="str">
        <f ca="1">IF($R166="","",IF($S166&lt;&gt;NVLSX!$N$6492,INDEX(TongVTSX!E$3:E$1500,$R166),INDEX(TongVTSX!G$3:G$1500,$R166)))</f>
        <v/>
      </c>
      <c r="G166" s="730" t="str">
        <f ca="1">IF($R166="","",INDEX(TongVTSX!F$3:F$1500,$R166))</f>
        <v/>
      </c>
      <c r="H166" s="731">
        <f ca="1">IF($S166=$T$7,INDEX(TongVTSX!$K$3:$K$1500,$R166)/INDEX(TongVTSX!$G$3:$G$1500,$R166),IF($S166=$T$2,ROUNDUP(SUMPRODUCT((TongVTSX!$C$3:$C$1500=$D166)*(TongVTSX!$E$3:$E$1500=$F166)*(TongVTSX!$S$3:$S$1500=TongVTSX!$S$2)*(TongVTSX!$K$3:$K$1500))/$V166,0),SUMPRODUCT((TongVTSX!$C$3:$C$1500=$D166)*(TongVTSX!$E$3:$E$1500=$F166)*(TongVTSX!$S$3:$S$1500=TongVTSX!$S$2)*(TongVTSX!$K$3:$K$1500))))</f>
        <v>0</v>
      </c>
      <c r="I166" s="731">
        <f ca="1">IF($S166=$T$2,ROUNDUP(SUMPRODUCT((TongVTSX!$C$3:$C$1500=$D166)*(TongVTSX!$E$3:$E$1500=$F166)*(TongVTSX!$S$3:$S$1500=TongVTSX!$S$2)*(TongVTSX!$K$3:$K$1500))/$V166,2),0)</f>
        <v>0</v>
      </c>
      <c r="J166" s="731"/>
      <c r="K166" s="731"/>
      <c r="L166" s="732"/>
      <c r="M166" s="732" t="str">
        <f t="shared" ca="1" si="7"/>
        <v/>
      </c>
      <c r="N166" s="732"/>
      <c r="O166" s="732">
        <f ca="1">IF($S166=$T$7,INDEX(TongVTSX!$O$3:$O$1500,$R166),IF($S166=$T$2,INDEX(TongVTSX!$M$3:$M$1500,$R166)*$V166*$H166,SUMPRODUCT((TongVTSX!$C$3:$C$1500=$D166)*(TongVTSX!$E$3:$E$1500=$F166)*(TongVTSX!$S$3:$S$1500=TongVTSX!$S$2)*(TongVTSX!$O$3:$O$1500))))</f>
        <v>0</v>
      </c>
      <c r="P166" s="1150">
        <f ca="1">IF($S166=$T$7,INDEX(TongVTSX!$O$3:$O$1500,$R166),IF($S166=$T$2,INDEX(TongVTSX!$M$3:$M$1500,$R166)*$I166*$V166,SUMPRODUCT((TongVTSX!$C$3:$C$1500=$D166)*(TongVTSX!$E$3:$E$1500=$F166)*(TongVTSX!$S$3:$S$1500=TongVTSX!$S$2)*(TongVTSX!$O$3:$O$1500))))</f>
        <v>0</v>
      </c>
      <c r="Q166" s="1155" t="str">
        <f ca="1">IFERROR(INDEX(NVLSX!$AA$2:$AA$6756,MATCH($D166,NVLSX!$E$2:$E$6756,0)),"")</f>
        <v/>
      </c>
      <c r="R166" s="75" t="str">
        <f ca="1">IF(S166="","",IF(S166&lt;&gt;S165,IF(TYPE(MATCH(S166,TongVTSX!$Q$3:$Q$1500,0))=16,"",MATCH(S166,TongVTSX!$Q$3:$Q$1500,0)),IF(TYPE(MATCH(S166,OFFSET(TongVTSX!$Q$3,R165,0):'TongVTSX'!$Q$1500,0)+R165)=16,"",MATCH(S166,OFFSET(TongVTSX!$Q$3,R165,0):'TongVTSX'!$Q$1500,0)+R165)))</f>
        <v/>
      </c>
      <c r="S166" s="76" t="str">
        <f ca="1">IFERROR(IF(COUNTIF($S$3:S165,S165)&lt; INDEX($U$1:$U$7,MATCH($S165,$T$1:$T$7,0)),$S165,INDEX($T$1:$T$7,MATCH($S165,$T$1:$T$7,0)+1)),"")</f>
        <v/>
      </c>
      <c r="V166" s="1133" t="str">
        <f ca="1">IFERROR(INDEX(NVLSX!$U$2:$U$6941,MATCH($D166,NVLSX!$E$2:$E$6941,0)),"")</f>
        <v/>
      </c>
      <c r="W166" s="1143"/>
      <c r="X166" s="1143"/>
    </row>
    <row r="167" spans="1:24">
      <c r="A167" s="19" t="str">
        <f t="shared" ca="1" si="8"/>
        <v/>
      </c>
      <c r="B167" s="1146" t="str">
        <f ca="1">IFERROR(INDEX(NVLSX!$Y$2:$Y$6756,MATCH($D167,NVLSX!$E$2:$E$6756,0)),"")</f>
        <v/>
      </c>
      <c r="C167" s="1146" t="str">
        <f ca="1">IFERROR(INDEX(NVLSX!$Z$2:$Z$6756,MATCH($D167,NVLSX!$E$2:$E$6756,0)),"")</f>
        <v/>
      </c>
      <c r="D167" s="729" t="str">
        <f ca="1">IF($R167="","",INDEX(TongVTSX!C$3:C$1500,$R167))</f>
        <v/>
      </c>
      <c r="E167" s="729" t="str">
        <f ca="1">IF($R167="","",IF($S167=$T$7,INDEX(TongVTSX!D$3:D$1500,$R167) &amp;  " (" &amp; INDEX(TongVTSX!A$3:A$1500,$R167) &amp; ")",INDEX(TongVTSX!D$3:D$1500,$R167)))</f>
        <v/>
      </c>
      <c r="F167" s="874" t="str">
        <f ca="1">IF($R167="","",IF($S167&lt;&gt;NVLSX!$N$6492,INDEX(TongVTSX!E$3:E$1500,$R167),INDEX(TongVTSX!G$3:G$1500,$R167)))</f>
        <v/>
      </c>
      <c r="G167" s="730" t="str">
        <f ca="1">IF($R167="","",INDEX(TongVTSX!F$3:F$1500,$R167))</f>
        <v/>
      </c>
      <c r="H167" s="731">
        <f ca="1">IF($S167=$T$7,INDEX(TongVTSX!$K$3:$K$1500,$R167)/INDEX(TongVTSX!$G$3:$G$1500,$R167),IF($S167=$T$2,ROUNDUP(SUMPRODUCT((TongVTSX!$C$3:$C$1500=$D167)*(TongVTSX!$E$3:$E$1500=$F167)*(TongVTSX!$S$3:$S$1500=TongVTSX!$S$2)*(TongVTSX!$K$3:$K$1500))/$V167,0),SUMPRODUCT((TongVTSX!$C$3:$C$1500=$D167)*(TongVTSX!$E$3:$E$1500=$F167)*(TongVTSX!$S$3:$S$1500=TongVTSX!$S$2)*(TongVTSX!$K$3:$K$1500))))</f>
        <v>0</v>
      </c>
      <c r="I167" s="731">
        <f ca="1">IF($S167=$T$2,ROUNDUP(SUMPRODUCT((TongVTSX!$C$3:$C$1500=$D167)*(TongVTSX!$E$3:$E$1500=$F167)*(TongVTSX!$S$3:$S$1500=TongVTSX!$S$2)*(TongVTSX!$K$3:$K$1500))/$V167,2),0)</f>
        <v>0</v>
      </c>
      <c r="J167" s="731"/>
      <c r="K167" s="731"/>
      <c r="L167" s="732"/>
      <c r="M167" s="732" t="str">
        <f t="shared" ca="1" si="7"/>
        <v/>
      </c>
      <c r="N167" s="732"/>
      <c r="O167" s="732">
        <f ca="1">IF($S167=$T$7,INDEX(TongVTSX!$O$3:$O$1500,$R167),IF($S167=$T$2,INDEX(TongVTSX!$M$3:$M$1500,$R167)*$V167*$H167,SUMPRODUCT((TongVTSX!$C$3:$C$1500=$D167)*(TongVTSX!$E$3:$E$1500=$F167)*(TongVTSX!$S$3:$S$1500=TongVTSX!$S$2)*(TongVTSX!$O$3:$O$1500))))</f>
        <v>0</v>
      </c>
      <c r="P167" s="1150">
        <f ca="1">IF($S167=$T$7,INDEX(TongVTSX!$O$3:$O$1500,$R167),IF($S167=$T$2,INDEX(TongVTSX!$M$3:$M$1500,$R167)*$I167*$V167,SUMPRODUCT((TongVTSX!$C$3:$C$1500=$D167)*(TongVTSX!$E$3:$E$1500=$F167)*(TongVTSX!$S$3:$S$1500=TongVTSX!$S$2)*(TongVTSX!$O$3:$O$1500))))</f>
        <v>0</v>
      </c>
      <c r="Q167" s="1155" t="str">
        <f ca="1">IFERROR(INDEX(NVLSX!$AA$2:$AA$6756,MATCH($D167,NVLSX!$E$2:$E$6756,0)),"")</f>
        <v/>
      </c>
      <c r="R167" s="75" t="str">
        <f ca="1">IF(S167="","",IF(S167&lt;&gt;S166,IF(TYPE(MATCH(S167,TongVTSX!$Q$3:$Q$1500,0))=16,"",MATCH(S167,TongVTSX!$Q$3:$Q$1500,0)),IF(TYPE(MATCH(S167,OFFSET(TongVTSX!$Q$3,R166,0):'TongVTSX'!$Q$1500,0)+R166)=16,"",MATCH(S167,OFFSET(TongVTSX!$Q$3,R166,0):'TongVTSX'!$Q$1500,0)+R166)))</f>
        <v/>
      </c>
      <c r="S167" s="76" t="str">
        <f ca="1">IFERROR(IF(COUNTIF($S$3:S166,S166)&lt; INDEX($U$1:$U$7,MATCH($S166,$T$1:$T$7,0)),$S166,INDEX($T$1:$T$7,MATCH($S166,$T$1:$T$7,0)+1)),"")</f>
        <v/>
      </c>
      <c r="V167" s="1133" t="str">
        <f ca="1">IFERROR(INDEX(NVLSX!$U$2:$U$6941,MATCH($D167,NVLSX!$E$2:$E$6941,0)),"")</f>
        <v/>
      </c>
      <c r="W167" s="1143"/>
      <c r="X167" s="1143"/>
    </row>
    <row r="168" spans="1:24">
      <c r="A168" s="19" t="str">
        <f t="shared" ca="1" si="8"/>
        <v/>
      </c>
      <c r="B168" s="1146" t="str">
        <f ca="1">IFERROR(INDEX(NVLSX!$Y$2:$Y$6756,MATCH($D168,NVLSX!$E$2:$E$6756,0)),"")</f>
        <v/>
      </c>
      <c r="C168" s="1146" t="str">
        <f ca="1">IFERROR(INDEX(NVLSX!$Z$2:$Z$6756,MATCH($D168,NVLSX!$E$2:$E$6756,0)),"")</f>
        <v/>
      </c>
      <c r="D168" s="729" t="str">
        <f ca="1">IF($R168="","",INDEX(TongVTSX!C$3:C$1500,$R168))</f>
        <v/>
      </c>
      <c r="E168" s="729" t="str">
        <f ca="1">IF($R168="","",IF($S168=$T$7,INDEX(TongVTSX!D$3:D$1500,$R168) &amp;  " (" &amp; INDEX(TongVTSX!A$3:A$1500,$R168) &amp; ")",INDEX(TongVTSX!D$3:D$1500,$R168)))</f>
        <v/>
      </c>
      <c r="F168" s="874" t="str">
        <f ca="1">IF($R168="","",IF($S168&lt;&gt;NVLSX!$N$6492,INDEX(TongVTSX!E$3:E$1500,$R168),INDEX(TongVTSX!G$3:G$1500,$R168)))</f>
        <v/>
      </c>
      <c r="G168" s="730" t="str">
        <f ca="1">IF($R168="","",INDEX(TongVTSX!F$3:F$1500,$R168))</f>
        <v/>
      </c>
      <c r="H168" s="731">
        <f ca="1">IF($S168=$T$7,INDEX(TongVTSX!$K$3:$K$1500,$R168)/INDEX(TongVTSX!$G$3:$G$1500,$R168),IF($S168=$T$2,ROUNDUP(SUMPRODUCT((TongVTSX!$C$3:$C$1500=$D168)*(TongVTSX!$E$3:$E$1500=$F168)*(TongVTSX!$S$3:$S$1500=TongVTSX!$S$2)*(TongVTSX!$K$3:$K$1500))/$V168,0),SUMPRODUCT((TongVTSX!$C$3:$C$1500=$D168)*(TongVTSX!$E$3:$E$1500=$F168)*(TongVTSX!$S$3:$S$1500=TongVTSX!$S$2)*(TongVTSX!$K$3:$K$1500))))</f>
        <v>0</v>
      </c>
      <c r="I168" s="731">
        <f ca="1">IF($S168=$T$2,ROUNDUP(SUMPRODUCT((TongVTSX!$C$3:$C$1500=$D168)*(TongVTSX!$E$3:$E$1500=$F168)*(TongVTSX!$S$3:$S$1500=TongVTSX!$S$2)*(TongVTSX!$K$3:$K$1500))/$V168,2),0)</f>
        <v>0</v>
      </c>
      <c r="J168" s="731"/>
      <c r="K168" s="731"/>
      <c r="L168" s="732"/>
      <c r="M168" s="732" t="str">
        <f t="shared" ca="1" si="7"/>
        <v/>
      </c>
      <c r="N168" s="732"/>
      <c r="O168" s="732">
        <f ca="1">IF($S168=$T$7,INDEX(TongVTSX!$O$3:$O$1500,$R168),IF($S168=$T$2,INDEX(TongVTSX!$M$3:$M$1500,$R168)*$V168*$H168,SUMPRODUCT((TongVTSX!$C$3:$C$1500=$D168)*(TongVTSX!$E$3:$E$1500=$F168)*(TongVTSX!$S$3:$S$1500=TongVTSX!$S$2)*(TongVTSX!$O$3:$O$1500))))</f>
        <v>0</v>
      </c>
      <c r="P168" s="1150">
        <f ca="1">IF($S168=$T$7,INDEX(TongVTSX!$O$3:$O$1500,$R168),IF($S168=$T$2,INDEX(TongVTSX!$M$3:$M$1500,$R168)*$I168*$V168,SUMPRODUCT((TongVTSX!$C$3:$C$1500=$D168)*(TongVTSX!$E$3:$E$1500=$F168)*(TongVTSX!$S$3:$S$1500=TongVTSX!$S$2)*(TongVTSX!$O$3:$O$1500))))</f>
        <v>0</v>
      </c>
      <c r="Q168" s="1155" t="str">
        <f ca="1">IFERROR(INDEX(NVLSX!$AA$2:$AA$6756,MATCH($D168,NVLSX!$E$2:$E$6756,0)),"")</f>
        <v/>
      </c>
      <c r="R168" s="75" t="str">
        <f ca="1">IF(S168="","",IF(S168&lt;&gt;S167,IF(TYPE(MATCH(S168,TongVTSX!$Q$3:$Q$1500,0))=16,"",MATCH(S168,TongVTSX!$Q$3:$Q$1500,0)),IF(TYPE(MATCH(S168,OFFSET(TongVTSX!$Q$3,R167,0):'TongVTSX'!$Q$1500,0)+R167)=16,"",MATCH(S168,OFFSET(TongVTSX!$Q$3,R167,0):'TongVTSX'!$Q$1500,0)+R167)))</f>
        <v/>
      </c>
      <c r="S168" s="76" t="str">
        <f ca="1">IFERROR(IF(COUNTIF($S$3:S167,S167)&lt; INDEX($U$1:$U$7,MATCH($S167,$T$1:$T$7,0)),$S167,INDEX($T$1:$T$7,MATCH($S167,$T$1:$T$7,0)+1)),"")</f>
        <v/>
      </c>
      <c r="V168" s="1133" t="str">
        <f ca="1">IFERROR(INDEX(NVLSX!$U$2:$U$6941,MATCH($D168,NVLSX!$E$2:$E$6941,0)),"")</f>
        <v/>
      </c>
      <c r="W168" s="1143"/>
      <c r="X168" s="1143"/>
    </row>
    <row r="169" spans="1:24">
      <c r="A169" s="19" t="str">
        <f t="shared" ca="1" si="8"/>
        <v/>
      </c>
      <c r="B169" s="1146" t="str">
        <f ca="1">IFERROR(INDEX(NVLSX!$Y$2:$Y$6756,MATCH($D169,NVLSX!$E$2:$E$6756,0)),"")</f>
        <v/>
      </c>
      <c r="C169" s="1146" t="str">
        <f ca="1">IFERROR(INDEX(NVLSX!$Z$2:$Z$6756,MATCH($D169,NVLSX!$E$2:$E$6756,0)),"")</f>
        <v/>
      </c>
      <c r="D169" s="729" t="str">
        <f ca="1">IF($R169="","",INDEX(TongVTSX!C$3:C$1500,$R169))</f>
        <v/>
      </c>
      <c r="E169" s="729" t="str">
        <f ca="1">IF($R169="","",IF($S169=$T$7,INDEX(TongVTSX!D$3:D$1500,$R169) &amp;  " (" &amp; INDEX(TongVTSX!A$3:A$1500,$R169) &amp; ")",INDEX(TongVTSX!D$3:D$1500,$R169)))</f>
        <v/>
      </c>
      <c r="F169" s="874" t="str">
        <f ca="1">IF($R169="","",IF($S169&lt;&gt;NVLSX!$N$6492,INDEX(TongVTSX!E$3:E$1500,$R169),INDEX(TongVTSX!G$3:G$1500,$R169)))</f>
        <v/>
      </c>
      <c r="G169" s="730" t="str">
        <f ca="1">IF($R169="","",INDEX(TongVTSX!F$3:F$1500,$R169))</f>
        <v/>
      </c>
      <c r="H169" s="731">
        <f ca="1">IF($S169=$T$7,INDEX(TongVTSX!$K$3:$K$1500,$R169)/INDEX(TongVTSX!$G$3:$G$1500,$R169),IF($S169=$T$2,ROUNDUP(SUMPRODUCT((TongVTSX!$C$3:$C$1500=$D169)*(TongVTSX!$E$3:$E$1500=$F169)*(TongVTSX!$S$3:$S$1500=TongVTSX!$S$2)*(TongVTSX!$K$3:$K$1500))/$V169,0),SUMPRODUCT((TongVTSX!$C$3:$C$1500=$D169)*(TongVTSX!$E$3:$E$1500=$F169)*(TongVTSX!$S$3:$S$1500=TongVTSX!$S$2)*(TongVTSX!$K$3:$K$1500))))</f>
        <v>0</v>
      </c>
      <c r="I169" s="731">
        <f ca="1">IF($S169=$T$2,ROUNDUP(SUMPRODUCT((TongVTSX!$C$3:$C$1500=$D169)*(TongVTSX!$E$3:$E$1500=$F169)*(TongVTSX!$S$3:$S$1500=TongVTSX!$S$2)*(TongVTSX!$K$3:$K$1500))/$V169,2),0)</f>
        <v>0</v>
      </c>
      <c r="J169" s="731"/>
      <c r="K169" s="731"/>
      <c r="L169" s="732"/>
      <c r="M169" s="732" t="str">
        <f t="shared" ca="1" si="7"/>
        <v/>
      </c>
      <c r="N169" s="732"/>
      <c r="O169" s="732">
        <f ca="1">IF($S169=$T$7,INDEX(TongVTSX!$O$3:$O$1500,$R169),IF($S169=$T$2,INDEX(TongVTSX!$M$3:$M$1500,$R169)*$V169*$H169,SUMPRODUCT((TongVTSX!$C$3:$C$1500=$D169)*(TongVTSX!$E$3:$E$1500=$F169)*(TongVTSX!$S$3:$S$1500=TongVTSX!$S$2)*(TongVTSX!$O$3:$O$1500))))</f>
        <v>0</v>
      </c>
      <c r="P169" s="1150">
        <f ca="1">IF($S169=$T$7,INDEX(TongVTSX!$O$3:$O$1500,$R169),IF($S169=$T$2,INDEX(TongVTSX!$M$3:$M$1500,$R169)*$I169*$V169,SUMPRODUCT((TongVTSX!$C$3:$C$1500=$D169)*(TongVTSX!$E$3:$E$1500=$F169)*(TongVTSX!$S$3:$S$1500=TongVTSX!$S$2)*(TongVTSX!$O$3:$O$1500))))</f>
        <v>0</v>
      </c>
      <c r="Q169" s="1155" t="str">
        <f ca="1">IFERROR(INDEX(NVLSX!$AA$2:$AA$6756,MATCH($D169,NVLSX!$E$2:$E$6756,0)),"")</f>
        <v/>
      </c>
      <c r="R169" s="75" t="str">
        <f ca="1">IF(S169="","",IF(S169&lt;&gt;S168,IF(TYPE(MATCH(S169,TongVTSX!$Q$3:$Q$1500,0))=16,"",MATCH(S169,TongVTSX!$Q$3:$Q$1500,0)),IF(TYPE(MATCH(S169,OFFSET(TongVTSX!$Q$3,R168,0):'TongVTSX'!$Q$1500,0)+R168)=16,"",MATCH(S169,OFFSET(TongVTSX!$Q$3,R168,0):'TongVTSX'!$Q$1500,0)+R168)))</f>
        <v/>
      </c>
      <c r="S169" s="76" t="str">
        <f ca="1">IFERROR(IF(COUNTIF($S$3:S168,S168)&lt; INDEX($U$1:$U$7,MATCH($S168,$T$1:$T$7,0)),$S168,INDEX($T$1:$T$7,MATCH($S168,$T$1:$T$7,0)+1)),"")</f>
        <v/>
      </c>
      <c r="V169" s="1133" t="str">
        <f ca="1">IFERROR(INDEX(NVLSX!$U$2:$U$6941,MATCH($D169,NVLSX!$E$2:$E$6941,0)),"")</f>
        <v/>
      </c>
      <c r="W169" s="1143"/>
      <c r="X169" s="1143"/>
    </row>
    <row r="170" spans="1:24">
      <c r="A170" s="19" t="str">
        <f t="shared" ca="1" si="8"/>
        <v/>
      </c>
      <c r="B170" s="1146" t="str">
        <f ca="1">IFERROR(INDEX(NVLSX!$Y$2:$Y$6756,MATCH($D170,NVLSX!$E$2:$E$6756,0)),"")</f>
        <v/>
      </c>
      <c r="C170" s="1146" t="str">
        <f ca="1">IFERROR(INDEX(NVLSX!$Z$2:$Z$6756,MATCH($D170,NVLSX!$E$2:$E$6756,0)),"")</f>
        <v/>
      </c>
      <c r="D170" s="729" t="str">
        <f ca="1">IF($R170="","",INDEX(TongVTSX!C$3:C$1500,$R170))</f>
        <v/>
      </c>
      <c r="E170" s="729" t="str">
        <f ca="1">IF($R170="","",IF($S170=$T$7,INDEX(TongVTSX!D$3:D$1500,$R170) &amp;  " (" &amp; INDEX(TongVTSX!A$3:A$1500,$R170) &amp; ")",INDEX(TongVTSX!D$3:D$1500,$R170)))</f>
        <v/>
      </c>
      <c r="F170" s="874" t="str">
        <f ca="1">IF($R170="","",IF($S170&lt;&gt;NVLSX!$N$6492,INDEX(TongVTSX!E$3:E$1500,$R170),INDEX(TongVTSX!G$3:G$1500,$R170)))</f>
        <v/>
      </c>
      <c r="G170" s="730" t="str">
        <f ca="1">IF($R170="","",INDEX(TongVTSX!F$3:F$1500,$R170))</f>
        <v/>
      </c>
      <c r="H170" s="731">
        <f ca="1">IF($S170=$T$7,INDEX(TongVTSX!$K$3:$K$1500,$R170)/INDEX(TongVTSX!$G$3:$G$1500,$R170),IF($S170=$T$2,ROUNDUP(SUMPRODUCT((TongVTSX!$C$3:$C$1500=$D170)*(TongVTSX!$E$3:$E$1500=$F170)*(TongVTSX!$S$3:$S$1500=TongVTSX!$S$2)*(TongVTSX!$K$3:$K$1500))/$V170,0),SUMPRODUCT((TongVTSX!$C$3:$C$1500=$D170)*(TongVTSX!$E$3:$E$1500=$F170)*(TongVTSX!$S$3:$S$1500=TongVTSX!$S$2)*(TongVTSX!$K$3:$K$1500))))</f>
        <v>0</v>
      </c>
      <c r="I170" s="731">
        <f ca="1">IF($S170=$T$2,ROUNDUP(SUMPRODUCT((TongVTSX!$C$3:$C$1500=$D170)*(TongVTSX!$E$3:$E$1500=$F170)*(TongVTSX!$S$3:$S$1500=TongVTSX!$S$2)*(TongVTSX!$K$3:$K$1500))/$V170,2),0)</f>
        <v>0</v>
      </c>
      <c r="J170" s="731"/>
      <c r="K170" s="731"/>
      <c r="L170" s="732"/>
      <c r="M170" s="732" t="str">
        <f t="shared" ca="1" si="7"/>
        <v/>
      </c>
      <c r="N170" s="732"/>
      <c r="O170" s="732">
        <f ca="1">IF($S170=$T$7,INDEX(TongVTSX!$O$3:$O$1500,$R170),IF($S170=$T$2,INDEX(TongVTSX!$M$3:$M$1500,$R170)*$V170*$H170,SUMPRODUCT((TongVTSX!$C$3:$C$1500=$D170)*(TongVTSX!$E$3:$E$1500=$F170)*(TongVTSX!$S$3:$S$1500=TongVTSX!$S$2)*(TongVTSX!$O$3:$O$1500))))</f>
        <v>0</v>
      </c>
      <c r="P170" s="1150">
        <f ca="1">IF($S170=$T$7,INDEX(TongVTSX!$O$3:$O$1500,$R170),IF($S170=$T$2,INDEX(TongVTSX!$M$3:$M$1500,$R170)*$I170*$V170,SUMPRODUCT((TongVTSX!$C$3:$C$1500=$D170)*(TongVTSX!$E$3:$E$1500=$F170)*(TongVTSX!$S$3:$S$1500=TongVTSX!$S$2)*(TongVTSX!$O$3:$O$1500))))</f>
        <v>0</v>
      </c>
      <c r="Q170" s="1155" t="str">
        <f ca="1">IFERROR(INDEX(NVLSX!$AA$2:$AA$6756,MATCH($D170,NVLSX!$E$2:$E$6756,0)),"")</f>
        <v/>
      </c>
      <c r="R170" s="75" t="str">
        <f ca="1">IF(S170="","",IF(S170&lt;&gt;S169,IF(TYPE(MATCH(S170,TongVTSX!$Q$3:$Q$1500,0))=16,"",MATCH(S170,TongVTSX!$Q$3:$Q$1500,0)),IF(TYPE(MATCH(S170,OFFSET(TongVTSX!$Q$3,R169,0):'TongVTSX'!$Q$1500,0)+R169)=16,"",MATCH(S170,OFFSET(TongVTSX!$Q$3,R169,0):'TongVTSX'!$Q$1500,0)+R169)))</f>
        <v/>
      </c>
      <c r="S170" s="76" t="str">
        <f ca="1">IFERROR(IF(COUNTIF($S$3:S169,S169)&lt; INDEX($U$1:$U$7,MATCH($S169,$T$1:$T$7,0)),$S169,INDEX($T$1:$T$7,MATCH($S169,$T$1:$T$7,0)+1)),"")</f>
        <v/>
      </c>
      <c r="V170" s="1133" t="str">
        <f ca="1">IFERROR(INDEX(NVLSX!$U$2:$U$6941,MATCH($D170,NVLSX!$E$2:$E$6941,0)),"")</f>
        <v/>
      </c>
      <c r="W170" s="1143"/>
      <c r="X170" s="1143"/>
    </row>
    <row r="171" spans="1:24">
      <c r="A171" s="19" t="str">
        <f t="shared" ca="1" si="8"/>
        <v/>
      </c>
      <c r="B171" s="1146" t="str">
        <f ca="1">IFERROR(INDEX(NVLSX!$Y$2:$Y$6756,MATCH($D171,NVLSX!$E$2:$E$6756,0)),"")</f>
        <v/>
      </c>
      <c r="C171" s="1146" t="str">
        <f ca="1">IFERROR(INDEX(NVLSX!$Z$2:$Z$6756,MATCH($D171,NVLSX!$E$2:$E$6756,0)),"")</f>
        <v/>
      </c>
      <c r="D171" s="729" t="str">
        <f ca="1">IF($R171="","",INDEX(TongVTSX!C$3:C$1500,$R171))</f>
        <v/>
      </c>
      <c r="E171" s="729" t="str">
        <f ca="1">IF($R171="","",IF($S171=$T$7,INDEX(TongVTSX!D$3:D$1500,$R171) &amp;  " (" &amp; INDEX(TongVTSX!A$3:A$1500,$R171) &amp; ")",INDEX(TongVTSX!D$3:D$1500,$R171)))</f>
        <v/>
      </c>
      <c r="F171" s="874" t="str">
        <f ca="1">IF($R171="","",IF($S171&lt;&gt;NVLSX!$N$6492,INDEX(TongVTSX!E$3:E$1500,$R171),INDEX(TongVTSX!G$3:G$1500,$R171)))</f>
        <v/>
      </c>
      <c r="G171" s="730" t="str">
        <f ca="1">IF($R171="","",INDEX(TongVTSX!F$3:F$1500,$R171))</f>
        <v/>
      </c>
      <c r="H171" s="731">
        <f ca="1">IF($S171=$T$7,INDEX(TongVTSX!$K$3:$K$1500,$R171)/INDEX(TongVTSX!$G$3:$G$1500,$R171),IF($S171=$T$2,ROUNDUP(SUMPRODUCT((TongVTSX!$C$3:$C$1500=$D171)*(TongVTSX!$E$3:$E$1500=$F171)*(TongVTSX!$S$3:$S$1500=TongVTSX!$S$2)*(TongVTSX!$K$3:$K$1500))/$V171,0),SUMPRODUCT((TongVTSX!$C$3:$C$1500=$D171)*(TongVTSX!$E$3:$E$1500=$F171)*(TongVTSX!$S$3:$S$1500=TongVTSX!$S$2)*(TongVTSX!$K$3:$K$1500))))</f>
        <v>0</v>
      </c>
      <c r="I171" s="731">
        <f ca="1">IF($S171=$T$2,ROUNDUP(SUMPRODUCT((TongVTSX!$C$3:$C$1500=$D171)*(TongVTSX!$E$3:$E$1500=$F171)*(TongVTSX!$S$3:$S$1500=TongVTSX!$S$2)*(TongVTSX!$K$3:$K$1500))/$V171,2),0)</f>
        <v>0</v>
      </c>
      <c r="J171" s="731"/>
      <c r="K171" s="731"/>
      <c r="L171" s="732"/>
      <c r="M171" s="732" t="str">
        <f t="shared" ca="1" si="7"/>
        <v/>
      </c>
      <c r="N171" s="732"/>
      <c r="O171" s="732">
        <f ca="1">IF($S171=$T$7,INDEX(TongVTSX!$O$3:$O$1500,$R171),IF($S171=$T$2,INDEX(TongVTSX!$M$3:$M$1500,$R171)*$V171*$H171,SUMPRODUCT((TongVTSX!$C$3:$C$1500=$D171)*(TongVTSX!$E$3:$E$1500=$F171)*(TongVTSX!$S$3:$S$1500=TongVTSX!$S$2)*(TongVTSX!$O$3:$O$1500))))</f>
        <v>0</v>
      </c>
      <c r="P171" s="1150">
        <f ca="1">IF($S171=$T$7,INDEX(TongVTSX!$O$3:$O$1500,$R171),IF($S171=$T$2,INDEX(TongVTSX!$M$3:$M$1500,$R171)*$I171*$V171,SUMPRODUCT((TongVTSX!$C$3:$C$1500=$D171)*(TongVTSX!$E$3:$E$1500=$F171)*(TongVTSX!$S$3:$S$1500=TongVTSX!$S$2)*(TongVTSX!$O$3:$O$1500))))</f>
        <v>0</v>
      </c>
      <c r="Q171" s="1155" t="str">
        <f ca="1">IFERROR(INDEX(NVLSX!$AA$2:$AA$6756,MATCH($D171,NVLSX!$E$2:$E$6756,0)),"")</f>
        <v/>
      </c>
      <c r="R171" s="75" t="str">
        <f ca="1">IF(S171="","",IF(S171&lt;&gt;S170,IF(TYPE(MATCH(S171,TongVTSX!$Q$3:$Q$1500,0))=16,"",MATCH(S171,TongVTSX!$Q$3:$Q$1500,0)),IF(TYPE(MATCH(S171,OFFSET(TongVTSX!$Q$3,R170,0):'TongVTSX'!$Q$1500,0)+R170)=16,"",MATCH(S171,OFFSET(TongVTSX!$Q$3,R170,0):'TongVTSX'!$Q$1500,0)+R170)))</f>
        <v/>
      </c>
      <c r="S171" s="76" t="str">
        <f ca="1">IFERROR(IF(COUNTIF($S$3:S170,S170)&lt; INDEX($U$1:$U$7,MATCH($S170,$T$1:$T$7,0)),$S170,INDEX($T$1:$T$7,MATCH($S170,$T$1:$T$7,0)+1)),"")</f>
        <v/>
      </c>
      <c r="V171" s="1133" t="str">
        <f ca="1">IFERROR(INDEX(NVLSX!$U$2:$U$6941,MATCH($D171,NVLSX!$E$2:$E$6941,0)),"")</f>
        <v/>
      </c>
      <c r="W171" s="1143"/>
      <c r="X171" s="1143"/>
    </row>
    <row r="172" spans="1:24">
      <c r="A172" s="19" t="str">
        <f t="shared" ca="1" si="8"/>
        <v/>
      </c>
      <c r="B172" s="1146" t="str">
        <f ca="1">IFERROR(INDEX(NVLSX!$Y$2:$Y$6756,MATCH($D172,NVLSX!$E$2:$E$6756,0)),"")</f>
        <v/>
      </c>
      <c r="C172" s="1146" t="str">
        <f ca="1">IFERROR(INDEX(NVLSX!$Z$2:$Z$6756,MATCH($D172,NVLSX!$E$2:$E$6756,0)),"")</f>
        <v/>
      </c>
      <c r="D172" s="729" t="str">
        <f ca="1">IF($R172="","",INDEX(TongVTSX!C$3:C$1500,$R172))</f>
        <v/>
      </c>
      <c r="E172" s="729" t="str">
        <f ca="1">IF($R172="","",IF($S172=$T$7,INDEX(TongVTSX!D$3:D$1500,$R172) &amp;  " (" &amp; INDEX(TongVTSX!A$3:A$1500,$R172) &amp; ")",INDEX(TongVTSX!D$3:D$1500,$R172)))</f>
        <v/>
      </c>
      <c r="F172" s="874" t="str">
        <f ca="1">IF($R172="","",IF($S172&lt;&gt;NVLSX!$N$6492,INDEX(TongVTSX!E$3:E$1500,$R172),INDEX(TongVTSX!G$3:G$1500,$R172)))</f>
        <v/>
      </c>
      <c r="G172" s="730" t="str">
        <f ca="1">IF($R172="","",INDEX(TongVTSX!F$3:F$1500,$R172))</f>
        <v/>
      </c>
      <c r="H172" s="731">
        <f ca="1">IF($S172=$T$7,INDEX(TongVTSX!$K$3:$K$1500,$R172)/INDEX(TongVTSX!$G$3:$G$1500,$R172),IF($S172=$T$2,ROUNDUP(SUMPRODUCT((TongVTSX!$C$3:$C$1500=$D172)*(TongVTSX!$E$3:$E$1500=$F172)*(TongVTSX!$S$3:$S$1500=TongVTSX!$S$2)*(TongVTSX!$K$3:$K$1500))/$V172,0),SUMPRODUCT((TongVTSX!$C$3:$C$1500=$D172)*(TongVTSX!$E$3:$E$1500=$F172)*(TongVTSX!$S$3:$S$1500=TongVTSX!$S$2)*(TongVTSX!$K$3:$K$1500))))</f>
        <v>0</v>
      </c>
      <c r="I172" s="731">
        <f ca="1">IF($S172=$T$2,ROUNDUP(SUMPRODUCT((TongVTSX!$C$3:$C$1500=$D172)*(TongVTSX!$E$3:$E$1500=$F172)*(TongVTSX!$S$3:$S$1500=TongVTSX!$S$2)*(TongVTSX!$K$3:$K$1500))/$V172,2),0)</f>
        <v>0</v>
      </c>
      <c r="J172" s="731"/>
      <c r="K172" s="731"/>
      <c r="L172" s="732"/>
      <c r="M172" s="732" t="str">
        <f t="shared" ca="1" si="7"/>
        <v/>
      </c>
      <c r="N172" s="732"/>
      <c r="O172" s="732">
        <f ca="1">IF($S172=$T$7,INDEX(TongVTSX!$O$3:$O$1500,$R172),IF($S172=$T$2,INDEX(TongVTSX!$M$3:$M$1500,$R172)*$V172*$H172,SUMPRODUCT((TongVTSX!$C$3:$C$1500=$D172)*(TongVTSX!$E$3:$E$1500=$F172)*(TongVTSX!$S$3:$S$1500=TongVTSX!$S$2)*(TongVTSX!$O$3:$O$1500))))</f>
        <v>0</v>
      </c>
      <c r="P172" s="1150">
        <f ca="1">IF($S172=$T$7,INDEX(TongVTSX!$O$3:$O$1500,$R172),IF($S172=$T$2,INDEX(TongVTSX!$M$3:$M$1500,$R172)*$I172*$V172,SUMPRODUCT((TongVTSX!$C$3:$C$1500=$D172)*(TongVTSX!$E$3:$E$1500=$F172)*(TongVTSX!$S$3:$S$1500=TongVTSX!$S$2)*(TongVTSX!$O$3:$O$1500))))</f>
        <v>0</v>
      </c>
      <c r="Q172" s="1155" t="str">
        <f ca="1">IFERROR(INDEX(NVLSX!$AA$2:$AA$6756,MATCH($D172,NVLSX!$E$2:$E$6756,0)),"")</f>
        <v/>
      </c>
      <c r="R172" s="75" t="str">
        <f ca="1">IF(S172="","",IF(S172&lt;&gt;S171,IF(TYPE(MATCH(S172,TongVTSX!$Q$3:$Q$1500,0))=16,"",MATCH(S172,TongVTSX!$Q$3:$Q$1500,0)),IF(TYPE(MATCH(S172,OFFSET(TongVTSX!$Q$3,R171,0):'TongVTSX'!$Q$1500,0)+R171)=16,"",MATCH(S172,OFFSET(TongVTSX!$Q$3,R171,0):'TongVTSX'!$Q$1500,0)+R171)))</f>
        <v/>
      </c>
      <c r="S172" s="76" t="str">
        <f ca="1">IFERROR(IF(COUNTIF($S$3:S171,S171)&lt; INDEX($U$1:$U$7,MATCH($S171,$T$1:$T$7,0)),$S171,INDEX($T$1:$T$7,MATCH($S171,$T$1:$T$7,0)+1)),"")</f>
        <v/>
      </c>
      <c r="V172" s="1133" t="str">
        <f ca="1">IFERROR(INDEX(NVLSX!$U$2:$U$6941,MATCH($D172,NVLSX!$E$2:$E$6941,0)),"")</f>
        <v/>
      </c>
      <c r="W172" s="1143"/>
      <c r="X172" s="1143"/>
    </row>
    <row r="173" spans="1:24">
      <c r="A173" s="19" t="str">
        <f t="shared" ca="1" si="8"/>
        <v/>
      </c>
      <c r="B173" s="1146" t="str">
        <f ca="1">IFERROR(INDEX(NVLSX!$Y$2:$Y$6756,MATCH($D173,NVLSX!$E$2:$E$6756,0)),"")</f>
        <v/>
      </c>
      <c r="C173" s="1146" t="str">
        <f ca="1">IFERROR(INDEX(NVLSX!$Z$2:$Z$6756,MATCH($D173,NVLSX!$E$2:$E$6756,0)),"")</f>
        <v/>
      </c>
      <c r="D173" s="729" t="str">
        <f ca="1">IF($R173="","",INDEX(TongVTSX!C$3:C$1500,$R173))</f>
        <v/>
      </c>
      <c r="E173" s="729" t="str">
        <f ca="1">IF($R173="","",IF($S173=$T$7,INDEX(TongVTSX!D$3:D$1500,$R173) &amp;  " (" &amp; INDEX(TongVTSX!A$3:A$1500,$R173) &amp; ")",INDEX(TongVTSX!D$3:D$1500,$R173)))</f>
        <v/>
      </c>
      <c r="F173" s="874" t="str">
        <f ca="1">IF($R173="","",IF($S173&lt;&gt;NVLSX!$N$6492,INDEX(TongVTSX!E$3:E$1500,$R173),INDEX(TongVTSX!G$3:G$1500,$R173)))</f>
        <v/>
      </c>
      <c r="G173" s="730" t="str">
        <f ca="1">IF($R173="","",INDEX(TongVTSX!F$3:F$1500,$R173))</f>
        <v/>
      </c>
      <c r="H173" s="731">
        <f ca="1">IF($S173=$T$7,INDEX(TongVTSX!$K$3:$K$1500,$R173)/INDEX(TongVTSX!$G$3:$G$1500,$R173),IF($S173=$T$2,ROUNDUP(SUMPRODUCT((TongVTSX!$C$3:$C$1500=$D173)*(TongVTSX!$E$3:$E$1500=$F173)*(TongVTSX!$S$3:$S$1500=TongVTSX!$S$2)*(TongVTSX!$K$3:$K$1500))/$V173,0),SUMPRODUCT((TongVTSX!$C$3:$C$1500=$D173)*(TongVTSX!$E$3:$E$1500=$F173)*(TongVTSX!$S$3:$S$1500=TongVTSX!$S$2)*(TongVTSX!$K$3:$K$1500))))</f>
        <v>0</v>
      </c>
      <c r="I173" s="731">
        <f ca="1">IF($S173=$T$2,ROUNDUP(SUMPRODUCT((TongVTSX!$C$3:$C$1500=$D173)*(TongVTSX!$E$3:$E$1500=$F173)*(TongVTSX!$S$3:$S$1500=TongVTSX!$S$2)*(TongVTSX!$K$3:$K$1500))/$V173,2),0)</f>
        <v>0</v>
      </c>
      <c r="J173" s="731"/>
      <c r="K173" s="731"/>
      <c r="L173" s="732"/>
      <c r="M173" s="732" t="str">
        <f t="shared" ca="1" si="7"/>
        <v/>
      </c>
      <c r="N173" s="732"/>
      <c r="O173" s="732">
        <f ca="1">IF($S173=$T$7,INDEX(TongVTSX!$O$3:$O$1500,$R173),IF($S173=$T$2,INDEX(TongVTSX!$M$3:$M$1500,$R173)*$V173*$H173,SUMPRODUCT((TongVTSX!$C$3:$C$1500=$D173)*(TongVTSX!$E$3:$E$1500=$F173)*(TongVTSX!$S$3:$S$1500=TongVTSX!$S$2)*(TongVTSX!$O$3:$O$1500))))</f>
        <v>0</v>
      </c>
      <c r="P173" s="1150">
        <f ca="1">IF($S173=$T$7,INDEX(TongVTSX!$O$3:$O$1500,$R173),IF($S173=$T$2,INDEX(TongVTSX!$M$3:$M$1500,$R173)*$I173*$V173,SUMPRODUCT((TongVTSX!$C$3:$C$1500=$D173)*(TongVTSX!$E$3:$E$1500=$F173)*(TongVTSX!$S$3:$S$1500=TongVTSX!$S$2)*(TongVTSX!$O$3:$O$1500))))</f>
        <v>0</v>
      </c>
      <c r="Q173" s="1155" t="str">
        <f ca="1">IFERROR(INDEX(NVLSX!$AA$2:$AA$6756,MATCH($D173,NVLSX!$E$2:$E$6756,0)),"")</f>
        <v/>
      </c>
      <c r="R173" s="75" t="str">
        <f ca="1">IF(S173="","",IF(S173&lt;&gt;S172,IF(TYPE(MATCH(S173,TongVTSX!$Q$3:$Q$1500,0))=16,"",MATCH(S173,TongVTSX!$Q$3:$Q$1500,0)),IF(TYPE(MATCH(S173,OFFSET(TongVTSX!$Q$3,R172,0):'TongVTSX'!$Q$1500,0)+R172)=16,"",MATCH(S173,OFFSET(TongVTSX!$Q$3,R172,0):'TongVTSX'!$Q$1500,0)+R172)))</f>
        <v/>
      </c>
      <c r="S173" s="76" t="str">
        <f ca="1">IFERROR(IF(COUNTIF($S$3:S172,S172)&lt; INDEX($U$1:$U$7,MATCH($S172,$T$1:$T$7,0)),$S172,INDEX($T$1:$T$7,MATCH($S172,$T$1:$T$7,0)+1)),"")</f>
        <v/>
      </c>
      <c r="V173" s="1133" t="str">
        <f ca="1">IFERROR(INDEX(NVLSX!$U$2:$U$6941,MATCH($D173,NVLSX!$E$2:$E$6941,0)),"")</f>
        <v/>
      </c>
      <c r="W173" s="1143"/>
      <c r="X173" s="1143"/>
    </row>
    <row r="174" spans="1:24">
      <c r="A174" s="19" t="str">
        <f t="shared" ca="1" si="8"/>
        <v/>
      </c>
      <c r="B174" s="1146" t="str">
        <f ca="1">IFERROR(INDEX(NVLSX!$Y$2:$Y$6756,MATCH($D174,NVLSX!$E$2:$E$6756,0)),"")</f>
        <v/>
      </c>
      <c r="C174" s="1146" t="str">
        <f ca="1">IFERROR(INDEX(NVLSX!$Z$2:$Z$6756,MATCH($D174,NVLSX!$E$2:$E$6756,0)),"")</f>
        <v/>
      </c>
      <c r="D174" s="729" t="str">
        <f ca="1">IF($R174="","",INDEX(TongVTSX!C$3:C$1500,$R174))</f>
        <v/>
      </c>
      <c r="E174" s="729" t="str">
        <f ca="1">IF($R174="","",IF($S174=$T$7,INDEX(TongVTSX!D$3:D$1500,$R174) &amp;  " (" &amp; INDEX(TongVTSX!A$3:A$1500,$R174) &amp; ")",INDEX(TongVTSX!D$3:D$1500,$R174)))</f>
        <v/>
      </c>
      <c r="F174" s="874" t="str">
        <f ca="1">IF($R174="","",IF($S174&lt;&gt;NVLSX!$N$6492,INDEX(TongVTSX!E$3:E$1500,$R174),INDEX(TongVTSX!G$3:G$1500,$R174)))</f>
        <v/>
      </c>
      <c r="G174" s="730" t="str">
        <f ca="1">IF($R174="","",INDEX(TongVTSX!F$3:F$1500,$R174))</f>
        <v/>
      </c>
      <c r="H174" s="731">
        <f ca="1">IF($S174=$T$7,INDEX(TongVTSX!$K$3:$K$1500,$R174)/INDEX(TongVTSX!$G$3:$G$1500,$R174),IF($S174=$T$2,ROUNDUP(SUMPRODUCT((TongVTSX!$C$3:$C$1500=$D174)*(TongVTSX!$E$3:$E$1500=$F174)*(TongVTSX!$S$3:$S$1500=TongVTSX!$S$2)*(TongVTSX!$K$3:$K$1500))/$V174,0),SUMPRODUCT((TongVTSX!$C$3:$C$1500=$D174)*(TongVTSX!$E$3:$E$1500=$F174)*(TongVTSX!$S$3:$S$1500=TongVTSX!$S$2)*(TongVTSX!$K$3:$K$1500))))</f>
        <v>0</v>
      </c>
      <c r="I174" s="731">
        <f ca="1">IF($S174=$T$2,ROUNDUP(SUMPRODUCT((TongVTSX!$C$3:$C$1500=$D174)*(TongVTSX!$E$3:$E$1500=$F174)*(TongVTSX!$S$3:$S$1500=TongVTSX!$S$2)*(TongVTSX!$K$3:$K$1500))/$V174,2),0)</f>
        <v>0</v>
      </c>
      <c r="J174" s="731"/>
      <c r="K174" s="731"/>
      <c r="L174" s="732"/>
      <c r="M174" s="732" t="str">
        <f t="shared" ca="1" si="7"/>
        <v/>
      </c>
      <c r="N174" s="732"/>
      <c r="O174" s="732">
        <f ca="1">IF($S174=$T$7,INDEX(TongVTSX!$O$3:$O$1500,$R174),IF($S174=$T$2,INDEX(TongVTSX!$M$3:$M$1500,$R174)*$V174*$H174,SUMPRODUCT((TongVTSX!$C$3:$C$1500=$D174)*(TongVTSX!$E$3:$E$1500=$F174)*(TongVTSX!$S$3:$S$1500=TongVTSX!$S$2)*(TongVTSX!$O$3:$O$1500))))</f>
        <v>0</v>
      </c>
      <c r="P174" s="1150">
        <f ca="1">IF($S174=$T$7,INDEX(TongVTSX!$O$3:$O$1500,$R174),IF($S174=$T$2,INDEX(TongVTSX!$M$3:$M$1500,$R174)*$I174*$V174,SUMPRODUCT((TongVTSX!$C$3:$C$1500=$D174)*(TongVTSX!$E$3:$E$1500=$F174)*(TongVTSX!$S$3:$S$1500=TongVTSX!$S$2)*(TongVTSX!$O$3:$O$1500))))</f>
        <v>0</v>
      </c>
      <c r="Q174" s="1155" t="str">
        <f ca="1">IFERROR(INDEX(NVLSX!$AA$2:$AA$6756,MATCH($D174,NVLSX!$E$2:$E$6756,0)),"")</f>
        <v/>
      </c>
      <c r="R174" s="75" t="str">
        <f ca="1">IF(S174="","",IF(S174&lt;&gt;S173,IF(TYPE(MATCH(S174,TongVTSX!$Q$3:$Q$1500,0))=16,"",MATCH(S174,TongVTSX!$Q$3:$Q$1500,0)),IF(TYPE(MATCH(S174,OFFSET(TongVTSX!$Q$3,R173,0):'TongVTSX'!$Q$1500,0)+R173)=16,"",MATCH(S174,OFFSET(TongVTSX!$Q$3,R173,0):'TongVTSX'!$Q$1500,0)+R173)))</f>
        <v/>
      </c>
      <c r="S174" s="76" t="str">
        <f ca="1">IFERROR(IF(COUNTIF($S$3:S173,S173)&lt; INDEX($U$1:$U$7,MATCH($S173,$T$1:$T$7,0)),$S173,INDEX($T$1:$T$7,MATCH($S173,$T$1:$T$7,0)+1)),"")</f>
        <v/>
      </c>
      <c r="V174" s="1133" t="str">
        <f ca="1">IFERROR(INDEX(NVLSX!$U$2:$U$6941,MATCH($D174,NVLSX!$E$2:$E$6941,0)),"")</f>
        <v/>
      </c>
      <c r="W174" s="1143"/>
      <c r="X174" s="1143"/>
    </row>
    <row r="175" spans="1:24">
      <c r="A175" s="19" t="str">
        <f t="shared" ca="1" si="8"/>
        <v/>
      </c>
      <c r="B175" s="1146" t="str">
        <f ca="1">IFERROR(INDEX(NVLSX!$Y$2:$Y$6756,MATCH($D175,NVLSX!$E$2:$E$6756,0)),"")</f>
        <v/>
      </c>
      <c r="C175" s="1146" t="str">
        <f ca="1">IFERROR(INDEX(NVLSX!$Z$2:$Z$6756,MATCH($D175,NVLSX!$E$2:$E$6756,0)),"")</f>
        <v/>
      </c>
      <c r="D175" s="729" t="str">
        <f ca="1">IF($R175="","",INDEX(TongVTSX!C$3:C$1500,$R175))</f>
        <v/>
      </c>
      <c r="E175" s="729" t="str">
        <f ca="1">IF($R175="","",IF($S175=$T$7,INDEX(TongVTSX!D$3:D$1500,$R175) &amp;  " (" &amp; INDEX(TongVTSX!A$3:A$1500,$R175) &amp; ")",INDEX(TongVTSX!D$3:D$1500,$R175)))</f>
        <v/>
      </c>
      <c r="F175" s="874" t="str">
        <f ca="1">IF($R175="","",IF($S175&lt;&gt;NVLSX!$N$6492,INDEX(TongVTSX!E$3:E$1500,$R175),INDEX(TongVTSX!G$3:G$1500,$R175)))</f>
        <v/>
      </c>
      <c r="G175" s="730" t="str">
        <f ca="1">IF($R175="","",INDEX(TongVTSX!F$3:F$1500,$R175))</f>
        <v/>
      </c>
      <c r="H175" s="731">
        <f ca="1">IF($S175=$T$7,INDEX(TongVTSX!$K$3:$K$1500,$R175)/INDEX(TongVTSX!$G$3:$G$1500,$R175),IF($S175=$T$2,ROUNDUP(SUMPRODUCT((TongVTSX!$C$3:$C$1500=$D175)*(TongVTSX!$E$3:$E$1500=$F175)*(TongVTSX!$S$3:$S$1500=TongVTSX!$S$2)*(TongVTSX!$K$3:$K$1500))/$V175,0),SUMPRODUCT((TongVTSX!$C$3:$C$1500=$D175)*(TongVTSX!$E$3:$E$1500=$F175)*(TongVTSX!$S$3:$S$1500=TongVTSX!$S$2)*(TongVTSX!$K$3:$K$1500))))</f>
        <v>0</v>
      </c>
      <c r="I175" s="731">
        <f ca="1">IF($S175=$T$2,ROUNDUP(SUMPRODUCT((TongVTSX!$C$3:$C$1500=$D175)*(TongVTSX!$E$3:$E$1500=$F175)*(TongVTSX!$S$3:$S$1500=TongVTSX!$S$2)*(TongVTSX!$K$3:$K$1500))/$V175,2),0)</f>
        <v>0</v>
      </c>
      <c r="J175" s="731"/>
      <c r="K175" s="731"/>
      <c r="L175" s="732"/>
      <c r="M175" s="732" t="str">
        <f t="shared" ca="1" si="7"/>
        <v/>
      </c>
      <c r="N175" s="732"/>
      <c r="O175" s="732">
        <f ca="1">IF($S175=$T$7,INDEX(TongVTSX!$O$3:$O$1500,$R175),IF($S175=$T$2,INDEX(TongVTSX!$M$3:$M$1500,$R175)*$V175*$H175,SUMPRODUCT((TongVTSX!$C$3:$C$1500=$D175)*(TongVTSX!$E$3:$E$1500=$F175)*(TongVTSX!$S$3:$S$1500=TongVTSX!$S$2)*(TongVTSX!$O$3:$O$1500))))</f>
        <v>0</v>
      </c>
      <c r="P175" s="1150">
        <f ca="1">IF($S175=$T$7,INDEX(TongVTSX!$O$3:$O$1500,$R175),IF($S175=$T$2,INDEX(TongVTSX!$M$3:$M$1500,$R175)*$I175*$V175,SUMPRODUCT((TongVTSX!$C$3:$C$1500=$D175)*(TongVTSX!$E$3:$E$1500=$F175)*(TongVTSX!$S$3:$S$1500=TongVTSX!$S$2)*(TongVTSX!$O$3:$O$1500))))</f>
        <v>0</v>
      </c>
      <c r="Q175" s="1155" t="str">
        <f ca="1">IFERROR(INDEX(NVLSX!$AA$2:$AA$6756,MATCH($D175,NVLSX!$E$2:$E$6756,0)),"")</f>
        <v/>
      </c>
      <c r="R175" s="75" t="str">
        <f ca="1">IF(S175="","",IF(S175&lt;&gt;S174,IF(TYPE(MATCH(S175,TongVTSX!$Q$3:$Q$1500,0))=16,"",MATCH(S175,TongVTSX!$Q$3:$Q$1500,0)),IF(TYPE(MATCH(S175,OFFSET(TongVTSX!$Q$3,R174,0):'TongVTSX'!$Q$1500,0)+R174)=16,"",MATCH(S175,OFFSET(TongVTSX!$Q$3,R174,0):'TongVTSX'!$Q$1500,0)+R174)))</f>
        <v/>
      </c>
      <c r="S175" s="76" t="str">
        <f ca="1">IFERROR(IF(COUNTIF($S$3:S174,S174)&lt; INDEX($U$1:$U$7,MATCH($S174,$T$1:$T$7,0)),$S174,INDEX($T$1:$T$7,MATCH($S174,$T$1:$T$7,0)+1)),"")</f>
        <v/>
      </c>
      <c r="V175" s="1133" t="str">
        <f ca="1">IFERROR(INDEX(NVLSX!$U$2:$U$6941,MATCH($D175,NVLSX!$E$2:$E$6941,0)),"")</f>
        <v/>
      </c>
      <c r="W175" s="1143"/>
      <c r="X175" s="1143"/>
    </row>
    <row r="176" spans="1:24">
      <c r="A176" s="19" t="str">
        <f t="shared" ca="1" si="8"/>
        <v/>
      </c>
      <c r="B176" s="1146" t="str">
        <f ca="1">IFERROR(INDEX(NVLSX!$Y$2:$Y$6756,MATCH($D176,NVLSX!$E$2:$E$6756,0)),"")</f>
        <v/>
      </c>
      <c r="C176" s="1146" t="str">
        <f ca="1">IFERROR(INDEX(NVLSX!$Z$2:$Z$6756,MATCH($D176,NVLSX!$E$2:$E$6756,0)),"")</f>
        <v/>
      </c>
      <c r="D176" s="729" t="str">
        <f ca="1">IF($R176="","",INDEX(TongVTSX!C$3:C$1500,$R176))</f>
        <v/>
      </c>
      <c r="E176" s="729" t="str">
        <f ca="1">IF($R176="","",IF($S176=$T$7,INDEX(TongVTSX!D$3:D$1500,$R176) &amp;  " (" &amp; INDEX(TongVTSX!A$3:A$1500,$R176) &amp; ")",INDEX(TongVTSX!D$3:D$1500,$R176)))</f>
        <v/>
      </c>
      <c r="F176" s="874" t="str">
        <f ca="1">IF($R176="","",IF($S176&lt;&gt;NVLSX!$N$6492,INDEX(TongVTSX!E$3:E$1500,$R176),INDEX(TongVTSX!G$3:G$1500,$R176)))</f>
        <v/>
      </c>
      <c r="G176" s="730" t="str">
        <f ca="1">IF($R176="","",INDEX(TongVTSX!F$3:F$1500,$R176))</f>
        <v/>
      </c>
      <c r="H176" s="731">
        <f ca="1">IF($S176=$T$7,INDEX(TongVTSX!$K$3:$K$1500,$R176)/INDEX(TongVTSX!$G$3:$G$1500,$R176),IF($S176=$T$2,ROUNDUP(SUMPRODUCT((TongVTSX!$C$3:$C$1500=$D176)*(TongVTSX!$E$3:$E$1500=$F176)*(TongVTSX!$S$3:$S$1500=TongVTSX!$S$2)*(TongVTSX!$K$3:$K$1500))/$V176,0),SUMPRODUCT((TongVTSX!$C$3:$C$1500=$D176)*(TongVTSX!$E$3:$E$1500=$F176)*(TongVTSX!$S$3:$S$1500=TongVTSX!$S$2)*(TongVTSX!$K$3:$K$1500))))</f>
        <v>0</v>
      </c>
      <c r="I176" s="731">
        <f ca="1">IF($S176=$T$2,ROUNDUP(SUMPRODUCT((TongVTSX!$C$3:$C$1500=$D176)*(TongVTSX!$E$3:$E$1500=$F176)*(TongVTSX!$S$3:$S$1500=TongVTSX!$S$2)*(TongVTSX!$K$3:$K$1500))/$V176,2),0)</f>
        <v>0</v>
      </c>
      <c r="J176" s="731"/>
      <c r="K176" s="731"/>
      <c r="L176" s="732"/>
      <c r="M176" s="732" t="str">
        <f t="shared" ca="1" si="7"/>
        <v/>
      </c>
      <c r="N176" s="732"/>
      <c r="O176" s="732">
        <f ca="1">IF($S176=$T$7,INDEX(TongVTSX!$O$3:$O$1500,$R176),IF($S176=$T$2,INDEX(TongVTSX!$M$3:$M$1500,$R176)*$V176*$H176,SUMPRODUCT((TongVTSX!$C$3:$C$1500=$D176)*(TongVTSX!$E$3:$E$1500=$F176)*(TongVTSX!$S$3:$S$1500=TongVTSX!$S$2)*(TongVTSX!$O$3:$O$1500))))</f>
        <v>0</v>
      </c>
      <c r="P176" s="1150">
        <f ca="1">IF($S176=$T$7,INDEX(TongVTSX!$O$3:$O$1500,$R176),IF($S176=$T$2,INDEX(TongVTSX!$M$3:$M$1500,$R176)*$I176*$V176,SUMPRODUCT((TongVTSX!$C$3:$C$1500=$D176)*(TongVTSX!$E$3:$E$1500=$F176)*(TongVTSX!$S$3:$S$1500=TongVTSX!$S$2)*(TongVTSX!$O$3:$O$1500))))</f>
        <v>0</v>
      </c>
      <c r="Q176" s="1155" t="str">
        <f ca="1">IFERROR(INDEX(NVLSX!$AA$2:$AA$6756,MATCH($D176,NVLSX!$E$2:$E$6756,0)),"")</f>
        <v/>
      </c>
      <c r="R176" s="75" t="str">
        <f ca="1">IF(S176="","",IF(S176&lt;&gt;S175,IF(TYPE(MATCH(S176,TongVTSX!$Q$3:$Q$1500,0))=16,"",MATCH(S176,TongVTSX!$Q$3:$Q$1500,0)),IF(TYPE(MATCH(S176,OFFSET(TongVTSX!$Q$3,R175,0):'TongVTSX'!$Q$1500,0)+R175)=16,"",MATCH(S176,OFFSET(TongVTSX!$Q$3,R175,0):'TongVTSX'!$Q$1500,0)+R175)))</f>
        <v/>
      </c>
      <c r="S176" s="76" t="str">
        <f ca="1">IFERROR(IF(COUNTIF($S$3:S175,S175)&lt; INDEX($U$1:$U$7,MATCH($S175,$T$1:$T$7,0)),$S175,INDEX($T$1:$T$7,MATCH($S175,$T$1:$T$7,0)+1)),"")</f>
        <v/>
      </c>
      <c r="V176" s="1133" t="str">
        <f ca="1">IFERROR(INDEX(NVLSX!$U$2:$U$6941,MATCH($D176,NVLSX!$E$2:$E$6941,0)),"")</f>
        <v/>
      </c>
      <c r="W176" s="1143"/>
      <c r="X176" s="1143"/>
    </row>
    <row r="177" spans="1:24">
      <c r="A177" s="19" t="str">
        <f t="shared" ca="1" si="8"/>
        <v/>
      </c>
      <c r="B177" s="1146" t="str">
        <f ca="1">IFERROR(INDEX(NVLSX!$Y$2:$Y$6756,MATCH($D177,NVLSX!$E$2:$E$6756,0)),"")</f>
        <v/>
      </c>
      <c r="C177" s="1146" t="str">
        <f ca="1">IFERROR(INDEX(NVLSX!$Z$2:$Z$6756,MATCH($D177,NVLSX!$E$2:$E$6756,0)),"")</f>
        <v/>
      </c>
      <c r="D177" s="729" t="str">
        <f ca="1">IF($R177="","",INDEX(TongVTSX!C$3:C$1500,$R177))</f>
        <v/>
      </c>
      <c r="E177" s="729" t="str">
        <f ca="1">IF($R177="","",IF($S177=$T$7,INDEX(TongVTSX!D$3:D$1500,$R177) &amp;  " (" &amp; INDEX(TongVTSX!A$3:A$1500,$R177) &amp; ")",INDEX(TongVTSX!D$3:D$1500,$R177)))</f>
        <v/>
      </c>
      <c r="F177" s="874" t="str">
        <f ca="1">IF($R177="","",IF($S177&lt;&gt;NVLSX!$N$6492,INDEX(TongVTSX!E$3:E$1500,$R177),INDEX(TongVTSX!G$3:G$1500,$R177)))</f>
        <v/>
      </c>
      <c r="G177" s="730" t="str">
        <f ca="1">IF($R177="","",INDEX(TongVTSX!F$3:F$1500,$R177))</f>
        <v/>
      </c>
      <c r="H177" s="731">
        <f ca="1">IF($S177=$T$7,INDEX(TongVTSX!$K$3:$K$1500,$R177)/INDEX(TongVTSX!$G$3:$G$1500,$R177),IF($S177=$T$2,ROUNDUP(SUMPRODUCT((TongVTSX!$C$3:$C$1500=$D177)*(TongVTSX!$E$3:$E$1500=$F177)*(TongVTSX!$S$3:$S$1500=TongVTSX!$S$2)*(TongVTSX!$K$3:$K$1500))/$V177,0),SUMPRODUCT((TongVTSX!$C$3:$C$1500=$D177)*(TongVTSX!$E$3:$E$1500=$F177)*(TongVTSX!$S$3:$S$1500=TongVTSX!$S$2)*(TongVTSX!$K$3:$K$1500))))</f>
        <v>0</v>
      </c>
      <c r="I177" s="731">
        <f ca="1">IF($S177=$T$2,ROUNDUP(SUMPRODUCT((TongVTSX!$C$3:$C$1500=$D177)*(TongVTSX!$E$3:$E$1500=$F177)*(TongVTSX!$S$3:$S$1500=TongVTSX!$S$2)*(TongVTSX!$K$3:$K$1500))/$V177,2),0)</f>
        <v>0</v>
      </c>
      <c r="J177" s="731"/>
      <c r="K177" s="731"/>
      <c r="L177" s="732"/>
      <c r="M177" s="732" t="str">
        <f t="shared" ca="1" si="7"/>
        <v/>
      </c>
      <c r="N177" s="732"/>
      <c r="O177" s="732">
        <f ca="1">IF($S177=$T$7,INDEX(TongVTSX!$O$3:$O$1500,$R177),IF($S177=$T$2,INDEX(TongVTSX!$M$3:$M$1500,$R177)*$V177*$H177,SUMPRODUCT((TongVTSX!$C$3:$C$1500=$D177)*(TongVTSX!$E$3:$E$1500=$F177)*(TongVTSX!$S$3:$S$1500=TongVTSX!$S$2)*(TongVTSX!$O$3:$O$1500))))</f>
        <v>0</v>
      </c>
      <c r="P177" s="1150">
        <f ca="1">IF($S177=$T$7,INDEX(TongVTSX!$O$3:$O$1500,$R177),IF($S177=$T$2,INDEX(TongVTSX!$M$3:$M$1500,$R177)*$I177*$V177,SUMPRODUCT((TongVTSX!$C$3:$C$1500=$D177)*(TongVTSX!$E$3:$E$1500=$F177)*(TongVTSX!$S$3:$S$1500=TongVTSX!$S$2)*(TongVTSX!$O$3:$O$1500))))</f>
        <v>0</v>
      </c>
      <c r="Q177" s="1155" t="str">
        <f ca="1">IFERROR(INDEX(NVLSX!$AA$2:$AA$6756,MATCH($D177,NVLSX!$E$2:$E$6756,0)),"")</f>
        <v/>
      </c>
      <c r="R177" s="75" t="str">
        <f ca="1">IF(S177="","",IF(S177&lt;&gt;S176,IF(TYPE(MATCH(S177,TongVTSX!$Q$3:$Q$1500,0))=16,"",MATCH(S177,TongVTSX!$Q$3:$Q$1500,0)),IF(TYPE(MATCH(S177,OFFSET(TongVTSX!$Q$3,R176,0):'TongVTSX'!$Q$1500,0)+R176)=16,"",MATCH(S177,OFFSET(TongVTSX!$Q$3,R176,0):'TongVTSX'!$Q$1500,0)+R176)))</f>
        <v/>
      </c>
      <c r="S177" s="76" t="str">
        <f ca="1">IFERROR(IF(COUNTIF($S$3:S176,S176)&lt; INDEX($U$1:$U$7,MATCH($S176,$T$1:$T$7,0)),$S176,INDEX($T$1:$T$7,MATCH($S176,$T$1:$T$7,0)+1)),"")</f>
        <v/>
      </c>
      <c r="V177" s="1133" t="str">
        <f ca="1">IFERROR(INDEX(NVLSX!$U$2:$U$6941,MATCH($D177,NVLSX!$E$2:$E$6941,0)),"")</f>
        <v/>
      </c>
      <c r="W177" s="1143"/>
      <c r="X177" s="1143"/>
    </row>
    <row r="178" spans="1:24">
      <c r="A178" s="19" t="str">
        <f t="shared" ca="1" si="8"/>
        <v/>
      </c>
      <c r="B178" s="1146" t="str">
        <f ca="1">IFERROR(INDEX(NVLSX!$Y$2:$Y$6756,MATCH($D178,NVLSX!$E$2:$E$6756,0)),"")</f>
        <v/>
      </c>
      <c r="C178" s="1146" t="str">
        <f ca="1">IFERROR(INDEX(NVLSX!$Z$2:$Z$6756,MATCH($D178,NVLSX!$E$2:$E$6756,0)),"")</f>
        <v/>
      </c>
      <c r="D178" s="729" t="str">
        <f ca="1">IF($R178="","",INDEX(TongVTSX!C$3:C$1500,$R178))</f>
        <v/>
      </c>
      <c r="E178" s="729" t="str">
        <f ca="1">IF($R178="","",IF($S178=$T$7,INDEX(TongVTSX!D$3:D$1500,$R178) &amp;  " (" &amp; INDEX(TongVTSX!A$3:A$1500,$R178) &amp; ")",INDEX(TongVTSX!D$3:D$1500,$R178)))</f>
        <v/>
      </c>
      <c r="F178" s="874" t="str">
        <f ca="1">IF($R178="","",IF($S178&lt;&gt;NVLSX!$N$6492,INDEX(TongVTSX!E$3:E$1500,$R178),INDEX(TongVTSX!G$3:G$1500,$R178)))</f>
        <v/>
      </c>
      <c r="G178" s="730" t="str">
        <f ca="1">IF($R178="","",INDEX(TongVTSX!F$3:F$1500,$R178))</f>
        <v/>
      </c>
      <c r="H178" s="731">
        <f ca="1">IF($S178=$T$7,INDEX(TongVTSX!$K$3:$K$1500,$R178)/INDEX(TongVTSX!$G$3:$G$1500,$R178),IF($S178=$T$2,ROUNDUP(SUMPRODUCT((TongVTSX!$C$3:$C$1500=$D178)*(TongVTSX!$E$3:$E$1500=$F178)*(TongVTSX!$S$3:$S$1500=TongVTSX!$S$2)*(TongVTSX!$K$3:$K$1500))/$V178,0),SUMPRODUCT((TongVTSX!$C$3:$C$1500=$D178)*(TongVTSX!$E$3:$E$1500=$F178)*(TongVTSX!$S$3:$S$1500=TongVTSX!$S$2)*(TongVTSX!$K$3:$K$1500))))</f>
        <v>0</v>
      </c>
      <c r="I178" s="731">
        <f ca="1">IF($S178=$T$2,ROUNDUP(SUMPRODUCT((TongVTSX!$C$3:$C$1500=$D178)*(TongVTSX!$E$3:$E$1500=$F178)*(TongVTSX!$S$3:$S$1500=TongVTSX!$S$2)*(TongVTSX!$K$3:$K$1500))/$V178,2),0)</f>
        <v>0</v>
      </c>
      <c r="J178" s="731"/>
      <c r="K178" s="731"/>
      <c r="L178" s="732"/>
      <c r="M178" s="732" t="str">
        <f t="shared" ca="1" si="7"/>
        <v/>
      </c>
      <c r="N178" s="732"/>
      <c r="O178" s="732">
        <f ca="1">IF($S178=$T$7,INDEX(TongVTSX!$O$3:$O$1500,$R178),IF($S178=$T$2,INDEX(TongVTSX!$M$3:$M$1500,$R178)*$V178*$H178,SUMPRODUCT((TongVTSX!$C$3:$C$1500=$D178)*(TongVTSX!$E$3:$E$1500=$F178)*(TongVTSX!$S$3:$S$1500=TongVTSX!$S$2)*(TongVTSX!$O$3:$O$1500))))</f>
        <v>0</v>
      </c>
      <c r="P178" s="1150">
        <f ca="1">IF($S178=$T$7,INDEX(TongVTSX!$O$3:$O$1500,$R178),IF($S178=$T$2,INDEX(TongVTSX!$M$3:$M$1500,$R178)*$I178*$V178,SUMPRODUCT((TongVTSX!$C$3:$C$1500=$D178)*(TongVTSX!$E$3:$E$1500=$F178)*(TongVTSX!$S$3:$S$1500=TongVTSX!$S$2)*(TongVTSX!$O$3:$O$1500))))</f>
        <v>0</v>
      </c>
      <c r="Q178" s="1155" t="str">
        <f ca="1">IFERROR(INDEX(NVLSX!$AA$2:$AA$6756,MATCH($D178,NVLSX!$E$2:$E$6756,0)),"")</f>
        <v/>
      </c>
      <c r="R178" s="75" t="str">
        <f ca="1">IF(S178="","",IF(S178&lt;&gt;S177,IF(TYPE(MATCH(S178,TongVTSX!$Q$3:$Q$1500,0))=16,"",MATCH(S178,TongVTSX!$Q$3:$Q$1500,0)),IF(TYPE(MATCH(S178,OFFSET(TongVTSX!$Q$3,R177,0):'TongVTSX'!$Q$1500,0)+R177)=16,"",MATCH(S178,OFFSET(TongVTSX!$Q$3,R177,0):'TongVTSX'!$Q$1500,0)+R177)))</f>
        <v/>
      </c>
      <c r="S178" s="76" t="str">
        <f ca="1">IFERROR(IF(COUNTIF($S$3:S177,S177)&lt; INDEX($U$1:$U$7,MATCH($S177,$T$1:$T$7,0)),$S177,INDEX($T$1:$T$7,MATCH($S177,$T$1:$T$7,0)+1)),"")</f>
        <v/>
      </c>
      <c r="V178" s="1133" t="str">
        <f ca="1">IFERROR(INDEX(NVLSX!$U$2:$U$6941,MATCH($D178,NVLSX!$E$2:$E$6941,0)),"")</f>
        <v/>
      </c>
      <c r="W178" s="1143"/>
      <c r="X178" s="1143"/>
    </row>
    <row r="179" spans="1:24">
      <c r="A179" s="19" t="str">
        <f t="shared" ca="1" si="8"/>
        <v/>
      </c>
      <c r="B179" s="1146" t="str">
        <f ca="1">IFERROR(INDEX(NVLSX!$Y$2:$Y$6756,MATCH($D179,NVLSX!$E$2:$E$6756,0)),"")</f>
        <v/>
      </c>
      <c r="C179" s="1146" t="str">
        <f ca="1">IFERROR(INDEX(NVLSX!$Z$2:$Z$6756,MATCH($D179,NVLSX!$E$2:$E$6756,0)),"")</f>
        <v/>
      </c>
      <c r="D179" s="729" t="str">
        <f ca="1">IF($R179="","",INDEX(TongVTSX!C$3:C$1500,$R179))</f>
        <v/>
      </c>
      <c r="E179" s="729" t="str">
        <f ca="1">IF($R179="","",IF($S179=$T$7,INDEX(TongVTSX!D$3:D$1500,$R179) &amp;  " (" &amp; INDEX(TongVTSX!A$3:A$1500,$R179) &amp; ")",INDEX(TongVTSX!D$3:D$1500,$R179)))</f>
        <v/>
      </c>
      <c r="F179" s="874" t="str">
        <f ca="1">IF($R179="","",IF($S179&lt;&gt;NVLSX!$N$6492,INDEX(TongVTSX!E$3:E$1500,$R179),INDEX(TongVTSX!G$3:G$1500,$R179)))</f>
        <v/>
      </c>
      <c r="G179" s="730" t="str">
        <f ca="1">IF($R179="","",INDEX(TongVTSX!F$3:F$1500,$R179))</f>
        <v/>
      </c>
      <c r="H179" s="731">
        <f ca="1">IF($S179=$T$7,INDEX(TongVTSX!$K$3:$K$1500,$R179)/INDEX(TongVTSX!$G$3:$G$1500,$R179),IF($S179=$T$2,ROUNDUP(SUMPRODUCT((TongVTSX!$C$3:$C$1500=$D179)*(TongVTSX!$E$3:$E$1500=$F179)*(TongVTSX!$S$3:$S$1500=TongVTSX!$S$2)*(TongVTSX!$K$3:$K$1500))/$V179,0),SUMPRODUCT((TongVTSX!$C$3:$C$1500=$D179)*(TongVTSX!$E$3:$E$1500=$F179)*(TongVTSX!$S$3:$S$1500=TongVTSX!$S$2)*(TongVTSX!$K$3:$K$1500))))</f>
        <v>0</v>
      </c>
      <c r="I179" s="731">
        <f ca="1">IF($S179=$T$2,ROUNDUP(SUMPRODUCT((TongVTSX!$C$3:$C$1500=$D179)*(TongVTSX!$E$3:$E$1500=$F179)*(TongVTSX!$S$3:$S$1500=TongVTSX!$S$2)*(TongVTSX!$K$3:$K$1500))/$V179,2),0)</f>
        <v>0</v>
      </c>
      <c r="J179" s="731"/>
      <c r="K179" s="731"/>
      <c r="L179" s="732"/>
      <c r="M179" s="732" t="str">
        <f t="shared" ca="1" si="7"/>
        <v/>
      </c>
      <c r="N179" s="732"/>
      <c r="O179" s="732">
        <f ca="1">IF($S179=$T$7,INDEX(TongVTSX!$O$3:$O$1500,$R179),IF($S179=$T$2,INDEX(TongVTSX!$M$3:$M$1500,$R179)*$V179*$H179,SUMPRODUCT((TongVTSX!$C$3:$C$1500=$D179)*(TongVTSX!$E$3:$E$1500=$F179)*(TongVTSX!$S$3:$S$1500=TongVTSX!$S$2)*(TongVTSX!$O$3:$O$1500))))</f>
        <v>0</v>
      </c>
      <c r="P179" s="1150">
        <f ca="1">IF($S179=$T$7,INDEX(TongVTSX!$O$3:$O$1500,$R179),IF($S179=$T$2,INDEX(TongVTSX!$M$3:$M$1500,$R179)*$I179*$V179,SUMPRODUCT((TongVTSX!$C$3:$C$1500=$D179)*(TongVTSX!$E$3:$E$1500=$F179)*(TongVTSX!$S$3:$S$1500=TongVTSX!$S$2)*(TongVTSX!$O$3:$O$1500))))</f>
        <v>0</v>
      </c>
      <c r="Q179" s="1155" t="str">
        <f ca="1">IFERROR(INDEX(NVLSX!$AA$2:$AA$6756,MATCH($D179,NVLSX!$E$2:$E$6756,0)),"")</f>
        <v/>
      </c>
      <c r="R179" s="75" t="str">
        <f ca="1">IF(S179="","",IF(S179&lt;&gt;S178,IF(TYPE(MATCH(S179,TongVTSX!$Q$3:$Q$1500,0))=16,"",MATCH(S179,TongVTSX!$Q$3:$Q$1500,0)),IF(TYPE(MATCH(S179,OFFSET(TongVTSX!$Q$3,R178,0):'TongVTSX'!$Q$1500,0)+R178)=16,"",MATCH(S179,OFFSET(TongVTSX!$Q$3,R178,0):'TongVTSX'!$Q$1500,0)+R178)))</f>
        <v/>
      </c>
      <c r="S179" s="76" t="str">
        <f ca="1">IFERROR(IF(COUNTIF($S$3:S178,S178)&lt; INDEX($U$1:$U$7,MATCH($S178,$T$1:$T$7,0)),$S178,INDEX($T$1:$T$7,MATCH($S178,$T$1:$T$7,0)+1)),"")</f>
        <v/>
      </c>
      <c r="V179" s="1133" t="str">
        <f ca="1">IFERROR(INDEX(NVLSX!$U$2:$U$6941,MATCH($D179,NVLSX!$E$2:$E$6941,0)),"")</f>
        <v/>
      </c>
      <c r="W179" s="1143"/>
      <c r="X179" s="1143"/>
    </row>
    <row r="180" spans="1:24">
      <c r="A180" s="19" t="str">
        <f t="shared" ca="1" si="8"/>
        <v/>
      </c>
      <c r="B180" s="1146" t="str">
        <f ca="1">IFERROR(INDEX(NVLSX!$Y$2:$Y$6756,MATCH($D180,NVLSX!$E$2:$E$6756,0)),"")</f>
        <v/>
      </c>
      <c r="C180" s="1146" t="str">
        <f ca="1">IFERROR(INDEX(NVLSX!$Z$2:$Z$6756,MATCH($D180,NVLSX!$E$2:$E$6756,0)),"")</f>
        <v/>
      </c>
      <c r="D180" s="729" t="str">
        <f ca="1">IF($R180="","",INDEX(TongVTSX!C$3:C$1500,$R180))</f>
        <v/>
      </c>
      <c r="E180" s="729" t="str">
        <f ca="1">IF($R180="","",IF($S180=$T$7,INDEX(TongVTSX!D$3:D$1500,$R180) &amp;  " (" &amp; INDEX(TongVTSX!A$3:A$1500,$R180) &amp; ")",INDEX(TongVTSX!D$3:D$1500,$R180)))</f>
        <v/>
      </c>
      <c r="F180" s="874" t="str">
        <f ca="1">IF($R180="","",IF($S180&lt;&gt;NVLSX!$N$6492,INDEX(TongVTSX!E$3:E$1500,$R180),INDEX(TongVTSX!G$3:G$1500,$R180)))</f>
        <v/>
      </c>
      <c r="G180" s="730" t="str">
        <f ca="1">IF($R180="","",INDEX(TongVTSX!F$3:F$1500,$R180))</f>
        <v/>
      </c>
      <c r="H180" s="731">
        <f ca="1">IF($S180=$T$7,INDEX(TongVTSX!$K$3:$K$1500,$R180)/INDEX(TongVTSX!$G$3:$G$1500,$R180),IF($S180=$T$2,ROUNDUP(SUMPRODUCT((TongVTSX!$C$3:$C$1500=$D180)*(TongVTSX!$E$3:$E$1500=$F180)*(TongVTSX!$S$3:$S$1500=TongVTSX!$S$2)*(TongVTSX!$K$3:$K$1500))/$V180,0),SUMPRODUCT((TongVTSX!$C$3:$C$1500=$D180)*(TongVTSX!$E$3:$E$1500=$F180)*(TongVTSX!$S$3:$S$1500=TongVTSX!$S$2)*(TongVTSX!$K$3:$K$1500))))</f>
        <v>0</v>
      </c>
      <c r="I180" s="731">
        <f ca="1">IF($S180=$T$2,ROUNDUP(SUMPRODUCT((TongVTSX!$C$3:$C$1500=$D180)*(TongVTSX!$E$3:$E$1500=$F180)*(TongVTSX!$S$3:$S$1500=TongVTSX!$S$2)*(TongVTSX!$K$3:$K$1500))/$V180,2),0)</f>
        <v>0</v>
      </c>
      <c r="J180" s="731"/>
      <c r="K180" s="731"/>
      <c r="L180" s="732"/>
      <c r="M180" s="732" t="str">
        <f t="shared" ca="1" si="7"/>
        <v/>
      </c>
      <c r="N180" s="732"/>
      <c r="O180" s="732">
        <f ca="1">IF($S180=$T$7,INDEX(TongVTSX!$O$3:$O$1500,$R180),IF($S180=$T$2,INDEX(TongVTSX!$M$3:$M$1500,$R180)*$V180*$H180,SUMPRODUCT((TongVTSX!$C$3:$C$1500=$D180)*(TongVTSX!$E$3:$E$1500=$F180)*(TongVTSX!$S$3:$S$1500=TongVTSX!$S$2)*(TongVTSX!$O$3:$O$1500))))</f>
        <v>0</v>
      </c>
      <c r="P180" s="1150">
        <f ca="1">IF($S180=$T$7,INDEX(TongVTSX!$O$3:$O$1500,$R180),IF($S180=$T$2,INDEX(TongVTSX!$M$3:$M$1500,$R180)*$I180*$V180,SUMPRODUCT((TongVTSX!$C$3:$C$1500=$D180)*(TongVTSX!$E$3:$E$1500=$F180)*(TongVTSX!$S$3:$S$1500=TongVTSX!$S$2)*(TongVTSX!$O$3:$O$1500))))</f>
        <v>0</v>
      </c>
      <c r="Q180" s="1155" t="str">
        <f ca="1">IFERROR(INDEX(NVLSX!$AA$2:$AA$6756,MATCH($D180,NVLSX!$E$2:$E$6756,0)),"")</f>
        <v/>
      </c>
      <c r="R180" s="75" t="str">
        <f ca="1">IF(S180="","",IF(S180&lt;&gt;S179,IF(TYPE(MATCH(S180,TongVTSX!$Q$3:$Q$1500,0))=16,"",MATCH(S180,TongVTSX!$Q$3:$Q$1500,0)),IF(TYPE(MATCH(S180,OFFSET(TongVTSX!$Q$3,R179,0):'TongVTSX'!$Q$1500,0)+R179)=16,"",MATCH(S180,OFFSET(TongVTSX!$Q$3,R179,0):'TongVTSX'!$Q$1500,0)+R179)))</f>
        <v/>
      </c>
      <c r="S180" s="76" t="str">
        <f ca="1">IFERROR(IF(COUNTIF($S$3:S179,S179)&lt; INDEX($U$1:$U$7,MATCH($S179,$T$1:$T$7,0)),$S179,INDEX($T$1:$T$7,MATCH($S179,$T$1:$T$7,0)+1)),"")</f>
        <v/>
      </c>
      <c r="V180" s="1133" t="str">
        <f ca="1">IFERROR(INDEX(NVLSX!$U$2:$U$6941,MATCH($D180,NVLSX!$E$2:$E$6941,0)),"")</f>
        <v/>
      </c>
      <c r="W180" s="1143"/>
      <c r="X180" s="1143"/>
    </row>
    <row r="181" spans="1:24">
      <c r="A181" s="19" t="str">
        <f t="shared" ca="1" si="8"/>
        <v/>
      </c>
      <c r="B181" s="1146" t="str">
        <f ca="1">IFERROR(INDEX(NVLSX!$Y$2:$Y$6756,MATCH($D181,NVLSX!$E$2:$E$6756,0)),"")</f>
        <v/>
      </c>
      <c r="C181" s="1146" t="str">
        <f ca="1">IFERROR(INDEX(NVLSX!$Z$2:$Z$6756,MATCH($D181,NVLSX!$E$2:$E$6756,0)),"")</f>
        <v/>
      </c>
      <c r="D181" s="729" t="str">
        <f ca="1">IF($R181="","",INDEX(TongVTSX!C$3:C$1500,$R181))</f>
        <v/>
      </c>
      <c r="E181" s="729" t="str">
        <f ca="1">IF($R181="","",IF($S181=$T$7,INDEX(TongVTSX!D$3:D$1500,$R181) &amp;  " (" &amp; INDEX(TongVTSX!A$3:A$1500,$R181) &amp; ")",INDEX(TongVTSX!D$3:D$1500,$R181)))</f>
        <v/>
      </c>
      <c r="F181" s="874" t="str">
        <f ca="1">IF($R181="","",IF($S181&lt;&gt;NVLSX!$N$6492,INDEX(TongVTSX!E$3:E$1500,$R181),INDEX(TongVTSX!G$3:G$1500,$R181)))</f>
        <v/>
      </c>
      <c r="G181" s="730" t="str">
        <f ca="1">IF($R181="","",INDEX(TongVTSX!F$3:F$1500,$R181))</f>
        <v/>
      </c>
      <c r="H181" s="731">
        <f ca="1">IF($S181=$T$7,INDEX(TongVTSX!$K$3:$K$1500,$R181)/INDEX(TongVTSX!$G$3:$G$1500,$R181),IF($S181=$T$2,ROUNDUP(SUMPRODUCT((TongVTSX!$C$3:$C$1500=$D181)*(TongVTSX!$E$3:$E$1500=$F181)*(TongVTSX!$S$3:$S$1500=TongVTSX!$S$2)*(TongVTSX!$K$3:$K$1500))/$V181,0),SUMPRODUCT((TongVTSX!$C$3:$C$1500=$D181)*(TongVTSX!$E$3:$E$1500=$F181)*(TongVTSX!$S$3:$S$1500=TongVTSX!$S$2)*(TongVTSX!$K$3:$K$1500))))</f>
        <v>0</v>
      </c>
      <c r="I181" s="731">
        <f ca="1">IF($S181=$T$2,ROUNDUP(SUMPRODUCT((TongVTSX!$C$3:$C$1500=$D181)*(TongVTSX!$E$3:$E$1500=$F181)*(TongVTSX!$S$3:$S$1500=TongVTSX!$S$2)*(TongVTSX!$K$3:$K$1500))/$V181,2),0)</f>
        <v>0</v>
      </c>
      <c r="J181" s="731"/>
      <c r="K181" s="731"/>
      <c r="L181" s="732"/>
      <c r="M181" s="732" t="str">
        <f t="shared" ca="1" si="7"/>
        <v/>
      </c>
      <c r="N181" s="732"/>
      <c r="O181" s="732">
        <f ca="1">IF($S181=$T$7,INDEX(TongVTSX!$O$3:$O$1500,$R181),IF($S181=$T$2,INDEX(TongVTSX!$M$3:$M$1500,$R181)*$V181*$H181,SUMPRODUCT((TongVTSX!$C$3:$C$1500=$D181)*(TongVTSX!$E$3:$E$1500=$F181)*(TongVTSX!$S$3:$S$1500=TongVTSX!$S$2)*(TongVTSX!$O$3:$O$1500))))</f>
        <v>0</v>
      </c>
      <c r="P181" s="1150">
        <f ca="1">IF($S181=$T$7,INDEX(TongVTSX!$O$3:$O$1500,$R181),IF($S181=$T$2,INDEX(TongVTSX!$M$3:$M$1500,$R181)*$I181*$V181,SUMPRODUCT((TongVTSX!$C$3:$C$1500=$D181)*(TongVTSX!$E$3:$E$1500=$F181)*(TongVTSX!$S$3:$S$1500=TongVTSX!$S$2)*(TongVTSX!$O$3:$O$1500))))</f>
        <v>0</v>
      </c>
      <c r="Q181" s="1155" t="str">
        <f ca="1">IFERROR(INDEX(NVLSX!$AA$2:$AA$6756,MATCH($D181,NVLSX!$E$2:$E$6756,0)),"")</f>
        <v/>
      </c>
      <c r="R181" s="75" t="str">
        <f ca="1">IF(S181="","",IF(S181&lt;&gt;S180,IF(TYPE(MATCH(S181,TongVTSX!$Q$3:$Q$1500,0))=16,"",MATCH(S181,TongVTSX!$Q$3:$Q$1500,0)),IF(TYPE(MATCH(S181,OFFSET(TongVTSX!$Q$3,R180,0):'TongVTSX'!$Q$1500,0)+R180)=16,"",MATCH(S181,OFFSET(TongVTSX!$Q$3,R180,0):'TongVTSX'!$Q$1500,0)+R180)))</f>
        <v/>
      </c>
      <c r="S181" s="76" t="str">
        <f ca="1">IFERROR(IF(COUNTIF($S$3:S180,S180)&lt; INDEX($U$1:$U$7,MATCH($S180,$T$1:$T$7,0)),$S180,INDEX($T$1:$T$7,MATCH($S180,$T$1:$T$7,0)+1)),"")</f>
        <v/>
      </c>
      <c r="V181" s="1133" t="str">
        <f ca="1">IFERROR(INDEX(NVLSX!$U$2:$U$6941,MATCH($D181,NVLSX!$E$2:$E$6941,0)),"")</f>
        <v/>
      </c>
      <c r="W181" s="1143"/>
      <c r="X181" s="1143"/>
    </row>
    <row r="182" spans="1:24">
      <c r="A182" s="19" t="str">
        <f t="shared" ca="1" si="8"/>
        <v/>
      </c>
      <c r="B182" s="1146" t="str">
        <f ca="1">IFERROR(INDEX(NVLSX!$Y$2:$Y$6756,MATCH($D182,NVLSX!$E$2:$E$6756,0)),"")</f>
        <v/>
      </c>
      <c r="C182" s="1146" t="str">
        <f ca="1">IFERROR(INDEX(NVLSX!$Z$2:$Z$6756,MATCH($D182,NVLSX!$E$2:$E$6756,0)),"")</f>
        <v/>
      </c>
      <c r="D182" s="729" t="str">
        <f ca="1">IF($R182="","",INDEX(TongVTSX!C$3:C$1500,$R182))</f>
        <v/>
      </c>
      <c r="E182" s="729" t="str">
        <f ca="1">IF($R182="","",IF($S182=$T$7,INDEX(TongVTSX!D$3:D$1500,$R182) &amp;  " (" &amp; INDEX(TongVTSX!A$3:A$1500,$R182) &amp; ")",INDEX(TongVTSX!D$3:D$1500,$R182)))</f>
        <v/>
      </c>
      <c r="F182" s="874" t="str">
        <f ca="1">IF($R182="","",IF($S182&lt;&gt;NVLSX!$N$6492,INDEX(TongVTSX!E$3:E$1500,$R182),INDEX(TongVTSX!G$3:G$1500,$R182)))</f>
        <v/>
      </c>
      <c r="G182" s="730" t="str">
        <f ca="1">IF($R182="","",INDEX(TongVTSX!F$3:F$1500,$R182))</f>
        <v/>
      </c>
      <c r="H182" s="731">
        <f ca="1">IF($S182=$T$7,INDEX(TongVTSX!$K$3:$K$1500,$R182)/INDEX(TongVTSX!$G$3:$G$1500,$R182),IF($S182=$T$2,ROUNDUP(SUMPRODUCT((TongVTSX!$C$3:$C$1500=$D182)*(TongVTSX!$E$3:$E$1500=$F182)*(TongVTSX!$S$3:$S$1500=TongVTSX!$S$2)*(TongVTSX!$K$3:$K$1500))/$V182,0),SUMPRODUCT((TongVTSX!$C$3:$C$1500=$D182)*(TongVTSX!$E$3:$E$1500=$F182)*(TongVTSX!$S$3:$S$1500=TongVTSX!$S$2)*(TongVTSX!$K$3:$K$1500))))</f>
        <v>0</v>
      </c>
      <c r="I182" s="731">
        <f ca="1">IF($S182=$T$2,ROUNDUP(SUMPRODUCT((TongVTSX!$C$3:$C$1500=$D182)*(TongVTSX!$E$3:$E$1500=$F182)*(TongVTSX!$S$3:$S$1500=TongVTSX!$S$2)*(TongVTSX!$K$3:$K$1500))/$V182,2),0)</f>
        <v>0</v>
      </c>
      <c r="J182" s="731"/>
      <c r="K182" s="731"/>
      <c r="L182" s="732"/>
      <c r="M182" s="732" t="str">
        <f t="shared" ca="1" si="7"/>
        <v/>
      </c>
      <c r="N182" s="732"/>
      <c r="O182" s="732">
        <f ca="1">IF($S182=$T$7,INDEX(TongVTSX!$O$3:$O$1500,$R182),IF($S182=$T$2,INDEX(TongVTSX!$M$3:$M$1500,$R182)*$V182*$H182,SUMPRODUCT((TongVTSX!$C$3:$C$1500=$D182)*(TongVTSX!$E$3:$E$1500=$F182)*(TongVTSX!$S$3:$S$1500=TongVTSX!$S$2)*(TongVTSX!$O$3:$O$1500))))</f>
        <v>0</v>
      </c>
      <c r="P182" s="1150">
        <f ca="1">IF($S182=$T$7,INDEX(TongVTSX!$O$3:$O$1500,$R182),IF($S182=$T$2,INDEX(TongVTSX!$M$3:$M$1500,$R182)*$I182*$V182,SUMPRODUCT((TongVTSX!$C$3:$C$1500=$D182)*(TongVTSX!$E$3:$E$1500=$F182)*(TongVTSX!$S$3:$S$1500=TongVTSX!$S$2)*(TongVTSX!$O$3:$O$1500))))</f>
        <v>0</v>
      </c>
      <c r="Q182" s="1155" t="str">
        <f ca="1">IFERROR(INDEX(NVLSX!$AA$2:$AA$6756,MATCH($D182,NVLSX!$E$2:$E$6756,0)),"")</f>
        <v/>
      </c>
      <c r="R182" s="75" t="str">
        <f ca="1">IF(S182="","",IF(S182&lt;&gt;S181,IF(TYPE(MATCH(S182,TongVTSX!$Q$3:$Q$1500,0))=16,"",MATCH(S182,TongVTSX!$Q$3:$Q$1500,0)),IF(TYPE(MATCH(S182,OFFSET(TongVTSX!$Q$3,R181,0):'TongVTSX'!$Q$1500,0)+R181)=16,"",MATCH(S182,OFFSET(TongVTSX!$Q$3,R181,0):'TongVTSX'!$Q$1500,0)+R181)))</f>
        <v/>
      </c>
      <c r="S182" s="76" t="str">
        <f ca="1">IFERROR(IF(COUNTIF($S$3:S181,S181)&lt; INDEX($U$1:$U$7,MATCH($S181,$T$1:$T$7,0)),$S181,INDEX($T$1:$T$7,MATCH($S181,$T$1:$T$7,0)+1)),"")</f>
        <v/>
      </c>
      <c r="V182" s="1133" t="str">
        <f ca="1">IFERROR(INDEX(NVLSX!$U$2:$U$6941,MATCH($D182,NVLSX!$E$2:$E$6941,0)),"")</f>
        <v/>
      </c>
      <c r="W182" s="1143"/>
      <c r="X182" s="1143"/>
    </row>
    <row r="183" spans="1:24">
      <c r="A183" s="19" t="str">
        <f t="shared" ca="1" si="8"/>
        <v/>
      </c>
      <c r="B183" s="1146" t="str">
        <f ca="1">IFERROR(INDEX(NVLSX!$Y$2:$Y$6756,MATCH($D183,NVLSX!$E$2:$E$6756,0)),"")</f>
        <v/>
      </c>
      <c r="C183" s="1146" t="str">
        <f ca="1">IFERROR(INDEX(NVLSX!$Z$2:$Z$6756,MATCH($D183,NVLSX!$E$2:$E$6756,0)),"")</f>
        <v/>
      </c>
      <c r="D183" s="729" t="str">
        <f ca="1">IF($R183="","",INDEX(TongVTSX!C$3:C$1500,$R183))</f>
        <v/>
      </c>
      <c r="E183" s="729" t="str">
        <f ca="1">IF($R183="","",IF($S183=$T$7,INDEX(TongVTSX!D$3:D$1500,$R183) &amp;  " (" &amp; INDEX(TongVTSX!A$3:A$1500,$R183) &amp; ")",INDEX(TongVTSX!D$3:D$1500,$R183)))</f>
        <v/>
      </c>
      <c r="F183" s="874" t="str">
        <f ca="1">IF($R183="","",IF($S183&lt;&gt;NVLSX!$N$6492,INDEX(TongVTSX!E$3:E$1500,$R183),INDEX(TongVTSX!G$3:G$1500,$R183)))</f>
        <v/>
      </c>
      <c r="G183" s="730" t="str">
        <f ca="1">IF($R183="","",INDEX(TongVTSX!F$3:F$1500,$R183))</f>
        <v/>
      </c>
      <c r="H183" s="731">
        <f ca="1">IF($S183=$T$7,INDEX(TongVTSX!$K$3:$K$1500,$R183)/INDEX(TongVTSX!$G$3:$G$1500,$R183),IF($S183=$T$2,ROUNDUP(SUMPRODUCT((TongVTSX!$C$3:$C$1500=$D183)*(TongVTSX!$E$3:$E$1500=$F183)*(TongVTSX!$S$3:$S$1500=TongVTSX!$S$2)*(TongVTSX!$K$3:$K$1500))/$V183,0),SUMPRODUCT((TongVTSX!$C$3:$C$1500=$D183)*(TongVTSX!$E$3:$E$1500=$F183)*(TongVTSX!$S$3:$S$1500=TongVTSX!$S$2)*(TongVTSX!$K$3:$K$1500))))</f>
        <v>0</v>
      </c>
      <c r="I183" s="731">
        <f ca="1">IF($S183=$T$2,ROUNDUP(SUMPRODUCT((TongVTSX!$C$3:$C$1500=$D183)*(TongVTSX!$E$3:$E$1500=$F183)*(TongVTSX!$S$3:$S$1500=TongVTSX!$S$2)*(TongVTSX!$K$3:$K$1500))/$V183,2),0)</f>
        <v>0</v>
      </c>
      <c r="J183" s="731"/>
      <c r="K183" s="731"/>
      <c r="L183" s="732"/>
      <c r="M183" s="732" t="str">
        <f t="shared" ca="1" si="7"/>
        <v/>
      </c>
      <c r="N183" s="732"/>
      <c r="O183" s="732">
        <f ca="1">IF($S183=$T$7,INDEX(TongVTSX!$O$3:$O$1500,$R183),IF($S183=$T$2,INDEX(TongVTSX!$M$3:$M$1500,$R183)*$V183*$H183,SUMPRODUCT((TongVTSX!$C$3:$C$1500=$D183)*(TongVTSX!$E$3:$E$1500=$F183)*(TongVTSX!$S$3:$S$1500=TongVTSX!$S$2)*(TongVTSX!$O$3:$O$1500))))</f>
        <v>0</v>
      </c>
      <c r="P183" s="1150">
        <f ca="1">IF($S183=$T$7,INDEX(TongVTSX!$O$3:$O$1500,$R183),IF($S183=$T$2,INDEX(TongVTSX!$M$3:$M$1500,$R183)*$I183*$V183,SUMPRODUCT((TongVTSX!$C$3:$C$1500=$D183)*(TongVTSX!$E$3:$E$1500=$F183)*(TongVTSX!$S$3:$S$1500=TongVTSX!$S$2)*(TongVTSX!$O$3:$O$1500))))</f>
        <v>0</v>
      </c>
      <c r="Q183" s="1155" t="str">
        <f ca="1">IFERROR(INDEX(NVLSX!$AA$2:$AA$6756,MATCH($D183,NVLSX!$E$2:$E$6756,0)),"")</f>
        <v/>
      </c>
      <c r="R183" s="75" t="str">
        <f ca="1">IF(S183="","",IF(S183&lt;&gt;S182,IF(TYPE(MATCH(S183,TongVTSX!$Q$3:$Q$1500,0))=16,"",MATCH(S183,TongVTSX!$Q$3:$Q$1500,0)),IF(TYPE(MATCH(S183,OFFSET(TongVTSX!$Q$3,R182,0):'TongVTSX'!$Q$1500,0)+R182)=16,"",MATCH(S183,OFFSET(TongVTSX!$Q$3,R182,0):'TongVTSX'!$Q$1500,0)+R182)))</f>
        <v/>
      </c>
      <c r="S183" s="76" t="str">
        <f ca="1">IFERROR(IF(COUNTIF($S$3:S182,S182)&lt; INDEX($U$1:$U$7,MATCH($S182,$T$1:$T$7,0)),$S182,INDEX($T$1:$T$7,MATCH($S182,$T$1:$T$7,0)+1)),"")</f>
        <v/>
      </c>
      <c r="V183" s="1133" t="str">
        <f ca="1">IFERROR(INDEX(NVLSX!$U$2:$U$6941,MATCH($D183,NVLSX!$E$2:$E$6941,0)),"")</f>
        <v/>
      </c>
      <c r="W183" s="1143"/>
      <c r="X183" s="1143"/>
    </row>
    <row r="184" spans="1:24">
      <c r="A184" s="19" t="str">
        <f t="shared" ca="1" si="8"/>
        <v/>
      </c>
      <c r="B184" s="1146" t="str">
        <f ca="1">IFERROR(INDEX(NVLSX!$Y$2:$Y$6756,MATCH($D184,NVLSX!$E$2:$E$6756,0)),"")</f>
        <v/>
      </c>
      <c r="C184" s="1146" t="str">
        <f ca="1">IFERROR(INDEX(NVLSX!$Z$2:$Z$6756,MATCH($D184,NVLSX!$E$2:$E$6756,0)),"")</f>
        <v/>
      </c>
      <c r="D184" s="729" t="str">
        <f ca="1">IF($R184="","",INDEX(TongVTSX!C$3:C$1500,$R184))</f>
        <v/>
      </c>
      <c r="E184" s="729" t="str">
        <f ca="1">IF($R184="","",IF($S184=$T$7,INDEX(TongVTSX!D$3:D$1500,$R184) &amp;  " (" &amp; INDEX(TongVTSX!A$3:A$1500,$R184) &amp; ")",INDEX(TongVTSX!D$3:D$1500,$R184)))</f>
        <v/>
      </c>
      <c r="F184" s="874" t="str">
        <f ca="1">IF($R184="","",IF($S184&lt;&gt;NVLSX!$N$6492,INDEX(TongVTSX!E$3:E$1500,$R184),INDEX(TongVTSX!G$3:G$1500,$R184)))</f>
        <v/>
      </c>
      <c r="G184" s="730" t="str">
        <f ca="1">IF($R184="","",INDEX(TongVTSX!F$3:F$1500,$R184))</f>
        <v/>
      </c>
      <c r="H184" s="731">
        <f ca="1">IF($S184=$T$7,INDEX(TongVTSX!$K$3:$K$1500,$R184)/INDEX(TongVTSX!$G$3:$G$1500,$R184),IF($S184=$T$2,ROUNDUP(SUMPRODUCT((TongVTSX!$C$3:$C$1500=$D184)*(TongVTSX!$E$3:$E$1500=$F184)*(TongVTSX!$S$3:$S$1500=TongVTSX!$S$2)*(TongVTSX!$K$3:$K$1500))/$V184,0),SUMPRODUCT((TongVTSX!$C$3:$C$1500=$D184)*(TongVTSX!$E$3:$E$1500=$F184)*(TongVTSX!$S$3:$S$1500=TongVTSX!$S$2)*(TongVTSX!$K$3:$K$1500))))</f>
        <v>0</v>
      </c>
      <c r="I184" s="731">
        <f ca="1">IF($S184=$T$2,ROUNDUP(SUMPRODUCT((TongVTSX!$C$3:$C$1500=$D184)*(TongVTSX!$E$3:$E$1500=$F184)*(TongVTSX!$S$3:$S$1500=TongVTSX!$S$2)*(TongVTSX!$K$3:$K$1500))/$V184,2),0)</f>
        <v>0</v>
      </c>
      <c r="J184" s="731"/>
      <c r="K184" s="731"/>
      <c r="L184" s="732"/>
      <c r="M184" s="732" t="str">
        <f t="shared" ca="1" si="7"/>
        <v/>
      </c>
      <c r="N184" s="732"/>
      <c r="O184" s="732">
        <f ca="1">IF($S184=$T$7,INDEX(TongVTSX!$O$3:$O$1500,$R184),IF($S184=$T$2,INDEX(TongVTSX!$M$3:$M$1500,$R184)*$V184*$H184,SUMPRODUCT((TongVTSX!$C$3:$C$1500=$D184)*(TongVTSX!$E$3:$E$1500=$F184)*(TongVTSX!$S$3:$S$1500=TongVTSX!$S$2)*(TongVTSX!$O$3:$O$1500))))</f>
        <v>0</v>
      </c>
      <c r="P184" s="1150">
        <f ca="1">IF($S184=$T$7,INDEX(TongVTSX!$O$3:$O$1500,$R184),IF($S184=$T$2,INDEX(TongVTSX!$M$3:$M$1500,$R184)*$I184*$V184,SUMPRODUCT((TongVTSX!$C$3:$C$1500=$D184)*(TongVTSX!$E$3:$E$1500=$F184)*(TongVTSX!$S$3:$S$1500=TongVTSX!$S$2)*(TongVTSX!$O$3:$O$1500))))</f>
        <v>0</v>
      </c>
      <c r="Q184" s="1155" t="str">
        <f ca="1">IFERROR(INDEX(NVLSX!$AA$2:$AA$6756,MATCH($D184,NVLSX!$E$2:$E$6756,0)),"")</f>
        <v/>
      </c>
      <c r="R184" s="75" t="str">
        <f ca="1">IF(S184="","",IF(S184&lt;&gt;S183,IF(TYPE(MATCH(S184,TongVTSX!$Q$3:$Q$1500,0))=16,"",MATCH(S184,TongVTSX!$Q$3:$Q$1500,0)),IF(TYPE(MATCH(S184,OFFSET(TongVTSX!$Q$3,R183,0):'TongVTSX'!$Q$1500,0)+R183)=16,"",MATCH(S184,OFFSET(TongVTSX!$Q$3,R183,0):'TongVTSX'!$Q$1500,0)+R183)))</f>
        <v/>
      </c>
      <c r="S184" s="76" t="str">
        <f ca="1">IFERROR(IF(COUNTIF($S$3:S183,S183)&lt; INDEX($U$1:$U$7,MATCH($S183,$T$1:$T$7,0)),$S183,INDEX($T$1:$T$7,MATCH($S183,$T$1:$T$7,0)+1)),"")</f>
        <v/>
      </c>
      <c r="V184" s="1133" t="str">
        <f ca="1">IFERROR(INDEX(NVLSX!$U$2:$U$6941,MATCH($D184,NVLSX!$E$2:$E$6941,0)),"")</f>
        <v/>
      </c>
      <c r="W184" s="1143"/>
      <c r="X184" s="1143"/>
    </row>
    <row r="185" spans="1:24">
      <c r="A185" s="19" t="str">
        <f t="shared" ca="1" si="8"/>
        <v/>
      </c>
      <c r="B185" s="1146" t="str">
        <f ca="1">IFERROR(INDEX(NVLSX!$Y$2:$Y$6756,MATCH($D185,NVLSX!$E$2:$E$6756,0)),"")</f>
        <v/>
      </c>
      <c r="C185" s="1146" t="str">
        <f ca="1">IFERROR(INDEX(NVLSX!$Z$2:$Z$6756,MATCH($D185,NVLSX!$E$2:$E$6756,0)),"")</f>
        <v/>
      </c>
      <c r="D185" s="729" t="str">
        <f ca="1">IF($R185="","",INDEX(TongVTSX!C$3:C$1500,$R185))</f>
        <v/>
      </c>
      <c r="E185" s="729" t="str">
        <f ca="1">IF($R185="","",IF($S185=$T$7,INDEX(TongVTSX!D$3:D$1500,$R185) &amp;  " (" &amp; INDEX(TongVTSX!A$3:A$1500,$R185) &amp; ")",INDEX(TongVTSX!D$3:D$1500,$R185)))</f>
        <v/>
      </c>
      <c r="F185" s="874" t="str">
        <f ca="1">IF($R185="","",IF($S185&lt;&gt;NVLSX!$N$6492,INDEX(TongVTSX!E$3:E$1500,$R185),INDEX(TongVTSX!G$3:G$1500,$R185)))</f>
        <v/>
      </c>
      <c r="G185" s="730" t="str">
        <f ca="1">IF($R185="","",INDEX(TongVTSX!F$3:F$1500,$R185))</f>
        <v/>
      </c>
      <c r="H185" s="731">
        <f ca="1">IF($S185=$T$7,INDEX(TongVTSX!$K$3:$K$1500,$R185)/INDEX(TongVTSX!$G$3:$G$1500,$R185),IF($S185=$T$2,ROUNDUP(SUMPRODUCT((TongVTSX!$C$3:$C$1500=$D185)*(TongVTSX!$E$3:$E$1500=$F185)*(TongVTSX!$S$3:$S$1500=TongVTSX!$S$2)*(TongVTSX!$K$3:$K$1500))/$V185,0),SUMPRODUCT((TongVTSX!$C$3:$C$1500=$D185)*(TongVTSX!$E$3:$E$1500=$F185)*(TongVTSX!$S$3:$S$1500=TongVTSX!$S$2)*(TongVTSX!$K$3:$K$1500))))</f>
        <v>0</v>
      </c>
      <c r="I185" s="731">
        <f ca="1">IF($S185=$T$2,ROUNDUP(SUMPRODUCT((TongVTSX!$C$3:$C$1500=$D185)*(TongVTSX!$E$3:$E$1500=$F185)*(TongVTSX!$S$3:$S$1500=TongVTSX!$S$2)*(TongVTSX!$K$3:$K$1500))/$V185,2),0)</f>
        <v>0</v>
      </c>
      <c r="J185" s="731"/>
      <c r="K185" s="731"/>
      <c r="L185" s="732"/>
      <c r="M185" s="732" t="str">
        <f t="shared" ca="1" si="7"/>
        <v/>
      </c>
      <c r="N185" s="732"/>
      <c r="O185" s="732">
        <f ca="1">IF($S185=$T$7,INDEX(TongVTSX!$O$3:$O$1500,$R185),IF($S185=$T$2,INDEX(TongVTSX!$M$3:$M$1500,$R185)*$V185*$H185,SUMPRODUCT((TongVTSX!$C$3:$C$1500=$D185)*(TongVTSX!$E$3:$E$1500=$F185)*(TongVTSX!$S$3:$S$1500=TongVTSX!$S$2)*(TongVTSX!$O$3:$O$1500))))</f>
        <v>0</v>
      </c>
      <c r="P185" s="1150">
        <f ca="1">IF($S185=$T$7,INDEX(TongVTSX!$O$3:$O$1500,$R185),IF($S185=$T$2,INDEX(TongVTSX!$M$3:$M$1500,$R185)*$I185*$V185,SUMPRODUCT((TongVTSX!$C$3:$C$1500=$D185)*(TongVTSX!$E$3:$E$1500=$F185)*(TongVTSX!$S$3:$S$1500=TongVTSX!$S$2)*(TongVTSX!$O$3:$O$1500))))</f>
        <v>0</v>
      </c>
      <c r="Q185" s="1155" t="str">
        <f ca="1">IFERROR(INDEX(NVLSX!$AA$2:$AA$6756,MATCH($D185,NVLSX!$E$2:$E$6756,0)),"")</f>
        <v/>
      </c>
      <c r="R185" s="75" t="str">
        <f ca="1">IF(S185="","",IF(S185&lt;&gt;S184,IF(TYPE(MATCH(S185,TongVTSX!$Q$3:$Q$1500,0))=16,"",MATCH(S185,TongVTSX!$Q$3:$Q$1500,0)),IF(TYPE(MATCH(S185,OFFSET(TongVTSX!$Q$3,R184,0):'TongVTSX'!$Q$1500,0)+R184)=16,"",MATCH(S185,OFFSET(TongVTSX!$Q$3,R184,0):'TongVTSX'!$Q$1500,0)+R184)))</f>
        <v/>
      </c>
      <c r="S185" s="76" t="str">
        <f ca="1">IFERROR(IF(COUNTIF($S$3:S184,S184)&lt; INDEX($U$1:$U$7,MATCH($S184,$T$1:$T$7,0)),$S184,INDEX($T$1:$T$7,MATCH($S184,$T$1:$T$7,0)+1)),"")</f>
        <v/>
      </c>
      <c r="V185" s="1133" t="str">
        <f ca="1">IFERROR(INDEX(NVLSX!$U$2:$U$6941,MATCH($D185,NVLSX!$E$2:$E$6941,0)),"")</f>
        <v/>
      </c>
      <c r="W185" s="1143"/>
      <c r="X185" s="1143"/>
    </row>
    <row r="186" spans="1:24">
      <c r="A186" s="19" t="str">
        <f t="shared" ca="1" si="8"/>
        <v/>
      </c>
      <c r="B186" s="1146" t="str">
        <f ca="1">IFERROR(INDEX(NVLSX!$Y$2:$Y$6756,MATCH($D186,NVLSX!$E$2:$E$6756,0)),"")</f>
        <v/>
      </c>
      <c r="C186" s="1146" t="str">
        <f ca="1">IFERROR(INDEX(NVLSX!$Z$2:$Z$6756,MATCH($D186,NVLSX!$E$2:$E$6756,0)),"")</f>
        <v/>
      </c>
      <c r="D186" s="729" t="str">
        <f ca="1">IF($R186="","",INDEX(TongVTSX!C$3:C$1500,$R186))</f>
        <v/>
      </c>
      <c r="E186" s="729" t="str">
        <f ca="1">IF($R186="","",IF($S186=$T$7,INDEX(TongVTSX!D$3:D$1500,$R186) &amp;  " (" &amp; INDEX(TongVTSX!A$3:A$1500,$R186) &amp; ")",INDEX(TongVTSX!D$3:D$1500,$R186)))</f>
        <v/>
      </c>
      <c r="F186" s="874" t="str">
        <f ca="1">IF($R186="","",IF($S186&lt;&gt;NVLSX!$N$6492,INDEX(TongVTSX!E$3:E$1500,$R186),INDEX(TongVTSX!G$3:G$1500,$R186)))</f>
        <v/>
      </c>
      <c r="G186" s="730" t="str">
        <f ca="1">IF($R186="","",INDEX(TongVTSX!F$3:F$1500,$R186))</f>
        <v/>
      </c>
      <c r="H186" s="731">
        <f ca="1">IF($S186=$T$7,INDEX(TongVTSX!$K$3:$K$1500,$R186)/INDEX(TongVTSX!$G$3:$G$1500,$R186),IF($S186=$T$2,ROUNDUP(SUMPRODUCT((TongVTSX!$C$3:$C$1500=$D186)*(TongVTSX!$E$3:$E$1500=$F186)*(TongVTSX!$S$3:$S$1500=TongVTSX!$S$2)*(TongVTSX!$K$3:$K$1500))/$V186,0),SUMPRODUCT((TongVTSX!$C$3:$C$1500=$D186)*(TongVTSX!$E$3:$E$1500=$F186)*(TongVTSX!$S$3:$S$1500=TongVTSX!$S$2)*(TongVTSX!$K$3:$K$1500))))</f>
        <v>0</v>
      </c>
      <c r="I186" s="731">
        <f ca="1">IF($S186=$T$2,ROUNDUP(SUMPRODUCT((TongVTSX!$C$3:$C$1500=$D186)*(TongVTSX!$E$3:$E$1500=$F186)*(TongVTSX!$S$3:$S$1500=TongVTSX!$S$2)*(TongVTSX!$K$3:$K$1500))/$V186,2),0)</f>
        <v>0</v>
      </c>
      <c r="J186" s="731"/>
      <c r="K186" s="731"/>
      <c r="L186" s="732"/>
      <c r="M186" s="732" t="str">
        <f t="shared" ca="1" si="7"/>
        <v/>
      </c>
      <c r="N186" s="732"/>
      <c r="O186" s="732">
        <f ca="1">IF($S186=$T$7,INDEX(TongVTSX!$O$3:$O$1500,$R186),IF($S186=$T$2,INDEX(TongVTSX!$M$3:$M$1500,$R186)*$V186*$H186,SUMPRODUCT((TongVTSX!$C$3:$C$1500=$D186)*(TongVTSX!$E$3:$E$1500=$F186)*(TongVTSX!$S$3:$S$1500=TongVTSX!$S$2)*(TongVTSX!$O$3:$O$1500))))</f>
        <v>0</v>
      </c>
      <c r="P186" s="1150">
        <f ca="1">IF($S186=$T$7,INDEX(TongVTSX!$O$3:$O$1500,$R186),IF($S186=$T$2,INDEX(TongVTSX!$M$3:$M$1500,$R186)*$I186*$V186,SUMPRODUCT((TongVTSX!$C$3:$C$1500=$D186)*(TongVTSX!$E$3:$E$1500=$F186)*(TongVTSX!$S$3:$S$1500=TongVTSX!$S$2)*(TongVTSX!$O$3:$O$1500))))</f>
        <v>0</v>
      </c>
      <c r="Q186" s="1155" t="str">
        <f ca="1">IFERROR(INDEX(NVLSX!$AA$2:$AA$6756,MATCH($D186,NVLSX!$E$2:$E$6756,0)),"")</f>
        <v/>
      </c>
      <c r="R186" s="75" t="str">
        <f ca="1">IF(S186="","",IF(S186&lt;&gt;S185,IF(TYPE(MATCH(S186,TongVTSX!$Q$3:$Q$1500,0))=16,"",MATCH(S186,TongVTSX!$Q$3:$Q$1500,0)),IF(TYPE(MATCH(S186,OFFSET(TongVTSX!$Q$3,R185,0):'TongVTSX'!$Q$1500,0)+R185)=16,"",MATCH(S186,OFFSET(TongVTSX!$Q$3,R185,0):'TongVTSX'!$Q$1500,0)+R185)))</f>
        <v/>
      </c>
      <c r="S186" s="76" t="str">
        <f ca="1">IFERROR(IF(COUNTIF($S$3:S185,S185)&lt; INDEX($U$1:$U$7,MATCH($S185,$T$1:$T$7,0)),$S185,INDEX($T$1:$T$7,MATCH($S185,$T$1:$T$7,0)+1)),"")</f>
        <v/>
      </c>
      <c r="V186" s="1133" t="str">
        <f ca="1">IFERROR(INDEX(NVLSX!$U$2:$U$6941,MATCH($D186,NVLSX!$E$2:$E$6941,0)),"")</f>
        <v/>
      </c>
      <c r="W186" s="1143"/>
      <c r="X186" s="1143"/>
    </row>
    <row r="187" spans="1:24">
      <c r="A187" s="19" t="str">
        <f t="shared" ca="1" si="8"/>
        <v/>
      </c>
      <c r="B187" s="1146" t="str">
        <f ca="1">IFERROR(INDEX(NVLSX!$Y$2:$Y$6756,MATCH($D187,NVLSX!$E$2:$E$6756,0)),"")</f>
        <v/>
      </c>
      <c r="C187" s="1146" t="str">
        <f ca="1">IFERROR(INDEX(NVLSX!$Z$2:$Z$6756,MATCH($D187,NVLSX!$E$2:$E$6756,0)),"")</f>
        <v/>
      </c>
      <c r="D187" s="729" t="str">
        <f ca="1">IF($R187="","",INDEX(TongVTSX!C$3:C$1500,$R187))</f>
        <v/>
      </c>
      <c r="E187" s="729" t="str">
        <f ca="1">IF($R187="","",IF($S187=$T$7,INDEX(TongVTSX!D$3:D$1500,$R187) &amp;  " (" &amp; INDEX(TongVTSX!A$3:A$1500,$R187) &amp; ")",INDEX(TongVTSX!D$3:D$1500,$R187)))</f>
        <v/>
      </c>
      <c r="F187" s="874" t="str">
        <f ca="1">IF($R187="","",IF($S187&lt;&gt;NVLSX!$N$6492,INDEX(TongVTSX!E$3:E$1500,$R187),INDEX(TongVTSX!G$3:G$1500,$R187)))</f>
        <v/>
      </c>
      <c r="G187" s="730" t="str">
        <f ca="1">IF($R187="","",INDEX(TongVTSX!F$3:F$1500,$R187))</f>
        <v/>
      </c>
      <c r="H187" s="731">
        <f ca="1">IF($S187=$T$7,INDEX(TongVTSX!$K$3:$K$1500,$R187)/INDEX(TongVTSX!$G$3:$G$1500,$R187),IF($S187=$T$2,ROUNDUP(SUMPRODUCT((TongVTSX!$C$3:$C$1500=$D187)*(TongVTSX!$E$3:$E$1500=$F187)*(TongVTSX!$S$3:$S$1500=TongVTSX!$S$2)*(TongVTSX!$K$3:$K$1500))/$V187,0),SUMPRODUCT((TongVTSX!$C$3:$C$1500=$D187)*(TongVTSX!$E$3:$E$1500=$F187)*(TongVTSX!$S$3:$S$1500=TongVTSX!$S$2)*(TongVTSX!$K$3:$K$1500))))</f>
        <v>0</v>
      </c>
      <c r="I187" s="731">
        <f ca="1">IF($S187=$T$2,ROUNDUP(SUMPRODUCT((TongVTSX!$C$3:$C$1500=$D187)*(TongVTSX!$E$3:$E$1500=$F187)*(TongVTSX!$S$3:$S$1500=TongVTSX!$S$2)*(TongVTSX!$K$3:$K$1500))/$V187,2),0)</f>
        <v>0</v>
      </c>
      <c r="J187" s="731"/>
      <c r="K187" s="731"/>
      <c r="L187" s="732"/>
      <c r="M187" s="732" t="str">
        <f t="shared" ca="1" si="7"/>
        <v/>
      </c>
      <c r="N187" s="732"/>
      <c r="O187" s="732">
        <f ca="1">IF($S187=$T$7,INDEX(TongVTSX!$O$3:$O$1500,$R187),IF($S187=$T$2,INDEX(TongVTSX!$M$3:$M$1500,$R187)*$V187*$H187,SUMPRODUCT((TongVTSX!$C$3:$C$1500=$D187)*(TongVTSX!$E$3:$E$1500=$F187)*(TongVTSX!$S$3:$S$1500=TongVTSX!$S$2)*(TongVTSX!$O$3:$O$1500))))</f>
        <v>0</v>
      </c>
      <c r="P187" s="1150">
        <f ca="1">IF($S187=$T$7,INDEX(TongVTSX!$O$3:$O$1500,$R187),IF($S187=$T$2,INDEX(TongVTSX!$M$3:$M$1500,$R187)*$I187*$V187,SUMPRODUCT((TongVTSX!$C$3:$C$1500=$D187)*(TongVTSX!$E$3:$E$1500=$F187)*(TongVTSX!$S$3:$S$1500=TongVTSX!$S$2)*(TongVTSX!$O$3:$O$1500))))</f>
        <v>0</v>
      </c>
      <c r="Q187" s="1155" t="str">
        <f ca="1">IFERROR(INDEX(NVLSX!$AA$2:$AA$6756,MATCH($D187,NVLSX!$E$2:$E$6756,0)),"")</f>
        <v/>
      </c>
      <c r="R187" s="75" t="str">
        <f ca="1">IF(S187="","",IF(S187&lt;&gt;S186,IF(TYPE(MATCH(S187,TongVTSX!$Q$3:$Q$1500,0))=16,"",MATCH(S187,TongVTSX!$Q$3:$Q$1500,0)),IF(TYPE(MATCH(S187,OFFSET(TongVTSX!$Q$3,R186,0):'TongVTSX'!$Q$1500,0)+R186)=16,"",MATCH(S187,OFFSET(TongVTSX!$Q$3,R186,0):'TongVTSX'!$Q$1500,0)+R186)))</f>
        <v/>
      </c>
      <c r="S187" s="76" t="str">
        <f ca="1">IFERROR(IF(COUNTIF($S$3:S186,S186)&lt; INDEX($U$1:$U$7,MATCH($S186,$T$1:$T$7,0)),$S186,INDEX($T$1:$T$7,MATCH($S186,$T$1:$T$7,0)+1)),"")</f>
        <v/>
      </c>
      <c r="V187" s="1133" t="str">
        <f ca="1">IFERROR(INDEX(NVLSX!$U$2:$U$6941,MATCH($D187,NVLSX!$E$2:$E$6941,0)),"")</f>
        <v/>
      </c>
      <c r="W187" s="1143"/>
      <c r="X187" s="1143"/>
    </row>
    <row r="188" spans="1:24">
      <c r="A188" s="19" t="str">
        <f t="shared" ca="1" si="8"/>
        <v/>
      </c>
      <c r="B188" s="1146" t="str">
        <f ca="1">IFERROR(INDEX(NVLSX!$Y$2:$Y$6756,MATCH($D188,NVLSX!$E$2:$E$6756,0)),"")</f>
        <v/>
      </c>
      <c r="C188" s="1146" t="str">
        <f ca="1">IFERROR(INDEX(NVLSX!$Z$2:$Z$6756,MATCH($D188,NVLSX!$E$2:$E$6756,0)),"")</f>
        <v/>
      </c>
      <c r="D188" s="729" t="str">
        <f ca="1">IF($R188="","",INDEX(TongVTSX!C$3:C$1500,$R188))</f>
        <v/>
      </c>
      <c r="E188" s="729" t="str">
        <f ca="1">IF($R188="","",IF($S188=$T$7,INDEX(TongVTSX!D$3:D$1500,$R188) &amp;  " (" &amp; INDEX(TongVTSX!A$3:A$1500,$R188) &amp; ")",INDEX(TongVTSX!D$3:D$1500,$R188)))</f>
        <v/>
      </c>
      <c r="F188" s="874" t="str">
        <f ca="1">IF($R188="","",IF($S188&lt;&gt;NVLSX!$N$6492,INDEX(TongVTSX!E$3:E$1500,$R188),INDEX(TongVTSX!G$3:G$1500,$R188)))</f>
        <v/>
      </c>
      <c r="G188" s="730" t="str">
        <f ca="1">IF($R188="","",INDEX(TongVTSX!F$3:F$1500,$R188))</f>
        <v/>
      </c>
      <c r="H188" s="731">
        <f ca="1">IF($S188=$T$7,INDEX(TongVTSX!$K$3:$K$1500,$R188)/INDEX(TongVTSX!$G$3:$G$1500,$R188),IF($S188=$T$2,ROUNDUP(SUMPRODUCT((TongVTSX!$C$3:$C$1500=$D188)*(TongVTSX!$E$3:$E$1500=$F188)*(TongVTSX!$S$3:$S$1500=TongVTSX!$S$2)*(TongVTSX!$K$3:$K$1500))/$V188,0),SUMPRODUCT((TongVTSX!$C$3:$C$1500=$D188)*(TongVTSX!$E$3:$E$1500=$F188)*(TongVTSX!$S$3:$S$1500=TongVTSX!$S$2)*(TongVTSX!$K$3:$K$1500))))</f>
        <v>0</v>
      </c>
      <c r="I188" s="731">
        <f ca="1">IF($S188=$T$2,ROUNDUP(SUMPRODUCT((TongVTSX!$C$3:$C$1500=$D188)*(TongVTSX!$E$3:$E$1500=$F188)*(TongVTSX!$S$3:$S$1500=TongVTSX!$S$2)*(TongVTSX!$K$3:$K$1500))/$V188,2),0)</f>
        <v>0</v>
      </c>
      <c r="J188" s="731"/>
      <c r="K188" s="731"/>
      <c r="L188" s="732"/>
      <c r="M188" s="732" t="str">
        <f t="shared" ca="1" si="7"/>
        <v/>
      </c>
      <c r="N188" s="732"/>
      <c r="O188" s="732">
        <f ca="1">IF($S188=$T$7,INDEX(TongVTSX!$O$3:$O$1500,$R188),IF($S188=$T$2,INDEX(TongVTSX!$M$3:$M$1500,$R188)*$V188*$H188,SUMPRODUCT((TongVTSX!$C$3:$C$1500=$D188)*(TongVTSX!$E$3:$E$1500=$F188)*(TongVTSX!$S$3:$S$1500=TongVTSX!$S$2)*(TongVTSX!$O$3:$O$1500))))</f>
        <v>0</v>
      </c>
      <c r="P188" s="1150">
        <f ca="1">IF($S188=$T$7,INDEX(TongVTSX!$O$3:$O$1500,$R188),IF($S188=$T$2,INDEX(TongVTSX!$M$3:$M$1500,$R188)*$I188*$V188,SUMPRODUCT((TongVTSX!$C$3:$C$1500=$D188)*(TongVTSX!$E$3:$E$1500=$F188)*(TongVTSX!$S$3:$S$1500=TongVTSX!$S$2)*(TongVTSX!$O$3:$O$1500))))</f>
        <v>0</v>
      </c>
      <c r="Q188" s="1155" t="str">
        <f ca="1">IFERROR(INDEX(NVLSX!$AA$2:$AA$6756,MATCH($D188,NVLSX!$E$2:$E$6756,0)),"")</f>
        <v/>
      </c>
      <c r="R188" s="75" t="str">
        <f ca="1">IF(S188="","",IF(S188&lt;&gt;S187,IF(TYPE(MATCH(S188,TongVTSX!$Q$3:$Q$1500,0))=16,"",MATCH(S188,TongVTSX!$Q$3:$Q$1500,0)),IF(TYPE(MATCH(S188,OFFSET(TongVTSX!$Q$3,R187,0):'TongVTSX'!$Q$1500,0)+R187)=16,"",MATCH(S188,OFFSET(TongVTSX!$Q$3,R187,0):'TongVTSX'!$Q$1500,0)+R187)))</f>
        <v/>
      </c>
      <c r="S188" s="76" t="str">
        <f ca="1">IFERROR(IF(COUNTIF($S$3:S187,S187)&lt; INDEX($U$1:$U$7,MATCH($S187,$T$1:$T$7,0)),$S187,INDEX($T$1:$T$7,MATCH($S187,$T$1:$T$7,0)+1)),"")</f>
        <v/>
      </c>
      <c r="V188" s="1133" t="str">
        <f ca="1">IFERROR(INDEX(NVLSX!$U$2:$U$6941,MATCH($D188,NVLSX!$E$2:$E$6941,0)),"")</f>
        <v/>
      </c>
      <c r="W188" s="1143"/>
      <c r="X188" s="1143"/>
    </row>
    <row r="189" spans="1:24">
      <c r="A189" s="19" t="str">
        <f t="shared" ca="1" si="8"/>
        <v/>
      </c>
      <c r="B189" s="1146" t="str">
        <f ca="1">IFERROR(INDEX(NVLSX!$Y$2:$Y$6756,MATCH($D189,NVLSX!$E$2:$E$6756,0)),"")</f>
        <v/>
      </c>
      <c r="C189" s="1146" t="str">
        <f ca="1">IFERROR(INDEX(NVLSX!$Z$2:$Z$6756,MATCH($D189,NVLSX!$E$2:$E$6756,0)),"")</f>
        <v/>
      </c>
      <c r="D189" s="729" t="str">
        <f ca="1">IF($R189="","",INDEX(TongVTSX!C$3:C$1500,$R189))</f>
        <v/>
      </c>
      <c r="E189" s="729" t="str">
        <f ca="1">IF($R189="","",IF($S189=$T$7,INDEX(TongVTSX!D$3:D$1500,$R189) &amp;  " (" &amp; INDEX(TongVTSX!A$3:A$1500,$R189) &amp; ")",INDEX(TongVTSX!D$3:D$1500,$R189)))</f>
        <v/>
      </c>
      <c r="F189" s="874" t="str">
        <f ca="1">IF($R189="","",IF($S189&lt;&gt;NVLSX!$N$6492,INDEX(TongVTSX!E$3:E$1500,$R189),INDEX(TongVTSX!G$3:G$1500,$R189)))</f>
        <v/>
      </c>
      <c r="G189" s="730" t="str">
        <f ca="1">IF($R189="","",INDEX(TongVTSX!F$3:F$1500,$R189))</f>
        <v/>
      </c>
      <c r="H189" s="731">
        <f ca="1">IF($S189=$T$7,INDEX(TongVTSX!$K$3:$K$1500,$R189)/INDEX(TongVTSX!$G$3:$G$1500,$R189),IF($S189=$T$2,ROUNDUP(SUMPRODUCT((TongVTSX!$C$3:$C$1500=$D189)*(TongVTSX!$E$3:$E$1500=$F189)*(TongVTSX!$S$3:$S$1500=TongVTSX!$S$2)*(TongVTSX!$K$3:$K$1500))/$V189,0),SUMPRODUCT((TongVTSX!$C$3:$C$1500=$D189)*(TongVTSX!$E$3:$E$1500=$F189)*(TongVTSX!$S$3:$S$1500=TongVTSX!$S$2)*(TongVTSX!$K$3:$K$1500))))</f>
        <v>0</v>
      </c>
      <c r="I189" s="731">
        <f ca="1">IF($S189=$T$2,ROUNDUP(SUMPRODUCT((TongVTSX!$C$3:$C$1500=$D189)*(TongVTSX!$E$3:$E$1500=$F189)*(TongVTSX!$S$3:$S$1500=TongVTSX!$S$2)*(TongVTSX!$K$3:$K$1500))/$V189,2),0)</f>
        <v>0</v>
      </c>
      <c r="J189" s="731"/>
      <c r="K189" s="731"/>
      <c r="L189" s="732"/>
      <c r="M189" s="732" t="str">
        <f t="shared" ca="1" si="7"/>
        <v/>
      </c>
      <c r="N189" s="732"/>
      <c r="O189" s="732">
        <f ca="1">IF($S189=$T$7,INDEX(TongVTSX!$O$3:$O$1500,$R189),IF($S189=$T$2,INDEX(TongVTSX!$M$3:$M$1500,$R189)*$V189*$H189,SUMPRODUCT((TongVTSX!$C$3:$C$1500=$D189)*(TongVTSX!$E$3:$E$1500=$F189)*(TongVTSX!$S$3:$S$1500=TongVTSX!$S$2)*(TongVTSX!$O$3:$O$1500))))</f>
        <v>0</v>
      </c>
      <c r="P189" s="1150">
        <f ca="1">IF($S189=$T$7,INDEX(TongVTSX!$O$3:$O$1500,$R189),IF($S189=$T$2,INDEX(TongVTSX!$M$3:$M$1500,$R189)*$I189*$V189,SUMPRODUCT((TongVTSX!$C$3:$C$1500=$D189)*(TongVTSX!$E$3:$E$1500=$F189)*(TongVTSX!$S$3:$S$1500=TongVTSX!$S$2)*(TongVTSX!$O$3:$O$1500))))</f>
        <v>0</v>
      </c>
      <c r="Q189" s="1155" t="str">
        <f ca="1">IFERROR(INDEX(NVLSX!$AA$2:$AA$6756,MATCH($D189,NVLSX!$E$2:$E$6756,0)),"")</f>
        <v/>
      </c>
      <c r="R189" s="75" t="str">
        <f ca="1">IF(S189="","",IF(S189&lt;&gt;S188,IF(TYPE(MATCH(S189,TongVTSX!$Q$3:$Q$1500,0))=16,"",MATCH(S189,TongVTSX!$Q$3:$Q$1500,0)),IF(TYPE(MATCH(S189,OFFSET(TongVTSX!$Q$3,R188,0):'TongVTSX'!$Q$1500,0)+R188)=16,"",MATCH(S189,OFFSET(TongVTSX!$Q$3,R188,0):'TongVTSX'!$Q$1500,0)+R188)))</f>
        <v/>
      </c>
      <c r="S189" s="76" t="str">
        <f ca="1">IFERROR(IF(COUNTIF($S$3:S188,S188)&lt; INDEX($U$1:$U$7,MATCH($S188,$T$1:$T$7,0)),$S188,INDEX($T$1:$T$7,MATCH($S188,$T$1:$T$7,0)+1)),"")</f>
        <v/>
      </c>
      <c r="V189" s="1133" t="str">
        <f ca="1">IFERROR(INDEX(NVLSX!$U$2:$U$6941,MATCH($D189,NVLSX!$E$2:$E$6941,0)),"")</f>
        <v/>
      </c>
      <c r="W189" s="1143"/>
      <c r="X189" s="1143"/>
    </row>
    <row r="190" spans="1:24">
      <c r="A190" s="19" t="str">
        <f t="shared" ca="1" si="8"/>
        <v/>
      </c>
      <c r="B190" s="1146" t="str">
        <f ca="1">IFERROR(INDEX(NVLSX!$Y$2:$Y$6756,MATCH($D190,NVLSX!$E$2:$E$6756,0)),"")</f>
        <v/>
      </c>
      <c r="C190" s="1146" t="str">
        <f ca="1">IFERROR(INDEX(NVLSX!$Z$2:$Z$6756,MATCH($D190,NVLSX!$E$2:$E$6756,0)),"")</f>
        <v/>
      </c>
      <c r="D190" s="729" t="str">
        <f ca="1">IF($R190="","",INDEX(TongVTSX!C$3:C$1500,$R190))</f>
        <v/>
      </c>
      <c r="E190" s="729" t="str">
        <f ca="1">IF($R190="","",IF($S190=$T$7,INDEX(TongVTSX!D$3:D$1500,$R190) &amp;  " (" &amp; INDEX(TongVTSX!A$3:A$1500,$R190) &amp; ")",INDEX(TongVTSX!D$3:D$1500,$R190)))</f>
        <v/>
      </c>
      <c r="F190" s="874" t="str">
        <f ca="1">IF($R190="","",IF($S190&lt;&gt;NVLSX!$N$6492,INDEX(TongVTSX!E$3:E$1500,$R190),INDEX(TongVTSX!G$3:G$1500,$R190)))</f>
        <v/>
      </c>
      <c r="G190" s="730" t="str">
        <f ca="1">IF($R190="","",INDEX(TongVTSX!F$3:F$1500,$R190))</f>
        <v/>
      </c>
      <c r="H190" s="731">
        <f ca="1">IF($S190=$T$7,INDEX(TongVTSX!$K$3:$K$1500,$R190)/INDEX(TongVTSX!$G$3:$G$1500,$R190),IF($S190=$T$2,ROUNDUP(SUMPRODUCT((TongVTSX!$C$3:$C$1500=$D190)*(TongVTSX!$E$3:$E$1500=$F190)*(TongVTSX!$S$3:$S$1500=TongVTSX!$S$2)*(TongVTSX!$K$3:$K$1500))/$V190,0),SUMPRODUCT((TongVTSX!$C$3:$C$1500=$D190)*(TongVTSX!$E$3:$E$1500=$F190)*(TongVTSX!$S$3:$S$1500=TongVTSX!$S$2)*(TongVTSX!$K$3:$K$1500))))</f>
        <v>0</v>
      </c>
      <c r="I190" s="731">
        <f ca="1">IF($S190=$T$2,ROUNDUP(SUMPRODUCT((TongVTSX!$C$3:$C$1500=$D190)*(TongVTSX!$E$3:$E$1500=$F190)*(TongVTSX!$S$3:$S$1500=TongVTSX!$S$2)*(TongVTSX!$K$3:$K$1500))/$V190,2),0)</f>
        <v>0</v>
      </c>
      <c r="J190" s="731"/>
      <c r="K190" s="731"/>
      <c r="L190" s="732"/>
      <c r="M190" s="732" t="str">
        <f t="shared" ca="1" si="7"/>
        <v/>
      </c>
      <c r="N190" s="732"/>
      <c r="O190" s="732">
        <f ca="1">IF($S190=$T$7,INDEX(TongVTSX!$O$3:$O$1500,$R190),IF($S190=$T$2,INDEX(TongVTSX!$M$3:$M$1500,$R190)*$V190*$H190,SUMPRODUCT((TongVTSX!$C$3:$C$1500=$D190)*(TongVTSX!$E$3:$E$1500=$F190)*(TongVTSX!$S$3:$S$1500=TongVTSX!$S$2)*(TongVTSX!$O$3:$O$1500))))</f>
        <v>0</v>
      </c>
      <c r="P190" s="1150">
        <f ca="1">IF($S190=$T$7,INDEX(TongVTSX!$O$3:$O$1500,$R190),IF($S190=$T$2,INDEX(TongVTSX!$M$3:$M$1500,$R190)*$I190*$V190,SUMPRODUCT((TongVTSX!$C$3:$C$1500=$D190)*(TongVTSX!$E$3:$E$1500=$F190)*(TongVTSX!$S$3:$S$1500=TongVTSX!$S$2)*(TongVTSX!$O$3:$O$1500))))</f>
        <v>0</v>
      </c>
      <c r="Q190" s="1155" t="str">
        <f ca="1">IFERROR(INDEX(NVLSX!$AA$2:$AA$6756,MATCH($D190,NVLSX!$E$2:$E$6756,0)),"")</f>
        <v/>
      </c>
      <c r="R190" s="75" t="str">
        <f ca="1">IF(S190="","",IF(S190&lt;&gt;S189,IF(TYPE(MATCH(S190,TongVTSX!$Q$3:$Q$1500,0))=16,"",MATCH(S190,TongVTSX!$Q$3:$Q$1500,0)),IF(TYPE(MATCH(S190,OFFSET(TongVTSX!$Q$3,R189,0):'TongVTSX'!$Q$1500,0)+R189)=16,"",MATCH(S190,OFFSET(TongVTSX!$Q$3,R189,0):'TongVTSX'!$Q$1500,0)+R189)))</f>
        <v/>
      </c>
      <c r="S190" s="76" t="str">
        <f ca="1">IFERROR(IF(COUNTIF($S$3:S189,S189)&lt; INDEX($U$1:$U$7,MATCH($S189,$T$1:$T$7,0)),$S189,INDEX($T$1:$T$7,MATCH($S189,$T$1:$T$7,0)+1)),"")</f>
        <v/>
      </c>
      <c r="V190" s="1133" t="str">
        <f ca="1">IFERROR(INDEX(NVLSX!$U$2:$U$6941,MATCH($D190,NVLSX!$E$2:$E$6941,0)),"")</f>
        <v/>
      </c>
      <c r="W190" s="1143"/>
      <c r="X190" s="1143"/>
    </row>
    <row r="191" spans="1:24">
      <c r="A191" s="19" t="str">
        <f t="shared" ca="1" si="8"/>
        <v/>
      </c>
      <c r="B191" s="1146" t="str">
        <f ca="1">IFERROR(INDEX(NVLSX!$Y$2:$Y$6756,MATCH($D191,NVLSX!$E$2:$E$6756,0)),"")</f>
        <v/>
      </c>
      <c r="C191" s="1146" t="str">
        <f ca="1">IFERROR(INDEX(NVLSX!$Z$2:$Z$6756,MATCH($D191,NVLSX!$E$2:$E$6756,0)),"")</f>
        <v/>
      </c>
      <c r="D191" s="729" t="str">
        <f ca="1">IF($R191="","",INDEX(TongVTSX!C$3:C$1500,$R191))</f>
        <v/>
      </c>
      <c r="E191" s="729" t="str">
        <f ca="1">IF($R191="","",IF($S191=$T$7,INDEX(TongVTSX!D$3:D$1500,$R191) &amp;  " (" &amp; INDEX(TongVTSX!A$3:A$1500,$R191) &amp; ")",INDEX(TongVTSX!D$3:D$1500,$R191)))</f>
        <v/>
      </c>
      <c r="F191" s="874" t="str">
        <f ca="1">IF($R191="","",IF($S191&lt;&gt;NVLSX!$N$6492,INDEX(TongVTSX!E$3:E$1500,$R191),INDEX(TongVTSX!G$3:G$1500,$R191)))</f>
        <v/>
      </c>
      <c r="G191" s="730" t="str">
        <f ca="1">IF($R191="","",INDEX(TongVTSX!F$3:F$1500,$R191))</f>
        <v/>
      </c>
      <c r="H191" s="731">
        <f ca="1">IF($S191=$T$7,INDEX(TongVTSX!$K$3:$K$1500,$R191)/INDEX(TongVTSX!$G$3:$G$1500,$R191),IF($S191=$T$2,ROUNDUP(SUMPRODUCT((TongVTSX!$C$3:$C$1500=$D191)*(TongVTSX!$E$3:$E$1500=$F191)*(TongVTSX!$S$3:$S$1500=TongVTSX!$S$2)*(TongVTSX!$K$3:$K$1500))/$V191,0),SUMPRODUCT((TongVTSX!$C$3:$C$1500=$D191)*(TongVTSX!$E$3:$E$1500=$F191)*(TongVTSX!$S$3:$S$1500=TongVTSX!$S$2)*(TongVTSX!$K$3:$K$1500))))</f>
        <v>0</v>
      </c>
      <c r="I191" s="731">
        <f ca="1">IF($S191=$T$2,ROUNDUP(SUMPRODUCT((TongVTSX!$C$3:$C$1500=$D191)*(TongVTSX!$E$3:$E$1500=$F191)*(TongVTSX!$S$3:$S$1500=TongVTSX!$S$2)*(TongVTSX!$K$3:$K$1500))/$V191,2),0)</f>
        <v>0</v>
      </c>
      <c r="J191" s="731"/>
      <c r="K191" s="731"/>
      <c r="L191" s="732"/>
      <c r="M191" s="732" t="str">
        <f t="shared" ca="1" si="7"/>
        <v/>
      </c>
      <c r="N191" s="732"/>
      <c r="O191" s="732">
        <f ca="1">IF($S191=$T$7,INDEX(TongVTSX!$O$3:$O$1500,$R191),IF($S191=$T$2,INDEX(TongVTSX!$M$3:$M$1500,$R191)*$V191*$H191,SUMPRODUCT((TongVTSX!$C$3:$C$1500=$D191)*(TongVTSX!$E$3:$E$1500=$F191)*(TongVTSX!$S$3:$S$1500=TongVTSX!$S$2)*(TongVTSX!$O$3:$O$1500))))</f>
        <v>0</v>
      </c>
      <c r="P191" s="1150">
        <f ca="1">IF($S191=$T$7,INDEX(TongVTSX!$O$3:$O$1500,$R191),IF($S191=$T$2,INDEX(TongVTSX!$M$3:$M$1500,$R191)*$I191*$V191,SUMPRODUCT((TongVTSX!$C$3:$C$1500=$D191)*(TongVTSX!$E$3:$E$1500=$F191)*(TongVTSX!$S$3:$S$1500=TongVTSX!$S$2)*(TongVTSX!$O$3:$O$1500))))</f>
        <v>0</v>
      </c>
      <c r="Q191" s="1155" t="str">
        <f ca="1">IFERROR(INDEX(NVLSX!$AA$2:$AA$6756,MATCH($D191,NVLSX!$E$2:$E$6756,0)),"")</f>
        <v/>
      </c>
      <c r="R191" s="75" t="str">
        <f ca="1">IF(S191="","",IF(S191&lt;&gt;S190,IF(TYPE(MATCH(S191,TongVTSX!$Q$3:$Q$1500,0))=16,"",MATCH(S191,TongVTSX!$Q$3:$Q$1500,0)),IF(TYPE(MATCH(S191,OFFSET(TongVTSX!$Q$3,R190,0):'TongVTSX'!$Q$1500,0)+R190)=16,"",MATCH(S191,OFFSET(TongVTSX!$Q$3,R190,0):'TongVTSX'!$Q$1500,0)+R190)))</f>
        <v/>
      </c>
      <c r="S191" s="76" t="str">
        <f ca="1">IFERROR(IF(COUNTIF($S$3:S190,S190)&lt; INDEX($U$1:$U$7,MATCH($S190,$T$1:$T$7,0)),$S190,INDEX($T$1:$T$7,MATCH($S190,$T$1:$T$7,0)+1)),"")</f>
        <v/>
      </c>
      <c r="V191" s="1133" t="str">
        <f ca="1">IFERROR(INDEX(NVLSX!$U$2:$U$6941,MATCH($D191,NVLSX!$E$2:$E$6941,0)),"")</f>
        <v/>
      </c>
      <c r="W191" s="1143"/>
      <c r="X191" s="1143"/>
    </row>
    <row r="192" spans="1:24">
      <c r="A192" s="19" t="str">
        <f t="shared" ca="1" si="8"/>
        <v/>
      </c>
      <c r="B192" s="1146" t="str">
        <f ca="1">IFERROR(INDEX(NVLSX!$Y$2:$Y$6756,MATCH($D192,NVLSX!$E$2:$E$6756,0)),"")</f>
        <v/>
      </c>
      <c r="C192" s="1146" t="str">
        <f ca="1">IFERROR(INDEX(NVLSX!$Z$2:$Z$6756,MATCH($D192,NVLSX!$E$2:$E$6756,0)),"")</f>
        <v/>
      </c>
      <c r="D192" s="729" t="str">
        <f ca="1">IF($R192="","",INDEX(TongVTSX!C$3:C$1500,$R192))</f>
        <v/>
      </c>
      <c r="E192" s="729" t="str">
        <f ca="1">IF($R192="","",IF($S192=$T$7,INDEX(TongVTSX!D$3:D$1500,$R192) &amp;  " (" &amp; INDEX(TongVTSX!A$3:A$1500,$R192) &amp; ")",INDEX(TongVTSX!D$3:D$1500,$R192)))</f>
        <v/>
      </c>
      <c r="F192" s="874" t="str">
        <f ca="1">IF($R192="","",IF($S192&lt;&gt;NVLSX!$N$6492,INDEX(TongVTSX!E$3:E$1500,$R192),INDEX(TongVTSX!G$3:G$1500,$R192)))</f>
        <v/>
      </c>
      <c r="G192" s="730" t="str">
        <f ca="1">IF($R192="","",INDEX(TongVTSX!F$3:F$1500,$R192))</f>
        <v/>
      </c>
      <c r="H192" s="731">
        <f ca="1">IF($S192=$T$7,INDEX(TongVTSX!$K$3:$K$1500,$R192)/INDEX(TongVTSX!$G$3:$G$1500,$R192),IF($S192=$T$2,ROUNDUP(SUMPRODUCT((TongVTSX!$C$3:$C$1500=$D192)*(TongVTSX!$E$3:$E$1500=$F192)*(TongVTSX!$S$3:$S$1500=TongVTSX!$S$2)*(TongVTSX!$K$3:$K$1500))/$V192,0),SUMPRODUCT((TongVTSX!$C$3:$C$1500=$D192)*(TongVTSX!$E$3:$E$1500=$F192)*(TongVTSX!$S$3:$S$1500=TongVTSX!$S$2)*(TongVTSX!$K$3:$K$1500))))</f>
        <v>0</v>
      </c>
      <c r="I192" s="731">
        <f ca="1">IF($S192=$T$2,ROUNDUP(SUMPRODUCT((TongVTSX!$C$3:$C$1500=$D192)*(TongVTSX!$E$3:$E$1500=$F192)*(TongVTSX!$S$3:$S$1500=TongVTSX!$S$2)*(TongVTSX!$K$3:$K$1500))/$V192,2),0)</f>
        <v>0</v>
      </c>
      <c r="J192" s="731"/>
      <c r="K192" s="731"/>
      <c r="L192" s="732"/>
      <c r="M192" s="732" t="str">
        <f t="shared" ca="1" si="7"/>
        <v/>
      </c>
      <c r="N192" s="732"/>
      <c r="O192" s="732">
        <f ca="1">IF($S192=$T$7,INDEX(TongVTSX!$O$3:$O$1500,$R192),IF($S192=$T$2,INDEX(TongVTSX!$M$3:$M$1500,$R192)*$V192*$H192,SUMPRODUCT((TongVTSX!$C$3:$C$1500=$D192)*(TongVTSX!$E$3:$E$1500=$F192)*(TongVTSX!$S$3:$S$1500=TongVTSX!$S$2)*(TongVTSX!$O$3:$O$1500))))</f>
        <v>0</v>
      </c>
      <c r="P192" s="1150">
        <f ca="1">IF($S192=$T$7,INDEX(TongVTSX!$O$3:$O$1500,$R192),IF($S192=$T$2,INDEX(TongVTSX!$M$3:$M$1500,$R192)*$I192*$V192,SUMPRODUCT((TongVTSX!$C$3:$C$1500=$D192)*(TongVTSX!$E$3:$E$1500=$F192)*(TongVTSX!$S$3:$S$1500=TongVTSX!$S$2)*(TongVTSX!$O$3:$O$1500))))</f>
        <v>0</v>
      </c>
      <c r="Q192" s="1155" t="str">
        <f ca="1">IFERROR(INDEX(NVLSX!$AA$2:$AA$6756,MATCH($D192,NVLSX!$E$2:$E$6756,0)),"")</f>
        <v/>
      </c>
      <c r="R192" s="75" t="str">
        <f ca="1">IF(S192="","",IF(S192&lt;&gt;S191,IF(TYPE(MATCH(S192,TongVTSX!$Q$3:$Q$1500,0))=16,"",MATCH(S192,TongVTSX!$Q$3:$Q$1500,0)),IF(TYPE(MATCH(S192,OFFSET(TongVTSX!$Q$3,R191,0):'TongVTSX'!$Q$1500,0)+R191)=16,"",MATCH(S192,OFFSET(TongVTSX!$Q$3,R191,0):'TongVTSX'!$Q$1500,0)+R191)))</f>
        <v/>
      </c>
      <c r="S192" s="76" t="str">
        <f ca="1">IFERROR(IF(COUNTIF($S$3:S191,S191)&lt; INDEX($U$1:$U$7,MATCH($S191,$T$1:$T$7,0)),$S191,INDEX($T$1:$T$7,MATCH($S191,$T$1:$T$7,0)+1)),"")</f>
        <v/>
      </c>
      <c r="V192" s="1133" t="str">
        <f ca="1">IFERROR(INDEX(NVLSX!$U$2:$U$6941,MATCH($D192,NVLSX!$E$2:$E$6941,0)),"")</f>
        <v/>
      </c>
      <c r="W192" s="1143"/>
      <c r="X192" s="1143"/>
    </row>
    <row r="193" spans="1:24">
      <c r="A193" s="19" t="str">
        <f t="shared" ca="1" si="8"/>
        <v/>
      </c>
      <c r="B193" s="1146" t="str">
        <f ca="1">IFERROR(INDEX(NVLSX!$Y$2:$Y$6756,MATCH($D193,NVLSX!$E$2:$E$6756,0)),"")</f>
        <v/>
      </c>
      <c r="C193" s="1146" t="str">
        <f ca="1">IFERROR(INDEX(NVLSX!$Z$2:$Z$6756,MATCH($D193,NVLSX!$E$2:$E$6756,0)),"")</f>
        <v/>
      </c>
      <c r="D193" s="729" t="str">
        <f ca="1">IF($R193="","",INDEX(TongVTSX!C$3:C$1500,$R193))</f>
        <v/>
      </c>
      <c r="E193" s="729" t="str">
        <f ca="1">IF($R193="","",IF($S193=$T$7,INDEX(TongVTSX!D$3:D$1500,$R193) &amp;  " (" &amp; INDEX(TongVTSX!A$3:A$1500,$R193) &amp; ")",INDEX(TongVTSX!D$3:D$1500,$R193)))</f>
        <v/>
      </c>
      <c r="F193" s="874" t="str">
        <f ca="1">IF($R193="","",IF($S193&lt;&gt;NVLSX!$N$6492,INDEX(TongVTSX!E$3:E$1500,$R193),INDEX(TongVTSX!G$3:G$1500,$R193)))</f>
        <v/>
      </c>
      <c r="G193" s="730" t="str">
        <f ca="1">IF($R193="","",INDEX(TongVTSX!F$3:F$1500,$R193))</f>
        <v/>
      </c>
      <c r="H193" s="731">
        <f ca="1">IF($S193=$T$7,INDEX(TongVTSX!$K$3:$K$1500,$R193)/INDEX(TongVTSX!$G$3:$G$1500,$R193),IF($S193=$T$2,ROUNDUP(SUMPRODUCT((TongVTSX!$C$3:$C$1500=$D193)*(TongVTSX!$E$3:$E$1500=$F193)*(TongVTSX!$S$3:$S$1500=TongVTSX!$S$2)*(TongVTSX!$K$3:$K$1500))/$V193,0),SUMPRODUCT((TongVTSX!$C$3:$C$1500=$D193)*(TongVTSX!$E$3:$E$1500=$F193)*(TongVTSX!$S$3:$S$1500=TongVTSX!$S$2)*(TongVTSX!$K$3:$K$1500))))</f>
        <v>0</v>
      </c>
      <c r="I193" s="731">
        <f ca="1">IF($S193=$T$2,ROUNDUP(SUMPRODUCT((TongVTSX!$C$3:$C$1500=$D193)*(TongVTSX!$E$3:$E$1500=$F193)*(TongVTSX!$S$3:$S$1500=TongVTSX!$S$2)*(TongVTSX!$K$3:$K$1500))/$V193,2),0)</f>
        <v>0</v>
      </c>
      <c r="J193" s="731"/>
      <c r="K193" s="731"/>
      <c r="L193" s="732"/>
      <c r="M193" s="732" t="str">
        <f t="shared" ca="1" si="7"/>
        <v/>
      </c>
      <c r="N193" s="732"/>
      <c r="O193" s="732">
        <f ca="1">IF($S193=$T$7,INDEX(TongVTSX!$O$3:$O$1500,$R193),IF($S193=$T$2,INDEX(TongVTSX!$M$3:$M$1500,$R193)*$V193*$H193,SUMPRODUCT((TongVTSX!$C$3:$C$1500=$D193)*(TongVTSX!$E$3:$E$1500=$F193)*(TongVTSX!$S$3:$S$1500=TongVTSX!$S$2)*(TongVTSX!$O$3:$O$1500))))</f>
        <v>0</v>
      </c>
      <c r="P193" s="1150">
        <f ca="1">IF($S193=$T$7,INDEX(TongVTSX!$O$3:$O$1500,$R193),IF($S193=$T$2,INDEX(TongVTSX!$M$3:$M$1500,$R193)*$I193*$V193,SUMPRODUCT((TongVTSX!$C$3:$C$1500=$D193)*(TongVTSX!$E$3:$E$1500=$F193)*(TongVTSX!$S$3:$S$1500=TongVTSX!$S$2)*(TongVTSX!$O$3:$O$1500))))</f>
        <v>0</v>
      </c>
      <c r="Q193" s="1155" t="str">
        <f ca="1">IFERROR(INDEX(NVLSX!$AA$2:$AA$6756,MATCH($D193,NVLSX!$E$2:$E$6756,0)),"")</f>
        <v/>
      </c>
      <c r="R193" s="75" t="str">
        <f ca="1">IF(S193="","",IF(S193&lt;&gt;S192,IF(TYPE(MATCH(S193,TongVTSX!$Q$3:$Q$1500,0))=16,"",MATCH(S193,TongVTSX!$Q$3:$Q$1500,0)),IF(TYPE(MATCH(S193,OFFSET(TongVTSX!$Q$3,R192,0):'TongVTSX'!$Q$1500,0)+R192)=16,"",MATCH(S193,OFFSET(TongVTSX!$Q$3,R192,0):'TongVTSX'!$Q$1500,0)+R192)))</f>
        <v/>
      </c>
      <c r="S193" s="76" t="str">
        <f ca="1">IFERROR(IF(COUNTIF($S$3:S192,S192)&lt; INDEX($U$1:$U$7,MATCH($S192,$T$1:$T$7,0)),$S192,INDEX($T$1:$T$7,MATCH($S192,$T$1:$T$7,0)+1)),"")</f>
        <v/>
      </c>
      <c r="V193" s="1133" t="str">
        <f ca="1">IFERROR(INDEX(NVLSX!$U$2:$U$6941,MATCH($D193,NVLSX!$E$2:$E$6941,0)),"")</f>
        <v/>
      </c>
      <c r="W193" s="1143"/>
      <c r="X193" s="1143"/>
    </row>
    <row r="194" spans="1:24">
      <c r="A194" s="19" t="str">
        <f t="shared" ca="1" si="8"/>
        <v/>
      </c>
      <c r="B194" s="1146" t="str">
        <f ca="1">IFERROR(INDEX(NVLSX!$Y$2:$Y$6756,MATCH($D194,NVLSX!$E$2:$E$6756,0)),"")</f>
        <v/>
      </c>
      <c r="C194" s="1146" t="str">
        <f ca="1">IFERROR(INDEX(NVLSX!$Z$2:$Z$6756,MATCH($D194,NVLSX!$E$2:$E$6756,0)),"")</f>
        <v/>
      </c>
      <c r="D194" s="729" t="str">
        <f ca="1">IF($R194="","",INDEX(TongVTSX!C$3:C$1500,$R194))</f>
        <v/>
      </c>
      <c r="E194" s="729" t="str">
        <f ca="1">IF($R194="","",IF($S194=$T$7,INDEX(TongVTSX!D$3:D$1500,$R194) &amp;  " (" &amp; INDEX(TongVTSX!A$3:A$1500,$R194) &amp; ")",INDEX(TongVTSX!D$3:D$1500,$R194)))</f>
        <v/>
      </c>
      <c r="F194" s="874" t="str">
        <f ca="1">IF($R194="","",IF($S194&lt;&gt;NVLSX!$N$6492,INDEX(TongVTSX!E$3:E$1500,$R194),INDEX(TongVTSX!G$3:G$1500,$R194)))</f>
        <v/>
      </c>
      <c r="G194" s="730" t="str">
        <f ca="1">IF($R194="","",INDEX(TongVTSX!F$3:F$1500,$R194))</f>
        <v/>
      </c>
      <c r="H194" s="731">
        <f ca="1">IF($S194=$T$7,INDEX(TongVTSX!$K$3:$K$1500,$R194)/INDEX(TongVTSX!$G$3:$G$1500,$R194),IF($S194=$T$2,ROUNDUP(SUMPRODUCT((TongVTSX!$C$3:$C$1500=$D194)*(TongVTSX!$E$3:$E$1500=$F194)*(TongVTSX!$S$3:$S$1500=TongVTSX!$S$2)*(TongVTSX!$K$3:$K$1500))/$V194,0),SUMPRODUCT((TongVTSX!$C$3:$C$1500=$D194)*(TongVTSX!$E$3:$E$1500=$F194)*(TongVTSX!$S$3:$S$1500=TongVTSX!$S$2)*(TongVTSX!$K$3:$K$1500))))</f>
        <v>0</v>
      </c>
      <c r="I194" s="731">
        <f ca="1">IF($S194=$T$2,ROUNDUP(SUMPRODUCT((TongVTSX!$C$3:$C$1500=$D194)*(TongVTSX!$E$3:$E$1500=$F194)*(TongVTSX!$S$3:$S$1500=TongVTSX!$S$2)*(TongVTSX!$K$3:$K$1500))/$V194,2),0)</f>
        <v>0</v>
      </c>
      <c r="J194" s="731"/>
      <c r="K194" s="731"/>
      <c r="L194" s="732"/>
      <c r="M194" s="732" t="str">
        <f t="shared" ca="1" si="7"/>
        <v/>
      </c>
      <c r="N194" s="732"/>
      <c r="O194" s="732">
        <f ca="1">IF($S194=$T$7,INDEX(TongVTSX!$O$3:$O$1500,$R194),IF($S194=$T$2,INDEX(TongVTSX!$M$3:$M$1500,$R194)*$V194*$H194,SUMPRODUCT((TongVTSX!$C$3:$C$1500=$D194)*(TongVTSX!$E$3:$E$1500=$F194)*(TongVTSX!$S$3:$S$1500=TongVTSX!$S$2)*(TongVTSX!$O$3:$O$1500))))</f>
        <v>0</v>
      </c>
      <c r="P194" s="1150">
        <f ca="1">IF($S194=$T$7,INDEX(TongVTSX!$O$3:$O$1500,$R194),IF($S194=$T$2,INDEX(TongVTSX!$M$3:$M$1500,$R194)*$I194*$V194,SUMPRODUCT((TongVTSX!$C$3:$C$1500=$D194)*(TongVTSX!$E$3:$E$1500=$F194)*(TongVTSX!$S$3:$S$1500=TongVTSX!$S$2)*(TongVTSX!$O$3:$O$1500))))</f>
        <v>0</v>
      </c>
      <c r="Q194" s="1155" t="str">
        <f ca="1">IFERROR(INDEX(NVLSX!$AA$2:$AA$6756,MATCH($D194,NVLSX!$E$2:$E$6756,0)),"")</f>
        <v/>
      </c>
      <c r="R194" s="75" t="str">
        <f ca="1">IF(S194="","",IF(S194&lt;&gt;S193,IF(TYPE(MATCH(S194,TongVTSX!$Q$3:$Q$1500,0))=16,"",MATCH(S194,TongVTSX!$Q$3:$Q$1500,0)),IF(TYPE(MATCH(S194,OFFSET(TongVTSX!$Q$3,R193,0):'TongVTSX'!$Q$1500,0)+R193)=16,"",MATCH(S194,OFFSET(TongVTSX!$Q$3,R193,0):'TongVTSX'!$Q$1500,0)+R193)))</f>
        <v/>
      </c>
      <c r="S194" s="76" t="str">
        <f ca="1">IFERROR(IF(COUNTIF($S$3:S193,S193)&lt; INDEX($U$1:$U$7,MATCH($S193,$T$1:$T$7,0)),$S193,INDEX($T$1:$T$7,MATCH($S193,$T$1:$T$7,0)+1)),"")</f>
        <v/>
      </c>
      <c r="V194" s="1133" t="str">
        <f ca="1">IFERROR(INDEX(NVLSX!$U$2:$U$6941,MATCH($D194,NVLSX!$E$2:$E$6941,0)),"")</f>
        <v/>
      </c>
      <c r="W194" s="1143"/>
      <c r="X194" s="1143"/>
    </row>
    <row r="195" spans="1:24">
      <c r="A195" s="19" t="str">
        <f t="shared" ref="A195:A200" ca="1" si="9">IF($S195="","",IF($S195&lt;&gt;$S194,1,$A194+1))</f>
        <v/>
      </c>
      <c r="B195" s="1146" t="str">
        <f ca="1">IFERROR(INDEX(NVLSX!$Y$2:$Y$6756,MATCH($D195,NVLSX!$E$2:$E$6756,0)),"")</f>
        <v/>
      </c>
      <c r="C195" s="1146" t="str">
        <f ca="1">IFERROR(INDEX(NVLSX!$Z$2:$Z$6756,MATCH($D195,NVLSX!$E$2:$E$6756,0)),"")</f>
        <v/>
      </c>
      <c r="D195" s="729" t="str">
        <f ca="1">IF($R195="","",INDEX(TongVTSX!C$3:C$1500,$R195))</f>
        <v/>
      </c>
      <c r="E195" s="729" t="str">
        <f ca="1">IF($R195="","",IF($S195=$T$7,INDEX(TongVTSX!D$3:D$1500,$R195) &amp;  " (" &amp; INDEX(TongVTSX!A$3:A$1500,$R195) &amp; ")",INDEX(TongVTSX!D$3:D$1500,$R195)))</f>
        <v/>
      </c>
      <c r="F195" s="874" t="str">
        <f ca="1">IF($R195="","",IF($S195&lt;&gt;NVLSX!$N$6492,INDEX(TongVTSX!E$3:E$1500,$R195),INDEX(TongVTSX!G$3:G$1500,$R195)))</f>
        <v/>
      </c>
      <c r="G195" s="730" t="str">
        <f ca="1">IF($R195="","",INDEX(TongVTSX!F$3:F$1500,$R195))</f>
        <v/>
      </c>
      <c r="H195" s="731">
        <f ca="1">IF($S195=$T$7,INDEX(TongVTSX!$K$3:$K$1500,$R195)/INDEX(TongVTSX!$G$3:$G$1500,$R195),IF($S195=$T$2,ROUNDUP(SUMPRODUCT((TongVTSX!$C$3:$C$1500=$D195)*(TongVTSX!$E$3:$E$1500=$F195)*(TongVTSX!$S$3:$S$1500=TongVTSX!$S$2)*(TongVTSX!$K$3:$K$1500))/$V195,0),SUMPRODUCT((TongVTSX!$C$3:$C$1500=$D195)*(TongVTSX!$E$3:$E$1500=$F195)*(TongVTSX!$S$3:$S$1500=TongVTSX!$S$2)*(TongVTSX!$K$3:$K$1500))))</f>
        <v>0</v>
      </c>
      <c r="I195" s="731">
        <f ca="1">IF($S195=$T$2,ROUNDUP(SUMPRODUCT((TongVTSX!$C$3:$C$1500=$D195)*(TongVTSX!$E$3:$E$1500=$F195)*(TongVTSX!$S$3:$S$1500=TongVTSX!$S$2)*(TongVTSX!$K$3:$K$1500))/$V195,2),0)</f>
        <v>0</v>
      </c>
      <c r="J195" s="731"/>
      <c r="K195" s="731"/>
      <c r="L195" s="732"/>
      <c r="M195" s="732" t="str">
        <f t="shared" ca="1" si="7"/>
        <v/>
      </c>
      <c r="N195" s="732"/>
      <c r="O195" s="732">
        <f ca="1">IF($S195=$T$7,INDEX(TongVTSX!$O$3:$O$1500,$R195),IF($S195=$T$2,INDEX(TongVTSX!$M$3:$M$1500,$R195)*$V195*$H195,SUMPRODUCT((TongVTSX!$C$3:$C$1500=$D195)*(TongVTSX!$E$3:$E$1500=$F195)*(TongVTSX!$S$3:$S$1500=TongVTSX!$S$2)*(TongVTSX!$O$3:$O$1500))))</f>
        <v>0</v>
      </c>
      <c r="P195" s="1150">
        <f ca="1">IF($S195=$T$7,INDEX(TongVTSX!$O$3:$O$1500,$R195),IF($S195=$T$2,INDEX(TongVTSX!$M$3:$M$1500,$R195)*$I195*$V195,SUMPRODUCT((TongVTSX!$C$3:$C$1500=$D195)*(TongVTSX!$E$3:$E$1500=$F195)*(TongVTSX!$S$3:$S$1500=TongVTSX!$S$2)*(TongVTSX!$O$3:$O$1500))))</f>
        <v>0</v>
      </c>
      <c r="Q195" s="1155" t="str">
        <f ca="1">IFERROR(INDEX(NVLSX!$AA$2:$AA$6756,MATCH($D195,NVLSX!$E$2:$E$6756,0)),"")</f>
        <v/>
      </c>
      <c r="R195" s="75" t="str">
        <f ca="1">IF(S195="","",IF(S195&lt;&gt;S194,IF(TYPE(MATCH(S195,TongVTSX!$Q$3:$Q$1500,0))=16,"",MATCH(S195,TongVTSX!$Q$3:$Q$1500,0)),IF(TYPE(MATCH(S195,OFFSET(TongVTSX!$Q$3,R194,0):'TongVTSX'!$Q$1500,0)+R194)=16,"",MATCH(S195,OFFSET(TongVTSX!$Q$3,R194,0):'TongVTSX'!$Q$1500,0)+R194)))</f>
        <v/>
      </c>
      <c r="S195" s="76" t="str">
        <f ca="1">IFERROR(IF(COUNTIF($S$3:S194,S194)&lt; INDEX($U$1:$U$7,MATCH($S194,$T$1:$T$7,0)),$S194,INDEX($T$1:$T$7,MATCH($S194,$T$1:$T$7,0)+1)),"")</f>
        <v/>
      </c>
      <c r="V195" s="1133" t="str">
        <f ca="1">IFERROR(INDEX(NVLSX!$U$2:$U$6941,MATCH($D195,NVLSX!$E$2:$E$6941,0)),"")</f>
        <v/>
      </c>
      <c r="W195" s="1143"/>
      <c r="X195" s="1143"/>
    </row>
    <row r="196" spans="1:24">
      <c r="A196" s="19" t="str">
        <f t="shared" ca="1" si="9"/>
        <v/>
      </c>
      <c r="B196" s="1146" t="str">
        <f ca="1">IFERROR(INDEX(NVLSX!$Y$2:$Y$6756,MATCH($D196,NVLSX!$E$2:$E$6756,0)),"")</f>
        <v/>
      </c>
      <c r="C196" s="1146" t="str">
        <f ca="1">IFERROR(INDEX(NVLSX!$Z$2:$Z$6756,MATCH($D196,NVLSX!$E$2:$E$6756,0)),"")</f>
        <v/>
      </c>
      <c r="D196" s="729" t="str">
        <f ca="1">IF($R196="","",INDEX(TongVTSX!C$3:C$1500,$R196))</f>
        <v/>
      </c>
      <c r="E196" s="729" t="str">
        <f ca="1">IF($R196="","",IF($S196=$T$7,INDEX(TongVTSX!D$3:D$1500,$R196) &amp;  " (" &amp; INDEX(TongVTSX!A$3:A$1500,$R196) &amp; ")",INDEX(TongVTSX!D$3:D$1500,$R196)))</f>
        <v/>
      </c>
      <c r="F196" s="874" t="str">
        <f ca="1">IF($R196="","",IF($S196&lt;&gt;NVLSX!$N$6492,INDEX(TongVTSX!E$3:E$1500,$R196),INDEX(TongVTSX!G$3:G$1500,$R196)))</f>
        <v/>
      </c>
      <c r="G196" s="730" t="str">
        <f ca="1">IF($R196="","",INDEX(TongVTSX!F$3:F$1500,$R196))</f>
        <v/>
      </c>
      <c r="H196" s="731">
        <f ca="1">IF($S196=$T$7,INDEX(TongVTSX!$K$3:$K$1500,$R196)/INDEX(TongVTSX!$G$3:$G$1500,$R196),IF($S196=$T$2,ROUNDUP(SUMPRODUCT((TongVTSX!$C$3:$C$1500=$D196)*(TongVTSX!$E$3:$E$1500=$F196)*(TongVTSX!$S$3:$S$1500=TongVTSX!$S$2)*(TongVTSX!$K$3:$K$1500))/$V196,0),SUMPRODUCT((TongVTSX!$C$3:$C$1500=$D196)*(TongVTSX!$E$3:$E$1500=$F196)*(TongVTSX!$S$3:$S$1500=TongVTSX!$S$2)*(TongVTSX!$K$3:$K$1500))))</f>
        <v>0</v>
      </c>
      <c r="I196" s="731">
        <f ca="1">IF($S196=$T$2,ROUNDUP(SUMPRODUCT((TongVTSX!$C$3:$C$1500=$D196)*(TongVTSX!$E$3:$E$1500=$F196)*(TongVTSX!$S$3:$S$1500=TongVTSX!$S$2)*(TongVTSX!$K$3:$K$1500))/$V196,2),0)</f>
        <v>0</v>
      </c>
      <c r="J196" s="731"/>
      <c r="K196" s="731"/>
      <c r="L196" s="732"/>
      <c r="M196" s="732" t="str">
        <f t="shared" ref="M196:M200" ca="1" si="10">IF($S196=$T$2,($H196-$I196)*$V196,"")</f>
        <v/>
      </c>
      <c r="N196" s="732"/>
      <c r="O196" s="732">
        <f ca="1">IF($S196=$T$7,INDEX(TongVTSX!$O$3:$O$1500,$R196),IF($S196=$T$2,INDEX(TongVTSX!$M$3:$M$1500,$R196)*$V196*$H196,SUMPRODUCT((TongVTSX!$C$3:$C$1500=$D196)*(TongVTSX!$E$3:$E$1500=$F196)*(TongVTSX!$S$3:$S$1500=TongVTSX!$S$2)*(TongVTSX!$O$3:$O$1500))))</f>
        <v>0</v>
      </c>
      <c r="P196" s="1150">
        <f ca="1">IF($S196=$T$7,INDEX(TongVTSX!$O$3:$O$1500,$R196),IF($S196=$T$2,INDEX(TongVTSX!$M$3:$M$1500,$R196)*$I196*$V196,SUMPRODUCT((TongVTSX!$C$3:$C$1500=$D196)*(TongVTSX!$E$3:$E$1500=$F196)*(TongVTSX!$S$3:$S$1500=TongVTSX!$S$2)*(TongVTSX!$O$3:$O$1500))))</f>
        <v>0</v>
      </c>
      <c r="Q196" s="1155" t="str">
        <f ca="1">IFERROR(INDEX(NVLSX!$AA$2:$AA$6756,MATCH($D196,NVLSX!$E$2:$E$6756,0)),"")</f>
        <v/>
      </c>
      <c r="R196" s="75" t="str">
        <f ca="1">IF(S196="","",IF(S196&lt;&gt;S195,IF(TYPE(MATCH(S196,TongVTSX!$Q$3:$Q$1500,0))=16,"",MATCH(S196,TongVTSX!$Q$3:$Q$1500,0)),IF(TYPE(MATCH(S196,OFFSET(TongVTSX!$Q$3,R195,0):'TongVTSX'!$Q$1500,0)+R195)=16,"",MATCH(S196,OFFSET(TongVTSX!$Q$3,R195,0):'TongVTSX'!$Q$1500,0)+R195)))</f>
        <v/>
      </c>
      <c r="S196" s="76" t="str">
        <f ca="1">IFERROR(IF(COUNTIF($S$3:S195,S195)&lt; INDEX($U$1:$U$7,MATCH($S195,$T$1:$T$7,0)),$S195,INDEX($T$1:$T$7,MATCH($S195,$T$1:$T$7,0)+1)),"")</f>
        <v/>
      </c>
      <c r="V196" s="1133" t="str">
        <f ca="1">IFERROR(INDEX(NVLSX!$U$2:$U$6941,MATCH($D196,NVLSX!$E$2:$E$6941,0)),"")</f>
        <v/>
      </c>
      <c r="W196" s="1143"/>
      <c r="X196" s="1143"/>
    </row>
    <row r="197" spans="1:24">
      <c r="A197" s="19" t="str">
        <f t="shared" ca="1" si="9"/>
        <v/>
      </c>
      <c r="B197" s="1146" t="str">
        <f ca="1">IFERROR(INDEX(NVLSX!$Y$2:$Y$6756,MATCH($D197,NVLSX!$E$2:$E$6756,0)),"")</f>
        <v/>
      </c>
      <c r="C197" s="1146" t="str">
        <f ca="1">IFERROR(INDEX(NVLSX!$Z$2:$Z$6756,MATCH($D197,NVLSX!$E$2:$E$6756,0)),"")</f>
        <v/>
      </c>
      <c r="D197" s="729" t="str">
        <f ca="1">IF($R197="","",INDEX(TongVTSX!C$3:C$1500,$R197))</f>
        <v/>
      </c>
      <c r="E197" s="729" t="str">
        <f ca="1">IF($R197="","",IF($S197=$T$7,INDEX(TongVTSX!D$3:D$1500,$R197) &amp;  " (" &amp; INDEX(TongVTSX!A$3:A$1500,$R197) &amp; ")",INDEX(TongVTSX!D$3:D$1500,$R197)))</f>
        <v/>
      </c>
      <c r="F197" s="874" t="str">
        <f ca="1">IF($R197="","",IF($S197&lt;&gt;NVLSX!$N$6492,INDEX(TongVTSX!E$3:E$1500,$R197),INDEX(TongVTSX!G$3:G$1500,$R197)))</f>
        <v/>
      </c>
      <c r="G197" s="730" t="str">
        <f ca="1">IF($R197="","",INDEX(TongVTSX!F$3:F$1500,$R197))</f>
        <v/>
      </c>
      <c r="H197" s="731">
        <f ca="1">IF($S197=$T$7,INDEX(TongVTSX!$K$3:$K$1500,$R197)/INDEX(TongVTSX!$G$3:$G$1500,$R197),IF($S197=$T$2,ROUNDUP(SUMPRODUCT((TongVTSX!$C$3:$C$1500=$D197)*(TongVTSX!$E$3:$E$1500=$F197)*(TongVTSX!$S$3:$S$1500=TongVTSX!$S$2)*(TongVTSX!$K$3:$K$1500))/$V197,0),SUMPRODUCT((TongVTSX!$C$3:$C$1500=$D197)*(TongVTSX!$E$3:$E$1500=$F197)*(TongVTSX!$S$3:$S$1500=TongVTSX!$S$2)*(TongVTSX!$K$3:$K$1500))))</f>
        <v>0</v>
      </c>
      <c r="I197" s="731">
        <f ca="1">IF($S197=$T$2,ROUNDUP(SUMPRODUCT((TongVTSX!$C$3:$C$1500=$D197)*(TongVTSX!$E$3:$E$1500=$F197)*(TongVTSX!$S$3:$S$1500=TongVTSX!$S$2)*(TongVTSX!$K$3:$K$1500))/$V197,2),0)</f>
        <v>0</v>
      </c>
      <c r="J197" s="731"/>
      <c r="K197" s="731"/>
      <c r="L197" s="732"/>
      <c r="M197" s="732" t="str">
        <f t="shared" ca="1" si="10"/>
        <v/>
      </c>
      <c r="N197" s="732"/>
      <c r="O197" s="732">
        <f ca="1">IF($S197=$T$7,INDEX(TongVTSX!$O$3:$O$1500,$R197),IF($S197=$T$2,INDEX(TongVTSX!$M$3:$M$1500,$R197)*$V197*$H197,SUMPRODUCT((TongVTSX!$C$3:$C$1500=$D197)*(TongVTSX!$E$3:$E$1500=$F197)*(TongVTSX!$S$3:$S$1500=TongVTSX!$S$2)*(TongVTSX!$O$3:$O$1500))))</f>
        <v>0</v>
      </c>
      <c r="P197" s="1150">
        <f ca="1">IF($S197=$T$7,INDEX(TongVTSX!$O$3:$O$1500,$R197),IF($S197=$T$2,INDEX(TongVTSX!$M$3:$M$1500,$R197)*$I197*$V197,SUMPRODUCT((TongVTSX!$C$3:$C$1500=$D197)*(TongVTSX!$E$3:$E$1500=$F197)*(TongVTSX!$S$3:$S$1500=TongVTSX!$S$2)*(TongVTSX!$O$3:$O$1500))))</f>
        <v>0</v>
      </c>
      <c r="Q197" s="1155" t="str">
        <f ca="1">IFERROR(INDEX(NVLSX!$AA$2:$AA$6756,MATCH($D197,NVLSX!$E$2:$E$6756,0)),"")</f>
        <v/>
      </c>
      <c r="R197" s="75" t="str">
        <f ca="1">IF(S197="","",IF(S197&lt;&gt;S196,IF(TYPE(MATCH(S197,TongVTSX!$Q$3:$Q$1500,0))=16,"",MATCH(S197,TongVTSX!$Q$3:$Q$1500,0)),IF(TYPE(MATCH(S197,OFFSET(TongVTSX!$Q$3,R196,0):'TongVTSX'!$Q$1500,0)+R196)=16,"",MATCH(S197,OFFSET(TongVTSX!$Q$3,R196,0):'TongVTSX'!$Q$1500,0)+R196)))</f>
        <v/>
      </c>
      <c r="S197" s="76" t="str">
        <f ca="1">IFERROR(IF(COUNTIF($S$3:S196,S196)&lt; INDEX($U$1:$U$7,MATCH($S196,$T$1:$T$7,0)),$S196,INDEX($T$1:$T$7,MATCH($S196,$T$1:$T$7,0)+1)),"")</f>
        <v/>
      </c>
      <c r="V197" s="1133" t="str">
        <f ca="1">IFERROR(INDEX(NVLSX!$U$2:$U$6941,MATCH($D197,NVLSX!$E$2:$E$6941,0)),"")</f>
        <v/>
      </c>
      <c r="W197" s="1143"/>
      <c r="X197" s="1143"/>
    </row>
    <row r="198" spans="1:24">
      <c r="A198" s="19" t="str">
        <f t="shared" ca="1" si="9"/>
        <v/>
      </c>
      <c r="B198" s="1146" t="str">
        <f ca="1">IFERROR(INDEX(NVLSX!$Y$2:$Y$6756,MATCH($D198,NVLSX!$E$2:$E$6756,0)),"")</f>
        <v/>
      </c>
      <c r="C198" s="1146" t="str">
        <f ca="1">IFERROR(INDEX(NVLSX!$Z$2:$Z$6756,MATCH($D198,NVLSX!$E$2:$E$6756,0)),"")</f>
        <v/>
      </c>
      <c r="D198" s="729" t="str">
        <f ca="1">IF($R198="","",INDEX(TongVTSX!C$3:C$1500,$R198))</f>
        <v/>
      </c>
      <c r="E198" s="729" t="str">
        <f ca="1">IF($R198="","",IF($S198=$T$7,INDEX(TongVTSX!D$3:D$1500,$R198) &amp;  " (" &amp; INDEX(TongVTSX!A$3:A$1500,$R198) &amp; ")",INDEX(TongVTSX!D$3:D$1500,$R198)))</f>
        <v/>
      </c>
      <c r="F198" s="874" t="str">
        <f ca="1">IF($R198="","",IF($S198&lt;&gt;NVLSX!$N$6492,INDEX(TongVTSX!E$3:E$1500,$R198),INDEX(TongVTSX!G$3:G$1500,$R198)))</f>
        <v/>
      </c>
      <c r="G198" s="730" t="str">
        <f ca="1">IF($R198="","",INDEX(TongVTSX!F$3:F$1500,$R198))</f>
        <v/>
      </c>
      <c r="H198" s="731">
        <f ca="1">IF($S198=$T$7,INDEX(TongVTSX!$K$3:$K$1500,$R198)/INDEX(TongVTSX!$G$3:$G$1500,$R198),IF($S198=$T$2,ROUNDUP(SUMPRODUCT((TongVTSX!$C$3:$C$1500=$D198)*(TongVTSX!$E$3:$E$1500=$F198)*(TongVTSX!$S$3:$S$1500=TongVTSX!$S$2)*(TongVTSX!$K$3:$K$1500))/$V198,0),SUMPRODUCT((TongVTSX!$C$3:$C$1500=$D198)*(TongVTSX!$E$3:$E$1500=$F198)*(TongVTSX!$S$3:$S$1500=TongVTSX!$S$2)*(TongVTSX!$K$3:$K$1500))))</f>
        <v>0</v>
      </c>
      <c r="I198" s="731">
        <f ca="1">IF($S198=$T$2,ROUNDUP(SUMPRODUCT((TongVTSX!$C$3:$C$1500=$D198)*(TongVTSX!$E$3:$E$1500=$F198)*(TongVTSX!$S$3:$S$1500=TongVTSX!$S$2)*(TongVTSX!$K$3:$K$1500))/$V198,2),0)</f>
        <v>0</v>
      </c>
      <c r="J198" s="731"/>
      <c r="K198" s="731"/>
      <c r="L198" s="732"/>
      <c r="M198" s="732" t="str">
        <f t="shared" ca="1" si="10"/>
        <v/>
      </c>
      <c r="N198" s="732"/>
      <c r="O198" s="732">
        <f ca="1">IF($S198=$T$7,INDEX(TongVTSX!$O$3:$O$1500,$R198),IF($S198=$T$2,INDEX(TongVTSX!$M$3:$M$1500,$R198)*$V198*$H198,SUMPRODUCT((TongVTSX!$C$3:$C$1500=$D198)*(TongVTSX!$E$3:$E$1500=$F198)*(TongVTSX!$S$3:$S$1500=TongVTSX!$S$2)*(TongVTSX!$O$3:$O$1500))))</f>
        <v>0</v>
      </c>
      <c r="P198" s="1150">
        <f ca="1">IF($S198=$T$7,INDEX(TongVTSX!$O$3:$O$1500,$R198),IF($S198=$T$2,INDEX(TongVTSX!$M$3:$M$1500,$R198)*$I198*$V198,SUMPRODUCT((TongVTSX!$C$3:$C$1500=$D198)*(TongVTSX!$E$3:$E$1500=$F198)*(TongVTSX!$S$3:$S$1500=TongVTSX!$S$2)*(TongVTSX!$O$3:$O$1500))))</f>
        <v>0</v>
      </c>
      <c r="Q198" s="1155" t="str">
        <f ca="1">IFERROR(INDEX(NVLSX!$AA$2:$AA$6756,MATCH($D198,NVLSX!$E$2:$E$6756,0)),"")</f>
        <v/>
      </c>
      <c r="R198" s="75" t="str">
        <f ca="1">IF(S198="","",IF(S198&lt;&gt;S197,IF(TYPE(MATCH(S198,TongVTSX!$Q$3:$Q$1500,0))=16,"",MATCH(S198,TongVTSX!$Q$3:$Q$1500,0)),IF(TYPE(MATCH(S198,OFFSET(TongVTSX!$Q$3,R197,0):'TongVTSX'!$Q$1500,0)+R197)=16,"",MATCH(S198,OFFSET(TongVTSX!$Q$3,R197,0):'TongVTSX'!$Q$1500,0)+R197)))</f>
        <v/>
      </c>
      <c r="S198" s="76" t="str">
        <f ca="1">IFERROR(IF(COUNTIF($S$3:S197,S197)&lt; INDEX($U$1:$U$7,MATCH($S197,$T$1:$T$7,0)),$S197,INDEX($T$1:$T$7,MATCH($S197,$T$1:$T$7,0)+1)),"")</f>
        <v/>
      </c>
      <c r="V198" s="1133" t="str">
        <f ca="1">IFERROR(INDEX(NVLSX!$U$2:$U$6941,MATCH($D198,NVLSX!$E$2:$E$6941,0)),"")</f>
        <v/>
      </c>
      <c r="W198" s="1143"/>
      <c r="X198" s="1143"/>
    </row>
    <row r="199" spans="1:24">
      <c r="A199" s="19" t="str">
        <f t="shared" ca="1" si="9"/>
        <v/>
      </c>
      <c r="B199" s="1146" t="str">
        <f ca="1">IFERROR(INDEX(NVLSX!$Y$2:$Y$6756,MATCH($D199,NVLSX!$E$2:$E$6756,0)),"")</f>
        <v/>
      </c>
      <c r="C199" s="1146" t="str">
        <f ca="1">IFERROR(INDEX(NVLSX!$Z$2:$Z$6756,MATCH($D199,NVLSX!$E$2:$E$6756,0)),"")</f>
        <v/>
      </c>
      <c r="D199" s="729" t="str">
        <f ca="1">IF($R199="","",INDEX(TongVTSX!C$3:C$1500,$R199))</f>
        <v/>
      </c>
      <c r="E199" s="729" t="str">
        <f ca="1">IF($R199="","",IF($S199=$T$7,INDEX(TongVTSX!D$3:D$1500,$R199) &amp;  " (" &amp; INDEX(TongVTSX!A$3:A$1500,$R199) &amp; ")",INDEX(TongVTSX!D$3:D$1500,$R199)))</f>
        <v/>
      </c>
      <c r="F199" s="874" t="str">
        <f ca="1">IF($R199="","",IF($S199&lt;&gt;NVLSX!$N$6492,INDEX(TongVTSX!E$3:E$1500,$R199),INDEX(TongVTSX!G$3:G$1500,$R199)))</f>
        <v/>
      </c>
      <c r="G199" s="730" t="str">
        <f ca="1">IF($R199="","",INDEX(TongVTSX!F$3:F$1500,$R199))</f>
        <v/>
      </c>
      <c r="H199" s="731">
        <f ca="1">IF($S199=$T$7,INDEX(TongVTSX!$K$3:$K$1500,$R199)/INDEX(TongVTSX!$G$3:$G$1500,$R199),IF($S199=$T$2,ROUNDUP(SUMPRODUCT((TongVTSX!$C$3:$C$1500=$D199)*(TongVTSX!$E$3:$E$1500=$F199)*(TongVTSX!$S$3:$S$1500=TongVTSX!$S$2)*(TongVTSX!$K$3:$K$1500))/$V199,0),SUMPRODUCT((TongVTSX!$C$3:$C$1500=$D199)*(TongVTSX!$E$3:$E$1500=$F199)*(TongVTSX!$S$3:$S$1500=TongVTSX!$S$2)*(TongVTSX!$K$3:$K$1500))))</f>
        <v>0</v>
      </c>
      <c r="I199" s="731">
        <f ca="1">IF($S199=$T$2,ROUNDUP(SUMPRODUCT((TongVTSX!$C$3:$C$1500=$D199)*(TongVTSX!$E$3:$E$1500=$F199)*(TongVTSX!$S$3:$S$1500=TongVTSX!$S$2)*(TongVTSX!$K$3:$K$1500))/$V199,2),0)</f>
        <v>0</v>
      </c>
      <c r="J199" s="731"/>
      <c r="K199" s="731"/>
      <c r="L199" s="732"/>
      <c r="M199" s="732" t="str">
        <f t="shared" ca="1" si="10"/>
        <v/>
      </c>
      <c r="N199" s="732"/>
      <c r="O199" s="732">
        <f ca="1">IF($S199=$T$7,INDEX(TongVTSX!$O$3:$O$1500,$R199),IF($S199=$T$2,INDEX(TongVTSX!$M$3:$M$1500,$R199)*$V199*$H199,SUMPRODUCT((TongVTSX!$C$3:$C$1500=$D199)*(TongVTSX!$E$3:$E$1500=$F199)*(TongVTSX!$S$3:$S$1500=TongVTSX!$S$2)*(TongVTSX!$O$3:$O$1500))))</f>
        <v>0</v>
      </c>
      <c r="P199" s="1150">
        <f ca="1">IF($S199=$T$7,INDEX(TongVTSX!$O$3:$O$1500,$R199),IF($S199=$T$2,INDEX(TongVTSX!$M$3:$M$1500,$R199)*$I199*$V199,SUMPRODUCT((TongVTSX!$C$3:$C$1500=$D199)*(TongVTSX!$E$3:$E$1500=$F199)*(TongVTSX!$S$3:$S$1500=TongVTSX!$S$2)*(TongVTSX!$O$3:$O$1500))))</f>
        <v>0</v>
      </c>
      <c r="Q199" s="1155" t="str">
        <f ca="1">IFERROR(INDEX(NVLSX!$AA$2:$AA$6756,MATCH($D199,NVLSX!$E$2:$E$6756,0)),"")</f>
        <v/>
      </c>
      <c r="R199" s="75" t="str">
        <f ca="1">IF(S199="","",IF(S199&lt;&gt;S198,IF(TYPE(MATCH(S199,TongVTSX!$Q$3:$Q$1500,0))=16,"",MATCH(S199,TongVTSX!$Q$3:$Q$1500,0)),IF(TYPE(MATCH(S199,OFFSET(TongVTSX!$Q$3,R198,0):'TongVTSX'!$Q$1500,0)+R198)=16,"",MATCH(S199,OFFSET(TongVTSX!$Q$3,R198,0):'TongVTSX'!$Q$1500,0)+R198)))</f>
        <v/>
      </c>
      <c r="S199" s="76" t="str">
        <f ca="1">IFERROR(IF(COUNTIF($S$3:S198,S198)&lt; INDEX($U$1:$U$7,MATCH($S198,$T$1:$T$7,0)),$S198,INDEX($T$1:$T$7,MATCH($S198,$T$1:$T$7,0)+1)),"")</f>
        <v/>
      </c>
      <c r="V199" s="1133" t="str">
        <f ca="1">IFERROR(INDEX(NVLSX!$U$2:$U$6941,MATCH($D199,NVLSX!$E$2:$E$6941,0)),"")</f>
        <v/>
      </c>
      <c r="W199" s="1143"/>
      <c r="X199" s="1143"/>
    </row>
    <row r="200" spans="1:24">
      <c r="A200" s="19" t="str">
        <f t="shared" ca="1" si="9"/>
        <v/>
      </c>
      <c r="B200" s="1146" t="str">
        <f ca="1">IFERROR(INDEX(NVLSX!$Y$2:$Y$6756,MATCH($D200,NVLSX!$E$2:$E$6756,0)),"")</f>
        <v/>
      </c>
      <c r="C200" s="1146" t="str">
        <f ca="1">IFERROR(INDEX(NVLSX!$Z$2:$Z$6756,MATCH($D200,NVLSX!$E$2:$E$6756,0)),"")</f>
        <v/>
      </c>
      <c r="D200" s="729" t="str">
        <f ca="1">IF($R200="","",INDEX(TongVTSX!C$3:C$1500,$R200))</f>
        <v/>
      </c>
      <c r="E200" s="729" t="str">
        <f ca="1">IF($R200="","",IF($S200=$T$7,INDEX(TongVTSX!D$3:D$1500,$R200) &amp;  " (" &amp; INDEX(TongVTSX!A$3:A$1500,$R200) &amp; ")",INDEX(TongVTSX!D$3:D$1500,$R200)))</f>
        <v/>
      </c>
      <c r="F200" s="874" t="str">
        <f ca="1">IF($R200="","",IF($S200&lt;&gt;NVLSX!$N$6492,INDEX(TongVTSX!E$3:E$1500,$R200),INDEX(TongVTSX!G$3:G$1500,$R200)))</f>
        <v/>
      </c>
      <c r="G200" s="730" t="str">
        <f ca="1">IF($R200="","",INDEX(TongVTSX!F$3:F$1500,$R200))</f>
        <v/>
      </c>
      <c r="H200" s="731">
        <f ca="1">IF($S200=$T$7,INDEX(TongVTSX!$K$3:$K$1500,$R200)/INDEX(TongVTSX!$G$3:$G$1500,$R200),IF($S200=$T$2,ROUNDUP(SUMPRODUCT((TongVTSX!$C$3:$C$1500=$D200)*(TongVTSX!$E$3:$E$1500=$F200)*(TongVTSX!$S$3:$S$1500=TongVTSX!$S$2)*(TongVTSX!$K$3:$K$1500))/$V200,0),SUMPRODUCT((TongVTSX!$C$3:$C$1500=$D200)*(TongVTSX!$E$3:$E$1500=$F200)*(TongVTSX!$S$3:$S$1500=TongVTSX!$S$2)*(TongVTSX!$K$3:$K$1500))))</f>
        <v>0</v>
      </c>
      <c r="I200" s="731">
        <f ca="1">IF($S200=$T$2,ROUNDUP(SUMPRODUCT((TongVTSX!$C$3:$C$1500=$D200)*(TongVTSX!$E$3:$E$1500=$F200)*(TongVTSX!$S$3:$S$1500=TongVTSX!$S$2)*(TongVTSX!$K$3:$K$1500))/$V200,2),0)</f>
        <v>0</v>
      </c>
      <c r="J200" s="731"/>
      <c r="K200" s="731"/>
      <c r="L200" s="732"/>
      <c r="M200" s="732" t="str">
        <f t="shared" ca="1" si="10"/>
        <v/>
      </c>
      <c r="N200" s="732"/>
      <c r="O200" s="732">
        <f ca="1">IF($S200=$T$7,INDEX(TongVTSX!$O$3:$O$1500,$R200),IF($S200=$T$2,INDEX(TongVTSX!$M$3:$M$1500,$R200)*$V200*$H200,SUMPRODUCT((TongVTSX!$C$3:$C$1500=$D200)*(TongVTSX!$E$3:$E$1500=$F200)*(TongVTSX!$S$3:$S$1500=TongVTSX!$S$2)*(TongVTSX!$O$3:$O$1500))))</f>
        <v>0</v>
      </c>
      <c r="P200" s="1150">
        <f ca="1">IF($S200=$T$7,INDEX(TongVTSX!$O$3:$O$1500,$R200),IF($S200=$T$2,INDEX(TongVTSX!$M$3:$M$1500,$R200)*$I200*$V200,SUMPRODUCT((TongVTSX!$C$3:$C$1500=$D200)*(TongVTSX!$E$3:$E$1500=$F200)*(TongVTSX!$S$3:$S$1500=TongVTSX!$S$2)*(TongVTSX!$O$3:$O$1500))))</f>
        <v>0</v>
      </c>
      <c r="Q200" s="1155" t="str">
        <f ca="1">IFERROR(INDEX(NVLSX!$AA$2:$AA$6756,MATCH($D200,NVLSX!$E$2:$E$6756,0)),"")</f>
        <v/>
      </c>
      <c r="R200" s="75" t="str">
        <f ca="1">IF(S200="","",IF(S200&lt;&gt;S199,IF(TYPE(MATCH(S200,TongVTSX!$Q$3:$Q$1500,0))=16,"",MATCH(S200,TongVTSX!$Q$3:$Q$1500,0)),IF(TYPE(MATCH(S200,OFFSET(TongVTSX!$Q$3,R199,0):'TongVTSX'!$Q$1500,0)+R199)=16,"",MATCH(S200,OFFSET(TongVTSX!$Q$3,R199,0):'TongVTSX'!$Q$1500,0)+R199)))</f>
        <v/>
      </c>
      <c r="S200" s="76" t="str">
        <f ca="1">IFERROR(IF(COUNTIF($S$3:S199,S199)&lt; INDEX($U$1:$U$7,MATCH($S199,$T$1:$T$7,0)),$S199,INDEX($T$1:$T$7,MATCH($S199,$T$1:$T$7,0)+1)),"")</f>
        <v/>
      </c>
      <c r="V200" s="1133" t="str">
        <f ca="1">IFERROR(INDEX(NVLSX!$U$2:$U$6941,MATCH($D200,NVLSX!$E$2:$E$6941,0)),"")</f>
        <v/>
      </c>
      <c r="W200" s="1143"/>
      <c r="X200" s="1143"/>
    </row>
    <row r="201" spans="1:24" s="111" customFormat="1" ht="13">
      <c r="A201" s="1398" t="str">
        <f>"TỔNG NVL - SX ĐỢT: " &amp;  IFERROR(INDEX(TinhGia!$BF$10:$BF$81,MATCH($N$1,TinhGia!$BE$10:$BE$81,0)),IF($X$1="","CẢ ĐƠN HÀNG",$X$1))</f>
        <v>TỔNG NVL - SX ĐỢT: 1</v>
      </c>
      <c r="B201" s="1398"/>
      <c r="C201" s="1398"/>
      <c r="D201" s="1398"/>
      <c r="E201" s="1398"/>
      <c r="F201" s="1398"/>
      <c r="G201" s="1398"/>
      <c r="H201" s="733">
        <f ca="1">SUBTOTAL(9,H3:H200)</f>
        <v>40127.411428571439</v>
      </c>
      <c r="I201" s="733">
        <f t="shared" ref="I201" ca="1" si="11">SUM(I3:I200)</f>
        <v>8.2799999999999994</v>
      </c>
      <c r="J201" s="733"/>
      <c r="K201" s="733"/>
      <c r="L201" s="733">
        <f t="shared" ref="L201:N201" si="12">SUM(L3:L200)</f>
        <v>0</v>
      </c>
      <c r="M201" s="733">
        <f t="shared" ca="1" si="12"/>
        <v>15536.000000000002</v>
      </c>
      <c r="N201" s="733">
        <f t="shared" si="12"/>
        <v>0</v>
      </c>
      <c r="O201" s="733">
        <f ca="1">SUBTOTAL(9,O3:O200)</f>
        <v>9505180</v>
      </c>
      <c r="P201" s="1151">
        <f ca="1">SUBTOTAL(9,P3:P200)</f>
        <v>8195047.7200000007</v>
      </c>
      <c r="Q201" s="1156"/>
      <c r="R201" s="300" t="s">
        <v>106</v>
      </c>
      <c r="S201" s="185" t="s">
        <v>106</v>
      </c>
      <c r="T201" s="20"/>
      <c r="U201" s="207"/>
      <c r="V201" s="1134" t="s">
        <v>106</v>
      </c>
      <c r="W201" s="1144"/>
      <c r="X201" s="1144"/>
    </row>
    <row r="202" spans="1:24" ht="13">
      <c r="A202" s="1399" t="str">
        <f>"TỔNG PROFILE - SX ĐỢT: " &amp; IFERROR(INDEX(TinhGia!$BF$10:$BF$81,MATCH($N$1,TinhGia!$BE$10:$BE$81,0)),IF($X$1="","CẢ ĐƠN HÀNG",$X$1))</f>
        <v>TỔNG PROFILE - SX ĐỢT: 1</v>
      </c>
      <c r="B202" s="1399"/>
      <c r="C202" s="1399"/>
      <c r="D202" s="1399"/>
      <c r="E202" s="1399"/>
      <c r="F202" s="1399"/>
      <c r="G202" s="1399"/>
      <c r="H202" s="734">
        <f ca="1">SUMPRODUCT(($S$3:$S$200=$T$2)*($H$3:$H$200))</f>
        <v>11</v>
      </c>
      <c r="I202" s="734"/>
      <c r="J202" s="734"/>
      <c r="K202" s="734"/>
      <c r="L202" s="734"/>
      <c r="M202" s="734"/>
      <c r="N202" s="734"/>
      <c r="O202" s="734"/>
      <c r="P202" s="1152"/>
      <c r="Q202" s="1156"/>
      <c r="T202" s="73"/>
      <c r="U202" s="73"/>
    </row>
    <row r="203" spans="1:24" ht="13">
      <c r="A203" s="1400" t="str">
        <f>"TỔNG SỐ TẤM KÍNH - SX ĐỢT: " &amp; IFERROR(INDEX(TinhGia!$BF$10:$BF$81,MATCH($N$1,TinhGia!$BE$10:$BE$81,0)),IF($X$1="","CẢ ĐƠN HÀNG",$X$1))</f>
        <v>TỔNG SỐ TẤM KÍNH - SX ĐỢT: 1</v>
      </c>
      <c r="B203" s="1400"/>
      <c r="C203" s="1400"/>
      <c r="D203" s="1400"/>
      <c r="E203" s="1400"/>
      <c r="F203" s="1400"/>
      <c r="G203" s="1400"/>
      <c r="H203" s="735">
        <f ca="1">SUMPRODUCT(($S$3:$S$200=$T$7)*($H$3:$H$200))</f>
        <v>2</v>
      </c>
      <c r="I203" s="735"/>
      <c r="J203" s="735"/>
      <c r="K203" s="735"/>
      <c r="L203" s="735"/>
      <c r="M203" s="735"/>
      <c r="N203" s="735"/>
      <c r="O203" s="735"/>
      <c r="P203" s="1153"/>
      <c r="Q203" s="1157"/>
    </row>
    <row r="204" spans="1:24">
      <c r="H204" s="26" t="s">
        <v>1032</v>
      </c>
    </row>
    <row r="205" spans="1:24" s="79" customFormat="1" ht="13">
      <c r="A205" s="74"/>
      <c r="B205" s="1148"/>
      <c r="C205" s="1148"/>
      <c r="E205" s="72" t="s">
        <v>1030</v>
      </c>
      <c r="F205" s="74"/>
      <c r="G205" s="72"/>
      <c r="H205" s="72" t="s">
        <v>1031</v>
      </c>
      <c r="I205" s="72"/>
      <c r="J205" s="72"/>
      <c r="K205" s="72"/>
      <c r="Q205" s="308"/>
      <c r="R205" s="73"/>
      <c r="S205" s="73"/>
      <c r="T205" s="20"/>
      <c r="U205" s="207"/>
      <c r="V205" s="261"/>
      <c r="W205" s="1127"/>
    </row>
    <row r="206" spans="1:24">
      <c r="T206" s="74"/>
      <c r="U206" s="301"/>
    </row>
  </sheetData>
  <autoFilter ref="A2:U205" xr:uid="{00000000-0009-0000-0000-000006000000}"/>
  <mergeCells count="3">
    <mergeCell ref="A201:G201"/>
    <mergeCell ref="A202:G202"/>
    <mergeCell ref="A203:G203"/>
  </mergeCells>
  <conditionalFormatting sqref="D3:P200 A3:A200">
    <cfRule type="expression" dxfId="33" priority="2">
      <formula>$S3&lt;&gt;$S2</formula>
    </cfRule>
  </conditionalFormatting>
  <dataValidations count="1">
    <dataValidation type="list" allowBlank="1" showInputMessage="1" showErrorMessage="1" promptTitle="TB" prompt="Chọn loại phiếu muốn xem" sqref="X2" xr:uid="{72A75137-54E2-4BA2-8C1F-2134885B9893}">
      <formula1>"PO, XKNVL"</formula1>
    </dataValidation>
  </dataValidations>
  <printOptions horizontalCentered="1"/>
  <pageMargins left="7.8740157480315001E-2" right="7.8740157480315001E-2" top="7.8740157480315001E-2" bottom="7.8740157480315001E-2" header="0" footer="0"/>
  <pageSetup paperSize="9" scale="82" fitToHeight="0" orientation="portrait" r:id="rId1"/>
  <headerFooter>
    <oddFooter>Page &amp;P of &amp;N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EE79A3-E9A8-4E70-8AEA-B9EE4F3E951F}">
            <xm:f>NVLSX!$W$1&lt;&gt;"Gn0508"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</x14:dxf>
          </x14:cfRule>
          <xm:sqref>O3:P200 O201:Q203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5">
    <pageSetUpPr fitToPage="1"/>
  </sheetPr>
  <dimension ref="A1:AN188"/>
  <sheetViews>
    <sheetView showGridLines="0" showZeros="0" zoomScaleNormal="100" zoomScaleSheetLayoutView="100" workbookViewId="0">
      <pane xSplit="4" ySplit="13" topLeftCell="E14" activePane="bottomRight" state="frozen"/>
      <selection pane="topRight" activeCell="E1" sqref="E1"/>
      <selection pane="bottomLeft" activeCell="A14" sqref="A14"/>
      <selection pane="bottomRight" activeCell="D7" sqref="D7"/>
    </sheetView>
  </sheetViews>
  <sheetFormatPr defaultColWidth="20.7265625" defaultRowHeight="13"/>
  <cols>
    <col min="1" max="1" width="4.1796875" style="141" customWidth="1"/>
    <col min="2" max="2" width="3.7265625" style="131" customWidth="1"/>
    <col min="3" max="3" width="7.1796875" style="132" customWidth="1"/>
    <col min="4" max="4" width="27.26953125" style="133" customWidth="1"/>
    <col min="5" max="5" width="9.81640625" style="134" customWidth="1"/>
    <col min="6" max="6" width="10.54296875" style="133" customWidth="1"/>
    <col min="7" max="7" width="10" style="133" customWidth="1"/>
    <col min="8" max="8" width="10.453125" style="133" customWidth="1"/>
    <col min="9" max="9" width="12.7265625" style="133" customWidth="1"/>
    <col min="10" max="10" width="11.1796875" style="133" customWidth="1"/>
    <col min="11" max="11" width="9" style="133" customWidth="1"/>
    <col min="12" max="12" width="12.54296875" style="133" customWidth="1"/>
    <col min="13" max="14" width="12.54296875" style="266" customWidth="1"/>
    <col min="15" max="15" width="11.1796875" style="266" customWidth="1"/>
    <col min="16" max="16" width="12.54296875" style="272" customWidth="1"/>
    <col min="17" max="17" width="12.54296875" style="266" customWidth="1"/>
    <col min="18" max="18" width="12.81640625" style="272" customWidth="1"/>
    <col min="19" max="19" width="31" style="129" customWidth="1"/>
    <col min="20" max="20" width="8.81640625" style="129" customWidth="1"/>
    <col min="21" max="21" width="12.1796875" style="129" customWidth="1"/>
    <col min="22" max="22" width="10.26953125" style="264" customWidth="1"/>
    <col min="23" max="23" width="12.54296875" style="265" customWidth="1"/>
    <col min="24" max="24" width="12.54296875" style="20" customWidth="1"/>
    <col min="25" max="25" width="12.54296875" style="265" customWidth="1"/>
    <col min="26" max="26" width="11.81640625" style="133" customWidth="1"/>
    <col min="27" max="30" width="12.54296875" style="266" customWidth="1"/>
    <col min="31" max="31" width="12.54296875" style="133" customWidth="1"/>
    <col min="32" max="32" width="14.81640625" style="266" customWidth="1"/>
    <col min="33" max="33" width="11.453125" style="266" customWidth="1"/>
    <col min="34" max="34" width="9.7265625" style="266" bestFit="1" customWidth="1"/>
    <col min="35" max="35" width="11.54296875" style="266" bestFit="1" customWidth="1"/>
    <col min="36" max="36" width="13.81640625" style="266" bestFit="1" customWidth="1"/>
    <col min="37" max="37" width="16" style="266" bestFit="1" customWidth="1"/>
    <col min="38" max="38" width="17.81640625" style="266" bestFit="1" customWidth="1"/>
    <col min="39" max="39" width="20.1796875" style="266" bestFit="1" customWidth="1"/>
    <col min="40" max="40" width="4.453125" style="266" bestFit="1" customWidth="1"/>
    <col min="41" max="16384" width="20.7265625" style="133"/>
  </cols>
  <sheetData>
    <row r="1" spans="1:40" ht="20">
      <c r="A1" s="1420" t="str">
        <f>+ThongTinChung!A1</f>
        <v>Công Ty TNHH Vật Liệu Mới Gia Nguyễn</v>
      </c>
      <c r="B1" s="1404" t="str">
        <f>"ĐỊNH MỨC VẬT TƯ " &amp; ThongTinChung!$F$2</f>
        <v>ĐỊNH MỨC VẬT TƯ BÁO GIÁ</v>
      </c>
      <c r="C1" s="1404"/>
      <c r="D1" s="1404"/>
      <c r="E1" s="1404"/>
      <c r="F1" s="1404"/>
      <c r="G1" s="1404"/>
      <c r="H1" s="1404"/>
      <c r="I1" s="1404"/>
      <c r="J1" s="151" t="s">
        <v>138</v>
      </c>
      <c r="K1" s="174" t="s">
        <v>214</v>
      </c>
      <c r="L1" s="1205"/>
      <c r="M1" s="500" t="str">
        <f>+NVLSX!B6923</f>
        <v>Uốn Vòm</v>
      </c>
      <c r="N1" s="501">
        <f>(($H$8*NVLSX!$L$6923 + $H$9*NVLSX!$L$6924 + $H$10*NVLSX!$L$6925 + $H$11*NVLSX!$L$6926 + $H$12*NVLSX!$L$6927)/1000)*$D$7</f>
        <v>0</v>
      </c>
      <c r="O1" s="501">
        <f>+N1</f>
        <v>0</v>
      </c>
      <c r="P1" s="636" t="s">
        <v>2073</v>
      </c>
      <c r="Q1" s="636" t="s">
        <v>2074</v>
      </c>
      <c r="R1" s="504" t="str">
        <f>INDEX(DanhMuc!$D$154:$D$165,MATCH(MID($K$1,4,2),DanhMuc!$B$154:$B$165,0))</f>
        <v>ALU</v>
      </c>
      <c r="S1" s="903" t="s">
        <v>1055</v>
      </c>
      <c r="T1" s="976">
        <f>IFERROR(INDEX(DanhMuc!$L$154:$L$165,MATCH($R$1,DanhMuc!$B$154:$B$165,0)),0)</f>
        <v>0</v>
      </c>
      <c r="U1" s="895">
        <f>+TinhGia!$AB$10</f>
        <v>0.5</v>
      </c>
      <c r="V1" s="892"/>
      <c r="W1" s="893">
        <f>INDEX(IF($R$1=NVLSX!$I$6922,NVLSX!$I$6938:$I$6939,NVLSX!$J$6938:$J$6939),MATCH(ThongTinChung!$F$17,NVLSX!$B$6938:$B$6939,0)) * $F$12 * $D$7</f>
        <v>0</v>
      </c>
      <c r="X1" s="779" t="s">
        <v>2434</v>
      </c>
      <c r="Y1" s="891">
        <f>+TinhGia!$AE$10</f>
        <v>0.2</v>
      </c>
      <c r="AA1" s="503"/>
      <c r="AB1" s="503"/>
      <c r="AC1" s="503" t="s">
        <v>729</v>
      </c>
      <c r="AD1" s="503" t="s">
        <v>17</v>
      </c>
      <c r="AF1" s="1177" t="str">
        <f>+M1</f>
        <v>Uốn Vòm</v>
      </c>
      <c r="AG1" s="1172">
        <f>SUMIFS($N$1:$N$7,$AH$1:$AH$7,$AF$6,$M$1:$M$7,$AF1) + SUMIFS($N$1:$N$7,$AJ$1:$AJ$7,$AF$6,$M$1:$M$7,$AF1) + SUMIFS($N$1:$N$7,$AL$1:$AL$7,$AF$6,$M$1:$M$7,$AF1)</f>
        <v>0</v>
      </c>
      <c r="AH1" s="1170" t="str">
        <f>+NVLSX!$B$6934</f>
        <v>Gia Công SX</v>
      </c>
      <c r="AI1" s="1170"/>
      <c r="AJ1" s="1170"/>
      <c r="AK1" s="1170"/>
      <c r="AL1" s="1170" t="str">
        <f>+NVLSX!$B$6936</f>
        <v>Gia Công SX &amp; LĐ &amp; VS</v>
      </c>
      <c r="AM1" s="1183"/>
      <c r="AN1" s="1170"/>
    </row>
    <row r="2" spans="1:40">
      <c r="A2" s="1420"/>
      <c r="B2" s="723" t="str">
        <f>"MSBG: "&amp;ThongTinChung!C5&amp;" - Công trình: "&amp;ThongTinChung!C6&amp;" - "&amp;ThongTinChung!E6</f>
        <v>MSBG: 231222/L1 - Công trình: BOM - Hóc Môn</v>
      </c>
      <c r="C2" s="136"/>
      <c r="F2" s="137"/>
      <c r="H2" s="1204"/>
      <c r="I2" s="1165"/>
      <c r="J2" s="137"/>
      <c r="K2" s="137"/>
      <c r="L2" s="282" t="str">
        <f ca="1">IFERROR(IF(OR(LEFT($K$1,2)=$AC$9,LEFT($K$1,2)=$AC$8),IF($Y$11&lt;$AB$11,"Bản lề khuyến nghị: " &amp; $AA$11,IF(AND($Y$11&gt;=$AB$11,$Y$11&lt;$AB$12),"Bản lề khuyến nghị: " &amp; $AA$12, IF(AND($Y$11&gt;=$AB$12,$Y$11&lt;$AB$13,$D$8/$Q$12&gt;=$AC$13,$D$8/$Q$12&lt;=$AC$14),"Bản lề khuyến nghị: " &amp; $AA$13, IF(AND($Y$11&gt;=$AB$12,$Y$11&lt;$AB$13,$D$8/$Q$12&gt;$AC$14),"Bản lề khuyến nghị: " &amp; $AA$14,"TRỌNG LƯỢNG CỬA &gt; 45KG =&gt; TỰ XEM XÉT BẢN LỀ"   ) ) ) ),  IF($Y$11&gt;=$AB$6,"TRỌNG LƯỢNG CỬA QUÁ TẢI LÀ " &amp; ROUND($Y$11,2) &amp; " KG &gt;=100KG =&gt; CHÚ Ý SỐ LƯỢNG BẢN LỀ","")),"")</f>
        <v/>
      </c>
      <c r="M2" s="508" t="str">
        <f>+NVLSX!B6924</f>
        <v>Chia đố</v>
      </c>
      <c r="N2" s="509">
        <f>INDEX(IF($R$1=NVLSX!$I$6922,NVLSX!$I$6922:$I$6941,NVLSX!$J$6922:$J$6941),MATCH($M2,NVLSX!$B$6922:$B$6941,0))*$F$9*$D$7 + SUM(N16:N19)</f>
        <v>0</v>
      </c>
      <c r="O2" s="509">
        <f>INDEX(IF($R$1=ThongTinChung!$G$17,NVLSX!$I$6922:$I$6941,NVLSX!$J$6922:$J$6941),MATCH($M2,NVLSX!$B$6922:$B$6941,0))*$F$9*$D$7 + SUM(O16:O19)</f>
        <v>0</v>
      </c>
      <c r="P2" s="637">
        <f>INDEX(IF($R$1=ThongTinChung!$G$17,NVLSX!$I$6922:$I$6941,NVLSX!$J$6922:$J$6941),MATCH($M2,NVLSX!$B$6922:$B$6941,0))*$F$9*$D$7</f>
        <v>0</v>
      </c>
      <c r="Q2" s="637">
        <f>+ SUM(N16:N19)</f>
        <v>0</v>
      </c>
      <c r="R2" s="510" t="str">
        <f>IF($F$3="","",$H$4 &amp; IF($H$3="quay trong",IF($F$3="T","L","R"),IF($F$3="T","R","L")))</f>
        <v>đa điểmR</v>
      </c>
      <c r="S2" s="904" t="s">
        <v>1061</v>
      </c>
      <c r="T2" s="896"/>
      <c r="U2" s="895">
        <f>+TinhGia!$AC$10</f>
        <v>0.5</v>
      </c>
      <c r="V2" s="892"/>
      <c r="W2" s="893">
        <f ca="1">+$P5*(1+$T4)*$Y2</f>
        <v>288325.51999999996</v>
      </c>
      <c r="X2" s="892" t="str">
        <f>+TinhGia!$AI$83</f>
        <v>Bảo hành PK</v>
      </c>
      <c r="Y2" s="891">
        <f>+TinhGia!$AI$10</f>
        <v>0.1</v>
      </c>
      <c r="Z2" s="928" t="s">
        <v>2719</v>
      </c>
      <c r="AA2" s="503"/>
      <c r="AB2" s="503"/>
      <c r="AC2" s="503" t="s">
        <v>729</v>
      </c>
      <c r="AD2" s="503" t="s">
        <v>21</v>
      </c>
      <c r="AF2" s="1177" t="str">
        <f t="shared" ref="AF2:AF10" si="0">+M2</f>
        <v>Chia đố</v>
      </c>
      <c r="AG2" s="1172">
        <f>SUMIFS($N$1:$N$7,$AH$1:$AH$7,$AF$6,$M$1:$M$7,$AF2) + SUMIFS($N$1:$N$7,$AJ$1:$AJ$7,$AF$6,$M$1:$M$7,$AF2) + SUMIFS($N$1:$N$7,$AL$1:$AL$7,$AF$6,$M$1:$M$7,$AF2)</f>
        <v>0</v>
      </c>
      <c r="AH2" s="1170" t="str">
        <f>+$AH$1</f>
        <v>Gia Công SX</v>
      </c>
      <c r="AI2" s="1170"/>
      <c r="AJ2" s="1170"/>
      <c r="AK2" s="1170"/>
      <c r="AL2" s="1170" t="str">
        <f>+NVLSX!$B$6936</f>
        <v>Gia Công SX &amp; LĐ &amp; VS</v>
      </c>
      <c r="AM2" s="1183"/>
      <c r="AN2" s="1170"/>
    </row>
    <row r="3" spans="1:40" ht="14.25" customHeight="1">
      <c r="A3" s="1420"/>
      <c r="B3" s="278"/>
      <c r="C3" s="279" t="s">
        <v>511</v>
      </c>
      <c r="D3" s="698" t="str">
        <f ca="1">SUBSTITUTE(CELL("filename",A1),LEFT(CELL("filename",A1),FIND("]",CELL("filename",A1))),"",1)</f>
        <v>MauKoXoa</v>
      </c>
      <c r="E3" s="699" t="s">
        <v>637</v>
      </c>
      <c r="F3" s="260" t="s">
        <v>2664</v>
      </c>
      <c r="G3" s="151" t="str">
        <f>IF(OR(MID($K$1,2,1) ="T",MID($K$1,2,1) ="H",LEFT($K$1,1)="S",MID($K$1,4,2) ="VN"),"tay nắm","chiều mở")</f>
        <v>chiều mở</v>
      </c>
      <c r="H3" s="156" t="s">
        <v>1553</v>
      </c>
      <c r="I3" s="1408" t="str">
        <f ca="1">IF(COUNTIF($C$74:$C$78,"Silicone-K")&gt;=1,"+ Màu keo kính?","")
&amp; CHAR(10) &amp; IF(COUNTIF($C$79:$C$98,"Silicone-LD")&gt;=1,"+ Màu keo LĐ?","")
&amp; CHAR(10) &amp; IF(AND(LEFT($K$1,2)="DQ",$I$6=0),"+ Độ hở bản lề?","")</f>
        <v xml:space="preserve">+ Màu keo kính?
+ Màu keo LĐ?
</v>
      </c>
      <c r="M3" s="508" t="str">
        <f>+NVLSX!B6925</f>
        <v>CPNVL</v>
      </c>
      <c r="N3" s="511">
        <f ca="1">SUM(N20:N106)+ N15 - IF(M6=NVLSX!$B$6933,P9,0)</f>
        <v>8188185</v>
      </c>
      <c r="O3" s="877">
        <f ca="1">SUM(O20:O106)+ O15 - IF(M6=NVLSX!$B$6933,P9,0)</f>
        <v>8188185</v>
      </c>
      <c r="P3" s="512">
        <f ca="1">IF(O3=SUM(P4:P10),O3,"SAI")</f>
        <v>8188185</v>
      </c>
      <c r="Q3" s="513" t="str">
        <f>+M3</f>
        <v>CPNVL</v>
      </c>
      <c r="R3" s="510" t="str">
        <f>IF($F$3="","",$H$3 &amp; IF($F$3="T","L","R"))</f>
        <v>quay ngoàiL</v>
      </c>
      <c r="S3" s="904" t="s">
        <v>741</v>
      </c>
      <c r="T3" s="894"/>
      <c r="U3" s="897">
        <v>0</v>
      </c>
      <c r="V3" s="892"/>
      <c r="W3" s="893">
        <f ca="1">+$P4*(1+$T4)*$Y$3</f>
        <v>929199.60000000009</v>
      </c>
      <c r="X3" s="892" t="str">
        <f>+TinhGia!$R$83</f>
        <v>Hao hụt PR (GT)</v>
      </c>
      <c r="Y3" s="891">
        <f>IF($K$1="",0,IFERROR(IF(MID($K$1,2,1)="T",INDEX(DanhMuc!$J$180:$J$189,MATCH(MID($K$1,2,1)&amp;MID($K$1,7,2),DanhMuc!$G$180:$G$189,0)),INDEX(DanhMuc!$J$180:$J$189,MATCH(MID($K$1,2,1),DanhMuc!$G$180:$G$189,0))),0))</f>
        <v>0.15000000000000002</v>
      </c>
      <c r="Z3" s="927" t="str">
        <f>MID($K$1,2,1)&amp;IF(OR(MID($K$1,2,1)="T",LEFT($K$1,1)="S"),INDEX(DanhMuc!$B$169:$B$177,MATCH($D$5,DanhMuc!$C$169:$C$177,0)),MID($K$1,4,2))&amp;"CMTN"</f>
        <v>QXFCMTN</v>
      </c>
      <c r="AA3" s="503"/>
      <c r="AB3" s="503"/>
      <c r="AC3" s="503" t="s">
        <v>731</v>
      </c>
      <c r="AD3" s="503" t="s">
        <v>730</v>
      </c>
      <c r="AE3" s="1226" t="s">
        <v>255</v>
      </c>
      <c r="AF3" s="1177" t="str">
        <f t="shared" si="0"/>
        <v>CPNVL</v>
      </c>
      <c r="AG3" s="1178">
        <f>SUMIFS($P$4:$P$10,$AI$4:$AI$10,$AF$6) + SUMIFS($P$4:$P$10,$AK$4:$AK$10,$AF$6) + SUMIFS($P$4:$P$10,$AM$4:$AM$10,$AF$6)</f>
        <v>0</v>
      </c>
      <c r="AH3" s="1170"/>
      <c r="AI3" s="1170"/>
      <c r="AJ3" s="1170"/>
      <c r="AK3" s="1170"/>
      <c r="AL3" s="1170"/>
      <c r="AM3" s="1183"/>
      <c r="AN3" s="1170"/>
    </row>
    <row r="4" spans="1:40" ht="20.25" customHeight="1">
      <c r="A4" s="1420"/>
      <c r="B4" s="1422" t="str">
        <f>IF($K1="","",VLOOKUP($K1,DanhMuc!$B$4:$C$150,2,0))</f>
        <v>Cửa đi mở quay 1 cánh  - XINGFA 55</v>
      </c>
      <c r="C4" s="1423"/>
      <c r="D4" s="1424"/>
      <c r="E4" s="151" t="str">
        <f>"Màu " &amp; $R$1</f>
        <v>Màu ALU</v>
      </c>
      <c r="F4" s="156" t="s">
        <v>390</v>
      </c>
      <c r="G4" s="151" t="str">
        <f>IF($R$1="ALU","khoá","gear")</f>
        <v>khoá</v>
      </c>
      <c r="H4" s="156" t="s">
        <v>1623</v>
      </c>
      <c r="I4" s="1408"/>
      <c r="K4" s="154"/>
      <c r="M4" s="508" t="str">
        <f>+NVLSX!B6926</f>
        <v>CPNCSX</v>
      </c>
      <c r="N4" s="509">
        <f>IF($I$2=NVLSX!$F$6930,0,INDEX(IF($R$1= NVLSX!$H$6922,NVLSX!$H$6922:$H$6941,IF($R$1=NVLSX!$I$6922,NVLSX!$I$6922:$I$6941,NVLSX!$J$6922:$J$6941)),MATCH($M4,NVLSX!$B$6922:$B$6941,0))*$F$12*$D$7)</f>
        <v>305066.66666666669</v>
      </c>
      <c r="O4" s="509">
        <f>+N4</f>
        <v>305066.66666666669</v>
      </c>
      <c r="P4" s="514">
        <f ca="1">SUM($O$20:$O$42) + O15</f>
        <v>4424760</v>
      </c>
      <c r="Q4" s="513" t="s">
        <v>412</v>
      </c>
      <c r="R4" s="510" t="str">
        <f>+$H$5 &amp; " " &amp; $H$4</f>
        <v>2 đầu chìa đa điểm</v>
      </c>
      <c r="S4" s="904" t="s">
        <v>1057</v>
      </c>
      <c r="T4" s="895">
        <f>+TinhGia!$Q$10</f>
        <v>0.4</v>
      </c>
      <c r="U4" s="898">
        <f>+TinhGia!$X$10</f>
        <v>2.5</v>
      </c>
      <c r="V4" s="892" t="str">
        <f>+TinhGia!$Q$83</f>
        <v>PR</v>
      </c>
      <c r="W4" s="607"/>
      <c r="X4" s="507"/>
      <c r="Y4" s="506"/>
      <c r="Z4" s="927" t="str">
        <f>+MID($K$1,2,1)&amp;INDEX(DanhMuc!$B$169:$B$177,MATCH($D$5,DanhMuc!$C$169:$C$177,0))&amp;"TKG"</f>
        <v>Q3HTKG</v>
      </c>
      <c r="AA4" s="503"/>
      <c r="AB4" s="503"/>
      <c r="AC4" s="503" t="s">
        <v>731</v>
      </c>
      <c r="AD4" s="503" t="s">
        <v>442</v>
      </c>
      <c r="AE4" s="1226" t="s">
        <v>412</v>
      </c>
      <c r="AF4" s="1177" t="str">
        <f t="shared" si="0"/>
        <v>CPNCSX</v>
      </c>
      <c r="AG4" s="1172">
        <f>SUMIFS($N$1:$N$7,$AH$1:$AH$7,$AF$6,$M$1:$M$7,$AF4) + SUMIFS($N$1:$N$7,$AJ$1:$AJ$7,$AF$6,$M$1:$M$7,$AF4) + SUMIFS($N$1:$N$7,$AL$1:$AL$7,$AF$6,$M$1:$M$7,$AF4)</f>
        <v>0</v>
      </c>
      <c r="AH4" s="1170" t="str">
        <f>+$AH$1</f>
        <v>Gia Công SX</v>
      </c>
      <c r="AI4" s="1170"/>
      <c r="AJ4" s="1170"/>
      <c r="AK4" s="1170"/>
      <c r="AL4" s="1170" t="str">
        <f>+NVLSX!$B$6936</f>
        <v>Gia Công SX &amp; LĐ &amp; VS</v>
      </c>
      <c r="AM4" s="1183"/>
      <c r="AN4" s="1172">
        <f>SUMIFS($P$4:$P$10,$Q$4:$Q$10,$Q4,$AI$4:$AI$10,$AF$6) + SUMIFS($P$4:$P$10,$Q$4:$Q$10,$Q4,$AK$4:$AK$10,$AF$6) + SUMIFS($P$4:$P$10,$Q$4:$Q$10,$Q4,$AM$4:$AM$10,$AF$6)</f>
        <v>0</v>
      </c>
    </row>
    <row r="5" spans="1:40" s="135" customFormat="1">
      <c r="A5" s="1420"/>
      <c r="B5" s="294"/>
      <c r="C5" s="279" t="s">
        <v>223</v>
      </c>
      <c r="D5" s="138" t="s">
        <v>85</v>
      </c>
      <c r="E5" s="152" t="s">
        <v>139</v>
      </c>
      <c r="F5" s="156" t="s">
        <v>390</v>
      </c>
      <c r="G5" s="151" t="s">
        <v>1697</v>
      </c>
      <c r="H5" s="156" t="s">
        <v>1060</v>
      </c>
      <c r="I5" s="1126" t="s">
        <v>3376</v>
      </c>
      <c r="J5" s="155"/>
      <c r="K5" s="1054" t="s">
        <v>2793</v>
      </c>
      <c r="L5" s="1055" t="s">
        <v>2792</v>
      </c>
      <c r="M5" s="508" t="str">
        <f>+NVLSX!B6927</f>
        <v>CPSXC</v>
      </c>
      <c r="N5" s="509">
        <f>IF($I$2=NVLSX!$F$6930,0,INDEX(IF($R$1= NVLSX!$H$6922,NVLSX!$H$6922:$H$6941,IF($R$1=NVLSX!$I$6922,NVLSX!$I$6922:$I$6941,NVLSX!$J$6922:$J$6941)),MATCH($M5,NVLSX!$B$6922:$B$6941,0))*$F$12*$D$7)</f>
        <v>445553.77777777775</v>
      </c>
      <c r="O5" s="509">
        <f t="shared" ref="O5:O6" si="1">+N5</f>
        <v>445553.77777777775</v>
      </c>
      <c r="P5" s="515">
        <f ca="1">SUM(O43:O73)</f>
        <v>2059468</v>
      </c>
      <c r="Q5" s="513" t="s">
        <v>84</v>
      </c>
      <c r="R5" s="510" t="str">
        <f>+$H$5 &amp; " " &amp; $H$3</f>
        <v>2 đầu chìa quay ngoài</v>
      </c>
      <c r="S5" s="904" t="s">
        <v>1056</v>
      </c>
      <c r="T5" s="895">
        <f>+TinhGia!$AH$10</f>
        <v>0.5</v>
      </c>
      <c r="U5" s="898">
        <f>+TinhGia!$Y$10</f>
        <v>0.1</v>
      </c>
      <c r="V5" s="892" t="str">
        <f>+TinhGia!$AH$83</f>
        <v>PK</v>
      </c>
      <c r="W5" s="607"/>
      <c r="X5" s="518"/>
      <c r="Y5" s="516"/>
      <c r="Z5" s="927" t="str">
        <f>+MID($K$1,2,1)&amp;INDEX(DanhMuc!$B$169:$B$177,MATCH($D$5,DanhMuc!$C$169:$C$177,0))&amp;"LK"</f>
        <v>Q3HLK</v>
      </c>
      <c r="AA5" s="516"/>
      <c r="AB5" s="516"/>
      <c r="AC5" s="516"/>
      <c r="AD5" s="516"/>
      <c r="AE5" s="1227" t="s">
        <v>84</v>
      </c>
      <c r="AF5" s="1177" t="str">
        <f t="shared" si="0"/>
        <v>CPSXC</v>
      </c>
      <c r="AG5" s="1172">
        <f>SUMIFS($N$1:$N$7,$AH$1:$AH$7,$AF$6,$M$1:$M$7,$AF5) + SUMIFS($N$1:$N$7,$AJ$1:$AJ$7,$AF$6,$M$1:$M$7,$AF5) + SUMIFS($N$1:$N$7,$AL$1:$AL$7,$AF$6,$M$1:$M$7,$AF5)</f>
        <v>0</v>
      </c>
      <c r="AH5" s="1170" t="str">
        <f>+$AH$1</f>
        <v>Gia Công SX</v>
      </c>
      <c r="AI5" s="1170"/>
      <c r="AJ5" s="1170"/>
      <c r="AK5" s="1170"/>
      <c r="AL5" s="1170" t="str">
        <f>+NVLSX!$B$6936</f>
        <v>Gia Công SX &amp; LĐ &amp; VS</v>
      </c>
      <c r="AM5" s="1184"/>
      <c r="AN5" s="1172">
        <f t="shared" ref="AN5:AN10" si="2">SUMIFS($P$4:$P$10,$Q$4:$Q$10,$Q5,$AI$4:$AI$10,$AF$6) + SUMIFS($P$4:$P$10,$Q$4:$Q$10,$Q5,$AK$4:$AK$10,$AF$6) + SUMIFS($P$4:$P$10,$Q$4:$Q$10,$Q5,$AM$4:$AM$10,$AF$6)</f>
        <v>0</v>
      </c>
    </row>
    <row r="6" spans="1:40">
      <c r="A6" s="1420"/>
      <c r="B6" s="1406" t="s">
        <v>103</v>
      </c>
      <c r="C6" s="1406"/>
      <c r="D6" s="167" t="s">
        <v>2992</v>
      </c>
      <c r="E6" s="152" t="s">
        <v>2543</v>
      </c>
      <c r="F6" s="157"/>
      <c r="G6" s="151" t="str">
        <f>IF(MID($K$1,2,1) ="T","bánh xe","bản lề")</f>
        <v>bản lề</v>
      </c>
      <c r="H6" s="156" t="s">
        <v>17</v>
      </c>
      <c r="I6" s="1057">
        <v>-5</v>
      </c>
      <c r="J6" s="153"/>
      <c r="K6" s="1056" t="str">
        <f>+"NG " &amp; F6</f>
        <v xml:space="preserve">NG </v>
      </c>
      <c r="L6" s="1056" t="str">
        <f ca="1">IF(AND($H$6&lt;&gt;"",$G$6="bản lề",SUM($U$43:$U$73)&lt;&gt;0),"(" &amp; ROUNDDOWN(SUM($U$43:$U$73)/$Q$12,0) &amp; " bản lề/cánh)","")</f>
        <v>(3 bản lề/cánh)</v>
      </c>
      <c r="M6" s="1188" t="str">
        <f>+ThongTinChung!F6</f>
        <v>TPHCM</v>
      </c>
      <c r="N6" s="509">
        <f>IF($I$2=NVLSX!$F$6930,0,INDEX(IF($R$1= NVLSX!$H$6922,NVLSX!$H$6922:$H$6941,IF($R$1=NVLSX!$I$6922,NVLSX!$I$6922:$I$6941,NVLSX!$J$6922:$J$6941)),MATCH($M6,NVLSX!$B$6922:$B$6941,0))*$F$12*$D$7) + IFERROR(INDEX(NVLSX!$G$6928:$G$6930,MATCH($I$2,NVLSX!$F$6928:$F$6930,0))*$F$12*$D$7,0)</f>
        <v>985600</v>
      </c>
      <c r="O6" s="509">
        <f t="shared" si="1"/>
        <v>985600</v>
      </c>
      <c r="P6" s="515">
        <f ca="1">SUM(O74:O78)</f>
        <v>160916</v>
      </c>
      <c r="Q6" s="513" t="s">
        <v>142</v>
      </c>
      <c r="R6" s="519" t="str">
        <f>IF($F$3="","",$H$6 &amp; IF($F$3="T","R","L"))</f>
        <v>3DR</v>
      </c>
      <c r="S6" s="904" t="s">
        <v>685</v>
      </c>
      <c r="T6" s="895">
        <f>+TinhGia!$U$10</f>
        <v>0.5</v>
      </c>
      <c r="U6" s="898">
        <f>+TinhGia!$Z$10</f>
        <v>0.3</v>
      </c>
      <c r="V6" s="892" t="str">
        <f>+TinhGia!$U$83</f>
        <v>GI</v>
      </c>
      <c r="W6" s="607"/>
      <c r="X6" s="507"/>
      <c r="Y6" s="506"/>
      <c r="Z6" s="927" t="str">
        <f>+MID($K$1,2,1)&amp;INDEX(DanhMuc!$B$169:$B$177,MATCH($D$5,DanhMuc!$C$169:$C$177,0))&amp;"BLBX"</f>
        <v>Q3HBLBX</v>
      </c>
      <c r="AA6" s="520" t="s">
        <v>729</v>
      </c>
      <c r="AB6" s="520">
        <v>100</v>
      </c>
      <c r="AC6" s="503"/>
      <c r="AD6" s="503"/>
      <c r="AE6" s="1226" t="s">
        <v>142</v>
      </c>
      <c r="AF6" s="1174" t="str">
        <f>+ThongTinChung!$F$12</f>
        <v>Không</v>
      </c>
      <c r="AG6" s="1172">
        <f>SUMIFS($N$1:$N$7,$AH$1:$AH$7,$AF$6,$M$1:$M$7,$M6) + SUMIFS($N$1:$N$7,$AJ$1:$AJ$7,$AF$6,$M$1:$M$7,$M6) + SUMIFS($N$1:$N$7,$AL$1:$AL$7,$AF$6,$M$1:$M$7,$M6)</f>
        <v>0</v>
      </c>
      <c r="AH6" s="1170"/>
      <c r="AI6" s="515" t="str">
        <f>+$AH$1</f>
        <v>Gia Công SX</v>
      </c>
      <c r="AJ6" s="1170" t="str">
        <f>+NVLSX!$B$6935</f>
        <v>Gia Công LĐ &amp; VS</v>
      </c>
      <c r="AK6" s="1170"/>
      <c r="AL6" s="1170" t="str">
        <f>+NVLSX!$B$6936</f>
        <v>Gia Công SX &amp; LĐ &amp; VS</v>
      </c>
      <c r="AM6" s="1185" t="str">
        <f>+NVLSX!$B$6936</f>
        <v>Gia Công SX &amp; LĐ &amp; VS</v>
      </c>
      <c r="AN6" s="1172">
        <f t="shared" si="2"/>
        <v>0</v>
      </c>
    </row>
    <row r="7" spans="1:40" ht="15.5">
      <c r="A7" s="1420"/>
      <c r="B7" s="278"/>
      <c r="C7" s="279" t="s">
        <v>137</v>
      </c>
      <c r="D7" s="159">
        <v>2</v>
      </c>
      <c r="E7" s="165" t="s">
        <v>25</v>
      </c>
      <c r="F7" s="862"/>
      <c r="G7" s="1410" t="str">
        <f>+M1 &amp; " (mm)"</f>
        <v>Uốn Vòm (mm)</v>
      </c>
      <c r="H7" s="1411"/>
      <c r="I7" s="161" t="s">
        <v>2796</v>
      </c>
      <c r="M7" s="508" t="str">
        <f>+NVLSX!B6937</f>
        <v>CPVS</v>
      </c>
      <c r="N7" s="521">
        <f>IF($I$2=NVLSX!$F$6930,0,IF(OR($M$6=NVLSX!$B$6932,$M$6=NVLSX!$B$6933),0,INDEX(IF($R$1= NVLSX!$H$6922,NVLSX!$H$6922:$H$6941,IF($R$1=ThongTinChung!$G$17,NVLSX!$I$6922:$I$6941,NVLSX!$J$6922:$J$6941)),MATCH($M7,NVLSX!$B$6922:$B$6941,0))*$F$12*$D$7))</f>
        <v>140800</v>
      </c>
      <c r="O7" s="521">
        <f>+N7</f>
        <v>140800</v>
      </c>
      <c r="P7" s="515">
        <f ca="1">SUM(O99:O106)</f>
        <v>1228022</v>
      </c>
      <c r="Q7" s="513" t="s">
        <v>109</v>
      </c>
      <c r="R7" s="522"/>
      <c r="S7" s="615"/>
      <c r="T7" s="891">
        <f>+TinhGia!$T$10 + $T$1</f>
        <v>0.5</v>
      </c>
      <c r="U7" s="898">
        <f>+TinhGia!$AA$10</f>
        <v>0.3</v>
      </c>
      <c r="V7" s="892" t="str">
        <f>+TinhGia!$T$83</f>
        <v>KI</v>
      </c>
      <c r="W7" s="607"/>
      <c r="X7" s="507"/>
      <c r="Y7" s="506"/>
      <c r="Z7" s="927" t="str">
        <f>+MID($K$1,2,1)&amp;MID($K$1,4,2)&amp;"NHN"</f>
        <v>QXFNHN</v>
      </c>
      <c r="AA7" s="1402" t="s">
        <v>716</v>
      </c>
      <c r="AB7" s="1403"/>
      <c r="AC7" s="503" t="str">
        <f ca="1">IF(LEFT($K$1,2)=$AC$9,IF($Y$11&lt;$AB$11,$AA$11,IF(AND($Y$11&gt;=$AB$11,$Y$11&lt;$AB$12),$AA$12, IF(AND($Y$11&gt;=$AB$12,$Y$11&lt;$AB$13,$D$8/$Q$12&gt;=$AC$13,$D$8/$Q$12&lt;=$AC$14),$AA$13, IF(AND($Y$11&gt;=$AB$12,$Y$11&lt;$AB$13,$D$8/$Q$12&gt;$AC$14),$AA$14,"TRỌNG LƯỢNG CỬA &gt; 45KG =&gt; TỰ XEM XÉT BẢN LỀ"   ) ) ) ),  IF($Y$11&gt;=$AB$6,"TRỌNG LƯỢNG CỬA QUÁ TẢI LÀ " &amp; ROUND($Y$11,2) &amp; " KG &gt;=100KG =&gt; CHÚ Ý SỐ LƯỢNG BẢN LỀ",""))</f>
        <v/>
      </c>
      <c r="AD7" s="503"/>
      <c r="AE7" s="1226" t="s">
        <v>109</v>
      </c>
      <c r="AF7" s="1177" t="str">
        <f t="shared" si="0"/>
        <v>CPVS</v>
      </c>
      <c r="AG7" s="1172">
        <f>SUMIFS($N$1:$N$7,$AH$1:$AH$7,$AF$6,$M$1:$M$7,$AF7) + SUMIFS($N$1:$N$7,$AJ$1:$AJ$7,$AF$6,$M$1:$M$7,$AF7) + SUMIFS($N$1:$N$7,$AL$1:$AL$7,$AF$6,$M$1:$M$7,$AF7)</f>
        <v>0</v>
      </c>
      <c r="AH7" s="1170"/>
      <c r="AI7" s="1170"/>
      <c r="AJ7" s="1170" t="str">
        <f>+NVLSX!$B$6935</f>
        <v>Gia Công LĐ &amp; VS</v>
      </c>
      <c r="AK7" s="1170"/>
      <c r="AL7" s="1170" t="str">
        <f>+NVLSX!$B$6936</f>
        <v>Gia Công SX &amp; LĐ &amp; VS</v>
      </c>
      <c r="AM7" s="1186"/>
      <c r="AN7" s="1172">
        <f t="shared" si="2"/>
        <v>0</v>
      </c>
    </row>
    <row r="8" spans="1:40">
      <c r="A8" s="1420"/>
      <c r="B8" s="295"/>
      <c r="C8" s="201" t="s">
        <v>81</v>
      </c>
      <c r="D8" s="313">
        <v>1600</v>
      </c>
      <c r="E8" s="158" t="s">
        <v>2068</v>
      </c>
      <c r="F8" s="165"/>
      <c r="G8" s="151" t="str">
        <f>+NVLSX!K6923</f>
        <v>Vách</v>
      </c>
      <c r="H8" s="161"/>
      <c r="I8" s="148" t="s">
        <v>2772</v>
      </c>
      <c r="M8" s="523" t="s">
        <v>238</v>
      </c>
      <c r="N8" s="524">
        <f ca="1">SUM(N1:N7)</f>
        <v>10065205.444444444</v>
      </c>
      <c r="O8" s="501">
        <f ca="1">SUM(O1:O7)</f>
        <v>10065205.444444444</v>
      </c>
      <c r="P8" s="515">
        <f ca="1">+ SUMPRODUCT(($Q$79:$Q$98=$Q8)*($O$79:$O$98)) - P10</f>
        <v>37864</v>
      </c>
      <c r="Q8" s="513" t="s">
        <v>2408</v>
      </c>
      <c r="R8" s="1407" t="s">
        <v>402</v>
      </c>
      <c r="S8" s="1407"/>
      <c r="T8" s="895">
        <f>+TinhGia!$V$10</f>
        <v>0.5</v>
      </c>
      <c r="U8" s="897"/>
      <c r="V8" s="899" t="str">
        <f>+TinhGia!$V$83</f>
        <v>VTSX</v>
      </c>
      <c r="W8" s="607"/>
      <c r="X8" s="507"/>
      <c r="Y8" s="506"/>
      <c r="Z8" s="506"/>
      <c r="AA8" s="525" t="s">
        <v>81</v>
      </c>
      <c r="AB8" s="525">
        <f>1000*Q12</f>
        <v>1000</v>
      </c>
      <c r="AC8" s="520" t="s">
        <v>733</v>
      </c>
      <c r="AD8" s="520">
        <v>45</v>
      </c>
      <c r="AE8" s="1226" t="s">
        <v>2408</v>
      </c>
      <c r="AF8" s="1177" t="str">
        <f t="shared" si="0"/>
        <v>GVHB</v>
      </c>
      <c r="AG8" s="1175">
        <f>SUM(AG1:AG7)</f>
        <v>0</v>
      </c>
      <c r="AH8" s="1170"/>
      <c r="AI8" s="515" t="str">
        <f>+$AH$1</f>
        <v>Gia Công SX</v>
      </c>
      <c r="AJ8" s="1170"/>
      <c r="AK8" s="1170"/>
      <c r="AL8" s="1170"/>
      <c r="AM8" s="1185" t="str">
        <f>+NVLSX!$B$6936</f>
        <v>Gia Công SX &amp; LĐ &amp; VS</v>
      </c>
      <c r="AN8" s="1172">
        <f t="shared" si="2"/>
        <v>0</v>
      </c>
    </row>
    <row r="9" spans="1:40">
      <c r="A9" s="1420"/>
      <c r="B9" s="278"/>
      <c r="C9" s="140" t="s">
        <v>600</v>
      </c>
      <c r="D9" s="313">
        <v>0</v>
      </c>
      <c r="E9" s="152" t="s">
        <v>141</v>
      </c>
      <c r="F9" s="164"/>
      <c r="G9" s="151" t="str">
        <f>+NVLSX!K6924</f>
        <v>Đố</v>
      </c>
      <c r="H9" s="161"/>
      <c r="I9" s="1049" t="s">
        <v>2774</v>
      </c>
      <c r="M9" s="526" t="s">
        <v>241</v>
      </c>
      <c r="N9" s="527">
        <f ca="1">SUMPRODUCT(N1:N2,$U$1:$U$2 + 1) + SUMPRODUCT(N4:N7,$U$4:$U$7 + 1) + SUMPRODUCT($P$4:$P$10,$T$4:$T$10 + 1) + $W$1*(1+$Y$1) + SUM($W$2:$W$3)</f>
        <v>16079489.108888891</v>
      </c>
      <c r="O9" s="527">
        <f ca="1">SUMPRODUCT(O1:O2,$U$1:$U$2 + 1) + SUMPRODUCT(O4:O7,$U$4:$U$7 + 1) + SUMPRODUCT($P$4:$P$10,$T$4:$T$10 + 1) + $W$1*(1+$Y$1) + SUM($W$2:$W$3)</f>
        <v>16079489.108888891</v>
      </c>
      <c r="P9" s="515">
        <f ca="1">+ SUMPRODUCT(($Q$79:$Q$98=$Q9)*($O$79:$O$98))</f>
        <v>156195</v>
      </c>
      <c r="Q9" s="513" t="s">
        <v>2409</v>
      </c>
      <c r="R9" s="901">
        <f ca="1">IFERROR(INDEX(IF(AND(MID($K$1,4,2)="RH",MID($K$1,2,1)="T"), NVLSX!$V$6492:$V$6755,IF(AND(MID($K$1,4,2)="RH",MID($K$1,2,1)&lt;&gt;"T"),NVLSX!$S$6492:$S$6755, INDIRECT(INDEX(DanhMuc!$G$154:$G$165,MATCH(MID($K$1,4,2),DanhMuc!$B$154:$B$165,0))))),   MATCH($D$6,NVLSX!$F$6492:$F$6755,0)   ),"")</f>
        <v>10</v>
      </c>
      <c r="S9" s="902" t="s">
        <v>899</v>
      </c>
      <c r="T9" s="895">
        <f>+TinhGia!$W$10</f>
        <v>0.5</v>
      </c>
      <c r="U9" s="897"/>
      <c r="V9" s="899" t="str">
        <f>+TinhGia!$W$83</f>
        <v>VTLD</v>
      </c>
      <c r="W9" s="607"/>
      <c r="X9" s="507"/>
      <c r="Y9" s="506"/>
      <c r="Z9" s="927" t="str">
        <f>MID($K$1,2,1)&amp;IF(MID($K$1,2,1)="T",INDEX(DanhMuc!$B$169:$B$177,MATCH($D$5,DanhMuc!$C$169:$C$177,0)),MID($K$1,4,2))&amp;"KK"</f>
        <v>QXFKK</v>
      </c>
      <c r="AA9" s="525" t="s">
        <v>80</v>
      </c>
      <c r="AB9" s="525">
        <v>2450</v>
      </c>
      <c r="AC9" s="520" t="s">
        <v>731</v>
      </c>
      <c r="AD9" s="520">
        <v>45</v>
      </c>
      <c r="AE9" s="1226" t="s">
        <v>2409</v>
      </c>
      <c r="AF9" s="1177" t="str">
        <f t="shared" si="0"/>
        <v>GB</v>
      </c>
      <c r="AG9" s="527">
        <f>SUMPRODUCT(AG1:AG2,$U$1:$U$2 + 1) + SUMPRODUCT(AG4:AG7,$U$4:$U$7 + 1) + SUMPRODUCT($AN$4:$AN$10,$T$4:$T$10+1) + IFERROR(SUMPRODUCT(($AK$4:$AK$10=$AF6)*($P$4:$P$10,$T$4:$T$10 + 1)),0) + IFERROR(SUMPRODUCT(($AM$4:$AM$10=$AF6)*($P$4:$P$10,$T$4:$T$10 + 1)),0) + $W$1*(1+$Y$1)</f>
        <v>0</v>
      </c>
      <c r="AH9" s="1170"/>
      <c r="AI9" s="1170"/>
      <c r="AJ9" s="1170"/>
      <c r="AK9" s="515" t="str">
        <f>+NVLSX!$B$6935</f>
        <v>Gia Công LĐ &amp; VS</v>
      </c>
      <c r="AL9" s="1170"/>
      <c r="AM9" s="1185" t="str">
        <f>+NVLSX!$B$6936</f>
        <v>Gia Công SX &amp; LĐ &amp; VS</v>
      </c>
      <c r="AN9" s="1172">
        <f t="shared" si="2"/>
        <v>0</v>
      </c>
    </row>
    <row r="10" spans="1:40" s="135" customFormat="1">
      <c r="A10" s="1420"/>
      <c r="B10" s="295"/>
      <c r="C10" s="202" t="s">
        <v>80</v>
      </c>
      <c r="D10" s="313">
        <v>2200</v>
      </c>
      <c r="E10" s="162" t="s">
        <v>400</v>
      </c>
      <c r="F10" s="164"/>
      <c r="G10" s="163" t="str">
        <f>+NVLSX!K6925</f>
        <v>Khung bao</v>
      </c>
      <c r="H10" s="161"/>
      <c r="I10" s="148" t="s">
        <v>2773</v>
      </c>
      <c r="M10" s="526" t="s">
        <v>253</v>
      </c>
      <c r="N10" s="528">
        <f ca="1">+N9/$F$12*$D$7</f>
        <v>9136073.357323233</v>
      </c>
      <c r="O10" s="528">
        <f ca="1">+O9/$F$12*$D$7</f>
        <v>9136073.357323233</v>
      </c>
      <c r="P10" s="641">
        <f ca="1">SUMPRODUCT(($U$79:$U$98=1)*($O$79:$O$98))</f>
        <v>120960</v>
      </c>
      <c r="Q10" s="642" t="s">
        <v>2081</v>
      </c>
      <c r="R10" s="901">
        <f>IFERROR(INDEX(NVLSX!$Q$6492:$Q$6921,MATCH($D$6,NVLSX!$F$6492:$F$6921,0)),"")</f>
        <v>229304</v>
      </c>
      <c r="S10" s="902" t="s">
        <v>584</v>
      </c>
      <c r="T10" s="891">
        <f>+TinhGia!$AG$10</f>
        <v>0.5</v>
      </c>
      <c r="U10" s="900"/>
      <c r="V10" s="899" t="str">
        <f>+TinhGia!$AG$83</f>
        <v>KE</v>
      </c>
      <c r="W10" s="607"/>
      <c r="X10" s="518"/>
      <c r="Y10" s="500" t="s">
        <v>646</v>
      </c>
      <c r="Z10" s="133"/>
      <c r="AA10" s="529" t="s">
        <v>714</v>
      </c>
      <c r="AB10" s="529" t="s">
        <v>715</v>
      </c>
      <c r="AC10" s="529" t="s">
        <v>721</v>
      </c>
      <c r="AD10" s="529" t="s">
        <v>721</v>
      </c>
      <c r="AE10" s="1227" t="s">
        <v>2081</v>
      </c>
      <c r="AF10" s="1177" t="str">
        <f t="shared" si="0"/>
        <v>GB/M2</v>
      </c>
      <c r="AG10" s="1176">
        <f>AG9/$F$12*$D$7</f>
        <v>0</v>
      </c>
      <c r="AH10" s="1173"/>
      <c r="AI10" s="1173"/>
      <c r="AJ10" s="1173"/>
      <c r="AK10" s="1173"/>
      <c r="AL10" s="1173"/>
      <c r="AM10" s="1184"/>
      <c r="AN10" s="1172">
        <f t="shared" si="2"/>
        <v>0</v>
      </c>
    </row>
    <row r="11" spans="1:40" s="135" customFormat="1">
      <c r="A11" s="1420"/>
      <c r="B11" s="278"/>
      <c r="C11" s="168" t="s">
        <v>601</v>
      </c>
      <c r="D11" s="1197">
        <v>0</v>
      </c>
      <c r="E11" s="160" t="s">
        <v>668</v>
      </c>
      <c r="F11" s="166">
        <f>(D8+D10)*2/1000</f>
        <v>7.6</v>
      </c>
      <c r="G11" s="151" t="str">
        <f>+NVLSX!K6926</f>
        <v>Cánh</v>
      </c>
      <c r="H11" s="161"/>
      <c r="I11" s="1049" t="s">
        <v>2774</v>
      </c>
      <c r="L11" s="150"/>
      <c r="M11" s="526"/>
      <c r="N11" s="528"/>
      <c r="O11" s="528"/>
      <c r="R11" s="530"/>
      <c r="S11" s="517"/>
      <c r="U11" s="517"/>
      <c r="V11" s="516"/>
      <c r="W11" s="608"/>
      <c r="X11" s="518"/>
      <c r="Y11" s="531">
        <f ca="1">($Y$12+$Y$107)*1.2/$Q$12</f>
        <v>79.741077599999997</v>
      </c>
      <c r="Z11" s="927" t="str">
        <f>MID($K$1,2,1)&amp;IF(MID($K$1,2,1)="T",INDEX(DanhMuc!$B$169:$B$177,MATCH($D$5,DanhMuc!$C$169:$C$177,0)),MID($K$1,4,2))&amp;"KC"</f>
        <v>QXFKC</v>
      </c>
      <c r="AA11" s="532" t="s">
        <v>642</v>
      </c>
      <c r="AB11" s="513">
        <v>35</v>
      </c>
      <c r="AC11" s="513"/>
      <c r="AD11" s="513"/>
      <c r="AF11" s="267"/>
      <c r="AG11" s="1179"/>
      <c r="AH11" s="267"/>
      <c r="AI11" s="267"/>
      <c r="AJ11" s="267"/>
      <c r="AK11" s="267"/>
      <c r="AL11" s="267"/>
      <c r="AM11" s="267"/>
      <c r="AN11" s="1175">
        <f>SUM(AN4:AN10)</f>
        <v>0</v>
      </c>
    </row>
    <row r="12" spans="1:40" s="135" customFormat="1" ht="13.5" thickBot="1">
      <c r="A12" s="1420"/>
      <c r="B12" s="280">
        <f>IFERROR(INDEX(DanhMuc!$C$199:$C$206,MATCH($D$12,DanhMuc!$B$199:$B$206,0)),0)</f>
        <v>-8</v>
      </c>
      <c r="C12" s="281" t="s">
        <v>636</v>
      </c>
      <c r="D12" s="208" t="s">
        <v>1475</v>
      </c>
      <c r="E12" s="209" t="s">
        <v>669</v>
      </c>
      <c r="F12" s="210">
        <f>D8*D10/1000000</f>
        <v>3.52</v>
      </c>
      <c r="G12" s="211" t="str">
        <f>+NVLSX!K6927</f>
        <v>Chia tia</v>
      </c>
      <c r="H12" s="212"/>
      <c r="I12" s="211" t="s">
        <v>2575</v>
      </c>
      <c r="J12" s="212">
        <v>1</v>
      </c>
      <c r="K12" s="141">
        <f>COUNTIF(NVLSX!$B$37:$B$1555,$K$1) + 1</f>
        <v>15</v>
      </c>
      <c r="L12" s="141">
        <f>IF($D$5="","",COUNTIF(NVLSX!$B$1555:$B$4655,SUBSTITUTE($K$1,MID($K$1,4,2),"00")&amp; "-" &amp; $D$5) + 1)</f>
        <v>20</v>
      </c>
      <c r="M12" s="533" t="s">
        <v>651</v>
      </c>
      <c r="N12" s="534">
        <f>INDEX(DanhMuc!$E$154:$E$165,MATCH(MID($K$1,4,2),DanhMuc!$B$154:$B$165,0))</f>
        <v>5700</v>
      </c>
      <c r="O12" s="534"/>
      <c r="P12" s="535" t="s">
        <v>140</v>
      </c>
      <c r="Q12" s="536">
        <f>IF($K$1="","",MAX(VALUE(MID($K$1,3,1)),1))</f>
        <v>1</v>
      </c>
      <c r="R12" s="518"/>
      <c r="S12" s="517"/>
      <c r="T12" s="517"/>
      <c r="U12" s="517"/>
      <c r="V12" s="608"/>
      <c r="W12" s="516"/>
      <c r="X12" s="1040">
        <f ca="1">SUM($X$14:$X$42)</f>
        <v>8</v>
      </c>
      <c r="Y12" s="531">
        <f ca="1">SUM($Y$14:$Y$42)</f>
        <v>10.631698</v>
      </c>
      <c r="Z12" s="531">
        <f ca="1">SUM(Z14:Z42)</f>
        <v>20.707216000000003</v>
      </c>
      <c r="AA12" s="532" t="s">
        <v>643</v>
      </c>
      <c r="AB12" s="513">
        <v>40</v>
      </c>
      <c r="AC12" s="513"/>
      <c r="AD12" s="513"/>
      <c r="AF12" s="267"/>
      <c r="AG12" s="1179"/>
      <c r="AH12" s="267"/>
      <c r="AI12" s="267"/>
      <c r="AJ12" s="267"/>
      <c r="AK12" s="267"/>
      <c r="AL12" s="267"/>
      <c r="AM12" s="267"/>
      <c r="AN12" s="267"/>
    </row>
    <row r="13" spans="1:40" s="141" customFormat="1" ht="31.5" customHeight="1">
      <c r="A13" s="307" t="s">
        <v>112</v>
      </c>
      <c r="B13" s="226" t="s">
        <v>9</v>
      </c>
      <c r="C13" s="227" t="s">
        <v>113</v>
      </c>
      <c r="D13" s="227" t="s">
        <v>114</v>
      </c>
      <c r="E13" s="309" t="s">
        <v>515</v>
      </c>
      <c r="F13" s="310" t="s">
        <v>1209</v>
      </c>
      <c r="G13" s="229" t="s">
        <v>117</v>
      </c>
      <c r="H13" s="227" t="s">
        <v>118</v>
      </c>
      <c r="I13" s="228" t="s">
        <v>508</v>
      </c>
      <c r="J13" s="311" t="s">
        <v>392</v>
      </c>
      <c r="K13" s="305" t="str">
        <f>COUNTA($K$14:$K$106) &amp; " - MÃ THAY THẾ/THÊM"</f>
        <v>0 - MÃ THAY THẾ/THÊM</v>
      </c>
      <c r="L13" s="306" t="str">
        <f>COUNTA($L$14:$L$106) &amp; " - SL THAY THẾ/THÊM"</f>
        <v>0 - SL THAY THẾ/THÊM</v>
      </c>
      <c r="M13" s="537" t="s">
        <v>128</v>
      </c>
      <c r="N13" s="538" t="s">
        <v>239</v>
      </c>
      <c r="O13" s="538" t="s">
        <v>2410</v>
      </c>
      <c r="P13" s="539" t="s">
        <v>115</v>
      </c>
      <c r="Q13" s="540" t="s">
        <v>509</v>
      </c>
      <c r="R13" s="541" t="s">
        <v>14</v>
      </c>
      <c r="S13" s="542" t="s">
        <v>143</v>
      </c>
      <c r="T13" s="543" t="s">
        <v>122</v>
      </c>
      <c r="U13" s="596"/>
      <c r="V13" s="544" t="s">
        <v>410</v>
      </c>
      <c r="W13" s="529" t="s">
        <v>1058</v>
      </c>
      <c r="X13" s="968" t="str">
        <f ca="1">IF($X$12=0,"","Độ dày: " &amp; MAX(X14:X42) &amp; " mm (±5%)")</f>
        <v>Độ dày: 2 mm (±5%)</v>
      </c>
      <c r="Y13" s="545" t="s">
        <v>646</v>
      </c>
      <c r="Z13" s="545" t="s">
        <v>2406</v>
      </c>
      <c r="AA13" s="532" t="s">
        <v>644</v>
      </c>
      <c r="AB13" s="513">
        <v>45</v>
      </c>
      <c r="AC13" s="513">
        <v>500</v>
      </c>
      <c r="AD13" s="713">
        <v>600</v>
      </c>
      <c r="AE13" s="103" t="s">
        <v>2287</v>
      </c>
      <c r="AF13" s="1167"/>
      <c r="AG13" s="1180"/>
      <c r="AH13" s="1167"/>
      <c r="AI13" s="1167"/>
      <c r="AJ13" s="1167"/>
      <c r="AK13" s="1167"/>
      <c r="AL13" s="1167"/>
      <c r="AM13" s="1167"/>
      <c r="AN13" s="1167"/>
    </row>
    <row r="14" spans="1:40" s="142" customFormat="1" ht="17.5">
      <c r="A14" s="230" t="s">
        <v>367</v>
      </c>
      <c r="B14" s="214" t="str">
        <f>IF($C14&lt;&gt;"",1 + MAX($B$13:$B13),"" )</f>
        <v/>
      </c>
      <c r="C14" s="288" t="str">
        <f>IF($N$1=0,"",NVLSX!$E$6923)</f>
        <v/>
      </c>
      <c r="D14" s="215" t="str">
        <f>IF($C14="","",INDEX(NVLSX!$F$2:$F$6941,MATCH($C14,NVLSX!$E$2:$E$6941,0)))</f>
        <v/>
      </c>
      <c r="E14" s="216" t="str">
        <f>IF($C14="","",IF($R14="","",INDEX(NVLSX!G$6:G$1554,$R14)))</f>
        <v/>
      </c>
      <c r="F14" s="217">
        <f>IF($C14&lt;&gt;"",SUM(H8:H12),0)</f>
        <v>0</v>
      </c>
      <c r="G14" s="218">
        <f>IF($C14&lt;&gt;"",1,0)</f>
        <v>0</v>
      </c>
      <c r="H14" s="218">
        <f t="shared" ref="H14:H19" si="3">$G14*$D$7</f>
        <v>0</v>
      </c>
      <c r="I14" s="216" t="str">
        <f>IF($C14="","",INDEX(NVLSX!K$6:K$6941,MATCH($C14,NVLSX!$E$6:$E$6941,0)))</f>
        <v/>
      </c>
      <c r="J14" s="233">
        <f>IF($C14="",0,IFERROR(INDEX(NVLSX!$M$4:$M$6941,MATCH($C14,NVLSX!$E$4:$E$6941,0)),0) + IFERROR(IF($Q14=NVLSX!$N$4,INDEX(IF($R$1=DanhMuc!$C$179,DanhMuc!$C$180:$C$188,DanhMuc!$D$180:$D$188),MATCH($F$4,DanhMuc!$B$180:$B$188,0)),0),0))</f>
        <v>0</v>
      </c>
      <c r="K14" s="234"/>
      <c r="L14" s="235"/>
      <c r="M14" s="912">
        <f>IF($C14&lt;&gt;"",ROUND($N$1/(SUM($H$8:$H$12)*$D$7),2),0)</f>
        <v>0</v>
      </c>
      <c r="N14" s="546">
        <f>ROUND(IF($C14="",0,IF($F14=0,$H14*(1+$J14)*$M14,$F14*$H14*(1+$J14)*$M14)),0)</f>
        <v>0</v>
      </c>
      <c r="O14" s="546">
        <f>ROUND(IF($C14="",0,IF($F14=0,$H14*(1+$J14)*$M14,$F14*$H14*(1+$J14)*$M14)),0)</f>
        <v>0</v>
      </c>
      <c r="P14" s="547" t="str">
        <f t="shared" ref="P14:P19" si="4">IF(OR($C14="",$C14=0),"",$F$4)</f>
        <v/>
      </c>
      <c r="Q14" s="548" t="str">
        <f>IF(OR($C14="",$C14=0),"",INDEX(NVLSX!N$6:N$6941,MATCH($C14,NVLSX!$E$6:$E$6941,0)))</f>
        <v/>
      </c>
      <c r="R14" s="549"/>
      <c r="S14" s="550"/>
      <c r="T14" s="551" t="str">
        <f>IF(OR($C14="",$C14=0),"", IF(OR(AND(OR($Q14=NVLSX!$N$4,$Q14=NVLSX!$N$6492),COUNTIFS($C$14:$C14,$C14,$F$14:$F14,$F14,$I$14:$I14,$I14)&lt;=1), COUNTIF($C$14:$C14,$C14) &lt;=1 ),$T$13, ""    ))</f>
        <v/>
      </c>
      <c r="U14" s="597"/>
      <c r="V14" s="553"/>
      <c r="W14" s="552"/>
      <c r="X14" s="599"/>
      <c r="Y14" s="554">
        <f>IFERROR(IF(SEARCH("cánh",$D14)&gt;0,INDEX(NVLSX!$T$2:$T$1555,MATCH($C14,NVLSX!$E$2:$E$1555,0)),0),0)*$F14*$G14/1000</f>
        <v>0</v>
      </c>
      <c r="Z14" s="554">
        <f>IFERROR(INDEX(NVLSX!$T$2:$T$1555,MATCH($C14,NVLSX!$E$2:$E$1555,0)),0)* ($F14/1000) *$G14</f>
        <v>0</v>
      </c>
      <c r="AA14" s="532" t="s">
        <v>645</v>
      </c>
      <c r="AB14" s="513">
        <v>45</v>
      </c>
      <c r="AC14" s="513">
        <v>600</v>
      </c>
      <c r="AD14" s="713"/>
      <c r="AE14" s="714">
        <f>ROUND((IFERROR(IF(AND($Q14=$V$8,$U14=1),$T$10,INDEX($T$4:$T$10,MATCH($Q14,$V$4:$V$10,0))),0) + 1) *$O14, -3)</f>
        <v>0</v>
      </c>
      <c r="AF14" s="270"/>
      <c r="AG14" s="270"/>
      <c r="AH14" s="270"/>
      <c r="AI14" s="270"/>
      <c r="AJ14" s="270"/>
      <c r="AK14" s="270"/>
      <c r="AL14" s="270"/>
      <c r="AM14" s="270"/>
      <c r="AN14" s="270"/>
    </row>
    <row r="15" spans="1:40" s="142" customFormat="1" ht="16.5">
      <c r="A15" s="230" t="s">
        <v>411</v>
      </c>
      <c r="B15" s="214" t="str">
        <f>IF($C15&lt;&gt;"",1 + MAX($B$13:$B14),"" )</f>
        <v/>
      </c>
      <c r="C15" s="288" t="str">
        <f>IF($F$7&gt;0,$E$7,"")</f>
        <v/>
      </c>
      <c r="D15" s="219" t="str">
        <f>IF($C15="","",VLOOKUP($C15,NVLSX!$E$5:$O$6940,NVLSX!$C$3,0))</f>
        <v/>
      </c>
      <c r="E15" s="216" t="str">
        <f>IF($C15="","",IF($R15="","",INDEX(NVLSX!G$6:G$1554,$R15)))</f>
        <v/>
      </c>
      <c r="F15" s="220">
        <f>IF($C15&lt;&gt;"",$F$7,0)</f>
        <v>0</v>
      </c>
      <c r="G15" s="221">
        <f>IF($C15&lt;&gt;"",INDEX(NVLSX!$I$5:$I$36,MATCH($C$15,NVLSX!$E$5:$E$36,0)),0)</f>
        <v>0</v>
      </c>
      <c r="H15" s="221">
        <f t="shared" si="3"/>
        <v>0</v>
      </c>
      <c r="I15" s="216" t="str">
        <f>IF($C15="","",INDEX(NVLSX!K$6:K$6941,MATCH($C15,NVLSX!$E$6:$E$6941,0)))</f>
        <v/>
      </c>
      <c r="J15" s="233">
        <f>IF($C15="",0,IFERROR(INDEX(NVLSX!$M$4:$M$6941,MATCH($C15,NVLSX!$E$4:$E$6941,0)),0) + IFERROR(IF($Q15=NVLSX!$N$4,INDEX(IF($R$1=DanhMuc!$C$179,DanhMuc!$C$180:$C$188,DanhMuc!$D$180:$D$188),MATCH($F$4,DanhMuc!$B$180:$B$188,0)),0),0))</f>
        <v>0</v>
      </c>
      <c r="K15" s="236"/>
      <c r="L15" s="237"/>
      <c r="M15" s="912">
        <f>IF($C15="",0,IF(INDEX(NVLSX!$N$2:$N$6941,MATCH($C15,NVLSX!$E$2:$E$6941,0))=NVLSX!$N$4,ROUND(INDEX(NVLSX!$L$2:$L$6941,MATCH($C15,NVLSX!$E$2:$E$6941,0))/$N$12,2),   ROUND(INDEX(NVLSX!$L$2:$L$6941,MATCH($C15,NVLSX!$E$2:$E$6941,0)),0)))</f>
        <v>0</v>
      </c>
      <c r="N15" s="546">
        <f>ROUND(IF($C15="",0,IF($F15=0,$H15*(1+$J15)*$M15,$F15*$H15*(1+$J15)*$M15)),0)</f>
        <v>0</v>
      </c>
      <c r="O15" s="555">
        <f>ROUND(IF($C15="",0,IF($F15=0,$H15*(1+$J15)*$M15,IF($N$12-$F15&gt;=$V15,$F15,MAX($N$12,$F15))*$H15*(1+$J15)*$M15)),0)</f>
        <v>0</v>
      </c>
      <c r="P15" s="547" t="str">
        <f t="shared" si="4"/>
        <v/>
      </c>
      <c r="Q15" s="548" t="str">
        <f>IF(OR($C15="",$C15=0),"",INDEX(NVLSX!N$6:N$6941,MATCH($C15,NVLSX!$E$6:$E$6941,0)))</f>
        <v/>
      </c>
      <c r="R15" s="549"/>
      <c r="S15" s="550"/>
      <c r="T15" s="551" t="str">
        <f>IF(OR($C15="",$C15=0),"", IF(OR(AND(OR($Q15=NVLSX!$N$4,$Q15=NVLSX!$N$6492),COUNTIFS($C$14:$C15,$C15,$F$14:$F15,$F15,$I$14:$I15,$I15)&lt;=1), COUNTIF($C$14:$C15,$C15) &lt;=1 ),$T$13, ""    ))</f>
        <v/>
      </c>
      <c r="U15" s="597"/>
      <c r="V15" s="556">
        <f>IF($C15="",0,INDEX(NVLSX!$P$6:$P$1554,$R15,0))</f>
        <v>0</v>
      </c>
      <c r="W15" s="552"/>
      <c r="X15" s="599"/>
      <c r="Y15" s="554">
        <f>IFERROR(IF(SEARCH("cánh",$D15)&gt;0,INDEX(NVLSX!$T$2:$T$1555,MATCH($C15,NVLSX!$E$2:$E$1555,0)),0),0)*$F15*$G15/1000</f>
        <v>0</v>
      </c>
      <c r="Z15" s="554">
        <f>IFERROR(INDEX(NVLSX!$T$2:$T$1555,MATCH($C15,NVLSX!$E$2:$E$1555,0)),0)*$F15*$G15/1000</f>
        <v>0</v>
      </c>
      <c r="AA15" s="532" t="s">
        <v>442</v>
      </c>
      <c r="AB15" s="513" t="s">
        <v>732</v>
      </c>
      <c r="AC15" s="513"/>
      <c r="AD15" s="713"/>
      <c r="AE15" s="714">
        <f t="shared" ref="AE15:AE78" si="5">ROUND((IFERROR(IF(AND($Q15=$V$8,$U15=1),$T$10,INDEX($T$4:$T$10,MATCH($Q15,$V$4:$V$10,0))),0) + 1) *$O15, -3)</f>
        <v>0</v>
      </c>
      <c r="AF15" s="270"/>
      <c r="AG15" s="270"/>
      <c r="AH15" s="270"/>
      <c r="AI15" s="270"/>
      <c r="AJ15" s="270"/>
      <c r="AK15" s="270"/>
      <c r="AL15" s="270"/>
      <c r="AM15" s="270"/>
      <c r="AN15" s="270"/>
    </row>
    <row r="16" spans="1:40" s="142" customFormat="1">
      <c r="A16" s="1415" t="s">
        <v>145</v>
      </c>
      <c r="B16" s="222" t="str">
        <f>IF($C16&lt;&gt;"",1 + MAX($B$13:$B15),"" )</f>
        <v/>
      </c>
      <c r="C16" s="289" t="str">
        <f>IF(SUM($F$9:$F$10)=0,"",IF(LEFT($K$1,2)="VK","",IF(MID($K$1,4,2)="VN","V25",NVLSX!$E$4731)))</f>
        <v/>
      </c>
      <c r="D16" s="215" t="str">
        <f>IF($C16="","",VLOOKUP($C16,NVLSX!$E$5:$O$6940,NVLSX!$C$3,0))</f>
        <v/>
      </c>
      <c r="E16" s="216"/>
      <c r="F16" s="223"/>
      <c r="G16" s="218">
        <f>TinhCTSL</f>
        <v>0</v>
      </c>
      <c r="H16" s="218">
        <f t="shared" si="3"/>
        <v>0</v>
      </c>
      <c r="I16" s="216" t="str">
        <f>IF($C16="","",INDEX(NVLSX!K$6:K$6941,MATCH($C16,NVLSX!$E$6:$E$6941,0)))</f>
        <v/>
      </c>
      <c r="J16" s="233">
        <f>IF($C16="",0,IFERROR(INDEX(NVLSX!$M$4:$M$6941,MATCH($C16,NVLSX!$E$4:$E$6941,0)),0) + IFERROR(IF($Q16=NVLSX!$N$4,INDEX(IF($R$1=DanhMuc!$C$179,DanhMuc!$C$180:$C$188,DanhMuc!$D$180:$D$188),MATCH($F$4,DanhMuc!$B$180:$B$188,0)),0),0))</f>
        <v>0</v>
      </c>
      <c r="K16" s="234"/>
      <c r="L16" s="235"/>
      <c r="M16" s="912">
        <f>IF($C16="",0,IF(INDEX(NVLSX!$N$2:$N$6941,MATCH($C16,NVLSX!$E$2:$E$6941,0))=NVLSX!$N$4,ROUND(INDEX(NVLSX!$L$2:$L$6941,MATCH($C16,NVLSX!$E$2:$E$6941,0))/$N$12,2),   ROUND(INDEX(NVLSX!$L$2:$L$6941,MATCH($C16,NVLSX!$E$2:$E$6941,0)),2)))</f>
        <v>0</v>
      </c>
      <c r="N16" s="546">
        <f t="shared" ref="N16:N19" si="6">ROUND(IF($C16="",0,IF($F16=0,$H16*(1+$J16)*$M16,$F16*$H16*(1+$J16)*$M16)),0)</f>
        <v>0</v>
      </c>
      <c r="O16" s="555">
        <f>ROUND(IF($C16="",0,IF($F16=0,$H16*(1+$J16)*$M16,$F16*$H16*(1+$J16)*$M16)),0)</f>
        <v>0</v>
      </c>
      <c r="P16" s="547" t="str">
        <f t="shared" si="4"/>
        <v/>
      </c>
      <c r="Q16" s="548" t="str">
        <f>IF(OR($C16="",$C16=0),"",INDEX(NVLSX!N$6:N$6941,MATCH($C16,NVLSX!$E$6:$E$6941,0)))</f>
        <v/>
      </c>
      <c r="R16" s="549" t="str">
        <f>IF($I$2=NVLSX!$F$6930,"",IFERROR(MATCH($C16,NVLSX!$E$6:$E$6941,0),""))</f>
        <v/>
      </c>
      <c r="S16" s="562"/>
      <c r="T16" s="551" t="str">
        <f>IF(OR($C16="",$C16=0),"", IF(OR(AND(OR($Q16=NVLSX!$N$4,$Q16=NVLSX!$N$6492),COUNTIFS($C$14:$C16,$C16,$F$14:$F16,$F16,$I$14:$I16,$I16)&lt;=1), COUNTIF($C$14:$C16,$C16) &lt;=1 ),$T$13, ""    ))</f>
        <v/>
      </c>
      <c r="U16" s="597"/>
      <c r="V16" s="553"/>
      <c r="W16" s="562" t="str">
        <f>SUBSTITUTE(SUBSTITUTE(SUBSTITUTE(SUBSTITUTE(SUBSTITUTE(SUBSTITUTE(SUBSTITUTE(SUBSTITUTE(IF($R16="",0,INDEX(NVLSX!$I$6:$I$6941,$R16)),$C$8,$D$8),$C$9,$D$9),$C$10,$D$10),$C$11,$D$11),$P$12,$Q$12),$C$12,$B$12),$G$6,$I$6),$E$9,$F$9)</f>
        <v>0</v>
      </c>
      <c r="X16" s="599"/>
      <c r="Y16" s="554">
        <f>IFERROR(IF(SEARCH("cánh",$D16)&gt;0,INDEX(NVLSX!$T$2:$T$1555,MATCH($C16,NVLSX!$E$2:$E$1555,0)),0),0)*$F16*$G16/1000</f>
        <v>0</v>
      </c>
      <c r="Z16" s="554">
        <f>IFERROR(INDEX(NVLSX!$T$2:$T$1555,MATCH($C16,NVLSX!$E$2:$E$1555,0)),0)*$F16*$G16/1000</f>
        <v>0</v>
      </c>
      <c r="AA16" s="557"/>
      <c r="AB16" s="558"/>
      <c r="AC16" s="557"/>
      <c r="AD16" s="557"/>
      <c r="AE16" s="714">
        <f t="shared" si="5"/>
        <v>0</v>
      </c>
      <c r="AF16" s="270"/>
      <c r="AG16" s="270"/>
      <c r="AH16" s="270"/>
      <c r="AI16" s="270"/>
      <c r="AJ16" s="270"/>
      <c r="AK16" s="270"/>
      <c r="AL16" s="270"/>
      <c r="AM16" s="270"/>
      <c r="AN16" s="270"/>
    </row>
    <row r="17" spans="1:40" s="142" customFormat="1">
      <c r="A17" s="1415"/>
      <c r="B17" s="222" t="str">
        <f>IF($C17&lt;&gt;"",1 + MAX($B$13:$B16),"" )</f>
        <v/>
      </c>
      <c r="C17" s="289" t="str">
        <f>IF(SUM($F$9:$F$10)=0,"",IFERROR(INDEX($C$20:$C$42,MATCH(1,$U$20:$U$42,0)),""))</f>
        <v/>
      </c>
      <c r="D17" s="215" t="str">
        <f>IF($C17="","",VLOOKUP($C17,NVLSX!$E$5:$O$6940,NVLSX!$C$3,0))</f>
        <v/>
      </c>
      <c r="E17" s="216"/>
      <c r="F17" s="223">
        <f>IF($C17="",0,$F$10)</f>
        <v>0</v>
      </c>
      <c r="G17" s="218">
        <f>IF($C17="",0,$F$9 * 2)</f>
        <v>0</v>
      </c>
      <c r="H17" s="218">
        <f t="shared" si="3"/>
        <v>0</v>
      </c>
      <c r="I17" s="216" t="str">
        <f>IF($C17="","","B/VẼ TK")</f>
        <v/>
      </c>
      <c r="J17" s="233">
        <f>IF($C17="",0,IFERROR(INDEX(NVLSX!$M$4:$M$6941,MATCH($C17,NVLSX!$E$4:$E$6941,0)),0) + IFERROR(IF($Q17=NVLSX!$N$4,INDEX(IF($R$1=DanhMuc!$C$179,DanhMuc!$C$180:$C$188,DanhMuc!$D$180:$D$188),MATCH($F$4,DanhMuc!$B$180:$B$188,0)),0),0))</f>
        <v>0</v>
      </c>
      <c r="K17" s="234"/>
      <c r="L17" s="235"/>
      <c r="M17" s="912">
        <f>IF($C17="",0,IF(INDEX(NVLSX!$N$2:$N$6941,MATCH($C17,NVLSX!$E$2:$E$6941,0))=NVLSX!$N$4,ROUND(INDEX(NVLSX!$L$2:$L$6941,MATCH($C17,NVLSX!$E$2:$E$6941,0))/$N$12,2),   ROUND(INDEX(NVLSX!$L$2:$L$6941,MATCH($C17,NVLSX!$E$2:$E$6941,0)),2)))</f>
        <v>0</v>
      </c>
      <c r="N17" s="546">
        <f t="shared" si="6"/>
        <v>0</v>
      </c>
      <c r="O17" s="555">
        <f>ROUND(IF($C17="",0,IF($F17=0,$H17*(1+$J17)*$M17,IF($N$12-$F17&gt;=$V17,$F17,MAX($N$12,$F17))*$H17*(1+$J17)*$M17)),0)</f>
        <v>0</v>
      </c>
      <c r="P17" s="547" t="str">
        <f t="shared" si="4"/>
        <v/>
      </c>
      <c r="Q17" s="548" t="str">
        <f>IF(OR($C17="",$C17=0),"",INDEX(NVLSX!N$6:N$6941,MATCH($C17,NVLSX!$E$6:$E$6941,0)))</f>
        <v/>
      </c>
      <c r="R17" s="549" t="str">
        <f>IF($I$2=NVLSX!$F$6930,"",IFERROR(MATCH($C17,NVLSX!$E$6:$E$6941,0),""))</f>
        <v/>
      </c>
      <c r="S17" s="562"/>
      <c r="T17" s="551" t="str">
        <f>IF(OR($C17="",$C17=0),"", IF(OR(AND(OR($Q17=NVLSX!$N$4,$Q17=NVLSX!$N$6492),COUNTIFS($C$14:$C17,$C17,$F$14:$F17,$F17,$I$14:$I17,$I17)&lt;=1), COUNTIF($C$14:$C17,$C17) &lt;=1 ),$T$13, ""    ))</f>
        <v/>
      </c>
      <c r="U17" s="597"/>
      <c r="V17" s="556">
        <f>IF($C17="",0,IF($R17="",INDEX(NVLSX!$P$6:$P$6757,MATCH($C17,NVLSX!$E$6:$E$6757,0),0),INDEX(NVLSX!$P$6:$P$1554,$R17,0)))</f>
        <v>0</v>
      </c>
      <c r="W17" s="562" t="str">
        <f>SUBSTITUTE(SUBSTITUTE(SUBSTITUTE(SUBSTITUTE(SUBSTITUTE(SUBSTITUTE(SUBSTITUTE(SUBSTITUTE(IF($R17="",0,INDEX(NVLSX!$I$6:$I$6941,$R17)),$C$8,$D$8),$C$9,$D$9),$C$10,$D$10),$C$11,$D$11),$P$12,$Q$12),$C$12,$B$12),$G$6,$I$6),$E$9,$F$9)</f>
        <v>0</v>
      </c>
      <c r="X17" s="599"/>
      <c r="Y17" s="554">
        <f>IFERROR(IF(SEARCH("cánh",$D17)&gt;0,INDEX(NVLSX!$T$2:$T$1555,MATCH($C17,NVLSX!$E$2:$E$1555,0)),0),0)*$F17*$G17/1000</f>
        <v>0</v>
      </c>
      <c r="Z17" s="554">
        <f>IFERROR(INDEX(NVLSX!$T$2:$T$1555,MATCH($C17,NVLSX!$E$2:$E$1555,0)),0)*$F17*$G17/1000</f>
        <v>0</v>
      </c>
      <c r="AA17" s="1228"/>
      <c r="AB17" s="558"/>
      <c r="AC17" s="557"/>
      <c r="AD17" s="557"/>
      <c r="AE17" s="714">
        <f t="shared" si="5"/>
        <v>0</v>
      </c>
      <c r="AF17" s="270"/>
      <c r="AG17" s="270"/>
      <c r="AH17" s="270"/>
      <c r="AI17" s="270"/>
      <c r="AJ17" s="270"/>
      <c r="AK17" s="270"/>
      <c r="AL17" s="270"/>
      <c r="AM17" s="270"/>
      <c r="AN17" s="270"/>
    </row>
    <row r="18" spans="1:40" s="142" customFormat="1">
      <c r="A18" s="1415"/>
      <c r="B18" s="222" t="str">
        <f>IF($C18&lt;&gt;"",1 + MAX($B$13:$B16),"" )</f>
        <v/>
      </c>
      <c r="C18" s="289" t="str">
        <f>IF(SUM($F$9:$F$10)=0,"",$F$8)</f>
        <v/>
      </c>
      <c r="D18" s="215" t="str">
        <f>IF($C18="","",VLOOKUP($C18,NVLSX!$E$5:$O$6940,NVLSX!$C$3,0))</f>
        <v/>
      </c>
      <c r="E18" s="216"/>
      <c r="F18" s="223">
        <f>+$F$10</f>
        <v>0</v>
      </c>
      <c r="G18" s="218">
        <f>+$F$9</f>
        <v>0</v>
      </c>
      <c r="H18" s="218">
        <f t="shared" si="3"/>
        <v>0</v>
      </c>
      <c r="I18" s="216" t="str">
        <f>IF($C18="","",INDEX(NVLSX!K$6:K$6941,MATCH($C18,NVLSX!$E$6:$E$6941,0)))</f>
        <v/>
      </c>
      <c r="J18" s="233">
        <f>IF($C18="",0,IFERROR(INDEX(NVLSX!$M$4:$M$6941,MATCH($C18,NVLSX!$E$4:$E$6941,0)),0) + IFERROR(IF($Q18=NVLSX!$N$4,INDEX(IF($R$1=DanhMuc!$C$179,DanhMuc!$C$180:$C$188,DanhMuc!$D$180:$D$188),MATCH($F$4,DanhMuc!$B$180:$B$188,0)),0),0))</f>
        <v>0</v>
      </c>
      <c r="K18" s="234"/>
      <c r="L18" s="235"/>
      <c r="M18" s="912">
        <f>IF($C18="",0,IF(INDEX(NVLSX!$N$2:$N$6941,MATCH($C18,NVLSX!$E$2:$E$6941,0))=NVLSX!$N$4,ROUND(INDEX(NVLSX!$L$2:$L$6941,MATCH($C18,NVLSX!$E$2:$E$6941,0))/$N$12,2),   ROUND(INDEX(NVLSX!$L$2:$L$6941,MATCH($C18,NVLSX!$E$2:$E$6941,0)),2)))</f>
        <v>0</v>
      </c>
      <c r="N18" s="546">
        <f t="shared" si="6"/>
        <v>0</v>
      </c>
      <c r="O18" s="555">
        <f>ROUND(IF($C18="",0,IF($F18=0,$H18*(1+$J18)*$M18,IF($N$12-$F18&gt;=$V18,$F18,MAX($N$12,$F18))*$H18*(1+$J18)*$M18)),0)</f>
        <v>0</v>
      </c>
      <c r="P18" s="547" t="str">
        <f t="shared" si="4"/>
        <v/>
      </c>
      <c r="Q18" s="548" t="str">
        <f>IF(OR($C18="",$C18=0),"",INDEX(NVLSX!N$6:N$6941,MATCH($C18,NVLSX!$E$6:$E$6941,0)))</f>
        <v/>
      </c>
      <c r="R18" s="549" t="str">
        <f>IF($I$2=NVLSX!$F$6930,"",IFERROR(MATCH($C18,NVLSX!$E$6:$E$6941,0),""))</f>
        <v/>
      </c>
      <c r="S18" s="562"/>
      <c r="T18" s="551" t="str">
        <f>IF(OR($C18="",$C18=0),"", IF(OR(AND(OR($Q18=NVLSX!$N$4,$Q18=NVLSX!$N$6492),COUNTIFS($C$14:$C18,$C18,$F$14:$F18,$F18,$I$14:$I18,$I18)&lt;=1), COUNTIF($C$14:$C18,$C18) &lt;=1 ),$T$13, ""    ))</f>
        <v/>
      </c>
      <c r="U18" s="598"/>
      <c r="V18" s="556">
        <f>IF($C18="",0,IF($R18="",INDEX(NVLSX!$P$6:$P$6757,MATCH($C18,NVLSX!$E$6:$E$6757,0),0),INDEX(NVLSX!$P$6:$P$1554,$R18,0)))</f>
        <v>0</v>
      </c>
      <c r="W18" s="562" t="str">
        <f>SUBSTITUTE(SUBSTITUTE(SUBSTITUTE(SUBSTITUTE(SUBSTITUTE(SUBSTITUTE(SUBSTITUTE(SUBSTITUTE(IF($R18="",0,INDEX(NVLSX!$I$6:$I$6941,$R18)),$C$8,$D$8),$C$9,$D$9),$C$10,$D$10),$C$11,$D$11),$P$12,$Q$12),$C$12,$B$12),$G$6,$I$6),$E$9,$F$9)</f>
        <v>0</v>
      </c>
      <c r="X18" s="599"/>
      <c r="Y18" s="554">
        <f>IFERROR(IF(SEARCH("cánh",$D18)&gt;0,INDEX(NVLSX!$T$2:$T$1555,MATCH($C18,NVLSX!$E$2:$E$1555,0)),0),0)*$F18*$G18/1000</f>
        <v>0</v>
      </c>
      <c r="Z18" s="554">
        <f>IFERROR(INDEX(NVLSX!$T$2:$T$1555,MATCH($C18,NVLSX!$E$2:$E$1555,0)),0)*$F18*$G18/1000</f>
        <v>0</v>
      </c>
      <c r="AA18" s="557"/>
      <c r="AB18" s="558"/>
      <c r="AC18" s="557"/>
      <c r="AD18" s="557"/>
      <c r="AE18" s="714">
        <f t="shared" si="5"/>
        <v>0</v>
      </c>
      <c r="AF18" s="270"/>
      <c r="AG18" s="270"/>
      <c r="AH18" s="270"/>
      <c r="AI18" s="270"/>
      <c r="AJ18" s="270"/>
      <c r="AK18" s="270"/>
      <c r="AL18" s="270"/>
      <c r="AM18" s="270"/>
      <c r="AN18" s="270"/>
    </row>
    <row r="19" spans="1:40" s="142" customFormat="1">
      <c r="A19" s="1415"/>
      <c r="B19" s="222" t="str">
        <f>IF($C19&lt;&gt;"",1 + MAX($B$13:$B17),"" )</f>
        <v/>
      </c>
      <c r="C19" s="289" t="str">
        <f>IF($C$18="","",INDEX(NVLSX!$G$5:$G$36,MATCH($C$18,NVLSX!$E$5:$E$36,0)))</f>
        <v/>
      </c>
      <c r="D19" s="215" t="str">
        <f>IFERROR(VLOOKUP($C19,NVLSX!$E$5:$O$6940,NVLSX!$C$3,0),"")</f>
        <v/>
      </c>
      <c r="E19" s="216" t="str">
        <f>IF($C19="","",IF($R19=0,0,INDEX(NVLSX!G$6:G$1554,$R19)))</f>
        <v/>
      </c>
      <c r="F19" s="223">
        <f>IF($C$19=0,0,$F$10)</f>
        <v>0</v>
      </c>
      <c r="G19" s="223">
        <f>IF($C$19=0,0,$F$9)</f>
        <v>0</v>
      </c>
      <c r="H19" s="218">
        <f t="shared" si="3"/>
        <v>0</v>
      </c>
      <c r="I19" s="216"/>
      <c r="J19" s="233">
        <f>IF($C19="",0,IFERROR(INDEX(NVLSX!$M$4:$M$6941,MATCH($C19,NVLSX!$E$4:$E$6941,0)),0) + IFERROR(IF($Q19=NVLSX!$N$4,INDEX(IF($R$1=DanhMuc!$C$179,DanhMuc!$C$180:$C$188,DanhMuc!$D$180:$D$188),MATCH($F$4,DanhMuc!$B$180:$B$188,0)),0),0))</f>
        <v>0</v>
      </c>
      <c r="K19" s="234"/>
      <c r="L19" s="235"/>
      <c r="M19" s="912">
        <f>IF(OR($C19=0,$C19=""),0,IF(INDEX(NVLSX!$N$2:$N$6941,MATCH($C19,NVLSX!$E$2:$E$6941,0))=NVLSX!$N$4,ROUND(INDEX(NVLSX!$L$2:$L$6941,MATCH($C19,NVLSX!$E$2:$E$6941,0))/$N$12,2),  ROUND( INDEX(NVLSX!$L$2:$L$6941,MATCH($C19,NVLSX!$E$2:$E$6941,0)),2)))</f>
        <v>0</v>
      </c>
      <c r="N19" s="546">
        <f t="shared" si="6"/>
        <v>0</v>
      </c>
      <c r="O19" s="555">
        <f>ROUND(IF($C19="",0,IF($F19=0,$H19*(1+$J19)*$M19,IF($N$12-$F19&gt;=$V19,$F19,MAX($N$12,$F19))*$H19*(1+$J19)*$M19)),0)</f>
        <v>0</v>
      </c>
      <c r="P19" s="547" t="str">
        <f t="shared" si="4"/>
        <v/>
      </c>
      <c r="Q19" s="548" t="str">
        <f>IF(OR($C19="",$C19=0),"",INDEX(NVLSX!N$6:N$6941,MATCH($C19,NVLSX!$E$6:$E$6941,0)))</f>
        <v/>
      </c>
      <c r="R19" s="549" t="str">
        <f>IF($I$2=NVLSX!$F$6930,"",IFERROR(MATCH($C19,NVLSX!$E$6:$E$6941,0),""))</f>
        <v/>
      </c>
      <c r="S19" s="562"/>
      <c r="T19" s="551" t="str">
        <f>IF(OR($C19="",$C19=0),"", IF(OR(AND(OR($Q19=NVLSX!$N$4,$Q19=NVLSX!$N$6492),COUNTIFS($C$14:$C19,$C19,$F$14:$F19,$F19,$I$14:$I19,$I19)&lt;=1), COUNTIF($C$14:$C19,$C19) &lt;=1 ),$T$13, ""    ))</f>
        <v/>
      </c>
      <c r="U19" s="510" t="s">
        <v>403</v>
      </c>
      <c r="V19" s="556">
        <f>IF($C19="",0,IF($R19="",INDEX(NVLSX!$P$6:$P$6757,MATCH($C19,NVLSX!$E$6:$E$6757,0),0),INDEX(NVLSX!$P$6:$P$1554,$R19,0)))</f>
        <v>0</v>
      </c>
      <c r="W19" s="562" t="str">
        <f>SUBSTITUTE(SUBSTITUTE(SUBSTITUTE(SUBSTITUTE(SUBSTITUTE(SUBSTITUTE(SUBSTITUTE(SUBSTITUTE(IF($R19="",0,INDEX(NVLSX!$I$6:$I$6941,$R19)),$C$8,$D$8),$C$9,$D$9),$C$10,$D$10),$C$11,$D$11),$P$12,$Q$12),$C$12,$B$12),$G$6,$I$6),$E$9,$F$9)</f>
        <v>0</v>
      </c>
      <c r="X19" s="599"/>
      <c r="Y19" s="554">
        <f>IFERROR(IF(SEARCH("cánh",$D19)&gt;0,INDEX(NVLSX!$T$2:$T$1555,MATCH($C19,NVLSX!$E$2:$E$1555,0)),0),0)*$F19*$G19/1000</f>
        <v>0</v>
      </c>
      <c r="Z19" s="554">
        <f>IFERROR(INDEX(NVLSX!$T$2:$T$1555,MATCH($C19,NVLSX!$E$2:$E$1555,0)),0)*$F19*$G19/1000</f>
        <v>0</v>
      </c>
      <c r="AA19" s="557"/>
      <c r="AB19" s="558"/>
      <c r="AC19" s="557"/>
      <c r="AD19" s="557"/>
      <c r="AE19" s="714">
        <f t="shared" si="5"/>
        <v>0</v>
      </c>
      <c r="AF19" s="270"/>
      <c r="AG19" s="270"/>
      <c r="AH19" s="270"/>
      <c r="AI19" s="270"/>
      <c r="AJ19" s="270"/>
      <c r="AK19" s="270"/>
      <c r="AL19" s="270"/>
      <c r="AM19" s="270"/>
      <c r="AN19" s="270"/>
    </row>
    <row r="20" spans="1:40">
      <c r="A20" s="1416" t="s">
        <v>144</v>
      </c>
      <c r="B20" s="149">
        <f>IF($C20&lt;&gt;"",1 + MAX($B$13:$B19),"" )</f>
        <v>1</v>
      </c>
      <c r="C20" s="290" t="str">
        <f>IF(IF($K20&lt;&gt;"",$K20,IF(OR($R20="",$G20=0),"",INDEX(NVLSX!E$6:E$1554,$R20)))=$S$9,$R$9, IF($K20&lt;&gt;"",$K20,IF(OR($R20="",$G20=0),"",INDEX(NVLSX!E$6:E$1554,$R20))))</f>
        <v>C3328</v>
      </c>
      <c r="D20" s="245" t="str">
        <f ca="1">IF($C20="","",IF($C20=$R$9,  INDEX(NVLSX!$T$6492:$T$6921,MATCH($C20,NVLSX!$S$6492:$S$6921,0)), INDEX(NVLSX!$F$2:$F$6941,MATCH($C20,NVLSX!$E$2:$E$6941,0))))</f>
        <v>Khung bao cửa đi quay 55</v>
      </c>
      <c r="E20" s="246" t="str">
        <f>IF($C20="","",IF($R20="","",INDEX(NVLSX!G$6:G$1554,$R20)))</f>
        <v>Ngang trên</v>
      </c>
      <c r="F20" s="248">
        <f>IF($C20="",0,IF(OR($L20="", RIGHT($L20,1)="*"),TinhCT,VALUE(LEFT($L20,FIND("*",$L20)-1))))</f>
        <v>1600</v>
      </c>
      <c r="G20" s="249">
        <f>IF(OR($L20="",RIGHT($L20,1)="*"),TinhCTSL,VALUE(RIGHT($L20,LEN($L20)-FIND("*",$L20))))</f>
        <v>1</v>
      </c>
      <c r="H20" s="249">
        <f t="shared" ref="H20:H93" si="7">G20*$D$7</f>
        <v>2</v>
      </c>
      <c r="I20" s="246" t="str">
        <f>IF($C20="","",IF($R20="","",INDEX(NVLSX!K$6:K$1554,$R20)))</f>
        <v>45-45</v>
      </c>
      <c r="J20" s="878">
        <f>IF($C20="",0,IFERROR(INDEX(NVLSX!$M$4:$M$6941,MATCH($C20,NVLSX!$E$4:$E$6941,0)),0) + IFERROR(IF($Q20=NVLSX!$N$4,INDEX(IF($R$1=DanhMuc!$C$179,DanhMuc!$C$180:$C$188,DanhMuc!$D$180:$D$188),MATCH($F$4,DanhMuc!$B$180:$B$188,0)),0),0))</f>
        <v>0</v>
      </c>
      <c r="K20" s="250"/>
      <c r="L20" s="251"/>
      <c r="M20" s="911">
        <f>IF($C20="",0,IF($K20="", IF(INDEX(NVLSX!$L$6:$L$1554,$R20)/$N$12&lt;&gt;0,ROUND(INDEX(NVLSX!$L$6:$L$1554,$R20)/$N$12,2),ROUND(INDEX(NVLSX!$L$2:$L$6941,MATCH($C20,NVLSX!$E$2:$E$6941,0))/$N$12,2)),IF(INDEX(NVLSX!$N$2:$N$6941,MATCH($C20,NVLSX!$E$2:$E$6941,0))=NVLSX!$N$4,ROUND(INDEX(NVLSX!$L$2:$L$6941,MATCH($C20,NVLSX!$E$2:$E$6941,0))/$N$12,2),   ROUND(INDEX(NVLSX!$L$2:$L$6941,MATCH($C20,NVLSX!$E$2:$E$6941,0)),2))))</f>
        <v>134.30000000000001</v>
      </c>
      <c r="N20" s="559">
        <f>ROUND(IF($C20="",0,IF($F20=0,$H20*(1+$J20)*$M20,$F20*$H20*(1+$J20)*$M20)),0)</f>
        <v>429760</v>
      </c>
      <c r="O20" s="555">
        <f>ROUND(IF($C20="",0,IF($F20=0,$H20*(1+$J20)*$M20,IF($N$12-$F20&gt;=$V20,$F20,MAX($N$12,$F20))*$H20*(1+$J20)*$M20)),0)</f>
        <v>429760</v>
      </c>
      <c r="P20" s="547" t="str">
        <f>IF(OR($C20="",$C20=0),"",IF($R20="",$F$4,IF(INDEX(NVLSX!$H$6:$H$1554,$R20)&lt;&gt;"",INDEX(NVLSX!$H$6:$H$1554,$R20),$F$4)))</f>
        <v>Xám ghi</v>
      </c>
      <c r="Q20" s="548" t="str">
        <f>IF(OR($C20="",$C20=0),"",INDEX(NVLSX!N$6:N$6941,MATCH($C20,NVLSX!$E$6:$E$6941,0)))</f>
        <v>PR</v>
      </c>
      <c r="R20" s="561">
        <f>IF($I$2=NVLSX!$F$6930,"",IF(TYPE(MATCH($K$1,NVLSX!$B$6:$B$1554,0))=16,"",MATCH($K$1,NVLSX!$B$6:$B$1554,0)))</f>
        <v>33</v>
      </c>
      <c r="S20" s="562" t="str">
        <f>SUBSTITUTE(SUBSTITUTE(SUBSTITUTE(SUBSTITUTE(SUBSTITUTE(SUBSTITUTE(SUBSTITUTE(IF($R20="",0,INDEX(NVLSX!J$6:J$1554,$R20)),$C$8,$D$8),$C$9,$D$9),$C$10,$D$10),$C$11,$D$11),$P$12,$Q$12),$C$12,$B$12),$G$6,$I$6)</f>
        <v>1600</v>
      </c>
      <c r="T20" s="551" t="str">
        <f>IF(OR($C20="",$C20=0),"", IF(OR(AND(OR($Q20=NVLSX!$N$4,$Q20=NVLSX!$N$6492),COUNTIFS($C$14:$C20,$C20,$F$14:$F20,$F20,$I$14:$I20,$I20)&lt;=1), COUNTIF($C$14:$C20,$C20) &lt;=1 ),$T$13, ""    ))</f>
        <v>TH</v>
      </c>
      <c r="U20" s="563">
        <f t="shared" ref="U20:U42" ca="1" si="8">IFERROR(SEARCH(LEFT($R$8,FIND("(",$R$8)-1),$D20),0)</f>
        <v>0</v>
      </c>
      <c r="V20" s="556">
        <f>IF($C20="",0,IF($R20="",INDEX(NVLSX!$P$6:$P$6757,MATCH($C20,NVLSX!$E$6:$E$6757,0),0),INDEX(NVLSX!$P$6:$P$1554,$R20,0)))</f>
        <v>0</v>
      </c>
      <c r="W20" s="552" t="str">
        <f>SUBSTITUTE(SUBSTITUTE(SUBSTITUTE(SUBSTITUTE(SUBSTITUTE(SUBSTITUTE(IF($R20="",0,IF(INDEX(NVLSX!$O$6:$O$1554,$R20,0)="",INDEX(NVLSX!$I$6:$I$1554,$R20,0),IF(OR(INDEX(NVLSX!$O$6:$O$1554,$R20,0)=$H$3,INDEX(NVLSX!$O$6:$O$1554,$R20,0)=$R$9,INDEX(NVLSX!$O$6:$O$1554,$R20,0)=$D$12,,INDEX(NVLSX!$O$6:$O$1554,$R20,0)=$H$4),INDEX(NVLSX!$I$6:$I$1554,$R20,0),0))),$C$8,$D$8),$C$9,$D$9),$C$10,$D$10),$C$11,$D$11),$P$12,$Q$12),$C$12,$B$12)</f>
        <v>1</v>
      </c>
      <c r="X20" s="550">
        <f ca="1">IF(OR(IFERROR(SEARCH("Khung",$D20,1),0)=1,IFERROR(SEARCH("Cánh",$D20,1),0)=1),IFERROR(INDEX(NVLSX!$R$2:$R$1554,MATCH($C20,NVLSX!$E$2:$E$1554,0)),0),0)</f>
        <v>2</v>
      </c>
      <c r="Y20" s="554">
        <f ca="1">IFERROR(IF(SEARCH("cánh",$D20)&gt;0,INDEX(NVLSX!$T$2:$T$1555,MATCH($C20,NVLSX!$E$2:$E$1555,0)),0),0)*$F20*$G20/1000</f>
        <v>0</v>
      </c>
      <c r="Z20" s="554">
        <f>IFERROR(INDEX(NVLSX!$T$2:$T$1555,MATCH($C20,NVLSX!$E$2:$E$1555,0)),0)*$F20*$G20/1000</f>
        <v>2.0111999999999997</v>
      </c>
      <c r="AA20" s="557"/>
      <c r="AB20" s="558"/>
      <c r="AC20" s="503"/>
      <c r="AD20" s="503"/>
      <c r="AE20" s="714">
        <f t="shared" ca="1" si="5"/>
        <v>602000</v>
      </c>
      <c r="AF20" s="270"/>
    </row>
    <row r="21" spans="1:40">
      <c r="A21" s="1416"/>
      <c r="B21" s="149">
        <f ca="1">IF($C21&lt;&gt;"",1 + MAX($B$13:$B20),"" )</f>
        <v>2</v>
      </c>
      <c r="C21" s="290" t="str">
        <f ca="1">IF(IF($K21&lt;&gt;"",$K21,IF(OR($R21="",$G21=0),"",INDEX(NVLSX!E$6:E$1554,$R21)))=$S$9,$R$9, IF($K21&lt;&gt;"",$K21,IF(OR($R21="",$G21=0),"",INDEX(NVLSX!E$6:E$1554,$R21))))</f>
        <v>C3328</v>
      </c>
      <c r="D21" s="245" t="str">
        <f ca="1">IF($C21="","",IF($C21=$R$9,  INDEX(NVLSX!$T$6492:$T$6921,MATCH($C21,NVLSX!$S$6492:$S$6921,0)), INDEX(NVLSX!$F$2:$F$6941,MATCH($C21,NVLSX!$E$2:$E$6941,0))))</f>
        <v>Khung bao cửa đi quay 55</v>
      </c>
      <c r="E21" s="246" t="str">
        <f ca="1">IF($C21="","",IF($R21="","",INDEX(NVLSX!G$6:G$1554,$R21)))</f>
        <v>Đứng</v>
      </c>
      <c r="F21" s="248">
        <f ca="1">IF($C21="",0,IF(OR($L21="", RIGHT($L21,1)="*"),TinhCT,VALUE(LEFT($L21,FIND("*",$L21)-1))))</f>
        <v>2200</v>
      </c>
      <c r="G21" s="249">
        <f ca="1">IF(OR($L21="",RIGHT($L21,1)="*"),TinhCTSL,VALUE(RIGHT($L21,LEN($L21)-FIND("*",$L21))))</f>
        <v>2</v>
      </c>
      <c r="H21" s="249">
        <f t="shared" ca="1" si="7"/>
        <v>4</v>
      </c>
      <c r="I21" s="246" t="str">
        <f ca="1">IF($C21="","",IF($R21="","",INDEX(NVLSX!K$6:K$1554,$R21)))</f>
        <v>45-90-45</v>
      </c>
      <c r="J21" s="878">
        <f ca="1">IF($C21="",0,IFERROR(INDEX(NVLSX!$M$4:$M$6941,MATCH($C21,NVLSX!$E$4:$E$6941,0)),0) + IFERROR(IF($Q21=NVLSX!$N$4,INDEX(IF($R$1=DanhMuc!$C$179,DanhMuc!$C$180:$C$188,DanhMuc!$D$180:$D$188),MATCH($F$4,DanhMuc!$B$180:$B$188,0)),0),0))</f>
        <v>0</v>
      </c>
      <c r="K21" s="250"/>
      <c r="L21" s="251"/>
      <c r="M21" s="911">
        <f ca="1">IF($C21="",0,IF($K21="", IF(INDEX(NVLSX!$L$6:$L$1554,$R21)/$N$12&lt;&gt;0,ROUND(INDEX(NVLSX!$L$6:$L$1554,$R21)/$N$12,2),ROUND(INDEX(NVLSX!$L$2:$L$6941,MATCH($C21,NVLSX!$E$2:$E$6941,0))/$N$12,2)),IF(INDEX(NVLSX!$N$2:$N$6941,MATCH($C21,NVLSX!$E$2:$E$6941,0))=NVLSX!$N$4,ROUND(INDEX(NVLSX!$L$2:$L$6941,MATCH($C21,NVLSX!$E$2:$E$6941,0))/$N$12,2),   ROUND(INDEX(NVLSX!$L$2:$L$6941,MATCH($C21,NVLSX!$E$2:$E$6941,0)),2))))</f>
        <v>134.30000000000001</v>
      </c>
      <c r="N21" s="559">
        <f t="shared" ref="N21:N42" ca="1" si="9">ROUND(IF($C21="",0,IF($F21=0,$H21*(1+$J21)*$M21,$F21*$H21*(1+$J21)*$M21)),0)</f>
        <v>1181840</v>
      </c>
      <c r="O21" s="555">
        <f t="shared" ref="O21:O42" ca="1" si="10">ROUND(IF($C21="",0,IF($F21=0,$H21*(1+$J21)*$M21,IF($N$12-$F21&gt;=$V21,$F21,MAX($N$12,$F21))*$H21*(1+$J21)*$M21)),0)</f>
        <v>1181840</v>
      </c>
      <c r="P21" s="547" t="str">
        <f ca="1">IF(OR($C21="",$C21=0),"",IF($R21="",$F$4,IF(INDEX(NVLSX!$H$6:$H$1554,$R21)&lt;&gt;"",INDEX(NVLSX!$H$6:$H$1554,$R21),$F$4)))</f>
        <v>Xám ghi</v>
      </c>
      <c r="Q21" s="548" t="str">
        <f ca="1">IF(OR($C21="",$C21=0),"",INDEX(NVLSX!N$6:N$6941,MATCH($C21,NVLSX!$E$6:$E$6941,0)))</f>
        <v>PR</v>
      </c>
      <c r="R21" s="561">
        <f ca="1">IF($I$2=NVLSX!$F$6930,"",IF(TYPE(MATCH($K$1,OFFSET(NVLSX!$B$6,R20,0):'NVLSX'!$B$1554,0)+R20)=16,"",MATCH($K$1,OFFSET(NVLSX!$B$6,R20,0):'NVLSX'!$B$1554,0)+R20))</f>
        <v>34</v>
      </c>
      <c r="S21" s="562" t="str">
        <f ca="1">SUBSTITUTE(SUBSTITUTE(SUBSTITUTE(SUBSTITUTE(SUBSTITUTE(SUBSTITUTE(SUBSTITUTE(IF($R21="",0,INDEX(NVLSX!J$6:J$1554,$R21)),$C$8,$D$8),$C$9,$D$9),$C$10,$D$10),$C$11,$D$11),$P$12,$Q$12),$C$12,$B$12),$G$6,$I$6)</f>
        <v>2200</v>
      </c>
      <c r="T21" s="551" t="str">
        <f ca="1">IF(OR($C21="",$C21=0),"", IF(OR(AND(OR($Q21=NVLSX!$N$4,$Q21=NVLSX!$N$6492),COUNTIFS($C$14:$C21,$C21,$F$14:$F21,$F21,$I$14:$I21,$I21)&lt;=1), COUNTIF($C$14:$C21,$C21) &lt;=1 ),$T$13, ""    ))</f>
        <v>TH</v>
      </c>
      <c r="U21" s="563">
        <f t="shared" ca="1" si="8"/>
        <v>0</v>
      </c>
      <c r="V21" s="556">
        <f ca="1">IF($C21="",0,IF($R21="",INDEX(NVLSX!$P$6:$P$6757,MATCH($C21,NVLSX!$E$6:$E$6757,0),0),INDEX(NVLSX!$P$6:$P$1554,$R21,0)))</f>
        <v>0</v>
      </c>
      <c r="W21" s="552" t="str">
        <f ca="1">SUBSTITUTE(SUBSTITUTE(SUBSTITUTE(SUBSTITUTE(SUBSTITUTE(SUBSTITUTE(IF($R21="",0,IF(INDEX(NVLSX!$O$6:$O$1554,$R21,0)="",INDEX(NVLSX!$I$6:$I$1554,$R21,0),IF(OR(INDEX(NVLSX!$O$6:$O$1554,$R21,0)=$H$3,INDEX(NVLSX!$O$6:$O$1554,$R21,0)=$R$9,INDEX(NVLSX!$O$6:$O$1554,$R21,0)=$D$12,,INDEX(NVLSX!$O$6:$O$1554,$R21,0)=$H$4),INDEX(NVLSX!$I$6:$I$1554,$R21,0),0))),$C$8,$D$8),$C$9,$D$9),$C$10,$D$10),$C$11,$D$11),$P$12,$Q$12),$C$12,$B$12)</f>
        <v>2</v>
      </c>
      <c r="X21" s="550">
        <f ca="1">IF(OR(IFERROR(SEARCH("Khung",$D21,1),0)=1,IFERROR(SEARCH("Cánh",$D21,1),0)=1),IFERROR(INDEX(NVLSX!$R$2:$R$1554,MATCH($C21,NVLSX!$E$2:$E$1554,0)),0),0)</f>
        <v>2</v>
      </c>
      <c r="Y21" s="554">
        <f ca="1">IFERROR(IF(SEARCH("cánh",$D21)&gt;0,INDEX(NVLSX!$T$2:$T$1555,MATCH($C21,NVLSX!$E$2:$E$1555,0)),0),0)*$F21*$G21/1000</f>
        <v>0</v>
      </c>
      <c r="Z21" s="554">
        <f ca="1">IFERROR(INDEX(NVLSX!$T$2:$T$1555,MATCH($C21,NVLSX!$E$2:$E$1555,0)),0)*$F21*$G21/1000</f>
        <v>5.5307999999999993</v>
      </c>
      <c r="AA21" s="557"/>
      <c r="AB21" s="558"/>
      <c r="AC21" s="503"/>
      <c r="AD21" s="503"/>
      <c r="AE21" s="714">
        <f t="shared" ca="1" si="5"/>
        <v>1655000</v>
      </c>
      <c r="AF21" s="270"/>
    </row>
    <row r="22" spans="1:40">
      <c r="A22" s="1416"/>
      <c r="B22" s="149">
        <f ca="1">IF($C22&lt;&gt;"",1 + MAX($B$13:$B21),"" )</f>
        <v>3</v>
      </c>
      <c r="C22" s="290" t="str">
        <f ca="1">IF(IF($K22&lt;&gt;"",$K22,IF(OR($R22="",$G22=0),"",INDEX(NVLSX!E$6:E$1554,$R22)))=$S$9,$R$9, IF($K22&lt;&gt;"",$K22,IF(OR($R22="",$G22=0),"",INDEX(NVLSX!E$6:E$1554,$R22))))</f>
        <v>C3303</v>
      </c>
      <c r="D22" s="245" t="str">
        <f ca="1">IF($C22="","",IF($C22=$R$9,  INDEX(NVLSX!$T$6492:$T$6921,MATCH($C22,NVLSX!$S$6492:$S$6921,0)), INDEX(NVLSX!$F$2:$F$6941,MATCH($C22,NVLSX!$E$2:$E$6941,0))))</f>
        <v>Cánh cửa đi mở quay NGOÀI</v>
      </c>
      <c r="E22" s="246" t="str">
        <f ca="1">IF($C22="","",IF($R22="","",INDEX(NVLSX!G$6:G$1554,$R22)))</f>
        <v>Ngang</v>
      </c>
      <c r="F22" s="248">
        <f ca="1">IF($C22="",0,IF(OR($L22="", RIGHT($L22,1)="*"),TinhCT,VALUE(LEFT($L22,FIND("*",$L22)-1))))</f>
        <v>1538</v>
      </c>
      <c r="G22" s="249">
        <f ca="1">IF(OR($L22="",RIGHT($L22,1)="*"),TinhCTSL,VALUE(RIGHT($L22,LEN($L22)-FIND("*",$L22))))</f>
        <v>2</v>
      </c>
      <c r="H22" s="249">
        <f t="shared" ca="1" si="7"/>
        <v>4</v>
      </c>
      <c r="I22" s="246" t="str">
        <f ca="1">IF($C22="","",IF($R22="","",INDEX(NVLSX!K$6:K$1554,$R22)))</f>
        <v>45-45</v>
      </c>
      <c r="J22" s="878">
        <f ca="1">IF($C22="",0,IFERROR(INDEX(NVLSX!$M$4:$M$6941,MATCH($C22,NVLSX!$E$4:$E$6941,0)),0) + IFERROR(IF($Q22=NVLSX!$N$4,INDEX(IF($R$1=DanhMuc!$C$179,DanhMuc!$C$180:$C$188,DanhMuc!$D$180:$D$188),MATCH($F$4,DanhMuc!$B$180:$B$188,0)),0),0))</f>
        <v>0</v>
      </c>
      <c r="K22" s="250"/>
      <c r="L22" s="251"/>
      <c r="M22" s="911">
        <f ca="1">IF($C22="",0,IF($K22="", IF(INDEX(NVLSX!$L$6:$L$1554,$R22)/$N$12&lt;&gt;0,ROUND(INDEX(NVLSX!$L$6:$L$1554,$R22)/$N$12,2),ROUND(INDEX(NVLSX!$L$2:$L$6941,MATCH($C22,NVLSX!$E$2:$E$6941,0))/$N$12,2)),IF(INDEX(NVLSX!$N$2:$N$6941,MATCH($C22,NVLSX!$E$2:$E$6941,0))=NVLSX!$N$4,ROUND(INDEX(NVLSX!$L$2:$L$6941,MATCH($C22,NVLSX!$E$2:$E$6941,0))/$N$12,2),   ROUND(INDEX(NVLSX!$L$2:$L$6941,MATCH($C22,NVLSX!$E$2:$E$6941,0)),2))))</f>
        <v>153.96</v>
      </c>
      <c r="N22" s="559">
        <f t="shared" ca="1" si="9"/>
        <v>947162</v>
      </c>
      <c r="O22" s="555">
        <f t="shared" ca="1" si="10"/>
        <v>947162</v>
      </c>
      <c r="P22" s="547" t="str">
        <f ca="1">IF(OR($C22="",$C22=0),"",IF($R22="",$F$4,IF(INDEX(NVLSX!$H$6:$H$1554,$R22)&lt;&gt;"",INDEX(NVLSX!$H$6:$H$1554,$R22),$F$4)))</f>
        <v>Xám ghi</v>
      </c>
      <c r="Q22" s="548" t="str">
        <f ca="1">IF(OR($C22="",$C22=0),"",INDEX(NVLSX!N$6:N$6941,MATCH($C22,NVLSX!$E$6:$E$6941,0)))</f>
        <v>PR</v>
      </c>
      <c r="R22" s="561">
        <f ca="1">IF($I$2=NVLSX!$F$6930,"",IF(TYPE(MATCH($K$1,OFFSET(NVLSX!$B$6,R21,0):'NVLSX'!$B$1554,0)+R21)=16,"",MATCH($K$1,OFFSET(NVLSX!$B$6,R21,0):'NVLSX'!$B$1554,0)+R21))</f>
        <v>35</v>
      </c>
      <c r="S22" s="562" t="str">
        <f ca="1">SUBSTITUTE(SUBSTITUTE(SUBSTITUTE(SUBSTITUTE(SUBSTITUTE(SUBSTITUTE(SUBSTITUTE(IF($R22="",0,INDEX(NVLSX!J$6:J$1554,$R22)),$C$8,$D$8),$C$9,$D$9),$C$10,$D$10),$C$11,$D$11),$P$12,$Q$12),$C$12,$B$12),$G$6,$I$6)</f>
        <v>1600 - ( 36 + -5)*2</v>
      </c>
      <c r="T22" s="551" t="str">
        <f ca="1">IF(OR($C22="",$C22=0),"", IF(OR(AND(OR($Q22=NVLSX!$N$4,$Q22=NVLSX!$N$6492),COUNTIFS($C$14:$C22,$C22,$F$14:$F22,$F22,$I$14:$I22,$I22)&lt;=1), COUNTIF($C$14:$C22,$C22) &lt;=1 ),$T$13, ""    ))</f>
        <v>TH</v>
      </c>
      <c r="U22" s="563">
        <f t="shared" ca="1" si="8"/>
        <v>0</v>
      </c>
      <c r="V22" s="556">
        <f ca="1">IF($C22="",0,IF($R22="",INDEX(NVLSX!$P$6:$P$6757,MATCH($C22,NVLSX!$E$6:$E$6757,0),0),INDEX(NVLSX!$P$6:$P$1554,$R22,0)))</f>
        <v>0</v>
      </c>
      <c r="W22" s="552" t="str">
        <f ca="1">SUBSTITUTE(SUBSTITUTE(SUBSTITUTE(SUBSTITUTE(SUBSTITUTE(SUBSTITUTE(IF($R22="",0,IF(INDEX(NVLSX!$O$6:$O$1554,$R22,0)="",INDEX(NVLSX!$I$6:$I$1554,$R22,0),IF(OR(INDEX(NVLSX!$O$6:$O$1554,$R22,0)=$H$3,INDEX(NVLSX!$O$6:$O$1554,$R22,0)=$R$9,INDEX(NVLSX!$O$6:$O$1554,$R22,0)=$D$12,,INDEX(NVLSX!$O$6:$O$1554,$R22,0)=$H$4),INDEX(NVLSX!$I$6:$I$1554,$R22,0),0))),$C$8,$D$8),$C$9,$D$9),$C$10,$D$10),$C$11,$D$11),$P$12,$Q$12),$C$12,$B$12)</f>
        <v>2</v>
      </c>
      <c r="X22" s="550">
        <f ca="1">IF(OR(IFERROR(SEARCH("Khung",$D22,1),0)=1,IFERROR(SEARCH("Cánh",$D22,1),0)=1),IFERROR(INDEX(NVLSX!$R$2:$R$1554,MATCH($C22,NVLSX!$E$2:$E$1554,0)),0),0)</f>
        <v>2</v>
      </c>
      <c r="Y22" s="554">
        <f ca="1">IFERROR(IF(SEARCH("cánh",$D22)&gt;0,INDEX(NVLSX!$T$2:$T$1555,MATCH($C22,NVLSX!$E$2:$E$1555,0)),0),0)*$F22*$G22/1000</f>
        <v>4.4325160000000006</v>
      </c>
      <c r="Z22" s="554">
        <f ca="1">IFERROR(INDEX(NVLSX!$T$2:$T$1555,MATCH($C22,NVLSX!$E$2:$E$1555,0)),0)*$F22*$G22/1000</f>
        <v>4.4325160000000006</v>
      </c>
      <c r="AA22" s="557"/>
      <c r="AB22" s="558"/>
      <c r="AC22" s="503"/>
      <c r="AD22" s="503"/>
      <c r="AE22" s="714">
        <f t="shared" ca="1" si="5"/>
        <v>1326000</v>
      </c>
      <c r="AF22" s="270"/>
    </row>
    <row r="23" spans="1:40">
      <c r="A23" s="1416"/>
      <c r="B23" s="149">
        <f ca="1">IF($C23&lt;&gt;"",1 + MAX($B$13:$B22),"" )</f>
        <v>4</v>
      </c>
      <c r="C23" s="290" t="str">
        <f ca="1">IF(IF($K23&lt;&gt;"",$K23,IF(OR($R23="",$G23=0),"",INDEX(NVLSX!E$6:E$1554,$R23)))=$S$9,$R$9, IF($K23&lt;&gt;"",$K23,IF(OR($R23="",$G23=0),"",INDEX(NVLSX!E$6:E$1554,$R23))))</f>
        <v>C3303</v>
      </c>
      <c r="D23" s="245" t="str">
        <f ca="1">IF($C23="","",IF($C23=$R$9,  INDEX(NVLSX!$T$6492:$T$6921,MATCH($C23,NVLSX!$S$6492:$S$6921,0)), INDEX(NVLSX!$F$2:$F$6941,MATCH($C23,NVLSX!$E$2:$E$6941,0))))</f>
        <v>Cánh cửa đi mở quay NGOÀI</v>
      </c>
      <c r="E23" s="246" t="str">
        <f ca="1">IF($C23="","",IF($R23="","",INDEX(NVLSX!G$6:G$1554,$R23)))</f>
        <v>Đứng</v>
      </c>
      <c r="F23" s="248">
        <f ca="1">IF($C23="",0,IF(OR($L23="", RIGHT($L23,1)="*"),TinhCT,VALUE(LEFT($L23,FIND("*",$L23)-1))))</f>
        <v>2151</v>
      </c>
      <c r="G23" s="249">
        <f ca="1">IF(OR($L23="",RIGHT($L23,1)="*"),TinhCTSL,VALUE(RIGHT($L23,LEN($L23)-FIND("*",$L23))))</f>
        <v>2</v>
      </c>
      <c r="H23" s="249">
        <f t="shared" ca="1" si="7"/>
        <v>4</v>
      </c>
      <c r="I23" s="246" t="str">
        <f ca="1">IF($C23="","",IF($R23="","",INDEX(NVLSX!K$6:K$1554,$R23)))</f>
        <v>45-45</v>
      </c>
      <c r="J23" s="878">
        <f ca="1">IF($C23="",0,IFERROR(INDEX(NVLSX!$M$4:$M$6941,MATCH($C23,NVLSX!$E$4:$E$6941,0)),0) + IFERROR(IF($Q23=NVLSX!$N$4,INDEX(IF($R$1=DanhMuc!$C$179,DanhMuc!$C$180:$C$188,DanhMuc!$D$180:$D$188),MATCH($F$4,DanhMuc!$B$180:$B$188,0)),0),0))</f>
        <v>0</v>
      </c>
      <c r="K23" s="250"/>
      <c r="L23" s="251"/>
      <c r="M23" s="911">
        <f ca="1">IF($C23="",0,IF($K23="", IF(INDEX(NVLSX!$L$6:$L$1554,$R23)/$N$12&lt;&gt;0,ROUND(INDEX(NVLSX!$L$6:$L$1554,$R23)/$N$12,2),ROUND(INDEX(NVLSX!$L$2:$L$6941,MATCH($C23,NVLSX!$E$2:$E$6941,0))/$N$12,2)),IF(INDEX(NVLSX!$N$2:$N$6941,MATCH($C23,NVLSX!$E$2:$E$6941,0))=NVLSX!$N$4,ROUND(INDEX(NVLSX!$L$2:$L$6941,MATCH($C23,NVLSX!$E$2:$E$6941,0))/$N$12,2),   ROUND(INDEX(NVLSX!$L$2:$L$6941,MATCH($C23,NVLSX!$E$2:$E$6941,0)),2))))</f>
        <v>153.96</v>
      </c>
      <c r="N23" s="559">
        <f t="shared" ca="1" si="9"/>
        <v>1324672</v>
      </c>
      <c r="O23" s="555">
        <f t="shared" ca="1" si="10"/>
        <v>1324672</v>
      </c>
      <c r="P23" s="547" t="str">
        <f ca="1">IF(OR($C23="",$C23=0),"",IF($R23="",$F$4,IF(INDEX(NVLSX!$H$6:$H$1554,$R23)&lt;&gt;"",INDEX(NVLSX!$H$6:$H$1554,$R23),$F$4)))</f>
        <v>Xám ghi</v>
      </c>
      <c r="Q23" s="548" t="str">
        <f ca="1">IF(OR($C23="",$C23=0),"",INDEX(NVLSX!N$6:N$6941,MATCH($C23,NVLSX!$E$6:$E$6941,0)))</f>
        <v>PR</v>
      </c>
      <c r="R23" s="561">
        <f ca="1">IF($I$2=NVLSX!$F$6930,"",IF(TYPE(MATCH($K$1,OFFSET(NVLSX!$B$6,R22,0):'NVLSX'!$B$1554,0)+R22)=16,"",MATCH($K$1,OFFSET(NVLSX!$B$6,R22,0):'NVLSX'!$B$1554,0)+R22))</f>
        <v>36</v>
      </c>
      <c r="S23" s="562" t="str">
        <f ca="1">SUBSTITUTE(SUBSTITUTE(SUBSTITUTE(SUBSTITUTE(SUBSTITUTE(SUBSTITUTE(SUBSTITUTE(IF($R23="",0,INDEX(NVLSX!J$6:J$1554,$R23)),$C$8,$D$8),$C$9,$D$9),$C$10,$D$10),$C$11,$D$11),$P$12,$Q$12),$C$12,$B$12),$G$6,$I$6)</f>
        <v>2200 - 41 + -8</v>
      </c>
      <c r="T23" s="551" t="str">
        <f ca="1">IF(OR($C23="",$C23=0),"", IF(OR(AND(OR($Q23=NVLSX!$N$4,$Q23=NVLSX!$N$6492),COUNTIFS($C$14:$C23,$C23,$F$14:$F23,$F23,$I$14:$I23,$I23)&lt;=1), COUNTIF($C$14:$C23,$C23) &lt;=1 ),$T$13, ""    ))</f>
        <v>TH</v>
      </c>
      <c r="U23" s="563">
        <f t="shared" ca="1" si="8"/>
        <v>0</v>
      </c>
      <c r="V23" s="556">
        <f ca="1">IF($C23="",0,IF($R23="",INDEX(NVLSX!$P$6:$P$6757,MATCH($C23,NVLSX!$E$6:$E$6757,0),0),INDEX(NVLSX!$P$6:$P$1554,$R23,0)))</f>
        <v>0</v>
      </c>
      <c r="W23" s="552" t="str">
        <f ca="1">SUBSTITUTE(SUBSTITUTE(SUBSTITUTE(SUBSTITUTE(SUBSTITUTE(SUBSTITUTE(IF($R23="",0,IF(INDEX(NVLSX!$O$6:$O$1554,$R23,0)="",INDEX(NVLSX!$I$6:$I$1554,$R23,0),IF(OR(INDEX(NVLSX!$O$6:$O$1554,$R23,0)=$H$3,INDEX(NVLSX!$O$6:$O$1554,$R23,0)=$R$9,INDEX(NVLSX!$O$6:$O$1554,$R23,0)=$D$12,,INDEX(NVLSX!$O$6:$O$1554,$R23,0)=$H$4),INDEX(NVLSX!$I$6:$I$1554,$R23,0),0))),$C$8,$D$8),$C$9,$D$9),$C$10,$D$10),$C$11,$D$11),$P$12,$Q$12),$C$12,$B$12)</f>
        <v>2</v>
      </c>
      <c r="X23" s="550">
        <f ca="1">IF(OR(IFERROR(SEARCH("Khung",$D23,1),0)=1,IFERROR(SEARCH("Cánh",$D23,1),0)=1),IFERROR(INDEX(NVLSX!$R$2:$R$1554,MATCH($C23,NVLSX!$E$2:$E$1554,0)),0),0)</f>
        <v>2</v>
      </c>
      <c r="Y23" s="554">
        <f ca="1">IFERROR(IF(SEARCH("cánh",$D23)&gt;0,INDEX(NVLSX!$T$2:$T$1555,MATCH($C23,NVLSX!$E$2:$E$1555,0)),0),0)*$F23*$G23/1000</f>
        <v>6.1991820000000004</v>
      </c>
      <c r="Z23" s="554">
        <f ca="1">IFERROR(INDEX(NVLSX!$T$2:$T$1555,MATCH($C23,NVLSX!$E$2:$E$1555,0)),0)*$F23*$G23/1000</f>
        <v>6.1991820000000004</v>
      </c>
      <c r="AA23" s="557"/>
      <c r="AB23" s="558"/>
      <c r="AC23" s="503"/>
      <c r="AD23" s="503"/>
      <c r="AE23" s="714">
        <f t="shared" ca="1" si="5"/>
        <v>1855000</v>
      </c>
      <c r="AF23" s="270"/>
    </row>
    <row r="24" spans="1:40">
      <c r="A24" s="1416"/>
      <c r="B24" s="149" t="str">
        <f ca="1">IF($C24&lt;&gt;"",1 + MAX($B$13:$B23),"" )</f>
        <v/>
      </c>
      <c r="C24" s="290" t="str">
        <f ca="1">IF(IF($K24&lt;&gt;"",$K24,IF(OR($R24="",$G24=0),"",INDEX(NVLSX!E$6:E$1554,$R24)))=$S$9,$R$9, IF($K24&lt;&gt;"",$K24,IF(OR($R24="",$G24=0),"",INDEX(NVLSX!E$6:E$1554,$R24))))</f>
        <v/>
      </c>
      <c r="D24" s="245" t="str">
        <f ca="1">IF($C24="","",IF($C24=$R$9,  INDEX(NVLSX!$T$6492:$T$6921,MATCH($C24,NVLSX!$S$6492:$S$6921,0)), INDEX(NVLSX!$F$2:$F$6941,MATCH($C24,NVLSX!$E$2:$E$6941,0))))</f>
        <v/>
      </c>
      <c r="E24" s="246" t="str">
        <f ca="1">IF($C24="","",IF($R24="","",INDEX(NVLSX!G$6:G$1554,$R24)))</f>
        <v/>
      </c>
      <c r="F24" s="248">
        <f ca="1">IF($C24="",0,IF(OR($L24="", RIGHT($L24,1)="*"),TinhCT,VALUE(LEFT($L24,FIND("*",$L24)-1))))</f>
        <v>0</v>
      </c>
      <c r="G24" s="249">
        <f ca="1">IF(OR($L24="",RIGHT($L24,1)="*"),TinhCTSL,VALUE(RIGHT($L24,LEN($L24)-FIND("*",$L24))))</f>
        <v>0</v>
      </c>
      <c r="H24" s="249">
        <f t="shared" ca="1" si="7"/>
        <v>0</v>
      </c>
      <c r="I24" s="246" t="str">
        <f ca="1">IF($C24="","",IF($R24="","",INDEX(NVLSX!K$6:K$1554,$R24)))</f>
        <v/>
      </c>
      <c r="J24" s="878">
        <f ca="1">IF($C24="",0,IFERROR(INDEX(NVLSX!$M$4:$M$6941,MATCH($C24,NVLSX!$E$4:$E$6941,0)),0) + IFERROR(IF($Q24=NVLSX!$N$4,INDEX(IF($R$1=DanhMuc!$C$179,DanhMuc!$C$180:$C$188,DanhMuc!$D$180:$D$188),MATCH($F$4,DanhMuc!$B$180:$B$188,0)),0),0))</f>
        <v>0</v>
      </c>
      <c r="K24" s="250"/>
      <c r="L24" s="251"/>
      <c r="M24" s="911">
        <f ca="1">IF($C24="",0,IF($K24="", IF(INDEX(NVLSX!$L$6:$L$1554,$R24)/$N$12&lt;&gt;0,ROUND(INDEX(NVLSX!$L$6:$L$1554,$R24)/$N$12,2),ROUND(INDEX(NVLSX!$L$2:$L$6941,MATCH($C24,NVLSX!$E$2:$E$6941,0))/$N$12,2)),IF(INDEX(NVLSX!$N$2:$N$6941,MATCH($C24,NVLSX!$E$2:$E$6941,0))=NVLSX!$N$4,ROUND(INDEX(NVLSX!$L$2:$L$6941,MATCH($C24,NVLSX!$E$2:$E$6941,0))/$N$12,2),   ROUND(INDEX(NVLSX!$L$2:$L$6941,MATCH($C24,NVLSX!$E$2:$E$6941,0)),2))))</f>
        <v>0</v>
      </c>
      <c r="N24" s="559">
        <f t="shared" ca="1" si="9"/>
        <v>0</v>
      </c>
      <c r="O24" s="555">
        <f t="shared" ca="1" si="10"/>
        <v>0</v>
      </c>
      <c r="P24" s="547" t="str">
        <f ca="1">IF(OR($C24="",$C24=0),"",IF($R24="",$F$4,IF(INDEX(NVLSX!$H$6:$H$1554,$R24)&lt;&gt;"",INDEX(NVLSX!$H$6:$H$1554,$R24),$F$4)))</f>
        <v/>
      </c>
      <c r="Q24" s="548" t="str">
        <f ca="1">IF(OR($C24="",$C24=0),"",INDEX(NVLSX!N$6:N$6941,MATCH($C24,NVLSX!$E$6:$E$6941,0)))</f>
        <v/>
      </c>
      <c r="R24" s="561">
        <f ca="1">IF($I$2=NVLSX!$F$6930,"",IF(TYPE(MATCH($K$1,OFFSET(NVLSX!$B$6,R23,0):'NVLSX'!$B$1554,0)+R23)=16,"",MATCH($K$1,OFFSET(NVLSX!$B$6,R23,0):'NVLSX'!$B$1554,0)+R23))</f>
        <v>37</v>
      </c>
      <c r="S24" s="562" t="str">
        <f ca="1">SUBSTITUTE(SUBSTITUTE(SUBSTITUTE(SUBSTITUTE(SUBSTITUTE(SUBSTITUTE(SUBSTITUTE(IF($R24="",0,INDEX(NVLSX!J$6:J$1554,$R24)),$C$8,$D$8),$C$9,$D$9),$C$10,$D$10),$C$11,$D$11),$P$12,$Q$12),$C$12,$B$12),$G$6,$I$6)</f>
        <v>1600 - ( 36 + -5)*2</v>
      </c>
      <c r="T24" s="551" t="str">
        <f ca="1">IF(OR($C24="",$C24=0),"", IF(OR(AND(OR($Q24=NVLSX!$N$4,$Q24=NVLSX!$N$6492),COUNTIFS($C$14:$C24,$C24,$F$14:$F24,$F24,$I$14:$I24,$I24)&lt;=1), COUNTIF($C$14:$C24,$C24) &lt;=1 ),$T$13, ""    ))</f>
        <v/>
      </c>
      <c r="U24" s="563">
        <f t="shared" ca="1" si="8"/>
        <v>0</v>
      </c>
      <c r="V24" s="556">
        <f ca="1">IF($C24="",0,IF($R24="",INDEX(NVLSX!$P$6:$P$6757,MATCH($C24,NVLSX!$E$6:$E$6757,0),0),INDEX(NVLSX!$P$6:$P$1554,$R24,0)))</f>
        <v>0</v>
      </c>
      <c r="W24" s="552" t="str">
        <f ca="1">SUBSTITUTE(SUBSTITUTE(SUBSTITUTE(SUBSTITUTE(SUBSTITUTE(SUBSTITUTE(IF($R24="",0,IF(INDEX(NVLSX!$O$6:$O$1554,$R24,0)="",INDEX(NVLSX!$I$6:$I$1554,$R24,0),IF(OR(INDEX(NVLSX!$O$6:$O$1554,$R24,0)=$H$3,INDEX(NVLSX!$O$6:$O$1554,$R24,0)=$R$9,INDEX(NVLSX!$O$6:$O$1554,$R24,0)=$D$12,,INDEX(NVLSX!$O$6:$O$1554,$R24,0)=$H$4),INDEX(NVLSX!$I$6:$I$1554,$R24,0),0))),$C$8,$D$8),$C$9,$D$9),$C$10,$D$10),$C$11,$D$11),$P$12,$Q$12),$C$12,$B$12)</f>
        <v>0</v>
      </c>
      <c r="X24" s="550">
        <f ca="1">IF(OR(IFERROR(SEARCH("Khung",$D24,1),0)=1,IFERROR(SEARCH("Cánh",$D24,1),0)=1),IFERROR(INDEX(NVLSX!$R$2:$R$1554,MATCH($C24,NVLSX!$E$2:$E$1554,0)),0),0)</f>
        <v>0</v>
      </c>
      <c r="Y24" s="554">
        <f ca="1">IFERROR(IF(SEARCH("cánh",$D24)&gt;0,INDEX(NVLSX!$T$2:$T$1555,MATCH($C24,NVLSX!$E$2:$E$1555,0)),0),0)*$F24*$G24/1000</f>
        <v>0</v>
      </c>
      <c r="Z24" s="554">
        <f ca="1">IFERROR(INDEX(NVLSX!$T$2:$T$1555,MATCH($C24,NVLSX!$E$2:$E$1555,0)),0)*$F24*$G24/1000</f>
        <v>0</v>
      </c>
      <c r="AA24" s="557"/>
      <c r="AB24" s="558"/>
      <c r="AC24" s="503"/>
      <c r="AD24" s="503"/>
      <c r="AE24" s="714">
        <f t="shared" ca="1" si="5"/>
        <v>0</v>
      </c>
      <c r="AF24" s="270"/>
    </row>
    <row r="25" spans="1:40">
      <c r="A25" s="1416"/>
      <c r="B25" s="149" t="str">
        <f ca="1">IF($C25&lt;&gt;"",1 + MAX($B$13:$B24),"" )</f>
        <v/>
      </c>
      <c r="C25" s="290" t="str">
        <f ca="1">IF(IF($K25&lt;&gt;"",$K25,IF(OR($R25="",$G25=0),"",INDEX(NVLSX!E$6:E$1554,$R25)))=$S$9,$R$9, IF($K25&lt;&gt;"",$K25,IF(OR($R25="",$G25=0),"",INDEX(NVLSX!E$6:E$1554,$R25))))</f>
        <v/>
      </c>
      <c r="D25" s="245" t="str">
        <f ca="1">IF($C25="","",IF($C25=$R$9,  INDEX(NVLSX!$T$6492:$T$6921,MATCH($C25,NVLSX!$S$6492:$S$6921,0)), INDEX(NVLSX!$F$2:$F$6941,MATCH($C25,NVLSX!$E$2:$E$6941,0))))</f>
        <v/>
      </c>
      <c r="E25" s="246" t="str">
        <f ca="1">IF($C25="","",IF($R25="","",INDEX(NVLSX!G$6:G$1554,$R25)))</f>
        <v/>
      </c>
      <c r="F25" s="248">
        <f ca="1">IF($C25="",0,IF(OR($L25="", RIGHT($L25,1)="*"),TinhCT,VALUE(LEFT($L25,FIND("*",$L25)-1))))</f>
        <v>0</v>
      </c>
      <c r="G25" s="249">
        <f ca="1">IF(OR($L25="",RIGHT($L25,1)="*"),TinhCTSL,VALUE(RIGHT($L25,LEN($L25)-FIND("*",$L25))))</f>
        <v>0</v>
      </c>
      <c r="H25" s="249">
        <f t="shared" ca="1" si="7"/>
        <v>0</v>
      </c>
      <c r="I25" s="246" t="str">
        <f ca="1">IF($C25="","",IF($R25="","",INDEX(NVLSX!K$6:K$1554,$R25)))</f>
        <v/>
      </c>
      <c r="J25" s="878">
        <f ca="1">IF($C25="",0,IFERROR(INDEX(NVLSX!$M$4:$M$6941,MATCH($C25,NVLSX!$E$4:$E$6941,0)),0) + IFERROR(IF($Q25=NVLSX!$N$4,INDEX(IF($R$1=DanhMuc!$C$179,DanhMuc!$C$180:$C$188,DanhMuc!$D$180:$D$188),MATCH($F$4,DanhMuc!$B$180:$B$188,0)),0),0))</f>
        <v>0</v>
      </c>
      <c r="K25" s="250"/>
      <c r="L25" s="251"/>
      <c r="M25" s="911">
        <f ca="1">IF($C25="",0,IF($K25="", IF(INDEX(NVLSX!$L$6:$L$1554,$R25)/$N$12&lt;&gt;0,ROUND(INDEX(NVLSX!$L$6:$L$1554,$R25)/$N$12,2),ROUND(INDEX(NVLSX!$L$2:$L$6941,MATCH($C25,NVLSX!$E$2:$E$6941,0))/$N$12,2)),IF(INDEX(NVLSX!$N$2:$N$6941,MATCH($C25,NVLSX!$E$2:$E$6941,0))=NVLSX!$N$4,ROUND(INDEX(NVLSX!$L$2:$L$6941,MATCH($C25,NVLSX!$E$2:$E$6941,0))/$N$12,2),   ROUND(INDEX(NVLSX!$L$2:$L$6941,MATCH($C25,NVLSX!$E$2:$E$6941,0)),2))))</f>
        <v>0</v>
      </c>
      <c r="N25" s="559">
        <f t="shared" ca="1" si="9"/>
        <v>0</v>
      </c>
      <c r="O25" s="555">
        <f t="shared" ca="1" si="10"/>
        <v>0</v>
      </c>
      <c r="P25" s="547" t="str">
        <f ca="1">IF(OR($C25="",$C25=0),"",IF($R25="",$F$4,IF(INDEX(NVLSX!$H$6:$H$1554,$R25)&lt;&gt;"",INDEX(NVLSX!$H$6:$H$1554,$R25),$F$4)))</f>
        <v/>
      </c>
      <c r="Q25" s="548" t="str">
        <f ca="1">IF(OR($C25="",$C25=0),"",INDEX(NVLSX!N$6:N$6941,MATCH($C25,NVLSX!$E$6:$E$6941,0)))</f>
        <v/>
      </c>
      <c r="R25" s="561">
        <f ca="1">IF($I$2=NVLSX!$F$6930,"",IF(TYPE(MATCH($K$1,OFFSET(NVLSX!$B$6,R24,0):'NVLSX'!$B$1554,0)+R24)=16,"",MATCH($K$1,OFFSET(NVLSX!$B$6,R24,0):'NVLSX'!$B$1554,0)+R24))</f>
        <v>38</v>
      </c>
      <c r="S25" s="562" t="str">
        <f ca="1">SUBSTITUTE(SUBSTITUTE(SUBSTITUTE(SUBSTITUTE(SUBSTITUTE(SUBSTITUTE(SUBSTITUTE(IF($R25="",0,INDEX(NVLSX!J$6:J$1554,$R25)),$C$8,$D$8),$C$9,$D$9),$C$10,$D$10),$C$11,$D$11),$P$12,$Q$12),$C$12,$B$12),$G$6,$I$6)</f>
        <v>2200 - 41 + -8</v>
      </c>
      <c r="T25" s="551" t="str">
        <f ca="1">IF(OR($C25="",$C25=0),"", IF(OR(AND(OR($Q25=NVLSX!$N$4,$Q25=NVLSX!$N$6492),COUNTIFS($C$14:$C25,$C25,$F$14:$F25,$F25,$I$14:$I25,$I25)&lt;=1), COUNTIF($C$14:$C25,$C25) &lt;=1 ),$T$13, ""    ))</f>
        <v/>
      </c>
      <c r="U25" s="563">
        <f t="shared" ca="1" si="8"/>
        <v>0</v>
      </c>
      <c r="V25" s="556">
        <f ca="1">IF($C25="",0,IF($R25="",INDEX(NVLSX!$P$6:$P$6757,MATCH($C25,NVLSX!$E$6:$E$6757,0),0),INDEX(NVLSX!$P$6:$P$1554,$R25,0)))</f>
        <v>0</v>
      </c>
      <c r="W25" s="552" t="str">
        <f ca="1">SUBSTITUTE(SUBSTITUTE(SUBSTITUTE(SUBSTITUTE(SUBSTITUTE(SUBSTITUTE(IF($R25="",0,IF(INDEX(NVLSX!$O$6:$O$1554,$R25,0)="",INDEX(NVLSX!$I$6:$I$1554,$R25,0),IF(OR(INDEX(NVLSX!$O$6:$O$1554,$R25,0)=$H$3,INDEX(NVLSX!$O$6:$O$1554,$R25,0)=$R$9,INDEX(NVLSX!$O$6:$O$1554,$R25,0)=$D$12,,INDEX(NVLSX!$O$6:$O$1554,$R25,0)=$H$4),INDEX(NVLSX!$I$6:$I$1554,$R25,0),0))),$C$8,$D$8),$C$9,$D$9),$C$10,$D$10),$C$11,$D$11),$P$12,$Q$12),$C$12,$B$12)</f>
        <v>0</v>
      </c>
      <c r="X25" s="550">
        <f ca="1">IF(OR(IFERROR(SEARCH("Khung",$D25,1),0)=1,IFERROR(SEARCH("Cánh",$D25,1),0)=1),IFERROR(INDEX(NVLSX!$R$2:$R$1554,MATCH($C25,NVLSX!$E$2:$E$1554,0)),0),0)</f>
        <v>0</v>
      </c>
      <c r="Y25" s="554">
        <f ca="1">IFERROR(IF(SEARCH("cánh",$D25)&gt;0,INDEX(NVLSX!$T$2:$T$1555,MATCH($C25,NVLSX!$E$2:$E$1555,0)),0),0)*$F25*$G25/1000</f>
        <v>0</v>
      </c>
      <c r="Z25" s="554">
        <f ca="1">IFERROR(INDEX(NVLSX!$T$2:$T$1555,MATCH($C25,NVLSX!$E$2:$E$1555,0)),0)*$F25*$G25/1000</f>
        <v>0</v>
      </c>
      <c r="AA25" s="557"/>
      <c r="AB25" s="558"/>
      <c r="AC25" s="503"/>
      <c r="AD25" s="503"/>
      <c r="AE25" s="714">
        <f t="shared" ca="1" si="5"/>
        <v>0</v>
      </c>
      <c r="AF25" s="270"/>
    </row>
    <row r="26" spans="1:40" ht="25">
      <c r="A26" s="1416"/>
      <c r="B26" s="149">
        <f ca="1">IF($C26&lt;&gt;"",1 + MAX($B$13:$B25),"" )</f>
        <v>5</v>
      </c>
      <c r="C26" s="290" t="str">
        <f ca="1">IF(IF($K26&lt;&gt;"",$K26,IF(OR($R26="",$G26=0),"",INDEX(NVLSX!E$6:E$1554,$R26)))=$S$9,$R$9, IF($K26&lt;&gt;"",$K26,IF(OR($R26="",$G26=0),"",INDEX(NVLSX!E$6:E$1554,$R26))))</f>
        <v>C22900</v>
      </c>
      <c r="D26" s="245" t="str">
        <f ca="1">IF($C26="","",IF($C26=$R$9,  INDEX(NVLSX!$T$6492:$T$6921,MATCH($C26,NVLSX!$S$6492:$S$6921,0)), INDEX(NVLSX!$F$2:$F$6941,MATCH($C26,NVLSX!$E$2:$E$6941,0))))</f>
        <v>Nẹp gioăng lọc bui cho cửa đi
 ngang dưới hệ 55 có gờ</v>
      </c>
      <c r="E26" s="246" t="str">
        <f ca="1">IF($C26="","",IF($R26="","",INDEX(NVLSX!G$6:G$1554,$R26)))</f>
        <v>Ngang</v>
      </c>
      <c r="F26" s="248">
        <f ca="1">IF($C26="",0,IF(OR($L26="", RIGHT($L26,1)="*"),TinhCT,VALUE(LEFT($L26,FIND("*",$L26)-1))))</f>
        <v>1475</v>
      </c>
      <c r="G26" s="249">
        <f ca="1">IF(OR($L26="",RIGHT($L26,1)="*"),TinhCTSL,VALUE(RIGHT($L26,LEN($L26)-FIND("*",$L26))))</f>
        <v>1</v>
      </c>
      <c r="H26" s="249">
        <f t="shared" ca="1" si="7"/>
        <v>2</v>
      </c>
      <c r="I26" s="246" t="str">
        <f ca="1">IF($C26="","",IF($R26="","",INDEX(NVLSX!K$6:K$1554,$R26)))</f>
        <v>90-90</v>
      </c>
      <c r="J26" s="878">
        <f ca="1">IF($C26="",0,IFERROR(INDEX(NVLSX!$M$4:$M$6941,MATCH($C26,NVLSX!$E$4:$E$6941,0)),0) + IFERROR(IF($Q26=NVLSX!$N$4,INDEX(IF($R$1=DanhMuc!$C$179,DanhMuc!$C$180:$C$188,DanhMuc!$D$180:$D$188),MATCH($F$4,DanhMuc!$B$180:$B$188,0)),0),0))</f>
        <v>0</v>
      </c>
      <c r="K26" s="250"/>
      <c r="L26" s="251"/>
      <c r="M26" s="911">
        <f ca="1">IF($C26="",0,IF($K26="", IF(INDEX(NVLSX!$L$6:$L$1554,$R26)/$N$12&lt;&gt;0,ROUND(INDEX(NVLSX!$L$6:$L$1554,$R26)/$N$12,2),ROUND(INDEX(NVLSX!$L$2:$L$6941,MATCH($C26,NVLSX!$E$2:$E$6941,0))/$N$12,2)),IF(INDEX(NVLSX!$N$2:$N$6941,MATCH($C26,NVLSX!$E$2:$E$6941,0))=NVLSX!$N$4,ROUND(INDEX(NVLSX!$L$2:$L$6941,MATCH($C26,NVLSX!$E$2:$E$6941,0))/$N$12,2),   ROUND(INDEX(NVLSX!$L$2:$L$6941,MATCH($C26,NVLSX!$E$2:$E$6941,0)),2))))</f>
        <v>50.86</v>
      </c>
      <c r="N26" s="559">
        <f t="shared" ca="1" si="9"/>
        <v>150037</v>
      </c>
      <c r="O26" s="555">
        <f t="shared" ca="1" si="10"/>
        <v>150037</v>
      </c>
      <c r="P26" s="547" t="str">
        <f ca="1">IF(OR($C26="",$C26=0),"",IF($R26="",$F$4,IF(INDEX(NVLSX!$H$6:$H$1554,$R26)&lt;&gt;"",INDEX(NVLSX!$H$6:$H$1554,$R26),$F$4)))</f>
        <v>Xám ghi</v>
      </c>
      <c r="Q26" s="548" t="str">
        <f ca="1">IF(OR($C26="",$C26=0),"",INDEX(NVLSX!N$6:N$6941,MATCH($C26,NVLSX!$E$6:$E$6941,0)))</f>
        <v>PR</v>
      </c>
      <c r="R26" s="561">
        <f ca="1">IF($I$2=NVLSX!$F$6930,"",IF(TYPE(MATCH($K$1,OFFSET(NVLSX!$B$6,R25,0):'NVLSX'!$B$1554,0)+R25)=16,"",MATCH($K$1,OFFSET(NVLSX!$B$6,R25,0):'NVLSX'!$B$1554,0)+R25))</f>
        <v>39</v>
      </c>
      <c r="S26" s="562" t="str">
        <f ca="1">SUBSTITUTE(SUBSTITUTE(SUBSTITUTE(SUBSTITUTE(SUBSTITUTE(SUBSTITUTE(SUBSTITUTE(IF($R26="",0,INDEX(NVLSX!J$6:J$1554,$R26)),$C$8,$D$8),$C$9,$D$9),$C$10,$D$10),$C$11,$D$11),$P$12,$Q$12),$C$12,$B$12),$G$6,$I$6)</f>
        <v>1600 - (36 + -5)*2 - 63</v>
      </c>
      <c r="T26" s="551" t="str">
        <f ca="1">IF(OR($C26="",$C26=0),"", IF(OR(AND(OR($Q26=NVLSX!$N$4,$Q26=NVLSX!$N$6492),COUNTIFS($C$14:$C26,$C26,$F$14:$F26,$F26,$I$14:$I26,$I26)&lt;=1), COUNTIF($C$14:$C26,$C26) &lt;=1 ),$T$13, ""    ))</f>
        <v>TH</v>
      </c>
      <c r="U26" s="563">
        <f t="shared" ca="1" si="8"/>
        <v>0</v>
      </c>
      <c r="V26" s="556">
        <f ca="1">IF($C26="",0,IF($R26="",INDEX(NVLSX!$P$6:$P$6757,MATCH($C26,NVLSX!$E$6:$E$6757,0),0),INDEX(NVLSX!$P$6:$P$1554,$R26,0)))</f>
        <v>0</v>
      </c>
      <c r="W26" s="552" t="str">
        <f ca="1">SUBSTITUTE(SUBSTITUTE(SUBSTITUTE(SUBSTITUTE(SUBSTITUTE(SUBSTITUTE(IF($R26="",0,IF(INDEX(NVLSX!$O$6:$O$1554,$R26,0)="",INDEX(NVLSX!$I$6:$I$1554,$R26,0),IF(OR(INDEX(NVLSX!$O$6:$O$1554,$R26,0)=$H$3,INDEX(NVLSX!$O$6:$O$1554,$R26,0)=$R$9,INDEX(NVLSX!$O$6:$O$1554,$R26,0)=$D$12,,INDEX(NVLSX!$O$6:$O$1554,$R26,0)=$H$4),INDEX(NVLSX!$I$6:$I$1554,$R26,0),0))),$C$8,$D$8),$C$9,$D$9),$C$10,$D$10),$C$11,$D$11),$P$12,$Q$12),$C$12,$B$12)</f>
        <v>1</v>
      </c>
      <c r="X26" s="550">
        <f ca="1">IF(OR(IFERROR(SEARCH("Khung",$D26,1),0)=1,IFERROR(SEARCH("Cánh",$D26,1),0)=1),IFERROR(INDEX(NVLSX!$R$2:$R$1554,MATCH($C26,NVLSX!$E$2:$E$1554,0)),0),0)</f>
        <v>0</v>
      </c>
      <c r="Y26" s="554">
        <f ca="1">IFERROR(IF(SEARCH("cánh",$D26)&gt;0,INDEX(NVLSX!$T$2:$T$1555,MATCH($C26,NVLSX!$E$2:$E$1555,0)),0),0)*$F26*$G26/1000</f>
        <v>0</v>
      </c>
      <c r="Z26" s="554">
        <f ca="1">IFERROR(INDEX(NVLSX!$T$2:$T$1555,MATCH($C26,NVLSX!$E$2:$E$1555,0)),0)*$F26*$G26/1000</f>
        <v>0.70210000000000006</v>
      </c>
      <c r="AA26" s="557"/>
      <c r="AB26" s="558"/>
      <c r="AC26" s="503"/>
      <c r="AD26" s="503"/>
      <c r="AE26" s="714">
        <f t="shared" ca="1" si="5"/>
        <v>210000</v>
      </c>
      <c r="AF26" s="270"/>
    </row>
    <row r="27" spans="1:40">
      <c r="A27" s="1416"/>
      <c r="B27" s="149" t="str">
        <f ca="1">IF($C27&lt;&gt;"",1 + MAX($B$13:$B26),"" )</f>
        <v/>
      </c>
      <c r="C27" s="290" t="str">
        <f ca="1">IF(IF($K27&lt;&gt;"",$K27,IF(OR($R27="",$G27=0),"",INDEX(NVLSX!E$6:E$1554,$R27)))=$S$9,$R$9, IF($K27&lt;&gt;"",$K27,IF(OR($R27="",$G27=0),"",INDEX(NVLSX!E$6:E$1554,$R27))))</f>
        <v/>
      </c>
      <c r="D27" s="245" t="str">
        <f ca="1">IF($C27="","",IF($C27=$R$9,  INDEX(NVLSX!$T$6492:$T$6921,MATCH($C27,NVLSX!$S$6492:$S$6921,0)), INDEX(NVLSX!$F$2:$F$6941,MATCH($C27,NVLSX!$E$2:$E$6941,0))))</f>
        <v/>
      </c>
      <c r="E27" s="246" t="str">
        <f ca="1">IF($C27="","",IF($R27="","",INDEX(NVLSX!G$6:G$1554,$R27)))</f>
        <v/>
      </c>
      <c r="F27" s="248">
        <f ca="1">IF($C27="",0,IF(OR($L27="", RIGHT($L27,1)="*"),TinhCT,VALUE(LEFT($L27,FIND("*",$L27)-1))))</f>
        <v>0</v>
      </c>
      <c r="G27" s="249">
        <f ca="1">IF(OR($L27="",RIGHT($L27,1)="*"),TinhCTSL,VALUE(RIGHT($L27,LEN($L27)-FIND("*",$L27))))</f>
        <v>0</v>
      </c>
      <c r="H27" s="249">
        <f t="shared" ca="1" si="7"/>
        <v>0</v>
      </c>
      <c r="I27" s="246" t="str">
        <f ca="1">IF($C27="","",IF($R27="","",INDEX(NVLSX!K$6:K$1554,$R27)))</f>
        <v/>
      </c>
      <c r="J27" s="878">
        <f ca="1">IF($C27="",0,IFERROR(INDEX(NVLSX!$M$4:$M$6941,MATCH($C27,NVLSX!$E$4:$E$6941,0)),0) + IFERROR(IF($Q27=NVLSX!$N$4,INDEX(IF($R$1=DanhMuc!$C$179,DanhMuc!$C$180:$C$188,DanhMuc!$D$180:$D$188),MATCH($F$4,DanhMuc!$B$180:$B$188,0)),0),0))</f>
        <v>0</v>
      </c>
      <c r="K27" s="250"/>
      <c r="L27" s="251"/>
      <c r="M27" s="911">
        <f ca="1">IF($C27="",0,IF($K27="", IF(INDEX(NVLSX!$L$6:$L$1554,$R27)/$N$12&lt;&gt;0,ROUND(INDEX(NVLSX!$L$6:$L$1554,$R27)/$N$12,2),ROUND(INDEX(NVLSX!$L$2:$L$6941,MATCH($C27,NVLSX!$E$2:$E$6941,0))/$N$12,2)),IF(INDEX(NVLSX!$N$2:$N$6941,MATCH($C27,NVLSX!$E$2:$E$6941,0))=NVLSX!$N$4,ROUND(INDEX(NVLSX!$L$2:$L$6941,MATCH($C27,NVLSX!$E$2:$E$6941,0))/$N$12,2),   ROUND(INDEX(NVLSX!$L$2:$L$6941,MATCH($C27,NVLSX!$E$2:$E$6941,0)),2))))</f>
        <v>0</v>
      </c>
      <c r="N27" s="559">
        <f t="shared" ca="1" si="9"/>
        <v>0</v>
      </c>
      <c r="O27" s="555">
        <f t="shared" ca="1" si="10"/>
        <v>0</v>
      </c>
      <c r="P27" s="547" t="str">
        <f ca="1">IF(OR($C27="",$C27=0),"",IF($R27="",$F$4,IF(INDEX(NVLSX!$H$6:$H$1554,$R27)&lt;&gt;"",INDEX(NVLSX!$H$6:$H$1554,$R27),$F$4)))</f>
        <v/>
      </c>
      <c r="Q27" s="548" t="str">
        <f ca="1">IF(OR($C27="",$C27=0),"",INDEX(NVLSX!N$6:N$6941,MATCH($C27,NVLSX!$E$6:$E$6941,0)))</f>
        <v/>
      </c>
      <c r="R27" s="561">
        <f ca="1">IF($I$2=NVLSX!$F$6930,"",IF(TYPE(MATCH($K$1,OFFSET(NVLSX!$B$6,R26,0):'NVLSX'!$B$1554,0)+R26)=16,"",MATCH($K$1,OFFSET(NVLSX!$B$6,R26,0):'NVLSX'!$B$1554,0)+R26))</f>
        <v>40</v>
      </c>
      <c r="S27" s="562" t="str">
        <f ca="1">SUBSTITUTE(SUBSTITUTE(SUBSTITUTE(SUBSTITUTE(SUBSTITUTE(SUBSTITUTE(SUBSTITUTE(IF($R27="",0,INDEX(NVLSX!J$6:J$1554,$R27)),$C$8,$D$8),$C$9,$D$9),$C$10,$D$10),$C$11,$D$11),$P$12,$Q$12),$C$12,$B$12),$G$6,$I$6)</f>
        <v>1600 - 42*2 - -5</v>
      </c>
      <c r="T27" s="551" t="str">
        <f ca="1">IF(OR($C27="",$C27=0),"", IF(OR(AND(OR($Q27=NVLSX!$N$4,$Q27=NVLSX!$N$6492),COUNTIFS($C$14:$C27,$C27,$F$14:$F27,$F27,$I$14:$I27,$I27)&lt;=1), COUNTIF($C$14:$C27,$C27) &lt;=1 ),$T$13, ""    ))</f>
        <v/>
      </c>
      <c r="U27" s="563">
        <f t="shared" ca="1" si="8"/>
        <v>0</v>
      </c>
      <c r="V27" s="556">
        <f ca="1">IF($C27="",0,IF($R27="",INDEX(NVLSX!$P$6:$P$6757,MATCH($C27,NVLSX!$E$6:$E$6757,0),0),INDEX(NVLSX!$P$6:$P$1554,$R27,0)))</f>
        <v>0</v>
      </c>
      <c r="W27" s="552" t="str">
        <f ca="1">SUBSTITUTE(SUBSTITUTE(SUBSTITUTE(SUBSTITUTE(SUBSTITUTE(SUBSTITUTE(IF($R27="",0,IF(INDEX(NVLSX!$O$6:$O$1554,$R27,0)="",INDEX(NVLSX!$I$6:$I$1554,$R27,0),IF(OR(INDEX(NVLSX!$O$6:$O$1554,$R27,0)=$H$3,INDEX(NVLSX!$O$6:$O$1554,$R27,0)=$R$9,INDEX(NVLSX!$O$6:$O$1554,$R27,0)=$D$12,,INDEX(NVLSX!$O$6:$O$1554,$R27,0)=$H$4),INDEX(NVLSX!$I$6:$I$1554,$R27,0),0))),$C$8,$D$8),$C$9,$D$9),$C$10,$D$10),$C$11,$D$11),$P$12,$Q$12),$C$12,$B$12)</f>
        <v>0</v>
      </c>
      <c r="X27" s="550">
        <f ca="1">IF(OR(IFERROR(SEARCH("Khung",$D27,1),0)=1,IFERROR(SEARCH("Cánh",$D27,1),0)=1),IFERROR(INDEX(NVLSX!$R$2:$R$1554,MATCH($C27,NVLSX!$E$2:$E$1554,0)),0),0)</f>
        <v>0</v>
      </c>
      <c r="Y27" s="554">
        <f ca="1">IFERROR(IF(SEARCH("cánh",$D27)&gt;0,INDEX(NVLSX!$T$2:$T$1555,MATCH($C27,NVLSX!$E$2:$E$1555,0)),0),0)*$F27*$G27/1000</f>
        <v>0</v>
      </c>
      <c r="Z27" s="554">
        <f ca="1">IFERROR(INDEX(NVLSX!$T$2:$T$1555,MATCH($C27,NVLSX!$E$2:$E$1555,0)),0)*$F27*$G27/1000</f>
        <v>0</v>
      </c>
      <c r="AA27" s="557"/>
      <c r="AB27" s="558"/>
      <c r="AC27" s="503"/>
      <c r="AD27" s="503"/>
      <c r="AE27" s="714">
        <f t="shared" ca="1" si="5"/>
        <v>0</v>
      </c>
      <c r="AF27" s="270"/>
    </row>
    <row r="28" spans="1:40" ht="25">
      <c r="A28" s="1416"/>
      <c r="B28" s="149">
        <f ca="1">IF($C28&lt;&gt;"",1 + MAX($B$13:$B27),"" )</f>
        <v>6</v>
      </c>
      <c r="C28" s="290" t="str">
        <f ca="1">IF(IF($K28&lt;&gt;"",$K28,IF(OR($R28="",$G28=0),"",INDEX(NVLSX!E$6:E$1554,$R28)))=$S$9,$R$9, IF($K28&lt;&gt;"",$K28,IF(OR($R28="",$G28=0),"",INDEX(NVLSX!E$6:E$1554,$R28))))</f>
        <v>C3295</v>
      </c>
      <c r="D28" s="245" t="str">
        <f ca="1">IF($C28="","",IF($C28=$R$9,  INDEX(NVLSX!$T$6492:$T$6921,MATCH($C28,NVLSX!$S$6492:$S$6921,0)), INDEX(NVLSX!$F$2:$F$6941,MATCH($C28,NVLSX!$E$2:$E$6941,0))))</f>
        <v>Nẹp kính vuông cho kính 5-10mm hệ 55</v>
      </c>
      <c r="E28" s="246" t="str">
        <f ca="1">IF($C28="","",IF($R28="","",INDEX(NVLSX!G$6:G$1554,$R28)))</f>
        <v>Ngang</v>
      </c>
      <c r="F28" s="248">
        <f ca="1">IF($C28="",0,IF(OR($L28="", RIGHT($L28,1)="*"),TinhCT,VALUE(LEFT($L28,FIND("*",$L28)-1))))</f>
        <v>1402</v>
      </c>
      <c r="G28" s="249">
        <f ca="1">IF(OR($L28="",RIGHT($L28,1)="*"),TinhCTSL,VALUE(RIGHT($L28,LEN($L28)-FIND("*",$L28))))</f>
        <v>2</v>
      </c>
      <c r="H28" s="249">
        <f t="shared" ca="1" si="7"/>
        <v>4</v>
      </c>
      <c r="I28" s="246" t="str">
        <f ca="1">IF($C28="","",IF($R28="","",INDEX(NVLSX!K$6:K$1554,$R28)))</f>
        <v>90-90</v>
      </c>
      <c r="J28" s="878">
        <f ca="1">IF($C28="",0,IFERROR(INDEX(NVLSX!$M$4:$M$6941,MATCH($C28,NVLSX!$E$4:$E$6941,0)),0) + IFERROR(IF($Q28=NVLSX!$N$4,INDEX(IF($R$1=DanhMuc!$C$179,DanhMuc!$C$180:$C$188,DanhMuc!$D$180:$D$188),MATCH($F$4,DanhMuc!$B$180:$B$188,0)),0),0))</f>
        <v>0</v>
      </c>
      <c r="K28" s="250"/>
      <c r="L28" s="251"/>
      <c r="M28" s="911">
        <f ca="1">IF($C28="",0,IF($K28="", IF(INDEX(NVLSX!$L$6:$L$1554,$R28)/$N$12&lt;&gt;0,ROUND(INDEX(NVLSX!$L$6:$L$1554,$R28)/$N$12,2),ROUND(INDEX(NVLSX!$L$2:$L$6941,MATCH($C28,NVLSX!$E$2:$E$6941,0))/$N$12,2)),IF(INDEX(NVLSX!$N$2:$N$6941,MATCH($C28,NVLSX!$E$2:$E$6941,0))=NVLSX!$N$4,ROUND(INDEX(NVLSX!$L$2:$L$6941,MATCH($C28,NVLSX!$E$2:$E$6941,0))/$N$12,2),   ROUND(INDEX(NVLSX!$L$2:$L$6941,MATCH($C28,NVLSX!$E$2:$E$6941,0)),2))))</f>
        <v>28.95</v>
      </c>
      <c r="N28" s="559">
        <f t="shared" ca="1" si="9"/>
        <v>162352</v>
      </c>
      <c r="O28" s="555">
        <f t="shared" ca="1" si="10"/>
        <v>162352</v>
      </c>
      <c r="P28" s="547" t="str">
        <f ca="1">IF(OR($C28="",$C28=0),"",IF($R28="",$F$4,IF(INDEX(NVLSX!$H$6:$H$1554,$R28)&lt;&gt;"",INDEX(NVLSX!$H$6:$H$1554,$R28),$F$4)))</f>
        <v>Xám ghi</v>
      </c>
      <c r="Q28" s="548" t="str">
        <f ca="1">IF(OR($C28="",$C28=0),"",INDEX(NVLSX!N$6:N$6941,MATCH($C28,NVLSX!$E$6:$E$6941,0)))</f>
        <v>PR</v>
      </c>
      <c r="R28" s="561">
        <f ca="1">IF($I$2=NVLSX!$F$6930,"",IF(TYPE(MATCH($K$1,OFFSET(NVLSX!$B$6,R27,0):'NVLSX'!$B$1554,0)+R27)=16,"",MATCH($K$1,OFFSET(NVLSX!$B$6,R27,0):'NVLSX'!$B$1554,0)+R27))</f>
        <v>41</v>
      </c>
      <c r="S28" s="562" t="str">
        <f ca="1">SUBSTITUTE(SUBSTITUTE(SUBSTITUTE(SUBSTITUTE(SUBSTITUTE(SUBSTITUTE(SUBSTITUTE(IF($R28="",0,INDEX(NVLSX!J$6:J$1554,$R28)),$C$8,$D$8),$C$9,$D$9),$C$10,$D$10),$C$11,$D$11),$P$12,$Q$12),$C$12,$B$12),$G$6,$I$6)</f>
        <v>1600 - (36 + -5)*2 - 68*2</v>
      </c>
      <c r="T28" s="551" t="str">
        <f ca="1">IF(OR($C28="",$C28=0),"", IF(OR(AND(OR($Q28=NVLSX!$N$4,$Q28=NVLSX!$N$6492),COUNTIFS($C$14:$C28,$C28,$F$14:$F28,$F28,$I$14:$I28,$I28)&lt;=1), COUNTIF($C$14:$C28,$C28) &lt;=1 ),$T$13, ""    ))</f>
        <v>TH</v>
      </c>
      <c r="U28" s="563">
        <f t="shared" ca="1" si="8"/>
        <v>1</v>
      </c>
      <c r="V28" s="556">
        <f ca="1">IF($C28="",0,IF($R28="",INDEX(NVLSX!$P$6:$P$6757,MATCH($C28,NVLSX!$E$6:$E$6757,0),0),INDEX(NVLSX!$P$6:$P$1554,$R28,0)))</f>
        <v>0</v>
      </c>
      <c r="W28" s="552" t="str">
        <f ca="1">SUBSTITUTE(SUBSTITUTE(SUBSTITUTE(SUBSTITUTE(SUBSTITUTE(SUBSTITUTE(IF($R28="",0,IF(INDEX(NVLSX!$O$6:$O$1554,$R28,0)="",INDEX(NVLSX!$I$6:$I$1554,$R28,0),IF(OR(INDEX(NVLSX!$O$6:$O$1554,$R28,0)=$H$3,INDEX(NVLSX!$O$6:$O$1554,$R28,0)=$R$9,INDEX(NVLSX!$O$6:$O$1554,$R28,0)=$D$12,,INDEX(NVLSX!$O$6:$O$1554,$R28,0)=$H$4),INDEX(NVLSX!$I$6:$I$1554,$R28,0),0))),$C$8,$D$8),$C$9,$D$9),$C$10,$D$10),$C$11,$D$11),$P$12,$Q$12),$C$12,$B$12)</f>
        <v>2</v>
      </c>
      <c r="X28" s="550">
        <f ca="1">IF(OR(IFERROR(SEARCH("Khung",$D28,1),0)=1,IFERROR(SEARCH("Cánh",$D28,1),0)=1),IFERROR(INDEX(NVLSX!$R$2:$R$1554,MATCH($C28,NVLSX!$E$2:$E$1554,0)),0),0)</f>
        <v>0</v>
      </c>
      <c r="Y28" s="554">
        <f ca="1">IFERROR(IF(SEARCH("cánh",$D28)&gt;0,INDEX(NVLSX!$T$2:$T$1555,MATCH($C28,NVLSX!$E$2:$E$1555,0)),0),0)*$F28*$G28/1000</f>
        <v>0</v>
      </c>
      <c r="Z28" s="554">
        <f ca="1">IFERROR(INDEX(NVLSX!$T$2:$T$1555,MATCH($C28,NVLSX!$E$2:$E$1555,0)),0)*$F28*$G28/1000</f>
        <v>0.759884</v>
      </c>
      <c r="AA28" s="557"/>
      <c r="AB28" s="558"/>
      <c r="AC28" s="503"/>
      <c r="AD28" s="503"/>
      <c r="AE28" s="714">
        <f t="shared" ca="1" si="5"/>
        <v>227000</v>
      </c>
      <c r="AF28" s="270"/>
    </row>
    <row r="29" spans="1:40" s="143" customFormat="1" ht="25">
      <c r="A29" s="1416"/>
      <c r="B29" s="149">
        <f ca="1">IF($C29&lt;&gt;"",1 + MAX($B$13:$B28),"" )</f>
        <v>7</v>
      </c>
      <c r="C29" s="290" t="str">
        <f ca="1">IF(IF($K29&lt;&gt;"",$K29,IF(OR($R29="",$G29=0),"",INDEX(NVLSX!E$6:E$1554,$R29)))=$S$9,$R$9, IF($K29&lt;&gt;"",$K29,IF(OR($R29="",$G29=0),"",INDEX(NVLSX!E$6:E$1554,$R29))))</f>
        <v>C3295</v>
      </c>
      <c r="D29" s="245" t="str">
        <f ca="1">IF($C29="","",IF($C29=$R$9,  INDEX(NVLSX!$T$6492:$T$6921,MATCH($C29,NVLSX!$S$6492:$S$6921,0)), INDEX(NVLSX!$F$2:$F$6941,MATCH($C29,NVLSX!$E$2:$E$6941,0))))</f>
        <v>Nẹp kính vuông cho kính 5-10mm hệ 55</v>
      </c>
      <c r="E29" s="246" t="str">
        <f ca="1">IF($C29="","",IF($R29="","",INDEX(NVLSX!G$6:G$1554,$R29)))</f>
        <v>Đứng</v>
      </c>
      <c r="F29" s="248">
        <f ca="1">IF($C29="",0,IF(OR($L29="", RIGHT($L29,1)="*"),TinhCT,VALUE(LEFT($L29,FIND("*",$L29)-1))))</f>
        <v>1977</v>
      </c>
      <c r="G29" s="249">
        <f ca="1">IF(OR($L29="",RIGHT($L29,1)="*"),TinhCTSL,VALUE(RIGHT($L29,LEN($L29)-FIND("*",$L29))))</f>
        <v>2</v>
      </c>
      <c r="H29" s="249">
        <f t="shared" ca="1" si="7"/>
        <v>4</v>
      </c>
      <c r="I29" s="246" t="str">
        <f ca="1">IF($C29="","",IF($R29="","",INDEX(NVLSX!K$6:K$1554,$R29)))</f>
        <v>90-90</v>
      </c>
      <c r="J29" s="878">
        <f ca="1">IF($C29="",0,IFERROR(INDEX(NVLSX!$M$4:$M$6941,MATCH($C29,NVLSX!$E$4:$E$6941,0)),0) + IFERROR(IF($Q29=NVLSX!$N$4,INDEX(IF($R$1=DanhMuc!$C$179,DanhMuc!$C$180:$C$188,DanhMuc!$D$180:$D$188),MATCH($F$4,DanhMuc!$B$180:$B$188,0)),0),0))</f>
        <v>0</v>
      </c>
      <c r="K29" s="250"/>
      <c r="L29" s="251"/>
      <c r="M29" s="911">
        <f ca="1">IF($C29="",0,IF($K29="", IF(INDEX(NVLSX!$L$6:$L$1554,$R29)/$N$12&lt;&gt;0,ROUND(INDEX(NVLSX!$L$6:$L$1554,$R29)/$N$12,2),ROUND(INDEX(NVLSX!$L$2:$L$6941,MATCH($C29,NVLSX!$E$2:$E$6941,0))/$N$12,2)),IF(INDEX(NVLSX!$N$2:$N$6941,MATCH($C29,NVLSX!$E$2:$E$6941,0))=NVLSX!$N$4,ROUND(INDEX(NVLSX!$L$2:$L$6941,MATCH($C29,NVLSX!$E$2:$E$6941,0))/$N$12,2),   ROUND(INDEX(NVLSX!$L$2:$L$6941,MATCH($C29,NVLSX!$E$2:$E$6941,0)),2))))</f>
        <v>28.95</v>
      </c>
      <c r="N29" s="559">
        <f t="shared" ca="1" si="9"/>
        <v>228937</v>
      </c>
      <c r="O29" s="555">
        <f t="shared" ca="1" si="10"/>
        <v>228937</v>
      </c>
      <c r="P29" s="547" t="str">
        <f ca="1">IF(OR($C29="",$C29=0),"",IF($R29="",$F$4,IF(INDEX(NVLSX!$H$6:$H$1554,$R29)&lt;&gt;"",INDEX(NVLSX!$H$6:$H$1554,$R29),$F$4)))</f>
        <v>Xám ghi</v>
      </c>
      <c r="Q29" s="548" t="str">
        <f ca="1">IF(OR($C29="",$C29=0),"",INDEX(NVLSX!N$6:N$6941,MATCH($C29,NVLSX!$E$6:$E$6941,0)))</f>
        <v>PR</v>
      </c>
      <c r="R29" s="561">
        <f ca="1">IF($I$2=NVLSX!$F$6930,"",IF(TYPE(MATCH($K$1,OFFSET(NVLSX!$B$6,R28,0):'NVLSX'!$B$1554,0)+R28)=16,"",MATCH($K$1,OFFSET(NVLSX!$B$6,R28,0):'NVLSX'!$B$1554,0)+R28))</f>
        <v>42</v>
      </c>
      <c r="S29" s="562" t="str">
        <f ca="1">SUBSTITUTE(SUBSTITUTE(SUBSTITUTE(SUBSTITUTE(SUBSTITUTE(SUBSTITUTE(SUBSTITUTE(IF($R29="",0,INDEX(NVLSX!J$6:J$1554,$R29)),$C$8,$D$8),$C$9,$D$9),$C$10,$D$10),$C$11,$D$11),$P$12,$Q$12),$C$12,$B$12),$G$6,$I$6)</f>
        <v>2200 - 41 + -8 - 87*2</v>
      </c>
      <c r="T29" s="551" t="str">
        <f ca="1">IF(OR($C29="",$C29=0),"", IF(OR(AND(OR($Q29=NVLSX!$N$4,$Q29=NVLSX!$N$6492),COUNTIFS($C$14:$C29,$C29,$F$14:$F29,$F29,$I$14:$I29,$I29)&lt;=1), COUNTIF($C$14:$C29,$C29) &lt;=1 ),$T$13, ""    ))</f>
        <v>TH</v>
      </c>
      <c r="U29" s="563">
        <f t="shared" ca="1" si="8"/>
        <v>1</v>
      </c>
      <c r="V29" s="556">
        <f ca="1">IF($C29="",0,IF($R29="",INDEX(NVLSX!$P$6:$P$6757,MATCH($C29,NVLSX!$E$6:$E$6757,0),0),INDEX(NVLSX!$P$6:$P$1554,$R29,0)))</f>
        <v>0</v>
      </c>
      <c r="W29" s="552" t="str">
        <f ca="1">SUBSTITUTE(SUBSTITUTE(SUBSTITUTE(SUBSTITUTE(SUBSTITUTE(SUBSTITUTE(IF($R29="",0,IF(INDEX(NVLSX!$O$6:$O$1554,$R29,0)="",INDEX(NVLSX!$I$6:$I$1554,$R29,0),IF(OR(INDEX(NVLSX!$O$6:$O$1554,$R29,0)=$H$3,INDEX(NVLSX!$O$6:$O$1554,$R29,0)=$R$9,INDEX(NVLSX!$O$6:$O$1554,$R29,0)=$D$12,,INDEX(NVLSX!$O$6:$O$1554,$R29,0)=$H$4),INDEX(NVLSX!$I$6:$I$1554,$R29,0),0))),$C$8,$D$8),$C$9,$D$9),$C$10,$D$10),$C$11,$D$11),$P$12,$Q$12),$C$12,$B$12)</f>
        <v>2</v>
      </c>
      <c r="X29" s="550">
        <f ca="1">IF(OR(IFERROR(SEARCH("Khung",$D29,1),0)=1,IFERROR(SEARCH("Cánh",$D29,1),0)=1),IFERROR(INDEX(NVLSX!$R$2:$R$1554,MATCH($C29,NVLSX!$E$2:$E$1554,0)),0),0)</f>
        <v>0</v>
      </c>
      <c r="Y29" s="554">
        <f ca="1">IFERROR(IF(SEARCH("cánh",$D29)&gt;0,INDEX(NVLSX!$T$2:$T$1555,MATCH($C29,NVLSX!$E$2:$E$1555,0)),0),0)*$F29*$G29/1000</f>
        <v>0</v>
      </c>
      <c r="Z29" s="554">
        <f ca="1">IFERROR(INDEX(NVLSX!$T$2:$T$1555,MATCH($C29,NVLSX!$E$2:$E$1555,0)),0)*$F29*$G29/1000</f>
        <v>1.0715340000000002</v>
      </c>
      <c r="AA29" s="557"/>
      <c r="AB29" s="558"/>
      <c r="AC29" s="564"/>
      <c r="AD29" s="564"/>
      <c r="AE29" s="714">
        <f t="shared" ca="1" si="5"/>
        <v>321000</v>
      </c>
      <c r="AF29" s="270"/>
      <c r="AG29" s="1168"/>
      <c r="AH29" s="1168"/>
      <c r="AI29" s="1168"/>
      <c r="AJ29" s="1168"/>
      <c r="AK29" s="1168"/>
      <c r="AL29" s="1168"/>
      <c r="AM29" s="1168"/>
      <c r="AN29" s="1168"/>
    </row>
    <row r="30" spans="1:40">
      <c r="A30" s="1416"/>
      <c r="B30" s="149" t="str">
        <f ca="1">IF($C30&lt;&gt;"",1 + MAX($B$13:$B29),"" )</f>
        <v/>
      </c>
      <c r="C30" s="290" t="str">
        <f ca="1">IF(IF($K30&lt;&gt;"",$K30,IF(OR($R30="",$G30=0),"",INDEX(NVLSX!E$6:E$1554,$R30)))=$S$9,$R$9, IF($K30&lt;&gt;"",$K30,IF(OR($R30="",$G30=0),"",INDEX(NVLSX!E$6:E$1554,$R30))))</f>
        <v/>
      </c>
      <c r="D30" s="245" t="str">
        <f ca="1">IF($C30="","",IF($C30=$R$9,  INDEX(NVLSX!$T$6492:$T$6921,MATCH($C30,NVLSX!$S$6492:$S$6921,0)), INDEX(NVLSX!$F$2:$F$6941,MATCH($C30,NVLSX!$E$2:$E$6941,0))))</f>
        <v/>
      </c>
      <c r="E30" s="246" t="str">
        <f ca="1">IF($C30="","",IF($R30="","",INDEX(NVLSX!G$6:G$1554,$R30)))</f>
        <v/>
      </c>
      <c r="F30" s="248">
        <f ca="1">IF($C30="",0,IF(OR($L30="", RIGHT($L30,1)="*"),TinhCT,VALUE(LEFT($L30,FIND("*",$L30)-1))))</f>
        <v>0</v>
      </c>
      <c r="G30" s="249">
        <f ca="1">IF(OR($L30="",RIGHT($L30,1)="*"),TinhCTSL,VALUE(RIGHT($L30,LEN($L30)-FIND("*",$L30))))</f>
        <v>0</v>
      </c>
      <c r="H30" s="249">
        <f t="shared" ca="1" si="7"/>
        <v>0</v>
      </c>
      <c r="I30" s="246" t="str">
        <f ca="1">IF($C30="","",IF($R30="","",INDEX(NVLSX!K$6:K$1554,$R30)))</f>
        <v/>
      </c>
      <c r="J30" s="878">
        <f ca="1">IF($C30="",0,IFERROR(INDEX(NVLSX!$M$4:$M$6941,MATCH($C30,NVLSX!$E$4:$E$6941,0)),0) + IFERROR(IF($Q30=NVLSX!$N$4,INDEX(IF($R$1=DanhMuc!$C$179,DanhMuc!$C$180:$C$188,DanhMuc!$D$180:$D$188),MATCH($F$4,DanhMuc!$B$180:$B$188,0)),0),0))</f>
        <v>0</v>
      </c>
      <c r="K30" s="250"/>
      <c r="L30" s="251"/>
      <c r="M30" s="911">
        <f ca="1">IF($C30="",0,IF($K30="", IF(INDEX(NVLSX!$L$6:$L$1554,$R30)/$N$12&lt;&gt;0,ROUND(INDEX(NVLSX!$L$6:$L$1554,$R30)/$N$12,2),ROUND(INDEX(NVLSX!$L$2:$L$6941,MATCH($C30,NVLSX!$E$2:$E$6941,0))/$N$12,2)),IF(INDEX(NVLSX!$N$2:$N$6941,MATCH($C30,NVLSX!$E$2:$E$6941,0))=NVLSX!$N$4,ROUND(INDEX(NVLSX!$L$2:$L$6941,MATCH($C30,NVLSX!$E$2:$E$6941,0))/$N$12,2),   ROUND(INDEX(NVLSX!$L$2:$L$6941,MATCH($C30,NVLSX!$E$2:$E$6941,0)),2))))</f>
        <v>0</v>
      </c>
      <c r="N30" s="559">
        <f t="shared" ca="1" si="9"/>
        <v>0</v>
      </c>
      <c r="O30" s="555">
        <f t="shared" ca="1" si="10"/>
        <v>0</v>
      </c>
      <c r="P30" s="547" t="str">
        <f ca="1">IF(OR($C30="",$C30=0),"",IF($R30="",$F$4,IF(INDEX(NVLSX!$H$6:$H$1554,$R30)&lt;&gt;"",INDEX(NVLSX!$H$6:$H$1554,$R30),$F$4)))</f>
        <v/>
      </c>
      <c r="Q30" s="548" t="str">
        <f ca="1">IF(OR($C30="",$C30=0),"",INDEX(NVLSX!N$6:N$6941,MATCH($C30,NVLSX!$E$6:$E$6941,0)))</f>
        <v/>
      </c>
      <c r="R30" s="561">
        <f ca="1">IF($I$2=NVLSX!$F$6930,"",IF(TYPE(MATCH($K$1,OFFSET(NVLSX!$B$6,R29,0):'NVLSX'!$B$1554,0)+R29)=16,"",MATCH($K$1,OFFSET(NVLSX!$B$6,R29,0):'NVLSX'!$B$1554,0)+R29))</f>
        <v>43</v>
      </c>
      <c r="S30" s="562" t="str">
        <f ca="1">SUBSTITUTE(SUBSTITUTE(SUBSTITUTE(SUBSTITUTE(SUBSTITUTE(SUBSTITUTE(SUBSTITUTE(IF($R30="",0,INDEX(NVLSX!J$6:J$1554,$R30)),$C$8,$D$8),$C$9,$D$9),$C$10,$D$10),$C$11,$D$11),$P$12,$Q$12),$C$12,$B$12),$G$6,$I$6)</f>
        <v>1600 - (36 + -5)*2 - 68*2</v>
      </c>
      <c r="T30" s="551" t="str">
        <f ca="1">IF(OR($C30="",$C30=0),"", IF(OR(AND(OR($Q30=NVLSX!$N$4,$Q30=NVLSX!$N$6492),COUNTIFS($C$14:$C30,$C30,$F$14:$F30,$F30,$I$14:$I30,$I30)&lt;=1), COUNTIF($C$14:$C30,$C30) &lt;=1 ),$T$13, ""    ))</f>
        <v/>
      </c>
      <c r="U30" s="563">
        <f t="shared" ca="1" si="8"/>
        <v>0</v>
      </c>
      <c r="V30" s="556">
        <f ca="1">IF($C30="",0,IF($R30="",INDEX(NVLSX!$P$6:$P$6757,MATCH($C30,NVLSX!$E$6:$E$6757,0),0),INDEX(NVLSX!$P$6:$P$1554,$R30,0)))</f>
        <v>0</v>
      </c>
      <c r="W30" s="552" t="str">
        <f ca="1">SUBSTITUTE(SUBSTITUTE(SUBSTITUTE(SUBSTITUTE(SUBSTITUTE(SUBSTITUTE(IF($R30="",0,IF(INDEX(NVLSX!$O$6:$O$1554,$R30,0)="",INDEX(NVLSX!$I$6:$I$1554,$R30,0),IF(OR(INDEX(NVLSX!$O$6:$O$1554,$R30,0)=$H$3,INDEX(NVLSX!$O$6:$O$1554,$R30,0)=$R$9,INDEX(NVLSX!$O$6:$O$1554,$R30,0)=$D$12,,INDEX(NVLSX!$O$6:$O$1554,$R30,0)=$H$4),INDEX(NVLSX!$I$6:$I$1554,$R30,0),0))),$C$8,$D$8),$C$9,$D$9),$C$10,$D$10),$C$11,$D$11),$P$12,$Q$12),$C$12,$B$12)</f>
        <v>0</v>
      </c>
      <c r="X30" s="550">
        <f ca="1">IF(OR(IFERROR(SEARCH("Khung",$D30,1),0)=1,IFERROR(SEARCH("Cánh",$D30,1),0)=1),IFERROR(INDEX(NVLSX!$R$2:$R$1554,MATCH($C30,NVLSX!$E$2:$E$1554,0)),0),0)</f>
        <v>0</v>
      </c>
      <c r="Y30" s="554">
        <f ca="1">IFERROR(IF(SEARCH("cánh",$D30)&gt;0,INDEX(NVLSX!$T$2:$T$1555,MATCH($C30,NVLSX!$E$2:$E$1555,0)),0),0)*$F30*$G30/1000</f>
        <v>0</v>
      </c>
      <c r="Z30" s="554">
        <f ca="1">IFERROR(INDEX(NVLSX!$T$2:$T$1555,MATCH($C30,NVLSX!$E$2:$E$1555,0)),0)*$F30*$G30/1000</f>
        <v>0</v>
      </c>
      <c r="AA30" s="557"/>
      <c r="AB30" s="558"/>
      <c r="AC30" s="503"/>
      <c r="AD30" s="503"/>
      <c r="AE30" s="714">
        <f t="shared" ca="1" si="5"/>
        <v>0</v>
      </c>
      <c r="AF30" s="270"/>
    </row>
    <row r="31" spans="1:40">
      <c r="A31" s="1416"/>
      <c r="B31" s="149" t="str">
        <f ca="1">IF($C31&lt;&gt;"",1 + MAX($B$13:$B30),"" )</f>
        <v/>
      </c>
      <c r="C31" s="290" t="str">
        <f ca="1">IF(IF($K31&lt;&gt;"",$K31,IF(OR($R31="",$G31=0),"",INDEX(NVLSX!E$6:E$1554,$R31)))=$S$9,$R$9, IF($K31&lt;&gt;"",$K31,IF(OR($R31="",$G31=0),"",INDEX(NVLSX!E$6:E$1554,$R31))))</f>
        <v/>
      </c>
      <c r="D31" s="245" t="str">
        <f ca="1">IF($C31="","",IF($C31=$R$9,  INDEX(NVLSX!$T$6492:$T$6921,MATCH($C31,NVLSX!$S$6492:$S$6921,0)), INDEX(NVLSX!$F$2:$F$6941,MATCH($C31,NVLSX!$E$2:$E$6941,0))))</f>
        <v/>
      </c>
      <c r="E31" s="246" t="str">
        <f ca="1">IF($C31="","",IF($R31="","",INDEX(NVLSX!G$6:G$1554,$R31)))</f>
        <v/>
      </c>
      <c r="F31" s="248">
        <f ca="1">IF($C31="",0,IF(OR($L31="", RIGHT($L31,1)="*"),TinhCT,VALUE(LEFT($L31,FIND("*",$L31)-1))))</f>
        <v>0</v>
      </c>
      <c r="G31" s="249">
        <f ca="1">IF(OR($L31="",RIGHT($L31,1)="*"),TinhCTSL,VALUE(RIGHT($L31,LEN($L31)-FIND("*",$L31))))</f>
        <v>0</v>
      </c>
      <c r="H31" s="249">
        <f t="shared" ca="1" si="7"/>
        <v>0</v>
      </c>
      <c r="I31" s="246" t="str">
        <f ca="1">IF($C31="","",IF($R31="","",INDEX(NVLSX!K$6:K$1554,$R31)))</f>
        <v/>
      </c>
      <c r="J31" s="878">
        <f ca="1">IF($C31="",0,IFERROR(INDEX(NVLSX!$M$4:$M$6941,MATCH($C31,NVLSX!$E$4:$E$6941,0)),0) + IFERROR(IF($Q31=NVLSX!$N$4,INDEX(IF($R$1=DanhMuc!$C$179,DanhMuc!$C$180:$C$188,DanhMuc!$D$180:$D$188),MATCH($F$4,DanhMuc!$B$180:$B$188,0)),0),0))</f>
        <v>0</v>
      </c>
      <c r="K31" s="250"/>
      <c r="L31" s="251"/>
      <c r="M31" s="911">
        <f ca="1">IF($C31="",0,IF($K31="", IF(INDEX(NVLSX!$L$6:$L$1554,$R31)/$N$12&lt;&gt;0,ROUND(INDEX(NVLSX!$L$6:$L$1554,$R31)/$N$12,2),ROUND(INDEX(NVLSX!$L$2:$L$6941,MATCH($C31,NVLSX!$E$2:$E$6941,0))/$N$12,2)),IF(INDEX(NVLSX!$N$2:$N$6941,MATCH($C31,NVLSX!$E$2:$E$6941,0))=NVLSX!$N$4,ROUND(INDEX(NVLSX!$L$2:$L$6941,MATCH($C31,NVLSX!$E$2:$E$6941,0))/$N$12,2),   ROUND(INDEX(NVLSX!$L$2:$L$6941,MATCH($C31,NVLSX!$E$2:$E$6941,0)),2))))</f>
        <v>0</v>
      </c>
      <c r="N31" s="559">
        <f t="shared" ca="1" si="9"/>
        <v>0</v>
      </c>
      <c r="O31" s="555">
        <f t="shared" ca="1" si="10"/>
        <v>0</v>
      </c>
      <c r="P31" s="547" t="str">
        <f ca="1">IF(OR($C31="",$C31=0),"",IF($R31="",$F$4,IF(INDEX(NVLSX!$H$6:$H$1554,$R31)&lt;&gt;"",INDEX(NVLSX!$H$6:$H$1554,$R31),$F$4)))</f>
        <v/>
      </c>
      <c r="Q31" s="548" t="str">
        <f ca="1">IF(OR($C31="",$C31=0),"",INDEX(NVLSX!N$6:N$6941,MATCH($C31,NVLSX!$E$6:$E$6941,0)))</f>
        <v/>
      </c>
      <c r="R31" s="561">
        <f ca="1">IF($I$2=NVLSX!$F$6930,"",IF(TYPE(MATCH($K$1,OFFSET(NVLSX!$B$6,R30,0):'NVLSX'!$B$1554,0)+R30)=16,"",MATCH($K$1,OFFSET(NVLSX!$B$6,R30,0):'NVLSX'!$B$1554,0)+R30))</f>
        <v>44</v>
      </c>
      <c r="S31" s="562" t="str">
        <f ca="1">SUBSTITUTE(SUBSTITUTE(SUBSTITUTE(SUBSTITUTE(SUBSTITUTE(SUBSTITUTE(SUBSTITUTE(IF($R31="",0,INDEX(NVLSX!J$6:J$1554,$R31)),$C$8,$D$8),$C$9,$D$9),$C$10,$D$10),$C$11,$D$11),$P$12,$Q$12),$C$12,$B$12),$G$6,$I$6)</f>
        <v>2200 - 41 + -8 - 87*2</v>
      </c>
      <c r="T31" s="551" t="str">
        <f ca="1">IF(OR($C31="",$C31=0),"", IF(OR(AND(OR($Q31=NVLSX!$N$4,$Q31=NVLSX!$N$6492),COUNTIFS($C$14:$C31,$C31,$F$14:$F31,$F31,$I$14:$I31,$I31)&lt;=1), COUNTIF($C$14:$C31,$C31) &lt;=1 ),$T$13, ""    ))</f>
        <v/>
      </c>
      <c r="U31" s="563">
        <f t="shared" ca="1" si="8"/>
        <v>0</v>
      </c>
      <c r="V31" s="556">
        <f ca="1">IF($C31="",0,IF($R31="",INDEX(NVLSX!$P$6:$P$6757,MATCH($C31,NVLSX!$E$6:$E$6757,0),0),INDEX(NVLSX!$P$6:$P$1554,$R31,0)))</f>
        <v>0</v>
      </c>
      <c r="W31" s="552" t="str">
        <f ca="1">SUBSTITUTE(SUBSTITUTE(SUBSTITUTE(SUBSTITUTE(SUBSTITUTE(SUBSTITUTE(IF($R31="",0,IF(INDEX(NVLSX!$O$6:$O$1554,$R31,0)="",INDEX(NVLSX!$I$6:$I$1554,$R31,0),IF(OR(INDEX(NVLSX!$O$6:$O$1554,$R31,0)=$H$3,INDEX(NVLSX!$O$6:$O$1554,$R31,0)=$R$9,INDEX(NVLSX!$O$6:$O$1554,$R31,0)=$D$12,,INDEX(NVLSX!$O$6:$O$1554,$R31,0)=$H$4),INDEX(NVLSX!$I$6:$I$1554,$R31,0),0))),$C$8,$D$8),$C$9,$D$9),$C$10,$D$10),$C$11,$D$11),$P$12,$Q$12),$C$12,$B$12)</f>
        <v>0</v>
      </c>
      <c r="X31" s="550">
        <f ca="1">IF(OR(IFERROR(SEARCH("Khung",$D31,1),0)=1,IFERROR(SEARCH("Cánh",$D31,1),0)=1),IFERROR(INDEX(NVLSX!$R$2:$R$1554,MATCH($C31,NVLSX!$E$2:$E$1554,0)),0),0)</f>
        <v>0</v>
      </c>
      <c r="Y31" s="554">
        <f ca="1">IFERROR(IF(SEARCH("cánh",$D31)&gt;0,INDEX(NVLSX!$T$2:$T$1555,MATCH($C31,NVLSX!$E$2:$E$1555,0)),0),0)*$F31*$G31/1000</f>
        <v>0</v>
      </c>
      <c r="Z31" s="554">
        <f ca="1">IFERROR(INDEX(NVLSX!$T$2:$T$1555,MATCH($C31,NVLSX!$E$2:$E$1555,0)),0)*$F31*$G31/1000</f>
        <v>0</v>
      </c>
      <c r="AA31" s="557"/>
      <c r="AB31" s="558"/>
      <c r="AC31" s="503"/>
      <c r="AD31" s="503"/>
      <c r="AE31" s="714">
        <f t="shared" ca="1" si="5"/>
        <v>0</v>
      </c>
      <c r="AF31" s="270"/>
    </row>
    <row r="32" spans="1:40">
      <c r="A32" s="1416"/>
      <c r="B32" s="149" t="str">
        <f ca="1">IF($C32&lt;&gt;"",1 + MAX($B$13:$B31),"" )</f>
        <v/>
      </c>
      <c r="C32" s="290" t="str">
        <f ca="1">IF(IF($K32&lt;&gt;"",$K32,IF(OR($R32="",$G32=0),"",INDEX(NVLSX!E$6:E$1554,$R32)))=$S$9,$R$9, IF($K32&lt;&gt;"",$K32,IF(OR($R32="",$G32=0),"",INDEX(NVLSX!E$6:E$1554,$R32))))</f>
        <v/>
      </c>
      <c r="D32" s="245" t="str">
        <f ca="1">IF($C32="","",IF($C32=$R$9,  INDEX(NVLSX!$T$6492:$T$6921,MATCH($C32,NVLSX!$S$6492:$S$6921,0)), INDEX(NVLSX!$F$2:$F$6941,MATCH($C32,NVLSX!$E$2:$E$6941,0))))</f>
        <v/>
      </c>
      <c r="E32" s="246" t="str">
        <f ca="1">IF($C32="","",IF($R32="","",INDEX(NVLSX!G$6:G$1554,$R32)))</f>
        <v/>
      </c>
      <c r="F32" s="248">
        <f ca="1">IF($C32="",0,IF(OR($L32="", RIGHT($L32,1)="*"),TinhCT,VALUE(LEFT($L32,FIND("*",$L32)-1))))</f>
        <v>0</v>
      </c>
      <c r="G32" s="249">
        <f ca="1">IF(OR($L32="",RIGHT($L32,1)="*"),TinhCTSL,VALUE(RIGHT($L32,LEN($L32)-FIND("*",$L32))))</f>
        <v>0</v>
      </c>
      <c r="H32" s="249">
        <f t="shared" ca="1" si="7"/>
        <v>0</v>
      </c>
      <c r="I32" s="246" t="str">
        <f ca="1">IF($C32="","",IF($R32="","",INDEX(NVLSX!K$6:K$1554,$R32)))</f>
        <v/>
      </c>
      <c r="J32" s="878">
        <f ca="1">IF($C32="",0,IFERROR(INDEX(NVLSX!$M$4:$M$6941,MATCH($C32,NVLSX!$E$4:$E$6941,0)),0) + IFERROR(IF($Q32=NVLSX!$N$4,INDEX(IF($R$1=DanhMuc!$C$179,DanhMuc!$C$180:$C$188,DanhMuc!$D$180:$D$188),MATCH($F$4,DanhMuc!$B$180:$B$188,0)),0),0))</f>
        <v>0</v>
      </c>
      <c r="K32" s="250"/>
      <c r="L32" s="251"/>
      <c r="M32" s="911">
        <f ca="1">IF($C32="",0,IF($K32="", IF(INDEX(NVLSX!$L$6:$L$1554,$R32)/$N$12&lt;&gt;0,ROUND(INDEX(NVLSX!$L$6:$L$1554,$R32)/$N$12,2),ROUND(INDEX(NVLSX!$L$2:$L$6941,MATCH($C32,NVLSX!$E$2:$E$6941,0))/$N$12,2)),IF(INDEX(NVLSX!$N$2:$N$6941,MATCH($C32,NVLSX!$E$2:$E$6941,0))=NVLSX!$N$4,ROUND(INDEX(NVLSX!$L$2:$L$6941,MATCH($C32,NVLSX!$E$2:$E$6941,0))/$N$12,2),   ROUND(INDEX(NVLSX!$L$2:$L$6941,MATCH($C32,NVLSX!$E$2:$E$6941,0)),2))))</f>
        <v>0</v>
      </c>
      <c r="N32" s="559">
        <f t="shared" ca="1" si="9"/>
        <v>0</v>
      </c>
      <c r="O32" s="555">
        <f t="shared" ca="1" si="10"/>
        <v>0</v>
      </c>
      <c r="P32" s="547" t="str">
        <f ca="1">IF(OR($C32="",$C32=0),"",IF($R32="",$F$4,IF(INDEX(NVLSX!$H$6:$H$1554,$R32)&lt;&gt;"",INDEX(NVLSX!$H$6:$H$1554,$R32),$F$4)))</f>
        <v/>
      </c>
      <c r="Q32" s="548" t="str">
        <f ca="1">IF(OR($C32="",$C32=0),"",INDEX(NVLSX!N$6:N$6941,MATCH($C32,NVLSX!$E$6:$E$6941,0)))</f>
        <v/>
      </c>
      <c r="R32" s="561">
        <f ca="1">IF($I$2=NVLSX!$F$6930,"",IF(TYPE(MATCH($K$1,OFFSET(NVLSX!$B$6,R31,0):'NVLSX'!$B$1554,0)+R31)=16,"",MATCH($K$1,OFFSET(NVLSX!$B$6,R31,0):'NVLSX'!$B$1554,0)+R31))</f>
        <v>45</v>
      </c>
      <c r="S32" s="562" t="str">
        <f ca="1">SUBSTITUTE(SUBSTITUTE(SUBSTITUTE(SUBSTITUTE(SUBSTITUTE(SUBSTITUTE(SUBSTITUTE(IF($R32="",0,INDEX(NVLSX!J$6:J$1554,$R32)),$C$8,$D$8),$C$9,$D$9),$C$10,$D$10),$C$11,$D$11),$P$12,$Q$12),$C$12,$B$12),$G$6,$I$6)</f>
        <v>1600 - (36 + -5)*2 - 68*2</v>
      </c>
      <c r="T32" s="551" t="str">
        <f ca="1">IF(OR($C32="",$C32=0),"", IF(OR(AND(OR($Q32=NVLSX!$N$4,$Q32=NVLSX!$N$6492),COUNTIFS($C$14:$C32,$C32,$F$14:$F32,$F32,$I$14:$I32,$I32)&lt;=1), COUNTIF($C$14:$C32,$C32) &lt;=1 ),$T$13, ""    ))</f>
        <v/>
      </c>
      <c r="U32" s="563">
        <f t="shared" ca="1" si="8"/>
        <v>0</v>
      </c>
      <c r="V32" s="556">
        <f ca="1">IF($C32="",0,IF($R32="",INDEX(NVLSX!$P$6:$P$6757,MATCH($C32,NVLSX!$E$6:$E$6757,0),0),INDEX(NVLSX!$P$6:$P$1554,$R32,0)))</f>
        <v>0</v>
      </c>
      <c r="W32" s="552" t="str">
        <f ca="1">SUBSTITUTE(SUBSTITUTE(SUBSTITUTE(SUBSTITUTE(SUBSTITUTE(SUBSTITUTE(IF($R32="",0,IF(INDEX(NVLSX!$O$6:$O$1554,$R32,0)="",INDEX(NVLSX!$I$6:$I$1554,$R32,0),IF(OR(INDEX(NVLSX!$O$6:$O$1554,$R32,0)=$H$3,INDEX(NVLSX!$O$6:$O$1554,$R32,0)=$R$9,INDEX(NVLSX!$O$6:$O$1554,$R32,0)=$D$12,,INDEX(NVLSX!$O$6:$O$1554,$R32,0)=$H$4),INDEX(NVLSX!$I$6:$I$1554,$R32,0),0))),$C$8,$D$8),$C$9,$D$9),$C$10,$D$10),$C$11,$D$11),$P$12,$Q$12),$C$12,$B$12)</f>
        <v>0</v>
      </c>
      <c r="X32" s="550">
        <f ca="1">IF(OR(IFERROR(SEARCH("Khung",$D32,1),0)=1,IFERROR(SEARCH("Cánh",$D32,1),0)=1),IFERROR(INDEX(NVLSX!$R$2:$R$1554,MATCH($C32,NVLSX!$E$2:$E$1554,0)),0),0)</f>
        <v>0</v>
      </c>
      <c r="Y32" s="554">
        <f ca="1">IFERROR(IF(SEARCH("cánh",$D32)&gt;0,INDEX(NVLSX!$T$2:$T$1555,MATCH($C32,NVLSX!$E$2:$E$1555,0)),0),0)*$F32*$G32/1000</f>
        <v>0</v>
      </c>
      <c r="Z32" s="554">
        <f ca="1">IFERROR(INDEX(NVLSX!$T$2:$T$1555,MATCH($C32,NVLSX!$E$2:$E$1555,0)),0)*$F32*$G32/1000</f>
        <v>0</v>
      </c>
      <c r="AA32" s="557"/>
      <c r="AB32" s="558"/>
      <c r="AC32" s="503"/>
      <c r="AD32" s="503"/>
      <c r="AE32" s="714">
        <f t="shared" ca="1" si="5"/>
        <v>0</v>
      </c>
      <c r="AF32" s="270"/>
    </row>
    <row r="33" spans="1:40">
      <c r="A33" s="1416"/>
      <c r="B33" s="149" t="str">
        <f ca="1">IF($C33&lt;&gt;"",1 + MAX($B$13:$B32),"" )</f>
        <v/>
      </c>
      <c r="C33" s="290" t="str">
        <f ca="1">IF(IF($K33&lt;&gt;"",$K33,IF(OR($R33="",$G33=0),"",INDEX(NVLSX!E$6:E$1554,$R33)))=$S$9,$R$9, IF($K33&lt;&gt;"",$K33,IF(OR($R33="",$G33=0),"",INDEX(NVLSX!E$6:E$1554,$R33))))</f>
        <v/>
      </c>
      <c r="D33" s="245" t="str">
        <f ca="1">IF($C33="","",IF($C33=$R$9,  INDEX(NVLSX!$T$6492:$T$6921,MATCH($C33,NVLSX!$S$6492:$S$6921,0)), INDEX(NVLSX!$F$2:$F$6941,MATCH($C33,NVLSX!$E$2:$E$6941,0))))</f>
        <v/>
      </c>
      <c r="E33" s="246" t="str">
        <f ca="1">IF($C33="","",IF($R33="","",INDEX(NVLSX!G$6:G$1554,$R33)))</f>
        <v/>
      </c>
      <c r="F33" s="248">
        <f ca="1">IF($C33="",0,IF(OR($L33="", RIGHT($L33,1)="*"),TinhCT,VALUE(LEFT($L33,FIND("*",$L33)-1))))</f>
        <v>0</v>
      </c>
      <c r="G33" s="249">
        <f ca="1">IF(OR($L33="",RIGHT($L33,1)="*"),TinhCTSL,VALUE(RIGHT($L33,LEN($L33)-FIND("*",$L33))))</f>
        <v>0</v>
      </c>
      <c r="H33" s="249">
        <f t="shared" ca="1" si="7"/>
        <v>0</v>
      </c>
      <c r="I33" s="246" t="str">
        <f ca="1">IF($C33="","",IF($R33="","",INDEX(NVLSX!K$6:K$1554,$R33)))</f>
        <v/>
      </c>
      <c r="J33" s="878">
        <f ca="1">IF($C33="",0,IFERROR(INDEX(NVLSX!$M$4:$M$6941,MATCH($C33,NVLSX!$E$4:$E$6941,0)),0) + IFERROR(IF($Q33=NVLSX!$N$4,INDEX(IF($R$1=DanhMuc!$C$179,DanhMuc!$C$180:$C$188,DanhMuc!$D$180:$D$188),MATCH($F$4,DanhMuc!$B$180:$B$188,0)),0),0))</f>
        <v>0</v>
      </c>
      <c r="K33" s="250"/>
      <c r="L33" s="251"/>
      <c r="M33" s="911">
        <f ca="1">IF($C33="",0,IF($K33="", IF(INDEX(NVLSX!$L$6:$L$1554,$R33)/$N$12&lt;&gt;0,ROUND(INDEX(NVLSX!$L$6:$L$1554,$R33)/$N$12,2),ROUND(INDEX(NVLSX!$L$2:$L$6941,MATCH($C33,NVLSX!$E$2:$E$6941,0))/$N$12,2)),IF(INDEX(NVLSX!$N$2:$N$6941,MATCH($C33,NVLSX!$E$2:$E$6941,0))=NVLSX!$N$4,ROUND(INDEX(NVLSX!$L$2:$L$6941,MATCH($C33,NVLSX!$E$2:$E$6941,0))/$N$12,2),   ROUND(INDEX(NVLSX!$L$2:$L$6941,MATCH($C33,NVLSX!$E$2:$E$6941,0)),2))))</f>
        <v>0</v>
      </c>
      <c r="N33" s="559">
        <f t="shared" ca="1" si="9"/>
        <v>0</v>
      </c>
      <c r="O33" s="555">
        <f t="shared" ca="1" si="10"/>
        <v>0</v>
      </c>
      <c r="P33" s="547" t="str">
        <f ca="1">IF(OR($C33="",$C33=0),"",IF($R33="",$F$4,IF(INDEX(NVLSX!$H$6:$H$1554,$R33)&lt;&gt;"",INDEX(NVLSX!$H$6:$H$1554,$R33),$F$4)))</f>
        <v/>
      </c>
      <c r="Q33" s="548" t="str">
        <f ca="1">IF(OR($C33="",$C33=0),"",INDEX(NVLSX!N$6:N$6941,MATCH($C33,NVLSX!$E$6:$E$6941,0)))</f>
        <v/>
      </c>
      <c r="R33" s="561">
        <f ca="1">IF($I$2=NVLSX!$F$6930,"",IF(TYPE(MATCH($K$1,OFFSET(NVLSX!$B$6,R32,0):'NVLSX'!$B$1554,0)+R32)=16,"",MATCH($K$1,OFFSET(NVLSX!$B$6,R32,0):'NVLSX'!$B$1554,0)+R32))</f>
        <v>46</v>
      </c>
      <c r="S33" s="562" t="str">
        <f ca="1">SUBSTITUTE(SUBSTITUTE(SUBSTITUTE(SUBSTITUTE(SUBSTITUTE(SUBSTITUTE(SUBSTITUTE(IF($R33="",0,INDEX(NVLSX!J$6:J$1554,$R33)),$C$8,$D$8),$C$9,$D$9),$C$10,$D$10),$C$11,$D$11),$P$12,$Q$12),$C$12,$B$12),$G$6,$I$6)</f>
        <v>2200 - 41 + -8 - 87*2</v>
      </c>
      <c r="T33" s="551" t="str">
        <f ca="1">IF(OR($C33="",$C33=0),"", IF(OR(AND(OR($Q33=NVLSX!$N$4,$Q33=NVLSX!$N$6492),COUNTIFS($C$14:$C33,$C33,$F$14:$F33,$F33,$I$14:$I33,$I33)&lt;=1), COUNTIF($C$14:$C33,$C33) &lt;=1 ),$T$13, ""    ))</f>
        <v/>
      </c>
      <c r="U33" s="563">
        <f t="shared" ca="1" si="8"/>
        <v>0</v>
      </c>
      <c r="V33" s="556">
        <f ca="1">IF($C33="",0,IF($R33="",INDEX(NVLSX!$P$6:$P$6757,MATCH($C33,NVLSX!$E$6:$E$6757,0),0),INDEX(NVLSX!$P$6:$P$1554,$R33,0)))</f>
        <v>0</v>
      </c>
      <c r="W33" s="552" t="str">
        <f ca="1">SUBSTITUTE(SUBSTITUTE(SUBSTITUTE(SUBSTITUTE(SUBSTITUTE(SUBSTITUTE(IF($R33="",0,IF(INDEX(NVLSX!$O$6:$O$1554,$R33,0)="",INDEX(NVLSX!$I$6:$I$1554,$R33,0),IF(OR(INDEX(NVLSX!$O$6:$O$1554,$R33,0)=$H$3,INDEX(NVLSX!$O$6:$O$1554,$R33,0)=$R$9,INDEX(NVLSX!$O$6:$O$1554,$R33,0)=$D$12,,INDEX(NVLSX!$O$6:$O$1554,$R33,0)=$H$4),INDEX(NVLSX!$I$6:$I$1554,$R33,0),0))),$C$8,$D$8),$C$9,$D$9),$C$10,$D$10),$C$11,$D$11),$P$12,$Q$12),$C$12,$B$12)</f>
        <v>0</v>
      </c>
      <c r="X33" s="550">
        <f ca="1">IF(OR(IFERROR(SEARCH("Khung",$D33,1),0)=1,IFERROR(SEARCH("Cánh",$D33,1),0)=1),IFERROR(INDEX(NVLSX!$R$2:$R$1554,MATCH($C33,NVLSX!$E$2:$E$1554,0)),0),0)</f>
        <v>0</v>
      </c>
      <c r="Y33" s="554">
        <f ca="1">IFERROR(IF(SEARCH("cánh",$D33)&gt;0,INDEX(NVLSX!$T$2:$T$1555,MATCH($C33,NVLSX!$E$2:$E$1555,0)),0),0)*$F33*$G33/1000</f>
        <v>0</v>
      </c>
      <c r="Z33" s="554">
        <f ca="1">IFERROR(INDEX(NVLSX!$T$2:$T$1555,MATCH($C33,NVLSX!$E$2:$E$1555,0)),0)*$F33*$G33/1000</f>
        <v>0</v>
      </c>
      <c r="AA33" s="557"/>
      <c r="AB33" s="558"/>
      <c r="AC33" s="503"/>
      <c r="AD33" s="503"/>
      <c r="AE33" s="714">
        <f t="shared" ca="1" si="5"/>
        <v>0</v>
      </c>
      <c r="AF33" s="270"/>
    </row>
    <row r="34" spans="1:40">
      <c r="A34" s="1416"/>
      <c r="B34" s="149" t="str">
        <f ca="1">IF($C34&lt;&gt;"",1 + MAX($B$13:$B33),"" )</f>
        <v/>
      </c>
      <c r="C34" s="290" t="str">
        <f ca="1">IF(IF($K34&lt;&gt;"",$K34,IF(OR($R34="",$G34=0),"",INDEX(NVLSX!E$6:E$1554,$R34)))=$S$9,$R$9, IF($K34&lt;&gt;"",$K34,IF(OR($R34="",$G34=0),"",INDEX(NVLSX!E$6:E$1554,$R34))))</f>
        <v/>
      </c>
      <c r="D34" s="245" t="str">
        <f ca="1">IF($C34="","",IF($C34=$R$9,  INDEX(NVLSX!$T$6492:$T$6921,MATCH($C34,NVLSX!$S$6492:$S$6921,0)), INDEX(NVLSX!$F$2:$F$6941,MATCH($C34,NVLSX!$E$2:$E$6941,0))))</f>
        <v/>
      </c>
      <c r="E34" s="246" t="str">
        <f ca="1">IF($C34="","",IF($R34="","",INDEX(NVLSX!G$6:G$1554,$R34)))</f>
        <v/>
      </c>
      <c r="F34" s="248">
        <f ca="1">IF($C34="",0,IF(OR($L34="", RIGHT($L34,1)="*"),TinhCT,VALUE(LEFT($L34,FIND("*",$L34)-1))))</f>
        <v>0</v>
      </c>
      <c r="G34" s="249">
        <f ca="1">IF(OR($L34="",RIGHT($L34,1)="*"),TinhCTSL,VALUE(RIGHT($L34,LEN($L34)-FIND("*",$L34))))</f>
        <v>0</v>
      </c>
      <c r="H34" s="249">
        <f t="shared" ca="1" si="7"/>
        <v>0</v>
      </c>
      <c r="I34" s="246" t="str">
        <f ca="1">IF($C34="","",IF($R34="","",INDEX(NVLSX!K$6:K$1554,$R34)))</f>
        <v/>
      </c>
      <c r="J34" s="878">
        <f ca="1">IF($C34="",0,IFERROR(INDEX(NVLSX!$M$4:$M$6941,MATCH($C34,NVLSX!$E$4:$E$6941,0)),0) + IFERROR(IF($Q34=NVLSX!$N$4,INDEX(IF($R$1=DanhMuc!$C$179,DanhMuc!$C$180:$C$188,DanhMuc!$D$180:$D$188),MATCH($F$4,DanhMuc!$B$180:$B$188,0)),0),0))</f>
        <v>0</v>
      </c>
      <c r="K34" s="250"/>
      <c r="L34" s="251"/>
      <c r="M34" s="911">
        <f ca="1">IF($C34="",0,IF($K34="", IF(INDEX(NVLSX!$L$6:$L$1554,$R34)/$N$12&lt;&gt;0,ROUND(INDEX(NVLSX!$L$6:$L$1554,$R34)/$N$12,2),ROUND(INDEX(NVLSX!$L$2:$L$6941,MATCH($C34,NVLSX!$E$2:$E$6941,0))/$N$12,2)),IF(INDEX(NVLSX!$N$2:$N$6941,MATCH($C34,NVLSX!$E$2:$E$6941,0))=NVLSX!$N$4,ROUND(INDEX(NVLSX!$L$2:$L$6941,MATCH($C34,NVLSX!$E$2:$E$6941,0))/$N$12,2),   ROUND(INDEX(NVLSX!$L$2:$L$6941,MATCH($C34,NVLSX!$E$2:$E$6941,0)),2))))</f>
        <v>0</v>
      </c>
      <c r="N34" s="559">
        <f t="shared" ca="1" si="9"/>
        <v>0</v>
      </c>
      <c r="O34" s="555">
        <f t="shared" ca="1" si="10"/>
        <v>0</v>
      </c>
      <c r="P34" s="547" t="str">
        <f ca="1">IF(OR($C34="",$C34=0),"",IF($R34="",$F$4,IF(INDEX(NVLSX!$H$6:$H$1554,$R34)&lt;&gt;"",INDEX(NVLSX!$H$6:$H$1554,$R34),$F$4)))</f>
        <v/>
      </c>
      <c r="Q34" s="548" t="str">
        <f ca="1">IF(OR($C34="",$C34=0),"",INDEX(NVLSX!N$6:N$6941,MATCH($C34,NVLSX!$E$6:$E$6941,0)))</f>
        <v/>
      </c>
      <c r="R34" s="561" t="str">
        <f ca="1">IF($I$2=NVLSX!$F$6930,"",IF(TYPE(MATCH($K$1,OFFSET(NVLSX!$B$6,R33,0):'NVLSX'!$B$1554,0)+R33)=16,"",MATCH($K$1,OFFSET(NVLSX!$B$6,R33,0):'NVLSX'!$B$1554,0)+R33))</f>
        <v/>
      </c>
      <c r="S34" s="562" t="str">
        <f ca="1">SUBSTITUTE(SUBSTITUTE(SUBSTITUTE(SUBSTITUTE(SUBSTITUTE(SUBSTITUTE(SUBSTITUTE(IF($R34="",0,INDEX(NVLSX!J$6:J$1554,$R34)),$C$8,$D$8),$C$9,$D$9),$C$10,$D$10),$C$11,$D$11),$P$12,$Q$12),$C$12,$B$12),$G$6,$I$6)</f>
        <v>0</v>
      </c>
      <c r="T34" s="551" t="str">
        <f ca="1">IF(OR($C34="",$C34=0),"", IF(OR(AND(OR($Q34=NVLSX!$N$4,$Q34=NVLSX!$N$6492),COUNTIFS($C$14:$C34,$C34,$F$14:$F34,$F34,$I$14:$I34,$I34)&lt;=1), COUNTIF($C$14:$C34,$C34) &lt;=1 ),$T$13, ""    ))</f>
        <v/>
      </c>
      <c r="U34" s="563">
        <f t="shared" ca="1" si="8"/>
        <v>0</v>
      </c>
      <c r="V34" s="556">
        <f ca="1">IF($C34="",0,IF($R34="",INDEX(NVLSX!$P$6:$P$6757,MATCH($C34,NVLSX!$E$6:$E$6757,0),0),INDEX(NVLSX!$P$6:$P$1554,$R34,0)))</f>
        <v>0</v>
      </c>
      <c r="W34" s="552" t="str">
        <f ca="1">SUBSTITUTE(SUBSTITUTE(SUBSTITUTE(SUBSTITUTE(SUBSTITUTE(SUBSTITUTE(IF($R34="",0,IF(INDEX(NVLSX!$O$6:$O$1554,$R34,0)="",INDEX(NVLSX!$I$6:$I$1554,$R34,0),IF(OR(INDEX(NVLSX!$O$6:$O$1554,$R34,0)=$H$3,INDEX(NVLSX!$O$6:$O$1554,$R34,0)=$R$9,INDEX(NVLSX!$O$6:$O$1554,$R34,0)=$D$12,,INDEX(NVLSX!$O$6:$O$1554,$R34,0)=$H$4),INDEX(NVLSX!$I$6:$I$1554,$R34,0),0))),$C$8,$D$8),$C$9,$D$9),$C$10,$D$10),$C$11,$D$11),$P$12,$Q$12),$C$12,$B$12)</f>
        <v>0</v>
      </c>
      <c r="X34" s="550">
        <f ca="1">IF(OR(IFERROR(SEARCH("Khung",$D34,1),0)=1,IFERROR(SEARCH("Cánh",$D34,1),0)=1),IFERROR(INDEX(NVLSX!$R$2:$R$1554,MATCH($C34,NVLSX!$E$2:$E$1554,0)),0),0)</f>
        <v>0</v>
      </c>
      <c r="Y34" s="554">
        <f ca="1">IFERROR(IF(SEARCH("cánh",$D34)&gt;0,INDEX(NVLSX!$T$2:$T$1555,MATCH($C34,NVLSX!$E$2:$E$1555,0)),0),0)*$F34*$G34/1000</f>
        <v>0</v>
      </c>
      <c r="Z34" s="554">
        <f ca="1">IFERROR(INDEX(NVLSX!$T$2:$T$1555,MATCH($C34,NVLSX!$E$2:$E$1555,0)),0)*$F34*$G34/1000</f>
        <v>0</v>
      </c>
      <c r="AA34" s="557"/>
      <c r="AB34" s="558"/>
      <c r="AC34" s="503"/>
      <c r="AD34" s="503"/>
      <c r="AE34" s="714">
        <f t="shared" ca="1" si="5"/>
        <v>0</v>
      </c>
      <c r="AF34" s="270"/>
    </row>
    <row r="35" spans="1:40">
      <c r="A35" s="1416"/>
      <c r="B35" s="149" t="str">
        <f ca="1">IF($C35&lt;&gt;"",1 + MAX($B$13:$B34),"" )</f>
        <v/>
      </c>
      <c r="C35" s="290" t="str">
        <f ca="1">IF(IF($K35&lt;&gt;"",$K35,IF(OR($R35="",$G35=0),"",INDEX(NVLSX!E$6:E$1554,$R35)))=$S$9,$R$9, IF($K35&lt;&gt;"",$K35,IF(OR($R35="",$G35=0),"",INDEX(NVLSX!E$6:E$1554,$R35))))</f>
        <v/>
      </c>
      <c r="D35" s="245" t="str">
        <f ca="1">IF($C35="","",IF($C35=$R$9,  INDEX(NVLSX!$T$6492:$T$6921,MATCH($C35,NVLSX!$S$6492:$S$6921,0)), INDEX(NVLSX!$F$2:$F$6941,MATCH($C35,NVLSX!$E$2:$E$6941,0))))</f>
        <v/>
      </c>
      <c r="E35" s="246" t="str">
        <f ca="1">IF($C35="","",IF($R35="","",INDEX(NVLSX!G$6:G$1554,$R35)))</f>
        <v/>
      </c>
      <c r="F35" s="248">
        <f ca="1">IF($C35="",0,IF(OR($L35="", RIGHT($L35,1)="*"),TinhCT,VALUE(LEFT($L35,FIND("*",$L35)-1))))</f>
        <v>0</v>
      </c>
      <c r="G35" s="249">
        <f ca="1">IF(OR($L35="",RIGHT($L35,1)="*"),TinhCTSL,VALUE(RIGHT($L35,LEN($L35)-FIND("*",$L35))))</f>
        <v>0</v>
      </c>
      <c r="H35" s="249">
        <f t="shared" ca="1" si="7"/>
        <v>0</v>
      </c>
      <c r="I35" s="246" t="str">
        <f ca="1">IF($C35="","",IF($R35="","",INDEX(NVLSX!K$6:K$1554,$R35)))</f>
        <v/>
      </c>
      <c r="J35" s="878">
        <f ca="1">IF($C35="",0,IFERROR(INDEX(NVLSX!$M$4:$M$6941,MATCH($C35,NVLSX!$E$4:$E$6941,0)),0) + IFERROR(IF($Q35=NVLSX!$N$4,INDEX(IF($R$1=DanhMuc!$C$179,DanhMuc!$C$180:$C$188,DanhMuc!$D$180:$D$188),MATCH($F$4,DanhMuc!$B$180:$B$188,0)),0),0))</f>
        <v>0</v>
      </c>
      <c r="K35" s="250"/>
      <c r="L35" s="251"/>
      <c r="M35" s="911">
        <f ca="1">IF($C35="",0,IF($K35="", IF(INDEX(NVLSX!$L$6:$L$1554,$R35)/$N$12&lt;&gt;0,ROUND(INDEX(NVLSX!$L$6:$L$1554,$R35)/$N$12,2),ROUND(INDEX(NVLSX!$L$2:$L$6941,MATCH($C35,NVLSX!$E$2:$E$6941,0))/$N$12,2)),IF(INDEX(NVLSX!$N$2:$N$6941,MATCH($C35,NVLSX!$E$2:$E$6941,0))=NVLSX!$N$4,ROUND(INDEX(NVLSX!$L$2:$L$6941,MATCH($C35,NVLSX!$E$2:$E$6941,0))/$N$12,2),   ROUND(INDEX(NVLSX!$L$2:$L$6941,MATCH($C35,NVLSX!$E$2:$E$6941,0)),2))))</f>
        <v>0</v>
      </c>
      <c r="N35" s="559">
        <f t="shared" ca="1" si="9"/>
        <v>0</v>
      </c>
      <c r="O35" s="555">
        <f t="shared" ca="1" si="10"/>
        <v>0</v>
      </c>
      <c r="P35" s="547" t="str">
        <f ca="1">IF(OR($C35="",$C35=0),"",IF($R35="",$F$4,IF(INDEX(NVLSX!$H$6:$H$1554,$R35)&lt;&gt;"",INDEX(NVLSX!$H$6:$H$1554,$R35),$F$4)))</f>
        <v/>
      </c>
      <c r="Q35" s="548" t="str">
        <f ca="1">IF(OR($C35="",$C35=0),"",INDEX(NVLSX!N$6:N$6941,MATCH($C35,NVLSX!$E$6:$E$6941,0)))</f>
        <v/>
      </c>
      <c r="R35" s="561" t="str">
        <f ca="1">IF($I$2=NVLSX!$F$6930,"",IF(TYPE(MATCH($K$1,OFFSET(NVLSX!$B$6,R34,0):'NVLSX'!$B$1554,0)+R34)=16,"",MATCH($K$1,OFFSET(NVLSX!$B$6,R34,0):'NVLSX'!$B$1554,0)+R34))</f>
        <v/>
      </c>
      <c r="S35" s="562" t="str">
        <f ca="1">SUBSTITUTE(SUBSTITUTE(SUBSTITUTE(SUBSTITUTE(SUBSTITUTE(SUBSTITUTE(SUBSTITUTE(IF($R35="",0,INDEX(NVLSX!J$6:J$1554,$R35)),$C$8,$D$8),$C$9,$D$9),$C$10,$D$10),$C$11,$D$11),$P$12,$Q$12),$C$12,$B$12),$G$6,$I$6)</f>
        <v>0</v>
      </c>
      <c r="T35" s="551" t="str">
        <f ca="1">IF(OR($C35="",$C35=0),"", IF(OR(AND(OR($Q35=NVLSX!$N$4,$Q35=NVLSX!$N$6492),COUNTIFS($C$14:$C35,$C35,$F$14:$F35,$F35,$I$14:$I35,$I35)&lt;=1), COUNTIF($C$14:$C35,$C35) &lt;=1 ),$T$13, ""    ))</f>
        <v/>
      </c>
      <c r="U35" s="563">
        <f t="shared" ca="1" si="8"/>
        <v>0</v>
      </c>
      <c r="V35" s="556">
        <f ca="1">IF($C35="",0,IF($R35="",INDEX(NVLSX!$P$6:$P$6757,MATCH($C35,NVLSX!$E$6:$E$6757,0),0),INDEX(NVLSX!$P$6:$P$1554,$R35,0)))</f>
        <v>0</v>
      </c>
      <c r="W35" s="552" t="str">
        <f ca="1">SUBSTITUTE(SUBSTITUTE(SUBSTITUTE(SUBSTITUTE(SUBSTITUTE(SUBSTITUTE(IF($R35="",0,IF(INDEX(NVLSX!$O$6:$O$1554,$R35,0)="",INDEX(NVLSX!$I$6:$I$1554,$R35,0),IF(OR(INDEX(NVLSX!$O$6:$O$1554,$R35,0)=$H$3,INDEX(NVLSX!$O$6:$O$1554,$R35,0)=$R$9,INDEX(NVLSX!$O$6:$O$1554,$R35,0)=$D$12,,INDEX(NVLSX!$O$6:$O$1554,$R35,0)=$H$4),INDEX(NVLSX!$I$6:$I$1554,$R35,0),0))),$C$8,$D$8),$C$9,$D$9),$C$10,$D$10),$C$11,$D$11),$P$12,$Q$12),$C$12,$B$12)</f>
        <v>0</v>
      </c>
      <c r="X35" s="550">
        <f ca="1">IF(OR(IFERROR(SEARCH("Khung",$D35,1),0)=1,IFERROR(SEARCH("Cánh",$D35,1),0)=1),IFERROR(INDEX(NVLSX!$R$2:$R$1554,MATCH($C35,NVLSX!$E$2:$E$1554,0)),0),0)</f>
        <v>0</v>
      </c>
      <c r="Y35" s="554">
        <f ca="1">IFERROR(IF(SEARCH("cánh",$D35)&gt;0,INDEX(NVLSX!$T$2:$T$1555,MATCH($C35,NVLSX!$E$2:$E$1555,0)),0),0)*$F35*$G35/1000</f>
        <v>0</v>
      </c>
      <c r="Z35" s="554">
        <f ca="1">IFERROR(INDEX(NVLSX!$T$2:$T$1555,MATCH($C35,NVLSX!$E$2:$E$1555,0)),0)*$F35*$G35/1000</f>
        <v>0</v>
      </c>
      <c r="AA35" s="557"/>
      <c r="AB35" s="558"/>
      <c r="AC35" s="503"/>
      <c r="AD35" s="503"/>
      <c r="AE35" s="714">
        <f t="shared" ca="1" si="5"/>
        <v>0</v>
      </c>
      <c r="AF35" s="270"/>
    </row>
    <row r="36" spans="1:40">
      <c r="A36" s="1416"/>
      <c r="B36" s="149" t="str">
        <f ca="1">IF($C36&lt;&gt;"",1 + MAX($B$13:$B35),"" )</f>
        <v/>
      </c>
      <c r="C36" s="290" t="str">
        <f ca="1">IF(IF($K36&lt;&gt;"",$K36,IF(OR($R36="",$G36=0),"",INDEX(NVLSX!E$6:E$1554,$R36)))=$S$9,$R$9, IF($K36&lt;&gt;"",$K36,IF(OR($R36="",$G36=0),"",INDEX(NVLSX!E$6:E$1554,$R36))))</f>
        <v/>
      </c>
      <c r="D36" s="245" t="str">
        <f ca="1">IF($C36="","",IF($C36=$R$9,  INDEX(NVLSX!$T$6492:$T$6921,MATCH($C36,NVLSX!$S$6492:$S$6921,0)), INDEX(NVLSX!$F$2:$F$6941,MATCH($C36,NVLSX!$E$2:$E$6941,0))))</f>
        <v/>
      </c>
      <c r="E36" s="246" t="str">
        <f ca="1">IF($C36="","",IF($R36="","",INDEX(NVLSX!G$6:G$1554,$R36)))</f>
        <v/>
      </c>
      <c r="F36" s="248">
        <f ca="1">IF($C36="",0,IF(OR($L36="", RIGHT($L36,1)="*"),TinhCT,VALUE(LEFT($L36,FIND("*",$L36)-1))))</f>
        <v>0</v>
      </c>
      <c r="G36" s="249">
        <f ca="1">IF(OR($L36="",RIGHT($L36,1)="*"),TinhCTSL,VALUE(RIGHT($L36,LEN($L36)-FIND("*",$L36))))</f>
        <v>0</v>
      </c>
      <c r="H36" s="249">
        <f t="shared" ca="1" si="7"/>
        <v>0</v>
      </c>
      <c r="I36" s="246" t="str">
        <f ca="1">IF($C36="","",IF($R36="","",INDEX(NVLSX!K$6:K$1554,$R36)))</f>
        <v/>
      </c>
      <c r="J36" s="878">
        <f ca="1">IF($C36="",0,IFERROR(INDEX(NVLSX!$M$4:$M$6941,MATCH($C36,NVLSX!$E$4:$E$6941,0)),0) + IFERROR(IF($Q36=NVLSX!$N$4,INDEX(IF($R$1=DanhMuc!$C$179,DanhMuc!$C$180:$C$188,DanhMuc!$D$180:$D$188),MATCH($F$4,DanhMuc!$B$180:$B$188,0)),0),0))</f>
        <v>0</v>
      </c>
      <c r="K36" s="250"/>
      <c r="L36" s="251"/>
      <c r="M36" s="911">
        <f ca="1">IF($C36="",0,IF($K36="", IF(INDEX(NVLSX!$L$6:$L$1554,$R36)/$N$12&lt;&gt;0,ROUND(INDEX(NVLSX!$L$6:$L$1554,$R36)/$N$12,2),ROUND(INDEX(NVLSX!$L$2:$L$6941,MATCH($C36,NVLSX!$E$2:$E$6941,0))/$N$12,2)),IF(INDEX(NVLSX!$N$2:$N$6941,MATCH($C36,NVLSX!$E$2:$E$6941,0))=NVLSX!$N$4,ROUND(INDEX(NVLSX!$L$2:$L$6941,MATCH($C36,NVLSX!$E$2:$E$6941,0))/$N$12,2),   ROUND(INDEX(NVLSX!$L$2:$L$6941,MATCH($C36,NVLSX!$E$2:$E$6941,0)),2))))</f>
        <v>0</v>
      </c>
      <c r="N36" s="559">
        <f t="shared" ca="1" si="9"/>
        <v>0</v>
      </c>
      <c r="O36" s="555">
        <f t="shared" ca="1" si="10"/>
        <v>0</v>
      </c>
      <c r="P36" s="547" t="str">
        <f ca="1">IF(OR($C36="",$C36=0),"",IF($R36="",$F$4,IF(INDEX(NVLSX!$H$6:$H$1554,$R36)&lt;&gt;"",INDEX(NVLSX!$H$6:$H$1554,$R36),$F$4)))</f>
        <v/>
      </c>
      <c r="Q36" s="548" t="str">
        <f ca="1">IF(OR($C36="",$C36=0),"",INDEX(NVLSX!N$6:N$6941,MATCH($C36,NVLSX!$E$6:$E$6941,0)))</f>
        <v/>
      </c>
      <c r="R36" s="561" t="str">
        <f ca="1">IF($I$2=NVLSX!$F$6930,"",IF(TYPE(MATCH($K$1,OFFSET(NVLSX!$B$6,R35,0):'NVLSX'!$B$1554,0)+R35)=16,"",MATCH($K$1,OFFSET(NVLSX!$B$6,R35,0):'NVLSX'!$B$1554,0)+R35))</f>
        <v/>
      </c>
      <c r="S36" s="562" t="str">
        <f ca="1">SUBSTITUTE(SUBSTITUTE(SUBSTITUTE(SUBSTITUTE(SUBSTITUTE(SUBSTITUTE(SUBSTITUTE(IF($R36="",0,INDEX(NVLSX!J$6:J$1554,$R36)),$C$8,$D$8),$C$9,$D$9),$C$10,$D$10),$C$11,$D$11),$P$12,$Q$12),$C$12,$B$12),$G$6,$I$6)</f>
        <v>0</v>
      </c>
      <c r="T36" s="551" t="str">
        <f ca="1">IF(OR($C36="",$C36=0),"", IF(OR(AND(OR($Q36=NVLSX!$N$4,$Q36=NVLSX!$N$6492),COUNTIFS($C$14:$C36,$C36,$F$14:$F36,$F36,$I$14:$I36,$I36)&lt;=1), COUNTIF($C$14:$C36,$C36) &lt;=1 ),$T$13, ""    ))</f>
        <v/>
      </c>
      <c r="U36" s="563">
        <f t="shared" ca="1" si="8"/>
        <v>0</v>
      </c>
      <c r="V36" s="556">
        <f ca="1">IF($C36="",0,IF($R36="",INDEX(NVLSX!$P$6:$P$6757,MATCH($C36,NVLSX!$E$6:$E$6757,0),0),INDEX(NVLSX!$P$6:$P$1554,$R36,0)))</f>
        <v>0</v>
      </c>
      <c r="W36" s="552" t="str">
        <f ca="1">SUBSTITUTE(SUBSTITUTE(SUBSTITUTE(SUBSTITUTE(SUBSTITUTE(SUBSTITUTE(IF($R36="",0,IF(INDEX(NVLSX!$O$6:$O$1554,$R36,0)="",INDEX(NVLSX!$I$6:$I$1554,$R36,0),IF(OR(INDEX(NVLSX!$O$6:$O$1554,$R36,0)=$H$3,INDEX(NVLSX!$O$6:$O$1554,$R36,0)=$R$9,INDEX(NVLSX!$O$6:$O$1554,$R36,0)=$D$12,,INDEX(NVLSX!$O$6:$O$1554,$R36,0)=$H$4),INDEX(NVLSX!$I$6:$I$1554,$R36,0),0))),$C$8,$D$8),$C$9,$D$9),$C$10,$D$10),$C$11,$D$11),$P$12,$Q$12),$C$12,$B$12)</f>
        <v>0</v>
      </c>
      <c r="X36" s="550">
        <f ca="1">IF(OR(IFERROR(SEARCH("Khung",$D36,1),0)=1,IFERROR(SEARCH("Cánh",$D36,1),0)=1),IFERROR(INDEX(NVLSX!$R$2:$R$1554,MATCH($C36,NVLSX!$E$2:$E$1554,0)),0),0)</f>
        <v>0</v>
      </c>
      <c r="Y36" s="554">
        <f ca="1">IFERROR(IF(SEARCH("cánh",$D36)&gt;0,INDEX(NVLSX!$T$2:$T$1555,MATCH($C36,NVLSX!$E$2:$E$1555,0)),0),0)*$F36*$G36/1000</f>
        <v>0</v>
      </c>
      <c r="Z36" s="554">
        <f ca="1">IFERROR(INDEX(NVLSX!$T$2:$T$1555,MATCH($C36,NVLSX!$E$2:$E$1555,0)),0)*$F36*$G36/1000</f>
        <v>0</v>
      </c>
      <c r="AA36" s="557"/>
      <c r="AB36" s="558"/>
      <c r="AC36" s="503"/>
      <c r="AD36" s="503"/>
      <c r="AE36" s="714">
        <f t="shared" ca="1" si="5"/>
        <v>0</v>
      </c>
      <c r="AF36" s="270"/>
    </row>
    <row r="37" spans="1:40">
      <c r="A37" s="1416"/>
      <c r="B37" s="149" t="str">
        <f ca="1">IF($C37&lt;&gt;"",1 + MAX($B$13:$B36),"" )</f>
        <v/>
      </c>
      <c r="C37" s="290" t="str">
        <f ca="1">IF(IF($K37&lt;&gt;"",$K37,IF(OR($R37="",$G37=0),"",INDEX(NVLSX!E$6:E$1554,$R37)))=$S$9,$R$9, IF($K37&lt;&gt;"",$K37,IF(OR($R37="",$G37=0),"",INDEX(NVLSX!E$6:E$1554,$R37))))</f>
        <v/>
      </c>
      <c r="D37" s="245" t="str">
        <f ca="1">IF($C37="","",IF($C37=$R$9,  INDEX(NVLSX!$T$6492:$T$6921,MATCH($C37,NVLSX!$S$6492:$S$6921,0)), INDEX(NVLSX!$F$2:$F$6941,MATCH($C37,NVLSX!$E$2:$E$6941,0))))</f>
        <v/>
      </c>
      <c r="E37" s="246" t="str">
        <f ca="1">IF($C37="","",IF($R37="","",INDEX(NVLSX!G$6:G$1554,$R37)))</f>
        <v/>
      </c>
      <c r="F37" s="248">
        <f ca="1">IF($C37="",0,IF(OR($L37="", RIGHT($L37,1)="*"),TinhCT,VALUE(LEFT($L37,FIND("*",$L37)-1))))</f>
        <v>0</v>
      </c>
      <c r="G37" s="249">
        <f ca="1">IF(OR($L37="",RIGHT($L37,1)="*"),TinhCTSL,VALUE(RIGHT($L37,LEN($L37)-FIND("*",$L37))))</f>
        <v>0</v>
      </c>
      <c r="H37" s="249">
        <f t="shared" ca="1" si="7"/>
        <v>0</v>
      </c>
      <c r="I37" s="246" t="str">
        <f ca="1">IF($C37="","",IF($R37="","",INDEX(NVLSX!K$6:K$1554,$R37)))</f>
        <v/>
      </c>
      <c r="J37" s="878">
        <f ca="1">IF($C37="",0,IFERROR(INDEX(NVLSX!$M$4:$M$6941,MATCH($C37,NVLSX!$E$4:$E$6941,0)),0) + IFERROR(IF($Q37=NVLSX!$N$4,INDEX(IF($R$1=DanhMuc!$C$179,DanhMuc!$C$180:$C$188,DanhMuc!$D$180:$D$188),MATCH($F$4,DanhMuc!$B$180:$B$188,0)),0),0))</f>
        <v>0</v>
      </c>
      <c r="K37" s="250"/>
      <c r="L37" s="251"/>
      <c r="M37" s="911">
        <f ca="1">IF($C37="",0,IF($K37="", IF(INDEX(NVLSX!$L$6:$L$1554,$R37)/$N$12&lt;&gt;0,ROUND(INDEX(NVLSX!$L$6:$L$1554,$R37)/$N$12,2),ROUND(INDEX(NVLSX!$L$2:$L$6941,MATCH($C37,NVLSX!$E$2:$E$6941,0))/$N$12,2)),IF(INDEX(NVLSX!$N$2:$N$6941,MATCH($C37,NVLSX!$E$2:$E$6941,0))=NVLSX!$N$4,ROUND(INDEX(NVLSX!$L$2:$L$6941,MATCH($C37,NVLSX!$E$2:$E$6941,0))/$N$12,2),   ROUND(INDEX(NVLSX!$L$2:$L$6941,MATCH($C37,NVLSX!$E$2:$E$6941,0)),2))))</f>
        <v>0</v>
      </c>
      <c r="N37" s="559">
        <f t="shared" ca="1" si="9"/>
        <v>0</v>
      </c>
      <c r="O37" s="555">
        <f t="shared" ca="1" si="10"/>
        <v>0</v>
      </c>
      <c r="P37" s="547" t="str">
        <f ca="1">IF(OR($C37="",$C37=0),"",IF($R37="",$F$4,IF(INDEX(NVLSX!$H$6:$H$1554,$R37)&lt;&gt;"",INDEX(NVLSX!$H$6:$H$1554,$R37),$F$4)))</f>
        <v/>
      </c>
      <c r="Q37" s="548" t="str">
        <f ca="1">IF(OR($C37="",$C37=0),"",INDEX(NVLSX!N$6:N$6941,MATCH($C37,NVLSX!$E$6:$E$6941,0)))</f>
        <v/>
      </c>
      <c r="R37" s="561" t="str">
        <f ca="1">IF($I$2=NVLSX!$F$6930,"",IF(TYPE(MATCH($K$1,OFFSET(NVLSX!$B$6,R36,0):'NVLSX'!$B$1554,0)+R36)=16,"",MATCH($K$1,OFFSET(NVLSX!$B$6,R36,0):'NVLSX'!$B$1554,0)+R36))</f>
        <v/>
      </c>
      <c r="S37" s="562" t="str">
        <f ca="1">SUBSTITUTE(SUBSTITUTE(SUBSTITUTE(SUBSTITUTE(SUBSTITUTE(SUBSTITUTE(SUBSTITUTE(IF($R37="",0,INDEX(NVLSX!J$6:J$1554,$R37)),$C$8,$D$8),$C$9,$D$9),$C$10,$D$10),$C$11,$D$11),$P$12,$Q$12),$C$12,$B$12),$G$6,$I$6)</f>
        <v>0</v>
      </c>
      <c r="T37" s="551" t="str">
        <f ca="1">IF(OR($C37="",$C37=0),"", IF(OR(AND(OR($Q37=NVLSX!$N$4,$Q37=NVLSX!$N$6492),COUNTIFS($C$14:$C37,$C37,$F$14:$F37,$F37,$I$14:$I37,$I37)&lt;=1), COUNTIF($C$14:$C37,$C37) &lt;=1 ),$T$13, ""    ))</f>
        <v/>
      </c>
      <c r="U37" s="563">
        <f t="shared" ca="1" si="8"/>
        <v>0</v>
      </c>
      <c r="V37" s="556">
        <f ca="1">IF($C37="",0,IF($R37="",INDEX(NVLSX!$P$6:$P$6757,MATCH($C37,NVLSX!$E$6:$E$6757,0),0),INDEX(NVLSX!$P$6:$P$1554,$R37,0)))</f>
        <v>0</v>
      </c>
      <c r="W37" s="552" t="str">
        <f ca="1">SUBSTITUTE(SUBSTITUTE(SUBSTITUTE(SUBSTITUTE(SUBSTITUTE(SUBSTITUTE(IF($R37="",0,IF(INDEX(NVLSX!$O$6:$O$1554,$R37,0)="",INDEX(NVLSX!$I$6:$I$1554,$R37,0),IF(OR(INDEX(NVLSX!$O$6:$O$1554,$R37,0)=$H$3,INDEX(NVLSX!$O$6:$O$1554,$R37,0)=$R$9,INDEX(NVLSX!$O$6:$O$1554,$R37,0)=$D$12,,INDEX(NVLSX!$O$6:$O$1554,$R37,0)=$H$4),INDEX(NVLSX!$I$6:$I$1554,$R37,0),0))),$C$8,$D$8),$C$9,$D$9),$C$10,$D$10),$C$11,$D$11),$P$12,$Q$12),$C$12,$B$12)</f>
        <v>0</v>
      </c>
      <c r="X37" s="550">
        <f ca="1">IF(OR(IFERROR(SEARCH("Khung",$D37,1),0)=1,IFERROR(SEARCH("Cánh",$D37,1),0)=1),IFERROR(INDEX(NVLSX!$R$2:$R$1554,MATCH($C37,NVLSX!$E$2:$E$1554,0)),0),0)</f>
        <v>0</v>
      </c>
      <c r="Y37" s="554">
        <f ca="1">IFERROR(IF(SEARCH("cánh",$D37)&gt;0,INDEX(NVLSX!$T$2:$T$1555,MATCH($C37,NVLSX!$E$2:$E$1555,0)),0),0)*$F37*$G37/1000</f>
        <v>0</v>
      </c>
      <c r="Z37" s="554">
        <f ca="1">IFERROR(INDEX(NVLSX!$T$2:$T$1555,MATCH($C37,NVLSX!$E$2:$E$1555,0)),0)*$F37*$G37/1000</f>
        <v>0</v>
      </c>
      <c r="AA37" s="557"/>
      <c r="AB37" s="558"/>
      <c r="AC37" s="503"/>
      <c r="AD37" s="503"/>
      <c r="AE37" s="714">
        <f t="shared" ca="1" si="5"/>
        <v>0</v>
      </c>
      <c r="AF37" s="270"/>
    </row>
    <row r="38" spans="1:40">
      <c r="A38" s="1416"/>
      <c r="B38" s="149" t="str">
        <f ca="1">IF($C38&lt;&gt;"",1 + MAX($B$13:$B37),"" )</f>
        <v/>
      </c>
      <c r="C38" s="290" t="str">
        <f ca="1">IF(IF($K38&lt;&gt;"",$K38,IF(OR($R38="",$G38=0),"",INDEX(NVLSX!E$6:E$1554,$R38)))=$S$9,$R$9, IF($K38&lt;&gt;"",$K38,IF(OR($R38="",$G38=0),"",INDEX(NVLSX!E$6:E$1554,$R38))))</f>
        <v/>
      </c>
      <c r="D38" s="245" t="str">
        <f ca="1">IF($C38="","",IF($C38=$R$9,  INDEX(NVLSX!$T$6492:$T$6921,MATCH($C38,NVLSX!$S$6492:$S$6921,0)), INDEX(NVLSX!$F$2:$F$6941,MATCH($C38,NVLSX!$E$2:$E$6941,0))))</f>
        <v/>
      </c>
      <c r="E38" s="246" t="str">
        <f ca="1">IF($C38="","",IF($R38="","",INDEX(NVLSX!G$6:G$1554,$R38)))</f>
        <v/>
      </c>
      <c r="F38" s="248">
        <f ca="1">IF($C38="",0,IF(OR($L38="", RIGHT($L38,1)="*"),TinhCT,VALUE(LEFT($L38,FIND("*",$L38)-1))))</f>
        <v>0</v>
      </c>
      <c r="G38" s="249">
        <f ca="1">IF(OR($L38="",RIGHT($L38,1)="*"),TinhCTSL,VALUE(RIGHT($L38,LEN($L38)-FIND("*",$L38))))</f>
        <v>0</v>
      </c>
      <c r="H38" s="249">
        <f t="shared" ca="1" si="7"/>
        <v>0</v>
      </c>
      <c r="I38" s="246" t="str">
        <f ca="1">IF($C38="","",IF($R38="","",INDEX(NVLSX!K$6:K$1554,$R38)))</f>
        <v/>
      </c>
      <c r="J38" s="878">
        <f ca="1">IF($C38="",0,IFERROR(INDEX(NVLSX!$M$4:$M$6941,MATCH($C38,NVLSX!$E$4:$E$6941,0)),0) + IFERROR(IF($Q38=NVLSX!$N$4,INDEX(IF($R$1=DanhMuc!$C$179,DanhMuc!$C$180:$C$188,DanhMuc!$D$180:$D$188),MATCH($F$4,DanhMuc!$B$180:$B$188,0)),0),0))</f>
        <v>0</v>
      </c>
      <c r="K38" s="250"/>
      <c r="L38" s="251"/>
      <c r="M38" s="911">
        <f ca="1">IF($C38="",0,IF($K38="", IF(INDEX(NVLSX!$L$6:$L$1554,$R38)/$N$12&lt;&gt;0,ROUND(INDEX(NVLSX!$L$6:$L$1554,$R38)/$N$12,2),ROUND(INDEX(NVLSX!$L$2:$L$6941,MATCH($C38,NVLSX!$E$2:$E$6941,0))/$N$12,2)),IF(INDEX(NVLSX!$N$2:$N$6941,MATCH($C38,NVLSX!$E$2:$E$6941,0))=NVLSX!$N$4,ROUND(INDEX(NVLSX!$L$2:$L$6941,MATCH($C38,NVLSX!$E$2:$E$6941,0))/$N$12,2),   ROUND(INDEX(NVLSX!$L$2:$L$6941,MATCH($C38,NVLSX!$E$2:$E$6941,0)),2))))</f>
        <v>0</v>
      </c>
      <c r="N38" s="559">
        <f t="shared" ca="1" si="9"/>
        <v>0</v>
      </c>
      <c r="O38" s="555">
        <f t="shared" ca="1" si="10"/>
        <v>0</v>
      </c>
      <c r="P38" s="547" t="str">
        <f ca="1">IF(OR($C38="",$C38=0),"",IF($R38="",$F$4,IF(INDEX(NVLSX!$H$6:$H$1554,$R38)&lt;&gt;"",INDEX(NVLSX!$H$6:$H$1554,$R38),$F$4)))</f>
        <v/>
      </c>
      <c r="Q38" s="548" t="str">
        <f ca="1">IF(OR($C38="",$C38=0),"",INDEX(NVLSX!N$6:N$6941,MATCH($C38,NVLSX!$E$6:$E$6941,0)))</f>
        <v/>
      </c>
      <c r="R38" s="561" t="str">
        <f ca="1">IF($I$2=NVLSX!$F$6930,"",IF(TYPE(MATCH($K$1,OFFSET(NVLSX!$B$6,R37,0):'NVLSX'!$B$1554,0)+R37)=16,"",MATCH($K$1,OFFSET(NVLSX!$B$6,R37,0):'NVLSX'!$B$1554,0)+R37))</f>
        <v/>
      </c>
      <c r="S38" s="562" t="str">
        <f ca="1">SUBSTITUTE(SUBSTITUTE(SUBSTITUTE(SUBSTITUTE(SUBSTITUTE(SUBSTITUTE(SUBSTITUTE(IF($R38="",0,INDEX(NVLSX!J$6:J$1554,$R38)),$C$8,$D$8),$C$9,$D$9),$C$10,$D$10),$C$11,$D$11),$P$12,$Q$12),$C$12,$B$12),$G$6,$I$6)</f>
        <v>0</v>
      </c>
      <c r="T38" s="551" t="str">
        <f ca="1">IF(OR($C38="",$C38=0),"", IF(OR(AND(OR($Q38=NVLSX!$N$4,$Q38=NVLSX!$N$6492),COUNTIFS($C$14:$C38,$C38,$F$14:$F38,$F38,$I$14:$I38,$I38)&lt;=1), COUNTIF($C$14:$C38,$C38) &lt;=1 ),$T$13, ""    ))</f>
        <v/>
      </c>
      <c r="U38" s="563">
        <f t="shared" ca="1" si="8"/>
        <v>0</v>
      </c>
      <c r="V38" s="556">
        <f ca="1">IF($C38="",0,IF($R38="",INDEX(NVLSX!$P$6:$P$6757,MATCH($C38,NVLSX!$E$6:$E$6757,0),0),INDEX(NVLSX!$P$6:$P$1554,$R38,0)))</f>
        <v>0</v>
      </c>
      <c r="W38" s="552" t="str">
        <f ca="1">SUBSTITUTE(SUBSTITUTE(SUBSTITUTE(SUBSTITUTE(SUBSTITUTE(SUBSTITUTE(IF($R38="",0,IF(INDEX(NVLSX!$O$6:$O$1554,$R38,0)="",INDEX(NVLSX!$I$6:$I$1554,$R38,0),IF(OR(INDEX(NVLSX!$O$6:$O$1554,$R38,0)=$H$3,INDEX(NVLSX!$O$6:$O$1554,$R38,0)=$R$9,INDEX(NVLSX!$O$6:$O$1554,$R38,0)=$D$12,,INDEX(NVLSX!$O$6:$O$1554,$R38,0)=$H$4),INDEX(NVLSX!$I$6:$I$1554,$R38,0),0))),$C$8,$D$8),$C$9,$D$9),$C$10,$D$10),$C$11,$D$11),$P$12,$Q$12),$C$12,$B$12)</f>
        <v>0</v>
      </c>
      <c r="X38" s="550">
        <f ca="1">IF(OR(IFERROR(SEARCH("Khung",$D38,1),0)=1,IFERROR(SEARCH("Cánh",$D38,1),0)=1),IFERROR(INDEX(NVLSX!$R$2:$R$1554,MATCH($C38,NVLSX!$E$2:$E$1554,0)),0),0)</f>
        <v>0</v>
      </c>
      <c r="Y38" s="554">
        <f ca="1">IFERROR(IF(SEARCH("cánh",$D38)&gt;0,INDEX(NVLSX!$T$2:$T$1555,MATCH($C38,NVLSX!$E$2:$E$1555,0)),0),0)*$F38*$G38/1000</f>
        <v>0</v>
      </c>
      <c r="Z38" s="554">
        <f ca="1">IFERROR(INDEX(NVLSX!$T$2:$T$1555,MATCH($C38,NVLSX!$E$2:$E$1555,0)),0)*$F38*$G38/1000</f>
        <v>0</v>
      </c>
      <c r="AA38" s="557"/>
      <c r="AB38" s="558"/>
      <c r="AC38" s="503"/>
      <c r="AD38" s="503"/>
      <c r="AE38" s="714">
        <f t="shared" ca="1" si="5"/>
        <v>0</v>
      </c>
      <c r="AF38" s="270"/>
    </row>
    <row r="39" spans="1:40">
      <c r="A39" s="1416"/>
      <c r="B39" s="149" t="str">
        <f ca="1">IF($C39&lt;&gt;"",1 + MAX($B$13:$B38),"" )</f>
        <v/>
      </c>
      <c r="C39" s="290" t="str">
        <f ca="1">IF(IF($K39&lt;&gt;"",$K39,IF(OR($R39="",$G39=0),"",INDEX(NVLSX!E$6:E$1554,$R39)))=$S$9,$R$9, IF($K39&lt;&gt;"",$K39,IF(OR($R39="",$G39=0),"",INDEX(NVLSX!E$6:E$1554,$R39))))</f>
        <v/>
      </c>
      <c r="D39" s="245" t="str">
        <f ca="1">IF($C39="","",IF($C39=$R$9,  INDEX(NVLSX!$T$6492:$T$6921,MATCH($C39,NVLSX!$S$6492:$S$6921,0)), INDEX(NVLSX!$F$2:$F$6941,MATCH($C39,NVLSX!$E$2:$E$6941,0))))</f>
        <v/>
      </c>
      <c r="E39" s="246" t="str">
        <f ca="1">IF($C39="","",IF($R39="","",INDEX(NVLSX!G$6:G$1554,$R39)))</f>
        <v/>
      </c>
      <c r="F39" s="248">
        <f ca="1">IF($C39="",0,IF(OR($L39="", RIGHT($L39,1)="*"),TinhCT,VALUE(LEFT($L39,FIND("*",$L39)-1))))</f>
        <v>0</v>
      </c>
      <c r="G39" s="249">
        <f ca="1">IF(OR($L39="",RIGHT($L39,1)="*"),TinhCTSL,VALUE(RIGHT($L39,LEN($L39)-FIND("*",$L39))))</f>
        <v>0</v>
      </c>
      <c r="H39" s="249">
        <f t="shared" ref="H39:H42" ca="1" si="11">G39*$D$7</f>
        <v>0</v>
      </c>
      <c r="I39" s="246" t="str">
        <f ca="1">IF($C39="","",IF($R39="","",INDEX(NVLSX!K$6:K$1554,$R39)))</f>
        <v/>
      </c>
      <c r="J39" s="878">
        <f ca="1">IF($C39="",0,IFERROR(INDEX(NVLSX!$M$4:$M$6941,MATCH($C39,NVLSX!$E$4:$E$6941,0)),0) + IFERROR(IF($Q39=NVLSX!$N$4,INDEX(IF($R$1=DanhMuc!$C$179,DanhMuc!$C$180:$C$188,DanhMuc!$D$180:$D$188),MATCH($F$4,DanhMuc!$B$180:$B$188,0)),0),0))</f>
        <v>0</v>
      </c>
      <c r="K39" s="250"/>
      <c r="L39" s="251"/>
      <c r="M39" s="911">
        <f ca="1">IF($C39="",0,IF($K39="", IF(INDEX(NVLSX!$L$6:$L$1554,$R39)/$N$12&lt;&gt;0,ROUND(INDEX(NVLSX!$L$6:$L$1554,$R39)/$N$12,2),ROUND(INDEX(NVLSX!$L$2:$L$6941,MATCH($C39,NVLSX!$E$2:$E$6941,0))/$N$12,2)),IF(INDEX(NVLSX!$N$2:$N$6941,MATCH($C39,NVLSX!$E$2:$E$6941,0))=NVLSX!$N$4,ROUND(INDEX(NVLSX!$L$2:$L$6941,MATCH($C39,NVLSX!$E$2:$E$6941,0))/$N$12,2),   ROUND(INDEX(NVLSX!$L$2:$L$6941,MATCH($C39,NVLSX!$E$2:$E$6941,0)),2))))</f>
        <v>0</v>
      </c>
      <c r="N39" s="559">
        <f t="shared" ca="1" si="9"/>
        <v>0</v>
      </c>
      <c r="O39" s="555">
        <f t="shared" ca="1" si="10"/>
        <v>0</v>
      </c>
      <c r="P39" s="547" t="str">
        <f ca="1">IF(OR($C39="",$C39=0),"",IF($R39="",$F$4,IF(INDEX(NVLSX!$H$6:$H$1554,$R39)&lt;&gt;"",INDEX(NVLSX!$H$6:$H$1554,$R39),$F$4)))</f>
        <v/>
      </c>
      <c r="Q39" s="548" t="str">
        <f ca="1">IF(OR($C39="",$C39=0),"",INDEX(NVLSX!N$6:N$6941,MATCH($C39,NVLSX!$E$6:$E$6941,0)))</f>
        <v/>
      </c>
      <c r="R39" s="561" t="str">
        <f ca="1">IF($I$2=NVLSX!$F$6930,"",IF(TYPE(MATCH($K$1,OFFSET(NVLSX!$B$6,R38,0):'NVLSX'!$B$1554,0)+R38)=16,"",MATCH($K$1,OFFSET(NVLSX!$B$6,R38,0):'NVLSX'!$B$1554,0)+R38))</f>
        <v/>
      </c>
      <c r="S39" s="562" t="str">
        <f ca="1">SUBSTITUTE(SUBSTITUTE(SUBSTITUTE(SUBSTITUTE(SUBSTITUTE(SUBSTITUTE(SUBSTITUTE(IF($R39="",0,INDEX(NVLSX!J$6:J$1554,$R39)),$C$8,$D$8),$C$9,$D$9),$C$10,$D$10),$C$11,$D$11),$P$12,$Q$12),$C$12,$B$12),$G$6,$I$6)</f>
        <v>0</v>
      </c>
      <c r="T39" s="551" t="str">
        <f ca="1">IF(OR($C39="",$C39=0),"", IF(OR(AND(OR($Q39=NVLSX!$N$4,$Q39=NVLSX!$N$6492),COUNTIFS($C$14:$C39,$C39,$F$14:$F39,$F39,$I$14:$I39,$I39)&lt;=1), COUNTIF($C$14:$C39,$C39) &lt;=1 ),$T$13, ""    ))</f>
        <v/>
      </c>
      <c r="U39" s="563">
        <f t="shared" ca="1" si="8"/>
        <v>0</v>
      </c>
      <c r="V39" s="556">
        <f ca="1">IF($C39="",0,IF($R39="",INDEX(NVLSX!$P$6:$P$6757,MATCH($C39,NVLSX!$E$6:$E$6757,0),0),INDEX(NVLSX!$P$6:$P$1554,$R39,0)))</f>
        <v>0</v>
      </c>
      <c r="W39" s="552" t="str">
        <f ca="1">SUBSTITUTE(SUBSTITUTE(SUBSTITUTE(SUBSTITUTE(SUBSTITUTE(SUBSTITUTE(IF($R39="",0,IF(INDEX(NVLSX!$O$6:$O$1554,$R39,0)="",INDEX(NVLSX!$I$6:$I$1554,$R39,0),IF(OR(INDEX(NVLSX!$O$6:$O$1554,$R39,0)=$H$3,INDEX(NVLSX!$O$6:$O$1554,$R39,0)=$R$9,INDEX(NVLSX!$O$6:$O$1554,$R39,0)=$D$12,,INDEX(NVLSX!$O$6:$O$1554,$R39,0)=$H$4),INDEX(NVLSX!$I$6:$I$1554,$R39,0),0))),$C$8,$D$8),$C$9,$D$9),$C$10,$D$10),$C$11,$D$11),$P$12,$Q$12),$C$12,$B$12)</f>
        <v>0</v>
      </c>
      <c r="X39" s="550">
        <f ca="1">IF(OR(IFERROR(SEARCH("Khung",$D39,1),0)=1,IFERROR(SEARCH("Cánh",$D39,1),0)=1),IFERROR(INDEX(NVLSX!$R$2:$R$1554,MATCH($C39,NVLSX!$E$2:$E$1554,0)),0),0)</f>
        <v>0</v>
      </c>
      <c r="Y39" s="554">
        <f ca="1">IFERROR(IF(SEARCH("cánh",$D39)&gt;0,INDEX(NVLSX!$T$2:$T$1555,MATCH($C39,NVLSX!$E$2:$E$1555,0)),0),0)*$F39*$G39/1000</f>
        <v>0</v>
      </c>
      <c r="Z39" s="554">
        <f ca="1">IFERROR(INDEX(NVLSX!$T$2:$T$1555,MATCH($C39,NVLSX!$E$2:$E$1555,0)),0)*$F39*$G39/1000</f>
        <v>0</v>
      </c>
      <c r="AA39" s="557"/>
      <c r="AB39" s="558"/>
      <c r="AC39" s="503"/>
      <c r="AD39" s="503"/>
      <c r="AE39" s="714">
        <f t="shared" ca="1" si="5"/>
        <v>0</v>
      </c>
      <c r="AF39" s="270"/>
    </row>
    <row r="40" spans="1:40">
      <c r="A40" s="1416"/>
      <c r="B40" s="149" t="str">
        <f ca="1">IF($C40&lt;&gt;"",1 + MAX($B$13:$B39),"" )</f>
        <v/>
      </c>
      <c r="C40" s="290" t="str">
        <f ca="1">IF(IF($K40&lt;&gt;"",$K40,IF(OR($R40="",$G40=0),"",INDEX(NVLSX!E$6:E$1554,$R40)))=$S$9,$R$9, IF($K40&lt;&gt;"",$K40,IF(OR($R40="",$G40=0),"",INDEX(NVLSX!E$6:E$1554,$R40))))</f>
        <v/>
      </c>
      <c r="D40" s="245" t="str">
        <f ca="1">IF($C40="","",IF($C40=$R$9,  INDEX(NVLSX!$T$6492:$T$6921,MATCH($C40,NVLSX!$S$6492:$S$6921,0)), INDEX(NVLSX!$F$2:$F$6941,MATCH($C40,NVLSX!$E$2:$E$6941,0))))</f>
        <v/>
      </c>
      <c r="E40" s="246" t="str">
        <f ca="1">IF($C40="","",IF($R40="","",INDEX(NVLSX!G$6:G$1554,$R40)))</f>
        <v/>
      </c>
      <c r="F40" s="248">
        <f ca="1">IF($C40="",0,IF(OR($L40="", RIGHT($L40,1)="*"),TinhCT,VALUE(LEFT($L40,FIND("*",$L40)-1))))</f>
        <v>0</v>
      </c>
      <c r="G40" s="249">
        <f ca="1">IF(OR($L40="",RIGHT($L40,1)="*"),TinhCTSL,VALUE(RIGHT($L40,LEN($L40)-FIND("*",$L40))))</f>
        <v>0</v>
      </c>
      <c r="H40" s="249">
        <f t="shared" ca="1" si="11"/>
        <v>0</v>
      </c>
      <c r="I40" s="246" t="str">
        <f ca="1">IF($C40="","",IF($R40="","",INDEX(NVLSX!K$6:K$1554,$R40)))</f>
        <v/>
      </c>
      <c r="J40" s="878">
        <f ca="1">IF($C40="",0,IFERROR(INDEX(NVLSX!$M$4:$M$6941,MATCH($C40,NVLSX!$E$4:$E$6941,0)),0) + IFERROR(IF($Q40=NVLSX!$N$4,INDEX(IF($R$1=DanhMuc!$C$179,DanhMuc!$C$180:$C$188,DanhMuc!$D$180:$D$188),MATCH($F$4,DanhMuc!$B$180:$B$188,0)),0),0))</f>
        <v>0</v>
      </c>
      <c r="K40" s="250"/>
      <c r="L40" s="251"/>
      <c r="M40" s="911">
        <f ca="1">IF($C40="",0,IF($K40="", IF(INDEX(NVLSX!$L$6:$L$1554,$R40)/$N$12&lt;&gt;0,ROUND(INDEX(NVLSX!$L$6:$L$1554,$R40)/$N$12,2),ROUND(INDEX(NVLSX!$L$2:$L$6941,MATCH($C40,NVLSX!$E$2:$E$6941,0))/$N$12,2)),IF(INDEX(NVLSX!$N$2:$N$6941,MATCH($C40,NVLSX!$E$2:$E$6941,0))=NVLSX!$N$4,ROUND(INDEX(NVLSX!$L$2:$L$6941,MATCH($C40,NVLSX!$E$2:$E$6941,0))/$N$12,2),   ROUND(INDEX(NVLSX!$L$2:$L$6941,MATCH($C40,NVLSX!$E$2:$E$6941,0)),2))))</f>
        <v>0</v>
      </c>
      <c r="N40" s="559">
        <f t="shared" ca="1" si="9"/>
        <v>0</v>
      </c>
      <c r="O40" s="555">
        <f t="shared" ca="1" si="10"/>
        <v>0</v>
      </c>
      <c r="P40" s="547" t="str">
        <f ca="1">IF(OR($C40="",$C40=0),"",IF($R40="",$F$4,IF(INDEX(NVLSX!$H$6:$H$1554,$R40)&lt;&gt;"",INDEX(NVLSX!$H$6:$H$1554,$R40),$F$4)))</f>
        <v/>
      </c>
      <c r="Q40" s="548" t="str">
        <f ca="1">IF(OR($C40="",$C40=0),"",INDEX(NVLSX!N$6:N$6941,MATCH($C40,NVLSX!$E$6:$E$6941,0)))</f>
        <v/>
      </c>
      <c r="R40" s="561" t="str">
        <f ca="1">IF($I$2=NVLSX!$F$6930,"",IF(TYPE(MATCH($K$1,OFFSET(NVLSX!$B$6,R39,0):'NVLSX'!$B$1554,0)+R39)=16,"",MATCH($K$1,OFFSET(NVLSX!$B$6,R39,0):'NVLSX'!$B$1554,0)+R39))</f>
        <v/>
      </c>
      <c r="S40" s="562" t="str">
        <f ca="1">SUBSTITUTE(SUBSTITUTE(SUBSTITUTE(SUBSTITUTE(SUBSTITUTE(SUBSTITUTE(SUBSTITUTE(IF($R40="",0,INDEX(NVLSX!J$6:J$1554,$R40)),$C$8,$D$8),$C$9,$D$9),$C$10,$D$10),$C$11,$D$11),$P$12,$Q$12),$C$12,$B$12),$G$6,$I$6)</f>
        <v>0</v>
      </c>
      <c r="T40" s="551" t="str">
        <f ca="1">IF(OR($C40="",$C40=0),"", IF(OR(AND(OR($Q40=NVLSX!$N$4,$Q40=NVLSX!$N$6492),COUNTIFS($C$14:$C40,$C40,$F$14:$F40,$F40,$I$14:$I40,$I40)&lt;=1), COUNTIF($C$14:$C40,$C40) &lt;=1 ),$T$13, ""    ))</f>
        <v/>
      </c>
      <c r="U40" s="563">
        <f t="shared" ca="1" si="8"/>
        <v>0</v>
      </c>
      <c r="V40" s="556">
        <f ca="1">IF($C40="",0,IF($R40="",INDEX(NVLSX!$P$6:$P$6757,MATCH($C40,NVLSX!$E$6:$E$6757,0),0),INDEX(NVLSX!$P$6:$P$1554,$R40,0)))</f>
        <v>0</v>
      </c>
      <c r="W40" s="552" t="str">
        <f ca="1">SUBSTITUTE(SUBSTITUTE(SUBSTITUTE(SUBSTITUTE(SUBSTITUTE(SUBSTITUTE(IF($R40="",0,IF(INDEX(NVLSX!$O$6:$O$1554,$R40,0)="",INDEX(NVLSX!$I$6:$I$1554,$R40,0),IF(OR(INDEX(NVLSX!$O$6:$O$1554,$R40,0)=$H$3,INDEX(NVLSX!$O$6:$O$1554,$R40,0)=$R$9,INDEX(NVLSX!$O$6:$O$1554,$R40,0)=$D$12,,INDEX(NVLSX!$O$6:$O$1554,$R40,0)=$H$4),INDEX(NVLSX!$I$6:$I$1554,$R40,0),0))),$C$8,$D$8),$C$9,$D$9),$C$10,$D$10),$C$11,$D$11),$P$12,$Q$12),$C$12,$B$12)</f>
        <v>0</v>
      </c>
      <c r="X40" s="550">
        <f ca="1">IF(OR(IFERROR(SEARCH("Khung",$D40,1),0)=1,IFERROR(SEARCH("Cánh",$D40,1),0)=1),IFERROR(INDEX(NVLSX!$R$2:$R$1554,MATCH($C40,NVLSX!$E$2:$E$1554,0)),0),0)</f>
        <v>0</v>
      </c>
      <c r="Y40" s="554">
        <f ca="1">IFERROR(IF(SEARCH("cánh",$D40)&gt;0,INDEX(NVLSX!$T$2:$T$1555,MATCH($C40,NVLSX!$E$2:$E$1555,0)),0),0)*$F40*$G40/1000</f>
        <v>0</v>
      </c>
      <c r="Z40" s="554">
        <f ca="1">IFERROR(INDEX(NVLSX!$T$2:$T$1555,MATCH($C40,NVLSX!$E$2:$E$1555,0)),0)*$F40*$G40/1000</f>
        <v>0</v>
      </c>
      <c r="AA40" s="557"/>
      <c r="AB40" s="558"/>
      <c r="AC40" s="503"/>
      <c r="AD40" s="503"/>
      <c r="AE40" s="714">
        <f t="shared" ca="1" si="5"/>
        <v>0</v>
      </c>
      <c r="AF40" s="270"/>
    </row>
    <row r="41" spans="1:40">
      <c r="A41" s="1416"/>
      <c r="B41" s="149" t="str">
        <f ca="1">IF($C41&lt;&gt;"",1 + MAX($B$13:$B40),"" )</f>
        <v/>
      </c>
      <c r="C41" s="290" t="str">
        <f ca="1">IF(IF($K41&lt;&gt;"",$K41,IF(OR($R41="",$G41=0),"",INDEX(NVLSX!E$6:E$1554,$R41)))=$S$9,$R$9, IF($K41&lt;&gt;"",$K41,IF(OR($R41="",$G41=0),"",INDEX(NVLSX!E$6:E$1554,$R41))))</f>
        <v/>
      </c>
      <c r="D41" s="245" t="str">
        <f ca="1">IF($C41="","",IF($C41=$R$9,  INDEX(NVLSX!$T$6492:$T$6921,MATCH($C41,NVLSX!$S$6492:$S$6921,0)), INDEX(NVLSX!$F$2:$F$6941,MATCH($C41,NVLSX!$E$2:$E$6941,0))))</f>
        <v/>
      </c>
      <c r="E41" s="246" t="str">
        <f ca="1">IF($C41="","",IF($R41="","",INDEX(NVLSX!G$6:G$1554,$R41)))</f>
        <v/>
      </c>
      <c r="F41" s="248">
        <f ca="1">IF($C41="",0,IF(OR($L41="", RIGHT($L41,1)="*"),TinhCT,VALUE(LEFT($L41,FIND("*",$L41)-1))))</f>
        <v>0</v>
      </c>
      <c r="G41" s="249">
        <f ca="1">IF(OR($L41="",RIGHT($L41,1)="*"),TinhCTSL,VALUE(RIGHT($L41,LEN($L41)-FIND("*",$L41))))</f>
        <v>0</v>
      </c>
      <c r="H41" s="249">
        <f t="shared" ca="1" si="11"/>
        <v>0</v>
      </c>
      <c r="I41" s="246" t="str">
        <f ca="1">IF($C41="","",IF($R41="","",INDEX(NVLSX!K$6:K$1554,$R41)))</f>
        <v/>
      </c>
      <c r="J41" s="878">
        <f ca="1">IF($C41="",0,IFERROR(INDEX(NVLSX!$M$4:$M$6941,MATCH($C41,NVLSX!$E$4:$E$6941,0)),0) + IFERROR(IF($Q41=NVLSX!$N$4,INDEX(IF($R$1=DanhMuc!$C$179,DanhMuc!$C$180:$C$188,DanhMuc!$D$180:$D$188),MATCH($F$4,DanhMuc!$B$180:$B$188,0)),0),0))</f>
        <v>0</v>
      </c>
      <c r="K41" s="250"/>
      <c r="L41" s="251"/>
      <c r="M41" s="911">
        <f ca="1">IF($C41="",0,IF($K41="", IF(INDEX(NVLSX!$L$6:$L$1554,$R41)/$N$12&lt;&gt;0,ROUND(INDEX(NVLSX!$L$6:$L$1554,$R41)/$N$12,2),ROUND(INDEX(NVLSX!$L$2:$L$6941,MATCH($C41,NVLSX!$E$2:$E$6941,0))/$N$12,2)),IF(INDEX(NVLSX!$N$2:$N$6941,MATCH($C41,NVLSX!$E$2:$E$6941,0))=NVLSX!$N$4,ROUND(INDEX(NVLSX!$L$2:$L$6941,MATCH($C41,NVLSX!$E$2:$E$6941,0))/$N$12,2),   ROUND(INDEX(NVLSX!$L$2:$L$6941,MATCH($C41,NVLSX!$E$2:$E$6941,0)),2))))</f>
        <v>0</v>
      </c>
      <c r="N41" s="559">
        <f t="shared" ca="1" si="9"/>
        <v>0</v>
      </c>
      <c r="O41" s="555">
        <f t="shared" ca="1" si="10"/>
        <v>0</v>
      </c>
      <c r="P41" s="547" t="str">
        <f ca="1">IF(OR($C41="",$C41=0),"",IF($R41="",$F$4,IF(INDEX(NVLSX!$H$6:$H$1554,$R41)&lt;&gt;"",INDEX(NVLSX!$H$6:$H$1554,$R41),$F$4)))</f>
        <v/>
      </c>
      <c r="Q41" s="548" t="str">
        <f ca="1">IF(OR($C41="",$C41=0),"",INDEX(NVLSX!N$6:N$6941,MATCH($C41,NVLSX!$E$6:$E$6941,0)))</f>
        <v/>
      </c>
      <c r="R41" s="561" t="str">
        <f ca="1">IF($I$2=NVLSX!$F$6930,"",IF(TYPE(MATCH($K$1,OFFSET(NVLSX!$B$6,R40,0):'NVLSX'!$B$1554,0)+R40)=16,"",MATCH($K$1,OFFSET(NVLSX!$B$6,R40,0):'NVLSX'!$B$1554,0)+R40))</f>
        <v/>
      </c>
      <c r="S41" s="562" t="str">
        <f ca="1">SUBSTITUTE(SUBSTITUTE(SUBSTITUTE(SUBSTITUTE(SUBSTITUTE(SUBSTITUTE(SUBSTITUTE(IF($R41="",0,INDEX(NVLSX!J$6:J$1554,$R41)),$C$8,$D$8),$C$9,$D$9),$C$10,$D$10),$C$11,$D$11),$P$12,$Q$12),$C$12,$B$12),$G$6,$I$6)</f>
        <v>0</v>
      </c>
      <c r="T41" s="551" t="str">
        <f ca="1">IF(OR($C41="",$C41=0),"", IF(OR(AND(OR($Q41=NVLSX!$N$4,$Q41=NVLSX!$N$6492),COUNTIFS($C$14:$C41,$C41,$F$14:$F41,$F41,$I$14:$I41,$I41)&lt;=1), COUNTIF($C$14:$C41,$C41) &lt;=1 ),$T$13, ""    ))</f>
        <v/>
      </c>
      <c r="U41" s="563">
        <f t="shared" ca="1" si="8"/>
        <v>0</v>
      </c>
      <c r="V41" s="556">
        <f ca="1">IF($C41="",0,IF($R41="",INDEX(NVLSX!$P$6:$P$6757,MATCH($C41,NVLSX!$E$6:$E$6757,0),0),INDEX(NVLSX!$P$6:$P$1554,$R41,0)))</f>
        <v>0</v>
      </c>
      <c r="W41" s="552" t="str">
        <f ca="1">SUBSTITUTE(SUBSTITUTE(SUBSTITUTE(SUBSTITUTE(SUBSTITUTE(SUBSTITUTE(IF($R41="",0,IF(INDEX(NVLSX!$O$6:$O$1554,$R41,0)="",INDEX(NVLSX!$I$6:$I$1554,$R41,0),IF(OR(INDEX(NVLSX!$O$6:$O$1554,$R41,0)=$H$3,INDEX(NVLSX!$O$6:$O$1554,$R41,0)=$R$9,INDEX(NVLSX!$O$6:$O$1554,$R41,0)=$D$12,,INDEX(NVLSX!$O$6:$O$1554,$R41,0)=$H$4),INDEX(NVLSX!$I$6:$I$1554,$R41,0),0))),$C$8,$D$8),$C$9,$D$9),$C$10,$D$10),$C$11,$D$11),$P$12,$Q$12),$C$12,$B$12)</f>
        <v>0</v>
      </c>
      <c r="X41" s="550">
        <f ca="1">IF(OR(IFERROR(SEARCH("Khung",$D41,1),0)=1,IFERROR(SEARCH("Cánh",$D41,1),0)=1),IFERROR(INDEX(NVLSX!$R$2:$R$1554,MATCH($C41,NVLSX!$E$2:$E$1554,0)),0),0)</f>
        <v>0</v>
      </c>
      <c r="Y41" s="554">
        <f ca="1">IFERROR(IF(SEARCH("cánh",$D41)&gt;0,INDEX(NVLSX!$T$2:$T$1555,MATCH($C41,NVLSX!$E$2:$E$1555,0)),0),0)*$F41*$G41/1000</f>
        <v>0</v>
      </c>
      <c r="Z41" s="554">
        <f ca="1">IFERROR(INDEX(NVLSX!$T$2:$T$1555,MATCH($C41,NVLSX!$E$2:$E$1555,0)),0)*$F41*$G41/1000</f>
        <v>0</v>
      </c>
      <c r="AA41" s="557"/>
      <c r="AB41" s="558"/>
      <c r="AC41" s="503"/>
      <c r="AD41" s="503"/>
      <c r="AE41" s="714">
        <f t="shared" ca="1" si="5"/>
        <v>0</v>
      </c>
      <c r="AF41" s="270"/>
    </row>
    <row r="42" spans="1:40">
      <c r="A42" s="1416"/>
      <c r="B42" s="149" t="str">
        <f ca="1">IF($C42&lt;&gt;"",1 + MAX($B$13:$B41),"" )</f>
        <v/>
      </c>
      <c r="C42" s="290" t="str">
        <f ca="1">IF(IF($K42&lt;&gt;"",$K42,IF(OR($R42="",$G42=0),"",INDEX(NVLSX!E$6:E$1554,$R42)))=$S$9,$R$9, IF($K42&lt;&gt;"",$K42,IF(OR($R42="",$G42=0),"",INDEX(NVLSX!E$6:E$1554,$R42))))</f>
        <v/>
      </c>
      <c r="D42" s="245" t="str">
        <f ca="1">IF($C42="","",IF($C42=$R$9,  INDEX(NVLSX!$T$6492:$T$6921,MATCH($C42,NVLSX!$S$6492:$S$6921,0)), INDEX(NVLSX!$F$2:$F$6941,MATCH($C42,NVLSX!$E$2:$E$6941,0))))</f>
        <v/>
      </c>
      <c r="E42" s="246" t="str">
        <f ca="1">IF($C42="","",IF($R42="","",INDEX(NVLSX!G$6:G$1554,$R42)))</f>
        <v/>
      </c>
      <c r="F42" s="248">
        <f ca="1">IF($C42="",0,IF(OR($L42="", RIGHT($L42,1)="*"),TinhCT,VALUE(LEFT($L42,FIND("*",$L42)-1))))</f>
        <v>0</v>
      </c>
      <c r="G42" s="249">
        <f ca="1">IF(OR($L42="",RIGHT($L42,1)="*"),TinhCTSL,VALUE(RIGHT($L42,LEN($L42)-FIND("*",$L42))))</f>
        <v>0</v>
      </c>
      <c r="H42" s="249">
        <f t="shared" ca="1" si="11"/>
        <v>0</v>
      </c>
      <c r="I42" s="246" t="str">
        <f ca="1">IF($C42="","",IF($R42="","",INDEX(NVLSX!K$6:K$1554,$R42)))</f>
        <v/>
      </c>
      <c r="J42" s="878">
        <f ca="1">IF($C42="",0,IFERROR(INDEX(NVLSX!$M$4:$M$6941,MATCH($C42,NVLSX!$E$4:$E$6941,0)),0) + IFERROR(IF($Q42=NVLSX!$N$4,INDEX(IF($R$1=DanhMuc!$C$179,DanhMuc!$C$180:$C$188,DanhMuc!$D$180:$D$188),MATCH($F$4,DanhMuc!$B$180:$B$188,0)),0),0))</f>
        <v>0</v>
      </c>
      <c r="K42" s="250"/>
      <c r="L42" s="251"/>
      <c r="M42" s="911">
        <f ca="1">IF($C42="",0,IF($K42="", IF(INDEX(NVLSX!$L$6:$L$1554,$R42)/$N$12&lt;&gt;0,ROUND(INDEX(NVLSX!$L$6:$L$1554,$R42)/$N$12,2),ROUND(INDEX(NVLSX!$L$2:$L$6941,MATCH($C42,NVLSX!$E$2:$E$6941,0))/$N$12,2)),IF(INDEX(NVLSX!$N$2:$N$6941,MATCH($C42,NVLSX!$E$2:$E$6941,0))=NVLSX!$N$4,ROUND(INDEX(NVLSX!$L$2:$L$6941,MATCH($C42,NVLSX!$E$2:$E$6941,0))/$N$12,2),   ROUND(INDEX(NVLSX!$L$2:$L$6941,MATCH($C42,NVLSX!$E$2:$E$6941,0)),2))))</f>
        <v>0</v>
      </c>
      <c r="N42" s="559">
        <f t="shared" ca="1" si="9"/>
        <v>0</v>
      </c>
      <c r="O42" s="555">
        <f t="shared" ca="1" si="10"/>
        <v>0</v>
      </c>
      <c r="P42" s="547" t="str">
        <f ca="1">IF(OR($C42="",$C42=0),"",IF($R42="",$F$4,IF(INDEX(NVLSX!$H$6:$H$1554,$R42)&lt;&gt;"",INDEX(NVLSX!$H$6:$H$1554,$R42),$F$4)))</f>
        <v/>
      </c>
      <c r="Q42" s="548" t="str">
        <f ca="1">IF(OR($C42="",$C42=0),"",INDEX(NVLSX!N$6:N$6941,MATCH($C42,NVLSX!$E$6:$E$6941,0)))</f>
        <v/>
      </c>
      <c r="R42" s="561" t="str">
        <f ca="1">IF($I$2=NVLSX!$F$6930,"",IF(TYPE(MATCH($K$1,OFFSET(NVLSX!$B$6,R41,0):'NVLSX'!$B$1554,0)+R41)=16,"",MATCH($K$1,OFFSET(NVLSX!$B$6,R41,0):'NVLSX'!$B$1554,0)+R41))</f>
        <v/>
      </c>
      <c r="S42" s="562" t="str">
        <f ca="1">SUBSTITUTE(SUBSTITUTE(SUBSTITUTE(SUBSTITUTE(SUBSTITUTE(SUBSTITUTE(SUBSTITUTE(IF($R42="",0,INDEX(NVLSX!J$6:J$1554,$R42)),$C$8,$D$8),$C$9,$D$9),$C$10,$D$10),$C$11,$D$11),$P$12,$Q$12),$C$12,$B$12),$G$6,$I$6)</f>
        <v>0</v>
      </c>
      <c r="T42" s="551" t="str">
        <f ca="1">IF(OR($C42="",$C42=0),"", IF(OR(AND(OR($Q42=NVLSX!$N$4,$Q42=NVLSX!$N$6492),COUNTIFS($C$14:$C42,$C42,$F$14:$F42,$F42,$I$14:$I42,$I42)&lt;=1), COUNTIF($C$14:$C42,$C42) &lt;=1 ),$T$13, ""    ))</f>
        <v/>
      </c>
      <c r="U42" s="563">
        <f t="shared" ca="1" si="8"/>
        <v>0</v>
      </c>
      <c r="V42" s="556">
        <f ca="1">IF($C42="",0,IF($R42="",INDEX(NVLSX!$P$6:$P$6757,MATCH($C42,NVLSX!$E$6:$E$6757,0),0),INDEX(NVLSX!$P$6:$P$1554,$R42,0)))</f>
        <v>0</v>
      </c>
      <c r="W42" s="552" t="str">
        <f ca="1">SUBSTITUTE(SUBSTITUTE(SUBSTITUTE(SUBSTITUTE(SUBSTITUTE(SUBSTITUTE(IF($R42="",0,IF(INDEX(NVLSX!$O$6:$O$1554,$R42,0)="",INDEX(NVLSX!$I$6:$I$1554,$R42,0),IF(OR(INDEX(NVLSX!$O$6:$O$1554,$R42,0)=$H$3,INDEX(NVLSX!$O$6:$O$1554,$R42,0)=$R$9,INDEX(NVLSX!$O$6:$O$1554,$R42,0)=$D$12,,INDEX(NVLSX!$O$6:$O$1554,$R42,0)=$H$4),INDEX(NVLSX!$I$6:$I$1554,$R42,0),0))),$C$8,$D$8),$C$9,$D$9),$C$10,$D$10),$C$11,$D$11),$P$12,$Q$12),$C$12,$B$12)</f>
        <v>0</v>
      </c>
      <c r="X42" s="550">
        <f ca="1">IF(OR(IFERROR(SEARCH("Khung",$D42,1),0)=1,IFERROR(SEARCH("Cánh",$D42,1),0)=1),IFERROR(INDEX(NVLSX!$R$2:$R$1554,MATCH($C42,NVLSX!$E$2:$E$1554,0)),0),0)</f>
        <v>0</v>
      </c>
      <c r="Y42" s="554">
        <f ca="1">IFERROR(IF(SEARCH("cánh",$D42)&gt;0,INDEX(NVLSX!$T$2:$T$1555,MATCH($C42,NVLSX!$E$2:$E$1555,0)),0),0)*$F42*$G42/1000</f>
        <v>0</v>
      </c>
      <c r="Z42" s="554">
        <f ca="1">IFERROR(INDEX(NVLSX!$T$2:$T$1555,MATCH($C42,NVLSX!$E$2:$E$1555,0)),0)*$F42*$G42/1000</f>
        <v>0</v>
      </c>
      <c r="AA42" s="557"/>
      <c r="AB42" s="558"/>
      <c r="AC42" s="503"/>
      <c r="AD42" s="503"/>
      <c r="AE42" s="714">
        <f t="shared" ca="1" si="5"/>
        <v>0</v>
      </c>
      <c r="AF42" s="270"/>
    </row>
    <row r="43" spans="1:40" s="143" customFormat="1" ht="30">
      <c r="A43" s="1417" t="s">
        <v>84</v>
      </c>
      <c r="B43" s="149">
        <f ca="1">IF($C43&lt;&gt;"",1 + MAX($B$20:$B42),"" )</f>
        <v>8</v>
      </c>
      <c r="C43" s="290" t="str">
        <f>IF($K43&lt;&gt;"",$K43,IF(OR($R43="",$G43=0),"",INDEX(NVLSX!E$1556:E$4654,$R43)))</f>
        <v>CZM23A</v>
      </c>
      <c r="D43" s="245" t="str">
        <f>IF($C43="","",INDEX(NVLSX!$F$2:$F$6941,MATCH($C43,NVLSX!$E$2:$E$6941,0)))</f>
        <v>Door Handle/Tay nắm cửa đi mở quay</v>
      </c>
      <c r="E43" s="246" t="str">
        <f>IF($C43="","",IF($R43="","",INDEX(NVLSX!G$1556:G$4654,$R43)))</f>
        <v>Bộ</v>
      </c>
      <c r="F43" s="248">
        <f>IF(OR($S43="",$G43=0),0,TinhCT)</f>
        <v>0</v>
      </c>
      <c r="G43" s="249">
        <f>TinhCTSL</f>
        <v>1</v>
      </c>
      <c r="H43" s="249">
        <f t="shared" ref="H43:H73" si="12">IF(AND($Q43="PK",$F43&lt;&gt;0),$F43*$G43*$D$7,$G43*$D$7)</f>
        <v>2</v>
      </c>
      <c r="I43" s="248"/>
      <c r="J43" s="878">
        <f>IF($C43="",0,IFERROR(INDEX(NVLSX!$M$4:$M$6941,MATCH($C43,NVLSX!$E$4:$E$6941,0)),0) + IFERROR(IF($Q43=NVLSX!$N$4,INDEX(IF($R$1=DanhMuc!$C$179,DanhMuc!$C$180:$C$188,DanhMuc!$D$180:$D$188),MATCH($F$4,DanhMuc!$B$180:$B$188,0)),0),0))</f>
        <v>0</v>
      </c>
      <c r="K43" s="253"/>
      <c r="L43" s="251"/>
      <c r="M43" s="911">
        <f>IF($C43="",0,IF($K43&lt;&gt;"",IF(INDEX(NVLSX!$N$2:$N$6941,MATCH($C43,NVLSX!$E$2:$E$6941,0))=NVLSX!$N$4,ROUND(INDEX(NVLSX!$L$2:$L$6941,MATCH($C43,NVLSX!$E$2:$E$6941,0))/$N$12,2),   ROUND(INDEX(NVLSX!$L$2:$L$6941,MATCH($C43,NVLSX!$E$2:$E$6941,0)),2)), IF(INDEX(NVLSX!$N$1556:$N$4654,$R43)=NVLSX!$N$4,ROUND(INDEX(NVLSX!$L$1556:$L$4654,$R43)/$N$12,2),   ROUND(INDEX(NVLSX!$L$1556:$L$4654,$R43),2))))</f>
        <v>135000</v>
      </c>
      <c r="N43" s="559">
        <f>ROUND(IF($C43="",0,IF($F43=0,$H43*(1+$J43)*$M43,$F43*$H43*(1+$J43)*$M43)),0)</f>
        <v>270000</v>
      </c>
      <c r="O43" s="559">
        <f>ROUND(IF($C43="",0,IF($F43=0,$H43*(1+$J43)*$M43,$F43*$H43*(1+$J43)*$M43)),0)</f>
        <v>270000</v>
      </c>
      <c r="P43" s="547" t="str">
        <f>IF(OR($C43="",$C43=0),"",IF(INDEX(NVLSX!$H$1556:$H$4654,$R43)&lt;&gt;"",INDEX(NVLSX!$H$1556:$H$4654,$R43),$F$5))</f>
        <v>Xám ghi</v>
      </c>
      <c r="Q43" s="548" t="str">
        <f>IF(OR($C43="",$C43=0),"",INDEX(NVLSX!N$6:N$6941,MATCH($C43,NVLSX!$E$6:$E$6941,0)))</f>
        <v>PK</v>
      </c>
      <c r="R43" s="565">
        <f>IF($I$2=NVLSX!$F$6930,"",IF(TYPE(MATCH(LEFT($K$1,3) &amp; "00-" &amp; MID($K$1,SEARCH("-",$K$1,1)+1,LEN($K$1)-6) &amp;"-" &amp;IF($D$5="","",INDEX(DanhMuc!$B$168:$B$177,MATCH($D$5,DanhMuc!$C$168:$C$177,0))),NVLSX!$B$1556:$B$4654,0))=16,"",MATCH(LEFT($K$1,3) &amp; "00-" &amp; MID($K$1,SEARCH("-",$K$1,1)+1,LEN($K$1)-6) &amp;"-" &amp;IF($D$5="","",INDEX(DanhMuc!$B$168:$B$177,MATCH($D$5,DanhMuc!$C$168:$C$177,0))),NVLSX!$B$1556:$B$4654,0)))</f>
        <v>2</v>
      </c>
      <c r="S43" s="566" t="str">
        <f>SUBSTITUTE(SUBSTITUTE(SUBSTITUTE(SUBSTITUTE(SUBSTITUTE(IF($R43="",0,INDEX(NVLSX!J$1556:J$4654,$R43)),$C$8,$D$8),$C$9,$D$9),$C$10,$D$10),$C$11,$D$11),$P$12,$Q$12)</f>
        <v/>
      </c>
      <c r="T43" s="551" t="str">
        <f ca="1">IF(OR($C43="",$C43=0),"", IF(OR(AND(OR($Q43=NVLSX!$N$4,$Q43=NVLSX!$N$6492),COUNTIFS($C$14:$C43,$C43,$F$14:$F43,$F43,$I$14:$I43,$I43)&lt;=1), COUNTIF($C$14:$C43,$C43) &lt;=1 ),$T$13, ""    ))</f>
        <v>TH</v>
      </c>
      <c r="U43" s="644">
        <f>IF(OR(IFERROR(SEARCH("bản lề",$D43,1),0)&gt;=1,IFERROR(SEARCH("bánh xe trượt",$D43,1),0)&gt;=1),$G43,0)</f>
        <v>0</v>
      </c>
      <c r="V43" s="774" t="s">
        <v>2089</v>
      </c>
      <c r="W43" s="568" t="str">
        <f>IF($L43&lt;&gt;"",$L43,IF($R43="",0,SUBSTITUTE(SUBSTITUTE(IF(INDEX(NVLSX!$O$1556:$O$4654,$R43,0)="",INDEX(NVLSX!$I$1556:$I$4654,$R43,0),IF(OR(INDEX(NVLSX!$O$1556:$O$4654,$R43,0)=$H$4,INDEX(NVLSX!$O$1556:$O$4654,$R43,0)=$H$5,INDEX(NVLSX!$O$1556:$O$4654,$R43,0)=$H$6,INDEX(NVLSX!$O$1556:$O$4654,$R43,0)=$R$6,INDEX(NVLSX!$O$1556:$O$4654,$R43,0)=$R$3,INDEX(NVLSX!$O$1556:$O$4654,$R43,0)=$R$4,INDEX(NVLSX!$O$1556:$O$4654,$R43,0)=$R$5,INDEX(NVLSX!$O$1556:$O$4654,$R43,0)=$H$3,INDEX(NVLSX!$O$1556:$O$4654,$R43,0)=$R$2,INDEX(NVLSX!$O$1556:$O$4654,$R43,0)=$D$12),INDEX(NVLSX!$I$1556:$I$4654,$R43,0),0)),$C$10,$D$10),$C$8,$D$8  )))</f>
        <v>1</v>
      </c>
      <c r="X43" s="507"/>
      <c r="Y43" s="557"/>
      <c r="AA43" s="564"/>
      <c r="AB43" s="564"/>
      <c r="AC43" s="564"/>
      <c r="AD43" s="564"/>
      <c r="AE43" s="714">
        <f t="shared" si="5"/>
        <v>405000</v>
      </c>
      <c r="AF43" s="270"/>
      <c r="AG43" s="1168"/>
      <c r="AH43" s="1168"/>
      <c r="AI43" s="1168"/>
      <c r="AJ43" s="1168"/>
      <c r="AK43" s="1168"/>
      <c r="AL43" s="1168"/>
      <c r="AM43" s="1168"/>
      <c r="AN43" s="1168"/>
    </row>
    <row r="44" spans="1:40" s="143" customFormat="1">
      <c r="A44" s="1417"/>
      <c r="B44" s="149">
        <f ca="1">IF($C44&lt;&gt;"",1 + MAX($B$20:$B43),"" )</f>
        <v>9</v>
      </c>
      <c r="C44" s="290" t="str">
        <f ca="1">IF($K44&lt;&gt;"",$K44,IF(OR($R44="",$G44=0),"",INDEX(NVLSX!E$1556:E$4654,$R44)))</f>
        <v>47/30A</v>
      </c>
      <c r="D44" s="245" t="str">
        <f ca="1">IF($C44="","",INDEX(NVLSX!$F$2:$F$6941,MATCH($C44,NVLSX!$E$2:$E$6941,0)))</f>
        <v>Cylinder/ Lõi khóa 2 đầu chìa</v>
      </c>
      <c r="E44" s="246" t="str">
        <f ca="1">IF($C44="","",IF($R44="","",INDEX(NVLSX!G$1556:G$4654,$R44)))</f>
        <v>Cái</v>
      </c>
      <c r="F44" s="248">
        <f ca="1">IF(OR($S44="",$G44=0),0,TinhCT)</f>
        <v>0</v>
      </c>
      <c r="G44" s="249">
        <f ca="1">TinhCTSL</f>
        <v>1</v>
      </c>
      <c r="H44" s="249">
        <f t="shared" ca="1" si="12"/>
        <v>2</v>
      </c>
      <c r="I44" s="248"/>
      <c r="J44" s="878">
        <f ca="1">IF($C44="",0,IFERROR(INDEX(NVLSX!$M$4:$M$6941,MATCH($C44,NVLSX!$E$4:$E$6941,0)),0) + IFERROR(IF($Q44=NVLSX!$N$4,INDEX(IF($R$1=DanhMuc!$C$179,DanhMuc!$C$180:$C$188,DanhMuc!$D$180:$D$188),MATCH($F$4,DanhMuc!$B$180:$B$188,0)),0),0))</f>
        <v>0</v>
      </c>
      <c r="K44" s="253"/>
      <c r="L44" s="251"/>
      <c r="M44" s="911">
        <f ca="1">IF($C44="",0,IF($K44&lt;&gt;"",IF(INDEX(NVLSX!$N$2:$N$6941,MATCH($C44,NVLSX!$E$2:$E$6941,0))=NVLSX!$N$4,ROUND(INDEX(NVLSX!$L$2:$L$6941,MATCH($C44,NVLSX!$E$2:$E$6941,0))/$N$12,2),   ROUND(INDEX(NVLSX!$L$2:$L$6941,MATCH($C44,NVLSX!$E$2:$E$6941,0)),2)), IF(INDEX(NVLSX!$N$1556:$N$4654,$R44)=NVLSX!$N$4,ROUND(INDEX(NVLSX!$L$1556:$L$4654,$R44)/$N$12,2),   ROUND(INDEX(NVLSX!$L$1556:$L$4654,$R44),2))))</f>
        <v>140000</v>
      </c>
      <c r="N44" s="559">
        <f t="shared" ref="N44:O73" ca="1" si="13">ROUND(IF($C44="",0,IF($F44=0,$H44*(1+$J44)*$M44,$F44*$H44*(1+$J44)*$M44)),0)</f>
        <v>280000</v>
      </c>
      <c r="O44" s="559">
        <f t="shared" ca="1" si="13"/>
        <v>280000</v>
      </c>
      <c r="P44" s="547" t="str">
        <f ca="1">IF(OR($C44="",$C44=0),"",IF(INDEX(NVLSX!$H$1556:$H$4654,$R44)&lt;&gt;"",INDEX(NVLSX!$H$1556:$H$4654,$R44),$F$5))</f>
        <v>T/C</v>
      </c>
      <c r="Q44" s="548" t="str">
        <f ca="1">IF(OR($C44="",$C44=0),"",INDEX(NVLSX!N$6:N$6941,MATCH($C44,NVLSX!$E$6:$E$6941,0)))</f>
        <v>PK</v>
      </c>
      <c r="R44" s="565">
        <f ca="1">IF($I$2=NVLSX!$F$6930,"",IF(TYPE(MATCH(LEFT($K$1,3) &amp; "00-" &amp; MID($K$1,SEARCH("-",$K$1,1)+1,LEN($K$1)-6) &amp;"-" &amp;IF($D$5="","",INDEX(DanhMuc!$B$168:$B$177,MATCH($D$5,DanhMuc!$C$168:$C$177,0))),OFFSET(NVLSX!$B$1556,R43,0):'NVLSX'!$B$4654,0)+R43)=16,"",MATCH(LEFT($K$1,3) &amp; "00-" &amp; MID($K$1,SEARCH("-",$K$1,1)+1,LEN($K$1)-6) &amp;"-" &amp;IF($D$5="","",INDEX(DanhMuc!$B$168:$B$177,MATCH($D$5,DanhMuc!$C$168:$C$177,0))),OFFSET(NVLSX!$B$1556,R43,0):'NVLSX'!$B$4654,0)+R43))</f>
        <v>3</v>
      </c>
      <c r="S44" s="566" t="str">
        <f ca="1">SUBSTITUTE(SUBSTITUTE(SUBSTITUTE(SUBSTITUTE(SUBSTITUTE(IF($R44="",0,INDEX(NVLSX!J$1556:J$4654,$R44)),$C$8,$D$8),$C$9,$D$9),$C$10,$D$10),$C$11,$D$11),$P$12,$Q$12)</f>
        <v/>
      </c>
      <c r="T44" s="551" t="str">
        <f ca="1">IF(OR($C44="",$C44=0),"", IF(OR(AND(OR($Q44=NVLSX!$N$4,$Q44=NVLSX!$N$6492),COUNTIFS($C$14:$C44,$C44,$F$14:$F44,$F44,$I$14:$I44,$I44)&lt;=1), COUNTIF($C$14:$C44,$C44) &lt;=1 ),$T$13, ""    ))</f>
        <v>TH</v>
      </c>
      <c r="U44" s="644">
        <f t="shared" ref="U44:U73" ca="1" si="14">IF(OR(IFERROR(SEARCH("bản lề",$D44,1),0)&gt;=1,IFERROR(SEARCH("bánh xe trượt",$D44,1),0)&gt;=1),$G44,0)</f>
        <v>0</v>
      </c>
      <c r="V44" s="567"/>
      <c r="W44" s="568" t="str">
        <f ca="1">IF($L44&lt;&gt;"",$L44,IF($R44="",0,SUBSTITUTE(SUBSTITUTE(IF(INDEX(NVLSX!$O$1556:$O$4654,$R44,0)="",INDEX(NVLSX!$I$1556:$I$4654,$R44,0),IF(OR(INDEX(NVLSX!$O$1556:$O$4654,$R44,0)=$H$4,INDEX(NVLSX!$O$1556:$O$4654,$R44,0)=$H$5,INDEX(NVLSX!$O$1556:$O$4654,$R44,0)=$H$6,INDEX(NVLSX!$O$1556:$O$4654,$R44,0)=$R$6,INDEX(NVLSX!$O$1556:$O$4654,$R44,0)=$R$3,INDEX(NVLSX!$O$1556:$O$4654,$R44,0)=$R$4,INDEX(NVLSX!$O$1556:$O$4654,$R44,0)=$R$5,INDEX(NVLSX!$O$1556:$O$4654,$R44,0)=$H$3,INDEX(NVLSX!$O$1556:$O$4654,$R44,0)=$R$2,INDEX(NVLSX!$O$1556:$O$4654,$R44,0)=$D$12),INDEX(NVLSX!$I$1556:$I$4654,$R44,0),0)),$C$10,$D$10),$C$8,$D$8  )))</f>
        <v>1</v>
      </c>
      <c r="X44" s="507"/>
      <c r="Y44" s="557"/>
      <c r="AA44" s="564"/>
      <c r="AB44" s="564"/>
      <c r="AC44" s="564"/>
      <c r="AD44" s="564"/>
      <c r="AE44" s="714">
        <f t="shared" ca="1" si="5"/>
        <v>420000</v>
      </c>
      <c r="AF44" s="270"/>
      <c r="AG44" s="1168"/>
      <c r="AH44" s="1168"/>
      <c r="AI44" s="1168"/>
      <c r="AJ44" s="1168"/>
      <c r="AK44" s="1168"/>
      <c r="AL44" s="1168"/>
      <c r="AM44" s="1168"/>
      <c r="AN44" s="1168"/>
    </row>
    <row r="45" spans="1:40" s="143" customFormat="1">
      <c r="A45" s="1417"/>
      <c r="B45" s="149" t="str">
        <f ca="1">IF($C45&lt;&gt;"",1 + MAX($B$20:$B44),"" )</f>
        <v/>
      </c>
      <c r="C45" s="290" t="str">
        <f ca="1">IF($K45&lt;&gt;"",$K45,IF(OR($R45="",$G45=0),"",INDEX(NVLSX!E$1556:E$4654,$R45)))</f>
        <v/>
      </c>
      <c r="D45" s="245" t="str">
        <f ca="1">IF($C45="","",INDEX(NVLSX!$F$2:$F$6941,MATCH($C45,NVLSX!$E$2:$E$6941,0)))</f>
        <v/>
      </c>
      <c r="E45" s="246" t="str">
        <f ca="1">IF($C45="","",IF($R45="","",INDEX(NVLSX!G$1556:G$4654,$R45)))</f>
        <v/>
      </c>
      <c r="F45" s="248">
        <f ca="1">IF(OR($S45="",$G45=0),0,TinhCT)</f>
        <v>0</v>
      </c>
      <c r="G45" s="249">
        <f ca="1">TinhCTSL</f>
        <v>0</v>
      </c>
      <c r="H45" s="249">
        <f t="shared" ca="1" si="12"/>
        <v>0</v>
      </c>
      <c r="I45" s="248"/>
      <c r="J45" s="878">
        <f ca="1">IF($C45="",0,IFERROR(INDEX(NVLSX!$M$4:$M$6941,MATCH($C45,NVLSX!$E$4:$E$6941,0)),0) + IFERROR(IF($Q45=NVLSX!$N$4,INDEX(IF($R$1=DanhMuc!$C$179,DanhMuc!$C$180:$C$188,DanhMuc!$D$180:$D$188),MATCH($F$4,DanhMuc!$B$180:$B$188,0)),0),0))</f>
        <v>0</v>
      </c>
      <c r="K45" s="253"/>
      <c r="L45" s="251"/>
      <c r="M45" s="911">
        <f ca="1">IF($C45="",0,IF($K45&lt;&gt;"",IF(INDEX(NVLSX!$N$2:$N$6941,MATCH($C45,NVLSX!$E$2:$E$6941,0))=NVLSX!$N$4,ROUND(INDEX(NVLSX!$L$2:$L$6941,MATCH($C45,NVLSX!$E$2:$E$6941,0))/$N$12,2),   ROUND(INDEX(NVLSX!$L$2:$L$6941,MATCH($C45,NVLSX!$E$2:$E$6941,0)),2)), IF(INDEX(NVLSX!$N$1556:$N$4654,$R45)=NVLSX!$N$4,ROUND(INDEX(NVLSX!$L$1556:$L$4654,$R45)/$N$12,2),   ROUND(INDEX(NVLSX!$L$1556:$L$4654,$R45),2))))</f>
        <v>0</v>
      </c>
      <c r="N45" s="559">
        <f t="shared" ca="1" si="13"/>
        <v>0</v>
      </c>
      <c r="O45" s="559">
        <f t="shared" ca="1" si="13"/>
        <v>0</v>
      </c>
      <c r="P45" s="547" t="str">
        <f ca="1">IF(OR($C45="",$C45=0),"",IF(INDEX(NVLSX!$H$1556:$H$4654,$R45)&lt;&gt;"",INDEX(NVLSX!$H$1556:$H$4654,$R45),$F$5))</f>
        <v/>
      </c>
      <c r="Q45" s="548" t="str">
        <f ca="1">IF(OR($C45="",$C45=0),"",INDEX(NVLSX!N$6:N$6941,MATCH($C45,NVLSX!$E$6:$E$6941,0)))</f>
        <v/>
      </c>
      <c r="R45" s="565">
        <f ca="1">IF($I$2=NVLSX!$F$6930,"",IF(TYPE(MATCH(LEFT($K$1,3) &amp; "00-" &amp; MID($K$1,SEARCH("-",$K$1,1)+1,LEN($K$1)-6) &amp;"-" &amp;IF($D$5="","",INDEX(DanhMuc!$B$168:$B$177,MATCH($D$5,DanhMuc!$C$168:$C$177,0))),OFFSET(NVLSX!$B$1556,R44,0):'NVLSX'!$B$4654,0)+R44)=16,"",MATCH(LEFT($K$1,3) &amp; "00-" &amp; MID($K$1,SEARCH("-",$K$1,1)+1,LEN($K$1)-6) &amp;"-" &amp;IF($D$5="","",INDEX(DanhMuc!$B$168:$B$177,MATCH($D$5,DanhMuc!$C$168:$C$177,0))),OFFSET(NVLSX!$B$1556,R44,0):'NVLSX'!$B$4654,0)+R44))</f>
        <v>4</v>
      </c>
      <c r="S45" s="566" t="str">
        <f ca="1">SUBSTITUTE(SUBSTITUTE(SUBSTITUTE(SUBSTITUTE(SUBSTITUTE(IF($R45="",0,INDEX(NVLSX!J$1556:J$4654,$R45)),$C$8,$D$8),$C$9,$D$9),$C$10,$D$10),$C$11,$D$11),$P$12,$Q$12)</f>
        <v/>
      </c>
      <c r="T45" s="551" t="str">
        <f ca="1">IF(OR($C45="",$C45=0),"", IF(OR(AND(OR($Q45=NVLSX!$N$4,$Q45=NVLSX!$N$6492),COUNTIFS($C$14:$C45,$C45,$F$14:$F45,$F45,$I$14:$I45,$I45)&lt;=1), COUNTIF($C$14:$C45,$C45) &lt;=1 ),$T$13, ""    ))</f>
        <v/>
      </c>
      <c r="U45" s="644">
        <f t="shared" ca="1" si="14"/>
        <v>0</v>
      </c>
      <c r="V45" s="567"/>
      <c r="W45" s="568" t="str">
        <f ca="1">IF($L45&lt;&gt;"",$L45,IF($R45="",0,SUBSTITUTE(SUBSTITUTE(IF(INDEX(NVLSX!$O$1556:$O$4654,$R45,0)="",INDEX(NVLSX!$I$1556:$I$4654,$R45,0),IF(OR(INDEX(NVLSX!$O$1556:$O$4654,$R45,0)=$H$4,INDEX(NVLSX!$O$1556:$O$4654,$R45,0)=$H$5,INDEX(NVLSX!$O$1556:$O$4654,$R45,0)=$H$6,INDEX(NVLSX!$O$1556:$O$4654,$R45,0)=$R$6,INDEX(NVLSX!$O$1556:$O$4654,$R45,0)=$R$3,INDEX(NVLSX!$O$1556:$O$4654,$R45,0)=$R$4,INDEX(NVLSX!$O$1556:$O$4654,$R45,0)=$R$5,INDEX(NVLSX!$O$1556:$O$4654,$R45,0)=$H$3,INDEX(NVLSX!$O$1556:$O$4654,$R45,0)=$R$2,INDEX(NVLSX!$O$1556:$O$4654,$R45,0)=$D$12),INDEX(NVLSX!$I$1556:$I$4654,$R45,0),0)),$C$10,$D$10),$C$8,$D$8  )))</f>
        <v>0</v>
      </c>
      <c r="X45" s="507"/>
      <c r="Y45" s="557"/>
      <c r="AA45" s="564"/>
      <c r="AB45" s="564"/>
      <c r="AC45" s="564"/>
      <c r="AD45" s="564"/>
      <c r="AE45" s="714">
        <f t="shared" ca="1" si="5"/>
        <v>0</v>
      </c>
      <c r="AF45" s="270"/>
      <c r="AG45" s="1168"/>
      <c r="AH45" s="1168"/>
      <c r="AI45" s="1168"/>
      <c r="AJ45" s="1168"/>
      <c r="AK45" s="1168"/>
      <c r="AL45" s="1168"/>
      <c r="AM45" s="1168"/>
      <c r="AN45" s="1168"/>
    </row>
    <row r="46" spans="1:40" s="143" customFormat="1">
      <c r="A46" s="1417"/>
      <c r="B46" s="149" t="str">
        <f ca="1">IF($C46&lt;&gt;"",1 + MAX($B$20:$B45),"" )</f>
        <v/>
      </c>
      <c r="C46" s="290" t="str">
        <f ca="1">IF($K46&lt;&gt;"",$K46,IF(OR($R46="",$G46=0),"",INDEX(NVLSX!E$1556:E$4654,$R46)))</f>
        <v/>
      </c>
      <c r="D46" s="245" t="str">
        <f ca="1">IF($C46="","",INDEX(NVLSX!$F$2:$F$6941,MATCH($C46,NVLSX!$E$2:$E$6941,0)))</f>
        <v/>
      </c>
      <c r="E46" s="246" t="str">
        <f ca="1">IF($C46="","",IF($R46="","",INDEX(NVLSX!G$1556:G$4654,$R46)))</f>
        <v/>
      </c>
      <c r="F46" s="248">
        <f ca="1">IF(OR($S46="",$G46=0),0,TinhCT)</f>
        <v>0</v>
      </c>
      <c r="G46" s="249">
        <f ca="1">TinhCTSL</f>
        <v>0</v>
      </c>
      <c r="H46" s="249">
        <f t="shared" ca="1" si="12"/>
        <v>0</v>
      </c>
      <c r="I46" s="248"/>
      <c r="J46" s="878">
        <f ca="1">IF($C46="",0,IFERROR(INDEX(NVLSX!$M$4:$M$6941,MATCH($C46,NVLSX!$E$4:$E$6941,0)),0) + IFERROR(IF($Q46=NVLSX!$N$4,INDEX(IF($R$1=DanhMuc!$C$179,DanhMuc!$C$180:$C$188,DanhMuc!$D$180:$D$188),MATCH($F$4,DanhMuc!$B$180:$B$188,0)),0),0))</f>
        <v>0</v>
      </c>
      <c r="K46" s="253"/>
      <c r="L46" s="251"/>
      <c r="M46" s="911">
        <f ca="1">IF($C46="",0,IF($K46&lt;&gt;"",IF(INDEX(NVLSX!$N$2:$N$6941,MATCH($C46,NVLSX!$E$2:$E$6941,0))=NVLSX!$N$4,ROUND(INDEX(NVLSX!$L$2:$L$6941,MATCH($C46,NVLSX!$E$2:$E$6941,0))/$N$12,2),   ROUND(INDEX(NVLSX!$L$2:$L$6941,MATCH($C46,NVLSX!$E$2:$E$6941,0)),2)), IF(INDEX(NVLSX!$N$1556:$N$4654,$R46)=NVLSX!$N$4,ROUND(INDEX(NVLSX!$L$1556:$L$4654,$R46)/$N$12,2),   ROUND(INDEX(NVLSX!$L$1556:$L$4654,$R46),2))))</f>
        <v>0</v>
      </c>
      <c r="N46" s="559">
        <f t="shared" ca="1" si="13"/>
        <v>0</v>
      </c>
      <c r="O46" s="559">
        <f t="shared" ca="1" si="13"/>
        <v>0</v>
      </c>
      <c r="P46" s="547" t="str">
        <f ca="1">IF(OR($C46="",$C46=0),"",IF(INDEX(NVLSX!$H$1556:$H$4654,$R46)&lt;&gt;"",INDEX(NVLSX!$H$1556:$H$4654,$R46),$F$5))</f>
        <v/>
      </c>
      <c r="Q46" s="548" t="str">
        <f ca="1">IF(OR($C46="",$C46=0),"",INDEX(NVLSX!N$6:N$6941,MATCH($C46,NVLSX!$E$6:$E$6941,0)))</f>
        <v/>
      </c>
      <c r="R46" s="565">
        <f ca="1">IF($I$2=NVLSX!$F$6930,"",IF(TYPE(MATCH(LEFT($K$1,3) &amp; "00-" &amp; MID($K$1,SEARCH("-",$K$1,1)+1,LEN($K$1)-6) &amp;"-" &amp;IF($D$5="","",INDEX(DanhMuc!$B$168:$B$177,MATCH($D$5,DanhMuc!$C$168:$C$177,0))),OFFSET(NVLSX!$B$1556,R45,0):'NVLSX'!$B$4654,0)+R45)=16,"",MATCH(LEFT($K$1,3) &amp; "00-" &amp; MID($K$1,SEARCH("-",$K$1,1)+1,LEN($K$1)-6) &amp;"-" &amp;IF($D$5="","",INDEX(DanhMuc!$B$168:$B$177,MATCH($D$5,DanhMuc!$C$168:$C$177,0))),OFFSET(NVLSX!$B$1556,R45,0):'NVLSX'!$B$4654,0)+R45))</f>
        <v>5</v>
      </c>
      <c r="S46" s="566" t="str">
        <f ca="1">SUBSTITUTE(SUBSTITUTE(SUBSTITUTE(SUBSTITUTE(SUBSTITUTE(IF($R46="",0,INDEX(NVLSX!J$1556:J$4654,$R46)),$C$8,$D$8),$C$9,$D$9),$C$10,$D$10),$C$11,$D$11),$P$12,$Q$12)</f>
        <v/>
      </c>
      <c r="T46" s="551" t="str">
        <f ca="1">IF(OR($C46="",$C46=0),"", IF(OR(AND(OR($Q46=NVLSX!$N$4,$Q46=NVLSX!$N$6492),COUNTIFS($C$14:$C46,$C46,$F$14:$F46,$F46,$I$14:$I46,$I46)&lt;=1), COUNTIF($C$14:$C46,$C46) &lt;=1 ),$T$13, ""    ))</f>
        <v/>
      </c>
      <c r="U46" s="644">
        <f t="shared" ca="1" si="14"/>
        <v>0</v>
      </c>
      <c r="V46" s="567"/>
      <c r="W46" s="568" t="str">
        <f ca="1">IF($L46&lt;&gt;"",$L46,IF($R46="",0,SUBSTITUTE(SUBSTITUTE(IF(INDEX(NVLSX!$O$1556:$O$4654,$R46,0)="",INDEX(NVLSX!$I$1556:$I$4654,$R46,0),IF(OR(INDEX(NVLSX!$O$1556:$O$4654,$R46,0)=$H$4,INDEX(NVLSX!$O$1556:$O$4654,$R46,0)=$H$5,INDEX(NVLSX!$O$1556:$O$4654,$R46,0)=$H$6,INDEX(NVLSX!$O$1556:$O$4654,$R46,0)=$R$6,INDEX(NVLSX!$O$1556:$O$4654,$R46,0)=$R$3,INDEX(NVLSX!$O$1556:$O$4654,$R46,0)=$R$4,INDEX(NVLSX!$O$1556:$O$4654,$R46,0)=$R$5,INDEX(NVLSX!$O$1556:$O$4654,$R46,0)=$H$3,INDEX(NVLSX!$O$1556:$O$4654,$R46,0)=$R$2,INDEX(NVLSX!$O$1556:$O$4654,$R46,0)=$D$12),INDEX(NVLSX!$I$1556:$I$4654,$R46,0),0)),$C$10,$D$10),$C$8,$D$8  )))</f>
        <v>0</v>
      </c>
      <c r="X46" s="507"/>
      <c r="Y46" s="557"/>
      <c r="AA46" s="564"/>
      <c r="AB46" s="564"/>
      <c r="AC46" s="564"/>
      <c r="AD46" s="564"/>
      <c r="AE46" s="714">
        <f t="shared" ca="1" si="5"/>
        <v>0</v>
      </c>
      <c r="AF46" s="270"/>
      <c r="AG46" s="1168"/>
      <c r="AH46" s="1168"/>
      <c r="AI46" s="1168"/>
      <c r="AJ46" s="1168"/>
      <c r="AK46" s="1168"/>
      <c r="AL46" s="1168"/>
      <c r="AM46" s="1168"/>
      <c r="AN46" s="1168"/>
    </row>
    <row r="47" spans="1:40" s="143" customFormat="1">
      <c r="A47" s="1417"/>
      <c r="B47" s="149" t="str">
        <f ca="1">IF($C47&lt;&gt;"",1 + MAX($B$20:$B46),"" )</f>
        <v/>
      </c>
      <c r="C47" s="290" t="str">
        <f ca="1">IF($K47&lt;&gt;"",$K47,IF(OR($R47="",$G47=0),"",INDEX(NVLSX!E$1556:E$4654,$R47)))</f>
        <v/>
      </c>
      <c r="D47" s="245" t="str">
        <f ca="1">IF($C47="","",INDEX(NVLSX!$F$2:$F$6941,MATCH($C47,NVLSX!$E$2:$E$6941,0)))</f>
        <v/>
      </c>
      <c r="E47" s="246" t="str">
        <f ca="1">IF($C47="","",IF($R47="","",INDEX(NVLSX!G$1556:G$4654,$R47)))</f>
        <v/>
      </c>
      <c r="F47" s="248">
        <f ca="1">IF(OR($S47="",$G47=0),0,TinhCT)</f>
        <v>0</v>
      </c>
      <c r="G47" s="249">
        <f ca="1">TinhCTSL</f>
        <v>0</v>
      </c>
      <c r="H47" s="249">
        <f t="shared" ca="1" si="12"/>
        <v>0</v>
      </c>
      <c r="I47" s="248"/>
      <c r="J47" s="878">
        <f ca="1">IF($C47="",0,IFERROR(INDEX(NVLSX!$M$4:$M$6941,MATCH($C47,NVLSX!$E$4:$E$6941,0)),0) + IFERROR(IF($Q47=NVLSX!$N$4,INDEX(IF($R$1=DanhMuc!$C$179,DanhMuc!$C$180:$C$188,DanhMuc!$D$180:$D$188),MATCH($F$4,DanhMuc!$B$180:$B$188,0)),0),0))</f>
        <v>0</v>
      </c>
      <c r="K47" s="253"/>
      <c r="L47" s="251"/>
      <c r="M47" s="911">
        <f ca="1">IF($C47="",0,IF($K47&lt;&gt;"",IF(INDEX(NVLSX!$N$2:$N$6941,MATCH($C47,NVLSX!$E$2:$E$6941,0))=NVLSX!$N$4,ROUND(INDEX(NVLSX!$L$2:$L$6941,MATCH($C47,NVLSX!$E$2:$E$6941,0))/$N$12,2),   ROUND(INDEX(NVLSX!$L$2:$L$6941,MATCH($C47,NVLSX!$E$2:$E$6941,0)),2)), IF(INDEX(NVLSX!$N$1556:$N$4654,$R47)=NVLSX!$N$4,ROUND(INDEX(NVLSX!$L$1556:$L$4654,$R47)/$N$12,2),   ROUND(INDEX(NVLSX!$L$1556:$L$4654,$R47),2))))</f>
        <v>0</v>
      </c>
      <c r="N47" s="559">
        <f t="shared" ca="1" si="13"/>
        <v>0</v>
      </c>
      <c r="O47" s="559">
        <f t="shared" ca="1" si="13"/>
        <v>0</v>
      </c>
      <c r="P47" s="547" t="str">
        <f ca="1">IF(OR($C47="",$C47=0),"",IF(INDEX(NVLSX!$H$1556:$H$4654,$R47)&lt;&gt;"",INDEX(NVLSX!$H$1556:$H$4654,$R47),$F$5))</f>
        <v/>
      </c>
      <c r="Q47" s="548" t="str">
        <f ca="1">IF(OR($C47="",$C47=0),"",INDEX(NVLSX!N$6:N$6941,MATCH($C47,NVLSX!$E$6:$E$6941,0)))</f>
        <v/>
      </c>
      <c r="R47" s="565">
        <f ca="1">IF($I$2=NVLSX!$F$6930,"",IF(TYPE(MATCH(LEFT($K$1,3) &amp; "00-" &amp; MID($K$1,SEARCH("-",$K$1,1)+1,LEN($K$1)-6) &amp;"-" &amp;IF($D$5="","",INDEX(DanhMuc!$B$168:$B$177,MATCH($D$5,DanhMuc!$C$168:$C$177,0))),OFFSET(NVLSX!$B$1556,R46,0):'NVLSX'!$B$4654,0)+R46)=16,"",MATCH(LEFT($K$1,3) &amp; "00-" &amp; MID($K$1,SEARCH("-",$K$1,1)+1,LEN($K$1)-6) &amp;"-" &amp;IF($D$5="","",INDEX(DanhMuc!$B$168:$B$177,MATCH($D$5,DanhMuc!$C$168:$C$177,0))),OFFSET(NVLSX!$B$1556,R46,0):'NVLSX'!$B$4654,0)+R46))</f>
        <v>6</v>
      </c>
      <c r="S47" s="566" t="str">
        <f ca="1">SUBSTITUTE(SUBSTITUTE(SUBSTITUTE(SUBSTITUTE(SUBSTITUTE(IF($R47="",0,INDEX(NVLSX!J$1556:J$4654,$R47)),$C$8,$D$8),$C$9,$D$9),$C$10,$D$10),$C$11,$D$11),$P$12,$Q$12)</f>
        <v/>
      </c>
      <c r="T47" s="551" t="str">
        <f ca="1">IF(OR($C47="",$C47=0),"", IF(OR(AND(OR($Q47=NVLSX!$N$4,$Q47=NVLSX!$N$6492),COUNTIFS($C$14:$C47,$C47,$F$14:$F47,$F47,$I$14:$I47,$I47)&lt;=1), COUNTIF($C$14:$C47,$C47) &lt;=1 ),$T$13, ""    ))</f>
        <v/>
      </c>
      <c r="U47" s="644">
        <f t="shared" ca="1" si="14"/>
        <v>0</v>
      </c>
      <c r="V47" s="567"/>
      <c r="W47" s="568" t="str">
        <f ca="1">IF($L47&lt;&gt;"",$L47,IF($R47="",0,SUBSTITUTE(SUBSTITUTE(IF(INDEX(NVLSX!$O$1556:$O$4654,$R47,0)="",INDEX(NVLSX!$I$1556:$I$4654,$R47,0),IF(OR(INDEX(NVLSX!$O$1556:$O$4654,$R47,0)=$H$4,INDEX(NVLSX!$O$1556:$O$4654,$R47,0)=$H$5,INDEX(NVLSX!$O$1556:$O$4654,$R47,0)=$H$6,INDEX(NVLSX!$O$1556:$O$4654,$R47,0)=$R$6,INDEX(NVLSX!$O$1556:$O$4654,$R47,0)=$R$3,INDEX(NVLSX!$O$1556:$O$4654,$R47,0)=$R$4,INDEX(NVLSX!$O$1556:$O$4654,$R47,0)=$R$5,INDEX(NVLSX!$O$1556:$O$4654,$R47,0)=$H$3,INDEX(NVLSX!$O$1556:$O$4654,$R47,0)=$R$2,INDEX(NVLSX!$O$1556:$O$4654,$R47,0)=$D$12),INDEX(NVLSX!$I$1556:$I$4654,$R47,0),0)),$C$10,$D$10),$C$8,$D$8  )))</f>
        <v>0</v>
      </c>
      <c r="X47" s="507"/>
      <c r="Y47" s="557"/>
      <c r="AA47" s="564"/>
      <c r="AB47" s="564"/>
      <c r="AC47" s="564"/>
      <c r="AD47" s="564"/>
      <c r="AE47" s="714">
        <f t="shared" ca="1" si="5"/>
        <v>0</v>
      </c>
      <c r="AF47" s="270"/>
      <c r="AG47" s="1168"/>
      <c r="AH47" s="1168"/>
      <c r="AI47" s="1168"/>
      <c r="AJ47" s="1168"/>
      <c r="AK47" s="1168"/>
      <c r="AL47" s="1168"/>
      <c r="AM47" s="1168"/>
      <c r="AN47" s="1168"/>
    </row>
    <row r="48" spans="1:40" s="143" customFormat="1">
      <c r="A48" s="1417"/>
      <c r="B48" s="149" t="str">
        <f ca="1">IF($C48&lt;&gt;"",1 + MAX($B$20:$B47),"" )</f>
        <v/>
      </c>
      <c r="C48" s="290" t="str">
        <f ca="1">IF($K48&lt;&gt;"",$K48,IF(OR($R48="",$G48=0),"",INDEX(NVLSX!E$1556:E$4654,$R48)))</f>
        <v/>
      </c>
      <c r="D48" s="245" t="str">
        <f ca="1">IF($C48="","",INDEX(NVLSX!$F$2:$F$6941,MATCH($C48,NVLSX!$E$2:$E$6941,0)))</f>
        <v/>
      </c>
      <c r="E48" s="246" t="str">
        <f ca="1">IF($C48="","",IF($R48="","",INDEX(NVLSX!G$1556:G$4654,$R48)))</f>
        <v/>
      </c>
      <c r="F48" s="248">
        <f ca="1">IF(OR($S48="",$G48=0),0,TinhCT)</f>
        <v>0</v>
      </c>
      <c r="G48" s="249">
        <f ca="1">TinhCTSL</f>
        <v>0</v>
      </c>
      <c r="H48" s="249">
        <f t="shared" ca="1" si="12"/>
        <v>0</v>
      </c>
      <c r="I48" s="248"/>
      <c r="J48" s="878">
        <f ca="1">IF($C48="",0,IFERROR(INDEX(NVLSX!$M$4:$M$6941,MATCH($C48,NVLSX!$E$4:$E$6941,0)),0) + IFERROR(IF($Q48=NVLSX!$N$4,INDEX(IF($R$1=DanhMuc!$C$179,DanhMuc!$C$180:$C$188,DanhMuc!$D$180:$D$188),MATCH($F$4,DanhMuc!$B$180:$B$188,0)),0),0))</f>
        <v>0</v>
      </c>
      <c r="K48" s="253"/>
      <c r="L48" s="251"/>
      <c r="M48" s="911">
        <f ca="1">IF($C48="",0,IF($K48&lt;&gt;"",IF(INDEX(NVLSX!$N$2:$N$6941,MATCH($C48,NVLSX!$E$2:$E$6941,0))=NVLSX!$N$4,ROUND(INDEX(NVLSX!$L$2:$L$6941,MATCH($C48,NVLSX!$E$2:$E$6941,0))/$N$12,2),   ROUND(INDEX(NVLSX!$L$2:$L$6941,MATCH($C48,NVLSX!$E$2:$E$6941,0)),2)), IF(INDEX(NVLSX!$N$1556:$N$4654,$R48)=NVLSX!$N$4,ROUND(INDEX(NVLSX!$L$1556:$L$4654,$R48)/$N$12,2),   ROUND(INDEX(NVLSX!$L$1556:$L$4654,$R48),2))))</f>
        <v>0</v>
      </c>
      <c r="N48" s="559">
        <f t="shared" ca="1" si="13"/>
        <v>0</v>
      </c>
      <c r="O48" s="559">
        <f t="shared" ca="1" si="13"/>
        <v>0</v>
      </c>
      <c r="P48" s="547" t="str">
        <f ca="1">IF(OR($C48="",$C48=0),"",IF(INDEX(NVLSX!$H$1556:$H$4654,$R48)&lt;&gt;"",INDEX(NVLSX!$H$1556:$H$4654,$R48),$F$5))</f>
        <v/>
      </c>
      <c r="Q48" s="548" t="str">
        <f ca="1">IF(OR($C48="",$C48=0),"",INDEX(NVLSX!N$6:N$6941,MATCH($C48,NVLSX!$E$6:$E$6941,0)))</f>
        <v/>
      </c>
      <c r="R48" s="565">
        <f ca="1">IF($I$2=NVLSX!$F$6930,"",IF(TYPE(MATCH(LEFT($K$1,3) &amp; "00-" &amp; MID($K$1,SEARCH("-",$K$1,1)+1,LEN($K$1)-6) &amp;"-" &amp;IF($D$5="","",INDEX(DanhMuc!$B$168:$B$177,MATCH($D$5,DanhMuc!$C$168:$C$177,0))),OFFSET(NVLSX!$B$1556,R47,0):'NVLSX'!$B$4654,0)+R47)=16,"",MATCH(LEFT($K$1,3) &amp; "00-" &amp; MID($K$1,SEARCH("-",$K$1,1)+1,LEN($K$1)-6) &amp;"-" &amp;IF($D$5="","",INDEX(DanhMuc!$B$168:$B$177,MATCH($D$5,DanhMuc!$C$168:$C$177,0))),OFFSET(NVLSX!$B$1556,R47,0):'NVLSX'!$B$4654,0)+R47))</f>
        <v>7</v>
      </c>
      <c r="S48" s="566" t="str">
        <f ca="1">SUBSTITUTE(SUBSTITUTE(SUBSTITUTE(SUBSTITUTE(SUBSTITUTE(IF($R48="",0,INDEX(NVLSX!J$1556:J$4654,$R48)),$C$8,$D$8),$C$9,$D$9),$C$10,$D$10),$C$11,$D$11),$P$12,$Q$12)</f>
        <v/>
      </c>
      <c r="T48" s="551" t="str">
        <f ca="1">IF(OR($C48="",$C48=0),"", IF(OR(AND(OR($Q48=NVLSX!$N$4,$Q48=NVLSX!$N$6492),COUNTIFS($C$14:$C48,$C48,$F$14:$F48,$F48,$I$14:$I48,$I48)&lt;=1), COUNTIF($C$14:$C48,$C48) &lt;=1 ),$T$13, ""    ))</f>
        <v/>
      </c>
      <c r="U48" s="644">
        <f t="shared" ca="1" si="14"/>
        <v>0</v>
      </c>
      <c r="V48" s="567"/>
      <c r="W48" s="568" t="str">
        <f ca="1">IF($L48&lt;&gt;"",$L48,IF($R48="",0,SUBSTITUTE(SUBSTITUTE(IF(INDEX(NVLSX!$O$1556:$O$4654,$R48,0)="",INDEX(NVLSX!$I$1556:$I$4654,$R48,0),IF(OR(INDEX(NVLSX!$O$1556:$O$4654,$R48,0)=$H$4,INDEX(NVLSX!$O$1556:$O$4654,$R48,0)=$H$5,INDEX(NVLSX!$O$1556:$O$4654,$R48,0)=$H$6,INDEX(NVLSX!$O$1556:$O$4654,$R48,0)=$R$6,INDEX(NVLSX!$O$1556:$O$4654,$R48,0)=$R$3,INDEX(NVLSX!$O$1556:$O$4654,$R48,0)=$R$4,INDEX(NVLSX!$O$1556:$O$4654,$R48,0)=$R$5,INDEX(NVLSX!$O$1556:$O$4654,$R48,0)=$H$3,INDEX(NVLSX!$O$1556:$O$4654,$R48,0)=$R$2,INDEX(NVLSX!$O$1556:$O$4654,$R48,0)=$D$12),INDEX(NVLSX!$I$1556:$I$4654,$R48,0),0)),$C$10,$D$10),$C$8,$D$8  )))</f>
        <v>0</v>
      </c>
      <c r="X48" s="507"/>
      <c r="Y48" s="557"/>
      <c r="AA48" s="564"/>
      <c r="AB48" s="564"/>
      <c r="AC48" s="564"/>
      <c r="AD48" s="564"/>
      <c r="AE48" s="714">
        <f t="shared" ca="1" si="5"/>
        <v>0</v>
      </c>
      <c r="AF48" s="270"/>
      <c r="AG48" s="1168"/>
      <c r="AH48" s="1168"/>
      <c r="AI48" s="1168"/>
      <c r="AJ48" s="1168"/>
      <c r="AK48" s="1168"/>
      <c r="AL48" s="1168"/>
      <c r="AM48" s="1168"/>
      <c r="AN48" s="1168"/>
    </row>
    <row r="49" spans="1:40" s="143" customFormat="1">
      <c r="A49" s="1417"/>
      <c r="B49" s="149" t="str">
        <f ca="1">IF($C49&lt;&gt;"",1 + MAX($B$20:$B48),"" )</f>
        <v/>
      </c>
      <c r="C49" s="290" t="str">
        <f ca="1">IF($K49&lt;&gt;"",$K49,IF(OR($R49="",$G49=0),"",INDEX(NVLSX!E$1556:E$4654,$R49)))</f>
        <v/>
      </c>
      <c r="D49" s="245" t="str">
        <f ca="1">IF($C49="","",INDEX(NVLSX!$F$2:$F$6941,MATCH($C49,NVLSX!$E$2:$E$6941,0)))</f>
        <v/>
      </c>
      <c r="E49" s="246" t="str">
        <f ca="1">IF($C49="","",IF($R49="","",INDEX(NVLSX!G$1556:G$4654,$R49)))</f>
        <v/>
      </c>
      <c r="F49" s="248">
        <f ca="1">IF(OR($S49="",$G49=0),0,TinhCT)</f>
        <v>0</v>
      </c>
      <c r="G49" s="249">
        <f ca="1">TinhCTSL</f>
        <v>0</v>
      </c>
      <c r="H49" s="249">
        <f t="shared" ca="1" si="12"/>
        <v>0</v>
      </c>
      <c r="I49" s="248"/>
      <c r="J49" s="878">
        <f ca="1">IF($C49="",0,IFERROR(INDEX(NVLSX!$M$4:$M$6941,MATCH($C49,NVLSX!$E$4:$E$6941,0)),0) + IFERROR(IF($Q49=NVLSX!$N$4,INDEX(IF($R$1=DanhMuc!$C$179,DanhMuc!$C$180:$C$188,DanhMuc!$D$180:$D$188),MATCH($F$4,DanhMuc!$B$180:$B$188,0)),0),0))</f>
        <v>0</v>
      </c>
      <c r="K49" s="253"/>
      <c r="L49" s="251"/>
      <c r="M49" s="911">
        <f ca="1">IF($C49="",0,IF($K49&lt;&gt;"",IF(INDEX(NVLSX!$N$2:$N$6941,MATCH($C49,NVLSX!$E$2:$E$6941,0))=NVLSX!$N$4,ROUND(INDEX(NVLSX!$L$2:$L$6941,MATCH($C49,NVLSX!$E$2:$E$6941,0))/$N$12,2),   ROUND(INDEX(NVLSX!$L$2:$L$6941,MATCH($C49,NVLSX!$E$2:$E$6941,0)),2)), IF(INDEX(NVLSX!$N$1556:$N$4654,$R49)=NVLSX!$N$4,ROUND(INDEX(NVLSX!$L$1556:$L$4654,$R49)/$N$12,2),   ROUND(INDEX(NVLSX!$L$1556:$L$4654,$R49),2))))</f>
        <v>0</v>
      </c>
      <c r="N49" s="559">
        <f t="shared" ca="1" si="13"/>
        <v>0</v>
      </c>
      <c r="O49" s="559">
        <f t="shared" ca="1" si="13"/>
        <v>0</v>
      </c>
      <c r="P49" s="547" t="str">
        <f ca="1">IF(OR($C49="",$C49=0),"",IF(INDEX(NVLSX!$H$1556:$H$4654,$R49)&lt;&gt;"",INDEX(NVLSX!$H$1556:$H$4654,$R49),$F$5))</f>
        <v/>
      </c>
      <c r="Q49" s="548" t="str">
        <f ca="1">IF(OR($C49="",$C49=0),"",INDEX(NVLSX!N$6:N$6941,MATCH($C49,NVLSX!$E$6:$E$6941,0)))</f>
        <v/>
      </c>
      <c r="R49" s="565">
        <f ca="1">IF($I$2=NVLSX!$F$6930,"",IF(TYPE(MATCH(LEFT($K$1,3) &amp; "00-" &amp; MID($K$1,SEARCH("-",$K$1,1)+1,LEN($K$1)-6) &amp;"-" &amp;IF($D$5="","",INDEX(DanhMuc!$B$168:$B$177,MATCH($D$5,DanhMuc!$C$168:$C$177,0))),OFFSET(NVLSX!$B$1556,R48,0):'NVLSX'!$B$4654,0)+R48)=16,"",MATCH(LEFT($K$1,3) &amp; "00-" &amp; MID($K$1,SEARCH("-",$K$1,1)+1,LEN($K$1)-6) &amp;"-" &amp;IF($D$5="","",INDEX(DanhMuc!$B$168:$B$177,MATCH($D$5,DanhMuc!$C$168:$C$177,0))),OFFSET(NVLSX!$B$1556,R48,0):'NVLSX'!$B$4654,0)+R48))</f>
        <v>8</v>
      </c>
      <c r="S49" s="566" t="str">
        <f ca="1">SUBSTITUTE(SUBSTITUTE(SUBSTITUTE(SUBSTITUTE(SUBSTITUTE(IF($R49="",0,INDEX(NVLSX!J$1556:J$4654,$R49)),$C$8,$D$8),$C$9,$D$9),$C$10,$D$10),$C$11,$D$11),$P$12,$Q$12)</f>
        <v/>
      </c>
      <c r="T49" s="551" t="str">
        <f ca="1">IF(OR($C49="",$C49=0),"", IF(OR(AND(OR($Q49=NVLSX!$N$4,$Q49=NVLSX!$N$6492),COUNTIFS($C$14:$C49,$C49,$F$14:$F49,$F49,$I$14:$I49,$I49)&lt;=1), COUNTIF($C$14:$C49,$C49) &lt;=1 ),$T$13, ""    ))</f>
        <v/>
      </c>
      <c r="U49" s="644">
        <f t="shared" ca="1" si="14"/>
        <v>0</v>
      </c>
      <c r="V49" s="567"/>
      <c r="W49" s="568" t="str">
        <f ca="1">IF($L49&lt;&gt;"",$L49,IF($R49="",0,SUBSTITUTE(SUBSTITUTE(IF(INDEX(NVLSX!$O$1556:$O$4654,$R49,0)="",INDEX(NVLSX!$I$1556:$I$4654,$R49,0),IF(OR(INDEX(NVLSX!$O$1556:$O$4654,$R49,0)=$H$4,INDEX(NVLSX!$O$1556:$O$4654,$R49,0)=$H$5,INDEX(NVLSX!$O$1556:$O$4654,$R49,0)=$H$6,INDEX(NVLSX!$O$1556:$O$4654,$R49,0)=$R$6,INDEX(NVLSX!$O$1556:$O$4654,$R49,0)=$R$3,INDEX(NVLSX!$O$1556:$O$4654,$R49,0)=$R$4,INDEX(NVLSX!$O$1556:$O$4654,$R49,0)=$R$5,INDEX(NVLSX!$O$1556:$O$4654,$R49,0)=$H$3,INDEX(NVLSX!$O$1556:$O$4654,$R49,0)=$R$2,INDEX(NVLSX!$O$1556:$O$4654,$R49,0)=$D$12),INDEX(NVLSX!$I$1556:$I$4654,$R49,0),0)),$C$10,$D$10),$C$8,$D$8  )))</f>
        <v>0</v>
      </c>
      <c r="X49" s="507"/>
      <c r="Y49" s="557"/>
      <c r="AA49" s="564"/>
      <c r="AB49" s="564"/>
      <c r="AC49" s="564"/>
      <c r="AD49" s="564"/>
      <c r="AE49" s="714">
        <f t="shared" ca="1" si="5"/>
        <v>0</v>
      </c>
      <c r="AF49" s="270"/>
      <c r="AG49" s="1168"/>
      <c r="AH49" s="1168"/>
      <c r="AI49" s="1168"/>
      <c r="AJ49" s="1168"/>
      <c r="AK49" s="1168"/>
      <c r="AL49" s="1168"/>
      <c r="AM49" s="1168"/>
      <c r="AN49" s="1168"/>
    </row>
    <row r="50" spans="1:40" s="143" customFormat="1">
      <c r="A50" s="1417"/>
      <c r="B50" s="149">
        <f ca="1">IF($C50&lt;&gt;"",1 + MAX($B$20:$B49),"" )</f>
        <v>10</v>
      </c>
      <c r="C50" s="290" t="str">
        <f ca="1">IF($K50&lt;&gt;"",$K50,IF(OR($R50="",$G50=0),"",INDEX(NVLSX!E$1556:E$4654,$R50)))</f>
        <v>3085E</v>
      </c>
      <c r="D50" s="245" t="str">
        <f ca="1">IF($C50="","",INDEX(NVLSX!$F$2:$F$6941,MATCH($C50,NVLSX!$E$2:$E$6941,0)))</f>
        <v>Thân khoá đa điểm</v>
      </c>
      <c r="E50" s="246" t="str">
        <f ca="1">IF($C50="","",IF($R50="","",INDEX(NVLSX!G$1556:G$4654,$R50)))</f>
        <v>Cái</v>
      </c>
      <c r="F50" s="248">
        <f ca="1">IF(OR($S50="",$G50=0),0,TinhCT)</f>
        <v>0</v>
      </c>
      <c r="G50" s="249">
        <f ca="1">TinhCTSL</f>
        <v>1</v>
      </c>
      <c r="H50" s="249">
        <f t="shared" ca="1" si="12"/>
        <v>2</v>
      </c>
      <c r="I50" s="248"/>
      <c r="J50" s="878">
        <f ca="1">IF($C50="",0,IFERROR(INDEX(NVLSX!$M$4:$M$6941,MATCH($C50,NVLSX!$E$4:$E$6941,0)),0) + IFERROR(IF($Q50=NVLSX!$N$4,INDEX(IF($R$1=DanhMuc!$C$179,DanhMuc!$C$180:$C$188,DanhMuc!$D$180:$D$188),MATCH($F$4,DanhMuc!$B$180:$B$188,0)),0),0))</f>
        <v>0</v>
      </c>
      <c r="K50" s="253"/>
      <c r="L50" s="251"/>
      <c r="M50" s="911">
        <f ca="1">IF($C50="",0,IF($K50&lt;&gt;"",IF(INDEX(NVLSX!$N$2:$N$6941,MATCH($C50,NVLSX!$E$2:$E$6941,0))=NVLSX!$N$4,ROUND(INDEX(NVLSX!$L$2:$L$6941,MATCH($C50,NVLSX!$E$2:$E$6941,0))/$N$12,2),   ROUND(INDEX(NVLSX!$L$2:$L$6941,MATCH($C50,NVLSX!$E$2:$E$6941,0)),2)), IF(INDEX(NVLSX!$N$1556:$N$4654,$R50)=NVLSX!$N$4,ROUND(INDEX(NVLSX!$L$1556:$L$4654,$R50)/$N$12,2),   ROUND(INDEX(NVLSX!$L$1556:$L$4654,$R50),2))))</f>
        <v>185000</v>
      </c>
      <c r="N50" s="559">
        <f t="shared" ca="1" si="13"/>
        <v>370000</v>
      </c>
      <c r="O50" s="559">
        <f t="shared" ca="1" si="13"/>
        <v>370000</v>
      </c>
      <c r="P50" s="547" t="str">
        <f ca="1">IF(OR($C50="",$C50=0),"",IF(INDEX(NVLSX!$H$1556:$H$4654,$R50)&lt;&gt;"",INDEX(NVLSX!$H$1556:$H$4654,$R50),$F$5))</f>
        <v>T/C</v>
      </c>
      <c r="Q50" s="548" t="str">
        <f ca="1">IF(OR($C50="",$C50=0),"",INDEX(NVLSX!N$6:N$6941,MATCH($C50,NVLSX!$E$6:$E$6941,0)))</f>
        <v>PK</v>
      </c>
      <c r="R50" s="565">
        <f ca="1">IF($I$2=NVLSX!$F$6930,"",IF(TYPE(MATCH(LEFT($K$1,3) &amp; "00-" &amp; MID($K$1,SEARCH("-",$K$1,1)+1,LEN($K$1)-6) &amp;"-" &amp;IF($D$5="","",INDEX(DanhMuc!$B$168:$B$177,MATCH($D$5,DanhMuc!$C$168:$C$177,0))),OFFSET(NVLSX!$B$1556,R49,0):'NVLSX'!$B$4654,0)+R49)=16,"",MATCH(LEFT($K$1,3) &amp; "00-" &amp; MID($K$1,SEARCH("-",$K$1,1)+1,LEN($K$1)-6) &amp;"-" &amp;IF($D$5="","",INDEX(DanhMuc!$B$168:$B$177,MATCH($D$5,DanhMuc!$C$168:$C$177,0))),OFFSET(NVLSX!$B$1556,R49,0):'NVLSX'!$B$4654,0)+R49))</f>
        <v>9</v>
      </c>
      <c r="S50" s="566" t="str">
        <f ca="1">SUBSTITUTE(SUBSTITUTE(SUBSTITUTE(SUBSTITUTE(SUBSTITUTE(IF($R50="",0,INDEX(NVLSX!J$1556:J$4654,$R50)),$C$8,$D$8),$C$9,$D$9),$C$10,$D$10),$C$11,$D$11),$P$12,$Q$12)</f>
        <v/>
      </c>
      <c r="T50" s="551" t="str">
        <f ca="1">IF(OR($C50="",$C50=0),"", IF(OR(AND(OR($Q50=NVLSX!$N$4,$Q50=NVLSX!$N$6492),COUNTIFS($C$14:$C50,$C50,$F$14:$F50,$F50,$I$14:$I50,$I50)&lt;=1), COUNTIF($C$14:$C50,$C50) &lt;=1 ),$T$13, ""    ))</f>
        <v>TH</v>
      </c>
      <c r="U50" s="644">
        <f t="shared" ca="1" si="14"/>
        <v>0</v>
      </c>
      <c r="V50" s="567"/>
      <c r="W50" s="568" t="str">
        <f ca="1">IF($L50&lt;&gt;"",$L50,IF($R50="",0,SUBSTITUTE(SUBSTITUTE(IF(INDEX(NVLSX!$O$1556:$O$4654,$R50,0)="",INDEX(NVLSX!$I$1556:$I$4654,$R50,0),IF(OR(INDEX(NVLSX!$O$1556:$O$4654,$R50,0)=$H$4,INDEX(NVLSX!$O$1556:$O$4654,$R50,0)=$H$5,INDEX(NVLSX!$O$1556:$O$4654,$R50,0)=$H$6,INDEX(NVLSX!$O$1556:$O$4654,$R50,0)=$R$6,INDEX(NVLSX!$O$1556:$O$4654,$R50,0)=$R$3,INDEX(NVLSX!$O$1556:$O$4654,$R50,0)=$R$4,INDEX(NVLSX!$O$1556:$O$4654,$R50,0)=$R$5,INDEX(NVLSX!$O$1556:$O$4654,$R50,0)=$H$3,INDEX(NVLSX!$O$1556:$O$4654,$R50,0)=$R$2,INDEX(NVLSX!$O$1556:$O$4654,$R50,0)=$D$12),INDEX(NVLSX!$I$1556:$I$4654,$R50,0),0)),$C$10,$D$10),$C$8,$D$8  )))</f>
        <v>1</v>
      </c>
      <c r="X50" s="507"/>
      <c r="Y50" s="557"/>
      <c r="AA50" s="564"/>
      <c r="AB50" s="564"/>
      <c r="AC50" s="564"/>
      <c r="AD50" s="564"/>
      <c r="AE50" s="714">
        <f t="shared" ca="1" si="5"/>
        <v>555000</v>
      </c>
      <c r="AF50" s="270"/>
      <c r="AG50" s="1168"/>
      <c r="AH50" s="1168"/>
      <c r="AI50" s="1168"/>
      <c r="AJ50" s="1168"/>
      <c r="AK50" s="1168"/>
      <c r="AL50" s="1168"/>
      <c r="AM50" s="1168"/>
      <c r="AN50" s="1168"/>
    </row>
    <row r="51" spans="1:40" s="143" customFormat="1">
      <c r="A51" s="1417"/>
      <c r="B51" s="149">
        <f ca="1">IF($C51&lt;&gt;"",1 + MAX($B$20:$B50),"" )</f>
        <v>11</v>
      </c>
      <c r="C51" s="290" t="str">
        <f ca="1">IF($K51&lt;&gt;"",$K51,IF(OR($R51="",$G51=0),"",INDEX(NVLSX!E$1556:E$4654,$R51)))</f>
        <v>CL09-8</v>
      </c>
      <c r="D51" s="245" t="str">
        <f ca="1">IF($C51="","",INDEX(NVLSX!$F$2:$F$6941,MATCH($C51,NVLSX!$E$2:$E$6941,0)))</f>
        <v>Đầu khóa biên cao 8mm</v>
      </c>
      <c r="E51" s="246" t="str">
        <f ca="1">IF($C51="","",IF($R51="","",INDEX(NVLSX!G$1556:G$4654,$R51)))</f>
        <v>Cái</v>
      </c>
      <c r="F51" s="248">
        <f ca="1">IF(OR($S51="",$G51=0),0,TinhCT)</f>
        <v>0</v>
      </c>
      <c r="G51" s="249">
        <f ca="1">TinhCTSL</f>
        <v>2</v>
      </c>
      <c r="H51" s="249">
        <f t="shared" ca="1" si="12"/>
        <v>4</v>
      </c>
      <c r="I51" s="248"/>
      <c r="J51" s="878">
        <f ca="1">IF($C51="",0,IFERROR(INDEX(NVLSX!$M$4:$M$6941,MATCH($C51,NVLSX!$E$4:$E$6941,0)),0) + IFERROR(IF($Q51=NVLSX!$N$4,INDEX(IF($R$1=DanhMuc!$C$179,DanhMuc!$C$180:$C$188,DanhMuc!$D$180:$D$188),MATCH($F$4,DanhMuc!$B$180:$B$188,0)),0),0))</f>
        <v>0</v>
      </c>
      <c r="K51" s="253"/>
      <c r="L51" s="251"/>
      <c r="M51" s="911">
        <f ca="1">IF($C51="",0,IF($K51&lt;&gt;"",IF(INDEX(NVLSX!$N$2:$N$6941,MATCH($C51,NVLSX!$E$2:$E$6941,0))=NVLSX!$N$4,ROUND(INDEX(NVLSX!$L$2:$L$6941,MATCH($C51,NVLSX!$E$2:$E$6941,0))/$N$12,2),   ROUND(INDEX(NVLSX!$L$2:$L$6941,MATCH($C51,NVLSX!$E$2:$E$6941,0)),2)), IF(INDEX(NVLSX!$N$1556:$N$4654,$R51)=NVLSX!$N$4,ROUND(INDEX(NVLSX!$L$1556:$L$4654,$R51)/$N$12,2),   ROUND(INDEX(NVLSX!$L$1556:$L$4654,$R51),2))))</f>
        <v>17000</v>
      </c>
      <c r="N51" s="559">
        <f t="shared" ca="1" si="13"/>
        <v>68000</v>
      </c>
      <c r="O51" s="559">
        <f t="shared" ca="1" si="13"/>
        <v>68000</v>
      </c>
      <c r="P51" s="547" t="str">
        <f ca="1">IF(OR($C51="",$C51=0),"",IF(INDEX(NVLSX!$H$1556:$H$4654,$R51)&lt;&gt;"",INDEX(NVLSX!$H$1556:$H$4654,$R51),$F$5))</f>
        <v>T/C</v>
      </c>
      <c r="Q51" s="548" t="str">
        <f ca="1">IF(OR($C51="",$C51=0),"",INDEX(NVLSX!N$6:N$6941,MATCH($C51,NVLSX!$E$6:$E$6941,0)))</f>
        <v>PK</v>
      </c>
      <c r="R51" s="565">
        <f ca="1">IF($I$2=NVLSX!$F$6930,"",IF(TYPE(MATCH(LEFT($K$1,3) &amp; "00-" &amp; MID($K$1,SEARCH("-",$K$1,1)+1,LEN($K$1)-6) &amp;"-" &amp;IF($D$5="","",INDEX(DanhMuc!$B$168:$B$177,MATCH($D$5,DanhMuc!$C$168:$C$177,0))),OFFSET(NVLSX!$B$1556,R50,0):'NVLSX'!$B$4654,0)+R50)=16,"",MATCH(LEFT($K$1,3) &amp; "00-" &amp; MID($K$1,SEARCH("-",$K$1,1)+1,LEN($K$1)-6) &amp;"-" &amp;IF($D$5="","",INDEX(DanhMuc!$B$168:$B$177,MATCH($D$5,DanhMuc!$C$168:$C$177,0))),OFFSET(NVLSX!$B$1556,R50,0):'NVLSX'!$B$4654,0)+R50))</f>
        <v>10</v>
      </c>
      <c r="S51" s="566" t="str">
        <f ca="1">SUBSTITUTE(SUBSTITUTE(SUBSTITUTE(SUBSTITUTE(SUBSTITUTE(IF($R51="",0,INDEX(NVLSX!J$1556:J$4654,$R51)),$C$8,$D$8),$C$9,$D$9),$C$10,$D$10),$C$11,$D$11),$P$12,$Q$12)</f>
        <v/>
      </c>
      <c r="T51" s="551" t="str">
        <f ca="1">IF(OR($C51="",$C51=0),"", IF(OR(AND(OR($Q51=NVLSX!$N$4,$Q51=NVLSX!$N$6492),COUNTIFS($C$14:$C51,$C51,$F$14:$F51,$F51,$I$14:$I51,$I51)&lt;=1), COUNTIF($C$14:$C51,$C51) &lt;=1 ),$T$13, ""    ))</f>
        <v>TH</v>
      </c>
      <c r="U51" s="644">
        <f t="shared" ca="1" si="14"/>
        <v>0</v>
      </c>
      <c r="V51" s="564"/>
      <c r="W51" s="568" t="str">
        <f ca="1">IF($L51&lt;&gt;"",$L51,IF($R51="",0,SUBSTITUTE(SUBSTITUTE(IF(INDEX(NVLSX!$O$1556:$O$4654,$R51,0)="",INDEX(NVLSX!$I$1556:$I$4654,$R51,0),IF(OR(INDEX(NVLSX!$O$1556:$O$4654,$R51,0)=$H$4,INDEX(NVLSX!$O$1556:$O$4654,$R51,0)=$H$5,INDEX(NVLSX!$O$1556:$O$4654,$R51,0)=$H$6,INDEX(NVLSX!$O$1556:$O$4654,$R51,0)=$R$6,INDEX(NVLSX!$O$1556:$O$4654,$R51,0)=$R$3,INDEX(NVLSX!$O$1556:$O$4654,$R51,0)=$R$4,INDEX(NVLSX!$O$1556:$O$4654,$R51,0)=$R$5,INDEX(NVLSX!$O$1556:$O$4654,$R51,0)=$H$3,INDEX(NVLSX!$O$1556:$O$4654,$R51,0)=$R$2,INDEX(NVLSX!$O$1556:$O$4654,$R51,0)=$D$12),INDEX(NVLSX!$I$1556:$I$4654,$R51,0),0)),$C$10,$D$10),$C$8,$D$8  )))</f>
        <v>2</v>
      </c>
      <c r="X51" s="507"/>
      <c r="Y51" s="557"/>
      <c r="AA51" s="564"/>
      <c r="AB51" s="564"/>
      <c r="AC51" s="564"/>
      <c r="AD51" s="564"/>
      <c r="AE51" s="714">
        <f t="shared" ca="1" si="5"/>
        <v>102000</v>
      </c>
      <c r="AF51" s="270"/>
      <c r="AG51" s="1168"/>
      <c r="AH51" s="1168"/>
      <c r="AI51" s="1168"/>
      <c r="AJ51" s="1168"/>
      <c r="AK51" s="1168"/>
      <c r="AL51" s="1168"/>
      <c r="AM51" s="1168"/>
      <c r="AN51" s="1168"/>
    </row>
    <row r="52" spans="1:40" s="143" customFormat="1">
      <c r="A52" s="1417"/>
      <c r="B52" s="149">
        <f ca="1">IF($C52&lt;&gt;"",1 + MAX($B$20:$B51),"" )</f>
        <v>12</v>
      </c>
      <c r="C52" s="290" t="str">
        <f ca="1">IF($K52&lt;&gt;"",$K52,IF(OR($R52="",$G52=0),"",INDEX(NVLSX!E$1556:E$4654,$R52)))</f>
        <v>CKG23</v>
      </c>
      <c r="D52" s="245" t="str">
        <f ca="1">IF($C52="","",INDEX(NVLSX!$F$2:$F$6941,MATCH($C52,NVLSX!$E$2:$E$6941,0)))</f>
        <v>Vấu hãm cửa 1 cánh</v>
      </c>
      <c r="E52" s="246" t="str">
        <f ca="1">IF($C52="","",IF($R52="","",INDEX(NVLSX!G$1556:G$4654,$R52)))</f>
        <v>Cái</v>
      </c>
      <c r="F52" s="248">
        <f ca="1">IF(OR($S52="",$G52=0),0,TinhCT)</f>
        <v>0</v>
      </c>
      <c r="G52" s="249">
        <f ca="1">TinhCTSL</f>
        <v>2</v>
      </c>
      <c r="H52" s="249">
        <f t="shared" ca="1" si="12"/>
        <v>4</v>
      </c>
      <c r="I52" s="248"/>
      <c r="J52" s="878">
        <f ca="1">IF($C52="",0,IFERROR(INDEX(NVLSX!$M$4:$M$6941,MATCH($C52,NVLSX!$E$4:$E$6941,0)),0) + IFERROR(IF($Q52=NVLSX!$N$4,INDEX(IF($R$1=DanhMuc!$C$179,DanhMuc!$C$180:$C$188,DanhMuc!$D$180:$D$188),MATCH($F$4,DanhMuc!$B$180:$B$188,0)),0),0))</f>
        <v>0</v>
      </c>
      <c r="K52" s="253"/>
      <c r="L52" s="251"/>
      <c r="M52" s="911">
        <f ca="1">IF($C52="",0,IF($K52&lt;&gt;"",IF(INDEX(NVLSX!$N$2:$N$6941,MATCH($C52,NVLSX!$E$2:$E$6941,0))=NVLSX!$N$4,ROUND(INDEX(NVLSX!$L$2:$L$6941,MATCH($C52,NVLSX!$E$2:$E$6941,0))/$N$12,2),   ROUND(INDEX(NVLSX!$L$2:$L$6941,MATCH($C52,NVLSX!$E$2:$E$6941,0)),2)), IF(INDEX(NVLSX!$N$1556:$N$4654,$R52)=NVLSX!$N$4,ROUND(INDEX(NVLSX!$L$1556:$L$4654,$R52)/$N$12,2),   ROUND(INDEX(NVLSX!$L$1556:$L$4654,$R52),2))))</f>
        <v>6500</v>
      </c>
      <c r="N52" s="559">
        <f t="shared" ca="1" si="13"/>
        <v>26000</v>
      </c>
      <c r="O52" s="559">
        <f t="shared" ca="1" si="13"/>
        <v>26000</v>
      </c>
      <c r="P52" s="547" t="str">
        <f ca="1">IF(OR($C52="",$C52=0),"",IF(INDEX(NVLSX!$H$1556:$H$4654,$R52)&lt;&gt;"",INDEX(NVLSX!$H$1556:$H$4654,$R52),$F$5))</f>
        <v>T/C</v>
      </c>
      <c r="Q52" s="548" t="str">
        <f ca="1">IF(OR($C52="",$C52=0),"",INDEX(NVLSX!N$6:N$6941,MATCH($C52,NVLSX!$E$6:$E$6941,0)))</f>
        <v>PK</v>
      </c>
      <c r="R52" s="565">
        <f ca="1">IF($I$2=NVLSX!$F$6930,"",IF(TYPE(MATCH(LEFT($K$1,3) &amp; "00-" &amp; MID($K$1,SEARCH("-",$K$1,1)+1,LEN($K$1)-6) &amp;"-" &amp;IF($D$5="","",INDEX(DanhMuc!$B$168:$B$177,MATCH($D$5,DanhMuc!$C$168:$C$177,0))),OFFSET(NVLSX!$B$1556,R51,0):'NVLSX'!$B$4654,0)+R51)=16,"",MATCH(LEFT($K$1,3) &amp; "00-" &amp; MID($K$1,SEARCH("-",$K$1,1)+1,LEN($K$1)-6) &amp;"-" &amp;IF($D$5="","",INDEX(DanhMuc!$B$168:$B$177,MATCH($D$5,DanhMuc!$C$168:$C$177,0))),OFFSET(NVLSX!$B$1556,R51,0):'NVLSX'!$B$4654,0)+R51))</f>
        <v>11</v>
      </c>
      <c r="S52" s="566" t="str">
        <f ca="1">SUBSTITUTE(SUBSTITUTE(SUBSTITUTE(SUBSTITUTE(SUBSTITUTE(IF($R52="",0,INDEX(NVLSX!J$1556:J$4654,$R52)),$C$8,$D$8),$C$9,$D$9),$C$10,$D$10),$C$11,$D$11),$P$12,$Q$12)</f>
        <v/>
      </c>
      <c r="T52" s="551" t="str">
        <f ca="1">IF(OR($C52="",$C52=0),"", IF(OR(AND(OR($Q52=NVLSX!$N$4,$Q52=NVLSX!$N$6492),COUNTIFS($C$14:$C52,$C52,$F$14:$F52,$F52,$I$14:$I52,$I52)&lt;=1), COUNTIF($C$14:$C52,$C52) &lt;=1 ),$T$13, ""    ))</f>
        <v>TH</v>
      </c>
      <c r="U52" s="644">
        <f t="shared" ca="1" si="14"/>
        <v>0</v>
      </c>
      <c r="V52" s="564"/>
      <c r="W52" s="568" t="str">
        <f ca="1">IF($L52&lt;&gt;"",$L52,IF($R52="",0,SUBSTITUTE(SUBSTITUTE(IF(INDEX(NVLSX!$O$1556:$O$4654,$R52,0)="",INDEX(NVLSX!$I$1556:$I$4654,$R52,0),IF(OR(INDEX(NVLSX!$O$1556:$O$4654,$R52,0)=$H$4,INDEX(NVLSX!$O$1556:$O$4654,$R52,0)=$H$5,INDEX(NVLSX!$O$1556:$O$4654,$R52,0)=$H$6,INDEX(NVLSX!$O$1556:$O$4654,$R52,0)=$R$6,INDEX(NVLSX!$O$1556:$O$4654,$R52,0)=$R$3,INDEX(NVLSX!$O$1556:$O$4654,$R52,0)=$R$4,INDEX(NVLSX!$O$1556:$O$4654,$R52,0)=$R$5,INDEX(NVLSX!$O$1556:$O$4654,$R52,0)=$H$3,INDEX(NVLSX!$O$1556:$O$4654,$R52,0)=$R$2,INDEX(NVLSX!$O$1556:$O$4654,$R52,0)=$D$12),INDEX(NVLSX!$I$1556:$I$4654,$R52,0),0)),$C$10,$D$10),$C$8,$D$8  )))</f>
        <v>2</v>
      </c>
      <c r="X52" s="507"/>
      <c r="Y52" s="557"/>
      <c r="AA52" s="564"/>
      <c r="AB52" s="564"/>
      <c r="AC52" s="564"/>
      <c r="AD52" s="564"/>
      <c r="AE52" s="714">
        <f t="shared" ca="1" si="5"/>
        <v>39000</v>
      </c>
      <c r="AF52" s="270"/>
      <c r="AG52" s="1168"/>
      <c r="AH52" s="1168"/>
      <c r="AI52" s="1168"/>
      <c r="AJ52" s="1168"/>
      <c r="AK52" s="1168"/>
      <c r="AL52" s="1168"/>
      <c r="AM52" s="1168"/>
      <c r="AN52" s="1168"/>
    </row>
    <row r="53" spans="1:40" s="143" customFormat="1" ht="25">
      <c r="A53" s="1417"/>
      <c r="B53" s="149">
        <f ca="1">IF($C53&lt;&gt;"",1 + MAX($B$20:$B52),"" )</f>
        <v>13</v>
      </c>
      <c r="C53" s="290" t="str">
        <f ca="1">IF($K53&lt;&gt;"",$K53,IF(OR($R53="",$G53=0),"",INDEX(NVLSX!E$1556:E$4654,$R53)))</f>
        <v>C459</v>
      </c>
      <c r="D53" s="245" t="str">
        <f ca="1">IF($C53="","",INDEX(NVLSX!$F$2:$F$6941,MATCH($C53,NVLSX!$E$2:$E$6941,0)))</f>
        <v>Thanh truyền khóa cửa đi, cửa sổ hệ 55</v>
      </c>
      <c r="E53" s="246" t="str">
        <f ca="1">IF($C53="","",IF($R53="","",INDEX(NVLSX!G$1556:G$4654,$R53)))</f>
        <v>mm</v>
      </c>
      <c r="F53" s="248">
        <f ca="1">IF(OR($S53="",$G53=0),0,TinhCT)</f>
        <v>1972</v>
      </c>
      <c r="G53" s="249">
        <f ca="1">TinhCTSL</f>
        <v>1</v>
      </c>
      <c r="H53" s="249">
        <f t="shared" ca="1" si="12"/>
        <v>2</v>
      </c>
      <c r="I53" s="248"/>
      <c r="J53" s="878">
        <f ca="1">IF($C53="",0,IFERROR(INDEX(NVLSX!$M$4:$M$6941,MATCH($C53,NVLSX!$E$4:$E$6941,0)),0) + IFERROR(IF($Q53=NVLSX!$N$4,INDEX(IF($R$1=DanhMuc!$C$179,DanhMuc!$C$180:$C$188,DanhMuc!$D$180:$D$188),MATCH($F$4,DanhMuc!$B$180:$B$188,0)),0),0))</f>
        <v>0</v>
      </c>
      <c r="K53" s="253"/>
      <c r="L53" s="251"/>
      <c r="M53" s="911">
        <f ca="1">IF($C53="",0,IF($K53&lt;&gt;"",IF(INDEX(NVLSX!$N$2:$N$6941,MATCH($C53,NVLSX!$E$2:$E$6941,0))=NVLSX!$N$4,ROUND(INDEX(NVLSX!$L$2:$L$6941,MATCH($C53,NVLSX!$E$2:$E$6941,0))/$N$12,2),   ROUND(INDEX(NVLSX!$L$2:$L$6941,MATCH($C53,NVLSX!$E$2:$E$6941,0)),2)), IF(INDEX(NVLSX!$N$1556:$N$4654,$R53)=NVLSX!$N$4,ROUND(INDEX(NVLSX!$L$1556:$L$4654,$R53)/$N$12,2),   ROUND(INDEX(NVLSX!$L$1556:$L$4654,$R53),2))))</f>
        <v>14.85</v>
      </c>
      <c r="N53" s="559">
        <f t="shared" ca="1" si="13"/>
        <v>58568</v>
      </c>
      <c r="O53" s="559">
        <f t="shared" ca="1" si="13"/>
        <v>58568</v>
      </c>
      <c r="P53" s="547" t="str">
        <f ca="1">IF(OR($C53="",$C53=0),"",IF(INDEX(NVLSX!$H$1556:$H$4654,$R53)&lt;&gt;"",INDEX(NVLSX!$H$1556:$H$4654,$R53),$F$5))</f>
        <v>T/C</v>
      </c>
      <c r="Q53" s="548" t="str">
        <f ca="1">IF(OR($C53="",$C53=0),"",INDEX(NVLSX!N$6:N$6941,MATCH($C53,NVLSX!$E$6:$E$6941,0)))</f>
        <v>PR</v>
      </c>
      <c r="R53" s="565">
        <f ca="1">IF($I$2=NVLSX!$F$6930,"",IF(TYPE(MATCH(LEFT($K$1,3) &amp; "00-" &amp; MID($K$1,SEARCH("-",$K$1,1)+1,LEN($K$1)-6) &amp;"-" &amp;IF($D$5="","",INDEX(DanhMuc!$B$168:$B$177,MATCH($D$5,DanhMuc!$C$168:$C$177,0))),OFFSET(NVLSX!$B$1556,R52,0):'NVLSX'!$B$4654,0)+R52)=16,"",MATCH(LEFT($K$1,3) &amp; "00-" &amp; MID($K$1,SEARCH("-",$K$1,1)+1,LEN($K$1)-6) &amp;"-" &amp;IF($D$5="","",INDEX(DanhMuc!$B$168:$B$177,MATCH($D$5,DanhMuc!$C$168:$C$177,0))),OFFSET(NVLSX!$B$1556,R52,0):'NVLSX'!$B$4654,0)+R52))</f>
        <v>12</v>
      </c>
      <c r="S53" s="566" t="str">
        <f ca="1">SUBSTITUTE(SUBSTITUTE(SUBSTITUTE(SUBSTITUTE(SUBSTITUTE(IF($R53="",0,INDEX(NVLSX!J$1556:J$4654,$R53)),$C$8,$D$8),$C$9,$D$9),$C$10,$D$10),$C$11,$D$11),$P$12,$Q$12)</f>
        <v>2200-114*2</v>
      </c>
      <c r="T53" s="551" t="str">
        <f ca="1">IF(OR($C53="",$C53=0),"", IF(OR(AND(OR($Q53=NVLSX!$N$4,$Q53=NVLSX!$N$6492),COUNTIFS($C$14:$C53,$C53,$F$14:$F53,$F53,$I$14:$I53,$I53)&lt;=1), COUNTIF($C$14:$C53,$C53) &lt;=1 ),$T$13, ""    ))</f>
        <v>TH</v>
      </c>
      <c r="U53" s="644">
        <f t="shared" ca="1" si="14"/>
        <v>0</v>
      </c>
      <c r="V53" s="564"/>
      <c r="W53" s="568" t="str">
        <f ca="1">IF($L53&lt;&gt;"",$L53,IF($R53="",0,SUBSTITUTE(SUBSTITUTE(IF(INDEX(NVLSX!$O$1556:$O$4654,$R53,0)="",INDEX(NVLSX!$I$1556:$I$4654,$R53,0),IF(OR(INDEX(NVLSX!$O$1556:$O$4654,$R53,0)=$H$4,INDEX(NVLSX!$O$1556:$O$4654,$R53,0)=$H$5,INDEX(NVLSX!$O$1556:$O$4654,$R53,0)=$H$6,INDEX(NVLSX!$O$1556:$O$4654,$R53,0)=$R$6,INDEX(NVLSX!$O$1556:$O$4654,$R53,0)=$R$3,INDEX(NVLSX!$O$1556:$O$4654,$R53,0)=$R$4,INDEX(NVLSX!$O$1556:$O$4654,$R53,0)=$R$5,INDEX(NVLSX!$O$1556:$O$4654,$R53,0)=$H$3,INDEX(NVLSX!$O$1556:$O$4654,$R53,0)=$R$2,INDEX(NVLSX!$O$1556:$O$4654,$R53,0)=$D$12),INDEX(NVLSX!$I$1556:$I$4654,$R53,0),0)),$C$10,$D$10),$C$8,$D$8  )))</f>
        <v>1</v>
      </c>
      <c r="X53" s="507"/>
      <c r="Y53" s="557"/>
      <c r="AA53" s="564"/>
      <c r="AB53" s="564"/>
      <c r="AC53" s="564"/>
      <c r="AD53" s="564"/>
      <c r="AE53" s="714">
        <f t="shared" ca="1" si="5"/>
        <v>82000</v>
      </c>
      <c r="AF53" s="270"/>
      <c r="AG53" s="1168"/>
      <c r="AH53" s="1168"/>
      <c r="AI53" s="1168"/>
      <c r="AJ53" s="1168"/>
      <c r="AK53" s="1168"/>
      <c r="AL53" s="1168"/>
      <c r="AM53" s="1168"/>
      <c r="AN53" s="1168"/>
    </row>
    <row r="54" spans="1:40" s="143" customFormat="1" ht="25">
      <c r="A54" s="1417"/>
      <c r="B54" s="149">
        <f ca="1">IF($C54&lt;&gt;"",1 + MAX($B$20:$B53),"" )</f>
        <v>14</v>
      </c>
      <c r="C54" s="290" t="str">
        <f ca="1">IF($K54&lt;&gt;"",$K54,IF(OR($R54="",$G54=0),"",INDEX(NVLSX!E$1556:E$4654,$R54)))</f>
        <v>CZMK01</v>
      </c>
      <c r="D54" s="245" t="str">
        <f ca="1">IF($C54="","",INDEX(NVLSX!$F$2:$F$6941,MATCH($C54,NVLSX!$E$2:$E$6941,0)))</f>
        <v>Miệng khoá cửa đi 1 cánh</v>
      </c>
      <c r="E54" s="246" t="str">
        <f ca="1">IF($C54="","",IF($R54="","",INDEX(NVLSX!G$1556:G$4654,$R54)))</f>
        <v>Cái</v>
      </c>
      <c r="F54" s="248">
        <f ca="1">IF(OR($S54="",$G54=0),0,TinhCT)</f>
        <v>0</v>
      </c>
      <c r="G54" s="249">
        <f ca="1">TinhCTSL</f>
        <v>1</v>
      </c>
      <c r="H54" s="249">
        <f t="shared" ca="1" si="12"/>
        <v>2</v>
      </c>
      <c r="I54" s="248"/>
      <c r="J54" s="878">
        <f ca="1">IF($C54="",0,IFERROR(INDEX(NVLSX!$M$4:$M$6941,MATCH($C54,NVLSX!$E$4:$E$6941,0)),0) + IFERROR(IF($Q54=NVLSX!$N$4,INDEX(IF($R$1=DanhMuc!$C$179,DanhMuc!$C$180:$C$188,DanhMuc!$D$180:$D$188),MATCH($F$4,DanhMuc!$B$180:$B$188,0)),0),0))</f>
        <v>0</v>
      </c>
      <c r="K54" s="253"/>
      <c r="L54" s="251"/>
      <c r="M54" s="911">
        <f ca="1">IF($C54="",0,IF($K54&lt;&gt;"",IF(INDEX(NVLSX!$N$2:$N$6941,MATCH($C54,NVLSX!$E$2:$E$6941,0))=NVLSX!$N$4,ROUND(INDEX(NVLSX!$L$2:$L$6941,MATCH($C54,NVLSX!$E$2:$E$6941,0))/$N$12,2),   ROUND(INDEX(NVLSX!$L$2:$L$6941,MATCH($C54,NVLSX!$E$2:$E$6941,0)),2)), IF(INDEX(NVLSX!$N$1556:$N$4654,$R54)=NVLSX!$N$4,ROUND(INDEX(NVLSX!$L$1556:$L$4654,$R54)/$N$12,2),   ROUND(INDEX(NVLSX!$L$1556:$L$4654,$R54),2))))</f>
        <v>26000</v>
      </c>
      <c r="N54" s="559">
        <f t="shared" ca="1" si="13"/>
        <v>52000</v>
      </c>
      <c r="O54" s="559">
        <f t="shared" ca="1" si="13"/>
        <v>52000</v>
      </c>
      <c r="P54" s="547" t="str">
        <f ca="1">IF(OR($C54="",$C54=0),"",IF(INDEX(NVLSX!$H$1556:$H$4654,$R54)&lt;&gt;"",INDEX(NVLSX!$H$1556:$H$4654,$R54),$F$5))</f>
        <v>T/C</v>
      </c>
      <c r="Q54" s="548" t="str">
        <f ca="1">IF(OR($C54="",$C54=0),"",INDEX(NVLSX!N$6:N$6941,MATCH($C54,NVLSX!$E$6:$E$6941,0)))</f>
        <v>PK</v>
      </c>
      <c r="R54" s="565">
        <f ca="1">IF($I$2=NVLSX!$F$6930,"",IF(TYPE(MATCH(LEFT($K$1,3) &amp; "00-" &amp; MID($K$1,SEARCH("-",$K$1,1)+1,LEN($K$1)-6) &amp;"-" &amp;IF($D$5="","",INDEX(DanhMuc!$B$168:$B$177,MATCH($D$5,DanhMuc!$C$168:$C$177,0))),OFFSET(NVLSX!$B$1556,R53,0):'NVLSX'!$B$4654,0)+R53)=16,"",MATCH(LEFT($K$1,3) &amp; "00-" &amp; MID($K$1,SEARCH("-",$K$1,1)+1,LEN($K$1)-6) &amp;"-" &amp;IF($D$5="","",INDEX(DanhMuc!$B$168:$B$177,MATCH($D$5,DanhMuc!$C$168:$C$177,0))),OFFSET(NVLSX!$B$1556,R53,0):'NVLSX'!$B$4654,0)+R53))</f>
        <v>13</v>
      </c>
      <c r="S54" s="566" t="str">
        <f ca="1">SUBSTITUTE(SUBSTITUTE(SUBSTITUTE(SUBSTITUTE(SUBSTITUTE(IF($R54="",0,INDEX(NVLSX!J$1556:J$4654,$R54)),$C$8,$D$8),$C$9,$D$9),$C$10,$D$10),$C$11,$D$11),$P$12,$Q$12)</f>
        <v/>
      </c>
      <c r="T54" s="551" t="str">
        <f ca="1">IF(OR($C54="",$C54=0),"", IF(OR(AND(OR($Q54=NVLSX!$N$4,$Q54=NVLSX!$N$6492),COUNTIFS($C$14:$C54,$C54,$F$14:$F54,$F54,$I$14:$I54,$I54)&lt;=1), COUNTIF($C$14:$C54,$C54) &lt;=1 ),$T$13, ""    ))</f>
        <v>TH</v>
      </c>
      <c r="U54" s="644">
        <f t="shared" ca="1" si="14"/>
        <v>0</v>
      </c>
      <c r="V54" s="564"/>
      <c r="W54" s="568" t="str">
        <f ca="1">IF($L54&lt;&gt;"",$L54,IF($R54="",0,SUBSTITUTE(SUBSTITUTE(IF(INDEX(NVLSX!$O$1556:$O$4654,$R54,0)="",INDEX(NVLSX!$I$1556:$I$4654,$R54,0),IF(OR(INDEX(NVLSX!$O$1556:$O$4654,$R54,0)=$H$4,INDEX(NVLSX!$O$1556:$O$4654,$R54,0)=$H$5,INDEX(NVLSX!$O$1556:$O$4654,$R54,0)=$H$6,INDEX(NVLSX!$O$1556:$O$4654,$R54,0)=$R$6,INDEX(NVLSX!$O$1556:$O$4654,$R54,0)=$R$3,INDEX(NVLSX!$O$1556:$O$4654,$R54,0)=$R$4,INDEX(NVLSX!$O$1556:$O$4654,$R54,0)=$R$5,INDEX(NVLSX!$O$1556:$O$4654,$R54,0)=$H$3,INDEX(NVLSX!$O$1556:$O$4654,$R54,0)=$R$2,INDEX(NVLSX!$O$1556:$O$4654,$R54,0)=$D$12),INDEX(NVLSX!$I$1556:$I$4654,$R54,0),0)),$C$10,$D$10),$C$8,$D$8  )))</f>
        <v>1</v>
      </c>
      <c r="X54" s="507"/>
      <c r="Y54" s="557"/>
      <c r="AA54" s="564"/>
      <c r="AB54" s="564"/>
      <c r="AC54" s="564"/>
      <c r="AD54" s="564"/>
      <c r="AE54" s="714">
        <f t="shared" ca="1" si="5"/>
        <v>78000</v>
      </c>
      <c r="AF54" s="270"/>
      <c r="AG54" s="1168"/>
      <c r="AH54" s="1168"/>
      <c r="AI54" s="1168"/>
      <c r="AJ54" s="1168"/>
      <c r="AK54" s="1168"/>
      <c r="AL54" s="1168"/>
      <c r="AM54" s="1168"/>
      <c r="AN54" s="1168"/>
    </row>
    <row r="55" spans="1:40" s="143" customFormat="1">
      <c r="A55" s="1417"/>
      <c r="B55" s="149" t="str">
        <f ca="1">IF($C55&lt;&gt;"",1 + MAX($B$20:$B54),"" )</f>
        <v/>
      </c>
      <c r="C55" s="290" t="str">
        <f ca="1">IF($K55&lt;&gt;"",$K55,IF(OR($R55="",$G55=0),"",INDEX(NVLSX!E$1556:E$4654,$R55)))</f>
        <v/>
      </c>
      <c r="D55" s="245" t="str">
        <f ca="1">IF($C55="","",INDEX(NVLSX!$F$2:$F$6941,MATCH($C55,NVLSX!$E$2:$E$6941,0)))</f>
        <v/>
      </c>
      <c r="E55" s="246" t="str">
        <f ca="1">IF($C55="","",IF($R55="","",INDEX(NVLSX!G$1556:G$4654,$R55)))</f>
        <v/>
      </c>
      <c r="F55" s="248">
        <f ca="1">IF(OR($S55="",$G55=0),0,TinhCT)</f>
        <v>0</v>
      </c>
      <c r="G55" s="249">
        <f ca="1">TinhCTSL</f>
        <v>0</v>
      </c>
      <c r="H55" s="249">
        <f t="shared" ca="1" si="12"/>
        <v>0</v>
      </c>
      <c r="I55" s="248"/>
      <c r="J55" s="878">
        <f ca="1">IF($C55="",0,IFERROR(INDEX(NVLSX!$M$4:$M$6941,MATCH($C55,NVLSX!$E$4:$E$6941,0)),0) + IFERROR(IF($Q55=NVLSX!$N$4,INDEX(IF($R$1=DanhMuc!$C$179,DanhMuc!$C$180:$C$188,DanhMuc!$D$180:$D$188),MATCH($F$4,DanhMuc!$B$180:$B$188,0)),0),0))</f>
        <v>0</v>
      </c>
      <c r="K55" s="253"/>
      <c r="L55" s="251"/>
      <c r="M55" s="911">
        <f ca="1">IF($C55="",0,IF($K55&lt;&gt;"",IF(INDEX(NVLSX!$N$2:$N$6941,MATCH($C55,NVLSX!$E$2:$E$6941,0))=NVLSX!$N$4,ROUND(INDEX(NVLSX!$L$2:$L$6941,MATCH($C55,NVLSX!$E$2:$E$6941,0))/$N$12,2),   ROUND(INDEX(NVLSX!$L$2:$L$6941,MATCH($C55,NVLSX!$E$2:$E$6941,0)),2)), IF(INDEX(NVLSX!$N$1556:$N$4654,$R55)=NVLSX!$N$4,ROUND(INDEX(NVLSX!$L$1556:$L$4654,$R55)/$N$12,2),   ROUND(INDEX(NVLSX!$L$1556:$L$4654,$R55),2))))</f>
        <v>0</v>
      </c>
      <c r="N55" s="559">
        <f t="shared" ca="1" si="13"/>
        <v>0</v>
      </c>
      <c r="O55" s="559">
        <f t="shared" ca="1" si="13"/>
        <v>0</v>
      </c>
      <c r="P55" s="547" t="str">
        <f ca="1">IF(OR($C55="",$C55=0),"",IF(INDEX(NVLSX!$H$1556:$H$4654,$R55)&lt;&gt;"",INDEX(NVLSX!$H$1556:$H$4654,$R55),$F$5))</f>
        <v/>
      </c>
      <c r="Q55" s="548" t="str">
        <f ca="1">IF(OR($C55="",$C55=0),"",INDEX(NVLSX!N$6:N$6941,MATCH($C55,NVLSX!$E$6:$E$6941,0)))</f>
        <v/>
      </c>
      <c r="R55" s="565">
        <f ca="1">IF($I$2=NVLSX!$F$6930,"",IF(TYPE(MATCH(LEFT($K$1,3) &amp; "00-" &amp; MID($K$1,SEARCH("-",$K$1,1)+1,LEN($K$1)-6) &amp;"-" &amp;IF($D$5="","",INDEX(DanhMuc!$B$168:$B$177,MATCH($D$5,DanhMuc!$C$168:$C$177,0))),OFFSET(NVLSX!$B$1556,R54,0):'NVLSX'!$B$4654,0)+R54)=16,"",MATCH(LEFT($K$1,3) &amp; "00-" &amp; MID($K$1,SEARCH("-",$K$1,1)+1,LEN($K$1)-6) &amp;"-" &amp;IF($D$5="","",INDEX(DanhMuc!$B$168:$B$177,MATCH($D$5,DanhMuc!$C$168:$C$177,0))),OFFSET(NVLSX!$B$1556,R54,0):'NVLSX'!$B$4654,0)+R54))</f>
        <v>14</v>
      </c>
      <c r="S55" s="566" t="str">
        <f ca="1">SUBSTITUTE(SUBSTITUTE(SUBSTITUTE(SUBSTITUTE(SUBSTITUTE(IF($R55="",0,INDEX(NVLSX!J$1556:J$4654,$R55)),$C$8,$D$8),$C$9,$D$9),$C$10,$D$10),$C$11,$D$11),$P$12,$Q$12)</f>
        <v/>
      </c>
      <c r="T55" s="551" t="str">
        <f ca="1">IF(OR($C55="",$C55=0),"", IF(OR(AND(OR($Q55=NVLSX!$N$4,$Q55=NVLSX!$N$6492),COUNTIFS($C$14:$C55,$C55,$F$14:$F55,$F55,$I$14:$I55,$I55)&lt;=1), COUNTIF($C$14:$C55,$C55) &lt;=1 ),$T$13, ""    ))</f>
        <v/>
      </c>
      <c r="U55" s="644">
        <f t="shared" ca="1" si="14"/>
        <v>0</v>
      </c>
      <c r="V55" s="564"/>
      <c r="W55" s="568" t="str">
        <f ca="1">IF($L55&lt;&gt;"",$L55,IF($R55="",0,SUBSTITUTE(SUBSTITUTE(IF(INDEX(NVLSX!$O$1556:$O$4654,$R55,0)="",INDEX(NVLSX!$I$1556:$I$4654,$R55,0),IF(OR(INDEX(NVLSX!$O$1556:$O$4654,$R55,0)=$H$4,INDEX(NVLSX!$O$1556:$O$4654,$R55,0)=$H$5,INDEX(NVLSX!$O$1556:$O$4654,$R55,0)=$H$6,INDEX(NVLSX!$O$1556:$O$4654,$R55,0)=$R$6,INDEX(NVLSX!$O$1556:$O$4654,$R55,0)=$R$3,INDEX(NVLSX!$O$1556:$O$4654,$R55,0)=$R$4,INDEX(NVLSX!$O$1556:$O$4654,$R55,0)=$R$5,INDEX(NVLSX!$O$1556:$O$4654,$R55,0)=$H$3,INDEX(NVLSX!$O$1556:$O$4654,$R55,0)=$R$2,INDEX(NVLSX!$O$1556:$O$4654,$R55,0)=$D$12),INDEX(NVLSX!$I$1556:$I$4654,$R55,0),0)),$C$10,$D$10),$C$8,$D$8  )))</f>
        <v>0</v>
      </c>
      <c r="X55" s="507"/>
      <c r="Y55" s="557"/>
      <c r="AA55" s="564"/>
      <c r="AB55" s="564"/>
      <c r="AC55" s="564"/>
      <c r="AD55" s="564"/>
      <c r="AE55" s="714">
        <f t="shared" ca="1" si="5"/>
        <v>0</v>
      </c>
      <c r="AF55" s="270"/>
      <c r="AG55" s="1168"/>
      <c r="AH55" s="1168"/>
      <c r="AI55" s="1168"/>
      <c r="AJ55" s="1168"/>
      <c r="AK55" s="1168"/>
      <c r="AL55" s="1168"/>
      <c r="AM55" s="1168"/>
      <c r="AN55" s="1168"/>
    </row>
    <row r="56" spans="1:40" s="143" customFormat="1" ht="25">
      <c r="A56" s="1417"/>
      <c r="B56" s="149">
        <f ca="1">IF($C56&lt;&gt;"",1 + MAX($B$20:$B55),"" )</f>
        <v>15</v>
      </c>
      <c r="C56" s="290" t="str">
        <f ca="1">IF($K56&lt;&gt;"",$K56,IF(OR($R56="",$G56=0),"",INDEX(NVLSX!E$1556:E$4654,$R56)))</f>
        <v>JX112-R</v>
      </c>
      <c r="D56" s="245" t="str">
        <f ca="1">IF($C56="","",INDEX(NVLSX!$F$2:$F$6941,MATCH($C56,NVLSX!$E$2:$E$6941,0)))</f>
        <v>Hinge/Bản lề khung cánh hệ 55 có chân (3D) - PHẢI</v>
      </c>
      <c r="E56" s="246" t="str">
        <f ca="1">IF($C56="","",IF($R56="","",INDEX(NVLSX!G$1556:G$4654,$R56)))</f>
        <v>Cái</v>
      </c>
      <c r="F56" s="248">
        <f ca="1">IF(OR($S56="",$G56=0),0,TinhCT)</f>
        <v>0</v>
      </c>
      <c r="G56" s="249">
        <f ca="1">TinhCTSL</f>
        <v>3</v>
      </c>
      <c r="H56" s="249">
        <f t="shared" ca="1" si="12"/>
        <v>6</v>
      </c>
      <c r="I56" s="248"/>
      <c r="J56" s="878">
        <f ca="1">IF($C56="",0,IFERROR(INDEX(NVLSX!$M$4:$M$6941,MATCH($C56,NVLSX!$E$4:$E$6941,0)),0) + IFERROR(IF($Q56=NVLSX!$N$4,INDEX(IF($R$1=DanhMuc!$C$179,DanhMuc!$C$180:$C$188,DanhMuc!$D$180:$D$188),MATCH($F$4,DanhMuc!$B$180:$B$188,0)),0),0))</f>
        <v>0</v>
      </c>
      <c r="K56" s="253"/>
      <c r="L56" s="251"/>
      <c r="M56" s="911">
        <f ca="1">IF($C56="",0,IF($K56&lt;&gt;"",IF(INDEX(NVLSX!$N$2:$N$6941,MATCH($C56,NVLSX!$E$2:$E$6941,0))=NVLSX!$N$4,ROUND(INDEX(NVLSX!$L$2:$L$6941,MATCH($C56,NVLSX!$E$2:$E$6941,0))/$N$12,2),   ROUND(INDEX(NVLSX!$L$2:$L$6941,MATCH($C56,NVLSX!$E$2:$E$6941,0)),2)), IF(INDEX(NVLSX!$N$1556:$N$4654,$R56)=NVLSX!$N$4,ROUND(INDEX(NVLSX!$L$1556:$L$4654,$R56)/$N$12,2),   ROUND(INDEX(NVLSX!$L$1556:$L$4654,$R56),2))))</f>
        <v>155000</v>
      </c>
      <c r="N56" s="559">
        <f t="shared" ca="1" si="13"/>
        <v>930000</v>
      </c>
      <c r="O56" s="559">
        <f t="shared" ca="1" si="13"/>
        <v>930000</v>
      </c>
      <c r="P56" s="547" t="str">
        <f ca="1">IF(OR($C56="",$C56=0),"",IF(INDEX(NVLSX!$H$1556:$H$4654,$R56)&lt;&gt;"",INDEX(NVLSX!$H$1556:$H$4654,$R56),$F$5))</f>
        <v>Xám ghi</v>
      </c>
      <c r="Q56" s="548" t="str">
        <f ca="1">IF(OR($C56="",$C56=0),"",INDEX(NVLSX!N$6:N$6941,MATCH($C56,NVLSX!$E$6:$E$6941,0)))</f>
        <v>PK</v>
      </c>
      <c r="R56" s="565">
        <f ca="1">IF($I$2=NVLSX!$F$6930,"",IF(TYPE(MATCH(LEFT($K$1,3) &amp; "00-" &amp; MID($K$1,SEARCH("-",$K$1,1)+1,LEN($K$1)-6) &amp;"-" &amp;IF($D$5="","",INDEX(DanhMuc!$B$168:$B$177,MATCH($D$5,DanhMuc!$C$168:$C$177,0))),OFFSET(NVLSX!$B$1556,R55,0):'NVLSX'!$B$4654,0)+R55)=16,"",MATCH(LEFT($K$1,3) &amp; "00-" &amp; MID($K$1,SEARCH("-",$K$1,1)+1,LEN($K$1)-6) &amp;"-" &amp;IF($D$5="","",INDEX(DanhMuc!$B$168:$B$177,MATCH($D$5,DanhMuc!$C$168:$C$177,0))),OFFSET(NVLSX!$B$1556,R55,0):'NVLSX'!$B$4654,0)+R55))</f>
        <v>15</v>
      </c>
      <c r="S56" s="566" t="str">
        <f ca="1">SUBSTITUTE(SUBSTITUTE(SUBSTITUTE(SUBSTITUTE(SUBSTITUTE(IF($R56="",0,INDEX(NVLSX!J$1556:J$4654,$R56)),$C$8,$D$8),$C$9,$D$9),$C$10,$D$10),$C$11,$D$11),$P$12,$Q$12)</f>
        <v/>
      </c>
      <c r="T56" s="551" t="str">
        <f ca="1">IF(OR($C56="",$C56=0),"", IF(OR(AND(OR($Q56=NVLSX!$N$4,$Q56=NVLSX!$N$6492),COUNTIFS($C$14:$C56,$C56,$F$14:$F56,$F56,$I$14:$I56,$I56)&lt;=1), COUNTIF($C$14:$C56,$C56) &lt;=1 ),$T$13, ""    ))</f>
        <v>TH</v>
      </c>
      <c r="U56" s="644">
        <f t="shared" ca="1" si="14"/>
        <v>3</v>
      </c>
      <c r="V56" s="564"/>
      <c r="W56" s="568" t="str">
        <f ca="1">IF($L56&lt;&gt;"",$L56,IF($R56="",0,SUBSTITUTE(SUBSTITUTE(IF(INDEX(NVLSX!$O$1556:$O$4654,$R56,0)="",INDEX(NVLSX!$I$1556:$I$4654,$R56,0),IF(OR(INDEX(NVLSX!$O$1556:$O$4654,$R56,0)=$H$4,INDEX(NVLSX!$O$1556:$O$4654,$R56,0)=$H$5,INDEX(NVLSX!$O$1556:$O$4654,$R56,0)=$H$6,INDEX(NVLSX!$O$1556:$O$4654,$R56,0)=$R$6,INDEX(NVLSX!$O$1556:$O$4654,$R56,0)=$R$3,INDEX(NVLSX!$O$1556:$O$4654,$R56,0)=$R$4,INDEX(NVLSX!$O$1556:$O$4654,$R56,0)=$R$5,INDEX(NVLSX!$O$1556:$O$4654,$R56,0)=$H$3,INDEX(NVLSX!$O$1556:$O$4654,$R56,0)=$R$2,INDEX(NVLSX!$O$1556:$O$4654,$R56,0)=$D$12),INDEX(NVLSX!$I$1556:$I$4654,$R56,0),0)),$C$10,$D$10),$C$8,$D$8  )))</f>
        <v>3</v>
      </c>
      <c r="X56" s="507"/>
      <c r="Y56" s="557"/>
      <c r="AA56" s="564"/>
      <c r="AB56" s="564"/>
      <c r="AC56" s="564"/>
      <c r="AD56" s="564"/>
      <c r="AE56" s="714">
        <f t="shared" ca="1" si="5"/>
        <v>1395000</v>
      </c>
      <c r="AF56" s="270"/>
      <c r="AG56" s="1168"/>
      <c r="AH56" s="1168"/>
      <c r="AI56" s="1168"/>
      <c r="AJ56" s="1168"/>
      <c r="AK56" s="1168"/>
      <c r="AL56" s="1168"/>
      <c r="AM56" s="1168"/>
      <c r="AN56" s="1168"/>
    </row>
    <row r="57" spans="1:40" s="143" customFormat="1">
      <c r="A57" s="1417"/>
      <c r="B57" s="149" t="str">
        <f ca="1">IF($C57&lt;&gt;"",1 + MAX($B$20:$B56),"" )</f>
        <v/>
      </c>
      <c r="C57" s="290" t="str">
        <f ca="1">IF($K57&lt;&gt;"",$K57,IF(OR($R57="",$G57=0),"",INDEX(NVLSX!E$1556:E$4654,$R57)))</f>
        <v/>
      </c>
      <c r="D57" s="245" t="str">
        <f ca="1">IF($C57="","",INDEX(NVLSX!$F$2:$F$6941,MATCH($C57,NVLSX!$E$2:$E$6941,0)))</f>
        <v/>
      </c>
      <c r="E57" s="246" t="str">
        <f ca="1">IF($C57="","",IF($R57="","",INDEX(NVLSX!G$1556:G$4654,$R57)))</f>
        <v/>
      </c>
      <c r="F57" s="248">
        <f ca="1">IF(OR($S57="",$G57=0),0,TinhCT)</f>
        <v>0</v>
      </c>
      <c r="G57" s="249">
        <f ca="1">TinhCTSL</f>
        <v>0</v>
      </c>
      <c r="H57" s="249">
        <f t="shared" ca="1" si="12"/>
        <v>0</v>
      </c>
      <c r="I57" s="248"/>
      <c r="J57" s="878">
        <f ca="1">IF($C57="",0,IFERROR(INDEX(NVLSX!$M$4:$M$6941,MATCH($C57,NVLSX!$E$4:$E$6941,0)),0) + IFERROR(IF($Q57=NVLSX!$N$4,INDEX(IF($R$1=DanhMuc!$C$179,DanhMuc!$C$180:$C$188,DanhMuc!$D$180:$D$188),MATCH($F$4,DanhMuc!$B$180:$B$188,0)),0),0))</f>
        <v>0</v>
      </c>
      <c r="K57" s="253"/>
      <c r="L57" s="251"/>
      <c r="M57" s="911">
        <f ca="1">IF($C57="",0,IF($K57&lt;&gt;"",IF(INDEX(NVLSX!$N$2:$N$6941,MATCH($C57,NVLSX!$E$2:$E$6941,0))=NVLSX!$N$4,ROUND(INDEX(NVLSX!$L$2:$L$6941,MATCH($C57,NVLSX!$E$2:$E$6941,0))/$N$12,2),   ROUND(INDEX(NVLSX!$L$2:$L$6941,MATCH($C57,NVLSX!$E$2:$E$6941,0)),2)), IF(INDEX(NVLSX!$N$1556:$N$4654,$R57)=NVLSX!$N$4,ROUND(INDEX(NVLSX!$L$1556:$L$4654,$R57)/$N$12,2),   ROUND(INDEX(NVLSX!$L$1556:$L$4654,$R57),2))))</f>
        <v>0</v>
      </c>
      <c r="N57" s="559">
        <f t="shared" ca="1" si="13"/>
        <v>0</v>
      </c>
      <c r="O57" s="559">
        <f t="shared" ca="1" si="13"/>
        <v>0</v>
      </c>
      <c r="P57" s="547" t="str">
        <f ca="1">IF(OR($C57="",$C57=0),"",IF(INDEX(NVLSX!$H$1556:$H$4654,$R57)&lt;&gt;"",INDEX(NVLSX!$H$1556:$H$4654,$R57),$F$5))</f>
        <v/>
      </c>
      <c r="Q57" s="548" t="str">
        <f ca="1">IF(OR($C57="",$C57=0),"",INDEX(NVLSX!N$6:N$6941,MATCH($C57,NVLSX!$E$6:$E$6941,0)))</f>
        <v/>
      </c>
      <c r="R57" s="565">
        <f ca="1">IF($I$2=NVLSX!$F$6930,"",IF(TYPE(MATCH(LEFT($K$1,3) &amp; "00-" &amp; MID($K$1,SEARCH("-",$K$1,1)+1,LEN($K$1)-6) &amp;"-" &amp;IF($D$5="","",INDEX(DanhMuc!$B$168:$B$177,MATCH($D$5,DanhMuc!$C$168:$C$177,0))),OFFSET(NVLSX!$B$1556,R56,0):'NVLSX'!$B$4654,0)+R56)=16,"",MATCH(LEFT($K$1,3) &amp; "00-" &amp; MID($K$1,SEARCH("-",$K$1,1)+1,LEN($K$1)-6) &amp;"-" &amp;IF($D$5="","",INDEX(DanhMuc!$B$168:$B$177,MATCH($D$5,DanhMuc!$C$168:$C$177,0))),OFFSET(NVLSX!$B$1556,R56,0):'NVLSX'!$B$4654,0)+R56))</f>
        <v>16</v>
      </c>
      <c r="S57" s="566" t="str">
        <f ca="1">SUBSTITUTE(SUBSTITUTE(SUBSTITUTE(SUBSTITUTE(SUBSTITUTE(IF($R57="",0,INDEX(NVLSX!J$1556:J$4654,$R57)),$C$8,$D$8),$C$9,$D$9),$C$10,$D$10),$C$11,$D$11),$P$12,$Q$12)</f>
        <v/>
      </c>
      <c r="T57" s="551" t="str">
        <f ca="1">IF(OR($C57="",$C57=0),"", IF(OR(AND(OR($Q57=NVLSX!$N$4,$Q57=NVLSX!$N$6492),COUNTIFS($C$14:$C57,$C57,$F$14:$F57,$F57,$I$14:$I57,$I57)&lt;=1), COUNTIF($C$14:$C57,$C57) &lt;=1 ),$T$13, ""    ))</f>
        <v/>
      </c>
      <c r="U57" s="644">
        <f t="shared" ca="1" si="14"/>
        <v>0</v>
      </c>
      <c r="V57" s="564"/>
      <c r="W57" s="568" t="str">
        <f ca="1">IF($L57&lt;&gt;"",$L57,IF($R57="",0,SUBSTITUTE(SUBSTITUTE(IF(INDEX(NVLSX!$O$1556:$O$4654,$R57,0)="",INDEX(NVLSX!$I$1556:$I$4654,$R57,0),IF(OR(INDEX(NVLSX!$O$1556:$O$4654,$R57,0)=$H$4,INDEX(NVLSX!$O$1556:$O$4654,$R57,0)=$H$5,INDEX(NVLSX!$O$1556:$O$4654,$R57,0)=$H$6,INDEX(NVLSX!$O$1556:$O$4654,$R57,0)=$R$6,INDEX(NVLSX!$O$1556:$O$4654,$R57,0)=$R$3,INDEX(NVLSX!$O$1556:$O$4654,$R57,0)=$R$4,INDEX(NVLSX!$O$1556:$O$4654,$R57,0)=$R$5,INDEX(NVLSX!$O$1556:$O$4654,$R57,0)=$H$3,INDEX(NVLSX!$O$1556:$O$4654,$R57,0)=$R$2,INDEX(NVLSX!$O$1556:$O$4654,$R57,0)=$D$12),INDEX(NVLSX!$I$1556:$I$4654,$R57,0),0)),$C$10,$D$10),$C$8,$D$8  )))</f>
        <v>0</v>
      </c>
      <c r="X57" s="507"/>
      <c r="Y57" s="557"/>
      <c r="AA57" s="564"/>
      <c r="AB57" s="564"/>
      <c r="AC57" s="564"/>
      <c r="AD57" s="564"/>
      <c r="AE57" s="714">
        <f t="shared" ca="1" si="5"/>
        <v>0</v>
      </c>
      <c r="AF57" s="270"/>
      <c r="AG57" s="1168"/>
      <c r="AH57" s="1168"/>
      <c r="AI57" s="1168"/>
      <c r="AJ57" s="1168"/>
      <c r="AK57" s="1168"/>
      <c r="AL57" s="1168"/>
      <c r="AM57" s="1168"/>
      <c r="AN57" s="1168"/>
    </row>
    <row r="58" spans="1:40" s="143" customFormat="1">
      <c r="A58" s="1417"/>
      <c r="B58" s="149" t="str">
        <f ca="1">IF($C58&lt;&gt;"",1 + MAX($B$20:$B57),"" )</f>
        <v/>
      </c>
      <c r="C58" s="290" t="str">
        <f ca="1">IF($K58&lt;&gt;"",$K58,IF(OR($R58="",$G58=0),"",INDEX(NVLSX!E$1556:E$4654,$R58)))</f>
        <v/>
      </c>
      <c r="D58" s="245" t="str">
        <f ca="1">IF($C58="","",INDEX(NVLSX!$F$2:$F$6941,MATCH($C58,NVLSX!$E$2:$E$6941,0)))</f>
        <v/>
      </c>
      <c r="E58" s="246" t="str">
        <f ca="1">IF($C58="","",IF($R58="","",INDEX(NVLSX!G$1556:G$4654,$R58)))</f>
        <v/>
      </c>
      <c r="F58" s="248">
        <f ca="1">IF(OR($S58="",$G58=0),0,TinhCT)</f>
        <v>0</v>
      </c>
      <c r="G58" s="249">
        <f ca="1">TinhCTSL</f>
        <v>0</v>
      </c>
      <c r="H58" s="249">
        <f t="shared" ca="1" si="12"/>
        <v>0</v>
      </c>
      <c r="I58" s="248"/>
      <c r="J58" s="878">
        <f ca="1">IF($C58="",0,IFERROR(INDEX(NVLSX!$M$4:$M$6941,MATCH($C58,NVLSX!$E$4:$E$6941,0)),0) + IFERROR(IF($Q58=NVLSX!$N$4,INDEX(IF($R$1=DanhMuc!$C$179,DanhMuc!$C$180:$C$188,DanhMuc!$D$180:$D$188),MATCH($F$4,DanhMuc!$B$180:$B$188,0)),0),0))</f>
        <v>0</v>
      </c>
      <c r="K58" s="253"/>
      <c r="L58" s="251"/>
      <c r="M58" s="911">
        <f ca="1">IF($C58="",0,IF($K58&lt;&gt;"",IF(INDEX(NVLSX!$N$2:$N$6941,MATCH($C58,NVLSX!$E$2:$E$6941,0))=NVLSX!$N$4,ROUND(INDEX(NVLSX!$L$2:$L$6941,MATCH($C58,NVLSX!$E$2:$E$6941,0))/$N$12,2),   ROUND(INDEX(NVLSX!$L$2:$L$6941,MATCH($C58,NVLSX!$E$2:$E$6941,0)),2)), IF(INDEX(NVLSX!$N$1556:$N$4654,$R58)=NVLSX!$N$4,ROUND(INDEX(NVLSX!$L$1556:$L$4654,$R58)/$N$12,2),   ROUND(INDEX(NVLSX!$L$1556:$L$4654,$R58),2))))</f>
        <v>0</v>
      </c>
      <c r="N58" s="559">
        <f t="shared" ca="1" si="13"/>
        <v>0</v>
      </c>
      <c r="O58" s="559">
        <f t="shared" ca="1" si="13"/>
        <v>0</v>
      </c>
      <c r="P58" s="547" t="str">
        <f ca="1">IF(OR($C58="",$C58=0),"",IF(INDEX(NVLSX!$H$1556:$H$4654,$R58)&lt;&gt;"",INDEX(NVLSX!$H$1556:$H$4654,$R58),$F$5))</f>
        <v/>
      </c>
      <c r="Q58" s="548" t="str">
        <f ca="1">IF(OR($C58="",$C58=0),"",INDEX(NVLSX!N$6:N$6941,MATCH($C58,NVLSX!$E$6:$E$6941,0)))</f>
        <v/>
      </c>
      <c r="R58" s="565">
        <f ca="1">IF($I$2=NVLSX!$F$6930,"",IF(TYPE(MATCH(LEFT($K$1,3) &amp; "00-" &amp; MID($K$1,SEARCH("-",$K$1,1)+1,LEN($K$1)-6) &amp;"-" &amp;IF($D$5="","",INDEX(DanhMuc!$B$168:$B$177,MATCH($D$5,DanhMuc!$C$168:$C$177,0))),OFFSET(NVLSX!$B$1556,R57,0):'NVLSX'!$B$4654,0)+R57)=16,"",MATCH(LEFT($K$1,3) &amp; "00-" &amp; MID($K$1,SEARCH("-",$K$1,1)+1,LEN($K$1)-6) &amp;"-" &amp;IF($D$5="","",INDEX(DanhMuc!$B$168:$B$177,MATCH($D$5,DanhMuc!$C$168:$C$177,0))),OFFSET(NVLSX!$B$1556,R57,0):'NVLSX'!$B$4654,0)+R57))</f>
        <v>17</v>
      </c>
      <c r="S58" s="566" t="str">
        <f ca="1">SUBSTITUTE(SUBSTITUTE(SUBSTITUTE(SUBSTITUTE(SUBSTITUTE(IF($R58="",0,INDEX(NVLSX!J$1556:J$4654,$R58)),$C$8,$D$8),$C$9,$D$9),$C$10,$D$10),$C$11,$D$11),$P$12,$Q$12)</f>
        <v/>
      </c>
      <c r="T58" s="551" t="str">
        <f ca="1">IF(OR($C58="",$C58=0),"", IF(OR(AND(OR($Q58=NVLSX!$N$4,$Q58=NVLSX!$N$6492),COUNTIFS($C$14:$C58,$C58,$F$14:$F58,$F58,$I$14:$I58,$I58)&lt;=1), COUNTIF($C$14:$C58,$C58) &lt;=1 ),$T$13, ""    ))</f>
        <v/>
      </c>
      <c r="U58" s="644">
        <f t="shared" ca="1" si="14"/>
        <v>0</v>
      </c>
      <c r="V58" s="564"/>
      <c r="W58" s="568" t="str">
        <f ca="1">IF($L58&lt;&gt;"",$L58,IF($R58="",0,SUBSTITUTE(SUBSTITUTE(IF(INDEX(NVLSX!$O$1556:$O$4654,$R58,0)="",INDEX(NVLSX!$I$1556:$I$4654,$R58,0),IF(OR(INDEX(NVLSX!$O$1556:$O$4654,$R58,0)=$H$4,INDEX(NVLSX!$O$1556:$O$4654,$R58,0)=$H$5,INDEX(NVLSX!$O$1556:$O$4654,$R58,0)=$H$6,INDEX(NVLSX!$O$1556:$O$4654,$R58,0)=$R$6,INDEX(NVLSX!$O$1556:$O$4654,$R58,0)=$R$3,INDEX(NVLSX!$O$1556:$O$4654,$R58,0)=$R$4,INDEX(NVLSX!$O$1556:$O$4654,$R58,0)=$R$5,INDEX(NVLSX!$O$1556:$O$4654,$R58,0)=$H$3,INDEX(NVLSX!$O$1556:$O$4654,$R58,0)=$R$2,INDEX(NVLSX!$O$1556:$O$4654,$R58,0)=$D$12),INDEX(NVLSX!$I$1556:$I$4654,$R58,0),0)),$C$10,$D$10),$C$8,$D$8  )))</f>
        <v>0</v>
      </c>
      <c r="X58" s="507"/>
      <c r="Y58" s="557"/>
      <c r="AA58" s="564"/>
      <c r="AB58" s="564"/>
      <c r="AC58" s="564"/>
      <c r="AD58" s="564"/>
      <c r="AE58" s="714">
        <f t="shared" ca="1" si="5"/>
        <v>0</v>
      </c>
      <c r="AF58" s="270"/>
      <c r="AG58" s="1168"/>
      <c r="AH58" s="1168"/>
      <c r="AI58" s="1168"/>
      <c r="AJ58" s="1168"/>
      <c r="AK58" s="1168"/>
      <c r="AL58" s="1168"/>
      <c r="AM58" s="1168"/>
      <c r="AN58" s="1168"/>
    </row>
    <row r="59" spans="1:40" s="143" customFormat="1">
      <c r="A59" s="1417"/>
      <c r="B59" s="149" t="str">
        <f ca="1">IF($C59&lt;&gt;"",1 + MAX($B$20:$B58),"" )</f>
        <v/>
      </c>
      <c r="C59" s="290" t="str">
        <f ca="1">IF($K59&lt;&gt;"",$K59,IF(OR($R59="",$G59=0),"",INDEX(NVLSX!E$1556:E$4654,$R59)))</f>
        <v/>
      </c>
      <c r="D59" s="245" t="str">
        <f ca="1">IF($C59="","",INDEX(NVLSX!$F$2:$F$6941,MATCH($C59,NVLSX!$E$2:$E$6941,0)))</f>
        <v/>
      </c>
      <c r="E59" s="246" t="str">
        <f ca="1">IF($C59="","",IF($R59="","",INDEX(NVLSX!G$1556:G$4654,$R59)))</f>
        <v/>
      </c>
      <c r="F59" s="248">
        <f ca="1">IF(OR($S59="",$G59=0),0,TinhCT)</f>
        <v>0</v>
      </c>
      <c r="G59" s="249">
        <f ca="1">TinhCTSL</f>
        <v>0</v>
      </c>
      <c r="H59" s="249">
        <f t="shared" ca="1" si="12"/>
        <v>0</v>
      </c>
      <c r="I59" s="248"/>
      <c r="J59" s="878">
        <f ca="1">IF($C59="",0,IFERROR(INDEX(NVLSX!$M$4:$M$6941,MATCH($C59,NVLSX!$E$4:$E$6941,0)),0) + IFERROR(IF($Q59=NVLSX!$N$4,INDEX(IF($R$1=DanhMuc!$C$179,DanhMuc!$C$180:$C$188,DanhMuc!$D$180:$D$188),MATCH($F$4,DanhMuc!$B$180:$B$188,0)),0),0))</f>
        <v>0</v>
      </c>
      <c r="K59" s="253"/>
      <c r="L59" s="251"/>
      <c r="M59" s="911">
        <f ca="1">IF($C59="",0,IF($K59&lt;&gt;"",IF(INDEX(NVLSX!$N$2:$N$6941,MATCH($C59,NVLSX!$E$2:$E$6941,0))=NVLSX!$N$4,ROUND(INDEX(NVLSX!$L$2:$L$6941,MATCH($C59,NVLSX!$E$2:$E$6941,0))/$N$12,2),   ROUND(INDEX(NVLSX!$L$2:$L$6941,MATCH($C59,NVLSX!$E$2:$E$6941,0)),2)), IF(INDEX(NVLSX!$N$1556:$N$4654,$R59)=NVLSX!$N$4,ROUND(INDEX(NVLSX!$L$1556:$L$4654,$R59)/$N$12,2),   ROUND(INDEX(NVLSX!$L$1556:$L$4654,$R59),2))))</f>
        <v>0</v>
      </c>
      <c r="N59" s="559">
        <f t="shared" ca="1" si="13"/>
        <v>0</v>
      </c>
      <c r="O59" s="559">
        <f t="shared" ca="1" si="13"/>
        <v>0</v>
      </c>
      <c r="P59" s="547" t="str">
        <f ca="1">IF(OR($C59="",$C59=0),"",IF(INDEX(NVLSX!$H$1556:$H$4654,$R59)&lt;&gt;"",INDEX(NVLSX!$H$1556:$H$4654,$R59),$F$5))</f>
        <v/>
      </c>
      <c r="Q59" s="548" t="str">
        <f ca="1">IF(OR($C59="",$C59=0),"",INDEX(NVLSX!N$6:N$6941,MATCH($C59,NVLSX!$E$6:$E$6941,0)))</f>
        <v/>
      </c>
      <c r="R59" s="565">
        <f ca="1">IF($I$2=NVLSX!$F$6930,"",IF(TYPE(MATCH(LEFT($K$1,3) &amp; "00-" &amp; MID($K$1,SEARCH("-",$K$1,1)+1,LEN($K$1)-6) &amp;"-" &amp;IF($D$5="","",INDEX(DanhMuc!$B$168:$B$177,MATCH($D$5,DanhMuc!$C$168:$C$177,0))),OFFSET(NVLSX!$B$1556,R58,0):'NVLSX'!$B$4654,0)+R58)=16,"",MATCH(LEFT($K$1,3) &amp; "00-" &amp; MID($K$1,SEARCH("-",$K$1,1)+1,LEN($K$1)-6) &amp;"-" &amp;IF($D$5="","",INDEX(DanhMuc!$B$168:$B$177,MATCH($D$5,DanhMuc!$C$168:$C$177,0))),OFFSET(NVLSX!$B$1556,R58,0):'NVLSX'!$B$4654,0)+R58))</f>
        <v>18</v>
      </c>
      <c r="S59" s="566" t="str">
        <f ca="1">SUBSTITUTE(SUBSTITUTE(SUBSTITUTE(SUBSTITUTE(SUBSTITUTE(IF($R59="",0,INDEX(NVLSX!J$1556:J$4654,$R59)),$C$8,$D$8),$C$9,$D$9),$C$10,$D$10),$C$11,$D$11),$P$12,$Q$12)</f>
        <v/>
      </c>
      <c r="T59" s="551" t="str">
        <f ca="1">IF(OR($C59="",$C59=0),"", IF(OR(AND(OR($Q59=NVLSX!$N$4,$Q59=NVLSX!$N$6492),COUNTIFS($C$14:$C59,$C59,$F$14:$F59,$F59,$I$14:$I59,$I59)&lt;=1), COUNTIF($C$14:$C59,$C59) &lt;=1 ),$T$13, ""    ))</f>
        <v/>
      </c>
      <c r="U59" s="644">
        <f t="shared" ca="1" si="14"/>
        <v>0</v>
      </c>
      <c r="V59" s="564"/>
      <c r="W59" s="568" t="str">
        <f ca="1">IF($L59&lt;&gt;"",$L59,IF($R59="",0,SUBSTITUTE(SUBSTITUTE(IF(INDEX(NVLSX!$O$1556:$O$4654,$R59,0)="",INDEX(NVLSX!$I$1556:$I$4654,$R59,0),IF(OR(INDEX(NVLSX!$O$1556:$O$4654,$R59,0)=$H$4,INDEX(NVLSX!$O$1556:$O$4654,$R59,0)=$H$5,INDEX(NVLSX!$O$1556:$O$4654,$R59,0)=$H$6,INDEX(NVLSX!$O$1556:$O$4654,$R59,0)=$R$6,INDEX(NVLSX!$O$1556:$O$4654,$R59,0)=$R$3,INDEX(NVLSX!$O$1556:$O$4654,$R59,0)=$R$4,INDEX(NVLSX!$O$1556:$O$4654,$R59,0)=$R$5,INDEX(NVLSX!$O$1556:$O$4654,$R59,0)=$H$3,INDEX(NVLSX!$O$1556:$O$4654,$R59,0)=$R$2,INDEX(NVLSX!$O$1556:$O$4654,$R59,0)=$D$12),INDEX(NVLSX!$I$1556:$I$4654,$R59,0),0)),$C$10,$D$10),$C$8,$D$8  )))</f>
        <v>0</v>
      </c>
      <c r="X59" s="507"/>
      <c r="Y59" s="557"/>
      <c r="AA59" s="564"/>
      <c r="AB59" s="564"/>
      <c r="AC59" s="564"/>
      <c r="AD59" s="564"/>
      <c r="AE59" s="714">
        <f t="shared" ca="1" si="5"/>
        <v>0</v>
      </c>
      <c r="AF59" s="270"/>
      <c r="AG59" s="1168"/>
      <c r="AH59" s="1168"/>
      <c r="AI59" s="1168"/>
      <c r="AJ59" s="1168"/>
      <c r="AK59" s="1168"/>
      <c r="AL59" s="1168"/>
      <c r="AM59" s="1168"/>
      <c r="AN59" s="1168"/>
    </row>
    <row r="60" spans="1:40" s="143" customFormat="1">
      <c r="A60" s="1417"/>
      <c r="B60" s="149" t="str">
        <f ca="1">IF($C60&lt;&gt;"",1 + MAX($B$20:$B59),"" )</f>
        <v/>
      </c>
      <c r="C60" s="290" t="str">
        <f ca="1">IF($K60&lt;&gt;"",$K60,IF(OR($R60="",$G60=0),"",INDEX(NVLSX!E$1556:E$4654,$R60)))</f>
        <v/>
      </c>
      <c r="D60" s="245" t="str">
        <f ca="1">IF($C60="","",INDEX(NVLSX!$F$2:$F$6941,MATCH($C60,NVLSX!$E$2:$E$6941,0)))</f>
        <v/>
      </c>
      <c r="E60" s="246" t="str">
        <f ca="1">IF($C60="","",IF($R60="","",INDEX(NVLSX!G$1556:G$4654,$R60)))</f>
        <v/>
      </c>
      <c r="F60" s="248">
        <f ca="1">IF(OR($S60="",$G60=0),0,TinhCT)</f>
        <v>0</v>
      </c>
      <c r="G60" s="249">
        <f ca="1">TinhCTSL</f>
        <v>0</v>
      </c>
      <c r="H60" s="249">
        <f t="shared" ca="1" si="12"/>
        <v>0</v>
      </c>
      <c r="I60" s="248"/>
      <c r="J60" s="878">
        <f ca="1">IF($C60="",0,IFERROR(INDEX(NVLSX!$M$4:$M$6941,MATCH($C60,NVLSX!$E$4:$E$6941,0)),0) + IFERROR(IF($Q60=NVLSX!$N$4,INDEX(IF($R$1=DanhMuc!$C$179,DanhMuc!$C$180:$C$188,DanhMuc!$D$180:$D$188),MATCH($F$4,DanhMuc!$B$180:$B$188,0)),0),0))</f>
        <v>0</v>
      </c>
      <c r="K60" s="253"/>
      <c r="L60" s="251"/>
      <c r="M60" s="911">
        <f ca="1">IF($C60="",0,IF($K60&lt;&gt;"",IF(INDEX(NVLSX!$N$2:$N$6941,MATCH($C60,NVLSX!$E$2:$E$6941,0))=NVLSX!$N$4,ROUND(INDEX(NVLSX!$L$2:$L$6941,MATCH($C60,NVLSX!$E$2:$E$6941,0))/$N$12,2),   ROUND(INDEX(NVLSX!$L$2:$L$6941,MATCH($C60,NVLSX!$E$2:$E$6941,0)),2)), IF(INDEX(NVLSX!$N$1556:$N$4654,$R60)=NVLSX!$N$4,ROUND(INDEX(NVLSX!$L$1556:$L$4654,$R60)/$N$12,2),   ROUND(INDEX(NVLSX!$L$1556:$L$4654,$R60),2))))</f>
        <v>0</v>
      </c>
      <c r="N60" s="559">
        <f t="shared" ca="1" si="13"/>
        <v>0</v>
      </c>
      <c r="O60" s="559">
        <f t="shared" ca="1" si="13"/>
        <v>0</v>
      </c>
      <c r="P60" s="547" t="str">
        <f ca="1">IF(OR($C60="",$C60=0),"",IF(INDEX(NVLSX!$H$1556:$H$4654,$R60)&lt;&gt;"",INDEX(NVLSX!$H$1556:$H$4654,$R60),$F$5))</f>
        <v/>
      </c>
      <c r="Q60" s="548" t="str">
        <f ca="1">IF(OR($C60="",$C60=0),"",INDEX(NVLSX!N$6:N$6941,MATCH($C60,NVLSX!$E$6:$E$6941,0)))</f>
        <v/>
      </c>
      <c r="R60" s="565">
        <f ca="1">IF($I$2=NVLSX!$F$6930,"",IF(TYPE(MATCH(LEFT($K$1,3) &amp; "00-" &amp; MID($K$1,SEARCH("-",$K$1,1)+1,LEN($K$1)-6) &amp;"-" &amp;IF($D$5="","",INDEX(DanhMuc!$B$168:$B$177,MATCH($D$5,DanhMuc!$C$168:$C$177,0))),OFFSET(NVLSX!$B$1556,R59,0):'NVLSX'!$B$4654,0)+R59)=16,"",MATCH(LEFT($K$1,3) &amp; "00-" &amp; MID($K$1,SEARCH("-",$K$1,1)+1,LEN($K$1)-6) &amp;"-" &amp;IF($D$5="","",INDEX(DanhMuc!$B$168:$B$177,MATCH($D$5,DanhMuc!$C$168:$C$177,0))),OFFSET(NVLSX!$B$1556,R59,0):'NVLSX'!$B$4654,0)+R59))</f>
        <v>19</v>
      </c>
      <c r="S60" s="566" t="str">
        <f ca="1">SUBSTITUTE(SUBSTITUTE(SUBSTITUTE(SUBSTITUTE(SUBSTITUTE(IF($R60="",0,INDEX(NVLSX!J$1556:J$4654,$R60)),$C$8,$D$8),$C$9,$D$9),$C$10,$D$10),$C$11,$D$11),$P$12,$Q$12)</f>
        <v/>
      </c>
      <c r="T60" s="551" t="str">
        <f ca="1">IF(OR($C60="",$C60=0),"", IF(OR(AND(OR($Q60=NVLSX!$N$4,$Q60=NVLSX!$N$6492),COUNTIFS($C$14:$C60,$C60,$F$14:$F60,$F60,$I$14:$I60,$I60)&lt;=1), COUNTIF($C$14:$C60,$C60) &lt;=1 ),$T$13, ""    ))</f>
        <v/>
      </c>
      <c r="U60" s="644">
        <f t="shared" ca="1" si="14"/>
        <v>0</v>
      </c>
      <c r="V60" s="564"/>
      <c r="W60" s="568" t="str">
        <f ca="1">IF($L60&lt;&gt;"",$L60,IF($R60="",0,SUBSTITUTE(SUBSTITUTE(IF(INDEX(NVLSX!$O$1556:$O$4654,$R60,0)="",INDEX(NVLSX!$I$1556:$I$4654,$R60,0),IF(OR(INDEX(NVLSX!$O$1556:$O$4654,$R60,0)=$H$4,INDEX(NVLSX!$O$1556:$O$4654,$R60,0)=$H$5,INDEX(NVLSX!$O$1556:$O$4654,$R60,0)=$H$6,INDEX(NVLSX!$O$1556:$O$4654,$R60,0)=$R$6,INDEX(NVLSX!$O$1556:$O$4654,$R60,0)=$R$3,INDEX(NVLSX!$O$1556:$O$4654,$R60,0)=$R$4,INDEX(NVLSX!$O$1556:$O$4654,$R60,0)=$R$5,INDEX(NVLSX!$O$1556:$O$4654,$R60,0)=$H$3,INDEX(NVLSX!$O$1556:$O$4654,$R60,0)=$R$2,INDEX(NVLSX!$O$1556:$O$4654,$R60,0)=$D$12),INDEX(NVLSX!$I$1556:$I$4654,$R60,0),0)),$C$10,$D$10),$C$8,$D$8  )))</f>
        <v>0</v>
      </c>
      <c r="X60" s="507"/>
      <c r="Y60" s="557"/>
      <c r="AA60" s="564"/>
      <c r="AB60" s="564"/>
      <c r="AC60" s="564"/>
      <c r="AD60" s="564"/>
      <c r="AE60" s="714">
        <f t="shared" ca="1" si="5"/>
        <v>0</v>
      </c>
      <c r="AF60" s="270"/>
      <c r="AG60" s="1168"/>
      <c r="AH60" s="1168"/>
      <c r="AI60" s="1168"/>
      <c r="AJ60" s="1168"/>
      <c r="AK60" s="1168"/>
      <c r="AL60" s="1168"/>
      <c r="AM60" s="1168"/>
      <c r="AN60" s="1168"/>
    </row>
    <row r="61" spans="1:40" s="143" customFormat="1" ht="25">
      <c r="A61" s="1417"/>
      <c r="B61" s="149">
        <f ca="1">IF($C61&lt;&gt;"",1 + MAX($B$20:$B60),"" )</f>
        <v>16</v>
      </c>
      <c r="C61" s="290" t="str">
        <f ca="1">IF($K61&lt;&gt;"",$K61,IF(OR($R61="",$G61=0),"",INDEX(NVLSX!E$1556:E$4654,$R61)))</f>
        <v>OCCXF</v>
      </c>
      <c r="D61" s="245" t="str">
        <f ca="1">IF($C61="","",INDEX(NVLSX!$F$2:$F$6941,MATCH($C61,NVLSX!$E$2:$E$6941,0)))</f>
        <v>Ốp chân cánh XF (nẹp liền) (trái + phải)</v>
      </c>
      <c r="E61" s="246" t="str">
        <f ca="1">IF($C61="","",IF($R61="","",INDEX(NVLSX!G$1556:G$4654,$R61)))</f>
        <v>Cặp</v>
      </c>
      <c r="F61" s="248">
        <f ca="1">IF(OR($S61="",$G61=0),0,TinhCT)</f>
        <v>0</v>
      </c>
      <c r="G61" s="249">
        <f ca="1">TinhCTSL</f>
        <v>1</v>
      </c>
      <c r="H61" s="249">
        <f t="shared" ca="1" si="12"/>
        <v>2</v>
      </c>
      <c r="I61" s="248"/>
      <c r="J61" s="878">
        <f ca="1">IF($C61="",0,IFERROR(INDEX(NVLSX!$M$4:$M$6941,MATCH($C61,NVLSX!$E$4:$E$6941,0)),0) + IFERROR(IF($Q61=NVLSX!$N$4,INDEX(IF($R$1=DanhMuc!$C$179,DanhMuc!$C$180:$C$188,DanhMuc!$D$180:$D$188),MATCH($F$4,DanhMuc!$B$180:$B$188,0)),0),0))</f>
        <v>0</v>
      </c>
      <c r="K61" s="253"/>
      <c r="L61" s="251"/>
      <c r="M61" s="911">
        <f ca="1">IF($C61="",0,IF($K61&lt;&gt;"",IF(INDEX(NVLSX!$N$2:$N$6941,MATCH($C61,NVLSX!$E$2:$E$6941,0))=NVLSX!$N$4,ROUND(INDEX(NVLSX!$L$2:$L$6941,MATCH($C61,NVLSX!$E$2:$E$6941,0))/$N$12,2),   ROUND(INDEX(NVLSX!$L$2:$L$6941,MATCH($C61,NVLSX!$E$2:$E$6941,0)),2)), IF(INDEX(NVLSX!$N$1556:$N$4654,$R61)=NVLSX!$N$4,ROUND(INDEX(NVLSX!$L$1556:$L$4654,$R61)/$N$12,2),   ROUND(INDEX(NVLSX!$L$1556:$L$4654,$R61),2))))</f>
        <v>2450</v>
      </c>
      <c r="N61" s="559">
        <f t="shared" ca="1" si="13"/>
        <v>4900</v>
      </c>
      <c r="O61" s="559">
        <f t="shared" ca="1" si="13"/>
        <v>4900</v>
      </c>
      <c r="P61" s="547" t="str">
        <f ca="1">IF(OR($C61="",$C61=0),"",IF(INDEX(NVLSX!$H$1556:$H$4654,$R61)&lt;&gt;"",INDEX(NVLSX!$H$1556:$H$4654,$R61),$F$5))</f>
        <v>Xám ghi</v>
      </c>
      <c r="Q61" s="548" t="str">
        <f ca="1">IF(OR($C61="",$C61=0),"",INDEX(NVLSX!N$6:N$6941,MATCH($C61,NVLSX!$E$6:$E$6941,0)))</f>
        <v>PK</v>
      </c>
      <c r="R61" s="565">
        <f ca="1">IF($I$2=NVLSX!$F$6930,"",IF(TYPE(MATCH(LEFT($K$1,3) &amp; "00-" &amp; MID($K$1,SEARCH("-",$K$1,1)+1,LEN($K$1)-6) &amp;"-" &amp;IF($D$5="","",INDEX(DanhMuc!$B$168:$B$177,MATCH($D$5,DanhMuc!$C$168:$C$177,0))),OFFSET(NVLSX!$B$1556,R60,0):'NVLSX'!$B$4654,0)+R60)=16,"",MATCH(LEFT($K$1,3) &amp; "00-" &amp; MID($K$1,SEARCH("-",$K$1,1)+1,LEN($K$1)-6) &amp;"-" &amp;IF($D$5="","",INDEX(DanhMuc!$B$168:$B$177,MATCH($D$5,DanhMuc!$C$168:$C$177,0))),OFFSET(NVLSX!$B$1556,R60,0):'NVLSX'!$B$4654,0)+R60))</f>
        <v>20</v>
      </c>
      <c r="S61" s="566" t="str">
        <f ca="1">SUBSTITUTE(SUBSTITUTE(SUBSTITUTE(SUBSTITUTE(SUBSTITUTE(IF($R61="",0,INDEX(NVLSX!J$1556:J$4654,$R61)),$C$8,$D$8),$C$9,$D$9),$C$10,$D$10),$C$11,$D$11),$P$12,$Q$12)</f>
        <v/>
      </c>
      <c r="T61" s="551" t="str">
        <f ca="1">IF(OR($C61="",$C61=0),"", IF(OR(AND(OR($Q61=NVLSX!$N$4,$Q61=NVLSX!$N$6492),COUNTIFS($C$14:$C61,$C61,$F$14:$F61,$F61,$I$14:$I61,$I61)&lt;=1), COUNTIF($C$14:$C61,$C61) &lt;=1 ),$T$13, ""    ))</f>
        <v>TH</v>
      </c>
      <c r="U61" s="644">
        <f t="shared" ca="1" si="14"/>
        <v>0</v>
      </c>
      <c r="V61" s="564"/>
      <c r="W61" s="568" t="str">
        <f ca="1">IF($L61&lt;&gt;"",$L61,IF($R61="",0,SUBSTITUTE(SUBSTITUTE(IF(INDEX(NVLSX!$O$1556:$O$4654,$R61,0)="",INDEX(NVLSX!$I$1556:$I$4654,$R61,0),IF(OR(INDEX(NVLSX!$O$1556:$O$4654,$R61,0)=$H$4,INDEX(NVLSX!$O$1556:$O$4654,$R61,0)=$H$5,INDEX(NVLSX!$O$1556:$O$4654,$R61,0)=$H$6,INDEX(NVLSX!$O$1556:$O$4654,$R61,0)=$R$6,INDEX(NVLSX!$O$1556:$O$4654,$R61,0)=$R$3,INDEX(NVLSX!$O$1556:$O$4654,$R61,0)=$R$4,INDEX(NVLSX!$O$1556:$O$4654,$R61,0)=$R$5,INDEX(NVLSX!$O$1556:$O$4654,$R61,0)=$H$3,INDEX(NVLSX!$O$1556:$O$4654,$R61,0)=$R$2,INDEX(NVLSX!$O$1556:$O$4654,$R61,0)=$D$12),INDEX(NVLSX!$I$1556:$I$4654,$R61,0),0)),$C$10,$D$10),$C$8,$D$8  )))</f>
        <v>1</v>
      </c>
      <c r="X61" s="507"/>
      <c r="Y61" s="557"/>
      <c r="AA61" s="564"/>
      <c r="AB61" s="564"/>
      <c r="AC61" s="564"/>
      <c r="AD61" s="564"/>
      <c r="AE61" s="714">
        <f t="shared" ca="1" si="5"/>
        <v>7000</v>
      </c>
      <c r="AF61" s="270"/>
      <c r="AG61" s="1168"/>
      <c r="AH61" s="1168"/>
      <c r="AI61" s="1168"/>
      <c r="AJ61" s="1168"/>
      <c r="AK61" s="1168"/>
      <c r="AL61" s="1168"/>
      <c r="AM61" s="1168"/>
      <c r="AN61" s="1168"/>
    </row>
    <row r="62" spans="1:40" s="143" customFormat="1">
      <c r="A62" s="1417"/>
      <c r="B62" s="149" t="str">
        <f ca="1">IF($C62&lt;&gt;"",1 + MAX($B$20:$B61),"" )</f>
        <v/>
      </c>
      <c r="C62" s="290" t="str">
        <f ca="1">IF($K62&lt;&gt;"",$K62,IF(OR($R62="",$G62=0),"",INDEX(NVLSX!E$1556:E$4654,$R62)))</f>
        <v/>
      </c>
      <c r="D62" s="245" t="str">
        <f ca="1">IF($C62="","",INDEX(NVLSX!$F$2:$F$6941,MATCH($C62,NVLSX!$E$2:$E$6941,0)))</f>
        <v/>
      </c>
      <c r="E62" s="246" t="str">
        <f ca="1">IF($C62="","",IF($R62="","",INDEX(NVLSX!G$1556:G$4654,$R62)))</f>
        <v/>
      </c>
      <c r="F62" s="248">
        <f ca="1">IF(OR($S62="",$G62=0),0,TinhCT)</f>
        <v>0</v>
      </c>
      <c r="G62" s="249">
        <f ca="1">TinhCTSL</f>
        <v>0</v>
      </c>
      <c r="H62" s="249">
        <f t="shared" ca="1" si="12"/>
        <v>0</v>
      </c>
      <c r="I62" s="248"/>
      <c r="J62" s="878">
        <f ca="1">IF($C62="",0,IFERROR(INDEX(NVLSX!$M$4:$M$6941,MATCH($C62,NVLSX!$E$4:$E$6941,0)),0) + IFERROR(IF($Q62=NVLSX!$N$4,INDEX(IF($R$1=DanhMuc!$C$179,DanhMuc!$C$180:$C$188,DanhMuc!$D$180:$D$188),MATCH($F$4,DanhMuc!$B$180:$B$188,0)),0),0))</f>
        <v>0</v>
      </c>
      <c r="K62" s="253"/>
      <c r="L62" s="251"/>
      <c r="M62" s="911">
        <f ca="1">IF($C62="",0,IF($K62&lt;&gt;"",IF(INDEX(NVLSX!$N$2:$N$6941,MATCH($C62,NVLSX!$E$2:$E$6941,0))=NVLSX!$N$4,ROUND(INDEX(NVLSX!$L$2:$L$6941,MATCH($C62,NVLSX!$E$2:$E$6941,0))/$N$12,2),   ROUND(INDEX(NVLSX!$L$2:$L$6941,MATCH($C62,NVLSX!$E$2:$E$6941,0)),2)), IF(INDEX(NVLSX!$N$1556:$N$4654,$R62)=NVLSX!$N$4,ROUND(INDEX(NVLSX!$L$1556:$L$4654,$R62)/$N$12,2),   ROUND(INDEX(NVLSX!$L$1556:$L$4654,$R62),2))))</f>
        <v>0</v>
      </c>
      <c r="N62" s="559">
        <f t="shared" ca="1" si="13"/>
        <v>0</v>
      </c>
      <c r="O62" s="559">
        <f t="shared" ca="1" si="13"/>
        <v>0</v>
      </c>
      <c r="P62" s="547" t="str">
        <f ca="1">IF(OR($C62="",$C62=0),"",IF(INDEX(NVLSX!$H$1556:$H$4654,$R62)&lt;&gt;"",INDEX(NVLSX!$H$1556:$H$4654,$R62),$F$5))</f>
        <v/>
      </c>
      <c r="Q62" s="548" t="str">
        <f ca="1">IF(OR($C62="",$C62=0),"",INDEX(NVLSX!N$6:N$6941,MATCH($C62,NVLSX!$E$6:$E$6941,0)))</f>
        <v/>
      </c>
      <c r="R62" s="565" t="str">
        <f ca="1">IF($I$2=NVLSX!$F$6930,"",IF(TYPE(MATCH(LEFT($K$1,3) &amp; "00-" &amp; MID($K$1,SEARCH("-",$K$1,1)+1,LEN($K$1)-6) &amp;"-" &amp;IF($D$5="","",INDEX(DanhMuc!$B$168:$B$177,MATCH($D$5,DanhMuc!$C$168:$C$177,0))),OFFSET(NVLSX!$B$1556,R61,0):'NVLSX'!$B$4654,0)+R61)=16,"",MATCH(LEFT($K$1,3) &amp; "00-" &amp; MID($K$1,SEARCH("-",$K$1,1)+1,LEN($K$1)-6) &amp;"-" &amp;IF($D$5="","",INDEX(DanhMuc!$B$168:$B$177,MATCH($D$5,DanhMuc!$C$168:$C$177,0))),OFFSET(NVLSX!$B$1556,R61,0):'NVLSX'!$B$4654,0)+R61))</f>
        <v/>
      </c>
      <c r="S62" s="566" t="str">
        <f ca="1">SUBSTITUTE(SUBSTITUTE(SUBSTITUTE(SUBSTITUTE(SUBSTITUTE(IF($R62="",0,INDEX(NVLSX!J$1556:J$4654,$R62)),$C$8,$D$8),$C$9,$D$9),$C$10,$D$10),$C$11,$D$11),$P$12,$Q$12)</f>
        <v>0</v>
      </c>
      <c r="T62" s="551" t="str">
        <f ca="1">IF(OR($C62="",$C62=0),"", IF(OR(AND(OR($Q62=NVLSX!$N$4,$Q62=NVLSX!$N$6492),COUNTIFS($C$14:$C62,$C62,$F$14:$F62,$F62,$I$14:$I62,$I62)&lt;=1), COUNTIF($C$14:$C62,$C62) &lt;=1 ),$T$13, ""    ))</f>
        <v/>
      </c>
      <c r="U62" s="644">
        <f t="shared" ca="1" si="14"/>
        <v>0</v>
      </c>
      <c r="V62" s="564"/>
      <c r="W62" s="568">
        <f ca="1">IF($L62&lt;&gt;"",$L62,IF($R62="",0,SUBSTITUTE(SUBSTITUTE(IF(INDEX(NVLSX!$O$1556:$O$4654,$R62,0)="",INDEX(NVLSX!$I$1556:$I$4654,$R62,0),IF(OR(INDEX(NVLSX!$O$1556:$O$4654,$R62,0)=$H$4,INDEX(NVLSX!$O$1556:$O$4654,$R62,0)=$H$5,INDEX(NVLSX!$O$1556:$O$4654,$R62,0)=$H$6,INDEX(NVLSX!$O$1556:$O$4654,$R62,0)=$R$6,INDEX(NVLSX!$O$1556:$O$4654,$R62,0)=$R$3,INDEX(NVLSX!$O$1556:$O$4654,$R62,0)=$R$4,INDEX(NVLSX!$O$1556:$O$4654,$R62,0)=$R$5,INDEX(NVLSX!$O$1556:$O$4654,$R62,0)=$H$3,INDEX(NVLSX!$O$1556:$O$4654,$R62,0)=$R$2,INDEX(NVLSX!$O$1556:$O$4654,$R62,0)=$D$12),INDEX(NVLSX!$I$1556:$I$4654,$R62,0),0)),$C$10,$D$10),$C$8,$D$8  )))</f>
        <v>0</v>
      </c>
      <c r="X62" s="507"/>
      <c r="Y62" s="557"/>
      <c r="AA62" s="564"/>
      <c r="AB62" s="564"/>
      <c r="AC62" s="564"/>
      <c r="AD62" s="564"/>
      <c r="AE62" s="714">
        <f t="shared" ca="1" si="5"/>
        <v>0</v>
      </c>
      <c r="AF62" s="270"/>
      <c r="AG62" s="1168"/>
      <c r="AH62" s="1168"/>
      <c r="AI62" s="1168"/>
      <c r="AJ62" s="1168"/>
      <c r="AK62" s="1168"/>
      <c r="AL62" s="1168"/>
      <c r="AM62" s="1168"/>
      <c r="AN62" s="1168"/>
    </row>
    <row r="63" spans="1:40" s="143" customFormat="1">
      <c r="A63" s="1417"/>
      <c r="B63" s="149" t="str">
        <f ca="1">IF($C63&lt;&gt;"",1 + MAX($B$20:$B62),"" )</f>
        <v/>
      </c>
      <c r="C63" s="290" t="str">
        <f ca="1">IF($K63&lt;&gt;"",$K63,IF(OR($R63="",$G63=0),"",INDEX(NVLSX!E$1556:E$4654,$R63)))</f>
        <v/>
      </c>
      <c r="D63" s="245" t="str">
        <f ca="1">IF($C63="","",INDEX(NVLSX!$F$2:$F$6941,MATCH($C63,NVLSX!$E$2:$E$6941,0)))</f>
        <v/>
      </c>
      <c r="E63" s="246" t="str">
        <f ca="1">IF($C63="","",IF($R63="","",INDEX(NVLSX!G$1556:G$4654,$R63)))</f>
        <v/>
      </c>
      <c r="F63" s="248">
        <f ca="1">IF(OR($S63="",$G63=0),0,TinhCT)</f>
        <v>0</v>
      </c>
      <c r="G63" s="249">
        <f ca="1">TinhCTSL</f>
        <v>0</v>
      </c>
      <c r="H63" s="249">
        <f t="shared" ca="1" si="12"/>
        <v>0</v>
      </c>
      <c r="I63" s="248"/>
      <c r="J63" s="878">
        <f ca="1">IF($C63="",0,IFERROR(INDEX(NVLSX!$M$4:$M$6941,MATCH($C63,NVLSX!$E$4:$E$6941,0)),0) + IFERROR(IF($Q63=NVLSX!$N$4,INDEX(IF($R$1=DanhMuc!$C$179,DanhMuc!$C$180:$C$188,DanhMuc!$D$180:$D$188),MATCH($F$4,DanhMuc!$B$180:$B$188,0)),0),0))</f>
        <v>0</v>
      </c>
      <c r="K63" s="253"/>
      <c r="L63" s="251"/>
      <c r="M63" s="911">
        <f ca="1">IF($C63="",0,IF($K63&lt;&gt;"",IF(INDEX(NVLSX!$N$2:$N$6941,MATCH($C63,NVLSX!$E$2:$E$6941,0))=NVLSX!$N$4,ROUND(INDEX(NVLSX!$L$2:$L$6941,MATCH($C63,NVLSX!$E$2:$E$6941,0))/$N$12,2),   ROUND(INDEX(NVLSX!$L$2:$L$6941,MATCH($C63,NVLSX!$E$2:$E$6941,0)),2)), IF(INDEX(NVLSX!$N$1556:$N$4654,$R63)=NVLSX!$N$4,ROUND(INDEX(NVLSX!$L$1556:$L$4654,$R63)/$N$12,2),   ROUND(INDEX(NVLSX!$L$1556:$L$4654,$R63),2))))</f>
        <v>0</v>
      </c>
      <c r="N63" s="559">
        <f t="shared" ca="1" si="13"/>
        <v>0</v>
      </c>
      <c r="O63" s="559">
        <f t="shared" ca="1" si="13"/>
        <v>0</v>
      </c>
      <c r="P63" s="547" t="str">
        <f ca="1">IF(OR($C63="",$C63=0),"",IF(INDEX(NVLSX!$H$1556:$H$4654,$R63)&lt;&gt;"",INDEX(NVLSX!$H$1556:$H$4654,$R63),$F$5))</f>
        <v/>
      </c>
      <c r="Q63" s="548" t="str">
        <f ca="1">IF(OR($C63="",$C63=0),"",INDEX(NVLSX!N$6:N$6941,MATCH($C63,NVLSX!$E$6:$E$6941,0)))</f>
        <v/>
      </c>
      <c r="R63" s="565" t="str">
        <f ca="1">IF($I$2=NVLSX!$F$6930,"",IF(TYPE(MATCH(LEFT($K$1,3) &amp; "00-" &amp; MID($K$1,SEARCH("-",$K$1,1)+1,LEN($K$1)-6) &amp;"-" &amp;IF($D$5="","",INDEX(DanhMuc!$B$168:$B$177,MATCH($D$5,DanhMuc!$C$168:$C$177,0))),OFFSET(NVLSX!$B$1556,R62,0):'NVLSX'!$B$4654,0)+R62)=16,"",MATCH(LEFT($K$1,3) &amp; "00-" &amp; MID($K$1,SEARCH("-",$K$1,1)+1,LEN($K$1)-6) &amp;"-" &amp;IF($D$5="","",INDEX(DanhMuc!$B$168:$B$177,MATCH($D$5,DanhMuc!$C$168:$C$177,0))),OFFSET(NVLSX!$B$1556,R62,0):'NVLSX'!$B$4654,0)+R62))</f>
        <v/>
      </c>
      <c r="S63" s="566" t="str">
        <f ca="1">SUBSTITUTE(SUBSTITUTE(SUBSTITUTE(SUBSTITUTE(SUBSTITUTE(IF($R63="",0,INDEX(NVLSX!J$1556:J$4654,$R63)),$C$8,$D$8),$C$9,$D$9),$C$10,$D$10),$C$11,$D$11),$P$12,$Q$12)</f>
        <v>0</v>
      </c>
      <c r="T63" s="551" t="str">
        <f ca="1">IF(OR($C63="",$C63=0),"", IF(OR(AND(OR($Q63=NVLSX!$N$4,$Q63=NVLSX!$N$6492),COUNTIFS($C$14:$C63,$C63,$F$14:$F63,$F63,$I$14:$I63,$I63)&lt;=1), COUNTIF($C$14:$C63,$C63) &lt;=1 ),$T$13, ""    ))</f>
        <v/>
      </c>
      <c r="U63" s="644">
        <f t="shared" ca="1" si="14"/>
        <v>0</v>
      </c>
      <c r="V63" s="564"/>
      <c r="W63" s="568">
        <f ca="1">IF($L63&lt;&gt;"",$L63,IF($R63="",0,SUBSTITUTE(SUBSTITUTE(IF(INDEX(NVLSX!$O$1556:$O$4654,$R63,0)="",INDEX(NVLSX!$I$1556:$I$4654,$R63,0),IF(OR(INDEX(NVLSX!$O$1556:$O$4654,$R63,0)=$H$4,INDEX(NVLSX!$O$1556:$O$4654,$R63,0)=$H$5,INDEX(NVLSX!$O$1556:$O$4654,$R63,0)=$H$6,INDEX(NVLSX!$O$1556:$O$4654,$R63,0)=$R$6,INDEX(NVLSX!$O$1556:$O$4654,$R63,0)=$R$3,INDEX(NVLSX!$O$1556:$O$4654,$R63,0)=$R$4,INDEX(NVLSX!$O$1556:$O$4654,$R63,0)=$R$5,INDEX(NVLSX!$O$1556:$O$4654,$R63,0)=$H$3,INDEX(NVLSX!$O$1556:$O$4654,$R63,0)=$R$2,INDEX(NVLSX!$O$1556:$O$4654,$R63,0)=$D$12),INDEX(NVLSX!$I$1556:$I$4654,$R63,0),0)),$C$10,$D$10),$C$8,$D$8  )))</f>
        <v>0</v>
      </c>
      <c r="X63" s="507"/>
      <c r="Y63" s="557"/>
      <c r="AA63" s="564"/>
      <c r="AB63" s="564"/>
      <c r="AC63" s="564"/>
      <c r="AD63" s="564"/>
      <c r="AE63" s="714">
        <f t="shared" ca="1" si="5"/>
        <v>0</v>
      </c>
      <c r="AF63" s="270"/>
      <c r="AG63" s="1168"/>
      <c r="AH63" s="1168"/>
      <c r="AI63" s="1168"/>
      <c r="AJ63" s="1168"/>
      <c r="AK63" s="1168"/>
      <c r="AL63" s="1168"/>
      <c r="AM63" s="1168"/>
      <c r="AN63" s="1168"/>
    </row>
    <row r="64" spans="1:40" s="143" customFormat="1">
      <c r="A64" s="1417"/>
      <c r="B64" s="149" t="str">
        <f ca="1">IF($C64&lt;&gt;"",1 + MAX($B$20:$B63),"" )</f>
        <v/>
      </c>
      <c r="C64" s="290" t="str">
        <f ca="1">IF($K64&lt;&gt;"",$K64,IF(OR($R64="",$G64=0),"",INDEX(NVLSX!E$1556:E$4654,$R64)))</f>
        <v/>
      </c>
      <c r="D64" s="245" t="str">
        <f ca="1">IF($C64="","",INDEX(NVLSX!$F$2:$F$6941,MATCH($C64,NVLSX!$E$2:$E$6941,0)))</f>
        <v/>
      </c>
      <c r="E64" s="246" t="str">
        <f ca="1">IF($C64="","",IF($R64="","",INDEX(NVLSX!G$1556:G$4654,$R64)))</f>
        <v/>
      </c>
      <c r="F64" s="248">
        <f ca="1">IF(OR($S64="",$G64=0),0,TinhCT)</f>
        <v>0</v>
      </c>
      <c r="G64" s="249">
        <f ca="1">TinhCTSL</f>
        <v>0</v>
      </c>
      <c r="H64" s="249">
        <f t="shared" ca="1" si="12"/>
        <v>0</v>
      </c>
      <c r="I64" s="248"/>
      <c r="J64" s="878">
        <f ca="1">IF($C64="",0,IFERROR(INDEX(NVLSX!$M$4:$M$6941,MATCH($C64,NVLSX!$E$4:$E$6941,0)),0) + IFERROR(IF($Q64=NVLSX!$N$4,INDEX(IF($R$1=DanhMuc!$C$179,DanhMuc!$C$180:$C$188,DanhMuc!$D$180:$D$188),MATCH($F$4,DanhMuc!$B$180:$B$188,0)),0),0))</f>
        <v>0</v>
      </c>
      <c r="K64" s="253"/>
      <c r="L64" s="251"/>
      <c r="M64" s="911">
        <f ca="1">IF($C64="",0,IF($K64&lt;&gt;"",IF(INDEX(NVLSX!$N$2:$N$6941,MATCH($C64,NVLSX!$E$2:$E$6941,0))=NVLSX!$N$4,ROUND(INDEX(NVLSX!$L$2:$L$6941,MATCH($C64,NVLSX!$E$2:$E$6941,0))/$N$12,2),   ROUND(INDEX(NVLSX!$L$2:$L$6941,MATCH($C64,NVLSX!$E$2:$E$6941,0)),2)), IF(INDEX(NVLSX!$N$1556:$N$4654,$R64)=NVLSX!$N$4,ROUND(INDEX(NVLSX!$L$1556:$L$4654,$R64)/$N$12,2),   ROUND(INDEX(NVLSX!$L$1556:$L$4654,$R64),2))))</f>
        <v>0</v>
      </c>
      <c r="N64" s="559">
        <f t="shared" ca="1" si="13"/>
        <v>0</v>
      </c>
      <c r="O64" s="559">
        <f t="shared" ca="1" si="13"/>
        <v>0</v>
      </c>
      <c r="P64" s="547" t="str">
        <f ca="1">IF(OR($C64="",$C64=0),"",IF(INDEX(NVLSX!$H$1556:$H$4654,$R64)&lt;&gt;"",INDEX(NVLSX!$H$1556:$H$4654,$R64),$F$5))</f>
        <v/>
      </c>
      <c r="Q64" s="548" t="str">
        <f ca="1">IF(OR($C64="",$C64=0),"",INDEX(NVLSX!N$6:N$6941,MATCH($C64,NVLSX!$E$6:$E$6941,0)))</f>
        <v/>
      </c>
      <c r="R64" s="565" t="str">
        <f ca="1">IF($I$2=NVLSX!$F$6930,"",IF(TYPE(MATCH(LEFT($K$1,3) &amp; "00-" &amp; MID($K$1,SEARCH("-",$K$1,1)+1,LEN($K$1)-6) &amp;"-" &amp;IF($D$5="","",INDEX(DanhMuc!$B$168:$B$177,MATCH($D$5,DanhMuc!$C$168:$C$177,0))),OFFSET(NVLSX!$B$1556,R63,0):'NVLSX'!$B$4654,0)+R63)=16,"",MATCH(LEFT($K$1,3) &amp; "00-" &amp; MID($K$1,SEARCH("-",$K$1,1)+1,LEN($K$1)-6) &amp;"-" &amp;IF($D$5="","",INDEX(DanhMuc!$B$168:$B$177,MATCH($D$5,DanhMuc!$C$168:$C$177,0))),OFFSET(NVLSX!$B$1556,R63,0):'NVLSX'!$B$4654,0)+R63))</f>
        <v/>
      </c>
      <c r="S64" s="566" t="str">
        <f ca="1">SUBSTITUTE(SUBSTITUTE(SUBSTITUTE(SUBSTITUTE(SUBSTITUTE(IF($R64="",0,INDEX(NVLSX!J$1556:J$4654,$R64)),$C$8,$D$8),$C$9,$D$9),$C$10,$D$10),$C$11,$D$11),$P$12,$Q$12)</f>
        <v>0</v>
      </c>
      <c r="T64" s="551" t="str">
        <f ca="1">IF(OR($C64="",$C64=0),"", IF(OR(AND(OR($Q64=NVLSX!$N$4,$Q64=NVLSX!$N$6492),COUNTIFS($C$14:$C64,$C64,$F$14:$F64,$F64,$I$14:$I64,$I64)&lt;=1), COUNTIF($C$14:$C64,$C64) &lt;=1 ),$T$13, ""    ))</f>
        <v/>
      </c>
      <c r="U64" s="644">
        <f t="shared" ca="1" si="14"/>
        <v>0</v>
      </c>
      <c r="V64" s="564"/>
      <c r="W64" s="568">
        <f ca="1">IF($L64&lt;&gt;"",$L64,IF($R64="",0,SUBSTITUTE(SUBSTITUTE(IF(INDEX(NVLSX!$O$1556:$O$4654,$R64,0)="",INDEX(NVLSX!$I$1556:$I$4654,$R64,0),IF(OR(INDEX(NVLSX!$O$1556:$O$4654,$R64,0)=$H$4,INDEX(NVLSX!$O$1556:$O$4654,$R64,0)=$H$5,INDEX(NVLSX!$O$1556:$O$4654,$R64,0)=$H$6,INDEX(NVLSX!$O$1556:$O$4654,$R64,0)=$R$6,INDEX(NVLSX!$O$1556:$O$4654,$R64,0)=$R$3,INDEX(NVLSX!$O$1556:$O$4654,$R64,0)=$R$4,INDEX(NVLSX!$O$1556:$O$4654,$R64,0)=$R$5,INDEX(NVLSX!$O$1556:$O$4654,$R64,0)=$H$3,INDEX(NVLSX!$O$1556:$O$4654,$R64,0)=$R$2,INDEX(NVLSX!$O$1556:$O$4654,$R64,0)=$D$12),INDEX(NVLSX!$I$1556:$I$4654,$R64,0),0)),$C$10,$D$10),$C$8,$D$8  )))</f>
        <v>0</v>
      </c>
      <c r="X64" s="507"/>
      <c r="Y64" s="557"/>
      <c r="AA64" s="564"/>
      <c r="AB64" s="564"/>
      <c r="AC64" s="564"/>
      <c r="AD64" s="564"/>
      <c r="AE64" s="714">
        <f t="shared" ca="1" si="5"/>
        <v>0</v>
      </c>
      <c r="AF64" s="270"/>
      <c r="AG64" s="1168"/>
      <c r="AH64" s="1168"/>
      <c r="AI64" s="1168"/>
      <c r="AJ64" s="1168"/>
      <c r="AK64" s="1168"/>
      <c r="AL64" s="1168"/>
      <c r="AM64" s="1168"/>
      <c r="AN64" s="1168"/>
    </row>
    <row r="65" spans="1:40" s="143" customFormat="1">
      <c r="A65" s="1417"/>
      <c r="B65" s="149" t="str">
        <f ca="1">IF($C65&lt;&gt;"",1 + MAX($B$20:$B64),"" )</f>
        <v/>
      </c>
      <c r="C65" s="290" t="str">
        <f ca="1">IF($K65&lt;&gt;"",$K65,IF(OR($R65="",$G65=0),"",INDEX(NVLSX!E$1556:E$4654,$R65)))</f>
        <v/>
      </c>
      <c r="D65" s="245" t="str">
        <f ca="1">IF($C65="","",INDEX(NVLSX!$F$2:$F$6941,MATCH($C65,NVLSX!$E$2:$E$6941,0)))</f>
        <v/>
      </c>
      <c r="E65" s="246" t="str">
        <f ca="1">IF($C65="","",IF($R65="","",INDEX(NVLSX!G$1556:G$4654,$R65)))</f>
        <v/>
      </c>
      <c r="F65" s="248">
        <f ca="1">IF(OR($S65="",$G65=0),0,TinhCT)</f>
        <v>0</v>
      </c>
      <c r="G65" s="249">
        <f ca="1">TinhCTSL</f>
        <v>0</v>
      </c>
      <c r="H65" s="249">
        <f t="shared" ca="1" si="12"/>
        <v>0</v>
      </c>
      <c r="I65" s="248"/>
      <c r="J65" s="878">
        <f ca="1">IF($C65="",0,IFERROR(INDEX(NVLSX!$M$4:$M$6941,MATCH($C65,NVLSX!$E$4:$E$6941,0)),0) + IFERROR(IF($Q65=NVLSX!$N$4,INDEX(IF($R$1=DanhMuc!$C$179,DanhMuc!$C$180:$C$188,DanhMuc!$D$180:$D$188),MATCH($F$4,DanhMuc!$B$180:$B$188,0)),0),0))</f>
        <v>0</v>
      </c>
      <c r="K65" s="253"/>
      <c r="L65" s="251"/>
      <c r="M65" s="911">
        <f ca="1">IF($C65="",0,IF($K65&lt;&gt;"",IF(INDEX(NVLSX!$N$2:$N$6941,MATCH($C65,NVLSX!$E$2:$E$6941,0))=NVLSX!$N$4,ROUND(INDEX(NVLSX!$L$2:$L$6941,MATCH($C65,NVLSX!$E$2:$E$6941,0))/$N$12,2),   ROUND(INDEX(NVLSX!$L$2:$L$6941,MATCH($C65,NVLSX!$E$2:$E$6941,0)),2)), IF(INDEX(NVLSX!$N$1556:$N$4654,$R65)=NVLSX!$N$4,ROUND(INDEX(NVLSX!$L$1556:$L$4654,$R65)/$N$12,2),   ROUND(INDEX(NVLSX!$L$1556:$L$4654,$R65),2))))</f>
        <v>0</v>
      </c>
      <c r="N65" s="559">
        <f t="shared" ca="1" si="13"/>
        <v>0</v>
      </c>
      <c r="O65" s="559">
        <f t="shared" ca="1" si="13"/>
        <v>0</v>
      </c>
      <c r="P65" s="547" t="str">
        <f ca="1">IF(OR($C65="",$C65=0),"",IF(INDEX(NVLSX!$H$1556:$H$4654,$R65)&lt;&gt;"",INDEX(NVLSX!$H$1556:$H$4654,$R65),$F$5))</f>
        <v/>
      </c>
      <c r="Q65" s="548" t="str">
        <f ca="1">IF(OR($C65="",$C65=0),"",INDEX(NVLSX!N$6:N$6941,MATCH($C65,NVLSX!$E$6:$E$6941,0)))</f>
        <v/>
      </c>
      <c r="R65" s="565" t="str">
        <f ca="1">IF($I$2=NVLSX!$F$6930,"",IF(TYPE(MATCH(LEFT($K$1,3) &amp; "00-" &amp; MID($K$1,SEARCH("-",$K$1,1)+1,LEN($K$1)-6) &amp;"-" &amp;IF($D$5="","",INDEX(DanhMuc!$B$168:$B$177,MATCH($D$5,DanhMuc!$C$168:$C$177,0))),OFFSET(NVLSX!$B$1556,R64,0):'NVLSX'!$B$4654,0)+R64)=16,"",MATCH(LEFT($K$1,3) &amp; "00-" &amp; MID($K$1,SEARCH("-",$K$1,1)+1,LEN($K$1)-6) &amp;"-" &amp;IF($D$5="","",INDEX(DanhMuc!$B$168:$B$177,MATCH($D$5,DanhMuc!$C$168:$C$177,0))),OFFSET(NVLSX!$B$1556,R64,0):'NVLSX'!$B$4654,0)+R64))</f>
        <v/>
      </c>
      <c r="S65" s="566" t="str">
        <f ca="1">SUBSTITUTE(SUBSTITUTE(SUBSTITUTE(SUBSTITUTE(SUBSTITUTE(IF($R65="",0,INDEX(NVLSX!J$1556:J$4654,$R65)),$C$8,$D$8),$C$9,$D$9),$C$10,$D$10),$C$11,$D$11),$P$12,$Q$12)</f>
        <v>0</v>
      </c>
      <c r="T65" s="551" t="str">
        <f ca="1">IF(OR($C65="",$C65=0),"", IF(OR(AND(OR($Q65=NVLSX!$N$4,$Q65=NVLSX!$N$6492),COUNTIFS($C$14:$C65,$C65,$F$14:$F65,$F65,$I$14:$I65,$I65)&lt;=1), COUNTIF($C$14:$C65,$C65) &lt;=1 ),$T$13, ""    ))</f>
        <v/>
      </c>
      <c r="U65" s="644">
        <f t="shared" ca="1" si="14"/>
        <v>0</v>
      </c>
      <c r="V65" s="564"/>
      <c r="W65" s="568">
        <f ca="1">IF($L65&lt;&gt;"",$L65,IF($R65="",0,SUBSTITUTE(SUBSTITUTE(IF(INDEX(NVLSX!$O$1556:$O$4654,$R65,0)="",INDEX(NVLSX!$I$1556:$I$4654,$R65,0),IF(OR(INDEX(NVLSX!$O$1556:$O$4654,$R65,0)=$H$4,INDEX(NVLSX!$O$1556:$O$4654,$R65,0)=$H$5,INDEX(NVLSX!$O$1556:$O$4654,$R65,0)=$H$6,INDEX(NVLSX!$O$1556:$O$4654,$R65,0)=$R$6,INDEX(NVLSX!$O$1556:$O$4654,$R65,0)=$R$3,INDEX(NVLSX!$O$1556:$O$4654,$R65,0)=$R$4,INDEX(NVLSX!$O$1556:$O$4654,$R65,0)=$R$5,INDEX(NVLSX!$O$1556:$O$4654,$R65,0)=$H$3,INDEX(NVLSX!$O$1556:$O$4654,$R65,0)=$R$2,INDEX(NVLSX!$O$1556:$O$4654,$R65,0)=$D$12),INDEX(NVLSX!$I$1556:$I$4654,$R65,0),0)),$C$10,$D$10),$C$8,$D$8  )))</f>
        <v>0</v>
      </c>
      <c r="X65" s="507"/>
      <c r="Y65" s="557"/>
      <c r="AA65" s="564"/>
      <c r="AB65" s="564"/>
      <c r="AC65" s="564"/>
      <c r="AD65" s="564"/>
      <c r="AE65" s="714">
        <f t="shared" ca="1" si="5"/>
        <v>0</v>
      </c>
      <c r="AF65" s="270"/>
      <c r="AG65" s="1168"/>
      <c r="AH65" s="1168"/>
      <c r="AI65" s="1168"/>
      <c r="AJ65" s="1168"/>
      <c r="AK65" s="1168"/>
      <c r="AL65" s="1168"/>
      <c r="AM65" s="1168"/>
      <c r="AN65" s="1168"/>
    </row>
    <row r="66" spans="1:40" s="143" customFormat="1">
      <c r="A66" s="1417"/>
      <c r="B66" s="149" t="str">
        <f ca="1">IF($C66&lt;&gt;"",1 + MAX($B$20:$B65),"" )</f>
        <v/>
      </c>
      <c r="C66" s="290" t="str">
        <f ca="1">IF($K66&lt;&gt;"",$K66,IF(OR($R66="",$G66=0),"",INDEX(NVLSX!E$1556:E$4654,$R66)))</f>
        <v/>
      </c>
      <c r="D66" s="245" t="str">
        <f ca="1">IF($C66="","",INDEX(NVLSX!$F$2:$F$6941,MATCH($C66,NVLSX!$E$2:$E$6941,0)))</f>
        <v/>
      </c>
      <c r="E66" s="246" t="str">
        <f ca="1">IF($C66="","",IF($R66="","",INDEX(NVLSX!G$1556:G$4654,$R66)))</f>
        <v/>
      </c>
      <c r="F66" s="248">
        <f ca="1">IF(OR($S66="",$G66=0),0,TinhCT)</f>
        <v>0</v>
      </c>
      <c r="G66" s="249">
        <f ca="1">TinhCTSL</f>
        <v>0</v>
      </c>
      <c r="H66" s="249">
        <f t="shared" ca="1" si="12"/>
        <v>0</v>
      </c>
      <c r="I66" s="248"/>
      <c r="J66" s="878">
        <f ca="1">IF($C66="",0,IFERROR(INDEX(NVLSX!$M$4:$M$6941,MATCH($C66,NVLSX!$E$4:$E$6941,0)),0) + IFERROR(IF($Q66=NVLSX!$N$4,INDEX(IF($R$1=DanhMuc!$C$179,DanhMuc!$C$180:$C$188,DanhMuc!$D$180:$D$188),MATCH($F$4,DanhMuc!$B$180:$B$188,0)),0),0))</f>
        <v>0</v>
      </c>
      <c r="K66" s="253"/>
      <c r="L66" s="251"/>
      <c r="M66" s="911">
        <f ca="1">IF($C66="",0,IF($K66&lt;&gt;"",IF(INDEX(NVLSX!$N$2:$N$6941,MATCH($C66,NVLSX!$E$2:$E$6941,0))=NVLSX!$N$4,ROUND(INDEX(NVLSX!$L$2:$L$6941,MATCH($C66,NVLSX!$E$2:$E$6941,0))/$N$12,2),   ROUND(INDEX(NVLSX!$L$2:$L$6941,MATCH($C66,NVLSX!$E$2:$E$6941,0)),2)), IF(INDEX(NVLSX!$N$1556:$N$4654,$R66)=NVLSX!$N$4,ROUND(INDEX(NVLSX!$L$1556:$L$4654,$R66)/$N$12,2),   ROUND(INDEX(NVLSX!$L$1556:$L$4654,$R66),2))))</f>
        <v>0</v>
      </c>
      <c r="N66" s="559">
        <f t="shared" ca="1" si="13"/>
        <v>0</v>
      </c>
      <c r="O66" s="559">
        <f t="shared" ca="1" si="13"/>
        <v>0</v>
      </c>
      <c r="P66" s="547" t="str">
        <f ca="1">IF(OR($C66="",$C66=0),"",IF(INDEX(NVLSX!$H$1556:$H$4654,$R66)&lt;&gt;"",INDEX(NVLSX!$H$1556:$H$4654,$R66),$F$5))</f>
        <v/>
      </c>
      <c r="Q66" s="548" t="str">
        <f ca="1">IF(OR($C66="",$C66=0),"",INDEX(NVLSX!N$6:N$6941,MATCH($C66,NVLSX!$E$6:$E$6941,0)))</f>
        <v/>
      </c>
      <c r="R66" s="565" t="str">
        <f ca="1">IF($I$2=NVLSX!$F$6930,"",IF(TYPE(MATCH(LEFT($K$1,3) &amp; "00-" &amp; MID($K$1,SEARCH("-",$K$1,1)+1,LEN($K$1)-6) &amp;"-" &amp;IF($D$5="","",INDEX(DanhMuc!$B$168:$B$177,MATCH($D$5,DanhMuc!$C$168:$C$177,0))),OFFSET(NVLSX!$B$1556,R65,0):'NVLSX'!$B$4654,0)+R65)=16,"",MATCH(LEFT($K$1,3) &amp; "00-" &amp; MID($K$1,SEARCH("-",$K$1,1)+1,LEN($K$1)-6) &amp;"-" &amp;IF($D$5="","",INDEX(DanhMuc!$B$168:$B$177,MATCH($D$5,DanhMuc!$C$168:$C$177,0))),OFFSET(NVLSX!$B$1556,R65,0):'NVLSX'!$B$4654,0)+R65))</f>
        <v/>
      </c>
      <c r="S66" s="566" t="str">
        <f ca="1">SUBSTITUTE(SUBSTITUTE(SUBSTITUTE(SUBSTITUTE(SUBSTITUTE(IF($R66="",0,INDEX(NVLSX!J$1556:J$4654,$R66)),$C$8,$D$8),$C$9,$D$9),$C$10,$D$10),$C$11,$D$11),$P$12,$Q$12)</f>
        <v>0</v>
      </c>
      <c r="T66" s="551" t="str">
        <f ca="1">IF(OR($C66="",$C66=0),"", IF(OR(AND(OR($Q66=NVLSX!$N$4,$Q66=NVLSX!$N$6492),COUNTIFS($C$14:$C66,$C66,$F$14:$F66,$F66,$I$14:$I66,$I66)&lt;=1), COUNTIF($C$14:$C66,$C66) &lt;=1 ),$T$13, ""    ))</f>
        <v/>
      </c>
      <c r="U66" s="644">
        <f t="shared" ca="1" si="14"/>
        <v>0</v>
      </c>
      <c r="V66" s="564"/>
      <c r="W66" s="568">
        <f ca="1">IF($L66&lt;&gt;"",$L66,IF($R66="",0,SUBSTITUTE(SUBSTITUTE(IF(INDEX(NVLSX!$O$1556:$O$4654,$R66,0)="",INDEX(NVLSX!$I$1556:$I$4654,$R66,0),IF(OR(INDEX(NVLSX!$O$1556:$O$4654,$R66,0)=$H$4,INDEX(NVLSX!$O$1556:$O$4654,$R66,0)=$H$5,INDEX(NVLSX!$O$1556:$O$4654,$R66,0)=$H$6,INDEX(NVLSX!$O$1556:$O$4654,$R66,0)=$R$6,INDEX(NVLSX!$O$1556:$O$4654,$R66,0)=$R$3,INDEX(NVLSX!$O$1556:$O$4654,$R66,0)=$R$4,INDEX(NVLSX!$O$1556:$O$4654,$R66,0)=$R$5,INDEX(NVLSX!$O$1556:$O$4654,$R66,0)=$H$3,INDEX(NVLSX!$O$1556:$O$4654,$R66,0)=$R$2,INDEX(NVLSX!$O$1556:$O$4654,$R66,0)=$D$12),INDEX(NVLSX!$I$1556:$I$4654,$R66,0),0)),$C$10,$D$10),$C$8,$D$8  )))</f>
        <v>0</v>
      </c>
      <c r="X66" s="507"/>
      <c r="Y66" s="557"/>
      <c r="AA66" s="564"/>
      <c r="AB66" s="564"/>
      <c r="AC66" s="564"/>
      <c r="AD66" s="564"/>
      <c r="AE66" s="714">
        <f t="shared" ca="1" si="5"/>
        <v>0</v>
      </c>
      <c r="AF66" s="270"/>
      <c r="AG66" s="1168"/>
      <c r="AH66" s="1168"/>
      <c r="AI66" s="1168"/>
      <c r="AJ66" s="1168"/>
      <c r="AK66" s="1168"/>
      <c r="AL66" s="1168"/>
      <c r="AM66" s="1168"/>
      <c r="AN66" s="1168"/>
    </row>
    <row r="67" spans="1:40" s="143" customFormat="1">
      <c r="A67" s="1417"/>
      <c r="B67" s="149" t="str">
        <f ca="1">IF($C67&lt;&gt;"",1 + MAX($B$20:$B66),"" )</f>
        <v/>
      </c>
      <c r="C67" s="290" t="str">
        <f ca="1">IF($K67&lt;&gt;"",$K67,IF(OR($R67="",$G67=0),"",INDEX(NVLSX!E$1556:E$4654,$R67)))</f>
        <v/>
      </c>
      <c r="D67" s="245" t="str">
        <f ca="1">IF($C67="","",INDEX(NVLSX!$F$2:$F$6941,MATCH($C67,NVLSX!$E$2:$E$6941,0)))</f>
        <v/>
      </c>
      <c r="E67" s="246" t="str">
        <f ca="1">IF($C67="","",IF($R67="","",INDEX(NVLSX!G$1556:G$4654,$R67)))</f>
        <v/>
      </c>
      <c r="F67" s="248">
        <f ca="1">IF(OR($S67="",$G67=0),0,TinhCT)</f>
        <v>0</v>
      </c>
      <c r="G67" s="249">
        <f ca="1">TinhCTSL</f>
        <v>0</v>
      </c>
      <c r="H67" s="249">
        <f t="shared" ca="1" si="12"/>
        <v>0</v>
      </c>
      <c r="I67" s="248"/>
      <c r="J67" s="878">
        <f ca="1">IF($C67="",0,IFERROR(INDEX(NVLSX!$M$4:$M$6941,MATCH($C67,NVLSX!$E$4:$E$6941,0)),0) + IFERROR(IF($Q67=NVLSX!$N$4,INDEX(IF($R$1=DanhMuc!$C$179,DanhMuc!$C$180:$C$188,DanhMuc!$D$180:$D$188),MATCH($F$4,DanhMuc!$B$180:$B$188,0)),0),0))</f>
        <v>0</v>
      </c>
      <c r="K67" s="253"/>
      <c r="L67" s="251"/>
      <c r="M67" s="911">
        <f ca="1">IF($C67="",0,IF($K67&lt;&gt;"",IF(INDEX(NVLSX!$N$2:$N$6941,MATCH($C67,NVLSX!$E$2:$E$6941,0))=NVLSX!$N$4,ROUND(INDEX(NVLSX!$L$2:$L$6941,MATCH($C67,NVLSX!$E$2:$E$6941,0))/$N$12,2),   ROUND(INDEX(NVLSX!$L$2:$L$6941,MATCH($C67,NVLSX!$E$2:$E$6941,0)),2)), IF(INDEX(NVLSX!$N$1556:$N$4654,$R67)=NVLSX!$N$4,ROUND(INDEX(NVLSX!$L$1556:$L$4654,$R67)/$N$12,2),   ROUND(INDEX(NVLSX!$L$1556:$L$4654,$R67),2))))</f>
        <v>0</v>
      </c>
      <c r="N67" s="559">
        <f t="shared" ca="1" si="13"/>
        <v>0</v>
      </c>
      <c r="O67" s="559">
        <f t="shared" ca="1" si="13"/>
        <v>0</v>
      </c>
      <c r="P67" s="547" t="str">
        <f ca="1">IF(OR($C67="",$C67=0),"",IF(INDEX(NVLSX!$H$1556:$H$4654,$R67)&lt;&gt;"",INDEX(NVLSX!$H$1556:$H$4654,$R67),$F$5))</f>
        <v/>
      </c>
      <c r="Q67" s="548" t="str">
        <f ca="1">IF(OR($C67="",$C67=0),"",INDEX(NVLSX!N$6:N$6941,MATCH($C67,NVLSX!$E$6:$E$6941,0)))</f>
        <v/>
      </c>
      <c r="R67" s="565" t="str">
        <f ca="1">IF($I$2=NVLSX!$F$6930,"",IF(TYPE(MATCH(LEFT($K$1,3) &amp; "00-" &amp; MID($K$1,SEARCH("-",$K$1,1)+1,LEN($K$1)-6) &amp;"-" &amp;IF($D$5="","",INDEX(DanhMuc!$B$168:$B$177,MATCH($D$5,DanhMuc!$C$168:$C$177,0))),OFFSET(NVLSX!$B$1556,R66,0):'NVLSX'!$B$4654,0)+R66)=16,"",MATCH(LEFT($K$1,3) &amp; "00-" &amp; MID($K$1,SEARCH("-",$K$1,1)+1,LEN($K$1)-6) &amp;"-" &amp;IF($D$5="","",INDEX(DanhMuc!$B$168:$B$177,MATCH($D$5,DanhMuc!$C$168:$C$177,0))),OFFSET(NVLSX!$B$1556,R66,0):'NVLSX'!$B$4654,0)+R66))</f>
        <v/>
      </c>
      <c r="S67" s="566" t="str">
        <f ca="1">SUBSTITUTE(SUBSTITUTE(SUBSTITUTE(SUBSTITUTE(SUBSTITUTE(IF($R67="",0,INDEX(NVLSX!J$1556:J$4654,$R67)),$C$8,$D$8),$C$9,$D$9),$C$10,$D$10),$C$11,$D$11),$P$12,$Q$12)</f>
        <v>0</v>
      </c>
      <c r="T67" s="551" t="str">
        <f ca="1">IF(OR($C67="",$C67=0),"", IF(OR(AND(OR($Q67=NVLSX!$N$4,$Q67=NVLSX!$N$6492),COUNTIFS($C$14:$C67,$C67,$F$14:$F67,$F67,$I$14:$I67,$I67)&lt;=1), COUNTIF($C$14:$C67,$C67) &lt;=1 ),$T$13, ""    ))</f>
        <v/>
      </c>
      <c r="U67" s="644">
        <f t="shared" ca="1" si="14"/>
        <v>0</v>
      </c>
      <c r="V67" s="564"/>
      <c r="W67" s="568">
        <f ca="1">IF($L67&lt;&gt;"",$L67,IF($R67="",0,SUBSTITUTE(SUBSTITUTE(IF(INDEX(NVLSX!$O$1556:$O$4654,$R67,0)="",INDEX(NVLSX!$I$1556:$I$4654,$R67,0),IF(OR(INDEX(NVLSX!$O$1556:$O$4654,$R67,0)=$H$4,INDEX(NVLSX!$O$1556:$O$4654,$R67,0)=$H$5,INDEX(NVLSX!$O$1556:$O$4654,$R67,0)=$H$6,INDEX(NVLSX!$O$1556:$O$4654,$R67,0)=$R$6,INDEX(NVLSX!$O$1556:$O$4654,$R67,0)=$R$3,INDEX(NVLSX!$O$1556:$O$4654,$R67,0)=$R$4,INDEX(NVLSX!$O$1556:$O$4654,$R67,0)=$R$5,INDEX(NVLSX!$O$1556:$O$4654,$R67,0)=$H$3,INDEX(NVLSX!$O$1556:$O$4654,$R67,0)=$R$2,INDEX(NVLSX!$O$1556:$O$4654,$R67,0)=$D$12),INDEX(NVLSX!$I$1556:$I$4654,$R67,0),0)),$C$10,$D$10),$C$8,$D$8  )))</f>
        <v>0</v>
      </c>
      <c r="X67" s="507"/>
      <c r="Y67" s="557"/>
      <c r="AA67" s="564"/>
      <c r="AB67" s="564"/>
      <c r="AC67" s="564"/>
      <c r="AD67" s="564"/>
      <c r="AE67" s="714">
        <f t="shared" ca="1" si="5"/>
        <v>0</v>
      </c>
      <c r="AF67" s="270"/>
      <c r="AG67" s="1168"/>
      <c r="AH67" s="1168"/>
      <c r="AI67" s="1168"/>
      <c r="AJ67" s="1168"/>
      <c r="AK67" s="1168"/>
      <c r="AL67" s="1168"/>
      <c r="AM67" s="1168"/>
      <c r="AN67" s="1168"/>
    </row>
    <row r="68" spans="1:40" s="143" customFormat="1">
      <c r="A68" s="1417"/>
      <c r="B68" s="149" t="str">
        <f ca="1">IF($C68&lt;&gt;"",1 + MAX($B$20:$B67),"" )</f>
        <v/>
      </c>
      <c r="C68" s="290" t="str">
        <f ca="1">IF($K68&lt;&gt;"",$K68,IF(OR($R68="",$G68=0),"",INDEX(NVLSX!E$1556:E$4654,$R68)))</f>
        <v/>
      </c>
      <c r="D68" s="245" t="str">
        <f ca="1">IF($C68="","",INDEX(NVLSX!$F$2:$F$6941,MATCH($C68,NVLSX!$E$2:$E$6941,0)))</f>
        <v/>
      </c>
      <c r="E68" s="246" t="str">
        <f ca="1">IF($C68="","",IF($R68="","",INDEX(NVLSX!G$1556:G$4654,$R68)))</f>
        <v/>
      </c>
      <c r="F68" s="248">
        <f ca="1">IF(OR($S68="",$G68=0),0,TinhCT)</f>
        <v>0</v>
      </c>
      <c r="G68" s="249">
        <f ca="1">TinhCTSL</f>
        <v>0</v>
      </c>
      <c r="H68" s="249">
        <f t="shared" ca="1" si="12"/>
        <v>0</v>
      </c>
      <c r="I68" s="248"/>
      <c r="J68" s="878">
        <f ca="1">IF($C68="",0,IFERROR(INDEX(NVLSX!$M$4:$M$6941,MATCH($C68,NVLSX!$E$4:$E$6941,0)),0) + IFERROR(IF($Q68=NVLSX!$N$4,INDEX(IF($R$1=DanhMuc!$C$179,DanhMuc!$C$180:$C$188,DanhMuc!$D$180:$D$188),MATCH($F$4,DanhMuc!$B$180:$B$188,0)),0),0))</f>
        <v>0</v>
      </c>
      <c r="K68" s="253"/>
      <c r="L68" s="251"/>
      <c r="M68" s="911">
        <f ca="1">IF($C68="",0,IF($K68&lt;&gt;"",IF(INDEX(NVLSX!$N$2:$N$6941,MATCH($C68,NVLSX!$E$2:$E$6941,0))=NVLSX!$N$4,ROUND(INDEX(NVLSX!$L$2:$L$6941,MATCH($C68,NVLSX!$E$2:$E$6941,0))/$N$12,2),   ROUND(INDEX(NVLSX!$L$2:$L$6941,MATCH($C68,NVLSX!$E$2:$E$6941,0)),2)), IF(INDEX(NVLSX!$N$1556:$N$4654,$R68)=NVLSX!$N$4,ROUND(INDEX(NVLSX!$L$1556:$L$4654,$R68)/$N$12,2),   ROUND(INDEX(NVLSX!$L$1556:$L$4654,$R68),2))))</f>
        <v>0</v>
      </c>
      <c r="N68" s="559">
        <f t="shared" ca="1" si="13"/>
        <v>0</v>
      </c>
      <c r="O68" s="559">
        <f t="shared" ca="1" si="13"/>
        <v>0</v>
      </c>
      <c r="P68" s="547" t="str">
        <f ca="1">IF(OR($C68="",$C68=0),"",IF(INDEX(NVLSX!$H$1556:$H$4654,$R68)&lt;&gt;"",INDEX(NVLSX!$H$1556:$H$4654,$R68),$F$5))</f>
        <v/>
      </c>
      <c r="Q68" s="548" t="str">
        <f ca="1">IF(OR($C68="",$C68=0),"",INDEX(NVLSX!N$6:N$6941,MATCH($C68,NVLSX!$E$6:$E$6941,0)))</f>
        <v/>
      </c>
      <c r="R68" s="565" t="str">
        <f ca="1">IF($I$2=NVLSX!$F$6930,"",IF(TYPE(MATCH(LEFT($K$1,3) &amp; "00-" &amp; MID($K$1,SEARCH("-",$K$1,1)+1,LEN($K$1)-6) &amp;"-" &amp;IF($D$5="","",INDEX(DanhMuc!$B$168:$B$177,MATCH($D$5,DanhMuc!$C$168:$C$177,0))),OFFSET(NVLSX!$B$1556,R67,0):'NVLSX'!$B$4654,0)+R67)=16,"",MATCH(LEFT($K$1,3) &amp; "00-" &amp; MID($K$1,SEARCH("-",$K$1,1)+1,LEN($K$1)-6) &amp;"-" &amp;IF($D$5="","",INDEX(DanhMuc!$B$168:$B$177,MATCH($D$5,DanhMuc!$C$168:$C$177,0))),OFFSET(NVLSX!$B$1556,R67,0):'NVLSX'!$B$4654,0)+R67))</f>
        <v/>
      </c>
      <c r="S68" s="566" t="str">
        <f ca="1">SUBSTITUTE(SUBSTITUTE(SUBSTITUTE(SUBSTITUTE(SUBSTITUTE(IF($R68="",0,INDEX(NVLSX!J$1556:J$4654,$R68)),$C$8,$D$8),$C$9,$D$9),$C$10,$D$10),$C$11,$D$11),$P$12,$Q$12)</f>
        <v>0</v>
      </c>
      <c r="T68" s="551" t="str">
        <f ca="1">IF(OR($C68="",$C68=0),"", IF(OR(AND(OR($Q68=NVLSX!$N$4,$Q68=NVLSX!$N$6492),COUNTIFS($C$14:$C68,$C68,$F$14:$F68,$F68,$I$14:$I68,$I68)&lt;=1), COUNTIF($C$14:$C68,$C68) &lt;=1 ),$T$13, ""    ))</f>
        <v/>
      </c>
      <c r="U68" s="644">
        <f t="shared" ca="1" si="14"/>
        <v>0</v>
      </c>
      <c r="V68" s="564"/>
      <c r="W68" s="568">
        <f ca="1">IF($L68&lt;&gt;"",$L68,IF($R68="",0,SUBSTITUTE(SUBSTITUTE(IF(INDEX(NVLSX!$O$1556:$O$4654,$R68,0)="",INDEX(NVLSX!$I$1556:$I$4654,$R68,0),IF(OR(INDEX(NVLSX!$O$1556:$O$4654,$R68,0)=$H$4,INDEX(NVLSX!$O$1556:$O$4654,$R68,0)=$H$5,INDEX(NVLSX!$O$1556:$O$4654,$R68,0)=$H$6,INDEX(NVLSX!$O$1556:$O$4654,$R68,0)=$R$6,INDEX(NVLSX!$O$1556:$O$4654,$R68,0)=$R$3,INDEX(NVLSX!$O$1556:$O$4654,$R68,0)=$R$4,INDEX(NVLSX!$O$1556:$O$4654,$R68,0)=$R$5,INDEX(NVLSX!$O$1556:$O$4654,$R68,0)=$H$3,INDEX(NVLSX!$O$1556:$O$4654,$R68,0)=$R$2,INDEX(NVLSX!$O$1556:$O$4654,$R68,0)=$D$12),INDEX(NVLSX!$I$1556:$I$4654,$R68,0),0)),$C$10,$D$10),$C$8,$D$8  )))</f>
        <v>0</v>
      </c>
      <c r="X68" s="507"/>
      <c r="Y68" s="557"/>
      <c r="AA68" s="564"/>
      <c r="AB68" s="564"/>
      <c r="AC68" s="564"/>
      <c r="AD68" s="564"/>
      <c r="AE68" s="714">
        <f t="shared" ca="1" si="5"/>
        <v>0</v>
      </c>
      <c r="AF68" s="270"/>
      <c r="AG68" s="1168"/>
      <c r="AH68" s="1168"/>
      <c r="AI68" s="1168"/>
      <c r="AJ68" s="1168"/>
      <c r="AK68" s="1168"/>
      <c r="AL68" s="1168"/>
      <c r="AM68" s="1168"/>
      <c r="AN68" s="1168"/>
    </row>
    <row r="69" spans="1:40" s="143" customFormat="1">
      <c r="A69" s="1417"/>
      <c r="B69" s="149" t="str">
        <f ca="1">IF($C69&lt;&gt;"",1 + MAX($B$20:$B68),"" )</f>
        <v/>
      </c>
      <c r="C69" s="290" t="str">
        <f ca="1">IF($K69&lt;&gt;"",$K69,IF(OR($R69="",$G69=0),"",INDEX(NVLSX!E$1556:E$4654,$R69)))</f>
        <v/>
      </c>
      <c r="D69" s="245" t="str">
        <f ca="1">IF($C69="","",INDEX(NVLSX!$F$2:$F$6941,MATCH($C69,NVLSX!$E$2:$E$6941,0)))</f>
        <v/>
      </c>
      <c r="E69" s="246" t="str">
        <f ca="1">IF($C69="","",IF($R69="","",INDEX(NVLSX!G$1556:G$4654,$R69)))</f>
        <v/>
      </c>
      <c r="F69" s="248">
        <f ca="1">IF(OR($S69="",$G69=0),0,TinhCT)</f>
        <v>0</v>
      </c>
      <c r="G69" s="249">
        <f ca="1">TinhCTSL</f>
        <v>0</v>
      </c>
      <c r="H69" s="249">
        <f t="shared" ca="1" si="12"/>
        <v>0</v>
      </c>
      <c r="I69" s="248"/>
      <c r="J69" s="878">
        <f ca="1">IF($C69="",0,IFERROR(INDEX(NVLSX!$M$4:$M$6941,MATCH($C69,NVLSX!$E$4:$E$6941,0)),0) + IFERROR(IF($Q69=NVLSX!$N$4,INDEX(IF($R$1=DanhMuc!$C$179,DanhMuc!$C$180:$C$188,DanhMuc!$D$180:$D$188),MATCH($F$4,DanhMuc!$B$180:$B$188,0)),0),0))</f>
        <v>0</v>
      </c>
      <c r="K69" s="253"/>
      <c r="L69" s="251"/>
      <c r="M69" s="911">
        <f ca="1">IF($C69="",0,IF($K69&lt;&gt;"",IF(INDEX(NVLSX!$N$2:$N$6941,MATCH($C69,NVLSX!$E$2:$E$6941,0))=NVLSX!$N$4,ROUND(INDEX(NVLSX!$L$2:$L$6941,MATCH($C69,NVLSX!$E$2:$E$6941,0))/$N$12,2),   ROUND(INDEX(NVLSX!$L$2:$L$6941,MATCH($C69,NVLSX!$E$2:$E$6941,0)),2)), IF(INDEX(NVLSX!$N$1556:$N$4654,$R69)=NVLSX!$N$4,ROUND(INDEX(NVLSX!$L$1556:$L$4654,$R69)/$N$12,2),   ROUND(INDEX(NVLSX!$L$1556:$L$4654,$R69),2))))</f>
        <v>0</v>
      </c>
      <c r="N69" s="559">
        <f t="shared" ca="1" si="13"/>
        <v>0</v>
      </c>
      <c r="O69" s="559">
        <f t="shared" ca="1" si="13"/>
        <v>0</v>
      </c>
      <c r="P69" s="547" t="str">
        <f ca="1">IF(OR($C69="",$C69=0),"",IF(INDEX(NVLSX!$H$1556:$H$4654,$R69)&lt;&gt;"",INDEX(NVLSX!$H$1556:$H$4654,$R69),$F$5))</f>
        <v/>
      </c>
      <c r="Q69" s="548" t="str">
        <f ca="1">IF(OR($C69="",$C69=0),"",INDEX(NVLSX!N$6:N$6941,MATCH($C69,NVLSX!$E$6:$E$6941,0)))</f>
        <v/>
      </c>
      <c r="R69" s="565" t="str">
        <f ca="1">IF($I$2=NVLSX!$F$6930,"",IF(TYPE(MATCH(LEFT($K$1,3) &amp; "00-" &amp; MID($K$1,SEARCH("-",$K$1,1)+1,LEN($K$1)-6) &amp;"-" &amp;IF($D$5="","",INDEX(DanhMuc!$B$168:$B$177,MATCH($D$5,DanhMuc!$C$168:$C$177,0))),OFFSET(NVLSX!$B$1556,R68,0):'NVLSX'!$B$4654,0)+R68)=16,"",MATCH(LEFT($K$1,3) &amp; "00-" &amp; MID($K$1,SEARCH("-",$K$1,1)+1,LEN($K$1)-6) &amp;"-" &amp;IF($D$5="","",INDEX(DanhMuc!$B$168:$B$177,MATCH($D$5,DanhMuc!$C$168:$C$177,0))),OFFSET(NVLSX!$B$1556,R68,0):'NVLSX'!$B$4654,0)+R68))</f>
        <v/>
      </c>
      <c r="S69" s="566" t="str">
        <f ca="1">SUBSTITUTE(SUBSTITUTE(SUBSTITUTE(SUBSTITUTE(SUBSTITUTE(IF($R69="",0,INDEX(NVLSX!J$1556:J$4654,$R69)),$C$8,$D$8),$C$9,$D$9),$C$10,$D$10),$C$11,$D$11),$P$12,$Q$12)</f>
        <v>0</v>
      </c>
      <c r="T69" s="551" t="str">
        <f ca="1">IF(OR($C69="",$C69=0),"", IF(OR(AND(OR($Q69=NVLSX!$N$4,$Q69=NVLSX!$N$6492),COUNTIFS($C$14:$C69,$C69,$F$14:$F69,$F69,$I$14:$I69,$I69)&lt;=1), COUNTIF($C$14:$C69,$C69) &lt;=1 ),$T$13, ""    ))</f>
        <v/>
      </c>
      <c r="U69" s="644">
        <f t="shared" ca="1" si="14"/>
        <v>0</v>
      </c>
      <c r="V69" s="564"/>
      <c r="W69" s="568">
        <f ca="1">IF($L69&lt;&gt;"",$L69,IF($R69="",0,SUBSTITUTE(SUBSTITUTE(IF(INDEX(NVLSX!$O$1556:$O$4654,$R69,0)="",INDEX(NVLSX!$I$1556:$I$4654,$R69,0),IF(OR(INDEX(NVLSX!$O$1556:$O$4654,$R69,0)=$H$4,INDEX(NVLSX!$O$1556:$O$4654,$R69,0)=$H$5,INDEX(NVLSX!$O$1556:$O$4654,$R69,0)=$H$6,INDEX(NVLSX!$O$1556:$O$4654,$R69,0)=$R$6,INDEX(NVLSX!$O$1556:$O$4654,$R69,0)=$R$3,INDEX(NVLSX!$O$1556:$O$4654,$R69,0)=$R$4,INDEX(NVLSX!$O$1556:$O$4654,$R69,0)=$R$5,INDEX(NVLSX!$O$1556:$O$4654,$R69,0)=$H$3,INDEX(NVLSX!$O$1556:$O$4654,$R69,0)=$R$2,INDEX(NVLSX!$O$1556:$O$4654,$R69,0)=$D$12),INDEX(NVLSX!$I$1556:$I$4654,$R69,0),0)),$C$10,$D$10),$C$8,$D$8  )))</f>
        <v>0</v>
      </c>
      <c r="X69" s="507"/>
      <c r="Y69" s="557"/>
      <c r="AA69" s="564"/>
      <c r="AB69" s="564"/>
      <c r="AC69" s="564"/>
      <c r="AD69" s="564"/>
      <c r="AE69" s="714">
        <f t="shared" ca="1" si="5"/>
        <v>0</v>
      </c>
      <c r="AF69" s="270"/>
      <c r="AG69" s="1168"/>
      <c r="AH69" s="1168"/>
      <c r="AI69" s="1168"/>
      <c r="AJ69" s="1168"/>
      <c r="AK69" s="1168"/>
      <c r="AL69" s="1168"/>
      <c r="AM69" s="1168"/>
      <c r="AN69" s="1168"/>
    </row>
    <row r="70" spans="1:40" s="143" customFormat="1">
      <c r="A70" s="1417"/>
      <c r="B70" s="149" t="str">
        <f ca="1">IF($C70&lt;&gt;"",1 + MAX($B$20:$B69),"" )</f>
        <v/>
      </c>
      <c r="C70" s="290" t="str">
        <f ca="1">IF($K70&lt;&gt;"",$K70,IF(OR($R70="",$G70=0),"",INDEX(NVLSX!E$1556:E$4654,$R70)))</f>
        <v/>
      </c>
      <c r="D70" s="245" t="str">
        <f ca="1">IF($C70="","",INDEX(NVLSX!$F$2:$F$6941,MATCH($C70,NVLSX!$E$2:$E$6941,0)))</f>
        <v/>
      </c>
      <c r="E70" s="246" t="str">
        <f ca="1">IF($C70="","",IF($R70="","",INDEX(NVLSX!G$1556:G$4654,$R70)))</f>
        <v/>
      </c>
      <c r="F70" s="248">
        <f ca="1">IF(OR($S70="",$G70=0),0,TinhCT)</f>
        <v>0</v>
      </c>
      <c r="G70" s="249">
        <f ca="1">TinhCTSL</f>
        <v>0</v>
      </c>
      <c r="H70" s="249">
        <f t="shared" ca="1" si="12"/>
        <v>0</v>
      </c>
      <c r="I70" s="248"/>
      <c r="J70" s="878">
        <f ca="1">IF($C70="",0,IFERROR(INDEX(NVLSX!$M$4:$M$6941,MATCH($C70,NVLSX!$E$4:$E$6941,0)),0) + IFERROR(IF($Q70=NVLSX!$N$4,INDEX(IF($R$1=DanhMuc!$C$179,DanhMuc!$C$180:$C$188,DanhMuc!$D$180:$D$188),MATCH($F$4,DanhMuc!$B$180:$B$188,0)),0),0))</f>
        <v>0</v>
      </c>
      <c r="K70" s="253"/>
      <c r="L70" s="251"/>
      <c r="M70" s="911">
        <f ca="1">IF($C70="",0,IF($K70&lt;&gt;"",IF(INDEX(NVLSX!$N$2:$N$6941,MATCH($C70,NVLSX!$E$2:$E$6941,0))=NVLSX!$N$4,ROUND(INDEX(NVLSX!$L$2:$L$6941,MATCH($C70,NVLSX!$E$2:$E$6941,0))/$N$12,2),   ROUND(INDEX(NVLSX!$L$2:$L$6941,MATCH($C70,NVLSX!$E$2:$E$6941,0)),2)), IF(INDEX(NVLSX!$N$1556:$N$4654,$R70)=NVLSX!$N$4,ROUND(INDEX(NVLSX!$L$1556:$L$4654,$R70)/$N$12,2),   ROUND(INDEX(NVLSX!$L$1556:$L$4654,$R70),2))))</f>
        <v>0</v>
      </c>
      <c r="N70" s="559">
        <f t="shared" ca="1" si="13"/>
        <v>0</v>
      </c>
      <c r="O70" s="559">
        <f t="shared" ca="1" si="13"/>
        <v>0</v>
      </c>
      <c r="P70" s="547" t="str">
        <f ca="1">IF(OR($C70="",$C70=0),"",IF(INDEX(NVLSX!$H$1556:$H$4654,$R70)&lt;&gt;"",INDEX(NVLSX!$H$1556:$H$4654,$R70),$F$5))</f>
        <v/>
      </c>
      <c r="Q70" s="548" t="str">
        <f ca="1">IF(OR($C70="",$C70=0),"",INDEX(NVLSX!N$6:N$6941,MATCH($C70,NVLSX!$E$6:$E$6941,0)))</f>
        <v/>
      </c>
      <c r="R70" s="565" t="str">
        <f ca="1">IF($I$2=NVLSX!$F$6930,"",IF(TYPE(MATCH(LEFT($K$1,3) &amp; "00-" &amp; MID($K$1,SEARCH("-",$K$1,1)+1,LEN($K$1)-6) &amp;"-" &amp;IF($D$5="","",INDEX(DanhMuc!$B$168:$B$177,MATCH($D$5,DanhMuc!$C$168:$C$177,0))),OFFSET(NVLSX!$B$1556,R69,0):'NVLSX'!$B$4654,0)+R69)=16,"",MATCH(LEFT($K$1,3) &amp; "00-" &amp; MID($K$1,SEARCH("-",$K$1,1)+1,LEN($K$1)-6) &amp;"-" &amp;IF($D$5="","",INDEX(DanhMuc!$B$168:$B$177,MATCH($D$5,DanhMuc!$C$168:$C$177,0))),OFFSET(NVLSX!$B$1556,R69,0):'NVLSX'!$B$4654,0)+R69))</f>
        <v/>
      </c>
      <c r="S70" s="566" t="str">
        <f ca="1">SUBSTITUTE(SUBSTITUTE(SUBSTITUTE(SUBSTITUTE(SUBSTITUTE(IF($R70="",0,INDEX(NVLSX!J$1556:J$4654,$R70)),$C$8,$D$8),$C$9,$D$9),$C$10,$D$10),$C$11,$D$11),$P$12,$Q$12)</f>
        <v>0</v>
      </c>
      <c r="T70" s="551" t="str">
        <f ca="1">IF(OR($C70="",$C70=0),"", IF(OR(AND(OR($Q70=NVLSX!$N$4,$Q70=NVLSX!$N$6492),COUNTIFS($C$14:$C70,$C70,$F$14:$F70,$F70,$I$14:$I70,$I70)&lt;=1), COUNTIF($C$14:$C70,$C70) &lt;=1 ),$T$13, ""    ))</f>
        <v/>
      </c>
      <c r="U70" s="644">
        <f t="shared" ca="1" si="14"/>
        <v>0</v>
      </c>
      <c r="V70" s="564"/>
      <c r="W70" s="568">
        <f ca="1">IF($L70&lt;&gt;"",$L70,IF($R70="",0,SUBSTITUTE(SUBSTITUTE(IF(INDEX(NVLSX!$O$1556:$O$4654,$R70,0)="",INDEX(NVLSX!$I$1556:$I$4654,$R70,0),IF(OR(INDEX(NVLSX!$O$1556:$O$4654,$R70,0)=$H$4,INDEX(NVLSX!$O$1556:$O$4654,$R70,0)=$H$5,INDEX(NVLSX!$O$1556:$O$4654,$R70,0)=$H$6,INDEX(NVLSX!$O$1556:$O$4654,$R70,0)=$R$6,INDEX(NVLSX!$O$1556:$O$4654,$R70,0)=$R$3,INDEX(NVLSX!$O$1556:$O$4654,$R70,0)=$R$4,INDEX(NVLSX!$O$1556:$O$4654,$R70,0)=$R$5,INDEX(NVLSX!$O$1556:$O$4654,$R70,0)=$H$3,INDEX(NVLSX!$O$1556:$O$4654,$R70,0)=$R$2,INDEX(NVLSX!$O$1556:$O$4654,$R70,0)=$D$12),INDEX(NVLSX!$I$1556:$I$4654,$R70,0),0)),$C$10,$D$10),$C$8,$D$8  )))</f>
        <v>0</v>
      </c>
      <c r="X70" s="507"/>
      <c r="Y70" s="557"/>
      <c r="AA70" s="564"/>
      <c r="AB70" s="564"/>
      <c r="AC70" s="564"/>
      <c r="AD70" s="564"/>
      <c r="AE70" s="714">
        <f t="shared" ca="1" si="5"/>
        <v>0</v>
      </c>
      <c r="AF70" s="270"/>
      <c r="AG70" s="1168"/>
      <c r="AH70" s="1168"/>
      <c r="AI70" s="1168"/>
      <c r="AJ70" s="1168"/>
      <c r="AK70" s="1168"/>
      <c r="AL70" s="1168"/>
      <c r="AM70" s="1168"/>
      <c r="AN70" s="1168"/>
    </row>
    <row r="71" spans="1:40" s="143" customFormat="1">
      <c r="A71" s="1417"/>
      <c r="B71" s="149" t="str">
        <f ca="1">IF($C71&lt;&gt;"",1 + MAX($B$20:$B70),"" )</f>
        <v/>
      </c>
      <c r="C71" s="290" t="str">
        <f ca="1">IF($K71&lt;&gt;"",$K71,IF(OR($R71="",$G71=0),"",INDEX(NVLSX!E$1556:E$4654,$R71)))</f>
        <v/>
      </c>
      <c r="D71" s="245" t="str">
        <f ca="1">IF($C71="","",INDEX(NVLSX!$F$2:$F$6941,MATCH($C71,NVLSX!$E$2:$E$6941,0)))</f>
        <v/>
      </c>
      <c r="E71" s="246" t="str">
        <f ca="1">IF($C71="","",IF($R71="","",INDEX(NVLSX!G$1556:G$4654,$R71)))</f>
        <v/>
      </c>
      <c r="F71" s="248">
        <f ca="1">IF(OR($S71="",$G71=0),0,TinhCT)</f>
        <v>0</v>
      </c>
      <c r="G71" s="249">
        <f ca="1">TinhCTSL</f>
        <v>0</v>
      </c>
      <c r="H71" s="249">
        <f t="shared" ca="1" si="12"/>
        <v>0</v>
      </c>
      <c r="I71" s="248"/>
      <c r="J71" s="878">
        <f ca="1">IF($C71="",0,IFERROR(INDEX(NVLSX!$M$4:$M$6941,MATCH($C71,NVLSX!$E$4:$E$6941,0)),0) + IFERROR(IF($Q71=NVLSX!$N$4,INDEX(IF($R$1=DanhMuc!$C$179,DanhMuc!$C$180:$C$188,DanhMuc!$D$180:$D$188),MATCH($F$4,DanhMuc!$B$180:$B$188,0)),0),0))</f>
        <v>0</v>
      </c>
      <c r="K71" s="253"/>
      <c r="L71" s="251"/>
      <c r="M71" s="911">
        <f ca="1">IF($C71="",0,IF($K71&lt;&gt;"",IF(INDEX(NVLSX!$N$2:$N$6941,MATCH($C71,NVLSX!$E$2:$E$6941,0))=NVLSX!$N$4,ROUND(INDEX(NVLSX!$L$2:$L$6941,MATCH($C71,NVLSX!$E$2:$E$6941,0))/$N$12,2),   ROUND(INDEX(NVLSX!$L$2:$L$6941,MATCH($C71,NVLSX!$E$2:$E$6941,0)),2)), IF(INDEX(NVLSX!$N$1556:$N$4654,$R71)=NVLSX!$N$4,ROUND(INDEX(NVLSX!$L$1556:$L$4654,$R71)/$N$12,2),   ROUND(INDEX(NVLSX!$L$1556:$L$4654,$R71),2))))</f>
        <v>0</v>
      </c>
      <c r="N71" s="559">
        <f t="shared" ca="1" si="13"/>
        <v>0</v>
      </c>
      <c r="O71" s="559">
        <f t="shared" ca="1" si="13"/>
        <v>0</v>
      </c>
      <c r="P71" s="547" t="str">
        <f ca="1">IF(OR($C71="",$C71=0),"",IF(INDEX(NVLSX!$H$1556:$H$4654,$R71)&lt;&gt;"",INDEX(NVLSX!$H$1556:$H$4654,$R71),$F$5))</f>
        <v/>
      </c>
      <c r="Q71" s="548" t="str">
        <f ca="1">IF(OR($C71="",$C71=0),"",INDEX(NVLSX!N$6:N$6941,MATCH($C71,NVLSX!$E$6:$E$6941,0)))</f>
        <v/>
      </c>
      <c r="R71" s="565" t="str">
        <f ca="1">IF($I$2=NVLSX!$F$6930,"",IF(TYPE(MATCH(LEFT($K$1,3) &amp; "00-" &amp; MID($K$1,SEARCH("-",$K$1,1)+1,LEN($K$1)-6) &amp;"-" &amp;IF($D$5="","",INDEX(DanhMuc!$B$168:$B$177,MATCH($D$5,DanhMuc!$C$168:$C$177,0))),OFFSET(NVLSX!$B$1556,R70,0):'NVLSX'!$B$4654,0)+R70)=16,"",MATCH(LEFT($K$1,3) &amp; "00-" &amp; MID($K$1,SEARCH("-",$K$1,1)+1,LEN($K$1)-6) &amp;"-" &amp;IF($D$5="","",INDEX(DanhMuc!$B$168:$B$177,MATCH($D$5,DanhMuc!$C$168:$C$177,0))),OFFSET(NVLSX!$B$1556,R70,0):'NVLSX'!$B$4654,0)+R70))</f>
        <v/>
      </c>
      <c r="S71" s="566" t="str">
        <f ca="1">SUBSTITUTE(SUBSTITUTE(SUBSTITUTE(SUBSTITUTE(SUBSTITUTE(IF($R71="",0,INDEX(NVLSX!J$1556:J$4654,$R71)),$C$8,$D$8),$C$9,$D$9),$C$10,$D$10),$C$11,$D$11),$P$12,$Q$12)</f>
        <v>0</v>
      </c>
      <c r="T71" s="551" t="str">
        <f ca="1">IF(OR($C71="",$C71=0),"", IF(OR(AND(OR($Q71=NVLSX!$N$4,$Q71=NVLSX!$N$6492),COUNTIFS($C$14:$C71,$C71,$F$14:$F71,$F71,$I$14:$I71,$I71)&lt;=1), COUNTIF($C$14:$C71,$C71) &lt;=1 ),$T$13, ""    ))</f>
        <v/>
      </c>
      <c r="U71" s="644">
        <f t="shared" ca="1" si="14"/>
        <v>0</v>
      </c>
      <c r="V71" s="564"/>
      <c r="W71" s="568">
        <f ca="1">IF($L71&lt;&gt;"",$L71,IF($R71="",0,SUBSTITUTE(SUBSTITUTE(IF(INDEX(NVLSX!$O$1556:$O$4654,$R71,0)="",INDEX(NVLSX!$I$1556:$I$4654,$R71,0),IF(OR(INDEX(NVLSX!$O$1556:$O$4654,$R71,0)=$H$4,INDEX(NVLSX!$O$1556:$O$4654,$R71,0)=$H$5,INDEX(NVLSX!$O$1556:$O$4654,$R71,0)=$H$6,INDEX(NVLSX!$O$1556:$O$4654,$R71,0)=$R$6,INDEX(NVLSX!$O$1556:$O$4654,$R71,0)=$R$3,INDEX(NVLSX!$O$1556:$O$4654,$R71,0)=$R$4,INDEX(NVLSX!$O$1556:$O$4654,$R71,0)=$R$5,INDEX(NVLSX!$O$1556:$O$4654,$R71,0)=$H$3,INDEX(NVLSX!$O$1556:$O$4654,$R71,0)=$R$2,INDEX(NVLSX!$O$1556:$O$4654,$R71,0)=$D$12),INDEX(NVLSX!$I$1556:$I$4654,$R71,0),0)),$C$10,$D$10),$C$8,$D$8  )))</f>
        <v>0</v>
      </c>
      <c r="X71" s="507"/>
      <c r="Y71" s="557"/>
      <c r="AA71" s="564"/>
      <c r="AB71" s="564"/>
      <c r="AC71" s="564"/>
      <c r="AD71" s="564"/>
      <c r="AE71" s="714">
        <f t="shared" ca="1" si="5"/>
        <v>0</v>
      </c>
      <c r="AF71" s="270"/>
      <c r="AG71" s="1168"/>
      <c r="AH71" s="1168"/>
      <c r="AI71" s="1168"/>
      <c r="AJ71" s="1168"/>
      <c r="AK71" s="1168"/>
      <c r="AL71" s="1168"/>
      <c r="AM71" s="1168"/>
      <c r="AN71" s="1168"/>
    </row>
    <row r="72" spans="1:40" s="143" customFormat="1">
      <c r="A72" s="1417"/>
      <c r="B72" s="149" t="str">
        <f ca="1">IF($C72&lt;&gt;"",1 + MAX($B$20:$B71),"" )</f>
        <v/>
      </c>
      <c r="C72" s="290" t="str">
        <f ca="1">IF($K72&lt;&gt;"",$K72,IF(OR($R72="",$G72=0),"",INDEX(NVLSX!E$1556:E$4654,$R72)))</f>
        <v/>
      </c>
      <c r="D72" s="245" t="str">
        <f ca="1">IF($C72="","",INDEX(NVLSX!$F$2:$F$6941,MATCH($C72,NVLSX!$E$2:$E$6941,0)))</f>
        <v/>
      </c>
      <c r="E72" s="246" t="str">
        <f ca="1">IF($C72="","",IF($R72="","",INDEX(NVLSX!G$1556:G$4654,$R72)))</f>
        <v/>
      </c>
      <c r="F72" s="248">
        <f ca="1">IF(OR($S72="",$G72=0),0,TinhCT)</f>
        <v>0</v>
      </c>
      <c r="G72" s="249">
        <f ca="1">TinhCTSL</f>
        <v>0</v>
      </c>
      <c r="H72" s="249">
        <f t="shared" ca="1" si="12"/>
        <v>0</v>
      </c>
      <c r="I72" s="248"/>
      <c r="J72" s="878">
        <f ca="1">IF($C72="",0,IFERROR(INDEX(NVLSX!$M$4:$M$6941,MATCH($C72,NVLSX!$E$4:$E$6941,0)),0) + IFERROR(IF($Q72=NVLSX!$N$4,INDEX(IF($R$1=DanhMuc!$C$179,DanhMuc!$C$180:$C$188,DanhMuc!$D$180:$D$188),MATCH($F$4,DanhMuc!$B$180:$B$188,0)),0),0))</f>
        <v>0</v>
      </c>
      <c r="K72" s="253"/>
      <c r="L72" s="251"/>
      <c r="M72" s="911">
        <f ca="1">IF($C72="",0,IF($K72&lt;&gt;"",IF(INDEX(NVLSX!$N$2:$N$6941,MATCH($C72,NVLSX!$E$2:$E$6941,0))=NVLSX!$N$4,ROUND(INDEX(NVLSX!$L$2:$L$6941,MATCH($C72,NVLSX!$E$2:$E$6941,0))/$N$12,2),   ROUND(INDEX(NVLSX!$L$2:$L$6941,MATCH($C72,NVLSX!$E$2:$E$6941,0)),2)), IF(INDEX(NVLSX!$N$1556:$N$4654,$R72)=NVLSX!$N$4,ROUND(INDEX(NVLSX!$L$1556:$L$4654,$R72)/$N$12,2),   ROUND(INDEX(NVLSX!$L$1556:$L$4654,$R72),2))))</f>
        <v>0</v>
      </c>
      <c r="N72" s="559">
        <f t="shared" ca="1" si="13"/>
        <v>0</v>
      </c>
      <c r="O72" s="559">
        <f t="shared" ca="1" si="13"/>
        <v>0</v>
      </c>
      <c r="P72" s="547" t="str">
        <f ca="1">IF(OR($C72="",$C72=0),"",IF(INDEX(NVLSX!$H$1556:$H$4654,$R72)&lt;&gt;"",INDEX(NVLSX!$H$1556:$H$4654,$R72),$F$5))</f>
        <v/>
      </c>
      <c r="Q72" s="548" t="str">
        <f ca="1">IF(OR($C72="",$C72=0),"",INDEX(NVLSX!N$6:N$6941,MATCH($C72,NVLSX!$E$6:$E$6941,0)))</f>
        <v/>
      </c>
      <c r="R72" s="565" t="str">
        <f ca="1">IF($I$2=NVLSX!$F$6930,"",IF(TYPE(MATCH(LEFT($K$1,3) &amp; "00-" &amp; MID($K$1,SEARCH("-",$K$1,1)+1,LEN($K$1)-6) &amp;"-" &amp;IF($D$5="","",INDEX(DanhMuc!$B$168:$B$177,MATCH($D$5,DanhMuc!$C$168:$C$177,0))),OFFSET(NVLSX!$B$1556,R71,0):'NVLSX'!$B$4654,0)+R71)=16,"",MATCH(LEFT($K$1,3) &amp; "00-" &amp; MID($K$1,SEARCH("-",$K$1,1)+1,LEN($K$1)-6) &amp;"-" &amp;IF($D$5="","",INDEX(DanhMuc!$B$168:$B$177,MATCH($D$5,DanhMuc!$C$168:$C$177,0))),OFFSET(NVLSX!$B$1556,R71,0):'NVLSX'!$B$4654,0)+R71))</f>
        <v/>
      </c>
      <c r="S72" s="566" t="str">
        <f ca="1">SUBSTITUTE(SUBSTITUTE(SUBSTITUTE(SUBSTITUTE(SUBSTITUTE(IF($R72="",0,INDEX(NVLSX!J$1556:J$4654,$R72)),$C$8,$D$8),$C$9,$D$9),$C$10,$D$10),$C$11,$D$11),$P$12,$Q$12)</f>
        <v>0</v>
      </c>
      <c r="T72" s="551" t="str">
        <f ca="1">IF(OR($C72="",$C72=0),"", IF(OR(AND(OR($Q72=NVLSX!$N$4,$Q72=NVLSX!$N$6492),COUNTIFS($C$14:$C72,$C72,$F$14:$F72,$F72,$I$14:$I72,$I72)&lt;=1), COUNTIF($C$14:$C72,$C72) &lt;=1 ),$T$13, ""    ))</f>
        <v/>
      </c>
      <c r="U72" s="644">
        <f t="shared" ca="1" si="14"/>
        <v>0</v>
      </c>
      <c r="V72" s="564"/>
      <c r="W72" s="568">
        <f ca="1">IF($L72&lt;&gt;"",$L72,IF($R72="",0,SUBSTITUTE(SUBSTITUTE(IF(INDEX(NVLSX!$O$1556:$O$4654,$R72,0)="",INDEX(NVLSX!$I$1556:$I$4654,$R72,0),IF(OR(INDEX(NVLSX!$O$1556:$O$4654,$R72,0)=$H$4,INDEX(NVLSX!$O$1556:$O$4654,$R72,0)=$H$5,INDEX(NVLSX!$O$1556:$O$4654,$R72,0)=$H$6,INDEX(NVLSX!$O$1556:$O$4654,$R72,0)=$R$6,INDEX(NVLSX!$O$1556:$O$4654,$R72,0)=$R$3,INDEX(NVLSX!$O$1556:$O$4654,$R72,0)=$R$4,INDEX(NVLSX!$O$1556:$O$4654,$R72,0)=$R$5,INDEX(NVLSX!$O$1556:$O$4654,$R72,0)=$H$3,INDEX(NVLSX!$O$1556:$O$4654,$R72,0)=$R$2,INDEX(NVLSX!$O$1556:$O$4654,$R72,0)=$D$12),INDEX(NVLSX!$I$1556:$I$4654,$R72,0),0)),$C$10,$D$10),$C$8,$D$8  )))</f>
        <v>0</v>
      </c>
      <c r="X72" s="507"/>
      <c r="Y72" s="557"/>
      <c r="AA72" s="564"/>
      <c r="AB72" s="564"/>
      <c r="AC72" s="564"/>
      <c r="AD72" s="564"/>
      <c r="AE72" s="714">
        <f t="shared" ca="1" si="5"/>
        <v>0</v>
      </c>
      <c r="AF72" s="270"/>
      <c r="AG72" s="1168"/>
      <c r="AH72" s="1168"/>
      <c r="AI72" s="1168"/>
      <c r="AJ72" s="1168"/>
      <c r="AK72" s="1168"/>
      <c r="AL72" s="1168"/>
      <c r="AM72" s="1168"/>
      <c r="AN72" s="1168"/>
    </row>
    <row r="73" spans="1:40" s="143" customFormat="1">
      <c r="A73" s="1417"/>
      <c r="B73" s="149" t="str">
        <f ca="1">IF($C73&lt;&gt;"",1 + MAX($B$20:$B72),"" )</f>
        <v/>
      </c>
      <c r="C73" s="290" t="str">
        <f ca="1">IF($K73&lt;&gt;"",$K73,IF(OR($R73="",$G73=0),"",INDEX(NVLSX!E$1556:E$4654,$R73)))</f>
        <v/>
      </c>
      <c r="D73" s="245" t="str">
        <f ca="1">IF($C73="","",INDEX(NVLSX!$F$2:$F$6941,MATCH($C73,NVLSX!$E$2:$E$6941,0)))</f>
        <v/>
      </c>
      <c r="E73" s="246" t="str">
        <f ca="1">IF($C73="","",IF($R73="","",INDEX(NVLSX!G$1556:G$4654,$R73)))</f>
        <v/>
      </c>
      <c r="F73" s="248">
        <f ca="1">IF(OR($S73="",$G73=0),0,TinhCT)</f>
        <v>0</v>
      </c>
      <c r="G73" s="249">
        <f ca="1">TinhCTSL</f>
        <v>0</v>
      </c>
      <c r="H73" s="249">
        <f t="shared" ca="1" si="12"/>
        <v>0</v>
      </c>
      <c r="I73" s="248"/>
      <c r="J73" s="878">
        <f ca="1">IF($C73="",0,IFERROR(INDEX(NVLSX!$M$4:$M$6941,MATCH($C73,NVLSX!$E$4:$E$6941,0)),0) + IFERROR(IF($Q73=NVLSX!$N$4,INDEX(IF($R$1=DanhMuc!$C$179,DanhMuc!$C$180:$C$188,DanhMuc!$D$180:$D$188),MATCH($F$4,DanhMuc!$B$180:$B$188,0)),0),0))</f>
        <v>0</v>
      </c>
      <c r="K73" s="253"/>
      <c r="L73" s="251"/>
      <c r="M73" s="911">
        <f ca="1">IF($C73="",0,IF($K73&lt;&gt;"",IF(INDEX(NVLSX!$N$2:$N$6941,MATCH($C73,NVLSX!$E$2:$E$6941,0))=NVLSX!$N$4,ROUND(INDEX(NVLSX!$L$2:$L$6941,MATCH($C73,NVLSX!$E$2:$E$6941,0))/$N$12,2),   ROUND(INDEX(NVLSX!$L$2:$L$6941,MATCH($C73,NVLSX!$E$2:$E$6941,0)),2)), IF(INDEX(NVLSX!$N$1556:$N$4654,$R73)=NVLSX!$N$4,ROUND(INDEX(NVLSX!$L$1556:$L$4654,$R73)/$N$12,2),   ROUND(INDEX(NVLSX!$L$1556:$L$4654,$R73),2))))</f>
        <v>0</v>
      </c>
      <c r="N73" s="559">
        <f t="shared" ca="1" si="13"/>
        <v>0</v>
      </c>
      <c r="O73" s="559">
        <f t="shared" ca="1" si="13"/>
        <v>0</v>
      </c>
      <c r="P73" s="547" t="str">
        <f ca="1">IF(OR($C73="",$C73=0),"",IF(INDEX(NVLSX!$H$1556:$H$4654,$R73)&lt;&gt;"",INDEX(NVLSX!$H$1556:$H$4654,$R73),$F$5))</f>
        <v/>
      </c>
      <c r="Q73" s="548" t="str">
        <f ca="1">IF(OR($C73="",$C73=0),"",INDEX(NVLSX!N$6:N$6941,MATCH($C73,NVLSX!$E$6:$E$6941,0)))</f>
        <v/>
      </c>
      <c r="R73" s="565" t="str">
        <f ca="1">IF($I$2=NVLSX!$F$6930,"",IF(TYPE(MATCH(LEFT($K$1,3) &amp; "00-" &amp; MID($K$1,SEARCH("-",$K$1,1)+1,LEN($K$1)-6) &amp;"-" &amp;IF($D$5="","",INDEX(DanhMuc!$B$168:$B$177,MATCH($D$5,DanhMuc!$C$168:$C$177,0))),OFFSET(NVLSX!$B$1556,R72,0):'NVLSX'!$B$4654,0)+R72)=16,"",MATCH(LEFT($K$1,3) &amp; "00-" &amp; MID($K$1,SEARCH("-",$K$1,1)+1,LEN($K$1)-6) &amp;"-" &amp;IF($D$5="","",INDEX(DanhMuc!$B$168:$B$177,MATCH($D$5,DanhMuc!$C$168:$C$177,0))),OFFSET(NVLSX!$B$1556,R72,0):'NVLSX'!$B$4654,0)+R72))</f>
        <v/>
      </c>
      <c r="S73" s="566" t="str">
        <f ca="1">SUBSTITUTE(SUBSTITUTE(SUBSTITUTE(SUBSTITUTE(SUBSTITUTE(IF($R73="",0,INDEX(NVLSX!J$1556:J$4654,$R73)),$C$8,$D$8),$C$9,$D$9),$C$10,$D$10),$C$11,$D$11),$P$12,$Q$12)</f>
        <v>0</v>
      </c>
      <c r="T73" s="551" t="str">
        <f ca="1">IF(OR($C73="",$C73=0),"", IF(OR(AND(OR($Q73=NVLSX!$N$4,$Q73=NVLSX!$N$6492),COUNTIFS($C$14:$C73,$C73,$F$14:$F73,$F73,$I$14:$I73,$I73)&lt;=1), COUNTIF($C$14:$C73,$C73) &lt;=1 ),$T$13, ""    ))</f>
        <v/>
      </c>
      <c r="U73" s="644">
        <f t="shared" ca="1" si="14"/>
        <v>0</v>
      </c>
      <c r="V73" s="564"/>
      <c r="W73" s="568">
        <f ca="1">IF($L73&lt;&gt;"",$L73,IF($R73="",0,SUBSTITUTE(SUBSTITUTE(IF(INDEX(NVLSX!$O$1556:$O$4654,$R73,0)="",INDEX(NVLSX!$I$1556:$I$4654,$R73,0),IF(OR(INDEX(NVLSX!$O$1556:$O$4654,$R73,0)=$H$4,INDEX(NVLSX!$O$1556:$O$4654,$R73,0)=$H$5,INDEX(NVLSX!$O$1556:$O$4654,$R73,0)=$H$6,INDEX(NVLSX!$O$1556:$O$4654,$R73,0)=$R$6,INDEX(NVLSX!$O$1556:$O$4654,$R73,0)=$R$3,INDEX(NVLSX!$O$1556:$O$4654,$R73,0)=$R$4,INDEX(NVLSX!$O$1556:$O$4654,$R73,0)=$R$5,INDEX(NVLSX!$O$1556:$O$4654,$R73,0)=$H$3,INDEX(NVLSX!$O$1556:$O$4654,$R73,0)=$R$2,INDEX(NVLSX!$O$1556:$O$4654,$R73,0)=$D$12),INDEX(NVLSX!$I$1556:$I$4654,$R73,0),0)),$C$10,$D$10),$C$8,$D$8  )))</f>
        <v>0</v>
      </c>
      <c r="X73" s="507"/>
      <c r="Y73" s="557"/>
      <c r="AA73" s="564"/>
      <c r="AB73" s="564"/>
      <c r="AC73" s="564"/>
      <c r="AD73" s="564"/>
      <c r="AE73" s="714">
        <f t="shared" ca="1" si="5"/>
        <v>0</v>
      </c>
      <c r="AF73" s="270"/>
      <c r="AG73" s="1168"/>
      <c r="AH73" s="1168"/>
      <c r="AI73" s="1168"/>
      <c r="AJ73" s="1168"/>
      <c r="AK73" s="1168"/>
      <c r="AL73" s="1168"/>
      <c r="AM73" s="1168"/>
      <c r="AN73" s="1168"/>
    </row>
    <row r="74" spans="1:40" ht="37.5">
      <c r="A74" s="1418" t="s">
        <v>142</v>
      </c>
      <c r="B74" s="149">
        <f ca="1">IF($C74&lt;&gt;"",1 + MAX($B$20:$B73),"" )</f>
        <v>17</v>
      </c>
      <c r="C74" s="290" t="str">
        <f>IF($K74&lt;&gt;"",$K74,IF(OR($R74="",$G74=0),"",  IF(INDEX(NVLSX!E$4655:E$4729,$R74) = $S$10, $R$10,     INDEX(NVLSX!E$4655:E$4729,$R74)     )))</f>
        <v>GONHOMDORI</v>
      </c>
      <c r="D74" s="245" t="str">
        <f>IF($C74="","",INDEX(NVLSX!$F$2:$F$6941,MATCH($C74,NVLSX!$E$2:$E$6941,0)))</f>
        <v>Gioăng khung nhôm XINGFA DORI</v>
      </c>
      <c r="E74" s="1053" t="str">
        <f>IF($C74="","",INDEX(NVLSX!$G$2:$G$6941,MATCH($C74,NVLSX!$E$2:$E$6941,0)))</f>
        <v>mm</v>
      </c>
      <c r="F74" s="248">
        <f>IF(OR($S74="",$G74=0),0,TinhCT)</f>
        <v>0</v>
      </c>
      <c r="G74" s="262">
        <f>TinhCTSL</f>
        <v>13600</v>
      </c>
      <c r="H74" s="262">
        <f t="shared" si="7"/>
        <v>27200</v>
      </c>
      <c r="I74" s="246">
        <f>IF($C74="","",IF($R74="","",INDEX(NVLSX!K$1556:K$4654,$R74)))</f>
        <v>0</v>
      </c>
      <c r="J74" s="878">
        <f>IF($C74="",0,IFERROR(INDEX(NVLSX!$M$4:$M$6941,MATCH($C74,NVLSX!$E$4:$E$6941,0)),0) + IFERROR(IF($Q74=NVLSX!$N$4,INDEX(IF($R$1=DanhMuc!$C$179,DanhMuc!$C$180:$C$188,DanhMuc!$D$180:$D$188),MATCH($F$4,DanhMuc!$B$180:$B$188,0)),0),0))</f>
        <v>0.2</v>
      </c>
      <c r="K74" s="253"/>
      <c r="L74" s="251"/>
      <c r="M74" s="911">
        <f>IF($C74="",0,IF($K74="", ROUND(INDEX(NVLSX!$L$4655:$L$4729,$R74),2),ROUND(INDEX(NVLSX!$L$2:$L$6941,MATCH($C74,NVLSX!$E$2:$E$6941,0)),2)))</f>
        <v>0.11</v>
      </c>
      <c r="N74" s="559">
        <f>ROUND(IF($C74="",0,IF($F74=0,$H74*(1+$J74)*$M74,$F74*$H74*(1+$J74)*$M74)),0)</f>
        <v>3590</v>
      </c>
      <c r="O74" s="559">
        <f>ROUND(IF($C74="",0,IF($F74=0,$H74*(1+$J74)*$M74,$F74*$H74*(1+$J74)*$M74)),0)</f>
        <v>3590</v>
      </c>
      <c r="P74" s="547" t="str">
        <f>IF(OR($C74="",$C74=0),"",IF(INDEX(NVLSX!$H$4655:$H$4729,$R74)&lt;&gt;"",INDEX(NVLSX!$H$4655:$H$4729,$R74),$F$5))</f>
        <v>T/C</v>
      </c>
      <c r="Q74" s="548" t="str">
        <f>IF(OR($C74="",$C74=0),"",INDEX(NVLSX!N$6:N$6941,MATCH($C74,NVLSX!$E$6:$E$6941,0)))</f>
        <v>GI</v>
      </c>
      <c r="R74" s="569">
        <f>IF($I$2=NVLSX!$F$6930,"",IF(TYPE(MATCH($U74,NVLSX!$B$4655:$B$4729,0))=16,"",MATCH($U74,NVLSX!$B$4655:$B$4729,0)))</f>
        <v>2</v>
      </c>
      <c r="S74" s="570" t="str">
        <f>SUBSTITUTE(SUBSTITUTE(SUBSTITUTE(SUBSTITUTE(SUBSTITUTE(SUBSTITUTE(IF($R74="",0,INDEX(NVLSX!J$4655:J$4729,$R74)),$C$8,$D$8),$C$9,$D$9),$C$10,$D$10),$C$11,$D$11),$P$12,$Q$12),$C$12,$B$12)</f>
        <v/>
      </c>
      <c r="T74" s="551" t="str">
        <f ca="1">IF(OR($C74="",$C74=0),"", IF(OR(AND(OR($Q74=NVLSX!$N$4,$Q74=NVLSX!$N$6492),COUNTIFS($C$14:$C74,$C74,$F$14:$F74,$F74,$I$14:$I74,$I74)&lt;=1), COUNTIF($C$14:$C74,$C74) &lt;=1 ),$T$13, ""    ))</f>
        <v>TH</v>
      </c>
      <c r="U74" s="571" t="str">
        <f>IF(RIGHT($V74,1)="T",$V74 &amp; MID($K$1,7,2),$V74)</f>
        <v>XFDQ</v>
      </c>
      <c r="V74" s="513" t="str">
        <f>IF(COUNTIF($V$73:$V73,  INDEX(DanhMuc!$F$154:$F$165,MATCH(MID($K$1,4,2),DanhMuc!$B$154:$B$165,0))   &amp; MID($K$1,1,2) )&gt;=COUNTIF(NVLSX!$B$4656:$B$4729,  INDEX(DanhMuc!$F$154:$F$165,MATCH(MID($K$1,4,2),DanhMuc!$B$154:$B$165,0)) &amp; MID($K$1,1,2) &amp; IF(OR(MID($K$1,1,2)="DT",MID($K$1,1,2)="ST"),MID($K$1,7,2),"") ),"",INDEX(DanhMuc!$F$154:$F$165,MATCH(MID($K$1,4,2),DanhMuc!$B$154:$B$165,0)) &amp;MID($K$1,1,2))</f>
        <v>XFDQ</v>
      </c>
      <c r="W74" s="1048" t="str">
        <f>SUBSTITUTE(SUBSTITUTE(SUBSTITUTE(SUBSTITUTE(SUBSTITUTE(SUBSTITUTE(IF($R74="",0,IF(INDEX(NVLSX!O$4655:O$4729,$R74)="",INDEX(NVLSX!I$4655:I$4729,$R74),IF(INDEX(NVLSX!O$4655:O$4729,$R74)=$D$12,INDEX(NVLSX!I$4655:I$4729,$R74),0      ))),$C$8,$D$8),$C$9,$D$9),$C$10,$D$10),$C$11,$D$11),$P$12,$Q$12),$C$12,$B$12)</f>
        <v>1600+2*2200 + (1600/1+2200)*2*1</v>
      </c>
      <c r="X74" s="507"/>
      <c r="Y74" s="557"/>
      <c r="AA74" s="503"/>
      <c r="AB74" s="503"/>
      <c r="AC74" s="503"/>
      <c r="AD74" s="503"/>
      <c r="AE74" s="714">
        <f t="shared" si="5"/>
        <v>5000</v>
      </c>
      <c r="AF74" s="270"/>
    </row>
    <row r="75" spans="1:40">
      <c r="A75" s="1418"/>
      <c r="B75" s="149" t="str">
        <f ca="1">IF($C75&lt;&gt;"",1 + MAX($B$20:$B74),"" )</f>
        <v/>
      </c>
      <c r="C75" s="290" t="str">
        <f ca="1">IF($K75&lt;&gt;"",$K75,IF(OR($R75="",$G75=0),"",  IF(INDEX(NVLSX!E$4655:E$4729,$R75) = $S$10, $R$10,     INDEX(NVLSX!E$4655:E$4729,$R75)     )))</f>
        <v/>
      </c>
      <c r="D75" s="245" t="str">
        <f ca="1">IF($C75="","",INDEX(NVLSX!$F$2:$F$6941,MATCH($C75,NVLSX!$E$2:$E$6941,0)))</f>
        <v/>
      </c>
      <c r="E75" s="1053" t="str">
        <f ca="1">IF($C75="","",INDEX(NVLSX!$G$2:$G$6941,MATCH($C75,NVLSX!$E$2:$E$6941,0)))</f>
        <v/>
      </c>
      <c r="F75" s="248">
        <f ca="1">IF(OR($S75="",$G75=0),0,TinhCT)</f>
        <v>0</v>
      </c>
      <c r="G75" s="262">
        <f ca="1">TinhCTSL</f>
        <v>0</v>
      </c>
      <c r="H75" s="262">
        <f t="shared" ca="1" si="7"/>
        <v>0</v>
      </c>
      <c r="I75" s="246" t="str">
        <f ca="1">IF($C75="","",IF($R75="","",INDEX(NVLSX!K$1556:K$4654,$R75)))</f>
        <v/>
      </c>
      <c r="J75" s="878">
        <f ca="1">IF($C75="",0,IFERROR(INDEX(NVLSX!$M$4:$M$6941,MATCH($C75,NVLSX!$E$4:$E$6941,0)),0) + IFERROR(IF($Q75=NVLSX!$N$4,INDEX(IF($R$1=DanhMuc!$C$179,DanhMuc!$C$180:$C$188,DanhMuc!$D$180:$D$188),MATCH($F$4,DanhMuc!$B$180:$B$188,0)),0),0))</f>
        <v>0</v>
      </c>
      <c r="K75" s="253"/>
      <c r="L75" s="251"/>
      <c r="M75" s="911">
        <f ca="1">IF($C75="",0,IF($K75="", ROUND(INDEX(NVLSX!$L$4655:$L$4729,$R75),2),ROUND(INDEX(NVLSX!$L$2:$L$6941,MATCH($C75,NVLSX!$E$2:$E$6941,0)),2)))</f>
        <v>0</v>
      </c>
      <c r="N75" s="559">
        <f t="shared" ref="N75:O78" ca="1" si="15">ROUND(IF($C75="",0,IF($F75=0,$H75*(1+$J75)*$M75,$F75*$H75*(1+$J75)*$M75)),0)</f>
        <v>0</v>
      </c>
      <c r="O75" s="559">
        <f t="shared" ca="1" si="15"/>
        <v>0</v>
      </c>
      <c r="P75" s="547" t="str">
        <f ca="1">IF(OR($C75="",$C75=0),"",IF(INDEX(NVLSX!$H$4655:$H$4729,$R75)&lt;&gt;"",INDEX(NVLSX!$H$4655:$H$4729,$R75),$F$5))</f>
        <v/>
      </c>
      <c r="Q75" s="548" t="str">
        <f ca="1">IF(OR($C75="",$C75=0),"",INDEX(NVLSX!N$6:N$6941,MATCH($C75,NVLSX!$E$6:$E$6941,0)))</f>
        <v/>
      </c>
      <c r="R75" s="569">
        <f ca="1">IF($I$2=NVLSX!$F$6930,"",IF(TYPE(MATCH(U75,OFFSET(NVLSX!$B$4655,R74,0):'NVLSX'!$B$4729,0)+R74)=16,"",MATCH(U75,OFFSET(NVLSX!$B$4655,R74,0):'NVLSX'!$B$4729,0)+R74))</f>
        <v>3</v>
      </c>
      <c r="S75" s="570" t="str">
        <f ca="1">SUBSTITUTE(SUBSTITUTE(SUBSTITUTE(SUBSTITUTE(SUBSTITUTE(SUBSTITUTE(IF($R75="",0,INDEX(NVLSX!J$4655:J$4729,$R75)),$C$8,$D$8),$C$9,$D$9),$C$10,$D$10),$C$11,$D$11),$P$12,$Q$12),$C$12,$B$12)</f>
        <v/>
      </c>
      <c r="T75" s="551" t="str">
        <f ca="1">IF(OR($C75="",$C75=0),"", IF(OR(AND(OR($Q75=NVLSX!$N$4,$Q75=NVLSX!$N$6492),COUNTIFS($C$14:$C75,$C75,$F$14:$F75,$F75,$I$14:$I75,$I75)&lt;=1), COUNTIF($C$14:$C75,$C75) &lt;=1 ),$T$13, ""    ))</f>
        <v/>
      </c>
      <c r="U75" s="571" t="str">
        <f t="shared" ref="U75:U78" si="16">IF(RIGHT($V75,1)="T",$V75 &amp; MID($K$1,7,2),$V75)</f>
        <v>XFDQ</v>
      </c>
      <c r="V75" s="513" t="str">
        <f>IF(COUNTIF($V$73:$V74,  INDEX(DanhMuc!$F$154:$F$165,MATCH(MID($K$1,4,2),DanhMuc!$B$154:$B$165,0))   &amp; MID($K$1,1,2) )&gt;=COUNTIF(NVLSX!$B$4656:$B$4729,  INDEX(DanhMuc!$F$154:$F$165,MATCH(MID($K$1,4,2),DanhMuc!$B$154:$B$165,0)) &amp; MID($K$1,1,2) &amp; IF(OR(MID($K$1,1,2)="DT",MID($K$1,1,2)="ST"),MID($K$1,7,2),"") ),"",INDEX(DanhMuc!$F$154:$F$165,MATCH(MID($K$1,4,2),DanhMuc!$B$154:$B$165,0)) &amp;MID($K$1,1,2))</f>
        <v>XFDQ</v>
      </c>
      <c r="W75" s="1048" t="str">
        <f ca="1">SUBSTITUTE(SUBSTITUTE(SUBSTITUTE(SUBSTITUTE(SUBSTITUTE(SUBSTITUTE(IF($R75="",0,IF(INDEX(NVLSX!O$4655:O$4729,$R75)="",INDEX(NVLSX!I$4655:I$4729,$R75),IF(INDEX(NVLSX!O$4655:O$4729,$R75)=$D$12,INDEX(NVLSX!I$4655:I$4729,$R75),0      ))),$C$8,$D$8),$C$9,$D$9),$C$10,$D$10),$C$11,$D$11),$P$12,$Q$12),$C$12,$B$12)</f>
        <v>IF(I7="silicone",0,(1600/1+2200)*2*1)</v>
      </c>
      <c r="X75" s="507"/>
      <c r="Y75" s="557"/>
      <c r="AA75" s="503"/>
      <c r="AB75" s="503"/>
      <c r="AC75" s="503"/>
      <c r="AD75" s="503"/>
      <c r="AE75" s="714">
        <f t="shared" ca="1" si="5"/>
        <v>0</v>
      </c>
      <c r="AF75" s="270"/>
    </row>
    <row r="76" spans="1:40" ht="26">
      <c r="A76" s="1418"/>
      <c r="B76" s="149">
        <f ca="1">IF($C76&lt;&gt;"",1 + MAX($B$20:$B75),"" )</f>
        <v>18</v>
      </c>
      <c r="C76" s="290" t="str">
        <f ca="1">IF($K76&lt;&gt;"",$K76,IF(OR($R76="",$G76=0),"",  IF(INDEX(NVLSX!E$4655:E$4729,$R76) = $S$10, $R$10,     INDEX(NVLSX!E$4655:E$4729,$R76)     )))</f>
        <v>Silicone-K</v>
      </c>
      <c r="D76" s="245" t="str">
        <f ca="1">IF($C76="","",INDEX(NVLSX!$F$2:$F$6941,MATCH($C76,NVLSX!$E$2:$E$6941,0)))</f>
        <v>Silicone KÍNH</v>
      </c>
      <c r="E76" s="1053" t="str">
        <f ca="1">IF($C76="","",INDEX(NVLSX!$G$2:$G$6941,MATCH($C76,NVLSX!$E$2:$E$6941,0)))</f>
        <v>Chai</v>
      </c>
      <c r="F76" s="248">
        <f ca="1">IF(OR($S76="",$G76=0),0,TinhCT)</f>
        <v>0</v>
      </c>
      <c r="G76" s="262">
        <f ca="1">TinhCTSL</f>
        <v>1.0857142857142856</v>
      </c>
      <c r="H76" s="262">
        <f t="shared" ca="1" si="7"/>
        <v>2.1714285714285713</v>
      </c>
      <c r="I76" s="246">
        <f ca="1">IF($C76="","",IF($R76="","",INDEX(NVLSX!K$1556:K$4654,$R76)))</f>
        <v>0</v>
      </c>
      <c r="J76" s="878">
        <f ca="1">IF($C76="",0,IFERROR(INDEX(NVLSX!$M$4:$M$6941,MATCH($C76,NVLSX!$E$4:$E$6941,0)),0) + IFERROR(IF($Q76=NVLSX!$N$4,INDEX(IF($R$1=DanhMuc!$C$179,DanhMuc!$C$180:$C$188,DanhMuc!$D$180:$D$188),MATCH($F$4,DanhMuc!$B$180:$B$188,0)),0),0))</f>
        <v>0</v>
      </c>
      <c r="K76" s="253"/>
      <c r="L76" s="251"/>
      <c r="M76" s="911">
        <f ca="1">IF($C76="",0,IF($K76="", ROUND(INDEX(NVLSX!$L$4655:$L$4729,$R76),2),ROUND(INDEX(NVLSX!$L$2:$L$6941,MATCH($C76,NVLSX!$E$2:$E$6941,0)),2)))</f>
        <v>53000</v>
      </c>
      <c r="N76" s="559">
        <f t="shared" ca="1" si="15"/>
        <v>115086</v>
      </c>
      <c r="O76" s="559">
        <f t="shared" ca="1" si="15"/>
        <v>115086</v>
      </c>
      <c r="P76" s="547" t="str">
        <f ca="1">IF(OR($C76="",$C76=0),"",IF(INDEX(NVLSX!$H$4655:$H$4729,$R76)&lt;&gt;"",INDEX(NVLSX!$H$4655:$H$4729,$R76),$F$5))</f>
        <v>Đen</v>
      </c>
      <c r="Q76" s="548" t="str">
        <f ca="1">IF(OR($C76="",$C76=0),"",INDEX(NVLSX!N$6:N$6941,MATCH($C76,NVLSX!$E$6:$E$6941,0)))</f>
        <v>GI</v>
      </c>
      <c r="R76" s="569">
        <f ca="1">IF($I$2=NVLSX!$F$6930,"",IF(TYPE(MATCH(U76,OFFSET(NVLSX!$B$4655,R75,0):'NVLSX'!$B$4729,0)+R75)=16,"",MATCH(U76,OFFSET(NVLSX!$B$4655,R75,0):'NVLSX'!$B$4729,0)+R75))</f>
        <v>4</v>
      </c>
      <c r="S76" s="570" t="str">
        <f ca="1">SUBSTITUTE(SUBSTITUTE(SUBSTITUTE(SUBSTITUTE(SUBSTITUTE(SUBSTITUTE(IF($R76="",0,INDEX(NVLSX!J$4655:J$4729,$R76)),$C$8,$D$8),$C$9,$D$9),$C$10,$D$10),$C$11,$D$11),$P$12,$Q$12),$C$12,$B$12)</f>
        <v/>
      </c>
      <c r="T76" s="551" t="str">
        <f ca="1">IF(OR($C76="",$C76=0),"", IF(OR(AND(OR($Q76=NVLSX!$N$4,$Q76=NVLSX!$N$6492),COUNTIFS($C$14:$C76,$C76,$F$14:$F76,$F76,$I$14:$I76,$I76)&lt;=1), COUNTIF($C$14:$C76,$C76) &lt;=1 ),$T$13, ""    ))</f>
        <v>TH</v>
      </c>
      <c r="U76" s="571" t="str">
        <f t="shared" si="16"/>
        <v>XFDQ</v>
      </c>
      <c r="V76" s="513" t="str">
        <f>IF(COUNTIF($V$73:$V75,  INDEX(DanhMuc!$F$154:$F$165,MATCH(MID($K$1,4,2),DanhMuc!$B$154:$B$165,0))   &amp; MID($K$1,1,2) )&gt;=COUNTIF(NVLSX!$B$4656:$B$4729,  INDEX(DanhMuc!$F$154:$F$165,MATCH(MID($K$1,4,2),DanhMuc!$B$154:$B$165,0)) &amp; MID($K$1,1,2) &amp; IF(OR(MID($K$1,1,2)="DT",MID($K$1,1,2)="ST"),MID($K$1,7,2),"") ),"",INDEX(DanhMuc!$F$154:$F$165,MATCH(MID($K$1,4,2),DanhMuc!$B$154:$B$165,0)) &amp;MID($K$1,1,2))</f>
        <v>XFDQ</v>
      </c>
      <c r="W76" s="1048" t="str">
        <f ca="1">SUBSTITUTE(SUBSTITUTE(SUBSTITUTE(SUBSTITUTE(SUBSTITUTE(SUBSTITUTE(IF($R76="",0,IF(INDEX(NVLSX!O$4655:O$4729,$R76)="",INDEX(NVLSX!I$4655:I$4729,$R76),IF(INDEX(NVLSX!O$4655:O$4729,$R76)=$D$12,INDEX(NVLSX!I$4655:I$4729,$R76),0      ))),$C$8,$D$8),$C$9,$D$9),$C$10,$D$10),$C$11,$D$11),$P$12,$Q$12),$C$12,$B$12)</f>
        <v>IF(I7="silicone",2*((1600/1+2200)*2*1)/14000,((1600/1+2200)*2*1)/14000)</v>
      </c>
      <c r="X76" s="507"/>
      <c r="Y76" s="557"/>
      <c r="AA76" s="503"/>
      <c r="AB76" s="503"/>
      <c r="AC76" s="503"/>
      <c r="AD76" s="503"/>
      <c r="AE76" s="714">
        <f t="shared" ca="1" si="5"/>
        <v>173000</v>
      </c>
      <c r="AF76" s="270"/>
    </row>
    <row r="77" spans="1:40">
      <c r="A77" s="1418"/>
      <c r="B77" s="149">
        <f ca="1">IF($C77&lt;&gt;"",1 + MAX($B$20:$B76),"" )</f>
        <v>19</v>
      </c>
      <c r="C77" s="290" t="str">
        <f ca="1">IF($K77&lt;&gt;"",$K77,IF(OR($R77="",$G77=0),"",  IF(INDEX(NVLSX!E$4655:E$4729,$R77) = $S$10, $R$10,     INDEX(NVLSX!E$4655:E$4729,$R77)     )))</f>
        <v>5*7</v>
      </c>
      <c r="D77" s="245" t="str">
        <f ca="1">IF($C77="","",INDEX(NVLSX!$F$2:$F$6941,MATCH($C77,NVLSX!$E$2:$E$6941,0)))</f>
        <v>Lông nheo 5*7</v>
      </c>
      <c r="E77" s="1053" t="str">
        <f ca="1">IF($C77="","",INDEX(NVLSX!$G$2:$G$6941,MATCH($C77,NVLSX!$E$2:$E$6941,0)))</f>
        <v>mm</v>
      </c>
      <c r="F77" s="248">
        <f ca="1">IF(OR($S77="",$G77=0),0,TinhCT)</f>
        <v>0</v>
      </c>
      <c r="G77" s="262">
        <f ca="1">TinhCTSL</f>
        <v>3200</v>
      </c>
      <c r="H77" s="262">
        <f t="shared" ca="1" si="7"/>
        <v>6400</v>
      </c>
      <c r="I77" s="246">
        <f ca="1">IF($C77="","",IF($R77="","",INDEX(NVLSX!K$1556:K$4654,$R77)))</f>
        <v>0</v>
      </c>
      <c r="J77" s="878">
        <f ca="1">IF($C77="",0,IFERROR(INDEX(NVLSX!$M$4:$M$6941,MATCH($C77,NVLSX!$E$4:$E$6941,0)),0) + IFERROR(IF($Q77=NVLSX!$N$4,INDEX(IF($R$1=DanhMuc!$C$179,DanhMuc!$C$180:$C$188,DanhMuc!$D$180:$D$188),MATCH($F$4,DanhMuc!$B$180:$B$188,0)),0),0))</f>
        <v>0.1</v>
      </c>
      <c r="K77" s="253"/>
      <c r="L77" s="251"/>
      <c r="M77" s="911">
        <f ca="1">IF($C77="",0,IF($K77="", ROUND(INDEX(NVLSX!$L$4655:$L$4729,$R77),2),ROUND(INDEX(NVLSX!$L$2:$L$6941,MATCH($C77,NVLSX!$E$2:$E$6941,0)),2)))</f>
        <v>6</v>
      </c>
      <c r="N77" s="559">
        <f t="shared" ca="1" si="15"/>
        <v>42240</v>
      </c>
      <c r="O77" s="559">
        <f t="shared" ca="1" si="15"/>
        <v>42240</v>
      </c>
      <c r="P77" s="547" t="str">
        <f ca="1">IF(OR($C77="",$C77=0),"",IF(INDEX(NVLSX!$H$4655:$H$4729,$R77)&lt;&gt;"",INDEX(NVLSX!$H$4655:$H$4729,$R77),$F$5))</f>
        <v>T/C</v>
      </c>
      <c r="Q77" s="548" t="str">
        <f ca="1">IF(OR($C77="",$C77=0),"",INDEX(NVLSX!N$6:N$6941,MATCH($C77,NVLSX!$E$6:$E$6941,0)))</f>
        <v>GI</v>
      </c>
      <c r="R77" s="569">
        <f ca="1">IF($I$2=NVLSX!$F$6930,"",IF(TYPE(MATCH(U77,OFFSET(NVLSX!$B$4655,R76,0):'NVLSX'!$B$4729,0)+R76)=16,"",MATCH(U77,OFFSET(NVLSX!$B$4655,R76,0):'NVLSX'!$B$4729,0)+R76))</f>
        <v>5</v>
      </c>
      <c r="S77" s="570" t="str">
        <f ca="1">SUBSTITUTE(SUBSTITUTE(SUBSTITUTE(SUBSTITUTE(SUBSTITUTE(SUBSTITUTE(IF($R77="",0,INDEX(NVLSX!J$4655:J$4729,$R77)),$C$8,$D$8),$C$9,$D$9),$C$10,$D$10),$C$11,$D$11),$P$12,$Q$12),$C$12,$B$12)</f>
        <v/>
      </c>
      <c r="T77" s="551" t="str">
        <f ca="1">IF(OR($C77="",$C77=0),"", IF(OR(AND(OR($Q77=NVLSX!$N$4,$Q77=NVLSX!$N$6492),COUNTIFS($C$14:$C77,$C77,$F$14:$F77,$F77,$I$14:$I77,$I77)&lt;=1), COUNTIF($C$14:$C77,$C77) &lt;=1 ),$T$13, ""    ))</f>
        <v>TH</v>
      </c>
      <c r="U77" s="571" t="str">
        <f t="shared" si="16"/>
        <v>XFDQ</v>
      </c>
      <c r="V77" s="513" t="str">
        <f>IF(COUNTIF($V$73:$V76,  INDEX(DanhMuc!$F$154:$F$165,MATCH(MID($K$1,4,2),DanhMuc!$B$154:$B$165,0))   &amp; MID($K$1,1,2) )&gt;=COUNTIF(NVLSX!$B$4656:$B$4729,  INDEX(DanhMuc!$F$154:$F$165,MATCH(MID($K$1,4,2),DanhMuc!$B$154:$B$165,0)) &amp; MID($K$1,1,2) &amp; IF(OR(MID($K$1,1,2)="DT",MID($K$1,1,2)="ST"),MID($K$1,7,2),"") ),"",INDEX(DanhMuc!$F$154:$F$165,MATCH(MID($K$1,4,2),DanhMuc!$B$154:$B$165,0)) &amp;MID($K$1,1,2))</f>
        <v>XFDQ</v>
      </c>
      <c r="W77" s="1048" t="str">
        <f ca="1">SUBSTITUTE(SUBSTITUTE(SUBSTITUTE(SUBSTITUTE(SUBSTITUTE(SUBSTITUTE(IF($R77="",0,IF(INDEX(NVLSX!O$4655:O$4729,$R77)="",INDEX(NVLSX!I$4655:I$4729,$R77),IF(INDEX(NVLSX!O$4655:O$4729,$R77)=$D$12,INDEX(NVLSX!I$4655:I$4729,$R77),0      ))),$C$8,$D$8),$C$9,$D$9),$C$10,$D$10),$C$11,$D$11),$P$12,$Q$12),$C$12,$B$12)</f>
        <v>1600*2</v>
      </c>
      <c r="X77" s="507"/>
      <c r="Y77" s="557"/>
      <c r="AA77" s="503"/>
      <c r="AB77" s="503"/>
      <c r="AC77" s="503"/>
      <c r="AD77" s="503"/>
      <c r="AE77" s="714">
        <f t="shared" ca="1" si="5"/>
        <v>63000</v>
      </c>
      <c r="AF77" s="270"/>
    </row>
    <row r="78" spans="1:40">
      <c r="A78" s="1418"/>
      <c r="B78" s="149" t="str">
        <f ca="1">IF($C78&lt;&gt;"",1 + MAX($B$20:$B77),"" )</f>
        <v/>
      </c>
      <c r="C78" s="290" t="str">
        <f ca="1">IF($K78&lt;&gt;"",$K78,IF(OR($R78="",$G78=0),"",  IF(INDEX(NVLSX!E$4655:E$4729,$R78) = $S$10, $R$10,     INDEX(NVLSX!E$4655:E$4729,$R78)     )))</f>
        <v/>
      </c>
      <c r="D78" s="245" t="str">
        <f ca="1">IF($C78="","",IF($C78=$R$10, INDEX(NVLSX!$R$6492:$R$6921,MATCH($C78,NVLSX!$Q$6492:$Q$6921,0)), INDEX(NVLSX!F$4655:F$4729,$R78)   ))</f>
        <v/>
      </c>
      <c r="E78" s="1053" t="str">
        <f ca="1">IF($C78="","",INDEX(NVLSX!$G$2:$G$6941,MATCH($C78,NVLSX!$E$2:$E$6941,0)))</f>
        <v/>
      </c>
      <c r="F78" s="248">
        <f ca="1">IF(OR($S78="",$G78=0),0,TinhCT)</f>
        <v>0</v>
      </c>
      <c r="G78" s="262">
        <f ca="1">TinhCTSL</f>
        <v>0</v>
      </c>
      <c r="H78" s="262">
        <f t="shared" ca="1" si="7"/>
        <v>0</v>
      </c>
      <c r="I78" s="246" t="str">
        <f ca="1">IF($C78="","",IF($R78="","",INDEX(NVLSX!K$1556:K$4654,$R78)))</f>
        <v/>
      </c>
      <c r="J78" s="878">
        <f ca="1">IF($C78="",0,IFERROR(INDEX(NVLSX!$M$4:$M$6941,MATCH($C78,NVLSX!$E$4:$E$6941,0)),0) + IFERROR(IF($Q78=NVLSX!$N$4,INDEX(IF($R$1=DanhMuc!$C$179,DanhMuc!$C$180:$C$188,DanhMuc!$D$180:$D$188),MATCH($F$4,DanhMuc!$B$180:$B$188,0)),0),0))</f>
        <v>0</v>
      </c>
      <c r="K78" s="253"/>
      <c r="L78" s="251"/>
      <c r="M78" s="911">
        <f ca="1">IF($C78="",0,IF($K78="", ROUND(INDEX(NVLSX!$L$4655:$L$4729,$R78),2),ROUND(INDEX(NVLSX!$L$2:$L$6941,MATCH($C78,NVLSX!$E$2:$E$6941,0)),2)))</f>
        <v>0</v>
      </c>
      <c r="N78" s="559">
        <f t="shared" ca="1" si="15"/>
        <v>0</v>
      </c>
      <c r="O78" s="559">
        <f t="shared" ca="1" si="15"/>
        <v>0</v>
      </c>
      <c r="P78" s="547" t="str">
        <f ca="1">IF(OR($C78="",$C78=0),"",IF(INDEX(NVLSX!$H$4655:$H$4729,$R78)&lt;&gt;"",INDEX(NVLSX!$H$4655:$H$4729,$R78),$F$5))</f>
        <v/>
      </c>
      <c r="Q78" s="548" t="str">
        <f ca="1">IF(OR($C78="",$C78=0),"",INDEX(NVLSX!N$6:N$6941,MATCH($C78,NVLSX!$E$6:$E$6941,0)))</f>
        <v/>
      </c>
      <c r="R78" s="569" t="str">
        <f ca="1">IF($I$2=NVLSX!$F$6930,"",IF(TYPE(MATCH(U78,OFFSET(NVLSX!$B$4655,R77,0):'NVLSX'!$B$4729,0)+R77)=16,"",MATCH(U78,OFFSET(NVLSX!$B$4655,R77,0):'NVLSX'!$B$4729,0)+R77))</f>
        <v/>
      </c>
      <c r="S78" s="570" t="str">
        <f ca="1">SUBSTITUTE(SUBSTITUTE(SUBSTITUTE(SUBSTITUTE(SUBSTITUTE(SUBSTITUTE(IF($R78="",0,INDEX(NVLSX!J$4655:J$4729,$R78)),$C$8,$D$8),$C$9,$D$9),$C$10,$D$10),$C$11,$D$11),$P$12,$Q$12),$C$12,$B$12)</f>
        <v>0</v>
      </c>
      <c r="T78" s="551" t="str">
        <f ca="1">IF(OR($C78="",$C78=0),"", IF(OR(AND(OR($Q78=NVLSX!$N$4,$Q78=NVLSX!$N$6492),COUNTIFS($C$14:$C78,$C78,$F$14:$F78,$F78,$I$14:$I78,$I78)&lt;=1), COUNTIF($C$14:$C78,$C78) &lt;=1 ),$T$13, ""    ))</f>
        <v/>
      </c>
      <c r="U78" s="571" t="str">
        <f t="shared" si="16"/>
        <v/>
      </c>
      <c r="V78" s="513" t="str">
        <f>IF(COUNTIF($V$73:$V77,  INDEX(DanhMuc!$F$154:$F$165,MATCH(MID($K$1,4,2),DanhMuc!$B$154:$B$165,0))   &amp; MID($K$1,1,2) )&gt;=COUNTIF(NVLSX!$B$4656:$B$4729,  INDEX(DanhMuc!$F$154:$F$165,MATCH(MID($K$1,4,2),DanhMuc!$B$154:$B$165,0)) &amp; MID($K$1,1,2) &amp; IF(OR(MID($K$1,1,2)="DT",MID($K$1,1,2)="ST"),MID($K$1,7,2),"") ),"",INDEX(DanhMuc!$F$154:$F$165,MATCH(MID($K$1,4,2),DanhMuc!$B$154:$B$165,0)) &amp;MID($K$1,1,2))</f>
        <v/>
      </c>
      <c r="W78" s="1048" t="str">
        <f ca="1">SUBSTITUTE(SUBSTITUTE(SUBSTITUTE(SUBSTITUTE(SUBSTITUTE(SUBSTITUTE(IF($R78="",0,IF(INDEX(NVLSX!O$4655:O$4729,$R78)="",INDEX(NVLSX!I$4655:I$4729,$R78),IF(INDEX(NVLSX!O$4655:O$4729,$R78)=$D$12,INDEX(NVLSX!I$4655:I$4729,$R78),0      ))),$C$8,$D$8),$C$9,$D$9),$C$10,$D$10),$C$11,$D$11),$P$12,$Q$12),$C$12,$B$12)</f>
        <v>0</v>
      </c>
      <c r="X78" s="507"/>
      <c r="Y78" s="557"/>
      <c r="AA78" s="503"/>
      <c r="AB78" s="503"/>
      <c r="AC78" s="503"/>
      <c r="AD78" s="503"/>
      <c r="AE78" s="714">
        <f t="shared" ca="1" si="5"/>
        <v>0</v>
      </c>
      <c r="AF78" s="270"/>
    </row>
    <row r="79" spans="1:40" ht="25">
      <c r="A79" s="1419" t="s">
        <v>108</v>
      </c>
      <c r="B79" s="149">
        <f ca="1">IF($C79&lt;&gt;"",1 + MAX($B$20:$B78),"" )</f>
        <v>20</v>
      </c>
      <c r="C79" s="291" t="str">
        <f>IF($K79&lt;&gt;"",$K79,IF(AND($R79&lt;&gt;"",$G79&gt;0),INDEX(NVLSX!E$4731:E$6491,$R79),""))</f>
        <v>VCF347</v>
      </c>
      <c r="D79" s="254" t="str">
        <f>IF($C79="","",INDEX(NVLSX!F$4731:F$6491,$R79))</f>
        <v>Ke vĩnh cửu KB &amp; cánh đi XF55 31*41</v>
      </c>
      <c r="E79" s="246" t="str">
        <f>IF($C79="","",IF($R79="","",INDEX(NVLSX!G$4731:G$6491,$R79)))</f>
        <v>Cái</v>
      </c>
      <c r="F79" s="247">
        <f>IF(OR($S79="",$G79=0),0,TinhCT)</f>
        <v>0</v>
      </c>
      <c r="G79" s="247">
        <f>IF($L79&lt;&gt;"",$L79,IF($W79="",0,TinhCTSL))</f>
        <v>2</v>
      </c>
      <c r="H79" s="262">
        <f t="shared" si="7"/>
        <v>4</v>
      </c>
      <c r="I79" s="252"/>
      <c r="J79" s="878">
        <f>IF($C79="",0,IFERROR(INDEX(NVLSX!$M$4:$M$6941,MATCH($C79,NVLSX!$E$4:$E$6941,0)),0) + IFERROR(IF($Q79=NVLSX!$N$4,INDEX(IF($R$1=DanhMuc!$C$179,DanhMuc!$C$180:$C$188,DanhMuc!$D$180:$D$188),MATCH($F$4,DanhMuc!$B$180:$B$188,0)),0),0))</f>
        <v>0</v>
      </c>
      <c r="K79" s="253"/>
      <c r="L79" s="251"/>
      <c r="M79" s="911">
        <f>IF($C79="",0,IF($K79="", ROUND(INDEX(NVLSX!$L$4731:$L$6491,$R79),2),ROUND(INDEX(NVLSX!$L$2:$L$6941,MATCH($C79,NVLSX!$E$2:$E$6941,0)),2)))</f>
        <v>9400</v>
      </c>
      <c r="N79" s="559">
        <f>ROUND(IF($C79="",0,IF($F79=0,$H79*(1+$J79)*$M79,$F79*$H79*(1+$J79)*$M79)),0)</f>
        <v>37600</v>
      </c>
      <c r="O79" s="559">
        <f>ROUND(IF($C79="",0,IF($F79=0,$H79*(1+$J79)*$M79,$F79*$H79*(1+$J79)*$M79)),0)</f>
        <v>37600</v>
      </c>
      <c r="P79" s="547" t="str">
        <f>IF(OR($C79="",$C79=0),"",IF(INDEX(NVLSX!$H$4730:$H$6491,$R79)&lt;&gt;"",INDEX(NVLSX!$H$4730:$H$6491,$R79),$F$5))</f>
        <v>T/C</v>
      </c>
      <c r="Q79" s="548" t="str">
        <f>IF(OR($C79="",$C79=0),"",INDEX(NVLSX!N$6:N$6941,MATCH($C79,NVLSX!$E$6:$E$6941,0)))</f>
        <v>VTSX</v>
      </c>
      <c r="R79" s="572">
        <f>IF($I$2=NVLSX!$F$6930,"",IF(TYPE(MATCH($K$1,NVLSX!$B$4731:$B$6491,0))=16,"",MATCH($K$1,NVLSX!$B$4731:$B$6491,0)))</f>
        <v>7</v>
      </c>
      <c r="S79" s="573" t="str">
        <f>SUBSTITUTE(SUBSTITUTE(SUBSTITUTE(SUBSTITUTE(SUBSTITUTE(SUBSTITUTE(SUBSTITUTE(SUBSTITUTE(SUBSTITUTE(IF($R79="",0,INDEX(NVLSX!$J$4731:$J$6491,$R79)),$C$8,$D$8),$C$9,$D$9),$C$10,$D$10),$C$11,$D$11),$P$12,$Q$12),$C$12,$B$12),$E$11,$F$11),$E$12,$F$12),$K$6,$F$7 )</f>
        <v/>
      </c>
      <c r="T79" s="551" t="str">
        <f ca="1">IF(OR($C79="",$C79=0),"", IF(OR(AND(OR($Q79=NVLSX!$N$4,$Q79=NVLSX!$N$6492),COUNTIFS($C$14:$C79,$C79,$F$14:$F79,$F79,$I$14:$I79,$I79)&lt;=1), COUNTIF($C$14:$C79,$C79) &lt;=1 ),$T$13, ""    ))</f>
        <v>TH</v>
      </c>
      <c r="U79" s="640">
        <f ca="1">IF($P$5=0, 0,IFERROR(SEARCH("ke ",$D79,1),0))</f>
        <v>1</v>
      </c>
      <c r="V79" s="775" t="s">
        <v>2080</v>
      </c>
      <c r="W79" s="863" t="str">
        <f>SUBSTITUTE(SUBSTITUTE(SUBSTITUTE(SUBSTITUTE(SUBSTITUTE(SUBSTITUTE(SUBSTITUTE(SUBSTITUTE(SUBSTITUTE(IF($R79="",0,IF(INDEX(NVLSX!$O$4731:$O$6491,$R79)="",INDEX(NVLSX!$I$4731:$I$6491,$R79),   IF(OR(INDEX(NVLSX!$O$4731:$O$6491,$R79)=$I$8 &amp; " " &amp;$I$9,INDEX(NVLSX!$O$4731:$O$6491,$R79)=$I$10 &amp; " " &amp; $I$11),INDEX(NVLSX!$I$4731:$I$6491,$R79),0    ))),$C$8,$D$8),$C$9,$D$9),$C$10,$D$10),$C$11,$D$11),$P$12,$Q$12),$C$12,$B$12),$E$11,$F$11),$E$12,$F$12),$K$6,$F$7 )</f>
        <v>2</v>
      </c>
      <c r="X79" s="507"/>
      <c r="Y79" s="557"/>
      <c r="AA79" s="503"/>
      <c r="AB79" s="503"/>
      <c r="AC79" s="503"/>
      <c r="AD79" s="503"/>
      <c r="AE79" s="714">
        <f t="shared" ref="AE79:AE106" ca="1" si="17">ROUND((IFERROR(IF(AND($Q79=$V$8,$U79=1),$T$10,INDEX($T$4:$T$10,MATCH($Q79,$V$4:$V$10,0))),0) + 1) *$O79, -3)</f>
        <v>56000</v>
      </c>
      <c r="AF79" s="270"/>
    </row>
    <row r="80" spans="1:40" ht="25">
      <c r="A80" s="1419"/>
      <c r="B80" s="149">
        <f ca="1">IF($C80&lt;&gt;"",1 + MAX($B$20:$B79),"" )</f>
        <v>21</v>
      </c>
      <c r="C80" s="291" t="str">
        <f ca="1">IF($K80&lt;&gt;"",$K80,IF(AND($R80&lt;&gt;"",$G80&gt;0),INDEX(NVLSX!E$4731:E$6491,$R80),""))</f>
        <v>OcKeVC</v>
      </c>
      <c r="D80" s="254" t="str">
        <f ca="1">IF($C80="","",INDEX(NVLSX!F$4731:F$6491,$R80))</f>
        <v>Ốc bắt ke vĩnh cửu</v>
      </c>
      <c r="E80" s="246" t="str">
        <f ca="1">IF($C80="","",IF($R80="","",INDEX(NVLSX!G$4731:G$6491,$R80)))</f>
        <v>Cái</v>
      </c>
      <c r="F80" s="247">
        <f ca="1">IF(OR($S80="",$G80=0),0,TinhCT)</f>
        <v>0</v>
      </c>
      <c r="G80" s="247">
        <f ca="1">IF($L80&lt;&gt;"",$L80,IF($W80="",0,TinhCTSL))</f>
        <v>8</v>
      </c>
      <c r="H80" s="262">
        <f t="shared" ca="1" si="7"/>
        <v>16</v>
      </c>
      <c r="I80" s="252"/>
      <c r="J80" s="878">
        <f ca="1">IF($C80="",0,IFERROR(INDEX(NVLSX!$M$4:$M$6941,MATCH($C80,NVLSX!$E$4:$E$6941,0)),0) + IFERROR(IF($Q80=NVLSX!$N$4,INDEX(IF($R$1=DanhMuc!$C$179,DanhMuc!$C$180:$C$188,DanhMuc!$D$180:$D$188),MATCH($F$4,DanhMuc!$B$180:$B$188,0)),0),0))</f>
        <v>0</v>
      </c>
      <c r="K80" s="253"/>
      <c r="L80" s="251"/>
      <c r="M80" s="911">
        <f ca="1">IF($C80="",0,IF($K80="", ROUND(INDEX(NVLSX!$L$4731:$L$6491,$R80),2),ROUND(INDEX(NVLSX!$L$2:$L$6941,MATCH($C80,NVLSX!$E$2:$E$6941,0)),2)))</f>
        <v>600</v>
      </c>
      <c r="N80" s="559">
        <f t="shared" ref="N80:O98" ca="1" si="18">ROUND(IF($C80="",0,IF($F80=0,$H80*(1+$J80)*$M80,$F80*$H80*(1+$J80)*$M80)),0)</f>
        <v>9600</v>
      </c>
      <c r="O80" s="559">
        <f t="shared" ca="1" si="18"/>
        <v>9600</v>
      </c>
      <c r="P80" s="547" t="str">
        <f ca="1">IF(OR($C80="",$C80=0),"",IF(INDEX(NVLSX!$H$4730:$H$6491,$R80)&lt;&gt;"",INDEX(NVLSX!$H$4730:$H$6491,$R80),$F$5))</f>
        <v>T/C</v>
      </c>
      <c r="Q80" s="548" t="str">
        <f ca="1">IF(OR($C80="",$C80=0),"",INDEX(NVLSX!N$6:N$6941,MATCH($C80,NVLSX!$E$6:$E$6941,0)))</f>
        <v>VTSX</v>
      </c>
      <c r="R80" s="572">
        <f ca="1">IF($I$2=NVLSX!$F$6930,"",IF(TYPE(MATCH($K$1,OFFSET(NVLSX!$B$4731,R79,0):'NVLSX'!$B$6491,0)+R79)=16,"",MATCH($K$1,OFFSET(NVLSX!$B$4731,R79,0):'NVLSX'!$B$6491,0)+R79))</f>
        <v>8</v>
      </c>
      <c r="S80" s="573" t="str">
        <f ca="1">SUBSTITUTE(SUBSTITUTE(SUBSTITUTE(SUBSTITUTE(SUBSTITUTE(SUBSTITUTE(SUBSTITUTE(SUBSTITUTE(SUBSTITUTE(IF($R80="",0,INDEX(NVLSX!J$4731:J$6491,$R80)),$C$8,$D$8),$C$9,$D$9),$C$10,$D$10),$C$11,$D$11),$P$12,$Q$12),$C$12,$B$12),$E$11,$F$11),$E$12,$F$12),$K$6,$F$7 )</f>
        <v/>
      </c>
      <c r="T80" s="551" t="str">
        <f ca="1">IF(OR($C80="",$C80=0),"", IF(OR(AND(OR($Q80=NVLSX!$N$4,$Q80=NVLSX!$N$6492),COUNTIFS($C$14:$C80,$C80,$F$14:$F80,$F80,$I$14:$I80,$I80)&lt;=1), COUNTIF($C$14:$C80,$C80) &lt;=1 ),$T$13, ""    ))</f>
        <v>TH</v>
      </c>
      <c r="U80" s="640">
        <f t="shared" ref="U80:U98" ca="1" si="19">IF($P$5=0, 0,IFERROR(SEARCH("ke ",$D80,1),0))</f>
        <v>8</v>
      </c>
      <c r="V80" s="503"/>
      <c r="W80" s="863" t="str">
        <f ca="1">SUBSTITUTE(SUBSTITUTE(SUBSTITUTE(SUBSTITUTE(SUBSTITUTE(SUBSTITUTE(SUBSTITUTE(SUBSTITUTE(SUBSTITUTE(IF($R80="",0,IF(INDEX(NVLSX!$O$4731:$O$6491,$R80)="",INDEX(NVLSX!$I$4731:$I$6491,$R80),   IF(OR(INDEX(NVLSX!$O$4731:$O$6491,$R80)=$I$8 &amp; " " &amp;$I$9,INDEX(NVLSX!$O$4731:$O$6491,$R80)=$I$10 &amp; " " &amp; $I$11),INDEX(NVLSX!$I$4731:$I$6491,$R80),0    ))),$C$8,$D$8),$C$9,$D$9),$C$10,$D$10),$C$11,$D$11),$P$12,$Q$12),$C$12,$B$12),$E$11,$F$11),$E$12,$F$12),$K$6,$F$7 )</f>
        <v>8</v>
      </c>
      <c r="X80" s="507"/>
      <c r="Y80" s="557"/>
      <c r="AA80" s="503"/>
      <c r="AB80" s="503"/>
      <c r="AC80" s="503"/>
      <c r="AD80" s="503"/>
      <c r="AE80" s="714">
        <f t="shared" ca="1" si="17"/>
        <v>14000</v>
      </c>
      <c r="AF80" s="270"/>
    </row>
    <row r="81" spans="1:32">
      <c r="A81" s="1419"/>
      <c r="B81" s="149" t="str">
        <f ca="1">IF($C81&lt;&gt;"",1 + MAX($B$20:$B80),"" )</f>
        <v/>
      </c>
      <c r="C81" s="291" t="str">
        <f ca="1">IF($K81&lt;&gt;"",$K81,IF(AND($R81&lt;&gt;"",$G81&gt;0),INDEX(NVLSX!E$4731:E$6491,$R81),""))</f>
        <v/>
      </c>
      <c r="D81" s="254" t="str">
        <f ca="1">IF($C81="","",INDEX(NVLSX!F$4731:F$6491,$R81))</f>
        <v/>
      </c>
      <c r="E81" s="246" t="str">
        <f ca="1">IF($C81="","",IF($R81="","",INDEX(NVLSX!G$4731:G$6491,$R81)))</f>
        <v/>
      </c>
      <c r="F81" s="247">
        <f ca="1">IF(OR($S81="",$G81=0),0,TinhCT)</f>
        <v>0</v>
      </c>
      <c r="G81" s="247">
        <f ca="1">IF($L81&lt;&gt;"",$L81,IF($W81="",0,TinhCTSL))</f>
        <v>0</v>
      </c>
      <c r="H81" s="262">
        <f t="shared" ca="1" si="7"/>
        <v>0</v>
      </c>
      <c r="I81" s="252"/>
      <c r="J81" s="878">
        <f ca="1">IF($C81="",0,IFERROR(INDEX(NVLSX!$M$4:$M$6941,MATCH($C81,NVLSX!$E$4:$E$6941,0)),0) + IFERROR(IF($Q81=NVLSX!$N$4,INDEX(IF($R$1=DanhMuc!$C$179,DanhMuc!$C$180:$C$188,DanhMuc!$D$180:$D$188),MATCH($F$4,DanhMuc!$B$180:$B$188,0)),0),0))</f>
        <v>0</v>
      </c>
      <c r="K81" s="253"/>
      <c r="L81" s="251"/>
      <c r="M81" s="911">
        <f ca="1">IF($C81="",0,IF($K81="", ROUND(INDEX(NVLSX!$L$4731:$L$6491,$R81),2),ROUND(INDEX(NVLSX!$L$2:$L$6941,MATCH($C81,NVLSX!$E$2:$E$6941,0)),2)))</f>
        <v>0</v>
      </c>
      <c r="N81" s="559">
        <f t="shared" ca="1" si="18"/>
        <v>0</v>
      </c>
      <c r="O81" s="559">
        <f t="shared" ca="1" si="18"/>
        <v>0</v>
      </c>
      <c r="P81" s="547" t="str">
        <f ca="1">IF(OR($C81="",$C81=0),"",IF(INDEX(NVLSX!$H$4730:$H$6491,$R81)&lt;&gt;"",INDEX(NVLSX!$H$4730:$H$6491,$R81),$F$5))</f>
        <v/>
      </c>
      <c r="Q81" s="548" t="str">
        <f ca="1">IF(OR($C81="",$C81=0),"",INDEX(NVLSX!N$6:N$6941,MATCH($C81,NVLSX!$E$6:$E$6941,0)))</f>
        <v/>
      </c>
      <c r="R81" s="572">
        <f ca="1">IF($I$2=NVLSX!$F$6930,"",IF(TYPE(MATCH($K$1,OFFSET(NVLSX!$B$4731,R80,0):'NVLSX'!$B$6491,0)+R80)=16,"",MATCH($K$1,OFFSET(NVLSX!$B$4731,R80,0):'NVLSX'!$B$6491,0)+R80))</f>
        <v>9</v>
      </c>
      <c r="S81" s="573" t="str">
        <f ca="1">SUBSTITUTE(SUBSTITUTE(SUBSTITUTE(SUBSTITUTE(SUBSTITUTE(SUBSTITUTE(SUBSTITUTE(SUBSTITUTE(SUBSTITUTE(IF($R81="",0,INDEX(NVLSX!J$4731:J$6491,$R81)),$C$8,$D$8),$C$9,$D$9),$C$10,$D$10),$C$11,$D$11),$P$12,$Q$12),$C$12,$B$12),$E$11,$F$11),$E$12,$F$12),$K$6,$F$7 )</f>
        <v/>
      </c>
      <c r="T81" s="551" t="str">
        <f ca="1">IF(OR($C81="",$C81=0),"", IF(OR(AND(OR($Q81=NVLSX!$N$4,$Q81=NVLSX!$N$6492),COUNTIFS($C$14:$C81,$C81,$F$14:$F81,$F81,$I$14:$I81,$I81)&lt;=1), COUNTIF($C$14:$C81,$C81) &lt;=1 ),$T$13, ""    ))</f>
        <v/>
      </c>
      <c r="U81" s="640">
        <f t="shared" ca="1" si="19"/>
        <v>0</v>
      </c>
      <c r="V81" s="503"/>
      <c r="W81" s="863" t="str">
        <f ca="1">SUBSTITUTE(SUBSTITUTE(SUBSTITUTE(SUBSTITUTE(SUBSTITUTE(SUBSTITUTE(SUBSTITUTE(SUBSTITUTE(SUBSTITUTE(IF($R81="",0,IF(INDEX(NVLSX!$O$4731:$O$6491,$R81)="",INDEX(NVLSX!$I$4731:$I$6491,$R81),   IF(OR(INDEX(NVLSX!$O$4731:$O$6491,$R81)=$I$8 &amp; " " &amp;$I$9,INDEX(NVLSX!$O$4731:$O$6491,$R81)=$I$10 &amp; " " &amp; $I$11),INDEX(NVLSX!$I$4731:$I$6491,$R81),0    ))),$C$8,$D$8),$C$9,$D$9),$C$10,$D$10),$C$11,$D$11),$P$12,$Q$12),$C$12,$B$12),$E$11,$F$11),$E$12,$F$12),$K$6,$F$7 )</f>
        <v>0</v>
      </c>
      <c r="X81" s="507"/>
      <c r="Y81" s="557"/>
      <c r="AA81" s="503"/>
      <c r="AB81" s="503"/>
      <c r="AC81" s="503"/>
      <c r="AD81" s="503"/>
      <c r="AE81" s="714">
        <f t="shared" ca="1" si="17"/>
        <v>0</v>
      </c>
      <c r="AF81" s="270"/>
    </row>
    <row r="82" spans="1:32" ht="25">
      <c r="A82" s="1419"/>
      <c r="B82" s="149">
        <f ca="1">IF($C82&lt;&gt;"",1 + MAX($B$20:$B81),"" )</f>
        <v>22</v>
      </c>
      <c r="C82" s="291" t="str">
        <f ca="1">IF($K82&lt;&gt;"",$K82,IF(AND($R82&lt;&gt;"",$G82&gt;0),INDEX(NVLSX!E$4731:E$6491,$R82),""))</f>
        <v>VCF347</v>
      </c>
      <c r="D82" s="254" t="str">
        <f ca="1">IF($C82="","",INDEX(NVLSX!F$4731:F$6491,$R82))</f>
        <v>Ke vĩnh cửu KB &amp; cánh đi XF55 31*41</v>
      </c>
      <c r="E82" s="246" t="str">
        <f ca="1">IF($C82="","",IF($R82="","",INDEX(NVLSX!G$4731:G$6491,$R82)))</f>
        <v>Cái</v>
      </c>
      <c r="F82" s="247">
        <f ca="1">IF(OR($S82="",$G82=0),0,TinhCT)</f>
        <v>0</v>
      </c>
      <c r="G82" s="247">
        <f ca="1">IF($L82&lt;&gt;"",$L82,IF($W82="",0,TinhCTSL))</f>
        <v>4</v>
      </c>
      <c r="H82" s="262">
        <f t="shared" ca="1" si="7"/>
        <v>8</v>
      </c>
      <c r="I82" s="252"/>
      <c r="J82" s="878">
        <f ca="1">IF($C82="",0,IFERROR(INDEX(NVLSX!$M$4:$M$6941,MATCH($C82,NVLSX!$E$4:$E$6941,0)),0) + IFERROR(IF($Q82=NVLSX!$N$4,INDEX(IF($R$1=DanhMuc!$C$179,DanhMuc!$C$180:$C$188,DanhMuc!$D$180:$D$188),MATCH($F$4,DanhMuc!$B$180:$B$188,0)),0),0))</f>
        <v>0</v>
      </c>
      <c r="K82" s="253"/>
      <c r="L82" s="251"/>
      <c r="M82" s="911">
        <f ca="1">IF($C82="",0,IF($K82="", ROUND(INDEX(NVLSX!$L$4731:$L$6491,$R82),2),ROUND(INDEX(NVLSX!$L$2:$L$6941,MATCH($C82,NVLSX!$E$2:$E$6941,0)),2)))</f>
        <v>9400</v>
      </c>
      <c r="N82" s="559">
        <f t="shared" ca="1" si="18"/>
        <v>75200</v>
      </c>
      <c r="O82" s="559">
        <f t="shared" ca="1" si="18"/>
        <v>75200</v>
      </c>
      <c r="P82" s="547" t="str">
        <f ca="1">IF(OR($C82="",$C82=0),"",IF(INDEX(NVLSX!$H$4730:$H$6491,$R82)&lt;&gt;"",INDEX(NVLSX!$H$4730:$H$6491,$R82),$F$5))</f>
        <v>T/C</v>
      </c>
      <c r="Q82" s="548" t="str">
        <f ca="1">IF(OR($C82="",$C82=0),"",INDEX(NVLSX!N$6:N$6941,MATCH($C82,NVLSX!$E$6:$E$6941,0)))</f>
        <v>VTSX</v>
      </c>
      <c r="R82" s="572">
        <f ca="1">IF($I$2=NVLSX!$F$6930,"",IF(TYPE(MATCH($K$1,OFFSET(NVLSX!$B$4731,R81,0):'NVLSX'!$B$6491,0)+R81)=16,"",MATCH($K$1,OFFSET(NVLSX!$B$4731,R81,0):'NVLSX'!$B$6491,0)+R81))</f>
        <v>10</v>
      </c>
      <c r="S82" s="573" t="str">
        <f ca="1">SUBSTITUTE(SUBSTITUTE(SUBSTITUTE(SUBSTITUTE(SUBSTITUTE(SUBSTITUTE(SUBSTITUTE(SUBSTITUTE(SUBSTITUTE(IF($R82="",0,INDEX(NVLSX!J$4731:J$6491,$R82)),$C$8,$D$8),$C$9,$D$9),$C$10,$D$10),$C$11,$D$11),$P$12,$Q$12),$C$12,$B$12),$E$11,$F$11),$E$12,$F$12),$K$6,$F$7 )</f>
        <v/>
      </c>
      <c r="T82" s="551" t="str">
        <f ca="1">IF(OR($C82="",$C82=0),"", IF(OR(AND(OR($Q82=NVLSX!$N$4,$Q82=NVLSX!$N$6492),COUNTIFS($C$14:$C82,$C82,$F$14:$F82,$F82,$I$14:$I82,$I82)&lt;=1), COUNTIF($C$14:$C82,$C82) &lt;=1 ),$T$13, ""    ))</f>
        <v/>
      </c>
      <c r="U82" s="640">
        <f t="shared" ca="1" si="19"/>
        <v>1</v>
      </c>
      <c r="V82" s="503"/>
      <c r="W82" s="863" t="str">
        <f ca="1">SUBSTITUTE(SUBSTITUTE(SUBSTITUTE(SUBSTITUTE(SUBSTITUTE(SUBSTITUTE(SUBSTITUTE(SUBSTITUTE(SUBSTITUTE(IF($R82="",0,IF(INDEX(NVLSX!$O$4731:$O$6491,$R82)="",INDEX(NVLSX!$I$4731:$I$6491,$R82),   IF(OR(INDEX(NVLSX!$O$4731:$O$6491,$R82)=$I$8 &amp; " " &amp;$I$9,INDEX(NVLSX!$O$4731:$O$6491,$R82)=$I$10 &amp; " " &amp; $I$11),INDEX(NVLSX!$I$4731:$I$6491,$R82),0    ))),$C$8,$D$8),$C$9,$D$9),$C$10,$D$10),$C$11,$D$11),$P$12,$Q$12),$C$12,$B$12),$E$11,$F$11),$E$12,$F$12),$K$6,$F$7 )</f>
        <v>4</v>
      </c>
      <c r="X82" s="507"/>
      <c r="Y82" s="557"/>
      <c r="AA82" s="503"/>
      <c r="AB82" s="503"/>
      <c r="AC82" s="503"/>
      <c r="AD82" s="503"/>
      <c r="AE82" s="714">
        <f t="shared" ca="1" si="17"/>
        <v>113000</v>
      </c>
      <c r="AF82" s="270"/>
    </row>
    <row r="83" spans="1:32" ht="25">
      <c r="A83" s="1419"/>
      <c r="B83" s="149">
        <f ca="1">IF($C83&lt;&gt;"",1 + MAX($B$20:$B82),"" )</f>
        <v>23</v>
      </c>
      <c r="C83" s="291" t="str">
        <f ca="1">IF($K83&lt;&gt;"",$K83,IF(AND($R83&lt;&gt;"",$G83&gt;0),INDEX(NVLSX!E$4731:E$6491,$R83),""))</f>
        <v>OcKeVC</v>
      </c>
      <c r="D83" s="254" t="str">
        <f ca="1">IF($C83="","",INDEX(NVLSX!F$4731:F$6491,$R83))</f>
        <v>Ốc bắt ke vĩnh cửu</v>
      </c>
      <c r="E83" s="246" t="str">
        <f ca="1">IF($C83="","",IF($R83="","",INDEX(NVLSX!G$4731:G$6491,$R83)))</f>
        <v>Cái</v>
      </c>
      <c r="F83" s="247">
        <f ca="1">IF(OR($S83="",$G83=0),0,TinhCT)</f>
        <v>0</v>
      </c>
      <c r="G83" s="247">
        <f ca="1">IF($L83&lt;&gt;"",$L83,IF($W83="",0,TinhCTSL))</f>
        <v>16</v>
      </c>
      <c r="H83" s="262">
        <f t="shared" ca="1" si="7"/>
        <v>32</v>
      </c>
      <c r="I83" s="252"/>
      <c r="J83" s="878">
        <f ca="1">IF($C83="",0,IFERROR(INDEX(NVLSX!$M$4:$M$6941,MATCH($C83,NVLSX!$E$4:$E$6941,0)),0) + IFERROR(IF($Q83=NVLSX!$N$4,INDEX(IF($R$1=DanhMuc!$C$179,DanhMuc!$C$180:$C$188,DanhMuc!$D$180:$D$188),MATCH($F$4,DanhMuc!$B$180:$B$188,0)),0),0))</f>
        <v>0</v>
      </c>
      <c r="K83" s="253"/>
      <c r="L83" s="251"/>
      <c r="M83" s="911">
        <f ca="1">IF($C83="",0,IF($K83="", ROUND(INDEX(NVLSX!$L$4731:$L$6491,$R83),2),ROUND(INDEX(NVLSX!$L$2:$L$6941,MATCH($C83,NVLSX!$E$2:$E$6941,0)),2)))</f>
        <v>600</v>
      </c>
      <c r="N83" s="559">
        <f t="shared" ca="1" si="18"/>
        <v>19200</v>
      </c>
      <c r="O83" s="559">
        <f t="shared" ca="1" si="18"/>
        <v>19200</v>
      </c>
      <c r="P83" s="547" t="str">
        <f ca="1">IF(OR($C83="",$C83=0),"",IF(INDEX(NVLSX!$H$4730:$H$6491,$R83)&lt;&gt;"",INDEX(NVLSX!$H$4730:$H$6491,$R83),$F$5))</f>
        <v>T/C</v>
      </c>
      <c r="Q83" s="548" t="str">
        <f ca="1">IF(OR($C83="",$C83=0),"",INDEX(NVLSX!N$6:N$6941,MATCH($C83,NVLSX!$E$6:$E$6941,0)))</f>
        <v>VTSX</v>
      </c>
      <c r="R83" s="572">
        <f ca="1">IF($I$2=NVLSX!$F$6930,"",IF(TYPE(MATCH($K$1,OFFSET(NVLSX!$B$4731,R82,0):'NVLSX'!$B$6491,0)+R82)=16,"",MATCH($K$1,OFFSET(NVLSX!$B$4731,R82,0):'NVLSX'!$B$6491,0)+R82))</f>
        <v>11</v>
      </c>
      <c r="S83" s="573" t="str">
        <f ca="1">SUBSTITUTE(SUBSTITUTE(SUBSTITUTE(SUBSTITUTE(SUBSTITUTE(SUBSTITUTE(SUBSTITUTE(SUBSTITUTE(SUBSTITUTE(IF($R83="",0,INDEX(NVLSX!J$4731:J$6491,$R83)),$C$8,$D$8),$C$9,$D$9),$C$10,$D$10),$C$11,$D$11),$P$12,$Q$12),$C$12,$B$12),$E$11,$F$11),$E$12,$F$12),$K$6,$F$7 )</f>
        <v/>
      </c>
      <c r="T83" s="551" t="str">
        <f ca="1">IF(OR($C83="",$C83=0),"", IF(OR(AND(OR($Q83=NVLSX!$N$4,$Q83=NVLSX!$N$6492),COUNTIFS($C$14:$C83,$C83,$F$14:$F83,$F83,$I$14:$I83,$I83)&lt;=1), COUNTIF($C$14:$C83,$C83) &lt;=1 ),$T$13, ""    ))</f>
        <v/>
      </c>
      <c r="U83" s="640">
        <f t="shared" ca="1" si="19"/>
        <v>8</v>
      </c>
      <c r="V83" s="503"/>
      <c r="W83" s="863" t="str">
        <f ca="1">SUBSTITUTE(SUBSTITUTE(SUBSTITUTE(SUBSTITUTE(SUBSTITUTE(SUBSTITUTE(SUBSTITUTE(SUBSTITUTE(SUBSTITUTE(IF($R83="",0,IF(INDEX(NVLSX!$O$4731:$O$6491,$R83)="",INDEX(NVLSX!$I$4731:$I$6491,$R83),   IF(OR(INDEX(NVLSX!$O$4731:$O$6491,$R83)=$I$8 &amp; " " &amp;$I$9,INDEX(NVLSX!$O$4731:$O$6491,$R83)=$I$10 &amp; " " &amp; $I$11),INDEX(NVLSX!$I$4731:$I$6491,$R83),0    ))),$C$8,$D$8),$C$9,$D$9),$C$10,$D$10),$C$11,$D$11),$P$12,$Q$12),$C$12,$B$12),$E$11,$F$11),$E$12,$F$12),$K$6,$F$7 )</f>
        <v>16</v>
      </c>
      <c r="X83" s="507"/>
      <c r="Y83" s="557"/>
      <c r="AA83" s="503"/>
      <c r="AB83" s="503"/>
      <c r="AC83" s="503"/>
      <c r="AD83" s="503"/>
      <c r="AE83" s="714">
        <f t="shared" ca="1" si="17"/>
        <v>29000</v>
      </c>
      <c r="AF83" s="270"/>
    </row>
    <row r="84" spans="1:32">
      <c r="A84" s="1419"/>
      <c r="B84" s="149" t="str">
        <f ca="1">IF($C84&lt;&gt;"",1 + MAX($B$20:$B83),"" )</f>
        <v/>
      </c>
      <c r="C84" s="291" t="str">
        <f ca="1">IF($K84&lt;&gt;"",$K84,IF(AND($R84&lt;&gt;"",$G84&gt;0),INDEX(NVLSX!E$4731:E$6491,$R84),""))</f>
        <v/>
      </c>
      <c r="D84" s="254" t="str">
        <f ca="1">IF($C84="","",INDEX(NVLSX!F$4731:F$6491,$R84))</f>
        <v/>
      </c>
      <c r="E84" s="246" t="str">
        <f ca="1">IF($C84="","",IF($R84="","",INDEX(NVLSX!G$4731:G$6491,$R84)))</f>
        <v/>
      </c>
      <c r="F84" s="247">
        <f ca="1">IF(OR($S84="",$G84=0),0,TinhCT)</f>
        <v>0</v>
      </c>
      <c r="G84" s="247">
        <f ca="1">IF($L84&lt;&gt;"",$L84,IF($W84="",0,TinhCTSL))</f>
        <v>0</v>
      </c>
      <c r="H84" s="262">
        <f t="shared" ca="1" si="7"/>
        <v>0</v>
      </c>
      <c r="I84" s="252"/>
      <c r="J84" s="878">
        <f ca="1">IF($C84="",0,IFERROR(INDEX(NVLSX!$M$4:$M$6941,MATCH($C84,NVLSX!$E$4:$E$6941,0)),0) + IFERROR(IF($Q84=NVLSX!$N$4,INDEX(IF($R$1=DanhMuc!$C$179,DanhMuc!$C$180:$C$188,DanhMuc!$D$180:$D$188),MATCH($F$4,DanhMuc!$B$180:$B$188,0)),0),0))</f>
        <v>0</v>
      </c>
      <c r="K84" s="253"/>
      <c r="L84" s="251"/>
      <c r="M84" s="911">
        <f ca="1">IF($C84="",0,IF($K84="", ROUND(INDEX(NVLSX!$L$4731:$L$6491,$R84),2),ROUND(INDEX(NVLSX!$L$2:$L$6941,MATCH($C84,NVLSX!$E$2:$E$6941,0)),2)))</f>
        <v>0</v>
      </c>
      <c r="N84" s="559">
        <f t="shared" ca="1" si="18"/>
        <v>0</v>
      </c>
      <c r="O84" s="559">
        <f t="shared" ca="1" si="18"/>
        <v>0</v>
      </c>
      <c r="P84" s="547" t="str">
        <f ca="1">IF(OR($C84="",$C84=0),"",IF(INDEX(NVLSX!$H$4730:$H$6491,$R84)&lt;&gt;"",INDEX(NVLSX!$H$4730:$H$6491,$R84),$F$5))</f>
        <v/>
      </c>
      <c r="Q84" s="548" t="str">
        <f ca="1">IF(OR($C84="",$C84=0),"",INDEX(NVLSX!N$6:N$6941,MATCH($C84,NVLSX!$E$6:$E$6941,0)))</f>
        <v/>
      </c>
      <c r="R84" s="572">
        <f ca="1">IF($I$2=NVLSX!$F$6930,"",IF(TYPE(MATCH($K$1,OFFSET(NVLSX!$B$4731,R83,0):'NVLSX'!$B$6491,0)+R83)=16,"",MATCH($K$1,OFFSET(NVLSX!$B$4731,R83,0):'NVLSX'!$B$6491,0)+R83))</f>
        <v>12</v>
      </c>
      <c r="S84" s="573" t="str">
        <f ca="1">SUBSTITUTE(SUBSTITUTE(SUBSTITUTE(SUBSTITUTE(SUBSTITUTE(SUBSTITUTE(SUBSTITUTE(SUBSTITUTE(SUBSTITUTE(IF($R84="",0,INDEX(NVLSX!J$4731:J$6491,$R84)),$C$8,$D$8),$C$9,$D$9),$C$10,$D$10),$C$11,$D$11),$P$12,$Q$12),$C$12,$B$12),$E$11,$F$11),$E$12,$F$12),$K$6,$F$7 )</f>
        <v/>
      </c>
      <c r="T84" s="551" t="str">
        <f ca="1">IF(OR($C84="",$C84=0),"", IF(OR(AND(OR($Q84=NVLSX!$N$4,$Q84=NVLSX!$N$6492),COUNTIFS($C$14:$C84,$C84,$F$14:$F84,$F84,$I$14:$I84,$I84)&lt;=1), COUNTIF($C$14:$C84,$C84) &lt;=1 ),$T$13, ""    ))</f>
        <v/>
      </c>
      <c r="U84" s="640">
        <f t="shared" ca="1" si="19"/>
        <v>0</v>
      </c>
      <c r="V84" s="503"/>
      <c r="W84" s="863" t="str">
        <f ca="1">SUBSTITUTE(SUBSTITUTE(SUBSTITUTE(SUBSTITUTE(SUBSTITUTE(SUBSTITUTE(SUBSTITUTE(SUBSTITUTE(SUBSTITUTE(IF($R84="",0,IF(INDEX(NVLSX!$O$4731:$O$6491,$R84)="",INDEX(NVLSX!$I$4731:$I$6491,$R84),   IF(OR(INDEX(NVLSX!$O$4731:$O$6491,$R84)=$I$8 &amp; " " &amp;$I$9,INDEX(NVLSX!$O$4731:$O$6491,$R84)=$I$10 &amp; " " &amp; $I$11),INDEX(NVLSX!$I$4731:$I$6491,$R84),0    ))),$C$8,$D$8),$C$9,$D$9),$C$10,$D$10),$C$11,$D$11),$P$12,$Q$12),$C$12,$B$12),$E$11,$F$11),$E$12,$F$12),$K$6,$F$7 )</f>
        <v>0</v>
      </c>
      <c r="X84" s="507"/>
      <c r="Y84" s="557"/>
      <c r="AA84" s="503"/>
      <c r="AB84" s="503"/>
      <c r="AC84" s="503"/>
      <c r="AD84" s="503"/>
      <c r="AE84" s="714">
        <f t="shared" ca="1" si="17"/>
        <v>0</v>
      </c>
      <c r="AF84" s="270"/>
    </row>
    <row r="85" spans="1:32" ht="25">
      <c r="A85" s="1419"/>
      <c r="B85" s="149">
        <f ca="1">IF($C85&lt;&gt;"",1 + MAX($B$20:$B84),"" )</f>
        <v>24</v>
      </c>
      <c r="C85" s="291" t="str">
        <f ca="1">IF($K85&lt;&gt;"",$K85,IF(AND($R85&lt;&gt;"",$G85&gt;0),INDEX(NVLSX!E$4731:E$6491,$R85),""))</f>
        <v>KTCXF55</v>
      </c>
      <c r="D85" s="254" t="str">
        <f ca="1">IF($C85="","",INDEX(NVLSX!F$4731:F$6491,$R85))</f>
        <v>Ke tăng cứng XF55</v>
      </c>
      <c r="E85" s="246" t="str">
        <f ca="1">IF($C85="","",IF($R85="","",INDEX(NVLSX!G$4731:G$6491,$R85)))</f>
        <v>Cái</v>
      </c>
      <c r="F85" s="247">
        <f ca="1">IF(OR($S85="",$G85=0),0,TinhCT)</f>
        <v>0</v>
      </c>
      <c r="G85" s="247">
        <f ca="1">IF($L85&lt;&gt;"",$L85,IF($W85="",0,TinhCTSL))</f>
        <v>10</v>
      </c>
      <c r="H85" s="262">
        <f t="shared" ca="1" si="7"/>
        <v>20</v>
      </c>
      <c r="I85" s="252"/>
      <c r="J85" s="878">
        <f ca="1">IF($C85="",0,IFERROR(INDEX(NVLSX!$M$4:$M$6941,MATCH($C85,NVLSX!$E$4:$E$6941,0)),0) + IFERROR(IF($Q85=NVLSX!$N$4,INDEX(IF($R$1=DanhMuc!$C$179,DanhMuc!$C$180:$C$188,DanhMuc!$D$180:$D$188),MATCH($F$4,DanhMuc!$B$180:$B$188,0)),0),0))</f>
        <v>0</v>
      </c>
      <c r="K85" s="253"/>
      <c r="L85" s="251"/>
      <c r="M85" s="911">
        <f ca="1">IF($C85="",0,IF($K85="", ROUND(INDEX(NVLSX!$L$4731:$L$6491,$R85),2),ROUND(INDEX(NVLSX!$L$2:$L$6941,MATCH($C85,NVLSX!$E$2:$E$6941,0)),2)))</f>
        <v>408</v>
      </c>
      <c r="N85" s="559">
        <f t="shared" ca="1" si="18"/>
        <v>8160</v>
      </c>
      <c r="O85" s="559">
        <f t="shared" ca="1" si="18"/>
        <v>8160</v>
      </c>
      <c r="P85" s="547" t="str">
        <f ca="1">IF(OR($C85="",$C85=0),"",IF(INDEX(NVLSX!$H$4730:$H$6491,$R85)&lt;&gt;"",INDEX(NVLSX!$H$4730:$H$6491,$R85),$F$5))</f>
        <v>T/C</v>
      </c>
      <c r="Q85" s="548" t="str">
        <f ca="1">IF(OR($C85="",$C85=0),"",INDEX(NVLSX!N$6:N$6941,MATCH($C85,NVLSX!$E$6:$E$6941,0)))</f>
        <v>VTSX</v>
      </c>
      <c r="R85" s="572">
        <f ca="1">IF($I$2=NVLSX!$F$6930,"",IF(TYPE(MATCH($K$1,OFFSET(NVLSX!$B$4731,R84,0):'NVLSX'!$B$6491,0)+R84)=16,"",MATCH($K$1,OFFSET(NVLSX!$B$4731,R84,0):'NVLSX'!$B$6491,0)+R84))</f>
        <v>13</v>
      </c>
      <c r="S85" s="573" t="str">
        <f ca="1">SUBSTITUTE(SUBSTITUTE(SUBSTITUTE(SUBSTITUTE(SUBSTITUTE(SUBSTITUTE(SUBSTITUTE(SUBSTITUTE(SUBSTITUTE(IF($R85="",0,INDEX(NVLSX!J$4731:J$6491,$R85)),$C$8,$D$8),$C$9,$D$9),$C$10,$D$10),$C$11,$D$11),$P$12,$Q$12),$C$12,$B$12),$E$11,$F$11),$E$12,$F$12),$K$6,$F$7 )</f>
        <v/>
      </c>
      <c r="T85" s="551" t="str">
        <f ca="1">IF(OR($C85="",$C85=0),"", IF(OR(AND(OR($Q85=NVLSX!$N$4,$Q85=NVLSX!$N$6492),COUNTIFS($C$14:$C85,$C85,$F$14:$F85,$F85,$I$14:$I85,$I85)&lt;=1), COUNTIF($C$14:$C85,$C85) &lt;=1 ),$T$13, ""    ))</f>
        <v>TH</v>
      </c>
      <c r="U85" s="640">
        <f t="shared" ca="1" si="19"/>
        <v>1</v>
      </c>
      <c r="V85" s="503"/>
      <c r="W85" s="863" t="str">
        <f ca="1">SUBSTITUTE(SUBSTITUTE(SUBSTITUTE(SUBSTITUTE(SUBSTITUTE(SUBSTITUTE(SUBSTITUTE(SUBSTITUTE(SUBSTITUTE(IF($R85="",0,IF(INDEX(NVLSX!$O$4731:$O$6491,$R85)="",INDEX(NVLSX!$I$4731:$I$6491,$R85),   IF(OR(INDEX(NVLSX!$O$4731:$O$6491,$R85)=$I$8 &amp; " " &amp;$I$9,INDEX(NVLSX!$O$4731:$O$6491,$R85)=$I$10 &amp; " " &amp; $I$11),INDEX(NVLSX!$I$4731:$I$6491,$R85),0    ))),$C$8,$D$8),$C$9,$D$9),$C$10,$D$10),$C$11,$D$11),$P$12,$Q$12),$C$12,$B$12),$E$11,$F$11),$E$12,$F$12),$K$6,$F$7 )</f>
        <v>10</v>
      </c>
      <c r="X85" s="507"/>
      <c r="Y85" s="557"/>
      <c r="AA85" s="503"/>
      <c r="AB85" s="503"/>
      <c r="AC85" s="503"/>
      <c r="AD85" s="503"/>
      <c r="AE85" s="714">
        <f t="shared" ca="1" si="17"/>
        <v>12000</v>
      </c>
      <c r="AF85" s="270"/>
    </row>
    <row r="86" spans="1:32">
      <c r="A86" s="1419"/>
      <c r="B86" s="149" t="str">
        <f ca="1">IF($C86&lt;&gt;"",1 + MAX($B$20:$B85),"" )</f>
        <v/>
      </c>
      <c r="C86" s="291" t="str">
        <f ca="1">IF($K86&lt;&gt;"",$K86,IF(AND($R86&lt;&gt;"",$G86&gt;0),INDEX(NVLSX!E$4731:E$6491,$R86),""))</f>
        <v/>
      </c>
      <c r="D86" s="254" t="str">
        <f ca="1">IF($C86="","",INDEX(NVLSX!F$4731:F$6491,$R86))</f>
        <v/>
      </c>
      <c r="E86" s="246" t="str">
        <f ca="1">IF($C86="","",IF($R86="","",INDEX(NVLSX!G$4731:G$6491,$R86)))</f>
        <v/>
      </c>
      <c r="F86" s="247">
        <f ca="1">IF(OR($S86="",$G86=0),0,TinhCT)</f>
        <v>0</v>
      </c>
      <c r="G86" s="247">
        <f ca="1">IF($L86&lt;&gt;"",$L86,IF($W86="",0,TinhCTSL))</f>
        <v>0</v>
      </c>
      <c r="H86" s="262">
        <f t="shared" ca="1" si="7"/>
        <v>0</v>
      </c>
      <c r="I86" s="252"/>
      <c r="J86" s="878">
        <f ca="1">IF($C86="",0,IFERROR(INDEX(NVLSX!$M$4:$M$6941,MATCH($C86,NVLSX!$E$4:$E$6941,0)),0) + IFERROR(IF($Q86=NVLSX!$N$4,INDEX(IF($R$1=DanhMuc!$C$179,DanhMuc!$C$180:$C$188,DanhMuc!$D$180:$D$188),MATCH($F$4,DanhMuc!$B$180:$B$188,0)),0),0))</f>
        <v>0</v>
      </c>
      <c r="K86" s="253"/>
      <c r="L86" s="251"/>
      <c r="M86" s="911">
        <f ca="1">IF($C86="",0,IF($K86="", ROUND(INDEX(NVLSX!$L$4731:$L$6491,$R86),2),ROUND(INDEX(NVLSX!$L$2:$L$6941,MATCH($C86,NVLSX!$E$2:$E$6941,0)),2)))</f>
        <v>0</v>
      </c>
      <c r="N86" s="559">
        <f t="shared" ca="1" si="18"/>
        <v>0</v>
      </c>
      <c r="O86" s="559">
        <f t="shared" ca="1" si="18"/>
        <v>0</v>
      </c>
      <c r="P86" s="547" t="str">
        <f ca="1">IF(OR($C86="",$C86=0),"",IF(INDEX(NVLSX!$H$4730:$H$6491,$R86)&lt;&gt;"",INDEX(NVLSX!$H$4730:$H$6491,$R86),$F$5))</f>
        <v/>
      </c>
      <c r="Q86" s="548" t="str">
        <f ca="1">IF(OR($C86="",$C86=0),"",INDEX(NVLSX!N$6:N$6941,MATCH($C86,NVLSX!$E$6:$E$6941,0)))</f>
        <v/>
      </c>
      <c r="R86" s="572">
        <f ca="1">IF($I$2=NVLSX!$F$6930,"",IF(TYPE(MATCH($K$1,OFFSET(NVLSX!$B$4731,R85,0):'NVLSX'!$B$6491,0)+R85)=16,"",MATCH($K$1,OFFSET(NVLSX!$B$4731,R85,0):'NVLSX'!$B$6491,0)+R85))</f>
        <v>14</v>
      </c>
      <c r="S86" s="573" t="str">
        <f ca="1">SUBSTITUTE(SUBSTITUTE(SUBSTITUTE(SUBSTITUTE(SUBSTITUTE(SUBSTITUTE(SUBSTITUTE(SUBSTITUTE(SUBSTITUTE(IF($R86="",0,INDEX(NVLSX!J$4731:J$6491,$R86)),$C$8,$D$8),$C$9,$D$9),$C$10,$D$10),$C$11,$D$11),$P$12,$Q$12),$C$12,$B$12),$E$11,$F$11),$E$12,$F$12),$K$6,$F$7 )</f>
        <v/>
      </c>
      <c r="T86" s="551" t="str">
        <f ca="1">IF(OR($C86="",$C86=0),"", IF(OR(AND(OR($Q86=NVLSX!$N$4,$Q86=NVLSX!$N$6492),COUNTIFS($C$14:$C86,$C86,$F$14:$F86,$F86,$I$14:$I86,$I86)&lt;=1), COUNTIF($C$14:$C86,$C86) &lt;=1 ),$T$13, ""    ))</f>
        <v/>
      </c>
      <c r="U86" s="640">
        <f t="shared" ca="1" si="19"/>
        <v>0</v>
      </c>
      <c r="V86" s="503"/>
      <c r="W86" s="863" t="str">
        <f ca="1">SUBSTITUTE(SUBSTITUTE(SUBSTITUTE(SUBSTITUTE(SUBSTITUTE(SUBSTITUTE(SUBSTITUTE(SUBSTITUTE(SUBSTITUTE(IF($R86="",0,IF(INDEX(NVLSX!$O$4731:$O$6491,$R86)="",INDEX(NVLSX!$I$4731:$I$6491,$R86),   IF(OR(INDEX(NVLSX!$O$4731:$O$6491,$R86)=$I$8 &amp; " " &amp;$I$9,INDEX(NVLSX!$O$4731:$O$6491,$R86)=$I$10 &amp; " " &amp; $I$11),INDEX(NVLSX!$I$4731:$I$6491,$R86),0    ))),$C$8,$D$8),$C$9,$D$9),$C$10,$D$10),$C$11,$D$11),$P$12,$Q$12),$C$12,$B$12),$E$11,$F$11),$E$12,$F$12),$K$6,$F$7 )</f>
        <v>0</v>
      </c>
      <c r="X86" s="507"/>
      <c r="Y86" s="574"/>
      <c r="AA86" s="503"/>
      <c r="AB86" s="503"/>
      <c r="AC86" s="503"/>
      <c r="AD86" s="503"/>
      <c r="AE86" s="714">
        <f t="shared" ca="1" si="17"/>
        <v>0</v>
      </c>
      <c r="AF86" s="270"/>
    </row>
    <row r="87" spans="1:32">
      <c r="A87" s="1419"/>
      <c r="B87" s="149" t="str">
        <f ca="1">IF($C87&lt;&gt;"",1 + MAX($B$20:$B86),"" )</f>
        <v/>
      </c>
      <c r="C87" s="291" t="str">
        <f ca="1">IF($K87&lt;&gt;"",$K87,IF(AND($R87&lt;&gt;"",$G87&gt;0),INDEX(NVLSX!E$4731:E$6491,$R87),""))</f>
        <v/>
      </c>
      <c r="D87" s="254" t="str">
        <f ca="1">IF($C87="","",INDEX(NVLSX!F$4731:F$6491,$R87))</f>
        <v/>
      </c>
      <c r="E87" s="246" t="str">
        <f ca="1">IF($C87="","",IF($R87="","",INDEX(NVLSX!G$4731:G$6491,$R87)))</f>
        <v/>
      </c>
      <c r="F87" s="247">
        <f ca="1">IF(OR($S87="",$G87=0),0,TinhCT)</f>
        <v>0</v>
      </c>
      <c r="G87" s="247">
        <f ca="1">IF($L87&lt;&gt;"",$L87,IF($W87="",0,TinhCTSL))</f>
        <v>0</v>
      </c>
      <c r="H87" s="262">
        <f t="shared" ca="1" si="7"/>
        <v>0</v>
      </c>
      <c r="I87" s="252"/>
      <c r="J87" s="878">
        <f ca="1">IF($C87="",0,IFERROR(INDEX(NVLSX!$M$4:$M$6941,MATCH($C87,NVLSX!$E$4:$E$6941,0)),0) + IFERROR(IF($Q87=NVLSX!$N$4,INDEX(IF($R$1=DanhMuc!$C$179,DanhMuc!$C$180:$C$188,DanhMuc!$D$180:$D$188),MATCH($F$4,DanhMuc!$B$180:$B$188,0)),0),0))</f>
        <v>0</v>
      </c>
      <c r="K87" s="253"/>
      <c r="L87" s="251"/>
      <c r="M87" s="911">
        <f ca="1">IF($C87="",0,IF($K87="", ROUND(INDEX(NVLSX!$L$4731:$L$6491,$R87),2),ROUND(INDEX(NVLSX!$L$2:$L$6941,MATCH($C87,NVLSX!$E$2:$E$6941,0)),2)))</f>
        <v>0</v>
      </c>
      <c r="N87" s="559">
        <f t="shared" ca="1" si="18"/>
        <v>0</v>
      </c>
      <c r="O87" s="559">
        <f t="shared" ca="1" si="18"/>
        <v>0</v>
      </c>
      <c r="P87" s="547" t="str">
        <f ca="1">IF(OR($C87="",$C87=0),"",IF(INDEX(NVLSX!$H$4730:$H$6491,$R87)&lt;&gt;"",INDEX(NVLSX!$H$4730:$H$6491,$R87),$F$5))</f>
        <v/>
      </c>
      <c r="Q87" s="548" t="str">
        <f ca="1">IF(OR($C87="",$C87=0),"",INDEX(NVLSX!N$6:N$6941,MATCH($C87,NVLSX!$E$6:$E$6941,0)))</f>
        <v/>
      </c>
      <c r="R87" s="572">
        <f ca="1">IF($I$2=NVLSX!$F$6930,"",IF(TYPE(MATCH($K$1,OFFSET(NVLSX!$B$4731,R86,0):'NVLSX'!$B$6491,0)+R86)=16,"",MATCH($K$1,OFFSET(NVLSX!$B$4731,R86,0):'NVLSX'!$B$6491,0)+R86))</f>
        <v>15</v>
      </c>
      <c r="S87" s="573" t="str">
        <f ca="1">SUBSTITUTE(SUBSTITUTE(SUBSTITUTE(SUBSTITUTE(SUBSTITUTE(SUBSTITUTE(SUBSTITUTE(SUBSTITUTE(SUBSTITUTE(IF($R87="",0,INDEX(NVLSX!J$4731:J$6491,$R87)),$C$8,$D$8),$C$9,$D$9),$C$10,$D$10),$C$11,$D$11),$P$12,$Q$12),$C$12,$B$12),$E$11,$F$11),$E$12,$F$12),$K$6,$F$7 )</f>
        <v/>
      </c>
      <c r="T87" s="551" t="str">
        <f ca="1">IF(OR($C87="",$C87=0),"", IF(OR(AND(OR($Q87=NVLSX!$N$4,$Q87=NVLSX!$N$6492),COUNTIFS($C$14:$C87,$C87,$F$14:$F87,$F87,$I$14:$I87,$I87)&lt;=1), COUNTIF($C$14:$C87,$C87) &lt;=1 ),$T$13, ""    ))</f>
        <v/>
      </c>
      <c r="U87" s="640">
        <f t="shared" ca="1" si="19"/>
        <v>0</v>
      </c>
      <c r="V87" s="503"/>
      <c r="W87" s="863" t="str">
        <f ca="1">SUBSTITUTE(SUBSTITUTE(SUBSTITUTE(SUBSTITUTE(SUBSTITUTE(SUBSTITUTE(SUBSTITUTE(SUBSTITUTE(SUBSTITUTE(IF($R87="",0,IF(INDEX(NVLSX!$O$4731:$O$6491,$R87)="",INDEX(NVLSX!$I$4731:$I$6491,$R87),   IF(OR(INDEX(NVLSX!$O$4731:$O$6491,$R87)=$I$8 &amp; " " &amp;$I$9,INDEX(NVLSX!$O$4731:$O$6491,$R87)=$I$10 &amp; " " &amp; $I$11),INDEX(NVLSX!$I$4731:$I$6491,$R87),0    ))),$C$8,$D$8),$C$9,$D$9),$C$10,$D$10),$C$11,$D$11),$P$12,$Q$12),$C$12,$B$12),$E$11,$F$11),$E$12,$F$12),$K$6,$F$7 )</f>
        <v>0</v>
      </c>
      <c r="X87" s="507"/>
      <c r="Y87" s="574"/>
      <c r="AA87" s="503"/>
      <c r="AB87" s="503"/>
      <c r="AC87" s="503"/>
      <c r="AD87" s="503"/>
      <c r="AE87" s="714">
        <f t="shared" ca="1" si="17"/>
        <v>0</v>
      </c>
      <c r="AF87" s="270"/>
    </row>
    <row r="88" spans="1:32">
      <c r="A88" s="1419"/>
      <c r="B88" s="149">
        <f ca="1">IF($C88&lt;&gt;"",1 + MAX($B$20:$B87),"" )</f>
        <v>25</v>
      </c>
      <c r="C88" s="291" t="str">
        <f ca="1">IF($K88&lt;&gt;"",$K88,IF(AND($R88&lt;&gt;"",$G88&gt;0),INDEX(NVLSX!E$4731:E$6491,$R88),""))</f>
        <v>NK</v>
      </c>
      <c r="D88" s="254" t="str">
        <f ca="1">IF($C88="","",INDEX(NVLSX!F$4731:F$6491,$R88))</f>
        <v>Đệm chèn kính GĐSX</v>
      </c>
      <c r="E88" s="246" t="str">
        <f ca="1">IF($C88="","",IF($R88="","",INDEX(NVLSX!G$4731:G$6491,$R88)))</f>
        <v>Gram</v>
      </c>
      <c r="F88" s="247">
        <f ca="1">IF(OR($S88="",$G88=0),0,TinhCT)</f>
        <v>0</v>
      </c>
      <c r="G88" s="247">
        <f ca="1">IF($L88&lt;&gt;"",$L88,IF($W88="",0,TinhCTSL))</f>
        <v>44</v>
      </c>
      <c r="H88" s="262">
        <f t="shared" ca="1" si="7"/>
        <v>88</v>
      </c>
      <c r="I88" s="252"/>
      <c r="J88" s="878">
        <f ca="1">IF($C88="",0,IFERROR(INDEX(NVLSX!$M$4:$M$6941,MATCH($C88,NVLSX!$E$4:$E$6941,0)),0) + IFERROR(IF($Q88=NVLSX!$N$4,INDEX(IF($R$1=DanhMuc!$C$179,DanhMuc!$C$180:$C$188,DanhMuc!$D$180:$D$188),MATCH($F$4,DanhMuc!$B$180:$B$188,0)),0),0))</f>
        <v>0</v>
      </c>
      <c r="K88" s="253"/>
      <c r="L88" s="251"/>
      <c r="M88" s="911">
        <f ca="1">IF($C88="",0,IF($K88="", ROUND(INDEX(NVLSX!$L$4731:$L$6491,$R88),2),ROUND(INDEX(NVLSX!$L$2:$L$6941,MATCH($C88,NVLSX!$E$2:$E$6941,0)),2)))</f>
        <v>40</v>
      </c>
      <c r="N88" s="559">
        <f t="shared" ca="1" si="18"/>
        <v>3520</v>
      </c>
      <c r="O88" s="559">
        <f t="shared" ca="1" si="18"/>
        <v>3520</v>
      </c>
      <c r="P88" s="547" t="str">
        <f ca="1">IF(OR($C88="",$C88=0),"",IF(INDEX(NVLSX!$H$4730:$H$6491,$R88)&lt;&gt;"",INDEX(NVLSX!$H$4730:$H$6491,$R88),$F$5))</f>
        <v>T/C</v>
      </c>
      <c r="Q88" s="548" t="str">
        <f ca="1">IF(OR($C88="",$C88=0),"",INDEX(NVLSX!N$6:N$6941,MATCH($C88,NVLSX!$E$6:$E$6941,0)))</f>
        <v>VTSX</v>
      </c>
      <c r="R88" s="572">
        <f ca="1">IF($I$2=NVLSX!$F$6930,"",IF(TYPE(MATCH($K$1,OFFSET(NVLSX!$B$4731,R87,0):'NVLSX'!$B$6491,0)+R87)=16,"",MATCH($K$1,OFFSET(NVLSX!$B$4731,R87,0):'NVLSX'!$B$6491,0)+R87))</f>
        <v>16</v>
      </c>
      <c r="S88" s="573" t="str">
        <f ca="1">SUBSTITUTE(SUBSTITUTE(SUBSTITUTE(SUBSTITUTE(SUBSTITUTE(SUBSTITUTE(SUBSTITUTE(SUBSTITUTE(SUBSTITUTE(IF($R88="",0,INDEX(NVLSX!J$4731:J$6491,$R88)),$C$8,$D$8),$C$9,$D$9),$C$10,$D$10),$C$11,$D$11),$P$12,$Q$12),$C$12,$B$12),$E$11,$F$11),$E$12,$F$12),$K$6,$F$7 )</f>
        <v/>
      </c>
      <c r="T88" s="551" t="str">
        <f ca="1">IF(OR($C88="",$C88=0),"", IF(OR(AND(OR($Q88=NVLSX!$N$4,$Q88=NVLSX!$N$6492),COUNTIFS($C$14:$C88,$C88,$F$14:$F88,$F88,$I$14:$I88,$I88)&lt;=1), COUNTIF($C$14:$C88,$C88) &lt;=1 ),$T$13, ""    ))</f>
        <v>TH</v>
      </c>
      <c r="U88" s="640">
        <f t="shared" ca="1" si="19"/>
        <v>0</v>
      </c>
      <c r="V88" s="503"/>
      <c r="W88" s="863" t="str">
        <f ca="1">SUBSTITUTE(SUBSTITUTE(SUBSTITUTE(SUBSTITUTE(SUBSTITUTE(SUBSTITUTE(SUBSTITUTE(SUBSTITUTE(SUBSTITUTE(IF($R88="",0,IF(INDEX(NVLSX!$O$4731:$O$6491,$R88)="",INDEX(NVLSX!$I$4731:$I$6491,$R88),   IF(OR(INDEX(NVLSX!$O$4731:$O$6491,$R88)=$I$8 &amp; " " &amp;$I$9,INDEX(NVLSX!$O$4731:$O$6491,$R88)=$I$10 &amp; " " &amp; $I$11),INDEX(NVLSX!$I$4731:$I$6491,$R88),0    ))),$C$8,$D$8),$C$9,$D$9),$C$10,$D$10),$C$11,$D$11),$P$12,$Q$12),$C$12,$B$12),$E$11,$F$11),$E$12,$F$12),$K$6,$F$7 )</f>
        <v>8 * 1 * (11/2)</v>
      </c>
      <c r="X88" s="507"/>
      <c r="Y88" s="574"/>
      <c r="AA88" s="503"/>
      <c r="AB88" s="503"/>
      <c r="AC88" s="503"/>
      <c r="AD88" s="503"/>
      <c r="AE88" s="714">
        <f t="shared" ca="1" si="17"/>
        <v>5000</v>
      </c>
      <c r="AF88" s="270"/>
    </row>
    <row r="89" spans="1:32" ht="50">
      <c r="A89" s="1419"/>
      <c r="B89" s="149">
        <f ca="1">IF($C89&lt;&gt;"",1 + MAX($B$20:$B88),"" )</f>
        <v>26</v>
      </c>
      <c r="C89" s="291" t="str">
        <f ca="1">IF($K89&lt;&gt;"",$K89,IF(AND($R89&lt;&gt;"",$G89&gt;0),INDEX(NVLSX!E$4731:E$6491,$R89),""))</f>
        <v>VTKDBDC-M3.9*20-XCR</v>
      </c>
      <c r="D89" s="254" t="str">
        <f ca="1">IF($C89="","",INDEX(NVLSX!F$4731:F$6491,$R89))</f>
        <v>Vít tự khoan đầu bằng đuôi cá M3.9*20 xi chống rỉ</v>
      </c>
      <c r="E89" s="246" t="str">
        <f ca="1">IF($C89="","",IF($R89="","",INDEX(NVLSX!G$4731:G$6491,$R89)))</f>
        <v>Con</v>
      </c>
      <c r="F89" s="247">
        <f ca="1">IF(OR($S89="",$G89=0),0,TinhCT)</f>
        <v>0</v>
      </c>
      <c r="G89" s="247">
        <f ca="1">IF($L89&lt;&gt;"",$L89,IF($W89="",0,TinhCTSL))</f>
        <v>6</v>
      </c>
      <c r="H89" s="262">
        <f t="shared" ca="1" si="7"/>
        <v>12</v>
      </c>
      <c r="I89" s="252"/>
      <c r="J89" s="878">
        <f ca="1">IF($C89="",0,IFERROR(INDEX(NVLSX!$M$4:$M$6941,MATCH($C89,NVLSX!$E$4:$E$6941,0)),0) + IFERROR(IF($Q89=NVLSX!$N$4,INDEX(IF($R$1=DanhMuc!$C$179,DanhMuc!$C$180:$C$188,DanhMuc!$D$180:$D$188),MATCH($F$4,DanhMuc!$B$180:$B$188,0)),0),0))</f>
        <v>0</v>
      </c>
      <c r="K89" s="253"/>
      <c r="L89" s="251"/>
      <c r="M89" s="911">
        <f ca="1">IF($C89="",0,IF($K89="", ROUND(INDEX(NVLSX!$L$4731:$L$6491,$R89),2),ROUND(INDEX(NVLSX!$L$2:$L$6941,MATCH($C89,NVLSX!$E$2:$E$6941,0)),2)))</f>
        <v>140</v>
      </c>
      <c r="N89" s="559">
        <f t="shared" ca="1" si="18"/>
        <v>1680</v>
      </c>
      <c r="O89" s="559">
        <f t="shared" ca="1" si="18"/>
        <v>1680</v>
      </c>
      <c r="P89" s="547" t="str">
        <f ca="1">IF(OR($C89="",$C89=0),"",IF(INDEX(NVLSX!$H$4730:$H$6491,$R89)&lt;&gt;"",INDEX(NVLSX!$H$4730:$H$6491,$R89),$F$5))</f>
        <v>T/C</v>
      </c>
      <c r="Q89" s="548" t="str">
        <f ca="1">IF(OR($C89="",$C89=0),"",INDEX(NVLSX!N$6:N$6941,MATCH($C89,NVLSX!$E$6:$E$6941,0)))</f>
        <v>VTSX</v>
      </c>
      <c r="R89" s="572">
        <f ca="1">IF($I$2=NVLSX!$F$6930,"",IF(TYPE(MATCH($K$1,OFFSET(NVLSX!$B$4731,R88,0):'NVLSX'!$B$6491,0)+R88)=16,"",MATCH($K$1,OFFSET(NVLSX!$B$4731,R88,0):'NVLSX'!$B$6491,0)+R88))</f>
        <v>17</v>
      </c>
      <c r="S89" s="573" t="str">
        <f ca="1">SUBSTITUTE(SUBSTITUTE(SUBSTITUTE(SUBSTITUTE(SUBSTITUTE(SUBSTITUTE(SUBSTITUTE(SUBSTITUTE(SUBSTITUTE(IF($R89="",0,INDEX(NVLSX!J$4731:J$6491,$R89)),$C$8,$D$8),$C$9,$D$9),$C$10,$D$10),$C$11,$D$11),$P$12,$Q$12),$C$12,$B$12),$E$11,$F$11),$E$12,$F$12),$K$6,$F$7 )</f>
        <v/>
      </c>
      <c r="T89" s="551" t="str">
        <f ca="1">IF(OR($C89="",$C89=0),"", IF(OR(AND(OR($Q89=NVLSX!$N$4,$Q89=NVLSX!$N$6492),COUNTIFS($C$14:$C89,$C89,$F$14:$F89,$F89,$I$14:$I89,$I89)&lt;=1), COUNTIF($C$14:$C89,$C89) &lt;=1 ),$T$13, ""    ))</f>
        <v>TH</v>
      </c>
      <c r="U89" s="640">
        <f t="shared" ca="1" si="19"/>
        <v>0</v>
      </c>
      <c r="V89" s="503"/>
      <c r="W89" s="863" t="str">
        <f ca="1">SUBSTITUTE(SUBSTITUTE(SUBSTITUTE(SUBSTITUTE(SUBSTITUTE(SUBSTITUTE(SUBSTITUTE(SUBSTITUTE(SUBSTITUTE(IF($R89="",0,IF(INDEX(NVLSX!$O$4731:$O$6491,$R89)="",INDEX(NVLSX!$I$4731:$I$6491,$R89),   IF(OR(INDEX(NVLSX!$O$4731:$O$6491,$R89)=$I$8 &amp; " " &amp;$I$9,INDEX(NVLSX!$O$4731:$O$6491,$R89)=$I$10 &amp; " " &amp; $I$11),INDEX(NVLSX!$I$4731:$I$6491,$R89),0    ))),$C$8,$D$8),$C$9,$D$9),$C$10,$D$10),$C$11,$D$11),$P$12,$Q$12),$C$12,$B$12),$E$11,$F$11),$E$12,$F$12),$K$6,$F$7 )</f>
        <v>Roundup(2200/400  * 1,0)</v>
      </c>
      <c r="X89" s="507"/>
      <c r="Y89" s="574"/>
      <c r="AA89" s="503"/>
      <c r="AB89" s="503"/>
      <c r="AC89" s="503"/>
      <c r="AD89" s="503"/>
      <c r="AE89" s="714">
        <f t="shared" ca="1" si="17"/>
        <v>3000</v>
      </c>
      <c r="AF89" s="270"/>
    </row>
    <row r="90" spans="1:32" ht="50">
      <c r="A90" s="1419"/>
      <c r="B90" s="149">
        <f ca="1">IF($C90&lt;&gt;"",1 + MAX($B$20:$B89),"" )</f>
        <v>27</v>
      </c>
      <c r="C90" s="291" t="str">
        <f ca="1">IF($K90&lt;&gt;"",$K90,IF(AND($R90&lt;&gt;"",$G90&gt;0),INDEX(NVLSX!E$4731:E$6491,$R90),""))</f>
        <v>VTKDBDC-M3.9*30-XCR</v>
      </c>
      <c r="D90" s="254" t="str">
        <f ca="1">IF($C90="","",INDEX(NVLSX!F$4731:F$6491,$R90))</f>
        <v>Vít tự khoan đầu bằng đuôi cá M3.9*30 xi chống rỉ</v>
      </c>
      <c r="E90" s="246" t="str">
        <f ca="1">IF($C90="","",IF($R90="","",INDEX(NVLSX!G$4731:G$6491,$R90)))</f>
        <v>Con</v>
      </c>
      <c r="F90" s="247">
        <f ca="1">IF(OR($S90="",$G90=0),0,TinhCT)</f>
        <v>0</v>
      </c>
      <c r="G90" s="247">
        <f ca="1">IF($L90&lt;&gt;"",$L90,IF($W90="",0,TinhCTSL))</f>
        <v>6</v>
      </c>
      <c r="H90" s="262">
        <f t="shared" ca="1" si="7"/>
        <v>12</v>
      </c>
      <c r="I90" s="252"/>
      <c r="J90" s="878">
        <f ca="1">IF($C90="",0,IFERROR(INDEX(NVLSX!$M$4:$M$6941,MATCH($C90,NVLSX!$E$4:$E$6941,0)),0) + IFERROR(IF($Q90=NVLSX!$N$4,INDEX(IF($R$1=DanhMuc!$C$179,DanhMuc!$C$180:$C$188,DanhMuc!$D$180:$D$188),MATCH($F$4,DanhMuc!$B$180:$B$188,0)),0),0))</f>
        <v>0</v>
      </c>
      <c r="K90" s="253"/>
      <c r="L90" s="251"/>
      <c r="M90" s="911">
        <f ca="1">IF($C90="",0,IF($K90="", ROUND(INDEX(NVLSX!$L$4731:$L$6491,$R90),2),ROUND(INDEX(NVLSX!$L$2:$L$6941,MATCH($C90,NVLSX!$E$2:$E$6941,0)),2)))</f>
        <v>322</v>
      </c>
      <c r="N90" s="559">
        <f t="shared" ca="1" si="18"/>
        <v>3864</v>
      </c>
      <c r="O90" s="559">
        <f t="shared" ca="1" si="18"/>
        <v>3864</v>
      </c>
      <c r="P90" s="547" t="str">
        <f ca="1">IF(OR($C90="",$C90=0),"",IF(INDEX(NVLSX!$H$4730:$H$6491,$R90)&lt;&gt;"",INDEX(NVLSX!$H$4730:$H$6491,$R90),$F$5))</f>
        <v>T/C</v>
      </c>
      <c r="Q90" s="548" t="str">
        <f ca="1">IF(OR($C90="",$C90=0),"",INDEX(NVLSX!N$6:N$6941,MATCH($C90,NVLSX!$E$6:$E$6941,0)))</f>
        <v>VTSX</v>
      </c>
      <c r="R90" s="572">
        <f ca="1">IF($I$2=NVLSX!$F$6930,"",IF(TYPE(MATCH($K$1,OFFSET(NVLSX!$B$4731,R89,0):'NVLSX'!$B$6491,0)+R89)=16,"",MATCH($K$1,OFFSET(NVLSX!$B$4731,R89,0):'NVLSX'!$B$6491,0)+R89))</f>
        <v>18</v>
      </c>
      <c r="S90" s="573" t="str">
        <f ca="1">SUBSTITUTE(SUBSTITUTE(SUBSTITUTE(SUBSTITUTE(SUBSTITUTE(SUBSTITUTE(SUBSTITUTE(SUBSTITUTE(SUBSTITUTE(IF($R90="",0,INDEX(NVLSX!J$4731:J$6491,$R90)),$C$8,$D$8),$C$9,$D$9),$C$10,$D$10),$C$11,$D$11),$P$12,$Q$12),$C$12,$B$12),$E$11,$F$11),$E$12,$F$12),$K$6,$F$7 )</f>
        <v/>
      </c>
      <c r="T90" s="551" t="str">
        <f ca="1">IF(OR($C90="",$C90=0),"", IF(OR(AND(OR($Q90=NVLSX!$N$4,$Q90=NVLSX!$N$6492),COUNTIFS($C$14:$C90,$C90,$F$14:$F90,$F90,$I$14:$I90,$I90)&lt;=1), COUNTIF($C$14:$C90,$C90) &lt;=1 ),$T$13, ""    ))</f>
        <v>TH</v>
      </c>
      <c r="U90" s="640">
        <f t="shared" ca="1" si="19"/>
        <v>0</v>
      </c>
      <c r="V90" s="503"/>
      <c r="W90" s="863" t="str">
        <f ca="1">SUBSTITUTE(SUBSTITUTE(SUBSTITUTE(SUBSTITUTE(SUBSTITUTE(SUBSTITUTE(SUBSTITUTE(SUBSTITUTE(SUBSTITUTE(IF($R90="",0,IF(INDEX(NVLSX!$O$4731:$O$6491,$R90)="",INDEX(NVLSX!$I$4731:$I$6491,$R90),   IF(OR(INDEX(NVLSX!$O$4731:$O$6491,$R90)=$I$8 &amp; " " &amp;$I$9,INDEX(NVLSX!$O$4731:$O$6491,$R90)=$I$10 &amp; " " &amp; $I$11),INDEX(NVLSX!$I$4731:$I$6491,$R90),0    ))),$C$8,$D$8),$C$9,$D$9),$C$10,$D$10),$C$11,$D$11),$P$12,$Q$12),$C$12,$B$12),$E$11,$F$11),$E$12,$F$12),$K$6,$F$7 )</f>
        <v>Roundup(2200/400  * 1,0)</v>
      </c>
      <c r="X90" s="507"/>
      <c r="Y90" s="574"/>
      <c r="AA90" s="503"/>
      <c r="AB90" s="503"/>
      <c r="AC90" s="503"/>
      <c r="AD90" s="503"/>
      <c r="AE90" s="714">
        <f t="shared" ca="1" si="17"/>
        <v>6000</v>
      </c>
      <c r="AF90" s="270"/>
    </row>
    <row r="91" spans="1:32" ht="25">
      <c r="A91" s="1419"/>
      <c r="B91" s="149">
        <f ca="1">IF($C91&lt;&gt;"",1 + MAX($B$20:$B90),"" )</f>
        <v>28</v>
      </c>
      <c r="C91" s="291" t="str">
        <f ca="1">IF($K91&lt;&gt;"",$K91,IF(AND($R91&lt;&gt;"",$G91&gt;0),INDEX(NVLSX!E$4731:E$6491,$R91),""))</f>
        <v>VLD</v>
      </c>
      <c r="D91" s="254" t="str">
        <f ca="1">IF($C91="","",INDEX(NVLSX!F$4731:F$6491,$R91))</f>
        <v>Vít lắp đặt (+ tắc kê + nắp đậy) M10*100</v>
      </c>
      <c r="E91" s="246" t="str">
        <f ca="1">IF($C91="","",IF($R91="","",INDEX(NVLSX!G$4731:G$6491,$R91)))</f>
        <v>Con</v>
      </c>
      <c r="F91" s="247">
        <f ca="1">IF(OR($S91="",$G91=0),0,TinhCT)</f>
        <v>0</v>
      </c>
      <c r="G91" s="247">
        <f ca="1">IF($L91&lt;&gt;"",$L91,IF($W91="",0,TinhCTSL))</f>
        <v>11</v>
      </c>
      <c r="H91" s="262">
        <f t="shared" ca="1" si="7"/>
        <v>22</v>
      </c>
      <c r="I91" s="252"/>
      <c r="J91" s="878">
        <f ca="1">IF($C91="",0,IFERROR(INDEX(NVLSX!$M$4:$M$6941,MATCH($C91,NVLSX!$E$4:$E$6941,0)),0) + IFERROR(IF($Q91=NVLSX!$N$4,INDEX(IF($R$1=DanhMuc!$C$179,DanhMuc!$C$180:$C$188,DanhMuc!$D$180:$D$188),MATCH($F$4,DanhMuc!$B$180:$B$188,0)),0),0))</f>
        <v>0</v>
      </c>
      <c r="K91" s="253"/>
      <c r="L91" s="251"/>
      <c r="M91" s="911">
        <f ca="1">IF($C91="",0,IF($K91="", ROUND(INDEX(NVLSX!$L$4731:$L$6491,$R91),2),ROUND(INDEX(NVLSX!$L$2:$L$6941,MATCH($C91,NVLSX!$E$2:$E$6941,0)),2)))</f>
        <v>970</v>
      </c>
      <c r="N91" s="559">
        <f t="shared" ca="1" si="18"/>
        <v>21340</v>
      </c>
      <c r="O91" s="559">
        <f t="shared" ca="1" si="18"/>
        <v>21340</v>
      </c>
      <c r="P91" s="547" t="str">
        <f ca="1">IF(OR($C91="",$C91=0),"",IF(INDEX(NVLSX!$H$4730:$H$6491,$R91)&lt;&gt;"",INDEX(NVLSX!$H$4730:$H$6491,$R91),$F$5))</f>
        <v>T/C</v>
      </c>
      <c r="Q91" s="548" t="str">
        <f ca="1">IF(OR($C91="",$C91=0),"",INDEX(NVLSX!N$6:N$6941,MATCH($C91,NVLSX!$E$6:$E$6941,0)))</f>
        <v>VTLD</v>
      </c>
      <c r="R91" s="572">
        <f ca="1">IF($I$2=NVLSX!$F$6930,"",IF(TYPE(MATCH($K$1,OFFSET(NVLSX!$B$4731,R90,0):'NVLSX'!$B$6491,0)+R90)=16,"",MATCH($K$1,OFFSET(NVLSX!$B$4731,R90,0):'NVLSX'!$B$6491,0)+R90))</f>
        <v>19</v>
      </c>
      <c r="S91" s="573" t="str">
        <f ca="1">SUBSTITUTE(SUBSTITUTE(SUBSTITUTE(SUBSTITUTE(SUBSTITUTE(SUBSTITUTE(SUBSTITUTE(SUBSTITUTE(SUBSTITUTE(IF($R91="",0,INDEX(NVLSX!J$4731:J$6491,$R91)),$C$8,$D$8),$C$9,$D$9),$C$10,$D$10),$C$11,$D$11),$P$12,$Q$12),$C$12,$B$12),$E$11,$F$11),$E$12,$F$12),$K$6,$F$7 )</f>
        <v/>
      </c>
      <c r="T91" s="551" t="str">
        <f ca="1">IF(OR($C91="",$C91=0),"", IF(OR(AND(OR($Q91=NVLSX!$N$4,$Q91=NVLSX!$N$6492),COUNTIFS($C$14:$C91,$C91,$F$14:$F91,$F91,$I$14:$I91,$I91)&lt;=1), COUNTIF($C$14:$C91,$C91) &lt;=1 ),$T$13, ""    ))</f>
        <v>TH</v>
      </c>
      <c r="U91" s="640">
        <f t="shared" ca="1" si="19"/>
        <v>0</v>
      </c>
      <c r="V91" s="503"/>
      <c r="W91" s="863" t="str">
        <f ca="1">SUBSTITUTE(SUBSTITUTE(SUBSTITUTE(SUBSTITUTE(SUBSTITUTE(SUBSTITUTE(SUBSTITUTE(SUBSTITUTE(SUBSTITUTE(IF($R91="",0,IF(INDEX(NVLSX!$O$4731:$O$6491,$R91)="",INDEX(NVLSX!$I$4731:$I$6491,$R91),   IF(OR(INDEX(NVLSX!$O$4731:$O$6491,$R91)=$I$8 &amp; " " &amp;$I$9,INDEX(NVLSX!$O$4731:$O$6491,$R91)=$I$10 &amp; " " &amp; $I$11),INDEX(NVLSX!$I$4731:$I$6491,$R91),0    ))),$C$8,$D$8),$C$9,$D$9),$C$10,$D$10),$C$11,$D$11),$P$12,$Q$12),$C$12,$B$12),$E$11,$F$11),$E$12,$F$12),$K$6,$F$7 )</f>
        <v>Roundup((7.6/0.7),0)</v>
      </c>
      <c r="X91" s="507"/>
      <c r="Y91" s="574"/>
      <c r="AA91" s="503"/>
      <c r="AB91" s="503"/>
      <c r="AC91" s="503"/>
      <c r="AD91" s="503"/>
      <c r="AE91" s="714">
        <f t="shared" ca="1" si="17"/>
        <v>32000</v>
      </c>
      <c r="AF91" s="270"/>
    </row>
    <row r="92" spans="1:32">
      <c r="A92" s="1419"/>
      <c r="B92" s="149">
        <f ca="1">IF($C92&lt;&gt;"",1 + MAX($B$20:$B91),"" )</f>
        <v>29</v>
      </c>
      <c r="C92" s="291" t="str">
        <f ca="1">IF($K92&lt;&gt;"",$K92,IF(AND($R92&lt;&gt;"",$G92&gt;0),INDEX(NVLSX!E$4731:E$6491,$R92),""))</f>
        <v>FOAM</v>
      </c>
      <c r="D92" s="254" t="str">
        <f ca="1">IF($C92="","",INDEX(NVLSX!F$4731:F$6491,$R92))</f>
        <v>Keo foam</v>
      </c>
      <c r="E92" s="246" t="str">
        <f ca="1">IF($C92="","",IF($R92="","",INDEX(NVLSX!G$4731:G$6491,$R92)))</f>
        <v>Chai</v>
      </c>
      <c r="F92" s="247">
        <f ca="1">IF(OR($S92="",$G92=0),0,TinhCT)</f>
        <v>0</v>
      </c>
      <c r="G92" s="247">
        <f ca="1">IF($L92&lt;&gt;"",$L92,IF($W92="",0,TinhCTSL))</f>
        <v>7.5999999999999998E-2</v>
      </c>
      <c r="H92" s="262">
        <f t="shared" ca="1" si="7"/>
        <v>0.152</v>
      </c>
      <c r="I92" s="252"/>
      <c r="J92" s="878">
        <f ca="1">IF($C92="",0,IFERROR(INDEX(NVLSX!$M$4:$M$6941,MATCH($C92,NVLSX!$E$4:$E$6941,0)),0) + IFERROR(IF($Q92=NVLSX!$N$4,INDEX(IF($R$1=DanhMuc!$C$179,DanhMuc!$C$180:$C$188,DanhMuc!$D$180:$D$188),MATCH($F$4,DanhMuc!$B$180:$B$188,0)),0),0))</f>
        <v>0</v>
      </c>
      <c r="K92" s="253"/>
      <c r="L92" s="251"/>
      <c r="M92" s="911">
        <f ca="1">IF($C92="",0,IF($K92="", ROUND(INDEX(NVLSX!$L$4731:$L$6491,$R92),2),ROUND(INDEX(NVLSX!$L$2:$L$6941,MATCH($C92,NVLSX!$E$2:$E$6941,0)),2)))</f>
        <v>60000</v>
      </c>
      <c r="N92" s="559">
        <f t="shared" ca="1" si="18"/>
        <v>9120</v>
      </c>
      <c r="O92" s="559">
        <f t="shared" ca="1" si="18"/>
        <v>9120</v>
      </c>
      <c r="P92" s="547" t="str">
        <f ca="1">IF(OR($C92="",$C92=0),"",IF(INDEX(NVLSX!$H$4730:$H$6491,$R92)&lt;&gt;"",INDEX(NVLSX!$H$4730:$H$6491,$R92),$F$5))</f>
        <v>T/C</v>
      </c>
      <c r="Q92" s="548" t="str">
        <f ca="1">IF(OR($C92="",$C92=0),"",INDEX(NVLSX!N$6:N$6941,MATCH($C92,NVLSX!$E$6:$E$6941,0)))</f>
        <v>VTLD</v>
      </c>
      <c r="R92" s="572">
        <f ca="1">IF($I$2=NVLSX!$F$6930,"",IF(TYPE(MATCH($K$1,OFFSET(NVLSX!$B$4731,R91,0):'NVLSX'!$B$6491,0)+R91)=16,"",MATCH($K$1,OFFSET(NVLSX!$B$4731,R91,0):'NVLSX'!$B$6491,0)+R91))</f>
        <v>20</v>
      </c>
      <c r="S92" s="573" t="str">
        <f ca="1">SUBSTITUTE(SUBSTITUTE(SUBSTITUTE(SUBSTITUTE(SUBSTITUTE(SUBSTITUTE(SUBSTITUTE(SUBSTITUTE(SUBSTITUTE(IF($R92="",0,INDEX(NVLSX!J$4731:J$6491,$R92)),$C$8,$D$8),$C$9,$D$9),$C$10,$D$10),$C$11,$D$11),$P$12,$Q$12),$C$12,$B$12),$E$11,$F$11),$E$12,$F$12),$K$6,$F$7 )</f>
        <v/>
      </c>
      <c r="T92" s="551" t="str">
        <f ca="1">IF(OR($C92="",$C92=0),"", IF(OR(AND(OR($Q92=NVLSX!$N$4,$Q92=NVLSX!$N$6492),COUNTIFS($C$14:$C92,$C92,$F$14:$F92,$F92,$I$14:$I92,$I92)&lt;=1), COUNTIF($C$14:$C92,$C92) &lt;=1 ),$T$13, ""    ))</f>
        <v>TH</v>
      </c>
      <c r="U92" s="640">
        <f t="shared" ca="1" si="19"/>
        <v>0</v>
      </c>
      <c r="V92" s="503"/>
      <c r="W92" s="863" t="str">
        <f ca="1">SUBSTITUTE(SUBSTITUTE(SUBSTITUTE(SUBSTITUTE(SUBSTITUTE(SUBSTITUTE(SUBSTITUTE(SUBSTITUTE(SUBSTITUTE(IF($R92="",0,IF(INDEX(NVLSX!$O$4731:$O$6491,$R92)="",INDEX(NVLSX!$I$4731:$I$6491,$R92),   IF(OR(INDEX(NVLSX!$O$4731:$O$6491,$R92)=$I$8 &amp; " " &amp;$I$9,INDEX(NVLSX!$O$4731:$O$6491,$R92)=$I$10 &amp; " " &amp; $I$11),INDEX(NVLSX!$I$4731:$I$6491,$R92),0    ))),$C$8,$D$8),$C$9,$D$9),$C$10,$D$10),$C$11,$D$11),$P$12,$Q$12),$C$12,$B$12),$E$11,$F$11),$E$12,$F$12),$K$6,$F$7 )</f>
        <v>7.6/100</v>
      </c>
      <c r="X92" s="507"/>
      <c r="AA92" s="503"/>
      <c r="AB92" s="503"/>
      <c r="AC92" s="503"/>
      <c r="AD92" s="503"/>
      <c r="AE92" s="714">
        <f t="shared" ca="1" si="17"/>
        <v>14000</v>
      </c>
      <c r="AF92" s="270"/>
    </row>
    <row r="93" spans="1:32" ht="30.75" customHeight="1">
      <c r="A93" s="1419"/>
      <c r="B93" s="149">
        <f ca="1">IF($C93&lt;&gt;"",1 + MAX($B$20:$B92),"" )</f>
        <v>30</v>
      </c>
      <c r="C93" s="291" t="str">
        <f ca="1">IF($K93&lt;&gt;"",$K93,IF(AND($R93&lt;&gt;"",$G93&gt;0),INDEX(NVLSX!E$4731:E$6491,$R93),""))</f>
        <v>Silicone-LD</v>
      </c>
      <c r="D93" s="254" t="str">
        <f ca="1">IF($C93="","",INDEX(NVLSX!F$4731:F$6491,$R93))</f>
        <v>Silicone lắp đặt</v>
      </c>
      <c r="E93" s="246" t="str">
        <f ca="1">IF($C93="","",IF($R93="","",INDEX(NVLSX!G$4731:G$6491,$R93)))</f>
        <v>Chai</v>
      </c>
      <c r="F93" s="247">
        <f ca="1">IF(OR($S93="",$G93=0),0,TinhCT)</f>
        <v>0</v>
      </c>
      <c r="G93" s="247">
        <f ca="1">IF($L93&lt;&gt;"",$L93,IF($W93="",0,TinhCTSL))</f>
        <v>1.0857142857142856</v>
      </c>
      <c r="H93" s="262">
        <f t="shared" ca="1" si="7"/>
        <v>2.1714285714285713</v>
      </c>
      <c r="I93" s="252"/>
      <c r="J93" s="878">
        <f ca="1">IF($C93="",0,IFERROR(INDEX(NVLSX!$M$4:$M$6941,MATCH($C93,NVLSX!$E$4:$E$6941,0)),0) + IFERROR(IF($Q93=NVLSX!$N$4,INDEX(IF($R$1=DanhMuc!$C$179,DanhMuc!$C$180:$C$188,DanhMuc!$D$180:$D$188),MATCH($F$4,DanhMuc!$B$180:$B$188,0)),0),0))</f>
        <v>0</v>
      </c>
      <c r="K93" s="1225"/>
      <c r="L93" s="251"/>
      <c r="M93" s="911">
        <f ca="1">IF($C93="",0,IF($K93="", ROUND(INDEX(NVLSX!$L$4731:$L$6491,$R93),2),ROUND(INDEX(NVLSX!$L$2:$L$6941,MATCH($C93,NVLSX!$E$2:$E$6941,0)),2)))</f>
        <v>53000</v>
      </c>
      <c r="N93" s="559">
        <f t="shared" ca="1" si="18"/>
        <v>115086</v>
      </c>
      <c r="O93" s="559">
        <f t="shared" ca="1" si="18"/>
        <v>115086</v>
      </c>
      <c r="P93" s="547" t="str">
        <f ca="1">IF(OR($C93="",$C93=0),"",IF(INDEX(NVLSX!$H$4730:$H$6491,$R93)&lt;&gt;"",INDEX(NVLSX!$H$4730:$H$6491,$R93),$F$5))</f>
        <v>T/C</v>
      </c>
      <c r="Q93" s="548" t="str">
        <f ca="1">IF(OR($C93="",$C93=0),"",INDEX(NVLSX!N$6:N$6941,MATCH($C93,NVLSX!$E$6:$E$6941,0)))</f>
        <v>VTLD</v>
      </c>
      <c r="R93" s="572">
        <f ca="1">IF($I$2=NVLSX!$F$6930,"",IF(TYPE(MATCH($K$1,OFFSET(NVLSX!$B$4731,R92,0):'NVLSX'!$B$6491,0)+R92)=16,"",MATCH($K$1,OFFSET(NVLSX!$B$4731,R92,0):'NVLSX'!$B$6491,0)+R92))</f>
        <v>21</v>
      </c>
      <c r="S93" s="573" t="str">
        <f ca="1">SUBSTITUTE(SUBSTITUTE(SUBSTITUTE(SUBSTITUTE(SUBSTITUTE(SUBSTITUTE(SUBSTITUTE(SUBSTITUTE(SUBSTITUTE(IF($R93="",0,INDEX(NVLSX!J$4731:J$6491,$R93)),$C$8,$D$8),$C$9,$D$9),$C$10,$D$10),$C$11,$D$11),$P$12,$Q$12),$C$12,$B$12),$E$11,$F$11),$E$12,$F$12),$K$6,$F$7 )</f>
        <v/>
      </c>
      <c r="T93" s="551" t="str">
        <f ca="1">IF(OR($C93="",$C93=0),"", IF(OR(AND(OR($Q93=NVLSX!$N$4,$Q93=NVLSX!$N$6492),COUNTIFS($C$14:$C93,$C93,$F$14:$F93,$F93,$I$14:$I93,$I93)&lt;=1), COUNTIF($C$14:$C93,$C93) &lt;=1 ),$T$13, ""    ))</f>
        <v>TH</v>
      </c>
      <c r="U93" s="640">
        <f t="shared" ca="1" si="19"/>
        <v>0</v>
      </c>
      <c r="V93" s="503"/>
      <c r="W93" s="863" t="str">
        <f ca="1">SUBSTITUTE(SUBSTITUTE(SUBSTITUTE(SUBSTITUTE(SUBSTITUTE(SUBSTITUTE(SUBSTITUTE(SUBSTITUTE(SUBSTITUTE(IF($R93="",0,IF(INDEX(NVLSX!$O$4731:$O$6491,$R93)="",INDEX(NVLSX!$I$4731:$I$6491,$R93),   IF(OR(INDEX(NVLSX!$O$4731:$O$6491,$R93)=$I$8 &amp; " " &amp;$I$9,INDEX(NVLSX!$O$4731:$O$6491,$R93)=$I$10 &amp; " " &amp; $I$11),INDEX(NVLSX!$I$4731:$I$6491,$R93),0    ))),$C$8,$D$8),$C$9,$D$9),$C$10,$D$10),$C$11,$D$11),$P$12,$Q$12),$C$12,$B$12),$E$11,$F$11),$E$12,$F$12),$K$6,$F$7 )</f>
        <v>7.6/7</v>
      </c>
      <c r="X93" s="507"/>
      <c r="Y93" s="133"/>
      <c r="AA93" s="503"/>
      <c r="AB93" s="503"/>
      <c r="AC93" s="503"/>
      <c r="AD93" s="503"/>
      <c r="AE93" s="714">
        <f t="shared" ca="1" si="17"/>
        <v>173000</v>
      </c>
      <c r="AF93" s="270"/>
    </row>
    <row r="94" spans="1:32">
      <c r="A94" s="1419"/>
      <c r="B94" s="149">
        <f ca="1">IF($C94&lt;&gt;"",1 + MAX($B$20:$B93),"" )</f>
        <v>31</v>
      </c>
      <c r="C94" s="291" t="str">
        <f ca="1">IF($K94&lt;&gt;"",$K94,IF(AND($R94&lt;&gt;"",$G94&gt;0),INDEX(NVLSX!E$4731:E$6491,$R94),""))</f>
        <v>NKLD</v>
      </c>
      <c r="D94" s="254" t="str">
        <f ca="1">IF($C94="","",INDEX(NVLSX!F$4731:F$6491,$R94))</f>
        <v>Đệm chèn kính GĐLĐ</v>
      </c>
      <c r="E94" s="246" t="str">
        <f ca="1">IF($C94="","",IF($R94="","",INDEX(NVLSX!G$4731:G$6491,$R94)))</f>
        <v>Gram</v>
      </c>
      <c r="F94" s="247">
        <f ca="1">IF(OR($S94="",$G94=0),0,TinhCT)</f>
        <v>0</v>
      </c>
      <c r="G94" s="247">
        <f ca="1">IF($L94&lt;&gt;"",$L94,IF($W94="",0,TinhCTSL))</f>
        <v>59.714285714285715</v>
      </c>
      <c r="H94" s="262">
        <f t="shared" ref="H94:H95" ca="1" si="20">G94*$D$7</f>
        <v>119.42857142857143</v>
      </c>
      <c r="I94" s="252"/>
      <c r="J94" s="878">
        <f ca="1">IF($C94="",0,IFERROR(INDEX(NVLSX!$M$4:$M$6941,MATCH($C94,NVLSX!$E$4:$E$6941,0)),0) + IFERROR(IF($Q94=NVLSX!$N$4,INDEX(IF($R$1=DanhMuc!$C$179,DanhMuc!$C$180:$C$188,DanhMuc!$D$180:$D$188),MATCH($F$4,DanhMuc!$B$180:$B$188,0)),0),0))</f>
        <v>0</v>
      </c>
      <c r="K94" s="253"/>
      <c r="L94" s="251"/>
      <c r="M94" s="911">
        <f ca="1">IF($C94="",0,IF($K94="", ROUND(INDEX(NVLSX!$L$4731:$L$6491,$R94),2),ROUND(INDEX(NVLSX!$L$2:$L$6941,MATCH($C94,NVLSX!$E$2:$E$6941,0)),2)))</f>
        <v>40</v>
      </c>
      <c r="N94" s="559">
        <f t="shared" ca="1" si="18"/>
        <v>4777</v>
      </c>
      <c r="O94" s="559">
        <f t="shared" ca="1" si="18"/>
        <v>4777</v>
      </c>
      <c r="P94" s="547" t="str">
        <f ca="1">IF(OR($C94="",$C94=0),"",IF(INDEX(NVLSX!$H$4730:$H$6491,$R94)&lt;&gt;"",INDEX(NVLSX!$H$4730:$H$6491,$R94),$F$5))</f>
        <v>T/C</v>
      </c>
      <c r="Q94" s="548" t="str">
        <f ca="1">IF(OR($C94="",$C94=0),"",INDEX(NVLSX!N$6:N$6941,MATCH($C94,NVLSX!$E$6:$E$6941,0)))</f>
        <v>VTLD</v>
      </c>
      <c r="R94" s="572">
        <f ca="1">IF($I$2=NVLSX!$F$6930,"",IF(TYPE(MATCH($K$1,OFFSET(NVLSX!$B$4731,R93,0):'NVLSX'!$B$6491,0)+R93)=16,"",MATCH($K$1,OFFSET(NVLSX!$B$4731,R93,0):'NVLSX'!$B$6491,0)+R93))</f>
        <v>22</v>
      </c>
      <c r="S94" s="573" t="str">
        <f ca="1">SUBSTITUTE(SUBSTITUTE(SUBSTITUTE(SUBSTITUTE(SUBSTITUTE(SUBSTITUTE(SUBSTITUTE(SUBSTITUTE(SUBSTITUTE(IF($R94="",0,INDEX(NVLSX!J$4731:J$6491,$R94)),$C$8,$D$8),$C$9,$D$9),$C$10,$D$10),$C$11,$D$11),$P$12,$Q$12),$C$12,$B$12),$E$11,$F$11),$E$12,$F$12),$K$6,$F$7 )</f>
        <v/>
      </c>
      <c r="T94" s="551" t="str">
        <f ca="1">IF(OR($C94="",$C94=0),"", IF(OR(AND(OR($Q94=NVLSX!$N$4,$Q94=NVLSX!$N$6492),COUNTIFS($C$14:$C94,$C94,$F$14:$F94,$F94,$I$14:$I94,$I94)&lt;=1), COUNTIF($C$14:$C94,$C94) &lt;=1 ),$T$13, ""    ))</f>
        <v>TH</v>
      </c>
      <c r="U94" s="640">
        <f t="shared" ca="1" si="19"/>
        <v>0</v>
      </c>
      <c r="V94" s="503"/>
      <c r="W94" s="863" t="str">
        <f ca="1">SUBSTITUTE(SUBSTITUTE(SUBSTITUTE(SUBSTITUTE(SUBSTITUTE(SUBSTITUTE(SUBSTITUTE(SUBSTITUTE(SUBSTITUTE(IF($R94="",0,IF(INDEX(NVLSX!$O$4731:$O$6491,$R94)="",INDEX(NVLSX!$I$4731:$I$6491,$R94),   IF(OR(INDEX(NVLSX!$O$4731:$O$6491,$R94)=$I$8 &amp; " " &amp;$I$9,INDEX(NVLSX!$O$4731:$O$6491,$R94)=$I$10 &amp; " " &amp; $I$11),INDEX(NVLSX!$I$4731:$I$6491,$R94),0    ))),$C$8,$D$8),$C$9,$D$9),$C$10,$D$10),$C$11,$D$11),$P$12,$Q$12),$C$12,$B$12),$E$11,$F$11),$E$12,$F$12),$K$6,$F$7 )</f>
        <v>((7.6/0.35)/2)*(11/2)</v>
      </c>
      <c r="X94" s="507"/>
      <c r="Y94" s="133"/>
      <c r="AA94" s="503"/>
      <c r="AB94" s="503"/>
      <c r="AC94" s="503"/>
      <c r="AD94" s="503"/>
      <c r="AE94" s="714">
        <f t="shared" ca="1" si="17"/>
        <v>7000</v>
      </c>
      <c r="AF94" s="270"/>
    </row>
    <row r="95" spans="1:32">
      <c r="A95" s="1419"/>
      <c r="B95" s="149">
        <f ca="1">IF($C95&lt;&gt;"",1 + MAX($B$20:$B94),"" )</f>
        <v>32</v>
      </c>
      <c r="C95" s="291" t="str">
        <f ca="1">IF($K95&lt;&gt;"",$K95,IF(AND($R95&lt;&gt;"",$G95&gt;0),INDEX(NVLSX!E$4731:E$6491,$R95),""))</f>
        <v>VT</v>
      </c>
      <c r="D95" s="254" t="str">
        <f ca="1">IF($C95="","",INDEX(NVLSX!F$4731:F$6491,$R95))</f>
        <v>Vải trắng</v>
      </c>
      <c r="E95" s="246" t="str">
        <f ca="1">IF($C95="","",IF($R95="","",INDEX(NVLSX!G$4731:G$6491,$R95)))</f>
        <v>Gram</v>
      </c>
      <c r="F95" s="247">
        <f ca="1">IF(OR($S95="",$G95=0),0,TinhCT)</f>
        <v>0</v>
      </c>
      <c r="G95" s="247">
        <f ca="1">IF($L95&lt;&gt;"",$L95,IF($W95="",0,TinhCTSL))</f>
        <v>35.199999999999996</v>
      </c>
      <c r="H95" s="262">
        <f t="shared" ca="1" si="20"/>
        <v>70.399999999999991</v>
      </c>
      <c r="I95" s="252"/>
      <c r="J95" s="878">
        <f ca="1">IF($C95="",0,IFERROR(INDEX(NVLSX!$M$4:$M$6941,MATCH($C95,NVLSX!$E$4:$E$6941,0)),0) + IFERROR(IF($Q95=NVLSX!$N$4,INDEX(IF($R$1=DanhMuc!$C$179,DanhMuc!$C$180:$C$188,DanhMuc!$D$180:$D$188),MATCH($F$4,DanhMuc!$B$180:$B$188,0)),0),0))</f>
        <v>0</v>
      </c>
      <c r="K95" s="253"/>
      <c r="L95" s="251"/>
      <c r="M95" s="911">
        <f ca="1">IF($C95="",0,IF($K95="", ROUND(INDEX(NVLSX!$L$4731:$L$6491,$R95),2),ROUND(INDEX(NVLSX!$L$2:$L$6941,MATCH($C95,NVLSX!$E$2:$E$6941,0)),2)))</f>
        <v>20</v>
      </c>
      <c r="N95" s="559">
        <f t="shared" ca="1" si="18"/>
        <v>1408</v>
      </c>
      <c r="O95" s="559">
        <f t="shared" ca="1" si="18"/>
        <v>1408</v>
      </c>
      <c r="P95" s="547" t="str">
        <f ca="1">IF(OR($C95="",$C95=0),"",IF(INDEX(NVLSX!$H$4730:$H$6491,$R95)&lt;&gt;"",INDEX(NVLSX!$H$4730:$H$6491,$R95),$F$5))</f>
        <v>T/C</v>
      </c>
      <c r="Q95" s="548" t="str">
        <f ca="1">IF(OR($C95="",$C95=0),"",INDEX(NVLSX!N$6:N$6941,MATCH($C95,NVLSX!$E$6:$E$6941,0)))</f>
        <v>VTLD</v>
      </c>
      <c r="R95" s="572">
        <f ca="1">IF($I$2=NVLSX!$F$6930,"",IF(TYPE(MATCH($K$1,OFFSET(NVLSX!$B$4731,R94,0):'NVLSX'!$B$6491,0)+R94)=16,"",MATCH($K$1,OFFSET(NVLSX!$B$4731,R94,0):'NVLSX'!$B$6491,0)+R94))</f>
        <v>23</v>
      </c>
      <c r="S95" s="573" t="str">
        <f ca="1">SUBSTITUTE(SUBSTITUTE(SUBSTITUTE(SUBSTITUTE(SUBSTITUTE(SUBSTITUTE(SUBSTITUTE(SUBSTITUTE(SUBSTITUTE(IF($R95="",0,INDEX(NVLSX!J$4731:J$6491,$R95)),$C$8,$D$8),$C$9,$D$9),$C$10,$D$10),$C$11,$D$11),$P$12,$Q$12),$C$12,$B$12),$E$11,$F$11),$E$12,$F$12),$K$6,$F$7 )</f>
        <v/>
      </c>
      <c r="T95" s="551" t="str">
        <f ca="1">IF(OR($C95="",$C95=0),"", IF(OR(AND(OR($Q95=NVLSX!$N$4,$Q95=NVLSX!$N$6492),COUNTIFS($C$14:$C95,$C95,$F$14:$F95,$F95,$I$14:$I95,$I95)&lt;=1), COUNTIF($C$14:$C95,$C95) &lt;=1 ),$T$13, ""    ))</f>
        <v>TH</v>
      </c>
      <c r="U95" s="640">
        <f t="shared" ca="1" si="19"/>
        <v>0</v>
      </c>
      <c r="V95" s="503"/>
      <c r="W95" s="863" t="str">
        <f ca="1">SUBSTITUTE(SUBSTITUTE(SUBSTITUTE(SUBSTITUTE(SUBSTITUTE(SUBSTITUTE(SUBSTITUTE(SUBSTITUTE(SUBSTITUTE(IF($R95="",0,IF(INDEX(NVLSX!$O$4731:$O$6491,$R95)="",INDEX(NVLSX!$I$4731:$I$6491,$R95),   IF(OR(INDEX(NVLSX!$O$4731:$O$6491,$R95)=$I$8 &amp; " " &amp;$I$9,INDEX(NVLSX!$O$4731:$O$6491,$R95)=$I$10 &amp; " " &amp; $I$11),INDEX(NVLSX!$I$4731:$I$6491,$R95),0    ))),$C$8,$D$8),$C$9,$D$9),$C$10,$D$10),$C$11,$D$11),$P$12,$Q$12),$C$12,$B$12),$E$11,$F$11),$E$12,$F$12),$K$6,$F$7 )</f>
        <v>3.52/0.1</v>
      </c>
      <c r="X95" s="507"/>
      <c r="Y95" s="133"/>
      <c r="AA95" s="503"/>
      <c r="AB95" s="503"/>
      <c r="AC95" s="503"/>
      <c r="AD95" s="503"/>
      <c r="AE95" s="714">
        <f t="shared" ca="1" si="17"/>
        <v>2000</v>
      </c>
      <c r="AF95" s="270"/>
    </row>
    <row r="96" spans="1:32">
      <c r="A96" s="1419"/>
      <c r="B96" s="149">
        <f ca="1">IF($C96&lt;&gt;"",1 + MAX($B$20:$B95),"" )</f>
        <v>33</v>
      </c>
      <c r="C96" s="291" t="str">
        <f ca="1">IF($K96&lt;&gt;"",$K96,IF(AND($R96&lt;&gt;"",$G96&gt;0),INDEX(NVLSX!E$4731:E$6491,$R96),""))</f>
        <v>NLK</v>
      </c>
      <c r="D96" s="254" t="str">
        <f ca="1">IF($C96="","",INDEX(NVLSX!F$4731:F$6491,$R96))</f>
        <v>Nước lau kính</v>
      </c>
      <c r="E96" s="246" t="str">
        <f ca="1">IF($C96="","",IF($R96="","",INDEX(NVLSX!G$4731:G$6491,$R96)))</f>
        <v>Chai</v>
      </c>
      <c r="F96" s="247">
        <f ca="1">IF(OR($S96="",$G96=0),0,TinhCT)</f>
        <v>0</v>
      </c>
      <c r="G96" s="247">
        <f ca="1">IF($L96&lt;&gt;"",$L96,IF($W96="",0,TinhCTSL))</f>
        <v>4.4000000000000004E-2</v>
      </c>
      <c r="H96" s="262">
        <f t="shared" ref="H96:H98" ca="1" si="21">G96*$D$7</f>
        <v>8.8000000000000009E-2</v>
      </c>
      <c r="I96" s="252"/>
      <c r="J96" s="878">
        <f ca="1">IF($C96="",0,IFERROR(INDEX(NVLSX!$M$4:$M$6941,MATCH($C96,NVLSX!$E$4:$E$6941,0)),0) + IFERROR(IF($Q96=NVLSX!$N$4,INDEX(IF($R$1=DanhMuc!$C$179,DanhMuc!$C$180:$C$188,DanhMuc!$D$180:$D$188),MATCH($F$4,DanhMuc!$B$180:$B$188,0)),0),0))</f>
        <v>0</v>
      </c>
      <c r="K96" s="253"/>
      <c r="L96" s="251"/>
      <c r="M96" s="911">
        <f ca="1">IF($C96="",0,IF($K96="", ROUND(INDEX(NVLSX!$L$4731:$L$6491,$R96),2),ROUND(INDEX(NVLSX!$L$2:$L$6941,MATCH($C96,NVLSX!$E$2:$E$6941,0)),2)))</f>
        <v>28000</v>
      </c>
      <c r="N96" s="559">
        <f t="shared" ca="1" si="18"/>
        <v>2464</v>
      </c>
      <c r="O96" s="559">
        <f t="shared" ca="1" si="18"/>
        <v>2464</v>
      </c>
      <c r="P96" s="547" t="str">
        <f ca="1">IF(OR($C96="",$C96=0),"",IF(INDEX(NVLSX!$H$4730:$H$6491,$R96)&lt;&gt;"",INDEX(NVLSX!$H$4730:$H$6491,$R96),$F$5))</f>
        <v>T/C</v>
      </c>
      <c r="Q96" s="548" t="str">
        <f ca="1">IF(OR($C96="",$C96=0),"",INDEX(NVLSX!N$6:N$6941,MATCH($C96,NVLSX!$E$6:$E$6941,0)))</f>
        <v>VTLD</v>
      </c>
      <c r="R96" s="572">
        <f ca="1">IF($I$2=NVLSX!$F$6930,"",IF(TYPE(MATCH($K$1,OFFSET(NVLSX!$B$4731,R95,0):'NVLSX'!$B$6491,0)+R95)=16,"",MATCH($K$1,OFFSET(NVLSX!$B$4731,R95,0):'NVLSX'!$B$6491,0)+R95))</f>
        <v>24</v>
      </c>
      <c r="S96" s="573" t="str">
        <f ca="1">SUBSTITUTE(SUBSTITUTE(SUBSTITUTE(SUBSTITUTE(SUBSTITUTE(SUBSTITUTE(SUBSTITUTE(SUBSTITUTE(SUBSTITUTE(IF($R96="",0,INDEX(NVLSX!J$4731:J$6491,$R96)),$C$8,$D$8),$C$9,$D$9),$C$10,$D$10),$C$11,$D$11),$P$12,$Q$12),$C$12,$B$12),$E$11,$F$11),$E$12,$F$12),$K$6,$F$7 )</f>
        <v/>
      </c>
      <c r="T96" s="551" t="str">
        <f ca="1">IF(OR($C96="",$C96=0),"", IF(OR(AND(OR($Q96=NVLSX!$N$4,$Q96=NVLSX!$N$6492),COUNTIFS($C$14:$C96,$C96,$F$14:$F96,$F96,$I$14:$I96,$I96)&lt;=1), COUNTIF($C$14:$C96,$C96) &lt;=1 ),$T$13, ""    ))</f>
        <v>TH</v>
      </c>
      <c r="U96" s="640">
        <f t="shared" ca="1" si="19"/>
        <v>0</v>
      </c>
      <c r="V96" s="503"/>
      <c r="W96" s="863" t="str">
        <f ca="1">SUBSTITUTE(SUBSTITUTE(SUBSTITUTE(SUBSTITUTE(SUBSTITUTE(SUBSTITUTE(SUBSTITUTE(SUBSTITUTE(SUBSTITUTE(IF($R96="",0,IF(INDEX(NVLSX!$O$4731:$O$6491,$R96)="",INDEX(NVLSX!$I$4731:$I$6491,$R96),   IF(OR(INDEX(NVLSX!$O$4731:$O$6491,$R96)=$I$8 &amp; " " &amp;$I$9,INDEX(NVLSX!$O$4731:$O$6491,$R96)=$I$10 &amp; " " &amp; $I$11),INDEX(NVLSX!$I$4731:$I$6491,$R96),0    ))),$C$8,$D$8),$C$9,$D$9),$C$10,$D$10),$C$11,$D$11),$P$12,$Q$12),$C$12,$B$12),$E$11,$F$11),$E$12,$F$12),$K$6,$F$7 )</f>
        <v>3.52 * (10/800)</v>
      </c>
      <c r="X96" s="507"/>
      <c r="Y96" s="133"/>
      <c r="AA96" s="503"/>
      <c r="AB96" s="503"/>
      <c r="AC96" s="503"/>
      <c r="AD96" s="503"/>
      <c r="AE96" s="714">
        <f t="shared" ca="1" si="17"/>
        <v>4000</v>
      </c>
      <c r="AF96" s="270"/>
    </row>
    <row r="97" spans="1:40">
      <c r="A97" s="1419"/>
      <c r="B97" s="149">
        <f ca="1">IF($C97&lt;&gt;"",1 + MAX($B$20:$B96),"" )</f>
        <v>34</v>
      </c>
      <c r="C97" s="291" t="str">
        <f ca="1">IF($K97&lt;&gt;"",$K97,IF(AND($R97&lt;&gt;"",$G97&gt;0),INDEX(NVLSX!E$4731:E$6491,$R97),""))</f>
        <v>LD</v>
      </c>
      <c r="D97" s="254" t="str">
        <f ca="1">IF($C97="","",INDEX(NVLSX!F$4731:F$6491,$R97))</f>
        <v>Lưỡi dao rọc giấy</v>
      </c>
      <c r="E97" s="246" t="str">
        <f ca="1">IF($C97="","",IF($R97="","",INDEX(NVLSX!G$4731:G$6491,$R97)))</f>
        <v>Cái</v>
      </c>
      <c r="F97" s="247">
        <f ca="1">IF(OR($S97="",$G97=0),0,TinhCT)</f>
        <v>0</v>
      </c>
      <c r="G97" s="247">
        <f ca="1">IF($L97&lt;&gt;"",$L97,IF($W97="",0,TinhCTSL))</f>
        <v>1</v>
      </c>
      <c r="H97" s="262">
        <f t="shared" ca="1" si="21"/>
        <v>2</v>
      </c>
      <c r="I97" s="252"/>
      <c r="J97" s="878">
        <f ca="1">IF($C97="",0,IFERROR(INDEX(NVLSX!$M$4:$M$6941,MATCH($C97,NVLSX!$E$4:$E$6941,0)),0) + IFERROR(IF($Q97=NVLSX!$N$4,INDEX(IF($R$1=DanhMuc!$C$179,DanhMuc!$C$180:$C$188,DanhMuc!$D$180:$D$188),MATCH($F$4,DanhMuc!$B$180:$B$188,0)),0),0))</f>
        <v>0</v>
      </c>
      <c r="K97" s="253"/>
      <c r="L97" s="251"/>
      <c r="M97" s="911">
        <f ca="1">IF($C97="",0,IF($K97="", ROUND(INDEX(NVLSX!$L$4731:$L$6491,$R97),2),ROUND(INDEX(NVLSX!$L$2:$L$6941,MATCH($C97,NVLSX!$E$2:$E$6941,0)),2)))</f>
        <v>1000</v>
      </c>
      <c r="N97" s="559">
        <f t="shared" ca="1" si="18"/>
        <v>2000</v>
      </c>
      <c r="O97" s="559">
        <f t="shared" ca="1" si="18"/>
        <v>2000</v>
      </c>
      <c r="P97" s="547" t="str">
        <f ca="1">IF(OR($C97="",$C97=0),"",IF(INDEX(NVLSX!$H$4730:$H$6491,$R97)&lt;&gt;"",INDEX(NVLSX!$H$4730:$H$6491,$R97),$F$5))</f>
        <v>T/C</v>
      </c>
      <c r="Q97" s="548" t="str">
        <f ca="1">IF(OR($C97="",$C97=0),"",INDEX(NVLSX!N$6:N$6941,MATCH($C97,NVLSX!$E$6:$E$6941,0)))</f>
        <v>VTLD</v>
      </c>
      <c r="R97" s="572">
        <f ca="1">IF($I$2=NVLSX!$F$6930,"",IF(TYPE(MATCH($K$1,OFFSET(NVLSX!$B$4731,R96,0):'NVLSX'!$B$6491,0)+R96)=16,"",MATCH($K$1,OFFSET(NVLSX!$B$4731,R96,0):'NVLSX'!$B$6491,0)+R96))</f>
        <v>25</v>
      </c>
      <c r="S97" s="573" t="str">
        <f ca="1">SUBSTITUTE(SUBSTITUTE(SUBSTITUTE(SUBSTITUTE(SUBSTITUTE(SUBSTITUTE(SUBSTITUTE(SUBSTITUTE(SUBSTITUTE(IF($R97="",0,INDEX(NVLSX!J$4731:J$6491,$R97)),$C$8,$D$8),$C$9,$D$9),$C$10,$D$10),$C$11,$D$11),$P$12,$Q$12),$C$12,$B$12),$E$11,$F$11),$E$12,$F$12),$K$6,$F$7 )</f>
        <v/>
      </c>
      <c r="T97" s="551" t="str">
        <f ca="1">IF(OR($C97="",$C97=0),"", IF(OR(AND(OR($Q97=NVLSX!$N$4,$Q97=NVLSX!$N$6492),COUNTIFS($C$14:$C97,$C97,$F$14:$F97,$F97,$I$14:$I97,$I97)&lt;=1), COUNTIF($C$14:$C97,$C97) &lt;=1 ),$T$13, ""    ))</f>
        <v>TH</v>
      </c>
      <c r="U97" s="640">
        <f t="shared" ca="1" si="19"/>
        <v>0</v>
      </c>
      <c r="V97" s="503"/>
      <c r="W97" s="863" t="str">
        <f ca="1">SUBSTITUTE(SUBSTITUTE(SUBSTITUTE(SUBSTITUTE(SUBSTITUTE(SUBSTITUTE(SUBSTITUTE(SUBSTITUTE(SUBSTITUTE(IF($R97="",0,IF(INDEX(NVLSX!$O$4731:$O$6491,$R97)="",INDEX(NVLSX!$I$4731:$I$6491,$R97),   IF(OR(INDEX(NVLSX!$O$4731:$O$6491,$R97)=$I$8 &amp; " " &amp;$I$9,INDEX(NVLSX!$O$4731:$O$6491,$R97)=$I$10 &amp; " " &amp; $I$11),INDEX(NVLSX!$I$4731:$I$6491,$R97),0    ))),$C$8,$D$8),$C$9,$D$9),$C$10,$D$10),$C$11,$D$11),$P$12,$Q$12),$C$12,$B$12),$E$11,$F$11),$E$12,$F$12),$K$6,$F$7 )</f>
        <v>Roundup(3.52/10,0)</v>
      </c>
      <c r="X97" s="507"/>
      <c r="Y97" s="133"/>
      <c r="AA97" s="503"/>
      <c r="AB97" s="503"/>
      <c r="AC97" s="503"/>
      <c r="AD97" s="503"/>
      <c r="AE97" s="714">
        <f t="shared" ca="1" si="17"/>
        <v>3000</v>
      </c>
      <c r="AF97" s="1181" t="s">
        <v>3399</v>
      </c>
    </row>
    <row r="98" spans="1:40">
      <c r="A98" s="1419"/>
      <c r="B98" s="149" t="str">
        <f ca="1">IF($C98&lt;&gt;"",1 + MAX($B$20:$B97),"" )</f>
        <v/>
      </c>
      <c r="C98" s="291" t="str">
        <f ca="1">IF($K98&lt;&gt;"",$K98,IF(AND($R98&lt;&gt;"",$G98&gt;0),INDEX(NVLSX!E$4731:E$6491,$R98),""))</f>
        <v/>
      </c>
      <c r="D98" s="254" t="str">
        <f ca="1">IF($C98="","",INDEX(NVLSX!F$4731:F$6491,$R98))</f>
        <v/>
      </c>
      <c r="E98" s="246" t="str">
        <f ca="1">IF($C98="","",IF($R98="","",INDEX(NVLSX!G$4731:G$6491,$R98)))</f>
        <v/>
      </c>
      <c r="F98" s="247">
        <f ca="1">IF(OR($S98="",$G98=0),0,TinhCT)</f>
        <v>0</v>
      </c>
      <c r="G98" s="247">
        <f ca="1">IF($L98&lt;&gt;"",$L98,IF($W98="",0,TinhCTSL))</f>
        <v>0</v>
      </c>
      <c r="H98" s="262">
        <f t="shared" ca="1" si="21"/>
        <v>0</v>
      </c>
      <c r="I98" s="252"/>
      <c r="J98" s="878">
        <f ca="1">IF($C98="",0,IFERROR(INDEX(NVLSX!$M$4:$M$6941,MATCH($C98,NVLSX!$E$4:$E$6941,0)),0) + IFERROR(IF($Q98=NVLSX!$N$4,INDEX(IF($R$1=DanhMuc!$C$179,DanhMuc!$C$180:$C$188,DanhMuc!$D$180:$D$188),MATCH($F$4,DanhMuc!$B$180:$B$188,0)),0),0))</f>
        <v>0</v>
      </c>
      <c r="K98" s="253"/>
      <c r="L98" s="251"/>
      <c r="M98" s="911">
        <f ca="1">IF($C98="",0,IF($K98="", ROUND(INDEX(NVLSX!$L$4731:$L$6491,$R98),2),ROUND(INDEX(NVLSX!$L$2:$L$6941,MATCH($C98,NVLSX!$E$2:$E$6941,0)),2)))</f>
        <v>0</v>
      </c>
      <c r="N98" s="559">
        <f t="shared" ca="1" si="18"/>
        <v>0</v>
      </c>
      <c r="O98" s="559">
        <f t="shared" ca="1" si="18"/>
        <v>0</v>
      </c>
      <c r="P98" s="547" t="str">
        <f ca="1">IF(OR($C98="",$C98=0),"",IF(INDEX(NVLSX!$H$4730:$H$6491,$R98)&lt;&gt;"",INDEX(NVLSX!$H$4730:$H$6491,$R98),$F$5))</f>
        <v/>
      </c>
      <c r="Q98" s="548" t="str">
        <f ca="1">IF(OR($C98="",$C98=0),"",INDEX(NVLSX!N$6:N$6941,MATCH($C98,NVLSX!$E$6:$E$6941,0)))</f>
        <v/>
      </c>
      <c r="R98" s="572" t="str">
        <f ca="1">IF($I$2=NVLSX!$F$6930,"",IF(TYPE(MATCH($K$1,OFFSET(NVLSX!$B$4731,R97,0):'NVLSX'!$B$6491,0)+R97)=16,"",MATCH($K$1,OFFSET(NVLSX!$B$4731,R97,0):'NVLSX'!$B$6491,0)+R97))</f>
        <v/>
      </c>
      <c r="S98" s="573" t="str">
        <f ca="1">SUBSTITUTE(SUBSTITUTE(SUBSTITUTE(SUBSTITUTE(SUBSTITUTE(SUBSTITUTE(SUBSTITUTE(SUBSTITUTE(SUBSTITUTE(IF($R98="",0,INDEX(NVLSX!J$4731:J$6491,$R98)),$C$8,$D$8),$C$9,$D$9),$C$10,$D$10),$C$11,$D$11),$P$12,$Q$12),$C$12,$B$12),$E$11,$F$11),$E$12,$F$12),$K$6,$F$7 )</f>
        <v>0</v>
      </c>
      <c r="T98" s="551" t="str">
        <f ca="1">IF(OR($C98="",$C98=0),"", IF(OR(AND(OR($Q98=NVLSX!$N$4,$Q98=NVLSX!$N$6492),COUNTIFS($C$14:$C98,$C98,$F$14:$F98,$F98,$I$14:$I98,$I98)&lt;=1), COUNTIF($C$14:$C98,$C98) &lt;=1 ),$T$13, ""    ))</f>
        <v/>
      </c>
      <c r="U98" s="640">
        <f t="shared" ca="1" si="19"/>
        <v>0</v>
      </c>
      <c r="V98" s="503"/>
      <c r="W98" s="863" t="str">
        <f ca="1">SUBSTITUTE(SUBSTITUTE(SUBSTITUTE(SUBSTITUTE(SUBSTITUTE(SUBSTITUTE(SUBSTITUTE(SUBSTITUTE(SUBSTITUTE(IF($R98="",0,IF(INDEX(NVLSX!$O$4731:$O$6491,$R98)="",INDEX(NVLSX!$I$4731:$I$6491,$R98),   IF(OR(INDEX(NVLSX!$O$4731:$O$6491,$R98)=$I$8 &amp; " " &amp;$I$9,INDEX(NVLSX!$O$4731:$O$6491,$R98)=$I$10 &amp; " " &amp; $I$11),INDEX(NVLSX!$I$4731:$I$6491,$R98),0    ))),$C$8,$D$8),$C$9,$D$9),$C$10,$D$10),$C$11,$D$11),$P$12,$Q$12),$C$12,$B$12),$E$11,$F$11),$E$12,$F$12),$K$6,$F$7 )</f>
        <v>0</v>
      </c>
      <c r="X98" s="507"/>
      <c r="Y98" s="575" t="s">
        <v>647</v>
      </c>
      <c r="Z98" s="870" t="s">
        <v>2577</v>
      </c>
      <c r="AA98" s="870" t="s">
        <v>81</v>
      </c>
      <c r="AB98" s="871">
        <f>+NVLSX!$E$6492</f>
        <v>2440</v>
      </c>
      <c r="AC98" s="503"/>
      <c r="AD98" s="503"/>
      <c r="AE98" s="714">
        <f t="shared" ca="1" si="17"/>
        <v>0</v>
      </c>
      <c r="AF98" s="1182" t="str">
        <f>IF(_xlfn.TEXTJOIN(", ",TRUE,$AF$99:$AF$106)="",""," (" &amp; _xlfn.TEXTJOIN(", ",TRUE,$AF$99:$AF$106) &amp; ")")</f>
        <v/>
      </c>
    </row>
    <row r="99" spans="1:40">
      <c r="A99" s="1421" t="s">
        <v>109</v>
      </c>
      <c r="B99" s="149">
        <f ca="1">IF($C99&lt;&gt;"",1 + MAX($B$20:$B98),"" )</f>
        <v>35</v>
      </c>
      <c r="C99" s="291" t="str">
        <f>IF($K99&lt;&gt;"",$K99, IF(OR($R99="",$G99=0),"",INDEX(NVLSX!$E$6492:$E$6921,MATCH($D$6,NVLSX!$F$6492:$F$6921,0))))</f>
        <v>KT08</v>
      </c>
      <c r="D99" s="254" t="str">
        <f>IF($C99="","",INDEX(NVLSX!F$6492:F$6921,MATCH($C99,NVLSX!$E$6492:$E$6921,0)) &amp; IF(SUM($F$9:$F$10)&gt;0," (CÓ CHIA ĐỐ -&gt; KHÔNG ĐẶT KÍNH)",IF($J$12&gt;1," (KÍNH NỐI KÍNH)",""))) &amp; IF($Z99=$Z$98, " - " &amp; $Z99 &amp; " (2440x3660)","")</f>
        <v>Kính đơn 8 mm trong</v>
      </c>
      <c r="E99" s="246" t="str">
        <f>IF($C99="","",INDEX(NVLSX!G$6492:G$6921,MATCH($C99,NVLSX!$E$6492:$E$6921,0)))</f>
        <v>m2</v>
      </c>
      <c r="F99" s="247">
        <f>IF($L99&lt;&gt;"",VALUE(LEFT($L99,FIND("*",$L99)-1)) * VALUE(RIGHT($L99,LEN($L99)-FIND("*",$L99)))/1000000,IF(AND($S99&lt;&gt;"",$G99&lt;&gt;0 ),TinhCT/1000000,0))</f>
        <v>2.7909600000000001</v>
      </c>
      <c r="G99" s="248">
        <f>IF($K99&lt;&gt;"",INDEX(NVLSX!I$6492:I$6921,MATCH($C99,NVLSX!$E$6492:$E$6921,0)),      IF($R99="",0,IF(OR(INDEX(NVLSX!O$6492:O$6921,$R99)="",INDEX(NVLSX!O$6492:O$6921,$R99)=$D$12),INDEX(NVLSX!I$6492:I$6921,$R99),0      )))</f>
        <v>1</v>
      </c>
      <c r="H99" s="249">
        <f>+$G99*$D$7</f>
        <v>2</v>
      </c>
      <c r="I99" s="255" t="str">
        <f>IF($L99&lt;&gt;"",$L99,IF(AND($W99&lt;&gt;0,$G99&lt;&gt;0  ),$W99 &amp; " * " &amp; $X99,""))</f>
        <v>1392 * 2005</v>
      </c>
      <c r="J99" s="878">
        <f>IF($C99="",0,IFERROR(INDEX(NVLSX!$M$4:$M$6941,MATCH($C99,NVLSX!$E$4:$E$6941,0)),0) + IFERROR(IF($Q99=NVLSX!$N$4,INDEX(IF($R$1=DanhMuc!$C$179,DanhMuc!$C$180:$C$188,DanhMuc!$D$180:$D$188),MATCH($F$4,DanhMuc!$B$180:$B$188,0)),0),0))</f>
        <v>0</v>
      </c>
      <c r="K99" s="253"/>
      <c r="L99" s="256"/>
      <c r="M99" s="911">
        <f>IF($C99="",0,IF(INDEX(NVLSX!$N$2:$N$6941,MATCH($C99,NVLSX!$E$2:$E$6941,0))=NVLSX!$N$4,ROUND(INDEX(NVLSX!$L$2:$L$6941,MATCH($C99,NVLSX!$E$2:$E$6941,0))/$N$12,2),   ROUND(INDEX(NVLSX!$L$2:$L$6941,MATCH($C99,NVLSX!$E$2:$E$6941,0)),2))) * IF($Z99=$Z$98,1+$Z$107,1)</f>
        <v>220000</v>
      </c>
      <c r="N99" s="559">
        <f>ROUND(IF($C99="",0,IF($F99=0,$H99*(1+$J99)*$M99,$F99*$H99*(1+$J99)*$M99)),0)</f>
        <v>1228022</v>
      </c>
      <c r="O99" s="559">
        <f>ROUND(IF($C99="",0,IF($F99=0,$H99*(1+$J99)*$M99,$F99*$H99*(1+$J99)*$M99)),0)</f>
        <v>1228022</v>
      </c>
      <c r="P99" s="547">
        <f t="shared" ref="P99:P106" si="22">IF(OR($C99="",$C99=0),"",$F$6)</f>
        <v>0</v>
      </c>
      <c r="Q99" s="548" t="str">
        <f>IF(OR($C99="",$C99=0),"",INDEX(NVLSX!N$6:N$6941,MATCH($C99,NVLSX!$E$6:$E$6941,0)))</f>
        <v>KI</v>
      </c>
      <c r="R99" s="576">
        <f>IF($I$2=NVLSX!$F$6930,"",IF($B$6=NVLSX!$B$6493,"",IF(TYPE(MATCH($K$1,NVLSX!$B$6492:$B$6921,0))=16,"",MATCH($K$1,NVLSX!$B$6492:$B$6921,0))))</f>
        <v>266</v>
      </c>
      <c r="S99" s="271" t="str">
        <f>IF($R99="","",SUBSTITUTE(SUBSTITUTE(SUBSTITUTE(SUBSTITUTE(SUBSTITUTE(SUBSTITUTE(SUBSTITUTE(SUBSTITUTE(INDEX(NVLSX!$J$6492:$J$6921,$R99),$C$8,$D$8),$C$9,$D$9),$C$10,$D$10),$C$11,$D$11),$C$12,$B$12),$P$12,$Q$12),$I$12,$J$12),$G$6,$I$6))</f>
        <v>(1600 - (36 + -5)*2 - 73*2)*(2200 - 41 + -8 - 73*2)</v>
      </c>
      <c r="T99" s="551" t="str">
        <f ca="1">IF(OR($C99="",$C99=0),"", IF(OR(AND(OR($Q99=NVLSX!$N$4,$Q99=NVLSX!$N$6492),COUNTIFS($C$14:$C99,$C99,$F$14:$F99,$F99,$I$14:$I99,$I99)&lt;=1), COUNTIF($C$14:$C99,$C99) &lt;=1 ),$T$13, ""    ))</f>
        <v>TH</v>
      </c>
      <c r="U99" s="239" t="str">
        <f>IF($R99&lt;&gt;"",MID($S99,FIND("(",$S99)+1,FIND(")*(",$S99)-FIND("(",$S99)-1),0)</f>
        <v>1600 - (36 + -5)*2 - 73*2</v>
      </c>
      <c r="V99" s="239" t="str">
        <f>IF($R99&lt;&gt;"",MID($S99,FIND(")*(",$S99)+3,LEN($S99)-LEN($U99)-5),0)</f>
        <v>2200 - 41 + -8 - 73*2</v>
      </c>
      <c r="W99" s="243">
        <f>ROUNDDOWN(TinhDTK1,0)</f>
        <v>1392</v>
      </c>
      <c r="X99" s="283">
        <f>ROUNDDOWN(TinhDTK2,0)</f>
        <v>2005</v>
      </c>
      <c r="Y99" s="577">
        <f>IFERROR($F99*$G99*2.5 * VALUE(MID($C99,3,2)),0)</f>
        <v>55.819200000000002</v>
      </c>
      <c r="Z99" s="872" t="str">
        <f t="shared" ref="Z99:Z106" si="23">IF(OR(AND($W99&gt;=$AB$98,$X99&gt;=$AB$99,$J$12&lt;=0),AND($W99&gt;=$AB$99,$X99&gt;=$AB$98,$J$12&lt;=0)),$Z$98,"")</f>
        <v/>
      </c>
      <c r="AA99" s="871" t="s">
        <v>80</v>
      </c>
      <c r="AB99" s="871">
        <f>+NVLSX!$F$6492</f>
        <v>3660</v>
      </c>
      <c r="AC99" s="503"/>
      <c r="AD99" s="503"/>
      <c r="AE99" s="1077">
        <f t="shared" si="17"/>
        <v>1842000</v>
      </c>
      <c r="AF99" s="1171" t="str">
        <f>IF($K99&lt;&gt;"",LEFT($D99,IFERROR(SEARCH("(",$D99,1)-2,LEN($D99))),"")</f>
        <v/>
      </c>
    </row>
    <row r="100" spans="1:40">
      <c r="A100" s="1421"/>
      <c r="B100" s="149" t="str">
        <f ca="1">IF($C100&lt;&gt;"",1 + MAX($B$20:$B99),"" )</f>
        <v/>
      </c>
      <c r="C100" s="291" t="str">
        <f ca="1">IF($K100&lt;&gt;"",$K100, IF(OR($R100="",$G100=0),"",INDEX(NVLSX!$E$6492:$E$6921,MATCH($D$6,NVLSX!$F$6492:$F$6921,0))))</f>
        <v/>
      </c>
      <c r="D100" s="254" t="str">
        <f ca="1">IF($C100="","",INDEX(NVLSX!F$6492:F$6921,MATCH($C100,NVLSX!$E$6492:$E$6921,0)) &amp; IF(SUM($F$9:$F$10)&gt;0," (CÓ CHIA ĐỐ -&gt; KHÔNG ĐẶT KÍNH)",IF($J$12&gt;1," (KÍNH NỐI KÍNH)",""))) &amp; IF($Z100=$Z$98, " - " &amp; $Z100 &amp; " (2440x3660)","")</f>
        <v/>
      </c>
      <c r="E100" s="246" t="str">
        <f ca="1">IF($C100="","",INDEX(NVLSX!G$6492:G$6921,MATCH($C100,NVLSX!$E$6492:$E$6921,0)))</f>
        <v/>
      </c>
      <c r="F100" s="247">
        <f ca="1">IF($L100&lt;&gt;"",VALUE(LEFT($L100,FIND("*",$L100)-1)) * VALUE(RIGHT($L100,LEN($L100)-FIND("*",$L100)))/1000000,IF(AND($S100&lt;&gt;"",$G100&lt;&gt;0 ),TinhCT/1000000,0))</f>
        <v>0</v>
      </c>
      <c r="G100" s="248">
        <f ca="1">IF($K100&lt;&gt;"",INDEX(NVLSX!I$6492:I$6921,MATCH($C100,NVLSX!$E$6492:$E$6921,0)),      IF($R100="",0,IF(OR(INDEX(NVLSX!O$6492:O$6921,$R100)="",INDEX(NVLSX!O$6492:O$6921,$R100)=$D$12),INDEX(NVLSX!I$6492:I$6921,$R100),0      )))</f>
        <v>0</v>
      </c>
      <c r="H100" s="249">
        <f t="shared" ref="H100:H106" ca="1" si="24">+$G100*$D$7</f>
        <v>0</v>
      </c>
      <c r="I100" s="255" t="str">
        <f t="shared" ref="I100:I106" ca="1" si="25">IF($L100&lt;&gt;"",$L100,IF(AND($W100&lt;&gt;0,$G100&lt;&gt;0  ),$W100 &amp; " * " &amp; $X100,""))</f>
        <v/>
      </c>
      <c r="J100" s="878">
        <f ca="1">IF($C100="",0,IFERROR(INDEX(NVLSX!$M$4:$M$6941,MATCH($C100,NVLSX!$E$4:$E$6941,0)),0) + IFERROR(IF($Q100=NVLSX!$N$4,INDEX(IF($R$1=DanhMuc!$C$179,DanhMuc!$C$180:$C$188,DanhMuc!$D$180:$D$188),MATCH($F$4,DanhMuc!$B$180:$B$188,0)),0),0))</f>
        <v>0</v>
      </c>
      <c r="K100" s="253"/>
      <c r="L100" s="256"/>
      <c r="M100" s="911">
        <f ca="1">IF($C100="",0,IF(INDEX(NVLSX!$N$2:$N$6941,MATCH($C100,NVLSX!$E$2:$E$6941,0))=NVLSX!$N$4,ROUND(INDEX(NVLSX!$L$2:$L$6941,MATCH($C100,NVLSX!$E$2:$E$6941,0))/$N$12,2),   ROUND(INDEX(NVLSX!$L$2:$L$6941,MATCH($C100,NVLSX!$E$2:$E$6941,0)),2))) * IF($Z100=$Z$98,1+$Z$107,1)</f>
        <v>0</v>
      </c>
      <c r="N100" s="559">
        <f t="shared" ref="N100:O106" ca="1" si="26">ROUND(IF($C100="",0,IF($F100=0,$H100*(1+$J100)*$M100,$F100*$H100*(1+$J100)*$M100)),0)</f>
        <v>0</v>
      </c>
      <c r="O100" s="559">
        <f t="shared" ca="1" si="26"/>
        <v>0</v>
      </c>
      <c r="P100" s="547" t="str">
        <f t="shared" ca="1" si="22"/>
        <v/>
      </c>
      <c r="Q100" s="548" t="str">
        <f ca="1">IF(OR($C100="",$C100=0),"",INDEX(NVLSX!N$6:N$6941,MATCH($C100,NVLSX!$E$6:$E$6941,0)))</f>
        <v/>
      </c>
      <c r="R100" s="576" t="str">
        <f ca="1">IF($I$2=NVLSX!$F$6930,"",IF($B$6=NVLSX!$B$6493,"",IF(TYPE(MATCH($K$1,OFFSET(NVLSX!$B$6492,R99,0):'NVLSX'!$B$6921,0)+R99)=16,"",MATCH($K$1,OFFSET(NVLSX!$B$6492,R99,0):'NVLSX'!$B$6921,0)+R99)))</f>
        <v/>
      </c>
      <c r="S100" s="271" t="str">
        <f ca="1">IF($R100="","",SUBSTITUTE(SUBSTITUTE(SUBSTITUTE(SUBSTITUTE(SUBSTITUTE(SUBSTITUTE(SUBSTITUTE(SUBSTITUTE(INDEX(NVLSX!$J$6492:$J$6921,$R100),$C$8,$D$8),$C$9,$D$9),$C$10,$D$10),$C$11,$D$11),$C$12,$B$12),$P$12,$Q$12),$I$12,$J$12),$G$6,$I$6))</f>
        <v/>
      </c>
      <c r="T100" s="551" t="str">
        <f ca="1">IF(OR($C100="",$C100=0),"", IF(OR(AND(OR($Q100=NVLSX!$N$4,$Q100=NVLSX!$N$6492),COUNTIFS($C$14:$C100,$C100,$F$14:$F100,$F100,$I$14:$I100,$I100)&lt;=1), COUNTIF($C$14:$C100,$C100) &lt;=1 ),$T$13, ""    ))</f>
        <v/>
      </c>
      <c r="U100" s="239">
        <f t="shared" ref="U100:U106" ca="1" si="27">IF($R100&lt;&gt;"",MID($S100,FIND("(",$S100)+1,FIND(")*(",$S100)-FIND("(",$S100)-1),0)</f>
        <v>0</v>
      </c>
      <c r="V100" s="239">
        <f t="shared" ref="V100:V106" ca="1" si="28">IF($R100&lt;&gt;"",MID($S100,FIND(")*(",$S100)+3,LEN($S100)-LEN($U100)-5),0)</f>
        <v>0</v>
      </c>
      <c r="W100" s="243">
        <f ca="1">ROUNDDOWN(TinhDTK1,0)</f>
        <v>0</v>
      </c>
      <c r="X100" s="283">
        <f ca="1">ROUNDDOWN(TinhDTK2,0)</f>
        <v>0</v>
      </c>
      <c r="Y100" s="577">
        <f t="shared" ref="Y100:Y106" ca="1" si="29">IFERROR($F100*$G100*2.5 * VALUE(MID($C100,3,2)),0)</f>
        <v>0</v>
      </c>
      <c r="Z100" s="872" t="str">
        <f t="shared" ca="1" si="23"/>
        <v/>
      </c>
      <c r="AA100" s="503"/>
      <c r="AB100" s="503"/>
      <c r="AC100" s="503"/>
      <c r="AD100" s="503"/>
      <c r="AE100" s="1077">
        <f t="shared" ca="1" si="17"/>
        <v>0</v>
      </c>
      <c r="AF100" s="1171" t="str">
        <f t="shared" ref="AF100:AF106" si="30">IF($K100&lt;&gt;"",LEFT($D100,IFERROR(SEARCH("(",$D100,1)-2,LEN($D100))),"")</f>
        <v/>
      </c>
    </row>
    <row r="101" spans="1:40">
      <c r="A101" s="1421"/>
      <c r="B101" s="149" t="str">
        <f ca="1">IF($C101&lt;&gt;"",1 + MAX($B$20:$B100),"" )</f>
        <v/>
      </c>
      <c r="C101" s="291" t="str">
        <f ca="1">IF($K101&lt;&gt;"",$K101, IF(OR($R101="",$G101=0),"",INDEX(NVLSX!$E$6492:$E$6921,MATCH($D$6,NVLSX!$F$6492:$F$6921,0))))</f>
        <v/>
      </c>
      <c r="D101" s="254" t="str">
        <f ca="1">IF($C101="","",INDEX(NVLSX!F$6492:F$6921,MATCH($C101,NVLSX!$E$6492:$E$6921,0)) &amp; IF(SUM($F$9:$F$10)&gt;0," (CÓ CHIA ĐỐ -&gt; KHÔNG ĐẶT KÍNH)",IF($J$12&gt;1," (KÍNH NỐI KÍNH)",""))) &amp; IF($Z101=$Z$98, " - " &amp; $Z101 &amp; " (2440x3660)","")</f>
        <v/>
      </c>
      <c r="E101" s="246" t="str">
        <f ca="1">IF($C101="","",INDEX(NVLSX!G$6492:G$6921,MATCH($C101,NVLSX!$E$6492:$E$6921,0)))</f>
        <v/>
      </c>
      <c r="F101" s="247">
        <f ca="1">IF($L101&lt;&gt;"",VALUE(LEFT($L101,FIND("*",$L101)-1)) * VALUE(RIGHT($L101,LEN($L101)-FIND("*",$L101)))/1000000,IF(AND($S101&lt;&gt;"",$G101&lt;&gt;0 ),TinhCT/1000000,0))</f>
        <v>0</v>
      </c>
      <c r="G101" s="248">
        <f ca="1">IF($K101&lt;&gt;"",INDEX(NVLSX!I$6492:I$6921,MATCH($C101,NVLSX!$E$6492:$E$6921,0)),      IF($R101="",0,IF(OR(INDEX(NVLSX!O$6492:O$6921,$R101)="",INDEX(NVLSX!O$6492:O$6921,$R101)=$D$12),INDEX(NVLSX!I$6492:I$6921,$R101),0      )))</f>
        <v>0</v>
      </c>
      <c r="H101" s="249">
        <f t="shared" ca="1" si="24"/>
        <v>0</v>
      </c>
      <c r="I101" s="255" t="str">
        <f t="shared" ca="1" si="25"/>
        <v/>
      </c>
      <c r="J101" s="878">
        <f ca="1">IF($C101="",0,IFERROR(INDEX(NVLSX!$M$4:$M$6941,MATCH($C101,NVLSX!$E$4:$E$6941,0)),0) + IFERROR(IF($Q101=NVLSX!$N$4,INDEX(IF($R$1=DanhMuc!$C$179,DanhMuc!$C$180:$C$188,DanhMuc!$D$180:$D$188),MATCH($F$4,DanhMuc!$B$180:$B$188,0)),0),0))</f>
        <v>0</v>
      </c>
      <c r="K101" s="253"/>
      <c r="L101" s="256"/>
      <c r="M101" s="911">
        <f ca="1">IF($C101="",0,IF(INDEX(NVLSX!$N$2:$N$6941,MATCH($C101,NVLSX!$E$2:$E$6941,0))=NVLSX!$N$4,ROUND(INDEX(NVLSX!$L$2:$L$6941,MATCH($C101,NVLSX!$E$2:$E$6941,0))/$N$12,2),   ROUND(INDEX(NVLSX!$L$2:$L$6941,MATCH($C101,NVLSX!$E$2:$E$6941,0)),2))) * IF($Z101=$Z$98,1+$Z$107,1)</f>
        <v>0</v>
      </c>
      <c r="N101" s="559">
        <f t="shared" ca="1" si="26"/>
        <v>0</v>
      </c>
      <c r="O101" s="559">
        <f t="shared" ca="1" si="26"/>
        <v>0</v>
      </c>
      <c r="P101" s="547" t="str">
        <f t="shared" ca="1" si="22"/>
        <v/>
      </c>
      <c r="Q101" s="548" t="str">
        <f ca="1">IF(OR($C101="",$C101=0),"",INDEX(NVLSX!N$6:N$6941,MATCH($C101,NVLSX!$E$6:$E$6941,0)))</f>
        <v/>
      </c>
      <c r="R101" s="576" t="str">
        <f ca="1">IF($I$2=NVLSX!$F$6930,"",IF($B$6=NVLSX!$B$6493,"",IF(TYPE(MATCH($K$1,OFFSET(NVLSX!$B$6492,R100,0):'NVLSX'!$B$6921,0)+R100)=16,"",MATCH($K$1,OFFSET(NVLSX!$B$6492,R100,0):'NVLSX'!$B$6921,0)+R100)))</f>
        <v/>
      </c>
      <c r="S101" s="271" t="str">
        <f ca="1">IF($R101="","",SUBSTITUTE(SUBSTITUTE(SUBSTITUTE(SUBSTITUTE(SUBSTITUTE(SUBSTITUTE(SUBSTITUTE(SUBSTITUTE(INDEX(NVLSX!$J$6492:$J$6921,$R101),$C$8,$D$8),$C$9,$D$9),$C$10,$D$10),$C$11,$D$11),$C$12,$B$12),$P$12,$Q$12),$I$12,$J$12),$G$6,$I$6))</f>
        <v/>
      </c>
      <c r="T101" s="551" t="str">
        <f ca="1">IF(OR($C101="",$C101=0),"", IF(OR(AND(OR($Q101=NVLSX!$N$4,$Q101=NVLSX!$N$6492),COUNTIFS($C$14:$C101,$C101,$F$14:$F101,$F101,$I$14:$I101,$I101)&lt;=1), COUNTIF($C$14:$C101,$C101) &lt;=1 ),$T$13, ""    ))</f>
        <v/>
      </c>
      <c r="U101" s="239">
        <f t="shared" ca="1" si="27"/>
        <v>0</v>
      </c>
      <c r="V101" s="239">
        <f t="shared" ca="1" si="28"/>
        <v>0</v>
      </c>
      <c r="W101" s="243">
        <f ca="1">ROUNDDOWN(TinhDTK1,0)</f>
        <v>0</v>
      </c>
      <c r="X101" s="283">
        <f ca="1">ROUNDDOWN(TinhDTK2,0)</f>
        <v>0</v>
      </c>
      <c r="Y101" s="577">
        <f t="shared" ca="1" si="29"/>
        <v>0</v>
      </c>
      <c r="Z101" s="872" t="str">
        <f t="shared" ca="1" si="23"/>
        <v/>
      </c>
      <c r="AA101" s="503"/>
      <c r="AB101" s="503"/>
      <c r="AC101" s="503"/>
      <c r="AD101" s="503"/>
      <c r="AE101" s="1077">
        <f t="shared" ca="1" si="17"/>
        <v>0</v>
      </c>
      <c r="AF101" s="1171" t="str">
        <f t="shared" si="30"/>
        <v/>
      </c>
    </row>
    <row r="102" spans="1:40">
      <c r="A102" s="1421"/>
      <c r="B102" s="149" t="str">
        <f ca="1">IF($C102&lt;&gt;"",1 + MAX($B$20:$B101),"" )</f>
        <v/>
      </c>
      <c r="C102" s="291" t="str">
        <f ca="1">IF($K102&lt;&gt;"",$K102, IF(OR($R102="",$G102=0),"",INDEX(NVLSX!$E$6492:$E$6921,MATCH($D$6,NVLSX!$F$6492:$F$6921,0))))</f>
        <v/>
      </c>
      <c r="D102" s="254" t="str">
        <f ca="1">IF($C102="","",INDEX(NVLSX!F$6492:F$6921,MATCH($C102,NVLSX!$E$6492:$E$6921,0)) &amp; IF(SUM($F$9:$F$10)&gt;0," (CÓ CHIA ĐỐ -&gt; KHÔNG ĐẶT KÍNH)",IF($J$12&gt;1," (KÍNH NỐI KÍNH)",""))) &amp; IF($Z102=$Z$98, " - " &amp; $Z102 &amp; " (2440x3660)","")</f>
        <v/>
      </c>
      <c r="E102" s="246" t="str">
        <f ca="1">IF($C102="","",INDEX(NVLSX!G$6492:G$6921,MATCH($C102,NVLSX!$E$6492:$E$6921,0)))</f>
        <v/>
      </c>
      <c r="F102" s="247">
        <f ca="1">IF($L102&lt;&gt;"",VALUE(LEFT($L102,FIND("*",$L102)-1)) * VALUE(RIGHT($L102,LEN($L102)-FIND("*",$L102)))/1000000,IF(AND($S102&lt;&gt;"",$G102&lt;&gt;0 ),TinhCT/1000000,0))</f>
        <v>0</v>
      </c>
      <c r="G102" s="248">
        <f ca="1">IF($K102&lt;&gt;"",INDEX(NVLSX!I$6492:I$6921,MATCH($C102,NVLSX!$E$6492:$E$6921,0)),      IF($R102="",0,IF(OR(INDEX(NVLSX!O$6492:O$6921,$R102)="",INDEX(NVLSX!O$6492:O$6921,$R102)=$D$12),INDEX(NVLSX!I$6492:I$6921,$R102),0      )))</f>
        <v>0</v>
      </c>
      <c r="H102" s="249">
        <f t="shared" ca="1" si="24"/>
        <v>0</v>
      </c>
      <c r="I102" s="255" t="str">
        <f t="shared" ca="1" si="25"/>
        <v/>
      </c>
      <c r="J102" s="878">
        <f ca="1">IF($C102="",0,IFERROR(INDEX(NVLSX!$M$4:$M$6941,MATCH($C102,NVLSX!$E$4:$E$6941,0)),0) + IFERROR(IF($Q102=NVLSX!$N$4,INDEX(IF($R$1=DanhMuc!$C$179,DanhMuc!$C$180:$C$188,DanhMuc!$D$180:$D$188),MATCH($F$4,DanhMuc!$B$180:$B$188,0)),0),0))</f>
        <v>0</v>
      </c>
      <c r="K102" s="253"/>
      <c r="L102" s="256"/>
      <c r="M102" s="911">
        <f ca="1">IF($C102="",0,IF(INDEX(NVLSX!$N$2:$N$6941,MATCH($C102,NVLSX!$E$2:$E$6941,0))=NVLSX!$N$4,ROUND(INDEX(NVLSX!$L$2:$L$6941,MATCH($C102,NVLSX!$E$2:$E$6941,0))/$N$12,2),   ROUND(INDEX(NVLSX!$L$2:$L$6941,MATCH($C102,NVLSX!$E$2:$E$6941,0)),2))) * IF($Z102=$Z$98,1+$Z$107,1)</f>
        <v>0</v>
      </c>
      <c r="N102" s="559">
        <f t="shared" ca="1" si="26"/>
        <v>0</v>
      </c>
      <c r="O102" s="559">
        <f t="shared" ca="1" si="26"/>
        <v>0</v>
      </c>
      <c r="P102" s="547" t="str">
        <f t="shared" ca="1" si="22"/>
        <v/>
      </c>
      <c r="Q102" s="548" t="str">
        <f ca="1">IF(OR($C102="",$C102=0),"",INDEX(NVLSX!N$6:N$6941,MATCH($C102,NVLSX!$E$6:$E$6941,0)))</f>
        <v/>
      </c>
      <c r="R102" s="576" t="str">
        <f ca="1">IF($I$2=NVLSX!$F$6930,"",IF($B$6=NVLSX!$B$6493,"",IF(TYPE(MATCH($K$1,OFFSET(NVLSX!$B$6492,R101,0):'NVLSX'!$B$6921,0)+R101)=16,"",MATCH($K$1,OFFSET(NVLSX!$B$6492,R101,0):'NVLSX'!$B$6921,0)+R101)))</f>
        <v/>
      </c>
      <c r="S102" s="271" t="str">
        <f ca="1">IF($R102="","",SUBSTITUTE(SUBSTITUTE(SUBSTITUTE(SUBSTITUTE(SUBSTITUTE(SUBSTITUTE(SUBSTITUTE(SUBSTITUTE(INDEX(NVLSX!$J$6492:$J$6921,$R102),$C$8,$D$8),$C$9,$D$9),$C$10,$D$10),$C$11,$D$11),$C$12,$B$12),$P$12,$Q$12),$I$12,$J$12),$G$6,$I$6))</f>
        <v/>
      </c>
      <c r="T102" s="551" t="str">
        <f ca="1">IF(OR($C102="",$C102=0),"", IF(OR(AND(OR($Q102=NVLSX!$N$4,$Q102=NVLSX!$N$6492),COUNTIFS($C$14:$C102,$C102,$F$14:$F102,$F102,$I$14:$I102,$I102)&lt;=1), COUNTIF($C$14:$C102,$C102) &lt;=1 ),$T$13, ""    ))</f>
        <v/>
      </c>
      <c r="U102" s="239">
        <f t="shared" ca="1" si="27"/>
        <v>0</v>
      </c>
      <c r="V102" s="239">
        <f t="shared" ca="1" si="28"/>
        <v>0</v>
      </c>
      <c r="W102" s="243">
        <f ca="1">ROUNDDOWN(TinhDTK1,0)</f>
        <v>0</v>
      </c>
      <c r="X102" s="283">
        <f ca="1">ROUNDDOWN(TinhDTK2,0)</f>
        <v>0</v>
      </c>
      <c r="Y102" s="577">
        <f t="shared" ca="1" si="29"/>
        <v>0</v>
      </c>
      <c r="Z102" s="872" t="str">
        <f t="shared" ca="1" si="23"/>
        <v/>
      </c>
      <c r="AA102" s="503"/>
      <c r="AB102" s="503"/>
      <c r="AC102" s="503"/>
      <c r="AD102" s="503"/>
      <c r="AE102" s="1077">
        <f t="shared" ca="1" si="17"/>
        <v>0</v>
      </c>
      <c r="AF102" s="1171" t="str">
        <f t="shared" si="30"/>
        <v/>
      </c>
    </row>
    <row r="103" spans="1:40">
      <c r="A103" s="1421"/>
      <c r="B103" s="149" t="str">
        <f ca="1">IF($C103&lt;&gt;"",1 + MAX($B$20:$B102),"" )</f>
        <v/>
      </c>
      <c r="C103" s="291" t="str">
        <f ca="1">IF($K103&lt;&gt;"",$K103, IF(OR($R103="",$G103=0),"",INDEX(NVLSX!$E$6492:$E$6921,MATCH($D$6,NVLSX!$F$6492:$F$6921,0))))</f>
        <v/>
      </c>
      <c r="D103" s="254" t="str">
        <f ca="1">IF($C103="","",INDEX(NVLSX!F$6492:F$6921,MATCH($C103,NVLSX!$E$6492:$E$6921,0)) &amp; IF(SUM($F$9:$F$10)&gt;0," (CÓ CHIA ĐỐ -&gt; KHÔNG ĐẶT KÍNH)",IF($J$12&gt;1," (KÍNH NỐI KÍNH)",""))) &amp; IF($Z103=$Z$98, " - " &amp; $Z103 &amp; " (2440x3660)","")</f>
        <v/>
      </c>
      <c r="E103" s="246" t="str">
        <f ca="1">IF($C103="","",INDEX(NVLSX!G$6492:G$6921,MATCH($C103,NVLSX!$E$6492:$E$6921,0)))</f>
        <v/>
      </c>
      <c r="F103" s="247">
        <f ca="1">IF($L103&lt;&gt;"",VALUE(LEFT($L103,FIND("*",$L103)-1)) * VALUE(RIGHT($L103,LEN($L103)-FIND("*",$L103)))/1000000,IF(AND($S103&lt;&gt;"",$G103&lt;&gt;0 ),TinhCT/1000000,0))</f>
        <v>0</v>
      </c>
      <c r="G103" s="248">
        <f ca="1">IF($K103&lt;&gt;"",INDEX(NVLSX!I$6492:I$6921,MATCH($C103,NVLSX!$E$6492:$E$6921,0)),      IF($R103="",0,IF(OR(INDEX(NVLSX!O$6492:O$6921,$R103)="",INDEX(NVLSX!O$6492:O$6921,$R103)=$D$12),INDEX(NVLSX!I$6492:I$6921,$R103),0      )))</f>
        <v>0</v>
      </c>
      <c r="H103" s="249">
        <f t="shared" ca="1" si="24"/>
        <v>0</v>
      </c>
      <c r="I103" s="255" t="str">
        <f t="shared" ca="1" si="25"/>
        <v/>
      </c>
      <c r="J103" s="878">
        <f ca="1">IF($C103="",0,IFERROR(INDEX(NVLSX!$M$4:$M$6941,MATCH($C103,NVLSX!$E$4:$E$6941,0)),0) + IFERROR(IF($Q103=NVLSX!$N$4,INDEX(IF($R$1=DanhMuc!$C$179,DanhMuc!$C$180:$C$188,DanhMuc!$D$180:$D$188),MATCH($F$4,DanhMuc!$B$180:$B$188,0)),0),0))</f>
        <v>0</v>
      </c>
      <c r="K103" s="253"/>
      <c r="L103" s="256"/>
      <c r="M103" s="911">
        <f ca="1">IF($C103="",0,IF(INDEX(NVLSX!$N$2:$N$6941,MATCH($C103,NVLSX!$E$2:$E$6941,0))=NVLSX!$N$4,ROUND(INDEX(NVLSX!$L$2:$L$6941,MATCH($C103,NVLSX!$E$2:$E$6941,0))/$N$12,2),   ROUND(INDEX(NVLSX!$L$2:$L$6941,MATCH($C103,NVLSX!$E$2:$E$6941,0)),2))) * IF($Z103=$Z$98,1+$Z$107,1)</f>
        <v>0</v>
      </c>
      <c r="N103" s="559">
        <f t="shared" ca="1" si="26"/>
        <v>0</v>
      </c>
      <c r="O103" s="559">
        <f t="shared" ca="1" si="26"/>
        <v>0</v>
      </c>
      <c r="P103" s="547" t="str">
        <f t="shared" ca="1" si="22"/>
        <v/>
      </c>
      <c r="Q103" s="548" t="str">
        <f ca="1">IF(OR($C103="",$C103=0),"",INDEX(NVLSX!N$6:N$6941,MATCH($C103,NVLSX!$E$6:$E$6941,0)))</f>
        <v/>
      </c>
      <c r="R103" s="576" t="str">
        <f ca="1">IF($I$2=NVLSX!$F$6930,"",IF($B$6=NVLSX!$B$6493,"",IF(TYPE(MATCH($K$1,OFFSET(NVLSX!$B$6492,R102,0):'NVLSX'!$B$6921,0)+R102)=16,"",MATCH($K$1,OFFSET(NVLSX!$B$6492,R102,0):'NVLSX'!$B$6921,0)+R102)))</f>
        <v/>
      </c>
      <c r="S103" s="271" t="str">
        <f ca="1">IF($R103="","",SUBSTITUTE(SUBSTITUTE(SUBSTITUTE(SUBSTITUTE(SUBSTITUTE(SUBSTITUTE(SUBSTITUTE(SUBSTITUTE(INDEX(NVLSX!$J$6492:$J$6921,$R103),$C$8,$D$8),$C$9,$D$9),$C$10,$D$10),$C$11,$D$11),$C$12,$B$12),$P$12,$Q$12),$I$12,$J$12),$G$6,$I$6))</f>
        <v/>
      </c>
      <c r="T103" s="551" t="str">
        <f ca="1">IF(OR($C103="",$C103=0),"", IF(OR(AND(OR($Q103=NVLSX!$N$4,$Q103=NVLSX!$N$6492),COUNTIFS($C$14:$C103,$C103,$F$14:$F103,$F103,$I$14:$I103,$I103)&lt;=1), COUNTIF($C$14:$C103,$C103) &lt;=1 ),$T$13, ""    ))</f>
        <v/>
      </c>
      <c r="U103" s="239">
        <f t="shared" ca="1" si="27"/>
        <v>0</v>
      </c>
      <c r="V103" s="239">
        <f t="shared" ca="1" si="28"/>
        <v>0</v>
      </c>
      <c r="W103" s="243">
        <f ca="1">ROUNDDOWN(TinhDTK1,0)</f>
        <v>0</v>
      </c>
      <c r="X103" s="283">
        <f ca="1">ROUNDDOWN(TinhDTK2,0)</f>
        <v>0</v>
      </c>
      <c r="Y103" s="577">
        <f t="shared" ca="1" si="29"/>
        <v>0</v>
      </c>
      <c r="Z103" s="872" t="str">
        <f t="shared" ca="1" si="23"/>
        <v/>
      </c>
      <c r="AA103" s="503"/>
      <c r="AB103" s="503"/>
      <c r="AC103" s="503"/>
      <c r="AD103" s="503"/>
      <c r="AE103" s="1077">
        <f t="shared" ca="1" si="17"/>
        <v>0</v>
      </c>
      <c r="AF103" s="1171" t="str">
        <f t="shared" si="30"/>
        <v/>
      </c>
    </row>
    <row r="104" spans="1:40">
      <c r="A104" s="1421"/>
      <c r="B104" s="149" t="str">
        <f ca="1">IF($C104&lt;&gt;"",1 + MAX($B$20:$B103),"" )</f>
        <v/>
      </c>
      <c r="C104" s="291" t="str">
        <f ca="1">IF($K104&lt;&gt;"",$K104, IF(OR($R104="",$G104=0),"",INDEX(NVLSX!$E$6492:$E$6921,MATCH($D$6,NVLSX!$F$6492:$F$6921,0))))</f>
        <v/>
      </c>
      <c r="D104" s="254" t="str">
        <f ca="1">IF($C104="","",INDEX(NVLSX!F$6492:F$6921,MATCH($C104,NVLSX!$E$6492:$E$6921,0)) &amp; IF(SUM($F$9:$F$10)&gt;0," (CÓ CHIA ĐỐ -&gt; KHÔNG ĐẶT KÍNH)",IF($J$12&gt;1," (KÍNH NỐI KÍNH)",""))) &amp; IF($Z104=$Z$98, " - " &amp; $Z104 &amp; " (2440x3660)","")</f>
        <v/>
      </c>
      <c r="E104" s="246" t="str">
        <f ca="1">IF($C104="","",INDEX(NVLSX!G$6492:G$6921,MATCH($C104,NVLSX!$E$6492:$E$6921,0)))</f>
        <v/>
      </c>
      <c r="F104" s="247">
        <f ca="1">IF($L104&lt;&gt;"",VALUE(LEFT($L104,FIND("*",$L104)-1)) * VALUE(RIGHT($L104,LEN($L104)-FIND("*",$L104)))/1000000,IF(AND($S104&lt;&gt;"",$G104&lt;&gt;0 ),TinhCT/1000000,0))</f>
        <v>0</v>
      </c>
      <c r="G104" s="248">
        <f ca="1">IF($K104&lt;&gt;"",INDEX(NVLSX!I$6492:I$6921,MATCH($C104,NVLSX!$E$6492:$E$6921,0)),      IF($R104="",0,IF(OR(INDEX(NVLSX!O$6492:O$6921,$R104)="",INDEX(NVLSX!O$6492:O$6921,$R104)=$D$12),INDEX(NVLSX!I$6492:I$6921,$R104),0      )))</f>
        <v>0</v>
      </c>
      <c r="H104" s="249">
        <f t="shared" ca="1" si="24"/>
        <v>0</v>
      </c>
      <c r="I104" s="255" t="str">
        <f t="shared" ca="1" si="25"/>
        <v/>
      </c>
      <c r="J104" s="878">
        <f ca="1">IF($C104="",0,IFERROR(INDEX(NVLSX!$M$4:$M$6941,MATCH($C104,NVLSX!$E$4:$E$6941,0)),0) + IFERROR(IF($Q104=NVLSX!$N$4,INDEX(IF($R$1=DanhMuc!$C$179,DanhMuc!$C$180:$C$188,DanhMuc!$D$180:$D$188),MATCH($F$4,DanhMuc!$B$180:$B$188,0)),0),0))</f>
        <v>0</v>
      </c>
      <c r="K104" s="253"/>
      <c r="L104" s="256"/>
      <c r="M104" s="911">
        <f ca="1">IF($C104="",0,IF(INDEX(NVLSX!$N$2:$N$6941,MATCH($C104,NVLSX!$E$2:$E$6941,0))=NVLSX!$N$4,ROUND(INDEX(NVLSX!$L$2:$L$6941,MATCH($C104,NVLSX!$E$2:$E$6941,0))/$N$12,2),   ROUND(INDEX(NVLSX!$L$2:$L$6941,MATCH($C104,NVLSX!$E$2:$E$6941,0)),2))) * IF($Z104=$Z$98,1+$Z$107,1)</f>
        <v>0</v>
      </c>
      <c r="N104" s="559">
        <f t="shared" ca="1" si="26"/>
        <v>0</v>
      </c>
      <c r="O104" s="559">
        <f t="shared" ca="1" si="26"/>
        <v>0</v>
      </c>
      <c r="P104" s="547" t="str">
        <f t="shared" ca="1" si="22"/>
        <v/>
      </c>
      <c r="Q104" s="548" t="str">
        <f ca="1">IF(OR($C104="",$C104=0),"",INDEX(NVLSX!N$6:N$6941,MATCH($C104,NVLSX!$E$6:$E$6941,0)))</f>
        <v/>
      </c>
      <c r="R104" s="576" t="str">
        <f ca="1">IF($I$2=NVLSX!$F$6930,"",IF($B$6=NVLSX!$B$6493,"",IF(TYPE(MATCH($K$1,OFFSET(NVLSX!$B$6492,R103,0):'NVLSX'!$B$6921,0)+R103)=16,"",MATCH($K$1,OFFSET(NVLSX!$B$6492,R103,0):'NVLSX'!$B$6921,0)+R103)))</f>
        <v/>
      </c>
      <c r="S104" s="271" t="str">
        <f ca="1">IF($R104="","",SUBSTITUTE(SUBSTITUTE(SUBSTITUTE(SUBSTITUTE(SUBSTITUTE(SUBSTITUTE(SUBSTITUTE(SUBSTITUTE(INDEX(NVLSX!$J$6492:$J$6921,$R104),$C$8,$D$8),$C$9,$D$9),$C$10,$D$10),$C$11,$D$11),$C$12,$B$12),$P$12,$Q$12),$I$12,$J$12),$G$6,$I$6))</f>
        <v/>
      </c>
      <c r="T104" s="551" t="str">
        <f ca="1">IF(OR($C104="",$C104=0),"", IF(OR(AND(OR($Q104=NVLSX!$N$4,$Q104=NVLSX!$N$6492),COUNTIFS($C$14:$C104,$C104,$F$14:$F104,$F104,$I$14:$I104,$I104)&lt;=1), COUNTIF($C$14:$C104,$C104) &lt;=1 ),$T$13, ""    ))</f>
        <v/>
      </c>
      <c r="U104" s="239">
        <f t="shared" ca="1" si="27"/>
        <v>0</v>
      </c>
      <c r="V104" s="239">
        <f t="shared" ca="1" si="28"/>
        <v>0</v>
      </c>
      <c r="W104" s="243">
        <f ca="1">ROUNDDOWN(TinhDTK1,0)</f>
        <v>0</v>
      </c>
      <c r="X104" s="283">
        <f ca="1">ROUNDDOWN(TinhDTK2,0)</f>
        <v>0</v>
      </c>
      <c r="Y104" s="577">
        <f t="shared" ca="1" si="29"/>
        <v>0</v>
      </c>
      <c r="Z104" s="872" t="str">
        <f t="shared" ca="1" si="23"/>
        <v/>
      </c>
      <c r="AA104" s="503"/>
      <c r="AB104" s="503"/>
      <c r="AC104" s="503"/>
      <c r="AD104" s="503"/>
      <c r="AE104" s="1077">
        <f t="shared" ca="1" si="17"/>
        <v>0</v>
      </c>
      <c r="AF104" s="1171" t="str">
        <f t="shared" si="30"/>
        <v/>
      </c>
    </row>
    <row r="105" spans="1:40">
      <c r="A105" s="1421"/>
      <c r="B105" s="149" t="str">
        <f ca="1">IF($C105&lt;&gt;"",1 + MAX($B$20:$B104),"" )</f>
        <v/>
      </c>
      <c r="C105" s="291" t="str">
        <f ca="1">IF($K105&lt;&gt;"",$K105, IF(OR($R105="",$G105=0),"",INDEX(NVLSX!$E$6492:$E$6921,MATCH($D$6,NVLSX!$F$6492:$F$6921,0))))</f>
        <v/>
      </c>
      <c r="D105" s="254" t="str">
        <f ca="1">IF($C105="","",INDEX(NVLSX!F$6492:F$6921,MATCH($C105,NVLSX!$E$6492:$E$6921,0)) &amp; IF(SUM($F$9:$F$10)&gt;0," (CÓ CHIA ĐỐ -&gt; KHÔNG ĐẶT KÍNH)",IF($J$12&gt;1," (KÍNH NỐI KÍNH)",""))) &amp; IF($Z105=$Z$98, " - " &amp; $Z105 &amp; " (2440x3660)","")</f>
        <v/>
      </c>
      <c r="E105" s="246" t="str">
        <f ca="1">IF($C105="","",INDEX(NVLSX!G$6492:G$6921,MATCH($C105,NVLSX!$E$6492:$E$6921,0)))</f>
        <v/>
      </c>
      <c r="F105" s="247">
        <f ca="1">IF($L105&lt;&gt;"",VALUE(LEFT($L105,FIND("*",$L105)-1)) * VALUE(RIGHT($L105,LEN($L105)-FIND("*",$L105)))/1000000,IF(AND($S105&lt;&gt;"",$G105&lt;&gt;0 ),TinhCT/1000000,0))</f>
        <v>0</v>
      </c>
      <c r="G105" s="248">
        <f ca="1">IF($K105&lt;&gt;"",INDEX(NVLSX!I$6492:I$6921,MATCH($C105,NVLSX!$E$6492:$E$6921,0)),      IF($R105="",0,IF(OR(INDEX(NVLSX!O$6492:O$6921,$R105)="",INDEX(NVLSX!O$6492:O$6921,$R105)=$D$12),INDEX(NVLSX!I$6492:I$6921,$R105),0      )))</f>
        <v>0</v>
      </c>
      <c r="H105" s="249">
        <f t="shared" ca="1" si="24"/>
        <v>0</v>
      </c>
      <c r="I105" s="255" t="str">
        <f t="shared" ca="1" si="25"/>
        <v/>
      </c>
      <c r="J105" s="878">
        <f ca="1">IF($C105="",0,IFERROR(INDEX(NVLSX!$M$4:$M$6941,MATCH($C105,NVLSX!$E$4:$E$6941,0)),0) + IFERROR(IF($Q105=NVLSX!$N$4,INDEX(IF($R$1=DanhMuc!$C$179,DanhMuc!$C$180:$C$188,DanhMuc!$D$180:$D$188),MATCH($F$4,DanhMuc!$B$180:$B$188,0)),0),0))</f>
        <v>0</v>
      </c>
      <c r="K105" s="253"/>
      <c r="L105" s="256"/>
      <c r="M105" s="911">
        <f ca="1">IF($C105="",0,IF(INDEX(NVLSX!$N$2:$N$6941,MATCH($C105,NVLSX!$E$2:$E$6941,0))=NVLSX!$N$4,ROUND(INDEX(NVLSX!$L$2:$L$6941,MATCH($C105,NVLSX!$E$2:$E$6941,0))/$N$12,2),   ROUND(INDEX(NVLSX!$L$2:$L$6941,MATCH($C105,NVLSX!$E$2:$E$6941,0)),2))) * IF($Z105=$Z$98,1+$Z$107,1)</f>
        <v>0</v>
      </c>
      <c r="N105" s="559">
        <f t="shared" ca="1" si="26"/>
        <v>0</v>
      </c>
      <c r="O105" s="559">
        <f t="shared" ca="1" si="26"/>
        <v>0</v>
      </c>
      <c r="P105" s="547" t="str">
        <f t="shared" ca="1" si="22"/>
        <v/>
      </c>
      <c r="Q105" s="548" t="str">
        <f ca="1">IF(OR($C105="",$C105=0),"",INDEX(NVLSX!N$6:N$6941,MATCH($C105,NVLSX!$E$6:$E$6941,0)))</f>
        <v/>
      </c>
      <c r="R105" s="576" t="str">
        <f ca="1">IF($I$2=NVLSX!$F$6930,"",IF($B$6=NVLSX!$B$6493,"",IF(TYPE(MATCH($K$1,OFFSET(NVLSX!$B$6492,R104,0):'NVLSX'!$B$6921,0)+R104)=16,"",MATCH($K$1,OFFSET(NVLSX!$B$6492,R104,0):'NVLSX'!$B$6921,0)+R104)))</f>
        <v/>
      </c>
      <c r="S105" s="271" t="str">
        <f ca="1">IF($R105="","",SUBSTITUTE(SUBSTITUTE(SUBSTITUTE(SUBSTITUTE(SUBSTITUTE(SUBSTITUTE(SUBSTITUTE(SUBSTITUTE(INDEX(NVLSX!$J$6492:$J$6921,$R105),$C$8,$D$8),$C$9,$D$9),$C$10,$D$10),$C$11,$D$11),$C$12,$B$12),$P$12,$Q$12),$I$12,$J$12),$G$6,$I$6))</f>
        <v/>
      </c>
      <c r="T105" s="551" t="str">
        <f ca="1">IF(OR($C105="",$C105=0),"", IF(OR(AND(OR($Q105=NVLSX!$N$4,$Q105=NVLSX!$N$6492),COUNTIFS($C$14:$C105,$C105,$F$14:$F105,$F105,$I$14:$I105,$I105)&lt;=1), COUNTIF($C$14:$C105,$C105) &lt;=1 ),$T$13, ""    ))</f>
        <v/>
      </c>
      <c r="U105" s="239">
        <f t="shared" ca="1" si="27"/>
        <v>0</v>
      </c>
      <c r="V105" s="239">
        <f t="shared" ca="1" si="28"/>
        <v>0</v>
      </c>
      <c r="W105" s="243">
        <f ca="1">ROUNDDOWN(TinhDTK1,0)</f>
        <v>0</v>
      </c>
      <c r="X105" s="283">
        <f ca="1">ROUNDDOWN(TinhDTK2,0)</f>
        <v>0</v>
      </c>
      <c r="Y105" s="577">
        <f t="shared" ca="1" si="29"/>
        <v>0</v>
      </c>
      <c r="Z105" s="872" t="str">
        <f t="shared" ca="1" si="23"/>
        <v/>
      </c>
      <c r="AA105" s="503"/>
      <c r="AB105" s="503"/>
      <c r="AC105" s="503"/>
      <c r="AD105" s="503"/>
      <c r="AE105" s="1077">
        <f t="shared" ca="1" si="17"/>
        <v>0</v>
      </c>
      <c r="AF105" s="1171" t="str">
        <f t="shared" si="30"/>
        <v/>
      </c>
    </row>
    <row r="106" spans="1:40" ht="13.5" thickBot="1">
      <c r="A106" s="1421"/>
      <c r="B106" s="149" t="str">
        <f ca="1">IF($C106&lt;&gt;"",1 + MAX($B$20:$B105),"" )</f>
        <v/>
      </c>
      <c r="C106" s="291" t="str">
        <f ca="1">IF($K106&lt;&gt;"",$K106, IF(OR($R106="",$G106=0),"",INDEX(NVLSX!$E$6492:$E$6921,MATCH($D$6,NVLSX!$F$6492:$F$6921,0))))</f>
        <v/>
      </c>
      <c r="D106" s="254" t="str">
        <f ca="1">IF($C106="","",INDEX(NVLSX!F$6492:F$6921,MATCH($C106,NVLSX!$E$6492:$E$6921,0)) &amp; IF(SUM($F$9:$F$10)&gt;0," (CÓ CHIA ĐỐ -&gt; KHÔNG ĐẶT KÍNH)",IF($J$12&gt;1," (KÍNH NỐI KÍNH)",""))) &amp; IF($Z106=$Z$98, " - " &amp; $Z106 &amp; " (2440x3660)","")</f>
        <v/>
      </c>
      <c r="E106" s="246" t="str">
        <f ca="1">IF($C106="","",INDEX(NVLSX!G$6492:G$6921,MATCH($C106,NVLSX!$E$6492:$E$6921,0)))</f>
        <v/>
      </c>
      <c r="F106" s="247">
        <f ca="1">IF($L106&lt;&gt;"",VALUE(LEFT($L106,FIND("*",$L106)-1)) * VALUE(RIGHT($L106,LEN($L106)-FIND("*",$L106)))/1000000,IF(AND($S106&lt;&gt;"",$G106&lt;&gt;0 ),TinhCT/1000000,0))</f>
        <v>0</v>
      </c>
      <c r="G106" s="248">
        <f ca="1">IF($K106&lt;&gt;"",INDEX(NVLSX!I$6492:I$6921,MATCH($C106,NVLSX!$E$6492:$E$6921,0)),      IF($R106="",0,IF(OR(INDEX(NVLSX!O$6492:O$6921,$R106)="",INDEX(NVLSX!O$6492:O$6921,$R106)=$D$12),INDEX(NVLSX!I$6492:I$6921,$R106),0      )))</f>
        <v>0</v>
      </c>
      <c r="H106" s="249">
        <f t="shared" ca="1" si="24"/>
        <v>0</v>
      </c>
      <c r="I106" s="255" t="str">
        <f t="shared" ca="1" si="25"/>
        <v/>
      </c>
      <c r="J106" s="878">
        <f ca="1">IF($C106="",0,IFERROR(INDEX(NVLSX!$M$4:$M$6941,MATCH($C106,NVLSX!$E$4:$E$6941,0)),0) + IFERROR(IF($Q106=NVLSX!$N$4,INDEX(IF($R$1=DanhMuc!$C$179,DanhMuc!$C$180:$C$188,DanhMuc!$D$180:$D$188),MATCH($F$4,DanhMuc!$B$180:$B$188,0)),0),0))</f>
        <v>0</v>
      </c>
      <c r="K106" s="257"/>
      <c r="L106" s="258"/>
      <c r="M106" s="911">
        <f ca="1">IF($C106="",0,IF(INDEX(NVLSX!$N$2:$N$6941,MATCH($C106,NVLSX!$E$2:$E$6941,0))=NVLSX!$N$4,ROUND(INDEX(NVLSX!$L$2:$L$6941,MATCH($C106,NVLSX!$E$2:$E$6941,0))/$N$12,2),   ROUND(INDEX(NVLSX!$L$2:$L$6941,MATCH($C106,NVLSX!$E$2:$E$6941,0)),2))) * IF($Z106=$Z$98,1+$Z$107,1)</f>
        <v>0</v>
      </c>
      <c r="N106" s="559">
        <f t="shared" ca="1" si="26"/>
        <v>0</v>
      </c>
      <c r="O106" s="559">
        <f t="shared" ca="1" si="26"/>
        <v>0</v>
      </c>
      <c r="P106" s="547" t="str">
        <f t="shared" ca="1" si="22"/>
        <v/>
      </c>
      <c r="Q106" s="548" t="str">
        <f ca="1">IF(OR($C106="",$C106=0),"",INDEX(NVLSX!N$6:N$6941,MATCH($C106,NVLSX!$E$6:$E$6941,0)))</f>
        <v/>
      </c>
      <c r="R106" s="576" t="str">
        <f ca="1">IF($I$2=NVLSX!$F$6930,"",IF($B$6=NVLSX!$B$6493,"",IF(TYPE(MATCH($K$1,OFFSET(NVLSX!$B$6492,R105,0):'NVLSX'!$B$6921,0)+R105)=16,"",MATCH($K$1,OFFSET(NVLSX!$B$6492,R105,0):'NVLSX'!$B$6921,0)+R105)))</f>
        <v/>
      </c>
      <c r="S106" s="271" t="str">
        <f ca="1">IF($R106="","",SUBSTITUTE(SUBSTITUTE(SUBSTITUTE(SUBSTITUTE(SUBSTITUTE(SUBSTITUTE(SUBSTITUTE(SUBSTITUTE(INDEX(NVLSX!$J$6492:$J$6921,$R106),$C$8,$D$8),$C$9,$D$9),$C$10,$D$10),$C$11,$D$11),$C$12,$B$12),$P$12,$Q$12),$I$12,$J$12),$G$6,$I$6))</f>
        <v/>
      </c>
      <c r="T106" s="551" t="str">
        <f ca="1">IF(OR($C106="",$C106=0),"", IF(OR(AND(OR($Q106=NVLSX!$N$4,$Q106=NVLSX!$N$6492),COUNTIFS($C$14:$C106,$C106,$F$14:$F106,$F106,$I$14:$I106,$I106)&lt;=1), COUNTIF($C$14:$C106,$C106) &lt;=1 ),$T$13, ""    ))</f>
        <v/>
      </c>
      <c r="U106" s="239">
        <f t="shared" ca="1" si="27"/>
        <v>0</v>
      </c>
      <c r="V106" s="239">
        <f t="shared" ca="1" si="28"/>
        <v>0</v>
      </c>
      <c r="W106" s="243">
        <f ca="1">ROUNDDOWN(TinhDTK1,0)</f>
        <v>0</v>
      </c>
      <c r="X106" s="283">
        <f ca="1">ROUNDDOWN(TinhDTK2,0)</f>
        <v>0</v>
      </c>
      <c r="Y106" s="577">
        <f t="shared" ca="1" si="29"/>
        <v>0</v>
      </c>
      <c r="Z106" s="872" t="str">
        <f t="shared" ca="1" si="23"/>
        <v/>
      </c>
      <c r="AA106" s="503"/>
      <c r="AB106" s="503"/>
      <c r="AC106" s="503"/>
      <c r="AD106" s="503"/>
      <c r="AE106" s="1077">
        <f t="shared" ca="1" si="17"/>
        <v>0</v>
      </c>
      <c r="AF106" s="1171" t="str">
        <f t="shared" si="30"/>
        <v/>
      </c>
    </row>
    <row r="107" spans="1:40" s="312" customFormat="1" ht="21">
      <c r="A107" s="1425" t="s">
        <v>1450</v>
      </c>
      <c r="B107" s="224" t="s">
        <v>9</v>
      </c>
      <c r="C107" s="292" t="s">
        <v>113</v>
      </c>
      <c r="D107" s="292" t="s">
        <v>114</v>
      </c>
      <c r="E107" s="309" t="s">
        <v>515</v>
      </c>
      <c r="F107" s="310" t="s">
        <v>116</v>
      </c>
      <c r="G107" s="225" t="s">
        <v>117</v>
      </c>
      <c r="H107" s="225" t="s">
        <v>118</v>
      </c>
      <c r="I107" s="213" t="s">
        <v>508</v>
      </c>
      <c r="J107" s="310" t="s">
        <v>120</v>
      </c>
      <c r="K107" s="310" t="s">
        <v>371</v>
      </c>
      <c r="L107" s="242" t="s">
        <v>121</v>
      </c>
      <c r="M107" s="578" t="s">
        <v>128</v>
      </c>
      <c r="N107" s="579" t="s">
        <v>239</v>
      </c>
      <c r="O107" s="579" t="s">
        <v>408</v>
      </c>
      <c r="P107" s="580" t="s">
        <v>115</v>
      </c>
      <c r="Q107" s="581" t="s">
        <v>509</v>
      </c>
      <c r="R107" s="582" t="s">
        <v>14</v>
      </c>
      <c r="S107" s="530"/>
      <c r="T107" s="505"/>
      <c r="U107" s="505"/>
      <c r="V107" s="240" t="s">
        <v>532</v>
      </c>
      <c r="W107" s="238" t="s">
        <v>81</v>
      </c>
      <c r="X107" s="241" t="s">
        <v>80</v>
      </c>
      <c r="Y107" s="583">
        <f ca="1">SUM($Y$99:$Y$106)</f>
        <v>55.819200000000002</v>
      </c>
      <c r="Z107" s="873">
        <v>0.1</v>
      </c>
      <c r="AA107" s="502"/>
      <c r="AB107" s="502"/>
      <c r="AC107" s="502"/>
      <c r="AD107" s="502"/>
      <c r="AE107" s="711"/>
      <c r="AF107" s="296"/>
      <c r="AG107" s="296"/>
      <c r="AH107" s="296"/>
      <c r="AI107" s="296"/>
      <c r="AJ107" s="296"/>
      <c r="AK107" s="296"/>
      <c r="AL107" s="296"/>
      <c r="AM107" s="296"/>
      <c r="AN107" s="296"/>
    </row>
    <row r="108" spans="1:40" ht="12.5">
      <c r="A108" s="1426"/>
      <c r="B108" s="149">
        <f t="shared" ref="B108:E127" si="31">IF($R108="","",INDEX(B$14:B$106,$R108))</f>
        <v>1</v>
      </c>
      <c r="C108" s="291" t="str">
        <f t="shared" si="31"/>
        <v>C3328</v>
      </c>
      <c r="D108" s="254" t="str">
        <f t="shared" ca="1" si="31"/>
        <v>Khung bao cửa đi quay 55</v>
      </c>
      <c r="E108" s="252" t="str">
        <f t="shared" si="31"/>
        <v>Ngang trên</v>
      </c>
      <c r="F108" s="252">
        <f t="shared" ref="F108:F139" si="32">IF($R108="",0,INDEX(F$14:F$106,$R108))</f>
        <v>1600</v>
      </c>
      <c r="G108" s="248">
        <f t="shared" ref="G108:G139" ca="1" si="33">SUMPRODUCT(($C$14:$C$106=$C108)*($F$14:$F$106=$F108)*($I$14:$I$106=$I108)*($G$14:$G$106))</f>
        <v>1</v>
      </c>
      <c r="H108" s="247">
        <f ca="1">IF($F108*$G108=0,$G108,$F108*$G108)*$D$7</f>
        <v>3200</v>
      </c>
      <c r="I108" s="246" t="str">
        <f t="shared" ref="I108:I139" si="34">IF($C108="","",IF($R108="","",INDEX($I$14:$I$106,$R108)))</f>
        <v>45-45</v>
      </c>
      <c r="J108" s="259">
        <f>IF($C108="","",IFERROR(INDEX(NVLSX!$M$4:$M$6941,MATCH($C108,NVLSX!$E$4:$E$6941,0)),0))</f>
        <v>0</v>
      </c>
      <c r="K108" s="259">
        <f xml:space="preserve"> IFERROR(IF($Q108=NVLSX!$N$4,INDEX(IF($R$1=DanhMuc!$C$179,DanhMuc!$C$180:$C$188,DanhMuc!$D$180:$D$188),MATCH($F$4,DanhMuc!$B$180:$B$188,0)),0),0)</f>
        <v>0</v>
      </c>
      <c r="L108" s="263">
        <f ca="1">IF($C108="",0,$H108*($J108+1))</f>
        <v>3200</v>
      </c>
      <c r="M108" s="910">
        <f t="shared" ref="M108:M139" si="35">IF($R108="",0,INDEX(M$14:M$106,$R108))</f>
        <v>134.30000000000001</v>
      </c>
      <c r="N108" s="560">
        <f t="shared" ref="N108:N139" ca="1" si="36">IF($C108="",0,IF(ROUND($L108*$M108,0)-SUMPRODUCT(($C$14:$C$106=$C108)*($F$14:$F$106=$F108)*($I$14:$I$106=$I108)*($N$14:$N$106))&lt;=1,ROUND($L108*$M108,0),0))</f>
        <v>429760</v>
      </c>
      <c r="O108" s="560">
        <f t="shared" ref="O108:O139" ca="1" si="37">IF($C108="",0,SUMPRODUCT(($C$14:$C$106=$C108)*($F$14:$F$106=$F108)*($I$14:$I$106=$I108)*($O$14:$O$106)))</f>
        <v>429760</v>
      </c>
      <c r="P108" s="584" t="str">
        <f t="shared" ref="P108:P139" si="38">IF($R108="","",INDEX(P$14:P$106,$R108))</f>
        <v>Xám ghi</v>
      </c>
      <c r="Q108" s="548" t="str">
        <f>IF(OR($C108="",$C108=0),"",INDEX(NVLSX!N$6:N$6941,MATCH($C108,NVLSX!$E$6:$E$6941,0)))</f>
        <v>PR</v>
      </c>
      <c r="R108" s="585">
        <f>IF(TYPE(MATCH($T$13,T$14:T$106,0))=16,"",MATCH($T$13,T$14:T$106,0))</f>
        <v>7</v>
      </c>
      <c r="S108" s="522"/>
      <c r="T108" s="586"/>
      <c r="U108" s="587"/>
      <c r="V108" s="503"/>
      <c r="W108" s="506"/>
      <c r="X108" s="507"/>
      <c r="Y108" s="506"/>
      <c r="AA108" s="503"/>
      <c r="AB108" s="503"/>
      <c r="AC108" s="503"/>
      <c r="AD108" s="503"/>
      <c r="AE108" s="711"/>
    </row>
    <row r="109" spans="1:40" ht="12.5">
      <c r="A109" s="1426"/>
      <c r="B109" s="149">
        <f t="shared" ca="1" si="31"/>
        <v>2</v>
      </c>
      <c r="C109" s="291" t="str">
        <f t="shared" ca="1" si="31"/>
        <v>C3328</v>
      </c>
      <c r="D109" s="254" t="str">
        <f t="shared" ca="1" si="31"/>
        <v>Khung bao cửa đi quay 55</v>
      </c>
      <c r="E109" s="252" t="str">
        <f t="shared" ca="1" si="31"/>
        <v>Đứng</v>
      </c>
      <c r="F109" s="252">
        <f t="shared" ca="1" si="32"/>
        <v>2200</v>
      </c>
      <c r="G109" s="248">
        <f t="shared" ca="1" si="33"/>
        <v>2</v>
      </c>
      <c r="H109" s="247">
        <f t="shared" ref="H109:H174" ca="1" si="39">IF($F109*$G109=0,$G109,$F109*$G109)*$D$7</f>
        <v>8800</v>
      </c>
      <c r="I109" s="246" t="str">
        <f t="shared" ca="1" si="34"/>
        <v>45-90-45</v>
      </c>
      <c r="J109" s="259">
        <f ca="1">IF($C109="","",IFERROR(INDEX(NVLSX!$M$4:$M$6941,MATCH($C109,NVLSX!$E$4:$E$6941,0)),0))</f>
        <v>0</v>
      </c>
      <c r="K109" s="259">
        <f ca="1" xml:space="preserve"> IFERROR(IF($Q109=NVLSX!$N$4,INDEX(IF($R$1=DanhMuc!$C$179,DanhMuc!$C$180:$C$188,DanhMuc!$D$180:$D$188),MATCH($F$4,DanhMuc!$B$180:$B$188,0)),0),0)</f>
        <v>0</v>
      </c>
      <c r="L109" s="263">
        <f t="shared" ref="L109:L172" ca="1" si="40">IF($C109="",0,$H109*($J109+1))</f>
        <v>8800</v>
      </c>
      <c r="M109" s="910">
        <f t="shared" ca="1" si="35"/>
        <v>134.30000000000001</v>
      </c>
      <c r="N109" s="560">
        <f t="shared" ca="1" si="36"/>
        <v>1181840</v>
      </c>
      <c r="O109" s="560">
        <f t="shared" ca="1" si="37"/>
        <v>1181840</v>
      </c>
      <c r="P109" s="584" t="str">
        <f t="shared" ca="1" si="38"/>
        <v>Xám ghi</v>
      </c>
      <c r="Q109" s="548" t="str">
        <f ca="1">IF(OR($C109="",$C109=0),"",INDEX(NVLSX!N$6:N$6941,MATCH($C109,NVLSX!$E$6:$E$6941,0)))</f>
        <v>PR</v>
      </c>
      <c r="R109" s="585">
        <f ca="1">IF(TYPE(MATCH($T$13,OFFSET($T$14,R108,0):$T$106,0)+R108)=16,"",MATCH($T$13,OFFSET($T$14,R108,0):$T$106,0)+R108)</f>
        <v>8</v>
      </c>
      <c r="S109" s="502"/>
      <c r="T109" s="586"/>
      <c r="U109" s="587"/>
      <c r="V109" s="503"/>
      <c r="W109" s="506"/>
      <c r="X109" s="507"/>
      <c r="Y109" s="506"/>
      <c r="AA109" s="503"/>
      <c r="AB109" s="503"/>
      <c r="AC109" s="503"/>
      <c r="AD109" s="503"/>
      <c r="AE109" s="711"/>
    </row>
    <row r="110" spans="1:40" ht="12.5">
      <c r="A110" s="1426"/>
      <c r="B110" s="149">
        <f t="shared" ca="1" si="31"/>
        <v>3</v>
      </c>
      <c r="C110" s="291" t="str">
        <f t="shared" ca="1" si="31"/>
        <v>C3303</v>
      </c>
      <c r="D110" s="254" t="str">
        <f t="shared" ca="1" si="31"/>
        <v>Cánh cửa đi mở quay NGOÀI</v>
      </c>
      <c r="E110" s="252" t="str">
        <f t="shared" ca="1" si="31"/>
        <v>Ngang</v>
      </c>
      <c r="F110" s="252">
        <f t="shared" ca="1" si="32"/>
        <v>1538</v>
      </c>
      <c r="G110" s="248">
        <f t="shared" ca="1" si="33"/>
        <v>2</v>
      </c>
      <c r="H110" s="247">
        <f t="shared" ca="1" si="39"/>
        <v>6152</v>
      </c>
      <c r="I110" s="246" t="str">
        <f t="shared" ca="1" si="34"/>
        <v>45-45</v>
      </c>
      <c r="J110" s="259">
        <f ca="1">IF($C110="","",IFERROR(INDEX(NVLSX!$M$4:$M$6941,MATCH($C110,NVLSX!$E$4:$E$6941,0)),0))</f>
        <v>0</v>
      </c>
      <c r="K110" s="259">
        <f ca="1" xml:space="preserve"> IFERROR(IF($Q110=NVLSX!$N$4,INDEX(IF($R$1=DanhMuc!$C$179,DanhMuc!$C$180:$C$188,DanhMuc!$D$180:$D$188),MATCH($F$4,DanhMuc!$B$180:$B$188,0)),0),0)</f>
        <v>0</v>
      </c>
      <c r="L110" s="263">
        <f t="shared" ca="1" si="40"/>
        <v>6152</v>
      </c>
      <c r="M110" s="910">
        <f t="shared" ca="1" si="35"/>
        <v>153.96</v>
      </c>
      <c r="N110" s="560">
        <f t="shared" ca="1" si="36"/>
        <v>947162</v>
      </c>
      <c r="O110" s="560">
        <f t="shared" ca="1" si="37"/>
        <v>947162</v>
      </c>
      <c r="P110" s="584" t="str">
        <f t="shared" ca="1" si="38"/>
        <v>Xám ghi</v>
      </c>
      <c r="Q110" s="548" t="str">
        <f ca="1">IF(OR($C110="",$C110=0),"",INDEX(NVLSX!N$6:N$6941,MATCH($C110,NVLSX!$E$6:$E$6941,0)))</f>
        <v>PR</v>
      </c>
      <c r="R110" s="585">
        <f ca="1">IF(TYPE(MATCH($T$13,OFFSET($T$14,R109,0):$T$106,0)+R109)=16,"",MATCH($T$13,OFFSET($T$14,R109,0):$T$106,0)+R109)</f>
        <v>9</v>
      </c>
      <c r="S110" s="502"/>
      <c r="T110" s="586"/>
      <c r="U110" s="587"/>
      <c r="V110" s="503"/>
      <c r="W110" s="506"/>
      <c r="X110" s="507"/>
      <c r="Y110" s="506"/>
      <c r="AA110" s="503"/>
      <c r="AB110" s="503"/>
      <c r="AC110" s="503"/>
      <c r="AD110" s="503"/>
      <c r="AE110" s="711"/>
    </row>
    <row r="111" spans="1:40" ht="12.5">
      <c r="A111" s="1426"/>
      <c r="B111" s="149">
        <f t="shared" ca="1" si="31"/>
        <v>4</v>
      </c>
      <c r="C111" s="291" t="str">
        <f t="shared" ca="1" si="31"/>
        <v>C3303</v>
      </c>
      <c r="D111" s="254" t="str">
        <f t="shared" ca="1" si="31"/>
        <v>Cánh cửa đi mở quay NGOÀI</v>
      </c>
      <c r="E111" s="252" t="str">
        <f t="shared" ca="1" si="31"/>
        <v>Đứng</v>
      </c>
      <c r="F111" s="252">
        <f t="shared" ca="1" si="32"/>
        <v>2151</v>
      </c>
      <c r="G111" s="248">
        <f t="shared" ca="1" si="33"/>
        <v>2</v>
      </c>
      <c r="H111" s="247">
        <f t="shared" ca="1" si="39"/>
        <v>8604</v>
      </c>
      <c r="I111" s="246" t="str">
        <f t="shared" ca="1" si="34"/>
        <v>45-45</v>
      </c>
      <c r="J111" s="259">
        <f ca="1">IF($C111="","",IFERROR(INDEX(NVLSX!$M$4:$M$6941,MATCH($C111,NVLSX!$E$4:$E$6941,0)),0))</f>
        <v>0</v>
      </c>
      <c r="K111" s="259">
        <f ca="1" xml:space="preserve"> IFERROR(IF($Q111=NVLSX!$N$4,INDEX(IF($R$1=DanhMuc!$C$179,DanhMuc!$C$180:$C$188,DanhMuc!$D$180:$D$188),MATCH($F$4,DanhMuc!$B$180:$B$188,0)),0),0)</f>
        <v>0</v>
      </c>
      <c r="L111" s="263">
        <f t="shared" ca="1" si="40"/>
        <v>8604</v>
      </c>
      <c r="M111" s="910">
        <f t="shared" ca="1" si="35"/>
        <v>153.96</v>
      </c>
      <c r="N111" s="560">
        <f t="shared" ca="1" si="36"/>
        <v>1324672</v>
      </c>
      <c r="O111" s="560">
        <f t="shared" ca="1" si="37"/>
        <v>1324672</v>
      </c>
      <c r="P111" s="584" t="str">
        <f t="shared" ca="1" si="38"/>
        <v>Xám ghi</v>
      </c>
      <c r="Q111" s="548" t="str">
        <f ca="1">IF(OR($C111="",$C111=0),"",INDEX(NVLSX!N$6:N$6941,MATCH($C111,NVLSX!$E$6:$E$6941,0)))</f>
        <v>PR</v>
      </c>
      <c r="R111" s="585">
        <f ca="1">IF(TYPE(MATCH($T$13,OFFSET($T$14,R110,0):$T$106,0)+R110)=16,"",MATCH($T$13,OFFSET($T$14,R110,0):$T$106,0)+R110)</f>
        <v>10</v>
      </c>
      <c r="S111" s="502"/>
      <c r="T111" s="586"/>
      <c r="U111" s="587"/>
      <c r="V111" s="503"/>
      <c r="W111" s="506"/>
      <c r="X111" s="507"/>
      <c r="Y111" s="506"/>
      <c r="AA111" s="503"/>
      <c r="AB111" s="503"/>
      <c r="AC111" s="503"/>
      <c r="AD111" s="503"/>
      <c r="AE111" s="711"/>
    </row>
    <row r="112" spans="1:40" ht="25">
      <c r="A112" s="1426"/>
      <c r="B112" s="149">
        <f t="shared" ca="1" si="31"/>
        <v>5</v>
      </c>
      <c r="C112" s="291" t="str">
        <f t="shared" ca="1" si="31"/>
        <v>C22900</v>
      </c>
      <c r="D112" s="254" t="str">
        <f t="shared" ca="1" si="31"/>
        <v>Nẹp gioăng lọc bui cho cửa đi
 ngang dưới hệ 55 có gờ</v>
      </c>
      <c r="E112" s="252" t="str">
        <f t="shared" ca="1" si="31"/>
        <v>Ngang</v>
      </c>
      <c r="F112" s="252">
        <f t="shared" ca="1" si="32"/>
        <v>1475</v>
      </c>
      <c r="G112" s="248">
        <f t="shared" ca="1" si="33"/>
        <v>1</v>
      </c>
      <c r="H112" s="247">
        <f t="shared" ca="1" si="39"/>
        <v>2950</v>
      </c>
      <c r="I112" s="246" t="str">
        <f t="shared" ca="1" si="34"/>
        <v>90-90</v>
      </c>
      <c r="J112" s="259">
        <f ca="1">IF($C112="","",IFERROR(INDEX(NVLSX!$M$4:$M$6941,MATCH($C112,NVLSX!$E$4:$E$6941,0)),0))</f>
        <v>0</v>
      </c>
      <c r="K112" s="259">
        <f ca="1" xml:space="preserve"> IFERROR(IF($Q112=NVLSX!$N$4,INDEX(IF($R$1=DanhMuc!$C$179,DanhMuc!$C$180:$C$188,DanhMuc!$D$180:$D$188),MATCH($F$4,DanhMuc!$B$180:$B$188,0)),0),0)</f>
        <v>0</v>
      </c>
      <c r="L112" s="263">
        <f t="shared" ca="1" si="40"/>
        <v>2950</v>
      </c>
      <c r="M112" s="910">
        <f t="shared" ca="1" si="35"/>
        <v>50.86</v>
      </c>
      <c r="N112" s="560">
        <f t="shared" ca="1" si="36"/>
        <v>150037</v>
      </c>
      <c r="O112" s="560">
        <f t="shared" ca="1" si="37"/>
        <v>150037</v>
      </c>
      <c r="P112" s="584" t="str">
        <f t="shared" ca="1" si="38"/>
        <v>Xám ghi</v>
      </c>
      <c r="Q112" s="548" t="str">
        <f ca="1">IF(OR($C112="",$C112=0),"",INDEX(NVLSX!N$6:N$6941,MATCH($C112,NVLSX!$E$6:$E$6941,0)))</f>
        <v>PR</v>
      </c>
      <c r="R112" s="585">
        <f ca="1">IF(TYPE(MATCH($T$13,OFFSET($T$14,R111,0):$T$106,0)+R111)=16,"",MATCH($T$13,OFFSET($T$14,R111,0):$T$106,0)+R111)</f>
        <v>13</v>
      </c>
      <c r="S112" s="502"/>
      <c r="T112" s="586"/>
      <c r="U112" s="588"/>
      <c r="V112" s="503"/>
      <c r="W112" s="506"/>
      <c r="X112" s="507"/>
      <c r="Y112" s="506"/>
      <c r="AA112" s="503"/>
      <c r="AB112" s="503"/>
      <c r="AC112" s="503"/>
      <c r="AD112" s="503"/>
      <c r="AE112" s="711"/>
    </row>
    <row r="113" spans="1:40" ht="25">
      <c r="A113" s="1426"/>
      <c r="B113" s="149">
        <f t="shared" ca="1" si="31"/>
        <v>6</v>
      </c>
      <c r="C113" s="291" t="str">
        <f t="shared" ca="1" si="31"/>
        <v>C3295</v>
      </c>
      <c r="D113" s="254" t="str">
        <f t="shared" ca="1" si="31"/>
        <v>Nẹp kính vuông cho kính 5-10mm hệ 55</v>
      </c>
      <c r="E113" s="252" t="str">
        <f t="shared" ca="1" si="31"/>
        <v>Ngang</v>
      </c>
      <c r="F113" s="252">
        <f t="shared" ca="1" si="32"/>
        <v>1402</v>
      </c>
      <c r="G113" s="248">
        <f t="shared" ca="1" si="33"/>
        <v>2</v>
      </c>
      <c r="H113" s="247">
        <f t="shared" ca="1" si="39"/>
        <v>5608</v>
      </c>
      <c r="I113" s="246" t="str">
        <f t="shared" ca="1" si="34"/>
        <v>90-90</v>
      </c>
      <c r="J113" s="259">
        <f ca="1">IF($C113="","",IFERROR(INDEX(NVLSX!$M$4:$M$6941,MATCH($C113,NVLSX!$E$4:$E$6941,0)),0))</f>
        <v>0</v>
      </c>
      <c r="K113" s="259">
        <f ca="1" xml:space="preserve"> IFERROR(IF($Q113=NVLSX!$N$4,INDEX(IF($R$1=DanhMuc!$C$179,DanhMuc!$C$180:$C$188,DanhMuc!$D$180:$D$188),MATCH($F$4,DanhMuc!$B$180:$B$188,0)),0),0)</f>
        <v>0</v>
      </c>
      <c r="L113" s="263">
        <f t="shared" ca="1" si="40"/>
        <v>5608</v>
      </c>
      <c r="M113" s="910">
        <f t="shared" ca="1" si="35"/>
        <v>28.95</v>
      </c>
      <c r="N113" s="560">
        <f t="shared" ca="1" si="36"/>
        <v>162352</v>
      </c>
      <c r="O113" s="560">
        <f t="shared" ca="1" si="37"/>
        <v>162352</v>
      </c>
      <c r="P113" s="584" t="str">
        <f t="shared" ca="1" si="38"/>
        <v>Xám ghi</v>
      </c>
      <c r="Q113" s="548" t="str">
        <f ca="1">IF(OR($C113="",$C113=0),"",INDEX(NVLSX!N$6:N$6941,MATCH($C113,NVLSX!$E$6:$E$6941,0)))</f>
        <v>PR</v>
      </c>
      <c r="R113" s="585">
        <f ca="1">IF(TYPE(MATCH($T$13,OFFSET($T$14,R112,0):$T$106,0)+R112)=16,"",MATCH($T$13,OFFSET($T$14,R112,0):$T$106,0)+R112)</f>
        <v>15</v>
      </c>
      <c r="S113" s="502"/>
      <c r="T113" s="586"/>
      <c r="U113" s="588"/>
      <c r="V113" s="503"/>
      <c r="W113" s="506"/>
      <c r="X113" s="507"/>
      <c r="Y113" s="506"/>
      <c r="AA113" s="503"/>
      <c r="AB113" s="503"/>
      <c r="AC113" s="503"/>
      <c r="AD113" s="503"/>
      <c r="AE113" s="711"/>
    </row>
    <row r="114" spans="1:40" ht="25">
      <c r="A114" s="1426"/>
      <c r="B114" s="149">
        <f t="shared" ca="1" si="31"/>
        <v>7</v>
      </c>
      <c r="C114" s="291" t="str">
        <f t="shared" ca="1" si="31"/>
        <v>C3295</v>
      </c>
      <c r="D114" s="254" t="str">
        <f t="shared" ca="1" si="31"/>
        <v>Nẹp kính vuông cho kính 5-10mm hệ 55</v>
      </c>
      <c r="E114" s="252" t="str">
        <f t="shared" ca="1" si="31"/>
        <v>Đứng</v>
      </c>
      <c r="F114" s="252">
        <f t="shared" ca="1" si="32"/>
        <v>1977</v>
      </c>
      <c r="G114" s="248">
        <f t="shared" ca="1" si="33"/>
        <v>2</v>
      </c>
      <c r="H114" s="247">
        <f t="shared" ca="1" si="39"/>
        <v>7908</v>
      </c>
      <c r="I114" s="246" t="str">
        <f t="shared" ca="1" si="34"/>
        <v>90-90</v>
      </c>
      <c r="J114" s="259">
        <f ca="1">IF($C114="","",IFERROR(INDEX(NVLSX!$M$4:$M$6941,MATCH($C114,NVLSX!$E$4:$E$6941,0)),0))</f>
        <v>0</v>
      </c>
      <c r="K114" s="259">
        <f ca="1" xml:space="preserve"> IFERROR(IF($Q114=NVLSX!$N$4,INDEX(IF($R$1=DanhMuc!$C$179,DanhMuc!$C$180:$C$188,DanhMuc!$D$180:$D$188),MATCH($F$4,DanhMuc!$B$180:$B$188,0)),0),0)</f>
        <v>0</v>
      </c>
      <c r="L114" s="263">
        <f t="shared" ca="1" si="40"/>
        <v>7908</v>
      </c>
      <c r="M114" s="910">
        <f t="shared" ca="1" si="35"/>
        <v>28.95</v>
      </c>
      <c r="N114" s="560">
        <f t="shared" ca="1" si="36"/>
        <v>228937</v>
      </c>
      <c r="O114" s="560">
        <f t="shared" ca="1" si="37"/>
        <v>228937</v>
      </c>
      <c r="P114" s="584" t="str">
        <f t="shared" ca="1" si="38"/>
        <v>Xám ghi</v>
      </c>
      <c r="Q114" s="548" t="str">
        <f ca="1">IF(OR($C114="",$C114=0),"",INDEX(NVLSX!N$6:N$6941,MATCH($C114,NVLSX!$E$6:$E$6941,0)))</f>
        <v>PR</v>
      </c>
      <c r="R114" s="585">
        <f ca="1">IF(TYPE(MATCH($T$13,OFFSET($T$14,R113,0):$T$106,0)+R113)=16,"",MATCH($T$13,OFFSET($T$14,R113,0):$T$106,0)+R113)</f>
        <v>16</v>
      </c>
      <c r="S114" s="502"/>
      <c r="T114" s="586"/>
      <c r="U114" s="588"/>
      <c r="V114" s="503"/>
      <c r="W114" s="506"/>
      <c r="X114" s="507"/>
      <c r="Y114" s="506"/>
      <c r="AA114" s="503"/>
      <c r="AB114" s="503"/>
      <c r="AC114" s="503"/>
      <c r="AD114" s="503"/>
      <c r="AE114" s="711"/>
    </row>
    <row r="115" spans="1:40" ht="25">
      <c r="A115" s="1426"/>
      <c r="B115" s="149">
        <f t="shared" ca="1" si="31"/>
        <v>8</v>
      </c>
      <c r="C115" s="291" t="str">
        <f t="shared" ca="1" si="31"/>
        <v>CZM23A</v>
      </c>
      <c r="D115" s="254" t="str">
        <f t="shared" ca="1" si="31"/>
        <v>Door Handle/Tay nắm cửa đi mở quay</v>
      </c>
      <c r="E115" s="252" t="str">
        <f t="shared" ca="1" si="31"/>
        <v>Bộ</v>
      </c>
      <c r="F115" s="252">
        <f t="shared" ca="1" si="32"/>
        <v>0</v>
      </c>
      <c r="G115" s="248">
        <f t="shared" ca="1" si="33"/>
        <v>1</v>
      </c>
      <c r="H115" s="247">
        <f t="shared" ca="1" si="39"/>
        <v>2</v>
      </c>
      <c r="I115" s="246">
        <f t="shared" ca="1" si="34"/>
        <v>0</v>
      </c>
      <c r="J115" s="259">
        <f ca="1">IF($C115="","",IFERROR(INDEX(NVLSX!$M$4:$M$6941,MATCH($C115,NVLSX!$E$4:$E$6941,0)),0))</f>
        <v>0</v>
      </c>
      <c r="K115" s="259">
        <f ca="1" xml:space="preserve"> IFERROR(IF($Q115=NVLSX!$N$4,INDEX(IF($R$1=DanhMuc!$C$179,DanhMuc!$C$180:$C$188,DanhMuc!$D$180:$D$188),MATCH($F$4,DanhMuc!$B$180:$B$188,0)),0),0)</f>
        <v>0</v>
      </c>
      <c r="L115" s="263">
        <f t="shared" ca="1" si="40"/>
        <v>2</v>
      </c>
      <c r="M115" s="910">
        <f t="shared" ca="1" si="35"/>
        <v>135000</v>
      </c>
      <c r="N115" s="560">
        <f t="shared" ca="1" si="36"/>
        <v>270000</v>
      </c>
      <c r="O115" s="560">
        <f t="shared" ca="1" si="37"/>
        <v>270000</v>
      </c>
      <c r="P115" s="584" t="str">
        <f t="shared" ca="1" si="38"/>
        <v>Xám ghi</v>
      </c>
      <c r="Q115" s="548" t="str">
        <f ca="1">IF(OR($C115="",$C115=0),"",INDEX(NVLSX!N$6:N$6941,MATCH($C115,NVLSX!$E$6:$E$6941,0)))</f>
        <v>PK</v>
      </c>
      <c r="R115" s="585">
        <f ca="1">IF(TYPE(MATCH($T$13,OFFSET($T$14,R114,0):$T$106,0)+R114)=16,"",MATCH($T$13,OFFSET($T$14,R114,0):$T$106,0)+R114)</f>
        <v>30</v>
      </c>
      <c r="S115" s="502"/>
      <c r="T115" s="586"/>
      <c r="U115" s="588"/>
      <c r="V115" s="503"/>
      <c r="W115" s="506"/>
      <c r="X115" s="507"/>
      <c r="Y115" s="506"/>
      <c r="AA115" s="503"/>
      <c r="AB115" s="503"/>
      <c r="AC115" s="503"/>
      <c r="AD115" s="503"/>
      <c r="AE115" s="711"/>
    </row>
    <row r="116" spans="1:40" ht="12.5">
      <c r="A116" s="1426"/>
      <c r="B116" s="149">
        <f t="shared" ca="1" si="31"/>
        <v>9</v>
      </c>
      <c r="C116" s="291" t="str">
        <f t="shared" ca="1" si="31"/>
        <v>47/30A</v>
      </c>
      <c r="D116" s="254" t="str">
        <f t="shared" ca="1" si="31"/>
        <v>Cylinder/ Lõi khóa 2 đầu chìa</v>
      </c>
      <c r="E116" s="252" t="str">
        <f t="shared" ca="1" si="31"/>
        <v>Cái</v>
      </c>
      <c r="F116" s="252">
        <f t="shared" ca="1" si="32"/>
        <v>0</v>
      </c>
      <c r="G116" s="248">
        <f t="shared" ca="1" si="33"/>
        <v>1</v>
      </c>
      <c r="H116" s="247">
        <f t="shared" ca="1" si="39"/>
        <v>2</v>
      </c>
      <c r="I116" s="246">
        <f t="shared" ca="1" si="34"/>
        <v>0</v>
      </c>
      <c r="J116" s="259">
        <f ca="1">IF($C116="","",IFERROR(INDEX(NVLSX!$M$4:$M$6941,MATCH($C116,NVLSX!$E$4:$E$6941,0)),0))</f>
        <v>0</v>
      </c>
      <c r="K116" s="259">
        <f ca="1" xml:space="preserve"> IFERROR(IF($Q116=NVLSX!$N$4,INDEX(IF($R$1=DanhMuc!$C$179,DanhMuc!$C$180:$C$188,DanhMuc!$D$180:$D$188),MATCH($F$4,DanhMuc!$B$180:$B$188,0)),0),0)</f>
        <v>0</v>
      </c>
      <c r="L116" s="263">
        <f t="shared" ca="1" si="40"/>
        <v>2</v>
      </c>
      <c r="M116" s="910">
        <f t="shared" ca="1" si="35"/>
        <v>140000</v>
      </c>
      <c r="N116" s="560">
        <f t="shared" ca="1" si="36"/>
        <v>280000</v>
      </c>
      <c r="O116" s="560">
        <f t="shared" ca="1" si="37"/>
        <v>280000</v>
      </c>
      <c r="P116" s="584" t="str">
        <f t="shared" ca="1" si="38"/>
        <v>T/C</v>
      </c>
      <c r="Q116" s="548" t="str">
        <f ca="1">IF(OR($C116="",$C116=0),"",INDEX(NVLSX!N$6:N$6941,MATCH($C116,NVLSX!$E$6:$E$6941,0)))</f>
        <v>PK</v>
      </c>
      <c r="R116" s="585">
        <f ca="1">IF(TYPE(MATCH($T$13,OFFSET($T$14,R115,0):$T$106,0)+R115)=16,"",MATCH($T$13,OFFSET($T$14,R115,0):$T$106,0)+R115)</f>
        <v>31</v>
      </c>
      <c r="S116" s="502"/>
      <c r="T116" s="586"/>
      <c r="U116" s="588"/>
      <c r="V116" s="503"/>
      <c r="W116" s="506"/>
      <c r="X116" s="507"/>
      <c r="Y116" s="506"/>
      <c r="AA116" s="503"/>
      <c r="AB116" s="503"/>
      <c r="AC116" s="503"/>
      <c r="AD116" s="503"/>
      <c r="AE116" s="711"/>
    </row>
    <row r="117" spans="1:40" ht="12.5">
      <c r="A117" s="1426"/>
      <c r="B117" s="149">
        <f t="shared" ca="1" si="31"/>
        <v>10</v>
      </c>
      <c r="C117" s="291" t="str">
        <f t="shared" ca="1" si="31"/>
        <v>3085E</v>
      </c>
      <c r="D117" s="254" t="str">
        <f t="shared" ca="1" si="31"/>
        <v>Thân khoá đa điểm</v>
      </c>
      <c r="E117" s="252" t="str">
        <f t="shared" ca="1" si="31"/>
        <v>Cái</v>
      </c>
      <c r="F117" s="252">
        <f t="shared" ca="1" si="32"/>
        <v>0</v>
      </c>
      <c r="G117" s="248">
        <f t="shared" ca="1" si="33"/>
        <v>1</v>
      </c>
      <c r="H117" s="247">
        <f t="shared" ca="1" si="39"/>
        <v>2</v>
      </c>
      <c r="I117" s="246">
        <f t="shared" ca="1" si="34"/>
        <v>0</v>
      </c>
      <c r="J117" s="259">
        <f ca="1">IF($C117="","",IFERROR(INDEX(NVLSX!$M$4:$M$6941,MATCH($C117,NVLSX!$E$4:$E$6941,0)),0))</f>
        <v>0</v>
      </c>
      <c r="K117" s="259">
        <f ca="1" xml:space="preserve"> IFERROR(IF($Q117=NVLSX!$N$4,INDEX(IF($R$1=DanhMuc!$C$179,DanhMuc!$C$180:$C$188,DanhMuc!$D$180:$D$188),MATCH($F$4,DanhMuc!$B$180:$B$188,0)),0),0)</f>
        <v>0</v>
      </c>
      <c r="L117" s="263">
        <f t="shared" ca="1" si="40"/>
        <v>2</v>
      </c>
      <c r="M117" s="910">
        <f t="shared" ca="1" si="35"/>
        <v>185000</v>
      </c>
      <c r="N117" s="560">
        <f t="shared" ca="1" si="36"/>
        <v>370000</v>
      </c>
      <c r="O117" s="560">
        <f t="shared" ca="1" si="37"/>
        <v>370000</v>
      </c>
      <c r="P117" s="584" t="str">
        <f t="shared" ca="1" si="38"/>
        <v>T/C</v>
      </c>
      <c r="Q117" s="548" t="str">
        <f ca="1">IF(OR($C117="",$C117=0),"",INDEX(NVLSX!N$6:N$6941,MATCH($C117,NVLSX!$E$6:$E$6941,0)))</f>
        <v>PK</v>
      </c>
      <c r="R117" s="585">
        <f ca="1">IF(TYPE(MATCH($T$13,OFFSET($T$14,R116,0):$T$106,0)+R116)=16,"",MATCH($T$13,OFFSET($T$14,R116,0):$T$106,0)+R116)</f>
        <v>37</v>
      </c>
      <c r="S117" s="502"/>
      <c r="T117" s="586"/>
      <c r="U117" s="588"/>
      <c r="V117" s="503"/>
      <c r="W117" s="506"/>
      <c r="X117" s="507"/>
      <c r="Y117" s="506"/>
      <c r="AA117" s="503"/>
      <c r="AB117" s="503"/>
      <c r="AC117" s="503"/>
      <c r="AD117" s="503"/>
      <c r="AE117" s="711"/>
    </row>
    <row r="118" spans="1:40" ht="12.5">
      <c r="A118" s="1426"/>
      <c r="B118" s="149">
        <f t="shared" ca="1" si="31"/>
        <v>11</v>
      </c>
      <c r="C118" s="291" t="str">
        <f t="shared" ca="1" si="31"/>
        <v>CL09-8</v>
      </c>
      <c r="D118" s="254" t="str">
        <f t="shared" ca="1" si="31"/>
        <v>Đầu khóa biên cao 8mm</v>
      </c>
      <c r="E118" s="252" t="str">
        <f t="shared" ca="1" si="31"/>
        <v>Cái</v>
      </c>
      <c r="F118" s="252">
        <f t="shared" ca="1" si="32"/>
        <v>0</v>
      </c>
      <c r="G118" s="248">
        <f t="shared" ca="1" si="33"/>
        <v>2</v>
      </c>
      <c r="H118" s="247">
        <f t="shared" ca="1" si="39"/>
        <v>4</v>
      </c>
      <c r="I118" s="246">
        <f t="shared" ca="1" si="34"/>
        <v>0</v>
      </c>
      <c r="J118" s="259">
        <f ca="1">IF($C118="","",IFERROR(INDEX(NVLSX!$M$4:$M$6941,MATCH($C118,NVLSX!$E$4:$E$6941,0)),0))</f>
        <v>0</v>
      </c>
      <c r="K118" s="259">
        <f ca="1" xml:space="preserve"> IFERROR(IF($Q118=NVLSX!$N$4,INDEX(IF($R$1=DanhMuc!$C$179,DanhMuc!$C$180:$C$188,DanhMuc!$D$180:$D$188),MATCH($F$4,DanhMuc!$B$180:$B$188,0)),0),0)</f>
        <v>0</v>
      </c>
      <c r="L118" s="263">
        <f t="shared" ca="1" si="40"/>
        <v>4</v>
      </c>
      <c r="M118" s="910">
        <f t="shared" ca="1" si="35"/>
        <v>17000</v>
      </c>
      <c r="N118" s="560">
        <f t="shared" ca="1" si="36"/>
        <v>68000</v>
      </c>
      <c r="O118" s="560">
        <f t="shared" ca="1" si="37"/>
        <v>68000</v>
      </c>
      <c r="P118" s="584" t="str">
        <f t="shared" ca="1" si="38"/>
        <v>T/C</v>
      </c>
      <c r="Q118" s="548" t="str">
        <f ca="1">IF(OR($C118="",$C118=0),"",INDEX(NVLSX!N$6:N$6941,MATCH($C118,NVLSX!$E$6:$E$6941,0)))</f>
        <v>PK</v>
      </c>
      <c r="R118" s="585">
        <f ca="1">IF(TYPE(MATCH($T$13,OFFSET($T$14,R117,0):$T$106,0)+R117)=16,"",MATCH($T$13,OFFSET($T$14,R117,0):$T$106,0)+R117)</f>
        <v>38</v>
      </c>
      <c r="S118" s="502"/>
      <c r="T118" s="586"/>
      <c r="U118" s="588"/>
      <c r="V118" s="503"/>
      <c r="W118" s="506"/>
      <c r="X118" s="507"/>
      <c r="Y118" s="506"/>
      <c r="AA118" s="503"/>
      <c r="AB118" s="503"/>
      <c r="AC118" s="503"/>
      <c r="AD118" s="503"/>
      <c r="AE118" s="711"/>
    </row>
    <row r="119" spans="1:40" ht="12.5">
      <c r="A119" s="1426"/>
      <c r="B119" s="149">
        <f t="shared" ca="1" si="31"/>
        <v>12</v>
      </c>
      <c r="C119" s="291" t="str">
        <f t="shared" ca="1" si="31"/>
        <v>CKG23</v>
      </c>
      <c r="D119" s="254" t="str">
        <f t="shared" ca="1" si="31"/>
        <v>Vấu hãm cửa 1 cánh</v>
      </c>
      <c r="E119" s="252" t="str">
        <f t="shared" ca="1" si="31"/>
        <v>Cái</v>
      </c>
      <c r="F119" s="252">
        <f t="shared" ca="1" si="32"/>
        <v>0</v>
      </c>
      <c r="G119" s="248">
        <f t="shared" ca="1" si="33"/>
        <v>2</v>
      </c>
      <c r="H119" s="247">
        <f t="shared" ca="1" si="39"/>
        <v>4</v>
      </c>
      <c r="I119" s="246">
        <f t="shared" ca="1" si="34"/>
        <v>0</v>
      </c>
      <c r="J119" s="259">
        <f ca="1">IF($C119="","",IFERROR(INDEX(NVLSX!$M$4:$M$6941,MATCH($C119,NVLSX!$E$4:$E$6941,0)),0))</f>
        <v>0</v>
      </c>
      <c r="K119" s="259">
        <f ca="1" xml:space="preserve"> IFERROR(IF($Q119=NVLSX!$N$4,INDEX(IF($R$1=DanhMuc!$C$179,DanhMuc!$C$180:$C$188,DanhMuc!$D$180:$D$188),MATCH($F$4,DanhMuc!$B$180:$B$188,0)),0),0)</f>
        <v>0</v>
      </c>
      <c r="L119" s="263">
        <f t="shared" ca="1" si="40"/>
        <v>4</v>
      </c>
      <c r="M119" s="910">
        <f t="shared" ca="1" si="35"/>
        <v>6500</v>
      </c>
      <c r="N119" s="560">
        <f t="shared" ca="1" si="36"/>
        <v>26000</v>
      </c>
      <c r="O119" s="560">
        <f t="shared" ca="1" si="37"/>
        <v>26000</v>
      </c>
      <c r="P119" s="584" t="str">
        <f t="shared" ca="1" si="38"/>
        <v>T/C</v>
      </c>
      <c r="Q119" s="548" t="str">
        <f ca="1">IF(OR($C119="",$C119=0),"",INDEX(NVLSX!N$6:N$6941,MATCH($C119,NVLSX!$E$6:$E$6941,0)))</f>
        <v>PK</v>
      </c>
      <c r="R119" s="585">
        <f ca="1">IF(TYPE(MATCH($T$13,OFFSET($T$14,R118,0):$T$106,0)+R118)=16,"",MATCH($T$13,OFFSET($T$14,R118,0):$T$106,0)+R118)</f>
        <v>39</v>
      </c>
      <c r="S119" s="502"/>
      <c r="T119" s="586"/>
      <c r="U119" s="588"/>
      <c r="V119" s="503"/>
      <c r="W119" s="506"/>
      <c r="X119" s="507"/>
      <c r="Y119" s="506"/>
      <c r="AA119" s="503"/>
      <c r="AB119" s="503"/>
      <c r="AC119" s="503"/>
      <c r="AD119" s="503"/>
      <c r="AE119" s="711"/>
    </row>
    <row r="120" spans="1:40" ht="25">
      <c r="A120" s="1426"/>
      <c r="B120" s="149">
        <f t="shared" ca="1" si="31"/>
        <v>13</v>
      </c>
      <c r="C120" s="291" t="str">
        <f t="shared" ca="1" si="31"/>
        <v>C459</v>
      </c>
      <c r="D120" s="254" t="str">
        <f t="shared" ca="1" si="31"/>
        <v>Thanh truyền khóa cửa đi, cửa sổ hệ 55</v>
      </c>
      <c r="E120" s="252" t="str">
        <f t="shared" ca="1" si="31"/>
        <v>mm</v>
      </c>
      <c r="F120" s="252">
        <f t="shared" ca="1" si="32"/>
        <v>1972</v>
      </c>
      <c r="G120" s="248">
        <f t="shared" ca="1" si="33"/>
        <v>1</v>
      </c>
      <c r="H120" s="247">
        <f t="shared" ca="1" si="39"/>
        <v>3944</v>
      </c>
      <c r="I120" s="246">
        <f t="shared" ca="1" si="34"/>
        <v>0</v>
      </c>
      <c r="J120" s="259">
        <f ca="1">IF($C120="","",IFERROR(INDEX(NVLSX!$M$4:$M$6941,MATCH($C120,NVLSX!$E$4:$E$6941,0)),0))</f>
        <v>0</v>
      </c>
      <c r="K120" s="259">
        <f ca="1" xml:space="preserve"> IFERROR(IF($Q120=NVLSX!$N$4,INDEX(IF($R$1=DanhMuc!$C$179,DanhMuc!$C$180:$C$188,DanhMuc!$D$180:$D$188),MATCH($F$4,DanhMuc!$B$180:$B$188,0)),0),0)</f>
        <v>0</v>
      </c>
      <c r="L120" s="263">
        <f t="shared" ca="1" si="40"/>
        <v>3944</v>
      </c>
      <c r="M120" s="910">
        <f t="shared" ca="1" si="35"/>
        <v>14.85</v>
      </c>
      <c r="N120" s="560">
        <f t="shared" ca="1" si="36"/>
        <v>58568</v>
      </c>
      <c r="O120" s="560">
        <f t="shared" ca="1" si="37"/>
        <v>58568</v>
      </c>
      <c r="P120" s="584" t="str">
        <f t="shared" ca="1" si="38"/>
        <v>T/C</v>
      </c>
      <c r="Q120" s="548" t="str">
        <f ca="1">IF(OR($C120="",$C120=0),"",INDEX(NVLSX!N$6:N$6941,MATCH($C120,NVLSX!$E$6:$E$6941,0)))</f>
        <v>PR</v>
      </c>
      <c r="R120" s="585">
        <f ca="1">IF(TYPE(MATCH($T$13,OFFSET($T$14,R119,0):$T$106,0)+R119)=16,"",MATCH($T$13,OFFSET($T$14,R119,0):$T$106,0)+R119)</f>
        <v>40</v>
      </c>
      <c r="S120" s="502"/>
      <c r="T120" s="586"/>
      <c r="U120" s="588"/>
      <c r="V120" s="503"/>
      <c r="W120" s="506"/>
      <c r="X120" s="507"/>
      <c r="Y120" s="506"/>
      <c r="AA120" s="503"/>
      <c r="AB120" s="503"/>
      <c r="AC120" s="503"/>
      <c r="AD120" s="503"/>
      <c r="AE120" s="711"/>
    </row>
    <row r="121" spans="1:40" ht="25">
      <c r="A121" s="1426"/>
      <c r="B121" s="149">
        <f t="shared" ca="1" si="31"/>
        <v>14</v>
      </c>
      <c r="C121" s="291" t="str">
        <f t="shared" ca="1" si="31"/>
        <v>CZMK01</v>
      </c>
      <c r="D121" s="254" t="str">
        <f t="shared" ca="1" si="31"/>
        <v>Miệng khoá cửa đi 1 cánh</v>
      </c>
      <c r="E121" s="252" t="str">
        <f t="shared" ca="1" si="31"/>
        <v>Cái</v>
      </c>
      <c r="F121" s="252">
        <f t="shared" ca="1" si="32"/>
        <v>0</v>
      </c>
      <c r="G121" s="248">
        <f t="shared" ca="1" si="33"/>
        <v>1</v>
      </c>
      <c r="H121" s="247">
        <f t="shared" ca="1" si="39"/>
        <v>2</v>
      </c>
      <c r="I121" s="246">
        <f t="shared" ca="1" si="34"/>
        <v>0</v>
      </c>
      <c r="J121" s="259">
        <f ca="1">IF($C121="","",IFERROR(INDEX(NVLSX!$M$4:$M$6941,MATCH($C121,NVLSX!$E$4:$E$6941,0)),0))</f>
        <v>0</v>
      </c>
      <c r="K121" s="259">
        <f ca="1" xml:space="preserve"> IFERROR(IF($Q121=NVLSX!$N$4,INDEX(IF($R$1=DanhMuc!$C$179,DanhMuc!$C$180:$C$188,DanhMuc!$D$180:$D$188),MATCH($F$4,DanhMuc!$B$180:$B$188,0)),0),0)</f>
        <v>0</v>
      </c>
      <c r="L121" s="263">
        <f t="shared" ca="1" si="40"/>
        <v>2</v>
      </c>
      <c r="M121" s="910">
        <f t="shared" ca="1" si="35"/>
        <v>26000</v>
      </c>
      <c r="N121" s="560">
        <f t="shared" ca="1" si="36"/>
        <v>52000</v>
      </c>
      <c r="O121" s="560">
        <f t="shared" ca="1" si="37"/>
        <v>52000</v>
      </c>
      <c r="P121" s="584" t="str">
        <f t="shared" ca="1" si="38"/>
        <v>T/C</v>
      </c>
      <c r="Q121" s="548" t="str">
        <f ca="1">IF(OR($C121="",$C121=0),"",INDEX(NVLSX!N$6:N$6941,MATCH($C121,NVLSX!$E$6:$E$6941,0)))</f>
        <v>PK</v>
      </c>
      <c r="R121" s="585">
        <f ca="1">IF(TYPE(MATCH($T$13,OFFSET($T$14,R120,0):$T$106,0)+R120)=16,"",MATCH($T$13,OFFSET($T$14,R120,0):$T$106,0)+R120)</f>
        <v>41</v>
      </c>
      <c r="S121" s="502"/>
      <c r="T121" s="586"/>
      <c r="U121" s="588"/>
      <c r="V121" s="503"/>
      <c r="W121" s="506"/>
      <c r="X121" s="507"/>
      <c r="Y121" s="506"/>
      <c r="AA121" s="503"/>
      <c r="AB121" s="503"/>
      <c r="AC121" s="503"/>
      <c r="AD121" s="503"/>
      <c r="AE121" s="711"/>
    </row>
    <row r="122" spans="1:40" ht="25">
      <c r="A122" s="1426"/>
      <c r="B122" s="149">
        <f t="shared" ca="1" si="31"/>
        <v>15</v>
      </c>
      <c r="C122" s="291" t="str">
        <f t="shared" ca="1" si="31"/>
        <v>JX112-R</v>
      </c>
      <c r="D122" s="254" t="str">
        <f t="shared" ca="1" si="31"/>
        <v>Hinge/Bản lề khung cánh hệ 55 có chân (3D) - PHẢI</v>
      </c>
      <c r="E122" s="252" t="str">
        <f t="shared" ca="1" si="31"/>
        <v>Cái</v>
      </c>
      <c r="F122" s="252">
        <f t="shared" ca="1" si="32"/>
        <v>0</v>
      </c>
      <c r="G122" s="248">
        <f t="shared" ca="1" si="33"/>
        <v>3</v>
      </c>
      <c r="H122" s="247">
        <f t="shared" ca="1" si="39"/>
        <v>6</v>
      </c>
      <c r="I122" s="246">
        <f t="shared" ca="1" si="34"/>
        <v>0</v>
      </c>
      <c r="J122" s="259">
        <f ca="1">IF($C122="","",IFERROR(INDEX(NVLSX!$M$4:$M$6941,MATCH($C122,NVLSX!$E$4:$E$6941,0)),0))</f>
        <v>0</v>
      </c>
      <c r="K122" s="259">
        <f ca="1" xml:space="preserve"> IFERROR(IF($Q122=NVLSX!$N$4,INDEX(IF($R$1=DanhMuc!$C$179,DanhMuc!$C$180:$C$188,DanhMuc!$D$180:$D$188),MATCH($F$4,DanhMuc!$B$180:$B$188,0)),0),0)</f>
        <v>0</v>
      </c>
      <c r="L122" s="263">
        <f t="shared" ca="1" si="40"/>
        <v>6</v>
      </c>
      <c r="M122" s="910">
        <f t="shared" ca="1" si="35"/>
        <v>155000</v>
      </c>
      <c r="N122" s="560">
        <f t="shared" ca="1" si="36"/>
        <v>930000</v>
      </c>
      <c r="O122" s="560">
        <f t="shared" ca="1" si="37"/>
        <v>930000</v>
      </c>
      <c r="P122" s="584" t="str">
        <f t="shared" ca="1" si="38"/>
        <v>Xám ghi</v>
      </c>
      <c r="Q122" s="548" t="str">
        <f ca="1">IF(OR($C122="",$C122=0),"",INDEX(NVLSX!N$6:N$6941,MATCH($C122,NVLSX!$E$6:$E$6941,0)))</f>
        <v>PK</v>
      </c>
      <c r="R122" s="585">
        <f ca="1">IF(TYPE(MATCH($T$13,OFFSET($T$14,R121,0):$T$106,0)+R121)=16,"",MATCH($T$13,OFFSET($T$14,R121,0):$T$106,0)+R121)</f>
        <v>43</v>
      </c>
      <c r="S122" s="502"/>
      <c r="T122" s="586"/>
      <c r="U122" s="588"/>
      <c r="V122" s="503"/>
      <c r="W122" s="506"/>
      <c r="X122" s="507"/>
      <c r="Y122" s="506"/>
      <c r="AA122" s="503"/>
      <c r="AB122" s="503"/>
      <c r="AC122" s="503"/>
      <c r="AD122" s="503"/>
      <c r="AE122" s="711"/>
    </row>
    <row r="123" spans="1:40" ht="25">
      <c r="A123" s="1426"/>
      <c r="B123" s="149">
        <f t="shared" ca="1" si="31"/>
        <v>16</v>
      </c>
      <c r="C123" s="291" t="str">
        <f t="shared" ca="1" si="31"/>
        <v>OCCXF</v>
      </c>
      <c r="D123" s="254" t="str">
        <f t="shared" ca="1" si="31"/>
        <v>Ốp chân cánh XF (nẹp liền) (trái + phải)</v>
      </c>
      <c r="E123" s="252" t="str">
        <f t="shared" ca="1" si="31"/>
        <v>Cặp</v>
      </c>
      <c r="F123" s="252">
        <f t="shared" ca="1" si="32"/>
        <v>0</v>
      </c>
      <c r="G123" s="248">
        <f t="shared" ca="1" si="33"/>
        <v>1</v>
      </c>
      <c r="H123" s="247">
        <f t="shared" ca="1" si="39"/>
        <v>2</v>
      </c>
      <c r="I123" s="246">
        <f t="shared" ca="1" si="34"/>
        <v>0</v>
      </c>
      <c r="J123" s="259">
        <f ca="1">IF($C123="","",IFERROR(INDEX(NVLSX!$M$4:$M$6941,MATCH($C123,NVLSX!$E$4:$E$6941,0)),0))</f>
        <v>0</v>
      </c>
      <c r="K123" s="259">
        <f ca="1" xml:space="preserve"> IFERROR(IF($Q123=NVLSX!$N$4,INDEX(IF($R$1=DanhMuc!$C$179,DanhMuc!$C$180:$C$188,DanhMuc!$D$180:$D$188),MATCH($F$4,DanhMuc!$B$180:$B$188,0)),0),0)</f>
        <v>0</v>
      </c>
      <c r="L123" s="263">
        <f t="shared" ca="1" si="40"/>
        <v>2</v>
      </c>
      <c r="M123" s="910">
        <f t="shared" ca="1" si="35"/>
        <v>2450</v>
      </c>
      <c r="N123" s="560">
        <f t="shared" ca="1" si="36"/>
        <v>4900</v>
      </c>
      <c r="O123" s="560">
        <f t="shared" ca="1" si="37"/>
        <v>4900</v>
      </c>
      <c r="P123" s="584" t="str">
        <f t="shared" ca="1" si="38"/>
        <v>Xám ghi</v>
      </c>
      <c r="Q123" s="548" t="str">
        <f ca="1">IF(OR($C123="",$C123=0),"",INDEX(NVLSX!N$6:N$6941,MATCH($C123,NVLSX!$E$6:$E$6941,0)))</f>
        <v>PK</v>
      </c>
      <c r="R123" s="585">
        <f ca="1">IF(TYPE(MATCH($T$13,OFFSET($T$14,R122,0):$T$106,0)+R122)=16,"",MATCH($T$13,OFFSET($T$14,R122,0):$T$106,0)+R122)</f>
        <v>48</v>
      </c>
      <c r="S123" s="502"/>
      <c r="T123" s="586"/>
      <c r="U123" s="588"/>
      <c r="V123" s="503"/>
      <c r="W123" s="506"/>
      <c r="X123" s="507"/>
      <c r="Y123" s="506"/>
      <c r="AA123" s="503"/>
      <c r="AB123" s="503"/>
      <c r="AC123" s="503"/>
      <c r="AD123" s="503"/>
      <c r="AE123" s="711"/>
    </row>
    <row r="124" spans="1:40" s="142" customFormat="1" ht="37.5">
      <c r="A124" s="1426"/>
      <c r="B124" s="149">
        <f t="shared" ca="1" si="31"/>
        <v>17</v>
      </c>
      <c r="C124" s="291" t="str">
        <f t="shared" ca="1" si="31"/>
        <v>GONHOMDORI</v>
      </c>
      <c r="D124" s="254" t="str">
        <f t="shared" ca="1" si="31"/>
        <v>Gioăng khung nhôm XINGFA DORI</v>
      </c>
      <c r="E124" s="252" t="str">
        <f t="shared" ca="1" si="31"/>
        <v>mm</v>
      </c>
      <c r="F124" s="252">
        <f t="shared" ca="1" si="32"/>
        <v>0</v>
      </c>
      <c r="G124" s="248">
        <f t="shared" ca="1" si="33"/>
        <v>13600</v>
      </c>
      <c r="H124" s="247">
        <f t="shared" ca="1" si="39"/>
        <v>27200</v>
      </c>
      <c r="I124" s="246">
        <f t="shared" ca="1" si="34"/>
        <v>0</v>
      </c>
      <c r="J124" s="259">
        <f ca="1">IF($C124="","",IFERROR(INDEX(NVLSX!$M$4:$M$6941,MATCH($C124,NVLSX!$E$4:$E$6941,0)),0))</f>
        <v>0.2</v>
      </c>
      <c r="K124" s="259">
        <f ca="1" xml:space="preserve"> IFERROR(IF($Q124=NVLSX!$N$4,INDEX(IF($R$1=DanhMuc!$C$179,DanhMuc!$C$180:$C$188,DanhMuc!$D$180:$D$188),MATCH($F$4,DanhMuc!$B$180:$B$188,0)),0),0)</f>
        <v>0</v>
      </c>
      <c r="L124" s="263">
        <f t="shared" ca="1" si="40"/>
        <v>32640</v>
      </c>
      <c r="M124" s="910">
        <f t="shared" ca="1" si="35"/>
        <v>0.11</v>
      </c>
      <c r="N124" s="560">
        <f t="shared" ca="1" si="36"/>
        <v>3590</v>
      </c>
      <c r="O124" s="560">
        <f t="shared" ca="1" si="37"/>
        <v>3590</v>
      </c>
      <c r="P124" s="584" t="str">
        <f t="shared" ca="1" si="38"/>
        <v>T/C</v>
      </c>
      <c r="Q124" s="548" t="str">
        <f ca="1">IF(OR($C124="",$C124=0),"",INDEX(NVLSX!N$6:N$6941,MATCH($C124,NVLSX!$E$6:$E$6941,0)))</f>
        <v>GI</v>
      </c>
      <c r="R124" s="585">
        <f ca="1">IF(TYPE(MATCH($T$13,OFFSET($T$14,R123,0):$T$106,0)+R123)=16,"",MATCH($T$13,OFFSET($T$14,R123,0):$T$106,0)+R123)</f>
        <v>61</v>
      </c>
      <c r="S124" s="502"/>
      <c r="T124" s="586"/>
      <c r="U124" s="588"/>
      <c r="V124" s="557"/>
      <c r="W124" s="557"/>
      <c r="X124" s="505"/>
      <c r="Y124" s="557"/>
      <c r="AA124" s="557"/>
      <c r="AB124" s="557"/>
      <c r="AC124" s="557"/>
      <c r="AD124" s="557"/>
      <c r="AE124" s="711"/>
      <c r="AF124" s="270"/>
      <c r="AG124" s="270"/>
      <c r="AH124" s="270"/>
      <c r="AI124" s="270"/>
      <c r="AJ124" s="270"/>
      <c r="AK124" s="270"/>
      <c r="AL124" s="270"/>
      <c r="AM124" s="270"/>
      <c r="AN124" s="270"/>
    </row>
    <row r="125" spans="1:40" s="142" customFormat="1" ht="25">
      <c r="A125" s="1426"/>
      <c r="B125" s="149">
        <f t="shared" ca="1" si="31"/>
        <v>18</v>
      </c>
      <c r="C125" s="291" t="str">
        <f t="shared" ca="1" si="31"/>
        <v>Silicone-K</v>
      </c>
      <c r="D125" s="254" t="str">
        <f t="shared" ca="1" si="31"/>
        <v>Silicone KÍNH</v>
      </c>
      <c r="E125" s="252" t="str">
        <f t="shared" ca="1" si="31"/>
        <v>Chai</v>
      </c>
      <c r="F125" s="252">
        <f t="shared" ca="1" si="32"/>
        <v>0</v>
      </c>
      <c r="G125" s="248">
        <f t="shared" ca="1" si="33"/>
        <v>1.0857142857142856</v>
      </c>
      <c r="H125" s="247">
        <f t="shared" ca="1" si="39"/>
        <v>2.1714285714285713</v>
      </c>
      <c r="I125" s="246">
        <f t="shared" ca="1" si="34"/>
        <v>0</v>
      </c>
      <c r="J125" s="259">
        <f ca="1">IF($C125="","",IFERROR(INDEX(NVLSX!$M$4:$M$6941,MATCH($C125,NVLSX!$E$4:$E$6941,0)),0))</f>
        <v>0</v>
      </c>
      <c r="K125" s="259">
        <f ca="1" xml:space="preserve"> IFERROR(IF($Q125=NVLSX!$N$4,INDEX(IF($R$1=DanhMuc!$C$179,DanhMuc!$C$180:$C$188,DanhMuc!$D$180:$D$188),MATCH($F$4,DanhMuc!$B$180:$B$188,0)),0),0)</f>
        <v>0</v>
      </c>
      <c r="L125" s="263">
        <f t="shared" ca="1" si="40"/>
        <v>2.1714285714285713</v>
      </c>
      <c r="M125" s="910">
        <f t="shared" ca="1" si="35"/>
        <v>53000</v>
      </c>
      <c r="N125" s="560">
        <f t="shared" ca="1" si="36"/>
        <v>115086</v>
      </c>
      <c r="O125" s="560">
        <f t="shared" ca="1" si="37"/>
        <v>115086</v>
      </c>
      <c r="P125" s="584" t="str">
        <f t="shared" ca="1" si="38"/>
        <v>Đen</v>
      </c>
      <c r="Q125" s="548" t="str">
        <f ca="1">IF(OR($C125="",$C125=0),"",INDEX(NVLSX!N$6:N$6941,MATCH($C125,NVLSX!$E$6:$E$6941,0)))</f>
        <v>GI</v>
      </c>
      <c r="R125" s="585">
        <f ca="1">IF(TYPE(MATCH($T$13,OFFSET($T$14,R124,0):$T$106,0)+R124)=16,"",MATCH($T$13,OFFSET($T$14,R124,0):$T$106,0)+R124)</f>
        <v>63</v>
      </c>
      <c r="S125" s="502"/>
      <c r="T125" s="586"/>
      <c r="U125" s="588"/>
      <c r="V125" s="557"/>
      <c r="W125" s="557"/>
      <c r="X125" s="505"/>
      <c r="Y125" s="557"/>
      <c r="AA125" s="557"/>
      <c r="AB125" s="557"/>
      <c r="AC125" s="557"/>
      <c r="AD125" s="557"/>
      <c r="AE125" s="711"/>
      <c r="AF125" s="270"/>
      <c r="AG125" s="270"/>
      <c r="AH125" s="270"/>
      <c r="AI125" s="270"/>
      <c r="AJ125" s="270"/>
      <c r="AK125" s="270"/>
      <c r="AL125" s="270"/>
      <c r="AM125" s="270"/>
      <c r="AN125" s="270"/>
    </row>
    <row r="126" spans="1:40" s="142" customFormat="1" ht="12.5">
      <c r="A126" s="1426"/>
      <c r="B126" s="149">
        <f t="shared" ca="1" si="31"/>
        <v>19</v>
      </c>
      <c r="C126" s="291" t="str">
        <f t="shared" ca="1" si="31"/>
        <v>5*7</v>
      </c>
      <c r="D126" s="254" t="str">
        <f t="shared" ca="1" si="31"/>
        <v>Lông nheo 5*7</v>
      </c>
      <c r="E126" s="252" t="str">
        <f t="shared" ca="1" si="31"/>
        <v>mm</v>
      </c>
      <c r="F126" s="252">
        <f t="shared" ca="1" si="32"/>
        <v>0</v>
      </c>
      <c r="G126" s="248">
        <f t="shared" ca="1" si="33"/>
        <v>3200</v>
      </c>
      <c r="H126" s="247">
        <f t="shared" ca="1" si="39"/>
        <v>6400</v>
      </c>
      <c r="I126" s="246">
        <f t="shared" ca="1" si="34"/>
        <v>0</v>
      </c>
      <c r="J126" s="259">
        <f ca="1">IF($C126="","",IFERROR(INDEX(NVLSX!$M$4:$M$6941,MATCH($C126,NVLSX!$E$4:$E$6941,0)),0))</f>
        <v>0.1</v>
      </c>
      <c r="K126" s="259">
        <f ca="1" xml:space="preserve"> IFERROR(IF($Q126=NVLSX!$N$4,INDEX(IF($R$1=DanhMuc!$C$179,DanhMuc!$C$180:$C$188,DanhMuc!$D$180:$D$188),MATCH($F$4,DanhMuc!$B$180:$B$188,0)),0),0)</f>
        <v>0</v>
      </c>
      <c r="L126" s="263">
        <f t="shared" ca="1" si="40"/>
        <v>7040.0000000000009</v>
      </c>
      <c r="M126" s="910">
        <f t="shared" ca="1" si="35"/>
        <v>6</v>
      </c>
      <c r="N126" s="560">
        <f t="shared" ca="1" si="36"/>
        <v>42240</v>
      </c>
      <c r="O126" s="560">
        <f t="shared" ca="1" si="37"/>
        <v>42240</v>
      </c>
      <c r="P126" s="584" t="str">
        <f t="shared" ca="1" si="38"/>
        <v>T/C</v>
      </c>
      <c r="Q126" s="548" t="str">
        <f ca="1">IF(OR($C126="",$C126=0),"",INDEX(NVLSX!N$6:N$6941,MATCH($C126,NVLSX!$E$6:$E$6941,0)))</f>
        <v>GI</v>
      </c>
      <c r="R126" s="585">
        <f ca="1">IF(TYPE(MATCH($T$13,OFFSET($T$14,R125,0):$T$106,0)+R125)=16,"",MATCH($T$13,OFFSET($T$14,R125,0):$T$106,0)+R125)</f>
        <v>64</v>
      </c>
      <c r="S126" s="502"/>
      <c r="T126" s="586"/>
      <c r="U126" s="588"/>
      <c r="V126" s="557"/>
      <c r="W126" s="557"/>
      <c r="X126" s="505"/>
      <c r="Y126" s="557"/>
      <c r="AA126" s="557"/>
      <c r="AB126" s="557"/>
      <c r="AC126" s="557"/>
      <c r="AD126" s="557"/>
      <c r="AE126" s="711"/>
      <c r="AF126" s="270"/>
      <c r="AG126" s="270"/>
      <c r="AH126" s="270"/>
      <c r="AI126" s="270"/>
      <c r="AJ126" s="270"/>
      <c r="AK126" s="270"/>
      <c r="AL126" s="270"/>
      <c r="AM126" s="270"/>
      <c r="AN126" s="270"/>
    </row>
    <row r="127" spans="1:40" s="142" customFormat="1" ht="25">
      <c r="A127" s="1426"/>
      <c r="B127" s="149">
        <f t="shared" ca="1" si="31"/>
        <v>20</v>
      </c>
      <c r="C127" s="291" t="str">
        <f t="shared" ca="1" si="31"/>
        <v>VCF347</v>
      </c>
      <c r="D127" s="254" t="str">
        <f t="shared" ca="1" si="31"/>
        <v>Ke vĩnh cửu KB &amp; cánh đi XF55 31*41</v>
      </c>
      <c r="E127" s="252" t="str">
        <f t="shared" ca="1" si="31"/>
        <v>Cái</v>
      </c>
      <c r="F127" s="252">
        <f t="shared" ca="1" si="32"/>
        <v>0</v>
      </c>
      <c r="G127" s="248">
        <f t="shared" ca="1" si="33"/>
        <v>6</v>
      </c>
      <c r="H127" s="247">
        <f t="shared" ca="1" si="39"/>
        <v>12</v>
      </c>
      <c r="I127" s="246">
        <f t="shared" ca="1" si="34"/>
        <v>0</v>
      </c>
      <c r="J127" s="259">
        <f ca="1">IF($C127="","",IFERROR(INDEX(NVLSX!$M$4:$M$6941,MATCH($C127,NVLSX!$E$4:$E$6941,0)),0))</f>
        <v>0</v>
      </c>
      <c r="K127" s="259">
        <f ca="1" xml:space="preserve"> IFERROR(IF($Q127=NVLSX!$N$4,INDEX(IF($R$1=DanhMuc!$C$179,DanhMuc!$C$180:$C$188,DanhMuc!$D$180:$D$188),MATCH($F$4,DanhMuc!$B$180:$B$188,0)),0),0)</f>
        <v>0</v>
      </c>
      <c r="L127" s="263">
        <f t="shared" ca="1" si="40"/>
        <v>12</v>
      </c>
      <c r="M127" s="910">
        <f t="shared" ca="1" si="35"/>
        <v>9400</v>
      </c>
      <c r="N127" s="560">
        <f t="shared" ca="1" si="36"/>
        <v>112800</v>
      </c>
      <c r="O127" s="560">
        <f t="shared" ca="1" si="37"/>
        <v>112800</v>
      </c>
      <c r="P127" s="584" t="str">
        <f t="shared" ca="1" si="38"/>
        <v>T/C</v>
      </c>
      <c r="Q127" s="548" t="str">
        <f ca="1">IF(OR($C127="",$C127=0),"",INDEX(NVLSX!N$6:N$6941,MATCH($C127,NVLSX!$E$6:$E$6941,0)))</f>
        <v>VTSX</v>
      </c>
      <c r="R127" s="585">
        <f ca="1">IF(TYPE(MATCH($T$13,OFFSET($T$14,R126,0):$T$106,0)+R126)=16,"",MATCH($T$13,OFFSET($T$14,R126,0):$T$106,0)+R126)</f>
        <v>66</v>
      </c>
      <c r="S127" s="502"/>
      <c r="T127" s="586"/>
      <c r="U127" s="588"/>
      <c r="V127" s="557"/>
      <c r="W127" s="557"/>
      <c r="X127" s="505"/>
      <c r="Y127" s="557"/>
      <c r="AA127" s="557"/>
      <c r="AB127" s="557"/>
      <c r="AC127" s="557"/>
      <c r="AD127" s="557"/>
      <c r="AE127" s="711"/>
      <c r="AF127" s="270"/>
      <c r="AG127" s="270"/>
      <c r="AH127" s="270"/>
      <c r="AI127" s="270"/>
      <c r="AJ127" s="270"/>
      <c r="AK127" s="270"/>
      <c r="AL127" s="270"/>
      <c r="AM127" s="270"/>
      <c r="AN127" s="270"/>
    </row>
    <row r="128" spans="1:40" s="142" customFormat="1" ht="25">
      <c r="A128" s="1426"/>
      <c r="B128" s="149">
        <f t="shared" ref="B128:E147" ca="1" si="41">IF($R128="","",INDEX(B$14:B$106,$R128))</f>
        <v>21</v>
      </c>
      <c r="C128" s="291" t="str">
        <f t="shared" ca="1" si="41"/>
        <v>OcKeVC</v>
      </c>
      <c r="D128" s="254" t="str">
        <f t="shared" ca="1" si="41"/>
        <v>Ốc bắt ke vĩnh cửu</v>
      </c>
      <c r="E128" s="252" t="str">
        <f t="shared" ca="1" si="41"/>
        <v>Cái</v>
      </c>
      <c r="F128" s="252">
        <f t="shared" ca="1" si="32"/>
        <v>0</v>
      </c>
      <c r="G128" s="248">
        <f t="shared" ca="1" si="33"/>
        <v>24</v>
      </c>
      <c r="H128" s="247">
        <f t="shared" ca="1" si="39"/>
        <v>48</v>
      </c>
      <c r="I128" s="246">
        <f t="shared" ca="1" si="34"/>
        <v>0</v>
      </c>
      <c r="J128" s="259">
        <f ca="1">IF($C128="","",IFERROR(INDEX(NVLSX!$M$4:$M$6941,MATCH($C128,NVLSX!$E$4:$E$6941,0)),0))</f>
        <v>0</v>
      </c>
      <c r="K128" s="259">
        <f ca="1" xml:space="preserve"> IFERROR(IF($Q128=NVLSX!$N$4,INDEX(IF($R$1=DanhMuc!$C$179,DanhMuc!$C$180:$C$188,DanhMuc!$D$180:$D$188),MATCH($F$4,DanhMuc!$B$180:$B$188,0)),0),0)</f>
        <v>0</v>
      </c>
      <c r="L128" s="263">
        <f t="shared" ca="1" si="40"/>
        <v>48</v>
      </c>
      <c r="M128" s="910">
        <f t="shared" ca="1" si="35"/>
        <v>600</v>
      </c>
      <c r="N128" s="560">
        <f t="shared" ca="1" si="36"/>
        <v>28800</v>
      </c>
      <c r="O128" s="560">
        <f t="shared" ca="1" si="37"/>
        <v>28800</v>
      </c>
      <c r="P128" s="584" t="str">
        <f t="shared" ca="1" si="38"/>
        <v>T/C</v>
      </c>
      <c r="Q128" s="548" t="str">
        <f ca="1">IF(OR($C128="",$C128=0),"",INDEX(NVLSX!N$6:N$6941,MATCH($C128,NVLSX!$E$6:$E$6941,0)))</f>
        <v>VTSX</v>
      </c>
      <c r="R128" s="585">
        <f ca="1">IF(TYPE(MATCH($T$13,OFFSET($T$14,R127,0):$T$106,0)+R127)=16,"",MATCH($T$13,OFFSET($T$14,R127,0):$T$106,0)+R127)</f>
        <v>67</v>
      </c>
      <c r="S128" s="502"/>
      <c r="T128" s="586"/>
      <c r="U128" s="505"/>
      <c r="V128" s="557"/>
      <c r="W128" s="557"/>
      <c r="X128" s="505"/>
      <c r="Y128" s="557"/>
      <c r="AA128" s="557"/>
      <c r="AB128" s="557"/>
      <c r="AC128" s="557"/>
      <c r="AD128" s="557"/>
      <c r="AE128" s="711"/>
      <c r="AF128" s="270"/>
      <c r="AG128" s="270"/>
      <c r="AH128" s="270"/>
      <c r="AI128" s="270"/>
      <c r="AJ128" s="270"/>
      <c r="AK128" s="270"/>
      <c r="AL128" s="270"/>
      <c r="AM128" s="270"/>
      <c r="AN128" s="270"/>
    </row>
    <row r="129" spans="1:40" ht="25">
      <c r="A129" s="1426"/>
      <c r="B129" s="149">
        <f t="shared" ca="1" si="41"/>
        <v>24</v>
      </c>
      <c r="C129" s="291" t="str">
        <f t="shared" ca="1" si="41"/>
        <v>KTCXF55</v>
      </c>
      <c r="D129" s="254" t="str">
        <f t="shared" ca="1" si="41"/>
        <v>Ke tăng cứng XF55</v>
      </c>
      <c r="E129" s="252" t="str">
        <f t="shared" ca="1" si="41"/>
        <v>Cái</v>
      </c>
      <c r="F129" s="252">
        <f t="shared" ca="1" si="32"/>
        <v>0</v>
      </c>
      <c r="G129" s="248">
        <f t="shared" ca="1" si="33"/>
        <v>10</v>
      </c>
      <c r="H129" s="247">
        <f t="shared" ca="1" si="39"/>
        <v>20</v>
      </c>
      <c r="I129" s="246">
        <f t="shared" ca="1" si="34"/>
        <v>0</v>
      </c>
      <c r="J129" s="259">
        <f ca="1">IF($C129="","",IFERROR(INDEX(NVLSX!$M$4:$M$6941,MATCH($C129,NVLSX!$E$4:$E$6941,0)),0))</f>
        <v>0</v>
      </c>
      <c r="K129" s="259">
        <f ca="1" xml:space="preserve"> IFERROR(IF($Q129=NVLSX!$N$4,INDEX(IF($R$1=DanhMuc!$C$179,DanhMuc!$C$180:$C$188,DanhMuc!$D$180:$D$188),MATCH($F$4,DanhMuc!$B$180:$B$188,0)),0),0)</f>
        <v>0</v>
      </c>
      <c r="L129" s="263">
        <f t="shared" ca="1" si="40"/>
        <v>20</v>
      </c>
      <c r="M129" s="910">
        <f t="shared" ca="1" si="35"/>
        <v>408</v>
      </c>
      <c r="N129" s="560">
        <f t="shared" ca="1" si="36"/>
        <v>8160</v>
      </c>
      <c r="O129" s="560">
        <f t="shared" ca="1" si="37"/>
        <v>8160</v>
      </c>
      <c r="P129" s="584" t="str">
        <f t="shared" ca="1" si="38"/>
        <v>T/C</v>
      </c>
      <c r="Q129" s="548" t="str">
        <f ca="1">IF(OR($C129="",$C129=0),"",INDEX(NVLSX!N$6:N$6941,MATCH($C129,NVLSX!$E$6:$E$6941,0)))</f>
        <v>VTSX</v>
      </c>
      <c r="R129" s="585">
        <f ca="1">IF(TYPE(MATCH($T$13,OFFSET($T$14,R128,0):$T$106,0)+R128)=16,"",MATCH($T$13,OFFSET($T$14,R128,0):$T$106,0)+R128)</f>
        <v>72</v>
      </c>
      <c r="S129" s="502"/>
      <c r="T129" s="586"/>
      <c r="U129" s="505"/>
      <c r="V129" s="503"/>
      <c r="W129" s="506"/>
      <c r="X129" s="507"/>
      <c r="Y129" s="506"/>
      <c r="AA129" s="503"/>
      <c r="AB129" s="503"/>
      <c r="AC129" s="503"/>
      <c r="AD129" s="503"/>
      <c r="AE129" s="711"/>
    </row>
    <row r="130" spans="1:40" ht="12.5">
      <c r="A130" s="1426"/>
      <c r="B130" s="149">
        <f t="shared" ca="1" si="41"/>
        <v>25</v>
      </c>
      <c r="C130" s="291" t="str">
        <f t="shared" ca="1" si="41"/>
        <v>NK</v>
      </c>
      <c r="D130" s="254" t="str">
        <f t="shared" ca="1" si="41"/>
        <v>Đệm chèn kính GĐSX</v>
      </c>
      <c r="E130" s="252" t="str">
        <f t="shared" ca="1" si="41"/>
        <v>Gram</v>
      </c>
      <c r="F130" s="252">
        <f t="shared" ca="1" si="32"/>
        <v>0</v>
      </c>
      <c r="G130" s="248">
        <f t="shared" ca="1" si="33"/>
        <v>44</v>
      </c>
      <c r="H130" s="247">
        <f t="shared" ca="1" si="39"/>
        <v>88</v>
      </c>
      <c r="I130" s="246">
        <f t="shared" ca="1" si="34"/>
        <v>0</v>
      </c>
      <c r="J130" s="259">
        <f ca="1">IF($C130="","",IFERROR(INDEX(NVLSX!$M$4:$M$6941,MATCH($C130,NVLSX!$E$4:$E$6941,0)),0))</f>
        <v>0</v>
      </c>
      <c r="K130" s="259">
        <f ca="1" xml:space="preserve"> IFERROR(IF($Q130=NVLSX!$N$4,INDEX(IF($R$1=DanhMuc!$C$179,DanhMuc!$C$180:$C$188,DanhMuc!$D$180:$D$188),MATCH($F$4,DanhMuc!$B$180:$B$188,0)),0),0)</f>
        <v>0</v>
      </c>
      <c r="L130" s="263">
        <f t="shared" ca="1" si="40"/>
        <v>88</v>
      </c>
      <c r="M130" s="910">
        <f t="shared" ca="1" si="35"/>
        <v>40</v>
      </c>
      <c r="N130" s="560">
        <f t="shared" ca="1" si="36"/>
        <v>3520</v>
      </c>
      <c r="O130" s="560">
        <f t="shared" ca="1" si="37"/>
        <v>3520</v>
      </c>
      <c r="P130" s="584" t="str">
        <f t="shared" ca="1" si="38"/>
        <v>T/C</v>
      </c>
      <c r="Q130" s="548" t="str">
        <f ca="1">IF(OR($C130="",$C130=0),"",INDEX(NVLSX!N$6:N$6941,MATCH($C130,NVLSX!$E$6:$E$6941,0)))</f>
        <v>VTSX</v>
      </c>
      <c r="R130" s="585">
        <f ca="1">IF(TYPE(MATCH($T$13,OFFSET($T$14,R129,0):$T$106,0)+R129)=16,"",MATCH($T$13,OFFSET($T$14,R129,0):$T$106,0)+R129)</f>
        <v>75</v>
      </c>
      <c r="S130" s="502"/>
      <c r="T130" s="586"/>
      <c r="U130" s="505"/>
      <c r="V130" s="503"/>
      <c r="W130" s="506"/>
      <c r="X130" s="507"/>
      <c r="Y130" s="506"/>
      <c r="AA130" s="503"/>
      <c r="AB130" s="503"/>
      <c r="AC130" s="503"/>
      <c r="AD130" s="503"/>
      <c r="AE130" s="711"/>
    </row>
    <row r="131" spans="1:40" ht="50">
      <c r="A131" s="1426"/>
      <c r="B131" s="149">
        <f t="shared" ca="1" si="41"/>
        <v>26</v>
      </c>
      <c r="C131" s="291" t="str">
        <f t="shared" ca="1" si="41"/>
        <v>VTKDBDC-M3.9*20-XCR</v>
      </c>
      <c r="D131" s="254" t="str">
        <f t="shared" ca="1" si="41"/>
        <v>Vít tự khoan đầu bằng đuôi cá M3.9*20 xi chống rỉ</v>
      </c>
      <c r="E131" s="252" t="str">
        <f t="shared" ca="1" si="41"/>
        <v>Con</v>
      </c>
      <c r="F131" s="252">
        <f t="shared" ca="1" si="32"/>
        <v>0</v>
      </c>
      <c r="G131" s="248">
        <f t="shared" ca="1" si="33"/>
        <v>6</v>
      </c>
      <c r="H131" s="247">
        <f t="shared" ca="1" si="39"/>
        <v>12</v>
      </c>
      <c r="I131" s="246">
        <f t="shared" ca="1" si="34"/>
        <v>0</v>
      </c>
      <c r="J131" s="259">
        <f ca="1">IF($C131="","",IFERROR(INDEX(NVLSX!$M$4:$M$6941,MATCH($C131,NVLSX!$E$4:$E$6941,0)),0))</f>
        <v>0</v>
      </c>
      <c r="K131" s="259">
        <f ca="1" xml:space="preserve"> IFERROR(IF($Q131=NVLSX!$N$4,INDEX(IF($R$1=DanhMuc!$C$179,DanhMuc!$C$180:$C$188,DanhMuc!$D$180:$D$188),MATCH($F$4,DanhMuc!$B$180:$B$188,0)),0),0)</f>
        <v>0</v>
      </c>
      <c r="L131" s="263">
        <f t="shared" ca="1" si="40"/>
        <v>12</v>
      </c>
      <c r="M131" s="910">
        <f t="shared" ca="1" si="35"/>
        <v>140</v>
      </c>
      <c r="N131" s="560">
        <f t="shared" ca="1" si="36"/>
        <v>1680</v>
      </c>
      <c r="O131" s="560">
        <f t="shared" ca="1" si="37"/>
        <v>1680</v>
      </c>
      <c r="P131" s="584" t="str">
        <f t="shared" ca="1" si="38"/>
        <v>T/C</v>
      </c>
      <c r="Q131" s="548" t="str">
        <f ca="1">IF(OR($C131="",$C131=0),"",INDEX(NVLSX!N$6:N$6941,MATCH($C131,NVLSX!$E$6:$E$6941,0)))</f>
        <v>VTSX</v>
      </c>
      <c r="R131" s="585">
        <f ca="1">IF(TYPE(MATCH($T$13,OFFSET($T$14,R130,0):$T$106,0)+R130)=16,"",MATCH($T$13,OFFSET($T$14,R130,0):$T$106,0)+R130)</f>
        <v>76</v>
      </c>
      <c r="S131" s="502"/>
      <c r="T131" s="586"/>
      <c r="U131" s="505"/>
      <c r="V131" s="503"/>
      <c r="W131" s="506"/>
      <c r="X131" s="507"/>
      <c r="Y131" s="506"/>
      <c r="AA131" s="503"/>
      <c r="AB131" s="503"/>
      <c r="AC131" s="503"/>
      <c r="AD131" s="503"/>
      <c r="AE131" s="711"/>
    </row>
    <row r="132" spans="1:40" ht="50">
      <c r="A132" s="1426"/>
      <c r="B132" s="149">
        <f t="shared" ca="1" si="41"/>
        <v>27</v>
      </c>
      <c r="C132" s="291" t="str">
        <f t="shared" ca="1" si="41"/>
        <v>VTKDBDC-M3.9*30-XCR</v>
      </c>
      <c r="D132" s="254" t="str">
        <f t="shared" ca="1" si="41"/>
        <v>Vít tự khoan đầu bằng đuôi cá M3.9*30 xi chống rỉ</v>
      </c>
      <c r="E132" s="252" t="str">
        <f t="shared" ca="1" si="41"/>
        <v>Con</v>
      </c>
      <c r="F132" s="252">
        <f t="shared" ca="1" si="32"/>
        <v>0</v>
      </c>
      <c r="G132" s="248">
        <f t="shared" ca="1" si="33"/>
        <v>6</v>
      </c>
      <c r="H132" s="247">
        <f t="shared" ca="1" si="39"/>
        <v>12</v>
      </c>
      <c r="I132" s="246">
        <f t="shared" ca="1" si="34"/>
        <v>0</v>
      </c>
      <c r="J132" s="259">
        <f ca="1">IF($C132="","",IFERROR(INDEX(NVLSX!$M$4:$M$6941,MATCH($C132,NVLSX!$E$4:$E$6941,0)),0))</f>
        <v>0</v>
      </c>
      <c r="K132" s="259">
        <f ca="1" xml:space="preserve"> IFERROR(IF($Q132=NVLSX!$N$4,INDEX(IF($R$1=DanhMuc!$C$179,DanhMuc!$C$180:$C$188,DanhMuc!$D$180:$D$188),MATCH($F$4,DanhMuc!$B$180:$B$188,0)),0),0)</f>
        <v>0</v>
      </c>
      <c r="L132" s="263">
        <f t="shared" ca="1" si="40"/>
        <v>12</v>
      </c>
      <c r="M132" s="910">
        <f t="shared" ca="1" si="35"/>
        <v>322</v>
      </c>
      <c r="N132" s="560">
        <f t="shared" ca="1" si="36"/>
        <v>3864</v>
      </c>
      <c r="O132" s="560">
        <f t="shared" ca="1" si="37"/>
        <v>3864</v>
      </c>
      <c r="P132" s="584" t="str">
        <f t="shared" ca="1" si="38"/>
        <v>T/C</v>
      </c>
      <c r="Q132" s="548" t="str">
        <f ca="1">IF(OR($C132="",$C132=0),"",INDEX(NVLSX!N$6:N$6941,MATCH($C132,NVLSX!$E$6:$E$6941,0)))</f>
        <v>VTSX</v>
      </c>
      <c r="R132" s="585">
        <f ca="1">IF(TYPE(MATCH($T$13,OFFSET($T$14,R131,0):$T$106,0)+R131)=16,"",MATCH($T$13,OFFSET($T$14,R131,0):$T$106,0)+R131)</f>
        <v>77</v>
      </c>
      <c r="S132" s="502"/>
      <c r="T132" s="586"/>
      <c r="U132" s="505"/>
      <c r="V132" s="503"/>
      <c r="W132" s="506"/>
      <c r="X132" s="507"/>
      <c r="Y132" s="506"/>
      <c r="AA132" s="503"/>
      <c r="AB132" s="503"/>
      <c r="AC132" s="503"/>
      <c r="AD132" s="503"/>
      <c r="AE132" s="711"/>
    </row>
    <row r="133" spans="1:40" ht="25">
      <c r="A133" s="1426"/>
      <c r="B133" s="149">
        <f t="shared" ca="1" si="41"/>
        <v>28</v>
      </c>
      <c r="C133" s="291" t="str">
        <f t="shared" ca="1" si="41"/>
        <v>VLD</v>
      </c>
      <c r="D133" s="254" t="str">
        <f t="shared" ca="1" si="41"/>
        <v>Vít lắp đặt (+ tắc kê + nắp đậy) M10*100</v>
      </c>
      <c r="E133" s="252" t="str">
        <f t="shared" ca="1" si="41"/>
        <v>Con</v>
      </c>
      <c r="F133" s="252">
        <f t="shared" ca="1" si="32"/>
        <v>0</v>
      </c>
      <c r="G133" s="248">
        <f t="shared" ca="1" si="33"/>
        <v>11</v>
      </c>
      <c r="H133" s="247">
        <f t="shared" ca="1" si="39"/>
        <v>22</v>
      </c>
      <c r="I133" s="246">
        <f t="shared" ca="1" si="34"/>
        <v>0</v>
      </c>
      <c r="J133" s="259">
        <f ca="1">IF($C133="","",IFERROR(INDEX(NVLSX!$M$4:$M$6941,MATCH($C133,NVLSX!$E$4:$E$6941,0)),0))</f>
        <v>0</v>
      </c>
      <c r="K133" s="259">
        <f ca="1" xml:space="preserve"> IFERROR(IF($Q133=NVLSX!$N$4,INDEX(IF($R$1=DanhMuc!$C$179,DanhMuc!$C$180:$C$188,DanhMuc!$D$180:$D$188),MATCH($F$4,DanhMuc!$B$180:$B$188,0)),0),0)</f>
        <v>0</v>
      </c>
      <c r="L133" s="263">
        <f t="shared" ca="1" si="40"/>
        <v>22</v>
      </c>
      <c r="M133" s="910">
        <f t="shared" ca="1" si="35"/>
        <v>970</v>
      </c>
      <c r="N133" s="560">
        <f t="shared" ca="1" si="36"/>
        <v>21340</v>
      </c>
      <c r="O133" s="560">
        <f t="shared" ca="1" si="37"/>
        <v>21340</v>
      </c>
      <c r="P133" s="584" t="str">
        <f t="shared" ca="1" si="38"/>
        <v>T/C</v>
      </c>
      <c r="Q133" s="548" t="str">
        <f ca="1">IF(OR($C133="",$C133=0),"",INDEX(NVLSX!N$6:N$6941,MATCH($C133,NVLSX!$E$6:$E$6941,0)))</f>
        <v>VTLD</v>
      </c>
      <c r="R133" s="585">
        <f ca="1">IF(TYPE(MATCH($T$13,OFFSET($T$14,R132,0):$T$106,0)+R132)=16,"",MATCH($T$13,OFFSET($T$14,R132,0):$T$106,0)+R132)</f>
        <v>78</v>
      </c>
      <c r="S133" s="502"/>
      <c r="T133" s="586"/>
      <c r="U133" s="505"/>
      <c r="V133" s="503"/>
      <c r="W133" s="506"/>
      <c r="X133" s="507"/>
      <c r="Y133" s="506"/>
      <c r="AA133" s="503"/>
      <c r="AB133" s="503"/>
      <c r="AC133" s="503"/>
      <c r="AD133" s="503"/>
      <c r="AE133" s="711"/>
    </row>
    <row r="134" spans="1:40" ht="12.5">
      <c r="A134" s="1426"/>
      <c r="B134" s="149">
        <f t="shared" ca="1" si="41"/>
        <v>29</v>
      </c>
      <c r="C134" s="291" t="str">
        <f t="shared" ca="1" si="41"/>
        <v>FOAM</v>
      </c>
      <c r="D134" s="254" t="str">
        <f t="shared" ca="1" si="41"/>
        <v>Keo foam</v>
      </c>
      <c r="E134" s="252" t="str">
        <f t="shared" ca="1" si="41"/>
        <v>Chai</v>
      </c>
      <c r="F134" s="252">
        <f t="shared" ca="1" si="32"/>
        <v>0</v>
      </c>
      <c r="G134" s="248">
        <f t="shared" ca="1" si="33"/>
        <v>7.5999999999999998E-2</v>
      </c>
      <c r="H134" s="247">
        <f t="shared" ca="1" si="39"/>
        <v>0.152</v>
      </c>
      <c r="I134" s="246">
        <f t="shared" ca="1" si="34"/>
        <v>0</v>
      </c>
      <c r="J134" s="259">
        <f ca="1">IF($C134="","",IFERROR(INDEX(NVLSX!$M$4:$M$6941,MATCH($C134,NVLSX!$E$4:$E$6941,0)),0))</f>
        <v>0</v>
      </c>
      <c r="K134" s="259">
        <f ca="1" xml:space="preserve"> IFERROR(IF($Q134=NVLSX!$N$4,INDEX(IF($R$1=DanhMuc!$C$179,DanhMuc!$C$180:$C$188,DanhMuc!$D$180:$D$188),MATCH($F$4,DanhMuc!$B$180:$B$188,0)),0),0)</f>
        <v>0</v>
      </c>
      <c r="L134" s="263">
        <f t="shared" ca="1" si="40"/>
        <v>0.152</v>
      </c>
      <c r="M134" s="910">
        <f t="shared" ca="1" si="35"/>
        <v>60000</v>
      </c>
      <c r="N134" s="560">
        <f t="shared" ca="1" si="36"/>
        <v>9120</v>
      </c>
      <c r="O134" s="560">
        <f t="shared" ca="1" si="37"/>
        <v>9120</v>
      </c>
      <c r="P134" s="584" t="str">
        <f t="shared" ca="1" si="38"/>
        <v>T/C</v>
      </c>
      <c r="Q134" s="548" t="str">
        <f ca="1">IF(OR($C134="",$C134=0),"",INDEX(NVLSX!N$6:N$6941,MATCH($C134,NVLSX!$E$6:$E$6941,0)))</f>
        <v>VTLD</v>
      </c>
      <c r="R134" s="585">
        <f ca="1">IF(TYPE(MATCH($T$13,OFFSET($T$14,R133,0):$T$106,0)+R133)=16,"",MATCH($T$13,OFFSET($T$14,R133,0):$T$106,0)+R133)</f>
        <v>79</v>
      </c>
      <c r="S134" s="502"/>
      <c r="T134" s="586"/>
      <c r="U134" s="505"/>
      <c r="V134" s="503"/>
      <c r="W134" s="506"/>
      <c r="X134" s="507"/>
      <c r="Y134" s="506"/>
      <c r="AA134" s="503"/>
      <c r="AB134" s="503"/>
      <c r="AC134" s="503"/>
      <c r="AD134" s="503"/>
      <c r="AE134" s="711"/>
    </row>
    <row r="135" spans="1:40" ht="25">
      <c r="A135" s="1426"/>
      <c r="B135" s="149">
        <f t="shared" ca="1" si="41"/>
        <v>30</v>
      </c>
      <c r="C135" s="291" t="str">
        <f t="shared" ca="1" si="41"/>
        <v>Silicone-LD</v>
      </c>
      <c r="D135" s="254" t="str">
        <f t="shared" ca="1" si="41"/>
        <v>Silicone lắp đặt</v>
      </c>
      <c r="E135" s="252" t="str">
        <f t="shared" ca="1" si="41"/>
        <v>Chai</v>
      </c>
      <c r="F135" s="252">
        <f t="shared" ca="1" si="32"/>
        <v>0</v>
      </c>
      <c r="G135" s="248">
        <f t="shared" ca="1" si="33"/>
        <v>1.0857142857142856</v>
      </c>
      <c r="H135" s="247">
        <f t="shared" ca="1" si="39"/>
        <v>2.1714285714285713</v>
      </c>
      <c r="I135" s="246">
        <f t="shared" ca="1" si="34"/>
        <v>0</v>
      </c>
      <c r="J135" s="259">
        <f ca="1">IF($C135="","",IFERROR(INDEX(NVLSX!$M$4:$M$6941,MATCH($C135,NVLSX!$E$4:$E$6941,0)),0))</f>
        <v>0</v>
      </c>
      <c r="K135" s="259">
        <f ca="1" xml:space="preserve"> IFERROR(IF($Q135=NVLSX!$N$4,INDEX(IF($R$1=DanhMuc!$C$179,DanhMuc!$C$180:$C$188,DanhMuc!$D$180:$D$188),MATCH($F$4,DanhMuc!$B$180:$B$188,0)),0),0)</f>
        <v>0</v>
      </c>
      <c r="L135" s="263">
        <f t="shared" ca="1" si="40"/>
        <v>2.1714285714285713</v>
      </c>
      <c r="M135" s="910">
        <f t="shared" ca="1" si="35"/>
        <v>53000</v>
      </c>
      <c r="N135" s="560">
        <f t="shared" ca="1" si="36"/>
        <v>115086</v>
      </c>
      <c r="O135" s="560">
        <f t="shared" ca="1" si="37"/>
        <v>115086</v>
      </c>
      <c r="P135" s="584" t="str">
        <f t="shared" ca="1" si="38"/>
        <v>T/C</v>
      </c>
      <c r="Q135" s="548" t="str">
        <f ca="1">IF(OR($C135="",$C135=0),"",INDEX(NVLSX!N$6:N$6941,MATCH($C135,NVLSX!$E$6:$E$6941,0)))</f>
        <v>VTLD</v>
      </c>
      <c r="R135" s="585">
        <f ca="1">IF(TYPE(MATCH($T$13,OFFSET($T$14,R134,0):$T$106,0)+R134)=16,"",MATCH($T$13,OFFSET($T$14,R134,0):$T$106,0)+R134)</f>
        <v>80</v>
      </c>
      <c r="S135" s="502"/>
      <c r="T135" s="586"/>
      <c r="U135" s="505"/>
      <c r="V135" s="503"/>
      <c r="W135" s="506"/>
      <c r="X135" s="507"/>
      <c r="Y135" s="506"/>
      <c r="AA135" s="503"/>
      <c r="AB135" s="503"/>
      <c r="AC135" s="503"/>
      <c r="AD135" s="503"/>
      <c r="AE135" s="711"/>
    </row>
    <row r="136" spans="1:40" ht="12.5">
      <c r="A136" s="1426"/>
      <c r="B136" s="149">
        <f t="shared" ca="1" si="41"/>
        <v>31</v>
      </c>
      <c r="C136" s="291" t="str">
        <f t="shared" ca="1" si="41"/>
        <v>NKLD</v>
      </c>
      <c r="D136" s="254" t="str">
        <f t="shared" ca="1" si="41"/>
        <v>Đệm chèn kính GĐLĐ</v>
      </c>
      <c r="E136" s="252" t="str">
        <f t="shared" ca="1" si="41"/>
        <v>Gram</v>
      </c>
      <c r="F136" s="252">
        <f t="shared" ca="1" si="32"/>
        <v>0</v>
      </c>
      <c r="G136" s="248">
        <f t="shared" ca="1" si="33"/>
        <v>59.714285714285715</v>
      </c>
      <c r="H136" s="247">
        <f t="shared" ca="1" si="39"/>
        <v>119.42857142857143</v>
      </c>
      <c r="I136" s="246">
        <f t="shared" ca="1" si="34"/>
        <v>0</v>
      </c>
      <c r="J136" s="259">
        <f ca="1">IF($C136="","",IFERROR(INDEX(NVLSX!$M$4:$M$6941,MATCH($C136,NVLSX!$E$4:$E$6941,0)),0))</f>
        <v>0</v>
      </c>
      <c r="K136" s="259">
        <f ca="1" xml:space="preserve"> IFERROR(IF($Q136=NVLSX!$N$4,INDEX(IF($R$1=DanhMuc!$C$179,DanhMuc!$C$180:$C$188,DanhMuc!$D$180:$D$188),MATCH($F$4,DanhMuc!$B$180:$B$188,0)),0),0)</f>
        <v>0</v>
      </c>
      <c r="L136" s="263">
        <f t="shared" ca="1" si="40"/>
        <v>119.42857142857143</v>
      </c>
      <c r="M136" s="910">
        <f t="shared" ca="1" si="35"/>
        <v>40</v>
      </c>
      <c r="N136" s="560">
        <f t="shared" ca="1" si="36"/>
        <v>4777</v>
      </c>
      <c r="O136" s="560">
        <f t="shared" ca="1" si="37"/>
        <v>4777</v>
      </c>
      <c r="P136" s="584" t="str">
        <f t="shared" ca="1" si="38"/>
        <v>T/C</v>
      </c>
      <c r="Q136" s="548" t="str">
        <f ca="1">IF(OR($C136="",$C136=0),"",INDEX(NVLSX!N$6:N$6941,MATCH($C136,NVLSX!$E$6:$E$6941,0)))</f>
        <v>VTLD</v>
      </c>
      <c r="R136" s="585">
        <f ca="1">IF(TYPE(MATCH($T$13,OFFSET($T$14,R135,0):$T$106,0)+R135)=16,"",MATCH($T$13,OFFSET($T$14,R135,0):$T$106,0)+R135)</f>
        <v>81</v>
      </c>
      <c r="S136" s="502"/>
      <c r="T136" s="586"/>
      <c r="U136" s="505"/>
      <c r="V136" s="503"/>
      <c r="W136" s="506"/>
      <c r="X136" s="507"/>
      <c r="Y136" s="506"/>
      <c r="AA136" s="503"/>
      <c r="AB136" s="503"/>
      <c r="AC136" s="503"/>
      <c r="AD136" s="503"/>
      <c r="AE136" s="711"/>
    </row>
    <row r="137" spans="1:40" ht="12.5">
      <c r="A137" s="1426"/>
      <c r="B137" s="149">
        <f t="shared" ca="1" si="41"/>
        <v>32</v>
      </c>
      <c r="C137" s="291" t="str">
        <f t="shared" ca="1" si="41"/>
        <v>VT</v>
      </c>
      <c r="D137" s="254" t="str">
        <f t="shared" ca="1" si="41"/>
        <v>Vải trắng</v>
      </c>
      <c r="E137" s="252" t="str">
        <f t="shared" ca="1" si="41"/>
        <v>Gram</v>
      </c>
      <c r="F137" s="252">
        <f t="shared" ca="1" si="32"/>
        <v>0</v>
      </c>
      <c r="G137" s="248">
        <f t="shared" ca="1" si="33"/>
        <v>35.199999999999996</v>
      </c>
      <c r="H137" s="247">
        <f t="shared" ca="1" si="39"/>
        <v>70.399999999999991</v>
      </c>
      <c r="I137" s="246">
        <f t="shared" ca="1" si="34"/>
        <v>0</v>
      </c>
      <c r="J137" s="259">
        <f ca="1">IF($C137="","",IFERROR(INDEX(NVLSX!$M$4:$M$6941,MATCH($C137,NVLSX!$E$4:$E$6941,0)),0))</f>
        <v>0</v>
      </c>
      <c r="K137" s="259">
        <f ca="1" xml:space="preserve"> IFERROR(IF($Q137=NVLSX!$N$4,INDEX(IF($R$1=DanhMuc!$C$179,DanhMuc!$C$180:$C$188,DanhMuc!$D$180:$D$188),MATCH($F$4,DanhMuc!$B$180:$B$188,0)),0),0)</f>
        <v>0</v>
      </c>
      <c r="L137" s="263">
        <f t="shared" ca="1" si="40"/>
        <v>70.399999999999991</v>
      </c>
      <c r="M137" s="910">
        <f t="shared" ca="1" si="35"/>
        <v>20</v>
      </c>
      <c r="N137" s="560">
        <f t="shared" ca="1" si="36"/>
        <v>1408</v>
      </c>
      <c r="O137" s="560">
        <f t="shared" ca="1" si="37"/>
        <v>1408</v>
      </c>
      <c r="P137" s="584" t="str">
        <f t="shared" ca="1" si="38"/>
        <v>T/C</v>
      </c>
      <c r="Q137" s="548" t="str">
        <f ca="1">IF(OR($C137="",$C137=0),"",INDEX(NVLSX!N$6:N$6941,MATCH($C137,NVLSX!$E$6:$E$6941,0)))</f>
        <v>VTLD</v>
      </c>
      <c r="R137" s="585">
        <f ca="1">IF(TYPE(MATCH($T$13,OFFSET($T$14,R136,0):$T$106,0)+R136)=16,"",MATCH($T$13,OFFSET($T$14,R136,0):$T$106,0)+R136)</f>
        <v>82</v>
      </c>
      <c r="S137" s="502"/>
      <c r="T137" s="586"/>
      <c r="U137" s="505"/>
      <c r="V137" s="503"/>
      <c r="W137" s="506"/>
      <c r="X137" s="507"/>
      <c r="Y137" s="506"/>
      <c r="AA137" s="503"/>
      <c r="AB137" s="503"/>
      <c r="AC137" s="503"/>
      <c r="AD137" s="503"/>
      <c r="AE137" s="711"/>
    </row>
    <row r="138" spans="1:40" ht="12.5">
      <c r="A138" s="1426"/>
      <c r="B138" s="149">
        <f t="shared" ca="1" si="41"/>
        <v>33</v>
      </c>
      <c r="C138" s="291" t="str">
        <f t="shared" ca="1" si="41"/>
        <v>NLK</v>
      </c>
      <c r="D138" s="254" t="str">
        <f t="shared" ca="1" si="41"/>
        <v>Nước lau kính</v>
      </c>
      <c r="E138" s="252" t="str">
        <f t="shared" ca="1" si="41"/>
        <v>Chai</v>
      </c>
      <c r="F138" s="252">
        <f t="shared" ca="1" si="32"/>
        <v>0</v>
      </c>
      <c r="G138" s="248">
        <f t="shared" ca="1" si="33"/>
        <v>4.4000000000000004E-2</v>
      </c>
      <c r="H138" s="247">
        <f t="shared" ca="1" si="39"/>
        <v>8.8000000000000009E-2</v>
      </c>
      <c r="I138" s="246">
        <f t="shared" ca="1" si="34"/>
        <v>0</v>
      </c>
      <c r="J138" s="259">
        <f ca="1">IF($C138="","",IFERROR(INDEX(NVLSX!$M$4:$M$6941,MATCH($C138,NVLSX!$E$4:$E$6941,0)),0))</f>
        <v>0</v>
      </c>
      <c r="K138" s="259">
        <f ca="1" xml:space="preserve"> IFERROR(IF($Q138=NVLSX!$N$4,INDEX(IF($R$1=DanhMuc!$C$179,DanhMuc!$C$180:$C$188,DanhMuc!$D$180:$D$188),MATCH($F$4,DanhMuc!$B$180:$B$188,0)),0),0)</f>
        <v>0</v>
      </c>
      <c r="L138" s="263">
        <f t="shared" ca="1" si="40"/>
        <v>8.8000000000000009E-2</v>
      </c>
      <c r="M138" s="910">
        <f t="shared" ca="1" si="35"/>
        <v>28000</v>
      </c>
      <c r="N138" s="560">
        <f t="shared" ca="1" si="36"/>
        <v>2464</v>
      </c>
      <c r="O138" s="560">
        <f t="shared" ca="1" si="37"/>
        <v>2464</v>
      </c>
      <c r="P138" s="584" t="str">
        <f t="shared" ca="1" si="38"/>
        <v>T/C</v>
      </c>
      <c r="Q138" s="548" t="str">
        <f ca="1">IF(OR($C138="",$C138=0),"",INDEX(NVLSX!N$6:N$6941,MATCH($C138,NVLSX!$E$6:$E$6941,0)))</f>
        <v>VTLD</v>
      </c>
      <c r="R138" s="585">
        <f ca="1">IF(TYPE(MATCH($T$13,OFFSET($T$14,R137,0):$T$106,0)+R137)=16,"",MATCH($T$13,OFFSET($T$14,R137,0):$T$106,0)+R137)</f>
        <v>83</v>
      </c>
      <c r="S138" s="502"/>
      <c r="T138" s="586"/>
      <c r="U138" s="505"/>
      <c r="V138" s="503"/>
      <c r="W138" s="506"/>
      <c r="X138" s="507"/>
      <c r="Y138" s="506"/>
      <c r="AA138" s="503"/>
      <c r="AB138" s="503"/>
      <c r="AC138" s="503"/>
      <c r="AD138" s="503"/>
      <c r="AE138" s="711"/>
    </row>
    <row r="139" spans="1:40" ht="12.5">
      <c r="A139" s="1426"/>
      <c r="B139" s="149">
        <f t="shared" ca="1" si="41"/>
        <v>34</v>
      </c>
      <c r="C139" s="291" t="str">
        <f t="shared" ca="1" si="41"/>
        <v>LD</v>
      </c>
      <c r="D139" s="254" t="str">
        <f t="shared" ca="1" si="41"/>
        <v>Lưỡi dao rọc giấy</v>
      </c>
      <c r="E139" s="252" t="str">
        <f t="shared" ca="1" si="41"/>
        <v>Cái</v>
      </c>
      <c r="F139" s="252">
        <f t="shared" ca="1" si="32"/>
        <v>0</v>
      </c>
      <c r="G139" s="248">
        <f t="shared" ca="1" si="33"/>
        <v>1</v>
      </c>
      <c r="H139" s="247">
        <f t="shared" ca="1" si="39"/>
        <v>2</v>
      </c>
      <c r="I139" s="246">
        <f t="shared" ca="1" si="34"/>
        <v>0</v>
      </c>
      <c r="J139" s="259">
        <f ca="1">IF($C139="","",IFERROR(INDEX(NVLSX!$M$4:$M$6941,MATCH($C139,NVLSX!$E$4:$E$6941,0)),0))</f>
        <v>0</v>
      </c>
      <c r="K139" s="259">
        <f ca="1" xml:space="preserve"> IFERROR(IF($Q139=NVLSX!$N$4,INDEX(IF($R$1=DanhMuc!$C$179,DanhMuc!$C$180:$C$188,DanhMuc!$D$180:$D$188),MATCH($F$4,DanhMuc!$B$180:$B$188,0)),0),0)</f>
        <v>0</v>
      </c>
      <c r="L139" s="263">
        <f t="shared" ca="1" si="40"/>
        <v>2</v>
      </c>
      <c r="M139" s="913">
        <f t="shared" ca="1" si="35"/>
        <v>1000</v>
      </c>
      <c r="N139" s="560">
        <f t="shared" ca="1" si="36"/>
        <v>2000</v>
      </c>
      <c r="O139" s="560">
        <f t="shared" ca="1" si="37"/>
        <v>2000</v>
      </c>
      <c r="P139" s="584" t="str">
        <f t="shared" ca="1" si="38"/>
        <v>T/C</v>
      </c>
      <c r="Q139" s="548" t="str">
        <f ca="1">IF(OR($C139="",$C139=0),"",INDEX(NVLSX!N$6:N$6941,MATCH($C139,NVLSX!$E$6:$E$6941,0)))</f>
        <v>VTLD</v>
      </c>
      <c r="R139" s="585">
        <f ca="1">IF(TYPE(MATCH($T$13,OFFSET($T$14,R138,0):$T$106,0)+R138)=16,"",MATCH($T$13,OFFSET($T$14,R138,0):$T$106,0)+R138)</f>
        <v>84</v>
      </c>
      <c r="S139" s="502"/>
      <c r="T139" s="586"/>
      <c r="U139" s="505"/>
      <c r="V139" s="503"/>
      <c r="W139" s="506"/>
      <c r="X139" s="507"/>
      <c r="Y139" s="506"/>
      <c r="AA139" s="503"/>
      <c r="AB139" s="503"/>
      <c r="AC139" s="503"/>
      <c r="AD139" s="503"/>
      <c r="AE139" s="711"/>
    </row>
    <row r="140" spans="1:40" ht="12.5">
      <c r="A140" s="1426"/>
      <c r="B140" s="149">
        <f t="shared" ca="1" si="41"/>
        <v>35</v>
      </c>
      <c r="C140" s="291" t="str">
        <f t="shared" ca="1" si="41"/>
        <v>KT08</v>
      </c>
      <c r="D140" s="254" t="str">
        <f t="shared" ca="1" si="41"/>
        <v>Kính đơn 8 mm trong</v>
      </c>
      <c r="E140" s="252" t="str">
        <f t="shared" ca="1" si="41"/>
        <v>m2</v>
      </c>
      <c r="F140" s="252">
        <f t="shared" ref="F140:F174" ca="1" si="42">IF($R140="",0,INDEX(F$14:F$106,$R140))</f>
        <v>2.7909600000000001</v>
      </c>
      <c r="G140" s="248">
        <f t="shared" ref="G140:G174" ca="1" si="43">SUMPRODUCT(($C$14:$C$106=$C140)*($F$14:$F$106=$F140)*($I$14:$I$106=$I140)*($G$14:$G$106))</f>
        <v>1</v>
      </c>
      <c r="H140" s="247">
        <f t="shared" ca="1" si="39"/>
        <v>5.5819200000000002</v>
      </c>
      <c r="I140" s="246" t="str">
        <f t="shared" ref="I140:I174" ca="1" si="44">IF($C140="","",IF($R140="","",INDEX($I$14:$I$106,$R140)))</f>
        <v>1392 * 2005</v>
      </c>
      <c r="J140" s="259">
        <f ca="1">IF($C140="","",IFERROR(INDEX(NVLSX!$M$4:$M$6941,MATCH($C140,NVLSX!$E$4:$E$6941,0)),0))</f>
        <v>0</v>
      </c>
      <c r="K140" s="259">
        <f ca="1" xml:space="preserve"> IFERROR(IF($Q140=NVLSX!$N$4,INDEX(IF($R$1=DanhMuc!$C$179,DanhMuc!$C$180:$C$188,DanhMuc!$D$180:$D$188),MATCH($F$4,DanhMuc!$B$180:$B$188,0)),0),0)</f>
        <v>0</v>
      </c>
      <c r="L140" s="263">
        <f t="shared" ca="1" si="40"/>
        <v>5.5819200000000002</v>
      </c>
      <c r="M140" s="913">
        <f t="shared" ref="M140:M174" ca="1" si="45">IF($R140="",0,INDEX(M$14:M$106,$R140))</f>
        <v>220000</v>
      </c>
      <c r="N140" s="560">
        <f t="shared" ref="N140:N174" ca="1" si="46">IF($C140="",0,IF(ROUND($L140*$M140,0)-SUMPRODUCT(($C$14:$C$106=$C140)*($F$14:$F$106=$F140)*($I$14:$I$106=$I140)*($N$14:$N$106))&lt;=1,ROUND($L140*$M140,0),0))</f>
        <v>1228022</v>
      </c>
      <c r="O140" s="560">
        <f t="shared" ref="O140:O174" ca="1" si="47">IF($C140="",0,SUMPRODUCT(($C$14:$C$106=$C140)*($F$14:$F$106=$F140)*($I$14:$I$106=$I140)*($O$14:$O$106)))</f>
        <v>1228022</v>
      </c>
      <c r="P140" s="584">
        <f t="shared" ref="P140:P174" ca="1" si="48">IF($R140="","",INDEX(P$14:P$106,$R140))</f>
        <v>0</v>
      </c>
      <c r="Q140" s="548" t="str">
        <f ca="1">IF(OR($C140="",$C140=0),"",INDEX(NVLSX!N$6:N$6941,MATCH($C140,NVLSX!$E$6:$E$6941,0)))</f>
        <v>KI</v>
      </c>
      <c r="R140" s="585">
        <f ca="1">IF(TYPE(MATCH($T$13,OFFSET($T$14,R139,0):$T$106,0)+R139)=16,"",MATCH($T$13,OFFSET($T$14,R139,0):$T$106,0)+R139)</f>
        <v>86</v>
      </c>
      <c r="S140" s="502"/>
      <c r="T140" s="586"/>
      <c r="U140" s="505"/>
      <c r="V140" s="503"/>
      <c r="W140" s="506"/>
      <c r="X140" s="507"/>
      <c r="Y140" s="506"/>
      <c r="AA140" s="503"/>
      <c r="AB140" s="503"/>
      <c r="AC140" s="503"/>
      <c r="AD140" s="503"/>
      <c r="AE140" s="711"/>
    </row>
    <row r="141" spans="1:40" s="142" customFormat="1" ht="12.5">
      <c r="A141" s="1426"/>
      <c r="B141" s="149" t="str">
        <f t="shared" ca="1" si="41"/>
        <v/>
      </c>
      <c r="C141" s="291" t="str">
        <f t="shared" ca="1" si="41"/>
        <v/>
      </c>
      <c r="D141" s="254" t="str">
        <f t="shared" ca="1" si="41"/>
        <v/>
      </c>
      <c r="E141" s="252" t="str">
        <f t="shared" ca="1" si="41"/>
        <v/>
      </c>
      <c r="F141" s="252">
        <f t="shared" ca="1" si="42"/>
        <v>0</v>
      </c>
      <c r="G141" s="248">
        <f t="shared" ca="1" si="43"/>
        <v>0</v>
      </c>
      <c r="H141" s="247">
        <f t="shared" ca="1" si="39"/>
        <v>0</v>
      </c>
      <c r="I141" s="246" t="str">
        <f t="shared" ca="1" si="44"/>
        <v/>
      </c>
      <c r="J141" s="259" t="str">
        <f ca="1">IF($C141="","",IFERROR(INDEX(NVLSX!$M$4:$M$6941,MATCH($C141,NVLSX!$E$4:$E$6941,0)),0))</f>
        <v/>
      </c>
      <c r="K141" s="259">
        <f ca="1" xml:space="preserve"> IFERROR(IF($Q141=NVLSX!$N$4,INDEX(IF($R$1=DanhMuc!$C$179,DanhMuc!$C$180:$C$188,DanhMuc!$D$180:$D$188),MATCH($F$4,DanhMuc!$B$180:$B$188,0)),0),0)</f>
        <v>0</v>
      </c>
      <c r="L141" s="263">
        <f t="shared" ca="1" si="40"/>
        <v>0</v>
      </c>
      <c r="M141" s="913">
        <f t="shared" ca="1" si="45"/>
        <v>0</v>
      </c>
      <c r="N141" s="560">
        <f t="shared" ca="1" si="46"/>
        <v>0</v>
      </c>
      <c r="O141" s="560">
        <f t="shared" ca="1" si="47"/>
        <v>0</v>
      </c>
      <c r="P141" s="584" t="str">
        <f t="shared" ca="1" si="48"/>
        <v/>
      </c>
      <c r="Q141" s="548" t="str">
        <f ca="1">IF(OR($C141="",$C141=0),"",INDEX(NVLSX!N$6:N$6941,MATCH($C141,NVLSX!$E$6:$E$6941,0)))</f>
        <v/>
      </c>
      <c r="R141" s="585" t="str">
        <f ca="1">IF(TYPE(MATCH($T$13,OFFSET($T$14,R140,0):$T$106,0)+R140)=16,"",MATCH($T$13,OFFSET($T$14,R140,0):$T$106,0)+R140)</f>
        <v/>
      </c>
      <c r="S141" s="502"/>
      <c r="T141" s="586"/>
      <c r="U141" s="505"/>
      <c r="V141" s="557"/>
      <c r="W141" s="557"/>
      <c r="X141" s="505"/>
      <c r="Y141" s="557"/>
      <c r="AA141" s="557"/>
      <c r="AB141" s="557"/>
      <c r="AC141" s="557"/>
      <c r="AD141" s="557"/>
      <c r="AE141" s="711"/>
      <c r="AF141" s="270"/>
      <c r="AG141" s="270"/>
      <c r="AH141" s="270"/>
      <c r="AI141" s="270"/>
      <c r="AJ141" s="270"/>
      <c r="AK141" s="270"/>
      <c r="AL141" s="270"/>
      <c r="AM141" s="270"/>
      <c r="AN141" s="270"/>
    </row>
    <row r="142" spans="1:40" s="142" customFormat="1" ht="12.5">
      <c r="A142" s="1426"/>
      <c r="B142" s="149" t="str">
        <f t="shared" ca="1" si="41"/>
        <v/>
      </c>
      <c r="C142" s="291" t="str">
        <f t="shared" ca="1" si="41"/>
        <v/>
      </c>
      <c r="D142" s="254" t="str">
        <f t="shared" ca="1" si="41"/>
        <v/>
      </c>
      <c r="E142" s="252" t="str">
        <f t="shared" ca="1" si="41"/>
        <v/>
      </c>
      <c r="F142" s="252">
        <f t="shared" ca="1" si="42"/>
        <v>0</v>
      </c>
      <c r="G142" s="248">
        <f t="shared" ca="1" si="43"/>
        <v>0</v>
      </c>
      <c r="H142" s="247">
        <f t="shared" ca="1" si="39"/>
        <v>0</v>
      </c>
      <c r="I142" s="246" t="str">
        <f t="shared" ca="1" si="44"/>
        <v/>
      </c>
      <c r="J142" s="259" t="str">
        <f ca="1">IF($C142="","",IFERROR(INDEX(NVLSX!$M$4:$M$6941,MATCH($C142,NVLSX!$E$4:$E$6941,0)),0))</f>
        <v/>
      </c>
      <c r="K142" s="259">
        <f ca="1" xml:space="preserve"> IFERROR(IF($Q142=NVLSX!$N$4,INDEX(IF($R$1=DanhMuc!$C$179,DanhMuc!$C$180:$C$188,DanhMuc!$D$180:$D$188),MATCH($F$4,DanhMuc!$B$180:$B$188,0)),0),0)</f>
        <v>0</v>
      </c>
      <c r="L142" s="263">
        <f t="shared" ca="1" si="40"/>
        <v>0</v>
      </c>
      <c r="M142" s="913">
        <f t="shared" ca="1" si="45"/>
        <v>0</v>
      </c>
      <c r="N142" s="560">
        <f t="shared" ca="1" si="46"/>
        <v>0</v>
      </c>
      <c r="O142" s="560">
        <f t="shared" ca="1" si="47"/>
        <v>0</v>
      </c>
      <c r="P142" s="584" t="str">
        <f t="shared" ca="1" si="48"/>
        <v/>
      </c>
      <c r="Q142" s="548" t="str">
        <f ca="1">IF(OR($C142="",$C142=0),"",INDEX(NVLSX!N$6:N$6941,MATCH($C142,NVLSX!$E$6:$E$6941,0)))</f>
        <v/>
      </c>
      <c r="R142" s="585" t="str">
        <f ca="1">IF(TYPE(MATCH($T$13,OFFSET($T$14,R141,0):$T$106,0)+R141)=16,"",MATCH($T$13,OFFSET($T$14,R141,0):$T$106,0)+R141)</f>
        <v/>
      </c>
      <c r="S142" s="502"/>
      <c r="T142" s="586"/>
      <c r="U142" s="505"/>
      <c r="V142" s="557"/>
      <c r="W142" s="557"/>
      <c r="X142" s="505"/>
      <c r="Y142" s="557"/>
      <c r="AA142" s="557"/>
      <c r="AB142" s="557"/>
      <c r="AC142" s="557"/>
      <c r="AD142" s="557"/>
      <c r="AE142" s="711"/>
      <c r="AF142" s="270"/>
      <c r="AG142" s="270"/>
      <c r="AH142" s="270"/>
      <c r="AI142" s="270"/>
      <c r="AJ142" s="270"/>
      <c r="AK142" s="270"/>
      <c r="AL142" s="270"/>
      <c r="AM142" s="270"/>
      <c r="AN142" s="270"/>
    </row>
    <row r="143" spans="1:40" s="142" customFormat="1" ht="12.5">
      <c r="A143" s="1426"/>
      <c r="B143" s="149" t="str">
        <f t="shared" ca="1" si="41"/>
        <v/>
      </c>
      <c r="C143" s="291" t="str">
        <f t="shared" ca="1" si="41"/>
        <v/>
      </c>
      <c r="D143" s="254" t="str">
        <f t="shared" ca="1" si="41"/>
        <v/>
      </c>
      <c r="E143" s="252" t="str">
        <f t="shared" ca="1" si="41"/>
        <v/>
      </c>
      <c r="F143" s="252">
        <f t="shared" ca="1" si="42"/>
        <v>0</v>
      </c>
      <c r="G143" s="248">
        <f t="shared" ca="1" si="43"/>
        <v>0</v>
      </c>
      <c r="H143" s="247">
        <f t="shared" ca="1" si="39"/>
        <v>0</v>
      </c>
      <c r="I143" s="246" t="str">
        <f t="shared" ca="1" si="44"/>
        <v/>
      </c>
      <c r="J143" s="259" t="str">
        <f ca="1">IF($C143="","",IFERROR(INDEX(NVLSX!$M$4:$M$6941,MATCH($C143,NVLSX!$E$4:$E$6941,0)),0))</f>
        <v/>
      </c>
      <c r="K143" s="259">
        <f ca="1" xml:space="preserve"> IFERROR(IF($Q143=NVLSX!$N$4,INDEX(IF($R$1=DanhMuc!$C$179,DanhMuc!$C$180:$C$188,DanhMuc!$D$180:$D$188),MATCH($F$4,DanhMuc!$B$180:$B$188,0)),0),0)</f>
        <v>0</v>
      </c>
      <c r="L143" s="263">
        <f t="shared" ca="1" si="40"/>
        <v>0</v>
      </c>
      <c r="M143" s="913">
        <f t="shared" ca="1" si="45"/>
        <v>0</v>
      </c>
      <c r="N143" s="560">
        <f t="shared" ca="1" si="46"/>
        <v>0</v>
      </c>
      <c r="O143" s="560">
        <f t="shared" ca="1" si="47"/>
        <v>0</v>
      </c>
      <c r="P143" s="584" t="str">
        <f t="shared" ca="1" si="48"/>
        <v/>
      </c>
      <c r="Q143" s="548" t="str">
        <f ca="1">IF(OR($C143="",$C143=0),"",INDEX(NVLSX!N$6:N$6941,MATCH($C143,NVLSX!$E$6:$E$6941,0)))</f>
        <v/>
      </c>
      <c r="R143" s="585" t="str">
        <f ca="1">IF(TYPE(MATCH($T$13,OFFSET($T$14,R142,0):$T$106,0)+R142)=16,"",MATCH($T$13,OFFSET($T$14,R142,0):$T$106,0)+R142)</f>
        <v/>
      </c>
      <c r="S143" s="502"/>
      <c r="T143" s="586"/>
      <c r="U143" s="505"/>
      <c r="V143" s="557"/>
      <c r="W143" s="557"/>
      <c r="X143" s="505"/>
      <c r="Y143" s="557"/>
      <c r="AA143" s="557"/>
      <c r="AB143" s="557"/>
      <c r="AC143" s="557"/>
      <c r="AD143" s="557"/>
      <c r="AE143" s="711"/>
      <c r="AF143" s="270"/>
      <c r="AG143" s="270"/>
      <c r="AH143" s="270"/>
      <c r="AI143" s="270"/>
      <c r="AJ143" s="270"/>
      <c r="AK143" s="270"/>
      <c r="AL143" s="270"/>
      <c r="AM143" s="270"/>
      <c r="AN143" s="270"/>
    </row>
    <row r="144" spans="1:40" s="142" customFormat="1" ht="12.5">
      <c r="A144" s="1426"/>
      <c r="B144" s="149" t="str">
        <f t="shared" ca="1" si="41"/>
        <v/>
      </c>
      <c r="C144" s="291" t="str">
        <f t="shared" ca="1" si="41"/>
        <v/>
      </c>
      <c r="D144" s="254" t="str">
        <f t="shared" ca="1" si="41"/>
        <v/>
      </c>
      <c r="E144" s="252" t="str">
        <f t="shared" ca="1" si="41"/>
        <v/>
      </c>
      <c r="F144" s="252">
        <f t="shared" ca="1" si="42"/>
        <v>0</v>
      </c>
      <c r="G144" s="248">
        <f t="shared" ca="1" si="43"/>
        <v>0</v>
      </c>
      <c r="H144" s="247">
        <f t="shared" ca="1" si="39"/>
        <v>0</v>
      </c>
      <c r="I144" s="246" t="str">
        <f t="shared" ca="1" si="44"/>
        <v/>
      </c>
      <c r="J144" s="259" t="str">
        <f ca="1">IF($C144="","",IFERROR(INDEX(NVLSX!$M$4:$M$6941,MATCH($C144,NVLSX!$E$4:$E$6941,0)),0))</f>
        <v/>
      </c>
      <c r="K144" s="259">
        <f ca="1" xml:space="preserve"> IFERROR(IF($Q144=NVLSX!$N$4,INDEX(IF($R$1=DanhMuc!$C$179,DanhMuc!$C$180:$C$188,DanhMuc!$D$180:$D$188),MATCH($F$4,DanhMuc!$B$180:$B$188,0)),0),0)</f>
        <v>0</v>
      </c>
      <c r="L144" s="263">
        <f t="shared" ca="1" si="40"/>
        <v>0</v>
      </c>
      <c r="M144" s="913">
        <f t="shared" ca="1" si="45"/>
        <v>0</v>
      </c>
      <c r="N144" s="560">
        <f t="shared" ca="1" si="46"/>
        <v>0</v>
      </c>
      <c r="O144" s="560">
        <f t="shared" ca="1" si="47"/>
        <v>0</v>
      </c>
      <c r="P144" s="584" t="str">
        <f t="shared" ca="1" si="48"/>
        <v/>
      </c>
      <c r="Q144" s="548" t="str">
        <f ca="1">IF(OR($C144="",$C144=0),"",INDEX(NVLSX!N$6:N$6941,MATCH($C144,NVLSX!$E$6:$E$6941,0)))</f>
        <v/>
      </c>
      <c r="R144" s="585" t="str">
        <f ca="1">IF(TYPE(MATCH($T$13,OFFSET($T$14,R143,0):$T$106,0)+R143)=16,"",MATCH($T$13,OFFSET($T$14,R143,0):$T$106,0)+R143)</f>
        <v/>
      </c>
      <c r="S144" s="502"/>
      <c r="T144" s="586"/>
      <c r="U144" s="505"/>
      <c r="V144" s="557"/>
      <c r="W144" s="557"/>
      <c r="X144" s="505"/>
      <c r="Y144" s="557"/>
      <c r="AA144" s="557"/>
      <c r="AB144" s="557"/>
      <c r="AC144" s="557"/>
      <c r="AD144" s="557"/>
      <c r="AE144" s="711"/>
      <c r="AF144" s="270"/>
      <c r="AG144" s="270"/>
      <c r="AH144" s="270"/>
      <c r="AI144" s="270"/>
      <c r="AJ144" s="270"/>
      <c r="AK144" s="270"/>
      <c r="AL144" s="270"/>
      <c r="AM144" s="270"/>
      <c r="AN144" s="270"/>
    </row>
    <row r="145" spans="1:40" s="142" customFormat="1" ht="12.5">
      <c r="A145" s="1426"/>
      <c r="B145" s="149" t="str">
        <f t="shared" ca="1" si="41"/>
        <v/>
      </c>
      <c r="C145" s="291" t="str">
        <f t="shared" ca="1" si="41"/>
        <v/>
      </c>
      <c r="D145" s="254" t="str">
        <f t="shared" ca="1" si="41"/>
        <v/>
      </c>
      <c r="E145" s="252" t="str">
        <f t="shared" ca="1" si="41"/>
        <v/>
      </c>
      <c r="F145" s="252">
        <f t="shared" ca="1" si="42"/>
        <v>0</v>
      </c>
      <c r="G145" s="248">
        <f t="shared" ca="1" si="43"/>
        <v>0</v>
      </c>
      <c r="H145" s="247">
        <f t="shared" ca="1" si="39"/>
        <v>0</v>
      </c>
      <c r="I145" s="246" t="str">
        <f t="shared" ca="1" si="44"/>
        <v/>
      </c>
      <c r="J145" s="259" t="str">
        <f ca="1">IF($C145="","",IFERROR(INDEX(NVLSX!$M$4:$M$6941,MATCH($C145,NVLSX!$E$4:$E$6941,0)),0))</f>
        <v/>
      </c>
      <c r="K145" s="259">
        <f ca="1" xml:space="preserve"> IFERROR(IF($Q145=NVLSX!$N$4,INDEX(IF($R$1=DanhMuc!$C$179,DanhMuc!$C$180:$C$188,DanhMuc!$D$180:$D$188),MATCH($F$4,DanhMuc!$B$180:$B$188,0)),0),0)</f>
        <v>0</v>
      </c>
      <c r="L145" s="263">
        <f t="shared" ca="1" si="40"/>
        <v>0</v>
      </c>
      <c r="M145" s="913">
        <f t="shared" ca="1" si="45"/>
        <v>0</v>
      </c>
      <c r="N145" s="560">
        <f t="shared" ca="1" si="46"/>
        <v>0</v>
      </c>
      <c r="O145" s="560">
        <f t="shared" ca="1" si="47"/>
        <v>0</v>
      </c>
      <c r="P145" s="584" t="str">
        <f t="shared" ca="1" si="48"/>
        <v/>
      </c>
      <c r="Q145" s="548" t="str">
        <f ca="1">IF(OR($C145="",$C145=0),"",INDEX(NVLSX!N$6:N$6941,MATCH($C145,NVLSX!$E$6:$E$6941,0)))</f>
        <v/>
      </c>
      <c r="R145" s="585" t="str">
        <f ca="1">IF(TYPE(MATCH($T$13,OFFSET($T$14,R144,0):$T$106,0)+R144)=16,"",MATCH($T$13,OFFSET($T$14,R144,0):$T$106,0)+R144)</f>
        <v/>
      </c>
      <c r="S145" s="502"/>
      <c r="T145" s="586"/>
      <c r="U145" s="505"/>
      <c r="V145" s="557"/>
      <c r="W145" s="557"/>
      <c r="X145" s="505"/>
      <c r="Y145" s="557"/>
      <c r="AA145" s="557"/>
      <c r="AB145" s="557"/>
      <c r="AC145" s="557"/>
      <c r="AD145" s="557"/>
      <c r="AE145" s="711"/>
      <c r="AF145" s="270"/>
      <c r="AG145" s="270"/>
      <c r="AH145" s="270"/>
      <c r="AI145" s="270"/>
      <c r="AJ145" s="270"/>
      <c r="AK145" s="270"/>
      <c r="AL145" s="270"/>
      <c r="AM145" s="270"/>
      <c r="AN145" s="270"/>
    </row>
    <row r="146" spans="1:40" s="142" customFormat="1" ht="12.5">
      <c r="A146" s="1426"/>
      <c r="B146" s="149" t="str">
        <f t="shared" ca="1" si="41"/>
        <v/>
      </c>
      <c r="C146" s="291" t="str">
        <f t="shared" ca="1" si="41"/>
        <v/>
      </c>
      <c r="D146" s="254" t="str">
        <f t="shared" ca="1" si="41"/>
        <v/>
      </c>
      <c r="E146" s="252" t="str">
        <f t="shared" ca="1" si="41"/>
        <v/>
      </c>
      <c r="F146" s="252">
        <f t="shared" ca="1" si="42"/>
        <v>0</v>
      </c>
      <c r="G146" s="248">
        <f t="shared" ca="1" si="43"/>
        <v>0</v>
      </c>
      <c r="H146" s="247">
        <f t="shared" ca="1" si="39"/>
        <v>0</v>
      </c>
      <c r="I146" s="246" t="str">
        <f t="shared" ca="1" si="44"/>
        <v/>
      </c>
      <c r="J146" s="259" t="str">
        <f ca="1">IF($C146="","",IFERROR(INDEX(NVLSX!$M$4:$M$6941,MATCH($C146,NVLSX!$E$4:$E$6941,0)),0))</f>
        <v/>
      </c>
      <c r="K146" s="259">
        <f ca="1" xml:space="preserve"> IFERROR(IF($Q146=NVLSX!$N$4,INDEX(IF($R$1=DanhMuc!$C$179,DanhMuc!$C$180:$C$188,DanhMuc!$D$180:$D$188),MATCH($F$4,DanhMuc!$B$180:$B$188,0)),0),0)</f>
        <v>0</v>
      </c>
      <c r="L146" s="263">
        <f t="shared" ca="1" si="40"/>
        <v>0</v>
      </c>
      <c r="M146" s="913">
        <f t="shared" ca="1" si="45"/>
        <v>0</v>
      </c>
      <c r="N146" s="560">
        <f t="shared" ca="1" si="46"/>
        <v>0</v>
      </c>
      <c r="O146" s="560">
        <f t="shared" ca="1" si="47"/>
        <v>0</v>
      </c>
      <c r="P146" s="584" t="str">
        <f t="shared" ca="1" si="48"/>
        <v/>
      </c>
      <c r="Q146" s="548" t="str">
        <f ca="1">IF(OR($C146="",$C146=0),"",INDEX(NVLSX!N$6:N$6941,MATCH($C146,NVLSX!$E$6:$E$6941,0)))</f>
        <v/>
      </c>
      <c r="R146" s="585" t="str">
        <f ca="1">IF(TYPE(MATCH($T$13,OFFSET($T$14,R145,0):$T$106,0)+R145)=16,"",MATCH($T$13,OFFSET($T$14,R145,0):$T$106,0)+R145)</f>
        <v/>
      </c>
      <c r="S146" s="502"/>
      <c r="T146" s="586"/>
      <c r="U146" s="505"/>
      <c r="V146" s="557"/>
      <c r="W146" s="557"/>
      <c r="X146" s="505"/>
      <c r="Y146" s="557"/>
      <c r="AA146" s="557"/>
      <c r="AB146" s="557"/>
      <c r="AC146" s="557"/>
      <c r="AD146" s="557"/>
      <c r="AE146" s="711"/>
      <c r="AF146" s="270"/>
      <c r="AG146" s="270"/>
      <c r="AH146" s="270"/>
      <c r="AI146" s="270"/>
      <c r="AJ146" s="270"/>
      <c r="AK146" s="270"/>
      <c r="AL146" s="270"/>
      <c r="AM146" s="270"/>
      <c r="AN146" s="270"/>
    </row>
    <row r="147" spans="1:40" s="142" customFormat="1" ht="12.5">
      <c r="A147" s="1426"/>
      <c r="B147" s="149" t="str">
        <f t="shared" ca="1" si="41"/>
        <v/>
      </c>
      <c r="C147" s="291" t="str">
        <f t="shared" ca="1" si="41"/>
        <v/>
      </c>
      <c r="D147" s="254" t="str">
        <f t="shared" ca="1" si="41"/>
        <v/>
      </c>
      <c r="E147" s="252" t="str">
        <f t="shared" ca="1" si="41"/>
        <v/>
      </c>
      <c r="F147" s="252">
        <f t="shared" ca="1" si="42"/>
        <v>0</v>
      </c>
      <c r="G147" s="248">
        <f t="shared" ca="1" si="43"/>
        <v>0</v>
      </c>
      <c r="H147" s="247">
        <f t="shared" ca="1" si="39"/>
        <v>0</v>
      </c>
      <c r="I147" s="246" t="str">
        <f t="shared" ca="1" si="44"/>
        <v/>
      </c>
      <c r="J147" s="259" t="str">
        <f ca="1">IF($C147="","",IFERROR(INDEX(NVLSX!$M$4:$M$6941,MATCH($C147,NVLSX!$E$4:$E$6941,0)),0))</f>
        <v/>
      </c>
      <c r="K147" s="259">
        <f ca="1" xml:space="preserve"> IFERROR(IF($Q147=NVLSX!$N$4,INDEX(IF($R$1=DanhMuc!$C$179,DanhMuc!$C$180:$C$188,DanhMuc!$D$180:$D$188),MATCH($F$4,DanhMuc!$B$180:$B$188,0)),0),0)</f>
        <v>0</v>
      </c>
      <c r="L147" s="263">
        <f t="shared" ca="1" si="40"/>
        <v>0</v>
      </c>
      <c r="M147" s="913">
        <f t="shared" ca="1" si="45"/>
        <v>0</v>
      </c>
      <c r="N147" s="560">
        <f t="shared" ca="1" si="46"/>
        <v>0</v>
      </c>
      <c r="O147" s="560">
        <f t="shared" ca="1" si="47"/>
        <v>0</v>
      </c>
      <c r="P147" s="584" t="str">
        <f t="shared" ca="1" si="48"/>
        <v/>
      </c>
      <c r="Q147" s="548" t="str">
        <f ca="1">IF(OR($C147="",$C147=0),"",INDEX(NVLSX!N$6:N$6941,MATCH($C147,NVLSX!$E$6:$E$6941,0)))</f>
        <v/>
      </c>
      <c r="R147" s="585" t="str">
        <f ca="1">IF(TYPE(MATCH($T$13,OFFSET($T$14,R146,0):$T$106,0)+R146)=16,"",MATCH($T$13,OFFSET($T$14,R146,0):$T$106,0)+R146)</f>
        <v/>
      </c>
      <c r="S147" s="502"/>
      <c r="T147" s="586"/>
      <c r="U147" s="505"/>
      <c r="V147" s="557"/>
      <c r="W147" s="557"/>
      <c r="X147" s="505"/>
      <c r="Y147" s="557"/>
      <c r="AA147" s="557"/>
      <c r="AB147" s="557"/>
      <c r="AC147" s="557"/>
      <c r="AD147" s="557"/>
      <c r="AE147" s="711"/>
      <c r="AF147" s="270"/>
      <c r="AG147" s="270"/>
      <c r="AH147" s="270"/>
      <c r="AI147" s="270"/>
      <c r="AJ147" s="270"/>
      <c r="AK147" s="270"/>
      <c r="AL147" s="270"/>
      <c r="AM147" s="270"/>
      <c r="AN147" s="270"/>
    </row>
    <row r="148" spans="1:40" s="142" customFormat="1" ht="12.5">
      <c r="A148" s="1426"/>
      <c r="B148" s="149" t="str">
        <f t="shared" ref="B148:E167" ca="1" si="49">IF($R148="","",INDEX(B$14:B$106,$R148))</f>
        <v/>
      </c>
      <c r="C148" s="291" t="str">
        <f t="shared" ca="1" si="49"/>
        <v/>
      </c>
      <c r="D148" s="254" t="str">
        <f t="shared" ca="1" si="49"/>
        <v/>
      </c>
      <c r="E148" s="252" t="str">
        <f t="shared" ca="1" si="49"/>
        <v/>
      </c>
      <c r="F148" s="252">
        <f t="shared" ca="1" si="42"/>
        <v>0</v>
      </c>
      <c r="G148" s="248">
        <f t="shared" ca="1" si="43"/>
        <v>0</v>
      </c>
      <c r="H148" s="247">
        <f t="shared" ca="1" si="39"/>
        <v>0</v>
      </c>
      <c r="I148" s="246" t="str">
        <f t="shared" ca="1" si="44"/>
        <v/>
      </c>
      <c r="J148" s="259" t="str">
        <f ca="1">IF($C148="","",IFERROR(INDEX(NVLSX!$M$4:$M$6941,MATCH($C148,NVLSX!$E$4:$E$6941,0)),0))</f>
        <v/>
      </c>
      <c r="K148" s="259">
        <f ca="1" xml:space="preserve"> IFERROR(IF($Q148=NVLSX!$N$4,INDEX(IF($R$1=DanhMuc!$C$179,DanhMuc!$C$180:$C$188,DanhMuc!$D$180:$D$188),MATCH($F$4,DanhMuc!$B$180:$B$188,0)),0),0)</f>
        <v>0</v>
      </c>
      <c r="L148" s="263">
        <f t="shared" ca="1" si="40"/>
        <v>0</v>
      </c>
      <c r="M148" s="913">
        <f t="shared" ca="1" si="45"/>
        <v>0</v>
      </c>
      <c r="N148" s="560">
        <f t="shared" ca="1" si="46"/>
        <v>0</v>
      </c>
      <c r="O148" s="560">
        <f t="shared" ca="1" si="47"/>
        <v>0</v>
      </c>
      <c r="P148" s="584" t="str">
        <f t="shared" ca="1" si="48"/>
        <v/>
      </c>
      <c r="Q148" s="548" t="str">
        <f ca="1">IF(OR($C148="",$C148=0),"",INDEX(NVLSX!N$6:N$6941,MATCH($C148,NVLSX!$E$6:$E$6941,0)))</f>
        <v/>
      </c>
      <c r="R148" s="585" t="str">
        <f ca="1">IF(TYPE(MATCH($T$13,OFFSET($T$14,R147,0):$T$106,0)+R147)=16,"",MATCH($T$13,OFFSET($T$14,R147,0):$T$106,0)+R147)</f>
        <v/>
      </c>
      <c r="S148" s="502"/>
      <c r="T148" s="586"/>
      <c r="U148" s="505"/>
      <c r="V148" s="557"/>
      <c r="W148" s="557"/>
      <c r="X148" s="505"/>
      <c r="Y148" s="557"/>
      <c r="AA148" s="557"/>
      <c r="AB148" s="557"/>
      <c r="AC148" s="557"/>
      <c r="AD148" s="557"/>
      <c r="AE148" s="711"/>
      <c r="AF148" s="270"/>
      <c r="AG148" s="270"/>
      <c r="AH148" s="270"/>
      <c r="AI148" s="270"/>
      <c r="AJ148" s="270"/>
      <c r="AK148" s="270"/>
      <c r="AL148" s="270"/>
      <c r="AM148" s="270"/>
      <c r="AN148" s="270"/>
    </row>
    <row r="149" spans="1:40" s="142" customFormat="1" ht="12.5">
      <c r="A149" s="1426"/>
      <c r="B149" s="149" t="str">
        <f t="shared" ca="1" si="49"/>
        <v/>
      </c>
      <c r="C149" s="291" t="str">
        <f t="shared" ca="1" si="49"/>
        <v/>
      </c>
      <c r="D149" s="254" t="str">
        <f t="shared" ca="1" si="49"/>
        <v/>
      </c>
      <c r="E149" s="252" t="str">
        <f t="shared" ca="1" si="49"/>
        <v/>
      </c>
      <c r="F149" s="252">
        <f t="shared" ca="1" si="42"/>
        <v>0</v>
      </c>
      <c r="G149" s="248">
        <f t="shared" ca="1" si="43"/>
        <v>0</v>
      </c>
      <c r="H149" s="247">
        <f t="shared" ca="1" si="39"/>
        <v>0</v>
      </c>
      <c r="I149" s="246" t="str">
        <f t="shared" ca="1" si="44"/>
        <v/>
      </c>
      <c r="J149" s="259" t="str">
        <f ca="1">IF($C149="","",IFERROR(INDEX(NVLSX!$M$4:$M$6941,MATCH($C149,NVLSX!$E$4:$E$6941,0)),0))</f>
        <v/>
      </c>
      <c r="K149" s="259">
        <f ca="1" xml:space="preserve"> IFERROR(IF($Q149=NVLSX!$N$4,INDEX(IF($R$1=DanhMuc!$C$179,DanhMuc!$C$180:$C$188,DanhMuc!$D$180:$D$188),MATCH($F$4,DanhMuc!$B$180:$B$188,0)),0),0)</f>
        <v>0</v>
      </c>
      <c r="L149" s="263">
        <f t="shared" ca="1" si="40"/>
        <v>0</v>
      </c>
      <c r="M149" s="913">
        <f t="shared" ca="1" si="45"/>
        <v>0</v>
      </c>
      <c r="N149" s="560">
        <f t="shared" ca="1" si="46"/>
        <v>0</v>
      </c>
      <c r="O149" s="560">
        <f t="shared" ca="1" si="47"/>
        <v>0</v>
      </c>
      <c r="P149" s="584" t="str">
        <f t="shared" ca="1" si="48"/>
        <v/>
      </c>
      <c r="Q149" s="548" t="str">
        <f ca="1">IF(OR($C149="",$C149=0),"",INDEX(NVLSX!N$6:N$6941,MATCH($C149,NVLSX!$E$6:$E$6941,0)))</f>
        <v/>
      </c>
      <c r="R149" s="585" t="str">
        <f ca="1">IF(TYPE(MATCH($T$13,OFFSET($T$14,R148,0):$T$106,0)+R148)=16,"",MATCH($T$13,OFFSET($T$14,R148,0):$T$106,0)+R148)</f>
        <v/>
      </c>
      <c r="S149" s="502"/>
      <c r="T149" s="586"/>
      <c r="U149" s="505"/>
      <c r="V149" s="557"/>
      <c r="W149" s="557"/>
      <c r="X149" s="505"/>
      <c r="Y149" s="557"/>
      <c r="AA149" s="557"/>
      <c r="AB149" s="557"/>
      <c r="AC149" s="557"/>
      <c r="AD149" s="557"/>
      <c r="AE149" s="711"/>
      <c r="AF149" s="270"/>
      <c r="AG149" s="270"/>
      <c r="AH149" s="270"/>
      <c r="AI149" s="270"/>
      <c r="AJ149" s="270"/>
      <c r="AK149" s="270"/>
      <c r="AL149" s="270"/>
      <c r="AM149" s="270"/>
      <c r="AN149" s="270"/>
    </row>
    <row r="150" spans="1:40" s="142" customFormat="1" ht="12.5">
      <c r="A150" s="1426"/>
      <c r="B150" s="149" t="str">
        <f t="shared" ca="1" si="49"/>
        <v/>
      </c>
      <c r="C150" s="291" t="str">
        <f t="shared" ca="1" si="49"/>
        <v/>
      </c>
      <c r="D150" s="254" t="str">
        <f t="shared" ca="1" si="49"/>
        <v/>
      </c>
      <c r="E150" s="252" t="str">
        <f t="shared" ca="1" si="49"/>
        <v/>
      </c>
      <c r="F150" s="252">
        <f t="shared" ca="1" si="42"/>
        <v>0</v>
      </c>
      <c r="G150" s="248">
        <f t="shared" ca="1" si="43"/>
        <v>0</v>
      </c>
      <c r="H150" s="247">
        <f t="shared" ca="1" si="39"/>
        <v>0</v>
      </c>
      <c r="I150" s="246" t="str">
        <f t="shared" ca="1" si="44"/>
        <v/>
      </c>
      <c r="J150" s="259" t="str">
        <f ca="1">IF($C150="","",IFERROR(INDEX(NVLSX!$M$4:$M$6941,MATCH($C150,NVLSX!$E$4:$E$6941,0)),0))</f>
        <v/>
      </c>
      <c r="K150" s="259">
        <f ca="1" xml:space="preserve"> IFERROR(IF($Q150=NVLSX!$N$4,INDEX(IF($R$1=DanhMuc!$C$179,DanhMuc!$C$180:$C$188,DanhMuc!$D$180:$D$188),MATCH($F$4,DanhMuc!$B$180:$B$188,0)),0),0)</f>
        <v>0</v>
      </c>
      <c r="L150" s="263">
        <f t="shared" ca="1" si="40"/>
        <v>0</v>
      </c>
      <c r="M150" s="913">
        <f t="shared" ca="1" si="45"/>
        <v>0</v>
      </c>
      <c r="N150" s="560">
        <f t="shared" ca="1" si="46"/>
        <v>0</v>
      </c>
      <c r="O150" s="560">
        <f t="shared" ca="1" si="47"/>
        <v>0</v>
      </c>
      <c r="P150" s="584" t="str">
        <f t="shared" ca="1" si="48"/>
        <v/>
      </c>
      <c r="Q150" s="548" t="str">
        <f ca="1">IF(OR($C150="",$C150=0),"",INDEX(NVLSX!N$6:N$6941,MATCH($C150,NVLSX!$E$6:$E$6941,0)))</f>
        <v/>
      </c>
      <c r="R150" s="585" t="str">
        <f ca="1">IF(TYPE(MATCH($T$13,OFFSET($T$14,R149,0):$T$106,0)+R149)=16,"",MATCH($T$13,OFFSET($T$14,R149,0):$T$106,0)+R149)</f>
        <v/>
      </c>
      <c r="S150" s="502"/>
      <c r="T150" s="586"/>
      <c r="U150" s="505"/>
      <c r="V150" s="557"/>
      <c r="W150" s="557"/>
      <c r="X150" s="505"/>
      <c r="Y150" s="557"/>
      <c r="AA150" s="557"/>
      <c r="AB150" s="557"/>
      <c r="AC150" s="557"/>
      <c r="AD150" s="557"/>
      <c r="AE150" s="711"/>
      <c r="AF150" s="270"/>
      <c r="AG150" s="270"/>
      <c r="AH150" s="270"/>
      <c r="AI150" s="270"/>
      <c r="AJ150" s="270"/>
      <c r="AK150" s="270"/>
      <c r="AL150" s="270"/>
      <c r="AM150" s="270"/>
      <c r="AN150" s="270"/>
    </row>
    <row r="151" spans="1:40" s="142" customFormat="1" ht="12.5">
      <c r="A151" s="1426"/>
      <c r="B151" s="149" t="str">
        <f t="shared" ca="1" si="49"/>
        <v/>
      </c>
      <c r="C151" s="291" t="str">
        <f t="shared" ca="1" si="49"/>
        <v/>
      </c>
      <c r="D151" s="254" t="str">
        <f t="shared" ca="1" si="49"/>
        <v/>
      </c>
      <c r="E151" s="252" t="str">
        <f t="shared" ca="1" si="49"/>
        <v/>
      </c>
      <c r="F151" s="252">
        <f t="shared" ca="1" si="42"/>
        <v>0</v>
      </c>
      <c r="G151" s="248">
        <f t="shared" ca="1" si="43"/>
        <v>0</v>
      </c>
      <c r="H151" s="247">
        <f t="shared" ca="1" si="39"/>
        <v>0</v>
      </c>
      <c r="I151" s="246" t="str">
        <f t="shared" ca="1" si="44"/>
        <v/>
      </c>
      <c r="J151" s="259" t="str">
        <f ca="1">IF($C151="","",IFERROR(INDEX(NVLSX!$M$4:$M$6941,MATCH($C151,NVLSX!$E$4:$E$6941,0)),0))</f>
        <v/>
      </c>
      <c r="K151" s="259">
        <f ca="1" xml:space="preserve"> IFERROR(IF($Q151=NVLSX!$N$4,INDEX(IF($R$1=DanhMuc!$C$179,DanhMuc!$C$180:$C$188,DanhMuc!$D$180:$D$188),MATCH($F$4,DanhMuc!$B$180:$B$188,0)),0),0)</f>
        <v>0</v>
      </c>
      <c r="L151" s="263">
        <f t="shared" ca="1" si="40"/>
        <v>0</v>
      </c>
      <c r="M151" s="913">
        <f t="shared" ca="1" si="45"/>
        <v>0</v>
      </c>
      <c r="N151" s="560">
        <f t="shared" ca="1" si="46"/>
        <v>0</v>
      </c>
      <c r="O151" s="560">
        <f t="shared" ca="1" si="47"/>
        <v>0</v>
      </c>
      <c r="P151" s="584" t="str">
        <f t="shared" ca="1" si="48"/>
        <v/>
      </c>
      <c r="Q151" s="548" t="str">
        <f ca="1">IF(OR($C151="",$C151=0),"",INDEX(NVLSX!N$6:N$6941,MATCH($C151,NVLSX!$E$6:$E$6941,0)))</f>
        <v/>
      </c>
      <c r="R151" s="585" t="str">
        <f ca="1">IF(TYPE(MATCH($T$13,OFFSET($T$14,R150,0):$T$106,0)+R150)=16,"",MATCH($T$13,OFFSET($T$14,R150,0):$T$106,0)+R150)</f>
        <v/>
      </c>
      <c r="S151" s="502"/>
      <c r="T151" s="586"/>
      <c r="U151" s="505"/>
      <c r="V151" s="557"/>
      <c r="W151" s="557"/>
      <c r="X151" s="505"/>
      <c r="Y151" s="557"/>
      <c r="AA151" s="557"/>
      <c r="AB151" s="557"/>
      <c r="AC151" s="557"/>
      <c r="AD151" s="557"/>
      <c r="AE151" s="711"/>
      <c r="AF151" s="270"/>
      <c r="AG151" s="270"/>
      <c r="AH151" s="270"/>
      <c r="AI151" s="270"/>
      <c r="AJ151" s="270"/>
      <c r="AK151" s="270"/>
      <c r="AL151" s="270"/>
      <c r="AM151" s="270"/>
      <c r="AN151" s="270"/>
    </row>
    <row r="152" spans="1:40" s="142" customFormat="1" ht="12.5">
      <c r="A152" s="1426"/>
      <c r="B152" s="149" t="str">
        <f t="shared" ca="1" si="49"/>
        <v/>
      </c>
      <c r="C152" s="291" t="str">
        <f t="shared" ca="1" si="49"/>
        <v/>
      </c>
      <c r="D152" s="254" t="str">
        <f t="shared" ca="1" si="49"/>
        <v/>
      </c>
      <c r="E152" s="252" t="str">
        <f t="shared" ca="1" si="49"/>
        <v/>
      </c>
      <c r="F152" s="252">
        <f t="shared" ca="1" si="42"/>
        <v>0</v>
      </c>
      <c r="G152" s="248">
        <f t="shared" ca="1" si="43"/>
        <v>0</v>
      </c>
      <c r="H152" s="247">
        <f t="shared" ca="1" si="39"/>
        <v>0</v>
      </c>
      <c r="I152" s="246" t="str">
        <f t="shared" ca="1" si="44"/>
        <v/>
      </c>
      <c r="J152" s="259" t="str">
        <f ca="1">IF($C152="","",IFERROR(INDEX(NVLSX!$M$4:$M$6941,MATCH($C152,NVLSX!$E$4:$E$6941,0)),0))</f>
        <v/>
      </c>
      <c r="K152" s="259">
        <f ca="1" xml:space="preserve"> IFERROR(IF($Q152=NVLSX!$N$4,INDEX(IF($R$1=DanhMuc!$C$179,DanhMuc!$C$180:$C$188,DanhMuc!$D$180:$D$188),MATCH($F$4,DanhMuc!$B$180:$B$188,0)),0),0)</f>
        <v>0</v>
      </c>
      <c r="L152" s="263">
        <f t="shared" ca="1" si="40"/>
        <v>0</v>
      </c>
      <c r="M152" s="913">
        <f t="shared" ca="1" si="45"/>
        <v>0</v>
      </c>
      <c r="N152" s="560">
        <f t="shared" ca="1" si="46"/>
        <v>0</v>
      </c>
      <c r="O152" s="560">
        <f t="shared" ca="1" si="47"/>
        <v>0</v>
      </c>
      <c r="P152" s="584" t="str">
        <f t="shared" ca="1" si="48"/>
        <v/>
      </c>
      <c r="Q152" s="548" t="str">
        <f ca="1">IF(OR($C152="",$C152=0),"",INDEX(NVLSX!N$6:N$6941,MATCH($C152,NVLSX!$E$6:$E$6941,0)))</f>
        <v/>
      </c>
      <c r="R152" s="585" t="str">
        <f ca="1">IF(TYPE(MATCH($T$13,OFFSET($T$14,R151,0):$T$106,0)+R151)=16,"",MATCH($T$13,OFFSET($T$14,R151,0):$T$106,0)+R151)</f>
        <v/>
      </c>
      <c r="S152" s="502"/>
      <c r="T152" s="586"/>
      <c r="U152" s="505"/>
      <c r="V152" s="557"/>
      <c r="W152" s="557"/>
      <c r="X152" s="505"/>
      <c r="Y152" s="557"/>
      <c r="AA152" s="557"/>
      <c r="AB152" s="557"/>
      <c r="AC152" s="557"/>
      <c r="AD152" s="557"/>
      <c r="AE152" s="711"/>
      <c r="AF152" s="270"/>
      <c r="AG152" s="270"/>
      <c r="AH152" s="270"/>
      <c r="AI152" s="270"/>
      <c r="AJ152" s="270"/>
      <c r="AK152" s="270"/>
      <c r="AL152" s="270"/>
      <c r="AM152" s="270"/>
      <c r="AN152" s="270"/>
    </row>
    <row r="153" spans="1:40" s="142" customFormat="1" ht="12.5">
      <c r="A153" s="1426"/>
      <c r="B153" s="149" t="str">
        <f t="shared" ca="1" si="49"/>
        <v/>
      </c>
      <c r="C153" s="291" t="str">
        <f t="shared" ca="1" si="49"/>
        <v/>
      </c>
      <c r="D153" s="254" t="str">
        <f t="shared" ca="1" si="49"/>
        <v/>
      </c>
      <c r="E153" s="252" t="str">
        <f t="shared" ca="1" si="49"/>
        <v/>
      </c>
      <c r="F153" s="252">
        <f t="shared" ca="1" si="42"/>
        <v>0</v>
      </c>
      <c r="G153" s="248">
        <f t="shared" ca="1" si="43"/>
        <v>0</v>
      </c>
      <c r="H153" s="247">
        <f t="shared" ca="1" si="39"/>
        <v>0</v>
      </c>
      <c r="I153" s="246" t="str">
        <f t="shared" ca="1" si="44"/>
        <v/>
      </c>
      <c r="J153" s="259" t="str">
        <f ca="1">IF($C153="","",IFERROR(INDEX(NVLSX!$M$4:$M$6941,MATCH($C153,NVLSX!$E$4:$E$6941,0)),0))</f>
        <v/>
      </c>
      <c r="K153" s="259">
        <f ca="1" xml:space="preserve"> IFERROR(IF($Q153=NVLSX!$N$4,INDEX(IF($R$1=DanhMuc!$C$179,DanhMuc!$C$180:$C$188,DanhMuc!$D$180:$D$188),MATCH($F$4,DanhMuc!$B$180:$B$188,0)),0),0)</f>
        <v>0</v>
      </c>
      <c r="L153" s="263">
        <f t="shared" ca="1" si="40"/>
        <v>0</v>
      </c>
      <c r="M153" s="913">
        <f t="shared" ca="1" si="45"/>
        <v>0</v>
      </c>
      <c r="N153" s="560">
        <f t="shared" ca="1" si="46"/>
        <v>0</v>
      </c>
      <c r="O153" s="560">
        <f t="shared" ca="1" si="47"/>
        <v>0</v>
      </c>
      <c r="P153" s="584" t="str">
        <f t="shared" ca="1" si="48"/>
        <v/>
      </c>
      <c r="Q153" s="548" t="str">
        <f ca="1">IF(OR($C153="",$C153=0),"",INDEX(NVLSX!N$6:N$6941,MATCH($C153,NVLSX!$E$6:$E$6941,0)))</f>
        <v/>
      </c>
      <c r="R153" s="585" t="str">
        <f ca="1">IF(TYPE(MATCH($T$13,OFFSET($T$14,R152,0):$T$106,0)+R152)=16,"",MATCH($T$13,OFFSET($T$14,R152,0):$T$106,0)+R152)</f>
        <v/>
      </c>
      <c r="S153" s="502"/>
      <c r="T153" s="586"/>
      <c r="U153" s="505"/>
      <c r="V153" s="557"/>
      <c r="W153" s="557"/>
      <c r="X153" s="505"/>
      <c r="Y153" s="557"/>
      <c r="AA153" s="557"/>
      <c r="AB153" s="557"/>
      <c r="AC153" s="557"/>
      <c r="AD153" s="557"/>
      <c r="AE153" s="711"/>
      <c r="AF153" s="270"/>
      <c r="AG153" s="270"/>
      <c r="AH153" s="270"/>
      <c r="AI153" s="270"/>
      <c r="AJ153" s="270"/>
      <c r="AK153" s="270"/>
      <c r="AL153" s="270"/>
      <c r="AM153" s="270"/>
      <c r="AN153" s="270"/>
    </row>
    <row r="154" spans="1:40" s="142" customFormat="1" ht="12.5">
      <c r="A154" s="1426"/>
      <c r="B154" s="149" t="str">
        <f t="shared" ca="1" si="49"/>
        <v/>
      </c>
      <c r="C154" s="291" t="str">
        <f t="shared" ca="1" si="49"/>
        <v/>
      </c>
      <c r="D154" s="254" t="str">
        <f t="shared" ca="1" si="49"/>
        <v/>
      </c>
      <c r="E154" s="252" t="str">
        <f t="shared" ca="1" si="49"/>
        <v/>
      </c>
      <c r="F154" s="252">
        <f t="shared" ca="1" si="42"/>
        <v>0</v>
      </c>
      <c r="G154" s="248">
        <f t="shared" ca="1" si="43"/>
        <v>0</v>
      </c>
      <c r="H154" s="247">
        <f t="shared" ca="1" si="39"/>
        <v>0</v>
      </c>
      <c r="I154" s="246" t="str">
        <f t="shared" ca="1" si="44"/>
        <v/>
      </c>
      <c r="J154" s="259" t="str">
        <f ca="1">IF($C154="","",IFERROR(INDEX(NVLSX!$M$4:$M$6941,MATCH($C154,NVLSX!$E$4:$E$6941,0)),0))</f>
        <v/>
      </c>
      <c r="K154" s="259">
        <f ca="1" xml:space="preserve"> IFERROR(IF($Q154=NVLSX!$N$4,INDEX(IF($R$1=DanhMuc!$C$179,DanhMuc!$C$180:$C$188,DanhMuc!$D$180:$D$188),MATCH($F$4,DanhMuc!$B$180:$B$188,0)),0),0)</f>
        <v>0</v>
      </c>
      <c r="L154" s="263">
        <f t="shared" ca="1" si="40"/>
        <v>0</v>
      </c>
      <c r="M154" s="913">
        <f t="shared" ca="1" si="45"/>
        <v>0</v>
      </c>
      <c r="N154" s="560">
        <f t="shared" ca="1" si="46"/>
        <v>0</v>
      </c>
      <c r="O154" s="560">
        <f t="shared" ca="1" si="47"/>
        <v>0</v>
      </c>
      <c r="P154" s="584" t="str">
        <f t="shared" ca="1" si="48"/>
        <v/>
      </c>
      <c r="Q154" s="548" t="str">
        <f ca="1">IF(OR($C154="",$C154=0),"",INDEX(NVLSX!N$6:N$6941,MATCH($C154,NVLSX!$E$6:$E$6941,0)))</f>
        <v/>
      </c>
      <c r="R154" s="585" t="str">
        <f ca="1">IF(TYPE(MATCH($T$13,OFFSET($T$14,R153,0):$T$106,0)+R153)=16,"",MATCH($T$13,OFFSET($T$14,R153,0):$T$106,0)+R153)</f>
        <v/>
      </c>
      <c r="S154" s="502"/>
      <c r="T154" s="586"/>
      <c r="U154" s="505"/>
      <c r="V154" s="557"/>
      <c r="W154" s="557"/>
      <c r="X154" s="505"/>
      <c r="Y154" s="557"/>
      <c r="AA154" s="557"/>
      <c r="AB154" s="557"/>
      <c r="AC154" s="557"/>
      <c r="AD154" s="557"/>
      <c r="AE154" s="711"/>
      <c r="AF154" s="270"/>
      <c r="AG154" s="270"/>
      <c r="AH154" s="270"/>
      <c r="AI154" s="270"/>
      <c r="AJ154" s="270"/>
      <c r="AK154" s="270"/>
      <c r="AL154" s="270"/>
      <c r="AM154" s="270"/>
      <c r="AN154" s="270"/>
    </row>
    <row r="155" spans="1:40" s="142" customFormat="1" ht="12.5">
      <c r="A155" s="1426"/>
      <c r="B155" s="149" t="str">
        <f t="shared" ca="1" si="49"/>
        <v/>
      </c>
      <c r="C155" s="291" t="str">
        <f t="shared" ca="1" si="49"/>
        <v/>
      </c>
      <c r="D155" s="254" t="str">
        <f t="shared" ca="1" si="49"/>
        <v/>
      </c>
      <c r="E155" s="252" t="str">
        <f t="shared" ca="1" si="49"/>
        <v/>
      </c>
      <c r="F155" s="252">
        <f t="shared" ca="1" si="42"/>
        <v>0</v>
      </c>
      <c r="G155" s="248">
        <f t="shared" ca="1" si="43"/>
        <v>0</v>
      </c>
      <c r="H155" s="247">
        <f t="shared" ca="1" si="39"/>
        <v>0</v>
      </c>
      <c r="I155" s="246" t="str">
        <f t="shared" ca="1" si="44"/>
        <v/>
      </c>
      <c r="J155" s="259" t="str">
        <f ca="1">IF($C155="","",IFERROR(INDEX(NVLSX!$M$4:$M$6941,MATCH($C155,NVLSX!$E$4:$E$6941,0)),0))</f>
        <v/>
      </c>
      <c r="K155" s="259">
        <f ca="1" xml:space="preserve"> IFERROR(IF($Q155=NVLSX!$N$4,INDEX(IF($R$1=DanhMuc!$C$179,DanhMuc!$C$180:$C$188,DanhMuc!$D$180:$D$188),MATCH($F$4,DanhMuc!$B$180:$B$188,0)),0),0)</f>
        <v>0</v>
      </c>
      <c r="L155" s="263">
        <f t="shared" ca="1" si="40"/>
        <v>0</v>
      </c>
      <c r="M155" s="913">
        <f t="shared" ca="1" si="45"/>
        <v>0</v>
      </c>
      <c r="N155" s="560">
        <f t="shared" ca="1" si="46"/>
        <v>0</v>
      </c>
      <c r="O155" s="560">
        <f t="shared" ca="1" si="47"/>
        <v>0</v>
      </c>
      <c r="P155" s="584" t="str">
        <f t="shared" ca="1" si="48"/>
        <v/>
      </c>
      <c r="Q155" s="548" t="str">
        <f ca="1">IF(OR($C155="",$C155=0),"",INDEX(NVLSX!N$6:N$6941,MATCH($C155,NVLSX!$E$6:$E$6941,0)))</f>
        <v/>
      </c>
      <c r="R155" s="585" t="str">
        <f ca="1">IF(TYPE(MATCH($T$13,OFFSET($T$14,R154,0):$T$106,0)+R154)=16,"",MATCH($T$13,OFFSET($T$14,R154,0):$T$106,0)+R154)</f>
        <v/>
      </c>
      <c r="S155" s="502"/>
      <c r="T155" s="586"/>
      <c r="U155" s="505"/>
      <c r="V155" s="557"/>
      <c r="W155" s="557"/>
      <c r="X155" s="505"/>
      <c r="Y155" s="557"/>
      <c r="AA155" s="557"/>
      <c r="AB155" s="557"/>
      <c r="AC155" s="557"/>
      <c r="AD155" s="557"/>
      <c r="AE155" s="711"/>
      <c r="AF155" s="270"/>
      <c r="AG155" s="270"/>
      <c r="AH155" s="270"/>
      <c r="AI155" s="270"/>
      <c r="AJ155" s="270"/>
      <c r="AK155" s="270"/>
      <c r="AL155" s="270"/>
      <c r="AM155" s="270"/>
      <c r="AN155" s="270"/>
    </row>
    <row r="156" spans="1:40" s="142" customFormat="1" ht="12.5">
      <c r="A156" s="1426"/>
      <c r="B156" s="149" t="str">
        <f t="shared" ca="1" si="49"/>
        <v/>
      </c>
      <c r="C156" s="291" t="str">
        <f t="shared" ca="1" si="49"/>
        <v/>
      </c>
      <c r="D156" s="254" t="str">
        <f t="shared" ca="1" si="49"/>
        <v/>
      </c>
      <c r="E156" s="252" t="str">
        <f t="shared" ca="1" si="49"/>
        <v/>
      </c>
      <c r="F156" s="252">
        <f t="shared" ca="1" si="42"/>
        <v>0</v>
      </c>
      <c r="G156" s="248">
        <f t="shared" ca="1" si="43"/>
        <v>0</v>
      </c>
      <c r="H156" s="247">
        <f t="shared" ca="1" si="39"/>
        <v>0</v>
      </c>
      <c r="I156" s="246" t="str">
        <f t="shared" ca="1" si="44"/>
        <v/>
      </c>
      <c r="J156" s="259" t="str">
        <f ca="1">IF($C156="","",IFERROR(INDEX(NVLSX!$M$4:$M$6941,MATCH($C156,NVLSX!$E$4:$E$6941,0)),0))</f>
        <v/>
      </c>
      <c r="K156" s="259">
        <f ca="1" xml:space="preserve"> IFERROR(IF($Q156=NVLSX!$N$4,INDEX(IF($R$1=DanhMuc!$C$179,DanhMuc!$C$180:$C$188,DanhMuc!$D$180:$D$188),MATCH($F$4,DanhMuc!$B$180:$B$188,0)),0),0)</f>
        <v>0</v>
      </c>
      <c r="L156" s="263">
        <f t="shared" ca="1" si="40"/>
        <v>0</v>
      </c>
      <c r="M156" s="913">
        <f t="shared" ca="1" si="45"/>
        <v>0</v>
      </c>
      <c r="N156" s="560">
        <f t="shared" ca="1" si="46"/>
        <v>0</v>
      </c>
      <c r="O156" s="560">
        <f t="shared" ca="1" si="47"/>
        <v>0</v>
      </c>
      <c r="P156" s="584" t="str">
        <f t="shared" ca="1" si="48"/>
        <v/>
      </c>
      <c r="Q156" s="548" t="str">
        <f ca="1">IF(OR($C156="",$C156=0),"",INDEX(NVLSX!N$6:N$6941,MATCH($C156,NVLSX!$E$6:$E$6941,0)))</f>
        <v/>
      </c>
      <c r="R156" s="585" t="str">
        <f ca="1">IF(TYPE(MATCH($T$13,OFFSET($T$14,R155,0):$T$106,0)+R155)=16,"",MATCH($T$13,OFFSET($T$14,R155,0):$T$106,0)+R155)</f>
        <v/>
      </c>
      <c r="S156" s="502"/>
      <c r="T156" s="586"/>
      <c r="U156" s="505"/>
      <c r="V156" s="557"/>
      <c r="W156" s="557"/>
      <c r="X156" s="505"/>
      <c r="Y156" s="557"/>
      <c r="AA156" s="557"/>
      <c r="AB156" s="557"/>
      <c r="AC156" s="557"/>
      <c r="AD156" s="557"/>
      <c r="AE156" s="711"/>
      <c r="AF156" s="270"/>
      <c r="AG156" s="270"/>
      <c r="AH156" s="270"/>
      <c r="AI156" s="270"/>
      <c r="AJ156" s="270"/>
      <c r="AK156" s="270"/>
      <c r="AL156" s="270"/>
      <c r="AM156" s="270"/>
      <c r="AN156" s="270"/>
    </row>
    <row r="157" spans="1:40" s="142" customFormat="1" ht="12.5">
      <c r="A157" s="1426"/>
      <c r="B157" s="149" t="str">
        <f t="shared" ca="1" si="49"/>
        <v/>
      </c>
      <c r="C157" s="291" t="str">
        <f t="shared" ca="1" si="49"/>
        <v/>
      </c>
      <c r="D157" s="254" t="str">
        <f t="shared" ca="1" si="49"/>
        <v/>
      </c>
      <c r="E157" s="252" t="str">
        <f t="shared" ca="1" si="49"/>
        <v/>
      </c>
      <c r="F157" s="252">
        <f t="shared" ca="1" si="42"/>
        <v>0</v>
      </c>
      <c r="G157" s="248">
        <f t="shared" ca="1" si="43"/>
        <v>0</v>
      </c>
      <c r="H157" s="247">
        <f t="shared" ca="1" si="39"/>
        <v>0</v>
      </c>
      <c r="I157" s="246" t="str">
        <f t="shared" ca="1" si="44"/>
        <v/>
      </c>
      <c r="J157" s="259" t="str">
        <f ca="1">IF($C157="","",IFERROR(INDEX(NVLSX!$M$4:$M$6941,MATCH($C157,NVLSX!$E$4:$E$6941,0)),0))</f>
        <v/>
      </c>
      <c r="K157" s="259">
        <f ca="1" xml:space="preserve"> IFERROR(IF($Q157=NVLSX!$N$4,INDEX(IF($R$1=DanhMuc!$C$179,DanhMuc!$C$180:$C$188,DanhMuc!$D$180:$D$188),MATCH($F$4,DanhMuc!$B$180:$B$188,0)),0),0)</f>
        <v>0</v>
      </c>
      <c r="L157" s="263">
        <f t="shared" ca="1" si="40"/>
        <v>0</v>
      </c>
      <c r="M157" s="913">
        <f t="shared" ca="1" si="45"/>
        <v>0</v>
      </c>
      <c r="N157" s="560">
        <f t="shared" ca="1" si="46"/>
        <v>0</v>
      </c>
      <c r="O157" s="560">
        <f t="shared" ca="1" si="47"/>
        <v>0</v>
      </c>
      <c r="P157" s="584" t="str">
        <f t="shared" ca="1" si="48"/>
        <v/>
      </c>
      <c r="Q157" s="548" t="str">
        <f ca="1">IF(OR($C157="",$C157=0),"",INDEX(NVLSX!N$6:N$6941,MATCH($C157,NVLSX!$E$6:$E$6941,0)))</f>
        <v/>
      </c>
      <c r="R157" s="585" t="str">
        <f ca="1">IF(TYPE(MATCH($T$13,OFFSET($T$14,R156,0):$T$106,0)+R156)=16,"",MATCH($T$13,OFFSET($T$14,R156,0):$T$106,0)+R156)</f>
        <v/>
      </c>
      <c r="S157" s="502"/>
      <c r="T157" s="586"/>
      <c r="U157" s="505"/>
      <c r="V157" s="557"/>
      <c r="W157" s="557"/>
      <c r="X157" s="505"/>
      <c r="Y157" s="557"/>
      <c r="AA157" s="557"/>
      <c r="AB157" s="557"/>
      <c r="AC157" s="557"/>
      <c r="AD157" s="557"/>
      <c r="AE157" s="711"/>
      <c r="AF157" s="270"/>
      <c r="AG157" s="270"/>
      <c r="AH157" s="270"/>
      <c r="AI157" s="270"/>
      <c r="AJ157" s="270"/>
      <c r="AK157" s="270"/>
      <c r="AL157" s="270"/>
      <c r="AM157" s="270"/>
      <c r="AN157" s="270"/>
    </row>
    <row r="158" spans="1:40" s="142" customFormat="1" ht="12.5">
      <c r="A158" s="1426"/>
      <c r="B158" s="149" t="str">
        <f t="shared" ca="1" si="49"/>
        <v/>
      </c>
      <c r="C158" s="291" t="str">
        <f t="shared" ca="1" si="49"/>
        <v/>
      </c>
      <c r="D158" s="254" t="str">
        <f t="shared" ca="1" si="49"/>
        <v/>
      </c>
      <c r="E158" s="252" t="str">
        <f t="shared" ca="1" si="49"/>
        <v/>
      </c>
      <c r="F158" s="252">
        <f t="shared" ca="1" si="42"/>
        <v>0</v>
      </c>
      <c r="G158" s="248">
        <f t="shared" ca="1" si="43"/>
        <v>0</v>
      </c>
      <c r="H158" s="247">
        <f t="shared" ca="1" si="39"/>
        <v>0</v>
      </c>
      <c r="I158" s="246" t="str">
        <f t="shared" ca="1" si="44"/>
        <v/>
      </c>
      <c r="J158" s="259" t="str">
        <f ca="1">IF($C158="","",IFERROR(INDEX(NVLSX!$M$4:$M$6941,MATCH($C158,NVLSX!$E$4:$E$6941,0)),0))</f>
        <v/>
      </c>
      <c r="K158" s="259">
        <f ca="1" xml:space="preserve"> IFERROR(IF($Q158=NVLSX!$N$4,INDEX(IF($R$1=DanhMuc!$C$179,DanhMuc!$C$180:$C$188,DanhMuc!$D$180:$D$188),MATCH($F$4,DanhMuc!$B$180:$B$188,0)),0),0)</f>
        <v>0</v>
      </c>
      <c r="L158" s="263">
        <f t="shared" ca="1" si="40"/>
        <v>0</v>
      </c>
      <c r="M158" s="913">
        <f t="shared" ca="1" si="45"/>
        <v>0</v>
      </c>
      <c r="N158" s="560">
        <f t="shared" ca="1" si="46"/>
        <v>0</v>
      </c>
      <c r="O158" s="560">
        <f t="shared" ca="1" si="47"/>
        <v>0</v>
      </c>
      <c r="P158" s="584" t="str">
        <f t="shared" ca="1" si="48"/>
        <v/>
      </c>
      <c r="Q158" s="548" t="str">
        <f ca="1">IF(OR($C158="",$C158=0),"",INDEX(NVLSX!N$6:N$6941,MATCH($C158,NVLSX!$E$6:$E$6941,0)))</f>
        <v/>
      </c>
      <c r="R158" s="585" t="str">
        <f ca="1">IF(TYPE(MATCH($T$13,OFFSET($T$14,R157,0):$T$106,0)+R157)=16,"",MATCH($T$13,OFFSET($T$14,R157,0):$T$106,0)+R157)</f>
        <v/>
      </c>
      <c r="S158" s="502"/>
      <c r="T158" s="586"/>
      <c r="U158" s="505"/>
      <c r="V158" s="557"/>
      <c r="W158" s="557"/>
      <c r="X158" s="505"/>
      <c r="Y158" s="557"/>
      <c r="AA158" s="557"/>
      <c r="AB158" s="557"/>
      <c r="AC158" s="557"/>
      <c r="AD158" s="557"/>
      <c r="AE158" s="711"/>
      <c r="AF158" s="270"/>
      <c r="AG158" s="270"/>
      <c r="AH158" s="270"/>
      <c r="AI158" s="270"/>
      <c r="AJ158" s="270"/>
      <c r="AK158" s="270"/>
      <c r="AL158" s="270"/>
      <c r="AM158" s="270"/>
      <c r="AN158" s="270"/>
    </row>
    <row r="159" spans="1:40" s="142" customFormat="1" ht="12.5">
      <c r="A159" s="1426"/>
      <c r="B159" s="149" t="str">
        <f t="shared" ca="1" si="49"/>
        <v/>
      </c>
      <c r="C159" s="291" t="str">
        <f t="shared" ca="1" si="49"/>
        <v/>
      </c>
      <c r="D159" s="254" t="str">
        <f t="shared" ca="1" si="49"/>
        <v/>
      </c>
      <c r="E159" s="252" t="str">
        <f t="shared" ca="1" si="49"/>
        <v/>
      </c>
      <c r="F159" s="252">
        <f t="shared" ca="1" si="42"/>
        <v>0</v>
      </c>
      <c r="G159" s="248">
        <f t="shared" ca="1" si="43"/>
        <v>0</v>
      </c>
      <c r="H159" s="247">
        <f t="shared" ca="1" si="39"/>
        <v>0</v>
      </c>
      <c r="I159" s="246" t="str">
        <f t="shared" ca="1" si="44"/>
        <v/>
      </c>
      <c r="J159" s="259" t="str">
        <f ca="1">IF($C159="","",IFERROR(INDEX(NVLSX!$M$4:$M$6941,MATCH($C159,NVLSX!$E$4:$E$6941,0)),0))</f>
        <v/>
      </c>
      <c r="K159" s="259">
        <f ca="1" xml:space="preserve"> IFERROR(IF($Q159=NVLSX!$N$4,INDEX(IF($R$1=DanhMuc!$C$179,DanhMuc!$C$180:$C$188,DanhMuc!$D$180:$D$188),MATCH($F$4,DanhMuc!$B$180:$B$188,0)),0),0)</f>
        <v>0</v>
      </c>
      <c r="L159" s="263">
        <f t="shared" ca="1" si="40"/>
        <v>0</v>
      </c>
      <c r="M159" s="913">
        <f t="shared" ca="1" si="45"/>
        <v>0</v>
      </c>
      <c r="N159" s="560">
        <f t="shared" ca="1" si="46"/>
        <v>0</v>
      </c>
      <c r="O159" s="560">
        <f t="shared" ca="1" si="47"/>
        <v>0</v>
      </c>
      <c r="P159" s="584" t="str">
        <f t="shared" ca="1" si="48"/>
        <v/>
      </c>
      <c r="Q159" s="548" t="str">
        <f ca="1">IF(OR($C159="",$C159=0),"",INDEX(NVLSX!N$6:N$6941,MATCH($C159,NVLSX!$E$6:$E$6941,0)))</f>
        <v/>
      </c>
      <c r="R159" s="585" t="str">
        <f ca="1">IF(TYPE(MATCH($T$13,OFFSET($T$14,R158,0):$T$106,0)+R158)=16,"",MATCH($T$13,OFFSET($T$14,R158,0):$T$106,0)+R158)</f>
        <v/>
      </c>
      <c r="S159" s="502"/>
      <c r="T159" s="586"/>
      <c r="U159" s="505"/>
      <c r="V159" s="557"/>
      <c r="W159" s="557"/>
      <c r="X159" s="505"/>
      <c r="Y159" s="557"/>
      <c r="AA159" s="557"/>
      <c r="AB159" s="557"/>
      <c r="AC159" s="557"/>
      <c r="AD159" s="557"/>
      <c r="AE159" s="711"/>
      <c r="AF159" s="270"/>
      <c r="AG159" s="270"/>
      <c r="AH159" s="270"/>
      <c r="AI159" s="270"/>
      <c r="AJ159" s="270"/>
      <c r="AK159" s="270"/>
      <c r="AL159" s="270"/>
      <c r="AM159" s="270"/>
      <c r="AN159" s="270"/>
    </row>
    <row r="160" spans="1:40" s="142" customFormat="1" ht="12.5">
      <c r="A160" s="1426"/>
      <c r="B160" s="149" t="str">
        <f t="shared" ca="1" si="49"/>
        <v/>
      </c>
      <c r="C160" s="291" t="str">
        <f t="shared" ca="1" si="49"/>
        <v/>
      </c>
      <c r="D160" s="254" t="str">
        <f t="shared" ca="1" si="49"/>
        <v/>
      </c>
      <c r="E160" s="252" t="str">
        <f t="shared" ca="1" si="49"/>
        <v/>
      </c>
      <c r="F160" s="252">
        <f t="shared" ca="1" si="42"/>
        <v>0</v>
      </c>
      <c r="G160" s="248">
        <f t="shared" ca="1" si="43"/>
        <v>0</v>
      </c>
      <c r="H160" s="247">
        <f t="shared" ca="1" si="39"/>
        <v>0</v>
      </c>
      <c r="I160" s="246" t="str">
        <f t="shared" ca="1" si="44"/>
        <v/>
      </c>
      <c r="J160" s="259" t="str">
        <f ca="1">IF($C160="","",IFERROR(INDEX(NVLSX!$M$4:$M$6941,MATCH($C160,NVLSX!$E$4:$E$6941,0)),0))</f>
        <v/>
      </c>
      <c r="K160" s="259">
        <f ca="1" xml:space="preserve"> IFERROR(IF($Q160=NVLSX!$N$4,INDEX(IF($R$1=DanhMuc!$C$179,DanhMuc!$C$180:$C$188,DanhMuc!$D$180:$D$188),MATCH($F$4,DanhMuc!$B$180:$B$188,0)),0),0)</f>
        <v>0</v>
      </c>
      <c r="L160" s="263">
        <f t="shared" ca="1" si="40"/>
        <v>0</v>
      </c>
      <c r="M160" s="913">
        <f t="shared" ca="1" si="45"/>
        <v>0</v>
      </c>
      <c r="N160" s="560">
        <f t="shared" ca="1" si="46"/>
        <v>0</v>
      </c>
      <c r="O160" s="560">
        <f t="shared" ca="1" si="47"/>
        <v>0</v>
      </c>
      <c r="P160" s="584" t="str">
        <f t="shared" ca="1" si="48"/>
        <v/>
      </c>
      <c r="Q160" s="548" t="str">
        <f ca="1">IF(OR($C160="",$C160=0),"",INDEX(NVLSX!N$6:N$6941,MATCH($C160,NVLSX!$E$6:$E$6941,0)))</f>
        <v/>
      </c>
      <c r="R160" s="585" t="str">
        <f ca="1">IF(TYPE(MATCH($T$13,OFFSET($T$14,R159,0):$T$106,0)+R159)=16,"",MATCH($T$13,OFFSET($T$14,R159,0):$T$106,0)+R159)</f>
        <v/>
      </c>
      <c r="S160" s="502"/>
      <c r="T160" s="586"/>
      <c r="U160" s="505"/>
      <c r="V160" s="557"/>
      <c r="W160" s="557"/>
      <c r="X160" s="505"/>
      <c r="Y160" s="557"/>
      <c r="AA160" s="557"/>
      <c r="AB160" s="557"/>
      <c r="AC160" s="557"/>
      <c r="AD160" s="557"/>
      <c r="AE160" s="711"/>
      <c r="AF160" s="270"/>
      <c r="AG160" s="270"/>
      <c r="AH160" s="270"/>
      <c r="AI160" s="270"/>
      <c r="AJ160" s="270"/>
      <c r="AK160" s="270"/>
      <c r="AL160" s="270"/>
      <c r="AM160" s="270"/>
      <c r="AN160" s="270"/>
    </row>
    <row r="161" spans="1:40" s="142" customFormat="1" ht="12.5">
      <c r="A161" s="1426"/>
      <c r="B161" s="149" t="str">
        <f t="shared" ca="1" si="49"/>
        <v/>
      </c>
      <c r="C161" s="291" t="str">
        <f t="shared" ca="1" si="49"/>
        <v/>
      </c>
      <c r="D161" s="254" t="str">
        <f t="shared" ca="1" si="49"/>
        <v/>
      </c>
      <c r="E161" s="252" t="str">
        <f t="shared" ca="1" si="49"/>
        <v/>
      </c>
      <c r="F161" s="252">
        <f t="shared" ca="1" si="42"/>
        <v>0</v>
      </c>
      <c r="G161" s="248">
        <f t="shared" ca="1" si="43"/>
        <v>0</v>
      </c>
      <c r="H161" s="247">
        <f t="shared" ca="1" si="39"/>
        <v>0</v>
      </c>
      <c r="I161" s="246" t="str">
        <f t="shared" ca="1" si="44"/>
        <v/>
      </c>
      <c r="J161" s="259" t="str">
        <f ca="1">IF($C161="","",IFERROR(INDEX(NVLSX!$M$4:$M$6941,MATCH($C161,NVLSX!$E$4:$E$6941,0)),0))</f>
        <v/>
      </c>
      <c r="K161" s="259">
        <f ca="1" xml:space="preserve"> IFERROR(IF($Q161=NVLSX!$N$4,INDEX(IF($R$1=DanhMuc!$C$179,DanhMuc!$C$180:$C$188,DanhMuc!$D$180:$D$188),MATCH($F$4,DanhMuc!$B$180:$B$188,0)),0),0)</f>
        <v>0</v>
      </c>
      <c r="L161" s="263">
        <f t="shared" ca="1" si="40"/>
        <v>0</v>
      </c>
      <c r="M161" s="913">
        <f t="shared" ca="1" si="45"/>
        <v>0</v>
      </c>
      <c r="N161" s="560">
        <f t="shared" ca="1" si="46"/>
        <v>0</v>
      </c>
      <c r="O161" s="560">
        <f t="shared" ca="1" si="47"/>
        <v>0</v>
      </c>
      <c r="P161" s="584" t="str">
        <f t="shared" ca="1" si="48"/>
        <v/>
      </c>
      <c r="Q161" s="548" t="str">
        <f ca="1">IF(OR($C161="",$C161=0),"",INDEX(NVLSX!N$6:N$6941,MATCH($C161,NVLSX!$E$6:$E$6941,0)))</f>
        <v/>
      </c>
      <c r="R161" s="585" t="str">
        <f ca="1">IF(TYPE(MATCH($T$13,OFFSET($T$14,R160,0):$T$106,0)+R160)=16,"",MATCH($T$13,OFFSET($T$14,R160,0):$T$106,0)+R160)</f>
        <v/>
      </c>
      <c r="S161" s="502"/>
      <c r="T161" s="586"/>
      <c r="U161" s="505"/>
      <c r="V161" s="557"/>
      <c r="W161" s="557"/>
      <c r="X161" s="505"/>
      <c r="Y161" s="557"/>
      <c r="AA161" s="557"/>
      <c r="AB161" s="557"/>
      <c r="AC161" s="557"/>
      <c r="AD161" s="557"/>
      <c r="AE161" s="711"/>
      <c r="AF161" s="270"/>
      <c r="AG161" s="270"/>
      <c r="AH161" s="270"/>
      <c r="AI161" s="270"/>
      <c r="AJ161" s="270"/>
      <c r="AK161" s="270"/>
      <c r="AL161" s="270"/>
      <c r="AM161" s="270"/>
      <c r="AN161" s="270"/>
    </row>
    <row r="162" spans="1:40" s="142" customFormat="1" ht="12.5">
      <c r="A162" s="1426"/>
      <c r="B162" s="149" t="str">
        <f t="shared" ca="1" si="49"/>
        <v/>
      </c>
      <c r="C162" s="291" t="str">
        <f t="shared" ca="1" si="49"/>
        <v/>
      </c>
      <c r="D162" s="254" t="str">
        <f t="shared" ca="1" si="49"/>
        <v/>
      </c>
      <c r="E162" s="252" t="str">
        <f t="shared" ca="1" si="49"/>
        <v/>
      </c>
      <c r="F162" s="252">
        <f t="shared" ca="1" si="42"/>
        <v>0</v>
      </c>
      <c r="G162" s="248">
        <f t="shared" ca="1" si="43"/>
        <v>0</v>
      </c>
      <c r="H162" s="247">
        <f t="shared" ca="1" si="39"/>
        <v>0</v>
      </c>
      <c r="I162" s="246" t="str">
        <f t="shared" ca="1" si="44"/>
        <v/>
      </c>
      <c r="J162" s="259" t="str">
        <f ca="1">IF($C162="","",IFERROR(INDEX(NVLSX!$M$4:$M$6941,MATCH($C162,NVLSX!$E$4:$E$6941,0)),0))</f>
        <v/>
      </c>
      <c r="K162" s="259">
        <f ca="1" xml:space="preserve"> IFERROR(IF($Q162=NVLSX!$N$4,INDEX(IF($R$1=DanhMuc!$C$179,DanhMuc!$C$180:$C$188,DanhMuc!$D$180:$D$188),MATCH($F$4,DanhMuc!$B$180:$B$188,0)),0),0)</f>
        <v>0</v>
      </c>
      <c r="L162" s="263">
        <f t="shared" ca="1" si="40"/>
        <v>0</v>
      </c>
      <c r="M162" s="913">
        <f t="shared" ca="1" si="45"/>
        <v>0</v>
      </c>
      <c r="N162" s="560">
        <f t="shared" ca="1" si="46"/>
        <v>0</v>
      </c>
      <c r="O162" s="560">
        <f t="shared" ca="1" si="47"/>
        <v>0</v>
      </c>
      <c r="P162" s="584" t="str">
        <f t="shared" ca="1" si="48"/>
        <v/>
      </c>
      <c r="Q162" s="548" t="str">
        <f ca="1">IF(OR($C162="",$C162=0),"",INDEX(NVLSX!N$6:N$6941,MATCH($C162,NVLSX!$E$6:$E$6941,0)))</f>
        <v/>
      </c>
      <c r="R162" s="585" t="str">
        <f ca="1">IF(TYPE(MATCH($T$13,OFFSET($T$14,R161,0):$T$106,0)+R161)=16,"",MATCH($T$13,OFFSET($T$14,R161,0):$T$106,0)+R161)</f>
        <v/>
      </c>
      <c r="S162" s="502"/>
      <c r="T162" s="586"/>
      <c r="U162" s="505"/>
      <c r="V162" s="557"/>
      <c r="W162" s="557"/>
      <c r="X162" s="505"/>
      <c r="Y162" s="557"/>
      <c r="AA162" s="557"/>
      <c r="AB162" s="557"/>
      <c r="AC162" s="557"/>
      <c r="AD162" s="557"/>
      <c r="AE162" s="711"/>
      <c r="AF162" s="270"/>
      <c r="AG162" s="270"/>
      <c r="AH162" s="270"/>
      <c r="AI162" s="270"/>
      <c r="AJ162" s="270"/>
      <c r="AK162" s="270"/>
      <c r="AL162" s="270"/>
      <c r="AM162" s="270"/>
      <c r="AN162" s="270"/>
    </row>
    <row r="163" spans="1:40" s="142" customFormat="1" ht="12.5">
      <c r="A163" s="1426"/>
      <c r="B163" s="149" t="str">
        <f t="shared" ca="1" si="49"/>
        <v/>
      </c>
      <c r="C163" s="291" t="str">
        <f t="shared" ca="1" si="49"/>
        <v/>
      </c>
      <c r="D163" s="254" t="str">
        <f t="shared" ca="1" si="49"/>
        <v/>
      </c>
      <c r="E163" s="252" t="str">
        <f t="shared" ca="1" si="49"/>
        <v/>
      </c>
      <c r="F163" s="252">
        <f t="shared" ca="1" si="42"/>
        <v>0</v>
      </c>
      <c r="G163" s="248">
        <f t="shared" ca="1" si="43"/>
        <v>0</v>
      </c>
      <c r="H163" s="247">
        <f t="shared" ca="1" si="39"/>
        <v>0</v>
      </c>
      <c r="I163" s="246" t="str">
        <f t="shared" ca="1" si="44"/>
        <v/>
      </c>
      <c r="J163" s="259" t="str">
        <f ca="1">IF($C163="","",IFERROR(INDEX(NVLSX!$M$4:$M$6941,MATCH($C163,NVLSX!$E$4:$E$6941,0)),0))</f>
        <v/>
      </c>
      <c r="K163" s="259">
        <f ca="1" xml:space="preserve"> IFERROR(IF($Q163=NVLSX!$N$4,INDEX(IF($R$1=DanhMuc!$C$179,DanhMuc!$C$180:$C$188,DanhMuc!$D$180:$D$188),MATCH($F$4,DanhMuc!$B$180:$B$188,0)),0),0)</f>
        <v>0</v>
      </c>
      <c r="L163" s="263">
        <f t="shared" ca="1" si="40"/>
        <v>0</v>
      </c>
      <c r="M163" s="913">
        <f t="shared" ca="1" si="45"/>
        <v>0</v>
      </c>
      <c r="N163" s="560">
        <f t="shared" ca="1" si="46"/>
        <v>0</v>
      </c>
      <c r="O163" s="560">
        <f t="shared" ca="1" si="47"/>
        <v>0</v>
      </c>
      <c r="P163" s="584" t="str">
        <f t="shared" ca="1" si="48"/>
        <v/>
      </c>
      <c r="Q163" s="548" t="str">
        <f ca="1">IF(OR($C163="",$C163=0),"",INDEX(NVLSX!N$6:N$6941,MATCH($C163,NVLSX!$E$6:$E$6941,0)))</f>
        <v/>
      </c>
      <c r="R163" s="585" t="str">
        <f ca="1">IF(TYPE(MATCH($T$13,OFFSET($T$14,R162,0):$T$106,0)+R162)=16,"",MATCH($T$13,OFFSET($T$14,R162,0):$T$106,0)+R162)</f>
        <v/>
      </c>
      <c r="S163" s="502"/>
      <c r="T163" s="586"/>
      <c r="U163" s="505"/>
      <c r="V163" s="557"/>
      <c r="W163" s="557"/>
      <c r="X163" s="505"/>
      <c r="Y163" s="557"/>
      <c r="AA163" s="557"/>
      <c r="AB163" s="557"/>
      <c r="AC163" s="557"/>
      <c r="AD163" s="557"/>
      <c r="AE163" s="711"/>
      <c r="AF163" s="270"/>
      <c r="AG163" s="270"/>
      <c r="AH163" s="270"/>
      <c r="AI163" s="270"/>
      <c r="AJ163" s="270"/>
      <c r="AK163" s="270"/>
      <c r="AL163" s="270"/>
      <c r="AM163" s="270"/>
      <c r="AN163" s="270"/>
    </row>
    <row r="164" spans="1:40" s="142" customFormat="1" ht="12.5">
      <c r="A164" s="1426"/>
      <c r="B164" s="149" t="str">
        <f t="shared" ca="1" si="49"/>
        <v/>
      </c>
      <c r="C164" s="291" t="str">
        <f t="shared" ca="1" si="49"/>
        <v/>
      </c>
      <c r="D164" s="254" t="str">
        <f t="shared" ca="1" si="49"/>
        <v/>
      </c>
      <c r="E164" s="252" t="str">
        <f t="shared" ca="1" si="49"/>
        <v/>
      </c>
      <c r="F164" s="252">
        <f t="shared" ca="1" si="42"/>
        <v>0</v>
      </c>
      <c r="G164" s="248">
        <f t="shared" ca="1" si="43"/>
        <v>0</v>
      </c>
      <c r="H164" s="247">
        <f t="shared" ca="1" si="39"/>
        <v>0</v>
      </c>
      <c r="I164" s="246" t="str">
        <f t="shared" ca="1" si="44"/>
        <v/>
      </c>
      <c r="J164" s="259" t="str">
        <f ca="1">IF($C164="","",IFERROR(INDEX(NVLSX!$M$4:$M$6941,MATCH($C164,NVLSX!$E$4:$E$6941,0)),0))</f>
        <v/>
      </c>
      <c r="K164" s="259">
        <f ca="1" xml:space="preserve"> IFERROR(IF($Q164=NVLSX!$N$4,INDEX(IF($R$1=DanhMuc!$C$179,DanhMuc!$C$180:$C$188,DanhMuc!$D$180:$D$188),MATCH($F$4,DanhMuc!$B$180:$B$188,0)),0),0)</f>
        <v>0</v>
      </c>
      <c r="L164" s="263">
        <f t="shared" ca="1" si="40"/>
        <v>0</v>
      </c>
      <c r="M164" s="913">
        <f t="shared" ca="1" si="45"/>
        <v>0</v>
      </c>
      <c r="N164" s="560">
        <f t="shared" ca="1" si="46"/>
        <v>0</v>
      </c>
      <c r="O164" s="560">
        <f t="shared" ca="1" si="47"/>
        <v>0</v>
      </c>
      <c r="P164" s="584" t="str">
        <f t="shared" ca="1" si="48"/>
        <v/>
      </c>
      <c r="Q164" s="548" t="str">
        <f ca="1">IF(OR($C164="",$C164=0),"",INDEX(NVLSX!N$6:N$6941,MATCH($C164,NVLSX!$E$6:$E$6941,0)))</f>
        <v/>
      </c>
      <c r="R164" s="585" t="str">
        <f ca="1">IF(TYPE(MATCH($T$13,OFFSET($T$14,R163,0):$T$106,0)+R163)=16,"",MATCH($T$13,OFFSET($T$14,R163,0):$T$106,0)+R163)</f>
        <v/>
      </c>
      <c r="S164" s="502"/>
      <c r="T164" s="586"/>
      <c r="U164" s="505"/>
      <c r="V164" s="557"/>
      <c r="W164" s="557"/>
      <c r="X164" s="505"/>
      <c r="Y164" s="557"/>
      <c r="AA164" s="557"/>
      <c r="AB164" s="557"/>
      <c r="AC164" s="557"/>
      <c r="AD164" s="557"/>
      <c r="AE164" s="711"/>
      <c r="AF164" s="270"/>
      <c r="AG164" s="270"/>
      <c r="AH164" s="270"/>
      <c r="AI164" s="270"/>
      <c r="AJ164" s="270"/>
      <c r="AK164" s="270"/>
      <c r="AL164" s="270"/>
      <c r="AM164" s="270"/>
      <c r="AN164" s="270"/>
    </row>
    <row r="165" spans="1:40" s="142" customFormat="1" ht="12.5">
      <c r="A165" s="1426"/>
      <c r="B165" s="149" t="str">
        <f t="shared" ca="1" si="49"/>
        <v/>
      </c>
      <c r="C165" s="291" t="str">
        <f t="shared" ca="1" si="49"/>
        <v/>
      </c>
      <c r="D165" s="254" t="str">
        <f t="shared" ca="1" si="49"/>
        <v/>
      </c>
      <c r="E165" s="252" t="str">
        <f t="shared" ca="1" si="49"/>
        <v/>
      </c>
      <c r="F165" s="252">
        <f t="shared" ca="1" si="42"/>
        <v>0</v>
      </c>
      <c r="G165" s="248">
        <f t="shared" ca="1" si="43"/>
        <v>0</v>
      </c>
      <c r="H165" s="247">
        <f t="shared" ca="1" si="39"/>
        <v>0</v>
      </c>
      <c r="I165" s="246" t="str">
        <f t="shared" ca="1" si="44"/>
        <v/>
      </c>
      <c r="J165" s="259" t="str">
        <f ca="1">IF($C165="","",IFERROR(INDEX(NVLSX!$M$4:$M$6941,MATCH($C165,NVLSX!$E$4:$E$6941,0)),0))</f>
        <v/>
      </c>
      <c r="K165" s="259">
        <f ca="1" xml:space="preserve"> IFERROR(IF($Q165=NVLSX!$N$4,INDEX(IF($R$1=DanhMuc!$C$179,DanhMuc!$C$180:$C$188,DanhMuc!$D$180:$D$188),MATCH($F$4,DanhMuc!$B$180:$B$188,0)),0),0)</f>
        <v>0</v>
      </c>
      <c r="L165" s="263">
        <f t="shared" ca="1" si="40"/>
        <v>0</v>
      </c>
      <c r="M165" s="913">
        <f t="shared" ca="1" si="45"/>
        <v>0</v>
      </c>
      <c r="N165" s="560">
        <f t="shared" ca="1" si="46"/>
        <v>0</v>
      </c>
      <c r="O165" s="560">
        <f t="shared" ca="1" si="47"/>
        <v>0</v>
      </c>
      <c r="P165" s="584" t="str">
        <f t="shared" ca="1" si="48"/>
        <v/>
      </c>
      <c r="Q165" s="548" t="str">
        <f ca="1">IF(OR($C165="",$C165=0),"",INDEX(NVLSX!N$6:N$6941,MATCH($C165,NVLSX!$E$6:$E$6941,0)))</f>
        <v/>
      </c>
      <c r="R165" s="585" t="str">
        <f ca="1">IF(TYPE(MATCH($T$13,OFFSET($T$14,R164,0):$T$106,0)+R164)=16,"",MATCH($T$13,OFFSET($T$14,R164,0):$T$106,0)+R164)</f>
        <v/>
      </c>
      <c r="S165" s="502"/>
      <c r="T165" s="586"/>
      <c r="U165" s="505"/>
      <c r="V165" s="557"/>
      <c r="W165" s="557"/>
      <c r="X165" s="505"/>
      <c r="Y165" s="557"/>
      <c r="AA165" s="557"/>
      <c r="AB165" s="557"/>
      <c r="AC165" s="557"/>
      <c r="AD165" s="557"/>
      <c r="AE165" s="711"/>
      <c r="AF165" s="270"/>
      <c r="AG165" s="270"/>
      <c r="AH165" s="270"/>
      <c r="AI165" s="270"/>
      <c r="AJ165" s="270"/>
      <c r="AK165" s="270"/>
      <c r="AL165" s="270"/>
      <c r="AM165" s="270"/>
      <c r="AN165" s="270"/>
    </row>
    <row r="166" spans="1:40" s="142" customFormat="1" ht="12.5">
      <c r="A166" s="1426"/>
      <c r="B166" s="149" t="str">
        <f t="shared" ca="1" si="49"/>
        <v/>
      </c>
      <c r="C166" s="291" t="str">
        <f t="shared" ca="1" si="49"/>
        <v/>
      </c>
      <c r="D166" s="254" t="str">
        <f t="shared" ca="1" si="49"/>
        <v/>
      </c>
      <c r="E166" s="252" t="str">
        <f t="shared" ca="1" si="49"/>
        <v/>
      </c>
      <c r="F166" s="252">
        <f t="shared" ca="1" si="42"/>
        <v>0</v>
      </c>
      <c r="G166" s="248">
        <f t="shared" ca="1" si="43"/>
        <v>0</v>
      </c>
      <c r="H166" s="247">
        <f t="shared" ca="1" si="39"/>
        <v>0</v>
      </c>
      <c r="I166" s="246" t="str">
        <f t="shared" ca="1" si="44"/>
        <v/>
      </c>
      <c r="J166" s="259" t="str">
        <f ca="1">IF($C166="","",IFERROR(INDEX(NVLSX!$M$4:$M$6941,MATCH($C166,NVLSX!$E$4:$E$6941,0)),0))</f>
        <v/>
      </c>
      <c r="K166" s="259">
        <f ca="1" xml:space="preserve"> IFERROR(IF($Q166=NVLSX!$N$4,INDEX(IF($R$1=DanhMuc!$C$179,DanhMuc!$C$180:$C$188,DanhMuc!$D$180:$D$188),MATCH($F$4,DanhMuc!$B$180:$B$188,0)),0),0)</f>
        <v>0</v>
      </c>
      <c r="L166" s="263">
        <f t="shared" ca="1" si="40"/>
        <v>0</v>
      </c>
      <c r="M166" s="913">
        <f t="shared" ca="1" si="45"/>
        <v>0</v>
      </c>
      <c r="N166" s="560">
        <f t="shared" ca="1" si="46"/>
        <v>0</v>
      </c>
      <c r="O166" s="560">
        <f t="shared" ca="1" si="47"/>
        <v>0</v>
      </c>
      <c r="P166" s="584" t="str">
        <f t="shared" ca="1" si="48"/>
        <v/>
      </c>
      <c r="Q166" s="548" t="str">
        <f ca="1">IF(OR($C166="",$C166=0),"",INDEX(NVLSX!N$6:N$6941,MATCH($C166,NVLSX!$E$6:$E$6941,0)))</f>
        <v/>
      </c>
      <c r="R166" s="585" t="str">
        <f ca="1">IF(TYPE(MATCH($T$13,OFFSET($T$14,R165,0):$T$106,0)+R165)=16,"",MATCH($T$13,OFFSET($T$14,R165,0):$T$106,0)+R165)</f>
        <v/>
      </c>
      <c r="S166" s="502"/>
      <c r="T166" s="586"/>
      <c r="U166" s="505"/>
      <c r="V166" s="557"/>
      <c r="W166" s="557"/>
      <c r="X166" s="505"/>
      <c r="Y166" s="557"/>
      <c r="AA166" s="557"/>
      <c r="AB166" s="557"/>
      <c r="AC166" s="557"/>
      <c r="AD166" s="557"/>
      <c r="AE166" s="711"/>
      <c r="AF166" s="270"/>
      <c r="AG166" s="270"/>
      <c r="AH166" s="270"/>
      <c r="AI166" s="270"/>
      <c r="AJ166" s="270"/>
      <c r="AK166" s="270"/>
      <c r="AL166" s="270"/>
      <c r="AM166" s="270"/>
      <c r="AN166" s="270"/>
    </row>
    <row r="167" spans="1:40" s="142" customFormat="1" ht="12.5">
      <c r="A167" s="1426"/>
      <c r="B167" s="149" t="str">
        <f t="shared" ca="1" si="49"/>
        <v/>
      </c>
      <c r="C167" s="291" t="str">
        <f t="shared" ca="1" si="49"/>
        <v/>
      </c>
      <c r="D167" s="254" t="str">
        <f t="shared" ca="1" si="49"/>
        <v/>
      </c>
      <c r="E167" s="252" t="str">
        <f t="shared" ca="1" si="49"/>
        <v/>
      </c>
      <c r="F167" s="252">
        <f t="shared" ca="1" si="42"/>
        <v>0</v>
      </c>
      <c r="G167" s="248">
        <f t="shared" ca="1" si="43"/>
        <v>0</v>
      </c>
      <c r="H167" s="247">
        <f t="shared" ca="1" si="39"/>
        <v>0</v>
      </c>
      <c r="I167" s="246" t="str">
        <f t="shared" ca="1" si="44"/>
        <v/>
      </c>
      <c r="J167" s="259" t="str">
        <f ca="1">IF($C167="","",IFERROR(INDEX(NVLSX!$M$4:$M$6941,MATCH($C167,NVLSX!$E$4:$E$6941,0)),0))</f>
        <v/>
      </c>
      <c r="K167" s="259">
        <f ca="1" xml:space="preserve"> IFERROR(IF($Q167=NVLSX!$N$4,INDEX(IF($R$1=DanhMuc!$C$179,DanhMuc!$C$180:$C$188,DanhMuc!$D$180:$D$188),MATCH($F$4,DanhMuc!$B$180:$B$188,0)),0),0)</f>
        <v>0</v>
      </c>
      <c r="L167" s="263">
        <f t="shared" ca="1" si="40"/>
        <v>0</v>
      </c>
      <c r="M167" s="913">
        <f t="shared" ca="1" si="45"/>
        <v>0</v>
      </c>
      <c r="N167" s="560">
        <f t="shared" ca="1" si="46"/>
        <v>0</v>
      </c>
      <c r="O167" s="560">
        <f t="shared" ca="1" si="47"/>
        <v>0</v>
      </c>
      <c r="P167" s="584" t="str">
        <f t="shared" ca="1" si="48"/>
        <v/>
      </c>
      <c r="Q167" s="548" t="str">
        <f ca="1">IF(OR($C167="",$C167=0),"",INDEX(NVLSX!N$6:N$6941,MATCH($C167,NVLSX!$E$6:$E$6941,0)))</f>
        <v/>
      </c>
      <c r="R167" s="585" t="str">
        <f ca="1">IF(TYPE(MATCH($T$13,OFFSET($T$14,R166,0):$T$106,0)+R166)=16,"",MATCH($T$13,OFFSET($T$14,R166,0):$T$106,0)+R166)</f>
        <v/>
      </c>
      <c r="S167" s="502"/>
      <c r="T167" s="586"/>
      <c r="U167" s="505"/>
      <c r="V167" s="557"/>
      <c r="W167" s="557"/>
      <c r="X167" s="505"/>
      <c r="Y167" s="557"/>
      <c r="AA167" s="557"/>
      <c r="AB167" s="557"/>
      <c r="AC167" s="557"/>
      <c r="AD167" s="557"/>
      <c r="AE167" s="711"/>
      <c r="AF167" s="270"/>
      <c r="AG167" s="270"/>
      <c r="AH167" s="270"/>
      <c r="AI167" s="270"/>
      <c r="AJ167" s="270"/>
      <c r="AK167" s="270"/>
      <c r="AL167" s="270"/>
      <c r="AM167" s="270"/>
      <c r="AN167" s="270"/>
    </row>
    <row r="168" spans="1:40" s="142" customFormat="1" ht="12.5">
      <c r="A168" s="1426"/>
      <c r="B168" s="149" t="str">
        <f t="shared" ref="B168:E174" ca="1" si="50">IF($R168="","",INDEX(B$14:B$106,$R168))</f>
        <v/>
      </c>
      <c r="C168" s="291" t="str">
        <f t="shared" ca="1" si="50"/>
        <v/>
      </c>
      <c r="D168" s="254" t="str">
        <f t="shared" ca="1" si="50"/>
        <v/>
      </c>
      <c r="E168" s="252" t="str">
        <f t="shared" ca="1" si="50"/>
        <v/>
      </c>
      <c r="F168" s="252">
        <f t="shared" ca="1" si="42"/>
        <v>0</v>
      </c>
      <c r="G168" s="248">
        <f t="shared" ca="1" si="43"/>
        <v>0</v>
      </c>
      <c r="H168" s="247">
        <f t="shared" ca="1" si="39"/>
        <v>0</v>
      </c>
      <c r="I168" s="246" t="str">
        <f t="shared" ca="1" si="44"/>
        <v/>
      </c>
      <c r="J168" s="259" t="str">
        <f ca="1">IF($C168="","",IFERROR(INDEX(NVLSX!$M$4:$M$6941,MATCH($C168,NVLSX!$E$4:$E$6941,0)),0))</f>
        <v/>
      </c>
      <c r="K168" s="259">
        <f ca="1" xml:space="preserve"> IFERROR(IF($Q168=NVLSX!$N$4,INDEX(IF($R$1=DanhMuc!$C$179,DanhMuc!$C$180:$C$188,DanhMuc!$D$180:$D$188),MATCH($F$4,DanhMuc!$B$180:$B$188,0)),0),0)</f>
        <v>0</v>
      </c>
      <c r="L168" s="263">
        <f t="shared" ca="1" si="40"/>
        <v>0</v>
      </c>
      <c r="M168" s="913">
        <f t="shared" ca="1" si="45"/>
        <v>0</v>
      </c>
      <c r="N168" s="560">
        <f t="shared" ca="1" si="46"/>
        <v>0</v>
      </c>
      <c r="O168" s="560">
        <f t="shared" ca="1" si="47"/>
        <v>0</v>
      </c>
      <c r="P168" s="584" t="str">
        <f t="shared" ca="1" si="48"/>
        <v/>
      </c>
      <c r="Q168" s="548" t="str">
        <f ca="1">IF(OR($C168="",$C168=0),"",INDEX(NVLSX!N$6:N$6941,MATCH($C168,NVLSX!$E$6:$E$6941,0)))</f>
        <v/>
      </c>
      <c r="R168" s="585" t="str">
        <f ca="1">IF(TYPE(MATCH($T$13,OFFSET($T$14,R167,0):$T$106,0)+R167)=16,"",MATCH($T$13,OFFSET($T$14,R167,0):$T$106,0)+R167)</f>
        <v/>
      </c>
      <c r="S168" s="502"/>
      <c r="T168" s="586"/>
      <c r="U168" s="505"/>
      <c r="V168" s="557"/>
      <c r="W168" s="557"/>
      <c r="X168" s="505"/>
      <c r="Y168" s="557"/>
      <c r="AA168" s="557"/>
      <c r="AB168" s="557"/>
      <c r="AC168" s="557"/>
      <c r="AD168" s="557"/>
      <c r="AE168" s="711"/>
      <c r="AF168" s="270"/>
      <c r="AG168" s="270"/>
      <c r="AH168" s="270"/>
      <c r="AI168" s="270"/>
      <c r="AJ168" s="270"/>
      <c r="AK168" s="270"/>
      <c r="AL168" s="270"/>
      <c r="AM168" s="270"/>
      <c r="AN168" s="270"/>
    </row>
    <row r="169" spans="1:40" s="142" customFormat="1" ht="12.5">
      <c r="A169" s="1426"/>
      <c r="B169" s="149" t="str">
        <f t="shared" ca="1" si="50"/>
        <v/>
      </c>
      <c r="C169" s="291" t="str">
        <f t="shared" ca="1" si="50"/>
        <v/>
      </c>
      <c r="D169" s="254" t="str">
        <f t="shared" ca="1" si="50"/>
        <v/>
      </c>
      <c r="E169" s="252" t="str">
        <f t="shared" ca="1" si="50"/>
        <v/>
      </c>
      <c r="F169" s="252">
        <f t="shared" ca="1" si="42"/>
        <v>0</v>
      </c>
      <c r="G169" s="248">
        <f t="shared" ca="1" si="43"/>
        <v>0</v>
      </c>
      <c r="H169" s="247">
        <f t="shared" ca="1" si="39"/>
        <v>0</v>
      </c>
      <c r="I169" s="246" t="str">
        <f t="shared" ca="1" si="44"/>
        <v/>
      </c>
      <c r="J169" s="259" t="str">
        <f ca="1">IF($C169="","",IFERROR(INDEX(NVLSX!$M$4:$M$6941,MATCH($C169,NVLSX!$E$4:$E$6941,0)),0))</f>
        <v/>
      </c>
      <c r="K169" s="259">
        <f ca="1" xml:space="preserve"> IFERROR(IF($Q169=NVLSX!$N$4,INDEX(IF($R$1=DanhMuc!$C$179,DanhMuc!$C$180:$C$188,DanhMuc!$D$180:$D$188),MATCH($F$4,DanhMuc!$B$180:$B$188,0)),0),0)</f>
        <v>0</v>
      </c>
      <c r="L169" s="263">
        <f t="shared" ca="1" si="40"/>
        <v>0</v>
      </c>
      <c r="M169" s="913">
        <f t="shared" ca="1" si="45"/>
        <v>0</v>
      </c>
      <c r="N169" s="560">
        <f t="shared" ca="1" si="46"/>
        <v>0</v>
      </c>
      <c r="O169" s="560">
        <f t="shared" ca="1" si="47"/>
        <v>0</v>
      </c>
      <c r="P169" s="584" t="str">
        <f t="shared" ca="1" si="48"/>
        <v/>
      </c>
      <c r="Q169" s="548" t="str">
        <f ca="1">IF(OR($C169="",$C169=0),"",INDEX(NVLSX!N$6:N$6941,MATCH($C169,NVLSX!$E$6:$E$6941,0)))</f>
        <v/>
      </c>
      <c r="R169" s="585" t="str">
        <f ca="1">IF(TYPE(MATCH($T$13,OFFSET($T$14,R168,0):$T$106,0)+R168)=16,"",MATCH($T$13,OFFSET($T$14,R168,0):$T$106,0)+R168)</f>
        <v/>
      </c>
      <c r="S169" s="502"/>
      <c r="T169" s="586"/>
      <c r="U169" s="505"/>
      <c r="V169" s="557"/>
      <c r="W169" s="557"/>
      <c r="X169" s="505"/>
      <c r="Y169" s="557"/>
      <c r="AA169" s="557"/>
      <c r="AB169" s="557"/>
      <c r="AC169" s="557"/>
      <c r="AD169" s="557"/>
      <c r="AE169" s="711"/>
      <c r="AF169" s="270"/>
      <c r="AG169" s="270"/>
      <c r="AH169" s="270"/>
      <c r="AI169" s="270"/>
      <c r="AJ169" s="270"/>
      <c r="AK169" s="270"/>
      <c r="AL169" s="270"/>
      <c r="AM169" s="270"/>
      <c r="AN169" s="270"/>
    </row>
    <row r="170" spans="1:40" s="142" customFormat="1" ht="12.5">
      <c r="A170" s="1426"/>
      <c r="B170" s="149" t="str">
        <f t="shared" ca="1" si="50"/>
        <v/>
      </c>
      <c r="C170" s="291" t="str">
        <f t="shared" ca="1" si="50"/>
        <v/>
      </c>
      <c r="D170" s="254" t="str">
        <f t="shared" ca="1" si="50"/>
        <v/>
      </c>
      <c r="E170" s="252" t="str">
        <f t="shared" ca="1" si="50"/>
        <v/>
      </c>
      <c r="F170" s="252">
        <f t="shared" ca="1" si="42"/>
        <v>0</v>
      </c>
      <c r="G170" s="248">
        <f t="shared" ca="1" si="43"/>
        <v>0</v>
      </c>
      <c r="H170" s="247">
        <f t="shared" ca="1" si="39"/>
        <v>0</v>
      </c>
      <c r="I170" s="246" t="str">
        <f t="shared" ca="1" si="44"/>
        <v/>
      </c>
      <c r="J170" s="259" t="str">
        <f ca="1">IF($C170="","",IFERROR(INDEX(NVLSX!$M$4:$M$6941,MATCH($C170,NVLSX!$E$4:$E$6941,0)),0))</f>
        <v/>
      </c>
      <c r="K170" s="259">
        <f ca="1" xml:space="preserve"> IFERROR(IF($Q170=NVLSX!$N$4,INDEX(IF($R$1=DanhMuc!$C$179,DanhMuc!$C$180:$C$188,DanhMuc!$D$180:$D$188),MATCH($F$4,DanhMuc!$B$180:$B$188,0)),0),0)</f>
        <v>0</v>
      </c>
      <c r="L170" s="263">
        <f t="shared" ca="1" si="40"/>
        <v>0</v>
      </c>
      <c r="M170" s="913">
        <f t="shared" ca="1" si="45"/>
        <v>0</v>
      </c>
      <c r="N170" s="560">
        <f t="shared" ca="1" si="46"/>
        <v>0</v>
      </c>
      <c r="O170" s="560">
        <f t="shared" ca="1" si="47"/>
        <v>0</v>
      </c>
      <c r="P170" s="584" t="str">
        <f t="shared" ca="1" si="48"/>
        <v/>
      </c>
      <c r="Q170" s="548" t="str">
        <f ca="1">IF(OR($C170="",$C170=0),"",INDEX(NVLSX!N$6:N$6941,MATCH($C170,NVLSX!$E$6:$E$6941,0)))</f>
        <v/>
      </c>
      <c r="R170" s="585" t="str">
        <f ca="1">IF(TYPE(MATCH($T$13,OFFSET($T$14,R169,0):$T$106,0)+R169)=16,"",MATCH($T$13,OFFSET($T$14,R169,0):$T$106,0)+R169)</f>
        <v/>
      </c>
      <c r="S170" s="502"/>
      <c r="T170" s="586"/>
      <c r="U170" s="505"/>
      <c r="V170" s="557"/>
      <c r="W170" s="557"/>
      <c r="X170" s="505"/>
      <c r="Y170" s="557"/>
      <c r="AA170" s="557"/>
      <c r="AB170" s="557"/>
      <c r="AC170" s="557"/>
      <c r="AD170" s="557"/>
      <c r="AE170" s="711"/>
      <c r="AF170" s="270"/>
      <c r="AG170" s="270"/>
      <c r="AH170" s="270"/>
      <c r="AI170" s="270"/>
      <c r="AJ170" s="270"/>
      <c r="AK170" s="270"/>
      <c r="AL170" s="270"/>
      <c r="AM170" s="270"/>
      <c r="AN170" s="270"/>
    </row>
    <row r="171" spans="1:40" s="142" customFormat="1" ht="12.5">
      <c r="A171" s="1426"/>
      <c r="B171" s="149" t="str">
        <f t="shared" ca="1" si="50"/>
        <v/>
      </c>
      <c r="C171" s="291" t="str">
        <f t="shared" ca="1" si="50"/>
        <v/>
      </c>
      <c r="D171" s="254" t="str">
        <f t="shared" ca="1" si="50"/>
        <v/>
      </c>
      <c r="E171" s="252" t="str">
        <f t="shared" ca="1" si="50"/>
        <v/>
      </c>
      <c r="F171" s="252">
        <f t="shared" ca="1" si="42"/>
        <v>0</v>
      </c>
      <c r="G171" s="248">
        <f t="shared" ca="1" si="43"/>
        <v>0</v>
      </c>
      <c r="H171" s="247">
        <f t="shared" ca="1" si="39"/>
        <v>0</v>
      </c>
      <c r="I171" s="246" t="str">
        <f t="shared" ca="1" si="44"/>
        <v/>
      </c>
      <c r="J171" s="259" t="str">
        <f ca="1">IF($C171="","",IFERROR(INDEX(NVLSX!$M$4:$M$6941,MATCH($C171,NVLSX!$E$4:$E$6941,0)),0))</f>
        <v/>
      </c>
      <c r="K171" s="259">
        <f ca="1" xml:space="preserve"> IFERROR(IF($Q171=NVLSX!$N$4,INDEX(IF($R$1=DanhMuc!$C$179,DanhMuc!$C$180:$C$188,DanhMuc!$D$180:$D$188),MATCH($F$4,DanhMuc!$B$180:$B$188,0)),0),0)</f>
        <v>0</v>
      </c>
      <c r="L171" s="263">
        <f t="shared" ca="1" si="40"/>
        <v>0</v>
      </c>
      <c r="M171" s="913">
        <f t="shared" ca="1" si="45"/>
        <v>0</v>
      </c>
      <c r="N171" s="560">
        <f t="shared" ca="1" si="46"/>
        <v>0</v>
      </c>
      <c r="O171" s="560">
        <f t="shared" ca="1" si="47"/>
        <v>0</v>
      </c>
      <c r="P171" s="584" t="str">
        <f t="shared" ca="1" si="48"/>
        <v/>
      </c>
      <c r="Q171" s="548" t="str">
        <f ca="1">IF(OR($C171="",$C171=0),"",INDEX(NVLSX!N$6:N$6941,MATCH($C171,NVLSX!$E$6:$E$6941,0)))</f>
        <v/>
      </c>
      <c r="R171" s="585" t="str">
        <f ca="1">IF(TYPE(MATCH($T$13,OFFSET($T$14,R170,0):$T$106,0)+R170)=16,"",MATCH($T$13,OFFSET($T$14,R170,0):$T$106,0)+R170)</f>
        <v/>
      </c>
      <c r="S171" s="502"/>
      <c r="T171" s="586"/>
      <c r="U171" s="505"/>
      <c r="V171" s="557"/>
      <c r="W171" s="557"/>
      <c r="X171" s="505"/>
      <c r="Y171" s="557"/>
      <c r="AA171" s="557"/>
      <c r="AB171" s="557"/>
      <c r="AC171" s="557"/>
      <c r="AD171" s="557"/>
      <c r="AE171" s="711"/>
      <c r="AF171" s="270"/>
      <c r="AG171" s="270"/>
      <c r="AH171" s="270"/>
      <c r="AI171" s="270"/>
      <c r="AJ171" s="270"/>
      <c r="AK171" s="270"/>
      <c r="AL171" s="270"/>
      <c r="AM171" s="270"/>
      <c r="AN171" s="270"/>
    </row>
    <row r="172" spans="1:40" s="142" customFormat="1" ht="12.5">
      <c r="A172" s="1426"/>
      <c r="B172" s="149" t="str">
        <f t="shared" ca="1" si="50"/>
        <v/>
      </c>
      <c r="C172" s="291" t="str">
        <f t="shared" ca="1" si="50"/>
        <v/>
      </c>
      <c r="D172" s="254" t="str">
        <f t="shared" ca="1" si="50"/>
        <v/>
      </c>
      <c r="E172" s="252" t="str">
        <f t="shared" ca="1" si="50"/>
        <v/>
      </c>
      <c r="F172" s="252">
        <f t="shared" ca="1" si="42"/>
        <v>0</v>
      </c>
      <c r="G172" s="248">
        <f t="shared" ca="1" si="43"/>
        <v>0</v>
      </c>
      <c r="H172" s="247">
        <f t="shared" ca="1" si="39"/>
        <v>0</v>
      </c>
      <c r="I172" s="246" t="str">
        <f t="shared" ca="1" si="44"/>
        <v/>
      </c>
      <c r="J172" s="259" t="str">
        <f ca="1">IF($C172="","",IFERROR(INDEX(NVLSX!$M$4:$M$6941,MATCH($C172,NVLSX!$E$4:$E$6941,0)),0))</f>
        <v/>
      </c>
      <c r="K172" s="259">
        <f ca="1" xml:space="preserve"> IFERROR(IF($Q172=NVLSX!$N$4,INDEX(IF($R$1=DanhMuc!$C$179,DanhMuc!$C$180:$C$188,DanhMuc!$D$180:$D$188),MATCH($F$4,DanhMuc!$B$180:$B$188,0)),0),0)</f>
        <v>0</v>
      </c>
      <c r="L172" s="263">
        <f t="shared" ca="1" si="40"/>
        <v>0</v>
      </c>
      <c r="M172" s="913">
        <f t="shared" ca="1" si="45"/>
        <v>0</v>
      </c>
      <c r="N172" s="560">
        <f t="shared" ca="1" si="46"/>
        <v>0</v>
      </c>
      <c r="O172" s="560">
        <f t="shared" ca="1" si="47"/>
        <v>0</v>
      </c>
      <c r="P172" s="584" t="str">
        <f t="shared" ca="1" si="48"/>
        <v/>
      </c>
      <c r="Q172" s="548" t="str">
        <f ca="1">IF(OR($C172="",$C172=0),"",INDEX(NVLSX!N$6:N$6941,MATCH($C172,NVLSX!$E$6:$E$6941,0)))</f>
        <v/>
      </c>
      <c r="R172" s="585" t="str">
        <f ca="1">IF(TYPE(MATCH($T$13,OFFSET($T$14,R171,0):$T$106,0)+R171)=16,"",MATCH($T$13,OFFSET($T$14,R171,0):$T$106,0)+R171)</f>
        <v/>
      </c>
      <c r="S172" s="502"/>
      <c r="T172" s="586"/>
      <c r="U172" s="505"/>
      <c r="V172" s="557"/>
      <c r="W172" s="557"/>
      <c r="X172" s="505"/>
      <c r="Y172" s="557"/>
      <c r="AA172" s="557"/>
      <c r="AB172" s="557"/>
      <c r="AC172" s="557"/>
      <c r="AD172" s="557"/>
      <c r="AE172" s="711"/>
      <c r="AF172" s="270"/>
      <c r="AG172" s="270"/>
      <c r="AH172" s="270"/>
      <c r="AI172" s="270"/>
      <c r="AJ172" s="270"/>
      <c r="AK172" s="270"/>
      <c r="AL172" s="270"/>
      <c r="AM172" s="270"/>
      <c r="AN172" s="270"/>
    </row>
    <row r="173" spans="1:40" s="142" customFormat="1" ht="12.5">
      <c r="A173" s="1426"/>
      <c r="B173" s="149" t="str">
        <f t="shared" ca="1" si="50"/>
        <v/>
      </c>
      <c r="C173" s="291" t="str">
        <f t="shared" ca="1" si="50"/>
        <v/>
      </c>
      <c r="D173" s="254" t="str">
        <f t="shared" ca="1" si="50"/>
        <v/>
      </c>
      <c r="E173" s="252" t="str">
        <f t="shared" ca="1" si="50"/>
        <v/>
      </c>
      <c r="F173" s="252">
        <f t="shared" ca="1" si="42"/>
        <v>0</v>
      </c>
      <c r="G173" s="248">
        <f t="shared" ca="1" si="43"/>
        <v>0</v>
      </c>
      <c r="H173" s="247">
        <f t="shared" ca="1" si="39"/>
        <v>0</v>
      </c>
      <c r="I173" s="246" t="str">
        <f t="shared" ca="1" si="44"/>
        <v/>
      </c>
      <c r="J173" s="259" t="str">
        <f ca="1">IF($C173="","",IFERROR(INDEX(NVLSX!$M$4:$M$6941,MATCH($C173,NVLSX!$E$4:$E$6941,0)),0))</f>
        <v/>
      </c>
      <c r="K173" s="259">
        <f ca="1" xml:space="preserve"> IFERROR(IF($Q173=NVLSX!$N$4,INDEX(IF($R$1=DanhMuc!$C$179,DanhMuc!$C$180:$C$188,DanhMuc!$D$180:$D$188),MATCH($F$4,DanhMuc!$B$180:$B$188,0)),0),0)</f>
        <v>0</v>
      </c>
      <c r="L173" s="263">
        <f t="shared" ref="L173:L174" ca="1" si="51">IF($C173="",0,$H173*($J173+1))</f>
        <v>0</v>
      </c>
      <c r="M173" s="913">
        <f t="shared" ca="1" si="45"/>
        <v>0</v>
      </c>
      <c r="N173" s="560">
        <f t="shared" ca="1" si="46"/>
        <v>0</v>
      </c>
      <c r="O173" s="560">
        <f t="shared" ca="1" si="47"/>
        <v>0</v>
      </c>
      <c r="P173" s="584" t="str">
        <f t="shared" ca="1" si="48"/>
        <v/>
      </c>
      <c r="Q173" s="548" t="str">
        <f ca="1">IF(OR($C173="",$C173=0),"",INDEX(NVLSX!N$6:N$6941,MATCH($C173,NVLSX!$E$6:$E$6941,0)))</f>
        <v/>
      </c>
      <c r="R173" s="585" t="str">
        <f ca="1">IF(TYPE(MATCH($T$13,OFFSET($T$14,R172,0):$T$106,0)+R172)=16,"",MATCH($T$13,OFFSET($T$14,R172,0):$T$106,0)+R172)</f>
        <v/>
      </c>
      <c r="S173" s="502"/>
      <c r="T173" s="586"/>
      <c r="U173" s="505"/>
      <c r="V173" s="557"/>
      <c r="W173" s="557"/>
      <c r="X173" s="505"/>
      <c r="Y173" s="557"/>
      <c r="AA173" s="557"/>
      <c r="AB173" s="557"/>
      <c r="AC173" s="557"/>
      <c r="AD173" s="557"/>
      <c r="AE173" s="711"/>
      <c r="AF173" s="270"/>
      <c r="AG173" s="270"/>
      <c r="AH173" s="270"/>
      <c r="AI173" s="270"/>
      <c r="AJ173" s="270"/>
      <c r="AK173" s="270"/>
      <c r="AL173" s="270"/>
      <c r="AM173" s="270"/>
      <c r="AN173" s="270"/>
    </row>
    <row r="174" spans="1:40" s="142" customFormat="1" ht="12.5">
      <c r="A174" s="1427"/>
      <c r="B174" s="149" t="str">
        <f t="shared" ca="1" si="50"/>
        <v/>
      </c>
      <c r="C174" s="291" t="str">
        <f t="shared" ca="1" si="50"/>
        <v/>
      </c>
      <c r="D174" s="254" t="str">
        <f t="shared" ca="1" si="50"/>
        <v/>
      </c>
      <c r="E174" s="252" t="str">
        <f t="shared" ca="1" si="50"/>
        <v/>
      </c>
      <c r="F174" s="252">
        <f t="shared" ca="1" si="42"/>
        <v>0</v>
      </c>
      <c r="G174" s="248">
        <f t="shared" ca="1" si="43"/>
        <v>0</v>
      </c>
      <c r="H174" s="247">
        <f t="shared" ca="1" si="39"/>
        <v>0</v>
      </c>
      <c r="I174" s="246" t="str">
        <f t="shared" ca="1" si="44"/>
        <v/>
      </c>
      <c r="J174" s="259" t="str">
        <f ca="1">IF($C174="","",IFERROR(INDEX(NVLSX!$M$4:$M$6941,MATCH($C174,NVLSX!$E$4:$E$6941,0)),0))</f>
        <v/>
      </c>
      <c r="K174" s="259">
        <f ca="1" xml:space="preserve"> IFERROR(IF($Q174=NVLSX!$N$4,INDEX(IF($R$1=DanhMuc!$C$179,DanhMuc!$C$180:$C$188,DanhMuc!$D$180:$D$188),MATCH($F$4,DanhMuc!$B$180:$B$188,0)),0),0)</f>
        <v>0</v>
      </c>
      <c r="L174" s="263">
        <f t="shared" ca="1" si="51"/>
        <v>0</v>
      </c>
      <c r="M174" s="913">
        <f t="shared" ca="1" si="45"/>
        <v>0</v>
      </c>
      <c r="N174" s="560">
        <f t="shared" ca="1" si="46"/>
        <v>0</v>
      </c>
      <c r="O174" s="560">
        <f t="shared" ca="1" si="47"/>
        <v>0</v>
      </c>
      <c r="P174" s="584" t="str">
        <f t="shared" ca="1" si="48"/>
        <v/>
      </c>
      <c r="Q174" s="548" t="str">
        <f ca="1">IF(OR($C174="",$C174=0),"",INDEX(NVLSX!N$6:N$6941,MATCH($C174,NVLSX!$E$6:$E$6941,0)))</f>
        <v/>
      </c>
      <c r="R174" s="585" t="str">
        <f ca="1">IF(TYPE(MATCH($T$13,OFFSET($T$14,R173,0):$T$106,0)+R173)=16,"",MATCH($T$13,OFFSET($T$14,R173,0):$T$106,0)+R173)</f>
        <v/>
      </c>
      <c r="S174" s="502"/>
      <c r="T174" s="586"/>
      <c r="U174" s="505"/>
      <c r="V174" s="557"/>
      <c r="W174" s="557"/>
      <c r="X174" s="505"/>
      <c r="Y174" s="557"/>
      <c r="AA174" s="557"/>
      <c r="AB174" s="557"/>
      <c r="AC174" s="557"/>
      <c r="AD174" s="557"/>
      <c r="AE174" s="711"/>
      <c r="AF174" s="270"/>
      <c r="AG174" s="270"/>
      <c r="AH174" s="270"/>
      <c r="AI174" s="270"/>
      <c r="AJ174" s="270"/>
      <c r="AK174" s="270"/>
      <c r="AL174" s="270"/>
      <c r="AM174" s="270"/>
      <c r="AN174" s="270"/>
    </row>
    <row r="175" spans="1:40" s="144" customFormat="1">
      <c r="A175" s="1413" t="s">
        <v>399</v>
      </c>
      <c r="B175" s="1414"/>
      <c r="C175" s="1414"/>
      <c r="D175" s="1414"/>
      <c r="E175" s="1414"/>
      <c r="F175" s="231">
        <f t="shared" ref="F175:I175" ca="1" si="52">SUM(F108:F174)</f>
        <v>14317.79096</v>
      </c>
      <c r="G175" s="231">
        <f t="shared" ca="1" si="52"/>
        <v>17031.205714285716</v>
      </c>
      <c r="H175" s="232">
        <f t="shared" ca="1" si="52"/>
        <v>81205.993348571414</v>
      </c>
      <c r="I175" s="231">
        <f t="shared" ca="1" si="52"/>
        <v>0</v>
      </c>
      <c r="J175" s="244">
        <f ca="1">SUM(J108:J174)</f>
        <v>0.30000000000000004</v>
      </c>
      <c r="K175" s="244">
        <f ca="1">SUM(K108:K174)</f>
        <v>0</v>
      </c>
      <c r="L175" s="232">
        <f ca="1">SUM(L108:L174)</f>
        <v>87285.993348571414</v>
      </c>
      <c r="M175" s="589">
        <f ca="1">SUM(M108:M174)</f>
        <v>1094596.24</v>
      </c>
      <c r="N175" s="590">
        <f ca="1">IF(SUM(N14:N106)-SUM(N108:N174)&lt;=1,SUM(N108:N174),"CT&lt;&gt;TH")</f>
        <v>8188185</v>
      </c>
      <c r="O175" s="590">
        <f ca="1">IF(SUM(O14:O106)=SUM(O108:O174),SUM(O108:O174),"CT&lt;&gt;TH")</f>
        <v>8188185</v>
      </c>
      <c r="P175" s="591">
        <f ca="1">SUM(P108:P174)</f>
        <v>0</v>
      </c>
      <c r="Q175" s="592" t="str">
        <f>IF($C175="","",INDEX(NVLSX!N$6:N$6941,MATCH($C175,NVLSX!$E$6:$E$6941,0)))</f>
        <v/>
      </c>
      <c r="R175" s="585" t="str">
        <f ca="1">IF(TYPE(MATCH($T$13,OFFSET($T$14,R174,0):$T$106,0)+R174)=16,"",MATCH($T$13,OFFSET($T$14,R174,0):$T$106,0)+R174)</f>
        <v/>
      </c>
      <c r="S175" s="593"/>
      <c r="T175" s="593"/>
      <c r="U175" s="593"/>
      <c r="V175" s="594"/>
      <c r="W175" s="594"/>
      <c r="X175" s="595"/>
      <c r="Y175" s="594"/>
      <c r="AA175" s="594"/>
      <c r="AB175" s="594"/>
      <c r="AC175" s="594"/>
      <c r="AD175" s="594"/>
      <c r="AE175" s="712"/>
      <c r="AF175" s="1169"/>
      <c r="AG175" s="1169"/>
      <c r="AH175" s="1169"/>
      <c r="AI175" s="1169"/>
      <c r="AJ175" s="1169"/>
      <c r="AK175" s="1169"/>
      <c r="AL175" s="1169"/>
      <c r="AM175" s="1169"/>
      <c r="AN175" s="1169"/>
    </row>
    <row r="176" spans="1:40">
      <c r="C176" s="1412" t="s">
        <v>2313</v>
      </c>
      <c r="D176" s="1412"/>
      <c r="E176" s="717"/>
      <c r="F176" s="1405" t="s">
        <v>2313</v>
      </c>
      <c r="G176" s="1405"/>
      <c r="H176" s="1405"/>
      <c r="I176" s="1405" t="s">
        <v>2313</v>
      </c>
      <c r="J176" s="1405"/>
      <c r="K176" s="1405"/>
      <c r="L176" s="717"/>
      <c r="M176" s="302"/>
      <c r="N176" s="302"/>
      <c r="O176" s="302"/>
      <c r="P176" s="296"/>
      <c r="R176" s="274"/>
    </row>
    <row r="177" spans="1:40" s="148" customFormat="1" ht="26.25" customHeight="1">
      <c r="A177" s="145"/>
      <c r="B177" s="146"/>
      <c r="C177" s="1401" t="s">
        <v>2314</v>
      </c>
      <c r="D177" s="1401"/>
      <c r="E177" s="147"/>
      <c r="F177" s="1405" t="s">
        <v>5</v>
      </c>
      <c r="G177" s="1405"/>
      <c r="H177" s="1405"/>
      <c r="I177" s="1405" t="s">
        <v>6</v>
      </c>
      <c r="J177" s="1405"/>
      <c r="K177" s="1405"/>
      <c r="L177" s="147"/>
      <c r="M177" s="303"/>
      <c r="N177" s="303"/>
      <c r="O177" s="303"/>
      <c r="P177" s="285"/>
      <c r="Q177" s="277"/>
      <c r="R177" s="275"/>
      <c r="S177" s="130"/>
      <c r="T177" s="130"/>
      <c r="U177" s="130"/>
      <c r="V177" s="276"/>
      <c r="W177" s="277"/>
      <c r="X177" s="285"/>
      <c r="Y177" s="277"/>
      <c r="AA177" s="277"/>
      <c r="AB177" s="277"/>
      <c r="AC177" s="277"/>
      <c r="AD177" s="277"/>
      <c r="AF177" s="277"/>
      <c r="AG177" s="277"/>
      <c r="AH177" s="277"/>
      <c r="AI177" s="277"/>
      <c r="AJ177" s="277"/>
      <c r="AK177" s="277"/>
      <c r="AL177" s="277"/>
      <c r="AM177" s="277"/>
      <c r="AN177" s="277"/>
    </row>
    <row r="183" spans="1:40" ht="12.75" customHeight="1">
      <c r="C183" s="1401" t="str">
        <f>+ThongTinChung!C9</f>
        <v>Nguyễn Thị Phương Như</v>
      </c>
      <c r="D183" s="1401"/>
      <c r="F183" s="1401" t="str">
        <f>+ThongTinChung!C10</f>
        <v>TÊN TK</v>
      </c>
      <c r="G183" s="1401"/>
      <c r="H183" s="1401"/>
      <c r="I183" s="1401" t="str">
        <f>+ThongTinChung!C11</f>
        <v>Lê Thị Thủy Tiên</v>
      </c>
      <c r="J183" s="1401"/>
      <c r="K183" s="1401"/>
    </row>
    <row r="186" spans="1:40" s="142" customFormat="1">
      <c r="A186" s="141"/>
      <c r="B186" s="131"/>
      <c r="C186" s="132"/>
      <c r="D186" s="133"/>
      <c r="E186" s="134"/>
      <c r="F186" s="133"/>
      <c r="G186" s="133"/>
      <c r="H186" s="133"/>
      <c r="I186" s="133"/>
      <c r="J186" s="135"/>
      <c r="K186" s="135"/>
      <c r="L186" s="135"/>
      <c r="M186" s="267"/>
      <c r="N186" s="267"/>
      <c r="O186" s="267"/>
      <c r="P186" s="129"/>
      <c r="Q186" s="270"/>
      <c r="R186" s="269"/>
      <c r="S186" s="129"/>
      <c r="T186" s="129"/>
      <c r="U186" s="129"/>
      <c r="V186" s="273"/>
      <c r="W186" s="270"/>
      <c r="X186" s="284"/>
      <c r="Y186" s="270"/>
      <c r="AA186" s="270"/>
      <c r="AB186" s="270"/>
      <c r="AC186" s="270"/>
      <c r="AD186" s="270"/>
      <c r="AF186" s="270"/>
      <c r="AG186" s="270"/>
      <c r="AH186" s="270"/>
      <c r="AI186" s="270"/>
      <c r="AJ186" s="270"/>
      <c r="AK186" s="270"/>
      <c r="AL186" s="270"/>
      <c r="AM186" s="270"/>
      <c r="AN186" s="270"/>
    </row>
    <row r="187" spans="1:40" s="142" customFormat="1">
      <c r="A187" s="141"/>
      <c r="B187" s="131"/>
      <c r="C187" s="132"/>
      <c r="D187" s="133"/>
      <c r="E187" s="1409"/>
      <c r="F187" s="1409"/>
      <c r="G187" s="1409"/>
      <c r="H187" s="1409"/>
      <c r="I187" s="139"/>
      <c r="J187" s="1409"/>
      <c r="K187" s="1409"/>
      <c r="L187" s="1409"/>
      <c r="M187" s="1409"/>
      <c r="N187" s="1409"/>
      <c r="O187" s="304"/>
      <c r="P187" s="129"/>
      <c r="Q187" s="270"/>
      <c r="R187" s="268"/>
      <c r="S187" s="129"/>
      <c r="T187" s="129"/>
      <c r="U187" s="129"/>
      <c r="V187" s="273"/>
      <c r="W187" s="270"/>
      <c r="X187" s="284"/>
      <c r="Y187" s="270"/>
      <c r="AA187" s="270"/>
      <c r="AB187" s="270"/>
      <c r="AC187" s="270"/>
      <c r="AD187" s="270"/>
      <c r="AF187" s="270"/>
      <c r="AG187" s="270"/>
      <c r="AH187" s="270"/>
      <c r="AI187" s="270"/>
      <c r="AJ187" s="270"/>
      <c r="AK187" s="270"/>
      <c r="AL187" s="270"/>
      <c r="AM187" s="270"/>
      <c r="AN187" s="270"/>
    </row>
    <row r="188" spans="1:40" s="142" customFormat="1">
      <c r="A188" s="141"/>
      <c r="B188" s="131"/>
      <c r="C188" s="132"/>
      <c r="D188" s="133"/>
      <c r="E188" s="1409"/>
      <c r="F188" s="1409"/>
      <c r="G188" s="1409"/>
      <c r="H188" s="1409"/>
      <c r="I188" s="139"/>
      <c r="J188" s="1409"/>
      <c r="K188" s="1409"/>
      <c r="L188" s="1409"/>
      <c r="M188" s="1409"/>
      <c r="N188" s="1409"/>
      <c r="O188" s="304"/>
      <c r="P188" s="129"/>
      <c r="Q188" s="270"/>
      <c r="R188" s="268"/>
      <c r="S188" s="129"/>
      <c r="T188" s="129"/>
      <c r="U188" s="129"/>
      <c r="V188" s="273"/>
      <c r="W188" s="270"/>
      <c r="X188" s="284"/>
      <c r="Y188" s="270"/>
      <c r="AA188" s="270"/>
      <c r="AB188" s="270"/>
      <c r="AC188" s="270"/>
      <c r="AD188" s="270"/>
      <c r="AF188" s="270"/>
      <c r="AG188" s="270"/>
      <c r="AH188" s="270"/>
      <c r="AI188" s="270"/>
      <c r="AJ188" s="270"/>
      <c r="AK188" s="270"/>
      <c r="AL188" s="270"/>
      <c r="AM188" s="270"/>
      <c r="AN188" s="270"/>
    </row>
  </sheetData>
  <autoFilter ref="A13:AF177" xr:uid="{00000000-0001-0000-0700-000000000000}"/>
  <mergeCells count="28">
    <mergeCell ref="A107:A174"/>
    <mergeCell ref="F177:H177"/>
    <mergeCell ref="F176:H176"/>
    <mergeCell ref="E187:F188"/>
    <mergeCell ref="G187:H188"/>
    <mergeCell ref="J187:N188"/>
    <mergeCell ref="G7:H7"/>
    <mergeCell ref="C176:D176"/>
    <mergeCell ref="A175:E175"/>
    <mergeCell ref="A16:A19"/>
    <mergeCell ref="A20:A42"/>
    <mergeCell ref="A43:A73"/>
    <mergeCell ref="A74:A78"/>
    <mergeCell ref="A79:A98"/>
    <mergeCell ref="I176:K176"/>
    <mergeCell ref="A1:A12"/>
    <mergeCell ref="A99:A106"/>
    <mergeCell ref="B4:D4"/>
    <mergeCell ref="C177:D177"/>
    <mergeCell ref="C183:D183"/>
    <mergeCell ref="F183:H183"/>
    <mergeCell ref="I183:K183"/>
    <mergeCell ref="AA7:AB7"/>
    <mergeCell ref="B1:I1"/>
    <mergeCell ref="I177:K177"/>
    <mergeCell ref="B6:C6"/>
    <mergeCell ref="R8:S8"/>
    <mergeCell ref="I3:I4"/>
  </mergeCells>
  <conditionalFormatting sqref="A175">
    <cfRule type="duplicateValues" dxfId="31" priority="75"/>
  </conditionalFormatting>
  <conditionalFormatting sqref="C14:C19">
    <cfRule type="timePeriod" dxfId="30" priority="36" timePeriod="yesterday">
      <formula>FLOOR(C14,1)=TODAY()-1</formula>
    </cfRule>
  </conditionalFormatting>
  <conditionalFormatting sqref="C74:D98">
    <cfRule type="expression" dxfId="29" priority="14">
      <formula>OR($C74="Silicone-K",$C74="Silicone-LD")</formula>
    </cfRule>
  </conditionalFormatting>
  <conditionalFormatting sqref="C15:I19 K18:L18">
    <cfRule type="expression" dxfId="28" priority="37">
      <formula>AND($C15&lt;&gt;"",$N15=0)</formula>
    </cfRule>
  </conditionalFormatting>
  <conditionalFormatting sqref="C108:I174">
    <cfRule type="expression" dxfId="27" priority="49">
      <formula>AND($C108&lt;&gt;"",$N108=0)</formula>
    </cfRule>
  </conditionalFormatting>
  <conditionalFormatting sqref="C20:O20 K21:O42 J108:O174 C14:Q14 K15:O17 M18:O18 O18:O42 K19:O19 K43:Q98 C99:Q106 C21:J98 J15:J20 P15:Q42 N16:N19 M17:M18 C107:D107 G107:H107 L107:N107 Q108:Q175">
    <cfRule type="expression" dxfId="26" priority="1298">
      <formula>AND($C14&lt;&gt;"",$N14=0)</formula>
    </cfRule>
  </conditionalFormatting>
  <conditionalFormatting sqref="E74:E78">
    <cfRule type="expression" dxfId="25" priority="13">
      <formula>OR($C74="Silicone-K",$C74="Silicone-LD")</formula>
    </cfRule>
  </conditionalFormatting>
  <conditionalFormatting sqref="F79 H79">
    <cfRule type="expression" dxfId="24" priority="1300">
      <formula>AND($U73&gt;0,$Y$11&gt;=100)</formula>
    </cfRule>
  </conditionalFormatting>
  <conditionalFormatting sqref="G6">
    <cfRule type="timePeriod" dxfId="23" priority="27" timePeriod="yesterday">
      <formula>FLOOR(G6,1)=TODAY()-1</formula>
    </cfRule>
  </conditionalFormatting>
  <conditionalFormatting sqref="G74:G78">
    <cfRule type="timePeriod" dxfId="22" priority="41" timePeriod="yesterday">
      <formula>FLOOR(G74,1)=TODAY()-1</formula>
    </cfRule>
  </conditionalFormatting>
  <conditionalFormatting sqref="J1">
    <cfRule type="timePeriod" dxfId="21" priority="68" timePeriod="yesterday">
      <formula>FLOOR(J1,1)=TODAY()-1</formula>
    </cfRule>
  </conditionalFormatting>
  <conditionalFormatting sqref="J108:J174">
    <cfRule type="cellIs" dxfId="20" priority="63" operator="greaterThan">
      <formula>0</formula>
    </cfRule>
  </conditionalFormatting>
  <conditionalFormatting sqref="K20:K42">
    <cfRule type="timePeriod" dxfId="19" priority="67" timePeriod="yesterday">
      <formula>FLOOR(K20,1)=TODAY()-1</formula>
    </cfRule>
  </conditionalFormatting>
  <conditionalFormatting sqref="M108:M174">
    <cfRule type="timePeriod" dxfId="18" priority="65" timePeriod="yesterday">
      <formula>FLOOR(M108,1)=TODAY()-1</formula>
    </cfRule>
  </conditionalFormatting>
  <conditionalFormatting sqref="N175:O175">
    <cfRule type="timePeriod" dxfId="16" priority="45" timePeriod="yesterday">
      <formula>FLOOR(N175,1)=TODAY()-1</formula>
    </cfRule>
  </conditionalFormatting>
  <conditionalFormatting sqref="O14:O106 O108:O174">
    <cfRule type="expression" dxfId="15" priority="56">
      <formula>$O14&lt;&gt;$N14</formula>
    </cfRule>
  </conditionalFormatting>
  <conditionalFormatting sqref="P108:P174">
    <cfRule type="timePeriod" dxfId="14" priority="46" timePeriod="yesterday">
      <formula>FLOOR(P108,1)=TODAY()-1</formula>
    </cfRule>
    <cfRule type="expression" dxfId="13" priority="47">
      <formula>AND($C108&lt;&gt;"",$N108=0)</formula>
    </cfRule>
  </conditionalFormatting>
  <conditionalFormatting sqref="AE108:AE174">
    <cfRule type="expression" dxfId="10" priority="21">
      <formula>$O108&lt;&gt;$N108</formula>
    </cfRule>
    <cfRule type="expression" dxfId="9" priority="22">
      <formula>AND($C108&lt;&gt;"",$N108=0)</formula>
    </cfRule>
  </conditionalFormatting>
  <conditionalFormatting sqref="AE175">
    <cfRule type="timePeriod" dxfId="7" priority="20" timePeriod="yesterday">
      <formula>FLOOR(AE175,1)=TODAY()-1</formula>
    </cfRule>
  </conditionalFormatting>
  <dataValidations count="9">
    <dataValidation type="whole" operator="lessThan" allowBlank="1" showInputMessage="1" showErrorMessage="1" errorTitle="TB LỖI" error="H QUÁ KHỔ" sqref="D11" xr:uid="{00000000-0002-0000-0700-000000000000}">
      <formula1>2450</formula1>
    </dataValidation>
    <dataValidation type="whole" operator="lessThan" allowBlank="1" showInputMessage="1" showErrorMessage="1" errorTitle="TB LỖI" error="W QUÁ KHỔ" sqref="D9" xr:uid="{00000000-0002-0000-0700-000001000000}">
      <formula1>$AB$8</formula1>
    </dataValidation>
    <dataValidation type="list" errorStyle="warning" allowBlank="1" showInputMessage="1" showErrorMessage="1" errorTitle="TB LỖI" error="SAI LOẠI" sqref="H4" xr:uid="{F21CB98B-3081-42C9-AE75-968077F3E9A4}">
      <formula1>INDIRECT($Z$4)</formula1>
    </dataValidation>
    <dataValidation type="list" errorStyle="warning" allowBlank="1" showInputMessage="1" showErrorMessage="1" errorTitle="TB LỖI" error="SAI LOẠI" sqref="H5" xr:uid="{AE210B2B-B9C1-4185-AF7A-DF5FD45CE7C6}">
      <formula1>INDIRECT($Z$5)</formula1>
    </dataValidation>
    <dataValidation type="list" errorStyle="warning" allowBlank="1" showInputMessage="1" showErrorMessage="1" errorTitle="TB LỖI" error="SAI LOẠI" sqref="H6" xr:uid="{EC4A28FB-B4D5-47FC-813A-BE87F0EE8F0E}">
      <formula1>INDIRECT($Z$6)</formula1>
    </dataValidation>
    <dataValidation type="list" errorStyle="warning" allowBlank="1" showInputMessage="1" showErrorMessage="1" errorTitle="TB LỖI" error="Sai loại" sqref="H3" xr:uid="{D29BD6A7-DCA6-483A-97C8-4931BC2652F1}">
      <formula1>INDIRECT($Z$3)</formula1>
    </dataValidation>
    <dataValidation type="list" errorStyle="warning" allowBlank="1" showInputMessage="1" showErrorMessage="1" sqref="D12" xr:uid="{00000000-0002-0000-0700-000008000000}">
      <formula1>INDIRECT($Z$7)</formula1>
    </dataValidation>
    <dataValidation type="list" allowBlank="1" showInputMessage="1" showErrorMessage="1" errorTitle="TB Lỗi" error="Sai loại" sqref="I9" xr:uid="{F73180AA-767F-43B5-B180-46BF2976F7DC}">
      <formula1>INDIRECT($Z$9)</formula1>
    </dataValidation>
    <dataValidation type="list" allowBlank="1" showInputMessage="1" showErrorMessage="1" errorTitle="TB Lỗi" error="Sai Loại" sqref="I11" xr:uid="{AA35CECD-1CB9-4169-86C9-0D4E4B3238C1}">
      <formula1>INDIRECT($Z$11)</formula1>
    </dataValidation>
  </dataValidations>
  <printOptions horizontalCentered="1"/>
  <pageMargins left="0.2" right="0.2" top="0.2" bottom="0.2" header="0" footer="0"/>
  <pageSetup paperSize="9" scale="48" orientation="portrait" r:id="rId1"/>
  <headerFooter alignWithMargins="0">
    <oddHeader>&amp;C&amp;G</oddHeader>
    <oddFooter>Page &amp;P of &amp;N</oddFooter>
  </headerFooter>
  <ignoredErrors>
    <ignoredError sqref="B14 B15 F15 D15 H15" unlockedFormula="1"/>
  </ignoredErrors>
  <drawing r:id="rId2"/>
  <legacyDrawing r:id="rId3"/>
  <legacyDrawingHF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14" id="{E90AD240-51F7-48E6-A850-0CDA9C0670AD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M14:O106 M108:O175 AI6 AI8 AK9 W1:X1 M1:Q10 W2:W3 M11:O11</xm:sqref>
        </x14:conditionalFormatting>
        <x14:conditionalFormatting xmlns:xm="http://schemas.microsoft.com/office/excel/2006/main">
          <x14:cfRule type="expression" priority="18" id="{2FAAD66A-6ECE-4808-B201-A46D40FBAE60}">
            <xm:f>NVLSX!$W$1&lt;&gt;"Gn0508"</xm:f>
            <x14:dxf>
              <font>
                <color theme="0"/>
              </font>
            </x14:dxf>
          </x14:cfRule>
          <xm:sqref>T1</xm:sqref>
        </x14:conditionalFormatting>
        <x14:conditionalFormatting xmlns:xm="http://schemas.microsoft.com/office/excel/2006/main">
          <x14:cfRule type="expression" priority="19" id="{B0B2301A-FC50-4AC0-979C-29077FEB61D8}">
            <xm:f>NVLSX!$W$1&lt;&gt;"Gn0508"</xm:f>
            <x14:dxf>
              <font>
                <color theme="0"/>
              </font>
            </x14:dxf>
          </x14:cfRule>
          <xm:sqref>Y1:Y3 U1:U7 T4:T10</xm:sqref>
        </x14:conditionalFormatting>
        <x14:conditionalFormatting xmlns:xm="http://schemas.microsoft.com/office/excel/2006/main">
          <x14:cfRule type="expression" priority="23" id="{E3CC907C-D73B-4CDF-858A-7B78C81B45FC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AE108:AE175</xm:sqref>
        </x14:conditionalFormatting>
        <x14:conditionalFormatting xmlns:xm="http://schemas.microsoft.com/office/excel/2006/main">
          <x14:cfRule type="expression" priority="1" id="{CEFCBBE3-2873-4E8E-9BE4-C310B4AECD2E}">
            <xm:f>NVLSX!$W$1&lt;&gt;"gn0508"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AF1:AN11</xm:sqref>
        </x14:conditionalFormatting>
        <x14:conditionalFormatting xmlns:xm="http://schemas.microsoft.com/office/excel/2006/main">
          <x14:cfRule type="expression" priority="2" id="{AADFD6EC-97DD-485F-AB14-B0F5BF1EF5B3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AG9</xm:sqref>
        </x14:conditionalFormatting>
        <x14:conditionalFormatting xmlns:xm="http://schemas.microsoft.com/office/excel/2006/main">
          <x14:cfRule type="expression" priority="1618" id="{31313627-C87A-4584-9E86-7C1292DA8EA5}">
            <xm:f>NVLSX!$W$1=""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AI6 AI8 AK9 W1:W3 P3:P10</xm:sqref>
        </x14:conditionalFormatting>
        <x14:conditionalFormatting xmlns:xm="http://schemas.microsoft.com/office/excel/2006/main">
          <x14:cfRule type="expression" priority="5" id="{C039FA0E-58CB-4123-8381-58244E91D0C0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14:cfRule type="expression" priority="6" id="{47AC8356-86DC-45A0-BACA-C32D361F2844}">
            <xm:f>NVLSX!$W$1=""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AM6</xm:sqref>
        </x14:conditionalFormatting>
        <x14:conditionalFormatting xmlns:xm="http://schemas.microsoft.com/office/excel/2006/main">
          <x14:cfRule type="expression" priority="3" id="{80D16F2C-7C5B-4CF3-962E-4D557F038158}">
            <xm:f>NVLSX!$W$1&lt;&gt;"GN0508"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14:cfRule type="expression" priority="4" id="{45C6555B-7C3F-4379-BE0A-2C4E3B393BCB}">
            <xm:f>NVLSX!$W$1=""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AM8:AM9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TB" prompt="Công trình DỄ/KHÓ" xr:uid="{BF8FA62B-EF76-46BA-B555-08C017BEB939}">
          <x14:formula1>
            <xm:f>NVLSX!$F$6929:$F$6930</xm:f>
          </x14:formula1>
          <xm:sqref>I2</xm:sqref>
        </x14:dataValidation>
        <x14:dataValidation type="list" allowBlank="1" showInputMessage="1" showErrorMessage="1" errorTitle="TB LỖI" error="kHÔNG CÓ MÀU NÀY" promptTitle="TB" prompt="Chọn màu" xr:uid="{00000000-0002-0000-0700-000003000000}">
          <x14:formula1>
            <xm:f>DanhMuc!$B$181:$B$188</xm:f>
          </x14:formula1>
          <xm:sqref>F4:F5</xm:sqref>
        </x14:dataValidation>
        <x14:dataValidation type="list" allowBlank="1" showInputMessage="1" showErrorMessage="1" errorTitle="TB Lỗi" error="Sai loại đố" xr:uid="{95162AC5-BB7A-45F3-900C-283B4CBF1C92}">
          <x14:formula1>
            <xm:f>NVLSX!$E$22:$E$29</xm:f>
          </x14:formula1>
          <xm:sqref>F8</xm:sqref>
        </x14:dataValidation>
        <x14:dataValidation type="list" allowBlank="1" showInputMessage="1" showErrorMessage="1" errorTitle="TB LỖI" error="SAI LOẠI NỐI KHUNG" xr:uid="{3BE93C54-35B5-44F1-A1C9-CA40DB15BA4B}">
          <x14:formula1>
            <xm:f>NVLSX!$E$6:$E$21</xm:f>
          </x14:formula1>
          <xm:sqref>E7</xm:sqref>
        </x14:dataValidation>
        <x14:dataValidation type="list" allowBlank="1" showInputMessage="1" showErrorMessage="1" errorTitle="TB Lỗi" error="Không có PK này" promptTitle="TB" prompt="Chọn PHỤ KIỆN" xr:uid="{00000000-0002-0000-0700-000005000000}">
          <x14:formula1>
            <xm:f>DanhMuc!$C$169:$C$177</xm:f>
          </x14:formula1>
          <xm:sqref>D5</xm:sqref>
        </x14:dataValidation>
        <x14:dataValidation type="list" allowBlank="1" showInputMessage="1" showErrorMessage="1" errorTitle="TB LỖI" error="CHỌN CÓ KÍNH HAY KHÔNG KÍNH" promptTitle="CÓ KÍNH HAY KHÔNG" xr:uid="{E69DF0CA-17DD-40A2-B336-B5A1E4935317}">
          <x14:formula1>
            <xm:f>NVLSX!$B$6492:$B$6493</xm:f>
          </x14:formula1>
          <xm:sqref>B6:C6</xm:sqref>
        </x14:dataValidation>
        <x14:dataValidation type="list" allowBlank="1" showInputMessage="1" showErrorMessage="1" errorTitle="TB lỗi" error="Không có loại này" promptTitle="TB" prompt="Chọn loại cửa" xr:uid="{8F716670-D9C3-4BF2-A227-D044FBA009D5}">
          <x14:formula1>
            <xm:f>DanhMuc!$B$376:$B$378</xm:f>
          </x14:formula1>
          <xm:sqref>F6</xm:sqref>
        </x14:dataValidation>
        <x14:dataValidation type="list" allowBlank="1" showInputMessage="1" showErrorMessage="1" errorTitle="TB Lỗi" error="Sai Loại" xr:uid="{E09975AE-E267-4A68-A62A-94536FE3C6B6}">
          <x14:formula1>
            <xm:f>DanhMuc!$D$376:$D$379</xm:f>
          </x14:formula1>
          <xm:sqref>I7</xm:sqref>
        </x14:dataValidation>
        <x14:dataValidation type="list" allowBlank="1" showInputMessage="1" showErrorMessage="1" errorTitle="TB Lỗi" error="Không có cửa này" promptTitle="TB" prompt="Chọn LOẠI CỬA" xr:uid="{00000000-0002-0000-0700-000006000000}">
          <x14:formula1>
            <xm:f>DanhMuc!$B$4:$B$150</xm:f>
          </x14:formula1>
          <xm:sqref>K1</xm:sqref>
        </x14:dataValidation>
        <x14:dataValidation type="list" allowBlank="1" showInputMessage="1" showErrorMessage="1" errorTitle="TB LỖI" error="Không có KÍNH này" promptTitle="TB" prompt="Chọn Kính" xr:uid="{00000000-0002-0000-0700-00000C000000}">
          <x14:formula1>
            <xm:f>NVLSX!$F$6493:$F$6921</xm:f>
          </x14:formula1>
          <xm:sqref>D6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210</vt:i4>
      </vt:variant>
    </vt:vector>
  </HeadingPairs>
  <TitlesOfParts>
    <vt:vector size="222" baseType="lpstr">
      <vt:lpstr>ThongTinChung</vt:lpstr>
      <vt:lpstr>NhatKyBaoGia</vt:lpstr>
      <vt:lpstr>DuToan</vt:lpstr>
      <vt:lpstr>DanhMuc</vt:lpstr>
      <vt:lpstr>NVLSX</vt:lpstr>
      <vt:lpstr>TongVTSX</vt:lpstr>
      <vt:lpstr>TinhGiaGuiKhachHang</vt:lpstr>
      <vt:lpstr>TinhGia</vt:lpstr>
      <vt:lpstr>QTDot</vt:lpstr>
      <vt:lpstr>PO</vt:lpstr>
      <vt:lpstr>XKNVLSX</vt:lpstr>
      <vt:lpstr>MauKoXoa</vt:lpstr>
      <vt:lpstr>MauKoXoa!D1TH2</vt:lpstr>
      <vt:lpstr>TinhGiaGuiKhachHang!H3HBLBX</vt:lpstr>
      <vt:lpstr>H3HBLBX</vt:lpstr>
      <vt:lpstr>TinhGiaGuiKhachHang!H3HCMTN</vt:lpstr>
      <vt:lpstr>H3HCMTN</vt:lpstr>
      <vt:lpstr>TinhGiaGuiKhachHang!H3HTKG</vt:lpstr>
      <vt:lpstr>H3HTKG</vt:lpstr>
      <vt:lpstr>TinhGiaGuiKhachHang!HANBLBX</vt:lpstr>
      <vt:lpstr>HANBLBX</vt:lpstr>
      <vt:lpstr>TinhGiaGuiKhachHang!HANTKG</vt:lpstr>
      <vt:lpstr>HANTKG</vt:lpstr>
      <vt:lpstr>TinhGiaGuiKhachHang!HDRBLBX</vt:lpstr>
      <vt:lpstr>HDRBLBX</vt:lpstr>
      <vt:lpstr>HDRCMTN</vt:lpstr>
      <vt:lpstr>HDRTKG</vt:lpstr>
      <vt:lpstr>TinhGiaGuiKhachHang!HGQBLBX</vt:lpstr>
      <vt:lpstr>HGQBLBX</vt:lpstr>
      <vt:lpstr>TinhGiaGuiKhachHang!HGQTKG</vt:lpstr>
      <vt:lpstr>HGQTKG</vt:lpstr>
      <vt:lpstr>TinhGiaGuiKhachHang!HKLBLBX</vt:lpstr>
      <vt:lpstr>HKLBLBX</vt:lpstr>
      <vt:lpstr>TinhGiaGuiKhachHang!HKLTKG</vt:lpstr>
      <vt:lpstr>HKLTKG</vt:lpstr>
      <vt:lpstr>HỞ_NỀN</vt:lpstr>
      <vt:lpstr>TinhGiaGuiKhachHang!HRTBLBX</vt:lpstr>
      <vt:lpstr>HRTBLBX</vt:lpstr>
      <vt:lpstr>TinhGiaGuiKhachHang!HRTTKG</vt:lpstr>
      <vt:lpstr>HRTTKG</vt:lpstr>
      <vt:lpstr>TinhGiaGuiKhachHang!HXFKC</vt:lpstr>
      <vt:lpstr>HXFKC</vt:lpstr>
      <vt:lpstr>TinhGiaGuiKhachHang!HXFKK</vt:lpstr>
      <vt:lpstr>HXFKK</vt:lpstr>
      <vt:lpstr>TinhGiaGuiKhachHang!HXWCMTN</vt:lpstr>
      <vt:lpstr>HXWCMTN</vt:lpstr>
      <vt:lpstr>TinhGiaGuiKhachHang!HXWKC</vt:lpstr>
      <vt:lpstr>HXWKC</vt:lpstr>
      <vt:lpstr>TinhGiaGuiKhachHang!HXWKK</vt:lpstr>
      <vt:lpstr>HXWKK</vt:lpstr>
      <vt:lpstr>NVLSX!KÍNH</vt:lpstr>
      <vt:lpstr>TinhGiaGuiKhachHang!KXFKK</vt:lpstr>
      <vt:lpstr>KXFKK</vt:lpstr>
      <vt:lpstr>TinhGiaGuiKhachHang!KXWKK</vt:lpstr>
      <vt:lpstr>KXWKK</vt:lpstr>
      <vt:lpstr>MauKoXoa!Print_Area</vt:lpstr>
      <vt:lpstr>NVLSX!Print_Area</vt:lpstr>
      <vt:lpstr>PO!Print_Area</vt:lpstr>
      <vt:lpstr>QTDot!Print_Area</vt:lpstr>
      <vt:lpstr>TinhGia!Print_Area</vt:lpstr>
      <vt:lpstr>TinhGiaGuiKhachHang!Print_Area</vt:lpstr>
      <vt:lpstr>TongVTSX!Print_Area</vt:lpstr>
      <vt:lpstr>XKNVLSX!Print_Area</vt:lpstr>
      <vt:lpstr>MauKoXoa!Print_Titles</vt:lpstr>
      <vt:lpstr>PO!Print_Titles</vt:lpstr>
      <vt:lpstr>TongVTSX!Print_Titles</vt:lpstr>
      <vt:lpstr>XKNVLSX!Print_Titles</vt:lpstr>
      <vt:lpstr>TinhGiaGuiKhachHang!Q3HBLBX</vt:lpstr>
      <vt:lpstr>Q3HBLBX</vt:lpstr>
      <vt:lpstr>TinhGiaGuiKhachHang!Q3HCMTN</vt:lpstr>
      <vt:lpstr>Q3HCMTN</vt:lpstr>
      <vt:lpstr>TinhGiaGuiKhachHang!Q3HLK</vt:lpstr>
      <vt:lpstr>Q3HLK</vt:lpstr>
      <vt:lpstr>TinhGiaGuiKhachHang!Q3HTKG</vt:lpstr>
      <vt:lpstr>Q3HTKG</vt:lpstr>
      <vt:lpstr>TinhGiaGuiKhachHang!Q7TBLBX</vt:lpstr>
      <vt:lpstr>Q7TBLBX</vt:lpstr>
      <vt:lpstr>TinhGiaGuiKhachHang!Q7TCMTN</vt:lpstr>
      <vt:lpstr>Q7TCMTN</vt:lpstr>
      <vt:lpstr>TinhGiaGuiKhachHang!QANBLBX</vt:lpstr>
      <vt:lpstr>QANBLBX</vt:lpstr>
      <vt:lpstr>TinhGiaGuiKhachHang!QANLK</vt:lpstr>
      <vt:lpstr>QANLK</vt:lpstr>
      <vt:lpstr>TinhGiaGuiKhachHang!QANTKG</vt:lpstr>
      <vt:lpstr>QANTKG</vt:lpstr>
      <vt:lpstr>TinhGiaGuiKhachHang!QDRBLBX</vt:lpstr>
      <vt:lpstr>QDRBLBX</vt:lpstr>
      <vt:lpstr>QDRCMTN</vt:lpstr>
      <vt:lpstr>TinhGiaGuiKhachHang!QDRLK</vt:lpstr>
      <vt:lpstr>QDRLK</vt:lpstr>
      <vt:lpstr>QDRTKG</vt:lpstr>
      <vt:lpstr>TinhGiaGuiKhachHang!QGQBLBX</vt:lpstr>
      <vt:lpstr>QGQBLBX</vt:lpstr>
      <vt:lpstr>TinhGiaGuiKhachHang!QGQLK</vt:lpstr>
      <vt:lpstr>QGQLK</vt:lpstr>
      <vt:lpstr>TinhGiaGuiKhachHang!QGQTKG</vt:lpstr>
      <vt:lpstr>QGQTKG</vt:lpstr>
      <vt:lpstr>TinhGiaGuiKhachHang!QKLBLBX</vt:lpstr>
      <vt:lpstr>QKLBLBX</vt:lpstr>
      <vt:lpstr>TinhGiaGuiKhachHang!QKLLK</vt:lpstr>
      <vt:lpstr>QKLLK</vt:lpstr>
      <vt:lpstr>TinhGiaGuiKhachHang!QKLTKG</vt:lpstr>
      <vt:lpstr>QKLTKG</vt:lpstr>
      <vt:lpstr>TinhGiaGuiKhachHang!QLVCMTN</vt:lpstr>
      <vt:lpstr>QLVCMTN</vt:lpstr>
      <vt:lpstr>TinhGiaGuiKhachHang!QLVNHN</vt:lpstr>
      <vt:lpstr>QLVNHN</vt:lpstr>
      <vt:lpstr>TinhGiaGuiKhachHang!QRHCMTN</vt:lpstr>
      <vt:lpstr>QRHCMTN</vt:lpstr>
      <vt:lpstr>TinhGiaGuiKhachHang!QRHNHN</vt:lpstr>
      <vt:lpstr>QRHNHN</vt:lpstr>
      <vt:lpstr>TinhGiaGuiKhachHang!QRTBLBX</vt:lpstr>
      <vt:lpstr>QRTBLBX</vt:lpstr>
      <vt:lpstr>TinhGiaGuiKhachHang!QRTLK</vt:lpstr>
      <vt:lpstr>QRTLK</vt:lpstr>
      <vt:lpstr>TinhGiaGuiKhachHang!QRTTKG</vt:lpstr>
      <vt:lpstr>QRTTKG</vt:lpstr>
      <vt:lpstr>TinhGiaGuiKhachHang!QSLCMTN</vt:lpstr>
      <vt:lpstr>QSLCMTN</vt:lpstr>
      <vt:lpstr>TinhGiaGuiKhachHang!QVNCMTN</vt:lpstr>
      <vt:lpstr>QVNCMTN</vt:lpstr>
      <vt:lpstr>TinhGiaGuiKhachHang!QVNHN</vt:lpstr>
      <vt:lpstr>QVNHN</vt:lpstr>
      <vt:lpstr>TinhGiaGuiKhachHang!QVNNHN</vt:lpstr>
      <vt:lpstr>QVNNHN</vt:lpstr>
      <vt:lpstr>TinhGiaGuiKhachHang!QXFCMTN</vt:lpstr>
      <vt:lpstr>QXFCMTN</vt:lpstr>
      <vt:lpstr>TinhGiaGuiKhachHang!QXFKC</vt:lpstr>
      <vt:lpstr>QXFKC</vt:lpstr>
      <vt:lpstr>TinhGiaGuiKhachHang!QXFKK</vt:lpstr>
      <vt:lpstr>QXFKK</vt:lpstr>
      <vt:lpstr>TinhGiaGuiKhachHang!QXFNHN</vt:lpstr>
      <vt:lpstr>QXFNHN</vt:lpstr>
      <vt:lpstr>TinhGiaGuiKhachHang!QXWCMTN</vt:lpstr>
      <vt:lpstr>QXWCMTN</vt:lpstr>
      <vt:lpstr>TinhGiaGuiKhachHang!QXWKC</vt:lpstr>
      <vt:lpstr>QXWKC</vt:lpstr>
      <vt:lpstr>TinhGiaGuiKhachHang!QXWKK</vt:lpstr>
      <vt:lpstr>QXWKK</vt:lpstr>
      <vt:lpstr>TinhGiaGuiKhachHang!QXWNHN</vt:lpstr>
      <vt:lpstr>QXWNHN</vt:lpstr>
      <vt:lpstr>TinhGiaGuiKhachHang!T3HBLBX</vt:lpstr>
      <vt:lpstr>T3HBLBX</vt:lpstr>
      <vt:lpstr>TinhGiaGuiKhachHang!T3HCMTN</vt:lpstr>
      <vt:lpstr>T3HCMTN</vt:lpstr>
      <vt:lpstr>TinhGiaGuiKhachHang!TANBLBX</vt:lpstr>
      <vt:lpstr>TANBLBX</vt:lpstr>
      <vt:lpstr>TinhGiaGuiKhachHang!TANCMTN</vt:lpstr>
      <vt:lpstr>TANCMTN</vt:lpstr>
      <vt:lpstr>TinhGiaGuiKhachHang!TANTKG</vt:lpstr>
      <vt:lpstr>TANTKG</vt:lpstr>
      <vt:lpstr>TinhGiaGuiKhachHang!TDRBLBX</vt:lpstr>
      <vt:lpstr>TDRBLBX</vt:lpstr>
      <vt:lpstr>TinhGiaGuiKhachHang!TDRCMTN</vt:lpstr>
      <vt:lpstr>TDRCMTN</vt:lpstr>
      <vt:lpstr>TinhGiaGuiKhachHang!TGQBLBX</vt:lpstr>
      <vt:lpstr>TGQBLBX</vt:lpstr>
      <vt:lpstr>TinhGiaGuiKhachHang!TGQCMTN</vt:lpstr>
      <vt:lpstr>TGQCMTN</vt:lpstr>
      <vt:lpstr>TinhGiaGuiKhachHang!TGQLK</vt:lpstr>
      <vt:lpstr>TGQLK</vt:lpstr>
      <vt:lpstr>TinhGiaGuiKhachHang!TGQTKG</vt:lpstr>
      <vt:lpstr>TGQTKG</vt:lpstr>
      <vt:lpstr>TinhGiaGuiKhachHang!TKLBLBX</vt:lpstr>
      <vt:lpstr>TKLBLBX</vt:lpstr>
      <vt:lpstr>TinhGiaGuiKhachHang!TKLCMTN</vt:lpstr>
      <vt:lpstr>TKLCMTN</vt:lpstr>
      <vt:lpstr>TinhGiaGuiKhachHang!TRHNHN</vt:lpstr>
      <vt:lpstr>TRHNHN</vt:lpstr>
      <vt:lpstr>TinhGiaGuiKhachHang!TRTBLBX</vt:lpstr>
      <vt:lpstr>TRTBLBX</vt:lpstr>
      <vt:lpstr>TinhGiaGuiKhachHang!TRTCMTN</vt:lpstr>
      <vt:lpstr>TRTCMTN</vt:lpstr>
      <vt:lpstr>TinhGiaGuiKhachHang!TRTTKG</vt:lpstr>
      <vt:lpstr>TRTTKG</vt:lpstr>
      <vt:lpstr>TinhGiaGuiKhachHang!TXFKC</vt:lpstr>
      <vt:lpstr>TXFKC</vt:lpstr>
      <vt:lpstr>TinhGiaGuiKhachHang!TXFKK</vt:lpstr>
      <vt:lpstr>TXFKK</vt:lpstr>
      <vt:lpstr>TinhGiaGuiKhachHang!TXWKC</vt:lpstr>
      <vt:lpstr>TXWKC</vt:lpstr>
      <vt:lpstr>TinhGiaGuiKhachHang!TXWKK</vt:lpstr>
      <vt:lpstr>TXWKK</vt:lpstr>
      <vt:lpstr>TinhGiaGuiKhachHang!VXFKK</vt:lpstr>
      <vt:lpstr>VXFKK</vt:lpstr>
      <vt:lpstr>TinhGiaGuiKhachHang!VXWKK</vt:lpstr>
      <vt:lpstr>VXWKK</vt:lpstr>
      <vt:lpstr>TinhGiaGuiKhachHang!X3HBLBX</vt:lpstr>
      <vt:lpstr>X3HBLBX</vt:lpstr>
      <vt:lpstr>TinhGiaGuiKhachHang!X3HCMTN</vt:lpstr>
      <vt:lpstr>X3HCMTN</vt:lpstr>
      <vt:lpstr>TinhGiaGuiKhachHang!X3HLK</vt:lpstr>
      <vt:lpstr>X3HLK</vt:lpstr>
      <vt:lpstr>TinhGiaGuiKhachHang!X3HTKG</vt:lpstr>
      <vt:lpstr>X3HTKG</vt:lpstr>
      <vt:lpstr>TinhGiaGuiKhachHang!XDRBLBX</vt:lpstr>
      <vt:lpstr>XDRBLBX</vt:lpstr>
      <vt:lpstr>XDRCMTN</vt:lpstr>
      <vt:lpstr>TinhGiaGuiKhachHang!XDRLK</vt:lpstr>
      <vt:lpstr>XDRLK</vt:lpstr>
      <vt:lpstr>TinhGiaGuiKhachHang!XDRTKG</vt:lpstr>
      <vt:lpstr>XDRTKG</vt:lpstr>
      <vt:lpstr>TinhGiaGuiKhachHang!XKLBLBX</vt:lpstr>
      <vt:lpstr>XKLBLBX</vt:lpstr>
      <vt:lpstr>TinhGiaGuiKhachHang!XKLCMTN</vt:lpstr>
      <vt:lpstr>XKLCMTN</vt:lpstr>
      <vt:lpstr>TinhGiaGuiKhachHang!XKLLK</vt:lpstr>
      <vt:lpstr>XKLLK</vt:lpstr>
      <vt:lpstr>TinhGiaGuiKhachHang!XRHCMTN</vt:lpstr>
      <vt:lpstr>XRHCMTN</vt:lpstr>
      <vt:lpstr>TinhGiaGuiKhachHang!XRHNHN</vt:lpstr>
      <vt:lpstr>XRHNHN</vt:lpstr>
      <vt:lpstr>TinhGiaGuiKhachHang!XRTBLBX</vt:lpstr>
      <vt:lpstr>XRTBLBX</vt:lpstr>
      <vt:lpstr>TinhGiaGuiKhachHang!XXFCMTN</vt:lpstr>
      <vt:lpstr>XXFCMTN</vt:lpstr>
      <vt:lpstr>TinhGiaGuiKhachHang!XXFNHN</vt:lpstr>
      <vt:lpstr>XXFNHN</vt:lpstr>
      <vt:lpstr>TinhGiaGuiKhachHang!XXWCMTN</vt:lpstr>
      <vt:lpstr>XXWCMTN</vt:lpstr>
      <vt:lpstr>TinhGiaGuiKhachHang!XXWNHN</vt:lpstr>
      <vt:lpstr>XXWNHN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Chinh Dang</cp:lastModifiedBy>
  <cp:lastPrinted>2022-12-10T03:17:02Z</cp:lastPrinted>
  <dcterms:created xsi:type="dcterms:W3CDTF">2019-12-12T05:44:46Z</dcterms:created>
  <dcterms:modified xsi:type="dcterms:W3CDTF">2024-05-06T01:20:06Z</dcterms:modified>
</cp:coreProperties>
</file>